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D:\CodexData\10-projects\chatgpt\光大安石商业reits\光大保德信基金\excel展示\"/>
    </mc:Choice>
  </mc:AlternateContent>
  <xr:revisionPtr revIDLastSave="0" documentId="13_ncr:1_{8F3CCD02-26A9-40A7-BC48-B88614380F74}" xr6:coauthVersionLast="47" xr6:coauthVersionMax="47" xr10:uidLastSave="{00000000-0000-0000-0000-000000000000}"/>
  <bookViews>
    <workbookView xWindow="-93" yWindow="-93" windowWidth="21520" windowHeight="12800" activeTab="2" xr2:uid="{00000000-000D-0000-FFFF-FFFF00000000}"/>
  </bookViews>
  <sheets>
    <sheet name="数据概览" sheetId="1" r:id="rId1"/>
    <sheet name="产品信息" sheetId="2" r:id="rId2"/>
    <sheet name="项目基本信息" sheetId="3" r:id="rId3"/>
    <sheet name="估值信息1" sheetId="4" r:id="rId4"/>
    <sheet name="发售及分派" sheetId="5" r:id="rId5"/>
    <sheet name="分派率预测1" sheetId="6" r:id="rId6"/>
    <sheet name="二级分派率1" sheetId="7" r:id="rId7"/>
    <sheet name="发售持有人1" sheetId="8" r:id="rId8"/>
    <sheet name="前十大持有人1" sheetId="9" r:id="rId9"/>
    <sheet name="原始经营数据" sheetId="10" state="hidden" r:id="rId10"/>
    <sheet name="_calc" sheetId="11" state="hidden" r:id="rId11"/>
    <sheet name="经营数据" sheetId="12" r:id="rId12"/>
  </sheets>
  <definedNames>
    <definedName name="_xlnm._FilterDatabase" localSheetId="1" hidden="1">产品信息!$A$2:$AO$50</definedName>
    <definedName name="_xlnm._FilterDatabase" localSheetId="6" hidden="1">二级分派率1!$A$2:$S$19</definedName>
    <definedName name="_xlnm._FilterDatabase" localSheetId="7" hidden="1">发售持有人1!$A$2:$L$5537</definedName>
    <definedName name="_xlnm._FilterDatabase" localSheetId="4" hidden="1">发售及分派!$A$2:$V$48</definedName>
    <definedName name="_xlnm._FilterDatabase" localSheetId="5" hidden="1">分派率预测1!$A$2:$L$94</definedName>
    <definedName name="_xlnm._FilterDatabase" localSheetId="3" hidden="1">估值信息1!$A$2:$J$104</definedName>
    <definedName name="_xlnm._FilterDatabase" localSheetId="8" hidden="1">前十大持有人1!$A$2:$K$940</definedName>
    <definedName name="_xlnm._FilterDatabase" localSheetId="2" hidden="1">项目基本信息!$A$2:$V$73</definedName>
    <definedName name="_xlnm._FilterDatabase" localSheetId="9" hidden="1">原始经营数据!$A$2:$K$1931</definedName>
    <definedName name="PeriodList">_calc!$CR$3200:$CR$3204</definedName>
    <definedName name="ProvList">_calc!$CC$2:$CC$19</definedName>
    <definedName name="TTM加权">OFFSET(_calc!$BQ$2,_calc!$BR$3,0,_calc!$BR$2,1)</definedName>
    <definedName name="TTM日期">OFFSET(_calc!$BP$2,_calc!$BR$3,0,_calc!$BR$2,1)</definedName>
    <definedName name="报告期类型列表">OFFSET(_calc!$AK$1,0,0,MAX(1,COUNTIF(_calc!$AK$1:$AK$3,"?*")),1)</definedName>
    <definedName name="报告期列表">OFFSET(_calc!$AJ$1,0,0,MAX(1,COUNTIF(_calc!$AJ$1:$AJ$20,"?*")),1)</definedName>
    <definedName name="基金列表">OFFSET(_calc!$AH$1,0,0,MAX(1,COUNTIF(_calc!$AH$1:$AH$30,"?*")),1)</definedName>
    <definedName name="项目列表">OFFSET(_calc!$AI$1,0,0,MAX(1,COUNTIF(_calc!$AI$1:$AI$30,"?*")),1)</definedName>
    <definedName name="月份列表">_calc!$BD$1:$BD$3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000" i="11" l="1"/>
  <c r="G3000" i="11"/>
  <c r="F3000" i="11"/>
  <c r="E3000" i="11"/>
  <c r="D3000" i="11"/>
  <c r="C3000" i="11"/>
  <c r="B3000" i="11"/>
  <c r="A3000" i="11"/>
  <c r="H2999" i="11"/>
  <c r="G2999" i="11"/>
  <c r="F2999" i="11"/>
  <c r="E2999" i="11"/>
  <c r="D2999" i="11"/>
  <c r="C2999" i="11"/>
  <c r="B2999" i="11"/>
  <c r="A2999" i="11"/>
  <c r="H2998" i="11"/>
  <c r="G2998" i="11"/>
  <c r="F2998" i="11"/>
  <c r="E2998" i="11"/>
  <c r="D2998" i="11"/>
  <c r="C2998" i="11"/>
  <c r="B2998" i="11"/>
  <c r="A2998" i="11"/>
  <c r="H2997" i="11"/>
  <c r="G2997" i="11"/>
  <c r="F2997" i="11"/>
  <c r="E2997" i="11"/>
  <c r="D2997" i="11"/>
  <c r="C2997" i="11"/>
  <c r="B2997" i="11"/>
  <c r="A2997" i="11"/>
  <c r="H2996" i="11"/>
  <c r="G2996" i="11"/>
  <c r="F2996" i="11"/>
  <c r="E2996" i="11"/>
  <c r="D2996" i="11"/>
  <c r="C2996" i="11"/>
  <c r="B2996" i="11"/>
  <c r="A2996" i="11"/>
  <c r="H2995" i="11"/>
  <c r="G2995" i="11"/>
  <c r="F2995" i="11"/>
  <c r="E2995" i="11"/>
  <c r="D2995" i="11"/>
  <c r="C2995" i="11"/>
  <c r="B2995" i="11"/>
  <c r="A2995" i="11"/>
  <c r="H2994" i="11"/>
  <c r="G2994" i="11"/>
  <c r="F2994" i="11"/>
  <c r="E2994" i="11"/>
  <c r="D2994" i="11"/>
  <c r="C2994" i="11"/>
  <c r="B2994" i="11"/>
  <c r="A2994" i="11"/>
  <c r="H2993" i="11"/>
  <c r="G2993" i="11"/>
  <c r="F2993" i="11"/>
  <c r="E2993" i="11"/>
  <c r="D2993" i="11"/>
  <c r="C2993" i="11"/>
  <c r="B2993" i="11"/>
  <c r="A2993" i="11"/>
  <c r="H2992" i="11"/>
  <c r="G2992" i="11"/>
  <c r="F2992" i="11"/>
  <c r="E2992" i="11"/>
  <c r="D2992" i="11"/>
  <c r="C2992" i="11"/>
  <c r="B2992" i="11"/>
  <c r="A2992" i="11"/>
  <c r="H2991" i="11"/>
  <c r="G2991" i="11"/>
  <c r="F2991" i="11"/>
  <c r="E2991" i="11"/>
  <c r="D2991" i="11"/>
  <c r="C2991" i="11"/>
  <c r="B2991" i="11"/>
  <c r="A2991" i="11"/>
  <c r="H2990" i="11"/>
  <c r="G2990" i="11"/>
  <c r="F2990" i="11"/>
  <c r="E2990" i="11"/>
  <c r="D2990" i="11"/>
  <c r="C2990" i="11"/>
  <c r="B2990" i="11"/>
  <c r="A2990" i="11"/>
  <c r="H2989" i="11"/>
  <c r="G2989" i="11"/>
  <c r="F2989" i="11"/>
  <c r="E2989" i="11"/>
  <c r="D2989" i="11"/>
  <c r="C2989" i="11"/>
  <c r="B2989" i="11"/>
  <c r="A2989" i="11"/>
  <c r="H2988" i="11"/>
  <c r="G2988" i="11"/>
  <c r="F2988" i="11"/>
  <c r="E2988" i="11"/>
  <c r="D2988" i="11"/>
  <c r="C2988" i="11"/>
  <c r="B2988" i="11"/>
  <c r="A2988" i="11"/>
  <c r="H2987" i="11"/>
  <c r="G2987" i="11"/>
  <c r="F2987" i="11"/>
  <c r="E2987" i="11"/>
  <c r="D2987" i="11"/>
  <c r="C2987" i="11"/>
  <c r="B2987" i="11"/>
  <c r="A2987" i="11"/>
  <c r="H2986" i="11"/>
  <c r="G2986" i="11"/>
  <c r="F2986" i="11"/>
  <c r="E2986" i="11"/>
  <c r="D2986" i="11"/>
  <c r="C2986" i="11"/>
  <c r="B2986" i="11"/>
  <c r="A2986" i="11"/>
  <c r="H2985" i="11"/>
  <c r="G2985" i="11"/>
  <c r="F2985" i="11"/>
  <c r="E2985" i="11"/>
  <c r="D2985" i="11"/>
  <c r="C2985" i="11"/>
  <c r="B2985" i="11"/>
  <c r="A2985" i="11"/>
  <c r="H2984" i="11"/>
  <c r="G2984" i="11"/>
  <c r="F2984" i="11"/>
  <c r="E2984" i="11"/>
  <c r="D2984" i="11"/>
  <c r="C2984" i="11"/>
  <c r="B2984" i="11"/>
  <c r="A2984" i="11"/>
  <c r="H2983" i="11"/>
  <c r="G2983" i="11"/>
  <c r="F2983" i="11"/>
  <c r="E2983" i="11"/>
  <c r="D2983" i="11"/>
  <c r="C2983" i="11"/>
  <c r="B2983" i="11"/>
  <c r="A2983" i="11"/>
  <c r="H2982" i="11"/>
  <c r="G2982" i="11"/>
  <c r="F2982" i="11"/>
  <c r="E2982" i="11"/>
  <c r="D2982" i="11"/>
  <c r="C2982" i="11"/>
  <c r="B2982" i="11"/>
  <c r="A2982" i="11"/>
  <c r="H2981" i="11"/>
  <c r="G2981" i="11"/>
  <c r="F2981" i="11"/>
  <c r="E2981" i="11"/>
  <c r="D2981" i="11"/>
  <c r="C2981" i="11"/>
  <c r="B2981" i="11"/>
  <c r="A2981" i="11"/>
  <c r="H2980" i="11"/>
  <c r="G2980" i="11"/>
  <c r="F2980" i="11"/>
  <c r="E2980" i="11"/>
  <c r="D2980" i="11"/>
  <c r="C2980" i="11"/>
  <c r="B2980" i="11"/>
  <c r="A2980" i="11"/>
  <c r="H2979" i="11"/>
  <c r="G2979" i="11"/>
  <c r="F2979" i="11"/>
  <c r="E2979" i="11"/>
  <c r="D2979" i="11"/>
  <c r="C2979" i="11"/>
  <c r="B2979" i="11"/>
  <c r="A2979" i="11"/>
  <c r="H2978" i="11"/>
  <c r="G2978" i="11"/>
  <c r="F2978" i="11"/>
  <c r="E2978" i="11"/>
  <c r="D2978" i="11"/>
  <c r="C2978" i="11"/>
  <c r="B2978" i="11"/>
  <c r="A2978" i="11"/>
  <c r="H2977" i="11"/>
  <c r="G2977" i="11"/>
  <c r="F2977" i="11"/>
  <c r="E2977" i="11"/>
  <c r="D2977" i="11"/>
  <c r="C2977" i="11"/>
  <c r="B2977" i="11"/>
  <c r="A2977" i="11"/>
  <c r="H2976" i="11"/>
  <c r="G2976" i="11"/>
  <c r="F2976" i="11"/>
  <c r="E2976" i="11"/>
  <c r="D2976" i="11"/>
  <c r="C2976" i="11"/>
  <c r="B2976" i="11"/>
  <c r="A2976" i="11"/>
  <c r="H2975" i="11"/>
  <c r="G2975" i="11"/>
  <c r="F2975" i="11"/>
  <c r="E2975" i="11"/>
  <c r="D2975" i="11"/>
  <c r="C2975" i="11"/>
  <c r="B2975" i="11"/>
  <c r="A2975" i="11"/>
  <c r="H2974" i="11"/>
  <c r="G2974" i="11"/>
  <c r="F2974" i="11"/>
  <c r="E2974" i="11"/>
  <c r="D2974" i="11"/>
  <c r="C2974" i="11"/>
  <c r="B2974" i="11"/>
  <c r="A2974" i="11"/>
  <c r="H2973" i="11"/>
  <c r="G2973" i="11"/>
  <c r="F2973" i="11"/>
  <c r="E2973" i="11"/>
  <c r="D2973" i="11"/>
  <c r="C2973" i="11"/>
  <c r="B2973" i="11"/>
  <c r="A2973" i="11"/>
  <c r="H2972" i="11"/>
  <c r="G2972" i="11"/>
  <c r="F2972" i="11"/>
  <c r="E2972" i="11"/>
  <c r="D2972" i="11"/>
  <c r="C2972" i="11"/>
  <c r="B2972" i="11"/>
  <c r="A2972" i="11"/>
  <c r="H2971" i="11"/>
  <c r="G2971" i="11"/>
  <c r="F2971" i="11"/>
  <c r="E2971" i="11"/>
  <c r="D2971" i="11"/>
  <c r="C2971" i="11"/>
  <c r="B2971" i="11"/>
  <c r="A2971" i="11"/>
  <c r="H2970" i="11"/>
  <c r="G2970" i="11"/>
  <c r="F2970" i="11"/>
  <c r="E2970" i="11"/>
  <c r="D2970" i="11"/>
  <c r="C2970" i="11"/>
  <c r="B2970" i="11"/>
  <c r="A2970" i="11"/>
  <c r="H2969" i="11"/>
  <c r="G2969" i="11"/>
  <c r="F2969" i="11"/>
  <c r="E2969" i="11"/>
  <c r="D2969" i="11"/>
  <c r="C2969" i="11"/>
  <c r="B2969" i="11"/>
  <c r="A2969" i="11"/>
  <c r="H2968" i="11"/>
  <c r="G2968" i="11"/>
  <c r="F2968" i="11"/>
  <c r="E2968" i="11"/>
  <c r="D2968" i="11"/>
  <c r="C2968" i="11"/>
  <c r="B2968" i="11"/>
  <c r="A2968" i="11"/>
  <c r="H2967" i="11"/>
  <c r="G2967" i="11"/>
  <c r="F2967" i="11"/>
  <c r="E2967" i="11"/>
  <c r="D2967" i="11"/>
  <c r="C2967" i="11"/>
  <c r="B2967" i="11"/>
  <c r="A2967" i="11"/>
  <c r="H2966" i="11"/>
  <c r="G2966" i="11"/>
  <c r="F2966" i="11"/>
  <c r="E2966" i="11"/>
  <c r="D2966" i="11"/>
  <c r="C2966" i="11"/>
  <c r="B2966" i="11"/>
  <c r="A2966" i="11"/>
  <c r="H2965" i="11"/>
  <c r="G2965" i="11"/>
  <c r="F2965" i="11"/>
  <c r="E2965" i="11"/>
  <c r="D2965" i="11"/>
  <c r="C2965" i="11"/>
  <c r="B2965" i="11"/>
  <c r="A2965" i="11"/>
  <c r="H2964" i="11"/>
  <c r="G2964" i="11"/>
  <c r="F2964" i="11"/>
  <c r="E2964" i="11"/>
  <c r="D2964" i="11"/>
  <c r="C2964" i="11"/>
  <c r="B2964" i="11"/>
  <c r="A2964" i="11"/>
  <c r="H2963" i="11"/>
  <c r="G2963" i="11"/>
  <c r="F2963" i="11"/>
  <c r="E2963" i="11"/>
  <c r="D2963" i="11"/>
  <c r="C2963" i="11"/>
  <c r="B2963" i="11"/>
  <c r="A2963" i="11"/>
  <c r="H2962" i="11"/>
  <c r="G2962" i="11"/>
  <c r="F2962" i="11"/>
  <c r="E2962" i="11"/>
  <c r="D2962" i="11"/>
  <c r="C2962" i="11"/>
  <c r="B2962" i="11"/>
  <c r="A2962" i="11"/>
  <c r="H2961" i="11"/>
  <c r="G2961" i="11"/>
  <c r="F2961" i="11"/>
  <c r="E2961" i="11"/>
  <c r="D2961" i="11"/>
  <c r="C2961" i="11"/>
  <c r="B2961" i="11"/>
  <c r="A2961" i="11"/>
  <c r="H2960" i="11"/>
  <c r="G2960" i="11"/>
  <c r="F2960" i="11"/>
  <c r="E2960" i="11"/>
  <c r="D2960" i="11"/>
  <c r="C2960" i="11"/>
  <c r="B2960" i="11"/>
  <c r="A2960" i="11"/>
  <c r="H2959" i="11"/>
  <c r="G2959" i="11"/>
  <c r="F2959" i="11"/>
  <c r="E2959" i="11"/>
  <c r="D2959" i="11"/>
  <c r="C2959" i="11"/>
  <c r="B2959" i="11"/>
  <c r="A2959" i="11"/>
  <c r="H2958" i="11"/>
  <c r="G2958" i="11"/>
  <c r="F2958" i="11"/>
  <c r="E2958" i="11"/>
  <c r="D2958" i="11"/>
  <c r="C2958" i="11"/>
  <c r="B2958" i="11"/>
  <c r="A2958" i="11"/>
  <c r="H2957" i="11"/>
  <c r="G2957" i="11"/>
  <c r="F2957" i="11"/>
  <c r="E2957" i="11"/>
  <c r="D2957" i="11"/>
  <c r="C2957" i="11"/>
  <c r="B2957" i="11"/>
  <c r="A2957" i="11"/>
  <c r="H2956" i="11"/>
  <c r="G2956" i="11"/>
  <c r="F2956" i="11"/>
  <c r="E2956" i="11"/>
  <c r="D2956" i="11"/>
  <c r="C2956" i="11"/>
  <c r="B2956" i="11"/>
  <c r="A2956" i="11"/>
  <c r="H2955" i="11"/>
  <c r="G2955" i="11"/>
  <c r="F2955" i="11"/>
  <c r="E2955" i="11"/>
  <c r="D2955" i="11"/>
  <c r="C2955" i="11"/>
  <c r="B2955" i="11"/>
  <c r="A2955" i="11"/>
  <c r="H2954" i="11"/>
  <c r="G2954" i="11"/>
  <c r="F2954" i="11"/>
  <c r="E2954" i="11"/>
  <c r="D2954" i="11"/>
  <c r="C2954" i="11"/>
  <c r="B2954" i="11"/>
  <c r="A2954" i="11"/>
  <c r="H2953" i="11"/>
  <c r="G2953" i="11"/>
  <c r="F2953" i="11"/>
  <c r="E2953" i="11"/>
  <c r="D2953" i="11"/>
  <c r="C2953" i="11"/>
  <c r="B2953" i="11"/>
  <c r="A2953" i="11"/>
  <c r="H2952" i="11"/>
  <c r="G2952" i="11"/>
  <c r="F2952" i="11"/>
  <c r="E2952" i="11"/>
  <c r="D2952" i="11"/>
  <c r="C2952" i="11"/>
  <c r="B2952" i="11"/>
  <c r="A2952" i="11"/>
  <c r="H2951" i="11"/>
  <c r="G2951" i="11"/>
  <c r="F2951" i="11"/>
  <c r="E2951" i="11"/>
  <c r="D2951" i="11"/>
  <c r="C2951" i="11"/>
  <c r="B2951" i="11"/>
  <c r="A2951" i="11"/>
  <c r="H2950" i="11"/>
  <c r="G2950" i="11"/>
  <c r="F2950" i="11"/>
  <c r="E2950" i="11"/>
  <c r="D2950" i="11"/>
  <c r="C2950" i="11"/>
  <c r="B2950" i="11"/>
  <c r="A2950" i="11"/>
  <c r="H2949" i="11"/>
  <c r="G2949" i="11"/>
  <c r="F2949" i="11"/>
  <c r="E2949" i="11"/>
  <c r="D2949" i="11"/>
  <c r="C2949" i="11"/>
  <c r="B2949" i="11"/>
  <c r="A2949" i="11"/>
  <c r="H2948" i="11"/>
  <c r="G2948" i="11"/>
  <c r="F2948" i="11"/>
  <c r="E2948" i="11"/>
  <c r="D2948" i="11"/>
  <c r="C2948" i="11"/>
  <c r="B2948" i="11"/>
  <c r="A2948" i="11"/>
  <c r="H2947" i="11"/>
  <c r="G2947" i="11"/>
  <c r="F2947" i="11"/>
  <c r="E2947" i="11"/>
  <c r="D2947" i="11"/>
  <c r="C2947" i="11"/>
  <c r="B2947" i="11"/>
  <c r="A2947" i="11"/>
  <c r="H2946" i="11"/>
  <c r="G2946" i="11"/>
  <c r="F2946" i="11"/>
  <c r="E2946" i="11"/>
  <c r="D2946" i="11"/>
  <c r="C2946" i="11"/>
  <c r="B2946" i="11"/>
  <c r="A2946" i="11"/>
  <c r="H2945" i="11"/>
  <c r="G2945" i="11"/>
  <c r="F2945" i="11"/>
  <c r="E2945" i="11"/>
  <c r="D2945" i="11"/>
  <c r="C2945" i="11"/>
  <c r="B2945" i="11"/>
  <c r="A2945" i="11"/>
  <c r="H2944" i="11"/>
  <c r="G2944" i="11"/>
  <c r="F2944" i="11"/>
  <c r="E2944" i="11"/>
  <c r="D2944" i="11"/>
  <c r="C2944" i="11"/>
  <c r="B2944" i="11"/>
  <c r="A2944" i="11"/>
  <c r="H2943" i="11"/>
  <c r="G2943" i="11"/>
  <c r="F2943" i="11"/>
  <c r="E2943" i="11"/>
  <c r="D2943" i="11"/>
  <c r="C2943" i="11"/>
  <c r="B2943" i="11"/>
  <c r="A2943" i="11"/>
  <c r="H2942" i="11"/>
  <c r="G2942" i="11"/>
  <c r="F2942" i="11"/>
  <c r="E2942" i="11"/>
  <c r="D2942" i="11"/>
  <c r="C2942" i="11"/>
  <c r="B2942" i="11"/>
  <c r="A2942" i="11"/>
  <c r="H2941" i="11"/>
  <c r="G2941" i="11"/>
  <c r="F2941" i="11"/>
  <c r="E2941" i="11"/>
  <c r="D2941" i="11"/>
  <c r="C2941" i="11"/>
  <c r="B2941" i="11"/>
  <c r="A2941" i="11"/>
  <c r="H2940" i="11"/>
  <c r="G2940" i="11"/>
  <c r="F2940" i="11"/>
  <c r="E2940" i="11"/>
  <c r="D2940" i="11"/>
  <c r="C2940" i="11"/>
  <c r="B2940" i="11"/>
  <c r="A2940" i="11"/>
  <c r="H2939" i="11"/>
  <c r="G2939" i="11"/>
  <c r="F2939" i="11"/>
  <c r="E2939" i="11"/>
  <c r="D2939" i="11"/>
  <c r="C2939" i="11"/>
  <c r="B2939" i="11"/>
  <c r="A2939" i="11"/>
  <c r="H2938" i="11"/>
  <c r="G2938" i="11"/>
  <c r="F2938" i="11"/>
  <c r="E2938" i="11"/>
  <c r="D2938" i="11"/>
  <c r="C2938" i="11"/>
  <c r="B2938" i="11"/>
  <c r="A2938" i="11"/>
  <c r="H2937" i="11"/>
  <c r="G2937" i="11"/>
  <c r="F2937" i="11"/>
  <c r="E2937" i="11"/>
  <c r="D2937" i="11"/>
  <c r="C2937" i="11"/>
  <c r="B2937" i="11"/>
  <c r="A2937" i="11"/>
  <c r="H2936" i="11"/>
  <c r="G2936" i="11"/>
  <c r="F2936" i="11"/>
  <c r="E2936" i="11"/>
  <c r="D2936" i="11"/>
  <c r="C2936" i="11"/>
  <c r="B2936" i="11"/>
  <c r="A2936" i="11"/>
  <c r="H2935" i="11"/>
  <c r="G2935" i="11"/>
  <c r="F2935" i="11"/>
  <c r="E2935" i="11"/>
  <c r="D2935" i="11"/>
  <c r="C2935" i="11"/>
  <c r="B2935" i="11"/>
  <c r="A2935" i="11"/>
  <c r="H2934" i="11"/>
  <c r="G2934" i="11"/>
  <c r="F2934" i="11"/>
  <c r="E2934" i="11"/>
  <c r="D2934" i="11"/>
  <c r="C2934" i="11"/>
  <c r="B2934" i="11"/>
  <c r="A2934" i="11"/>
  <c r="H2933" i="11"/>
  <c r="G2933" i="11"/>
  <c r="F2933" i="11"/>
  <c r="E2933" i="11"/>
  <c r="D2933" i="11"/>
  <c r="C2933" i="11"/>
  <c r="B2933" i="11"/>
  <c r="A2933" i="11"/>
  <c r="H2932" i="11"/>
  <c r="G2932" i="11"/>
  <c r="F2932" i="11"/>
  <c r="E2932" i="11"/>
  <c r="D2932" i="11"/>
  <c r="C2932" i="11"/>
  <c r="B2932" i="11"/>
  <c r="A2932" i="11"/>
  <c r="H2931" i="11"/>
  <c r="G2931" i="11"/>
  <c r="F2931" i="11"/>
  <c r="E2931" i="11"/>
  <c r="D2931" i="11"/>
  <c r="C2931" i="11"/>
  <c r="B2931" i="11"/>
  <c r="A2931" i="11"/>
  <c r="H2930" i="11"/>
  <c r="G2930" i="11"/>
  <c r="F2930" i="11"/>
  <c r="E2930" i="11"/>
  <c r="D2930" i="11"/>
  <c r="C2930" i="11"/>
  <c r="B2930" i="11"/>
  <c r="A2930" i="11"/>
  <c r="H2929" i="11"/>
  <c r="G2929" i="11"/>
  <c r="F2929" i="11"/>
  <c r="E2929" i="11"/>
  <c r="D2929" i="11"/>
  <c r="C2929" i="11"/>
  <c r="B2929" i="11"/>
  <c r="A2929" i="11"/>
  <c r="H2928" i="11"/>
  <c r="G2928" i="11"/>
  <c r="F2928" i="11"/>
  <c r="E2928" i="11"/>
  <c r="D2928" i="11"/>
  <c r="C2928" i="11"/>
  <c r="B2928" i="11"/>
  <c r="A2928" i="11"/>
  <c r="H2927" i="11"/>
  <c r="G2927" i="11"/>
  <c r="F2927" i="11"/>
  <c r="E2927" i="11"/>
  <c r="D2927" i="11"/>
  <c r="C2927" i="11"/>
  <c r="B2927" i="11"/>
  <c r="A2927" i="11"/>
  <c r="H2926" i="11"/>
  <c r="G2926" i="11"/>
  <c r="F2926" i="11"/>
  <c r="E2926" i="11"/>
  <c r="D2926" i="11"/>
  <c r="C2926" i="11"/>
  <c r="B2926" i="11"/>
  <c r="A2926" i="11"/>
  <c r="H2925" i="11"/>
  <c r="G2925" i="11"/>
  <c r="F2925" i="11"/>
  <c r="E2925" i="11"/>
  <c r="D2925" i="11"/>
  <c r="C2925" i="11"/>
  <c r="B2925" i="11"/>
  <c r="A2925" i="11"/>
  <c r="H2924" i="11"/>
  <c r="G2924" i="11"/>
  <c r="F2924" i="11"/>
  <c r="E2924" i="11"/>
  <c r="D2924" i="11"/>
  <c r="C2924" i="11"/>
  <c r="B2924" i="11"/>
  <c r="A2924" i="11"/>
  <c r="H2923" i="11"/>
  <c r="G2923" i="11"/>
  <c r="F2923" i="11"/>
  <c r="E2923" i="11"/>
  <c r="D2923" i="11"/>
  <c r="C2923" i="11"/>
  <c r="B2923" i="11"/>
  <c r="A2923" i="11"/>
  <c r="H2922" i="11"/>
  <c r="G2922" i="11"/>
  <c r="F2922" i="11"/>
  <c r="E2922" i="11"/>
  <c r="D2922" i="11"/>
  <c r="C2922" i="11"/>
  <c r="B2922" i="11"/>
  <c r="A2922" i="11"/>
  <c r="H2921" i="11"/>
  <c r="G2921" i="11"/>
  <c r="F2921" i="11"/>
  <c r="E2921" i="11"/>
  <c r="D2921" i="11"/>
  <c r="C2921" i="11"/>
  <c r="B2921" i="11"/>
  <c r="A2921" i="11"/>
  <c r="H2920" i="11"/>
  <c r="G2920" i="11"/>
  <c r="F2920" i="11"/>
  <c r="E2920" i="11"/>
  <c r="D2920" i="11"/>
  <c r="C2920" i="11"/>
  <c r="B2920" i="11"/>
  <c r="A2920" i="11"/>
  <c r="H2919" i="11"/>
  <c r="G2919" i="11"/>
  <c r="F2919" i="11"/>
  <c r="E2919" i="11"/>
  <c r="D2919" i="11"/>
  <c r="C2919" i="11"/>
  <c r="B2919" i="11"/>
  <c r="A2919" i="11"/>
  <c r="H2918" i="11"/>
  <c r="G2918" i="11"/>
  <c r="F2918" i="11"/>
  <c r="E2918" i="11"/>
  <c r="D2918" i="11"/>
  <c r="C2918" i="11"/>
  <c r="B2918" i="11"/>
  <c r="A2918" i="11"/>
  <c r="H2917" i="11"/>
  <c r="G2917" i="11"/>
  <c r="F2917" i="11"/>
  <c r="E2917" i="11"/>
  <c r="D2917" i="11"/>
  <c r="C2917" i="11"/>
  <c r="B2917" i="11"/>
  <c r="A2917" i="11"/>
  <c r="H2916" i="11"/>
  <c r="G2916" i="11"/>
  <c r="F2916" i="11"/>
  <c r="E2916" i="11"/>
  <c r="D2916" i="11"/>
  <c r="C2916" i="11"/>
  <c r="B2916" i="11"/>
  <c r="A2916" i="11"/>
  <c r="H2915" i="11"/>
  <c r="G2915" i="11"/>
  <c r="F2915" i="11"/>
  <c r="E2915" i="11"/>
  <c r="D2915" i="11"/>
  <c r="C2915" i="11"/>
  <c r="B2915" i="11"/>
  <c r="A2915" i="11"/>
  <c r="H2914" i="11"/>
  <c r="G2914" i="11"/>
  <c r="F2914" i="11"/>
  <c r="E2914" i="11"/>
  <c r="D2914" i="11"/>
  <c r="C2914" i="11"/>
  <c r="B2914" i="11"/>
  <c r="A2914" i="11"/>
  <c r="H2913" i="11"/>
  <c r="G2913" i="11"/>
  <c r="F2913" i="11"/>
  <c r="E2913" i="11"/>
  <c r="D2913" i="11"/>
  <c r="C2913" i="11"/>
  <c r="B2913" i="11"/>
  <c r="A2913" i="11"/>
  <c r="H2912" i="11"/>
  <c r="G2912" i="11"/>
  <c r="F2912" i="11"/>
  <c r="E2912" i="11"/>
  <c r="D2912" i="11"/>
  <c r="C2912" i="11"/>
  <c r="B2912" i="11"/>
  <c r="A2912" i="11"/>
  <c r="H2911" i="11"/>
  <c r="G2911" i="11"/>
  <c r="F2911" i="11"/>
  <c r="E2911" i="11"/>
  <c r="D2911" i="11"/>
  <c r="C2911" i="11"/>
  <c r="B2911" i="11"/>
  <c r="A2911" i="11"/>
  <c r="H2910" i="11"/>
  <c r="G2910" i="11"/>
  <c r="F2910" i="11"/>
  <c r="E2910" i="11"/>
  <c r="D2910" i="11"/>
  <c r="C2910" i="11"/>
  <c r="B2910" i="11"/>
  <c r="A2910" i="11"/>
  <c r="H2909" i="11"/>
  <c r="G2909" i="11"/>
  <c r="F2909" i="11"/>
  <c r="E2909" i="11"/>
  <c r="D2909" i="11"/>
  <c r="C2909" i="11"/>
  <c r="B2909" i="11"/>
  <c r="A2909" i="11"/>
  <c r="H2908" i="11"/>
  <c r="G2908" i="11"/>
  <c r="F2908" i="11"/>
  <c r="E2908" i="11"/>
  <c r="D2908" i="11"/>
  <c r="C2908" i="11"/>
  <c r="B2908" i="11"/>
  <c r="A2908" i="11"/>
  <c r="H2907" i="11"/>
  <c r="G2907" i="11"/>
  <c r="F2907" i="11"/>
  <c r="E2907" i="11"/>
  <c r="D2907" i="11"/>
  <c r="C2907" i="11"/>
  <c r="B2907" i="11"/>
  <c r="A2907" i="11"/>
  <c r="H2906" i="11"/>
  <c r="G2906" i="11"/>
  <c r="F2906" i="11"/>
  <c r="E2906" i="11"/>
  <c r="D2906" i="11"/>
  <c r="C2906" i="11"/>
  <c r="B2906" i="11"/>
  <c r="A2906" i="11"/>
  <c r="H2905" i="11"/>
  <c r="G2905" i="11"/>
  <c r="F2905" i="11"/>
  <c r="E2905" i="11"/>
  <c r="D2905" i="11"/>
  <c r="C2905" i="11"/>
  <c r="B2905" i="11"/>
  <c r="A2905" i="11"/>
  <c r="H2904" i="11"/>
  <c r="G2904" i="11"/>
  <c r="F2904" i="11"/>
  <c r="E2904" i="11"/>
  <c r="D2904" i="11"/>
  <c r="C2904" i="11"/>
  <c r="B2904" i="11"/>
  <c r="A2904" i="11"/>
  <c r="H2903" i="11"/>
  <c r="G2903" i="11"/>
  <c r="F2903" i="11"/>
  <c r="E2903" i="11"/>
  <c r="D2903" i="11"/>
  <c r="C2903" i="11"/>
  <c r="B2903" i="11"/>
  <c r="A2903" i="11"/>
  <c r="H2902" i="11"/>
  <c r="G2902" i="11"/>
  <c r="F2902" i="11"/>
  <c r="E2902" i="11"/>
  <c r="D2902" i="11"/>
  <c r="C2902" i="11"/>
  <c r="B2902" i="11"/>
  <c r="A2902" i="11"/>
  <c r="H2901" i="11"/>
  <c r="G2901" i="11"/>
  <c r="F2901" i="11"/>
  <c r="E2901" i="11"/>
  <c r="D2901" i="11"/>
  <c r="C2901" i="11"/>
  <c r="B2901" i="11"/>
  <c r="A2901" i="11"/>
  <c r="H2900" i="11"/>
  <c r="G2900" i="11"/>
  <c r="F2900" i="11"/>
  <c r="E2900" i="11"/>
  <c r="D2900" i="11"/>
  <c r="C2900" i="11"/>
  <c r="B2900" i="11"/>
  <c r="A2900" i="11"/>
  <c r="H2899" i="11"/>
  <c r="G2899" i="11"/>
  <c r="F2899" i="11"/>
  <c r="E2899" i="11"/>
  <c r="D2899" i="11"/>
  <c r="C2899" i="11"/>
  <c r="B2899" i="11"/>
  <c r="A2899" i="11"/>
  <c r="H2898" i="11"/>
  <c r="G2898" i="11"/>
  <c r="F2898" i="11"/>
  <c r="E2898" i="11"/>
  <c r="D2898" i="11"/>
  <c r="C2898" i="11"/>
  <c r="B2898" i="11"/>
  <c r="A2898" i="11"/>
  <c r="H2897" i="11"/>
  <c r="G2897" i="11"/>
  <c r="F2897" i="11"/>
  <c r="E2897" i="11"/>
  <c r="D2897" i="11"/>
  <c r="C2897" i="11"/>
  <c r="B2897" i="11"/>
  <c r="A2897" i="11"/>
  <c r="H2896" i="11"/>
  <c r="G2896" i="11"/>
  <c r="F2896" i="11"/>
  <c r="E2896" i="11"/>
  <c r="D2896" i="11"/>
  <c r="C2896" i="11"/>
  <c r="B2896" i="11"/>
  <c r="A2896" i="11"/>
  <c r="H2895" i="11"/>
  <c r="G2895" i="11"/>
  <c r="F2895" i="11"/>
  <c r="E2895" i="11"/>
  <c r="D2895" i="11"/>
  <c r="C2895" i="11"/>
  <c r="B2895" i="11"/>
  <c r="A2895" i="11"/>
  <c r="H2894" i="11"/>
  <c r="G2894" i="11"/>
  <c r="F2894" i="11"/>
  <c r="E2894" i="11"/>
  <c r="D2894" i="11"/>
  <c r="C2894" i="11"/>
  <c r="B2894" i="11"/>
  <c r="A2894" i="11"/>
  <c r="H2893" i="11"/>
  <c r="G2893" i="11"/>
  <c r="F2893" i="11"/>
  <c r="E2893" i="11"/>
  <c r="D2893" i="11"/>
  <c r="C2893" i="11"/>
  <c r="B2893" i="11"/>
  <c r="A2893" i="11"/>
  <c r="H2892" i="11"/>
  <c r="G2892" i="11"/>
  <c r="F2892" i="11"/>
  <c r="E2892" i="11"/>
  <c r="D2892" i="11"/>
  <c r="C2892" i="11"/>
  <c r="B2892" i="11"/>
  <c r="A2892" i="11"/>
  <c r="H2891" i="11"/>
  <c r="G2891" i="11"/>
  <c r="F2891" i="11"/>
  <c r="E2891" i="11"/>
  <c r="D2891" i="11"/>
  <c r="C2891" i="11"/>
  <c r="B2891" i="11"/>
  <c r="A2891" i="11"/>
  <c r="H2890" i="11"/>
  <c r="G2890" i="11"/>
  <c r="F2890" i="11"/>
  <c r="E2890" i="11"/>
  <c r="D2890" i="11"/>
  <c r="C2890" i="11"/>
  <c r="B2890" i="11"/>
  <c r="A2890" i="11"/>
  <c r="H2889" i="11"/>
  <c r="G2889" i="11"/>
  <c r="F2889" i="11"/>
  <c r="E2889" i="11"/>
  <c r="D2889" i="11"/>
  <c r="C2889" i="11"/>
  <c r="B2889" i="11"/>
  <c r="A2889" i="11"/>
  <c r="H2888" i="11"/>
  <c r="G2888" i="11"/>
  <c r="F2888" i="11"/>
  <c r="E2888" i="11"/>
  <c r="D2888" i="11"/>
  <c r="C2888" i="11"/>
  <c r="B2888" i="11"/>
  <c r="A2888" i="11"/>
  <c r="H2887" i="11"/>
  <c r="G2887" i="11"/>
  <c r="F2887" i="11"/>
  <c r="E2887" i="11"/>
  <c r="D2887" i="11"/>
  <c r="C2887" i="11"/>
  <c r="B2887" i="11"/>
  <c r="A2887" i="11"/>
  <c r="H2886" i="11"/>
  <c r="G2886" i="11"/>
  <c r="F2886" i="11"/>
  <c r="E2886" i="11"/>
  <c r="D2886" i="11"/>
  <c r="C2886" i="11"/>
  <c r="B2886" i="11"/>
  <c r="A2886" i="11"/>
  <c r="H2885" i="11"/>
  <c r="G2885" i="11"/>
  <c r="F2885" i="11"/>
  <c r="E2885" i="11"/>
  <c r="D2885" i="11"/>
  <c r="C2885" i="11"/>
  <c r="B2885" i="11"/>
  <c r="A2885" i="11"/>
  <c r="H2884" i="11"/>
  <c r="G2884" i="11"/>
  <c r="F2884" i="11"/>
  <c r="E2884" i="11"/>
  <c r="D2884" i="11"/>
  <c r="C2884" i="11"/>
  <c r="B2884" i="11"/>
  <c r="A2884" i="11"/>
  <c r="H2883" i="11"/>
  <c r="G2883" i="11"/>
  <c r="F2883" i="11"/>
  <c r="E2883" i="11"/>
  <c r="D2883" i="11"/>
  <c r="C2883" i="11"/>
  <c r="B2883" i="11"/>
  <c r="A2883" i="11"/>
  <c r="H2882" i="11"/>
  <c r="G2882" i="11"/>
  <c r="F2882" i="11"/>
  <c r="E2882" i="11"/>
  <c r="D2882" i="11"/>
  <c r="C2882" i="11"/>
  <c r="B2882" i="11"/>
  <c r="A2882" i="11"/>
  <c r="H2881" i="11"/>
  <c r="G2881" i="11"/>
  <c r="F2881" i="11"/>
  <c r="E2881" i="11"/>
  <c r="D2881" i="11"/>
  <c r="C2881" i="11"/>
  <c r="B2881" i="11"/>
  <c r="A2881" i="11"/>
  <c r="H2880" i="11"/>
  <c r="G2880" i="11"/>
  <c r="F2880" i="11"/>
  <c r="E2880" i="11"/>
  <c r="D2880" i="11"/>
  <c r="C2880" i="11"/>
  <c r="B2880" i="11"/>
  <c r="A2880" i="11"/>
  <c r="H2879" i="11"/>
  <c r="G2879" i="11"/>
  <c r="F2879" i="11"/>
  <c r="E2879" i="11"/>
  <c r="D2879" i="11"/>
  <c r="C2879" i="11"/>
  <c r="B2879" i="11"/>
  <c r="A2879" i="11"/>
  <c r="H2878" i="11"/>
  <c r="G2878" i="11"/>
  <c r="F2878" i="11"/>
  <c r="E2878" i="11"/>
  <c r="D2878" i="11"/>
  <c r="C2878" i="11"/>
  <c r="B2878" i="11"/>
  <c r="A2878" i="11"/>
  <c r="H2877" i="11"/>
  <c r="G2877" i="11"/>
  <c r="F2877" i="11"/>
  <c r="E2877" i="11"/>
  <c r="D2877" i="11"/>
  <c r="C2877" i="11"/>
  <c r="B2877" i="11"/>
  <c r="A2877" i="11"/>
  <c r="H2876" i="11"/>
  <c r="G2876" i="11"/>
  <c r="F2876" i="11"/>
  <c r="E2876" i="11"/>
  <c r="D2876" i="11"/>
  <c r="C2876" i="11"/>
  <c r="B2876" i="11"/>
  <c r="A2876" i="11"/>
  <c r="H2875" i="11"/>
  <c r="G2875" i="11"/>
  <c r="F2875" i="11"/>
  <c r="E2875" i="11"/>
  <c r="D2875" i="11"/>
  <c r="C2875" i="11"/>
  <c r="B2875" i="11"/>
  <c r="A2875" i="11"/>
  <c r="H2874" i="11"/>
  <c r="G2874" i="11"/>
  <c r="F2874" i="11"/>
  <c r="E2874" i="11"/>
  <c r="D2874" i="11"/>
  <c r="C2874" i="11"/>
  <c r="B2874" i="11"/>
  <c r="A2874" i="11"/>
  <c r="H2873" i="11"/>
  <c r="G2873" i="11"/>
  <c r="F2873" i="11"/>
  <c r="E2873" i="11"/>
  <c r="D2873" i="11"/>
  <c r="C2873" i="11"/>
  <c r="B2873" i="11"/>
  <c r="A2873" i="11"/>
  <c r="H2872" i="11"/>
  <c r="G2872" i="11"/>
  <c r="F2872" i="11"/>
  <c r="E2872" i="11"/>
  <c r="D2872" i="11"/>
  <c r="C2872" i="11"/>
  <c r="B2872" i="11"/>
  <c r="A2872" i="11"/>
  <c r="H2871" i="11"/>
  <c r="G2871" i="11"/>
  <c r="F2871" i="11"/>
  <c r="E2871" i="11"/>
  <c r="D2871" i="11"/>
  <c r="C2871" i="11"/>
  <c r="B2871" i="11"/>
  <c r="A2871" i="11"/>
  <c r="H2870" i="11"/>
  <c r="G2870" i="11"/>
  <c r="F2870" i="11"/>
  <c r="E2870" i="11"/>
  <c r="D2870" i="11"/>
  <c r="C2870" i="11"/>
  <c r="B2870" i="11"/>
  <c r="A2870" i="11"/>
  <c r="H2869" i="11"/>
  <c r="G2869" i="11"/>
  <c r="F2869" i="11"/>
  <c r="E2869" i="11"/>
  <c r="D2869" i="11"/>
  <c r="C2869" i="11"/>
  <c r="B2869" i="11"/>
  <c r="A2869" i="11"/>
  <c r="H2868" i="11"/>
  <c r="G2868" i="11"/>
  <c r="F2868" i="11"/>
  <c r="E2868" i="11"/>
  <c r="D2868" i="11"/>
  <c r="C2868" i="11"/>
  <c r="B2868" i="11"/>
  <c r="A2868" i="11"/>
  <c r="H2867" i="11"/>
  <c r="G2867" i="11"/>
  <c r="F2867" i="11"/>
  <c r="E2867" i="11"/>
  <c r="D2867" i="11"/>
  <c r="C2867" i="11"/>
  <c r="B2867" i="11"/>
  <c r="A2867" i="11"/>
  <c r="H2866" i="11"/>
  <c r="G2866" i="11"/>
  <c r="F2866" i="11"/>
  <c r="E2866" i="11"/>
  <c r="D2866" i="11"/>
  <c r="C2866" i="11"/>
  <c r="B2866" i="11"/>
  <c r="A2866" i="11"/>
  <c r="H2865" i="11"/>
  <c r="G2865" i="11"/>
  <c r="F2865" i="11"/>
  <c r="E2865" i="11"/>
  <c r="D2865" i="11"/>
  <c r="C2865" i="11"/>
  <c r="B2865" i="11"/>
  <c r="A2865" i="11"/>
  <c r="H2864" i="11"/>
  <c r="G2864" i="11"/>
  <c r="F2864" i="11"/>
  <c r="E2864" i="11"/>
  <c r="D2864" i="11"/>
  <c r="C2864" i="11"/>
  <c r="B2864" i="11"/>
  <c r="A2864" i="11"/>
  <c r="H2863" i="11"/>
  <c r="G2863" i="11"/>
  <c r="F2863" i="11"/>
  <c r="E2863" i="11"/>
  <c r="D2863" i="11"/>
  <c r="C2863" i="11"/>
  <c r="B2863" i="11"/>
  <c r="A2863" i="11"/>
  <c r="H2862" i="11"/>
  <c r="G2862" i="11"/>
  <c r="F2862" i="11"/>
  <c r="E2862" i="11"/>
  <c r="D2862" i="11"/>
  <c r="C2862" i="11"/>
  <c r="B2862" i="11"/>
  <c r="A2862" i="11"/>
  <c r="H2861" i="11"/>
  <c r="G2861" i="11"/>
  <c r="F2861" i="11"/>
  <c r="E2861" i="11"/>
  <c r="D2861" i="11"/>
  <c r="C2861" i="11"/>
  <c r="B2861" i="11"/>
  <c r="A2861" i="11"/>
  <c r="H2860" i="11"/>
  <c r="G2860" i="11"/>
  <c r="F2860" i="11"/>
  <c r="E2860" i="11"/>
  <c r="D2860" i="11"/>
  <c r="C2860" i="11"/>
  <c r="B2860" i="11"/>
  <c r="A2860" i="11"/>
  <c r="H2859" i="11"/>
  <c r="G2859" i="11"/>
  <c r="F2859" i="11"/>
  <c r="E2859" i="11"/>
  <c r="D2859" i="11"/>
  <c r="C2859" i="11"/>
  <c r="B2859" i="11"/>
  <c r="A2859" i="11"/>
  <c r="H2858" i="11"/>
  <c r="G2858" i="11"/>
  <c r="F2858" i="11"/>
  <c r="E2858" i="11"/>
  <c r="D2858" i="11"/>
  <c r="C2858" i="11"/>
  <c r="B2858" i="11"/>
  <c r="A2858" i="11"/>
  <c r="H2857" i="11"/>
  <c r="G2857" i="11"/>
  <c r="F2857" i="11"/>
  <c r="E2857" i="11"/>
  <c r="D2857" i="11"/>
  <c r="C2857" i="11"/>
  <c r="B2857" i="11"/>
  <c r="A2857" i="11"/>
  <c r="H2856" i="11"/>
  <c r="G2856" i="11"/>
  <c r="F2856" i="11"/>
  <c r="E2856" i="11"/>
  <c r="D2856" i="11"/>
  <c r="C2856" i="11"/>
  <c r="B2856" i="11"/>
  <c r="A2856" i="11"/>
  <c r="H2855" i="11"/>
  <c r="G2855" i="11"/>
  <c r="F2855" i="11"/>
  <c r="E2855" i="11"/>
  <c r="D2855" i="11"/>
  <c r="C2855" i="11"/>
  <c r="B2855" i="11"/>
  <c r="A2855" i="11"/>
  <c r="H2854" i="11"/>
  <c r="G2854" i="11"/>
  <c r="F2854" i="11"/>
  <c r="E2854" i="11"/>
  <c r="D2854" i="11"/>
  <c r="C2854" i="11"/>
  <c r="B2854" i="11"/>
  <c r="A2854" i="11"/>
  <c r="H2853" i="11"/>
  <c r="G2853" i="11"/>
  <c r="F2853" i="11"/>
  <c r="E2853" i="11"/>
  <c r="D2853" i="11"/>
  <c r="C2853" i="11"/>
  <c r="B2853" i="11"/>
  <c r="A2853" i="11"/>
  <c r="H2852" i="11"/>
  <c r="G2852" i="11"/>
  <c r="F2852" i="11"/>
  <c r="E2852" i="11"/>
  <c r="D2852" i="11"/>
  <c r="C2852" i="11"/>
  <c r="B2852" i="11"/>
  <c r="A2852" i="11"/>
  <c r="H2851" i="11"/>
  <c r="G2851" i="11"/>
  <c r="F2851" i="11"/>
  <c r="E2851" i="11"/>
  <c r="D2851" i="11"/>
  <c r="C2851" i="11"/>
  <c r="B2851" i="11"/>
  <c r="A2851" i="11"/>
  <c r="H2850" i="11"/>
  <c r="G2850" i="11"/>
  <c r="F2850" i="11"/>
  <c r="E2850" i="11"/>
  <c r="D2850" i="11"/>
  <c r="C2850" i="11"/>
  <c r="B2850" i="11"/>
  <c r="A2850" i="11"/>
  <c r="H2849" i="11"/>
  <c r="G2849" i="11"/>
  <c r="F2849" i="11"/>
  <c r="E2849" i="11"/>
  <c r="D2849" i="11"/>
  <c r="C2849" i="11"/>
  <c r="B2849" i="11"/>
  <c r="A2849" i="11"/>
  <c r="H2848" i="11"/>
  <c r="G2848" i="11"/>
  <c r="F2848" i="11"/>
  <c r="E2848" i="11"/>
  <c r="D2848" i="11"/>
  <c r="C2848" i="11"/>
  <c r="B2848" i="11"/>
  <c r="A2848" i="11"/>
  <c r="H2847" i="11"/>
  <c r="G2847" i="11"/>
  <c r="F2847" i="11"/>
  <c r="E2847" i="11"/>
  <c r="D2847" i="11"/>
  <c r="C2847" i="11"/>
  <c r="B2847" i="11"/>
  <c r="A2847" i="11"/>
  <c r="H2846" i="11"/>
  <c r="G2846" i="11"/>
  <c r="F2846" i="11"/>
  <c r="E2846" i="11"/>
  <c r="D2846" i="11"/>
  <c r="C2846" i="11"/>
  <c r="B2846" i="11"/>
  <c r="A2846" i="11"/>
  <c r="H2845" i="11"/>
  <c r="G2845" i="11"/>
  <c r="F2845" i="11"/>
  <c r="E2845" i="11"/>
  <c r="D2845" i="11"/>
  <c r="C2845" i="11"/>
  <c r="B2845" i="11"/>
  <c r="A2845" i="11"/>
  <c r="H2844" i="11"/>
  <c r="G2844" i="11"/>
  <c r="F2844" i="11"/>
  <c r="E2844" i="11"/>
  <c r="D2844" i="11"/>
  <c r="C2844" i="11"/>
  <c r="B2844" i="11"/>
  <c r="A2844" i="11"/>
  <c r="H2843" i="11"/>
  <c r="G2843" i="11"/>
  <c r="F2843" i="11"/>
  <c r="E2843" i="11"/>
  <c r="D2843" i="11"/>
  <c r="C2843" i="11"/>
  <c r="B2843" i="11"/>
  <c r="A2843" i="11"/>
  <c r="H2842" i="11"/>
  <c r="G2842" i="11"/>
  <c r="F2842" i="11"/>
  <c r="E2842" i="11"/>
  <c r="D2842" i="11"/>
  <c r="C2842" i="11"/>
  <c r="B2842" i="11"/>
  <c r="A2842" i="11"/>
  <c r="H2841" i="11"/>
  <c r="G2841" i="11"/>
  <c r="F2841" i="11"/>
  <c r="E2841" i="11"/>
  <c r="D2841" i="11"/>
  <c r="C2841" i="11"/>
  <c r="B2841" i="11"/>
  <c r="A2841" i="11"/>
  <c r="H2840" i="11"/>
  <c r="G2840" i="11"/>
  <c r="F2840" i="11"/>
  <c r="E2840" i="11"/>
  <c r="D2840" i="11"/>
  <c r="C2840" i="11"/>
  <c r="B2840" i="11"/>
  <c r="A2840" i="11"/>
  <c r="H2839" i="11"/>
  <c r="G2839" i="11"/>
  <c r="F2839" i="11"/>
  <c r="E2839" i="11"/>
  <c r="D2839" i="11"/>
  <c r="C2839" i="11"/>
  <c r="B2839" i="11"/>
  <c r="A2839" i="11"/>
  <c r="H2838" i="11"/>
  <c r="G2838" i="11"/>
  <c r="F2838" i="11"/>
  <c r="E2838" i="11"/>
  <c r="D2838" i="11"/>
  <c r="C2838" i="11"/>
  <c r="B2838" i="11"/>
  <c r="A2838" i="11"/>
  <c r="H2837" i="11"/>
  <c r="G2837" i="11"/>
  <c r="F2837" i="11"/>
  <c r="E2837" i="11"/>
  <c r="D2837" i="11"/>
  <c r="C2837" i="11"/>
  <c r="B2837" i="11"/>
  <c r="A2837" i="11"/>
  <c r="H2836" i="11"/>
  <c r="G2836" i="11"/>
  <c r="F2836" i="11"/>
  <c r="E2836" i="11"/>
  <c r="D2836" i="11"/>
  <c r="C2836" i="11"/>
  <c r="B2836" i="11"/>
  <c r="A2836" i="11"/>
  <c r="H2835" i="11"/>
  <c r="G2835" i="11"/>
  <c r="F2835" i="11"/>
  <c r="E2835" i="11"/>
  <c r="D2835" i="11"/>
  <c r="C2835" i="11"/>
  <c r="B2835" i="11"/>
  <c r="A2835" i="11"/>
  <c r="H2834" i="11"/>
  <c r="G2834" i="11"/>
  <c r="F2834" i="11"/>
  <c r="E2834" i="11"/>
  <c r="D2834" i="11"/>
  <c r="C2834" i="11"/>
  <c r="B2834" i="11"/>
  <c r="A2834" i="11"/>
  <c r="H2833" i="11"/>
  <c r="G2833" i="11"/>
  <c r="F2833" i="11"/>
  <c r="E2833" i="11"/>
  <c r="D2833" i="11"/>
  <c r="C2833" i="11"/>
  <c r="B2833" i="11"/>
  <c r="A2833" i="11"/>
  <c r="H2832" i="11"/>
  <c r="G2832" i="11"/>
  <c r="F2832" i="11"/>
  <c r="E2832" i="11"/>
  <c r="D2832" i="11"/>
  <c r="C2832" i="11"/>
  <c r="B2832" i="11"/>
  <c r="A2832" i="11"/>
  <c r="H2831" i="11"/>
  <c r="G2831" i="11"/>
  <c r="F2831" i="11"/>
  <c r="E2831" i="11"/>
  <c r="D2831" i="11"/>
  <c r="C2831" i="11"/>
  <c r="B2831" i="11"/>
  <c r="A2831" i="11"/>
  <c r="H2830" i="11"/>
  <c r="G2830" i="11"/>
  <c r="F2830" i="11"/>
  <c r="E2830" i="11"/>
  <c r="D2830" i="11"/>
  <c r="C2830" i="11"/>
  <c r="B2830" i="11"/>
  <c r="A2830" i="11"/>
  <c r="H2829" i="11"/>
  <c r="G2829" i="11"/>
  <c r="F2829" i="11"/>
  <c r="E2829" i="11"/>
  <c r="D2829" i="11"/>
  <c r="C2829" i="11"/>
  <c r="B2829" i="11"/>
  <c r="A2829" i="11"/>
  <c r="H2828" i="11"/>
  <c r="G2828" i="11"/>
  <c r="F2828" i="11"/>
  <c r="E2828" i="11"/>
  <c r="D2828" i="11"/>
  <c r="C2828" i="11"/>
  <c r="B2828" i="11"/>
  <c r="A2828" i="11"/>
  <c r="H2827" i="11"/>
  <c r="G2827" i="11"/>
  <c r="F2827" i="11"/>
  <c r="E2827" i="11"/>
  <c r="D2827" i="11"/>
  <c r="C2827" i="11"/>
  <c r="B2827" i="11"/>
  <c r="A2827" i="11"/>
  <c r="H2826" i="11"/>
  <c r="G2826" i="11"/>
  <c r="F2826" i="11"/>
  <c r="E2826" i="11"/>
  <c r="D2826" i="11"/>
  <c r="C2826" i="11"/>
  <c r="B2826" i="11"/>
  <c r="A2826" i="11"/>
  <c r="H2825" i="11"/>
  <c r="G2825" i="11"/>
  <c r="F2825" i="11"/>
  <c r="E2825" i="11"/>
  <c r="D2825" i="11"/>
  <c r="C2825" i="11"/>
  <c r="B2825" i="11"/>
  <c r="A2825" i="11"/>
  <c r="H2824" i="11"/>
  <c r="G2824" i="11"/>
  <c r="F2824" i="11"/>
  <c r="E2824" i="11"/>
  <c r="D2824" i="11"/>
  <c r="C2824" i="11"/>
  <c r="B2824" i="11"/>
  <c r="A2824" i="11"/>
  <c r="H2823" i="11"/>
  <c r="G2823" i="11"/>
  <c r="F2823" i="11"/>
  <c r="E2823" i="11"/>
  <c r="D2823" i="11"/>
  <c r="C2823" i="11"/>
  <c r="B2823" i="11"/>
  <c r="A2823" i="11"/>
  <c r="H2822" i="11"/>
  <c r="G2822" i="11"/>
  <c r="F2822" i="11"/>
  <c r="E2822" i="11"/>
  <c r="D2822" i="11"/>
  <c r="C2822" i="11"/>
  <c r="B2822" i="11"/>
  <c r="A2822" i="11"/>
  <c r="H2821" i="11"/>
  <c r="G2821" i="11"/>
  <c r="F2821" i="11"/>
  <c r="E2821" i="11"/>
  <c r="D2821" i="11"/>
  <c r="C2821" i="11"/>
  <c r="B2821" i="11"/>
  <c r="A2821" i="11"/>
  <c r="H2820" i="11"/>
  <c r="G2820" i="11"/>
  <c r="F2820" i="11"/>
  <c r="E2820" i="11"/>
  <c r="D2820" i="11"/>
  <c r="C2820" i="11"/>
  <c r="B2820" i="11"/>
  <c r="A2820" i="11"/>
  <c r="H2819" i="11"/>
  <c r="G2819" i="11"/>
  <c r="F2819" i="11"/>
  <c r="E2819" i="11"/>
  <c r="D2819" i="11"/>
  <c r="C2819" i="11"/>
  <c r="B2819" i="11"/>
  <c r="A2819" i="11"/>
  <c r="H2818" i="11"/>
  <c r="G2818" i="11"/>
  <c r="F2818" i="11"/>
  <c r="E2818" i="11"/>
  <c r="D2818" i="11"/>
  <c r="C2818" i="11"/>
  <c r="B2818" i="11"/>
  <c r="A2818" i="11"/>
  <c r="H2817" i="11"/>
  <c r="G2817" i="11"/>
  <c r="F2817" i="11"/>
  <c r="E2817" i="11"/>
  <c r="D2817" i="11"/>
  <c r="C2817" i="11"/>
  <c r="B2817" i="11"/>
  <c r="A2817" i="11"/>
  <c r="H2816" i="11"/>
  <c r="G2816" i="11"/>
  <c r="F2816" i="11"/>
  <c r="E2816" i="11"/>
  <c r="D2816" i="11"/>
  <c r="C2816" i="11"/>
  <c r="B2816" i="11"/>
  <c r="A2816" i="11"/>
  <c r="H2815" i="11"/>
  <c r="G2815" i="11"/>
  <c r="F2815" i="11"/>
  <c r="E2815" i="11"/>
  <c r="D2815" i="11"/>
  <c r="C2815" i="11"/>
  <c r="B2815" i="11"/>
  <c r="A2815" i="11"/>
  <c r="H2814" i="11"/>
  <c r="G2814" i="11"/>
  <c r="F2814" i="11"/>
  <c r="E2814" i="11"/>
  <c r="D2814" i="11"/>
  <c r="C2814" i="11"/>
  <c r="B2814" i="11"/>
  <c r="A2814" i="11"/>
  <c r="H2813" i="11"/>
  <c r="G2813" i="11"/>
  <c r="F2813" i="11"/>
  <c r="E2813" i="11"/>
  <c r="D2813" i="11"/>
  <c r="C2813" i="11"/>
  <c r="B2813" i="11"/>
  <c r="A2813" i="11"/>
  <c r="H2812" i="11"/>
  <c r="G2812" i="11"/>
  <c r="F2812" i="11"/>
  <c r="E2812" i="11"/>
  <c r="D2812" i="11"/>
  <c r="C2812" i="11"/>
  <c r="B2812" i="11"/>
  <c r="A2812" i="11"/>
  <c r="H2811" i="11"/>
  <c r="G2811" i="11"/>
  <c r="F2811" i="11"/>
  <c r="E2811" i="11"/>
  <c r="D2811" i="11"/>
  <c r="C2811" i="11"/>
  <c r="B2811" i="11"/>
  <c r="A2811" i="11"/>
  <c r="H2810" i="11"/>
  <c r="G2810" i="11"/>
  <c r="F2810" i="11"/>
  <c r="E2810" i="11"/>
  <c r="D2810" i="11"/>
  <c r="C2810" i="11"/>
  <c r="B2810" i="11"/>
  <c r="A2810" i="11"/>
  <c r="H2809" i="11"/>
  <c r="G2809" i="11"/>
  <c r="F2809" i="11"/>
  <c r="E2809" i="11"/>
  <c r="D2809" i="11"/>
  <c r="C2809" i="11"/>
  <c r="B2809" i="11"/>
  <c r="A2809" i="11"/>
  <c r="H2808" i="11"/>
  <c r="G2808" i="11"/>
  <c r="F2808" i="11"/>
  <c r="E2808" i="11"/>
  <c r="D2808" i="11"/>
  <c r="C2808" i="11"/>
  <c r="B2808" i="11"/>
  <c r="A2808" i="11"/>
  <c r="H2807" i="11"/>
  <c r="G2807" i="11"/>
  <c r="F2807" i="11"/>
  <c r="E2807" i="11"/>
  <c r="D2807" i="11"/>
  <c r="C2807" i="11"/>
  <c r="B2807" i="11"/>
  <c r="A2807" i="11"/>
  <c r="H2806" i="11"/>
  <c r="G2806" i="11"/>
  <c r="F2806" i="11"/>
  <c r="E2806" i="11"/>
  <c r="D2806" i="11"/>
  <c r="C2806" i="11"/>
  <c r="B2806" i="11"/>
  <c r="A2806" i="11"/>
  <c r="H2805" i="11"/>
  <c r="G2805" i="11"/>
  <c r="F2805" i="11"/>
  <c r="E2805" i="11"/>
  <c r="D2805" i="11"/>
  <c r="C2805" i="11"/>
  <c r="B2805" i="11"/>
  <c r="A2805" i="11"/>
  <c r="H2804" i="11"/>
  <c r="G2804" i="11"/>
  <c r="F2804" i="11"/>
  <c r="E2804" i="11"/>
  <c r="D2804" i="11"/>
  <c r="C2804" i="11"/>
  <c r="B2804" i="11"/>
  <c r="A2804" i="11"/>
  <c r="H2803" i="11"/>
  <c r="G2803" i="11"/>
  <c r="F2803" i="11"/>
  <c r="E2803" i="11"/>
  <c r="D2803" i="11"/>
  <c r="C2803" i="11"/>
  <c r="B2803" i="11"/>
  <c r="A2803" i="11"/>
  <c r="H2802" i="11"/>
  <c r="G2802" i="11"/>
  <c r="F2802" i="11"/>
  <c r="E2802" i="11"/>
  <c r="D2802" i="11"/>
  <c r="C2802" i="11"/>
  <c r="B2802" i="11"/>
  <c r="A2802" i="11"/>
  <c r="H2801" i="11"/>
  <c r="G2801" i="11"/>
  <c r="F2801" i="11"/>
  <c r="E2801" i="11"/>
  <c r="D2801" i="11"/>
  <c r="C2801" i="11"/>
  <c r="B2801" i="11"/>
  <c r="A2801" i="11"/>
  <c r="H2800" i="11"/>
  <c r="G2800" i="11"/>
  <c r="F2800" i="11"/>
  <c r="E2800" i="11"/>
  <c r="D2800" i="11"/>
  <c r="C2800" i="11"/>
  <c r="B2800" i="11"/>
  <c r="A2800" i="11"/>
  <c r="H2799" i="11"/>
  <c r="G2799" i="11"/>
  <c r="F2799" i="11"/>
  <c r="E2799" i="11"/>
  <c r="D2799" i="11"/>
  <c r="C2799" i="11"/>
  <c r="B2799" i="11"/>
  <c r="A2799" i="11"/>
  <c r="H2798" i="11"/>
  <c r="G2798" i="11"/>
  <c r="F2798" i="11"/>
  <c r="E2798" i="11"/>
  <c r="D2798" i="11"/>
  <c r="C2798" i="11"/>
  <c r="B2798" i="11"/>
  <c r="A2798" i="11"/>
  <c r="H2797" i="11"/>
  <c r="G2797" i="11"/>
  <c r="F2797" i="11"/>
  <c r="E2797" i="11"/>
  <c r="D2797" i="11"/>
  <c r="C2797" i="11"/>
  <c r="B2797" i="11"/>
  <c r="A2797" i="11"/>
  <c r="H2796" i="11"/>
  <c r="G2796" i="11"/>
  <c r="F2796" i="11"/>
  <c r="E2796" i="11"/>
  <c r="D2796" i="11"/>
  <c r="C2796" i="11"/>
  <c r="B2796" i="11"/>
  <c r="A2796" i="11"/>
  <c r="H2795" i="11"/>
  <c r="G2795" i="11"/>
  <c r="F2795" i="11"/>
  <c r="E2795" i="11"/>
  <c r="D2795" i="11"/>
  <c r="C2795" i="11"/>
  <c r="B2795" i="11"/>
  <c r="A2795" i="11"/>
  <c r="H2794" i="11"/>
  <c r="G2794" i="11"/>
  <c r="F2794" i="11"/>
  <c r="E2794" i="11"/>
  <c r="D2794" i="11"/>
  <c r="C2794" i="11"/>
  <c r="B2794" i="11"/>
  <c r="A2794" i="11"/>
  <c r="H2793" i="11"/>
  <c r="G2793" i="11"/>
  <c r="F2793" i="11"/>
  <c r="E2793" i="11"/>
  <c r="D2793" i="11"/>
  <c r="C2793" i="11"/>
  <c r="B2793" i="11"/>
  <c r="A2793" i="11"/>
  <c r="H2792" i="11"/>
  <c r="G2792" i="11"/>
  <c r="F2792" i="11"/>
  <c r="E2792" i="11"/>
  <c r="D2792" i="11"/>
  <c r="C2792" i="11"/>
  <c r="B2792" i="11"/>
  <c r="A2792" i="11"/>
  <c r="H2791" i="11"/>
  <c r="G2791" i="11"/>
  <c r="F2791" i="11"/>
  <c r="E2791" i="11"/>
  <c r="D2791" i="11"/>
  <c r="C2791" i="11"/>
  <c r="B2791" i="11"/>
  <c r="A2791" i="11"/>
  <c r="H2790" i="11"/>
  <c r="G2790" i="11"/>
  <c r="F2790" i="11"/>
  <c r="E2790" i="11"/>
  <c r="D2790" i="11"/>
  <c r="C2790" i="11"/>
  <c r="B2790" i="11"/>
  <c r="A2790" i="11"/>
  <c r="H2789" i="11"/>
  <c r="G2789" i="11"/>
  <c r="F2789" i="11"/>
  <c r="E2789" i="11"/>
  <c r="D2789" i="11"/>
  <c r="C2789" i="11"/>
  <c r="B2789" i="11"/>
  <c r="A2789" i="11"/>
  <c r="H2788" i="11"/>
  <c r="G2788" i="11"/>
  <c r="F2788" i="11"/>
  <c r="E2788" i="11"/>
  <c r="D2788" i="11"/>
  <c r="C2788" i="11"/>
  <c r="B2788" i="11"/>
  <c r="A2788" i="11"/>
  <c r="H2787" i="11"/>
  <c r="G2787" i="11"/>
  <c r="F2787" i="11"/>
  <c r="E2787" i="11"/>
  <c r="D2787" i="11"/>
  <c r="C2787" i="11"/>
  <c r="B2787" i="11"/>
  <c r="A2787" i="11"/>
  <c r="H2786" i="11"/>
  <c r="G2786" i="11"/>
  <c r="F2786" i="11"/>
  <c r="E2786" i="11"/>
  <c r="D2786" i="11"/>
  <c r="C2786" i="11"/>
  <c r="B2786" i="11"/>
  <c r="A2786" i="11"/>
  <c r="H2785" i="11"/>
  <c r="G2785" i="11"/>
  <c r="F2785" i="11"/>
  <c r="E2785" i="11"/>
  <c r="D2785" i="11"/>
  <c r="C2785" i="11"/>
  <c r="B2785" i="11"/>
  <c r="A2785" i="11"/>
  <c r="H2784" i="11"/>
  <c r="G2784" i="11"/>
  <c r="F2784" i="11"/>
  <c r="E2784" i="11"/>
  <c r="D2784" i="11"/>
  <c r="C2784" i="11"/>
  <c r="B2784" i="11"/>
  <c r="A2784" i="11"/>
  <c r="H2783" i="11"/>
  <c r="G2783" i="11"/>
  <c r="F2783" i="11"/>
  <c r="E2783" i="11"/>
  <c r="D2783" i="11"/>
  <c r="C2783" i="11"/>
  <c r="B2783" i="11"/>
  <c r="A2783" i="11"/>
  <c r="H2782" i="11"/>
  <c r="G2782" i="11"/>
  <c r="F2782" i="11"/>
  <c r="E2782" i="11"/>
  <c r="D2782" i="11"/>
  <c r="C2782" i="11"/>
  <c r="B2782" i="11"/>
  <c r="A2782" i="11"/>
  <c r="H2781" i="11"/>
  <c r="G2781" i="11"/>
  <c r="F2781" i="11"/>
  <c r="E2781" i="11"/>
  <c r="D2781" i="11"/>
  <c r="C2781" i="11"/>
  <c r="B2781" i="11"/>
  <c r="A2781" i="11"/>
  <c r="H2780" i="11"/>
  <c r="G2780" i="11"/>
  <c r="F2780" i="11"/>
  <c r="E2780" i="11"/>
  <c r="D2780" i="11"/>
  <c r="C2780" i="11"/>
  <c r="B2780" i="11"/>
  <c r="A2780" i="11"/>
  <c r="H2779" i="11"/>
  <c r="G2779" i="11"/>
  <c r="F2779" i="11"/>
  <c r="E2779" i="11"/>
  <c r="D2779" i="11"/>
  <c r="C2779" i="11"/>
  <c r="B2779" i="11"/>
  <c r="A2779" i="11"/>
  <c r="H2778" i="11"/>
  <c r="G2778" i="11"/>
  <c r="F2778" i="11"/>
  <c r="E2778" i="11"/>
  <c r="D2778" i="11"/>
  <c r="C2778" i="11"/>
  <c r="B2778" i="11"/>
  <c r="A2778" i="11"/>
  <c r="H2777" i="11"/>
  <c r="G2777" i="11"/>
  <c r="F2777" i="11"/>
  <c r="E2777" i="11"/>
  <c r="D2777" i="11"/>
  <c r="C2777" i="11"/>
  <c r="B2777" i="11"/>
  <c r="A2777" i="11"/>
  <c r="H2776" i="11"/>
  <c r="G2776" i="11"/>
  <c r="F2776" i="11"/>
  <c r="E2776" i="11"/>
  <c r="D2776" i="11"/>
  <c r="C2776" i="11"/>
  <c r="B2776" i="11"/>
  <c r="A2776" i="11"/>
  <c r="H2775" i="11"/>
  <c r="G2775" i="11"/>
  <c r="F2775" i="11"/>
  <c r="E2775" i="11"/>
  <c r="D2775" i="11"/>
  <c r="C2775" i="11"/>
  <c r="B2775" i="11"/>
  <c r="A2775" i="11"/>
  <c r="H2774" i="11"/>
  <c r="G2774" i="11"/>
  <c r="F2774" i="11"/>
  <c r="E2774" i="11"/>
  <c r="D2774" i="11"/>
  <c r="C2774" i="11"/>
  <c r="B2774" i="11"/>
  <c r="A2774" i="11"/>
  <c r="H2773" i="11"/>
  <c r="G2773" i="11"/>
  <c r="F2773" i="11"/>
  <c r="E2773" i="11"/>
  <c r="D2773" i="11"/>
  <c r="C2773" i="11"/>
  <c r="B2773" i="11"/>
  <c r="A2773" i="11"/>
  <c r="H2772" i="11"/>
  <c r="G2772" i="11"/>
  <c r="F2772" i="11"/>
  <c r="E2772" i="11"/>
  <c r="D2772" i="11"/>
  <c r="C2772" i="11"/>
  <c r="B2772" i="11"/>
  <c r="A2772" i="11"/>
  <c r="H2771" i="11"/>
  <c r="G2771" i="11"/>
  <c r="F2771" i="11"/>
  <c r="E2771" i="11"/>
  <c r="D2771" i="11"/>
  <c r="C2771" i="11"/>
  <c r="B2771" i="11"/>
  <c r="A2771" i="11"/>
  <c r="H2770" i="11"/>
  <c r="G2770" i="11"/>
  <c r="F2770" i="11"/>
  <c r="E2770" i="11"/>
  <c r="D2770" i="11"/>
  <c r="C2770" i="11"/>
  <c r="B2770" i="11"/>
  <c r="A2770" i="11"/>
  <c r="H2769" i="11"/>
  <c r="G2769" i="11"/>
  <c r="F2769" i="11"/>
  <c r="E2769" i="11"/>
  <c r="D2769" i="11"/>
  <c r="C2769" i="11"/>
  <c r="B2769" i="11"/>
  <c r="A2769" i="11"/>
  <c r="H2768" i="11"/>
  <c r="G2768" i="11"/>
  <c r="F2768" i="11"/>
  <c r="E2768" i="11"/>
  <c r="D2768" i="11"/>
  <c r="C2768" i="11"/>
  <c r="B2768" i="11"/>
  <c r="A2768" i="11"/>
  <c r="H2767" i="11"/>
  <c r="G2767" i="11"/>
  <c r="F2767" i="11"/>
  <c r="E2767" i="11"/>
  <c r="D2767" i="11"/>
  <c r="C2767" i="11"/>
  <c r="B2767" i="11"/>
  <c r="A2767" i="11"/>
  <c r="H2766" i="11"/>
  <c r="G2766" i="11"/>
  <c r="F2766" i="11"/>
  <c r="E2766" i="11"/>
  <c r="D2766" i="11"/>
  <c r="C2766" i="11"/>
  <c r="B2766" i="11"/>
  <c r="A2766" i="11"/>
  <c r="H2765" i="11"/>
  <c r="G2765" i="11"/>
  <c r="F2765" i="11"/>
  <c r="E2765" i="11"/>
  <c r="D2765" i="11"/>
  <c r="C2765" i="11"/>
  <c r="B2765" i="11"/>
  <c r="A2765" i="11"/>
  <c r="H2764" i="11"/>
  <c r="G2764" i="11"/>
  <c r="F2764" i="11"/>
  <c r="E2764" i="11"/>
  <c r="D2764" i="11"/>
  <c r="C2764" i="11"/>
  <c r="B2764" i="11"/>
  <c r="A2764" i="11"/>
  <c r="H2763" i="11"/>
  <c r="G2763" i="11"/>
  <c r="F2763" i="11"/>
  <c r="E2763" i="11"/>
  <c r="D2763" i="11"/>
  <c r="C2763" i="11"/>
  <c r="B2763" i="11"/>
  <c r="A2763" i="11"/>
  <c r="H2762" i="11"/>
  <c r="G2762" i="11"/>
  <c r="F2762" i="11"/>
  <c r="E2762" i="11"/>
  <c r="D2762" i="11"/>
  <c r="C2762" i="11"/>
  <c r="B2762" i="11"/>
  <c r="A2762" i="11"/>
  <c r="H2761" i="11"/>
  <c r="G2761" i="11"/>
  <c r="F2761" i="11"/>
  <c r="E2761" i="11"/>
  <c r="D2761" i="11"/>
  <c r="C2761" i="11"/>
  <c r="B2761" i="11"/>
  <c r="A2761" i="11"/>
  <c r="H2760" i="11"/>
  <c r="G2760" i="11"/>
  <c r="F2760" i="11"/>
  <c r="E2760" i="11"/>
  <c r="D2760" i="11"/>
  <c r="C2760" i="11"/>
  <c r="B2760" i="11"/>
  <c r="A2760" i="11"/>
  <c r="H2759" i="11"/>
  <c r="G2759" i="11"/>
  <c r="F2759" i="11"/>
  <c r="E2759" i="11"/>
  <c r="D2759" i="11"/>
  <c r="C2759" i="11"/>
  <c r="B2759" i="11"/>
  <c r="A2759" i="11"/>
  <c r="H2758" i="11"/>
  <c r="G2758" i="11"/>
  <c r="F2758" i="11"/>
  <c r="E2758" i="11"/>
  <c r="D2758" i="11"/>
  <c r="C2758" i="11"/>
  <c r="B2758" i="11"/>
  <c r="A2758" i="11"/>
  <c r="H2757" i="11"/>
  <c r="G2757" i="11"/>
  <c r="F2757" i="11"/>
  <c r="E2757" i="11"/>
  <c r="D2757" i="11"/>
  <c r="C2757" i="11"/>
  <c r="B2757" i="11"/>
  <c r="A2757" i="11"/>
  <c r="H2756" i="11"/>
  <c r="G2756" i="11"/>
  <c r="F2756" i="11"/>
  <c r="E2756" i="11"/>
  <c r="D2756" i="11"/>
  <c r="C2756" i="11"/>
  <c r="B2756" i="11"/>
  <c r="A2756" i="11"/>
  <c r="H2755" i="11"/>
  <c r="G2755" i="11"/>
  <c r="F2755" i="11"/>
  <c r="E2755" i="11"/>
  <c r="D2755" i="11"/>
  <c r="C2755" i="11"/>
  <c r="B2755" i="11"/>
  <c r="A2755" i="11"/>
  <c r="H2754" i="11"/>
  <c r="G2754" i="11"/>
  <c r="F2754" i="11"/>
  <c r="E2754" i="11"/>
  <c r="D2754" i="11"/>
  <c r="C2754" i="11"/>
  <c r="B2754" i="11"/>
  <c r="A2754" i="11"/>
  <c r="H2753" i="11"/>
  <c r="G2753" i="11"/>
  <c r="F2753" i="11"/>
  <c r="E2753" i="11"/>
  <c r="D2753" i="11"/>
  <c r="C2753" i="11"/>
  <c r="B2753" i="11"/>
  <c r="A2753" i="11"/>
  <c r="H2752" i="11"/>
  <c r="G2752" i="11"/>
  <c r="F2752" i="11"/>
  <c r="E2752" i="11"/>
  <c r="D2752" i="11"/>
  <c r="C2752" i="11"/>
  <c r="B2752" i="11"/>
  <c r="A2752" i="11"/>
  <c r="H2751" i="11"/>
  <c r="G2751" i="11"/>
  <c r="F2751" i="11"/>
  <c r="E2751" i="11"/>
  <c r="D2751" i="11"/>
  <c r="C2751" i="11"/>
  <c r="B2751" i="11"/>
  <c r="A2751" i="11"/>
  <c r="H2750" i="11"/>
  <c r="G2750" i="11"/>
  <c r="F2750" i="11"/>
  <c r="E2750" i="11"/>
  <c r="D2750" i="11"/>
  <c r="C2750" i="11"/>
  <c r="B2750" i="11"/>
  <c r="A2750" i="11"/>
  <c r="H2749" i="11"/>
  <c r="G2749" i="11"/>
  <c r="F2749" i="11"/>
  <c r="E2749" i="11"/>
  <c r="D2749" i="11"/>
  <c r="C2749" i="11"/>
  <c r="B2749" i="11"/>
  <c r="A2749" i="11"/>
  <c r="H2748" i="11"/>
  <c r="G2748" i="11"/>
  <c r="F2748" i="11"/>
  <c r="E2748" i="11"/>
  <c r="D2748" i="11"/>
  <c r="C2748" i="11"/>
  <c r="B2748" i="11"/>
  <c r="A2748" i="11"/>
  <c r="H2747" i="11"/>
  <c r="G2747" i="11"/>
  <c r="F2747" i="11"/>
  <c r="E2747" i="11"/>
  <c r="D2747" i="11"/>
  <c r="C2747" i="11"/>
  <c r="B2747" i="11"/>
  <c r="A2747" i="11"/>
  <c r="H2746" i="11"/>
  <c r="G2746" i="11"/>
  <c r="F2746" i="11"/>
  <c r="E2746" i="11"/>
  <c r="D2746" i="11"/>
  <c r="C2746" i="11"/>
  <c r="B2746" i="11"/>
  <c r="A2746" i="11"/>
  <c r="H2745" i="11"/>
  <c r="G2745" i="11"/>
  <c r="F2745" i="11"/>
  <c r="E2745" i="11"/>
  <c r="D2745" i="11"/>
  <c r="C2745" i="11"/>
  <c r="B2745" i="11"/>
  <c r="A2745" i="11"/>
  <c r="H2744" i="11"/>
  <c r="G2744" i="11"/>
  <c r="F2744" i="11"/>
  <c r="E2744" i="11"/>
  <c r="D2744" i="11"/>
  <c r="C2744" i="11"/>
  <c r="B2744" i="11"/>
  <c r="A2744" i="11"/>
  <c r="H2743" i="11"/>
  <c r="G2743" i="11"/>
  <c r="F2743" i="11"/>
  <c r="E2743" i="11"/>
  <c r="D2743" i="11"/>
  <c r="C2743" i="11"/>
  <c r="B2743" i="11"/>
  <c r="A2743" i="11"/>
  <c r="H2742" i="11"/>
  <c r="G2742" i="11"/>
  <c r="F2742" i="11"/>
  <c r="E2742" i="11"/>
  <c r="D2742" i="11"/>
  <c r="C2742" i="11"/>
  <c r="B2742" i="11"/>
  <c r="A2742" i="11"/>
  <c r="H2741" i="11"/>
  <c r="G2741" i="11"/>
  <c r="F2741" i="11"/>
  <c r="E2741" i="11"/>
  <c r="D2741" i="11"/>
  <c r="C2741" i="11"/>
  <c r="B2741" i="11"/>
  <c r="A2741" i="11"/>
  <c r="H2740" i="11"/>
  <c r="G2740" i="11"/>
  <c r="F2740" i="11"/>
  <c r="E2740" i="11"/>
  <c r="D2740" i="11"/>
  <c r="C2740" i="11"/>
  <c r="B2740" i="11"/>
  <c r="A2740" i="11"/>
  <c r="H2739" i="11"/>
  <c r="G2739" i="11"/>
  <c r="F2739" i="11"/>
  <c r="E2739" i="11"/>
  <c r="D2739" i="11"/>
  <c r="C2739" i="11"/>
  <c r="B2739" i="11"/>
  <c r="A2739" i="11"/>
  <c r="H2738" i="11"/>
  <c r="G2738" i="11"/>
  <c r="F2738" i="11"/>
  <c r="E2738" i="11"/>
  <c r="D2738" i="11"/>
  <c r="C2738" i="11"/>
  <c r="B2738" i="11"/>
  <c r="A2738" i="11"/>
  <c r="H2737" i="11"/>
  <c r="G2737" i="11"/>
  <c r="F2737" i="11"/>
  <c r="E2737" i="11"/>
  <c r="D2737" i="11"/>
  <c r="C2737" i="11"/>
  <c r="B2737" i="11"/>
  <c r="A2737" i="11"/>
  <c r="H2736" i="11"/>
  <c r="G2736" i="11"/>
  <c r="F2736" i="11"/>
  <c r="E2736" i="11"/>
  <c r="D2736" i="11"/>
  <c r="C2736" i="11"/>
  <c r="B2736" i="11"/>
  <c r="A2736" i="11"/>
  <c r="H2735" i="11"/>
  <c r="G2735" i="11"/>
  <c r="F2735" i="11"/>
  <c r="E2735" i="11"/>
  <c r="D2735" i="11"/>
  <c r="C2735" i="11"/>
  <c r="B2735" i="11"/>
  <c r="A2735" i="11"/>
  <c r="H2734" i="11"/>
  <c r="G2734" i="11"/>
  <c r="F2734" i="11"/>
  <c r="E2734" i="11"/>
  <c r="D2734" i="11"/>
  <c r="C2734" i="11"/>
  <c r="B2734" i="11"/>
  <c r="A2734" i="11"/>
  <c r="H2733" i="11"/>
  <c r="G2733" i="11"/>
  <c r="F2733" i="11"/>
  <c r="E2733" i="11"/>
  <c r="D2733" i="11"/>
  <c r="C2733" i="11"/>
  <c r="B2733" i="11"/>
  <c r="A2733" i="11"/>
  <c r="H2732" i="11"/>
  <c r="G2732" i="11"/>
  <c r="F2732" i="11"/>
  <c r="E2732" i="11"/>
  <c r="D2732" i="11"/>
  <c r="C2732" i="11"/>
  <c r="B2732" i="11"/>
  <c r="A2732" i="11"/>
  <c r="H2731" i="11"/>
  <c r="G2731" i="11"/>
  <c r="F2731" i="11"/>
  <c r="E2731" i="11"/>
  <c r="D2731" i="11"/>
  <c r="C2731" i="11"/>
  <c r="B2731" i="11"/>
  <c r="A2731" i="11"/>
  <c r="H2730" i="11"/>
  <c r="G2730" i="11"/>
  <c r="F2730" i="11"/>
  <c r="E2730" i="11"/>
  <c r="D2730" i="11"/>
  <c r="C2730" i="11"/>
  <c r="B2730" i="11"/>
  <c r="A2730" i="11"/>
  <c r="H2729" i="11"/>
  <c r="G2729" i="11"/>
  <c r="F2729" i="11"/>
  <c r="E2729" i="11"/>
  <c r="D2729" i="11"/>
  <c r="C2729" i="11"/>
  <c r="B2729" i="11"/>
  <c r="A2729" i="11"/>
  <c r="H2728" i="11"/>
  <c r="G2728" i="11"/>
  <c r="F2728" i="11"/>
  <c r="E2728" i="11"/>
  <c r="D2728" i="11"/>
  <c r="C2728" i="11"/>
  <c r="B2728" i="11"/>
  <c r="A2728" i="11"/>
  <c r="H2727" i="11"/>
  <c r="G2727" i="11"/>
  <c r="F2727" i="11"/>
  <c r="E2727" i="11"/>
  <c r="D2727" i="11"/>
  <c r="C2727" i="11"/>
  <c r="B2727" i="11"/>
  <c r="A2727" i="11"/>
  <c r="H2726" i="11"/>
  <c r="G2726" i="11"/>
  <c r="F2726" i="11"/>
  <c r="E2726" i="11"/>
  <c r="D2726" i="11"/>
  <c r="C2726" i="11"/>
  <c r="B2726" i="11"/>
  <c r="A2726" i="11"/>
  <c r="H2725" i="11"/>
  <c r="G2725" i="11"/>
  <c r="F2725" i="11"/>
  <c r="E2725" i="11"/>
  <c r="D2725" i="11"/>
  <c r="C2725" i="11"/>
  <c r="B2725" i="11"/>
  <c r="A2725" i="11"/>
  <c r="H2724" i="11"/>
  <c r="G2724" i="11"/>
  <c r="F2724" i="11"/>
  <c r="E2724" i="11"/>
  <c r="D2724" i="11"/>
  <c r="C2724" i="11"/>
  <c r="B2724" i="11"/>
  <c r="A2724" i="11"/>
  <c r="H2723" i="11"/>
  <c r="G2723" i="11"/>
  <c r="F2723" i="11"/>
  <c r="E2723" i="11"/>
  <c r="D2723" i="11"/>
  <c r="C2723" i="11"/>
  <c r="B2723" i="11"/>
  <c r="A2723" i="11"/>
  <c r="H2722" i="11"/>
  <c r="G2722" i="11"/>
  <c r="F2722" i="11"/>
  <c r="E2722" i="11"/>
  <c r="D2722" i="11"/>
  <c r="C2722" i="11"/>
  <c r="B2722" i="11"/>
  <c r="A2722" i="11"/>
  <c r="H2721" i="11"/>
  <c r="G2721" i="11"/>
  <c r="F2721" i="11"/>
  <c r="E2721" i="11"/>
  <c r="D2721" i="11"/>
  <c r="C2721" i="11"/>
  <c r="B2721" i="11"/>
  <c r="A2721" i="11"/>
  <c r="H2720" i="11"/>
  <c r="G2720" i="11"/>
  <c r="F2720" i="11"/>
  <c r="E2720" i="11"/>
  <c r="D2720" i="11"/>
  <c r="C2720" i="11"/>
  <c r="B2720" i="11"/>
  <c r="A2720" i="11"/>
  <c r="H2719" i="11"/>
  <c r="G2719" i="11"/>
  <c r="F2719" i="11"/>
  <c r="E2719" i="11"/>
  <c r="D2719" i="11"/>
  <c r="C2719" i="11"/>
  <c r="B2719" i="11"/>
  <c r="A2719" i="11"/>
  <c r="H2718" i="11"/>
  <c r="G2718" i="11"/>
  <c r="F2718" i="11"/>
  <c r="E2718" i="11"/>
  <c r="D2718" i="11"/>
  <c r="C2718" i="11"/>
  <c r="B2718" i="11"/>
  <c r="A2718" i="11"/>
  <c r="H2717" i="11"/>
  <c r="G2717" i="11"/>
  <c r="F2717" i="11"/>
  <c r="E2717" i="11"/>
  <c r="D2717" i="11"/>
  <c r="C2717" i="11"/>
  <c r="B2717" i="11"/>
  <c r="A2717" i="11"/>
  <c r="H2716" i="11"/>
  <c r="G2716" i="11"/>
  <c r="F2716" i="11"/>
  <c r="E2716" i="11"/>
  <c r="D2716" i="11"/>
  <c r="C2716" i="11"/>
  <c r="B2716" i="11"/>
  <c r="A2716" i="11"/>
  <c r="H2715" i="11"/>
  <c r="G2715" i="11"/>
  <c r="F2715" i="11"/>
  <c r="E2715" i="11"/>
  <c r="D2715" i="11"/>
  <c r="C2715" i="11"/>
  <c r="B2715" i="11"/>
  <c r="A2715" i="11"/>
  <c r="H2714" i="11"/>
  <c r="G2714" i="11"/>
  <c r="F2714" i="11"/>
  <c r="E2714" i="11"/>
  <c r="D2714" i="11"/>
  <c r="C2714" i="11"/>
  <c r="B2714" i="11"/>
  <c r="A2714" i="11"/>
  <c r="H2713" i="11"/>
  <c r="G2713" i="11"/>
  <c r="F2713" i="11"/>
  <c r="E2713" i="11"/>
  <c r="D2713" i="11"/>
  <c r="C2713" i="11"/>
  <c r="B2713" i="11"/>
  <c r="A2713" i="11"/>
  <c r="H2712" i="11"/>
  <c r="G2712" i="11"/>
  <c r="F2712" i="11"/>
  <c r="E2712" i="11"/>
  <c r="D2712" i="11"/>
  <c r="C2712" i="11"/>
  <c r="B2712" i="11"/>
  <c r="A2712" i="11"/>
  <c r="H2711" i="11"/>
  <c r="G2711" i="11"/>
  <c r="F2711" i="11"/>
  <c r="E2711" i="11"/>
  <c r="D2711" i="11"/>
  <c r="C2711" i="11"/>
  <c r="B2711" i="11"/>
  <c r="A2711" i="11"/>
  <c r="H2710" i="11"/>
  <c r="G2710" i="11"/>
  <c r="F2710" i="11"/>
  <c r="E2710" i="11"/>
  <c r="D2710" i="11"/>
  <c r="C2710" i="11"/>
  <c r="B2710" i="11"/>
  <c r="A2710" i="11"/>
  <c r="H2709" i="11"/>
  <c r="G2709" i="11"/>
  <c r="F2709" i="11"/>
  <c r="E2709" i="11"/>
  <c r="D2709" i="11"/>
  <c r="C2709" i="11"/>
  <c r="B2709" i="11"/>
  <c r="A2709" i="11"/>
  <c r="H2708" i="11"/>
  <c r="G2708" i="11"/>
  <c r="F2708" i="11"/>
  <c r="E2708" i="11"/>
  <c r="D2708" i="11"/>
  <c r="C2708" i="11"/>
  <c r="B2708" i="11"/>
  <c r="A2708" i="11"/>
  <c r="H2707" i="11"/>
  <c r="G2707" i="11"/>
  <c r="F2707" i="11"/>
  <c r="E2707" i="11"/>
  <c r="D2707" i="11"/>
  <c r="C2707" i="11"/>
  <c r="B2707" i="11"/>
  <c r="A2707" i="11"/>
  <c r="H2706" i="11"/>
  <c r="G2706" i="11"/>
  <c r="F2706" i="11"/>
  <c r="E2706" i="11"/>
  <c r="D2706" i="11"/>
  <c r="C2706" i="11"/>
  <c r="B2706" i="11"/>
  <c r="A2706" i="11"/>
  <c r="H2705" i="11"/>
  <c r="G2705" i="11"/>
  <c r="F2705" i="11"/>
  <c r="E2705" i="11"/>
  <c r="D2705" i="11"/>
  <c r="C2705" i="11"/>
  <c r="B2705" i="11"/>
  <c r="A2705" i="11"/>
  <c r="H2704" i="11"/>
  <c r="G2704" i="11"/>
  <c r="F2704" i="11"/>
  <c r="E2704" i="11"/>
  <c r="D2704" i="11"/>
  <c r="C2704" i="11"/>
  <c r="B2704" i="11"/>
  <c r="A2704" i="11"/>
  <c r="H2703" i="11"/>
  <c r="G2703" i="11"/>
  <c r="F2703" i="11"/>
  <c r="E2703" i="11"/>
  <c r="D2703" i="11"/>
  <c r="C2703" i="11"/>
  <c r="B2703" i="11"/>
  <c r="A2703" i="11"/>
  <c r="H2702" i="11"/>
  <c r="G2702" i="11"/>
  <c r="F2702" i="11"/>
  <c r="E2702" i="11"/>
  <c r="D2702" i="11"/>
  <c r="C2702" i="11"/>
  <c r="B2702" i="11"/>
  <c r="A2702" i="11"/>
  <c r="H2701" i="11"/>
  <c r="G2701" i="11"/>
  <c r="F2701" i="11"/>
  <c r="E2701" i="11"/>
  <c r="D2701" i="11"/>
  <c r="C2701" i="11"/>
  <c r="B2701" i="11"/>
  <c r="A2701" i="11"/>
  <c r="H2700" i="11"/>
  <c r="G2700" i="11"/>
  <c r="F2700" i="11"/>
  <c r="E2700" i="11"/>
  <c r="D2700" i="11"/>
  <c r="C2700" i="11"/>
  <c r="B2700" i="11"/>
  <c r="A2700" i="11"/>
  <c r="H2699" i="11"/>
  <c r="G2699" i="11"/>
  <c r="F2699" i="11"/>
  <c r="E2699" i="11"/>
  <c r="D2699" i="11"/>
  <c r="C2699" i="11"/>
  <c r="B2699" i="11"/>
  <c r="A2699" i="11"/>
  <c r="H2698" i="11"/>
  <c r="G2698" i="11"/>
  <c r="F2698" i="11"/>
  <c r="E2698" i="11"/>
  <c r="D2698" i="11"/>
  <c r="C2698" i="11"/>
  <c r="B2698" i="11"/>
  <c r="A2698" i="11"/>
  <c r="H2697" i="11"/>
  <c r="G2697" i="11"/>
  <c r="F2697" i="11"/>
  <c r="E2697" i="11"/>
  <c r="D2697" i="11"/>
  <c r="C2697" i="11"/>
  <c r="B2697" i="11"/>
  <c r="A2697" i="11"/>
  <c r="H2696" i="11"/>
  <c r="G2696" i="11"/>
  <c r="F2696" i="11"/>
  <c r="E2696" i="11"/>
  <c r="D2696" i="11"/>
  <c r="C2696" i="11"/>
  <c r="B2696" i="11"/>
  <c r="A2696" i="11"/>
  <c r="H2695" i="11"/>
  <c r="G2695" i="11"/>
  <c r="F2695" i="11"/>
  <c r="E2695" i="11"/>
  <c r="D2695" i="11"/>
  <c r="C2695" i="11"/>
  <c r="B2695" i="11"/>
  <c r="A2695" i="11"/>
  <c r="H2694" i="11"/>
  <c r="G2694" i="11"/>
  <c r="F2694" i="11"/>
  <c r="E2694" i="11"/>
  <c r="D2694" i="11"/>
  <c r="C2694" i="11"/>
  <c r="B2694" i="11"/>
  <c r="A2694" i="11"/>
  <c r="H2693" i="11"/>
  <c r="G2693" i="11"/>
  <c r="F2693" i="11"/>
  <c r="E2693" i="11"/>
  <c r="D2693" i="11"/>
  <c r="C2693" i="11"/>
  <c r="B2693" i="11"/>
  <c r="A2693" i="11"/>
  <c r="H2692" i="11"/>
  <c r="G2692" i="11"/>
  <c r="F2692" i="11"/>
  <c r="E2692" i="11"/>
  <c r="D2692" i="11"/>
  <c r="C2692" i="11"/>
  <c r="B2692" i="11"/>
  <c r="A2692" i="11"/>
  <c r="H2691" i="11"/>
  <c r="G2691" i="11"/>
  <c r="F2691" i="11"/>
  <c r="E2691" i="11"/>
  <c r="D2691" i="11"/>
  <c r="C2691" i="11"/>
  <c r="B2691" i="11"/>
  <c r="A2691" i="11"/>
  <c r="H2690" i="11"/>
  <c r="G2690" i="11"/>
  <c r="F2690" i="11"/>
  <c r="E2690" i="11"/>
  <c r="D2690" i="11"/>
  <c r="C2690" i="11"/>
  <c r="B2690" i="11"/>
  <c r="A2690" i="11"/>
  <c r="H2689" i="11"/>
  <c r="G2689" i="11"/>
  <c r="F2689" i="11"/>
  <c r="E2689" i="11"/>
  <c r="D2689" i="11"/>
  <c r="C2689" i="11"/>
  <c r="B2689" i="11"/>
  <c r="A2689" i="11"/>
  <c r="H2688" i="11"/>
  <c r="G2688" i="11"/>
  <c r="F2688" i="11"/>
  <c r="E2688" i="11"/>
  <c r="D2688" i="11"/>
  <c r="C2688" i="11"/>
  <c r="B2688" i="11"/>
  <c r="A2688" i="11"/>
  <c r="H2687" i="11"/>
  <c r="G2687" i="11"/>
  <c r="F2687" i="11"/>
  <c r="E2687" i="11"/>
  <c r="D2687" i="11"/>
  <c r="C2687" i="11"/>
  <c r="B2687" i="11"/>
  <c r="A2687" i="11"/>
  <c r="H2686" i="11"/>
  <c r="G2686" i="11"/>
  <c r="F2686" i="11"/>
  <c r="E2686" i="11"/>
  <c r="D2686" i="11"/>
  <c r="C2686" i="11"/>
  <c r="B2686" i="11"/>
  <c r="A2686" i="11"/>
  <c r="H2685" i="11"/>
  <c r="G2685" i="11"/>
  <c r="F2685" i="11"/>
  <c r="E2685" i="11"/>
  <c r="D2685" i="11"/>
  <c r="C2685" i="11"/>
  <c r="B2685" i="11"/>
  <c r="A2685" i="11"/>
  <c r="H2684" i="11"/>
  <c r="G2684" i="11"/>
  <c r="F2684" i="11"/>
  <c r="E2684" i="11"/>
  <c r="D2684" i="11"/>
  <c r="C2684" i="11"/>
  <c r="B2684" i="11"/>
  <c r="A2684" i="11"/>
  <c r="H2683" i="11"/>
  <c r="G2683" i="11"/>
  <c r="F2683" i="11"/>
  <c r="E2683" i="11"/>
  <c r="D2683" i="11"/>
  <c r="C2683" i="11"/>
  <c r="B2683" i="11"/>
  <c r="A2683" i="11"/>
  <c r="H2682" i="11"/>
  <c r="G2682" i="11"/>
  <c r="F2682" i="11"/>
  <c r="E2682" i="11"/>
  <c r="D2682" i="11"/>
  <c r="C2682" i="11"/>
  <c r="B2682" i="11"/>
  <c r="A2682" i="11"/>
  <c r="H2681" i="11"/>
  <c r="G2681" i="11"/>
  <c r="F2681" i="11"/>
  <c r="E2681" i="11"/>
  <c r="D2681" i="11"/>
  <c r="C2681" i="11"/>
  <c r="B2681" i="11"/>
  <c r="A2681" i="11"/>
  <c r="H2680" i="11"/>
  <c r="G2680" i="11"/>
  <c r="F2680" i="11"/>
  <c r="E2680" i="11"/>
  <c r="D2680" i="11"/>
  <c r="C2680" i="11"/>
  <c r="B2680" i="11"/>
  <c r="A2680" i="11"/>
  <c r="H2679" i="11"/>
  <c r="G2679" i="11"/>
  <c r="F2679" i="11"/>
  <c r="E2679" i="11"/>
  <c r="D2679" i="11"/>
  <c r="C2679" i="11"/>
  <c r="B2679" i="11"/>
  <c r="A2679" i="11"/>
  <c r="H2678" i="11"/>
  <c r="G2678" i="11"/>
  <c r="F2678" i="11"/>
  <c r="E2678" i="11"/>
  <c r="D2678" i="11"/>
  <c r="C2678" i="11"/>
  <c r="B2678" i="11"/>
  <c r="A2678" i="11"/>
  <c r="H2677" i="11"/>
  <c r="G2677" i="11"/>
  <c r="F2677" i="11"/>
  <c r="E2677" i="11"/>
  <c r="D2677" i="11"/>
  <c r="C2677" i="11"/>
  <c r="B2677" i="11"/>
  <c r="A2677" i="11"/>
  <c r="H2676" i="11"/>
  <c r="G2676" i="11"/>
  <c r="F2676" i="11"/>
  <c r="E2676" i="11"/>
  <c r="D2676" i="11"/>
  <c r="C2676" i="11"/>
  <c r="B2676" i="11"/>
  <c r="A2676" i="11"/>
  <c r="H2675" i="11"/>
  <c r="G2675" i="11"/>
  <c r="F2675" i="11"/>
  <c r="E2675" i="11"/>
  <c r="D2675" i="11"/>
  <c r="C2675" i="11"/>
  <c r="B2675" i="11"/>
  <c r="A2675" i="11"/>
  <c r="H2674" i="11"/>
  <c r="G2674" i="11"/>
  <c r="F2674" i="11"/>
  <c r="E2674" i="11"/>
  <c r="D2674" i="11"/>
  <c r="C2674" i="11"/>
  <c r="B2674" i="11"/>
  <c r="A2674" i="11"/>
  <c r="H2673" i="11"/>
  <c r="G2673" i="11"/>
  <c r="F2673" i="11"/>
  <c r="E2673" i="11"/>
  <c r="D2673" i="11"/>
  <c r="C2673" i="11"/>
  <c r="B2673" i="11"/>
  <c r="A2673" i="11"/>
  <c r="H2672" i="11"/>
  <c r="G2672" i="11"/>
  <c r="F2672" i="11"/>
  <c r="E2672" i="11"/>
  <c r="D2672" i="11"/>
  <c r="C2672" i="11"/>
  <c r="B2672" i="11"/>
  <c r="A2672" i="11"/>
  <c r="H2671" i="11"/>
  <c r="G2671" i="11"/>
  <c r="F2671" i="11"/>
  <c r="E2671" i="11"/>
  <c r="D2671" i="11"/>
  <c r="C2671" i="11"/>
  <c r="B2671" i="11"/>
  <c r="A2671" i="11"/>
  <c r="H2670" i="11"/>
  <c r="G2670" i="11"/>
  <c r="F2670" i="11"/>
  <c r="E2670" i="11"/>
  <c r="D2670" i="11"/>
  <c r="C2670" i="11"/>
  <c r="B2670" i="11"/>
  <c r="A2670" i="11"/>
  <c r="H2669" i="11"/>
  <c r="G2669" i="11"/>
  <c r="F2669" i="11"/>
  <c r="E2669" i="11"/>
  <c r="D2669" i="11"/>
  <c r="C2669" i="11"/>
  <c r="B2669" i="11"/>
  <c r="A2669" i="11"/>
  <c r="H2668" i="11"/>
  <c r="G2668" i="11"/>
  <c r="F2668" i="11"/>
  <c r="E2668" i="11"/>
  <c r="D2668" i="11"/>
  <c r="C2668" i="11"/>
  <c r="B2668" i="11"/>
  <c r="A2668" i="11"/>
  <c r="H2667" i="11"/>
  <c r="G2667" i="11"/>
  <c r="F2667" i="11"/>
  <c r="E2667" i="11"/>
  <c r="D2667" i="11"/>
  <c r="C2667" i="11"/>
  <c r="B2667" i="11"/>
  <c r="A2667" i="11"/>
  <c r="H2666" i="11"/>
  <c r="G2666" i="11"/>
  <c r="F2666" i="11"/>
  <c r="E2666" i="11"/>
  <c r="D2666" i="11"/>
  <c r="C2666" i="11"/>
  <c r="B2666" i="11"/>
  <c r="A2666" i="11"/>
  <c r="H2665" i="11"/>
  <c r="G2665" i="11"/>
  <c r="F2665" i="11"/>
  <c r="E2665" i="11"/>
  <c r="D2665" i="11"/>
  <c r="C2665" i="11"/>
  <c r="B2665" i="11"/>
  <c r="A2665" i="11"/>
  <c r="H2664" i="11"/>
  <c r="G2664" i="11"/>
  <c r="F2664" i="11"/>
  <c r="E2664" i="11"/>
  <c r="D2664" i="11"/>
  <c r="C2664" i="11"/>
  <c r="B2664" i="11"/>
  <c r="A2664" i="11"/>
  <c r="H2663" i="11"/>
  <c r="G2663" i="11"/>
  <c r="F2663" i="11"/>
  <c r="E2663" i="11"/>
  <c r="D2663" i="11"/>
  <c r="C2663" i="11"/>
  <c r="B2663" i="11"/>
  <c r="A2663" i="11"/>
  <c r="H2662" i="11"/>
  <c r="G2662" i="11"/>
  <c r="F2662" i="11"/>
  <c r="E2662" i="11"/>
  <c r="D2662" i="11"/>
  <c r="C2662" i="11"/>
  <c r="B2662" i="11"/>
  <c r="A2662" i="11"/>
  <c r="H2661" i="11"/>
  <c r="G2661" i="11"/>
  <c r="F2661" i="11"/>
  <c r="E2661" i="11"/>
  <c r="D2661" i="11"/>
  <c r="C2661" i="11"/>
  <c r="B2661" i="11"/>
  <c r="A2661" i="11"/>
  <c r="H2660" i="11"/>
  <c r="G2660" i="11"/>
  <c r="F2660" i="11"/>
  <c r="E2660" i="11"/>
  <c r="D2660" i="11"/>
  <c r="C2660" i="11"/>
  <c r="B2660" i="11"/>
  <c r="A2660" i="11"/>
  <c r="H2659" i="11"/>
  <c r="G2659" i="11"/>
  <c r="F2659" i="11"/>
  <c r="E2659" i="11"/>
  <c r="D2659" i="11"/>
  <c r="C2659" i="11"/>
  <c r="B2659" i="11"/>
  <c r="A2659" i="11"/>
  <c r="H2658" i="11"/>
  <c r="G2658" i="11"/>
  <c r="F2658" i="11"/>
  <c r="E2658" i="11"/>
  <c r="D2658" i="11"/>
  <c r="C2658" i="11"/>
  <c r="B2658" i="11"/>
  <c r="A2658" i="11"/>
  <c r="H2657" i="11"/>
  <c r="G2657" i="11"/>
  <c r="F2657" i="11"/>
  <c r="E2657" i="11"/>
  <c r="D2657" i="11"/>
  <c r="C2657" i="11"/>
  <c r="B2657" i="11"/>
  <c r="A2657" i="11"/>
  <c r="H2656" i="11"/>
  <c r="G2656" i="11"/>
  <c r="F2656" i="11"/>
  <c r="E2656" i="11"/>
  <c r="D2656" i="11"/>
  <c r="C2656" i="11"/>
  <c r="B2656" i="11"/>
  <c r="A2656" i="11"/>
  <c r="H2655" i="11"/>
  <c r="G2655" i="11"/>
  <c r="F2655" i="11"/>
  <c r="E2655" i="11"/>
  <c r="D2655" i="11"/>
  <c r="C2655" i="11"/>
  <c r="B2655" i="11"/>
  <c r="A2655" i="11"/>
  <c r="H2654" i="11"/>
  <c r="G2654" i="11"/>
  <c r="F2654" i="11"/>
  <c r="E2654" i="11"/>
  <c r="D2654" i="11"/>
  <c r="C2654" i="11"/>
  <c r="B2654" i="11"/>
  <c r="A2654" i="11"/>
  <c r="H2653" i="11"/>
  <c r="G2653" i="11"/>
  <c r="F2653" i="11"/>
  <c r="E2653" i="11"/>
  <c r="D2653" i="11"/>
  <c r="C2653" i="11"/>
  <c r="B2653" i="11"/>
  <c r="A2653" i="11"/>
  <c r="H2652" i="11"/>
  <c r="G2652" i="11"/>
  <c r="F2652" i="11"/>
  <c r="E2652" i="11"/>
  <c r="D2652" i="11"/>
  <c r="C2652" i="11"/>
  <c r="B2652" i="11"/>
  <c r="A2652" i="11"/>
  <c r="H2651" i="11"/>
  <c r="G2651" i="11"/>
  <c r="F2651" i="11"/>
  <c r="E2651" i="11"/>
  <c r="D2651" i="11"/>
  <c r="C2651" i="11"/>
  <c r="B2651" i="11"/>
  <c r="A2651" i="11"/>
  <c r="H2650" i="11"/>
  <c r="G2650" i="11"/>
  <c r="F2650" i="11"/>
  <c r="E2650" i="11"/>
  <c r="D2650" i="11"/>
  <c r="C2650" i="11"/>
  <c r="B2650" i="11"/>
  <c r="A2650" i="11"/>
  <c r="H2649" i="11"/>
  <c r="G2649" i="11"/>
  <c r="F2649" i="11"/>
  <c r="E2649" i="11"/>
  <c r="D2649" i="11"/>
  <c r="C2649" i="11"/>
  <c r="B2649" i="11"/>
  <c r="A2649" i="11"/>
  <c r="H2648" i="11"/>
  <c r="G2648" i="11"/>
  <c r="F2648" i="11"/>
  <c r="E2648" i="11"/>
  <c r="D2648" i="11"/>
  <c r="C2648" i="11"/>
  <c r="B2648" i="11"/>
  <c r="A2648" i="11"/>
  <c r="H2647" i="11"/>
  <c r="G2647" i="11"/>
  <c r="F2647" i="11"/>
  <c r="E2647" i="11"/>
  <c r="D2647" i="11"/>
  <c r="C2647" i="11"/>
  <c r="B2647" i="11"/>
  <c r="A2647" i="11"/>
  <c r="H2646" i="11"/>
  <c r="G2646" i="11"/>
  <c r="F2646" i="11"/>
  <c r="E2646" i="11"/>
  <c r="D2646" i="11"/>
  <c r="C2646" i="11"/>
  <c r="B2646" i="11"/>
  <c r="A2646" i="11"/>
  <c r="H2645" i="11"/>
  <c r="G2645" i="11"/>
  <c r="F2645" i="11"/>
  <c r="E2645" i="11"/>
  <c r="D2645" i="11"/>
  <c r="C2645" i="11"/>
  <c r="B2645" i="11"/>
  <c r="A2645" i="11"/>
  <c r="H2644" i="11"/>
  <c r="G2644" i="11"/>
  <c r="F2644" i="11"/>
  <c r="E2644" i="11"/>
  <c r="D2644" i="11"/>
  <c r="C2644" i="11"/>
  <c r="B2644" i="11"/>
  <c r="A2644" i="11"/>
  <c r="H2643" i="11"/>
  <c r="G2643" i="11"/>
  <c r="F2643" i="11"/>
  <c r="E2643" i="11"/>
  <c r="D2643" i="11"/>
  <c r="C2643" i="11"/>
  <c r="B2643" i="11"/>
  <c r="A2643" i="11"/>
  <c r="H2642" i="11"/>
  <c r="G2642" i="11"/>
  <c r="F2642" i="11"/>
  <c r="E2642" i="11"/>
  <c r="D2642" i="11"/>
  <c r="C2642" i="11"/>
  <c r="B2642" i="11"/>
  <c r="A2642" i="11"/>
  <c r="H2641" i="11"/>
  <c r="G2641" i="11"/>
  <c r="F2641" i="11"/>
  <c r="E2641" i="11"/>
  <c r="D2641" i="11"/>
  <c r="C2641" i="11"/>
  <c r="B2641" i="11"/>
  <c r="A2641" i="11"/>
  <c r="H2640" i="11"/>
  <c r="G2640" i="11"/>
  <c r="F2640" i="11"/>
  <c r="E2640" i="11"/>
  <c r="D2640" i="11"/>
  <c r="C2640" i="11"/>
  <c r="B2640" i="11"/>
  <c r="A2640" i="11"/>
  <c r="H2639" i="11"/>
  <c r="G2639" i="11"/>
  <c r="F2639" i="11"/>
  <c r="E2639" i="11"/>
  <c r="D2639" i="11"/>
  <c r="C2639" i="11"/>
  <c r="B2639" i="11"/>
  <c r="A2639" i="11"/>
  <c r="H2638" i="11"/>
  <c r="G2638" i="11"/>
  <c r="F2638" i="11"/>
  <c r="E2638" i="11"/>
  <c r="D2638" i="11"/>
  <c r="C2638" i="11"/>
  <c r="B2638" i="11"/>
  <c r="A2638" i="11"/>
  <c r="H2637" i="11"/>
  <c r="G2637" i="11"/>
  <c r="F2637" i="11"/>
  <c r="E2637" i="11"/>
  <c r="D2637" i="11"/>
  <c r="C2637" i="11"/>
  <c r="B2637" i="11"/>
  <c r="A2637" i="11"/>
  <c r="H2636" i="11"/>
  <c r="G2636" i="11"/>
  <c r="F2636" i="11"/>
  <c r="E2636" i="11"/>
  <c r="D2636" i="11"/>
  <c r="C2636" i="11"/>
  <c r="B2636" i="11"/>
  <c r="A2636" i="11"/>
  <c r="H2635" i="11"/>
  <c r="G2635" i="11"/>
  <c r="F2635" i="11"/>
  <c r="E2635" i="11"/>
  <c r="D2635" i="11"/>
  <c r="C2635" i="11"/>
  <c r="B2635" i="11"/>
  <c r="A2635" i="11"/>
  <c r="H2634" i="11"/>
  <c r="G2634" i="11"/>
  <c r="F2634" i="11"/>
  <c r="E2634" i="11"/>
  <c r="D2634" i="11"/>
  <c r="C2634" i="11"/>
  <c r="B2634" i="11"/>
  <c r="A2634" i="11"/>
  <c r="H2633" i="11"/>
  <c r="G2633" i="11"/>
  <c r="F2633" i="11"/>
  <c r="E2633" i="11"/>
  <c r="D2633" i="11"/>
  <c r="C2633" i="11"/>
  <c r="B2633" i="11"/>
  <c r="A2633" i="11"/>
  <c r="H2632" i="11"/>
  <c r="G2632" i="11"/>
  <c r="F2632" i="11"/>
  <c r="E2632" i="11"/>
  <c r="D2632" i="11"/>
  <c r="C2632" i="11"/>
  <c r="B2632" i="11"/>
  <c r="A2632" i="11"/>
  <c r="H2631" i="11"/>
  <c r="G2631" i="11"/>
  <c r="F2631" i="11"/>
  <c r="E2631" i="11"/>
  <c r="D2631" i="11"/>
  <c r="C2631" i="11"/>
  <c r="B2631" i="11"/>
  <c r="A2631" i="11"/>
  <c r="H2630" i="11"/>
  <c r="G2630" i="11"/>
  <c r="F2630" i="11"/>
  <c r="E2630" i="11"/>
  <c r="D2630" i="11"/>
  <c r="C2630" i="11"/>
  <c r="B2630" i="11"/>
  <c r="A2630" i="11"/>
  <c r="H2629" i="11"/>
  <c r="G2629" i="11"/>
  <c r="F2629" i="11"/>
  <c r="E2629" i="11"/>
  <c r="D2629" i="11"/>
  <c r="C2629" i="11"/>
  <c r="B2629" i="11"/>
  <c r="A2629" i="11"/>
  <c r="H2628" i="11"/>
  <c r="G2628" i="11"/>
  <c r="F2628" i="11"/>
  <c r="E2628" i="11"/>
  <c r="D2628" i="11"/>
  <c r="C2628" i="11"/>
  <c r="B2628" i="11"/>
  <c r="A2628" i="11"/>
  <c r="H2627" i="11"/>
  <c r="G2627" i="11"/>
  <c r="F2627" i="11"/>
  <c r="E2627" i="11"/>
  <c r="D2627" i="11"/>
  <c r="C2627" i="11"/>
  <c r="B2627" i="11"/>
  <c r="A2627" i="11"/>
  <c r="H2626" i="11"/>
  <c r="G2626" i="11"/>
  <c r="F2626" i="11"/>
  <c r="E2626" i="11"/>
  <c r="D2626" i="11"/>
  <c r="C2626" i="11"/>
  <c r="B2626" i="11"/>
  <c r="A2626" i="11"/>
  <c r="H2625" i="11"/>
  <c r="G2625" i="11"/>
  <c r="F2625" i="11"/>
  <c r="E2625" i="11"/>
  <c r="D2625" i="11"/>
  <c r="C2625" i="11"/>
  <c r="B2625" i="11"/>
  <c r="A2625" i="11"/>
  <c r="H2624" i="11"/>
  <c r="G2624" i="11"/>
  <c r="F2624" i="11"/>
  <c r="E2624" i="11"/>
  <c r="D2624" i="11"/>
  <c r="C2624" i="11"/>
  <c r="B2624" i="11"/>
  <c r="A2624" i="11"/>
  <c r="H2623" i="11"/>
  <c r="G2623" i="11"/>
  <c r="F2623" i="11"/>
  <c r="E2623" i="11"/>
  <c r="D2623" i="11"/>
  <c r="C2623" i="11"/>
  <c r="B2623" i="11"/>
  <c r="A2623" i="11"/>
  <c r="H2622" i="11"/>
  <c r="G2622" i="11"/>
  <c r="F2622" i="11"/>
  <c r="E2622" i="11"/>
  <c r="D2622" i="11"/>
  <c r="C2622" i="11"/>
  <c r="B2622" i="11"/>
  <c r="A2622" i="11"/>
  <c r="H2621" i="11"/>
  <c r="G2621" i="11"/>
  <c r="F2621" i="11"/>
  <c r="E2621" i="11"/>
  <c r="D2621" i="11"/>
  <c r="C2621" i="11"/>
  <c r="B2621" i="11"/>
  <c r="A2621" i="11"/>
  <c r="H2620" i="11"/>
  <c r="G2620" i="11"/>
  <c r="F2620" i="11"/>
  <c r="E2620" i="11"/>
  <c r="D2620" i="11"/>
  <c r="C2620" i="11"/>
  <c r="B2620" i="11"/>
  <c r="A2620" i="11"/>
  <c r="H2619" i="11"/>
  <c r="G2619" i="11"/>
  <c r="F2619" i="11"/>
  <c r="E2619" i="11"/>
  <c r="D2619" i="11"/>
  <c r="C2619" i="11"/>
  <c r="B2619" i="11"/>
  <c r="A2619" i="11"/>
  <c r="H2618" i="11"/>
  <c r="G2618" i="11"/>
  <c r="F2618" i="11"/>
  <c r="E2618" i="11"/>
  <c r="D2618" i="11"/>
  <c r="C2618" i="11"/>
  <c r="B2618" i="11"/>
  <c r="A2618" i="11"/>
  <c r="H2617" i="11"/>
  <c r="G2617" i="11"/>
  <c r="F2617" i="11"/>
  <c r="E2617" i="11"/>
  <c r="D2617" i="11"/>
  <c r="C2617" i="11"/>
  <c r="B2617" i="11"/>
  <c r="A2617" i="11"/>
  <c r="H2616" i="11"/>
  <c r="G2616" i="11"/>
  <c r="F2616" i="11"/>
  <c r="E2616" i="11"/>
  <c r="D2616" i="11"/>
  <c r="C2616" i="11"/>
  <c r="B2616" i="11"/>
  <c r="A2616" i="11"/>
  <c r="H2615" i="11"/>
  <c r="G2615" i="11"/>
  <c r="F2615" i="11"/>
  <c r="E2615" i="11"/>
  <c r="D2615" i="11"/>
  <c r="C2615" i="11"/>
  <c r="B2615" i="11"/>
  <c r="A2615" i="11"/>
  <c r="H2614" i="11"/>
  <c r="G2614" i="11"/>
  <c r="F2614" i="11"/>
  <c r="E2614" i="11"/>
  <c r="D2614" i="11"/>
  <c r="C2614" i="11"/>
  <c r="B2614" i="11"/>
  <c r="A2614" i="11"/>
  <c r="H2613" i="11"/>
  <c r="G2613" i="11"/>
  <c r="F2613" i="11"/>
  <c r="E2613" i="11"/>
  <c r="D2613" i="11"/>
  <c r="C2613" i="11"/>
  <c r="B2613" i="11"/>
  <c r="A2613" i="11"/>
  <c r="H2612" i="11"/>
  <c r="G2612" i="11"/>
  <c r="F2612" i="11"/>
  <c r="E2612" i="11"/>
  <c r="D2612" i="11"/>
  <c r="C2612" i="11"/>
  <c r="B2612" i="11"/>
  <c r="A2612" i="11"/>
  <c r="H2611" i="11"/>
  <c r="G2611" i="11"/>
  <c r="F2611" i="11"/>
  <c r="E2611" i="11"/>
  <c r="D2611" i="11"/>
  <c r="C2611" i="11"/>
  <c r="B2611" i="11"/>
  <c r="A2611" i="11"/>
  <c r="H2610" i="11"/>
  <c r="G2610" i="11"/>
  <c r="F2610" i="11"/>
  <c r="E2610" i="11"/>
  <c r="D2610" i="11"/>
  <c r="C2610" i="11"/>
  <c r="B2610" i="11"/>
  <c r="A2610" i="11"/>
  <c r="H2609" i="11"/>
  <c r="G2609" i="11"/>
  <c r="F2609" i="11"/>
  <c r="E2609" i="11"/>
  <c r="D2609" i="11"/>
  <c r="C2609" i="11"/>
  <c r="B2609" i="11"/>
  <c r="A2609" i="11"/>
  <c r="H2608" i="11"/>
  <c r="G2608" i="11"/>
  <c r="F2608" i="11"/>
  <c r="E2608" i="11"/>
  <c r="D2608" i="11"/>
  <c r="C2608" i="11"/>
  <c r="B2608" i="11"/>
  <c r="A2608" i="11"/>
  <c r="H2607" i="11"/>
  <c r="G2607" i="11"/>
  <c r="F2607" i="11"/>
  <c r="E2607" i="11"/>
  <c r="D2607" i="11"/>
  <c r="C2607" i="11"/>
  <c r="B2607" i="11"/>
  <c r="A2607" i="11"/>
  <c r="H2606" i="11"/>
  <c r="G2606" i="11"/>
  <c r="F2606" i="11"/>
  <c r="E2606" i="11"/>
  <c r="D2606" i="11"/>
  <c r="C2606" i="11"/>
  <c r="B2606" i="11"/>
  <c r="A2606" i="11"/>
  <c r="H2605" i="11"/>
  <c r="G2605" i="11"/>
  <c r="F2605" i="11"/>
  <c r="E2605" i="11"/>
  <c r="D2605" i="11"/>
  <c r="C2605" i="11"/>
  <c r="B2605" i="11"/>
  <c r="A2605" i="11"/>
  <c r="H2604" i="11"/>
  <c r="G2604" i="11"/>
  <c r="F2604" i="11"/>
  <c r="E2604" i="11"/>
  <c r="D2604" i="11"/>
  <c r="C2604" i="11"/>
  <c r="B2604" i="11"/>
  <c r="A2604" i="11"/>
  <c r="H2603" i="11"/>
  <c r="G2603" i="11"/>
  <c r="F2603" i="11"/>
  <c r="E2603" i="11"/>
  <c r="D2603" i="11"/>
  <c r="C2603" i="11"/>
  <c r="B2603" i="11"/>
  <c r="A2603" i="11"/>
  <c r="H2602" i="11"/>
  <c r="G2602" i="11"/>
  <c r="F2602" i="11"/>
  <c r="E2602" i="11"/>
  <c r="D2602" i="11"/>
  <c r="C2602" i="11"/>
  <c r="B2602" i="11"/>
  <c r="A2602" i="11"/>
  <c r="H2601" i="11"/>
  <c r="G2601" i="11"/>
  <c r="F2601" i="11"/>
  <c r="E2601" i="11"/>
  <c r="D2601" i="11"/>
  <c r="C2601" i="11"/>
  <c r="B2601" i="11"/>
  <c r="A2601" i="11"/>
  <c r="H2600" i="11"/>
  <c r="G2600" i="11"/>
  <c r="F2600" i="11"/>
  <c r="E2600" i="11"/>
  <c r="D2600" i="11"/>
  <c r="C2600" i="11"/>
  <c r="B2600" i="11"/>
  <c r="A2600" i="11"/>
  <c r="H2599" i="11"/>
  <c r="G2599" i="11"/>
  <c r="F2599" i="11"/>
  <c r="E2599" i="11"/>
  <c r="D2599" i="11"/>
  <c r="C2599" i="11"/>
  <c r="B2599" i="11"/>
  <c r="A2599" i="11"/>
  <c r="H2598" i="11"/>
  <c r="G2598" i="11"/>
  <c r="F2598" i="11"/>
  <c r="E2598" i="11"/>
  <c r="D2598" i="11"/>
  <c r="C2598" i="11"/>
  <c r="B2598" i="11"/>
  <c r="A2598" i="11"/>
  <c r="H2597" i="11"/>
  <c r="G2597" i="11"/>
  <c r="F2597" i="11"/>
  <c r="E2597" i="11"/>
  <c r="D2597" i="11"/>
  <c r="C2597" i="11"/>
  <c r="B2597" i="11"/>
  <c r="A2597" i="11"/>
  <c r="H2596" i="11"/>
  <c r="G2596" i="11"/>
  <c r="F2596" i="11"/>
  <c r="E2596" i="11"/>
  <c r="D2596" i="11"/>
  <c r="C2596" i="11"/>
  <c r="B2596" i="11"/>
  <c r="A2596" i="11"/>
  <c r="H2595" i="11"/>
  <c r="G2595" i="11"/>
  <c r="F2595" i="11"/>
  <c r="E2595" i="11"/>
  <c r="D2595" i="11"/>
  <c r="C2595" i="11"/>
  <c r="B2595" i="11"/>
  <c r="A2595" i="11"/>
  <c r="H2594" i="11"/>
  <c r="G2594" i="11"/>
  <c r="F2594" i="11"/>
  <c r="E2594" i="11"/>
  <c r="D2594" i="11"/>
  <c r="C2594" i="11"/>
  <c r="B2594" i="11"/>
  <c r="A2594" i="11"/>
  <c r="H2593" i="11"/>
  <c r="G2593" i="11"/>
  <c r="F2593" i="11"/>
  <c r="E2593" i="11"/>
  <c r="D2593" i="11"/>
  <c r="C2593" i="11"/>
  <c r="B2593" i="11"/>
  <c r="A2593" i="11"/>
  <c r="H2592" i="11"/>
  <c r="G2592" i="11"/>
  <c r="F2592" i="11"/>
  <c r="E2592" i="11"/>
  <c r="D2592" i="11"/>
  <c r="C2592" i="11"/>
  <c r="B2592" i="11"/>
  <c r="A2592" i="11"/>
  <c r="H2591" i="11"/>
  <c r="G2591" i="11"/>
  <c r="F2591" i="11"/>
  <c r="E2591" i="11"/>
  <c r="D2591" i="11"/>
  <c r="C2591" i="11"/>
  <c r="B2591" i="11"/>
  <c r="A2591" i="11"/>
  <c r="H2590" i="11"/>
  <c r="G2590" i="11"/>
  <c r="F2590" i="11"/>
  <c r="E2590" i="11"/>
  <c r="D2590" i="11"/>
  <c r="C2590" i="11"/>
  <c r="B2590" i="11"/>
  <c r="A2590" i="11"/>
  <c r="H2589" i="11"/>
  <c r="G2589" i="11"/>
  <c r="F2589" i="11"/>
  <c r="E2589" i="11"/>
  <c r="D2589" i="11"/>
  <c r="C2589" i="11"/>
  <c r="B2589" i="11"/>
  <c r="A2589" i="11"/>
  <c r="H2588" i="11"/>
  <c r="G2588" i="11"/>
  <c r="F2588" i="11"/>
  <c r="E2588" i="11"/>
  <c r="D2588" i="11"/>
  <c r="C2588" i="11"/>
  <c r="B2588" i="11"/>
  <c r="A2588" i="11"/>
  <c r="H2587" i="11"/>
  <c r="G2587" i="11"/>
  <c r="F2587" i="11"/>
  <c r="E2587" i="11"/>
  <c r="D2587" i="11"/>
  <c r="C2587" i="11"/>
  <c r="B2587" i="11"/>
  <c r="A2587" i="11"/>
  <c r="H2586" i="11"/>
  <c r="G2586" i="11"/>
  <c r="F2586" i="11"/>
  <c r="E2586" i="11"/>
  <c r="D2586" i="11"/>
  <c r="C2586" i="11"/>
  <c r="B2586" i="11"/>
  <c r="A2586" i="11"/>
  <c r="H2585" i="11"/>
  <c r="G2585" i="11"/>
  <c r="F2585" i="11"/>
  <c r="E2585" i="11"/>
  <c r="D2585" i="11"/>
  <c r="C2585" i="11"/>
  <c r="B2585" i="11"/>
  <c r="A2585" i="11"/>
  <c r="H2584" i="11"/>
  <c r="G2584" i="11"/>
  <c r="F2584" i="11"/>
  <c r="E2584" i="11"/>
  <c r="D2584" i="11"/>
  <c r="C2584" i="11"/>
  <c r="B2584" i="11"/>
  <c r="A2584" i="11"/>
  <c r="H2583" i="11"/>
  <c r="G2583" i="11"/>
  <c r="F2583" i="11"/>
  <c r="E2583" i="11"/>
  <c r="D2583" i="11"/>
  <c r="C2583" i="11"/>
  <c r="B2583" i="11"/>
  <c r="A2583" i="11"/>
  <c r="H2582" i="11"/>
  <c r="G2582" i="11"/>
  <c r="F2582" i="11"/>
  <c r="E2582" i="11"/>
  <c r="D2582" i="11"/>
  <c r="C2582" i="11"/>
  <c r="B2582" i="11"/>
  <c r="A2582" i="11"/>
  <c r="H2581" i="11"/>
  <c r="G2581" i="11"/>
  <c r="F2581" i="11"/>
  <c r="E2581" i="11"/>
  <c r="D2581" i="11"/>
  <c r="C2581" i="11"/>
  <c r="B2581" i="11"/>
  <c r="A2581" i="11"/>
  <c r="H2580" i="11"/>
  <c r="G2580" i="11"/>
  <c r="F2580" i="11"/>
  <c r="E2580" i="11"/>
  <c r="D2580" i="11"/>
  <c r="C2580" i="11"/>
  <c r="B2580" i="11"/>
  <c r="A2580" i="11"/>
  <c r="H2579" i="11"/>
  <c r="G2579" i="11"/>
  <c r="F2579" i="11"/>
  <c r="E2579" i="11"/>
  <c r="D2579" i="11"/>
  <c r="C2579" i="11"/>
  <c r="B2579" i="11"/>
  <c r="A2579" i="11"/>
  <c r="H2578" i="11"/>
  <c r="G2578" i="11"/>
  <c r="F2578" i="11"/>
  <c r="E2578" i="11"/>
  <c r="D2578" i="11"/>
  <c r="C2578" i="11"/>
  <c r="B2578" i="11"/>
  <c r="A2578" i="11"/>
  <c r="H2577" i="11"/>
  <c r="G2577" i="11"/>
  <c r="F2577" i="11"/>
  <c r="E2577" i="11"/>
  <c r="D2577" i="11"/>
  <c r="C2577" i="11"/>
  <c r="B2577" i="11"/>
  <c r="A2577" i="11"/>
  <c r="H2576" i="11"/>
  <c r="G2576" i="11"/>
  <c r="F2576" i="11"/>
  <c r="E2576" i="11"/>
  <c r="D2576" i="11"/>
  <c r="C2576" i="11"/>
  <c r="B2576" i="11"/>
  <c r="A2576" i="11"/>
  <c r="H2575" i="11"/>
  <c r="G2575" i="11"/>
  <c r="F2575" i="11"/>
  <c r="E2575" i="11"/>
  <c r="D2575" i="11"/>
  <c r="C2575" i="11"/>
  <c r="B2575" i="11"/>
  <c r="A2575" i="11"/>
  <c r="H2574" i="11"/>
  <c r="G2574" i="11"/>
  <c r="F2574" i="11"/>
  <c r="E2574" i="11"/>
  <c r="D2574" i="11"/>
  <c r="C2574" i="11"/>
  <c r="B2574" i="11"/>
  <c r="A2574" i="11"/>
  <c r="AE2573" i="11"/>
  <c r="AC2573" i="11"/>
  <c r="Z2573" i="11"/>
  <c r="Y2573" i="11"/>
  <c r="X2573" i="11"/>
  <c r="W2573" i="11"/>
  <c r="V2573" i="11"/>
  <c r="U2573" i="11"/>
  <c r="T2573" i="11"/>
  <c r="S2573" i="11"/>
  <c r="R2573" i="11"/>
  <c r="P2573" i="11"/>
  <c r="O2573" i="11"/>
  <c r="N2573" i="11"/>
  <c r="M2573" i="11"/>
  <c r="L2573" i="11"/>
  <c r="K2573" i="11"/>
  <c r="J2573" i="11"/>
  <c r="I2573" i="11"/>
  <c r="H2573" i="11"/>
  <c r="G2573" i="11"/>
  <c r="F2573" i="11"/>
  <c r="E2573" i="11"/>
  <c r="D2573" i="11"/>
  <c r="C2573" i="11"/>
  <c r="B2573" i="11"/>
  <c r="A2573" i="11"/>
  <c r="H2572" i="11"/>
  <c r="G2572" i="11"/>
  <c r="F2572" i="11"/>
  <c r="E2572" i="11"/>
  <c r="D2572" i="11"/>
  <c r="C2572" i="11"/>
  <c r="B2572" i="11"/>
  <c r="A2572" i="11"/>
  <c r="H2571" i="11"/>
  <c r="G2571" i="11"/>
  <c r="F2571" i="11"/>
  <c r="E2571" i="11"/>
  <c r="D2571" i="11"/>
  <c r="C2571" i="11"/>
  <c r="B2571" i="11"/>
  <c r="A2571" i="11"/>
  <c r="H2570" i="11"/>
  <c r="G2570" i="11"/>
  <c r="F2570" i="11"/>
  <c r="E2570" i="11"/>
  <c r="D2570" i="11"/>
  <c r="C2570" i="11"/>
  <c r="B2570" i="11"/>
  <c r="A2570" i="11"/>
  <c r="H2569" i="11"/>
  <c r="G2569" i="11"/>
  <c r="F2569" i="11"/>
  <c r="E2569" i="11"/>
  <c r="D2569" i="11"/>
  <c r="C2569" i="11"/>
  <c r="B2569" i="11"/>
  <c r="A2569" i="11"/>
  <c r="H2568" i="11"/>
  <c r="G2568" i="11"/>
  <c r="F2568" i="11"/>
  <c r="E2568" i="11"/>
  <c r="D2568" i="11"/>
  <c r="C2568" i="11"/>
  <c r="B2568" i="11"/>
  <c r="A2568" i="11"/>
  <c r="H2567" i="11"/>
  <c r="G2567" i="11"/>
  <c r="F2567" i="11"/>
  <c r="E2567" i="11"/>
  <c r="D2567" i="11"/>
  <c r="C2567" i="11"/>
  <c r="B2567" i="11"/>
  <c r="A2567" i="11"/>
  <c r="H2566" i="11"/>
  <c r="G2566" i="11"/>
  <c r="F2566" i="11"/>
  <c r="E2566" i="11"/>
  <c r="D2566" i="11"/>
  <c r="C2566" i="11"/>
  <c r="B2566" i="11"/>
  <c r="A2566" i="11"/>
  <c r="H2565" i="11"/>
  <c r="G2565" i="11"/>
  <c r="F2565" i="11"/>
  <c r="E2565" i="11"/>
  <c r="D2565" i="11"/>
  <c r="C2565" i="11"/>
  <c r="B2565" i="11"/>
  <c r="A2565" i="11"/>
  <c r="H2564" i="11"/>
  <c r="G2564" i="11"/>
  <c r="F2564" i="11"/>
  <c r="E2564" i="11"/>
  <c r="D2564" i="11"/>
  <c r="C2564" i="11"/>
  <c r="B2564" i="11"/>
  <c r="A2564" i="11"/>
  <c r="H2563" i="11"/>
  <c r="G2563" i="11"/>
  <c r="F2563" i="11"/>
  <c r="E2563" i="11"/>
  <c r="D2563" i="11"/>
  <c r="C2563" i="11"/>
  <c r="B2563" i="11"/>
  <c r="A2563" i="11"/>
  <c r="H2562" i="11"/>
  <c r="G2562" i="11"/>
  <c r="F2562" i="11"/>
  <c r="E2562" i="11"/>
  <c r="D2562" i="11"/>
  <c r="C2562" i="11"/>
  <c r="B2562" i="11"/>
  <c r="A2562" i="11"/>
  <c r="H2561" i="11"/>
  <c r="G2561" i="11"/>
  <c r="F2561" i="11"/>
  <c r="E2561" i="11"/>
  <c r="D2561" i="11"/>
  <c r="C2561" i="11"/>
  <c r="B2561" i="11"/>
  <c r="A2561" i="11"/>
  <c r="H2560" i="11"/>
  <c r="G2560" i="11"/>
  <c r="F2560" i="11"/>
  <c r="E2560" i="11"/>
  <c r="D2560" i="11"/>
  <c r="C2560" i="11"/>
  <c r="B2560" i="11"/>
  <c r="A2560" i="11"/>
  <c r="H2559" i="11"/>
  <c r="G2559" i="11"/>
  <c r="F2559" i="11"/>
  <c r="E2559" i="11"/>
  <c r="D2559" i="11"/>
  <c r="C2559" i="11"/>
  <c r="B2559" i="11"/>
  <c r="A2559" i="11"/>
  <c r="H2558" i="11"/>
  <c r="G2558" i="11"/>
  <c r="F2558" i="11"/>
  <c r="E2558" i="11"/>
  <c r="D2558" i="11"/>
  <c r="C2558" i="11"/>
  <c r="B2558" i="11"/>
  <c r="A2558" i="11"/>
  <c r="H2557" i="11"/>
  <c r="G2557" i="11"/>
  <c r="F2557" i="11"/>
  <c r="E2557" i="11"/>
  <c r="D2557" i="11"/>
  <c r="C2557" i="11"/>
  <c r="B2557" i="11"/>
  <c r="A2557" i="11"/>
  <c r="H2556" i="11"/>
  <c r="G2556" i="11"/>
  <c r="F2556" i="11"/>
  <c r="E2556" i="11"/>
  <c r="D2556" i="11"/>
  <c r="C2556" i="11"/>
  <c r="B2556" i="11"/>
  <c r="A2556" i="11"/>
  <c r="H2555" i="11"/>
  <c r="G2555" i="11"/>
  <c r="F2555" i="11"/>
  <c r="E2555" i="11"/>
  <c r="D2555" i="11"/>
  <c r="C2555" i="11"/>
  <c r="B2555" i="11"/>
  <c r="A2555" i="11"/>
  <c r="H2554" i="11"/>
  <c r="G2554" i="11"/>
  <c r="F2554" i="11"/>
  <c r="E2554" i="11"/>
  <c r="D2554" i="11"/>
  <c r="C2554" i="11"/>
  <c r="B2554" i="11"/>
  <c r="A2554" i="11"/>
  <c r="H2553" i="11"/>
  <c r="G2553" i="11"/>
  <c r="F2553" i="11"/>
  <c r="E2553" i="11"/>
  <c r="D2553" i="11"/>
  <c r="C2553" i="11"/>
  <c r="B2553" i="11"/>
  <c r="A2553" i="11"/>
  <c r="H2552" i="11"/>
  <c r="G2552" i="11"/>
  <c r="F2552" i="11"/>
  <c r="E2552" i="11"/>
  <c r="D2552" i="11"/>
  <c r="C2552" i="11"/>
  <c r="B2552" i="11"/>
  <c r="A2552" i="11"/>
  <c r="H2551" i="11"/>
  <c r="G2551" i="11"/>
  <c r="F2551" i="11"/>
  <c r="E2551" i="11"/>
  <c r="D2551" i="11"/>
  <c r="C2551" i="11"/>
  <c r="B2551" i="11"/>
  <c r="A2551" i="11"/>
  <c r="H2550" i="11"/>
  <c r="G2550" i="11"/>
  <c r="F2550" i="11"/>
  <c r="E2550" i="11"/>
  <c r="D2550" i="11"/>
  <c r="C2550" i="11"/>
  <c r="B2550" i="11"/>
  <c r="A2550" i="11"/>
  <c r="H2549" i="11"/>
  <c r="G2549" i="11"/>
  <c r="F2549" i="11"/>
  <c r="E2549" i="11"/>
  <c r="D2549" i="11"/>
  <c r="C2549" i="11"/>
  <c r="B2549" i="11"/>
  <c r="A2549" i="11"/>
  <c r="H2548" i="11"/>
  <c r="G2548" i="11"/>
  <c r="F2548" i="11"/>
  <c r="E2548" i="11"/>
  <c r="D2548" i="11"/>
  <c r="C2548" i="11"/>
  <c r="B2548" i="11"/>
  <c r="A2548" i="11"/>
  <c r="H2547" i="11"/>
  <c r="G2547" i="11"/>
  <c r="F2547" i="11"/>
  <c r="E2547" i="11"/>
  <c r="D2547" i="11"/>
  <c r="C2547" i="11"/>
  <c r="B2547" i="11"/>
  <c r="A2547" i="11"/>
  <c r="H2546" i="11"/>
  <c r="G2546" i="11"/>
  <c r="F2546" i="11"/>
  <c r="E2546" i="11"/>
  <c r="D2546" i="11"/>
  <c r="C2546" i="11"/>
  <c r="B2546" i="11"/>
  <c r="A2546" i="11"/>
  <c r="H2545" i="11"/>
  <c r="G2545" i="11"/>
  <c r="F2545" i="11"/>
  <c r="E2545" i="11"/>
  <c r="D2545" i="11"/>
  <c r="C2545" i="11"/>
  <c r="B2545" i="11"/>
  <c r="A2545" i="11"/>
  <c r="H2544" i="11"/>
  <c r="G2544" i="11"/>
  <c r="F2544" i="11"/>
  <c r="E2544" i="11"/>
  <c r="D2544" i="11"/>
  <c r="C2544" i="11"/>
  <c r="B2544" i="11"/>
  <c r="A2544" i="11"/>
  <c r="H2543" i="11"/>
  <c r="G2543" i="11"/>
  <c r="F2543" i="11"/>
  <c r="E2543" i="11"/>
  <c r="D2543" i="11"/>
  <c r="C2543" i="11"/>
  <c r="B2543" i="11"/>
  <c r="A2543" i="11"/>
  <c r="H2542" i="11"/>
  <c r="G2542" i="11"/>
  <c r="F2542" i="11"/>
  <c r="E2542" i="11"/>
  <c r="D2542" i="11"/>
  <c r="C2542" i="11"/>
  <c r="B2542" i="11"/>
  <c r="A2542" i="11"/>
  <c r="H2541" i="11"/>
  <c r="G2541" i="11"/>
  <c r="F2541" i="11"/>
  <c r="E2541" i="11"/>
  <c r="D2541" i="11"/>
  <c r="C2541" i="11"/>
  <c r="B2541" i="11"/>
  <c r="A2541" i="11"/>
  <c r="H2540" i="11"/>
  <c r="G2540" i="11"/>
  <c r="F2540" i="11"/>
  <c r="E2540" i="11"/>
  <c r="D2540" i="11"/>
  <c r="C2540" i="11"/>
  <c r="B2540" i="11"/>
  <c r="A2540" i="11"/>
  <c r="H2539" i="11"/>
  <c r="G2539" i="11"/>
  <c r="F2539" i="11"/>
  <c r="E2539" i="11"/>
  <c r="D2539" i="11"/>
  <c r="C2539" i="11"/>
  <c r="B2539" i="11"/>
  <c r="A2539" i="11"/>
  <c r="H2538" i="11"/>
  <c r="G2538" i="11"/>
  <c r="F2538" i="11"/>
  <c r="E2538" i="11"/>
  <c r="D2538" i="11"/>
  <c r="C2538" i="11"/>
  <c r="B2538" i="11"/>
  <c r="A2538" i="11"/>
  <c r="H2537" i="11"/>
  <c r="G2537" i="11"/>
  <c r="F2537" i="11"/>
  <c r="E2537" i="11"/>
  <c r="D2537" i="11"/>
  <c r="C2537" i="11"/>
  <c r="B2537" i="11"/>
  <c r="A2537" i="11"/>
  <c r="H2536" i="11"/>
  <c r="G2536" i="11"/>
  <c r="F2536" i="11"/>
  <c r="E2536" i="11"/>
  <c r="D2536" i="11"/>
  <c r="C2536" i="11"/>
  <c r="B2536" i="11"/>
  <c r="A2536" i="11"/>
  <c r="H2535" i="11"/>
  <c r="G2535" i="11"/>
  <c r="F2535" i="11"/>
  <c r="E2535" i="11"/>
  <c r="D2535" i="11"/>
  <c r="C2535" i="11"/>
  <c r="B2535" i="11"/>
  <c r="A2535" i="11"/>
  <c r="H2534" i="11"/>
  <c r="G2534" i="11"/>
  <c r="F2534" i="11"/>
  <c r="E2534" i="11"/>
  <c r="D2534" i="11"/>
  <c r="C2534" i="11"/>
  <c r="B2534" i="11"/>
  <c r="A2534" i="11"/>
  <c r="H2533" i="11"/>
  <c r="G2533" i="11"/>
  <c r="F2533" i="11"/>
  <c r="E2533" i="11"/>
  <c r="D2533" i="11"/>
  <c r="C2533" i="11"/>
  <c r="B2533" i="11"/>
  <c r="A2533" i="11"/>
  <c r="H2532" i="11"/>
  <c r="G2532" i="11"/>
  <c r="F2532" i="11"/>
  <c r="E2532" i="11"/>
  <c r="D2532" i="11"/>
  <c r="C2532" i="11"/>
  <c r="B2532" i="11"/>
  <c r="A2532" i="11"/>
  <c r="H2531" i="11"/>
  <c r="G2531" i="11"/>
  <c r="F2531" i="11"/>
  <c r="E2531" i="11"/>
  <c r="D2531" i="11"/>
  <c r="C2531" i="11"/>
  <c r="B2531" i="11"/>
  <c r="A2531" i="11"/>
  <c r="H2530" i="11"/>
  <c r="G2530" i="11"/>
  <c r="F2530" i="11"/>
  <c r="E2530" i="11"/>
  <c r="D2530" i="11"/>
  <c r="C2530" i="11"/>
  <c r="B2530" i="11"/>
  <c r="A2530" i="11"/>
  <c r="H2529" i="11"/>
  <c r="G2529" i="11"/>
  <c r="F2529" i="11"/>
  <c r="E2529" i="11"/>
  <c r="D2529" i="11"/>
  <c r="C2529" i="11"/>
  <c r="B2529" i="11"/>
  <c r="A2529" i="11"/>
  <c r="H2528" i="11"/>
  <c r="G2528" i="11"/>
  <c r="F2528" i="11"/>
  <c r="E2528" i="11"/>
  <c r="D2528" i="11"/>
  <c r="C2528" i="11"/>
  <c r="B2528" i="11"/>
  <c r="A2528" i="11"/>
  <c r="H2527" i="11"/>
  <c r="G2527" i="11"/>
  <c r="F2527" i="11"/>
  <c r="E2527" i="11"/>
  <c r="D2527" i="11"/>
  <c r="C2527" i="11"/>
  <c r="B2527" i="11"/>
  <c r="A2527" i="11"/>
  <c r="H2526" i="11"/>
  <c r="G2526" i="11"/>
  <c r="F2526" i="11"/>
  <c r="E2526" i="11"/>
  <c r="D2526" i="11"/>
  <c r="C2526" i="11"/>
  <c r="B2526" i="11"/>
  <c r="A2526" i="11"/>
  <c r="H2525" i="11"/>
  <c r="G2525" i="11"/>
  <c r="F2525" i="11"/>
  <c r="E2525" i="11"/>
  <c r="D2525" i="11"/>
  <c r="C2525" i="11"/>
  <c r="B2525" i="11"/>
  <c r="A2525" i="11"/>
  <c r="H2524" i="11"/>
  <c r="G2524" i="11"/>
  <c r="F2524" i="11"/>
  <c r="E2524" i="11"/>
  <c r="D2524" i="11"/>
  <c r="C2524" i="11"/>
  <c r="B2524" i="11"/>
  <c r="A2524" i="11"/>
  <c r="H2523" i="11"/>
  <c r="G2523" i="11"/>
  <c r="F2523" i="11"/>
  <c r="E2523" i="11"/>
  <c r="D2523" i="11"/>
  <c r="C2523" i="11"/>
  <c r="B2523" i="11"/>
  <c r="A2523" i="11"/>
  <c r="H2522" i="11"/>
  <c r="G2522" i="11"/>
  <c r="F2522" i="11"/>
  <c r="E2522" i="11"/>
  <c r="D2522" i="11"/>
  <c r="C2522" i="11"/>
  <c r="B2522" i="11"/>
  <c r="A2522" i="11"/>
  <c r="H2521" i="11"/>
  <c r="G2521" i="11"/>
  <c r="F2521" i="11"/>
  <c r="E2521" i="11"/>
  <c r="D2521" i="11"/>
  <c r="C2521" i="11"/>
  <c r="B2521" i="11"/>
  <c r="A2521" i="11"/>
  <c r="H2520" i="11"/>
  <c r="G2520" i="11"/>
  <c r="F2520" i="11"/>
  <c r="E2520" i="11"/>
  <c r="D2520" i="11"/>
  <c r="C2520" i="11"/>
  <c r="B2520" i="11"/>
  <c r="A2520" i="11"/>
  <c r="H2519" i="11"/>
  <c r="G2519" i="11"/>
  <c r="F2519" i="11"/>
  <c r="E2519" i="11"/>
  <c r="D2519" i="11"/>
  <c r="C2519" i="11"/>
  <c r="B2519" i="11"/>
  <c r="A2519" i="11"/>
  <c r="H2518" i="11"/>
  <c r="G2518" i="11"/>
  <c r="F2518" i="11"/>
  <c r="E2518" i="11"/>
  <c r="D2518" i="11"/>
  <c r="C2518" i="11"/>
  <c r="B2518" i="11"/>
  <c r="A2518" i="11"/>
  <c r="H2517" i="11"/>
  <c r="G2517" i="11"/>
  <c r="F2517" i="11"/>
  <c r="E2517" i="11"/>
  <c r="D2517" i="11"/>
  <c r="C2517" i="11"/>
  <c r="B2517" i="11"/>
  <c r="A2517" i="11"/>
  <c r="H2516" i="11"/>
  <c r="G2516" i="11"/>
  <c r="F2516" i="11"/>
  <c r="E2516" i="11"/>
  <c r="D2516" i="11"/>
  <c r="C2516" i="11"/>
  <c r="B2516" i="11"/>
  <c r="A2516" i="11"/>
  <c r="H2515" i="11"/>
  <c r="G2515" i="11"/>
  <c r="F2515" i="11"/>
  <c r="E2515" i="11"/>
  <c r="D2515" i="11"/>
  <c r="C2515" i="11"/>
  <c r="B2515" i="11"/>
  <c r="A2515" i="11"/>
  <c r="H2514" i="11"/>
  <c r="G2514" i="11"/>
  <c r="F2514" i="11"/>
  <c r="E2514" i="11"/>
  <c r="D2514" i="11"/>
  <c r="C2514" i="11"/>
  <c r="B2514" i="11"/>
  <c r="A2514" i="11"/>
  <c r="H2513" i="11"/>
  <c r="G2513" i="11"/>
  <c r="F2513" i="11"/>
  <c r="E2513" i="11"/>
  <c r="D2513" i="11"/>
  <c r="C2513" i="11"/>
  <c r="B2513" i="11"/>
  <c r="A2513" i="11"/>
  <c r="H2512" i="11"/>
  <c r="G2512" i="11"/>
  <c r="F2512" i="11"/>
  <c r="E2512" i="11"/>
  <c r="D2512" i="11"/>
  <c r="C2512" i="11"/>
  <c r="B2512" i="11"/>
  <c r="A2512" i="11"/>
  <c r="H2511" i="11"/>
  <c r="G2511" i="11"/>
  <c r="F2511" i="11"/>
  <c r="E2511" i="11"/>
  <c r="D2511" i="11"/>
  <c r="C2511" i="11"/>
  <c r="B2511" i="11"/>
  <c r="A2511" i="11"/>
  <c r="H2510" i="11"/>
  <c r="G2510" i="11"/>
  <c r="F2510" i="11"/>
  <c r="E2510" i="11"/>
  <c r="D2510" i="11"/>
  <c r="C2510" i="11"/>
  <c r="B2510" i="11"/>
  <c r="A2510" i="11"/>
  <c r="H2509" i="11"/>
  <c r="G2509" i="11"/>
  <c r="F2509" i="11"/>
  <c r="E2509" i="11"/>
  <c r="D2509" i="11"/>
  <c r="C2509" i="11"/>
  <c r="B2509" i="11"/>
  <c r="A2509" i="11"/>
  <c r="H2508" i="11"/>
  <c r="G2508" i="11"/>
  <c r="F2508" i="11"/>
  <c r="E2508" i="11"/>
  <c r="D2508" i="11"/>
  <c r="C2508" i="11"/>
  <c r="B2508" i="11"/>
  <c r="A2508" i="11"/>
  <c r="H2507" i="11"/>
  <c r="G2507" i="11"/>
  <c r="F2507" i="11"/>
  <c r="E2507" i="11"/>
  <c r="D2507" i="11"/>
  <c r="C2507" i="11"/>
  <c r="B2507" i="11"/>
  <c r="A2507" i="11"/>
  <c r="H2506" i="11"/>
  <c r="G2506" i="11"/>
  <c r="F2506" i="11"/>
  <c r="E2506" i="11"/>
  <c r="D2506" i="11"/>
  <c r="C2506" i="11"/>
  <c r="B2506" i="11"/>
  <c r="A2506" i="11"/>
  <c r="H2505" i="11"/>
  <c r="G2505" i="11"/>
  <c r="F2505" i="11"/>
  <c r="E2505" i="11"/>
  <c r="D2505" i="11"/>
  <c r="C2505" i="11"/>
  <c r="B2505" i="11"/>
  <c r="A2505" i="11"/>
  <c r="H2504" i="11"/>
  <c r="G2504" i="11"/>
  <c r="F2504" i="11"/>
  <c r="E2504" i="11"/>
  <c r="D2504" i="11"/>
  <c r="C2504" i="11"/>
  <c r="B2504" i="11"/>
  <c r="A2504" i="11"/>
  <c r="H2503" i="11"/>
  <c r="G2503" i="11"/>
  <c r="F2503" i="11"/>
  <c r="E2503" i="11"/>
  <c r="D2503" i="11"/>
  <c r="C2503" i="11"/>
  <c r="B2503" i="11"/>
  <c r="A2503" i="11"/>
  <c r="H2502" i="11"/>
  <c r="G2502" i="11"/>
  <c r="F2502" i="11"/>
  <c r="E2502" i="11"/>
  <c r="D2502" i="11"/>
  <c r="C2502" i="11"/>
  <c r="B2502" i="11"/>
  <c r="A2502" i="11"/>
  <c r="H2501" i="11"/>
  <c r="G2501" i="11"/>
  <c r="F2501" i="11"/>
  <c r="E2501" i="11"/>
  <c r="D2501" i="11"/>
  <c r="C2501" i="11"/>
  <c r="B2501" i="11"/>
  <c r="A2501" i="11"/>
  <c r="H2500" i="11"/>
  <c r="G2500" i="11"/>
  <c r="F2500" i="11"/>
  <c r="E2500" i="11"/>
  <c r="D2500" i="11"/>
  <c r="C2500" i="11"/>
  <c r="B2500" i="11"/>
  <c r="A2500" i="11"/>
  <c r="H2499" i="11"/>
  <c r="G2499" i="11"/>
  <c r="F2499" i="11"/>
  <c r="E2499" i="11"/>
  <c r="D2499" i="11"/>
  <c r="C2499" i="11"/>
  <c r="B2499" i="11"/>
  <c r="A2499" i="11"/>
  <c r="H2498" i="11"/>
  <c r="G2498" i="11"/>
  <c r="F2498" i="11"/>
  <c r="E2498" i="11"/>
  <c r="D2498" i="11"/>
  <c r="C2498" i="11"/>
  <c r="B2498" i="11"/>
  <c r="A2498" i="11"/>
  <c r="H2497" i="11"/>
  <c r="G2497" i="11"/>
  <c r="F2497" i="11"/>
  <c r="E2497" i="11"/>
  <c r="D2497" i="11"/>
  <c r="C2497" i="11"/>
  <c r="B2497" i="11"/>
  <c r="A2497" i="11"/>
  <c r="H2496" i="11"/>
  <c r="G2496" i="11"/>
  <c r="F2496" i="11"/>
  <c r="E2496" i="11"/>
  <c r="D2496" i="11"/>
  <c r="C2496" i="11"/>
  <c r="B2496" i="11"/>
  <c r="A2496" i="11"/>
  <c r="H2495" i="11"/>
  <c r="G2495" i="11"/>
  <c r="F2495" i="11"/>
  <c r="E2495" i="11"/>
  <c r="D2495" i="11"/>
  <c r="C2495" i="11"/>
  <c r="B2495" i="11"/>
  <c r="A2495" i="11"/>
  <c r="H2494" i="11"/>
  <c r="G2494" i="11"/>
  <c r="F2494" i="11"/>
  <c r="E2494" i="11"/>
  <c r="D2494" i="11"/>
  <c r="C2494" i="11"/>
  <c r="B2494" i="11"/>
  <c r="A2494" i="11"/>
  <c r="H2493" i="11"/>
  <c r="G2493" i="11"/>
  <c r="F2493" i="11"/>
  <c r="E2493" i="11"/>
  <c r="D2493" i="11"/>
  <c r="C2493" i="11"/>
  <c r="B2493" i="11"/>
  <c r="A2493" i="11"/>
  <c r="H2492" i="11"/>
  <c r="G2492" i="11"/>
  <c r="F2492" i="11"/>
  <c r="E2492" i="11"/>
  <c r="D2492" i="11"/>
  <c r="C2492" i="11"/>
  <c r="B2492" i="11"/>
  <c r="A2492" i="11"/>
  <c r="H2491" i="11"/>
  <c r="G2491" i="11"/>
  <c r="F2491" i="11"/>
  <c r="E2491" i="11"/>
  <c r="D2491" i="11"/>
  <c r="C2491" i="11"/>
  <c r="B2491" i="11"/>
  <c r="A2491" i="11"/>
  <c r="H2490" i="11"/>
  <c r="G2490" i="11"/>
  <c r="F2490" i="11"/>
  <c r="E2490" i="11"/>
  <c r="D2490" i="11"/>
  <c r="C2490" i="11"/>
  <c r="B2490" i="11"/>
  <c r="A2490" i="11"/>
  <c r="H2489" i="11"/>
  <c r="G2489" i="11"/>
  <c r="F2489" i="11"/>
  <c r="E2489" i="11"/>
  <c r="D2489" i="11"/>
  <c r="C2489" i="11"/>
  <c r="B2489" i="11"/>
  <c r="A2489" i="11"/>
  <c r="H2488" i="11"/>
  <c r="G2488" i="11"/>
  <c r="F2488" i="11"/>
  <c r="E2488" i="11"/>
  <c r="D2488" i="11"/>
  <c r="C2488" i="11"/>
  <c r="B2488" i="11"/>
  <c r="A2488" i="11"/>
  <c r="H2487" i="11"/>
  <c r="G2487" i="11"/>
  <c r="F2487" i="11"/>
  <c r="E2487" i="11"/>
  <c r="D2487" i="11"/>
  <c r="C2487" i="11"/>
  <c r="B2487" i="11"/>
  <c r="A2487" i="11"/>
  <c r="H2486" i="11"/>
  <c r="G2486" i="11"/>
  <c r="F2486" i="11"/>
  <c r="E2486" i="11"/>
  <c r="D2486" i="11"/>
  <c r="C2486" i="11"/>
  <c r="B2486" i="11"/>
  <c r="A2486" i="11"/>
  <c r="H2485" i="11"/>
  <c r="G2485" i="11"/>
  <c r="F2485" i="11"/>
  <c r="E2485" i="11"/>
  <c r="D2485" i="11"/>
  <c r="C2485" i="11"/>
  <c r="B2485" i="11"/>
  <c r="A2485" i="11"/>
  <c r="H2484" i="11"/>
  <c r="G2484" i="11"/>
  <c r="F2484" i="11"/>
  <c r="E2484" i="11"/>
  <c r="D2484" i="11"/>
  <c r="C2484" i="11"/>
  <c r="B2484" i="11"/>
  <c r="A2484" i="11"/>
  <c r="H2483" i="11"/>
  <c r="G2483" i="11"/>
  <c r="F2483" i="11"/>
  <c r="E2483" i="11"/>
  <c r="D2483" i="11"/>
  <c r="C2483" i="11"/>
  <c r="B2483" i="11"/>
  <c r="A2483" i="11"/>
  <c r="H2482" i="11"/>
  <c r="G2482" i="11"/>
  <c r="F2482" i="11"/>
  <c r="E2482" i="11"/>
  <c r="D2482" i="11"/>
  <c r="C2482" i="11"/>
  <c r="B2482" i="11"/>
  <c r="A2482" i="11"/>
  <c r="H2481" i="11"/>
  <c r="G2481" i="11"/>
  <c r="F2481" i="11"/>
  <c r="E2481" i="11"/>
  <c r="D2481" i="11"/>
  <c r="C2481" i="11"/>
  <c r="B2481" i="11"/>
  <c r="A2481" i="11"/>
  <c r="H2480" i="11"/>
  <c r="G2480" i="11"/>
  <c r="F2480" i="11"/>
  <c r="E2480" i="11"/>
  <c r="D2480" i="11"/>
  <c r="C2480" i="11"/>
  <c r="B2480" i="11"/>
  <c r="A2480" i="11"/>
  <c r="H2479" i="11"/>
  <c r="G2479" i="11"/>
  <c r="F2479" i="11"/>
  <c r="E2479" i="11"/>
  <c r="D2479" i="11"/>
  <c r="C2479" i="11"/>
  <c r="B2479" i="11"/>
  <c r="A2479" i="11"/>
  <c r="H2478" i="11"/>
  <c r="G2478" i="11"/>
  <c r="F2478" i="11"/>
  <c r="E2478" i="11"/>
  <c r="D2478" i="11"/>
  <c r="C2478" i="11"/>
  <c r="B2478" i="11"/>
  <c r="A2478" i="11"/>
  <c r="H2477" i="11"/>
  <c r="G2477" i="11"/>
  <c r="F2477" i="11"/>
  <c r="E2477" i="11"/>
  <c r="D2477" i="11"/>
  <c r="C2477" i="11"/>
  <c r="B2477" i="11"/>
  <c r="A2477" i="11"/>
  <c r="H2476" i="11"/>
  <c r="G2476" i="11"/>
  <c r="F2476" i="11"/>
  <c r="E2476" i="11"/>
  <c r="D2476" i="11"/>
  <c r="C2476" i="11"/>
  <c r="B2476" i="11"/>
  <c r="A2476" i="11"/>
  <c r="H2475" i="11"/>
  <c r="G2475" i="11"/>
  <c r="F2475" i="11"/>
  <c r="E2475" i="11"/>
  <c r="D2475" i="11"/>
  <c r="C2475" i="11"/>
  <c r="B2475" i="11"/>
  <c r="A2475" i="11"/>
  <c r="H2474" i="11"/>
  <c r="G2474" i="11"/>
  <c r="F2474" i="11"/>
  <c r="E2474" i="11"/>
  <c r="D2474" i="11"/>
  <c r="C2474" i="11"/>
  <c r="B2474" i="11"/>
  <c r="A2474" i="11"/>
  <c r="H2473" i="11"/>
  <c r="G2473" i="11"/>
  <c r="F2473" i="11"/>
  <c r="E2473" i="11"/>
  <c r="D2473" i="11"/>
  <c r="C2473" i="11"/>
  <c r="B2473" i="11"/>
  <c r="A2473" i="11"/>
  <c r="H2472" i="11"/>
  <c r="G2472" i="11"/>
  <c r="F2472" i="11"/>
  <c r="E2472" i="11"/>
  <c r="D2472" i="11"/>
  <c r="C2472" i="11"/>
  <c r="B2472" i="11"/>
  <c r="A2472" i="11"/>
  <c r="H2471" i="11"/>
  <c r="G2471" i="11"/>
  <c r="F2471" i="11"/>
  <c r="E2471" i="11"/>
  <c r="D2471" i="11"/>
  <c r="C2471" i="11"/>
  <c r="B2471" i="11"/>
  <c r="A2471" i="11"/>
  <c r="H2470" i="11"/>
  <c r="G2470" i="11"/>
  <c r="F2470" i="11"/>
  <c r="E2470" i="11"/>
  <c r="D2470" i="11"/>
  <c r="C2470" i="11"/>
  <c r="B2470" i="11"/>
  <c r="A2470" i="11"/>
  <c r="H2469" i="11"/>
  <c r="G2469" i="11"/>
  <c r="F2469" i="11"/>
  <c r="E2469" i="11"/>
  <c r="D2469" i="11"/>
  <c r="C2469" i="11"/>
  <c r="B2469" i="11"/>
  <c r="A2469" i="11"/>
  <c r="H2468" i="11"/>
  <c r="G2468" i="11"/>
  <c r="F2468" i="11"/>
  <c r="E2468" i="11"/>
  <c r="D2468" i="11"/>
  <c r="C2468" i="11"/>
  <c r="B2468" i="11"/>
  <c r="A2468" i="11"/>
  <c r="H2467" i="11"/>
  <c r="G2467" i="11"/>
  <c r="F2467" i="11"/>
  <c r="E2467" i="11"/>
  <c r="D2467" i="11"/>
  <c r="C2467" i="11"/>
  <c r="B2467" i="11"/>
  <c r="A2467" i="11"/>
  <c r="H2466" i="11"/>
  <c r="G2466" i="11"/>
  <c r="F2466" i="11"/>
  <c r="E2466" i="11"/>
  <c r="D2466" i="11"/>
  <c r="C2466" i="11"/>
  <c r="B2466" i="11"/>
  <c r="A2466" i="11"/>
  <c r="H2465" i="11"/>
  <c r="G2465" i="11"/>
  <c r="F2465" i="11"/>
  <c r="E2465" i="11"/>
  <c r="D2465" i="11"/>
  <c r="C2465" i="11"/>
  <c r="B2465" i="11"/>
  <c r="A2465" i="11"/>
  <c r="H2464" i="11"/>
  <c r="G2464" i="11"/>
  <c r="F2464" i="11"/>
  <c r="E2464" i="11"/>
  <c r="D2464" i="11"/>
  <c r="C2464" i="11"/>
  <c r="B2464" i="11"/>
  <c r="A2464" i="11"/>
  <c r="H2463" i="11"/>
  <c r="G2463" i="11"/>
  <c r="F2463" i="11"/>
  <c r="E2463" i="11"/>
  <c r="D2463" i="11"/>
  <c r="C2463" i="11"/>
  <c r="B2463" i="11"/>
  <c r="A2463" i="11"/>
  <c r="H2462" i="11"/>
  <c r="G2462" i="11"/>
  <c r="F2462" i="11"/>
  <c r="E2462" i="11"/>
  <c r="D2462" i="11"/>
  <c r="C2462" i="11"/>
  <c r="B2462" i="11"/>
  <c r="A2462" i="11"/>
  <c r="H2461" i="11"/>
  <c r="G2461" i="11"/>
  <c r="F2461" i="11"/>
  <c r="E2461" i="11"/>
  <c r="D2461" i="11"/>
  <c r="C2461" i="11"/>
  <c r="B2461" i="11"/>
  <c r="A2461" i="11"/>
  <c r="H2460" i="11"/>
  <c r="G2460" i="11"/>
  <c r="F2460" i="11"/>
  <c r="E2460" i="11"/>
  <c r="D2460" i="11"/>
  <c r="C2460" i="11"/>
  <c r="B2460" i="11"/>
  <c r="A2460" i="11"/>
  <c r="H2459" i="11"/>
  <c r="G2459" i="11"/>
  <c r="F2459" i="11"/>
  <c r="E2459" i="11"/>
  <c r="D2459" i="11"/>
  <c r="C2459" i="11"/>
  <c r="B2459" i="11"/>
  <c r="A2459" i="11"/>
  <c r="H2458" i="11"/>
  <c r="G2458" i="11"/>
  <c r="F2458" i="11"/>
  <c r="E2458" i="11"/>
  <c r="D2458" i="11"/>
  <c r="C2458" i="11"/>
  <c r="B2458" i="11"/>
  <c r="A2458" i="11"/>
  <c r="H2457" i="11"/>
  <c r="G2457" i="11"/>
  <c r="F2457" i="11"/>
  <c r="E2457" i="11"/>
  <c r="D2457" i="11"/>
  <c r="C2457" i="11"/>
  <c r="B2457" i="11"/>
  <c r="A2457" i="11"/>
  <c r="H2456" i="11"/>
  <c r="G2456" i="11"/>
  <c r="F2456" i="11"/>
  <c r="E2456" i="11"/>
  <c r="D2456" i="11"/>
  <c r="C2456" i="11"/>
  <c r="B2456" i="11"/>
  <c r="A2456" i="11"/>
  <c r="H2455" i="11"/>
  <c r="G2455" i="11"/>
  <c r="F2455" i="11"/>
  <c r="E2455" i="11"/>
  <c r="D2455" i="11"/>
  <c r="C2455" i="11"/>
  <c r="B2455" i="11"/>
  <c r="A2455" i="11"/>
  <c r="H2454" i="11"/>
  <c r="G2454" i="11"/>
  <c r="F2454" i="11"/>
  <c r="E2454" i="11"/>
  <c r="D2454" i="11"/>
  <c r="C2454" i="11"/>
  <c r="B2454" i="11"/>
  <c r="A2454" i="11"/>
  <c r="H2453" i="11"/>
  <c r="G2453" i="11"/>
  <c r="F2453" i="11"/>
  <c r="E2453" i="11"/>
  <c r="D2453" i="11"/>
  <c r="C2453" i="11"/>
  <c r="B2453" i="11"/>
  <c r="A2453" i="11"/>
  <c r="H2452" i="11"/>
  <c r="G2452" i="11"/>
  <c r="F2452" i="11"/>
  <c r="E2452" i="11"/>
  <c r="D2452" i="11"/>
  <c r="C2452" i="11"/>
  <c r="B2452" i="11"/>
  <c r="A2452" i="11"/>
  <c r="H2451" i="11"/>
  <c r="G2451" i="11"/>
  <c r="F2451" i="11"/>
  <c r="E2451" i="11"/>
  <c r="D2451" i="11"/>
  <c r="C2451" i="11"/>
  <c r="B2451" i="11"/>
  <c r="A2451" i="11"/>
  <c r="H2450" i="11"/>
  <c r="G2450" i="11"/>
  <c r="F2450" i="11"/>
  <c r="E2450" i="11"/>
  <c r="D2450" i="11"/>
  <c r="C2450" i="11"/>
  <c r="B2450" i="11"/>
  <c r="A2450" i="11"/>
  <c r="H2449" i="11"/>
  <c r="G2449" i="11"/>
  <c r="F2449" i="11"/>
  <c r="E2449" i="11"/>
  <c r="D2449" i="11"/>
  <c r="C2449" i="11"/>
  <c r="B2449" i="11"/>
  <c r="A2449" i="11"/>
  <c r="H2448" i="11"/>
  <c r="G2448" i="11"/>
  <c r="F2448" i="11"/>
  <c r="E2448" i="11"/>
  <c r="D2448" i="11"/>
  <c r="C2448" i="11"/>
  <c r="B2448" i="11"/>
  <c r="A2448" i="11"/>
  <c r="H2447" i="11"/>
  <c r="G2447" i="11"/>
  <c r="F2447" i="11"/>
  <c r="E2447" i="11"/>
  <c r="D2447" i="11"/>
  <c r="C2447" i="11"/>
  <c r="B2447" i="11"/>
  <c r="A2447" i="11"/>
  <c r="H2446" i="11"/>
  <c r="G2446" i="11"/>
  <c r="F2446" i="11"/>
  <c r="E2446" i="11"/>
  <c r="D2446" i="11"/>
  <c r="C2446" i="11"/>
  <c r="B2446" i="11"/>
  <c r="A2446" i="11"/>
  <c r="H2445" i="11"/>
  <c r="G2445" i="11"/>
  <c r="F2445" i="11"/>
  <c r="E2445" i="11"/>
  <c r="D2445" i="11"/>
  <c r="C2445" i="11"/>
  <c r="B2445" i="11"/>
  <c r="A2445" i="11"/>
  <c r="H2444" i="11"/>
  <c r="G2444" i="11"/>
  <c r="F2444" i="11"/>
  <c r="E2444" i="11"/>
  <c r="D2444" i="11"/>
  <c r="C2444" i="11"/>
  <c r="B2444" i="11"/>
  <c r="A2444" i="11"/>
  <c r="H2443" i="11"/>
  <c r="G2443" i="11"/>
  <c r="F2443" i="11"/>
  <c r="E2443" i="11"/>
  <c r="D2443" i="11"/>
  <c r="C2443" i="11"/>
  <c r="B2443" i="11"/>
  <c r="A2443" i="11"/>
  <c r="H2442" i="11"/>
  <c r="G2442" i="11"/>
  <c r="F2442" i="11"/>
  <c r="E2442" i="11"/>
  <c r="D2442" i="11"/>
  <c r="C2442" i="11"/>
  <c r="B2442" i="11"/>
  <c r="A2442" i="11"/>
  <c r="H2441" i="11"/>
  <c r="G2441" i="11"/>
  <c r="F2441" i="11"/>
  <c r="E2441" i="11"/>
  <c r="D2441" i="11"/>
  <c r="C2441" i="11"/>
  <c r="B2441" i="11"/>
  <c r="A2441" i="11"/>
  <c r="H2440" i="11"/>
  <c r="G2440" i="11"/>
  <c r="F2440" i="11"/>
  <c r="E2440" i="11"/>
  <c r="D2440" i="11"/>
  <c r="C2440" i="11"/>
  <c r="B2440" i="11"/>
  <c r="A2440" i="11"/>
  <c r="H2439" i="11"/>
  <c r="G2439" i="11"/>
  <c r="F2439" i="11"/>
  <c r="E2439" i="11"/>
  <c r="D2439" i="11"/>
  <c r="C2439" i="11"/>
  <c r="B2439" i="11"/>
  <c r="A2439" i="11"/>
  <c r="H2438" i="11"/>
  <c r="G2438" i="11"/>
  <c r="F2438" i="11"/>
  <c r="E2438" i="11"/>
  <c r="D2438" i="11"/>
  <c r="C2438" i="11"/>
  <c r="B2438" i="11"/>
  <c r="A2438" i="11"/>
  <c r="H2437" i="11"/>
  <c r="G2437" i="11"/>
  <c r="F2437" i="11"/>
  <c r="E2437" i="11"/>
  <c r="D2437" i="11"/>
  <c r="C2437" i="11"/>
  <c r="B2437" i="11"/>
  <c r="A2437" i="11"/>
  <c r="H2436" i="11"/>
  <c r="G2436" i="11"/>
  <c r="F2436" i="11"/>
  <c r="E2436" i="11"/>
  <c r="D2436" i="11"/>
  <c r="C2436" i="11"/>
  <c r="B2436" i="11"/>
  <c r="A2436" i="11"/>
  <c r="H2435" i="11"/>
  <c r="G2435" i="11"/>
  <c r="F2435" i="11"/>
  <c r="E2435" i="11"/>
  <c r="D2435" i="11"/>
  <c r="C2435" i="11"/>
  <c r="B2435" i="11"/>
  <c r="A2435" i="11"/>
  <c r="H2434" i="11"/>
  <c r="G2434" i="11"/>
  <c r="F2434" i="11"/>
  <c r="E2434" i="11"/>
  <c r="D2434" i="11"/>
  <c r="C2434" i="11"/>
  <c r="B2434" i="11"/>
  <c r="A2434" i="11"/>
  <c r="H2433" i="11"/>
  <c r="G2433" i="11"/>
  <c r="F2433" i="11"/>
  <c r="E2433" i="11"/>
  <c r="D2433" i="11"/>
  <c r="C2433" i="11"/>
  <c r="B2433" i="11"/>
  <c r="A2433" i="11"/>
  <c r="H2432" i="11"/>
  <c r="G2432" i="11"/>
  <c r="F2432" i="11"/>
  <c r="E2432" i="11"/>
  <c r="D2432" i="11"/>
  <c r="C2432" i="11"/>
  <c r="B2432" i="11"/>
  <c r="A2432" i="11"/>
  <c r="H2431" i="11"/>
  <c r="G2431" i="11"/>
  <c r="F2431" i="11"/>
  <c r="E2431" i="11"/>
  <c r="D2431" i="11"/>
  <c r="C2431" i="11"/>
  <c r="B2431" i="11"/>
  <c r="A2431" i="11"/>
  <c r="H2430" i="11"/>
  <c r="G2430" i="11"/>
  <c r="F2430" i="11"/>
  <c r="E2430" i="11"/>
  <c r="D2430" i="11"/>
  <c r="C2430" i="11"/>
  <c r="B2430" i="11"/>
  <c r="A2430" i="11"/>
  <c r="H2429" i="11"/>
  <c r="G2429" i="11"/>
  <c r="F2429" i="11"/>
  <c r="E2429" i="11"/>
  <c r="D2429" i="11"/>
  <c r="C2429" i="11"/>
  <c r="B2429" i="11"/>
  <c r="A2429" i="11"/>
  <c r="H2428" i="11"/>
  <c r="G2428" i="11"/>
  <c r="F2428" i="11"/>
  <c r="E2428" i="11"/>
  <c r="D2428" i="11"/>
  <c r="C2428" i="11"/>
  <c r="B2428" i="11"/>
  <c r="A2428" i="11"/>
  <c r="H2427" i="11"/>
  <c r="G2427" i="11"/>
  <c r="F2427" i="11"/>
  <c r="E2427" i="11"/>
  <c r="D2427" i="11"/>
  <c r="C2427" i="11"/>
  <c r="B2427" i="11"/>
  <c r="A2427" i="11"/>
  <c r="H2426" i="11"/>
  <c r="G2426" i="11"/>
  <c r="F2426" i="11"/>
  <c r="E2426" i="11"/>
  <c r="D2426" i="11"/>
  <c r="C2426" i="11"/>
  <c r="B2426" i="11"/>
  <c r="A2426" i="11"/>
  <c r="H2425" i="11"/>
  <c r="G2425" i="11"/>
  <c r="F2425" i="11"/>
  <c r="E2425" i="11"/>
  <c r="D2425" i="11"/>
  <c r="C2425" i="11"/>
  <c r="B2425" i="11"/>
  <c r="A2425" i="11"/>
  <c r="H2424" i="11"/>
  <c r="G2424" i="11"/>
  <c r="F2424" i="11"/>
  <c r="E2424" i="11"/>
  <c r="D2424" i="11"/>
  <c r="C2424" i="11"/>
  <c r="B2424" i="11"/>
  <c r="A2424" i="11"/>
  <c r="H2423" i="11"/>
  <c r="G2423" i="11"/>
  <c r="F2423" i="11"/>
  <c r="E2423" i="11"/>
  <c r="D2423" i="11"/>
  <c r="C2423" i="11"/>
  <c r="B2423" i="11"/>
  <c r="A2423" i="11"/>
  <c r="H2422" i="11"/>
  <c r="G2422" i="11"/>
  <c r="F2422" i="11"/>
  <c r="E2422" i="11"/>
  <c r="D2422" i="11"/>
  <c r="C2422" i="11"/>
  <c r="B2422" i="11"/>
  <c r="A2422" i="11"/>
  <c r="H2421" i="11"/>
  <c r="G2421" i="11"/>
  <c r="F2421" i="11"/>
  <c r="E2421" i="11"/>
  <c r="D2421" i="11"/>
  <c r="C2421" i="11"/>
  <c r="B2421" i="11"/>
  <c r="A2421" i="11"/>
  <c r="H2420" i="11"/>
  <c r="G2420" i="11"/>
  <c r="F2420" i="11"/>
  <c r="E2420" i="11"/>
  <c r="D2420" i="11"/>
  <c r="C2420" i="11"/>
  <c r="B2420" i="11"/>
  <c r="A2420" i="11"/>
  <c r="H2419" i="11"/>
  <c r="G2419" i="11"/>
  <c r="F2419" i="11"/>
  <c r="E2419" i="11"/>
  <c r="D2419" i="11"/>
  <c r="C2419" i="11"/>
  <c r="B2419" i="11"/>
  <c r="A2419" i="11"/>
  <c r="H2418" i="11"/>
  <c r="G2418" i="11"/>
  <c r="F2418" i="11"/>
  <c r="E2418" i="11"/>
  <c r="D2418" i="11"/>
  <c r="C2418" i="11"/>
  <c r="B2418" i="11"/>
  <c r="A2418" i="11"/>
  <c r="H2417" i="11"/>
  <c r="G2417" i="11"/>
  <c r="F2417" i="11"/>
  <c r="E2417" i="11"/>
  <c r="D2417" i="11"/>
  <c r="C2417" i="11"/>
  <c r="B2417" i="11"/>
  <c r="A2417" i="11"/>
  <c r="H2416" i="11"/>
  <c r="G2416" i="11"/>
  <c r="F2416" i="11"/>
  <c r="E2416" i="11"/>
  <c r="D2416" i="11"/>
  <c r="C2416" i="11"/>
  <c r="B2416" i="11"/>
  <c r="A2416" i="11"/>
  <c r="H2415" i="11"/>
  <c r="G2415" i="11"/>
  <c r="F2415" i="11"/>
  <c r="E2415" i="11"/>
  <c r="D2415" i="11"/>
  <c r="C2415" i="11"/>
  <c r="B2415" i="11"/>
  <c r="A2415" i="11"/>
  <c r="H2414" i="11"/>
  <c r="G2414" i="11"/>
  <c r="F2414" i="11"/>
  <c r="E2414" i="11"/>
  <c r="D2414" i="11"/>
  <c r="C2414" i="11"/>
  <c r="B2414" i="11"/>
  <c r="A2414" i="11"/>
  <c r="H2413" i="11"/>
  <c r="G2413" i="11"/>
  <c r="F2413" i="11"/>
  <c r="E2413" i="11"/>
  <c r="D2413" i="11"/>
  <c r="C2413" i="11"/>
  <c r="B2413" i="11"/>
  <c r="A2413" i="11"/>
  <c r="H2412" i="11"/>
  <c r="G2412" i="11"/>
  <c r="F2412" i="11"/>
  <c r="E2412" i="11"/>
  <c r="D2412" i="11"/>
  <c r="C2412" i="11"/>
  <c r="B2412" i="11"/>
  <c r="A2412" i="11"/>
  <c r="H2411" i="11"/>
  <c r="G2411" i="11"/>
  <c r="F2411" i="11"/>
  <c r="E2411" i="11"/>
  <c r="D2411" i="11"/>
  <c r="C2411" i="11"/>
  <c r="B2411" i="11"/>
  <c r="A2411" i="11"/>
  <c r="H2410" i="11"/>
  <c r="G2410" i="11"/>
  <c r="F2410" i="11"/>
  <c r="E2410" i="11"/>
  <c r="D2410" i="11"/>
  <c r="C2410" i="11"/>
  <c r="B2410" i="11"/>
  <c r="A2410" i="11"/>
  <c r="H2409" i="11"/>
  <c r="G2409" i="11"/>
  <c r="F2409" i="11"/>
  <c r="E2409" i="11"/>
  <c r="D2409" i="11"/>
  <c r="C2409" i="11"/>
  <c r="B2409" i="11"/>
  <c r="A2409" i="11"/>
  <c r="H2408" i="11"/>
  <c r="G2408" i="11"/>
  <c r="F2408" i="11"/>
  <c r="E2408" i="11"/>
  <c r="D2408" i="11"/>
  <c r="C2408" i="11"/>
  <c r="B2408" i="11"/>
  <c r="A2408" i="11"/>
  <c r="H2407" i="11"/>
  <c r="G2407" i="11"/>
  <c r="F2407" i="11"/>
  <c r="E2407" i="11"/>
  <c r="D2407" i="11"/>
  <c r="C2407" i="11"/>
  <c r="B2407" i="11"/>
  <c r="A2407" i="11"/>
  <c r="H2406" i="11"/>
  <c r="G2406" i="11"/>
  <c r="F2406" i="11"/>
  <c r="E2406" i="11"/>
  <c r="D2406" i="11"/>
  <c r="C2406" i="11"/>
  <c r="B2406" i="11"/>
  <c r="A2406" i="11"/>
  <c r="H2405" i="11"/>
  <c r="G2405" i="11"/>
  <c r="F2405" i="11"/>
  <c r="E2405" i="11"/>
  <c r="D2405" i="11"/>
  <c r="C2405" i="11"/>
  <c r="B2405" i="11"/>
  <c r="A2405" i="11"/>
  <c r="H2404" i="11"/>
  <c r="G2404" i="11"/>
  <c r="F2404" i="11"/>
  <c r="E2404" i="11"/>
  <c r="D2404" i="11"/>
  <c r="C2404" i="11"/>
  <c r="B2404" i="11"/>
  <c r="A2404" i="11"/>
  <c r="H2403" i="11"/>
  <c r="G2403" i="11"/>
  <c r="F2403" i="11"/>
  <c r="E2403" i="11"/>
  <c r="D2403" i="11"/>
  <c r="C2403" i="11"/>
  <c r="B2403" i="11"/>
  <c r="A2403" i="11"/>
  <c r="H2402" i="11"/>
  <c r="G2402" i="11"/>
  <c r="F2402" i="11"/>
  <c r="E2402" i="11"/>
  <c r="D2402" i="11"/>
  <c r="C2402" i="11"/>
  <c r="B2402" i="11"/>
  <c r="A2402" i="11"/>
  <c r="H2401" i="11"/>
  <c r="G2401" i="11"/>
  <c r="F2401" i="11"/>
  <c r="E2401" i="11"/>
  <c r="D2401" i="11"/>
  <c r="C2401" i="11"/>
  <c r="B2401" i="11"/>
  <c r="A2401" i="11"/>
  <c r="H2400" i="11"/>
  <c r="G2400" i="11"/>
  <c r="F2400" i="11"/>
  <c r="E2400" i="11"/>
  <c r="D2400" i="11"/>
  <c r="C2400" i="11"/>
  <c r="B2400" i="11"/>
  <c r="A2400" i="11"/>
  <c r="H2399" i="11"/>
  <c r="G2399" i="11"/>
  <c r="F2399" i="11"/>
  <c r="E2399" i="11"/>
  <c r="D2399" i="11"/>
  <c r="C2399" i="11"/>
  <c r="B2399" i="11"/>
  <c r="A2399" i="11"/>
  <c r="H2398" i="11"/>
  <c r="G2398" i="11"/>
  <c r="F2398" i="11"/>
  <c r="E2398" i="11"/>
  <c r="D2398" i="11"/>
  <c r="C2398" i="11"/>
  <c r="B2398" i="11"/>
  <c r="A2398" i="11"/>
  <c r="H2397" i="11"/>
  <c r="G2397" i="11"/>
  <c r="F2397" i="11"/>
  <c r="E2397" i="11"/>
  <c r="D2397" i="11"/>
  <c r="C2397" i="11"/>
  <c r="B2397" i="11"/>
  <c r="A2397" i="11"/>
  <c r="H2396" i="11"/>
  <c r="G2396" i="11"/>
  <c r="F2396" i="11"/>
  <c r="E2396" i="11"/>
  <c r="D2396" i="11"/>
  <c r="C2396" i="11"/>
  <c r="B2396" i="11"/>
  <c r="A2396" i="11"/>
  <c r="H2395" i="11"/>
  <c r="G2395" i="11"/>
  <c r="F2395" i="11"/>
  <c r="E2395" i="11"/>
  <c r="D2395" i="11"/>
  <c r="C2395" i="11"/>
  <c r="B2395" i="11"/>
  <c r="A2395" i="11"/>
  <c r="H2394" i="11"/>
  <c r="G2394" i="11"/>
  <c r="F2394" i="11"/>
  <c r="E2394" i="11"/>
  <c r="D2394" i="11"/>
  <c r="C2394" i="11"/>
  <c r="B2394" i="11"/>
  <c r="A2394" i="11"/>
  <c r="H2393" i="11"/>
  <c r="G2393" i="11"/>
  <c r="F2393" i="11"/>
  <c r="E2393" i="11"/>
  <c r="D2393" i="11"/>
  <c r="C2393" i="11"/>
  <c r="B2393" i="11"/>
  <c r="A2393" i="11"/>
  <c r="H2392" i="11"/>
  <c r="G2392" i="11"/>
  <c r="F2392" i="11"/>
  <c r="E2392" i="11"/>
  <c r="D2392" i="11"/>
  <c r="C2392" i="11"/>
  <c r="B2392" i="11"/>
  <c r="A2392" i="11"/>
  <c r="H2391" i="11"/>
  <c r="G2391" i="11"/>
  <c r="F2391" i="11"/>
  <c r="E2391" i="11"/>
  <c r="D2391" i="11"/>
  <c r="C2391" i="11"/>
  <c r="B2391" i="11"/>
  <c r="A2391" i="11"/>
  <c r="H2390" i="11"/>
  <c r="G2390" i="11"/>
  <c r="F2390" i="11"/>
  <c r="E2390" i="11"/>
  <c r="D2390" i="11"/>
  <c r="C2390" i="11"/>
  <c r="B2390" i="11"/>
  <c r="A2390" i="11"/>
  <c r="H2389" i="11"/>
  <c r="G2389" i="11"/>
  <c r="F2389" i="11"/>
  <c r="E2389" i="11"/>
  <c r="D2389" i="11"/>
  <c r="C2389" i="11"/>
  <c r="B2389" i="11"/>
  <c r="A2389" i="11"/>
  <c r="H2388" i="11"/>
  <c r="G2388" i="11"/>
  <c r="F2388" i="11"/>
  <c r="E2388" i="11"/>
  <c r="D2388" i="11"/>
  <c r="C2388" i="11"/>
  <c r="B2388" i="11"/>
  <c r="A2388" i="11"/>
  <c r="H2387" i="11"/>
  <c r="G2387" i="11"/>
  <c r="F2387" i="11"/>
  <c r="E2387" i="11"/>
  <c r="D2387" i="11"/>
  <c r="C2387" i="11"/>
  <c r="B2387" i="11"/>
  <c r="A2387" i="11"/>
  <c r="H2386" i="11"/>
  <c r="G2386" i="11"/>
  <c r="F2386" i="11"/>
  <c r="E2386" i="11"/>
  <c r="D2386" i="11"/>
  <c r="C2386" i="11"/>
  <c r="B2386" i="11"/>
  <c r="A2386" i="11"/>
  <c r="H2385" i="11"/>
  <c r="G2385" i="11"/>
  <c r="F2385" i="11"/>
  <c r="E2385" i="11"/>
  <c r="D2385" i="11"/>
  <c r="C2385" i="11"/>
  <c r="B2385" i="11"/>
  <c r="A2385" i="11"/>
  <c r="H2384" i="11"/>
  <c r="G2384" i="11"/>
  <c r="F2384" i="11"/>
  <c r="E2384" i="11"/>
  <c r="D2384" i="11"/>
  <c r="C2384" i="11"/>
  <c r="B2384" i="11"/>
  <c r="A2384" i="11"/>
  <c r="H2383" i="11"/>
  <c r="G2383" i="11"/>
  <c r="F2383" i="11"/>
  <c r="E2383" i="11"/>
  <c r="D2383" i="11"/>
  <c r="C2383" i="11"/>
  <c r="B2383" i="11"/>
  <c r="A2383" i="11"/>
  <c r="H2382" i="11"/>
  <c r="G2382" i="11"/>
  <c r="F2382" i="11"/>
  <c r="E2382" i="11"/>
  <c r="D2382" i="11"/>
  <c r="C2382" i="11"/>
  <c r="B2382" i="11"/>
  <c r="A2382" i="11"/>
  <c r="H2381" i="11"/>
  <c r="G2381" i="11"/>
  <c r="F2381" i="11"/>
  <c r="E2381" i="11"/>
  <c r="D2381" i="11"/>
  <c r="C2381" i="11"/>
  <c r="B2381" i="11"/>
  <c r="A2381" i="11"/>
  <c r="H2380" i="11"/>
  <c r="G2380" i="11"/>
  <c r="F2380" i="11"/>
  <c r="E2380" i="11"/>
  <c r="D2380" i="11"/>
  <c r="C2380" i="11"/>
  <c r="B2380" i="11"/>
  <c r="A2380" i="11"/>
  <c r="H2379" i="11"/>
  <c r="G2379" i="11"/>
  <c r="F2379" i="11"/>
  <c r="E2379" i="11"/>
  <c r="D2379" i="11"/>
  <c r="C2379" i="11"/>
  <c r="B2379" i="11"/>
  <c r="A2379" i="11"/>
  <c r="H2378" i="11"/>
  <c r="G2378" i="11"/>
  <c r="F2378" i="11"/>
  <c r="E2378" i="11"/>
  <c r="D2378" i="11"/>
  <c r="C2378" i="11"/>
  <c r="B2378" i="11"/>
  <c r="A2378" i="11"/>
  <c r="H2377" i="11"/>
  <c r="G2377" i="11"/>
  <c r="F2377" i="11"/>
  <c r="E2377" i="11"/>
  <c r="D2377" i="11"/>
  <c r="C2377" i="11"/>
  <c r="B2377" i="11"/>
  <c r="A2377" i="11"/>
  <c r="H2376" i="11"/>
  <c r="G2376" i="11"/>
  <c r="F2376" i="11"/>
  <c r="E2376" i="11"/>
  <c r="D2376" i="11"/>
  <c r="C2376" i="11"/>
  <c r="B2376" i="11"/>
  <c r="A2376" i="11"/>
  <c r="H2375" i="11"/>
  <c r="G2375" i="11"/>
  <c r="F2375" i="11"/>
  <c r="E2375" i="11"/>
  <c r="D2375" i="11"/>
  <c r="C2375" i="11"/>
  <c r="B2375" i="11"/>
  <c r="A2375" i="11"/>
  <c r="H2374" i="11"/>
  <c r="G2374" i="11"/>
  <c r="F2374" i="11"/>
  <c r="E2374" i="11"/>
  <c r="D2374" i="11"/>
  <c r="C2374" i="11"/>
  <c r="B2374" i="11"/>
  <c r="A2374" i="11"/>
  <c r="H2373" i="11"/>
  <c r="G2373" i="11"/>
  <c r="F2373" i="11"/>
  <c r="E2373" i="11"/>
  <c r="D2373" i="11"/>
  <c r="C2373" i="11"/>
  <c r="B2373" i="11"/>
  <c r="A2373" i="11"/>
  <c r="H2372" i="11"/>
  <c r="G2372" i="11"/>
  <c r="F2372" i="11"/>
  <c r="E2372" i="11"/>
  <c r="D2372" i="11"/>
  <c r="C2372" i="11"/>
  <c r="B2372" i="11"/>
  <c r="A2372" i="11"/>
  <c r="H2371" i="11"/>
  <c r="G2371" i="11"/>
  <c r="F2371" i="11"/>
  <c r="E2371" i="11"/>
  <c r="D2371" i="11"/>
  <c r="C2371" i="11"/>
  <c r="B2371" i="11"/>
  <c r="A2371" i="11"/>
  <c r="H2370" i="11"/>
  <c r="G2370" i="11"/>
  <c r="F2370" i="11"/>
  <c r="E2370" i="11"/>
  <c r="D2370" i="11"/>
  <c r="C2370" i="11"/>
  <c r="B2370" i="11"/>
  <c r="A2370" i="11"/>
  <c r="H2369" i="11"/>
  <c r="G2369" i="11"/>
  <c r="F2369" i="11"/>
  <c r="E2369" i="11"/>
  <c r="D2369" i="11"/>
  <c r="C2369" i="11"/>
  <c r="B2369" i="11"/>
  <c r="A2369" i="11"/>
  <c r="H2368" i="11"/>
  <c r="G2368" i="11"/>
  <c r="F2368" i="11"/>
  <c r="E2368" i="11"/>
  <c r="D2368" i="11"/>
  <c r="C2368" i="11"/>
  <c r="B2368" i="11"/>
  <c r="A2368" i="11"/>
  <c r="H2367" i="11"/>
  <c r="G2367" i="11"/>
  <c r="F2367" i="11"/>
  <c r="E2367" i="11"/>
  <c r="D2367" i="11"/>
  <c r="C2367" i="11"/>
  <c r="B2367" i="11"/>
  <c r="A2367" i="11"/>
  <c r="H2366" i="11"/>
  <c r="G2366" i="11"/>
  <c r="F2366" i="11"/>
  <c r="E2366" i="11"/>
  <c r="D2366" i="11"/>
  <c r="C2366" i="11"/>
  <c r="B2366" i="11"/>
  <c r="A2366" i="11"/>
  <c r="H2365" i="11"/>
  <c r="G2365" i="11"/>
  <c r="F2365" i="11"/>
  <c r="E2365" i="11"/>
  <c r="D2365" i="11"/>
  <c r="C2365" i="11"/>
  <c r="B2365" i="11"/>
  <c r="A2365" i="11"/>
  <c r="H2364" i="11"/>
  <c r="G2364" i="11"/>
  <c r="F2364" i="11"/>
  <c r="E2364" i="11"/>
  <c r="D2364" i="11"/>
  <c r="C2364" i="11"/>
  <c r="B2364" i="11"/>
  <c r="A2364" i="11"/>
  <c r="H2363" i="11"/>
  <c r="G2363" i="11"/>
  <c r="F2363" i="11"/>
  <c r="E2363" i="11"/>
  <c r="D2363" i="11"/>
  <c r="C2363" i="11"/>
  <c r="B2363" i="11"/>
  <c r="A2363" i="11"/>
  <c r="H2362" i="11"/>
  <c r="G2362" i="11"/>
  <c r="F2362" i="11"/>
  <c r="E2362" i="11"/>
  <c r="D2362" i="11"/>
  <c r="C2362" i="11"/>
  <c r="B2362" i="11"/>
  <c r="A2362" i="11"/>
  <c r="H2361" i="11"/>
  <c r="G2361" i="11"/>
  <c r="F2361" i="11"/>
  <c r="E2361" i="11"/>
  <c r="D2361" i="11"/>
  <c r="C2361" i="11"/>
  <c r="B2361" i="11"/>
  <c r="A2361" i="11"/>
  <c r="H2360" i="11"/>
  <c r="G2360" i="11"/>
  <c r="F2360" i="11"/>
  <c r="E2360" i="11"/>
  <c r="D2360" i="11"/>
  <c r="C2360" i="11"/>
  <c r="B2360" i="11"/>
  <c r="A2360" i="11"/>
  <c r="H2359" i="11"/>
  <c r="G2359" i="11"/>
  <c r="F2359" i="11"/>
  <c r="E2359" i="11"/>
  <c r="D2359" i="11"/>
  <c r="C2359" i="11"/>
  <c r="B2359" i="11"/>
  <c r="A2359" i="11"/>
  <c r="H2358" i="11"/>
  <c r="G2358" i="11"/>
  <c r="F2358" i="11"/>
  <c r="E2358" i="11"/>
  <c r="D2358" i="11"/>
  <c r="C2358" i="11"/>
  <c r="B2358" i="11"/>
  <c r="A2358" i="11"/>
  <c r="H2357" i="11"/>
  <c r="G2357" i="11"/>
  <c r="F2357" i="11"/>
  <c r="E2357" i="11"/>
  <c r="D2357" i="11"/>
  <c r="C2357" i="11"/>
  <c r="B2357" i="11"/>
  <c r="A2357" i="11"/>
  <c r="H2356" i="11"/>
  <c r="G2356" i="11"/>
  <c r="F2356" i="11"/>
  <c r="E2356" i="11"/>
  <c r="D2356" i="11"/>
  <c r="C2356" i="11"/>
  <c r="B2356" i="11"/>
  <c r="A2356" i="11"/>
  <c r="H2355" i="11"/>
  <c r="G2355" i="11"/>
  <c r="F2355" i="11"/>
  <c r="E2355" i="11"/>
  <c r="D2355" i="11"/>
  <c r="C2355" i="11"/>
  <c r="B2355" i="11"/>
  <c r="A2355" i="11"/>
  <c r="H2354" i="11"/>
  <c r="G2354" i="11"/>
  <c r="F2354" i="11"/>
  <c r="E2354" i="11"/>
  <c r="D2354" i="11"/>
  <c r="C2354" i="11"/>
  <c r="B2354" i="11"/>
  <c r="A2354" i="11"/>
  <c r="H2353" i="11"/>
  <c r="G2353" i="11"/>
  <c r="F2353" i="11"/>
  <c r="E2353" i="11"/>
  <c r="D2353" i="11"/>
  <c r="C2353" i="11"/>
  <c r="B2353" i="11"/>
  <c r="A2353" i="11"/>
  <c r="H2352" i="11"/>
  <c r="G2352" i="11"/>
  <c r="F2352" i="11"/>
  <c r="E2352" i="11"/>
  <c r="D2352" i="11"/>
  <c r="C2352" i="11"/>
  <c r="B2352" i="11"/>
  <c r="A2352" i="11"/>
  <c r="H2351" i="11"/>
  <c r="G2351" i="11"/>
  <c r="F2351" i="11"/>
  <c r="E2351" i="11"/>
  <c r="D2351" i="11"/>
  <c r="C2351" i="11"/>
  <c r="B2351" i="11"/>
  <c r="A2351" i="11"/>
  <c r="H2350" i="11"/>
  <c r="G2350" i="11"/>
  <c r="F2350" i="11"/>
  <c r="E2350" i="11"/>
  <c r="D2350" i="11"/>
  <c r="C2350" i="11"/>
  <c r="B2350" i="11"/>
  <c r="A2350" i="11"/>
  <c r="H2349" i="11"/>
  <c r="G2349" i="11"/>
  <c r="F2349" i="11"/>
  <c r="E2349" i="11"/>
  <c r="D2349" i="11"/>
  <c r="C2349" i="11"/>
  <c r="B2349" i="11"/>
  <c r="A2349" i="11"/>
  <c r="H2348" i="11"/>
  <c r="G2348" i="11"/>
  <c r="F2348" i="11"/>
  <c r="E2348" i="11"/>
  <c r="D2348" i="11"/>
  <c r="C2348" i="11"/>
  <c r="B2348" i="11"/>
  <c r="A2348" i="11"/>
  <c r="H2347" i="11"/>
  <c r="G2347" i="11"/>
  <c r="F2347" i="11"/>
  <c r="E2347" i="11"/>
  <c r="D2347" i="11"/>
  <c r="C2347" i="11"/>
  <c r="B2347" i="11"/>
  <c r="A2347" i="11"/>
  <c r="H2346" i="11"/>
  <c r="G2346" i="11"/>
  <c r="F2346" i="11"/>
  <c r="E2346" i="11"/>
  <c r="D2346" i="11"/>
  <c r="C2346" i="11"/>
  <c r="B2346" i="11"/>
  <c r="A2346" i="11"/>
  <c r="H2345" i="11"/>
  <c r="G2345" i="11"/>
  <c r="F2345" i="11"/>
  <c r="E2345" i="11"/>
  <c r="D2345" i="11"/>
  <c r="C2345" i="11"/>
  <c r="B2345" i="11"/>
  <c r="A2345" i="11"/>
  <c r="H2344" i="11"/>
  <c r="G2344" i="11"/>
  <c r="F2344" i="11"/>
  <c r="E2344" i="11"/>
  <c r="D2344" i="11"/>
  <c r="C2344" i="11"/>
  <c r="B2344" i="11"/>
  <c r="A2344" i="11"/>
  <c r="H2343" i="11"/>
  <c r="G2343" i="11"/>
  <c r="F2343" i="11"/>
  <c r="E2343" i="11"/>
  <c r="D2343" i="11"/>
  <c r="C2343" i="11"/>
  <c r="B2343" i="11"/>
  <c r="A2343" i="11"/>
  <c r="H2342" i="11"/>
  <c r="G2342" i="11"/>
  <c r="F2342" i="11"/>
  <c r="E2342" i="11"/>
  <c r="D2342" i="11"/>
  <c r="C2342" i="11"/>
  <c r="B2342" i="11"/>
  <c r="A2342" i="11"/>
  <c r="H2341" i="11"/>
  <c r="G2341" i="11"/>
  <c r="F2341" i="11"/>
  <c r="E2341" i="11"/>
  <c r="D2341" i="11"/>
  <c r="C2341" i="11"/>
  <c r="B2341" i="11"/>
  <c r="A2341" i="11"/>
  <c r="H2340" i="11"/>
  <c r="G2340" i="11"/>
  <c r="F2340" i="11"/>
  <c r="E2340" i="11"/>
  <c r="D2340" i="11"/>
  <c r="C2340" i="11"/>
  <c r="B2340" i="11"/>
  <c r="A2340" i="11"/>
  <c r="H2339" i="11"/>
  <c r="G2339" i="11"/>
  <c r="F2339" i="11"/>
  <c r="E2339" i="11"/>
  <c r="D2339" i="11"/>
  <c r="C2339" i="11"/>
  <c r="B2339" i="11"/>
  <c r="A2339" i="11"/>
  <c r="H2338" i="11"/>
  <c r="G2338" i="11"/>
  <c r="F2338" i="11"/>
  <c r="E2338" i="11"/>
  <c r="D2338" i="11"/>
  <c r="C2338" i="11"/>
  <c r="B2338" i="11"/>
  <c r="A2338" i="11"/>
  <c r="H2337" i="11"/>
  <c r="G2337" i="11"/>
  <c r="F2337" i="11"/>
  <c r="E2337" i="11"/>
  <c r="D2337" i="11"/>
  <c r="C2337" i="11"/>
  <c r="B2337" i="11"/>
  <c r="A2337" i="11"/>
  <c r="H2336" i="11"/>
  <c r="G2336" i="11"/>
  <c r="F2336" i="11"/>
  <c r="E2336" i="11"/>
  <c r="D2336" i="11"/>
  <c r="C2336" i="11"/>
  <c r="B2336" i="11"/>
  <c r="A2336" i="11"/>
  <c r="H2335" i="11"/>
  <c r="G2335" i="11"/>
  <c r="F2335" i="11"/>
  <c r="E2335" i="11"/>
  <c r="D2335" i="11"/>
  <c r="C2335" i="11"/>
  <c r="B2335" i="11"/>
  <c r="A2335" i="11"/>
  <c r="H2334" i="11"/>
  <c r="G2334" i="11"/>
  <c r="F2334" i="11"/>
  <c r="E2334" i="11"/>
  <c r="D2334" i="11"/>
  <c r="C2334" i="11"/>
  <c r="B2334" i="11"/>
  <c r="A2334" i="11"/>
  <c r="H2333" i="11"/>
  <c r="G2333" i="11"/>
  <c r="F2333" i="11"/>
  <c r="E2333" i="11"/>
  <c r="D2333" i="11"/>
  <c r="C2333" i="11"/>
  <c r="B2333" i="11"/>
  <c r="A2333" i="11"/>
  <c r="H2332" i="11"/>
  <c r="G2332" i="11"/>
  <c r="F2332" i="11"/>
  <c r="E2332" i="11"/>
  <c r="D2332" i="11"/>
  <c r="C2332" i="11"/>
  <c r="B2332" i="11"/>
  <c r="A2332" i="11"/>
  <c r="H2331" i="11"/>
  <c r="G2331" i="11"/>
  <c r="F2331" i="11"/>
  <c r="E2331" i="11"/>
  <c r="D2331" i="11"/>
  <c r="C2331" i="11"/>
  <c r="B2331" i="11"/>
  <c r="A2331" i="11"/>
  <c r="H2330" i="11"/>
  <c r="G2330" i="11"/>
  <c r="F2330" i="11"/>
  <c r="E2330" i="11"/>
  <c r="D2330" i="11"/>
  <c r="C2330" i="11"/>
  <c r="B2330" i="11"/>
  <c r="A2330" i="11"/>
  <c r="H2329" i="11"/>
  <c r="G2329" i="11"/>
  <c r="F2329" i="11"/>
  <c r="E2329" i="11"/>
  <c r="D2329" i="11"/>
  <c r="C2329" i="11"/>
  <c r="B2329" i="11"/>
  <c r="A2329" i="11"/>
  <c r="H2328" i="11"/>
  <c r="G2328" i="11"/>
  <c r="F2328" i="11"/>
  <c r="E2328" i="11"/>
  <c r="D2328" i="11"/>
  <c r="C2328" i="11"/>
  <c r="B2328" i="11"/>
  <c r="A2328" i="11"/>
  <c r="H2327" i="11"/>
  <c r="G2327" i="11"/>
  <c r="F2327" i="11"/>
  <c r="E2327" i="11"/>
  <c r="D2327" i="11"/>
  <c r="C2327" i="11"/>
  <c r="B2327" i="11"/>
  <c r="A2327" i="11"/>
  <c r="H2326" i="11"/>
  <c r="G2326" i="11"/>
  <c r="F2326" i="11"/>
  <c r="E2326" i="11"/>
  <c r="D2326" i="11"/>
  <c r="C2326" i="11"/>
  <c r="B2326" i="11"/>
  <c r="A2326" i="11"/>
  <c r="H2325" i="11"/>
  <c r="G2325" i="11"/>
  <c r="F2325" i="11"/>
  <c r="E2325" i="11"/>
  <c r="D2325" i="11"/>
  <c r="C2325" i="11"/>
  <c r="B2325" i="11"/>
  <c r="A2325" i="11"/>
  <c r="H2324" i="11"/>
  <c r="G2324" i="11"/>
  <c r="F2324" i="11"/>
  <c r="E2324" i="11"/>
  <c r="D2324" i="11"/>
  <c r="C2324" i="11"/>
  <c r="B2324" i="11"/>
  <c r="A2324" i="11"/>
  <c r="H2323" i="11"/>
  <c r="G2323" i="11"/>
  <c r="F2323" i="11"/>
  <c r="E2323" i="11"/>
  <c r="D2323" i="11"/>
  <c r="C2323" i="11"/>
  <c r="B2323" i="11"/>
  <c r="A2323" i="11"/>
  <c r="H2322" i="11"/>
  <c r="G2322" i="11"/>
  <c r="F2322" i="11"/>
  <c r="E2322" i="11"/>
  <c r="D2322" i="11"/>
  <c r="C2322" i="11"/>
  <c r="B2322" i="11"/>
  <c r="A2322" i="11"/>
  <c r="H2321" i="11"/>
  <c r="G2321" i="11"/>
  <c r="F2321" i="11"/>
  <c r="E2321" i="11"/>
  <c r="D2321" i="11"/>
  <c r="C2321" i="11"/>
  <c r="B2321" i="11"/>
  <c r="A2321" i="11"/>
  <c r="H2320" i="11"/>
  <c r="G2320" i="11"/>
  <c r="F2320" i="11"/>
  <c r="E2320" i="11"/>
  <c r="D2320" i="11"/>
  <c r="C2320" i="11"/>
  <c r="B2320" i="11"/>
  <c r="A2320" i="11"/>
  <c r="H2319" i="11"/>
  <c r="G2319" i="11"/>
  <c r="F2319" i="11"/>
  <c r="E2319" i="11"/>
  <c r="D2319" i="11"/>
  <c r="C2319" i="11"/>
  <c r="B2319" i="11"/>
  <c r="A2319" i="11"/>
  <c r="H2318" i="11"/>
  <c r="G2318" i="11"/>
  <c r="F2318" i="11"/>
  <c r="E2318" i="11"/>
  <c r="D2318" i="11"/>
  <c r="C2318" i="11"/>
  <c r="B2318" i="11"/>
  <c r="A2318" i="11"/>
  <c r="H2317" i="11"/>
  <c r="G2317" i="11"/>
  <c r="F2317" i="11"/>
  <c r="E2317" i="11"/>
  <c r="D2317" i="11"/>
  <c r="C2317" i="11"/>
  <c r="B2317" i="11"/>
  <c r="A2317" i="11"/>
  <c r="H2316" i="11"/>
  <c r="G2316" i="11"/>
  <c r="F2316" i="11"/>
  <c r="E2316" i="11"/>
  <c r="D2316" i="11"/>
  <c r="C2316" i="11"/>
  <c r="B2316" i="11"/>
  <c r="A2316" i="11"/>
  <c r="H2315" i="11"/>
  <c r="G2315" i="11"/>
  <c r="F2315" i="11"/>
  <c r="E2315" i="11"/>
  <c r="D2315" i="11"/>
  <c r="C2315" i="11"/>
  <c r="B2315" i="11"/>
  <c r="A2315" i="11"/>
  <c r="H2314" i="11"/>
  <c r="G2314" i="11"/>
  <c r="F2314" i="11"/>
  <c r="E2314" i="11"/>
  <c r="D2314" i="11"/>
  <c r="C2314" i="11"/>
  <c r="B2314" i="11"/>
  <c r="A2314" i="11"/>
  <c r="H2313" i="11"/>
  <c r="G2313" i="11"/>
  <c r="F2313" i="11"/>
  <c r="E2313" i="11"/>
  <c r="D2313" i="11"/>
  <c r="C2313" i="11"/>
  <c r="B2313" i="11"/>
  <c r="A2313" i="11"/>
  <c r="H2312" i="11"/>
  <c r="G2312" i="11"/>
  <c r="F2312" i="11"/>
  <c r="E2312" i="11"/>
  <c r="D2312" i="11"/>
  <c r="C2312" i="11"/>
  <c r="B2312" i="11"/>
  <c r="A2312" i="11"/>
  <c r="H2311" i="11"/>
  <c r="G2311" i="11"/>
  <c r="F2311" i="11"/>
  <c r="E2311" i="11"/>
  <c r="D2311" i="11"/>
  <c r="C2311" i="11"/>
  <c r="B2311" i="11"/>
  <c r="A2311" i="11"/>
  <c r="H2310" i="11"/>
  <c r="G2310" i="11"/>
  <c r="F2310" i="11"/>
  <c r="E2310" i="11"/>
  <c r="D2310" i="11"/>
  <c r="C2310" i="11"/>
  <c r="B2310" i="11"/>
  <c r="A2310" i="11"/>
  <c r="H2309" i="11"/>
  <c r="G2309" i="11"/>
  <c r="F2309" i="11"/>
  <c r="E2309" i="11"/>
  <c r="D2309" i="11"/>
  <c r="C2309" i="11"/>
  <c r="B2309" i="11"/>
  <c r="A2309" i="11"/>
  <c r="H2308" i="11"/>
  <c r="G2308" i="11"/>
  <c r="F2308" i="11"/>
  <c r="E2308" i="11"/>
  <c r="D2308" i="11"/>
  <c r="C2308" i="11"/>
  <c r="B2308" i="11"/>
  <c r="A2308" i="11"/>
  <c r="H2307" i="11"/>
  <c r="G2307" i="11"/>
  <c r="F2307" i="11"/>
  <c r="E2307" i="11"/>
  <c r="D2307" i="11"/>
  <c r="C2307" i="11"/>
  <c r="B2307" i="11"/>
  <c r="A2307" i="11"/>
  <c r="H2306" i="11"/>
  <c r="G2306" i="11"/>
  <c r="F2306" i="11"/>
  <c r="E2306" i="11"/>
  <c r="D2306" i="11"/>
  <c r="C2306" i="11"/>
  <c r="B2306" i="11"/>
  <c r="A2306" i="11"/>
  <c r="H2305" i="11"/>
  <c r="G2305" i="11"/>
  <c r="F2305" i="11"/>
  <c r="E2305" i="11"/>
  <c r="D2305" i="11"/>
  <c r="C2305" i="11"/>
  <c r="B2305" i="11"/>
  <c r="A2305" i="11"/>
  <c r="H2304" i="11"/>
  <c r="G2304" i="11"/>
  <c r="F2304" i="11"/>
  <c r="E2304" i="11"/>
  <c r="D2304" i="11"/>
  <c r="C2304" i="11"/>
  <c r="B2304" i="11"/>
  <c r="A2304" i="11"/>
  <c r="H2303" i="11"/>
  <c r="G2303" i="11"/>
  <c r="F2303" i="11"/>
  <c r="E2303" i="11"/>
  <c r="D2303" i="11"/>
  <c r="C2303" i="11"/>
  <c r="B2303" i="11"/>
  <c r="A2303" i="11"/>
  <c r="H2302" i="11"/>
  <c r="G2302" i="11"/>
  <c r="F2302" i="11"/>
  <c r="E2302" i="11"/>
  <c r="D2302" i="11"/>
  <c r="C2302" i="11"/>
  <c r="B2302" i="11"/>
  <c r="A2302" i="11"/>
  <c r="H2301" i="11"/>
  <c r="G2301" i="11"/>
  <c r="F2301" i="11"/>
  <c r="E2301" i="11"/>
  <c r="D2301" i="11"/>
  <c r="C2301" i="11"/>
  <c r="B2301" i="11"/>
  <c r="A2301" i="11"/>
  <c r="H2300" i="11"/>
  <c r="G2300" i="11"/>
  <c r="F2300" i="11"/>
  <c r="E2300" i="11"/>
  <c r="D2300" i="11"/>
  <c r="C2300" i="11"/>
  <c r="B2300" i="11"/>
  <c r="A2300" i="11"/>
  <c r="H2299" i="11"/>
  <c r="G2299" i="11"/>
  <c r="F2299" i="11"/>
  <c r="E2299" i="11"/>
  <c r="D2299" i="11"/>
  <c r="C2299" i="11"/>
  <c r="B2299" i="11"/>
  <c r="A2299" i="11"/>
  <c r="H2298" i="11"/>
  <c r="G2298" i="11"/>
  <c r="F2298" i="11"/>
  <c r="E2298" i="11"/>
  <c r="D2298" i="11"/>
  <c r="C2298" i="11"/>
  <c r="B2298" i="11"/>
  <c r="A2298" i="11"/>
  <c r="H2297" i="11"/>
  <c r="G2297" i="11"/>
  <c r="F2297" i="11"/>
  <c r="E2297" i="11"/>
  <c r="D2297" i="11"/>
  <c r="C2297" i="11"/>
  <c r="B2297" i="11"/>
  <c r="A2297" i="11"/>
  <c r="H2296" i="11"/>
  <c r="G2296" i="11"/>
  <c r="F2296" i="11"/>
  <c r="E2296" i="11"/>
  <c r="D2296" i="11"/>
  <c r="C2296" i="11"/>
  <c r="B2296" i="11"/>
  <c r="A2296" i="11"/>
  <c r="H2295" i="11"/>
  <c r="G2295" i="11"/>
  <c r="F2295" i="11"/>
  <c r="E2295" i="11"/>
  <c r="D2295" i="11"/>
  <c r="C2295" i="11"/>
  <c r="B2295" i="11"/>
  <c r="A2295" i="11"/>
  <c r="H2294" i="11"/>
  <c r="G2294" i="11"/>
  <c r="F2294" i="11"/>
  <c r="E2294" i="11"/>
  <c r="D2294" i="11"/>
  <c r="C2294" i="11"/>
  <c r="B2294" i="11"/>
  <c r="A2294" i="11"/>
  <c r="H2293" i="11"/>
  <c r="G2293" i="11"/>
  <c r="F2293" i="11"/>
  <c r="E2293" i="11"/>
  <c r="D2293" i="11"/>
  <c r="C2293" i="11"/>
  <c r="B2293" i="11"/>
  <c r="A2293" i="11"/>
  <c r="H2292" i="11"/>
  <c r="G2292" i="11"/>
  <c r="F2292" i="11"/>
  <c r="E2292" i="11"/>
  <c r="D2292" i="11"/>
  <c r="C2292" i="11"/>
  <c r="B2292" i="11"/>
  <c r="A2292" i="11"/>
  <c r="H2291" i="11"/>
  <c r="G2291" i="11"/>
  <c r="F2291" i="11"/>
  <c r="E2291" i="11"/>
  <c r="D2291" i="11"/>
  <c r="C2291" i="11"/>
  <c r="B2291" i="11"/>
  <c r="A2291" i="11"/>
  <c r="H2290" i="11"/>
  <c r="G2290" i="11"/>
  <c r="F2290" i="11"/>
  <c r="E2290" i="11"/>
  <c r="D2290" i="11"/>
  <c r="C2290" i="11"/>
  <c r="B2290" i="11"/>
  <c r="A2290" i="11"/>
  <c r="H2289" i="11"/>
  <c r="G2289" i="11"/>
  <c r="F2289" i="11"/>
  <c r="E2289" i="11"/>
  <c r="D2289" i="11"/>
  <c r="C2289" i="11"/>
  <c r="B2289" i="11"/>
  <c r="A2289" i="11"/>
  <c r="H2288" i="11"/>
  <c r="G2288" i="11"/>
  <c r="F2288" i="11"/>
  <c r="E2288" i="11"/>
  <c r="D2288" i="11"/>
  <c r="C2288" i="11"/>
  <c r="B2288" i="11"/>
  <c r="A2288" i="11"/>
  <c r="H2287" i="11"/>
  <c r="G2287" i="11"/>
  <c r="F2287" i="11"/>
  <c r="E2287" i="11"/>
  <c r="D2287" i="11"/>
  <c r="C2287" i="11"/>
  <c r="B2287" i="11"/>
  <c r="A2287" i="11"/>
  <c r="H2286" i="11"/>
  <c r="G2286" i="11"/>
  <c r="F2286" i="11"/>
  <c r="E2286" i="11"/>
  <c r="D2286" i="11"/>
  <c r="C2286" i="11"/>
  <c r="B2286" i="11"/>
  <c r="A2286" i="11"/>
  <c r="H2285" i="11"/>
  <c r="G2285" i="11"/>
  <c r="F2285" i="11"/>
  <c r="E2285" i="11"/>
  <c r="D2285" i="11"/>
  <c r="C2285" i="11"/>
  <c r="B2285" i="11"/>
  <c r="A2285" i="11"/>
  <c r="H2284" i="11"/>
  <c r="G2284" i="11"/>
  <c r="F2284" i="11"/>
  <c r="E2284" i="11"/>
  <c r="D2284" i="11"/>
  <c r="C2284" i="11"/>
  <c r="B2284" i="11"/>
  <c r="A2284" i="11"/>
  <c r="H2283" i="11"/>
  <c r="G2283" i="11"/>
  <c r="F2283" i="11"/>
  <c r="E2283" i="11"/>
  <c r="D2283" i="11"/>
  <c r="C2283" i="11"/>
  <c r="B2283" i="11"/>
  <c r="A2283" i="11"/>
  <c r="H2282" i="11"/>
  <c r="G2282" i="11"/>
  <c r="F2282" i="11"/>
  <c r="E2282" i="11"/>
  <c r="D2282" i="11"/>
  <c r="C2282" i="11"/>
  <c r="B2282" i="11"/>
  <c r="A2282" i="11"/>
  <c r="H2281" i="11"/>
  <c r="G2281" i="11"/>
  <c r="F2281" i="11"/>
  <c r="E2281" i="11"/>
  <c r="D2281" i="11"/>
  <c r="C2281" i="11"/>
  <c r="B2281" i="11"/>
  <c r="A2281" i="11"/>
  <c r="H2280" i="11"/>
  <c r="G2280" i="11"/>
  <c r="F2280" i="11"/>
  <c r="E2280" i="11"/>
  <c r="D2280" i="11"/>
  <c r="C2280" i="11"/>
  <c r="B2280" i="11"/>
  <c r="A2280" i="11"/>
  <c r="H2279" i="11"/>
  <c r="G2279" i="11"/>
  <c r="F2279" i="11"/>
  <c r="E2279" i="11"/>
  <c r="D2279" i="11"/>
  <c r="C2279" i="11"/>
  <c r="B2279" i="11"/>
  <c r="A2279" i="11"/>
  <c r="H2278" i="11"/>
  <c r="G2278" i="11"/>
  <c r="F2278" i="11"/>
  <c r="E2278" i="11"/>
  <c r="D2278" i="11"/>
  <c r="C2278" i="11"/>
  <c r="B2278" i="11"/>
  <c r="A2278" i="11"/>
  <c r="H2277" i="11"/>
  <c r="G2277" i="11"/>
  <c r="F2277" i="11"/>
  <c r="E2277" i="11"/>
  <c r="D2277" i="11"/>
  <c r="C2277" i="11"/>
  <c r="B2277" i="11"/>
  <c r="A2277" i="11"/>
  <c r="H2276" i="11"/>
  <c r="G2276" i="11"/>
  <c r="F2276" i="11"/>
  <c r="E2276" i="11"/>
  <c r="D2276" i="11"/>
  <c r="C2276" i="11"/>
  <c r="B2276" i="11"/>
  <c r="A2276" i="11"/>
  <c r="H2275" i="11"/>
  <c r="G2275" i="11"/>
  <c r="F2275" i="11"/>
  <c r="E2275" i="11"/>
  <c r="D2275" i="11"/>
  <c r="C2275" i="11"/>
  <c r="B2275" i="11"/>
  <c r="A2275" i="11"/>
  <c r="H2274" i="11"/>
  <c r="G2274" i="11"/>
  <c r="F2274" i="11"/>
  <c r="E2274" i="11"/>
  <c r="D2274" i="11"/>
  <c r="C2274" i="11"/>
  <c r="B2274" i="11"/>
  <c r="A2274" i="11"/>
  <c r="H2273" i="11"/>
  <c r="G2273" i="11"/>
  <c r="F2273" i="11"/>
  <c r="E2273" i="11"/>
  <c r="D2273" i="11"/>
  <c r="C2273" i="11"/>
  <c r="B2273" i="11"/>
  <c r="A2273" i="11"/>
  <c r="H2272" i="11"/>
  <c r="G2272" i="11"/>
  <c r="F2272" i="11"/>
  <c r="E2272" i="11"/>
  <c r="D2272" i="11"/>
  <c r="C2272" i="11"/>
  <c r="B2272" i="11"/>
  <c r="A2272" i="11"/>
  <c r="H2271" i="11"/>
  <c r="G2271" i="11"/>
  <c r="F2271" i="11"/>
  <c r="E2271" i="11"/>
  <c r="D2271" i="11"/>
  <c r="C2271" i="11"/>
  <c r="B2271" i="11"/>
  <c r="A2271" i="11"/>
  <c r="H2270" i="11"/>
  <c r="G2270" i="11"/>
  <c r="F2270" i="11"/>
  <c r="E2270" i="11"/>
  <c r="D2270" i="11"/>
  <c r="C2270" i="11"/>
  <c r="B2270" i="11"/>
  <c r="A2270" i="11"/>
  <c r="H2269" i="11"/>
  <c r="G2269" i="11"/>
  <c r="F2269" i="11"/>
  <c r="E2269" i="11"/>
  <c r="D2269" i="11"/>
  <c r="C2269" i="11"/>
  <c r="B2269" i="11"/>
  <c r="A2269" i="11"/>
  <c r="H2268" i="11"/>
  <c r="G2268" i="11"/>
  <c r="F2268" i="11"/>
  <c r="E2268" i="11"/>
  <c r="D2268" i="11"/>
  <c r="C2268" i="11"/>
  <c r="B2268" i="11"/>
  <c r="A2268" i="11"/>
  <c r="H2267" i="11"/>
  <c r="G2267" i="11"/>
  <c r="F2267" i="11"/>
  <c r="E2267" i="11"/>
  <c r="D2267" i="11"/>
  <c r="C2267" i="11"/>
  <c r="B2267" i="11"/>
  <c r="A2267" i="11"/>
  <c r="H2266" i="11"/>
  <c r="G2266" i="11"/>
  <c r="F2266" i="11"/>
  <c r="E2266" i="11"/>
  <c r="D2266" i="11"/>
  <c r="C2266" i="11"/>
  <c r="B2266" i="11"/>
  <c r="A2266" i="11"/>
  <c r="H2265" i="11"/>
  <c r="G2265" i="11"/>
  <c r="F2265" i="11"/>
  <c r="E2265" i="11"/>
  <c r="D2265" i="11"/>
  <c r="C2265" i="11"/>
  <c r="B2265" i="11"/>
  <c r="A2265" i="11"/>
  <c r="H2264" i="11"/>
  <c r="G2264" i="11"/>
  <c r="F2264" i="11"/>
  <c r="E2264" i="11"/>
  <c r="D2264" i="11"/>
  <c r="C2264" i="11"/>
  <c r="B2264" i="11"/>
  <c r="A2264" i="11"/>
  <c r="H2263" i="11"/>
  <c r="G2263" i="11"/>
  <c r="F2263" i="11"/>
  <c r="E2263" i="11"/>
  <c r="D2263" i="11"/>
  <c r="C2263" i="11"/>
  <c r="B2263" i="11"/>
  <c r="A2263" i="11"/>
  <c r="H2262" i="11"/>
  <c r="G2262" i="11"/>
  <c r="F2262" i="11"/>
  <c r="E2262" i="11"/>
  <c r="D2262" i="11"/>
  <c r="C2262" i="11"/>
  <c r="B2262" i="11"/>
  <c r="A2262" i="11"/>
  <c r="H2261" i="11"/>
  <c r="G2261" i="11"/>
  <c r="F2261" i="11"/>
  <c r="E2261" i="11"/>
  <c r="D2261" i="11"/>
  <c r="C2261" i="11"/>
  <c r="B2261" i="11"/>
  <c r="A2261" i="11"/>
  <c r="H2260" i="11"/>
  <c r="G2260" i="11"/>
  <c r="F2260" i="11"/>
  <c r="E2260" i="11"/>
  <c r="D2260" i="11"/>
  <c r="C2260" i="11"/>
  <c r="B2260" i="11"/>
  <c r="A2260" i="11"/>
  <c r="H2259" i="11"/>
  <c r="G2259" i="11"/>
  <c r="F2259" i="11"/>
  <c r="E2259" i="11"/>
  <c r="D2259" i="11"/>
  <c r="C2259" i="11"/>
  <c r="B2259" i="11"/>
  <c r="A2259" i="11"/>
  <c r="H2258" i="11"/>
  <c r="G2258" i="11"/>
  <c r="F2258" i="11"/>
  <c r="E2258" i="11"/>
  <c r="D2258" i="11"/>
  <c r="C2258" i="11"/>
  <c r="B2258" i="11"/>
  <c r="A2258" i="11"/>
  <c r="H2257" i="11"/>
  <c r="G2257" i="11"/>
  <c r="F2257" i="11"/>
  <c r="E2257" i="11"/>
  <c r="D2257" i="11"/>
  <c r="C2257" i="11"/>
  <c r="B2257" i="11"/>
  <c r="A2257" i="11"/>
  <c r="H2256" i="11"/>
  <c r="G2256" i="11"/>
  <c r="F2256" i="11"/>
  <c r="E2256" i="11"/>
  <c r="D2256" i="11"/>
  <c r="C2256" i="11"/>
  <c r="B2256" i="11"/>
  <c r="A2256" i="11"/>
  <c r="H2255" i="11"/>
  <c r="G2255" i="11"/>
  <c r="F2255" i="11"/>
  <c r="E2255" i="11"/>
  <c r="D2255" i="11"/>
  <c r="C2255" i="11"/>
  <c r="B2255" i="11"/>
  <c r="A2255" i="11"/>
  <c r="H2254" i="11"/>
  <c r="G2254" i="11"/>
  <c r="F2254" i="11"/>
  <c r="E2254" i="11"/>
  <c r="D2254" i="11"/>
  <c r="C2254" i="11"/>
  <c r="B2254" i="11"/>
  <c r="A2254" i="11"/>
  <c r="H2253" i="11"/>
  <c r="G2253" i="11"/>
  <c r="F2253" i="11"/>
  <c r="E2253" i="11"/>
  <c r="D2253" i="11"/>
  <c r="C2253" i="11"/>
  <c r="B2253" i="11"/>
  <c r="A2253" i="11"/>
  <c r="H2252" i="11"/>
  <c r="G2252" i="11"/>
  <c r="F2252" i="11"/>
  <c r="E2252" i="11"/>
  <c r="D2252" i="11"/>
  <c r="C2252" i="11"/>
  <c r="B2252" i="11"/>
  <c r="A2252" i="11"/>
  <c r="H2251" i="11"/>
  <c r="G2251" i="11"/>
  <c r="F2251" i="11"/>
  <c r="E2251" i="11"/>
  <c r="D2251" i="11"/>
  <c r="C2251" i="11"/>
  <c r="B2251" i="11"/>
  <c r="A2251" i="11"/>
  <c r="H2250" i="11"/>
  <c r="G2250" i="11"/>
  <c r="F2250" i="11"/>
  <c r="E2250" i="11"/>
  <c r="D2250" i="11"/>
  <c r="C2250" i="11"/>
  <c r="B2250" i="11"/>
  <c r="A2250" i="11"/>
  <c r="H2249" i="11"/>
  <c r="G2249" i="11"/>
  <c r="F2249" i="11"/>
  <c r="E2249" i="11"/>
  <c r="D2249" i="11"/>
  <c r="C2249" i="11"/>
  <c r="B2249" i="11"/>
  <c r="A2249" i="11"/>
  <c r="H2248" i="11"/>
  <c r="G2248" i="11"/>
  <c r="F2248" i="11"/>
  <c r="E2248" i="11"/>
  <c r="D2248" i="11"/>
  <c r="C2248" i="11"/>
  <c r="B2248" i="11"/>
  <c r="A2248" i="11"/>
  <c r="H2247" i="11"/>
  <c r="G2247" i="11"/>
  <c r="F2247" i="11"/>
  <c r="E2247" i="11"/>
  <c r="D2247" i="11"/>
  <c r="C2247" i="11"/>
  <c r="B2247" i="11"/>
  <c r="A2247" i="11"/>
  <c r="H2246" i="11"/>
  <c r="G2246" i="11"/>
  <c r="F2246" i="11"/>
  <c r="E2246" i="11"/>
  <c r="D2246" i="11"/>
  <c r="C2246" i="11"/>
  <c r="B2246" i="11"/>
  <c r="A2246" i="11"/>
  <c r="H2245" i="11"/>
  <c r="G2245" i="11"/>
  <c r="F2245" i="11"/>
  <c r="E2245" i="11"/>
  <c r="D2245" i="11"/>
  <c r="C2245" i="11"/>
  <c r="B2245" i="11"/>
  <c r="A2245" i="11"/>
  <c r="H2244" i="11"/>
  <c r="G2244" i="11"/>
  <c r="F2244" i="11"/>
  <c r="E2244" i="11"/>
  <c r="D2244" i="11"/>
  <c r="C2244" i="11"/>
  <c r="B2244" i="11"/>
  <c r="A2244" i="11"/>
  <c r="H2243" i="11"/>
  <c r="G2243" i="11"/>
  <c r="F2243" i="11"/>
  <c r="E2243" i="11"/>
  <c r="D2243" i="11"/>
  <c r="C2243" i="11"/>
  <c r="B2243" i="11"/>
  <c r="A2243" i="11"/>
  <c r="H2242" i="11"/>
  <c r="G2242" i="11"/>
  <c r="F2242" i="11"/>
  <c r="E2242" i="11"/>
  <c r="D2242" i="11"/>
  <c r="C2242" i="11"/>
  <c r="B2242" i="11"/>
  <c r="A2242" i="11"/>
  <c r="H2241" i="11"/>
  <c r="G2241" i="11"/>
  <c r="F2241" i="11"/>
  <c r="E2241" i="11"/>
  <c r="D2241" i="11"/>
  <c r="C2241" i="11"/>
  <c r="B2241" i="11"/>
  <c r="A2241" i="11"/>
  <c r="H2240" i="11"/>
  <c r="G2240" i="11"/>
  <c r="F2240" i="11"/>
  <c r="E2240" i="11"/>
  <c r="D2240" i="11"/>
  <c r="C2240" i="11"/>
  <c r="B2240" i="11"/>
  <c r="A2240" i="11"/>
  <c r="H2239" i="11"/>
  <c r="G2239" i="11"/>
  <c r="F2239" i="11"/>
  <c r="E2239" i="11"/>
  <c r="D2239" i="11"/>
  <c r="C2239" i="11"/>
  <c r="B2239" i="11"/>
  <c r="A2239" i="11"/>
  <c r="H2238" i="11"/>
  <c r="G2238" i="11"/>
  <c r="F2238" i="11"/>
  <c r="E2238" i="11"/>
  <c r="D2238" i="11"/>
  <c r="C2238" i="11"/>
  <c r="B2238" i="11"/>
  <c r="A2238" i="11"/>
  <c r="H2237" i="11"/>
  <c r="G2237" i="11"/>
  <c r="F2237" i="11"/>
  <c r="E2237" i="11"/>
  <c r="D2237" i="11"/>
  <c r="C2237" i="11"/>
  <c r="B2237" i="11"/>
  <c r="A2237" i="11"/>
  <c r="H2236" i="11"/>
  <c r="G2236" i="11"/>
  <c r="F2236" i="11"/>
  <c r="E2236" i="11"/>
  <c r="D2236" i="11"/>
  <c r="C2236" i="11"/>
  <c r="B2236" i="11"/>
  <c r="A2236" i="11"/>
  <c r="H2235" i="11"/>
  <c r="G2235" i="11"/>
  <c r="F2235" i="11"/>
  <c r="E2235" i="11"/>
  <c r="D2235" i="11"/>
  <c r="C2235" i="11"/>
  <c r="B2235" i="11"/>
  <c r="A2235" i="11"/>
  <c r="H2234" i="11"/>
  <c r="G2234" i="11"/>
  <c r="F2234" i="11"/>
  <c r="E2234" i="11"/>
  <c r="D2234" i="11"/>
  <c r="C2234" i="11"/>
  <c r="B2234" i="11"/>
  <c r="A2234" i="11"/>
  <c r="H2233" i="11"/>
  <c r="G2233" i="11"/>
  <c r="F2233" i="11"/>
  <c r="E2233" i="11"/>
  <c r="D2233" i="11"/>
  <c r="C2233" i="11"/>
  <c r="B2233" i="11"/>
  <c r="A2233" i="11"/>
  <c r="H2232" i="11"/>
  <c r="G2232" i="11"/>
  <c r="F2232" i="11"/>
  <c r="E2232" i="11"/>
  <c r="D2232" i="11"/>
  <c r="C2232" i="11"/>
  <c r="B2232" i="11"/>
  <c r="A2232" i="11"/>
  <c r="H2231" i="11"/>
  <c r="G2231" i="11"/>
  <c r="F2231" i="11"/>
  <c r="E2231" i="11"/>
  <c r="D2231" i="11"/>
  <c r="C2231" i="11"/>
  <c r="B2231" i="11"/>
  <c r="A2231" i="11"/>
  <c r="H2230" i="11"/>
  <c r="G2230" i="11"/>
  <c r="F2230" i="11"/>
  <c r="E2230" i="11"/>
  <c r="D2230" i="11"/>
  <c r="C2230" i="11"/>
  <c r="B2230" i="11"/>
  <c r="A2230" i="11"/>
  <c r="H2229" i="11"/>
  <c r="G2229" i="11"/>
  <c r="F2229" i="11"/>
  <c r="E2229" i="11"/>
  <c r="D2229" i="11"/>
  <c r="C2229" i="11"/>
  <c r="B2229" i="11"/>
  <c r="A2229" i="11"/>
  <c r="H2228" i="11"/>
  <c r="G2228" i="11"/>
  <c r="F2228" i="11"/>
  <c r="E2228" i="11"/>
  <c r="D2228" i="11"/>
  <c r="C2228" i="11"/>
  <c r="B2228" i="11"/>
  <c r="A2228" i="11"/>
  <c r="H2227" i="11"/>
  <c r="G2227" i="11"/>
  <c r="F2227" i="11"/>
  <c r="E2227" i="11"/>
  <c r="D2227" i="11"/>
  <c r="C2227" i="11"/>
  <c r="B2227" i="11"/>
  <c r="A2227" i="11"/>
  <c r="H2226" i="11"/>
  <c r="G2226" i="11"/>
  <c r="F2226" i="11"/>
  <c r="E2226" i="11"/>
  <c r="D2226" i="11"/>
  <c r="C2226" i="11"/>
  <c r="B2226" i="11"/>
  <c r="A2226" i="11"/>
  <c r="H2225" i="11"/>
  <c r="G2225" i="11"/>
  <c r="F2225" i="11"/>
  <c r="E2225" i="11"/>
  <c r="D2225" i="11"/>
  <c r="C2225" i="11"/>
  <c r="B2225" i="11"/>
  <c r="A2225" i="11"/>
  <c r="H2224" i="11"/>
  <c r="G2224" i="11"/>
  <c r="F2224" i="11"/>
  <c r="E2224" i="11"/>
  <c r="D2224" i="11"/>
  <c r="C2224" i="11"/>
  <c r="B2224" i="11"/>
  <c r="A2224" i="11"/>
  <c r="H2223" i="11"/>
  <c r="G2223" i="11"/>
  <c r="F2223" i="11"/>
  <c r="E2223" i="11"/>
  <c r="D2223" i="11"/>
  <c r="C2223" i="11"/>
  <c r="B2223" i="11"/>
  <c r="A2223" i="11"/>
  <c r="H2222" i="11"/>
  <c r="G2222" i="11"/>
  <c r="F2222" i="11"/>
  <c r="E2222" i="11"/>
  <c r="D2222" i="11"/>
  <c r="C2222" i="11"/>
  <c r="B2222" i="11"/>
  <c r="A2222" i="11"/>
  <c r="H2221" i="11"/>
  <c r="G2221" i="11"/>
  <c r="F2221" i="11"/>
  <c r="E2221" i="11"/>
  <c r="D2221" i="11"/>
  <c r="C2221" i="11"/>
  <c r="B2221" i="11"/>
  <c r="A2221" i="11"/>
  <c r="H2220" i="11"/>
  <c r="G2220" i="11"/>
  <c r="F2220" i="11"/>
  <c r="E2220" i="11"/>
  <c r="D2220" i="11"/>
  <c r="C2220" i="11"/>
  <c r="B2220" i="11"/>
  <c r="A2220" i="11"/>
  <c r="H2219" i="11"/>
  <c r="G2219" i="11"/>
  <c r="F2219" i="11"/>
  <c r="E2219" i="11"/>
  <c r="D2219" i="11"/>
  <c r="C2219" i="11"/>
  <c r="B2219" i="11"/>
  <c r="A2219" i="11"/>
  <c r="H2218" i="11"/>
  <c r="G2218" i="11"/>
  <c r="F2218" i="11"/>
  <c r="E2218" i="11"/>
  <c r="D2218" i="11"/>
  <c r="C2218" i="11"/>
  <c r="B2218" i="11"/>
  <c r="A2218" i="11"/>
  <c r="H2217" i="11"/>
  <c r="G2217" i="11"/>
  <c r="F2217" i="11"/>
  <c r="E2217" i="11"/>
  <c r="D2217" i="11"/>
  <c r="C2217" i="11"/>
  <c r="B2217" i="11"/>
  <c r="A2217" i="11"/>
  <c r="H2216" i="11"/>
  <c r="G2216" i="11"/>
  <c r="F2216" i="11"/>
  <c r="E2216" i="11"/>
  <c r="D2216" i="11"/>
  <c r="C2216" i="11"/>
  <c r="B2216" i="11"/>
  <c r="A2216" i="11"/>
  <c r="H2215" i="11"/>
  <c r="G2215" i="11"/>
  <c r="F2215" i="11"/>
  <c r="E2215" i="11"/>
  <c r="D2215" i="11"/>
  <c r="C2215" i="11"/>
  <c r="B2215" i="11"/>
  <c r="A2215" i="11"/>
  <c r="H2214" i="11"/>
  <c r="G2214" i="11"/>
  <c r="F2214" i="11"/>
  <c r="E2214" i="11"/>
  <c r="D2214" i="11"/>
  <c r="C2214" i="11"/>
  <c r="B2214" i="11"/>
  <c r="A2214" i="11"/>
  <c r="H2213" i="11"/>
  <c r="G2213" i="11"/>
  <c r="F2213" i="11"/>
  <c r="E2213" i="11"/>
  <c r="D2213" i="11"/>
  <c r="C2213" i="11"/>
  <c r="B2213" i="11"/>
  <c r="A2213" i="11"/>
  <c r="H2212" i="11"/>
  <c r="G2212" i="11"/>
  <c r="F2212" i="11"/>
  <c r="E2212" i="11"/>
  <c r="D2212" i="11"/>
  <c r="C2212" i="11"/>
  <c r="B2212" i="11"/>
  <c r="A2212" i="11"/>
  <c r="H2211" i="11"/>
  <c r="G2211" i="11"/>
  <c r="F2211" i="11"/>
  <c r="E2211" i="11"/>
  <c r="D2211" i="11"/>
  <c r="C2211" i="11"/>
  <c r="B2211" i="11"/>
  <c r="A2211" i="11"/>
  <c r="H2210" i="11"/>
  <c r="G2210" i="11"/>
  <c r="F2210" i="11"/>
  <c r="E2210" i="11"/>
  <c r="D2210" i="11"/>
  <c r="C2210" i="11"/>
  <c r="B2210" i="11"/>
  <c r="A2210" i="11"/>
  <c r="H2209" i="11"/>
  <c r="G2209" i="11"/>
  <c r="F2209" i="11"/>
  <c r="E2209" i="11"/>
  <c r="D2209" i="11"/>
  <c r="C2209" i="11"/>
  <c r="B2209" i="11"/>
  <c r="A2209" i="11"/>
  <c r="H2208" i="11"/>
  <c r="G2208" i="11"/>
  <c r="F2208" i="11"/>
  <c r="E2208" i="11"/>
  <c r="D2208" i="11"/>
  <c r="C2208" i="11"/>
  <c r="B2208" i="11"/>
  <c r="A2208" i="11"/>
  <c r="H2207" i="11"/>
  <c r="G2207" i="11"/>
  <c r="F2207" i="11"/>
  <c r="E2207" i="11"/>
  <c r="D2207" i="11"/>
  <c r="C2207" i="11"/>
  <c r="B2207" i="11"/>
  <c r="A2207" i="11"/>
  <c r="H2206" i="11"/>
  <c r="G2206" i="11"/>
  <c r="F2206" i="11"/>
  <c r="E2206" i="11"/>
  <c r="D2206" i="11"/>
  <c r="C2206" i="11"/>
  <c r="B2206" i="11"/>
  <c r="A2206" i="11"/>
  <c r="H2205" i="11"/>
  <c r="G2205" i="11"/>
  <c r="F2205" i="11"/>
  <c r="E2205" i="11"/>
  <c r="D2205" i="11"/>
  <c r="C2205" i="11"/>
  <c r="B2205" i="11"/>
  <c r="A2205" i="11"/>
  <c r="H2204" i="11"/>
  <c r="G2204" i="11"/>
  <c r="F2204" i="11"/>
  <c r="E2204" i="11"/>
  <c r="D2204" i="11"/>
  <c r="C2204" i="11"/>
  <c r="B2204" i="11"/>
  <c r="A2204" i="11"/>
  <c r="H2203" i="11"/>
  <c r="G2203" i="11"/>
  <c r="F2203" i="11"/>
  <c r="E2203" i="11"/>
  <c r="D2203" i="11"/>
  <c r="C2203" i="11"/>
  <c r="B2203" i="11"/>
  <c r="A2203" i="11"/>
  <c r="H2202" i="11"/>
  <c r="G2202" i="11"/>
  <c r="F2202" i="11"/>
  <c r="E2202" i="11"/>
  <c r="D2202" i="11"/>
  <c r="C2202" i="11"/>
  <c r="B2202" i="11"/>
  <c r="A2202" i="11"/>
  <c r="H2201" i="11"/>
  <c r="G2201" i="11"/>
  <c r="F2201" i="11"/>
  <c r="E2201" i="11"/>
  <c r="D2201" i="11"/>
  <c r="C2201" i="11"/>
  <c r="B2201" i="11"/>
  <c r="A2201" i="11"/>
  <c r="H2200" i="11"/>
  <c r="G2200" i="11"/>
  <c r="F2200" i="11"/>
  <c r="E2200" i="11"/>
  <c r="D2200" i="11"/>
  <c r="C2200" i="11"/>
  <c r="B2200" i="11"/>
  <c r="A2200" i="11"/>
  <c r="H2199" i="11"/>
  <c r="G2199" i="11"/>
  <c r="F2199" i="11"/>
  <c r="E2199" i="11"/>
  <c r="D2199" i="11"/>
  <c r="C2199" i="11"/>
  <c r="B2199" i="11"/>
  <c r="A2199" i="11"/>
  <c r="H2198" i="11"/>
  <c r="G2198" i="11"/>
  <c r="F2198" i="11"/>
  <c r="E2198" i="11"/>
  <c r="D2198" i="11"/>
  <c r="C2198" i="11"/>
  <c r="B2198" i="11"/>
  <c r="A2198" i="11"/>
  <c r="H2197" i="11"/>
  <c r="G2197" i="11"/>
  <c r="F2197" i="11"/>
  <c r="E2197" i="11"/>
  <c r="D2197" i="11"/>
  <c r="C2197" i="11"/>
  <c r="B2197" i="11"/>
  <c r="A2197" i="11"/>
  <c r="H2196" i="11"/>
  <c r="G2196" i="11"/>
  <c r="F2196" i="11"/>
  <c r="E2196" i="11"/>
  <c r="D2196" i="11"/>
  <c r="C2196" i="11"/>
  <c r="B2196" i="11"/>
  <c r="A2196" i="11"/>
  <c r="H2195" i="11"/>
  <c r="G2195" i="11"/>
  <c r="F2195" i="11"/>
  <c r="E2195" i="11"/>
  <c r="D2195" i="11"/>
  <c r="C2195" i="11"/>
  <c r="B2195" i="11"/>
  <c r="A2195" i="11"/>
  <c r="H2194" i="11"/>
  <c r="G2194" i="11"/>
  <c r="F2194" i="11"/>
  <c r="E2194" i="11"/>
  <c r="D2194" i="11"/>
  <c r="C2194" i="11"/>
  <c r="B2194" i="11"/>
  <c r="A2194" i="11"/>
  <c r="H2193" i="11"/>
  <c r="G2193" i="11"/>
  <c r="F2193" i="11"/>
  <c r="E2193" i="11"/>
  <c r="D2193" i="11"/>
  <c r="C2193" i="11"/>
  <c r="B2193" i="11"/>
  <c r="A2193" i="11"/>
  <c r="H2192" i="11"/>
  <c r="G2192" i="11"/>
  <c r="F2192" i="11"/>
  <c r="E2192" i="11"/>
  <c r="D2192" i="11"/>
  <c r="C2192" i="11"/>
  <c r="B2192" i="11"/>
  <c r="A2192" i="11"/>
  <c r="H2191" i="11"/>
  <c r="G2191" i="11"/>
  <c r="F2191" i="11"/>
  <c r="E2191" i="11"/>
  <c r="D2191" i="11"/>
  <c r="C2191" i="11"/>
  <c r="B2191" i="11"/>
  <c r="A2191" i="11"/>
  <c r="H2190" i="11"/>
  <c r="G2190" i="11"/>
  <c r="F2190" i="11"/>
  <c r="E2190" i="11"/>
  <c r="D2190" i="11"/>
  <c r="C2190" i="11"/>
  <c r="B2190" i="11"/>
  <c r="A2190" i="11"/>
  <c r="H2189" i="11"/>
  <c r="G2189" i="11"/>
  <c r="F2189" i="11"/>
  <c r="E2189" i="11"/>
  <c r="D2189" i="11"/>
  <c r="C2189" i="11"/>
  <c r="B2189" i="11"/>
  <c r="A2189" i="11"/>
  <c r="H2188" i="11"/>
  <c r="G2188" i="11"/>
  <c r="F2188" i="11"/>
  <c r="E2188" i="11"/>
  <c r="D2188" i="11"/>
  <c r="C2188" i="11"/>
  <c r="B2188" i="11"/>
  <c r="A2188" i="11"/>
  <c r="H2187" i="11"/>
  <c r="G2187" i="11"/>
  <c r="F2187" i="11"/>
  <c r="E2187" i="11"/>
  <c r="D2187" i="11"/>
  <c r="C2187" i="11"/>
  <c r="B2187" i="11"/>
  <c r="A2187" i="11"/>
  <c r="H2186" i="11"/>
  <c r="G2186" i="11"/>
  <c r="F2186" i="11"/>
  <c r="E2186" i="11"/>
  <c r="D2186" i="11"/>
  <c r="C2186" i="11"/>
  <c r="B2186" i="11"/>
  <c r="A2186" i="11"/>
  <c r="H2185" i="11"/>
  <c r="G2185" i="11"/>
  <c r="F2185" i="11"/>
  <c r="E2185" i="11"/>
  <c r="D2185" i="11"/>
  <c r="C2185" i="11"/>
  <c r="B2185" i="11"/>
  <c r="A2185" i="11"/>
  <c r="H2184" i="11"/>
  <c r="G2184" i="11"/>
  <c r="F2184" i="11"/>
  <c r="E2184" i="11"/>
  <c r="D2184" i="11"/>
  <c r="C2184" i="11"/>
  <c r="B2184" i="11"/>
  <c r="A2184" i="11"/>
  <c r="H2183" i="11"/>
  <c r="G2183" i="11"/>
  <c r="F2183" i="11"/>
  <c r="E2183" i="11"/>
  <c r="D2183" i="11"/>
  <c r="C2183" i="11"/>
  <c r="B2183" i="11"/>
  <c r="A2183" i="11"/>
  <c r="H2182" i="11"/>
  <c r="G2182" i="11"/>
  <c r="F2182" i="11"/>
  <c r="E2182" i="11"/>
  <c r="D2182" i="11"/>
  <c r="C2182" i="11"/>
  <c r="B2182" i="11"/>
  <c r="A2182" i="11"/>
  <c r="H2181" i="11"/>
  <c r="G2181" i="11"/>
  <c r="F2181" i="11"/>
  <c r="E2181" i="11"/>
  <c r="D2181" i="11"/>
  <c r="C2181" i="11"/>
  <c r="B2181" i="11"/>
  <c r="A2181" i="11"/>
  <c r="H2180" i="11"/>
  <c r="G2180" i="11"/>
  <c r="F2180" i="11"/>
  <c r="E2180" i="11"/>
  <c r="D2180" i="11"/>
  <c r="C2180" i="11"/>
  <c r="B2180" i="11"/>
  <c r="A2180" i="11"/>
  <c r="H2179" i="11"/>
  <c r="G2179" i="11"/>
  <c r="F2179" i="11"/>
  <c r="E2179" i="11"/>
  <c r="D2179" i="11"/>
  <c r="C2179" i="11"/>
  <c r="B2179" i="11"/>
  <c r="A2179" i="11"/>
  <c r="H2178" i="11"/>
  <c r="G2178" i="11"/>
  <c r="F2178" i="11"/>
  <c r="E2178" i="11"/>
  <c r="D2178" i="11"/>
  <c r="C2178" i="11"/>
  <c r="B2178" i="11"/>
  <c r="A2178" i="11"/>
  <c r="H2177" i="11"/>
  <c r="G2177" i="11"/>
  <c r="F2177" i="11"/>
  <c r="E2177" i="11"/>
  <c r="D2177" i="11"/>
  <c r="C2177" i="11"/>
  <c r="B2177" i="11"/>
  <c r="A2177" i="11"/>
  <c r="H2176" i="11"/>
  <c r="G2176" i="11"/>
  <c r="F2176" i="11"/>
  <c r="E2176" i="11"/>
  <c r="D2176" i="11"/>
  <c r="C2176" i="11"/>
  <c r="B2176" i="11"/>
  <c r="A2176" i="11"/>
  <c r="H2175" i="11"/>
  <c r="G2175" i="11"/>
  <c r="F2175" i="11"/>
  <c r="E2175" i="11"/>
  <c r="D2175" i="11"/>
  <c r="C2175" i="11"/>
  <c r="B2175" i="11"/>
  <c r="A2175" i="11"/>
  <c r="H2174" i="11"/>
  <c r="G2174" i="11"/>
  <c r="F2174" i="11"/>
  <c r="E2174" i="11"/>
  <c r="D2174" i="11"/>
  <c r="C2174" i="11"/>
  <c r="B2174" i="11"/>
  <c r="A2174" i="11"/>
  <c r="H2173" i="11"/>
  <c r="G2173" i="11"/>
  <c r="F2173" i="11"/>
  <c r="E2173" i="11"/>
  <c r="D2173" i="11"/>
  <c r="C2173" i="11"/>
  <c r="B2173" i="11"/>
  <c r="A2173" i="11"/>
  <c r="H2172" i="11"/>
  <c r="G2172" i="11"/>
  <c r="F2172" i="11"/>
  <c r="E2172" i="11"/>
  <c r="D2172" i="11"/>
  <c r="C2172" i="11"/>
  <c r="B2172" i="11"/>
  <c r="A2172" i="11"/>
  <c r="H2171" i="11"/>
  <c r="G2171" i="11"/>
  <c r="F2171" i="11"/>
  <c r="E2171" i="11"/>
  <c r="D2171" i="11"/>
  <c r="C2171" i="11"/>
  <c r="B2171" i="11"/>
  <c r="A2171" i="11"/>
  <c r="H2170" i="11"/>
  <c r="G2170" i="11"/>
  <c r="F2170" i="11"/>
  <c r="E2170" i="11"/>
  <c r="D2170" i="11"/>
  <c r="C2170" i="11"/>
  <c r="B2170" i="11"/>
  <c r="A2170" i="11"/>
  <c r="H2169" i="11"/>
  <c r="G2169" i="11"/>
  <c r="F2169" i="11"/>
  <c r="E2169" i="11"/>
  <c r="D2169" i="11"/>
  <c r="C2169" i="11"/>
  <c r="B2169" i="11"/>
  <c r="A2169" i="11"/>
  <c r="H2168" i="11"/>
  <c r="G2168" i="11"/>
  <c r="F2168" i="11"/>
  <c r="E2168" i="11"/>
  <c r="D2168" i="11"/>
  <c r="C2168" i="11"/>
  <c r="B2168" i="11"/>
  <c r="A2168" i="11"/>
  <c r="H2167" i="11"/>
  <c r="G2167" i="11"/>
  <c r="F2167" i="11"/>
  <c r="E2167" i="11"/>
  <c r="D2167" i="11"/>
  <c r="C2167" i="11"/>
  <c r="B2167" i="11"/>
  <c r="A2167" i="11"/>
  <c r="H2166" i="11"/>
  <c r="G2166" i="11"/>
  <c r="F2166" i="11"/>
  <c r="E2166" i="11"/>
  <c r="D2166" i="11"/>
  <c r="C2166" i="11"/>
  <c r="B2166" i="11"/>
  <c r="A2166" i="11"/>
  <c r="H2165" i="11"/>
  <c r="G2165" i="11"/>
  <c r="F2165" i="11"/>
  <c r="E2165" i="11"/>
  <c r="D2165" i="11"/>
  <c r="C2165" i="11"/>
  <c r="B2165" i="11"/>
  <c r="A2165" i="11"/>
  <c r="H2164" i="11"/>
  <c r="G2164" i="11"/>
  <c r="F2164" i="11"/>
  <c r="E2164" i="11"/>
  <c r="D2164" i="11"/>
  <c r="C2164" i="11"/>
  <c r="B2164" i="11"/>
  <c r="A2164" i="11"/>
  <c r="H2163" i="11"/>
  <c r="G2163" i="11"/>
  <c r="F2163" i="11"/>
  <c r="E2163" i="11"/>
  <c r="D2163" i="11"/>
  <c r="C2163" i="11"/>
  <c r="B2163" i="11"/>
  <c r="A2163" i="11"/>
  <c r="H2162" i="11"/>
  <c r="G2162" i="11"/>
  <c r="F2162" i="11"/>
  <c r="E2162" i="11"/>
  <c r="D2162" i="11"/>
  <c r="C2162" i="11"/>
  <c r="B2162" i="11"/>
  <c r="A2162" i="11"/>
  <c r="H2161" i="11"/>
  <c r="G2161" i="11"/>
  <c r="F2161" i="11"/>
  <c r="E2161" i="11"/>
  <c r="D2161" i="11"/>
  <c r="C2161" i="11"/>
  <c r="B2161" i="11"/>
  <c r="A2161" i="11"/>
  <c r="H2160" i="11"/>
  <c r="G2160" i="11"/>
  <c r="F2160" i="11"/>
  <c r="E2160" i="11"/>
  <c r="D2160" i="11"/>
  <c r="C2160" i="11"/>
  <c r="B2160" i="11"/>
  <c r="A2160" i="11"/>
  <c r="H2159" i="11"/>
  <c r="G2159" i="11"/>
  <c r="F2159" i="11"/>
  <c r="E2159" i="11"/>
  <c r="D2159" i="11"/>
  <c r="C2159" i="11"/>
  <c r="B2159" i="11"/>
  <c r="A2159" i="11"/>
  <c r="H2158" i="11"/>
  <c r="G2158" i="11"/>
  <c r="F2158" i="11"/>
  <c r="E2158" i="11"/>
  <c r="D2158" i="11"/>
  <c r="C2158" i="11"/>
  <c r="B2158" i="11"/>
  <c r="A2158" i="11"/>
  <c r="H2157" i="11"/>
  <c r="G2157" i="11"/>
  <c r="F2157" i="11"/>
  <c r="E2157" i="11"/>
  <c r="D2157" i="11"/>
  <c r="C2157" i="11"/>
  <c r="B2157" i="11"/>
  <c r="A2157" i="11"/>
  <c r="H2156" i="11"/>
  <c r="G2156" i="11"/>
  <c r="F2156" i="11"/>
  <c r="E2156" i="11"/>
  <c r="D2156" i="11"/>
  <c r="C2156" i="11"/>
  <c r="B2156" i="11"/>
  <c r="A2156" i="11"/>
  <c r="H2155" i="11"/>
  <c r="G2155" i="11"/>
  <c r="F2155" i="11"/>
  <c r="E2155" i="11"/>
  <c r="D2155" i="11"/>
  <c r="C2155" i="11"/>
  <c r="B2155" i="11"/>
  <c r="A2155" i="11"/>
  <c r="H2154" i="11"/>
  <c r="G2154" i="11"/>
  <c r="F2154" i="11"/>
  <c r="E2154" i="11"/>
  <c r="D2154" i="11"/>
  <c r="C2154" i="11"/>
  <c r="B2154" i="11"/>
  <c r="A2154" i="11"/>
  <c r="H2153" i="11"/>
  <c r="G2153" i="11"/>
  <c r="F2153" i="11"/>
  <c r="E2153" i="11"/>
  <c r="D2153" i="11"/>
  <c r="C2153" i="11"/>
  <c r="B2153" i="11"/>
  <c r="A2153" i="11"/>
  <c r="H2152" i="11"/>
  <c r="G2152" i="11"/>
  <c r="F2152" i="11"/>
  <c r="E2152" i="11"/>
  <c r="D2152" i="11"/>
  <c r="C2152" i="11"/>
  <c r="B2152" i="11"/>
  <c r="A2152" i="11"/>
  <c r="H2151" i="11"/>
  <c r="G2151" i="11"/>
  <c r="F2151" i="11"/>
  <c r="E2151" i="11"/>
  <c r="D2151" i="11"/>
  <c r="C2151" i="11"/>
  <c r="B2151" i="11"/>
  <c r="A2151" i="11"/>
  <c r="H2150" i="11"/>
  <c r="G2150" i="11"/>
  <c r="F2150" i="11"/>
  <c r="E2150" i="11"/>
  <c r="D2150" i="11"/>
  <c r="C2150" i="11"/>
  <c r="B2150" i="11"/>
  <c r="A2150" i="11"/>
  <c r="H2149" i="11"/>
  <c r="G2149" i="11"/>
  <c r="F2149" i="11"/>
  <c r="E2149" i="11"/>
  <c r="D2149" i="11"/>
  <c r="C2149" i="11"/>
  <c r="B2149" i="11"/>
  <c r="A2149" i="11"/>
  <c r="H2148" i="11"/>
  <c r="G2148" i="11"/>
  <c r="F2148" i="11"/>
  <c r="E2148" i="11"/>
  <c r="D2148" i="11"/>
  <c r="C2148" i="11"/>
  <c r="B2148" i="11"/>
  <c r="A2148" i="11"/>
  <c r="H2147" i="11"/>
  <c r="G2147" i="11"/>
  <c r="F2147" i="11"/>
  <c r="E2147" i="11"/>
  <c r="D2147" i="11"/>
  <c r="C2147" i="11"/>
  <c r="B2147" i="11"/>
  <c r="A2147" i="11"/>
  <c r="H2146" i="11"/>
  <c r="G2146" i="11"/>
  <c r="F2146" i="11"/>
  <c r="E2146" i="11"/>
  <c r="D2146" i="11"/>
  <c r="C2146" i="11"/>
  <c r="B2146" i="11"/>
  <c r="A2146" i="11"/>
  <c r="H2145" i="11"/>
  <c r="G2145" i="11"/>
  <c r="F2145" i="11"/>
  <c r="E2145" i="11"/>
  <c r="D2145" i="11"/>
  <c r="C2145" i="11"/>
  <c r="B2145" i="11"/>
  <c r="A2145" i="11"/>
  <c r="H2144" i="11"/>
  <c r="G2144" i="11"/>
  <c r="F2144" i="11"/>
  <c r="E2144" i="11"/>
  <c r="D2144" i="11"/>
  <c r="C2144" i="11"/>
  <c r="B2144" i="11"/>
  <c r="A2144" i="11"/>
  <c r="H2143" i="11"/>
  <c r="G2143" i="11"/>
  <c r="F2143" i="11"/>
  <c r="E2143" i="11"/>
  <c r="D2143" i="11"/>
  <c r="C2143" i="11"/>
  <c r="B2143" i="11"/>
  <c r="A2143" i="11"/>
  <c r="H2142" i="11"/>
  <c r="G2142" i="11"/>
  <c r="F2142" i="11"/>
  <c r="E2142" i="11"/>
  <c r="D2142" i="11"/>
  <c r="C2142" i="11"/>
  <c r="B2142" i="11"/>
  <c r="A2142" i="11"/>
  <c r="H2141" i="11"/>
  <c r="G2141" i="11"/>
  <c r="F2141" i="11"/>
  <c r="E2141" i="11"/>
  <c r="D2141" i="11"/>
  <c r="C2141" i="11"/>
  <c r="B2141" i="11"/>
  <c r="A2141" i="11"/>
  <c r="H2140" i="11"/>
  <c r="G2140" i="11"/>
  <c r="F2140" i="11"/>
  <c r="E2140" i="11"/>
  <c r="D2140" i="11"/>
  <c r="C2140" i="11"/>
  <c r="B2140" i="11"/>
  <c r="A2140" i="11"/>
  <c r="H2139" i="11"/>
  <c r="G2139" i="11"/>
  <c r="F2139" i="11"/>
  <c r="E2139" i="11"/>
  <c r="D2139" i="11"/>
  <c r="C2139" i="11"/>
  <c r="B2139" i="11"/>
  <c r="A2139" i="11"/>
  <c r="H2138" i="11"/>
  <c r="G2138" i="11"/>
  <c r="F2138" i="11"/>
  <c r="E2138" i="11"/>
  <c r="D2138" i="11"/>
  <c r="C2138" i="11"/>
  <c r="B2138" i="11"/>
  <c r="A2138" i="11"/>
  <c r="H2137" i="11"/>
  <c r="G2137" i="11"/>
  <c r="F2137" i="11"/>
  <c r="E2137" i="11"/>
  <c r="D2137" i="11"/>
  <c r="C2137" i="11"/>
  <c r="B2137" i="11"/>
  <c r="A2137" i="11"/>
  <c r="H2136" i="11"/>
  <c r="G2136" i="11"/>
  <c r="F2136" i="11"/>
  <c r="E2136" i="11"/>
  <c r="D2136" i="11"/>
  <c r="C2136" i="11"/>
  <c r="B2136" i="11"/>
  <c r="A2136" i="11"/>
  <c r="H2135" i="11"/>
  <c r="G2135" i="11"/>
  <c r="F2135" i="11"/>
  <c r="E2135" i="11"/>
  <c r="D2135" i="11"/>
  <c r="C2135" i="11"/>
  <c r="B2135" i="11"/>
  <c r="A2135" i="11"/>
  <c r="H2134" i="11"/>
  <c r="G2134" i="11"/>
  <c r="F2134" i="11"/>
  <c r="E2134" i="11"/>
  <c r="D2134" i="11"/>
  <c r="C2134" i="11"/>
  <c r="B2134" i="11"/>
  <c r="A2134" i="11"/>
  <c r="H2133" i="11"/>
  <c r="G2133" i="11"/>
  <c r="F2133" i="11"/>
  <c r="E2133" i="11"/>
  <c r="D2133" i="11"/>
  <c r="C2133" i="11"/>
  <c r="B2133" i="11"/>
  <c r="A2133" i="11"/>
  <c r="H2132" i="11"/>
  <c r="G2132" i="11"/>
  <c r="F2132" i="11"/>
  <c r="E2132" i="11"/>
  <c r="D2132" i="11"/>
  <c r="C2132" i="11"/>
  <c r="B2132" i="11"/>
  <c r="A2132" i="11"/>
  <c r="H2131" i="11"/>
  <c r="G2131" i="11"/>
  <c r="F2131" i="11"/>
  <c r="E2131" i="11"/>
  <c r="D2131" i="11"/>
  <c r="C2131" i="11"/>
  <c r="B2131" i="11"/>
  <c r="A2131" i="11"/>
  <c r="H2130" i="11"/>
  <c r="G2130" i="11"/>
  <c r="F2130" i="11"/>
  <c r="E2130" i="11"/>
  <c r="D2130" i="11"/>
  <c r="C2130" i="11"/>
  <c r="B2130" i="11"/>
  <c r="A2130" i="11"/>
  <c r="H2129" i="11"/>
  <c r="G2129" i="11"/>
  <c r="F2129" i="11"/>
  <c r="E2129" i="11"/>
  <c r="D2129" i="11"/>
  <c r="C2129" i="11"/>
  <c r="B2129" i="11"/>
  <c r="A2129" i="11"/>
  <c r="H2128" i="11"/>
  <c r="G2128" i="11"/>
  <c r="F2128" i="11"/>
  <c r="E2128" i="11"/>
  <c r="D2128" i="11"/>
  <c r="C2128" i="11"/>
  <c r="B2128" i="11"/>
  <c r="A2128" i="11"/>
  <c r="H2127" i="11"/>
  <c r="G2127" i="11"/>
  <c r="F2127" i="11"/>
  <c r="E2127" i="11"/>
  <c r="D2127" i="11"/>
  <c r="C2127" i="11"/>
  <c r="B2127" i="11"/>
  <c r="A2127" i="11"/>
  <c r="H2126" i="11"/>
  <c r="G2126" i="11"/>
  <c r="F2126" i="11"/>
  <c r="E2126" i="11"/>
  <c r="D2126" i="11"/>
  <c r="C2126" i="11"/>
  <c r="B2126" i="11"/>
  <c r="A2126" i="11"/>
  <c r="H2125" i="11"/>
  <c r="G2125" i="11"/>
  <c r="F2125" i="11"/>
  <c r="E2125" i="11"/>
  <c r="D2125" i="11"/>
  <c r="C2125" i="11"/>
  <c r="B2125" i="11"/>
  <c r="A2125" i="11"/>
  <c r="H2124" i="11"/>
  <c r="G2124" i="11"/>
  <c r="F2124" i="11"/>
  <c r="E2124" i="11"/>
  <c r="D2124" i="11"/>
  <c r="C2124" i="11"/>
  <c r="B2124" i="11"/>
  <c r="A2124" i="11"/>
  <c r="H2123" i="11"/>
  <c r="G2123" i="11"/>
  <c r="F2123" i="11"/>
  <c r="E2123" i="11"/>
  <c r="D2123" i="11"/>
  <c r="C2123" i="11"/>
  <c r="B2123" i="11"/>
  <c r="A2123" i="11"/>
  <c r="H2122" i="11"/>
  <c r="G2122" i="11"/>
  <c r="F2122" i="11"/>
  <c r="E2122" i="11"/>
  <c r="D2122" i="11"/>
  <c r="C2122" i="11"/>
  <c r="B2122" i="11"/>
  <c r="A2122" i="11"/>
  <c r="H2121" i="11"/>
  <c r="G2121" i="11"/>
  <c r="F2121" i="11"/>
  <c r="E2121" i="11"/>
  <c r="D2121" i="11"/>
  <c r="C2121" i="11"/>
  <c r="B2121" i="11"/>
  <c r="A2121" i="11"/>
  <c r="H2120" i="11"/>
  <c r="G2120" i="11"/>
  <c r="F2120" i="11"/>
  <c r="E2120" i="11"/>
  <c r="D2120" i="11"/>
  <c r="C2120" i="11"/>
  <c r="B2120" i="11"/>
  <c r="A2120" i="11"/>
  <c r="H2119" i="11"/>
  <c r="G2119" i="11"/>
  <c r="F2119" i="11"/>
  <c r="E2119" i="11"/>
  <c r="D2119" i="11"/>
  <c r="C2119" i="11"/>
  <c r="B2119" i="11"/>
  <c r="A2119" i="11"/>
  <c r="H2118" i="11"/>
  <c r="G2118" i="11"/>
  <c r="F2118" i="11"/>
  <c r="E2118" i="11"/>
  <c r="D2118" i="11"/>
  <c r="C2118" i="11"/>
  <c r="B2118" i="11"/>
  <c r="A2118" i="11"/>
  <c r="H2117" i="11"/>
  <c r="G2117" i="11"/>
  <c r="F2117" i="11"/>
  <c r="E2117" i="11"/>
  <c r="D2117" i="11"/>
  <c r="C2117" i="11"/>
  <c r="B2117" i="11"/>
  <c r="A2117" i="11"/>
  <c r="H2116" i="11"/>
  <c r="G2116" i="11"/>
  <c r="F2116" i="11"/>
  <c r="E2116" i="11"/>
  <c r="D2116" i="11"/>
  <c r="C2116" i="11"/>
  <c r="B2116" i="11"/>
  <c r="A2116" i="11"/>
  <c r="H2115" i="11"/>
  <c r="G2115" i="11"/>
  <c r="F2115" i="11"/>
  <c r="E2115" i="11"/>
  <c r="D2115" i="11"/>
  <c r="C2115" i="11"/>
  <c r="B2115" i="11"/>
  <c r="A2115" i="11"/>
  <c r="H2114" i="11"/>
  <c r="G2114" i="11"/>
  <c r="F2114" i="11"/>
  <c r="E2114" i="11"/>
  <c r="D2114" i="11"/>
  <c r="C2114" i="11"/>
  <c r="B2114" i="11"/>
  <c r="A2114" i="11"/>
  <c r="H2113" i="11"/>
  <c r="G2113" i="11"/>
  <c r="F2113" i="11"/>
  <c r="E2113" i="11"/>
  <c r="D2113" i="11"/>
  <c r="C2113" i="11"/>
  <c r="B2113" i="11"/>
  <c r="A2113" i="11"/>
  <c r="H2112" i="11"/>
  <c r="G2112" i="11"/>
  <c r="F2112" i="11"/>
  <c r="E2112" i="11"/>
  <c r="D2112" i="11"/>
  <c r="C2112" i="11"/>
  <c r="B2112" i="11"/>
  <c r="A2112" i="11"/>
  <c r="H2111" i="11"/>
  <c r="G2111" i="11"/>
  <c r="F2111" i="11"/>
  <c r="E2111" i="11"/>
  <c r="D2111" i="11"/>
  <c r="C2111" i="11"/>
  <c r="B2111" i="11"/>
  <c r="A2111" i="11"/>
  <c r="H2110" i="11"/>
  <c r="G2110" i="11"/>
  <c r="F2110" i="11"/>
  <c r="E2110" i="11"/>
  <c r="D2110" i="11"/>
  <c r="C2110" i="11"/>
  <c r="B2110" i="11"/>
  <c r="A2110" i="11"/>
  <c r="H2109" i="11"/>
  <c r="G2109" i="11"/>
  <c r="F2109" i="11"/>
  <c r="E2109" i="11"/>
  <c r="D2109" i="11"/>
  <c r="C2109" i="11"/>
  <c r="B2109" i="11"/>
  <c r="A2109" i="11"/>
  <c r="H2108" i="11"/>
  <c r="G2108" i="11"/>
  <c r="F2108" i="11"/>
  <c r="E2108" i="11"/>
  <c r="D2108" i="11"/>
  <c r="C2108" i="11"/>
  <c r="B2108" i="11"/>
  <c r="A2108" i="11"/>
  <c r="H2107" i="11"/>
  <c r="G2107" i="11"/>
  <c r="F2107" i="11"/>
  <c r="E2107" i="11"/>
  <c r="D2107" i="11"/>
  <c r="C2107" i="11"/>
  <c r="B2107" i="11"/>
  <c r="A2107" i="11"/>
  <c r="H2106" i="11"/>
  <c r="G2106" i="11"/>
  <c r="F2106" i="11"/>
  <c r="E2106" i="11"/>
  <c r="D2106" i="11"/>
  <c r="C2106" i="11"/>
  <c r="B2106" i="11"/>
  <c r="A2106" i="11"/>
  <c r="H2105" i="11"/>
  <c r="G2105" i="11"/>
  <c r="F2105" i="11"/>
  <c r="E2105" i="11"/>
  <c r="D2105" i="11"/>
  <c r="C2105" i="11"/>
  <c r="B2105" i="11"/>
  <c r="A2105" i="11"/>
  <c r="H2104" i="11"/>
  <c r="G2104" i="11"/>
  <c r="F2104" i="11"/>
  <c r="E2104" i="11"/>
  <c r="D2104" i="11"/>
  <c r="C2104" i="11"/>
  <c r="B2104" i="11"/>
  <c r="A2104" i="11"/>
  <c r="H2103" i="11"/>
  <c r="G2103" i="11"/>
  <c r="F2103" i="11"/>
  <c r="E2103" i="11"/>
  <c r="D2103" i="11"/>
  <c r="C2103" i="11"/>
  <c r="B2103" i="11"/>
  <c r="A2103" i="11"/>
  <c r="H2102" i="11"/>
  <c r="G2102" i="11"/>
  <c r="F2102" i="11"/>
  <c r="E2102" i="11"/>
  <c r="D2102" i="11"/>
  <c r="C2102" i="11"/>
  <c r="B2102" i="11"/>
  <c r="A2102" i="11"/>
  <c r="H2101" i="11"/>
  <c r="G2101" i="11"/>
  <c r="F2101" i="11"/>
  <c r="E2101" i="11"/>
  <c r="D2101" i="11"/>
  <c r="C2101" i="11"/>
  <c r="B2101" i="11"/>
  <c r="A2101" i="11"/>
  <c r="H2100" i="11"/>
  <c r="G2100" i="11"/>
  <c r="F2100" i="11"/>
  <c r="E2100" i="11"/>
  <c r="D2100" i="11"/>
  <c r="C2100" i="11"/>
  <c r="B2100" i="11"/>
  <c r="A2100" i="11"/>
  <c r="H2099" i="11"/>
  <c r="G2099" i="11"/>
  <c r="F2099" i="11"/>
  <c r="E2099" i="11"/>
  <c r="D2099" i="11"/>
  <c r="C2099" i="11"/>
  <c r="B2099" i="11"/>
  <c r="A2099" i="11"/>
  <c r="H2098" i="11"/>
  <c r="G2098" i="11"/>
  <c r="F2098" i="11"/>
  <c r="E2098" i="11"/>
  <c r="D2098" i="11"/>
  <c r="C2098" i="11"/>
  <c r="B2098" i="11"/>
  <c r="A2098" i="11"/>
  <c r="H2097" i="11"/>
  <c r="G2097" i="11"/>
  <c r="F2097" i="11"/>
  <c r="E2097" i="11"/>
  <c r="D2097" i="11"/>
  <c r="C2097" i="11"/>
  <c r="B2097" i="11"/>
  <c r="A2097" i="11"/>
  <c r="H2096" i="11"/>
  <c r="G2096" i="11"/>
  <c r="F2096" i="11"/>
  <c r="E2096" i="11"/>
  <c r="D2096" i="11"/>
  <c r="C2096" i="11"/>
  <c r="B2096" i="11"/>
  <c r="A2096" i="11"/>
  <c r="H2095" i="11"/>
  <c r="G2095" i="11"/>
  <c r="F2095" i="11"/>
  <c r="E2095" i="11"/>
  <c r="D2095" i="11"/>
  <c r="C2095" i="11"/>
  <c r="B2095" i="11"/>
  <c r="A2095" i="11"/>
  <c r="H2094" i="11"/>
  <c r="G2094" i="11"/>
  <c r="F2094" i="11"/>
  <c r="E2094" i="11"/>
  <c r="D2094" i="11"/>
  <c r="C2094" i="11"/>
  <c r="B2094" i="11"/>
  <c r="A2094" i="11"/>
  <c r="H2093" i="11"/>
  <c r="G2093" i="11"/>
  <c r="F2093" i="11"/>
  <c r="E2093" i="11"/>
  <c r="D2093" i="11"/>
  <c r="C2093" i="11"/>
  <c r="B2093" i="11"/>
  <c r="A2093" i="11"/>
  <c r="H2092" i="11"/>
  <c r="G2092" i="11"/>
  <c r="F2092" i="11"/>
  <c r="E2092" i="11"/>
  <c r="D2092" i="11"/>
  <c r="C2092" i="11"/>
  <c r="B2092" i="11"/>
  <c r="A2092" i="11"/>
  <c r="H2091" i="11"/>
  <c r="G2091" i="11"/>
  <c r="F2091" i="11"/>
  <c r="E2091" i="11"/>
  <c r="D2091" i="11"/>
  <c r="C2091" i="11"/>
  <c r="B2091" i="11"/>
  <c r="A2091" i="11"/>
  <c r="H2090" i="11"/>
  <c r="G2090" i="11"/>
  <c r="F2090" i="11"/>
  <c r="E2090" i="11"/>
  <c r="D2090" i="11"/>
  <c r="C2090" i="11"/>
  <c r="B2090" i="11"/>
  <c r="A2090" i="11"/>
  <c r="H2089" i="11"/>
  <c r="G2089" i="11"/>
  <c r="F2089" i="11"/>
  <c r="E2089" i="11"/>
  <c r="D2089" i="11"/>
  <c r="C2089" i="11"/>
  <c r="B2089" i="11"/>
  <c r="A2089" i="11"/>
  <c r="H2088" i="11"/>
  <c r="G2088" i="11"/>
  <c r="F2088" i="11"/>
  <c r="E2088" i="11"/>
  <c r="D2088" i="11"/>
  <c r="C2088" i="11"/>
  <c r="B2088" i="11"/>
  <c r="A2088" i="11"/>
  <c r="H2087" i="11"/>
  <c r="G2087" i="11"/>
  <c r="F2087" i="11"/>
  <c r="E2087" i="11"/>
  <c r="D2087" i="11"/>
  <c r="C2087" i="11"/>
  <c r="B2087" i="11"/>
  <c r="A2087" i="11"/>
  <c r="H2086" i="11"/>
  <c r="G2086" i="11"/>
  <c r="F2086" i="11"/>
  <c r="E2086" i="11"/>
  <c r="D2086" i="11"/>
  <c r="C2086" i="11"/>
  <c r="B2086" i="11"/>
  <c r="A2086" i="11"/>
  <c r="H2085" i="11"/>
  <c r="G2085" i="11"/>
  <c r="F2085" i="11"/>
  <c r="E2085" i="11"/>
  <c r="D2085" i="11"/>
  <c r="C2085" i="11"/>
  <c r="B2085" i="11"/>
  <c r="A2085" i="11"/>
  <c r="H2084" i="11"/>
  <c r="G2084" i="11"/>
  <c r="F2084" i="11"/>
  <c r="E2084" i="11"/>
  <c r="D2084" i="11"/>
  <c r="C2084" i="11"/>
  <c r="B2084" i="11"/>
  <c r="A2084" i="11"/>
  <c r="H2083" i="11"/>
  <c r="G2083" i="11"/>
  <c r="F2083" i="11"/>
  <c r="E2083" i="11"/>
  <c r="D2083" i="11"/>
  <c r="C2083" i="11"/>
  <c r="B2083" i="11"/>
  <c r="A2083" i="11"/>
  <c r="H2082" i="11"/>
  <c r="G2082" i="11"/>
  <c r="F2082" i="11"/>
  <c r="E2082" i="11"/>
  <c r="D2082" i="11"/>
  <c r="C2082" i="11"/>
  <c r="B2082" i="11"/>
  <c r="A2082" i="11"/>
  <c r="H2081" i="11"/>
  <c r="G2081" i="11"/>
  <c r="F2081" i="11"/>
  <c r="E2081" i="11"/>
  <c r="D2081" i="11"/>
  <c r="C2081" i="11"/>
  <c r="B2081" i="11"/>
  <c r="A2081" i="11"/>
  <c r="H2080" i="11"/>
  <c r="G2080" i="11"/>
  <c r="F2080" i="11"/>
  <c r="E2080" i="11"/>
  <c r="D2080" i="11"/>
  <c r="C2080" i="11"/>
  <c r="B2080" i="11"/>
  <c r="A2080" i="11"/>
  <c r="H2079" i="11"/>
  <c r="G2079" i="11"/>
  <c r="F2079" i="11"/>
  <c r="E2079" i="11"/>
  <c r="D2079" i="11"/>
  <c r="C2079" i="11"/>
  <c r="B2079" i="11"/>
  <c r="A2079" i="11"/>
  <c r="H2078" i="11"/>
  <c r="G2078" i="11"/>
  <c r="F2078" i="11"/>
  <c r="E2078" i="11"/>
  <c r="D2078" i="11"/>
  <c r="C2078" i="11"/>
  <c r="B2078" i="11"/>
  <c r="A2078" i="11"/>
  <c r="H2077" i="11"/>
  <c r="G2077" i="11"/>
  <c r="F2077" i="11"/>
  <c r="E2077" i="11"/>
  <c r="D2077" i="11"/>
  <c r="C2077" i="11"/>
  <c r="B2077" i="11"/>
  <c r="A2077" i="11"/>
  <c r="H2076" i="11"/>
  <c r="G2076" i="11"/>
  <c r="F2076" i="11"/>
  <c r="E2076" i="11"/>
  <c r="D2076" i="11"/>
  <c r="C2076" i="11"/>
  <c r="B2076" i="11"/>
  <c r="A2076" i="11"/>
  <c r="H2075" i="11"/>
  <c r="G2075" i="11"/>
  <c r="F2075" i="11"/>
  <c r="E2075" i="11"/>
  <c r="D2075" i="11"/>
  <c r="C2075" i="11"/>
  <c r="B2075" i="11"/>
  <c r="A2075" i="11"/>
  <c r="H2074" i="11"/>
  <c r="G2074" i="11"/>
  <c r="F2074" i="11"/>
  <c r="E2074" i="11"/>
  <c r="D2074" i="11"/>
  <c r="C2074" i="11"/>
  <c r="B2074" i="11"/>
  <c r="A2074" i="11"/>
  <c r="H2073" i="11"/>
  <c r="G2073" i="11"/>
  <c r="F2073" i="11"/>
  <c r="E2073" i="11"/>
  <c r="D2073" i="11"/>
  <c r="C2073" i="11"/>
  <c r="B2073" i="11"/>
  <c r="A2073" i="11"/>
  <c r="H2072" i="11"/>
  <c r="G2072" i="11"/>
  <c r="F2072" i="11"/>
  <c r="E2072" i="11"/>
  <c r="D2072" i="11"/>
  <c r="C2072" i="11"/>
  <c r="B2072" i="11"/>
  <c r="A2072" i="11"/>
  <c r="H2071" i="11"/>
  <c r="G2071" i="11"/>
  <c r="F2071" i="11"/>
  <c r="E2071" i="11"/>
  <c r="D2071" i="11"/>
  <c r="C2071" i="11"/>
  <c r="B2071" i="11"/>
  <c r="A2071" i="11"/>
  <c r="H2070" i="11"/>
  <c r="G2070" i="11"/>
  <c r="F2070" i="11"/>
  <c r="E2070" i="11"/>
  <c r="D2070" i="11"/>
  <c r="C2070" i="11"/>
  <c r="B2070" i="11"/>
  <c r="A2070" i="11"/>
  <c r="H2069" i="11"/>
  <c r="G2069" i="11"/>
  <c r="F2069" i="11"/>
  <c r="E2069" i="11"/>
  <c r="D2069" i="11"/>
  <c r="C2069" i="11"/>
  <c r="B2069" i="11"/>
  <c r="A2069" i="11"/>
  <c r="H2068" i="11"/>
  <c r="G2068" i="11"/>
  <c r="F2068" i="11"/>
  <c r="E2068" i="11"/>
  <c r="D2068" i="11"/>
  <c r="C2068" i="11"/>
  <c r="B2068" i="11"/>
  <c r="A2068" i="11"/>
  <c r="H2067" i="11"/>
  <c r="G2067" i="11"/>
  <c r="F2067" i="11"/>
  <c r="E2067" i="11"/>
  <c r="D2067" i="11"/>
  <c r="C2067" i="11"/>
  <c r="B2067" i="11"/>
  <c r="A2067" i="11"/>
  <c r="H2066" i="11"/>
  <c r="G2066" i="11"/>
  <c r="F2066" i="11"/>
  <c r="E2066" i="11"/>
  <c r="D2066" i="11"/>
  <c r="C2066" i="11"/>
  <c r="B2066" i="11"/>
  <c r="A2066" i="11"/>
  <c r="H2065" i="11"/>
  <c r="G2065" i="11"/>
  <c r="F2065" i="11"/>
  <c r="E2065" i="11"/>
  <c r="D2065" i="11"/>
  <c r="C2065" i="11"/>
  <c r="B2065" i="11"/>
  <c r="A2065" i="11"/>
  <c r="H2064" i="11"/>
  <c r="G2064" i="11"/>
  <c r="F2064" i="11"/>
  <c r="E2064" i="11"/>
  <c r="D2064" i="11"/>
  <c r="C2064" i="11"/>
  <c r="B2064" i="11"/>
  <c r="A2064" i="11"/>
  <c r="H2063" i="11"/>
  <c r="G2063" i="11"/>
  <c r="F2063" i="11"/>
  <c r="E2063" i="11"/>
  <c r="D2063" i="11"/>
  <c r="C2063" i="11"/>
  <c r="B2063" i="11"/>
  <c r="A2063" i="11"/>
  <c r="H2062" i="11"/>
  <c r="G2062" i="11"/>
  <c r="F2062" i="11"/>
  <c r="E2062" i="11"/>
  <c r="D2062" i="11"/>
  <c r="C2062" i="11"/>
  <c r="B2062" i="11"/>
  <c r="A2062" i="11"/>
  <c r="H2061" i="11"/>
  <c r="G2061" i="11"/>
  <c r="F2061" i="11"/>
  <c r="E2061" i="11"/>
  <c r="D2061" i="11"/>
  <c r="C2061" i="11"/>
  <c r="B2061" i="11"/>
  <c r="A2061" i="11"/>
  <c r="H2060" i="11"/>
  <c r="G2060" i="11"/>
  <c r="F2060" i="11"/>
  <c r="E2060" i="11"/>
  <c r="D2060" i="11"/>
  <c r="C2060" i="11"/>
  <c r="B2060" i="11"/>
  <c r="A2060" i="11"/>
  <c r="H2059" i="11"/>
  <c r="G2059" i="11"/>
  <c r="F2059" i="11"/>
  <c r="E2059" i="11"/>
  <c r="D2059" i="11"/>
  <c r="C2059" i="11"/>
  <c r="B2059" i="11"/>
  <c r="A2059" i="11"/>
  <c r="H2058" i="11"/>
  <c r="G2058" i="11"/>
  <c r="F2058" i="11"/>
  <c r="E2058" i="11"/>
  <c r="D2058" i="11"/>
  <c r="C2058" i="11"/>
  <c r="B2058" i="11"/>
  <c r="A2058" i="11"/>
  <c r="H2057" i="11"/>
  <c r="G2057" i="11"/>
  <c r="F2057" i="11"/>
  <c r="E2057" i="11"/>
  <c r="D2057" i="11"/>
  <c r="C2057" i="11"/>
  <c r="B2057" i="11"/>
  <c r="A2057" i="11"/>
  <c r="H2056" i="11"/>
  <c r="G2056" i="11"/>
  <c r="F2056" i="11"/>
  <c r="E2056" i="11"/>
  <c r="D2056" i="11"/>
  <c r="C2056" i="11"/>
  <c r="B2056" i="11"/>
  <c r="A2056" i="11"/>
  <c r="H2055" i="11"/>
  <c r="G2055" i="11"/>
  <c r="F2055" i="11"/>
  <c r="E2055" i="11"/>
  <c r="D2055" i="11"/>
  <c r="C2055" i="11"/>
  <c r="B2055" i="11"/>
  <c r="A2055" i="11"/>
  <c r="AE2054" i="11"/>
  <c r="AC2054" i="11"/>
  <c r="Z2054" i="11"/>
  <c r="Y2054" i="11"/>
  <c r="X2054" i="11"/>
  <c r="W2054" i="11"/>
  <c r="V2054" i="11"/>
  <c r="U2054" i="11"/>
  <c r="T2054" i="11"/>
  <c r="H2054" i="11"/>
  <c r="G2054" i="11"/>
  <c r="F2054" i="11"/>
  <c r="E2054" i="11"/>
  <c r="D2054" i="11"/>
  <c r="C2054" i="11"/>
  <c r="B2054" i="11"/>
  <c r="A2054" i="11"/>
  <c r="H2053" i="11"/>
  <c r="G2053" i="11"/>
  <c r="F2053" i="11"/>
  <c r="E2053" i="11"/>
  <c r="D2053" i="11"/>
  <c r="C2053" i="11"/>
  <c r="B2053" i="11"/>
  <c r="A2053" i="11"/>
  <c r="H2052" i="11"/>
  <c r="G2052" i="11"/>
  <c r="F2052" i="11"/>
  <c r="E2052" i="11"/>
  <c r="D2052" i="11"/>
  <c r="C2052" i="11"/>
  <c r="B2052" i="11"/>
  <c r="A2052" i="11"/>
  <c r="H2051" i="11"/>
  <c r="G2051" i="11"/>
  <c r="F2051" i="11"/>
  <c r="E2051" i="11"/>
  <c r="D2051" i="11"/>
  <c r="C2051" i="11"/>
  <c r="B2051" i="11"/>
  <c r="A2051" i="11"/>
  <c r="H2050" i="11"/>
  <c r="G2050" i="11"/>
  <c r="F2050" i="11"/>
  <c r="E2050" i="11"/>
  <c r="D2050" i="11"/>
  <c r="C2050" i="11"/>
  <c r="B2050" i="11"/>
  <c r="A2050" i="11"/>
  <c r="H2049" i="11"/>
  <c r="G2049" i="11"/>
  <c r="F2049" i="11"/>
  <c r="E2049" i="11"/>
  <c r="D2049" i="11"/>
  <c r="C2049" i="11"/>
  <c r="B2049" i="11"/>
  <c r="A2049" i="11"/>
  <c r="H2048" i="11"/>
  <c r="G2048" i="11"/>
  <c r="F2048" i="11"/>
  <c r="E2048" i="11"/>
  <c r="D2048" i="11"/>
  <c r="C2048" i="11"/>
  <c r="B2048" i="11"/>
  <c r="A2048" i="11"/>
  <c r="H2047" i="11"/>
  <c r="G2047" i="11"/>
  <c r="F2047" i="11"/>
  <c r="E2047" i="11"/>
  <c r="D2047" i="11"/>
  <c r="C2047" i="11"/>
  <c r="B2047" i="11"/>
  <c r="A2047" i="11"/>
  <c r="H2046" i="11"/>
  <c r="G2046" i="11"/>
  <c r="F2046" i="11"/>
  <c r="E2046" i="11"/>
  <c r="D2046" i="11"/>
  <c r="C2046" i="11"/>
  <c r="B2046" i="11"/>
  <c r="A2046" i="11"/>
  <c r="H2045" i="11"/>
  <c r="G2045" i="11"/>
  <c r="F2045" i="11"/>
  <c r="E2045" i="11"/>
  <c r="D2045" i="11"/>
  <c r="C2045" i="11"/>
  <c r="B2045" i="11"/>
  <c r="A2045" i="11"/>
  <c r="H2044" i="11"/>
  <c r="G2044" i="11"/>
  <c r="F2044" i="11"/>
  <c r="E2044" i="11"/>
  <c r="D2044" i="11"/>
  <c r="C2044" i="11"/>
  <c r="B2044" i="11"/>
  <c r="A2044" i="11"/>
  <c r="H2043" i="11"/>
  <c r="G2043" i="11"/>
  <c r="F2043" i="11"/>
  <c r="E2043" i="11"/>
  <c r="D2043" i="11"/>
  <c r="C2043" i="11"/>
  <c r="B2043" i="11"/>
  <c r="A2043" i="11"/>
  <c r="H2042" i="11"/>
  <c r="G2042" i="11"/>
  <c r="F2042" i="11"/>
  <c r="E2042" i="11"/>
  <c r="D2042" i="11"/>
  <c r="C2042" i="11"/>
  <c r="B2042" i="11"/>
  <c r="A2042" i="11"/>
  <c r="H2041" i="11"/>
  <c r="G2041" i="11"/>
  <c r="F2041" i="11"/>
  <c r="E2041" i="11"/>
  <c r="D2041" i="11"/>
  <c r="C2041" i="11"/>
  <c r="B2041" i="11"/>
  <c r="A2041" i="11"/>
  <c r="H2040" i="11"/>
  <c r="G2040" i="11"/>
  <c r="F2040" i="11"/>
  <c r="E2040" i="11"/>
  <c r="D2040" i="11"/>
  <c r="C2040" i="11"/>
  <c r="B2040" i="11"/>
  <c r="A2040" i="11"/>
  <c r="H2039" i="11"/>
  <c r="G2039" i="11"/>
  <c r="F2039" i="11"/>
  <c r="E2039" i="11"/>
  <c r="D2039" i="11"/>
  <c r="C2039" i="11"/>
  <c r="B2039" i="11"/>
  <c r="A2039" i="11"/>
  <c r="H2038" i="11"/>
  <c r="G2038" i="11"/>
  <c r="F2038" i="11"/>
  <c r="E2038" i="11"/>
  <c r="D2038" i="11"/>
  <c r="C2038" i="11"/>
  <c r="B2038" i="11"/>
  <c r="A2038" i="11"/>
  <c r="H2037" i="11"/>
  <c r="G2037" i="11"/>
  <c r="F2037" i="11"/>
  <c r="E2037" i="11"/>
  <c r="D2037" i="11"/>
  <c r="C2037" i="11"/>
  <c r="B2037" i="11"/>
  <c r="A2037" i="11"/>
  <c r="H2036" i="11"/>
  <c r="G2036" i="11"/>
  <c r="F2036" i="11"/>
  <c r="E2036" i="11"/>
  <c r="D2036" i="11"/>
  <c r="C2036" i="11"/>
  <c r="B2036" i="11"/>
  <c r="A2036" i="11"/>
  <c r="H2035" i="11"/>
  <c r="G2035" i="11"/>
  <c r="F2035" i="11"/>
  <c r="E2035" i="11"/>
  <c r="D2035" i="11"/>
  <c r="C2035" i="11"/>
  <c r="B2035" i="11"/>
  <c r="A2035" i="11"/>
  <c r="H2034" i="11"/>
  <c r="G2034" i="11"/>
  <c r="F2034" i="11"/>
  <c r="E2034" i="11"/>
  <c r="D2034" i="11"/>
  <c r="C2034" i="11"/>
  <c r="B2034" i="11"/>
  <c r="A2034" i="11"/>
  <c r="H2033" i="11"/>
  <c r="G2033" i="11"/>
  <c r="F2033" i="11"/>
  <c r="E2033" i="11"/>
  <c r="D2033" i="11"/>
  <c r="C2033" i="11"/>
  <c r="B2033" i="11"/>
  <c r="A2033" i="11"/>
  <c r="H2032" i="11"/>
  <c r="G2032" i="11"/>
  <c r="F2032" i="11"/>
  <c r="E2032" i="11"/>
  <c r="D2032" i="11"/>
  <c r="C2032" i="11"/>
  <c r="B2032" i="11"/>
  <c r="A2032" i="11"/>
  <c r="H2031" i="11"/>
  <c r="G2031" i="11"/>
  <c r="F2031" i="11"/>
  <c r="E2031" i="11"/>
  <c r="D2031" i="11"/>
  <c r="C2031" i="11"/>
  <c r="B2031" i="11"/>
  <c r="A2031" i="11"/>
  <c r="H2030" i="11"/>
  <c r="G2030" i="11"/>
  <c r="F2030" i="11"/>
  <c r="E2030" i="11"/>
  <c r="D2030" i="11"/>
  <c r="C2030" i="11"/>
  <c r="B2030" i="11"/>
  <c r="A2030" i="11"/>
  <c r="H2029" i="11"/>
  <c r="G2029" i="11"/>
  <c r="F2029" i="11"/>
  <c r="E2029" i="11"/>
  <c r="D2029" i="11"/>
  <c r="C2029" i="11"/>
  <c r="B2029" i="11"/>
  <c r="A2029" i="11"/>
  <c r="H2028" i="11"/>
  <c r="G2028" i="11"/>
  <c r="F2028" i="11"/>
  <c r="E2028" i="11"/>
  <c r="D2028" i="11"/>
  <c r="C2028" i="11"/>
  <c r="B2028" i="11"/>
  <c r="A2028" i="11"/>
  <c r="H2027" i="11"/>
  <c r="G2027" i="11"/>
  <c r="F2027" i="11"/>
  <c r="E2027" i="11"/>
  <c r="D2027" i="11"/>
  <c r="C2027" i="11"/>
  <c r="B2027" i="11"/>
  <c r="A2027" i="11"/>
  <c r="H2026" i="11"/>
  <c r="G2026" i="11"/>
  <c r="F2026" i="11"/>
  <c r="E2026" i="11"/>
  <c r="D2026" i="11"/>
  <c r="C2026" i="11"/>
  <c r="B2026" i="11"/>
  <c r="A2026" i="11"/>
  <c r="H2025" i="11"/>
  <c r="G2025" i="11"/>
  <c r="F2025" i="11"/>
  <c r="E2025" i="11"/>
  <c r="D2025" i="11"/>
  <c r="C2025" i="11"/>
  <c r="B2025" i="11"/>
  <c r="A2025" i="11"/>
  <c r="H2024" i="11"/>
  <c r="G2024" i="11"/>
  <c r="F2024" i="11"/>
  <c r="E2024" i="11"/>
  <c r="D2024" i="11"/>
  <c r="C2024" i="11"/>
  <c r="B2024" i="11"/>
  <c r="A2024" i="11"/>
  <c r="H2023" i="11"/>
  <c r="G2023" i="11"/>
  <c r="F2023" i="11"/>
  <c r="E2023" i="11"/>
  <c r="D2023" i="11"/>
  <c r="C2023" i="11"/>
  <c r="B2023" i="11"/>
  <c r="A2023" i="11"/>
  <c r="H2022" i="11"/>
  <c r="G2022" i="11"/>
  <c r="F2022" i="11"/>
  <c r="E2022" i="11"/>
  <c r="D2022" i="11"/>
  <c r="C2022" i="11"/>
  <c r="B2022" i="11"/>
  <c r="A2022" i="11"/>
  <c r="H2021" i="11"/>
  <c r="G2021" i="11"/>
  <c r="F2021" i="11"/>
  <c r="E2021" i="11"/>
  <c r="D2021" i="11"/>
  <c r="C2021" i="11"/>
  <c r="B2021" i="11"/>
  <c r="A2021" i="11"/>
  <c r="H2020" i="11"/>
  <c r="G2020" i="11"/>
  <c r="F2020" i="11"/>
  <c r="E2020" i="11"/>
  <c r="D2020" i="11"/>
  <c r="C2020" i="11"/>
  <c r="B2020" i="11"/>
  <c r="A2020" i="11"/>
  <c r="H2019" i="11"/>
  <c r="G2019" i="11"/>
  <c r="F2019" i="11"/>
  <c r="E2019" i="11"/>
  <c r="D2019" i="11"/>
  <c r="C2019" i="11"/>
  <c r="B2019" i="11"/>
  <c r="A2019" i="11"/>
  <c r="H2018" i="11"/>
  <c r="G2018" i="11"/>
  <c r="F2018" i="11"/>
  <c r="E2018" i="11"/>
  <c r="D2018" i="11"/>
  <c r="C2018" i="11"/>
  <c r="B2018" i="11"/>
  <c r="A2018" i="11"/>
  <c r="H2017" i="11"/>
  <c r="G2017" i="11"/>
  <c r="F2017" i="11"/>
  <c r="E2017" i="11"/>
  <c r="D2017" i="11"/>
  <c r="C2017" i="11"/>
  <c r="B2017" i="11"/>
  <c r="A2017" i="11"/>
  <c r="H2016" i="11"/>
  <c r="G2016" i="11"/>
  <c r="F2016" i="11"/>
  <c r="E2016" i="11"/>
  <c r="D2016" i="11"/>
  <c r="C2016" i="11"/>
  <c r="B2016" i="11"/>
  <c r="A2016" i="11"/>
  <c r="H2015" i="11"/>
  <c r="G2015" i="11"/>
  <c r="F2015" i="11"/>
  <c r="E2015" i="11"/>
  <c r="D2015" i="11"/>
  <c r="C2015" i="11"/>
  <c r="B2015" i="11"/>
  <c r="A2015" i="11"/>
  <c r="H2014" i="11"/>
  <c r="G2014" i="11"/>
  <c r="F2014" i="11"/>
  <c r="E2014" i="11"/>
  <c r="D2014" i="11"/>
  <c r="C2014" i="11"/>
  <c r="B2014" i="11"/>
  <c r="A2014" i="11"/>
  <c r="H2013" i="11"/>
  <c r="G2013" i="11"/>
  <c r="F2013" i="11"/>
  <c r="E2013" i="11"/>
  <c r="D2013" i="11"/>
  <c r="C2013" i="11"/>
  <c r="B2013" i="11"/>
  <c r="A2013" i="11"/>
  <c r="H2012" i="11"/>
  <c r="G2012" i="11"/>
  <c r="F2012" i="11"/>
  <c r="E2012" i="11"/>
  <c r="D2012" i="11"/>
  <c r="C2012" i="11"/>
  <c r="B2012" i="11"/>
  <c r="A2012" i="11"/>
  <c r="H2011" i="11"/>
  <c r="G2011" i="11"/>
  <c r="F2011" i="11"/>
  <c r="E2011" i="11"/>
  <c r="D2011" i="11"/>
  <c r="C2011" i="11"/>
  <c r="B2011" i="11"/>
  <c r="A2011" i="11"/>
  <c r="H2010" i="11"/>
  <c r="G2010" i="11"/>
  <c r="F2010" i="11"/>
  <c r="E2010" i="11"/>
  <c r="D2010" i="11"/>
  <c r="C2010" i="11"/>
  <c r="B2010" i="11"/>
  <c r="A2010" i="11"/>
  <c r="H2009" i="11"/>
  <c r="G2009" i="11"/>
  <c r="F2009" i="11"/>
  <c r="E2009" i="11"/>
  <c r="D2009" i="11"/>
  <c r="C2009" i="11"/>
  <c r="B2009" i="11"/>
  <c r="A2009" i="11"/>
  <c r="H2008" i="11"/>
  <c r="G2008" i="11"/>
  <c r="F2008" i="11"/>
  <c r="E2008" i="11"/>
  <c r="D2008" i="11"/>
  <c r="C2008" i="11"/>
  <c r="B2008" i="11"/>
  <c r="A2008" i="11"/>
  <c r="H2007" i="11"/>
  <c r="G2007" i="11"/>
  <c r="F2007" i="11"/>
  <c r="E2007" i="11"/>
  <c r="D2007" i="11"/>
  <c r="C2007" i="11"/>
  <c r="B2007" i="11"/>
  <c r="A2007" i="11"/>
  <c r="H2006" i="11"/>
  <c r="G2006" i="11"/>
  <c r="F2006" i="11"/>
  <c r="E2006" i="11"/>
  <c r="D2006" i="11"/>
  <c r="C2006" i="11"/>
  <c r="B2006" i="11"/>
  <c r="A2006" i="11"/>
  <c r="H2005" i="11"/>
  <c r="G2005" i="11"/>
  <c r="F2005" i="11"/>
  <c r="E2005" i="11"/>
  <c r="D2005" i="11"/>
  <c r="C2005" i="11"/>
  <c r="B2005" i="11"/>
  <c r="A2005" i="11"/>
  <c r="H2004" i="11"/>
  <c r="G2004" i="11"/>
  <c r="F2004" i="11"/>
  <c r="E2004" i="11"/>
  <c r="D2004" i="11"/>
  <c r="C2004" i="11"/>
  <c r="B2004" i="11"/>
  <c r="A2004" i="11"/>
  <c r="H2003" i="11"/>
  <c r="G2003" i="11"/>
  <c r="F2003" i="11"/>
  <c r="E2003" i="11"/>
  <c r="D2003" i="11"/>
  <c r="C2003" i="11"/>
  <c r="B2003" i="11"/>
  <c r="A2003" i="11"/>
  <c r="H2002" i="11"/>
  <c r="G2002" i="11"/>
  <c r="F2002" i="11"/>
  <c r="E2002" i="11"/>
  <c r="D2002" i="11"/>
  <c r="C2002" i="11"/>
  <c r="B2002" i="11"/>
  <c r="A2002" i="11"/>
  <c r="H2001" i="11"/>
  <c r="G2001" i="11"/>
  <c r="F2001" i="11"/>
  <c r="E2001" i="11"/>
  <c r="D2001" i="11"/>
  <c r="C2001" i="11"/>
  <c r="B2001" i="11"/>
  <c r="A2001" i="11"/>
  <c r="H2000" i="11"/>
  <c r="G2000" i="11"/>
  <c r="F2000" i="11"/>
  <c r="E2000" i="11"/>
  <c r="D2000" i="11"/>
  <c r="C2000" i="11"/>
  <c r="B2000" i="11"/>
  <c r="A2000" i="11"/>
  <c r="H1999" i="11"/>
  <c r="G1999" i="11"/>
  <c r="F1999" i="11"/>
  <c r="E1999" i="11"/>
  <c r="D1999" i="11"/>
  <c r="C1999" i="11"/>
  <c r="B1999" i="11"/>
  <c r="A1999" i="11"/>
  <c r="H1998" i="11"/>
  <c r="G1998" i="11"/>
  <c r="F1998" i="11"/>
  <c r="E1998" i="11"/>
  <c r="D1998" i="11"/>
  <c r="C1998" i="11"/>
  <c r="B1998" i="11"/>
  <c r="A1998" i="11"/>
  <c r="H1997" i="11"/>
  <c r="G1997" i="11"/>
  <c r="F1997" i="11"/>
  <c r="E1997" i="11"/>
  <c r="D1997" i="11"/>
  <c r="C1997" i="11"/>
  <c r="B1997" i="11"/>
  <c r="A1997" i="11"/>
  <c r="H1996" i="11"/>
  <c r="G1996" i="11"/>
  <c r="F1996" i="11"/>
  <c r="E1996" i="11"/>
  <c r="D1996" i="11"/>
  <c r="C1996" i="11"/>
  <c r="B1996" i="11"/>
  <c r="A1996" i="11"/>
  <c r="H1995" i="11"/>
  <c r="G1995" i="11"/>
  <c r="F1995" i="11"/>
  <c r="E1995" i="11"/>
  <c r="D1995" i="11"/>
  <c r="C1995" i="11"/>
  <c r="B1995" i="11"/>
  <c r="A1995" i="11"/>
  <c r="H1994" i="11"/>
  <c r="G1994" i="11"/>
  <c r="F1994" i="11"/>
  <c r="E1994" i="11"/>
  <c r="D1994" i="11"/>
  <c r="C1994" i="11"/>
  <c r="B1994" i="11"/>
  <c r="A1994" i="11"/>
  <c r="H1993" i="11"/>
  <c r="G1993" i="11"/>
  <c r="F1993" i="11"/>
  <c r="E1993" i="11"/>
  <c r="D1993" i="11"/>
  <c r="C1993" i="11"/>
  <c r="B1993" i="11"/>
  <c r="A1993" i="11"/>
  <c r="H1992" i="11"/>
  <c r="G1992" i="11"/>
  <c r="F1992" i="11"/>
  <c r="E1992" i="11"/>
  <c r="D1992" i="11"/>
  <c r="C1992" i="11"/>
  <c r="B1992" i="11"/>
  <c r="A1992" i="11"/>
  <c r="H1991" i="11"/>
  <c r="G1991" i="11"/>
  <c r="F1991" i="11"/>
  <c r="E1991" i="11"/>
  <c r="D1991" i="11"/>
  <c r="C1991" i="11"/>
  <c r="B1991" i="11"/>
  <c r="A1991" i="11"/>
  <c r="H1990" i="11"/>
  <c r="G1990" i="11"/>
  <c r="F1990" i="11"/>
  <c r="E1990" i="11"/>
  <c r="D1990" i="11"/>
  <c r="C1990" i="11"/>
  <c r="B1990" i="11"/>
  <c r="A1990" i="11"/>
  <c r="H1989" i="11"/>
  <c r="G1989" i="11"/>
  <c r="F1989" i="11"/>
  <c r="E1989" i="11"/>
  <c r="D1989" i="11"/>
  <c r="C1989" i="11"/>
  <c r="B1989" i="11"/>
  <c r="A1989" i="11"/>
  <c r="H1988" i="11"/>
  <c r="G1988" i="11"/>
  <c r="F1988" i="11"/>
  <c r="E1988" i="11"/>
  <c r="D1988" i="11"/>
  <c r="C1988" i="11"/>
  <c r="B1988" i="11"/>
  <c r="A1988" i="11"/>
  <c r="H1987" i="11"/>
  <c r="G1987" i="11"/>
  <c r="F1987" i="11"/>
  <c r="E1987" i="11"/>
  <c r="D1987" i="11"/>
  <c r="C1987" i="11"/>
  <c r="B1987" i="11"/>
  <c r="A1987" i="11"/>
  <c r="H1986" i="11"/>
  <c r="G1986" i="11"/>
  <c r="F1986" i="11"/>
  <c r="E1986" i="11"/>
  <c r="D1986" i="11"/>
  <c r="C1986" i="11"/>
  <c r="B1986" i="11"/>
  <c r="A1986" i="11"/>
  <c r="H1985" i="11"/>
  <c r="G1985" i="11"/>
  <c r="F1985" i="11"/>
  <c r="E1985" i="11"/>
  <c r="D1985" i="11"/>
  <c r="C1985" i="11"/>
  <c r="B1985" i="11"/>
  <c r="A1985" i="11"/>
  <c r="H1984" i="11"/>
  <c r="G1984" i="11"/>
  <c r="F1984" i="11"/>
  <c r="E1984" i="11"/>
  <c r="D1984" i="11"/>
  <c r="C1984" i="11"/>
  <c r="B1984" i="11"/>
  <c r="A1984" i="11"/>
  <c r="H1983" i="11"/>
  <c r="G1983" i="11"/>
  <c r="F1983" i="11"/>
  <c r="E1983" i="11"/>
  <c r="D1983" i="11"/>
  <c r="C1983" i="11"/>
  <c r="B1983" i="11"/>
  <c r="A1983" i="11"/>
  <c r="H1982" i="11"/>
  <c r="G1982" i="11"/>
  <c r="F1982" i="11"/>
  <c r="E1982" i="11"/>
  <c r="D1982" i="11"/>
  <c r="C1982" i="11"/>
  <c r="B1982" i="11"/>
  <c r="A1982" i="11"/>
  <c r="H1981" i="11"/>
  <c r="G1981" i="11"/>
  <c r="F1981" i="11"/>
  <c r="E1981" i="11"/>
  <c r="D1981" i="11"/>
  <c r="C1981" i="11"/>
  <c r="B1981" i="11"/>
  <c r="A1981" i="11"/>
  <c r="H1980" i="11"/>
  <c r="G1980" i="11"/>
  <c r="F1980" i="11"/>
  <c r="E1980" i="11"/>
  <c r="D1980" i="11"/>
  <c r="C1980" i="11"/>
  <c r="B1980" i="11"/>
  <c r="A1980" i="11"/>
  <c r="H1979" i="11"/>
  <c r="G1979" i="11"/>
  <c r="F1979" i="11"/>
  <c r="E1979" i="11"/>
  <c r="D1979" i="11"/>
  <c r="C1979" i="11"/>
  <c r="B1979" i="11"/>
  <c r="A1979" i="11"/>
  <c r="H1978" i="11"/>
  <c r="G1978" i="11"/>
  <c r="F1978" i="11"/>
  <c r="E1978" i="11"/>
  <c r="D1978" i="11"/>
  <c r="C1978" i="11"/>
  <c r="B1978" i="11"/>
  <c r="A1978" i="11"/>
  <c r="H1977" i="11"/>
  <c r="G1977" i="11"/>
  <c r="F1977" i="11"/>
  <c r="E1977" i="11"/>
  <c r="D1977" i="11"/>
  <c r="C1977" i="11"/>
  <c r="B1977" i="11"/>
  <c r="A1977" i="11"/>
  <c r="H1976" i="11"/>
  <c r="G1976" i="11"/>
  <c r="F1976" i="11"/>
  <c r="E1976" i="11"/>
  <c r="D1976" i="11"/>
  <c r="C1976" i="11"/>
  <c r="B1976" i="11"/>
  <c r="A1976" i="11"/>
  <c r="H1975" i="11"/>
  <c r="G1975" i="11"/>
  <c r="F1975" i="11"/>
  <c r="E1975" i="11"/>
  <c r="D1975" i="11"/>
  <c r="C1975" i="11"/>
  <c r="B1975" i="11"/>
  <c r="A1975" i="11"/>
  <c r="H1974" i="11"/>
  <c r="G1974" i="11"/>
  <c r="F1974" i="11"/>
  <c r="E1974" i="11"/>
  <c r="D1974" i="11"/>
  <c r="C1974" i="11"/>
  <c r="B1974" i="11"/>
  <c r="A1974" i="11"/>
  <c r="H1973" i="11"/>
  <c r="G1973" i="11"/>
  <c r="F1973" i="11"/>
  <c r="E1973" i="11"/>
  <c r="D1973" i="11"/>
  <c r="C1973" i="11"/>
  <c r="B1973" i="11"/>
  <c r="A1973" i="11"/>
  <c r="H1972" i="11"/>
  <c r="G1972" i="11"/>
  <c r="F1972" i="11"/>
  <c r="E1972" i="11"/>
  <c r="D1972" i="11"/>
  <c r="C1972" i="11"/>
  <c r="B1972" i="11"/>
  <c r="A1972" i="11"/>
  <c r="H1971" i="11"/>
  <c r="G1971" i="11"/>
  <c r="F1971" i="11"/>
  <c r="E1971" i="11"/>
  <c r="D1971" i="11"/>
  <c r="C1971" i="11"/>
  <c r="B1971" i="11"/>
  <c r="A1971" i="11"/>
  <c r="H1970" i="11"/>
  <c r="G1970" i="11"/>
  <c r="F1970" i="11"/>
  <c r="E1970" i="11"/>
  <c r="D1970" i="11"/>
  <c r="C1970" i="11"/>
  <c r="B1970" i="11"/>
  <c r="A1970" i="11"/>
  <c r="H1969" i="11"/>
  <c r="G1969" i="11"/>
  <c r="F1969" i="11"/>
  <c r="E1969" i="11"/>
  <c r="D1969" i="11"/>
  <c r="C1969" i="11"/>
  <c r="B1969" i="11"/>
  <c r="A1969" i="11"/>
  <c r="H1968" i="11"/>
  <c r="G1968" i="11"/>
  <c r="F1968" i="11"/>
  <c r="E1968" i="11"/>
  <c r="D1968" i="11"/>
  <c r="C1968" i="11"/>
  <c r="B1968" i="11"/>
  <c r="A1968" i="11"/>
  <c r="H1967" i="11"/>
  <c r="G1967" i="11"/>
  <c r="F1967" i="11"/>
  <c r="E1967" i="11"/>
  <c r="D1967" i="11"/>
  <c r="C1967" i="11"/>
  <c r="B1967" i="11"/>
  <c r="A1967" i="11"/>
  <c r="H1966" i="11"/>
  <c r="G1966" i="11"/>
  <c r="F1966" i="11"/>
  <c r="E1966" i="11"/>
  <c r="D1966" i="11"/>
  <c r="C1966" i="11"/>
  <c r="B1966" i="11"/>
  <c r="A1966" i="11"/>
  <c r="H1965" i="11"/>
  <c r="G1965" i="11"/>
  <c r="F1965" i="11"/>
  <c r="E1965" i="11"/>
  <c r="D1965" i="11"/>
  <c r="C1965" i="11"/>
  <c r="B1965" i="11"/>
  <c r="A1965" i="11"/>
  <c r="H1964" i="11"/>
  <c r="G1964" i="11"/>
  <c r="F1964" i="11"/>
  <c r="E1964" i="11"/>
  <c r="D1964" i="11"/>
  <c r="C1964" i="11"/>
  <c r="B1964" i="11"/>
  <c r="A1964" i="11"/>
  <c r="H1963" i="11"/>
  <c r="G1963" i="11"/>
  <c r="F1963" i="11"/>
  <c r="E1963" i="11"/>
  <c r="D1963" i="11"/>
  <c r="C1963" i="11"/>
  <c r="B1963" i="11"/>
  <c r="A1963" i="11"/>
  <c r="H1962" i="11"/>
  <c r="G1962" i="11"/>
  <c r="F1962" i="11"/>
  <c r="E1962" i="11"/>
  <c r="D1962" i="11"/>
  <c r="C1962" i="11"/>
  <c r="B1962" i="11"/>
  <c r="A1962" i="11"/>
  <c r="H1961" i="11"/>
  <c r="G1961" i="11"/>
  <c r="F1961" i="11"/>
  <c r="E1961" i="11"/>
  <c r="D1961" i="11"/>
  <c r="C1961" i="11"/>
  <c r="B1961" i="11"/>
  <c r="A1961" i="11"/>
  <c r="H1960" i="11"/>
  <c r="G1960" i="11"/>
  <c r="F1960" i="11"/>
  <c r="E1960" i="11"/>
  <c r="D1960" i="11"/>
  <c r="C1960" i="11"/>
  <c r="B1960" i="11"/>
  <c r="A1960" i="11"/>
  <c r="H1959" i="11"/>
  <c r="G1959" i="11"/>
  <c r="F1959" i="11"/>
  <c r="E1959" i="11"/>
  <c r="D1959" i="11"/>
  <c r="C1959" i="11"/>
  <c r="B1959" i="11"/>
  <c r="A1959" i="11"/>
  <c r="H1958" i="11"/>
  <c r="G1958" i="11"/>
  <c r="F1958" i="11"/>
  <c r="E1958" i="11"/>
  <c r="D1958" i="11"/>
  <c r="C1958" i="11"/>
  <c r="B1958" i="11"/>
  <c r="A1958" i="11"/>
  <c r="H1957" i="11"/>
  <c r="G1957" i="11"/>
  <c r="F1957" i="11"/>
  <c r="E1957" i="11"/>
  <c r="D1957" i="11"/>
  <c r="C1957" i="11"/>
  <c r="B1957" i="11"/>
  <c r="A1957" i="11"/>
  <c r="H1956" i="11"/>
  <c r="G1956" i="11"/>
  <c r="F1956" i="11"/>
  <c r="E1956" i="11"/>
  <c r="D1956" i="11"/>
  <c r="C1956" i="11"/>
  <c r="B1956" i="11"/>
  <c r="A1956" i="11"/>
  <c r="H1955" i="11"/>
  <c r="G1955" i="11"/>
  <c r="F1955" i="11"/>
  <c r="E1955" i="11"/>
  <c r="D1955" i="11"/>
  <c r="C1955" i="11"/>
  <c r="B1955" i="11"/>
  <c r="A1955" i="11"/>
  <c r="H1954" i="11"/>
  <c r="G1954" i="11"/>
  <c r="F1954" i="11"/>
  <c r="E1954" i="11"/>
  <c r="D1954" i="11"/>
  <c r="C1954" i="11"/>
  <c r="B1954" i="11"/>
  <c r="A1954" i="11"/>
  <c r="H1953" i="11"/>
  <c r="G1953" i="11"/>
  <c r="F1953" i="11"/>
  <c r="E1953" i="11"/>
  <c r="D1953" i="11"/>
  <c r="C1953" i="11"/>
  <c r="B1953" i="11"/>
  <c r="A1953" i="11"/>
  <c r="H1952" i="11"/>
  <c r="G1952" i="11"/>
  <c r="F1952" i="11"/>
  <c r="E1952" i="11"/>
  <c r="D1952" i="11"/>
  <c r="C1952" i="11"/>
  <c r="B1952" i="11"/>
  <c r="A1952" i="11"/>
  <c r="H1951" i="11"/>
  <c r="G1951" i="11"/>
  <c r="F1951" i="11"/>
  <c r="E1951" i="11"/>
  <c r="D1951" i="11"/>
  <c r="C1951" i="11"/>
  <c r="B1951" i="11"/>
  <c r="A1951" i="11"/>
  <c r="H1950" i="11"/>
  <c r="G1950" i="11"/>
  <c r="F1950" i="11"/>
  <c r="E1950" i="11"/>
  <c r="D1950" i="11"/>
  <c r="C1950" i="11"/>
  <c r="B1950" i="11"/>
  <c r="A1950" i="11"/>
  <c r="H1949" i="11"/>
  <c r="G1949" i="11"/>
  <c r="F1949" i="11"/>
  <c r="E1949" i="11"/>
  <c r="D1949" i="11"/>
  <c r="C1949" i="11"/>
  <c r="B1949" i="11"/>
  <c r="A1949" i="11"/>
  <c r="H1948" i="11"/>
  <c r="G1948" i="11"/>
  <c r="F1948" i="11"/>
  <c r="E1948" i="11"/>
  <c r="D1948" i="11"/>
  <c r="C1948" i="11"/>
  <c r="B1948" i="11"/>
  <c r="A1948" i="11"/>
  <c r="H1947" i="11"/>
  <c r="G1947" i="11"/>
  <c r="F1947" i="11"/>
  <c r="E1947" i="11"/>
  <c r="D1947" i="11"/>
  <c r="C1947" i="11"/>
  <c r="B1947" i="11"/>
  <c r="A1947" i="11"/>
  <c r="H1946" i="11"/>
  <c r="G1946" i="11"/>
  <c r="F1946" i="11"/>
  <c r="E1946" i="11"/>
  <c r="D1946" i="11"/>
  <c r="C1946" i="11"/>
  <c r="B1946" i="11"/>
  <c r="A1946" i="11"/>
  <c r="H1945" i="11"/>
  <c r="G1945" i="11"/>
  <c r="F1945" i="11"/>
  <c r="E1945" i="11"/>
  <c r="D1945" i="11"/>
  <c r="C1945" i="11"/>
  <c r="B1945" i="11"/>
  <c r="A1945" i="11"/>
  <c r="H1944" i="11"/>
  <c r="G1944" i="11"/>
  <c r="F1944" i="11"/>
  <c r="E1944" i="11"/>
  <c r="D1944" i="11"/>
  <c r="C1944" i="11"/>
  <c r="B1944" i="11"/>
  <c r="A1944" i="11"/>
  <c r="H1943" i="11"/>
  <c r="G1943" i="11"/>
  <c r="F1943" i="11"/>
  <c r="E1943" i="11"/>
  <c r="D1943" i="11"/>
  <c r="C1943" i="11"/>
  <c r="B1943" i="11"/>
  <c r="A1943" i="11"/>
  <c r="H1942" i="11"/>
  <c r="G1942" i="11"/>
  <c r="F1942" i="11"/>
  <c r="E1942" i="11"/>
  <c r="D1942" i="11"/>
  <c r="C1942" i="11"/>
  <c r="B1942" i="11"/>
  <c r="A1942" i="11"/>
  <c r="H1941" i="11"/>
  <c r="G1941" i="11"/>
  <c r="F1941" i="11"/>
  <c r="E1941" i="11"/>
  <c r="D1941" i="11"/>
  <c r="C1941" i="11"/>
  <c r="B1941" i="11"/>
  <c r="A1941" i="11"/>
  <c r="H1940" i="11"/>
  <c r="G1940" i="11"/>
  <c r="F1940" i="11"/>
  <c r="E1940" i="11"/>
  <c r="D1940" i="11"/>
  <c r="C1940" i="11"/>
  <c r="B1940" i="11"/>
  <c r="A1940" i="11"/>
  <c r="H1939" i="11"/>
  <c r="G1939" i="11"/>
  <c r="F1939" i="11"/>
  <c r="E1939" i="11"/>
  <c r="D1939" i="11"/>
  <c r="C1939" i="11"/>
  <c r="B1939" i="11"/>
  <c r="A1939" i="11"/>
  <c r="H1938" i="11"/>
  <c r="G1938" i="11"/>
  <c r="F1938" i="11"/>
  <c r="E1938" i="11"/>
  <c r="D1938" i="11"/>
  <c r="C1938" i="11"/>
  <c r="B1938" i="11"/>
  <c r="A1938" i="11"/>
  <c r="H1937" i="11"/>
  <c r="G1937" i="11"/>
  <c r="F1937" i="11"/>
  <c r="E1937" i="11"/>
  <c r="D1937" i="11"/>
  <c r="C1937" i="11"/>
  <c r="B1937" i="11"/>
  <c r="A1937" i="11"/>
  <c r="H1936" i="11"/>
  <c r="G1936" i="11"/>
  <c r="F1936" i="11"/>
  <c r="E1936" i="11"/>
  <c r="D1936" i="11"/>
  <c r="C1936" i="11"/>
  <c r="B1936" i="11"/>
  <c r="A1936" i="11"/>
  <c r="H1935" i="11"/>
  <c r="G1935" i="11"/>
  <c r="F1935" i="11"/>
  <c r="E1935" i="11"/>
  <c r="D1935" i="11"/>
  <c r="C1935" i="11"/>
  <c r="B1935" i="11"/>
  <c r="A1935" i="11"/>
  <c r="H1934" i="11"/>
  <c r="G1934" i="11"/>
  <c r="F1934" i="11"/>
  <c r="E1934" i="11"/>
  <c r="D1934" i="11"/>
  <c r="C1934" i="11"/>
  <c r="B1934" i="11"/>
  <c r="A1934" i="11"/>
  <c r="H1933" i="11"/>
  <c r="G1933" i="11"/>
  <c r="F1933" i="11"/>
  <c r="E1933" i="11"/>
  <c r="D1933" i="11"/>
  <c r="C1933" i="11"/>
  <c r="B1933" i="11"/>
  <c r="A1933" i="11"/>
  <c r="H1932" i="11"/>
  <c r="G1932" i="11"/>
  <c r="F1932" i="11"/>
  <c r="E1932" i="11"/>
  <c r="D1932" i="11"/>
  <c r="C1932" i="11"/>
  <c r="B1932" i="11"/>
  <c r="A1932" i="11"/>
  <c r="H1931" i="11"/>
  <c r="G1931" i="11"/>
  <c r="F1931" i="11"/>
  <c r="E1931" i="11"/>
  <c r="D1931" i="11"/>
  <c r="C1931" i="11"/>
  <c r="B1931" i="11"/>
  <c r="A1931" i="11"/>
  <c r="H1930" i="11"/>
  <c r="G1930" i="11"/>
  <c r="F1930" i="11"/>
  <c r="E1930" i="11"/>
  <c r="D1930" i="11"/>
  <c r="C1930" i="11"/>
  <c r="B1930" i="11"/>
  <c r="A1930" i="11"/>
  <c r="H1929" i="11"/>
  <c r="G1929" i="11"/>
  <c r="F1929" i="11"/>
  <c r="E1929" i="11"/>
  <c r="D1929" i="11"/>
  <c r="C1929" i="11"/>
  <c r="B1929" i="11"/>
  <c r="A1929" i="11"/>
  <c r="H1928" i="11"/>
  <c r="G1928" i="11"/>
  <c r="F1928" i="11"/>
  <c r="E1928" i="11"/>
  <c r="D1928" i="11"/>
  <c r="C1928" i="11"/>
  <c r="B1928" i="11"/>
  <c r="A1928" i="11"/>
  <c r="H1927" i="11"/>
  <c r="G1927" i="11"/>
  <c r="F1927" i="11"/>
  <c r="E1927" i="11"/>
  <c r="D1927" i="11"/>
  <c r="C1927" i="11"/>
  <c r="B1927" i="11"/>
  <c r="A1927" i="11"/>
  <c r="H1926" i="11"/>
  <c r="G1926" i="11"/>
  <c r="F1926" i="11"/>
  <c r="E1926" i="11"/>
  <c r="D1926" i="11"/>
  <c r="C1926" i="11"/>
  <c r="B1926" i="11"/>
  <c r="A1926" i="11"/>
  <c r="H1925" i="11"/>
  <c r="G1925" i="11"/>
  <c r="F1925" i="11"/>
  <c r="E1925" i="11"/>
  <c r="D1925" i="11"/>
  <c r="C1925" i="11"/>
  <c r="B1925" i="11"/>
  <c r="A1925" i="11"/>
  <c r="H1924" i="11"/>
  <c r="G1924" i="11"/>
  <c r="F1924" i="11"/>
  <c r="E1924" i="11"/>
  <c r="D1924" i="11"/>
  <c r="C1924" i="11"/>
  <c r="B1924" i="11"/>
  <c r="A1924" i="11"/>
  <c r="H1923" i="11"/>
  <c r="G1923" i="11"/>
  <c r="F1923" i="11"/>
  <c r="E1923" i="11"/>
  <c r="D1923" i="11"/>
  <c r="C1923" i="11"/>
  <c r="B1923" i="11"/>
  <c r="A1923" i="11"/>
  <c r="H1922" i="11"/>
  <c r="G1922" i="11"/>
  <c r="F1922" i="11"/>
  <c r="E1922" i="11"/>
  <c r="D1922" i="11"/>
  <c r="C1922" i="11"/>
  <c r="B1922" i="11"/>
  <c r="A1922" i="11"/>
  <c r="H1921" i="11"/>
  <c r="G1921" i="11"/>
  <c r="F1921" i="11"/>
  <c r="E1921" i="11"/>
  <c r="D1921" i="11"/>
  <c r="C1921" i="11"/>
  <c r="B1921" i="11"/>
  <c r="A1921" i="11"/>
  <c r="H1920" i="11"/>
  <c r="G1920" i="11"/>
  <c r="F1920" i="11"/>
  <c r="E1920" i="11"/>
  <c r="D1920" i="11"/>
  <c r="C1920" i="11"/>
  <c r="B1920" i="11"/>
  <c r="A1920" i="11"/>
  <c r="H1919" i="11"/>
  <c r="G1919" i="11"/>
  <c r="F1919" i="11"/>
  <c r="E1919" i="11"/>
  <c r="D1919" i="11"/>
  <c r="C1919" i="11"/>
  <c r="B1919" i="11"/>
  <c r="A1919" i="11"/>
  <c r="H1918" i="11"/>
  <c r="G1918" i="11"/>
  <c r="F1918" i="11"/>
  <c r="E1918" i="11"/>
  <c r="D1918" i="11"/>
  <c r="C1918" i="11"/>
  <c r="B1918" i="11"/>
  <c r="A1918" i="11"/>
  <c r="H1917" i="11"/>
  <c r="G1917" i="11"/>
  <c r="F1917" i="11"/>
  <c r="E1917" i="11"/>
  <c r="D1917" i="11"/>
  <c r="C1917" i="11"/>
  <c r="B1917" i="11"/>
  <c r="A1917" i="11"/>
  <c r="H1916" i="11"/>
  <c r="G1916" i="11"/>
  <c r="F1916" i="11"/>
  <c r="E1916" i="11"/>
  <c r="D1916" i="11"/>
  <c r="C1916" i="11"/>
  <c r="B1916" i="11"/>
  <c r="A1916" i="11"/>
  <c r="H1915" i="11"/>
  <c r="G1915" i="11"/>
  <c r="F1915" i="11"/>
  <c r="E1915" i="11"/>
  <c r="D1915" i="11"/>
  <c r="C1915" i="11"/>
  <c r="B1915" i="11"/>
  <c r="A1915" i="11"/>
  <c r="H1914" i="11"/>
  <c r="G1914" i="11"/>
  <c r="F1914" i="11"/>
  <c r="E1914" i="11"/>
  <c r="D1914" i="11"/>
  <c r="C1914" i="11"/>
  <c r="B1914" i="11"/>
  <c r="A1914" i="11"/>
  <c r="H1913" i="11"/>
  <c r="G1913" i="11"/>
  <c r="F1913" i="11"/>
  <c r="E1913" i="11"/>
  <c r="D1913" i="11"/>
  <c r="C1913" i="11"/>
  <c r="B1913" i="11"/>
  <c r="A1913" i="11"/>
  <c r="H1912" i="11"/>
  <c r="G1912" i="11"/>
  <c r="F1912" i="11"/>
  <c r="E1912" i="11"/>
  <c r="D1912" i="11"/>
  <c r="C1912" i="11"/>
  <c r="B1912" i="11"/>
  <c r="A1912" i="11"/>
  <c r="H1911" i="11"/>
  <c r="G1911" i="11"/>
  <c r="F1911" i="11"/>
  <c r="E1911" i="11"/>
  <c r="D1911" i="11"/>
  <c r="C1911" i="11"/>
  <c r="B1911" i="11"/>
  <c r="A1911" i="11"/>
  <c r="H1910" i="11"/>
  <c r="G1910" i="11"/>
  <c r="F1910" i="11"/>
  <c r="E1910" i="11"/>
  <c r="D1910" i="11"/>
  <c r="C1910" i="11"/>
  <c r="B1910" i="11"/>
  <c r="A1910" i="11"/>
  <c r="H1909" i="11"/>
  <c r="G1909" i="11"/>
  <c r="F1909" i="11"/>
  <c r="E1909" i="11"/>
  <c r="D1909" i="11"/>
  <c r="C1909" i="11"/>
  <c r="B1909" i="11"/>
  <c r="A1909" i="11"/>
  <c r="H1908" i="11"/>
  <c r="G1908" i="11"/>
  <c r="F1908" i="11"/>
  <c r="E1908" i="11"/>
  <c r="D1908" i="11"/>
  <c r="C1908" i="11"/>
  <c r="B1908" i="11"/>
  <c r="A1908" i="11"/>
  <c r="H1907" i="11"/>
  <c r="G1907" i="11"/>
  <c r="F1907" i="11"/>
  <c r="E1907" i="11"/>
  <c r="D1907" i="11"/>
  <c r="C1907" i="11"/>
  <c r="B1907" i="11"/>
  <c r="A1907" i="11"/>
  <c r="H1906" i="11"/>
  <c r="G1906" i="11"/>
  <c r="F1906" i="11"/>
  <c r="E1906" i="11"/>
  <c r="D1906" i="11"/>
  <c r="C1906" i="11"/>
  <c r="B1906" i="11"/>
  <c r="A1906" i="11"/>
  <c r="H1905" i="11"/>
  <c r="G1905" i="11"/>
  <c r="F1905" i="11"/>
  <c r="E1905" i="11"/>
  <c r="D1905" i="11"/>
  <c r="C1905" i="11"/>
  <c r="B1905" i="11"/>
  <c r="A1905" i="11"/>
  <c r="H1904" i="11"/>
  <c r="G1904" i="11"/>
  <c r="F1904" i="11"/>
  <c r="E1904" i="11"/>
  <c r="D1904" i="11"/>
  <c r="C1904" i="11"/>
  <c r="B1904" i="11"/>
  <c r="A1904" i="11"/>
  <c r="H1903" i="11"/>
  <c r="G1903" i="11"/>
  <c r="F1903" i="11"/>
  <c r="E1903" i="11"/>
  <c r="D1903" i="11"/>
  <c r="C1903" i="11"/>
  <c r="B1903" i="11"/>
  <c r="A1903" i="11"/>
  <c r="H1902" i="11"/>
  <c r="G1902" i="11"/>
  <c r="F1902" i="11"/>
  <c r="E1902" i="11"/>
  <c r="D1902" i="11"/>
  <c r="C1902" i="11"/>
  <c r="B1902" i="11"/>
  <c r="A1902" i="11"/>
  <c r="H1901" i="11"/>
  <c r="G1901" i="11"/>
  <c r="F1901" i="11"/>
  <c r="E1901" i="11"/>
  <c r="D1901" i="11"/>
  <c r="C1901" i="11"/>
  <c r="B1901" i="11"/>
  <c r="A1901" i="11"/>
  <c r="H1900" i="11"/>
  <c r="G1900" i="11"/>
  <c r="F1900" i="11"/>
  <c r="E1900" i="11"/>
  <c r="D1900" i="11"/>
  <c r="C1900" i="11"/>
  <c r="B1900" i="11"/>
  <c r="A1900" i="11"/>
  <c r="H1899" i="11"/>
  <c r="G1899" i="11"/>
  <c r="F1899" i="11"/>
  <c r="E1899" i="11"/>
  <c r="D1899" i="11"/>
  <c r="C1899" i="11"/>
  <c r="B1899" i="11"/>
  <c r="A1899" i="11"/>
  <c r="H1898" i="11"/>
  <c r="G1898" i="11"/>
  <c r="F1898" i="11"/>
  <c r="E1898" i="11"/>
  <c r="D1898" i="11"/>
  <c r="C1898" i="11"/>
  <c r="B1898" i="11"/>
  <c r="A1898" i="11"/>
  <c r="H1897" i="11"/>
  <c r="G1897" i="11"/>
  <c r="F1897" i="11"/>
  <c r="E1897" i="11"/>
  <c r="D1897" i="11"/>
  <c r="C1897" i="11"/>
  <c r="B1897" i="11"/>
  <c r="A1897" i="11"/>
  <c r="H1896" i="11"/>
  <c r="G1896" i="11"/>
  <c r="F1896" i="11"/>
  <c r="E1896" i="11"/>
  <c r="D1896" i="11"/>
  <c r="C1896" i="11"/>
  <c r="B1896" i="11"/>
  <c r="A1896" i="11"/>
  <c r="H1895" i="11"/>
  <c r="G1895" i="11"/>
  <c r="F1895" i="11"/>
  <c r="E1895" i="11"/>
  <c r="D1895" i="11"/>
  <c r="C1895" i="11"/>
  <c r="B1895" i="11"/>
  <c r="A1895" i="11"/>
  <c r="H1894" i="11"/>
  <c r="G1894" i="11"/>
  <c r="F1894" i="11"/>
  <c r="E1894" i="11"/>
  <c r="D1894" i="11"/>
  <c r="C1894" i="11"/>
  <c r="B1894" i="11"/>
  <c r="A1894" i="11"/>
  <c r="H1893" i="11"/>
  <c r="G1893" i="11"/>
  <c r="F1893" i="11"/>
  <c r="E1893" i="11"/>
  <c r="D1893" i="11"/>
  <c r="C1893" i="11"/>
  <c r="B1893" i="11"/>
  <c r="A1893" i="11"/>
  <c r="H1892" i="11"/>
  <c r="G1892" i="11"/>
  <c r="F1892" i="11"/>
  <c r="E1892" i="11"/>
  <c r="D1892" i="11"/>
  <c r="C1892" i="11"/>
  <c r="B1892" i="11"/>
  <c r="A1892" i="11"/>
  <c r="H1891" i="11"/>
  <c r="G1891" i="11"/>
  <c r="F1891" i="11"/>
  <c r="E1891" i="11"/>
  <c r="D1891" i="11"/>
  <c r="C1891" i="11"/>
  <c r="B1891" i="11"/>
  <c r="A1891" i="11"/>
  <c r="H1890" i="11"/>
  <c r="G1890" i="11"/>
  <c r="F1890" i="11"/>
  <c r="E1890" i="11"/>
  <c r="D1890" i="11"/>
  <c r="C1890" i="11"/>
  <c r="B1890" i="11"/>
  <c r="A1890" i="11"/>
  <c r="H1889" i="11"/>
  <c r="G1889" i="11"/>
  <c r="F1889" i="11"/>
  <c r="E1889" i="11"/>
  <c r="D1889" i="11"/>
  <c r="C1889" i="11"/>
  <c r="B1889" i="11"/>
  <c r="A1889" i="11"/>
  <c r="H1888" i="11"/>
  <c r="G1888" i="11"/>
  <c r="F1888" i="11"/>
  <c r="E1888" i="11"/>
  <c r="D1888" i="11"/>
  <c r="C1888" i="11"/>
  <c r="B1888" i="11"/>
  <c r="A1888" i="11"/>
  <c r="H1887" i="11"/>
  <c r="G1887" i="11"/>
  <c r="F1887" i="11"/>
  <c r="E1887" i="11"/>
  <c r="D1887" i="11"/>
  <c r="C1887" i="11"/>
  <c r="B1887" i="11"/>
  <c r="A1887" i="11"/>
  <c r="H1886" i="11"/>
  <c r="G1886" i="11"/>
  <c r="F1886" i="11"/>
  <c r="E1886" i="11"/>
  <c r="D1886" i="11"/>
  <c r="C1886" i="11"/>
  <c r="B1886" i="11"/>
  <c r="A1886" i="11"/>
  <c r="H1885" i="11"/>
  <c r="G1885" i="11"/>
  <c r="F1885" i="11"/>
  <c r="E1885" i="11"/>
  <c r="D1885" i="11"/>
  <c r="C1885" i="11"/>
  <c r="B1885" i="11"/>
  <c r="A1885" i="11"/>
  <c r="H1884" i="11"/>
  <c r="G1884" i="11"/>
  <c r="F1884" i="11"/>
  <c r="E1884" i="11"/>
  <c r="D1884" i="11"/>
  <c r="C1884" i="11"/>
  <c r="B1884" i="11"/>
  <c r="A1884" i="11"/>
  <c r="H1883" i="11"/>
  <c r="G1883" i="11"/>
  <c r="F1883" i="11"/>
  <c r="E1883" i="11"/>
  <c r="D1883" i="11"/>
  <c r="C1883" i="11"/>
  <c r="B1883" i="11"/>
  <c r="A1883" i="11"/>
  <c r="H1882" i="11"/>
  <c r="G1882" i="11"/>
  <c r="F1882" i="11"/>
  <c r="E1882" i="11"/>
  <c r="D1882" i="11"/>
  <c r="C1882" i="11"/>
  <c r="B1882" i="11"/>
  <c r="A1882" i="11"/>
  <c r="H1881" i="11"/>
  <c r="G1881" i="11"/>
  <c r="F1881" i="11"/>
  <c r="E1881" i="11"/>
  <c r="D1881" i="11"/>
  <c r="C1881" i="11"/>
  <c r="B1881" i="11"/>
  <c r="A1881" i="11"/>
  <c r="H1880" i="11"/>
  <c r="G1880" i="11"/>
  <c r="F1880" i="11"/>
  <c r="E1880" i="11"/>
  <c r="D1880" i="11"/>
  <c r="C1880" i="11"/>
  <c r="B1880" i="11"/>
  <c r="A1880" i="11"/>
  <c r="H1879" i="11"/>
  <c r="G1879" i="11"/>
  <c r="F1879" i="11"/>
  <c r="E1879" i="11"/>
  <c r="D1879" i="11"/>
  <c r="C1879" i="11"/>
  <c r="B1879" i="11"/>
  <c r="A1879" i="11"/>
  <c r="H1878" i="11"/>
  <c r="G1878" i="11"/>
  <c r="F1878" i="11"/>
  <c r="E1878" i="11"/>
  <c r="D1878" i="11"/>
  <c r="C1878" i="11"/>
  <c r="B1878" i="11"/>
  <c r="A1878" i="11"/>
  <c r="H1877" i="11"/>
  <c r="G1877" i="11"/>
  <c r="F1877" i="11"/>
  <c r="E1877" i="11"/>
  <c r="D1877" i="11"/>
  <c r="C1877" i="11"/>
  <c r="B1877" i="11"/>
  <c r="A1877" i="11"/>
  <c r="H1876" i="11"/>
  <c r="G1876" i="11"/>
  <c r="F1876" i="11"/>
  <c r="E1876" i="11"/>
  <c r="D1876" i="11"/>
  <c r="C1876" i="11"/>
  <c r="B1876" i="11"/>
  <c r="A1876" i="11"/>
  <c r="H1875" i="11"/>
  <c r="G1875" i="11"/>
  <c r="F1875" i="11"/>
  <c r="E1875" i="11"/>
  <c r="D1875" i="11"/>
  <c r="C1875" i="11"/>
  <c r="B1875" i="11"/>
  <c r="A1875" i="11"/>
  <c r="H1874" i="11"/>
  <c r="G1874" i="11"/>
  <c r="F1874" i="11"/>
  <c r="E1874" i="11"/>
  <c r="D1874" i="11"/>
  <c r="C1874" i="11"/>
  <c r="B1874" i="11"/>
  <c r="A1874" i="11"/>
  <c r="H1873" i="11"/>
  <c r="G1873" i="11"/>
  <c r="F1873" i="11"/>
  <c r="E1873" i="11"/>
  <c r="D1873" i="11"/>
  <c r="C1873" i="11"/>
  <c r="B1873" i="11"/>
  <c r="A1873" i="11"/>
  <c r="H1872" i="11"/>
  <c r="G1872" i="11"/>
  <c r="F1872" i="11"/>
  <c r="E1872" i="11"/>
  <c r="D1872" i="11"/>
  <c r="C1872" i="11"/>
  <c r="B1872" i="11"/>
  <c r="A1872" i="11"/>
  <c r="H1871" i="11"/>
  <c r="G1871" i="11"/>
  <c r="F1871" i="11"/>
  <c r="E1871" i="11"/>
  <c r="D1871" i="11"/>
  <c r="C1871" i="11"/>
  <c r="B1871" i="11"/>
  <c r="A1871" i="11"/>
  <c r="H1870" i="11"/>
  <c r="G1870" i="11"/>
  <c r="F1870" i="11"/>
  <c r="E1870" i="11"/>
  <c r="D1870" i="11"/>
  <c r="C1870" i="11"/>
  <c r="B1870" i="11"/>
  <c r="A1870" i="11"/>
  <c r="H1869" i="11"/>
  <c r="G1869" i="11"/>
  <c r="F1869" i="11"/>
  <c r="E1869" i="11"/>
  <c r="D1869" i="11"/>
  <c r="C1869" i="11"/>
  <c r="B1869" i="11"/>
  <c r="A1869" i="11"/>
  <c r="H1868" i="11"/>
  <c r="G1868" i="11"/>
  <c r="F1868" i="11"/>
  <c r="E1868" i="11"/>
  <c r="D1868" i="11"/>
  <c r="C1868" i="11"/>
  <c r="B1868" i="11"/>
  <c r="A1868" i="11"/>
  <c r="H1867" i="11"/>
  <c r="G1867" i="11"/>
  <c r="F1867" i="11"/>
  <c r="E1867" i="11"/>
  <c r="D1867" i="11"/>
  <c r="C1867" i="11"/>
  <c r="B1867" i="11"/>
  <c r="A1867" i="11"/>
  <c r="H1866" i="11"/>
  <c r="G1866" i="11"/>
  <c r="F1866" i="11"/>
  <c r="E1866" i="11"/>
  <c r="D1866" i="11"/>
  <c r="C1866" i="11"/>
  <c r="B1866" i="11"/>
  <c r="A1866" i="11"/>
  <c r="H1865" i="11"/>
  <c r="G1865" i="11"/>
  <c r="F1865" i="11"/>
  <c r="E1865" i="11"/>
  <c r="D1865" i="11"/>
  <c r="C1865" i="11"/>
  <c r="B1865" i="11"/>
  <c r="A1865" i="11"/>
  <c r="H1864" i="11"/>
  <c r="G1864" i="11"/>
  <c r="F1864" i="11"/>
  <c r="E1864" i="11"/>
  <c r="D1864" i="11"/>
  <c r="C1864" i="11"/>
  <c r="B1864" i="11"/>
  <c r="A1864" i="11"/>
  <c r="H1863" i="11"/>
  <c r="G1863" i="11"/>
  <c r="F1863" i="11"/>
  <c r="E1863" i="11"/>
  <c r="D1863" i="11"/>
  <c r="C1863" i="11"/>
  <c r="B1863" i="11"/>
  <c r="A1863" i="11"/>
  <c r="H1862" i="11"/>
  <c r="G1862" i="11"/>
  <c r="F1862" i="11"/>
  <c r="E1862" i="11"/>
  <c r="D1862" i="11"/>
  <c r="C1862" i="11"/>
  <c r="B1862" i="11"/>
  <c r="A1862" i="11"/>
  <c r="H1861" i="11"/>
  <c r="G1861" i="11"/>
  <c r="F1861" i="11"/>
  <c r="E1861" i="11"/>
  <c r="D1861" i="11"/>
  <c r="C1861" i="11"/>
  <c r="B1861" i="11"/>
  <c r="A1861" i="11"/>
  <c r="H1860" i="11"/>
  <c r="G1860" i="11"/>
  <c r="F1860" i="11"/>
  <c r="E1860" i="11"/>
  <c r="D1860" i="11"/>
  <c r="C1860" i="11"/>
  <c r="B1860" i="11"/>
  <c r="A1860" i="11"/>
  <c r="H1859" i="11"/>
  <c r="G1859" i="11"/>
  <c r="F1859" i="11"/>
  <c r="E1859" i="11"/>
  <c r="D1859" i="11"/>
  <c r="C1859" i="11"/>
  <c r="B1859" i="11"/>
  <c r="A1859" i="11"/>
  <c r="H1858" i="11"/>
  <c r="G1858" i="11"/>
  <c r="F1858" i="11"/>
  <c r="E1858" i="11"/>
  <c r="D1858" i="11"/>
  <c r="C1858" i="11"/>
  <c r="B1858" i="11"/>
  <c r="A1858" i="11"/>
  <c r="H1857" i="11"/>
  <c r="G1857" i="11"/>
  <c r="F1857" i="11"/>
  <c r="E1857" i="11"/>
  <c r="D1857" i="11"/>
  <c r="C1857" i="11"/>
  <c r="B1857" i="11"/>
  <c r="A1857" i="11"/>
  <c r="H1856" i="11"/>
  <c r="G1856" i="11"/>
  <c r="F1856" i="11"/>
  <c r="E1856" i="11"/>
  <c r="D1856" i="11"/>
  <c r="C1856" i="11"/>
  <c r="B1856" i="11"/>
  <c r="A1856" i="11"/>
  <c r="H1855" i="11"/>
  <c r="G1855" i="11"/>
  <c r="F1855" i="11"/>
  <c r="E1855" i="11"/>
  <c r="D1855" i="11"/>
  <c r="C1855" i="11"/>
  <c r="B1855" i="11"/>
  <c r="A1855" i="11"/>
  <c r="H1854" i="11"/>
  <c r="G1854" i="11"/>
  <c r="F1854" i="11"/>
  <c r="E1854" i="11"/>
  <c r="D1854" i="11"/>
  <c r="C1854" i="11"/>
  <c r="B1854" i="11"/>
  <c r="A1854" i="11"/>
  <c r="H1853" i="11"/>
  <c r="G1853" i="11"/>
  <c r="F1853" i="11"/>
  <c r="E1853" i="11"/>
  <c r="D1853" i="11"/>
  <c r="C1853" i="11"/>
  <c r="B1853" i="11"/>
  <c r="A1853" i="11"/>
  <c r="H1852" i="11"/>
  <c r="G1852" i="11"/>
  <c r="F1852" i="11"/>
  <c r="E1852" i="11"/>
  <c r="D1852" i="11"/>
  <c r="C1852" i="11"/>
  <c r="B1852" i="11"/>
  <c r="A1852" i="11"/>
  <c r="H1851" i="11"/>
  <c r="G1851" i="11"/>
  <c r="F1851" i="11"/>
  <c r="E1851" i="11"/>
  <c r="D1851" i="11"/>
  <c r="C1851" i="11"/>
  <c r="B1851" i="11"/>
  <c r="A1851" i="11"/>
  <c r="H1850" i="11"/>
  <c r="G1850" i="11"/>
  <c r="F1850" i="11"/>
  <c r="E1850" i="11"/>
  <c r="D1850" i="11"/>
  <c r="C1850" i="11"/>
  <c r="B1850" i="11"/>
  <c r="A1850" i="11"/>
  <c r="H1849" i="11"/>
  <c r="G1849" i="11"/>
  <c r="F1849" i="11"/>
  <c r="E1849" i="11"/>
  <c r="D1849" i="11"/>
  <c r="C1849" i="11"/>
  <c r="B1849" i="11"/>
  <c r="A1849" i="11"/>
  <c r="H1848" i="11"/>
  <c r="G1848" i="11"/>
  <c r="F1848" i="11"/>
  <c r="E1848" i="11"/>
  <c r="D1848" i="11"/>
  <c r="C1848" i="11"/>
  <c r="B1848" i="11"/>
  <c r="A1848" i="11"/>
  <c r="H1847" i="11"/>
  <c r="G1847" i="11"/>
  <c r="F1847" i="11"/>
  <c r="E1847" i="11"/>
  <c r="D1847" i="11"/>
  <c r="C1847" i="11"/>
  <c r="B1847" i="11"/>
  <c r="A1847" i="11"/>
  <c r="H1846" i="11"/>
  <c r="G1846" i="11"/>
  <c r="F1846" i="11"/>
  <c r="E1846" i="11"/>
  <c r="D1846" i="11"/>
  <c r="C1846" i="11"/>
  <c r="B1846" i="11"/>
  <c r="A1846" i="11"/>
  <c r="H1845" i="11"/>
  <c r="G1845" i="11"/>
  <c r="F1845" i="11"/>
  <c r="E1845" i="11"/>
  <c r="D1845" i="11"/>
  <c r="C1845" i="11"/>
  <c r="B1845" i="11"/>
  <c r="A1845" i="11"/>
  <c r="H1844" i="11"/>
  <c r="G1844" i="11"/>
  <c r="F1844" i="11"/>
  <c r="E1844" i="11"/>
  <c r="D1844" i="11"/>
  <c r="C1844" i="11"/>
  <c r="B1844" i="11"/>
  <c r="A1844" i="11"/>
  <c r="H1843" i="11"/>
  <c r="G1843" i="11"/>
  <c r="F1843" i="11"/>
  <c r="E1843" i="11"/>
  <c r="D1843" i="11"/>
  <c r="C1843" i="11"/>
  <c r="B1843" i="11"/>
  <c r="A1843" i="11"/>
  <c r="H1842" i="11"/>
  <c r="G1842" i="11"/>
  <c r="F1842" i="11"/>
  <c r="E1842" i="11"/>
  <c r="D1842" i="11"/>
  <c r="C1842" i="11"/>
  <c r="B1842" i="11"/>
  <c r="A1842" i="11"/>
  <c r="H1841" i="11"/>
  <c r="G1841" i="11"/>
  <c r="F1841" i="11"/>
  <c r="E1841" i="11"/>
  <c r="D1841" i="11"/>
  <c r="C1841" i="11"/>
  <c r="B1841" i="11"/>
  <c r="A1841" i="11"/>
  <c r="H1840" i="11"/>
  <c r="G1840" i="11"/>
  <c r="F1840" i="11"/>
  <c r="E1840" i="11"/>
  <c r="D1840" i="11"/>
  <c r="C1840" i="11"/>
  <c r="B1840" i="11"/>
  <c r="A1840" i="11"/>
  <c r="H1839" i="11"/>
  <c r="G1839" i="11"/>
  <c r="F1839" i="11"/>
  <c r="E1839" i="11"/>
  <c r="D1839" i="11"/>
  <c r="C1839" i="11"/>
  <c r="B1839" i="11"/>
  <c r="A1839" i="11"/>
  <c r="H1838" i="11"/>
  <c r="G1838" i="11"/>
  <c r="F1838" i="11"/>
  <c r="E1838" i="11"/>
  <c r="D1838" i="11"/>
  <c r="C1838" i="11"/>
  <c r="B1838" i="11"/>
  <c r="A1838" i="11"/>
  <c r="H1837" i="11"/>
  <c r="G1837" i="11"/>
  <c r="F1837" i="11"/>
  <c r="E1837" i="11"/>
  <c r="D1837" i="11"/>
  <c r="C1837" i="11"/>
  <c r="B1837" i="11"/>
  <c r="A1837" i="11"/>
  <c r="H1836" i="11"/>
  <c r="G1836" i="11"/>
  <c r="F1836" i="11"/>
  <c r="E1836" i="11"/>
  <c r="D1836" i="11"/>
  <c r="C1836" i="11"/>
  <c r="B1836" i="11"/>
  <c r="A1836" i="11"/>
  <c r="H1835" i="11"/>
  <c r="G1835" i="11"/>
  <c r="F1835" i="11"/>
  <c r="E1835" i="11"/>
  <c r="D1835" i="11"/>
  <c r="C1835" i="11"/>
  <c r="B1835" i="11"/>
  <c r="A1835" i="11"/>
  <c r="H1834" i="11"/>
  <c r="G1834" i="11"/>
  <c r="F1834" i="11"/>
  <c r="E1834" i="11"/>
  <c r="D1834" i="11"/>
  <c r="C1834" i="11"/>
  <c r="B1834" i="11"/>
  <c r="A1834" i="11"/>
  <c r="H1833" i="11"/>
  <c r="G1833" i="11"/>
  <c r="F1833" i="11"/>
  <c r="E1833" i="11"/>
  <c r="D1833" i="11"/>
  <c r="C1833" i="11"/>
  <c r="B1833" i="11"/>
  <c r="A1833" i="11"/>
  <c r="H1832" i="11"/>
  <c r="G1832" i="11"/>
  <c r="F1832" i="11"/>
  <c r="E1832" i="11"/>
  <c r="D1832" i="11"/>
  <c r="C1832" i="11"/>
  <c r="B1832" i="11"/>
  <c r="A1832" i="11"/>
  <c r="H1831" i="11"/>
  <c r="G1831" i="11"/>
  <c r="F1831" i="11"/>
  <c r="E1831" i="11"/>
  <c r="D1831" i="11"/>
  <c r="C1831" i="11"/>
  <c r="B1831" i="11"/>
  <c r="A1831" i="11"/>
  <c r="H1830" i="11"/>
  <c r="G1830" i="11"/>
  <c r="F1830" i="11"/>
  <c r="E1830" i="11"/>
  <c r="D1830" i="11"/>
  <c r="C1830" i="11"/>
  <c r="B1830" i="11"/>
  <c r="A1830" i="11"/>
  <c r="H1829" i="11"/>
  <c r="G1829" i="11"/>
  <c r="F1829" i="11"/>
  <c r="E1829" i="11"/>
  <c r="D1829" i="11"/>
  <c r="C1829" i="11"/>
  <c r="B1829" i="11"/>
  <c r="A1829" i="11"/>
  <c r="H1828" i="11"/>
  <c r="G1828" i="11"/>
  <c r="F1828" i="11"/>
  <c r="E1828" i="11"/>
  <c r="D1828" i="11"/>
  <c r="C1828" i="11"/>
  <c r="B1828" i="11"/>
  <c r="A1828" i="11"/>
  <c r="H1827" i="11"/>
  <c r="G1827" i="11"/>
  <c r="F1827" i="11"/>
  <c r="E1827" i="11"/>
  <c r="D1827" i="11"/>
  <c r="C1827" i="11"/>
  <c r="B1827" i="11"/>
  <c r="A1827" i="11"/>
  <c r="H1826" i="11"/>
  <c r="G1826" i="11"/>
  <c r="F1826" i="11"/>
  <c r="E1826" i="11"/>
  <c r="D1826" i="11"/>
  <c r="C1826" i="11"/>
  <c r="B1826" i="11"/>
  <c r="A1826" i="11"/>
  <c r="H1825" i="11"/>
  <c r="G1825" i="11"/>
  <c r="F1825" i="11"/>
  <c r="E1825" i="11"/>
  <c r="D1825" i="11"/>
  <c r="C1825" i="11"/>
  <c r="B1825" i="11"/>
  <c r="A1825" i="11"/>
  <c r="H1824" i="11"/>
  <c r="G1824" i="11"/>
  <c r="F1824" i="11"/>
  <c r="E1824" i="11"/>
  <c r="D1824" i="11"/>
  <c r="C1824" i="11"/>
  <c r="B1824" i="11"/>
  <c r="A1824" i="11"/>
  <c r="H1823" i="11"/>
  <c r="G1823" i="11"/>
  <c r="F1823" i="11"/>
  <c r="E1823" i="11"/>
  <c r="D1823" i="11"/>
  <c r="C1823" i="11"/>
  <c r="B1823" i="11"/>
  <c r="A1823" i="11"/>
  <c r="H1822" i="11"/>
  <c r="G1822" i="11"/>
  <c r="F1822" i="11"/>
  <c r="E1822" i="11"/>
  <c r="D1822" i="11"/>
  <c r="C1822" i="11"/>
  <c r="B1822" i="11"/>
  <c r="A1822" i="11"/>
  <c r="H1821" i="11"/>
  <c r="G1821" i="11"/>
  <c r="F1821" i="11"/>
  <c r="E1821" i="11"/>
  <c r="D1821" i="11"/>
  <c r="C1821" i="11"/>
  <c r="B1821" i="11"/>
  <c r="A1821" i="11"/>
  <c r="H1820" i="11"/>
  <c r="G1820" i="11"/>
  <c r="F1820" i="11"/>
  <c r="E1820" i="11"/>
  <c r="D1820" i="11"/>
  <c r="C1820" i="11"/>
  <c r="B1820" i="11"/>
  <c r="A1820" i="11"/>
  <c r="H1819" i="11"/>
  <c r="G1819" i="11"/>
  <c r="F1819" i="11"/>
  <c r="E1819" i="11"/>
  <c r="D1819" i="11"/>
  <c r="C1819" i="11"/>
  <c r="B1819" i="11"/>
  <c r="A1819" i="11"/>
  <c r="H1818" i="11"/>
  <c r="G1818" i="11"/>
  <c r="F1818" i="11"/>
  <c r="E1818" i="11"/>
  <c r="D1818" i="11"/>
  <c r="C1818" i="11"/>
  <c r="B1818" i="11"/>
  <c r="A1818" i="11"/>
  <c r="H1817" i="11"/>
  <c r="G1817" i="11"/>
  <c r="F1817" i="11"/>
  <c r="E1817" i="11"/>
  <c r="D1817" i="11"/>
  <c r="C1817" i="11"/>
  <c r="B1817" i="11"/>
  <c r="A1817" i="11"/>
  <c r="H1816" i="11"/>
  <c r="G1816" i="11"/>
  <c r="F1816" i="11"/>
  <c r="E1816" i="11"/>
  <c r="D1816" i="11"/>
  <c r="C1816" i="11"/>
  <c r="B1816" i="11"/>
  <c r="A1816" i="11"/>
  <c r="H1815" i="11"/>
  <c r="G1815" i="11"/>
  <c r="F1815" i="11"/>
  <c r="E1815" i="11"/>
  <c r="D1815" i="11"/>
  <c r="C1815" i="11"/>
  <c r="B1815" i="11"/>
  <c r="A1815" i="11"/>
  <c r="H1814" i="11"/>
  <c r="G1814" i="11"/>
  <c r="F1814" i="11"/>
  <c r="E1814" i="11"/>
  <c r="D1814" i="11"/>
  <c r="C1814" i="11"/>
  <c r="B1814" i="11"/>
  <c r="A1814" i="11"/>
  <c r="H1813" i="11"/>
  <c r="G1813" i="11"/>
  <c r="F1813" i="11"/>
  <c r="E1813" i="11"/>
  <c r="D1813" i="11"/>
  <c r="C1813" i="11"/>
  <c r="B1813" i="11"/>
  <c r="A1813" i="11"/>
  <c r="H1812" i="11"/>
  <c r="G1812" i="11"/>
  <c r="F1812" i="11"/>
  <c r="E1812" i="11"/>
  <c r="D1812" i="11"/>
  <c r="C1812" i="11"/>
  <c r="B1812" i="11"/>
  <c r="A1812" i="11"/>
  <c r="H1811" i="11"/>
  <c r="G1811" i="11"/>
  <c r="F1811" i="11"/>
  <c r="E1811" i="11"/>
  <c r="D1811" i="11"/>
  <c r="C1811" i="11"/>
  <c r="B1811" i="11"/>
  <c r="A1811" i="11"/>
  <c r="H1810" i="11"/>
  <c r="G1810" i="11"/>
  <c r="F1810" i="11"/>
  <c r="E1810" i="11"/>
  <c r="D1810" i="11"/>
  <c r="C1810" i="11"/>
  <c r="B1810" i="11"/>
  <c r="A1810" i="11"/>
  <c r="H1809" i="11"/>
  <c r="G1809" i="11"/>
  <c r="F1809" i="11"/>
  <c r="E1809" i="11"/>
  <c r="D1809" i="11"/>
  <c r="C1809" i="11"/>
  <c r="B1809" i="11"/>
  <c r="A1809" i="11"/>
  <c r="H1808" i="11"/>
  <c r="G1808" i="11"/>
  <c r="F1808" i="11"/>
  <c r="E1808" i="11"/>
  <c r="D1808" i="11"/>
  <c r="C1808" i="11"/>
  <c r="B1808" i="11"/>
  <c r="A1808" i="11"/>
  <c r="H1807" i="11"/>
  <c r="G1807" i="11"/>
  <c r="F1807" i="11"/>
  <c r="E1807" i="11"/>
  <c r="D1807" i="11"/>
  <c r="C1807" i="11"/>
  <c r="B1807" i="11"/>
  <c r="A1807" i="11"/>
  <c r="H1806" i="11"/>
  <c r="G1806" i="11"/>
  <c r="F1806" i="11"/>
  <c r="E1806" i="11"/>
  <c r="D1806" i="11"/>
  <c r="C1806" i="11"/>
  <c r="B1806" i="11"/>
  <c r="A1806" i="11"/>
  <c r="H1805" i="11"/>
  <c r="G1805" i="11"/>
  <c r="F1805" i="11"/>
  <c r="E1805" i="11"/>
  <c r="D1805" i="11"/>
  <c r="C1805" i="11"/>
  <c r="B1805" i="11"/>
  <c r="A1805" i="11"/>
  <c r="H1804" i="11"/>
  <c r="G1804" i="11"/>
  <c r="F1804" i="11"/>
  <c r="E1804" i="11"/>
  <c r="D1804" i="11"/>
  <c r="C1804" i="11"/>
  <c r="B1804" i="11"/>
  <c r="A1804" i="11"/>
  <c r="H1803" i="11"/>
  <c r="G1803" i="11"/>
  <c r="F1803" i="11"/>
  <c r="E1803" i="11"/>
  <c r="D1803" i="11"/>
  <c r="C1803" i="11"/>
  <c r="B1803" i="11"/>
  <c r="A1803" i="11"/>
  <c r="H1802" i="11"/>
  <c r="G1802" i="11"/>
  <c r="F1802" i="11"/>
  <c r="E1802" i="11"/>
  <c r="D1802" i="11"/>
  <c r="C1802" i="11"/>
  <c r="B1802" i="11"/>
  <c r="A1802" i="11"/>
  <c r="H1801" i="11"/>
  <c r="G1801" i="11"/>
  <c r="F1801" i="11"/>
  <c r="E1801" i="11"/>
  <c r="D1801" i="11"/>
  <c r="C1801" i="11"/>
  <c r="B1801" i="11"/>
  <c r="A1801" i="11"/>
  <c r="H1800" i="11"/>
  <c r="G1800" i="11"/>
  <c r="F1800" i="11"/>
  <c r="E1800" i="11"/>
  <c r="D1800" i="11"/>
  <c r="C1800" i="11"/>
  <c r="B1800" i="11"/>
  <c r="A1800" i="11"/>
  <c r="H1799" i="11"/>
  <c r="G1799" i="11"/>
  <c r="F1799" i="11"/>
  <c r="E1799" i="11"/>
  <c r="D1799" i="11"/>
  <c r="C1799" i="11"/>
  <c r="B1799" i="11"/>
  <c r="A1799" i="11"/>
  <c r="H1798" i="11"/>
  <c r="G1798" i="11"/>
  <c r="F1798" i="11"/>
  <c r="E1798" i="11"/>
  <c r="D1798" i="11"/>
  <c r="C1798" i="11"/>
  <c r="B1798" i="11"/>
  <c r="A1798" i="11"/>
  <c r="H1797" i="11"/>
  <c r="G1797" i="11"/>
  <c r="F1797" i="11"/>
  <c r="E1797" i="11"/>
  <c r="D1797" i="11"/>
  <c r="C1797" i="11"/>
  <c r="B1797" i="11"/>
  <c r="A1797" i="11"/>
  <c r="H1796" i="11"/>
  <c r="G1796" i="11"/>
  <c r="F1796" i="11"/>
  <c r="E1796" i="11"/>
  <c r="D1796" i="11"/>
  <c r="C1796" i="11"/>
  <c r="B1796" i="11"/>
  <c r="A1796" i="11"/>
  <c r="H1795" i="11"/>
  <c r="G1795" i="11"/>
  <c r="F1795" i="11"/>
  <c r="E1795" i="11"/>
  <c r="D1795" i="11"/>
  <c r="C1795" i="11"/>
  <c r="B1795" i="11"/>
  <c r="A1795" i="11"/>
  <c r="H1794" i="11"/>
  <c r="G1794" i="11"/>
  <c r="F1794" i="11"/>
  <c r="E1794" i="11"/>
  <c r="D1794" i="11"/>
  <c r="C1794" i="11"/>
  <c r="B1794" i="11"/>
  <c r="A1794" i="11"/>
  <c r="H1793" i="11"/>
  <c r="G1793" i="11"/>
  <c r="F1793" i="11"/>
  <c r="E1793" i="11"/>
  <c r="D1793" i="11"/>
  <c r="C1793" i="11"/>
  <c r="B1793" i="11"/>
  <c r="A1793" i="11"/>
  <c r="H1792" i="11"/>
  <c r="G1792" i="11"/>
  <c r="F1792" i="11"/>
  <c r="E1792" i="11"/>
  <c r="D1792" i="11"/>
  <c r="C1792" i="11"/>
  <c r="B1792" i="11"/>
  <c r="A1792" i="11"/>
  <c r="H1791" i="11"/>
  <c r="G1791" i="11"/>
  <c r="F1791" i="11"/>
  <c r="E1791" i="11"/>
  <c r="D1791" i="11"/>
  <c r="C1791" i="11"/>
  <c r="B1791" i="11"/>
  <c r="A1791" i="11"/>
  <c r="H1790" i="11"/>
  <c r="G1790" i="11"/>
  <c r="F1790" i="11"/>
  <c r="E1790" i="11"/>
  <c r="D1790" i="11"/>
  <c r="C1790" i="11"/>
  <c r="B1790" i="11"/>
  <c r="A1790" i="11"/>
  <c r="H1789" i="11"/>
  <c r="G1789" i="11"/>
  <c r="F1789" i="11"/>
  <c r="E1789" i="11"/>
  <c r="D1789" i="11"/>
  <c r="C1789" i="11"/>
  <c r="B1789" i="11"/>
  <c r="A1789" i="11"/>
  <c r="H1788" i="11"/>
  <c r="G1788" i="11"/>
  <c r="F1788" i="11"/>
  <c r="E1788" i="11"/>
  <c r="D1788" i="11"/>
  <c r="C1788" i="11"/>
  <c r="B1788" i="11"/>
  <c r="A1788" i="11"/>
  <c r="H1787" i="11"/>
  <c r="G1787" i="11"/>
  <c r="F1787" i="11"/>
  <c r="E1787" i="11"/>
  <c r="D1787" i="11"/>
  <c r="C1787" i="11"/>
  <c r="B1787" i="11"/>
  <c r="A1787" i="11"/>
  <c r="H1786" i="11"/>
  <c r="G1786" i="11"/>
  <c r="F1786" i="11"/>
  <c r="E1786" i="11"/>
  <c r="D1786" i="11"/>
  <c r="C1786" i="11"/>
  <c r="B1786" i="11"/>
  <c r="A1786" i="11"/>
  <c r="H1785" i="11"/>
  <c r="G1785" i="11"/>
  <c r="F1785" i="11"/>
  <c r="E1785" i="11"/>
  <c r="D1785" i="11"/>
  <c r="C1785" i="11"/>
  <c r="B1785" i="11"/>
  <c r="A1785" i="11"/>
  <c r="H1784" i="11"/>
  <c r="G1784" i="11"/>
  <c r="F1784" i="11"/>
  <c r="E1784" i="11"/>
  <c r="D1784" i="11"/>
  <c r="C1784" i="11"/>
  <c r="B1784" i="11"/>
  <c r="A1784" i="11"/>
  <c r="H1783" i="11"/>
  <c r="G1783" i="11"/>
  <c r="F1783" i="11"/>
  <c r="E1783" i="11"/>
  <c r="D1783" i="11"/>
  <c r="C1783" i="11"/>
  <c r="B1783" i="11"/>
  <c r="A1783" i="11"/>
  <c r="H1782" i="11"/>
  <c r="G1782" i="11"/>
  <c r="F1782" i="11"/>
  <c r="E1782" i="11"/>
  <c r="D1782" i="11"/>
  <c r="C1782" i="11"/>
  <c r="B1782" i="11"/>
  <c r="A1782" i="11"/>
  <c r="H1781" i="11"/>
  <c r="G1781" i="11"/>
  <c r="F1781" i="11"/>
  <c r="E1781" i="11"/>
  <c r="D1781" i="11"/>
  <c r="C1781" i="11"/>
  <c r="B1781" i="11"/>
  <c r="A1781" i="11"/>
  <c r="H1780" i="11"/>
  <c r="G1780" i="11"/>
  <c r="F1780" i="11"/>
  <c r="E1780" i="11"/>
  <c r="D1780" i="11"/>
  <c r="C1780" i="11"/>
  <c r="B1780" i="11"/>
  <c r="A1780" i="11"/>
  <c r="H1779" i="11"/>
  <c r="G1779" i="11"/>
  <c r="F1779" i="11"/>
  <c r="E1779" i="11"/>
  <c r="D1779" i="11"/>
  <c r="C1779" i="11"/>
  <c r="B1779" i="11"/>
  <c r="A1779" i="11"/>
  <c r="H1778" i="11"/>
  <c r="G1778" i="11"/>
  <c r="F1778" i="11"/>
  <c r="E1778" i="11"/>
  <c r="D1778" i="11"/>
  <c r="C1778" i="11"/>
  <c r="B1778" i="11"/>
  <c r="A1778" i="11"/>
  <c r="H1777" i="11"/>
  <c r="G1777" i="11"/>
  <c r="F1777" i="11"/>
  <c r="E1777" i="11"/>
  <c r="D1777" i="11"/>
  <c r="C1777" i="11"/>
  <c r="B1777" i="11"/>
  <c r="A1777" i="11"/>
  <c r="H1776" i="11"/>
  <c r="G1776" i="11"/>
  <c r="F1776" i="11"/>
  <c r="E1776" i="11"/>
  <c r="D1776" i="11"/>
  <c r="C1776" i="11"/>
  <c r="B1776" i="11"/>
  <c r="A1776" i="11"/>
  <c r="H1775" i="11"/>
  <c r="G1775" i="11"/>
  <c r="F1775" i="11"/>
  <c r="E1775" i="11"/>
  <c r="D1775" i="11"/>
  <c r="C1775" i="11"/>
  <c r="B1775" i="11"/>
  <c r="A1775" i="11"/>
  <c r="H1774" i="11"/>
  <c r="G1774" i="11"/>
  <c r="F1774" i="11"/>
  <c r="E1774" i="11"/>
  <c r="D1774" i="11"/>
  <c r="C1774" i="11"/>
  <c r="B1774" i="11"/>
  <c r="A1774" i="11"/>
  <c r="H1773" i="11"/>
  <c r="G1773" i="11"/>
  <c r="F1773" i="11"/>
  <c r="E1773" i="11"/>
  <c r="D1773" i="11"/>
  <c r="C1773" i="11"/>
  <c r="B1773" i="11"/>
  <c r="A1773" i="11"/>
  <c r="H1772" i="11"/>
  <c r="G1772" i="11"/>
  <c r="F1772" i="11"/>
  <c r="E1772" i="11"/>
  <c r="D1772" i="11"/>
  <c r="C1772" i="11"/>
  <c r="B1772" i="11"/>
  <c r="A1772" i="11"/>
  <c r="H1771" i="11"/>
  <c r="G1771" i="11"/>
  <c r="F1771" i="11"/>
  <c r="E1771" i="11"/>
  <c r="D1771" i="11"/>
  <c r="C1771" i="11"/>
  <c r="B1771" i="11"/>
  <c r="A1771" i="11"/>
  <c r="H1770" i="11"/>
  <c r="G1770" i="11"/>
  <c r="F1770" i="11"/>
  <c r="E1770" i="11"/>
  <c r="D1770" i="11"/>
  <c r="C1770" i="11"/>
  <c r="B1770" i="11"/>
  <c r="A1770" i="11"/>
  <c r="H1769" i="11"/>
  <c r="G1769" i="11"/>
  <c r="F1769" i="11"/>
  <c r="E1769" i="11"/>
  <c r="D1769" i="11"/>
  <c r="C1769" i="11"/>
  <c r="B1769" i="11"/>
  <c r="A1769" i="11"/>
  <c r="H1768" i="11"/>
  <c r="G1768" i="11"/>
  <c r="F1768" i="11"/>
  <c r="E1768" i="11"/>
  <c r="D1768" i="11"/>
  <c r="C1768" i="11"/>
  <c r="B1768" i="11"/>
  <c r="A1768" i="11"/>
  <c r="H1767" i="11"/>
  <c r="G1767" i="11"/>
  <c r="F1767" i="11"/>
  <c r="E1767" i="11"/>
  <c r="D1767" i="11"/>
  <c r="C1767" i="11"/>
  <c r="B1767" i="11"/>
  <c r="A1767" i="11"/>
  <c r="H1766" i="11"/>
  <c r="G1766" i="11"/>
  <c r="F1766" i="11"/>
  <c r="E1766" i="11"/>
  <c r="D1766" i="11"/>
  <c r="C1766" i="11"/>
  <c r="B1766" i="11"/>
  <c r="A1766" i="11"/>
  <c r="H1765" i="11"/>
  <c r="G1765" i="11"/>
  <c r="F1765" i="11"/>
  <c r="E1765" i="11"/>
  <c r="D1765" i="11"/>
  <c r="C1765" i="11"/>
  <c r="B1765" i="11"/>
  <c r="A1765" i="11"/>
  <c r="H1764" i="11"/>
  <c r="G1764" i="11"/>
  <c r="F1764" i="11"/>
  <c r="E1764" i="11"/>
  <c r="D1764" i="11"/>
  <c r="C1764" i="11"/>
  <c r="B1764" i="11"/>
  <c r="A1764" i="11"/>
  <c r="H1763" i="11"/>
  <c r="G1763" i="11"/>
  <c r="F1763" i="11"/>
  <c r="E1763" i="11"/>
  <c r="D1763" i="11"/>
  <c r="C1763" i="11"/>
  <c r="B1763" i="11"/>
  <c r="A1763" i="11"/>
  <c r="H1762" i="11"/>
  <c r="G1762" i="11"/>
  <c r="F1762" i="11"/>
  <c r="E1762" i="11"/>
  <c r="D1762" i="11"/>
  <c r="C1762" i="11"/>
  <c r="B1762" i="11"/>
  <c r="A1762" i="11"/>
  <c r="H1761" i="11"/>
  <c r="G1761" i="11"/>
  <c r="F1761" i="11"/>
  <c r="E1761" i="11"/>
  <c r="D1761" i="11"/>
  <c r="C1761" i="11"/>
  <c r="B1761" i="11"/>
  <c r="A1761" i="11"/>
  <c r="H1760" i="11"/>
  <c r="G1760" i="11"/>
  <c r="F1760" i="11"/>
  <c r="E1760" i="11"/>
  <c r="D1760" i="11"/>
  <c r="C1760" i="11"/>
  <c r="B1760" i="11"/>
  <c r="A1760" i="11"/>
  <c r="H1759" i="11"/>
  <c r="G1759" i="11"/>
  <c r="F1759" i="11"/>
  <c r="E1759" i="11"/>
  <c r="D1759" i="11"/>
  <c r="C1759" i="11"/>
  <c r="B1759" i="11"/>
  <c r="A1759" i="11"/>
  <c r="H1758" i="11"/>
  <c r="G1758" i="11"/>
  <c r="F1758" i="11"/>
  <c r="E1758" i="11"/>
  <c r="D1758" i="11"/>
  <c r="C1758" i="11"/>
  <c r="B1758" i="11"/>
  <c r="A1758" i="11"/>
  <c r="H1757" i="11"/>
  <c r="G1757" i="11"/>
  <c r="F1757" i="11"/>
  <c r="E1757" i="11"/>
  <c r="D1757" i="11"/>
  <c r="C1757" i="11"/>
  <c r="B1757" i="11"/>
  <c r="A1757" i="11"/>
  <c r="H1756" i="11"/>
  <c r="G1756" i="11"/>
  <c r="F1756" i="11"/>
  <c r="E1756" i="11"/>
  <c r="D1756" i="11"/>
  <c r="C1756" i="11"/>
  <c r="B1756" i="11"/>
  <c r="A1756" i="11"/>
  <c r="H1755" i="11"/>
  <c r="G1755" i="11"/>
  <c r="F1755" i="11"/>
  <c r="E1755" i="11"/>
  <c r="D1755" i="11"/>
  <c r="C1755" i="11"/>
  <c r="B1755" i="11"/>
  <c r="A1755" i="11"/>
  <c r="H1754" i="11"/>
  <c r="G1754" i="11"/>
  <c r="F1754" i="11"/>
  <c r="E1754" i="11"/>
  <c r="D1754" i="11"/>
  <c r="C1754" i="11"/>
  <c r="B1754" i="11"/>
  <c r="A1754" i="11"/>
  <c r="H1753" i="11"/>
  <c r="G1753" i="11"/>
  <c r="F1753" i="11"/>
  <c r="E1753" i="11"/>
  <c r="D1753" i="11"/>
  <c r="C1753" i="11"/>
  <c r="B1753" i="11"/>
  <c r="A1753" i="11"/>
  <c r="H1752" i="11"/>
  <c r="G1752" i="11"/>
  <c r="F1752" i="11"/>
  <c r="E1752" i="11"/>
  <c r="D1752" i="11"/>
  <c r="C1752" i="11"/>
  <c r="B1752" i="11"/>
  <c r="A1752" i="11"/>
  <c r="H1751" i="11"/>
  <c r="G1751" i="11"/>
  <c r="F1751" i="11"/>
  <c r="E1751" i="11"/>
  <c r="D1751" i="11"/>
  <c r="C1751" i="11"/>
  <c r="B1751" i="11"/>
  <c r="A1751" i="11"/>
  <c r="H1750" i="11"/>
  <c r="G1750" i="11"/>
  <c r="F1750" i="11"/>
  <c r="E1750" i="11"/>
  <c r="D1750" i="11"/>
  <c r="C1750" i="11"/>
  <c r="B1750" i="11"/>
  <c r="A1750" i="11"/>
  <c r="H1749" i="11"/>
  <c r="G1749" i="11"/>
  <c r="F1749" i="11"/>
  <c r="E1749" i="11"/>
  <c r="D1749" i="11"/>
  <c r="C1749" i="11"/>
  <c r="B1749" i="11"/>
  <c r="A1749" i="11"/>
  <c r="H1748" i="11"/>
  <c r="G1748" i="11"/>
  <c r="F1748" i="11"/>
  <c r="E1748" i="11"/>
  <c r="D1748" i="11"/>
  <c r="C1748" i="11"/>
  <c r="B1748" i="11"/>
  <c r="A1748" i="11"/>
  <c r="H1747" i="11"/>
  <c r="G1747" i="11"/>
  <c r="F1747" i="11"/>
  <c r="E1747" i="11"/>
  <c r="D1747" i="11"/>
  <c r="C1747" i="11"/>
  <c r="B1747" i="11"/>
  <c r="A1747" i="11"/>
  <c r="H1746" i="11"/>
  <c r="G1746" i="11"/>
  <c r="F1746" i="11"/>
  <c r="E1746" i="11"/>
  <c r="D1746" i="11"/>
  <c r="C1746" i="11"/>
  <c r="B1746" i="11"/>
  <c r="A1746" i="11"/>
  <c r="H1745" i="11"/>
  <c r="G1745" i="11"/>
  <c r="F1745" i="11"/>
  <c r="E1745" i="11"/>
  <c r="D1745" i="11"/>
  <c r="C1745" i="11"/>
  <c r="B1745" i="11"/>
  <c r="A1745" i="11"/>
  <c r="H1744" i="11"/>
  <c r="G1744" i="11"/>
  <c r="F1744" i="11"/>
  <c r="E1744" i="11"/>
  <c r="D1744" i="11"/>
  <c r="C1744" i="11"/>
  <c r="B1744" i="11"/>
  <c r="A1744" i="11"/>
  <c r="H1743" i="11"/>
  <c r="G1743" i="11"/>
  <c r="F1743" i="11"/>
  <c r="E1743" i="11"/>
  <c r="D1743" i="11"/>
  <c r="C1743" i="11"/>
  <c r="B1743" i="11"/>
  <c r="A1743" i="11"/>
  <c r="H1742" i="11"/>
  <c r="G1742" i="11"/>
  <c r="F1742" i="11"/>
  <c r="E1742" i="11"/>
  <c r="D1742" i="11"/>
  <c r="C1742" i="11"/>
  <c r="B1742" i="11"/>
  <c r="A1742" i="11"/>
  <c r="H1741" i="11"/>
  <c r="G1741" i="11"/>
  <c r="F1741" i="11"/>
  <c r="E1741" i="11"/>
  <c r="D1741" i="11"/>
  <c r="C1741" i="11"/>
  <c r="B1741" i="11"/>
  <c r="A1741" i="11"/>
  <c r="H1740" i="11"/>
  <c r="G1740" i="11"/>
  <c r="F1740" i="11"/>
  <c r="E1740" i="11"/>
  <c r="D1740" i="11"/>
  <c r="C1740" i="11"/>
  <c r="B1740" i="11"/>
  <c r="A1740" i="11"/>
  <c r="H1739" i="11"/>
  <c r="G1739" i="11"/>
  <c r="F1739" i="11"/>
  <c r="E1739" i="11"/>
  <c r="D1739" i="11"/>
  <c r="C1739" i="11"/>
  <c r="B1739" i="11"/>
  <c r="A1739" i="11"/>
  <c r="H1738" i="11"/>
  <c r="G1738" i="11"/>
  <c r="F1738" i="11"/>
  <c r="E1738" i="11"/>
  <c r="D1738" i="11"/>
  <c r="C1738" i="11"/>
  <c r="B1738" i="11"/>
  <c r="A1738" i="11"/>
  <c r="H1737" i="11"/>
  <c r="G1737" i="11"/>
  <c r="F1737" i="11"/>
  <c r="E1737" i="11"/>
  <c r="D1737" i="11"/>
  <c r="C1737" i="11"/>
  <c r="B1737" i="11"/>
  <c r="A1737" i="11"/>
  <c r="H1736" i="11"/>
  <c r="G1736" i="11"/>
  <c r="F1736" i="11"/>
  <c r="E1736" i="11"/>
  <c r="D1736" i="11"/>
  <c r="C1736" i="11"/>
  <c r="B1736" i="11"/>
  <c r="A1736" i="11"/>
  <c r="H1735" i="11"/>
  <c r="G1735" i="11"/>
  <c r="F1735" i="11"/>
  <c r="E1735" i="11"/>
  <c r="D1735" i="11"/>
  <c r="C1735" i="11"/>
  <c r="B1735" i="11"/>
  <c r="A1735" i="11"/>
  <c r="H1734" i="11"/>
  <c r="G1734" i="11"/>
  <c r="F1734" i="11"/>
  <c r="E1734" i="11"/>
  <c r="D1734" i="11"/>
  <c r="C1734" i="11"/>
  <c r="B1734" i="11"/>
  <c r="A1734" i="11"/>
  <c r="H1733" i="11"/>
  <c r="G1733" i="11"/>
  <c r="F1733" i="11"/>
  <c r="E1733" i="11"/>
  <c r="D1733" i="11"/>
  <c r="C1733" i="11"/>
  <c r="B1733" i="11"/>
  <c r="A1733" i="11"/>
  <c r="H1732" i="11"/>
  <c r="G1732" i="11"/>
  <c r="F1732" i="11"/>
  <c r="E1732" i="11"/>
  <c r="D1732" i="11"/>
  <c r="C1732" i="11"/>
  <c r="B1732" i="11"/>
  <c r="A1732" i="11"/>
  <c r="H1731" i="11"/>
  <c r="G1731" i="11"/>
  <c r="F1731" i="11"/>
  <c r="E1731" i="11"/>
  <c r="D1731" i="11"/>
  <c r="C1731" i="11"/>
  <c r="B1731" i="11"/>
  <c r="A1731" i="11"/>
  <c r="H1730" i="11"/>
  <c r="G1730" i="11"/>
  <c r="F1730" i="11"/>
  <c r="E1730" i="11"/>
  <c r="D1730" i="11"/>
  <c r="C1730" i="11"/>
  <c r="B1730" i="11"/>
  <c r="A1730" i="11"/>
  <c r="H1729" i="11"/>
  <c r="G1729" i="11"/>
  <c r="F1729" i="11"/>
  <c r="E1729" i="11"/>
  <c r="D1729" i="11"/>
  <c r="C1729" i="11"/>
  <c r="B1729" i="11"/>
  <c r="A1729" i="11"/>
  <c r="H1728" i="11"/>
  <c r="G1728" i="11"/>
  <c r="F1728" i="11"/>
  <c r="E1728" i="11"/>
  <c r="D1728" i="11"/>
  <c r="C1728" i="11"/>
  <c r="B1728" i="11"/>
  <c r="A1728" i="11"/>
  <c r="H1727" i="11"/>
  <c r="G1727" i="11"/>
  <c r="F1727" i="11"/>
  <c r="E1727" i="11"/>
  <c r="D1727" i="11"/>
  <c r="C1727" i="11"/>
  <c r="B1727" i="11"/>
  <c r="A1727" i="11"/>
  <c r="H1726" i="11"/>
  <c r="G1726" i="11"/>
  <c r="F1726" i="11"/>
  <c r="E1726" i="11"/>
  <c r="D1726" i="11"/>
  <c r="C1726" i="11"/>
  <c r="B1726" i="11"/>
  <c r="A1726" i="11"/>
  <c r="H1725" i="11"/>
  <c r="G1725" i="11"/>
  <c r="F1725" i="11"/>
  <c r="E1725" i="11"/>
  <c r="D1725" i="11"/>
  <c r="C1725" i="11"/>
  <c r="B1725" i="11"/>
  <c r="A1725" i="11"/>
  <c r="H1724" i="11"/>
  <c r="G1724" i="11"/>
  <c r="F1724" i="11"/>
  <c r="E1724" i="11"/>
  <c r="D1724" i="11"/>
  <c r="C1724" i="11"/>
  <c r="B1724" i="11"/>
  <c r="A1724" i="11"/>
  <c r="H1723" i="11"/>
  <c r="G1723" i="11"/>
  <c r="F1723" i="11"/>
  <c r="E1723" i="11"/>
  <c r="D1723" i="11"/>
  <c r="C1723" i="11"/>
  <c r="B1723" i="11"/>
  <c r="A1723" i="11"/>
  <c r="H1722" i="11"/>
  <c r="G1722" i="11"/>
  <c r="F1722" i="11"/>
  <c r="E1722" i="11"/>
  <c r="D1722" i="11"/>
  <c r="C1722" i="11"/>
  <c r="B1722" i="11"/>
  <c r="A1722" i="11"/>
  <c r="H1721" i="11"/>
  <c r="G1721" i="11"/>
  <c r="F1721" i="11"/>
  <c r="E1721" i="11"/>
  <c r="D1721" i="11"/>
  <c r="C1721" i="11"/>
  <c r="B1721" i="11"/>
  <c r="A1721" i="11"/>
  <c r="H1720" i="11"/>
  <c r="G1720" i="11"/>
  <c r="F1720" i="11"/>
  <c r="E1720" i="11"/>
  <c r="D1720" i="11"/>
  <c r="C1720" i="11"/>
  <c r="B1720" i="11"/>
  <c r="A1720" i="11"/>
  <c r="H1719" i="11"/>
  <c r="G1719" i="11"/>
  <c r="F1719" i="11"/>
  <c r="E1719" i="11"/>
  <c r="D1719" i="11"/>
  <c r="C1719" i="11"/>
  <c r="B1719" i="11"/>
  <c r="A1719" i="11"/>
  <c r="H1718" i="11"/>
  <c r="G1718" i="11"/>
  <c r="F1718" i="11"/>
  <c r="E1718" i="11"/>
  <c r="D1718" i="11"/>
  <c r="C1718" i="11"/>
  <c r="B1718" i="11"/>
  <c r="A1718" i="11"/>
  <c r="H1717" i="11"/>
  <c r="G1717" i="11"/>
  <c r="F1717" i="11"/>
  <c r="E1717" i="11"/>
  <c r="D1717" i="11"/>
  <c r="C1717" i="11"/>
  <c r="B1717" i="11"/>
  <c r="A1717" i="11"/>
  <c r="H1716" i="11"/>
  <c r="G1716" i="11"/>
  <c r="F1716" i="11"/>
  <c r="E1716" i="11"/>
  <c r="D1716" i="11"/>
  <c r="C1716" i="11"/>
  <c r="B1716" i="11"/>
  <c r="A1716" i="11"/>
  <c r="H1715" i="11"/>
  <c r="G1715" i="11"/>
  <c r="F1715" i="11"/>
  <c r="E1715" i="11"/>
  <c r="D1715" i="11"/>
  <c r="C1715" i="11"/>
  <c r="B1715" i="11"/>
  <c r="A1715" i="11"/>
  <c r="H1714" i="11"/>
  <c r="G1714" i="11"/>
  <c r="F1714" i="11"/>
  <c r="E1714" i="11"/>
  <c r="D1714" i="11"/>
  <c r="C1714" i="11"/>
  <c r="B1714" i="11"/>
  <c r="A1714" i="11"/>
  <c r="H1713" i="11"/>
  <c r="G1713" i="11"/>
  <c r="F1713" i="11"/>
  <c r="E1713" i="11"/>
  <c r="D1713" i="11"/>
  <c r="C1713" i="11"/>
  <c r="B1713" i="11"/>
  <c r="A1713" i="11"/>
  <c r="H1712" i="11"/>
  <c r="G1712" i="11"/>
  <c r="F1712" i="11"/>
  <c r="E1712" i="11"/>
  <c r="D1712" i="11"/>
  <c r="C1712" i="11"/>
  <c r="B1712" i="11"/>
  <c r="A1712" i="11"/>
  <c r="H1711" i="11"/>
  <c r="G1711" i="11"/>
  <c r="F1711" i="11"/>
  <c r="E1711" i="11"/>
  <c r="D1711" i="11"/>
  <c r="C1711" i="11"/>
  <c r="B1711" i="11"/>
  <c r="A1711" i="11"/>
  <c r="H1710" i="11"/>
  <c r="G1710" i="11"/>
  <c r="F1710" i="11"/>
  <c r="E1710" i="11"/>
  <c r="D1710" i="11"/>
  <c r="C1710" i="11"/>
  <c r="B1710" i="11"/>
  <c r="A1710" i="11"/>
  <c r="H1709" i="11"/>
  <c r="G1709" i="11"/>
  <c r="F1709" i="11"/>
  <c r="E1709" i="11"/>
  <c r="D1709" i="11"/>
  <c r="C1709" i="11"/>
  <c r="B1709" i="11"/>
  <c r="A1709" i="11"/>
  <c r="H1708" i="11"/>
  <c r="G1708" i="11"/>
  <c r="F1708" i="11"/>
  <c r="E1708" i="11"/>
  <c r="D1708" i="11"/>
  <c r="C1708" i="11"/>
  <c r="B1708" i="11"/>
  <c r="A1708" i="11"/>
  <c r="H1707" i="11"/>
  <c r="G1707" i="11"/>
  <c r="F1707" i="11"/>
  <c r="E1707" i="11"/>
  <c r="D1707" i="11"/>
  <c r="C1707" i="11"/>
  <c r="B1707" i="11"/>
  <c r="A1707" i="11"/>
  <c r="H1706" i="11"/>
  <c r="G1706" i="11"/>
  <c r="F1706" i="11"/>
  <c r="E1706" i="11"/>
  <c r="D1706" i="11"/>
  <c r="C1706" i="11"/>
  <c r="B1706" i="11"/>
  <c r="A1706" i="11"/>
  <c r="H1705" i="11"/>
  <c r="G1705" i="11"/>
  <c r="F1705" i="11"/>
  <c r="E1705" i="11"/>
  <c r="D1705" i="11"/>
  <c r="C1705" i="11"/>
  <c r="B1705" i="11"/>
  <c r="A1705" i="11"/>
  <c r="H1704" i="11"/>
  <c r="G1704" i="11"/>
  <c r="F1704" i="11"/>
  <c r="E1704" i="11"/>
  <c r="D1704" i="11"/>
  <c r="C1704" i="11"/>
  <c r="B1704" i="11"/>
  <c r="A1704" i="11"/>
  <c r="H1703" i="11"/>
  <c r="G1703" i="11"/>
  <c r="F1703" i="11"/>
  <c r="E1703" i="11"/>
  <c r="D1703" i="11"/>
  <c r="C1703" i="11"/>
  <c r="B1703" i="11"/>
  <c r="A1703" i="11"/>
  <c r="H1702" i="11"/>
  <c r="G1702" i="11"/>
  <c r="F1702" i="11"/>
  <c r="E1702" i="11"/>
  <c r="D1702" i="11"/>
  <c r="C1702" i="11"/>
  <c r="B1702" i="11"/>
  <c r="A1702" i="11"/>
  <c r="H1701" i="11"/>
  <c r="G1701" i="11"/>
  <c r="F1701" i="11"/>
  <c r="E1701" i="11"/>
  <c r="D1701" i="11"/>
  <c r="C1701" i="11"/>
  <c r="B1701" i="11"/>
  <c r="A1701" i="11"/>
  <c r="H1700" i="11"/>
  <c r="G1700" i="11"/>
  <c r="F1700" i="11"/>
  <c r="E1700" i="11"/>
  <c r="D1700" i="11"/>
  <c r="C1700" i="11"/>
  <c r="B1700" i="11"/>
  <c r="A1700" i="11"/>
  <c r="H1699" i="11"/>
  <c r="G1699" i="11"/>
  <c r="F1699" i="11"/>
  <c r="E1699" i="11"/>
  <c r="D1699" i="11"/>
  <c r="C1699" i="11"/>
  <c r="B1699" i="11"/>
  <c r="A1699" i="11"/>
  <c r="H1698" i="11"/>
  <c r="G1698" i="11"/>
  <c r="F1698" i="11"/>
  <c r="E1698" i="11"/>
  <c r="D1698" i="11"/>
  <c r="C1698" i="11"/>
  <c r="B1698" i="11"/>
  <c r="A1698" i="11"/>
  <c r="H1697" i="11"/>
  <c r="G1697" i="11"/>
  <c r="F1697" i="11"/>
  <c r="E1697" i="11"/>
  <c r="D1697" i="11"/>
  <c r="C1697" i="11"/>
  <c r="B1697" i="11"/>
  <c r="A1697" i="11"/>
  <c r="H1696" i="11"/>
  <c r="G1696" i="11"/>
  <c r="F1696" i="11"/>
  <c r="E1696" i="11"/>
  <c r="D1696" i="11"/>
  <c r="C1696" i="11"/>
  <c r="B1696" i="11"/>
  <c r="A1696" i="11"/>
  <c r="H1695" i="11"/>
  <c r="G1695" i="11"/>
  <c r="F1695" i="11"/>
  <c r="E1695" i="11"/>
  <c r="D1695" i="11"/>
  <c r="C1695" i="11"/>
  <c r="B1695" i="11"/>
  <c r="A1695" i="11"/>
  <c r="H1694" i="11"/>
  <c r="G1694" i="11"/>
  <c r="F1694" i="11"/>
  <c r="E1694" i="11"/>
  <c r="D1694" i="11"/>
  <c r="C1694" i="11"/>
  <c r="B1694" i="11"/>
  <c r="A1694" i="11"/>
  <c r="H1693" i="11"/>
  <c r="G1693" i="11"/>
  <c r="F1693" i="11"/>
  <c r="E1693" i="11"/>
  <c r="D1693" i="11"/>
  <c r="C1693" i="11"/>
  <c r="B1693" i="11"/>
  <c r="A1693" i="11"/>
  <c r="H1692" i="11"/>
  <c r="G1692" i="11"/>
  <c r="F1692" i="11"/>
  <c r="E1692" i="11"/>
  <c r="D1692" i="11"/>
  <c r="C1692" i="11"/>
  <c r="B1692" i="11"/>
  <c r="A1692" i="11"/>
  <c r="H1691" i="11"/>
  <c r="G1691" i="11"/>
  <c r="F1691" i="11"/>
  <c r="E1691" i="11"/>
  <c r="D1691" i="11"/>
  <c r="C1691" i="11"/>
  <c r="B1691" i="11"/>
  <c r="A1691" i="11"/>
  <c r="H1690" i="11"/>
  <c r="G1690" i="11"/>
  <c r="F1690" i="11"/>
  <c r="E1690" i="11"/>
  <c r="D1690" i="11"/>
  <c r="C1690" i="11"/>
  <c r="B1690" i="11"/>
  <c r="A1690" i="11"/>
  <c r="H1689" i="11"/>
  <c r="G1689" i="11"/>
  <c r="F1689" i="11"/>
  <c r="E1689" i="11"/>
  <c r="D1689" i="11"/>
  <c r="C1689" i="11"/>
  <c r="B1689" i="11"/>
  <c r="A1689" i="11"/>
  <c r="H1688" i="11"/>
  <c r="G1688" i="11"/>
  <c r="F1688" i="11"/>
  <c r="E1688" i="11"/>
  <c r="D1688" i="11"/>
  <c r="C1688" i="11"/>
  <c r="B1688" i="11"/>
  <c r="A1688" i="11"/>
  <c r="H1687" i="11"/>
  <c r="G1687" i="11"/>
  <c r="F1687" i="11"/>
  <c r="E1687" i="11"/>
  <c r="D1687" i="11"/>
  <c r="C1687" i="11"/>
  <c r="B1687" i="11"/>
  <c r="A1687" i="11"/>
  <c r="H1686" i="11"/>
  <c r="G1686" i="11"/>
  <c r="F1686" i="11"/>
  <c r="E1686" i="11"/>
  <c r="D1686" i="11"/>
  <c r="C1686" i="11"/>
  <c r="B1686" i="11"/>
  <c r="A1686" i="11"/>
  <c r="H1685" i="11"/>
  <c r="G1685" i="11"/>
  <c r="F1685" i="11"/>
  <c r="E1685" i="11"/>
  <c r="D1685" i="11"/>
  <c r="C1685" i="11"/>
  <c r="B1685" i="11"/>
  <c r="A1685" i="11"/>
  <c r="H1684" i="11"/>
  <c r="G1684" i="11"/>
  <c r="F1684" i="11"/>
  <c r="E1684" i="11"/>
  <c r="D1684" i="11"/>
  <c r="C1684" i="11"/>
  <c r="B1684" i="11"/>
  <c r="A1684" i="11"/>
  <c r="H1683" i="11"/>
  <c r="G1683" i="11"/>
  <c r="F1683" i="11"/>
  <c r="E1683" i="11"/>
  <c r="D1683" i="11"/>
  <c r="C1683" i="11"/>
  <c r="B1683" i="11"/>
  <c r="A1683" i="11"/>
  <c r="H1682" i="11"/>
  <c r="G1682" i="11"/>
  <c r="F1682" i="11"/>
  <c r="E1682" i="11"/>
  <c r="D1682" i="11"/>
  <c r="C1682" i="11"/>
  <c r="B1682" i="11"/>
  <c r="A1682" i="11"/>
  <c r="H1681" i="11"/>
  <c r="G1681" i="11"/>
  <c r="F1681" i="11"/>
  <c r="E1681" i="11"/>
  <c r="D1681" i="11"/>
  <c r="C1681" i="11"/>
  <c r="B1681" i="11"/>
  <c r="A1681" i="11"/>
  <c r="H1680" i="11"/>
  <c r="G1680" i="11"/>
  <c r="F1680" i="11"/>
  <c r="E1680" i="11"/>
  <c r="D1680" i="11"/>
  <c r="C1680" i="11"/>
  <c r="B1680" i="11"/>
  <c r="A1680" i="11"/>
  <c r="H1679" i="11"/>
  <c r="G1679" i="11"/>
  <c r="F1679" i="11"/>
  <c r="E1679" i="11"/>
  <c r="D1679" i="11"/>
  <c r="C1679" i="11"/>
  <c r="B1679" i="11"/>
  <c r="A1679" i="11"/>
  <c r="H1678" i="11"/>
  <c r="G1678" i="11"/>
  <c r="F1678" i="11"/>
  <c r="E1678" i="11"/>
  <c r="D1678" i="11"/>
  <c r="C1678" i="11"/>
  <c r="B1678" i="11"/>
  <c r="A1678" i="11"/>
  <c r="H1677" i="11"/>
  <c r="G1677" i="11"/>
  <c r="F1677" i="11"/>
  <c r="E1677" i="11"/>
  <c r="D1677" i="11"/>
  <c r="C1677" i="11"/>
  <c r="B1677" i="11"/>
  <c r="A1677" i="11"/>
  <c r="H1676" i="11"/>
  <c r="G1676" i="11"/>
  <c r="F1676" i="11"/>
  <c r="E1676" i="11"/>
  <c r="D1676" i="11"/>
  <c r="C1676" i="11"/>
  <c r="B1676" i="11"/>
  <c r="A1676" i="11"/>
  <c r="H1675" i="11"/>
  <c r="G1675" i="11"/>
  <c r="F1675" i="11"/>
  <c r="E1675" i="11"/>
  <c r="D1675" i="11"/>
  <c r="C1675" i="11"/>
  <c r="B1675" i="11"/>
  <c r="A1675" i="11"/>
  <c r="H1674" i="11"/>
  <c r="G1674" i="11"/>
  <c r="F1674" i="11"/>
  <c r="E1674" i="11"/>
  <c r="D1674" i="11"/>
  <c r="C1674" i="11"/>
  <c r="B1674" i="11"/>
  <c r="A1674" i="11"/>
  <c r="H1673" i="11"/>
  <c r="G1673" i="11"/>
  <c r="F1673" i="11"/>
  <c r="E1673" i="11"/>
  <c r="D1673" i="11"/>
  <c r="C1673" i="11"/>
  <c r="B1673" i="11"/>
  <c r="A1673" i="11"/>
  <c r="H1672" i="11"/>
  <c r="G1672" i="11"/>
  <c r="F1672" i="11"/>
  <c r="E1672" i="11"/>
  <c r="D1672" i="11"/>
  <c r="C1672" i="11"/>
  <c r="B1672" i="11"/>
  <c r="A1672" i="11"/>
  <c r="H1671" i="11"/>
  <c r="G1671" i="11"/>
  <c r="F1671" i="11"/>
  <c r="E1671" i="11"/>
  <c r="D1671" i="11"/>
  <c r="C1671" i="11"/>
  <c r="B1671" i="11"/>
  <c r="A1671" i="11"/>
  <c r="H1670" i="11"/>
  <c r="G1670" i="11"/>
  <c r="F1670" i="11"/>
  <c r="E1670" i="11"/>
  <c r="D1670" i="11"/>
  <c r="C1670" i="11"/>
  <c r="B1670" i="11"/>
  <c r="A1670" i="11"/>
  <c r="H1669" i="11"/>
  <c r="G1669" i="11"/>
  <c r="F1669" i="11"/>
  <c r="E1669" i="11"/>
  <c r="D1669" i="11"/>
  <c r="C1669" i="11"/>
  <c r="B1669" i="11"/>
  <c r="A1669" i="11"/>
  <c r="H1668" i="11"/>
  <c r="G1668" i="11"/>
  <c r="F1668" i="11"/>
  <c r="E1668" i="11"/>
  <c r="D1668" i="11"/>
  <c r="C1668" i="11"/>
  <c r="B1668" i="11"/>
  <c r="A1668" i="11"/>
  <c r="H1667" i="11"/>
  <c r="G1667" i="11"/>
  <c r="F1667" i="11"/>
  <c r="E1667" i="11"/>
  <c r="D1667" i="11"/>
  <c r="C1667" i="11"/>
  <c r="B1667" i="11"/>
  <c r="A1667" i="11"/>
  <c r="H1666" i="11"/>
  <c r="G1666" i="11"/>
  <c r="F1666" i="11"/>
  <c r="E1666" i="11"/>
  <c r="D1666" i="11"/>
  <c r="C1666" i="11"/>
  <c r="B1666" i="11"/>
  <c r="A1666" i="11"/>
  <c r="H1665" i="11"/>
  <c r="G1665" i="11"/>
  <c r="F1665" i="11"/>
  <c r="E1665" i="11"/>
  <c r="D1665" i="11"/>
  <c r="C1665" i="11"/>
  <c r="B1665" i="11"/>
  <c r="A1665" i="11"/>
  <c r="H1664" i="11"/>
  <c r="G1664" i="11"/>
  <c r="F1664" i="11"/>
  <c r="E1664" i="11"/>
  <c r="D1664" i="11"/>
  <c r="C1664" i="11"/>
  <c r="B1664" i="11"/>
  <c r="A1664" i="11"/>
  <c r="H1663" i="11"/>
  <c r="G1663" i="11"/>
  <c r="F1663" i="11"/>
  <c r="E1663" i="11"/>
  <c r="D1663" i="11"/>
  <c r="C1663" i="11"/>
  <c r="B1663" i="11"/>
  <c r="A1663" i="11"/>
  <c r="H1662" i="11"/>
  <c r="G1662" i="11"/>
  <c r="F1662" i="11"/>
  <c r="E1662" i="11"/>
  <c r="D1662" i="11"/>
  <c r="C1662" i="11"/>
  <c r="B1662" i="11"/>
  <c r="A1662" i="11"/>
  <c r="H1661" i="11"/>
  <c r="G1661" i="11"/>
  <c r="F1661" i="11"/>
  <c r="E1661" i="11"/>
  <c r="D1661" i="11"/>
  <c r="C1661" i="11"/>
  <c r="B1661" i="11"/>
  <c r="A1661" i="11"/>
  <c r="H1660" i="11"/>
  <c r="G1660" i="11"/>
  <c r="F1660" i="11"/>
  <c r="E1660" i="11"/>
  <c r="D1660" i="11"/>
  <c r="C1660" i="11"/>
  <c r="B1660" i="11"/>
  <c r="A1660" i="11"/>
  <c r="H1659" i="11"/>
  <c r="G1659" i="11"/>
  <c r="F1659" i="11"/>
  <c r="E1659" i="11"/>
  <c r="D1659" i="11"/>
  <c r="C1659" i="11"/>
  <c r="B1659" i="11"/>
  <c r="A1659" i="11"/>
  <c r="H1658" i="11"/>
  <c r="G1658" i="11"/>
  <c r="F1658" i="11"/>
  <c r="E1658" i="11"/>
  <c r="D1658" i="11"/>
  <c r="C1658" i="11"/>
  <c r="B1658" i="11"/>
  <c r="A1658" i="11"/>
  <c r="H1657" i="11"/>
  <c r="G1657" i="11"/>
  <c r="F1657" i="11"/>
  <c r="E1657" i="11"/>
  <c r="D1657" i="11"/>
  <c r="C1657" i="11"/>
  <c r="B1657" i="11"/>
  <c r="A1657" i="11"/>
  <c r="H1656" i="11"/>
  <c r="G1656" i="11"/>
  <c r="F1656" i="11"/>
  <c r="E1656" i="11"/>
  <c r="D1656" i="11"/>
  <c r="C1656" i="11"/>
  <c r="B1656" i="11"/>
  <c r="A1656" i="11"/>
  <c r="H1655" i="11"/>
  <c r="G1655" i="11"/>
  <c r="F1655" i="11"/>
  <c r="E1655" i="11"/>
  <c r="D1655" i="11"/>
  <c r="C1655" i="11"/>
  <c r="B1655" i="11"/>
  <c r="A1655" i="11"/>
  <c r="H1654" i="11"/>
  <c r="G1654" i="11"/>
  <c r="F1654" i="11"/>
  <c r="E1654" i="11"/>
  <c r="D1654" i="11"/>
  <c r="C1654" i="11"/>
  <c r="B1654" i="11"/>
  <c r="A1654" i="11"/>
  <c r="H1653" i="11"/>
  <c r="G1653" i="11"/>
  <c r="F1653" i="11"/>
  <c r="E1653" i="11"/>
  <c r="D1653" i="11"/>
  <c r="C1653" i="11"/>
  <c r="B1653" i="11"/>
  <c r="A1653" i="11"/>
  <c r="H1652" i="11"/>
  <c r="G1652" i="11"/>
  <c r="F1652" i="11"/>
  <c r="E1652" i="11"/>
  <c r="D1652" i="11"/>
  <c r="C1652" i="11"/>
  <c r="B1652" i="11"/>
  <c r="A1652" i="11"/>
  <c r="H1651" i="11"/>
  <c r="G1651" i="11"/>
  <c r="F1651" i="11"/>
  <c r="E1651" i="11"/>
  <c r="D1651" i="11"/>
  <c r="C1651" i="11"/>
  <c r="B1651" i="11"/>
  <c r="A1651" i="11"/>
  <c r="H1650" i="11"/>
  <c r="G1650" i="11"/>
  <c r="F1650" i="11"/>
  <c r="E1650" i="11"/>
  <c r="D1650" i="11"/>
  <c r="C1650" i="11"/>
  <c r="B1650" i="11"/>
  <c r="A1650" i="11"/>
  <c r="H1649" i="11"/>
  <c r="G1649" i="11"/>
  <c r="F1649" i="11"/>
  <c r="E1649" i="11"/>
  <c r="D1649" i="11"/>
  <c r="C1649" i="11"/>
  <c r="B1649" i="11"/>
  <c r="A1649" i="11"/>
  <c r="H1648" i="11"/>
  <c r="G1648" i="11"/>
  <c r="F1648" i="11"/>
  <c r="E1648" i="11"/>
  <c r="D1648" i="11"/>
  <c r="C1648" i="11"/>
  <c r="B1648" i="11"/>
  <c r="A1648" i="11"/>
  <c r="H1647" i="11"/>
  <c r="G1647" i="11"/>
  <c r="F1647" i="11"/>
  <c r="E1647" i="11"/>
  <c r="D1647" i="11"/>
  <c r="C1647" i="11"/>
  <c r="B1647" i="11"/>
  <c r="A1647" i="11"/>
  <c r="H1646" i="11"/>
  <c r="G1646" i="11"/>
  <c r="F1646" i="11"/>
  <c r="E1646" i="11"/>
  <c r="D1646" i="11"/>
  <c r="C1646" i="11"/>
  <c r="B1646" i="11"/>
  <c r="A1646" i="11"/>
  <c r="H1645" i="11"/>
  <c r="G1645" i="11"/>
  <c r="F1645" i="11"/>
  <c r="E1645" i="11"/>
  <c r="D1645" i="11"/>
  <c r="C1645" i="11"/>
  <c r="B1645" i="11"/>
  <c r="A1645" i="11"/>
  <c r="H1644" i="11"/>
  <c r="G1644" i="11"/>
  <c r="F1644" i="11"/>
  <c r="E1644" i="11"/>
  <c r="D1644" i="11"/>
  <c r="C1644" i="11"/>
  <c r="B1644" i="11"/>
  <c r="A1644" i="11"/>
  <c r="H1643" i="11"/>
  <c r="G1643" i="11"/>
  <c r="F1643" i="11"/>
  <c r="E1643" i="11"/>
  <c r="D1643" i="11"/>
  <c r="C1643" i="11"/>
  <c r="B1643" i="11"/>
  <c r="A1643" i="11"/>
  <c r="H1642" i="11"/>
  <c r="G1642" i="11"/>
  <c r="F1642" i="11"/>
  <c r="E1642" i="11"/>
  <c r="D1642" i="11"/>
  <c r="C1642" i="11"/>
  <c r="B1642" i="11"/>
  <c r="A1642" i="11"/>
  <c r="H1641" i="11"/>
  <c r="G1641" i="11"/>
  <c r="F1641" i="11"/>
  <c r="E1641" i="11"/>
  <c r="D1641" i="11"/>
  <c r="C1641" i="11"/>
  <c r="B1641" i="11"/>
  <c r="A1641" i="11"/>
  <c r="H1640" i="11"/>
  <c r="G1640" i="11"/>
  <c r="F1640" i="11"/>
  <c r="E1640" i="11"/>
  <c r="D1640" i="11"/>
  <c r="C1640" i="11"/>
  <c r="B1640" i="11"/>
  <c r="A1640" i="11"/>
  <c r="H1639" i="11"/>
  <c r="G1639" i="11"/>
  <c r="F1639" i="11"/>
  <c r="E1639" i="11"/>
  <c r="D1639" i="11"/>
  <c r="C1639" i="11"/>
  <c r="B1639" i="11"/>
  <c r="A1639" i="11"/>
  <c r="H1638" i="11"/>
  <c r="G1638" i="11"/>
  <c r="F1638" i="11"/>
  <c r="E1638" i="11"/>
  <c r="D1638" i="11"/>
  <c r="C1638" i="11"/>
  <c r="B1638" i="11"/>
  <c r="A1638" i="11"/>
  <c r="H1637" i="11"/>
  <c r="G1637" i="11"/>
  <c r="F1637" i="11"/>
  <c r="E1637" i="11"/>
  <c r="D1637" i="11"/>
  <c r="C1637" i="11"/>
  <c r="B1637" i="11"/>
  <c r="A1637" i="11"/>
  <c r="H1636" i="11"/>
  <c r="G1636" i="11"/>
  <c r="F1636" i="11"/>
  <c r="E1636" i="11"/>
  <c r="D1636" i="11"/>
  <c r="C1636" i="11"/>
  <c r="B1636" i="11"/>
  <c r="A1636" i="11"/>
  <c r="H1635" i="11"/>
  <c r="G1635" i="11"/>
  <c r="F1635" i="11"/>
  <c r="E1635" i="11"/>
  <c r="D1635" i="11"/>
  <c r="C1635" i="11"/>
  <c r="B1635" i="11"/>
  <c r="A1635" i="11"/>
  <c r="H1634" i="11"/>
  <c r="G1634" i="11"/>
  <c r="F1634" i="11"/>
  <c r="E1634" i="11"/>
  <c r="D1634" i="11"/>
  <c r="C1634" i="11"/>
  <c r="B1634" i="11"/>
  <c r="A1634" i="11"/>
  <c r="H1633" i="11"/>
  <c r="G1633" i="11"/>
  <c r="F1633" i="11"/>
  <c r="E1633" i="11"/>
  <c r="D1633" i="11"/>
  <c r="C1633" i="11"/>
  <c r="B1633" i="11"/>
  <c r="A1633" i="11"/>
  <c r="H1632" i="11"/>
  <c r="G1632" i="11"/>
  <c r="F1632" i="11"/>
  <c r="E1632" i="11"/>
  <c r="D1632" i="11"/>
  <c r="C1632" i="11"/>
  <c r="B1632" i="11"/>
  <c r="A1632" i="11"/>
  <c r="H1631" i="11"/>
  <c r="G1631" i="11"/>
  <c r="F1631" i="11"/>
  <c r="E1631" i="11"/>
  <c r="D1631" i="11"/>
  <c r="C1631" i="11"/>
  <c r="B1631" i="11"/>
  <c r="A1631" i="11"/>
  <c r="H1630" i="11"/>
  <c r="G1630" i="11"/>
  <c r="F1630" i="11"/>
  <c r="E1630" i="11"/>
  <c r="D1630" i="11"/>
  <c r="C1630" i="11"/>
  <c r="B1630" i="11"/>
  <c r="A1630" i="11"/>
  <c r="H1629" i="11"/>
  <c r="G1629" i="11"/>
  <c r="F1629" i="11"/>
  <c r="E1629" i="11"/>
  <c r="D1629" i="11"/>
  <c r="C1629" i="11"/>
  <c r="B1629" i="11"/>
  <c r="A1629" i="11"/>
  <c r="H1628" i="11"/>
  <c r="G1628" i="11"/>
  <c r="F1628" i="11"/>
  <c r="E1628" i="11"/>
  <c r="D1628" i="11"/>
  <c r="C1628" i="11"/>
  <c r="B1628" i="11"/>
  <c r="A1628" i="11"/>
  <c r="H1627" i="11"/>
  <c r="G1627" i="11"/>
  <c r="F1627" i="11"/>
  <c r="E1627" i="11"/>
  <c r="D1627" i="11"/>
  <c r="C1627" i="11"/>
  <c r="B1627" i="11"/>
  <c r="A1627" i="11"/>
  <c r="H1626" i="11"/>
  <c r="G1626" i="11"/>
  <c r="F1626" i="11"/>
  <c r="E1626" i="11"/>
  <c r="D1626" i="11"/>
  <c r="C1626" i="11"/>
  <c r="B1626" i="11"/>
  <c r="A1626" i="11"/>
  <c r="H1625" i="11"/>
  <c r="G1625" i="11"/>
  <c r="F1625" i="11"/>
  <c r="E1625" i="11"/>
  <c r="D1625" i="11"/>
  <c r="C1625" i="11"/>
  <c r="B1625" i="11"/>
  <c r="A1625" i="11"/>
  <c r="H1624" i="11"/>
  <c r="G1624" i="11"/>
  <c r="F1624" i="11"/>
  <c r="E1624" i="11"/>
  <c r="D1624" i="11"/>
  <c r="C1624" i="11"/>
  <c r="B1624" i="11"/>
  <c r="A1624" i="11"/>
  <c r="H1623" i="11"/>
  <c r="G1623" i="11"/>
  <c r="F1623" i="11"/>
  <c r="E1623" i="11"/>
  <c r="D1623" i="11"/>
  <c r="C1623" i="11"/>
  <c r="B1623" i="11"/>
  <c r="A1623" i="11"/>
  <c r="H1622" i="11"/>
  <c r="G1622" i="11"/>
  <c r="F1622" i="11"/>
  <c r="E1622" i="11"/>
  <c r="D1622" i="11"/>
  <c r="C1622" i="11"/>
  <c r="B1622" i="11"/>
  <c r="A1622" i="11"/>
  <c r="H1621" i="11"/>
  <c r="G1621" i="11"/>
  <c r="F1621" i="11"/>
  <c r="E1621" i="11"/>
  <c r="D1621" i="11"/>
  <c r="C1621" i="11"/>
  <c r="B1621" i="11"/>
  <c r="A1621" i="11"/>
  <c r="H1620" i="11"/>
  <c r="G1620" i="11"/>
  <c r="F1620" i="11"/>
  <c r="E1620" i="11"/>
  <c r="D1620" i="11"/>
  <c r="C1620" i="11"/>
  <c r="B1620" i="11"/>
  <c r="A1620" i="11"/>
  <c r="H1619" i="11"/>
  <c r="G1619" i="11"/>
  <c r="F1619" i="11"/>
  <c r="E1619" i="11"/>
  <c r="D1619" i="11"/>
  <c r="C1619" i="11"/>
  <c r="B1619" i="11"/>
  <c r="A1619" i="11"/>
  <c r="H1618" i="11"/>
  <c r="G1618" i="11"/>
  <c r="F1618" i="11"/>
  <c r="E1618" i="11"/>
  <c r="D1618" i="11"/>
  <c r="C1618" i="11"/>
  <c r="B1618" i="11"/>
  <c r="A1618" i="11"/>
  <c r="H1617" i="11"/>
  <c r="G1617" i="11"/>
  <c r="F1617" i="11"/>
  <c r="E1617" i="11"/>
  <c r="D1617" i="11"/>
  <c r="C1617" i="11"/>
  <c r="B1617" i="11"/>
  <c r="A1617" i="11"/>
  <c r="H1616" i="11"/>
  <c r="G1616" i="11"/>
  <c r="F1616" i="11"/>
  <c r="E1616" i="11"/>
  <c r="D1616" i="11"/>
  <c r="C1616" i="11"/>
  <c r="B1616" i="11"/>
  <c r="A1616" i="11"/>
  <c r="H1615" i="11"/>
  <c r="G1615" i="11"/>
  <c r="F1615" i="11"/>
  <c r="E1615" i="11"/>
  <c r="D1615" i="11"/>
  <c r="C1615" i="11"/>
  <c r="B1615" i="11"/>
  <c r="A1615" i="11"/>
  <c r="H1614" i="11"/>
  <c r="G1614" i="11"/>
  <c r="F1614" i="11"/>
  <c r="E1614" i="11"/>
  <c r="D1614" i="11"/>
  <c r="C1614" i="11"/>
  <c r="B1614" i="11"/>
  <c r="A1614" i="11"/>
  <c r="H1613" i="11"/>
  <c r="G1613" i="11"/>
  <c r="F1613" i="11"/>
  <c r="E1613" i="11"/>
  <c r="D1613" i="11"/>
  <c r="C1613" i="11"/>
  <c r="B1613" i="11"/>
  <c r="A1613" i="11"/>
  <c r="H1612" i="11"/>
  <c r="G1612" i="11"/>
  <c r="F1612" i="11"/>
  <c r="E1612" i="11"/>
  <c r="D1612" i="11"/>
  <c r="C1612" i="11"/>
  <c r="B1612" i="11"/>
  <c r="A1612" i="11"/>
  <c r="H1611" i="11"/>
  <c r="G1611" i="11"/>
  <c r="F1611" i="11"/>
  <c r="E1611" i="11"/>
  <c r="D1611" i="11"/>
  <c r="C1611" i="11"/>
  <c r="B1611" i="11"/>
  <c r="A1611" i="11"/>
  <c r="H1610" i="11"/>
  <c r="G1610" i="11"/>
  <c r="F1610" i="11"/>
  <c r="E1610" i="11"/>
  <c r="D1610" i="11"/>
  <c r="C1610" i="11"/>
  <c r="B1610" i="11"/>
  <c r="A1610" i="11"/>
  <c r="H1609" i="11"/>
  <c r="G1609" i="11"/>
  <c r="F1609" i="11"/>
  <c r="E1609" i="11"/>
  <c r="D1609" i="11"/>
  <c r="C1609" i="11"/>
  <c r="B1609" i="11"/>
  <c r="A1609" i="11"/>
  <c r="H1608" i="11"/>
  <c r="G1608" i="11"/>
  <c r="F1608" i="11"/>
  <c r="E1608" i="11"/>
  <c r="D1608" i="11"/>
  <c r="C1608" i="11"/>
  <c r="B1608" i="11"/>
  <c r="A1608" i="11"/>
  <c r="H1607" i="11"/>
  <c r="G1607" i="11"/>
  <c r="F1607" i="11"/>
  <c r="E1607" i="11"/>
  <c r="D1607" i="11"/>
  <c r="C1607" i="11"/>
  <c r="B1607" i="11"/>
  <c r="A1607" i="11"/>
  <c r="H1606" i="11"/>
  <c r="G1606" i="11"/>
  <c r="F1606" i="11"/>
  <c r="E1606" i="11"/>
  <c r="D1606" i="11"/>
  <c r="C1606" i="11"/>
  <c r="B1606" i="11"/>
  <c r="A1606" i="11"/>
  <c r="H1605" i="11"/>
  <c r="G1605" i="11"/>
  <c r="F1605" i="11"/>
  <c r="E1605" i="11"/>
  <c r="D1605" i="11"/>
  <c r="C1605" i="11"/>
  <c r="B1605" i="11"/>
  <c r="A1605" i="11"/>
  <c r="H1604" i="11"/>
  <c r="G1604" i="11"/>
  <c r="F1604" i="11"/>
  <c r="E1604" i="11"/>
  <c r="D1604" i="11"/>
  <c r="C1604" i="11"/>
  <c r="B1604" i="11"/>
  <c r="A1604" i="11"/>
  <c r="H1603" i="11"/>
  <c r="G1603" i="11"/>
  <c r="F1603" i="11"/>
  <c r="E1603" i="11"/>
  <c r="D1603" i="11"/>
  <c r="C1603" i="11"/>
  <c r="B1603" i="11"/>
  <c r="A1603" i="11"/>
  <c r="H1602" i="11"/>
  <c r="G1602" i="11"/>
  <c r="F1602" i="11"/>
  <c r="E1602" i="11"/>
  <c r="D1602" i="11"/>
  <c r="C1602" i="11"/>
  <c r="B1602" i="11"/>
  <c r="A1602" i="11"/>
  <c r="H1601" i="11"/>
  <c r="G1601" i="11"/>
  <c r="F1601" i="11"/>
  <c r="E1601" i="11"/>
  <c r="D1601" i="11"/>
  <c r="C1601" i="11"/>
  <c r="B1601" i="11"/>
  <c r="A1601" i="11"/>
  <c r="H1600" i="11"/>
  <c r="G1600" i="11"/>
  <c r="F1600" i="11"/>
  <c r="E1600" i="11"/>
  <c r="D1600" i="11"/>
  <c r="C1600" i="11"/>
  <c r="B1600" i="11"/>
  <c r="A1600" i="11"/>
  <c r="H1599" i="11"/>
  <c r="G1599" i="11"/>
  <c r="F1599" i="11"/>
  <c r="E1599" i="11"/>
  <c r="D1599" i="11"/>
  <c r="C1599" i="11"/>
  <c r="B1599" i="11"/>
  <c r="A1599" i="11"/>
  <c r="H1598" i="11"/>
  <c r="G1598" i="11"/>
  <c r="F1598" i="11"/>
  <c r="E1598" i="11"/>
  <c r="D1598" i="11"/>
  <c r="C1598" i="11"/>
  <c r="B1598" i="11"/>
  <c r="A1598" i="11"/>
  <c r="H1597" i="11"/>
  <c r="G1597" i="11"/>
  <c r="F1597" i="11"/>
  <c r="E1597" i="11"/>
  <c r="D1597" i="11"/>
  <c r="C1597" i="11"/>
  <c r="B1597" i="11"/>
  <c r="A1597" i="11"/>
  <c r="H1596" i="11"/>
  <c r="G1596" i="11"/>
  <c r="F1596" i="11"/>
  <c r="E1596" i="11"/>
  <c r="D1596" i="11"/>
  <c r="C1596" i="11"/>
  <c r="B1596" i="11"/>
  <c r="A1596" i="11"/>
  <c r="H1595" i="11"/>
  <c r="G1595" i="11"/>
  <c r="F1595" i="11"/>
  <c r="E1595" i="11"/>
  <c r="D1595" i="11"/>
  <c r="C1595" i="11"/>
  <c r="B1595" i="11"/>
  <c r="A1595" i="11"/>
  <c r="H1594" i="11"/>
  <c r="G1594" i="11"/>
  <c r="F1594" i="11"/>
  <c r="E1594" i="11"/>
  <c r="D1594" i="11"/>
  <c r="C1594" i="11"/>
  <c r="B1594" i="11"/>
  <c r="A1594" i="11"/>
  <c r="H1593" i="11"/>
  <c r="G1593" i="11"/>
  <c r="F1593" i="11"/>
  <c r="E1593" i="11"/>
  <c r="D1593" i="11"/>
  <c r="C1593" i="11"/>
  <c r="B1593" i="11"/>
  <c r="A1593" i="11"/>
  <c r="H1592" i="11"/>
  <c r="G1592" i="11"/>
  <c r="F1592" i="11"/>
  <c r="E1592" i="11"/>
  <c r="D1592" i="11"/>
  <c r="C1592" i="11"/>
  <c r="B1592" i="11"/>
  <c r="A1592" i="11"/>
  <c r="H1591" i="11"/>
  <c r="G1591" i="11"/>
  <c r="F1591" i="11"/>
  <c r="E1591" i="11"/>
  <c r="D1591" i="11"/>
  <c r="C1591" i="11"/>
  <c r="B1591" i="11"/>
  <c r="A1591" i="11"/>
  <c r="H1590" i="11"/>
  <c r="G1590" i="11"/>
  <c r="F1590" i="11"/>
  <c r="E1590" i="11"/>
  <c r="D1590" i="11"/>
  <c r="C1590" i="11"/>
  <c r="B1590" i="11"/>
  <c r="A1590" i="11"/>
  <c r="H1589" i="11"/>
  <c r="G1589" i="11"/>
  <c r="F1589" i="11"/>
  <c r="E1589" i="11"/>
  <c r="D1589" i="11"/>
  <c r="C1589" i="11"/>
  <c r="B1589" i="11"/>
  <c r="A1589" i="11"/>
  <c r="H1588" i="11"/>
  <c r="G1588" i="11"/>
  <c r="F1588" i="11"/>
  <c r="E1588" i="11"/>
  <c r="D1588" i="11"/>
  <c r="C1588" i="11"/>
  <c r="B1588" i="11"/>
  <c r="A1588" i="11"/>
  <c r="H1587" i="11"/>
  <c r="G1587" i="11"/>
  <c r="F1587" i="11"/>
  <c r="E1587" i="11"/>
  <c r="D1587" i="11"/>
  <c r="C1587" i="11"/>
  <c r="B1587" i="11"/>
  <c r="A1587" i="11"/>
  <c r="H1586" i="11"/>
  <c r="G1586" i="11"/>
  <c r="F1586" i="11"/>
  <c r="E1586" i="11"/>
  <c r="D1586" i="11"/>
  <c r="C1586" i="11"/>
  <c r="B1586" i="11"/>
  <c r="A1586" i="11"/>
  <c r="H1585" i="11"/>
  <c r="G1585" i="11"/>
  <c r="F1585" i="11"/>
  <c r="E1585" i="11"/>
  <c r="D1585" i="11"/>
  <c r="C1585" i="11"/>
  <c r="B1585" i="11"/>
  <c r="A1585" i="11"/>
  <c r="H1584" i="11"/>
  <c r="G1584" i="11"/>
  <c r="F1584" i="11"/>
  <c r="E1584" i="11"/>
  <c r="D1584" i="11"/>
  <c r="C1584" i="11"/>
  <c r="B1584" i="11"/>
  <c r="A1584" i="11"/>
  <c r="H1583" i="11"/>
  <c r="G1583" i="11"/>
  <c r="F1583" i="11"/>
  <c r="E1583" i="11"/>
  <c r="D1583" i="11"/>
  <c r="C1583" i="11"/>
  <c r="B1583" i="11"/>
  <c r="A1583" i="11"/>
  <c r="H1582" i="11"/>
  <c r="G1582" i="11"/>
  <c r="F1582" i="11"/>
  <c r="E1582" i="11"/>
  <c r="D1582" i="11"/>
  <c r="C1582" i="11"/>
  <c r="B1582" i="11"/>
  <c r="A1582" i="11"/>
  <c r="H1581" i="11"/>
  <c r="G1581" i="11"/>
  <c r="F1581" i="11"/>
  <c r="E1581" i="11"/>
  <c r="D1581" i="11"/>
  <c r="C1581" i="11"/>
  <c r="B1581" i="11"/>
  <c r="A1581" i="11"/>
  <c r="H1580" i="11"/>
  <c r="G1580" i="11"/>
  <c r="F1580" i="11"/>
  <c r="E1580" i="11"/>
  <c r="D1580" i="11"/>
  <c r="C1580" i="11"/>
  <c r="B1580" i="11"/>
  <c r="A1580" i="11"/>
  <c r="H1579" i="11"/>
  <c r="G1579" i="11"/>
  <c r="F1579" i="11"/>
  <c r="E1579" i="11"/>
  <c r="D1579" i="11"/>
  <c r="C1579" i="11"/>
  <c r="B1579" i="11"/>
  <c r="A1579" i="11"/>
  <c r="H1578" i="11"/>
  <c r="G1578" i="11"/>
  <c r="F1578" i="11"/>
  <c r="E1578" i="11"/>
  <c r="D1578" i="11"/>
  <c r="C1578" i="11"/>
  <c r="B1578" i="11"/>
  <c r="A1578" i="11"/>
  <c r="H1577" i="11"/>
  <c r="G1577" i="11"/>
  <c r="F1577" i="11"/>
  <c r="E1577" i="11"/>
  <c r="D1577" i="11"/>
  <c r="C1577" i="11"/>
  <c r="B1577" i="11"/>
  <c r="A1577" i="11"/>
  <c r="H1576" i="11"/>
  <c r="G1576" i="11"/>
  <c r="F1576" i="11"/>
  <c r="E1576" i="11"/>
  <c r="D1576" i="11"/>
  <c r="C1576" i="11"/>
  <c r="B1576" i="11"/>
  <c r="A1576" i="11"/>
  <c r="H1575" i="11"/>
  <c r="G1575" i="11"/>
  <c r="F1575" i="11"/>
  <c r="E1575" i="11"/>
  <c r="D1575" i="11"/>
  <c r="C1575" i="11"/>
  <c r="B1575" i="11"/>
  <c r="A1575" i="11"/>
  <c r="H1574" i="11"/>
  <c r="G1574" i="11"/>
  <c r="F1574" i="11"/>
  <c r="E1574" i="11"/>
  <c r="D1574" i="11"/>
  <c r="C1574" i="11"/>
  <c r="B1574" i="11"/>
  <c r="A1574" i="11"/>
  <c r="H1573" i="11"/>
  <c r="G1573" i="11"/>
  <c r="F1573" i="11"/>
  <c r="E1573" i="11"/>
  <c r="D1573" i="11"/>
  <c r="C1573" i="11"/>
  <c r="B1573" i="11"/>
  <c r="A1573" i="11"/>
  <c r="H1572" i="11"/>
  <c r="G1572" i="11"/>
  <c r="F1572" i="11"/>
  <c r="E1572" i="11"/>
  <c r="D1572" i="11"/>
  <c r="C1572" i="11"/>
  <c r="B1572" i="11"/>
  <c r="A1572" i="11"/>
  <c r="H1571" i="11"/>
  <c r="G1571" i="11"/>
  <c r="F1571" i="11"/>
  <c r="E1571" i="11"/>
  <c r="D1571" i="11"/>
  <c r="C1571" i="11"/>
  <c r="B1571" i="11"/>
  <c r="A1571" i="11"/>
  <c r="H1570" i="11"/>
  <c r="G1570" i="11"/>
  <c r="F1570" i="11"/>
  <c r="E1570" i="11"/>
  <c r="D1570" i="11"/>
  <c r="C1570" i="11"/>
  <c r="B1570" i="11"/>
  <c r="A1570" i="11"/>
  <c r="H1569" i="11"/>
  <c r="G1569" i="11"/>
  <c r="F1569" i="11"/>
  <c r="E1569" i="11"/>
  <c r="D1569" i="11"/>
  <c r="C1569" i="11"/>
  <c r="B1569" i="11"/>
  <c r="A1569" i="11"/>
  <c r="H1568" i="11"/>
  <c r="G1568" i="11"/>
  <c r="F1568" i="11"/>
  <c r="E1568" i="11"/>
  <c r="D1568" i="11"/>
  <c r="C1568" i="11"/>
  <c r="B1568" i="11"/>
  <c r="A1568" i="11"/>
  <c r="H1567" i="11"/>
  <c r="G1567" i="11"/>
  <c r="F1567" i="11"/>
  <c r="E1567" i="11"/>
  <c r="D1567" i="11"/>
  <c r="C1567" i="11"/>
  <c r="B1567" i="11"/>
  <c r="A1567" i="11"/>
  <c r="H1566" i="11"/>
  <c r="G1566" i="11"/>
  <c r="F1566" i="11"/>
  <c r="E1566" i="11"/>
  <c r="D1566" i="11"/>
  <c r="C1566" i="11"/>
  <c r="B1566" i="11"/>
  <c r="A1566" i="11"/>
  <c r="H1565" i="11"/>
  <c r="G1565" i="11"/>
  <c r="F1565" i="11"/>
  <c r="E1565" i="11"/>
  <c r="D1565" i="11"/>
  <c r="C1565" i="11"/>
  <c r="B1565" i="11"/>
  <c r="A1565" i="11"/>
  <c r="H1564" i="11"/>
  <c r="G1564" i="11"/>
  <c r="F1564" i="11"/>
  <c r="E1564" i="11"/>
  <c r="D1564" i="11"/>
  <c r="C1564" i="11"/>
  <c r="B1564" i="11"/>
  <c r="A1564" i="11"/>
  <c r="H1563" i="11"/>
  <c r="G1563" i="11"/>
  <c r="F1563" i="11"/>
  <c r="E1563" i="11"/>
  <c r="D1563" i="11"/>
  <c r="C1563" i="11"/>
  <c r="B1563" i="11"/>
  <c r="A1563" i="11"/>
  <c r="H1562" i="11"/>
  <c r="G1562" i="11"/>
  <c r="F1562" i="11"/>
  <c r="E1562" i="11"/>
  <c r="D1562" i="11"/>
  <c r="C1562" i="11"/>
  <c r="B1562" i="11"/>
  <c r="A1562" i="11"/>
  <c r="H1561" i="11"/>
  <c r="G1561" i="11"/>
  <c r="F1561" i="11"/>
  <c r="E1561" i="11"/>
  <c r="D1561" i="11"/>
  <c r="C1561" i="11"/>
  <c r="B1561" i="11"/>
  <c r="A1561" i="11"/>
  <c r="H1560" i="11"/>
  <c r="G1560" i="11"/>
  <c r="F1560" i="11"/>
  <c r="E1560" i="11"/>
  <c r="D1560" i="11"/>
  <c r="C1560" i="11"/>
  <c r="B1560" i="11"/>
  <c r="A1560" i="11"/>
  <c r="H1559" i="11"/>
  <c r="G1559" i="11"/>
  <c r="F1559" i="11"/>
  <c r="E1559" i="11"/>
  <c r="D1559" i="11"/>
  <c r="C1559" i="11"/>
  <c r="B1559" i="11"/>
  <c r="A1559" i="11"/>
  <c r="H1558" i="11"/>
  <c r="G1558" i="11"/>
  <c r="F1558" i="11"/>
  <c r="E1558" i="11"/>
  <c r="D1558" i="11"/>
  <c r="C1558" i="11"/>
  <c r="B1558" i="11"/>
  <c r="A1558" i="11"/>
  <c r="H1557" i="11"/>
  <c r="G1557" i="11"/>
  <c r="F1557" i="11"/>
  <c r="E1557" i="11"/>
  <c r="D1557" i="11"/>
  <c r="C1557" i="11"/>
  <c r="B1557" i="11"/>
  <c r="A1557" i="11"/>
  <c r="H1556" i="11"/>
  <c r="G1556" i="11"/>
  <c r="F1556" i="11"/>
  <c r="E1556" i="11"/>
  <c r="D1556" i="11"/>
  <c r="C1556" i="11"/>
  <c r="B1556" i="11"/>
  <c r="A1556" i="11"/>
  <c r="H1555" i="11"/>
  <c r="G1555" i="11"/>
  <c r="F1555" i="11"/>
  <c r="E1555" i="11"/>
  <c r="D1555" i="11"/>
  <c r="C1555" i="11"/>
  <c r="B1555" i="11"/>
  <c r="A1555" i="11"/>
  <c r="H1554" i="11"/>
  <c r="G1554" i="11"/>
  <c r="F1554" i="11"/>
  <c r="E1554" i="11"/>
  <c r="D1554" i="11"/>
  <c r="C1554" i="11"/>
  <c r="B1554" i="11"/>
  <c r="A1554" i="11"/>
  <c r="H1553" i="11"/>
  <c r="G1553" i="11"/>
  <c r="F1553" i="11"/>
  <c r="E1553" i="11"/>
  <c r="D1553" i="11"/>
  <c r="C1553" i="11"/>
  <c r="B1553" i="11"/>
  <c r="A1553" i="11"/>
  <c r="H1552" i="11"/>
  <c r="G1552" i="11"/>
  <c r="F1552" i="11"/>
  <c r="E1552" i="11"/>
  <c r="D1552" i="11"/>
  <c r="C1552" i="11"/>
  <c r="B1552" i="11"/>
  <c r="A1552" i="11"/>
  <c r="H1551" i="11"/>
  <c r="G1551" i="11"/>
  <c r="F1551" i="11"/>
  <c r="E1551" i="11"/>
  <c r="D1551" i="11"/>
  <c r="C1551" i="11"/>
  <c r="B1551" i="11"/>
  <c r="A1551" i="11"/>
  <c r="H1550" i="11"/>
  <c r="G1550" i="11"/>
  <c r="F1550" i="11"/>
  <c r="E1550" i="11"/>
  <c r="D1550" i="11"/>
  <c r="C1550" i="11"/>
  <c r="B1550" i="11"/>
  <c r="A1550" i="11"/>
  <c r="H1549" i="11"/>
  <c r="G1549" i="11"/>
  <c r="F1549" i="11"/>
  <c r="E1549" i="11"/>
  <c r="D1549" i="11"/>
  <c r="C1549" i="11"/>
  <c r="B1549" i="11"/>
  <c r="A1549" i="11"/>
  <c r="H1548" i="11"/>
  <c r="G1548" i="11"/>
  <c r="F1548" i="11"/>
  <c r="E1548" i="11"/>
  <c r="D1548" i="11"/>
  <c r="C1548" i="11"/>
  <c r="B1548" i="11"/>
  <c r="A1548" i="11"/>
  <c r="H1547" i="11"/>
  <c r="G1547" i="11"/>
  <c r="F1547" i="11"/>
  <c r="E1547" i="11"/>
  <c r="D1547" i="11"/>
  <c r="C1547" i="11"/>
  <c r="B1547" i="11"/>
  <c r="A1547" i="11"/>
  <c r="H1546" i="11"/>
  <c r="G1546" i="11"/>
  <c r="F1546" i="11"/>
  <c r="E1546" i="11"/>
  <c r="D1546" i="11"/>
  <c r="C1546" i="11"/>
  <c r="B1546" i="11"/>
  <c r="A1546" i="11"/>
  <c r="H1545" i="11"/>
  <c r="G1545" i="11"/>
  <c r="F1545" i="11"/>
  <c r="E1545" i="11"/>
  <c r="D1545" i="11"/>
  <c r="C1545" i="11"/>
  <c r="B1545" i="11"/>
  <c r="A1545" i="11"/>
  <c r="H1544" i="11"/>
  <c r="G1544" i="11"/>
  <c r="F1544" i="11"/>
  <c r="E1544" i="11"/>
  <c r="D1544" i="11"/>
  <c r="C1544" i="11"/>
  <c r="B1544" i="11"/>
  <c r="A1544" i="11"/>
  <c r="H1543" i="11"/>
  <c r="G1543" i="11"/>
  <c r="F1543" i="11"/>
  <c r="E1543" i="11"/>
  <c r="D1543" i="11"/>
  <c r="C1543" i="11"/>
  <c r="B1543" i="11"/>
  <c r="A1543" i="11"/>
  <c r="H1542" i="11"/>
  <c r="G1542" i="11"/>
  <c r="F1542" i="11"/>
  <c r="E1542" i="11"/>
  <c r="D1542" i="11"/>
  <c r="C1542" i="11"/>
  <c r="B1542" i="11"/>
  <c r="A1542" i="11"/>
  <c r="H1541" i="11"/>
  <c r="G1541" i="11"/>
  <c r="F1541" i="11"/>
  <c r="E1541" i="11"/>
  <c r="D1541" i="11"/>
  <c r="C1541" i="11"/>
  <c r="B1541" i="11"/>
  <c r="A1541" i="11"/>
  <c r="H1540" i="11"/>
  <c r="G1540" i="11"/>
  <c r="F1540" i="11"/>
  <c r="E1540" i="11"/>
  <c r="D1540" i="11"/>
  <c r="C1540" i="11"/>
  <c r="B1540" i="11"/>
  <c r="A1540" i="11"/>
  <c r="H1539" i="11"/>
  <c r="G1539" i="11"/>
  <c r="F1539" i="11"/>
  <c r="E1539" i="11"/>
  <c r="D1539" i="11"/>
  <c r="C1539" i="11"/>
  <c r="B1539" i="11"/>
  <c r="A1539" i="11"/>
  <c r="H1538" i="11"/>
  <c r="G1538" i="11"/>
  <c r="F1538" i="11"/>
  <c r="E1538" i="11"/>
  <c r="D1538" i="11"/>
  <c r="C1538" i="11"/>
  <c r="B1538" i="11"/>
  <c r="A1538" i="11"/>
  <c r="H1537" i="11"/>
  <c r="G1537" i="11"/>
  <c r="F1537" i="11"/>
  <c r="E1537" i="11"/>
  <c r="D1537" i="11"/>
  <c r="C1537" i="11"/>
  <c r="B1537" i="11"/>
  <c r="A1537" i="11"/>
  <c r="I1536" i="11"/>
  <c r="H1536" i="11"/>
  <c r="G1536" i="11"/>
  <c r="F1536" i="11"/>
  <c r="E1536" i="11"/>
  <c r="D1536" i="11"/>
  <c r="K1536" i="11" s="1"/>
  <c r="C1536" i="11"/>
  <c r="B1536" i="11"/>
  <c r="A1536" i="11"/>
  <c r="H1535" i="11"/>
  <c r="G1535" i="11"/>
  <c r="F1535" i="11"/>
  <c r="E1535" i="11"/>
  <c r="D1535" i="11"/>
  <c r="C1535" i="11"/>
  <c r="B1535" i="11"/>
  <c r="A1535" i="11"/>
  <c r="H1534" i="11"/>
  <c r="G1534" i="11"/>
  <c r="F1534" i="11"/>
  <c r="E1534" i="11"/>
  <c r="D1534" i="11"/>
  <c r="C1534" i="11"/>
  <c r="B1534" i="11"/>
  <c r="A1534" i="11"/>
  <c r="H1533" i="11"/>
  <c r="G1533" i="11"/>
  <c r="F1533" i="11"/>
  <c r="E1533" i="11"/>
  <c r="D1533" i="11"/>
  <c r="C1533" i="11"/>
  <c r="B1533" i="11"/>
  <c r="A1533" i="11"/>
  <c r="H1532" i="11"/>
  <c r="G1532" i="11"/>
  <c r="F1532" i="11"/>
  <c r="E1532" i="11"/>
  <c r="D1532" i="11"/>
  <c r="C1532" i="11"/>
  <c r="B1532" i="11"/>
  <c r="A1532" i="11"/>
  <c r="H1531" i="11"/>
  <c r="G1531" i="11"/>
  <c r="F1531" i="11"/>
  <c r="E1531" i="11"/>
  <c r="D1531" i="11"/>
  <c r="C1531" i="11"/>
  <c r="B1531" i="11"/>
  <c r="A1531" i="11"/>
  <c r="H1530" i="11"/>
  <c r="G1530" i="11"/>
  <c r="F1530" i="11"/>
  <c r="E1530" i="11"/>
  <c r="D1530" i="11"/>
  <c r="C1530" i="11"/>
  <c r="B1530" i="11"/>
  <c r="A1530" i="11"/>
  <c r="H1529" i="11"/>
  <c r="G1529" i="11"/>
  <c r="F1529" i="11"/>
  <c r="E1529" i="11"/>
  <c r="D1529" i="11"/>
  <c r="C1529" i="11"/>
  <c r="B1529" i="11"/>
  <c r="A1529" i="11"/>
  <c r="H1528" i="11"/>
  <c r="G1528" i="11"/>
  <c r="F1528" i="11"/>
  <c r="E1528" i="11"/>
  <c r="D1528" i="11"/>
  <c r="C1528" i="11"/>
  <c r="B1528" i="11"/>
  <c r="A1528" i="11"/>
  <c r="H1527" i="11"/>
  <c r="G1527" i="11"/>
  <c r="F1527" i="11"/>
  <c r="E1527" i="11"/>
  <c r="D1527" i="11"/>
  <c r="C1527" i="11"/>
  <c r="B1527" i="11"/>
  <c r="A1527" i="11"/>
  <c r="H1526" i="11"/>
  <c r="G1526" i="11"/>
  <c r="F1526" i="11"/>
  <c r="E1526" i="11"/>
  <c r="D1526" i="11"/>
  <c r="C1526" i="11"/>
  <c r="B1526" i="11"/>
  <c r="A1526" i="11"/>
  <c r="H1525" i="11"/>
  <c r="G1525" i="11"/>
  <c r="F1525" i="11"/>
  <c r="E1525" i="11"/>
  <c r="D1525" i="11"/>
  <c r="C1525" i="11"/>
  <c r="B1525" i="11"/>
  <c r="A1525" i="11"/>
  <c r="H1524" i="11"/>
  <c r="G1524" i="11"/>
  <c r="F1524" i="11"/>
  <c r="E1524" i="11"/>
  <c r="D1524" i="11"/>
  <c r="C1524" i="11"/>
  <c r="B1524" i="11"/>
  <c r="A1524" i="11"/>
  <c r="H1523" i="11"/>
  <c r="G1523" i="11"/>
  <c r="F1523" i="11"/>
  <c r="E1523" i="11"/>
  <c r="D1523" i="11"/>
  <c r="C1523" i="11"/>
  <c r="B1523" i="11"/>
  <c r="A1523" i="11"/>
  <c r="H1522" i="11"/>
  <c r="G1522" i="11"/>
  <c r="F1522" i="11"/>
  <c r="E1522" i="11"/>
  <c r="D1522" i="11"/>
  <c r="C1522" i="11"/>
  <c r="B1522" i="11"/>
  <c r="A1522" i="11"/>
  <c r="H1521" i="11"/>
  <c r="G1521" i="11"/>
  <c r="F1521" i="11"/>
  <c r="E1521" i="11"/>
  <c r="D1521" i="11"/>
  <c r="C1521" i="11"/>
  <c r="B1521" i="11"/>
  <c r="A1521" i="11"/>
  <c r="H1520" i="11"/>
  <c r="G1520" i="11"/>
  <c r="F1520" i="11"/>
  <c r="E1520" i="11"/>
  <c r="D1520" i="11"/>
  <c r="C1520" i="11"/>
  <c r="B1520" i="11"/>
  <c r="A1520" i="11"/>
  <c r="H1519" i="11"/>
  <c r="G1519" i="11"/>
  <c r="F1519" i="11"/>
  <c r="E1519" i="11"/>
  <c r="D1519" i="11"/>
  <c r="C1519" i="11"/>
  <c r="B1519" i="11"/>
  <c r="A1519" i="11"/>
  <c r="H1518" i="11"/>
  <c r="G1518" i="11"/>
  <c r="F1518" i="11"/>
  <c r="E1518" i="11"/>
  <c r="D1518" i="11"/>
  <c r="C1518" i="11"/>
  <c r="B1518" i="11"/>
  <c r="A1518" i="11"/>
  <c r="H1517" i="11"/>
  <c r="G1517" i="11"/>
  <c r="F1517" i="11"/>
  <c r="E1517" i="11"/>
  <c r="D1517" i="11"/>
  <c r="C1517" i="11"/>
  <c r="B1517" i="11"/>
  <c r="A1517" i="11"/>
  <c r="H1516" i="11"/>
  <c r="G1516" i="11"/>
  <c r="F1516" i="11"/>
  <c r="E1516" i="11"/>
  <c r="D1516" i="11"/>
  <c r="C1516" i="11"/>
  <c r="B1516" i="11"/>
  <c r="A1516" i="11"/>
  <c r="H1515" i="11"/>
  <c r="G1515" i="11"/>
  <c r="F1515" i="11"/>
  <c r="E1515" i="11"/>
  <c r="D1515" i="11"/>
  <c r="C1515" i="11"/>
  <c r="B1515" i="11"/>
  <c r="A1515" i="11"/>
  <c r="H1514" i="11"/>
  <c r="G1514" i="11"/>
  <c r="F1514" i="11"/>
  <c r="E1514" i="11"/>
  <c r="D1514" i="11"/>
  <c r="C1514" i="11"/>
  <c r="B1514" i="11"/>
  <c r="A1514" i="11"/>
  <c r="H1513" i="11"/>
  <c r="G1513" i="11"/>
  <c r="F1513" i="11"/>
  <c r="E1513" i="11"/>
  <c r="D1513" i="11"/>
  <c r="C1513" i="11"/>
  <c r="B1513" i="11"/>
  <c r="A1513" i="11"/>
  <c r="H1512" i="11"/>
  <c r="G1512" i="11"/>
  <c r="F1512" i="11"/>
  <c r="E1512" i="11"/>
  <c r="D1512" i="11"/>
  <c r="C1512" i="11"/>
  <c r="B1512" i="11"/>
  <c r="A1512" i="11"/>
  <c r="H1511" i="11"/>
  <c r="G1511" i="11"/>
  <c r="F1511" i="11"/>
  <c r="E1511" i="11"/>
  <c r="D1511" i="11"/>
  <c r="C1511" i="11"/>
  <c r="B1511" i="11"/>
  <c r="A1511" i="11"/>
  <c r="H1510" i="11"/>
  <c r="G1510" i="11"/>
  <c r="F1510" i="11"/>
  <c r="E1510" i="11"/>
  <c r="D1510" i="11"/>
  <c r="C1510" i="11"/>
  <c r="B1510" i="11"/>
  <c r="A1510" i="11"/>
  <c r="H1509" i="11"/>
  <c r="G1509" i="11"/>
  <c r="F1509" i="11"/>
  <c r="E1509" i="11"/>
  <c r="D1509" i="11"/>
  <c r="C1509" i="11"/>
  <c r="B1509" i="11"/>
  <c r="A1509" i="11"/>
  <c r="H1508" i="11"/>
  <c r="G1508" i="11"/>
  <c r="F1508" i="11"/>
  <c r="E1508" i="11"/>
  <c r="D1508" i="11"/>
  <c r="C1508" i="11"/>
  <c r="B1508" i="11"/>
  <c r="A1508" i="11"/>
  <c r="H1507" i="11"/>
  <c r="G1507" i="11"/>
  <c r="F1507" i="11"/>
  <c r="E1507" i="11"/>
  <c r="D1507" i="11"/>
  <c r="C1507" i="11"/>
  <c r="B1507" i="11"/>
  <c r="A1507" i="11"/>
  <c r="H1506" i="11"/>
  <c r="G1506" i="11"/>
  <c r="F1506" i="11"/>
  <c r="E1506" i="11"/>
  <c r="D1506" i="11"/>
  <c r="C1506" i="11"/>
  <c r="B1506" i="11"/>
  <c r="A1506" i="11"/>
  <c r="H1505" i="11"/>
  <c r="G1505" i="11"/>
  <c r="F1505" i="11"/>
  <c r="E1505" i="11"/>
  <c r="D1505" i="11"/>
  <c r="C1505" i="11"/>
  <c r="B1505" i="11"/>
  <c r="A1505" i="11"/>
  <c r="H1504" i="11"/>
  <c r="G1504" i="11"/>
  <c r="F1504" i="11"/>
  <c r="E1504" i="11"/>
  <c r="D1504" i="11"/>
  <c r="C1504" i="11"/>
  <c r="B1504" i="11"/>
  <c r="A1504" i="11"/>
  <c r="H1503" i="11"/>
  <c r="G1503" i="11"/>
  <c r="F1503" i="11"/>
  <c r="E1503" i="11"/>
  <c r="D1503" i="11"/>
  <c r="C1503" i="11"/>
  <c r="B1503" i="11"/>
  <c r="A1503" i="11"/>
  <c r="H1502" i="11"/>
  <c r="G1502" i="11"/>
  <c r="F1502" i="11"/>
  <c r="E1502" i="11"/>
  <c r="D1502" i="11"/>
  <c r="C1502" i="11"/>
  <c r="B1502" i="11"/>
  <c r="A1502" i="11"/>
  <c r="H1501" i="11"/>
  <c r="G1501" i="11"/>
  <c r="F1501" i="11"/>
  <c r="E1501" i="11"/>
  <c r="D1501" i="11"/>
  <c r="C1501" i="11"/>
  <c r="B1501" i="11"/>
  <c r="A1501" i="11"/>
  <c r="H1500" i="11"/>
  <c r="G1500" i="11"/>
  <c r="F1500" i="11"/>
  <c r="E1500" i="11"/>
  <c r="D1500" i="11"/>
  <c r="C1500" i="11"/>
  <c r="B1500" i="11"/>
  <c r="A1500" i="11"/>
  <c r="H1499" i="11"/>
  <c r="G1499" i="11"/>
  <c r="F1499" i="11"/>
  <c r="E1499" i="11"/>
  <c r="D1499" i="11"/>
  <c r="C1499" i="11"/>
  <c r="B1499" i="11"/>
  <c r="A1499" i="11"/>
  <c r="H1498" i="11"/>
  <c r="G1498" i="11"/>
  <c r="F1498" i="11"/>
  <c r="E1498" i="11"/>
  <c r="D1498" i="11"/>
  <c r="C1498" i="11"/>
  <c r="B1498" i="11"/>
  <c r="A1498" i="11"/>
  <c r="H1497" i="11"/>
  <c r="G1497" i="11"/>
  <c r="F1497" i="11"/>
  <c r="E1497" i="11"/>
  <c r="D1497" i="11"/>
  <c r="C1497" i="11"/>
  <c r="B1497" i="11"/>
  <c r="A1497" i="11"/>
  <c r="H1496" i="11"/>
  <c r="G1496" i="11"/>
  <c r="F1496" i="11"/>
  <c r="E1496" i="11"/>
  <c r="D1496" i="11"/>
  <c r="C1496" i="11"/>
  <c r="B1496" i="11"/>
  <c r="A1496" i="11"/>
  <c r="H1495" i="11"/>
  <c r="G1495" i="11"/>
  <c r="F1495" i="11"/>
  <c r="E1495" i="11"/>
  <c r="D1495" i="11"/>
  <c r="C1495" i="11"/>
  <c r="B1495" i="11"/>
  <c r="A1495" i="11"/>
  <c r="H1494" i="11"/>
  <c r="G1494" i="11"/>
  <c r="F1494" i="11"/>
  <c r="E1494" i="11"/>
  <c r="D1494" i="11"/>
  <c r="C1494" i="11"/>
  <c r="B1494" i="11"/>
  <c r="A1494" i="11"/>
  <c r="H1493" i="11"/>
  <c r="G1493" i="11"/>
  <c r="F1493" i="11"/>
  <c r="E1493" i="11"/>
  <c r="D1493" i="11"/>
  <c r="C1493" i="11"/>
  <c r="B1493" i="11"/>
  <c r="A1493" i="11"/>
  <c r="H1492" i="11"/>
  <c r="G1492" i="11"/>
  <c r="F1492" i="11"/>
  <c r="E1492" i="11"/>
  <c r="D1492" i="11"/>
  <c r="C1492" i="11"/>
  <c r="B1492" i="11"/>
  <c r="A1492" i="11"/>
  <c r="H1491" i="11"/>
  <c r="G1491" i="11"/>
  <c r="F1491" i="11"/>
  <c r="E1491" i="11"/>
  <c r="D1491" i="11"/>
  <c r="C1491" i="11"/>
  <c r="B1491" i="11"/>
  <c r="A1491" i="11"/>
  <c r="H1490" i="11"/>
  <c r="G1490" i="11"/>
  <c r="F1490" i="11"/>
  <c r="E1490" i="11"/>
  <c r="D1490" i="11"/>
  <c r="C1490" i="11"/>
  <c r="B1490" i="11"/>
  <c r="A1490" i="11"/>
  <c r="H1489" i="11"/>
  <c r="G1489" i="11"/>
  <c r="F1489" i="11"/>
  <c r="E1489" i="11"/>
  <c r="D1489" i="11"/>
  <c r="C1489" i="11"/>
  <c r="B1489" i="11"/>
  <c r="A1489" i="11"/>
  <c r="H1488" i="11"/>
  <c r="G1488" i="11"/>
  <c r="F1488" i="11"/>
  <c r="E1488" i="11"/>
  <c r="D1488" i="11"/>
  <c r="C1488" i="11"/>
  <c r="B1488" i="11"/>
  <c r="A1488" i="11"/>
  <c r="H1487" i="11"/>
  <c r="G1487" i="11"/>
  <c r="F1487" i="11"/>
  <c r="E1487" i="11"/>
  <c r="D1487" i="11"/>
  <c r="C1487" i="11"/>
  <c r="B1487" i="11"/>
  <c r="A1487" i="11"/>
  <c r="H1486" i="11"/>
  <c r="G1486" i="11"/>
  <c r="F1486" i="11"/>
  <c r="E1486" i="11"/>
  <c r="D1486" i="11"/>
  <c r="C1486" i="11"/>
  <c r="B1486" i="11"/>
  <c r="A1486" i="11"/>
  <c r="H1485" i="11"/>
  <c r="G1485" i="11"/>
  <c r="F1485" i="11"/>
  <c r="E1485" i="11"/>
  <c r="D1485" i="11"/>
  <c r="C1485" i="11"/>
  <c r="B1485" i="11"/>
  <c r="A1485" i="11"/>
  <c r="H1484" i="11"/>
  <c r="G1484" i="11"/>
  <c r="F1484" i="11"/>
  <c r="E1484" i="11"/>
  <c r="D1484" i="11"/>
  <c r="C1484" i="11"/>
  <c r="B1484" i="11"/>
  <c r="A1484" i="11"/>
  <c r="H1483" i="11"/>
  <c r="G1483" i="11"/>
  <c r="F1483" i="11"/>
  <c r="E1483" i="11"/>
  <c r="D1483" i="11"/>
  <c r="C1483" i="11"/>
  <c r="B1483" i="11"/>
  <c r="A1483" i="11"/>
  <c r="H1482" i="11"/>
  <c r="G1482" i="11"/>
  <c r="F1482" i="11"/>
  <c r="E1482" i="11"/>
  <c r="D1482" i="11"/>
  <c r="C1482" i="11"/>
  <c r="B1482" i="11"/>
  <c r="A1482" i="11"/>
  <c r="H1481" i="11"/>
  <c r="G1481" i="11"/>
  <c r="F1481" i="11"/>
  <c r="E1481" i="11"/>
  <c r="D1481" i="11"/>
  <c r="C1481" i="11"/>
  <c r="B1481" i="11"/>
  <c r="A1481" i="11"/>
  <c r="H1480" i="11"/>
  <c r="G1480" i="11"/>
  <c r="F1480" i="11"/>
  <c r="E1480" i="11"/>
  <c r="D1480" i="11"/>
  <c r="C1480" i="11"/>
  <c r="B1480" i="11"/>
  <c r="A1480" i="11"/>
  <c r="H1479" i="11"/>
  <c r="G1479" i="11"/>
  <c r="F1479" i="11"/>
  <c r="E1479" i="11"/>
  <c r="D1479" i="11"/>
  <c r="C1479" i="11"/>
  <c r="B1479" i="11"/>
  <c r="A1479" i="11"/>
  <c r="H1478" i="11"/>
  <c r="G1478" i="11"/>
  <c r="F1478" i="11"/>
  <c r="E1478" i="11"/>
  <c r="D1478" i="11"/>
  <c r="C1478" i="11"/>
  <c r="B1478" i="11"/>
  <c r="A1478" i="11"/>
  <c r="H1477" i="11"/>
  <c r="G1477" i="11"/>
  <c r="F1477" i="11"/>
  <c r="E1477" i="11"/>
  <c r="D1477" i="11"/>
  <c r="C1477" i="11"/>
  <c r="B1477" i="11"/>
  <c r="A1477" i="11"/>
  <c r="H1476" i="11"/>
  <c r="G1476" i="11"/>
  <c r="F1476" i="11"/>
  <c r="E1476" i="11"/>
  <c r="D1476" i="11"/>
  <c r="C1476" i="11"/>
  <c r="B1476" i="11"/>
  <c r="A1476" i="11"/>
  <c r="H1475" i="11"/>
  <c r="G1475" i="11"/>
  <c r="F1475" i="11"/>
  <c r="E1475" i="11"/>
  <c r="D1475" i="11"/>
  <c r="C1475" i="11"/>
  <c r="B1475" i="11"/>
  <c r="A1475" i="11"/>
  <c r="H1474" i="11"/>
  <c r="G1474" i="11"/>
  <c r="F1474" i="11"/>
  <c r="E1474" i="11"/>
  <c r="D1474" i="11"/>
  <c r="C1474" i="11"/>
  <c r="B1474" i="11"/>
  <c r="A1474" i="11"/>
  <c r="H1473" i="11"/>
  <c r="G1473" i="11"/>
  <c r="F1473" i="11"/>
  <c r="E1473" i="11"/>
  <c r="D1473" i="11"/>
  <c r="C1473" i="11"/>
  <c r="B1473" i="11"/>
  <c r="A1473" i="11"/>
  <c r="H1472" i="11"/>
  <c r="G1472" i="11"/>
  <c r="F1472" i="11"/>
  <c r="E1472" i="11"/>
  <c r="D1472" i="11"/>
  <c r="C1472" i="11"/>
  <c r="B1472" i="11"/>
  <c r="A1472" i="11"/>
  <c r="H1471" i="11"/>
  <c r="G1471" i="11"/>
  <c r="F1471" i="11"/>
  <c r="E1471" i="11"/>
  <c r="D1471" i="11"/>
  <c r="C1471" i="11"/>
  <c r="B1471" i="11"/>
  <c r="A1471" i="11"/>
  <c r="H1470" i="11"/>
  <c r="G1470" i="11"/>
  <c r="F1470" i="11"/>
  <c r="E1470" i="11"/>
  <c r="D1470" i="11"/>
  <c r="C1470" i="11"/>
  <c r="B1470" i="11"/>
  <c r="A1470" i="11"/>
  <c r="H1469" i="11"/>
  <c r="G1469" i="11"/>
  <c r="F1469" i="11"/>
  <c r="E1469" i="11"/>
  <c r="D1469" i="11"/>
  <c r="C1469" i="11"/>
  <c r="B1469" i="11"/>
  <c r="A1469" i="11"/>
  <c r="H1468" i="11"/>
  <c r="G1468" i="11"/>
  <c r="F1468" i="11"/>
  <c r="E1468" i="11"/>
  <c r="D1468" i="11"/>
  <c r="C1468" i="11"/>
  <c r="B1468" i="11"/>
  <c r="A1468" i="11"/>
  <c r="H1467" i="11"/>
  <c r="G1467" i="11"/>
  <c r="F1467" i="11"/>
  <c r="E1467" i="11"/>
  <c r="D1467" i="11"/>
  <c r="C1467" i="11"/>
  <c r="B1467" i="11"/>
  <c r="A1467" i="11"/>
  <c r="H1466" i="11"/>
  <c r="G1466" i="11"/>
  <c r="F1466" i="11"/>
  <c r="E1466" i="11"/>
  <c r="D1466" i="11"/>
  <c r="C1466" i="11"/>
  <c r="B1466" i="11"/>
  <c r="A1466" i="11"/>
  <c r="H1465" i="11"/>
  <c r="G1465" i="11"/>
  <c r="F1465" i="11"/>
  <c r="E1465" i="11"/>
  <c r="D1465" i="11"/>
  <c r="C1465" i="11"/>
  <c r="B1465" i="11"/>
  <c r="A1465" i="11"/>
  <c r="H1464" i="11"/>
  <c r="G1464" i="11"/>
  <c r="F1464" i="11"/>
  <c r="E1464" i="11"/>
  <c r="D1464" i="11"/>
  <c r="C1464" i="11"/>
  <c r="B1464" i="11"/>
  <c r="A1464" i="11"/>
  <c r="H1463" i="11"/>
  <c r="G1463" i="11"/>
  <c r="F1463" i="11"/>
  <c r="E1463" i="11"/>
  <c r="D1463" i="11"/>
  <c r="C1463" i="11"/>
  <c r="B1463" i="11"/>
  <c r="A1463" i="11"/>
  <c r="H1462" i="11"/>
  <c r="G1462" i="11"/>
  <c r="F1462" i="11"/>
  <c r="E1462" i="11"/>
  <c r="D1462" i="11"/>
  <c r="C1462" i="11"/>
  <c r="B1462" i="11"/>
  <c r="A1462" i="11"/>
  <c r="H1461" i="11"/>
  <c r="G1461" i="11"/>
  <c r="F1461" i="11"/>
  <c r="E1461" i="11"/>
  <c r="D1461" i="11"/>
  <c r="C1461" i="11"/>
  <c r="B1461" i="11"/>
  <c r="A1461" i="11"/>
  <c r="H1460" i="11"/>
  <c r="G1460" i="11"/>
  <c r="F1460" i="11"/>
  <c r="E1460" i="11"/>
  <c r="D1460" i="11"/>
  <c r="C1460" i="11"/>
  <c r="B1460" i="11"/>
  <c r="A1460" i="11"/>
  <c r="H1459" i="11"/>
  <c r="G1459" i="11"/>
  <c r="F1459" i="11"/>
  <c r="E1459" i="11"/>
  <c r="D1459" i="11"/>
  <c r="C1459" i="11"/>
  <c r="B1459" i="11"/>
  <c r="A1459" i="11"/>
  <c r="H1458" i="11"/>
  <c r="G1458" i="11"/>
  <c r="F1458" i="11"/>
  <c r="E1458" i="11"/>
  <c r="D1458" i="11"/>
  <c r="C1458" i="11"/>
  <c r="B1458" i="11"/>
  <c r="A1458" i="11"/>
  <c r="H1457" i="11"/>
  <c r="G1457" i="11"/>
  <c r="F1457" i="11"/>
  <c r="E1457" i="11"/>
  <c r="D1457" i="11"/>
  <c r="C1457" i="11"/>
  <c r="B1457" i="11"/>
  <c r="A1457" i="11"/>
  <c r="H1456" i="11"/>
  <c r="G1456" i="11"/>
  <c r="F1456" i="11"/>
  <c r="E1456" i="11"/>
  <c r="D1456" i="11"/>
  <c r="C1456" i="11"/>
  <c r="B1456" i="11"/>
  <c r="A1456" i="11"/>
  <c r="H1455" i="11"/>
  <c r="G1455" i="11"/>
  <c r="F1455" i="11"/>
  <c r="E1455" i="11"/>
  <c r="D1455" i="11"/>
  <c r="C1455" i="11"/>
  <c r="B1455" i="11"/>
  <c r="A1455" i="11"/>
  <c r="H1454" i="11"/>
  <c r="G1454" i="11"/>
  <c r="F1454" i="11"/>
  <c r="E1454" i="11"/>
  <c r="D1454" i="11"/>
  <c r="C1454" i="11"/>
  <c r="B1454" i="11"/>
  <c r="A1454" i="11"/>
  <c r="H1453" i="11"/>
  <c r="G1453" i="11"/>
  <c r="F1453" i="11"/>
  <c r="E1453" i="11"/>
  <c r="D1453" i="11"/>
  <c r="C1453" i="11"/>
  <c r="B1453" i="11"/>
  <c r="A1453" i="11"/>
  <c r="H1452" i="11"/>
  <c r="G1452" i="11"/>
  <c r="F1452" i="11"/>
  <c r="E1452" i="11"/>
  <c r="D1452" i="11"/>
  <c r="C1452" i="11"/>
  <c r="B1452" i="11"/>
  <c r="A1452" i="11"/>
  <c r="H1451" i="11"/>
  <c r="G1451" i="11"/>
  <c r="F1451" i="11"/>
  <c r="E1451" i="11"/>
  <c r="D1451" i="11"/>
  <c r="C1451" i="11"/>
  <c r="B1451" i="11"/>
  <c r="A1451" i="11"/>
  <c r="H1450" i="11"/>
  <c r="G1450" i="11"/>
  <c r="F1450" i="11"/>
  <c r="E1450" i="11"/>
  <c r="D1450" i="11"/>
  <c r="C1450" i="11"/>
  <c r="B1450" i="11"/>
  <c r="A1450" i="11"/>
  <c r="H1449" i="11"/>
  <c r="G1449" i="11"/>
  <c r="F1449" i="11"/>
  <c r="E1449" i="11"/>
  <c r="D1449" i="11"/>
  <c r="C1449" i="11"/>
  <c r="B1449" i="11"/>
  <c r="A1449" i="11"/>
  <c r="H1448" i="11"/>
  <c r="G1448" i="11"/>
  <c r="F1448" i="11"/>
  <c r="E1448" i="11"/>
  <c r="D1448" i="11"/>
  <c r="C1448" i="11"/>
  <c r="B1448" i="11"/>
  <c r="A1448" i="11"/>
  <c r="H1447" i="11"/>
  <c r="G1447" i="11"/>
  <c r="F1447" i="11"/>
  <c r="E1447" i="11"/>
  <c r="D1447" i="11"/>
  <c r="C1447" i="11"/>
  <c r="B1447" i="11"/>
  <c r="A1447" i="11"/>
  <c r="H1446" i="11"/>
  <c r="G1446" i="11"/>
  <c r="F1446" i="11"/>
  <c r="E1446" i="11"/>
  <c r="D1446" i="11"/>
  <c r="C1446" i="11"/>
  <c r="B1446" i="11"/>
  <c r="A1446" i="11"/>
  <c r="H1445" i="11"/>
  <c r="G1445" i="11"/>
  <c r="F1445" i="11"/>
  <c r="E1445" i="11"/>
  <c r="D1445" i="11"/>
  <c r="C1445" i="11"/>
  <c r="B1445" i="11"/>
  <c r="A1445" i="11"/>
  <c r="H1444" i="11"/>
  <c r="G1444" i="11"/>
  <c r="F1444" i="11"/>
  <c r="E1444" i="11"/>
  <c r="D1444" i="11"/>
  <c r="C1444" i="11"/>
  <c r="B1444" i="11"/>
  <c r="A1444" i="11"/>
  <c r="H1443" i="11"/>
  <c r="G1443" i="11"/>
  <c r="F1443" i="11"/>
  <c r="E1443" i="11"/>
  <c r="D1443" i="11"/>
  <c r="C1443" i="11"/>
  <c r="B1443" i="11"/>
  <c r="A1443" i="11"/>
  <c r="H1442" i="11"/>
  <c r="G1442" i="11"/>
  <c r="F1442" i="11"/>
  <c r="E1442" i="11"/>
  <c r="D1442" i="11"/>
  <c r="C1442" i="11"/>
  <c r="B1442" i="11"/>
  <c r="A1442" i="11"/>
  <c r="H1441" i="11"/>
  <c r="G1441" i="11"/>
  <c r="F1441" i="11"/>
  <c r="E1441" i="11"/>
  <c r="D1441" i="11"/>
  <c r="C1441" i="11"/>
  <c r="B1441" i="11"/>
  <c r="A1441" i="11"/>
  <c r="H1440" i="11"/>
  <c r="G1440" i="11"/>
  <c r="F1440" i="11"/>
  <c r="E1440" i="11"/>
  <c r="D1440" i="11"/>
  <c r="C1440" i="11"/>
  <c r="B1440" i="11"/>
  <c r="A1440" i="11"/>
  <c r="H1439" i="11"/>
  <c r="G1439" i="11"/>
  <c r="F1439" i="11"/>
  <c r="E1439" i="11"/>
  <c r="D1439" i="11"/>
  <c r="C1439" i="11"/>
  <c r="B1439" i="11"/>
  <c r="A1439" i="11"/>
  <c r="H1438" i="11"/>
  <c r="G1438" i="11"/>
  <c r="F1438" i="11"/>
  <c r="E1438" i="11"/>
  <c r="D1438" i="11"/>
  <c r="C1438" i="11"/>
  <c r="B1438" i="11"/>
  <c r="A1438" i="11"/>
  <c r="H1437" i="11"/>
  <c r="G1437" i="11"/>
  <c r="F1437" i="11"/>
  <c r="E1437" i="11"/>
  <c r="D1437" i="11"/>
  <c r="C1437" i="11"/>
  <c r="B1437" i="11"/>
  <c r="A1437" i="11"/>
  <c r="H1436" i="11"/>
  <c r="G1436" i="11"/>
  <c r="F1436" i="11"/>
  <c r="E1436" i="11"/>
  <c r="D1436" i="11"/>
  <c r="C1436" i="11"/>
  <c r="B1436" i="11"/>
  <c r="A1436" i="11"/>
  <c r="H1435" i="11"/>
  <c r="G1435" i="11"/>
  <c r="F1435" i="11"/>
  <c r="E1435" i="11"/>
  <c r="D1435" i="11"/>
  <c r="C1435" i="11"/>
  <c r="B1435" i="11"/>
  <c r="A1435" i="11"/>
  <c r="H1434" i="11"/>
  <c r="G1434" i="11"/>
  <c r="F1434" i="11"/>
  <c r="E1434" i="11"/>
  <c r="D1434" i="11"/>
  <c r="C1434" i="11"/>
  <c r="B1434" i="11"/>
  <c r="A1434" i="11"/>
  <c r="H1433" i="11"/>
  <c r="G1433" i="11"/>
  <c r="F1433" i="11"/>
  <c r="E1433" i="11"/>
  <c r="D1433" i="11"/>
  <c r="C1433" i="11"/>
  <c r="B1433" i="11"/>
  <c r="A1433" i="11"/>
  <c r="H1432" i="11"/>
  <c r="G1432" i="11"/>
  <c r="F1432" i="11"/>
  <c r="E1432" i="11"/>
  <c r="D1432" i="11"/>
  <c r="C1432" i="11"/>
  <c r="B1432" i="11"/>
  <c r="A1432" i="11"/>
  <c r="H1431" i="11"/>
  <c r="G1431" i="11"/>
  <c r="F1431" i="11"/>
  <c r="E1431" i="11"/>
  <c r="D1431" i="11"/>
  <c r="C1431" i="11"/>
  <c r="B1431" i="11"/>
  <c r="A1431" i="11"/>
  <c r="H1430" i="11"/>
  <c r="G1430" i="11"/>
  <c r="F1430" i="11"/>
  <c r="E1430" i="11"/>
  <c r="D1430" i="11"/>
  <c r="C1430" i="11"/>
  <c r="B1430" i="11"/>
  <c r="A1430" i="11"/>
  <c r="H1429" i="11"/>
  <c r="G1429" i="11"/>
  <c r="F1429" i="11"/>
  <c r="E1429" i="11"/>
  <c r="D1429" i="11"/>
  <c r="C1429" i="11"/>
  <c r="B1429" i="11"/>
  <c r="A1429" i="11"/>
  <c r="H1428" i="11"/>
  <c r="G1428" i="11"/>
  <c r="F1428" i="11"/>
  <c r="E1428" i="11"/>
  <c r="D1428" i="11"/>
  <c r="C1428" i="11"/>
  <c r="B1428" i="11"/>
  <c r="A1428" i="11"/>
  <c r="H1427" i="11"/>
  <c r="G1427" i="11"/>
  <c r="F1427" i="11"/>
  <c r="E1427" i="11"/>
  <c r="D1427" i="11"/>
  <c r="C1427" i="11"/>
  <c r="B1427" i="11"/>
  <c r="A1427" i="11"/>
  <c r="H1426" i="11"/>
  <c r="G1426" i="11"/>
  <c r="F1426" i="11"/>
  <c r="E1426" i="11"/>
  <c r="D1426" i="11"/>
  <c r="C1426" i="11"/>
  <c r="B1426" i="11"/>
  <c r="A1426" i="11"/>
  <c r="H1425" i="11"/>
  <c r="G1425" i="11"/>
  <c r="F1425" i="11"/>
  <c r="E1425" i="11"/>
  <c r="D1425" i="11"/>
  <c r="C1425" i="11"/>
  <c r="B1425" i="11"/>
  <c r="A1425" i="11"/>
  <c r="H1424" i="11"/>
  <c r="G1424" i="11"/>
  <c r="F1424" i="11"/>
  <c r="E1424" i="11"/>
  <c r="D1424" i="11"/>
  <c r="C1424" i="11"/>
  <c r="B1424" i="11"/>
  <c r="A1424" i="11"/>
  <c r="H1423" i="11"/>
  <c r="G1423" i="11"/>
  <c r="F1423" i="11"/>
  <c r="E1423" i="11"/>
  <c r="D1423" i="11"/>
  <c r="C1423" i="11"/>
  <c r="B1423" i="11"/>
  <c r="A1423" i="11"/>
  <c r="H1422" i="11"/>
  <c r="G1422" i="11"/>
  <c r="F1422" i="11"/>
  <c r="E1422" i="11"/>
  <c r="D1422" i="11"/>
  <c r="C1422" i="11"/>
  <c r="B1422" i="11"/>
  <c r="A1422" i="11"/>
  <c r="H1421" i="11"/>
  <c r="G1421" i="11"/>
  <c r="F1421" i="11"/>
  <c r="E1421" i="11"/>
  <c r="D1421" i="11"/>
  <c r="C1421" i="11"/>
  <c r="B1421" i="11"/>
  <c r="A1421" i="11"/>
  <c r="H1420" i="11"/>
  <c r="G1420" i="11"/>
  <c r="F1420" i="11"/>
  <c r="E1420" i="11"/>
  <c r="D1420" i="11"/>
  <c r="C1420" i="11"/>
  <c r="B1420" i="11"/>
  <c r="A1420" i="11"/>
  <c r="H1419" i="11"/>
  <c r="G1419" i="11"/>
  <c r="F1419" i="11"/>
  <c r="E1419" i="11"/>
  <c r="D1419" i="11"/>
  <c r="C1419" i="11"/>
  <c r="B1419" i="11"/>
  <c r="A1419" i="11"/>
  <c r="H1418" i="11"/>
  <c r="G1418" i="11"/>
  <c r="F1418" i="11"/>
  <c r="E1418" i="11"/>
  <c r="D1418" i="11"/>
  <c r="C1418" i="11"/>
  <c r="B1418" i="11"/>
  <c r="A1418" i="11"/>
  <c r="H1417" i="11"/>
  <c r="G1417" i="11"/>
  <c r="F1417" i="11"/>
  <c r="E1417" i="11"/>
  <c r="D1417" i="11"/>
  <c r="C1417" i="11"/>
  <c r="B1417" i="11"/>
  <c r="A1417" i="11"/>
  <c r="H1416" i="11"/>
  <c r="G1416" i="11"/>
  <c r="F1416" i="11"/>
  <c r="E1416" i="11"/>
  <c r="D1416" i="11"/>
  <c r="C1416" i="11"/>
  <c r="B1416" i="11"/>
  <c r="A1416" i="11"/>
  <c r="H1415" i="11"/>
  <c r="G1415" i="11"/>
  <c r="F1415" i="11"/>
  <c r="E1415" i="11"/>
  <c r="D1415" i="11"/>
  <c r="C1415" i="11"/>
  <c r="B1415" i="11"/>
  <c r="A1415" i="11"/>
  <c r="H1414" i="11"/>
  <c r="G1414" i="11"/>
  <c r="F1414" i="11"/>
  <c r="E1414" i="11"/>
  <c r="D1414" i="11"/>
  <c r="C1414" i="11"/>
  <c r="B1414" i="11"/>
  <c r="A1414" i="11"/>
  <c r="H1413" i="11"/>
  <c r="G1413" i="11"/>
  <c r="F1413" i="11"/>
  <c r="E1413" i="11"/>
  <c r="D1413" i="11"/>
  <c r="C1413" i="11"/>
  <c r="B1413" i="11"/>
  <c r="A1413" i="11"/>
  <c r="H1412" i="11"/>
  <c r="G1412" i="11"/>
  <c r="F1412" i="11"/>
  <c r="E1412" i="11"/>
  <c r="D1412" i="11"/>
  <c r="C1412" i="11"/>
  <c r="B1412" i="11"/>
  <c r="A1412" i="11"/>
  <c r="H1411" i="11"/>
  <c r="G1411" i="11"/>
  <c r="F1411" i="11"/>
  <c r="E1411" i="11"/>
  <c r="D1411" i="11"/>
  <c r="C1411" i="11"/>
  <c r="B1411" i="11"/>
  <c r="A1411" i="11"/>
  <c r="H1410" i="11"/>
  <c r="G1410" i="11"/>
  <c r="F1410" i="11"/>
  <c r="E1410" i="11"/>
  <c r="D1410" i="11"/>
  <c r="C1410" i="11"/>
  <c r="B1410" i="11"/>
  <c r="A1410" i="11"/>
  <c r="H1409" i="11"/>
  <c r="G1409" i="11"/>
  <c r="F1409" i="11"/>
  <c r="E1409" i="11"/>
  <c r="D1409" i="11"/>
  <c r="C1409" i="11"/>
  <c r="B1409" i="11"/>
  <c r="A1409" i="11"/>
  <c r="H1408" i="11"/>
  <c r="G1408" i="11"/>
  <c r="F1408" i="11"/>
  <c r="E1408" i="11"/>
  <c r="D1408" i="11"/>
  <c r="C1408" i="11"/>
  <c r="B1408" i="11"/>
  <c r="A1408" i="11"/>
  <c r="H1407" i="11"/>
  <c r="G1407" i="11"/>
  <c r="F1407" i="11"/>
  <c r="E1407" i="11"/>
  <c r="D1407" i="11"/>
  <c r="C1407" i="11"/>
  <c r="B1407" i="11"/>
  <c r="A1407" i="11"/>
  <c r="H1406" i="11"/>
  <c r="G1406" i="11"/>
  <c r="F1406" i="11"/>
  <c r="E1406" i="11"/>
  <c r="D1406" i="11"/>
  <c r="C1406" i="11"/>
  <c r="B1406" i="11"/>
  <c r="A1406" i="11"/>
  <c r="H1405" i="11"/>
  <c r="G1405" i="11"/>
  <c r="F1405" i="11"/>
  <c r="E1405" i="11"/>
  <c r="D1405" i="11"/>
  <c r="C1405" i="11"/>
  <c r="B1405" i="11"/>
  <c r="A1405" i="11"/>
  <c r="H1404" i="11"/>
  <c r="G1404" i="11"/>
  <c r="F1404" i="11"/>
  <c r="E1404" i="11"/>
  <c r="D1404" i="11"/>
  <c r="C1404" i="11"/>
  <c r="B1404" i="11"/>
  <c r="A1404" i="11"/>
  <c r="H1403" i="11"/>
  <c r="G1403" i="11"/>
  <c r="F1403" i="11"/>
  <c r="E1403" i="11"/>
  <c r="D1403" i="11"/>
  <c r="C1403" i="11"/>
  <c r="B1403" i="11"/>
  <c r="A1403" i="11"/>
  <c r="H1402" i="11"/>
  <c r="G1402" i="11"/>
  <c r="F1402" i="11"/>
  <c r="E1402" i="11"/>
  <c r="D1402" i="11"/>
  <c r="C1402" i="11"/>
  <c r="B1402" i="11"/>
  <c r="A1402" i="11"/>
  <c r="H1401" i="11"/>
  <c r="G1401" i="11"/>
  <c r="F1401" i="11"/>
  <c r="E1401" i="11"/>
  <c r="D1401" i="11"/>
  <c r="C1401" i="11"/>
  <c r="B1401" i="11"/>
  <c r="A1401" i="11"/>
  <c r="H1400" i="11"/>
  <c r="G1400" i="11"/>
  <c r="F1400" i="11"/>
  <c r="E1400" i="11"/>
  <c r="D1400" i="11"/>
  <c r="C1400" i="11"/>
  <c r="B1400" i="11"/>
  <c r="A1400" i="11"/>
  <c r="H1399" i="11"/>
  <c r="G1399" i="11"/>
  <c r="F1399" i="11"/>
  <c r="E1399" i="11"/>
  <c r="D1399" i="11"/>
  <c r="C1399" i="11"/>
  <c r="B1399" i="11"/>
  <c r="A1399" i="11"/>
  <c r="H1398" i="11"/>
  <c r="G1398" i="11"/>
  <c r="F1398" i="11"/>
  <c r="E1398" i="11"/>
  <c r="D1398" i="11"/>
  <c r="C1398" i="11"/>
  <c r="B1398" i="11"/>
  <c r="A1398" i="11"/>
  <c r="H1397" i="11"/>
  <c r="G1397" i="11"/>
  <c r="F1397" i="11"/>
  <c r="E1397" i="11"/>
  <c r="D1397" i="11"/>
  <c r="C1397" i="11"/>
  <c r="B1397" i="11"/>
  <c r="A1397" i="11"/>
  <c r="H1396" i="11"/>
  <c r="G1396" i="11"/>
  <c r="F1396" i="11"/>
  <c r="E1396" i="11"/>
  <c r="D1396" i="11"/>
  <c r="C1396" i="11"/>
  <c r="B1396" i="11"/>
  <c r="A1396" i="11"/>
  <c r="H1395" i="11"/>
  <c r="G1395" i="11"/>
  <c r="F1395" i="11"/>
  <c r="E1395" i="11"/>
  <c r="D1395" i="11"/>
  <c r="C1395" i="11"/>
  <c r="B1395" i="11"/>
  <c r="A1395" i="11"/>
  <c r="H1394" i="11"/>
  <c r="G1394" i="11"/>
  <c r="F1394" i="11"/>
  <c r="E1394" i="11"/>
  <c r="D1394" i="11"/>
  <c r="C1394" i="11"/>
  <c r="B1394" i="11"/>
  <c r="A1394" i="11"/>
  <c r="H1393" i="11"/>
  <c r="G1393" i="11"/>
  <c r="F1393" i="11"/>
  <c r="E1393" i="11"/>
  <c r="D1393" i="11"/>
  <c r="C1393" i="11"/>
  <c r="B1393" i="11"/>
  <c r="A1393" i="11"/>
  <c r="H1392" i="11"/>
  <c r="G1392" i="11"/>
  <c r="F1392" i="11"/>
  <c r="E1392" i="11"/>
  <c r="D1392" i="11"/>
  <c r="C1392" i="11"/>
  <c r="B1392" i="11"/>
  <c r="A1392" i="11"/>
  <c r="H1391" i="11"/>
  <c r="G1391" i="11"/>
  <c r="F1391" i="11"/>
  <c r="E1391" i="11"/>
  <c r="D1391" i="11"/>
  <c r="C1391" i="11"/>
  <c r="B1391" i="11"/>
  <c r="A1391" i="11"/>
  <c r="H1390" i="11"/>
  <c r="G1390" i="11"/>
  <c r="F1390" i="11"/>
  <c r="E1390" i="11"/>
  <c r="D1390" i="11"/>
  <c r="C1390" i="11"/>
  <c r="B1390" i="11"/>
  <c r="A1390" i="11"/>
  <c r="H1389" i="11"/>
  <c r="G1389" i="11"/>
  <c r="F1389" i="11"/>
  <c r="E1389" i="11"/>
  <c r="D1389" i="11"/>
  <c r="C1389" i="11"/>
  <c r="B1389" i="11"/>
  <c r="A1389" i="11"/>
  <c r="H1388" i="11"/>
  <c r="G1388" i="11"/>
  <c r="F1388" i="11"/>
  <c r="E1388" i="11"/>
  <c r="D1388" i="11"/>
  <c r="C1388" i="11"/>
  <c r="B1388" i="11"/>
  <c r="A1388" i="11"/>
  <c r="H1387" i="11"/>
  <c r="G1387" i="11"/>
  <c r="F1387" i="11"/>
  <c r="E1387" i="11"/>
  <c r="D1387" i="11"/>
  <c r="C1387" i="11"/>
  <c r="B1387" i="11"/>
  <c r="A1387" i="11"/>
  <c r="H1386" i="11"/>
  <c r="G1386" i="11"/>
  <c r="F1386" i="11"/>
  <c r="E1386" i="11"/>
  <c r="D1386" i="11"/>
  <c r="C1386" i="11"/>
  <c r="B1386" i="11"/>
  <c r="A1386" i="11"/>
  <c r="H1385" i="11"/>
  <c r="G1385" i="11"/>
  <c r="F1385" i="11"/>
  <c r="E1385" i="11"/>
  <c r="D1385" i="11"/>
  <c r="C1385" i="11"/>
  <c r="B1385" i="11"/>
  <c r="A1385" i="11"/>
  <c r="H1384" i="11"/>
  <c r="G1384" i="11"/>
  <c r="F1384" i="11"/>
  <c r="E1384" i="11"/>
  <c r="D1384" i="11"/>
  <c r="C1384" i="11"/>
  <c r="B1384" i="11"/>
  <c r="A1384" i="11"/>
  <c r="H1383" i="11"/>
  <c r="G1383" i="11"/>
  <c r="F1383" i="11"/>
  <c r="E1383" i="11"/>
  <c r="D1383" i="11"/>
  <c r="C1383" i="11"/>
  <c r="B1383" i="11"/>
  <c r="A1383" i="11"/>
  <c r="H1382" i="11"/>
  <c r="G1382" i="11"/>
  <c r="F1382" i="11"/>
  <c r="E1382" i="11"/>
  <c r="D1382" i="11"/>
  <c r="C1382" i="11"/>
  <c r="B1382" i="11"/>
  <c r="A1382" i="11"/>
  <c r="H1381" i="11"/>
  <c r="G1381" i="11"/>
  <c r="F1381" i="11"/>
  <c r="E1381" i="11"/>
  <c r="D1381" i="11"/>
  <c r="C1381" i="11"/>
  <c r="B1381" i="11"/>
  <c r="A1381" i="11"/>
  <c r="H1380" i="11"/>
  <c r="G1380" i="11"/>
  <c r="F1380" i="11"/>
  <c r="E1380" i="11"/>
  <c r="D1380" i="11"/>
  <c r="C1380" i="11"/>
  <c r="B1380" i="11"/>
  <c r="A1380" i="11"/>
  <c r="H1379" i="11"/>
  <c r="G1379" i="11"/>
  <c r="F1379" i="11"/>
  <c r="E1379" i="11"/>
  <c r="D1379" i="11"/>
  <c r="C1379" i="11"/>
  <c r="B1379" i="11"/>
  <c r="A1379" i="11"/>
  <c r="H1378" i="11"/>
  <c r="G1378" i="11"/>
  <c r="F1378" i="11"/>
  <c r="E1378" i="11"/>
  <c r="D1378" i="11"/>
  <c r="C1378" i="11"/>
  <c r="B1378" i="11"/>
  <c r="A1378" i="11"/>
  <c r="H1377" i="11"/>
  <c r="G1377" i="11"/>
  <c r="F1377" i="11"/>
  <c r="E1377" i="11"/>
  <c r="D1377" i="11"/>
  <c r="C1377" i="11"/>
  <c r="B1377" i="11"/>
  <c r="A1377" i="11"/>
  <c r="H1376" i="11"/>
  <c r="G1376" i="11"/>
  <c r="F1376" i="11"/>
  <c r="E1376" i="11"/>
  <c r="D1376" i="11"/>
  <c r="C1376" i="11"/>
  <c r="B1376" i="11"/>
  <c r="A1376" i="11"/>
  <c r="H1375" i="11"/>
  <c r="G1375" i="11"/>
  <c r="F1375" i="11"/>
  <c r="E1375" i="11"/>
  <c r="D1375" i="11"/>
  <c r="C1375" i="11"/>
  <c r="B1375" i="11"/>
  <c r="A1375" i="11"/>
  <c r="H1374" i="11"/>
  <c r="G1374" i="11"/>
  <c r="F1374" i="11"/>
  <c r="E1374" i="11"/>
  <c r="D1374" i="11"/>
  <c r="C1374" i="11"/>
  <c r="B1374" i="11"/>
  <c r="A1374" i="11"/>
  <c r="H1373" i="11"/>
  <c r="G1373" i="11"/>
  <c r="F1373" i="11"/>
  <c r="E1373" i="11"/>
  <c r="D1373" i="11"/>
  <c r="C1373" i="11"/>
  <c r="B1373" i="11"/>
  <c r="A1373" i="11"/>
  <c r="H1372" i="11"/>
  <c r="G1372" i="11"/>
  <c r="F1372" i="11"/>
  <c r="E1372" i="11"/>
  <c r="D1372" i="11"/>
  <c r="C1372" i="11"/>
  <c r="B1372" i="11"/>
  <c r="A1372" i="11"/>
  <c r="H1371" i="11"/>
  <c r="G1371" i="11"/>
  <c r="F1371" i="11"/>
  <c r="E1371" i="11"/>
  <c r="D1371" i="11"/>
  <c r="C1371" i="11"/>
  <c r="B1371" i="11"/>
  <c r="A1371" i="11"/>
  <c r="H1370" i="11"/>
  <c r="G1370" i="11"/>
  <c r="F1370" i="11"/>
  <c r="E1370" i="11"/>
  <c r="D1370" i="11"/>
  <c r="C1370" i="11"/>
  <c r="B1370" i="11"/>
  <c r="A1370" i="11"/>
  <c r="H1369" i="11"/>
  <c r="G1369" i="11"/>
  <c r="F1369" i="11"/>
  <c r="E1369" i="11"/>
  <c r="D1369" i="11"/>
  <c r="C1369" i="11"/>
  <c r="B1369" i="11"/>
  <c r="A1369" i="11"/>
  <c r="H1368" i="11"/>
  <c r="G1368" i="11"/>
  <c r="F1368" i="11"/>
  <c r="E1368" i="11"/>
  <c r="D1368" i="11"/>
  <c r="C1368" i="11"/>
  <c r="B1368" i="11"/>
  <c r="A1368" i="11"/>
  <c r="H1367" i="11"/>
  <c r="G1367" i="11"/>
  <c r="F1367" i="11"/>
  <c r="E1367" i="11"/>
  <c r="D1367" i="11"/>
  <c r="C1367" i="11"/>
  <c r="B1367" i="11"/>
  <c r="A1367" i="11"/>
  <c r="H1366" i="11"/>
  <c r="G1366" i="11"/>
  <c r="F1366" i="11"/>
  <c r="E1366" i="11"/>
  <c r="D1366" i="11"/>
  <c r="C1366" i="11"/>
  <c r="B1366" i="11"/>
  <c r="A1366" i="11"/>
  <c r="H1365" i="11"/>
  <c r="G1365" i="11"/>
  <c r="F1365" i="11"/>
  <c r="E1365" i="11"/>
  <c r="D1365" i="11"/>
  <c r="C1365" i="11"/>
  <c r="B1365" i="11"/>
  <c r="A1365" i="11"/>
  <c r="H1364" i="11"/>
  <c r="G1364" i="11"/>
  <c r="F1364" i="11"/>
  <c r="E1364" i="11"/>
  <c r="D1364" i="11"/>
  <c r="C1364" i="11"/>
  <c r="B1364" i="11"/>
  <c r="A1364" i="11"/>
  <c r="H1363" i="11"/>
  <c r="G1363" i="11"/>
  <c r="F1363" i="11"/>
  <c r="E1363" i="11"/>
  <c r="D1363" i="11"/>
  <c r="C1363" i="11"/>
  <c r="B1363" i="11"/>
  <c r="A1363" i="11"/>
  <c r="H1362" i="11"/>
  <c r="G1362" i="11"/>
  <c r="F1362" i="11"/>
  <c r="E1362" i="11"/>
  <c r="D1362" i="11"/>
  <c r="C1362" i="11"/>
  <c r="B1362" i="11"/>
  <c r="A1362" i="11"/>
  <c r="H1361" i="11"/>
  <c r="G1361" i="11"/>
  <c r="F1361" i="11"/>
  <c r="E1361" i="11"/>
  <c r="D1361" i="11"/>
  <c r="C1361" i="11"/>
  <c r="B1361" i="11"/>
  <c r="A1361" i="11"/>
  <c r="H1360" i="11"/>
  <c r="G1360" i="11"/>
  <c r="F1360" i="11"/>
  <c r="E1360" i="11"/>
  <c r="D1360" i="11"/>
  <c r="C1360" i="11"/>
  <c r="B1360" i="11"/>
  <c r="A1360" i="11"/>
  <c r="H1359" i="11"/>
  <c r="G1359" i="11"/>
  <c r="F1359" i="11"/>
  <c r="E1359" i="11"/>
  <c r="D1359" i="11"/>
  <c r="C1359" i="11"/>
  <c r="B1359" i="11"/>
  <c r="A1359" i="11"/>
  <c r="H1358" i="11"/>
  <c r="G1358" i="11"/>
  <c r="F1358" i="11"/>
  <c r="E1358" i="11"/>
  <c r="D1358" i="11"/>
  <c r="C1358" i="11"/>
  <c r="B1358" i="11"/>
  <c r="A1358" i="11"/>
  <c r="H1357" i="11"/>
  <c r="G1357" i="11"/>
  <c r="F1357" i="11"/>
  <c r="E1357" i="11"/>
  <c r="D1357" i="11"/>
  <c r="C1357" i="11"/>
  <c r="B1357" i="11"/>
  <c r="A1357" i="11"/>
  <c r="H1356" i="11"/>
  <c r="G1356" i="11"/>
  <c r="F1356" i="11"/>
  <c r="E1356" i="11"/>
  <c r="D1356" i="11"/>
  <c r="C1356" i="11"/>
  <c r="B1356" i="11"/>
  <c r="A1356" i="11"/>
  <c r="H1355" i="11"/>
  <c r="G1355" i="11"/>
  <c r="F1355" i="11"/>
  <c r="E1355" i="11"/>
  <c r="D1355" i="11"/>
  <c r="C1355" i="11"/>
  <c r="B1355" i="11"/>
  <c r="A1355" i="11"/>
  <c r="H1354" i="11"/>
  <c r="G1354" i="11"/>
  <c r="F1354" i="11"/>
  <c r="E1354" i="11"/>
  <c r="D1354" i="11"/>
  <c r="C1354" i="11"/>
  <c r="B1354" i="11"/>
  <c r="A1354" i="11"/>
  <c r="H1353" i="11"/>
  <c r="G1353" i="11"/>
  <c r="F1353" i="11"/>
  <c r="E1353" i="11"/>
  <c r="D1353" i="11"/>
  <c r="C1353" i="11"/>
  <c r="B1353" i="11"/>
  <c r="A1353" i="11"/>
  <c r="H1352" i="11"/>
  <c r="G1352" i="11"/>
  <c r="F1352" i="11"/>
  <c r="E1352" i="11"/>
  <c r="D1352" i="11"/>
  <c r="C1352" i="11"/>
  <c r="B1352" i="11"/>
  <c r="A1352" i="11"/>
  <c r="H1351" i="11"/>
  <c r="G1351" i="11"/>
  <c r="F1351" i="11"/>
  <c r="E1351" i="11"/>
  <c r="D1351" i="11"/>
  <c r="C1351" i="11"/>
  <c r="B1351" i="11"/>
  <c r="A1351" i="11"/>
  <c r="H1350" i="11"/>
  <c r="G1350" i="11"/>
  <c r="F1350" i="11"/>
  <c r="E1350" i="11"/>
  <c r="D1350" i="11"/>
  <c r="C1350" i="11"/>
  <c r="B1350" i="11"/>
  <c r="A1350" i="11"/>
  <c r="H1349" i="11"/>
  <c r="G1349" i="11"/>
  <c r="F1349" i="11"/>
  <c r="E1349" i="11"/>
  <c r="D1349" i="11"/>
  <c r="C1349" i="11"/>
  <c r="B1349" i="11"/>
  <c r="A1349" i="11"/>
  <c r="H1348" i="11"/>
  <c r="G1348" i="11"/>
  <c r="F1348" i="11"/>
  <c r="E1348" i="11"/>
  <c r="D1348" i="11"/>
  <c r="C1348" i="11"/>
  <c r="B1348" i="11"/>
  <c r="A1348" i="11"/>
  <c r="H1347" i="11"/>
  <c r="G1347" i="11"/>
  <c r="F1347" i="11"/>
  <c r="E1347" i="11"/>
  <c r="D1347" i="11"/>
  <c r="C1347" i="11"/>
  <c r="B1347" i="11"/>
  <c r="A1347" i="11"/>
  <c r="H1346" i="11"/>
  <c r="G1346" i="11"/>
  <c r="F1346" i="11"/>
  <c r="E1346" i="11"/>
  <c r="D1346" i="11"/>
  <c r="C1346" i="11"/>
  <c r="B1346" i="11"/>
  <c r="A1346" i="11"/>
  <c r="H1345" i="11"/>
  <c r="G1345" i="11"/>
  <c r="F1345" i="11"/>
  <c r="E1345" i="11"/>
  <c r="D1345" i="11"/>
  <c r="C1345" i="11"/>
  <c r="B1345" i="11"/>
  <c r="A1345" i="11"/>
  <c r="H1344" i="11"/>
  <c r="G1344" i="11"/>
  <c r="F1344" i="11"/>
  <c r="E1344" i="11"/>
  <c r="D1344" i="11"/>
  <c r="C1344" i="11"/>
  <c r="B1344" i="11"/>
  <c r="A1344" i="11"/>
  <c r="H1343" i="11"/>
  <c r="G1343" i="11"/>
  <c r="F1343" i="11"/>
  <c r="E1343" i="11"/>
  <c r="D1343" i="11"/>
  <c r="C1343" i="11"/>
  <c r="B1343" i="11"/>
  <c r="A1343" i="11"/>
  <c r="H1342" i="11"/>
  <c r="G1342" i="11"/>
  <c r="F1342" i="11"/>
  <c r="E1342" i="11"/>
  <c r="D1342" i="11"/>
  <c r="C1342" i="11"/>
  <c r="B1342" i="11"/>
  <c r="A1342" i="11"/>
  <c r="H1341" i="11"/>
  <c r="G1341" i="11"/>
  <c r="F1341" i="11"/>
  <c r="E1341" i="11"/>
  <c r="D1341" i="11"/>
  <c r="C1341" i="11"/>
  <c r="B1341" i="11"/>
  <c r="A1341" i="11"/>
  <c r="H1340" i="11"/>
  <c r="G1340" i="11"/>
  <c r="F1340" i="11"/>
  <c r="E1340" i="11"/>
  <c r="D1340" i="11"/>
  <c r="C1340" i="11"/>
  <c r="B1340" i="11"/>
  <c r="A1340" i="11"/>
  <c r="H1339" i="11"/>
  <c r="G1339" i="11"/>
  <c r="F1339" i="11"/>
  <c r="E1339" i="11"/>
  <c r="D1339" i="11"/>
  <c r="C1339" i="11"/>
  <c r="B1339" i="11"/>
  <c r="A1339" i="11"/>
  <c r="H1338" i="11"/>
  <c r="G1338" i="11"/>
  <c r="F1338" i="11"/>
  <c r="E1338" i="11"/>
  <c r="D1338" i="11"/>
  <c r="C1338" i="11"/>
  <c r="B1338" i="11"/>
  <c r="A1338" i="11"/>
  <c r="H1337" i="11"/>
  <c r="G1337" i="11"/>
  <c r="F1337" i="11"/>
  <c r="E1337" i="11"/>
  <c r="D1337" i="11"/>
  <c r="C1337" i="11"/>
  <c r="B1337" i="11"/>
  <c r="A1337" i="11"/>
  <c r="H1336" i="11"/>
  <c r="G1336" i="11"/>
  <c r="F1336" i="11"/>
  <c r="E1336" i="11"/>
  <c r="D1336" i="11"/>
  <c r="C1336" i="11"/>
  <c r="B1336" i="11"/>
  <c r="A1336" i="11"/>
  <c r="H1335" i="11"/>
  <c r="G1335" i="11"/>
  <c r="F1335" i="11"/>
  <c r="E1335" i="11"/>
  <c r="D1335" i="11"/>
  <c r="C1335" i="11"/>
  <c r="B1335" i="11"/>
  <c r="A1335" i="11"/>
  <c r="H1334" i="11"/>
  <c r="G1334" i="11"/>
  <c r="F1334" i="11"/>
  <c r="E1334" i="11"/>
  <c r="D1334" i="11"/>
  <c r="C1334" i="11"/>
  <c r="B1334" i="11"/>
  <c r="A1334" i="11"/>
  <c r="H1333" i="11"/>
  <c r="G1333" i="11"/>
  <c r="F1333" i="11"/>
  <c r="E1333" i="11"/>
  <c r="D1333" i="11"/>
  <c r="C1333" i="11"/>
  <c r="B1333" i="11"/>
  <c r="A1333" i="11"/>
  <c r="H1332" i="11"/>
  <c r="G1332" i="11"/>
  <c r="F1332" i="11"/>
  <c r="E1332" i="11"/>
  <c r="D1332" i="11"/>
  <c r="C1332" i="11"/>
  <c r="B1332" i="11"/>
  <c r="A1332" i="11"/>
  <c r="H1331" i="11"/>
  <c r="G1331" i="11"/>
  <c r="F1331" i="11"/>
  <c r="E1331" i="11"/>
  <c r="D1331" i="11"/>
  <c r="C1331" i="11"/>
  <c r="B1331" i="11"/>
  <c r="A1331" i="11"/>
  <c r="H1330" i="11"/>
  <c r="G1330" i="11"/>
  <c r="F1330" i="11"/>
  <c r="E1330" i="11"/>
  <c r="D1330" i="11"/>
  <c r="C1330" i="11"/>
  <c r="B1330" i="11"/>
  <c r="A1330" i="11"/>
  <c r="H1329" i="11"/>
  <c r="G1329" i="11"/>
  <c r="F1329" i="11"/>
  <c r="E1329" i="11"/>
  <c r="D1329" i="11"/>
  <c r="C1329" i="11"/>
  <c r="B1329" i="11"/>
  <c r="A1329" i="11"/>
  <c r="H1328" i="11"/>
  <c r="G1328" i="11"/>
  <c r="F1328" i="11"/>
  <c r="E1328" i="11"/>
  <c r="D1328" i="11"/>
  <c r="C1328" i="11"/>
  <c r="B1328" i="11"/>
  <c r="A1328" i="11"/>
  <c r="H1327" i="11"/>
  <c r="G1327" i="11"/>
  <c r="F1327" i="11"/>
  <c r="E1327" i="11"/>
  <c r="D1327" i="11"/>
  <c r="C1327" i="11"/>
  <c r="B1327" i="11"/>
  <c r="A1327" i="11"/>
  <c r="H1326" i="11"/>
  <c r="G1326" i="11"/>
  <c r="F1326" i="11"/>
  <c r="E1326" i="11"/>
  <c r="D1326" i="11"/>
  <c r="C1326" i="11"/>
  <c r="B1326" i="11"/>
  <c r="A1326" i="11"/>
  <c r="H1325" i="11"/>
  <c r="G1325" i="11"/>
  <c r="F1325" i="11"/>
  <c r="E1325" i="11"/>
  <c r="D1325" i="11"/>
  <c r="C1325" i="11"/>
  <c r="B1325" i="11"/>
  <c r="A1325" i="11"/>
  <c r="H1324" i="11"/>
  <c r="G1324" i="11"/>
  <c r="F1324" i="11"/>
  <c r="E1324" i="11"/>
  <c r="D1324" i="11"/>
  <c r="C1324" i="11"/>
  <c r="B1324" i="11"/>
  <c r="A1324" i="11"/>
  <c r="H1323" i="11"/>
  <c r="G1323" i="11"/>
  <c r="F1323" i="11"/>
  <c r="E1323" i="11"/>
  <c r="D1323" i="11"/>
  <c r="C1323" i="11"/>
  <c r="B1323" i="11"/>
  <c r="A1323" i="11"/>
  <c r="H1322" i="11"/>
  <c r="G1322" i="11"/>
  <c r="F1322" i="11"/>
  <c r="E1322" i="11"/>
  <c r="D1322" i="11"/>
  <c r="C1322" i="11"/>
  <c r="B1322" i="11"/>
  <c r="A1322" i="11"/>
  <c r="H1321" i="11"/>
  <c r="G1321" i="11"/>
  <c r="F1321" i="11"/>
  <c r="E1321" i="11"/>
  <c r="D1321" i="11"/>
  <c r="C1321" i="11"/>
  <c r="B1321" i="11"/>
  <c r="A1321" i="11"/>
  <c r="H1320" i="11"/>
  <c r="G1320" i="11"/>
  <c r="F1320" i="11"/>
  <c r="E1320" i="11"/>
  <c r="D1320" i="11"/>
  <c r="C1320" i="11"/>
  <c r="B1320" i="11"/>
  <c r="A1320" i="11"/>
  <c r="H1319" i="11"/>
  <c r="G1319" i="11"/>
  <c r="F1319" i="11"/>
  <c r="E1319" i="11"/>
  <c r="D1319" i="11"/>
  <c r="C1319" i="11"/>
  <c r="B1319" i="11"/>
  <c r="A1319" i="11"/>
  <c r="H1318" i="11"/>
  <c r="G1318" i="11"/>
  <c r="F1318" i="11"/>
  <c r="E1318" i="11"/>
  <c r="D1318" i="11"/>
  <c r="C1318" i="11"/>
  <c r="B1318" i="11"/>
  <c r="A1318" i="11"/>
  <c r="H1317" i="11"/>
  <c r="G1317" i="11"/>
  <c r="F1317" i="11"/>
  <c r="E1317" i="11"/>
  <c r="D1317" i="11"/>
  <c r="C1317" i="11"/>
  <c r="B1317" i="11"/>
  <c r="A1317" i="11"/>
  <c r="H1316" i="11"/>
  <c r="G1316" i="11"/>
  <c r="F1316" i="11"/>
  <c r="E1316" i="11"/>
  <c r="D1316" i="11"/>
  <c r="C1316" i="11"/>
  <c r="B1316" i="11"/>
  <c r="A1316" i="11"/>
  <c r="H1315" i="11"/>
  <c r="G1315" i="11"/>
  <c r="F1315" i="11"/>
  <c r="E1315" i="11"/>
  <c r="D1315" i="11"/>
  <c r="C1315" i="11"/>
  <c r="B1315" i="11"/>
  <c r="A1315" i="11"/>
  <c r="H1314" i="11"/>
  <c r="G1314" i="11"/>
  <c r="F1314" i="11"/>
  <c r="E1314" i="11"/>
  <c r="D1314" i="11"/>
  <c r="C1314" i="11"/>
  <c r="B1314" i="11"/>
  <c r="A1314" i="11"/>
  <c r="H1313" i="11"/>
  <c r="G1313" i="11"/>
  <c r="F1313" i="11"/>
  <c r="E1313" i="11"/>
  <c r="D1313" i="11"/>
  <c r="C1313" i="11"/>
  <c r="B1313" i="11"/>
  <c r="A1313" i="11"/>
  <c r="H1312" i="11"/>
  <c r="G1312" i="11"/>
  <c r="F1312" i="11"/>
  <c r="E1312" i="11"/>
  <c r="D1312" i="11"/>
  <c r="C1312" i="11"/>
  <c r="B1312" i="11"/>
  <c r="A1312" i="11"/>
  <c r="H1311" i="11"/>
  <c r="G1311" i="11"/>
  <c r="F1311" i="11"/>
  <c r="E1311" i="11"/>
  <c r="D1311" i="11"/>
  <c r="C1311" i="11"/>
  <c r="B1311" i="11"/>
  <c r="A1311" i="11"/>
  <c r="H1310" i="11"/>
  <c r="G1310" i="11"/>
  <c r="F1310" i="11"/>
  <c r="E1310" i="11"/>
  <c r="D1310" i="11"/>
  <c r="C1310" i="11"/>
  <c r="B1310" i="11"/>
  <c r="A1310" i="11"/>
  <c r="H1309" i="11"/>
  <c r="G1309" i="11"/>
  <c r="F1309" i="11"/>
  <c r="E1309" i="11"/>
  <c r="D1309" i="11"/>
  <c r="C1309" i="11"/>
  <c r="B1309" i="11"/>
  <c r="A1309" i="11"/>
  <c r="H1308" i="11"/>
  <c r="G1308" i="11"/>
  <c r="F1308" i="11"/>
  <c r="E1308" i="11"/>
  <c r="D1308" i="11"/>
  <c r="C1308" i="11"/>
  <c r="B1308" i="11"/>
  <c r="A1308" i="11"/>
  <c r="H1307" i="11"/>
  <c r="G1307" i="11"/>
  <c r="F1307" i="11"/>
  <c r="E1307" i="11"/>
  <c r="D1307" i="11"/>
  <c r="C1307" i="11"/>
  <c r="B1307" i="11"/>
  <c r="A1307" i="11"/>
  <c r="H1306" i="11"/>
  <c r="G1306" i="11"/>
  <c r="F1306" i="11"/>
  <c r="E1306" i="11"/>
  <c r="D1306" i="11"/>
  <c r="C1306" i="11"/>
  <c r="B1306" i="11"/>
  <c r="A1306" i="11"/>
  <c r="H1305" i="11"/>
  <c r="G1305" i="11"/>
  <c r="F1305" i="11"/>
  <c r="E1305" i="11"/>
  <c r="D1305" i="11"/>
  <c r="C1305" i="11"/>
  <c r="B1305" i="11"/>
  <c r="A1305" i="11"/>
  <c r="H1304" i="11"/>
  <c r="G1304" i="11"/>
  <c r="F1304" i="11"/>
  <c r="E1304" i="11"/>
  <c r="D1304" i="11"/>
  <c r="C1304" i="11"/>
  <c r="B1304" i="11"/>
  <c r="A1304" i="11"/>
  <c r="H1303" i="11"/>
  <c r="G1303" i="11"/>
  <c r="F1303" i="11"/>
  <c r="E1303" i="11"/>
  <c r="D1303" i="11"/>
  <c r="C1303" i="11"/>
  <c r="B1303" i="11"/>
  <c r="A1303" i="11"/>
  <c r="H1302" i="11"/>
  <c r="G1302" i="11"/>
  <c r="F1302" i="11"/>
  <c r="E1302" i="11"/>
  <c r="D1302" i="11"/>
  <c r="C1302" i="11"/>
  <c r="B1302" i="11"/>
  <c r="A1302" i="11"/>
  <c r="H1301" i="11"/>
  <c r="G1301" i="11"/>
  <c r="F1301" i="11"/>
  <c r="E1301" i="11"/>
  <c r="D1301" i="11"/>
  <c r="C1301" i="11"/>
  <c r="B1301" i="11"/>
  <c r="A1301" i="11"/>
  <c r="H1300" i="11"/>
  <c r="G1300" i="11"/>
  <c r="F1300" i="11"/>
  <c r="E1300" i="11"/>
  <c r="D1300" i="11"/>
  <c r="C1300" i="11"/>
  <c r="B1300" i="11"/>
  <c r="A1300" i="11"/>
  <c r="H1299" i="11"/>
  <c r="G1299" i="11"/>
  <c r="F1299" i="11"/>
  <c r="E1299" i="11"/>
  <c r="D1299" i="11"/>
  <c r="C1299" i="11"/>
  <c r="B1299" i="11"/>
  <c r="A1299" i="11"/>
  <c r="H1298" i="11"/>
  <c r="G1298" i="11"/>
  <c r="F1298" i="11"/>
  <c r="E1298" i="11"/>
  <c r="D1298" i="11"/>
  <c r="C1298" i="11"/>
  <c r="B1298" i="11"/>
  <c r="A1298" i="11"/>
  <c r="H1297" i="11"/>
  <c r="G1297" i="11"/>
  <c r="F1297" i="11"/>
  <c r="E1297" i="11"/>
  <c r="D1297" i="11"/>
  <c r="C1297" i="11"/>
  <c r="B1297" i="11"/>
  <c r="A1297" i="11"/>
  <c r="H1296" i="11"/>
  <c r="G1296" i="11"/>
  <c r="F1296" i="11"/>
  <c r="E1296" i="11"/>
  <c r="D1296" i="11"/>
  <c r="C1296" i="11"/>
  <c r="B1296" i="11"/>
  <c r="A1296" i="11"/>
  <c r="H1295" i="11"/>
  <c r="G1295" i="11"/>
  <c r="F1295" i="11"/>
  <c r="E1295" i="11"/>
  <c r="D1295" i="11"/>
  <c r="C1295" i="11"/>
  <c r="B1295" i="11"/>
  <c r="A1295" i="11"/>
  <c r="H1294" i="11"/>
  <c r="G1294" i="11"/>
  <c r="F1294" i="11"/>
  <c r="E1294" i="11"/>
  <c r="D1294" i="11"/>
  <c r="C1294" i="11"/>
  <c r="B1294" i="11"/>
  <c r="A1294" i="11"/>
  <c r="H1293" i="11"/>
  <c r="G1293" i="11"/>
  <c r="F1293" i="11"/>
  <c r="E1293" i="11"/>
  <c r="D1293" i="11"/>
  <c r="C1293" i="11"/>
  <c r="B1293" i="11"/>
  <c r="A1293" i="11"/>
  <c r="H1292" i="11"/>
  <c r="G1292" i="11"/>
  <c r="F1292" i="11"/>
  <c r="E1292" i="11"/>
  <c r="D1292" i="11"/>
  <c r="C1292" i="11"/>
  <c r="B1292" i="11"/>
  <c r="A1292" i="11"/>
  <c r="H1291" i="11"/>
  <c r="G1291" i="11"/>
  <c r="F1291" i="11"/>
  <c r="E1291" i="11"/>
  <c r="D1291" i="11"/>
  <c r="C1291" i="11"/>
  <c r="B1291" i="11"/>
  <c r="A1291" i="11"/>
  <c r="H1290" i="11"/>
  <c r="G1290" i="11"/>
  <c r="F1290" i="11"/>
  <c r="E1290" i="11"/>
  <c r="D1290" i="11"/>
  <c r="C1290" i="11"/>
  <c r="B1290" i="11"/>
  <c r="A1290" i="11"/>
  <c r="H1289" i="11"/>
  <c r="G1289" i="11"/>
  <c r="F1289" i="11"/>
  <c r="E1289" i="11"/>
  <c r="D1289" i="11"/>
  <c r="C1289" i="11"/>
  <c r="B1289" i="11"/>
  <c r="A1289" i="11"/>
  <c r="H1288" i="11"/>
  <c r="G1288" i="11"/>
  <c r="F1288" i="11"/>
  <c r="E1288" i="11"/>
  <c r="D1288" i="11"/>
  <c r="C1288" i="11"/>
  <c r="B1288" i="11"/>
  <c r="A1288" i="11"/>
  <c r="H1287" i="11"/>
  <c r="G1287" i="11"/>
  <c r="F1287" i="11"/>
  <c r="E1287" i="11"/>
  <c r="D1287" i="11"/>
  <c r="C1287" i="11"/>
  <c r="B1287" i="11"/>
  <c r="A1287" i="11"/>
  <c r="H1286" i="11"/>
  <c r="G1286" i="11"/>
  <c r="F1286" i="11"/>
  <c r="E1286" i="11"/>
  <c r="D1286" i="11"/>
  <c r="C1286" i="11"/>
  <c r="B1286" i="11"/>
  <c r="A1286" i="11"/>
  <c r="H1285" i="11"/>
  <c r="G1285" i="11"/>
  <c r="F1285" i="11"/>
  <c r="E1285" i="11"/>
  <c r="D1285" i="11"/>
  <c r="C1285" i="11"/>
  <c r="B1285" i="11"/>
  <c r="A1285" i="11"/>
  <c r="H1284" i="11"/>
  <c r="G1284" i="11"/>
  <c r="F1284" i="11"/>
  <c r="E1284" i="11"/>
  <c r="D1284" i="11"/>
  <c r="C1284" i="11"/>
  <c r="B1284" i="11"/>
  <c r="A1284" i="11"/>
  <c r="H1283" i="11"/>
  <c r="G1283" i="11"/>
  <c r="F1283" i="11"/>
  <c r="E1283" i="11"/>
  <c r="D1283" i="11"/>
  <c r="C1283" i="11"/>
  <c r="B1283" i="11"/>
  <c r="A1283" i="11"/>
  <c r="H1282" i="11"/>
  <c r="G1282" i="11"/>
  <c r="F1282" i="11"/>
  <c r="E1282" i="11"/>
  <c r="D1282" i="11"/>
  <c r="C1282" i="11"/>
  <c r="B1282" i="11"/>
  <c r="A1282" i="11"/>
  <c r="H1281" i="11"/>
  <c r="G1281" i="11"/>
  <c r="F1281" i="11"/>
  <c r="E1281" i="11"/>
  <c r="D1281" i="11"/>
  <c r="C1281" i="11"/>
  <c r="B1281" i="11"/>
  <c r="A1281" i="11"/>
  <c r="H1280" i="11"/>
  <c r="G1280" i="11"/>
  <c r="F1280" i="11"/>
  <c r="E1280" i="11"/>
  <c r="D1280" i="11"/>
  <c r="C1280" i="11"/>
  <c r="B1280" i="11"/>
  <c r="A1280" i="11"/>
  <c r="H1279" i="11"/>
  <c r="G1279" i="11"/>
  <c r="F1279" i="11"/>
  <c r="E1279" i="11"/>
  <c r="D1279" i="11"/>
  <c r="C1279" i="11"/>
  <c r="B1279" i="11"/>
  <c r="A1279" i="11"/>
  <c r="H1278" i="11"/>
  <c r="G1278" i="11"/>
  <c r="F1278" i="11"/>
  <c r="E1278" i="11"/>
  <c r="D1278" i="11"/>
  <c r="C1278" i="11"/>
  <c r="B1278" i="11"/>
  <c r="A1278" i="11"/>
  <c r="H1277" i="11"/>
  <c r="G1277" i="11"/>
  <c r="F1277" i="11"/>
  <c r="E1277" i="11"/>
  <c r="D1277" i="11"/>
  <c r="C1277" i="11"/>
  <c r="B1277" i="11"/>
  <c r="A1277" i="11"/>
  <c r="H1276" i="11"/>
  <c r="G1276" i="11"/>
  <c r="F1276" i="11"/>
  <c r="E1276" i="11"/>
  <c r="D1276" i="11"/>
  <c r="C1276" i="11"/>
  <c r="B1276" i="11"/>
  <c r="A1276" i="11"/>
  <c r="H1275" i="11"/>
  <c r="G1275" i="11"/>
  <c r="F1275" i="11"/>
  <c r="E1275" i="11"/>
  <c r="D1275" i="11"/>
  <c r="C1275" i="11"/>
  <c r="B1275" i="11"/>
  <c r="A1275" i="11"/>
  <c r="H1274" i="11"/>
  <c r="G1274" i="11"/>
  <c r="F1274" i="11"/>
  <c r="E1274" i="11"/>
  <c r="D1274" i="11"/>
  <c r="C1274" i="11"/>
  <c r="B1274" i="11"/>
  <c r="A1274" i="11"/>
  <c r="H1273" i="11"/>
  <c r="G1273" i="11"/>
  <c r="F1273" i="11"/>
  <c r="E1273" i="11"/>
  <c r="D1273" i="11"/>
  <c r="C1273" i="11"/>
  <c r="B1273" i="11"/>
  <c r="A1273" i="11"/>
  <c r="H1272" i="11"/>
  <c r="G1272" i="11"/>
  <c r="F1272" i="11"/>
  <c r="E1272" i="11"/>
  <c r="D1272" i="11"/>
  <c r="C1272" i="11"/>
  <c r="B1272" i="11"/>
  <c r="A1272" i="11"/>
  <c r="H1271" i="11"/>
  <c r="G1271" i="11"/>
  <c r="F1271" i="11"/>
  <c r="E1271" i="11"/>
  <c r="D1271" i="11"/>
  <c r="C1271" i="11"/>
  <c r="B1271" i="11"/>
  <c r="A1271" i="11"/>
  <c r="H1270" i="11"/>
  <c r="G1270" i="11"/>
  <c r="F1270" i="11"/>
  <c r="E1270" i="11"/>
  <c r="D1270" i="11"/>
  <c r="C1270" i="11"/>
  <c r="B1270" i="11"/>
  <c r="A1270" i="11"/>
  <c r="H1269" i="11"/>
  <c r="G1269" i="11"/>
  <c r="F1269" i="11"/>
  <c r="E1269" i="11"/>
  <c r="D1269" i="11"/>
  <c r="C1269" i="11"/>
  <c r="B1269" i="11"/>
  <c r="A1269" i="11"/>
  <c r="H1268" i="11"/>
  <c r="G1268" i="11"/>
  <c r="F1268" i="11"/>
  <c r="E1268" i="11"/>
  <c r="D1268" i="11"/>
  <c r="C1268" i="11"/>
  <c r="B1268" i="11"/>
  <c r="A1268" i="11"/>
  <c r="H1267" i="11"/>
  <c r="G1267" i="11"/>
  <c r="F1267" i="11"/>
  <c r="E1267" i="11"/>
  <c r="D1267" i="11"/>
  <c r="C1267" i="11"/>
  <c r="B1267" i="11"/>
  <c r="A1267" i="11"/>
  <c r="H1266" i="11"/>
  <c r="G1266" i="11"/>
  <c r="F1266" i="11"/>
  <c r="E1266" i="11"/>
  <c r="D1266" i="11"/>
  <c r="C1266" i="11"/>
  <c r="B1266" i="11"/>
  <c r="A1266" i="11"/>
  <c r="H1265" i="11"/>
  <c r="G1265" i="11"/>
  <c r="F1265" i="11"/>
  <c r="E1265" i="11"/>
  <c r="D1265" i="11"/>
  <c r="C1265" i="11"/>
  <c r="B1265" i="11"/>
  <c r="A1265" i="11"/>
  <c r="H1264" i="11"/>
  <c r="G1264" i="11"/>
  <c r="F1264" i="11"/>
  <c r="E1264" i="11"/>
  <c r="D1264" i="11"/>
  <c r="C1264" i="11"/>
  <c r="B1264" i="11"/>
  <c r="A1264" i="11"/>
  <c r="H1263" i="11"/>
  <c r="G1263" i="11"/>
  <c r="F1263" i="11"/>
  <c r="E1263" i="11"/>
  <c r="D1263" i="11"/>
  <c r="C1263" i="11"/>
  <c r="B1263" i="11"/>
  <c r="A1263" i="11"/>
  <c r="H1262" i="11"/>
  <c r="G1262" i="11"/>
  <c r="F1262" i="11"/>
  <c r="E1262" i="11"/>
  <c r="D1262" i="11"/>
  <c r="C1262" i="11"/>
  <c r="B1262" i="11"/>
  <c r="A1262" i="11"/>
  <c r="H1261" i="11"/>
  <c r="G1261" i="11"/>
  <c r="F1261" i="11"/>
  <c r="E1261" i="11"/>
  <c r="D1261" i="11"/>
  <c r="C1261" i="11"/>
  <c r="B1261" i="11"/>
  <c r="A1261" i="11"/>
  <c r="H1260" i="11"/>
  <c r="G1260" i="11"/>
  <c r="F1260" i="11"/>
  <c r="E1260" i="11"/>
  <c r="D1260" i="11"/>
  <c r="C1260" i="11"/>
  <c r="B1260" i="11"/>
  <c r="A1260" i="11"/>
  <c r="H1259" i="11"/>
  <c r="G1259" i="11"/>
  <c r="F1259" i="11"/>
  <c r="E1259" i="11"/>
  <c r="D1259" i="11"/>
  <c r="C1259" i="11"/>
  <c r="B1259" i="11"/>
  <c r="A1259" i="11"/>
  <c r="H1258" i="11"/>
  <c r="G1258" i="11"/>
  <c r="F1258" i="11"/>
  <c r="E1258" i="11"/>
  <c r="D1258" i="11"/>
  <c r="C1258" i="11"/>
  <c r="B1258" i="11"/>
  <c r="A1258" i="11"/>
  <c r="H1257" i="11"/>
  <c r="G1257" i="11"/>
  <c r="F1257" i="11"/>
  <c r="E1257" i="11"/>
  <c r="D1257" i="11"/>
  <c r="C1257" i="11"/>
  <c r="B1257" i="11"/>
  <c r="A1257" i="11"/>
  <c r="H1256" i="11"/>
  <c r="G1256" i="11"/>
  <c r="F1256" i="11"/>
  <c r="E1256" i="11"/>
  <c r="D1256" i="11"/>
  <c r="C1256" i="11"/>
  <c r="B1256" i="11"/>
  <c r="A1256" i="11"/>
  <c r="H1255" i="11"/>
  <c r="G1255" i="11"/>
  <c r="F1255" i="11"/>
  <c r="E1255" i="11"/>
  <c r="D1255" i="11"/>
  <c r="C1255" i="11"/>
  <c r="B1255" i="11"/>
  <c r="A1255" i="11"/>
  <c r="H1254" i="11"/>
  <c r="G1254" i="11"/>
  <c r="F1254" i="11"/>
  <c r="E1254" i="11"/>
  <c r="D1254" i="11"/>
  <c r="C1254" i="11"/>
  <c r="B1254" i="11"/>
  <c r="A1254" i="11"/>
  <c r="H1253" i="11"/>
  <c r="G1253" i="11"/>
  <c r="F1253" i="11"/>
  <c r="E1253" i="11"/>
  <c r="D1253" i="11"/>
  <c r="C1253" i="11"/>
  <c r="B1253" i="11"/>
  <c r="A1253" i="11"/>
  <c r="H1252" i="11"/>
  <c r="G1252" i="11"/>
  <c r="F1252" i="11"/>
  <c r="E1252" i="11"/>
  <c r="D1252" i="11"/>
  <c r="C1252" i="11"/>
  <c r="B1252" i="11"/>
  <c r="A1252" i="11"/>
  <c r="H1251" i="11"/>
  <c r="G1251" i="11"/>
  <c r="F1251" i="11"/>
  <c r="E1251" i="11"/>
  <c r="D1251" i="11"/>
  <c r="C1251" i="11"/>
  <c r="B1251" i="11"/>
  <c r="A1251" i="11"/>
  <c r="H1250" i="11"/>
  <c r="G1250" i="11"/>
  <c r="F1250" i="11"/>
  <c r="E1250" i="11"/>
  <c r="D1250" i="11"/>
  <c r="C1250" i="11"/>
  <c r="B1250" i="11"/>
  <c r="A1250" i="11"/>
  <c r="H1249" i="11"/>
  <c r="G1249" i="11"/>
  <c r="F1249" i="11"/>
  <c r="E1249" i="11"/>
  <c r="D1249" i="11"/>
  <c r="C1249" i="11"/>
  <c r="B1249" i="11"/>
  <c r="A1249" i="11"/>
  <c r="H1248" i="11"/>
  <c r="G1248" i="11"/>
  <c r="F1248" i="11"/>
  <c r="E1248" i="11"/>
  <c r="D1248" i="11"/>
  <c r="C1248" i="11"/>
  <c r="B1248" i="11"/>
  <c r="A1248" i="11"/>
  <c r="H1247" i="11"/>
  <c r="G1247" i="11"/>
  <c r="F1247" i="11"/>
  <c r="E1247" i="11"/>
  <c r="D1247" i="11"/>
  <c r="C1247" i="11"/>
  <c r="B1247" i="11"/>
  <c r="A1247" i="11"/>
  <c r="H1246" i="11"/>
  <c r="G1246" i="11"/>
  <c r="F1246" i="11"/>
  <c r="E1246" i="11"/>
  <c r="D1246" i="11"/>
  <c r="C1246" i="11"/>
  <c r="B1246" i="11"/>
  <c r="A1246" i="11"/>
  <c r="H1245" i="11"/>
  <c r="G1245" i="11"/>
  <c r="F1245" i="11"/>
  <c r="E1245" i="11"/>
  <c r="D1245" i="11"/>
  <c r="C1245" i="11"/>
  <c r="B1245" i="11"/>
  <c r="A1245" i="11"/>
  <c r="H1244" i="11"/>
  <c r="G1244" i="11"/>
  <c r="F1244" i="11"/>
  <c r="E1244" i="11"/>
  <c r="D1244" i="11"/>
  <c r="C1244" i="11"/>
  <c r="B1244" i="11"/>
  <c r="A1244" i="11"/>
  <c r="H1243" i="11"/>
  <c r="G1243" i="11"/>
  <c r="F1243" i="11"/>
  <c r="E1243" i="11"/>
  <c r="D1243" i="11"/>
  <c r="C1243" i="11"/>
  <c r="B1243" i="11"/>
  <c r="A1243" i="11"/>
  <c r="H1242" i="11"/>
  <c r="G1242" i="11"/>
  <c r="F1242" i="11"/>
  <c r="E1242" i="11"/>
  <c r="D1242" i="11"/>
  <c r="C1242" i="11"/>
  <c r="B1242" i="11"/>
  <c r="A1242" i="11"/>
  <c r="H1241" i="11"/>
  <c r="G1241" i="11"/>
  <c r="F1241" i="11"/>
  <c r="E1241" i="11"/>
  <c r="D1241" i="11"/>
  <c r="C1241" i="11"/>
  <c r="B1241" i="11"/>
  <c r="A1241" i="11"/>
  <c r="H1240" i="11"/>
  <c r="G1240" i="11"/>
  <c r="F1240" i="11"/>
  <c r="E1240" i="11"/>
  <c r="D1240" i="11"/>
  <c r="C1240" i="11"/>
  <c r="B1240" i="11"/>
  <c r="A1240" i="11"/>
  <c r="H1239" i="11"/>
  <c r="G1239" i="11"/>
  <c r="F1239" i="11"/>
  <c r="E1239" i="11"/>
  <c r="D1239" i="11"/>
  <c r="C1239" i="11"/>
  <c r="B1239" i="11"/>
  <c r="A1239" i="11"/>
  <c r="H1238" i="11"/>
  <c r="G1238" i="11"/>
  <c r="F1238" i="11"/>
  <c r="E1238" i="11"/>
  <c r="D1238" i="11"/>
  <c r="C1238" i="11"/>
  <c r="B1238" i="11"/>
  <c r="A1238" i="11"/>
  <c r="H1237" i="11"/>
  <c r="G1237" i="11"/>
  <c r="F1237" i="11"/>
  <c r="E1237" i="11"/>
  <c r="D1237" i="11"/>
  <c r="C1237" i="11"/>
  <c r="B1237" i="11"/>
  <c r="A1237" i="11"/>
  <c r="H1236" i="11"/>
  <c r="G1236" i="11"/>
  <c r="F1236" i="11"/>
  <c r="E1236" i="11"/>
  <c r="D1236" i="11"/>
  <c r="C1236" i="11"/>
  <c r="B1236" i="11"/>
  <c r="A1236" i="11"/>
  <c r="H1235" i="11"/>
  <c r="G1235" i="11"/>
  <c r="F1235" i="11"/>
  <c r="E1235" i="11"/>
  <c r="D1235" i="11"/>
  <c r="C1235" i="11"/>
  <c r="B1235" i="11"/>
  <c r="A1235" i="11"/>
  <c r="H1234" i="11"/>
  <c r="G1234" i="11"/>
  <c r="F1234" i="11"/>
  <c r="E1234" i="11"/>
  <c r="D1234" i="11"/>
  <c r="C1234" i="11"/>
  <c r="B1234" i="11"/>
  <c r="A1234" i="11"/>
  <c r="H1233" i="11"/>
  <c r="G1233" i="11"/>
  <c r="F1233" i="11"/>
  <c r="E1233" i="11"/>
  <c r="D1233" i="11"/>
  <c r="C1233" i="11"/>
  <c r="B1233" i="11"/>
  <c r="A1233" i="11"/>
  <c r="H1232" i="11"/>
  <c r="G1232" i="11"/>
  <c r="F1232" i="11"/>
  <c r="E1232" i="11"/>
  <c r="D1232" i="11"/>
  <c r="C1232" i="11"/>
  <c r="B1232" i="11"/>
  <c r="A1232" i="11"/>
  <c r="H1231" i="11"/>
  <c r="G1231" i="11"/>
  <c r="F1231" i="11"/>
  <c r="E1231" i="11"/>
  <c r="D1231" i="11"/>
  <c r="C1231" i="11"/>
  <c r="B1231" i="11"/>
  <c r="A1231" i="11"/>
  <c r="H1230" i="11"/>
  <c r="G1230" i="11"/>
  <c r="F1230" i="11"/>
  <c r="E1230" i="11"/>
  <c r="D1230" i="11"/>
  <c r="C1230" i="11"/>
  <c r="B1230" i="11"/>
  <c r="A1230" i="11"/>
  <c r="H1229" i="11"/>
  <c r="G1229" i="11"/>
  <c r="F1229" i="11"/>
  <c r="E1229" i="11"/>
  <c r="D1229" i="11"/>
  <c r="C1229" i="11"/>
  <c r="B1229" i="11"/>
  <c r="A1229" i="11"/>
  <c r="H1228" i="11"/>
  <c r="G1228" i="11"/>
  <c r="F1228" i="11"/>
  <c r="E1228" i="11"/>
  <c r="D1228" i="11"/>
  <c r="C1228" i="11"/>
  <c r="B1228" i="11"/>
  <c r="A1228" i="11"/>
  <c r="H1227" i="11"/>
  <c r="G1227" i="11"/>
  <c r="F1227" i="11"/>
  <c r="E1227" i="11"/>
  <c r="D1227" i="11"/>
  <c r="C1227" i="11"/>
  <c r="B1227" i="11"/>
  <c r="A1227" i="11"/>
  <c r="H1226" i="11"/>
  <c r="G1226" i="11"/>
  <c r="F1226" i="11"/>
  <c r="E1226" i="11"/>
  <c r="D1226" i="11"/>
  <c r="C1226" i="11"/>
  <c r="B1226" i="11"/>
  <c r="A1226" i="11"/>
  <c r="H1225" i="11"/>
  <c r="G1225" i="11"/>
  <c r="F1225" i="11"/>
  <c r="E1225" i="11"/>
  <c r="D1225" i="11"/>
  <c r="C1225" i="11"/>
  <c r="B1225" i="11"/>
  <c r="A1225" i="11"/>
  <c r="H1224" i="11"/>
  <c r="G1224" i="11"/>
  <c r="F1224" i="11"/>
  <c r="E1224" i="11"/>
  <c r="D1224" i="11"/>
  <c r="C1224" i="11"/>
  <c r="B1224" i="11"/>
  <c r="A1224" i="11"/>
  <c r="H1223" i="11"/>
  <c r="G1223" i="11"/>
  <c r="F1223" i="11"/>
  <c r="E1223" i="11"/>
  <c r="D1223" i="11"/>
  <c r="C1223" i="11"/>
  <c r="B1223" i="11"/>
  <c r="A1223" i="11"/>
  <c r="H1222" i="11"/>
  <c r="G1222" i="11"/>
  <c r="F1222" i="11"/>
  <c r="E1222" i="11"/>
  <c r="D1222" i="11"/>
  <c r="C1222" i="11"/>
  <c r="B1222" i="11"/>
  <c r="A1222" i="11"/>
  <c r="H1221" i="11"/>
  <c r="G1221" i="11"/>
  <c r="F1221" i="11"/>
  <c r="E1221" i="11"/>
  <c r="D1221" i="11"/>
  <c r="C1221" i="11"/>
  <c r="B1221" i="11"/>
  <c r="A1221" i="11"/>
  <c r="H1220" i="11"/>
  <c r="G1220" i="11"/>
  <c r="F1220" i="11"/>
  <c r="E1220" i="11"/>
  <c r="D1220" i="11"/>
  <c r="C1220" i="11"/>
  <c r="B1220" i="11"/>
  <c r="A1220" i="11"/>
  <c r="H1219" i="11"/>
  <c r="G1219" i="11"/>
  <c r="F1219" i="11"/>
  <c r="E1219" i="11"/>
  <c r="D1219" i="11"/>
  <c r="C1219" i="11"/>
  <c r="B1219" i="11"/>
  <c r="A1219" i="11"/>
  <c r="H1218" i="11"/>
  <c r="G1218" i="11"/>
  <c r="F1218" i="11"/>
  <c r="E1218" i="11"/>
  <c r="D1218" i="11"/>
  <c r="C1218" i="11"/>
  <c r="B1218" i="11"/>
  <c r="A1218" i="11"/>
  <c r="H1217" i="11"/>
  <c r="G1217" i="11"/>
  <c r="F1217" i="11"/>
  <c r="E1217" i="11"/>
  <c r="D1217" i="11"/>
  <c r="C1217" i="11"/>
  <c r="B1217" i="11"/>
  <c r="A1217" i="11"/>
  <c r="H1216" i="11"/>
  <c r="G1216" i="11"/>
  <c r="F1216" i="11"/>
  <c r="E1216" i="11"/>
  <c r="D1216" i="11"/>
  <c r="C1216" i="11"/>
  <c r="B1216" i="11"/>
  <c r="A1216" i="11"/>
  <c r="H1215" i="11"/>
  <c r="G1215" i="11"/>
  <c r="F1215" i="11"/>
  <c r="E1215" i="11"/>
  <c r="D1215" i="11"/>
  <c r="C1215" i="11"/>
  <c r="B1215" i="11"/>
  <c r="A1215" i="11"/>
  <c r="H1214" i="11"/>
  <c r="G1214" i="11"/>
  <c r="F1214" i="11"/>
  <c r="E1214" i="11"/>
  <c r="D1214" i="11"/>
  <c r="C1214" i="11"/>
  <c r="B1214" i="11"/>
  <c r="A1214" i="11"/>
  <c r="H1213" i="11"/>
  <c r="G1213" i="11"/>
  <c r="F1213" i="11"/>
  <c r="E1213" i="11"/>
  <c r="D1213" i="11"/>
  <c r="C1213" i="11"/>
  <c r="B1213" i="11"/>
  <c r="A1213" i="11"/>
  <c r="H1212" i="11"/>
  <c r="G1212" i="11"/>
  <c r="F1212" i="11"/>
  <c r="E1212" i="11"/>
  <c r="D1212" i="11"/>
  <c r="C1212" i="11"/>
  <c r="B1212" i="11"/>
  <c r="A1212" i="11"/>
  <c r="H1211" i="11"/>
  <c r="G1211" i="11"/>
  <c r="F1211" i="11"/>
  <c r="E1211" i="11"/>
  <c r="D1211" i="11"/>
  <c r="C1211" i="11"/>
  <c r="B1211" i="11"/>
  <c r="A1211" i="11"/>
  <c r="H1210" i="11"/>
  <c r="G1210" i="11"/>
  <c r="F1210" i="11"/>
  <c r="E1210" i="11"/>
  <c r="D1210" i="11"/>
  <c r="C1210" i="11"/>
  <c r="B1210" i="11"/>
  <c r="A1210" i="11"/>
  <c r="H1209" i="11"/>
  <c r="G1209" i="11"/>
  <c r="F1209" i="11"/>
  <c r="E1209" i="11"/>
  <c r="D1209" i="11"/>
  <c r="C1209" i="11"/>
  <c r="B1209" i="11"/>
  <c r="A1209" i="11"/>
  <c r="H1208" i="11"/>
  <c r="G1208" i="11"/>
  <c r="F1208" i="11"/>
  <c r="E1208" i="11"/>
  <c r="D1208" i="11"/>
  <c r="C1208" i="11"/>
  <c r="B1208" i="11"/>
  <c r="A1208" i="11"/>
  <c r="H1207" i="11"/>
  <c r="G1207" i="11"/>
  <c r="F1207" i="11"/>
  <c r="E1207" i="11"/>
  <c r="D1207" i="11"/>
  <c r="C1207" i="11"/>
  <c r="B1207" i="11"/>
  <c r="A1207" i="11"/>
  <c r="H1206" i="11"/>
  <c r="G1206" i="11"/>
  <c r="F1206" i="11"/>
  <c r="E1206" i="11"/>
  <c r="D1206" i="11"/>
  <c r="C1206" i="11"/>
  <c r="B1206" i="11"/>
  <c r="A1206" i="11"/>
  <c r="H1205" i="11"/>
  <c r="G1205" i="11"/>
  <c r="F1205" i="11"/>
  <c r="E1205" i="11"/>
  <c r="D1205" i="11"/>
  <c r="C1205" i="11"/>
  <c r="B1205" i="11"/>
  <c r="A1205" i="11"/>
  <c r="H1204" i="11"/>
  <c r="G1204" i="11"/>
  <c r="F1204" i="11"/>
  <c r="E1204" i="11"/>
  <c r="D1204" i="11"/>
  <c r="C1204" i="11"/>
  <c r="B1204" i="11"/>
  <c r="A1204" i="11"/>
  <c r="H1203" i="11"/>
  <c r="G1203" i="11"/>
  <c r="F1203" i="11"/>
  <c r="E1203" i="11"/>
  <c r="D1203" i="11"/>
  <c r="C1203" i="11"/>
  <c r="B1203" i="11"/>
  <c r="A1203" i="11"/>
  <c r="H1202" i="11"/>
  <c r="G1202" i="11"/>
  <c r="F1202" i="11"/>
  <c r="E1202" i="11"/>
  <c r="D1202" i="11"/>
  <c r="C1202" i="11"/>
  <c r="B1202" i="11"/>
  <c r="A1202" i="11"/>
  <c r="H1201" i="11"/>
  <c r="G1201" i="11"/>
  <c r="F1201" i="11"/>
  <c r="E1201" i="11"/>
  <c r="D1201" i="11"/>
  <c r="C1201" i="11"/>
  <c r="B1201" i="11"/>
  <c r="A1201" i="11"/>
  <c r="H1200" i="11"/>
  <c r="G1200" i="11"/>
  <c r="F1200" i="11"/>
  <c r="E1200" i="11"/>
  <c r="D1200" i="11"/>
  <c r="C1200" i="11"/>
  <c r="B1200" i="11"/>
  <c r="A1200" i="11"/>
  <c r="H1199" i="11"/>
  <c r="G1199" i="11"/>
  <c r="F1199" i="11"/>
  <c r="E1199" i="11"/>
  <c r="D1199" i="11"/>
  <c r="C1199" i="11"/>
  <c r="B1199" i="11"/>
  <c r="A1199" i="11"/>
  <c r="H1198" i="11"/>
  <c r="G1198" i="11"/>
  <c r="F1198" i="11"/>
  <c r="E1198" i="11"/>
  <c r="D1198" i="11"/>
  <c r="C1198" i="11"/>
  <c r="B1198" i="11"/>
  <c r="A1198" i="11"/>
  <c r="H1197" i="11"/>
  <c r="G1197" i="11"/>
  <c r="F1197" i="11"/>
  <c r="E1197" i="11"/>
  <c r="D1197" i="11"/>
  <c r="C1197" i="11"/>
  <c r="B1197" i="11"/>
  <c r="A1197" i="11"/>
  <c r="H1196" i="11"/>
  <c r="G1196" i="11"/>
  <c r="F1196" i="11"/>
  <c r="E1196" i="11"/>
  <c r="D1196" i="11"/>
  <c r="C1196" i="11"/>
  <c r="B1196" i="11"/>
  <c r="A1196" i="11"/>
  <c r="H1195" i="11"/>
  <c r="G1195" i="11"/>
  <c r="F1195" i="11"/>
  <c r="E1195" i="11"/>
  <c r="D1195" i="11"/>
  <c r="C1195" i="11"/>
  <c r="B1195" i="11"/>
  <c r="A1195" i="11"/>
  <c r="H1194" i="11"/>
  <c r="G1194" i="11"/>
  <c r="F1194" i="11"/>
  <c r="E1194" i="11"/>
  <c r="D1194" i="11"/>
  <c r="C1194" i="11"/>
  <c r="B1194" i="11"/>
  <c r="A1194" i="11"/>
  <c r="H1193" i="11"/>
  <c r="G1193" i="11"/>
  <c r="F1193" i="11"/>
  <c r="E1193" i="11"/>
  <c r="D1193" i="11"/>
  <c r="C1193" i="11"/>
  <c r="B1193" i="11"/>
  <c r="A1193" i="11"/>
  <c r="H1192" i="11"/>
  <c r="G1192" i="11"/>
  <c r="F1192" i="11"/>
  <c r="E1192" i="11"/>
  <c r="D1192" i="11"/>
  <c r="C1192" i="11"/>
  <c r="B1192" i="11"/>
  <c r="A1192" i="11"/>
  <c r="H1191" i="11"/>
  <c r="G1191" i="11"/>
  <c r="F1191" i="11"/>
  <c r="E1191" i="11"/>
  <c r="D1191" i="11"/>
  <c r="C1191" i="11"/>
  <c r="B1191" i="11"/>
  <c r="A1191" i="11"/>
  <c r="H1190" i="11"/>
  <c r="G1190" i="11"/>
  <c r="F1190" i="11"/>
  <c r="E1190" i="11"/>
  <c r="D1190" i="11"/>
  <c r="C1190" i="11"/>
  <c r="B1190" i="11"/>
  <c r="A1190" i="11"/>
  <c r="H1189" i="11"/>
  <c r="G1189" i="11"/>
  <c r="F1189" i="11"/>
  <c r="E1189" i="11"/>
  <c r="D1189" i="11"/>
  <c r="C1189" i="11"/>
  <c r="B1189" i="11"/>
  <c r="A1189" i="11"/>
  <c r="H1188" i="11"/>
  <c r="G1188" i="11"/>
  <c r="F1188" i="11"/>
  <c r="E1188" i="11"/>
  <c r="D1188" i="11"/>
  <c r="C1188" i="11"/>
  <c r="B1188" i="11"/>
  <c r="A1188" i="11"/>
  <c r="H1187" i="11"/>
  <c r="G1187" i="11"/>
  <c r="F1187" i="11"/>
  <c r="E1187" i="11"/>
  <c r="D1187" i="11"/>
  <c r="C1187" i="11"/>
  <c r="B1187" i="11"/>
  <c r="A1187" i="11"/>
  <c r="H1186" i="11"/>
  <c r="G1186" i="11"/>
  <c r="F1186" i="11"/>
  <c r="E1186" i="11"/>
  <c r="D1186" i="11"/>
  <c r="C1186" i="11"/>
  <c r="B1186" i="11"/>
  <c r="A1186" i="11"/>
  <c r="H1185" i="11"/>
  <c r="G1185" i="11"/>
  <c r="F1185" i="11"/>
  <c r="E1185" i="11"/>
  <c r="D1185" i="11"/>
  <c r="C1185" i="11"/>
  <c r="B1185" i="11"/>
  <c r="A1185" i="11"/>
  <c r="H1184" i="11"/>
  <c r="G1184" i="11"/>
  <c r="F1184" i="11"/>
  <c r="E1184" i="11"/>
  <c r="D1184" i="11"/>
  <c r="C1184" i="11"/>
  <c r="B1184" i="11"/>
  <c r="A1184" i="11"/>
  <c r="H1183" i="11"/>
  <c r="G1183" i="11"/>
  <c r="F1183" i="11"/>
  <c r="E1183" i="11"/>
  <c r="D1183" i="11"/>
  <c r="C1183" i="11"/>
  <c r="B1183" i="11"/>
  <c r="A1183" i="11"/>
  <c r="H1182" i="11"/>
  <c r="G1182" i="11"/>
  <c r="F1182" i="11"/>
  <c r="E1182" i="11"/>
  <c r="D1182" i="11"/>
  <c r="C1182" i="11"/>
  <c r="B1182" i="11"/>
  <c r="A1182" i="11"/>
  <c r="H1181" i="11"/>
  <c r="G1181" i="11"/>
  <c r="F1181" i="11"/>
  <c r="E1181" i="11"/>
  <c r="D1181" i="11"/>
  <c r="C1181" i="11"/>
  <c r="B1181" i="11"/>
  <c r="A1181" i="11"/>
  <c r="H1180" i="11"/>
  <c r="G1180" i="11"/>
  <c r="F1180" i="11"/>
  <c r="E1180" i="11"/>
  <c r="D1180" i="11"/>
  <c r="C1180" i="11"/>
  <c r="B1180" i="11"/>
  <c r="A1180" i="11"/>
  <c r="H1179" i="11"/>
  <c r="G1179" i="11"/>
  <c r="F1179" i="11"/>
  <c r="E1179" i="11"/>
  <c r="D1179" i="11"/>
  <c r="C1179" i="11"/>
  <c r="B1179" i="11"/>
  <c r="A1179" i="11"/>
  <c r="H1178" i="11"/>
  <c r="G1178" i="11"/>
  <c r="F1178" i="11"/>
  <c r="E1178" i="11"/>
  <c r="D1178" i="11"/>
  <c r="C1178" i="11"/>
  <c r="B1178" i="11"/>
  <c r="A1178" i="11"/>
  <c r="H1177" i="11"/>
  <c r="G1177" i="11"/>
  <c r="F1177" i="11"/>
  <c r="E1177" i="11"/>
  <c r="D1177" i="11"/>
  <c r="C1177" i="11"/>
  <c r="B1177" i="11"/>
  <c r="A1177" i="11"/>
  <c r="H1176" i="11"/>
  <c r="G1176" i="11"/>
  <c r="F1176" i="11"/>
  <c r="E1176" i="11"/>
  <c r="D1176" i="11"/>
  <c r="C1176" i="11"/>
  <c r="B1176" i="11"/>
  <c r="A1176" i="11"/>
  <c r="H1175" i="11"/>
  <c r="G1175" i="11"/>
  <c r="F1175" i="11"/>
  <c r="E1175" i="11"/>
  <c r="D1175" i="11"/>
  <c r="C1175" i="11"/>
  <c r="B1175" i="11"/>
  <c r="A1175" i="11"/>
  <c r="H1174" i="11"/>
  <c r="G1174" i="11"/>
  <c r="F1174" i="11"/>
  <c r="E1174" i="11"/>
  <c r="D1174" i="11"/>
  <c r="C1174" i="11"/>
  <c r="B1174" i="11"/>
  <c r="A1174" i="11"/>
  <c r="H1173" i="11"/>
  <c r="G1173" i="11"/>
  <c r="F1173" i="11"/>
  <c r="E1173" i="11"/>
  <c r="D1173" i="11"/>
  <c r="C1173" i="11"/>
  <c r="B1173" i="11"/>
  <c r="A1173" i="11"/>
  <c r="H1172" i="11"/>
  <c r="G1172" i="11"/>
  <c r="F1172" i="11"/>
  <c r="E1172" i="11"/>
  <c r="D1172" i="11"/>
  <c r="C1172" i="11"/>
  <c r="B1172" i="11"/>
  <c r="A1172" i="11"/>
  <c r="H1171" i="11"/>
  <c r="G1171" i="11"/>
  <c r="F1171" i="11"/>
  <c r="E1171" i="11"/>
  <c r="D1171" i="11"/>
  <c r="C1171" i="11"/>
  <c r="B1171" i="11"/>
  <c r="A1171" i="11"/>
  <c r="H1170" i="11"/>
  <c r="G1170" i="11"/>
  <c r="F1170" i="11"/>
  <c r="E1170" i="11"/>
  <c r="D1170" i="11"/>
  <c r="C1170" i="11"/>
  <c r="B1170" i="11"/>
  <c r="A1170" i="11"/>
  <c r="H1169" i="11"/>
  <c r="G1169" i="11"/>
  <c r="F1169" i="11"/>
  <c r="E1169" i="11"/>
  <c r="D1169" i="11"/>
  <c r="C1169" i="11"/>
  <c r="B1169" i="11"/>
  <c r="A1169" i="11"/>
  <c r="H1168" i="11"/>
  <c r="G1168" i="11"/>
  <c r="F1168" i="11"/>
  <c r="E1168" i="11"/>
  <c r="D1168" i="11"/>
  <c r="C1168" i="11"/>
  <c r="B1168" i="11"/>
  <c r="A1168" i="11"/>
  <c r="H1167" i="11"/>
  <c r="G1167" i="11"/>
  <c r="F1167" i="11"/>
  <c r="E1167" i="11"/>
  <c r="D1167" i="11"/>
  <c r="C1167" i="11"/>
  <c r="B1167" i="11"/>
  <c r="A1167" i="11"/>
  <c r="H1166" i="11"/>
  <c r="G1166" i="11"/>
  <c r="F1166" i="11"/>
  <c r="E1166" i="11"/>
  <c r="D1166" i="11"/>
  <c r="C1166" i="11"/>
  <c r="B1166" i="11"/>
  <c r="A1166" i="11"/>
  <c r="H1165" i="11"/>
  <c r="G1165" i="11"/>
  <c r="F1165" i="11"/>
  <c r="E1165" i="11"/>
  <c r="D1165" i="11"/>
  <c r="C1165" i="11"/>
  <c r="B1165" i="11"/>
  <c r="A1165" i="11"/>
  <c r="H1164" i="11"/>
  <c r="G1164" i="11"/>
  <c r="F1164" i="11"/>
  <c r="E1164" i="11"/>
  <c r="D1164" i="11"/>
  <c r="C1164" i="11"/>
  <c r="B1164" i="11"/>
  <c r="A1164" i="11"/>
  <c r="H1163" i="11"/>
  <c r="G1163" i="11"/>
  <c r="F1163" i="11"/>
  <c r="E1163" i="11"/>
  <c r="D1163" i="11"/>
  <c r="C1163" i="11"/>
  <c r="B1163" i="11"/>
  <c r="A1163" i="11"/>
  <c r="H1162" i="11"/>
  <c r="G1162" i="11"/>
  <c r="F1162" i="11"/>
  <c r="E1162" i="11"/>
  <c r="D1162" i="11"/>
  <c r="C1162" i="11"/>
  <c r="B1162" i="11"/>
  <c r="A1162" i="11"/>
  <c r="H1161" i="11"/>
  <c r="G1161" i="11"/>
  <c r="F1161" i="11"/>
  <c r="E1161" i="11"/>
  <c r="D1161" i="11"/>
  <c r="C1161" i="11"/>
  <c r="B1161" i="11"/>
  <c r="A1161" i="11"/>
  <c r="H1160" i="11"/>
  <c r="G1160" i="11"/>
  <c r="F1160" i="11"/>
  <c r="E1160" i="11"/>
  <c r="D1160" i="11"/>
  <c r="C1160" i="11"/>
  <c r="B1160" i="11"/>
  <c r="A1160" i="11"/>
  <c r="H1159" i="11"/>
  <c r="G1159" i="11"/>
  <c r="F1159" i="11"/>
  <c r="E1159" i="11"/>
  <c r="D1159" i="11"/>
  <c r="C1159" i="11"/>
  <c r="B1159" i="11"/>
  <c r="A1159" i="11"/>
  <c r="H1158" i="11"/>
  <c r="G1158" i="11"/>
  <c r="F1158" i="11"/>
  <c r="E1158" i="11"/>
  <c r="D1158" i="11"/>
  <c r="C1158" i="11"/>
  <c r="B1158" i="11"/>
  <c r="A1158" i="11"/>
  <c r="H1157" i="11"/>
  <c r="G1157" i="11"/>
  <c r="F1157" i="11"/>
  <c r="E1157" i="11"/>
  <c r="D1157" i="11"/>
  <c r="C1157" i="11"/>
  <c r="B1157" i="11"/>
  <c r="A1157" i="11"/>
  <c r="H1156" i="11"/>
  <c r="G1156" i="11"/>
  <c r="F1156" i="11"/>
  <c r="E1156" i="11"/>
  <c r="D1156" i="11"/>
  <c r="C1156" i="11"/>
  <c r="B1156" i="11"/>
  <c r="A1156" i="11"/>
  <c r="H1155" i="11"/>
  <c r="G1155" i="11"/>
  <c r="F1155" i="11"/>
  <c r="E1155" i="11"/>
  <c r="D1155" i="11"/>
  <c r="C1155" i="11"/>
  <c r="B1155" i="11"/>
  <c r="A1155" i="11"/>
  <c r="H1154" i="11"/>
  <c r="G1154" i="11"/>
  <c r="F1154" i="11"/>
  <c r="E1154" i="11"/>
  <c r="D1154" i="11"/>
  <c r="C1154" i="11"/>
  <c r="B1154" i="11"/>
  <c r="A1154" i="11"/>
  <c r="H1153" i="11"/>
  <c r="G1153" i="11"/>
  <c r="F1153" i="11"/>
  <c r="E1153" i="11"/>
  <c r="D1153" i="11"/>
  <c r="C1153" i="11"/>
  <c r="B1153" i="11"/>
  <c r="A1153" i="11"/>
  <c r="H1152" i="11"/>
  <c r="G1152" i="11"/>
  <c r="F1152" i="11"/>
  <c r="E1152" i="11"/>
  <c r="D1152" i="11"/>
  <c r="C1152" i="11"/>
  <c r="B1152" i="11"/>
  <c r="A1152" i="11"/>
  <c r="H1151" i="11"/>
  <c r="G1151" i="11"/>
  <c r="F1151" i="11"/>
  <c r="E1151" i="11"/>
  <c r="D1151" i="11"/>
  <c r="C1151" i="11"/>
  <c r="B1151" i="11"/>
  <c r="A1151" i="11"/>
  <c r="H1150" i="11"/>
  <c r="G1150" i="11"/>
  <c r="F1150" i="11"/>
  <c r="E1150" i="11"/>
  <c r="D1150" i="11"/>
  <c r="C1150" i="11"/>
  <c r="B1150" i="11"/>
  <c r="A1150" i="11"/>
  <c r="H1149" i="11"/>
  <c r="G1149" i="11"/>
  <c r="F1149" i="11"/>
  <c r="E1149" i="11"/>
  <c r="D1149" i="11"/>
  <c r="C1149" i="11"/>
  <c r="B1149" i="11"/>
  <c r="A1149" i="11"/>
  <c r="H1148" i="11"/>
  <c r="G1148" i="11"/>
  <c r="F1148" i="11"/>
  <c r="E1148" i="11"/>
  <c r="D1148" i="11"/>
  <c r="C1148" i="11"/>
  <c r="B1148" i="11"/>
  <c r="A1148" i="11"/>
  <c r="H1147" i="11"/>
  <c r="G1147" i="11"/>
  <c r="F1147" i="11"/>
  <c r="E1147" i="11"/>
  <c r="D1147" i="11"/>
  <c r="C1147" i="11"/>
  <c r="B1147" i="11"/>
  <c r="A1147" i="11"/>
  <c r="H1146" i="11"/>
  <c r="G1146" i="11"/>
  <c r="F1146" i="11"/>
  <c r="E1146" i="11"/>
  <c r="D1146" i="11"/>
  <c r="C1146" i="11"/>
  <c r="B1146" i="11"/>
  <c r="A1146" i="11"/>
  <c r="H1145" i="11"/>
  <c r="G1145" i="11"/>
  <c r="F1145" i="11"/>
  <c r="E1145" i="11"/>
  <c r="D1145" i="11"/>
  <c r="C1145" i="11"/>
  <c r="B1145" i="11"/>
  <c r="A1145" i="11"/>
  <c r="H1144" i="11"/>
  <c r="G1144" i="11"/>
  <c r="F1144" i="11"/>
  <c r="E1144" i="11"/>
  <c r="D1144" i="11"/>
  <c r="C1144" i="11"/>
  <c r="B1144" i="11"/>
  <c r="A1144" i="11"/>
  <c r="H1143" i="11"/>
  <c r="G1143" i="11"/>
  <c r="F1143" i="11"/>
  <c r="E1143" i="11"/>
  <c r="D1143" i="11"/>
  <c r="C1143" i="11"/>
  <c r="B1143" i="11"/>
  <c r="A1143" i="11"/>
  <c r="H1142" i="11"/>
  <c r="G1142" i="11"/>
  <c r="F1142" i="11"/>
  <c r="E1142" i="11"/>
  <c r="D1142" i="11"/>
  <c r="C1142" i="11"/>
  <c r="B1142" i="11"/>
  <c r="A1142" i="11"/>
  <c r="H1141" i="11"/>
  <c r="G1141" i="11"/>
  <c r="F1141" i="11"/>
  <c r="E1141" i="11"/>
  <c r="D1141" i="11"/>
  <c r="C1141" i="11"/>
  <c r="B1141" i="11"/>
  <c r="A1141" i="11"/>
  <c r="H1140" i="11"/>
  <c r="G1140" i="11"/>
  <c r="F1140" i="11"/>
  <c r="E1140" i="11"/>
  <c r="D1140" i="11"/>
  <c r="C1140" i="11"/>
  <c r="B1140" i="11"/>
  <c r="A1140" i="11"/>
  <c r="H1139" i="11"/>
  <c r="G1139" i="11"/>
  <c r="F1139" i="11"/>
  <c r="E1139" i="11"/>
  <c r="D1139" i="11"/>
  <c r="C1139" i="11"/>
  <c r="B1139" i="11"/>
  <c r="A1139" i="11"/>
  <c r="H1138" i="11"/>
  <c r="G1138" i="11"/>
  <c r="F1138" i="11"/>
  <c r="E1138" i="11"/>
  <c r="D1138" i="11"/>
  <c r="C1138" i="11"/>
  <c r="B1138" i="11"/>
  <c r="A1138" i="11"/>
  <c r="H1137" i="11"/>
  <c r="G1137" i="11"/>
  <c r="F1137" i="11"/>
  <c r="E1137" i="11"/>
  <c r="D1137" i="11"/>
  <c r="C1137" i="11"/>
  <c r="B1137" i="11"/>
  <c r="A1137" i="11"/>
  <c r="H1136" i="11"/>
  <c r="G1136" i="11"/>
  <c r="F1136" i="11"/>
  <c r="E1136" i="11"/>
  <c r="D1136" i="11"/>
  <c r="C1136" i="11"/>
  <c r="B1136" i="11"/>
  <c r="A1136" i="11"/>
  <c r="H1135" i="11"/>
  <c r="G1135" i="11"/>
  <c r="F1135" i="11"/>
  <c r="E1135" i="11"/>
  <c r="D1135" i="11"/>
  <c r="C1135" i="11"/>
  <c r="B1135" i="11"/>
  <c r="A1135" i="11"/>
  <c r="H1134" i="11"/>
  <c r="G1134" i="11"/>
  <c r="F1134" i="11"/>
  <c r="E1134" i="11"/>
  <c r="D1134" i="11"/>
  <c r="C1134" i="11"/>
  <c r="B1134" i="11"/>
  <c r="A1134" i="11"/>
  <c r="H1133" i="11"/>
  <c r="G1133" i="11"/>
  <c r="F1133" i="11"/>
  <c r="E1133" i="11"/>
  <c r="D1133" i="11"/>
  <c r="C1133" i="11"/>
  <c r="B1133" i="11"/>
  <c r="A1133" i="11"/>
  <c r="H1132" i="11"/>
  <c r="G1132" i="11"/>
  <c r="F1132" i="11"/>
  <c r="E1132" i="11"/>
  <c r="D1132" i="11"/>
  <c r="C1132" i="11"/>
  <c r="B1132" i="11"/>
  <c r="A1132" i="11"/>
  <c r="H1131" i="11"/>
  <c r="G1131" i="11"/>
  <c r="F1131" i="11"/>
  <c r="E1131" i="11"/>
  <c r="D1131" i="11"/>
  <c r="C1131" i="11"/>
  <c r="B1131" i="11"/>
  <c r="A1131" i="11"/>
  <c r="H1130" i="11"/>
  <c r="G1130" i="11"/>
  <c r="F1130" i="11"/>
  <c r="E1130" i="11"/>
  <c r="D1130" i="11"/>
  <c r="C1130" i="11"/>
  <c r="B1130" i="11"/>
  <c r="A1130" i="11"/>
  <c r="H1129" i="11"/>
  <c r="G1129" i="11"/>
  <c r="F1129" i="11"/>
  <c r="E1129" i="11"/>
  <c r="D1129" i="11"/>
  <c r="C1129" i="11"/>
  <c r="B1129" i="11"/>
  <c r="A1129" i="11"/>
  <c r="H1128" i="11"/>
  <c r="G1128" i="11"/>
  <c r="F1128" i="11"/>
  <c r="E1128" i="11"/>
  <c r="D1128" i="11"/>
  <c r="C1128" i="11"/>
  <c r="B1128" i="11"/>
  <c r="A1128" i="11"/>
  <c r="H1127" i="11"/>
  <c r="G1127" i="11"/>
  <c r="F1127" i="11"/>
  <c r="E1127" i="11"/>
  <c r="D1127" i="11"/>
  <c r="C1127" i="11"/>
  <c r="B1127" i="11"/>
  <c r="A1127" i="11"/>
  <c r="H1126" i="11"/>
  <c r="G1126" i="11"/>
  <c r="F1126" i="11"/>
  <c r="E1126" i="11"/>
  <c r="D1126" i="11"/>
  <c r="C1126" i="11"/>
  <c r="B1126" i="11"/>
  <c r="A1126" i="11"/>
  <c r="H1125" i="11"/>
  <c r="G1125" i="11"/>
  <c r="F1125" i="11"/>
  <c r="E1125" i="11"/>
  <c r="D1125" i="11"/>
  <c r="C1125" i="11"/>
  <c r="B1125" i="11"/>
  <c r="A1125" i="11"/>
  <c r="H1124" i="11"/>
  <c r="G1124" i="11"/>
  <c r="F1124" i="11"/>
  <c r="E1124" i="11"/>
  <c r="D1124" i="11"/>
  <c r="C1124" i="11"/>
  <c r="B1124" i="11"/>
  <c r="A1124" i="11"/>
  <c r="H1123" i="11"/>
  <c r="G1123" i="11"/>
  <c r="F1123" i="11"/>
  <c r="E1123" i="11"/>
  <c r="D1123" i="11"/>
  <c r="C1123" i="11"/>
  <c r="B1123" i="11"/>
  <c r="A1123" i="11"/>
  <c r="H1122" i="11"/>
  <c r="G1122" i="11"/>
  <c r="F1122" i="11"/>
  <c r="E1122" i="11"/>
  <c r="D1122" i="11"/>
  <c r="C1122" i="11"/>
  <c r="B1122" i="11"/>
  <c r="A1122" i="11"/>
  <c r="H1121" i="11"/>
  <c r="G1121" i="11"/>
  <c r="F1121" i="11"/>
  <c r="E1121" i="11"/>
  <c r="D1121" i="11"/>
  <c r="C1121" i="11"/>
  <c r="B1121" i="11"/>
  <c r="A1121" i="11"/>
  <c r="H1120" i="11"/>
  <c r="G1120" i="11"/>
  <c r="F1120" i="11"/>
  <c r="E1120" i="11"/>
  <c r="D1120" i="11"/>
  <c r="C1120" i="11"/>
  <c r="B1120" i="11"/>
  <c r="A1120" i="11"/>
  <c r="H1119" i="11"/>
  <c r="G1119" i="11"/>
  <c r="F1119" i="11"/>
  <c r="E1119" i="11"/>
  <c r="D1119" i="11"/>
  <c r="C1119" i="11"/>
  <c r="B1119" i="11"/>
  <c r="A1119" i="11"/>
  <c r="H1118" i="11"/>
  <c r="G1118" i="11"/>
  <c r="F1118" i="11"/>
  <c r="E1118" i="11"/>
  <c r="D1118" i="11"/>
  <c r="C1118" i="11"/>
  <c r="B1118" i="11"/>
  <c r="A1118" i="11"/>
  <c r="H1117" i="11"/>
  <c r="G1117" i="11"/>
  <c r="F1117" i="11"/>
  <c r="E1117" i="11"/>
  <c r="D1117" i="11"/>
  <c r="C1117" i="11"/>
  <c r="B1117" i="11"/>
  <c r="A1117" i="11"/>
  <c r="H1116" i="11"/>
  <c r="G1116" i="11"/>
  <c r="F1116" i="11"/>
  <c r="E1116" i="11"/>
  <c r="D1116" i="11"/>
  <c r="C1116" i="11"/>
  <c r="B1116" i="11"/>
  <c r="A1116" i="11"/>
  <c r="H1115" i="11"/>
  <c r="G1115" i="11"/>
  <c r="F1115" i="11"/>
  <c r="E1115" i="11"/>
  <c r="D1115" i="11"/>
  <c r="C1115" i="11"/>
  <c r="B1115" i="11"/>
  <c r="A1115" i="11"/>
  <c r="H1114" i="11"/>
  <c r="G1114" i="11"/>
  <c r="F1114" i="11"/>
  <c r="E1114" i="11"/>
  <c r="D1114" i="11"/>
  <c r="C1114" i="11"/>
  <c r="B1114" i="11"/>
  <c r="A1114" i="11"/>
  <c r="H1113" i="11"/>
  <c r="G1113" i="11"/>
  <c r="F1113" i="11"/>
  <c r="E1113" i="11"/>
  <c r="D1113" i="11"/>
  <c r="C1113" i="11"/>
  <c r="B1113" i="11"/>
  <c r="A1113" i="11"/>
  <c r="H1112" i="11"/>
  <c r="G1112" i="11"/>
  <c r="F1112" i="11"/>
  <c r="E1112" i="11"/>
  <c r="D1112" i="11"/>
  <c r="C1112" i="11"/>
  <c r="B1112" i="11"/>
  <c r="A1112" i="11"/>
  <c r="H1111" i="11"/>
  <c r="G1111" i="11"/>
  <c r="F1111" i="11"/>
  <c r="E1111" i="11"/>
  <c r="D1111" i="11"/>
  <c r="C1111" i="11"/>
  <c r="B1111" i="11"/>
  <c r="A1111" i="11"/>
  <c r="H1110" i="11"/>
  <c r="G1110" i="11"/>
  <c r="F1110" i="11"/>
  <c r="E1110" i="11"/>
  <c r="D1110" i="11"/>
  <c r="C1110" i="11"/>
  <c r="B1110" i="11"/>
  <c r="A1110" i="11"/>
  <c r="H1109" i="11"/>
  <c r="G1109" i="11"/>
  <c r="F1109" i="11"/>
  <c r="E1109" i="11"/>
  <c r="D1109" i="11"/>
  <c r="C1109" i="11"/>
  <c r="B1109" i="11"/>
  <c r="A1109" i="11"/>
  <c r="H1108" i="11"/>
  <c r="G1108" i="11"/>
  <c r="F1108" i="11"/>
  <c r="E1108" i="11"/>
  <c r="D1108" i="11"/>
  <c r="C1108" i="11"/>
  <c r="B1108" i="11"/>
  <c r="A1108" i="11"/>
  <c r="H1107" i="11"/>
  <c r="G1107" i="11"/>
  <c r="F1107" i="11"/>
  <c r="E1107" i="11"/>
  <c r="D1107" i="11"/>
  <c r="C1107" i="11"/>
  <c r="B1107" i="11"/>
  <c r="A1107" i="11"/>
  <c r="H1106" i="11"/>
  <c r="G1106" i="11"/>
  <c r="F1106" i="11"/>
  <c r="E1106" i="11"/>
  <c r="D1106" i="11"/>
  <c r="C1106" i="11"/>
  <c r="B1106" i="11"/>
  <c r="A1106" i="11"/>
  <c r="H1105" i="11"/>
  <c r="G1105" i="11"/>
  <c r="F1105" i="11"/>
  <c r="E1105" i="11"/>
  <c r="D1105" i="11"/>
  <c r="C1105" i="11"/>
  <c r="B1105" i="11"/>
  <c r="A1105" i="11"/>
  <c r="H1104" i="11"/>
  <c r="G1104" i="11"/>
  <c r="F1104" i="11"/>
  <c r="E1104" i="11"/>
  <c r="D1104" i="11"/>
  <c r="C1104" i="11"/>
  <c r="B1104" i="11"/>
  <c r="A1104" i="11"/>
  <c r="H1103" i="11"/>
  <c r="G1103" i="11"/>
  <c r="F1103" i="11"/>
  <c r="E1103" i="11"/>
  <c r="D1103" i="11"/>
  <c r="C1103" i="11"/>
  <c r="B1103" i="11"/>
  <c r="A1103" i="11"/>
  <c r="H1102" i="11"/>
  <c r="G1102" i="11"/>
  <c r="F1102" i="11"/>
  <c r="E1102" i="11"/>
  <c r="D1102" i="11"/>
  <c r="C1102" i="11"/>
  <c r="B1102" i="11"/>
  <c r="A1102" i="11"/>
  <c r="H1101" i="11"/>
  <c r="G1101" i="11"/>
  <c r="F1101" i="11"/>
  <c r="E1101" i="11"/>
  <c r="D1101" i="11"/>
  <c r="C1101" i="11"/>
  <c r="B1101" i="11"/>
  <c r="A1101" i="11"/>
  <c r="H1100" i="11"/>
  <c r="G1100" i="11"/>
  <c r="F1100" i="11"/>
  <c r="E1100" i="11"/>
  <c r="D1100" i="11"/>
  <c r="C1100" i="11"/>
  <c r="B1100" i="11"/>
  <c r="A1100" i="11"/>
  <c r="H1099" i="11"/>
  <c r="G1099" i="11"/>
  <c r="F1099" i="11"/>
  <c r="E1099" i="11"/>
  <c r="D1099" i="11"/>
  <c r="C1099" i="11"/>
  <c r="B1099" i="11"/>
  <c r="A1099" i="11"/>
  <c r="H1098" i="11"/>
  <c r="G1098" i="11"/>
  <c r="F1098" i="11"/>
  <c r="E1098" i="11"/>
  <c r="D1098" i="11"/>
  <c r="C1098" i="11"/>
  <c r="B1098" i="11"/>
  <c r="A1098" i="11"/>
  <c r="H1097" i="11"/>
  <c r="G1097" i="11"/>
  <c r="F1097" i="11"/>
  <c r="E1097" i="11"/>
  <c r="D1097" i="11"/>
  <c r="C1097" i="11"/>
  <c r="B1097" i="11"/>
  <c r="A1097" i="11"/>
  <c r="H1096" i="11"/>
  <c r="G1096" i="11"/>
  <c r="F1096" i="11"/>
  <c r="E1096" i="11"/>
  <c r="D1096" i="11"/>
  <c r="C1096" i="11"/>
  <c r="B1096" i="11"/>
  <c r="A1096" i="11"/>
  <c r="H1095" i="11"/>
  <c r="G1095" i="11"/>
  <c r="F1095" i="11"/>
  <c r="E1095" i="11"/>
  <c r="D1095" i="11"/>
  <c r="C1095" i="11"/>
  <c r="B1095" i="11"/>
  <c r="A1095" i="11"/>
  <c r="H1094" i="11"/>
  <c r="G1094" i="11"/>
  <c r="F1094" i="11"/>
  <c r="E1094" i="11"/>
  <c r="D1094" i="11"/>
  <c r="C1094" i="11"/>
  <c r="B1094" i="11"/>
  <c r="A1094" i="11"/>
  <c r="H1093" i="11"/>
  <c r="G1093" i="11"/>
  <c r="F1093" i="11"/>
  <c r="E1093" i="11"/>
  <c r="D1093" i="11"/>
  <c r="C1093" i="11"/>
  <c r="B1093" i="11"/>
  <c r="A1093" i="11"/>
  <c r="H1092" i="11"/>
  <c r="G1092" i="11"/>
  <c r="F1092" i="11"/>
  <c r="E1092" i="11"/>
  <c r="D1092" i="11"/>
  <c r="C1092" i="11"/>
  <c r="B1092" i="11"/>
  <c r="A1092" i="11"/>
  <c r="H1091" i="11"/>
  <c r="G1091" i="11"/>
  <c r="F1091" i="11"/>
  <c r="E1091" i="11"/>
  <c r="D1091" i="11"/>
  <c r="C1091" i="11"/>
  <c r="B1091" i="11"/>
  <c r="A1091" i="11"/>
  <c r="H1090" i="11"/>
  <c r="G1090" i="11"/>
  <c r="F1090" i="11"/>
  <c r="E1090" i="11"/>
  <c r="D1090" i="11"/>
  <c r="C1090" i="11"/>
  <c r="B1090" i="11"/>
  <c r="A1090" i="11"/>
  <c r="H1089" i="11"/>
  <c r="G1089" i="11"/>
  <c r="F1089" i="11"/>
  <c r="E1089" i="11"/>
  <c r="D1089" i="11"/>
  <c r="C1089" i="11"/>
  <c r="B1089" i="11"/>
  <c r="A1089" i="11"/>
  <c r="H1088" i="11"/>
  <c r="G1088" i="11"/>
  <c r="F1088" i="11"/>
  <c r="E1088" i="11"/>
  <c r="D1088" i="11"/>
  <c r="C1088" i="11"/>
  <c r="B1088" i="11"/>
  <c r="A1088" i="11"/>
  <c r="H1087" i="11"/>
  <c r="G1087" i="11"/>
  <c r="F1087" i="11"/>
  <c r="E1087" i="11"/>
  <c r="D1087" i="11"/>
  <c r="C1087" i="11"/>
  <c r="B1087" i="11"/>
  <c r="A1087" i="11"/>
  <c r="H1086" i="11"/>
  <c r="G1086" i="11"/>
  <c r="F1086" i="11"/>
  <c r="E1086" i="11"/>
  <c r="D1086" i="11"/>
  <c r="C1086" i="11"/>
  <c r="B1086" i="11"/>
  <c r="A1086" i="11"/>
  <c r="H1085" i="11"/>
  <c r="G1085" i="11"/>
  <c r="F1085" i="11"/>
  <c r="E1085" i="11"/>
  <c r="D1085" i="11"/>
  <c r="C1085" i="11"/>
  <c r="B1085" i="11"/>
  <c r="A1085" i="11"/>
  <c r="H1084" i="11"/>
  <c r="G1084" i="11"/>
  <c r="F1084" i="11"/>
  <c r="E1084" i="11"/>
  <c r="D1084" i="11"/>
  <c r="C1084" i="11"/>
  <c r="B1084" i="11"/>
  <c r="A1084" i="11"/>
  <c r="H1083" i="11"/>
  <c r="G1083" i="11"/>
  <c r="F1083" i="11"/>
  <c r="E1083" i="11"/>
  <c r="D1083" i="11"/>
  <c r="C1083" i="11"/>
  <c r="B1083" i="11"/>
  <c r="A1083" i="11"/>
  <c r="H1082" i="11"/>
  <c r="G1082" i="11"/>
  <c r="F1082" i="11"/>
  <c r="E1082" i="11"/>
  <c r="D1082" i="11"/>
  <c r="C1082" i="11"/>
  <c r="B1082" i="11"/>
  <c r="A1082" i="11"/>
  <c r="H1081" i="11"/>
  <c r="G1081" i="11"/>
  <c r="F1081" i="11"/>
  <c r="E1081" i="11"/>
  <c r="D1081" i="11"/>
  <c r="C1081" i="11"/>
  <c r="B1081" i="11"/>
  <c r="A1081" i="11"/>
  <c r="H1080" i="11"/>
  <c r="G1080" i="11"/>
  <c r="F1080" i="11"/>
  <c r="E1080" i="11"/>
  <c r="D1080" i="11"/>
  <c r="C1080" i="11"/>
  <c r="B1080" i="11"/>
  <c r="A1080" i="11"/>
  <c r="H1079" i="11"/>
  <c r="G1079" i="11"/>
  <c r="F1079" i="11"/>
  <c r="E1079" i="11"/>
  <c r="D1079" i="11"/>
  <c r="C1079" i="11"/>
  <c r="B1079" i="11"/>
  <c r="A1079" i="11"/>
  <c r="H1078" i="11"/>
  <c r="G1078" i="11"/>
  <c r="F1078" i="11"/>
  <c r="E1078" i="11"/>
  <c r="D1078" i="11"/>
  <c r="C1078" i="11"/>
  <c r="B1078" i="11"/>
  <c r="A1078" i="11"/>
  <c r="H1077" i="11"/>
  <c r="G1077" i="11"/>
  <c r="F1077" i="11"/>
  <c r="E1077" i="11"/>
  <c r="D1077" i="11"/>
  <c r="C1077" i="11"/>
  <c r="B1077" i="11"/>
  <c r="A1077" i="11"/>
  <c r="H1076" i="11"/>
  <c r="G1076" i="11"/>
  <c r="F1076" i="11"/>
  <c r="E1076" i="11"/>
  <c r="D1076" i="11"/>
  <c r="C1076" i="11"/>
  <c r="B1076" i="11"/>
  <c r="A1076" i="11"/>
  <c r="H1075" i="11"/>
  <c r="G1075" i="11"/>
  <c r="F1075" i="11"/>
  <c r="E1075" i="11"/>
  <c r="D1075" i="11"/>
  <c r="C1075" i="11"/>
  <c r="B1075" i="11"/>
  <c r="A1075" i="11"/>
  <c r="H1074" i="11"/>
  <c r="G1074" i="11"/>
  <c r="F1074" i="11"/>
  <c r="E1074" i="11"/>
  <c r="D1074" i="11"/>
  <c r="C1074" i="11"/>
  <c r="B1074" i="11"/>
  <c r="A1074" i="11"/>
  <c r="H1073" i="11"/>
  <c r="G1073" i="11"/>
  <c r="F1073" i="11"/>
  <c r="E1073" i="11"/>
  <c r="D1073" i="11"/>
  <c r="C1073" i="11"/>
  <c r="B1073" i="11"/>
  <c r="A1073" i="11"/>
  <c r="H1072" i="11"/>
  <c r="G1072" i="11"/>
  <c r="F1072" i="11"/>
  <c r="E1072" i="11"/>
  <c r="D1072" i="11"/>
  <c r="C1072" i="11"/>
  <c r="B1072" i="11"/>
  <c r="A1072" i="11"/>
  <c r="H1071" i="11"/>
  <c r="G1071" i="11"/>
  <c r="F1071" i="11"/>
  <c r="E1071" i="11"/>
  <c r="D1071" i="11"/>
  <c r="C1071" i="11"/>
  <c r="B1071" i="11"/>
  <c r="A1071" i="11"/>
  <c r="H1070" i="11"/>
  <c r="G1070" i="11"/>
  <c r="F1070" i="11"/>
  <c r="E1070" i="11"/>
  <c r="D1070" i="11"/>
  <c r="C1070" i="11"/>
  <c r="B1070" i="11"/>
  <c r="A1070" i="11"/>
  <c r="H1069" i="11"/>
  <c r="G1069" i="11"/>
  <c r="F1069" i="11"/>
  <c r="E1069" i="11"/>
  <c r="D1069" i="11"/>
  <c r="C1069" i="11"/>
  <c r="B1069" i="11"/>
  <c r="A1069" i="11"/>
  <c r="H1068" i="11"/>
  <c r="G1068" i="11"/>
  <c r="F1068" i="11"/>
  <c r="E1068" i="11"/>
  <c r="D1068" i="11"/>
  <c r="C1068" i="11"/>
  <c r="B1068" i="11"/>
  <c r="A1068" i="11"/>
  <c r="H1067" i="11"/>
  <c r="G1067" i="11"/>
  <c r="F1067" i="11"/>
  <c r="E1067" i="11"/>
  <c r="D1067" i="11"/>
  <c r="C1067" i="11"/>
  <c r="B1067" i="11"/>
  <c r="A1067" i="11"/>
  <c r="H1066" i="11"/>
  <c r="G1066" i="11"/>
  <c r="F1066" i="11"/>
  <c r="E1066" i="11"/>
  <c r="D1066" i="11"/>
  <c r="C1066" i="11"/>
  <c r="B1066" i="11"/>
  <c r="A1066" i="11"/>
  <c r="H1065" i="11"/>
  <c r="G1065" i="11"/>
  <c r="F1065" i="11"/>
  <c r="E1065" i="11"/>
  <c r="D1065" i="11"/>
  <c r="C1065" i="11"/>
  <c r="B1065" i="11"/>
  <c r="A1065" i="11"/>
  <c r="H1064" i="11"/>
  <c r="G1064" i="11"/>
  <c r="F1064" i="11"/>
  <c r="E1064" i="11"/>
  <c r="D1064" i="11"/>
  <c r="C1064" i="11"/>
  <c r="B1064" i="11"/>
  <c r="A1064" i="11"/>
  <c r="H1063" i="11"/>
  <c r="G1063" i="11"/>
  <c r="F1063" i="11"/>
  <c r="E1063" i="11"/>
  <c r="D1063" i="11"/>
  <c r="C1063" i="11"/>
  <c r="B1063" i="11"/>
  <c r="A1063" i="11"/>
  <c r="H1062" i="11"/>
  <c r="G1062" i="11"/>
  <c r="F1062" i="11"/>
  <c r="E1062" i="11"/>
  <c r="D1062" i="11"/>
  <c r="C1062" i="11"/>
  <c r="B1062" i="11"/>
  <c r="A1062" i="11"/>
  <c r="H1061" i="11"/>
  <c r="G1061" i="11"/>
  <c r="F1061" i="11"/>
  <c r="E1061" i="11"/>
  <c r="D1061" i="11"/>
  <c r="C1061" i="11"/>
  <c r="B1061" i="11"/>
  <c r="A1061" i="11"/>
  <c r="H1060" i="11"/>
  <c r="G1060" i="11"/>
  <c r="F1060" i="11"/>
  <c r="E1060" i="11"/>
  <c r="D1060" i="11"/>
  <c r="C1060" i="11"/>
  <c r="B1060" i="11"/>
  <c r="A1060" i="11"/>
  <c r="H1059" i="11"/>
  <c r="G1059" i="11"/>
  <c r="F1059" i="11"/>
  <c r="E1059" i="11"/>
  <c r="D1059" i="11"/>
  <c r="C1059" i="11"/>
  <c r="B1059" i="11"/>
  <c r="A1059" i="11"/>
  <c r="H1058" i="11"/>
  <c r="G1058" i="11"/>
  <c r="F1058" i="11"/>
  <c r="E1058" i="11"/>
  <c r="D1058" i="11"/>
  <c r="C1058" i="11"/>
  <c r="B1058" i="11"/>
  <c r="A1058" i="11"/>
  <c r="H1057" i="11"/>
  <c r="G1057" i="11"/>
  <c r="F1057" i="11"/>
  <c r="E1057" i="11"/>
  <c r="D1057" i="11"/>
  <c r="C1057" i="11"/>
  <c r="B1057" i="11"/>
  <c r="A1057" i="11"/>
  <c r="H1056" i="11"/>
  <c r="G1056" i="11"/>
  <c r="F1056" i="11"/>
  <c r="E1056" i="11"/>
  <c r="D1056" i="11"/>
  <c r="C1056" i="11"/>
  <c r="B1056" i="11"/>
  <c r="A1056" i="11"/>
  <c r="H1055" i="11"/>
  <c r="G1055" i="11"/>
  <c r="F1055" i="11"/>
  <c r="E1055" i="11"/>
  <c r="D1055" i="11"/>
  <c r="C1055" i="11"/>
  <c r="B1055" i="11"/>
  <c r="A1055" i="11"/>
  <c r="H1054" i="11"/>
  <c r="G1054" i="11"/>
  <c r="F1054" i="11"/>
  <c r="E1054" i="11"/>
  <c r="D1054" i="11"/>
  <c r="C1054" i="11"/>
  <c r="B1054" i="11"/>
  <c r="A1054" i="11"/>
  <c r="H1053" i="11"/>
  <c r="G1053" i="11"/>
  <c r="F1053" i="11"/>
  <c r="E1053" i="11"/>
  <c r="D1053" i="11"/>
  <c r="C1053" i="11"/>
  <c r="B1053" i="11"/>
  <c r="A1053" i="11"/>
  <c r="H1052" i="11"/>
  <c r="G1052" i="11"/>
  <c r="F1052" i="11"/>
  <c r="E1052" i="11"/>
  <c r="D1052" i="11"/>
  <c r="C1052" i="11"/>
  <c r="B1052" i="11"/>
  <c r="A1052" i="11"/>
  <c r="H1051" i="11"/>
  <c r="G1051" i="11"/>
  <c r="F1051" i="11"/>
  <c r="E1051" i="11"/>
  <c r="D1051" i="11"/>
  <c r="C1051" i="11"/>
  <c r="B1051" i="11"/>
  <c r="A1051" i="11"/>
  <c r="H1050" i="11"/>
  <c r="G1050" i="11"/>
  <c r="F1050" i="11"/>
  <c r="E1050" i="11"/>
  <c r="D1050" i="11"/>
  <c r="C1050" i="11"/>
  <c r="B1050" i="11"/>
  <c r="A1050" i="11"/>
  <c r="H1049" i="11"/>
  <c r="G1049" i="11"/>
  <c r="F1049" i="11"/>
  <c r="E1049" i="11"/>
  <c r="D1049" i="11"/>
  <c r="C1049" i="11"/>
  <c r="B1049" i="11"/>
  <c r="A1049" i="11"/>
  <c r="H1048" i="11"/>
  <c r="G1048" i="11"/>
  <c r="F1048" i="11"/>
  <c r="E1048" i="11"/>
  <c r="D1048" i="11"/>
  <c r="C1048" i="11"/>
  <c r="B1048" i="11"/>
  <c r="A1048" i="11"/>
  <c r="H1047" i="11"/>
  <c r="G1047" i="11"/>
  <c r="F1047" i="11"/>
  <c r="E1047" i="11"/>
  <c r="D1047" i="11"/>
  <c r="C1047" i="11"/>
  <c r="B1047" i="11"/>
  <c r="A1047" i="11"/>
  <c r="H1046" i="11"/>
  <c r="G1046" i="11"/>
  <c r="F1046" i="11"/>
  <c r="E1046" i="11"/>
  <c r="D1046" i="11"/>
  <c r="C1046" i="11"/>
  <c r="B1046" i="11"/>
  <c r="A1046" i="11"/>
  <c r="H1045" i="11"/>
  <c r="G1045" i="11"/>
  <c r="F1045" i="11"/>
  <c r="E1045" i="11"/>
  <c r="D1045" i="11"/>
  <c r="C1045" i="11"/>
  <c r="B1045" i="11"/>
  <c r="A1045" i="11"/>
  <c r="H1044" i="11"/>
  <c r="G1044" i="11"/>
  <c r="F1044" i="11"/>
  <c r="E1044" i="11"/>
  <c r="D1044" i="11"/>
  <c r="C1044" i="11"/>
  <c r="B1044" i="11"/>
  <c r="A1044" i="11"/>
  <c r="H1043" i="11"/>
  <c r="G1043" i="11"/>
  <c r="F1043" i="11"/>
  <c r="E1043" i="11"/>
  <c r="D1043" i="11"/>
  <c r="C1043" i="11"/>
  <c r="B1043" i="11"/>
  <c r="A1043" i="11"/>
  <c r="H1042" i="11"/>
  <c r="G1042" i="11"/>
  <c r="F1042" i="11"/>
  <c r="E1042" i="11"/>
  <c r="D1042" i="11"/>
  <c r="C1042" i="11"/>
  <c r="B1042" i="11"/>
  <c r="A1042" i="11"/>
  <c r="H1041" i="11"/>
  <c r="G1041" i="11"/>
  <c r="F1041" i="11"/>
  <c r="E1041" i="11"/>
  <c r="D1041" i="11"/>
  <c r="C1041" i="11"/>
  <c r="B1041" i="11"/>
  <c r="A1041" i="11"/>
  <c r="H1040" i="11"/>
  <c r="G1040" i="11"/>
  <c r="F1040" i="11"/>
  <c r="E1040" i="11"/>
  <c r="D1040" i="11"/>
  <c r="C1040" i="11"/>
  <c r="B1040" i="11"/>
  <c r="A1040" i="11"/>
  <c r="H1039" i="11"/>
  <c r="G1039" i="11"/>
  <c r="F1039" i="11"/>
  <c r="E1039" i="11"/>
  <c r="D1039" i="11"/>
  <c r="C1039" i="11"/>
  <c r="B1039" i="11"/>
  <c r="A1039" i="11"/>
  <c r="H1038" i="11"/>
  <c r="G1038" i="11"/>
  <c r="F1038" i="11"/>
  <c r="E1038" i="11"/>
  <c r="D1038" i="11"/>
  <c r="C1038" i="11"/>
  <c r="B1038" i="11"/>
  <c r="A1038" i="11"/>
  <c r="H1037" i="11"/>
  <c r="G1037" i="11"/>
  <c r="F1037" i="11"/>
  <c r="E1037" i="11"/>
  <c r="D1037" i="11"/>
  <c r="C1037" i="11"/>
  <c r="B1037" i="11"/>
  <c r="A1037" i="11"/>
  <c r="H1036" i="11"/>
  <c r="G1036" i="11"/>
  <c r="F1036" i="11"/>
  <c r="E1036" i="11"/>
  <c r="D1036" i="11"/>
  <c r="C1036" i="11"/>
  <c r="B1036" i="11"/>
  <c r="A1036" i="11"/>
  <c r="H1035" i="11"/>
  <c r="G1035" i="11"/>
  <c r="F1035" i="11"/>
  <c r="E1035" i="11"/>
  <c r="D1035" i="11"/>
  <c r="C1035" i="11"/>
  <c r="B1035" i="11"/>
  <c r="A1035" i="11"/>
  <c r="H1034" i="11"/>
  <c r="G1034" i="11"/>
  <c r="F1034" i="11"/>
  <c r="E1034" i="11"/>
  <c r="D1034" i="11"/>
  <c r="C1034" i="11"/>
  <c r="B1034" i="11"/>
  <c r="A1034" i="11"/>
  <c r="H1033" i="11"/>
  <c r="G1033" i="11"/>
  <c r="F1033" i="11"/>
  <c r="E1033" i="11"/>
  <c r="D1033" i="11"/>
  <c r="C1033" i="11"/>
  <c r="B1033" i="11"/>
  <c r="A1033" i="11"/>
  <c r="H1032" i="11"/>
  <c r="G1032" i="11"/>
  <c r="F1032" i="11"/>
  <c r="E1032" i="11"/>
  <c r="D1032" i="11"/>
  <c r="C1032" i="11"/>
  <c r="B1032" i="11"/>
  <c r="A1032" i="11"/>
  <c r="H1031" i="11"/>
  <c r="G1031" i="11"/>
  <c r="F1031" i="11"/>
  <c r="E1031" i="11"/>
  <c r="D1031" i="11"/>
  <c r="C1031" i="11"/>
  <c r="B1031" i="11"/>
  <c r="A1031" i="11"/>
  <c r="H1030" i="11"/>
  <c r="G1030" i="11"/>
  <c r="F1030" i="11"/>
  <c r="E1030" i="11"/>
  <c r="D1030" i="11"/>
  <c r="C1030" i="11"/>
  <c r="B1030" i="11"/>
  <c r="A1030" i="11"/>
  <c r="H1029" i="11"/>
  <c r="G1029" i="11"/>
  <c r="F1029" i="11"/>
  <c r="E1029" i="11"/>
  <c r="D1029" i="11"/>
  <c r="C1029" i="11"/>
  <c r="B1029" i="11"/>
  <c r="A1029" i="11"/>
  <c r="H1028" i="11"/>
  <c r="G1028" i="11"/>
  <c r="F1028" i="11"/>
  <c r="E1028" i="11"/>
  <c r="D1028" i="11"/>
  <c r="C1028" i="11"/>
  <c r="B1028" i="11"/>
  <c r="A1028" i="11"/>
  <c r="H1027" i="11"/>
  <c r="G1027" i="11"/>
  <c r="F1027" i="11"/>
  <c r="E1027" i="11"/>
  <c r="D1027" i="11"/>
  <c r="C1027" i="11"/>
  <c r="B1027" i="11"/>
  <c r="A1027" i="11"/>
  <c r="H1026" i="11"/>
  <c r="G1026" i="11"/>
  <c r="F1026" i="11"/>
  <c r="E1026" i="11"/>
  <c r="D1026" i="11"/>
  <c r="C1026" i="11"/>
  <c r="B1026" i="11"/>
  <c r="A1026" i="11"/>
  <c r="H1025" i="11"/>
  <c r="G1025" i="11"/>
  <c r="F1025" i="11"/>
  <c r="E1025" i="11"/>
  <c r="D1025" i="11"/>
  <c r="C1025" i="11"/>
  <c r="B1025" i="11"/>
  <c r="A1025" i="11"/>
  <c r="H1024" i="11"/>
  <c r="G1024" i="11"/>
  <c r="F1024" i="11"/>
  <c r="E1024" i="11"/>
  <c r="D1024" i="11"/>
  <c r="C1024" i="11"/>
  <c r="B1024" i="11"/>
  <c r="A1024" i="11"/>
  <c r="H1023" i="11"/>
  <c r="G1023" i="11"/>
  <c r="F1023" i="11"/>
  <c r="E1023" i="11"/>
  <c r="D1023" i="11"/>
  <c r="C1023" i="11"/>
  <c r="B1023" i="11"/>
  <c r="A1023" i="11"/>
  <c r="H1022" i="11"/>
  <c r="G1022" i="11"/>
  <c r="F1022" i="11"/>
  <c r="E1022" i="11"/>
  <c r="D1022" i="11"/>
  <c r="C1022" i="11"/>
  <c r="B1022" i="11"/>
  <c r="A1022" i="11"/>
  <c r="H1021" i="11"/>
  <c r="G1021" i="11"/>
  <c r="F1021" i="11"/>
  <c r="E1021" i="11"/>
  <c r="D1021" i="11"/>
  <c r="C1021" i="11"/>
  <c r="B1021" i="11"/>
  <c r="A1021" i="11"/>
  <c r="H1020" i="11"/>
  <c r="G1020" i="11"/>
  <c r="F1020" i="11"/>
  <c r="E1020" i="11"/>
  <c r="D1020" i="11"/>
  <c r="C1020" i="11"/>
  <c r="B1020" i="11"/>
  <c r="A1020" i="11"/>
  <c r="H1019" i="11"/>
  <c r="G1019" i="11"/>
  <c r="F1019" i="11"/>
  <c r="E1019" i="11"/>
  <c r="D1019" i="11"/>
  <c r="C1019" i="11"/>
  <c r="B1019" i="11"/>
  <c r="A1019" i="11"/>
  <c r="H1018" i="11"/>
  <c r="G1018" i="11"/>
  <c r="F1018" i="11"/>
  <c r="E1018" i="11"/>
  <c r="D1018" i="11"/>
  <c r="C1018" i="11"/>
  <c r="B1018" i="11"/>
  <c r="A1018" i="11"/>
  <c r="H1017" i="11"/>
  <c r="G1017" i="11"/>
  <c r="F1017" i="11"/>
  <c r="E1017" i="11"/>
  <c r="D1017" i="11"/>
  <c r="C1017" i="11"/>
  <c r="B1017" i="11"/>
  <c r="A1017" i="11"/>
  <c r="H1016" i="11"/>
  <c r="G1016" i="11"/>
  <c r="F1016" i="11"/>
  <c r="E1016" i="11"/>
  <c r="D1016" i="11"/>
  <c r="C1016" i="11"/>
  <c r="B1016" i="11"/>
  <c r="A1016" i="11"/>
  <c r="H1015" i="11"/>
  <c r="G1015" i="11"/>
  <c r="F1015" i="11"/>
  <c r="E1015" i="11"/>
  <c r="D1015" i="11"/>
  <c r="C1015" i="11"/>
  <c r="B1015" i="11"/>
  <c r="A1015" i="11"/>
  <c r="H1014" i="11"/>
  <c r="G1014" i="11"/>
  <c r="F1014" i="11"/>
  <c r="E1014" i="11"/>
  <c r="D1014" i="11"/>
  <c r="C1014" i="11"/>
  <c r="B1014" i="11"/>
  <c r="A1014" i="11"/>
  <c r="H1013" i="11"/>
  <c r="G1013" i="11"/>
  <c r="F1013" i="11"/>
  <c r="E1013" i="11"/>
  <c r="D1013" i="11"/>
  <c r="C1013" i="11"/>
  <c r="B1013" i="11"/>
  <c r="A1013" i="11"/>
  <c r="H1012" i="11"/>
  <c r="G1012" i="11"/>
  <c r="F1012" i="11"/>
  <c r="E1012" i="11"/>
  <c r="D1012" i="11"/>
  <c r="C1012" i="11"/>
  <c r="B1012" i="11"/>
  <c r="A1012" i="11"/>
  <c r="H1011" i="11"/>
  <c r="G1011" i="11"/>
  <c r="F1011" i="11"/>
  <c r="E1011" i="11"/>
  <c r="D1011" i="11"/>
  <c r="C1011" i="11"/>
  <c r="B1011" i="11"/>
  <c r="A1011" i="11"/>
  <c r="H1010" i="11"/>
  <c r="G1010" i="11"/>
  <c r="F1010" i="11"/>
  <c r="E1010" i="11"/>
  <c r="D1010" i="11"/>
  <c r="C1010" i="11"/>
  <c r="B1010" i="11"/>
  <c r="A1010" i="11"/>
  <c r="H1009" i="11"/>
  <c r="G1009" i="11"/>
  <c r="F1009" i="11"/>
  <c r="E1009" i="11"/>
  <c r="D1009" i="11"/>
  <c r="C1009" i="11"/>
  <c r="B1009" i="11"/>
  <c r="A1009" i="11"/>
  <c r="H1008" i="11"/>
  <c r="G1008" i="11"/>
  <c r="F1008" i="11"/>
  <c r="E1008" i="11"/>
  <c r="D1008" i="11"/>
  <c r="C1008" i="11"/>
  <c r="B1008" i="11"/>
  <c r="A1008" i="11"/>
  <c r="H1007" i="11"/>
  <c r="G1007" i="11"/>
  <c r="F1007" i="11"/>
  <c r="E1007" i="11"/>
  <c r="D1007" i="11"/>
  <c r="C1007" i="11"/>
  <c r="B1007" i="11"/>
  <c r="A1007" i="11"/>
  <c r="H1006" i="11"/>
  <c r="G1006" i="11"/>
  <c r="F1006" i="11"/>
  <c r="E1006" i="11"/>
  <c r="D1006" i="11"/>
  <c r="C1006" i="11"/>
  <c r="B1006" i="11"/>
  <c r="A1006" i="11"/>
  <c r="H1005" i="11"/>
  <c r="G1005" i="11"/>
  <c r="F1005" i="11"/>
  <c r="E1005" i="11"/>
  <c r="D1005" i="11"/>
  <c r="C1005" i="11"/>
  <c r="B1005" i="11"/>
  <c r="A1005" i="11"/>
  <c r="H1004" i="11"/>
  <c r="G1004" i="11"/>
  <c r="F1004" i="11"/>
  <c r="E1004" i="11"/>
  <c r="D1004" i="11"/>
  <c r="C1004" i="11"/>
  <c r="B1004" i="11"/>
  <c r="A1004" i="11"/>
  <c r="H1003" i="11"/>
  <c r="G1003" i="11"/>
  <c r="F1003" i="11"/>
  <c r="E1003" i="11"/>
  <c r="D1003" i="11"/>
  <c r="C1003" i="11"/>
  <c r="B1003" i="11"/>
  <c r="A1003" i="11"/>
  <c r="H1002" i="11"/>
  <c r="G1002" i="11"/>
  <c r="F1002" i="11"/>
  <c r="E1002" i="11"/>
  <c r="D1002" i="11"/>
  <c r="C1002" i="11"/>
  <c r="B1002" i="11"/>
  <c r="A1002" i="11"/>
  <c r="H1001" i="11"/>
  <c r="G1001" i="11"/>
  <c r="F1001" i="11"/>
  <c r="E1001" i="11"/>
  <c r="D1001" i="11"/>
  <c r="C1001" i="11"/>
  <c r="B1001" i="11"/>
  <c r="A1001" i="11"/>
  <c r="H1000" i="11"/>
  <c r="G1000" i="11"/>
  <c r="F1000" i="11"/>
  <c r="E1000" i="11"/>
  <c r="D1000" i="11"/>
  <c r="C1000" i="11"/>
  <c r="B1000" i="11"/>
  <c r="A1000" i="11"/>
  <c r="H999" i="11"/>
  <c r="G999" i="11"/>
  <c r="F999" i="11"/>
  <c r="E999" i="11"/>
  <c r="D999" i="11"/>
  <c r="C999" i="11"/>
  <c r="B999" i="11"/>
  <c r="A999" i="11"/>
  <c r="H998" i="11"/>
  <c r="G998" i="11"/>
  <c r="F998" i="11"/>
  <c r="E998" i="11"/>
  <c r="D998" i="11"/>
  <c r="C998" i="11"/>
  <c r="B998" i="11"/>
  <c r="A998" i="11"/>
  <c r="H997" i="11"/>
  <c r="G997" i="11"/>
  <c r="F997" i="11"/>
  <c r="E997" i="11"/>
  <c r="D997" i="11"/>
  <c r="C997" i="11"/>
  <c r="B997" i="11"/>
  <c r="A997" i="11"/>
  <c r="H996" i="11"/>
  <c r="G996" i="11"/>
  <c r="F996" i="11"/>
  <c r="E996" i="11"/>
  <c r="D996" i="11"/>
  <c r="C996" i="11"/>
  <c r="B996" i="11"/>
  <c r="A996" i="11"/>
  <c r="H995" i="11"/>
  <c r="G995" i="11"/>
  <c r="F995" i="11"/>
  <c r="E995" i="11"/>
  <c r="D995" i="11"/>
  <c r="C995" i="11"/>
  <c r="B995" i="11"/>
  <c r="A995" i="11"/>
  <c r="H994" i="11"/>
  <c r="G994" i="11"/>
  <c r="F994" i="11"/>
  <c r="E994" i="11"/>
  <c r="D994" i="11"/>
  <c r="C994" i="11"/>
  <c r="B994" i="11"/>
  <c r="A994" i="11"/>
  <c r="H993" i="11"/>
  <c r="G993" i="11"/>
  <c r="F993" i="11"/>
  <c r="E993" i="11"/>
  <c r="D993" i="11"/>
  <c r="C993" i="11"/>
  <c r="B993" i="11"/>
  <c r="A993" i="11"/>
  <c r="H992" i="11"/>
  <c r="G992" i="11"/>
  <c r="F992" i="11"/>
  <c r="E992" i="11"/>
  <c r="D992" i="11"/>
  <c r="C992" i="11"/>
  <c r="B992" i="11"/>
  <c r="A992" i="11"/>
  <c r="H991" i="11"/>
  <c r="G991" i="11"/>
  <c r="F991" i="11"/>
  <c r="E991" i="11"/>
  <c r="D991" i="11"/>
  <c r="C991" i="11"/>
  <c r="B991" i="11"/>
  <c r="A991" i="11"/>
  <c r="H990" i="11"/>
  <c r="G990" i="11"/>
  <c r="F990" i="11"/>
  <c r="E990" i="11"/>
  <c r="D990" i="11"/>
  <c r="C990" i="11"/>
  <c r="B990" i="11"/>
  <c r="A990" i="11"/>
  <c r="H989" i="11"/>
  <c r="G989" i="11"/>
  <c r="F989" i="11"/>
  <c r="E989" i="11"/>
  <c r="D989" i="11"/>
  <c r="C989" i="11"/>
  <c r="B989" i="11"/>
  <c r="A989" i="11"/>
  <c r="H988" i="11"/>
  <c r="G988" i="11"/>
  <c r="F988" i="11"/>
  <c r="E988" i="11"/>
  <c r="D988" i="11"/>
  <c r="C988" i="11"/>
  <c r="B988" i="11"/>
  <c r="A988" i="11"/>
  <c r="H987" i="11"/>
  <c r="G987" i="11"/>
  <c r="F987" i="11"/>
  <c r="E987" i="11"/>
  <c r="D987" i="11"/>
  <c r="C987" i="11"/>
  <c r="B987" i="11"/>
  <c r="A987" i="11"/>
  <c r="H986" i="11"/>
  <c r="G986" i="11"/>
  <c r="F986" i="11"/>
  <c r="E986" i="11"/>
  <c r="D986" i="11"/>
  <c r="C986" i="11"/>
  <c r="B986" i="11"/>
  <c r="A986" i="11"/>
  <c r="H985" i="11"/>
  <c r="G985" i="11"/>
  <c r="F985" i="11"/>
  <c r="E985" i="11"/>
  <c r="D985" i="11"/>
  <c r="C985" i="11"/>
  <c r="B985" i="11"/>
  <c r="A985" i="11"/>
  <c r="H984" i="11"/>
  <c r="G984" i="11"/>
  <c r="F984" i="11"/>
  <c r="E984" i="11"/>
  <c r="D984" i="11"/>
  <c r="C984" i="11"/>
  <c r="B984" i="11"/>
  <c r="A984" i="11"/>
  <c r="H983" i="11"/>
  <c r="G983" i="11"/>
  <c r="F983" i="11"/>
  <c r="E983" i="11"/>
  <c r="D983" i="11"/>
  <c r="C983" i="11"/>
  <c r="B983" i="11"/>
  <c r="A983" i="11"/>
  <c r="H982" i="11"/>
  <c r="G982" i="11"/>
  <c r="F982" i="11"/>
  <c r="E982" i="11"/>
  <c r="D982" i="11"/>
  <c r="C982" i="11"/>
  <c r="B982" i="11"/>
  <c r="A982" i="11"/>
  <c r="H981" i="11"/>
  <c r="G981" i="11"/>
  <c r="F981" i="11"/>
  <c r="E981" i="11"/>
  <c r="D981" i="11"/>
  <c r="C981" i="11"/>
  <c r="B981" i="11"/>
  <c r="A981" i="11"/>
  <c r="H980" i="11"/>
  <c r="G980" i="11"/>
  <c r="F980" i="11"/>
  <c r="E980" i="11"/>
  <c r="D980" i="11"/>
  <c r="C980" i="11"/>
  <c r="B980" i="11"/>
  <c r="A980" i="11"/>
  <c r="H979" i="11"/>
  <c r="G979" i="11"/>
  <c r="F979" i="11"/>
  <c r="E979" i="11"/>
  <c r="D979" i="11"/>
  <c r="C979" i="11"/>
  <c r="B979" i="11"/>
  <c r="A979" i="11"/>
  <c r="H978" i="11"/>
  <c r="G978" i="11"/>
  <c r="F978" i="11"/>
  <c r="E978" i="11"/>
  <c r="D978" i="11"/>
  <c r="C978" i="11"/>
  <c r="B978" i="11"/>
  <c r="A978" i="11"/>
  <c r="H977" i="11"/>
  <c r="G977" i="11"/>
  <c r="F977" i="11"/>
  <c r="E977" i="11"/>
  <c r="D977" i="11"/>
  <c r="C977" i="11"/>
  <c r="B977" i="11"/>
  <c r="A977" i="11"/>
  <c r="H976" i="11"/>
  <c r="G976" i="11"/>
  <c r="F976" i="11"/>
  <c r="E976" i="11"/>
  <c r="D976" i="11"/>
  <c r="C976" i="11"/>
  <c r="B976" i="11"/>
  <c r="A976" i="11"/>
  <c r="H975" i="11"/>
  <c r="G975" i="11"/>
  <c r="F975" i="11"/>
  <c r="E975" i="11"/>
  <c r="D975" i="11"/>
  <c r="C975" i="11"/>
  <c r="B975" i="11"/>
  <c r="A975" i="11"/>
  <c r="H974" i="11"/>
  <c r="G974" i="11"/>
  <c r="F974" i="11"/>
  <c r="E974" i="11"/>
  <c r="D974" i="11"/>
  <c r="C974" i="11"/>
  <c r="B974" i="11"/>
  <c r="A974" i="11"/>
  <c r="H973" i="11"/>
  <c r="G973" i="11"/>
  <c r="F973" i="11"/>
  <c r="E973" i="11"/>
  <c r="D973" i="11"/>
  <c r="C973" i="11"/>
  <c r="B973" i="11"/>
  <c r="A973" i="11"/>
  <c r="H972" i="11"/>
  <c r="G972" i="11"/>
  <c r="F972" i="11"/>
  <c r="E972" i="11"/>
  <c r="D972" i="11"/>
  <c r="C972" i="11"/>
  <c r="B972" i="11"/>
  <c r="A972" i="11"/>
  <c r="H971" i="11"/>
  <c r="G971" i="11"/>
  <c r="F971" i="11"/>
  <c r="E971" i="11"/>
  <c r="D971" i="11"/>
  <c r="C971" i="11"/>
  <c r="B971" i="11"/>
  <c r="A971" i="11"/>
  <c r="H970" i="11"/>
  <c r="G970" i="11"/>
  <c r="F970" i="11"/>
  <c r="E970" i="11"/>
  <c r="D970" i="11"/>
  <c r="C970" i="11"/>
  <c r="B970" i="11"/>
  <c r="A970" i="11"/>
  <c r="H969" i="11"/>
  <c r="G969" i="11"/>
  <c r="F969" i="11"/>
  <c r="E969" i="11"/>
  <c r="D969" i="11"/>
  <c r="C969" i="11"/>
  <c r="B969" i="11"/>
  <c r="A969" i="11"/>
  <c r="H968" i="11"/>
  <c r="G968" i="11"/>
  <c r="F968" i="11"/>
  <c r="E968" i="11"/>
  <c r="D968" i="11"/>
  <c r="C968" i="11"/>
  <c r="B968" i="11"/>
  <c r="A968" i="11"/>
  <c r="H967" i="11"/>
  <c r="G967" i="11"/>
  <c r="F967" i="11"/>
  <c r="E967" i="11"/>
  <c r="D967" i="11"/>
  <c r="C967" i="11"/>
  <c r="B967" i="11"/>
  <c r="A967" i="11"/>
  <c r="H966" i="11"/>
  <c r="G966" i="11"/>
  <c r="F966" i="11"/>
  <c r="E966" i="11"/>
  <c r="D966" i="11"/>
  <c r="C966" i="11"/>
  <c r="B966" i="11"/>
  <c r="A966" i="11"/>
  <c r="H965" i="11"/>
  <c r="G965" i="11"/>
  <c r="F965" i="11"/>
  <c r="E965" i="11"/>
  <c r="D965" i="11"/>
  <c r="C965" i="11"/>
  <c r="B965" i="11"/>
  <c r="A965" i="11"/>
  <c r="H964" i="11"/>
  <c r="G964" i="11"/>
  <c r="F964" i="11"/>
  <c r="E964" i="11"/>
  <c r="D964" i="11"/>
  <c r="C964" i="11"/>
  <c r="B964" i="11"/>
  <c r="A964" i="11"/>
  <c r="H963" i="11"/>
  <c r="G963" i="11"/>
  <c r="F963" i="11"/>
  <c r="E963" i="11"/>
  <c r="D963" i="11"/>
  <c r="C963" i="11"/>
  <c r="B963" i="11"/>
  <c r="A963" i="11"/>
  <c r="H962" i="11"/>
  <c r="G962" i="11"/>
  <c r="F962" i="11"/>
  <c r="E962" i="11"/>
  <c r="D962" i="11"/>
  <c r="C962" i="11"/>
  <c r="B962" i="11"/>
  <c r="A962" i="11"/>
  <c r="H961" i="11"/>
  <c r="G961" i="11"/>
  <c r="F961" i="11"/>
  <c r="E961" i="11"/>
  <c r="D961" i="11"/>
  <c r="C961" i="11"/>
  <c r="B961" i="11"/>
  <c r="A961" i="11"/>
  <c r="H960" i="11"/>
  <c r="G960" i="11"/>
  <c r="F960" i="11"/>
  <c r="E960" i="11"/>
  <c r="D960" i="11"/>
  <c r="C960" i="11"/>
  <c r="B960" i="11"/>
  <c r="A960" i="11"/>
  <c r="H959" i="11"/>
  <c r="G959" i="11"/>
  <c r="F959" i="11"/>
  <c r="E959" i="11"/>
  <c r="D959" i="11"/>
  <c r="C959" i="11"/>
  <c r="B959" i="11"/>
  <c r="A959" i="11"/>
  <c r="H958" i="11"/>
  <c r="G958" i="11"/>
  <c r="F958" i="11"/>
  <c r="E958" i="11"/>
  <c r="D958" i="11"/>
  <c r="C958" i="11"/>
  <c r="B958" i="11"/>
  <c r="A958" i="11"/>
  <c r="H957" i="11"/>
  <c r="G957" i="11"/>
  <c r="F957" i="11"/>
  <c r="E957" i="11"/>
  <c r="D957" i="11"/>
  <c r="C957" i="11"/>
  <c r="B957" i="11"/>
  <c r="A957" i="11"/>
  <c r="H956" i="11"/>
  <c r="G956" i="11"/>
  <c r="F956" i="11"/>
  <c r="E956" i="11"/>
  <c r="D956" i="11"/>
  <c r="C956" i="11"/>
  <c r="B956" i="11"/>
  <c r="A956" i="11"/>
  <c r="H955" i="11"/>
  <c r="G955" i="11"/>
  <c r="F955" i="11"/>
  <c r="E955" i="11"/>
  <c r="D955" i="11"/>
  <c r="C955" i="11"/>
  <c r="B955" i="11"/>
  <c r="A955" i="11"/>
  <c r="H954" i="11"/>
  <c r="G954" i="11"/>
  <c r="F954" i="11"/>
  <c r="E954" i="11"/>
  <c r="D954" i="11"/>
  <c r="C954" i="11"/>
  <c r="B954" i="11"/>
  <c r="A954" i="11"/>
  <c r="H953" i="11"/>
  <c r="G953" i="11"/>
  <c r="F953" i="11"/>
  <c r="E953" i="11"/>
  <c r="D953" i="11"/>
  <c r="C953" i="11"/>
  <c r="B953" i="11"/>
  <c r="A953" i="11"/>
  <c r="H952" i="11"/>
  <c r="G952" i="11"/>
  <c r="F952" i="11"/>
  <c r="E952" i="11"/>
  <c r="D952" i="11"/>
  <c r="C952" i="11"/>
  <c r="B952" i="11"/>
  <c r="A952" i="11"/>
  <c r="H951" i="11"/>
  <c r="G951" i="11"/>
  <c r="F951" i="11"/>
  <c r="E951" i="11"/>
  <c r="D951" i="11"/>
  <c r="C951" i="11"/>
  <c r="B951" i="11"/>
  <c r="A951" i="11"/>
  <c r="H950" i="11"/>
  <c r="G950" i="11"/>
  <c r="F950" i="11"/>
  <c r="E950" i="11"/>
  <c r="D950" i="11"/>
  <c r="C950" i="11"/>
  <c r="B950" i="11"/>
  <c r="A950" i="11"/>
  <c r="H949" i="11"/>
  <c r="G949" i="11"/>
  <c r="F949" i="11"/>
  <c r="E949" i="11"/>
  <c r="D949" i="11"/>
  <c r="C949" i="11"/>
  <c r="B949" i="11"/>
  <c r="A949" i="11"/>
  <c r="H948" i="11"/>
  <c r="G948" i="11"/>
  <c r="F948" i="11"/>
  <c r="E948" i="11"/>
  <c r="D948" i="11"/>
  <c r="C948" i="11"/>
  <c r="B948" i="11"/>
  <c r="A948" i="11"/>
  <c r="H947" i="11"/>
  <c r="G947" i="11"/>
  <c r="F947" i="11"/>
  <c r="E947" i="11"/>
  <c r="D947" i="11"/>
  <c r="C947" i="11"/>
  <c r="B947" i="11"/>
  <c r="A947" i="11"/>
  <c r="H946" i="11"/>
  <c r="G946" i="11"/>
  <c r="F946" i="11"/>
  <c r="E946" i="11"/>
  <c r="D946" i="11"/>
  <c r="C946" i="11"/>
  <c r="B946" i="11"/>
  <c r="A946" i="11"/>
  <c r="H945" i="11"/>
  <c r="G945" i="11"/>
  <c r="F945" i="11"/>
  <c r="E945" i="11"/>
  <c r="D945" i="11"/>
  <c r="C945" i="11"/>
  <c r="B945" i="11"/>
  <c r="A945" i="11"/>
  <c r="H944" i="11"/>
  <c r="G944" i="11"/>
  <c r="F944" i="11"/>
  <c r="E944" i="11"/>
  <c r="D944" i="11"/>
  <c r="C944" i="11"/>
  <c r="B944" i="11"/>
  <c r="A944" i="11"/>
  <c r="H943" i="11"/>
  <c r="G943" i="11"/>
  <c r="F943" i="11"/>
  <c r="E943" i="11"/>
  <c r="D943" i="11"/>
  <c r="C943" i="11"/>
  <c r="B943" i="11"/>
  <c r="A943" i="11"/>
  <c r="H942" i="11"/>
  <c r="G942" i="11"/>
  <c r="F942" i="11"/>
  <c r="E942" i="11"/>
  <c r="D942" i="11"/>
  <c r="C942" i="11"/>
  <c r="B942" i="11"/>
  <c r="A942" i="11"/>
  <c r="H941" i="11"/>
  <c r="G941" i="11"/>
  <c r="F941" i="11"/>
  <c r="E941" i="11"/>
  <c r="D941" i="11"/>
  <c r="C941" i="11"/>
  <c r="B941" i="11"/>
  <c r="A941" i="11"/>
  <c r="H940" i="11"/>
  <c r="G940" i="11"/>
  <c r="F940" i="11"/>
  <c r="E940" i="11"/>
  <c r="D940" i="11"/>
  <c r="C940" i="11"/>
  <c r="B940" i="11"/>
  <c r="A940" i="11"/>
  <c r="H939" i="11"/>
  <c r="G939" i="11"/>
  <c r="F939" i="11"/>
  <c r="E939" i="11"/>
  <c r="D939" i="11"/>
  <c r="C939" i="11"/>
  <c r="B939" i="11"/>
  <c r="A939" i="11"/>
  <c r="H938" i="11"/>
  <c r="G938" i="11"/>
  <c r="F938" i="11"/>
  <c r="E938" i="11"/>
  <c r="D938" i="11"/>
  <c r="C938" i="11"/>
  <c r="B938" i="11"/>
  <c r="A938" i="11"/>
  <c r="H937" i="11"/>
  <c r="G937" i="11"/>
  <c r="F937" i="11"/>
  <c r="E937" i="11"/>
  <c r="D937" i="11"/>
  <c r="C937" i="11"/>
  <c r="B937" i="11"/>
  <c r="A937" i="11"/>
  <c r="H936" i="11"/>
  <c r="G936" i="11"/>
  <c r="F936" i="11"/>
  <c r="E936" i="11"/>
  <c r="D936" i="11"/>
  <c r="C936" i="11"/>
  <c r="B936" i="11"/>
  <c r="A936" i="11"/>
  <c r="H935" i="11"/>
  <c r="G935" i="11"/>
  <c r="F935" i="11"/>
  <c r="E935" i="11"/>
  <c r="D935" i="11"/>
  <c r="C935" i="11"/>
  <c r="B935" i="11"/>
  <c r="A935" i="11"/>
  <c r="H934" i="11"/>
  <c r="G934" i="11"/>
  <c r="F934" i="11"/>
  <c r="E934" i="11"/>
  <c r="D934" i="11"/>
  <c r="C934" i="11"/>
  <c r="B934" i="11"/>
  <c r="A934" i="11"/>
  <c r="H933" i="11"/>
  <c r="G933" i="11"/>
  <c r="F933" i="11"/>
  <c r="E933" i="11"/>
  <c r="D933" i="11"/>
  <c r="C933" i="11"/>
  <c r="B933" i="11"/>
  <c r="A933" i="11"/>
  <c r="H932" i="11"/>
  <c r="G932" i="11"/>
  <c r="F932" i="11"/>
  <c r="E932" i="11"/>
  <c r="D932" i="11"/>
  <c r="C932" i="11"/>
  <c r="B932" i="11"/>
  <c r="A932" i="11"/>
  <c r="H931" i="11"/>
  <c r="G931" i="11"/>
  <c r="F931" i="11"/>
  <c r="E931" i="11"/>
  <c r="D931" i="11"/>
  <c r="C931" i="11"/>
  <c r="B931" i="11"/>
  <c r="A931" i="11"/>
  <c r="H930" i="11"/>
  <c r="G930" i="11"/>
  <c r="F930" i="11"/>
  <c r="E930" i="11"/>
  <c r="D930" i="11"/>
  <c r="C930" i="11"/>
  <c r="B930" i="11"/>
  <c r="A930" i="11"/>
  <c r="H929" i="11"/>
  <c r="G929" i="11"/>
  <c r="F929" i="11"/>
  <c r="E929" i="11"/>
  <c r="D929" i="11"/>
  <c r="C929" i="11"/>
  <c r="B929" i="11"/>
  <c r="A929" i="11"/>
  <c r="H928" i="11"/>
  <c r="G928" i="11"/>
  <c r="F928" i="11"/>
  <c r="E928" i="11"/>
  <c r="D928" i="11"/>
  <c r="C928" i="11"/>
  <c r="B928" i="11"/>
  <c r="A928" i="11"/>
  <c r="H927" i="11"/>
  <c r="G927" i="11"/>
  <c r="F927" i="11"/>
  <c r="E927" i="11"/>
  <c r="D927" i="11"/>
  <c r="C927" i="11"/>
  <c r="B927" i="11"/>
  <c r="A927" i="11"/>
  <c r="H926" i="11"/>
  <c r="G926" i="11"/>
  <c r="F926" i="11"/>
  <c r="E926" i="11"/>
  <c r="D926" i="11"/>
  <c r="C926" i="11"/>
  <c r="B926" i="11"/>
  <c r="A926" i="11"/>
  <c r="H925" i="11"/>
  <c r="G925" i="11"/>
  <c r="F925" i="11"/>
  <c r="E925" i="11"/>
  <c r="D925" i="11"/>
  <c r="C925" i="11"/>
  <c r="B925" i="11"/>
  <c r="A925" i="11"/>
  <c r="H924" i="11"/>
  <c r="G924" i="11"/>
  <c r="F924" i="11"/>
  <c r="E924" i="11"/>
  <c r="D924" i="11"/>
  <c r="C924" i="11"/>
  <c r="B924" i="11"/>
  <c r="A924" i="11"/>
  <c r="H923" i="11"/>
  <c r="G923" i="11"/>
  <c r="F923" i="11"/>
  <c r="E923" i="11"/>
  <c r="D923" i="11"/>
  <c r="C923" i="11"/>
  <c r="B923" i="11"/>
  <c r="A923" i="11"/>
  <c r="H922" i="11"/>
  <c r="G922" i="11"/>
  <c r="F922" i="11"/>
  <c r="E922" i="11"/>
  <c r="D922" i="11"/>
  <c r="C922" i="11"/>
  <c r="B922" i="11"/>
  <c r="A922" i="11"/>
  <c r="H921" i="11"/>
  <c r="G921" i="11"/>
  <c r="F921" i="11"/>
  <c r="E921" i="11"/>
  <c r="D921" i="11"/>
  <c r="C921" i="11"/>
  <c r="B921" i="11"/>
  <c r="A921" i="11"/>
  <c r="H920" i="11"/>
  <c r="G920" i="11"/>
  <c r="F920" i="11"/>
  <c r="E920" i="11"/>
  <c r="D920" i="11"/>
  <c r="C920" i="11"/>
  <c r="B920" i="11"/>
  <c r="A920" i="11"/>
  <c r="H919" i="11"/>
  <c r="G919" i="11"/>
  <c r="F919" i="11"/>
  <c r="E919" i="11"/>
  <c r="D919" i="11"/>
  <c r="C919" i="11"/>
  <c r="B919" i="11"/>
  <c r="A919" i="11"/>
  <c r="H918" i="11"/>
  <c r="G918" i="11"/>
  <c r="F918" i="11"/>
  <c r="E918" i="11"/>
  <c r="D918" i="11"/>
  <c r="C918" i="11"/>
  <c r="B918" i="11"/>
  <c r="A918" i="11"/>
  <c r="H917" i="11"/>
  <c r="G917" i="11"/>
  <c r="F917" i="11"/>
  <c r="E917" i="11"/>
  <c r="D917" i="11"/>
  <c r="C917" i="11"/>
  <c r="B917" i="11"/>
  <c r="A917" i="11"/>
  <c r="H916" i="11"/>
  <c r="G916" i="11"/>
  <c r="F916" i="11"/>
  <c r="E916" i="11"/>
  <c r="D916" i="11"/>
  <c r="C916" i="11"/>
  <c r="B916" i="11"/>
  <c r="A916" i="11"/>
  <c r="H915" i="11"/>
  <c r="G915" i="11"/>
  <c r="F915" i="11"/>
  <c r="E915" i="11"/>
  <c r="D915" i="11"/>
  <c r="C915" i="11"/>
  <c r="B915" i="11"/>
  <c r="A915" i="11"/>
  <c r="H914" i="11"/>
  <c r="G914" i="11"/>
  <c r="F914" i="11"/>
  <c r="E914" i="11"/>
  <c r="D914" i="11"/>
  <c r="C914" i="11"/>
  <c r="B914" i="11"/>
  <c r="A914" i="11"/>
  <c r="H913" i="11"/>
  <c r="G913" i="11"/>
  <c r="F913" i="11"/>
  <c r="E913" i="11"/>
  <c r="D913" i="11"/>
  <c r="C913" i="11"/>
  <c r="B913" i="11"/>
  <c r="A913" i="11"/>
  <c r="H912" i="11"/>
  <c r="G912" i="11"/>
  <c r="F912" i="11"/>
  <c r="E912" i="11"/>
  <c r="D912" i="11"/>
  <c r="C912" i="11"/>
  <c r="B912" i="11"/>
  <c r="A912" i="11"/>
  <c r="H911" i="11"/>
  <c r="G911" i="11"/>
  <c r="F911" i="11"/>
  <c r="E911" i="11"/>
  <c r="D911" i="11"/>
  <c r="C911" i="11"/>
  <c r="B911" i="11"/>
  <c r="A911" i="11"/>
  <c r="H910" i="11"/>
  <c r="G910" i="11"/>
  <c r="F910" i="11"/>
  <c r="E910" i="11"/>
  <c r="D910" i="11"/>
  <c r="C910" i="11"/>
  <c r="B910" i="11"/>
  <c r="A910" i="11"/>
  <c r="H909" i="11"/>
  <c r="G909" i="11"/>
  <c r="F909" i="11"/>
  <c r="E909" i="11"/>
  <c r="D909" i="11"/>
  <c r="C909" i="11"/>
  <c r="B909" i="11"/>
  <c r="A909" i="11"/>
  <c r="H908" i="11"/>
  <c r="G908" i="11"/>
  <c r="F908" i="11"/>
  <c r="E908" i="11"/>
  <c r="D908" i="11"/>
  <c r="C908" i="11"/>
  <c r="B908" i="11"/>
  <c r="A908" i="11"/>
  <c r="H907" i="11"/>
  <c r="G907" i="11"/>
  <c r="F907" i="11"/>
  <c r="E907" i="11"/>
  <c r="D907" i="11"/>
  <c r="C907" i="11"/>
  <c r="B907" i="11"/>
  <c r="A907" i="11"/>
  <c r="H906" i="11"/>
  <c r="G906" i="11"/>
  <c r="F906" i="11"/>
  <c r="E906" i="11"/>
  <c r="D906" i="11"/>
  <c r="C906" i="11"/>
  <c r="B906" i="11"/>
  <c r="A906" i="11"/>
  <c r="H905" i="11"/>
  <c r="G905" i="11"/>
  <c r="F905" i="11"/>
  <c r="E905" i="11"/>
  <c r="D905" i="11"/>
  <c r="C905" i="11"/>
  <c r="B905" i="11"/>
  <c r="A905" i="11"/>
  <c r="H904" i="11"/>
  <c r="G904" i="11"/>
  <c r="F904" i="11"/>
  <c r="E904" i="11"/>
  <c r="D904" i="11"/>
  <c r="C904" i="11"/>
  <c r="B904" i="11"/>
  <c r="A904" i="11"/>
  <c r="H903" i="11"/>
  <c r="G903" i="11"/>
  <c r="F903" i="11"/>
  <c r="E903" i="11"/>
  <c r="D903" i="11"/>
  <c r="C903" i="11"/>
  <c r="B903" i="11"/>
  <c r="A903" i="11"/>
  <c r="H902" i="11"/>
  <c r="G902" i="11"/>
  <c r="F902" i="11"/>
  <c r="E902" i="11"/>
  <c r="D902" i="11"/>
  <c r="C902" i="11"/>
  <c r="B902" i="11"/>
  <c r="A902" i="11"/>
  <c r="H901" i="11"/>
  <c r="G901" i="11"/>
  <c r="F901" i="11"/>
  <c r="E901" i="11"/>
  <c r="D901" i="11"/>
  <c r="C901" i="11"/>
  <c r="B901" i="11"/>
  <c r="A901" i="11"/>
  <c r="H900" i="11"/>
  <c r="G900" i="11"/>
  <c r="F900" i="11"/>
  <c r="E900" i="11"/>
  <c r="D900" i="11"/>
  <c r="C900" i="11"/>
  <c r="B900" i="11"/>
  <c r="A900" i="11"/>
  <c r="H899" i="11"/>
  <c r="G899" i="11"/>
  <c r="F899" i="11"/>
  <c r="E899" i="11"/>
  <c r="D899" i="11"/>
  <c r="C899" i="11"/>
  <c r="B899" i="11"/>
  <c r="A899" i="11"/>
  <c r="H898" i="11"/>
  <c r="G898" i="11"/>
  <c r="F898" i="11"/>
  <c r="E898" i="11"/>
  <c r="D898" i="11"/>
  <c r="C898" i="11"/>
  <c r="B898" i="11"/>
  <c r="A898" i="11"/>
  <c r="H897" i="11"/>
  <c r="G897" i="11"/>
  <c r="F897" i="11"/>
  <c r="E897" i="11"/>
  <c r="D897" i="11"/>
  <c r="C897" i="11"/>
  <c r="B897" i="11"/>
  <c r="A897" i="11"/>
  <c r="H896" i="11"/>
  <c r="G896" i="11"/>
  <c r="F896" i="11"/>
  <c r="E896" i="11"/>
  <c r="D896" i="11"/>
  <c r="C896" i="11"/>
  <c r="B896" i="11"/>
  <c r="A896" i="11"/>
  <c r="H895" i="11"/>
  <c r="G895" i="11"/>
  <c r="F895" i="11"/>
  <c r="E895" i="11"/>
  <c r="D895" i="11"/>
  <c r="C895" i="11"/>
  <c r="B895" i="11"/>
  <c r="A895" i="11"/>
  <c r="H894" i="11"/>
  <c r="G894" i="11"/>
  <c r="F894" i="11"/>
  <c r="E894" i="11"/>
  <c r="D894" i="11"/>
  <c r="C894" i="11"/>
  <c r="B894" i="11"/>
  <c r="A894" i="11"/>
  <c r="H893" i="11"/>
  <c r="G893" i="11"/>
  <c r="F893" i="11"/>
  <c r="E893" i="11"/>
  <c r="D893" i="11"/>
  <c r="C893" i="11"/>
  <c r="B893" i="11"/>
  <c r="A893" i="11"/>
  <c r="H892" i="11"/>
  <c r="G892" i="11"/>
  <c r="F892" i="11"/>
  <c r="E892" i="11"/>
  <c r="D892" i="11"/>
  <c r="C892" i="11"/>
  <c r="B892" i="11"/>
  <c r="A892" i="11"/>
  <c r="H891" i="11"/>
  <c r="G891" i="11"/>
  <c r="F891" i="11"/>
  <c r="E891" i="11"/>
  <c r="D891" i="11"/>
  <c r="C891" i="11"/>
  <c r="B891" i="11"/>
  <c r="A891" i="11"/>
  <c r="H890" i="11"/>
  <c r="G890" i="11"/>
  <c r="F890" i="11"/>
  <c r="E890" i="11"/>
  <c r="D890" i="11"/>
  <c r="C890" i="11"/>
  <c r="B890" i="11"/>
  <c r="A890" i="11"/>
  <c r="H889" i="11"/>
  <c r="G889" i="11"/>
  <c r="F889" i="11"/>
  <c r="E889" i="11"/>
  <c r="D889" i="11"/>
  <c r="C889" i="11"/>
  <c r="B889" i="11"/>
  <c r="A889" i="11"/>
  <c r="H888" i="11"/>
  <c r="G888" i="11"/>
  <c r="F888" i="11"/>
  <c r="E888" i="11"/>
  <c r="D888" i="11"/>
  <c r="C888" i="11"/>
  <c r="B888" i="11"/>
  <c r="A888" i="11"/>
  <c r="H887" i="11"/>
  <c r="G887" i="11"/>
  <c r="F887" i="11"/>
  <c r="E887" i="11"/>
  <c r="D887" i="11"/>
  <c r="C887" i="11"/>
  <c r="B887" i="11"/>
  <c r="A887" i="11"/>
  <c r="H886" i="11"/>
  <c r="G886" i="11"/>
  <c r="F886" i="11"/>
  <c r="E886" i="11"/>
  <c r="D886" i="11"/>
  <c r="C886" i="11"/>
  <c r="B886" i="11"/>
  <c r="A886" i="11"/>
  <c r="H885" i="11"/>
  <c r="G885" i="11"/>
  <c r="F885" i="11"/>
  <c r="E885" i="11"/>
  <c r="D885" i="11"/>
  <c r="C885" i="11"/>
  <c r="B885" i="11"/>
  <c r="A885" i="11"/>
  <c r="H884" i="11"/>
  <c r="G884" i="11"/>
  <c r="F884" i="11"/>
  <c r="E884" i="11"/>
  <c r="D884" i="11"/>
  <c r="C884" i="11"/>
  <c r="B884" i="11"/>
  <c r="A884" i="11"/>
  <c r="H883" i="11"/>
  <c r="G883" i="11"/>
  <c r="F883" i="11"/>
  <c r="E883" i="11"/>
  <c r="D883" i="11"/>
  <c r="C883" i="11"/>
  <c r="B883" i="11"/>
  <c r="A883" i="11"/>
  <c r="H882" i="11"/>
  <c r="G882" i="11"/>
  <c r="F882" i="11"/>
  <c r="E882" i="11"/>
  <c r="D882" i="11"/>
  <c r="C882" i="11"/>
  <c r="B882" i="11"/>
  <c r="A882" i="11"/>
  <c r="H881" i="11"/>
  <c r="G881" i="11"/>
  <c r="F881" i="11"/>
  <c r="E881" i="11"/>
  <c r="D881" i="11"/>
  <c r="C881" i="11"/>
  <c r="B881" i="11"/>
  <c r="A881" i="11"/>
  <c r="H880" i="11"/>
  <c r="G880" i="11"/>
  <c r="F880" i="11"/>
  <c r="E880" i="11"/>
  <c r="D880" i="11"/>
  <c r="C880" i="11"/>
  <c r="B880" i="11"/>
  <c r="A880" i="11"/>
  <c r="H879" i="11"/>
  <c r="G879" i="11"/>
  <c r="F879" i="11"/>
  <c r="E879" i="11"/>
  <c r="D879" i="11"/>
  <c r="C879" i="11"/>
  <c r="B879" i="11"/>
  <c r="A879" i="11"/>
  <c r="H878" i="11"/>
  <c r="G878" i="11"/>
  <c r="F878" i="11"/>
  <c r="E878" i="11"/>
  <c r="D878" i="11"/>
  <c r="C878" i="11"/>
  <c r="B878" i="11"/>
  <c r="A878" i="11"/>
  <c r="H877" i="11"/>
  <c r="G877" i="11"/>
  <c r="F877" i="11"/>
  <c r="E877" i="11"/>
  <c r="D877" i="11"/>
  <c r="C877" i="11"/>
  <c r="B877" i="11"/>
  <c r="A877" i="11"/>
  <c r="H876" i="11"/>
  <c r="G876" i="11"/>
  <c r="F876" i="11"/>
  <c r="E876" i="11"/>
  <c r="D876" i="11"/>
  <c r="C876" i="11"/>
  <c r="B876" i="11"/>
  <c r="A876" i="11"/>
  <c r="H875" i="11"/>
  <c r="G875" i="11"/>
  <c r="F875" i="11"/>
  <c r="E875" i="11"/>
  <c r="D875" i="11"/>
  <c r="C875" i="11"/>
  <c r="B875" i="11"/>
  <c r="A875" i="11"/>
  <c r="H874" i="11"/>
  <c r="G874" i="11"/>
  <c r="F874" i="11"/>
  <c r="E874" i="11"/>
  <c r="D874" i="11"/>
  <c r="C874" i="11"/>
  <c r="B874" i="11"/>
  <c r="A874" i="11"/>
  <c r="H873" i="11"/>
  <c r="G873" i="11"/>
  <c r="F873" i="11"/>
  <c r="E873" i="11"/>
  <c r="D873" i="11"/>
  <c r="C873" i="11"/>
  <c r="B873" i="11"/>
  <c r="A873" i="11"/>
  <c r="H872" i="11"/>
  <c r="G872" i="11"/>
  <c r="F872" i="11"/>
  <c r="E872" i="11"/>
  <c r="D872" i="11"/>
  <c r="C872" i="11"/>
  <c r="B872" i="11"/>
  <c r="A872" i="11"/>
  <c r="H871" i="11"/>
  <c r="G871" i="11"/>
  <c r="F871" i="11"/>
  <c r="E871" i="11"/>
  <c r="D871" i="11"/>
  <c r="C871" i="11"/>
  <c r="B871" i="11"/>
  <c r="A871" i="11"/>
  <c r="H870" i="11"/>
  <c r="G870" i="11"/>
  <c r="F870" i="11"/>
  <c r="E870" i="11"/>
  <c r="D870" i="11"/>
  <c r="C870" i="11"/>
  <c r="B870" i="11"/>
  <c r="A870" i="11"/>
  <c r="H869" i="11"/>
  <c r="G869" i="11"/>
  <c r="F869" i="11"/>
  <c r="E869" i="11"/>
  <c r="D869" i="11"/>
  <c r="C869" i="11"/>
  <c r="B869" i="11"/>
  <c r="A869" i="11"/>
  <c r="H868" i="11"/>
  <c r="G868" i="11"/>
  <c r="F868" i="11"/>
  <c r="E868" i="11"/>
  <c r="D868" i="11"/>
  <c r="C868" i="11"/>
  <c r="B868" i="11"/>
  <c r="A868" i="11"/>
  <c r="H867" i="11"/>
  <c r="G867" i="11"/>
  <c r="F867" i="11"/>
  <c r="E867" i="11"/>
  <c r="D867" i="11"/>
  <c r="C867" i="11"/>
  <c r="B867" i="11"/>
  <c r="A867" i="11"/>
  <c r="H866" i="11"/>
  <c r="G866" i="11"/>
  <c r="F866" i="11"/>
  <c r="E866" i="11"/>
  <c r="D866" i="11"/>
  <c r="C866" i="11"/>
  <c r="B866" i="11"/>
  <c r="A866" i="11"/>
  <c r="H865" i="11"/>
  <c r="G865" i="11"/>
  <c r="F865" i="11"/>
  <c r="E865" i="11"/>
  <c r="D865" i="11"/>
  <c r="C865" i="11"/>
  <c r="B865" i="11"/>
  <c r="A865" i="11"/>
  <c r="H864" i="11"/>
  <c r="G864" i="11"/>
  <c r="F864" i="11"/>
  <c r="E864" i="11"/>
  <c r="D864" i="11"/>
  <c r="C864" i="11"/>
  <c r="B864" i="11"/>
  <c r="A864" i="11"/>
  <c r="H863" i="11"/>
  <c r="G863" i="11"/>
  <c r="F863" i="11"/>
  <c r="E863" i="11"/>
  <c r="D863" i="11"/>
  <c r="C863" i="11"/>
  <c r="B863" i="11"/>
  <c r="A863" i="11"/>
  <c r="H862" i="11"/>
  <c r="G862" i="11"/>
  <c r="F862" i="11"/>
  <c r="E862" i="11"/>
  <c r="D862" i="11"/>
  <c r="C862" i="11"/>
  <c r="B862" i="11"/>
  <c r="A862" i="11"/>
  <c r="H861" i="11"/>
  <c r="G861" i="11"/>
  <c r="F861" i="11"/>
  <c r="E861" i="11"/>
  <c r="D861" i="11"/>
  <c r="C861" i="11"/>
  <c r="B861" i="11"/>
  <c r="A861" i="11"/>
  <c r="H860" i="11"/>
  <c r="G860" i="11"/>
  <c r="F860" i="11"/>
  <c r="E860" i="11"/>
  <c r="D860" i="11"/>
  <c r="C860" i="11"/>
  <c r="B860" i="11"/>
  <c r="A860" i="11"/>
  <c r="H859" i="11"/>
  <c r="G859" i="11"/>
  <c r="F859" i="11"/>
  <c r="E859" i="11"/>
  <c r="D859" i="11"/>
  <c r="C859" i="11"/>
  <c r="B859" i="11"/>
  <c r="A859" i="11"/>
  <c r="H858" i="11"/>
  <c r="G858" i="11"/>
  <c r="F858" i="11"/>
  <c r="E858" i="11"/>
  <c r="D858" i="11"/>
  <c r="C858" i="11"/>
  <c r="B858" i="11"/>
  <c r="A858" i="11"/>
  <c r="H857" i="11"/>
  <c r="G857" i="11"/>
  <c r="F857" i="11"/>
  <c r="E857" i="11"/>
  <c r="D857" i="11"/>
  <c r="C857" i="11"/>
  <c r="B857" i="11"/>
  <c r="A857" i="11"/>
  <c r="H856" i="11"/>
  <c r="G856" i="11"/>
  <c r="F856" i="11"/>
  <c r="E856" i="11"/>
  <c r="D856" i="11"/>
  <c r="C856" i="11"/>
  <c r="B856" i="11"/>
  <c r="A856" i="11"/>
  <c r="H855" i="11"/>
  <c r="G855" i="11"/>
  <c r="F855" i="11"/>
  <c r="E855" i="11"/>
  <c r="D855" i="11"/>
  <c r="C855" i="11"/>
  <c r="B855" i="11"/>
  <c r="A855" i="11"/>
  <c r="H854" i="11"/>
  <c r="G854" i="11"/>
  <c r="F854" i="11"/>
  <c r="E854" i="11"/>
  <c r="D854" i="11"/>
  <c r="C854" i="11"/>
  <c r="B854" i="11"/>
  <c r="A854" i="11"/>
  <c r="H853" i="11"/>
  <c r="G853" i="11"/>
  <c r="F853" i="11"/>
  <c r="E853" i="11"/>
  <c r="D853" i="11"/>
  <c r="C853" i="11"/>
  <c r="B853" i="11"/>
  <c r="A853" i="11"/>
  <c r="H852" i="11"/>
  <c r="G852" i="11"/>
  <c r="F852" i="11"/>
  <c r="E852" i="11"/>
  <c r="D852" i="11"/>
  <c r="C852" i="11"/>
  <c r="B852" i="11"/>
  <c r="A852" i="11"/>
  <c r="H851" i="11"/>
  <c r="G851" i="11"/>
  <c r="F851" i="11"/>
  <c r="E851" i="11"/>
  <c r="D851" i="11"/>
  <c r="C851" i="11"/>
  <c r="B851" i="11"/>
  <c r="A851" i="11"/>
  <c r="H850" i="11"/>
  <c r="G850" i="11"/>
  <c r="F850" i="11"/>
  <c r="E850" i="11"/>
  <c r="D850" i="11"/>
  <c r="C850" i="11"/>
  <c r="B850" i="11"/>
  <c r="A850" i="11"/>
  <c r="H849" i="11"/>
  <c r="G849" i="11"/>
  <c r="F849" i="11"/>
  <c r="E849" i="11"/>
  <c r="D849" i="11"/>
  <c r="C849" i="11"/>
  <c r="B849" i="11"/>
  <c r="A849" i="11"/>
  <c r="H848" i="11"/>
  <c r="G848" i="11"/>
  <c r="F848" i="11"/>
  <c r="E848" i="11"/>
  <c r="D848" i="11"/>
  <c r="C848" i="11"/>
  <c r="B848" i="11"/>
  <c r="A848" i="11"/>
  <c r="H847" i="11"/>
  <c r="G847" i="11"/>
  <c r="F847" i="11"/>
  <c r="E847" i="11"/>
  <c r="D847" i="11"/>
  <c r="C847" i="11"/>
  <c r="B847" i="11"/>
  <c r="A847" i="11"/>
  <c r="H846" i="11"/>
  <c r="G846" i="11"/>
  <c r="F846" i="11"/>
  <c r="E846" i="11"/>
  <c r="D846" i="11"/>
  <c r="C846" i="11"/>
  <c r="B846" i="11"/>
  <c r="A846" i="11"/>
  <c r="H845" i="11"/>
  <c r="G845" i="11"/>
  <c r="F845" i="11"/>
  <c r="E845" i="11"/>
  <c r="D845" i="11"/>
  <c r="C845" i="11"/>
  <c r="B845" i="11"/>
  <c r="A845" i="11"/>
  <c r="H844" i="11"/>
  <c r="G844" i="11"/>
  <c r="F844" i="11"/>
  <c r="E844" i="11"/>
  <c r="D844" i="11"/>
  <c r="C844" i="11"/>
  <c r="B844" i="11"/>
  <c r="A844" i="11"/>
  <c r="H843" i="11"/>
  <c r="G843" i="11"/>
  <c r="F843" i="11"/>
  <c r="E843" i="11"/>
  <c r="D843" i="11"/>
  <c r="C843" i="11"/>
  <c r="B843" i="11"/>
  <c r="A843" i="11"/>
  <c r="H842" i="11"/>
  <c r="G842" i="11"/>
  <c r="F842" i="11"/>
  <c r="E842" i="11"/>
  <c r="D842" i="11"/>
  <c r="C842" i="11"/>
  <c r="B842" i="11"/>
  <c r="A842" i="11"/>
  <c r="H841" i="11"/>
  <c r="G841" i="11"/>
  <c r="F841" i="11"/>
  <c r="E841" i="11"/>
  <c r="D841" i="11"/>
  <c r="C841" i="11"/>
  <c r="B841" i="11"/>
  <c r="A841" i="11"/>
  <c r="H840" i="11"/>
  <c r="G840" i="11"/>
  <c r="F840" i="11"/>
  <c r="E840" i="11"/>
  <c r="D840" i="11"/>
  <c r="C840" i="11"/>
  <c r="B840" i="11"/>
  <c r="A840" i="11"/>
  <c r="H839" i="11"/>
  <c r="G839" i="11"/>
  <c r="F839" i="11"/>
  <c r="E839" i="11"/>
  <c r="D839" i="11"/>
  <c r="C839" i="11"/>
  <c r="B839" i="11"/>
  <c r="A839" i="11"/>
  <c r="H838" i="11"/>
  <c r="G838" i="11"/>
  <c r="F838" i="11"/>
  <c r="E838" i="11"/>
  <c r="D838" i="11"/>
  <c r="C838" i="11"/>
  <c r="B838" i="11"/>
  <c r="A838" i="11"/>
  <c r="H837" i="11"/>
  <c r="G837" i="11"/>
  <c r="F837" i="11"/>
  <c r="E837" i="11"/>
  <c r="D837" i="11"/>
  <c r="C837" i="11"/>
  <c r="B837" i="11"/>
  <c r="A837" i="11"/>
  <c r="H836" i="11"/>
  <c r="G836" i="11"/>
  <c r="F836" i="11"/>
  <c r="E836" i="11"/>
  <c r="D836" i="11"/>
  <c r="C836" i="11"/>
  <c r="B836" i="11"/>
  <c r="A836" i="11"/>
  <c r="H835" i="11"/>
  <c r="G835" i="11"/>
  <c r="F835" i="11"/>
  <c r="E835" i="11"/>
  <c r="D835" i="11"/>
  <c r="C835" i="11"/>
  <c r="B835" i="11"/>
  <c r="A835" i="11"/>
  <c r="H834" i="11"/>
  <c r="G834" i="11"/>
  <c r="F834" i="11"/>
  <c r="E834" i="11"/>
  <c r="D834" i="11"/>
  <c r="C834" i="11"/>
  <c r="B834" i="11"/>
  <c r="A834" i="11"/>
  <c r="H833" i="11"/>
  <c r="G833" i="11"/>
  <c r="F833" i="11"/>
  <c r="E833" i="11"/>
  <c r="D833" i="11"/>
  <c r="C833" i="11"/>
  <c r="B833" i="11"/>
  <c r="A833" i="11"/>
  <c r="H832" i="11"/>
  <c r="G832" i="11"/>
  <c r="F832" i="11"/>
  <c r="E832" i="11"/>
  <c r="D832" i="11"/>
  <c r="C832" i="11"/>
  <c r="B832" i="11"/>
  <c r="A832" i="11"/>
  <c r="H831" i="11"/>
  <c r="G831" i="11"/>
  <c r="F831" i="11"/>
  <c r="E831" i="11"/>
  <c r="D831" i="11"/>
  <c r="C831" i="11"/>
  <c r="B831" i="11"/>
  <c r="A831" i="11"/>
  <c r="H830" i="11"/>
  <c r="G830" i="11"/>
  <c r="F830" i="11"/>
  <c r="E830" i="11"/>
  <c r="D830" i="11"/>
  <c r="C830" i="11"/>
  <c r="B830" i="11"/>
  <c r="A830" i="11"/>
  <c r="H829" i="11"/>
  <c r="G829" i="11"/>
  <c r="F829" i="11"/>
  <c r="E829" i="11"/>
  <c r="D829" i="11"/>
  <c r="C829" i="11"/>
  <c r="B829" i="11"/>
  <c r="A829" i="11"/>
  <c r="H828" i="11"/>
  <c r="G828" i="11"/>
  <c r="F828" i="11"/>
  <c r="E828" i="11"/>
  <c r="D828" i="11"/>
  <c r="C828" i="11"/>
  <c r="B828" i="11"/>
  <c r="A828" i="11"/>
  <c r="H827" i="11"/>
  <c r="G827" i="11"/>
  <c r="F827" i="11"/>
  <c r="E827" i="11"/>
  <c r="D827" i="11"/>
  <c r="C827" i="11"/>
  <c r="B827" i="11"/>
  <c r="A827" i="11"/>
  <c r="H826" i="11"/>
  <c r="G826" i="11"/>
  <c r="F826" i="11"/>
  <c r="E826" i="11"/>
  <c r="D826" i="11"/>
  <c r="C826" i="11"/>
  <c r="B826" i="11"/>
  <c r="A826" i="11"/>
  <c r="H825" i="11"/>
  <c r="G825" i="11"/>
  <c r="F825" i="11"/>
  <c r="E825" i="11"/>
  <c r="D825" i="11"/>
  <c r="C825" i="11"/>
  <c r="B825" i="11"/>
  <c r="A825" i="11"/>
  <c r="H824" i="11"/>
  <c r="G824" i="11"/>
  <c r="F824" i="11"/>
  <c r="E824" i="11"/>
  <c r="D824" i="11"/>
  <c r="C824" i="11"/>
  <c r="B824" i="11"/>
  <c r="A824" i="11"/>
  <c r="H823" i="11"/>
  <c r="G823" i="11"/>
  <c r="F823" i="11"/>
  <c r="E823" i="11"/>
  <c r="D823" i="11"/>
  <c r="C823" i="11"/>
  <c r="B823" i="11"/>
  <c r="A823" i="11"/>
  <c r="H822" i="11"/>
  <c r="G822" i="11"/>
  <c r="F822" i="11"/>
  <c r="E822" i="11"/>
  <c r="D822" i="11"/>
  <c r="C822" i="11"/>
  <c r="B822" i="11"/>
  <c r="A822" i="11"/>
  <c r="H821" i="11"/>
  <c r="G821" i="11"/>
  <c r="F821" i="11"/>
  <c r="E821" i="11"/>
  <c r="D821" i="11"/>
  <c r="C821" i="11"/>
  <c r="B821" i="11"/>
  <c r="A821" i="11"/>
  <c r="H820" i="11"/>
  <c r="G820" i="11"/>
  <c r="F820" i="11"/>
  <c r="E820" i="11"/>
  <c r="D820" i="11"/>
  <c r="C820" i="11"/>
  <c r="B820" i="11"/>
  <c r="A820" i="11"/>
  <c r="H819" i="11"/>
  <c r="G819" i="11"/>
  <c r="F819" i="11"/>
  <c r="E819" i="11"/>
  <c r="D819" i="11"/>
  <c r="C819" i="11"/>
  <c r="B819" i="11"/>
  <c r="A819" i="11"/>
  <c r="H818" i="11"/>
  <c r="G818" i="11"/>
  <c r="F818" i="11"/>
  <c r="E818" i="11"/>
  <c r="D818" i="11"/>
  <c r="C818" i="11"/>
  <c r="B818" i="11"/>
  <c r="A818" i="11"/>
  <c r="H817" i="11"/>
  <c r="G817" i="11"/>
  <c r="F817" i="11"/>
  <c r="E817" i="11"/>
  <c r="D817" i="11"/>
  <c r="C817" i="11"/>
  <c r="B817" i="11"/>
  <c r="A817" i="11"/>
  <c r="H816" i="11"/>
  <c r="G816" i="11"/>
  <c r="F816" i="11"/>
  <c r="E816" i="11"/>
  <c r="D816" i="11"/>
  <c r="C816" i="11"/>
  <c r="B816" i="11"/>
  <c r="A816" i="11"/>
  <c r="H815" i="11"/>
  <c r="G815" i="11"/>
  <c r="F815" i="11"/>
  <c r="E815" i="11"/>
  <c r="D815" i="11"/>
  <c r="C815" i="11"/>
  <c r="B815" i="11"/>
  <c r="A815" i="11"/>
  <c r="H814" i="11"/>
  <c r="G814" i="11"/>
  <c r="F814" i="11"/>
  <c r="E814" i="11"/>
  <c r="D814" i="11"/>
  <c r="C814" i="11"/>
  <c r="B814" i="11"/>
  <c r="A814" i="11"/>
  <c r="H813" i="11"/>
  <c r="G813" i="11"/>
  <c r="F813" i="11"/>
  <c r="E813" i="11"/>
  <c r="D813" i="11"/>
  <c r="C813" i="11"/>
  <c r="B813" i="11"/>
  <c r="A813" i="11"/>
  <c r="H812" i="11"/>
  <c r="G812" i="11"/>
  <c r="F812" i="11"/>
  <c r="E812" i="11"/>
  <c r="D812" i="11"/>
  <c r="C812" i="11"/>
  <c r="B812" i="11"/>
  <c r="A812" i="11"/>
  <c r="H811" i="11"/>
  <c r="G811" i="11"/>
  <c r="F811" i="11"/>
  <c r="E811" i="11"/>
  <c r="D811" i="11"/>
  <c r="C811" i="11"/>
  <c r="B811" i="11"/>
  <c r="A811" i="11"/>
  <c r="H810" i="11"/>
  <c r="G810" i="11"/>
  <c r="F810" i="11"/>
  <c r="E810" i="11"/>
  <c r="D810" i="11"/>
  <c r="C810" i="11"/>
  <c r="B810" i="11"/>
  <c r="A810" i="11"/>
  <c r="H809" i="11"/>
  <c r="G809" i="11"/>
  <c r="F809" i="11"/>
  <c r="E809" i="11"/>
  <c r="D809" i="11"/>
  <c r="C809" i="11"/>
  <c r="B809" i="11"/>
  <c r="A809" i="11"/>
  <c r="H808" i="11"/>
  <c r="G808" i="11"/>
  <c r="F808" i="11"/>
  <c r="E808" i="11"/>
  <c r="D808" i="11"/>
  <c r="C808" i="11"/>
  <c r="B808" i="11"/>
  <c r="A808" i="11"/>
  <c r="H807" i="11"/>
  <c r="G807" i="11"/>
  <c r="F807" i="11"/>
  <c r="E807" i="11"/>
  <c r="D807" i="11"/>
  <c r="C807" i="11"/>
  <c r="B807" i="11"/>
  <c r="A807" i="11"/>
  <c r="H806" i="11"/>
  <c r="G806" i="11"/>
  <c r="F806" i="11"/>
  <c r="E806" i="11"/>
  <c r="D806" i="11"/>
  <c r="C806" i="11"/>
  <c r="B806" i="11"/>
  <c r="A806" i="11"/>
  <c r="H805" i="11"/>
  <c r="G805" i="11"/>
  <c r="F805" i="11"/>
  <c r="E805" i="11"/>
  <c r="D805" i="11"/>
  <c r="C805" i="11"/>
  <c r="B805" i="11"/>
  <c r="A805" i="11"/>
  <c r="H804" i="11"/>
  <c r="G804" i="11"/>
  <c r="F804" i="11"/>
  <c r="E804" i="11"/>
  <c r="D804" i="11"/>
  <c r="C804" i="11"/>
  <c r="B804" i="11"/>
  <c r="A804" i="11"/>
  <c r="H803" i="11"/>
  <c r="G803" i="11"/>
  <c r="F803" i="11"/>
  <c r="E803" i="11"/>
  <c r="D803" i="11"/>
  <c r="C803" i="11"/>
  <c r="B803" i="11"/>
  <c r="A803" i="11"/>
  <c r="H802" i="11"/>
  <c r="G802" i="11"/>
  <c r="F802" i="11"/>
  <c r="E802" i="11"/>
  <c r="D802" i="11"/>
  <c r="C802" i="11"/>
  <c r="B802" i="11"/>
  <c r="A802" i="11"/>
  <c r="H801" i="11"/>
  <c r="G801" i="11"/>
  <c r="F801" i="11"/>
  <c r="E801" i="11"/>
  <c r="D801" i="11"/>
  <c r="C801" i="11"/>
  <c r="B801" i="11"/>
  <c r="A801" i="11"/>
  <c r="H800" i="11"/>
  <c r="G800" i="11"/>
  <c r="F800" i="11"/>
  <c r="E800" i="11"/>
  <c r="D800" i="11"/>
  <c r="C800" i="11"/>
  <c r="B800" i="11"/>
  <c r="A800" i="11"/>
  <c r="H799" i="11"/>
  <c r="G799" i="11"/>
  <c r="F799" i="11"/>
  <c r="E799" i="11"/>
  <c r="D799" i="11"/>
  <c r="C799" i="11"/>
  <c r="B799" i="11"/>
  <c r="A799" i="11"/>
  <c r="H798" i="11"/>
  <c r="G798" i="11"/>
  <c r="F798" i="11"/>
  <c r="E798" i="11"/>
  <c r="D798" i="11"/>
  <c r="C798" i="11"/>
  <c r="B798" i="11"/>
  <c r="A798" i="11"/>
  <c r="H797" i="11"/>
  <c r="G797" i="11"/>
  <c r="F797" i="11"/>
  <c r="E797" i="11"/>
  <c r="D797" i="11"/>
  <c r="C797" i="11"/>
  <c r="B797" i="11"/>
  <c r="A797" i="11"/>
  <c r="H796" i="11"/>
  <c r="G796" i="11"/>
  <c r="F796" i="11"/>
  <c r="E796" i="11"/>
  <c r="D796" i="11"/>
  <c r="C796" i="11"/>
  <c r="B796" i="11"/>
  <c r="A796" i="11"/>
  <c r="H795" i="11"/>
  <c r="G795" i="11"/>
  <c r="F795" i="11"/>
  <c r="E795" i="11"/>
  <c r="D795" i="11"/>
  <c r="C795" i="11"/>
  <c r="B795" i="11"/>
  <c r="A795" i="11"/>
  <c r="H794" i="11"/>
  <c r="G794" i="11"/>
  <c r="F794" i="11"/>
  <c r="E794" i="11"/>
  <c r="D794" i="11"/>
  <c r="C794" i="11"/>
  <c r="B794" i="11"/>
  <c r="A794" i="11"/>
  <c r="H793" i="11"/>
  <c r="G793" i="11"/>
  <c r="F793" i="11"/>
  <c r="E793" i="11"/>
  <c r="D793" i="11"/>
  <c r="C793" i="11"/>
  <c r="B793" i="11"/>
  <c r="A793" i="11"/>
  <c r="H792" i="11"/>
  <c r="G792" i="11"/>
  <c r="F792" i="11"/>
  <c r="E792" i="11"/>
  <c r="D792" i="11"/>
  <c r="C792" i="11"/>
  <c r="B792" i="11"/>
  <c r="A792" i="11"/>
  <c r="H791" i="11"/>
  <c r="G791" i="11"/>
  <c r="F791" i="11"/>
  <c r="E791" i="11"/>
  <c r="D791" i="11"/>
  <c r="C791" i="11"/>
  <c r="B791" i="11"/>
  <c r="A791" i="11"/>
  <c r="H790" i="11"/>
  <c r="G790" i="11"/>
  <c r="F790" i="11"/>
  <c r="E790" i="11"/>
  <c r="D790" i="11"/>
  <c r="C790" i="11"/>
  <c r="B790" i="11"/>
  <c r="A790" i="11"/>
  <c r="H789" i="11"/>
  <c r="G789" i="11"/>
  <c r="F789" i="11"/>
  <c r="E789" i="11"/>
  <c r="D789" i="11"/>
  <c r="C789" i="11"/>
  <c r="B789" i="11"/>
  <c r="A789" i="11"/>
  <c r="H788" i="11"/>
  <c r="G788" i="11"/>
  <c r="F788" i="11"/>
  <c r="E788" i="11"/>
  <c r="D788" i="11"/>
  <c r="C788" i="11"/>
  <c r="B788" i="11"/>
  <c r="A788" i="11"/>
  <c r="H787" i="11"/>
  <c r="G787" i="11"/>
  <c r="F787" i="11"/>
  <c r="E787" i="11"/>
  <c r="D787" i="11"/>
  <c r="C787" i="11"/>
  <c r="B787" i="11"/>
  <c r="A787" i="11"/>
  <c r="H786" i="11"/>
  <c r="G786" i="11"/>
  <c r="F786" i="11"/>
  <c r="E786" i="11"/>
  <c r="D786" i="11"/>
  <c r="C786" i="11"/>
  <c r="B786" i="11"/>
  <c r="A786" i="11"/>
  <c r="H785" i="11"/>
  <c r="G785" i="11"/>
  <c r="F785" i="11"/>
  <c r="E785" i="11"/>
  <c r="D785" i="11"/>
  <c r="C785" i="11"/>
  <c r="B785" i="11"/>
  <c r="A785" i="11"/>
  <c r="H784" i="11"/>
  <c r="G784" i="11"/>
  <c r="F784" i="11"/>
  <c r="E784" i="11"/>
  <c r="D784" i="11"/>
  <c r="C784" i="11"/>
  <c r="B784" i="11"/>
  <c r="A784" i="11"/>
  <c r="H783" i="11"/>
  <c r="G783" i="11"/>
  <c r="F783" i="11"/>
  <c r="E783" i="11"/>
  <c r="D783" i="11"/>
  <c r="C783" i="11"/>
  <c r="B783" i="11"/>
  <c r="A783" i="11"/>
  <c r="H782" i="11"/>
  <c r="G782" i="11"/>
  <c r="F782" i="11"/>
  <c r="E782" i="11"/>
  <c r="D782" i="11"/>
  <c r="C782" i="11"/>
  <c r="B782" i="11"/>
  <c r="A782" i="11"/>
  <c r="H781" i="11"/>
  <c r="G781" i="11"/>
  <c r="F781" i="11"/>
  <c r="E781" i="11"/>
  <c r="D781" i="11"/>
  <c r="C781" i="11"/>
  <c r="B781" i="11"/>
  <c r="A781" i="11"/>
  <c r="H780" i="11"/>
  <c r="G780" i="11"/>
  <c r="F780" i="11"/>
  <c r="E780" i="11"/>
  <c r="D780" i="11"/>
  <c r="C780" i="11"/>
  <c r="B780" i="11"/>
  <c r="A780" i="11"/>
  <c r="H779" i="11"/>
  <c r="G779" i="11"/>
  <c r="F779" i="11"/>
  <c r="E779" i="11"/>
  <c r="D779" i="11"/>
  <c r="C779" i="11"/>
  <c r="B779" i="11"/>
  <c r="A779" i="11"/>
  <c r="H778" i="11"/>
  <c r="G778" i="11"/>
  <c r="F778" i="11"/>
  <c r="E778" i="11"/>
  <c r="D778" i="11"/>
  <c r="C778" i="11"/>
  <c r="B778" i="11"/>
  <c r="A778" i="11"/>
  <c r="H777" i="11"/>
  <c r="G777" i="11"/>
  <c r="F777" i="11"/>
  <c r="E777" i="11"/>
  <c r="D777" i="11"/>
  <c r="C777" i="11"/>
  <c r="B777" i="11"/>
  <c r="A777" i="11"/>
  <c r="H776" i="11"/>
  <c r="G776" i="11"/>
  <c r="F776" i="11"/>
  <c r="E776" i="11"/>
  <c r="D776" i="11"/>
  <c r="C776" i="11"/>
  <c r="B776" i="11"/>
  <c r="A776" i="11"/>
  <c r="H775" i="11"/>
  <c r="G775" i="11"/>
  <c r="F775" i="11"/>
  <c r="E775" i="11"/>
  <c r="D775" i="11"/>
  <c r="C775" i="11"/>
  <c r="B775" i="11"/>
  <c r="A775" i="11"/>
  <c r="H774" i="11"/>
  <c r="G774" i="11"/>
  <c r="F774" i="11"/>
  <c r="E774" i="11"/>
  <c r="D774" i="11"/>
  <c r="C774" i="11"/>
  <c r="B774" i="11"/>
  <c r="A774" i="11"/>
  <c r="H773" i="11"/>
  <c r="G773" i="11"/>
  <c r="F773" i="11"/>
  <c r="E773" i="11"/>
  <c r="D773" i="11"/>
  <c r="C773" i="11"/>
  <c r="B773" i="11"/>
  <c r="A773" i="11"/>
  <c r="H772" i="11"/>
  <c r="G772" i="11"/>
  <c r="F772" i="11"/>
  <c r="E772" i="11"/>
  <c r="D772" i="11"/>
  <c r="C772" i="11"/>
  <c r="B772" i="11"/>
  <c r="A772" i="11"/>
  <c r="H771" i="11"/>
  <c r="G771" i="11"/>
  <c r="F771" i="11"/>
  <c r="E771" i="11"/>
  <c r="D771" i="11"/>
  <c r="C771" i="11"/>
  <c r="B771" i="11"/>
  <c r="A771" i="11"/>
  <c r="H770" i="11"/>
  <c r="G770" i="11"/>
  <c r="F770" i="11"/>
  <c r="E770" i="11"/>
  <c r="D770" i="11"/>
  <c r="C770" i="11"/>
  <c r="B770" i="11"/>
  <c r="A770" i="11"/>
  <c r="H769" i="11"/>
  <c r="G769" i="11"/>
  <c r="F769" i="11"/>
  <c r="E769" i="11"/>
  <c r="D769" i="11"/>
  <c r="C769" i="11"/>
  <c r="B769" i="11"/>
  <c r="A769" i="11"/>
  <c r="H768" i="11"/>
  <c r="G768" i="11"/>
  <c r="F768" i="11"/>
  <c r="E768" i="11"/>
  <c r="D768" i="11"/>
  <c r="C768" i="11"/>
  <c r="B768" i="11"/>
  <c r="A768" i="11"/>
  <c r="H767" i="11"/>
  <c r="G767" i="11"/>
  <c r="F767" i="11"/>
  <c r="E767" i="11"/>
  <c r="D767" i="11"/>
  <c r="C767" i="11"/>
  <c r="B767" i="11"/>
  <c r="A767" i="11"/>
  <c r="H766" i="11"/>
  <c r="G766" i="11"/>
  <c r="F766" i="11"/>
  <c r="E766" i="11"/>
  <c r="D766" i="11"/>
  <c r="C766" i="11"/>
  <c r="B766" i="11"/>
  <c r="A766" i="11"/>
  <c r="H765" i="11"/>
  <c r="G765" i="11"/>
  <c r="F765" i="11"/>
  <c r="E765" i="11"/>
  <c r="D765" i="11"/>
  <c r="C765" i="11"/>
  <c r="B765" i="11"/>
  <c r="A765" i="11"/>
  <c r="H764" i="11"/>
  <c r="G764" i="11"/>
  <c r="F764" i="11"/>
  <c r="E764" i="11"/>
  <c r="D764" i="11"/>
  <c r="C764" i="11"/>
  <c r="B764" i="11"/>
  <c r="A764" i="11"/>
  <c r="H763" i="11"/>
  <c r="G763" i="11"/>
  <c r="F763" i="11"/>
  <c r="E763" i="11"/>
  <c r="D763" i="11"/>
  <c r="C763" i="11"/>
  <c r="B763" i="11"/>
  <c r="A763" i="11"/>
  <c r="H762" i="11"/>
  <c r="G762" i="11"/>
  <c r="F762" i="11"/>
  <c r="E762" i="11"/>
  <c r="D762" i="11"/>
  <c r="C762" i="11"/>
  <c r="B762" i="11"/>
  <c r="A762" i="11"/>
  <c r="H761" i="11"/>
  <c r="G761" i="11"/>
  <c r="F761" i="11"/>
  <c r="E761" i="11"/>
  <c r="D761" i="11"/>
  <c r="C761" i="11"/>
  <c r="B761" i="11"/>
  <c r="A761" i="11"/>
  <c r="H760" i="11"/>
  <c r="G760" i="11"/>
  <c r="F760" i="11"/>
  <c r="E760" i="11"/>
  <c r="D760" i="11"/>
  <c r="C760" i="11"/>
  <c r="B760" i="11"/>
  <c r="A760" i="11"/>
  <c r="H759" i="11"/>
  <c r="G759" i="11"/>
  <c r="F759" i="11"/>
  <c r="E759" i="11"/>
  <c r="D759" i="11"/>
  <c r="C759" i="11"/>
  <c r="B759" i="11"/>
  <c r="A759" i="11"/>
  <c r="H758" i="11"/>
  <c r="G758" i="11"/>
  <c r="F758" i="11"/>
  <c r="E758" i="11"/>
  <c r="D758" i="11"/>
  <c r="C758" i="11"/>
  <c r="B758" i="11"/>
  <c r="A758" i="11"/>
  <c r="H757" i="11"/>
  <c r="G757" i="11"/>
  <c r="F757" i="11"/>
  <c r="E757" i="11"/>
  <c r="D757" i="11"/>
  <c r="C757" i="11"/>
  <c r="B757" i="11"/>
  <c r="A757" i="11"/>
  <c r="H756" i="11"/>
  <c r="G756" i="11"/>
  <c r="F756" i="11"/>
  <c r="E756" i="11"/>
  <c r="D756" i="11"/>
  <c r="C756" i="11"/>
  <c r="B756" i="11"/>
  <c r="A756" i="11"/>
  <c r="H755" i="11"/>
  <c r="G755" i="11"/>
  <c r="F755" i="11"/>
  <c r="E755" i="11"/>
  <c r="D755" i="11"/>
  <c r="C755" i="11"/>
  <c r="B755" i="11"/>
  <c r="A755" i="11"/>
  <c r="H754" i="11"/>
  <c r="G754" i="11"/>
  <c r="F754" i="11"/>
  <c r="E754" i="11"/>
  <c r="D754" i="11"/>
  <c r="C754" i="11"/>
  <c r="B754" i="11"/>
  <c r="A754" i="11"/>
  <c r="H753" i="11"/>
  <c r="G753" i="11"/>
  <c r="F753" i="11"/>
  <c r="E753" i="11"/>
  <c r="D753" i="11"/>
  <c r="C753" i="11"/>
  <c r="B753" i="11"/>
  <c r="A753" i="11"/>
  <c r="H752" i="11"/>
  <c r="G752" i="11"/>
  <c r="F752" i="11"/>
  <c r="E752" i="11"/>
  <c r="D752" i="11"/>
  <c r="C752" i="11"/>
  <c r="B752" i="11"/>
  <c r="A752" i="11"/>
  <c r="H751" i="11"/>
  <c r="G751" i="11"/>
  <c r="F751" i="11"/>
  <c r="E751" i="11"/>
  <c r="D751" i="11"/>
  <c r="C751" i="11"/>
  <c r="B751" i="11"/>
  <c r="A751" i="11"/>
  <c r="H750" i="11"/>
  <c r="G750" i="11"/>
  <c r="F750" i="11"/>
  <c r="E750" i="11"/>
  <c r="D750" i="11"/>
  <c r="C750" i="11"/>
  <c r="B750" i="11"/>
  <c r="A750" i="11"/>
  <c r="H749" i="11"/>
  <c r="G749" i="11"/>
  <c r="F749" i="11"/>
  <c r="E749" i="11"/>
  <c r="D749" i="11"/>
  <c r="C749" i="11"/>
  <c r="B749" i="11"/>
  <c r="A749" i="11"/>
  <c r="H748" i="11"/>
  <c r="G748" i="11"/>
  <c r="F748" i="11"/>
  <c r="E748" i="11"/>
  <c r="D748" i="11"/>
  <c r="C748" i="11"/>
  <c r="B748" i="11"/>
  <c r="A748" i="11"/>
  <c r="H747" i="11"/>
  <c r="G747" i="11"/>
  <c r="F747" i="11"/>
  <c r="E747" i="11"/>
  <c r="D747" i="11"/>
  <c r="C747" i="11"/>
  <c r="B747" i="11"/>
  <c r="A747" i="11"/>
  <c r="H746" i="11"/>
  <c r="G746" i="11"/>
  <c r="F746" i="11"/>
  <c r="E746" i="11"/>
  <c r="D746" i="11"/>
  <c r="C746" i="11"/>
  <c r="B746" i="11"/>
  <c r="A746" i="11"/>
  <c r="H745" i="11"/>
  <c r="G745" i="11"/>
  <c r="F745" i="11"/>
  <c r="E745" i="11"/>
  <c r="D745" i="11"/>
  <c r="C745" i="11"/>
  <c r="B745" i="11"/>
  <c r="A745" i="11"/>
  <c r="H744" i="11"/>
  <c r="G744" i="11"/>
  <c r="F744" i="11"/>
  <c r="E744" i="11"/>
  <c r="D744" i="11"/>
  <c r="C744" i="11"/>
  <c r="B744" i="11"/>
  <c r="A744" i="11"/>
  <c r="H743" i="11"/>
  <c r="G743" i="11"/>
  <c r="F743" i="11"/>
  <c r="E743" i="11"/>
  <c r="D743" i="11"/>
  <c r="C743" i="11"/>
  <c r="B743" i="11"/>
  <c r="A743" i="11"/>
  <c r="H742" i="11"/>
  <c r="G742" i="11"/>
  <c r="F742" i="11"/>
  <c r="E742" i="11"/>
  <c r="D742" i="11"/>
  <c r="C742" i="11"/>
  <c r="B742" i="11"/>
  <c r="A742" i="11"/>
  <c r="H741" i="11"/>
  <c r="G741" i="11"/>
  <c r="F741" i="11"/>
  <c r="E741" i="11"/>
  <c r="D741" i="11"/>
  <c r="C741" i="11"/>
  <c r="B741" i="11"/>
  <c r="A741" i="11"/>
  <c r="H740" i="11"/>
  <c r="G740" i="11"/>
  <c r="F740" i="11"/>
  <c r="E740" i="11"/>
  <c r="D740" i="11"/>
  <c r="C740" i="11"/>
  <c r="B740" i="11"/>
  <c r="A740" i="11"/>
  <c r="H739" i="11"/>
  <c r="G739" i="11"/>
  <c r="F739" i="11"/>
  <c r="E739" i="11"/>
  <c r="D739" i="11"/>
  <c r="C739" i="11"/>
  <c r="B739" i="11"/>
  <c r="A739" i="11"/>
  <c r="H738" i="11"/>
  <c r="G738" i="11"/>
  <c r="F738" i="11"/>
  <c r="E738" i="11"/>
  <c r="D738" i="11"/>
  <c r="C738" i="11"/>
  <c r="B738" i="11"/>
  <c r="A738" i="11"/>
  <c r="H737" i="11"/>
  <c r="G737" i="11"/>
  <c r="F737" i="11"/>
  <c r="E737" i="11"/>
  <c r="D737" i="11"/>
  <c r="C737" i="11"/>
  <c r="B737" i="11"/>
  <c r="A737" i="11"/>
  <c r="H736" i="11"/>
  <c r="G736" i="11"/>
  <c r="F736" i="11"/>
  <c r="E736" i="11"/>
  <c r="D736" i="11"/>
  <c r="C736" i="11"/>
  <c r="B736" i="11"/>
  <c r="A736" i="11"/>
  <c r="H735" i="11"/>
  <c r="G735" i="11"/>
  <c r="F735" i="11"/>
  <c r="E735" i="11"/>
  <c r="D735" i="11"/>
  <c r="C735" i="11"/>
  <c r="B735" i="11"/>
  <c r="A735" i="11"/>
  <c r="H734" i="11"/>
  <c r="G734" i="11"/>
  <c r="F734" i="11"/>
  <c r="E734" i="11"/>
  <c r="D734" i="11"/>
  <c r="C734" i="11"/>
  <c r="B734" i="11"/>
  <c r="A734" i="11"/>
  <c r="H733" i="11"/>
  <c r="G733" i="11"/>
  <c r="F733" i="11"/>
  <c r="E733" i="11"/>
  <c r="D733" i="11"/>
  <c r="C733" i="11"/>
  <c r="B733" i="11"/>
  <c r="A733" i="11"/>
  <c r="H732" i="11"/>
  <c r="G732" i="11"/>
  <c r="F732" i="11"/>
  <c r="E732" i="11"/>
  <c r="D732" i="11"/>
  <c r="C732" i="11"/>
  <c r="B732" i="11"/>
  <c r="A732" i="11"/>
  <c r="H731" i="11"/>
  <c r="G731" i="11"/>
  <c r="F731" i="11"/>
  <c r="E731" i="11"/>
  <c r="D731" i="11"/>
  <c r="C731" i="11"/>
  <c r="B731" i="11"/>
  <c r="A731" i="11"/>
  <c r="H730" i="11"/>
  <c r="G730" i="11"/>
  <c r="F730" i="11"/>
  <c r="E730" i="11"/>
  <c r="D730" i="11"/>
  <c r="C730" i="11"/>
  <c r="B730" i="11"/>
  <c r="A730" i="11"/>
  <c r="H729" i="11"/>
  <c r="G729" i="11"/>
  <c r="F729" i="11"/>
  <c r="E729" i="11"/>
  <c r="D729" i="11"/>
  <c r="C729" i="11"/>
  <c r="B729" i="11"/>
  <c r="A729" i="11"/>
  <c r="H728" i="11"/>
  <c r="G728" i="11"/>
  <c r="F728" i="11"/>
  <c r="E728" i="11"/>
  <c r="D728" i="11"/>
  <c r="C728" i="11"/>
  <c r="B728" i="11"/>
  <c r="A728" i="11"/>
  <c r="H727" i="11"/>
  <c r="G727" i="11"/>
  <c r="F727" i="11"/>
  <c r="E727" i="11"/>
  <c r="D727" i="11"/>
  <c r="C727" i="11"/>
  <c r="B727" i="11"/>
  <c r="A727" i="11"/>
  <c r="H726" i="11"/>
  <c r="G726" i="11"/>
  <c r="F726" i="11"/>
  <c r="E726" i="11"/>
  <c r="D726" i="11"/>
  <c r="C726" i="11"/>
  <c r="B726" i="11"/>
  <c r="A726" i="11"/>
  <c r="H725" i="11"/>
  <c r="G725" i="11"/>
  <c r="F725" i="11"/>
  <c r="E725" i="11"/>
  <c r="D725" i="11"/>
  <c r="C725" i="11"/>
  <c r="B725" i="11"/>
  <c r="A725" i="11"/>
  <c r="H724" i="11"/>
  <c r="G724" i="11"/>
  <c r="F724" i="11"/>
  <c r="E724" i="11"/>
  <c r="D724" i="11"/>
  <c r="C724" i="11"/>
  <c r="B724" i="11"/>
  <c r="A724" i="11"/>
  <c r="H723" i="11"/>
  <c r="G723" i="11"/>
  <c r="F723" i="11"/>
  <c r="E723" i="11"/>
  <c r="D723" i="11"/>
  <c r="C723" i="11"/>
  <c r="B723" i="11"/>
  <c r="A723" i="11"/>
  <c r="H722" i="11"/>
  <c r="G722" i="11"/>
  <c r="F722" i="11"/>
  <c r="E722" i="11"/>
  <c r="D722" i="11"/>
  <c r="C722" i="11"/>
  <c r="B722" i="11"/>
  <c r="A722" i="11"/>
  <c r="H721" i="11"/>
  <c r="G721" i="11"/>
  <c r="F721" i="11"/>
  <c r="E721" i="11"/>
  <c r="D721" i="11"/>
  <c r="C721" i="11"/>
  <c r="B721" i="11"/>
  <c r="A721" i="11"/>
  <c r="H720" i="11"/>
  <c r="G720" i="11"/>
  <c r="F720" i="11"/>
  <c r="E720" i="11"/>
  <c r="D720" i="11"/>
  <c r="C720" i="11"/>
  <c r="B720" i="11"/>
  <c r="A720" i="11"/>
  <c r="H719" i="11"/>
  <c r="G719" i="11"/>
  <c r="F719" i="11"/>
  <c r="E719" i="11"/>
  <c r="D719" i="11"/>
  <c r="C719" i="11"/>
  <c r="B719" i="11"/>
  <c r="A719" i="11"/>
  <c r="H718" i="11"/>
  <c r="G718" i="11"/>
  <c r="F718" i="11"/>
  <c r="E718" i="11"/>
  <c r="D718" i="11"/>
  <c r="C718" i="11"/>
  <c r="B718" i="11"/>
  <c r="A718" i="11"/>
  <c r="H717" i="11"/>
  <c r="G717" i="11"/>
  <c r="F717" i="11"/>
  <c r="E717" i="11"/>
  <c r="D717" i="11"/>
  <c r="C717" i="11"/>
  <c r="B717" i="11"/>
  <c r="A717" i="11"/>
  <c r="H716" i="11"/>
  <c r="G716" i="11"/>
  <c r="F716" i="11"/>
  <c r="E716" i="11"/>
  <c r="D716" i="11"/>
  <c r="C716" i="11"/>
  <c r="B716" i="11"/>
  <c r="A716" i="11"/>
  <c r="H715" i="11"/>
  <c r="G715" i="11"/>
  <c r="F715" i="11"/>
  <c r="E715" i="11"/>
  <c r="D715" i="11"/>
  <c r="C715" i="11"/>
  <c r="B715" i="11"/>
  <c r="A715" i="11"/>
  <c r="H714" i="11"/>
  <c r="G714" i="11"/>
  <c r="F714" i="11"/>
  <c r="E714" i="11"/>
  <c r="D714" i="11"/>
  <c r="C714" i="11"/>
  <c r="B714" i="11"/>
  <c r="A714" i="11"/>
  <c r="H713" i="11"/>
  <c r="G713" i="11"/>
  <c r="F713" i="11"/>
  <c r="E713" i="11"/>
  <c r="D713" i="11"/>
  <c r="C713" i="11"/>
  <c r="B713" i="11"/>
  <c r="A713" i="11"/>
  <c r="H712" i="11"/>
  <c r="G712" i="11"/>
  <c r="F712" i="11"/>
  <c r="E712" i="11"/>
  <c r="D712" i="11"/>
  <c r="C712" i="11"/>
  <c r="B712" i="11"/>
  <c r="A712" i="11"/>
  <c r="H711" i="11"/>
  <c r="G711" i="11"/>
  <c r="F711" i="11"/>
  <c r="E711" i="11"/>
  <c r="D711" i="11"/>
  <c r="C711" i="11"/>
  <c r="B711" i="11"/>
  <c r="A711" i="11"/>
  <c r="H710" i="11"/>
  <c r="G710" i="11"/>
  <c r="F710" i="11"/>
  <c r="E710" i="11"/>
  <c r="D710" i="11"/>
  <c r="C710" i="11"/>
  <c r="B710" i="11"/>
  <c r="A710" i="11"/>
  <c r="H709" i="11"/>
  <c r="G709" i="11"/>
  <c r="F709" i="11"/>
  <c r="E709" i="11"/>
  <c r="D709" i="11"/>
  <c r="C709" i="11"/>
  <c r="B709" i="11"/>
  <c r="A709" i="11"/>
  <c r="H708" i="11"/>
  <c r="G708" i="11"/>
  <c r="F708" i="11"/>
  <c r="E708" i="11"/>
  <c r="D708" i="11"/>
  <c r="C708" i="11"/>
  <c r="B708" i="11"/>
  <c r="A708" i="11"/>
  <c r="H707" i="11"/>
  <c r="G707" i="11"/>
  <c r="F707" i="11"/>
  <c r="E707" i="11"/>
  <c r="D707" i="11"/>
  <c r="C707" i="11"/>
  <c r="B707" i="11"/>
  <c r="A707" i="11"/>
  <c r="H706" i="11"/>
  <c r="G706" i="11"/>
  <c r="F706" i="11"/>
  <c r="E706" i="11"/>
  <c r="D706" i="11"/>
  <c r="C706" i="11"/>
  <c r="B706" i="11"/>
  <c r="A706" i="11"/>
  <c r="H705" i="11"/>
  <c r="G705" i="11"/>
  <c r="F705" i="11"/>
  <c r="E705" i="11"/>
  <c r="D705" i="11"/>
  <c r="C705" i="11"/>
  <c r="B705" i="11"/>
  <c r="A705" i="11"/>
  <c r="H704" i="11"/>
  <c r="G704" i="11"/>
  <c r="F704" i="11"/>
  <c r="E704" i="11"/>
  <c r="D704" i="11"/>
  <c r="C704" i="11"/>
  <c r="B704" i="11"/>
  <c r="A704" i="11"/>
  <c r="H703" i="11"/>
  <c r="G703" i="11"/>
  <c r="F703" i="11"/>
  <c r="E703" i="11"/>
  <c r="D703" i="11"/>
  <c r="C703" i="11"/>
  <c r="B703" i="11"/>
  <c r="A703" i="11"/>
  <c r="H702" i="11"/>
  <c r="G702" i="11"/>
  <c r="F702" i="11"/>
  <c r="E702" i="11"/>
  <c r="D702" i="11"/>
  <c r="C702" i="11"/>
  <c r="B702" i="11"/>
  <c r="A702" i="11"/>
  <c r="H701" i="11"/>
  <c r="G701" i="11"/>
  <c r="F701" i="11"/>
  <c r="E701" i="11"/>
  <c r="D701" i="11"/>
  <c r="C701" i="11"/>
  <c r="B701" i="11"/>
  <c r="A701" i="11"/>
  <c r="H700" i="11"/>
  <c r="G700" i="11"/>
  <c r="F700" i="11"/>
  <c r="E700" i="11"/>
  <c r="D700" i="11"/>
  <c r="C700" i="11"/>
  <c r="B700" i="11"/>
  <c r="A700" i="11"/>
  <c r="H699" i="11"/>
  <c r="G699" i="11"/>
  <c r="F699" i="11"/>
  <c r="E699" i="11"/>
  <c r="D699" i="11"/>
  <c r="C699" i="11"/>
  <c r="B699" i="11"/>
  <c r="A699" i="11"/>
  <c r="H698" i="11"/>
  <c r="G698" i="11"/>
  <c r="F698" i="11"/>
  <c r="E698" i="11"/>
  <c r="D698" i="11"/>
  <c r="C698" i="11"/>
  <c r="B698" i="11"/>
  <c r="A698" i="11"/>
  <c r="H697" i="11"/>
  <c r="G697" i="11"/>
  <c r="F697" i="11"/>
  <c r="E697" i="11"/>
  <c r="D697" i="11"/>
  <c r="C697" i="11"/>
  <c r="B697" i="11"/>
  <c r="A697" i="11"/>
  <c r="H696" i="11"/>
  <c r="G696" i="11"/>
  <c r="F696" i="11"/>
  <c r="E696" i="11"/>
  <c r="D696" i="11"/>
  <c r="C696" i="11"/>
  <c r="B696" i="11"/>
  <c r="A696" i="11"/>
  <c r="H695" i="11"/>
  <c r="G695" i="11"/>
  <c r="F695" i="11"/>
  <c r="E695" i="11"/>
  <c r="D695" i="11"/>
  <c r="C695" i="11"/>
  <c r="B695" i="11"/>
  <c r="A695" i="11"/>
  <c r="H694" i="11"/>
  <c r="G694" i="11"/>
  <c r="F694" i="11"/>
  <c r="E694" i="11"/>
  <c r="D694" i="11"/>
  <c r="C694" i="11"/>
  <c r="B694" i="11"/>
  <c r="A694" i="11"/>
  <c r="H693" i="11"/>
  <c r="G693" i="11"/>
  <c r="F693" i="11"/>
  <c r="E693" i="11"/>
  <c r="D693" i="11"/>
  <c r="C693" i="11"/>
  <c r="B693" i="11"/>
  <c r="A693" i="11"/>
  <c r="H692" i="11"/>
  <c r="G692" i="11"/>
  <c r="F692" i="11"/>
  <c r="E692" i="11"/>
  <c r="D692" i="11"/>
  <c r="C692" i="11"/>
  <c r="B692" i="11"/>
  <c r="A692" i="11"/>
  <c r="H691" i="11"/>
  <c r="G691" i="11"/>
  <c r="F691" i="11"/>
  <c r="E691" i="11"/>
  <c r="D691" i="11"/>
  <c r="C691" i="11"/>
  <c r="B691" i="11"/>
  <c r="A691" i="11"/>
  <c r="H690" i="11"/>
  <c r="G690" i="11"/>
  <c r="F690" i="11"/>
  <c r="E690" i="11"/>
  <c r="D690" i="11"/>
  <c r="C690" i="11"/>
  <c r="B690" i="11"/>
  <c r="A690" i="11"/>
  <c r="H689" i="11"/>
  <c r="G689" i="11"/>
  <c r="F689" i="11"/>
  <c r="E689" i="11"/>
  <c r="D689" i="11"/>
  <c r="C689" i="11"/>
  <c r="B689" i="11"/>
  <c r="A689" i="11"/>
  <c r="H688" i="11"/>
  <c r="G688" i="11"/>
  <c r="F688" i="11"/>
  <c r="E688" i="11"/>
  <c r="D688" i="11"/>
  <c r="C688" i="11"/>
  <c r="B688" i="11"/>
  <c r="A688" i="11"/>
  <c r="H687" i="11"/>
  <c r="G687" i="11"/>
  <c r="F687" i="11"/>
  <c r="E687" i="11"/>
  <c r="D687" i="11"/>
  <c r="C687" i="11"/>
  <c r="B687" i="11"/>
  <c r="A687" i="11"/>
  <c r="H686" i="11"/>
  <c r="G686" i="11"/>
  <c r="F686" i="11"/>
  <c r="E686" i="11"/>
  <c r="D686" i="11"/>
  <c r="C686" i="11"/>
  <c r="B686" i="11"/>
  <c r="A686" i="11"/>
  <c r="H685" i="11"/>
  <c r="G685" i="11"/>
  <c r="F685" i="11"/>
  <c r="E685" i="11"/>
  <c r="D685" i="11"/>
  <c r="C685" i="11"/>
  <c r="B685" i="11"/>
  <c r="A685" i="11"/>
  <c r="H684" i="11"/>
  <c r="G684" i="11"/>
  <c r="F684" i="11"/>
  <c r="E684" i="11"/>
  <c r="D684" i="11"/>
  <c r="C684" i="11"/>
  <c r="B684" i="11"/>
  <c r="A684" i="11"/>
  <c r="H683" i="11"/>
  <c r="G683" i="11"/>
  <c r="F683" i="11"/>
  <c r="E683" i="11"/>
  <c r="D683" i="11"/>
  <c r="C683" i="11"/>
  <c r="B683" i="11"/>
  <c r="A683" i="11"/>
  <c r="H682" i="11"/>
  <c r="G682" i="11"/>
  <c r="F682" i="11"/>
  <c r="E682" i="11"/>
  <c r="D682" i="11"/>
  <c r="C682" i="11"/>
  <c r="B682" i="11"/>
  <c r="A682" i="11"/>
  <c r="H681" i="11"/>
  <c r="G681" i="11"/>
  <c r="F681" i="11"/>
  <c r="E681" i="11"/>
  <c r="D681" i="11"/>
  <c r="C681" i="11"/>
  <c r="B681" i="11"/>
  <c r="A681" i="11"/>
  <c r="H680" i="11"/>
  <c r="G680" i="11"/>
  <c r="F680" i="11"/>
  <c r="E680" i="11"/>
  <c r="D680" i="11"/>
  <c r="C680" i="11"/>
  <c r="B680" i="11"/>
  <c r="A680" i="11"/>
  <c r="H679" i="11"/>
  <c r="G679" i="11"/>
  <c r="F679" i="11"/>
  <c r="E679" i="11"/>
  <c r="D679" i="11"/>
  <c r="C679" i="11"/>
  <c r="B679" i="11"/>
  <c r="A679" i="11"/>
  <c r="H678" i="11"/>
  <c r="G678" i="11"/>
  <c r="F678" i="11"/>
  <c r="E678" i="11"/>
  <c r="D678" i="11"/>
  <c r="C678" i="11"/>
  <c r="B678" i="11"/>
  <c r="A678" i="11"/>
  <c r="H677" i="11"/>
  <c r="G677" i="11"/>
  <c r="F677" i="11"/>
  <c r="E677" i="11"/>
  <c r="D677" i="11"/>
  <c r="C677" i="11"/>
  <c r="B677" i="11"/>
  <c r="A677" i="11"/>
  <c r="H676" i="11"/>
  <c r="G676" i="11"/>
  <c r="F676" i="11"/>
  <c r="E676" i="11"/>
  <c r="D676" i="11"/>
  <c r="C676" i="11"/>
  <c r="B676" i="11"/>
  <c r="A676" i="11"/>
  <c r="H675" i="11"/>
  <c r="G675" i="11"/>
  <c r="F675" i="11"/>
  <c r="E675" i="11"/>
  <c r="D675" i="11"/>
  <c r="C675" i="11"/>
  <c r="B675" i="11"/>
  <c r="A675" i="11"/>
  <c r="H674" i="11"/>
  <c r="G674" i="11"/>
  <c r="F674" i="11"/>
  <c r="E674" i="11"/>
  <c r="D674" i="11"/>
  <c r="C674" i="11"/>
  <c r="B674" i="11"/>
  <c r="A674" i="11"/>
  <c r="H673" i="11"/>
  <c r="G673" i="11"/>
  <c r="F673" i="11"/>
  <c r="E673" i="11"/>
  <c r="D673" i="11"/>
  <c r="C673" i="11"/>
  <c r="B673" i="11"/>
  <c r="A673" i="11"/>
  <c r="H672" i="11"/>
  <c r="G672" i="11"/>
  <c r="F672" i="11"/>
  <c r="E672" i="11"/>
  <c r="D672" i="11"/>
  <c r="C672" i="11"/>
  <c r="B672" i="11"/>
  <c r="A672" i="11"/>
  <c r="H671" i="11"/>
  <c r="G671" i="11"/>
  <c r="F671" i="11"/>
  <c r="E671" i="11"/>
  <c r="D671" i="11"/>
  <c r="C671" i="11"/>
  <c r="B671" i="11"/>
  <c r="A671" i="11"/>
  <c r="H670" i="11"/>
  <c r="G670" i="11"/>
  <c r="F670" i="11"/>
  <c r="E670" i="11"/>
  <c r="D670" i="11"/>
  <c r="C670" i="11"/>
  <c r="B670" i="11"/>
  <c r="A670" i="11"/>
  <c r="H669" i="11"/>
  <c r="G669" i="11"/>
  <c r="F669" i="11"/>
  <c r="E669" i="11"/>
  <c r="D669" i="11"/>
  <c r="C669" i="11"/>
  <c r="B669" i="11"/>
  <c r="A669" i="11"/>
  <c r="H668" i="11"/>
  <c r="G668" i="11"/>
  <c r="F668" i="11"/>
  <c r="E668" i="11"/>
  <c r="D668" i="11"/>
  <c r="C668" i="11"/>
  <c r="B668" i="11"/>
  <c r="A668" i="11"/>
  <c r="H667" i="11"/>
  <c r="G667" i="11"/>
  <c r="F667" i="11"/>
  <c r="E667" i="11"/>
  <c r="D667" i="11"/>
  <c r="C667" i="11"/>
  <c r="B667" i="11"/>
  <c r="A667" i="11"/>
  <c r="H666" i="11"/>
  <c r="G666" i="11"/>
  <c r="F666" i="11"/>
  <c r="E666" i="11"/>
  <c r="D666" i="11"/>
  <c r="C666" i="11"/>
  <c r="B666" i="11"/>
  <c r="A666" i="11"/>
  <c r="H665" i="11"/>
  <c r="G665" i="11"/>
  <c r="F665" i="11"/>
  <c r="E665" i="11"/>
  <c r="D665" i="11"/>
  <c r="C665" i="11"/>
  <c r="B665" i="11"/>
  <c r="A665" i="11"/>
  <c r="H664" i="11"/>
  <c r="G664" i="11"/>
  <c r="F664" i="11"/>
  <c r="E664" i="11"/>
  <c r="D664" i="11"/>
  <c r="C664" i="11"/>
  <c r="B664" i="11"/>
  <c r="A664" i="11"/>
  <c r="H663" i="11"/>
  <c r="G663" i="11"/>
  <c r="F663" i="11"/>
  <c r="E663" i="11"/>
  <c r="D663" i="11"/>
  <c r="C663" i="11"/>
  <c r="B663" i="11"/>
  <c r="A663" i="11"/>
  <c r="H662" i="11"/>
  <c r="G662" i="11"/>
  <c r="F662" i="11"/>
  <c r="E662" i="11"/>
  <c r="D662" i="11"/>
  <c r="C662" i="11"/>
  <c r="B662" i="11"/>
  <c r="A662" i="11"/>
  <c r="H661" i="11"/>
  <c r="G661" i="11"/>
  <c r="F661" i="11"/>
  <c r="E661" i="11"/>
  <c r="D661" i="11"/>
  <c r="C661" i="11"/>
  <c r="B661" i="11"/>
  <c r="A661" i="11"/>
  <c r="H660" i="11"/>
  <c r="G660" i="11"/>
  <c r="F660" i="11"/>
  <c r="E660" i="11"/>
  <c r="D660" i="11"/>
  <c r="C660" i="11"/>
  <c r="B660" i="11"/>
  <c r="A660" i="11"/>
  <c r="H659" i="11"/>
  <c r="G659" i="11"/>
  <c r="F659" i="11"/>
  <c r="E659" i="11"/>
  <c r="D659" i="11"/>
  <c r="C659" i="11"/>
  <c r="B659" i="11"/>
  <c r="A659" i="11"/>
  <c r="H658" i="11"/>
  <c r="G658" i="11"/>
  <c r="F658" i="11"/>
  <c r="E658" i="11"/>
  <c r="D658" i="11"/>
  <c r="C658" i="11"/>
  <c r="B658" i="11"/>
  <c r="A658" i="11"/>
  <c r="H657" i="11"/>
  <c r="G657" i="11"/>
  <c r="F657" i="11"/>
  <c r="E657" i="11"/>
  <c r="D657" i="11"/>
  <c r="C657" i="11"/>
  <c r="B657" i="11"/>
  <c r="A657" i="11"/>
  <c r="H656" i="11"/>
  <c r="G656" i="11"/>
  <c r="F656" i="11"/>
  <c r="E656" i="11"/>
  <c r="D656" i="11"/>
  <c r="C656" i="11"/>
  <c r="B656" i="11"/>
  <c r="A656" i="11"/>
  <c r="H655" i="11"/>
  <c r="G655" i="11"/>
  <c r="F655" i="11"/>
  <c r="E655" i="11"/>
  <c r="D655" i="11"/>
  <c r="C655" i="11"/>
  <c r="B655" i="11"/>
  <c r="A655" i="11"/>
  <c r="H654" i="11"/>
  <c r="G654" i="11"/>
  <c r="F654" i="11"/>
  <c r="E654" i="11"/>
  <c r="D654" i="11"/>
  <c r="C654" i="11"/>
  <c r="B654" i="11"/>
  <c r="A654" i="11"/>
  <c r="H653" i="11"/>
  <c r="G653" i="11"/>
  <c r="F653" i="11"/>
  <c r="E653" i="11"/>
  <c r="D653" i="11"/>
  <c r="C653" i="11"/>
  <c r="B653" i="11"/>
  <c r="A653" i="11"/>
  <c r="H652" i="11"/>
  <c r="G652" i="11"/>
  <c r="F652" i="11"/>
  <c r="E652" i="11"/>
  <c r="D652" i="11"/>
  <c r="C652" i="11"/>
  <c r="B652" i="11"/>
  <c r="A652" i="11"/>
  <c r="H651" i="11"/>
  <c r="G651" i="11"/>
  <c r="F651" i="11"/>
  <c r="E651" i="11"/>
  <c r="D651" i="11"/>
  <c r="C651" i="11"/>
  <c r="B651" i="11"/>
  <c r="A651" i="11"/>
  <c r="H650" i="11"/>
  <c r="G650" i="11"/>
  <c r="F650" i="11"/>
  <c r="E650" i="11"/>
  <c r="D650" i="11"/>
  <c r="C650" i="11"/>
  <c r="B650" i="11"/>
  <c r="A650" i="11"/>
  <c r="H649" i="11"/>
  <c r="G649" i="11"/>
  <c r="F649" i="11"/>
  <c r="E649" i="11"/>
  <c r="D649" i="11"/>
  <c r="C649" i="11"/>
  <c r="B649" i="11"/>
  <c r="A649" i="11"/>
  <c r="H648" i="11"/>
  <c r="G648" i="11"/>
  <c r="F648" i="11"/>
  <c r="E648" i="11"/>
  <c r="D648" i="11"/>
  <c r="C648" i="11"/>
  <c r="B648" i="11"/>
  <c r="A648" i="11"/>
  <c r="H647" i="11"/>
  <c r="G647" i="11"/>
  <c r="F647" i="11"/>
  <c r="E647" i="11"/>
  <c r="D647" i="11"/>
  <c r="C647" i="11"/>
  <c r="B647" i="11"/>
  <c r="A647" i="11"/>
  <c r="H646" i="11"/>
  <c r="G646" i="11"/>
  <c r="F646" i="11"/>
  <c r="E646" i="11"/>
  <c r="D646" i="11"/>
  <c r="C646" i="11"/>
  <c r="B646" i="11"/>
  <c r="A646" i="11"/>
  <c r="H645" i="11"/>
  <c r="G645" i="11"/>
  <c r="F645" i="11"/>
  <c r="E645" i="11"/>
  <c r="D645" i="11"/>
  <c r="C645" i="11"/>
  <c r="B645" i="11"/>
  <c r="A645" i="11"/>
  <c r="H644" i="11"/>
  <c r="G644" i="11"/>
  <c r="F644" i="11"/>
  <c r="E644" i="11"/>
  <c r="D644" i="11"/>
  <c r="C644" i="11"/>
  <c r="B644" i="11"/>
  <c r="A644" i="11"/>
  <c r="H643" i="11"/>
  <c r="G643" i="11"/>
  <c r="F643" i="11"/>
  <c r="E643" i="11"/>
  <c r="D643" i="11"/>
  <c r="C643" i="11"/>
  <c r="B643" i="11"/>
  <c r="A643" i="11"/>
  <c r="H642" i="11"/>
  <c r="G642" i="11"/>
  <c r="F642" i="11"/>
  <c r="E642" i="11"/>
  <c r="D642" i="11"/>
  <c r="C642" i="11"/>
  <c r="B642" i="11"/>
  <c r="A642" i="11"/>
  <c r="H641" i="11"/>
  <c r="G641" i="11"/>
  <c r="F641" i="11"/>
  <c r="E641" i="11"/>
  <c r="D641" i="11"/>
  <c r="C641" i="11"/>
  <c r="B641" i="11"/>
  <c r="A641" i="11"/>
  <c r="H640" i="11"/>
  <c r="G640" i="11"/>
  <c r="F640" i="11"/>
  <c r="E640" i="11"/>
  <c r="D640" i="11"/>
  <c r="C640" i="11"/>
  <c r="B640" i="11"/>
  <c r="A640" i="11"/>
  <c r="H639" i="11"/>
  <c r="G639" i="11"/>
  <c r="F639" i="11"/>
  <c r="E639" i="11"/>
  <c r="D639" i="11"/>
  <c r="C639" i="11"/>
  <c r="B639" i="11"/>
  <c r="A639" i="11"/>
  <c r="H638" i="11"/>
  <c r="G638" i="11"/>
  <c r="F638" i="11"/>
  <c r="E638" i="11"/>
  <c r="D638" i="11"/>
  <c r="C638" i="11"/>
  <c r="B638" i="11"/>
  <c r="A638" i="11"/>
  <c r="H637" i="11"/>
  <c r="G637" i="11"/>
  <c r="F637" i="11"/>
  <c r="E637" i="11"/>
  <c r="D637" i="11"/>
  <c r="C637" i="11"/>
  <c r="B637" i="11"/>
  <c r="A637" i="11"/>
  <c r="H636" i="11"/>
  <c r="G636" i="11"/>
  <c r="F636" i="11"/>
  <c r="E636" i="11"/>
  <c r="D636" i="11"/>
  <c r="C636" i="11"/>
  <c r="B636" i="11"/>
  <c r="A636" i="11"/>
  <c r="H635" i="11"/>
  <c r="G635" i="11"/>
  <c r="F635" i="11"/>
  <c r="E635" i="11"/>
  <c r="D635" i="11"/>
  <c r="C635" i="11"/>
  <c r="B635" i="11"/>
  <c r="A635" i="11"/>
  <c r="H634" i="11"/>
  <c r="G634" i="11"/>
  <c r="F634" i="11"/>
  <c r="E634" i="11"/>
  <c r="D634" i="11"/>
  <c r="C634" i="11"/>
  <c r="B634" i="11"/>
  <c r="A634" i="11"/>
  <c r="H633" i="11"/>
  <c r="G633" i="11"/>
  <c r="F633" i="11"/>
  <c r="E633" i="11"/>
  <c r="D633" i="11"/>
  <c r="C633" i="11"/>
  <c r="B633" i="11"/>
  <c r="A633" i="11"/>
  <c r="H632" i="11"/>
  <c r="G632" i="11"/>
  <c r="F632" i="11"/>
  <c r="E632" i="11"/>
  <c r="D632" i="11"/>
  <c r="C632" i="11"/>
  <c r="B632" i="11"/>
  <c r="A632" i="11"/>
  <c r="H631" i="11"/>
  <c r="G631" i="11"/>
  <c r="F631" i="11"/>
  <c r="E631" i="11"/>
  <c r="D631" i="11"/>
  <c r="C631" i="11"/>
  <c r="B631" i="11"/>
  <c r="A631" i="11"/>
  <c r="H630" i="11"/>
  <c r="G630" i="11"/>
  <c r="F630" i="11"/>
  <c r="E630" i="11"/>
  <c r="D630" i="11"/>
  <c r="C630" i="11"/>
  <c r="B630" i="11"/>
  <c r="A630" i="11"/>
  <c r="H629" i="11"/>
  <c r="G629" i="11"/>
  <c r="F629" i="11"/>
  <c r="E629" i="11"/>
  <c r="D629" i="11"/>
  <c r="C629" i="11"/>
  <c r="B629" i="11"/>
  <c r="A629" i="11"/>
  <c r="H628" i="11"/>
  <c r="G628" i="11"/>
  <c r="F628" i="11"/>
  <c r="E628" i="11"/>
  <c r="D628" i="11"/>
  <c r="C628" i="11"/>
  <c r="B628" i="11"/>
  <c r="A628" i="11"/>
  <c r="H627" i="11"/>
  <c r="G627" i="11"/>
  <c r="F627" i="11"/>
  <c r="E627" i="11"/>
  <c r="D627" i="11"/>
  <c r="C627" i="11"/>
  <c r="B627" i="11"/>
  <c r="A627" i="11"/>
  <c r="H626" i="11"/>
  <c r="G626" i="11"/>
  <c r="F626" i="11"/>
  <c r="E626" i="11"/>
  <c r="D626" i="11"/>
  <c r="C626" i="11"/>
  <c r="B626" i="11"/>
  <c r="A626" i="11"/>
  <c r="H625" i="11"/>
  <c r="G625" i="11"/>
  <c r="F625" i="11"/>
  <c r="E625" i="11"/>
  <c r="D625" i="11"/>
  <c r="C625" i="11"/>
  <c r="B625" i="11"/>
  <c r="A625" i="11"/>
  <c r="H624" i="11"/>
  <c r="G624" i="11"/>
  <c r="F624" i="11"/>
  <c r="E624" i="11"/>
  <c r="D624" i="11"/>
  <c r="C624" i="11"/>
  <c r="B624" i="11"/>
  <c r="A624" i="11"/>
  <c r="H623" i="11"/>
  <c r="G623" i="11"/>
  <c r="F623" i="11"/>
  <c r="E623" i="11"/>
  <c r="D623" i="11"/>
  <c r="C623" i="11"/>
  <c r="B623" i="11"/>
  <c r="A623" i="11"/>
  <c r="H622" i="11"/>
  <c r="G622" i="11"/>
  <c r="F622" i="11"/>
  <c r="E622" i="11"/>
  <c r="D622" i="11"/>
  <c r="C622" i="11"/>
  <c r="B622" i="11"/>
  <c r="A622" i="11"/>
  <c r="H621" i="11"/>
  <c r="G621" i="11"/>
  <c r="F621" i="11"/>
  <c r="E621" i="11"/>
  <c r="D621" i="11"/>
  <c r="C621" i="11"/>
  <c r="B621" i="11"/>
  <c r="A621" i="11"/>
  <c r="H620" i="11"/>
  <c r="G620" i="11"/>
  <c r="F620" i="11"/>
  <c r="E620" i="11"/>
  <c r="D620" i="11"/>
  <c r="C620" i="11"/>
  <c r="B620" i="11"/>
  <c r="A620" i="11"/>
  <c r="H619" i="11"/>
  <c r="G619" i="11"/>
  <c r="F619" i="11"/>
  <c r="E619" i="11"/>
  <c r="D619" i="11"/>
  <c r="C619" i="11"/>
  <c r="B619" i="11"/>
  <c r="A619" i="11"/>
  <c r="H618" i="11"/>
  <c r="G618" i="11"/>
  <c r="F618" i="11"/>
  <c r="E618" i="11"/>
  <c r="D618" i="11"/>
  <c r="C618" i="11"/>
  <c r="B618" i="11"/>
  <c r="A618" i="11"/>
  <c r="H617" i="11"/>
  <c r="G617" i="11"/>
  <c r="F617" i="11"/>
  <c r="E617" i="11"/>
  <c r="D617" i="11"/>
  <c r="C617" i="11"/>
  <c r="B617" i="11"/>
  <c r="A617" i="11"/>
  <c r="H616" i="11"/>
  <c r="G616" i="11"/>
  <c r="F616" i="11"/>
  <c r="E616" i="11"/>
  <c r="D616" i="11"/>
  <c r="C616" i="11"/>
  <c r="B616" i="11"/>
  <c r="A616" i="11"/>
  <c r="H615" i="11"/>
  <c r="G615" i="11"/>
  <c r="F615" i="11"/>
  <c r="E615" i="11"/>
  <c r="D615" i="11"/>
  <c r="C615" i="11"/>
  <c r="B615" i="11"/>
  <c r="A615" i="11"/>
  <c r="H614" i="11"/>
  <c r="G614" i="11"/>
  <c r="F614" i="11"/>
  <c r="E614" i="11"/>
  <c r="D614" i="11"/>
  <c r="C614" i="11"/>
  <c r="B614" i="11"/>
  <c r="A614" i="11"/>
  <c r="H613" i="11"/>
  <c r="G613" i="11"/>
  <c r="F613" i="11"/>
  <c r="E613" i="11"/>
  <c r="D613" i="11"/>
  <c r="C613" i="11"/>
  <c r="B613" i="11"/>
  <c r="A613" i="11"/>
  <c r="H612" i="11"/>
  <c r="G612" i="11"/>
  <c r="F612" i="11"/>
  <c r="E612" i="11"/>
  <c r="D612" i="11"/>
  <c r="C612" i="11"/>
  <c r="B612" i="11"/>
  <c r="A612" i="11"/>
  <c r="H611" i="11"/>
  <c r="G611" i="11"/>
  <c r="F611" i="11"/>
  <c r="E611" i="11"/>
  <c r="D611" i="11"/>
  <c r="C611" i="11"/>
  <c r="B611" i="11"/>
  <c r="A611" i="11"/>
  <c r="H610" i="11"/>
  <c r="G610" i="11"/>
  <c r="F610" i="11"/>
  <c r="E610" i="11"/>
  <c r="D610" i="11"/>
  <c r="C610" i="11"/>
  <c r="B610" i="11"/>
  <c r="A610" i="11"/>
  <c r="H609" i="11"/>
  <c r="G609" i="11"/>
  <c r="F609" i="11"/>
  <c r="E609" i="11"/>
  <c r="D609" i="11"/>
  <c r="C609" i="11"/>
  <c r="B609" i="11"/>
  <c r="A609" i="11"/>
  <c r="H608" i="11"/>
  <c r="G608" i="11"/>
  <c r="F608" i="11"/>
  <c r="E608" i="11"/>
  <c r="D608" i="11"/>
  <c r="C608" i="11"/>
  <c r="B608" i="11"/>
  <c r="A608" i="11"/>
  <c r="H607" i="11"/>
  <c r="G607" i="11"/>
  <c r="F607" i="11"/>
  <c r="E607" i="11"/>
  <c r="D607" i="11"/>
  <c r="C607" i="11"/>
  <c r="B607" i="11"/>
  <c r="A607" i="11"/>
  <c r="H606" i="11"/>
  <c r="G606" i="11"/>
  <c r="F606" i="11"/>
  <c r="E606" i="11"/>
  <c r="D606" i="11"/>
  <c r="C606" i="11"/>
  <c r="B606" i="11"/>
  <c r="A606" i="11"/>
  <c r="H605" i="11"/>
  <c r="G605" i="11"/>
  <c r="F605" i="11"/>
  <c r="E605" i="11"/>
  <c r="D605" i="11"/>
  <c r="C605" i="11"/>
  <c r="B605" i="11"/>
  <c r="A605" i="11"/>
  <c r="H604" i="11"/>
  <c r="G604" i="11"/>
  <c r="F604" i="11"/>
  <c r="E604" i="11"/>
  <c r="D604" i="11"/>
  <c r="C604" i="11"/>
  <c r="B604" i="11"/>
  <c r="A604" i="11"/>
  <c r="H603" i="11"/>
  <c r="G603" i="11"/>
  <c r="F603" i="11"/>
  <c r="E603" i="11"/>
  <c r="D603" i="11"/>
  <c r="C603" i="11"/>
  <c r="B603" i="11"/>
  <c r="A603" i="11"/>
  <c r="H602" i="11"/>
  <c r="G602" i="11"/>
  <c r="F602" i="11"/>
  <c r="E602" i="11"/>
  <c r="D602" i="11"/>
  <c r="C602" i="11"/>
  <c r="B602" i="11"/>
  <c r="A602" i="11"/>
  <c r="H601" i="11"/>
  <c r="G601" i="11"/>
  <c r="F601" i="11"/>
  <c r="E601" i="11"/>
  <c r="D601" i="11"/>
  <c r="C601" i="11"/>
  <c r="B601" i="11"/>
  <c r="A601" i="11"/>
  <c r="H600" i="11"/>
  <c r="G600" i="11"/>
  <c r="F600" i="11"/>
  <c r="E600" i="11"/>
  <c r="D600" i="11"/>
  <c r="C600" i="11"/>
  <c r="B600" i="11"/>
  <c r="A600" i="11"/>
  <c r="H599" i="11"/>
  <c r="G599" i="11"/>
  <c r="F599" i="11"/>
  <c r="E599" i="11"/>
  <c r="D599" i="11"/>
  <c r="C599" i="11"/>
  <c r="B599" i="11"/>
  <c r="A599" i="11"/>
  <c r="H598" i="11"/>
  <c r="G598" i="11"/>
  <c r="F598" i="11"/>
  <c r="E598" i="11"/>
  <c r="D598" i="11"/>
  <c r="C598" i="11"/>
  <c r="B598" i="11"/>
  <c r="A598" i="11"/>
  <c r="H597" i="11"/>
  <c r="G597" i="11"/>
  <c r="F597" i="11"/>
  <c r="E597" i="11"/>
  <c r="D597" i="11"/>
  <c r="C597" i="11"/>
  <c r="B597" i="11"/>
  <c r="A597" i="11"/>
  <c r="H596" i="11"/>
  <c r="G596" i="11"/>
  <c r="F596" i="11"/>
  <c r="E596" i="11"/>
  <c r="D596" i="11"/>
  <c r="C596" i="11"/>
  <c r="B596" i="11"/>
  <c r="A596" i="11"/>
  <c r="H595" i="11"/>
  <c r="G595" i="11"/>
  <c r="F595" i="11"/>
  <c r="E595" i="11"/>
  <c r="D595" i="11"/>
  <c r="C595" i="11"/>
  <c r="B595" i="11"/>
  <c r="A595" i="11"/>
  <c r="H594" i="11"/>
  <c r="G594" i="11"/>
  <c r="F594" i="11"/>
  <c r="E594" i="11"/>
  <c r="D594" i="11"/>
  <c r="C594" i="11"/>
  <c r="B594" i="11"/>
  <c r="A594" i="11"/>
  <c r="H593" i="11"/>
  <c r="G593" i="11"/>
  <c r="F593" i="11"/>
  <c r="E593" i="11"/>
  <c r="D593" i="11"/>
  <c r="C593" i="11"/>
  <c r="B593" i="11"/>
  <c r="A593" i="11"/>
  <c r="H592" i="11"/>
  <c r="G592" i="11"/>
  <c r="F592" i="11"/>
  <c r="E592" i="11"/>
  <c r="D592" i="11"/>
  <c r="C592" i="11"/>
  <c r="B592" i="11"/>
  <c r="A592" i="11"/>
  <c r="H591" i="11"/>
  <c r="G591" i="11"/>
  <c r="F591" i="11"/>
  <c r="E591" i="11"/>
  <c r="D591" i="11"/>
  <c r="C591" i="11"/>
  <c r="B591" i="11"/>
  <c r="A591" i="11"/>
  <c r="H590" i="11"/>
  <c r="G590" i="11"/>
  <c r="F590" i="11"/>
  <c r="E590" i="11"/>
  <c r="D590" i="11"/>
  <c r="C590" i="11"/>
  <c r="B590" i="11"/>
  <c r="A590" i="11"/>
  <c r="H589" i="11"/>
  <c r="G589" i="11"/>
  <c r="F589" i="11"/>
  <c r="E589" i="11"/>
  <c r="D589" i="11"/>
  <c r="C589" i="11"/>
  <c r="B589" i="11"/>
  <c r="A589" i="11"/>
  <c r="H588" i="11"/>
  <c r="G588" i="11"/>
  <c r="F588" i="11"/>
  <c r="E588" i="11"/>
  <c r="D588" i="11"/>
  <c r="C588" i="11"/>
  <c r="B588" i="11"/>
  <c r="A588" i="11"/>
  <c r="H587" i="11"/>
  <c r="G587" i="11"/>
  <c r="F587" i="11"/>
  <c r="E587" i="11"/>
  <c r="D587" i="11"/>
  <c r="C587" i="11"/>
  <c r="B587" i="11"/>
  <c r="A587" i="11"/>
  <c r="H586" i="11"/>
  <c r="G586" i="11"/>
  <c r="F586" i="11"/>
  <c r="E586" i="11"/>
  <c r="D586" i="11"/>
  <c r="C586" i="11"/>
  <c r="B586" i="11"/>
  <c r="A586" i="11"/>
  <c r="H585" i="11"/>
  <c r="G585" i="11"/>
  <c r="F585" i="11"/>
  <c r="E585" i="11"/>
  <c r="D585" i="11"/>
  <c r="C585" i="11"/>
  <c r="B585" i="11"/>
  <c r="A585" i="11"/>
  <c r="H584" i="11"/>
  <c r="G584" i="11"/>
  <c r="F584" i="11"/>
  <c r="E584" i="11"/>
  <c r="D584" i="11"/>
  <c r="C584" i="11"/>
  <c r="B584" i="11"/>
  <c r="A584" i="11"/>
  <c r="H583" i="11"/>
  <c r="G583" i="11"/>
  <c r="F583" i="11"/>
  <c r="E583" i="11"/>
  <c r="D583" i="11"/>
  <c r="C583" i="11"/>
  <c r="B583" i="11"/>
  <c r="A583" i="11"/>
  <c r="H582" i="11"/>
  <c r="G582" i="11"/>
  <c r="F582" i="11"/>
  <c r="E582" i="11"/>
  <c r="D582" i="11"/>
  <c r="C582" i="11"/>
  <c r="B582" i="11"/>
  <c r="A582" i="11"/>
  <c r="H581" i="11"/>
  <c r="G581" i="11"/>
  <c r="F581" i="11"/>
  <c r="E581" i="11"/>
  <c r="D581" i="11"/>
  <c r="C581" i="11"/>
  <c r="B581" i="11"/>
  <c r="A581" i="11"/>
  <c r="H580" i="11"/>
  <c r="G580" i="11"/>
  <c r="F580" i="11"/>
  <c r="E580" i="11"/>
  <c r="D580" i="11"/>
  <c r="C580" i="11"/>
  <c r="B580" i="11"/>
  <c r="A580" i="11"/>
  <c r="H579" i="11"/>
  <c r="G579" i="11"/>
  <c r="F579" i="11"/>
  <c r="E579" i="11"/>
  <c r="D579" i="11"/>
  <c r="C579" i="11"/>
  <c r="B579" i="11"/>
  <c r="A579" i="11"/>
  <c r="H578" i="11"/>
  <c r="G578" i="11"/>
  <c r="F578" i="11"/>
  <c r="E578" i="11"/>
  <c r="D578" i="11"/>
  <c r="C578" i="11"/>
  <c r="B578" i="11"/>
  <c r="A578" i="11"/>
  <c r="H577" i="11"/>
  <c r="G577" i="11"/>
  <c r="F577" i="11"/>
  <c r="E577" i="11"/>
  <c r="D577" i="11"/>
  <c r="C577" i="11"/>
  <c r="B577" i="11"/>
  <c r="A577" i="11"/>
  <c r="H576" i="11"/>
  <c r="G576" i="11"/>
  <c r="F576" i="11"/>
  <c r="E576" i="11"/>
  <c r="D576" i="11"/>
  <c r="C576" i="11"/>
  <c r="B576" i="11"/>
  <c r="A576" i="11"/>
  <c r="H575" i="11"/>
  <c r="G575" i="11"/>
  <c r="F575" i="11"/>
  <c r="E575" i="11"/>
  <c r="D575" i="11"/>
  <c r="C575" i="11"/>
  <c r="B575" i="11"/>
  <c r="A575" i="11"/>
  <c r="H574" i="11"/>
  <c r="G574" i="11"/>
  <c r="F574" i="11"/>
  <c r="E574" i="11"/>
  <c r="D574" i="11"/>
  <c r="C574" i="11"/>
  <c r="B574" i="11"/>
  <c r="A574" i="11"/>
  <c r="H573" i="11"/>
  <c r="G573" i="11"/>
  <c r="F573" i="11"/>
  <c r="E573" i="11"/>
  <c r="D573" i="11"/>
  <c r="C573" i="11"/>
  <c r="B573" i="11"/>
  <c r="A573" i="11"/>
  <c r="H572" i="11"/>
  <c r="G572" i="11"/>
  <c r="F572" i="11"/>
  <c r="E572" i="11"/>
  <c r="D572" i="11"/>
  <c r="C572" i="11"/>
  <c r="B572" i="11"/>
  <c r="A572" i="11"/>
  <c r="H571" i="11"/>
  <c r="G571" i="11"/>
  <c r="F571" i="11"/>
  <c r="E571" i="11"/>
  <c r="D571" i="11"/>
  <c r="C571" i="11"/>
  <c r="B571" i="11"/>
  <c r="A571" i="11"/>
  <c r="H570" i="11"/>
  <c r="G570" i="11"/>
  <c r="F570" i="11"/>
  <c r="E570" i="11"/>
  <c r="D570" i="11"/>
  <c r="C570" i="11"/>
  <c r="B570" i="11"/>
  <c r="A570" i="11"/>
  <c r="H569" i="11"/>
  <c r="G569" i="11"/>
  <c r="F569" i="11"/>
  <c r="E569" i="11"/>
  <c r="D569" i="11"/>
  <c r="C569" i="11"/>
  <c r="B569" i="11"/>
  <c r="A569" i="11"/>
  <c r="H568" i="11"/>
  <c r="G568" i="11"/>
  <c r="F568" i="11"/>
  <c r="E568" i="11"/>
  <c r="D568" i="11"/>
  <c r="C568" i="11"/>
  <c r="B568" i="11"/>
  <c r="A568" i="11"/>
  <c r="H567" i="11"/>
  <c r="G567" i="11"/>
  <c r="F567" i="11"/>
  <c r="E567" i="11"/>
  <c r="D567" i="11"/>
  <c r="C567" i="11"/>
  <c r="B567" i="11"/>
  <c r="A567" i="11"/>
  <c r="H566" i="11"/>
  <c r="G566" i="11"/>
  <c r="F566" i="11"/>
  <c r="E566" i="11"/>
  <c r="D566" i="11"/>
  <c r="C566" i="11"/>
  <c r="B566" i="11"/>
  <c r="A566" i="11"/>
  <c r="H565" i="11"/>
  <c r="G565" i="11"/>
  <c r="F565" i="11"/>
  <c r="E565" i="11"/>
  <c r="D565" i="11"/>
  <c r="C565" i="11"/>
  <c r="B565" i="11"/>
  <c r="A565" i="11"/>
  <c r="H564" i="11"/>
  <c r="G564" i="11"/>
  <c r="F564" i="11"/>
  <c r="E564" i="11"/>
  <c r="D564" i="11"/>
  <c r="C564" i="11"/>
  <c r="B564" i="11"/>
  <c r="A564" i="11"/>
  <c r="H563" i="11"/>
  <c r="G563" i="11"/>
  <c r="F563" i="11"/>
  <c r="E563" i="11"/>
  <c r="D563" i="11"/>
  <c r="C563" i="11"/>
  <c r="B563" i="11"/>
  <c r="A563" i="11"/>
  <c r="H562" i="11"/>
  <c r="G562" i="11"/>
  <c r="F562" i="11"/>
  <c r="E562" i="11"/>
  <c r="D562" i="11"/>
  <c r="C562" i="11"/>
  <c r="B562" i="11"/>
  <c r="A562" i="11"/>
  <c r="H561" i="11"/>
  <c r="G561" i="11"/>
  <c r="F561" i="11"/>
  <c r="E561" i="11"/>
  <c r="D561" i="11"/>
  <c r="C561" i="11"/>
  <c r="B561" i="11"/>
  <c r="A561" i="11"/>
  <c r="H560" i="11"/>
  <c r="G560" i="11"/>
  <c r="F560" i="11"/>
  <c r="E560" i="11"/>
  <c r="D560" i="11"/>
  <c r="C560" i="11"/>
  <c r="B560" i="11"/>
  <c r="A560" i="11"/>
  <c r="H559" i="11"/>
  <c r="G559" i="11"/>
  <c r="F559" i="11"/>
  <c r="E559" i="11"/>
  <c r="D559" i="11"/>
  <c r="C559" i="11"/>
  <c r="B559" i="11"/>
  <c r="A559" i="11"/>
  <c r="H558" i="11"/>
  <c r="G558" i="11"/>
  <c r="F558" i="11"/>
  <c r="E558" i="11"/>
  <c r="D558" i="11"/>
  <c r="C558" i="11"/>
  <c r="B558" i="11"/>
  <c r="A558" i="11"/>
  <c r="H557" i="11"/>
  <c r="G557" i="11"/>
  <c r="F557" i="11"/>
  <c r="E557" i="11"/>
  <c r="D557" i="11"/>
  <c r="C557" i="11"/>
  <c r="B557" i="11"/>
  <c r="A557" i="11"/>
  <c r="H556" i="11"/>
  <c r="G556" i="11"/>
  <c r="F556" i="11"/>
  <c r="E556" i="11"/>
  <c r="D556" i="11"/>
  <c r="C556" i="11"/>
  <c r="B556" i="11"/>
  <c r="A556" i="11"/>
  <c r="H555" i="11"/>
  <c r="G555" i="11"/>
  <c r="F555" i="11"/>
  <c r="E555" i="11"/>
  <c r="D555" i="11"/>
  <c r="C555" i="11"/>
  <c r="B555" i="11"/>
  <c r="A555" i="11"/>
  <c r="H554" i="11"/>
  <c r="G554" i="11"/>
  <c r="F554" i="11"/>
  <c r="E554" i="11"/>
  <c r="D554" i="11"/>
  <c r="C554" i="11"/>
  <c r="B554" i="11"/>
  <c r="A554" i="11"/>
  <c r="H553" i="11"/>
  <c r="G553" i="11"/>
  <c r="F553" i="11"/>
  <c r="E553" i="11"/>
  <c r="D553" i="11"/>
  <c r="C553" i="11"/>
  <c r="B553" i="11"/>
  <c r="A553" i="11"/>
  <c r="H552" i="11"/>
  <c r="G552" i="11"/>
  <c r="F552" i="11"/>
  <c r="E552" i="11"/>
  <c r="D552" i="11"/>
  <c r="C552" i="11"/>
  <c r="B552" i="11"/>
  <c r="A552" i="11"/>
  <c r="H551" i="11"/>
  <c r="G551" i="11"/>
  <c r="F551" i="11"/>
  <c r="E551" i="11"/>
  <c r="D551" i="11"/>
  <c r="C551" i="11"/>
  <c r="B551" i="11"/>
  <c r="A551" i="11"/>
  <c r="H550" i="11"/>
  <c r="G550" i="11"/>
  <c r="F550" i="11"/>
  <c r="E550" i="11"/>
  <c r="D550" i="11"/>
  <c r="C550" i="11"/>
  <c r="B550" i="11"/>
  <c r="A550" i="11"/>
  <c r="H549" i="11"/>
  <c r="G549" i="11"/>
  <c r="F549" i="11"/>
  <c r="E549" i="11"/>
  <c r="D549" i="11"/>
  <c r="C549" i="11"/>
  <c r="B549" i="11"/>
  <c r="A549" i="11"/>
  <c r="H548" i="11"/>
  <c r="G548" i="11"/>
  <c r="F548" i="11"/>
  <c r="E548" i="11"/>
  <c r="D548" i="11"/>
  <c r="C548" i="11"/>
  <c r="B548" i="11"/>
  <c r="A548" i="11"/>
  <c r="H547" i="11"/>
  <c r="G547" i="11"/>
  <c r="F547" i="11"/>
  <c r="E547" i="11"/>
  <c r="D547" i="11"/>
  <c r="C547" i="11"/>
  <c r="B547" i="11"/>
  <c r="A547" i="11"/>
  <c r="H546" i="11"/>
  <c r="G546" i="11"/>
  <c r="F546" i="11"/>
  <c r="E546" i="11"/>
  <c r="D546" i="11"/>
  <c r="C546" i="11"/>
  <c r="B546" i="11"/>
  <c r="A546" i="11"/>
  <c r="H545" i="11"/>
  <c r="G545" i="11"/>
  <c r="F545" i="11"/>
  <c r="E545" i="11"/>
  <c r="D545" i="11"/>
  <c r="C545" i="11"/>
  <c r="B545" i="11"/>
  <c r="A545" i="11"/>
  <c r="H544" i="11"/>
  <c r="G544" i="11"/>
  <c r="F544" i="11"/>
  <c r="E544" i="11"/>
  <c r="D544" i="11"/>
  <c r="C544" i="11"/>
  <c r="B544" i="11"/>
  <c r="A544" i="11"/>
  <c r="H543" i="11"/>
  <c r="G543" i="11"/>
  <c r="F543" i="11"/>
  <c r="E543" i="11"/>
  <c r="D543" i="11"/>
  <c r="C543" i="11"/>
  <c r="B543" i="11"/>
  <c r="A543" i="11"/>
  <c r="H542" i="11"/>
  <c r="G542" i="11"/>
  <c r="F542" i="11"/>
  <c r="E542" i="11"/>
  <c r="D542" i="11"/>
  <c r="C542" i="11"/>
  <c r="B542" i="11"/>
  <c r="A542" i="11"/>
  <c r="H541" i="11"/>
  <c r="G541" i="11"/>
  <c r="F541" i="11"/>
  <c r="E541" i="11"/>
  <c r="D541" i="11"/>
  <c r="C541" i="11"/>
  <c r="B541" i="11"/>
  <c r="A541" i="11"/>
  <c r="H540" i="11"/>
  <c r="G540" i="11"/>
  <c r="F540" i="11"/>
  <c r="E540" i="11"/>
  <c r="D540" i="11"/>
  <c r="C540" i="11"/>
  <c r="B540" i="11"/>
  <c r="A540" i="11"/>
  <c r="H539" i="11"/>
  <c r="G539" i="11"/>
  <c r="F539" i="11"/>
  <c r="E539" i="11"/>
  <c r="D539" i="11"/>
  <c r="C539" i="11"/>
  <c r="B539" i="11"/>
  <c r="A539" i="11"/>
  <c r="H538" i="11"/>
  <c r="G538" i="11"/>
  <c r="F538" i="11"/>
  <c r="E538" i="11"/>
  <c r="D538" i="11"/>
  <c r="C538" i="11"/>
  <c r="B538" i="11"/>
  <c r="A538" i="11"/>
  <c r="H537" i="11"/>
  <c r="G537" i="11"/>
  <c r="F537" i="11"/>
  <c r="E537" i="11"/>
  <c r="D537" i="11"/>
  <c r="C537" i="11"/>
  <c r="B537" i="11"/>
  <c r="A537" i="11"/>
  <c r="H536" i="11"/>
  <c r="G536" i="11"/>
  <c r="F536" i="11"/>
  <c r="E536" i="11"/>
  <c r="D536" i="11"/>
  <c r="C536" i="11"/>
  <c r="B536" i="11"/>
  <c r="A536" i="11"/>
  <c r="H535" i="11"/>
  <c r="G535" i="11"/>
  <c r="F535" i="11"/>
  <c r="E535" i="11"/>
  <c r="D535" i="11"/>
  <c r="C535" i="11"/>
  <c r="B535" i="11"/>
  <c r="A535" i="11"/>
  <c r="H534" i="11"/>
  <c r="G534" i="11"/>
  <c r="F534" i="11"/>
  <c r="E534" i="11"/>
  <c r="D534" i="11"/>
  <c r="C534" i="11"/>
  <c r="B534" i="11"/>
  <c r="A534" i="11"/>
  <c r="H533" i="11"/>
  <c r="G533" i="11"/>
  <c r="F533" i="11"/>
  <c r="E533" i="11"/>
  <c r="D533" i="11"/>
  <c r="C533" i="11"/>
  <c r="B533" i="11"/>
  <c r="A533" i="11"/>
  <c r="H532" i="11"/>
  <c r="G532" i="11"/>
  <c r="F532" i="11"/>
  <c r="E532" i="11"/>
  <c r="D532" i="11"/>
  <c r="C532" i="11"/>
  <c r="B532" i="11"/>
  <c r="A532" i="11"/>
  <c r="H531" i="11"/>
  <c r="G531" i="11"/>
  <c r="F531" i="11"/>
  <c r="E531" i="11"/>
  <c r="D531" i="11"/>
  <c r="C531" i="11"/>
  <c r="B531" i="11"/>
  <c r="A531" i="11"/>
  <c r="H530" i="11"/>
  <c r="G530" i="11"/>
  <c r="F530" i="11"/>
  <c r="E530" i="11"/>
  <c r="D530" i="11"/>
  <c r="C530" i="11"/>
  <c r="B530" i="11"/>
  <c r="A530" i="11"/>
  <c r="H529" i="11"/>
  <c r="G529" i="11"/>
  <c r="F529" i="11"/>
  <c r="E529" i="11"/>
  <c r="D529" i="11"/>
  <c r="C529" i="11"/>
  <c r="B529" i="11"/>
  <c r="A529" i="11"/>
  <c r="H528" i="11"/>
  <c r="G528" i="11"/>
  <c r="F528" i="11"/>
  <c r="E528" i="11"/>
  <c r="D528" i="11"/>
  <c r="C528" i="11"/>
  <c r="B528" i="11"/>
  <c r="A528" i="11"/>
  <c r="H527" i="11"/>
  <c r="G527" i="11"/>
  <c r="F527" i="11"/>
  <c r="E527" i="11"/>
  <c r="D527" i="11"/>
  <c r="C527" i="11"/>
  <c r="B527" i="11"/>
  <c r="A527" i="11"/>
  <c r="H526" i="11"/>
  <c r="G526" i="11"/>
  <c r="F526" i="11"/>
  <c r="E526" i="11"/>
  <c r="D526" i="11"/>
  <c r="C526" i="11"/>
  <c r="B526" i="11"/>
  <c r="A526" i="11"/>
  <c r="H525" i="11"/>
  <c r="G525" i="11"/>
  <c r="F525" i="11"/>
  <c r="E525" i="11"/>
  <c r="D525" i="11"/>
  <c r="C525" i="11"/>
  <c r="B525" i="11"/>
  <c r="A525" i="11"/>
  <c r="H524" i="11"/>
  <c r="G524" i="11"/>
  <c r="F524" i="11"/>
  <c r="E524" i="11"/>
  <c r="D524" i="11"/>
  <c r="C524" i="11"/>
  <c r="B524" i="11"/>
  <c r="A524" i="11"/>
  <c r="H523" i="11"/>
  <c r="G523" i="11"/>
  <c r="F523" i="11"/>
  <c r="E523" i="11"/>
  <c r="D523" i="11"/>
  <c r="C523" i="11"/>
  <c r="B523" i="11"/>
  <c r="A523" i="11"/>
  <c r="H522" i="11"/>
  <c r="G522" i="11"/>
  <c r="F522" i="11"/>
  <c r="E522" i="11"/>
  <c r="D522" i="11"/>
  <c r="C522" i="11"/>
  <c r="B522" i="11"/>
  <c r="A522" i="11"/>
  <c r="H521" i="11"/>
  <c r="G521" i="11"/>
  <c r="F521" i="11"/>
  <c r="E521" i="11"/>
  <c r="D521" i="11"/>
  <c r="C521" i="11"/>
  <c r="B521" i="11"/>
  <c r="A521" i="11"/>
  <c r="H520" i="11"/>
  <c r="G520" i="11"/>
  <c r="F520" i="11"/>
  <c r="E520" i="11"/>
  <c r="D520" i="11"/>
  <c r="C520" i="11"/>
  <c r="B520" i="11"/>
  <c r="A520" i="11"/>
  <c r="H519" i="11"/>
  <c r="G519" i="11"/>
  <c r="F519" i="11"/>
  <c r="E519" i="11"/>
  <c r="D519" i="11"/>
  <c r="C519" i="11"/>
  <c r="B519" i="11"/>
  <c r="A519" i="11"/>
  <c r="H518" i="11"/>
  <c r="G518" i="11"/>
  <c r="F518" i="11"/>
  <c r="E518" i="11"/>
  <c r="D518" i="11"/>
  <c r="C518" i="11"/>
  <c r="B518" i="11"/>
  <c r="A518" i="11"/>
  <c r="H517" i="11"/>
  <c r="G517" i="11"/>
  <c r="F517" i="11"/>
  <c r="E517" i="11"/>
  <c r="D517" i="11"/>
  <c r="C517" i="11"/>
  <c r="B517" i="11"/>
  <c r="A517" i="11"/>
  <c r="H516" i="11"/>
  <c r="G516" i="11"/>
  <c r="F516" i="11"/>
  <c r="E516" i="11"/>
  <c r="D516" i="11"/>
  <c r="C516" i="11"/>
  <c r="B516" i="11"/>
  <c r="A516" i="11"/>
  <c r="H515" i="11"/>
  <c r="G515" i="11"/>
  <c r="F515" i="11"/>
  <c r="E515" i="11"/>
  <c r="D515" i="11"/>
  <c r="C515" i="11"/>
  <c r="B515" i="11"/>
  <c r="A515" i="11"/>
  <c r="H514" i="11"/>
  <c r="G514" i="11"/>
  <c r="F514" i="11"/>
  <c r="E514" i="11"/>
  <c r="D514" i="11"/>
  <c r="C514" i="11"/>
  <c r="B514" i="11"/>
  <c r="A514" i="11"/>
  <c r="H513" i="11"/>
  <c r="G513" i="11"/>
  <c r="F513" i="11"/>
  <c r="E513" i="11"/>
  <c r="D513" i="11"/>
  <c r="C513" i="11"/>
  <c r="B513" i="11"/>
  <c r="A513" i="11"/>
  <c r="H512" i="11"/>
  <c r="G512" i="11"/>
  <c r="F512" i="11"/>
  <c r="E512" i="11"/>
  <c r="D512" i="11"/>
  <c r="C512" i="11"/>
  <c r="B512" i="11"/>
  <c r="A512" i="11"/>
  <c r="H511" i="11"/>
  <c r="G511" i="11"/>
  <c r="F511" i="11"/>
  <c r="E511" i="11"/>
  <c r="D511" i="11"/>
  <c r="C511" i="11"/>
  <c r="B511" i="11"/>
  <c r="A511" i="11"/>
  <c r="H510" i="11"/>
  <c r="G510" i="11"/>
  <c r="F510" i="11"/>
  <c r="E510" i="11"/>
  <c r="D510" i="11"/>
  <c r="C510" i="11"/>
  <c r="B510" i="11"/>
  <c r="A510" i="11"/>
  <c r="H509" i="11"/>
  <c r="G509" i="11"/>
  <c r="F509" i="11"/>
  <c r="E509" i="11"/>
  <c r="D509" i="11"/>
  <c r="C509" i="11"/>
  <c r="B509" i="11"/>
  <c r="A509" i="11"/>
  <c r="H508" i="11"/>
  <c r="G508" i="11"/>
  <c r="F508" i="11"/>
  <c r="E508" i="11"/>
  <c r="D508" i="11"/>
  <c r="C508" i="11"/>
  <c r="B508" i="11"/>
  <c r="A508" i="11"/>
  <c r="H507" i="11"/>
  <c r="G507" i="11"/>
  <c r="F507" i="11"/>
  <c r="E507" i="11"/>
  <c r="D507" i="11"/>
  <c r="C507" i="11"/>
  <c r="B507" i="11"/>
  <c r="A507" i="11"/>
  <c r="H506" i="11"/>
  <c r="G506" i="11"/>
  <c r="F506" i="11"/>
  <c r="E506" i="11"/>
  <c r="D506" i="11"/>
  <c r="C506" i="11"/>
  <c r="B506" i="11"/>
  <c r="A506" i="11"/>
  <c r="H505" i="11"/>
  <c r="G505" i="11"/>
  <c r="F505" i="11"/>
  <c r="E505" i="11"/>
  <c r="D505" i="11"/>
  <c r="C505" i="11"/>
  <c r="B505" i="11"/>
  <c r="A505" i="11"/>
  <c r="H504" i="11"/>
  <c r="G504" i="11"/>
  <c r="F504" i="11"/>
  <c r="E504" i="11"/>
  <c r="D504" i="11"/>
  <c r="C504" i="11"/>
  <c r="B504" i="11"/>
  <c r="A504" i="11"/>
  <c r="H503" i="11"/>
  <c r="G503" i="11"/>
  <c r="F503" i="11"/>
  <c r="E503" i="11"/>
  <c r="D503" i="11"/>
  <c r="C503" i="11"/>
  <c r="B503" i="11"/>
  <c r="A503" i="11"/>
  <c r="H502" i="11"/>
  <c r="G502" i="11"/>
  <c r="F502" i="11"/>
  <c r="E502" i="11"/>
  <c r="D502" i="11"/>
  <c r="C502" i="11"/>
  <c r="B502" i="11"/>
  <c r="A502" i="11"/>
  <c r="H501" i="11"/>
  <c r="G501" i="11"/>
  <c r="F501" i="11"/>
  <c r="E501" i="11"/>
  <c r="D501" i="11"/>
  <c r="C501" i="11"/>
  <c r="B501" i="11"/>
  <c r="A501" i="11"/>
  <c r="H500" i="11"/>
  <c r="G500" i="11"/>
  <c r="F500" i="11"/>
  <c r="E500" i="11"/>
  <c r="D500" i="11"/>
  <c r="C500" i="11"/>
  <c r="B500" i="11"/>
  <c r="A500" i="11"/>
  <c r="H499" i="11"/>
  <c r="G499" i="11"/>
  <c r="F499" i="11"/>
  <c r="E499" i="11"/>
  <c r="D499" i="11"/>
  <c r="C499" i="11"/>
  <c r="B499" i="11"/>
  <c r="A499" i="11"/>
  <c r="H498" i="11"/>
  <c r="G498" i="11"/>
  <c r="F498" i="11"/>
  <c r="E498" i="11"/>
  <c r="D498" i="11"/>
  <c r="C498" i="11"/>
  <c r="B498" i="11"/>
  <c r="A498" i="11"/>
  <c r="H497" i="11"/>
  <c r="G497" i="11"/>
  <c r="F497" i="11"/>
  <c r="E497" i="11"/>
  <c r="D497" i="11"/>
  <c r="C497" i="11"/>
  <c r="B497" i="11"/>
  <c r="A497" i="11"/>
  <c r="H496" i="11"/>
  <c r="G496" i="11"/>
  <c r="F496" i="11"/>
  <c r="E496" i="11"/>
  <c r="D496" i="11"/>
  <c r="C496" i="11"/>
  <c r="B496" i="11"/>
  <c r="A496" i="11"/>
  <c r="H495" i="11"/>
  <c r="G495" i="11"/>
  <c r="F495" i="11"/>
  <c r="E495" i="11"/>
  <c r="D495" i="11"/>
  <c r="C495" i="11"/>
  <c r="B495" i="11"/>
  <c r="A495" i="11"/>
  <c r="H494" i="11"/>
  <c r="G494" i="11"/>
  <c r="F494" i="11"/>
  <c r="E494" i="11"/>
  <c r="D494" i="11"/>
  <c r="C494" i="11"/>
  <c r="B494" i="11"/>
  <c r="A494" i="11"/>
  <c r="H493" i="11"/>
  <c r="G493" i="11"/>
  <c r="F493" i="11"/>
  <c r="E493" i="11"/>
  <c r="D493" i="11"/>
  <c r="C493" i="11"/>
  <c r="B493" i="11"/>
  <c r="A493" i="11"/>
  <c r="H492" i="11"/>
  <c r="G492" i="11"/>
  <c r="F492" i="11"/>
  <c r="E492" i="11"/>
  <c r="D492" i="11"/>
  <c r="C492" i="11"/>
  <c r="B492" i="11"/>
  <c r="A492" i="11"/>
  <c r="H491" i="11"/>
  <c r="G491" i="11"/>
  <c r="F491" i="11"/>
  <c r="E491" i="11"/>
  <c r="D491" i="11"/>
  <c r="C491" i="11"/>
  <c r="B491" i="11"/>
  <c r="A491" i="11"/>
  <c r="H490" i="11"/>
  <c r="G490" i="11"/>
  <c r="F490" i="11"/>
  <c r="E490" i="11"/>
  <c r="D490" i="11"/>
  <c r="C490" i="11"/>
  <c r="B490" i="11"/>
  <c r="A490" i="11"/>
  <c r="H489" i="11"/>
  <c r="G489" i="11"/>
  <c r="F489" i="11"/>
  <c r="E489" i="11"/>
  <c r="D489" i="11"/>
  <c r="C489" i="11"/>
  <c r="B489" i="11"/>
  <c r="A489" i="11"/>
  <c r="H488" i="11"/>
  <c r="G488" i="11"/>
  <c r="F488" i="11"/>
  <c r="E488" i="11"/>
  <c r="D488" i="11"/>
  <c r="C488" i="11"/>
  <c r="B488" i="11"/>
  <c r="A488" i="11"/>
  <c r="H487" i="11"/>
  <c r="G487" i="11"/>
  <c r="F487" i="11"/>
  <c r="E487" i="11"/>
  <c r="D487" i="11"/>
  <c r="C487" i="11"/>
  <c r="B487" i="11"/>
  <c r="A487" i="11"/>
  <c r="H486" i="11"/>
  <c r="G486" i="11"/>
  <c r="F486" i="11"/>
  <c r="E486" i="11"/>
  <c r="D486" i="11"/>
  <c r="C486" i="11"/>
  <c r="B486" i="11"/>
  <c r="A486" i="11"/>
  <c r="H485" i="11"/>
  <c r="G485" i="11"/>
  <c r="F485" i="11"/>
  <c r="E485" i="11"/>
  <c r="D485" i="11"/>
  <c r="C485" i="11"/>
  <c r="B485" i="11"/>
  <c r="A485" i="11"/>
  <c r="H484" i="11"/>
  <c r="G484" i="11"/>
  <c r="F484" i="11"/>
  <c r="E484" i="11"/>
  <c r="D484" i="11"/>
  <c r="C484" i="11"/>
  <c r="B484" i="11"/>
  <c r="A484" i="11"/>
  <c r="H483" i="11"/>
  <c r="G483" i="11"/>
  <c r="F483" i="11"/>
  <c r="E483" i="11"/>
  <c r="D483" i="11"/>
  <c r="C483" i="11"/>
  <c r="B483" i="11"/>
  <c r="A483" i="11"/>
  <c r="H482" i="11"/>
  <c r="G482" i="11"/>
  <c r="F482" i="11"/>
  <c r="E482" i="11"/>
  <c r="D482" i="11"/>
  <c r="C482" i="11"/>
  <c r="B482" i="11"/>
  <c r="A482" i="11"/>
  <c r="H481" i="11"/>
  <c r="G481" i="11"/>
  <c r="F481" i="11"/>
  <c r="E481" i="11"/>
  <c r="D481" i="11"/>
  <c r="C481" i="11"/>
  <c r="B481" i="11"/>
  <c r="A481" i="11"/>
  <c r="H480" i="11"/>
  <c r="G480" i="11"/>
  <c r="F480" i="11"/>
  <c r="E480" i="11"/>
  <c r="D480" i="11"/>
  <c r="C480" i="11"/>
  <c r="B480" i="11"/>
  <c r="A480" i="11"/>
  <c r="H479" i="11"/>
  <c r="G479" i="11"/>
  <c r="F479" i="11"/>
  <c r="E479" i="11"/>
  <c r="D479" i="11"/>
  <c r="C479" i="11"/>
  <c r="B479" i="11"/>
  <c r="A479" i="11"/>
  <c r="H478" i="11"/>
  <c r="G478" i="11"/>
  <c r="F478" i="11"/>
  <c r="E478" i="11"/>
  <c r="D478" i="11"/>
  <c r="C478" i="11"/>
  <c r="B478" i="11"/>
  <c r="A478" i="11"/>
  <c r="H477" i="11"/>
  <c r="G477" i="11"/>
  <c r="F477" i="11"/>
  <c r="E477" i="11"/>
  <c r="D477" i="11"/>
  <c r="C477" i="11"/>
  <c r="B477" i="11"/>
  <c r="A477" i="11"/>
  <c r="H476" i="11"/>
  <c r="G476" i="11"/>
  <c r="F476" i="11"/>
  <c r="E476" i="11"/>
  <c r="D476" i="11"/>
  <c r="C476" i="11"/>
  <c r="B476" i="11"/>
  <c r="A476" i="11"/>
  <c r="H475" i="11"/>
  <c r="G475" i="11"/>
  <c r="F475" i="11"/>
  <c r="E475" i="11"/>
  <c r="D475" i="11"/>
  <c r="C475" i="11"/>
  <c r="B475" i="11"/>
  <c r="A475" i="11"/>
  <c r="H474" i="11"/>
  <c r="G474" i="11"/>
  <c r="F474" i="11"/>
  <c r="E474" i="11"/>
  <c r="D474" i="11"/>
  <c r="C474" i="11"/>
  <c r="B474" i="11"/>
  <c r="A474" i="11"/>
  <c r="H473" i="11"/>
  <c r="G473" i="11"/>
  <c r="F473" i="11"/>
  <c r="E473" i="11"/>
  <c r="D473" i="11"/>
  <c r="C473" i="11"/>
  <c r="B473" i="11"/>
  <c r="A473" i="11"/>
  <c r="H472" i="11"/>
  <c r="G472" i="11"/>
  <c r="F472" i="11"/>
  <c r="E472" i="11"/>
  <c r="D472" i="11"/>
  <c r="C472" i="11"/>
  <c r="B472" i="11"/>
  <c r="A472" i="11"/>
  <c r="H471" i="11"/>
  <c r="G471" i="11"/>
  <c r="F471" i="11"/>
  <c r="E471" i="11"/>
  <c r="D471" i="11"/>
  <c r="C471" i="11"/>
  <c r="B471" i="11"/>
  <c r="A471" i="11"/>
  <c r="H470" i="11"/>
  <c r="G470" i="11"/>
  <c r="F470" i="11"/>
  <c r="E470" i="11"/>
  <c r="D470" i="11"/>
  <c r="C470" i="11"/>
  <c r="B470" i="11"/>
  <c r="A470" i="11"/>
  <c r="H469" i="11"/>
  <c r="G469" i="11"/>
  <c r="F469" i="11"/>
  <c r="E469" i="11"/>
  <c r="D469" i="11"/>
  <c r="C469" i="11"/>
  <c r="B469" i="11"/>
  <c r="A469" i="11"/>
  <c r="H468" i="11"/>
  <c r="G468" i="11"/>
  <c r="F468" i="11"/>
  <c r="E468" i="11"/>
  <c r="D468" i="11"/>
  <c r="C468" i="11"/>
  <c r="B468" i="11"/>
  <c r="A468" i="11"/>
  <c r="H467" i="11"/>
  <c r="G467" i="11"/>
  <c r="F467" i="11"/>
  <c r="E467" i="11"/>
  <c r="D467" i="11"/>
  <c r="C467" i="11"/>
  <c r="B467" i="11"/>
  <c r="A467" i="11"/>
  <c r="H466" i="11"/>
  <c r="G466" i="11"/>
  <c r="F466" i="11"/>
  <c r="E466" i="11"/>
  <c r="D466" i="11"/>
  <c r="C466" i="11"/>
  <c r="B466" i="11"/>
  <c r="A466" i="11"/>
  <c r="H465" i="11"/>
  <c r="G465" i="11"/>
  <c r="F465" i="11"/>
  <c r="E465" i="11"/>
  <c r="D465" i="11"/>
  <c r="C465" i="11"/>
  <c r="B465" i="11"/>
  <c r="A465" i="11"/>
  <c r="H464" i="11"/>
  <c r="G464" i="11"/>
  <c r="F464" i="11"/>
  <c r="E464" i="11"/>
  <c r="D464" i="11"/>
  <c r="C464" i="11"/>
  <c r="B464" i="11"/>
  <c r="A464" i="11"/>
  <c r="H463" i="11"/>
  <c r="G463" i="11"/>
  <c r="F463" i="11"/>
  <c r="E463" i="11"/>
  <c r="D463" i="11"/>
  <c r="C463" i="11"/>
  <c r="B463" i="11"/>
  <c r="A463" i="11"/>
  <c r="H462" i="11"/>
  <c r="G462" i="11"/>
  <c r="F462" i="11"/>
  <c r="E462" i="11"/>
  <c r="D462" i="11"/>
  <c r="C462" i="11"/>
  <c r="B462" i="11"/>
  <c r="A462" i="11"/>
  <c r="H461" i="11"/>
  <c r="G461" i="11"/>
  <c r="F461" i="11"/>
  <c r="E461" i="11"/>
  <c r="D461" i="11"/>
  <c r="C461" i="11"/>
  <c r="B461" i="11"/>
  <c r="A461" i="11"/>
  <c r="H460" i="11"/>
  <c r="G460" i="11"/>
  <c r="F460" i="11"/>
  <c r="E460" i="11"/>
  <c r="D460" i="11"/>
  <c r="C460" i="11"/>
  <c r="B460" i="11"/>
  <c r="A460" i="11"/>
  <c r="H459" i="11"/>
  <c r="G459" i="11"/>
  <c r="F459" i="11"/>
  <c r="E459" i="11"/>
  <c r="D459" i="11"/>
  <c r="C459" i="11"/>
  <c r="B459" i="11"/>
  <c r="A459" i="11"/>
  <c r="H458" i="11"/>
  <c r="G458" i="11"/>
  <c r="F458" i="11"/>
  <c r="E458" i="11"/>
  <c r="D458" i="11"/>
  <c r="C458" i="11"/>
  <c r="B458" i="11"/>
  <c r="A458" i="11"/>
  <c r="H457" i="11"/>
  <c r="G457" i="11"/>
  <c r="F457" i="11"/>
  <c r="E457" i="11"/>
  <c r="D457" i="11"/>
  <c r="C457" i="11"/>
  <c r="B457" i="11"/>
  <c r="A457" i="11"/>
  <c r="H456" i="11"/>
  <c r="G456" i="11"/>
  <c r="F456" i="11"/>
  <c r="E456" i="11"/>
  <c r="D456" i="11"/>
  <c r="C456" i="11"/>
  <c r="B456" i="11"/>
  <c r="A456" i="11"/>
  <c r="H455" i="11"/>
  <c r="G455" i="11"/>
  <c r="F455" i="11"/>
  <c r="E455" i="11"/>
  <c r="D455" i="11"/>
  <c r="C455" i="11"/>
  <c r="B455" i="11"/>
  <c r="A455" i="11"/>
  <c r="H454" i="11"/>
  <c r="G454" i="11"/>
  <c r="F454" i="11"/>
  <c r="E454" i="11"/>
  <c r="D454" i="11"/>
  <c r="C454" i="11"/>
  <c r="B454" i="11"/>
  <c r="A454" i="11"/>
  <c r="H453" i="11"/>
  <c r="G453" i="11"/>
  <c r="F453" i="11"/>
  <c r="E453" i="11"/>
  <c r="D453" i="11"/>
  <c r="C453" i="11"/>
  <c r="B453" i="11"/>
  <c r="A453" i="11"/>
  <c r="H452" i="11"/>
  <c r="G452" i="11"/>
  <c r="F452" i="11"/>
  <c r="E452" i="11"/>
  <c r="D452" i="11"/>
  <c r="C452" i="11"/>
  <c r="B452" i="11"/>
  <c r="A452" i="11"/>
  <c r="H451" i="11"/>
  <c r="G451" i="11"/>
  <c r="F451" i="11"/>
  <c r="E451" i="11"/>
  <c r="D451" i="11"/>
  <c r="C451" i="11"/>
  <c r="B451" i="11"/>
  <c r="A451" i="11"/>
  <c r="H450" i="11"/>
  <c r="G450" i="11"/>
  <c r="F450" i="11"/>
  <c r="E450" i="11"/>
  <c r="D450" i="11"/>
  <c r="C450" i="11"/>
  <c r="B450" i="11"/>
  <c r="A450" i="11"/>
  <c r="H449" i="11"/>
  <c r="G449" i="11"/>
  <c r="F449" i="11"/>
  <c r="E449" i="11"/>
  <c r="D449" i="11"/>
  <c r="C449" i="11"/>
  <c r="B449" i="11"/>
  <c r="A449" i="11"/>
  <c r="H448" i="11"/>
  <c r="G448" i="11"/>
  <c r="F448" i="11"/>
  <c r="E448" i="11"/>
  <c r="D448" i="11"/>
  <c r="C448" i="11"/>
  <c r="B448" i="11"/>
  <c r="A448" i="11"/>
  <c r="H447" i="11"/>
  <c r="G447" i="11"/>
  <c r="F447" i="11"/>
  <c r="E447" i="11"/>
  <c r="D447" i="11"/>
  <c r="C447" i="11"/>
  <c r="B447" i="11"/>
  <c r="A447" i="11"/>
  <c r="H446" i="11"/>
  <c r="G446" i="11"/>
  <c r="F446" i="11"/>
  <c r="E446" i="11"/>
  <c r="D446" i="11"/>
  <c r="C446" i="11"/>
  <c r="B446" i="11"/>
  <c r="A446" i="11"/>
  <c r="H445" i="11"/>
  <c r="G445" i="11"/>
  <c r="F445" i="11"/>
  <c r="E445" i="11"/>
  <c r="D445" i="11"/>
  <c r="C445" i="11"/>
  <c r="B445" i="11"/>
  <c r="A445" i="11"/>
  <c r="H444" i="11"/>
  <c r="G444" i="11"/>
  <c r="F444" i="11"/>
  <c r="E444" i="11"/>
  <c r="D444" i="11"/>
  <c r="C444" i="11"/>
  <c r="B444" i="11"/>
  <c r="A444" i="11"/>
  <c r="H443" i="11"/>
  <c r="G443" i="11"/>
  <c r="F443" i="11"/>
  <c r="E443" i="11"/>
  <c r="D443" i="11"/>
  <c r="C443" i="11"/>
  <c r="B443" i="11"/>
  <c r="A443" i="11"/>
  <c r="H442" i="11"/>
  <c r="G442" i="11"/>
  <c r="F442" i="11"/>
  <c r="E442" i="11"/>
  <c r="D442" i="11"/>
  <c r="C442" i="11"/>
  <c r="B442" i="11"/>
  <c r="A442" i="11"/>
  <c r="H441" i="11"/>
  <c r="G441" i="11"/>
  <c r="F441" i="11"/>
  <c r="E441" i="11"/>
  <c r="D441" i="11"/>
  <c r="C441" i="11"/>
  <c r="B441" i="11"/>
  <c r="A441" i="11"/>
  <c r="H440" i="11"/>
  <c r="G440" i="11"/>
  <c r="F440" i="11"/>
  <c r="E440" i="11"/>
  <c r="D440" i="11"/>
  <c r="C440" i="11"/>
  <c r="B440" i="11"/>
  <c r="A440" i="11"/>
  <c r="H439" i="11"/>
  <c r="G439" i="11"/>
  <c r="F439" i="11"/>
  <c r="E439" i="11"/>
  <c r="D439" i="11"/>
  <c r="C439" i="11"/>
  <c r="B439" i="11"/>
  <c r="A439" i="11"/>
  <c r="H438" i="11"/>
  <c r="G438" i="11"/>
  <c r="F438" i="11"/>
  <c r="E438" i="11"/>
  <c r="D438" i="11"/>
  <c r="C438" i="11"/>
  <c r="B438" i="11"/>
  <c r="A438" i="11"/>
  <c r="H437" i="11"/>
  <c r="G437" i="11"/>
  <c r="F437" i="11"/>
  <c r="E437" i="11"/>
  <c r="D437" i="11"/>
  <c r="C437" i="11"/>
  <c r="B437" i="11"/>
  <c r="A437" i="11"/>
  <c r="H436" i="11"/>
  <c r="G436" i="11"/>
  <c r="F436" i="11"/>
  <c r="E436" i="11"/>
  <c r="D436" i="11"/>
  <c r="C436" i="11"/>
  <c r="B436" i="11"/>
  <c r="A436" i="11"/>
  <c r="H435" i="11"/>
  <c r="G435" i="11"/>
  <c r="F435" i="11"/>
  <c r="E435" i="11"/>
  <c r="D435" i="11"/>
  <c r="C435" i="11"/>
  <c r="B435" i="11"/>
  <c r="A435" i="11"/>
  <c r="H434" i="11"/>
  <c r="G434" i="11"/>
  <c r="F434" i="11"/>
  <c r="E434" i="11"/>
  <c r="D434" i="11"/>
  <c r="C434" i="11"/>
  <c r="B434" i="11"/>
  <c r="A434" i="11"/>
  <c r="H433" i="11"/>
  <c r="G433" i="11"/>
  <c r="F433" i="11"/>
  <c r="E433" i="11"/>
  <c r="D433" i="11"/>
  <c r="C433" i="11"/>
  <c r="B433" i="11"/>
  <c r="A433" i="11"/>
  <c r="H432" i="11"/>
  <c r="G432" i="11"/>
  <c r="F432" i="11"/>
  <c r="E432" i="11"/>
  <c r="D432" i="11"/>
  <c r="C432" i="11"/>
  <c r="B432" i="11"/>
  <c r="A432" i="11"/>
  <c r="H431" i="11"/>
  <c r="G431" i="11"/>
  <c r="F431" i="11"/>
  <c r="E431" i="11"/>
  <c r="D431" i="11"/>
  <c r="C431" i="11"/>
  <c r="B431" i="11"/>
  <c r="A431" i="11"/>
  <c r="H430" i="11"/>
  <c r="G430" i="11"/>
  <c r="F430" i="11"/>
  <c r="E430" i="11"/>
  <c r="D430" i="11"/>
  <c r="C430" i="11"/>
  <c r="B430" i="11"/>
  <c r="A430" i="11"/>
  <c r="H429" i="11"/>
  <c r="G429" i="11"/>
  <c r="F429" i="11"/>
  <c r="E429" i="11"/>
  <c r="D429" i="11"/>
  <c r="C429" i="11"/>
  <c r="B429" i="11"/>
  <c r="A429" i="11"/>
  <c r="H428" i="11"/>
  <c r="G428" i="11"/>
  <c r="F428" i="11"/>
  <c r="E428" i="11"/>
  <c r="D428" i="11"/>
  <c r="C428" i="11"/>
  <c r="B428" i="11"/>
  <c r="A428" i="11"/>
  <c r="H427" i="11"/>
  <c r="G427" i="11"/>
  <c r="F427" i="11"/>
  <c r="E427" i="11"/>
  <c r="D427" i="11"/>
  <c r="C427" i="11"/>
  <c r="B427" i="11"/>
  <c r="A427" i="11"/>
  <c r="H426" i="11"/>
  <c r="G426" i="11"/>
  <c r="F426" i="11"/>
  <c r="E426" i="11"/>
  <c r="D426" i="11"/>
  <c r="C426" i="11"/>
  <c r="B426" i="11"/>
  <c r="A426" i="11"/>
  <c r="H425" i="11"/>
  <c r="G425" i="11"/>
  <c r="F425" i="11"/>
  <c r="E425" i="11"/>
  <c r="D425" i="11"/>
  <c r="C425" i="11"/>
  <c r="B425" i="11"/>
  <c r="A425" i="11"/>
  <c r="H424" i="11"/>
  <c r="G424" i="11"/>
  <c r="F424" i="11"/>
  <c r="E424" i="11"/>
  <c r="D424" i="11"/>
  <c r="C424" i="11"/>
  <c r="B424" i="11"/>
  <c r="A424" i="11"/>
  <c r="H423" i="11"/>
  <c r="G423" i="11"/>
  <c r="F423" i="11"/>
  <c r="E423" i="11"/>
  <c r="D423" i="11"/>
  <c r="C423" i="11"/>
  <c r="B423" i="11"/>
  <c r="A423" i="11"/>
  <c r="H422" i="11"/>
  <c r="G422" i="11"/>
  <c r="F422" i="11"/>
  <c r="E422" i="11"/>
  <c r="D422" i="11"/>
  <c r="C422" i="11"/>
  <c r="B422" i="11"/>
  <c r="A422" i="11"/>
  <c r="H421" i="11"/>
  <c r="G421" i="11"/>
  <c r="F421" i="11"/>
  <c r="E421" i="11"/>
  <c r="D421" i="11"/>
  <c r="C421" i="11"/>
  <c r="B421" i="11"/>
  <c r="A421" i="11"/>
  <c r="H420" i="11"/>
  <c r="G420" i="11"/>
  <c r="F420" i="11"/>
  <c r="E420" i="11"/>
  <c r="D420" i="11"/>
  <c r="C420" i="11"/>
  <c r="B420" i="11"/>
  <c r="A420" i="11"/>
  <c r="H419" i="11"/>
  <c r="G419" i="11"/>
  <c r="F419" i="11"/>
  <c r="E419" i="11"/>
  <c r="D419" i="11"/>
  <c r="C419" i="11"/>
  <c r="B419" i="11"/>
  <c r="A419" i="11"/>
  <c r="H418" i="11"/>
  <c r="G418" i="11"/>
  <c r="F418" i="11"/>
  <c r="E418" i="11"/>
  <c r="D418" i="11"/>
  <c r="C418" i="11"/>
  <c r="B418" i="11"/>
  <c r="A418" i="11"/>
  <c r="H417" i="11"/>
  <c r="G417" i="11"/>
  <c r="F417" i="11"/>
  <c r="E417" i="11"/>
  <c r="D417" i="11"/>
  <c r="C417" i="11"/>
  <c r="B417" i="11"/>
  <c r="A417" i="11"/>
  <c r="H416" i="11"/>
  <c r="G416" i="11"/>
  <c r="F416" i="11"/>
  <c r="E416" i="11"/>
  <c r="D416" i="11"/>
  <c r="C416" i="11"/>
  <c r="B416" i="11"/>
  <c r="A416" i="11"/>
  <c r="H415" i="11"/>
  <c r="G415" i="11"/>
  <c r="F415" i="11"/>
  <c r="E415" i="11"/>
  <c r="D415" i="11"/>
  <c r="C415" i="11"/>
  <c r="B415" i="11"/>
  <c r="A415" i="11"/>
  <c r="H414" i="11"/>
  <c r="G414" i="11"/>
  <c r="F414" i="11"/>
  <c r="E414" i="11"/>
  <c r="D414" i="11"/>
  <c r="C414" i="11"/>
  <c r="B414" i="11"/>
  <c r="A414" i="11"/>
  <c r="H413" i="11"/>
  <c r="G413" i="11"/>
  <c r="F413" i="11"/>
  <c r="E413" i="11"/>
  <c r="D413" i="11"/>
  <c r="C413" i="11"/>
  <c r="B413" i="11"/>
  <c r="A413" i="11"/>
  <c r="H412" i="11"/>
  <c r="G412" i="11"/>
  <c r="F412" i="11"/>
  <c r="E412" i="11"/>
  <c r="D412" i="11"/>
  <c r="C412" i="11"/>
  <c r="B412" i="11"/>
  <c r="A412" i="11"/>
  <c r="H411" i="11"/>
  <c r="G411" i="11"/>
  <c r="F411" i="11"/>
  <c r="E411" i="11"/>
  <c r="D411" i="11"/>
  <c r="C411" i="11"/>
  <c r="B411" i="11"/>
  <c r="A411" i="11"/>
  <c r="H410" i="11"/>
  <c r="G410" i="11"/>
  <c r="F410" i="11"/>
  <c r="E410" i="11"/>
  <c r="D410" i="11"/>
  <c r="C410" i="11"/>
  <c r="B410" i="11"/>
  <c r="A410" i="11"/>
  <c r="H409" i="11"/>
  <c r="G409" i="11"/>
  <c r="F409" i="11"/>
  <c r="E409" i="11"/>
  <c r="D409" i="11"/>
  <c r="C409" i="11"/>
  <c r="B409" i="11"/>
  <c r="A409" i="11"/>
  <c r="H408" i="11"/>
  <c r="G408" i="11"/>
  <c r="F408" i="11"/>
  <c r="E408" i="11"/>
  <c r="D408" i="11"/>
  <c r="C408" i="11"/>
  <c r="B408" i="11"/>
  <c r="A408" i="11"/>
  <c r="H407" i="11"/>
  <c r="G407" i="11"/>
  <c r="F407" i="11"/>
  <c r="E407" i="11"/>
  <c r="D407" i="11"/>
  <c r="C407" i="11"/>
  <c r="B407" i="11"/>
  <c r="A407" i="11"/>
  <c r="H406" i="11"/>
  <c r="G406" i="11"/>
  <c r="F406" i="11"/>
  <c r="E406" i="11"/>
  <c r="D406" i="11"/>
  <c r="C406" i="11"/>
  <c r="B406" i="11"/>
  <c r="A406" i="11"/>
  <c r="H405" i="11"/>
  <c r="G405" i="11"/>
  <c r="F405" i="11"/>
  <c r="E405" i="11"/>
  <c r="D405" i="11"/>
  <c r="C405" i="11"/>
  <c r="B405" i="11"/>
  <c r="A405" i="11"/>
  <c r="H404" i="11"/>
  <c r="G404" i="11"/>
  <c r="F404" i="11"/>
  <c r="E404" i="11"/>
  <c r="D404" i="11"/>
  <c r="C404" i="11"/>
  <c r="B404" i="11"/>
  <c r="A404" i="11"/>
  <c r="H403" i="11"/>
  <c r="G403" i="11"/>
  <c r="F403" i="11"/>
  <c r="E403" i="11"/>
  <c r="D403" i="11"/>
  <c r="C403" i="11"/>
  <c r="B403" i="11"/>
  <c r="A403" i="11"/>
  <c r="H402" i="11"/>
  <c r="G402" i="11"/>
  <c r="F402" i="11"/>
  <c r="E402" i="11"/>
  <c r="D402" i="11"/>
  <c r="C402" i="11"/>
  <c r="B402" i="11"/>
  <c r="A402" i="11"/>
  <c r="H401" i="11"/>
  <c r="G401" i="11"/>
  <c r="F401" i="11"/>
  <c r="E401" i="11"/>
  <c r="D401" i="11"/>
  <c r="C401" i="11"/>
  <c r="B401" i="11"/>
  <c r="A401" i="11"/>
  <c r="H400" i="11"/>
  <c r="G400" i="11"/>
  <c r="F400" i="11"/>
  <c r="E400" i="11"/>
  <c r="D400" i="11"/>
  <c r="C400" i="11"/>
  <c r="B400" i="11"/>
  <c r="A400" i="11"/>
  <c r="H399" i="11"/>
  <c r="G399" i="11"/>
  <c r="F399" i="11"/>
  <c r="E399" i="11"/>
  <c r="D399" i="11"/>
  <c r="C399" i="11"/>
  <c r="B399" i="11"/>
  <c r="A399" i="11"/>
  <c r="H398" i="11"/>
  <c r="G398" i="11"/>
  <c r="F398" i="11"/>
  <c r="E398" i="11"/>
  <c r="D398" i="11"/>
  <c r="C398" i="11"/>
  <c r="B398" i="11"/>
  <c r="A398" i="11"/>
  <c r="H397" i="11"/>
  <c r="G397" i="11"/>
  <c r="F397" i="11"/>
  <c r="E397" i="11"/>
  <c r="D397" i="11"/>
  <c r="C397" i="11"/>
  <c r="B397" i="11"/>
  <c r="A397" i="11"/>
  <c r="H396" i="11"/>
  <c r="G396" i="11"/>
  <c r="F396" i="11"/>
  <c r="E396" i="11"/>
  <c r="D396" i="11"/>
  <c r="C396" i="11"/>
  <c r="B396" i="11"/>
  <c r="A396" i="11"/>
  <c r="H395" i="11"/>
  <c r="G395" i="11"/>
  <c r="F395" i="11"/>
  <c r="E395" i="11"/>
  <c r="D395" i="11"/>
  <c r="C395" i="11"/>
  <c r="B395" i="11"/>
  <c r="A395" i="11"/>
  <c r="H394" i="11"/>
  <c r="G394" i="11"/>
  <c r="F394" i="11"/>
  <c r="E394" i="11"/>
  <c r="D394" i="11"/>
  <c r="C394" i="11"/>
  <c r="B394" i="11"/>
  <c r="A394" i="11"/>
  <c r="H393" i="11"/>
  <c r="G393" i="11"/>
  <c r="F393" i="11"/>
  <c r="E393" i="11"/>
  <c r="D393" i="11"/>
  <c r="C393" i="11"/>
  <c r="B393" i="11"/>
  <c r="A393" i="11"/>
  <c r="H392" i="11"/>
  <c r="G392" i="11"/>
  <c r="F392" i="11"/>
  <c r="E392" i="11"/>
  <c r="D392" i="11"/>
  <c r="C392" i="11"/>
  <c r="B392" i="11"/>
  <c r="A392" i="11"/>
  <c r="H391" i="11"/>
  <c r="G391" i="11"/>
  <c r="F391" i="11"/>
  <c r="E391" i="11"/>
  <c r="D391" i="11"/>
  <c r="C391" i="11"/>
  <c r="B391" i="11"/>
  <c r="A391" i="11"/>
  <c r="H390" i="11"/>
  <c r="G390" i="11"/>
  <c r="F390" i="11"/>
  <c r="E390" i="11"/>
  <c r="D390" i="11"/>
  <c r="C390" i="11"/>
  <c r="B390" i="11"/>
  <c r="A390" i="11"/>
  <c r="H389" i="11"/>
  <c r="G389" i="11"/>
  <c r="F389" i="11"/>
  <c r="E389" i="11"/>
  <c r="D389" i="11"/>
  <c r="C389" i="11"/>
  <c r="B389" i="11"/>
  <c r="A389" i="11"/>
  <c r="H388" i="11"/>
  <c r="G388" i="11"/>
  <c r="F388" i="11"/>
  <c r="E388" i="11"/>
  <c r="D388" i="11"/>
  <c r="C388" i="11"/>
  <c r="B388" i="11"/>
  <c r="A388" i="11"/>
  <c r="H387" i="11"/>
  <c r="G387" i="11"/>
  <c r="F387" i="11"/>
  <c r="E387" i="11"/>
  <c r="D387" i="11"/>
  <c r="C387" i="11"/>
  <c r="B387" i="11"/>
  <c r="A387" i="11"/>
  <c r="H386" i="11"/>
  <c r="G386" i="11"/>
  <c r="F386" i="11"/>
  <c r="E386" i="11"/>
  <c r="D386" i="11"/>
  <c r="C386" i="11"/>
  <c r="B386" i="11"/>
  <c r="A386" i="11"/>
  <c r="H385" i="11"/>
  <c r="G385" i="11"/>
  <c r="F385" i="11"/>
  <c r="E385" i="11"/>
  <c r="D385" i="11"/>
  <c r="C385" i="11"/>
  <c r="B385" i="11"/>
  <c r="A385" i="11"/>
  <c r="H384" i="11"/>
  <c r="G384" i="11"/>
  <c r="F384" i="11"/>
  <c r="E384" i="11"/>
  <c r="D384" i="11"/>
  <c r="C384" i="11"/>
  <c r="B384" i="11"/>
  <c r="A384" i="11"/>
  <c r="H383" i="11"/>
  <c r="G383" i="11"/>
  <c r="F383" i="11"/>
  <c r="E383" i="11"/>
  <c r="D383" i="11"/>
  <c r="C383" i="11"/>
  <c r="B383" i="11"/>
  <c r="A383" i="11"/>
  <c r="H382" i="11"/>
  <c r="G382" i="11"/>
  <c r="F382" i="11"/>
  <c r="E382" i="11"/>
  <c r="D382" i="11"/>
  <c r="C382" i="11"/>
  <c r="B382" i="11"/>
  <c r="A382" i="11"/>
  <c r="H381" i="11"/>
  <c r="G381" i="11"/>
  <c r="F381" i="11"/>
  <c r="E381" i="11"/>
  <c r="D381" i="11"/>
  <c r="C381" i="11"/>
  <c r="B381" i="11"/>
  <c r="A381" i="11"/>
  <c r="H380" i="11"/>
  <c r="G380" i="11"/>
  <c r="F380" i="11"/>
  <c r="E380" i="11"/>
  <c r="D380" i="11"/>
  <c r="C380" i="11"/>
  <c r="B380" i="11"/>
  <c r="A380" i="11"/>
  <c r="H379" i="11"/>
  <c r="G379" i="11"/>
  <c r="F379" i="11"/>
  <c r="E379" i="11"/>
  <c r="D379" i="11"/>
  <c r="C379" i="11"/>
  <c r="B379" i="11"/>
  <c r="A379" i="11"/>
  <c r="H378" i="11"/>
  <c r="G378" i="11"/>
  <c r="F378" i="11"/>
  <c r="E378" i="11"/>
  <c r="D378" i="11"/>
  <c r="C378" i="11"/>
  <c r="B378" i="11"/>
  <c r="A378" i="11"/>
  <c r="H377" i="11"/>
  <c r="G377" i="11"/>
  <c r="F377" i="11"/>
  <c r="E377" i="11"/>
  <c r="D377" i="11"/>
  <c r="C377" i="11"/>
  <c r="B377" i="11"/>
  <c r="A377" i="11"/>
  <c r="H376" i="11"/>
  <c r="G376" i="11"/>
  <c r="F376" i="11"/>
  <c r="E376" i="11"/>
  <c r="D376" i="11"/>
  <c r="C376" i="11"/>
  <c r="B376" i="11"/>
  <c r="A376" i="11"/>
  <c r="H375" i="11"/>
  <c r="G375" i="11"/>
  <c r="F375" i="11"/>
  <c r="E375" i="11"/>
  <c r="D375" i="11"/>
  <c r="C375" i="11"/>
  <c r="B375" i="11"/>
  <c r="A375" i="11"/>
  <c r="H374" i="11"/>
  <c r="G374" i="11"/>
  <c r="F374" i="11"/>
  <c r="E374" i="11"/>
  <c r="D374" i="11"/>
  <c r="C374" i="11"/>
  <c r="B374" i="11"/>
  <c r="A374" i="11"/>
  <c r="H373" i="11"/>
  <c r="G373" i="11"/>
  <c r="F373" i="11"/>
  <c r="E373" i="11"/>
  <c r="D373" i="11"/>
  <c r="C373" i="11"/>
  <c r="B373" i="11"/>
  <c r="A373" i="11"/>
  <c r="H372" i="11"/>
  <c r="G372" i="11"/>
  <c r="F372" i="11"/>
  <c r="E372" i="11"/>
  <c r="D372" i="11"/>
  <c r="C372" i="11"/>
  <c r="B372" i="11"/>
  <c r="A372" i="11"/>
  <c r="H371" i="11"/>
  <c r="G371" i="11"/>
  <c r="F371" i="11"/>
  <c r="E371" i="11"/>
  <c r="D371" i="11"/>
  <c r="C371" i="11"/>
  <c r="B371" i="11"/>
  <c r="A371" i="11"/>
  <c r="H370" i="11"/>
  <c r="G370" i="11"/>
  <c r="F370" i="11"/>
  <c r="E370" i="11"/>
  <c r="D370" i="11"/>
  <c r="C370" i="11"/>
  <c r="B370" i="11"/>
  <c r="A370" i="11"/>
  <c r="H369" i="11"/>
  <c r="G369" i="11"/>
  <c r="F369" i="11"/>
  <c r="E369" i="11"/>
  <c r="D369" i="11"/>
  <c r="C369" i="11"/>
  <c r="B369" i="11"/>
  <c r="A369" i="11"/>
  <c r="H368" i="11"/>
  <c r="G368" i="11"/>
  <c r="F368" i="11"/>
  <c r="E368" i="11"/>
  <c r="D368" i="11"/>
  <c r="C368" i="11"/>
  <c r="B368" i="11"/>
  <c r="A368" i="11"/>
  <c r="H367" i="11"/>
  <c r="G367" i="11"/>
  <c r="F367" i="11"/>
  <c r="E367" i="11"/>
  <c r="D367" i="11"/>
  <c r="C367" i="11"/>
  <c r="B367" i="11"/>
  <c r="A367" i="11"/>
  <c r="H366" i="11"/>
  <c r="G366" i="11"/>
  <c r="F366" i="11"/>
  <c r="E366" i="11"/>
  <c r="D366" i="11"/>
  <c r="C366" i="11"/>
  <c r="B366" i="11"/>
  <c r="A366" i="11"/>
  <c r="H365" i="11"/>
  <c r="G365" i="11"/>
  <c r="F365" i="11"/>
  <c r="E365" i="11"/>
  <c r="D365" i="11"/>
  <c r="C365" i="11"/>
  <c r="B365" i="11"/>
  <c r="A365" i="11"/>
  <c r="H364" i="11"/>
  <c r="G364" i="11"/>
  <c r="F364" i="11"/>
  <c r="E364" i="11"/>
  <c r="D364" i="11"/>
  <c r="C364" i="11"/>
  <c r="B364" i="11"/>
  <c r="A364" i="11"/>
  <c r="H363" i="11"/>
  <c r="G363" i="11"/>
  <c r="F363" i="11"/>
  <c r="E363" i="11"/>
  <c r="D363" i="11"/>
  <c r="C363" i="11"/>
  <c r="B363" i="11"/>
  <c r="A363" i="11"/>
  <c r="H362" i="11"/>
  <c r="G362" i="11"/>
  <c r="F362" i="11"/>
  <c r="E362" i="11"/>
  <c r="D362" i="11"/>
  <c r="C362" i="11"/>
  <c r="B362" i="11"/>
  <c r="A362" i="11"/>
  <c r="H361" i="11"/>
  <c r="G361" i="11"/>
  <c r="F361" i="11"/>
  <c r="E361" i="11"/>
  <c r="D361" i="11"/>
  <c r="C361" i="11"/>
  <c r="B361" i="11"/>
  <c r="A361" i="11"/>
  <c r="H360" i="11"/>
  <c r="G360" i="11"/>
  <c r="F360" i="11"/>
  <c r="E360" i="11"/>
  <c r="D360" i="11"/>
  <c r="C360" i="11"/>
  <c r="B360" i="11"/>
  <c r="A360" i="11"/>
  <c r="H359" i="11"/>
  <c r="G359" i="11"/>
  <c r="F359" i="11"/>
  <c r="E359" i="11"/>
  <c r="D359" i="11"/>
  <c r="C359" i="11"/>
  <c r="B359" i="11"/>
  <c r="A359" i="11"/>
  <c r="H358" i="11"/>
  <c r="G358" i="11"/>
  <c r="F358" i="11"/>
  <c r="E358" i="11"/>
  <c r="D358" i="11"/>
  <c r="C358" i="11"/>
  <c r="B358" i="11"/>
  <c r="A358" i="11"/>
  <c r="H357" i="11"/>
  <c r="G357" i="11"/>
  <c r="F357" i="11"/>
  <c r="E357" i="11"/>
  <c r="D357" i="11"/>
  <c r="C357" i="11"/>
  <c r="B357" i="11"/>
  <c r="A357" i="11"/>
  <c r="H356" i="11"/>
  <c r="G356" i="11"/>
  <c r="F356" i="11"/>
  <c r="E356" i="11"/>
  <c r="D356" i="11"/>
  <c r="C356" i="11"/>
  <c r="B356" i="11"/>
  <c r="A356" i="11"/>
  <c r="H355" i="11"/>
  <c r="G355" i="11"/>
  <c r="F355" i="11"/>
  <c r="E355" i="11"/>
  <c r="D355" i="11"/>
  <c r="C355" i="11"/>
  <c r="B355" i="11"/>
  <c r="A355" i="11"/>
  <c r="H354" i="11"/>
  <c r="G354" i="11"/>
  <c r="F354" i="11"/>
  <c r="E354" i="11"/>
  <c r="D354" i="11"/>
  <c r="C354" i="11"/>
  <c r="B354" i="11"/>
  <c r="A354" i="11"/>
  <c r="H353" i="11"/>
  <c r="G353" i="11"/>
  <c r="F353" i="11"/>
  <c r="E353" i="11"/>
  <c r="D353" i="11"/>
  <c r="C353" i="11"/>
  <c r="B353" i="11"/>
  <c r="A353" i="11"/>
  <c r="H352" i="11"/>
  <c r="G352" i="11"/>
  <c r="F352" i="11"/>
  <c r="E352" i="11"/>
  <c r="D352" i="11"/>
  <c r="C352" i="11"/>
  <c r="B352" i="11"/>
  <c r="A352" i="11"/>
  <c r="H351" i="11"/>
  <c r="G351" i="11"/>
  <c r="F351" i="11"/>
  <c r="E351" i="11"/>
  <c r="D351" i="11"/>
  <c r="C351" i="11"/>
  <c r="B351" i="11"/>
  <c r="A351" i="11"/>
  <c r="H350" i="11"/>
  <c r="G350" i="11"/>
  <c r="F350" i="11"/>
  <c r="E350" i="11"/>
  <c r="D350" i="11"/>
  <c r="C350" i="11"/>
  <c r="B350" i="11"/>
  <c r="A350" i="11"/>
  <c r="H349" i="11"/>
  <c r="G349" i="11"/>
  <c r="F349" i="11"/>
  <c r="E349" i="11"/>
  <c r="D349" i="11"/>
  <c r="C349" i="11"/>
  <c r="B349" i="11"/>
  <c r="A349" i="11"/>
  <c r="H348" i="11"/>
  <c r="G348" i="11"/>
  <c r="F348" i="11"/>
  <c r="E348" i="11"/>
  <c r="D348" i="11"/>
  <c r="C348" i="11"/>
  <c r="B348" i="11"/>
  <c r="A348" i="11"/>
  <c r="H347" i="11"/>
  <c r="G347" i="11"/>
  <c r="F347" i="11"/>
  <c r="E347" i="11"/>
  <c r="D347" i="11"/>
  <c r="C347" i="11"/>
  <c r="B347" i="11"/>
  <c r="A347" i="11"/>
  <c r="H346" i="11"/>
  <c r="G346" i="11"/>
  <c r="F346" i="11"/>
  <c r="E346" i="11"/>
  <c r="D346" i="11"/>
  <c r="C346" i="11"/>
  <c r="B346" i="11"/>
  <c r="A346" i="11"/>
  <c r="H345" i="11"/>
  <c r="G345" i="11"/>
  <c r="F345" i="11"/>
  <c r="E345" i="11"/>
  <c r="D345" i="11"/>
  <c r="C345" i="11"/>
  <c r="B345" i="11"/>
  <c r="A345" i="11"/>
  <c r="H344" i="11"/>
  <c r="G344" i="11"/>
  <c r="F344" i="11"/>
  <c r="E344" i="11"/>
  <c r="D344" i="11"/>
  <c r="C344" i="11"/>
  <c r="B344" i="11"/>
  <c r="A344" i="11"/>
  <c r="H343" i="11"/>
  <c r="G343" i="11"/>
  <c r="F343" i="11"/>
  <c r="E343" i="11"/>
  <c r="D343" i="11"/>
  <c r="C343" i="11"/>
  <c r="B343" i="11"/>
  <c r="A343" i="11"/>
  <c r="H342" i="11"/>
  <c r="G342" i="11"/>
  <c r="F342" i="11"/>
  <c r="E342" i="11"/>
  <c r="D342" i="11"/>
  <c r="C342" i="11"/>
  <c r="B342" i="11"/>
  <c r="A342" i="11"/>
  <c r="H341" i="11"/>
  <c r="G341" i="11"/>
  <c r="F341" i="11"/>
  <c r="E341" i="11"/>
  <c r="D341" i="11"/>
  <c r="C341" i="11"/>
  <c r="B341" i="11"/>
  <c r="A341" i="11"/>
  <c r="H340" i="11"/>
  <c r="G340" i="11"/>
  <c r="F340" i="11"/>
  <c r="E340" i="11"/>
  <c r="D340" i="11"/>
  <c r="C340" i="11"/>
  <c r="B340" i="11"/>
  <c r="A340" i="11"/>
  <c r="H339" i="11"/>
  <c r="G339" i="11"/>
  <c r="F339" i="11"/>
  <c r="E339" i="11"/>
  <c r="D339" i="11"/>
  <c r="C339" i="11"/>
  <c r="B339" i="11"/>
  <c r="A339" i="11"/>
  <c r="H338" i="11"/>
  <c r="G338" i="11"/>
  <c r="F338" i="11"/>
  <c r="E338" i="11"/>
  <c r="D338" i="11"/>
  <c r="C338" i="11"/>
  <c r="B338" i="11"/>
  <c r="A338" i="11"/>
  <c r="H337" i="11"/>
  <c r="G337" i="11"/>
  <c r="F337" i="11"/>
  <c r="E337" i="11"/>
  <c r="D337" i="11"/>
  <c r="C337" i="11"/>
  <c r="B337" i="11"/>
  <c r="A337" i="11"/>
  <c r="H336" i="11"/>
  <c r="G336" i="11"/>
  <c r="F336" i="11"/>
  <c r="E336" i="11"/>
  <c r="D336" i="11"/>
  <c r="C336" i="11"/>
  <c r="B336" i="11"/>
  <c r="A336" i="11"/>
  <c r="H335" i="11"/>
  <c r="G335" i="11"/>
  <c r="F335" i="11"/>
  <c r="E335" i="11"/>
  <c r="D335" i="11"/>
  <c r="C335" i="11"/>
  <c r="B335" i="11"/>
  <c r="A335" i="11"/>
  <c r="H334" i="11"/>
  <c r="G334" i="11"/>
  <c r="F334" i="11"/>
  <c r="E334" i="11"/>
  <c r="D334" i="11"/>
  <c r="C334" i="11"/>
  <c r="B334" i="11"/>
  <c r="A334" i="11"/>
  <c r="H333" i="11"/>
  <c r="G333" i="11"/>
  <c r="F333" i="11"/>
  <c r="E333" i="11"/>
  <c r="D333" i="11"/>
  <c r="C333" i="11"/>
  <c r="B333" i="11"/>
  <c r="A333" i="11"/>
  <c r="H332" i="11"/>
  <c r="G332" i="11"/>
  <c r="F332" i="11"/>
  <c r="E332" i="11"/>
  <c r="D332" i="11"/>
  <c r="C332" i="11"/>
  <c r="B332" i="11"/>
  <c r="A332" i="11"/>
  <c r="H331" i="11"/>
  <c r="G331" i="11"/>
  <c r="F331" i="11"/>
  <c r="E331" i="11"/>
  <c r="D331" i="11"/>
  <c r="C331" i="11"/>
  <c r="B331" i="11"/>
  <c r="A331" i="11"/>
  <c r="H330" i="11"/>
  <c r="G330" i="11"/>
  <c r="F330" i="11"/>
  <c r="E330" i="11"/>
  <c r="D330" i="11"/>
  <c r="C330" i="11"/>
  <c r="B330" i="11"/>
  <c r="A330" i="11"/>
  <c r="H329" i="11"/>
  <c r="G329" i="11"/>
  <c r="F329" i="11"/>
  <c r="E329" i="11"/>
  <c r="D329" i="11"/>
  <c r="C329" i="11"/>
  <c r="B329" i="11"/>
  <c r="A329" i="11"/>
  <c r="H328" i="11"/>
  <c r="G328" i="11"/>
  <c r="F328" i="11"/>
  <c r="E328" i="11"/>
  <c r="D328" i="11"/>
  <c r="C328" i="11"/>
  <c r="B328" i="11"/>
  <c r="A328" i="11"/>
  <c r="H327" i="11"/>
  <c r="G327" i="11"/>
  <c r="F327" i="11"/>
  <c r="E327" i="11"/>
  <c r="D327" i="11"/>
  <c r="C327" i="11"/>
  <c r="B327" i="11"/>
  <c r="A327" i="11"/>
  <c r="H326" i="11"/>
  <c r="G326" i="11"/>
  <c r="F326" i="11"/>
  <c r="E326" i="11"/>
  <c r="D326" i="11"/>
  <c r="C326" i="11"/>
  <c r="B326" i="11"/>
  <c r="A326" i="11"/>
  <c r="H325" i="11"/>
  <c r="G325" i="11"/>
  <c r="F325" i="11"/>
  <c r="E325" i="11"/>
  <c r="D325" i="11"/>
  <c r="C325" i="11"/>
  <c r="B325" i="11"/>
  <c r="A325" i="11"/>
  <c r="H324" i="11"/>
  <c r="G324" i="11"/>
  <c r="F324" i="11"/>
  <c r="E324" i="11"/>
  <c r="D324" i="11"/>
  <c r="C324" i="11"/>
  <c r="B324" i="11"/>
  <c r="A324" i="11"/>
  <c r="H323" i="11"/>
  <c r="G323" i="11"/>
  <c r="F323" i="11"/>
  <c r="E323" i="11"/>
  <c r="D323" i="11"/>
  <c r="C323" i="11"/>
  <c r="B323" i="11"/>
  <c r="A323" i="11"/>
  <c r="H322" i="11"/>
  <c r="G322" i="11"/>
  <c r="F322" i="11"/>
  <c r="E322" i="11"/>
  <c r="D322" i="11"/>
  <c r="C322" i="11"/>
  <c r="B322" i="11"/>
  <c r="A322" i="11"/>
  <c r="H321" i="11"/>
  <c r="G321" i="11"/>
  <c r="F321" i="11"/>
  <c r="E321" i="11"/>
  <c r="D321" i="11"/>
  <c r="C321" i="11"/>
  <c r="B321" i="11"/>
  <c r="A321" i="11"/>
  <c r="H320" i="11"/>
  <c r="G320" i="11"/>
  <c r="F320" i="11"/>
  <c r="E320" i="11"/>
  <c r="D320" i="11"/>
  <c r="C320" i="11"/>
  <c r="B320" i="11"/>
  <c r="A320" i="11"/>
  <c r="H319" i="11"/>
  <c r="G319" i="11"/>
  <c r="F319" i="11"/>
  <c r="E319" i="11"/>
  <c r="D319" i="11"/>
  <c r="C319" i="11"/>
  <c r="B319" i="11"/>
  <c r="A319" i="11"/>
  <c r="H318" i="11"/>
  <c r="G318" i="11"/>
  <c r="F318" i="11"/>
  <c r="E318" i="11"/>
  <c r="D318" i="11"/>
  <c r="C318" i="11"/>
  <c r="B318" i="11"/>
  <c r="A318" i="11"/>
  <c r="H317" i="11"/>
  <c r="G317" i="11"/>
  <c r="F317" i="11"/>
  <c r="E317" i="11"/>
  <c r="D317" i="11"/>
  <c r="C317" i="11"/>
  <c r="B317" i="11"/>
  <c r="A317" i="11"/>
  <c r="H316" i="11"/>
  <c r="G316" i="11"/>
  <c r="F316" i="11"/>
  <c r="E316" i="11"/>
  <c r="D316" i="11"/>
  <c r="C316" i="11"/>
  <c r="B316" i="11"/>
  <c r="A316" i="11"/>
  <c r="H315" i="11"/>
  <c r="G315" i="11"/>
  <c r="F315" i="11"/>
  <c r="E315" i="11"/>
  <c r="D315" i="11"/>
  <c r="C315" i="11"/>
  <c r="B315" i="11"/>
  <c r="A315" i="11"/>
  <c r="H314" i="11"/>
  <c r="G314" i="11"/>
  <c r="F314" i="11"/>
  <c r="E314" i="11"/>
  <c r="D314" i="11"/>
  <c r="C314" i="11"/>
  <c r="B314" i="11"/>
  <c r="A314" i="11"/>
  <c r="H313" i="11"/>
  <c r="G313" i="11"/>
  <c r="F313" i="11"/>
  <c r="E313" i="11"/>
  <c r="D313" i="11"/>
  <c r="C313" i="11"/>
  <c r="B313" i="11"/>
  <c r="A313" i="11"/>
  <c r="H312" i="11"/>
  <c r="G312" i="11"/>
  <c r="F312" i="11"/>
  <c r="E312" i="11"/>
  <c r="D312" i="11"/>
  <c r="C312" i="11"/>
  <c r="B312" i="11"/>
  <c r="A312" i="11"/>
  <c r="H311" i="11"/>
  <c r="G311" i="11"/>
  <c r="F311" i="11"/>
  <c r="E311" i="11"/>
  <c r="D311" i="11"/>
  <c r="C311" i="11"/>
  <c r="B311" i="11"/>
  <c r="A311" i="11"/>
  <c r="H310" i="11"/>
  <c r="G310" i="11"/>
  <c r="F310" i="11"/>
  <c r="E310" i="11"/>
  <c r="D310" i="11"/>
  <c r="C310" i="11"/>
  <c r="B310" i="11"/>
  <c r="A310" i="11"/>
  <c r="H309" i="11"/>
  <c r="G309" i="11"/>
  <c r="F309" i="11"/>
  <c r="E309" i="11"/>
  <c r="D309" i="11"/>
  <c r="C309" i="11"/>
  <c r="B309" i="11"/>
  <c r="A309" i="11"/>
  <c r="H308" i="11"/>
  <c r="G308" i="11"/>
  <c r="F308" i="11"/>
  <c r="E308" i="11"/>
  <c r="D308" i="11"/>
  <c r="C308" i="11"/>
  <c r="B308" i="11"/>
  <c r="A308" i="11"/>
  <c r="H307" i="11"/>
  <c r="G307" i="11"/>
  <c r="F307" i="11"/>
  <c r="E307" i="11"/>
  <c r="D307" i="11"/>
  <c r="C307" i="11"/>
  <c r="B307" i="11"/>
  <c r="A307" i="11"/>
  <c r="H306" i="11"/>
  <c r="G306" i="11"/>
  <c r="F306" i="11"/>
  <c r="E306" i="11"/>
  <c r="D306" i="11"/>
  <c r="C306" i="11"/>
  <c r="B306" i="11"/>
  <c r="A306" i="11"/>
  <c r="H305" i="11"/>
  <c r="G305" i="11"/>
  <c r="F305" i="11"/>
  <c r="E305" i="11"/>
  <c r="D305" i="11"/>
  <c r="C305" i="11"/>
  <c r="B305" i="11"/>
  <c r="A305" i="11"/>
  <c r="H304" i="11"/>
  <c r="G304" i="11"/>
  <c r="F304" i="11"/>
  <c r="E304" i="11"/>
  <c r="D304" i="11"/>
  <c r="C304" i="11"/>
  <c r="B304" i="11"/>
  <c r="A304" i="11"/>
  <c r="H303" i="11"/>
  <c r="G303" i="11"/>
  <c r="F303" i="11"/>
  <c r="E303" i="11"/>
  <c r="D303" i="11"/>
  <c r="C303" i="11"/>
  <c r="B303" i="11"/>
  <c r="A303" i="11"/>
  <c r="H302" i="11"/>
  <c r="G302" i="11"/>
  <c r="F302" i="11"/>
  <c r="E302" i="11"/>
  <c r="D302" i="11"/>
  <c r="C302" i="11"/>
  <c r="B302" i="11"/>
  <c r="A302" i="11"/>
  <c r="H301" i="11"/>
  <c r="G301" i="11"/>
  <c r="F301" i="11"/>
  <c r="E301" i="11"/>
  <c r="D301" i="11"/>
  <c r="C301" i="11"/>
  <c r="B301" i="11"/>
  <c r="A301" i="11"/>
  <c r="H300" i="11"/>
  <c r="G300" i="11"/>
  <c r="F300" i="11"/>
  <c r="E300" i="11"/>
  <c r="D300" i="11"/>
  <c r="C300" i="11"/>
  <c r="B300" i="11"/>
  <c r="A300" i="11"/>
  <c r="H299" i="11"/>
  <c r="G299" i="11"/>
  <c r="F299" i="11"/>
  <c r="E299" i="11"/>
  <c r="D299" i="11"/>
  <c r="C299" i="11"/>
  <c r="B299" i="11"/>
  <c r="A299" i="11"/>
  <c r="H298" i="11"/>
  <c r="G298" i="11"/>
  <c r="F298" i="11"/>
  <c r="E298" i="11"/>
  <c r="D298" i="11"/>
  <c r="C298" i="11"/>
  <c r="B298" i="11"/>
  <c r="A298" i="11"/>
  <c r="H297" i="11"/>
  <c r="G297" i="11"/>
  <c r="F297" i="11"/>
  <c r="E297" i="11"/>
  <c r="D297" i="11"/>
  <c r="C297" i="11"/>
  <c r="B297" i="11"/>
  <c r="A297" i="11"/>
  <c r="H296" i="11"/>
  <c r="G296" i="11"/>
  <c r="F296" i="11"/>
  <c r="E296" i="11"/>
  <c r="D296" i="11"/>
  <c r="C296" i="11"/>
  <c r="B296" i="11"/>
  <c r="A296" i="11"/>
  <c r="H295" i="11"/>
  <c r="G295" i="11"/>
  <c r="F295" i="11"/>
  <c r="E295" i="11"/>
  <c r="D295" i="11"/>
  <c r="C295" i="11"/>
  <c r="B295" i="11"/>
  <c r="A295" i="11"/>
  <c r="H294" i="11"/>
  <c r="G294" i="11"/>
  <c r="F294" i="11"/>
  <c r="E294" i="11"/>
  <c r="D294" i="11"/>
  <c r="C294" i="11"/>
  <c r="B294" i="11"/>
  <c r="A294" i="11"/>
  <c r="H293" i="11"/>
  <c r="G293" i="11"/>
  <c r="F293" i="11"/>
  <c r="E293" i="11"/>
  <c r="D293" i="11"/>
  <c r="C293" i="11"/>
  <c r="B293" i="11"/>
  <c r="A293" i="11"/>
  <c r="H292" i="11"/>
  <c r="G292" i="11"/>
  <c r="F292" i="11"/>
  <c r="E292" i="11"/>
  <c r="D292" i="11"/>
  <c r="C292" i="11"/>
  <c r="B292" i="11"/>
  <c r="A292" i="11"/>
  <c r="H291" i="11"/>
  <c r="G291" i="11"/>
  <c r="F291" i="11"/>
  <c r="E291" i="11"/>
  <c r="D291" i="11"/>
  <c r="C291" i="11"/>
  <c r="B291" i="11"/>
  <c r="A291" i="11"/>
  <c r="H290" i="11"/>
  <c r="G290" i="11"/>
  <c r="F290" i="11"/>
  <c r="E290" i="11"/>
  <c r="D290" i="11"/>
  <c r="C290" i="11"/>
  <c r="B290" i="11"/>
  <c r="A290" i="11"/>
  <c r="H289" i="11"/>
  <c r="G289" i="11"/>
  <c r="F289" i="11"/>
  <c r="E289" i="11"/>
  <c r="D289" i="11"/>
  <c r="C289" i="11"/>
  <c r="B289" i="11"/>
  <c r="A289" i="11"/>
  <c r="H288" i="11"/>
  <c r="G288" i="11"/>
  <c r="F288" i="11"/>
  <c r="E288" i="11"/>
  <c r="D288" i="11"/>
  <c r="C288" i="11"/>
  <c r="B288" i="11"/>
  <c r="A288" i="11"/>
  <c r="H287" i="11"/>
  <c r="G287" i="11"/>
  <c r="F287" i="11"/>
  <c r="E287" i="11"/>
  <c r="D287" i="11"/>
  <c r="C287" i="11"/>
  <c r="B287" i="11"/>
  <c r="A287" i="11"/>
  <c r="H286" i="11"/>
  <c r="G286" i="11"/>
  <c r="F286" i="11"/>
  <c r="E286" i="11"/>
  <c r="D286" i="11"/>
  <c r="C286" i="11"/>
  <c r="B286" i="11"/>
  <c r="A286" i="11"/>
  <c r="H285" i="11"/>
  <c r="G285" i="11"/>
  <c r="F285" i="11"/>
  <c r="E285" i="11"/>
  <c r="D285" i="11"/>
  <c r="C285" i="11"/>
  <c r="B285" i="11"/>
  <c r="A285" i="11"/>
  <c r="H284" i="11"/>
  <c r="G284" i="11"/>
  <c r="F284" i="11"/>
  <c r="E284" i="11"/>
  <c r="D284" i="11"/>
  <c r="C284" i="11"/>
  <c r="B284" i="11"/>
  <c r="A284" i="11"/>
  <c r="H283" i="11"/>
  <c r="G283" i="11"/>
  <c r="F283" i="11"/>
  <c r="E283" i="11"/>
  <c r="D283" i="11"/>
  <c r="C283" i="11"/>
  <c r="B283" i="11"/>
  <c r="A283" i="11"/>
  <c r="H282" i="11"/>
  <c r="G282" i="11"/>
  <c r="F282" i="11"/>
  <c r="E282" i="11"/>
  <c r="D282" i="11"/>
  <c r="C282" i="11"/>
  <c r="B282" i="11"/>
  <c r="A282" i="11"/>
  <c r="H281" i="11"/>
  <c r="G281" i="11"/>
  <c r="F281" i="11"/>
  <c r="E281" i="11"/>
  <c r="D281" i="11"/>
  <c r="C281" i="11"/>
  <c r="B281" i="11"/>
  <c r="A281" i="11"/>
  <c r="H280" i="11"/>
  <c r="G280" i="11"/>
  <c r="F280" i="11"/>
  <c r="E280" i="11"/>
  <c r="D280" i="11"/>
  <c r="C280" i="11"/>
  <c r="B280" i="11"/>
  <c r="A280" i="11"/>
  <c r="H279" i="11"/>
  <c r="G279" i="11"/>
  <c r="F279" i="11"/>
  <c r="E279" i="11"/>
  <c r="D279" i="11"/>
  <c r="C279" i="11"/>
  <c r="B279" i="11"/>
  <c r="A279" i="11"/>
  <c r="H278" i="11"/>
  <c r="G278" i="11"/>
  <c r="F278" i="11"/>
  <c r="E278" i="11"/>
  <c r="D278" i="11"/>
  <c r="C278" i="11"/>
  <c r="B278" i="11"/>
  <c r="A278" i="11"/>
  <c r="H277" i="11"/>
  <c r="G277" i="11"/>
  <c r="F277" i="11"/>
  <c r="E277" i="11"/>
  <c r="D277" i="11"/>
  <c r="C277" i="11"/>
  <c r="B277" i="11"/>
  <c r="A277" i="11"/>
  <c r="H276" i="11"/>
  <c r="G276" i="11"/>
  <c r="F276" i="11"/>
  <c r="E276" i="11"/>
  <c r="D276" i="11"/>
  <c r="C276" i="11"/>
  <c r="B276" i="11"/>
  <c r="A276" i="11"/>
  <c r="H275" i="11"/>
  <c r="G275" i="11"/>
  <c r="F275" i="11"/>
  <c r="E275" i="11"/>
  <c r="D275" i="11"/>
  <c r="C275" i="11"/>
  <c r="B275" i="11"/>
  <c r="A275" i="11"/>
  <c r="H274" i="11"/>
  <c r="G274" i="11"/>
  <c r="F274" i="11"/>
  <c r="E274" i="11"/>
  <c r="D274" i="11"/>
  <c r="C274" i="11"/>
  <c r="B274" i="11"/>
  <c r="A274" i="11"/>
  <c r="H273" i="11"/>
  <c r="G273" i="11"/>
  <c r="F273" i="11"/>
  <c r="E273" i="11"/>
  <c r="D273" i="11"/>
  <c r="C273" i="11"/>
  <c r="B273" i="11"/>
  <c r="A273" i="11"/>
  <c r="H272" i="11"/>
  <c r="G272" i="11"/>
  <c r="F272" i="11"/>
  <c r="E272" i="11"/>
  <c r="D272" i="11"/>
  <c r="C272" i="11"/>
  <c r="B272" i="11"/>
  <c r="A272" i="11"/>
  <c r="H271" i="11"/>
  <c r="G271" i="11"/>
  <c r="F271" i="11"/>
  <c r="E271" i="11"/>
  <c r="D271" i="11"/>
  <c r="C271" i="11"/>
  <c r="B271" i="11"/>
  <c r="A271" i="11"/>
  <c r="H270" i="11"/>
  <c r="G270" i="11"/>
  <c r="F270" i="11"/>
  <c r="E270" i="11"/>
  <c r="D270" i="11"/>
  <c r="C270" i="11"/>
  <c r="B270" i="11"/>
  <c r="A270" i="11"/>
  <c r="H269" i="11"/>
  <c r="G269" i="11"/>
  <c r="F269" i="11"/>
  <c r="E269" i="11"/>
  <c r="D269" i="11"/>
  <c r="C269" i="11"/>
  <c r="B269" i="11"/>
  <c r="A269" i="11"/>
  <c r="H268" i="11"/>
  <c r="G268" i="11"/>
  <c r="F268" i="11"/>
  <c r="E268" i="11"/>
  <c r="D268" i="11"/>
  <c r="C268" i="11"/>
  <c r="B268" i="11"/>
  <c r="A268" i="11"/>
  <c r="H267" i="11"/>
  <c r="G267" i="11"/>
  <c r="F267" i="11"/>
  <c r="E267" i="11"/>
  <c r="D267" i="11"/>
  <c r="C267" i="11"/>
  <c r="B267" i="11"/>
  <c r="A267" i="11"/>
  <c r="H266" i="11"/>
  <c r="G266" i="11"/>
  <c r="F266" i="11"/>
  <c r="E266" i="11"/>
  <c r="D266" i="11"/>
  <c r="C266" i="11"/>
  <c r="B266" i="11"/>
  <c r="A266" i="11"/>
  <c r="H265" i="11"/>
  <c r="G265" i="11"/>
  <c r="F265" i="11"/>
  <c r="E265" i="11"/>
  <c r="D265" i="11"/>
  <c r="C265" i="11"/>
  <c r="B265" i="11"/>
  <c r="A265" i="11"/>
  <c r="H264" i="11"/>
  <c r="G264" i="11"/>
  <c r="F264" i="11"/>
  <c r="E264" i="11"/>
  <c r="D264" i="11"/>
  <c r="C264" i="11"/>
  <c r="B264" i="11"/>
  <c r="A264" i="11"/>
  <c r="H263" i="11"/>
  <c r="G263" i="11"/>
  <c r="F263" i="11"/>
  <c r="E263" i="11"/>
  <c r="D263" i="11"/>
  <c r="C263" i="11"/>
  <c r="B263" i="11"/>
  <c r="A263" i="11"/>
  <c r="H262" i="11"/>
  <c r="G262" i="11"/>
  <c r="F262" i="11"/>
  <c r="E262" i="11"/>
  <c r="D262" i="11"/>
  <c r="C262" i="11"/>
  <c r="B262" i="11"/>
  <c r="A262" i="11"/>
  <c r="H261" i="11"/>
  <c r="G261" i="11"/>
  <c r="F261" i="11"/>
  <c r="E261" i="11"/>
  <c r="D261" i="11"/>
  <c r="C261" i="11"/>
  <c r="B261" i="11"/>
  <c r="A261" i="11"/>
  <c r="H260" i="11"/>
  <c r="G260" i="11"/>
  <c r="F260" i="11"/>
  <c r="E260" i="11"/>
  <c r="D260" i="11"/>
  <c r="C260" i="11"/>
  <c r="B260" i="11"/>
  <c r="A260" i="11"/>
  <c r="H259" i="11"/>
  <c r="G259" i="11"/>
  <c r="F259" i="11"/>
  <c r="E259" i="11"/>
  <c r="D259" i="11"/>
  <c r="C259" i="11"/>
  <c r="B259" i="11"/>
  <c r="A259" i="11"/>
  <c r="H258" i="11"/>
  <c r="G258" i="11"/>
  <c r="F258" i="11"/>
  <c r="E258" i="11"/>
  <c r="D258" i="11"/>
  <c r="C258" i="11"/>
  <c r="B258" i="11"/>
  <c r="A258" i="11"/>
  <c r="H257" i="11"/>
  <c r="G257" i="11"/>
  <c r="F257" i="11"/>
  <c r="E257" i="11"/>
  <c r="D257" i="11"/>
  <c r="C257" i="11"/>
  <c r="B257" i="11"/>
  <c r="A257" i="11"/>
  <c r="H256" i="11"/>
  <c r="G256" i="11"/>
  <c r="F256" i="11"/>
  <c r="E256" i="11"/>
  <c r="D256" i="11"/>
  <c r="C256" i="11"/>
  <c r="B256" i="11"/>
  <c r="A256" i="11"/>
  <c r="H255" i="11"/>
  <c r="G255" i="11"/>
  <c r="F255" i="11"/>
  <c r="E255" i="11"/>
  <c r="D255" i="11"/>
  <c r="C255" i="11"/>
  <c r="B255" i="11"/>
  <c r="A255" i="11"/>
  <c r="H254" i="11"/>
  <c r="G254" i="11"/>
  <c r="F254" i="11"/>
  <c r="E254" i="11"/>
  <c r="D254" i="11"/>
  <c r="C254" i="11"/>
  <c r="B254" i="11"/>
  <c r="A254" i="11"/>
  <c r="H253" i="11"/>
  <c r="G253" i="11"/>
  <c r="F253" i="11"/>
  <c r="E253" i="11"/>
  <c r="D253" i="11"/>
  <c r="C253" i="11"/>
  <c r="B253" i="11"/>
  <c r="A253" i="11"/>
  <c r="H252" i="11"/>
  <c r="G252" i="11"/>
  <c r="F252" i="11"/>
  <c r="E252" i="11"/>
  <c r="D252" i="11"/>
  <c r="C252" i="11"/>
  <c r="B252" i="11"/>
  <c r="A252" i="11"/>
  <c r="H251" i="11"/>
  <c r="G251" i="11"/>
  <c r="F251" i="11"/>
  <c r="E251" i="11"/>
  <c r="D251" i="11"/>
  <c r="C251" i="11"/>
  <c r="B251" i="11"/>
  <c r="A251" i="11"/>
  <c r="H250" i="11"/>
  <c r="G250" i="11"/>
  <c r="F250" i="11"/>
  <c r="E250" i="11"/>
  <c r="D250" i="11"/>
  <c r="C250" i="11"/>
  <c r="B250" i="11"/>
  <c r="A250" i="11"/>
  <c r="H249" i="11"/>
  <c r="G249" i="11"/>
  <c r="F249" i="11"/>
  <c r="E249" i="11"/>
  <c r="D249" i="11"/>
  <c r="C249" i="11"/>
  <c r="B249" i="11"/>
  <c r="A249" i="11"/>
  <c r="H248" i="11"/>
  <c r="G248" i="11"/>
  <c r="F248" i="11"/>
  <c r="E248" i="11"/>
  <c r="D248" i="11"/>
  <c r="C248" i="11"/>
  <c r="B248" i="11"/>
  <c r="A248" i="11"/>
  <c r="H247" i="11"/>
  <c r="G247" i="11"/>
  <c r="F247" i="11"/>
  <c r="E247" i="11"/>
  <c r="D247" i="11"/>
  <c r="C247" i="11"/>
  <c r="B247" i="11"/>
  <c r="A247" i="11"/>
  <c r="H246" i="11"/>
  <c r="G246" i="11"/>
  <c r="F246" i="11"/>
  <c r="E246" i="11"/>
  <c r="D246" i="11"/>
  <c r="C246" i="11"/>
  <c r="B246" i="11"/>
  <c r="A246" i="11"/>
  <c r="H245" i="11"/>
  <c r="G245" i="11"/>
  <c r="F245" i="11"/>
  <c r="E245" i="11"/>
  <c r="D245" i="11"/>
  <c r="C245" i="11"/>
  <c r="B245" i="11"/>
  <c r="A245" i="11"/>
  <c r="H244" i="11"/>
  <c r="G244" i="11"/>
  <c r="F244" i="11"/>
  <c r="E244" i="11"/>
  <c r="D244" i="11"/>
  <c r="C244" i="11"/>
  <c r="B244" i="11"/>
  <c r="A244" i="11"/>
  <c r="H243" i="11"/>
  <c r="G243" i="11"/>
  <c r="F243" i="11"/>
  <c r="E243" i="11"/>
  <c r="D243" i="11"/>
  <c r="C243" i="11"/>
  <c r="B243" i="11"/>
  <c r="A243" i="11"/>
  <c r="H242" i="11"/>
  <c r="G242" i="11"/>
  <c r="F242" i="11"/>
  <c r="E242" i="11"/>
  <c r="D242" i="11"/>
  <c r="C242" i="11"/>
  <c r="B242" i="11"/>
  <c r="A242" i="11"/>
  <c r="H241" i="11"/>
  <c r="G241" i="11"/>
  <c r="F241" i="11"/>
  <c r="E241" i="11"/>
  <c r="D241" i="11"/>
  <c r="C241" i="11"/>
  <c r="B241" i="11"/>
  <c r="A241" i="11"/>
  <c r="H240" i="11"/>
  <c r="G240" i="11"/>
  <c r="F240" i="11"/>
  <c r="E240" i="11"/>
  <c r="D240" i="11"/>
  <c r="C240" i="11"/>
  <c r="B240" i="11"/>
  <c r="A240" i="11"/>
  <c r="H239" i="11"/>
  <c r="G239" i="11"/>
  <c r="F239" i="11"/>
  <c r="E239" i="11"/>
  <c r="D239" i="11"/>
  <c r="C239" i="11"/>
  <c r="B239" i="11"/>
  <c r="A239" i="11"/>
  <c r="H238" i="11"/>
  <c r="G238" i="11"/>
  <c r="F238" i="11"/>
  <c r="E238" i="11"/>
  <c r="D238" i="11"/>
  <c r="C238" i="11"/>
  <c r="B238" i="11"/>
  <c r="A238" i="11"/>
  <c r="H237" i="11"/>
  <c r="G237" i="11"/>
  <c r="F237" i="11"/>
  <c r="E237" i="11"/>
  <c r="D237" i="11"/>
  <c r="C237" i="11"/>
  <c r="B237" i="11"/>
  <c r="A237" i="11"/>
  <c r="H236" i="11"/>
  <c r="G236" i="11"/>
  <c r="F236" i="11"/>
  <c r="E236" i="11"/>
  <c r="D236" i="11"/>
  <c r="C236" i="11"/>
  <c r="B236" i="11"/>
  <c r="A236" i="11"/>
  <c r="H235" i="11"/>
  <c r="G235" i="11"/>
  <c r="F235" i="11"/>
  <c r="E235" i="11"/>
  <c r="D235" i="11"/>
  <c r="C235" i="11"/>
  <c r="B235" i="11"/>
  <c r="A235" i="11"/>
  <c r="H234" i="11"/>
  <c r="G234" i="11"/>
  <c r="F234" i="11"/>
  <c r="E234" i="11"/>
  <c r="D234" i="11"/>
  <c r="C234" i="11"/>
  <c r="B234" i="11"/>
  <c r="A234" i="11"/>
  <c r="H233" i="11"/>
  <c r="G233" i="11"/>
  <c r="F233" i="11"/>
  <c r="E233" i="11"/>
  <c r="D233" i="11"/>
  <c r="C233" i="11"/>
  <c r="B233" i="11"/>
  <c r="A233" i="11"/>
  <c r="H232" i="11"/>
  <c r="G232" i="11"/>
  <c r="F232" i="11"/>
  <c r="E232" i="11"/>
  <c r="D232" i="11"/>
  <c r="C232" i="11"/>
  <c r="B232" i="11"/>
  <c r="A232" i="11"/>
  <c r="H231" i="11"/>
  <c r="G231" i="11"/>
  <c r="F231" i="11"/>
  <c r="E231" i="11"/>
  <c r="D231" i="11"/>
  <c r="C231" i="11"/>
  <c r="B231" i="11"/>
  <c r="A231" i="11"/>
  <c r="H230" i="11"/>
  <c r="G230" i="11"/>
  <c r="F230" i="11"/>
  <c r="E230" i="11"/>
  <c r="D230" i="11"/>
  <c r="C230" i="11"/>
  <c r="B230" i="11"/>
  <c r="A230" i="11"/>
  <c r="H229" i="11"/>
  <c r="G229" i="11"/>
  <c r="F229" i="11"/>
  <c r="E229" i="11"/>
  <c r="D229" i="11"/>
  <c r="C229" i="11"/>
  <c r="B229" i="11"/>
  <c r="A229" i="11"/>
  <c r="H228" i="11"/>
  <c r="G228" i="11"/>
  <c r="F228" i="11"/>
  <c r="E228" i="11"/>
  <c r="D228" i="11"/>
  <c r="C228" i="11"/>
  <c r="B228" i="11"/>
  <c r="A228" i="11"/>
  <c r="H227" i="11"/>
  <c r="G227" i="11"/>
  <c r="F227" i="11"/>
  <c r="E227" i="11"/>
  <c r="D227" i="11"/>
  <c r="C227" i="11"/>
  <c r="B227" i="11"/>
  <c r="A227" i="11"/>
  <c r="H226" i="11"/>
  <c r="G226" i="11"/>
  <c r="F226" i="11"/>
  <c r="E226" i="11"/>
  <c r="D226" i="11"/>
  <c r="C226" i="11"/>
  <c r="B226" i="11"/>
  <c r="A226" i="11"/>
  <c r="H225" i="11"/>
  <c r="G225" i="11"/>
  <c r="F225" i="11"/>
  <c r="E225" i="11"/>
  <c r="D225" i="11"/>
  <c r="C225" i="11"/>
  <c r="B225" i="11"/>
  <c r="A225" i="11"/>
  <c r="H224" i="11"/>
  <c r="G224" i="11"/>
  <c r="F224" i="11"/>
  <c r="E224" i="11"/>
  <c r="D224" i="11"/>
  <c r="C224" i="11"/>
  <c r="B224" i="11"/>
  <c r="A224" i="11"/>
  <c r="H223" i="11"/>
  <c r="G223" i="11"/>
  <c r="F223" i="11"/>
  <c r="E223" i="11"/>
  <c r="D223" i="11"/>
  <c r="C223" i="11"/>
  <c r="B223" i="11"/>
  <c r="A223" i="11"/>
  <c r="H222" i="11"/>
  <c r="G222" i="11"/>
  <c r="F222" i="11"/>
  <c r="E222" i="11"/>
  <c r="D222" i="11"/>
  <c r="C222" i="11"/>
  <c r="B222" i="11"/>
  <c r="A222" i="11"/>
  <c r="H221" i="11"/>
  <c r="G221" i="11"/>
  <c r="F221" i="11"/>
  <c r="E221" i="11"/>
  <c r="D221" i="11"/>
  <c r="C221" i="11"/>
  <c r="B221" i="11"/>
  <c r="A221" i="11"/>
  <c r="H220" i="11"/>
  <c r="G220" i="11"/>
  <c r="F220" i="11"/>
  <c r="E220" i="11"/>
  <c r="D220" i="11"/>
  <c r="C220" i="11"/>
  <c r="B220" i="11"/>
  <c r="A220" i="11"/>
  <c r="H219" i="11"/>
  <c r="G219" i="11"/>
  <c r="F219" i="11"/>
  <c r="E219" i="11"/>
  <c r="D219" i="11"/>
  <c r="C219" i="11"/>
  <c r="B219" i="11"/>
  <c r="A219" i="11"/>
  <c r="H218" i="11"/>
  <c r="G218" i="11"/>
  <c r="F218" i="11"/>
  <c r="E218" i="11"/>
  <c r="D218" i="11"/>
  <c r="C218" i="11"/>
  <c r="B218" i="11"/>
  <c r="A218" i="11"/>
  <c r="H217" i="11"/>
  <c r="G217" i="11"/>
  <c r="F217" i="11"/>
  <c r="E217" i="11"/>
  <c r="D217" i="11"/>
  <c r="C217" i="11"/>
  <c r="B217" i="11"/>
  <c r="A217" i="11"/>
  <c r="H216" i="11"/>
  <c r="G216" i="11"/>
  <c r="F216" i="11"/>
  <c r="E216" i="11"/>
  <c r="D216" i="11"/>
  <c r="C216" i="11"/>
  <c r="B216" i="11"/>
  <c r="A216" i="11"/>
  <c r="H215" i="11"/>
  <c r="G215" i="11"/>
  <c r="F215" i="11"/>
  <c r="E215" i="11"/>
  <c r="D215" i="11"/>
  <c r="C215" i="11"/>
  <c r="B215" i="11"/>
  <c r="A215" i="11"/>
  <c r="H214" i="11"/>
  <c r="G214" i="11"/>
  <c r="F214" i="11"/>
  <c r="E214" i="11"/>
  <c r="D214" i="11"/>
  <c r="C214" i="11"/>
  <c r="B214" i="11"/>
  <c r="A214" i="11"/>
  <c r="H213" i="11"/>
  <c r="G213" i="11"/>
  <c r="F213" i="11"/>
  <c r="E213" i="11"/>
  <c r="D213" i="11"/>
  <c r="C213" i="11"/>
  <c r="B213" i="11"/>
  <c r="A213" i="11"/>
  <c r="H212" i="11"/>
  <c r="G212" i="11"/>
  <c r="F212" i="11"/>
  <c r="E212" i="11"/>
  <c r="D212" i="11"/>
  <c r="C212" i="11"/>
  <c r="B212" i="11"/>
  <c r="A212" i="11"/>
  <c r="H211" i="11"/>
  <c r="G211" i="11"/>
  <c r="F211" i="11"/>
  <c r="E211" i="11"/>
  <c r="D211" i="11"/>
  <c r="C211" i="11"/>
  <c r="B211" i="11"/>
  <c r="A211" i="11"/>
  <c r="H210" i="11"/>
  <c r="G210" i="11"/>
  <c r="F210" i="11"/>
  <c r="E210" i="11"/>
  <c r="D210" i="11"/>
  <c r="C210" i="11"/>
  <c r="B210" i="11"/>
  <c r="A210" i="11"/>
  <c r="H209" i="11"/>
  <c r="G209" i="11"/>
  <c r="F209" i="11"/>
  <c r="E209" i="11"/>
  <c r="D209" i="11"/>
  <c r="C209" i="11"/>
  <c r="B209" i="11"/>
  <c r="A209" i="11"/>
  <c r="H208" i="11"/>
  <c r="G208" i="11"/>
  <c r="F208" i="11"/>
  <c r="E208" i="11"/>
  <c r="D208" i="11"/>
  <c r="C208" i="11"/>
  <c r="B208" i="11"/>
  <c r="A208" i="11"/>
  <c r="H207" i="11"/>
  <c r="G207" i="11"/>
  <c r="F207" i="11"/>
  <c r="E207" i="11"/>
  <c r="D207" i="11"/>
  <c r="C207" i="11"/>
  <c r="B207" i="11"/>
  <c r="A207" i="11"/>
  <c r="H206" i="11"/>
  <c r="G206" i="11"/>
  <c r="F206" i="11"/>
  <c r="E206" i="11"/>
  <c r="D206" i="11"/>
  <c r="C206" i="11"/>
  <c r="B206" i="11"/>
  <c r="A206" i="11"/>
  <c r="H205" i="11"/>
  <c r="G205" i="11"/>
  <c r="F205" i="11"/>
  <c r="E205" i="11"/>
  <c r="D205" i="11"/>
  <c r="C205" i="11"/>
  <c r="B205" i="11"/>
  <c r="A205" i="11"/>
  <c r="H204" i="11"/>
  <c r="G204" i="11"/>
  <c r="F204" i="11"/>
  <c r="E204" i="11"/>
  <c r="D204" i="11"/>
  <c r="C204" i="11"/>
  <c r="B204" i="11"/>
  <c r="A204" i="11"/>
  <c r="H203" i="11"/>
  <c r="G203" i="11"/>
  <c r="F203" i="11"/>
  <c r="E203" i="11"/>
  <c r="D203" i="11"/>
  <c r="C203" i="11"/>
  <c r="B203" i="11"/>
  <c r="A203" i="11"/>
  <c r="H202" i="11"/>
  <c r="G202" i="11"/>
  <c r="F202" i="11"/>
  <c r="E202" i="11"/>
  <c r="D202" i="11"/>
  <c r="C202" i="11"/>
  <c r="B202" i="11"/>
  <c r="A202" i="11"/>
  <c r="H201" i="11"/>
  <c r="G201" i="11"/>
  <c r="F201" i="11"/>
  <c r="E201" i="11"/>
  <c r="D201" i="11"/>
  <c r="C201" i="11"/>
  <c r="B201" i="11"/>
  <c r="A201" i="11"/>
  <c r="H200" i="11"/>
  <c r="G200" i="11"/>
  <c r="F200" i="11"/>
  <c r="E200" i="11"/>
  <c r="D200" i="11"/>
  <c r="C200" i="11"/>
  <c r="B200" i="11"/>
  <c r="A200" i="11"/>
  <c r="H199" i="11"/>
  <c r="G199" i="11"/>
  <c r="F199" i="11"/>
  <c r="E199" i="11"/>
  <c r="D199" i="11"/>
  <c r="C199" i="11"/>
  <c r="B199" i="11"/>
  <c r="A199" i="11"/>
  <c r="H198" i="11"/>
  <c r="G198" i="11"/>
  <c r="F198" i="11"/>
  <c r="E198" i="11"/>
  <c r="D198" i="11"/>
  <c r="C198" i="11"/>
  <c r="B198" i="11"/>
  <c r="A198" i="11"/>
  <c r="H197" i="11"/>
  <c r="G197" i="11"/>
  <c r="F197" i="11"/>
  <c r="E197" i="11"/>
  <c r="D197" i="11"/>
  <c r="C197" i="11"/>
  <c r="B197" i="11"/>
  <c r="A197" i="11"/>
  <c r="H196" i="11"/>
  <c r="G196" i="11"/>
  <c r="F196" i="11"/>
  <c r="E196" i="11"/>
  <c r="D196" i="11"/>
  <c r="C196" i="11"/>
  <c r="B196" i="11"/>
  <c r="A196" i="11"/>
  <c r="H195" i="11"/>
  <c r="G195" i="11"/>
  <c r="F195" i="11"/>
  <c r="E195" i="11"/>
  <c r="D195" i="11"/>
  <c r="C195" i="11"/>
  <c r="B195" i="11"/>
  <c r="A195" i="11"/>
  <c r="H194" i="11"/>
  <c r="G194" i="11"/>
  <c r="F194" i="11"/>
  <c r="E194" i="11"/>
  <c r="D194" i="11"/>
  <c r="C194" i="11"/>
  <c r="B194" i="11"/>
  <c r="A194" i="11"/>
  <c r="H193" i="11"/>
  <c r="G193" i="11"/>
  <c r="F193" i="11"/>
  <c r="E193" i="11"/>
  <c r="D193" i="11"/>
  <c r="C193" i="11"/>
  <c r="B193" i="11"/>
  <c r="A193" i="11"/>
  <c r="H192" i="11"/>
  <c r="G192" i="11"/>
  <c r="F192" i="11"/>
  <c r="E192" i="11"/>
  <c r="D192" i="11"/>
  <c r="C192" i="11"/>
  <c r="B192" i="11"/>
  <c r="A192" i="11"/>
  <c r="H191" i="11"/>
  <c r="G191" i="11"/>
  <c r="F191" i="11"/>
  <c r="E191" i="11"/>
  <c r="D191" i="11"/>
  <c r="C191" i="11"/>
  <c r="B191" i="11"/>
  <c r="A191" i="11"/>
  <c r="H190" i="11"/>
  <c r="G190" i="11"/>
  <c r="F190" i="11"/>
  <c r="E190" i="11"/>
  <c r="D190" i="11"/>
  <c r="C190" i="11"/>
  <c r="B190" i="11"/>
  <c r="A190" i="11"/>
  <c r="H189" i="11"/>
  <c r="G189" i="11"/>
  <c r="F189" i="11"/>
  <c r="E189" i="11"/>
  <c r="D189" i="11"/>
  <c r="C189" i="11"/>
  <c r="B189" i="11"/>
  <c r="A189" i="11"/>
  <c r="H188" i="11"/>
  <c r="G188" i="11"/>
  <c r="F188" i="11"/>
  <c r="E188" i="11"/>
  <c r="D188" i="11"/>
  <c r="C188" i="11"/>
  <c r="B188" i="11"/>
  <c r="A188" i="11"/>
  <c r="H187" i="11"/>
  <c r="G187" i="11"/>
  <c r="F187" i="11"/>
  <c r="E187" i="11"/>
  <c r="D187" i="11"/>
  <c r="C187" i="11"/>
  <c r="B187" i="11"/>
  <c r="A187" i="11"/>
  <c r="H186" i="11"/>
  <c r="G186" i="11"/>
  <c r="F186" i="11"/>
  <c r="E186" i="11"/>
  <c r="D186" i="11"/>
  <c r="C186" i="11"/>
  <c r="B186" i="11"/>
  <c r="A186" i="11"/>
  <c r="H185" i="11"/>
  <c r="G185" i="11"/>
  <c r="F185" i="11"/>
  <c r="E185" i="11"/>
  <c r="D185" i="11"/>
  <c r="C185" i="11"/>
  <c r="B185" i="11"/>
  <c r="A185" i="11"/>
  <c r="H184" i="11"/>
  <c r="G184" i="11"/>
  <c r="F184" i="11"/>
  <c r="E184" i="11"/>
  <c r="D184" i="11"/>
  <c r="C184" i="11"/>
  <c r="B184" i="11"/>
  <c r="A184" i="11"/>
  <c r="H183" i="11"/>
  <c r="G183" i="11"/>
  <c r="F183" i="11"/>
  <c r="E183" i="11"/>
  <c r="D183" i="11"/>
  <c r="C183" i="11"/>
  <c r="B183" i="11"/>
  <c r="A183" i="11"/>
  <c r="H182" i="11"/>
  <c r="G182" i="11"/>
  <c r="F182" i="11"/>
  <c r="E182" i="11"/>
  <c r="D182" i="11"/>
  <c r="C182" i="11"/>
  <c r="B182" i="11"/>
  <c r="A182" i="11"/>
  <c r="H181" i="11"/>
  <c r="G181" i="11"/>
  <c r="F181" i="11"/>
  <c r="E181" i="11"/>
  <c r="D181" i="11"/>
  <c r="C181" i="11"/>
  <c r="B181" i="11"/>
  <c r="A181" i="11"/>
  <c r="H180" i="11"/>
  <c r="G180" i="11"/>
  <c r="F180" i="11"/>
  <c r="E180" i="11"/>
  <c r="D180" i="11"/>
  <c r="C180" i="11"/>
  <c r="B180" i="11"/>
  <c r="A180" i="11"/>
  <c r="H179" i="11"/>
  <c r="G179" i="11"/>
  <c r="F179" i="11"/>
  <c r="E179" i="11"/>
  <c r="D179" i="11"/>
  <c r="C179" i="11"/>
  <c r="B179" i="11"/>
  <c r="A179" i="11"/>
  <c r="H178" i="11"/>
  <c r="G178" i="11"/>
  <c r="F178" i="11"/>
  <c r="E178" i="11"/>
  <c r="D178" i="11"/>
  <c r="C178" i="11"/>
  <c r="B178" i="11"/>
  <c r="A178" i="11"/>
  <c r="H177" i="11"/>
  <c r="G177" i="11"/>
  <c r="F177" i="11"/>
  <c r="E177" i="11"/>
  <c r="D177" i="11"/>
  <c r="C177" i="11"/>
  <c r="B177" i="11"/>
  <c r="A177" i="11"/>
  <c r="H176" i="11"/>
  <c r="G176" i="11"/>
  <c r="F176" i="11"/>
  <c r="E176" i="11"/>
  <c r="D176" i="11"/>
  <c r="C176" i="11"/>
  <c r="B176" i="11"/>
  <c r="A176" i="11"/>
  <c r="H175" i="11"/>
  <c r="G175" i="11"/>
  <c r="F175" i="11"/>
  <c r="E175" i="11"/>
  <c r="D175" i="11"/>
  <c r="C175" i="11"/>
  <c r="B175" i="11"/>
  <c r="A175" i="11"/>
  <c r="H174" i="11"/>
  <c r="G174" i="11"/>
  <c r="F174" i="11"/>
  <c r="E174" i="11"/>
  <c r="D174" i="11"/>
  <c r="C174" i="11"/>
  <c r="B174" i="11"/>
  <c r="A174" i="11"/>
  <c r="H173" i="11"/>
  <c r="G173" i="11"/>
  <c r="F173" i="11"/>
  <c r="E173" i="11"/>
  <c r="D173" i="11"/>
  <c r="C173" i="11"/>
  <c r="B173" i="11"/>
  <c r="A173" i="11"/>
  <c r="H172" i="11"/>
  <c r="G172" i="11"/>
  <c r="F172" i="11"/>
  <c r="E172" i="11"/>
  <c r="D172" i="11"/>
  <c r="C172" i="11"/>
  <c r="B172" i="11"/>
  <c r="A172" i="11"/>
  <c r="H171" i="11"/>
  <c r="G171" i="11"/>
  <c r="F171" i="11"/>
  <c r="E171" i="11"/>
  <c r="D171" i="11"/>
  <c r="C171" i="11"/>
  <c r="B171" i="11"/>
  <c r="A171" i="11"/>
  <c r="H170" i="11"/>
  <c r="G170" i="11"/>
  <c r="F170" i="11"/>
  <c r="E170" i="11"/>
  <c r="D170" i="11"/>
  <c r="C170" i="11"/>
  <c r="B170" i="11"/>
  <c r="A170" i="11"/>
  <c r="H169" i="11"/>
  <c r="G169" i="11"/>
  <c r="F169" i="11"/>
  <c r="E169" i="11"/>
  <c r="D169" i="11"/>
  <c r="C169" i="11"/>
  <c r="B169" i="11"/>
  <c r="A169" i="11"/>
  <c r="H168" i="11"/>
  <c r="G168" i="11"/>
  <c r="F168" i="11"/>
  <c r="E168" i="11"/>
  <c r="D168" i="11"/>
  <c r="C168" i="11"/>
  <c r="B168" i="11"/>
  <c r="A168" i="11"/>
  <c r="H167" i="11"/>
  <c r="G167" i="11"/>
  <c r="F167" i="11"/>
  <c r="E167" i="11"/>
  <c r="D167" i="11"/>
  <c r="C167" i="11"/>
  <c r="B167" i="11"/>
  <c r="A167" i="11"/>
  <c r="H166" i="11"/>
  <c r="G166" i="11"/>
  <c r="F166" i="11"/>
  <c r="E166" i="11"/>
  <c r="D166" i="11"/>
  <c r="C166" i="11"/>
  <c r="B166" i="11"/>
  <c r="A166" i="11"/>
  <c r="H165" i="11"/>
  <c r="G165" i="11"/>
  <c r="F165" i="11"/>
  <c r="E165" i="11"/>
  <c r="D165" i="11"/>
  <c r="C165" i="11"/>
  <c r="B165" i="11"/>
  <c r="A165" i="11"/>
  <c r="H164" i="11"/>
  <c r="G164" i="11"/>
  <c r="F164" i="11"/>
  <c r="E164" i="11"/>
  <c r="D164" i="11"/>
  <c r="C164" i="11"/>
  <c r="B164" i="11"/>
  <c r="A164" i="11"/>
  <c r="H163" i="11"/>
  <c r="G163" i="11"/>
  <c r="F163" i="11"/>
  <c r="E163" i="11"/>
  <c r="D163" i="11"/>
  <c r="C163" i="11"/>
  <c r="B163" i="11"/>
  <c r="A163" i="11"/>
  <c r="H162" i="11"/>
  <c r="G162" i="11"/>
  <c r="F162" i="11"/>
  <c r="E162" i="11"/>
  <c r="D162" i="11"/>
  <c r="C162" i="11"/>
  <c r="B162" i="11"/>
  <c r="A162" i="11"/>
  <c r="H161" i="11"/>
  <c r="G161" i="11"/>
  <c r="F161" i="11"/>
  <c r="E161" i="11"/>
  <c r="D161" i="11"/>
  <c r="C161" i="11"/>
  <c r="B161" i="11"/>
  <c r="A161" i="11"/>
  <c r="H160" i="11"/>
  <c r="G160" i="11"/>
  <c r="F160" i="11"/>
  <c r="E160" i="11"/>
  <c r="D160" i="11"/>
  <c r="C160" i="11"/>
  <c r="B160" i="11"/>
  <c r="A160" i="11"/>
  <c r="H159" i="11"/>
  <c r="G159" i="11"/>
  <c r="F159" i="11"/>
  <c r="E159" i="11"/>
  <c r="D159" i="11"/>
  <c r="C159" i="11"/>
  <c r="B159" i="11"/>
  <c r="A159" i="11"/>
  <c r="H158" i="11"/>
  <c r="G158" i="11"/>
  <c r="F158" i="11"/>
  <c r="E158" i="11"/>
  <c r="D158" i="11"/>
  <c r="C158" i="11"/>
  <c r="B158" i="11"/>
  <c r="A158" i="11"/>
  <c r="H157" i="11"/>
  <c r="G157" i="11"/>
  <c r="F157" i="11"/>
  <c r="E157" i="11"/>
  <c r="D157" i="11"/>
  <c r="C157" i="11"/>
  <c r="B157" i="11"/>
  <c r="A157" i="11"/>
  <c r="H156" i="11"/>
  <c r="G156" i="11"/>
  <c r="F156" i="11"/>
  <c r="E156" i="11"/>
  <c r="D156" i="11"/>
  <c r="C156" i="11"/>
  <c r="B156" i="11"/>
  <c r="A156" i="11"/>
  <c r="H155" i="11"/>
  <c r="G155" i="11"/>
  <c r="F155" i="11"/>
  <c r="E155" i="11"/>
  <c r="D155" i="11"/>
  <c r="C155" i="11"/>
  <c r="B155" i="11"/>
  <c r="A155" i="11"/>
  <c r="H154" i="11"/>
  <c r="G154" i="11"/>
  <c r="F154" i="11"/>
  <c r="E154" i="11"/>
  <c r="D154" i="11"/>
  <c r="C154" i="11"/>
  <c r="B154" i="11"/>
  <c r="A154" i="11"/>
  <c r="H153" i="11"/>
  <c r="G153" i="11"/>
  <c r="F153" i="11"/>
  <c r="E153" i="11"/>
  <c r="D153" i="11"/>
  <c r="C153" i="11"/>
  <c r="B153" i="11"/>
  <c r="A153" i="11"/>
  <c r="H152" i="11"/>
  <c r="G152" i="11"/>
  <c r="F152" i="11"/>
  <c r="E152" i="11"/>
  <c r="D152" i="11"/>
  <c r="C152" i="11"/>
  <c r="B152" i="11"/>
  <c r="A152" i="11"/>
  <c r="H151" i="11"/>
  <c r="G151" i="11"/>
  <c r="F151" i="11"/>
  <c r="E151" i="11"/>
  <c r="D151" i="11"/>
  <c r="C151" i="11"/>
  <c r="B151" i="11"/>
  <c r="A151" i="11"/>
  <c r="H150" i="11"/>
  <c r="G150" i="11"/>
  <c r="F150" i="11"/>
  <c r="E150" i="11"/>
  <c r="D150" i="11"/>
  <c r="C150" i="11"/>
  <c r="B150" i="11"/>
  <c r="A150" i="11"/>
  <c r="H149" i="11"/>
  <c r="G149" i="11"/>
  <c r="F149" i="11"/>
  <c r="E149" i="11"/>
  <c r="D149" i="11"/>
  <c r="C149" i="11"/>
  <c r="B149" i="11"/>
  <c r="A149" i="11"/>
  <c r="H148" i="11"/>
  <c r="G148" i="11"/>
  <c r="F148" i="11"/>
  <c r="E148" i="11"/>
  <c r="D148" i="11"/>
  <c r="C148" i="11"/>
  <c r="B148" i="11"/>
  <c r="A148" i="11"/>
  <c r="H147" i="11"/>
  <c r="G147" i="11"/>
  <c r="F147" i="11"/>
  <c r="E147" i="11"/>
  <c r="D147" i="11"/>
  <c r="C147" i="11"/>
  <c r="B147" i="11"/>
  <c r="A147" i="11"/>
  <c r="H146" i="11"/>
  <c r="G146" i="11"/>
  <c r="F146" i="11"/>
  <c r="E146" i="11"/>
  <c r="D146" i="11"/>
  <c r="C146" i="11"/>
  <c r="B146" i="11"/>
  <c r="A146" i="11"/>
  <c r="H145" i="11"/>
  <c r="G145" i="11"/>
  <c r="F145" i="11"/>
  <c r="E145" i="11"/>
  <c r="D145" i="11"/>
  <c r="C145" i="11"/>
  <c r="B145" i="11"/>
  <c r="A145" i="11"/>
  <c r="H144" i="11"/>
  <c r="G144" i="11"/>
  <c r="F144" i="11"/>
  <c r="E144" i="11"/>
  <c r="D144" i="11"/>
  <c r="C144" i="11"/>
  <c r="B144" i="11"/>
  <c r="A144" i="11"/>
  <c r="H143" i="11"/>
  <c r="G143" i="11"/>
  <c r="F143" i="11"/>
  <c r="E143" i="11"/>
  <c r="D143" i="11"/>
  <c r="C143" i="11"/>
  <c r="B143" i="11"/>
  <c r="A143" i="11"/>
  <c r="H142" i="11"/>
  <c r="G142" i="11"/>
  <c r="F142" i="11"/>
  <c r="E142" i="11"/>
  <c r="D142" i="11"/>
  <c r="C142" i="11"/>
  <c r="B142" i="11"/>
  <c r="A142" i="11"/>
  <c r="H141" i="11"/>
  <c r="G141" i="11"/>
  <c r="F141" i="11"/>
  <c r="E141" i="11"/>
  <c r="D141" i="11"/>
  <c r="C141" i="11"/>
  <c r="B141" i="11"/>
  <c r="A141" i="11"/>
  <c r="H140" i="11"/>
  <c r="G140" i="11"/>
  <c r="F140" i="11"/>
  <c r="E140" i="11"/>
  <c r="D140" i="11"/>
  <c r="C140" i="11"/>
  <c r="B140" i="11"/>
  <c r="A140" i="11"/>
  <c r="H139" i="11"/>
  <c r="G139" i="11"/>
  <c r="F139" i="11"/>
  <c r="E139" i="11"/>
  <c r="D139" i="11"/>
  <c r="C139" i="11"/>
  <c r="B139" i="11"/>
  <c r="A139" i="11"/>
  <c r="H138" i="11"/>
  <c r="G138" i="11"/>
  <c r="F138" i="11"/>
  <c r="E138" i="11"/>
  <c r="D138" i="11"/>
  <c r="C138" i="11"/>
  <c r="B138" i="11"/>
  <c r="A138" i="11"/>
  <c r="H137" i="11"/>
  <c r="G137" i="11"/>
  <c r="F137" i="11"/>
  <c r="E137" i="11"/>
  <c r="D137" i="11"/>
  <c r="C137" i="11"/>
  <c r="B137" i="11"/>
  <c r="A137" i="11"/>
  <c r="H136" i="11"/>
  <c r="G136" i="11"/>
  <c r="F136" i="11"/>
  <c r="E136" i="11"/>
  <c r="D136" i="11"/>
  <c r="C136" i="11"/>
  <c r="B136" i="11"/>
  <c r="A136" i="11"/>
  <c r="H135" i="11"/>
  <c r="G135" i="11"/>
  <c r="F135" i="11"/>
  <c r="E135" i="11"/>
  <c r="D135" i="11"/>
  <c r="C135" i="11"/>
  <c r="B135" i="11"/>
  <c r="A135" i="11"/>
  <c r="H134" i="11"/>
  <c r="G134" i="11"/>
  <c r="F134" i="11"/>
  <c r="E134" i="11"/>
  <c r="D134" i="11"/>
  <c r="C134" i="11"/>
  <c r="B134" i="11"/>
  <c r="A134" i="11"/>
  <c r="H133" i="11"/>
  <c r="G133" i="11"/>
  <c r="F133" i="11"/>
  <c r="E133" i="11"/>
  <c r="D133" i="11"/>
  <c r="C133" i="11"/>
  <c r="B133" i="11"/>
  <c r="A133" i="11"/>
  <c r="H132" i="11"/>
  <c r="G132" i="11"/>
  <c r="F132" i="11"/>
  <c r="E132" i="11"/>
  <c r="D132" i="11"/>
  <c r="C132" i="11"/>
  <c r="B132" i="11"/>
  <c r="A132" i="11"/>
  <c r="H131" i="11"/>
  <c r="G131" i="11"/>
  <c r="F131" i="11"/>
  <c r="E131" i="11"/>
  <c r="D131" i="11"/>
  <c r="C131" i="11"/>
  <c r="B131" i="11"/>
  <c r="A131" i="11"/>
  <c r="H130" i="11"/>
  <c r="G130" i="11"/>
  <c r="F130" i="11"/>
  <c r="E130" i="11"/>
  <c r="D130" i="11"/>
  <c r="C130" i="11"/>
  <c r="B130" i="11"/>
  <c r="A130" i="11"/>
  <c r="H129" i="11"/>
  <c r="G129" i="11"/>
  <c r="F129" i="11"/>
  <c r="E129" i="11"/>
  <c r="D129" i="11"/>
  <c r="C129" i="11"/>
  <c r="B129" i="11"/>
  <c r="A129" i="11"/>
  <c r="H128" i="11"/>
  <c r="G128" i="11"/>
  <c r="F128" i="11"/>
  <c r="E128" i="11"/>
  <c r="D128" i="11"/>
  <c r="C128" i="11"/>
  <c r="B128" i="11"/>
  <c r="A128" i="11"/>
  <c r="H127" i="11"/>
  <c r="G127" i="11"/>
  <c r="F127" i="11"/>
  <c r="E127" i="11"/>
  <c r="D127" i="11"/>
  <c r="C127" i="11"/>
  <c r="B127" i="11"/>
  <c r="A127" i="11"/>
  <c r="H126" i="11"/>
  <c r="G126" i="11"/>
  <c r="F126" i="11"/>
  <c r="E126" i="11"/>
  <c r="D126" i="11"/>
  <c r="C126" i="11"/>
  <c r="B126" i="11"/>
  <c r="A126" i="11"/>
  <c r="H125" i="11"/>
  <c r="G125" i="11"/>
  <c r="F125" i="11"/>
  <c r="E125" i="11"/>
  <c r="D125" i="11"/>
  <c r="C125" i="11"/>
  <c r="B125" i="11"/>
  <c r="A125" i="11"/>
  <c r="H124" i="11"/>
  <c r="G124" i="11"/>
  <c r="F124" i="11"/>
  <c r="E124" i="11"/>
  <c r="D124" i="11"/>
  <c r="C124" i="11"/>
  <c r="B124" i="11"/>
  <c r="A124" i="11"/>
  <c r="H123" i="11"/>
  <c r="G123" i="11"/>
  <c r="F123" i="11"/>
  <c r="E123" i="11"/>
  <c r="D123" i="11"/>
  <c r="C123" i="11"/>
  <c r="B123" i="11"/>
  <c r="A123" i="11"/>
  <c r="H122" i="11"/>
  <c r="G122" i="11"/>
  <c r="F122" i="11"/>
  <c r="E122" i="11"/>
  <c r="D122" i="11"/>
  <c r="C122" i="11"/>
  <c r="B122" i="11"/>
  <c r="A122" i="11"/>
  <c r="H121" i="11"/>
  <c r="G121" i="11"/>
  <c r="F121" i="11"/>
  <c r="E121" i="11"/>
  <c r="D121" i="11"/>
  <c r="C121" i="11"/>
  <c r="B121" i="11"/>
  <c r="A121" i="11"/>
  <c r="H120" i="11"/>
  <c r="G120" i="11"/>
  <c r="F120" i="11"/>
  <c r="E120" i="11"/>
  <c r="D120" i="11"/>
  <c r="C120" i="11"/>
  <c r="B120" i="11"/>
  <c r="A120" i="11"/>
  <c r="H119" i="11"/>
  <c r="G119" i="11"/>
  <c r="F119" i="11"/>
  <c r="E119" i="11"/>
  <c r="D119" i="11"/>
  <c r="C119" i="11"/>
  <c r="B119" i="11"/>
  <c r="A119" i="11"/>
  <c r="H118" i="11"/>
  <c r="G118" i="11"/>
  <c r="F118" i="11"/>
  <c r="E118" i="11"/>
  <c r="D118" i="11"/>
  <c r="C118" i="11"/>
  <c r="B118" i="11"/>
  <c r="A118" i="11"/>
  <c r="H117" i="11"/>
  <c r="G117" i="11"/>
  <c r="F117" i="11"/>
  <c r="E117" i="11"/>
  <c r="D117" i="11"/>
  <c r="C117" i="11"/>
  <c r="B117" i="11"/>
  <c r="A117" i="11"/>
  <c r="H116" i="11"/>
  <c r="G116" i="11"/>
  <c r="F116" i="11"/>
  <c r="E116" i="11"/>
  <c r="D116" i="11"/>
  <c r="C116" i="11"/>
  <c r="B116" i="11"/>
  <c r="A116" i="11"/>
  <c r="H115" i="11"/>
  <c r="G115" i="11"/>
  <c r="F115" i="11"/>
  <c r="E115" i="11"/>
  <c r="D115" i="11"/>
  <c r="C115" i="11"/>
  <c r="B115" i="11"/>
  <c r="A115" i="11"/>
  <c r="H114" i="11"/>
  <c r="G114" i="11"/>
  <c r="F114" i="11"/>
  <c r="E114" i="11"/>
  <c r="D114" i="11"/>
  <c r="C114" i="11"/>
  <c r="B114" i="11"/>
  <c r="A114" i="11"/>
  <c r="H113" i="11"/>
  <c r="G113" i="11"/>
  <c r="F113" i="11"/>
  <c r="E113" i="11"/>
  <c r="D113" i="11"/>
  <c r="C113" i="11"/>
  <c r="B113" i="11"/>
  <c r="A113" i="11"/>
  <c r="H112" i="11"/>
  <c r="G112" i="11"/>
  <c r="F112" i="11"/>
  <c r="E112" i="11"/>
  <c r="D112" i="11"/>
  <c r="C112" i="11"/>
  <c r="B112" i="11"/>
  <c r="A112" i="11"/>
  <c r="H111" i="11"/>
  <c r="G111" i="11"/>
  <c r="F111" i="11"/>
  <c r="E111" i="11"/>
  <c r="D111" i="11"/>
  <c r="C111" i="11"/>
  <c r="B111" i="11"/>
  <c r="A111" i="11"/>
  <c r="H110" i="11"/>
  <c r="G110" i="11"/>
  <c r="F110" i="11"/>
  <c r="E110" i="11"/>
  <c r="D110" i="11"/>
  <c r="C110" i="11"/>
  <c r="B110" i="11"/>
  <c r="A110" i="11"/>
  <c r="H109" i="11"/>
  <c r="G109" i="11"/>
  <c r="F109" i="11"/>
  <c r="E109" i="11"/>
  <c r="D109" i="11"/>
  <c r="C109" i="11"/>
  <c r="B109" i="11"/>
  <c r="A109" i="11"/>
  <c r="H108" i="11"/>
  <c r="G108" i="11"/>
  <c r="F108" i="11"/>
  <c r="E108" i="11"/>
  <c r="D108" i="11"/>
  <c r="C108" i="11"/>
  <c r="B108" i="11"/>
  <c r="A108" i="11"/>
  <c r="H107" i="11"/>
  <c r="G107" i="11"/>
  <c r="F107" i="11"/>
  <c r="E107" i="11"/>
  <c r="D107" i="11"/>
  <c r="C107" i="11"/>
  <c r="B107" i="11"/>
  <c r="A107" i="11"/>
  <c r="H106" i="11"/>
  <c r="G106" i="11"/>
  <c r="F106" i="11"/>
  <c r="E106" i="11"/>
  <c r="D106" i="11"/>
  <c r="C106" i="11"/>
  <c r="B106" i="11"/>
  <c r="A106" i="11"/>
  <c r="H105" i="11"/>
  <c r="G105" i="11"/>
  <c r="F105" i="11"/>
  <c r="E105" i="11"/>
  <c r="D105" i="11"/>
  <c r="C105" i="11"/>
  <c r="B105" i="11"/>
  <c r="A105" i="11"/>
  <c r="H104" i="11"/>
  <c r="G104" i="11"/>
  <c r="F104" i="11"/>
  <c r="E104" i="11"/>
  <c r="D104" i="11"/>
  <c r="C104" i="11"/>
  <c r="B104" i="11"/>
  <c r="A104" i="11"/>
  <c r="H103" i="11"/>
  <c r="G103" i="11"/>
  <c r="F103" i="11"/>
  <c r="E103" i="11"/>
  <c r="D103" i="11"/>
  <c r="C103" i="11"/>
  <c r="B103" i="11"/>
  <c r="A103" i="11"/>
  <c r="H102" i="11"/>
  <c r="G102" i="11"/>
  <c r="F102" i="11"/>
  <c r="E102" i="11"/>
  <c r="D102" i="11"/>
  <c r="C102" i="11"/>
  <c r="B102" i="11"/>
  <c r="A102" i="11"/>
  <c r="H101" i="11"/>
  <c r="G101" i="11"/>
  <c r="F101" i="11"/>
  <c r="E101" i="11"/>
  <c r="D101" i="11"/>
  <c r="C101" i="11"/>
  <c r="B101" i="11"/>
  <c r="A101" i="11"/>
  <c r="H100" i="11"/>
  <c r="G100" i="11"/>
  <c r="F100" i="11"/>
  <c r="E100" i="11"/>
  <c r="D100" i="11"/>
  <c r="C100" i="11"/>
  <c r="B100" i="11"/>
  <c r="A100" i="11"/>
  <c r="H99" i="11"/>
  <c r="G99" i="11"/>
  <c r="F99" i="11"/>
  <c r="E99" i="11"/>
  <c r="D99" i="11"/>
  <c r="C99" i="11"/>
  <c r="B99" i="11"/>
  <c r="A99" i="11"/>
  <c r="H98" i="11"/>
  <c r="G98" i="11"/>
  <c r="F98" i="11"/>
  <c r="E98" i="11"/>
  <c r="D98" i="11"/>
  <c r="C98" i="11"/>
  <c r="B98" i="11"/>
  <c r="A98" i="11"/>
  <c r="H97" i="11"/>
  <c r="G97" i="11"/>
  <c r="F97" i="11"/>
  <c r="E97" i="11"/>
  <c r="D97" i="11"/>
  <c r="C97" i="11"/>
  <c r="B97" i="11"/>
  <c r="A97" i="11"/>
  <c r="H96" i="11"/>
  <c r="G96" i="11"/>
  <c r="F96" i="11"/>
  <c r="E96" i="11"/>
  <c r="D96" i="11"/>
  <c r="C96" i="11"/>
  <c r="B96" i="11"/>
  <c r="A96" i="11"/>
  <c r="H95" i="11"/>
  <c r="G95" i="11"/>
  <c r="F95" i="11"/>
  <c r="E95" i="11"/>
  <c r="D95" i="11"/>
  <c r="C95" i="11"/>
  <c r="B95" i="11"/>
  <c r="A95" i="11"/>
  <c r="H94" i="11"/>
  <c r="G94" i="11"/>
  <c r="F94" i="11"/>
  <c r="E94" i="11"/>
  <c r="D94" i="11"/>
  <c r="C94" i="11"/>
  <c r="B94" i="11"/>
  <c r="A94" i="11"/>
  <c r="H93" i="11"/>
  <c r="G93" i="11"/>
  <c r="F93" i="11"/>
  <c r="E93" i="11"/>
  <c r="D93" i="11"/>
  <c r="C93" i="11"/>
  <c r="B93" i="11"/>
  <c r="A93" i="11"/>
  <c r="H92" i="11"/>
  <c r="G92" i="11"/>
  <c r="F92" i="11"/>
  <c r="E92" i="11"/>
  <c r="D92" i="11"/>
  <c r="C92" i="11"/>
  <c r="B92" i="11"/>
  <c r="A92" i="11"/>
  <c r="H91" i="11"/>
  <c r="G91" i="11"/>
  <c r="F91" i="11"/>
  <c r="E91" i="11"/>
  <c r="D91" i="11"/>
  <c r="C91" i="11"/>
  <c r="B91" i="11"/>
  <c r="A91" i="11"/>
  <c r="H90" i="11"/>
  <c r="G90" i="11"/>
  <c r="F90" i="11"/>
  <c r="E90" i="11"/>
  <c r="D90" i="11"/>
  <c r="C90" i="11"/>
  <c r="B90" i="11"/>
  <c r="A90" i="11"/>
  <c r="H89" i="11"/>
  <c r="G89" i="11"/>
  <c r="F89" i="11"/>
  <c r="E89" i="11"/>
  <c r="D89" i="11"/>
  <c r="C89" i="11"/>
  <c r="B89" i="11"/>
  <c r="A89" i="11"/>
  <c r="H88" i="11"/>
  <c r="G88" i="11"/>
  <c r="F88" i="11"/>
  <c r="E88" i="11"/>
  <c r="D88" i="11"/>
  <c r="C88" i="11"/>
  <c r="B88" i="11"/>
  <c r="A88" i="11"/>
  <c r="H87" i="11"/>
  <c r="G87" i="11"/>
  <c r="F87" i="11"/>
  <c r="E87" i="11"/>
  <c r="D87" i="11"/>
  <c r="C87" i="11"/>
  <c r="B87" i="11"/>
  <c r="A87" i="11"/>
  <c r="H86" i="11"/>
  <c r="G86" i="11"/>
  <c r="F86" i="11"/>
  <c r="E86" i="11"/>
  <c r="D86" i="11"/>
  <c r="C86" i="11"/>
  <c r="B86" i="11"/>
  <c r="A86" i="11"/>
  <c r="H85" i="11"/>
  <c r="G85" i="11"/>
  <c r="F85" i="11"/>
  <c r="E85" i="11"/>
  <c r="D85" i="11"/>
  <c r="C85" i="11"/>
  <c r="B85" i="11"/>
  <c r="A85" i="11"/>
  <c r="H84" i="11"/>
  <c r="G84" i="11"/>
  <c r="F84" i="11"/>
  <c r="E84" i="11"/>
  <c r="D84" i="11"/>
  <c r="C84" i="11"/>
  <c r="B84" i="11"/>
  <c r="A84" i="11"/>
  <c r="H83" i="11"/>
  <c r="G83" i="11"/>
  <c r="F83" i="11"/>
  <c r="E83" i="11"/>
  <c r="D83" i="11"/>
  <c r="C83" i="11"/>
  <c r="B83" i="11"/>
  <c r="A83" i="11"/>
  <c r="H82" i="11"/>
  <c r="G82" i="11"/>
  <c r="F82" i="11"/>
  <c r="E82" i="11"/>
  <c r="D82" i="11"/>
  <c r="C82" i="11"/>
  <c r="B82" i="11"/>
  <c r="A82" i="11"/>
  <c r="H81" i="11"/>
  <c r="G81" i="11"/>
  <c r="F81" i="11"/>
  <c r="E81" i="11"/>
  <c r="D81" i="11"/>
  <c r="C81" i="11"/>
  <c r="B81" i="11"/>
  <c r="A81" i="11"/>
  <c r="H80" i="11"/>
  <c r="G80" i="11"/>
  <c r="F80" i="11"/>
  <c r="E80" i="11"/>
  <c r="D80" i="11"/>
  <c r="C80" i="11"/>
  <c r="B80" i="11"/>
  <c r="A80" i="11"/>
  <c r="H79" i="11"/>
  <c r="G79" i="11"/>
  <c r="F79" i="11"/>
  <c r="E79" i="11"/>
  <c r="D79" i="11"/>
  <c r="C79" i="11"/>
  <c r="B79" i="11"/>
  <c r="A79" i="11"/>
  <c r="H78" i="11"/>
  <c r="G78" i="11"/>
  <c r="F78" i="11"/>
  <c r="E78" i="11"/>
  <c r="D78" i="11"/>
  <c r="C78" i="11"/>
  <c r="B78" i="11"/>
  <c r="A78" i="11"/>
  <c r="H77" i="11"/>
  <c r="G77" i="11"/>
  <c r="F77" i="11"/>
  <c r="E77" i="11"/>
  <c r="D77" i="11"/>
  <c r="C77" i="11"/>
  <c r="B77" i="11"/>
  <c r="A77" i="11"/>
  <c r="H76" i="11"/>
  <c r="G76" i="11"/>
  <c r="F76" i="11"/>
  <c r="E76" i="11"/>
  <c r="D76" i="11"/>
  <c r="C76" i="11"/>
  <c r="B76" i="11"/>
  <c r="A76" i="11"/>
  <c r="H75" i="11"/>
  <c r="G75" i="11"/>
  <c r="F75" i="11"/>
  <c r="E75" i="11"/>
  <c r="D75" i="11"/>
  <c r="C75" i="11"/>
  <c r="B75" i="11"/>
  <c r="A75" i="11"/>
  <c r="H74" i="11"/>
  <c r="G74" i="11"/>
  <c r="F74" i="11"/>
  <c r="E74" i="11"/>
  <c r="D74" i="11"/>
  <c r="C74" i="11"/>
  <c r="B74" i="11"/>
  <c r="A74" i="11"/>
  <c r="CA73" i="11"/>
  <c r="BZ73" i="11"/>
  <c r="H73" i="11"/>
  <c r="G73" i="11"/>
  <c r="F73" i="11"/>
  <c r="E73" i="11"/>
  <c r="D73" i="11"/>
  <c r="C73" i="11"/>
  <c r="B73" i="11"/>
  <c r="A73" i="11"/>
  <c r="CA72" i="11"/>
  <c r="BZ72" i="11"/>
  <c r="H72" i="11"/>
  <c r="G72" i="11"/>
  <c r="F72" i="11"/>
  <c r="E72" i="11"/>
  <c r="D72" i="11"/>
  <c r="C72" i="11"/>
  <c r="B72" i="11"/>
  <c r="A72" i="11"/>
  <c r="CA71" i="11"/>
  <c r="BZ71" i="11"/>
  <c r="H71" i="11"/>
  <c r="G71" i="11"/>
  <c r="F71" i="11"/>
  <c r="E71" i="11"/>
  <c r="D71" i="11"/>
  <c r="C71" i="11"/>
  <c r="B71" i="11"/>
  <c r="A71" i="11"/>
  <c r="CA70" i="11"/>
  <c r="BZ70" i="11"/>
  <c r="H70" i="11"/>
  <c r="G70" i="11"/>
  <c r="F70" i="11"/>
  <c r="E70" i="11"/>
  <c r="D70" i="11"/>
  <c r="C70" i="11"/>
  <c r="B70" i="11"/>
  <c r="A70" i="11"/>
  <c r="CA69" i="11"/>
  <c r="BZ69" i="11"/>
  <c r="H69" i="11"/>
  <c r="G69" i="11"/>
  <c r="F69" i="11"/>
  <c r="E69" i="11"/>
  <c r="D69" i="11"/>
  <c r="C69" i="11"/>
  <c r="B69" i="11"/>
  <c r="A69" i="11"/>
  <c r="CA68" i="11"/>
  <c r="BZ68" i="11"/>
  <c r="H68" i="11"/>
  <c r="G68" i="11"/>
  <c r="F68" i="11"/>
  <c r="E68" i="11"/>
  <c r="D68" i="11"/>
  <c r="C68" i="11"/>
  <c r="B68" i="11"/>
  <c r="A68" i="11"/>
  <c r="CA67" i="11"/>
  <c r="BZ67" i="11"/>
  <c r="H67" i="11"/>
  <c r="G67" i="11"/>
  <c r="F67" i="11"/>
  <c r="E67" i="11"/>
  <c r="D67" i="11"/>
  <c r="C67" i="11"/>
  <c r="B67" i="11"/>
  <c r="A67" i="11"/>
  <c r="CA66" i="11"/>
  <c r="BZ66" i="11"/>
  <c r="H66" i="11"/>
  <c r="G66" i="11"/>
  <c r="F66" i="11"/>
  <c r="E66" i="11"/>
  <c r="D66" i="11"/>
  <c r="C66" i="11"/>
  <c r="B66" i="11"/>
  <c r="A66" i="11"/>
  <c r="CA65" i="11"/>
  <c r="BZ65" i="11"/>
  <c r="H65" i="11"/>
  <c r="G65" i="11"/>
  <c r="F65" i="11"/>
  <c r="E65" i="11"/>
  <c r="D65" i="11"/>
  <c r="C65" i="11"/>
  <c r="B65" i="11"/>
  <c r="A65" i="11"/>
  <c r="CA64" i="11"/>
  <c r="BZ64" i="11"/>
  <c r="H64" i="11"/>
  <c r="G64" i="11"/>
  <c r="F64" i="11"/>
  <c r="E64" i="11"/>
  <c r="D64" i="11"/>
  <c r="C64" i="11"/>
  <c r="B64" i="11"/>
  <c r="A64" i="11"/>
  <c r="CA63" i="11"/>
  <c r="BZ63" i="11"/>
  <c r="H63" i="11"/>
  <c r="G63" i="11"/>
  <c r="F63" i="11"/>
  <c r="E63" i="11"/>
  <c r="D63" i="11"/>
  <c r="C63" i="11"/>
  <c r="B63" i="11"/>
  <c r="A63" i="11"/>
  <c r="CA62" i="11"/>
  <c r="BZ62" i="11"/>
  <c r="H62" i="11"/>
  <c r="G62" i="11"/>
  <c r="F62" i="11"/>
  <c r="E62" i="11"/>
  <c r="D62" i="11"/>
  <c r="C62" i="11"/>
  <c r="B62" i="11"/>
  <c r="A62" i="11"/>
  <c r="CA61" i="11"/>
  <c r="BZ61" i="11"/>
  <c r="H61" i="11"/>
  <c r="G61" i="11"/>
  <c r="F61" i="11"/>
  <c r="E61" i="11"/>
  <c r="D61" i="11"/>
  <c r="C61" i="11"/>
  <c r="B61" i="11"/>
  <c r="A61" i="11"/>
  <c r="CA60" i="11"/>
  <c r="BZ60" i="11"/>
  <c r="H60" i="11"/>
  <c r="G60" i="11"/>
  <c r="F60" i="11"/>
  <c r="E60" i="11"/>
  <c r="D60" i="11"/>
  <c r="C60" i="11"/>
  <c r="B60" i="11"/>
  <c r="A60" i="11"/>
  <c r="CA59" i="11"/>
  <c r="BZ59" i="11"/>
  <c r="H59" i="11"/>
  <c r="G59" i="11"/>
  <c r="F59" i="11"/>
  <c r="E59" i="11"/>
  <c r="D59" i="11"/>
  <c r="C59" i="11"/>
  <c r="B59" i="11"/>
  <c r="A59" i="11"/>
  <c r="CA58" i="11"/>
  <c r="BZ58" i="11"/>
  <c r="H58" i="11"/>
  <c r="G58" i="11"/>
  <c r="F58" i="11"/>
  <c r="E58" i="11"/>
  <c r="D58" i="11"/>
  <c r="C58" i="11"/>
  <c r="B58" i="11"/>
  <c r="A58" i="11"/>
  <c r="CA57" i="11"/>
  <c r="BZ57" i="11"/>
  <c r="H57" i="11"/>
  <c r="G57" i="11"/>
  <c r="F57" i="11"/>
  <c r="E57" i="11"/>
  <c r="D57" i="11"/>
  <c r="C57" i="11"/>
  <c r="B57" i="11"/>
  <c r="A57" i="11"/>
  <c r="CA56" i="11"/>
  <c r="BZ56" i="11"/>
  <c r="H56" i="11"/>
  <c r="G56" i="11"/>
  <c r="F56" i="11"/>
  <c r="E56" i="11"/>
  <c r="D56" i="11"/>
  <c r="C56" i="11"/>
  <c r="B56" i="11"/>
  <c r="A56" i="11"/>
  <c r="CA55" i="11"/>
  <c r="BZ55" i="11"/>
  <c r="H55" i="11"/>
  <c r="G55" i="11"/>
  <c r="F55" i="11"/>
  <c r="E55" i="11"/>
  <c r="D55" i="11"/>
  <c r="C55" i="11"/>
  <c r="B55" i="11"/>
  <c r="A55" i="11"/>
  <c r="CA54" i="11"/>
  <c r="BZ54" i="11"/>
  <c r="H54" i="11"/>
  <c r="G54" i="11"/>
  <c r="F54" i="11"/>
  <c r="E54" i="11"/>
  <c r="D54" i="11"/>
  <c r="C54" i="11"/>
  <c r="B54" i="11"/>
  <c r="A54" i="11"/>
  <c r="CA53" i="11"/>
  <c r="BZ53" i="11"/>
  <c r="H53" i="11"/>
  <c r="G53" i="11"/>
  <c r="F53" i="11"/>
  <c r="E53" i="11"/>
  <c r="D53" i="11"/>
  <c r="C53" i="11"/>
  <c r="B53" i="11"/>
  <c r="A53" i="11"/>
  <c r="CA52" i="11"/>
  <c r="BZ52" i="11"/>
  <c r="H52" i="11"/>
  <c r="G52" i="11"/>
  <c r="F52" i="11"/>
  <c r="E52" i="11"/>
  <c r="D52" i="11"/>
  <c r="C52" i="11"/>
  <c r="B52" i="11"/>
  <c r="A52" i="11"/>
  <c r="CA51" i="11"/>
  <c r="BZ51" i="11"/>
  <c r="H51" i="11"/>
  <c r="G51" i="11"/>
  <c r="F51" i="11"/>
  <c r="E51" i="11"/>
  <c r="D51" i="11"/>
  <c r="C51" i="11"/>
  <c r="B51" i="11"/>
  <c r="A51" i="11"/>
  <c r="CA50" i="11"/>
  <c r="BZ50" i="11"/>
  <c r="H50" i="11"/>
  <c r="G50" i="11"/>
  <c r="F50" i="11"/>
  <c r="E50" i="11"/>
  <c r="D50" i="11"/>
  <c r="C50" i="11"/>
  <c r="B50" i="11"/>
  <c r="A50" i="11"/>
  <c r="CA49" i="11"/>
  <c r="BZ49" i="11"/>
  <c r="H49" i="11"/>
  <c r="G49" i="11"/>
  <c r="F49" i="11"/>
  <c r="E49" i="11"/>
  <c r="D49" i="11"/>
  <c r="C49" i="11"/>
  <c r="B49" i="11"/>
  <c r="A49" i="11"/>
  <c r="CA48" i="11"/>
  <c r="BZ48" i="11"/>
  <c r="H48" i="11"/>
  <c r="G48" i="11"/>
  <c r="F48" i="11"/>
  <c r="E48" i="11"/>
  <c r="D48" i="11"/>
  <c r="C48" i="11"/>
  <c r="B48" i="11"/>
  <c r="A48" i="11"/>
  <c r="CA47" i="11"/>
  <c r="BZ47" i="11"/>
  <c r="H47" i="11"/>
  <c r="G47" i="11"/>
  <c r="F47" i="11"/>
  <c r="E47" i="11"/>
  <c r="D47" i="11"/>
  <c r="C47" i="11"/>
  <c r="B47" i="11"/>
  <c r="A47" i="11"/>
  <c r="CA46" i="11"/>
  <c r="BZ46" i="11"/>
  <c r="H46" i="11"/>
  <c r="G46" i="11"/>
  <c r="F46" i="11"/>
  <c r="E46" i="11"/>
  <c r="D46" i="11"/>
  <c r="C46" i="11"/>
  <c r="B46" i="11"/>
  <c r="A46" i="11"/>
  <c r="CA45" i="11"/>
  <c r="BZ45" i="11"/>
  <c r="H45" i="11"/>
  <c r="G45" i="11"/>
  <c r="F45" i="11"/>
  <c r="E45" i="11"/>
  <c r="D45" i="11"/>
  <c r="C45" i="11"/>
  <c r="B45" i="11"/>
  <c r="A45" i="11"/>
  <c r="CA44" i="11"/>
  <c r="BZ44" i="11"/>
  <c r="H44" i="11"/>
  <c r="G44" i="11"/>
  <c r="F44" i="11"/>
  <c r="E44" i="11"/>
  <c r="D44" i="11"/>
  <c r="C44" i="11"/>
  <c r="B44" i="11"/>
  <c r="A44" i="11"/>
  <c r="CA43" i="11"/>
  <c r="BZ43" i="11"/>
  <c r="H43" i="11"/>
  <c r="G43" i="11"/>
  <c r="F43" i="11"/>
  <c r="E43" i="11"/>
  <c r="D43" i="11"/>
  <c r="C43" i="11"/>
  <c r="B43" i="11"/>
  <c r="A43" i="11"/>
  <c r="CA42" i="11"/>
  <c r="BZ42" i="11"/>
  <c r="H42" i="11"/>
  <c r="G42" i="11"/>
  <c r="F42" i="11"/>
  <c r="E42" i="11"/>
  <c r="D42" i="11"/>
  <c r="C42" i="11"/>
  <c r="B42" i="11"/>
  <c r="A42" i="11"/>
  <c r="CA41" i="11"/>
  <c r="BZ41" i="11"/>
  <c r="H41" i="11"/>
  <c r="G41" i="11"/>
  <c r="F41" i="11"/>
  <c r="E41" i="11"/>
  <c r="D41" i="11"/>
  <c r="C41" i="11"/>
  <c r="B41" i="11"/>
  <c r="A41" i="11"/>
  <c r="CA40" i="11"/>
  <c r="BZ40" i="11"/>
  <c r="H40" i="11"/>
  <c r="G40" i="11"/>
  <c r="F40" i="11"/>
  <c r="E40" i="11"/>
  <c r="D40" i="11"/>
  <c r="C40" i="11"/>
  <c r="B40" i="11"/>
  <c r="A40" i="11"/>
  <c r="CA39" i="11"/>
  <c r="BZ39" i="11"/>
  <c r="H39" i="11"/>
  <c r="G39" i="11"/>
  <c r="F39" i="11"/>
  <c r="E39" i="11"/>
  <c r="D39" i="11"/>
  <c r="C39" i="11"/>
  <c r="B39" i="11"/>
  <c r="A39" i="11"/>
  <c r="CA38" i="11"/>
  <c r="BZ38" i="11"/>
  <c r="H38" i="11"/>
  <c r="G38" i="11"/>
  <c r="F38" i="11"/>
  <c r="E38" i="11"/>
  <c r="D38" i="11"/>
  <c r="C38" i="11"/>
  <c r="B38" i="11"/>
  <c r="A38" i="11"/>
  <c r="CA37" i="11"/>
  <c r="BZ37" i="11"/>
  <c r="H37" i="11"/>
  <c r="G37" i="11"/>
  <c r="F37" i="11"/>
  <c r="E37" i="11"/>
  <c r="D37" i="11"/>
  <c r="C37" i="11"/>
  <c r="B37" i="11"/>
  <c r="A37" i="11"/>
  <c r="CA36" i="11"/>
  <c r="BZ36" i="11"/>
  <c r="H36" i="11"/>
  <c r="G36" i="11"/>
  <c r="F36" i="11"/>
  <c r="E36" i="11"/>
  <c r="D36" i="11"/>
  <c r="C36" i="11"/>
  <c r="B36" i="11"/>
  <c r="A36" i="11"/>
  <c r="CA35" i="11"/>
  <c r="BZ35" i="11"/>
  <c r="H35" i="11"/>
  <c r="G35" i="11"/>
  <c r="F35" i="11"/>
  <c r="E35" i="11"/>
  <c r="D35" i="11"/>
  <c r="C35" i="11"/>
  <c r="B35" i="11"/>
  <c r="A35" i="11"/>
  <c r="CA34" i="11"/>
  <c r="BZ34" i="11"/>
  <c r="H34" i="11"/>
  <c r="G34" i="11"/>
  <c r="F34" i="11"/>
  <c r="E34" i="11"/>
  <c r="D34" i="11"/>
  <c r="C34" i="11"/>
  <c r="B34" i="11"/>
  <c r="A34" i="11"/>
  <c r="CA33" i="11"/>
  <c r="BZ33" i="11"/>
  <c r="H33" i="11"/>
  <c r="G33" i="11"/>
  <c r="F33" i="11"/>
  <c r="E33" i="11"/>
  <c r="D33" i="11"/>
  <c r="C33" i="11"/>
  <c r="B33" i="11"/>
  <c r="A33" i="11"/>
  <c r="CA32" i="11"/>
  <c r="BZ32" i="11"/>
  <c r="H32" i="11"/>
  <c r="G32" i="11"/>
  <c r="F32" i="11"/>
  <c r="E32" i="11"/>
  <c r="D32" i="11"/>
  <c r="C32" i="11"/>
  <c r="B32" i="11"/>
  <c r="A32" i="11"/>
  <c r="CA31" i="11"/>
  <c r="BZ31" i="11"/>
  <c r="H31" i="11"/>
  <c r="G31" i="11"/>
  <c r="F31" i="11"/>
  <c r="E31" i="11"/>
  <c r="D31" i="11"/>
  <c r="C31" i="11"/>
  <c r="B31" i="11"/>
  <c r="A31" i="11"/>
  <c r="CA30" i="11"/>
  <c r="BZ30" i="11"/>
  <c r="H30" i="11"/>
  <c r="G30" i="11"/>
  <c r="F30" i="11"/>
  <c r="E30" i="11"/>
  <c r="D30" i="11"/>
  <c r="C30" i="11"/>
  <c r="B30" i="11"/>
  <c r="A30" i="11"/>
  <c r="CA29" i="11"/>
  <c r="BZ29" i="11"/>
  <c r="H29" i="11"/>
  <c r="G29" i="11"/>
  <c r="F29" i="11"/>
  <c r="E29" i="11"/>
  <c r="D29" i="11"/>
  <c r="C29" i="11"/>
  <c r="B29" i="11"/>
  <c r="A29" i="11"/>
  <c r="CA28" i="11"/>
  <c r="BZ28" i="11"/>
  <c r="H28" i="11"/>
  <c r="G28" i="11"/>
  <c r="F28" i="11"/>
  <c r="E28" i="11"/>
  <c r="D28" i="11"/>
  <c r="C28" i="11"/>
  <c r="B28" i="11"/>
  <c r="A28" i="11"/>
  <c r="CA27" i="11"/>
  <c r="BZ27" i="11"/>
  <c r="H27" i="11"/>
  <c r="G27" i="11"/>
  <c r="F27" i="11"/>
  <c r="E27" i="11"/>
  <c r="D27" i="11"/>
  <c r="C27" i="11"/>
  <c r="B27" i="11"/>
  <c r="A27" i="11"/>
  <c r="CA26" i="11"/>
  <c r="BZ26" i="11"/>
  <c r="H26" i="11"/>
  <c r="G26" i="11"/>
  <c r="F26" i="11"/>
  <c r="E26" i="11"/>
  <c r="D26" i="11"/>
  <c r="C26" i="11"/>
  <c r="B26" i="11"/>
  <c r="A26" i="11"/>
  <c r="CA25" i="11"/>
  <c r="BZ25" i="11"/>
  <c r="H25" i="11"/>
  <c r="G25" i="11"/>
  <c r="F25" i="11"/>
  <c r="E25" i="11"/>
  <c r="D25" i="11"/>
  <c r="C25" i="11"/>
  <c r="B25" i="11"/>
  <c r="A25" i="11"/>
  <c r="CA24" i="11"/>
  <c r="BZ24" i="11"/>
  <c r="H24" i="11"/>
  <c r="G24" i="11"/>
  <c r="F24" i="11"/>
  <c r="E24" i="11"/>
  <c r="D24" i="11"/>
  <c r="C24" i="11"/>
  <c r="B24" i="11"/>
  <c r="A24" i="11"/>
  <c r="CA23" i="11"/>
  <c r="BZ23" i="11"/>
  <c r="H23" i="11"/>
  <c r="G23" i="11"/>
  <c r="F23" i="11"/>
  <c r="E23" i="11"/>
  <c r="D23" i="11"/>
  <c r="C23" i="11"/>
  <c r="B23" i="11"/>
  <c r="A23" i="11"/>
  <c r="CA22" i="11"/>
  <c r="BZ22" i="11"/>
  <c r="H22" i="11"/>
  <c r="G22" i="11"/>
  <c r="F22" i="11"/>
  <c r="E22" i="11"/>
  <c r="D22" i="11"/>
  <c r="C22" i="11"/>
  <c r="B22" i="11"/>
  <c r="A22" i="11"/>
  <c r="CA21" i="11"/>
  <c r="BZ21" i="11"/>
  <c r="H21" i="11"/>
  <c r="G21" i="11"/>
  <c r="F21" i="11"/>
  <c r="E21" i="11"/>
  <c r="D21" i="11"/>
  <c r="C21" i="11"/>
  <c r="B21" i="11"/>
  <c r="A21" i="11"/>
  <c r="CA20" i="11"/>
  <c r="BZ20" i="11"/>
  <c r="H20" i="11"/>
  <c r="G20" i="11"/>
  <c r="F20" i="11"/>
  <c r="E20" i="11"/>
  <c r="D20" i="11"/>
  <c r="C20" i="11"/>
  <c r="B20" i="11"/>
  <c r="A20" i="11"/>
  <c r="CA19" i="11"/>
  <c r="BZ19" i="11"/>
  <c r="H19" i="11"/>
  <c r="G19" i="11"/>
  <c r="F19" i="11"/>
  <c r="E19" i="11"/>
  <c r="D19" i="11"/>
  <c r="C19" i="11"/>
  <c r="B19" i="11"/>
  <c r="A19" i="11"/>
  <c r="CA18" i="11"/>
  <c r="BZ18" i="11"/>
  <c r="H18" i="11"/>
  <c r="G18" i="11"/>
  <c r="F18" i="11"/>
  <c r="E18" i="11"/>
  <c r="D18" i="11"/>
  <c r="C18" i="11"/>
  <c r="B18" i="11"/>
  <c r="A18" i="11"/>
  <c r="CA17" i="11"/>
  <c r="BZ17" i="11"/>
  <c r="H17" i="11"/>
  <c r="G17" i="11"/>
  <c r="F17" i="11"/>
  <c r="E17" i="11"/>
  <c r="D17" i="11"/>
  <c r="C17" i="11"/>
  <c r="B17" i="11"/>
  <c r="A17" i="11"/>
  <c r="CA16" i="11"/>
  <c r="BZ16" i="11"/>
  <c r="H16" i="11"/>
  <c r="G16" i="11"/>
  <c r="F16" i="11"/>
  <c r="E16" i="11"/>
  <c r="D16" i="11"/>
  <c r="C16" i="11"/>
  <c r="B16" i="11"/>
  <c r="A16" i="11"/>
  <c r="CA15" i="11"/>
  <c r="BZ15" i="11"/>
  <c r="H15" i="11"/>
  <c r="G15" i="11"/>
  <c r="F15" i="11"/>
  <c r="E15" i="11"/>
  <c r="D15" i="11"/>
  <c r="C15" i="11"/>
  <c r="B15" i="11"/>
  <c r="A15" i="11"/>
  <c r="CA14" i="11"/>
  <c r="BZ14" i="11"/>
  <c r="H14" i="11"/>
  <c r="G14" i="11"/>
  <c r="F14" i="11"/>
  <c r="E14" i="11"/>
  <c r="D14" i="11"/>
  <c r="C14" i="11"/>
  <c r="B14" i="11"/>
  <c r="A14" i="11"/>
  <c r="CA13" i="11"/>
  <c r="BZ13" i="11"/>
  <c r="H13" i="11"/>
  <c r="G13" i="11"/>
  <c r="F13" i="11"/>
  <c r="E13" i="11"/>
  <c r="D13" i="11"/>
  <c r="C13" i="11"/>
  <c r="B13" i="11"/>
  <c r="A13" i="11"/>
  <c r="CA12" i="11"/>
  <c r="BZ12" i="11"/>
  <c r="H12" i="11"/>
  <c r="G12" i="11"/>
  <c r="F12" i="11"/>
  <c r="E12" i="11"/>
  <c r="D12" i="11"/>
  <c r="C12" i="11"/>
  <c r="B12" i="11"/>
  <c r="A12" i="11"/>
  <c r="CA11" i="11"/>
  <c r="BZ11" i="11"/>
  <c r="H11" i="11"/>
  <c r="G11" i="11"/>
  <c r="F11" i="11"/>
  <c r="E11" i="11"/>
  <c r="D11" i="11"/>
  <c r="C11" i="11"/>
  <c r="B11" i="11"/>
  <c r="A11" i="11"/>
  <c r="CA10" i="11"/>
  <c r="BZ10" i="11"/>
  <c r="H10" i="11"/>
  <c r="G10" i="11"/>
  <c r="F10" i="11"/>
  <c r="E10" i="11"/>
  <c r="D10" i="11"/>
  <c r="C10" i="11"/>
  <c r="B10" i="11"/>
  <c r="A10" i="11"/>
  <c r="CA9" i="11"/>
  <c r="BZ9" i="11"/>
  <c r="H9" i="11"/>
  <c r="G9" i="11"/>
  <c r="F9" i="11"/>
  <c r="E9" i="11"/>
  <c r="D9" i="11"/>
  <c r="C9" i="11"/>
  <c r="B9" i="11"/>
  <c r="A9" i="11"/>
  <c r="CA8" i="11"/>
  <c r="BZ8" i="11"/>
  <c r="H8" i="11"/>
  <c r="G8" i="11"/>
  <c r="F8" i="11"/>
  <c r="E8" i="11"/>
  <c r="D8" i="11"/>
  <c r="C8" i="11"/>
  <c r="B8" i="11"/>
  <c r="A8" i="11"/>
  <c r="CA7" i="11"/>
  <c r="BZ7" i="11"/>
  <c r="H7" i="11"/>
  <c r="G7" i="11"/>
  <c r="F7" i="11"/>
  <c r="E7" i="11"/>
  <c r="D7" i="11"/>
  <c r="C7" i="11"/>
  <c r="B7" i="11"/>
  <c r="A7" i="11"/>
  <c r="CA6" i="11"/>
  <c r="BZ6" i="11"/>
  <c r="H6" i="11"/>
  <c r="G6" i="11"/>
  <c r="F6" i="11"/>
  <c r="E6" i="11"/>
  <c r="D6" i="11"/>
  <c r="C6" i="11"/>
  <c r="B6" i="11"/>
  <c r="A6" i="11"/>
  <c r="CA5" i="11"/>
  <c r="BZ5" i="11"/>
  <c r="H5" i="11"/>
  <c r="G5" i="11"/>
  <c r="F5" i="11"/>
  <c r="E5" i="11"/>
  <c r="D5" i="11"/>
  <c r="C5" i="11"/>
  <c r="B5" i="11"/>
  <c r="A5" i="11"/>
  <c r="CA4" i="11"/>
  <c r="BZ4" i="11"/>
  <c r="H4" i="11"/>
  <c r="G4" i="11"/>
  <c r="F4" i="11"/>
  <c r="E4" i="11"/>
  <c r="D4" i="11"/>
  <c r="C4" i="11"/>
  <c r="B4" i="11"/>
  <c r="A4" i="11"/>
  <c r="CA3" i="11"/>
  <c r="BZ3" i="11"/>
  <c r="H3" i="11"/>
  <c r="G3" i="11"/>
  <c r="F3" i="11"/>
  <c r="E3" i="11"/>
  <c r="D3" i="11"/>
  <c r="C3" i="11"/>
  <c r="B3" i="11"/>
  <c r="A3" i="11"/>
  <c r="BS2" i="11"/>
  <c r="BR2" i="11"/>
  <c r="BR3" i="11" s="1"/>
  <c r="H2" i="11"/>
  <c r="G2" i="11"/>
  <c r="F2" i="11"/>
  <c r="E2" i="11"/>
  <c r="D2" i="11"/>
  <c r="C2" i="11"/>
  <c r="B2" i="11"/>
  <c r="A2" i="11"/>
  <c r="J1" i="7"/>
  <c r="N110" i="1"/>
  <c r="M110" i="1"/>
  <c r="L110" i="1"/>
  <c r="K110" i="1"/>
  <c r="I110" i="1"/>
  <c r="G110" i="1"/>
  <c r="N109" i="1"/>
  <c r="M109" i="1"/>
  <c r="L109" i="1"/>
  <c r="K109" i="1"/>
  <c r="I109" i="1"/>
  <c r="G109" i="1"/>
  <c r="N108" i="1"/>
  <c r="M108" i="1"/>
  <c r="L108" i="1"/>
  <c r="K108" i="1"/>
  <c r="I108" i="1"/>
  <c r="G108" i="1"/>
  <c r="N107" i="1"/>
  <c r="M107" i="1"/>
  <c r="L107" i="1"/>
  <c r="K107" i="1"/>
  <c r="I107" i="1"/>
  <c r="G107" i="1"/>
  <c r="N106" i="1"/>
  <c r="M106" i="1"/>
  <c r="L106" i="1"/>
  <c r="K106" i="1"/>
  <c r="I106" i="1"/>
  <c r="G106" i="1"/>
  <c r="N105" i="1"/>
  <c r="M105" i="1"/>
  <c r="L105" i="1"/>
  <c r="K105" i="1"/>
  <c r="I105" i="1"/>
  <c r="G105" i="1"/>
  <c r="N104" i="1"/>
  <c r="M104" i="1"/>
  <c r="L104" i="1"/>
  <c r="K104" i="1"/>
  <c r="I104" i="1"/>
  <c r="G104" i="1"/>
  <c r="N103" i="1"/>
  <c r="M103" i="1"/>
  <c r="L103" i="1"/>
  <c r="K103" i="1"/>
  <c r="I103" i="1"/>
  <c r="G103" i="1"/>
  <c r="N102" i="1"/>
  <c r="M102" i="1"/>
  <c r="L102" i="1"/>
  <c r="K102" i="1"/>
  <c r="I102" i="1"/>
  <c r="G102" i="1"/>
  <c r="N101" i="1"/>
  <c r="M101" i="1"/>
  <c r="L101" i="1"/>
  <c r="K101" i="1"/>
  <c r="I101" i="1"/>
  <c r="G101" i="1"/>
  <c r="N100" i="1"/>
  <c r="M100" i="1"/>
  <c r="L100" i="1"/>
  <c r="K100" i="1"/>
  <c r="I100" i="1"/>
  <c r="G100" i="1"/>
  <c r="N99" i="1"/>
  <c r="M99" i="1"/>
  <c r="L99" i="1"/>
  <c r="K99" i="1"/>
  <c r="I99" i="1"/>
  <c r="G99" i="1"/>
  <c r="N98" i="1"/>
  <c r="M98" i="1"/>
  <c r="L98" i="1"/>
  <c r="K98" i="1"/>
  <c r="I98" i="1"/>
  <c r="G98" i="1"/>
  <c r="N97" i="1"/>
  <c r="M97" i="1"/>
  <c r="L97" i="1"/>
  <c r="K97" i="1"/>
  <c r="I97" i="1"/>
  <c r="G97" i="1"/>
  <c r="N96" i="1"/>
  <c r="M96" i="1"/>
  <c r="L96" i="1"/>
  <c r="K96" i="1"/>
  <c r="I96" i="1"/>
  <c r="G96" i="1"/>
  <c r="G94" i="1"/>
  <c r="N88" i="1"/>
  <c r="M88" i="1"/>
  <c r="K88" i="1"/>
  <c r="J88" i="1"/>
  <c r="I88" i="1"/>
  <c r="H88" i="1"/>
  <c r="F88" i="1"/>
  <c r="E88" i="1"/>
  <c r="D88" i="1"/>
  <c r="B88" i="1"/>
  <c r="A88" i="1"/>
  <c r="N87" i="1"/>
  <c r="M87" i="1"/>
  <c r="K87" i="1"/>
  <c r="J87" i="1"/>
  <c r="I87" i="1"/>
  <c r="H87" i="1"/>
  <c r="F87" i="1"/>
  <c r="E87" i="1"/>
  <c r="D87" i="1"/>
  <c r="B87" i="1"/>
  <c r="A87" i="1"/>
  <c r="N86" i="1"/>
  <c r="M86" i="1"/>
  <c r="K86" i="1"/>
  <c r="J86" i="1"/>
  <c r="I86" i="1"/>
  <c r="H86" i="1"/>
  <c r="F86" i="1"/>
  <c r="E86" i="1"/>
  <c r="D86" i="1"/>
  <c r="B86" i="1"/>
  <c r="A86" i="1"/>
  <c r="N85" i="1"/>
  <c r="M85" i="1"/>
  <c r="K85" i="1"/>
  <c r="J85" i="1"/>
  <c r="I85" i="1"/>
  <c r="H85" i="1"/>
  <c r="F85" i="1"/>
  <c r="E85" i="1"/>
  <c r="D85" i="1"/>
  <c r="B85" i="1"/>
  <c r="A85" i="1"/>
  <c r="N84" i="1"/>
  <c r="M84" i="1"/>
  <c r="K84" i="1"/>
  <c r="J84" i="1"/>
  <c r="I84" i="1"/>
  <c r="H84" i="1"/>
  <c r="F84" i="1"/>
  <c r="E84" i="1"/>
  <c r="D84" i="1"/>
  <c r="B84" i="1"/>
  <c r="A84" i="1"/>
  <c r="N83" i="1"/>
  <c r="M83" i="1"/>
  <c r="K83" i="1"/>
  <c r="J83" i="1"/>
  <c r="I83" i="1"/>
  <c r="H83" i="1"/>
  <c r="F83" i="1"/>
  <c r="E83" i="1"/>
  <c r="D83" i="1"/>
  <c r="B83" i="1"/>
  <c r="A83" i="1"/>
  <c r="N82" i="1"/>
  <c r="M82" i="1"/>
  <c r="K82" i="1"/>
  <c r="J82" i="1"/>
  <c r="I82" i="1"/>
  <c r="H82" i="1"/>
  <c r="F82" i="1"/>
  <c r="E82" i="1"/>
  <c r="D82" i="1"/>
  <c r="B82" i="1"/>
  <c r="A82" i="1"/>
  <c r="N81" i="1"/>
  <c r="M81" i="1"/>
  <c r="K81" i="1"/>
  <c r="J81" i="1"/>
  <c r="I81" i="1"/>
  <c r="H81" i="1"/>
  <c r="F81" i="1"/>
  <c r="E81" i="1"/>
  <c r="D81" i="1"/>
  <c r="B81" i="1"/>
  <c r="A81" i="1"/>
  <c r="N80" i="1"/>
  <c r="M80" i="1"/>
  <c r="K80" i="1"/>
  <c r="J80" i="1"/>
  <c r="I80" i="1"/>
  <c r="H80" i="1"/>
  <c r="F80" i="1"/>
  <c r="E80" i="1"/>
  <c r="D80" i="1"/>
  <c r="B80" i="1"/>
  <c r="A80" i="1"/>
  <c r="N79" i="1"/>
  <c r="M79" i="1"/>
  <c r="K79" i="1"/>
  <c r="J79" i="1"/>
  <c r="I79" i="1"/>
  <c r="H79" i="1"/>
  <c r="F79" i="1"/>
  <c r="E79" i="1"/>
  <c r="D79" i="1"/>
  <c r="B79" i="1"/>
  <c r="A79" i="1"/>
  <c r="N78" i="1"/>
  <c r="M78" i="1"/>
  <c r="K78" i="1"/>
  <c r="J78" i="1"/>
  <c r="I78" i="1"/>
  <c r="H78" i="1"/>
  <c r="F78" i="1"/>
  <c r="E78" i="1"/>
  <c r="D78" i="1"/>
  <c r="B78" i="1"/>
  <c r="A78" i="1"/>
  <c r="N77" i="1"/>
  <c r="M77" i="1"/>
  <c r="K77" i="1"/>
  <c r="J77" i="1"/>
  <c r="I77" i="1"/>
  <c r="H77" i="1"/>
  <c r="F77" i="1"/>
  <c r="E77" i="1"/>
  <c r="D77" i="1"/>
  <c r="B77" i="1"/>
  <c r="A77" i="1"/>
  <c r="N76" i="1"/>
  <c r="M76" i="1"/>
  <c r="K76" i="1"/>
  <c r="J76" i="1"/>
  <c r="I76" i="1"/>
  <c r="H76" i="1"/>
  <c r="F76" i="1"/>
  <c r="E76" i="1"/>
  <c r="D76" i="1"/>
  <c r="B76" i="1"/>
  <c r="A76" i="1"/>
  <c r="N75" i="1"/>
  <c r="M75" i="1"/>
  <c r="K75" i="1"/>
  <c r="J75" i="1"/>
  <c r="I75" i="1"/>
  <c r="H75" i="1"/>
  <c r="F75" i="1"/>
  <c r="E75" i="1"/>
  <c r="D75" i="1"/>
  <c r="B75" i="1"/>
  <c r="A75" i="1"/>
  <c r="N74" i="1"/>
  <c r="M74" i="1"/>
  <c r="K74" i="1"/>
  <c r="J74" i="1"/>
  <c r="I74" i="1"/>
  <c r="H74" i="1"/>
  <c r="F74" i="1"/>
  <c r="E74" i="1"/>
  <c r="D74" i="1"/>
  <c r="B74" i="1"/>
  <c r="A74" i="1"/>
  <c r="N73" i="1"/>
  <c r="M73" i="1"/>
  <c r="K73" i="1"/>
  <c r="J73" i="1"/>
  <c r="I73" i="1"/>
  <c r="H73" i="1"/>
  <c r="F73" i="1"/>
  <c r="E73" i="1"/>
  <c r="D73" i="1"/>
  <c r="B73" i="1"/>
  <c r="A73" i="1"/>
  <c r="N72" i="1"/>
  <c r="M72" i="1"/>
  <c r="K72" i="1"/>
  <c r="J72" i="1"/>
  <c r="I72" i="1"/>
  <c r="H72" i="1"/>
  <c r="F72" i="1"/>
  <c r="E72" i="1"/>
  <c r="D72" i="1"/>
  <c r="B72" i="1"/>
  <c r="A72" i="1"/>
  <c r="N71" i="1"/>
  <c r="M71" i="1"/>
  <c r="K71" i="1"/>
  <c r="J71" i="1"/>
  <c r="I71" i="1"/>
  <c r="H71" i="1"/>
  <c r="F71" i="1"/>
  <c r="E71" i="1"/>
  <c r="D71" i="1"/>
  <c r="B71" i="1"/>
  <c r="A71" i="1"/>
  <c r="N70" i="1"/>
  <c r="M70" i="1"/>
  <c r="K70" i="1"/>
  <c r="J70" i="1"/>
  <c r="I70" i="1"/>
  <c r="H70" i="1"/>
  <c r="F70" i="1"/>
  <c r="E70" i="1"/>
  <c r="D70" i="1"/>
  <c r="B70" i="1"/>
  <c r="A70" i="1"/>
  <c r="N69" i="1"/>
  <c r="M69" i="1"/>
  <c r="K69" i="1"/>
  <c r="J69" i="1"/>
  <c r="I69" i="1"/>
  <c r="H69" i="1"/>
  <c r="F69" i="1"/>
  <c r="E69" i="1"/>
  <c r="D69" i="1"/>
  <c r="B69" i="1"/>
  <c r="A69" i="1"/>
  <c r="AZ4" i="1"/>
  <c r="H4" i="1"/>
  <c r="AZ3" i="1"/>
  <c r="AZ5" i="1" s="1"/>
  <c r="AE3000" i="11" l="1"/>
  <c r="AC3000" i="11"/>
  <c r="Z3000" i="11"/>
  <c r="Y3000" i="11"/>
  <c r="X3000" i="11"/>
  <c r="W3000" i="11"/>
  <c r="V3000" i="11"/>
  <c r="U3000" i="11"/>
  <c r="T3000" i="11"/>
  <c r="S3000" i="11"/>
  <c r="R3000" i="11"/>
  <c r="P3000" i="11"/>
  <c r="O3000" i="11"/>
  <c r="N3000" i="11"/>
  <c r="M3000" i="11"/>
  <c r="L3000" i="11"/>
  <c r="K3000" i="11"/>
  <c r="J3000" i="11"/>
  <c r="I3000" i="11"/>
  <c r="AE2999" i="11"/>
  <c r="AC2999" i="11"/>
  <c r="Z2999" i="11"/>
  <c r="Y2999" i="11"/>
  <c r="X2999" i="11"/>
  <c r="W2999" i="11"/>
  <c r="V2999" i="11"/>
  <c r="U2999" i="11"/>
  <c r="T2999" i="11"/>
  <c r="S2999" i="11"/>
  <c r="R2999" i="11"/>
  <c r="P2999" i="11"/>
  <c r="O2999" i="11"/>
  <c r="N2999" i="11"/>
  <c r="M2999" i="11"/>
  <c r="L2999" i="11"/>
  <c r="K2999" i="11"/>
  <c r="J2999" i="11"/>
  <c r="I2999" i="11"/>
  <c r="AE2998" i="11"/>
  <c r="AC2998" i="11"/>
  <c r="Z2998" i="11"/>
  <c r="Y2998" i="11"/>
  <c r="X2998" i="11"/>
  <c r="W2998" i="11"/>
  <c r="V2998" i="11"/>
  <c r="U2998" i="11"/>
  <c r="T2998" i="11"/>
  <c r="S2998" i="11"/>
  <c r="R2998" i="11"/>
  <c r="P2998" i="11"/>
  <c r="O2998" i="11"/>
  <c r="N2998" i="11"/>
  <c r="M2998" i="11"/>
  <c r="L2998" i="11"/>
  <c r="K2998" i="11"/>
  <c r="J2998" i="11"/>
  <c r="I2998" i="11"/>
  <c r="AE2997" i="11"/>
  <c r="AC2997" i="11"/>
  <c r="Z2997" i="11"/>
  <c r="Y2997" i="11"/>
  <c r="X2997" i="11"/>
  <c r="W2997" i="11"/>
  <c r="V2997" i="11"/>
  <c r="U2997" i="11"/>
  <c r="T2997" i="11"/>
  <c r="S2997" i="11"/>
  <c r="R2997" i="11"/>
  <c r="P2997" i="11"/>
  <c r="O2997" i="11"/>
  <c r="N2997" i="11"/>
  <c r="M2997" i="11"/>
  <c r="L2997" i="11"/>
  <c r="K2997" i="11"/>
  <c r="J2997" i="11"/>
  <c r="I2997" i="11"/>
  <c r="AE2996" i="11"/>
  <c r="AC2996" i="11"/>
  <c r="Z2996" i="11"/>
  <c r="Y2996" i="11"/>
  <c r="X2996" i="11"/>
  <c r="W2996" i="11"/>
  <c r="V2996" i="11"/>
  <c r="U2996" i="11"/>
  <c r="T2996" i="11"/>
  <c r="S2996" i="11"/>
  <c r="R2996" i="11"/>
  <c r="P2996" i="11"/>
  <c r="O2996" i="11"/>
  <c r="N2996" i="11"/>
  <c r="M2996" i="11"/>
  <c r="L2996" i="11"/>
  <c r="K2996" i="11"/>
  <c r="J2996" i="11"/>
  <c r="I2996" i="11"/>
  <c r="AE2995" i="11"/>
  <c r="AC2995" i="11"/>
  <c r="Z2995" i="11"/>
  <c r="Y2995" i="11"/>
  <c r="X2995" i="11"/>
  <c r="W2995" i="11"/>
  <c r="V2995" i="11"/>
  <c r="U2995" i="11"/>
  <c r="T2995" i="11"/>
  <c r="S2995" i="11"/>
  <c r="R2995" i="11"/>
  <c r="P2995" i="11"/>
  <c r="O2995" i="11"/>
  <c r="N2995" i="11"/>
  <c r="M2995" i="11"/>
  <c r="L2995" i="11"/>
  <c r="K2995" i="11"/>
  <c r="J2995" i="11"/>
  <c r="I2995" i="11"/>
  <c r="AE2994" i="11"/>
  <c r="AC2994" i="11"/>
  <c r="Z2994" i="11"/>
  <c r="Y2994" i="11"/>
  <c r="X2994" i="11"/>
  <c r="W2994" i="11"/>
  <c r="V2994" i="11"/>
  <c r="U2994" i="11"/>
  <c r="T2994" i="11"/>
  <c r="S2994" i="11"/>
  <c r="R2994" i="11"/>
  <c r="P2994" i="11"/>
  <c r="O2994" i="11"/>
  <c r="N2994" i="11"/>
  <c r="M2994" i="11"/>
  <c r="L2994" i="11"/>
  <c r="K2994" i="11"/>
  <c r="J2994" i="11"/>
  <c r="I2994" i="11"/>
  <c r="AE2993" i="11"/>
  <c r="AC2993" i="11"/>
  <c r="Z2993" i="11"/>
  <c r="Y2993" i="11"/>
  <c r="X2993" i="11"/>
  <c r="W2993" i="11"/>
  <c r="V2993" i="11"/>
  <c r="U2993" i="11"/>
  <c r="T2993" i="11"/>
  <c r="S2993" i="11"/>
  <c r="R2993" i="11"/>
  <c r="P2993" i="11"/>
  <c r="O2993" i="11"/>
  <c r="N2993" i="11"/>
  <c r="M2993" i="11"/>
  <c r="L2993" i="11"/>
  <c r="K2993" i="11"/>
  <c r="J2993" i="11"/>
  <c r="I2993" i="11"/>
  <c r="AE2992" i="11"/>
  <c r="AC2992" i="11"/>
  <c r="Z2992" i="11"/>
  <c r="Y2992" i="11"/>
  <c r="X2992" i="11"/>
  <c r="W2992" i="11"/>
  <c r="V2992" i="11"/>
  <c r="U2992" i="11"/>
  <c r="T2992" i="11"/>
  <c r="S2992" i="11"/>
  <c r="R2992" i="11"/>
  <c r="P2992" i="11"/>
  <c r="O2992" i="11"/>
  <c r="N2992" i="11"/>
  <c r="M2992" i="11"/>
  <c r="L2992" i="11"/>
  <c r="K2992" i="11"/>
  <c r="J2992" i="11"/>
  <c r="I2992" i="11"/>
  <c r="AE2991" i="11"/>
  <c r="AC2991" i="11"/>
  <c r="Z2991" i="11"/>
  <c r="Y2991" i="11"/>
  <c r="X2991" i="11"/>
  <c r="W2991" i="11"/>
  <c r="V2991" i="11"/>
  <c r="U2991" i="11"/>
  <c r="T2991" i="11"/>
  <c r="S2991" i="11"/>
  <c r="R2991" i="11"/>
  <c r="P2991" i="11"/>
  <c r="O2991" i="11"/>
  <c r="N2991" i="11"/>
  <c r="M2991" i="11"/>
  <c r="L2991" i="11"/>
  <c r="K2991" i="11"/>
  <c r="J2991" i="11"/>
  <c r="I2991" i="11"/>
  <c r="AE2990" i="11"/>
  <c r="AC2990" i="11"/>
  <c r="Z2990" i="11"/>
  <c r="Y2990" i="11"/>
  <c r="X2990" i="11"/>
  <c r="W2990" i="11"/>
  <c r="V2990" i="11"/>
  <c r="U2990" i="11"/>
  <c r="T2990" i="11"/>
  <c r="S2990" i="11"/>
  <c r="R2990" i="11"/>
  <c r="P2990" i="11"/>
  <c r="O2990" i="11"/>
  <c r="N2990" i="11"/>
  <c r="M2990" i="11"/>
  <c r="L2990" i="11"/>
  <c r="K2990" i="11"/>
  <c r="J2990" i="11"/>
  <c r="I2990" i="11"/>
  <c r="AE2989" i="11"/>
  <c r="AC2989" i="11"/>
  <c r="Z2989" i="11"/>
  <c r="Y2989" i="11"/>
  <c r="X2989" i="11"/>
  <c r="W2989" i="11"/>
  <c r="V2989" i="11"/>
  <c r="U2989" i="11"/>
  <c r="T2989" i="11"/>
  <c r="S2989" i="11"/>
  <c r="R2989" i="11"/>
  <c r="P2989" i="11"/>
  <c r="O2989" i="11"/>
  <c r="N2989" i="11"/>
  <c r="M2989" i="11"/>
  <c r="L2989" i="11"/>
  <c r="K2989" i="11"/>
  <c r="J2989" i="11"/>
  <c r="I2989" i="11"/>
  <c r="AE2988" i="11"/>
  <c r="AC2988" i="11"/>
  <c r="Z2988" i="11"/>
  <c r="Y2988" i="11"/>
  <c r="X2988" i="11"/>
  <c r="W2988" i="11"/>
  <c r="V2988" i="11"/>
  <c r="U2988" i="11"/>
  <c r="T2988" i="11"/>
  <c r="S2988" i="11"/>
  <c r="R2988" i="11"/>
  <c r="P2988" i="11"/>
  <c r="O2988" i="11"/>
  <c r="N2988" i="11"/>
  <c r="M2988" i="11"/>
  <c r="L2988" i="11"/>
  <c r="K2988" i="11"/>
  <c r="J2988" i="11"/>
  <c r="I2988" i="11"/>
  <c r="AE2987" i="11"/>
  <c r="AC2987" i="11"/>
  <c r="Z2987" i="11"/>
  <c r="Y2987" i="11"/>
  <c r="X2987" i="11"/>
  <c r="W2987" i="11"/>
  <c r="V2987" i="11"/>
  <c r="U2987" i="11"/>
  <c r="T2987" i="11"/>
  <c r="S2987" i="11"/>
  <c r="R2987" i="11"/>
  <c r="P2987" i="11"/>
  <c r="O2987" i="11"/>
  <c r="N2987" i="11"/>
  <c r="M2987" i="11"/>
  <c r="L2987" i="11"/>
  <c r="K2987" i="11"/>
  <c r="J2987" i="11"/>
  <c r="I2987" i="11"/>
  <c r="AE2986" i="11"/>
  <c r="AC2986" i="11"/>
  <c r="Z2986" i="11"/>
  <c r="Y2986" i="11"/>
  <c r="X2986" i="11"/>
  <c r="W2986" i="11"/>
  <c r="V2986" i="11"/>
  <c r="U2986" i="11"/>
  <c r="T2986" i="11"/>
  <c r="S2986" i="11"/>
  <c r="R2986" i="11"/>
  <c r="P2986" i="11"/>
  <c r="O2986" i="11"/>
  <c r="N2986" i="11"/>
  <c r="M2986" i="11"/>
  <c r="L2986" i="11"/>
  <c r="K2986" i="11"/>
  <c r="J2986" i="11"/>
  <c r="I2986" i="11"/>
  <c r="AE2985" i="11"/>
  <c r="AC2985" i="11"/>
  <c r="Z2985" i="11"/>
  <c r="Y2985" i="11"/>
  <c r="X2985" i="11"/>
  <c r="W2985" i="11"/>
  <c r="V2985" i="11"/>
  <c r="U2985" i="11"/>
  <c r="T2985" i="11"/>
  <c r="S2985" i="11"/>
  <c r="R2985" i="11"/>
  <c r="P2985" i="11"/>
  <c r="O2985" i="11"/>
  <c r="N2985" i="11"/>
  <c r="M2985" i="11"/>
  <c r="L2985" i="11"/>
  <c r="K2985" i="11"/>
  <c r="J2985" i="11"/>
  <c r="I2985" i="11"/>
  <c r="AE2984" i="11"/>
  <c r="AC2984" i="11"/>
  <c r="Z2984" i="11"/>
  <c r="Y2984" i="11"/>
  <c r="X2984" i="11"/>
  <c r="W2984" i="11"/>
  <c r="V2984" i="11"/>
  <c r="U2984" i="11"/>
  <c r="T2984" i="11"/>
  <c r="S2984" i="11"/>
  <c r="R2984" i="11"/>
  <c r="P2984" i="11"/>
  <c r="O2984" i="11"/>
  <c r="N2984" i="11"/>
  <c r="M2984" i="11"/>
  <c r="L2984" i="11"/>
  <c r="K2984" i="11"/>
  <c r="J2984" i="11"/>
  <c r="I2984" i="11"/>
  <c r="AE2983" i="11"/>
  <c r="AC2983" i="11"/>
  <c r="Z2983" i="11"/>
  <c r="Y2983" i="11"/>
  <c r="X2983" i="11"/>
  <c r="W2983" i="11"/>
  <c r="V2983" i="11"/>
  <c r="U2983" i="11"/>
  <c r="T2983" i="11"/>
  <c r="S2983" i="11"/>
  <c r="R2983" i="11"/>
  <c r="P2983" i="11"/>
  <c r="O2983" i="11"/>
  <c r="N2983" i="11"/>
  <c r="M2983" i="11"/>
  <c r="L2983" i="11"/>
  <c r="K2983" i="11"/>
  <c r="J2983" i="11"/>
  <c r="I2983" i="11"/>
  <c r="AE2982" i="11"/>
  <c r="AC2982" i="11"/>
  <c r="Z2982" i="11"/>
  <c r="Y2982" i="11"/>
  <c r="X2982" i="11"/>
  <c r="W2982" i="11"/>
  <c r="V2982" i="11"/>
  <c r="U2982" i="11"/>
  <c r="T2982" i="11"/>
  <c r="S2982" i="11"/>
  <c r="R2982" i="11"/>
  <c r="P2982" i="11"/>
  <c r="O2982" i="11"/>
  <c r="N2982" i="11"/>
  <c r="M2982" i="11"/>
  <c r="L2982" i="11"/>
  <c r="K2982" i="11"/>
  <c r="J2982" i="11"/>
  <c r="I2982" i="11"/>
  <c r="AE2981" i="11"/>
  <c r="AC2981" i="11"/>
  <c r="Z2981" i="11"/>
  <c r="Y2981" i="11"/>
  <c r="X2981" i="11"/>
  <c r="W2981" i="11"/>
  <c r="V2981" i="11"/>
  <c r="U2981" i="11"/>
  <c r="T2981" i="11"/>
  <c r="S2981" i="11"/>
  <c r="R2981" i="11"/>
  <c r="P2981" i="11"/>
  <c r="O2981" i="11"/>
  <c r="N2981" i="11"/>
  <c r="M2981" i="11"/>
  <c r="L2981" i="11"/>
  <c r="K2981" i="11"/>
  <c r="J2981" i="11"/>
  <c r="I2981" i="11"/>
  <c r="AE2980" i="11"/>
  <c r="AC2980" i="11"/>
  <c r="Z2980" i="11"/>
  <c r="Y2980" i="11"/>
  <c r="X2980" i="11"/>
  <c r="W2980" i="11"/>
  <c r="V2980" i="11"/>
  <c r="U2980" i="11"/>
  <c r="T2980" i="11"/>
  <c r="S2980" i="11"/>
  <c r="R2980" i="11"/>
  <c r="P2980" i="11"/>
  <c r="O2980" i="11"/>
  <c r="N2980" i="11"/>
  <c r="M2980" i="11"/>
  <c r="L2980" i="11"/>
  <c r="K2980" i="11"/>
  <c r="J2980" i="11"/>
  <c r="I2980" i="11"/>
  <c r="AE2979" i="11"/>
  <c r="AC2979" i="11"/>
  <c r="Z2979" i="11"/>
  <c r="Y2979" i="11"/>
  <c r="X2979" i="11"/>
  <c r="W2979" i="11"/>
  <c r="V2979" i="11"/>
  <c r="U2979" i="11"/>
  <c r="T2979" i="11"/>
  <c r="S2979" i="11"/>
  <c r="R2979" i="11"/>
  <c r="P2979" i="11"/>
  <c r="O2979" i="11"/>
  <c r="N2979" i="11"/>
  <c r="M2979" i="11"/>
  <c r="L2979" i="11"/>
  <c r="K2979" i="11"/>
  <c r="J2979" i="11"/>
  <c r="I2979" i="11"/>
  <c r="AE2978" i="11"/>
  <c r="AC2978" i="11"/>
  <c r="Z2978" i="11"/>
  <c r="Y2978" i="11"/>
  <c r="X2978" i="11"/>
  <c r="W2978" i="11"/>
  <c r="V2978" i="11"/>
  <c r="U2978" i="11"/>
  <c r="T2978" i="11"/>
  <c r="S2978" i="11"/>
  <c r="R2978" i="11"/>
  <c r="P2978" i="11"/>
  <c r="O2978" i="11"/>
  <c r="N2978" i="11"/>
  <c r="M2978" i="11"/>
  <c r="L2978" i="11"/>
  <c r="K2978" i="11"/>
  <c r="J2978" i="11"/>
  <c r="I2978" i="11"/>
  <c r="AE2977" i="11"/>
  <c r="AC2977" i="11"/>
  <c r="Z2977" i="11"/>
  <c r="Y2977" i="11"/>
  <c r="X2977" i="11"/>
  <c r="W2977" i="11"/>
  <c r="V2977" i="11"/>
  <c r="U2977" i="11"/>
  <c r="T2977" i="11"/>
  <c r="S2977" i="11"/>
  <c r="R2977" i="11"/>
  <c r="P2977" i="11"/>
  <c r="O2977" i="11"/>
  <c r="N2977" i="11"/>
  <c r="M2977" i="11"/>
  <c r="L2977" i="11"/>
  <c r="K2977" i="11"/>
  <c r="J2977" i="11"/>
  <c r="I2977" i="11"/>
  <c r="AE2976" i="11"/>
  <c r="AC2976" i="11"/>
  <c r="Z2976" i="11"/>
  <c r="Y2976" i="11"/>
  <c r="X2976" i="11"/>
  <c r="W2976" i="11"/>
  <c r="V2976" i="11"/>
  <c r="U2976" i="11"/>
  <c r="T2976" i="11"/>
  <c r="S2976" i="11"/>
  <c r="R2976" i="11"/>
  <c r="P2976" i="11"/>
  <c r="O2976" i="11"/>
  <c r="N2976" i="11"/>
  <c r="M2976" i="11"/>
  <c r="L2976" i="11"/>
  <c r="K2976" i="11"/>
  <c r="J2976" i="11"/>
  <c r="I2976" i="11"/>
  <c r="AE2975" i="11"/>
  <c r="AC2975" i="11"/>
  <c r="Z2975" i="11"/>
  <c r="Y2975" i="11"/>
  <c r="X2975" i="11"/>
  <c r="W2975" i="11"/>
  <c r="V2975" i="11"/>
  <c r="U2975" i="11"/>
  <c r="T2975" i="11"/>
  <c r="S2975" i="11"/>
  <c r="R2975" i="11"/>
  <c r="P2975" i="11"/>
  <c r="O2975" i="11"/>
  <c r="N2975" i="11"/>
  <c r="M2975" i="11"/>
  <c r="L2975" i="11"/>
  <c r="K2975" i="11"/>
  <c r="J2975" i="11"/>
  <c r="I2975" i="11"/>
  <c r="AE2974" i="11"/>
  <c r="AC2974" i="11"/>
  <c r="Z2974" i="11"/>
  <c r="Y2974" i="11"/>
  <c r="X2974" i="11"/>
  <c r="W2974" i="11"/>
  <c r="V2974" i="11"/>
  <c r="U2974" i="11"/>
  <c r="T2974" i="11"/>
  <c r="S2974" i="11"/>
  <c r="R2974" i="11"/>
  <c r="P2974" i="11"/>
  <c r="O2974" i="11"/>
  <c r="N2974" i="11"/>
  <c r="M2974" i="11"/>
  <c r="L2974" i="11"/>
  <c r="K2974" i="11"/>
  <c r="J2974" i="11"/>
  <c r="I2974" i="11"/>
  <c r="AE2973" i="11"/>
  <c r="AC2973" i="11"/>
  <c r="Z2973" i="11"/>
  <c r="Y2973" i="11"/>
  <c r="X2973" i="11"/>
  <c r="W2973" i="11"/>
  <c r="V2973" i="11"/>
  <c r="U2973" i="11"/>
  <c r="T2973" i="11"/>
  <c r="S2973" i="11"/>
  <c r="R2973" i="11"/>
  <c r="P2973" i="11"/>
  <c r="O2973" i="11"/>
  <c r="N2973" i="11"/>
  <c r="M2973" i="11"/>
  <c r="L2973" i="11"/>
  <c r="K2973" i="11"/>
  <c r="J2973" i="11"/>
  <c r="I2973" i="11"/>
  <c r="AE2972" i="11"/>
  <c r="AC2972" i="11"/>
  <c r="Z2972" i="11"/>
  <c r="Y2972" i="11"/>
  <c r="X2972" i="11"/>
  <c r="W2972" i="11"/>
  <c r="V2972" i="11"/>
  <c r="U2972" i="11"/>
  <c r="T2972" i="11"/>
  <c r="S2972" i="11"/>
  <c r="R2972" i="11"/>
  <c r="P2972" i="11"/>
  <c r="O2972" i="11"/>
  <c r="N2972" i="11"/>
  <c r="M2972" i="11"/>
  <c r="L2972" i="11"/>
  <c r="K2972" i="11"/>
  <c r="J2972" i="11"/>
  <c r="I2972" i="11"/>
  <c r="AE2971" i="11"/>
  <c r="AC2971" i="11"/>
  <c r="Z2971" i="11"/>
  <c r="Y2971" i="11"/>
  <c r="X2971" i="11"/>
  <c r="W2971" i="11"/>
  <c r="V2971" i="11"/>
  <c r="U2971" i="11"/>
  <c r="T2971" i="11"/>
  <c r="S2971" i="11"/>
  <c r="R2971" i="11"/>
  <c r="P2971" i="11"/>
  <c r="O2971" i="11"/>
  <c r="N2971" i="11"/>
  <c r="M2971" i="11"/>
  <c r="L2971" i="11"/>
  <c r="K2971" i="11"/>
  <c r="J2971" i="11"/>
  <c r="I2971" i="11"/>
  <c r="AE2970" i="11"/>
  <c r="AC2970" i="11"/>
  <c r="Z2970" i="11"/>
  <c r="Y2970" i="11"/>
  <c r="X2970" i="11"/>
  <c r="W2970" i="11"/>
  <c r="V2970" i="11"/>
  <c r="U2970" i="11"/>
  <c r="T2970" i="11"/>
  <c r="S2970" i="11"/>
  <c r="R2970" i="11"/>
  <c r="P2970" i="11"/>
  <c r="O2970" i="11"/>
  <c r="N2970" i="11"/>
  <c r="M2970" i="11"/>
  <c r="L2970" i="11"/>
  <c r="K2970" i="11"/>
  <c r="J2970" i="11"/>
  <c r="I2970" i="11"/>
  <c r="AE2969" i="11"/>
  <c r="AC2969" i="11"/>
  <c r="Z2969" i="11"/>
  <c r="Y2969" i="11"/>
  <c r="X2969" i="11"/>
  <c r="W2969" i="11"/>
  <c r="V2969" i="11"/>
  <c r="U2969" i="11"/>
  <c r="T2969" i="11"/>
  <c r="S2969" i="11"/>
  <c r="R2969" i="11"/>
  <c r="P2969" i="11"/>
  <c r="O2969" i="11"/>
  <c r="N2969" i="11"/>
  <c r="M2969" i="11"/>
  <c r="L2969" i="11"/>
  <c r="K2969" i="11"/>
  <c r="J2969" i="11"/>
  <c r="I2969" i="11"/>
  <c r="AE2968" i="11"/>
  <c r="AC2968" i="11"/>
  <c r="Z2968" i="11"/>
  <c r="Y2968" i="11"/>
  <c r="X2968" i="11"/>
  <c r="W2968" i="11"/>
  <c r="V2968" i="11"/>
  <c r="U2968" i="11"/>
  <c r="T2968" i="11"/>
  <c r="S2968" i="11"/>
  <c r="R2968" i="11"/>
  <c r="P2968" i="11"/>
  <c r="O2968" i="11"/>
  <c r="N2968" i="11"/>
  <c r="M2968" i="11"/>
  <c r="L2968" i="11"/>
  <c r="K2968" i="11"/>
  <c r="J2968" i="11"/>
  <c r="I2968" i="11"/>
  <c r="AE2967" i="11"/>
  <c r="AC2967" i="11"/>
  <c r="Z2967" i="11"/>
  <c r="Y2967" i="11"/>
  <c r="X2967" i="11"/>
  <c r="W2967" i="11"/>
  <c r="V2967" i="11"/>
  <c r="U2967" i="11"/>
  <c r="T2967" i="11"/>
  <c r="S2967" i="11"/>
  <c r="R2967" i="11"/>
  <c r="P2967" i="11"/>
  <c r="O2967" i="11"/>
  <c r="N2967" i="11"/>
  <c r="M2967" i="11"/>
  <c r="L2967" i="11"/>
  <c r="K2967" i="11"/>
  <c r="J2967" i="11"/>
  <c r="I2967" i="11"/>
  <c r="AE2966" i="11"/>
  <c r="AC2966" i="11"/>
  <c r="Z2966" i="11"/>
  <c r="Y2966" i="11"/>
  <c r="X2966" i="11"/>
  <c r="W2966" i="11"/>
  <c r="V2966" i="11"/>
  <c r="U2966" i="11"/>
  <c r="T2966" i="11"/>
  <c r="S2966" i="11"/>
  <c r="R2966" i="11"/>
  <c r="P2966" i="11"/>
  <c r="O2966" i="11"/>
  <c r="N2966" i="11"/>
  <c r="M2966" i="11"/>
  <c r="L2966" i="11"/>
  <c r="K2966" i="11"/>
  <c r="J2966" i="11"/>
  <c r="I2966" i="11"/>
  <c r="AE2965" i="11"/>
  <c r="AC2965" i="11"/>
  <c r="Z2965" i="11"/>
  <c r="Y2965" i="11"/>
  <c r="X2965" i="11"/>
  <c r="W2965" i="11"/>
  <c r="V2965" i="11"/>
  <c r="U2965" i="11"/>
  <c r="T2965" i="11"/>
  <c r="S2965" i="11"/>
  <c r="R2965" i="11"/>
  <c r="P2965" i="11"/>
  <c r="O2965" i="11"/>
  <c r="N2965" i="11"/>
  <c r="M2965" i="11"/>
  <c r="L2965" i="11"/>
  <c r="K2965" i="11"/>
  <c r="J2965" i="11"/>
  <c r="I2965" i="11"/>
  <c r="AE2964" i="11"/>
  <c r="AC2964" i="11"/>
  <c r="Z2964" i="11"/>
  <c r="Y2964" i="11"/>
  <c r="X2964" i="11"/>
  <c r="W2964" i="11"/>
  <c r="V2964" i="11"/>
  <c r="U2964" i="11"/>
  <c r="T2964" i="11"/>
  <c r="S2964" i="11"/>
  <c r="R2964" i="11"/>
  <c r="P2964" i="11"/>
  <c r="O2964" i="11"/>
  <c r="N2964" i="11"/>
  <c r="M2964" i="11"/>
  <c r="L2964" i="11"/>
  <c r="K2964" i="11"/>
  <c r="J2964" i="11"/>
  <c r="I2964" i="11"/>
  <c r="AE2963" i="11"/>
  <c r="AC2963" i="11"/>
  <c r="Z2963" i="11"/>
  <c r="Y2963" i="11"/>
  <c r="X2963" i="11"/>
  <c r="W2963" i="11"/>
  <c r="V2963" i="11"/>
  <c r="U2963" i="11"/>
  <c r="T2963" i="11"/>
  <c r="S2963" i="11"/>
  <c r="R2963" i="11"/>
  <c r="P2963" i="11"/>
  <c r="O2963" i="11"/>
  <c r="N2963" i="11"/>
  <c r="M2963" i="11"/>
  <c r="L2963" i="11"/>
  <c r="K2963" i="11"/>
  <c r="J2963" i="11"/>
  <c r="I2963" i="11"/>
  <c r="AE2962" i="11"/>
  <c r="AC2962" i="11"/>
  <c r="Z2962" i="11"/>
  <c r="Y2962" i="11"/>
  <c r="X2962" i="11"/>
  <c r="W2962" i="11"/>
  <c r="V2962" i="11"/>
  <c r="U2962" i="11"/>
  <c r="T2962" i="11"/>
  <c r="S2962" i="11"/>
  <c r="R2962" i="11"/>
  <c r="P2962" i="11"/>
  <c r="O2962" i="11"/>
  <c r="N2962" i="11"/>
  <c r="M2962" i="11"/>
  <c r="L2962" i="11"/>
  <c r="K2962" i="11"/>
  <c r="J2962" i="11"/>
  <c r="I2962" i="11"/>
  <c r="AE2961" i="11"/>
  <c r="AC2961" i="11"/>
  <c r="Z2961" i="11"/>
  <c r="Y2961" i="11"/>
  <c r="X2961" i="11"/>
  <c r="W2961" i="11"/>
  <c r="V2961" i="11"/>
  <c r="U2961" i="11"/>
  <c r="T2961" i="11"/>
  <c r="S2961" i="11"/>
  <c r="R2961" i="11"/>
  <c r="P2961" i="11"/>
  <c r="O2961" i="11"/>
  <c r="N2961" i="11"/>
  <c r="M2961" i="11"/>
  <c r="L2961" i="11"/>
  <c r="K2961" i="11"/>
  <c r="J2961" i="11"/>
  <c r="I2961" i="11"/>
  <c r="AE2960" i="11"/>
  <c r="AC2960" i="11"/>
  <c r="Z2960" i="11"/>
  <c r="Y2960" i="11"/>
  <c r="X2960" i="11"/>
  <c r="W2960" i="11"/>
  <c r="V2960" i="11"/>
  <c r="U2960" i="11"/>
  <c r="T2960" i="11"/>
  <c r="S2960" i="11"/>
  <c r="R2960" i="11"/>
  <c r="P2960" i="11"/>
  <c r="O2960" i="11"/>
  <c r="N2960" i="11"/>
  <c r="M2960" i="11"/>
  <c r="L2960" i="11"/>
  <c r="K2960" i="11"/>
  <c r="J2960" i="11"/>
  <c r="I2960" i="11"/>
  <c r="AE2959" i="11"/>
  <c r="AC2959" i="11"/>
  <c r="Z2959" i="11"/>
  <c r="Y2959" i="11"/>
  <c r="X2959" i="11"/>
  <c r="W2959" i="11"/>
  <c r="V2959" i="11"/>
  <c r="U2959" i="11"/>
  <c r="T2959" i="11"/>
  <c r="S2959" i="11"/>
  <c r="R2959" i="11"/>
  <c r="P2959" i="11"/>
  <c r="O2959" i="11"/>
  <c r="N2959" i="11"/>
  <c r="M2959" i="11"/>
  <c r="L2959" i="11"/>
  <c r="K2959" i="11"/>
  <c r="J2959" i="11"/>
  <c r="I2959" i="11"/>
  <c r="AE2958" i="11"/>
  <c r="AC2958" i="11"/>
  <c r="Z2958" i="11"/>
  <c r="Y2958" i="11"/>
  <c r="X2958" i="11"/>
  <c r="W2958" i="11"/>
  <c r="V2958" i="11"/>
  <c r="U2958" i="11"/>
  <c r="T2958" i="11"/>
  <c r="S2958" i="11"/>
  <c r="R2958" i="11"/>
  <c r="P2958" i="11"/>
  <c r="O2958" i="11"/>
  <c r="N2958" i="11"/>
  <c r="M2958" i="11"/>
  <c r="L2958" i="11"/>
  <c r="K2958" i="11"/>
  <c r="J2958" i="11"/>
  <c r="I2958" i="11"/>
  <c r="AE2957" i="11"/>
  <c r="AC2957" i="11"/>
  <c r="Z2957" i="11"/>
  <c r="Y2957" i="11"/>
  <c r="X2957" i="11"/>
  <c r="W2957" i="11"/>
  <c r="V2957" i="11"/>
  <c r="U2957" i="11"/>
  <c r="T2957" i="11"/>
  <c r="S2957" i="11"/>
  <c r="R2957" i="11"/>
  <c r="P2957" i="11"/>
  <c r="O2957" i="11"/>
  <c r="N2957" i="11"/>
  <c r="M2957" i="11"/>
  <c r="L2957" i="11"/>
  <c r="K2957" i="11"/>
  <c r="J2957" i="11"/>
  <c r="I2957" i="11"/>
  <c r="AE2956" i="11"/>
  <c r="AC2956" i="11"/>
  <c r="Z2956" i="11"/>
  <c r="Y2956" i="11"/>
  <c r="X2956" i="11"/>
  <c r="W2956" i="11"/>
  <c r="V2956" i="11"/>
  <c r="U2956" i="11"/>
  <c r="T2956" i="11"/>
  <c r="S2956" i="11"/>
  <c r="R2956" i="11"/>
  <c r="P2956" i="11"/>
  <c r="O2956" i="11"/>
  <c r="N2956" i="11"/>
  <c r="M2956" i="11"/>
  <c r="L2956" i="11"/>
  <c r="K2956" i="11"/>
  <c r="J2956" i="11"/>
  <c r="I2956" i="11"/>
  <c r="AE2955" i="11"/>
  <c r="AC2955" i="11"/>
  <c r="Z2955" i="11"/>
  <c r="Y2955" i="11"/>
  <c r="X2955" i="11"/>
  <c r="W2955" i="11"/>
  <c r="V2955" i="11"/>
  <c r="U2955" i="11"/>
  <c r="T2955" i="11"/>
  <c r="S2955" i="11"/>
  <c r="R2955" i="11"/>
  <c r="P2955" i="11"/>
  <c r="O2955" i="11"/>
  <c r="N2955" i="11"/>
  <c r="M2955" i="11"/>
  <c r="L2955" i="11"/>
  <c r="K2955" i="11"/>
  <c r="J2955" i="11"/>
  <c r="I2955" i="11"/>
  <c r="AE2954" i="11"/>
  <c r="AC2954" i="11"/>
  <c r="Z2954" i="11"/>
  <c r="Y2954" i="11"/>
  <c r="X2954" i="11"/>
  <c r="W2954" i="11"/>
  <c r="V2954" i="11"/>
  <c r="U2954" i="11"/>
  <c r="T2954" i="11"/>
  <c r="S2954" i="11"/>
  <c r="R2954" i="11"/>
  <c r="P2954" i="11"/>
  <c r="O2954" i="11"/>
  <c r="N2954" i="11"/>
  <c r="M2954" i="11"/>
  <c r="L2954" i="11"/>
  <c r="K2954" i="11"/>
  <c r="J2954" i="11"/>
  <c r="I2954" i="11"/>
  <c r="AE2953" i="11"/>
  <c r="AC2953" i="11"/>
  <c r="Z2953" i="11"/>
  <c r="Y2953" i="11"/>
  <c r="X2953" i="11"/>
  <c r="W2953" i="11"/>
  <c r="V2953" i="11"/>
  <c r="U2953" i="11"/>
  <c r="T2953" i="11"/>
  <c r="S2953" i="11"/>
  <c r="R2953" i="11"/>
  <c r="P2953" i="11"/>
  <c r="O2953" i="11"/>
  <c r="N2953" i="11"/>
  <c r="M2953" i="11"/>
  <c r="L2953" i="11"/>
  <c r="K2953" i="11"/>
  <c r="J2953" i="11"/>
  <c r="I2953" i="11"/>
  <c r="AE2952" i="11"/>
  <c r="AC2952" i="11"/>
  <c r="Z2952" i="11"/>
  <c r="Y2952" i="11"/>
  <c r="X2952" i="11"/>
  <c r="W2952" i="11"/>
  <c r="V2952" i="11"/>
  <c r="U2952" i="11"/>
  <c r="T2952" i="11"/>
  <c r="S2952" i="11"/>
  <c r="R2952" i="11"/>
  <c r="P2952" i="11"/>
  <c r="O2952" i="11"/>
  <c r="N2952" i="11"/>
  <c r="M2952" i="11"/>
  <c r="L2952" i="11"/>
  <c r="K2952" i="11"/>
  <c r="J2952" i="11"/>
  <c r="I2952" i="11"/>
  <c r="AE2951" i="11"/>
  <c r="AC2951" i="11"/>
  <c r="Z2951" i="11"/>
  <c r="Y2951" i="11"/>
  <c r="X2951" i="11"/>
  <c r="W2951" i="11"/>
  <c r="V2951" i="11"/>
  <c r="U2951" i="11"/>
  <c r="T2951" i="11"/>
  <c r="S2951" i="11"/>
  <c r="R2951" i="11"/>
  <c r="P2951" i="11"/>
  <c r="O2951" i="11"/>
  <c r="N2951" i="11"/>
  <c r="M2951" i="11"/>
  <c r="L2951" i="11"/>
  <c r="K2951" i="11"/>
  <c r="J2951" i="11"/>
  <c r="I2951" i="11"/>
  <c r="AE2950" i="11"/>
  <c r="AC2950" i="11"/>
  <c r="Z2950" i="11"/>
  <c r="Y2950" i="11"/>
  <c r="X2950" i="11"/>
  <c r="W2950" i="11"/>
  <c r="V2950" i="11"/>
  <c r="U2950" i="11"/>
  <c r="T2950" i="11"/>
  <c r="S2950" i="11"/>
  <c r="R2950" i="11"/>
  <c r="P2950" i="11"/>
  <c r="O2950" i="11"/>
  <c r="N2950" i="11"/>
  <c r="M2950" i="11"/>
  <c r="L2950" i="11"/>
  <c r="K2950" i="11"/>
  <c r="J2950" i="11"/>
  <c r="I2950" i="11"/>
  <c r="AE2949" i="11"/>
  <c r="AC2949" i="11"/>
  <c r="Z2949" i="11"/>
  <c r="Y2949" i="11"/>
  <c r="X2949" i="11"/>
  <c r="W2949" i="11"/>
  <c r="V2949" i="11"/>
  <c r="U2949" i="11"/>
  <c r="T2949" i="11"/>
  <c r="S2949" i="11"/>
  <c r="R2949" i="11"/>
  <c r="P2949" i="11"/>
  <c r="O2949" i="11"/>
  <c r="N2949" i="11"/>
  <c r="M2949" i="11"/>
  <c r="L2949" i="11"/>
  <c r="K2949" i="11"/>
  <c r="J2949" i="11"/>
  <c r="I2949" i="11"/>
  <c r="AE2948" i="11"/>
  <c r="AC2948" i="11"/>
  <c r="Z2948" i="11"/>
  <c r="Y2948" i="11"/>
  <c r="X2948" i="11"/>
  <c r="W2948" i="11"/>
  <c r="V2948" i="11"/>
  <c r="U2948" i="11"/>
  <c r="T2948" i="11"/>
  <c r="S2948" i="11"/>
  <c r="R2948" i="11"/>
  <c r="P2948" i="11"/>
  <c r="O2948" i="11"/>
  <c r="N2948" i="11"/>
  <c r="M2948" i="11"/>
  <c r="L2948" i="11"/>
  <c r="K2948" i="11"/>
  <c r="J2948" i="11"/>
  <c r="I2948" i="11"/>
  <c r="AE2947" i="11"/>
  <c r="AC2947" i="11"/>
  <c r="Z2947" i="11"/>
  <c r="Y2947" i="11"/>
  <c r="X2947" i="11"/>
  <c r="W2947" i="11"/>
  <c r="V2947" i="11"/>
  <c r="U2947" i="11"/>
  <c r="T2947" i="11"/>
  <c r="S2947" i="11"/>
  <c r="R2947" i="11"/>
  <c r="P2947" i="11"/>
  <c r="O2947" i="11"/>
  <c r="N2947" i="11"/>
  <c r="M2947" i="11"/>
  <c r="L2947" i="11"/>
  <c r="K2947" i="11"/>
  <c r="J2947" i="11"/>
  <c r="I2947" i="11"/>
  <c r="AE2946" i="11"/>
  <c r="AC2946" i="11"/>
  <c r="Z2946" i="11"/>
  <c r="Y2946" i="11"/>
  <c r="X2946" i="11"/>
  <c r="W2946" i="11"/>
  <c r="V2946" i="11"/>
  <c r="U2946" i="11"/>
  <c r="T2946" i="11"/>
  <c r="S2946" i="11"/>
  <c r="R2946" i="11"/>
  <c r="P2946" i="11"/>
  <c r="O2946" i="11"/>
  <c r="N2946" i="11"/>
  <c r="M2946" i="11"/>
  <c r="L2946" i="11"/>
  <c r="K2946" i="11"/>
  <c r="J2946" i="11"/>
  <c r="I2946" i="11"/>
  <c r="AE2945" i="11"/>
  <c r="AC2945" i="11"/>
  <c r="Z2945" i="11"/>
  <c r="Y2945" i="11"/>
  <c r="X2945" i="11"/>
  <c r="W2945" i="11"/>
  <c r="V2945" i="11"/>
  <c r="U2945" i="11"/>
  <c r="T2945" i="11"/>
  <c r="S2945" i="11"/>
  <c r="R2945" i="11"/>
  <c r="P2945" i="11"/>
  <c r="O2945" i="11"/>
  <c r="N2945" i="11"/>
  <c r="M2945" i="11"/>
  <c r="L2945" i="11"/>
  <c r="K2945" i="11"/>
  <c r="J2945" i="11"/>
  <c r="I2945" i="11"/>
  <c r="AE2944" i="11"/>
  <c r="AC2944" i="11"/>
  <c r="Z2944" i="11"/>
  <c r="Y2944" i="11"/>
  <c r="X2944" i="11"/>
  <c r="W2944" i="11"/>
  <c r="V2944" i="11"/>
  <c r="U2944" i="11"/>
  <c r="T2944" i="11"/>
  <c r="S2944" i="11"/>
  <c r="R2944" i="11"/>
  <c r="P2944" i="11"/>
  <c r="O2944" i="11"/>
  <c r="N2944" i="11"/>
  <c r="M2944" i="11"/>
  <c r="L2944" i="11"/>
  <c r="K2944" i="11"/>
  <c r="J2944" i="11"/>
  <c r="I2944" i="11"/>
  <c r="AE2943" i="11"/>
  <c r="AC2943" i="11"/>
  <c r="Z2943" i="11"/>
  <c r="Y2943" i="11"/>
  <c r="X2943" i="11"/>
  <c r="W2943" i="11"/>
  <c r="V2943" i="11"/>
  <c r="U2943" i="11"/>
  <c r="T2943" i="11"/>
  <c r="S2943" i="11"/>
  <c r="R2943" i="11"/>
  <c r="P2943" i="11"/>
  <c r="O2943" i="11"/>
  <c r="N2943" i="11"/>
  <c r="M2943" i="11"/>
  <c r="L2943" i="11"/>
  <c r="K2943" i="11"/>
  <c r="J2943" i="11"/>
  <c r="I2943" i="11"/>
  <c r="AE2942" i="11"/>
  <c r="AC2942" i="11"/>
  <c r="Z2942" i="11"/>
  <c r="Y2942" i="11"/>
  <c r="X2942" i="11"/>
  <c r="W2942" i="11"/>
  <c r="V2942" i="11"/>
  <c r="U2942" i="11"/>
  <c r="T2942" i="11"/>
  <c r="S2942" i="11"/>
  <c r="R2942" i="11"/>
  <c r="P2942" i="11"/>
  <c r="O2942" i="11"/>
  <c r="N2942" i="11"/>
  <c r="M2942" i="11"/>
  <c r="L2942" i="11"/>
  <c r="K2942" i="11"/>
  <c r="J2942" i="11"/>
  <c r="I2942" i="11"/>
  <c r="AE2941" i="11"/>
  <c r="AC2941" i="11"/>
  <c r="Z2941" i="11"/>
  <c r="Y2941" i="11"/>
  <c r="X2941" i="11"/>
  <c r="W2941" i="11"/>
  <c r="V2941" i="11"/>
  <c r="U2941" i="11"/>
  <c r="T2941" i="11"/>
  <c r="S2941" i="11"/>
  <c r="R2941" i="11"/>
  <c r="P2941" i="11"/>
  <c r="O2941" i="11"/>
  <c r="N2941" i="11"/>
  <c r="M2941" i="11"/>
  <c r="L2941" i="11"/>
  <c r="K2941" i="11"/>
  <c r="J2941" i="11"/>
  <c r="I2941" i="11"/>
  <c r="AE2940" i="11"/>
  <c r="AC2940" i="11"/>
  <c r="Z2940" i="11"/>
  <c r="Y2940" i="11"/>
  <c r="X2940" i="11"/>
  <c r="W2940" i="11"/>
  <c r="V2940" i="11"/>
  <c r="U2940" i="11"/>
  <c r="T2940" i="11"/>
  <c r="S2940" i="11"/>
  <c r="R2940" i="11"/>
  <c r="P2940" i="11"/>
  <c r="O2940" i="11"/>
  <c r="N2940" i="11"/>
  <c r="M2940" i="11"/>
  <c r="L2940" i="11"/>
  <c r="K2940" i="11"/>
  <c r="J2940" i="11"/>
  <c r="I2940" i="11"/>
  <c r="AE2939" i="11"/>
  <c r="AC2939" i="11"/>
  <c r="Z2939" i="11"/>
  <c r="Y2939" i="11"/>
  <c r="X2939" i="11"/>
  <c r="W2939" i="11"/>
  <c r="V2939" i="11"/>
  <c r="U2939" i="11"/>
  <c r="T2939" i="11"/>
  <c r="S2939" i="11"/>
  <c r="R2939" i="11"/>
  <c r="P2939" i="11"/>
  <c r="O2939" i="11"/>
  <c r="N2939" i="11"/>
  <c r="M2939" i="11"/>
  <c r="L2939" i="11"/>
  <c r="K2939" i="11"/>
  <c r="J2939" i="11"/>
  <c r="I2939" i="11"/>
  <c r="AE2938" i="11"/>
  <c r="AC2938" i="11"/>
  <c r="Z2938" i="11"/>
  <c r="Y2938" i="11"/>
  <c r="X2938" i="11"/>
  <c r="W2938" i="11"/>
  <c r="V2938" i="11"/>
  <c r="U2938" i="11"/>
  <c r="T2938" i="11"/>
  <c r="S2938" i="11"/>
  <c r="R2938" i="11"/>
  <c r="P2938" i="11"/>
  <c r="O2938" i="11"/>
  <c r="N2938" i="11"/>
  <c r="M2938" i="11"/>
  <c r="L2938" i="11"/>
  <c r="K2938" i="11"/>
  <c r="J2938" i="11"/>
  <c r="I2938" i="11"/>
  <c r="AE2937" i="11"/>
  <c r="AC2937" i="11"/>
  <c r="Z2937" i="11"/>
  <c r="Y2937" i="11"/>
  <c r="X2937" i="11"/>
  <c r="W2937" i="11"/>
  <c r="V2937" i="11"/>
  <c r="U2937" i="11"/>
  <c r="T2937" i="11"/>
  <c r="S2937" i="11"/>
  <c r="R2937" i="11"/>
  <c r="P2937" i="11"/>
  <c r="O2937" i="11"/>
  <c r="N2937" i="11"/>
  <c r="M2937" i="11"/>
  <c r="L2937" i="11"/>
  <c r="K2937" i="11"/>
  <c r="J2937" i="11"/>
  <c r="I2937" i="11"/>
  <c r="AE2936" i="11"/>
  <c r="AC2936" i="11"/>
  <c r="Z2936" i="11"/>
  <c r="Y2936" i="11"/>
  <c r="X2936" i="11"/>
  <c r="W2936" i="11"/>
  <c r="V2936" i="11"/>
  <c r="U2936" i="11"/>
  <c r="T2936" i="11"/>
  <c r="S2936" i="11"/>
  <c r="R2936" i="11"/>
  <c r="P2936" i="11"/>
  <c r="O2936" i="11"/>
  <c r="N2936" i="11"/>
  <c r="M2936" i="11"/>
  <c r="L2936" i="11"/>
  <c r="K2936" i="11"/>
  <c r="J2936" i="11"/>
  <c r="I2936" i="11"/>
  <c r="AE2935" i="11"/>
  <c r="AC2935" i="11"/>
  <c r="Z2935" i="11"/>
  <c r="Y2935" i="11"/>
  <c r="X2935" i="11"/>
  <c r="W2935" i="11"/>
  <c r="V2935" i="11"/>
  <c r="U2935" i="11"/>
  <c r="T2935" i="11"/>
  <c r="S2935" i="11"/>
  <c r="R2935" i="11"/>
  <c r="P2935" i="11"/>
  <c r="O2935" i="11"/>
  <c r="N2935" i="11"/>
  <c r="M2935" i="11"/>
  <c r="L2935" i="11"/>
  <c r="K2935" i="11"/>
  <c r="J2935" i="11"/>
  <c r="I2935" i="11"/>
  <c r="AE2934" i="11"/>
  <c r="AC2934" i="11"/>
  <c r="Z2934" i="11"/>
  <c r="Y2934" i="11"/>
  <c r="X2934" i="11"/>
  <c r="W2934" i="11"/>
  <c r="V2934" i="11"/>
  <c r="U2934" i="11"/>
  <c r="T2934" i="11"/>
  <c r="S2934" i="11"/>
  <c r="R2934" i="11"/>
  <c r="P2934" i="11"/>
  <c r="O2934" i="11"/>
  <c r="N2934" i="11"/>
  <c r="M2934" i="11"/>
  <c r="L2934" i="11"/>
  <c r="K2934" i="11"/>
  <c r="J2934" i="11"/>
  <c r="I2934" i="11"/>
  <c r="AE2933" i="11"/>
  <c r="AC2933" i="11"/>
  <c r="Z2933" i="11"/>
  <c r="Y2933" i="11"/>
  <c r="X2933" i="11"/>
  <c r="W2933" i="11"/>
  <c r="V2933" i="11"/>
  <c r="U2933" i="11"/>
  <c r="T2933" i="11"/>
  <c r="S2933" i="11"/>
  <c r="R2933" i="11"/>
  <c r="P2933" i="11"/>
  <c r="O2933" i="11"/>
  <c r="N2933" i="11"/>
  <c r="M2933" i="11"/>
  <c r="L2933" i="11"/>
  <c r="K2933" i="11"/>
  <c r="J2933" i="11"/>
  <c r="I2933" i="11"/>
  <c r="AE2932" i="11"/>
  <c r="AC2932" i="11"/>
  <c r="Z2932" i="11"/>
  <c r="Y2932" i="11"/>
  <c r="X2932" i="11"/>
  <c r="W2932" i="11"/>
  <c r="V2932" i="11"/>
  <c r="U2932" i="11"/>
  <c r="T2932" i="11"/>
  <c r="S2932" i="11"/>
  <c r="R2932" i="11"/>
  <c r="P2932" i="11"/>
  <c r="O2932" i="11"/>
  <c r="N2932" i="11"/>
  <c r="M2932" i="11"/>
  <c r="L2932" i="11"/>
  <c r="K2932" i="11"/>
  <c r="J2932" i="11"/>
  <c r="I2932" i="11"/>
  <c r="AE2931" i="11"/>
  <c r="AC2931" i="11"/>
  <c r="Z2931" i="11"/>
  <c r="Y2931" i="11"/>
  <c r="X2931" i="11"/>
  <c r="W2931" i="11"/>
  <c r="V2931" i="11"/>
  <c r="U2931" i="11"/>
  <c r="T2931" i="11"/>
  <c r="S2931" i="11"/>
  <c r="R2931" i="11"/>
  <c r="P2931" i="11"/>
  <c r="O2931" i="11"/>
  <c r="N2931" i="11"/>
  <c r="M2931" i="11"/>
  <c r="L2931" i="11"/>
  <c r="K2931" i="11"/>
  <c r="J2931" i="11"/>
  <c r="I2931" i="11"/>
  <c r="AE2930" i="11"/>
  <c r="AC2930" i="11"/>
  <c r="Z2930" i="11"/>
  <c r="Y2930" i="11"/>
  <c r="X2930" i="11"/>
  <c r="W2930" i="11"/>
  <c r="V2930" i="11"/>
  <c r="U2930" i="11"/>
  <c r="T2930" i="11"/>
  <c r="S2930" i="11"/>
  <c r="R2930" i="11"/>
  <c r="P2930" i="11"/>
  <c r="O2930" i="11"/>
  <c r="N2930" i="11"/>
  <c r="M2930" i="11"/>
  <c r="L2930" i="11"/>
  <c r="K2930" i="11"/>
  <c r="J2930" i="11"/>
  <c r="I2930" i="11"/>
  <c r="AE2929" i="11"/>
  <c r="AC2929" i="11"/>
  <c r="Z2929" i="11"/>
  <c r="Y2929" i="11"/>
  <c r="X2929" i="11"/>
  <c r="W2929" i="11"/>
  <c r="V2929" i="11"/>
  <c r="U2929" i="11"/>
  <c r="T2929" i="11"/>
  <c r="S2929" i="11"/>
  <c r="R2929" i="11"/>
  <c r="P2929" i="11"/>
  <c r="O2929" i="11"/>
  <c r="N2929" i="11"/>
  <c r="M2929" i="11"/>
  <c r="L2929" i="11"/>
  <c r="K2929" i="11"/>
  <c r="J2929" i="11"/>
  <c r="I2929" i="11"/>
  <c r="AE2928" i="11"/>
  <c r="AC2928" i="11"/>
  <c r="Z2928" i="11"/>
  <c r="Y2928" i="11"/>
  <c r="X2928" i="11"/>
  <c r="W2928" i="11"/>
  <c r="V2928" i="11"/>
  <c r="U2928" i="11"/>
  <c r="T2928" i="11"/>
  <c r="S2928" i="11"/>
  <c r="R2928" i="11"/>
  <c r="P2928" i="11"/>
  <c r="O2928" i="11"/>
  <c r="N2928" i="11"/>
  <c r="M2928" i="11"/>
  <c r="L2928" i="11"/>
  <c r="K2928" i="11"/>
  <c r="J2928" i="11"/>
  <c r="I2928" i="11"/>
  <c r="AE2927" i="11"/>
  <c r="AC2927" i="11"/>
  <c r="Z2927" i="11"/>
  <c r="Y2927" i="11"/>
  <c r="X2927" i="11"/>
  <c r="W2927" i="11"/>
  <c r="V2927" i="11"/>
  <c r="U2927" i="11"/>
  <c r="T2927" i="11"/>
  <c r="S2927" i="11"/>
  <c r="R2927" i="11"/>
  <c r="P2927" i="11"/>
  <c r="O2927" i="11"/>
  <c r="N2927" i="11"/>
  <c r="M2927" i="11"/>
  <c r="L2927" i="11"/>
  <c r="K2927" i="11"/>
  <c r="J2927" i="11"/>
  <c r="I2927" i="11"/>
  <c r="AE2926" i="11"/>
  <c r="AC2926" i="11"/>
  <c r="Z2926" i="11"/>
  <c r="Y2926" i="11"/>
  <c r="X2926" i="11"/>
  <c r="W2926" i="11"/>
  <c r="V2926" i="11"/>
  <c r="U2926" i="11"/>
  <c r="T2926" i="11"/>
  <c r="S2926" i="11"/>
  <c r="R2926" i="11"/>
  <c r="P2926" i="11"/>
  <c r="O2926" i="11"/>
  <c r="N2926" i="11"/>
  <c r="M2926" i="11"/>
  <c r="L2926" i="11"/>
  <c r="K2926" i="11"/>
  <c r="J2926" i="11"/>
  <c r="I2926" i="11"/>
  <c r="AE2925" i="11"/>
  <c r="AC2925" i="11"/>
  <c r="Z2925" i="11"/>
  <c r="Y2925" i="11"/>
  <c r="X2925" i="11"/>
  <c r="W2925" i="11"/>
  <c r="V2925" i="11"/>
  <c r="U2925" i="11"/>
  <c r="T2925" i="11"/>
  <c r="S2925" i="11"/>
  <c r="R2925" i="11"/>
  <c r="P2925" i="11"/>
  <c r="O2925" i="11"/>
  <c r="N2925" i="11"/>
  <c r="M2925" i="11"/>
  <c r="L2925" i="11"/>
  <c r="K2925" i="11"/>
  <c r="J2925" i="11"/>
  <c r="I2925" i="11"/>
  <c r="AE2924" i="11"/>
  <c r="AC2924" i="11"/>
  <c r="Z2924" i="11"/>
  <c r="Y2924" i="11"/>
  <c r="X2924" i="11"/>
  <c r="W2924" i="11"/>
  <c r="V2924" i="11"/>
  <c r="U2924" i="11"/>
  <c r="T2924" i="11"/>
  <c r="S2924" i="11"/>
  <c r="R2924" i="11"/>
  <c r="P2924" i="11"/>
  <c r="O2924" i="11"/>
  <c r="N2924" i="11"/>
  <c r="M2924" i="11"/>
  <c r="L2924" i="11"/>
  <c r="K2924" i="11"/>
  <c r="J2924" i="11"/>
  <c r="I2924" i="11"/>
  <c r="AE2923" i="11"/>
  <c r="AC2923" i="11"/>
  <c r="Z2923" i="11"/>
  <c r="Y2923" i="11"/>
  <c r="X2923" i="11"/>
  <c r="W2923" i="11"/>
  <c r="V2923" i="11"/>
  <c r="U2923" i="11"/>
  <c r="T2923" i="11"/>
  <c r="S2923" i="11"/>
  <c r="R2923" i="11"/>
  <c r="P2923" i="11"/>
  <c r="O2923" i="11"/>
  <c r="N2923" i="11"/>
  <c r="M2923" i="11"/>
  <c r="L2923" i="11"/>
  <c r="K2923" i="11"/>
  <c r="J2923" i="11"/>
  <c r="I2923" i="11"/>
  <c r="AE2922" i="11"/>
  <c r="AC2922" i="11"/>
  <c r="Z2922" i="11"/>
  <c r="Y2922" i="11"/>
  <c r="X2922" i="11"/>
  <c r="W2922" i="11"/>
  <c r="V2922" i="11"/>
  <c r="U2922" i="11"/>
  <c r="T2922" i="11"/>
  <c r="S2922" i="11"/>
  <c r="R2922" i="11"/>
  <c r="P2922" i="11"/>
  <c r="O2922" i="11"/>
  <c r="N2922" i="11"/>
  <c r="M2922" i="11"/>
  <c r="L2922" i="11"/>
  <c r="K2922" i="11"/>
  <c r="J2922" i="11"/>
  <c r="I2922" i="11"/>
  <c r="AE2921" i="11"/>
  <c r="AC2921" i="11"/>
  <c r="Z2921" i="11"/>
  <c r="Y2921" i="11"/>
  <c r="X2921" i="11"/>
  <c r="W2921" i="11"/>
  <c r="V2921" i="11"/>
  <c r="U2921" i="11"/>
  <c r="T2921" i="11"/>
  <c r="S2921" i="11"/>
  <c r="R2921" i="11"/>
  <c r="P2921" i="11"/>
  <c r="O2921" i="11"/>
  <c r="N2921" i="11"/>
  <c r="M2921" i="11"/>
  <c r="L2921" i="11"/>
  <c r="K2921" i="11"/>
  <c r="J2921" i="11"/>
  <c r="I2921" i="11"/>
  <c r="AE2920" i="11"/>
  <c r="AC2920" i="11"/>
  <c r="Z2920" i="11"/>
  <c r="Y2920" i="11"/>
  <c r="X2920" i="11"/>
  <c r="W2920" i="11"/>
  <c r="V2920" i="11"/>
  <c r="U2920" i="11"/>
  <c r="T2920" i="11"/>
  <c r="S2920" i="11"/>
  <c r="R2920" i="11"/>
  <c r="P2920" i="11"/>
  <c r="O2920" i="11"/>
  <c r="N2920" i="11"/>
  <c r="M2920" i="11"/>
  <c r="L2920" i="11"/>
  <c r="K2920" i="11"/>
  <c r="J2920" i="11"/>
  <c r="I2920" i="11"/>
  <c r="AE2919" i="11"/>
  <c r="AC2919" i="11"/>
  <c r="Z2919" i="11"/>
  <c r="Y2919" i="11"/>
  <c r="X2919" i="11"/>
  <c r="W2919" i="11"/>
  <c r="V2919" i="11"/>
  <c r="U2919" i="11"/>
  <c r="T2919" i="11"/>
  <c r="S2919" i="11"/>
  <c r="R2919" i="11"/>
  <c r="P2919" i="11"/>
  <c r="O2919" i="11"/>
  <c r="N2919" i="11"/>
  <c r="M2919" i="11"/>
  <c r="L2919" i="11"/>
  <c r="K2919" i="11"/>
  <c r="J2919" i="11"/>
  <c r="I2919" i="11"/>
  <c r="AE2918" i="11"/>
  <c r="AC2918" i="11"/>
  <c r="Z2918" i="11"/>
  <c r="Y2918" i="11"/>
  <c r="X2918" i="11"/>
  <c r="W2918" i="11"/>
  <c r="V2918" i="11"/>
  <c r="U2918" i="11"/>
  <c r="T2918" i="11"/>
  <c r="S2918" i="11"/>
  <c r="R2918" i="11"/>
  <c r="P2918" i="11"/>
  <c r="O2918" i="11"/>
  <c r="N2918" i="11"/>
  <c r="M2918" i="11"/>
  <c r="L2918" i="11"/>
  <c r="K2918" i="11"/>
  <c r="J2918" i="11"/>
  <c r="I2918" i="11"/>
  <c r="AE2917" i="11"/>
  <c r="AC2917" i="11"/>
  <c r="Z2917" i="11"/>
  <c r="Y2917" i="11"/>
  <c r="X2917" i="11"/>
  <c r="W2917" i="11"/>
  <c r="V2917" i="11"/>
  <c r="U2917" i="11"/>
  <c r="T2917" i="11"/>
  <c r="S2917" i="11"/>
  <c r="R2917" i="11"/>
  <c r="P2917" i="11"/>
  <c r="O2917" i="11"/>
  <c r="N2917" i="11"/>
  <c r="M2917" i="11"/>
  <c r="L2917" i="11"/>
  <c r="K2917" i="11"/>
  <c r="J2917" i="11"/>
  <c r="I2917" i="11"/>
  <c r="AE2916" i="11"/>
  <c r="AC2916" i="11"/>
  <c r="Z2916" i="11"/>
  <c r="Y2916" i="11"/>
  <c r="X2916" i="11"/>
  <c r="W2916" i="11"/>
  <c r="V2916" i="11"/>
  <c r="U2916" i="11"/>
  <c r="T2916" i="11"/>
  <c r="S2916" i="11"/>
  <c r="R2916" i="11"/>
  <c r="P2916" i="11"/>
  <c r="O2916" i="11"/>
  <c r="N2916" i="11"/>
  <c r="M2916" i="11"/>
  <c r="L2916" i="11"/>
  <c r="K2916" i="11"/>
  <c r="J2916" i="11"/>
  <c r="I2916" i="11"/>
  <c r="AE2915" i="11"/>
  <c r="AC2915" i="11"/>
  <c r="Z2915" i="11"/>
  <c r="Y2915" i="11"/>
  <c r="X2915" i="11"/>
  <c r="W2915" i="11"/>
  <c r="V2915" i="11"/>
  <c r="U2915" i="11"/>
  <c r="T2915" i="11"/>
  <c r="S2915" i="11"/>
  <c r="R2915" i="11"/>
  <c r="P2915" i="11"/>
  <c r="O2915" i="11"/>
  <c r="N2915" i="11"/>
  <c r="M2915" i="11"/>
  <c r="L2915" i="11"/>
  <c r="K2915" i="11"/>
  <c r="J2915" i="11"/>
  <c r="I2915" i="11"/>
  <c r="AE2914" i="11"/>
  <c r="AC2914" i="11"/>
  <c r="Z2914" i="11"/>
  <c r="Y2914" i="11"/>
  <c r="X2914" i="11"/>
  <c r="W2914" i="11"/>
  <c r="V2914" i="11"/>
  <c r="U2914" i="11"/>
  <c r="T2914" i="11"/>
  <c r="S2914" i="11"/>
  <c r="R2914" i="11"/>
  <c r="P2914" i="11"/>
  <c r="O2914" i="11"/>
  <c r="N2914" i="11"/>
  <c r="M2914" i="11"/>
  <c r="L2914" i="11"/>
  <c r="K2914" i="11"/>
  <c r="J2914" i="11"/>
  <c r="I2914" i="11"/>
  <c r="AE2913" i="11"/>
  <c r="AC2913" i="11"/>
  <c r="Z2913" i="11"/>
  <c r="Y2913" i="11"/>
  <c r="X2913" i="11"/>
  <c r="W2913" i="11"/>
  <c r="V2913" i="11"/>
  <c r="U2913" i="11"/>
  <c r="T2913" i="11"/>
  <c r="S2913" i="11"/>
  <c r="R2913" i="11"/>
  <c r="P2913" i="11"/>
  <c r="O2913" i="11"/>
  <c r="N2913" i="11"/>
  <c r="M2913" i="11"/>
  <c r="L2913" i="11"/>
  <c r="K2913" i="11"/>
  <c r="J2913" i="11"/>
  <c r="I2913" i="11"/>
  <c r="AE2912" i="11"/>
  <c r="AC2912" i="11"/>
  <c r="Z2912" i="11"/>
  <c r="Y2912" i="11"/>
  <c r="X2912" i="11"/>
  <c r="W2912" i="11"/>
  <c r="V2912" i="11"/>
  <c r="U2912" i="11"/>
  <c r="T2912" i="11"/>
  <c r="S2912" i="11"/>
  <c r="R2912" i="11"/>
  <c r="P2912" i="11"/>
  <c r="O2912" i="11"/>
  <c r="N2912" i="11"/>
  <c r="M2912" i="11"/>
  <c r="L2912" i="11"/>
  <c r="K2912" i="11"/>
  <c r="J2912" i="11"/>
  <c r="I2912" i="11"/>
  <c r="AE2911" i="11"/>
  <c r="AC2911" i="11"/>
  <c r="Z2911" i="11"/>
  <c r="Y2911" i="11"/>
  <c r="X2911" i="11"/>
  <c r="W2911" i="11"/>
  <c r="V2911" i="11"/>
  <c r="U2911" i="11"/>
  <c r="T2911" i="11"/>
  <c r="S2911" i="11"/>
  <c r="R2911" i="11"/>
  <c r="P2911" i="11"/>
  <c r="O2911" i="11"/>
  <c r="N2911" i="11"/>
  <c r="M2911" i="11"/>
  <c r="L2911" i="11"/>
  <c r="K2911" i="11"/>
  <c r="J2911" i="11"/>
  <c r="I2911" i="11"/>
  <c r="AE2910" i="11"/>
  <c r="AC2910" i="11"/>
  <c r="Z2910" i="11"/>
  <c r="Y2910" i="11"/>
  <c r="X2910" i="11"/>
  <c r="W2910" i="11"/>
  <c r="V2910" i="11"/>
  <c r="U2910" i="11"/>
  <c r="T2910" i="11"/>
  <c r="S2910" i="11"/>
  <c r="R2910" i="11"/>
  <c r="P2910" i="11"/>
  <c r="O2910" i="11"/>
  <c r="N2910" i="11"/>
  <c r="M2910" i="11"/>
  <c r="L2910" i="11"/>
  <c r="K2910" i="11"/>
  <c r="J2910" i="11"/>
  <c r="I2910" i="11"/>
  <c r="AE2909" i="11"/>
  <c r="AC2909" i="11"/>
  <c r="Z2909" i="11"/>
  <c r="Y2909" i="11"/>
  <c r="X2909" i="11"/>
  <c r="W2909" i="11"/>
  <c r="V2909" i="11"/>
  <c r="U2909" i="11"/>
  <c r="T2909" i="11"/>
  <c r="S2909" i="11"/>
  <c r="R2909" i="11"/>
  <c r="P2909" i="11"/>
  <c r="O2909" i="11"/>
  <c r="N2909" i="11"/>
  <c r="M2909" i="11"/>
  <c r="L2909" i="11"/>
  <c r="K2909" i="11"/>
  <c r="J2909" i="11"/>
  <c r="I2909" i="11"/>
  <c r="AE2908" i="11"/>
  <c r="AC2908" i="11"/>
  <c r="Z2908" i="11"/>
  <c r="Y2908" i="11"/>
  <c r="X2908" i="11"/>
  <c r="W2908" i="11"/>
  <c r="V2908" i="11"/>
  <c r="U2908" i="11"/>
  <c r="T2908" i="11"/>
  <c r="S2908" i="11"/>
  <c r="R2908" i="11"/>
  <c r="P2908" i="11"/>
  <c r="O2908" i="11"/>
  <c r="N2908" i="11"/>
  <c r="M2908" i="11"/>
  <c r="L2908" i="11"/>
  <c r="K2908" i="11"/>
  <c r="J2908" i="11"/>
  <c r="I2908" i="11"/>
  <c r="AE2907" i="11"/>
  <c r="AC2907" i="11"/>
  <c r="Z2907" i="11"/>
  <c r="Y2907" i="11"/>
  <c r="X2907" i="11"/>
  <c r="W2907" i="11"/>
  <c r="V2907" i="11"/>
  <c r="U2907" i="11"/>
  <c r="T2907" i="11"/>
  <c r="S2907" i="11"/>
  <c r="R2907" i="11"/>
  <c r="P2907" i="11"/>
  <c r="O2907" i="11"/>
  <c r="N2907" i="11"/>
  <c r="M2907" i="11"/>
  <c r="L2907" i="11"/>
  <c r="K2907" i="11"/>
  <c r="J2907" i="11"/>
  <c r="I2907" i="11"/>
  <c r="AE2906" i="11"/>
  <c r="AC2906" i="11"/>
  <c r="Z2906" i="11"/>
  <c r="Y2906" i="11"/>
  <c r="X2906" i="11"/>
  <c r="W2906" i="11"/>
  <c r="V2906" i="11"/>
  <c r="U2906" i="11"/>
  <c r="T2906" i="11"/>
  <c r="S2906" i="11"/>
  <c r="R2906" i="11"/>
  <c r="P2906" i="11"/>
  <c r="O2906" i="11"/>
  <c r="N2906" i="11"/>
  <c r="M2906" i="11"/>
  <c r="L2906" i="11"/>
  <c r="K2906" i="11"/>
  <c r="J2906" i="11"/>
  <c r="I2906" i="11"/>
  <c r="AE2905" i="11"/>
  <c r="AC2905" i="11"/>
  <c r="Z2905" i="11"/>
  <c r="Y2905" i="11"/>
  <c r="X2905" i="11"/>
  <c r="W2905" i="11"/>
  <c r="V2905" i="11"/>
  <c r="U2905" i="11"/>
  <c r="T2905" i="11"/>
  <c r="S2905" i="11"/>
  <c r="R2905" i="11"/>
  <c r="P2905" i="11"/>
  <c r="O2905" i="11"/>
  <c r="N2905" i="11"/>
  <c r="M2905" i="11"/>
  <c r="L2905" i="11"/>
  <c r="K2905" i="11"/>
  <c r="J2905" i="11"/>
  <c r="I2905" i="11"/>
  <c r="AE2904" i="11"/>
  <c r="AC2904" i="11"/>
  <c r="Z2904" i="11"/>
  <c r="Y2904" i="11"/>
  <c r="X2904" i="11"/>
  <c r="W2904" i="11"/>
  <c r="V2904" i="11"/>
  <c r="U2904" i="11"/>
  <c r="T2904" i="11"/>
  <c r="S2904" i="11"/>
  <c r="R2904" i="11"/>
  <c r="P2904" i="11"/>
  <c r="O2904" i="11"/>
  <c r="N2904" i="11"/>
  <c r="M2904" i="11"/>
  <c r="L2904" i="11"/>
  <c r="K2904" i="11"/>
  <c r="J2904" i="11"/>
  <c r="I2904" i="11"/>
  <c r="AE2903" i="11"/>
  <c r="AC2903" i="11"/>
  <c r="Z2903" i="11"/>
  <c r="Y2903" i="11"/>
  <c r="X2903" i="11"/>
  <c r="W2903" i="11"/>
  <c r="V2903" i="11"/>
  <c r="U2903" i="11"/>
  <c r="T2903" i="11"/>
  <c r="S2903" i="11"/>
  <c r="R2903" i="11"/>
  <c r="P2903" i="11"/>
  <c r="O2903" i="11"/>
  <c r="N2903" i="11"/>
  <c r="M2903" i="11"/>
  <c r="L2903" i="11"/>
  <c r="K2903" i="11"/>
  <c r="J2903" i="11"/>
  <c r="I2903" i="11"/>
  <c r="AE2902" i="11"/>
  <c r="AC2902" i="11"/>
  <c r="Z2902" i="11"/>
  <c r="Y2902" i="11"/>
  <c r="X2902" i="11"/>
  <c r="W2902" i="11"/>
  <c r="V2902" i="11"/>
  <c r="U2902" i="11"/>
  <c r="T2902" i="11"/>
  <c r="S2902" i="11"/>
  <c r="R2902" i="11"/>
  <c r="P2902" i="11"/>
  <c r="O2902" i="11"/>
  <c r="N2902" i="11"/>
  <c r="M2902" i="11"/>
  <c r="L2902" i="11"/>
  <c r="K2902" i="11"/>
  <c r="J2902" i="11"/>
  <c r="I2902" i="11"/>
  <c r="AE2901" i="11"/>
  <c r="AC2901" i="11"/>
  <c r="Z2901" i="11"/>
  <c r="Y2901" i="11"/>
  <c r="X2901" i="11"/>
  <c r="W2901" i="11"/>
  <c r="V2901" i="11"/>
  <c r="U2901" i="11"/>
  <c r="T2901" i="11"/>
  <c r="S2901" i="11"/>
  <c r="R2901" i="11"/>
  <c r="P2901" i="11"/>
  <c r="O2901" i="11"/>
  <c r="N2901" i="11"/>
  <c r="M2901" i="11"/>
  <c r="L2901" i="11"/>
  <c r="K2901" i="11"/>
  <c r="J2901" i="11"/>
  <c r="I2901" i="11"/>
  <c r="AE2900" i="11"/>
  <c r="AC2900" i="11"/>
  <c r="Z2900" i="11"/>
  <c r="Y2900" i="11"/>
  <c r="X2900" i="11"/>
  <c r="W2900" i="11"/>
  <c r="V2900" i="11"/>
  <c r="U2900" i="11"/>
  <c r="T2900" i="11"/>
  <c r="S2900" i="11"/>
  <c r="R2900" i="11"/>
  <c r="P2900" i="11"/>
  <c r="O2900" i="11"/>
  <c r="N2900" i="11"/>
  <c r="M2900" i="11"/>
  <c r="L2900" i="11"/>
  <c r="K2900" i="11"/>
  <c r="J2900" i="11"/>
  <c r="I2900" i="11"/>
  <c r="AE2899" i="11"/>
  <c r="AC2899" i="11"/>
  <c r="Z2899" i="11"/>
  <c r="Y2899" i="11"/>
  <c r="X2899" i="11"/>
  <c r="W2899" i="11"/>
  <c r="V2899" i="11"/>
  <c r="U2899" i="11"/>
  <c r="T2899" i="11"/>
  <c r="S2899" i="11"/>
  <c r="R2899" i="11"/>
  <c r="P2899" i="11"/>
  <c r="O2899" i="11"/>
  <c r="N2899" i="11"/>
  <c r="M2899" i="11"/>
  <c r="L2899" i="11"/>
  <c r="K2899" i="11"/>
  <c r="J2899" i="11"/>
  <c r="I2899" i="11"/>
  <c r="AE2898" i="11"/>
  <c r="AC2898" i="11"/>
  <c r="Z2898" i="11"/>
  <c r="Y2898" i="11"/>
  <c r="X2898" i="11"/>
  <c r="W2898" i="11"/>
  <c r="V2898" i="11"/>
  <c r="U2898" i="11"/>
  <c r="T2898" i="11"/>
  <c r="S2898" i="11"/>
  <c r="R2898" i="11"/>
  <c r="P2898" i="11"/>
  <c r="O2898" i="11"/>
  <c r="N2898" i="11"/>
  <c r="M2898" i="11"/>
  <c r="L2898" i="11"/>
  <c r="K2898" i="11"/>
  <c r="J2898" i="11"/>
  <c r="I2898" i="11"/>
  <c r="AE2897" i="11"/>
  <c r="AC2897" i="11"/>
  <c r="Z2897" i="11"/>
  <c r="Y2897" i="11"/>
  <c r="X2897" i="11"/>
  <c r="W2897" i="11"/>
  <c r="V2897" i="11"/>
  <c r="U2897" i="11"/>
  <c r="T2897" i="11"/>
  <c r="S2897" i="11"/>
  <c r="R2897" i="11"/>
  <c r="P2897" i="11"/>
  <c r="O2897" i="11"/>
  <c r="N2897" i="11"/>
  <c r="M2897" i="11"/>
  <c r="L2897" i="11"/>
  <c r="K2897" i="11"/>
  <c r="J2897" i="11"/>
  <c r="I2897" i="11"/>
  <c r="AE2896" i="11"/>
  <c r="AC2896" i="11"/>
  <c r="Z2896" i="11"/>
  <c r="Y2896" i="11"/>
  <c r="X2896" i="11"/>
  <c r="W2896" i="11"/>
  <c r="V2896" i="11"/>
  <c r="U2896" i="11"/>
  <c r="T2896" i="11"/>
  <c r="S2896" i="11"/>
  <c r="R2896" i="11"/>
  <c r="P2896" i="11"/>
  <c r="O2896" i="11"/>
  <c r="N2896" i="11"/>
  <c r="M2896" i="11"/>
  <c r="L2896" i="11"/>
  <c r="K2896" i="11"/>
  <c r="J2896" i="11"/>
  <c r="I2896" i="11"/>
  <c r="AE2895" i="11"/>
  <c r="AC2895" i="11"/>
  <c r="Z2895" i="11"/>
  <c r="Y2895" i="11"/>
  <c r="X2895" i="11"/>
  <c r="W2895" i="11"/>
  <c r="V2895" i="11"/>
  <c r="U2895" i="11"/>
  <c r="T2895" i="11"/>
  <c r="S2895" i="11"/>
  <c r="R2895" i="11"/>
  <c r="P2895" i="11"/>
  <c r="O2895" i="11"/>
  <c r="N2895" i="11"/>
  <c r="M2895" i="11"/>
  <c r="L2895" i="11"/>
  <c r="K2895" i="11"/>
  <c r="J2895" i="11"/>
  <c r="I2895" i="11"/>
  <c r="AE2894" i="11"/>
  <c r="AC2894" i="11"/>
  <c r="Z2894" i="11"/>
  <c r="Y2894" i="11"/>
  <c r="X2894" i="11"/>
  <c r="W2894" i="11"/>
  <c r="V2894" i="11"/>
  <c r="U2894" i="11"/>
  <c r="T2894" i="11"/>
  <c r="S2894" i="11"/>
  <c r="R2894" i="11"/>
  <c r="P2894" i="11"/>
  <c r="O2894" i="11"/>
  <c r="N2894" i="11"/>
  <c r="M2894" i="11"/>
  <c r="L2894" i="11"/>
  <c r="K2894" i="11"/>
  <c r="J2894" i="11"/>
  <c r="I2894" i="11"/>
  <c r="AE2893" i="11"/>
  <c r="AC2893" i="11"/>
  <c r="Z2893" i="11"/>
  <c r="Y2893" i="11"/>
  <c r="X2893" i="11"/>
  <c r="W2893" i="11"/>
  <c r="V2893" i="11"/>
  <c r="U2893" i="11"/>
  <c r="T2893" i="11"/>
  <c r="S2893" i="11"/>
  <c r="R2893" i="11"/>
  <c r="P2893" i="11"/>
  <c r="O2893" i="11"/>
  <c r="N2893" i="11"/>
  <c r="M2893" i="11"/>
  <c r="L2893" i="11"/>
  <c r="K2893" i="11"/>
  <c r="J2893" i="11"/>
  <c r="I2893" i="11"/>
  <c r="AE2892" i="11"/>
  <c r="AC2892" i="11"/>
  <c r="Z2892" i="11"/>
  <c r="Y2892" i="11"/>
  <c r="X2892" i="11"/>
  <c r="W2892" i="11"/>
  <c r="V2892" i="11"/>
  <c r="U2892" i="11"/>
  <c r="T2892" i="11"/>
  <c r="S2892" i="11"/>
  <c r="R2892" i="11"/>
  <c r="P2892" i="11"/>
  <c r="O2892" i="11"/>
  <c r="N2892" i="11"/>
  <c r="M2892" i="11"/>
  <c r="L2892" i="11"/>
  <c r="K2892" i="11"/>
  <c r="J2892" i="11"/>
  <c r="I2892" i="11"/>
  <c r="AE2891" i="11"/>
  <c r="AC2891" i="11"/>
  <c r="Z2891" i="11"/>
  <c r="Y2891" i="11"/>
  <c r="X2891" i="11"/>
  <c r="W2891" i="11"/>
  <c r="V2891" i="11"/>
  <c r="U2891" i="11"/>
  <c r="T2891" i="11"/>
  <c r="S2891" i="11"/>
  <c r="R2891" i="11"/>
  <c r="P2891" i="11"/>
  <c r="O2891" i="11"/>
  <c r="N2891" i="11"/>
  <c r="M2891" i="11"/>
  <c r="L2891" i="11"/>
  <c r="K2891" i="11"/>
  <c r="J2891" i="11"/>
  <c r="I2891" i="11"/>
  <c r="AE2890" i="11"/>
  <c r="AC2890" i="11"/>
  <c r="Z2890" i="11"/>
  <c r="Y2890" i="11"/>
  <c r="X2890" i="11"/>
  <c r="W2890" i="11"/>
  <c r="V2890" i="11"/>
  <c r="U2890" i="11"/>
  <c r="T2890" i="11"/>
  <c r="S2890" i="11"/>
  <c r="R2890" i="11"/>
  <c r="P2890" i="11"/>
  <c r="O2890" i="11"/>
  <c r="N2890" i="11"/>
  <c r="M2890" i="11"/>
  <c r="L2890" i="11"/>
  <c r="K2890" i="11"/>
  <c r="J2890" i="11"/>
  <c r="I2890" i="11"/>
  <c r="AE2889" i="11"/>
  <c r="AC2889" i="11"/>
  <c r="Z2889" i="11"/>
  <c r="Y2889" i="11"/>
  <c r="X2889" i="11"/>
  <c r="W2889" i="11"/>
  <c r="V2889" i="11"/>
  <c r="U2889" i="11"/>
  <c r="T2889" i="11"/>
  <c r="S2889" i="11"/>
  <c r="R2889" i="11"/>
  <c r="P2889" i="11"/>
  <c r="O2889" i="11"/>
  <c r="N2889" i="11"/>
  <c r="M2889" i="11"/>
  <c r="L2889" i="11"/>
  <c r="K2889" i="11"/>
  <c r="J2889" i="11"/>
  <c r="I2889" i="11"/>
  <c r="AE2888" i="11"/>
  <c r="AC2888" i="11"/>
  <c r="Z2888" i="11"/>
  <c r="Y2888" i="11"/>
  <c r="X2888" i="11"/>
  <c r="W2888" i="11"/>
  <c r="V2888" i="11"/>
  <c r="U2888" i="11"/>
  <c r="T2888" i="11"/>
  <c r="S2888" i="11"/>
  <c r="R2888" i="11"/>
  <c r="P2888" i="11"/>
  <c r="O2888" i="11"/>
  <c r="N2888" i="11"/>
  <c r="M2888" i="11"/>
  <c r="L2888" i="11"/>
  <c r="K2888" i="11"/>
  <c r="J2888" i="11"/>
  <c r="I2888" i="11"/>
  <c r="AE2887" i="11"/>
  <c r="AC2887" i="11"/>
  <c r="Z2887" i="11"/>
  <c r="Y2887" i="11"/>
  <c r="X2887" i="11"/>
  <c r="W2887" i="11"/>
  <c r="V2887" i="11"/>
  <c r="U2887" i="11"/>
  <c r="T2887" i="11"/>
  <c r="S2887" i="11"/>
  <c r="R2887" i="11"/>
  <c r="P2887" i="11"/>
  <c r="O2887" i="11"/>
  <c r="N2887" i="11"/>
  <c r="M2887" i="11"/>
  <c r="L2887" i="11"/>
  <c r="K2887" i="11"/>
  <c r="J2887" i="11"/>
  <c r="I2887" i="11"/>
  <c r="AE2886" i="11"/>
  <c r="AC2886" i="11"/>
  <c r="Z2886" i="11"/>
  <c r="Y2886" i="11"/>
  <c r="X2886" i="11"/>
  <c r="W2886" i="11"/>
  <c r="V2886" i="11"/>
  <c r="U2886" i="11"/>
  <c r="T2886" i="11"/>
  <c r="S2886" i="11"/>
  <c r="R2886" i="11"/>
  <c r="P2886" i="11"/>
  <c r="O2886" i="11"/>
  <c r="N2886" i="11"/>
  <c r="M2886" i="11"/>
  <c r="L2886" i="11"/>
  <c r="K2886" i="11"/>
  <c r="J2886" i="11"/>
  <c r="I2886" i="11"/>
  <c r="AE2885" i="11"/>
  <c r="AC2885" i="11"/>
  <c r="Z2885" i="11"/>
  <c r="Y2885" i="11"/>
  <c r="X2885" i="11"/>
  <c r="W2885" i="11"/>
  <c r="V2885" i="11"/>
  <c r="U2885" i="11"/>
  <c r="T2885" i="11"/>
  <c r="S2885" i="11"/>
  <c r="R2885" i="11"/>
  <c r="P2885" i="11"/>
  <c r="O2885" i="11"/>
  <c r="N2885" i="11"/>
  <c r="M2885" i="11"/>
  <c r="L2885" i="11"/>
  <c r="K2885" i="11"/>
  <c r="J2885" i="11"/>
  <c r="I2885" i="11"/>
  <c r="AE2884" i="11"/>
  <c r="AC2884" i="11"/>
  <c r="Z2884" i="11"/>
  <c r="Y2884" i="11"/>
  <c r="X2884" i="11"/>
  <c r="W2884" i="11"/>
  <c r="V2884" i="11"/>
  <c r="U2884" i="11"/>
  <c r="T2884" i="11"/>
  <c r="S2884" i="11"/>
  <c r="R2884" i="11"/>
  <c r="P2884" i="11"/>
  <c r="O2884" i="11"/>
  <c r="N2884" i="11"/>
  <c r="M2884" i="11"/>
  <c r="L2884" i="11"/>
  <c r="K2884" i="11"/>
  <c r="J2884" i="11"/>
  <c r="I2884" i="11"/>
  <c r="AE2883" i="11"/>
  <c r="AC2883" i="11"/>
  <c r="Z2883" i="11"/>
  <c r="Y2883" i="11"/>
  <c r="X2883" i="11"/>
  <c r="W2883" i="11"/>
  <c r="V2883" i="11"/>
  <c r="U2883" i="11"/>
  <c r="T2883" i="11"/>
  <c r="S2883" i="11"/>
  <c r="R2883" i="11"/>
  <c r="P2883" i="11"/>
  <c r="O2883" i="11"/>
  <c r="N2883" i="11"/>
  <c r="M2883" i="11"/>
  <c r="L2883" i="11"/>
  <c r="K2883" i="11"/>
  <c r="J2883" i="11"/>
  <c r="I2883" i="11"/>
  <c r="AE2882" i="11"/>
  <c r="AC2882" i="11"/>
  <c r="Z2882" i="11"/>
  <c r="Y2882" i="11"/>
  <c r="X2882" i="11"/>
  <c r="W2882" i="11"/>
  <c r="V2882" i="11"/>
  <c r="U2882" i="11"/>
  <c r="T2882" i="11"/>
  <c r="S2882" i="11"/>
  <c r="R2882" i="11"/>
  <c r="P2882" i="11"/>
  <c r="O2882" i="11"/>
  <c r="N2882" i="11"/>
  <c r="M2882" i="11"/>
  <c r="L2882" i="11"/>
  <c r="K2882" i="11"/>
  <c r="J2882" i="11"/>
  <c r="I2882" i="11"/>
  <c r="AE2881" i="11"/>
  <c r="AC2881" i="11"/>
  <c r="Z2881" i="11"/>
  <c r="Y2881" i="11"/>
  <c r="X2881" i="11"/>
  <c r="W2881" i="11"/>
  <c r="V2881" i="11"/>
  <c r="U2881" i="11"/>
  <c r="T2881" i="11"/>
  <c r="S2881" i="11"/>
  <c r="R2881" i="11"/>
  <c r="P2881" i="11"/>
  <c r="O2881" i="11"/>
  <c r="N2881" i="11"/>
  <c r="M2881" i="11"/>
  <c r="L2881" i="11"/>
  <c r="K2881" i="11"/>
  <c r="J2881" i="11"/>
  <c r="I2881" i="11"/>
  <c r="AE2880" i="11"/>
  <c r="AC2880" i="11"/>
  <c r="Z2880" i="11"/>
  <c r="Y2880" i="11"/>
  <c r="X2880" i="11"/>
  <c r="W2880" i="11"/>
  <c r="V2880" i="11"/>
  <c r="U2880" i="11"/>
  <c r="T2880" i="11"/>
  <c r="S2880" i="11"/>
  <c r="R2880" i="11"/>
  <c r="P2880" i="11"/>
  <c r="O2880" i="11"/>
  <c r="N2880" i="11"/>
  <c r="M2880" i="11"/>
  <c r="L2880" i="11"/>
  <c r="K2880" i="11"/>
  <c r="J2880" i="11"/>
  <c r="I2880" i="11"/>
  <c r="AE2879" i="11"/>
  <c r="AC2879" i="11"/>
  <c r="Z2879" i="11"/>
  <c r="Y2879" i="11"/>
  <c r="X2879" i="11"/>
  <c r="W2879" i="11"/>
  <c r="V2879" i="11"/>
  <c r="U2879" i="11"/>
  <c r="T2879" i="11"/>
  <c r="S2879" i="11"/>
  <c r="R2879" i="11"/>
  <c r="P2879" i="11"/>
  <c r="O2879" i="11"/>
  <c r="N2879" i="11"/>
  <c r="M2879" i="11"/>
  <c r="L2879" i="11"/>
  <c r="K2879" i="11"/>
  <c r="J2879" i="11"/>
  <c r="I2879" i="11"/>
  <c r="AE2878" i="11"/>
  <c r="AC2878" i="11"/>
  <c r="Z2878" i="11"/>
  <c r="Y2878" i="11"/>
  <c r="X2878" i="11"/>
  <c r="W2878" i="11"/>
  <c r="V2878" i="11"/>
  <c r="U2878" i="11"/>
  <c r="T2878" i="11"/>
  <c r="S2878" i="11"/>
  <c r="R2878" i="11"/>
  <c r="P2878" i="11"/>
  <c r="O2878" i="11"/>
  <c r="N2878" i="11"/>
  <c r="M2878" i="11"/>
  <c r="L2878" i="11"/>
  <c r="K2878" i="11"/>
  <c r="J2878" i="11"/>
  <c r="I2878" i="11"/>
  <c r="AE2877" i="11"/>
  <c r="AC2877" i="11"/>
  <c r="Z2877" i="11"/>
  <c r="Y2877" i="11"/>
  <c r="X2877" i="11"/>
  <c r="W2877" i="11"/>
  <c r="V2877" i="11"/>
  <c r="U2877" i="11"/>
  <c r="T2877" i="11"/>
  <c r="S2877" i="11"/>
  <c r="R2877" i="11"/>
  <c r="P2877" i="11"/>
  <c r="O2877" i="11"/>
  <c r="N2877" i="11"/>
  <c r="M2877" i="11"/>
  <c r="L2877" i="11"/>
  <c r="K2877" i="11"/>
  <c r="J2877" i="11"/>
  <c r="I2877" i="11"/>
  <c r="AE2876" i="11"/>
  <c r="AC2876" i="11"/>
  <c r="Z2876" i="11"/>
  <c r="Y2876" i="11"/>
  <c r="X2876" i="11"/>
  <c r="W2876" i="11"/>
  <c r="V2876" i="11"/>
  <c r="U2876" i="11"/>
  <c r="T2876" i="11"/>
  <c r="S2876" i="11"/>
  <c r="R2876" i="11"/>
  <c r="P2876" i="11"/>
  <c r="O2876" i="11"/>
  <c r="N2876" i="11"/>
  <c r="M2876" i="11"/>
  <c r="L2876" i="11"/>
  <c r="K2876" i="11"/>
  <c r="J2876" i="11"/>
  <c r="I2876" i="11"/>
  <c r="AE2875" i="11"/>
  <c r="AC2875" i="11"/>
  <c r="Z2875" i="11"/>
  <c r="Y2875" i="11"/>
  <c r="X2875" i="11"/>
  <c r="W2875" i="11"/>
  <c r="V2875" i="11"/>
  <c r="U2875" i="11"/>
  <c r="T2875" i="11"/>
  <c r="S2875" i="11"/>
  <c r="R2875" i="11"/>
  <c r="P2875" i="11"/>
  <c r="O2875" i="11"/>
  <c r="N2875" i="11"/>
  <c r="M2875" i="11"/>
  <c r="L2875" i="11"/>
  <c r="K2875" i="11"/>
  <c r="J2875" i="11"/>
  <c r="I2875" i="11"/>
  <c r="AE2874" i="11"/>
  <c r="AC2874" i="11"/>
  <c r="Z2874" i="11"/>
  <c r="Y2874" i="11"/>
  <c r="X2874" i="11"/>
  <c r="W2874" i="11"/>
  <c r="V2874" i="11"/>
  <c r="U2874" i="11"/>
  <c r="T2874" i="11"/>
  <c r="S2874" i="11"/>
  <c r="R2874" i="11"/>
  <c r="P2874" i="11"/>
  <c r="O2874" i="11"/>
  <c r="N2874" i="11"/>
  <c r="M2874" i="11"/>
  <c r="L2874" i="11"/>
  <c r="K2874" i="11"/>
  <c r="J2874" i="11"/>
  <c r="I2874" i="11"/>
  <c r="AE2873" i="11"/>
  <c r="AC2873" i="11"/>
  <c r="Z2873" i="11"/>
  <c r="Y2873" i="11"/>
  <c r="X2873" i="11"/>
  <c r="W2873" i="11"/>
  <c r="V2873" i="11"/>
  <c r="U2873" i="11"/>
  <c r="T2873" i="11"/>
  <c r="S2873" i="11"/>
  <c r="R2873" i="11"/>
  <c r="P2873" i="11"/>
  <c r="O2873" i="11"/>
  <c r="N2873" i="11"/>
  <c r="M2873" i="11"/>
  <c r="L2873" i="11"/>
  <c r="K2873" i="11"/>
  <c r="J2873" i="11"/>
  <c r="I2873" i="11"/>
  <c r="AE2872" i="11"/>
  <c r="AC2872" i="11"/>
  <c r="Z2872" i="11"/>
  <c r="Y2872" i="11"/>
  <c r="X2872" i="11"/>
  <c r="W2872" i="11"/>
  <c r="V2872" i="11"/>
  <c r="U2872" i="11"/>
  <c r="T2872" i="11"/>
  <c r="S2872" i="11"/>
  <c r="R2872" i="11"/>
  <c r="P2872" i="11"/>
  <c r="O2872" i="11"/>
  <c r="N2872" i="11"/>
  <c r="M2872" i="11"/>
  <c r="L2872" i="11"/>
  <c r="K2872" i="11"/>
  <c r="J2872" i="11"/>
  <c r="I2872" i="11"/>
  <c r="AE2871" i="11"/>
  <c r="AC2871" i="11"/>
  <c r="Z2871" i="11"/>
  <c r="Y2871" i="11"/>
  <c r="X2871" i="11"/>
  <c r="W2871" i="11"/>
  <c r="V2871" i="11"/>
  <c r="U2871" i="11"/>
  <c r="T2871" i="11"/>
  <c r="S2871" i="11"/>
  <c r="R2871" i="11"/>
  <c r="P2871" i="11"/>
  <c r="O2871" i="11"/>
  <c r="N2871" i="11"/>
  <c r="M2871" i="11"/>
  <c r="L2871" i="11"/>
  <c r="K2871" i="11"/>
  <c r="J2871" i="11"/>
  <c r="I2871" i="11"/>
  <c r="AE2870" i="11"/>
  <c r="AC2870" i="11"/>
  <c r="Z2870" i="11"/>
  <c r="Y2870" i="11"/>
  <c r="X2870" i="11"/>
  <c r="W2870" i="11"/>
  <c r="V2870" i="11"/>
  <c r="U2870" i="11"/>
  <c r="T2870" i="11"/>
  <c r="S2870" i="11"/>
  <c r="R2870" i="11"/>
  <c r="P2870" i="11"/>
  <c r="O2870" i="11"/>
  <c r="N2870" i="11"/>
  <c r="M2870" i="11"/>
  <c r="L2870" i="11"/>
  <c r="K2870" i="11"/>
  <c r="J2870" i="11"/>
  <c r="I2870" i="11"/>
  <c r="AE2869" i="11"/>
  <c r="AC2869" i="11"/>
  <c r="Z2869" i="11"/>
  <c r="Y2869" i="11"/>
  <c r="X2869" i="11"/>
  <c r="W2869" i="11"/>
  <c r="V2869" i="11"/>
  <c r="U2869" i="11"/>
  <c r="T2869" i="11"/>
  <c r="S2869" i="11"/>
  <c r="R2869" i="11"/>
  <c r="P2869" i="11"/>
  <c r="O2869" i="11"/>
  <c r="N2869" i="11"/>
  <c r="M2869" i="11"/>
  <c r="L2869" i="11"/>
  <c r="K2869" i="11"/>
  <c r="J2869" i="11"/>
  <c r="I2869" i="11"/>
  <c r="AE2868" i="11"/>
  <c r="AC2868" i="11"/>
  <c r="Z2868" i="11"/>
  <c r="Y2868" i="11"/>
  <c r="X2868" i="11"/>
  <c r="W2868" i="11"/>
  <c r="V2868" i="11"/>
  <c r="U2868" i="11"/>
  <c r="T2868" i="11"/>
  <c r="S2868" i="11"/>
  <c r="R2868" i="11"/>
  <c r="P2868" i="11"/>
  <c r="O2868" i="11"/>
  <c r="N2868" i="11"/>
  <c r="M2868" i="11"/>
  <c r="L2868" i="11"/>
  <c r="K2868" i="11"/>
  <c r="J2868" i="11"/>
  <c r="I2868" i="11"/>
  <c r="AE2867" i="11"/>
  <c r="AC2867" i="11"/>
  <c r="Z2867" i="11"/>
  <c r="Y2867" i="11"/>
  <c r="X2867" i="11"/>
  <c r="W2867" i="11"/>
  <c r="V2867" i="11"/>
  <c r="U2867" i="11"/>
  <c r="T2867" i="11"/>
  <c r="S2867" i="11"/>
  <c r="R2867" i="11"/>
  <c r="P2867" i="11"/>
  <c r="O2867" i="11"/>
  <c r="N2867" i="11"/>
  <c r="M2867" i="11"/>
  <c r="L2867" i="11"/>
  <c r="K2867" i="11"/>
  <c r="J2867" i="11"/>
  <c r="I2867" i="11"/>
  <c r="AE2866" i="11"/>
  <c r="AC2866" i="11"/>
  <c r="Z2866" i="11"/>
  <c r="Y2866" i="11"/>
  <c r="X2866" i="11"/>
  <c r="W2866" i="11"/>
  <c r="V2866" i="11"/>
  <c r="U2866" i="11"/>
  <c r="T2866" i="11"/>
  <c r="S2866" i="11"/>
  <c r="R2866" i="11"/>
  <c r="P2866" i="11"/>
  <c r="O2866" i="11"/>
  <c r="N2866" i="11"/>
  <c r="M2866" i="11"/>
  <c r="L2866" i="11"/>
  <c r="K2866" i="11"/>
  <c r="J2866" i="11"/>
  <c r="I2866" i="11"/>
  <c r="AE2865" i="11"/>
  <c r="AC2865" i="11"/>
  <c r="Z2865" i="11"/>
  <c r="Y2865" i="11"/>
  <c r="X2865" i="11"/>
  <c r="W2865" i="11"/>
  <c r="V2865" i="11"/>
  <c r="U2865" i="11"/>
  <c r="T2865" i="11"/>
  <c r="S2865" i="11"/>
  <c r="R2865" i="11"/>
  <c r="P2865" i="11"/>
  <c r="O2865" i="11"/>
  <c r="N2865" i="11"/>
  <c r="M2865" i="11"/>
  <c r="L2865" i="11"/>
  <c r="K2865" i="11"/>
  <c r="J2865" i="11"/>
  <c r="I2865" i="11"/>
  <c r="AE2864" i="11"/>
  <c r="AC2864" i="11"/>
  <c r="Z2864" i="11"/>
  <c r="Y2864" i="11"/>
  <c r="X2864" i="11"/>
  <c r="W2864" i="11"/>
  <c r="V2864" i="11"/>
  <c r="U2864" i="11"/>
  <c r="T2864" i="11"/>
  <c r="S2864" i="11"/>
  <c r="R2864" i="11"/>
  <c r="P2864" i="11"/>
  <c r="O2864" i="11"/>
  <c r="N2864" i="11"/>
  <c r="M2864" i="11"/>
  <c r="L2864" i="11"/>
  <c r="K2864" i="11"/>
  <c r="J2864" i="11"/>
  <c r="I2864" i="11"/>
  <c r="AE2863" i="11"/>
  <c r="AC2863" i="11"/>
  <c r="Z2863" i="11"/>
  <c r="Y2863" i="11"/>
  <c r="X2863" i="11"/>
  <c r="W2863" i="11"/>
  <c r="V2863" i="11"/>
  <c r="U2863" i="11"/>
  <c r="T2863" i="11"/>
  <c r="S2863" i="11"/>
  <c r="R2863" i="11"/>
  <c r="P2863" i="11"/>
  <c r="O2863" i="11"/>
  <c r="N2863" i="11"/>
  <c r="M2863" i="11"/>
  <c r="L2863" i="11"/>
  <c r="K2863" i="11"/>
  <c r="J2863" i="11"/>
  <c r="I2863" i="11"/>
  <c r="AE2862" i="11"/>
  <c r="AC2862" i="11"/>
  <c r="Z2862" i="11"/>
  <c r="Y2862" i="11"/>
  <c r="X2862" i="11"/>
  <c r="W2862" i="11"/>
  <c r="V2862" i="11"/>
  <c r="U2862" i="11"/>
  <c r="T2862" i="11"/>
  <c r="S2862" i="11"/>
  <c r="R2862" i="11"/>
  <c r="P2862" i="11"/>
  <c r="O2862" i="11"/>
  <c r="N2862" i="11"/>
  <c r="M2862" i="11"/>
  <c r="L2862" i="11"/>
  <c r="K2862" i="11"/>
  <c r="J2862" i="11"/>
  <c r="I2862" i="11"/>
  <c r="AE2861" i="11"/>
  <c r="AC2861" i="11"/>
  <c r="Z2861" i="11"/>
  <c r="Y2861" i="11"/>
  <c r="X2861" i="11"/>
  <c r="W2861" i="11"/>
  <c r="V2861" i="11"/>
  <c r="U2861" i="11"/>
  <c r="T2861" i="11"/>
  <c r="S2861" i="11"/>
  <c r="R2861" i="11"/>
  <c r="P2861" i="11"/>
  <c r="O2861" i="11"/>
  <c r="N2861" i="11"/>
  <c r="M2861" i="11"/>
  <c r="L2861" i="11"/>
  <c r="K2861" i="11"/>
  <c r="J2861" i="11"/>
  <c r="I2861" i="11"/>
  <c r="AE2860" i="11"/>
  <c r="AC2860" i="11"/>
  <c r="Z2860" i="11"/>
  <c r="Y2860" i="11"/>
  <c r="X2860" i="11"/>
  <c r="W2860" i="11"/>
  <c r="V2860" i="11"/>
  <c r="U2860" i="11"/>
  <c r="T2860" i="11"/>
  <c r="S2860" i="11"/>
  <c r="R2860" i="11"/>
  <c r="P2860" i="11"/>
  <c r="O2860" i="11"/>
  <c r="N2860" i="11"/>
  <c r="M2860" i="11"/>
  <c r="L2860" i="11"/>
  <c r="K2860" i="11"/>
  <c r="J2860" i="11"/>
  <c r="I2860" i="11"/>
  <c r="AE2859" i="11"/>
  <c r="AC2859" i="11"/>
  <c r="Z2859" i="11"/>
  <c r="Y2859" i="11"/>
  <c r="X2859" i="11"/>
  <c r="W2859" i="11"/>
  <c r="V2859" i="11"/>
  <c r="U2859" i="11"/>
  <c r="T2859" i="11"/>
  <c r="S2859" i="11"/>
  <c r="R2859" i="11"/>
  <c r="P2859" i="11"/>
  <c r="O2859" i="11"/>
  <c r="N2859" i="11"/>
  <c r="M2859" i="11"/>
  <c r="L2859" i="11"/>
  <c r="K2859" i="11"/>
  <c r="J2859" i="11"/>
  <c r="I2859" i="11"/>
  <c r="AE2858" i="11"/>
  <c r="AC2858" i="11"/>
  <c r="Z2858" i="11"/>
  <c r="Y2858" i="11"/>
  <c r="X2858" i="11"/>
  <c r="W2858" i="11"/>
  <c r="V2858" i="11"/>
  <c r="U2858" i="11"/>
  <c r="T2858" i="11"/>
  <c r="S2858" i="11"/>
  <c r="R2858" i="11"/>
  <c r="P2858" i="11"/>
  <c r="O2858" i="11"/>
  <c r="N2858" i="11"/>
  <c r="M2858" i="11"/>
  <c r="L2858" i="11"/>
  <c r="K2858" i="11"/>
  <c r="J2858" i="11"/>
  <c r="I2858" i="11"/>
  <c r="AE2857" i="11"/>
  <c r="AC2857" i="11"/>
  <c r="Z2857" i="11"/>
  <c r="Y2857" i="11"/>
  <c r="X2857" i="11"/>
  <c r="W2857" i="11"/>
  <c r="V2857" i="11"/>
  <c r="U2857" i="11"/>
  <c r="T2857" i="11"/>
  <c r="S2857" i="11"/>
  <c r="R2857" i="11"/>
  <c r="P2857" i="11"/>
  <c r="O2857" i="11"/>
  <c r="N2857" i="11"/>
  <c r="M2857" i="11"/>
  <c r="L2857" i="11"/>
  <c r="K2857" i="11"/>
  <c r="J2857" i="11"/>
  <c r="I2857" i="11"/>
  <c r="AE2856" i="11"/>
  <c r="AC2856" i="11"/>
  <c r="Z2856" i="11"/>
  <c r="Y2856" i="11"/>
  <c r="X2856" i="11"/>
  <c r="W2856" i="11"/>
  <c r="V2856" i="11"/>
  <c r="U2856" i="11"/>
  <c r="T2856" i="11"/>
  <c r="S2856" i="11"/>
  <c r="R2856" i="11"/>
  <c r="P2856" i="11"/>
  <c r="O2856" i="11"/>
  <c r="N2856" i="11"/>
  <c r="M2856" i="11"/>
  <c r="L2856" i="11"/>
  <c r="K2856" i="11"/>
  <c r="J2856" i="11"/>
  <c r="I2856" i="11"/>
  <c r="AE2855" i="11"/>
  <c r="AC2855" i="11"/>
  <c r="Z2855" i="11"/>
  <c r="Y2855" i="11"/>
  <c r="X2855" i="11"/>
  <c r="W2855" i="11"/>
  <c r="V2855" i="11"/>
  <c r="U2855" i="11"/>
  <c r="T2855" i="11"/>
  <c r="S2855" i="11"/>
  <c r="R2855" i="11"/>
  <c r="P2855" i="11"/>
  <c r="O2855" i="11"/>
  <c r="N2855" i="11"/>
  <c r="M2855" i="11"/>
  <c r="L2855" i="11"/>
  <c r="K2855" i="11"/>
  <c r="J2855" i="11"/>
  <c r="I2855" i="11"/>
  <c r="AE2854" i="11"/>
  <c r="AC2854" i="11"/>
  <c r="Z2854" i="11"/>
  <c r="Y2854" i="11"/>
  <c r="X2854" i="11"/>
  <c r="W2854" i="11"/>
  <c r="V2854" i="11"/>
  <c r="U2854" i="11"/>
  <c r="T2854" i="11"/>
  <c r="S2854" i="11"/>
  <c r="R2854" i="11"/>
  <c r="P2854" i="11"/>
  <c r="O2854" i="11"/>
  <c r="N2854" i="11"/>
  <c r="M2854" i="11"/>
  <c r="L2854" i="11"/>
  <c r="K2854" i="11"/>
  <c r="J2854" i="11"/>
  <c r="I2854" i="11"/>
  <c r="AE2853" i="11"/>
  <c r="AC2853" i="11"/>
  <c r="Z2853" i="11"/>
  <c r="Y2853" i="11"/>
  <c r="X2853" i="11"/>
  <c r="W2853" i="11"/>
  <c r="V2853" i="11"/>
  <c r="U2853" i="11"/>
  <c r="T2853" i="11"/>
  <c r="S2853" i="11"/>
  <c r="R2853" i="11"/>
  <c r="P2853" i="11"/>
  <c r="O2853" i="11"/>
  <c r="N2853" i="11"/>
  <c r="M2853" i="11"/>
  <c r="L2853" i="11"/>
  <c r="K2853" i="11"/>
  <c r="J2853" i="11"/>
  <c r="I2853" i="11"/>
  <c r="AE2852" i="11"/>
  <c r="AC2852" i="11"/>
  <c r="Z2852" i="11"/>
  <c r="Y2852" i="11"/>
  <c r="X2852" i="11"/>
  <c r="W2852" i="11"/>
  <c r="V2852" i="11"/>
  <c r="U2852" i="11"/>
  <c r="T2852" i="11"/>
  <c r="S2852" i="11"/>
  <c r="R2852" i="11"/>
  <c r="P2852" i="11"/>
  <c r="O2852" i="11"/>
  <c r="N2852" i="11"/>
  <c r="M2852" i="11"/>
  <c r="L2852" i="11"/>
  <c r="K2852" i="11"/>
  <c r="J2852" i="11"/>
  <c r="I2852" i="11"/>
  <c r="AE2851" i="11"/>
  <c r="AC2851" i="11"/>
  <c r="Z2851" i="11"/>
  <c r="Y2851" i="11"/>
  <c r="X2851" i="11"/>
  <c r="W2851" i="11"/>
  <c r="V2851" i="11"/>
  <c r="U2851" i="11"/>
  <c r="T2851" i="11"/>
  <c r="S2851" i="11"/>
  <c r="R2851" i="11"/>
  <c r="P2851" i="11"/>
  <c r="O2851" i="11"/>
  <c r="N2851" i="11"/>
  <c r="M2851" i="11"/>
  <c r="L2851" i="11"/>
  <c r="K2851" i="11"/>
  <c r="J2851" i="11"/>
  <c r="I2851" i="11"/>
  <c r="AE2850" i="11"/>
  <c r="AC2850" i="11"/>
  <c r="Z2850" i="11"/>
  <c r="Y2850" i="11"/>
  <c r="X2850" i="11"/>
  <c r="W2850" i="11"/>
  <c r="V2850" i="11"/>
  <c r="U2850" i="11"/>
  <c r="T2850" i="11"/>
  <c r="S2850" i="11"/>
  <c r="R2850" i="11"/>
  <c r="P2850" i="11"/>
  <c r="O2850" i="11"/>
  <c r="N2850" i="11"/>
  <c r="M2850" i="11"/>
  <c r="L2850" i="11"/>
  <c r="K2850" i="11"/>
  <c r="J2850" i="11"/>
  <c r="I2850" i="11"/>
  <c r="AE2849" i="11"/>
  <c r="AC2849" i="11"/>
  <c r="Z2849" i="11"/>
  <c r="Y2849" i="11"/>
  <c r="X2849" i="11"/>
  <c r="W2849" i="11"/>
  <c r="V2849" i="11"/>
  <c r="U2849" i="11"/>
  <c r="T2849" i="11"/>
  <c r="S2849" i="11"/>
  <c r="R2849" i="11"/>
  <c r="P2849" i="11"/>
  <c r="O2849" i="11"/>
  <c r="N2849" i="11"/>
  <c r="M2849" i="11"/>
  <c r="L2849" i="11"/>
  <c r="K2849" i="11"/>
  <c r="J2849" i="11"/>
  <c r="I2849" i="11"/>
  <c r="AE2848" i="11"/>
  <c r="AC2848" i="11"/>
  <c r="Z2848" i="11"/>
  <c r="Y2848" i="11"/>
  <c r="X2848" i="11"/>
  <c r="W2848" i="11"/>
  <c r="V2848" i="11"/>
  <c r="U2848" i="11"/>
  <c r="T2848" i="11"/>
  <c r="S2848" i="11"/>
  <c r="R2848" i="11"/>
  <c r="P2848" i="11"/>
  <c r="O2848" i="11"/>
  <c r="N2848" i="11"/>
  <c r="M2848" i="11"/>
  <c r="L2848" i="11"/>
  <c r="K2848" i="11"/>
  <c r="J2848" i="11"/>
  <c r="I2848" i="11"/>
  <c r="AE2847" i="11"/>
  <c r="AC2847" i="11"/>
  <c r="Z2847" i="11"/>
  <c r="Y2847" i="11"/>
  <c r="X2847" i="11"/>
  <c r="W2847" i="11"/>
  <c r="V2847" i="11"/>
  <c r="U2847" i="11"/>
  <c r="T2847" i="11"/>
  <c r="S2847" i="11"/>
  <c r="R2847" i="11"/>
  <c r="P2847" i="11"/>
  <c r="O2847" i="11"/>
  <c r="N2847" i="11"/>
  <c r="M2847" i="11"/>
  <c r="L2847" i="11"/>
  <c r="K2847" i="11"/>
  <c r="J2847" i="11"/>
  <c r="I2847" i="11"/>
  <c r="AE2846" i="11"/>
  <c r="AC2846" i="11"/>
  <c r="Z2846" i="11"/>
  <c r="Y2846" i="11"/>
  <c r="X2846" i="11"/>
  <c r="W2846" i="11"/>
  <c r="V2846" i="11"/>
  <c r="U2846" i="11"/>
  <c r="T2846" i="11"/>
  <c r="S2846" i="11"/>
  <c r="R2846" i="11"/>
  <c r="P2846" i="11"/>
  <c r="O2846" i="11"/>
  <c r="N2846" i="11"/>
  <c r="M2846" i="11"/>
  <c r="L2846" i="11"/>
  <c r="K2846" i="11"/>
  <c r="J2846" i="11"/>
  <c r="I2846" i="11"/>
  <c r="AE2845" i="11"/>
  <c r="AC2845" i="11"/>
  <c r="Z2845" i="11"/>
  <c r="Y2845" i="11"/>
  <c r="X2845" i="11"/>
  <c r="W2845" i="11"/>
  <c r="V2845" i="11"/>
  <c r="U2845" i="11"/>
  <c r="T2845" i="11"/>
  <c r="S2845" i="11"/>
  <c r="R2845" i="11"/>
  <c r="P2845" i="11"/>
  <c r="O2845" i="11"/>
  <c r="N2845" i="11"/>
  <c r="M2845" i="11"/>
  <c r="L2845" i="11"/>
  <c r="K2845" i="11"/>
  <c r="J2845" i="11"/>
  <c r="I2845" i="11"/>
  <c r="AE2844" i="11"/>
  <c r="AC2844" i="11"/>
  <c r="Z2844" i="11"/>
  <c r="Y2844" i="11"/>
  <c r="X2844" i="11"/>
  <c r="W2844" i="11"/>
  <c r="V2844" i="11"/>
  <c r="U2844" i="11"/>
  <c r="T2844" i="11"/>
  <c r="S2844" i="11"/>
  <c r="R2844" i="11"/>
  <c r="P2844" i="11"/>
  <c r="O2844" i="11"/>
  <c r="N2844" i="11"/>
  <c r="M2844" i="11"/>
  <c r="L2844" i="11"/>
  <c r="K2844" i="11"/>
  <c r="J2844" i="11"/>
  <c r="I2844" i="11"/>
  <c r="AE2843" i="11"/>
  <c r="AC2843" i="11"/>
  <c r="Z2843" i="11"/>
  <c r="Y2843" i="11"/>
  <c r="X2843" i="11"/>
  <c r="W2843" i="11"/>
  <c r="V2843" i="11"/>
  <c r="U2843" i="11"/>
  <c r="T2843" i="11"/>
  <c r="S2843" i="11"/>
  <c r="R2843" i="11"/>
  <c r="P2843" i="11"/>
  <c r="O2843" i="11"/>
  <c r="N2843" i="11"/>
  <c r="M2843" i="11"/>
  <c r="L2843" i="11"/>
  <c r="K2843" i="11"/>
  <c r="J2843" i="11"/>
  <c r="I2843" i="11"/>
  <c r="AE2842" i="11"/>
  <c r="AC2842" i="11"/>
  <c r="Z2842" i="11"/>
  <c r="Y2842" i="11"/>
  <c r="X2842" i="11"/>
  <c r="W2842" i="11"/>
  <c r="V2842" i="11"/>
  <c r="U2842" i="11"/>
  <c r="T2842" i="11"/>
  <c r="S2842" i="11"/>
  <c r="R2842" i="11"/>
  <c r="P2842" i="11"/>
  <c r="O2842" i="11"/>
  <c r="N2842" i="11"/>
  <c r="M2842" i="11"/>
  <c r="L2842" i="11"/>
  <c r="K2842" i="11"/>
  <c r="J2842" i="11"/>
  <c r="I2842" i="11"/>
  <c r="AE2841" i="11"/>
  <c r="AC2841" i="11"/>
  <c r="Z2841" i="11"/>
  <c r="Y2841" i="11"/>
  <c r="X2841" i="11"/>
  <c r="W2841" i="11"/>
  <c r="V2841" i="11"/>
  <c r="U2841" i="11"/>
  <c r="T2841" i="11"/>
  <c r="S2841" i="11"/>
  <c r="R2841" i="11"/>
  <c r="P2841" i="11"/>
  <c r="O2841" i="11"/>
  <c r="N2841" i="11"/>
  <c r="M2841" i="11"/>
  <c r="L2841" i="11"/>
  <c r="K2841" i="11"/>
  <c r="J2841" i="11"/>
  <c r="I2841" i="11"/>
  <c r="AE2840" i="11"/>
  <c r="AC2840" i="11"/>
  <c r="Z2840" i="11"/>
  <c r="Y2840" i="11"/>
  <c r="X2840" i="11"/>
  <c r="W2840" i="11"/>
  <c r="V2840" i="11"/>
  <c r="U2840" i="11"/>
  <c r="T2840" i="11"/>
  <c r="S2840" i="11"/>
  <c r="R2840" i="11"/>
  <c r="P2840" i="11"/>
  <c r="O2840" i="11"/>
  <c r="N2840" i="11"/>
  <c r="M2840" i="11"/>
  <c r="L2840" i="11"/>
  <c r="K2840" i="11"/>
  <c r="J2840" i="11"/>
  <c r="I2840" i="11"/>
  <c r="AE2839" i="11"/>
  <c r="AC2839" i="11"/>
  <c r="Z2839" i="11"/>
  <c r="Y2839" i="11"/>
  <c r="X2839" i="11"/>
  <c r="W2839" i="11"/>
  <c r="V2839" i="11"/>
  <c r="U2839" i="11"/>
  <c r="T2839" i="11"/>
  <c r="S2839" i="11"/>
  <c r="R2839" i="11"/>
  <c r="P2839" i="11"/>
  <c r="O2839" i="11"/>
  <c r="N2839" i="11"/>
  <c r="M2839" i="11"/>
  <c r="L2839" i="11"/>
  <c r="K2839" i="11"/>
  <c r="J2839" i="11"/>
  <c r="I2839" i="11"/>
  <c r="AE2838" i="11"/>
  <c r="AC2838" i="11"/>
  <c r="Z2838" i="11"/>
  <c r="Y2838" i="11"/>
  <c r="X2838" i="11"/>
  <c r="W2838" i="11"/>
  <c r="V2838" i="11"/>
  <c r="U2838" i="11"/>
  <c r="T2838" i="11"/>
  <c r="S2838" i="11"/>
  <c r="R2838" i="11"/>
  <c r="P2838" i="11"/>
  <c r="O2838" i="11"/>
  <c r="N2838" i="11"/>
  <c r="M2838" i="11"/>
  <c r="L2838" i="11"/>
  <c r="K2838" i="11"/>
  <c r="J2838" i="11"/>
  <c r="I2838" i="11"/>
  <c r="AE2837" i="11"/>
  <c r="AC2837" i="11"/>
  <c r="Z2837" i="11"/>
  <c r="Y2837" i="11"/>
  <c r="X2837" i="11"/>
  <c r="W2837" i="11"/>
  <c r="V2837" i="11"/>
  <c r="U2837" i="11"/>
  <c r="T2837" i="11"/>
  <c r="S2837" i="11"/>
  <c r="R2837" i="11"/>
  <c r="P2837" i="11"/>
  <c r="O2837" i="11"/>
  <c r="N2837" i="11"/>
  <c r="M2837" i="11"/>
  <c r="L2837" i="11"/>
  <c r="K2837" i="11"/>
  <c r="J2837" i="11"/>
  <c r="I2837" i="11"/>
  <c r="AE2836" i="11"/>
  <c r="AC2836" i="11"/>
  <c r="Z2836" i="11"/>
  <c r="Y2836" i="11"/>
  <c r="X2836" i="11"/>
  <c r="W2836" i="11"/>
  <c r="V2836" i="11"/>
  <c r="U2836" i="11"/>
  <c r="T2836" i="11"/>
  <c r="S2836" i="11"/>
  <c r="R2836" i="11"/>
  <c r="P2836" i="11"/>
  <c r="O2836" i="11"/>
  <c r="N2836" i="11"/>
  <c r="M2836" i="11"/>
  <c r="L2836" i="11"/>
  <c r="K2836" i="11"/>
  <c r="J2836" i="11"/>
  <c r="I2836" i="11"/>
  <c r="AE2835" i="11"/>
  <c r="AC2835" i="11"/>
  <c r="Z2835" i="11"/>
  <c r="Y2835" i="11"/>
  <c r="X2835" i="11"/>
  <c r="W2835" i="11"/>
  <c r="V2835" i="11"/>
  <c r="U2835" i="11"/>
  <c r="T2835" i="11"/>
  <c r="S2835" i="11"/>
  <c r="R2835" i="11"/>
  <c r="P2835" i="11"/>
  <c r="O2835" i="11"/>
  <c r="N2835" i="11"/>
  <c r="M2835" i="11"/>
  <c r="L2835" i="11"/>
  <c r="K2835" i="11"/>
  <c r="J2835" i="11"/>
  <c r="I2835" i="11"/>
  <c r="AE2834" i="11"/>
  <c r="AC2834" i="11"/>
  <c r="Z2834" i="11"/>
  <c r="Y2834" i="11"/>
  <c r="X2834" i="11"/>
  <c r="W2834" i="11"/>
  <c r="V2834" i="11"/>
  <c r="U2834" i="11"/>
  <c r="T2834" i="11"/>
  <c r="S2834" i="11"/>
  <c r="R2834" i="11"/>
  <c r="P2834" i="11"/>
  <c r="O2834" i="11"/>
  <c r="N2834" i="11"/>
  <c r="M2834" i="11"/>
  <c r="L2834" i="11"/>
  <c r="K2834" i="11"/>
  <c r="J2834" i="11"/>
  <c r="I2834" i="11"/>
  <c r="AE2833" i="11"/>
  <c r="AC2833" i="11"/>
  <c r="Z2833" i="11"/>
  <c r="Y2833" i="11"/>
  <c r="X2833" i="11"/>
  <c r="W2833" i="11"/>
  <c r="V2833" i="11"/>
  <c r="U2833" i="11"/>
  <c r="T2833" i="11"/>
  <c r="S2833" i="11"/>
  <c r="R2833" i="11"/>
  <c r="P2833" i="11"/>
  <c r="O2833" i="11"/>
  <c r="N2833" i="11"/>
  <c r="M2833" i="11"/>
  <c r="L2833" i="11"/>
  <c r="K2833" i="11"/>
  <c r="J2833" i="11"/>
  <c r="I2833" i="11"/>
  <c r="AE2832" i="11"/>
  <c r="AC2832" i="11"/>
  <c r="Z2832" i="11"/>
  <c r="Y2832" i="11"/>
  <c r="X2832" i="11"/>
  <c r="W2832" i="11"/>
  <c r="V2832" i="11"/>
  <c r="U2832" i="11"/>
  <c r="T2832" i="11"/>
  <c r="S2832" i="11"/>
  <c r="R2832" i="11"/>
  <c r="P2832" i="11"/>
  <c r="O2832" i="11"/>
  <c r="N2832" i="11"/>
  <c r="M2832" i="11"/>
  <c r="L2832" i="11"/>
  <c r="K2832" i="11"/>
  <c r="J2832" i="11"/>
  <c r="I2832" i="11"/>
  <c r="AE2831" i="11"/>
  <c r="AC2831" i="11"/>
  <c r="Z2831" i="11"/>
  <c r="Y2831" i="11"/>
  <c r="X2831" i="11"/>
  <c r="W2831" i="11"/>
  <c r="V2831" i="11"/>
  <c r="U2831" i="11"/>
  <c r="T2831" i="11"/>
  <c r="S2831" i="11"/>
  <c r="R2831" i="11"/>
  <c r="P2831" i="11"/>
  <c r="O2831" i="11"/>
  <c r="N2831" i="11"/>
  <c r="M2831" i="11"/>
  <c r="L2831" i="11"/>
  <c r="K2831" i="11"/>
  <c r="J2831" i="11"/>
  <c r="I2831" i="11"/>
  <c r="AE2830" i="11"/>
  <c r="AC2830" i="11"/>
  <c r="Z2830" i="11"/>
  <c r="Y2830" i="11"/>
  <c r="X2830" i="11"/>
  <c r="W2830" i="11"/>
  <c r="V2830" i="11"/>
  <c r="U2830" i="11"/>
  <c r="T2830" i="11"/>
  <c r="S2830" i="11"/>
  <c r="R2830" i="11"/>
  <c r="P2830" i="11"/>
  <c r="O2830" i="11"/>
  <c r="N2830" i="11"/>
  <c r="M2830" i="11"/>
  <c r="L2830" i="11"/>
  <c r="K2830" i="11"/>
  <c r="J2830" i="11"/>
  <c r="I2830" i="11"/>
  <c r="AE2829" i="11"/>
  <c r="AC2829" i="11"/>
  <c r="Z2829" i="11"/>
  <c r="Y2829" i="11"/>
  <c r="X2829" i="11"/>
  <c r="W2829" i="11"/>
  <c r="V2829" i="11"/>
  <c r="U2829" i="11"/>
  <c r="T2829" i="11"/>
  <c r="S2829" i="11"/>
  <c r="R2829" i="11"/>
  <c r="P2829" i="11"/>
  <c r="O2829" i="11"/>
  <c r="N2829" i="11"/>
  <c r="M2829" i="11"/>
  <c r="L2829" i="11"/>
  <c r="K2829" i="11"/>
  <c r="J2829" i="11"/>
  <c r="I2829" i="11"/>
  <c r="AE2828" i="11"/>
  <c r="AC2828" i="11"/>
  <c r="Z2828" i="11"/>
  <c r="Y2828" i="11"/>
  <c r="X2828" i="11"/>
  <c r="W2828" i="11"/>
  <c r="V2828" i="11"/>
  <c r="U2828" i="11"/>
  <c r="T2828" i="11"/>
  <c r="S2828" i="11"/>
  <c r="R2828" i="11"/>
  <c r="P2828" i="11"/>
  <c r="O2828" i="11"/>
  <c r="N2828" i="11"/>
  <c r="M2828" i="11"/>
  <c r="L2828" i="11"/>
  <c r="K2828" i="11"/>
  <c r="J2828" i="11"/>
  <c r="I2828" i="11"/>
  <c r="AE2827" i="11"/>
  <c r="AC2827" i="11"/>
  <c r="Z2827" i="11"/>
  <c r="Y2827" i="11"/>
  <c r="X2827" i="11"/>
  <c r="W2827" i="11"/>
  <c r="V2827" i="11"/>
  <c r="U2827" i="11"/>
  <c r="T2827" i="11"/>
  <c r="S2827" i="11"/>
  <c r="R2827" i="11"/>
  <c r="P2827" i="11"/>
  <c r="O2827" i="11"/>
  <c r="N2827" i="11"/>
  <c r="M2827" i="11"/>
  <c r="L2827" i="11"/>
  <c r="K2827" i="11"/>
  <c r="J2827" i="11"/>
  <c r="I2827" i="11"/>
  <c r="AE2826" i="11"/>
  <c r="AC2826" i="11"/>
  <c r="Z2826" i="11"/>
  <c r="Y2826" i="11"/>
  <c r="X2826" i="11"/>
  <c r="W2826" i="11"/>
  <c r="V2826" i="11"/>
  <c r="U2826" i="11"/>
  <c r="T2826" i="11"/>
  <c r="S2826" i="11"/>
  <c r="R2826" i="11"/>
  <c r="P2826" i="11"/>
  <c r="O2826" i="11"/>
  <c r="N2826" i="11"/>
  <c r="M2826" i="11"/>
  <c r="L2826" i="11"/>
  <c r="K2826" i="11"/>
  <c r="J2826" i="11"/>
  <c r="I2826" i="11"/>
  <c r="AE2825" i="11"/>
  <c r="AC2825" i="11"/>
  <c r="Z2825" i="11"/>
  <c r="Y2825" i="11"/>
  <c r="X2825" i="11"/>
  <c r="W2825" i="11"/>
  <c r="V2825" i="11"/>
  <c r="U2825" i="11"/>
  <c r="T2825" i="11"/>
  <c r="S2825" i="11"/>
  <c r="R2825" i="11"/>
  <c r="P2825" i="11"/>
  <c r="O2825" i="11"/>
  <c r="N2825" i="11"/>
  <c r="M2825" i="11"/>
  <c r="L2825" i="11"/>
  <c r="K2825" i="11"/>
  <c r="J2825" i="11"/>
  <c r="I2825" i="11"/>
  <c r="AE2824" i="11"/>
  <c r="AC2824" i="11"/>
  <c r="Z2824" i="11"/>
  <c r="Y2824" i="11"/>
  <c r="X2824" i="11"/>
  <c r="W2824" i="11"/>
  <c r="V2824" i="11"/>
  <c r="U2824" i="11"/>
  <c r="T2824" i="11"/>
  <c r="S2824" i="11"/>
  <c r="R2824" i="11"/>
  <c r="P2824" i="11"/>
  <c r="O2824" i="11"/>
  <c r="N2824" i="11"/>
  <c r="M2824" i="11"/>
  <c r="L2824" i="11"/>
  <c r="K2824" i="11"/>
  <c r="J2824" i="11"/>
  <c r="I2824" i="11"/>
  <c r="AE2823" i="11"/>
  <c r="AC2823" i="11"/>
  <c r="Z2823" i="11"/>
  <c r="Y2823" i="11"/>
  <c r="X2823" i="11"/>
  <c r="W2823" i="11"/>
  <c r="V2823" i="11"/>
  <c r="U2823" i="11"/>
  <c r="T2823" i="11"/>
  <c r="S2823" i="11"/>
  <c r="R2823" i="11"/>
  <c r="P2823" i="11"/>
  <c r="O2823" i="11"/>
  <c r="N2823" i="11"/>
  <c r="M2823" i="11"/>
  <c r="L2823" i="11"/>
  <c r="K2823" i="11"/>
  <c r="J2823" i="11"/>
  <c r="I2823" i="11"/>
  <c r="AE2822" i="11"/>
  <c r="AC2822" i="11"/>
  <c r="Z2822" i="11"/>
  <c r="Y2822" i="11"/>
  <c r="X2822" i="11"/>
  <c r="W2822" i="11"/>
  <c r="V2822" i="11"/>
  <c r="U2822" i="11"/>
  <c r="T2822" i="11"/>
  <c r="S2822" i="11"/>
  <c r="R2822" i="11"/>
  <c r="P2822" i="11"/>
  <c r="O2822" i="11"/>
  <c r="N2822" i="11"/>
  <c r="M2822" i="11"/>
  <c r="L2822" i="11"/>
  <c r="K2822" i="11"/>
  <c r="J2822" i="11"/>
  <c r="I2822" i="11"/>
  <c r="AE2821" i="11"/>
  <c r="AC2821" i="11"/>
  <c r="Z2821" i="11"/>
  <c r="Y2821" i="11"/>
  <c r="X2821" i="11"/>
  <c r="W2821" i="11"/>
  <c r="V2821" i="11"/>
  <c r="U2821" i="11"/>
  <c r="T2821" i="11"/>
  <c r="S2821" i="11"/>
  <c r="R2821" i="11"/>
  <c r="P2821" i="11"/>
  <c r="O2821" i="11"/>
  <c r="N2821" i="11"/>
  <c r="M2821" i="11"/>
  <c r="L2821" i="11"/>
  <c r="K2821" i="11"/>
  <c r="J2821" i="11"/>
  <c r="I2821" i="11"/>
  <c r="AE2820" i="11"/>
  <c r="AC2820" i="11"/>
  <c r="Z2820" i="11"/>
  <c r="Y2820" i="11"/>
  <c r="X2820" i="11"/>
  <c r="W2820" i="11"/>
  <c r="V2820" i="11"/>
  <c r="U2820" i="11"/>
  <c r="T2820" i="11"/>
  <c r="S2820" i="11"/>
  <c r="R2820" i="11"/>
  <c r="P2820" i="11"/>
  <c r="O2820" i="11"/>
  <c r="N2820" i="11"/>
  <c r="M2820" i="11"/>
  <c r="L2820" i="11"/>
  <c r="K2820" i="11"/>
  <c r="J2820" i="11"/>
  <c r="I2820" i="11"/>
  <c r="AE2819" i="11"/>
  <c r="AC2819" i="11"/>
  <c r="Z2819" i="11"/>
  <c r="Y2819" i="11"/>
  <c r="X2819" i="11"/>
  <c r="W2819" i="11"/>
  <c r="V2819" i="11"/>
  <c r="U2819" i="11"/>
  <c r="T2819" i="11"/>
  <c r="S2819" i="11"/>
  <c r="R2819" i="11"/>
  <c r="P2819" i="11"/>
  <c r="O2819" i="11"/>
  <c r="N2819" i="11"/>
  <c r="M2819" i="11"/>
  <c r="L2819" i="11"/>
  <c r="K2819" i="11"/>
  <c r="J2819" i="11"/>
  <c r="I2819" i="11"/>
  <c r="AE2818" i="11"/>
  <c r="AC2818" i="11"/>
  <c r="Z2818" i="11"/>
  <c r="Y2818" i="11"/>
  <c r="X2818" i="11"/>
  <c r="W2818" i="11"/>
  <c r="V2818" i="11"/>
  <c r="U2818" i="11"/>
  <c r="T2818" i="11"/>
  <c r="S2818" i="11"/>
  <c r="R2818" i="11"/>
  <c r="P2818" i="11"/>
  <c r="O2818" i="11"/>
  <c r="N2818" i="11"/>
  <c r="M2818" i="11"/>
  <c r="L2818" i="11"/>
  <c r="K2818" i="11"/>
  <c r="J2818" i="11"/>
  <c r="I2818" i="11"/>
  <c r="AE2817" i="11"/>
  <c r="AC2817" i="11"/>
  <c r="Z2817" i="11"/>
  <c r="Y2817" i="11"/>
  <c r="X2817" i="11"/>
  <c r="W2817" i="11"/>
  <c r="V2817" i="11"/>
  <c r="U2817" i="11"/>
  <c r="T2817" i="11"/>
  <c r="S2817" i="11"/>
  <c r="R2817" i="11"/>
  <c r="P2817" i="11"/>
  <c r="O2817" i="11"/>
  <c r="N2817" i="11"/>
  <c r="M2817" i="11"/>
  <c r="L2817" i="11"/>
  <c r="K2817" i="11"/>
  <c r="J2817" i="11"/>
  <c r="I2817" i="11"/>
  <c r="AE2816" i="11"/>
  <c r="AC2816" i="11"/>
  <c r="Z2816" i="11"/>
  <c r="Y2816" i="11"/>
  <c r="X2816" i="11"/>
  <c r="W2816" i="11"/>
  <c r="V2816" i="11"/>
  <c r="U2816" i="11"/>
  <c r="T2816" i="11"/>
  <c r="S2816" i="11"/>
  <c r="R2816" i="11"/>
  <c r="P2816" i="11"/>
  <c r="O2816" i="11"/>
  <c r="N2816" i="11"/>
  <c r="M2816" i="11"/>
  <c r="L2816" i="11"/>
  <c r="K2816" i="11"/>
  <c r="J2816" i="11"/>
  <c r="I2816" i="11"/>
  <c r="AE2815" i="11"/>
  <c r="AC2815" i="11"/>
  <c r="Z2815" i="11"/>
  <c r="Y2815" i="11"/>
  <c r="X2815" i="11"/>
  <c r="W2815" i="11"/>
  <c r="V2815" i="11"/>
  <c r="U2815" i="11"/>
  <c r="T2815" i="11"/>
  <c r="S2815" i="11"/>
  <c r="R2815" i="11"/>
  <c r="P2815" i="11"/>
  <c r="O2815" i="11"/>
  <c r="N2815" i="11"/>
  <c r="M2815" i="11"/>
  <c r="L2815" i="11"/>
  <c r="K2815" i="11"/>
  <c r="J2815" i="11"/>
  <c r="I2815" i="11"/>
  <c r="AE2814" i="11"/>
  <c r="AC2814" i="11"/>
  <c r="Z2814" i="11"/>
  <c r="Y2814" i="11"/>
  <c r="X2814" i="11"/>
  <c r="W2814" i="11"/>
  <c r="V2814" i="11"/>
  <c r="U2814" i="11"/>
  <c r="T2814" i="11"/>
  <c r="S2814" i="11"/>
  <c r="R2814" i="11"/>
  <c r="P2814" i="11"/>
  <c r="O2814" i="11"/>
  <c r="N2814" i="11"/>
  <c r="M2814" i="11"/>
  <c r="L2814" i="11"/>
  <c r="K2814" i="11"/>
  <c r="J2814" i="11"/>
  <c r="I2814" i="11"/>
  <c r="AE2813" i="11"/>
  <c r="AC2813" i="11"/>
  <c r="Z2813" i="11"/>
  <c r="Y2813" i="11"/>
  <c r="X2813" i="11"/>
  <c r="W2813" i="11"/>
  <c r="V2813" i="11"/>
  <c r="U2813" i="11"/>
  <c r="T2813" i="11"/>
  <c r="S2813" i="11"/>
  <c r="R2813" i="11"/>
  <c r="P2813" i="11"/>
  <c r="O2813" i="11"/>
  <c r="N2813" i="11"/>
  <c r="M2813" i="11"/>
  <c r="L2813" i="11"/>
  <c r="K2813" i="11"/>
  <c r="J2813" i="11"/>
  <c r="I2813" i="11"/>
  <c r="AE2812" i="11"/>
  <c r="AC2812" i="11"/>
  <c r="Z2812" i="11"/>
  <c r="Y2812" i="11"/>
  <c r="X2812" i="11"/>
  <c r="W2812" i="11"/>
  <c r="V2812" i="11"/>
  <c r="U2812" i="11"/>
  <c r="T2812" i="11"/>
  <c r="S2812" i="11"/>
  <c r="R2812" i="11"/>
  <c r="P2812" i="11"/>
  <c r="O2812" i="11"/>
  <c r="N2812" i="11"/>
  <c r="M2812" i="11"/>
  <c r="L2812" i="11"/>
  <c r="K2812" i="11"/>
  <c r="J2812" i="11"/>
  <c r="I2812" i="11"/>
  <c r="AE2811" i="11"/>
  <c r="AC2811" i="11"/>
  <c r="Z2811" i="11"/>
  <c r="Y2811" i="11"/>
  <c r="X2811" i="11"/>
  <c r="W2811" i="11"/>
  <c r="V2811" i="11"/>
  <c r="U2811" i="11"/>
  <c r="T2811" i="11"/>
  <c r="S2811" i="11"/>
  <c r="R2811" i="11"/>
  <c r="P2811" i="11"/>
  <c r="O2811" i="11"/>
  <c r="N2811" i="11"/>
  <c r="M2811" i="11"/>
  <c r="L2811" i="11"/>
  <c r="K2811" i="11"/>
  <c r="J2811" i="11"/>
  <c r="I2811" i="11"/>
  <c r="AE2810" i="11"/>
  <c r="AC2810" i="11"/>
  <c r="Z2810" i="11"/>
  <c r="Y2810" i="11"/>
  <c r="X2810" i="11"/>
  <c r="W2810" i="11"/>
  <c r="V2810" i="11"/>
  <c r="U2810" i="11"/>
  <c r="T2810" i="11"/>
  <c r="S2810" i="11"/>
  <c r="R2810" i="11"/>
  <c r="P2810" i="11"/>
  <c r="O2810" i="11"/>
  <c r="N2810" i="11"/>
  <c r="M2810" i="11"/>
  <c r="L2810" i="11"/>
  <c r="K2810" i="11"/>
  <c r="J2810" i="11"/>
  <c r="I2810" i="11"/>
  <c r="AE2809" i="11"/>
  <c r="AC2809" i="11"/>
  <c r="Z2809" i="11"/>
  <c r="Y2809" i="11"/>
  <c r="X2809" i="11"/>
  <c r="W2809" i="11"/>
  <c r="V2809" i="11"/>
  <c r="U2809" i="11"/>
  <c r="T2809" i="11"/>
  <c r="S2809" i="11"/>
  <c r="R2809" i="11"/>
  <c r="P2809" i="11"/>
  <c r="O2809" i="11"/>
  <c r="N2809" i="11"/>
  <c r="M2809" i="11"/>
  <c r="L2809" i="11"/>
  <c r="K2809" i="11"/>
  <c r="J2809" i="11"/>
  <c r="I2809" i="11"/>
  <c r="AE2808" i="11"/>
  <c r="AC2808" i="11"/>
  <c r="Z2808" i="11"/>
  <c r="Y2808" i="11"/>
  <c r="X2808" i="11"/>
  <c r="W2808" i="11"/>
  <c r="V2808" i="11"/>
  <c r="U2808" i="11"/>
  <c r="T2808" i="11"/>
  <c r="S2808" i="11"/>
  <c r="R2808" i="11"/>
  <c r="P2808" i="11"/>
  <c r="O2808" i="11"/>
  <c r="N2808" i="11"/>
  <c r="M2808" i="11"/>
  <c r="L2808" i="11"/>
  <c r="K2808" i="11"/>
  <c r="J2808" i="11"/>
  <c r="I2808" i="11"/>
  <c r="AE2807" i="11"/>
  <c r="AC2807" i="11"/>
  <c r="Z2807" i="11"/>
  <c r="Y2807" i="11"/>
  <c r="X2807" i="11"/>
  <c r="W2807" i="11"/>
  <c r="V2807" i="11"/>
  <c r="U2807" i="11"/>
  <c r="T2807" i="11"/>
  <c r="S2807" i="11"/>
  <c r="R2807" i="11"/>
  <c r="P2807" i="11"/>
  <c r="O2807" i="11"/>
  <c r="N2807" i="11"/>
  <c r="M2807" i="11"/>
  <c r="L2807" i="11"/>
  <c r="K2807" i="11"/>
  <c r="J2807" i="11"/>
  <c r="I2807" i="11"/>
  <c r="AE2806" i="11"/>
  <c r="AC2806" i="11"/>
  <c r="Z2806" i="11"/>
  <c r="Y2806" i="11"/>
  <c r="X2806" i="11"/>
  <c r="W2806" i="11"/>
  <c r="V2806" i="11"/>
  <c r="U2806" i="11"/>
  <c r="T2806" i="11"/>
  <c r="S2806" i="11"/>
  <c r="R2806" i="11"/>
  <c r="P2806" i="11"/>
  <c r="O2806" i="11"/>
  <c r="N2806" i="11"/>
  <c r="M2806" i="11"/>
  <c r="L2806" i="11"/>
  <c r="K2806" i="11"/>
  <c r="J2806" i="11"/>
  <c r="I2806" i="11"/>
  <c r="AE2805" i="11"/>
  <c r="AC2805" i="11"/>
  <c r="Z2805" i="11"/>
  <c r="Y2805" i="11"/>
  <c r="X2805" i="11"/>
  <c r="W2805" i="11"/>
  <c r="V2805" i="11"/>
  <c r="U2805" i="11"/>
  <c r="T2805" i="11"/>
  <c r="S2805" i="11"/>
  <c r="R2805" i="11"/>
  <c r="P2805" i="11"/>
  <c r="O2805" i="11"/>
  <c r="N2805" i="11"/>
  <c r="M2805" i="11"/>
  <c r="L2805" i="11"/>
  <c r="K2805" i="11"/>
  <c r="J2805" i="11"/>
  <c r="I2805" i="11"/>
  <c r="AE2804" i="11"/>
  <c r="AC2804" i="11"/>
  <c r="Z2804" i="11"/>
  <c r="Y2804" i="11"/>
  <c r="X2804" i="11"/>
  <c r="W2804" i="11"/>
  <c r="V2804" i="11"/>
  <c r="U2804" i="11"/>
  <c r="T2804" i="11"/>
  <c r="S2804" i="11"/>
  <c r="R2804" i="11"/>
  <c r="P2804" i="11"/>
  <c r="O2804" i="11"/>
  <c r="N2804" i="11"/>
  <c r="M2804" i="11"/>
  <c r="L2804" i="11"/>
  <c r="K2804" i="11"/>
  <c r="J2804" i="11"/>
  <c r="I2804" i="11"/>
  <c r="AE2803" i="11"/>
  <c r="AC2803" i="11"/>
  <c r="Z2803" i="11"/>
  <c r="Y2803" i="11"/>
  <c r="X2803" i="11"/>
  <c r="W2803" i="11"/>
  <c r="V2803" i="11"/>
  <c r="U2803" i="11"/>
  <c r="T2803" i="11"/>
  <c r="S2803" i="11"/>
  <c r="R2803" i="11"/>
  <c r="P2803" i="11"/>
  <c r="O2803" i="11"/>
  <c r="N2803" i="11"/>
  <c r="M2803" i="11"/>
  <c r="L2803" i="11"/>
  <c r="K2803" i="11"/>
  <c r="J2803" i="11"/>
  <c r="I2803" i="11"/>
  <c r="AE2802" i="11"/>
  <c r="AC2802" i="11"/>
  <c r="Z2802" i="11"/>
  <c r="Y2802" i="11"/>
  <c r="X2802" i="11"/>
  <c r="W2802" i="11"/>
  <c r="V2802" i="11"/>
  <c r="U2802" i="11"/>
  <c r="T2802" i="11"/>
  <c r="S2802" i="11"/>
  <c r="R2802" i="11"/>
  <c r="P2802" i="11"/>
  <c r="O2802" i="11"/>
  <c r="N2802" i="11"/>
  <c r="M2802" i="11"/>
  <c r="L2802" i="11"/>
  <c r="K2802" i="11"/>
  <c r="J2802" i="11"/>
  <c r="I2802" i="11"/>
  <c r="AE2801" i="11"/>
  <c r="AC2801" i="11"/>
  <c r="Z2801" i="11"/>
  <c r="Y2801" i="11"/>
  <c r="X2801" i="11"/>
  <c r="W2801" i="11"/>
  <c r="V2801" i="11"/>
  <c r="U2801" i="11"/>
  <c r="T2801" i="11"/>
  <c r="S2801" i="11"/>
  <c r="R2801" i="11"/>
  <c r="P2801" i="11"/>
  <c r="O2801" i="11"/>
  <c r="N2801" i="11"/>
  <c r="M2801" i="11"/>
  <c r="L2801" i="11"/>
  <c r="K2801" i="11"/>
  <c r="J2801" i="11"/>
  <c r="I2801" i="11"/>
  <c r="AE2800" i="11"/>
  <c r="AC2800" i="11"/>
  <c r="Z2800" i="11"/>
  <c r="Y2800" i="11"/>
  <c r="X2800" i="11"/>
  <c r="W2800" i="11"/>
  <c r="V2800" i="11"/>
  <c r="U2800" i="11"/>
  <c r="T2800" i="11"/>
  <c r="S2800" i="11"/>
  <c r="R2800" i="11"/>
  <c r="P2800" i="11"/>
  <c r="O2800" i="11"/>
  <c r="N2800" i="11"/>
  <c r="M2800" i="11"/>
  <c r="L2800" i="11"/>
  <c r="K2800" i="11"/>
  <c r="J2800" i="11"/>
  <c r="I2800" i="11"/>
  <c r="AE2799" i="11"/>
  <c r="AC2799" i="11"/>
  <c r="Z2799" i="11"/>
  <c r="Y2799" i="11"/>
  <c r="X2799" i="11"/>
  <c r="W2799" i="11"/>
  <c r="V2799" i="11"/>
  <c r="U2799" i="11"/>
  <c r="T2799" i="11"/>
  <c r="S2799" i="11"/>
  <c r="R2799" i="11"/>
  <c r="P2799" i="11"/>
  <c r="O2799" i="11"/>
  <c r="N2799" i="11"/>
  <c r="M2799" i="11"/>
  <c r="L2799" i="11"/>
  <c r="K2799" i="11"/>
  <c r="J2799" i="11"/>
  <c r="I2799" i="11"/>
  <c r="AE2798" i="11"/>
  <c r="AC2798" i="11"/>
  <c r="Z2798" i="11"/>
  <c r="Y2798" i="11"/>
  <c r="X2798" i="11"/>
  <c r="W2798" i="11"/>
  <c r="V2798" i="11"/>
  <c r="U2798" i="11"/>
  <c r="T2798" i="11"/>
  <c r="S2798" i="11"/>
  <c r="R2798" i="11"/>
  <c r="P2798" i="11"/>
  <c r="O2798" i="11"/>
  <c r="N2798" i="11"/>
  <c r="M2798" i="11"/>
  <c r="L2798" i="11"/>
  <c r="K2798" i="11"/>
  <c r="J2798" i="11"/>
  <c r="I2798" i="11"/>
  <c r="AE2797" i="11"/>
  <c r="AC2797" i="11"/>
  <c r="Z2797" i="11"/>
  <c r="Y2797" i="11"/>
  <c r="X2797" i="11"/>
  <c r="W2797" i="11"/>
  <c r="V2797" i="11"/>
  <c r="U2797" i="11"/>
  <c r="T2797" i="11"/>
  <c r="S2797" i="11"/>
  <c r="R2797" i="11"/>
  <c r="P2797" i="11"/>
  <c r="O2797" i="11"/>
  <c r="N2797" i="11"/>
  <c r="M2797" i="11"/>
  <c r="L2797" i="11"/>
  <c r="K2797" i="11"/>
  <c r="J2797" i="11"/>
  <c r="I2797" i="11"/>
  <c r="AE2796" i="11"/>
  <c r="AC2796" i="11"/>
  <c r="Z2796" i="11"/>
  <c r="Y2796" i="11"/>
  <c r="X2796" i="11"/>
  <c r="W2796" i="11"/>
  <c r="V2796" i="11"/>
  <c r="U2796" i="11"/>
  <c r="T2796" i="11"/>
  <c r="S2796" i="11"/>
  <c r="R2796" i="11"/>
  <c r="P2796" i="11"/>
  <c r="O2796" i="11"/>
  <c r="N2796" i="11"/>
  <c r="M2796" i="11"/>
  <c r="L2796" i="11"/>
  <c r="K2796" i="11"/>
  <c r="J2796" i="11"/>
  <c r="I2796" i="11"/>
  <c r="AE2795" i="11"/>
  <c r="AC2795" i="11"/>
  <c r="Z2795" i="11"/>
  <c r="Y2795" i="11"/>
  <c r="X2795" i="11"/>
  <c r="W2795" i="11"/>
  <c r="V2795" i="11"/>
  <c r="U2795" i="11"/>
  <c r="T2795" i="11"/>
  <c r="S2795" i="11"/>
  <c r="R2795" i="11"/>
  <c r="P2795" i="11"/>
  <c r="O2795" i="11"/>
  <c r="N2795" i="11"/>
  <c r="M2795" i="11"/>
  <c r="L2795" i="11"/>
  <c r="K2795" i="11"/>
  <c r="J2795" i="11"/>
  <c r="I2795" i="11"/>
  <c r="AE2794" i="11"/>
  <c r="AC2794" i="11"/>
  <c r="Z2794" i="11"/>
  <c r="Y2794" i="11"/>
  <c r="X2794" i="11"/>
  <c r="W2794" i="11"/>
  <c r="V2794" i="11"/>
  <c r="U2794" i="11"/>
  <c r="T2794" i="11"/>
  <c r="S2794" i="11"/>
  <c r="R2794" i="11"/>
  <c r="P2794" i="11"/>
  <c r="O2794" i="11"/>
  <c r="N2794" i="11"/>
  <c r="M2794" i="11"/>
  <c r="L2794" i="11"/>
  <c r="K2794" i="11"/>
  <c r="J2794" i="11"/>
  <c r="I2794" i="11"/>
  <c r="AE2793" i="11"/>
  <c r="AC2793" i="11"/>
  <c r="Z2793" i="11"/>
  <c r="Y2793" i="11"/>
  <c r="X2793" i="11"/>
  <c r="W2793" i="11"/>
  <c r="V2793" i="11"/>
  <c r="U2793" i="11"/>
  <c r="T2793" i="11"/>
  <c r="S2793" i="11"/>
  <c r="R2793" i="11"/>
  <c r="P2793" i="11"/>
  <c r="O2793" i="11"/>
  <c r="N2793" i="11"/>
  <c r="M2793" i="11"/>
  <c r="L2793" i="11"/>
  <c r="K2793" i="11"/>
  <c r="J2793" i="11"/>
  <c r="I2793" i="11"/>
  <c r="AE2792" i="11"/>
  <c r="AC2792" i="11"/>
  <c r="Z2792" i="11"/>
  <c r="Y2792" i="11"/>
  <c r="X2792" i="11"/>
  <c r="W2792" i="11"/>
  <c r="V2792" i="11"/>
  <c r="U2792" i="11"/>
  <c r="T2792" i="11"/>
  <c r="S2792" i="11"/>
  <c r="R2792" i="11"/>
  <c r="P2792" i="11"/>
  <c r="O2792" i="11"/>
  <c r="N2792" i="11"/>
  <c r="M2792" i="11"/>
  <c r="L2792" i="11"/>
  <c r="K2792" i="11"/>
  <c r="J2792" i="11"/>
  <c r="I2792" i="11"/>
  <c r="AE2791" i="11"/>
  <c r="AC2791" i="11"/>
  <c r="Z2791" i="11"/>
  <c r="Y2791" i="11"/>
  <c r="X2791" i="11"/>
  <c r="W2791" i="11"/>
  <c r="V2791" i="11"/>
  <c r="U2791" i="11"/>
  <c r="T2791" i="11"/>
  <c r="S2791" i="11"/>
  <c r="R2791" i="11"/>
  <c r="P2791" i="11"/>
  <c r="O2791" i="11"/>
  <c r="N2791" i="11"/>
  <c r="M2791" i="11"/>
  <c r="L2791" i="11"/>
  <c r="K2791" i="11"/>
  <c r="J2791" i="11"/>
  <c r="I2791" i="11"/>
  <c r="AE2790" i="11"/>
  <c r="AC2790" i="11"/>
  <c r="Z2790" i="11"/>
  <c r="Y2790" i="11"/>
  <c r="X2790" i="11"/>
  <c r="W2790" i="11"/>
  <c r="V2790" i="11"/>
  <c r="U2790" i="11"/>
  <c r="T2790" i="11"/>
  <c r="S2790" i="11"/>
  <c r="R2790" i="11"/>
  <c r="P2790" i="11"/>
  <c r="O2790" i="11"/>
  <c r="N2790" i="11"/>
  <c r="M2790" i="11"/>
  <c r="L2790" i="11"/>
  <c r="K2790" i="11"/>
  <c r="J2790" i="11"/>
  <c r="I2790" i="11"/>
  <c r="AE2789" i="11"/>
  <c r="AC2789" i="11"/>
  <c r="Z2789" i="11"/>
  <c r="Y2789" i="11"/>
  <c r="X2789" i="11"/>
  <c r="W2789" i="11"/>
  <c r="V2789" i="11"/>
  <c r="U2789" i="11"/>
  <c r="T2789" i="11"/>
  <c r="S2789" i="11"/>
  <c r="R2789" i="11"/>
  <c r="P2789" i="11"/>
  <c r="O2789" i="11"/>
  <c r="N2789" i="11"/>
  <c r="M2789" i="11"/>
  <c r="L2789" i="11"/>
  <c r="K2789" i="11"/>
  <c r="J2789" i="11"/>
  <c r="I2789" i="11"/>
  <c r="AE2788" i="11"/>
  <c r="AC2788" i="11"/>
  <c r="Z2788" i="11"/>
  <c r="Y2788" i="11"/>
  <c r="X2788" i="11"/>
  <c r="W2788" i="11"/>
  <c r="V2788" i="11"/>
  <c r="U2788" i="11"/>
  <c r="T2788" i="11"/>
  <c r="S2788" i="11"/>
  <c r="R2788" i="11"/>
  <c r="P2788" i="11"/>
  <c r="O2788" i="11"/>
  <c r="N2788" i="11"/>
  <c r="M2788" i="11"/>
  <c r="L2788" i="11"/>
  <c r="K2788" i="11"/>
  <c r="J2788" i="11"/>
  <c r="I2788" i="11"/>
  <c r="AE2787" i="11"/>
  <c r="AC2787" i="11"/>
  <c r="Z2787" i="11"/>
  <c r="Y2787" i="11"/>
  <c r="X2787" i="11"/>
  <c r="W2787" i="11"/>
  <c r="V2787" i="11"/>
  <c r="U2787" i="11"/>
  <c r="T2787" i="11"/>
  <c r="S2787" i="11"/>
  <c r="R2787" i="11"/>
  <c r="P2787" i="11"/>
  <c r="O2787" i="11"/>
  <c r="N2787" i="11"/>
  <c r="M2787" i="11"/>
  <c r="L2787" i="11"/>
  <c r="K2787" i="11"/>
  <c r="J2787" i="11"/>
  <c r="I2787" i="11"/>
  <c r="AE2786" i="11"/>
  <c r="AC2786" i="11"/>
  <c r="Z2786" i="11"/>
  <c r="Y2786" i="11"/>
  <c r="X2786" i="11"/>
  <c r="W2786" i="11"/>
  <c r="V2786" i="11"/>
  <c r="U2786" i="11"/>
  <c r="T2786" i="11"/>
  <c r="S2786" i="11"/>
  <c r="R2786" i="11"/>
  <c r="P2786" i="11"/>
  <c r="O2786" i="11"/>
  <c r="N2786" i="11"/>
  <c r="M2786" i="11"/>
  <c r="L2786" i="11"/>
  <c r="K2786" i="11"/>
  <c r="J2786" i="11"/>
  <c r="I2786" i="11"/>
  <c r="AE2785" i="11"/>
  <c r="AC2785" i="11"/>
  <c r="Z2785" i="11"/>
  <c r="Y2785" i="11"/>
  <c r="X2785" i="11"/>
  <c r="W2785" i="11"/>
  <c r="V2785" i="11"/>
  <c r="U2785" i="11"/>
  <c r="T2785" i="11"/>
  <c r="S2785" i="11"/>
  <c r="R2785" i="11"/>
  <c r="P2785" i="11"/>
  <c r="O2785" i="11"/>
  <c r="N2785" i="11"/>
  <c r="M2785" i="11"/>
  <c r="L2785" i="11"/>
  <c r="K2785" i="11"/>
  <c r="J2785" i="11"/>
  <c r="I2785" i="11"/>
  <c r="AE2784" i="11"/>
  <c r="AC2784" i="11"/>
  <c r="Z2784" i="11"/>
  <c r="Y2784" i="11"/>
  <c r="X2784" i="11"/>
  <c r="W2784" i="11"/>
  <c r="V2784" i="11"/>
  <c r="U2784" i="11"/>
  <c r="T2784" i="11"/>
  <c r="S2784" i="11"/>
  <c r="R2784" i="11"/>
  <c r="P2784" i="11"/>
  <c r="O2784" i="11"/>
  <c r="N2784" i="11"/>
  <c r="M2784" i="11"/>
  <c r="L2784" i="11"/>
  <c r="K2784" i="11"/>
  <c r="J2784" i="11"/>
  <c r="I2784" i="11"/>
  <c r="AE2783" i="11"/>
  <c r="AC2783" i="11"/>
  <c r="Z2783" i="11"/>
  <c r="Y2783" i="11"/>
  <c r="X2783" i="11"/>
  <c r="W2783" i="11"/>
  <c r="V2783" i="11"/>
  <c r="U2783" i="11"/>
  <c r="T2783" i="11"/>
  <c r="S2783" i="11"/>
  <c r="R2783" i="11"/>
  <c r="P2783" i="11"/>
  <c r="O2783" i="11"/>
  <c r="N2783" i="11"/>
  <c r="M2783" i="11"/>
  <c r="L2783" i="11"/>
  <c r="K2783" i="11"/>
  <c r="J2783" i="11"/>
  <c r="I2783" i="11"/>
  <c r="AE2782" i="11"/>
  <c r="AC2782" i="11"/>
  <c r="Z2782" i="11"/>
  <c r="Y2782" i="11"/>
  <c r="X2782" i="11"/>
  <c r="W2782" i="11"/>
  <c r="V2782" i="11"/>
  <c r="U2782" i="11"/>
  <c r="T2782" i="11"/>
  <c r="S2782" i="11"/>
  <c r="R2782" i="11"/>
  <c r="P2782" i="11"/>
  <c r="O2782" i="11"/>
  <c r="N2782" i="11"/>
  <c r="M2782" i="11"/>
  <c r="L2782" i="11"/>
  <c r="K2782" i="11"/>
  <c r="J2782" i="11"/>
  <c r="I2782" i="11"/>
  <c r="AE2781" i="11"/>
  <c r="AC2781" i="11"/>
  <c r="Z2781" i="11"/>
  <c r="Y2781" i="11"/>
  <c r="X2781" i="11"/>
  <c r="W2781" i="11"/>
  <c r="V2781" i="11"/>
  <c r="U2781" i="11"/>
  <c r="T2781" i="11"/>
  <c r="S2781" i="11"/>
  <c r="R2781" i="11"/>
  <c r="P2781" i="11"/>
  <c r="O2781" i="11"/>
  <c r="N2781" i="11"/>
  <c r="M2781" i="11"/>
  <c r="L2781" i="11"/>
  <c r="K2781" i="11"/>
  <c r="J2781" i="11"/>
  <c r="I2781" i="11"/>
  <c r="AE2780" i="11"/>
  <c r="AC2780" i="11"/>
  <c r="Z2780" i="11"/>
  <c r="Y2780" i="11"/>
  <c r="X2780" i="11"/>
  <c r="W2780" i="11"/>
  <c r="V2780" i="11"/>
  <c r="U2780" i="11"/>
  <c r="T2780" i="11"/>
  <c r="S2780" i="11"/>
  <c r="R2780" i="11"/>
  <c r="P2780" i="11"/>
  <c r="O2780" i="11"/>
  <c r="N2780" i="11"/>
  <c r="M2780" i="11"/>
  <c r="L2780" i="11"/>
  <c r="K2780" i="11"/>
  <c r="J2780" i="11"/>
  <c r="I2780" i="11"/>
  <c r="AE2779" i="11"/>
  <c r="AC2779" i="11"/>
  <c r="Z2779" i="11"/>
  <c r="Y2779" i="11"/>
  <c r="X2779" i="11"/>
  <c r="W2779" i="11"/>
  <c r="V2779" i="11"/>
  <c r="U2779" i="11"/>
  <c r="T2779" i="11"/>
  <c r="S2779" i="11"/>
  <c r="R2779" i="11"/>
  <c r="P2779" i="11"/>
  <c r="O2779" i="11"/>
  <c r="N2779" i="11"/>
  <c r="M2779" i="11"/>
  <c r="L2779" i="11"/>
  <c r="K2779" i="11"/>
  <c r="J2779" i="11"/>
  <c r="I2779" i="11"/>
  <c r="AE2778" i="11"/>
  <c r="AC2778" i="11"/>
  <c r="Z2778" i="11"/>
  <c r="Y2778" i="11"/>
  <c r="X2778" i="11"/>
  <c r="W2778" i="11"/>
  <c r="V2778" i="11"/>
  <c r="U2778" i="11"/>
  <c r="T2778" i="11"/>
  <c r="S2778" i="11"/>
  <c r="R2778" i="11"/>
  <c r="P2778" i="11"/>
  <c r="O2778" i="11"/>
  <c r="N2778" i="11"/>
  <c r="M2778" i="11"/>
  <c r="L2778" i="11"/>
  <c r="K2778" i="11"/>
  <c r="J2778" i="11"/>
  <c r="I2778" i="11"/>
  <c r="AE2777" i="11"/>
  <c r="AC2777" i="11"/>
  <c r="Z2777" i="11"/>
  <c r="Y2777" i="11"/>
  <c r="X2777" i="11"/>
  <c r="W2777" i="11"/>
  <c r="V2777" i="11"/>
  <c r="U2777" i="11"/>
  <c r="T2777" i="11"/>
  <c r="S2777" i="11"/>
  <c r="R2777" i="11"/>
  <c r="P2777" i="11"/>
  <c r="O2777" i="11"/>
  <c r="N2777" i="11"/>
  <c r="M2777" i="11"/>
  <c r="L2777" i="11"/>
  <c r="K2777" i="11"/>
  <c r="J2777" i="11"/>
  <c r="I2777" i="11"/>
  <c r="AE2776" i="11"/>
  <c r="AC2776" i="11"/>
  <c r="Z2776" i="11"/>
  <c r="Y2776" i="11"/>
  <c r="X2776" i="11"/>
  <c r="W2776" i="11"/>
  <c r="V2776" i="11"/>
  <c r="U2776" i="11"/>
  <c r="T2776" i="11"/>
  <c r="S2776" i="11"/>
  <c r="R2776" i="11"/>
  <c r="P2776" i="11"/>
  <c r="O2776" i="11"/>
  <c r="N2776" i="11"/>
  <c r="M2776" i="11"/>
  <c r="L2776" i="11"/>
  <c r="K2776" i="11"/>
  <c r="J2776" i="11"/>
  <c r="I2776" i="11"/>
  <c r="AE2775" i="11"/>
  <c r="AC2775" i="11"/>
  <c r="Z2775" i="11"/>
  <c r="Y2775" i="11"/>
  <c r="X2775" i="11"/>
  <c r="W2775" i="11"/>
  <c r="V2775" i="11"/>
  <c r="U2775" i="11"/>
  <c r="T2775" i="11"/>
  <c r="S2775" i="11"/>
  <c r="R2775" i="11"/>
  <c r="P2775" i="11"/>
  <c r="O2775" i="11"/>
  <c r="N2775" i="11"/>
  <c r="M2775" i="11"/>
  <c r="L2775" i="11"/>
  <c r="K2775" i="11"/>
  <c r="J2775" i="11"/>
  <c r="I2775" i="11"/>
  <c r="AE2774" i="11"/>
  <c r="AC2774" i="11"/>
  <c r="Z2774" i="11"/>
  <c r="Y2774" i="11"/>
  <c r="X2774" i="11"/>
  <c r="W2774" i="11"/>
  <c r="V2774" i="11"/>
  <c r="U2774" i="11"/>
  <c r="T2774" i="11"/>
  <c r="S2774" i="11"/>
  <c r="R2774" i="11"/>
  <c r="P2774" i="11"/>
  <c r="O2774" i="11"/>
  <c r="N2774" i="11"/>
  <c r="M2774" i="11"/>
  <c r="L2774" i="11"/>
  <c r="K2774" i="11"/>
  <c r="J2774" i="11"/>
  <c r="I2774" i="11"/>
  <c r="AE2773" i="11"/>
  <c r="AC2773" i="11"/>
  <c r="Z2773" i="11"/>
  <c r="Y2773" i="11"/>
  <c r="X2773" i="11"/>
  <c r="W2773" i="11"/>
  <c r="V2773" i="11"/>
  <c r="U2773" i="11"/>
  <c r="T2773" i="11"/>
  <c r="S2773" i="11"/>
  <c r="R2773" i="11"/>
  <c r="P2773" i="11"/>
  <c r="O2773" i="11"/>
  <c r="N2773" i="11"/>
  <c r="M2773" i="11"/>
  <c r="L2773" i="11"/>
  <c r="K2773" i="11"/>
  <c r="J2773" i="11"/>
  <c r="I2773" i="11"/>
  <c r="AE2772" i="11"/>
  <c r="AC2772" i="11"/>
  <c r="Z2772" i="11"/>
  <c r="Y2772" i="11"/>
  <c r="X2772" i="11"/>
  <c r="W2772" i="11"/>
  <c r="V2772" i="11"/>
  <c r="U2772" i="11"/>
  <c r="T2772" i="11"/>
  <c r="S2772" i="11"/>
  <c r="R2772" i="11"/>
  <c r="P2772" i="11"/>
  <c r="O2772" i="11"/>
  <c r="N2772" i="11"/>
  <c r="M2772" i="11"/>
  <c r="L2772" i="11"/>
  <c r="K2772" i="11"/>
  <c r="J2772" i="11"/>
  <c r="I2772" i="11"/>
  <c r="AE2771" i="11"/>
  <c r="AC2771" i="11"/>
  <c r="Z2771" i="11"/>
  <c r="Y2771" i="11"/>
  <c r="X2771" i="11"/>
  <c r="W2771" i="11"/>
  <c r="V2771" i="11"/>
  <c r="U2771" i="11"/>
  <c r="T2771" i="11"/>
  <c r="S2771" i="11"/>
  <c r="R2771" i="11"/>
  <c r="P2771" i="11"/>
  <c r="O2771" i="11"/>
  <c r="N2771" i="11"/>
  <c r="M2771" i="11"/>
  <c r="L2771" i="11"/>
  <c r="K2771" i="11"/>
  <c r="J2771" i="11"/>
  <c r="I2771" i="11"/>
  <c r="AE2770" i="11"/>
  <c r="AC2770" i="11"/>
  <c r="Z2770" i="11"/>
  <c r="Y2770" i="11"/>
  <c r="X2770" i="11"/>
  <c r="W2770" i="11"/>
  <c r="V2770" i="11"/>
  <c r="U2770" i="11"/>
  <c r="T2770" i="11"/>
  <c r="S2770" i="11"/>
  <c r="R2770" i="11"/>
  <c r="P2770" i="11"/>
  <c r="O2770" i="11"/>
  <c r="N2770" i="11"/>
  <c r="M2770" i="11"/>
  <c r="L2770" i="11"/>
  <c r="K2770" i="11"/>
  <c r="J2770" i="11"/>
  <c r="I2770" i="11"/>
  <c r="AE2769" i="11"/>
  <c r="AC2769" i="11"/>
  <c r="Z2769" i="11"/>
  <c r="Y2769" i="11"/>
  <c r="X2769" i="11"/>
  <c r="W2769" i="11"/>
  <c r="V2769" i="11"/>
  <c r="U2769" i="11"/>
  <c r="T2769" i="11"/>
  <c r="S2769" i="11"/>
  <c r="R2769" i="11"/>
  <c r="P2769" i="11"/>
  <c r="O2769" i="11"/>
  <c r="N2769" i="11"/>
  <c r="M2769" i="11"/>
  <c r="L2769" i="11"/>
  <c r="K2769" i="11"/>
  <c r="J2769" i="11"/>
  <c r="I2769" i="11"/>
  <c r="AE2768" i="11"/>
  <c r="AC2768" i="11"/>
  <c r="Z2768" i="11"/>
  <c r="Y2768" i="11"/>
  <c r="X2768" i="11"/>
  <c r="W2768" i="11"/>
  <c r="V2768" i="11"/>
  <c r="U2768" i="11"/>
  <c r="T2768" i="11"/>
  <c r="S2768" i="11"/>
  <c r="R2768" i="11"/>
  <c r="P2768" i="11"/>
  <c r="O2768" i="11"/>
  <c r="N2768" i="11"/>
  <c r="M2768" i="11"/>
  <c r="L2768" i="11"/>
  <c r="K2768" i="11"/>
  <c r="J2768" i="11"/>
  <c r="I2768" i="11"/>
  <c r="AE2767" i="11"/>
  <c r="AC2767" i="11"/>
  <c r="Z2767" i="11"/>
  <c r="Y2767" i="11"/>
  <c r="X2767" i="11"/>
  <c r="W2767" i="11"/>
  <c r="V2767" i="11"/>
  <c r="U2767" i="11"/>
  <c r="T2767" i="11"/>
  <c r="S2767" i="11"/>
  <c r="R2767" i="11"/>
  <c r="P2767" i="11"/>
  <c r="O2767" i="11"/>
  <c r="N2767" i="11"/>
  <c r="M2767" i="11"/>
  <c r="L2767" i="11"/>
  <c r="K2767" i="11"/>
  <c r="J2767" i="11"/>
  <c r="I2767" i="11"/>
  <c r="AE2766" i="11"/>
  <c r="AC2766" i="11"/>
  <c r="Z2766" i="11"/>
  <c r="Y2766" i="11"/>
  <c r="X2766" i="11"/>
  <c r="W2766" i="11"/>
  <c r="V2766" i="11"/>
  <c r="U2766" i="11"/>
  <c r="T2766" i="11"/>
  <c r="S2766" i="11"/>
  <c r="R2766" i="11"/>
  <c r="P2766" i="11"/>
  <c r="O2766" i="11"/>
  <c r="N2766" i="11"/>
  <c r="M2766" i="11"/>
  <c r="L2766" i="11"/>
  <c r="K2766" i="11"/>
  <c r="J2766" i="11"/>
  <c r="I2766" i="11"/>
  <c r="AE2765" i="11"/>
  <c r="AC2765" i="11"/>
  <c r="Z2765" i="11"/>
  <c r="Y2765" i="11"/>
  <c r="X2765" i="11"/>
  <c r="W2765" i="11"/>
  <c r="V2765" i="11"/>
  <c r="U2765" i="11"/>
  <c r="T2765" i="11"/>
  <c r="S2765" i="11"/>
  <c r="R2765" i="11"/>
  <c r="P2765" i="11"/>
  <c r="O2765" i="11"/>
  <c r="N2765" i="11"/>
  <c r="M2765" i="11"/>
  <c r="L2765" i="11"/>
  <c r="K2765" i="11"/>
  <c r="J2765" i="11"/>
  <c r="I2765" i="11"/>
  <c r="AE2764" i="11"/>
  <c r="AC2764" i="11"/>
  <c r="Z2764" i="11"/>
  <c r="Y2764" i="11"/>
  <c r="X2764" i="11"/>
  <c r="W2764" i="11"/>
  <c r="V2764" i="11"/>
  <c r="U2764" i="11"/>
  <c r="T2764" i="11"/>
  <c r="S2764" i="11"/>
  <c r="R2764" i="11"/>
  <c r="P2764" i="11"/>
  <c r="O2764" i="11"/>
  <c r="N2764" i="11"/>
  <c r="M2764" i="11"/>
  <c r="L2764" i="11"/>
  <c r="K2764" i="11"/>
  <c r="J2764" i="11"/>
  <c r="I2764" i="11"/>
  <c r="AE2763" i="11"/>
  <c r="AC2763" i="11"/>
  <c r="Z2763" i="11"/>
  <c r="Y2763" i="11"/>
  <c r="X2763" i="11"/>
  <c r="W2763" i="11"/>
  <c r="V2763" i="11"/>
  <c r="U2763" i="11"/>
  <c r="T2763" i="11"/>
  <c r="S2763" i="11"/>
  <c r="R2763" i="11"/>
  <c r="P2763" i="11"/>
  <c r="O2763" i="11"/>
  <c r="N2763" i="11"/>
  <c r="M2763" i="11"/>
  <c r="L2763" i="11"/>
  <c r="K2763" i="11"/>
  <c r="J2763" i="11"/>
  <c r="I2763" i="11"/>
  <c r="AE2762" i="11"/>
  <c r="AC2762" i="11"/>
  <c r="Z2762" i="11"/>
  <c r="Y2762" i="11"/>
  <c r="X2762" i="11"/>
  <c r="W2762" i="11"/>
  <c r="V2762" i="11"/>
  <c r="U2762" i="11"/>
  <c r="T2762" i="11"/>
  <c r="S2762" i="11"/>
  <c r="R2762" i="11"/>
  <c r="P2762" i="11"/>
  <c r="O2762" i="11"/>
  <c r="N2762" i="11"/>
  <c r="M2762" i="11"/>
  <c r="L2762" i="11"/>
  <c r="K2762" i="11"/>
  <c r="J2762" i="11"/>
  <c r="I2762" i="11"/>
  <c r="AE2761" i="11"/>
  <c r="AC2761" i="11"/>
  <c r="Z2761" i="11"/>
  <c r="Y2761" i="11"/>
  <c r="X2761" i="11"/>
  <c r="W2761" i="11"/>
  <c r="V2761" i="11"/>
  <c r="U2761" i="11"/>
  <c r="T2761" i="11"/>
  <c r="S2761" i="11"/>
  <c r="R2761" i="11"/>
  <c r="P2761" i="11"/>
  <c r="O2761" i="11"/>
  <c r="N2761" i="11"/>
  <c r="M2761" i="11"/>
  <c r="L2761" i="11"/>
  <c r="K2761" i="11"/>
  <c r="J2761" i="11"/>
  <c r="I2761" i="11"/>
  <c r="AE2760" i="11"/>
  <c r="AC2760" i="11"/>
  <c r="Z2760" i="11"/>
  <c r="Y2760" i="11"/>
  <c r="X2760" i="11"/>
  <c r="W2760" i="11"/>
  <c r="V2760" i="11"/>
  <c r="U2760" i="11"/>
  <c r="T2760" i="11"/>
  <c r="S2760" i="11"/>
  <c r="R2760" i="11"/>
  <c r="P2760" i="11"/>
  <c r="O2760" i="11"/>
  <c r="N2760" i="11"/>
  <c r="M2760" i="11"/>
  <c r="L2760" i="11"/>
  <c r="K2760" i="11"/>
  <c r="J2760" i="11"/>
  <c r="I2760" i="11"/>
  <c r="AE2759" i="11"/>
  <c r="AC2759" i="11"/>
  <c r="Z2759" i="11"/>
  <c r="Y2759" i="11"/>
  <c r="X2759" i="11"/>
  <c r="W2759" i="11"/>
  <c r="V2759" i="11"/>
  <c r="U2759" i="11"/>
  <c r="T2759" i="11"/>
  <c r="S2759" i="11"/>
  <c r="R2759" i="11"/>
  <c r="P2759" i="11"/>
  <c r="O2759" i="11"/>
  <c r="N2759" i="11"/>
  <c r="M2759" i="11"/>
  <c r="L2759" i="11"/>
  <c r="K2759" i="11"/>
  <c r="J2759" i="11"/>
  <c r="I2759" i="11"/>
  <c r="AE2758" i="11"/>
  <c r="AC2758" i="11"/>
  <c r="Z2758" i="11"/>
  <c r="Y2758" i="11"/>
  <c r="X2758" i="11"/>
  <c r="W2758" i="11"/>
  <c r="V2758" i="11"/>
  <c r="U2758" i="11"/>
  <c r="T2758" i="11"/>
  <c r="S2758" i="11"/>
  <c r="R2758" i="11"/>
  <c r="P2758" i="11"/>
  <c r="O2758" i="11"/>
  <c r="N2758" i="11"/>
  <c r="M2758" i="11"/>
  <c r="L2758" i="11"/>
  <c r="K2758" i="11"/>
  <c r="J2758" i="11"/>
  <c r="I2758" i="11"/>
  <c r="AE2757" i="11"/>
  <c r="AC2757" i="11"/>
  <c r="Z2757" i="11"/>
  <c r="Y2757" i="11"/>
  <c r="X2757" i="11"/>
  <c r="W2757" i="11"/>
  <c r="V2757" i="11"/>
  <c r="U2757" i="11"/>
  <c r="T2757" i="11"/>
  <c r="S2757" i="11"/>
  <c r="R2757" i="11"/>
  <c r="P2757" i="11"/>
  <c r="O2757" i="11"/>
  <c r="N2757" i="11"/>
  <c r="M2757" i="11"/>
  <c r="L2757" i="11"/>
  <c r="K2757" i="11"/>
  <c r="J2757" i="11"/>
  <c r="I2757" i="11"/>
  <c r="AE2756" i="11"/>
  <c r="AC2756" i="11"/>
  <c r="Z2756" i="11"/>
  <c r="Y2756" i="11"/>
  <c r="X2756" i="11"/>
  <c r="W2756" i="11"/>
  <c r="V2756" i="11"/>
  <c r="U2756" i="11"/>
  <c r="T2756" i="11"/>
  <c r="S2756" i="11"/>
  <c r="R2756" i="11"/>
  <c r="P2756" i="11"/>
  <c r="O2756" i="11"/>
  <c r="N2756" i="11"/>
  <c r="M2756" i="11"/>
  <c r="L2756" i="11"/>
  <c r="K2756" i="11"/>
  <c r="J2756" i="11"/>
  <c r="I2756" i="11"/>
  <c r="AE2755" i="11"/>
  <c r="AC2755" i="11"/>
  <c r="Z2755" i="11"/>
  <c r="Y2755" i="11"/>
  <c r="X2755" i="11"/>
  <c r="W2755" i="11"/>
  <c r="V2755" i="11"/>
  <c r="U2755" i="11"/>
  <c r="T2755" i="11"/>
  <c r="S2755" i="11"/>
  <c r="R2755" i="11"/>
  <c r="P2755" i="11"/>
  <c r="O2755" i="11"/>
  <c r="N2755" i="11"/>
  <c r="M2755" i="11"/>
  <c r="L2755" i="11"/>
  <c r="K2755" i="11"/>
  <c r="J2755" i="11"/>
  <c r="I2755" i="11"/>
  <c r="AE2754" i="11"/>
  <c r="AC2754" i="11"/>
  <c r="Z2754" i="11"/>
  <c r="Y2754" i="11"/>
  <c r="X2754" i="11"/>
  <c r="W2754" i="11"/>
  <c r="V2754" i="11"/>
  <c r="U2754" i="11"/>
  <c r="T2754" i="11"/>
  <c r="S2754" i="11"/>
  <c r="R2754" i="11"/>
  <c r="P2754" i="11"/>
  <c r="O2754" i="11"/>
  <c r="N2754" i="11"/>
  <c r="M2754" i="11"/>
  <c r="L2754" i="11"/>
  <c r="K2754" i="11"/>
  <c r="J2754" i="11"/>
  <c r="I2754" i="11"/>
  <c r="AE2753" i="11"/>
  <c r="AC2753" i="11"/>
  <c r="Z2753" i="11"/>
  <c r="Y2753" i="11"/>
  <c r="X2753" i="11"/>
  <c r="W2753" i="11"/>
  <c r="V2753" i="11"/>
  <c r="U2753" i="11"/>
  <c r="T2753" i="11"/>
  <c r="S2753" i="11"/>
  <c r="R2753" i="11"/>
  <c r="P2753" i="11"/>
  <c r="O2753" i="11"/>
  <c r="N2753" i="11"/>
  <c r="M2753" i="11"/>
  <c r="L2753" i="11"/>
  <c r="K2753" i="11"/>
  <c r="J2753" i="11"/>
  <c r="I2753" i="11"/>
  <c r="AE2752" i="11"/>
  <c r="AC2752" i="11"/>
  <c r="Z2752" i="11"/>
  <c r="Y2752" i="11"/>
  <c r="X2752" i="11"/>
  <c r="W2752" i="11"/>
  <c r="V2752" i="11"/>
  <c r="U2752" i="11"/>
  <c r="T2752" i="11"/>
  <c r="S2752" i="11"/>
  <c r="R2752" i="11"/>
  <c r="P2752" i="11"/>
  <c r="O2752" i="11"/>
  <c r="N2752" i="11"/>
  <c r="M2752" i="11"/>
  <c r="L2752" i="11"/>
  <c r="K2752" i="11"/>
  <c r="J2752" i="11"/>
  <c r="I2752" i="11"/>
  <c r="AE2751" i="11"/>
  <c r="AC2751" i="11"/>
  <c r="Z2751" i="11"/>
  <c r="Y2751" i="11"/>
  <c r="X2751" i="11"/>
  <c r="W2751" i="11"/>
  <c r="V2751" i="11"/>
  <c r="U2751" i="11"/>
  <c r="T2751" i="11"/>
  <c r="S2751" i="11"/>
  <c r="R2751" i="11"/>
  <c r="P2751" i="11"/>
  <c r="O2751" i="11"/>
  <c r="N2751" i="11"/>
  <c r="M2751" i="11"/>
  <c r="L2751" i="11"/>
  <c r="K2751" i="11"/>
  <c r="J2751" i="11"/>
  <c r="I2751" i="11"/>
  <c r="AE2750" i="11"/>
  <c r="AC2750" i="11"/>
  <c r="Z2750" i="11"/>
  <c r="Y2750" i="11"/>
  <c r="X2750" i="11"/>
  <c r="W2750" i="11"/>
  <c r="V2750" i="11"/>
  <c r="U2750" i="11"/>
  <c r="T2750" i="11"/>
  <c r="S2750" i="11"/>
  <c r="R2750" i="11"/>
  <c r="P2750" i="11"/>
  <c r="O2750" i="11"/>
  <c r="N2750" i="11"/>
  <c r="M2750" i="11"/>
  <c r="L2750" i="11"/>
  <c r="K2750" i="11"/>
  <c r="J2750" i="11"/>
  <c r="I2750" i="11"/>
  <c r="AE2749" i="11"/>
  <c r="AC2749" i="11"/>
  <c r="Z2749" i="11"/>
  <c r="Y2749" i="11"/>
  <c r="X2749" i="11"/>
  <c r="W2749" i="11"/>
  <c r="V2749" i="11"/>
  <c r="U2749" i="11"/>
  <c r="T2749" i="11"/>
  <c r="S2749" i="11"/>
  <c r="R2749" i="11"/>
  <c r="P2749" i="11"/>
  <c r="O2749" i="11"/>
  <c r="N2749" i="11"/>
  <c r="M2749" i="11"/>
  <c r="L2749" i="11"/>
  <c r="K2749" i="11"/>
  <c r="J2749" i="11"/>
  <c r="I2749" i="11"/>
  <c r="AE2748" i="11"/>
  <c r="AC2748" i="11"/>
  <c r="Z2748" i="11"/>
  <c r="Y2748" i="11"/>
  <c r="X2748" i="11"/>
  <c r="W2748" i="11"/>
  <c r="V2748" i="11"/>
  <c r="U2748" i="11"/>
  <c r="T2748" i="11"/>
  <c r="S2748" i="11"/>
  <c r="R2748" i="11"/>
  <c r="P2748" i="11"/>
  <c r="O2748" i="11"/>
  <c r="N2748" i="11"/>
  <c r="M2748" i="11"/>
  <c r="L2748" i="11"/>
  <c r="K2748" i="11"/>
  <c r="J2748" i="11"/>
  <c r="I2748" i="11"/>
  <c r="AE2747" i="11"/>
  <c r="AC2747" i="11"/>
  <c r="Z2747" i="11"/>
  <c r="Y2747" i="11"/>
  <c r="X2747" i="11"/>
  <c r="W2747" i="11"/>
  <c r="V2747" i="11"/>
  <c r="U2747" i="11"/>
  <c r="T2747" i="11"/>
  <c r="S2747" i="11"/>
  <c r="R2747" i="11"/>
  <c r="P2747" i="11"/>
  <c r="O2747" i="11"/>
  <c r="N2747" i="11"/>
  <c r="M2747" i="11"/>
  <c r="L2747" i="11"/>
  <c r="K2747" i="11"/>
  <c r="J2747" i="11"/>
  <c r="I2747" i="11"/>
  <c r="AE2746" i="11"/>
  <c r="AC2746" i="11"/>
  <c r="Z2746" i="11"/>
  <c r="Y2746" i="11"/>
  <c r="X2746" i="11"/>
  <c r="W2746" i="11"/>
  <c r="V2746" i="11"/>
  <c r="U2746" i="11"/>
  <c r="T2746" i="11"/>
  <c r="S2746" i="11"/>
  <c r="R2746" i="11"/>
  <c r="P2746" i="11"/>
  <c r="O2746" i="11"/>
  <c r="N2746" i="11"/>
  <c r="M2746" i="11"/>
  <c r="L2746" i="11"/>
  <c r="K2746" i="11"/>
  <c r="J2746" i="11"/>
  <c r="I2746" i="11"/>
  <c r="AE2745" i="11"/>
  <c r="AC2745" i="11"/>
  <c r="Z2745" i="11"/>
  <c r="Y2745" i="11"/>
  <c r="X2745" i="11"/>
  <c r="W2745" i="11"/>
  <c r="V2745" i="11"/>
  <c r="U2745" i="11"/>
  <c r="T2745" i="11"/>
  <c r="S2745" i="11"/>
  <c r="R2745" i="11"/>
  <c r="P2745" i="11"/>
  <c r="O2745" i="11"/>
  <c r="N2745" i="11"/>
  <c r="M2745" i="11"/>
  <c r="L2745" i="11"/>
  <c r="K2745" i="11"/>
  <c r="J2745" i="11"/>
  <c r="I2745" i="11"/>
  <c r="AE2744" i="11"/>
  <c r="AC2744" i="11"/>
  <c r="Z2744" i="11"/>
  <c r="Y2744" i="11"/>
  <c r="X2744" i="11"/>
  <c r="W2744" i="11"/>
  <c r="V2744" i="11"/>
  <c r="U2744" i="11"/>
  <c r="T2744" i="11"/>
  <c r="S2744" i="11"/>
  <c r="R2744" i="11"/>
  <c r="P2744" i="11"/>
  <c r="O2744" i="11"/>
  <c r="N2744" i="11"/>
  <c r="M2744" i="11"/>
  <c r="L2744" i="11"/>
  <c r="K2744" i="11"/>
  <c r="J2744" i="11"/>
  <c r="I2744" i="11"/>
  <c r="AE2743" i="11"/>
  <c r="AC2743" i="11"/>
  <c r="Z2743" i="11"/>
  <c r="Y2743" i="11"/>
  <c r="X2743" i="11"/>
  <c r="W2743" i="11"/>
  <c r="V2743" i="11"/>
  <c r="U2743" i="11"/>
  <c r="T2743" i="11"/>
  <c r="S2743" i="11"/>
  <c r="R2743" i="11"/>
  <c r="P2743" i="11"/>
  <c r="O2743" i="11"/>
  <c r="N2743" i="11"/>
  <c r="M2743" i="11"/>
  <c r="L2743" i="11"/>
  <c r="K2743" i="11"/>
  <c r="J2743" i="11"/>
  <c r="I2743" i="11"/>
  <c r="AE2742" i="11"/>
  <c r="AC2742" i="11"/>
  <c r="Z2742" i="11"/>
  <c r="Y2742" i="11"/>
  <c r="X2742" i="11"/>
  <c r="W2742" i="11"/>
  <c r="V2742" i="11"/>
  <c r="U2742" i="11"/>
  <c r="T2742" i="11"/>
  <c r="S2742" i="11"/>
  <c r="R2742" i="11"/>
  <c r="P2742" i="11"/>
  <c r="O2742" i="11"/>
  <c r="N2742" i="11"/>
  <c r="M2742" i="11"/>
  <c r="L2742" i="11"/>
  <c r="K2742" i="11"/>
  <c r="J2742" i="11"/>
  <c r="I2742" i="11"/>
  <c r="AE2741" i="11"/>
  <c r="AC2741" i="11"/>
  <c r="Z2741" i="11"/>
  <c r="Y2741" i="11"/>
  <c r="X2741" i="11"/>
  <c r="W2741" i="11"/>
  <c r="V2741" i="11"/>
  <c r="U2741" i="11"/>
  <c r="T2741" i="11"/>
  <c r="S2741" i="11"/>
  <c r="R2741" i="11"/>
  <c r="P2741" i="11"/>
  <c r="O2741" i="11"/>
  <c r="N2741" i="11"/>
  <c r="M2741" i="11"/>
  <c r="L2741" i="11"/>
  <c r="K2741" i="11"/>
  <c r="J2741" i="11"/>
  <c r="I2741" i="11"/>
  <c r="AE2740" i="11"/>
  <c r="AC2740" i="11"/>
  <c r="Z2740" i="11"/>
  <c r="Y2740" i="11"/>
  <c r="X2740" i="11"/>
  <c r="W2740" i="11"/>
  <c r="V2740" i="11"/>
  <c r="U2740" i="11"/>
  <c r="T2740" i="11"/>
  <c r="S2740" i="11"/>
  <c r="R2740" i="11"/>
  <c r="P2740" i="11"/>
  <c r="O2740" i="11"/>
  <c r="N2740" i="11"/>
  <c r="M2740" i="11"/>
  <c r="L2740" i="11"/>
  <c r="K2740" i="11"/>
  <c r="J2740" i="11"/>
  <c r="I2740" i="11"/>
  <c r="AE2739" i="11"/>
  <c r="AC2739" i="11"/>
  <c r="Z2739" i="11"/>
  <c r="Y2739" i="11"/>
  <c r="X2739" i="11"/>
  <c r="W2739" i="11"/>
  <c r="V2739" i="11"/>
  <c r="U2739" i="11"/>
  <c r="T2739" i="11"/>
  <c r="S2739" i="11"/>
  <c r="R2739" i="11"/>
  <c r="P2739" i="11"/>
  <c r="O2739" i="11"/>
  <c r="N2739" i="11"/>
  <c r="M2739" i="11"/>
  <c r="L2739" i="11"/>
  <c r="K2739" i="11"/>
  <c r="J2739" i="11"/>
  <c r="I2739" i="11"/>
  <c r="AE2738" i="11"/>
  <c r="AC2738" i="11"/>
  <c r="Z2738" i="11"/>
  <c r="Y2738" i="11"/>
  <c r="X2738" i="11"/>
  <c r="W2738" i="11"/>
  <c r="V2738" i="11"/>
  <c r="U2738" i="11"/>
  <c r="T2738" i="11"/>
  <c r="S2738" i="11"/>
  <c r="R2738" i="11"/>
  <c r="P2738" i="11"/>
  <c r="O2738" i="11"/>
  <c r="N2738" i="11"/>
  <c r="M2738" i="11"/>
  <c r="L2738" i="11"/>
  <c r="K2738" i="11"/>
  <c r="J2738" i="11"/>
  <c r="I2738" i="11"/>
  <c r="AE2737" i="11"/>
  <c r="AC2737" i="11"/>
  <c r="Z2737" i="11"/>
  <c r="Y2737" i="11"/>
  <c r="X2737" i="11"/>
  <c r="W2737" i="11"/>
  <c r="V2737" i="11"/>
  <c r="U2737" i="11"/>
  <c r="T2737" i="11"/>
  <c r="S2737" i="11"/>
  <c r="R2737" i="11"/>
  <c r="P2737" i="11"/>
  <c r="O2737" i="11"/>
  <c r="N2737" i="11"/>
  <c r="M2737" i="11"/>
  <c r="L2737" i="11"/>
  <c r="K2737" i="11"/>
  <c r="J2737" i="11"/>
  <c r="I2737" i="11"/>
  <c r="AE2736" i="11"/>
  <c r="AC2736" i="11"/>
  <c r="Z2736" i="11"/>
  <c r="Y2736" i="11"/>
  <c r="X2736" i="11"/>
  <c r="W2736" i="11"/>
  <c r="V2736" i="11"/>
  <c r="U2736" i="11"/>
  <c r="T2736" i="11"/>
  <c r="S2736" i="11"/>
  <c r="R2736" i="11"/>
  <c r="P2736" i="11"/>
  <c r="O2736" i="11"/>
  <c r="N2736" i="11"/>
  <c r="M2736" i="11"/>
  <c r="L2736" i="11"/>
  <c r="K2736" i="11"/>
  <c r="J2736" i="11"/>
  <c r="I2736" i="11"/>
  <c r="AE2735" i="11"/>
  <c r="AC2735" i="11"/>
  <c r="Z2735" i="11"/>
  <c r="Y2735" i="11"/>
  <c r="X2735" i="11"/>
  <c r="W2735" i="11"/>
  <c r="V2735" i="11"/>
  <c r="U2735" i="11"/>
  <c r="T2735" i="11"/>
  <c r="S2735" i="11"/>
  <c r="R2735" i="11"/>
  <c r="P2735" i="11"/>
  <c r="O2735" i="11"/>
  <c r="N2735" i="11"/>
  <c r="M2735" i="11"/>
  <c r="L2735" i="11"/>
  <c r="K2735" i="11"/>
  <c r="J2735" i="11"/>
  <c r="I2735" i="11"/>
  <c r="AE2734" i="11"/>
  <c r="AC2734" i="11"/>
  <c r="Z2734" i="11"/>
  <c r="Y2734" i="11"/>
  <c r="X2734" i="11"/>
  <c r="W2734" i="11"/>
  <c r="V2734" i="11"/>
  <c r="U2734" i="11"/>
  <c r="T2734" i="11"/>
  <c r="S2734" i="11"/>
  <c r="R2734" i="11"/>
  <c r="P2734" i="11"/>
  <c r="O2734" i="11"/>
  <c r="N2734" i="11"/>
  <c r="M2734" i="11"/>
  <c r="L2734" i="11"/>
  <c r="K2734" i="11"/>
  <c r="J2734" i="11"/>
  <c r="I2734" i="11"/>
  <c r="AE2733" i="11"/>
  <c r="AC2733" i="11"/>
  <c r="Z2733" i="11"/>
  <c r="Y2733" i="11"/>
  <c r="X2733" i="11"/>
  <c r="W2733" i="11"/>
  <c r="V2733" i="11"/>
  <c r="U2733" i="11"/>
  <c r="T2733" i="11"/>
  <c r="S2733" i="11"/>
  <c r="R2733" i="11"/>
  <c r="P2733" i="11"/>
  <c r="O2733" i="11"/>
  <c r="N2733" i="11"/>
  <c r="M2733" i="11"/>
  <c r="L2733" i="11"/>
  <c r="K2733" i="11"/>
  <c r="J2733" i="11"/>
  <c r="I2733" i="11"/>
  <c r="AE2732" i="11"/>
  <c r="AC2732" i="11"/>
  <c r="Z2732" i="11"/>
  <c r="Y2732" i="11"/>
  <c r="X2732" i="11"/>
  <c r="W2732" i="11"/>
  <c r="V2732" i="11"/>
  <c r="U2732" i="11"/>
  <c r="T2732" i="11"/>
  <c r="S2732" i="11"/>
  <c r="R2732" i="11"/>
  <c r="P2732" i="11"/>
  <c r="O2732" i="11"/>
  <c r="N2732" i="11"/>
  <c r="M2732" i="11"/>
  <c r="L2732" i="11"/>
  <c r="K2732" i="11"/>
  <c r="J2732" i="11"/>
  <c r="I2732" i="11"/>
  <c r="AE2731" i="11"/>
  <c r="AC2731" i="11"/>
  <c r="Z2731" i="11"/>
  <c r="Y2731" i="11"/>
  <c r="X2731" i="11"/>
  <c r="W2731" i="11"/>
  <c r="V2731" i="11"/>
  <c r="U2731" i="11"/>
  <c r="T2731" i="11"/>
  <c r="S2731" i="11"/>
  <c r="R2731" i="11"/>
  <c r="P2731" i="11"/>
  <c r="O2731" i="11"/>
  <c r="N2731" i="11"/>
  <c r="M2731" i="11"/>
  <c r="L2731" i="11"/>
  <c r="K2731" i="11"/>
  <c r="J2731" i="11"/>
  <c r="I2731" i="11"/>
  <c r="AE2730" i="11"/>
  <c r="AC2730" i="11"/>
  <c r="Z2730" i="11"/>
  <c r="Y2730" i="11"/>
  <c r="X2730" i="11"/>
  <c r="W2730" i="11"/>
  <c r="V2730" i="11"/>
  <c r="U2730" i="11"/>
  <c r="T2730" i="11"/>
  <c r="S2730" i="11"/>
  <c r="R2730" i="11"/>
  <c r="P2730" i="11"/>
  <c r="O2730" i="11"/>
  <c r="N2730" i="11"/>
  <c r="M2730" i="11"/>
  <c r="L2730" i="11"/>
  <c r="K2730" i="11"/>
  <c r="J2730" i="11"/>
  <c r="I2730" i="11"/>
  <c r="AE2729" i="11"/>
  <c r="AC2729" i="11"/>
  <c r="Z2729" i="11"/>
  <c r="Y2729" i="11"/>
  <c r="X2729" i="11"/>
  <c r="W2729" i="11"/>
  <c r="V2729" i="11"/>
  <c r="U2729" i="11"/>
  <c r="T2729" i="11"/>
  <c r="S2729" i="11"/>
  <c r="R2729" i="11"/>
  <c r="P2729" i="11"/>
  <c r="O2729" i="11"/>
  <c r="N2729" i="11"/>
  <c r="M2729" i="11"/>
  <c r="L2729" i="11"/>
  <c r="K2729" i="11"/>
  <c r="J2729" i="11"/>
  <c r="I2729" i="11"/>
  <c r="AE2728" i="11"/>
  <c r="AC2728" i="11"/>
  <c r="Z2728" i="11"/>
  <c r="Y2728" i="11"/>
  <c r="X2728" i="11"/>
  <c r="W2728" i="11"/>
  <c r="V2728" i="11"/>
  <c r="U2728" i="11"/>
  <c r="T2728" i="11"/>
  <c r="S2728" i="11"/>
  <c r="R2728" i="11"/>
  <c r="P2728" i="11"/>
  <c r="O2728" i="11"/>
  <c r="N2728" i="11"/>
  <c r="M2728" i="11"/>
  <c r="L2728" i="11"/>
  <c r="K2728" i="11"/>
  <c r="J2728" i="11"/>
  <c r="I2728" i="11"/>
  <c r="AE2727" i="11"/>
  <c r="AC2727" i="11"/>
  <c r="Z2727" i="11"/>
  <c r="Y2727" i="11"/>
  <c r="X2727" i="11"/>
  <c r="W2727" i="11"/>
  <c r="V2727" i="11"/>
  <c r="U2727" i="11"/>
  <c r="T2727" i="11"/>
  <c r="S2727" i="11"/>
  <c r="R2727" i="11"/>
  <c r="P2727" i="11"/>
  <c r="O2727" i="11"/>
  <c r="N2727" i="11"/>
  <c r="M2727" i="11"/>
  <c r="L2727" i="11"/>
  <c r="K2727" i="11"/>
  <c r="J2727" i="11"/>
  <c r="I2727" i="11"/>
  <c r="AE2726" i="11"/>
  <c r="AC2726" i="11"/>
  <c r="Z2726" i="11"/>
  <c r="Y2726" i="11"/>
  <c r="X2726" i="11"/>
  <c r="W2726" i="11"/>
  <c r="V2726" i="11"/>
  <c r="U2726" i="11"/>
  <c r="T2726" i="11"/>
  <c r="S2726" i="11"/>
  <c r="R2726" i="11"/>
  <c r="P2726" i="11"/>
  <c r="O2726" i="11"/>
  <c r="N2726" i="11"/>
  <c r="M2726" i="11"/>
  <c r="L2726" i="11"/>
  <c r="K2726" i="11"/>
  <c r="J2726" i="11"/>
  <c r="I2726" i="11"/>
  <c r="AE2725" i="11"/>
  <c r="AC2725" i="11"/>
  <c r="Z2725" i="11"/>
  <c r="Y2725" i="11"/>
  <c r="X2725" i="11"/>
  <c r="W2725" i="11"/>
  <c r="V2725" i="11"/>
  <c r="U2725" i="11"/>
  <c r="T2725" i="11"/>
  <c r="S2725" i="11"/>
  <c r="R2725" i="11"/>
  <c r="P2725" i="11"/>
  <c r="O2725" i="11"/>
  <c r="N2725" i="11"/>
  <c r="M2725" i="11"/>
  <c r="L2725" i="11"/>
  <c r="K2725" i="11"/>
  <c r="J2725" i="11"/>
  <c r="I2725" i="11"/>
  <c r="AE2724" i="11"/>
  <c r="AC2724" i="11"/>
  <c r="Z2724" i="11"/>
  <c r="Y2724" i="11"/>
  <c r="X2724" i="11"/>
  <c r="W2724" i="11"/>
  <c r="V2724" i="11"/>
  <c r="U2724" i="11"/>
  <c r="T2724" i="11"/>
  <c r="S2724" i="11"/>
  <c r="R2724" i="11"/>
  <c r="P2724" i="11"/>
  <c r="O2724" i="11"/>
  <c r="N2724" i="11"/>
  <c r="M2724" i="11"/>
  <c r="L2724" i="11"/>
  <c r="K2724" i="11"/>
  <c r="J2724" i="11"/>
  <c r="I2724" i="11"/>
  <c r="AE2723" i="11"/>
  <c r="AC2723" i="11"/>
  <c r="Z2723" i="11"/>
  <c r="Y2723" i="11"/>
  <c r="X2723" i="11"/>
  <c r="W2723" i="11"/>
  <c r="V2723" i="11"/>
  <c r="U2723" i="11"/>
  <c r="T2723" i="11"/>
  <c r="S2723" i="11"/>
  <c r="R2723" i="11"/>
  <c r="P2723" i="11"/>
  <c r="O2723" i="11"/>
  <c r="N2723" i="11"/>
  <c r="M2723" i="11"/>
  <c r="L2723" i="11"/>
  <c r="K2723" i="11"/>
  <c r="J2723" i="11"/>
  <c r="I2723" i="11"/>
  <c r="AE2722" i="11"/>
  <c r="AC2722" i="11"/>
  <c r="Z2722" i="11"/>
  <c r="Y2722" i="11"/>
  <c r="X2722" i="11"/>
  <c r="W2722" i="11"/>
  <c r="V2722" i="11"/>
  <c r="U2722" i="11"/>
  <c r="T2722" i="11"/>
  <c r="S2722" i="11"/>
  <c r="R2722" i="11"/>
  <c r="P2722" i="11"/>
  <c r="O2722" i="11"/>
  <c r="N2722" i="11"/>
  <c r="M2722" i="11"/>
  <c r="L2722" i="11"/>
  <c r="K2722" i="11"/>
  <c r="J2722" i="11"/>
  <c r="I2722" i="11"/>
  <c r="AE2721" i="11"/>
  <c r="AC2721" i="11"/>
  <c r="Z2721" i="11"/>
  <c r="Y2721" i="11"/>
  <c r="X2721" i="11"/>
  <c r="W2721" i="11"/>
  <c r="V2721" i="11"/>
  <c r="U2721" i="11"/>
  <c r="T2721" i="11"/>
  <c r="S2721" i="11"/>
  <c r="R2721" i="11"/>
  <c r="P2721" i="11"/>
  <c r="O2721" i="11"/>
  <c r="N2721" i="11"/>
  <c r="M2721" i="11"/>
  <c r="L2721" i="11"/>
  <c r="K2721" i="11"/>
  <c r="J2721" i="11"/>
  <c r="I2721" i="11"/>
  <c r="AE2720" i="11"/>
  <c r="AC2720" i="11"/>
  <c r="Z2720" i="11"/>
  <c r="Y2720" i="11"/>
  <c r="X2720" i="11"/>
  <c r="W2720" i="11"/>
  <c r="V2720" i="11"/>
  <c r="U2720" i="11"/>
  <c r="T2720" i="11"/>
  <c r="S2720" i="11"/>
  <c r="R2720" i="11"/>
  <c r="P2720" i="11"/>
  <c r="O2720" i="11"/>
  <c r="N2720" i="11"/>
  <c r="M2720" i="11"/>
  <c r="L2720" i="11"/>
  <c r="K2720" i="11"/>
  <c r="J2720" i="11"/>
  <c r="I2720" i="11"/>
  <c r="AE2719" i="11"/>
  <c r="AC2719" i="11"/>
  <c r="Z2719" i="11"/>
  <c r="Y2719" i="11"/>
  <c r="X2719" i="11"/>
  <c r="W2719" i="11"/>
  <c r="V2719" i="11"/>
  <c r="U2719" i="11"/>
  <c r="T2719" i="11"/>
  <c r="S2719" i="11"/>
  <c r="R2719" i="11"/>
  <c r="P2719" i="11"/>
  <c r="O2719" i="11"/>
  <c r="N2719" i="11"/>
  <c r="M2719" i="11"/>
  <c r="L2719" i="11"/>
  <c r="K2719" i="11"/>
  <c r="J2719" i="11"/>
  <c r="I2719" i="11"/>
  <c r="AE2718" i="11"/>
  <c r="AC2718" i="11"/>
  <c r="Z2718" i="11"/>
  <c r="Y2718" i="11"/>
  <c r="X2718" i="11"/>
  <c r="W2718" i="11"/>
  <c r="V2718" i="11"/>
  <c r="U2718" i="11"/>
  <c r="T2718" i="11"/>
  <c r="S2718" i="11"/>
  <c r="R2718" i="11"/>
  <c r="P2718" i="11"/>
  <c r="O2718" i="11"/>
  <c r="N2718" i="11"/>
  <c r="M2718" i="11"/>
  <c r="L2718" i="11"/>
  <c r="K2718" i="11"/>
  <c r="J2718" i="11"/>
  <c r="I2718" i="11"/>
  <c r="AE2717" i="11"/>
  <c r="AC2717" i="11"/>
  <c r="Z2717" i="11"/>
  <c r="Y2717" i="11"/>
  <c r="X2717" i="11"/>
  <c r="W2717" i="11"/>
  <c r="V2717" i="11"/>
  <c r="U2717" i="11"/>
  <c r="T2717" i="11"/>
  <c r="S2717" i="11"/>
  <c r="R2717" i="11"/>
  <c r="P2717" i="11"/>
  <c r="O2717" i="11"/>
  <c r="N2717" i="11"/>
  <c r="M2717" i="11"/>
  <c r="L2717" i="11"/>
  <c r="K2717" i="11"/>
  <c r="J2717" i="11"/>
  <c r="I2717" i="11"/>
  <c r="AE2716" i="11"/>
  <c r="AC2716" i="11"/>
  <c r="Z2716" i="11"/>
  <c r="Y2716" i="11"/>
  <c r="X2716" i="11"/>
  <c r="W2716" i="11"/>
  <c r="V2716" i="11"/>
  <c r="U2716" i="11"/>
  <c r="T2716" i="11"/>
  <c r="S2716" i="11"/>
  <c r="R2716" i="11"/>
  <c r="P2716" i="11"/>
  <c r="O2716" i="11"/>
  <c r="N2716" i="11"/>
  <c r="M2716" i="11"/>
  <c r="L2716" i="11"/>
  <c r="K2716" i="11"/>
  <c r="J2716" i="11"/>
  <c r="I2716" i="11"/>
  <c r="AE2715" i="11"/>
  <c r="AC2715" i="11"/>
  <c r="Z2715" i="11"/>
  <c r="Y2715" i="11"/>
  <c r="X2715" i="11"/>
  <c r="W2715" i="11"/>
  <c r="V2715" i="11"/>
  <c r="U2715" i="11"/>
  <c r="T2715" i="11"/>
  <c r="S2715" i="11"/>
  <c r="R2715" i="11"/>
  <c r="P2715" i="11"/>
  <c r="O2715" i="11"/>
  <c r="N2715" i="11"/>
  <c r="M2715" i="11"/>
  <c r="L2715" i="11"/>
  <c r="K2715" i="11"/>
  <c r="J2715" i="11"/>
  <c r="I2715" i="11"/>
  <c r="AE2714" i="11"/>
  <c r="AC2714" i="11"/>
  <c r="Z2714" i="11"/>
  <c r="Y2714" i="11"/>
  <c r="X2714" i="11"/>
  <c r="W2714" i="11"/>
  <c r="V2714" i="11"/>
  <c r="U2714" i="11"/>
  <c r="T2714" i="11"/>
  <c r="S2714" i="11"/>
  <c r="R2714" i="11"/>
  <c r="P2714" i="11"/>
  <c r="O2714" i="11"/>
  <c r="N2714" i="11"/>
  <c r="M2714" i="11"/>
  <c r="L2714" i="11"/>
  <c r="K2714" i="11"/>
  <c r="J2714" i="11"/>
  <c r="I2714" i="11"/>
  <c r="AE2713" i="11"/>
  <c r="AC2713" i="11"/>
  <c r="Z2713" i="11"/>
  <c r="Y2713" i="11"/>
  <c r="X2713" i="11"/>
  <c r="W2713" i="11"/>
  <c r="V2713" i="11"/>
  <c r="U2713" i="11"/>
  <c r="T2713" i="11"/>
  <c r="S2713" i="11"/>
  <c r="R2713" i="11"/>
  <c r="P2713" i="11"/>
  <c r="O2713" i="11"/>
  <c r="N2713" i="11"/>
  <c r="M2713" i="11"/>
  <c r="L2713" i="11"/>
  <c r="K2713" i="11"/>
  <c r="J2713" i="11"/>
  <c r="I2713" i="11"/>
  <c r="AE2712" i="11"/>
  <c r="AC2712" i="11"/>
  <c r="Z2712" i="11"/>
  <c r="Y2712" i="11"/>
  <c r="X2712" i="11"/>
  <c r="W2712" i="11"/>
  <c r="V2712" i="11"/>
  <c r="U2712" i="11"/>
  <c r="T2712" i="11"/>
  <c r="S2712" i="11"/>
  <c r="R2712" i="11"/>
  <c r="P2712" i="11"/>
  <c r="O2712" i="11"/>
  <c r="N2712" i="11"/>
  <c r="M2712" i="11"/>
  <c r="L2712" i="11"/>
  <c r="K2712" i="11"/>
  <c r="J2712" i="11"/>
  <c r="I2712" i="11"/>
  <c r="AE2711" i="11"/>
  <c r="AC2711" i="11"/>
  <c r="Z2711" i="11"/>
  <c r="Y2711" i="11"/>
  <c r="X2711" i="11"/>
  <c r="W2711" i="11"/>
  <c r="V2711" i="11"/>
  <c r="U2711" i="11"/>
  <c r="T2711" i="11"/>
  <c r="S2711" i="11"/>
  <c r="R2711" i="11"/>
  <c r="P2711" i="11"/>
  <c r="O2711" i="11"/>
  <c r="N2711" i="11"/>
  <c r="M2711" i="11"/>
  <c r="L2711" i="11"/>
  <c r="K2711" i="11"/>
  <c r="J2711" i="11"/>
  <c r="I2711" i="11"/>
  <c r="AE2710" i="11"/>
  <c r="AC2710" i="11"/>
  <c r="Z2710" i="11"/>
  <c r="Y2710" i="11"/>
  <c r="X2710" i="11"/>
  <c r="W2710" i="11"/>
  <c r="V2710" i="11"/>
  <c r="U2710" i="11"/>
  <c r="T2710" i="11"/>
  <c r="S2710" i="11"/>
  <c r="R2710" i="11"/>
  <c r="P2710" i="11"/>
  <c r="O2710" i="11"/>
  <c r="N2710" i="11"/>
  <c r="M2710" i="11"/>
  <c r="L2710" i="11"/>
  <c r="K2710" i="11"/>
  <c r="J2710" i="11"/>
  <c r="I2710" i="11"/>
  <c r="AE2709" i="11"/>
  <c r="AC2709" i="11"/>
  <c r="Z2709" i="11"/>
  <c r="Y2709" i="11"/>
  <c r="X2709" i="11"/>
  <c r="W2709" i="11"/>
  <c r="V2709" i="11"/>
  <c r="U2709" i="11"/>
  <c r="T2709" i="11"/>
  <c r="S2709" i="11"/>
  <c r="R2709" i="11"/>
  <c r="P2709" i="11"/>
  <c r="O2709" i="11"/>
  <c r="N2709" i="11"/>
  <c r="M2709" i="11"/>
  <c r="L2709" i="11"/>
  <c r="K2709" i="11"/>
  <c r="J2709" i="11"/>
  <c r="I2709" i="11"/>
  <c r="AE2708" i="11"/>
  <c r="AC2708" i="11"/>
  <c r="Z2708" i="11"/>
  <c r="Y2708" i="11"/>
  <c r="X2708" i="11"/>
  <c r="W2708" i="11"/>
  <c r="V2708" i="11"/>
  <c r="U2708" i="11"/>
  <c r="T2708" i="11"/>
  <c r="S2708" i="11"/>
  <c r="R2708" i="11"/>
  <c r="P2708" i="11"/>
  <c r="O2708" i="11"/>
  <c r="N2708" i="11"/>
  <c r="M2708" i="11"/>
  <c r="L2708" i="11"/>
  <c r="K2708" i="11"/>
  <c r="J2708" i="11"/>
  <c r="I2708" i="11"/>
  <c r="AE2707" i="11"/>
  <c r="AC2707" i="11"/>
  <c r="Z2707" i="11"/>
  <c r="Y2707" i="11"/>
  <c r="X2707" i="11"/>
  <c r="W2707" i="11"/>
  <c r="V2707" i="11"/>
  <c r="U2707" i="11"/>
  <c r="T2707" i="11"/>
  <c r="S2707" i="11"/>
  <c r="R2707" i="11"/>
  <c r="P2707" i="11"/>
  <c r="O2707" i="11"/>
  <c r="N2707" i="11"/>
  <c r="M2707" i="11"/>
  <c r="L2707" i="11"/>
  <c r="K2707" i="11"/>
  <c r="J2707" i="11"/>
  <c r="I2707" i="11"/>
  <c r="AE2706" i="11"/>
  <c r="AC2706" i="11"/>
  <c r="Z2706" i="11"/>
  <c r="Y2706" i="11"/>
  <c r="X2706" i="11"/>
  <c r="W2706" i="11"/>
  <c r="V2706" i="11"/>
  <c r="U2706" i="11"/>
  <c r="T2706" i="11"/>
  <c r="S2706" i="11"/>
  <c r="R2706" i="11"/>
  <c r="P2706" i="11"/>
  <c r="O2706" i="11"/>
  <c r="N2706" i="11"/>
  <c r="M2706" i="11"/>
  <c r="L2706" i="11"/>
  <c r="K2706" i="11"/>
  <c r="J2706" i="11"/>
  <c r="I2706" i="11"/>
  <c r="AE2705" i="11"/>
  <c r="AC2705" i="11"/>
  <c r="Z2705" i="11"/>
  <c r="Y2705" i="11"/>
  <c r="X2705" i="11"/>
  <c r="W2705" i="11"/>
  <c r="V2705" i="11"/>
  <c r="U2705" i="11"/>
  <c r="T2705" i="11"/>
  <c r="S2705" i="11"/>
  <c r="R2705" i="11"/>
  <c r="P2705" i="11"/>
  <c r="O2705" i="11"/>
  <c r="N2705" i="11"/>
  <c r="M2705" i="11"/>
  <c r="L2705" i="11"/>
  <c r="K2705" i="11"/>
  <c r="J2705" i="11"/>
  <c r="I2705" i="11"/>
  <c r="AE2704" i="11"/>
  <c r="AC2704" i="11"/>
  <c r="Z2704" i="11"/>
  <c r="Y2704" i="11"/>
  <c r="X2704" i="11"/>
  <c r="W2704" i="11"/>
  <c r="V2704" i="11"/>
  <c r="U2704" i="11"/>
  <c r="T2704" i="11"/>
  <c r="S2704" i="11"/>
  <c r="R2704" i="11"/>
  <c r="P2704" i="11"/>
  <c r="O2704" i="11"/>
  <c r="N2704" i="11"/>
  <c r="M2704" i="11"/>
  <c r="L2704" i="11"/>
  <c r="K2704" i="11"/>
  <c r="J2704" i="11"/>
  <c r="I2704" i="11"/>
  <c r="AE2703" i="11"/>
  <c r="AC2703" i="11"/>
  <c r="Z2703" i="11"/>
  <c r="Y2703" i="11"/>
  <c r="X2703" i="11"/>
  <c r="W2703" i="11"/>
  <c r="V2703" i="11"/>
  <c r="U2703" i="11"/>
  <c r="T2703" i="11"/>
  <c r="S2703" i="11"/>
  <c r="R2703" i="11"/>
  <c r="P2703" i="11"/>
  <c r="O2703" i="11"/>
  <c r="N2703" i="11"/>
  <c r="M2703" i="11"/>
  <c r="L2703" i="11"/>
  <c r="K2703" i="11"/>
  <c r="J2703" i="11"/>
  <c r="I2703" i="11"/>
  <c r="AE2702" i="11"/>
  <c r="AC2702" i="11"/>
  <c r="Z2702" i="11"/>
  <c r="Y2702" i="11"/>
  <c r="X2702" i="11"/>
  <c r="W2702" i="11"/>
  <c r="V2702" i="11"/>
  <c r="U2702" i="11"/>
  <c r="T2702" i="11"/>
  <c r="S2702" i="11"/>
  <c r="R2702" i="11"/>
  <c r="P2702" i="11"/>
  <c r="O2702" i="11"/>
  <c r="N2702" i="11"/>
  <c r="M2702" i="11"/>
  <c r="L2702" i="11"/>
  <c r="K2702" i="11"/>
  <c r="J2702" i="11"/>
  <c r="I2702" i="11"/>
  <c r="AE2701" i="11"/>
  <c r="AC2701" i="11"/>
  <c r="Z2701" i="11"/>
  <c r="Y2701" i="11"/>
  <c r="X2701" i="11"/>
  <c r="W2701" i="11"/>
  <c r="V2701" i="11"/>
  <c r="U2701" i="11"/>
  <c r="T2701" i="11"/>
  <c r="S2701" i="11"/>
  <c r="R2701" i="11"/>
  <c r="P2701" i="11"/>
  <c r="O2701" i="11"/>
  <c r="N2701" i="11"/>
  <c r="M2701" i="11"/>
  <c r="L2701" i="11"/>
  <c r="K2701" i="11"/>
  <c r="J2701" i="11"/>
  <c r="I2701" i="11"/>
  <c r="AE2700" i="11"/>
  <c r="AC2700" i="11"/>
  <c r="Z2700" i="11"/>
  <c r="Y2700" i="11"/>
  <c r="X2700" i="11"/>
  <c r="W2700" i="11"/>
  <c r="V2700" i="11"/>
  <c r="U2700" i="11"/>
  <c r="T2700" i="11"/>
  <c r="S2700" i="11"/>
  <c r="R2700" i="11"/>
  <c r="P2700" i="11"/>
  <c r="O2700" i="11"/>
  <c r="N2700" i="11"/>
  <c r="M2700" i="11"/>
  <c r="L2700" i="11"/>
  <c r="K2700" i="11"/>
  <c r="J2700" i="11"/>
  <c r="I2700" i="11"/>
  <c r="AE2699" i="11"/>
  <c r="AC2699" i="11"/>
  <c r="Z2699" i="11"/>
  <c r="Y2699" i="11"/>
  <c r="X2699" i="11"/>
  <c r="W2699" i="11"/>
  <c r="V2699" i="11"/>
  <c r="U2699" i="11"/>
  <c r="T2699" i="11"/>
  <c r="S2699" i="11"/>
  <c r="R2699" i="11"/>
  <c r="P2699" i="11"/>
  <c r="O2699" i="11"/>
  <c r="N2699" i="11"/>
  <c r="M2699" i="11"/>
  <c r="L2699" i="11"/>
  <c r="K2699" i="11"/>
  <c r="J2699" i="11"/>
  <c r="I2699" i="11"/>
  <c r="AE2698" i="11"/>
  <c r="AC2698" i="11"/>
  <c r="Z2698" i="11"/>
  <c r="Y2698" i="11"/>
  <c r="X2698" i="11"/>
  <c r="W2698" i="11"/>
  <c r="V2698" i="11"/>
  <c r="U2698" i="11"/>
  <c r="T2698" i="11"/>
  <c r="S2698" i="11"/>
  <c r="R2698" i="11"/>
  <c r="P2698" i="11"/>
  <c r="O2698" i="11"/>
  <c r="N2698" i="11"/>
  <c r="M2698" i="11"/>
  <c r="L2698" i="11"/>
  <c r="K2698" i="11"/>
  <c r="J2698" i="11"/>
  <c r="I2698" i="11"/>
  <c r="AE2697" i="11"/>
  <c r="AC2697" i="11"/>
  <c r="Z2697" i="11"/>
  <c r="Y2697" i="11"/>
  <c r="X2697" i="11"/>
  <c r="W2697" i="11"/>
  <c r="V2697" i="11"/>
  <c r="U2697" i="11"/>
  <c r="T2697" i="11"/>
  <c r="S2697" i="11"/>
  <c r="R2697" i="11"/>
  <c r="P2697" i="11"/>
  <c r="O2697" i="11"/>
  <c r="N2697" i="11"/>
  <c r="M2697" i="11"/>
  <c r="L2697" i="11"/>
  <c r="K2697" i="11"/>
  <c r="J2697" i="11"/>
  <c r="I2697" i="11"/>
  <c r="AE2696" i="11"/>
  <c r="AC2696" i="11"/>
  <c r="Z2696" i="11"/>
  <c r="Y2696" i="11"/>
  <c r="X2696" i="11"/>
  <c r="W2696" i="11"/>
  <c r="V2696" i="11"/>
  <c r="U2696" i="11"/>
  <c r="T2696" i="11"/>
  <c r="S2696" i="11"/>
  <c r="R2696" i="11"/>
  <c r="P2696" i="11"/>
  <c r="O2696" i="11"/>
  <c r="N2696" i="11"/>
  <c r="M2696" i="11"/>
  <c r="L2696" i="11"/>
  <c r="K2696" i="11"/>
  <c r="J2696" i="11"/>
  <c r="I2696" i="11"/>
  <c r="AE2695" i="11"/>
  <c r="AC2695" i="11"/>
  <c r="Z2695" i="11"/>
  <c r="Y2695" i="11"/>
  <c r="X2695" i="11"/>
  <c r="W2695" i="11"/>
  <c r="V2695" i="11"/>
  <c r="U2695" i="11"/>
  <c r="T2695" i="11"/>
  <c r="S2695" i="11"/>
  <c r="R2695" i="11"/>
  <c r="P2695" i="11"/>
  <c r="O2695" i="11"/>
  <c r="N2695" i="11"/>
  <c r="M2695" i="11"/>
  <c r="L2695" i="11"/>
  <c r="K2695" i="11"/>
  <c r="J2695" i="11"/>
  <c r="I2695" i="11"/>
  <c r="AE2694" i="11"/>
  <c r="AC2694" i="11"/>
  <c r="Z2694" i="11"/>
  <c r="Y2694" i="11"/>
  <c r="X2694" i="11"/>
  <c r="W2694" i="11"/>
  <c r="V2694" i="11"/>
  <c r="U2694" i="11"/>
  <c r="T2694" i="11"/>
  <c r="S2694" i="11"/>
  <c r="R2694" i="11"/>
  <c r="P2694" i="11"/>
  <c r="O2694" i="11"/>
  <c r="N2694" i="11"/>
  <c r="M2694" i="11"/>
  <c r="L2694" i="11"/>
  <c r="K2694" i="11"/>
  <c r="J2694" i="11"/>
  <c r="I2694" i="11"/>
  <c r="AE2693" i="11"/>
  <c r="AC2693" i="11"/>
  <c r="Z2693" i="11"/>
  <c r="Y2693" i="11"/>
  <c r="X2693" i="11"/>
  <c r="W2693" i="11"/>
  <c r="V2693" i="11"/>
  <c r="U2693" i="11"/>
  <c r="T2693" i="11"/>
  <c r="S2693" i="11"/>
  <c r="R2693" i="11"/>
  <c r="P2693" i="11"/>
  <c r="O2693" i="11"/>
  <c r="N2693" i="11"/>
  <c r="M2693" i="11"/>
  <c r="L2693" i="11"/>
  <c r="K2693" i="11"/>
  <c r="J2693" i="11"/>
  <c r="I2693" i="11"/>
  <c r="AE2692" i="11"/>
  <c r="AC2692" i="11"/>
  <c r="Z2692" i="11"/>
  <c r="Y2692" i="11"/>
  <c r="X2692" i="11"/>
  <c r="W2692" i="11"/>
  <c r="V2692" i="11"/>
  <c r="U2692" i="11"/>
  <c r="T2692" i="11"/>
  <c r="S2692" i="11"/>
  <c r="R2692" i="11"/>
  <c r="P2692" i="11"/>
  <c r="O2692" i="11"/>
  <c r="N2692" i="11"/>
  <c r="M2692" i="11"/>
  <c r="L2692" i="11"/>
  <c r="K2692" i="11"/>
  <c r="J2692" i="11"/>
  <c r="I2692" i="11"/>
  <c r="AE2691" i="11"/>
  <c r="AC2691" i="11"/>
  <c r="Z2691" i="11"/>
  <c r="Y2691" i="11"/>
  <c r="X2691" i="11"/>
  <c r="W2691" i="11"/>
  <c r="V2691" i="11"/>
  <c r="U2691" i="11"/>
  <c r="T2691" i="11"/>
  <c r="S2691" i="11"/>
  <c r="R2691" i="11"/>
  <c r="P2691" i="11"/>
  <c r="O2691" i="11"/>
  <c r="N2691" i="11"/>
  <c r="M2691" i="11"/>
  <c r="L2691" i="11"/>
  <c r="K2691" i="11"/>
  <c r="J2691" i="11"/>
  <c r="I2691" i="11"/>
  <c r="AE2690" i="11"/>
  <c r="AC2690" i="11"/>
  <c r="Z2690" i="11"/>
  <c r="Y2690" i="11"/>
  <c r="X2690" i="11"/>
  <c r="W2690" i="11"/>
  <c r="V2690" i="11"/>
  <c r="U2690" i="11"/>
  <c r="T2690" i="11"/>
  <c r="S2690" i="11"/>
  <c r="R2690" i="11"/>
  <c r="P2690" i="11"/>
  <c r="O2690" i="11"/>
  <c r="N2690" i="11"/>
  <c r="M2690" i="11"/>
  <c r="L2690" i="11"/>
  <c r="K2690" i="11"/>
  <c r="J2690" i="11"/>
  <c r="I2690" i="11"/>
  <c r="AE2689" i="11"/>
  <c r="AC2689" i="11"/>
  <c r="Z2689" i="11"/>
  <c r="Y2689" i="11"/>
  <c r="X2689" i="11"/>
  <c r="W2689" i="11"/>
  <c r="V2689" i="11"/>
  <c r="U2689" i="11"/>
  <c r="T2689" i="11"/>
  <c r="S2689" i="11"/>
  <c r="R2689" i="11"/>
  <c r="P2689" i="11"/>
  <c r="O2689" i="11"/>
  <c r="N2689" i="11"/>
  <c r="M2689" i="11"/>
  <c r="L2689" i="11"/>
  <c r="K2689" i="11"/>
  <c r="J2689" i="11"/>
  <c r="I2689" i="11"/>
  <c r="AE2688" i="11"/>
  <c r="AC2688" i="11"/>
  <c r="Z2688" i="11"/>
  <c r="Y2688" i="11"/>
  <c r="X2688" i="11"/>
  <c r="W2688" i="11"/>
  <c r="V2688" i="11"/>
  <c r="U2688" i="11"/>
  <c r="T2688" i="11"/>
  <c r="S2688" i="11"/>
  <c r="R2688" i="11"/>
  <c r="P2688" i="11"/>
  <c r="O2688" i="11"/>
  <c r="N2688" i="11"/>
  <c r="M2688" i="11"/>
  <c r="L2688" i="11"/>
  <c r="K2688" i="11"/>
  <c r="J2688" i="11"/>
  <c r="I2688" i="11"/>
  <c r="AE2687" i="11"/>
  <c r="AC2687" i="11"/>
  <c r="Z2687" i="11"/>
  <c r="Y2687" i="11"/>
  <c r="X2687" i="11"/>
  <c r="W2687" i="11"/>
  <c r="V2687" i="11"/>
  <c r="U2687" i="11"/>
  <c r="T2687" i="11"/>
  <c r="S2687" i="11"/>
  <c r="R2687" i="11"/>
  <c r="P2687" i="11"/>
  <c r="O2687" i="11"/>
  <c r="N2687" i="11"/>
  <c r="M2687" i="11"/>
  <c r="L2687" i="11"/>
  <c r="K2687" i="11"/>
  <c r="J2687" i="11"/>
  <c r="I2687" i="11"/>
  <c r="AE2686" i="11"/>
  <c r="AC2686" i="11"/>
  <c r="Z2686" i="11"/>
  <c r="Y2686" i="11"/>
  <c r="X2686" i="11"/>
  <c r="W2686" i="11"/>
  <c r="V2686" i="11"/>
  <c r="U2686" i="11"/>
  <c r="T2686" i="11"/>
  <c r="S2686" i="11"/>
  <c r="R2686" i="11"/>
  <c r="P2686" i="11"/>
  <c r="O2686" i="11"/>
  <c r="N2686" i="11"/>
  <c r="M2686" i="11"/>
  <c r="L2686" i="11"/>
  <c r="K2686" i="11"/>
  <c r="J2686" i="11"/>
  <c r="I2686" i="11"/>
  <c r="AE2685" i="11"/>
  <c r="AC2685" i="11"/>
  <c r="Z2685" i="11"/>
  <c r="Y2685" i="11"/>
  <c r="X2685" i="11"/>
  <c r="W2685" i="11"/>
  <c r="V2685" i="11"/>
  <c r="U2685" i="11"/>
  <c r="T2685" i="11"/>
  <c r="S2685" i="11"/>
  <c r="R2685" i="11"/>
  <c r="P2685" i="11"/>
  <c r="O2685" i="11"/>
  <c r="N2685" i="11"/>
  <c r="M2685" i="11"/>
  <c r="L2685" i="11"/>
  <c r="K2685" i="11"/>
  <c r="J2685" i="11"/>
  <c r="I2685" i="11"/>
  <c r="AE2684" i="11"/>
  <c r="AC2684" i="11"/>
  <c r="Z2684" i="11"/>
  <c r="Y2684" i="11"/>
  <c r="X2684" i="11"/>
  <c r="W2684" i="11"/>
  <c r="V2684" i="11"/>
  <c r="U2684" i="11"/>
  <c r="T2684" i="11"/>
  <c r="S2684" i="11"/>
  <c r="R2684" i="11"/>
  <c r="P2684" i="11"/>
  <c r="O2684" i="11"/>
  <c r="N2684" i="11"/>
  <c r="M2684" i="11"/>
  <c r="L2684" i="11"/>
  <c r="K2684" i="11"/>
  <c r="J2684" i="11"/>
  <c r="I2684" i="11"/>
  <c r="AE2683" i="11"/>
  <c r="AC2683" i="11"/>
  <c r="Z2683" i="11"/>
  <c r="Y2683" i="11"/>
  <c r="X2683" i="11"/>
  <c r="W2683" i="11"/>
  <c r="V2683" i="11"/>
  <c r="U2683" i="11"/>
  <c r="T2683" i="11"/>
  <c r="S2683" i="11"/>
  <c r="R2683" i="11"/>
  <c r="P2683" i="11"/>
  <c r="O2683" i="11"/>
  <c r="N2683" i="11"/>
  <c r="M2683" i="11"/>
  <c r="L2683" i="11"/>
  <c r="K2683" i="11"/>
  <c r="J2683" i="11"/>
  <c r="I2683" i="11"/>
  <c r="AE2682" i="11"/>
  <c r="AC2682" i="11"/>
  <c r="Z2682" i="11"/>
  <c r="Y2682" i="11"/>
  <c r="X2682" i="11"/>
  <c r="W2682" i="11"/>
  <c r="V2682" i="11"/>
  <c r="U2682" i="11"/>
  <c r="T2682" i="11"/>
  <c r="S2682" i="11"/>
  <c r="R2682" i="11"/>
  <c r="P2682" i="11"/>
  <c r="O2682" i="11"/>
  <c r="N2682" i="11"/>
  <c r="M2682" i="11"/>
  <c r="L2682" i="11"/>
  <c r="K2682" i="11"/>
  <c r="J2682" i="11"/>
  <c r="I2682" i="11"/>
  <c r="AE2681" i="11"/>
  <c r="AC2681" i="11"/>
  <c r="Z2681" i="11"/>
  <c r="Y2681" i="11"/>
  <c r="X2681" i="11"/>
  <c r="W2681" i="11"/>
  <c r="V2681" i="11"/>
  <c r="U2681" i="11"/>
  <c r="T2681" i="11"/>
  <c r="S2681" i="11"/>
  <c r="R2681" i="11"/>
  <c r="P2681" i="11"/>
  <c r="O2681" i="11"/>
  <c r="N2681" i="11"/>
  <c r="M2681" i="11"/>
  <c r="L2681" i="11"/>
  <c r="K2681" i="11"/>
  <c r="J2681" i="11"/>
  <c r="I2681" i="11"/>
  <c r="AE2680" i="11"/>
  <c r="AC2680" i="11"/>
  <c r="Z2680" i="11"/>
  <c r="Y2680" i="11"/>
  <c r="X2680" i="11"/>
  <c r="W2680" i="11"/>
  <c r="V2680" i="11"/>
  <c r="U2680" i="11"/>
  <c r="T2680" i="11"/>
  <c r="S2680" i="11"/>
  <c r="R2680" i="11"/>
  <c r="P2680" i="11"/>
  <c r="O2680" i="11"/>
  <c r="N2680" i="11"/>
  <c r="M2680" i="11"/>
  <c r="L2680" i="11"/>
  <c r="K2680" i="11"/>
  <c r="J2680" i="11"/>
  <c r="I2680" i="11"/>
  <c r="AE2679" i="11"/>
  <c r="AC2679" i="11"/>
  <c r="Z2679" i="11"/>
  <c r="Y2679" i="11"/>
  <c r="X2679" i="11"/>
  <c r="W2679" i="11"/>
  <c r="V2679" i="11"/>
  <c r="U2679" i="11"/>
  <c r="T2679" i="11"/>
  <c r="S2679" i="11"/>
  <c r="R2679" i="11"/>
  <c r="P2679" i="11"/>
  <c r="O2679" i="11"/>
  <c r="N2679" i="11"/>
  <c r="M2679" i="11"/>
  <c r="L2679" i="11"/>
  <c r="K2679" i="11"/>
  <c r="J2679" i="11"/>
  <c r="I2679" i="11"/>
  <c r="AE2678" i="11"/>
  <c r="AC2678" i="11"/>
  <c r="Z2678" i="11"/>
  <c r="Y2678" i="11"/>
  <c r="X2678" i="11"/>
  <c r="W2678" i="11"/>
  <c r="V2678" i="11"/>
  <c r="U2678" i="11"/>
  <c r="T2678" i="11"/>
  <c r="S2678" i="11"/>
  <c r="R2678" i="11"/>
  <c r="P2678" i="11"/>
  <c r="O2678" i="11"/>
  <c r="N2678" i="11"/>
  <c r="M2678" i="11"/>
  <c r="L2678" i="11"/>
  <c r="K2678" i="11"/>
  <c r="J2678" i="11"/>
  <c r="I2678" i="11"/>
  <c r="AE2677" i="11"/>
  <c r="AC2677" i="11"/>
  <c r="Z2677" i="11"/>
  <c r="Y2677" i="11"/>
  <c r="X2677" i="11"/>
  <c r="W2677" i="11"/>
  <c r="V2677" i="11"/>
  <c r="U2677" i="11"/>
  <c r="T2677" i="11"/>
  <c r="S2677" i="11"/>
  <c r="R2677" i="11"/>
  <c r="P2677" i="11"/>
  <c r="O2677" i="11"/>
  <c r="N2677" i="11"/>
  <c r="M2677" i="11"/>
  <c r="L2677" i="11"/>
  <c r="K2677" i="11"/>
  <c r="J2677" i="11"/>
  <c r="I2677" i="11"/>
  <c r="AE2676" i="11"/>
  <c r="AC2676" i="11"/>
  <c r="Z2676" i="11"/>
  <c r="Y2676" i="11"/>
  <c r="X2676" i="11"/>
  <c r="W2676" i="11"/>
  <c r="V2676" i="11"/>
  <c r="U2676" i="11"/>
  <c r="T2676" i="11"/>
  <c r="S2676" i="11"/>
  <c r="R2676" i="11"/>
  <c r="P2676" i="11"/>
  <c r="O2676" i="11"/>
  <c r="N2676" i="11"/>
  <c r="M2676" i="11"/>
  <c r="L2676" i="11"/>
  <c r="K2676" i="11"/>
  <c r="J2676" i="11"/>
  <c r="I2676" i="11"/>
  <c r="AE2675" i="11"/>
  <c r="AC2675" i="11"/>
  <c r="Z2675" i="11"/>
  <c r="Y2675" i="11"/>
  <c r="X2675" i="11"/>
  <c r="W2675" i="11"/>
  <c r="V2675" i="11"/>
  <c r="U2675" i="11"/>
  <c r="T2675" i="11"/>
  <c r="S2675" i="11"/>
  <c r="R2675" i="11"/>
  <c r="P2675" i="11"/>
  <c r="O2675" i="11"/>
  <c r="N2675" i="11"/>
  <c r="M2675" i="11"/>
  <c r="L2675" i="11"/>
  <c r="K2675" i="11"/>
  <c r="J2675" i="11"/>
  <c r="I2675" i="11"/>
  <c r="AE2674" i="11"/>
  <c r="AC2674" i="11"/>
  <c r="Z2674" i="11"/>
  <c r="Y2674" i="11"/>
  <c r="X2674" i="11"/>
  <c r="W2674" i="11"/>
  <c r="V2674" i="11"/>
  <c r="U2674" i="11"/>
  <c r="T2674" i="11"/>
  <c r="S2674" i="11"/>
  <c r="R2674" i="11"/>
  <c r="P2674" i="11"/>
  <c r="O2674" i="11"/>
  <c r="N2674" i="11"/>
  <c r="M2674" i="11"/>
  <c r="L2674" i="11"/>
  <c r="K2674" i="11"/>
  <c r="J2674" i="11"/>
  <c r="I2674" i="11"/>
  <c r="AE2673" i="11"/>
  <c r="AC2673" i="11"/>
  <c r="Z2673" i="11"/>
  <c r="Y2673" i="11"/>
  <c r="X2673" i="11"/>
  <c r="W2673" i="11"/>
  <c r="V2673" i="11"/>
  <c r="U2673" i="11"/>
  <c r="T2673" i="11"/>
  <c r="S2673" i="11"/>
  <c r="R2673" i="11"/>
  <c r="P2673" i="11"/>
  <c r="O2673" i="11"/>
  <c r="N2673" i="11"/>
  <c r="M2673" i="11"/>
  <c r="L2673" i="11"/>
  <c r="K2673" i="11"/>
  <c r="J2673" i="11"/>
  <c r="I2673" i="11"/>
  <c r="AE2672" i="11"/>
  <c r="AC2672" i="11"/>
  <c r="Z2672" i="11"/>
  <c r="Y2672" i="11"/>
  <c r="X2672" i="11"/>
  <c r="W2672" i="11"/>
  <c r="V2672" i="11"/>
  <c r="U2672" i="11"/>
  <c r="T2672" i="11"/>
  <c r="S2672" i="11"/>
  <c r="R2672" i="11"/>
  <c r="P2672" i="11"/>
  <c r="O2672" i="11"/>
  <c r="N2672" i="11"/>
  <c r="M2672" i="11"/>
  <c r="L2672" i="11"/>
  <c r="K2672" i="11"/>
  <c r="J2672" i="11"/>
  <c r="I2672" i="11"/>
  <c r="AE2671" i="11"/>
  <c r="AC2671" i="11"/>
  <c r="Z2671" i="11"/>
  <c r="Y2671" i="11"/>
  <c r="X2671" i="11"/>
  <c r="W2671" i="11"/>
  <c r="V2671" i="11"/>
  <c r="U2671" i="11"/>
  <c r="T2671" i="11"/>
  <c r="S2671" i="11"/>
  <c r="R2671" i="11"/>
  <c r="P2671" i="11"/>
  <c r="O2671" i="11"/>
  <c r="N2671" i="11"/>
  <c r="M2671" i="11"/>
  <c r="L2671" i="11"/>
  <c r="K2671" i="11"/>
  <c r="J2671" i="11"/>
  <c r="I2671" i="11"/>
  <c r="AE2670" i="11"/>
  <c r="AC2670" i="11"/>
  <c r="Z2670" i="11"/>
  <c r="Y2670" i="11"/>
  <c r="X2670" i="11"/>
  <c r="W2670" i="11"/>
  <c r="V2670" i="11"/>
  <c r="U2670" i="11"/>
  <c r="T2670" i="11"/>
  <c r="S2670" i="11"/>
  <c r="R2670" i="11"/>
  <c r="P2670" i="11"/>
  <c r="O2670" i="11"/>
  <c r="N2670" i="11"/>
  <c r="M2670" i="11"/>
  <c r="L2670" i="11"/>
  <c r="K2670" i="11"/>
  <c r="J2670" i="11"/>
  <c r="I2670" i="11"/>
  <c r="AE2669" i="11"/>
  <c r="AC2669" i="11"/>
  <c r="Z2669" i="11"/>
  <c r="Y2669" i="11"/>
  <c r="X2669" i="11"/>
  <c r="W2669" i="11"/>
  <c r="V2669" i="11"/>
  <c r="U2669" i="11"/>
  <c r="T2669" i="11"/>
  <c r="S2669" i="11"/>
  <c r="R2669" i="11"/>
  <c r="P2669" i="11"/>
  <c r="O2669" i="11"/>
  <c r="N2669" i="11"/>
  <c r="M2669" i="11"/>
  <c r="L2669" i="11"/>
  <c r="K2669" i="11"/>
  <c r="J2669" i="11"/>
  <c r="I2669" i="11"/>
  <c r="AE2668" i="11"/>
  <c r="AC2668" i="11"/>
  <c r="Z2668" i="11"/>
  <c r="Y2668" i="11"/>
  <c r="X2668" i="11"/>
  <c r="W2668" i="11"/>
  <c r="V2668" i="11"/>
  <c r="U2668" i="11"/>
  <c r="T2668" i="11"/>
  <c r="S2668" i="11"/>
  <c r="R2668" i="11"/>
  <c r="P2668" i="11"/>
  <c r="O2668" i="11"/>
  <c r="N2668" i="11"/>
  <c r="M2668" i="11"/>
  <c r="L2668" i="11"/>
  <c r="K2668" i="11"/>
  <c r="J2668" i="11"/>
  <c r="I2668" i="11"/>
  <c r="AE2667" i="11"/>
  <c r="AC2667" i="11"/>
  <c r="Z2667" i="11"/>
  <c r="Y2667" i="11"/>
  <c r="X2667" i="11"/>
  <c r="W2667" i="11"/>
  <c r="V2667" i="11"/>
  <c r="U2667" i="11"/>
  <c r="T2667" i="11"/>
  <c r="S2667" i="11"/>
  <c r="R2667" i="11"/>
  <c r="P2667" i="11"/>
  <c r="O2667" i="11"/>
  <c r="N2667" i="11"/>
  <c r="M2667" i="11"/>
  <c r="L2667" i="11"/>
  <c r="K2667" i="11"/>
  <c r="J2667" i="11"/>
  <c r="I2667" i="11"/>
  <c r="AE2666" i="11"/>
  <c r="AC2666" i="11"/>
  <c r="Z2666" i="11"/>
  <c r="Y2666" i="11"/>
  <c r="X2666" i="11"/>
  <c r="W2666" i="11"/>
  <c r="V2666" i="11"/>
  <c r="U2666" i="11"/>
  <c r="T2666" i="11"/>
  <c r="S2666" i="11"/>
  <c r="R2666" i="11"/>
  <c r="P2666" i="11"/>
  <c r="O2666" i="11"/>
  <c r="N2666" i="11"/>
  <c r="M2666" i="11"/>
  <c r="L2666" i="11"/>
  <c r="K2666" i="11"/>
  <c r="J2666" i="11"/>
  <c r="I2666" i="11"/>
  <c r="AE2665" i="11"/>
  <c r="AC2665" i="11"/>
  <c r="Z2665" i="11"/>
  <c r="Y2665" i="11"/>
  <c r="X2665" i="11"/>
  <c r="W2665" i="11"/>
  <c r="V2665" i="11"/>
  <c r="U2665" i="11"/>
  <c r="T2665" i="11"/>
  <c r="S2665" i="11"/>
  <c r="R2665" i="11"/>
  <c r="P2665" i="11"/>
  <c r="O2665" i="11"/>
  <c r="N2665" i="11"/>
  <c r="M2665" i="11"/>
  <c r="L2665" i="11"/>
  <c r="K2665" i="11"/>
  <c r="J2665" i="11"/>
  <c r="I2665" i="11"/>
  <c r="AE2664" i="11"/>
  <c r="AC2664" i="11"/>
  <c r="Z2664" i="11"/>
  <c r="Y2664" i="11"/>
  <c r="X2664" i="11"/>
  <c r="W2664" i="11"/>
  <c r="V2664" i="11"/>
  <c r="U2664" i="11"/>
  <c r="T2664" i="11"/>
  <c r="S2664" i="11"/>
  <c r="R2664" i="11"/>
  <c r="P2664" i="11"/>
  <c r="O2664" i="11"/>
  <c r="N2664" i="11"/>
  <c r="M2664" i="11"/>
  <c r="L2664" i="11"/>
  <c r="K2664" i="11"/>
  <c r="J2664" i="11"/>
  <c r="I2664" i="11"/>
  <c r="AE2663" i="11"/>
  <c r="AC2663" i="11"/>
  <c r="Z2663" i="11"/>
  <c r="Y2663" i="11"/>
  <c r="X2663" i="11"/>
  <c r="W2663" i="11"/>
  <c r="V2663" i="11"/>
  <c r="U2663" i="11"/>
  <c r="T2663" i="11"/>
  <c r="S2663" i="11"/>
  <c r="R2663" i="11"/>
  <c r="P2663" i="11"/>
  <c r="O2663" i="11"/>
  <c r="N2663" i="11"/>
  <c r="M2663" i="11"/>
  <c r="L2663" i="11"/>
  <c r="K2663" i="11"/>
  <c r="J2663" i="11"/>
  <c r="I2663" i="11"/>
  <c r="AE2662" i="11"/>
  <c r="AC2662" i="11"/>
  <c r="Z2662" i="11"/>
  <c r="Y2662" i="11"/>
  <c r="X2662" i="11"/>
  <c r="W2662" i="11"/>
  <c r="V2662" i="11"/>
  <c r="U2662" i="11"/>
  <c r="T2662" i="11"/>
  <c r="S2662" i="11"/>
  <c r="R2662" i="11"/>
  <c r="P2662" i="11"/>
  <c r="O2662" i="11"/>
  <c r="N2662" i="11"/>
  <c r="M2662" i="11"/>
  <c r="L2662" i="11"/>
  <c r="K2662" i="11"/>
  <c r="J2662" i="11"/>
  <c r="I2662" i="11"/>
  <c r="AE2661" i="11"/>
  <c r="AC2661" i="11"/>
  <c r="Z2661" i="11"/>
  <c r="Y2661" i="11"/>
  <c r="X2661" i="11"/>
  <c r="W2661" i="11"/>
  <c r="V2661" i="11"/>
  <c r="U2661" i="11"/>
  <c r="T2661" i="11"/>
  <c r="S2661" i="11"/>
  <c r="R2661" i="11"/>
  <c r="P2661" i="11"/>
  <c r="O2661" i="11"/>
  <c r="N2661" i="11"/>
  <c r="M2661" i="11"/>
  <c r="L2661" i="11"/>
  <c r="K2661" i="11"/>
  <c r="J2661" i="11"/>
  <c r="I2661" i="11"/>
  <c r="AE2660" i="11"/>
  <c r="AC2660" i="11"/>
  <c r="Z2660" i="11"/>
  <c r="Y2660" i="11"/>
  <c r="X2660" i="11"/>
  <c r="W2660" i="11"/>
  <c r="V2660" i="11"/>
  <c r="U2660" i="11"/>
  <c r="T2660" i="11"/>
  <c r="S2660" i="11"/>
  <c r="R2660" i="11"/>
  <c r="P2660" i="11"/>
  <c r="O2660" i="11"/>
  <c r="N2660" i="11"/>
  <c r="M2660" i="11"/>
  <c r="L2660" i="11"/>
  <c r="K2660" i="11"/>
  <c r="J2660" i="11"/>
  <c r="I2660" i="11"/>
  <c r="AE2659" i="11"/>
  <c r="AC2659" i="11"/>
  <c r="Z2659" i="11"/>
  <c r="Y2659" i="11"/>
  <c r="X2659" i="11"/>
  <c r="W2659" i="11"/>
  <c r="V2659" i="11"/>
  <c r="U2659" i="11"/>
  <c r="T2659" i="11"/>
  <c r="S2659" i="11"/>
  <c r="R2659" i="11"/>
  <c r="P2659" i="11"/>
  <c r="O2659" i="11"/>
  <c r="N2659" i="11"/>
  <c r="M2659" i="11"/>
  <c r="L2659" i="11"/>
  <c r="K2659" i="11"/>
  <c r="J2659" i="11"/>
  <c r="I2659" i="11"/>
  <c r="AE2658" i="11"/>
  <c r="AC2658" i="11"/>
  <c r="Z2658" i="11"/>
  <c r="Y2658" i="11"/>
  <c r="X2658" i="11"/>
  <c r="W2658" i="11"/>
  <c r="V2658" i="11"/>
  <c r="U2658" i="11"/>
  <c r="T2658" i="11"/>
  <c r="S2658" i="11"/>
  <c r="R2658" i="11"/>
  <c r="P2658" i="11"/>
  <c r="O2658" i="11"/>
  <c r="N2658" i="11"/>
  <c r="M2658" i="11"/>
  <c r="L2658" i="11"/>
  <c r="K2658" i="11"/>
  <c r="J2658" i="11"/>
  <c r="I2658" i="11"/>
  <c r="AE2657" i="11"/>
  <c r="AC2657" i="11"/>
  <c r="Z2657" i="11"/>
  <c r="Y2657" i="11"/>
  <c r="X2657" i="11"/>
  <c r="W2657" i="11"/>
  <c r="V2657" i="11"/>
  <c r="U2657" i="11"/>
  <c r="T2657" i="11"/>
  <c r="S2657" i="11"/>
  <c r="R2657" i="11"/>
  <c r="P2657" i="11"/>
  <c r="O2657" i="11"/>
  <c r="N2657" i="11"/>
  <c r="M2657" i="11"/>
  <c r="L2657" i="11"/>
  <c r="K2657" i="11"/>
  <c r="J2657" i="11"/>
  <c r="I2657" i="11"/>
  <c r="AE2656" i="11"/>
  <c r="AC2656" i="11"/>
  <c r="Z2656" i="11"/>
  <c r="Y2656" i="11"/>
  <c r="X2656" i="11"/>
  <c r="W2656" i="11"/>
  <c r="V2656" i="11"/>
  <c r="U2656" i="11"/>
  <c r="T2656" i="11"/>
  <c r="S2656" i="11"/>
  <c r="R2656" i="11"/>
  <c r="P2656" i="11"/>
  <c r="O2656" i="11"/>
  <c r="N2656" i="11"/>
  <c r="M2656" i="11"/>
  <c r="L2656" i="11"/>
  <c r="K2656" i="11"/>
  <c r="J2656" i="11"/>
  <c r="I2656" i="11"/>
  <c r="AE2655" i="11"/>
  <c r="AC2655" i="11"/>
  <c r="Z2655" i="11"/>
  <c r="Y2655" i="11"/>
  <c r="X2655" i="11"/>
  <c r="W2655" i="11"/>
  <c r="V2655" i="11"/>
  <c r="U2655" i="11"/>
  <c r="T2655" i="11"/>
  <c r="S2655" i="11"/>
  <c r="R2655" i="11"/>
  <c r="P2655" i="11"/>
  <c r="O2655" i="11"/>
  <c r="N2655" i="11"/>
  <c r="M2655" i="11"/>
  <c r="L2655" i="11"/>
  <c r="K2655" i="11"/>
  <c r="J2655" i="11"/>
  <c r="I2655" i="11"/>
  <c r="AE2654" i="11"/>
  <c r="AC2654" i="11"/>
  <c r="Z2654" i="11"/>
  <c r="Y2654" i="11"/>
  <c r="X2654" i="11"/>
  <c r="W2654" i="11"/>
  <c r="V2654" i="11"/>
  <c r="U2654" i="11"/>
  <c r="T2654" i="11"/>
  <c r="S2654" i="11"/>
  <c r="R2654" i="11"/>
  <c r="P2654" i="11"/>
  <c r="O2654" i="11"/>
  <c r="N2654" i="11"/>
  <c r="M2654" i="11"/>
  <c r="L2654" i="11"/>
  <c r="K2654" i="11"/>
  <c r="J2654" i="11"/>
  <c r="I2654" i="11"/>
  <c r="AE2653" i="11"/>
  <c r="AC2653" i="11"/>
  <c r="Z2653" i="11"/>
  <c r="Y2653" i="11"/>
  <c r="X2653" i="11"/>
  <c r="W2653" i="11"/>
  <c r="V2653" i="11"/>
  <c r="U2653" i="11"/>
  <c r="T2653" i="11"/>
  <c r="S2653" i="11"/>
  <c r="R2653" i="11"/>
  <c r="P2653" i="11"/>
  <c r="O2653" i="11"/>
  <c r="N2653" i="11"/>
  <c r="M2653" i="11"/>
  <c r="L2653" i="11"/>
  <c r="K2653" i="11"/>
  <c r="J2653" i="11"/>
  <c r="I2653" i="11"/>
  <c r="AE2652" i="11"/>
  <c r="AC2652" i="11"/>
  <c r="Z2652" i="11"/>
  <c r="Y2652" i="11"/>
  <c r="X2652" i="11"/>
  <c r="W2652" i="11"/>
  <c r="V2652" i="11"/>
  <c r="U2652" i="11"/>
  <c r="T2652" i="11"/>
  <c r="S2652" i="11"/>
  <c r="R2652" i="11"/>
  <c r="P2652" i="11"/>
  <c r="O2652" i="11"/>
  <c r="N2652" i="11"/>
  <c r="M2652" i="11"/>
  <c r="L2652" i="11"/>
  <c r="K2652" i="11"/>
  <c r="J2652" i="11"/>
  <c r="I2652" i="11"/>
  <c r="AE2651" i="11"/>
  <c r="AC2651" i="11"/>
  <c r="Z2651" i="11"/>
  <c r="Y2651" i="11"/>
  <c r="X2651" i="11"/>
  <c r="W2651" i="11"/>
  <c r="V2651" i="11"/>
  <c r="U2651" i="11"/>
  <c r="T2651" i="11"/>
  <c r="S2651" i="11"/>
  <c r="R2651" i="11"/>
  <c r="P2651" i="11"/>
  <c r="O2651" i="11"/>
  <c r="N2651" i="11"/>
  <c r="M2651" i="11"/>
  <c r="L2651" i="11"/>
  <c r="K2651" i="11"/>
  <c r="J2651" i="11"/>
  <c r="I2651" i="11"/>
  <c r="AE2650" i="11"/>
  <c r="AC2650" i="11"/>
  <c r="Z2650" i="11"/>
  <c r="Y2650" i="11"/>
  <c r="X2650" i="11"/>
  <c r="W2650" i="11"/>
  <c r="V2650" i="11"/>
  <c r="U2650" i="11"/>
  <c r="T2650" i="11"/>
  <c r="S2650" i="11"/>
  <c r="R2650" i="11"/>
  <c r="P2650" i="11"/>
  <c r="O2650" i="11"/>
  <c r="N2650" i="11"/>
  <c r="M2650" i="11"/>
  <c r="L2650" i="11"/>
  <c r="K2650" i="11"/>
  <c r="J2650" i="11"/>
  <c r="I2650" i="11"/>
  <c r="AE2649" i="11"/>
  <c r="AC2649" i="11"/>
  <c r="Z2649" i="11"/>
  <c r="Y2649" i="11"/>
  <c r="X2649" i="11"/>
  <c r="W2649" i="11"/>
  <c r="V2649" i="11"/>
  <c r="U2649" i="11"/>
  <c r="T2649" i="11"/>
  <c r="S2649" i="11"/>
  <c r="R2649" i="11"/>
  <c r="P2649" i="11"/>
  <c r="O2649" i="11"/>
  <c r="N2649" i="11"/>
  <c r="M2649" i="11"/>
  <c r="L2649" i="11"/>
  <c r="K2649" i="11"/>
  <c r="J2649" i="11"/>
  <c r="I2649" i="11"/>
  <c r="AE2648" i="11"/>
  <c r="AC2648" i="11"/>
  <c r="Z2648" i="11"/>
  <c r="Y2648" i="11"/>
  <c r="X2648" i="11"/>
  <c r="W2648" i="11"/>
  <c r="V2648" i="11"/>
  <c r="U2648" i="11"/>
  <c r="T2648" i="11"/>
  <c r="S2648" i="11"/>
  <c r="R2648" i="11"/>
  <c r="P2648" i="11"/>
  <c r="O2648" i="11"/>
  <c r="N2648" i="11"/>
  <c r="M2648" i="11"/>
  <c r="L2648" i="11"/>
  <c r="K2648" i="11"/>
  <c r="J2648" i="11"/>
  <c r="I2648" i="11"/>
  <c r="AE2647" i="11"/>
  <c r="AC2647" i="11"/>
  <c r="Z2647" i="11"/>
  <c r="Y2647" i="11"/>
  <c r="X2647" i="11"/>
  <c r="W2647" i="11"/>
  <c r="V2647" i="11"/>
  <c r="U2647" i="11"/>
  <c r="T2647" i="11"/>
  <c r="S2647" i="11"/>
  <c r="R2647" i="11"/>
  <c r="P2647" i="11"/>
  <c r="O2647" i="11"/>
  <c r="N2647" i="11"/>
  <c r="M2647" i="11"/>
  <c r="L2647" i="11"/>
  <c r="K2647" i="11"/>
  <c r="J2647" i="11"/>
  <c r="I2647" i="11"/>
  <c r="AE2646" i="11"/>
  <c r="AC2646" i="11"/>
  <c r="Z2646" i="11"/>
  <c r="Y2646" i="11"/>
  <c r="X2646" i="11"/>
  <c r="W2646" i="11"/>
  <c r="V2646" i="11"/>
  <c r="U2646" i="11"/>
  <c r="T2646" i="11"/>
  <c r="S2646" i="11"/>
  <c r="R2646" i="11"/>
  <c r="P2646" i="11"/>
  <c r="O2646" i="11"/>
  <c r="N2646" i="11"/>
  <c r="M2646" i="11"/>
  <c r="L2646" i="11"/>
  <c r="K2646" i="11"/>
  <c r="J2646" i="11"/>
  <c r="I2646" i="11"/>
  <c r="AE2645" i="11"/>
  <c r="AC2645" i="11"/>
  <c r="Z2645" i="11"/>
  <c r="Y2645" i="11"/>
  <c r="X2645" i="11"/>
  <c r="W2645" i="11"/>
  <c r="V2645" i="11"/>
  <c r="U2645" i="11"/>
  <c r="T2645" i="11"/>
  <c r="S2645" i="11"/>
  <c r="R2645" i="11"/>
  <c r="P2645" i="11"/>
  <c r="O2645" i="11"/>
  <c r="N2645" i="11"/>
  <c r="M2645" i="11"/>
  <c r="L2645" i="11"/>
  <c r="K2645" i="11"/>
  <c r="J2645" i="11"/>
  <c r="I2645" i="11"/>
  <c r="AE2644" i="11"/>
  <c r="AC2644" i="11"/>
  <c r="Z2644" i="11"/>
  <c r="Y2644" i="11"/>
  <c r="X2644" i="11"/>
  <c r="W2644" i="11"/>
  <c r="V2644" i="11"/>
  <c r="U2644" i="11"/>
  <c r="T2644" i="11"/>
  <c r="S2644" i="11"/>
  <c r="R2644" i="11"/>
  <c r="P2644" i="11"/>
  <c r="O2644" i="11"/>
  <c r="N2644" i="11"/>
  <c r="M2644" i="11"/>
  <c r="L2644" i="11"/>
  <c r="K2644" i="11"/>
  <c r="J2644" i="11"/>
  <c r="I2644" i="11"/>
  <c r="AE2643" i="11"/>
  <c r="AC2643" i="11"/>
  <c r="Z2643" i="11"/>
  <c r="Y2643" i="11"/>
  <c r="X2643" i="11"/>
  <c r="W2643" i="11"/>
  <c r="V2643" i="11"/>
  <c r="U2643" i="11"/>
  <c r="T2643" i="11"/>
  <c r="S2643" i="11"/>
  <c r="R2643" i="11"/>
  <c r="P2643" i="11"/>
  <c r="O2643" i="11"/>
  <c r="N2643" i="11"/>
  <c r="M2643" i="11"/>
  <c r="L2643" i="11"/>
  <c r="K2643" i="11"/>
  <c r="J2643" i="11"/>
  <c r="I2643" i="11"/>
  <c r="AE2642" i="11"/>
  <c r="AC2642" i="11"/>
  <c r="Z2642" i="11"/>
  <c r="Y2642" i="11"/>
  <c r="X2642" i="11"/>
  <c r="W2642" i="11"/>
  <c r="V2642" i="11"/>
  <c r="U2642" i="11"/>
  <c r="T2642" i="11"/>
  <c r="S2642" i="11"/>
  <c r="R2642" i="11"/>
  <c r="P2642" i="11"/>
  <c r="O2642" i="11"/>
  <c r="N2642" i="11"/>
  <c r="M2642" i="11"/>
  <c r="L2642" i="11"/>
  <c r="K2642" i="11"/>
  <c r="J2642" i="11"/>
  <c r="I2642" i="11"/>
  <c r="AE2641" i="11"/>
  <c r="AC2641" i="11"/>
  <c r="Z2641" i="11"/>
  <c r="Y2641" i="11"/>
  <c r="X2641" i="11"/>
  <c r="W2641" i="11"/>
  <c r="V2641" i="11"/>
  <c r="U2641" i="11"/>
  <c r="T2641" i="11"/>
  <c r="S2641" i="11"/>
  <c r="R2641" i="11"/>
  <c r="P2641" i="11"/>
  <c r="O2641" i="11"/>
  <c r="N2641" i="11"/>
  <c r="M2641" i="11"/>
  <c r="L2641" i="11"/>
  <c r="K2641" i="11"/>
  <c r="J2641" i="11"/>
  <c r="I2641" i="11"/>
  <c r="AE2640" i="11"/>
  <c r="AC2640" i="11"/>
  <c r="Z2640" i="11"/>
  <c r="Y2640" i="11"/>
  <c r="X2640" i="11"/>
  <c r="W2640" i="11"/>
  <c r="V2640" i="11"/>
  <c r="U2640" i="11"/>
  <c r="T2640" i="11"/>
  <c r="S2640" i="11"/>
  <c r="R2640" i="11"/>
  <c r="P2640" i="11"/>
  <c r="O2640" i="11"/>
  <c r="N2640" i="11"/>
  <c r="M2640" i="11"/>
  <c r="L2640" i="11"/>
  <c r="K2640" i="11"/>
  <c r="J2640" i="11"/>
  <c r="I2640" i="11"/>
  <c r="AE2639" i="11"/>
  <c r="AC2639" i="11"/>
  <c r="Z2639" i="11"/>
  <c r="Y2639" i="11"/>
  <c r="X2639" i="11"/>
  <c r="W2639" i="11"/>
  <c r="V2639" i="11"/>
  <c r="U2639" i="11"/>
  <c r="T2639" i="11"/>
  <c r="S2639" i="11"/>
  <c r="R2639" i="11"/>
  <c r="P2639" i="11"/>
  <c r="O2639" i="11"/>
  <c r="N2639" i="11"/>
  <c r="M2639" i="11"/>
  <c r="L2639" i="11"/>
  <c r="K2639" i="11"/>
  <c r="J2639" i="11"/>
  <c r="I2639" i="11"/>
  <c r="AE2638" i="11"/>
  <c r="AC2638" i="11"/>
  <c r="Z2638" i="11"/>
  <c r="Y2638" i="11"/>
  <c r="X2638" i="11"/>
  <c r="W2638" i="11"/>
  <c r="V2638" i="11"/>
  <c r="U2638" i="11"/>
  <c r="T2638" i="11"/>
  <c r="S2638" i="11"/>
  <c r="R2638" i="11"/>
  <c r="P2638" i="11"/>
  <c r="O2638" i="11"/>
  <c r="N2638" i="11"/>
  <c r="M2638" i="11"/>
  <c r="L2638" i="11"/>
  <c r="K2638" i="11"/>
  <c r="J2638" i="11"/>
  <c r="I2638" i="11"/>
  <c r="AE2637" i="11"/>
  <c r="AC2637" i="11"/>
  <c r="Z2637" i="11"/>
  <c r="Y2637" i="11"/>
  <c r="X2637" i="11"/>
  <c r="W2637" i="11"/>
  <c r="V2637" i="11"/>
  <c r="U2637" i="11"/>
  <c r="T2637" i="11"/>
  <c r="S2637" i="11"/>
  <c r="R2637" i="11"/>
  <c r="P2637" i="11"/>
  <c r="O2637" i="11"/>
  <c r="N2637" i="11"/>
  <c r="M2637" i="11"/>
  <c r="L2637" i="11"/>
  <c r="K2637" i="11"/>
  <c r="J2637" i="11"/>
  <c r="I2637" i="11"/>
  <c r="AE2636" i="11"/>
  <c r="AC2636" i="11"/>
  <c r="Z2636" i="11"/>
  <c r="Y2636" i="11"/>
  <c r="X2636" i="11"/>
  <c r="W2636" i="11"/>
  <c r="V2636" i="11"/>
  <c r="U2636" i="11"/>
  <c r="T2636" i="11"/>
  <c r="S2636" i="11"/>
  <c r="R2636" i="11"/>
  <c r="P2636" i="11"/>
  <c r="O2636" i="11"/>
  <c r="N2636" i="11"/>
  <c r="M2636" i="11"/>
  <c r="L2636" i="11"/>
  <c r="K2636" i="11"/>
  <c r="J2636" i="11"/>
  <c r="I2636" i="11"/>
  <c r="AE2635" i="11"/>
  <c r="AC2635" i="11"/>
  <c r="Z2635" i="11"/>
  <c r="Y2635" i="11"/>
  <c r="X2635" i="11"/>
  <c r="W2635" i="11"/>
  <c r="V2635" i="11"/>
  <c r="U2635" i="11"/>
  <c r="T2635" i="11"/>
  <c r="S2635" i="11"/>
  <c r="R2635" i="11"/>
  <c r="P2635" i="11"/>
  <c r="O2635" i="11"/>
  <c r="N2635" i="11"/>
  <c r="M2635" i="11"/>
  <c r="L2635" i="11"/>
  <c r="K2635" i="11"/>
  <c r="J2635" i="11"/>
  <c r="I2635" i="11"/>
  <c r="AE2634" i="11"/>
  <c r="AC2634" i="11"/>
  <c r="Z2634" i="11"/>
  <c r="Y2634" i="11"/>
  <c r="X2634" i="11"/>
  <c r="W2634" i="11"/>
  <c r="V2634" i="11"/>
  <c r="U2634" i="11"/>
  <c r="T2634" i="11"/>
  <c r="S2634" i="11"/>
  <c r="R2634" i="11"/>
  <c r="P2634" i="11"/>
  <c r="O2634" i="11"/>
  <c r="N2634" i="11"/>
  <c r="M2634" i="11"/>
  <c r="L2634" i="11"/>
  <c r="K2634" i="11"/>
  <c r="J2634" i="11"/>
  <c r="I2634" i="11"/>
  <c r="AE2633" i="11"/>
  <c r="AC2633" i="11"/>
  <c r="Z2633" i="11"/>
  <c r="Y2633" i="11"/>
  <c r="X2633" i="11"/>
  <c r="W2633" i="11"/>
  <c r="V2633" i="11"/>
  <c r="U2633" i="11"/>
  <c r="T2633" i="11"/>
  <c r="S2633" i="11"/>
  <c r="R2633" i="11"/>
  <c r="P2633" i="11"/>
  <c r="O2633" i="11"/>
  <c r="N2633" i="11"/>
  <c r="M2633" i="11"/>
  <c r="L2633" i="11"/>
  <c r="K2633" i="11"/>
  <c r="J2633" i="11"/>
  <c r="I2633" i="11"/>
  <c r="AE2632" i="11"/>
  <c r="AC2632" i="11"/>
  <c r="Z2632" i="11"/>
  <c r="Y2632" i="11"/>
  <c r="X2632" i="11"/>
  <c r="W2632" i="11"/>
  <c r="V2632" i="11"/>
  <c r="U2632" i="11"/>
  <c r="T2632" i="11"/>
  <c r="S2632" i="11"/>
  <c r="R2632" i="11"/>
  <c r="P2632" i="11"/>
  <c r="O2632" i="11"/>
  <c r="N2632" i="11"/>
  <c r="M2632" i="11"/>
  <c r="L2632" i="11"/>
  <c r="K2632" i="11"/>
  <c r="J2632" i="11"/>
  <c r="I2632" i="11"/>
  <c r="AE2631" i="11"/>
  <c r="AC2631" i="11"/>
  <c r="Z2631" i="11"/>
  <c r="Y2631" i="11"/>
  <c r="X2631" i="11"/>
  <c r="W2631" i="11"/>
  <c r="V2631" i="11"/>
  <c r="U2631" i="11"/>
  <c r="T2631" i="11"/>
  <c r="S2631" i="11"/>
  <c r="R2631" i="11"/>
  <c r="P2631" i="11"/>
  <c r="O2631" i="11"/>
  <c r="N2631" i="11"/>
  <c r="M2631" i="11"/>
  <c r="L2631" i="11"/>
  <c r="K2631" i="11"/>
  <c r="J2631" i="11"/>
  <c r="I2631" i="11"/>
  <c r="AE2630" i="11"/>
  <c r="AC2630" i="11"/>
  <c r="Z2630" i="11"/>
  <c r="Y2630" i="11"/>
  <c r="X2630" i="11"/>
  <c r="W2630" i="11"/>
  <c r="V2630" i="11"/>
  <c r="U2630" i="11"/>
  <c r="T2630" i="11"/>
  <c r="S2630" i="11"/>
  <c r="R2630" i="11"/>
  <c r="P2630" i="11"/>
  <c r="O2630" i="11"/>
  <c r="N2630" i="11"/>
  <c r="M2630" i="11"/>
  <c r="L2630" i="11"/>
  <c r="K2630" i="11"/>
  <c r="J2630" i="11"/>
  <c r="I2630" i="11"/>
  <c r="AE2629" i="11"/>
  <c r="AC2629" i="11"/>
  <c r="Z2629" i="11"/>
  <c r="Y2629" i="11"/>
  <c r="X2629" i="11"/>
  <c r="W2629" i="11"/>
  <c r="V2629" i="11"/>
  <c r="U2629" i="11"/>
  <c r="T2629" i="11"/>
  <c r="S2629" i="11"/>
  <c r="R2629" i="11"/>
  <c r="P2629" i="11"/>
  <c r="O2629" i="11"/>
  <c r="N2629" i="11"/>
  <c r="M2629" i="11"/>
  <c r="L2629" i="11"/>
  <c r="K2629" i="11"/>
  <c r="J2629" i="11"/>
  <c r="I2629" i="11"/>
  <c r="AE2628" i="11"/>
  <c r="AC2628" i="11"/>
  <c r="Z2628" i="11"/>
  <c r="Y2628" i="11"/>
  <c r="X2628" i="11"/>
  <c r="W2628" i="11"/>
  <c r="V2628" i="11"/>
  <c r="U2628" i="11"/>
  <c r="T2628" i="11"/>
  <c r="S2628" i="11"/>
  <c r="R2628" i="11"/>
  <c r="P2628" i="11"/>
  <c r="O2628" i="11"/>
  <c r="N2628" i="11"/>
  <c r="M2628" i="11"/>
  <c r="L2628" i="11"/>
  <c r="K2628" i="11"/>
  <c r="J2628" i="11"/>
  <c r="I2628" i="11"/>
  <c r="AE2627" i="11"/>
  <c r="AC2627" i="11"/>
  <c r="Z2627" i="11"/>
  <c r="Y2627" i="11"/>
  <c r="X2627" i="11"/>
  <c r="W2627" i="11"/>
  <c r="V2627" i="11"/>
  <c r="U2627" i="11"/>
  <c r="T2627" i="11"/>
  <c r="S2627" i="11"/>
  <c r="R2627" i="11"/>
  <c r="P2627" i="11"/>
  <c r="O2627" i="11"/>
  <c r="N2627" i="11"/>
  <c r="M2627" i="11"/>
  <c r="L2627" i="11"/>
  <c r="K2627" i="11"/>
  <c r="J2627" i="11"/>
  <c r="I2627" i="11"/>
  <c r="AE2626" i="11"/>
  <c r="AC2626" i="11"/>
  <c r="Z2626" i="11"/>
  <c r="Y2626" i="11"/>
  <c r="X2626" i="11"/>
  <c r="W2626" i="11"/>
  <c r="V2626" i="11"/>
  <c r="U2626" i="11"/>
  <c r="T2626" i="11"/>
  <c r="S2626" i="11"/>
  <c r="R2626" i="11"/>
  <c r="P2626" i="11"/>
  <c r="O2626" i="11"/>
  <c r="N2626" i="11"/>
  <c r="M2626" i="11"/>
  <c r="L2626" i="11"/>
  <c r="K2626" i="11"/>
  <c r="J2626" i="11"/>
  <c r="I2626" i="11"/>
  <c r="AE2625" i="11"/>
  <c r="AC2625" i="11"/>
  <c r="Z2625" i="11"/>
  <c r="Y2625" i="11"/>
  <c r="X2625" i="11"/>
  <c r="W2625" i="11"/>
  <c r="V2625" i="11"/>
  <c r="U2625" i="11"/>
  <c r="T2625" i="11"/>
  <c r="S2625" i="11"/>
  <c r="R2625" i="11"/>
  <c r="P2625" i="11"/>
  <c r="O2625" i="11"/>
  <c r="N2625" i="11"/>
  <c r="M2625" i="11"/>
  <c r="L2625" i="11"/>
  <c r="K2625" i="11"/>
  <c r="J2625" i="11"/>
  <c r="I2625" i="11"/>
  <c r="AE2624" i="11"/>
  <c r="AC2624" i="11"/>
  <c r="Z2624" i="11"/>
  <c r="Y2624" i="11"/>
  <c r="X2624" i="11"/>
  <c r="W2624" i="11"/>
  <c r="V2624" i="11"/>
  <c r="U2624" i="11"/>
  <c r="T2624" i="11"/>
  <c r="S2624" i="11"/>
  <c r="R2624" i="11"/>
  <c r="P2624" i="11"/>
  <c r="O2624" i="11"/>
  <c r="N2624" i="11"/>
  <c r="M2624" i="11"/>
  <c r="L2624" i="11"/>
  <c r="K2624" i="11"/>
  <c r="J2624" i="11"/>
  <c r="I2624" i="11"/>
  <c r="AE2623" i="11"/>
  <c r="AC2623" i="11"/>
  <c r="Z2623" i="11"/>
  <c r="Y2623" i="11"/>
  <c r="X2623" i="11"/>
  <c r="W2623" i="11"/>
  <c r="V2623" i="11"/>
  <c r="U2623" i="11"/>
  <c r="T2623" i="11"/>
  <c r="S2623" i="11"/>
  <c r="R2623" i="11"/>
  <c r="P2623" i="11"/>
  <c r="O2623" i="11"/>
  <c r="N2623" i="11"/>
  <c r="M2623" i="11"/>
  <c r="L2623" i="11"/>
  <c r="K2623" i="11"/>
  <c r="J2623" i="11"/>
  <c r="I2623" i="11"/>
  <c r="AE2622" i="11"/>
  <c r="AC2622" i="11"/>
  <c r="Z2622" i="11"/>
  <c r="Y2622" i="11"/>
  <c r="X2622" i="11"/>
  <c r="W2622" i="11"/>
  <c r="V2622" i="11"/>
  <c r="U2622" i="11"/>
  <c r="T2622" i="11"/>
  <c r="S2622" i="11"/>
  <c r="R2622" i="11"/>
  <c r="P2622" i="11"/>
  <c r="O2622" i="11"/>
  <c r="N2622" i="11"/>
  <c r="M2622" i="11"/>
  <c r="L2622" i="11"/>
  <c r="K2622" i="11"/>
  <c r="J2622" i="11"/>
  <c r="I2622" i="11"/>
  <c r="AE2621" i="11"/>
  <c r="AC2621" i="11"/>
  <c r="Z2621" i="11"/>
  <c r="Y2621" i="11"/>
  <c r="X2621" i="11"/>
  <c r="W2621" i="11"/>
  <c r="V2621" i="11"/>
  <c r="U2621" i="11"/>
  <c r="T2621" i="11"/>
  <c r="S2621" i="11"/>
  <c r="R2621" i="11"/>
  <c r="P2621" i="11"/>
  <c r="O2621" i="11"/>
  <c r="N2621" i="11"/>
  <c r="M2621" i="11"/>
  <c r="L2621" i="11"/>
  <c r="K2621" i="11"/>
  <c r="J2621" i="11"/>
  <c r="I2621" i="11"/>
  <c r="AE2620" i="11"/>
  <c r="AC2620" i="11"/>
  <c r="Z2620" i="11"/>
  <c r="Y2620" i="11"/>
  <c r="X2620" i="11"/>
  <c r="W2620" i="11"/>
  <c r="V2620" i="11"/>
  <c r="U2620" i="11"/>
  <c r="T2620" i="11"/>
  <c r="S2620" i="11"/>
  <c r="R2620" i="11"/>
  <c r="P2620" i="11"/>
  <c r="O2620" i="11"/>
  <c r="N2620" i="11"/>
  <c r="M2620" i="11"/>
  <c r="L2620" i="11"/>
  <c r="K2620" i="11"/>
  <c r="J2620" i="11"/>
  <c r="I2620" i="11"/>
  <c r="AE2619" i="11"/>
  <c r="AC2619" i="11"/>
  <c r="Z2619" i="11"/>
  <c r="Y2619" i="11"/>
  <c r="X2619" i="11"/>
  <c r="W2619" i="11"/>
  <c r="V2619" i="11"/>
  <c r="U2619" i="11"/>
  <c r="T2619" i="11"/>
  <c r="S2619" i="11"/>
  <c r="R2619" i="11"/>
  <c r="P2619" i="11"/>
  <c r="O2619" i="11"/>
  <c r="N2619" i="11"/>
  <c r="M2619" i="11"/>
  <c r="L2619" i="11"/>
  <c r="K2619" i="11"/>
  <c r="J2619" i="11"/>
  <c r="I2619" i="11"/>
  <c r="AE2618" i="11"/>
  <c r="AC2618" i="11"/>
  <c r="Z2618" i="11"/>
  <c r="Y2618" i="11"/>
  <c r="X2618" i="11"/>
  <c r="W2618" i="11"/>
  <c r="V2618" i="11"/>
  <c r="U2618" i="11"/>
  <c r="T2618" i="11"/>
  <c r="S2618" i="11"/>
  <c r="R2618" i="11"/>
  <c r="P2618" i="11"/>
  <c r="O2618" i="11"/>
  <c r="N2618" i="11"/>
  <c r="M2618" i="11"/>
  <c r="L2618" i="11"/>
  <c r="K2618" i="11"/>
  <c r="J2618" i="11"/>
  <c r="I2618" i="11"/>
  <c r="AE2617" i="11"/>
  <c r="AC2617" i="11"/>
  <c r="Z2617" i="11"/>
  <c r="Y2617" i="11"/>
  <c r="X2617" i="11"/>
  <c r="W2617" i="11"/>
  <c r="V2617" i="11"/>
  <c r="U2617" i="11"/>
  <c r="T2617" i="11"/>
  <c r="S2617" i="11"/>
  <c r="R2617" i="11"/>
  <c r="P2617" i="11"/>
  <c r="O2617" i="11"/>
  <c r="N2617" i="11"/>
  <c r="M2617" i="11"/>
  <c r="L2617" i="11"/>
  <c r="K2617" i="11"/>
  <c r="J2617" i="11"/>
  <c r="I2617" i="11"/>
  <c r="AE2616" i="11"/>
  <c r="AC2616" i="11"/>
  <c r="Z2616" i="11"/>
  <c r="Y2616" i="11"/>
  <c r="X2616" i="11"/>
  <c r="W2616" i="11"/>
  <c r="V2616" i="11"/>
  <c r="U2616" i="11"/>
  <c r="T2616" i="11"/>
  <c r="S2616" i="11"/>
  <c r="R2616" i="11"/>
  <c r="P2616" i="11"/>
  <c r="O2616" i="11"/>
  <c r="N2616" i="11"/>
  <c r="M2616" i="11"/>
  <c r="L2616" i="11"/>
  <c r="K2616" i="11"/>
  <c r="J2616" i="11"/>
  <c r="I2616" i="11"/>
  <c r="AE2615" i="11"/>
  <c r="AC2615" i="11"/>
  <c r="Z2615" i="11"/>
  <c r="Y2615" i="11"/>
  <c r="X2615" i="11"/>
  <c r="W2615" i="11"/>
  <c r="V2615" i="11"/>
  <c r="U2615" i="11"/>
  <c r="T2615" i="11"/>
  <c r="S2615" i="11"/>
  <c r="R2615" i="11"/>
  <c r="P2615" i="11"/>
  <c r="O2615" i="11"/>
  <c r="N2615" i="11"/>
  <c r="M2615" i="11"/>
  <c r="L2615" i="11"/>
  <c r="K2615" i="11"/>
  <c r="J2615" i="11"/>
  <c r="I2615" i="11"/>
  <c r="AE2614" i="11"/>
  <c r="AC2614" i="11"/>
  <c r="Z2614" i="11"/>
  <c r="Y2614" i="11"/>
  <c r="X2614" i="11"/>
  <c r="W2614" i="11"/>
  <c r="V2614" i="11"/>
  <c r="U2614" i="11"/>
  <c r="T2614" i="11"/>
  <c r="S2614" i="11"/>
  <c r="R2614" i="11"/>
  <c r="P2614" i="11"/>
  <c r="O2614" i="11"/>
  <c r="N2614" i="11"/>
  <c r="M2614" i="11"/>
  <c r="L2614" i="11"/>
  <c r="K2614" i="11"/>
  <c r="J2614" i="11"/>
  <c r="I2614" i="11"/>
  <c r="AE2613" i="11"/>
  <c r="AC2613" i="11"/>
  <c r="Z2613" i="11"/>
  <c r="Y2613" i="11"/>
  <c r="X2613" i="11"/>
  <c r="W2613" i="11"/>
  <c r="V2613" i="11"/>
  <c r="U2613" i="11"/>
  <c r="T2613" i="11"/>
  <c r="S2613" i="11"/>
  <c r="R2613" i="11"/>
  <c r="P2613" i="11"/>
  <c r="O2613" i="11"/>
  <c r="N2613" i="11"/>
  <c r="M2613" i="11"/>
  <c r="L2613" i="11"/>
  <c r="K2613" i="11"/>
  <c r="J2613" i="11"/>
  <c r="I2613" i="11"/>
  <c r="AE2612" i="11"/>
  <c r="AC2612" i="11"/>
  <c r="Z2612" i="11"/>
  <c r="Y2612" i="11"/>
  <c r="X2612" i="11"/>
  <c r="W2612" i="11"/>
  <c r="V2612" i="11"/>
  <c r="U2612" i="11"/>
  <c r="T2612" i="11"/>
  <c r="S2612" i="11"/>
  <c r="R2612" i="11"/>
  <c r="P2612" i="11"/>
  <c r="O2612" i="11"/>
  <c r="N2612" i="11"/>
  <c r="M2612" i="11"/>
  <c r="L2612" i="11"/>
  <c r="K2612" i="11"/>
  <c r="J2612" i="11"/>
  <c r="I2612" i="11"/>
  <c r="AE2611" i="11"/>
  <c r="AC2611" i="11"/>
  <c r="Z2611" i="11"/>
  <c r="Y2611" i="11"/>
  <c r="X2611" i="11"/>
  <c r="W2611" i="11"/>
  <c r="V2611" i="11"/>
  <c r="U2611" i="11"/>
  <c r="T2611" i="11"/>
  <c r="S2611" i="11"/>
  <c r="R2611" i="11"/>
  <c r="P2611" i="11"/>
  <c r="O2611" i="11"/>
  <c r="N2611" i="11"/>
  <c r="M2611" i="11"/>
  <c r="L2611" i="11"/>
  <c r="K2611" i="11"/>
  <c r="J2611" i="11"/>
  <c r="I2611" i="11"/>
  <c r="AE2610" i="11"/>
  <c r="AC2610" i="11"/>
  <c r="Z2610" i="11"/>
  <c r="Y2610" i="11"/>
  <c r="X2610" i="11"/>
  <c r="W2610" i="11"/>
  <c r="V2610" i="11"/>
  <c r="U2610" i="11"/>
  <c r="T2610" i="11"/>
  <c r="S2610" i="11"/>
  <c r="R2610" i="11"/>
  <c r="P2610" i="11"/>
  <c r="O2610" i="11"/>
  <c r="N2610" i="11"/>
  <c r="M2610" i="11"/>
  <c r="L2610" i="11"/>
  <c r="K2610" i="11"/>
  <c r="J2610" i="11"/>
  <c r="I2610" i="11"/>
  <c r="AE2609" i="11"/>
  <c r="AC2609" i="11"/>
  <c r="Z2609" i="11"/>
  <c r="Y2609" i="11"/>
  <c r="X2609" i="11"/>
  <c r="W2609" i="11"/>
  <c r="V2609" i="11"/>
  <c r="U2609" i="11"/>
  <c r="T2609" i="11"/>
  <c r="S2609" i="11"/>
  <c r="R2609" i="11"/>
  <c r="P2609" i="11"/>
  <c r="O2609" i="11"/>
  <c r="N2609" i="11"/>
  <c r="M2609" i="11"/>
  <c r="L2609" i="11"/>
  <c r="K2609" i="11"/>
  <c r="J2609" i="11"/>
  <c r="I2609" i="11"/>
  <c r="AE2608" i="11"/>
  <c r="AC2608" i="11"/>
  <c r="Z2608" i="11"/>
  <c r="Y2608" i="11"/>
  <c r="X2608" i="11"/>
  <c r="W2608" i="11"/>
  <c r="V2608" i="11"/>
  <c r="U2608" i="11"/>
  <c r="T2608" i="11"/>
  <c r="S2608" i="11"/>
  <c r="R2608" i="11"/>
  <c r="P2608" i="11"/>
  <c r="O2608" i="11"/>
  <c r="N2608" i="11"/>
  <c r="M2608" i="11"/>
  <c r="L2608" i="11"/>
  <c r="K2608" i="11"/>
  <c r="J2608" i="11"/>
  <c r="I2608" i="11"/>
  <c r="AE2607" i="11"/>
  <c r="AC2607" i="11"/>
  <c r="Z2607" i="11"/>
  <c r="Y2607" i="11"/>
  <c r="X2607" i="11"/>
  <c r="W2607" i="11"/>
  <c r="V2607" i="11"/>
  <c r="U2607" i="11"/>
  <c r="T2607" i="11"/>
  <c r="S2607" i="11"/>
  <c r="R2607" i="11"/>
  <c r="P2607" i="11"/>
  <c r="O2607" i="11"/>
  <c r="N2607" i="11"/>
  <c r="M2607" i="11"/>
  <c r="L2607" i="11"/>
  <c r="K2607" i="11"/>
  <c r="J2607" i="11"/>
  <c r="I2607" i="11"/>
  <c r="AE2606" i="11"/>
  <c r="AC2606" i="11"/>
  <c r="Z2606" i="11"/>
  <c r="Y2606" i="11"/>
  <c r="X2606" i="11"/>
  <c r="W2606" i="11"/>
  <c r="V2606" i="11"/>
  <c r="U2606" i="11"/>
  <c r="T2606" i="11"/>
  <c r="S2606" i="11"/>
  <c r="R2606" i="11"/>
  <c r="P2606" i="11"/>
  <c r="O2606" i="11"/>
  <c r="N2606" i="11"/>
  <c r="M2606" i="11"/>
  <c r="L2606" i="11"/>
  <c r="K2606" i="11"/>
  <c r="J2606" i="11"/>
  <c r="I2606" i="11"/>
  <c r="AE2605" i="11"/>
  <c r="AC2605" i="11"/>
  <c r="Z2605" i="11"/>
  <c r="Y2605" i="11"/>
  <c r="X2605" i="11"/>
  <c r="W2605" i="11"/>
  <c r="V2605" i="11"/>
  <c r="U2605" i="11"/>
  <c r="T2605" i="11"/>
  <c r="S2605" i="11"/>
  <c r="R2605" i="11"/>
  <c r="P2605" i="11"/>
  <c r="O2605" i="11"/>
  <c r="N2605" i="11"/>
  <c r="M2605" i="11"/>
  <c r="L2605" i="11"/>
  <c r="K2605" i="11"/>
  <c r="J2605" i="11"/>
  <c r="I2605" i="11"/>
  <c r="AE2604" i="11"/>
  <c r="AC2604" i="11"/>
  <c r="Z2604" i="11"/>
  <c r="Y2604" i="11"/>
  <c r="X2604" i="11"/>
  <c r="W2604" i="11"/>
  <c r="V2604" i="11"/>
  <c r="U2604" i="11"/>
  <c r="T2604" i="11"/>
  <c r="S2604" i="11"/>
  <c r="R2604" i="11"/>
  <c r="P2604" i="11"/>
  <c r="O2604" i="11"/>
  <c r="N2604" i="11"/>
  <c r="M2604" i="11"/>
  <c r="L2604" i="11"/>
  <c r="K2604" i="11"/>
  <c r="J2604" i="11"/>
  <c r="I2604" i="11"/>
  <c r="AE2603" i="11"/>
  <c r="AC2603" i="11"/>
  <c r="Z2603" i="11"/>
  <c r="Y2603" i="11"/>
  <c r="X2603" i="11"/>
  <c r="W2603" i="11"/>
  <c r="V2603" i="11"/>
  <c r="U2603" i="11"/>
  <c r="T2603" i="11"/>
  <c r="S2603" i="11"/>
  <c r="R2603" i="11"/>
  <c r="P2603" i="11"/>
  <c r="O2603" i="11"/>
  <c r="N2603" i="11"/>
  <c r="M2603" i="11"/>
  <c r="L2603" i="11"/>
  <c r="K2603" i="11"/>
  <c r="J2603" i="11"/>
  <c r="I2603" i="11"/>
  <c r="AE2602" i="11"/>
  <c r="AC2602" i="11"/>
  <c r="Z2602" i="11"/>
  <c r="Y2602" i="11"/>
  <c r="X2602" i="11"/>
  <c r="W2602" i="11"/>
  <c r="V2602" i="11"/>
  <c r="U2602" i="11"/>
  <c r="T2602" i="11"/>
  <c r="S2602" i="11"/>
  <c r="R2602" i="11"/>
  <c r="P2602" i="11"/>
  <c r="O2602" i="11"/>
  <c r="N2602" i="11"/>
  <c r="M2602" i="11"/>
  <c r="L2602" i="11"/>
  <c r="K2602" i="11"/>
  <c r="J2602" i="11"/>
  <c r="I2602" i="11"/>
  <c r="AE2601" i="11"/>
  <c r="AC2601" i="11"/>
  <c r="Z2601" i="11"/>
  <c r="Y2601" i="11"/>
  <c r="X2601" i="11"/>
  <c r="W2601" i="11"/>
  <c r="V2601" i="11"/>
  <c r="U2601" i="11"/>
  <c r="T2601" i="11"/>
  <c r="S2601" i="11"/>
  <c r="R2601" i="11"/>
  <c r="P2601" i="11"/>
  <c r="O2601" i="11"/>
  <c r="N2601" i="11"/>
  <c r="M2601" i="11"/>
  <c r="L2601" i="11"/>
  <c r="K2601" i="11"/>
  <c r="J2601" i="11"/>
  <c r="I2601" i="11"/>
  <c r="AE2600" i="11"/>
  <c r="AC2600" i="11"/>
  <c r="Z2600" i="11"/>
  <c r="Y2600" i="11"/>
  <c r="X2600" i="11"/>
  <c r="W2600" i="11"/>
  <c r="V2600" i="11"/>
  <c r="U2600" i="11"/>
  <c r="T2600" i="11"/>
  <c r="S2600" i="11"/>
  <c r="R2600" i="11"/>
  <c r="P2600" i="11"/>
  <c r="O2600" i="11"/>
  <c r="N2600" i="11"/>
  <c r="M2600" i="11"/>
  <c r="L2600" i="11"/>
  <c r="K2600" i="11"/>
  <c r="J2600" i="11"/>
  <c r="I2600" i="11"/>
  <c r="AE2599" i="11"/>
  <c r="AC2599" i="11"/>
  <c r="Z2599" i="11"/>
  <c r="Y2599" i="11"/>
  <c r="X2599" i="11"/>
  <c r="W2599" i="11"/>
  <c r="V2599" i="11"/>
  <c r="U2599" i="11"/>
  <c r="T2599" i="11"/>
  <c r="S2599" i="11"/>
  <c r="R2599" i="11"/>
  <c r="P2599" i="11"/>
  <c r="O2599" i="11"/>
  <c r="N2599" i="11"/>
  <c r="M2599" i="11"/>
  <c r="L2599" i="11"/>
  <c r="K2599" i="11"/>
  <c r="J2599" i="11"/>
  <c r="I2599" i="11"/>
  <c r="AE2598" i="11"/>
  <c r="AC2598" i="11"/>
  <c r="Z2598" i="11"/>
  <c r="Y2598" i="11"/>
  <c r="X2598" i="11"/>
  <c r="W2598" i="11"/>
  <c r="V2598" i="11"/>
  <c r="U2598" i="11"/>
  <c r="T2598" i="11"/>
  <c r="S2598" i="11"/>
  <c r="R2598" i="11"/>
  <c r="P2598" i="11"/>
  <c r="O2598" i="11"/>
  <c r="N2598" i="11"/>
  <c r="M2598" i="11"/>
  <c r="L2598" i="11"/>
  <c r="K2598" i="11"/>
  <c r="J2598" i="11"/>
  <c r="I2598" i="11"/>
  <c r="AE2597" i="11"/>
  <c r="AC2597" i="11"/>
  <c r="Z2597" i="11"/>
  <c r="Y2597" i="11"/>
  <c r="X2597" i="11"/>
  <c r="W2597" i="11"/>
  <c r="V2597" i="11"/>
  <c r="U2597" i="11"/>
  <c r="T2597" i="11"/>
  <c r="S2597" i="11"/>
  <c r="R2597" i="11"/>
  <c r="P2597" i="11"/>
  <c r="O2597" i="11"/>
  <c r="N2597" i="11"/>
  <c r="M2597" i="11"/>
  <c r="L2597" i="11"/>
  <c r="K2597" i="11"/>
  <c r="J2597" i="11"/>
  <c r="I2597" i="11"/>
  <c r="AE2596" i="11"/>
  <c r="AC2596" i="11"/>
  <c r="Z2596" i="11"/>
  <c r="Y2596" i="11"/>
  <c r="X2596" i="11"/>
  <c r="W2596" i="11"/>
  <c r="V2596" i="11"/>
  <c r="U2596" i="11"/>
  <c r="T2596" i="11"/>
  <c r="S2596" i="11"/>
  <c r="R2596" i="11"/>
  <c r="P2596" i="11"/>
  <c r="O2596" i="11"/>
  <c r="N2596" i="11"/>
  <c r="M2596" i="11"/>
  <c r="L2596" i="11"/>
  <c r="K2596" i="11"/>
  <c r="J2596" i="11"/>
  <c r="I2596" i="11"/>
  <c r="AE2595" i="11"/>
  <c r="AC2595" i="11"/>
  <c r="Z2595" i="11"/>
  <c r="Y2595" i="11"/>
  <c r="X2595" i="11"/>
  <c r="W2595" i="11"/>
  <c r="V2595" i="11"/>
  <c r="U2595" i="11"/>
  <c r="T2595" i="11"/>
  <c r="S2595" i="11"/>
  <c r="R2595" i="11"/>
  <c r="P2595" i="11"/>
  <c r="O2595" i="11"/>
  <c r="N2595" i="11"/>
  <c r="M2595" i="11"/>
  <c r="L2595" i="11"/>
  <c r="K2595" i="11"/>
  <c r="J2595" i="11"/>
  <c r="I2595" i="11"/>
  <c r="AE2594" i="11"/>
  <c r="AC2594" i="11"/>
  <c r="Z2594" i="11"/>
  <c r="Y2594" i="11"/>
  <c r="X2594" i="11"/>
  <c r="W2594" i="11"/>
  <c r="V2594" i="11"/>
  <c r="U2594" i="11"/>
  <c r="T2594" i="11"/>
  <c r="S2594" i="11"/>
  <c r="R2594" i="11"/>
  <c r="P2594" i="11"/>
  <c r="O2594" i="11"/>
  <c r="N2594" i="11"/>
  <c r="M2594" i="11"/>
  <c r="L2594" i="11"/>
  <c r="K2594" i="11"/>
  <c r="J2594" i="11"/>
  <c r="I2594" i="11"/>
  <c r="AE2593" i="11"/>
  <c r="AC2593" i="11"/>
  <c r="Z2593" i="11"/>
  <c r="Y2593" i="11"/>
  <c r="X2593" i="11"/>
  <c r="W2593" i="11"/>
  <c r="V2593" i="11"/>
  <c r="U2593" i="11"/>
  <c r="T2593" i="11"/>
  <c r="S2593" i="11"/>
  <c r="R2593" i="11"/>
  <c r="P2593" i="11"/>
  <c r="O2593" i="11"/>
  <c r="N2593" i="11"/>
  <c r="M2593" i="11"/>
  <c r="L2593" i="11"/>
  <c r="K2593" i="11"/>
  <c r="J2593" i="11"/>
  <c r="I2593" i="11"/>
  <c r="AE2592" i="11"/>
  <c r="AC2592" i="11"/>
  <c r="Z2592" i="11"/>
  <c r="Y2592" i="11"/>
  <c r="X2592" i="11"/>
  <c r="W2592" i="11"/>
  <c r="V2592" i="11"/>
  <c r="U2592" i="11"/>
  <c r="T2592" i="11"/>
  <c r="S2592" i="11"/>
  <c r="R2592" i="11"/>
  <c r="P2592" i="11"/>
  <c r="O2592" i="11"/>
  <c r="N2592" i="11"/>
  <c r="M2592" i="11"/>
  <c r="L2592" i="11"/>
  <c r="K2592" i="11"/>
  <c r="J2592" i="11"/>
  <c r="I2592" i="11"/>
  <c r="AE2591" i="11"/>
  <c r="AC2591" i="11"/>
  <c r="Z2591" i="11"/>
  <c r="Y2591" i="11"/>
  <c r="X2591" i="11"/>
  <c r="W2591" i="11"/>
  <c r="V2591" i="11"/>
  <c r="U2591" i="11"/>
  <c r="T2591" i="11"/>
  <c r="S2591" i="11"/>
  <c r="R2591" i="11"/>
  <c r="P2591" i="11"/>
  <c r="O2591" i="11"/>
  <c r="N2591" i="11"/>
  <c r="M2591" i="11"/>
  <c r="L2591" i="11"/>
  <c r="K2591" i="11"/>
  <c r="J2591" i="11"/>
  <c r="I2591" i="11"/>
  <c r="AE2590" i="11"/>
  <c r="AC2590" i="11"/>
  <c r="Z2590" i="11"/>
  <c r="Y2590" i="11"/>
  <c r="X2590" i="11"/>
  <c r="W2590" i="11"/>
  <c r="V2590" i="11"/>
  <c r="U2590" i="11"/>
  <c r="T2590" i="11"/>
  <c r="S2590" i="11"/>
  <c r="R2590" i="11"/>
  <c r="P2590" i="11"/>
  <c r="O2590" i="11"/>
  <c r="N2590" i="11"/>
  <c r="M2590" i="11"/>
  <c r="L2590" i="11"/>
  <c r="K2590" i="11"/>
  <c r="J2590" i="11"/>
  <c r="I2590" i="11"/>
  <c r="AE2589" i="11"/>
  <c r="AC2589" i="11"/>
  <c r="Z2589" i="11"/>
  <c r="Y2589" i="11"/>
  <c r="X2589" i="11"/>
  <c r="W2589" i="11"/>
  <c r="V2589" i="11"/>
  <c r="U2589" i="11"/>
  <c r="T2589" i="11"/>
  <c r="S2589" i="11"/>
  <c r="R2589" i="11"/>
  <c r="P2589" i="11"/>
  <c r="O2589" i="11"/>
  <c r="N2589" i="11"/>
  <c r="M2589" i="11"/>
  <c r="L2589" i="11"/>
  <c r="K2589" i="11"/>
  <c r="J2589" i="11"/>
  <c r="I2589" i="11"/>
  <c r="AE2588" i="11"/>
  <c r="AC2588" i="11"/>
  <c r="Z2588" i="11"/>
  <c r="Y2588" i="11"/>
  <c r="X2588" i="11"/>
  <c r="W2588" i="11"/>
  <c r="V2588" i="11"/>
  <c r="U2588" i="11"/>
  <c r="T2588" i="11"/>
  <c r="S2588" i="11"/>
  <c r="R2588" i="11"/>
  <c r="P2588" i="11"/>
  <c r="O2588" i="11"/>
  <c r="N2588" i="11"/>
  <c r="M2588" i="11"/>
  <c r="L2588" i="11"/>
  <c r="K2588" i="11"/>
  <c r="J2588" i="11"/>
  <c r="I2588" i="11"/>
  <c r="AE2587" i="11"/>
  <c r="AC2587" i="11"/>
  <c r="Z2587" i="11"/>
  <c r="Y2587" i="11"/>
  <c r="X2587" i="11"/>
  <c r="W2587" i="11"/>
  <c r="V2587" i="11"/>
  <c r="U2587" i="11"/>
  <c r="T2587" i="11"/>
  <c r="S2587" i="11"/>
  <c r="R2587" i="11"/>
  <c r="P2587" i="11"/>
  <c r="O2587" i="11"/>
  <c r="N2587" i="11"/>
  <c r="M2587" i="11"/>
  <c r="L2587" i="11"/>
  <c r="K2587" i="11"/>
  <c r="J2587" i="11"/>
  <c r="I2587" i="11"/>
  <c r="AE2586" i="11"/>
  <c r="AC2586" i="11"/>
  <c r="Z2586" i="11"/>
  <c r="Y2586" i="11"/>
  <c r="X2586" i="11"/>
  <c r="W2586" i="11"/>
  <c r="V2586" i="11"/>
  <c r="U2586" i="11"/>
  <c r="T2586" i="11"/>
  <c r="S2586" i="11"/>
  <c r="R2586" i="11"/>
  <c r="P2586" i="11"/>
  <c r="O2586" i="11"/>
  <c r="N2586" i="11"/>
  <c r="M2586" i="11"/>
  <c r="L2586" i="11"/>
  <c r="K2586" i="11"/>
  <c r="J2586" i="11"/>
  <c r="I2586" i="11"/>
  <c r="AE2585" i="11"/>
  <c r="AC2585" i="11"/>
  <c r="Z2585" i="11"/>
  <c r="Y2585" i="11"/>
  <c r="X2585" i="11"/>
  <c r="W2585" i="11"/>
  <c r="V2585" i="11"/>
  <c r="U2585" i="11"/>
  <c r="T2585" i="11"/>
  <c r="S2585" i="11"/>
  <c r="R2585" i="11"/>
  <c r="P2585" i="11"/>
  <c r="O2585" i="11"/>
  <c r="N2585" i="11"/>
  <c r="M2585" i="11"/>
  <c r="L2585" i="11"/>
  <c r="K2585" i="11"/>
  <c r="J2585" i="11"/>
  <c r="I2585" i="11"/>
  <c r="AE2584" i="11"/>
  <c r="AC2584" i="11"/>
  <c r="Z2584" i="11"/>
  <c r="Y2584" i="11"/>
  <c r="X2584" i="11"/>
  <c r="W2584" i="11"/>
  <c r="V2584" i="11"/>
  <c r="U2584" i="11"/>
  <c r="T2584" i="11"/>
  <c r="S2584" i="11"/>
  <c r="R2584" i="11"/>
  <c r="P2584" i="11"/>
  <c r="O2584" i="11"/>
  <c r="N2584" i="11"/>
  <c r="M2584" i="11"/>
  <c r="L2584" i="11"/>
  <c r="K2584" i="11"/>
  <c r="J2584" i="11"/>
  <c r="I2584" i="11"/>
  <c r="AE2583" i="11"/>
  <c r="AC2583" i="11"/>
  <c r="Z2583" i="11"/>
  <c r="Y2583" i="11"/>
  <c r="X2583" i="11"/>
  <c r="W2583" i="11"/>
  <c r="V2583" i="11"/>
  <c r="U2583" i="11"/>
  <c r="T2583" i="11"/>
  <c r="S2583" i="11"/>
  <c r="R2583" i="11"/>
  <c r="P2583" i="11"/>
  <c r="O2583" i="11"/>
  <c r="N2583" i="11"/>
  <c r="M2583" i="11"/>
  <c r="L2583" i="11"/>
  <c r="K2583" i="11"/>
  <c r="J2583" i="11"/>
  <c r="I2583" i="11"/>
  <c r="AE2582" i="11"/>
  <c r="AC2582" i="11"/>
  <c r="Z2582" i="11"/>
  <c r="Y2582" i="11"/>
  <c r="X2582" i="11"/>
  <c r="W2582" i="11"/>
  <c r="V2582" i="11"/>
  <c r="U2582" i="11"/>
  <c r="T2582" i="11"/>
  <c r="S2582" i="11"/>
  <c r="R2582" i="11"/>
  <c r="P2582" i="11"/>
  <c r="O2582" i="11"/>
  <c r="N2582" i="11"/>
  <c r="M2582" i="11"/>
  <c r="L2582" i="11"/>
  <c r="K2582" i="11"/>
  <c r="J2582" i="11"/>
  <c r="I2582" i="11"/>
  <c r="AE2581" i="11"/>
  <c r="AC2581" i="11"/>
  <c r="Z2581" i="11"/>
  <c r="Y2581" i="11"/>
  <c r="X2581" i="11"/>
  <c r="W2581" i="11"/>
  <c r="V2581" i="11"/>
  <c r="U2581" i="11"/>
  <c r="T2581" i="11"/>
  <c r="S2581" i="11"/>
  <c r="R2581" i="11"/>
  <c r="P2581" i="11"/>
  <c r="O2581" i="11"/>
  <c r="N2581" i="11"/>
  <c r="M2581" i="11"/>
  <c r="L2581" i="11"/>
  <c r="K2581" i="11"/>
  <c r="J2581" i="11"/>
  <c r="I2581" i="11"/>
  <c r="AE2580" i="11"/>
  <c r="AC2580" i="11"/>
  <c r="Z2580" i="11"/>
  <c r="Y2580" i="11"/>
  <c r="X2580" i="11"/>
  <c r="W2580" i="11"/>
  <c r="V2580" i="11"/>
  <c r="U2580" i="11"/>
  <c r="T2580" i="11"/>
  <c r="S2580" i="11"/>
  <c r="R2580" i="11"/>
  <c r="P2580" i="11"/>
  <c r="O2580" i="11"/>
  <c r="N2580" i="11"/>
  <c r="M2580" i="11"/>
  <c r="L2580" i="11"/>
  <c r="K2580" i="11"/>
  <c r="J2580" i="11"/>
  <c r="I2580" i="11"/>
  <c r="AE2579" i="11"/>
  <c r="AC2579" i="11"/>
  <c r="Z2579" i="11"/>
  <c r="Y2579" i="11"/>
  <c r="X2579" i="11"/>
  <c r="W2579" i="11"/>
  <c r="V2579" i="11"/>
  <c r="U2579" i="11"/>
  <c r="T2579" i="11"/>
  <c r="S2579" i="11"/>
  <c r="R2579" i="11"/>
  <c r="P2579" i="11"/>
  <c r="O2579" i="11"/>
  <c r="N2579" i="11"/>
  <c r="M2579" i="11"/>
  <c r="L2579" i="11"/>
  <c r="K2579" i="11"/>
  <c r="J2579" i="11"/>
  <c r="I2579" i="11"/>
  <c r="AE2578" i="11"/>
  <c r="AC2578" i="11"/>
  <c r="Z2578" i="11"/>
  <c r="Y2578" i="11"/>
  <c r="X2578" i="11"/>
  <c r="W2578" i="11"/>
  <c r="V2578" i="11"/>
  <c r="U2578" i="11"/>
  <c r="T2578" i="11"/>
  <c r="S2578" i="11"/>
  <c r="R2578" i="11"/>
  <c r="P2578" i="11"/>
  <c r="O2578" i="11"/>
  <c r="N2578" i="11"/>
  <c r="M2578" i="11"/>
  <c r="L2578" i="11"/>
  <c r="K2578" i="11"/>
  <c r="J2578" i="11"/>
  <c r="I2578" i="11"/>
  <c r="AE2577" i="11"/>
  <c r="AC2577" i="11"/>
  <c r="Z2577" i="11"/>
  <c r="Y2577" i="11"/>
  <c r="X2577" i="11"/>
  <c r="W2577" i="11"/>
  <c r="V2577" i="11"/>
  <c r="U2577" i="11"/>
  <c r="T2577" i="11"/>
  <c r="S2577" i="11"/>
  <c r="R2577" i="11"/>
  <c r="P2577" i="11"/>
  <c r="O2577" i="11"/>
  <c r="N2577" i="11"/>
  <c r="M2577" i="11"/>
  <c r="L2577" i="11"/>
  <c r="K2577" i="11"/>
  <c r="J2577" i="11"/>
  <c r="I2577" i="11"/>
  <c r="AE2576" i="11"/>
  <c r="AC2576" i="11"/>
  <c r="Z2576" i="11"/>
  <c r="Y2576" i="11"/>
  <c r="X2576" i="11"/>
  <c r="W2576" i="11"/>
  <c r="V2576" i="11"/>
  <c r="U2576" i="11"/>
  <c r="T2576" i="11"/>
  <c r="S2576" i="11"/>
  <c r="R2576" i="11"/>
  <c r="P2576" i="11"/>
  <c r="O2576" i="11"/>
  <c r="N2576" i="11"/>
  <c r="M2576" i="11"/>
  <c r="L2576" i="11"/>
  <c r="K2576" i="11"/>
  <c r="J2576" i="11"/>
  <c r="I2576" i="11"/>
  <c r="AE2575" i="11"/>
  <c r="AC2575" i="11"/>
  <c r="Z2575" i="11"/>
  <c r="Y2575" i="11"/>
  <c r="X2575" i="11"/>
  <c r="W2575" i="11"/>
  <c r="V2575" i="11"/>
  <c r="U2575" i="11"/>
  <c r="T2575" i="11"/>
  <c r="S2575" i="11"/>
  <c r="R2575" i="11"/>
  <c r="P2575" i="11"/>
  <c r="O2575" i="11"/>
  <c r="N2575" i="11"/>
  <c r="M2575" i="11"/>
  <c r="L2575" i="11"/>
  <c r="K2575" i="11"/>
  <c r="J2575" i="11"/>
  <c r="I2575" i="11"/>
  <c r="AE2574" i="11"/>
  <c r="AC2574" i="11"/>
  <c r="Z2574" i="11"/>
  <c r="Y2574" i="11"/>
  <c r="X2574" i="11"/>
  <c r="W2574" i="11"/>
  <c r="V2574" i="11"/>
  <c r="U2574" i="11"/>
  <c r="T2574" i="11"/>
  <c r="S2574" i="11"/>
  <c r="R2574" i="11"/>
  <c r="P2574" i="11"/>
  <c r="O2574" i="11"/>
  <c r="N2574" i="11"/>
  <c r="M2574" i="11"/>
  <c r="L2574" i="11"/>
  <c r="K2574" i="11"/>
  <c r="J2574" i="11"/>
  <c r="I2574" i="11"/>
  <c r="AB2573" i="11"/>
  <c r="AA2573" i="11"/>
  <c r="R2572" i="11"/>
  <c r="S2572" i="11"/>
  <c r="T2572" i="11"/>
  <c r="U2572" i="11"/>
  <c r="V2572" i="11"/>
  <c r="W2572" i="11"/>
  <c r="X2572" i="11"/>
  <c r="Y2572" i="11"/>
  <c r="Z2572" i="11"/>
  <c r="AC2572" i="11"/>
  <c r="AE2572" i="11"/>
  <c r="J2572" i="11"/>
  <c r="K2572" i="11"/>
  <c r="L2572" i="11"/>
  <c r="M2572" i="11"/>
  <c r="N2572" i="11"/>
  <c r="I2572" i="11"/>
  <c r="O2572" i="11"/>
  <c r="P2572" i="11"/>
  <c r="AC2571" i="11"/>
  <c r="Z2571" i="11"/>
  <c r="Y2571" i="11"/>
  <c r="X2571" i="11"/>
  <c r="W2571" i="11"/>
  <c r="V2571" i="11"/>
  <c r="U2571" i="11"/>
  <c r="T2571" i="11"/>
  <c r="S2571" i="11"/>
  <c r="R2571" i="11"/>
  <c r="P2571" i="11"/>
  <c r="O2571" i="11"/>
  <c r="M2571" i="11"/>
  <c r="L2571" i="11"/>
  <c r="K2571" i="11"/>
  <c r="J2571" i="11"/>
  <c r="I2571" i="11"/>
  <c r="N2571" i="11"/>
  <c r="AE2571" i="11"/>
  <c r="AC2570" i="11"/>
  <c r="Z2570" i="11"/>
  <c r="Y2570" i="11"/>
  <c r="X2570" i="11"/>
  <c r="W2570" i="11"/>
  <c r="V2570" i="11"/>
  <c r="U2570" i="11"/>
  <c r="T2570" i="11"/>
  <c r="S2570" i="11"/>
  <c r="R2570" i="11"/>
  <c r="P2570" i="11"/>
  <c r="O2570" i="11"/>
  <c r="N2570" i="11"/>
  <c r="M2570" i="11"/>
  <c r="L2570" i="11"/>
  <c r="K2570" i="11"/>
  <c r="J2570" i="11"/>
  <c r="I2570" i="11"/>
  <c r="AE2570" i="11"/>
  <c r="AC2569" i="11"/>
  <c r="Z2569" i="11"/>
  <c r="Y2569" i="11"/>
  <c r="X2569" i="11"/>
  <c r="W2569" i="11"/>
  <c r="V2569" i="11"/>
  <c r="U2569" i="11"/>
  <c r="T2569" i="11"/>
  <c r="S2569" i="11"/>
  <c r="R2569" i="11"/>
  <c r="P2569" i="11"/>
  <c r="O2569" i="11"/>
  <c r="N2569" i="11"/>
  <c r="M2569" i="11"/>
  <c r="L2569" i="11"/>
  <c r="K2569" i="11"/>
  <c r="J2569" i="11"/>
  <c r="I2569" i="11"/>
  <c r="AE2569" i="11"/>
  <c r="AE2568" i="11"/>
  <c r="Y2568" i="11"/>
  <c r="X2568" i="11"/>
  <c r="W2568" i="11"/>
  <c r="V2568" i="11"/>
  <c r="U2568" i="11"/>
  <c r="T2568" i="11"/>
  <c r="S2568" i="11"/>
  <c r="R2568" i="11"/>
  <c r="P2568" i="11"/>
  <c r="O2568" i="11"/>
  <c r="N2568" i="11"/>
  <c r="M2568" i="11"/>
  <c r="L2568" i="11"/>
  <c r="K2568" i="11"/>
  <c r="J2568" i="11"/>
  <c r="I2568" i="11"/>
  <c r="Z2568" i="11"/>
  <c r="AC2568" i="11"/>
  <c r="AC2567" i="11"/>
  <c r="Z2567" i="11"/>
  <c r="Y2567" i="11"/>
  <c r="X2567" i="11"/>
  <c r="W2567" i="11"/>
  <c r="V2567" i="11"/>
  <c r="U2567" i="11"/>
  <c r="T2567" i="11"/>
  <c r="S2567" i="11"/>
  <c r="R2567" i="11"/>
  <c r="P2567" i="11"/>
  <c r="O2567" i="11"/>
  <c r="N2567" i="11"/>
  <c r="M2567" i="11"/>
  <c r="L2567" i="11"/>
  <c r="K2567" i="11"/>
  <c r="J2567" i="11"/>
  <c r="I2567" i="11"/>
  <c r="AE2567" i="11"/>
  <c r="AC2566" i="11"/>
  <c r="Z2566" i="11"/>
  <c r="Y2566" i="11"/>
  <c r="X2566" i="11"/>
  <c r="V2566" i="11"/>
  <c r="U2566" i="11"/>
  <c r="T2566" i="11"/>
  <c r="S2566" i="11"/>
  <c r="R2566" i="11"/>
  <c r="O2566" i="11"/>
  <c r="N2566" i="11"/>
  <c r="M2566" i="11"/>
  <c r="L2566" i="11"/>
  <c r="K2566" i="11"/>
  <c r="J2566" i="11"/>
  <c r="I2566" i="11"/>
  <c r="W2566" i="11"/>
  <c r="AE2566" i="11"/>
  <c r="P2566" i="11"/>
  <c r="AC2565" i="11"/>
  <c r="Z2565" i="11"/>
  <c r="Y2565" i="11"/>
  <c r="X2565" i="11"/>
  <c r="W2565" i="11"/>
  <c r="U2565" i="11"/>
  <c r="T2565" i="11"/>
  <c r="S2565" i="11"/>
  <c r="R2565" i="11"/>
  <c r="P2565" i="11"/>
  <c r="O2565" i="11"/>
  <c r="N2565" i="11"/>
  <c r="M2565" i="11"/>
  <c r="L2565" i="11"/>
  <c r="K2565" i="11"/>
  <c r="J2565" i="11"/>
  <c r="I2565" i="11"/>
  <c r="V2565" i="11"/>
  <c r="AE2565" i="11"/>
  <c r="AC2564" i="11"/>
  <c r="Z2564" i="11"/>
  <c r="X2564" i="11"/>
  <c r="W2564" i="11"/>
  <c r="V2564" i="11"/>
  <c r="U2564" i="11"/>
  <c r="T2564" i="11"/>
  <c r="S2564" i="11"/>
  <c r="R2564" i="11"/>
  <c r="P2564" i="11"/>
  <c r="O2564" i="11"/>
  <c r="N2564" i="11"/>
  <c r="M2564" i="11"/>
  <c r="L2564" i="11"/>
  <c r="K2564" i="11"/>
  <c r="J2564" i="11"/>
  <c r="I2564" i="11"/>
  <c r="AE2564" i="11"/>
  <c r="Y2564" i="11"/>
  <c r="AE2563" i="11"/>
  <c r="Y2563" i="11"/>
  <c r="O2563" i="11"/>
  <c r="X2563" i="11"/>
  <c r="W2563" i="11"/>
  <c r="V2563" i="11"/>
  <c r="U2563" i="11"/>
  <c r="T2563" i="11"/>
  <c r="S2563" i="11"/>
  <c r="R2563" i="11"/>
  <c r="P2563" i="11"/>
  <c r="Z2563" i="11"/>
  <c r="N2563" i="11"/>
  <c r="M2563" i="11"/>
  <c r="L2563" i="11"/>
  <c r="K2563" i="11"/>
  <c r="J2563" i="11"/>
  <c r="I2563" i="11"/>
  <c r="AC2563" i="11"/>
  <c r="AC2562" i="11"/>
  <c r="Z2562" i="11"/>
  <c r="Y2562" i="11"/>
  <c r="X2562" i="11"/>
  <c r="W2562" i="11"/>
  <c r="V2562" i="11"/>
  <c r="U2562" i="11"/>
  <c r="T2562" i="11"/>
  <c r="S2562" i="11"/>
  <c r="R2562" i="11"/>
  <c r="P2562" i="11"/>
  <c r="O2562" i="11"/>
  <c r="N2562" i="11"/>
  <c r="M2562" i="11"/>
  <c r="L2562" i="11"/>
  <c r="K2562" i="11"/>
  <c r="I2562" i="11"/>
  <c r="J2562" i="11"/>
  <c r="AE2562" i="11"/>
  <c r="AC2561" i="11"/>
  <c r="Z2561" i="11"/>
  <c r="Y2561" i="11"/>
  <c r="X2561" i="11"/>
  <c r="W2561" i="11"/>
  <c r="V2561" i="11"/>
  <c r="U2561" i="11"/>
  <c r="T2561" i="11"/>
  <c r="AE2561" i="11"/>
  <c r="R2561" i="11"/>
  <c r="P2561" i="11"/>
  <c r="O2561" i="11"/>
  <c r="N2561" i="11"/>
  <c r="L2561" i="11"/>
  <c r="K2561" i="11"/>
  <c r="J2561" i="11"/>
  <c r="I2561" i="11"/>
  <c r="M2561" i="11"/>
  <c r="S2561" i="11"/>
  <c r="K2560" i="11"/>
  <c r="L2560" i="11"/>
  <c r="M2560" i="11"/>
  <c r="N2560" i="11"/>
  <c r="O2560" i="11"/>
  <c r="P2560" i="11"/>
  <c r="R2560" i="11"/>
  <c r="S2560" i="11"/>
  <c r="T2560" i="11"/>
  <c r="U2560" i="11"/>
  <c r="V2560" i="11"/>
  <c r="W2560" i="11"/>
  <c r="X2560" i="11"/>
  <c r="Y2560" i="11"/>
  <c r="Z2560" i="11"/>
  <c r="AC2560" i="11"/>
  <c r="AE2560" i="11"/>
  <c r="I2560" i="11"/>
  <c r="J2560" i="11"/>
  <c r="AC2559" i="11"/>
  <c r="Z2559" i="11"/>
  <c r="Y2559" i="11"/>
  <c r="X2559" i="11"/>
  <c r="W2559" i="11"/>
  <c r="V2559" i="11"/>
  <c r="U2559" i="11"/>
  <c r="T2559" i="11"/>
  <c r="S2559" i="11"/>
  <c r="R2559" i="11"/>
  <c r="P2559" i="11"/>
  <c r="O2559" i="11"/>
  <c r="N2559" i="11"/>
  <c r="M2559" i="11"/>
  <c r="L2559" i="11"/>
  <c r="K2559" i="11"/>
  <c r="J2559" i="11"/>
  <c r="I2559" i="11"/>
  <c r="AE2559" i="11"/>
  <c r="AE2558" i="11"/>
  <c r="Y2558" i="11"/>
  <c r="X2558" i="11"/>
  <c r="W2558" i="11"/>
  <c r="V2558" i="11"/>
  <c r="U2558" i="11"/>
  <c r="T2558" i="11"/>
  <c r="S2558" i="11"/>
  <c r="R2558" i="11"/>
  <c r="P2558" i="11"/>
  <c r="O2558" i="11"/>
  <c r="N2558" i="11"/>
  <c r="M2558" i="11"/>
  <c r="L2558" i="11"/>
  <c r="K2558" i="11"/>
  <c r="J2558" i="11"/>
  <c r="I2558" i="11"/>
  <c r="Z2558" i="11"/>
  <c r="AC2558" i="11"/>
  <c r="AC2557" i="11"/>
  <c r="Z2557" i="11"/>
  <c r="Y2557" i="11"/>
  <c r="X2557" i="11"/>
  <c r="W2557" i="11"/>
  <c r="V2557" i="11"/>
  <c r="U2557" i="11"/>
  <c r="T2557" i="11"/>
  <c r="S2557" i="11"/>
  <c r="R2557" i="11"/>
  <c r="P2557" i="11"/>
  <c r="O2557" i="11"/>
  <c r="N2557" i="11"/>
  <c r="M2557" i="11"/>
  <c r="L2557" i="11"/>
  <c r="K2557" i="11"/>
  <c r="J2557" i="11"/>
  <c r="I2557" i="11"/>
  <c r="AE2557" i="11"/>
  <c r="AC2556" i="11"/>
  <c r="Z2556" i="11"/>
  <c r="Y2556" i="11"/>
  <c r="X2556" i="11"/>
  <c r="W2556" i="11"/>
  <c r="V2556" i="11"/>
  <c r="U2556" i="11"/>
  <c r="T2556" i="11"/>
  <c r="S2556" i="11"/>
  <c r="P2556" i="11"/>
  <c r="O2556" i="11"/>
  <c r="N2556" i="11"/>
  <c r="I2556" i="11"/>
  <c r="M2556" i="11"/>
  <c r="L2556" i="11"/>
  <c r="K2556" i="11"/>
  <c r="J2556" i="11"/>
  <c r="AE2556" i="11"/>
  <c r="R2556" i="11"/>
  <c r="AC2555" i="11"/>
  <c r="Z2555" i="11"/>
  <c r="Y2555" i="11"/>
  <c r="X2555" i="11"/>
  <c r="W2555" i="11"/>
  <c r="V2555" i="11"/>
  <c r="U2555" i="11"/>
  <c r="T2555" i="11"/>
  <c r="S2555" i="11"/>
  <c r="R2555" i="11"/>
  <c r="P2555" i="11"/>
  <c r="O2555" i="11"/>
  <c r="M2555" i="11"/>
  <c r="L2555" i="11"/>
  <c r="K2555" i="11"/>
  <c r="J2555" i="11"/>
  <c r="I2555" i="11"/>
  <c r="N2555" i="11"/>
  <c r="AE2555" i="11"/>
  <c r="AC2554" i="11"/>
  <c r="Z2554" i="11"/>
  <c r="Y2554" i="11"/>
  <c r="X2554" i="11"/>
  <c r="W2554" i="11"/>
  <c r="V2554" i="11"/>
  <c r="U2554" i="11"/>
  <c r="T2554" i="11"/>
  <c r="S2554" i="11"/>
  <c r="R2554" i="11"/>
  <c r="P2554" i="11"/>
  <c r="O2554" i="11"/>
  <c r="N2554" i="11"/>
  <c r="M2554" i="11"/>
  <c r="L2554" i="11"/>
  <c r="K2554" i="11"/>
  <c r="J2554" i="11"/>
  <c r="I2554" i="11"/>
  <c r="AE2554" i="11"/>
  <c r="AE2553" i="11"/>
  <c r="Y2553" i="11"/>
  <c r="X2553" i="11"/>
  <c r="W2553" i="11"/>
  <c r="V2553" i="11"/>
  <c r="U2553" i="11"/>
  <c r="T2553" i="11"/>
  <c r="S2553" i="11"/>
  <c r="R2553" i="11"/>
  <c r="P2553" i="11"/>
  <c r="O2553" i="11"/>
  <c r="N2553" i="11"/>
  <c r="M2553" i="11"/>
  <c r="L2553" i="11"/>
  <c r="Z2553" i="11"/>
  <c r="J2553" i="11"/>
  <c r="I2553" i="11"/>
  <c r="K2553" i="11"/>
  <c r="AC2553" i="11"/>
  <c r="AC2552" i="11"/>
  <c r="Z2552" i="11"/>
  <c r="Y2552" i="11"/>
  <c r="X2552" i="11"/>
  <c r="W2552" i="11"/>
  <c r="V2552" i="11"/>
  <c r="U2552" i="11"/>
  <c r="T2552" i="11"/>
  <c r="S2552" i="11"/>
  <c r="R2552" i="11"/>
  <c r="P2552" i="11"/>
  <c r="O2552" i="11"/>
  <c r="N2552" i="11"/>
  <c r="M2552" i="11"/>
  <c r="L2552" i="11"/>
  <c r="K2552" i="11"/>
  <c r="J2552" i="11"/>
  <c r="AE2552" i="11"/>
  <c r="I2552" i="11"/>
  <c r="AC2551" i="11"/>
  <c r="Z2551" i="11"/>
  <c r="Y2551" i="11"/>
  <c r="X2551" i="11"/>
  <c r="W2551" i="11"/>
  <c r="V2551" i="11"/>
  <c r="U2551" i="11"/>
  <c r="T2551" i="11"/>
  <c r="S2551" i="11"/>
  <c r="P2551" i="11"/>
  <c r="O2551" i="11"/>
  <c r="N2551" i="11"/>
  <c r="M2551" i="11"/>
  <c r="L2551" i="11"/>
  <c r="K2551" i="11"/>
  <c r="J2551" i="11"/>
  <c r="I2551" i="11"/>
  <c r="AE2551" i="11"/>
  <c r="R2551" i="11"/>
  <c r="AC2550" i="11"/>
  <c r="Z2550" i="11"/>
  <c r="Y2550" i="11"/>
  <c r="X2550" i="11"/>
  <c r="W2550" i="11"/>
  <c r="U2550" i="11"/>
  <c r="T2550" i="11"/>
  <c r="S2550" i="11"/>
  <c r="R2550" i="11"/>
  <c r="P2550" i="11"/>
  <c r="O2550" i="11"/>
  <c r="N2550" i="11"/>
  <c r="M2550" i="11"/>
  <c r="L2550" i="11"/>
  <c r="K2550" i="11"/>
  <c r="J2550" i="11"/>
  <c r="I2550" i="11"/>
  <c r="V2550" i="11"/>
  <c r="AE2550" i="11"/>
  <c r="Z2549" i="11"/>
  <c r="Y2549" i="11"/>
  <c r="X2549" i="11"/>
  <c r="W2549" i="11"/>
  <c r="AE2549" i="11"/>
  <c r="V2549" i="11"/>
  <c r="U2549" i="11"/>
  <c r="J2549" i="11"/>
  <c r="T2549" i="11"/>
  <c r="S2549" i="11"/>
  <c r="R2549" i="11"/>
  <c r="P2549" i="11"/>
  <c r="O2549" i="11"/>
  <c r="N2549" i="11"/>
  <c r="M2549" i="11"/>
  <c r="L2549" i="11"/>
  <c r="K2549" i="11"/>
  <c r="AC2549" i="11"/>
  <c r="I2549" i="11"/>
  <c r="AE2548" i="11"/>
  <c r="AC2548" i="11"/>
  <c r="Z2548" i="11"/>
  <c r="Y2548" i="11"/>
  <c r="X2548" i="11"/>
  <c r="W2548" i="11"/>
  <c r="V2548" i="11"/>
  <c r="U2548" i="11"/>
  <c r="T2548" i="11"/>
  <c r="S2548" i="11"/>
  <c r="R2548" i="11"/>
  <c r="P2548" i="11"/>
  <c r="O2548" i="11"/>
  <c r="N2548" i="11"/>
  <c r="M2548" i="11"/>
  <c r="L2548" i="11"/>
  <c r="K2548" i="11"/>
  <c r="J2548" i="11"/>
  <c r="I2548" i="11"/>
  <c r="J2547" i="11"/>
  <c r="I2547" i="11"/>
  <c r="S2547" i="11"/>
  <c r="U2547" i="11"/>
  <c r="T2547" i="11"/>
  <c r="R2547" i="11"/>
  <c r="P2547" i="11"/>
  <c r="O2547" i="11"/>
  <c r="N2547" i="11"/>
  <c r="M2547" i="11"/>
  <c r="L2547" i="11"/>
  <c r="K2547" i="11"/>
  <c r="AE2547" i="11"/>
  <c r="AC2547" i="11"/>
  <c r="Z2547" i="11"/>
  <c r="Y2547" i="11"/>
  <c r="X2547" i="11"/>
  <c r="W2547" i="11"/>
  <c r="V2547" i="11"/>
  <c r="U2546" i="11"/>
  <c r="T2546" i="11"/>
  <c r="S2546" i="11"/>
  <c r="R2546" i="11"/>
  <c r="P2546" i="11"/>
  <c r="O2546" i="11"/>
  <c r="N2546" i="11"/>
  <c r="M2546" i="11"/>
  <c r="L2546" i="11"/>
  <c r="K2546" i="11"/>
  <c r="J2546" i="11"/>
  <c r="I2546" i="11"/>
  <c r="AE2546" i="11"/>
  <c r="AC2546" i="11"/>
  <c r="Z2546" i="11"/>
  <c r="Y2546" i="11"/>
  <c r="X2546" i="11"/>
  <c r="W2546" i="11"/>
  <c r="V2546" i="11"/>
  <c r="U2545" i="11"/>
  <c r="X2545" i="11"/>
  <c r="W2545" i="11"/>
  <c r="V2545" i="11"/>
  <c r="AE2545" i="11"/>
  <c r="AC2545" i="11"/>
  <c r="Z2545" i="11"/>
  <c r="Y2545" i="11"/>
  <c r="T2545" i="11"/>
  <c r="S2545" i="11"/>
  <c r="R2545" i="11"/>
  <c r="P2545" i="11"/>
  <c r="O2545" i="11"/>
  <c r="N2545" i="11"/>
  <c r="M2545" i="11"/>
  <c r="L2545" i="11"/>
  <c r="K2545" i="11"/>
  <c r="J2545" i="11"/>
  <c r="I2545" i="11"/>
  <c r="T2544" i="11"/>
  <c r="I2544" i="11"/>
  <c r="J2544" i="11"/>
  <c r="K2544" i="11"/>
  <c r="L2544" i="11"/>
  <c r="M2544" i="11"/>
  <c r="N2544" i="11"/>
  <c r="O2544" i="11"/>
  <c r="P2544" i="11"/>
  <c r="R2544" i="11"/>
  <c r="U2544" i="11"/>
  <c r="S2544" i="11"/>
  <c r="AE2544" i="11"/>
  <c r="AC2544" i="11"/>
  <c r="Z2544" i="11"/>
  <c r="Y2544" i="11"/>
  <c r="X2544" i="11"/>
  <c r="W2544" i="11"/>
  <c r="V2544" i="11"/>
  <c r="K2543" i="11"/>
  <c r="AE2543" i="11"/>
  <c r="AC2543" i="11"/>
  <c r="Z2543" i="11"/>
  <c r="Y2543" i="11"/>
  <c r="X2543" i="11"/>
  <c r="W2543" i="11"/>
  <c r="V2543" i="11"/>
  <c r="U2543" i="11"/>
  <c r="T2543" i="11"/>
  <c r="S2543" i="11"/>
  <c r="R2543" i="11"/>
  <c r="P2543" i="11"/>
  <c r="O2543" i="11"/>
  <c r="N2543" i="11"/>
  <c r="M2543" i="11"/>
  <c r="L2543" i="11"/>
  <c r="J2543" i="11"/>
  <c r="I2543" i="11"/>
  <c r="L2542" i="11"/>
  <c r="K2542" i="11"/>
  <c r="J2542" i="11"/>
  <c r="T2542" i="11"/>
  <c r="U2542" i="11"/>
  <c r="S2542" i="11"/>
  <c r="R2542" i="11"/>
  <c r="P2542" i="11"/>
  <c r="O2542" i="11"/>
  <c r="I2542" i="11"/>
  <c r="N2542" i="11"/>
  <c r="M2542" i="11"/>
  <c r="AE2542" i="11"/>
  <c r="AC2542" i="11"/>
  <c r="Z2542" i="11"/>
  <c r="Y2542" i="11"/>
  <c r="X2542" i="11"/>
  <c r="W2542" i="11"/>
  <c r="V2542" i="11"/>
  <c r="AC2541" i="11"/>
  <c r="Z2541" i="11"/>
  <c r="Y2541" i="11"/>
  <c r="W2541" i="11"/>
  <c r="V2541" i="11"/>
  <c r="U2541" i="11"/>
  <c r="T2541" i="11"/>
  <c r="S2541" i="11"/>
  <c r="R2541" i="11"/>
  <c r="P2541" i="11"/>
  <c r="O2541" i="11"/>
  <c r="N2541" i="11"/>
  <c r="M2541" i="11"/>
  <c r="L2541" i="11"/>
  <c r="K2541" i="11"/>
  <c r="J2541" i="11"/>
  <c r="I2541" i="11"/>
  <c r="X2541" i="11"/>
  <c r="AE2541" i="11"/>
  <c r="R2540" i="11"/>
  <c r="T2540" i="11"/>
  <c r="U2540" i="11"/>
  <c r="V2540" i="11"/>
  <c r="W2540" i="11"/>
  <c r="X2540" i="11"/>
  <c r="Y2540" i="11"/>
  <c r="P2540" i="11"/>
  <c r="AC2540" i="11"/>
  <c r="Z2540" i="11"/>
  <c r="AE2540" i="11"/>
  <c r="M2540" i="11"/>
  <c r="N2540" i="11"/>
  <c r="S2540" i="11"/>
  <c r="I2540" i="11"/>
  <c r="J2540" i="11"/>
  <c r="O2540" i="11"/>
  <c r="K2540" i="11"/>
  <c r="L2540" i="11"/>
  <c r="N2539" i="11"/>
  <c r="V2539" i="11"/>
  <c r="X2539" i="11"/>
  <c r="M2539" i="11"/>
  <c r="Y2539" i="11"/>
  <c r="Z2539" i="11"/>
  <c r="AC2539" i="11"/>
  <c r="AE2539" i="11"/>
  <c r="U2539" i="11"/>
  <c r="W2539" i="11"/>
  <c r="T2539" i="11"/>
  <c r="S2539" i="11"/>
  <c r="R2539" i="11"/>
  <c r="P2539" i="11"/>
  <c r="O2539" i="11"/>
  <c r="L2539" i="11"/>
  <c r="K2539" i="11"/>
  <c r="J2539" i="11"/>
  <c r="I2539" i="11"/>
  <c r="X2538" i="11"/>
  <c r="M2538" i="11"/>
  <c r="I2538" i="11"/>
  <c r="AE2538" i="11"/>
  <c r="J2538" i="11"/>
  <c r="Z2538" i="11"/>
  <c r="Y2538" i="11"/>
  <c r="V2538" i="11"/>
  <c r="U2538" i="11"/>
  <c r="K2538" i="11"/>
  <c r="L2538" i="11"/>
  <c r="AC2538" i="11"/>
  <c r="N2538" i="11"/>
  <c r="O2538" i="11"/>
  <c r="P2538" i="11"/>
  <c r="R2538" i="11"/>
  <c r="S2538" i="11"/>
  <c r="T2538" i="11"/>
  <c r="W2538" i="11"/>
  <c r="T2537" i="11"/>
  <c r="S2537" i="11"/>
  <c r="R2537" i="11"/>
  <c r="O2537" i="11"/>
  <c r="N2537" i="11"/>
  <c r="M2537" i="11"/>
  <c r="L2537" i="11"/>
  <c r="K2537" i="11"/>
  <c r="J2537" i="11"/>
  <c r="I2537" i="11"/>
  <c r="P2537" i="11"/>
  <c r="AE2537" i="11"/>
  <c r="AC2537" i="11"/>
  <c r="Z2537" i="11"/>
  <c r="Y2537" i="11"/>
  <c r="X2537" i="11"/>
  <c r="W2537" i="11"/>
  <c r="V2537" i="11"/>
  <c r="U2537" i="11"/>
  <c r="U2536" i="11"/>
  <c r="J2536" i="11"/>
  <c r="V2536" i="11"/>
  <c r="X2536" i="11"/>
  <c r="Y2536" i="11"/>
  <c r="AC2536" i="11"/>
  <c r="W2536" i="11"/>
  <c r="AE2536" i="11"/>
  <c r="Z2536" i="11"/>
  <c r="I2536" i="11"/>
  <c r="K2536" i="11"/>
  <c r="L2536" i="11"/>
  <c r="M2536" i="11"/>
  <c r="N2536" i="11"/>
  <c r="O2536" i="11"/>
  <c r="P2536" i="11"/>
  <c r="R2536" i="11"/>
  <c r="S2536" i="11"/>
  <c r="T2536" i="11"/>
  <c r="AE2535" i="11"/>
  <c r="AC2535" i="11"/>
  <c r="Z2535" i="11"/>
  <c r="Y2535" i="11"/>
  <c r="P2535" i="11"/>
  <c r="R2535" i="11"/>
  <c r="S2535" i="11"/>
  <c r="T2535" i="11"/>
  <c r="U2535" i="11"/>
  <c r="V2535" i="11"/>
  <c r="N2535" i="11"/>
  <c r="X2535" i="11"/>
  <c r="I2535" i="11"/>
  <c r="J2535" i="11"/>
  <c r="K2535" i="11"/>
  <c r="L2535" i="11"/>
  <c r="M2535" i="11"/>
  <c r="W2535" i="11"/>
  <c r="O2535" i="11"/>
  <c r="W2534" i="11"/>
  <c r="X2534" i="11"/>
  <c r="Y2534" i="11"/>
  <c r="Z2534" i="11"/>
  <c r="AC2534" i="11"/>
  <c r="AE2534" i="11"/>
  <c r="K2534" i="11"/>
  <c r="J2534" i="11"/>
  <c r="L2534" i="11"/>
  <c r="I2534" i="11"/>
  <c r="V2534" i="11"/>
  <c r="U2534" i="11"/>
  <c r="T2534" i="11"/>
  <c r="S2534" i="11"/>
  <c r="R2534" i="11"/>
  <c r="P2534" i="11"/>
  <c r="O2534" i="11"/>
  <c r="N2534" i="11"/>
  <c r="M2534" i="11"/>
  <c r="M2533" i="11"/>
  <c r="U2533" i="11"/>
  <c r="I2533" i="11"/>
  <c r="K2533" i="11"/>
  <c r="J2533" i="11"/>
  <c r="AE2533" i="11"/>
  <c r="AC2533" i="11"/>
  <c r="Z2533" i="11"/>
  <c r="Y2533" i="11"/>
  <c r="X2533" i="11"/>
  <c r="W2533" i="11"/>
  <c r="V2533" i="11"/>
  <c r="T2533" i="11"/>
  <c r="S2533" i="11"/>
  <c r="R2533" i="11"/>
  <c r="P2533" i="11"/>
  <c r="O2533" i="11"/>
  <c r="N2533" i="11"/>
  <c r="L2533" i="11"/>
  <c r="L2532" i="11"/>
  <c r="T2532" i="11"/>
  <c r="K2532" i="11"/>
  <c r="R2532" i="11"/>
  <c r="S2532" i="11"/>
  <c r="N2532" i="11"/>
  <c r="U2532" i="11"/>
  <c r="V2532" i="11"/>
  <c r="W2532" i="11"/>
  <c r="X2532" i="11"/>
  <c r="Y2532" i="11"/>
  <c r="Z2532" i="11"/>
  <c r="AC2532" i="11"/>
  <c r="AE2532" i="11"/>
  <c r="M2532" i="11"/>
  <c r="O2532" i="11"/>
  <c r="P2532" i="11"/>
  <c r="I2532" i="11"/>
  <c r="J2532" i="11"/>
  <c r="K2531" i="11"/>
  <c r="AC2531" i="11"/>
  <c r="I2531" i="11"/>
  <c r="J2531" i="11"/>
  <c r="L2531" i="11"/>
  <c r="M2531" i="11"/>
  <c r="N2531" i="11"/>
  <c r="O2531" i="11"/>
  <c r="P2531" i="11"/>
  <c r="R2531" i="11"/>
  <c r="S2531" i="11"/>
  <c r="T2531" i="11"/>
  <c r="U2531" i="11"/>
  <c r="V2531" i="11"/>
  <c r="W2531" i="11"/>
  <c r="X2531" i="11"/>
  <c r="Y2531" i="11"/>
  <c r="Z2531" i="11"/>
  <c r="AE2531" i="11"/>
  <c r="X2530" i="11"/>
  <c r="K2530" i="11"/>
  <c r="L2530" i="11"/>
  <c r="J2530" i="11"/>
  <c r="AE2530" i="11"/>
  <c r="AC2530" i="11"/>
  <c r="Z2530" i="11"/>
  <c r="Y2530" i="11"/>
  <c r="I2530" i="11"/>
  <c r="M2530" i="11"/>
  <c r="W2530" i="11"/>
  <c r="V2530" i="11"/>
  <c r="U2530" i="11"/>
  <c r="T2530" i="11"/>
  <c r="S2530" i="11"/>
  <c r="R2530" i="11"/>
  <c r="P2530" i="11"/>
  <c r="O2530" i="11"/>
  <c r="N2530" i="11"/>
  <c r="J2529" i="11"/>
  <c r="T2529" i="11"/>
  <c r="S2529" i="11"/>
  <c r="P2529" i="11"/>
  <c r="R2529" i="11"/>
  <c r="O2529" i="11"/>
  <c r="N2529" i="11"/>
  <c r="M2529" i="11"/>
  <c r="L2529" i="11"/>
  <c r="K2529" i="11"/>
  <c r="I2529" i="11"/>
  <c r="V2529" i="11"/>
  <c r="U2529" i="11"/>
  <c r="AE2529" i="11"/>
  <c r="AC2529" i="11"/>
  <c r="Z2529" i="11"/>
  <c r="Y2529" i="11"/>
  <c r="X2529" i="11"/>
  <c r="W2529" i="11"/>
  <c r="U2528" i="11"/>
  <c r="R2528" i="11"/>
  <c r="V2528" i="11"/>
  <c r="T2528" i="11"/>
  <c r="S2528" i="11"/>
  <c r="P2528" i="11"/>
  <c r="O2528" i="11"/>
  <c r="N2528" i="11"/>
  <c r="M2528" i="11"/>
  <c r="L2528" i="11"/>
  <c r="K2528" i="11"/>
  <c r="J2528" i="11"/>
  <c r="AE2528" i="11"/>
  <c r="AC2528" i="11"/>
  <c r="Z2528" i="11"/>
  <c r="Y2528" i="11"/>
  <c r="X2528" i="11"/>
  <c r="W2528" i="11"/>
  <c r="I2528" i="11"/>
  <c r="V2527" i="11"/>
  <c r="U2527" i="11"/>
  <c r="T2527" i="11"/>
  <c r="S2527" i="11"/>
  <c r="R2527" i="11"/>
  <c r="P2527" i="11"/>
  <c r="O2527" i="11"/>
  <c r="N2527" i="11"/>
  <c r="M2527" i="11"/>
  <c r="J2527" i="11"/>
  <c r="L2527" i="11"/>
  <c r="K2527" i="11"/>
  <c r="AE2527" i="11"/>
  <c r="AC2527" i="11"/>
  <c r="Z2527" i="11"/>
  <c r="Y2527" i="11"/>
  <c r="X2527" i="11"/>
  <c r="W2527" i="11"/>
  <c r="I2527" i="11"/>
  <c r="T2526" i="11"/>
  <c r="U2526" i="11"/>
  <c r="V2526" i="11"/>
  <c r="W2526" i="11"/>
  <c r="X2526" i="11"/>
  <c r="Y2526" i="11"/>
  <c r="Z2526" i="11"/>
  <c r="AC2526" i="11"/>
  <c r="AE2526" i="11"/>
  <c r="N2526" i="11"/>
  <c r="I2526" i="11"/>
  <c r="J2526" i="11"/>
  <c r="K2526" i="11"/>
  <c r="L2526" i="11"/>
  <c r="M2526" i="11"/>
  <c r="O2526" i="11"/>
  <c r="P2526" i="11"/>
  <c r="R2526" i="11"/>
  <c r="S2526" i="11"/>
  <c r="M2525" i="11"/>
  <c r="X2525" i="11"/>
  <c r="S2525" i="11"/>
  <c r="R2525" i="11"/>
  <c r="P2525" i="11"/>
  <c r="O2525" i="11"/>
  <c r="N2525" i="11"/>
  <c r="L2525" i="11"/>
  <c r="K2525" i="11"/>
  <c r="J2525" i="11"/>
  <c r="I2525" i="11"/>
  <c r="AE2525" i="11"/>
  <c r="AC2525" i="11"/>
  <c r="Z2525" i="11"/>
  <c r="Y2525" i="11"/>
  <c r="W2525" i="11"/>
  <c r="V2525" i="11"/>
  <c r="U2525" i="11"/>
  <c r="T2525" i="11"/>
  <c r="T2524" i="11"/>
  <c r="S2524" i="11"/>
  <c r="R2524" i="11"/>
  <c r="P2524" i="11"/>
  <c r="O2524" i="11"/>
  <c r="N2524" i="11"/>
  <c r="M2524" i="11"/>
  <c r="L2524" i="11"/>
  <c r="K2524" i="11"/>
  <c r="J2524" i="11"/>
  <c r="AE2524" i="11"/>
  <c r="AC2524" i="11"/>
  <c r="Z2524" i="11"/>
  <c r="Y2524" i="11"/>
  <c r="X2524" i="11"/>
  <c r="W2524" i="11"/>
  <c r="V2524" i="11"/>
  <c r="U2524" i="11"/>
  <c r="I2524" i="11"/>
  <c r="T2523" i="11"/>
  <c r="S2523" i="11"/>
  <c r="R2523" i="11"/>
  <c r="P2523" i="11"/>
  <c r="O2523" i="11"/>
  <c r="N2523" i="11"/>
  <c r="M2523" i="11"/>
  <c r="J2523" i="11"/>
  <c r="L2523" i="11"/>
  <c r="V2523" i="11"/>
  <c r="I2523" i="11"/>
  <c r="U2523" i="11"/>
  <c r="AE2523" i="11"/>
  <c r="AC2523" i="11"/>
  <c r="Z2523" i="11"/>
  <c r="Y2523" i="11"/>
  <c r="X2523" i="11"/>
  <c r="W2523" i="11"/>
  <c r="K2523" i="11"/>
  <c r="AC2522" i="11"/>
  <c r="Z2522" i="11"/>
  <c r="Y2522" i="11"/>
  <c r="X2522" i="11"/>
  <c r="W2522" i="11"/>
  <c r="V2522" i="11"/>
  <c r="U2522" i="11"/>
  <c r="T2522" i="11"/>
  <c r="S2522" i="11"/>
  <c r="R2522" i="11"/>
  <c r="P2522" i="11"/>
  <c r="O2522" i="11"/>
  <c r="N2522" i="11"/>
  <c r="M2522" i="11"/>
  <c r="AE2522" i="11"/>
  <c r="L2522" i="11"/>
  <c r="K2522" i="11"/>
  <c r="J2522" i="11"/>
  <c r="I2522" i="11"/>
  <c r="AE2521" i="11"/>
  <c r="Z2521" i="11"/>
  <c r="Y2521" i="11"/>
  <c r="X2521" i="11"/>
  <c r="W2521" i="11"/>
  <c r="V2521" i="11"/>
  <c r="U2521" i="11"/>
  <c r="T2521" i="11"/>
  <c r="S2521" i="11"/>
  <c r="R2521" i="11"/>
  <c r="P2521" i="11"/>
  <c r="O2521" i="11"/>
  <c r="N2521" i="11"/>
  <c r="M2521" i="11"/>
  <c r="L2521" i="11"/>
  <c r="K2521" i="11"/>
  <c r="J2521" i="11"/>
  <c r="I2521" i="11"/>
  <c r="AC2521" i="11"/>
  <c r="V2520" i="11"/>
  <c r="I2520" i="11"/>
  <c r="J2520" i="11"/>
  <c r="K2520" i="11"/>
  <c r="L2520" i="11"/>
  <c r="M2520" i="11"/>
  <c r="N2520" i="11"/>
  <c r="O2520" i="11"/>
  <c r="P2520" i="11"/>
  <c r="R2520" i="11"/>
  <c r="S2520" i="11"/>
  <c r="T2520" i="11"/>
  <c r="U2520" i="11"/>
  <c r="W2520" i="11"/>
  <c r="X2520" i="11"/>
  <c r="Y2520" i="11"/>
  <c r="Z2520" i="11"/>
  <c r="AC2520" i="11"/>
  <c r="AE2520" i="11"/>
  <c r="L2519" i="11"/>
  <c r="M2519" i="11"/>
  <c r="N2519" i="11"/>
  <c r="O2519" i="11"/>
  <c r="P2519" i="11"/>
  <c r="R2519" i="11"/>
  <c r="S2519" i="11"/>
  <c r="T2519" i="11"/>
  <c r="U2519" i="11"/>
  <c r="V2519" i="11"/>
  <c r="W2519" i="11"/>
  <c r="X2519" i="11"/>
  <c r="Y2519" i="11"/>
  <c r="Z2519" i="11"/>
  <c r="AC2519" i="11"/>
  <c r="AE2519" i="11"/>
  <c r="I2519" i="11"/>
  <c r="J2519" i="11"/>
  <c r="K2519" i="11"/>
  <c r="L2518" i="11"/>
  <c r="M2518" i="11"/>
  <c r="N2518" i="11"/>
  <c r="O2518" i="11"/>
  <c r="U2518" i="11"/>
  <c r="V2518" i="11"/>
  <c r="W2518" i="11"/>
  <c r="X2518" i="11"/>
  <c r="Y2518" i="11"/>
  <c r="K2518" i="11"/>
  <c r="Z2518" i="11"/>
  <c r="AC2518" i="11"/>
  <c r="AE2518" i="11"/>
  <c r="R2518" i="11"/>
  <c r="S2518" i="11"/>
  <c r="T2518" i="11"/>
  <c r="J2518" i="11"/>
  <c r="I2518" i="11"/>
  <c r="P2518" i="11"/>
  <c r="AC2517" i="11"/>
  <c r="Z2517" i="11"/>
  <c r="Y2517" i="11"/>
  <c r="AE2517" i="11"/>
  <c r="O2517" i="11"/>
  <c r="I2517" i="11"/>
  <c r="J2517" i="11"/>
  <c r="K2517" i="11"/>
  <c r="L2517" i="11"/>
  <c r="M2517" i="11"/>
  <c r="N2517" i="11"/>
  <c r="P2517" i="11"/>
  <c r="R2517" i="11"/>
  <c r="S2517" i="11"/>
  <c r="T2517" i="11"/>
  <c r="U2517" i="11"/>
  <c r="V2517" i="11"/>
  <c r="W2517" i="11"/>
  <c r="X2517" i="11"/>
  <c r="Z2516" i="11"/>
  <c r="AE2516" i="11"/>
  <c r="L2516" i="11"/>
  <c r="M2516" i="11"/>
  <c r="N2516" i="11"/>
  <c r="O2516" i="11"/>
  <c r="P2516" i="11"/>
  <c r="R2516" i="11"/>
  <c r="Y2516" i="11"/>
  <c r="S2516" i="11"/>
  <c r="T2516" i="11"/>
  <c r="J2516" i="11"/>
  <c r="U2516" i="11"/>
  <c r="V2516" i="11"/>
  <c r="W2516" i="11"/>
  <c r="X2516" i="11"/>
  <c r="K2516" i="11"/>
  <c r="I2516" i="11"/>
  <c r="AC2516" i="11"/>
  <c r="U2515" i="11"/>
  <c r="T2515" i="11"/>
  <c r="S2515" i="11"/>
  <c r="R2515" i="11"/>
  <c r="P2515" i="11"/>
  <c r="O2515" i="11"/>
  <c r="N2515" i="11"/>
  <c r="M2515" i="11"/>
  <c r="L2515" i="11"/>
  <c r="K2515" i="11"/>
  <c r="J2515" i="11"/>
  <c r="I2515" i="11"/>
  <c r="AE2515" i="11"/>
  <c r="AC2515" i="11"/>
  <c r="Z2515" i="11"/>
  <c r="Y2515" i="11"/>
  <c r="X2515" i="11"/>
  <c r="W2515" i="11"/>
  <c r="V2515" i="11"/>
  <c r="Y2514" i="11"/>
  <c r="S2514" i="11"/>
  <c r="T2514" i="11"/>
  <c r="U2514" i="11"/>
  <c r="V2514" i="11"/>
  <c r="W2514" i="11"/>
  <c r="X2514" i="11"/>
  <c r="P2514" i="11"/>
  <c r="Z2514" i="11"/>
  <c r="AC2514" i="11"/>
  <c r="AE2514" i="11"/>
  <c r="I2514" i="11"/>
  <c r="R2514" i="11"/>
  <c r="J2514" i="11"/>
  <c r="K2514" i="11"/>
  <c r="L2514" i="11"/>
  <c r="M2514" i="11"/>
  <c r="N2514" i="11"/>
  <c r="O2514" i="11"/>
  <c r="U2513" i="11"/>
  <c r="T2513" i="11"/>
  <c r="S2513" i="11"/>
  <c r="R2513" i="11"/>
  <c r="P2513" i="11"/>
  <c r="O2513" i="11"/>
  <c r="N2513" i="11"/>
  <c r="M2513" i="11"/>
  <c r="L2513" i="11"/>
  <c r="K2513" i="11"/>
  <c r="X2513" i="11"/>
  <c r="I2513" i="11"/>
  <c r="AE2513" i="11"/>
  <c r="J2513" i="11"/>
  <c r="AC2513" i="11"/>
  <c r="Z2513" i="11"/>
  <c r="Y2513" i="11"/>
  <c r="W2513" i="11"/>
  <c r="V2513" i="11"/>
  <c r="U2512" i="11"/>
  <c r="T2512" i="11"/>
  <c r="S2512" i="11"/>
  <c r="R2512" i="11"/>
  <c r="O2512" i="11"/>
  <c r="P2512" i="11"/>
  <c r="M2512" i="11"/>
  <c r="L2512" i="11"/>
  <c r="K2512" i="11"/>
  <c r="J2512" i="11"/>
  <c r="I2512" i="11"/>
  <c r="AE2512" i="11"/>
  <c r="AC2512" i="11"/>
  <c r="W2512" i="11"/>
  <c r="Z2512" i="11"/>
  <c r="Y2512" i="11"/>
  <c r="X2512" i="11"/>
  <c r="V2512" i="11"/>
  <c r="N2512" i="11"/>
  <c r="T2511" i="11"/>
  <c r="S2511" i="11"/>
  <c r="R2511" i="11"/>
  <c r="P2511" i="11"/>
  <c r="O2511" i="11"/>
  <c r="N2511" i="11"/>
  <c r="M2511" i="11"/>
  <c r="L2511" i="11"/>
  <c r="K2511" i="11"/>
  <c r="J2511" i="11"/>
  <c r="I2511" i="11"/>
  <c r="AE2511" i="11"/>
  <c r="AC2511" i="11"/>
  <c r="Z2511" i="11"/>
  <c r="Y2511" i="11"/>
  <c r="X2511" i="11"/>
  <c r="W2511" i="11"/>
  <c r="V2511" i="11"/>
  <c r="U2511" i="11"/>
  <c r="T2510" i="11"/>
  <c r="S2510" i="11"/>
  <c r="R2510" i="11"/>
  <c r="P2510" i="11"/>
  <c r="O2510" i="11"/>
  <c r="N2510" i="11"/>
  <c r="M2510" i="11"/>
  <c r="L2510" i="11"/>
  <c r="K2510" i="11"/>
  <c r="J2510" i="11"/>
  <c r="I2510" i="11"/>
  <c r="AE2510" i="11"/>
  <c r="AC2510" i="11"/>
  <c r="Z2510" i="11"/>
  <c r="Y2510" i="11"/>
  <c r="X2510" i="11"/>
  <c r="W2510" i="11"/>
  <c r="V2510" i="11"/>
  <c r="U2510" i="11"/>
  <c r="V2509" i="11"/>
  <c r="U2509" i="11"/>
  <c r="T2509" i="11"/>
  <c r="S2509" i="11"/>
  <c r="R2509" i="11"/>
  <c r="P2509" i="11"/>
  <c r="O2509" i="11"/>
  <c r="N2509" i="11"/>
  <c r="L2509" i="11"/>
  <c r="K2509" i="11"/>
  <c r="J2509" i="11"/>
  <c r="I2509" i="11"/>
  <c r="M2509" i="11"/>
  <c r="AE2509" i="11"/>
  <c r="AC2509" i="11"/>
  <c r="Z2509" i="11"/>
  <c r="Y2509" i="11"/>
  <c r="X2509" i="11"/>
  <c r="W2509" i="11"/>
  <c r="U2508" i="11"/>
  <c r="T2508" i="11"/>
  <c r="AE2508" i="11"/>
  <c r="R2508" i="11"/>
  <c r="P2508" i="11"/>
  <c r="I2508" i="11"/>
  <c r="N2508" i="11"/>
  <c r="M2508" i="11"/>
  <c r="L2508" i="11"/>
  <c r="K2508" i="11"/>
  <c r="J2508" i="11"/>
  <c r="O2508" i="11"/>
  <c r="AC2508" i="11"/>
  <c r="Z2508" i="11"/>
  <c r="Y2508" i="11"/>
  <c r="X2508" i="11"/>
  <c r="W2508" i="11"/>
  <c r="V2508" i="11"/>
  <c r="S2508" i="11"/>
  <c r="R2507" i="11"/>
  <c r="T2507" i="11"/>
  <c r="U2507" i="11"/>
  <c r="V2507" i="11"/>
  <c r="W2507" i="11"/>
  <c r="X2507" i="11"/>
  <c r="Y2507" i="11"/>
  <c r="Z2507" i="11"/>
  <c r="AC2507" i="11"/>
  <c r="AE2507" i="11"/>
  <c r="S2507" i="11"/>
  <c r="I2507" i="11"/>
  <c r="J2507" i="11"/>
  <c r="K2507" i="11"/>
  <c r="L2507" i="11"/>
  <c r="M2507" i="11"/>
  <c r="N2507" i="11"/>
  <c r="O2507" i="11"/>
  <c r="P2507" i="11"/>
  <c r="T2506" i="11"/>
  <c r="S2506" i="11"/>
  <c r="R2506" i="11"/>
  <c r="P2506" i="11"/>
  <c r="O2506" i="11"/>
  <c r="N2506" i="11"/>
  <c r="M2506" i="11"/>
  <c r="L2506" i="11"/>
  <c r="K2506" i="11"/>
  <c r="J2506" i="11"/>
  <c r="I2506" i="11"/>
  <c r="U2506" i="11"/>
  <c r="V2506" i="11"/>
  <c r="W2506" i="11"/>
  <c r="X2506" i="11"/>
  <c r="Y2506" i="11"/>
  <c r="Z2506" i="11"/>
  <c r="AC2506" i="11"/>
  <c r="AE2506" i="11"/>
  <c r="AE2505" i="11"/>
  <c r="AC2505" i="11"/>
  <c r="Z2505" i="11"/>
  <c r="W2505" i="11"/>
  <c r="Y2505" i="11"/>
  <c r="X2505" i="11"/>
  <c r="V2505" i="11"/>
  <c r="U2505" i="11"/>
  <c r="K2505" i="11"/>
  <c r="J2505" i="11"/>
  <c r="R2505" i="11"/>
  <c r="P2505" i="11"/>
  <c r="O2505" i="11"/>
  <c r="N2505" i="11"/>
  <c r="M2505" i="11"/>
  <c r="S2505" i="11"/>
  <c r="L2505" i="11"/>
  <c r="I2505" i="11"/>
  <c r="T2505" i="11"/>
  <c r="J2504" i="11"/>
  <c r="M2504" i="11"/>
  <c r="N2504" i="11"/>
  <c r="O2504" i="11"/>
  <c r="P2504" i="11"/>
  <c r="R2504" i="11"/>
  <c r="S2504" i="11"/>
  <c r="T2504" i="11"/>
  <c r="U2504" i="11"/>
  <c r="V2504" i="11"/>
  <c r="W2504" i="11"/>
  <c r="X2504" i="11"/>
  <c r="Y2504" i="11"/>
  <c r="Z2504" i="11"/>
  <c r="AC2504" i="11"/>
  <c r="I2504" i="11"/>
  <c r="AE2504" i="11"/>
  <c r="L2504" i="11"/>
  <c r="K2504" i="11"/>
  <c r="AC2503" i="11"/>
  <c r="Z2503" i="11"/>
  <c r="Y2503" i="11"/>
  <c r="X2503" i="11"/>
  <c r="W2503" i="11"/>
  <c r="V2503" i="11"/>
  <c r="U2503" i="11"/>
  <c r="T2503" i="11"/>
  <c r="S2503" i="11"/>
  <c r="R2503" i="11"/>
  <c r="P2503" i="11"/>
  <c r="O2503" i="11"/>
  <c r="N2503" i="11"/>
  <c r="M2503" i="11"/>
  <c r="L2503" i="11"/>
  <c r="K2503" i="11"/>
  <c r="J2503" i="11"/>
  <c r="I2503" i="11"/>
  <c r="AE2503" i="11"/>
  <c r="U2502" i="11"/>
  <c r="V2502" i="11"/>
  <c r="X2502" i="11"/>
  <c r="Y2502" i="11"/>
  <c r="R2502" i="11"/>
  <c r="AC2502" i="11"/>
  <c r="Z2502" i="11"/>
  <c r="AE2502" i="11"/>
  <c r="T2502" i="11"/>
  <c r="J2502" i="11"/>
  <c r="P2502" i="11"/>
  <c r="O2502" i="11"/>
  <c r="N2502" i="11"/>
  <c r="M2502" i="11"/>
  <c r="L2502" i="11"/>
  <c r="K2502" i="11"/>
  <c r="I2502" i="11"/>
  <c r="S2502" i="11"/>
  <c r="W2502" i="11"/>
  <c r="T2501" i="11"/>
  <c r="S2501" i="11"/>
  <c r="R2501" i="11"/>
  <c r="P2501" i="11"/>
  <c r="N2501" i="11"/>
  <c r="M2501" i="11"/>
  <c r="L2501" i="11"/>
  <c r="V2501" i="11"/>
  <c r="U2501" i="11"/>
  <c r="J2501" i="11"/>
  <c r="AC2501" i="11"/>
  <c r="X2501" i="11"/>
  <c r="Z2501" i="11"/>
  <c r="Y2501" i="11"/>
  <c r="O2501" i="11"/>
  <c r="K2501" i="11"/>
  <c r="AE2501" i="11"/>
  <c r="W2501" i="11"/>
  <c r="I2501" i="11"/>
  <c r="T2500" i="11"/>
  <c r="U2500" i="11"/>
  <c r="V2500" i="11"/>
  <c r="W2500" i="11"/>
  <c r="X2500" i="11"/>
  <c r="Y2500" i="11"/>
  <c r="Z2500" i="11"/>
  <c r="AC2500" i="11"/>
  <c r="AE2500" i="11"/>
  <c r="J2500" i="11"/>
  <c r="I2500" i="11"/>
  <c r="K2500" i="11"/>
  <c r="L2500" i="11"/>
  <c r="M2500" i="11"/>
  <c r="N2500" i="11"/>
  <c r="O2500" i="11"/>
  <c r="P2500" i="11"/>
  <c r="R2500" i="11"/>
  <c r="S2500" i="11"/>
  <c r="U2499" i="11"/>
  <c r="V2499" i="11"/>
  <c r="L2499" i="11"/>
  <c r="I2499" i="11"/>
  <c r="J2499" i="11"/>
  <c r="K2499" i="11"/>
  <c r="M2499" i="11"/>
  <c r="N2499" i="11"/>
  <c r="O2499" i="11"/>
  <c r="P2499" i="11"/>
  <c r="R2499" i="11"/>
  <c r="S2499" i="11"/>
  <c r="T2499" i="11"/>
  <c r="AE2499" i="11"/>
  <c r="AC2499" i="11"/>
  <c r="Z2499" i="11"/>
  <c r="Y2499" i="11"/>
  <c r="X2499" i="11"/>
  <c r="W2499" i="11"/>
  <c r="I2498" i="11"/>
  <c r="K2498" i="11"/>
  <c r="L2498" i="11"/>
  <c r="M2498" i="11"/>
  <c r="N2498" i="11"/>
  <c r="O2498" i="11"/>
  <c r="P2498" i="11"/>
  <c r="R2498" i="11"/>
  <c r="S2498" i="11"/>
  <c r="T2498" i="11"/>
  <c r="U2498" i="11"/>
  <c r="V2498" i="11"/>
  <c r="W2498" i="11"/>
  <c r="X2498" i="11"/>
  <c r="Y2498" i="11"/>
  <c r="Z2498" i="11"/>
  <c r="AC2498" i="11"/>
  <c r="J2498" i="11"/>
  <c r="AE2498" i="11"/>
  <c r="S2497" i="11"/>
  <c r="I2497" i="11"/>
  <c r="J2497" i="11"/>
  <c r="K2497" i="11"/>
  <c r="L2497" i="11"/>
  <c r="M2497" i="11"/>
  <c r="N2497" i="11"/>
  <c r="O2497" i="11"/>
  <c r="P2497" i="11"/>
  <c r="R2497" i="11"/>
  <c r="T2497" i="11"/>
  <c r="U2497" i="11"/>
  <c r="V2497" i="11"/>
  <c r="W2497" i="11"/>
  <c r="X2497" i="11"/>
  <c r="Y2497" i="11"/>
  <c r="Z2497" i="11"/>
  <c r="AC2497" i="11"/>
  <c r="AE2497" i="11"/>
  <c r="V2496" i="11"/>
  <c r="N2496" i="11"/>
  <c r="M2496" i="11"/>
  <c r="L2496" i="11"/>
  <c r="K2496" i="11"/>
  <c r="J2496" i="11"/>
  <c r="I2496" i="11"/>
  <c r="AE2496" i="11"/>
  <c r="P2496" i="11"/>
  <c r="O2496" i="11"/>
  <c r="AC2496" i="11"/>
  <c r="Z2496" i="11"/>
  <c r="Y2496" i="11"/>
  <c r="X2496" i="11"/>
  <c r="W2496" i="11"/>
  <c r="U2496" i="11"/>
  <c r="T2496" i="11"/>
  <c r="S2496" i="11"/>
  <c r="R2496" i="11"/>
  <c r="S2495" i="11"/>
  <c r="T2495" i="11"/>
  <c r="U2495" i="11"/>
  <c r="V2495" i="11"/>
  <c r="W2495" i="11"/>
  <c r="X2495" i="11"/>
  <c r="Y2495" i="11"/>
  <c r="AC2495" i="11"/>
  <c r="AE2495" i="11"/>
  <c r="Z2495" i="11"/>
  <c r="L2495" i="11"/>
  <c r="I2495" i="11"/>
  <c r="J2495" i="11"/>
  <c r="K2495" i="11"/>
  <c r="M2495" i="11"/>
  <c r="N2495" i="11"/>
  <c r="O2495" i="11"/>
  <c r="P2495" i="11"/>
  <c r="R2495" i="11"/>
  <c r="W2494" i="11"/>
  <c r="AC2494" i="11"/>
  <c r="I2494" i="11"/>
  <c r="J2494" i="11"/>
  <c r="K2494" i="11"/>
  <c r="L2494" i="11"/>
  <c r="M2494" i="11"/>
  <c r="N2494" i="11"/>
  <c r="O2494" i="11"/>
  <c r="P2494" i="11"/>
  <c r="R2494" i="11"/>
  <c r="S2494" i="11"/>
  <c r="T2494" i="11"/>
  <c r="U2494" i="11"/>
  <c r="V2494" i="11"/>
  <c r="AE2494" i="11"/>
  <c r="X2494" i="11"/>
  <c r="Y2494" i="11"/>
  <c r="Z2494" i="11"/>
  <c r="R2493" i="11"/>
  <c r="I2493" i="11"/>
  <c r="J2493" i="11"/>
  <c r="K2493" i="11"/>
  <c r="L2493" i="11"/>
  <c r="M2493" i="11"/>
  <c r="T2493" i="11"/>
  <c r="N2493" i="11"/>
  <c r="P2493" i="11"/>
  <c r="S2493" i="11"/>
  <c r="O2493" i="11"/>
  <c r="U2493" i="11"/>
  <c r="V2493" i="11"/>
  <c r="W2493" i="11"/>
  <c r="X2493" i="11"/>
  <c r="Y2493" i="11"/>
  <c r="Z2493" i="11"/>
  <c r="AC2493" i="11"/>
  <c r="AE2493" i="11"/>
  <c r="Z2492" i="11"/>
  <c r="I2492" i="11"/>
  <c r="R2492" i="11"/>
  <c r="P2492" i="11"/>
  <c r="O2492" i="11"/>
  <c r="N2492" i="11"/>
  <c r="M2492" i="11"/>
  <c r="L2492" i="11"/>
  <c r="K2492" i="11"/>
  <c r="J2492" i="11"/>
  <c r="AE2492" i="11"/>
  <c r="S2492" i="11"/>
  <c r="T2492" i="11"/>
  <c r="U2492" i="11"/>
  <c r="V2492" i="11"/>
  <c r="W2492" i="11"/>
  <c r="X2492" i="11"/>
  <c r="Y2492" i="11"/>
  <c r="AC2492" i="11"/>
  <c r="K2491" i="11"/>
  <c r="L2491" i="11"/>
  <c r="M2491" i="11"/>
  <c r="N2491" i="11"/>
  <c r="O2491" i="11"/>
  <c r="P2491" i="11"/>
  <c r="R2491" i="11"/>
  <c r="T2491" i="11"/>
  <c r="S2491" i="11"/>
  <c r="I2491" i="11"/>
  <c r="AE2491" i="11"/>
  <c r="AC2491" i="11"/>
  <c r="Z2491" i="11"/>
  <c r="Y2491" i="11"/>
  <c r="X2491" i="11"/>
  <c r="W2491" i="11"/>
  <c r="V2491" i="11"/>
  <c r="U2491" i="11"/>
  <c r="J2491" i="11"/>
  <c r="X2490" i="11"/>
  <c r="P2490" i="11"/>
  <c r="AE2490" i="11"/>
  <c r="AC2490" i="11"/>
  <c r="Z2490" i="11"/>
  <c r="Y2490" i="11"/>
  <c r="W2490" i="11"/>
  <c r="V2490" i="11"/>
  <c r="U2490" i="11"/>
  <c r="T2490" i="11"/>
  <c r="S2490" i="11"/>
  <c r="R2490" i="11"/>
  <c r="O2490" i="11"/>
  <c r="N2490" i="11"/>
  <c r="M2490" i="11"/>
  <c r="L2490" i="11"/>
  <c r="K2490" i="11"/>
  <c r="I2490" i="11"/>
  <c r="J2490" i="11"/>
  <c r="AE2489" i="11"/>
  <c r="T2489" i="11"/>
  <c r="R2489" i="11"/>
  <c r="P2489" i="11"/>
  <c r="O2489" i="11"/>
  <c r="N2489" i="11"/>
  <c r="M2489" i="11"/>
  <c r="L2489" i="11"/>
  <c r="K2489" i="11"/>
  <c r="J2489" i="11"/>
  <c r="I2489" i="11"/>
  <c r="S2489" i="11"/>
  <c r="U2489" i="11"/>
  <c r="V2489" i="11"/>
  <c r="W2489" i="11"/>
  <c r="X2489" i="11"/>
  <c r="Y2489" i="11"/>
  <c r="Z2489" i="11"/>
  <c r="AC2489" i="11"/>
  <c r="U2488" i="11"/>
  <c r="S2488" i="11"/>
  <c r="R2488" i="11"/>
  <c r="P2488" i="11"/>
  <c r="O2488" i="11"/>
  <c r="N2488" i="11"/>
  <c r="M2488" i="11"/>
  <c r="L2488" i="11"/>
  <c r="K2488" i="11"/>
  <c r="I2488" i="11"/>
  <c r="J2488" i="11"/>
  <c r="AE2488" i="11"/>
  <c r="AC2488" i="11"/>
  <c r="Z2488" i="11"/>
  <c r="Y2488" i="11"/>
  <c r="X2488" i="11"/>
  <c r="W2488" i="11"/>
  <c r="V2488" i="11"/>
  <c r="T2488" i="11"/>
  <c r="T2487" i="11"/>
  <c r="U2487" i="11"/>
  <c r="V2487" i="11"/>
  <c r="W2487" i="11"/>
  <c r="X2487" i="11"/>
  <c r="Y2487" i="11"/>
  <c r="Z2487" i="11"/>
  <c r="AC2487" i="11"/>
  <c r="AE2487" i="11"/>
  <c r="S2487" i="11"/>
  <c r="I2487" i="11"/>
  <c r="J2487" i="11"/>
  <c r="K2487" i="11"/>
  <c r="L2487" i="11"/>
  <c r="M2487" i="11"/>
  <c r="N2487" i="11"/>
  <c r="O2487" i="11"/>
  <c r="P2487" i="11"/>
  <c r="R2487" i="11"/>
  <c r="R2486" i="11"/>
  <c r="P2486" i="11"/>
  <c r="O2486" i="11"/>
  <c r="N2486" i="11"/>
  <c r="M2486" i="11"/>
  <c r="K2486" i="11"/>
  <c r="J2486" i="11"/>
  <c r="I2486" i="11"/>
  <c r="V2486" i="11"/>
  <c r="U2486" i="11"/>
  <c r="T2486" i="11"/>
  <c r="S2486" i="11"/>
  <c r="L2486" i="11"/>
  <c r="AE2486" i="11"/>
  <c r="AC2486" i="11"/>
  <c r="Z2486" i="11"/>
  <c r="Y2486" i="11"/>
  <c r="X2486" i="11"/>
  <c r="W2486" i="11"/>
  <c r="AE2485" i="11"/>
  <c r="AC2485" i="11"/>
  <c r="Z2485" i="11"/>
  <c r="Y2485" i="11"/>
  <c r="X2485" i="11"/>
  <c r="W2485" i="11"/>
  <c r="M2485" i="11"/>
  <c r="V2485" i="11"/>
  <c r="N2485" i="11"/>
  <c r="O2485" i="11"/>
  <c r="P2485" i="11"/>
  <c r="R2485" i="11"/>
  <c r="S2485" i="11"/>
  <c r="T2485" i="11"/>
  <c r="U2485" i="11"/>
  <c r="K2485" i="11"/>
  <c r="L2485" i="11"/>
  <c r="I2485" i="11"/>
  <c r="J2485" i="11"/>
  <c r="AC2484" i="11"/>
  <c r="AE2484" i="11"/>
  <c r="Z2484" i="11"/>
  <c r="Y2484" i="11"/>
  <c r="X2484" i="11"/>
  <c r="W2484" i="11"/>
  <c r="V2484" i="11"/>
  <c r="U2484" i="11"/>
  <c r="T2484" i="11"/>
  <c r="S2484" i="11"/>
  <c r="R2484" i="11"/>
  <c r="P2484" i="11"/>
  <c r="O2484" i="11"/>
  <c r="N2484" i="11"/>
  <c r="M2484" i="11"/>
  <c r="L2484" i="11"/>
  <c r="K2484" i="11"/>
  <c r="J2484" i="11"/>
  <c r="I2484" i="11"/>
  <c r="N2483" i="11"/>
  <c r="M2483" i="11"/>
  <c r="L2483" i="11"/>
  <c r="J2483" i="11"/>
  <c r="AE2483" i="11"/>
  <c r="K2483" i="11"/>
  <c r="I2483" i="11"/>
  <c r="U2483" i="11"/>
  <c r="AC2483" i="11"/>
  <c r="Z2483" i="11"/>
  <c r="Y2483" i="11"/>
  <c r="X2483" i="11"/>
  <c r="W2483" i="11"/>
  <c r="V2483" i="11"/>
  <c r="T2483" i="11"/>
  <c r="S2483" i="11"/>
  <c r="R2483" i="11"/>
  <c r="P2483" i="11"/>
  <c r="O2483" i="11"/>
  <c r="K2482" i="11"/>
  <c r="J2482" i="11"/>
  <c r="I2482" i="11"/>
  <c r="Y2482" i="11"/>
  <c r="Z2482" i="11"/>
  <c r="AC2482" i="11"/>
  <c r="W2482" i="11"/>
  <c r="L2482" i="11"/>
  <c r="M2482" i="11"/>
  <c r="N2482" i="11"/>
  <c r="O2482" i="11"/>
  <c r="P2482" i="11"/>
  <c r="R2482" i="11"/>
  <c r="S2482" i="11"/>
  <c r="T2482" i="11"/>
  <c r="U2482" i="11"/>
  <c r="V2482" i="11"/>
  <c r="AE2482" i="11"/>
  <c r="X2482" i="11"/>
  <c r="AE2481" i="11"/>
  <c r="AC2481" i="11"/>
  <c r="Z2481" i="11"/>
  <c r="I2481" i="11"/>
  <c r="J2481" i="11"/>
  <c r="K2481" i="11"/>
  <c r="L2481" i="11"/>
  <c r="M2481" i="11"/>
  <c r="N2481" i="11"/>
  <c r="O2481" i="11"/>
  <c r="P2481" i="11"/>
  <c r="Y2481" i="11"/>
  <c r="R2481" i="11"/>
  <c r="S2481" i="11"/>
  <c r="T2481" i="11"/>
  <c r="U2481" i="11"/>
  <c r="V2481" i="11"/>
  <c r="W2481" i="11"/>
  <c r="X2481" i="11"/>
  <c r="AE2480" i="11"/>
  <c r="AC2480" i="11"/>
  <c r="Z2480" i="11"/>
  <c r="Y2480" i="11"/>
  <c r="X2480" i="11"/>
  <c r="W2480" i="11"/>
  <c r="V2480" i="11"/>
  <c r="U2480" i="11"/>
  <c r="T2480" i="11"/>
  <c r="S2480" i="11"/>
  <c r="P2480" i="11"/>
  <c r="O2480" i="11"/>
  <c r="N2480" i="11"/>
  <c r="M2480" i="11"/>
  <c r="L2480" i="11"/>
  <c r="R2480" i="11"/>
  <c r="I2480" i="11"/>
  <c r="J2480" i="11"/>
  <c r="K2480" i="11"/>
  <c r="R2479" i="11"/>
  <c r="T2479" i="11"/>
  <c r="J2479" i="11"/>
  <c r="U2479" i="11"/>
  <c r="K2479" i="11"/>
  <c r="L2479" i="11"/>
  <c r="M2479" i="11"/>
  <c r="N2479" i="11"/>
  <c r="O2479" i="11"/>
  <c r="P2479" i="11"/>
  <c r="V2479" i="11"/>
  <c r="S2479" i="11"/>
  <c r="I2479" i="11"/>
  <c r="W2479" i="11"/>
  <c r="X2479" i="11"/>
  <c r="Y2479" i="11"/>
  <c r="Z2479" i="11"/>
  <c r="AC2479" i="11"/>
  <c r="AE2479" i="11"/>
  <c r="J2478" i="11"/>
  <c r="V2478" i="11"/>
  <c r="U2478" i="11"/>
  <c r="T2478" i="11"/>
  <c r="S2478" i="11"/>
  <c r="R2478" i="11"/>
  <c r="P2478" i="11"/>
  <c r="O2478" i="11"/>
  <c r="N2478" i="11"/>
  <c r="M2478" i="11"/>
  <c r="AE2478" i="11"/>
  <c r="I2478" i="11"/>
  <c r="L2478" i="11"/>
  <c r="AC2478" i="11"/>
  <c r="Z2478" i="11"/>
  <c r="Y2478" i="11"/>
  <c r="X2478" i="11"/>
  <c r="W2478" i="11"/>
  <c r="K2478" i="11"/>
  <c r="K2477" i="11"/>
  <c r="J2477" i="11"/>
  <c r="AE2477" i="11"/>
  <c r="AC2477" i="11"/>
  <c r="Z2477" i="11"/>
  <c r="Y2477" i="11"/>
  <c r="X2477" i="11"/>
  <c r="W2477" i="11"/>
  <c r="V2477" i="11"/>
  <c r="U2477" i="11"/>
  <c r="T2477" i="11"/>
  <c r="S2477" i="11"/>
  <c r="R2477" i="11"/>
  <c r="P2477" i="11"/>
  <c r="O2477" i="11"/>
  <c r="I2477" i="11"/>
  <c r="M2477" i="11"/>
  <c r="L2477" i="11"/>
  <c r="N2477" i="11"/>
  <c r="K2476" i="11"/>
  <c r="AE2476" i="11"/>
  <c r="J2476" i="11"/>
  <c r="L2476" i="11"/>
  <c r="M2476" i="11"/>
  <c r="N2476" i="11"/>
  <c r="O2476" i="11"/>
  <c r="P2476" i="11"/>
  <c r="R2476" i="11"/>
  <c r="I2476" i="11"/>
  <c r="T2476" i="11"/>
  <c r="U2476" i="11"/>
  <c r="V2476" i="11"/>
  <c r="W2476" i="11"/>
  <c r="X2476" i="11"/>
  <c r="Y2476" i="11"/>
  <c r="Z2476" i="11"/>
  <c r="AC2476" i="11"/>
  <c r="S2476" i="11"/>
  <c r="T2475" i="11"/>
  <c r="U2475" i="11"/>
  <c r="V2475" i="11"/>
  <c r="W2475" i="11"/>
  <c r="X2475" i="11"/>
  <c r="Y2475" i="11"/>
  <c r="Z2475" i="11"/>
  <c r="AC2475" i="11"/>
  <c r="AE2475" i="11"/>
  <c r="K2475" i="11"/>
  <c r="I2475" i="11"/>
  <c r="J2475" i="11"/>
  <c r="L2475" i="11"/>
  <c r="M2475" i="11"/>
  <c r="N2475" i="11"/>
  <c r="O2475" i="11"/>
  <c r="P2475" i="11"/>
  <c r="R2475" i="11"/>
  <c r="S2475" i="11"/>
  <c r="R2474" i="11"/>
  <c r="I2474" i="11"/>
  <c r="AE2474" i="11"/>
  <c r="O2474" i="11"/>
  <c r="N2474" i="11"/>
  <c r="M2474" i="11"/>
  <c r="L2474" i="11"/>
  <c r="K2474" i="11"/>
  <c r="J2474" i="11"/>
  <c r="P2474" i="11"/>
  <c r="S2474" i="11"/>
  <c r="T2474" i="11"/>
  <c r="U2474" i="11"/>
  <c r="V2474" i="11"/>
  <c r="W2474" i="11"/>
  <c r="X2474" i="11"/>
  <c r="Y2474" i="11"/>
  <c r="Z2474" i="11"/>
  <c r="AC2474" i="11"/>
  <c r="K2473" i="11"/>
  <c r="AC2473" i="11"/>
  <c r="Z2473" i="11"/>
  <c r="Y2473" i="11"/>
  <c r="J2473" i="11"/>
  <c r="W2473" i="11"/>
  <c r="V2473" i="11"/>
  <c r="I2473" i="11"/>
  <c r="U2473" i="11"/>
  <c r="M2473" i="11"/>
  <c r="L2473" i="11"/>
  <c r="T2473" i="11"/>
  <c r="S2473" i="11"/>
  <c r="R2473" i="11"/>
  <c r="P2473" i="11"/>
  <c r="X2473" i="11"/>
  <c r="O2473" i="11"/>
  <c r="N2473" i="11"/>
  <c r="AE2473" i="11"/>
  <c r="J2472" i="11"/>
  <c r="AE2472" i="11"/>
  <c r="AC2472" i="11"/>
  <c r="Z2472" i="11"/>
  <c r="Y2472" i="11"/>
  <c r="W2472" i="11"/>
  <c r="V2472" i="11"/>
  <c r="U2472" i="11"/>
  <c r="X2472" i="11"/>
  <c r="T2472" i="11"/>
  <c r="S2472" i="11"/>
  <c r="R2472" i="11"/>
  <c r="P2472" i="11"/>
  <c r="O2472" i="11"/>
  <c r="N2472" i="11"/>
  <c r="M2472" i="11"/>
  <c r="L2472" i="11"/>
  <c r="K2472" i="11"/>
  <c r="I2472" i="11"/>
  <c r="V2471" i="11"/>
  <c r="W2471" i="11"/>
  <c r="X2471" i="11"/>
  <c r="Y2471" i="11"/>
  <c r="Z2471" i="11"/>
  <c r="AC2471" i="11"/>
  <c r="AE2471" i="11"/>
  <c r="M2471" i="11"/>
  <c r="I2471" i="11"/>
  <c r="J2471" i="11"/>
  <c r="K2471" i="11"/>
  <c r="L2471" i="11"/>
  <c r="N2471" i="11"/>
  <c r="O2471" i="11"/>
  <c r="P2471" i="11"/>
  <c r="R2471" i="11"/>
  <c r="S2471" i="11"/>
  <c r="T2471" i="11"/>
  <c r="U2471" i="11"/>
  <c r="AE2470" i="11"/>
  <c r="AC2470" i="11"/>
  <c r="Z2470" i="11"/>
  <c r="Y2470" i="11"/>
  <c r="W2470" i="11"/>
  <c r="V2470" i="11"/>
  <c r="U2470" i="11"/>
  <c r="T2470" i="11"/>
  <c r="S2470" i="11"/>
  <c r="R2470" i="11"/>
  <c r="P2470" i="11"/>
  <c r="O2470" i="11"/>
  <c r="N2470" i="11"/>
  <c r="M2470" i="11"/>
  <c r="L2470" i="11"/>
  <c r="K2470" i="11"/>
  <c r="J2470" i="11"/>
  <c r="I2470" i="11"/>
  <c r="X2470" i="11"/>
  <c r="AE2469" i="11"/>
  <c r="AC2469" i="11"/>
  <c r="Z2469" i="11"/>
  <c r="Y2469" i="11"/>
  <c r="X2469" i="11"/>
  <c r="W2469" i="11"/>
  <c r="V2469" i="11"/>
  <c r="U2469" i="11"/>
  <c r="T2469" i="11"/>
  <c r="S2469" i="11"/>
  <c r="R2469" i="11"/>
  <c r="P2469" i="11"/>
  <c r="O2469" i="11"/>
  <c r="N2469" i="11"/>
  <c r="M2469" i="11"/>
  <c r="L2469" i="11"/>
  <c r="K2469" i="11"/>
  <c r="J2469" i="11"/>
  <c r="I2469" i="11"/>
  <c r="AE2468" i="11"/>
  <c r="AC2468" i="11"/>
  <c r="Z2468" i="11"/>
  <c r="Y2468" i="11"/>
  <c r="X2468" i="11"/>
  <c r="W2468" i="11"/>
  <c r="V2468" i="11"/>
  <c r="U2468" i="11"/>
  <c r="T2468" i="11"/>
  <c r="S2468" i="11"/>
  <c r="R2468" i="11"/>
  <c r="P2468" i="11"/>
  <c r="O2468" i="11"/>
  <c r="N2468" i="11"/>
  <c r="M2468" i="11"/>
  <c r="L2468" i="11"/>
  <c r="K2468" i="11"/>
  <c r="J2468" i="11"/>
  <c r="I2468" i="11"/>
  <c r="AE2467" i="11"/>
  <c r="AC2467" i="11"/>
  <c r="Z2467" i="11"/>
  <c r="Y2467" i="11"/>
  <c r="X2467" i="11"/>
  <c r="W2467" i="11"/>
  <c r="V2467" i="11"/>
  <c r="U2467" i="11"/>
  <c r="T2467" i="11"/>
  <c r="S2467" i="11"/>
  <c r="P2467" i="11"/>
  <c r="O2467" i="11"/>
  <c r="N2467" i="11"/>
  <c r="M2467" i="11"/>
  <c r="L2467" i="11"/>
  <c r="K2467" i="11"/>
  <c r="J2467" i="11"/>
  <c r="I2467" i="11"/>
  <c r="R2467" i="11"/>
  <c r="W2466" i="11"/>
  <c r="M2466" i="11"/>
  <c r="I2466" i="11"/>
  <c r="J2466" i="11"/>
  <c r="K2466" i="11"/>
  <c r="L2466" i="11"/>
  <c r="N2466" i="11"/>
  <c r="O2466" i="11"/>
  <c r="P2466" i="11"/>
  <c r="R2466" i="11"/>
  <c r="S2466" i="11"/>
  <c r="T2466" i="11"/>
  <c r="U2466" i="11"/>
  <c r="V2466" i="11"/>
  <c r="X2466" i="11"/>
  <c r="Y2466" i="11"/>
  <c r="Z2466" i="11"/>
  <c r="AC2466" i="11"/>
  <c r="AE2466" i="11"/>
  <c r="K2465" i="11"/>
  <c r="T2465" i="11"/>
  <c r="U2465" i="11"/>
  <c r="V2465" i="11"/>
  <c r="I2465" i="11"/>
  <c r="W2465" i="11"/>
  <c r="X2465" i="11"/>
  <c r="Y2465" i="11"/>
  <c r="AC2465" i="11"/>
  <c r="AE2465" i="11"/>
  <c r="S2465" i="11"/>
  <c r="R2465" i="11"/>
  <c r="J2465" i="11"/>
  <c r="P2465" i="11"/>
  <c r="Z2465" i="11"/>
  <c r="O2465" i="11"/>
  <c r="N2465" i="11"/>
  <c r="M2465" i="11"/>
  <c r="L2465" i="11"/>
  <c r="U2464" i="11"/>
  <c r="R2464" i="11"/>
  <c r="P2464" i="11"/>
  <c r="O2464" i="11"/>
  <c r="N2464" i="11"/>
  <c r="M2464" i="11"/>
  <c r="L2464" i="11"/>
  <c r="K2464" i="11"/>
  <c r="J2464" i="11"/>
  <c r="S2464" i="11"/>
  <c r="T2464" i="11"/>
  <c r="V2464" i="11"/>
  <c r="W2464" i="11"/>
  <c r="X2464" i="11"/>
  <c r="Y2464" i="11"/>
  <c r="Z2464" i="11"/>
  <c r="AC2464" i="11"/>
  <c r="AE2464" i="11"/>
  <c r="I2464" i="11"/>
  <c r="Y2463" i="11"/>
  <c r="AE2463" i="11"/>
  <c r="AC2463" i="11"/>
  <c r="Z2463" i="11"/>
  <c r="X2463" i="11"/>
  <c r="W2463" i="11"/>
  <c r="V2463" i="11"/>
  <c r="U2463" i="11"/>
  <c r="T2463" i="11"/>
  <c r="S2463" i="11"/>
  <c r="R2463" i="11"/>
  <c r="P2463" i="11"/>
  <c r="O2463" i="11"/>
  <c r="N2463" i="11"/>
  <c r="M2463" i="11"/>
  <c r="L2463" i="11"/>
  <c r="K2463" i="11"/>
  <c r="J2463" i="11"/>
  <c r="I2463" i="11"/>
  <c r="Y2462" i="11"/>
  <c r="P2462" i="11"/>
  <c r="O2462" i="11"/>
  <c r="N2462" i="11"/>
  <c r="M2462" i="11"/>
  <c r="L2462" i="11"/>
  <c r="K2462" i="11"/>
  <c r="R2462" i="11"/>
  <c r="J2462" i="11"/>
  <c r="U2462" i="11"/>
  <c r="I2462" i="11"/>
  <c r="V2462" i="11"/>
  <c r="W2462" i="11"/>
  <c r="X2462" i="11"/>
  <c r="T2462" i="11"/>
  <c r="Z2462" i="11"/>
  <c r="AC2462" i="11"/>
  <c r="AE2462" i="11"/>
  <c r="S2462" i="11"/>
  <c r="AE2461" i="11"/>
  <c r="Z2461" i="11"/>
  <c r="Y2461" i="11"/>
  <c r="N2461" i="11"/>
  <c r="X2461" i="11"/>
  <c r="W2461" i="11"/>
  <c r="V2461" i="11"/>
  <c r="U2461" i="11"/>
  <c r="T2461" i="11"/>
  <c r="S2461" i="11"/>
  <c r="R2461" i="11"/>
  <c r="P2461" i="11"/>
  <c r="O2461" i="11"/>
  <c r="AC2461" i="11"/>
  <c r="M2461" i="11"/>
  <c r="L2461" i="11"/>
  <c r="K2461" i="11"/>
  <c r="J2461" i="11"/>
  <c r="I2461" i="11"/>
  <c r="T2460" i="11"/>
  <c r="S2460" i="11"/>
  <c r="R2460" i="11"/>
  <c r="P2460" i="11"/>
  <c r="O2460" i="11"/>
  <c r="N2460" i="11"/>
  <c r="M2460" i="11"/>
  <c r="K2460" i="11"/>
  <c r="I2460" i="11"/>
  <c r="L2460" i="11"/>
  <c r="AE2460" i="11"/>
  <c r="AC2460" i="11"/>
  <c r="Z2460" i="11"/>
  <c r="Y2460" i="11"/>
  <c r="X2460" i="11"/>
  <c r="W2460" i="11"/>
  <c r="V2460" i="11"/>
  <c r="U2460" i="11"/>
  <c r="J2460" i="11"/>
  <c r="AE2459" i="11"/>
  <c r="AC2459" i="11"/>
  <c r="Z2459" i="11"/>
  <c r="Y2459" i="11"/>
  <c r="X2459" i="11"/>
  <c r="W2459" i="11"/>
  <c r="V2459" i="11"/>
  <c r="U2459" i="11"/>
  <c r="T2459" i="11"/>
  <c r="S2459" i="11"/>
  <c r="R2459" i="11"/>
  <c r="O2459" i="11"/>
  <c r="N2459" i="11"/>
  <c r="M2459" i="11"/>
  <c r="L2459" i="11"/>
  <c r="K2459" i="11"/>
  <c r="J2459" i="11"/>
  <c r="I2459" i="11"/>
  <c r="P2459" i="11"/>
  <c r="AE2458" i="11"/>
  <c r="AC2458" i="11"/>
  <c r="Z2458" i="11"/>
  <c r="Y2458" i="11"/>
  <c r="X2458" i="11"/>
  <c r="W2458" i="11"/>
  <c r="V2458" i="11"/>
  <c r="U2458" i="11"/>
  <c r="T2458" i="11"/>
  <c r="S2458" i="11"/>
  <c r="R2458" i="11"/>
  <c r="P2458" i="11"/>
  <c r="O2458" i="11"/>
  <c r="N2458" i="11"/>
  <c r="M2458" i="11"/>
  <c r="L2458" i="11"/>
  <c r="K2458" i="11"/>
  <c r="J2458" i="11"/>
  <c r="I2458" i="11"/>
  <c r="AE2457" i="11"/>
  <c r="AC2457" i="11"/>
  <c r="Z2457" i="11"/>
  <c r="Y2457" i="11"/>
  <c r="X2457" i="11"/>
  <c r="W2457" i="11"/>
  <c r="V2457" i="11"/>
  <c r="U2457" i="11"/>
  <c r="T2457" i="11"/>
  <c r="S2457" i="11"/>
  <c r="I2457" i="11"/>
  <c r="J2457" i="11"/>
  <c r="K2457" i="11"/>
  <c r="L2457" i="11"/>
  <c r="M2457" i="11"/>
  <c r="N2457" i="11"/>
  <c r="O2457" i="11"/>
  <c r="P2457" i="11"/>
  <c r="R2457" i="11"/>
  <c r="AE2456" i="11"/>
  <c r="T2456" i="11"/>
  <c r="U2456" i="11"/>
  <c r="V2456" i="11"/>
  <c r="W2456" i="11"/>
  <c r="X2456" i="11"/>
  <c r="Y2456" i="11"/>
  <c r="Z2456" i="11"/>
  <c r="AC2456" i="11"/>
  <c r="S2456" i="11"/>
  <c r="R2456" i="11"/>
  <c r="P2456" i="11"/>
  <c r="O2456" i="11"/>
  <c r="N2456" i="11"/>
  <c r="M2456" i="11"/>
  <c r="L2456" i="11"/>
  <c r="K2456" i="11"/>
  <c r="J2456" i="11"/>
  <c r="I2456" i="11"/>
  <c r="AE2455" i="11"/>
  <c r="AC2455" i="11"/>
  <c r="Z2455" i="11"/>
  <c r="Y2455" i="11"/>
  <c r="X2455" i="11"/>
  <c r="W2455" i="11"/>
  <c r="V2455" i="11"/>
  <c r="U2455" i="11"/>
  <c r="T2455" i="11"/>
  <c r="S2455" i="11"/>
  <c r="R2455" i="11"/>
  <c r="P2455" i="11"/>
  <c r="O2455" i="11"/>
  <c r="N2455" i="11"/>
  <c r="M2455" i="11"/>
  <c r="L2455" i="11"/>
  <c r="K2455" i="11"/>
  <c r="J2455" i="11"/>
  <c r="I2455" i="11"/>
  <c r="AE2454" i="11"/>
  <c r="AC2454" i="11"/>
  <c r="Z2454" i="11"/>
  <c r="Y2454" i="11"/>
  <c r="X2454" i="11"/>
  <c r="W2454" i="11"/>
  <c r="V2454" i="11"/>
  <c r="U2454" i="11"/>
  <c r="T2454" i="11"/>
  <c r="S2454" i="11"/>
  <c r="R2454" i="11"/>
  <c r="P2454" i="11"/>
  <c r="O2454" i="11"/>
  <c r="N2454" i="11"/>
  <c r="M2454" i="11"/>
  <c r="L2454" i="11"/>
  <c r="K2454" i="11"/>
  <c r="J2454" i="11"/>
  <c r="I2454" i="11"/>
  <c r="AE2453" i="11"/>
  <c r="AC2453" i="11"/>
  <c r="Z2453" i="11"/>
  <c r="Y2453" i="11"/>
  <c r="X2453" i="11"/>
  <c r="W2453" i="11"/>
  <c r="V2453" i="11"/>
  <c r="U2453" i="11"/>
  <c r="T2453" i="11"/>
  <c r="S2453" i="11"/>
  <c r="R2453" i="11"/>
  <c r="P2453" i="11"/>
  <c r="O2453" i="11"/>
  <c r="N2453" i="11"/>
  <c r="M2453" i="11"/>
  <c r="L2453" i="11"/>
  <c r="K2453" i="11"/>
  <c r="J2453" i="11"/>
  <c r="I2453" i="11"/>
  <c r="AE2452" i="11"/>
  <c r="AC2452" i="11"/>
  <c r="Z2452" i="11"/>
  <c r="Y2452" i="11"/>
  <c r="X2452" i="11"/>
  <c r="W2452" i="11"/>
  <c r="V2452" i="11"/>
  <c r="U2452" i="11"/>
  <c r="T2452" i="11"/>
  <c r="S2452" i="11"/>
  <c r="R2452" i="11"/>
  <c r="P2452" i="11"/>
  <c r="O2452" i="11"/>
  <c r="N2452" i="11"/>
  <c r="M2452" i="11"/>
  <c r="L2452" i="11"/>
  <c r="K2452" i="11"/>
  <c r="J2452" i="11"/>
  <c r="I2452" i="11"/>
  <c r="AE2451" i="11"/>
  <c r="AC2451" i="11"/>
  <c r="Z2451" i="11"/>
  <c r="Y2451" i="11"/>
  <c r="X2451" i="11"/>
  <c r="W2451" i="11"/>
  <c r="V2451" i="11"/>
  <c r="U2451" i="11"/>
  <c r="T2451" i="11"/>
  <c r="S2451" i="11"/>
  <c r="R2451" i="11"/>
  <c r="P2451" i="11"/>
  <c r="O2451" i="11"/>
  <c r="N2451" i="11"/>
  <c r="M2451" i="11"/>
  <c r="L2451" i="11"/>
  <c r="K2451" i="11"/>
  <c r="J2451" i="11"/>
  <c r="I2451" i="11"/>
  <c r="AE2450" i="11"/>
  <c r="AC2450" i="11"/>
  <c r="Z2450" i="11"/>
  <c r="Y2450" i="11"/>
  <c r="X2450" i="11"/>
  <c r="W2450" i="11"/>
  <c r="V2450" i="11"/>
  <c r="U2450" i="11"/>
  <c r="T2450" i="11"/>
  <c r="S2450" i="11"/>
  <c r="R2450" i="11"/>
  <c r="P2450" i="11"/>
  <c r="O2450" i="11"/>
  <c r="N2450" i="11"/>
  <c r="M2450" i="11"/>
  <c r="L2450" i="11"/>
  <c r="K2450" i="11"/>
  <c r="J2450" i="11"/>
  <c r="I2450" i="11"/>
  <c r="AE2449" i="11"/>
  <c r="AC2449" i="11"/>
  <c r="Z2449" i="11"/>
  <c r="Y2449" i="11"/>
  <c r="X2449" i="11"/>
  <c r="W2449" i="11"/>
  <c r="V2449" i="11"/>
  <c r="U2449" i="11"/>
  <c r="T2449" i="11"/>
  <c r="S2449" i="11"/>
  <c r="R2449" i="11"/>
  <c r="P2449" i="11"/>
  <c r="O2449" i="11"/>
  <c r="N2449" i="11"/>
  <c r="M2449" i="11"/>
  <c r="L2449" i="11"/>
  <c r="K2449" i="11"/>
  <c r="J2449" i="11"/>
  <c r="I2449" i="11"/>
  <c r="AE2448" i="11"/>
  <c r="AC2448" i="11"/>
  <c r="Z2448" i="11"/>
  <c r="Y2448" i="11"/>
  <c r="X2448" i="11"/>
  <c r="W2448" i="11"/>
  <c r="V2448" i="11"/>
  <c r="U2448" i="11"/>
  <c r="T2448" i="11"/>
  <c r="S2448" i="11"/>
  <c r="R2448" i="11"/>
  <c r="P2448" i="11"/>
  <c r="O2448" i="11"/>
  <c r="N2448" i="11"/>
  <c r="M2448" i="11"/>
  <c r="L2448" i="11"/>
  <c r="K2448" i="11"/>
  <c r="J2448" i="11"/>
  <c r="I2448" i="11"/>
  <c r="AE2447" i="11"/>
  <c r="AC2447" i="11"/>
  <c r="Z2447" i="11"/>
  <c r="Y2447" i="11"/>
  <c r="X2447" i="11"/>
  <c r="W2447" i="11"/>
  <c r="V2447" i="11"/>
  <c r="U2447" i="11"/>
  <c r="T2447" i="11"/>
  <c r="S2447" i="11"/>
  <c r="R2447" i="11"/>
  <c r="P2447" i="11"/>
  <c r="O2447" i="11"/>
  <c r="N2447" i="11"/>
  <c r="M2447" i="11"/>
  <c r="L2447" i="11"/>
  <c r="K2447" i="11"/>
  <c r="J2447" i="11"/>
  <c r="I2447" i="11"/>
  <c r="AE2446" i="11"/>
  <c r="AC2446" i="11"/>
  <c r="Z2446" i="11"/>
  <c r="Y2446" i="11"/>
  <c r="X2446" i="11"/>
  <c r="W2446" i="11"/>
  <c r="V2446" i="11"/>
  <c r="U2446" i="11"/>
  <c r="T2446" i="11"/>
  <c r="S2446" i="11"/>
  <c r="R2446" i="11"/>
  <c r="P2446" i="11"/>
  <c r="O2446" i="11"/>
  <c r="N2446" i="11"/>
  <c r="M2446" i="11"/>
  <c r="L2446" i="11"/>
  <c r="K2446" i="11"/>
  <c r="J2446" i="11"/>
  <c r="I2446" i="11"/>
  <c r="AE2445" i="11"/>
  <c r="AC2445" i="11"/>
  <c r="Z2445" i="11"/>
  <c r="Y2445" i="11"/>
  <c r="X2445" i="11"/>
  <c r="W2445" i="11"/>
  <c r="V2445" i="11"/>
  <c r="U2445" i="11"/>
  <c r="T2445" i="11"/>
  <c r="S2445" i="11"/>
  <c r="R2445" i="11"/>
  <c r="P2445" i="11"/>
  <c r="O2445" i="11"/>
  <c r="N2445" i="11"/>
  <c r="M2445" i="11"/>
  <c r="L2445" i="11"/>
  <c r="K2445" i="11"/>
  <c r="J2445" i="11"/>
  <c r="I2445" i="11"/>
  <c r="AE2444" i="11"/>
  <c r="AC2444" i="11"/>
  <c r="Z2444" i="11"/>
  <c r="Y2444" i="11"/>
  <c r="X2444" i="11"/>
  <c r="W2444" i="11"/>
  <c r="V2444" i="11"/>
  <c r="U2444" i="11"/>
  <c r="T2444" i="11"/>
  <c r="S2444" i="11"/>
  <c r="R2444" i="11"/>
  <c r="P2444" i="11"/>
  <c r="O2444" i="11"/>
  <c r="N2444" i="11"/>
  <c r="M2444" i="11"/>
  <c r="L2444" i="11"/>
  <c r="K2444" i="11"/>
  <c r="J2444" i="11"/>
  <c r="I2444" i="11"/>
  <c r="AE2443" i="11"/>
  <c r="AC2443" i="11"/>
  <c r="Z2443" i="11"/>
  <c r="Y2443" i="11"/>
  <c r="X2443" i="11"/>
  <c r="W2443" i="11"/>
  <c r="V2443" i="11"/>
  <c r="U2443" i="11"/>
  <c r="T2443" i="11"/>
  <c r="S2443" i="11"/>
  <c r="R2443" i="11"/>
  <c r="P2443" i="11"/>
  <c r="O2443" i="11"/>
  <c r="N2443" i="11"/>
  <c r="M2443" i="11"/>
  <c r="L2443" i="11"/>
  <c r="K2443" i="11"/>
  <c r="J2443" i="11"/>
  <c r="I2443" i="11"/>
  <c r="AE2442" i="11"/>
  <c r="AC2442" i="11"/>
  <c r="Z2442" i="11"/>
  <c r="Y2442" i="11"/>
  <c r="X2442" i="11"/>
  <c r="W2442" i="11"/>
  <c r="V2442" i="11"/>
  <c r="U2442" i="11"/>
  <c r="T2442" i="11"/>
  <c r="S2442" i="11"/>
  <c r="R2442" i="11"/>
  <c r="P2442" i="11"/>
  <c r="O2442" i="11"/>
  <c r="N2442" i="11"/>
  <c r="M2442" i="11"/>
  <c r="L2442" i="11"/>
  <c r="K2442" i="11"/>
  <c r="J2442" i="11"/>
  <c r="I2442" i="11"/>
  <c r="AE2441" i="11"/>
  <c r="AC2441" i="11"/>
  <c r="Z2441" i="11"/>
  <c r="Y2441" i="11"/>
  <c r="X2441" i="11"/>
  <c r="W2441" i="11"/>
  <c r="V2441" i="11"/>
  <c r="U2441" i="11"/>
  <c r="T2441" i="11"/>
  <c r="S2441" i="11"/>
  <c r="R2441" i="11"/>
  <c r="P2441" i="11"/>
  <c r="O2441" i="11"/>
  <c r="N2441" i="11"/>
  <c r="M2441" i="11"/>
  <c r="L2441" i="11"/>
  <c r="K2441" i="11"/>
  <c r="J2441" i="11"/>
  <c r="I2441" i="11"/>
  <c r="AE2440" i="11"/>
  <c r="AC2440" i="11"/>
  <c r="Z2440" i="11"/>
  <c r="Y2440" i="11"/>
  <c r="X2440" i="11"/>
  <c r="W2440" i="11"/>
  <c r="V2440" i="11"/>
  <c r="U2440" i="11"/>
  <c r="T2440" i="11"/>
  <c r="S2440" i="11"/>
  <c r="R2440" i="11"/>
  <c r="P2440" i="11"/>
  <c r="O2440" i="11"/>
  <c r="N2440" i="11"/>
  <c r="M2440" i="11"/>
  <c r="L2440" i="11"/>
  <c r="K2440" i="11"/>
  <c r="J2440" i="11"/>
  <c r="I2440" i="11"/>
  <c r="M2439" i="11"/>
  <c r="AE2439" i="11"/>
  <c r="AC2439" i="11"/>
  <c r="Z2439" i="11"/>
  <c r="Y2439" i="11"/>
  <c r="X2439" i="11"/>
  <c r="W2439" i="11"/>
  <c r="V2439" i="11"/>
  <c r="U2439" i="11"/>
  <c r="T2439" i="11"/>
  <c r="S2439" i="11"/>
  <c r="R2439" i="11"/>
  <c r="P2439" i="11"/>
  <c r="O2439" i="11"/>
  <c r="N2439" i="11"/>
  <c r="L2439" i="11"/>
  <c r="K2439" i="11"/>
  <c r="J2439" i="11"/>
  <c r="I2439" i="11"/>
  <c r="S2438" i="11"/>
  <c r="U2438" i="11"/>
  <c r="V2438" i="11"/>
  <c r="W2438" i="11"/>
  <c r="X2438" i="11"/>
  <c r="Y2438" i="11"/>
  <c r="Z2438" i="11"/>
  <c r="AC2438" i="11"/>
  <c r="AE2438" i="11"/>
  <c r="J2438" i="11"/>
  <c r="T2438" i="11"/>
  <c r="I2438" i="11"/>
  <c r="R2438" i="11"/>
  <c r="P2438" i="11"/>
  <c r="O2438" i="11"/>
  <c r="N2438" i="11"/>
  <c r="M2438" i="11"/>
  <c r="L2438" i="11"/>
  <c r="K2438" i="11"/>
  <c r="J2437" i="11"/>
  <c r="X2437" i="11"/>
  <c r="AE2437" i="11"/>
  <c r="AC2437" i="11"/>
  <c r="Z2437" i="11"/>
  <c r="Y2437" i="11"/>
  <c r="I2437" i="11"/>
  <c r="W2437" i="11"/>
  <c r="V2437" i="11"/>
  <c r="U2437" i="11"/>
  <c r="T2437" i="11"/>
  <c r="S2437" i="11"/>
  <c r="R2437" i="11"/>
  <c r="P2437" i="11"/>
  <c r="O2437" i="11"/>
  <c r="N2437" i="11"/>
  <c r="M2437" i="11"/>
  <c r="L2437" i="11"/>
  <c r="K2437" i="11"/>
  <c r="I2436" i="11"/>
  <c r="P2436" i="11"/>
  <c r="AE2436" i="11"/>
  <c r="AC2436" i="11"/>
  <c r="Z2436" i="11"/>
  <c r="Y2436" i="11"/>
  <c r="X2436" i="11"/>
  <c r="W2436" i="11"/>
  <c r="V2436" i="11"/>
  <c r="U2436" i="11"/>
  <c r="T2436" i="11"/>
  <c r="S2436" i="11"/>
  <c r="R2436" i="11"/>
  <c r="O2436" i="11"/>
  <c r="N2436" i="11"/>
  <c r="M2436" i="11"/>
  <c r="L2436" i="11"/>
  <c r="K2436" i="11"/>
  <c r="J2436" i="11"/>
  <c r="K2435" i="11"/>
  <c r="M2435" i="11"/>
  <c r="L2435" i="11"/>
  <c r="AE2435" i="11"/>
  <c r="AC2435" i="11"/>
  <c r="Z2435" i="11"/>
  <c r="Y2435" i="11"/>
  <c r="X2435" i="11"/>
  <c r="W2435" i="11"/>
  <c r="V2435" i="11"/>
  <c r="U2435" i="11"/>
  <c r="T2435" i="11"/>
  <c r="S2435" i="11"/>
  <c r="R2435" i="11"/>
  <c r="P2435" i="11"/>
  <c r="O2435" i="11"/>
  <c r="N2435" i="11"/>
  <c r="J2435" i="11"/>
  <c r="I2435" i="11"/>
  <c r="K2434" i="11"/>
  <c r="I2434" i="11"/>
  <c r="J2434" i="11"/>
  <c r="AE2434" i="11"/>
  <c r="AC2434" i="11"/>
  <c r="Z2434" i="11"/>
  <c r="Y2434" i="11"/>
  <c r="X2434" i="11"/>
  <c r="W2434" i="11"/>
  <c r="V2434" i="11"/>
  <c r="U2434" i="11"/>
  <c r="T2434" i="11"/>
  <c r="S2434" i="11"/>
  <c r="R2434" i="11"/>
  <c r="P2434" i="11"/>
  <c r="O2434" i="11"/>
  <c r="N2434" i="11"/>
  <c r="M2434" i="11"/>
  <c r="L2434" i="11"/>
  <c r="L2433" i="11"/>
  <c r="K2433" i="11"/>
  <c r="J2433" i="11"/>
  <c r="I2433" i="11"/>
  <c r="AE2433" i="11"/>
  <c r="AC2433" i="11"/>
  <c r="Z2433" i="11"/>
  <c r="Y2433" i="11"/>
  <c r="X2433" i="11"/>
  <c r="W2433" i="11"/>
  <c r="V2433" i="11"/>
  <c r="U2433" i="11"/>
  <c r="T2433" i="11"/>
  <c r="S2433" i="11"/>
  <c r="R2433" i="11"/>
  <c r="P2433" i="11"/>
  <c r="O2433" i="11"/>
  <c r="N2433" i="11"/>
  <c r="M2433" i="11"/>
  <c r="T2432" i="11"/>
  <c r="K2432" i="11"/>
  <c r="J2432" i="11"/>
  <c r="I2432" i="11"/>
  <c r="AE2432" i="11"/>
  <c r="AC2432" i="11"/>
  <c r="Z2432" i="11"/>
  <c r="Y2432" i="11"/>
  <c r="X2432" i="11"/>
  <c r="W2432" i="11"/>
  <c r="V2432" i="11"/>
  <c r="U2432" i="11"/>
  <c r="S2432" i="11"/>
  <c r="R2432" i="11"/>
  <c r="P2432" i="11"/>
  <c r="O2432" i="11"/>
  <c r="N2432" i="11"/>
  <c r="M2432" i="11"/>
  <c r="L2432" i="11"/>
  <c r="K2431" i="11"/>
  <c r="J2431" i="11"/>
  <c r="I2431" i="11"/>
  <c r="AE2431" i="11"/>
  <c r="AC2431" i="11"/>
  <c r="Z2431" i="11"/>
  <c r="Y2431" i="11"/>
  <c r="X2431" i="11"/>
  <c r="W2431" i="11"/>
  <c r="V2431" i="11"/>
  <c r="U2431" i="11"/>
  <c r="T2431" i="11"/>
  <c r="S2431" i="11"/>
  <c r="R2431" i="11"/>
  <c r="P2431" i="11"/>
  <c r="O2431" i="11"/>
  <c r="N2431" i="11"/>
  <c r="M2431" i="11"/>
  <c r="L2431" i="11"/>
  <c r="K2430" i="11"/>
  <c r="J2430" i="11"/>
  <c r="I2430" i="11"/>
  <c r="AE2430" i="11"/>
  <c r="AC2430" i="11"/>
  <c r="Z2430" i="11"/>
  <c r="Y2430" i="11"/>
  <c r="X2430" i="11"/>
  <c r="W2430" i="11"/>
  <c r="V2430" i="11"/>
  <c r="U2430" i="11"/>
  <c r="T2430" i="11"/>
  <c r="S2430" i="11"/>
  <c r="R2430" i="11"/>
  <c r="P2430" i="11"/>
  <c r="O2430" i="11"/>
  <c r="N2430" i="11"/>
  <c r="M2430" i="11"/>
  <c r="L2430" i="11"/>
  <c r="T2429" i="11"/>
  <c r="X2429" i="11"/>
  <c r="V2429" i="11"/>
  <c r="W2429" i="11"/>
  <c r="Y2429" i="11"/>
  <c r="Z2429" i="11"/>
  <c r="AC2429" i="11"/>
  <c r="AE2429" i="11"/>
  <c r="U2429" i="11"/>
  <c r="S2429" i="11"/>
  <c r="I2429" i="11"/>
  <c r="J2429" i="11"/>
  <c r="K2429" i="11"/>
  <c r="L2429" i="11"/>
  <c r="M2429" i="11"/>
  <c r="N2429" i="11"/>
  <c r="O2429" i="11"/>
  <c r="P2429" i="11"/>
  <c r="R2429" i="11"/>
  <c r="T2428" i="11"/>
  <c r="U2428" i="11"/>
  <c r="V2428" i="11"/>
  <c r="W2428" i="11"/>
  <c r="X2428" i="11"/>
  <c r="Y2428" i="11"/>
  <c r="Z2428" i="11"/>
  <c r="AC2428" i="11"/>
  <c r="AE2428" i="11"/>
  <c r="I2428" i="11"/>
  <c r="J2428" i="11"/>
  <c r="L2428" i="11"/>
  <c r="M2428" i="11"/>
  <c r="N2428" i="11"/>
  <c r="O2428" i="11"/>
  <c r="P2428" i="11"/>
  <c r="R2428" i="11"/>
  <c r="S2428" i="11"/>
  <c r="K2428" i="11"/>
  <c r="J2427" i="11"/>
  <c r="I2427" i="11"/>
  <c r="V2427" i="11"/>
  <c r="W2427" i="11"/>
  <c r="X2427" i="11"/>
  <c r="Y2427" i="11"/>
  <c r="Z2427" i="11"/>
  <c r="AC2427" i="11"/>
  <c r="AE2427" i="11"/>
  <c r="S2427" i="11"/>
  <c r="U2427" i="11"/>
  <c r="T2427" i="11"/>
  <c r="R2427" i="11"/>
  <c r="P2427" i="11"/>
  <c r="O2427" i="11"/>
  <c r="N2427" i="11"/>
  <c r="M2427" i="11"/>
  <c r="L2427" i="11"/>
  <c r="K2427" i="11"/>
  <c r="X2426" i="11"/>
  <c r="AE2426" i="11"/>
  <c r="Y2426" i="11"/>
  <c r="Z2426" i="11"/>
  <c r="V2426" i="11"/>
  <c r="AC2426" i="11"/>
  <c r="W2426" i="11"/>
  <c r="R2426" i="11"/>
  <c r="I2426" i="11"/>
  <c r="J2426" i="11"/>
  <c r="K2426" i="11"/>
  <c r="L2426" i="11"/>
  <c r="M2426" i="11"/>
  <c r="N2426" i="11"/>
  <c r="O2426" i="11"/>
  <c r="P2426" i="11"/>
  <c r="S2426" i="11"/>
  <c r="T2426" i="11"/>
  <c r="U2426" i="11"/>
  <c r="T2425" i="11"/>
  <c r="U2425" i="11"/>
  <c r="V2425" i="11"/>
  <c r="W2425" i="11"/>
  <c r="X2425" i="11"/>
  <c r="J2425" i="11"/>
  <c r="AC2425" i="11"/>
  <c r="S2425" i="11"/>
  <c r="AE2425" i="11"/>
  <c r="R2425" i="11"/>
  <c r="P2425" i="11"/>
  <c r="Z2425" i="11"/>
  <c r="K2425" i="11"/>
  <c r="O2425" i="11"/>
  <c r="N2425" i="11"/>
  <c r="Y2425" i="11"/>
  <c r="M2425" i="11"/>
  <c r="L2425" i="11"/>
  <c r="I2425" i="11"/>
  <c r="O2424" i="11"/>
  <c r="T2424" i="11"/>
  <c r="R2424" i="11"/>
  <c r="U2424" i="11"/>
  <c r="P2424" i="11"/>
  <c r="N2424" i="11"/>
  <c r="M2424" i="11"/>
  <c r="J2424" i="11"/>
  <c r="I2424" i="11"/>
  <c r="S2424" i="11"/>
  <c r="L2424" i="11"/>
  <c r="K2424" i="11"/>
  <c r="AE2424" i="11"/>
  <c r="AC2424" i="11"/>
  <c r="Z2424" i="11"/>
  <c r="Y2424" i="11"/>
  <c r="X2424" i="11"/>
  <c r="W2424" i="11"/>
  <c r="V2424" i="11"/>
  <c r="T2423" i="11"/>
  <c r="S2423" i="11"/>
  <c r="P2423" i="11"/>
  <c r="O2423" i="11"/>
  <c r="N2423" i="11"/>
  <c r="M2423" i="11"/>
  <c r="L2423" i="11"/>
  <c r="K2423" i="11"/>
  <c r="J2423" i="11"/>
  <c r="I2423" i="11"/>
  <c r="AE2423" i="11"/>
  <c r="R2423" i="11"/>
  <c r="AC2423" i="11"/>
  <c r="Z2423" i="11"/>
  <c r="Y2423" i="11"/>
  <c r="X2423" i="11"/>
  <c r="W2423" i="11"/>
  <c r="V2423" i="11"/>
  <c r="U2423" i="11"/>
  <c r="U2422" i="11"/>
  <c r="K2422" i="11"/>
  <c r="V2422" i="11"/>
  <c r="X2422" i="11"/>
  <c r="Y2422" i="11"/>
  <c r="Z2422" i="11"/>
  <c r="AC2422" i="11"/>
  <c r="W2422" i="11"/>
  <c r="AE2422" i="11"/>
  <c r="I2422" i="11"/>
  <c r="J2422" i="11"/>
  <c r="L2422" i="11"/>
  <c r="M2422" i="11"/>
  <c r="N2422" i="11"/>
  <c r="O2422" i="11"/>
  <c r="P2422" i="11"/>
  <c r="R2422" i="11"/>
  <c r="S2422" i="11"/>
  <c r="T2422" i="11"/>
  <c r="T2421" i="11"/>
  <c r="S2421" i="11"/>
  <c r="R2421" i="11"/>
  <c r="P2421" i="11"/>
  <c r="O2421" i="11"/>
  <c r="N2421" i="11"/>
  <c r="M2421" i="11"/>
  <c r="K2421" i="11"/>
  <c r="J2421" i="11"/>
  <c r="I2421" i="11"/>
  <c r="L2421" i="11"/>
  <c r="AE2421" i="11"/>
  <c r="AC2421" i="11"/>
  <c r="Z2421" i="11"/>
  <c r="Y2421" i="11"/>
  <c r="X2421" i="11"/>
  <c r="W2421" i="11"/>
  <c r="V2421" i="11"/>
  <c r="U2421" i="11"/>
  <c r="S2420" i="11"/>
  <c r="R2420" i="11"/>
  <c r="P2420" i="11"/>
  <c r="U2420" i="11"/>
  <c r="O2420" i="11"/>
  <c r="N2420" i="11"/>
  <c r="M2420" i="11"/>
  <c r="L2420" i="11"/>
  <c r="K2420" i="11"/>
  <c r="J2420" i="11"/>
  <c r="AE2420" i="11"/>
  <c r="AC2420" i="11"/>
  <c r="Z2420" i="11"/>
  <c r="Y2420" i="11"/>
  <c r="X2420" i="11"/>
  <c r="W2420" i="11"/>
  <c r="V2420" i="11"/>
  <c r="T2420" i="11"/>
  <c r="I2420" i="11"/>
  <c r="T2419" i="11"/>
  <c r="U2419" i="11"/>
  <c r="W2419" i="11"/>
  <c r="X2419" i="11"/>
  <c r="Y2419" i="11"/>
  <c r="Z2419" i="11"/>
  <c r="AC2419" i="11"/>
  <c r="AE2419" i="11"/>
  <c r="I2419" i="11"/>
  <c r="V2419" i="11"/>
  <c r="J2419" i="11"/>
  <c r="K2419" i="11"/>
  <c r="L2419" i="11"/>
  <c r="M2419" i="11"/>
  <c r="N2419" i="11"/>
  <c r="O2419" i="11"/>
  <c r="P2419" i="11"/>
  <c r="R2419" i="11"/>
  <c r="S2419" i="11"/>
  <c r="R2418" i="11"/>
  <c r="O2418" i="11"/>
  <c r="S2418" i="11"/>
  <c r="AE2418" i="11"/>
  <c r="P2418" i="11"/>
  <c r="N2418" i="11"/>
  <c r="M2418" i="11"/>
  <c r="W2418" i="11"/>
  <c r="L2418" i="11"/>
  <c r="K2418" i="11"/>
  <c r="J2418" i="11"/>
  <c r="I2418" i="11"/>
  <c r="T2418" i="11"/>
  <c r="AC2418" i="11"/>
  <c r="Z2418" i="11"/>
  <c r="Y2418" i="11"/>
  <c r="X2418" i="11"/>
  <c r="V2418" i="11"/>
  <c r="U2418" i="11"/>
  <c r="AE2417" i="11"/>
  <c r="AC2417" i="11"/>
  <c r="Z2417" i="11"/>
  <c r="Y2417" i="11"/>
  <c r="X2417" i="11"/>
  <c r="W2417" i="11"/>
  <c r="U2417" i="11"/>
  <c r="T2417" i="11"/>
  <c r="S2417" i="11"/>
  <c r="R2417" i="11"/>
  <c r="O2417" i="11"/>
  <c r="N2417" i="11"/>
  <c r="M2417" i="11"/>
  <c r="L2417" i="11"/>
  <c r="K2417" i="11"/>
  <c r="J2417" i="11"/>
  <c r="I2417" i="11"/>
  <c r="V2417" i="11"/>
  <c r="P2417" i="11"/>
  <c r="AC2416" i="11"/>
  <c r="Z2416" i="11"/>
  <c r="X2416" i="11"/>
  <c r="W2416" i="11"/>
  <c r="V2416" i="11"/>
  <c r="U2416" i="11"/>
  <c r="T2416" i="11"/>
  <c r="J2416" i="11"/>
  <c r="R2416" i="11"/>
  <c r="S2416" i="11"/>
  <c r="I2416" i="11"/>
  <c r="K2416" i="11"/>
  <c r="AE2416" i="11"/>
  <c r="L2416" i="11"/>
  <c r="M2416" i="11"/>
  <c r="N2416" i="11"/>
  <c r="Y2416" i="11"/>
  <c r="P2416" i="11"/>
  <c r="O2416" i="11"/>
  <c r="T2415" i="11"/>
  <c r="U2415" i="11"/>
  <c r="V2415" i="11"/>
  <c r="W2415" i="11"/>
  <c r="X2415" i="11"/>
  <c r="Y2415" i="11"/>
  <c r="Z2415" i="11"/>
  <c r="AC2415" i="11"/>
  <c r="AE2415" i="11"/>
  <c r="S2415" i="11"/>
  <c r="I2415" i="11"/>
  <c r="J2415" i="11"/>
  <c r="K2415" i="11"/>
  <c r="L2415" i="11"/>
  <c r="M2415" i="11"/>
  <c r="N2415" i="11"/>
  <c r="O2415" i="11"/>
  <c r="P2415" i="11"/>
  <c r="R2415" i="11"/>
  <c r="K2414" i="11"/>
  <c r="AC2414" i="11"/>
  <c r="I2414" i="11"/>
  <c r="J2414" i="11"/>
  <c r="AE2414" i="11"/>
  <c r="L2414" i="11"/>
  <c r="M2414" i="11"/>
  <c r="N2414" i="11"/>
  <c r="O2414" i="11"/>
  <c r="P2414" i="11"/>
  <c r="R2414" i="11"/>
  <c r="S2414" i="11"/>
  <c r="T2414" i="11"/>
  <c r="U2414" i="11"/>
  <c r="V2414" i="11"/>
  <c r="W2414" i="11"/>
  <c r="X2414" i="11"/>
  <c r="Y2414" i="11"/>
  <c r="Z2414" i="11"/>
  <c r="I2413" i="11"/>
  <c r="J2413" i="11"/>
  <c r="K2413" i="11"/>
  <c r="L2413" i="11"/>
  <c r="M2413" i="11"/>
  <c r="N2413" i="11"/>
  <c r="O2413" i="11"/>
  <c r="P2413" i="11"/>
  <c r="R2413" i="11"/>
  <c r="S2413" i="11"/>
  <c r="T2413" i="11"/>
  <c r="U2413" i="11"/>
  <c r="V2413" i="11"/>
  <c r="W2413" i="11"/>
  <c r="X2413" i="11"/>
  <c r="Y2413" i="11"/>
  <c r="Z2413" i="11"/>
  <c r="AC2413" i="11"/>
  <c r="AE2413" i="11"/>
  <c r="AE2412" i="11"/>
  <c r="P2412" i="11"/>
  <c r="O2412" i="11"/>
  <c r="N2412" i="11"/>
  <c r="M2412" i="11"/>
  <c r="L2412" i="11"/>
  <c r="K2412" i="11"/>
  <c r="J2412" i="11"/>
  <c r="I2412" i="11"/>
  <c r="R2412" i="11"/>
  <c r="AC2412" i="11"/>
  <c r="Z2412" i="11"/>
  <c r="Y2412" i="11"/>
  <c r="X2412" i="11"/>
  <c r="W2412" i="11"/>
  <c r="V2412" i="11"/>
  <c r="U2412" i="11"/>
  <c r="T2412" i="11"/>
  <c r="S2412" i="11"/>
  <c r="T2411" i="11"/>
  <c r="U2411" i="11"/>
  <c r="AE2411" i="11"/>
  <c r="AC2411" i="11"/>
  <c r="Z2411" i="11"/>
  <c r="Y2411" i="11"/>
  <c r="X2411" i="11"/>
  <c r="W2411" i="11"/>
  <c r="V2411" i="11"/>
  <c r="S2411" i="11"/>
  <c r="R2411" i="11"/>
  <c r="P2411" i="11"/>
  <c r="O2411" i="11"/>
  <c r="N2411" i="11"/>
  <c r="M2411" i="11"/>
  <c r="L2411" i="11"/>
  <c r="K2411" i="11"/>
  <c r="J2411" i="11"/>
  <c r="I2411" i="11"/>
  <c r="T2410" i="11"/>
  <c r="Y2410" i="11"/>
  <c r="S2410" i="11"/>
  <c r="R2410" i="11"/>
  <c r="P2410" i="11"/>
  <c r="O2410" i="11"/>
  <c r="N2410" i="11"/>
  <c r="M2410" i="11"/>
  <c r="K2410" i="11"/>
  <c r="I2410" i="11"/>
  <c r="J2410" i="11"/>
  <c r="AE2410" i="11"/>
  <c r="AC2410" i="11"/>
  <c r="L2410" i="11"/>
  <c r="Z2410" i="11"/>
  <c r="X2410" i="11"/>
  <c r="W2410" i="11"/>
  <c r="V2410" i="11"/>
  <c r="U2410" i="11"/>
  <c r="R2409" i="11"/>
  <c r="S2409" i="11"/>
  <c r="T2409" i="11"/>
  <c r="U2409" i="11"/>
  <c r="V2409" i="11"/>
  <c r="O2409" i="11"/>
  <c r="W2409" i="11"/>
  <c r="X2409" i="11"/>
  <c r="Y2409" i="11"/>
  <c r="Z2409" i="11"/>
  <c r="N2409" i="11"/>
  <c r="M2409" i="11"/>
  <c r="L2409" i="11"/>
  <c r="K2409" i="11"/>
  <c r="J2409" i="11"/>
  <c r="I2409" i="11"/>
  <c r="P2409" i="11"/>
  <c r="AE2409" i="11"/>
  <c r="AC2409" i="11"/>
  <c r="P2408" i="11"/>
  <c r="AC2408" i="11"/>
  <c r="Z2408" i="11"/>
  <c r="Y2408" i="11"/>
  <c r="X2408" i="11"/>
  <c r="W2408" i="11"/>
  <c r="V2408" i="11"/>
  <c r="U2408" i="11"/>
  <c r="T2408" i="11"/>
  <c r="S2408" i="11"/>
  <c r="R2408" i="11"/>
  <c r="AE2408" i="11"/>
  <c r="O2408" i="11"/>
  <c r="N2408" i="11"/>
  <c r="M2408" i="11"/>
  <c r="L2408" i="11"/>
  <c r="K2408" i="11"/>
  <c r="J2408" i="11"/>
  <c r="I2408" i="11"/>
  <c r="V2407" i="11"/>
  <c r="AC2407" i="11"/>
  <c r="Z2407" i="11"/>
  <c r="Y2407" i="11"/>
  <c r="X2407" i="11"/>
  <c r="W2407" i="11"/>
  <c r="I2407" i="11"/>
  <c r="U2407" i="11"/>
  <c r="T2407" i="11"/>
  <c r="S2407" i="11"/>
  <c r="R2407" i="11"/>
  <c r="P2407" i="11"/>
  <c r="O2407" i="11"/>
  <c r="N2407" i="11"/>
  <c r="M2407" i="11"/>
  <c r="L2407" i="11"/>
  <c r="K2407" i="11"/>
  <c r="J2407" i="11"/>
  <c r="AE2407" i="11"/>
  <c r="AE2406" i="11"/>
  <c r="AC2406" i="11"/>
  <c r="Z2406" i="11"/>
  <c r="Y2406" i="11"/>
  <c r="X2406" i="11"/>
  <c r="W2406" i="11"/>
  <c r="V2406" i="11"/>
  <c r="U2406" i="11"/>
  <c r="T2406" i="11"/>
  <c r="S2406" i="11"/>
  <c r="R2406" i="11"/>
  <c r="P2406" i="11"/>
  <c r="O2406" i="11"/>
  <c r="N2406" i="11"/>
  <c r="M2406" i="11"/>
  <c r="L2406" i="11"/>
  <c r="K2406" i="11"/>
  <c r="J2406" i="11"/>
  <c r="I2406" i="11"/>
  <c r="S2405" i="11"/>
  <c r="AC2405" i="11"/>
  <c r="Z2405" i="11"/>
  <c r="Y2405" i="11"/>
  <c r="X2405" i="11"/>
  <c r="W2405" i="11"/>
  <c r="V2405" i="11"/>
  <c r="U2405" i="11"/>
  <c r="T2405" i="11"/>
  <c r="AE2405" i="11"/>
  <c r="R2405" i="11"/>
  <c r="P2405" i="11"/>
  <c r="O2405" i="11"/>
  <c r="N2405" i="11"/>
  <c r="M2405" i="11"/>
  <c r="L2405" i="11"/>
  <c r="K2405" i="11"/>
  <c r="J2405" i="11"/>
  <c r="I2405" i="11"/>
  <c r="K2404" i="11"/>
  <c r="J2404" i="11"/>
  <c r="I2404" i="11"/>
  <c r="M2404" i="11"/>
  <c r="R2404" i="11"/>
  <c r="P2404" i="11"/>
  <c r="O2404" i="11"/>
  <c r="N2404" i="11"/>
  <c r="L2404" i="11"/>
  <c r="AE2404" i="11"/>
  <c r="AC2404" i="11"/>
  <c r="Z2404" i="11"/>
  <c r="Y2404" i="11"/>
  <c r="X2404" i="11"/>
  <c r="W2404" i="11"/>
  <c r="V2404" i="11"/>
  <c r="U2404" i="11"/>
  <c r="T2404" i="11"/>
  <c r="S2404" i="11"/>
  <c r="J2403" i="11"/>
  <c r="I2403" i="11"/>
  <c r="W2403" i="11"/>
  <c r="X2403" i="11"/>
  <c r="Y2403" i="11"/>
  <c r="Z2403" i="11"/>
  <c r="AC2403" i="11"/>
  <c r="AE2403" i="11"/>
  <c r="O2403" i="11"/>
  <c r="U2403" i="11"/>
  <c r="N2403" i="11"/>
  <c r="P2403" i="11"/>
  <c r="M2403" i="11"/>
  <c r="L2403" i="11"/>
  <c r="K2403" i="11"/>
  <c r="R2403" i="11"/>
  <c r="S2403" i="11"/>
  <c r="T2403" i="11"/>
  <c r="V2403" i="11"/>
  <c r="AE2402" i="11"/>
  <c r="AC2402" i="11"/>
  <c r="Z2402" i="11"/>
  <c r="Y2402" i="11"/>
  <c r="X2402" i="11"/>
  <c r="W2402" i="11"/>
  <c r="V2402" i="11"/>
  <c r="L2402" i="11"/>
  <c r="K2402" i="11"/>
  <c r="U2402" i="11"/>
  <c r="T2402" i="11"/>
  <c r="J2402" i="11"/>
  <c r="S2402" i="11"/>
  <c r="R2402" i="11"/>
  <c r="I2402" i="11"/>
  <c r="P2402" i="11"/>
  <c r="O2402" i="11"/>
  <c r="N2402" i="11"/>
  <c r="M2402" i="11"/>
  <c r="I2401" i="11"/>
  <c r="L2401" i="11"/>
  <c r="R2401" i="11"/>
  <c r="K2401" i="11"/>
  <c r="AC2401" i="11"/>
  <c r="Z2401" i="11"/>
  <c r="Y2401" i="11"/>
  <c r="X2401" i="11"/>
  <c r="W2401" i="11"/>
  <c r="V2401" i="11"/>
  <c r="U2401" i="11"/>
  <c r="T2401" i="11"/>
  <c r="S2401" i="11"/>
  <c r="AE2401" i="11"/>
  <c r="P2401" i="11"/>
  <c r="O2401" i="11"/>
  <c r="N2401" i="11"/>
  <c r="J2401" i="11"/>
  <c r="M2401" i="11"/>
  <c r="AE2400" i="11"/>
  <c r="O2400" i="11"/>
  <c r="M2400" i="11"/>
  <c r="P2400" i="11"/>
  <c r="L2400" i="11"/>
  <c r="K2400" i="11"/>
  <c r="J2400" i="11"/>
  <c r="I2400" i="11"/>
  <c r="N2400" i="11"/>
  <c r="R2400" i="11"/>
  <c r="Z2400" i="11"/>
  <c r="S2400" i="11"/>
  <c r="T2400" i="11"/>
  <c r="U2400" i="11"/>
  <c r="V2400" i="11"/>
  <c r="W2400" i="11"/>
  <c r="X2400" i="11"/>
  <c r="Y2400" i="11"/>
  <c r="AC2400" i="11"/>
  <c r="S2399" i="11"/>
  <c r="R2399" i="11"/>
  <c r="X2399" i="11"/>
  <c r="W2399" i="11"/>
  <c r="V2399" i="11"/>
  <c r="U2399" i="11"/>
  <c r="Y2399" i="11"/>
  <c r="Z2399" i="11"/>
  <c r="AC2399" i="11"/>
  <c r="AE2399" i="11"/>
  <c r="K2399" i="11"/>
  <c r="T2399" i="11"/>
  <c r="N2399" i="11"/>
  <c r="I2399" i="11"/>
  <c r="J2399" i="11"/>
  <c r="L2399" i="11"/>
  <c r="M2399" i="11"/>
  <c r="O2399" i="11"/>
  <c r="P2399" i="11"/>
  <c r="I2398" i="11"/>
  <c r="J2398" i="11"/>
  <c r="K2398" i="11"/>
  <c r="L2398" i="11"/>
  <c r="M2398" i="11"/>
  <c r="N2398" i="11"/>
  <c r="O2398" i="11"/>
  <c r="P2398" i="11"/>
  <c r="Y2398" i="11"/>
  <c r="Z2398" i="11"/>
  <c r="AC2398" i="11"/>
  <c r="AE2398" i="11"/>
  <c r="T2398" i="11"/>
  <c r="U2398" i="11"/>
  <c r="V2398" i="11"/>
  <c r="W2398" i="11"/>
  <c r="X2398" i="11"/>
  <c r="S2398" i="11"/>
  <c r="R2398" i="11"/>
  <c r="U2397" i="11"/>
  <c r="T2397" i="11"/>
  <c r="S2397" i="11"/>
  <c r="R2397" i="11"/>
  <c r="P2397" i="11"/>
  <c r="O2397" i="11"/>
  <c r="N2397" i="11"/>
  <c r="M2397" i="11"/>
  <c r="L2397" i="11"/>
  <c r="K2397" i="11"/>
  <c r="J2397" i="11"/>
  <c r="I2397" i="11"/>
  <c r="AE2397" i="11"/>
  <c r="AC2397" i="11"/>
  <c r="Z2397" i="11"/>
  <c r="Y2397" i="11"/>
  <c r="X2397" i="11"/>
  <c r="W2397" i="11"/>
  <c r="V2397" i="11"/>
  <c r="K2396" i="11"/>
  <c r="M2396" i="11"/>
  <c r="L2396" i="11"/>
  <c r="AE2396" i="11"/>
  <c r="AC2396" i="11"/>
  <c r="Z2396" i="11"/>
  <c r="Y2396" i="11"/>
  <c r="X2396" i="11"/>
  <c r="W2396" i="11"/>
  <c r="V2396" i="11"/>
  <c r="U2396" i="11"/>
  <c r="T2396" i="11"/>
  <c r="S2396" i="11"/>
  <c r="R2396" i="11"/>
  <c r="P2396" i="11"/>
  <c r="O2396" i="11"/>
  <c r="N2396" i="11"/>
  <c r="J2396" i="11"/>
  <c r="I2396" i="11"/>
  <c r="K2395" i="11"/>
  <c r="X2395" i="11"/>
  <c r="I2395" i="11"/>
  <c r="AE2395" i="11"/>
  <c r="AC2395" i="11"/>
  <c r="Z2395" i="11"/>
  <c r="Y2395" i="11"/>
  <c r="J2395" i="11"/>
  <c r="W2395" i="11"/>
  <c r="V2395" i="11"/>
  <c r="U2395" i="11"/>
  <c r="T2395" i="11"/>
  <c r="S2395" i="11"/>
  <c r="R2395" i="11"/>
  <c r="P2395" i="11"/>
  <c r="O2395" i="11"/>
  <c r="N2395" i="11"/>
  <c r="M2395" i="11"/>
  <c r="L2395" i="11"/>
  <c r="J2394" i="11"/>
  <c r="AE2394" i="11"/>
  <c r="AC2394" i="11"/>
  <c r="Z2394" i="11"/>
  <c r="Y2394" i="11"/>
  <c r="X2394" i="11"/>
  <c r="W2394" i="11"/>
  <c r="V2394" i="11"/>
  <c r="U2394" i="11"/>
  <c r="T2394" i="11"/>
  <c r="S2394" i="11"/>
  <c r="R2394" i="11"/>
  <c r="P2394" i="11"/>
  <c r="O2394" i="11"/>
  <c r="N2394" i="11"/>
  <c r="L2394" i="11"/>
  <c r="K2394" i="11"/>
  <c r="I2394" i="11"/>
  <c r="M2394" i="11"/>
  <c r="J2393" i="11"/>
  <c r="R2393" i="11"/>
  <c r="I2393" i="11"/>
  <c r="AE2393" i="11"/>
  <c r="AC2393" i="11"/>
  <c r="Z2393" i="11"/>
  <c r="Y2393" i="11"/>
  <c r="X2393" i="11"/>
  <c r="P2393" i="11"/>
  <c r="V2393" i="11"/>
  <c r="K2393" i="11"/>
  <c r="L2393" i="11"/>
  <c r="M2393" i="11"/>
  <c r="N2393" i="11"/>
  <c r="O2393" i="11"/>
  <c r="U2393" i="11"/>
  <c r="T2393" i="11"/>
  <c r="S2393" i="11"/>
  <c r="W2393" i="11"/>
  <c r="R2392" i="11"/>
  <c r="AE2392" i="11"/>
  <c r="S2392" i="11"/>
  <c r="T2392" i="11"/>
  <c r="U2392" i="11"/>
  <c r="V2392" i="11"/>
  <c r="W2392" i="11"/>
  <c r="X2392" i="11"/>
  <c r="P2392" i="11"/>
  <c r="Y2392" i="11"/>
  <c r="Z2392" i="11"/>
  <c r="AC2392" i="11"/>
  <c r="I2392" i="11"/>
  <c r="J2392" i="11"/>
  <c r="K2392" i="11"/>
  <c r="L2392" i="11"/>
  <c r="M2392" i="11"/>
  <c r="N2392" i="11"/>
  <c r="O2392" i="11"/>
  <c r="L2391" i="11"/>
  <c r="U2391" i="11"/>
  <c r="T2391" i="11"/>
  <c r="S2391" i="11"/>
  <c r="R2391" i="11"/>
  <c r="P2391" i="11"/>
  <c r="O2391" i="11"/>
  <c r="N2391" i="11"/>
  <c r="M2391" i="11"/>
  <c r="K2391" i="11"/>
  <c r="J2391" i="11"/>
  <c r="I2391" i="11"/>
  <c r="V2391" i="11"/>
  <c r="W2391" i="11"/>
  <c r="X2391" i="11"/>
  <c r="Y2391" i="11"/>
  <c r="Z2391" i="11"/>
  <c r="AC2391" i="11"/>
  <c r="AE2391" i="11"/>
  <c r="P2390" i="11"/>
  <c r="S2390" i="11"/>
  <c r="T2390" i="11"/>
  <c r="U2390" i="11"/>
  <c r="W2390" i="11"/>
  <c r="X2390" i="11"/>
  <c r="Y2390" i="11"/>
  <c r="Z2390" i="11"/>
  <c r="AC2390" i="11"/>
  <c r="R2390" i="11"/>
  <c r="AE2390" i="11"/>
  <c r="L2390" i="11"/>
  <c r="V2390" i="11"/>
  <c r="I2390" i="11"/>
  <c r="J2390" i="11"/>
  <c r="K2390" i="11"/>
  <c r="M2390" i="11"/>
  <c r="N2390" i="11"/>
  <c r="O2390" i="11"/>
  <c r="W2389" i="11"/>
  <c r="V2389" i="11"/>
  <c r="U2389" i="11"/>
  <c r="T2389" i="11"/>
  <c r="I2389" i="11"/>
  <c r="AE2389" i="11"/>
  <c r="J2389" i="11"/>
  <c r="AC2389" i="11"/>
  <c r="Z2389" i="11"/>
  <c r="Y2389" i="11"/>
  <c r="X2389" i="11"/>
  <c r="S2389" i="11"/>
  <c r="L2389" i="11"/>
  <c r="M2389" i="11"/>
  <c r="N2389" i="11"/>
  <c r="O2389" i="11"/>
  <c r="P2389" i="11"/>
  <c r="R2389" i="11"/>
  <c r="K2389" i="11"/>
  <c r="AE2388" i="11"/>
  <c r="I2388" i="11"/>
  <c r="J2388" i="11"/>
  <c r="K2388" i="11"/>
  <c r="L2388" i="11"/>
  <c r="M2388" i="11"/>
  <c r="N2388" i="11"/>
  <c r="O2388" i="11"/>
  <c r="P2388" i="11"/>
  <c r="R2388" i="11"/>
  <c r="T2388" i="11"/>
  <c r="U2388" i="11"/>
  <c r="V2388" i="11"/>
  <c r="W2388" i="11"/>
  <c r="X2388" i="11"/>
  <c r="Y2388" i="11"/>
  <c r="Z2388" i="11"/>
  <c r="AC2388" i="11"/>
  <c r="S2388" i="11"/>
  <c r="J2387" i="11"/>
  <c r="L2387" i="11"/>
  <c r="K2387" i="11"/>
  <c r="I2387" i="11"/>
  <c r="AE2387" i="11"/>
  <c r="AC2387" i="11"/>
  <c r="Z2387" i="11"/>
  <c r="Y2387" i="11"/>
  <c r="X2387" i="11"/>
  <c r="W2387" i="11"/>
  <c r="V2387" i="11"/>
  <c r="U2387" i="11"/>
  <c r="T2387" i="11"/>
  <c r="S2387" i="11"/>
  <c r="R2387" i="11"/>
  <c r="P2387" i="11"/>
  <c r="O2387" i="11"/>
  <c r="N2387" i="11"/>
  <c r="M2387" i="11"/>
  <c r="K2386" i="11"/>
  <c r="J2386" i="11"/>
  <c r="X2386" i="11"/>
  <c r="I2386" i="11"/>
  <c r="AE2386" i="11"/>
  <c r="AC2386" i="11"/>
  <c r="Z2386" i="11"/>
  <c r="Y2386" i="11"/>
  <c r="W2386" i="11"/>
  <c r="V2386" i="11"/>
  <c r="U2386" i="11"/>
  <c r="T2386" i="11"/>
  <c r="S2386" i="11"/>
  <c r="R2386" i="11"/>
  <c r="P2386" i="11"/>
  <c r="O2386" i="11"/>
  <c r="N2386" i="11"/>
  <c r="M2386" i="11"/>
  <c r="L2386" i="11"/>
  <c r="L2385" i="11"/>
  <c r="O2385" i="11"/>
  <c r="AE2385" i="11"/>
  <c r="N2385" i="11"/>
  <c r="AC2385" i="11"/>
  <c r="Z2385" i="11"/>
  <c r="M2385" i="11"/>
  <c r="Y2385" i="11"/>
  <c r="X2385" i="11"/>
  <c r="W2385" i="11"/>
  <c r="V2385" i="11"/>
  <c r="U2385" i="11"/>
  <c r="T2385" i="11"/>
  <c r="S2385" i="11"/>
  <c r="R2385" i="11"/>
  <c r="P2385" i="11"/>
  <c r="K2385" i="11"/>
  <c r="J2385" i="11"/>
  <c r="I2385" i="11"/>
  <c r="R2384" i="11"/>
  <c r="P2384" i="11"/>
  <c r="T2384" i="11"/>
  <c r="N2384" i="11"/>
  <c r="AE2384" i="11"/>
  <c r="AC2384" i="11"/>
  <c r="Z2384" i="11"/>
  <c r="Y2384" i="11"/>
  <c r="X2384" i="11"/>
  <c r="W2384" i="11"/>
  <c r="V2384" i="11"/>
  <c r="M2384" i="11"/>
  <c r="U2384" i="11"/>
  <c r="L2384" i="11"/>
  <c r="K2384" i="11"/>
  <c r="J2384" i="11"/>
  <c r="I2384" i="11"/>
  <c r="O2384" i="11"/>
  <c r="S2384" i="11"/>
  <c r="T2383" i="11"/>
  <c r="U2383" i="11"/>
  <c r="V2383" i="11"/>
  <c r="W2383" i="11"/>
  <c r="X2383" i="11"/>
  <c r="Y2383" i="11"/>
  <c r="Z2383" i="11"/>
  <c r="AC2383" i="11"/>
  <c r="AE2383" i="11"/>
  <c r="M2383" i="11"/>
  <c r="I2383" i="11"/>
  <c r="J2383" i="11"/>
  <c r="K2383" i="11"/>
  <c r="L2383" i="11"/>
  <c r="N2383" i="11"/>
  <c r="O2383" i="11"/>
  <c r="P2383" i="11"/>
  <c r="R2383" i="11"/>
  <c r="S2383" i="11"/>
  <c r="N2382" i="11"/>
  <c r="J2382" i="11"/>
  <c r="K2382" i="11"/>
  <c r="P2382" i="11"/>
  <c r="R2382" i="11"/>
  <c r="S2382" i="11"/>
  <c r="T2382" i="11"/>
  <c r="U2382" i="11"/>
  <c r="V2382" i="11"/>
  <c r="W2382" i="11"/>
  <c r="X2382" i="11"/>
  <c r="O2382" i="11"/>
  <c r="Y2382" i="11"/>
  <c r="Z2382" i="11"/>
  <c r="AC2382" i="11"/>
  <c r="AE2382" i="11"/>
  <c r="L2382" i="11"/>
  <c r="M2382" i="11"/>
  <c r="I2382" i="11"/>
  <c r="L2381" i="11"/>
  <c r="K2381" i="11"/>
  <c r="M2381" i="11"/>
  <c r="N2381" i="11"/>
  <c r="O2381" i="11"/>
  <c r="P2381" i="11"/>
  <c r="R2381" i="11"/>
  <c r="S2381" i="11"/>
  <c r="AE2381" i="11"/>
  <c r="AC2381" i="11"/>
  <c r="Z2381" i="11"/>
  <c r="Y2381" i="11"/>
  <c r="X2381" i="11"/>
  <c r="T2381" i="11"/>
  <c r="W2381" i="11"/>
  <c r="V2381" i="11"/>
  <c r="U2381" i="11"/>
  <c r="J2381" i="11"/>
  <c r="I2381" i="11"/>
  <c r="AE2380" i="11"/>
  <c r="AC2380" i="11"/>
  <c r="Z2380" i="11"/>
  <c r="Y2380" i="11"/>
  <c r="X2380" i="11"/>
  <c r="W2380" i="11"/>
  <c r="V2380" i="11"/>
  <c r="U2380" i="11"/>
  <c r="T2380" i="11"/>
  <c r="S2380" i="11"/>
  <c r="R2380" i="11"/>
  <c r="P2380" i="11"/>
  <c r="O2380" i="11"/>
  <c r="N2380" i="11"/>
  <c r="M2380" i="11"/>
  <c r="L2380" i="11"/>
  <c r="K2380" i="11"/>
  <c r="J2380" i="11"/>
  <c r="I2380" i="11"/>
  <c r="AE2379" i="11"/>
  <c r="AC2379" i="11"/>
  <c r="Z2379" i="11"/>
  <c r="Y2379" i="11"/>
  <c r="X2379" i="11"/>
  <c r="W2379" i="11"/>
  <c r="V2379" i="11"/>
  <c r="U2379" i="11"/>
  <c r="T2379" i="11"/>
  <c r="S2379" i="11"/>
  <c r="R2379" i="11"/>
  <c r="P2379" i="11"/>
  <c r="O2379" i="11"/>
  <c r="N2379" i="11"/>
  <c r="M2379" i="11"/>
  <c r="L2379" i="11"/>
  <c r="K2379" i="11"/>
  <c r="J2379" i="11"/>
  <c r="I2379" i="11"/>
  <c r="J2378" i="11"/>
  <c r="I2378" i="11"/>
  <c r="K2378" i="11"/>
  <c r="AE2378" i="11"/>
  <c r="AC2378" i="11"/>
  <c r="Z2378" i="11"/>
  <c r="Y2378" i="11"/>
  <c r="X2378" i="11"/>
  <c r="W2378" i="11"/>
  <c r="V2378" i="11"/>
  <c r="U2378" i="11"/>
  <c r="T2378" i="11"/>
  <c r="S2378" i="11"/>
  <c r="R2378" i="11"/>
  <c r="P2378" i="11"/>
  <c r="O2378" i="11"/>
  <c r="N2378" i="11"/>
  <c r="M2378" i="11"/>
  <c r="L2378" i="11"/>
  <c r="R2377" i="11"/>
  <c r="S2377" i="11"/>
  <c r="T2377" i="11"/>
  <c r="U2377" i="11"/>
  <c r="V2377" i="11"/>
  <c r="W2377" i="11"/>
  <c r="X2377" i="11"/>
  <c r="Y2377" i="11"/>
  <c r="Z2377" i="11"/>
  <c r="AC2377" i="11"/>
  <c r="P2377" i="11"/>
  <c r="AE2377" i="11"/>
  <c r="J2377" i="11"/>
  <c r="K2377" i="11"/>
  <c r="L2377" i="11"/>
  <c r="M2377" i="11"/>
  <c r="N2377" i="11"/>
  <c r="O2377" i="11"/>
  <c r="I2377" i="11"/>
  <c r="J2376" i="11"/>
  <c r="K2376" i="11"/>
  <c r="L2376" i="11"/>
  <c r="M2376" i="11"/>
  <c r="N2376" i="11"/>
  <c r="O2376" i="11"/>
  <c r="P2376" i="11"/>
  <c r="AE2376" i="11"/>
  <c r="Z2376" i="11"/>
  <c r="AC2376" i="11"/>
  <c r="I2376" i="11"/>
  <c r="S2376" i="11"/>
  <c r="T2376" i="11"/>
  <c r="U2376" i="11"/>
  <c r="V2376" i="11"/>
  <c r="W2376" i="11"/>
  <c r="X2376" i="11"/>
  <c r="Y2376" i="11"/>
  <c r="R2376" i="11"/>
  <c r="O2375" i="11"/>
  <c r="S2375" i="11"/>
  <c r="T2375" i="11"/>
  <c r="U2375" i="11"/>
  <c r="V2375" i="11"/>
  <c r="W2375" i="11"/>
  <c r="X2375" i="11"/>
  <c r="Y2375" i="11"/>
  <c r="Z2375" i="11"/>
  <c r="AC2375" i="11"/>
  <c r="AE2375" i="11"/>
  <c r="P2375" i="11"/>
  <c r="R2375" i="11"/>
  <c r="I2375" i="11"/>
  <c r="J2375" i="11"/>
  <c r="K2375" i="11"/>
  <c r="L2375" i="11"/>
  <c r="M2375" i="11"/>
  <c r="N2375" i="11"/>
  <c r="O2374" i="11"/>
  <c r="J2374" i="11"/>
  <c r="S2374" i="11"/>
  <c r="R2374" i="11"/>
  <c r="I2374" i="11"/>
  <c r="X2374" i="11"/>
  <c r="N2374" i="11"/>
  <c r="U2374" i="11"/>
  <c r="K2374" i="11"/>
  <c r="M2374" i="11"/>
  <c r="L2374" i="11"/>
  <c r="P2374" i="11"/>
  <c r="T2374" i="11"/>
  <c r="V2374" i="11"/>
  <c r="W2374" i="11"/>
  <c r="Y2374" i="11"/>
  <c r="Z2374" i="11"/>
  <c r="AC2374" i="11"/>
  <c r="AE2374" i="11"/>
  <c r="U2373" i="11"/>
  <c r="S2373" i="11"/>
  <c r="J2373" i="11"/>
  <c r="K2373" i="11"/>
  <c r="L2373" i="11"/>
  <c r="I2373" i="11"/>
  <c r="M2373" i="11"/>
  <c r="N2373" i="11"/>
  <c r="O2373" i="11"/>
  <c r="P2373" i="11"/>
  <c r="AC2373" i="11"/>
  <c r="W2373" i="11"/>
  <c r="R2373" i="11"/>
  <c r="AE2373" i="11"/>
  <c r="Z2373" i="11"/>
  <c r="Y2373" i="11"/>
  <c r="X2373" i="11"/>
  <c r="T2373" i="11"/>
  <c r="V2373" i="11"/>
  <c r="T2372" i="11"/>
  <c r="U2372" i="11"/>
  <c r="V2372" i="11"/>
  <c r="AE2372" i="11"/>
  <c r="AC2372" i="11"/>
  <c r="Z2372" i="11"/>
  <c r="X2372" i="11"/>
  <c r="W2372" i="11"/>
  <c r="Y2372" i="11"/>
  <c r="J2372" i="11"/>
  <c r="I2372" i="11"/>
  <c r="K2372" i="11"/>
  <c r="L2372" i="11"/>
  <c r="M2372" i="11"/>
  <c r="N2372" i="11"/>
  <c r="O2372" i="11"/>
  <c r="P2372" i="11"/>
  <c r="R2372" i="11"/>
  <c r="S2372" i="11"/>
  <c r="M2371" i="11"/>
  <c r="P2371" i="11"/>
  <c r="I2371" i="11"/>
  <c r="J2371" i="11"/>
  <c r="K2371" i="11"/>
  <c r="L2371" i="11"/>
  <c r="N2371" i="11"/>
  <c r="O2371" i="11"/>
  <c r="R2371" i="11"/>
  <c r="T2371" i="11"/>
  <c r="U2371" i="11"/>
  <c r="V2371" i="11"/>
  <c r="W2371" i="11"/>
  <c r="Y2371" i="11"/>
  <c r="Z2371" i="11"/>
  <c r="AC2371" i="11"/>
  <c r="AE2371" i="11"/>
  <c r="X2371" i="11"/>
  <c r="S2371" i="11"/>
  <c r="V2370" i="11"/>
  <c r="T2370" i="11"/>
  <c r="U2370" i="11"/>
  <c r="S2370" i="11"/>
  <c r="AE2370" i="11"/>
  <c r="AC2370" i="11"/>
  <c r="Z2370" i="11"/>
  <c r="Y2370" i="11"/>
  <c r="X2370" i="11"/>
  <c r="W2370" i="11"/>
  <c r="R2370" i="11"/>
  <c r="I2370" i="11"/>
  <c r="J2370" i="11"/>
  <c r="K2370" i="11"/>
  <c r="L2370" i="11"/>
  <c r="M2370" i="11"/>
  <c r="N2370" i="11"/>
  <c r="O2370" i="11"/>
  <c r="P2370" i="11"/>
  <c r="S2369" i="11"/>
  <c r="T2369" i="11"/>
  <c r="U2369" i="11"/>
  <c r="V2369" i="11"/>
  <c r="P2369" i="11"/>
  <c r="X2369" i="11"/>
  <c r="Y2369" i="11"/>
  <c r="Z2369" i="11"/>
  <c r="AC2369" i="11"/>
  <c r="AE2369" i="11"/>
  <c r="R2369" i="11"/>
  <c r="O2369" i="11"/>
  <c r="N2369" i="11"/>
  <c r="L2369" i="11"/>
  <c r="K2369" i="11"/>
  <c r="J2369" i="11"/>
  <c r="I2369" i="11"/>
  <c r="M2369" i="11"/>
  <c r="W2369" i="11"/>
  <c r="AC2368" i="11"/>
  <c r="I2368" i="11"/>
  <c r="J2368" i="11"/>
  <c r="K2368" i="11"/>
  <c r="L2368" i="11"/>
  <c r="M2368" i="11"/>
  <c r="N2368" i="11"/>
  <c r="O2368" i="11"/>
  <c r="P2368" i="11"/>
  <c r="R2368" i="11"/>
  <c r="S2368" i="11"/>
  <c r="T2368" i="11"/>
  <c r="U2368" i="11"/>
  <c r="V2368" i="11"/>
  <c r="W2368" i="11"/>
  <c r="X2368" i="11"/>
  <c r="Y2368" i="11"/>
  <c r="Z2368" i="11"/>
  <c r="AE2368" i="11"/>
  <c r="T2367" i="11"/>
  <c r="U2367" i="11"/>
  <c r="V2367" i="11"/>
  <c r="W2367" i="11"/>
  <c r="X2367" i="11"/>
  <c r="Y2367" i="11"/>
  <c r="Z2367" i="11"/>
  <c r="AC2367" i="11"/>
  <c r="K2367" i="11"/>
  <c r="M2367" i="11"/>
  <c r="N2367" i="11"/>
  <c r="J2367" i="11"/>
  <c r="L2367" i="11"/>
  <c r="O2367" i="11"/>
  <c r="P2367" i="11"/>
  <c r="I2367" i="11"/>
  <c r="R2367" i="11"/>
  <c r="AE2367" i="11"/>
  <c r="S2367" i="11"/>
  <c r="AE2366" i="11"/>
  <c r="J2366" i="11"/>
  <c r="K2366" i="11"/>
  <c r="L2366" i="11"/>
  <c r="M2366" i="11"/>
  <c r="O2366" i="11"/>
  <c r="P2366" i="11"/>
  <c r="R2366" i="11"/>
  <c r="S2366" i="11"/>
  <c r="T2366" i="11"/>
  <c r="U2366" i="11"/>
  <c r="N2366" i="11"/>
  <c r="W2366" i="11"/>
  <c r="X2366" i="11"/>
  <c r="Y2366" i="11"/>
  <c r="Z2366" i="11"/>
  <c r="AC2366" i="11"/>
  <c r="V2366" i="11"/>
  <c r="I2366" i="11"/>
  <c r="AC2365" i="11"/>
  <c r="Z2365" i="11"/>
  <c r="Y2365" i="11"/>
  <c r="X2365" i="11"/>
  <c r="W2365" i="11"/>
  <c r="V2365" i="11"/>
  <c r="U2365" i="11"/>
  <c r="T2365" i="11"/>
  <c r="S2365" i="11"/>
  <c r="R2365" i="11"/>
  <c r="P2365" i="11"/>
  <c r="O2365" i="11"/>
  <c r="N2365" i="11"/>
  <c r="L2365" i="11"/>
  <c r="K2365" i="11"/>
  <c r="J2365" i="11"/>
  <c r="I2365" i="11"/>
  <c r="AE2365" i="11"/>
  <c r="M2365" i="11"/>
  <c r="R2364" i="11"/>
  <c r="S2364" i="11"/>
  <c r="T2364" i="11"/>
  <c r="V2364" i="11"/>
  <c r="X2364" i="11"/>
  <c r="Y2364" i="11"/>
  <c r="Z2364" i="11"/>
  <c r="AC2364" i="11"/>
  <c r="AE2364" i="11"/>
  <c r="W2364" i="11"/>
  <c r="U2364" i="11"/>
  <c r="I2364" i="11"/>
  <c r="J2364" i="11"/>
  <c r="K2364" i="11"/>
  <c r="L2364" i="11"/>
  <c r="M2364" i="11"/>
  <c r="N2364" i="11"/>
  <c r="O2364" i="11"/>
  <c r="P2364" i="11"/>
  <c r="Z2363" i="11"/>
  <c r="L2363" i="11"/>
  <c r="M2363" i="11"/>
  <c r="N2363" i="11"/>
  <c r="O2363" i="11"/>
  <c r="P2363" i="11"/>
  <c r="R2363" i="11"/>
  <c r="S2363" i="11"/>
  <c r="T2363" i="11"/>
  <c r="U2363" i="11"/>
  <c r="X2363" i="11"/>
  <c r="V2363" i="11"/>
  <c r="W2363" i="11"/>
  <c r="K2363" i="11"/>
  <c r="Y2363" i="11"/>
  <c r="AE2363" i="11"/>
  <c r="AC2363" i="11"/>
  <c r="I2363" i="11"/>
  <c r="J2363" i="11"/>
  <c r="V2362" i="11"/>
  <c r="L2362" i="11"/>
  <c r="M2362" i="11"/>
  <c r="N2362" i="11"/>
  <c r="O2362" i="11"/>
  <c r="P2362" i="11"/>
  <c r="R2362" i="11"/>
  <c r="S2362" i="11"/>
  <c r="T2362" i="11"/>
  <c r="U2362" i="11"/>
  <c r="W2362" i="11"/>
  <c r="X2362" i="11"/>
  <c r="Y2362" i="11"/>
  <c r="Z2362" i="11"/>
  <c r="AC2362" i="11"/>
  <c r="AE2362" i="11"/>
  <c r="K2362" i="11"/>
  <c r="J2362" i="11"/>
  <c r="I2362" i="11"/>
  <c r="W2361" i="11"/>
  <c r="V2361" i="11"/>
  <c r="U2361" i="11"/>
  <c r="T2361" i="11"/>
  <c r="S2361" i="11"/>
  <c r="R2361" i="11"/>
  <c r="P2361" i="11"/>
  <c r="O2361" i="11"/>
  <c r="N2361" i="11"/>
  <c r="M2361" i="11"/>
  <c r="Y2361" i="11"/>
  <c r="L2361" i="11"/>
  <c r="K2361" i="11"/>
  <c r="X2361" i="11"/>
  <c r="J2361" i="11"/>
  <c r="I2361" i="11"/>
  <c r="Z2361" i="11"/>
  <c r="AC2361" i="11"/>
  <c r="AE2361" i="11"/>
  <c r="Y2360" i="11"/>
  <c r="X2360" i="11"/>
  <c r="W2360" i="11"/>
  <c r="V2360" i="11"/>
  <c r="U2360" i="11"/>
  <c r="T2360" i="11"/>
  <c r="S2360" i="11"/>
  <c r="R2360" i="11"/>
  <c r="P2360" i="11"/>
  <c r="Z2360" i="11"/>
  <c r="N2360" i="11"/>
  <c r="M2360" i="11"/>
  <c r="L2360" i="11"/>
  <c r="K2360" i="11"/>
  <c r="AE2360" i="11"/>
  <c r="AC2360" i="11"/>
  <c r="J2360" i="11"/>
  <c r="I2360" i="11"/>
  <c r="O2360" i="11"/>
  <c r="I2359" i="11"/>
  <c r="J2359" i="11"/>
  <c r="K2359" i="11"/>
  <c r="L2359" i="11"/>
  <c r="M2359" i="11"/>
  <c r="N2359" i="11"/>
  <c r="O2359" i="11"/>
  <c r="P2359" i="11"/>
  <c r="R2359" i="11"/>
  <c r="S2359" i="11"/>
  <c r="T2359" i="11"/>
  <c r="U2359" i="11"/>
  <c r="V2359" i="11"/>
  <c r="W2359" i="11"/>
  <c r="X2359" i="11"/>
  <c r="Y2359" i="11"/>
  <c r="Z2359" i="11"/>
  <c r="AC2359" i="11"/>
  <c r="AE2359" i="11"/>
  <c r="P2358" i="11"/>
  <c r="I2358" i="11"/>
  <c r="K2358" i="11"/>
  <c r="L2358" i="11"/>
  <c r="M2358" i="11"/>
  <c r="N2358" i="11"/>
  <c r="O2358" i="11"/>
  <c r="X2358" i="11"/>
  <c r="R2358" i="11"/>
  <c r="S2358" i="11"/>
  <c r="T2358" i="11"/>
  <c r="U2358" i="11"/>
  <c r="V2358" i="11"/>
  <c r="W2358" i="11"/>
  <c r="J2358" i="11"/>
  <c r="Y2358" i="11"/>
  <c r="Z2358" i="11"/>
  <c r="AC2358" i="11"/>
  <c r="AE2358" i="11"/>
  <c r="AE2357" i="11"/>
  <c r="AC2357" i="11"/>
  <c r="Z2357" i="11"/>
  <c r="Y2357" i="11"/>
  <c r="X2357" i="11"/>
  <c r="W2357" i="11"/>
  <c r="V2357" i="11"/>
  <c r="S2357" i="11"/>
  <c r="T2357" i="11"/>
  <c r="M2357" i="11"/>
  <c r="U2357" i="11"/>
  <c r="I2357" i="11"/>
  <c r="J2357" i="11"/>
  <c r="K2357" i="11"/>
  <c r="L2357" i="11"/>
  <c r="N2357" i="11"/>
  <c r="O2357" i="11"/>
  <c r="P2357" i="11"/>
  <c r="R2357" i="11"/>
  <c r="U2356" i="11"/>
  <c r="I2356" i="11"/>
  <c r="X2356" i="11"/>
  <c r="Y2356" i="11"/>
  <c r="Z2356" i="11"/>
  <c r="J2356" i="11"/>
  <c r="AE2356" i="11"/>
  <c r="M2356" i="11"/>
  <c r="N2356" i="11"/>
  <c r="O2356" i="11"/>
  <c r="P2356" i="11"/>
  <c r="K2356" i="11"/>
  <c r="R2356" i="11"/>
  <c r="S2356" i="11"/>
  <c r="T2356" i="11"/>
  <c r="L2356" i="11"/>
  <c r="V2356" i="11"/>
  <c r="W2356" i="11"/>
  <c r="AC2356" i="11"/>
  <c r="AE2355" i="11"/>
  <c r="AC2355" i="11"/>
  <c r="Z2355" i="11"/>
  <c r="Y2355" i="11"/>
  <c r="X2355" i="11"/>
  <c r="W2355" i="11"/>
  <c r="V2355" i="11"/>
  <c r="U2355" i="11"/>
  <c r="T2355" i="11"/>
  <c r="S2355" i="11"/>
  <c r="R2355" i="11"/>
  <c r="P2355" i="11"/>
  <c r="O2355" i="11"/>
  <c r="N2355" i="11"/>
  <c r="M2355" i="11"/>
  <c r="L2355" i="11"/>
  <c r="K2355" i="11"/>
  <c r="I2355" i="11"/>
  <c r="J2355" i="11"/>
  <c r="AE2354" i="11"/>
  <c r="AC2354" i="11"/>
  <c r="Z2354" i="11"/>
  <c r="Y2354" i="11"/>
  <c r="X2354" i="11"/>
  <c r="W2354" i="11"/>
  <c r="V2354" i="11"/>
  <c r="U2354" i="11"/>
  <c r="T2354" i="11"/>
  <c r="S2354" i="11"/>
  <c r="R2354" i="11"/>
  <c r="P2354" i="11"/>
  <c r="O2354" i="11"/>
  <c r="N2354" i="11"/>
  <c r="M2354" i="11"/>
  <c r="L2354" i="11"/>
  <c r="K2354" i="11"/>
  <c r="J2354" i="11"/>
  <c r="I2354" i="11"/>
  <c r="AE2353" i="11"/>
  <c r="S2353" i="11"/>
  <c r="R2353" i="11"/>
  <c r="P2353" i="11"/>
  <c r="O2353" i="11"/>
  <c r="N2353" i="11"/>
  <c r="M2353" i="11"/>
  <c r="L2353" i="11"/>
  <c r="K2353" i="11"/>
  <c r="J2353" i="11"/>
  <c r="I2353" i="11"/>
  <c r="U2353" i="11"/>
  <c r="T2353" i="11"/>
  <c r="V2353" i="11"/>
  <c r="W2353" i="11"/>
  <c r="X2353" i="11"/>
  <c r="Y2353" i="11"/>
  <c r="Z2353" i="11"/>
  <c r="AC2353" i="11"/>
  <c r="S2352" i="11"/>
  <c r="T2352" i="11"/>
  <c r="U2352" i="11"/>
  <c r="V2352" i="11"/>
  <c r="W2352" i="11"/>
  <c r="X2352" i="11"/>
  <c r="Y2352" i="11"/>
  <c r="Z2352" i="11"/>
  <c r="AC2352" i="11"/>
  <c r="P2352" i="11"/>
  <c r="I2352" i="11"/>
  <c r="AE2352" i="11"/>
  <c r="J2352" i="11"/>
  <c r="K2352" i="11"/>
  <c r="L2352" i="11"/>
  <c r="M2352" i="11"/>
  <c r="N2352" i="11"/>
  <c r="O2352" i="11"/>
  <c r="R2352" i="11"/>
  <c r="T2351" i="11"/>
  <c r="AE2351" i="11"/>
  <c r="AC2351" i="11"/>
  <c r="Z2351" i="11"/>
  <c r="Y2351" i="11"/>
  <c r="X2351" i="11"/>
  <c r="W2351" i="11"/>
  <c r="V2351" i="11"/>
  <c r="U2351" i="11"/>
  <c r="S2351" i="11"/>
  <c r="R2351" i="11"/>
  <c r="P2351" i="11"/>
  <c r="O2351" i="11"/>
  <c r="N2351" i="11"/>
  <c r="M2351" i="11"/>
  <c r="L2351" i="11"/>
  <c r="K2351" i="11"/>
  <c r="J2351" i="11"/>
  <c r="I2351" i="11"/>
  <c r="AE2350" i="11"/>
  <c r="AC2350" i="11"/>
  <c r="Z2350" i="11"/>
  <c r="Y2350" i="11"/>
  <c r="X2350" i="11"/>
  <c r="W2350" i="11"/>
  <c r="V2350" i="11"/>
  <c r="U2350" i="11"/>
  <c r="T2350" i="11"/>
  <c r="S2350" i="11"/>
  <c r="R2350" i="11"/>
  <c r="P2350" i="11"/>
  <c r="O2350" i="11"/>
  <c r="N2350" i="11"/>
  <c r="M2350" i="11"/>
  <c r="L2350" i="11"/>
  <c r="K2350" i="11"/>
  <c r="J2350" i="11"/>
  <c r="I2350" i="11"/>
  <c r="AE2349" i="11"/>
  <c r="AC2349" i="11"/>
  <c r="Z2349" i="11"/>
  <c r="Y2349" i="11"/>
  <c r="X2349" i="11"/>
  <c r="W2349" i="11"/>
  <c r="V2349" i="11"/>
  <c r="U2349" i="11"/>
  <c r="T2349" i="11"/>
  <c r="S2349" i="11"/>
  <c r="R2349" i="11"/>
  <c r="P2349" i="11"/>
  <c r="O2349" i="11"/>
  <c r="N2349" i="11"/>
  <c r="M2349" i="11"/>
  <c r="L2349" i="11"/>
  <c r="K2349" i="11"/>
  <c r="J2349" i="11"/>
  <c r="I2349" i="11"/>
  <c r="AE2348" i="11"/>
  <c r="AC2348" i="11"/>
  <c r="Z2348" i="11"/>
  <c r="Y2348" i="11"/>
  <c r="X2348" i="11"/>
  <c r="W2348" i="11"/>
  <c r="V2348" i="11"/>
  <c r="U2348" i="11"/>
  <c r="T2348" i="11"/>
  <c r="S2348" i="11"/>
  <c r="R2348" i="11"/>
  <c r="P2348" i="11"/>
  <c r="O2348" i="11"/>
  <c r="N2348" i="11"/>
  <c r="M2348" i="11"/>
  <c r="L2348" i="11"/>
  <c r="K2348" i="11"/>
  <c r="J2348" i="11"/>
  <c r="I2348" i="11"/>
  <c r="AE2347" i="11"/>
  <c r="AC2347" i="11"/>
  <c r="Z2347" i="11"/>
  <c r="Y2347" i="11"/>
  <c r="X2347" i="11"/>
  <c r="W2347" i="11"/>
  <c r="V2347" i="11"/>
  <c r="U2347" i="11"/>
  <c r="T2347" i="11"/>
  <c r="S2347" i="11"/>
  <c r="R2347" i="11"/>
  <c r="P2347" i="11"/>
  <c r="O2347" i="11"/>
  <c r="N2347" i="11"/>
  <c r="M2347" i="11"/>
  <c r="L2347" i="11"/>
  <c r="K2347" i="11"/>
  <c r="J2347" i="11"/>
  <c r="I2347" i="11"/>
  <c r="AE2346" i="11"/>
  <c r="AC2346" i="11"/>
  <c r="Z2346" i="11"/>
  <c r="Y2346" i="11"/>
  <c r="X2346" i="11"/>
  <c r="W2346" i="11"/>
  <c r="V2346" i="11"/>
  <c r="U2346" i="11"/>
  <c r="T2346" i="11"/>
  <c r="S2346" i="11"/>
  <c r="R2346" i="11"/>
  <c r="P2346" i="11"/>
  <c r="O2346" i="11"/>
  <c r="N2346" i="11"/>
  <c r="M2346" i="11"/>
  <c r="L2346" i="11"/>
  <c r="K2346" i="11"/>
  <c r="J2346" i="11"/>
  <c r="I2346" i="11"/>
  <c r="AE2345" i="11"/>
  <c r="AC2345" i="11"/>
  <c r="Z2345" i="11"/>
  <c r="Y2345" i="11"/>
  <c r="X2345" i="11"/>
  <c r="W2345" i="11"/>
  <c r="V2345" i="11"/>
  <c r="U2345" i="11"/>
  <c r="T2345" i="11"/>
  <c r="S2345" i="11"/>
  <c r="R2345" i="11"/>
  <c r="P2345" i="11"/>
  <c r="O2345" i="11"/>
  <c r="N2345" i="11"/>
  <c r="M2345" i="11"/>
  <c r="L2345" i="11"/>
  <c r="K2345" i="11"/>
  <c r="J2345" i="11"/>
  <c r="I2345" i="11"/>
  <c r="AE2344" i="11"/>
  <c r="AC2344" i="11"/>
  <c r="Z2344" i="11"/>
  <c r="Y2344" i="11"/>
  <c r="X2344" i="11"/>
  <c r="W2344" i="11"/>
  <c r="V2344" i="11"/>
  <c r="U2344" i="11"/>
  <c r="T2344" i="11"/>
  <c r="S2344" i="11"/>
  <c r="R2344" i="11"/>
  <c r="P2344" i="11"/>
  <c r="O2344" i="11"/>
  <c r="N2344" i="11"/>
  <c r="M2344" i="11"/>
  <c r="L2344" i="11"/>
  <c r="K2344" i="11"/>
  <c r="J2344" i="11"/>
  <c r="I2344" i="11"/>
  <c r="AE2343" i="11"/>
  <c r="AC2343" i="11"/>
  <c r="Z2343" i="11"/>
  <c r="Y2343" i="11"/>
  <c r="X2343" i="11"/>
  <c r="W2343" i="11"/>
  <c r="V2343" i="11"/>
  <c r="U2343" i="11"/>
  <c r="T2343" i="11"/>
  <c r="S2343" i="11"/>
  <c r="R2343" i="11"/>
  <c r="P2343" i="11"/>
  <c r="O2343" i="11"/>
  <c r="N2343" i="11"/>
  <c r="M2343" i="11"/>
  <c r="L2343" i="11"/>
  <c r="K2343" i="11"/>
  <c r="J2343" i="11"/>
  <c r="I2343" i="11"/>
  <c r="J2342" i="11"/>
  <c r="L2342" i="11"/>
  <c r="K2342" i="11"/>
  <c r="I2342" i="11"/>
  <c r="U2342" i="11"/>
  <c r="V2342" i="11"/>
  <c r="AE2342" i="11"/>
  <c r="AC2342" i="11"/>
  <c r="Z2342" i="11"/>
  <c r="Y2342" i="11"/>
  <c r="X2342" i="11"/>
  <c r="W2342" i="11"/>
  <c r="T2342" i="11"/>
  <c r="S2342" i="11"/>
  <c r="R2342" i="11"/>
  <c r="P2342" i="11"/>
  <c r="O2342" i="11"/>
  <c r="N2342" i="11"/>
  <c r="M2342" i="11"/>
  <c r="J2341" i="11"/>
  <c r="I2341" i="11"/>
  <c r="M2341" i="11"/>
  <c r="K2341" i="11"/>
  <c r="N2341" i="11"/>
  <c r="O2341" i="11"/>
  <c r="P2341" i="11"/>
  <c r="R2341" i="11"/>
  <c r="S2341" i="11"/>
  <c r="T2341" i="11"/>
  <c r="U2341" i="11"/>
  <c r="V2341" i="11"/>
  <c r="W2341" i="11"/>
  <c r="X2341" i="11"/>
  <c r="Y2341" i="11"/>
  <c r="Z2341" i="11"/>
  <c r="AC2341" i="11"/>
  <c r="AE2341" i="11"/>
  <c r="L2341" i="11"/>
  <c r="J2340" i="11"/>
  <c r="I2340" i="11"/>
  <c r="K2340" i="11"/>
  <c r="L2340" i="11"/>
  <c r="M2340" i="11"/>
  <c r="N2340" i="11"/>
  <c r="O2340" i="11"/>
  <c r="P2340" i="11"/>
  <c r="R2340" i="11"/>
  <c r="S2340" i="11"/>
  <c r="T2340" i="11"/>
  <c r="U2340" i="11"/>
  <c r="V2340" i="11"/>
  <c r="W2340" i="11"/>
  <c r="X2340" i="11"/>
  <c r="Y2340" i="11"/>
  <c r="Z2340" i="11"/>
  <c r="AC2340" i="11"/>
  <c r="AE2340" i="11"/>
  <c r="L2339" i="11"/>
  <c r="M2339" i="11"/>
  <c r="J2339" i="11"/>
  <c r="AE2339" i="11"/>
  <c r="AC2339" i="11"/>
  <c r="Z2339" i="11"/>
  <c r="Y2339" i="11"/>
  <c r="X2339" i="11"/>
  <c r="W2339" i="11"/>
  <c r="N2339" i="11"/>
  <c r="V2339" i="11"/>
  <c r="U2339" i="11"/>
  <c r="T2339" i="11"/>
  <c r="S2339" i="11"/>
  <c r="R2339" i="11"/>
  <c r="P2339" i="11"/>
  <c r="O2339" i="11"/>
  <c r="I2339" i="11"/>
  <c r="K2339" i="11"/>
  <c r="L2338" i="11"/>
  <c r="M2338" i="11"/>
  <c r="N2338" i="11"/>
  <c r="O2338" i="11"/>
  <c r="P2338" i="11"/>
  <c r="R2338" i="11"/>
  <c r="S2338" i="11"/>
  <c r="T2338" i="11"/>
  <c r="U2338" i="11"/>
  <c r="V2338" i="11"/>
  <c r="W2338" i="11"/>
  <c r="K2338" i="11"/>
  <c r="Y2338" i="11"/>
  <c r="Z2338" i="11"/>
  <c r="AC2338" i="11"/>
  <c r="AE2338" i="11"/>
  <c r="I2338" i="11"/>
  <c r="X2338" i="11"/>
  <c r="J2338" i="11"/>
  <c r="Y2337" i="11"/>
  <c r="AC2337" i="11"/>
  <c r="M2337" i="11"/>
  <c r="AE2337" i="11"/>
  <c r="W2337" i="11"/>
  <c r="I2337" i="11"/>
  <c r="J2337" i="11"/>
  <c r="L2337" i="11"/>
  <c r="K2337" i="11"/>
  <c r="Z2337" i="11"/>
  <c r="N2337" i="11"/>
  <c r="O2337" i="11"/>
  <c r="P2337" i="11"/>
  <c r="R2337" i="11"/>
  <c r="S2337" i="11"/>
  <c r="T2337" i="11"/>
  <c r="U2337" i="11"/>
  <c r="V2337" i="11"/>
  <c r="X2337" i="11"/>
  <c r="M2336" i="11"/>
  <c r="J2336" i="11"/>
  <c r="K2336" i="11"/>
  <c r="U2336" i="11"/>
  <c r="I2336" i="11"/>
  <c r="N2336" i="11"/>
  <c r="O2336" i="11"/>
  <c r="P2336" i="11"/>
  <c r="R2336" i="11"/>
  <c r="S2336" i="11"/>
  <c r="T2336" i="11"/>
  <c r="L2336" i="11"/>
  <c r="V2336" i="11"/>
  <c r="W2336" i="11"/>
  <c r="X2336" i="11"/>
  <c r="Y2336" i="11"/>
  <c r="Z2336" i="11"/>
  <c r="AC2336" i="11"/>
  <c r="AE2336" i="11"/>
  <c r="J2335" i="11"/>
  <c r="K2335" i="11"/>
  <c r="L2335" i="11"/>
  <c r="M2335" i="11"/>
  <c r="N2335" i="11"/>
  <c r="O2335" i="11"/>
  <c r="P2335" i="11"/>
  <c r="T2335" i="11"/>
  <c r="W2335" i="11"/>
  <c r="X2335" i="11"/>
  <c r="Y2335" i="11"/>
  <c r="Z2335" i="11"/>
  <c r="AC2335" i="11"/>
  <c r="S2335" i="11"/>
  <c r="R2335" i="11"/>
  <c r="V2335" i="11"/>
  <c r="U2335" i="11"/>
  <c r="I2335" i="11"/>
  <c r="AE2335" i="11"/>
  <c r="V2334" i="11"/>
  <c r="AE2334" i="11"/>
  <c r="AC2334" i="11"/>
  <c r="Z2334" i="11"/>
  <c r="Y2334" i="11"/>
  <c r="X2334" i="11"/>
  <c r="W2334" i="11"/>
  <c r="U2334" i="11"/>
  <c r="T2334" i="11"/>
  <c r="S2334" i="11"/>
  <c r="R2334" i="11"/>
  <c r="P2334" i="11"/>
  <c r="O2334" i="11"/>
  <c r="N2334" i="11"/>
  <c r="M2334" i="11"/>
  <c r="L2334" i="11"/>
  <c r="K2334" i="11"/>
  <c r="J2334" i="11"/>
  <c r="I2334" i="11"/>
  <c r="X2333" i="11"/>
  <c r="Y2333" i="11"/>
  <c r="Z2333" i="11"/>
  <c r="AC2333" i="11"/>
  <c r="AE2333" i="11"/>
  <c r="S2333" i="11"/>
  <c r="W2333" i="11"/>
  <c r="I2333" i="11"/>
  <c r="J2333" i="11"/>
  <c r="K2333" i="11"/>
  <c r="L2333" i="11"/>
  <c r="M2333" i="11"/>
  <c r="N2333" i="11"/>
  <c r="O2333" i="11"/>
  <c r="P2333" i="11"/>
  <c r="R2333" i="11"/>
  <c r="T2333" i="11"/>
  <c r="U2333" i="11"/>
  <c r="V2333" i="11"/>
  <c r="V2332" i="11"/>
  <c r="J2332" i="11"/>
  <c r="K2332" i="11"/>
  <c r="L2332" i="11"/>
  <c r="N2332" i="11"/>
  <c r="O2332" i="11"/>
  <c r="M2332" i="11"/>
  <c r="P2332" i="11"/>
  <c r="R2332" i="11"/>
  <c r="S2332" i="11"/>
  <c r="T2332" i="11"/>
  <c r="U2332" i="11"/>
  <c r="I2332" i="11"/>
  <c r="X2332" i="11"/>
  <c r="Y2332" i="11"/>
  <c r="Z2332" i="11"/>
  <c r="AC2332" i="11"/>
  <c r="AE2332" i="11"/>
  <c r="W2332" i="11"/>
  <c r="I2331" i="11"/>
  <c r="J2331" i="11"/>
  <c r="K2331" i="11"/>
  <c r="L2331" i="11"/>
  <c r="M2331" i="11"/>
  <c r="N2331" i="11"/>
  <c r="O2331" i="11"/>
  <c r="P2331" i="11"/>
  <c r="R2331" i="11"/>
  <c r="S2331" i="11"/>
  <c r="Y2331" i="11"/>
  <c r="U2331" i="11"/>
  <c r="V2331" i="11"/>
  <c r="W2331" i="11"/>
  <c r="X2331" i="11"/>
  <c r="Z2331" i="11"/>
  <c r="AC2331" i="11"/>
  <c r="T2331" i="11"/>
  <c r="AE2331" i="11"/>
  <c r="K2330" i="11"/>
  <c r="AC2330" i="11"/>
  <c r="Z2330" i="11"/>
  <c r="S2330" i="11"/>
  <c r="Y2330" i="11"/>
  <c r="X2330" i="11"/>
  <c r="V2330" i="11"/>
  <c r="U2330" i="11"/>
  <c r="W2330" i="11"/>
  <c r="T2330" i="11"/>
  <c r="J2330" i="11"/>
  <c r="I2330" i="11"/>
  <c r="R2330" i="11"/>
  <c r="P2330" i="11"/>
  <c r="O2330" i="11"/>
  <c r="N2330" i="11"/>
  <c r="M2330" i="11"/>
  <c r="L2330" i="11"/>
  <c r="AE2330" i="11"/>
  <c r="R2329" i="11"/>
  <c r="P2329" i="11"/>
  <c r="O2329" i="11"/>
  <c r="N2329" i="11"/>
  <c r="M2329" i="11"/>
  <c r="L2329" i="11"/>
  <c r="K2329" i="11"/>
  <c r="J2329" i="11"/>
  <c r="S2329" i="11"/>
  <c r="U2329" i="11"/>
  <c r="AE2329" i="11"/>
  <c r="AC2329" i="11"/>
  <c r="Z2329" i="11"/>
  <c r="Y2329" i="11"/>
  <c r="X2329" i="11"/>
  <c r="W2329" i="11"/>
  <c r="I2329" i="11"/>
  <c r="V2329" i="11"/>
  <c r="T2329" i="11"/>
  <c r="AE2328" i="11"/>
  <c r="Z2328" i="11"/>
  <c r="Y2328" i="11"/>
  <c r="X2328" i="11"/>
  <c r="W2328" i="11"/>
  <c r="U2328" i="11"/>
  <c r="T2328" i="11"/>
  <c r="I2328" i="11"/>
  <c r="V2328" i="11"/>
  <c r="AC2328" i="11"/>
  <c r="J2328" i="11"/>
  <c r="K2328" i="11"/>
  <c r="L2328" i="11"/>
  <c r="M2328" i="11"/>
  <c r="N2328" i="11"/>
  <c r="O2328" i="11"/>
  <c r="P2328" i="11"/>
  <c r="R2328" i="11"/>
  <c r="S2328" i="11"/>
  <c r="V2327" i="11"/>
  <c r="W2327" i="11"/>
  <c r="I2327" i="11"/>
  <c r="X2327" i="11"/>
  <c r="Y2327" i="11"/>
  <c r="Z2327" i="11"/>
  <c r="AC2327" i="11"/>
  <c r="AE2327" i="11"/>
  <c r="K2327" i="11"/>
  <c r="J2327" i="11"/>
  <c r="L2327" i="11"/>
  <c r="M2327" i="11"/>
  <c r="N2327" i="11"/>
  <c r="O2327" i="11"/>
  <c r="P2327" i="11"/>
  <c r="R2327" i="11"/>
  <c r="S2327" i="11"/>
  <c r="T2327" i="11"/>
  <c r="U2327" i="11"/>
  <c r="T2326" i="11"/>
  <c r="U2326" i="11"/>
  <c r="V2326" i="11"/>
  <c r="W2326" i="11"/>
  <c r="X2326" i="11"/>
  <c r="Y2326" i="11"/>
  <c r="Z2326" i="11"/>
  <c r="AC2326" i="11"/>
  <c r="AE2326" i="11"/>
  <c r="I2326" i="11"/>
  <c r="J2326" i="11"/>
  <c r="K2326" i="11"/>
  <c r="L2326" i="11"/>
  <c r="M2326" i="11"/>
  <c r="N2326" i="11"/>
  <c r="O2326" i="11"/>
  <c r="P2326" i="11"/>
  <c r="R2326" i="11"/>
  <c r="S2326" i="11"/>
  <c r="U2325" i="11"/>
  <c r="I2325" i="11"/>
  <c r="J2325" i="11"/>
  <c r="K2325" i="11"/>
  <c r="L2325" i="11"/>
  <c r="M2325" i="11"/>
  <c r="AC2325" i="11"/>
  <c r="N2325" i="11"/>
  <c r="O2325" i="11"/>
  <c r="P2325" i="11"/>
  <c r="R2325" i="11"/>
  <c r="S2325" i="11"/>
  <c r="T2325" i="11"/>
  <c r="V2325" i="11"/>
  <c r="AE2325" i="11"/>
  <c r="W2325" i="11"/>
  <c r="X2325" i="11"/>
  <c r="Y2325" i="11"/>
  <c r="Z2325" i="11"/>
  <c r="S2324" i="11"/>
  <c r="P2324" i="11"/>
  <c r="R2324" i="11"/>
  <c r="I2324" i="11"/>
  <c r="J2324" i="11"/>
  <c r="K2324" i="11"/>
  <c r="L2324" i="11"/>
  <c r="M2324" i="11"/>
  <c r="N2324" i="11"/>
  <c r="O2324" i="11"/>
  <c r="Z2324" i="11"/>
  <c r="AE2324" i="11"/>
  <c r="AC2324" i="11"/>
  <c r="Y2324" i="11"/>
  <c r="X2324" i="11"/>
  <c r="W2324" i="11"/>
  <c r="V2324" i="11"/>
  <c r="U2324" i="11"/>
  <c r="T2324" i="11"/>
  <c r="I2323" i="11"/>
  <c r="T2323" i="11"/>
  <c r="S2323" i="11"/>
  <c r="R2323" i="11"/>
  <c r="O2323" i="11"/>
  <c r="N2323" i="11"/>
  <c r="M2323" i="11"/>
  <c r="K2323" i="11"/>
  <c r="J2323" i="11"/>
  <c r="X2323" i="11"/>
  <c r="AE2323" i="11"/>
  <c r="P2323" i="11"/>
  <c r="AC2323" i="11"/>
  <c r="Z2323" i="11"/>
  <c r="Y2323" i="11"/>
  <c r="L2323" i="11"/>
  <c r="W2323" i="11"/>
  <c r="V2323" i="11"/>
  <c r="U2323" i="11"/>
  <c r="M2322" i="11"/>
  <c r="AE2322" i="11"/>
  <c r="AC2322" i="11"/>
  <c r="Z2322" i="11"/>
  <c r="Y2322" i="11"/>
  <c r="X2322" i="11"/>
  <c r="W2322" i="11"/>
  <c r="V2322" i="11"/>
  <c r="U2322" i="11"/>
  <c r="T2322" i="11"/>
  <c r="S2322" i="11"/>
  <c r="R2322" i="11"/>
  <c r="P2322" i="11"/>
  <c r="O2322" i="11"/>
  <c r="N2322" i="11"/>
  <c r="L2322" i="11"/>
  <c r="K2322" i="11"/>
  <c r="J2322" i="11"/>
  <c r="I2322" i="11"/>
  <c r="S2321" i="11"/>
  <c r="N2321" i="11"/>
  <c r="I2321" i="11"/>
  <c r="J2321" i="11"/>
  <c r="K2321" i="11"/>
  <c r="L2321" i="11"/>
  <c r="M2321" i="11"/>
  <c r="O2321" i="11"/>
  <c r="P2321" i="11"/>
  <c r="R2321" i="11"/>
  <c r="AE2321" i="11"/>
  <c r="AC2321" i="11"/>
  <c r="Z2321" i="11"/>
  <c r="Y2321" i="11"/>
  <c r="X2321" i="11"/>
  <c r="W2321" i="11"/>
  <c r="V2321" i="11"/>
  <c r="U2321" i="11"/>
  <c r="T2321" i="11"/>
  <c r="T2320" i="11"/>
  <c r="U2320" i="11"/>
  <c r="W2320" i="11"/>
  <c r="AE2320" i="11"/>
  <c r="X2320" i="11"/>
  <c r="Y2320" i="11"/>
  <c r="Z2320" i="11"/>
  <c r="AC2320" i="11"/>
  <c r="V2320" i="11"/>
  <c r="I2320" i="11"/>
  <c r="J2320" i="11"/>
  <c r="K2320" i="11"/>
  <c r="L2320" i="11"/>
  <c r="M2320" i="11"/>
  <c r="N2320" i="11"/>
  <c r="O2320" i="11"/>
  <c r="P2320" i="11"/>
  <c r="R2320" i="11"/>
  <c r="S2320" i="11"/>
  <c r="T2319" i="11"/>
  <c r="U2319" i="11"/>
  <c r="V2319" i="11"/>
  <c r="W2319" i="11"/>
  <c r="X2319" i="11"/>
  <c r="Y2319" i="11"/>
  <c r="Z2319" i="11"/>
  <c r="AC2319" i="11"/>
  <c r="AE2319" i="11"/>
  <c r="K2319" i="11"/>
  <c r="I2319" i="11"/>
  <c r="J2319" i="11"/>
  <c r="L2319" i="11"/>
  <c r="M2319" i="11"/>
  <c r="N2319" i="11"/>
  <c r="O2319" i="11"/>
  <c r="P2319" i="11"/>
  <c r="R2319" i="11"/>
  <c r="S2319" i="11"/>
  <c r="Z2318" i="11"/>
  <c r="V2318" i="11"/>
  <c r="J2318" i="11"/>
  <c r="I2318" i="11"/>
  <c r="S2318" i="11"/>
  <c r="W2318" i="11"/>
  <c r="X2318" i="11"/>
  <c r="Y2318" i="11"/>
  <c r="U2318" i="11"/>
  <c r="AC2318" i="11"/>
  <c r="T2318" i="11"/>
  <c r="R2318" i="11"/>
  <c r="P2318" i="11"/>
  <c r="O2318" i="11"/>
  <c r="N2318" i="11"/>
  <c r="M2318" i="11"/>
  <c r="AE2318" i="11"/>
  <c r="L2318" i="11"/>
  <c r="K2318" i="11"/>
  <c r="AE2317" i="11"/>
  <c r="W2317" i="11"/>
  <c r="I2317" i="11"/>
  <c r="J2317" i="11"/>
  <c r="K2317" i="11"/>
  <c r="L2317" i="11"/>
  <c r="M2317" i="11"/>
  <c r="N2317" i="11"/>
  <c r="O2317" i="11"/>
  <c r="P2317" i="11"/>
  <c r="R2317" i="11"/>
  <c r="S2317" i="11"/>
  <c r="T2317" i="11"/>
  <c r="U2317" i="11"/>
  <c r="V2317" i="11"/>
  <c r="X2317" i="11"/>
  <c r="Y2317" i="11"/>
  <c r="Z2317" i="11"/>
  <c r="AC2317" i="11"/>
  <c r="I2316" i="11"/>
  <c r="J2316" i="11"/>
  <c r="AE2316" i="11"/>
  <c r="AC2316" i="11"/>
  <c r="Z2316" i="11"/>
  <c r="Y2316" i="11"/>
  <c r="X2316" i="11"/>
  <c r="W2316" i="11"/>
  <c r="V2316" i="11"/>
  <c r="U2316" i="11"/>
  <c r="T2316" i="11"/>
  <c r="N2316" i="11"/>
  <c r="S2316" i="11"/>
  <c r="R2316" i="11"/>
  <c r="P2316" i="11"/>
  <c r="O2316" i="11"/>
  <c r="M2316" i="11"/>
  <c r="L2316" i="11"/>
  <c r="K2316" i="11"/>
  <c r="I2315" i="11"/>
  <c r="T2315" i="11"/>
  <c r="J2315" i="11"/>
  <c r="L2315" i="11"/>
  <c r="M2315" i="11"/>
  <c r="N2315" i="11"/>
  <c r="O2315" i="11"/>
  <c r="P2315" i="11"/>
  <c r="R2315" i="11"/>
  <c r="S2315" i="11"/>
  <c r="K2315" i="11"/>
  <c r="AE2315" i="11"/>
  <c r="AC2315" i="11"/>
  <c r="Z2315" i="11"/>
  <c r="Y2315" i="11"/>
  <c r="X2315" i="11"/>
  <c r="W2315" i="11"/>
  <c r="V2315" i="11"/>
  <c r="U2315" i="11"/>
  <c r="T2314" i="11"/>
  <c r="I2314" i="11"/>
  <c r="P2314" i="11"/>
  <c r="R2314" i="11"/>
  <c r="K2314" i="11"/>
  <c r="S2314" i="11"/>
  <c r="L2314" i="11"/>
  <c r="M2314" i="11"/>
  <c r="N2314" i="11"/>
  <c r="J2314" i="11"/>
  <c r="O2314" i="11"/>
  <c r="AE2314" i="11"/>
  <c r="AC2314" i="11"/>
  <c r="Z2314" i="11"/>
  <c r="Y2314" i="11"/>
  <c r="X2314" i="11"/>
  <c r="W2314" i="11"/>
  <c r="V2314" i="11"/>
  <c r="U2314" i="11"/>
  <c r="T2313" i="11"/>
  <c r="S2313" i="11"/>
  <c r="P2313" i="11"/>
  <c r="O2313" i="11"/>
  <c r="N2313" i="11"/>
  <c r="M2313" i="11"/>
  <c r="L2313" i="11"/>
  <c r="K2313" i="11"/>
  <c r="J2313" i="11"/>
  <c r="I2313" i="11"/>
  <c r="R2313" i="11"/>
  <c r="V2313" i="11"/>
  <c r="AE2313" i="11"/>
  <c r="AC2313" i="11"/>
  <c r="Z2313" i="11"/>
  <c r="Y2313" i="11"/>
  <c r="X2313" i="11"/>
  <c r="W2313" i="11"/>
  <c r="U2313" i="11"/>
  <c r="J2312" i="11"/>
  <c r="V2312" i="11"/>
  <c r="T2312" i="11"/>
  <c r="W2312" i="11"/>
  <c r="X2312" i="11"/>
  <c r="Y2312" i="11"/>
  <c r="AC2312" i="11"/>
  <c r="AE2312" i="11"/>
  <c r="I2312" i="11"/>
  <c r="Z2312" i="11"/>
  <c r="S2312" i="11"/>
  <c r="U2312" i="11"/>
  <c r="R2312" i="11"/>
  <c r="P2312" i="11"/>
  <c r="O2312" i="11"/>
  <c r="N2312" i="11"/>
  <c r="M2312" i="11"/>
  <c r="L2312" i="11"/>
  <c r="K2312" i="11"/>
  <c r="AE2311" i="11"/>
  <c r="J2311" i="11"/>
  <c r="I2311" i="11"/>
  <c r="K2311" i="11"/>
  <c r="L2311" i="11"/>
  <c r="M2311" i="11"/>
  <c r="N2311" i="11"/>
  <c r="O2311" i="11"/>
  <c r="P2311" i="11"/>
  <c r="R2311" i="11"/>
  <c r="S2311" i="11"/>
  <c r="T2311" i="11"/>
  <c r="U2311" i="11"/>
  <c r="V2311" i="11"/>
  <c r="W2311" i="11"/>
  <c r="X2311" i="11"/>
  <c r="Y2311" i="11"/>
  <c r="Z2311" i="11"/>
  <c r="AC2311" i="11"/>
  <c r="AE2310" i="11"/>
  <c r="U2310" i="11"/>
  <c r="T2310" i="11"/>
  <c r="S2310" i="11"/>
  <c r="R2310" i="11"/>
  <c r="P2310" i="11"/>
  <c r="O2310" i="11"/>
  <c r="N2310" i="11"/>
  <c r="M2310" i="11"/>
  <c r="L2310" i="11"/>
  <c r="K2310" i="11"/>
  <c r="I2310" i="11"/>
  <c r="J2310" i="11"/>
  <c r="V2310" i="11"/>
  <c r="W2310" i="11"/>
  <c r="X2310" i="11"/>
  <c r="Y2310" i="11"/>
  <c r="Z2310" i="11"/>
  <c r="AC2310" i="11"/>
  <c r="K2309" i="11"/>
  <c r="L2309" i="11"/>
  <c r="M2309" i="11"/>
  <c r="T2309" i="11"/>
  <c r="U2309" i="11"/>
  <c r="N2309" i="11"/>
  <c r="O2309" i="11"/>
  <c r="S2309" i="11"/>
  <c r="P2309" i="11"/>
  <c r="R2309" i="11"/>
  <c r="I2309" i="11"/>
  <c r="J2309" i="11"/>
  <c r="AE2309" i="11"/>
  <c r="AC2309" i="11"/>
  <c r="Z2309" i="11"/>
  <c r="Y2309" i="11"/>
  <c r="X2309" i="11"/>
  <c r="W2309" i="11"/>
  <c r="V2309" i="11"/>
  <c r="R2308" i="11"/>
  <c r="S2308" i="11"/>
  <c r="T2308" i="11"/>
  <c r="U2308" i="11"/>
  <c r="V2308" i="11"/>
  <c r="W2308" i="11"/>
  <c r="Y2308" i="11"/>
  <c r="Z2308" i="11"/>
  <c r="AE2308" i="11"/>
  <c r="X2308" i="11"/>
  <c r="AC2308" i="11"/>
  <c r="L2308" i="11"/>
  <c r="I2308" i="11"/>
  <c r="J2308" i="11"/>
  <c r="K2308" i="11"/>
  <c r="M2308" i="11"/>
  <c r="N2308" i="11"/>
  <c r="O2308" i="11"/>
  <c r="P2308" i="11"/>
  <c r="V2307" i="11"/>
  <c r="T2307" i="11"/>
  <c r="W2307" i="11"/>
  <c r="S2307" i="11"/>
  <c r="R2307" i="11"/>
  <c r="P2307" i="11"/>
  <c r="I2307" i="11"/>
  <c r="O2307" i="11"/>
  <c r="N2307" i="11"/>
  <c r="M2307" i="11"/>
  <c r="L2307" i="11"/>
  <c r="K2307" i="11"/>
  <c r="J2307" i="11"/>
  <c r="U2307" i="11"/>
  <c r="AE2307" i="11"/>
  <c r="AC2307" i="11"/>
  <c r="Z2307" i="11"/>
  <c r="Y2307" i="11"/>
  <c r="X2307" i="11"/>
  <c r="J2306" i="11"/>
  <c r="I2306" i="11"/>
  <c r="S2306" i="11"/>
  <c r="L2306" i="11"/>
  <c r="M2306" i="11"/>
  <c r="N2306" i="11"/>
  <c r="O2306" i="11"/>
  <c r="K2306" i="11"/>
  <c r="R2306" i="11"/>
  <c r="T2306" i="11"/>
  <c r="U2306" i="11"/>
  <c r="V2306" i="11"/>
  <c r="W2306" i="11"/>
  <c r="X2306" i="11"/>
  <c r="Y2306" i="11"/>
  <c r="Z2306" i="11"/>
  <c r="AC2306" i="11"/>
  <c r="AE2306" i="11"/>
  <c r="P2306" i="11"/>
  <c r="U2305" i="11"/>
  <c r="T2305" i="11"/>
  <c r="S2305" i="11"/>
  <c r="R2305" i="11"/>
  <c r="P2305" i="11"/>
  <c r="O2305" i="11"/>
  <c r="N2305" i="11"/>
  <c r="M2305" i="11"/>
  <c r="L2305" i="11"/>
  <c r="K2305" i="11"/>
  <c r="J2305" i="11"/>
  <c r="I2305" i="11"/>
  <c r="AE2305" i="11"/>
  <c r="AC2305" i="11"/>
  <c r="Z2305" i="11"/>
  <c r="Y2305" i="11"/>
  <c r="X2305" i="11"/>
  <c r="W2305" i="11"/>
  <c r="V2305" i="11"/>
  <c r="AC2304" i="11"/>
  <c r="S2304" i="11"/>
  <c r="T2304" i="11"/>
  <c r="U2304" i="11"/>
  <c r="AE2304" i="11"/>
  <c r="W2304" i="11"/>
  <c r="V2304" i="11"/>
  <c r="Z2304" i="11"/>
  <c r="Y2304" i="11"/>
  <c r="X2304" i="11"/>
  <c r="I2304" i="11"/>
  <c r="J2304" i="11"/>
  <c r="K2304" i="11"/>
  <c r="L2304" i="11"/>
  <c r="M2304" i="11"/>
  <c r="N2304" i="11"/>
  <c r="O2304" i="11"/>
  <c r="P2304" i="11"/>
  <c r="R2304" i="11"/>
  <c r="L2303" i="11"/>
  <c r="K2303" i="11"/>
  <c r="J2303" i="11"/>
  <c r="S2303" i="11"/>
  <c r="R2303" i="11"/>
  <c r="P2303" i="11"/>
  <c r="O2303" i="11"/>
  <c r="N2303" i="11"/>
  <c r="M2303" i="11"/>
  <c r="V2303" i="11"/>
  <c r="T2303" i="11"/>
  <c r="AE2303" i="11"/>
  <c r="AC2303" i="11"/>
  <c r="Z2303" i="11"/>
  <c r="Y2303" i="11"/>
  <c r="X2303" i="11"/>
  <c r="W2303" i="11"/>
  <c r="I2303" i="11"/>
  <c r="U2303" i="11"/>
  <c r="AE2302" i="11"/>
  <c r="AC2302" i="11"/>
  <c r="Y2302" i="11"/>
  <c r="X2302" i="11"/>
  <c r="W2302" i="11"/>
  <c r="L2302" i="11"/>
  <c r="N2302" i="11"/>
  <c r="O2302" i="11"/>
  <c r="P2302" i="11"/>
  <c r="R2302" i="11"/>
  <c r="S2302" i="11"/>
  <c r="Z2302" i="11"/>
  <c r="T2302" i="11"/>
  <c r="U2302" i="11"/>
  <c r="V2302" i="11"/>
  <c r="I2302" i="11"/>
  <c r="M2302" i="11"/>
  <c r="J2302" i="11"/>
  <c r="K2302" i="11"/>
  <c r="J2301" i="11"/>
  <c r="I2301" i="11"/>
  <c r="AE2301" i="11"/>
  <c r="AC2301" i="11"/>
  <c r="Z2301" i="11"/>
  <c r="Y2301" i="11"/>
  <c r="X2301" i="11"/>
  <c r="W2301" i="11"/>
  <c r="V2301" i="11"/>
  <c r="U2301" i="11"/>
  <c r="T2301" i="11"/>
  <c r="S2301" i="11"/>
  <c r="R2301" i="11"/>
  <c r="P2301" i="11"/>
  <c r="O2301" i="11"/>
  <c r="N2301" i="11"/>
  <c r="M2301" i="11"/>
  <c r="L2301" i="11"/>
  <c r="K2301" i="11"/>
  <c r="U2300" i="11"/>
  <c r="M2300" i="11"/>
  <c r="AE2300" i="11"/>
  <c r="AC2300" i="11"/>
  <c r="Z2300" i="11"/>
  <c r="Y2300" i="11"/>
  <c r="X2300" i="11"/>
  <c r="W2300" i="11"/>
  <c r="V2300" i="11"/>
  <c r="J2300" i="11"/>
  <c r="K2300" i="11"/>
  <c r="L2300" i="11"/>
  <c r="T2300" i="11"/>
  <c r="S2300" i="11"/>
  <c r="I2300" i="11"/>
  <c r="R2300" i="11"/>
  <c r="P2300" i="11"/>
  <c r="O2300" i="11"/>
  <c r="N2300" i="11"/>
  <c r="M2299" i="11"/>
  <c r="L2299" i="11"/>
  <c r="I2299" i="11"/>
  <c r="K2299" i="11"/>
  <c r="J2299" i="11"/>
  <c r="AE2299" i="11"/>
  <c r="AC2299" i="11"/>
  <c r="Z2299" i="11"/>
  <c r="Y2299" i="11"/>
  <c r="X2299" i="11"/>
  <c r="W2299" i="11"/>
  <c r="V2299" i="11"/>
  <c r="U2299" i="11"/>
  <c r="T2299" i="11"/>
  <c r="S2299" i="11"/>
  <c r="R2299" i="11"/>
  <c r="P2299" i="11"/>
  <c r="O2299" i="11"/>
  <c r="N2299" i="11"/>
  <c r="S2298" i="11"/>
  <c r="K2298" i="11"/>
  <c r="L2298" i="11"/>
  <c r="M2298" i="11"/>
  <c r="N2298" i="11"/>
  <c r="O2298" i="11"/>
  <c r="P2298" i="11"/>
  <c r="R2298" i="11"/>
  <c r="T2298" i="11"/>
  <c r="U2298" i="11"/>
  <c r="V2298" i="11"/>
  <c r="W2298" i="11"/>
  <c r="X2298" i="11"/>
  <c r="Y2298" i="11"/>
  <c r="Z2298" i="11"/>
  <c r="AC2298" i="11"/>
  <c r="AE2298" i="11"/>
  <c r="J2298" i="11"/>
  <c r="I2298" i="11"/>
  <c r="AE2297" i="11"/>
  <c r="AC2297" i="11"/>
  <c r="Z2297" i="11"/>
  <c r="Y2297" i="11"/>
  <c r="X2297" i="11"/>
  <c r="W2297" i="11"/>
  <c r="V2297" i="11"/>
  <c r="U2297" i="11"/>
  <c r="T2297" i="11"/>
  <c r="N2297" i="11"/>
  <c r="S2297" i="11"/>
  <c r="R2297" i="11"/>
  <c r="P2297" i="11"/>
  <c r="O2297" i="11"/>
  <c r="M2297" i="11"/>
  <c r="L2297" i="11"/>
  <c r="K2297" i="11"/>
  <c r="J2297" i="11"/>
  <c r="I2297" i="11"/>
  <c r="I2296" i="11"/>
  <c r="K2296" i="11"/>
  <c r="J2296" i="11"/>
  <c r="AE2296" i="11"/>
  <c r="AC2296" i="11"/>
  <c r="Z2296" i="11"/>
  <c r="Y2296" i="11"/>
  <c r="X2296" i="11"/>
  <c r="W2296" i="11"/>
  <c r="V2296" i="11"/>
  <c r="U2296" i="11"/>
  <c r="T2296" i="11"/>
  <c r="S2296" i="11"/>
  <c r="R2296" i="11"/>
  <c r="P2296" i="11"/>
  <c r="O2296" i="11"/>
  <c r="N2296" i="11"/>
  <c r="M2296" i="11"/>
  <c r="L2296" i="11"/>
  <c r="AE2295" i="11"/>
  <c r="U2295" i="11"/>
  <c r="O2295" i="11"/>
  <c r="I2295" i="11"/>
  <c r="J2295" i="11"/>
  <c r="K2295" i="11"/>
  <c r="L2295" i="11"/>
  <c r="M2295" i="11"/>
  <c r="N2295" i="11"/>
  <c r="P2295" i="11"/>
  <c r="R2295" i="11"/>
  <c r="S2295" i="11"/>
  <c r="T2295" i="11"/>
  <c r="V2295" i="11"/>
  <c r="W2295" i="11"/>
  <c r="X2295" i="11"/>
  <c r="Y2295" i="11"/>
  <c r="Z2295" i="11"/>
  <c r="AC2295" i="11"/>
  <c r="AE2294" i="11"/>
  <c r="I2294" i="11"/>
  <c r="J2294" i="11"/>
  <c r="K2294" i="11"/>
  <c r="L2294" i="11"/>
  <c r="M2294" i="11"/>
  <c r="N2294" i="11"/>
  <c r="O2294" i="11"/>
  <c r="P2294" i="11"/>
  <c r="R2294" i="11"/>
  <c r="S2294" i="11"/>
  <c r="T2294" i="11"/>
  <c r="U2294" i="11"/>
  <c r="V2294" i="11"/>
  <c r="W2294" i="11"/>
  <c r="X2294" i="11"/>
  <c r="Y2294" i="11"/>
  <c r="Z2294" i="11"/>
  <c r="AC2294" i="11"/>
  <c r="V2293" i="11"/>
  <c r="N2293" i="11"/>
  <c r="M2293" i="11"/>
  <c r="L2293" i="11"/>
  <c r="I2293" i="11"/>
  <c r="AE2293" i="11"/>
  <c r="AC2293" i="11"/>
  <c r="Z2293" i="11"/>
  <c r="Y2293" i="11"/>
  <c r="J2293" i="11"/>
  <c r="X2293" i="11"/>
  <c r="W2293" i="11"/>
  <c r="K2293" i="11"/>
  <c r="U2293" i="11"/>
  <c r="T2293" i="11"/>
  <c r="S2293" i="11"/>
  <c r="R2293" i="11"/>
  <c r="P2293" i="11"/>
  <c r="O2293" i="11"/>
  <c r="AE2292" i="11"/>
  <c r="M2292" i="11"/>
  <c r="N2292" i="11"/>
  <c r="O2292" i="11"/>
  <c r="P2292" i="11"/>
  <c r="R2292" i="11"/>
  <c r="S2292" i="11"/>
  <c r="K2292" i="11"/>
  <c r="T2292" i="11"/>
  <c r="U2292" i="11"/>
  <c r="V2292" i="11"/>
  <c r="W2292" i="11"/>
  <c r="X2292" i="11"/>
  <c r="Y2292" i="11"/>
  <c r="Z2292" i="11"/>
  <c r="AC2292" i="11"/>
  <c r="L2292" i="11"/>
  <c r="J2292" i="11"/>
  <c r="I2292" i="11"/>
  <c r="X2291" i="11"/>
  <c r="K2291" i="11"/>
  <c r="J2291" i="11"/>
  <c r="I2291" i="11"/>
  <c r="AE2291" i="11"/>
  <c r="AC2291" i="11"/>
  <c r="Z2291" i="11"/>
  <c r="U2291" i="11"/>
  <c r="Y2291" i="11"/>
  <c r="W2291" i="11"/>
  <c r="V2291" i="11"/>
  <c r="T2291" i="11"/>
  <c r="S2291" i="11"/>
  <c r="R2291" i="11"/>
  <c r="P2291" i="11"/>
  <c r="O2291" i="11"/>
  <c r="N2291" i="11"/>
  <c r="M2291" i="11"/>
  <c r="L2291" i="11"/>
  <c r="S2290" i="11"/>
  <c r="J2290" i="11"/>
  <c r="K2290" i="11"/>
  <c r="L2290" i="11"/>
  <c r="M2290" i="11"/>
  <c r="N2290" i="11"/>
  <c r="O2290" i="11"/>
  <c r="P2290" i="11"/>
  <c r="R2290" i="11"/>
  <c r="W2290" i="11"/>
  <c r="T2290" i="11"/>
  <c r="U2290" i="11"/>
  <c r="V2290" i="11"/>
  <c r="X2290" i="11"/>
  <c r="Y2290" i="11"/>
  <c r="Z2290" i="11"/>
  <c r="AC2290" i="11"/>
  <c r="AE2290" i="11"/>
  <c r="I2290" i="11"/>
  <c r="J2289" i="11"/>
  <c r="I2289" i="11"/>
  <c r="AE2289" i="11"/>
  <c r="AC2289" i="11"/>
  <c r="Z2289" i="11"/>
  <c r="Y2289" i="11"/>
  <c r="X2289" i="11"/>
  <c r="W2289" i="11"/>
  <c r="V2289" i="11"/>
  <c r="U2289" i="11"/>
  <c r="T2289" i="11"/>
  <c r="S2289" i="11"/>
  <c r="R2289" i="11"/>
  <c r="P2289" i="11"/>
  <c r="O2289" i="11"/>
  <c r="N2289" i="11"/>
  <c r="M2289" i="11"/>
  <c r="L2289" i="11"/>
  <c r="K2289" i="11"/>
  <c r="R2288" i="11"/>
  <c r="O2288" i="11"/>
  <c r="N2288" i="11"/>
  <c r="J2288" i="11"/>
  <c r="I2288" i="11"/>
  <c r="AE2288" i="11"/>
  <c r="AC2288" i="11"/>
  <c r="Z2288" i="11"/>
  <c r="Y2288" i="11"/>
  <c r="V2288" i="11"/>
  <c r="M2288" i="11"/>
  <c r="X2288" i="11"/>
  <c r="W2288" i="11"/>
  <c r="K2288" i="11"/>
  <c r="U2288" i="11"/>
  <c r="T2288" i="11"/>
  <c r="S2288" i="11"/>
  <c r="L2288" i="11"/>
  <c r="P2288" i="11"/>
  <c r="L2287" i="11"/>
  <c r="K2287" i="11"/>
  <c r="J2287" i="11"/>
  <c r="I2287" i="11"/>
  <c r="V2287" i="11"/>
  <c r="AC2287" i="11"/>
  <c r="Z2287" i="11"/>
  <c r="Y2287" i="11"/>
  <c r="X2287" i="11"/>
  <c r="W2287" i="11"/>
  <c r="U2287" i="11"/>
  <c r="T2287" i="11"/>
  <c r="S2287" i="11"/>
  <c r="R2287" i="11"/>
  <c r="P2287" i="11"/>
  <c r="O2287" i="11"/>
  <c r="N2287" i="11"/>
  <c r="M2287" i="11"/>
  <c r="AE2287" i="11"/>
  <c r="X2286" i="11"/>
  <c r="AE2286" i="11"/>
  <c r="AC2286" i="11"/>
  <c r="Z2286" i="11"/>
  <c r="Y2286" i="11"/>
  <c r="J2286" i="11"/>
  <c r="K2286" i="11"/>
  <c r="L2286" i="11"/>
  <c r="M2286" i="11"/>
  <c r="N2286" i="11"/>
  <c r="O2286" i="11"/>
  <c r="V2286" i="11"/>
  <c r="P2286" i="11"/>
  <c r="R2286" i="11"/>
  <c r="S2286" i="11"/>
  <c r="T2286" i="11"/>
  <c r="W2286" i="11"/>
  <c r="U2286" i="11"/>
  <c r="I2286" i="11"/>
  <c r="Y2285" i="11"/>
  <c r="AE2285" i="11"/>
  <c r="AC2285" i="11"/>
  <c r="Z2285" i="11"/>
  <c r="X2285" i="11"/>
  <c r="W2285" i="11"/>
  <c r="V2285" i="11"/>
  <c r="U2285" i="11"/>
  <c r="T2285" i="11"/>
  <c r="S2285" i="11"/>
  <c r="R2285" i="11"/>
  <c r="P2285" i="11"/>
  <c r="O2285" i="11"/>
  <c r="N2285" i="11"/>
  <c r="M2285" i="11"/>
  <c r="L2285" i="11"/>
  <c r="K2285" i="11"/>
  <c r="J2285" i="11"/>
  <c r="I2285" i="11"/>
  <c r="I2284" i="11"/>
  <c r="U2284" i="11"/>
  <c r="T2284" i="11"/>
  <c r="S2284" i="11"/>
  <c r="R2284" i="11"/>
  <c r="P2284" i="11"/>
  <c r="O2284" i="11"/>
  <c r="N2284" i="11"/>
  <c r="M2284" i="11"/>
  <c r="L2284" i="11"/>
  <c r="K2284" i="11"/>
  <c r="J2284" i="11"/>
  <c r="AE2284" i="11"/>
  <c r="AC2284" i="11"/>
  <c r="Z2284" i="11"/>
  <c r="Y2284" i="11"/>
  <c r="X2284" i="11"/>
  <c r="W2284" i="11"/>
  <c r="V2284" i="11"/>
  <c r="Z2283" i="11"/>
  <c r="AC2283" i="11"/>
  <c r="AE2283" i="11"/>
  <c r="W2283" i="11"/>
  <c r="R2283" i="11"/>
  <c r="T2283" i="11"/>
  <c r="U2283" i="11"/>
  <c r="V2283" i="11"/>
  <c r="X2283" i="11"/>
  <c r="Y2283" i="11"/>
  <c r="I2283" i="11"/>
  <c r="S2283" i="11"/>
  <c r="J2283" i="11"/>
  <c r="K2283" i="11"/>
  <c r="L2283" i="11"/>
  <c r="M2283" i="11"/>
  <c r="N2283" i="11"/>
  <c r="O2283" i="11"/>
  <c r="P2283" i="11"/>
  <c r="J2282" i="11"/>
  <c r="AE2282" i="11"/>
  <c r="K2282" i="11"/>
  <c r="L2282" i="11"/>
  <c r="M2282" i="11"/>
  <c r="N2282" i="11"/>
  <c r="O2282" i="11"/>
  <c r="P2282" i="11"/>
  <c r="R2282" i="11"/>
  <c r="I2282" i="11"/>
  <c r="S2282" i="11"/>
  <c r="T2282" i="11"/>
  <c r="U2282" i="11"/>
  <c r="V2282" i="11"/>
  <c r="W2282" i="11"/>
  <c r="X2282" i="11"/>
  <c r="Y2282" i="11"/>
  <c r="Z2282" i="11"/>
  <c r="AC2282" i="11"/>
  <c r="AE2281" i="11"/>
  <c r="I2281" i="11"/>
  <c r="J2281" i="11"/>
  <c r="K2281" i="11"/>
  <c r="L2281" i="11"/>
  <c r="M2281" i="11"/>
  <c r="N2281" i="11"/>
  <c r="O2281" i="11"/>
  <c r="P2281" i="11"/>
  <c r="R2281" i="11"/>
  <c r="S2281" i="11"/>
  <c r="T2281" i="11"/>
  <c r="U2281" i="11"/>
  <c r="V2281" i="11"/>
  <c r="W2281" i="11"/>
  <c r="X2281" i="11"/>
  <c r="Y2281" i="11"/>
  <c r="Z2281" i="11"/>
  <c r="AC2281" i="11"/>
  <c r="O2280" i="11"/>
  <c r="J2280" i="11"/>
  <c r="AE2280" i="11"/>
  <c r="AC2280" i="11"/>
  <c r="Z2280" i="11"/>
  <c r="Y2280" i="11"/>
  <c r="X2280" i="11"/>
  <c r="W2280" i="11"/>
  <c r="V2280" i="11"/>
  <c r="U2280" i="11"/>
  <c r="T2280" i="11"/>
  <c r="S2280" i="11"/>
  <c r="R2280" i="11"/>
  <c r="P2280" i="11"/>
  <c r="I2280" i="11"/>
  <c r="N2280" i="11"/>
  <c r="M2280" i="11"/>
  <c r="L2280" i="11"/>
  <c r="K2280" i="11"/>
  <c r="I2279" i="11"/>
  <c r="X2279" i="11"/>
  <c r="J2279" i="11"/>
  <c r="K2279" i="11"/>
  <c r="L2279" i="11"/>
  <c r="M2279" i="11"/>
  <c r="U2279" i="11"/>
  <c r="N2279" i="11"/>
  <c r="O2279" i="11"/>
  <c r="P2279" i="11"/>
  <c r="R2279" i="11"/>
  <c r="S2279" i="11"/>
  <c r="V2279" i="11"/>
  <c r="AE2279" i="11"/>
  <c r="AC2279" i="11"/>
  <c r="Z2279" i="11"/>
  <c r="Y2279" i="11"/>
  <c r="T2279" i="11"/>
  <c r="W2279" i="11"/>
  <c r="Z2278" i="11"/>
  <c r="J2278" i="11"/>
  <c r="AE2278" i="11"/>
  <c r="AC2278" i="11"/>
  <c r="Y2278" i="11"/>
  <c r="X2278" i="11"/>
  <c r="W2278" i="11"/>
  <c r="V2278" i="11"/>
  <c r="U2278" i="11"/>
  <c r="T2278" i="11"/>
  <c r="S2278" i="11"/>
  <c r="R2278" i="11"/>
  <c r="P2278" i="11"/>
  <c r="O2278" i="11"/>
  <c r="N2278" i="11"/>
  <c r="M2278" i="11"/>
  <c r="L2278" i="11"/>
  <c r="K2278" i="11"/>
  <c r="I2278" i="11"/>
  <c r="N2277" i="11"/>
  <c r="V2277" i="11"/>
  <c r="U2277" i="11"/>
  <c r="T2277" i="11"/>
  <c r="S2277" i="11"/>
  <c r="Z2277" i="11"/>
  <c r="AE2277" i="11"/>
  <c r="I2277" i="11"/>
  <c r="J2277" i="11"/>
  <c r="K2277" i="11"/>
  <c r="L2277" i="11"/>
  <c r="M2277" i="11"/>
  <c r="X2277" i="11"/>
  <c r="AC2277" i="11"/>
  <c r="O2277" i="11"/>
  <c r="P2277" i="11"/>
  <c r="R2277" i="11"/>
  <c r="Y2277" i="11"/>
  <c r="W2277" i="11"/>
  <c r="V2276" i="11"/>
  <c r="W2276" i="11"/>
  <c r="X2276" i="11"/>
  <c r="Y2276" i="11"/>
  <c r="Z2276" i="11"/>
  <c r="AC2276" i="11"/>
  <c r="U2276" i="11"/>
  <c r="I2276" i="11"/>
  <c r="AE2276" i="11"/>
  <c r="T2276" i="11"/>
  <c r="S2276" i="11"/>
  <c r="R2276" i="11"/>
  <c r="P2276" i="11"/>
  <c r="O2276" i="11"/>
  <c r="N2276" i="11"/>
  <c r="M2276" i="11"/>
  <c r="L2276" i="11"/>
  <c r="K2276" i="11"/>
  <c r="J2276" i="11"/>
  <c r="V2275" i="11"/>
  <c r="AE2275" i="11"/>
  <c r="AC2275" i="11"/>
  <c r="Z2275" i="11"/>
  <c r="Y2275" i="11"/>
  <c r="X2275" i="11"/>
  <c r="W2275" i="11"/>
  <c r="U2275" i="11"/>
  <c r="T2275" i="11"/>
  <c r="S2275" i="11"/>
  <c r="R2275" i="11"/>
  <c r="P2275" i="11"/>
  <c r="O2275" i="11"/>
  <c r="N2275" i="11"/>
  <c r="M2275" i="11"/>
  <c r="L2275" i="11"/>
  <c r="K2275" i="11"/>
  <c r="J2275" i="11"/>
  <c r="I2275" i="11"/>
  <c r="Y2274" i="11"/>
  <c r="AE2274" i="11"/>
  <c r="AC2274" i="11"/>
  <c r="Z2274" i="11"/>
  <c r="X2274" i="11"/>
  <c r="W2274" i="11"/>
  <c r="V2274" i="11"/>
  <c r="U2274" i="11"/>
  <c r="T2274" i="11"/>
  <c r="S2274" i="11"/>
  <c r="R2274" i="11"/>
  <c r="P2274" i="11"/>
  <c r="O2274" i="11"/>
  <c r="N2274" i="11"/>
  <c r="M2274" i="11"/>
  <c r="L2274" i="11"/>
  <c r="K2274" i="11"/>
  <c r="J2274" i="11"/>
  <c r="I2274" i="11"/>
  <c r="W2273" i="11"/>
  <c r="I2273" i="11"/>
  <c r="J2273" i="11"/>
  <c r="K2273" i="11"/>
  <c r="L2273" i="11"/>
  <c r="M2273" i="11"/>
  <c r="U2273" i="11"/>
  <c r="N2273" i="11"/>
  <c r="O2273" i="11"/>
  <c r="P2273" i="11"/>
  <c r="R2273" i="11"/>
  <c r="S2273" i="11"/>
  <c r="T2273" i="11"/>
  <c r="V2273" i="11"/>
  <c r="AE2273" i="11"/>
  <c r="AC2273" i="11"/>
  <c r="Z2273" i="11"/>
  <c r="Y2273" i="11"/>
  <c r="X2273" i="11"/>
  <c r="AE2272" i="11"/>
  <c r="R2272" i="11"/>
  <c r="S2272" i="11"/>
  <c r="T2272" i="11"/>
  <c r="U2272" i="11"/>
  <c r="V2272" i="11"/>
  <c r="W2272" i="11"/>
  <c r="I2272" i="11"/>
  <c r="X2272" i="11"/>
  <c r="Y2272" i="11"/>
  <c r="Z2272" i="11"/>
  <c r="AC2272" i="11"/>
  <c r="J2272" i="11"/>
  <c r="K2272" i="11"/>
  <c r="L2272" i="11"/>
  <c r="M2272" i="11"/>
  <c r="N2272" i="11"/>
  <c r="O2272" i="11"/>
  <c r="P2272" i="11"/>
  <c r="V2271" i="11"/>
  <c r="U2271" i="11"/>
  <c r="T2271" i="11"/>
  <c r="S2271" i="11"/>
  <c r="R2271" i="11"/>
  <c r="P2271" i="11"/>
  <c r="O2271" i="11"/>
  <c r="N2271" i="11"/>
  <c r="M2271" i="11"/>
  <c r="L2271" i="11"/>
  <c r="K2271" i="11"/>
  <c r="J2271" i="11"/>
  <c r="I2271" i="11"/>
  <c r="AE2271" i="11"/>
  <c r="AC2271" i="11"/>
  <c r="Z2271" i="11"/>
  <c r="Y2271" i="11"/>
  <c r="X2271" i="11"/>
  <c r="W2271" i="11"/>
  <c r="S2270" i="11"/>
  <c r="W2270" i="11"/>
  <c r="V2270" i="11"/>
  <c r="U2270" i="11"/>
  <c r="T2270" i="11"/>
  <c r="AE2270" i="11"/>
  <c r="R2270" i="11"/>
  <c r="P2270" i="11"/>
  <c r="O2270" i="11"/>
  <c r="N2270" i="11"/>
  <c r="M2270" i="11"/>
  <c r="L2270" i="11"/>
  <c r="K2270" i="11"/>
  <c r="J2270" i="11"/>
  <c r="I2270" i="11"/>
  <c r="AC2270" i="11"/>
  <c r="Z2270" i="11"/>
  <c r="Y2270" i="11"/>
  <c r="X2270" i="11"/>
  <c r="K2269" i="11"/>
  <c r="X2269" i="11"/>
  <c r="AE2269" i="11"/>
  <c r="AC2269" i="11"/>
  <c r="Z2269" i="11"/>
  <c r="Y2269" i="11"/>
  <c r="R2269" i="11"/>
  <c r="P2269" i="11"/>
  <c r="O2269" i="11"/>
  <c r="N2269" i="11"/>
  <c r="M2269" i="11"/>
  <c r="L2269" i="11"/>
  <c r="W2269" i="11"/>
  <c r="S2269" i="11"/>
  <c r="V2269" i="11"/>
  <c r="U2269" i="11"/>
  <c r="T2269" i="11"/>
  <c r="I2269" i="11"/>
  <c r="J2269" i="11"/>
  <c r="W2268" i="11"/>
  <c r="V2268" i="11"/>
  <c r="U2268" i="11"/>
  <c r="T2268" i="11"/>
  <c r="S2268" i="11"/>
  <c r="R2268" i="11"/>
  <c r="P2268" i="11"/>
  <c r="O2268" i="11"/>
  <c r="N2268" i="11"/>
  <c r="M2268" i="11"/>
  <c r="L2268" i="11"/>
  <c r="K2268" i="11"/>
  <c r="J2268" i="11"/>
  <c r="I2268" i="11"/>
  <c r="AE2268" i="11"/>
  <c r="AC2268" i="11"/>
  <c r="Z2268" i="11"/>
  <c r="Y2268" i="11"/>
  <c r="X2268" i="11"/>
  <c r="K2267" i="11"/>
  <c r="W2267" i="11"/>
  <c r="X2267" i="11"/>
  <c r="J2267" i="11"/>
  <c r="I2267" i="11"/>
  <c r="AE2267" i="11"/>
  <c r="AC2267" i="11"/>
  <c r="Z2267" i="11"/>
  <c r="V2267" i="11"/>
  <c r="U2267" i="11"/>
  <c r="T2267" i="11"/>
  <c r="S2267" i="11"/>
  <c r="R2267" i="11"/>
  <c r="P2267" i="11"/>
  <c r="Y2267" i="11"/>
  <c r="O2267" i="11"/>
  <c r="N2267" i="11"/>
  <c r="M2267" i="11"/>
  <c r="L2267" i="11"/>
  <c r="M2266" i="11"/>
  <c r="N2266" i="11"/>
  <c r="O2266" i="11"/>
  <c r="P2266" i="11"/>
  <c r="R2266" i="11"/>
  <c r="S2266" i="11"/>
  <c r="T2266" i="11"/>
  <c r="W2266" i="11"/>
  <c r="X2266" i="11"/>
  <c r="I2266" i="11"/>
  <c r="U2266" i="11"/>
  <c r="J2266" i="11"/>
  <c r="V2266" i="11"/>
  <c r="K2266" i="11"/>
  <c r="AE2266" i="11"/>
  <c r="AC2266" i="11"/>
  <c r="Z2266" i="11"/>
  <c r="Y2266" i="11"/>
  <c r="L2266" i="11"/>
  <c r="O2265" i="11"/>
  <c r="I2265" i="11"/>
  <c r="J2265" i="11"/>
  <c r="K2265" i="11"/>
  <c r="L2265" i="11"/>
  <c r="M2265" i="11"/>
  <c r="N2265" i="11"/>
  <c r="P2265" i="11"/>
  <c r="R2265" i="11"/>
  <c r="S2265" i="11"/>
  <c r="T2265" i="11"/>
  <c r="U2265" i="11"/>
  <c r="V2265" i="11"/>
  <c r="W2265" i="11"/>
  <c r="X2265" i="11"/>
  <c r="Y2265" i="11"/>
  <c r="Z2265" i="11"/>
  <c r="AC2265" i="11"/>
  <c r="AE2265" i="11"/>
  <c r="V2264" i="11"/>
  <c r="I2264" i="11"/>
  <c r="U2264" i="11"/>
  <c r="AE2264" i="11"/>
  <c r="AC2264" i="11"/>
  <c r="Z2264" i="11"/>
  <c r="Y2264" i="11"/>
  <c r="X2264" i="11"/>
  <c r="W2264" i="11"/>
  <c r="T2264" i="11"/>
  <c r="S2264" i="11"/>
  <c r="R2264" i="11"/>
  <c r="P2264" i="11"/>
  <c r="O2264" i="11"/>
  <c r="N2264" i="11"/>
  <c r="M2264" i="11"/>
  <c r="L2264" i="11"/>
  <c r="K2264" i="11"/>
  <c r="J2264" i="11"/>
  <c r="AC2263" i="11"/>
  <c r="AE2263" i="11"/>
  <c r="Z2263" i="11"/>
  <c r="Y2263" i="11"/>
  <c r="X2263" i="11"/>
  <c r="W2263" i="11"/>
  <c r="V2263" i="11"/>
  <c r="U2263" i="11"/>
  <c r="T2263" i="11"/>
  <c r="S2263" i="11"/>
  <c r="R2263" i="11"/>
  <c r="P2263" i="11"/>
  <c r="O2263" i="11"/>
  <c r="N2263" i="11"/>
  <c r="M2263" i="11"/>
  <c r="L2263" i="11"/>
  <c r="K2263" i="11"/>
  <c r="J2263" i="11"/>
  <c r="I2263" i="11"/>
  <c r="AE2262" i="11"/>
  <c r="AC2262" i="11"/>
  <c r="Z2262" i="11"/>
  <c r="Y2262" i="11"/>
  <c r="X2262" i="11"/>
  <c r="W2262" i="11"/>
  <c r="V2262" i="11"/>
  <c r="U2262" i="11"/>
  <c r="T2262" i="11"/>
  <c r="S2262" i="11"/>
  <c r="R2262" i="11"/>
  <c r="P2262" i="11"/>
  <c r="O2262" i="11"/>
  <c r="N2262" i="11"/>
  <c r="M2262" i="11"/>
  <c r="L2262" i="11"/>
  <c r="K2262" i="11"/>
  <c r="J2262" i="11"/>
  <c r="I2262" i="11"/>
  <c r="O2261" i="11"/>
  <c r="AE2261" i="11"/>
  <c r="AC2261" i="11"/>
  <c r="Z2261" i="11"/>
  <c r="Y2261" i="11"/>
  <c r="X2261" i="11"/>
  <c r="W2261" i="11"/>
  <c r="V2261" i="11"/>
  <c r="U2261" i="11"/>
  <c r="T2261" i="11"/>
  <c r="S2261" i="11"/>
  <c r="R2261" i="11"/>
  <c r="P2261" i="11"/>
  <c r="N2261" i="11"/>
  <c r="M2261" i="11"/>
  <c r="L2261" i="11"/>
  <c r="K2261" i="11"/>
  <c r="J2261" i="11"/>
  <c r="I2261" i="11"/>
  <c r="U2260" i="11"/>
  <c r="V2260" i="11"/>
  <c r="W2260" i="11"/>
  <c r="Z2260" i="11"/>
  <c r="X2260" i="11"/>
  <c r="Y2260" i="11"/>
  <c r="AC2260" i="11"/>
  <c r="J2260" i="11"/>
  <c r="AE2260" i="11"/>
  <c r="I2260" i="11"/>
  <c r="K2260" i="11"/>
  <c r="L2260" i="11"/>
  <c r="M2260" i="11"/>
  <c r="N2260" i="11"/>
  <c r="O2260" i="11"/>
  <c r="P2260" i="11"/>
  <c r="R2260" i="11"/>
  <c r="S2260" i="11"/>
  <c r="T2260" i="11"/>
  <c r="S2259" i="11"/>
  <c r="R2259" i="11"/>
  <c r="P2259" i="11"/>
  <c r="O2259" i="11"/>
  <c r="N2259" i="11"/>
  <c r="M2259" i="11"/>
  <c r="L2259" i="11"/>
  <c r="J2259" i="11"/>
  <c r="I2259" i="11"/>
  <c r="W2259" i="11"/>
  <c r="K2259" i="11"/>
  <c r="U2259" i="11"/>
  <c r="T2259" i="11"/>
  <c r="V2259" i="11"/>
  <c r="AE2259" i="11"/>
  <c r="AC2259" i="11"/>
  <c r="Z2259" i="11"/>
  <c r="Y2259" i="11"/>
  <c r="X2259" i="11"/>
  <c r="P2258" i="11"/>
  <c r="R2258" i="11"/>
  <c r="S2258" i="11"/>
  <c r="T2258" i="11"/>
  <c r="U2258" i="11"/>
  <c r="V2258" i="11"/>
  <c r="W2258" i="11"/>
  <c r="X2258" i="11"/>
  <c r="Y2258" i="11"/>
  <c r="Z2258" i="11"/>
  <c r="AC2258" i="11"/>
  <c r="O2258" i="11"/>
  <c r="AE2258" i="11"/>
  <c r="J2258" i="11"/>
  <c r="K2258" i="11"/>
  <c r="L2258" i="11"/>
  <c r="I2258" i="11"/>
  <c r="M2258" i="11"/>
  <c r="N2258" i="11"/>
  <c r="S2257" i="11"/>
  <c r="T2257" i="11"/>
  <c r="U2257" i="11"/>
  <c r="W2257" i="11"/>
  <c r="X2257" i="11"/>
  <c r="Y2257" i="11"/>
  <c r="Z2257" i="11"/>
  <c r="AC2257" i="11"/>
  <c r="AE2257" i="11"/>
  <c r="V2257" i="11"/>
  <c r="I2257" i="11"/>
  <c r="J2257" i="11"/>
  <c r="K2257" i="11"/>
  <c r="L2257" i="11"/>
  <c r="M2257" i="11"/>
  <c r="N2257" i="11"/>
  <c r="O2257" i="11"/>
  <c r="P2257" i="11"/>
  <c r="R2257" i="11"/>
  <c r="J2256" i="11"/>
  <c r="S2256" i="11"/>
  <c r="T2256" i="11"/>
  <c r="L2256" i="11"/>
  <c r="U2256" i="11"/>
  <c r="V2256" i="11"/>
  <c r="W2256" i="11"/>
  <c r="X2256" i="11"/>
  <c r="Y2256" i="11"/>
  <c r="AE2256" i="11"/>
  <c r="Z2256" i="11"/>
  <c r="AC2256" i="11"/>
  <c r="M2256" i="11"/>
  <c r="N2256" i="11"/>
  <c r="O2256" i="11"/>
  <c r="P2256" i="11"/>
  <c r="R2256" i="11"/>
  <c r="K2256" i="11"/>
  <c r="I2256" i="11"/>
  <c r="R2255" i="11"/>
  <c r="P2255" i="11"/>
  <c r="O2255" i="11"/>
  <c r="N2255" i="11"/>
  <c r="M2255" i="11"/>
  <c r="L2255" i="11"/>
  <c r="K2255" i="11"/>
  <c r="J2255" i="11"/>
  <c r="I2255" i="11"/>
  <c r="S2255" i="11"/>
  <c r="AE2255" i="11"/>
  <c r="U2255" i="11"/>
  <c r="T2255" i="11"/>
  <c r="AC2255" i="11"/>
  <c r="Z2255" i="11"/>
  <c r="Y2255" i="11"/>
  <c r="X2255" i="11"/>
  <c r="W2255" i="11"/>
  <c r="V2255" i="11"/>
  <c r="V2254" i="11"/>
  <c r="W2254" i="11"/>
  <c r="X2254" i="11"/>
  <c r="Y2254" i="11"/>
  <c r="Z2254" i="11"/>
  <c r="AC2254" i="11"/>
  <c r="AE2254" i="11"/>
  <c r="I2254" i="11"/>
  <c r="K2254" i="11"/>
  <c r="J2254" i="11"/>
  <c r="M2254" i="11"/>
  <c r="S2254" i="11"/>
  <c r="N2254" i="11"/>
  <c r="O2254" i="11"/>
  <c r="P2254" i="11"/>
  <c r="R2254" i="11"/>
  <c r="L2254" i="11"/>
  <c r="T2254" i="11"/>
  <c r="U2254" i="11"/>
  <c r="U2253" i="11"/>
  <c r="T2253" i="11"/>
  <c r="S2253" i="11"/>
  <c r="R2253" i="11"/>
  <c r="P2253" i="11"/>
  <c r="O2253" i="11"/>
  <c r="N2253" i="11"/>
  <c r="M2253" i="11"/>
  <c r="L2253" i="11"/>
  <c r="K2253" i="11"/>
  <c r="J2253" i="11"/>
  <c r="I2253" i="11"/>
  <c r="AE2253" i="11"/>
  <c r="AC2253" i="11"/>
  <c r="Z2253" i="11"/>
  <c r="Y2253" i="11"/>
  <c r="X2253" i="11"/>
  <c r="W2253" i="11"/>
  <c r="V2253" i="11"/>
  <c r="I2252" i="11"/>
  <c r="J2252" i="11"/>
  <c r="K2252" i="11"/>
  <c r="L2252" i="11"/>
  <c r="N2252" i="11"/>
  <c r="O2252" i="11"/>
  <c r="P2252" i="11"/>
  <c r="M2252" i="11"/>
  <c r="R2252" i="11"/>
  <c r="S2252" i="11"/>
  <c r="T2252" i="11"/>
  <c r="U2252" i="11"/>
  <c r="V2252" i="11"/>
  <c r="W2252" i="11"/>
  <c r="Y2252" i="11"/>
  <c r="X2252" i="11"/>
  <c r="Z2252" i="11"/>
  <c r="AC2252" i="11"/>
  <c r="AE2252" i="11"/>
  <c r="K2251" i="11"/>
  <c r="U2251" i="11"/>
  <c r="I2251" i="11"/>
  <c r="J2251" i="11"/>
  <c r="L2251" i="11"/>
  <c r="M2251" i="11"/>
  <c r="N2251" i="11"/>
  <c r="O2251" i="11"/>
  <c r="P2251" i="11"/>
  <c r="R2251" i="11"/>
  <c r="AE2251" i="11"/>
  <c r="S2251" i="11"/>
  <c r="T2251" i="11"/>
  <c r="AC2251" i="11"/>
  <c r="Z2251" i="11"/>
  <c r="Y2251" i="11"/>
  <c r="X2251" i="11"/>
  <c r="W2251" i="11"/>
  <c r="V2251" i="11"/>
  <c r="U2250" i="11"/>
  <c r="T2250" i="11"/>
  <c r="S2250" i="11"/>
  <c r="R2250" i="11"/>
  <c r="O2250" i="11"/>
  <c r="N2250" i="11"/>
  <c r="M2250" i="11"/>
  <c r="L2250" i="11"/>
  <c r="K2250" i="11"/>
  <c r="J2250" i="11"/>
  <c r="I2250" i="11"/>
  <c r="P2250" i="11"/>
  <c r="AC2250" i="11"/>
  <c r="Z2250" i="11"/>
  <c r="Y2250" i="11"/>
  <c r="X2250" i="11"/>
  <c r="AE2250" i="11"/>
  <c r="W2250" i="11"/>
  <c r="V2250" i="11"/>
  <c r="P2249" i="11"/>
  <c r="AE2249" i="11"/>
  <c r="AC2249" i="11"/>
  <c r="Z2249" i="11"/>
  <c r="Y2249" i="11"/>
  <c r="X2249" i="11"/>
  <c r="W2249" i="11"/>
  <c r="V2249" i="11"/>
  <c r="U2249" i="11"/>
  <c r="T2249" i="11"/>
  <c r="S2249" i="11"/>
  <c r="R2249" i="11"/>
  <c r="O2249" i="11"/>
  <c r="N2249" i="11"/>
  <c r="M2249" i="11"/>
  <c r="L2249" i="11"/>
  <c r="K2249" i="11"/>
  <c r="J2249" i="11"/>
  <c r="I2249" i="11"/>
  <c r="I2248" i="11"/>
  <c r="J2248" i="11"/>
  <c r="K2248" i="11"/>
  <c r="L2248" i="11"/>
  <c r="M2248" i="11"/>
  <c r="N2248" i="11"/>
  <c r="O2248" i="11"/>
  <c r="P2248" i="11"/>
  <c r="R2248" i="11"/>
  <c r="S2248" i="11"/>
  <c r="T2248" i="11"/>
  <c r="U2248" i="11"/>
  <c r="V2248" i="11"/>
  <c r="AE2248" i="11"/>
  <c r="AC2248" i="11"/>
  <c r="Z2248" i="11"/>
  <c r="Y2248" i="11"/>
  <c r="X2248" i="11"/>
  <c r="W2248" i="11"/>
  <c r="I2247" i="11"/>
  <c r="P2247" i="11"/>
  <c r="J2247" i="11"/>
  <c r="K2247" i="11"/>
  <c r="L2247" i="11"/>
  <c r="M2247" i="11"/>
  <c r="N2247" i="11"/>
  <c r="O2247" i="11"/>
  <c r="Y2247" i="11"/>
  <c r="AC2247" i="11"/>
  <c r="AE2247" i="11"/>
  <c r="S2247" i="11"/>
  <c r="T2247" i="11"/>
  <c r="U2247" i="11"/>
  <c r="Z2247" i="11"/>
  <c r="V2247" i="11"/>
  <c r="W2247" i="11"/>
  <c r="X2247" i="11"/>
  <c r="R2247" i="11"/>
  <c r="U2246" i="11"/>
  <c r="T2246" i="11"/>
  <c r="S2246" i="11"/>
  <c r="R2246" i="11"/>
  <c r="P2246" i="11"/>
  <c r="O2246" i="11"/>
  <c r="N2246" i="11"/>
  <c r="M2246" i="11"/>
  <c r="L2246" i="11"/>
  <c r="K2246" i="11"/>
  <c r="J2246" i="11"/>
  <c r="I2246" i="11"/>
  <c r="AE2246" i="11"/>
  <c r="AC2246" i="11"/>
  <c r="Z2246" i="11"/>
  <c r="Y2246" i="11"/>
  <c r="X2246" i="11"/>
  <c r="W2246" i="11"/>
  <c r="V2246" i="11"/>
  <c r="Z2245" i="11"/>
  <c r="U2245" i="11"/>
  <c r="T2245" i="11"/>
  <c r="S2245" i="11"/>
  <c r="R2245" i="11"/>
  <c r="P2245" i="11"/>
  <c r="N2245" i="11"/>
  <c r="M2245" i="11"/>
  <c r="L2245" i="11"/>
  <c r="K2245" i="11"/>
  <c r="J2245" i="11"/>
  <c r="V2245" i="11"/>
  <c r="I2245" i="11"/>
  <c r="O2245" i="11"/>
  <c r="AC2245" i="11"/>
  <c r="AE2245" i="11"/>
  <c r="Y2245" i="11"/>
  <c r="X2245" i="11"/>
  <c r="W2245" i="11"/>
  <c r="J2244" i="11"/>
  <c r="K2244" i="11"/>
  <c r="L2244" i="11"/>
  <c r="M2244" i="11"/>
  <c r="N2244" i="11"/>
  <c r="O2244" i="11"/>
  <c r="P2244" i="11"/>
  <c r="R2244" i="11"/>
  <c r="AC2244" i="11"/>
  <c r="T2244" i="11"/>
  <c r="U2244" i="11"/>
  <c r="V2244" i="11"/>
  <c r="W2244" i="11"/>
  <c r="AE2244" i="11"/>
  <c r="I2244" i="11"/>
  <c r="X2244" i="11"/>
  <c r="Y2244" i="11"/>
  <c r="Z2244" i="11"/>
  <c r="S2244" i="11"/>
  <c r="T2243" i="11"/>
  <c r="S2243" i="11"/>
  <c r="R2243" i="11"/>
  <c r="P2243" i="11"/>
  <c r="O2243" i="11"/>
  <c r="N2243" i="11"/>
  <c r="M2243" i="11"/>
  <c r="K2243" i="11"/>
  <c r="J2243" i="11"/>
  <c r="I2243" i="11"/>
  <c r="L2243" i="11"/>
  <c r="AE2243" i="11"/>
  <c r="AC2243" i="11"/>
  <c r="Z2243" i="11"/>
  <c r="Y2243" i="11"/>
  <c r="X2243" i="11"/>
  <c r="W2243" i="11"/>
  <c r="V2243" i="11"/>
  <c r="U2243" i="11"/>
  <c r="T2242" i="11"/>
  <c r="S2242" i="11"/>
  <c r="R2242" i="11"/>
  <c r="P2242" i="11"/>
  <c r="O2242" i="11"/>
  <c r="N2242" i="11"/>
  <c r="M2242" i="11"/>
  <c r="L2242" i="11"/>
  <c r="K2242" i="11"/>
  <c r="J2242" i="11"/>
  <c r="U2242" i="11"/>
  <c r="I2242" i="11"/>
  <c r="AE2242" i="11"/>
  <c r="AC2242" i="11"/>
  <c r="Z2242" i="11"/>
  <c r="Y2242" i="11"/>
  <c r="X2242" i="11"/>
  <c r="W2242" i="11"/>
  <c r="V2242" i="11"/>
  <c r="I2241" i="11"/>
  <c r="J2241" i="11"/>
  <c r="K2241" i="11"/>
  <c r="L2241" i="11"/>
  <c r="M2241" i="11"/>
  <c r="N2241" i="11"/>
  <c r="O2241" i="11"/>
  <c r="P2241" i="11"/>
  <c r="R2241" i="11"/>
  <c r="S2241" i="11"/>
  <c r="U2241" i="11"/>
  <c r="V2241" i="11"/>
  <c r="W2241" i="11"/>
  <c r="X2241" i="11"/>
  <c r="Y2241" i="11"/>
  <c r="Z2241" i="11"/>
  <c r="AE2241" i="11"/>
  <c r="AC2241" i="11"/>
  <c r="T2241" i="11"/>
  <c r="T2240" i="11"/>
  <c r="S2240" i="11"/>
  <c r="R2240" i="11"/>
  <c r="P2240" i="11"/>
  <c r="O2240" i="11"/>
  <c r="N2240" i="11"/>
  <c r="M2240" i="11"/>
  <c r="L2240" i="11"/>
  <c r="K2240" i="11"/>
  <c r="J2240" i="11"/>
  <c r="I2240" i="11"/>
  <c r="AE2240" i="11"/>
  <c r="AC2240" i="11"/>
  <c r="Z2240" i="11"/>
  <c r="Y2240" i="11"/>
  <c r="X2240" i="11"/>
  <c r="W2240" i="11"/>
  <c r="V2240" i="11"/>
  <c r="U2240" i="11"/>
  <c r="T2239" i="11"/>
  <c r="V2239" i="11"/>
  <c r="U2239" i="11"/>
  <c r="J2239" i="11"/>
  <c r="S2239" i="11"/>
  <c r="R2239" i="11"/>
  <c r="P2239" i="11"/>
  <c r="O2239" i="11"/>
  <c r="N2239" i="11"/>
  <c r="M2239" i="11"/>
  <c r="L2239" i="11"/>
  <c r="AE2239" i="11"/>
  <c r="I2239" i="11"/>
  <c r="AC2239" i="11"/>
  <c r="Z2239" i="11"/>
  <c r="Y2239" i="11"/>
  <c r="X2239" i="11"/>
  <c r="K2239" i="11"/>
  <c r="W2239" i="11"/>
  <c r="T2238" i="11"/>
  <c r="U2238" i="11"/>
  <c r="V2238" i="11"/>
  <c r="W2238" i="11"/>
  <c r="X2238" i="11"/>
  <c r="Y2238" i="11"/>
  <c r="Z2238" i="11"/>
  <c r="AC2238" i="11"/>
  <c r="AE2238" i="11"/>
  <c r="I2238" i="11"/>
  <c r="S2238" i="11"/>
  <c r="R2238" i="11"/>
  <c r="P2238" i="11"/>
  <c r="O2238" i="11"/>
  <c r="N2238" i="11"/>
  <c r="M2238" i="11"/>
  <c r="L2238" i="11"/>
  <c r="K2238" i="11"/>
  <c r="J2238" i="11"/>
  <c r="AC2237" i="11"/>
  <c r="Z2237" i="11"/>
  <c r="Y2237" i="11"/>
  <c r="X2237" i="11"/>
  <c r="W2237" i="11"/>
  <c r="V2237" i="11"/>
  <c r="U2237" i="11"/>
  <c r="P2237" i="11"/>
  <c r="R2237" i="11"/>
  <c r="S2237" i="11"/>
  <c r="J2237" i="11"/>
  <c r="I2237" i="11"/>
  <c r="K2237" i="11"/>
  <c r="L2237" i="11"/>
  <c r="M2237" i="11"/>
  <c r="N2237" i="11"/>
  <c r="O2237" i="11"/>
  <c r="AE2237" i="11"/>
  <c r="T2237" i="11"/>
  <c r="T2236" i="11"/>
  <c r="AE2236" i="11"/>
  <c r="AC2236" i="11"/>
  <c r="Z2236" i="11"/>
  <c r="Y2236" i="11"/>
  <c r="X2236" i="11"/>
  <c r="W2236" i="11"/>
  <c r="V2236" i="11"/>
  <c r="U2236" i="11"/>
  <c r="S2236" i="11"/>
  <c r="R2236" i="11"/>
  <c r="P2236" i="11"/>
  <c r="O2236" i="11"/>
  <c r="N2236" i="11"/>
  <c r="M2236" i="11"/>
  <c r="L2236" i="11"/>
  <c r="K2236" i="11"/>
  <c r="J2236" i="11"/>
  <c r="I2236" i="11"/>
  <c r="AE2235" i="11"/>
  <c r="AC2235" i="11"/>
  <c r="Z2235" i="11"/>
  <c r="Y2235" i="11"/>
  <c r="X2235" i="11"/>
  <c r="W2235" i="11"/>
  <c r="V2235" i="11"/>
  <c r="U2235" i="11"/>
  <c r="T2235" i="11"/>
  <c r="S2235" i="11"/>
  <c r="R2235" i="11"/>
  <c r="P2235" i="11"/>
  <c r="O2235" i="11"/>
  <c r="N2235" i="11"/>
  <c r="M2235" i="11"/>
  <c r="L2235" i="11"/>
  <c r="K2235" i="11"/>
  <c r="J2235" i="11"/>
  <c r="I2235" i="11"/>
  <c r="S2234" i="11"/>
  <c r="T2234" i="11"/>
  <c r="K2234" i="11"/>
  <c r="I2234" i="11"/>
  <c r="J2234" i="11"/>
  <c r="L2234" i="11"/>
  <c r="M2234" i="11"/>
  <c r="N2234" i="11"/>
  <c r="O2234" i="11"/>
  <c r="P2234" i="11"/>
  <c r="R2234" i="11"/>
  <c r="AE2234" i="11"/>
  <c r="AC2234" i="11"/>
  <c r="Z2234" i="11"/>
  <c r="Y2234" i="11"/>
  <c r="X2234" i="11"/>
  <c r="W2234" i="11"/>
  <c r="V2234" i="11"/>
  <c r="U2234" i="11"/>
  <c r="L2233" i="11"/>
  <c r="K2233" i="11"/>
  <c r="J2233" i="11"/>
  <c r="I2233" i="11"/>
  <c r="AE2233" i="11"/>
  <c r="AC2233" i="11"/>
  <c r="Z2233" i="11"/>
  <c r="Y2233" i="11"/>
  <c r="X2233" i="11"/>
  <c r="W2233" i="11"/>
  <c r="V2233" i="11"/>
  <c r="U2233" i="11"/>
  <c r="T2233" i="11"/>
  <c r="S2233" i="11"/>
  <c r="R2233" i="11"/>
  <c r="P2233" i="11"/>
  <c r="O2233" i="11"/>
  <c r="N2233" i="11"/>
  <c r="M2233" i="11"/>
  <c r="AE2232" i="11"/>
  <c r="AC2232" i="11"/>
  <c r="Z2232" i="11"/>
  <c r="Y2232" i="11"/>
  <c r="X2232" i="11"/>
  <c r="W2232" i="11"/>
  <c r="V2232" i="11"/>
  <c r="U2232" i="11"/>
  <c r="T2232" i="11"/>
  <c r="S2232" i="11"/>
  <c r="R2232" i="11"/>
  <c r="P2232" i="11"/>
  <c r="O2232" i="11"/>
  <c r="N2232" i="11"/>
  <c r="M2232" i="11"/>
  <c r="L2232" i="11"/>
  <c r="K2232" i="11"/>
  <c r="J2232" i="11"/>
  <c r="I2232" i="11"/>
  <c r="AE2231" i="11"/>
  <c r="AC2231" i="11"/>
  <c r="Z2231" i="11"/>
  <c r="Y2231" i="11"/>
  <c r="X2231" i="11"/>
  <c r="W2231" i="11"/>
  <c r="V2231" i="11"/>
  <c r="U2231" i="11"/>
  <c r="T2231" i="11"/>
  <c r="S2231" i="11"/>
  <c r="R2231" i="11"/>
  <c r="P2231" i="11"/>
  <c r="O2231" i="11"/>
  <c r="N2231" i="11"/>
  <c r="M2231" i="11"/>
  <c r="L2231" i="11"/>
  <c r="K2231" i="11"/>
  <c r="J2231" i="11"/>
  <c r="I2231" i="11"/>
  <c r="AE2230" i="11"/>
  <c r="AC2230" i="11"/>
  <c r="Z2230" i="11"/>
  <c r="Y2230" i="11"/>
  <c r="X2230" i="11"/>
  <c r="W2230" i="11"/>
  <c r="V2230" i="11"/>
  <c r="U2230" i="11"/>
  <c r="T2230" i="11"/>
  <c r="S2230" i="11"/>
  <c r="R2230" i="11"/>
  <c r="P2230" i="11"/>
  <c r="O2230" i="11"/>
  <c r="N2230" i="11"/>
  <c r="M2230" i="11"/>
  <c r="L2230" i="11"/>
  <c r="K2230" i="11"/>
  <c r="J2230" i="11"/>
  <c r="I2230" i="11"/>
  <c r="AE2229" i="11"/>
  <c r="AC2229" i="11"/>
  <c r="Z2229" i="11"/>
  <c r="Y2229" i="11"/>
  <c r="X2229" i="11"/>
  <c r="W2229" i="11"/>
  <c r="V2229" i="11"/>
  <c r="U2229" i="11"/>
  <c r="T2229" i="11"/>
  <c r="S2229" i="11"/>
  <c r="R2229" i="11"/>
  <c r="P2229" i="11"/>
  <c r="O2229" i="11"/>
  <c r="N2229" i="11"/>
  <c r="M2229" i="11"/>
  <c r="L2229" i="11"/>
  <c r="K2229" i="11"/>
  <c r="J2229" i="11"/>
  <c r="I2229" i="11"/>
  <c r="AE2228" i="11"/>
  <c r="AC2228" i="11"/>
  <c r="Z2228" i="11"/>
  <c r="Y2228" i="11"/>
  <c r="X2228" i="11"/>
  <c r="W2228" i="11"/>
  <c r="V2228" i="11"/>
  <c r="U2228" i="11"/>
  <c r="T2228" i="11"/>
  <c r="S2228" i="11"/>
  <c r="R2228" i="11"/>
  <c r="P2228" i="11"/>
  <c r="O2228" i="11"/>
  <c r="N2228" i="11"/>
  <c r="M2228" i="11"/>
  <c r="L2228" i="11"/>
  <c r="K2228" i="11"/>
  <c r="J2228" i="11"/>
  <c r="I2228" i="11"/>
  <c r="AE2227" i="11"/>
  <c r="AC2227" i="11"/>
  <c r="Z2227" i="11"/>
  <c r="Y2227" i="11"/>
  <c r="X2227" i="11"/>
  <c r="W2227" i="11"/>
  <c r="V2227" i="11"/>
  <c r="U2227" i="11"/>
  <c r="T2227" i="11"/>
  <c r="S2227" i="11"/>
  <c r="R2227" i="11"/>
  <c r="P2227" i="11"/>
  <c r="O2227" i="11"/>
  <c r="N2227" i="11"/>
  <c r="M2227" i="11"/>
  <c r="L2227" i="11"/>
  <c r="K2227" i="11"/>
  <c r="J2227" i="11"/>
  <c r="I2227" i="11"/>
  <c r="AE2226" i="11"/>
  <c r="AC2226" i="11"/>
  <c r="Z2226" i="11"/>
  <c r="Y2226" i="11"/>
  <c r="X2226" i="11"/>
  <c r="W2226" i="11"/>
  <c r="V2226" i="11"/>
  <c r="U2226" i="11"/>
  <c r="T2226" i="11"/>
  <c r="S2226" i="11"/>
  <c r="R2226" i="11"/>
  <c r="P2226" i="11"/>
  <c r="O2226" i="11"/>
  <c r="N2226" i="11"/>
  <c r="M2226" i="11"/>
  <c r="L2226" i="11"/>
  <c r="K2226" i="11"/>
  <c r="J2226" i="11"/>
  <c r="I2226" i="11"/>
  <c r="AE2225" i="11"/>
  <c r="AC2225" i="11"/>
  <c r="Z2225" i="11"/>
  <c r="Y2225" i="11"/>
  <c r="X2225" i="11"/>
  <c r="W2225" i="11"/>
  <c r="V2225" i="11"/>
  <c r="U2225" i="11"/>
  <c r="T2225" i="11"/>
  <c r="S2225" i="11"/>
  <c r="R2225" i="11"/>
  <c r="P2225" i="11"/>
  <c r="O2225" i="11"/>
  <c r="N2225" i="11"/>
  <c r="M2225" i="11"/>
  <c r="L2225" i="11"/>
  <c r="K2225" i="11"/>
  <c r="J2225" i="11"/>
  <c r="I2225" i="11"/>
  <c r="AE2224" i="11"/>
  <c r="AC2224" i="11"/>
  <c r="Z2224" i="11"/>
  <c r="Y2224" i="11"/>
  <c r="X2224" i="11"/>
  <c r="W2224" i="11"/>
  <c r="V2224" i="11"/>
  <c r="U2224" i="11"/>
  <c r="T2224" i="11"/>
  <c r="S2224" i="11"/>
  <c r="R2224" i="11"/>
  <c r="P2224" i="11"/>
  <c r="O2224" i="11"/>
  <c r="N2224" i="11"/>
  <c r="M2224" i="11"/>
  <c r="L2224" i="11"/>
  <c r="K2224" i="11"/>
  <c r="J2224" i="11"/>
  <c r="I2224" i="11"/>
  <c r="AE2223" i="11"/>
  <c r="AC2223" i="11"/>
  <c r="Z2223" i="11"/>
  <c r="Y2223" i="11"/>
  <c r="X2223" i="11"/>
  <c r="W2223" i="11"/>
  <c r="V2223" i="11"/>
  <c r="U2223" i="11"/>
  <c r="T2223" i="11"/>
  <c r="S2223" i="11"/>
  <c r="R2223" i="11"/>
  <c r="P2223" i="11"/>
  <c r="O2223" i="11"/>
  <c r="N2223" i="11"/>
  <c r="M2223" i="11"/>
  <c r="L2223" i="11"/>
  <c r="K2223" i="11"/>
  <c r="J2223" i="11"/>
  <c r="I2223" i="11"/>
  <c r="AE2222" i="11"/>
  <c r="AC2222" i="11"/>
  <c r="Z2222" i="11"/>
  <c r="Y2222" i="11"/>
  <c r="X2222" i="11"/>
  <c r="W2222" i="11"/>
  <c r="V2222" i="11"/>
  <c r="U2222" i="11"/>
  <c r="T2222" i="11"/>
  <c r="S2222" i="11"/>
  <c r="R2222" i="11"/>
  <c r="P2222" i="11"/>
  <c r="O2222" i="11"/>
  <c r="N2222" i="11"/>
  <c r="M2222" i="11"/>
  <c r="L2222" i="11"/>
  <c r="K2222" i="11"/>
  <c r="J2222" i="11"/>
  <c r="I2222" i="11"/>
  <c r="AE2221" i="11"/>
  <c r="AC2221" i="11"/>
  <c r="Z2221" i="11"/>
  <c r="Y2221" i="11"/>
  <c r="X2221" i="11"/>
  <c r="W2221" i="11"/>
  <c r="V2221" i="11"/>
  <c r="U2221" i="11"/>
  <c r="T2221" i="11"/>
  <c r="S2221" i="11"/>
  <c r="R2221" i="11"/>
  <c r="P2221" i="11"/>
  <c r="O2221" i="11"/>
  <c r="N2221" i="11"/>
  <c r="M2221" i="11"/>
  <c r="L2221" i="11"/>
  <c r="K2221" i="11"/>
  <c r="J2221" i="11"/>
  <c r="I2221" i="11"/>
  <c r="AE2220" i="11"/>
  <c r="AC2220" i="11"/>
  <c r="Z2220" i="11"/>
  <c r="Y2220" i="11"/>
  <c r="X2220" i="11"/>
  <c r="W2220" i="11"/>
  <c r="V2220" i="11"/>
  <c r="U2220" i="11"/>
  <c r="T2220" i="11"/>
  <c r="S2220" i="11"/>
  <c r="R2220" i="11"/>
  <c r="P2220" i="11"/>
  <c r="O2220" i="11"/>
  <c r="N2220" i="11"/>
  <c r="M2220" i="11"/>
  <c r="L2220" i="11"/>
  <c r="K2220" i="11"/>
  <c r="J2220" i="11"/>
  <c r="I2220" i="11"/>
  <c r="AE2219" i="11"/>
  <c r="AC2219" i="11"/>
  <c r="Z2219" i="11"/>
  <c r="Y2219" i="11"/>
  <c r="X2219" i="11"/>
  <c r="W2219" i="11"/>
  <c r="V2219" i="11"/>
  <c r="U2219" i="11"/>
  <c r="T2219" i="11"/>
  <c r="S2219" i="11"/>
  <c r="R2219" i="11"/>
  <c r="P2219" i="11"/>
  <c r="O2219" i="11"/>
  <c r="N2219" i="11"/>
  <c r="M2219" i="11"/>
  <c r="L2219" i="11"/>
  <c r="K2219" i="11"/>
  <c r="J2219" i="11"/>
  <c r="I2219" i="11"/>
  <c r="AE2218" i="11"/>
  <c r="AC2218" i="11"/>
  <c r="Z2218" i="11"/>
  <c r="Y2218" i="11"/>
  <c r="X2218" i="11"/>
  <c r="W2218" i="11"/>
  <c r="V2218" i="11"/>
  <c r="U2218" i="11"/>
  <c r="T2218" i="11"/>
  <c r="S2218" i="11"/>
  <c r="R2218" i="11"/>
  <c r="P2218" i="11"/>
  <c r="O2218" i="11"/>
  <c r="N2218" i="11"/>
  <c r="M2218" i="11"/>
  <c r="L2218" i="11"/>
  <c r="K2218" i="11"/>
  <c r="J2218" i="11"/>
  <c r="I2218" i="11"/>
  <c r="AE2217" i="11"/>
  <c r="AC2217" i="11"/>
  <c r="Z2217" i="11"/>
  <c r="Y2217" i="11"/>
  <c r="X2217" i="11"/>
  <c r="W2217" i="11"/>
  <c r="V2217" i="11"/>
  <c r="U2217" i="11"/>
  <c r="T2217" i="11"/>
  <c r="S2217" i="11"/>
  <c r="R2217" i="11"/>
  <c r="P2217" i="11"/>
  <c r="O2217" i="11"/>
  <c r="N2217" i="11"/>
  <c r="M2217" i="11"/>
  <c r="L2217" i="11"/>
  <c r="K2217" i="11"/>
  <c r="J2217" i="11"/>
  <c r="I2217" i="11"/>
  <c r="AE2216" i="11"/>
  <c r="AC2216" i="11"/>
  <c r="Z2216" i="11"/>
  <c r="Y2216" i="11"/>
  <c r="X2216" i="11"/>
  <c r="W2216" i="11"/>
  <c r="V2216" i="11"/>
  <c r="U2216" i="11"/>
  <c r="T2216" i="11"/>
  <c r="S2216" i="11"/>
  <c r="R2216" i="11"/>
  <c r="P2216" i="11"/>
  <c r="O2216" i="11"/>
  <c r="N2216" i="11"/>
  <c r="M2216" i="11"/>
  <c r="L2216" i="11"/>
  <c r="K2216" i="11"/>
  <c r="J2216" i="11"/>
  <c r="I2216" i="11"/>
  <c r="AE2215" i="11"/>
  <c r="AC2215" i="11"/>
  <c r="Z2215" i="11"/>
  <c r="Y2215" i="11"/>
  <c r="X2215" i="11"/>
  <c r="W2215" i="11"/>
  <c r="V2215" i="11"/>
  <c r="U2215" i="11"/>
  <c r="T2215" i="11"/>
  <c r="S2215" i="11"/>
  <c r="R2215" i="11"/>
  <c r="P2215" i="11"/>
  <c r="O2215" i="11"/>
  <c r="N2215" i="11"/>
  <c r="M2215" i="11"/>
  <c r="L2215" i="11"/>
  <c r="K2215" i="11"/>
  <c r="J2215" i="11"/>
  <c r="I2215" i="11"/>
  <c r="AE2214" i="11"/>
  <c r="AC2214" i="11"/>
  <c r="Z2214" i="11"/>
  <c r="Y2214" i="11"/>
  <c r="X2214" i="11"/>
  <c r="W2214" i="11"/>
  <c r="V2214" i="11"/>
  <c r="U2214" i="11"/>
  <c r="T2214" i="11"/>
  <c r="S2214" i="11"/>
  <c r="R2214" i="11"/>
  <c r="P2214" i="11"/>
  <c r="O2214" i="11"/>
  <c r="N2214" i="11"/>
  <c r="M2214" i="11"/>
  <c r="L2214" i="11"/>
  <c r="K2214" i="11"/>
  <c r="J2214" i="11"/>
  <c r="I2214" i="11"/>
  <c r="AE2213" i="11"/>
  <c r="AC2213" i="11"/>
  <c r="Z2213" i="11"/>
  <c r="Y2213" i="11"/>
  <c r="X2213" i="11"/>
  <c r="W2213" i="11"/>
  <c r="V2213" i="11"/>
  <c r="U2213" i="11"/>
  <c r="T2213" i="11"/>
  <c r="S2213" i="11"/>
  <c r="R2213" i="11"/>
  <c r="P2213" i="11"/>
  <c r="O2213" i="11"/>
  <c r="N2213" i="11"/>
  <c r="M2213" i="11"/>
  <c r="L2213" i="11"/>
  <c r="K2213" i="11"/>
  <c r="J2213" i="11"/>
  <c r="I2213" i="11"/>
  <c r="AE2212" i="11"/>
  <c r="AC2212" i="11"/>
  <c r="Z2212" i="11"/>
  <c r="Y2212" i="11"/>
  <c r="X2212" i="11"/>
  <c r="W2212" i="11"/>
  <c r="V2212" i="11"/>
  <c r="U2212" i="11"/>
  <c r="T2212" i="11"/>
  <c r="S2212" i="11"/>
  <c r="R2212" i="11"/>
  <c r="P2212" i="11"/>
  <c r="O2212" i="11"/>
  <c r="N2212" i="11"/>
  <c r="M2212" i="11"/>
  <c r="L2212" i="11"/>
  <c r="K2212" i="11"/>
  <c r="J2212" i="11"/>
  <c r="I2212" i="11"/>
  <c r="AE2211" i="11"/>
  <c r="AC2211" i="11"/>
  <c r="Z2211" i="11"/>
  <c r="Y2211" i="11"/>
  <c r="X2211" i="11"/>
  <c r="W2211" i="11"/>
  <c r="V2211" i="11"/>
  <c r="U2211" i="11"/>
  <c r="T2211" i="11"/>
  <c r="S2211" i="11"/>
  <c r="R2211" i="11"/>
  <c r="P2211" i="11"/>
  <c r="O2211" i="11"/>
  <c r="N2211" i="11"/>
  <c r="M2211" i="11"/>
  <c r="L2211" i="11"/>
  <c r="K2211" i="11"/>
  <c r="J2211" i="11"/>
  <c r="I2211" i="11"/>
  <c r="AE2210" i="11"/>
  <c r="AC2210" i="11"/>
  <c r="Z2210" i="11"/>
  <c r="Y2210" i="11"/>
  <c r="X2210" i="11"/>
  <c r="W2210" i="11"/>
  <c r="V2210" i="11"/>
  <c r="U2210" i="11"/>
  <c r="T2210" i="11"/>
  <c r="S2210" i="11"/>
  <c r="R2210" i="11"/>
  <c r="P2210" i="11"/>
  <c r="O2210" i="11"/>
  <c r="N2210" i="11"/>
  <c r="M2210" i="11"/>
  <c r="L2210" i="11"/>
  <c r="K2210" i="11"/>
  <c r="J2210" i="11"/>
  <c r="I2210" i="11"/>
  <c r="AE2209" i="11"/>
  <c r="AC2209" i="11"/>
  <c r="Z2209" i="11"/>
  <c r="Y2209" i="11"/>
  <c r="X2209" i="11"/>
  <c r="W2209" i="11"/>
  <c r="V2209" i="11"/>
  <c r="U2209" i="11"/>
  <c r="T2209" i="11"/>
  <c r="S2209" i="11"/>
  <c r="R2209" i="11"/>
  <c r="P2209" i="11"/>
  <c r="O2209" i="11"/>
  <c r="N2209" i="11"/>
  <c r="M2209" i="11"/>
  <c r="L2209" i="11"/>
  <c r="K2209" i="11"/>
  <c r="J2209" i="11"/>
  <c r="I2209" i="11"/>
  <c r="AE2208" i="11"/>
  <c r="AC2208" i="11"/>
  <c r="Z2208" i="11"/>
  <c r="Y2208" i="11"/>
  <c r="X2208" i="11"/>
  <c r="W2208" i="11"/>
  <c r="V2208" i="11"/>
  <c r="U2208" i="11"/>
  <c r="T2208" i="11"/>
  <c r="S2208" i="11"/>
  <c r="R2208" i="11"/>
  <c r="P2208" i="11"/>
  <c r="O2208" i="11"/>
  <c r="N2208" i="11"/>
  <c r="M2208" i="11"/>
  <c r="L2208" i="11"/>
  <c r="K2208" i="11"/>
  <c r="J2208" i="11"/>
  <c r="I2208" i="11"/>
  <c r="AE2207" i="11"/>
  <c r="AC2207" i="11"/>
  <c r="Z2207" i="11"/>
  <c r="Y2207" i="11"/>
  <c r="X2207" i="11"/>
  <c r="W2207" i="11"/>
  <c r="V2207" i="11"/>
  <c r="U2207" i="11"/>
  <c r="T2207" i="11"/>
  <c r="S2207" i="11"/>
  <c r="R2207" i="11"/>
  <c r="P2207" i="11"/>
  <c r="O2207" i="11"/>
  <c r="N2207" i="11"/>
  <c r="M2207" i="11"/>
  <c r="L2207" i="11"/>
  <c r="K2207" i="11"/>
  <c r="J2207" i="11"/>
  <c r="I2207" i="11"/>
  <c r="AE2206" i="11"/>
  <c r="AC2206" i="11"/>
  <c r="Z2206" i="11"/>
  <c r="Y2206" i="11"/>
  <c r="X2206" i="11"/>
  <c r="W2206" i="11"/>
  <c r="V2206" i="11"/>
  <c r="U2206" i="11"/>
  <c r="T2206" i="11"/>
  <c r="S2206" i="11"/>
  <c r="R2206" i="11"/>
  <c r="P2206" i="11"/>
  <c r="O2206" i="11"/>
  <c r="N2206" i="11"/>
  <c r="M2206" i="11"/>
  <c r="L2206" i="11"/>
  <c r="K2206" i="11"/>
  <c r="J2206" i="11"/>
  <c r="I2206" i="11"/>
  <c r="V2205" i="11"/>
  <c r="AE2205" i="11"/>
  <c r="AC2205" i="11"/>
  <c r="Z2205" i="11"/>
  <c r="Y2205" i="11"/>
  <c r="X2205" i="11"/>
  <c r="W2205" i="11"/>
  <c r="U2205" i="11"/>
  <c r="T2205" i="11"/>
  <c r="S2205" i="11"/>
  <c r="R2205" i="11"/>
  <c r="P2205" i="11"/>
  <c r="O2205" i="11"/>
  <c r="N2205" i="11"/>
  <c r="M2205" i="11"/>
  <c r="L2205" i="11"/>
  <c r="K2205" i="11"/>
  <c r="J2205" i="11"/>
  <c r="I2205" i="11"/>
  <c r="T2204" i="11"/>
  <c r="AE2204" i="11"/>
  <c r="AC2204" i="11"/>
  <c r="Z2204" i="11"/>
  <c r="Y2204" i="11"/>
  <c r="X2204" i="11"/>
  <c r="W2204" i="11"/>
  <c r="V2204" i="11"/>
  <c r="U2204" i="11"/>
  <c r="J2204" i="11"/>
  <c r="S2204" i="11"/>
  <c r="R2204" i="11"/>
  <c r="P2204" i="11"/>
  <c r="O2204" i="11"/>
  <c r="N2204" i="11"/>
  <c r="M2204" i="11"/>
  <c r="L2204" i="11"/>
  <c r="K2204" i="11"/>
  <c r="I2204" i="11"/>
  <c r="AC2203" i="11"/>
  <c r="AE2203" i="11"/>
  <c r="P2203" i="11"/>
  <c r="Z2203" i="11"/>
  <c r="Y2203" i="11"/>
  <c r="X2203" i="11"/>
  <c r="W2203" i="11"/>
  <c r="V2203" i="11"/>
  <c r="U2203" i="11"/>
  <c r="T2203" i="11"/>
  <c r="S2203" i="11"/>
  <c r="R2203" i="11"/>
  <c r="O2203" i="11"/>
  <c r="N2203" i="11"/>
  <c r="M2203" i="11"/>
  <c r="L2203" i="11"/>
  <c r="K2203" i="11"/>
  <c r="J2203" i="11"/>
  <c r="I2203" i="11"/>
  <c r="X2202" i="11"/>
  <c r="AC2202" i="11"/>
  <c r="Z2202" i="11"/>
  <c r="Y2202" i="11"/>
  <c r="I2202" i="11"/>
  <c r="W2202" i="11"/>
  <c r="V2202" i="11"/>
  <c r="U2202" i="11"/>
  <c r="T2202" i="11"/>
  <c r="S2202" i="11"/>
  <c r="AE2202" i="11"/>
  <c r="R2202" i="11"/>
  <c r="P2202" i="11"/>
  <c r="O2202" i="11"/>
  <c r="N2202" i="11"/>
  <c r="M2202" i="11"/>
  <c r="L2202" i="11"/>
  <c r="K2202" i="11"/>
  <c r="J2202" i="11"/>
  <c r="I2201" i="11"/>
  <c r="AE2201" i="11"/>
  <c r="AC2201" i="11"/>
  <c r="Z2201" i="11"/>
  <c r="Y2201" i="11"/>
  <c r="X2201" i="11"/>
  <c r="W2201" i="11"/>
  <c r="V2201" i="11"/>
  <c r="U2201" i="11"/>
  <c r="T2201" i="11"/>
  <c r="S2201" i="11"/>
  <c r="R2201" i="11"/>
  <c r="P2201" i="11"/>
  <c r="O2201" i="11"/>
  <c r="N2201" i="11"/>
  <c r="M2201" i="11"/>
  <c r="L2201" i="11"/>
  <c r="K2201" i="11"/>
  <c r="J2201" i="11"/>
  <c r="I2200" i="11"/>
  <c r="AE2200" i="11"/>
  <c r="AC2200" i="11"/>
  <c r="Z2200" i="11"/>
  <c r="Y2200" i="11"/>
  <c r="X2200" i="11"/>
  <c r="W2200" i="11"/>
  <c r="V2200" i="11"/>
  <c r="U2200" i="11"/>
  <c r="T2200" i="11"/>
  <c r="S2200" i="11"/>
  <c r="R2200" i="11"/>
  <c r="P2200" i="11"/>
  <c r="O2200" i="11"/>
  <c r="N2200" i="11"/>
  <c r="M2200" i="11"/>
  <c r="L2200" i="11"/>
  <c r="K2200" i="11"/>
  <c r="J2200" i="11"/>
  <c r="T2199" i="11"/>
  <c r="AE2199" i="11"/>
  <c r="AC2199" i="11"/>
  <c r="Z2199" i="11"/>
  <c r="Y2199" i="11"/>
  <c r="X2199" i="11"/>
  <c r="W2199" i="11"/>
  <c r="V2199" i="11"/>
  <c r="U2199" i="11"/>
  <c r="I2199" i="11"/>
  <c r="S2199" i="11"/>
  <c r="R2199" i="11"/>
  <c r="P2199" i="11"/>
  <c r="O2199" i="11"/>
  <c r="N2199" i="11"/>
  <c r="M2199" i="11"/>
  <c r="L2199" i="11"/>
  <c r="K2199" i="11"/>
  <c r="J2199" i="11"/>
  <c r="S2198" i="11"/>
  <c r="AE2198" i="11"/>
  <c r="AC2198" i="11"/>
  <c r="Z2198" i="11"/>
  <c r="Y2198" i="11"/>
  <c r="X2198" i="11"/>
  <c r="W2198" i="11"/>
  <c r="V2198" i="11"/>
  <c r="U2198" i="11"/>
  <c r="T2198" i="11"/>
  <c r="R2198" i="11"/>
  <c r="P2198" i="11"/>
  <c r="O2198" i="11"/>
  <c r="N2198" i="11"/>
  <c r="M2198" i="11"/>
  <c r="L2198" i="11"/>
  <c r="K2198" i="11"/>
  <c r="J2198" i="11"/>
  <c r="I2198" i="11"/>
  <c r="I2197" i="11"/>
  <c r="AC2197" i="11"/>
  <c r="Z2197" i="11"/>
  <c r="Y2197" i="11"/>
  <c r="X2197" i="11"/>
  <c r="W2197" i="11"/>
  <c r="V2197" i="11"/>
  <c r="U2197" i="11"/>
  <c r="T2197" i="11"/>
  <c r="AE2197" i="11"/>
  <c r="S2197" i="11"/>
  <c r="R2197" i="11"/>
  <c r="P2197" i="11"/>
  <c r="O2197" i="11"/>
  <c r="N2197" i="11"/>
  <c r="M2197" i="11"/>
  <c r="L2197" i="11"/>
  <c r="K2197" i="11"/>
  <c r="J2197" i="11"/>
  <c r="I2196" i="11"/>
  <c r="AE2196" i="11"/>
  <c r="AC2196" i="11"/>
  <c r="Z2196" i="11"/>
  <c r="Y2196" i="11"/>
  <c r="X2196" i="11"/>
  <c r="W2196" i="11"/>
  <c r="V2196" i="11"/>
  <c r="U2196" i="11"/>
  <c r="T2196" i="11"/>
  <c r="S2196" i="11"/>
  <c r="R2196" i="11"/>
  <c r="P2196" i="11"/>
  <c r="O2196" i="11"/>
  <c r="N2196" i="11"/>
  <c r="M2196" i="11"/>
  <c r="L2196" i="11"/>
  <c r="K2196" i="11"/>
  <c r="J2196" i="11"/>
  <c r="AE2195" i="11"/>
  <c r="I2195" i="11"/>
  <c r="J2195" i="11"/>
  <c r="K2195" i="11"/>
  <c r="L2195" i="11"/>
  <c r="M2195" i="11"/>
  <c r="N2195" i="11"/>
  <c r="O2195" i="11"/>
  <c r="P2195" i="11"/>
  <c r="R2195" i="11"/>
  <c r="S2195" i="11"/>
  <c r="T2195" i="11"/>
  <c r="U2195" i="11"/>
  <c r="V2195" i="11"/>
  <c r="W2195" i="11"/>
  <c r="X2195" i="11"/>
  <c r="Y2195" i="11"/>
  <c r="Z2195" i="11"/>
  <c r="AC2195" i="11"/>
  <c r="T2194" i="11"/>
  <c r="AE2194" i="11"/>
  <c r="AC2194" i="11"/>
  <c r="Z2194" i="11"/>
  <c r="Y2194" i="11"/>
  <c r="X2194" i="11"/>
  <c r="W2194" i="11"/>
  <c r="V2194" i="11"/>
  <c r="U2194" i="11"/>
  <c r="I2194" i="11"/>
  <c r="S2194" i="11"/>
  <c r="R2194" i="11"/>
  <c r="P2194" i="11"/>
  <c r="O2194" i="11"/>
  <c r="N2194" i="11"/>
  <c r="M2194" i="11"/>
  <c r="L2194" i="11"/>
  <c r="K2194" i="11"/>
  <c r="J2194" i="11"/>
  <c r="Y2193" i="11"/>
  <c r="AE2193" i="11"/>
  <c r="AC2193" i="11"/>
  <c r="Z2193" i="11"/>
  <c r="S2193" i="11"/>
  <c r="X2193" i="11"/>
  <c r="W2193" i="11"/>
  <c r="V2193" i="11"/>
  <c r="U2193" i="11"/>
  <c r="T2193" i="11"/>
  <c r="R2193" i="11"/>
  <c r="P2193" i="11"/>
  <c r="O2193" i="11"/>
  <c r="N2193" i="11"/>
  <c r="M2193" i="11"/>
  <c r="L2193" i="11"/>
  <c r="J2193" i="11"/>
  <c r="I2193" i="11"/>
  <c r="K2193" i="11"/>
  <c r="AC2192" i="11"/>
  <c r="Z2192" i="11"/>
  <c r="Y2192" i="11"/>
  <c r="X2192" i="11"/>
  <c r="W2192" i="11"/>
  <c r="V2192" i="11"/>
  <c r="U2192" i="11"/>
  <c r="T2192" i="11"/>
  <c r="S2192" i="11"/>
  <c r="R2192" i="11"/>
  <c r="P2192" i="11"/>
  <c r="O2192" i="11"/>
  <c r="N2192" i="11"/>
  <c r="M2192" i="11"/>
  <c r="L2192" i="11"/>
  <c r="K2192" i="11"/>
  <c r="J2192" i="11"/>
  <c r="I2192" i="11"/>
  <c r="AE2192" i="11"/>
  <c r="AE2191" i="11"/>
  <c r="AC2191" i="11"/>
  <c r="Z2191" i="11"/>
  <c r="Y2191" i="11"/>
  <c r="X2191" i="11"/>
  <c r="W2191" i="11"/>
  <c r="V2191" i="11"/>
  <c r="U2191" i="11"/>
  <c r="T2191" i="11"/>
  <c r="S2191" i="11"/>
  <c r="I2191" i="11"/>
  <c r="R2191" i="11"/>
  <c r="P2191" i="11"/>
  <c r="O2191" i="11"/>
  <c r="N2191" i="11"/>
  <c r="M2191" i="11"/>
  <c r="L2191" i="11"/>
  <c r="K2191" i="11"/>
  <c r="J2191" i="11"/>
  <c r="AE2190" i="11"/>
  <c r="I2190" i="11"/>
  <c r="AC2190" i="11"/>
  <c r="Z2190" i="11"/>
  <c r="Y2190" i="11"/>
  <c r="X2190" i="11"/>
  <c r="W2190" i="11"/>
  <c r="V2190" i="11"/>
  <c r="U2190" i="11"/>
  <c r="T2190" i="11"/>
  <c r="S2190" i="11"/>
  <c r="R2190" i="11"/>
  <c r="P2190" i="11"/>
  <c r="O2190" i="11"/>
  <c r="N2190" i="11"/>
  <c r="M2190" i="11"/>
  <c r="L2190" i="11"/>
  <c r="K2190" i="11"/>
  <c r="J2190" i="11"/>
  <c r="R2189" i="11"/>
  <c r="AE2189" i="11"/>
  <c r="AC2189" i="11"/>
  <c r="Z2189" i="11"/>
  <c r="Y2189" i="11"/>
  <c r="X2189" i="11"/>
  <c r="W2189" i="11"/>
  <c r="V2189" i="11"/>
  <c r="U2189" i="11"/>
  <c r="T2189" i="11"/>
  <c r="S2189" i="11"/>
  <c r="I2189" i="11"/>
  <c r="P2189" i="11"/>
  <c r="O2189" i="11"/>
  <c r="N2189" i="11"/>
  <c r="M2189" i="11"/>
  <c r="L2189" i="11"/>
  <c r="K2189" i="11"/>
  <c r="J2189" i="11"/>
  <c r="Z2188" i="11"/>
  <c r="AE2188" i="11"/>
  <c r="AC2188" i="11"/>
  <c r="S2188" i="11"/>
  <c r="Y2188" i="11"/>
  <c r="X2188" i="11"/>
  <c r="W2188" i="11"/>
  <c r="V2188" i="11"/>
  <c r="U2188" i="11"/>
  <c r="T2188" i="11"/>
  <c r="R2188" i="11"/>
  <c r="P2188" i="11"/>
  <c r="O2188" i="11"/>
  <c r="N2188" i="11"/>
  <c r="M2188" i="11"/>
  <c r="L2188" i="11"/>
  <c r="K2188" i="11"/>
  <c r="J2188" i="11"/>
  <c r="I2188" i="11"/>
  <c r="AE2187" i="11"/>
  <c r="AC2187" i="11"/>
  <c r="Z2187" i="11"/>
  <c r="Y2187" i="11"/>
  <c r="X2187" i="11"/>
  <c r="W2187" i="11"/>
  <c r="V2187" i="11"/>
  <c r="N2187" i="11"/>
  <c r="T2187" i="11"/>
  <c r="U2187" i="11"/>
  <c r="S2187" i="11"/>
  <c r="R2187" i="11"/>
  <c r="P2187" i="11"/>
  <c r="O2187" i="11"/>
  <c r="M2187" i="11"/>
  <c r="L2187" i="11"/>
  <c r="K2187" i="11"/>
  <c r="J2187" i="11"/>
  <c r="I2187" i="11"/>
  <c r="T2186" i="11"/>
  <c r="U2186" i="11"/>
  <c r="V2186" i="11"/>
  <c r="O2186" i="11"/>
  <c r="I2186" i="11"/>
  <c r="J2186" i="11"/>
  <c r="K2186" i="11"/>
  <c r="L2186" i="11"/>
  <c r="M2186" i="11"/>
  <c r="N2186" i="11"/>
  <c r="P2186" i="11"/>
  <c r="R2186" i="11"/>
  <c r="S2186" i="11"/>
  <c r="AE2186" i="11"/>
  <c r="AC2186" i="11"/>
  <c r="Z2186" i="11"/>
  <c r="Y2186" i="11"/>
  <c r="X2186" i="11"/>
  <c r="W2186" i="11"/>
  <c r="V2185" i="11"/>
  <c r="W2185" i="11"/>
  <c r="X2185" i="11"/>
  <c r="Y2185" i="11"/>
  <c r="Z2185" i="11"/>
  <c r="AC2185" i="11"/>
  <c r="J2185" i="11"/>
  <c r="AE2185" i="11"/>
  <c r="K2185" i="11"/>
  <c r="L2185" i="11"/>
  <c r="M2185" i="11"/>
  <c r="N2185" i="11"/>
  <c r="O2185" i="11"/>
  <c r="P2185" i="11"/>
  <c r="I2185" i="11"/>
  <c r="R2185" i="11"/>
  <c r="S2185" i="11"/>
  <c r="T2185" i="11"/>
  <c r="U2185" i="11"/>
  <c r="P2184" i="11"/>
  <c r="R2184" i="11"/>
  <c r="S2184" i="11"/>
  <c r="T2184" i="11"/>
  <c r="U2184" i="11"/>
  <c r="V2184" i="11"/>
  <c r="W2184" i="11"/>
  <c r="X2184" i="11"/>
  <c r="Y2184" i="11"/>
  <c r="Z2184" i="11"/>
  <c r="AC2184" i="11"/>
  <c r="AE2184" i="11"/>
  <c r="I2184" i="11"/>
  <c r="J2184" i="11"/>
  <c r="K2184" i="11"/>
  <c r="L2184" i="11"/>
  <c r="M2184" i="11"/>
  <c r="N2184" i="11"/>
  <c r="O2184" i="11"/>
  <c r="V2183" i="11"/>
  <c r="W2183" i="11"/>
  <c r="U2183" i="11"/>
  <c r="T2183" i="11"/>
  <c r="S2183" i="11"/>
  <c r="R2183" i="11"/>
  <c r="P2183" i="11"/>
  <c r="O2183" i="11"/>
  <c r="N2183" i="11"/>
  <c r="M2183" i="11"/>
  <c r="L2183" i="11"/>
  <c r="K2183" i="11"/>
  <c r="J2183" i="11"/>
  <c r="I2183" i="11"/>
  <c r="AE2183" i="11"/>
  <c r="AC2183" i="11"/>
  <c r="Z2183" i="11"/>
  <c r="Y2183" i="11"/>
  <c r="X2183" i="11"/>
  <c r="J2182" i="11"/>
  <c r="AE2182" i="11"/>
  <c r="AC2182" i="11"/>
  <c r="Z2182" i="11"/>
  <c r="I2182" i="11"/>
  <c r="X2182" i="11"/>
  <c r="P2182" i="11"/>
  <c r="O2182" i="11"/>
  <c r="N2182" i="11"/>
  <c r="M2182" i="11"/>
  <c r="L2182" i="11"/>
  <c r="K2182" i="11"/>
  <c r="W2182" i="11"/>
  <c r="V2182" i="11"/>
  <c r="U2182" i="11"/>
  <c r="T2182" i="11"/>
  <c r="S2182" i="11"/>
  <c r="R2182" i="11"/>
  <c r="Y2182" i="11"/>
  <c r="V2181" i="11"/>
  <c r="U2181" i="11"/>
  <c r="T2181" i="11"/>
  <c r="S2181" i="11"/>
  <c r="R2181" i="11"/>
  <c r="P2181" i="11"/>
  <c r="O2181" i="11"/>
  <c r="M2181" i="11"/>
  <c r="L2181" i="11"/>
  <c r="K2181" i="11"/>
  <c r="J2181" i="11"/>
  <c r="I2181" i="11"/>
  <c r="N2181" i="11"/>
  <c r="AE2181" i="11"/>
  <c r="AC2181" i="11"/>
  <c r="Z2181" i="11"/>
  <c r="Y2181" i="11"/>
  <c r="X2181" i="11"/>
  <c r="W2181" i="11"/>
  <c r="Z2180" i="11"/>
  <c r="K2180" i="11"/>
  <c r="L2180" i="11"/>
  <c r="M2180" i="11"/>
  <c r="N2180" i="11"/>
  <c r="O2180" i="11"/>
  <c r="P2180" i="11"/>
  <c r="AC2180" i="11"/>
  <c r="R2180" i="11"/>
  <c r="S2180" i="11"/>
  <c r="T2180" i="11"/>
  <c r="U2180" i="11"/>
  <c r="V2180" i="11"/>
  <c r="W2180" i="11"/>
  <c r="X2180" i="11"/>
  <c r="Y2180" i="11"/>
  <c r="I2180" i="11"/>
  <c r="J2180" i="11"/>
  <c r="AE2180" i="11"/>
  <c r="T2179" i="11"/>
  <c r="U2179" i="11"/>
  <c r="V2179" i="11"/>
  <c r="X2179" i="11"/>
  <c r="Y2179" i="11"/>
  <c r="Z2179" i="11"/>
  <c r="AC2179" i="11"/>
  <c r="AE2179" i="11"/>
  <c r="I2179" i="11"/>
  <c r="W2179" i="11"/>
  <c r="S2179" i="11"/>
  <c r="R2179" i="11"/>
  <c r="P2179" i="11"/>
  <c r="O2179" i="11"/>
  <c r="N2179" i="11"/>
  <c r="M2179" i="11"/>
  <c r="L2179" i="11"/>
  <c r="K2179" i="11"/>
  <c r="J2179" i="11"/>
  <c r="T2178" i="11"/>
  <c r="S2178" i="11"/>
  <c r="R2178" i="11"/>
  <c r="O2178" i="11"/>
  <c r="N2178" i="11"/>
  <c r="M2178" i="11"/>
  <c r="L2178" i="11"/>
  <c r="K2178" i="11"/>
  <c r="J2178" i="11"/>
  <c r="I2178" i="11"/>
  <c r="P2178" i="11"/>
  <c r="AC2178" i="11"/>
  <c r="AE2178" i="11"/>
  <c r="Z2178" i="11"/>
  <c r="Y2178" i="11"/>
  <c r="X2178" i="11"/>
  <c r="W2178" i="11"/>
  <c r="V2178" i="11"/>
  <c r="U2178" i="11"/>
  <c r="S2177" i="11"/>
  <c r="I2177" i="11"/>
  <c r="T2177" i="11"/>
  <c r="U2177" i="11"/>
  <c r="V2177" i="11"/>
  <c r="W2177" i="11"/>
  <c r="X2177" i="11"/>
  <c r="Y2177" i="11"/>
  <c r="Z2177" i="11"/>
  <c r="AC2177" i="11"/>
  <c r="AE2177" i="11"/>
  <c r="P2177" i="11"/>
  <c r="O2177" i="11"/>
  <c r="N2177" i="11"/>
  <c r="M2177" i="11"/>
  <c r="L2177" i="11"/>
  <c r="K2177" i="11"/>
  <c r="J2177" i="11"/>
  <c r="R2177" i="11"/>
  <c r="M2176" i="11"/>
  <c r="K2176" i="11"/>
  <c r="N2176" i="11"/>
  <c r="O2176" i="11"/>
  <c r="P2176" i="11"/>
  <c r="R2176" i="11"/>
  <c r="S2176" i="11"/>
  <c r="T2176" i="11"/>
  <c r="U2176" i="11"/>
  <c r="J2176" i="11"/>
  <c r="V2176" i="11"/>
  <c r="X2176" i="11"/>
  <c r="Y2176" i="11"/>
  <c r="Z2176" i="11"/>
  <c r="AC2176" i="11"/>
  <c r="AE2176" i="11"/>
  <c r="W2176" i="11"/>
  <c r="I2176" i="11"/>
  <c r="L2176" i="11"/>
  <c r="AE2175" i="11"/>
  <c r="AC2175" i="11"/>
  <c r="Z2175" i="11"/>
  <c r="Y2175" i="11"/>
  <c r="X2175" i="11"/>
  <c r="W2175" i="11"/>
  <c r="V2175" i="11"/>
  <c r="U2175" i="11"/>
  <c r="T2175" i="11"/>
  <c r="S2175" i="11"/>
  <c r="R2175" i="11"/>
  <c r="P2175" i="11"/>
  <c r="O2175" i="11"/>
  <c r="N2175" i="11"/>
  <c r="M2175" i="11"/>
  <c r="L2175" i="11"/>
  <c r="K2175" i="11"/>
  <c r="J2175" i="11"/>
  <c r="I2175" i="11"/>
  <c r="S2174" i="11"/>
  <c r="Z2174" i="11"/>
  <c r="AC2174" i="11"/>
  <c r="O2174" i="11"/>
  <c r="AE2174" i="11"/>
  <c r="T2174" i="11"/>
  <c r="I2174" i="11"/>
  <c r="J2174" i="11"/>
  <c r="K2174" i="11"/>
  <c r="L2174" i="11"/>
  <c r="P2174" i="11"/>
  <c r="M2174" i="11"/>
  <c r="N2174" i="11"/>
  <c r="R2174" i="11"/>
  <c r="U2174" i="11"/>
  <c r="V2174" i="11"/>
  <c r="W2174" i="11"/>
  <c r="X2174" i="11"/>
  <c r="Y2174" i="11"/>
  <c r="P2173" i="11"/>
  <c r="O2173" i="11"/>
  <c r="R2173" i="11"/>
  <c r="AC2173" i="11"/>
  <c r="Z2173" i="11"/>
  <c r="Y2173" i="11"/>
  <c r="X2173" i="11"/>
  <c r="W2173" i="11"/>
  <c r="AE2173" i="11"/>
  <c r="V2173" i="11"/>
  <c r="U2173" i="11"/>
  <c r="T2173" i="11"/>
  <c r="S2173" i="11"/>
  <c r="N2173" i="11"/>
  <c r="I2173" i="11"/>
  <c r="J2173" i="11"/>
  <c r="K2173" i="11"/>
  <c r="L2173" i="11"/>
  <c r="M2173" i="11"/>
  <c r="T2172" i="11"/>
  <c r="U2172" i="11"/>
  <c r="I2172" i="11"/>
  <c r="AE2172" i="11"/>
  <c r="AC2172" i="11"/>
  <c r="Y2172" i="11"/>
  <c r="X2172" i="11"/>
  <c r="W2172" i="11"/>
  <c r="V2172" i="11"/>
  <c r="Z2172" i="11"/>
  <c r="S2172" i="11"/>
  <c r="R2172" i="11"/>
  <c r="O2172" i="11"/>
  <c r="N2172" i="11"/>
  <c r="M2172" i="11"/>
  <c r="L2172" i="11"/>
  <c r="K2172" i="11"/>
  <c r="P2172" i="11"/>
  <c r="J2172" i="11"/>
  <c r="R2171" i="11"/>
  <c r="S2171" i="11"/>
  <c r="T2171" i="11"/>
  <c r="AC2171" i="11"/>
  <c r="U2171" i="11"/>
  <c r="V2171" i="11"/>
  <c r="W2171" i="11"/>
  <c r="X2171" i="11"/>
  <c r="Y2171" i="11"/>
  <c r="Z2171" i="11"/>
  <c r="AE2171" i="11"/>
  <c r="P2171" i="11"/>
  <c r="O2171" i="11"/>
  <c r="N2171" i="11"/>
  <c r="M2171" i="11"/>
  <c r="L2171" i="11"/>
  <c r="K2171" i="11"/>
  <c r="J2171" i="11"/>
  <c r="I2171" i="11"/>
  <c r="R2170" i="11"/>
  <c r="S2170" i="11"/>
  <c r="T2170" i="11"/>
  <c r="U2170" i="11"/>
  <c r="V2170" i="11"/>
  <c r="W2170" i="11"/>
  <c r="X2170" i="11"/>
  <c r="Y2170" i="11"/>
  <c r="Z2170" i="11"/>
  <c r="AC2170" i="11"/>
  <c r="K2170" i="11"/>
  <c r="AE2170" i="11"/>
  <c r="I2170" i="11"/>
  <c r="J2170" i="11"/>
  <c r="L2170" i="11"/>
  <c r="M2170" i="11"/>
  <c r="N2170" i="11"/>
  <c r="O2170" i="11"/>
  <c r="P2170" i="11"/>
  <c r="V2169" i="11"/>
  <c r="T2169" i="11"/>
  <c r="U2169" i="11"/>
  <c r="Z2169" i="11"/>
  <c r="S2169" i="11"/>
  <c r="R2169" i="11"/>
  <c r="P2169" i="11"/>
  <c r="O2169" i="11"/>
  <c r="N2169" i="11"/>
  <c r="M2169" i="11"/>
  <c r="L2169" i="11"/>
  <c r="J2169" i="11"/>
  <c r="I2169" i="11"/>
  <c r="Y2169" i="11"/>
  <c r="X2169" i="11"/>
  <c r="W2169" i="11"/>
  <c r="K2169" i="11"/>
  <c r="AE2169" i="11"/>
  <c r="AC2169" i="11"/>
  <c r="I2168" i="11"/>
  <c r="AE2168" i="11"/>
  <c r="AC2168" i="11"/>
  <c r="Z2168" i="11"/>
  <c r="Y2168" i="11"/>
  <c r="X2168" i="11"/>
  <c r="W2168" i="11"/>
  <c r="V2168" i="11"/>
  <c r="U2168" i="11"/>
  <c r="T2168" i="11"/>
  <c r="S2168" i="11"/>
  <c r="R2168" i="11"/>
  <c r="P2168" i="11"/>
  <c r="O2168" i="11"/>
  <c r="N2168" i="11"/>
  <c r="M2168" i="11"/>
  <c r="L2168" i="11"/>
  <c r="K2168" i="11"/>
  <c r="J2168" i="11"/>
  <c r="Z2167" i="11"/>
  <c r="AE2167" i="11"/>
  <c r="AC2167" i="11"/>
  <c r="Y2167" i="11"/>
  <c r="X2167" i="11"/>
  <c r="W2167" i="11"/>
  <c r="V2167" i="11"/>
  <c r="U2167" i="11"/>
  <c r="T2167" i="11"/>
  <c r="S2167" i="11"/>
  <c r="R2167" i="11"/>
  <c r="P2167" i="11"/>
  <c r="O2167" i="11"/>
  <c r="N2167" i="11"/>
  <c r="M2167" i="11"/>
  <c r="L2167" i="11"/>
  <c r="K2167" i="11"/>
  <c r="J2167" i="11"/>
  <c r="I2167" i="11"/>
  <c r="AE2166" i="11"/>
  <c r="AC2166" i="11"/>
  <c r="Z2166" i="11"/>
  <c r="Y2166" i="11"/>
  <c r="X2166" i="11"/>
  <c r="W2166" i="11"/>
  <c r="V2166" i="11"/>
  <c r="U2166" i="11"/>
  <c r="T2166" i="11"/>
  <c r="S2166" i="11"/>
  <c r="R2166" i="11"/>
  <c r="P2166" i="11"/>
  <c r="O2166" i="11"/>
  <c r="N2166" i="11"/>
  <c r="M2166" i="11"/>
  <c r="L2166" i="11"/>
  <c r="K2166" i="11"/>
  <c r="J2166" i="11"/>
  <c r="I2166" i="11"/>
  <c r="X2165" i="11"/>
  <c r="AE2165" i="11"/>
  <c r="AC2165" i="11"/>
  <c r="Z2165" i="11"/>
  <c r="Y2165" i="11"/>
  <c r="W2165" i="11"/>
  <c r="V2165" i="11"/>
  <c r="U2165" i="11"/>
  <c r="T2165" i="11"/>
  <c r="S2165" i="11"/>
  <c r="R2165" i="11"/>
  <c r="P2165" i="11"/>
  <c r="O2165" i="11"/>
  <c r="N2165" i="11"/>
  <c r="M2165" i="11"/>
  <c r="L2165" i="11"/>
  <c r="K2165" i="11"/>
  <c r="J2165" i="11"/>
  <c r="I2165" i="11"/>
  <c r="X2164" i="11"/>
  <c r="Y2164" i="11"/>
  <c r="Z2164" i="11"/>
  <c r="AC2164" i="11"/>
  <c r="AE2164" i="11"/>
  <c r="I2164" i="11"/>
  <c r="J2164" i="11"/>
  <c r="K2164" i="11"/>
  <c r="L2164" i="11"/>
  <c r="S2164" i="11"/>
  <c r="M2164" i="11"/>
  <c r="N2164" i="11"/>
  <c r="O2164" i="11"/>
  <c r="P2164" i="11"/>
  <c r="R2164" i="11"/>
  <c r="T2164" i="11"/>
  <c r="U2164" i="11"/>
  <c r="V2164" i="11"/>
  <c r="W2164" i="11"/>
  <c r="M2163" i="11"/>
  <c r="L2163" i="11"/>
  <c r="K2163" i="11"/>
  <c r="J2163" i="11"/>
  <c r="I2163" i="11"/>
  <c r="AE2163" i="11"/>
  <c r="AC2163" i="11"/>
  <c r="Z2163" i="11"/>
  <c r="Y2163" i="11"/>
  <c r="X2163" i="11"/>
  <c r="W2163" i="11"/>
  <c r="V2163" i="11"/>
  <c r="U2163" i="11"/>
  <c r="T2163" i="11"/>
  <c r="S2163" i="11"/>
  <c r="R2163" i="11"/>
  <c r="P2163" i="11"/>
  <c r="O2163" i="11"/>
  <c r="N2163" i="11"/>
  <c r="P2162" i="11"/>
  <c r="N2162" i="11"/>
  <c r="M2162" i="11"/>
  <c r="L2162" i="11"/>
  <c r="K2162" i="11"/>
  <c r="J2162" i="11"/>
  <c r="AE2162" i="11"/>
  <c r="AC2162" i="11"/>
  <c r="Z2162" i="11"/>
  <c r="Y2162" i="11"/>
  <c r="X2162" i="11"/>
  <c r="W2162" i="11"/>
  <c r="V2162" i="11"/>
  <c r="U2162" i="11"/>
  <c r="T2162" i="11"/>
  <c r="S2162" i="11"/>
  <c r="R2162" i="11"/>
  <c r="O2162" i="11"/>
  <c r="I2162" i="11"/>
  <c r="K2161" i="11"/>
  <c r="L2161" i="11"/>
  <c r="M2161" i="11"/>
  <c r="N2161" i="11"/>
  <c r="O2161" i="11"/>
  <c r="P2161" i="11"/>
  <c r="R2161" i="11"/>
  <c r="S2161" i="11"/>
  <c r="T2161" i="11"/>
  <c r="Z2161" i="11"/>
  <c r="U2161" i="11"/>
  <c r="V2161" i="11"/>
  <c r="W2161" i="11"/>
  <c r="X2161" i="11"/>
  <c r="Y2161" i="11"/>
  <c r="AC2161" i="11"/>
  <c r="AE2161" i="11"/>
  <c r="I2161" i="11"/>
  <c r="J2161" i="11"/>
  <c r="U2160" i="11"/>
  <c r="T2160" i="11"/>
  <c r="S2160" i="11"/>
  <c r="R2160" i="11"/>
  <c r="P2160" i="11"/>
  <c r="O2160" i="11"/>
  <c r="N2160" i="11"/>
  <c r="M2160" i="11"/>
  <c r="L2160" i="11"/>
  <c r="K2160" i="11"/>
  <c r="J2160" i="11"/>
  <c r="I2160" i="11"/>
  <c r="AE2160" i="11"/>
  <c r="AC2160" i="11"/>
  <c r="Z2160" i="11"/>
  <c r="Y2160" i="11"/>
  <c r="X2160" i="11"/>
  <c r="W2160" i="11"/>
  <c r="V2160" i="11"/>
  <c r="Y2159" i="11"/>
  <c r="V2159" i="11"/>
  <c r="U2159" i="11"/>
  <c r="T2159" i="11"/>
  <c r="S2159" i="11"/>
  <c r="M2159" i="11"/>
  <c r="K2159" i="11"/>
  <c r="L2159" i="11"/>
  <c r="R2159" i="11"/>
  <c r="P2159" i="11"/>
  <c r="O2159" i="11"/>
  <c r="J2159" i="11"/>
  <c r="AE2159" i="11"/>
  <c r="I2159" i="11"/>
  <c r="AC2159" i="11"/>
  <c r="Z2159" i="11"/>
  <c r="N2159" i="11"/>
  <c r="X2159" i="11"/>
  <c r="W2159" i="11"/>
  <c r="Z2158" i="11"/>
  <c r="AC2158" i="11"/>
  <c r="AE2158" i="11"/>
  <c r="I2158" i="11"/>
  <c r="J2158" i="11"/>
  <c r="K2158" i="11"/>
  <c r="S2158" i="11"/>
  <c r="L2158" i="11"/>
  <c r="M2158" i="11"/>
  <c r="N2158" i="11"/>
  <c r="O2158" i="11"/>
  <c r="P2158" i="11"/>
  <c r="R2158" i="11"/>
  <c r="T2158" i="11"/>
  <c r="U2158" i="11"/>
  <c r="V2158" i="11"/>
  <c r="W2158" i="11"/>
  <c r="X2158" i="11"/>
  <c r="Y2158" i="11"/>
  <c r="V2157" i="11"/>
  <c r="W2157" i="11"/>
  <c r="X2157" i="11"/>
  <c r="Y2157" i="11"/>
  <c r="I2157" i="11"/>
  <c r="O2157" i="11"/>
  <c r="P2157" i="11"/>
  <c r="N2157" i="11"/>
  <c r="M2157" i="11"/>
  <c r="L2157" i="11"/>
  <c r="K2157" i="11"/>
  <c r="J2157" i="11"/>
  <c r="AE2157" i="11"/>
  <c r="AC2157" i="11"/>
  <c r="U2157" i="11"/>
  <c r="Z2157" i="11"/>
  <c r="T2157" i="11"/>
  <c r="S2157" i="11"/>
  <c r="R2157" i="11"/>
  <c r="S2156" i="11"/>
  <c r="T2156" i="11"/>
  <c r="U2156" i="11"/>
  <c r="V2156" i="11"/>
  <c r="W2156" i="11"/>
  <c r="Y2156" i="11"/>
  <c r="Z2156" i="11"/>
  <c r="AC2156" i="11"/>
  <c r="AE2156" i="11"/>
  <c r="X2156" i="11"/>
  <c r="I2156" i="11"/>
  <c r="J2156" i="11"/>
  <c r="K2156" i="11"/>
  <c r="L2156" i="11"/>
  <c r="M2156" i="11"/>
  <c r="N2156" i="11"/>
  <c r="O2156" i="11"/>
  <c r="P2156" i="11"/>
  <c r="R2156" i="11"/>
  <c r="AE2155" i="11"/>
  <c r="U2155" i="11"/>
  <c r="V2155" i="11"/>
  <c r="W2155" i="11"/>
  <c r="X2155" i="11"/>
  <c r="Y2155" i="11"/>
  <c r="N2155" i="11"/>
  <c r="AC2155" i="11"/>
  <c r="I2155" i="11"/>
  <c r="J2155" i="11"/>
  <c r="K2155" i="11"/>
  <c r="L2155" i="11"/>
  <c r="M2155" i="11"/>
  <c r="Z2155" i="11"/>
  <c r="O2155" i="11"/>
  <c r="P2155" i="11"/>
  <c r="R2155" i="11"/>
  <c r="S2155" i="11"/>
  <c r="T2155" i="11"/>
  <c r="Z2154" i="11"/>
  <c r="Y2154" i="11"/>
  <c r="J2154" i="11"/>
  <c r="K2154" i="11"/>
  <c r="AC2154" i="11"/>
  <c r="AE2154" i="11"/>
  <c r="I2154" i="11"/>
  <c r="L2154" i="11"/>
  <c r="M2154" i="11"/>
  <c r="N2154" i="11"/>
  <c r="O2154" i="11"/>
  <c r="P2154" i="11"/>
  <c r="R2154" i="11"/>
  <c r="S2154" i="11"/>
  <c r="T2154" i="11"/>
  <c r="U2154" i="11"/>
  <c r="V2154" i="11"/>
  <c r="W2154" i="11"/>
  <c r="X2154" i="11"/>
  <c r="I2153" i="11"/>
  <c r="J2153" i="11"/>
  <c r="K2153" i="11"/>
  <c r="L2153" i="11"/>
  <c r="M2153" i="11"/>
  <c r="P2153" i="11"/>
  <c r="O2153" i="11"/>
  <c r="R2153" i="11"/>
  <c r="AE2153" i="11"/>
  <c r="AC2153" i="11"/>
  <c r="Z2153" i="11"/>
  <c r="N2153" i="11"/>
  <c r="X2153" i="11"/>
  <c r="W2153" i="11"/>
  <c r="V2153" i="11"/>
  <c r="U2153" i="11"/>
  <c r="T2153" i="11"/>
  <c r="S2153" i="11"/>
  <c r="Y2153" i="11"/>
  <c r="S2152" i="11"/>
  <c r="T2152" i="11"/>
  <c r="U2152" i="11"/>
  <c r="V2152" i="11"/>
  <c r="W2152" i="11"/>
  <c r="Y2152" i="11"/>
  <c r="Z2152" i="11"/>
  <c r="AC2152" i="11"/>
  <c r="AE2152" i="11"/>
  <c r="X2152" i="11"/>
  <c r="I2152" i="11"/>
  <c r="J2152" i="11"/>
  <c r="K2152" i="11"/>
  <c r="L2152" i="11"/>
  <c r="M2152" i="11"/>
  <c r="N2152" i="11"/>
  <c r="O2152" i="11"/>
  <c r="P2152" i="11"/>
  <c r="R2152" i="11"/>
  <c r="U2151" i="11"/>
  <c r="T2151" i="11"/>
  <c r="S2151" i="11"/>
  <c r="R2151" i="11"/>
  <c r="P2151" i="11"/>
  <c r="O2151" i="11"/>
  <c r="N2151" i="11"/>
  <c r="M2151" i="11"/>
  <c r="L2151" i="11"/>
  <c r="K2151" i="11"/>
  <c r="W2151" i="11"/>
  <c r="V2151" i="11"/>
  <c r="I2151" i="11"/>
  <c r="AE2151" i="11"/>
  <c r="AC2151" i="11"/>
  <c r="Z2151" i="11"/>
  <c r="J2151" i="11"/>
  <c r="Y2151" i="11"/>
  <c r="X2151" i="11"/>
  <c r="S2150" i="11"/>
  <c r="R2150" i="11"/>
  <c r="X2150" i="11"/>
  <c r="N2150" i="11"/>
  <c r="P2150" i="11"/>
  <c r="O2150" i="11"/>
  <c r="M2150" i="11"/>
  <c r="L2150" i="11"/>
  <c r="K2150" i="11"/>
  <c r="J2150" i="11"/>
  <c r="AE2150" i="11"/>
  <c r="AC2150" i="11"/>
  <c r="Z2150" i="11"/>
  <c r="Y2150" i="11"/>
  <c r="I2150" i="11"/>
  <c r="W2150" i="11"/>
  <c r="V2150" i="11"/>
  <c r="U2150" i="11"/>
  <c r="T2150" i="11"/>
  <c r="S2149" i="11"/>
  <c r="AC2149" i="11"/>
  <c r="Z2149" i="11"/>
  <c r="Y2149" i="11"/>
  <c r="X2149" i="11"/>
  <c r="W2149" i="11"/>
  <c r="V2149" i="11"/>
  <c r="U2149" i="11"/>
  <c r="T2149" i="11"/>
  <c r="AE2149" i="11"/>
  <c r="R2149" i="11"/>
  <c r="P2149" i="11"/>
  <c r="O2149" i="11"/>
  <c r="N2149" i="11"/>
  <c r="M2149" i="11"/>
  <c r="L2149" i="11"/>
  <c r="K2149" i="11"/>
  <c r="J2149" i="11"/>
  <c r="I2149" i="11"/>
  <c r="R2148" i="11"/>
  <c r="S2148" i="11"/>
  <c r="P2148" i="11"/>
  <c r="O2148" i="11"/>
  <c r="N2148" i="11"/>
  <c r="M2148" i="11"/>
  <c r="L2148" i="11"/>
  <c r="K2148" i="11"/>
  <c r="J2148" i="11"/>
  <c r="I2148" i="11"/>
  <c r="AE2148" i="11"/>
  <c r="AC2148" i="11"/>
  <c r="Z2148" i="11"/>
  <c r="Y2148" i="11"/>
  <c r="X2148" i="11"/>
  <c r="W2148" i="11"/>
  <c r="V2148" i="11"/>
  <c r="U2148" i="11"/>
  <c r="T2148" i="11"/>
  <c r="S2147" i="11"/>
  <c r="R2147" i="11"/>
  <c r="P2147" i="11"/>
  <c r="O2147" i="11"/>
  <c r="N2147" i="11"/>
  <c r="M2147" i="11"/>
  <c r="L2147" i="11"/>
  <c r="K2147" i="11"/>
  <c r="J2147" i="11"/>
  <c r="I2147" i="11"/>
  <c r="AE2147" i="11"/>
  <c r="AC2147" i="11"/>
  <c r="Z2147" i="11"/>
  <c r="Y2147" i="11"/>
  <c r="X2147" i="11"/>
  <c r="W2147" i="11"/>
  <c r="V2147" i="11"/>
  <c r="U2147" i="11"/>
  <c r="T2147" i="11"/>
  <c r="P2146" i="11"/>
  <c r="I2146" i="11"/>
  <c r="S2146" i="11"/>
  <c r="R2146" i="11"/>
  <c r="O2146" i="11"/>
  <c r="N2146" i="11"/>
  <c r="M2146" i="11"/>
  <c r="L2146" i="11"/>
  <c r="K2146" i="11"/>
  <c r="J2146" i="11"/>
  <c r="T2146" i="11"/>
  <c r="AE2146" i="11"/>
  <c r="AC2146" i="11"/>
  <c r="Z2146" i="11"/>
  <c r="Y2146" i="11"/>
  <c r="X2146" i="11"/>
  <c r="W2146" i="11"/>
  <c r="V2146" i="11"/>
  <c r="U2146" i="11"/>
  <c r="S2145" i="11"/>
  <c r="R2145" i="11"/>
  <c r="P2145" i="11"/>
  <c r="O2145" i="11"/>
  <c r="N2145" i="11"/>
  <c r="M2145" i="11"/>
  <c r="L2145" i="11"/>
  <c r="K2145" i="11"/>
  <c r="J2145" i="11"/>
  <c r="I2145" i="11"/>
  <c r="AE2145" i="11"/>
  <c r="AC2145" i="11"/>
  <c r="Z2145" i="11"/>
  <c r="Y2145" i="11"/>
  <c r="X2145" i="11"/>
  <c r="W2145" i="11"/>
  <c r="V2145" i="11"/>
  <c r="U2145" i="11"/>
  <c r="T2145" i="11"/>
  <c r="S2144" i="11"/>
  <c r="AC2144" i="11"/>
  <c r="Z2144" i="11"/>
  <c r="Y2144" i="11"/>
  <c r="X2144" i="11"/>
  <c r="W2144" i="11"/>
  <c r="V2144" i="11"/>
  <c r="U2144" i="11"/>
  <c r="T2144" i="11"/>
  <c r="AE2144" i="11"/>
  <c r="R2144" i="11"/>
  <c r="P2144" i="11"/>
  <c r="O2144" i="11"/>
  <c r="N2144" i="11"/>
  <c r="M2144" i="11"/>
  <c r="L2144" i="11"/>
  <c r="K2144" i="11"/>
  <c r="J2144" i="11"/>
  <c r="I2144" i="11"/>
  <c r="S2143" i="11"/>
  <c r="J2143" i="11"/>
  <c r="K2143" i="11"/>
  <c r="L2143" i="11"/>
  <c r="M2143" i="11"/>
  <c r="N2143" i="11"/>
  <c r="O2143" i="11"/>
  <c r="P2143" i="11"/>
  <c r="I2143" i="11"/>
  <c r="R2143" i="11"/>
  <c r="AE2143" i="11"/>
  <c r="AC2143" i="11"/>
  <c r="Z2143" i="11"/>
  <c r="Y2143" i="11"/>
  <c r="X2143" i="11"/>
  <c r="W2143" i="11"/>
  <c r="V2143" i="11"/>
  <c r="U2143" i="11"/>
  <c r="T2143" i="11"/>
  <c r="T2142" i="11"/>
  <c r="U2142" i="11"/>
  <c r="V2142" i="11"/>
  <c r="W2142" i="11"/>
  <c r="X2142" i="11"/>
  <c r="Y2142" i="11"/>
  <c r="Z2142" i="11"/>
  <c r="AC2142" i="11"/>
  <c r="AE2142" i="11"/>
  <c r="I2142" i="11"/>
  <c r="J2142" i="11"/>
  <c r="K2142" i="11"/>
  <c r="L2142" i="11"/>
  <c r="M2142" i="11"/>
  <c r="N2142" i="11"/>
  <c r="O2142" i="11"/>
  <c r="P2142" i="11"/>
  <c r="R2142" i="11"/>
  <c r="S2142" i="11"/>
  <c r="Y2141" i="11"/>
  <c r="R2141" i="11"/>
  <c r="P2141" i="11"/>
  <c r="O2141" i="11"/>
  <c r="N2141" i="11"/>
  <c r="M2141" i="11"/>
  <c r="L2141" i="11"/>
  <c r="X2141" i="11"/>
  <c r="K2141" i="11"/>
  <c r="J2141" i="11"/>
  <c r="AE2141" i="11"/>
  <c r="AC2141" i="11"/>
  <c r="Z2141" i="11"/>
  <c r="I2141" i="11"/>
  <c r="W2141" i="11"/>
  <c r="V2141" i="11"/>
  <c r="U2141" i="11"/>
  <c r="T2141" i="11"/>
  <c r="S2141" i="11"/>
  <c r="R2140" i="11"/>
  <c r="P2140" i="11"/>
  <c r="O2140" i="11"/>
  <c r="N2140" i="11"/>
  <c r="M2140" i="11"/>
  <c r="L2140" i="11"/>
  <c r="K2140" i="11"/>
  <c r="J2140" i="11"/>
  <c r="I2140" i="11"/>
  <c r="AE2140" i="11"/>
  <c r="AC2140" i="11"/>
  <c r="Z2140" i="11"/>
  <c r="Y2140" i="11"/>
  <c r="X2140" i="11"/>
  <c r="W2140" i="11"/>
  <c r="V2140" i="11"/>
  <c r="U2140" i="11"/>
  <c r="T2140" i="11"/>
  <c r="S2140" i="11"/>
  <c r="R2139" i="11"/>
  <c r="P2139" i="11"/>
  <c r="O2139" i="11"/>
  <c r="N2139" i="11"/>
  <c r="M2139" i="11"/>
  <c r="L2139" i="11"/>
  <c r="J2139" i="11"/>
  <c r="I2139" i="11"/>
  <c r="K2139" i="11"/>
  <c r="AE2139" i="11"/>
  <c r="AC2139" i="11"/>
  <c r="Z2139" i="11"/>
  <c r="Y2139" i="11"/>
  <c r="X2139" i="11"/>
  <c r="W2139" i="11"/>
  <c r="V2139" i="11"/>
  <c r="U2139" i="11"/>
  <c r="T2139" i="11"/>
  <c r="S2139" i="11"/>
  <c r="S2138" i="11"/>
  <c r="R2138" i="11"/>
  <c r="P2138" i="11"/>
  <c r="O2138" i="11"/>
  <c r="N2138" i="11"/>
  <c r="M2138" i="11"/>
  <c r="L2138" i="11"/>
  <c r="K2138" i="11"/>
  <c r="J2138" i="11"/>
  <c r="AE2138" i="11"/>
  <c r="AC2138" i="11"/>
  <c r="Z2138" i="11"/>
  <c r="Y2138" i="11"/>
  <c r="X2138" i="11"/>
  <c r="W2138" i="11"/>
  <c r="V2138" i="11"/>
  <c r="I2138" i="11"/>
  <c r="U2138" i="11"/>
  <c r="T2138" i="11"/>
  <c r="AE2137" i="11"/>
  <c r="W2137" i="11"/>
  <c r="O2137" i="11"/>
  <c r="N2137" i="11"/>
  <c r="M2137" i="11"/>
  <c r="L2137" i="11"/>
  <c r="K2137" i="11"/>
  <c r="J2137" i="11"/>
  <c r="I2137" i="11"/>
  <c r="U2137" i="11"/>
  <c r="P2137" i="11"/>
  <c r="AC2137" i="11"/>
  <c r="Z2137" i="11"/>
  <c r="Y2137" i="11"/>
  <c r="X2137" i="11"/>
  <c r="V2137" i="11"/>
  <c r="T2137" i="11"/>
  <c r="S2137" i="11"/>
  <c r="R2137" i="11"/>
  <c r="P2136" i="11"/>
  <c r="O2136" i="11"/>
  <c r="N2136" i="11"/>
  <c r="M2136" i="11"/>
  <c r="L2136" i="11"/>
  <c r="K2136" i="11"/>
  <c r="J2136" i="11"/>
  <c r="I2136" i="11"/>
  <c r="AE2136" i="11"/>
  <c r="AC2136" i="11"/>
  <c r="Z2136" i="11"/>
  <c r="Y2136" i="11"/>
  <c r="X2136" i="11"/>
  <c r="W2136" i="11"/>
  <c r="V2136" i="11"/>
  <c r="U2136" i="11"/>
  <c r="T2136" i="11"/>
  <c r="S2136" i="11"/>
  <c r="R2136" i="11"/>
  <c r="R2135" i="11"/>
  <c r="Z2135" i="11"/>
  <c r="Y2135" i="11"/>
  <c r="X2135" i="11"/>
  <c r="W2135" i="11"/>
  <c r="V2135" i="11"/>
  <c r="U2135" i="11"/>
  <c r="T2135" i="11"/>
  <c r="AE2135" i="11"/>
  <c r="S2135" i="11"/>
  <c r="AC2135" i="11"/>
  <c r="P2135" i="11"/>
  <c r="O2135" i="11"/>
  <c r="N2135" i="11"/>
  <c r="M2135" i="11"/>
  <c r="L2135" i="11"/>
  <c r="K2135" i="11"/>
  <c r="J2135" i="11"/>
  <c r="I2135" i="11"/>
  <c r="P2134" i="11"/>
  <c r="O2134" i="11"/>
  <c r="N2134" i="11"/>
  <c r="M2134" i="11"/>
  <c r="L2134" i="11"/>
  <c r="K2134" i="11"/>
  <c r="J2134" i="11"/>
  <c r="I2134" i="11"/>
  <c r="R2134" i="11"/>
  <c r="AE2134" i="11"/>
  <c r="AC2134" i="11"/>
  <c r="Z2134" i="11"/>
  <c r="Y2134" i="11"/>
  <c r="X2134" i="11"/>
  <c r="W2134" i="11"/>
  <c r="V2134" i="11"/>
  <c r="U2134" i="11"/>
  <c r="T2134" i="11"/>
  <c r="S2134" i="11"/>
  <c r="R2133" i="11"/>
  <c r="P2133" i="11"/>
  <c r="O2133" i="11"/>
  <c r="N2133" i="11"/>
  <c r="M2133" i="11"/>
  <c r="K2133" i="11"/>
  <c r="J2133" i="11"/>
  <c r="I2133" i="11"/>
  <c r="L2133" i="11"/>
  <c r="AE2133" i="11"/>
  <c r="AC2133" i="11"/>
  <c r="Z2133" i="11"/>
  <c r="Y2133" i="11"/>
  <c r="X2133" i="11"/>
  <c r="W2133" i="11"/>
  <c r="V2133" i="11"/>
  <c r="U2133" i="11"/>
  <c r="T2133" i="11"/>
  <c r="S2133" i="11"/>
  <c r="R2132" i="11"/>
  <c r="I2132" i="11"/>
  <c r="P2132" i="11"/>
  <c r="O2132" i="11"/>
  <c r="N2132" i="11"/>
  <c r="M2132" i="11"/>
  <c r="L2132" i="11"/>
  <c r="X2132" i="11"/>
  <c r="K2132" i="11"/>
  <c r="AE2132" i="11"/>
  <c r="AC2132" i="11"/>
  <c r="Z2132" i="11"/>
  <c r="Y2132" i="11"/>
  <c r="J2132" i="11"/>
  <c r="W2132" i="11"/>
  <c r="V2132" i="11"/>
  <c r="U2132" i="11"/>
  <c r="T2132" i="11"/>
  <c r="S2132" i="11"/>
  <c r="P2131" i="11"/>
  <c r="O2131" i="11"/>
  <c r="N2131" i="11"/>
  <c r="M2131" i="11"/>
  <c r="L2131" i="11"/>
  <c r="K2131" i="11"/>
  <c r="J2131" i="11"/>
  <c r="I2131" i="11"/>
  <c r="R2131" i="11"/>
  <c r="AE2131" i="11"/>
  <c r="AC2131" i="11"/>
  <c r="Z2131" i="11"/>
  <c r="Y2131" i="11"/>
  <c r="X2131" i="11"/>
  <c r="W2131" i="11"/>
  <c r="V2131" i="11"/>
  <c r="U2131" i="11"/>
  <c r="T2131" i="11"/>
  <c r="S2131" i="11"/>
  <c r="R2130" i="11"/>
  <c r="P2130" i="11"/>
  <c r="O2130" i="11"/>
  <c r="N2130" i="11"/>
  <c r="M2130" i="11"/>
  <c r="L2130" i="11"/>
  <c r="J2130" i="11"/>
  <c r="K2130" i="11"/>
  <c r="I2130" i="11"/>
  <c r="AE2130" i="11"/>
  <c r="AC2130" i="11"/>
  <c r="Z2130" i="11"/>
  <c r="Y2130" i="11"/>
  <c r="X2130" i="11"/>
  <c r="W2130" i="11"/>
  <c r="V2130" i="11"/>
  <c r="U2130" i="11"/>
  <c r="T2130" i="11"/>
  <c r="S2130" i="11"/>
  <c r="S2129" i="11"/>
  <c r="R2129" i="11"/>
  <c r="P2129" i="11"/>
  <c r="O2129" i="11"/>
  <c r="N2129" i="11"/>
  <c r="M2129" i="11"/>
  <c r="L2129" i="11"/>
  <c r="K2129" i="11"/>
  <c r="J2129" i="11"/>
  <c r="AE2129" i="11"/>
  <c r="AC2129" i="11"/>
  <c r="I2129" i="11"/>
  <c r="Z2129" i="11"/>
  <c r="Y2129" i="11"/>
  <c r="X2129" i="11"/>
  <c r="W2129" i="11"/>
  <c r="V2129" i="11"/>
  <c r="U2129" i="11"/>
  <c r="T2129" i="11"/>
  <c r="AE2128" i="11"/>
  <c r="I2128" i="11"/>
  <c r="P2128" i="11"/>
  <c r="O2128" i="11"/>
  <c r="N2128" i="11"/>
  <c r="M2128" i="11"/>
  <c r="L2128" i="11"/>
  <c r="K2128" i="11"/>
  <c r="J2128" i="11"/>
  <c r="Z2128" i="11"/>
  <c r="R2128" i="11"/>
  <c r="AC2128" i="11"/>
  <c r="Y2128" i="11"/>
  <c r="X2128" i="11"/>
  <c r="W2128" i="11"/>
  <c r="V2128" i="11"/>
  <c r="U2128" i="11"/>
  <c r="T2128" i="11"/>
  <c r="S2128" i="11"/>
  <c r="R2127" i="11"/>
  <c r="P2127" i="11"/>
  <c r="O2127" i="11"/>
  <c r="N2127" i="11"/>
  <c r="M2127" i="11"/>
  <c r="L2127" i="11"/>
  <c r="K2127" i="11"/>
  <c r="J2127" i="11"/>
  <c r="I2127" i="11"/>
  <c r="AE2127" i="11"/>
  <c r="AC2127" i="11"/>
  <c r="Z2127" i="11"/>
  <c r="Y2127" i="11"/>
  <c r="X2127" i="11"/>
  <c r="W2127" i="11"/>
  <c r="V2127" i="11"/>
  <c r="U2127" i="11"/>
  <c r="T2127" i="11"/>
  <c r="S2127" i="11"/>
  <c r="R2126" i="11"/>
  <c r="Z2126" i="11"/>
  <c r="Y2126" i="11"/>
  <c r="X2126" i="11"/>
  <c r="W2126" i="11"/>
  <c r="V2126" i="11"/>
  <c r="U2126" i="11"/>
  <c r="T2126" i="11"/>
  <c r="S2126" i="11"/>
  <c r="AE2126" i="11"/>
  <c r="AC2126" i="11"/>
  <c r="P2126" i="11"/>
  <c r="O2126" i="11"/>
  <c r="N2126" i="11"/>
  <c r="M2126" i="11"/>
  <c r="L2126" i="11"/>
  <c r="K2126" i="11"/>
  <c r="J2126" i="11"/>
  <c r="I2126" i="11"/>
  <c r="K2125" i="11"/>
  <c r="L2125" i="11"/>
  <c r="M2125" i="11"/>
  <c r="N2125" i="11"/>
  <c r="O2125" i="11"/>
  <c r="P2125" i="11"/>
  <c r="R2125" i="11"/>
  <c r="I2125" i="11"/>
  <c r="J2125" i="11"/>
  <c r="AE2125" i="11"/>
  <c r="AC2125" i="11"/>
  <c r="Z2125" i="11"/>
  <c r="Y2125" i="11"/>
  <c r="X2125" i="11"/>
  <c r="W2125" i="11"/>
  <c r="V2125" i="11"/>
  <c r="U2125" i="11"/>
  <c r="T2125" i="11"/>
  <c r="S2125" i="11"/>
  <c r="T2124" i="11"/>
  <c r="R2124" i="11"/>
  <c r="P2124" i="11"/>
  <c r="O2124" i="11"/>
  <c r="N2124" i="11"/>
  <c r="M2124" i="11"/>
  <c r="L2124" i="11"/>
  <c r="K2124" i="11"/>
  <c r="J2124" i="11"/>
  <c r="I2124" i="11"/>
  <c r="S2124" i="11"/>
  <c r="AE2124" i="11"/>
  <c r="AC2124" i="11"/>
  <c r="Z2124" i="11"/>
  <c r="Y2124" i="11"/>
  <c r="X2124" i="11"/>
  <c r="W2124" i="11"/>
  <c r="V2124" i="11"/>
  <c r="U2124" i="11"/>
  <c r="L2123" i="11"/>
  <c r="T2123" i="11"/>
  <c r="V2123" i="11"/>
  <c r="W2123" i="11"/>
  <c r="N2123" i="11"/>
  <c r="O2123" i="11"/>
  <c r="P2123" i="11"/>
  <c r="R2123" i="11"/>
  <c r="S2123" i="11"/>
  <c r="M2123" i="11"/>
  <c r="X2123" i="11"/>
  <c r="K2123" i="11"/>
  <c r="J2123" i="11"/>
  <c r="I2123" i="11"/>
  <c r="Y2123" i="11"/>
  <c r="AE2123" i="11"/>
  <c r="Z2123" i="11"/>
  <c r="AC2123" i="11"/>
  <c r="U2123" i="11"/>
  <c r="W2122" i="11"/>
  <c r="L2122" i="11"/>
  <c r="AE2122" i="11"/>
  <c r="AC2122" i="11"/>
  <c r="Z2122" i="11"/>
  <c r="Y2122" i="11"/>
  <c r="X2122" i="11"/>
  <c r="V2122" i="11"/>
  <c r="U2122" i="11"/>
  <c r="T2122" i="11"/>
  <c r="S2122" i="11"/>
  <c r="R2122" i="11"/>
  <c r="P2122" i="11"/>
  <c r="O2122" i="11"/>
  <c r="N2122" i="11"/>
  <c r="M2122" i="11"/>
  <c r="K2122" i="11"/>
  <c r="J2122" i="11"/>
  <c r="I2122" i="11"/>
  <c r="V2121" i="11"/>
  <c r="W2121" i="11"/>
  <c r="R2121" i="11"/>
  <c r="S2121" i="11"/>
  <c r="T2121" i="11"/>
  <c r="U2121" i="11"/>
  <c r="O2121" i="11"/>
  <c r="Y2121" i="11"/>
  <c r="Z2121" i="11"/>
  <c r="AC2121" i="11"/>
  <c r="P2121" i="11"/>
  <c r="AE2121" i="11"/>
  <c r="X2121" i="11"/>
  <c r="N2121" i="11"/>
  <c r="M2121" i="11"/>
  <c r="L2121" i="11"/>
  <c r="K2121" i="11"/>
  <c r="J2121" i="11"/>
  <c r="I2121" i="11"/>
  <c r="Z2120" i="11"/>
  <c r="Y2120" i="11"/>
  <c r="X2120" i="11"/>
  <c r="V2120" i="11"/>
  <c r="U2120" i="11"/>
  <c r="T2120" i="11"/>
  <c r="S2120" i="11"/>
  <c r="R2120" i="11"/>
  <c r="AC2120" i="11"/>
  <c r="O2120" i="11"/>
  <c r="N2120" i="11"/>
  <c r="M2120" i="11"/>
  <c r="L2120" i="11"/>
  <c r="K2120" i="11"/>
  <c r="J2120" i="11"/>
  <c r="I2120" i="11"/>
  <c r="AE2120" i="11"/>
  <c r="W2120" i="11"/>
  <c r="P2120" i="11"/>
  <c r="V2119" i="11"/>
  <c r="I2119" i="11"/>
  <c r="J2119" i="11"/>
  <c r="K2119" i="11"/>
  <c r="L2119" i="11"/>
  <c r="M2119" i="11"/>
  <c r="N2119" i="11"/>
  <c r="O2119" i="11"/>
  <c r="P2119" i="11"/>
  <c r="R2119" i="11"/>
  <c r="S2119" i="11"/>
  <c r="T2119" i="11"/>
  <c r="U2119" i="11"/>
  <c r="X2119" i="11"/>
  <c r="Y2119" i="11"/>
  <c r="Z2119" i="11"/>
  <c r="AC2119" i="11"/>
  <c r="W2119" i="11"/>
  <c r="AE2119" i="11"/>
  <c r="J2118" i="11"/>
  <c r="X2118" i="11"/>
  <c r="Y2118" i="11"/>
  <c r="Z2118" i="11"/>
  <c r="AC2118" i="11"/>
  <c r="AE2118" i="11"/>
  <c r="V2118" i="11"/>
  <c r="S2118" i="11"/>
  <c r="T2118" i="11"/>
  <c r="O2118" i="11"/>
  <c r="P2118" i="11"/>
  <c r="I2118" i="11"/>
  <c r="R2118" i="11"/>
  <c r="W2118" i="11"/>
  <c r="K2118" i="11"/>
  <c r="L2118" i="11"/>
  <c r="M2118" i="11"/>
  <c r="N2118" i="11"/>
  <c r="U2118" i="11"/>
  <c r="AC2117" i="11"/>
  <c r="AE2117" i="11"/>
  <c r="W2117" i="11"/>
  <c r="V2117" i="11"/>
  <c r="U2117" i="11"/>
  <c r="T2117" i="11"/>
  <c r="S2117" i="11"/>
  <c r="R2117" i="11"/>
  <c r="P2117" i="11"/>
  <c r="Y2117" i="11"/>
  <c r="N2117" i="11"/>
  <c r="M2117" i="11"/>
  <c r="L2117" i="11"/>
  <c r="K2117" i="11"/>
  <c r="J2117" i="11"/>
  <c r="I2117" i="11"/>
  <c r="Z2117" i="11"/>
  <c r="O2117" i="11"/>
  <c r="X2117" i="11"/>
  <c r="AC2116" i="11"/>
  <c r="Z2116" i="11"/>
  <c r="Y2116" i="11"/>
  <c r="W2116" i="11"/>
  <c r="V2116" i="11"/>
  <c r="AE2116" i="11"/>
  <c r="T2116" i="11"/>
  <c r="S2116" i="11"/>
  <c r="R2116" i="11"/>
  <c r="P2116" i="11"/>
  <c r="O2116" i="11"/>
  <c r="N2116" i="11"/>
  <c r="M2116" i="11"/>
  <c r="L2116" i="11"/>
  <c r="K2116" i="11"/>
  <c r="J2116" i="11"/>
  <c r="I2116" i="11"/>
  <c r="X2116" i="11"/>
  <c r="U2116" i="11"/>
  <c r="U2115" i="11"/>
  <c r="K2115" i="11"/>
  <c r="T2115" i="11"/>
  <c r="S2115" i="11"/>
  <c r="R2115" i="11"/>
  <c r="P2115" i="11"/>
  <c r="O2115" i="11"/>
  <c r="N2115" i="11"/>
  <c r="M2115" i="11"/>
  <c r="L2115" i="11"/>
  <c r="W2115" i="11"/>
  <c r="Y2115" i="11"/>
  <c r="Z2115" i="11"/>
  <c r="AC2115" i="11"/>
  <c r="AE2115" i="11"/>
  <c r="X2115" i="11"/>
  <c r="V2115" i="11"/>
  <c r="J2115" i="11"/>
  <c r="I2115" i="11"/>
  <c r="Y2114" i="11"/>
  <c r="U2114" i="11"/>
  <c r="T2114" i="11"/>
  <c r="I2114" i="11"/>
  <c r="J2114" i="11"/>
  <c r="K2114" i="11"/>
  <c r="L2114" i="11"/>
  <c r="M2114" i="11"/>
  <c r="N2114" i="11"/>
  <c r="O2114" i="11"/>
  <c r="S2114" i="11"/>
  <c r="P2114" i="11"/>
  <c r="AE2114" i="11"/>
  <c r="AC2114" i="11"/>
  <c r="Z2114" i="11"/>
  <c r="R2114" i="11"/>
  <c r="X2114" i="11"/>
  <c r="W2114" i="11"/>
  <c r="V2114" i="11"/>
  <c r="I2113" i="11"/>
  <c r="AE2113" i="11"/>
  <c r="AC2113" i="11"/>
  <c r="Z2113" i="11"/>
  <c r="Y2113" i="11"/>
  <c r="X2113" i="11"/>
  <c r="W2113" i="11"/>
  <c r="V2113" i="11"/>
  <c r="U2113" i="11"/>
  <c r="T2113" i="11"/>
  <c r="S2113" i="11"/>
  <c r="R2113" i="11"/>
  <c r="P2113" i="11"/>
  <c r="O2113" i="11"/>
  <c r="N2113" i="11"/>
  <c r="M2113" i="11"/>
  <c r="L2113" i="11"/>
  <c r="K2113" i="11"/>
  <c r="J2113" i="11"/>
  <c r="AC2112" i="11"/>
  <c r="L2112" i="11"/>
  <c r="M2112" i="11"/>
  <c r="N2112" i="11"/>
  <c r="O2112" i="11"/>
  <c r="AE2112" i="11"/>
  <c r="S2112" i="11"/>
  <c r="P2112" i="11"/>
  <c r="R2112" i="11"/>
  <c r="J2112" i="11"/>
  <c r="K2112" i="11"/>
  <c r="Z2112" i="11"/>
  <c r="Y2112" i="11"/>
  <c r="X2112" i="11"/>
  <c r="W2112" i="11"/>
  <c r="V2112" i="11"/>
  <c r="U2112" i="11"/>
  <c r="T2112" i="11"/>
  <c r="I2112" i="11"/>
  <c r="U2111" i="11"/>
  <c r="V2111" i="11"/>
  <c r="W2111" i="11"/>
  <c r="X2111" i="11"/>
  <c r="Y2111" i="11"/>
  <c r="Z2111" i="11"/>
  <c r="AC2111" i="11"/>
  <c r="AE2111" i="11"/>
  <c r="P2111" i="11"/>
  <c r="T2111" i="11"/>
  <c r="S2111" i="11"/>
  <c r="R2111" i="11"/>
  <c r="O2111" i="11"/>
  <c r="N2111" i="11"/>
  <c r="M2111" i="11"/>
  <c r="L2111" i="11"/>
  <c r="K2111" i="11"/>
  <c r="J2111" i="11"/>
  <c r="I2111" i="11"/>
  <c r="P2110" i="11"/>
  <c r="AE2110" i="11"/>
  <c r="AC2110" i="11"/>
  <c r="Z2110" i="11"/>
  <c r="Y2110" i="11"/>
  <c r="X2110" i="11"/>
  <c r="W2110" i="11"/>
  <c r="V2110" i="11"/>
  <c r="U2110" i="11"/>
  <c r="T2110" i="11"/>
  <c r="S2110" i="11"/>
  <c r="R2110" i="11"/>
  <c r="O2110" i="11"/>
  <c r="N2110" i="11"/>
  <c r="M2110" i="11"/>
  <c r="L2110" i="11"/>
  <c r="K2110" i="11"/>
  <c r="J2110" i="11"/>
  <c r="I2110" i="11"/>
  <c r="P2109" i="11"/>
  <c r="T2109" i="11"/>
  <c r="O2109" i="11"/>
  <c r="N2109" i="11"/>
  <c r="M2109" i="11"/>
  <c r="L2109" i="11"/>
  <c r="K2109" i="11"/>
  <c r="J2109" i="11"/>
  <c r="I2109" i="11"/>
  <c r="AE2109" i="11"/>
  <c r="AC2109" i="11"/>
  <c r="Z2109" i="11"/>
  <c r="Y2109" i="11"/>
  <c r="X2109" i="11"/>
  <c r="W2109" i="11"/>
  <c r="V2109" i="11"/>
  <c r="U2109" i="11"/>
  <c r="S2109" i="11"/>
  <c r="R2109" i="11"/>
  <c r="AC2108" i="11"/>
  <c r="Z2108" i="11"/>
  <c r="Y2108" i="11"/>
  <c r="I2108" i="11"/>
  <c r="X2108" i="11"/>
  <c r="W2108" i="11"/>
  <c r="V2108" i="11"/>
  <c r="U2108" i="11"/>
  <c r="T2108" i="11"/>
  <c r="S2108" i="11"/>
  <c r="R2108" i="11"/>
  <c r="P2108" i="11"/>
  <c r="N2108" i="11"/>
  <c r="M2108" i="11"/>
  <c r="L2108" i="11"/>
  <c r="K2108" i="11"/>
  <c r="J2108" i="11"/>
  <c r="AE2108" i="11"/>
  <c r="O2108" i="11"/>
  <c r="T2107" i="11"/>
  <c r="U2107" i="11"/>
  <c r="V2107" i="11"/>
  <c r="W2107" i="11"/>
  <c r="X2107" i="11"/>
  <c r="Y2107" i="11"/>
  <c r="Z2107" i="11"/>
  <c r="AC2107" i="11"/>
  <c r="AE2107" i="11"/>
  <c r="I2107" i="11"/>
  <c r="J2107" i="11"/>
  <c r="K2107" i="11"/>
  <c r="L2107" i="11"/>
  <c r="M2107" i="11"/>
  <c r="N2107" i="11"/>
  <c r="O2107" i="11"/>
  <c r="P2107" i="11"/>
  <c r="R2107" i="11"/>
  <c r="S2107" i="11"/>
  <c r="L2106" i="11"/>
  <c r="R2106" i="11"/>
  <c r="P2106" i="11"/>
  <c r="O2106" i="11"/>
  <c r="N2106" i="11"/>
  <c r="M2106" i="11"/>
  <c r="Y2106" i="11"/>
  <c r="K2106" i="11"/>
  <c r="J2106" i="11"/>
  <c r="I2106" i="11"/>
  <c r="AE2106" i="11"/>
  <c r="AC2106" i="11"/>
  <c r="Z2106" i="11"/>
  <c r="X2106" i="11"/>
  <c r="W2106" i="11"/>
  <c r="V2106" i="11"/>
  <c r="U2106" i="11"/>
  <c r="T2106" i="11"/>
  <c r="S2106" i="11"/>
  <c r="I2105" i="11"/>
  <c r="AE2105" i="11"/>
  <c r="AC2105" i="11"/>
  <c r="Z2105" i="11"/>
  <c r="Y2105" i="11"/>
  <c r="X2105" i="11"/>
  <c r="W2105" i="11"/>
  <c r="V2105" i="11"/>
  <c r="U2105" i="11"/>
  <c r="T2105" i="11"/>
  <c r="R2105" i="11"/>
  <c r="P2105" i="11"/>
  <c r="O2105" i="11"/>
  <c r="N2105" i="11"/>
  <c r="M2105" i="11"/>
  <c r="L2105" i="11"/>
  <c r="K2105" i="11"/>
  <c r="J2105" i="11"/>
  <c r="S2105" i="11"/>
  <c r="R2104" i="11"/>
  <c r="P2104" i="11"/>
  <c r="O2104" i="11"/>
  <c r="N2104" i="11"/>
  <c r="M2104" i="11"/>
  <c r="L2104" i="11"/>
  <c r="K2104" i="11"/>
  <c r="J2104" i="11"/>
  <c r="I2104" i="11"/>
  <c r="AE2104" i="11"/>
  <c r="AC2104" i="11"/>
  <c r="Z2104" i="11"/>
  <c r="Y2104" i="11"/>
  <c r="X2104" i="11"/>
  <c r="W2104" i="11"/>
  <c r="V2104" i="11"/>
  <c r="U2104" i="11"/>
  <c r="T2104" i="11"/>
  <c r="S2104" i="11"/>
  <c r="S2103" i="11"/>
  <c r="R2103" i="11"/>
  <c r="P2103" i="11"/>
  <c r="O2103" i="11"/>
  <c r="N2103" i="11"/>
  <c r="M2103" i="11"/>
  <c r="L2103" i="11"/>
  <c r="K2103" i="11"/>
  <c r="J2103" i="11"/>
  <c r="I2103" i="11"/>
  <c r="T2103" i="11"/>
  <c r="AE2103" i="11"/>
  <c r="AC2103" i="11"/>
  <c r="Z2103" i="11"/>
  <c r="Y2103" i="11"/>
  <c r="X2103" i="11"/>
  <c r="W2103" i="11"/>
  <c r="V2103" i="11"/>
  <c r="U2103" i="11"/>
  <c r="I2102" i="11"/>
  <c r="J2102" i="11"/>
  <c r="AE2102" i="11"/>
  <c r="K2102" i="11"/>
  <c r="L2102" i="11"/>
  <c r="M2102" i="11"/>
  <c r="N2102" i="11"/>
  <c r="O2102" i="11"/>
  <c r="P2102" i="11"/>
  <c r="R2102" i="11"/>
  <c r="W2102" i="11"/>
  <c r="X2102" i="11"/>
  <c r="Y2102" i="11"/>
  <c r="Z2102" i="11"/>
  <c r="AC2102" i="11"/>
  <c r="T2102" i="11"/>
  <c r="V2102" i="11"/>
  <c r="U2102" i="11"/>
  <c r="S2102" i="11"/>
  <c r="T2101" i="11"/>
  <c r="S2101" i="11"/>
  <c r="R2101" i="11"/>
  <c r="P2101" i="11"/>
  <c r="O2101" i="11"/>
  <c r="N2101" i="11"/>
  <c r="M2101" i="11"/>
  <c r="L2101" i="11"/>
  <c r="J2101" i="11"/>
  <c r="I2101" i="11"/>
  <c r="K2101" i="11"/>
  <c r="AE2101" i="11"/>
  <c r="AC2101" i="11"/>
  <c r="Z2101" i="11"/>
  <c r="Y2101" i="11"/>
  <c r="X2101" i="11"/>
  <c r="W2101" i="11"/>
  <c r="V2101" i="11"/>
  <c r="U2101" i="11"/>
  <c r="S2100" i="11"/>
  <c r="R2100" i="11"/>
  <c r="P2100" i="11"/>
  <c r="O2100" i="11"/>
  <c r="N2100" i="11"/>
  <c r="M2100" i="11"/>
  <c r="L2100" i="11"/>
  <c r="K2100" i="11"/>
  <c r="J2100" i="11"/>
  <c r="I2100" i="11"/>
  <c r="T2100" i="11"/>
  <c r="AE2100" i="11"/>
  <c r="AC2100" i="11"/>
  <c r="Z2100" i="11"/>
  <c r="Y2100" i="11"/>
  <c r="X2100" i="11"/>
  <c r="W2100" i="11"/>
  <c r="V2100" i="11"/>
  <c r="U2100" i="11"/>
  <c r="S2099" i="11"/>
  <c r="R2099" i="11"/>
  <c r="P2099" i="11"/>
  <c r="O2099" i="11"/>
  <c r="N2099" i="11"/>
  <c r="M2099" i="11"/>
  <c r="L2099" i="11"/>
  <c r="K2099" i="11"/>
  <c r="J2099" i="11"/>
  <c r="I2099" i="11"/>
  <c r="AC2099" i="11"/>
  <c r="Z2099" i="11"/>
  <c r="Y2099" i="11"/>
  <c r="X2099" i="11"/>
  <c r="W2099" i="11"/>
  <c r="V2099" i="11"/>
  <c r="U2099" i="11"/>
  <c r="AE2099" i="11"/>
  <c r="T2099" i="11"/>
  <c r="L2098" i="11"/>
  <c r="AE2098" i="11"/>
  <c r="AC2098" i="11"/>
  <c r="Z2098" i="11"/>
  <c r="Y2098" i="11"/>
  <c r="X2098" i="11"/>
  <c r="W2098" i="11"/>
  <c r="V2098" i="11"/>
  <c r="U2098" i="11"/>
  <c r="T2098" i="11"/>
  <c r="S2098" i="11"/>
  <c r="R2098" i="11"/>
  <c r="P2098" i="11"/>
  <c r="O2098" i="11"/>
  <c r="M2098" i="11"/>
  <c r="K2098" i="11"/>
  <c r="J2098" i="11"/>
  <c r="I2098" i="11"/>
  <c r="N2098" i="11"/>
  <c r="R2097" i="11"/>
  <c r="S2097" i="11"/>
  <c r="T2097" i="11"/>
  <c r="U2097" i="11"/>
  <c r="V2097" i="11"/>
  <c r="W2097" i="11"/>
  <c r="X2097" i="11"/>
  <c r="Y2097" i="11"/>
  <c r="Z2097" i="11"/>
  <c r="AC2097" i="11"/>
  <c r="AE2097" i="11"/>
  <c r="I2097" i="11"/>
  <c r="O2097" i="11"/>
  <c r="J2097" i="11"/>
  <c r="K2097" i="11"/>
  <c r="L2097" i="11"/>
  <c r="M2097" i="11"/>
  <c r="N2097" i="11"/>
  <c r="P2097" i="11"/>
  <c r="T2096" i="11"/>
  <c r="S2096" i="11"/>
  <c r="R2096" i="11"/>
  <c r="P2096" i="11"/>
  <c r="O2096" i="11"/>
  <c r="N2096" i="11"/>
  <c r="M2096" i="11"/>
  <c r="L2096" i="11"/>
  <c r="K2096" i="11"/>
  <c r="I2096" i="11"/>
  <c r="J2096" i="11"/>
  <c r="AE2096" i="11"/>
  <c r="AC2096" i="11"/>
  <c r="Z2096" i="11"/>
  <c r="Y2096" i="11"/>
  <c r="X2096" i="11"/>
  <c r="W2096" i="11"/>
  <c r="V2096" i="11"/>
  <c r="U2096" i="11"/>
  <c r="I2095" i="11"/>
  <c r="R2095" i="11"/>
  <c r="P2095" i="11"/>
  <c r="S2095" i="11"/>
  <c r="U2095" i="11"/>
  <c r="V2095" i="11"/>
  <c r="W2095" i="11"/>
  <c r="T2095" i="11"/>
  <c r="X2095" i="11"/>
  <c r="Z2095" i="11"/>
  <c r="Y2095" i="11"/>
  <c r="O2095" i="11"/>
  <c r="N2095" i="11"/>
  <c r="M2095" i="11"/>
  <c r="L2095" i="11"/>
  <c r="K2095" i="11"/>
  <c r="J2095" i="11"/>
  <c r="AC2095" i="11"/>
  <c r="AE2095" i="11"/>
  <c r="S2094" i="11"/>
  <c r="T2094" i="11"/>
  <c r="U2094" i="11"/>
  <c r="V2094" i="11"/>
  <c r="W2094" i="11"/>
  <c r="Y2094" i="11"/>
  <c r="Z2094" i="11"/>
  <c r="AC2094" i="11"/>
  <c r="AE2094" i="11"/>
  <c r="O2094" i="11"/>
  <c r="L2094" i="11"/>
  <c r="I2094" i="11"/>
  <c r="J2094" i="11"/>
  <c r="K2094" i="11"/>
  <c r="M2094" i="11"/>
  <c r="N2094" i="11"/>
  <c r="X2094" i="11"/>
  <c r="P2094" i="11"/>
  <c r="R2094" i="11"/>
  <c r="U2093" i="11"/>
  <c r="AC2093" i="11"/>
  <c r="AE2093" i="11"/>
  <c r="Z2093" i="11"/>
  <c r="Y2093" i="11"/>
  <c r="X2093" i="11"/>
  <c r="T2093" i="11"/>
  <c r="W2093" i="11"/>
  <c r="V2093" i="11"/>
  <c r="S2093" i="11"/>
  <c r="R2093" i="11"/>
  <c r="P2093" i="11"/>
  <c r="O2093" i="11"/>
  <c r="N2093" i="11"/>
  <c r="M2093" i="11"/>
  <c r="L2093" i="11"/>
  <c r="K2093" i="11"/>
  <c r="J2093" i="11"/>
  <c r="I2093" i="11"/>
  <c r="U2092" i="11"/>
  <c r="AE2092" i="11"/>
  <c r="AC2092" i="11"/>
  <c r="Z2092" i="11"/>
  <c r="Y2092" i="11"/>
  <c r="X2092" i="11"/>
  <c r="W2092" i="11"/>
  <c r="V2092" i="11"/>
  <c r="T2092" i="11"/>
  <c r="S2092" i="11"/>
  <c r="R2092" i="11"/>
  <c r="P2092" i="11"/>
  <c r="O2092" i="11"/>
  <c r="N2092" i="11"/>
  <c r="M2092" i="11"/>
  <c r="L2092" i="11"/>
  <c r="K2092" i="11"/>
  <c r="J2092" i="11"/>
  <c r="I2092" i="11"/>
  <c r="R2091" i="11"/>
  <c r="O2091" i="11"/>
  <c r="J2091" i="11"/>
  <c r="N2091" i="11"/>
  <c r="M2091" i="11"/>
  <c r="L2091" i="11"/>
  <c r="K2091" i="11"/>
  <c r="Z2091" i="11"/>
  <c r="P2091" i="11"/>
  <c r="I2091" i="11"/>
  <c r="S2091" i="11"/>
  <c r="AE2091" i="11"/>
  <c r="AC2091" i="11"/>
  <c r="Y2091" i="11"/>
  <c r="X2091" i="11"/>
  <c r="W2091" i="11"/>
  <c r="V2091" i="11"/>
  <c r="U2091" i="11"/>
  <c r="T2091" i="11"/>
  <c r="S2090" i="11"/>
  <c r="R2090" i="11"/>
  <c r="P2090" i="11"/>
  <c r="O2090" i="11"/>
  <c r="N2090" i="11"/>
  <c r="M2090" i="11"/>
  <c r="L2090" i="11"/>
  <c r="K2090" i="11"/>
  <c r="J2090" i="11"/>
  <c r="I2090" i="11"/>
  <c r="V2090" i="11"/>
  <c r="AE2090" i="11"/>
  <c r="AC2090" i="11"/>
  <c r="Z2090" i="11"/>
  <c r="Y2090" i="11"/>
  <c r="X2090" i="11"/>
  <c r="W2090" i="11"/>
  <c r="U2090" i="11"/>
  <c r="T2090" i="11"/>
  <c r="AE2089" i="11"/>
  <c r="P2089" i="11"/>
  <c r="O2089" i="11"/>
  <c r="N2089" i="11"/>
  <c r="M2089" i="11"/>
  <c r="L2089" i="11"/>
  <c r="K2089" i="11"/>
  <c r="I2089" i="11"/>
  <c r="J2089" i="11"/>
  <c r="AC2089" i="11"/>
  <c r="Z2089" i="11"/>
  <c r="Y2089" i="11"/>
  <c r="T2089" i="11"/>
  <c r="R2089" i="11"/>
  <c r="W2089" i="11"/>
  <c r="V2089" i="11"/>
  <c r="S2089" i="11"/>
  <c r="U2089" i="11"/>
  <c r="X2089" i="11"/>
  <c r="U2088" i="11"/>
  <c r="T2088" i="11"/>
  <c r="S2088" i="11"/>
  <c r="R2088" i="11"/>
  <c r="P2088" i="11"/>
  <c r="O2088" i="11"/>
  <c r="N2088" i="11"/>
  <c r="M2088" i="11"/>
  <c r="L2088" i="11"/>
  <c r="K2088" i="11"/>
  <c r="J2088" i="11"/>
  <c r="I2088" i="11"/>
  <c r="AE2088" i="11"/>
  <c r="AC2088" i="11"/>
  <c r="Z2088" i="11"/>
  <c r="Y2088" i="11"/>
  <c r="X2088" i="11"/>
  <c r="W2088" i="11"/>
  <c r="V2088" i="11"/>
  <c r="Z2087" i="11"/>
  <c r="J2087" i="11"/>
  <c r="I2087" i="11"/>
  <c r="P2087" i="11"/>
  <c r="O2087" i="11"/>
  <c r="R2087" i="11"/>
  <c r="AC2087" i="11"/>
  <c r="M2087" i="11"/>
  <c r="L2087" i="11"/>
  <c r="K2087" i="11"/>
  <c r="N2087" i="11"/>
  <c r="AE2087" i="11"/>
  <c r="S2087" i="11"/>
  <c r="T2087" i="11"/>
  <c r="U2087" i="11"/>
  <c r="V2087" i="11"/>
  <c r="W2087" i="11"/>
  <c r="X2087" i="11"/>
  <c r="Y2087" i="11"/>
  <c r="S2086" i="11"/>
  <c r="I2086" i="11"/>
  <c r="AE2086" i="11"/>
  <c r="AC2086" i="11"/>
  <c r="V2086" i="11"/>
  <c r="Z2086" i="11"/>
  <c r="Y2086" i="11"/>
  <c r="X2086" i="11"/>
  <c r="W2086" i="11"/>
  <c r="U2086" i="11"/>
  <c r="T2086" i="11"/>
  <c r="R2086" i="11"/>
  <c r="P2086" i="11"/>
  <c r="O2086" i="11"/>
  <c r="N2086" i="11"/>
  <c r="M2086" i="11"/>
  <c r="L2086" i="11"/>
  <c r="K2086" i="11"/>
  <c r="J2086" i="11"/>
  <c r="T2085" i="11"/>
  <c r="S2085" i="11"/>
  <c r="R2085" i="11"/>
  <c r="P2085" i="11"/>
  <c r="N2085" i="11"/>
  <c r="M2085" i="11"/>
  <c r="L2085" i="11"/>
  <c r="K2085" i="11"/>
  <c r="J2085" i="11"/>
  <c r="I2085" i="11"/>
  <c r="O2085" i="11"/>
  <c r="V2085" i="11"/>
  <c r="AC2085" i="11"/>
  <c r="AE2085" i="11"/>
  <c r="Z2085" i="11"/>
  <c r="Y2085" i="11"/>
  <c r="X2085" i="11"/>
  <c r="W2085" i="11"/>
  <c r="U2085" i="11"/>
  <c r="I2084" i="11"/>
  <c r="K2084" i="11"/>
  <c r="Y2084" i="11"/>
  <c r="Z2084" i="11"/>
  <c r="AC2084" i="11"/>
  <c r="U2084" i="11"/>
  <c r="AE2084" i="11"/>
  <c r="S2084" i="11"/>
  <c r="R2084" i="11"/>
  <c r="P2084" i="11"/>
  <c r="V2084" i="11"/>
  <c r="W2084" i="11"/>
  <c r="T2084" i="11"/>
  <c r="O2084" i="11"/>
  <c r="X2084" i="11"/>
  <c r="N2084" i="11"/>
  <c r="M2084" i="11"/>
  <c r="L2084" i="11"/>
  <c r="J2084" i="11"/>
  <c r="AE2083" i="11"/>
  <c r="AC2083" i="11"/>
  <c r="Z2083" i="11"/>
  <c r="Y2083" i="11"/>
  <c r="X2083" i="11"/>
  <c r="V2083" i="11"/>
  <c r="U2083" i="11"/>
  <c r="T2083" i="11"/>
  <c r="S2083" i="11"/>
  <c r="R2083" i="11"/>
  <c r="P2083" i="11"/>
  <c r="O2083" i="11"/>
  <c r="N2083" i="11"/>
  <c r="M2083" i="11"/>
  <c r="K2083" i="11"/>
  <c r="J2083" i="11"/>
  <c r="I2083" i="11"/>
  <c r="W2083" i="11"/>
  <c r="L2083" i="11"/>
  <c r="Z2082" i="11"/>
  <c r="AC2082" i="11"/>
  <c r="AE2082" i="11"/>
  <c r="I2082" i="11"/>
  <c r="J2082" i="11"/>
  <c r="K2082" i="11"/>
  <c r="L2082" i="11"/>
  <c r="M2082" i="11"/>
  <c r="N2082" i="11"/>
  <c r="O2082" i="11"/>
  <c r="P2082" i="11"/>
  <c r="R2082" i="11"/>
  <c r="S2082" i="11"/>
  <c r="T2082" i="11"/>
  <c r="U2082" i="11"/>
  <c r="V2082" i="11"/>
  <c r="W2082" i="11"/>
  <c r="X2082" i="11"/>
  <c r="Y2082" i="11"/>
  <c r="T2081" i="11"/>
  <c r="AE2081" i="11"/>
  <c r="S2081" i="11"/>
  <c r="R2081" i="11"/>
  <c r="V2081" i="11"/>
  <c r="P2081" i="11"/>
  <c r="O2081" i="11"/>
  <c r="N2081" i="11"/>
  <c r="M2081" i="11"/>
  <c r="Y2081" i="11"/>
  <c r="L2081" i="11"/>
  <c r="I2081" i="11"/>
  <c r="K2081" i="11"/>
  <c r="J2081" i="11"/>
  <c r="U2081" i="11"/>
  <c r="W2081" i="11"/>
  <c r="X2081" i="11"/>
  <c r="Z2081" i="11"/>
  <c r="AC2081" i="11"/>
  <c r="AC2080" i="11"/>
  <c r="R2080" i="11"/>
  <c r="S2080" i="11"/>
  <c r="T2080" i="11"/>
  <c r="U2080" i="11"/>
  <c r="V2080" i="11"/>
  <c r="W2080" i="11"/>
  <c r="X2080" i="11"/>
  <c r="Y2080" i="11"/>
  <c r="Z2080" i="11"/>
  <c r="AE2080" i="11"/>
  <c r="N2080" i="11"/>
  <c r="P2080" i="11"/>
  <c r="I2080" i="11"/>
  <c r="J2080" i="11"/>
  <c r="K2080" i="11"/>
  <c r="L2080" i="11"/>
  <c r="M2080" i="11"/>
  <c r="O2080" i="11"/>
  <c r="O2079" i="11"/>
  <c r="V2079" i="11"/>
  <c r="U2079" i="11"/>
  <c r="T2079" i="11"/>
  <c r="S2079" i="11"/>
  <c r="R2079" i="11"/>
  <c r="P2079" i="11"/>
  <c r="N2079" i="11"/>
  <c r="M2079" i="11"/>
  <c r="L2079" i="11"/>
  <c r="K2079" i="11"/>
  <c r="J2079" i="11"/>
  <c r="I2079" i="11"/>
  <c r="AE2079" i="11"/>
  <c r="Z2079" i="11"/>
  <c r="AC2079" i="11"/>
  <c r="Y2079" i="11"/>
  <c r="X2079" i="11"/>
  <c r="W2079" i="11"/>
  <c r="R2078" i="11"/>
  <c r="S2078" i="11"/>
  <c r="T2078" i="11"/>
  <c r="U2078" i="11"/>
  <c r="V2078" i="11"/>
  <c r="W2078" i="11"/>
  <c r="X2078" i="11"/>
  <c r="Y2078" i="11"/>
  <c r="AC2078" i="11"/>
  <c r="AE2078" i="11"/>
  <c r="P2078" i="11"/>
  <c r="Z2078" i="11"/>
  <c r="I2078" i="11"/>
  <c r="J2078" i="11"/>
  <c r="K2078" i="11"/>
  <c r="L2078" i="11"/>
  <c r="M2078" i="11"/>
  <c r="N2078" i="11"/>
  <c r="O2078" i="11"/>
  <c r="AE2077" i="11"/>
  <c r="AC2077" i="11"/>
  <c r="Z2077" i="11"/>
  <c r="Y2077" i="11"/>
  <c r="X2077" i="11"/>
  <c r="W2077" i="11"/>
  <c r="V2077" i="11"/>
  <c r="U2077" i="11"/>
  <c r="T2077" i="11"/>
  <c r="S2077" i="11"/>
  <c r="P2077" i="11"/>
  <c r="O2077" i="11"/>
  <c r="N2077" i="11"/>
  <c r="M2077" i="11"/>
  <c r="L2077" i="11"/>
  <c r="K2077" i="11"/>
  <c r="J2077" i="11"/>
  <c r="I2077" i="11"/>
  <c r="R2077" i="11"/>
  <c r="AE2076" i="11"/>
  <c r="AC2076" i="11"/>
  <c r="Z2076" i="11"/>
  <c r="Y2076" i="11"/>
  <c r="X2076" i="11"/>
  <c r="W2076" i="11"/>
  <c r="V2076" i="11"/>
  <c r="U2076" i="11"/>
  <c r="T2076" i="11"/>
  <c r="S2076" i="11"/>
  <c r="R2076" i="11"/>
  <c r="P2076" i="11"/>
  <c r="O2076" i="11"/>
  <c r="N2076" i="11"/>
  <c r="M2076" i="11"/>
  <c r="L2076" i="11"/>
  <c r="K2076" i="11"/>
  <c r="J2076" i="11"/>
  <c r="I2076" i="11"/>
  <c r="AE2075" i="11"/>
  <c r="AC2075" i="11"/>
  <c r="Z2075" i="11"/>
  <c r="Y2075" i="11"/>
  <c r="X2075" i="11"/>
  <c r="W2075" i="11"/>
  <c r="V2075" i="11"/>
  <c r="U2075" i="11"/>
  <c r="T2075" i="11"/>
  <c r="S2075" i="11"/>
  <c r="R2075" i="11"/>
  <c r="P2075" i="11"/>
  <c r="O2075" i="11"/>
  <c r="M2075" i="11"/>
  <c r="N2075" i="11"/>
  <c r="I2075" i="11"/>
  <c r="J2075" i="11"/>
  <c r="K2075" i="11"/>
  <c r="L2075" i="11"/>
  <c r="M2074" i="11"/>
  <c r="L2074" i="11"/>
  <c r="K2074" i="11"/>
  <c r="J2074" i="11"/>
  <c r="I2074" i="11"/>
  <c r="T2074" i="11"/>
  <c r="X2074" i="11"/>
  <c r="S2074" i="11"/>
  <c r="W2074" i="11"/>
  <c r="V2074" i="11"/>
  <c r="U2074" i="11"/>
  <c r="AC2074" i="11"/>
  <c r="Z2074" i="11"/>
  <c r="Y2074" i="11"/>
  <c r="R2074" i="11"/>
  <c r="P2074" i="11"/>
  <c r="O2074" i="11"/>
  <c r="N2074" i="11"/>
  <c r="AE2074" i="11"/>
  <c r="N2073" i="11"/>
  <c r="M2073" i="11"/>
  <c r="L2073" i="11"/>
  <c r="K2073" i="11"/>
  <c r="J2073" i="11"/>
  <c r="I2073" i="11"/>
  <c r="S2073" i="11"/>
  <c r="AE2073" i="11"/>
  <c r="AC2073" i="11"/>
  <c r="Z2073" i="11"/>
  <c r="Y2073" i="11"/>
  <c r="R2073" i="11"/>
  <c r="X2073" i="11"/>
  <c r="W2073" i="11"/>
  <c r="V2073" i="11"/>
  <c r="U2073" i="11"/>
  <c r="T2073" i="11"/>
  <c r="P2073" i="11"/>
  <c r="O2073" i="11"/>
  <c r="N2072" i="11"/>
  <c r="M2072" i="11"/>
  <c r="L2072" i="11"/>
  <c r="K2072" i="11"/>
  <c r="J2072" i="11"/>
  <c r="I2072" i="11"/>
  <c r="AE2072" i="11"/>
  <c r="AC2072" i="11"/>
  <c r="Z2072" i="11"/>
  <c r="Y2072" i="11"/>
  <c r="X2072" i="11"/>
  <c r="W2072" i="11"/>
  <c r="V2072" i="11"/>
  <c r="U2072" i="11"/>
  <c r="T2072" i="11"/>
  <c r="S2072" i="11"/>
  <c r="R2072" i="11"/>
  <c r="P2072" i="11"/>
  <c r="O2072" i="11"/>
  <c r="N2071" i="11"/>
  <c r="M2071" i="11"/>
  <c r="L2071" i="11"/>
  <c r="K2071" i="11"/>
  <c r="Z2071" i="11"/>
  <c r="AE2071" i="11"/>
  <c r="I2071" i="11"/>
  <c r="AC2071" i="11"/>
  <c r="Y2071" i="11"/>
  <c r="X2071" i="11"/>
  <c r="W2071" i="11"/>
  <c r="V2071" i="11"/>
  <c r="U2071" i="11"/>
  <c r="T2071" i="11"/>
  <c r="S2071" i="11"/>
  <c r="R2071" i="11"/>
  <c r="P2071" i="11"/>
  <c r="O2071" i="11"/>
  <c r="J2071" i="11"/>
  <c r="J2070" i="11"/>
  <c r="X2070" i="11"/>
  <c r="I2070" i="11"/>
  <c r="K2070" i="11"/>
  <c r="L2070" i="11"/>
  <c r="M2070" i="11"/>
  <c r="N2070" i="11"/>
  <c r="O2070" i="11"/>
  <c r="P2070" i="11"/>
  <c r="R2070" i="11"/>
  <c r="S2070" i="11"/>
  <c r="T2070" i="11"/>
  <c r="U2070" i="11"/>
  <c r="V2070" i="11"/>
  <c r="W2070" i="11"/>
  <c r="AE2070" i="11"/>
  <c r="AC2070" i="11"/>
  <c r="Z2070" i="11"/>
  <c r="Y2070" i="11"/>
  <c r="N2069" i="11"/>
  <c r="K2069" i="11"/>
  <c r="W2069" i="11"/>
  <c r="V2069" i="11"/>
  <c r="U2069" i="11"/>
  <c r="T2069" i="11"/>
  <c r="S2069" i="11"/>
  <c r="R2069" i="11"/>
  <c r="X2069" i="11"/>
  <c r="L2069" i="11"/>
  <c r="P2069" i="11"/>
  <c r="O2069" i="11"/>
  <c r="I2069" i="11"/>
  <c r="M2069" i="11"/>
  <c r="J2069" i="11"/>
  <c r="Y2069" i="11"/>
  <c r="Z2069" i="11"/>
  <c r="AC2069" i="11"/>
  <c r="AE2069" i="11"/>
  <c r="N2068" i="11"/>
  <c r="AC2068" i="11"/>
  <c r="AE2068" i="11"/>
  <c r="T2068" i="11"/>
  <c r="O2068" i="11"/>
  <c r="P2068" i="11"/>
  <c r="R2068" i="11"/>
  <c r="I2068" i="11"/>
  <c r="J2068" i="11"/>
  <c r="K2068" i="11"/>
  <c r="L2068" i="11"/>
  <c r="M2068" i="11"/>
  <c r="S2068" i="11"/>
  <c r="V2068" i="11"/>
  <c r="W2068" i="11"/>
  <c r="X2068" i="11"/>
  <c r="Y2068" i="11"/>
  <c r="U2068" i="11"/>
  <c r="Z2068" i="11"/>
  <c r="R2067" i="11"/>
  <c r="S2067" i="11"/>
  <c r="T2067" i="11"/>
  <c r="U2067" i="11"/>
  <c r="V2067" i="11"/>
  <c r="W2067" i="11"/>
  <c r="X2067" i="11"/>
  <c r="Y2067" i="11"/>
  <c r="AC2067" i="11"/>
  <c r="AE2067" i="11"/>
  <c r="Z2067" i="11"/>
  <c r="M2067" i="11"/>
  <c r="I2067" i="11"/>
  <c r="J2067" i="11"/>
  <c r="L2067" i="11"/>
  <c r="N2067" i="11"/>
  <c r="K2067" i="11"/>
  <c r="O2067" i="11"/>
  <c r="P2067" i="11"/>
  <c r="Y2066" i="11"/>
  <c r="X2066" i="11"/>
  <c r="W2066" i="11"/>
  <c r="N2066" i="11"/>
  <c r="AC2066" i="11"/>
  <c r="O2066" i="11"/>
  <c r="V2066" i="11"/>
  <c r="P2066" i="11"/>
  <c r="R2066" i="11"/>
  <c r="AE2066" i="11"/>
  <c r="S2066" i="11"/>
  <c r="T2066" i="11"/>
  <c r="U2066" i="11"/>
  <c r="Z2066" i="11"/>
  <c r="I2066" i="11"/>
  <c r="J2066" i="11"/>
  <c r="K2066" i="11"/>
  <c r="L2066" i="11"/>
  <c r="M2066" i="11"/>
  <c r="T2065" i="11"/>
  <c r="U2065" i="11"/>
  <c r="W2065" i="11"/>
  <c r="V2065" i="11"/>
  <c r="X2065" i="11"/>
  <c r="Y2065" i="11"/>
  <c r="Z2065" i="11"/>
  <c r="AC2065" i="11"/>
  <c r="AE2065" i="11"/>
  <c r="P2065" i="11"/>
  <c r="O2065" i="11"/>
  <c r="N2065" i="11"/>
  <c r="M2065" i="11"/>
  <c r="J2065" i="11"/>
  <c r="I2065" i="11"/>
  <c r="S2065" i="11"/>
  <c r="L2065" i="11"/>
  <c r="K2065" i="11"/>
  <c r="R2065" i="11"/>
  <c r="Z2064" i="11"/>
  <c r="Y2064" i="11"/>
  <c r="X2064" i="11"/>
  <c r="W2064" i="11"/>
  <c r="V2064" i="11"/>
  <c r="U2064" i="11"/>
  <c r="T2064" i="11"/>
  <c r="S2064" i="11"/>
  <c r="R2064" i="11"/>
  <c r="P2064" i="11"/>
  <c r="O2064" i="11"/>
  <c r="N2064" i="11"/>
  <c r="M2064" i="11"/>
  <c r="L2064" i="11"/>
  <c r="K2064" i="11"/>
  <c r="J2064" i="11"/>
  <c r="I2064" i="11"/>
  <c r="AE2064" i="11"/>
  <c r="AC2064" i="11"/>
  <c r="AE2063" i="11"/>
  <c r="X2063" i="11"/>
  <c r="W2063" i="11"/>
  <c r="V2063" i="11"/>
  <c r="N2063" i="11"/>
  <c r="U2063" i="11"/>
  <c r="T2063" i="11"/>
  <c r="M2063" i="11"/>
  <c r="S2063" i="11"/>
  <c r="K2063" i="11"/>
  <c r="R2063" i="11"/>
  <c r="P2063" i="11"/>
  <c r="I2063" i="11"/>
  <c r="J2063" i="11"/>
  <c r="O2063" i="11"/>
  <c r="AC2063" i="11"/>
  <c r="Z2063" i="11"/>
  <c r="Y2063" i="11"/>
  <c r="L2063" i="11"/>
  <c r="U2062" i="11"/>
  <c r="V2062" i="11"/>
  <c r="W2062" i="11"/>
  <c r="X2062" i="11"/>
  <c r="Y2062" i="11"/>
  <c r="AC2062" i="11"/>
  <c r="AE2062" i="11"/>
  <c r="Z2062" i="11"/>
  <c r="J2062" i="11"/>
  <c r="S2062" i="11"/>
  <c r="T2062" i="11"/>
  <c r="I2062" i="11"/>
  <c r="R2062" i="11"/>
  <c r="K2062" i="11"/>
  <c r="L2062" i="11"/>
  <c r="M2062" i="11"/>
  <c r="N2062" i="11"/>
  <c r="O2062" i="11"/>
  <c r="P2062" i="11"/>
  <c r="P2061" i="11"/>
  <c r="S2061" i="11"/>
  <c r="T2061" i="11"/>
  <c r="U2061" i="11"/>
  <c r="V2061" i="11"/>
  <c r="R2061" i="11"/>
  <c r="X2061" i="11"/>
  <c r="Y2061" i="11"/>
  <c r="Z2061" i="11"/>
  <c r="AC2061" i="11"/>
  <c r="AE2061" i="11"/>
  <c r="I2061" i="11"/>
  <c r="K2061" i="11"/>
  <c r="L2061" i="11"/>
  <c r="M2061" i="11"/>
  <c r="N2061" i="11"/>
  <c r="O2061" i="11"/>
  <c r="J2061" i="11"/>
  <c r="W2061" i="11"/>
  <c r="T2060" i="11"/>
  <c r="S2060" i="11"/>
  <c r="R2060" i="11"/>
  <c r="P2060" i="11"/>
  <c r="O2060" i="11"/>
  <c r="N2060" i="11"/>
  <c r="M2060" i="11"/>
  <c r="L2060" i="11"/>
  <c r="K2060" i="11"/>
  <c r="J2060" i="11"/>
  <c r="I2060" i="11"/>
  <c r="AC2060" i="11"/>
  <c r="AE2060" i="11"/>
  <c r="Z2060" i="11"/>
  <c r="Y2060" i="11"/>
  <c r="X2060" i="11"/>
  <c r="W2060" i="11"/>
  <c r="V2060" i="11"/>
  <c r="U2060" i="11"/>
  <c r="K2059" i="11"/>
  <c r="AC2059" i="11"/>
  <c r="X2059" i="11"/>
  <c r="Z2059" i="11"/>
  <c r="O2059" i="11"/>
  <c r="Y2059" i="11"/>
  <c r="J2059" i="11"/>
  <c r="I2059" i="11"/>
  <c r="L2059" i="11"/>
  <c r="M2059" i="11"/>
  <c r="N2059" i="11"/>
  <c r="P2059" i="11"/>
  <c r="R2059" i="11"/>
  <c r="S2059" i="11"/>
  <c r="T2059" i="11"/>
  <c r="U2059" i="11"/>
  <c r="V2059" i="11"/>
  <c r="W2059" i="11"/>
  <c r="AE2059" i="11"/>
  <c r="T2058" i="11"/>
  <c r="R2058" i="11"/>
  <c r="S2058" i="11"/>
  <c r="U2058" i="11"/>
  <c r="V2058" i="11"/>
  <c r="W2058" i="11"/>
  <c r="X2058" i="11"/>
  <c r="Y2058" i="11"/>
  <c r="Z2058" i="11"/>
  <c r="AC2058" i="11"/>
  <c r="I2058" i="11"/>
  <c r="J2058" i="11"/>
  <c r="AE2058" i="11"/>
  <c r="K2058" i="11"/>
  <c r="L2058" i="11"/>
  <c r="M2058" i="11"/>
  <c r="N2058" i="11"/>
  <c r="O2058" i="11"/>
  <c r="P2058" i="11"/>
  <c r="T2057" i="11"/>
  <c r="U2057" i="11"/>
  <c r="V2057" i="11"/>
  <c r="W2057" i="11"/>
  <c r="X2057" i="11"/>
  <c r="Y2057" i="11"/>
  <c r="Z2057" i="11"/>
  <c r="AC2057" i="11"/>
  <c r="AE2057" i="11"/>
  <c r="N2057" i="11"/>
  <c r="R2057" i="11"/>
  <c r="J2057" i="11"/>
  <c r="K2057" i="11"/>
  <c r="L2057" i="11"/>
  <c r="M2057" i="11"/>
  <c r="O2057" i="11"/>
  <c r="P2057" i="11"/>
  <c r="I2057" i="11"/>
  <c r="S2057" i="11"/>
  <c r="Z2056" i="11"/>
  <c r="Y2056" i="11"/>
  <c r="X2056" i="11"/>
  <c r="W2056" i="11"/>
  <c r="V2056" i="11"/>
  <c r="U2056" i="11"/>
  <c r="T2056" i="11"/>
  <c r="S2056" i="11"/>
  <c r="R2056" i="11"/>
  <c r="P2056" i="11"/>
  <c r="M2056" i="11"/>
  <c r="O2056" i="11"/>
  <c r="AE2056" i="11"/>
  <c r="N2056" i="11"/>
  <c r="I2056" i="11"/>
  <c r="J2056" i="11"/>
  <c r="K2056" i="11"/>
  <c r="L2056" i="11"/>
  <c r="AC2056" i="11"/>
  <c r="L2055" i="11"/>
  <c r="K2055" i="11"/>
  <c r="M2055" i="11"/>
  <c r="J2055" i="11"/>
  <c r="I2055" i="11"/>
  <c r="AE2055" i="11"/>
  <c r="U2055" i="11"/>
  <c r="N2055" i="11"/>
  <c r="V2055" i="11"/>
  <c r="O2055" i="11"/>
  <c r="Y2055" i="11"/>
  <c r="Z2055" i="11"/>
  <c r="AC2055" i="11"/>
  <c r="X2055" i="11"/>
  <c r="P2055" i="11"/>
  <c r="R2055" i="11"/>
  <c r="S2055" i="11"/>
  <c r="T2055" i="11"/>
  <c r="W2055" i="11"/>
  <c r="AB2054" i="11"/>
  <c r="AA2054" i="11"/>
  <c r="M2054" i="11"/>
  <c r="N2054" i="11"/>
  <c r="O2054" i="11"/>
  <c r="P2054" i="11"/>
  <c r="R2054" i="11"/>
  <c r="S2054" i="11"/>
  <c r="I2054" i="11"/>
  <c r="J2054" i="11"/>
  <c r="K2054" i="11"/>
  <c r="L2054" i="11"/>
  <c r="T2053" i="11"/>
  <c r="S2053" i="11"/>
  <c r="R2053" i="11"/>
  <c r="P2053" i="11"/>
  <c r="O2053" i="11"/>
  <c r="N2053" i="11"/>
  <c r="M2053" i="11"/>
  <c r="L2053" i="11"/>
  <c r="K2053" i="11"/>
  <c r="J2053" i="11"/>
  <c r="I2053" i="11"/>
  <c r="Z2053" i="11"/>
  <c r="AC2053" i="11"/>
  <c r="AE2053" i="11"/>
  <c r="U2053" i="11"/>
  <c r="V2053" i="11"/>
  <c r="W2053" i="11"/>
  <c r="X2053" i="11"/>
  <c r="Y2053" i="11"/>
  <c r="AE2052" i="11"/>
  <c r="AC2052" i="11"/>
  <c r="Z2052" i="11"/>
  <c r="Y2052" i="11"/>
  <c r="X2052" i="11"/>
  <c r="W2052" i="11"/>
  <c r="V2052" i="11"/>
  <c r="U2052" i="11"/>
  <c r="K2052" i="11"/>
  <c r="L2052" i="11"/>
  <c r="M2052" i="11"/>
  <c r="N2052" i="11"/>
  <c r="O2052" i="11"/>
  <c r="P2052" i="11"/>
  <c r="R2052" i="11"/>
  <c r="S2052" i="11"/>
  <c r="J2052" i="11"/>
  <c r="T2052" i="11"/>
  <c r="I2052" i="11"/>
  <c r="L2051" i="11"/>
  <c r="J2051" i="11"/>
  <c r="AE2051" i="11"/>
  <c r="AC2051" i="11"/>
  <c r="Z2051" i="11"/>
  <c r="Y2051" i="11"/>
  <c r="X2051" i="11"/>
  <c r="W2051" i="11"/>
  <c r="V2051" i="11"/>
  <c r="U2051" i="11"/>
  <c r="T2051" i="11"/>
  <c r="N2051" i="11"/>
  <c r="S2051" i="11"/>
  <c r="I2051" i="11"/>
  <c r="R2051" i="11"/>
  <c r="P2051" i="11"/>
  <c r="O2051" i="11"/>
  <c r="M2051" i="11"/>
  <c r="K2051" i="11"/>
  <c r="AE2050" i="11"/>
  <c r="O2050" i="11"/>
  <c r="I2050" i="11"/>
  <c r="J2050" i="11"/>
  <c r="K2050" i="11"/>
  <c r="L2050" i="11"/>
  <c r="M2050" i="11"/>
  <c r="N2050" i="11"/>
  <c r="P2050" i="11"/>
  <c r="R2050" i="11"/>
  <c r="S2050" i="11"/>
  <c r="U2050" i="11"/>
  <c r="V2050" i="11"/>
  <c r="W2050" i="11"/>
  <c r="X2050" i="11"/>
  <c r="Y2050" i="11"/>
  <c r="Z2050" i="11"/>
  <c r="AC2050" i="11"/>
  <c r="T2050" i="11"/>
  <c r="T2049" i="11"/>
  <c r="I2049" i="11"/>
  <c r="J2049" i="11"/>
  <c r="K2049" i="11"/>
  <c r="L2049" i="11"/>
  <c r="R2049" i="11"/>
  <c r="M2049" i="11"/>
  <c r="O2049" i="11"/>
  <c r="N2049" i="11"/>
  <c r="P2049" i="11"/>
  <c r="AE2049" i="11"/>
  <c r="AC2049" i="11"/>
  <c r="Y2049" i="11"/>
  <c r="X2049" i="11"/>
  <c r="W2049" i="11"/>
  <c r="V2049" i="11"/>
  <c r="S2049" i="11"/>
  <c r="U2049" i="11"/>
  <c r="Z2049" i="11"/>
  <c r="Z2048" i="11"/>
  <c r="U2048" i="11"/>
  <c r="AE2048" i="11"/>
  <c r="AC2048" i="11"/>
  <c r="Y2048" i="11"/>
  <c r="X2048" i="11"/>
  <c r="W2048" i="11"/>
  <c r="V2048" i="11"/>
  <c r="T2048" i="11"/>
  <c r="S2048" i="11"/>
  <c r="R2048" i="11"/>
  <c r="P2048" i="11"/>
  <c r="O2048" i="11"/>
  <c r="N2048" i="11"/>
  <c r="M2048" i="11"/>
  <c r="L2048" i="11"/>
  <c r="J2048" i="11"/>
  <c r="I2048" i="11"/>
  <c r="K2048" i="11"/>
  <c r="AE2047" i="11"/>
  <c r="AC2047" i="11"/>
  <c r="Z2047" i="11"/>
  <c r="Y2047" i="11"/>
  <c r="X2047" i="11"/>
  <c r="W2047" i="11"/>
  <c r="I2047" i="11"/>
  <c r="V2047" i="11"/>
  <c r="T2047" i="11"/>
  <c r="S2047" i="11"/>
  <c r="R2047" i="11"/>
  <c r="O2047" i="11"/>
  <c r="P2047" i="11"/>
  <c r="N2047" i="11"/>
  <c r="M2047" i="11"/>
  <c r="L2047" i="11"/>
  <c r="K2047" i="11"/>
  <c r="J2047" i="11"/>
  <c r="U2047" i="11"/>
  <c r="T2046" i="11"/>
  <c r="AE2046" i="11"/>
  <c r="AC2046" i="11"/>
  <c r="Z2046" i="11"/>
  <c r="Y2046" i="11"/>
  <c r="X2046" i="11"/>
  <c r="W2046" i="11"/>
  <c r="V2046" i="11"/>
  <c r="U2046" i="11"/>
  <c r="S2046" i="11"/>
  <c r="R2046" i="11"/>
  <c r="P2046" i="11"/>
  <c r="O2046" i="11"/>
  <c r="N2046" i="11"/>
  <c r="M2046" i="11"/>
  <c r="L2046" i="11"/>
  <c r="K2046" i="11"/>
  <c r="J2046" i="11"/>
  <c r="I2046" i="11"/>
  <c r="T2045" i="11"/>
  <c r="R2045" i="11"/>
  <c r="W2045" i="11"/>
  <c r="X2045" i="11"/>
  <c r="Y2045" i="11"/>
  <c r="Z2045" i="11"/>
  <c r="AC2045" i="11"/>
  <c r="AE2045" i="11"/>
  <c r="V2045" i="11"/>
  <c r="S2045" i="11"/>
  <c r="U2045" i="11"/>
  <c r="I2045" i="11"/>
  <c r="P2045" i="11"/>
  <c r="O2045" i="11"/>
  <c r="N2045" i="11"/>
  <c r="M2045" i="11"/>
  <c r="L2045" i="11"/>
  <c r="K2045" i="11"/>
  <c r="J2045" i="11"/>
  <c r="R2044" i="11"/>
  <c r="P2044" i="11"/>
  <c r="O2044" i="11"/>
  <c r="N2044" i="11"/>
  <c r="M2044" i="11"/>
  <c r="L2044" i="11"/>
  <c r="K2044" i="11"/>
  <c r="J2044" i="11"/>
  <c r="I2044" i="11"/>
  <c r="S2044" i="11"/>
  <c r="V2044" i="11"/>
  <c r="AE2044" i="11"/>
  <c r="AC2044" i="11"/>
  <c r="Z2044" i="11"/>
  <c r="Y2044" i="11"/>
  <c r="X2044" i="11"/>
  <c r="W2044" i="11"/>
  <c r="U2044" i="11"/>
  <c r="T2044" i="11"/>
  <c r="K2043" i="11"/>
  <c r="J2043" i="11"/>
  <c r="I2043" i="11"/>
  <c r="AE2043" i="11"/>
  <c r="AC2043" i="11"/>
  <c r="Z2043" i="11"/>
  <c r="Y2043" i="11"/>
  <c r="X2043" i="11"/>
  <c r="W2043" i="11"/>
  <c r="V2043" i="11"/>
  <c r="U2043" i="11"/>
  <c r="T2043" i="11"/>
  <c r="M2043" i="11"/>
  <c r="S2043" i="11"/>
  <c r="R2043" i="11"/>
  <c r="P2043" i="11"/>
  <c r="O2043" i="11"/>
  <c r="N2043" i="11"/>
  <c r="L2043" i="11"/>
  <c r="AE2042" i="11"/>
  <c r="I2042" i="11"/>
  <c r="AC2042" i="11"/>
  <c r="Z2042" i="11"/>
  <c r="Y2042" i="11"/>
  <c r="X2042" i="11"/>
  <c r="W2042" i="11"/>
  <c r="V2042" i="11"/>
  <c r="U2042" i="11"/>
  <c r="J2042" i="11"/>
  <c r="T2042" i="11"/>
  <c r="R2042" i="11"/>
  <c r="P2042" i="11"/>
  <c r="O2042" i="11"/>
  <c r="N2042" i="11"/>
  <c r="M2042" i="11"/>
  <c r="L2042" i="11"/>
  <c r="K2042" i="11"/>
  <c r="S2042" i="11"/>
  <c r="AE2041" i="11"/>
  <c r="I2041" i="11"/>
  <c r="J2041" i="11"/>
  <c r="K2041" i="11"/>
  <c r="L2041" i="11"/>
  <c r="M2041" i="11"/>
  <c r="N2041" i="11"/>
  <c r="O2041" i="11"/>
  <c r="P2041" i="11"/>
  <c r="R2041" i="11"/>
  <c r="S2041" i="11"/>
  <c r="T2041" i="11"/>
  <c r="U2041" i="11"/>
  <c r="V2041" i="11"/>
  <c r="W2041" i="11"/>
  <c r="X2041" i="11"/>
  <c r="Y2041" i="11"/>
  <c r="Z2041" i="11"/>
  <c r="AC2041" i="11"/>
  <c r="I2040" i="11"/>
  <c r="U2040" i="11"/>
  <c r="J2040" i="11"/>
  <c r="V2040" i="11"/>
  <c r="W2040" i="11"/>
  <c r="AE2040" i="11"/>
  <c r="R2040" i="11"/>
  <c r="X2040" i="11"/>
  <c r="Y2040" i="11"/>
  <c r="Z2040" i="11"/>
  <c r="K2040" i="11"/>
  <c r="L2040" i="11"/>
  <c r="M2040" i="11"/>
  <c r="N2040" i="11"/>
  <c r="O2040" i="11"/>
  <c r="P2040" i="11"/>
  <c r="S2040" i="11"/>
  <c r="T2040" i="11"/>
  <c r="AC2040" i="11"/>
  <c r="AE2039" i="11"/>
  <c r="AC2039" i="11"/>
  <c r="Z2039" i="11"/>
  <c r="X2039" i="11"/>
  <c r="W2039" i="11"/>
  <c r="V2039" i="11"/>
  <c r="U2039" i="11"/>
  <c r="S2039" i="11"/>
  <c r="T2039" i="11"/>
  <c r="Y2039" i="11"/>
  <c r="R2039" i="11"/>
  <c r="P2039" i="11"/>
  <c r="O2039" i="11"/>
  <c r="N2039" i="11"/>
  <c r="M2039" i="11"/>
  <c r="L2039" i="11"/>
  <c r="I2039" i="11"/>
  <c r="J2039" i="11"/>
  <c r="K2039" i="11"/>
  <c r="AE2038" i="11"/>
  <c r="V2038" i="11"/>
  <c r="AC2038" i="11"/>
  <c r="Z2038" i="11"/>
  <c r="Y2038" i="11"/>
  <c r="X2038" i="11"/>
  <c r="W2038" i="11"/>
  <c r="U2038" i="11"/>
  <c r="T2038" i="11"/>
  <c r="R2038" i="11"/>
  <c r="P2038" i="11"/>
  <c r="O2038" i="11"/>
  <c r="N2038" i="11"/>
  <c r="M2038" i="11"/>
  <c r="L2038" i="11"/>
  <c r="K2038" i="11"/>
  <c r="J2038" i="11"/>
  <c r="I2038" i="11"/>
  <c r="S2038" i="11"/>
  <c r="M2037" i="11"/>
  <c r="L2037" i="11"/>
  <c r="K2037" i="11"/>
  <c r="J2037" i="11"/>
  <c r="I2037" i="11"/>
  <c r="Z2037" i="11"/>
  <c r="AC2037" i="11"/>
  <c r="AE2037" i="11"/>
  <c r="N2037" i="11"/>
  <c r="U2037" i="11"/>
  <c r="O2037" i="11"/>
  <c r="P2037" i="11"/>
  <c r="R2037" i="11"/>
  <c r="S2037" i="11"/>
  <c r="T2037" i="11"/>
  <c r="V2037" i="11"/>
  <c r="W2037" i="11"/>
  <c r="X2037" i="11"/>
  <c r="Y2037" i="11"/>
  <c r="AE2036" i="11"/>
  <c r="AC2036" i="11"/>
  <c r="Z2036" i="11"/>
  <c r="Y2036" i="11"/>
  <c r="X2036" i="11"/>
  <c r="W2036" i="11"/>
  <c r="V2036" i="11"/>
  <c r="U2036" i="11"/>
  <c r="T2036" i="11"/>
  <c r="S2036" i="11"/>
  <c r="R2036" i="11"/>
  <c r="P2036" i="11"/>
  <c r="O2036" i="11"/>
  <c r="N2036" i="11"/>
  <c r="M2036" i="11"/>
  <c r="L2036" i="11"/>
  <c r="K2036" i="11"/>
  <c r="J2036" i="11"/>
  <c r="I2036" i="11"/>
  <c r="AE2035" i="11"/>
  <c r="AC2035" i="11"/>
  <c r="Z2035" i="11"/>
  <c r="Y2035" i="11"/>
  <c r="X2035" i="11"/>
  <c r="W2035" i="11"/>
  <c r="V2035" i="11"/>
  <c r="U2035" i="11"/>
  <c r="T2035" i="11"/>
  <c r="S2035" i="11"/>
  <c r="R2035" i="11"/>
  <c r="P2035" i="11"/>
  <c r="O2035" i="11"/>
  <c r="N2035" i="11"/>
  <c r="M2035" i="11"/>
  <c r="L2035" i="11"/>
  <c r="K2035" i="11"/>
  <c r="J2035" i="11"/>
  <c r="I2035" i="11"/>
  <c r="AE2034" i="11"/>
  <c r="AC2034" i="11"/>
  <c r="Z2034" i="11"/>
  <c r="Y2034" i="11"/>
  <c r="X2034" i="11"/>
  <c r="W2034" i="11"/>
  <c r="V2034" i="11"/>
  <c r="U2034" i="11"/>
  <c r="T2034" i="11"/>
  <c r="S2034" i="11"/>
  <c r="R2034" i="11"/>
  <c r="P2034" i="11"/>
  <c r="O2034" i="11"/>
  <c r="N2034" i="11"/>
  <c r="M2034" i="11"/>
  <c r="L2034" i="11"/>
  <c r="K2034" i="11"/>
  <c r="J2034" i="11"/>
  <c r="I2034" i="11"/>
  <c r="AE2033" i="11"/>
  <c r="AC2033" i="11"/>
  <c r="Z2033" i="11"/>
  <c r="Y2033" i="11"/>
  <c r="X2033" i="11"/>
  <c r="W2033" i="11"/>
  <c r="V2033" i="11"/>
  <c r="U2033" i="11"/>
  <c r="T2033" i="11"/>
  <c r="S2033" i="11"/>
  <c r="R2033" i="11"/>
  <c r="P2033" i="11"/>
  <c r="O2033" i="11"/>
  <c r="N2033" i="11"/>
  <c r="M2033" i="11"/>
  <c r="L2033" i="11"/>
  <c r="K2033" i="11"/>
  <c r="J2033" i="11"/>
  <c r="I2033" i="11"/>
  <c r="AE2032" i="11"/>
  <c r="AC2032" i="11"/>
  <c r="Z2032" i="11"/>
  <c r="Y2032" i="11"/>
  <c r="X2032" i="11"/>
  <c r="W2032" i="11"/>
  <c r="V2032" i="11"/>
  <c r="U2032" i="11"/>
  <c r="T2032" i="11"/>
  <c r="S2032" i="11"/>
  <c r="R2032" i="11"/>
  <c r="P2032" i="11"/>
  <c r="O2032" i="11"/>
  <c r="N2032" i="11"/>
  <c r="M2032" i="11"/>
  <c r="L2032" i="11"/>
  <c r="K2032" i="11"/>
  <c r="J2032" i="11"/>
  <c r="I2032" i="11"/>
  <c r="AE2031" i="11"/>
  <c r="AC2031" i="11"/>
  <c r="Z2031" i="11"/>
  <c r="Y2031" i="11"/>
  <c r="X2031" i="11"/>
  <c r="W2031" i="11"/>
  <c r="U2031" i="11"/>
  <c r="T2031" i="11"/>
  <c r="S2031" i="11"/>
  <c r="R2031" i="11"/>
  <c r="P2031" i="11"/>
  <c r="O2031" i="11"/>
  <c r="N2031" i="11"/>
  <c r="M2031" i="11"/>
  <c r="L2031" i="11"/>
  <c r="K2031" i="11"/>
  <c r="J2031" i="11"/>
  <c r="V2031" i="11"/>
  <c r="I2031" i="11"/>
  <c r="J2030" i="11"/>
  <c r="K2030" i="11"/>
  <c r="I2030" i="11"/>
  <c r="AE2030" i="11"/>
  <c r="AC2030" i="11"/>
  <c r="Z2030" i="11"/>
  <c r="Y2030" i="11"/>
  <c r="X2030" i="11"/>
  <c r="W2030" i="11"/>
  <c r="V2030" i="11"/>
  <c r="U2030" i="11"/>
  <c r="T2030" i="11"/>
  <c r="S2030" i="11"/>
  <c r="R2030" i="11"/>
  <c r="P2030" i="11"/>
  <c r="O2030" i="11"/>
  <c r="N2030" i="11"/>
  <c r="M2030" i="11"/>
  <c r="L2030" i="11"/>
  <c r="AE2029" i="11"/>
  <c r="I2029" i="11"/>
  <c r="J2029" i="11"/>
  <c r="K2029" i="11"/>
  <c r="L2029" i="11"/>
  <c r="M2029" i="11"/>
  <c r="N2029" i="11"/>
  <c r="O2029" i="11"/>
  <c r="P2029" i="11"/>
  <c r="R2029" i="11"/>
  <c r="S2029" i="11"/>
  <c r="T2029" i="11"/>
  <c r="U2029" i="11"/>
  <c r="V2029" i="11"/>
  <c r="W2029" i="11"/>
  <c r="X2029" i="11"/>
  <c r="Y2029" i="11"/>
  <c r="Z2029" i="11"/>
  <c r="AC2029" i="11"/>
  <c r="M2028" i="11"/>
  <c r="I2028" i="11"/>
  <c r="AE2028" i="11"/>
  <c r="AC2028" i="11"/>
  <c r="Z2028" i="11"/>
  <c r="Y2028" i="11"/>
  <c r="X2028" i="11"/>
  <c r="W2028" i="11"/>
  <c r="V2028" i="11"/>
  <c r="U2028" i="11"/>
  <c r="T2028" i="11"/>
  <c r="S2028" i="11"/>
  <c r="R2028" i="11"/>
  <c r="P2028" i="11"/>
  <c r="O2028" i="11"/>
  <c r="N2028" i="11"/>
  <c r="J2028" i="11"/>
  <c r="L2028" i="11"/>
  <c r="K2028" i="11"/>
  <c r="V2027" i="11"/>
  <c r="W2027" i="11"/>
  <c r="P2027" i="11"/>
  <c r="X2027" i="11"/>
  <c r="Y2027" i="11"/>
  <c r="N2027" i="11"/>
  <c r="AC2027" i="11"/>
  <c r="AE2027" i="11"/>
  <c r="R2027" i="11"/>
  <c r="Z2027" i="11"/>
  <c r="K2027" i="11"/>
  <c r="I2027" i="11"/>
  <c r="J2027" i="11"/>
  <c r="U2027" i="11"/>
  <c r="L2027" i="11"/>
  <c r="M2027" i="11"/>
  <c r="O2027" i="11"/>
  <c r="S2027" i="11"/>
  <c r="T2027" i="11"/>
  <c r="T2026" i="11"/>
  <c r="U2026" i="11"/>
  <c r="V2026" i="11"/>
  <c r="W2026" i="11"/>
  <c r="X2026" i="11"/>
  <c r="I2026" i="11"/>
  <c r="Z2026" i="11"/>
  <c r="AC2026" i="11"/>
  <c r="AE2026" i="11"/>
  <c r="J2026" i="11"/>
  <c r="K2026" i="11"/>
  <c r="L2026" i="11"/>
  <c r="S2026" i="11"/>
  <c r="M2026" i="11"/>
  <c r="N2026" i="11"/>
  <c r="O2026" i="11"/>
  <c r="P2026" i="11"/>
  <c r="R2026" i="11"/>
  <c r="Y2026" i="11"/>
  <c r="S2025" i="11"/>
  <c r="R2025" i="11"/>
  <c r="P2025" i="11"/>
  <c r="O2025" i="11"/>
  <c r="N2025" i="11"/>
  <c r="M2025" i="11"/>
  <c r="L2025" i="11"/>
  <c r="K2025" i="11"/>
  <c r="J2025" i="11"/>
  <c r="I2025" i="11"/>
  <c r="X2025" i="11"/>
  <c r="AE2025" i="11"/>
  <c r="AC2025" i="11"/>
  <c r="Z2025" i="11"/>
  <c r="Y2025" i="11"/>
  <c r="W2025" i="11"/>
  <c r="V2025" i="11"/>
  <c r="U2025" i="11"/>
  <c r="T2025" i="11"/>
  <c r="M2024" i="11"/>
  <c r="S2024" i="11"/>
  <c r="R2024" i="11"/>
  <c r="P2024" i="11"/>
  <c r="AC2024" i="11"/>
  <c r="Y2024" i="11"/>
  <c r="W2024" i="11"/>
  <c r="N2024" i="11"/>
  <c r="V2024" i="11"/>
  <c r="O2024" i="11"/>
  <c r="Z2024" i="11"/>
  <c r="U2024" i="11"/>
  <c r="T2024" i="11"/>
  <c r="L2024" i="11"/>
  <c r="K2024" i="11"/>
  <c r="X2024" i="11"/>
  <c r="J2024" i="11"/>
  <c r="I2024" i="11"/>
  <c r="AE2024" i="11"/>
  <c r="P2023" i="11"/>
  <c r="S2023" i="11"/>
  <c r="T2023" i="11"/>
  <c r="AE2023" i="11"/>
  <c r="AC2023" i="11"/>
  <c r="X2023" i="11"/>
  <c r="W2023" i="11"/>
  <c r="J2023" i="11"/>
  <c r="V2023" i="11"/>
  <c r="Y2023" i="11"/>
  <c r="R2023" i="11"/>
  <c r="L2023" i="11"/>
  <c r="K2023" i="11"/>
  <c r="M2023" i="11"/>
  <c r="N2023" i="11"/>
  <c r="O2023" i="11"/>
  <c r="Z2023" i="11"/>
  <c r="I2023" i="11"/>
  <c r="U2023" i="11"/>
  <c r="Z2022" i="11"/>
  <c r="Y2022" i="11"/>
  <c r="AE2022" i="11"/>
  <c r="W2022" i="11"/>
  <c r="V2022" i="11"/>
  <c r="U2022" i="11"/>
  <c r="T2022" i="11"/>
  <c r="S2022" i="11"/>
  <c r="R2022" i="11"/>
  <c r="P2022" i="11"/>
  <c r="O2022" i="11"/>
  <c r="N2022" i="11"/>
  <c r="M2022" i="11"/>
  <c r="L2022" i="11"/>
  <c r="K2022" i="11"/>
  <c r="J2022" i="11"/>
  <c r="I2022" i="11"/>
  <c r="AC2022" i="11"/>
  <c r="X2022" i="11"/>
  <c r="AE2021" i="11"/>
  <c r="AC2021" i="11"/>
  <c r="Z2021" i="11"/>
  <c r="X2021" i="11"/>
  <c r="W2021" i="11"/>
  <c r="V2021" i="11"/>
  <c r="U2021" i="11"/>
  <c r="T2021" i="11"/>
  <c r="S2021" i="11"/>
  <c r="R2021" i="11"/>
  <c r="P2021" i="11"/>
  <c r="N2021" i="11"/>
  <c r="M2021" i="11"/>
  <c r="L2021" i="11"/>
  <c r="K2021" i="11"/>
  <c r="J2021" i="11"/>
  <c r="I2021" i="11"/>
  <c r="O2021" i="11"/>
  <c r="Y2021" i="11"/>
  <c r="Z2020" i="11"/>
  <c r="R2020" i="11"/>
  <c r="AE2020" i="11"/>
  <c r="V2020" i="11"/>
  <c r="W2020" i="11"/>
  <c r="X2020" i="11"/>
  <c r="Y2020" i="11"/>
  <c r="N2020" i="11"/>
  <c r="AC2020" i="11"/>
  <c r="S2020" i="11"/>
  <c r="T2020" i="11"/>
  <c r="U2020" i="11"/>
  <c r="P2020" i="11"/>
  <c r="O2020" i="11"/>
  <c r="M2020" i="11"/>
  <c r="L2020" i="11"/>
  <c r="K2020" i="11"/>
  <c r="J2020" i="11"/>
  <c r="I2020" i="11"/>
  <c r="R2019" i="11"/>
  <c r="P2019" i="11"/>
  <c r="O2019" i="11"/>
  <c r="N2019" i="11"/>
  <c r="M2019" i="11"/>
  <c r="L2019" i="11"/>
  <c r="K2019" i="11"/>
  <c r="J2019" i="11"/>
  <c r="I2019" i="11"/>
  <c r="AC2019" i="11"/>
  <c r="U2019" i="11"/>
  <c r="Z2019" i="11"/>
  <c r="Y2019" i="11"/>
  <c r="X2019" i="11"/>
  <c r="W2019" i="11"/>
  <c r="V2019" i="11"/>
  <c r="T2019" i="11"/>
  <c r="S2019" i="11"/>
  <c r="AE2019" i="11"/>
  <c r="Y2018" i="11"/>
  <c r="N2018" i="11"/>
  <c r="M2018" i="11"/>
  <c r="Z2018" i="11"/>
  <c r="L2018" i="11"/>
  <c r="K2018" i="11"/>
  <c r="I2018" i="11"/>
  <c r="AE2018" i="11"/>
  <c r="AC2018" i="11"/>
  <c r="S2018" i="11"/>
  <c r="T2018" i="11"/>
  <c r="J2018" i="11"/>
  <c r="U2018" i="11"/>
  <c r="V2018" i="11"/>
  <c r="W2018" i="11"/>
  <c r="X2018" i="11"/>
  <c r="R2018" i="11"/>
  <c r="P2018" i="11"/>
  <c r="O2018" i="11"/>
  <c r="AC2017" i="11"/>
  <c r="AE2017" i="11"/>
  <c r="Z2017" i="11"/>
  <c r="Y2017" i="11"/>
  <c r="X2017" i="11"/>
  <c r="W2017" i="11"/>
  <c r="V2017" i="11"/>
  <c r="U2017" i="11"/>
  <c r="T2017" i="11"/>
  <c r="S2017" i="11"/>
  <c r="R2017" i="11"/>
  <c r="P2017" i="11"/>
  <c r="O2017" i="11"/>
  <c r="N2017" i="11"/>
  <c r="M2017" i="11"/>
  <c r="L2017" i="11"/>
  <c r="K2017" i="11"/>
  <c r="J2017" i="11"/>
  <c r="I2017" i="11"/>
  <c r="Z2016" i="11"/>
  <c r="X2016" i="11"/>
  <c r="W2016" i="11"/>
  <c r="V2016" i="11"/>
  <c r="U2016" i="11"/>
  <c r="T2016" i="11"/>
  <c r="S2016" i="11"/>
  <c r="AC2016" i="11"/>
  <c r="R2016" i="11"/>
  <c r="P2016" i="11"/>
  <c r="O2016" i="11"/>
  <c r="N2016" i="11"/>
  <c r="M2016" i="11"/>
  <c r="L2016" i="11"/>
  <c r="K2016" i="11"/>
  <c r="J2016" i="11"/>
  <c r="Y2016" i="11"/>
  <c r="AE2016" i="11"/>
  <c r="I2016" i="11"/>
  <c r="J2015" i="11"/>
  <c r="K2015" i="11"/>
  <c r="L2015" i="11"/>
  <c r="M2015" i="11"/>
  <c r="N2015" i="11"/>
  <c r="O2015" i="11"/>
  <c r="P2015" i="11"/>
  <c r="R2015" i="11"/>
  <c r="S2015" i="11"/>
  <c r="I2015" i="11"/>
  <c r="U2015" i="11"/>
  <c r="V2015" i="11"/>
  <c r="W2015" i="11"/>
  <c r="X2015" i="11"/>
  <c r="Y2015" i="11"/>
  <c r="Z2015" i="11"/>
  <c r="AC2015" i="11"/>
  <c r="AE2015" i="11"/>
  <c r="T2015" i="11"/>
  <c r="AE2014" i="11"/>
  <c r="AC2014" i="11"/>
  <c r="Z2014" i="11"/>
  <c r="Y2014" i="11"/>
  <c r="X2014" i="11"/>
  <c r="W2014" i="11"/>
  <c r="V2014" i="11"/>
  <c r="U2014" i="11"/>
  <c r="T2014" i="11"/>
  <c r="S2014" i="11"/>
  <c r="R2014" i="11"/>
  <c r="P2014" i="11"/>
  <c r="O2014" i="11"/>
  <c r="N2014" i="11"/>
  <c r="M2014" i="11"/>
  <c r="L2014" i="11"/>
  <c r="K2014" i="11"/>
  <c r="J2014" i="11"/>
  <c r="I2014" i="11"/>
  <c r="AE2013" i="11"/>
  <c r="AC2013" i="11"/>
  <c r="Z2013" i="11"/>
  <c r="Y2013" i="11"/>
  <c r="X2013" i="11"/>
  <c r="W2013" i="11"/>
  <c r="V2013" i="11"/>
  <c r="U2013" i="11"/>
  <c r="T2013" i="11"/>
  <c r="S2013" i="11"/>
  <c r="R2013" i="11"/>
  <c r="P2013" i="11"/>
  <c r="O2013" i="11"/>
  <c r="N2013" i="11"/>
  <c r="M2013" i="11"/>
  <c r="L2013" i="11"/>
  <c r="K2013" i="11"/>
  <c r="J2013" i="11"/>
  <c r="I2013" i="11"/>
  <c r="R2012" i="11"/>
  <c r="AE2012" i="11"/>
  <c r="AC2012" i="11"/>
  <c r="Y2012" i="11"/>
  <c r="X2012" i="11"/>
  <c r="W2012" i="11"/>
  <c r="V2012" i="11"/>
  <c r="U2012" i="11"/>
  <c r="T2012" i="11"/>
  <c r="S2012" i="11"/>
  <c r="P2012" i="11"/>
  <c r="O2012" i="11"/>
  <c r="N2012" i="11"/>
  <c r="M2012" i="11"/>
  <c r="L2012" i="11"/>
  <c r="K2012" i="11"/>
  <c r="J2012" i="11"/>
  <c r="I2012" i="11"/>
  <c r="Z2012" i="11"/>
  <c r="K2011" i="11"/>
  <c r="L2011" i="11"/>
  <c r="M2011" i="11"/>
  <c r="AE2011" i="11"/>
  <c r="N2011" i="11"/>
  <c r="P2011" i="11"/>
  <c r="R2011" i="11"/>
  <c r="O2011" i="11"/>
  <c r="S2011" i="11"/>
  <c r="T2011" i="11"/>
  <c r="U2011" i="11"/>
  <c r="V2011" i="11"/>
  <c r="W2011" i="11"/>
  <c r="X2011" i="11"/>
  <c r="Y2011" i="11"/>
  <c r="Z2011" i="11"/>
  <c r="AC2011" i="11"/>
  <c r="I2011" i="11"/>
  <c r="J2011" i="11"/>
  <c r="W2010" i="11"/>
  <c r="AC2010" i="11"/>
  <c r="AE2010" i="11"/>
  <c r="X2010" i="11"/>
  <c r="R2010" i="11"/>
  <c r="V2010" i="11"/>
  <c r="U2010" i="11"/>
  <c r="T2010" i="11"/>
  <c r="S2010" i="11"/>
  <c r="J2010" i="11"/>
  <c r="P2010" i="11"/>
  <c r="O2010" i="11"/>
  <c r="N2010" i="11"/>
  <c r="M2010" i="11"/>
  <c r="L2010" i="11"/>
  <c r="K2010" i="11"/>
  <c r="I2010" i="11"/>
  <c r="Y2010" i="11"/>
  <c r="Z2010" i="11"/>
  <c r="AE2009" i="11"/>
  <c r="AC2009" i="11"/>
  <c r="Z2009" i="11"/>
  <c r="Y2009" i="11"/>
  <c r="R2009" i="11"/>
  <c r="S2009" i="11"/>
  <c r="T2009" i="11"/>
  <c r="U2009" i="11"/>
  <c r="W2009" i="11"/>
  <c r="X2009" i="11"/>
  <c r="I2009" i="11"/>
  <c r="V2009" i="11"/>
  <c r="J2009" i="11"/>
  <c r="M2009" i="11"/>
  <c r="K2009" i="11"/>
  <c r="L2009" i="11"/>
  <c r="N2009" i="11"/>
  <c r="O2009" i="11"/>
  <c r="P2009" i="11"/>
  <c r="X2008" i="11"/>
  <c r="W2008" i="11"/>
  <c r="V2008" i="11"/>
  <c r="U2008" i="11"/>
  <c r="T2008" i="11"/>
  <c r="S2008" i="11"/>
  <c r="R2008" i="11"/>
  <c r="P2008" i="11"/>
  <c r="O2008" i="11"/>
  <c r="N2008" i="11"/>
  <c r="M2008" i="11"/>
  <c r="L2008" i="11"/>
  <c r="K2008" i="11"/>
  <c r="J2008" i="11"/>
  <c r="I2008" i="11"/>
  <c r="AE2008" i="11"/>
  <c r="AC2008" i="11"/>
  <c r="Z2008" i="11"/>
  <c r="Y2008" i="11"/>
  <c r="X2007" i="11"/>
  <c r="I2007" i="11"/>
  <c r="V2007" i="11"/>
  <c r="R2007" i="11"/>
  <c r="K2007" i="11"/>
  <c r="L2007" i="11"/>
  <c r="M2007" i="11"/>
  <c r="N2007" i="11"/>
  <c r="O2007" i="11"/>
  <c r="J2007" i="11"/>
  <c r="P2007" i="11"/>
  <c r="S2007" i="11"/>
  <c r="T2007" i="11"/>
  <c r="U2007" i="11"/>
  <c r="W2007" i="11"/>
  <c r="Y2007" i="11"/>
  <c r="Z2007" i="11"/>
  <c r="AC2007" i="11"/>
  <c r="AE2007" i="11"/>
  <c r="J2006" i="11"/>
  <c r="AC2006" i="11"/>
  <c r="Z2006" i="11"/>
  <c r="Y2006" i="11"/>
  <c r="X2006" i="11"/>
  <c r="W2006" i="11"/>
  <c r="V2006" i="11"/>
  <c r="T2006" i="11"/>
  <c r="S2006" i="11"/>
  <c r="R2006" i="11"/>
  <c r="P2006" i="11"/>
  <c r="O2006" i="11"/>
  <c r="N2006" i="11"/>
  <c r="M2006" i="11"/>
  <c r="L2006" i="11"/>
  <c r="K2006" i="11"/>
  <c r="U2006" i="11"/>
  <c r="I2006" i="11"/>
  <c r="AE2006" i="11"/>
  <c r="J2005" i="11"/>
  <c r="AE2005" i="11"/>
  <c r="L2005" i="11"/>
  <c r="K2005" i="11"/>
  <c r="M2005" i="11"/>
  <c r="N2005" i="11"/>
  <c r="I2005" i="11"/>
  <c r="O2005" i="11"/>
  <c r="P2005" i="11"/>
  <c r="R2005" i="11"/>
  <c r="S2005" i="11"/>
  <c r="T2005" i="11"/>
  <c r="U2005" i="11"/>
  <c r="V2005" i="11"/>
  <c r="W2005" i="11"/>
  <c r="X2005" i="11"/>
  <c r="Y2005" i="11"/>
  <c r="Z2005" i="11"/>
  <c r="AC2005" i="11"/>
  <c r="J2004" i="11"/>
  <c r="I2004" i="11"/>
  <c r="AE2004" i="11"/>
  <c r="AC2004" i="11"/>
  <c r="Z2004" i="11"/>
  <c r="Y2004" i="11"/>
  <c r="X2004" i="11"/>
  <c r="W2004" i="11"/>
  <c r="O2004" i="11"/>
  <c r="V2004" i="11"/>
  <c r="U2004" i="11"/>
  <c r="T2004" i="11"/>
  <c r="S2004" i="11"/>
  <c r="R2004" i="11"/>
  <c r="P2004" i="11"/>
  <c r="N2004" i="11"/>
  <c r="M2004" i="11"/>
  <c r="L2004" i="11"/>
  <c r="K2004" i="11"/>
  <c r="J2003" i="11"/>
  <c r="I2003" i="11"/>
  <c r="AE2003" i="11"/>
  <c r="AC2003" i="11"/>
  <c r="Z2003" i="11"/>
  <c r="Y2003" i="11"/>
  <c r="X2003" i="11"/>
  <c r="W2003" i="11"/>
  <c r="V2003" i="11"/>
  <c r="U2003" i="11"/>
  <c r="T2003" i="11"/>
  <c r="S2003" i="11"/>
  <c r="R2003" i="11"/>
  <c r="P2003" i="11"/>
  <c r="O2003" i="11"/>
  <c r="N2003" i="11"/>
  <c r="M2003" i="11"/>
  <c r="L2003" i="11"/>
  <c r="K2003" i="11"/>
  <c r="K2002" i="11"/>
  <c r="N2002" i="11"/>
  <c r="U2002" i="11"/>
  <c r="V2002" i="11"/>
  <c r="AC2002" i="11"/>
  <c r="W2002" i="11"/>
  <c r="X2002" i="11"/>
  <c r="T2002" i="11"/>
  <c r="Y2002" i="11"/>
  <c r="Z2002" i="11"/>
  <c r="O2002" i="11"/>
  <c r="AE2002" i="11"/>
  <c r="I2002" i="11"/>
  <c r="J2002" i="11"/>
  <c r="L2002" i="11"/>
  <c r="P2002" i="11"/>
  <c r="R2002" i="11"/>
  <c r="S2002" i="11"/>
  <c r="M2002" i="11"/>
  <c r="T2001" i="11"/>
  <c r="U2001" i="11"/>
  <c r="V2001" i="11"/>
  <c r="W2001" i="11"/>
  <c r="X2001" i="11"/>
  <c r="Y2001" i="11"/>
  <c r="AC2001" i="11"/>
  <c r="AE2001" i="11"/>
  <c r="Z2001" i="11"/>
  <c r="S2001" i="11"/>
  <c r="N2001" i="11"/>
  <c r="O2001" i="11"/>
  <c r="P2001" i="11"/>
  <c r="R2001" i="11"/>
  <c r="M2001" i="11"/>
  <c r="L2001" i="11"/>
  <c r="K2001" i="11"/>
  <c r="J2001" i="11"/>
  <c r="I2001" i="11"/>
  <c r="S2000" i="11"/>
  <c r="T2000" i="11"/>
  <c r="U2000" i="11"/>
  <c r="I2000" i="11"/>
  <c r="J2000" i="11"/>
  <c r="K2000" i="11"/>
  <c r="L2000" i="11"/>
  <c r="N2000" i="11"/>
  <c r="O2000" i="11"/>
  <c r="M2000" i="11"/>
  <c r="R2000" i="11"/>
  <c r="P2000" i="11"/>
  <c r="AE2000" i="11"/>
  <c r="AC2000" i="11"/>
  <c r="Z2000" i="11"/>
  <c r="Y2000" i="11"/>
  <c r="X2000" i="11"/>
  <c r="W2000" i="11"/>
  <c r="V2000" i="11"/>
  <c r="R1999" i="11"/>
  <c r="I1999" i="11"/>
  <c r="J1999" i="11"/>
  <c r="K1999" i="11"/>
  <c r="L1999" i="11"/>
  <c r="M1999" i="11"/>
  <c r="N1999" i="11"/>
  <c r="O1999" i="11"/>
  <c r="P1999" i="11"/>
  <c r="S1999" i="11"/>
  <c r="T1999" i="11"/>
  <c r="U1999" i="11"/>
  <c r="V1999" i="11"/>
  <c r="W1999" i="11"/>
  <c r="X1999" i="11"/>
  <c r="Y1999" i="11"/>
  <c r="Z1999" i="11"/>
  <c r="AC1999" i="11"/>
  <c r="AE1999" i="11"/>
  <c r="AC1998" i="11"/>
  <c r="Z1998" i="11"/>
  <c r="Y1998" i="11"/>
  <c r="X1998" i="11"/>
  <c r="W1998" i="11"/>
  <c r="V1998" i="11"/>
  <c r="U1998" i="11"/>
  <c r="T1998" i="11"/>
  <c r="S1998" i="11"/>
  <c r="R1998" i="11"/>
  <c r="P1998" i="11"/>
  <c r="O1998" i="11"/>
  <c r="N1998" i="11"/>
  <c r="M1998" i="11"/>
  <c r="L1998" i="11"/>
  <c r="K1998" i="11"/>
  <c r="J1998" i="11"/>
  <c r="I1998" i="11"/>
  <c r="AE1998" i="11"/>
  <c r="AC1997" i="11"/>
  <c r="Z1997" i="11"/>
  <c r="Y1997" i="11"/>
  <c r="X1997" i="11"/>
  <c r="W1997" i="11"/>
  <c r="V1997" i="11"/>
  <c r="U1997" i="11"/>
  <c r="T1997" i="11"/>
  <c r="S1997" i="11"/>
  <c r="R1997" i="11"/>
  <c r="P1997" i="11"/>
  <c r="N1997" i="11"/>
  <c r="M1997" i="11"/>
  <c r="L1997" i="11"/>
  <c r="K1997" i="11"/>
  <c r="J1997" i="11"/>
  <c r="I1997" i="11"/>
  <c r="O1997" i="11"/>
  <c r="AE1997" i="11"/>
  <c r="AC1996" i="11"/>
  <c r="Z1996" i="11"/>
  <c r="Y1996" i="11"/>
  <c r="V1996" i="11"/>
  <c r="AE1996" i="11"/>
  <c r="T1996" i="11"/>
  <c r="S1996" i="11"/>
  <c r="R1996" i="11"/>
  <c r="P1996" i="11"/>
  <c r="O1996" i="11"/>
  <c r="N1996" i="11"/>
  <c r="U1996" i="11"/>
  <c r="L1996" i="11"/>
  <c r="K1996" i="11"/>
  <c r="J1996" i="11"/>
  <c r="I1996" i="11"/>
  <c r="X1996" i="11"/>
  <c r="W1996" i="11"/>
  <c r="M1996" i="11"/>
  <c r="M1995" i="11"/>
  <c r="N1995" i="11"/>
  <c r="O1995" i="11"/>
  <c r="P1995" i="11"/>
  <c r="R1995" i="11"/>
  <c r="S1995" i="11"/>
  <c r="T1995" i="11"/>
  <c r="U1995" i="11"/>
  <c r="V1995" i="11"/>
  <c r="W1995" i="11"/>
  <c r="X1995" i="11"/>
  <c r="Y1995" i="11"/>
  <c r="Z1995" i="11"/>
  <c r="AC1995" i="11"/>
  <c r="AE1995" i="11"/>
  <c r="I1995" i="11"/>
  <c r="J1995" i="11"/>
  <c r="K1995" i="11"/>
  <c r="L1995" i="11"/>
  <c r="V1994" i="11"/>
  <c r="T1994" i="11"/>
  <c r="U1994" i="11"/>
  <c r="K1994" i="11"/>
  <c r="R1994" i="11"/>
  <c r="S1994" i="11"/>
  <c r="W1994" i="11"/>
  <c r="X1994" i="11"/>
  <c r="Y1994" i="11"/>
  <c r="Z1994" i="11"/>
  <c r="AC1994" i="11"/>
  <c r="AE1994" i="11"/>
  <c r="P1994" i="11"/>
  <c r="O1994" i="11"/>
  <c r="N1994" i="11"/>
  <c r="M1994" i="11"/>
  <c r="L1994" i="11"/>
  <c r="J1994" i="11"/>
  <c r="I1994" i="11"/>
  <c r="R1993" i="11"/>
  <c r="Z1993" i="11"/>
  <c r="P1993" i="11"/>
  <c r="Y1993" i="11"/>
  <c r="X1993" i="11"/>
  <c r="W1993" i="11"/>
  <c r="AE1993" i="11"/>
  <c r="V1993" i="11"/>
  <c r="U1993" i="11"/>
  <c r="T1993" i="11"/>
  <c r="I1993" i="11"/>
  <c r="S1993" i="11"/>
  <c r="AC1993" i="11"/>
  <c r="N1993" i="11"/>
  <c r="M1993" i="11"/>
  <c r="L1993" i="11"/>
  <c r="K1993" i="11"/>
  <c r="J1993" i="11"/>
  <c r="O1993" i="11"/>
  <c r="R1992" i="11"/>
  <c r="U1992" i="11"/>
  <c r="V1992" i="11"/>
  <c r="W1992" i="11"/>
  <c r="X1992" i="11"/>
  <c r="Y1992" i="11"/>
  <c r="Z1992" i="11"/>
  <c r="AC1992" i="11"/>
  <c r="AE1992" i="11"/>
  <c r="L1992" i="11"/>
  <c r="T1992" i="11"/>
  <c r="K1992" i="11"/>
  <c r="J1992" i="11"/>
  <c r="I1992" i="11"/>
  <c r="M1992" i="11"/>
  <c r="N1992" i="11"/>
  <c r="O1992" i="11"/>
  <c r="P1992" i="11"/>
  <c r="S1992" i="11"/>
  <c r="X1991" i="11"/>
  <c r="Y1991" i="11"/>
  <c r="Z1991" i="11"/>
  <c r="AC1991" i="11"/>
  <c r="AE1991" i="11"/>
  <c r="I1991" i="11"/>
  <c r="M1991" i="11"/>
  <c r="S1991" i="11"/>
  <c r="N1991" i="11"/>
  <c r="J1991" i="11"/>
  <c r="O1991" i="11"/>
  <c r="P1991" i="11"/>
  <c r="R1991" i="11"/>
  <c r="L1991" i="11"/>
  <c r="T1991" i="11"/>
  <c r="U1991" i="11"/>
  <c r="V1991" i="11"/>
  <c r="W1991" i="11"/>
  <c r="K1991" i="11"/>
  <c r="T1990" i="11"/>
  <c r="R1990" i="11"/>
  <c r="P1990" i="11"/>
  <c r="O1990" i="11"/>
  <c r="N1990" i="11"/>
  <c r="M1990" i="11"/>
  <c r="L1990" i="11"/>
  <c r="K1990" i="11"/>
  <c r="J1990" i="11"/>
  <c r="I1990" i="11"/>
  <c r="S1990" i="11"/>
  <c r="AE1990" i="11"/>
  <c r="AC1990" i="11"/>
  <c r="Z1990" i="11"/>
  <c r="Y1990" i="11"/>
  <c r="X1990" i="11"/>
  <c r="W1990" i="11"/>
  <c r="V1990" i="11"/>
  <c r="U1990" i="11"/>
  <c r="AE1989" i="11"/>
  <c r="Y1989" i="11"/>
  <c r="Z1989" i="11"/>
  <c r="AC1989" i="11"/>
  <c r="P1989" i="11"/>
  <c r="X1989" i="11"/>
  <c r="W1989" i="11"/>
  <c r="V1989" i="11"/>
  <c r="U1989" i="11"/>
  <c r="T1989" i="11"/>
  <c r="S1989" i="11"/>
  <c r="R1989" i="11"/>
  <c r="O1989" i="11"/>
  <c r="N1989" i="11"/>
  <c r="M1989" i="11"/>
  <c r="L1989" i="11"/>
  <c r="K1989" i="11"/>
  <c r="J1989" i="11"/>
  <c r="I1989" i="11"/>
  <c r="V1988" i="11"/>
  <c r="R1988" i="11"/>
  <c r="T1988" i="11"/>
  <c r="U1988" i="11"/>
  <c r="M1988" i="11"/>
  <c r="I1988" i="11"/>
  <c r="J1988" i="11"/>
  <c r="K1988" i="11"/>
  <c r="L1988" i="11"/>
  <c r="W1988" i="11"/>
  <c r="S1988" i="11"/>
  <c r="Z1988" i="11"/>
  <c r="AE1988" i="11"/>
  <c r="Y1988" i="11"/>
  <c r="AC1988" i="11"/>
  <c r="O1988" i="11"/>
  <c r="X1988" i="11"/>
  <c r="P1988" i="11"/>
  <c r="N1988" i="11"/>
  <c r="S1987" i="11"/>
  <c r="AE1987" i="11"/>
  <c r="U1987" i="11"/>
  <c r="AC1987" i="11"/>
  <c r="Z1987" i="11"/>
  <c r="Y1987" i="11"/>
  <c r="X1987" i="11"/>
  <c r="W1987" i="11"/>
  <c r="V1987" i="11"/>
  <c r="J1987" i="11"/>
  <c r="T1987" i="11"/>
  <c r="R1987" i="11"/>
  <c r="P1987" i="11"/>
  <c r="O1987" i="11"/>
  <c r="N1987" i="11"/>
  <c r="M1987" i="11"/>
  <c r="L1987" i="11"/>
  <c r="K1987" i="11"/>
  <c r="I1987" i="11"/>
  <c r="K1986" i="11"/>
  <c r="J1986" i="11"/>
  <c r="X1986" i="11"/>
  <c r="Y1986" i="11"/>
  <c r="Z1986" i="11"/>
  <c r="AC1986" i="11"/>
  <c r="U1986" i="11"/>
  <c r="AE1986" i="11"/>
  <c r="I1986" i="11"/>
  <c r="S1986" i="11"/>
  <c r="R1986" i="11"/>
  <c r="P1986" i="11"/>
  <c r="O1986" i="11"/>
  <c r="V1986" i="11"/>
  <c r="W1986" i="11"/>
  <c r="N1986" i="11"/>
  <c r="M1986" i="11"/>
  <c r="T1986" i="11"/>
  <c r="L1986" i="11"/>
  <c r="X1985" i="11"/>
  <c r="I1985" i="11"/>
  <c r="J1985" i="11"/>
  <c r="K1985" i="11"/>
  <c r="L1985" i="11"/>
  <c r="M1985" i="11"/>
  <c r="N1985" i="11"/>
  <c r="O1985" i="11"/>
  <c r="P1985" i="11"/>
  <c r="R1985" i="11"/>
  <c r="S1985" i="11"/>
  <c r="T1985" i="11"/>
  <c r="U1985" i="11"/>
  <c r="V1985" i="11"/>
  <c r="W1985" i="11"/>
  <c r="Y1985" i="11"/>
  <c r="Z1985" i="11"/>
  <c r="AC1985" i="11"/>
  <c r="AE1985" i="11"/>
  <c r="J1984" i="11"/>
  <c r="I1984" i="11"/>
  <c r="S1984" i="11"/>
  <c r="T1984" i="11"/>
  <c r="Z1984" i="11"/>
  <c r="L1984" i="11"/>
  <c r="M1984" i="11"/>
  <c r="N1984" i="11"/>
  <c r="O1984" i="11"/>
  <c r="U1984" i="11"/>
  <c r="K1984" i="11"/>
  <c r="V1984" i="11"/>
  <c r="W1984" i="11"/>
  <c r="X1984" i="11"/>
  <c r="Y1984" i="11"/>
  <c r="P1984" i="11"/>
  <c r="AC1984" i="11"/>
  <c r="AE1984" i="11"/>
  <c r="R1984" i="11"/>
  <c r="AE1983" i="11"/>
  <c r="AC1983" i="11"/>
  <c r="Z1983" i="11"/>
  <c r="Y1983" i="11"/>
  <c r="X1983" i="11"/>
  <c r="W1983" i="11"/>
  <c r="V1983" i="11"/>
  <c r="T1983" i="11"/>
  <c r="S1983" i="11"/>
  <c r="R1983" i="11"/>
  <c r="P1983" i="11"/>
  <c r="O1983" i="11"/>
  <c r="N1983" i="11"/>
  <c r="M1983" i="11"/>
  <c r="L1983" i="11"/>
  <c r="K1983" i="11"/>
  <c r="J1983" i="11"/>
  <c r="I1983" i="11"/>
  <c r="U1983" i="11"/>
  <c r="AE1982" i="11"/>
  <c r="I1982" i="11"/>
  <c r="K1982" i="11"/>
  <c r="L1982" i="11"/>
  <c r="M1982" i="11"/>
  <c r="N1982" i="11"/>
  <c r="O1982" i="11"/>
  <c r="P1982" i="11"/>
  <c r="R1982" i="11"/>
  <c r="S1982" i="11"/>
  <c r="J1982" i="11"/>
  <c r="T1982" i="11"/>
  <c r="U1982" i="11"/>
  <c r="V1982" i="11"/>
  <c r="W1982" i="11"/>
  <c r="X1982" i="11"/>
  <c r="Y1982" i="11"/>
  <c r="Z1982" i="11"/>
  <c r="AC1982" i="11"/>
  <c r="J1981" i="11"/>
  <c r="I1981" i="11"/>
  <c r="AE1981" i="11"/>
  <c r="AC1981" i="11"/>
  <c r="Z1981" i="11"/>
  <c r="Y1981" i="11"/>
  <c r="X1981" i="11"/>
  <c r="W1981" i="11"/>
  <c r="V1981" i="11"/>
  <c r="U1981" i="11"/>
  <c r="T1981" i="11"/>
  <c r="S1981" i="11"/>
  <c r="R1981" i="11"/>
  <c r="P1981" i="11"/>
  <c r="O1981" i="11"/>
  <c r="N1981" i="11"/>
  <c r="M1981" i="11"/>
  <c r="L1981" i="11"/>
  <c r="K1981" i="11"/>
  <c r="X1980" i="11"/>
  <c r="V1980" i="11"/>
  <c r="U1980" i="11"/>
  <c r="T1980" i="11"/>
  <c r="S1980" i="11"/>
  <c r="R1980" i="11"/>
  <c r="P1980" i="11"/>
  <c r="O1980" i="11"/>
  <c r="N1980" i="11"/>
  <c r="M1980" i="11"/>
  <c r="W1980" i="11"/>
  <c r="AE1980" i="11"/>
  <c r="AC1980" i="11"/>
  <c r="Z1980" i="11"/>
  <c r="Y1980" i="11"/>
  <c r="L1980" i="11"/>
  <c r="K1980" i="11"/>
  <c r="J1980" i="11"/>
  <c r="I1980" i="11"/>
  <c r="X1979" i="11"/>
  <c r="M1979" i="11"/>
  <c r="N1979" i="11"/>
  <c r="O1979" i="11"/>
  <c r="V1979" i="11"/>
  <c r="U1979" i="11"/>
  <c r="T1979" i="11"/>
  <c r="S1979" i="11"/>
  <c r="R1979" i="11"/>
  <c r="AE1979" i="11"/>
  <c r="P1979" i="11"/>
  <c r="AC1979" i="11"/>
  <c r="Z1979" i="11"/>
  <c r="W1979" i="11"/>
  <c r="Y1979" i="11"/>
  <c r="I1979" i="11"/>
  <c r="J1979" i="11"/>
  <c r="K1979" i="11"/>
  <c r="L1979" i="11"/>
  <c r="P1978" i="11"/>
  <c r="R1978" i="11"/>
  <c r="S1978" i="11"/>
  <c r="T1978" i="11"/>
  <c r="U1978" i="11"/>
  <c r="V1978" i="11"/>
  <c r="W1978" i="11"/>
  <c r="X1978" i="11"/>
  <c r="Y1978" i="11"/>
  <c r="Z1978" i="11"/>
  <c r="AC1978" i="11"/>
  <c r="AE1978" i="11"/>
  <c r="O1978" i="11"/>
  <c r="N1978" i="11"/>
  <c r="M1978" i="11"/>
  <c r="L1978" i="11"/>
  <c r="K1978" i="11"/>
  <c r="J1978" i="11"/>
  <c r="I1978" i="11"/>
  <c r="O1977" i="11"/>
  <c r="I1977" i="11"/>
  <c r="V1977" i="11"/>
  <c r="N1977" i="11"/>
  <c r="M1977" i="11"/>
  <c r="L1977" i="11"/>
  <c r="K1977" i="11"/>
  <c r="J1977" i="11"/>
  <c r="AE1977" i="11"/>
  <c r="AC1977" i="11"/>
  <c r="Z1977" i="11"/>
  <c r="Y1977" i="11"/>
  <c r="X1977" i="11"/>
  <c r="W1977" i="11"/>
  <c r="U1977" i="11"/>
  <c r="T1977" i="11"/>
  <c r="S1977" i="11"/>
  <c r="R1977" i="11"/>
  <c r="P1977" i="11"/>
  <c r="AE1976" i="11"/>
  <c r="I1976" i="11"/>
  <c r="J1976" i="11"/>
  <c r="K1976" i="11"/>
  <c r="L1976" i="11"/>
  <c r="M1976" i="11"/>
  <c r="N1976" i="11"/>
  <c r="O1976" i="11"/>
  <c r="P1976" i="11"/>
  <c r="R1976" i="11"/>
  <c r="S1976" i="11"/>
  <c r="T1976" i="11"/>
  <c r="U1976" i="11"/>
  <c r="V1976" i="11"/>
  <c r="W1976" i="11"/>
  <c r="X1976" i="11"/>
  <c r="Y1976" i="11"/>
  <c r="Z1976" i="11"/>
  <c r="AC1976" i="11"/>
  <c r="U1975" i="11"/>
  <c r="V1975" i="11"/>
  <c r="W1975" i="11"/>
  <c r="X1975" i="11"/>
  <c r="Y1975" i="11"/>
  <c r="Z1975" i="11"/>
  <c r="AC1975" i="11"/>
  <c r="AE1975" i="11"/>
  <c r="N1975" i="11"/>
  <c r="I1975" i="11"/>
  <c r="J1975" i="11"/>
  <c r="K1975" i="11"/>
  <c r="L1975" i="11"/>
  <c r="M1975" i="11"/>
  <c r="O1975" i="11"/>
  <c r="P1975" i="11"/>
  <c r="R1975" i="11"/>
  <c r="S1975" i="11"/>
  <c r="T1975" i="11"/>
  <c r="T1974" i="11"/>
  <c r="AC1974" i="11"/>
  <c r="U1974" i="11"/>
  <c r="X1974" i="11"/>
  <c r="Y1974" i="11"/>
  <c r="W1974" i="11"/>
  <c r="V1974" i="11"/>
  <c r="Z1974" i="11"/>
  <c r="R1974" i="11"/>
  <c r="P1974" i="11"/>
  <c r="O1974" i="11"/>
  <c r="N1974" i="11"/>
  <c r="M1974" i="11"/>
  <c r="AE1974" i="11"/>
  <c r="L1974" i="11"/>
  <c r="K1974" i="11"/>
  <c r="J1974" i="11"/>
  <c r="I1974" i="11"/>
  <c r="S1974" i="11"/>
  <c r="V1973" i="11"/>
  <c r="U1973" i="11"/>
  <c r="T1973" i="11"/>
  <c r="S1973" i="11"/>
  <c r="I1973" i="11"/>
  <c r="P1973" i="11"/>
  <c r="O1973" i="11"/>
  <c r="R1973" i="11"/>
  <c r="N1973" i="11"/>
  <c r="M1973" i="11"/>
  <c r="L1973" i="11"/>
  <c r="K1973" i="11"/>
  <c r="J1973" i="11"/>
  <c r="AE1973" i="11"/>
  <c r="AC1973" i="11"/>
  <c r="Z1973" i="11"/>
  <c r="Y1973" i="11"/>
  <c r="X1973" i="11"/>
  <c r="W1973" i="11"/>
  <c r="N1972" i="11"/>
  <c r="O1972" i="11"/>
  <c r="R1972" i="11"/>
  <c r="S1972" i="11"/>
  <c r="T1972" i="11"/>
  <c r="U1972" i="11"/>
  <c r="V1972" i="11"/>
  <c r="W1972" i="11"/>
  <c r="X1972" i="11"/>
  <c r="Y1972" i="11"/>
  <c r="Z1972" i="11"/>
  <c r="AC1972" i="11"/>
  <c r="AE1972" i="11"/>
  <c r="P1972" i="11"/>
  <c r="I1972" i="11"/>
  <c r="J1972" i="11"/>
  <c r="K1972" i="11"/>
  <c r="L1972" i="11"/>
  <c r="M1972" i="11"/>
  <c r="AE1971" i="11"/>
  <c r="W1971" i="11"/>
  <c r="V1971" i="11"/>
  <c r="I1971" i="11"/>
  <c r="J1971" i="11"/>
  <c r="U1971" i="11"/>
  <c r="K1971" i="11"/>
  <c r="S1971" i="11"/>
  <c r="R1971" i="11"/>
  <c r="P1971" i="11"/>
  <c r="O1971" i="11"/>
  <c r="N1971" i="11"/>
  <c r="M1971" i="11"/>
  <c r="L1971" i="11"/>
  <c r="T1971" i="11"/>
  <c r="AC1971" i="11"/>
  <c r="Z1971" i="11"/>
  <c r="Y1971" i="11"/>
  <c r="X1971" i="11"/>
  <c r="K1970" i="11"/>
  <c r="L1970" i="11"/>
  <c r="W1970" i="11"/>
  <c r="U1970" i="11"/>
  <c r="T1970" i="11"/>
  <c r="S1970" i="11"/>
  <c r="R1970" i="11"/>
  <c r="P1970" i="11"/>
  <c r="O1970" i="11"/>
  <c r="N1970" i="11"/>
  <c r="V1970" i="11"/>
  <c r="AE1970" i="11"/>
  <c r="AC1970" i="11"/>
  <c r="Z1970" i="11"/>
  <c r="Y1970" i="11"/>
  <c r="X1970" i="11"/>
  <c r="M1970" i="11"/>
  <c r="I1970" i="11"/>
  <c r="J1970" i="11"/>
  <c r="R1969" i="11"/>
  <c r="S1969" i="11"/>
  <c r="AE1969" i="11"/>
  <c r="V1969" i="11"/>
  <c r="T1969" i="11"/>
  <c r="U1969" i="11"/>
  <c r="X1969" i="11"/>
  <c r="Z1969" i="11"/>
  <c r="AC1969" i="11"/>
  <c r="P1969" i="11"/>
  <c r="O1969" i="11"/>
  <c r="W1969" i="11"/>
  <c r="L1969" i="11"/>
  <c r="K1969" i="11"/>
  <c r="J1969" i="11"/>
  <c r="I1969" i="11"/>
  <c r="M1969" i="11"/>
  <c r="Y1969" i="11"/>
  <c r="N1969" i="11"/>
  <c r="AC1968" i="11"/>
  <c r="Z1968" i="11"/>
  <c r="Y1968" i="11"/>
  <c r="X1968" i="11"/>
  <c r="W1968" i="11"/>
  <c r="V1968" i="11"/>
  <c r="U1968" i="11"/>
  <c r="T1968" i="11"/>
  <c r="S1968" i="11"/>
  <c r="R1968" i="11"/>
  <c r="P1968" i="11"/>
  <c r="O1968" i="11"/>
  <c r="N1968" i="11"/>
  <c r="M1968" i="11"/>
  <c r="L1968" i="11"/>
  <c r="K1968" i="11"/>
  <c r="J1968" i="11"/>
  <c r="I1968" i="11"/>
  <c r="AE1968" i="11"/>
  <c r="L1967" i="11"/>
  <c r="S1967" i="11"/>
  <c r="R1967" i="11"/>
  <c r="I1967" i="11"/>
  <c r="J1967" i="11"/>
  <c r="K1967" i="11"/>
  <c r="M1967" i="11"/>
  <c r="N1967" i="11"/>
  <c r="O1967" i="11"/>
  <c r="AE1967" i="11"/>
  <c r="P1967" i="11"/>
  <c r="AC1967" i="11"/>
  <c r="Z1967" i="11"/>
  <c r="Y1967" i="11"/>
  <c r="X1967" i="11"/>
  <c r="W1967" i="11"/>
  <c r="V1967" i="11"/>
  <c r="U1967" i="11"/>
  <c r="T1967" i="11"/>
  <c r="Y1966" i="11"/>
  <c r="AE1966" i="11"/>
  <c r="AC1966" i="11"/>
  <c r="Z1966" i="11"/>
  <c r="X1966" i="11"/>
  <c r="W1966" i="11"/>
  <c r="V1966" i="11"/>
  <c r="U1966" i="11"/>
  <c r="T1966" i="11"/>
  <c r="S1966" i="11"/>
  <c r="R1966" i="11"/>
  <c r="P1966" i="11"/>
  <c r="O1966" i="11"/>
  <c r="N1966" i="11"/>
  <c r="M1966" i="11"/>
  <c r="L1966" i="11"/>
  <c r="K1966" i="11"/>
  <c r="J1966" i="11"/>
  <c r="I1966" i="11"/>
  <c r="P1965" i="11"/>
  <c r="R1965" i="11"/>
  <c r="O1965" i="11"/>
  <c r="N1965" i="11"/>
  <c r="M1965" i="11"/>
  <c r="L1965" i="11"/>
  <c r="K1965" i="11"/>
  <c r="J1965" i="11"/>
  <c r="I1965" i="11"/>
  <c r="AE1965" i="11"/>
  <c r="AC1965" i="11"/>
  <c r="Z1965" i="11"/>
  <c r="Y1965" i="11"/>
  <c r="X1965" i="11"/>
  <c r="W1965" i="11"/>
  <c r="V1965" i="11"/>
  <c r="U1965" i="11"/>
  <c r="T1965" i="11"/>
  <c r="S1965" i="11"/>
  <c r="AC1964" i="11"/>
  <c r="Z1964" i="11"/>
  <c r="Y1964" i="11"/>
  <c r="X1964" i="11"/>
  <c r="W1964" i="11"/>
  <c r="V1964" i="11"/>
  <c r="U1964" i="11"/>
  <c r="T1964" i="11"/>
  <c r="S1964" i="11"/>
  <c r="R1964" i="11"/>
  <c r="P1964" i="11"/>
  <c r="K1964" i="11"/>
  <c r="L1964" i="11"/>
  <c r="M1964" i="11"/>
  <c r="J1964" i="11"/>
  <c r="N1964" i="11"/>
  <c r="AE1964" i="11"/>
  <c r="O1964" i="11"/>
  <c r="I1964" i="11"/>
  <c r="O1963" i="11"/>
  <c r="P1963" i="11"/>
  <c r="R1963" i="11"/>
  <c r="S1963" i="11"/>
  <c r="T1963" i="11"/>
  <c r="U1963" i="11"/>
  <c r="V1963" i="11"/>
  <c r="W1963" i="11"/>
  <c r="X1963" i="11"/>
  <c r="Y1963" i="11"/>
  <c r="Z1963" i="11"/>
  <c r="AC1963" i="11"/>
  <c r="AE1963" i="11"/>
  <c r="K1963" i="11"/>
  <c r="I1963" i="11"/>
  <c r="J1963" i="11"/>
  <c r="L1963" i="11"/>
  <c r="M1963" i="11"/>
  <c r="N1963" i="11"/>
  <c r="V1962" i="11"/>
  <c r="W1962" i="11"/>
  <c r="X1962" i="11"/>
  <c r="Y1962" i="11"/>
  <c r="Z1962" i="11"/>
  <c r="AC1962" i="11"/>
  <c r="AE1962" i="11"/>
  <c r="I1962" i="11"/>
  <c r="J1962" i="11"/>
  <c r="K1962" i="11"/>
  <c r="L1962" i="11"/>
  <c r="M1962" i="11"/>
  <c r="N1962" i="11"/>
  <c r="O1962" i="11"/>
  <c r="P1962" i="11"/>
  <c r="R1962" i="11"/>
  <c r="S1962" i="11"/>
  <c r="T1962" i="11"/>
  <c r="U1962" i="11"/>
  <c r="X1961" i="11"/>
  <c r="Y1961" i="11"/>
  <c r="Z1961" i="11"/>
  <c r="AC1961" i="11"/>
  <c r="I1961" i="11"/>
  <c r="AE1961" i="11"/>
  <c r="J1961" i="11"/>
  <c r="K1961" i="11"/>
  <c r="L1961" i="11"/>
  <c r="M1961" i="11"/>
  <c r="N1961" i="11"/>
  <c r="O1961" i="11"/>
  <c r="P1961" i="11"/>
  <c r="R1961" i="11"/>
  <c r="S1961" i="11"/>
  <c r="T1961" i="11"/>
  <c r="U1961" i="11"/>
  <c r="V1961" i="11"/>
  <c r="W1961" i="11"/>
  <c r="X1960" i="11"/>
  <c r="Y1960" i="11"/>
  <c r="Z1960" i="11"/>
  <c r="AC1960" i="11"/>
  <c r="AE1960" i="11"/>
  <c r="J1960" i="11"/>
  <c r="S1960" i="11"/>
  <c r="K1960" i="11"/>
  <c r="L1960" i="11"/>
  <c r="V1960" i="11"/>
  <c r="R1960" i="11"/>
  <c r="T1960" i="11"/>
  <c r="W1960" i="11"/>
  <c r="N1960" i="11"/>
  <c r="U1960" i="11"/>
  <c r="M1960" i="11"/>
  <c r="P1960" i="11"/>
  <c r="O1960" i="11"/>
  <c r="I1960" i="11"/>
  <c r="T1959" i="11"/>
  <c r="X1959" i="11"/>
  <c r="W1959" i="11"/>
  <c r="U1959" i="11"/>
  <c r="S1959" i="11"/>
  <c r="V1959" i="11"/>
  <c r="R1959" i="11"/>
  <c r="P1959" i="11"/>
  <c r="O1959" i="11"/>
  <c r="N1959" i="11"/>
  <c r="M1959" i="11"/>
  <c r="Z1959" i="11"/>
  <c r="Y1959" i="11"/>
  <c r="AC1959" i="11"/>
  <c r="AE1959" i="11"/>
  <c r="L1959" i="11"/>
  <c r="K1959" i="11"/>
  <c r="J1959" i="11"/>
  <c r="I1959" i="11"/>
  <c r="S1958" i="11"/>
  <c r="J1958" i="11"/>
  <c r="I1958" i="11"/>
  <c r="AE1958" i="11"/>
  <c r="AC1958" i="11"/>
  <c r="Z1958" i="11"/>
  <c r="Y1958" i="11"/>
  <c r="X1958" i="11"/>
  <c r="W1958" i="11"/>
  <c r="V1958" i="11"/>
  <c r="U1958" i="11"/>
  <c r="T1958" i="11"/>
  <c r="R1958" i="11"/>
  <c r="P1958" i="11"/>
  <c r="N1958" i="11"/>
  <c r="M1958" i="11"/>
  <c r="L1958" i="11"/>
  <c r="K1958" i="11"/>
  <c r="O1958" i="11"/>
  <c r="Z1957" i="11"/>
  <c r="S1957" i="11"/>
  <c r="T1957" i="11"/>
  <c r="U1957" i="11"/>
  <c r="V1957" i="11"/>
  <c r="W1957" i="11"/>
  <c r="Y1957" i="11"/>
  <c r="X1957" i="11"/>
  <c r="AE1957" i="11"/>
  <c r="AC1957" i="11"/>
  <c r="I1957" i="11"/>
  <c r="J1957" i="11"/>
  <c r="K1957" i="11"/>
  <c r="L1957" i="11"/>
  <c r="M1957" i="11"/>
  <c r="N1957" i="11"/>
  <c r="O1957" i="11"/>
  <c r="P1957" i="11"/>
  <c r="R1957" i="11"/>
  <c r="O1956" i="11"/>
  <c r="N1956" i="11"/>
  <c r="L1956" i="11"/>
  <c r="K1956" i="11"/>
  <c r="J1956" i="11"/>
  <c r="I1956" i="11"/>
  <c r="AE1956" i="11"/>
  <c r="Y1956" i="11"/>
  <c r="Z1956" i="11"/>
  <c r="M1956" i="11"/>
  <c r="AC1956" i="11"/>
  <c r="X1956" i="11"/>
  <c r="W1956" i="11"/>
  <c r="V1956" i="11"/>
  <c r="U1956" i="11"/>
  <c r="T1956" i="11"/>
  <c r="S1956" i="11"/>
  <c r="R1956" i="11"/>
  <c r="P1956" i="11"/>
  <c r="L1955" i="11"/>
  <c r="Y1955" i="11"/>
  <c r="Z1955" i="11"/>
  <c r="AC1955" i="11"/>
  <c r="AE1955" i="11"/>
  <c r="X1955" i="11"/>
  <c r="M1955" i="11"/>
  <c r="I1955" i="11"/>
  <c r="J1955" i="11"/>
  <c r="K1955" i="11"/>
  <c r="N1955" i="11"/>
  <c r="O1955" i="11"/>
  <c r="P1955" i="11"/>
  <c r="R1955" i="11"/>
  <c r="S1955" i="11"/>
  <c r="T1955" i="11"/>
  <c r="U1955" i="11"/>
  <c r="V1955" i="11"/>
  <c r="W1955" i="11"/>
  <c r="M1954" i="11"/>
  <c r="O1954" i="11"/>
  <c r="N1954" i="11"/>
  <c r="L1954" i="11"/>
  <c r="K1954" i="11"/>
  <c r="AE1954" i="11"/>
  <c r="I1954" i="11"/>
  <c r="J1954" i="11"/>
  <c r="AC1954" i="11"/>
  <c r="Z1954" i="11"/>
  <c r="Y1954" i="11"/>
  <c r="X1954" i="11"/>
  <c r="W1954" i="11"/>
  <c r="V1954" i="11"/>
  <c r="U1954" i="11"/>
  <c r="T1954" i="11"/>
  <c r="S1954" i="11"/>
  <c r="R1954" i="11"/>
  <c r="P1954" i="11"/>
  <c r="Y1953" i="11"/>
  <c r="Z1953" i="11"/>
  <c r="AC1953" i="11"/>
  <c r="AE1953" i="11"/>
  <c r="I1953" i="11"/>
  <c r="X1953" i="11"/>
  <c r="K1953" i="11"/>
  <c r="L1953" i="11"/>
  <c r="J1953" i="11"/>
  <c r="N1953" i="11"/>
  <c r="O1953" i="11"/>
  <c r="P1953" i="11"/>
  <c r="R1953" i="11"/>
  <c r="S1953" i="11"/>
  <c r="T1953" i="11"/>
  <c r="U1953" i="11"/>
  <c r="V1953" i="11"/>
  <c r="W1953" i="11"/>
  <c r="M1953" i="11"/>
  <c r="X1952" i="11"/>
  <c r="I1952" i="11"/>
  <c r="J1952" i="11"/>
  <c r="K1952" i="11"/>
  <c r="L1952" i="11"/>
  <c r="M1952" i="11"/>
  <c r="N1952" i="11"/>
  <c r="O1952" i="11"/>
  <c r="P1952" i="11"/>
  <c r="R1952" i="11"/>
  <c r="S1952" i="11"/>
  <c r="T1952" i="11"/>
  <c r="U1952" i="11"/>
  <c r="V1952" i="11"/>
  <c r="W1952" i="11"/>
  <c r="Y1952" i="11"/>
  <c r="Z1952" i="11"/>
  <c r="AC1952" i="11"/>
  <c r="AE1952" i="11"/>
  <c r="K1951" i="11"/>
  <c r="J1951" i="11"/>
  <c r="I1951" i="11"/>
  <c r="AE1951" i="11"/>
  <c r="X1951" i="11"/>
  <c r="L1951" i="11"/>
  <c r="W1951" i="11"/>
  <c r="M1951" i="11"/>
  <c r="Y1951" i="11"/>
  <c r="Z1951" i="11"/>
  <c r="AC1951" i="11"/>
  <c r="V1951" i="11"/>
  <c r="N1951" i="11"/>
  <c r="O1951" i="11"/>
  <c r="P1951" i="11"/>
  <c r="R1951" i="11"/>
  <c r="S1951" i="11"/>
  <c r="T1951" i="11"/>
  <c r="U1951" i="11"/>
  <c r="T1950" i="11"/>
  <c r="S1950" i="11"/>
  <c r="R1950" i="11"/>
  <c r="P1950" i="11"/>
  <c r="O1950" i="11"/>
  <c r="N1950" i="11"/>
  <c r="L1950" i="11"/>
  <c r="K1950" i="11"/>
  <c r="J1950" i="11"/>
  <c r="I1950" i="11"/>
  <c r="Y1950" i="11"/>
  <c r="M1950" i="11"/>
  <c r="AE1950" i="11"/>
  <c r="AC1950" i="11"/>
  <c r="Z1950" i="11"/>
  <c r="X1950" i="11"/>
  <c r="W1950" i="11"/>
  <c r="V1950" i="11"/>
  <c r="U1950" i="11"/>
  <c r="J1949" i="11"/>
  <c r="I1949" i="11"/>
  <c r="V1949" i="11"/>
  <c r="T1949" i="11"/>
  <c r="W1949" i="11"/>
  <c r="X1949" i="11"/>
  <c r="Y1949" i="11"/>
  <c r="Z1949" i="11"/>
  <c r="AC1949" i="11"/>
  <c r="AE1949" i="11"/>
  <c r="S1949" i="11"/>
  <c r="U1949" i="11"/>
  <c r="R1949" i="11"/>
  <c r="P1949" i="11"/>
  <c r="O1949" i="11"/>
  <c r="N1949" i="11"/>
  <c r="M1949" i="11"/>
  <c r="L1949" i="11"/>
  <c r="K1949" i="11"/>
  <c r="I1948" i="11"/>
  <c r="AE1948" i="11"/>
  <c r="AC1948" i="11"/>
  <c r="Z1948" i="11"/>
  <c r="Y1948" i="11"/>
  <c r="X1948" i="11"/>
  <c r="W1948" i="11"/>
  <c r="V1948" i="11"/>
  <c r="U1948" i="11"/>
  <c r="T1948" i="11"/>
  <c r="S1948" i="11"/>
  <c r="R1948" i="11"/>
  <c r="P1948" i="11"/>
  <c r="O1948" i="11"/>
  <c r="N1948" i="11"/>
  <c r="L1948" i="11"/>
  <c r="K1948" i="11"/>
  <c r="J1948" i="11"/>
  <c r="M1948" i="11"/>
  <c r="Z1947" i="11"/>
  <c r="Y1947" i="11"/>
  <c r="L1947" i="11"/>
  <c r="AE1947" i="11"/>
  <c r="K1947" i="11"/>
  <c r="J1947" i="11"/>
  <c r="I1947" i="11"/>
  <c r="X1947" i="11"/>
  <c r="AC1947" i="11"/>
  <c r="M1947" i="11"/>
  <c r="N1947" i="11"/>
  <c r="O1947" i="11"/>
  <c r="P1947" i="11"/>
  <c r="R1947" i="11"/>
  <c r="S1947" i="11"/>
  <c r="T1947" i="11"/>
  <c r="U1947" i="11"/>
  <c r="V1947" i="11"/>
  <c r="W1947" i="11"/>
  <c r="R1946" i="11"/>
  <c r="S1946" i="11"/>
  <c r="T1946" i="11"/>
  <c r="V1946" i="11"/>
  <c r="W1946" i="11"/>
  <c r="Y1946" i="11"/>
  <c r="Z1946" i="11"/>
  <c r="AC1946" i="11"/>
  <c r="AE1946" i="11"/>
  <c r="U1946" i="11"/>
  <c r="X1946" i="11"/>
  <c r="I1946" i="11"/>
  <c r="J1946" i="11"/>
  <c r="K1946" i="11"/>
  <c r="L1946" i="11"/>
  <c r="M1946" i="11"/>
  <c r="N1946" i="11"/>
  <c r="O1946" i="11"/>
  <c r="P1946" i="11"/>
  <c r="O1945" i="11"/>
  <c r="P1945" i="11"/>
  <c r="R1945" i="11"/>
  <c r="S1945" i="11"/>
  <c r="T1945" i="11"/>
  <c r="U1945" i="11"/>
  <c r="V1945" i="11"/>
  <c r="W1945" i="11"/>
  <c r="M1945" i="11"/>
  <c r="Y1945" i="11"/>
  <c r="Z1945" i="11"/>
  <c r="AC1945" i="11"/>
  <c r="AE1945" i="11"/>
  <c r="L1945" i="11"/>
  <c r="K1945" i="11"/>
  <c r="J1945" i="11"/>
  <c r="I1945" i="11"/>
  <c r="N1945" i="11"/>
  <c r="X1945" i="11"/>
  <c r="X1944" i="11"/>
  <c r="Y1944" i="11"/>
  <c r="I1944" i="11"/>
  <c r="J1944" i="11"/>
  <c r="K1944" i="11"/>
  <c r="M1944" i="11"/>
  <c r="L1944" i="11"/>
  <c r="Z1944" i="11"/>
  <c r="AC1944" i="11"/>
  <c r="AE1944" i="11"/>
  <c r="N1944" i="11"/>
  <c r="O1944" i="11"/>
  <c r="P1944" i="11"/>
  <c r="R1944" i="11"/>
  <c r="S1944" i="11"/>
  <c r="T1944" i="11"/>
  <c r="U1944" i="11"/>
  <c r="V1944" i="11"/>
  <c r="W1944" i="11"/>
  <c r="S1943" i="11"/>
  <c r="T1943" i="11"/>
  <c r="U1943" i="11"/>
  <c r="V1943" i="11"/>
  <c r="W1943" i="11"/>
  <c r="X1943" i="11"/>
  <c r="Y1943" i="11"/>
  <c r="Z1943" i="11"/>
  <c r="AC1943" i="11"/>
  <c r="K1943" i="11"/>
  <c r="J1943" i="11"/>
  <c r="P1943" i="11"/>
  <c r="I1943" i="11"/>
  <c r="R1943" i="11"/>
  <c r="L1943" i="11"/>
  <c r="M1943" i="11"/>
  <c r="N1943" i="11"/>
  <c r="O1943" i="11"/>
  <c r="AE1943" i="11"/>
  <c r="J1942" i="11"/>
  <c r="K1942" i="11"/>
  <c r="L1942" i="11"/>
  <c r="M1942" i="11"/>
  <c r="N1942" i="11"/>
  <c r="O1942" i="11"/>
  <c r="P1942" i="11"/>
  <c r="R1942" i="11"/>
  <c r="S1942" i="11"/>
  <c r="T1942" i="11"/>
  <c r="U1942" i="11"/>
  <c r="V1942" i="11"/>
  <c r="W1942" i="11"/>
  <c r="X1942" i="11"/>
  <c r="Y1942" i="11"/>
  <c r="Z1942" i="11"/>
  <c r="AC1942" i="11"/>
  <c r="AE1942" i="11"/>
  <c r="I1942" i="11"/>
  <c r="W1941" i="11"/>
  <c r="M1941" i="11"/>
  <c r="N1941" i="11"/>
  <c r="O1941" i="11"/>
  <c r="Z1941" i="11"/>
  <c r="X1941" i="11"/>
  <c r="Y1941" i="11"/>
  <c r="I1941" i="11"/>
  <c r="J1941" i="11"/>
  <c r="K1941" i="11"/>
  <c r="U1941" i="11"/>
  <c r="V1941" i="11"/>
  <c r="T1941" i="11"/>
  <c r="S1941" i="11"/>
  <c r="R1941" i="11"/>
  <c r="P1941" i="11"/>
  <c r="L1941" i="11"/>
  <c r="AE1941" i="11"/>
  <c r="AC1941" i="11"/>
  <c r="AC1940" i="11"/>
  <c r="AE1940" i="11"/>
  <c r="Y1940" i="11"/>
  <c r="X1940" i="11"/>
  <c r="W1940" i="11"/>
  <c r="V1940" i="11"/>
  <c r="U1940" i="11"/>
  <c r="T1940" i="11"/>
  <c r="S1940" i="11"/>
  <c r="R1940" i="11"/>
  <c r="P1940" i="11"/>
  <c r="O1940" i="11"/>
  <c r="N1940" i="11"/>
  <c r="M1940" i="11"/>
  <c r="L1940" i="11"/>
  <c r="K1940" i="11"/>
  <c r="J1940" i="11"/>
  <c r="I1940" i="11"/>
  <c r="Z1940" i="11"/>
  <c r="AE1939" i="11"/>
  <c r="N1939" i="11"/>
  <c r="M1939" i="11"/>
  <c r="L1939" i="11"/>
  <c r="K1939" i="11"/>
  <c r="J1939" i="11"/>
  <c r="I1939" i="11"/>
  <c r="S1939" i="11"/>
  <c r="T1939" i="11"/>
  <c r="O1939" i="11"/>
  <c r="U1939" i="11"/>
  <c r="V1939" i="11"/>
  <c r="W1939" i="11"/>
  <c r="X1939" i="11"/>
  <c r="P1939" i="11"/>
  <c r="Y1939" i="11"/>
  <c r="Z1939" i="11"/>
  <c r="AC1939" i="11"/>
  <c r="R1939" i="11"/>
  <c r="V1938" i="11"/>
  <c r="AE1938" i="11"/>
  <c r="AC1938" i="11"/>
  <c r="Z1938" i="11"/>
  <c r="Y1938" i="11"/>
  <c r="X1938" i="11"/>
  <c r="W1938" i="11"/>
  <c r="U1938" i="11"/>
  <c r="T1938" i="11"/>
  <c r="S1938" i="11"/>
  <c r="R1938" i="11"/>
  <c r="I1938" i="11"/>
  <c r="P1938" i="11"/>
  <c r="N1938" i="11"/>
  <c r="M1938" i="11"/>
  <c r="L1938" i="11"/>
  <c r="K1938" i="11"/>
  <c r="J1938" i="11"/>
  <c r="O1938" i="11"/>
  <c r="N1937" i="11"/>
  <c r="M1937" i="11"/>
  <c r="K1937" i="11"/>
  <c r="J1937" i="11"/>
  <c r="I1937" i="11"/>
  <c r="L1937" i="11"/>
  <c r="AE1937" i="11"/>
  <c r="AC1937" i="11"/>
  <c r="Z1937" i="11"/>
  <c r="Y1937" i="11"/>
  <c r="X1937" i="11"/>
  <c r="W1937" i="11"/>
  <c r="V1937" i="11"/>
  <c r="U1937" i="11"/>
  <c r="T1937" i="11"/>
  <c r="S1937" i="11"/>
  <c r="R1937" i="11"/>
  <c r="P1937" i="11"/>
  <c r="O1937" i="11"/>
  <c r="K1936" i="11"/>
  <c r="P1936" i="11"/>
  <c r="R1936" i="11"/>
  <c r="S1936" i="11"/>
  <c r="T1936" i="11"/>
  <c r="U1936" i="11"/>
  <c r="AE1936" i="11"/>
  <c r="AC1936" i="11"/>
  <c r="Z1936" i="11"/>
  <c r="Y1936" i="11"/>
  <c r="W1936" i="11"/>
  <c r="X1936" i="11"/>
  <c r="I1936" i="11"/>
  <c r="J1936" i="11"/>
  <c r="V1936" i="11"/>
  <c r="L1936" i="11"/>
  <c r="M1936" i="11"/>
  <c r="N1936" i="11"/>
  <c r="O1936" i="11"/>
  <c r="N1935" i="11"/>
  <c r="O1935" i="11"/>
  <c r="P1935" i="11"/>
  <c r="R1935" i="11"/>
  <c r="S1935" i="11"/>
  <c r="AE1935" i="11"/>
  <c r="AC1935" i="11"/>
  <c r="X1935" i="11"/>
  <c r="V1935" i="11"/>
  <c r="W1935" i="11"/>
  <c r="Y1935" i="11"/>
  <c r="T1935" i="11"/>
  <c r="Z1935" i="11"/>
  <c r="I1935" i="11"/>
  <c r="J1935" i="11"/>
  <c r="K1935" i="11"/>
  <c r="L1935" i="11"/>
  <c r="M1935" i="11"/>
  <c r="U1935" i="11"/>
  <c r="AC1934" i="11"/>
  <c r="Z1934" i="11"/>
  <c r="Y1934" i="11"/>
  <c r="X1934" i="11"/>
  <c r="W1934" i="11"/>
  <c r="V1934" i="11"/>
  <c r="U1934" i="11"/>
  <c r="T1934" i="11"/>
  <c r="S1934" i="11"/>
  <c r="R1934" i="11"/>
  <c r="P1934" i="11"/>
  <c r="O1934" i="11"/>
  <c r="AE1934" i="11"/>
  <c r="N1934" i="11"/>
  <c r="M1934" i="11"/>
  <c r="L1934" i="11"/>
  <c r="K1934" i="11"/>
  <c r="J1934" i="11"/>
  <c r="I1934" i="11"/>
  <c r="AC1933" i="11"/>
  <c r="Z1933" i="11"/>
  <c r="Y1933" i="11"/>
  <c r="X1933" i="11"/>
  <c r="W1933" i="11"/>
  <c r="V1933" i="11"/>
  <c r="U1933" i="11"/>
  <c r="P1933" i="11"/>
  <c r="T1933" i="11"/>
  <c r="S1933" i="11"/>
  <c r="R1933" i="11"/>
  <c r="I1933" i="11"/>
  <c r="J1933" i="11"/>
  <c r="K1933" i="11"/>
  <c r="L1933" i="11"/>
  <c r="M1933" i="11"/>
  <c r="N1933" i="11"/>
  <c r="O1933" i="11"/>
  <c r="AE1933" i="11"/>
  <c r="T1932" i="11"/>
  <c r="S1932" i="11"/>
  <c r="R1932" i="11"/>
  <c r="P1932" i="11"/>
  <c r="N1932" i="11"/>
  <c r="M1932" i="11"/>
  <c r="L1932" i="11"/>
  <c r="K1932" i="11"/>
  <c r="J1932" i="11"/>
  <c r="I1932" i="11"/>
  <c r="O1932" i="11"/>
  <c r="AE1932" i="11"/>
  <c r="AC1932" i="11"/>
  <c r="Z1932" i="11"/>
  <c r="Y1932" i="11"/>
  <c r="X1932" i="11"/>
  <c r="W1932" i="11"/>
  <c r="V1932" i="11"/>
  <c r="U1932" i="11"/>
  <c r="S1931" i="11"/>
  <c r="T1931" i="11"/>
  <c r="U1931" i="11"/>
  <c r="P1931" i="11"/>
  <c r="V1931" i="11"/>
  <c r="W1931" i="11"/>
  <c r="X1931" i="11"/>
  <c r="Z1931" i="11"/>
  <c r="AC1931" i="11"/>
  <c r="L1931" i="11"/>
  <c r="K1931" i="11"/>
  <c r="Y1931" i="11"/>
  <c r="J1931" i="11"/>
  <c r="I1931" i="11"/>
  <c r="R1931" i="11"/>
  <c r="O1931" i="11"/>
  <c r="N1931" i="11"/>
  <c r="M1931" i="11"/>
  <c r="AE1931" i="11"/>
  <c r="J1930" i="11"/>
  <c r="I1930" i="11"/>
  <c r="K1930" i="11"/>
  <c r="L1930" i="11"/>
  <c r="N1930" i="11"/>
  <c r="O1930" i="11"/>
  <c r="R1930" i="11"/>
  <c r="V1930" i="11"/>
  <c r="X1930" i="11"/>
  <c r="AC1930" i="11"/>
  <c r="AE1930" i="11"/>
  <c r="J1929" i="11"/>
  <c r="O1929" i="11" s="1"/>
  <c r="K1929" i="11"/>
  <c r="I1929" i="11"/>
  <c r="V1929" i="11"/>
  <c r="AE1929" i="11"/>
  <c r="N1929" i="11"/>
  <c r="AC1929" i="11"/>
  <c r="X1929" i="11"/>
  <c r="AC1928" i="11"/>
  <c r="I1928" i="11"/>
  <c r="R1928" i="11"/>
  <c r="J1928" i="11"/>
  <c r="K1928" i="11"/>
  <c r="L1928" i="11" s="1"/>
  <c r="V1928" i="11"/>
  <c r="K1927" i="11"/>
  <c r="J1927" i="11"/>
  <c r="O1927" i="11" s="1"/>
  <c r="I1927" i="11"/>
  <c r="AC1927" i="11"/>
  <c r="X1927" i="11"/>
  <c r="AE1927" i="11"/>
  <c r="V1927" i="11"/>
  <c r="N1927" i="11"/>
  <c r="K1926" i="11"/>
  <c r="J1926" i="11"/>
  <c r="I1926" i="11"/>
  <c r="L1926" i="11" s="1"/>
  <c r="R1926" i="11"/>
  <c r="O1926" i="11"/>
  <c r="N1926" i="11"/>
  <c r="X1926" i="11"/>
  <c r="AC1926" i="11"/>
  <c r="AE1926" i="11"/>
  <c r="V1926" i="11"/>
  <c r="AC1925" i="11"/>
  <c r="I1925" i="11"/>
  <c r="J1925" i="11"/>
  <c r="K1925" i="11"/>
  <c r="L1925" i="11" s="1"/>
  <c r="N1925" i="11"/>
  <c r="O1925" i="11"/>
  <c r="V1925" i="11"/>
  <c r="X1925" i="11"/>
  <c r="I1924" i="11"/>
  <c r="J1924" i="11"/>
  <c r="K1924" i="11"/>
  <c r="L1924" i="11"/>
  <c r="R1924" i="11"/>
  <c r="AE1924" i="11"/>
  <c r="AC1924" i="11"/>
  <c r="J1923" i="11"/>
  <c r="K1923" i="11"/>
  <c r="I1923" i="11"/>
  <c r="L1923" i="11"/>
  <c r="AC1923" i="11"/>
  <c r="N1923" i="11"/>
  <c r="O1923" i="11"/>
  <c r="R1923" i="11"/>
  <c r="K1922" i="11"/>
  <c r="J1922" i="11"/>
  <c r="I1922" i="11"/>
  <c r="AE1922" i="11"/>
  <c r="AC1922" i="11"/>
  <c r="X1922" i="11"/>
  <c r="V1922" i="11"/>
  <c r="K1921" i="11"/>
  <c r="J1921" i="11"/>
  <c r="I1921" i="11"/>
  <c r="AC1921" i="11"/>
  <c r="V1921" i="11"/>
  <c r="X1921" i="11"/>
  <c r="AC1920" i="11"/>
  <c r="I1920" i="11"/>
  <c r="AE1920" i="11" s="1"/>
  <c r="X1920" i="11"/>
  <c r="V1920" i="11"/>
  <c r="K1920" i="11"/>
  <c r="L1920" i="11" s="1"/>
  <c r="J1920" i="11"/>
  <c r="R1920" i="11"/>
  <c r="AC1919" i="11"/>
  <c r="J1919" i="11"/>
  <c r="O1919" i="11" s="1"/>
  <c r="I1919" i="11"/>
  <c r="K1919" i="11"/>
  <c r="L1919" i="11"/>
  <c r="N1919" i="11"/>
  <c r="R1919" i="11"/>
  <c r="K1918" i="11"/>
  <c r="J1918" i="11"/>
  <c r="N1918" i="11" s="1"/>
  <c r="I1918" i="11"/>
  <c r="L1918" i="11" s="1"/>
  <c r="O1918" i="11"/>
  <c r="AE1918" i="11"/>
  <c r="AC1918" i="11"/>
  <c r="V1918" i="11"/>
  <c r="X1918" i="11"/>
  <c r="R1918" i="11"/>
  <c r="AC1917" i="11"/>
  <c r="I1917" i="11"/>
  <c r="R1917" i="11"/>
  <c r="K1917" i="11"/>
  <c r="L1917" i="11" s="1"/>
  <c r="J1917" i="11"/>
  <c r="I1916" i="11"/>
  <c r="J1916" i="11"/>
  <c r="K1916" i="11"/>
  <c r="L1916" i="11"/>
  <c r="N1916" i="11"/>
  <c r="O1916" i="11"/>
  <c r="R1916" i="11"/>
  <c r="V1916" i="11"/>
  <c r="X1916" i="11"/>
  <c r="AE1916" i="11"/>
  <c r="AC1916" i="11"/>
  <c r="AC1915" i="11"/>
  <c r="K1915" i="11"/>
  <c r="J1915" i="11"/>
  <c r="O1915" i="11" s="1"/>
  <c r="I1915" i="11"/>
  <c r="X1915" i="11"/>
  <c r="N1915" i="11"/>
  <c r="AC1914" i="11"/>
  <c r="I1914" i="11"/>
  <c r="AE1914" i="11" s="1"/>
  <c r="J1914" i="11"/>
  <c r="K1914" i="11"/>
  <c r="L1914" i="11" s="1"/>
  <c r="N1914" i="11"/>
  <c r="O1914" i="11"/>
  <c r="R1914" i="11"/>
  <c r="V1914" i="11"/>
  <c r="X1914" i="11"/>
  <c r="AC1913" i="11"/>
  <c r="I1913" i="11"/>
  <c r="J1913" i="11"/>
  <c r="K1913" i="11"/>
  <c r="O1913" i="11"/>
  <c r="L1913" i="11"/>
  <c r="N1913" i="11"/>
  <c r="AC1912" i="11"/>
  <c r="K1912" i="11"/>
  <c r="J1912" i="11"/>
  <c r="I1912" i="11"/>
  <c r="K1911" i="11"/>
  <c r="J1911" i="11"/>
  <c r="I1911" i="11"/>
  <c r="AE1911" i="11"/>
  <c r="AC1911" i="11"/>
  <c r="X1911" i="11"/>
  <c r="V1911" i="11"/>
  <c r="K1910" i="11"/>
  <c r="J1910" i="11"/>
  <c r="I1910" i="11"/>
  <c r="L1910" i="11" s="1"/>
  <c r="AC1910" i="11"/>
  <c r="X1910" i="11"/>
  <c r="V1910" i="11"/>
  <c r="AE1910" i="11"/>
  <c r="R1910" i="11"/>
  <c r="AC1909" i="11"/>
  <c r="I1909" i="11"/>
  <c r="J1909" i="11"/>
  <c r="K1909" i="11"/>
  <c r="L1909" i="11"/>
  <c r="N1909" i="11"/>
  <c r="O1909" i="11"/>
  <c r="R1909" i="11"/>
  <c r="K1908" i="11"/>
  <c r="J1908" i="11"/>
  <c r="I1908" i="11"/>
  <c r="L1908" i="11" s="1"/>
  <c r="V1908" i="11"/>
  <c r="R1908" i="11"/>
  <c r="AE1908" i="11"/>
  <c r="AC1908" i="11"/>
  <c r="X1908" i="11"/>
  <c r="J1907" i="11"/>
  <c r="AC1907" i="11"/>
  <c r="I1907" i="11"/>
  <c r="O1907" i="11"/>
  <c r="N1907" i="11"/>
  <c r="K1907" i="11"/>
  <c r="L1907" i="11" s="1"/>
  <c r="R1907" i="11"/>
  <c r="AC1906" i="11"/>
  <c r="I1906" i="11"/>
  <c r="J1906" i="11"/>
  <c r="K1906" i="11"/>
  <c r="L1906" i="11" s="1"/>
  <c r="X1906" i="11"/>
  <c r="AC1905" i="11"/>
  <c r="I1905" i="11"/>
  <c r="AE1905" i="11" s="1"/>
  <c r="J1905" i="11"/>
  <c r="K1905" i="11"/>
  <c r="L1905" i="11"/>
  <c r="N1905" i="11"/>
  <c r="O1905" i="11"/>
  <c r="R1905" i="11"/>
  <c r="V1905" i="11"/>
  <c r="X1905" i="11"/>
  <c r="AC1904" i="11"/>
  <c r="J1904" i="11"/>
  <c r="O1904" i="11" s="1"/>
  <c r="K1904" i="11"/>
  <c r="N1904" i="11"/>
  <c r="I1904" i="11"/>
  <c r="K1903" i="11"/>
  <c r="J1903" i="11"/>
  <c r="I1903" i="11"/>
  <c r="AE1903" i="11"/>
  <c r="AC1903" i="11"/>
  <c r="X1903" i="11"/>
  <c r="V1903" i="11"/>
  <c r="K1902" i="11"/>
  <c r="AC1902" i="11"/>
  <c r="J1902" i="11"/>
  <c r="I1902" i="11"/>
  <c r="AE1902" i="11"/>
  <c r="O1902" i="11"/>
  <c r="N1902" i="11"/>
  <c r="K1901" i="11"/>
  <c r="I1901" i="11"/>
  <c r="J1901" i="11"/>
  <c r="AE1901" i="11"/>
  <c r="AC1901" i="11"/>
  <c r="X1901" i="11"/>
  <c r="V1901" i="11"/>
  <c r="I1900" i="11"/>
  <c r="J1900" i="11"/>
  <c r="K1900" i="11"/>
  <c r="L1900" i="11"/>
  <c r="N1900" i="11"/>
  <c r="O1900" i="11"/>
  <c r="R1900" i="11"/>
  <c r="X1900" i="11"/>
  <c r="AC1900" i="11"/>
  <c r="AE1900" i="11"/>
  <c r="V1900" i="11"/>
  <c r="K1899" i="11"/>
  <c r="I1899" i="11"/>
  <c r="L1899" i="11" s="1"/>
  <c r="J1899" i="11"/>
  <c r="V1899" i="11"/>
  <c r="R1899" i="11"/>
  <c r="AE1899" i="11"/>
  <c r="AC1899" i="11"/>
  <c r="X1899" i="11"/>
  <c r="I1898" i="11"/>
  <c r="J1898" i="11"/>
  <c r="AC1898" i="11"/>
  <c r="K1898" i="11"/>
  <c r="AE1898" i="11" s="1"/>
  <c r="AC1897" i="11"/>
  <c r="K1897" i="11"/>
  <c r="J1897" i="11"/>
  <c r="I1897" i="11"/>
  <c r="K1896" i="11"/>
  <c r="J1896" i="11"/>
  <c r="I1896" i="11"/>
  <c r="AE1896" i="11" s="1"/>
  <c r="O1896" i="11"/>
  <c r="AC1896" i="11"/>
  <c r="V1896" i="11"/>
  <c r="R1896" i="11"/>
  <c r="X1896" i="11"/>
  <c r="N1896" i="11"/>
  <c r="L1896" i="11"/>
  <c r="AC1895" i="11"/>
  <c r="K1895" i="11"/>
  <c r="J1895" i="11"/>
  <c r="I1895" i="11"/>
  <c r="AC1894" i="11"/>
  <c r="K1894" i="11"/>
  <c r="J1894" i="11"/>
  <c r="I1894" i="11"/>
  <c r="K1893" i="11"/>
  <c r="J1893" i="11"/>
  <c r="I1893" i="11"/>
  <c r="AC1893" i="11"/>
  <c r="I1892" i="11"/>
  <c r="AE1892" i="11" s="1"/>
  <c r="X1892" i="11"/>
  <c r="R1892" i="11"/>
  <c r="K1892" i="11"/>
  <c r="L1892" i="11" s="1"/>
  <c r="J1892" i="11"/>
  <c r="V1892" i="11"/>
  <c r="AC1892" i="11"/>
  <c r="AC1891" i="11"/>
  <c r="I1891" i="11"/>
  <c r="J1891" i="11"/>
  <c r="K1891" i="11"/>
  <c r="L1891" i="11"/>
  <c r="N1891" i="11"/>
  <c r="O1891" i="11"/>
  <c r="R1891" i="11"/>
  <c r="AE1891" i="11"/>
  <c r="I1890" i="11"/>
  <c r="AE1890" i="11" s="1"/>
  <c r="J1890" i="11"/>
  <c r="K1890" i="11"/>
  <c r="L1890" i="11"/>
  <c r="N1890" i="11"/>
  <c r="O1890" i="11"/>
  <c r="AC1890" i="11"/>
  <c r="V1890" i="11"/>
  <c r="X1890" i="11"/>
  <c r="R1890" i="11"/>
  <c r="AC1889" i="11"/>
  <c r="K1889" i="11"/>
  <c r="J1889" i="11"/>
  <c r="I1889" i="11"/>
  <c r="AC1888" i="11"/>
  <c r="K1888" i="11"/>
  <c r="J1888" i="11"/>
  <c r="I1888" i="11"/>
  <c r="N1888" i="11"/>
  <c r="O1888" i="11"/>
  <c r="R1888" i="11"/>
  <c r="V1888" i="11"/>
  <c r="X1888" i="11"/>
  <c r="J1887" i="11"/>
  <c r="I1887" i="11"/>
  <c r="AC1887" i="11"/>
  <c r="V1887" i="11"/>
  <c r="X1887" i="11"/>
  <c r="K1887" i="11"/>
  <c r="AE1887" i="11"/>
  <c r="I1886" i="11"/>
  <c r="V1886" i="11"/>
  <c r="X1886" i="11"/>
  <c r="AC1886" i="11"/>
  <c r="R1886" i="11"/>
  <c r="J1886" i="11"/>
  <c r="K1886" i="11"/>
  <c r="AE1886" i="11" s="1"/>
  <c r="L1886" i="11"/>
  <c r="N1886" i="11"/>
  <c r="O1886" i="11"/>
  <c r="I1885" i="11"/>
  <c r="K1885" i="11"/>
  <c r="J1885" i="11"/>
  <c r="N1885" i="11" s="1"/>
  <c r="O1885" i="11"/>
  <c r="AC1885" i="11"/>
  <c r="AE1885" i="11"/>
  <c r="X1885" i="11"/>
  <c r="K1884" i="11"/>
  <c r="J1884" i="11"/>
  <c r="N1884" i="11" s="1"/>
  <c r="I1884" i="11"/>
  <c r="O1884" i="11"/>
  <c r="AE1884" i="11"/>
  <c r="AC1884" i="11"/>
  <c r="X1884" i="11"/>
  <c r="V1884" i="11"/>
  <c r="K1883" i="11"/>
  <c r="J1883" i="11"/>
  <c r="N1883" i="11" s="1"/>
  <c r="I1883" i="11"/>
  <c r="L1883" i="11" s="1"/>
  <c r="O1883" i="11"/>
  <c r="AE1883" i="11"/>
  <c r="AC1883" i="11"/>
  <c r="X1883" i="11"/>
  <c r="V1883" i="11"/>
  <c r="R1883" i="11"/>
  <c r="I1882" i="11"/>
  <c r="AE1882" i="11" s="1"/>
  <c r="X1882" i="11"/>
  <c r="J1882" i="11"/>
  <c r="V1882" i="11"/>
  <c r="AC1882" i="11"/>
  <c r="R1882" i="11"/>
  <c r="K1882" i="11"/>
  <c r="L1882" i="11" s="1"/>
  <c r="N1882" i="11"/>
  <c r="O1882" i="11"/>
  <c r="AC1881" i="11"/>
  <c r="I1881" i="11"/>
  <c r="J1881" i="11"/>
  <c r="K1881" i="11"/>
  <c r="L1881" i="11"/>
  <c r="N1881" i="11"/>
  <c r="O1881" i="11"/>
  <c r="R1881" i="11"/>
  <c r="K1880" i="11"/>
  <c r="J1880" i="11"/>
  <c r="N1880" i="11" s="1"/>
  <c r="I1880" i="11"/>
  <c r="L1880" i="11" s="1"/>
  <c r="X1880" i="11"/>
  <c r="AC1880" i="11"/>
  <c r="O1880" i="11"/>
  <c r="AE1880" i="11"/>
  <c r="R1880" i="11"/>
  <c r="V1880" i="11"/>
  <c r="AC1879" i="11"/>
  <c r="K1879" i="11"/>
  <c r="J1879" i="11"/>
  <c r="I1879" i="11"/>
  <c r="AC1878" i="11"/>
  <c r="K1878" i="11"/>
  <c r="J1878" i="11"/>
  <c r="I1878" i="11"/>
  <c r="AC1877" i="11"/>
  <c r="I1877" i="11"/>
  <c r="J1877" i="11"/>
  <c r="K1877" i="11"/>
  <c r="L1877" i="11"/>
  <c r="N1877" i="11"/>
  <c r="O1877" i="11"/>
  <c r="R1877" i="11"/>
  <c r="AE1877" i="11"/>
  <c r="AC1876" i="11"/>
  <c r="K1876" i="11"/>
  <c r="J1876" i="11"/>
  <c r="I1876" i="11"/>
  <c r="AC1875" i="11"/>
  <c r="I1875" i="11"/>
  <c r="J1875" i="11"/>
  <c r="K1875" i="11"/>
  <c r="L1875" i="11"/>
  <c r="N1875" i="11"/>
  <c r="O1875" i="11"/>
  <c r="R1875" i="11"/>
  <c r="I1874" i="11"/>
  <c r="L1874" i="11" s="1"/>
  <c r="R1874" i="11"/>
  <c r="V1874" i="11"/>
  <c r="X1874" i="11"/>
  <c r="AC1874" i="11"/>
  <c r="J1874" i="11"/>
  <c r="K1874" i="11"/>
  <c r="AE1874" i="11"/>
  <c r="AC1873" i="11"/>
  <c r="K1873" i="11"/>
  <c r="I1873" i="11"/>
  <c r="J1873" i="11"/>
  <c r="AC1872" i="11"/>
  <c r="K1872" i="11"/>
  <c r="J1872" i="11"/>
  <c r="I1872" i="11"/>
  <c r="V1872" i="11"/>
  <c r="I1871" i="11"/>
  <c r="J1871" i="11"/>
  <c r="K1871" i="11"/>
  <c r="L1871" i="11"/>
  <c r="N1871" i="11"/>
  <c r="O1871" i="11"/>
  <c r="R1871" i="11"/>
  <c r="V1871" i="11"/>
  <c r="X1871" i="11"/>
  <c r="AC1871" i="11"/>
  <c r="AE1871" i="11"/>
  <c r="AC1870" i="11"/>
  <c r="K1870" i="11"/>
  <c r="J1870" i="11"/>
  <c r="I1870" i="11"/>
  <c r="L1870" i="11"/>
  <c r="AC1869" i="11"/>
  <c r="I1869" i="11"/>
  <c r="J1869" i="11"/>
  <c r="K1869" i="11"/>
  <c r="L1869" i="11"/>
  <c r="N1869" i="11"/>
  <c r="O1869" i="11"/>
  <c r="R1869" i="11"/>
  <c r="V1869" i="11"/>
  <c r="I1868" i="11"/>
  <c r="J1868" i="11"/>
  <c r="K1868" i="11"/>
  <c r="N1868" i="11"/>
  <c r="O1868" i="11"/>
  <c r="R1868" i="11"/>
  <c r="V1868" i="11"/>
  <c r="AC1868" i="11"/>
  <c r="L1868" i="11"/>
  <c r="AE1868" i="11"/>
  <c r="X1868" i="11"/>
  <c r="AC1867" i="11"/>
  <c r="I1867" i="11"/>
  <c r="J1867" i="11"/>
  <c r="K1867" i="11"/>
  <c r="L1867" i="11"/>
  <c r="N1867" i="11"/>
  <c r="O1867" i="11"/>
  <c r="AC1866" i="11"/>
  <c r="K1866" i="11"/>
  <c r="J1866" i="11"/>
  <c r="I1866" i="11"/>
  <c r="V1866" i="11"/>
  <c r="R1866" i="11"/>
  <c r="K1865" i="11"/>
  <c r="J1865" i="11"/>
  <c r="AC1865" i="11"/>
  <c r="I1865" i="11"/>
  <c r="AC1864" i="11"/>
  <c r="J1864" i="11"/>
  <c r="I1864" i="11"/>
  <c r="K1864" i="11"/>
  <c r="L1864" i="11"/>
  <c r="N1864" i="11"/>
  <c r="O1864" i="11"/>
  <c r="R1864" i="11"/>
  <c r="I1863" i="11"/>
  <c r="K1863" i="11"/>
  <c r="L1863" i="11" s="1"/>
  <c r="J1863" i="11"/>
  <c r="AE1863" i="11"/>
  <c r="AC1863" i="11"/>
  <c r="X1863" i="11"/>
  <c r="V1863" i="11"/>
  <c r="R1863" i="11"/>
  <c r="J1862" i="11"/>
  <c r="K1862" i="11"/>
  <c r="N1862" i="11"/>
  <c r="O1862" i="11"/>
  <c r="AC1862" i="11"/>
  <c r="I1862" i="11"/>
  <c r="AC1861" i="11"/>
  <c r="I1861" i="11"/>
  <c r="J1861" i="11"/>
  <c r="K1861" i="11"/>
  <c r="L1861" i="11"/>
  <c r="N1861" i="11"/>
  <c r="O1861" i="11"/>
  <c r="AC1860" i="11"/>
  <c r="I1860" i="11"/>
  <c r="J1860" i="11"/>
  <c r="N1860" i="11" s="1"/>
  <c r="K1860" i="11"/>
  <c r="L1860" i="11"/>
  <c r="O1860" i="11"/>
  <c r="R1860" i="11"/>
  <c r="K1859" i="11"/>
  <c r="J1859" i="11"/>
  <c r="I1859" i="11"/>
  <c r="AE1859" i="11"/>
  <c r="AC1859" i="11"/>
  <c r="AC1858" i="11"/>
  <c r="K1858" i="11"/>
  <c r="I1858" i="11"/>
  <c r="J1858" i="11"/>
  <c r="AE1858" i="11"/>
  <c r="N1858" i="11"/>
  <c r="O1858" i="11"/>
  <c r="K1857" i="11"/>
  <c r="J1857" i="11"/>
  <c r="I1857" i="11"/>
  <c r="R1857" i="11" s="1"/>
  <c r="AE1857" i="11"/>
  <c r="AC1857" i="11"/>
  <c r="L1857" i="11"/>
  <c r="X1857" i="11"/>
  <c r="V1857" i="11"/>
  <c r="I1856" i="11"/>
  <c r="J1856" i="11"/>
  <c r="K1856" i="11"/>
  <c r="L1856" i="11"/>
  <c r="N1856" i="11"/>
  <c r="O1856" i="11"/>
  <c r="R1856" i="11"/>
  <c r="AE1856" i="11"/>
  <c r="X1856" i="11"/>
  <c r="V1856" i="11"/>
  <c r="AC1856" i="11"/>
  <c r="AC1855" i="11"/>
  <c r="K1855" i="11"/>
  <c r="J1855" i="11"/>
  <c r="I1855" i="11"/>
  <c r="AC1854" i="11"/>
  <c r="K1854" i="11"/>
  <c r="J1854" i="11"/>
  <c r="I1854" i="11"/>
  <c r="AC1853" i="11"/>
  <c r="K1853" i="11"/>
  <c r="J1853" i="11"/>
  <c r="I1853" i="11"/>
  <c r="AC1852" i="11"/>
  <c r="K1852" i="11"/>
  <c r="J1852" i="11"/>
  <c r="I1852" i="11"/>
  <c r="AC1851" i="11"/>
  <c r="K1851" i="11"/>
  <c r="J1851" i="11"/>
  <c r="I1851" i="11"/>
  <c r="AC1850" i="11"/>
  <c r="K1850" i="11"/>
  <c r="J1850" i="11"/>
  <c r="I1850" i="11"/>
  <c r="AC1849" i="11"/>
  <c r="K1849" i="11"/>
  <c r="J1849" i="11"/>
  <c r="I1849" i="11"/>
  <c r="AC1848" i="11"/>
  <c r="K1848" i="11"/>
  <c r="J1848" i="11"/>
  <c r="I1848" i="11"/>
  <c r="AC1847" i="11"/>
  <c r="K1847" i="11"/>
  <c r="J1847" i="11"/>
  <c r="I1847" i="11"/>
  <c r="AC1846" i="11"/>
  <c r="K1846" i="11"/>
  <c r="J1846" i="11"/>
  <c r="I1846" i="11"/>
  <c r="AC1845" i="11"/>
  <c r="K1845" i="11"/>
  <c r="J1845" i="11"/>
  <c r="I1845" i="11"/>
  <c r="AC1844" i="11"/>
  <c r="K1844" i="11"/>
  <c r="J1844" i="11"/>
  <c r="I1844" i="11"/>
  <c r="AC1843" i="11"/>
  <c r="K1843" i="11"/>
  <c r="J1843" i="11"/>
  <c r="I1843" i="11"/>
  <c r="AC1842" i="11"/>
  <c r="K1842" i="11"/>
  <c r="J1842" i="11"/>
  <c r="I1842" i="11"/>
  <c r="AC1841" i="11"/>
  <c r="K1841" i="11"/>
  <c r="J1841" i="11"/>
  <c r="I1841" i="11"/>
  <c r="AC1840" i="11"/>
  <c r="K1840" i="11"/>
  <c r="J1840" i="11"/>
  <c r="I1840" i="11"/>
  <c r="AC1839" i="11"/>
  <c r="K1839" i="11"/>
  <c r="J1839" i="11"/>
  <c r="I1839" i="11"/>
  <c r="AC1838" i="11"/>
  <c r="K1838" i="11"/>
  <c r="J1838" i="11"/>
  <c r="I1838" i="11"/>
  <c r="AC1837" i="11"/>
  <c r="K1837" i="11"/>
  <c r="J1837" i="11"/>
  <c r="I1837" i="11"/>
  <c r="AC1836" i="11"/>
  <c r="K1836" i="11"/>
  <c r="J1836" i="11"/>
  <c r="I1836" i="11"/>
  <c r="AC1835" i="11"/>
  <c r="K1835" i="11"/>
  <c r="J1835" i="11"/>
  <c r="I1835" i="11"/>
  <c r="AC1834" i="11"/>
  <c r="K1834" i="11"/>
  <c r="J1834" i="11"/>
  <c r="I1834" i="11"/>
  <c r="AC1833" i="11"/>
  <c r="K1833" i="11"/>
  <c r="J1833" i="11"/>
  <c r="I1833" i="11"/>
  <c r="AC1832" i="11"/>
  <c r="K1832" i="11"/>
  <c r="J1832" i="11"/>
  <c r="I1832" i="11"/>
  <c r="AC1831" i="11"/>
  <c r="K1831" i="11"/>
  <c r="J1831" i="11"/>
  <c r="I1831" i="11"/>
  <c r="AC1830" i="11"/>
  <c r="K1830" i="11"/>
  <c r="J1830" i="11"/>
  <c r="I1830" i="11"/>
  <c r="AC1829" i="11"/>
  <c r="K1829" i="11"/>
  <c r="J1829" i="11"/>
  <c r="I1829" i="11"/>
  <c r="AC1828" i="11"/>
  <c r="K1828" i="11"/>
  <c r="J1828" i="11"/>
  <c r="I1828" i="11"/>
  <c r="AC1827" i="11"/>
  <c r="K1827" i="11"/>
  <c r="J1827" i="11"/>
  <c r="I1827" i="11"/>
  <c r="AC1826" i="11"/>
  <c r="K1826" i="11"/>
  <c r="J1826" i="11"/>
  <c r="I1826" i="11"/>
  <c r="AC1825" i="11"/>
  <c r="K1825" i="11"/>
  <c r="J1825" i="11"/>
  <c r="I1825" i="11"/>
  <c r="AC1824" i="11"/>
  <c r="K1824" i="11"/>
  <c r="J1824" i="11"/>
  <c r="I1824" i="11"/>
  <c r="AC1823" i="11"/>
  <c r="K1823" i="11"/>
  <c r="J1823" i="11"/>
  <c r="I1823" i="11"/>
  <c r="AC1822" i="11"/>
  <c r="K1822" i="11"/>
  <c r="J1822" i="11"/>
  <c r="I1822" i="11"/>
  <c r="AC1821" i="11"/>
  <c r="K1821" i="11"/>
  <c r="J1821" i="11"/>
  <c r="I1821" i="11"/>
  <c r="AC1820" i="11"/>
  <c r="K1820" i="11"/>
  <c r="J1820" i="11"/>
  <c r="I1820" i="11"/>
  <c r="AC1819" i="11"/>
  <c r="K1819" i="11"/>
  <c r="J1819" i="11"/>
  <c r="I1819" i="11"/>
  <c r="AC1818" i="11"/>
  <c r="K1818" i="11"/>
  <c r="J1818" i="11"/>
  <c r="I1818" i="11"/>
  <c r="AC1817" i="11"/>
  <c r="K1817" i="11"/>
  <c r="J1817" i="11"/>
  <c r="I1817" i="11"/>
  <c r="AC1816" i="11"/>
  <c r="K1816" i="11"/>
  <c r="J1816" i="11"/>
  <c r="I1816" i="11"/>
  <c r="AC1815" i="11"/>
  <c r="K1815" i="11"/>
  <c r="J1815" i="11"/>
  <c r="I1815" i="11"/>
  <c r="AC1814" i="11"/>
  <c r="K1814" i="11"/>
  <c r="J1814" i="11"/>
  <c r="I1814" i="11"/>
  <c r="AC1813" i="11"/>
  <c r="K1813" i="11"/>
  <c r="J1813" i="11"/>
  <c r="I1813" i="11"/>
  <c r="AC1812" i="11"/>
  <c r="K1812" i="11"/>
  <c r="J1812" i="11"/>
  <c r="I1812" i="11"/>
  <c r="AC1811" i="11"/>
  <c r="K1811" i="11"/>
  <c r="J1811" i="11"/>
  <c r="I1811" i="11"/>
  <c r="AC1810" i="11"/>
  <c r="K1810" i="11"/>
  <c r="J1810" i="11"/>
  <c r="I1810" i="11"/>
  <c r="AC1809" i="11"/>
  <c r="K1809" i="11"/>
  <c r="J1809" i="11"/>
  <c r="I1809" i="11"/>
  <c r="AC1808" i="11"/>
  <c r="K1808" i="11"/>
  <c r="J1808" i="11"/>
  <c r="I1808" i="11"/>
  <c r="AC1807" i="11"/>
  <c r="K1807" i="11"/>
  <c r="J1807" i="11"/>
  <c r="I1807" i="11"/>
  <c r="AC1806" i="11"/>
  <c r="K1806" i="11"/>
  <c r="J1806" i="11"/>
  <c r="I1806" i="11"/>
  <c r="AC1805" i="11"/>
  <c r="K1805" i="11"/>
  <c r="J1805" i="11"/>
  <c r="I1805" i="11"/>
  <c r="AC1804" i="11"/>
  <c r="K1804" i="11"/>
  <c r="J1804" i="11"/>
  <c r="I1804" i="11"/>
  <c r="AC1803" i="11"/>
  <c r="K1803" i="11"/>
  <c r="J1803" i="11"/>
  <c r="I1803" i="11"/>
  <c r="AC1802" i="11"/>
  <c r="K1802" i="11"/>
  <c r="J1802" i="11"/>
  <c r="I1802" i="11"/>
  <c r="AC1801" i="11"/>
  <c r="K1801" i="11"/>
  <c r="J1801" i="11"/>
  <c r="I1801" i="11"/>
  <c r="AC1800" i="11"/>
  <c r="K1800" i="11"/>
  <c r="J1800" i="11"/>
  <c r="I1800" i="11"/>
  <c r="I1799" i="11"/>
  <c r="J1799" i="11"/>
  <c r="N1799" i="11" s="1"/>
  <c r="O1799" i="11"/>
  <c r="K1799" i="11"/>
  <c r="L1799" i="11"/>
  <c r="AC1799" i="11"/>
  <c r="X1799" i="11"/>
  <c r="K1798" i="11"/>
  <c r="I1798" i="11"/>
  <c r="AE1798" i="11"/>
  <c r="J1798" i="11"/>
  <c r="AC1798" i="11"/>
  <c r="X1798" i="11"/>
  <c r="V1798" i="11"/>
  <c r="I1797" i="11"/>
  <c r="J1797" i="11"/>
  <c r="O1797" i="11" s="1"/>
  <c r="K1797" i="11"/>
  <c r="AE1797" i="11"/>
  <c r="N1797" i="11"/>
  <c r="AC1797" i="11"/>
  <c r="J1796" i="11"/>
  <c r="I1796" i="11"/>
  <c r="K1796" i="11"/>
  <c r="AE1796" i="11"/>
  <c r="AC1796" i="11"/>
  <c r="J1795" i="11"/>
  <c r="O1795" i="11"/>
  <c r="N1795" i="11"/>
  <c r="K1795" i="11"/>
  <c r="I1795" i="11"/>
  <c r="L1795" i="11" s="1"/>
  <c r="V1795" i="11"/>
  <c r="AE1795" i="11"/>
  <c r="R1795" i="11"/>
  <c r="AC1795" i="11"/>
  <c r="X1795" i="11"/>
  <c r="AC1794" i="11"/>
  <c r="J1794" i="11"/>
  <c r="O1794" i="11" s="1"/>
  <c r="N1794" i="11"/>
  <c r="I1794" i="11"/>
  <c r="K1794" i="11"/>
  <c r="L1794" i="11" s="1"/>
  <c r="R1794" i="11"/>
  <c r="I1793" i="11"/>
  <c r="J1793" i="11"/>
  <c r="R1793" i="11"/>
  <c r="K1793" i="11"/>
  <c r="AE1793" i="11" s="1"/>
  <c r="L1793" i="11"/>
  <c r="V1793" i="11"/>
  <c r="X1793" i="11"/>
  <c r="AC1793" i="11"/>
  <c r="K1792" i="11"/>
  <c r="J1792" i="11"/>
  <c r="I1792" i="11"/>
  <c r="AE1792" i="11"/>
  <c r="AC1792" i="11"/>
  <c r="X1792" i="11"/>
  <c r="V1792" i="11"/>
  <c r="AC1791" i="11"/>
  <c r="J1791" i="11"/>
  <c r="I1791" i="11"/>
  <c r="V1791" i="11"/>
  <c r="K1791" i="11"/>
  <c r="J1790" i="11"/>
  <c r="K1790" i="11"/>
  <c r="N1790" i="11"/>
  <c r="O1790" i="11"/>
  <c r="AC1790" i="11"/>
  <c r="I1790" i="11"/>
  <c r="AC1789" i="11"/>
  <c r="I1789" i="11"/>
  <c r="J1789" i="11"/>
  <c r="K1789" i="11"/>
  <c r="L1789" i="11"/>
  <c r="N1789" i="11"/>
  <c r="O1789" i="11"/>
  <c r="I1788" i="11"/>
  <c r="J1788" i="11"/>
  <c r="K1788" i="11"/>
  <c r="L1788" i="11"/>
  <c r="N1788" i="11"/>
  <c r="R1788" i="11"/>
  <c r="O1788" i="11"/>
  <c r="AE1788" i="11"/>
  <c r="AC1788" i="11"/>
  <c r="X1788" i="11"/>
  <c r="V1788" i="11"/>
  <c r="K1787" i="11"/>
  <c r="J1787" i="11"/>
  <c r="N1787" i="11" s="1"/>
  <c r="I1787" i="11"/>
  <c r="L1787" i="11" s="1"/>
  <c r="R1787" i="11"/>
  <c r="O1787" i="11"/>
  <c r="AC1787" i="11"/>
  <c r="X1787" i="11"/>
  <c r="V1787" i="11"/>
  <c r="AE1787" i="11"/>
  <c r="AC1786" i="11"/>
  <c r="K1786" i="11"/>
  <c r="J1786" i="11"/>
  <c r="I1786" i="11"/>
  <c r="R1786" i="11"/>
  <c r="V1786" i="11"/>
  <c r="AC1785" i="11"/>
  <c r="I1785" i="11"/>
  <c r="J1785" i="11"/>
  <c r="O1785" i="11" s="1"/>
  <c r="K1785" i="11"/>
  <c r="L1785" i="11" s="1"/>
  <c r="N1785" i="11"/>
  <c r="AC1784" i="11"/>
  <c r="I1784" i="11"/>
  <c r="J1784" i="11"/>
  <c r="K1784" i="11"/>
  <c r="L1784" i="11"/>
  <c r="N1784" i="11"/>
  <c r="O1784" i="11"/>
  <c r="R1784" i="11"/>
  <c r="K1783" i="11"/>
  <c r="J1783" i="11"/>
  <c r="AC1783" i="11"/>
  <c r="I1783" i="11"/>
  <c r="R1783" i="11"/>
  <c r="O1783" i="11"/>
  <c r="N1783" i="11"/>
  <c r="L1783" i="11"/>
  <c r="J1782" i="11"/>
  <c r="N1782" i="11"/>
  <c r="AC1782" i="11"/>
  <c r="O1782" i="11"/>
  <c r="K1782" i="11"/>
  <c r="I1782" i="11"/>
  <c r="K1781" i="11"/>
  <c r="I1781" i="11"/>
  <c r="V1781" i="11"/>
  <c r="X1781" i="11"/>
  <c r="J1781" i="11"/>
  <c r="N1781" i="11" s="1"/>
  <c r="AC1781" i="11"/>
  <c r="AE1781" i="11"/>
  <c r="O1781" i="11"/>
  <c r="AC1780" i="11"/>
  <c r="I1780" i="11"/>
  <c r="J1780" i="11"/>
  <c r="O1780" i="11" s="1"/>
  <c r="K1780" i="11"/>
  <c r="L1780" i="11"/>
  <c r="N1780" i="11"/>
  <c r="R1780" i="11"/>
  <c r="J1779" i="11"/>
  <c r="I1779" i="11"/>
  <c r="L1779" i="11" s="1"/>
  <c r="K1779" i="11"/>
  <c r="AE1779" i="11" s="1"/>
  <c r="X1779" i="11"/>
  <c r="AC1779" i="11"/>
  <c r="V1779" i="11"/>
  <c r="R1779" i="11"/>
  <c r="I1778" i="11"/>
  <c r="J1778" i="11"/>
  <c r="O1778" i="11" s="1"/>
  <c r="K1778" i="11"/>
  <c r="L1778" i="11"/>
  <c r="N1778" i="11"/>
  <c r="R1778" i="11"/>
  <c r="V1778" i="11"/>
  <c r="X1778" i="11"/>
  <c r="AC1778" i="11"/>
  <c r="AE1778" i="11"/>
  <c r="AC1777" i="11"/>
  <c r="I1777" i="11"/>
  <c r="J1777" i="11"/>
  <c r="K1777" i="11"/>
  <c r="L1777" i="11"/>
  <c r="N1777" i="11"/>
  <c r="O1777" i="11"/>
  <c r="R1777" i="11"/>
  <c r="K1776" i="11"/>
  <c r="J1776" i="11"/>
  <c r="O1776" i="11" s="1"/>
  <c r="I1776" i="11"/>
  <c r="R1776" i="11"/>
  <c r="N1776" i="11"/>
  <c r="L1776" i="11"/>
  <c r="V1776" i="11"/>
  <c r="AE1776" i="11"/>
  <c r="AC1776" i="11"/>
  <c r="X1776" i="11"/>
  <c r="J1775" i="11"/>
  <c r="AC1775" i="11"/>
  <c r="I1775" i="11"/>
  <c r="K1775" i="11"/>
  <c r="L1775" i="11"/>
  <c r="K1774" i="11"/>
  <c r="J1774" i="11"/>
  <c r="I1774" i="11"/>
  <c r="AE1774" i="11"/>
  <c r="AC1774" i="11"/>
  <c r="X1774" i="11"/>
  <c r="V1774" i="11"/>
  <c r="R1774" i="11"/>
  <c r="O1774" i="11"/>
  <c r="N1774" i="11"/>
  <c r="L1774" i="11"/>
  <c r="K1773" i="11"/>
  <c r="I1773" i="11"/>
  <c r="AE1773" i="11"/>
  <c r="AC1773" i="11"/>
  <c r="X1773" i="11"/>
  <c r="J1773" i="11"/>
  <c r="O1773" i="11"/>
  <c r="N1773" i="11"/>
  <c r="R1773" i="11"/>
  <c r="AC1772" i="11"/>
  <c r="I1772" i="11"/>
  <c r="J1772" i="11"/>
  <c r="O1772" i="11" s="1"/>
  <c r="K1772" i="11"/>
  <c r="L1772" i="11"/>
  <c r="N1772" i="11"/>
  <c r="R1772" i="11"/>
  <c r="AC1771" i="11"/>
  <c r="I1771" i="11"/>
  <c r="J1771" i="11"/>
  <c r="K1771" i="11"/>
  <c r="L1771" i="11"/>
  <c r="AC1770" i="11"/>
  <c r="K1770" i="11"/>
  <c r="J1770" i="11"/>
  <c r="I1770" i="11"/>
  <c r="J1769" i="11"/>
  <c r="K1769" i="11"/>
  <c r="N1769" i="11"/>
  <c r="O1769" i="11"/>
  <c r="AC1769" i="11"/>
  <c r="I1769" i="11"/>
  <c r="AC1768" i="11"/>
  <c r="K1768" i="11"/>
  <c r="J1768" i="11"/>
  <c r="I1768" i="11"/>
  <c r="X1768" i="11"/>
  <c r="I1767" i="11"/>
  <c r="J1767" i="11"/>
  <c r="N1767" i="11" s="1"/>
  <c r="K1767" i="11"/>
  <c r="L1767" i="11"/>
  <c r="O1767" i="11"/>
  <c r="R1767" i="11"/>
  <c r="V1767" i="11"/>
  <c r="X1767" i="11"/>
  <c r="AC1767" i="11"/>
  <c r="AE1767" i="11"/>
  <c r="K1766" i="11"/>
  <c r="J1766" i="11"/>
  <c r="AC1766" i="11"/>
  <c r="I1766" i="11"/>
  <c r="R1766" i="11"/>
  <c r="O1766" i="11"/>
  <c r="N1766" i="11"/>
  <c r="K1765" i="11"/>
  <c r="J1765" i="11"/>
  <c r="AC1765" i="11"/>
  <c r="I1765" i="11"/>
  <c r="R1765" i="11"/>
  <c r="O1765" i="11"/>
  <c r="N1765" i="11"/>
  <c r="L1765" i="11"/>
  <c r="AC1764" i="11"/>
  <c r="I1764" i="11"/>
  <c r="J1764" i="11"/>
  <c r="K1764" i="11"/>
  <c r="L1764" i="11"/>
  <c r="O1764" i="11"/>
  <c r="R1764" i="11"/>
  <c r="N1764" i="11"/>
  <c r="J1763" i="11"/>
  <c r="I1763" i="11"/>
  <c r="R1763" i="11"/>
  <c r="O1763" i="11"/>
  <c r="N1763" i="11"/>
  <c r="K1763" i="11"/>
  <c r="L1763" i="11" s="1"/>
  <c r="AE1763" i="11"/>
  <c r="AC1763" i="11"/>
  <c r="X1763" i="11"/>
  <c r="V1763" i="11"/>
  <c r="K1762" i="11"/>
  <c r="J1762" i="11"/>
  <c r="I1762" i="11"/>
  <c r="V1762" i="11"/>
  <c r="AC1762" i="11"/>
  <c r="AE1762" i="11"/>
  <c r="O1762" i="11"/>
  <c r="N1762" i="11"/>
  <c r="AC1761" i="11"/>
  <c r="I1761" i="11"/>
  <c r="K1761" i="11"/>
  <c r="L1761" i="11" s="1"/>
  <c r="J1761" i="11"/>
  <c r="AC1760" i="11"/>
  <c r="I1760" i="11"/>
  <c r="J1760" i="11"/>
  <c r="K1760" i="11"/>
  <c r="I1759" i="11"/>
  <c r="R1759" i="11" s="1"/>
  <c r="J1759" i="11"/>
  <c r="K1759" i="11"/>
  <c r="L1759" i="11"/>
  <c r="V1759" i="11"/>
  <c r="X1759" i="11"/>
  <c r="AC1759" i="11"/>
  <c r="AE1759" i="11"/>
  <c r="O1759" i="11"/>
  <c r="N1759" i="11"/>
  <c r="AC1758" i="11"/>
  <c r="K1758" i="11"/>
  <c r="J1758" i="11"/>
  <c r="I1758" i="11"/>
  <c r="X1758" i="11"/>
  <c r="AC1757" i="11"/>
  <c r="K1757" i="11"/>
  <c r="I1757" i="11"/>
  <c r="J1757" i="11"/>
  <c r="AC1756" i="11"/>
  <c r="K1756" i="11"/>
  <c r="J1756" i="11"/>
  <c r="O1756" i="11" s="1"/>
  <c r="N1756" i="11"/>
  <c r="I1756" i="11"/>
  <c r="I1755" i="11"/>
  <c r="J1755" i="11"/>
  <c r="K1755" i="11"/>
  <c r="L1755" i="11"/>
  <c r="O1755" i="11"/>
  <c r="R1755" i="11"/>
  <c r="N1755" i="11"/>
  <c r="X1755" i="11"/>
  <c r="AC1755" i="11"/>
  <c r="AE1755" i="11"/>
  <c r="V1755" i="11"/>
  <c r="AC1754" i="11"/>
  <c r="K1754" i="11"/>
  <c r="I1754" i="11"/>
  <c r="J1754" i="11"/>
  <c r="I1753" i="11"/>
  <c r="J1753" i="11"/>
  <c r="K1753" i="11"/>
  <c r="L1753" i="11"/>
  <c r="N1753" i="11"/>
  <c r="O1753" i="11"/>
  <c r="R1753" i="11"/>
  <c r="V1753" i="11"/>
  <c r="X1753" i="11"/>
  <c r="AC1753" i="11"/>
  <c r="AE1753" i="11"/>
  <c r="K1752" i="11"/>
  <c r="AC1752" i="11"/>
  <c r="I1752" i="11"/>
  <c r="J1752" i="11"/>
  <c r="AC1751" i="11"/>
  <c r="I1751" i="11"/>
  <c r="J1751" i="11"/>
  <c r="K1751" i="11"/>
  <c r="K1750" i="11"/>
  <c r="I1750" i="11"/>
  <c r="J1750" i="11"/>
  <c r="AE1750" i="11"/>
  <c r="AC1750" i="11"/>
  <c r="X1750" i="11"/>
  <c r="L1750" i="11"/>
  <c r="V1750" i="11"/>
  <c r="R1750" i="11"/>
  <c r="K1749" i="11"/>
  <c r="J1749" i="11"/>
  <c r="AC1749" i="11"/>
  <c r="I1749" i="11"/>
  <c r="K1748" i="11"/>
  <c r="J1748" i="11"/>
  <c r="I1748" i="11"/>
  <c r="AE1748" i="11"/>
  <c r="AC1748" i="11"/>
  <c r="X1748" i="11"/>
  <c r="K1747" i="11"/>
  <c r="J1747" i="11"/>
  <c r="I1747" i="11"/>
  <c r="X1747" i="11"/>
  <c r="R1747" i="11"/>
  <c r="AE1747" i="11"/>
  <c r="AC1747" i="11"/>
  <c r="AC1746" i="11"/>
  <c r="I1746" i="11"/>
  <c r="J1746" i="11"/>
  <c r="K1746" i="11"/>
  <c r="L1746" i="11"/>
  <c r="N1746" i="11"/>
  <c r="O1746" i="11"/>
  <c r="R1746" i="11"/>
  <c r="I1745" i="11"/>
  <c r="J1745" i="11"/>
  <c r="K1745" i="11"/>
  <c r="L1745" i="11"/>
  <c r="N1745" i="11"/>
  <c r="O1745" i="11"/>
  <c r="AE1745" i="11"/>
  <c r="R1745" i="11"/>
  <c r="V1745" i="11"/>
  <c r="X1745" i="11"/>
  <c r="AC1745" i="11"/>
  <c r="AC1744" i="11"/>
  <c r="K1744" i="11"/>
  <c r="J1744" i="11"/>
  <c r="I1744" i="11"/>
  <c r="K1743" i="11"/>
  <c r="J1743" i="11"/>
  <c r="I1743" i="11"/>
  <c r="V1743" i="11"/>
  <c r="N1743" i="11"/>
  <c r="O1743" i="11"/>
  <c r="R1743" i="11"/>
  <c r="AC1743" i="11"/>
  <c r="AE1743" i="11"/>
  <c r="AC1742" i="11"/>
  <c r="I1742" i="11"/>
  <c r="J1742" i="11"/>
  <c r="K1742" i="11"/>
  <c r="L1742" i="11"/>
  <c r="N1742" i="11"/>
  <c r="O1742" i="11"/>
  <c r="R1742" i="11"/>
  <c r="X1742" i="11"/>
  <c r="AC1741" i="11"/>
  <c r="K1741" i="11"/>
  <c r="J1741" i="11"/>
  <c r="I1741" i="11"/>
  <c r="J1740" i="11"/>
  <c r="O1740" i="11"/>
  <c r="N1740" i="11"/>
  <c r="AC1740" i="11"/>
  <c r="K1740" i="11"/>
  <c r="I1740" i="11"/>
  <c r="K1739" i="11"/>
  <c r="J1739" i="11"/>
  <c r="I1739" i="11"/>
  <c r="AE1739" i="11"/>
  <c r="AC1739" i="11"/>
  <c r="X1739" i="11"/>
  <c r="I1738" i="11"/>
  <c r="K1738" i="11"/>
  <c r="J1738" i="11"/>
  <c r="AC1738" i="11"/>
  <c r="X1738" i="11"/>
  <c r="V1738" i="11"/>
  <c r="AC1737" i="11"/>
  <c r="K1737" i="11"/>
  <c r="J1737" i="11"/>
  <c r="I1737" i="11"/>
  <c r="AC1736" i="11"/>
  <c r="K1736" i="11"/>
  <c r="J1736" i="11"/>
  <c r="I1736" i="11"/>
  <c r="AC1735" i="11"/>
  <c r="K1735" i="11"/>
  <c r="J1735" i="11"/>
  <c r="I1735" i="11"/>
  <c r="AC1734" i="11"/>
  <c r="K1734" i="11"/>
  <c r="J1734" i="11"/>
  <c r="I1734" i="11"/>
  <c r="AC1733" i="11"/>
  <c r="K1733" i="11"/>
  <c r="J1733" i="11"/>
  <c r="I1733" i="11"/>
  <c r="AC1732" i="11"/>
  <c r="K1732" i="11"/>
  <c r="J1732" i="11"/>
  <c r="I1732" i="11"/>
  <c r="AC1731" i="11"/>
  <c r="K1731" i="11"/>
  <c r="J1731" i="11"/>
  <c r="O1731" i="11" s="1"/>
  <c r="I1731" i="11"/>
  <c r="N1731" i="11"/>
  <c r="L1731" i="11"/>
  <c r="AC1730" i="11"/>
  <c r="K1730" i="11"/>
  <c r="I1730" i="11"/>
  <c r="J1730" i="11"/>
  <c r="O1730" i="11" s="1"/>
  <c r="L1730" i="11"/>
  <c r="N1730" i="11"/>
  <c r="R1730" i="11"/>
  <c r="I1729" i="11"/>
  <c r="J1729" i="11"/>
  <c r="N1729" i="11" s="1"/>
  <c r="K1729" i="11"/>
  <c r="L1729" i="11"/>
  <c r="O1729" i="11"/>
  <c r="AE1729" i="11"/>
  <c r="X1729" i="11"/>
  <c r="R1729" i="11"/>
  <c r="V1729" i="11"/>
  <c r="AC1729" i="11"/>
  <c r="I1728" i="11"/>
  <c r="AC1728" i="11"/>
  <c r="X1728" i="11"/>
  <c r="V1728" i="11"/>
  <c r="R1728" i="11"/>
  <c r="K1728" i="11"/>
  <c r="J1728" i="11"/>
  <c r="AC1727" i="11"/>
  <c r="J1727" i="11"/>
  <c r="O1727" i="11"/>
  <c r="N1727" i="11"/>
  <c r="K1727" i="11"/>
  <c r="I1727" i="11"/>
  <c r="AC1726" i="11"/>
  <c r="K1726" i="11"/>
  <c r="J1726" i="11"/>
  <c r="I1726" i="11"/>
  <c r="AE1726" i="11"/>
  <c r="I1725" i="11"/>
  <c r="K1725" i="11"/>
  <c r="R1725" i="11"/>
  <c r="V1725" i="11"/>
  <c r="X1725" i="11"/>
  <c r="AC1725" i="11"/>
  <c r="AE1725" i="11"/>
  <c r="J1725" i="11"/>
  <c r="AC1724" i="11"/>
  <c r="J1724" i="11"/>
  <c r="I1724" i="11"/>
  <c r="K1724" i="11"/>
  <c r="L1724" i="11" s="1"/>
  <c r="AE1724" i="11"/>
  <c r="J1723" i="11"/>
  <c r="I1723" i="11"/>
  <c r="K1723" i="11"/>
  <c r="L1723" i="11"/>
  <c r="N1723" i="11"/>
  <c r="R1723" i="11"/>
  <c r="V1723" i="11"/>
  <c r="X1723" i="11"/>
  <c r="AE1723" i="11"/>
  <c r="AC1723" i="11"/>
  <c r="O1723" i="11"/>
  <c r="I1722" i="11"/>
  <c r="V1722" i="11"/>
  <c r="K1722" i="11"/>
  <c r="L1722" i="11" s="1"/>
  <c r="J1722" i="11"/>
  <c r="AE1722" i="11"/>
  <c r="AC1722" i="11"/>
  <c r="X1722" i="11"/>
  <c r="R1722" i="11"/>
  <c r="I1721" i="11"/>
  <c r="K1721" i="11"/>
  <c r="AE1721" i="11"/>
  <c r="AC1721" i="11"/>
  <c r="J1721" i="11"/>
  <c r="AC1720" i="11"/>
  <c r="I1720" i="11"/>
  <c r="K1720" i="11"/>
  <c r="R1720" i="11"/>
  <c r="J1720" i="11"/>
  <c r="AE1720" i="11"/>
  <c r="V1720" i="11"/>
  <c r="X1720" i="11"/>
  <c r="K1719" i="11"/>
  <c r="I1719" i="11"/>
  <c r="V1719" i="11" s="1"/>
  <c r="R1719" i="11"/>
  <c r="J1719" i="11"/>
  <c r="X1719" i="11"/>
  <c r="AC1719" i="11"/>
  <c r="AE1719" i="11"/>
  <c r="AC1718" i="11"/>
  <c r="J1718" i="11"/>
  <c r="K1718" i="11"/>
  <c r="N1718" i="11"/>
  <c r="I1718" i="11"/>
  <c r="X1718" i="11"/>
  <c r="O1718" i="11"/>
  <c r="V1718" i="11"/>
  <c r="J1717" i="11"/>
  <c r="AC1717" i="11"/>
  <c r="I1717" i="11"/>
  <c r="K1717" i="11"/>
  <c r="J1716" i="11"/>
  <c r="AC1716" i="11"/>
  <c r="O1716" i="11"/>
  <c r="N1716" i="11"/>
  <c r="K1716" i="11"/>
  <c r="I1716" i="11"/>
  <c r="V1716" i="11"/>
  <c r="J1715" i="11"/>
  <c r="AC1715" i="11"/>
  <c r="I1715" i="11"/>
  <c r="K1715" i="11"/>
  <c r="J1714" i="11"/>
  <c r="N1714" i="11" s="1"/>
  <c r="AC1714" i="11"/>
  <c r="O1714" i="11"/>
  <c r="I1714" i="11"/>
  <c r="K1714" i="11"/>
  <c r="K1713" i="11"/>
  <c r="J1713" i="11"/>
  <c r="N1713" i="11" s="1"/>
  <c r="I1713" i="11"/>
  <c r="AC1713" i="11"/>
  <c r="O1713" i="11"/>
  <c r="AE1713" i="11"/>
  <c r="X1713" i="11"/>
  <c r="V1713" i="11"/>
  <c r="AC1712" i="11"/>
  <c r="J1712" i="11"/>
  <c r="N1712" i="11"/>
  <c r="O1712" i="11"/>
  <c r="I1712" i="11"/>
  <c r="K1712" i="11"/>
  <c r="V1712" i="11"/>
  <c r="I1711" i="11"/>
  <c r="K1711" i="11"/>
  <c r="J1711" i="11"/>
  <c r="N1711" i="11" s="1"/>
  <c r="L1711" i="11"/>
  <c r="AE1711" i="11"/>
  <c r="AC1711" i="11"/>
  <c r="O1711" i="11"/>
  <c r="J1710" i="11"/>
  <c r="AC1710" i="11"/>
  <c r="O1710" i="11"/>
  <c r="N1710" i="11"/>
  <c r="K1710" i="11"/>
  <c r="I1710" i="11"/>
  <c r="J1709" i="11"/>
  <c r="I1709" i="11"/>
  <c r="AC1709" i="11"/>
  <c r="K1709" i="11"/>
  <c r="AE1709" i="11" s="1"/>
  <c r="O1709" i="11"/>
  <c r="N1709" i="11"/>
  <c r="J1708" i="11"/>
  <c r="N1708" i="11" s="1"/>
  <c r="I1708" i="11"/>
  <c r="X1708" i="11" s="1"/>
  <c r="K1708" i="11"/>
  <c r="L1708" i="11" s="1"/>
  <c r="O1708" i="11"/>
  <c r="AE1708" i="11"/>
  <c r="AC1708" i="11"/>
  <c r="V1708" i="11"/>
  <c r="R1708" i="11"/>
  <c r="I1707" i="11"/>
  <c r="R1707" i="11" s="1"/>
  <c r="J1707" i="11"/>
  <c r="O1707" i="11" s="1"/>
  <c r="X1707" i="11"/>
  <c r="V1707" i="11"/>
  <c r="N1707" i="11"/>
  <c r="AC1707" i="11"/>
  <c r="K1707" i="11"/>
  <c r="AC1706" i="11"/>
  <c r="K1706" i="11"/>
  <c r="I1706" i="11"/>
  <c r="J1706" i="11"/>
  <c r="AC1705" i="11"/>
  <c r="K1705" i="11"/>
  <c r="I1705" i="11"/>
  <c r="J1705" i="11"/>
  <c r="N1705" i="11" s="1"/>
  <c r="L1705" i="11"/>
  <c r="O1705" i="11"/>
  <c r="X1705" i="11"/>
  <c r="AE1705" i="11"/>
  <c r="AC1704" i="11"/>
  <c r="J1704" i="11"/>
  <c r="K1704" i="11"/>
  <c r="I1704" i="11"/>
  <c r="R1704" i="11"/>
  <c r="L1704" i="11"/>
  <c r="X1704" i="11"/>
  <c r="AC1703" i="11"/>
  <c r="J1703" i="11"/>
  <c r="O1703" i="11"/>
  <c r="I1703" i="11"/>
  <c r="K1703" i="11"/>
  <c r="L1703" i="11"/>
  <c r="N1703" i="11"/>
  <c r="J1702" i="11"/>
  <c r="O1702" i="11" s="1"/>
  <c r="AC1702" i="11"/>
  <c r="N1702" i="11"/>
  <c r="K1702" i="11"/>
  <c r="I1702" i="11"/>
  <c r="J1701" i="11"/>
  <c r="O1701" i="11"/>
  <c r="N1701" i="11"/>
  <c r="I1701" i="11"/>
  <c r="K1701" i="11"/>
  <c r="AC1701" i="11"/>
  <c r="AC1700" i="11"/>
  <c r="K1700" i="11"/>
  <c r="I1700" i="11"/>
  <c r="R1700" i="11" s="1"/>
  <c r="X1700" i="11"/>
  <c r="V1700" i="11"/>
  <c r="AE1700" i="11"/>
  <c r="J1700" i="11"/>
  <c r="L1700" i="11"/>
  <c r="AC1699" i="11"/>
  <c r="I1699" i="11"/>
  <c r="K1699" i="11"/>
  <c r="J1699" i="11"/>
  <c r="AC1698" i="11"/>
  <c r="J1698" i="11"/>
  <c r="I1698" i="11"/>
  <c r="R1698" i="11"/>
  <c r="K1698" i="11"/>
  <c r="AC1697" i="11"/>
  <c r="J1697" i="11"/>
  <c r="O1697" i="11" s="1"/>
  <c r="I1697" i="11"/>
  <c r="AE1697" i="11" s="1"/>
  <c r="K1697" i="11"/>
  <c r="L1697" i="11"/>
  <c r="N1697" i="11"/>
  <c r="R1697" i="11"/>
  <c r="V1697" i="11"/>
  <c r="X1697" i="11"/>
  <c r="AC1696" i="11"/>
  <c r="K1696" i="11"/>
  <c r="I1696" i="11"/>
  <c r="J1696" i="11"/>
  <c r="L1696" i="11"/>
  <c r="J1695" i="11"/>
  <c r="K1695" i="11"/>
  <c r="I1695" i="11"/>
  <c r="AE1695" i="11"/>
  <c r="AC1695" i="11"/>
  <c r="X1695" i="11"/>
  <c r="AC1694" i="11"/>
  <c r="J1694" i="11"/>
  <c r="O1694" i="11" s="1"/>
  <c r="I1694" i="11"/>
  <c r="K1694" i="11"/>
  <c r="N1694" i="11"/>
  <c r="AE1694" i="11"/>
  <c r="V1694" i="11"/>
  <c r="R1694" i="11"/>
  <c r="K1693" i="11"/>
  <c r="I1693" i="11"/>
  <c r="J1693" i="11"/>
  <c r="L1693" i="11"/>
  <c r="R1693" i="11"/>
  <c r="AC1693" i="11"/>
  <c r="AE1693" i="11"/>
  <c r="X1693" i="11"/>
  <c r="V1693" i="11"/>
  <c r="K1692" i="11"/>
  <c r="AC1692" i="11"/>
  <c r="I1692" i="11"/>
  <c r="J1692" i="11"/>
  <c r="O1692" i="11" s="1"/>
  <c r="R1692" i="11"/>
  <c r="N1692" i="11"/>
  <c r="AE1692" i="11"/>
  <c r="AC1691" i="11"/>
  <c r="K1691" i="11"/>
  <c r="I1691" i="11"/>
  <c r="R1691" i="11" s="1"/>
  <c r="J1691" i="11"/>
  <c r="X1691" i="11"/>
  <c r="N1691" i="11"/>
  <c r="L1691" i="11"/>
  <c r="AE1691" i="11"/>
  <c r="V1691" i="11"/>
  <c r="O1691" i="11"/>
  <c r="I1690" i="11"/>
  <c r="AC1690" i="11"/>
  <c r="X1690" i="11"/>
  <c r="V1690" i="11"/>
  <c r="R1690" i="11"/>
  <c r="K1690" i="11"/>
  <c r="J1690" i="11"/>
  <c r="AC1689" i="11"/>
  <c r="K1689" i="11"/>
  <c r="I1689" i="11"/>
  <c r="V1689" i="11"/>
  <c r="R1689" i="11"/>
  <c r="J1689" i="11"/>
  <c r="K1688" i="11"/>
  <c r="I1688" i="11"/>
  <c r="AE1688" i="11"/>
  <c r="AC1688" i="11"/>
  <c r="X1688" i="11"/>
  <c r="V1688" i="11"/>
  <c r="R1688" i="11"/>
  <c r="J1688" i="11"/>
  <c r="AC1687" i="11"/>
  <c r="K1687" i="11"/>
  <c r="I1687" i="11"/>
  <c r="X1687" i="11"/>
  <c r="R1687" i="11"/>
  <c r="J1687" i="11"/>
  <c r="K1686" i="11"/>
  <c r="J1686" i="11"/>
  <c r="N1686" i="11" s="1"/>
  <c r="AC1686" i="11"/>
  <c r="O1686" i="11"/>
  <c r="I1686" i="11"/>
  <c r="I1685" i="11"/>
  <c r="K1685" i="11"/>
  <c r="AC1685" i="11"/>
  <c r="J1685" i="11"/>
  <c r="L1685" i="11"/>
  <c r="N1685" i="11"/>
  <c r="R1685" i="11"/>
  <c r="X1685" i="11"/>
  <c r="O1685" i="11"/>
  <c r="AE1685" i="11"/>
  <c r="V1685" i="11"/>
  <c r="J1684" i="11"/>
  <c r="I1684" i="11"/>
  <c r="L1684" i="11" s="1"/>
  <c r="O1684" i="11"/>
  <c r="K1684" i="11"/>
  <c r="X1684" i="11"/>
  <c r="R1684" i="11"/>
  <c r="V1684" i="11"/>
  <c r="AC1684" i="11"/>
  <c r="AE1684" i="11"/>
  <c r="N1684" i="11"/>
  <c r="J1683" i="11"/>
  <c r="N1683" i="11"/>
  <c r="AC1683" i="11"/>
  <c r="O1683" i="11"/>
  <c r="K1683" i="11"/>
  <c r="I1683" i="11"/>
  <c r="AC1682" i="11"/>
  <c r="I1682" i="11"/>
  <c r="K1682" i="11"/>
  <c r="L1682" i="11" s="1"/>
  <c r="R1682" i="11"/>
  <c r="J1682" i="11"/>
  <c r="K1681" i="11"/>
  <c r="I1681" i="11"/>
  <c r="L1681" i="11" s="1"/>
  <c r="AE1681" i="11"/>
  <c r="AC1681" i="11"/>
  <c r="X1681" i="11"/>
  <c r="V1681" i="11"/>
  <c r="R1681" i="11"/>
  <c r="J1681" i="11"/>
  <c r="AC1680" i="11"/>
  <c r="J1680" i="11"/>
  <c r="K1680" i="11"/>
  <c r="I1680" i="11"/>
  <c r="I1679" i="11"/>
  <c r="K1679" i="11"/>
  <c r="V1679" i="11"/>
  <c r="R1679" i="11"/>
  <c r="X1679" i="11"/>
  <c r="AC1679" i="11"/>
  <c r="AE1679" i="11"/>
  <c r="J1679" i="11"/>
  <c r="K1678" i="11"/>
  <c r="I1678" i="11"/>
  <c r="J1678" i="11"/>
  <c r="L1678" i="11"/>
  <c r="N1678" i="11"/>
  <c r="O1678" i="11"/>
  <c r="AE1678" i="11"/>
  <c r="R1678" i="11"/>
  <c r="AC1678" i="11"/>
  <c r="X1678" i="11"/>
  <c r="V1678" i="11"/>
  <c r="AC1677" i="11"/>
  <c r="I1677" i="11"/>
  <c r="J1677" i="11"/>
  <c r="K1677" i="11"/>
  <c r="L1677" i="11"/>
  <c r="AC1676" i="11"/>
  <c r="J1676" i="11"/>
  <c r="O1676" i="11" s="1"/>
  <c r="I1676" i="11"/>
  <c r="K1676" i="11"/>
  <c r="N1676" i="11"/>
  <c r="AE1676" i="11"/>
  <c r="AC1675" i="11"/>
  <c r="I1675" i="11"/>
  <c r="X1675" i="11"/>
  <c r="V1675" i="11"/>
  <c r="K1675" i="11"/>
  <c r="J1675" i="11"/>
  <c r="O1675" i="11"/>
  <c r="N1675" i="11"/>
  <c r="R1675" i="11"/>
  <c r="AC1674" i="11"/>
  <c r="I1674" i="11"/>
  <c r="K1674" i="11"/>
  <c r="R1674" i="11"/>
  <c r="J1674" i="11"/>
  <c r="K1673" i="11"/>
  <c r="AC1673" i="11"/>
  <c r="J1673" i="11"/>
  <c r="I1673" i="11"/>
  <c r="K1672" i="11"/>
  <c r="I1672" i="11"/>
  <c r="V1672" i="11"/>
  <c r="X1672" i="11"/>
  <c r="AC1672" i="11"/>
  <c r="AE1672" i="11"/>
  <c r="R1672" i="11"/>
  <c r="J1672" i="11"/>
  <c r="AC1671" i="11"/>
  <c r="J1671" i="11"/>
  <c r="O1671" i="11" s="1"/>
  <c r="N1671" i="11"/>
  <c r="K1671" i="11"/>
  <c r="I1671" i="11"/>
  <c r="AE1671" i="11"/>
  <c r="R1671" i="11"/>
  <c r="I1670" i="11"/>
  <c r="X1670" i="11"/>
  <c r="V1670" i="11"/>
  <c r="AC1670" i="11"/>
  <c r="R1670" i="11"/>
  <c r="K1670" i="11"/>
  <c r="J1670" i="11"/>
  <c r="K1669" i="11"/>
  <c r="J1669" i="11"/>
  <c r="N1669" i="11"/>
  <c r="I1669" i="11"/>
  <c r="X1669" i="11"/>
  <c r="V1669" i="11"/>
  <c r="O1669" i="11"/>
  <c r="AE1669" i="11"/>
  <c r="AC1669" i="11"/>
  <c r="AC1668" i="11"/>
  <c r="J1668" i="11"/>
  <c r="O1668" i="11"/>
  <c r="N1668" i="11"/>
  <c r="I1668" i="11"/>
  <c r="V1668" i="11" s="1"/>
  <c r="K1668" i="11"/>
  <c r="R1668" i="11"/>
  <c r="L1668" i="11"/>
  <c r="X1668" i="11"/>
  <c r="AE1668" i="11"/>
  <c r="J1667" i="11"/>
  <c r="N1667" i="11" s="1"/>
  <c r="K1667" i="11"/>
  <c r="I1667" i="11"/>
  <c r="L1667" i="11" s="1"/>
  <c r="V1667" i="11"/>
  <c r="AE1667" i="11"/>
  <c r="AC1667" i="11"/>
  <c r="X1667" i="11"/>
  <c r="R1667" i="11"/>
  <c r="O1667" i="11"/>
  <c r="J1666" i="11"/>
  <c r="N1666" i="11" s="1"/>
  <c r="AC1666" i="11"/>
  <c r="O1666" i="11"/>
  <c r="I1666" i="11"/>
  <c r="K1666" i="11"/>
  <c r="L1666" i="11"/>
  <c r="AC1665" i="11"/>
  <c r="I1665" i="11"/>
  <c r="J1665" i="11"/>
  <c r="K1665" i="11"/>
  <c r="J1664" i="11"/>
  <c r="I1664" i="11"/>
  <c r="K1664" i="11"/>
  <c r="AE1664" i="11" s="1"/>
  <c r="O1664" i="11"/>
  <c r="AC1664" i="11"/>
  <c r="N1664" i="11"/>
  <c r="X1664" i="11"/>
  <c r="V1664" i="11"/>
  <c r="AC1663" i="11"/>
  <c r="K1663" i="11"/>
  <c r="J1663" i="11"/>
  <c r="I1663" i="11"/>
  <c r="L1663" i="11"/>
  <c r="N1663" i="11"/>
  <c r="O1663" i="11"/>
  <c r="I1662" i="11"/>
  <c r="X1662" i="11" s="1"/>
  <c r="K1662" i="11"/>
  <c r="AE1662" i="11"/>
  <c r="J1662" i="11"/>
  <c r="N1662" i="11" s="1"/>
  <c r="L1662" i="11"/>
  <c r="O1662" i="11"/>
  <c r="R1662" i="11"/>
  <c r="V1662" i="11"/>
  <c r="AC1662" i="11"/>
  <c r="K1661" i="11"/>
  <c r="J1661" i="11"/>
  <c r="AC1661" i="11"/>
  <c r="I1661" i="11"/>
  <c r="L1661" i="11"/>
  <c r="AC1660" i="11"/>
  <c r="K1660" i="11"/>
  <c r="J1660" i="11"/>
  <c r="I1660" i="11"/>
  <c r="R1660" i="11"/>
  <c r="X1660" i="11"/>
  <c r="K1659" i="11"/>
  <c r="J1659" i="11"/>
  <c r="N1659" i="11"/>
  <c r="I1659" i="11"/>
  <c r="AC1659" i="11"/>
  <c r="X1659" i="11"/>
  <c r="O1659" i="11"/>
  <c r="AC1658" i="11"/>
  <c r="J1658" i="11"/>
  <c r="I1658" i="11"/>
  <c r="AE1658" i="11" s="1"/>
  <c r="X1658" i="11"/>
  <c r="O1658" i="11"/>
  <c r="N1658" i="11"/>
  <c r="K1658" i="11"/>
  <c r="L1658" i="11" s="1"/>
  <c r="R1658" i="11"/>
  <c r="V1658" i="11"/>
  <c r="K1657" i="11"/>
  <c r="J1657" i="11"/>
  <c r="I1657" i="11"/>
  <c r="AE1657" i="11"/>
  <c r="AC1657" i="11"/>
  <c r="J1656" i="11"/>
  <c r="O1656" i="11"/>
  <c r="N1656" i="11"/>
  <c r="K1656" i="11"/>
  <c r="I1656" i="11"/>
  <c r="AC1656" i="11"/>
  <c r="X1656" i="11"/>
  <c r="V1656" i="11"/>
  <c r="I1655" i="11"/>
  <c r="R1655" i="11" s="1"/>
  <c r="J1655" i="11"/>
  <c r="O1655" i="11" s="1"/>
  <c r="AC1655" i="11"/>
  <c r="X1655" i="11"/>
  <c r="V1655" i="11"/>
  <c r="N1655" i="11"/>
  <c r="K1655" i="11"/>
  <c r="AC1654" i="11"/>
  <c r="K1654" i="11"/>
  <c r="I1654" i="11"/>
  <c r="J1654" i="11"/>
  <c r="N1654" i="11" s="1"/>
  <c r="O1654" i="11"/>
  <c r="R1654" i="11"/>
  <c r="V1654" i="11"/>
  <c r="K1653" i="11"/>
  <c r="I1653" i="11"/>
  <c r="AE1653" i="11"/>
  <c r="AC1653" i="11"/>
  <c r="J1653" i="11"/>
  <c r="K1652" i="11"/>
  <c r="I1652" i="11"/>
  <c r="AC1652" i="11"/>
  <c r="AE1652" i="11"/>
  <c r="J1652" i="11"/>
  <c r="L1652" i="11"/>
  <c r="J1651" i="11"/>
  <c r="I1651" i="11"/>
  <c r="K1651" i="11"/>
  <c r="N1651" i="11"/>
  <c r="O1651" i="11"/>
  <c r="AE1651" i="11"/>
  <c r="AC1651" i="11"/>
  <c r="X1651" i="11"/>
  <c r="K1650" i="11"/>
  <c r="AC1650" i="11"/>
  <c r="J1650" i="11"/>
  <c r="I1650" i="11"/>
  <c r="AC1649" i="11"/>
  <c r="K1649" i="11"/>
  <c r="I1649" i="11"/>
  <c r="R1649" i="11" s="1"/>
  <c r="J1649" i="11"/>
  <c r="L1649" i="11"/>
  <c r="N1649" i="11"/>
  <c r="O1649" i="11"/>
  <c r="V1649" i="11"/>
  <c r="X1649" i="11"/>
  <c r="AE1649" i="11"/>
  <c r="AC1648" i="11"/>
  <c r="K1648" i="11"/>
  <c r="I1648" i="11"/>
  <c r="J1648" i="11"/>
  <c r="R1648" i="11"/>
  <c r="K1647" i="11"/>
  <c r="J1647" i="11"/>
  <c r="I1647" i="11"/>
  <c r="AC1647" i="11"/>
  <c r="V1647" i="11"/>
  <c r="J1646" i="11"/>
  <c r="O1646" i="11" s="1"/>
  <c r="I1646" i="11"/>
  <c r="R1646" i="11" s="1"/>
  <c r="K1646" i="11"/>
  <c r="N1646" i="11"/>
  <c r="AC1646" i="11"/>
  <c r="V1646" i="11"/>
  <c r="X1646" i="11"/>
  <c r="L1646" i="11"/>
  <c r="AE1646" i="11"/>
  <c r="K1645" i="11"/>
  <c r="I1645" i="11"/>
  <c r="J1645" i="11"/>
  <c r="AC1645" i="11"/>
  <c r="AE1645" i="11"/>
  <c r="V1645" i="11"/>
  <c r="R1645" i="11"/>
  <c r="K1644" i="11"/>
  <c r="I1644" i="11"/>
  <c r="X1644" i="11"/>
  <c r="J1644" i="11"/>
  <c r="O1644" i="11"/>
  <c r="AE1644" i="11"/>
  <c r="AC1644" i="11"/>
  <c r="AC1643" i="11"/>
  <c r="J1643" i="11"/>
  <c r="I1643" i="11"/>
  <c r="O1643" i="11"/>
  <c r="K1643" i="11"/>
  <c r="N1643" i="11"/>
  <c r="V1643" i="11"/>
  <c r="X1643" i="11"/>
  <c r="I1642" i="11"/>
  <c r="K1642" i="11"/>
  <c r="V1642" i="11"/>
  <c r="X1642" i="11"/>
  <c r="AE1642" i="11"/>
  <c r="AC1642" i="11"/>
  <c r="R1642" i="11"/>
  <c r="J1642" i="11"/>
  <c r="J1641" i="11"/>
  <c r="AC1641" i="11"/>
  <c r="O1641" i="11"/>
  <c r="N1641" i="11"/>
  <c r="K1641" i="11"/>
  <c r="I1641" i="11"/>
  <c r="J1640" i="11"/>
  <c r="K1640" i="11"/>
  <c r="O1640" i="11"/>
  <c r="AC1640" i="11"/>
  <c r="I1640" i="11"/>
  <c r="AE1640" i="11" s="1"/>
  <c r="L1640" i="11"/>
  <c r="N1640" i="11"/>
  <c r="R1640" i="11"/>
  <c r="V1640" i="11"/>
  <c r="X1640" i="11"/>
  <c r="K1639" i="11"/>
  <c r="I1639" i="11"/>
  <c r="V1639" i="11"/>
  <c r="J1639" i="11"/>
  <c r="AC1639" i="11"/>
  <c r="AE1639" i="11"/>
  <c r="I1638" i="11"/>
  <c r="V1638" i="11" s="1"/>
  <c r="K1638" i="11"/>
  <c r="X1638" i="11"/>
  <c r="AC1638" i="11"/>
  <c r="AE1638" i="11"/>
  <c r="J1638" i="11"/>
  <c r="R1638" i="11"/>
  <c r="I1637" i="11"/>
  <c r="J1637" i="11"/>
  <c r="N1637" i="11"/>
  <c r="O1637" i="11"/>
  <c r="K1637" i="11"/>
  <c r="L1637" i="11" s="1"/>
  <c r="AC1637" i="11"/>
  <c r="V1637" i="11"/>
  <c r="K1636" i="11"/>
  <c r="AC1636" i="11"/>
  <c r="I1636" i="11"/>
  <c r="R1636" i="11"/>
  <c r="J1636" i="11"/>
  <c r="AC1635" i="11"/>
  <c r="K1635" i="11"/>
  <c r="I1635" i="11"/>
  <c r="J1635" i="11"/>
  <c r="X1635" i="11"/>
  <c r="V1635" i="11"/>
  <c r="AC1634" i="11"/>
  <c r="J1634" i="11"/>
  <c r="O1634" i="11"/>
  <c r="N1634" i="11"/>
  <c r="I1634" i="11"/>
  <c r="K1634" i="11"/>
  <c r="AE1634" i="11" s="1"/>
  <c r="X1634" i="11"/>
  <c r="AC1633" i="11"/>
  <c r="K1633" i="11"/>
  <c r="I1633" i="11"/>
  <c r="AE1633" i="11" s="1"/>
  <c r="V1633" i="11"/>
  <c r="R1633" i="11"/>
  <c r="X1633" i="11"/>
  <c r="J1633" i="11"/>
  <c r="I1632" i="11"/>
  <c r="AC1632" i="11"/>
  <c r="J1632" i="11"/>
  <c r="X1632" i="11"/>
  <c r="V1632" i="11"/>
  <c r="R1632" i="11"/>
  <c r="N1632" i="11"/>
  <c r="K1632" i="11"/>
  <c r="O1632" i="11"/>
  <c r="J1631" i="11"/>
  <c r="I1631" i="11"/>
  <c r="K1631" i="11"/>
  <c r="L1631" i="11"/>
  <c r="N1631" i="11"/>
  <c r="O1631" i="11"/>
  <c r="R1631" i="11"/>
  <c r="AC1631" i="11"/>
  <c r="K1630" i="11"/>
  <c r="I1630" i="11"/>
  <c r="X1630" i="11"/>
  <c r="AC1630" i="11"/>
  <c r="R1630" i="11"/>
  <c r="V1630" i="11"/>
  <c r="AE1630" i="11"/>
  <c r="J1630" i="11"/>
  <c r="N1630" i="11"/>
  <c r="K1629" i="11"/>
  <c r="AC1629" i="11"/>
  <c r="I1629" i="11"/>
  <c r="J1629" i="11"/>
  <c r="L1629" i="11"/>
  <c r="N1629" i="11"/>
  <c r="O1629" i="11"/>
  <c r="AE1629" i="11"/>
  <c r="AC1628" i="11"/>
  <c r="I1628" i="11"/>
  <c r="K1628" i="11"/>
  <c r="AE1628" i="11"/>
  <c r="R1628" i="11"/>
  <c r="V1628" i="11"/>
  <c r="J1628" i="11"/>
  <c r="N1628" i="11" s="1"/>
  <c r="O1628" i="11"/>
  <c r="AC1627" i="11"/>
  <c r="K1627" i="11"/>
  <c r="I1627" i="11"/>
  <c r="R1627" i="11"/>
  <c r="V1627" i="11"/>
  <c r="J1627" i="11"/>
  <c r="N1627" i="11" s="1"/>
  <c r="L1627" i="11"/>
  <c r="O1627" i="11"/>
  <c r="I1626" i="11"/>
  <c r="AE1626" i="11" s="1"/>
  <c r="V1626" i="11"/>
  <c r="AC1626" i="11"/>
  <c r="R1626" i="11"/>
  <c r="X1626" i="11"/>
  <c r="J1626" i="11"/>
  <c r="O1626" i="11" s="1"/>
  <c r="K1626" i="11"/>
  <c r="L1626" i="11"/>
  <c r="N1626" i="11"/>
  <c r="J1625" i="11"/>
  <c r="O1625" i="11"/>
  <c r="K1625" i="11"/>
  <c r="I1625" i="11"/>
  <c r="AE1625" i="11"/>
  <c r="AC1625" i="11"/>
  <c r="N1625" i="11"/>
  <c r="K1624" i="11"/>
  <c r="AC1624" i="11"/>
  <c r="J1624" i="11"/>
  <c r="N1624" i="11" s="1"/>
  <c r="O1624" i="11"/>
  <c r="I1624" i="11"/>
  <c r="X1624" i="11"/>
  <c r="K1623" i="11"/>
  <c r="I1623" i="11"/>
  <c r="X1623" i="11"/>
  <c r="R1623" i="11"/>
  <c r="J1623" i="11"/>
  <c r="V1623" i="11"/>
  <c r="AC1623" i="11"/>
  <c r="AE1623" i="11"/>
  <c r="K1622" i="11"/>
  <c r="I1622" i="11"/>
  <c r="J1622" i="11"/>
  <c r="O1622" i="11" s="1"/>
  <c r="V1622" i="11"/>
  <c r="X1622" i="11"/>
  <c r="R1622" i="11"/>
  <c r="N1622" i="11"/>
  <c r="AE1622" i="11"/>
  <c r="AC1622" i="11"/>
  <c r="L1622" i="11"/>
  <c r="J1621" i="11"/>
  <c r="I1621" i="11"/>
  <c r="K1621" i="11"/>
  <c r="L1621" i="11" s="1"/>
  <c r="N1621" i="11"/>
  <c r="AE1621" i="11"/>
  <c r="AC1621" i="11"/>
  <c r="X1621" i="11"/>
  <c r="V1621" i="11"/>
  <c r="R1621" i="11"/>
  <c r="O1621" i="11"/>
  <c r="J1620" i="11"/>
  <c r="N1620" i="11"/>
  <c r="K1620" i="11"/>
  <c r="I1620" i="11"/>
  <c r="O1620" i="11"/>
  <c r="AE1620" i="11"/>
  <c r="AC1620" i="11"/>
  <c r="X1620" i="11"/>
  <c r="V1620" i="11"/>
  <c r="K1619" i="11"/>
  <c r="J1619" i="11"/>
  <c r="AC1619" i="11"/>
  <c r="I1619" i="11"/>
  <c r="AE1619" i="11"/>
  <c r="AC1618" i="11"/>
  <c r="K1618" i="11"/>
  <c r="I1618" i="11"/>
  <c r="J1618" i="11"/>
  <c r="L1618" i="11"/>
  <c r="N1618" i="11"/>
  <c r="O1618" i="11"/>
  <c r="R1618" i="11"/>
  <c r="I1617" i="11"/>
  <c r="V1617" i="11"/>
  <c r="AC1617" i="11"/>
  <c r="X1617" i="11"/>
  <c r="R1617" i="11"/>
  <c r="K1617" i="11"/>
  <c r="J1617" i="11"/>
  <c r="J1616" i="11"/>
  <c r="K1616" i="11"/>
  <c r="I1616" i="11"/>
  <c r="AC1616" i="11"/>
  <c r="AC1615" i="11"/>
  <c r="K1615" i="11"/>
  <c r="I1615" i="11"/>
  <c r="J1615" i="11"/>
  <c r="I1614" i="11"/>
  <c r="J1614" i="11"/>
  <c r="O1614" i="11" s="1"/>
  <c r="AC1614" i="11"/>
  <c r="N1614" i="11"/>
  <c r="K1614" i="11"/>
  <c r="J1613" i="11"/>
  <c r="N1613" i="11"/>
  <c r="O1613" i="11"/>
  <c r="K1613" i="11"/>
  <c r="I1613" i="11"/>
  <c r="AE1613" i="11"/>
  <c r="AC1613" i="11"/>
  <c r="X1613" i="11"/>
  <c r="V1613" i="11"/>
  <c r="AC1612" i="11"/>
  <c r="I1612" i="11"/>
  <c r="K1612" i="11"/>
  <c r="J1612" i="11"/>
  <c r="O1612" i="11" s="1"/>
  <c r="L1612" i="11"/>
  <c r="N1612" i="11"/>
  <c r="R1612" i="11"/>
  <c r="AE1612" i="11"/>
  <c r="AC1611" i="11"/>
  <c r="I1611" i="11"/>
  <c r="AE1611" i="11" s="1"/>
  <c r="V1611" i="11"/>
  <c r="X1611" i="11"/>
  <c r="K1611" i="11"/>
  <c r="R1611" i="11"/>
  <c r="J1611" i="11"/>
  <c r="O1611" i="11" s="1"/>
  <c r="L1611" i="11"/>
  <c r="N1611" i="11"/>
  <c r="K1610" i="11"/>
  <c r="I1610" i="11"/>
  <c r="AC1610" i="11"/>
  <c r="J1610" i="11"/>
  <c r="AE1610" i="11"/>
  <c r="X1610" i="11"/>
  <c r="V1610" i="11"/>
  <c r="J1609" i="11"/>
  <c r="N1609" i="11"/>
  <c r="AC1609" i="11"/>
  <c r="O1609" i="11"/>
  <c r="K1609" i="11"/>
  <c r="I1609" i="11"/>
  <c r="I1608" i="11"/>
  <c r="R1608" i="11"/>
  <c r="J1608" i="11"/>
  <c r="X1608" i="11"/>
  <c r="AC1608" i="11"/>
  <c r="O1608" i="11"/>
  <c r="K1608" i="11"/>
  <c r="L1608" i="11" s="1"/>
  <c r="N1608" i="11"/>
  <c r="J1607" i="11"/>
  <c r="N1607" i="11" s="1"/>
  <c r="I1607" i="11"/>
  <c r="L1607" i="11" s="1"/>
  <c r="K1607" i="11"/>
  <c r="R1607" i="11"/>
  <c r="X1607" i="11"/>
  <c r="AE1607" i="11"/>
  <c r="AC1607" i="11"/>
  <c r="O1607" i="11"/>
  <c r="V1607" i="11"/>
  <c r="I1606" i="11"/>
  <c r="J1606" i="11"/>
  <c r="X1606" i="11"/>
  <c r="O1606" i="11"/>
  <c r="N1606" i="11"/>
  <c r="R1606" i="11"/>
  <c r="K1606" i="11"/>
  <c r="L1606" i="11" s="1"/>
  <c r="V1606" i="11"/>
  <c r="AE1606" i="11"/>
  <c r="AC1606" i="11"/>
  <c r="K1605" i="11"/>
  <c r="I1605" i="11"/>
  <c r="AE1605" i="11"/>
  <c r="AC1605" i="11"/>
  <c r="R1605" i="11"/>
  <c r="J1605" i="11"/>
  <c r="AC1604" i="11"/>
  <c r="J1604" i="11"/>
  <c r="N1604" i="11"/>
  <c r="O1604" i="11"/>
  <c r="I1604" i="11"/>
  <c r="K1604" i="11"/>
  <c r="L1604" i="11"/>
  <c r="R1604" i="11"/>
  <c r="K1603" i="11"/>
  <c r="I1603" i="11"/>
  <c r="AE1603" i="11"/>
  <c r="AC1603" i="11"/>
  <c r="X1603" i="11"/>
  <c r="J1603" i="11"/>
  <c r="AC1602" i="11"/>
  <c r="I1602" i="11"/>
  <c r="K1602" i="11"/>
  <c r="J1602" i="11"/>
  <c r="AC1601" i="11"/>
  <c r="K1601" i="11"/>
  <c r="I1601" i="11"/>
  <c r="J1601" i="11"/>
  <c r="N1601" i="11" s="1"/>
  <c r="O1601" i="11"/>
  <c r="K1600" i="11"/>
  <c r="I1600" i="11"/>
  <c r="AC1600" i="11"/>
  <c r="X1600" i="11"/>
  <c r="V1600" i="11"/>
  <c r="AE1600" i="11"/>
  <c r="R1600" i="11"/>
  <c r="J1600" i="11"/>
  <c r="K1599" i="11"/>
  <c r="J1599" i="11"/>
  <c r="I1599" i="11"/>
  <c r="AE1599" i="11" s="1"/>
  <c r="O1599" i="11"/>
  <c r="L1599" i="11"/>
  <c r="V1599" i="11"/>
  <c r="X1599" i="11"/>
  <c r="R1599" i="11"/>
  <c r="AC1599" i="11"/>
  <c r="N1599" i="11"/>
  <c r="J1598" i="11"/>
  <c r="AC1598" i="11"/>
  <c r="K1598" i="11"/>
  <c r="I1598" i="11"/>
  <c r="AC1597" i="11"/>
  <c r="J1597" i="11"/>
  <c r="I1597" i="11"/>
  <c r="K1597" i="11"/>
  <c r="O1597" i="11"/>
  <c r="N1597" i="11"/>
  <c r="J1596" i="11"/>
  <c r="I1596" i="11"/>
  <c r="R1596" i="11"/>
  <c r="K1596" i="11"/>
  <c r="L1596" i="11" s="1"/>
  <c r="O1596" i="11"/>
  <c r="N1596" i="11"/>
  <c r="AE1596" i="11"/>
  <c r="AC1596" i="11"/>
  <c r="X1596" i="11"/>
  <c r="V1596" i="11"/>
  <c r="AC1595" i="11"/>
  <c r="I1595" i="11"/>
  <c r="K1595" i="11"/>
  <c r="J1595" i="11"/>
  <c r="N1595" i="11"/>
  <c r="V1595" i="11"/>
  <c r="AC1594" i="11"/>
  <c r="K1594" i="11"/>
  <c r="I1594" i="11"/>
  <c r="J1594" i="11"/>
  <c r="L1594" i="11"/>
  <c r="AC1593" i="11"/>
  <c r="K1593" i="11"/>
  <c r="J1593" i="11"/>
  <c r="N1593" i="11" s="1"/>
  <c r="O1593" i="11"/>
  <c r="I1593" i="11"/>
  <c r="J1592" i="11"/>
  <c r="O1592" i="11"/>
  <c r="AC1592" i="11"/>
  <c r="N1592" i="11"/>
  <c r="K1592" i="11"/>
  <c r="I1592" i="11"/>
  <c r="J1591" i="11"/>
  <c r="K1591" i="11"/>
  <c r="N1591" i="11"/>
  <c r="AC1591" i="11"/>
  <c r="O1591" i="11"/>
  <c r="I1591" i="11"/>
  <c r="AC1590" i="11"/>
  <c r="J1590" i="11"/>
  <c r="N1590" i="11" s="1"/>
  <c r="O1590" i="11"/>
  <c r="K1590" i="11"/>
  <c r="I1590" i="11"/>
  <c r="AE1590" i="11"/>
  <c r="J1589" i="11"/>
  <c r="K1589" i="11"/>
  <c r="I1589" i="11"/>
  <c r="L1589" i="11" s="1"/>
  <c r="N1589" i="11"/>
  <c r="V1589" i="11"/>
  <c r="AE1589" i="11"/>
  <c r="AC1589" i="11"/>
  <c r="X1589" i="11"/>
  <c r="R1589" i="11"/>
  <c r="O1589" i="11"/>
  <c r="AC1588" i="11"/>
  <c r="I1588" i="11"/>
  <c r="J1588" i="11"/>
  <c r="K1588" i="11"/>
  <c r="AC1587" i="11"/>
  <c r="K1587" i="11"/>
  <c r="I1587" i="11"/>
  <c r="L1587" i="11" s="1"/>
  <c r="J1587" i="11"/>
  <c r="R1587" i="11"/>
  <c r="V1587" i="11"/>
  <c r="X1587" i="11"/>
  <c r="AE1587" i="11"/>
  <c r="AC1586" i="11"/>
  <c r="K1586" i="11"/>
  <c r="I1586" i="11"/>
  <c r="J1586" i="11"/>
  <c r="L1586" i="11"/>
  <c r="N1586" i="11"/>
  <c r="O1586" i="11"/>
  <c r="AC1585" i="11"/>
  <c r="K1585" i="11"/>
  <c r="I1585" i="11"/>
  <c r="J1585" i="11"/>
  <c r="O1585" i="11" s="1"/>
  <c r="L1585" i="11"/>
  <c r="N1585" i="11"/>
  <c r="V1585" i="11"/>
  <c r="K1584" i="11"/>
  <c r="I1584" i="11"/>
  <c r="J1584" i="11"/>
  <c r="N1584" i="11" s="1"/>
  <c r="X1584" i="11"/>
  <c r="O1584" i="11"/>
  <c r="L1584" i="11"/>
  <c r="AC1584" i="11"/>
  <c r="AE1584" i="11"/>
  <c r="R1584" i="11"/>
  <c r="V1584" i="11"/>
  <c r="K1583" i="11"/>
  <c r="I1583" i="11"/>
  <c r="R1583" i="11" s="1"/>
  <c r="V1583" i="11"/>
  <c r="J1583" i="11"/>
  <c r="AE1583" i="11"/>
  <c r="AC1583" i="11"/>
  <c r="X1583" i="11"/>
  <c r="O1583" i="11"/>
  <c r="AC1582" i="11"/>
  <c r="J1582" i="11"/>
  <c r="I1582" i="11"/>
  <c r="K1582" i="11"/>
  <c r="R1582" i="11"/>
  <c r="K1581" i="11"/>
  <c r="I1581" i="11"/>
  <c r="X1581" i="11"/>
  <c r="J1581" i="11"/>
  <c r="L1581" i="11"/>
  <c r="AE1581" i="11"/>
  <c r="AC1581" i="11"/>
  <c r="I1580" i="11"/>
  <c r="L1580" i="11" s="1"/>
  <c r="J1580" i="11"/>
  <c r="X1580" i="11"/>
  <c r="AC1580" i="11"/>
  <c r="K1580" i="11"/>
  <c r="AE1580" i="11"/>
  <c r="V1580" i="11"/>
  <c r="R1580" i="11"/>
  <c r="I1579" i="11"/>
  <c r="X1579" i="11"/>
  <c r="AC1579" i="11"/>
  <c r="R1579" i="11"/>
  <c r="K1579" i="11"/>
  <c r="AE1579" i="11" s="1"/>
  <c r="V1579" i="11"/>
  <c r="J1579" i="11"/>
  <c r="L1579" i="11"/>
  <c r="N1579" i="11"/>
  <c r="O1579" i="11"/>
  <c r="K1578" i="11"/>
  <c r="J1578" i="11"/>
  <c r="I1578" i="11"/>
  <c r="X1578" i="11"/>
  <c r="AC1578" i="11"/>
  <c r="AE1578" i="11"/>
  <c r="V1578" i="11"/>
  <c r="J1577" i="11"/>
  <c r="N1577" i="11"/>
  <c r="I1577" i="11"/>
  <c r="K1577" i="11"/>
  <c r="O1577" i="11"/>
  <c r="X1577" i="11"/>
  <c r="AC1577" i="11"/>
  <c r="AC1576" i="11"/>
  <c r="J1576" i="11"/>
  <c r="N1576" i="11"/>
  <c r="O1576" i="11"/>
  <c r="K1576" i="11"/>
  <c r="I1576" i="11"/>
  <c r="J1575" i="11"/>
  <c r="O1575" i="11" s="1"/>
  <c r="N1575" i="11"/>
  <c r="K1575" i="11"/>
  <c r="I1575" i="11"/>
  <c r="AC1575" i="11"/>
  <c r="J1574" i="11"/>
  <c r="I1574" i="11"/>
  <c r="L1574" i="11" s="1"/>
  <c r="N1574" i="11"/>
  <c r="AC1574" i="11"/>
  <c r="K1574" i="11"/>
  <c r="AE1574" i="11" s="1"/>
  <c r="X1574" i="11"/>
  <c r="V1574" i="11"/>
  <c r="R1574" i="11"/>
  <c r="O1574" i="11"/>
  <c r="J1573" i="11"/>
  <c r="N1573" i="11" s="1"/>
  <c r="I1573" i="11"/>
  <c r="K1573" i="11"/>
  <c r="O1573" i="11"/>
  <c r="AC1573" i="11"/>
  <c r="K1572" i="11"/>
  <c r="I1572" i="11"/>
  <c r="AE1572" i="11"/>
  <c r="AC1572" i="11"/>
  <c r="J1572" i="11"/>
  <c r="L1572" i="11"/>
  <c r="R1572" i="11"/>
  <c r="X1572" i="11"/>
  <c r="V1572" i="11"/>
  <c r="O1572" i="11"/>
  <c r="N1572" i="11"/>
  <c r="AC1571" i="11"/>
  <c r="I1571" i="11"/>
  <c r="K1571" i="11"/>
  <c r="J1571" i="11"/>
  <c r="R1571" i="11"/>
  <c r="N1571" i="11"/>
  <c r="V1571" i="11"/>
  <c r="X1571" i="11"/>
  <c r="AE1571" i="11"/>
  <c r="I1570" i="11"/>
  <c r="AE1570" i="11" s="1"/>
  <c r="K1570" i="11"/>
  <c r="J1570" i="11"/>
  <c r="O1570" i="11" s="1"/>
  <c r="L1570" i="11"/>
  <c r="N1570" i="11"/>
  <c r="R1570" i="11"/>
  <c r="V1570" i="11"/>
  <c r="X1570" i="11"/>
  <c r="AC1570" i="11"/>
  <c r="AC1569" i="11"/>
  <c r="K1569" i="11"/>
  <c r="J1569" i="11"/>
  <c r="I1569" i="11"/>
  <c r="I1568" i="11"/>
  <c r="J1568" i="11"/>
  <c r="O1568" i="11"/>
  <c r="R1568" i="11"/>
  <c r="V1568" i="11"/>
  <c r="X1568" i="11"/>
  <c r="N1568" i="11"/>
  <c r="K1568" i="11"/>
  <c r="L1568" i="11" s="1"/>
  <c r="AE1568" i="11"/>
  <c r="AC1568" i="11"/>
  <c r="K1567" i="11"/>
  <c r="J1567" i="11"/>
  <c r="N1567" i="11"/>
  <c r="I1567" i="11"/>
  <c r="L1567" i="11"/>
  <c r="AC1567" i="11"/>
  <c r="AE1567" i="11"/>
  <c r="X1567" i="11"/>
  <c r="V1567" i="11"/>
  <c r="R1567" i="11"/>
  <c r="O1567" i="11"/>
  <c r="K1566" i="11"/>
  <c r="I1566" i="11"/>
  <c r="X1566" i="11"/>
  <c r="AC1566" i="11"/>
  <c r="J1566" i="11"/>
  <c r="AE1566" i="11"/>
  <c r="K1565" i="11"/>
  <c r="I1565" i="11"/>
  <c r="J1565" i="11"/>
  <c r="O1565" i="11" s="1"/>
  <c r="L1565" i="11"/>
  <c r="N1565" i="11"/>
  <c r="R1565" i="11"/>
  <c r="AE1565" i="11"/>
  <c r="AC1565" i="11"/>
  <c r="J1564" i="11"/>
  <c r="AC1564" i="11"/>
  <c r="N1564" i="11"/>
  <c r="K1564" i="11"/>
  <c r="I1564" i="11"/>
  <c r="O1564" i="11"/>
  <c r="R1564" i="11"/>
  <c r="V1564" i="11"/>
  <c r="AC1563" i="11"/>
  <c r="I1563" i="11"/>
  <c r="V1563" i="11"/>
  <c r="J1563" i="11"/>
  <c r="K1563" i="11"/>
  <c r="L1563" i="11" s="1"/>
  <c r="R1563" i="11"/>
  <c r="I1562" i="11"/>
  <c r="V1562" i="11"/>
  <c r="J1562" i="11"/>
  <c r="N1562" i="11" s="1"/>
  <c r="K1562" i="11"/>
  <c r="O1562" i="11"/>
  <c r="R1562" i="11"/>
  <c r="X1562" i="11"/>
  <c r="AC1562" i="11"/>
  <c r="AC1561" i="11"/>
  <c r="J1561" i="11"/>
  <c r="N1561" i="11"/>
  <c r="I1561" i="11"/>
  <c r="K1561" i="11"/>
  <c r="O1561" i="11"/>
  <c r="K1560" i="11"/>
  <c r="J1560" i="11"/>
  <c r="O1560" i="11"/>
  <c r="AC1560" i="11"/>
  <c r="I1560" i="11"/>
  <c r="N1560" i="11"/>
  <c r="AC1559" i="11"/>
  <c r="I1559" i="11"/>
  <c r="J1559" i="11"/>
  <c r="K1559" i="11"/>
  <c r="X1559" i="11"/>
  <c r="L1559" i="11"/>
  <c r="V1559" i="11"/>
  <c r="AC1558" i="11"/>
  <c r="J1558" i="11"/>
  <c r="O1558" i="11"/>
  <c r="I1558" i="11"/>
  <c r="K1558" i="11"/>
  <c r="L1558" i="11"/>
  <c r="N1558" i="11"/>
  <c r="AC1557" i="11"/>
  <c r="I1557" i="11"/>
  <c r="K1557" i="11"/>
  <c r="J1557" i="11"/>
  <c r="X1557" i="11"/>
  <c r="AC1556" i="11"/>
  <c r="K1556" i="11"/>
  <c r="J1556" i="11"/>
  <c r="I1556" i="11"/>
  <c r="K1555" i="11"/>
  <c r="I1555" i="11"/>
  <c r="J1555" i="11"/>
  <c r="AE1555" i="11"/>
  <c r="AC1555" i="11"/>
  <c r="K1554" i="11"/>
  <c r="I1554" i="11"/>
  <c r="V1554" i="11"/>
  <c r="X1554" i="11"/>
  <c r="AC1554" i="11"/>
  <c r="J1554" i="11"/>
  <c r="L1554" i="11"/>
  <c r="AC1553" i="11"/>
  <c r="I1553" i="11"/>
  <c r="K1553" i="11"/>
  <c r="V1553" i="11"/>
  <c r="X1553" i="11"/>
  <c r="R1553" i="11"/>
  <c r="AE1553" i="11"/>
  <c r="J1553" i="11"/>
  <c r="O1553" i="11" s="1"/>
  <c r="L1553" i="11"/>
  <c r="N1553" i="11"/>
  <c r="K1552" i="11"/>
  <c r="J1552" i="11"/>
  <c r="AC1552" i="11"/>
  <c r="I1552" i="11"/>
  <c r="AC1551" i="11"/>
  <c r="J1551" i="11"/>
  <c r="I1551" i="11"/>
  <c r="O1551" i="11"/>
  <c r="K1551" i="11"/>
  <c r="N1551" i="11"/>
  <c r="AC1550" i="11"/>
  <c r="K1550" i="11"/>
  <c r="J1550" i="11"/>
  <c r="I1550" i="11"/>
  <c r="R1550" i="11"/>
  <c r="L1550" i="11"/>
  <c r="I1549" i="11"/>
  <c r="J1549" i="11"/>
  <c r="O1549" i="11" s="1"/>
  <c r="K1549" i="11"/>
  <c r="N1549" i="11"/>
  <c r="AC1549" i="11"/>
  <c r="AE1549" i="11"/>
  <c r="K1548" i="11"/>
  <c r="J1548" i="11"/>
  <c r="N1548" i="11" s="1"/>
  <c r="O1548" i="11"/>
  <c r="AC1548" i="11"/>
  <c r="I1548" i="11"/>
  <c r="K1547" i="11"/>
  <c r="I1547" i="11"/>
  <c r="J1547" i="11"/>
  <c r="V1547" i="11"/>
  <c r="R1547" i="11"/>
  <c r="AE1547" i="11"/>
  <c r="AC1547" i="11"/>
  <c r="AC1546" i="11"/>
  <c r="I1546" i="11"/>
  <c r="K1546" i="11"/>
  <c r="J1546" i="11"/>
  <c r="O1546" i="11" s="1"/>
  <c r="L1546" i="11"/>
  <c r="AE1546" i="11"/>
  <c r="N1546" i="11"/>
  <c r="R1546" i="11"/>
  <c r="I1545" i="11"/>
  <c r="V1545" i="11" s="1"/>
  <c r="K1545" i="11"/>
  <c r="X1545" i="11"/>
  <c r="R1545" i="11"/>
  <c r="J1545" i="11"/>
  <c r="AE1545" i="11"/>
  <c r="AC1545" i="11"/>
  <c r="AC1544" i="11"/>
  <c r="J1544" i="11"/>
  <c r="K1544" i="11"/>
  <c r="I1544" i="11"/>
  <c r="X1544" i="11"/>
  <c r="V1544" i="11"/>
  <c r="J1543" i="11"/>
  <c r="O1543" i="11" s="1"/>
  <c r="AC1543" i="11"/>
  <c r="K1543" i="11"/>
  <c r="I1543" i="11"/>
  <c r="N1543" i="11"/>
  <c r="AC1542" i="11"/>
  <c r="I1542" i="11"/>
  <c r="AE1542" i="11" s="1"/>
  <c r="J1542" i="11"/>
  <c r="N1542" i="11"/>
  <c r="O1542" i="11"/>
  <c r="R1542" i="11"/>
  <c r="V1542" i="11"/>
  <c r="X1542" i="11"/>
  <c r="K1542" i="11"/>
  <c r="L1542" i="11" s="1"/>
  <c r="I1541" i="11"/>
  <c r="X1541" i="11" s="1"/>
  <c r="AC1541" i="11"/>
  <c r="J1541" i="11"/>
  <c r="K1541" i="11"/>
  <c r="L1541" i="11" s="1"/>
  <c r="AE1541" i="11"/>
  <c r="R1541" i="11"/>
  <c r="N1541" i="11"/>
  <c r="O1541" i="11"/>
  <c r="V1541" i="11"/>
  <c r="J1540" i="11"/>
  <c r="N1540" i="11" s="1"/>
  <c r="I1540" i="11"/>
  <c r="K1540" i="11"/>
  <c r="O1540" i="11"/>
  <c r="X1540" i="11"/>
  <c r="AC1540" i="11"/>
  <c r="AE1540" i="11"/>
  <c r="J1539" i="11"/>
  <c r="O1539" i="11" s="1"/>
  <c r="N1539" i="11"/>
  <c r="K1539" i="11"/>
  <c r="I1539" i="11"/>
  <c r="AE1539" i="11"/>
  <c r="AC1539" i="11"/>
  <c r="K1538" i="11"/>
  <c r="I1538" i="11"/>
  <c r="X1538" i="11"/>
  <c r="J1538" i="11"/>
  <c r="R1538" i="11"/>
  <c r="AC1538" i="11"/>
  <c r="V1538" i="11"/>
  <c r="O1538" i="11"/>
  <c r="AE1538" i="11"/>
  <c r="K1537" i="11"/>
  <c r="J1537" i="11"/>
  <c r="AC1537" i="11"/>
  <c r="I1537" i="11"/>
  <c r="X1536" i="11"/>
  <c r="AE1536" i="11"/>
  <c r="R1536" i="11"/>
  <c r="V1536" i="11"/>
  <c r="J1536" i="11"/>
  <c r="J1535" i="11"/>
  <c r="O1535" i="11"/>
  <c r="I1535" i="11"/>
  <c r="N1535" i="11"/>
  <c r="K1535" i="11"/>
  <c r="L1535" i="11" s="1"/>
  <c r="AC1535" i="11"/>
  <c r="AC1534" i="11"/>
  <c r="I1534" i="11"/>
  <c r="J1534" i="11"/>
  <c r="N1534" i="11" s="1"/>
  <c r="O1534" i="11"/>
  <c r="R1534" i="11"/>
  <c r="K1534" i="11"/>
  <c r="V1534" i="11"/>
  <c r="X1534" i="11"/>
  <c r="AC1533" i="11"/>
  <c r="I1533" i="11"/>
  <c r="J1533" i="11"/>
  <c r="K1533" i="11"/>
  <c r="N1533" i="11"/>
  <c r="O1533" i="11"/>
  <c r="R1533" i="11"/>
  <c r="V1533" i="11"/>
  <c r="K1532" i="11"/>
  <c r="J1532" i="11"/>
  <c r="I1532" i="11"/>
  <c r="L1532" i="11" s="1"/>
  <c r="AE1532" i="11"/>
  <c r="V1532" i="11"/>
  <c r="X1532" i="11"/>
  <c r="AC1532" i="11"/>
  <c r="R1532" i="11"/>
  <c r="K1531" i="11"/>
  <c r="J1531" i="11"/>
  <c r="I1531" i="11"/>
  <c r="R1531" i="11" s="1"/>
  <c r="AE1531" i="11"/>
  <c r="L1531" i="11"/>
  <c r="AC1531" i="11"/>
  <c r="X1531" i="11"/>
  <c r="V1531" i="11"/>
  <c r="J1530" i="11"/>
  <c r="I1530" i="11"/>
  <c r="L1530" i="11" s="1"/>
  <c r="X1530" i="11"/>
  <c r="AC1530" i="11"/>
  <c r="V1530" i="11"/>
  <c r="R1530" i="11"/>
  <c r="K1530" i="11"/>
  <c r="AE1530" i="11" s="1"/>
  <c r="AC1529" i="11"/>
  <c r="K1529" i="11"/>
  <c r="J1529" i="11"/>
  <c r="I1529" i="11"/>
  <c r="I1528" i="11"/>
  <c r="J1528" i="11"/>
  <c r="K1528" i="11"/>
  <c r="L1528" i="11"/>
  <c r="R1528" i="11"/>
  <c r="AE1528" i="11"/>
  <c r="AC1528" i="11"/>
  <c r="I1527" i="11"/>
  <c r="R1527" i="11" s="1"/>
  <c r="J1527" i="11"/>
  <c r="K1527" i="11"/>
  <c r="AC1527" i="11"/>
  <c r="X1527" i="11"/>
  <c r="V1527" i="11"/>
  <c r="AC1526" i="11"/>
  <c r="K1526" i="11"/>
  <c r="J1526" i="11"/>
  <c r="I1526" i="11"/>
  <c r="AC1525" i="11"/>
  <c r="K1525" i="11"/>
  <c r="J1525" i="11"/>
  <c r="I1525" i="11"/>
  <c r="AC1524" i="11"/>
  <c r="I1524" i="11"/>
  <c r="K1524" i="11"/>
  <c r="L1524" i="11" s="1"/>
  <c r="J1524" i="11"/>
  <c r="AC1523" i="11"/>
  <c r="I1523" i="11"/>
  <c r="V1523" i="11"/>
  <c r="R1523" i="11"/>
  <c r="K1523" i="11"/>
  <c r="L1523" i="11" s="1"/>
  <c r="J1523" i="11"/>
  <c r="I1522" i="11"/>
  <c r="AC1522" i="11"/>
  <c r="X1522" i="11"/>
  <c r="V1522" i="11"/>
  <c r="R1522" i="11"/>
  <c r="K1522" i="11"/>
  <c r="J1522" i="11"/>
  <c r="I1521" i="11"/>
  <c r="AC1521" i="11"/>
  <c r="X1521" i="11"/>
  <c r="V1521" i="11"/>
  <c r="R1521" i="11"/>
  <c r="K1521" i="11"/>
  <c r="J1521" i="11"/>
  <c r="I1520" i="11"/>
  <c r="AC1520" i="11"/>
  <c r="X1520" i="11"/>
  <c r="V1520" i="11"/>
  <c r="R1520" i="11"/>
  <c r="K1520" i="11"/>
  <c r="J1520" i="11"/>
  <c r="I1519" i="11"/>
  <c r="AC1519" i="11"/>
  <c r="X1519" i="11"/>
  <c r="V1519" i="11"/>
  <c r="R1519" i="11"/>
  <c r="K1519" i="11"/>
  <c r="J1519" i="11"/>
  <c r="I1518" i="11"/>
  <c r="AE1518" i="11" s="1"/>
  <c r="AC1518" i="11"/>
  <c r="X1518" i="11"/>
  <c r="V1518" i="11"/>
  <c r="R1518" i="11"/>
  <c r="K1518" i="11"/>
  <c r="L1518" i="11" s="1"/>
  <c r="J1518" i="11"/>
  <c r="I1517" i="11"/>
  <c r="AC1517" i="11"/>
  <c r="X1517" i="11"/>
  <c r="V1517" i="11"/>
  <c r="R1517" i="11"/>
  <c r="K1517" i="11"/>
  <c r="J1517" i="11"/>
  <c r="I1516" i="11"/>
  <c r="AC1516" i="11"/>
  <c r="X1516" i="11"/>
  <c r="V1516" i="11"/>
  <c r="R1516" i="11"/>
  <c r="K1516" i="11"/>
  <c r="J1516" i="11"/>
  <c r="I1515" i="11"/>
  <c r="AC1515" i="11"/>
  <c r="X1515" i="11"/>
  <c r="V1515" i="11"/>
  <c r="R1515" i="11"/>
  <c r="K1515" i="11"/>
  <c r="J1515" i="11"/>
  <c r="I1514" i="11"/>
  <c r="AC1514" i="11"/>
  <c r="X1514" i="11"/>
  <c r="V1514" i="11"/>
  <c r="R1514" i="11"/>
  <c r="K1514" i="11"/>
  <c r="J1514" i="11"/>
  <c r="I1513" i="11"/>
  <c r="AC1513" i="11"/>
  <c r="X1513" i="11"/>
  <c r="V1513" i="11"/>
  <c r="R1513" i="11"/>
  <c r="K1513" i="11"/>
  <c r="J1513" i="11"/>
  <c r="AC1512" i="11"/>
  <c r="I1512" i="11"/>
  <c r="AE1512" i="11" s="1"/>
  <c r="X1512" i="11"/>
  <c r="V1512" i="11"/>
  <c r="R1512" i="11"/>
  <c r="K1512" i="11"/>
  <c r="L1512" i="11" s="1"/>
  <c r="J1512" i="11"/>
  <c r="I1511" i="11"/>
  <c r="AC1511" i="11"/>
  <c r="X1511" i="11"/>
  <c r="V1511" i="11"/>
  <c r="R1511" i="11"/>
  <c r="K1511" i="11"/>
  <c r="J1511" i="11"/>
  <c r="I1510" i="11"/>
  <c r="AC1510" i="11"/>
  <c r="X1510" i="11"/>
  <c r="V1510" i="11"/>
  <c r="R1510" i="11"/>
  <c r="K1510" i="11"/>
  <c r="J1510" i="11"/>
  <c r="I1509" i="11"/>
  <c r="AC1509" i="11"/>
  <c r="X1509" i="11"/>
  <c r="V1509" i="11"/>
  <c r="R1509" i="11"/>
  <c r="K1509" i="11"/>
  <c r="J1509" i="11"/>
  <c r="I1508" i="11"/>
  <c r="AC1508" i="11"/>
  <c r="X1508" i="11"/>
  <c r="V1508" i="11"/>
  <c r="R1508" i="11"/>
  <c r="K1508" i="11"/>
  <c r="J1508" i="11"/>
  <c r="I1507" i="11"/>
  <c r="AC1507" i="11"/>
  <c r="X1507" i="11"/>
  <c r="V1507" i="11"/>
  <c r="R1507" i="11"/>
  <c r="K1507" i="11"/>
  <c r="J1507" i="11"/>
  <c r="AC1506" i="11"/>
  <c r="I1506" i="11"/>
  <c r="J1506" i="11"/>
  <c r="K1506" i="11"/>
  <c r="L1506" i="11" s="1"/>
  <c r="N1506" i="11"/>
  <c r="O1506" i="11"/>
  <c r="R1506" i="11"/>
  <c r="AC1505" i="11"/>
  <c r="K1505" i="11"/>
  <c r="J1505" i="11"/>
  <c r="I1505" i="11"/>
  <c r="AC1504" i="11"/>
  <c r="K1504" i="11"/>
  <c r="J1504" i="11"/>
  <c r="N1504" i="11" s="1"/>
  <c r="I1504" i="11"/>
  <c r="X1504" i="11"/>
  <c r="V1504" i="11"/>
  <c r="R1504" i="11"/>
  <c r="O1504" i="11"/>
  <c r="AC1503" i="11"/>
  <c r="I1503" i="11"/>
  <c r="J1503" i="11"/>
  <c r="K1503" i="11"/>
  <c r="L1503" i="11"/>
  <c r="N1503" i="11"/>
  <c r="O1503" i="11"/>
  <c r="R1503" i="11"/>
  <c r="K1502" i="11"/>
  <c r="I1502" i="11"/>
  <c r="J1502" i="11"/>
  <c r="AE1502" i="11"/>
  <c r="AC1502" i="11"/>
  <c r="X1502" i="11"/>
  <c r="V1502" i="11"/>
  <c r="AC1501" i="11"/>
  <c r="K1501" i="11"/>
  <c r="J1501" i="11"/>
  <c r="O1501" i="11" s="1"/>
  <c r="I1501" i="11"/>
  <c r="N1501" i="11"/>
  <c r="R1501" i="11"/>
  <c r="AC1500" i="11"/>
  <c r="K1500" i="11"/>
  <c r="J1500" i="11"/>
  <c r="I1500" i="11"/>
  <c r="AC1499" i="11"/>
  <c r="K1499" i="11"/>
  <c r="J1499" i="11"/>
  <c r="I1499" i="11"/>
  <c r="AC1498" i="11"/>
  <c r="K1498" i="11"/>
  <c r="J1498" i="11"/>
  <c r="I1498" i="11"/>
  <c r="AE1497" i="11"/>
  <c r="AC1497" i="11"/>
  <c r="K1497" i="11"/>
  <c r="J1497" i="11"/>
  <c r="I1497" i="11"/>
  <c r="AC1496" i="11"/>
  <c r="K1496" i="11"/>
  <c r="J1496" i="11"/>
  <c r="I1496" i="11"/>
  <c r="AC1495" i="11"/>
  <c r="K1495" i="11"/>
  <c r="J1495" i="11"/>
  <c r="I1495" i="11"/>
  <c r="AC1494" i="11"/>
  <c r="K1494" i="11"/>
  <c r="J1494" i="11"/>
  <c r="I1494" i="11"/>
  <c r="AC1493" i="11"/>
  <c r="K1493" i="11"/>
  <c r="J1493" i="11"/>
  <c r="I1493" i="11"/>
  <c r="AC1492" i="11"/>
  <c r="K1492" i="11"/>
  <c r="J1492" i="11"/>
  <c r="I1492" i="11"/>
  <c r="AC1491" i="11"/>
  <c r="K1491" i="11"/>
  <c r="J1491" i="11"/>
  <c r="I1491" i="11"/>
  <c r="AC1490" i="11"/>
  <c r="K1490" i="11"/>
  <c r="J1490" i="11"/>
  <c r="I1490" i="11"/>
  <c r="AC1489" i="11"/>
  <c r="K1489" i="11"/>
  <c r="J1489" i="11"/>
  <c r="I1489" i="11"/>
  <c r="AC1488" i="11"/>
  <c r="K1488" i="11"/>
  <c r="J1488" i="11"/>
  <c r="I1488" i="11"/>
  <c r="AC1487" i="11"/>
  <c r="K1487" i="11"/>
  <c r="J1487" i="11"/>
  <c r="I1487" i="11"/>
  <c r="AC1486" i="11"/>
  <c r="K1486" i="11"/>
  <c r="J1486" i="11"/>
  <c r="I1486" i="11"/>
  <c r="AC1485" i="11"/>
  <c r="K1485" i="11"/>
  <c r="J1485" i="11"/>
  <c r="I1485" i="11"/>
  <c r="AC1484" i="11"/>
  <c r="K1484" i="11"/>
  <c r="J1484" i="11"/>
  <c r="I1484" i="11"/>
  <c r="AC1483" i="11"/>
  <c r="K1483" i="11"/>
  <c r="J1483" i="11"/>
  <c r="I1483" i="11"/>
  <c r="AC1482" i="11"/>
  <c r="K1482" i="11"/>
  <c r="J1482" i="11"/>
  <c r="I1482" i="11"/>
  <c r="AC1481" i="11"/>
  <c r="K1481" i="11"/>
  <c r="J1481" i="11"/>
  <c r="I1481" i="11"/>
  <c r="AC1480" i="11"/>
  <c r="K1480" i="11"/>
  <c r="J1480" i="11"/>
  <c r="I1480" i="11"/>
  <c r="AC1479" i="11"/>
  <c r="K1479" i="11"/>
  <c r="J1479" i="11"/>
  <c r="I1479" i="11"/>
  <c r="AC1478" i="11"/>
  <c r="K1478" i="11"/>
  <c r="J1478" i="11"/>
  <c r="I1478" i="11"/>
  <c r="AC1477" i="11"/>
  <c r="K1477" i="11"/>
  <c r="J1477" i="11"/>
  <c r="I1477" i="11"/>
  <c r="AC1476" i="11"/>
  <c r="K1476" i="11"/>
  <c r="J1476" i="11"/>
  <c r="I1476" i="11"/>
  <c r="AC1475" i="11"/>
  <c r="K1475" i="11"/>
  <c r="J1475" i="11"/>
  <c r="I1475" i="11"/>
  <c r="AC1474" i="11"/>
  <c r="K1474" i="11"/>
  <c r="J1474" i="11"/>
  <c r="I1474" i="11"/>
  <c r="AC1473" i="11"/>
  <c r="K1473" i="11"/>
  <c r="J1473" i="11"/>
  <c r="I1473" i="11"/>
  <c r="AC1472" i="11"/>
  <c r="K1472" i="11"/>
  <c r="J1472" i="11"/>
  <c r="I1472" i="11"/>
  <c r="AC1471" i="11"/>
  <c r="K1471" i="11"/>
  <c r="J1471" i="11"/>
  <c r="I1471" i="11"/>
  <c r="AC1470" i="11"/>
  <c r="K1470" i="11"/>
  <c r="J1470" i="11"/>
  <c r="I1470" i="11"/>
  <c r="AC1469" i="11"/>
  <c r="K1469" i="11"/>
  <c r="J1469" i="11"/>
  <c r="I1469" i="11"/>
  <c r="AC1468" i="11"/>
  <c r="K1468" i="11"/>
  <c r="J1468" i="11"/>
  <c r="I1468" i="11"/>
  <c r="AC1467" i="11"/>
  <c r="K1467" i="11"/>
  <c r="J1467" i="11"/>
  <c r="I1467" i="11"/>
  <c r="AC1466" i="11"/>
  <c r="K1466" i="11"/>
  <c r="J1466" i="11"/>
  <c r="I1466" i="11"/>
  <c r="AC1465" i="11"/>
  <c r="K1465" i="11"/>
  <c r="J1465" i="11"/>
  <c r="I1465" i="11"/>
  <c r="AC1464" i="11"/>
  <c r="K1464" i="11"/>
  <c r="J1464" i="11"/>
  <c r="I1464" i="11"/>
  <c r="AC1463" i="11"/>
  <c r="K1463" i="11"/>
  <c r="J1463" i="11"/>
  <c r="I1463" i="11"/>
  <c r="AC1462" i="11"/>
  <c r="K1462" i="11"/>
  <c r="J1462" i="11"/>
  <c r="I1462" i="11"/>
  <c r="AC1461" i="11"/>
  <c r="K1461" i="11"/>
  <c r="J1461" i="11"/>
  <c r="I1461" i="11"/>
  <c r="AC1460" i="11"/>
  <c r="K1460" i="11"/>
  <c r="J1460" i="11"/>
  <c r="I1460" i="11"/>
  <c r="AC1459" i="11"/>
  <c r="K1459" i="11"/>
  <c r="J1459" i="11"/>
  <c r="I1459" i="11"/>
  <c r="AC1458" i="11"/>
  <c r="K1458" i="11"/>
  <c r="J1458" i="11"/>
  <c r="I1458" i="11"/>
  <c r="AC1457" i="11"/>
  <c r="K1457" i="11"/>
  <c r="J1457" i="11"/>
  <c r="I1457" i="11"/>
  <c r="AC1456" i="11"/>
  <c r="K1456" i="11"/>
  <c r="J1456" i="11"/>
  <c r="I1456" i="11"/>
  <c r="AC1455" i="11"/>
  <c r="K1455" i="11"/>
  <c r="J1455" i="11"/>
  <c r="I1455" i="11"/>
  <c r="AC1454" i="11"/>
  <c r="K1454" i="11"/>
  <c r="J1454" i="11"/>
  <c r="I1454" i="11"/>
  <c r="AC1453" i="11"/>
  <c r="K1453" i="11"/>
  <c r="J1453" i="11"/>
  <c r="I1453" i="11"/>
  <c r="AC1452" i="11"/>
  <c r="K1452" i="11"/>
  <c r="J1452" i="11"/>
  <c r="I1452" i="11"/>
  <c r="AC1451" i="11"/>
  <c r="K1451" i="11"/>
  <c r="J1451" i="11"/>
  <c r="I1451" i="11"/>
  <c r="AC1450" i="11"/>
  <c r="K1450" i="11"/>
  <c r="J1450" i="11"/>
  <c r="I1450" i="11"/>
  <c r="AC1449" i="11"/>
  <c r="K1449" i="11"/>
  <c r="J1449" i="11"/>
  <c r="I1449" i="11"/>
  <c r="AC1448" i="11"/>
  <c r="K1448" i="11"/>
  <c r="J1448" i="11"/>
  <c r="I1448" i="11"/>
  <c r="AC1447" i="11"/>
  <c r="K1447" i="11"/>
  <c r="J1447" i="11"/>
  <c r="I1447" i="11"/>
  <c r="AC1446" i="11"/>
  <c r="K1446" i="11"/>
  <c r="J1446" i="11"/>
  <c r="I1446" i="11"/>
  <c r="AC1445" i="11"/>
  <c r="K1445" i="11"/>
  <c r="J1445" i="11"/>
  <c r="I1445" i="11"/>
  <c r="AC1444" i="11"/>
  <c r="K1444" i="11"/>
  <c r="J1444" i="11"/>
  <c r="I1444" i="11"/>
  <c r="AC1443" i="11"/>
  <c r="K1443" i="11"/>
  <c r="J1443" i="11"/>
  <c r="I1443" i="11"/>
  <c r="AC1442" i="11"/>
  <c r="K1442" i="11"/>
  <c r="J1442" i="11"/>
  <c r="I1442" i="11"/>
  <c r="AC1441" i="11"/>
  <c r="K1441" i="11"/>
  <c r="J1441" i="11"/>
  <c r="I1441" i="11"/>
  <c r="AC1440" i="11"/>
  <c r="K1440" i="11"/>
  <c r="J1440" i="11"/>
  <c r="I1440" i="11"/>
  <c r="AC1439" i="11"/>
  <c r="K1439" i="11"/>
  <c r="J1439" i="11"/>
  <c r="I1439" i="11"/>
  <c r="AC1438" i="11"/>
  <c r="K1438" i="11"/>
  <c r="J1438" i="11"/>
  <c r="I1438" i="11"/>
  <c r="AC1437" i="11"/>
  <c r="K1437" i="11"/>
  <c r="J1437" i="11"/>
  <c r="I1437" i="11"/>
  <c r="AC1436" i="11"/>
  <c r="K1436" i="11"/>
  <c r="J1436" i="11"/>
  <c r="I1436" i="11"/>
  <c r="AC1435" i="11"/>
  <c r="K1435" i="11"/>
  <c r="J1435" i="11"/>
  <c r="I1435" i="11"/>
  <c r="AC1434" i="11"/>
  <c r="K1434" i="11"/>
  <c r="J1434" i="11"/>
  <c r="I1434" i="11"/>
  <c r="AC1433" i="11"/>
  <c r="K1433" i="11"/>
  <c r="J1433" i="11"/>
  <c r="I1433" i="11"/>
  <c r="AC1432" i="11"/>
  <c r="K1432" i="11"/>
  <c r="J1432" i="11"/>
  <c r="I1432" i="11"/>
  <c r="AC1431" i="11"/>
  <c r="K1431" i="11"/>
  <c r="J1431" i="11"/>
  <c r="I1431" i="11"/>
  <c r="AC1430" i="11"/>
  <c r="K1430" i="11"/>
  <c r="J1430" i="11"/>
  <c r="I1430" i="11"/>
  <c r="AC1429" i="11"/>
  <c r="K1429" i="11"/>
  <c r="J1429" i="11"/>
  <c r="I1429" i="11"/>
  <c r="AC1428" i="11"/>
  <c r="K1428" i="11"/>
  <c r="J1428" i="11"/>
  <c r="I1428" i="11"/>
  <c r="AC1427" i="11"/>
  <c r="K1427" i="11"/>
  <c r="J1427" i="11"/>
  <c r="I1427" i="11"/>
  <c r="AC1426" i="11"/>
  <c r="K1426" i="11"/>
  <c r="J1426" i="11"/>
  <c r="I1426" i="11"/>
  <c r="AC1425" i="11"/>
  <c r="K1425" i="11"/>
  <c r="J1425" i="11"/>
  <c r="I1425" i="11"/>
  <c r="AC1424" i="11"/>
  <c r="K1424" i="11"/>
  <c r="J1424" i="11"/>
  <c r="I1424" i="11"/>
  <c r="AC1423" i="11"/>
  <c r="K1423" i="11"/>
  <c r="J1423" i="11"/>
  <c r="I1423" i="11"/>
  <c r="AC1422" i="11"/>
  <c r="K1422" i="11"/>
  <c r="J1422" i="11"/>
  <c r="I1422" i="11"/>
  <c r="AC1421" i="11"/>
  <c r="K1421" i="11"/>
  <c r="J1421" i="11"/>
  <c r="I1421" i="11"/>
  <c r="AC1420" i="11"/>
  <c r="K1420" i="11"/>
  <c r="J1420" i="11"/>
  <c r="I1420" i="11"/>
  <c r="AC1419" i="11"/>
  <c r="K1419" i="11"/>
  <c r="J1419" i="11"/>
  <c r="I1419" i="11"/>
  <c r="AC1418" i="11"/>
  <c r="K1418" i="11"/>
  <c r="J1418" i="11"/>
  <c r="I1418" i="11"/>
  <c r="AC1417" i="11"/>
  <c r="K1417" i="11"/>
  <c r="J1417" i="11"/>
  <c r="I1417" i="11"/>
  <c r="AC1416" i="11"/>
  <c r="K1416" i="11"/>
  <c r="J1416" i="11"/>
  <c r="I1416" i="11"/>
  <c r="AC1415" i="11"/>
  <c r="K1415" i="11"/>
  <c r="J1415" i="11"/>
  <c r="I1415" i="11"/>
  <c r="AC1414" i="11"/>
  <c r="K1414" i="11"/>
  <c r="J1414" i="11"/>
  <c r="I1414" i="11"/>
  <c r="AC1413" i="11"/>
  <c r="K1413" i="11"/>
  <c r="J1413" i="11"/>
  <c r="I1413" i="11"/>
  <c r="AC1412" i="11"/>
  <c r="K1412" i="11"/>
  <c r="J1412" i="11"/>
  <c r="I1412" i="11"/>
  <c r="AC1411" i="11"/>
  <c r="K1411" i="11"/>
  <c r="J1411" i="11"/>
  <c r="I1411" i="11"/>
  <c r="AC1410" i="11"/>
  <c r="K1410" i="11"/>
  <c r="J1410" i="11"/>
  <c r="I1410" i="11"/>
  <c r="AC1409" i="11"/>
  <c r="K1409" i="11"/>
  <c r="J1409" i="11"/>
  <c r="I1409" i="11"/>
  <c r="AC1408" i="11"/>
  <c r="K1408" i="11"/>
  <c r="J1408" i="11"/>
  <c r="I1408" i="11"/>
  <c r="AC1407" i="11"/>
  <c r="K1407" i="11"/>
  <c r="J1407" i="11"/>
  <c r="I1407" i="11"/>
  <c r="AC1406" i="11"/>
  <c r="K1406" i="11"/>
  <c r="J1406" i="11"/>
  <c r="I1406" i="11"/>
  <c r="AC1405" i="11"/>
  <c r="K1405" i="11"/>
  <c r="J1405" i="11"/>
  <c r="I1405" i="11"/>
  <c r="AC1404" i="11"/>
  <c r="K1404" i="11"/>
  <c r="J1404" i="11"/>
  <c r="I1404" i="11"/>
  <c r="AC1403" i="11"/>
  <c r="K1403" i="11"/>
  <c r="J1403" i="11"/>
  <c r="I1403" i="11"/>
  <c r="AC1402" i="11"/>
  <c r="K1402" i="11"/>
  <c r="J1402" i="11"/>
  <c r="I1402" i="11"/>
  <c r="AC1401" i="11"/>
  <c r="K1401" i="11"/>
  <c r="J1401" i="11"/>
  <c r="I1401" i="11"/>
  <c r="AC1400" i="11"/>
  <c r="K1400" i="11"/>
  <c r="J1400" i="11"/>
  <c r="I1400" i="11"/>
  <c r="AC1399" i="11"/>
  <c r="K1399" i="11"/>
  <c r="J1399" i="11"/>
  <c r="I1399" i="11"/>
  <c r="AC1398" i="11"/>
  <c r="K1398" i="11"/>
  <c r="J1398" i="11"/>
  <c r="I1398" i="11"/>
  <c r="AC1397" i="11"/>
  <c r="K1397" i="11"/>
  <c r="J1397" i="11"/>
  <c r="I1397" i="11"/>
  <c r="AC1396" i="11"/>
  <c r="K1396" i="11"/>
  <c r="J1396" i="11"/>
  <c r="I1396" i="11"/>
  <c r="AC1395" i="11"/>
  <c r="K1395" i="11"/>
  <c r="J1395" i="11"/>
  <c r="I1395" i="11"/>
  <c r="AC1394" i="11"/>
  <c r="K1394" i="11"/>
  <c r="J1394" i="11"/>
  <c r="I1394" i="11"/>
  <c r="AC1393" i="11"/>
  <c r="K1393" i="11"/>
  <c r="J1393" i="11"/>
  <c r="I1393" i="11"/>
  <c r="AC1392" i="11"/>
  <c r="K1392" i="11"/>
  <c r="J1392" i="11"/>
  <c r="I1392" i="11"/>
  <c r="AC1391" i="11"/>
  <c r="K1391" i="11"/>
  <c r="J1391" i="11"/>
  <c r="I1391" i="11"/>
  <c r="AC1390" i="11"/>
  <c r="K1390" i="11"/>
  <c r="J1390" i="11"/>
  <c r="I1390" i="11"/>
  <c r="AC1389" i="11"/>
  <c r="K1389" i="11"/>
  <c r="J1389" i="11"/>
  <c r="I1389" i="11"/>
  <c r="AC1388" i="11"/>
  <c r="K1388" i="11"/>
  <c r="J1388" i="11"/>
  <c r="I1388" i="11"/>
  <c r="AC1387" i="11"/>
  <c r="K1387" i="11"/>
  <c r="J1387" i="11"/>
  <c r="I1387" i="11"/>
  <c r="AC1386" i="11"/>
  <c r="K1386" i="11"/>
  <c r="J1386" i="11"/>
  <c r="I1386" i="11"/>
  <c r="AC1385" i="11"/>
  <c r="K1385" i="11"/>
  <c r="J1385" i="11"/>
  <c r="I1385" i="11"/>
  <c r="AC1384" i="11"/>
  <c r="K1384" i="11"/>
  <c r="J1384" i="11"/>
  <c r="I1384" i="11"/>
  <c r="AC1383" i="11"/>
  <c r="K1383" i="11"/>
  <c r="J1383" i="11"/>
  <c r="I1383" i="11"/>
  <c r="AC1382" i="11"/>
  <c r="K1382" i="11"/>
  <c r="J1382" i="11"/>
  <c r="I1382" i="11"/>
  <c r="AC1381" i="11"/>
  <c r="K1381" i="11"/>
  <c r="J1381" i="11"/>
  <c r="I1381" i="11"/>
  <c r="AC1380" i="11"/>
  <c r="K1380" i="11"/>
  <c r="J1380" i="11"/>
  <c r="I1380" i="11"/>
  <c r="AC1379" i="11"/>
  <c r="K1379" i="11"/>
  <c r="J1379" i="11"/>
  <c r="I1379" i="11"/>
  <c r="AC1378" i="11"/>
  <c r="K1378" i="11"/>
  <c r="J1378" i="11"/>
  <c r="I1378" i="11"/>
  <c r="AC1377" i="11"/>
  <c r="K1377" i="11"/>
  <c r="J1377" i="11"/>
  <c r="I1377" i="11"/>
  <c r="AC1376" i="11"/>
  <c r="K1376" i="11"/>
  <c r="J1376" i="11"/>
  <c r="I1376" i="11"/>
  <c r="AC1375" i="11"/>
  <c r="K1375" i="11"/>
  <c r="J1375" i="11"/>
  <c r="I1375" i="11"/>
  <c r="AC1374" i="11"/>
  <c r="K1374" i="11"/>
  <c r="J1374" i="11"/>
  <c r="I1374" i="11"/>
  <c r="AC1373" i="11"/>
  <c r="K1373" i="11"/>
  <c r="J1373" i="11"/>
  <c r="I1373" i="11"/>
  <c r="AC1372" i="11"/>
  <c r="K1372" i="11"/>
  <c r="J1372" i="11"/>
  <c r="I1372" i="11"/>
  <c r="AC1371" i="11"/>
  <c r="K1371" i="11"/>
  <c r="J1371" i="11"/>
  <c r="I1371" i="11"/>
  <c r="AC1370" i="11"/>
  <c r="K1370" i="11"/>
  <c r="J1370" i="11"/>
  <c r="I1370" i="11"/>
  <c r="AC1369" i="11"/>
  <c r="K1369" i="11"/>
  <c r="J1369" i="11"/>
  <c r="I1369" i="11"/>
  <c r="AC1368" i="11"/>
  <c r="K1368" i="11"/>
  <c r="J1368" i="11"/>
  <c r="I1368" i="11"/>
  <c r="AC1367" i="11"/>
  <c r="K1367" i="11"/>
  <c r="J1367" i="11"/>
  <c r="I1367" i="11"/>
  <c r="AC1366" i="11"/>
  <c r="K1366" i="11"/>
  <c r="J1366" i="11"/>
  <c r="I1366" i="11"/>
  <c r="AC1365" i="11"/>
  <c r="K1365" i="11"/>
  <c r="J1365" i="11"/>
  <c r="I1365" i="11"/>
  <c r="AC1364" i="11"/>
  <c r="K1364" i="11"/>
  <c r="J1364" i="11"/>
  <c r="I1364" i="11"/>
  <c r="AC1363" i="11"/>
  <c r="K1363" i="11"/>
  <c r="J1363" i="11"/>
  <c r="I1363" i="11"/>
  <c r="AC1362" i="11"/>
  <c r="K1362" i="11"/>
  <c r="J1362" i="11"/>
  <c r="I1362" i="11"/>
  <c r="AC1361" i="11"/>
  <c r="K1361" i="11"/>
  <c r="J1361" i="11"/>
  <c r="I1361" i="11"/>
  <c r="AC1360" i="11"/>
  <c r="K1360" i="11"/>
  <c r="J1360" i="11"/>
  <c r="I1360" i="11"/>
  <c r="AC1359" i="11"/>
  <c r="K1359" i="11"/>
  <c r="J1359" i="11"/>
  <c r="I1359" i="11"/>
  <c r="AC1358" i="11"/>
  <c r="K1358" i="11"/>
  <c r="J1358" i="11"/>
  <c r="I1358" i="11"/>
  <c r="AC1357" i="11"/>
  <c r="K1357" i="11"/>
  <c r="J1357" i="11"/>
  <c r="I1357" i="11"/>
  <c r="AC1356" i="11"/>
  <c r="K1356" i="11"/>
  <c r="J1356" i="11"/>
  <c r="I1356" i="11"/>
  <c r="AC1355" i="11"/>
  <c r="K1355" i="11"/>
  <c r="J1355" i="11"/>
  <c r="I1355" i="11"/>
  <c r="AC1354" i="11"/>
  <c r="K1354" i="11"/>
  <c r="J1354" i="11"/>
  <c r="I1354" i="11"/>
  <c r="AC1353" i="11"/>
  <c r="K1353" i="11"/>
  <c r="J1353" i="11"/>
  <c r="I1353" i="11"/>
  <c r="AC1352" i="11"/>
  <c r="K1352" i="11"/>
  <c r="J1352" i="11"/>
  <c r="I1352" i="11"/>
  <c r="AC1351" i="11"/>
  <c r="K1351" i="11"/>
  <c r="J1351" i="11"/>
  <c r="I1351" i="11"/>
  <c r="AC1350" i="11"/>
  <c r="K1350" i="11"/>
  <c r="J1350" i="11"/>
  <c r="I1350" i="11"/>
  <c r="AC1349" i="11"/>
  <c r="K1349" i="11"/>
  <c r="J1349" i="11"/>
  <c r="I1349" i="11"/>
  <c r="AC1348" i="11"/>
  <c r="K1348" i="11"/>
  <c r="J1348" i="11"/>
  <c r="I1348" i="11"/>
  <c r="AC1347" i="11"/>
  <c r="K1347" i="11"/>
  <c r="J1347" i="11"/>
  <c r="I1347" i="11"/>
  <c r="AC1346" i="11"/>
  <c r="K1346" i="11"/>
  <c r="J1346" i="11"/>
  <c r="I1346" i="11"/>
  <c r="AC1345" i="11"/>
  <c r="K1345" i="11"/>
  <c r="J1345" i="11"/>
  <c r="I1345" i="11"/>
  <c r="AC1344" i="11"/>
  <c r="K1344" i="11"/>
  <c r="J1344" i="11"/>
  <c r="I1344" i="11"/>
  <c r="AC1343" i="11"/>
  <c r="K1343" i="11"/>
  <c r="J1343" i="11"/>
  <c r="I1343" i="11"/>
  <c r="AC1342" i="11"/>
  <c r="K1342" i="11"/>
  <c r="J1342" i="11"/>
  <c r="I1342" i="11"/>
  <c r="AC1341" i="11"/>
  <c r="K1341" i="11"/>
  <c r="J1341" i="11"/>
  <c r="I1341" i="11"/>
  <c r="AC1340" i="11"/>
  <c r="K1340" i="11"/>
  <c r="J1340" i="11"/>
  <c r="I1340" i="11"/>
  <c r="AC1339" i="11"/>
  <c r="K1339" i="11"/>
  <c r="J1339" i="11"/>
  <c r="I1339" i="11"/>
  <c r="AC1338" i="11"/>
  <c r="K1338" i="11"/>
  <c r="J1338" i="11"/>
  <c r="I1338" i="11"/>
  <c r="AC1337" i="11"/>
  <c r="K1337" i="11"/>
  <c r="J1337" i="11"/>
  <c r="I1337" i="11"/>
  <c r="AC1336" i="11"/>
  <c r="K1336" i="11"/>
  <c r="J1336" i="11"/>
  <c r="I1336" i="11"/>
  <c r="AC1335" i="11"/>
  <c r="K1335" i="11"/>
  <c r="J1335" i="11"/>
  <c r="I1335" i="11"/>
  <c r="AC1334" i="11"/>
  <c r="K1334" i="11"/>
  <c r="J1334" i="11"/>
  <c r="I1334" i="11"/>
  <c r="AC1333" i="11"/>
  <c r="K1333" i="11"/>
  <c r="J1333" i="11"/>
  <c r="I1333" i="11"/>
  <c r="AC1332" i="11"/>
  <c r="K1332" i="11"/>
  <c r="J1332" i="11"/>
  <c r="I1332" i="11"/>
  <c r="AC1331" i="11"/>
  <c r="K1331" i="11"/>
  <c r="J1331" i="11"/>
  <c r="I1331" i="11"/>
  <c r="AC1330" i="11"/>
  <c r="K1330" i="11"/>
  <c r="J1330" i="11"/>
  <c r="I1330" i="11"/>
  <c r="AC1329" i="11"/>
  <c r="K1329" i="11"/>
  <c r="J1329" i="11"/>
  <c r="I1329" i="11"/>
  <c r="AC1328" i="11"/>
  <c r="K1328" i="11"/>
  <c r="J1328" i="11"/>
  <c r="I1328" i="11"/>
  <c r="AC1327" i="11"/>
  <c r="K1327" i="11"/>
  <c r="J1327" i="11"/>
  <c r="I1327" i="11"/>
  <c r="AC1326" i="11"/>
  <c r="K1326" i="11"/>
  <c r="J1326" i="11"/>
  <c r="I1326" i="11"/>
  <c r="AC1325" i="11"/>
  <c r="K1325" i="11"/>
  <c r="J1325" i="11"/>
  <c r="I1325" i="11"/>
  <c r="AC1324" i="11"/>
  <c r="K1324" i="11"/>
  <c r="J1324" i="11"/>
  <c r="I1324" i="11"/>
  <c r="AC1323" i="11"/>
  <c r="K1323" i="11"/>
  <c r="J1323" i="11"/>
  <c r="I1323" i="11"/>
  <c r="AC1322" i="11"/>
  <c r="K1322" i="11"/>
  <c r="J1322" i="11"/>
  <c r="I1322" i="11"/>
  <c r="AC1321" i="11"/>
  <c r="K1321" i="11"/>
  <c r="J1321" i="11"/>
  <c r="I1321" i="11"/>
  <c r="AC1320" i="11"/>
  <c r="K1320" i="11"/>
  <c r="J1320" i="11"/>
  <c r="I1320" i="11"/>
  <c r="AC1319" i="11"/>
  <c r="K1319" i="11"/>
  <c r="J1319" i="11"/>
  <c r="I1319" i="11"/>
  <c r="AC1318" i="11"/>
  <c r="K1318" i="11"/>
  <c r="J1318" i="11"/>
  <c r="I1318" i="11"/>
  <c r="AC1317" i="11"/>
  <c r="K1317" i="11"/>
  <c r="J1317" i="11"/>
  <c r="I1317" i="11"/>
  <c r="AC1316" i="11"/>
  <c r="K1316" i="11"/>
  <c r="J1316" i="11"/>
  <c r="I1316" i="11"/>
  <c r="AC1315" i="11"/>
  <c r="K1315" i="11"/>
  <c r="J1315" i="11"/>
  <c r="I1315" i="11"/>
  <c r="AC1314" i="11"/>
  <c r="K1314" i="11"/>
  <c r="J1314" i="11"/>
  <c r="I1314" i="11"/>
  <c r="AC1313" i="11"/>
  <c r="K1313" i="11"/>
  <c r="J1313" i="11"/>
  <c r="I1313" i="11"/>
  <c r="AC1312" i="11"/>
  <c r="K1312" i="11"/>
  <c r="J1312" i="11"/>
  <c r="I1312" i="11"/>
  <c r="AC1311" i="11"/>
  <c r="K1311" i="11"/>
  <c r="J1311" i="11"/>
  <c r="I1311" i="11"/>
  <c r="AC1310" i="11"/>
  <c r="K1310" i="11"/>
  <c r="J1310" i="11"/>
  <c r="I1310" i="11"/>
  <c r="AC1309" i="11"/>
  <c r="K1309" i="11"/>
  <c r="J1309" i="11"/>
  <c r="I1309" i="11"/>
  <c r="AC1308" i="11"/>
  <c r="K1308" i="11"/>
  <c r="J1308" i="11"/>
  <c r="I1308" i="11"/>
  <c r="AC1307" i="11"/>
  <c r="K1307" i="11"/>
  <c r="J1307" i="11"/>
  <c r="I1307" i="11"/>
  <c r="AC1306" i="11"/>
  <c r="K1306" i="11"/>
  <c r="J1306" i="11"/>
  <c r="I1306" i="11"/>
  <c r="AC1305" i="11"/>
  <c r="K1305" i="11"/>
  <c r="J1305" i="11"/>
  <c r="I1305" i="11"/>
  <c r="AC1304" i="11"/>
  <c r="K1304" i="11"/>
  <c r="J1304" i="11"/>
  <c r="I1304" i="11"/>
  <c r="AC1303" i="11"/>
  <c r="K1303" i="11"/>
  <c r="J1303" i="11"/>
  <c r="I1303" i="11"/>
  <c r="AC1302" i="11"/>
  <c r="K1302" i="11"/>
  <c r="J1302" i="11"/>
  <c r="I1302" i="11"/>
  <c r="AC1301" i="11"/>
  <c r="K1301" i="11"/>
  <c r="J1301" i="11"/>
  <c r="I1301" i="11"/>
  <c r="AC1300" i="11"/>
  <c r="K1300" i="11"/>
  <c r="J1300" i="11"/>
  <c r="I1300" i="11"/>
  <c r="AC1299" i="11"/>
  <c r="K1299" i="11"/>
  <c r="J1299" i="11"/>
  <c r="I1299" i="11"/>
  <c r="AC1298" i="11"/>
  <c r="K1298" i="11"/>
  <c r="J1298" i="11"/>
  <c r="I1298" i="11"/>
  <c r="AC1297" i="11"/>
  <c r="K1297" i="11"/>
  <c r="J1297" i="11"/>
  <c r="I1297" i="11"/>
  <c r="AC1296" i="11"/>
  <c r="K1296" i="11"/>
  <c r="J1296" i="11"/>
  <c r="I1296" i="11"/>
  <c r="AC1295" i="11"/>
  <c r="K1295" i="11"/>
  <c r="J1295" i="11"/>
  <c r="I1295" i="11"/>
  <c r="AC1294" i="11"/>
  <c r="K1294" i="11"/>
  <c r="J1294" i="11"/>
  <c r="I1294" i="11"/>
  <c r="AC1293" i="11"/>
  <c r="K1293" i="11"/>
  <c r="J1293" i="11"/>
  <c r="I1293" i="11"/>
  <c r="AC1292" i="11"/>
  <c r="K1292" i="11"/>
  <c r="J1292" i="11"/>
  <c r="I1292" i="11"/>
  <c r="AC1291" i="11"/>
  <c r="K1291" i="11"/>
  <c r="J1291" i="11"/>
  <c r="I1291" i="11"/>
  <c r="AC1290" i="11"/>
  <c r="K1290" i="11"/>
  <c r="J1290" i="11"/>
  <c r="I1290" i="11"/>
  <c r="AC1289" i="11"/>
  <c r="K1289" i="11"/>
  <c r="J1289" i="11"/>
  <c r="I1289" i="11"/>
  <c r="AC1288" i="11"/>
  <c r="K1288" i="11"/>
  <c r="J1288" i="11"/>
  <c r="I1288" i="11"/>
  <c r="AC1287" i="11"/>
  <c r="K1287" i="11"/>
  <c r="J1287" i="11"/>
  <c r="I1287" i="11"/>
  <c r="AC1286" i="11"/>
  <c r="K1286" i="11"/>
  <c r="J1286" i="11"/>
  <c r="I1286" i="11"/>
  <c r="AC1285" i="11"/>
  <c r="K1285" i="11"/>
  <c r="J1285" i="11"/>
  <c r="I1285" i="11"/>
  <c r="AC1284" i="11"/>
  <c r="K1284" i="11"/>
  <c r="J1284" i="11"/>
  <c r="I1284" i="11"/>
  <c r="AC1283" i="11"/>
  <c r="K1283" i="11"/>
  <c r="J1283" i="11"/>
  <c r="I1283" i="11"/>
  <c r="AC1282" i="11"/>
  <c r="K1282" i="11"/>
  <c r="J1282" i="11"/>
  <c r="I1282" i="11"/>
  <c r="AC1281" i="11"/>
  <c r="K1281" i="11"/>
  <c r="J1281" i="11"/>
  <c r="I1281" i="11"/>
  <c r="AC1280" i="11"/>
  <c r="K1280" i="11"/>
  <c r="J1280" i="11"/>
  <c r="I1280" i="11"/>
  <c r="AC1279" i="11"/>
  <c r="K1279" i="11"/>
  <c r="J1279" i="11"/>
  <c r="I1279" i="11"/>
  <c r="AC1278" i="11"/>
  <c r="K1278" i="11"/>
  <c r="J1278" i="11"/>
  <c r="I1278" i="11"/>
  <c r="AC1277" i="11"/>
  <c r="K1277" i="11"/>
  <c r="J1277" i="11"/>
  <c r="I1277" i="11"/>
  <c r="AC1276" i="11"/>
  <c r="K1276" i="11"/>
  <c r="J1276" i="11"/>
  <c r="I1276" i="11"/>
  <c r="AC1275" i="11"/>
  <c r="K1275" i="11"/>
  <c r="J1275" i="11"/>
  <c r="I1275" i="11"/>
  <c r="AC1274" i="11"/>
  <c r="K1274" i="11"/>
  <c r="J1274" i="11"/>
  <c r="I1274" i="11"/>
  <c r="AC1273" i="11"/>
  <c r="K1273" i="11"/>
  <c r="J1273" i="11"/>
  <c r="I1273" i="11"/>
  <c r="AC1272" i="11"/>
  <c r="K1272" i="11"/>
  <c r="J1272" i="11"/>
  <c r="I1272" i="11"/>
  <c r="AC1271" i="11"/>
  <c r="K1271" i="11"/>
  <c r="J1271" i="11"/>
  <c r="I1271" i="11"/>
  <c r="AC1270" i="11"/>
  <c r="K1270" i="11"/>
  <c r="J1270" i="11"/>
  <c r="I1270" i="11"/>
  <c r="AC1269" i="11"/>
  <c r="K1269" i="11"/>
  <c r="J1269" i="11"/>
  <c r="I1269" i="11"/>
  <c r="AC1268" i="11"/>
  <c r="K1268" i="11"/>
  <c r="J1268" i="11"/>
  <c r="I1268" i="11"/>
  <c r="AC1267" i="11"/>
  <c r="K1267" i="11"/>
  <c r="J1267" i="11"/>
  <c r="I1267" i="11"/>
  <c r="AC1266" i="11"/>
  <c r="K1266" i="11"/>
  <c r="J1266" i="11"/>
  <c r="I1266" i="11"/>
  <c r="AC1265" i="11"/>
  <c r="K1265" i="11"/>
  <c r="J1265" i="11"/>
  <c r="I1265" i="11"/>
  <c r="AC1264" i="11"/>
  <c r="I1264" i="11"/>
  <c r="J1264" i="11"/>
  <c r="K1264" i="11"/>
  <c r="R1264" i="11"/>
  <c r="O1264" i="11"/>
  <c r="N1264" i="11"/>
  <c r="V1264" i="11"/>
  <c r="I1263" i="11"/>
  <c r="J1263" i="11"/>
  <c r="K1263" i="11"/>
  <c r="X1263" i="11"/>
  <c r="AC1263" i="11"/>
  <c r="AE1263" i="11"/>
  <c r="V1263" i="11"/>
  <c r="K1262" i="11"/>
  <c r="AC1262" i="11"/>
  <c r="I1262" i="11"/>
  <c r="J1262" i="11"/>
  <c r="I1261" i="11"/>
  <c r="R1261" i="11" s="1"/>
  <c r="K1261" i="11"/>
  <c r="V1261" i="11"/>
  <c r="X1261" i="11"/>
  <c r="AC1261" i="11"/>
  <c r="AE1261" i="11"/>
  <c r="J1261" i="11"/>
  <c r="K1260" i="11"/>
  <c r="I1260" i="11"/>
  <c r="J1260" i="11"/>
  <c r="AE1260" i="11"/>
  <c r="AC1260" i="11"/>
  <c r="X1260" i="11"/>
  <c r="V1260" i="11"/>
  <c r="I1259" i="11"/>
  <c r="J1259" i="11"/>
  <c r="K1259" i="11"/>
  <c r="L1259" i="11"/>
  <c r="AE1259" i="11"/>
  <c r="N1259" i="11"/>
  <c r="O1259" i="11"/>
  <c r="R1259" i="11"/>
  <c r="AC1259" i="11"/>
  <c r="V1259" i="11"/>
  <c r="X1259" i="11"/>
  <c r="AC1258" i="11"/>
  <c r="I1258" i="11"/>
  <c r="J1258" i="11"/>
  <c r="K1258" i="11"/>
  <c r="N1258" i="11"/>
  <c r="O1258" i="11"/>
  <c r="R1258" i="11"/>
  <c r="K1257" i="11"/>
  <c r="J1257" i="11"/>
  <c r="I1257" i="11"/>
  <c r="AE1257" i="11"/>
  <c r="AC1257" i="11"/>
  <c r="X1257" i="11"/>
  <c r="AC1256" i="11"/>
  <c r="K1256" i="11"/>
  <c r="I1256" i="11"/>
  <c r="J1256" i="11"/>
  <c r="I1255" i="11"/>
  <c r="R1255" i="11" s="1"/>
  <c r="K1255" i="11"/>
  <c r="L1255" i="11" s="1"/>
  <c r="J1255" i="11"/>
  <c r="N1255" i="11" s="1"/>
  <c r="AE1255" i="11"/>
  <c r="V1255" i="11"/>
  <c r="AC1255" i="11"/>
  <c r="X1255" i="11"/>
  <c r="O1255" i="11"/>
  <c r="K1254" i="11"/>
  <c r="J1254" i="11"/>
  <c r="I1254" i="11"/>
  <c r="AC1254" i="11"/>
  <c r="AE1254" i="11"/>
  <c r="X1254" i="11"/>
  <c r="V1254" i="11"/>
  <c r="K1253" i="11"/>
  <c r="J1253" i="11"/>
  <c r="I1253" i="11"/>
  <c r="L1253" i="11" s="1"/>
  <c r="V1253" i="11"/>
  <c r="R1253" i="11"/>
  <c r="O1253" i="11"/>
  <c r="AE1253" i="11"/>
  <c r="AC1253" i="11"/>
  <c r="X1253" i="11"/>
  <c r="N1253" i="11"/>
  <c r="K1252" i="11"/>
  <c r="J1252" i="11"/>
  <c r="I1252" i="11"/>
  <c r="AE1252" i="11"/>
  <c r="X1252" i="11"/>
  <c r="AC1252" i="11"/>
  <c r="V1252" i="11"/>
  <c r="R1252" i="11"/>
  <c r="O1252" i="11"/>
  <c r="N1252" i="11"/>
  <c r="L1252" i="11"/>
  <c r="K1251" i="11"/>
  <c r="J1251" i="11"/>
  <c r="I1251" i="11"/>
  <c r="AE1251" i="11"/>
  <c r="AC1251" i="11"/>
  <c r="X1251" i="11"/>
  <c r="V1251" i="11"/>
  <c r="R1251" i="11"/>
  <c r="O1251" i="11"/>
  <c r="N1251" i="11"/>
  <c r="L1251" i="11"/>
  <c r="K1250" i="11"/>
  <c r="J1250" i="11"/>
  <c r="I1250" i="11"/>
  <c r="R1250" i="11"/>
  <c r="O1250" i="11"/>
  <c r="X1250" i="11"/>
  <c r="N1250" i="11"/>
  <c r="V1250" i="11"/>
  <c r="AC1250" i="11"/>
  <c r="AE1250" i="11"/>
  <c r="L1250" i="11"/>
  <c r="K1249" i="11"/>
  <c r="J1249" i="11"/>
  <c r="I1249" i="11"/>
  <c r="AC1249" i="11"/>
  <c r="X1249" i="11"/>
  <c r="V1249" i="11"/>
  <c r="K1248" i="11"/>
  <c r="J1248" i="11"/>
  <c r="I1248" i="11"/>
  <c r="X1248" i="11"/>
  <c r="AC1248" i="11"/>
  <c r="AE1248" i="11"/>
  <c r="V1248" i="11"/>
  <c r="R1248" i="11"/>
  <c r="O1248" i="11"/>
  <c r="N1248" i="11"/>
  <c r="L1248" i="11"/>
  <c r="K1247" i="11"/>
  <c r="J1247" i="11"/>
  <c r="I1247" i="11"/>
  <c r="L1247" i="11" s="1"/>
  <c r="AE1247" i="11"/>
  <c r="AC1247" i="11"/>
  <c r="X1247" i="11"/>
  <c r="V1247" i="11"/>
  <c r="R1247" i="11"/>
  <c r="K1246" i="11"/>
  <c r="J1246" i="11"/>
  <c r="I1246" i="11"/>
  <c r="L1246" i="11" s="1"/>
  <c r="AE1246" i="11"/>
  <c r="AC1246" i="11"/>
  <c r="X1246" i="11"/>
  <c r="V1246" i="11"/>
  <c r="R1246" i="11"/>
  <c r="K1245" i="11"/>
  <c r="AC1245" i="11"/>
  <c r="I1245" i="11"/>
  <c r="J1245" i="11"/>
  <c r="L1245" i="11"/>
  <c r="N1245" i="11"/>
  <c r="O1245" i="11"/>
  <c r="I1244" i="11"/>
  <c r="J1244" i="11"/>
  <c r="K1244" i="11"/>
  <c r="L1244" i="11"/>
  <c r="N1244" i="11"/>
  <c r="V1244" i="11"/>
  <c r="R1244" i="11"/>
  <c r="X1244" i="11"/>
  <c r="AC1244" i="11"/>
  <c r="AE1244" i="11"/>
  <c r="O1244" i="11"/>
  <c r="AC1243" i="11"/>
  <c r="K1243" i="11"/>
  <c r="J1243" i="11"/>
  <c r="I1243" i="11"/>
  <c r="K1242" i="11"/>
  <c r="I1242" i="11"/>
  <c r="L1242" i="11" s="1"/>
  <c r="J1242" i="11"/>
  <c r="AE1242" i="11"/>
  <c r="AC1242" i="11"/>
  <c r="X1242" i="11"/>
  <c r="V1242" i="11"/>
  <c r="R1242" i="11"/>
  <c r="O1242" i="11"/>
  <c r="N1242" i="11"/>
  <c r="K1241" i="11"/>
  <c r="J1241" i="11"/>
  <c r="I1241" i="11"/>
  <c r="V1241" i="11" s="1"/>
  <c r="AC1241" i="11"/>
  <c r="L1241" i="11"/>
  <c r="N1241" i="11"/>
  <c r="O1241" i="11"/>
  <c r="R1241" i="11"/>
  <c r="AE1241" i="11"/>
  <c r="X1241" i="11"/>
  <c r="J1240" i="11"/>
  <c r="I1240" i="11"/>
  <c r="K1240" i="11"/>
  <c r="L1240" i="11" s="1"/>
  <c r="AC1240" i="11"/>
  <c r="X1240" i="11"/>
  <c r="V1240" i="11"/>
  <c r="R1240" i="11"/>
  <c r="O1240" i="11"/>
  <c r="N1240" i="11"/>
  <c r="AE1240" i="11"/>
  <c r="K1239" i="11"/>
  <c r="J1239" i="11"/>
  <c r="AC1239" i="11"/>
  <c r="I1239" i="11"/>
  <c r="V1239" i="11"/>
  <c r="R1239" i="11"/>
  <c r="O1239" i="11"/>
  <c r="N1239" i="11"/>
  <c r="K1238" i="11"/>
  <c r="J1238" i="11"/>
  <c r="I1238" i="11"/>
  <c r="AE1238" i="11"/>
  <c r="AC1238" i="11"/>
  <c r="X1238" i="11"/>
  <c r="V1238" i="11"/>
  <c r="R1238" i="11"/>
  <c r="O1238" i="11"/>
  <c r="N1238" i="11"/>
  <c r="L1238" i="11"/>
  <c r="I1237" i="11"/>
  <c r="K1237" i="11"/>
  <c r="L1237" i="11" s="1"/>
  <c r="J1237" i="11"/>
  <c r="AE1237" i="11"/>
  <c r="AC1237" i="11"/>
  <c r="X1237" i="11"/>
  <c r="V1237" i="11"/>
  <c r="R1237" i="11"/>
  <c r="O1237" i="11"/>
  <c r="N1237" i="11"/>
  <c r="K1236" i="11"/>
  <c r="J1236" i="11"/>
  <c r="I1236" i="11"/>
  <c r="AE1236" i="11"/>
  <c r="AC1236" i="11"/>
  <c r="X1236" i="11"/>
  <c r="V1236" i="11"/>
  <c r="R1236" i="11"/>
  <c r="O1236" i="11"/>
  <c r="N1236" i="11"/>
  <c r="L1236" i="11"/>
  <c r="K1235" i="11"/>
  <c r="I1235" i="11"/>
  <c r="L1235" i="11" s="1"/>
  <c r="J1235" i="11"/>
  <c r="AE1235" i="11"/>
  <c r="AC1235" i="11"/>
  <c r="X1235" i="11"/>
  <c r="V1235" i="11"/>
  <c r="R1235" i="11"/>
  <c r="O1235" i="11"/>
  <c r="N1235" i="11"/>
  <c r="K1234" i="11"/>
  <c r="J1234" i="11"/>
  <c r="I1234" i="11"/>
  <c r="AE1234" i="11"/>
  <c r="AC1234" i="11"/>
  <c r="X1234" i="11"/>
  <c r="V1234" i="11"/>
  <c r="R1234" i="11"/>
  <c r="O1234" i="11"/>
  <c r="N1234" i="11"/>
  <c r="L1234" i="11"/>
  <c r="K1233" i="11"/>
  <c r="J1233" i="11"/>
  <c r="I1233" i="11"/>
  <c r="L1233" i="11" s="1"/>
  <c r="R1233" i="11"/>
  <c r="V1233" i="11"/>
  <c r="X1233" i="11"/>
  <c r="AC1233" i="11"/>
  <c r="AE1233" i="11"/>
  <c r="O1233" i="11"/>
  <c r="N1233" i="11"/>
  <c r="AC1232" i="11"/>
  <c r="K1232" i="11"/>
  <c r="J1232" i="11"/>
  <c r="I1232" i="11"/>
  <c r="R1232" i="11"/>
  <c r="O1232" i="11"/>
  <c r="N1232" i="11"/>
  <c r="L1232" i="11"/>
  <c r="X1232" i="11"/>
  <c r="I1231" i="11"/>
  <c r="V1231" i="11"/>
  <c r="X1231" i="11"/>
  <c r="AC1231" i="11"/>
  <c r="J1231" i="11"/>
  <c r="K1231" i="11"/>
  <c r="AE1231" i="11" s="1"/>
  <c r="L1231" i="11"/>
  <c r="N1231" i="11"/>
  <c r="O1231" i="11"/>
  <c r="R1231" i="11"/>
  <c r="K1230" i="11"/>
  <c r="J1230" i="11"/>
  <c r="I1230" i="11"/>
  <c r="AE1230" i="11"/>
  <c r="AC1230" i="11"/>
  <c r="X1230" i="11"/>
  <c r="V1230" i="11"/>
  <c r="K1229" i="11"/>
  <c r="J1229" i="11"/>
  <c r="O1229" i="11" s="1"/>
  <c r="I1229" i="11"/>
  <c r="N1229" i="11"/>
  <c r="AE1229" i="11"/>
  <c r="AC1229" i="11"/>
  <c r="X1229" i="11"/>
  <c r="V1229" i="11"/>
  <c r="K1228" i="11"/>
  <c r="J1228" i="11"/>
  <c r="I1228" i="11"/>
  <c r="AE1228" i="11"/>
  <c r="AC1228" i="11"/>
  <c r="L1228" i="11"/>
  <c r="X1228" i="11"/>
  <c r="V1228" i="11"/>
  <c r="R1228" i="11"/>
  <c r="O1228" i="11"/>
  <c r="N1228" i="11"/>
  <c r="AC1227" i="11"/>
  <c r="J1227" i="11"/>
  <c r="K1227" i="11"/>
  <c r="I1227" i="11"/>
  <c r="I1226" i="11"/>
  <c r="R1226" i="11" s="1"/>
  <c r="J1226" i="11"/>
  <c r="K1226" i="11"/>
  <c r="L1226" i="11"/>
  <c r="N1226" i="11"/>
  <c r="O1226" i="11"/>
  <c r="AE1226" i="11"/>
  <c r="V1226" i="11"/>
  <c r="X1226" i="11"/>
  <c r="AC1226" i="11"/>
  <c r="I1225" i="11"/>
  <c r="X1225" i="11" s="1"/>
  <c r="J1225" i="11"/>
  <c r="K1225" i="11"/>
  <c r="L1225" i="11"/>
  <c r="N1225" i="11"/>
  <c r="O1225" i="11"/>
  <c r="R1225" i="11"/>
  <c r="AE1225" i="11"/>
  <c r="V1225" i="11"/>
  <c r="AC1225" i="11"/>
  <c r="K1224" i="11"/>
  <c r="J1224" i="11"/>
  <c r="I1224" i="11"/>
  <c r="AE1224" i="11"/>
  <c r="AC1224" i="11"/>
  <c r="X1224" i="11"/>
  <c r="V1224" i="11"/>
  <c r="R1224" i="11"/>
  <c r="O1224" i="11"/>
  <c r="N1224" i="11"/>
  <c r="L1224" i="11"/>
  <c r="K1223" i="11"/>
  <c r="J1223" i="11"/>
  <c r="I1223" i="11"/>
  <c r="AC1223" i="11"/>
  <c r="X1223" i="11"/>
  <c r="V1223" i="11"/>
  <c r="R1223" i="11"/>
  <c r="O1223" i="11"/>
  <c r="N1223" i="11"/>
  <c r="K1222" i="11"/>
  <c r="J1222" i="11"/>
  <c r="I1222" i="11"/>
  <c r="L1222" i="11" s="1"/>
  <c r="AE1222" i="11"/>
  <c r="AC1222" i="11"/>
  <c r="X1222" i="11"/>
  <c r="V1222" i="11"/>
  <c r="R1222" i="11"/>
  <c r="O1222" i="11"/>
  <c r="N1222" i="11"/>
  <c r="K1221" i="11"/>
  <c r="J1221" i="11"/>
  <c r="I1221" i="11"/>
  <c r="L1221" i="11" s="1"/>
  <c r="AE1221" i="11"/>
  <c r="AC1221" i="11"/>
  <c r="X1221" i="11"/>
  <c r="V1221" i="11"/>
  <c r="R1221" i="11"/>
  <c r="O1221" i="11"/>
  <c r="N1221" i="11"/>
  <c r="J1220" i="11"/>
  <c r="I1220" i="11"/>
  <c r="AE1220" i="11" s="1"/>
  <c r="AC1220" i="11"/>
  <c r="X1220" i="11"/>
  <c r="V1220" i="11"/>
  <c r="R1220" i="11"/>
  <c r="O1220" i="11"/>
  <c r="N1220" i="11"/>
  <c r="K1220" i="11"/>
  <c r="L1220" i="11" s="1"/>
  <c r="K1219" i="11"/>
  <c r="J1219" i="11"/>
  <c r="I1219" i="11"/>
  <c r="V1219" i="11"/>
  <c r="X1219" i="11"/>
  <c r="AC1219" i="11"/>
  <c r="AE1219" i="11"/>
  <c r="J1218" i="11"/>
  <c r="K1218" i="11"/>
  <c r="AC1218" i="11"/>
  <c r="N1218" i="11"/>
  <c r="O1218" i="11"/>
  <c r="I1218" i="11"/>
  <c r="J1217" i="11"/>
  <c r="K1217" i="11"/>
  <c r="N1217" i="11"/>
  <c r="O1217" i="11"/>
  <c r="I1217" i="11"/>
  <c r="AE1217" i="11"/>
  <c r="AC1217" i="11"/>
  <c r="X1217" i="11"/>
  <c r="J1216" i="11"/>
  <c r="O1216" i="11"/>
  <c r="N1216" i="11"/>
  <c r="I1216" i="11"/>
  <c r="K1216" i="11"/>
  <c r="X1216" i="11"/>
  <c r="V1216" i="11"/>
  <c r="AC1216" i="11"/>
  <c r="AE1216" i="11"/>
  <c r="AC1215" i="11"/>
  <c r="I1215" i="11"/>
  <c r="J1215" i="11"/>
  <c r="K1215" i="11"/>
  <c r="L1215" i="11"/>
  <c r="N1215" i="11"/>
  <c r="O1215" i="11"/>
  <c r="R1215" i="11"/>
  <c r="AC1214" i="11"/>
  <c r="K1214" i="11"/>
  <c r="J1214" i="11"/>
  <c r="I1214" i="11"/>
  <c r="AC1213" i="11"/>
  <c r="K1213" i="11"/>
  <c r="J1213" i="11"/>
  <c r="I1213" i="11"/>
  <c r="AC1212" i="11"/>
  <c r="K1212" i="11"/>
  <c r="J1212" i="11"/>
  <c r="I1212" i="11"/>
  <c r="AC1211" i="11"/>
  <c r="K1211" i="11"/>
  <c r="J1211" i="11"/>
  <c r="I1211" i="11"/>
  <c r="AC1210" i="11"/>
  <c r="K1210" i="11"/>
  <c r="J1210" i="11"/>
  <c r="I1210" i="11"/>
  <c r="I1209" i="11"/>
  <c r="J1209" i="11"/>
  <c r="V1209" i="11"/>
  <c r="X1209" i="11"/>
  <c r="AC1209" i="11"/>
  <c r="K1209" i="11"/>
  <c r="AE1209" i="11" s="1"/>
  <c r="R1209" i="11"/>
  <c r="L1209" i="11"/>
  <c r="N1209" i="11"/>
  <c r="O1209" i="11"/>
  <c r="J1208" i="11"/>
  <c r="O1208" i="11"/>
  <c r="N1208" i="11"/>
  <c r="K1208" i="11"/>
  <c r="I1208" i="11"/>
  <c r="AE1208" i="11"/>
  <c r="AC1208" i="11"/>
  <c r="X1208" i="11"/>
  <c r="V1208" i="11"/>
  <c r="I1207" i="11"/>
  <c r="J1207" i="11"/>
  <c r="K1207" i="11"/>
  <c r="L1207" i="11"/>
  <c r="AE1207" i="11"/>
  <c r="X1207" i="11"/>
  <c r="R1207" i="11"/>
  <c r="V1207" i="11"/>
  <c r="O1207" i="11"/>
  <c r="N1207" i="11"/>
  <c r="AC1207" i="11"/>
  <c r="AC1206" i="11"/>
  <c r="I1206" i="11"/>
  <c r="J1206" i="11"/>
  <c r="N1206" i="11" s="1"/>
  <c r="K1206" i="11"/>
  <c r="O1206" i="11"/>
  <c r="R1206" i="11"/>
  <c r="N1205" i="11"/>
  <c r="K1205" i="11"/>
  <c r="J1205" i="11"/>
  <c r="O1205" i="11" s="1"/>
  <c r="AC1205" i="11"/>
  <c r="I1205" i="11"/>
  <c r="AE1205" i="11"/>
  <c r="AC1204" i="11"/>
  <c r="I1204" i="11"/>
  <c r="AE1204" i="11" s="1"/>
  <c r="J1204" i="11"/>
  <c r="K1204" i="11"/>
  <c r="L1204" i="11"/>
  <c r="N1204" i="11"/>
  <c r="O1204" i="11"/>
  <c r="R1204" i="11"/>
  <c r="V1204" i="11"/>
  <c r="X1204" i="11"/>
  <c r="AC1203" i="11"/>
  <c r="I1203" i="11"/>
  <c r="J1203" i="11"/>
  <c r="K1203" i="11"/>
  <c r="L1203" i="11"/>
  <c r="N1203" i="11"/>
  <c r="O1203" i="11"/>
  <c r="AE1203" i="11"/>
  <c r="V1203" i="11"/>
  <c r="AC1202" i="11"/>
  <c r="J1202" i="11"/>
  <c r="I1202" i="11"/>
  <c r="K1202" i="11"/>
  <c r="V1202" i="11"/>
  <c r="R1202" i="11"/>
  <c r="O1202" i="11"/>
  <c r="N1202" i="11"/>
  <c r="I1201" i="11"/>
  <c r="J1201" i="11"/>
  <c r="K1201" i="11"/>
  <c r="AC1201" i="11"/>
  <c r="X1201" i="11"/>
  <c r="I1200" i="11"/>
  <c r="X1200" i="11" s="1"/>
  <c r="J1200" i="11"/>
  <c r="K1200" i="11"/>
  <c r="L1200" i="11"/>
  <c r="N1200" i="11"/>
  <c r="O1200" i="11"/>
  <c r="R1200" i="11"/>
  <c r="V1200" i="11"/>
  <c r="AC1200" i="11"/>
  <c r="AE1200" i="11"/>
  <c r="I1199" i="11"/>
  <c r="R1199" i="11"/>
  <c r="K1199" i="11"/>
  <c r="L1199" i="11" s="1"/>
  <c r="AE1199" i="11"/>
  <c r="AC1199" i="11"/>
  <c r="X1199" i="11"/>
  <c r="J1199" i="11"/>
  <c r="V1199" i="11"/>
  <c r="AC1198" i="11"/>
  <c r="K1198" i="11"/>
  <c r="J1198" i="11"/>
  <c r="I1198" i="11"/>
  <c r="AC1197" i="11"/>
  <c r="K1197" i="11"/>
  <c r="J1197" i="11"/>
  <c r="I1197" i="11"/>
  <c r="K1196" i="11"/>
  <c r="AC1196" i="11"/>
  <c r="I1196" i="11"/>
  <c r="J1196" i="11"/>
  <c r="J1195" i="11"/>
  <c r="I1195" i="11"/>
  <c r="K1195" i="11"/>
  <c r="L1195" i="11"/>
  <c r="N1195" i="11"/>
  <c r="O1195" i="11"/>
  <c r="R1195" i="11"/>
  <c r="V1195" i="11"/>
  <c r="X1195" i="11"/>
  <c r="AC1195" i="11"/>
  <c r="AE1195" i="11"/>
  <c r="AC1194" i="11"/>
  <c r="I1194" i="11"/>
  <c r="J1194" i="11"/>
  <c r="O1194" i="11" s="1"/>
  <c r="K1194" i="11"/>
  <c r="L1194" i="11"/>
  <c r="N1194" i="11"/>
  <c r="AC1193" i="11"/>
  <c r="K1193" i="11"/>
  <c r="J1193" i="11"/>
  <c r="O1193" i="11" s="1"/>
  <c r="I1193" i="11"/>
  <c r="N1193" i="11"/>
  <c r="K1192" i="11"/>
  <c r="J1192" i="11"/>
  <c r="I1192" i="11"/>
  <c r="L1192" i="11" s="1"/>
  <c r="AE1192" i="11"/>
  <c r="AC1192" i="11"/>
  <c r="X1192" i="11"/>
  <c r="V1192" i="11"/>
  <c r="R1192" i="11"/>
  <c r="O1192" i="11"/>
  <c r="N1192" i="11"/>
  <c r="AC1191" i="11"/>
  <c r="K1191" i="11"/>
  <c r="J1191" i="11"/>
  <c r="I1191" i="11"/>
  <c r="I1190" i="11"/>
  <c r="X1190" i="11" s="1"/>
  <c r="J1190" i="11"/>
  <c r="K1190" i="11"/>
  <c r="AE1190" i="11"/>
  <c r="AC1190" i="11"/>
  <c r="V1190" i="11"/>
  <c r="R1190" i="11"/>
  <c r="O1190" i="11"/>
  <c r="N1190" i="11"/>
  <c r="L1190" i="11"/>
  <c r="J1189" i="11"/>
  <c r="AC1189" i="11"/>
  <c r="N1189" i="11"/>
  <c r="K1189" i="11"/>
  <c r="O1189" i="11"/>
  <c r="I1189" i="11"/>
  <c r="J1188" i="11"/>
  <c r="I1188" i="11"/>
  <c r="AC1188" i="11"/>
  <c r="X1188" i="11"/>
  <c r="V1188" i="11"/>
  <c r="R1188" i="11"/>
  <c r="O1188" i="11"/>
  <c r="N1188" i="11"/>
  <c r="K1188" i="11"/>
  <c r="AC1187" i="11"/>
  <c r="K1187" i="11"/>
  <c r="J1187" i="11"/>
  <c r="I1187" i="11"/>
  <c r="I1186" i="11"/>
  <c r="K1186" i="11"/>
  <c r="L1186" i="11" s="1"/>
  <c r="J1186" i="11"/>
  <c r="AE1186" i="11"/>
  <c r="AC1186" i="11"/>
  <c r="X1186" i="11"/>
  <c r="V1186" i="11"/>
  <c r="R1186" i="11"/>
  <c r="O1186" i="11"/>
  <c r="N1186" i="11"/>
  <c r="I1185" i="11"/>
  <c r="J1185" i="11"/>
  <c r="K1185" i="11"/>
  <c r="O1185" i="11"/>
  <c r="R1185" i="11"/>
  <c r="V1185" i="11"/>
  <c r="X1185" i="11"/>
  <c r="AC1185" i="11"/>
  <c r="AE1185" i="11"/>
  <c r="I1184" i="11"/>
  <c r="J1184" i="11"/>
  <c r="X1184" i="11"/>
  <c r="V1184" i="11"/>
  <c r="AC1184" i="11"/>
  <c r="R1184" i="11"/>
  <c r="O1184" i="11"/>
  <c r="N1184" i="11"/>
  <c r="K1184" i="11"/>
  <c r="AC1183" i="11"/>
  <c r="K1183" i="11"/>
  <c r="J1183" i="11"/>
  <c r="I1183" i="11"/>
  <c r="AC1182" i="11"/>
  <c r="K1182" i="11"/>
  <c r="J1182" i="11"/>
  <c r="I1182" i="11"/>
  <c r="AC1181" i="11"/>
  <c r="K1181" i="11"/>
  <c r="J1181" i="11"/>
  <c r="I1181" i="11"/>
  <c r="AC1180" i="11"/>
  <c r="K1180" i="11"/>
  <c r="J1180" i="11"/>
  <c r="I1180" i="11"/>
  <c r="AC1179" i="11"/>
  <c r="K1179" i="11"/>
  <c r="J1179" i="11"/>
  <c r="I1179" i="11"/>
  <c r="AC1178" i="11"/>
  <c r="I1178" i="11"/>
  <c r="J1178" i="11"/>
  <c r="K1178" i="11"/>
  <c r="L1178" i="11"/>
  <c r="N1178" i="11"/>
  <c r="O1178" i="11"/>
  <c r="R1178" i="11"/>
  <c r="V1178" i="11"/>
  <c r="I1177" i="11"/>
  <c r="J1177" i="11"/>
  <c r="K1177" i="11"/>
  <c r="AE1177" i="11"/>
  <c r="AC1177" i="11"/>
  <c r="X1177" i="11"/>
  <c r="V1177" i="11"/>
  <c r="I1176" i="11"/>
  <c r="R1176" i="11"/>
  <c r="K1176" i="11"/>
  <c r="L1176" i="11" s="1"/>
  <c r="J1176" i="11"/>
  <c r="N1176" i="11" s="1"/>
  <c r="AE1176" i="11"/>
  <c r="O1176" i="11"/>
  <c r="AC1176" i="11"/>
  <c r="X1176" i="11"/>
  <c r="V1176" i="11"/>
  <c r="AC1175" i="11"/>
  <c r="I1175" i="11"/>
  <c r="J1175" i="11"/>
  <c r="K1175" i="11"/>
  <c r="L1175" i="11"/>
  <c r="N1175" i="11"/>
  <c r="O1175" i="11"/>
  <c r="I1174" i="11"/>
  <c r="K1174" i="11"/>
  <c r="AE1174" i="11" s="1"/>
  <c r="AC1174" i="11"/>
  <c r="J1174" i="11"/>
  <c r="O1174" i="11"/>
  <c r="R1174" i="11"/>
  <c r="K1173" i="11"/>
  <c r="J1173" i="11"/>
  <c r="I1173" i="11"/>
  <c r="L1173" i="11" s="1"/>
  <c r="AE1173" i="11"/>
  <c r="AC1173" i="11"/>
  <c r="X1173" i="11"/>
  <c r="V1173" i="11"/>
  <c r="R1173" i="11"/>
  <c r="O1173" i="11"/>
  <c r="N1173" i="11"/>
  <c r="J1172" i="11"/>
  <c r="I1172" i="11"/>
  <c r="AC1172" i="11"/>
  <c r="V1172" i="11"/>
  <c r="X1172" i="11"/>
  <c r="K1172" i="11"/>
  <c r="L1172" i="11" s="1"/>
  <c r="AE1172" i="11"/>
  <c r="R1172" i="11"/>
  <c r="O1172" i="11"/>
  <c r="N1172" i="11"/>
  <c r="AC1171" i="11"/>
  <c r="I1171" i="11"/>
  <c r="K1171" i="11"/>
  <c r="J1171" i="11"/>
  <c r="AE1171" i="11"/>
  <c r="AC1170" i="11"/>
  <c r="K1170" i="11"/>
  <c r="J1170" i="11"/>
  <c r="I1170" i="11"/>
  <c r="J1169" i="11"/>
  <c r="AC1169" i="11"/>
  <c r="K1169" i="11"/>
  <c r="I1169" i="11"/>
  <c r="AC1168" i="11"/>
  <c r="J1168" i="11"/>
  <c r="N1168" i="11"/>
  <c r="O1168" i="11"/>
  <c r="K1168" i="11"/>
  <c r="I1168" i="11"/>
  <c r="I1167" i="11"/>
  <c r="R1167" i="11"/>
  <c r="K1167" i="11"/>
  <c r="AE1167" i="11" s="1"/>
  <c r="AC1167" i="11"/>
  <c r="X1167" i="11"/>
  <c r="V1167" i="11"/>
  <c r="J1167" i="11"/>
  <c r="AC1166" i="11"/>
  <c r="J1166" i="11"/>
  <c r="O1166" i="11" s="1"/>
  <c r="N1166" i="11"/>
  <c r="I1166" i="11"/>
  <c r="K1166" i="11"/>
  <c r="AE1166" i="11" s="1"/>
  <c r="AC1165" i="11"/>
  <c r="J1165" i="11"/>
  <c r="O1165" i="11" s="1"/>
  <c r="I1165" i="11"/>
  <c r="N1165" i="11"/>
  <c r="K1165" i="11"/>
  <c r="I1164" i="11"/>
  <c r="X1164" i="11"/>
  <c r="J1164" i="11"/>
  <c r="K1164" i="11"/>
  <c r="L1164" i="11" s="1"/>
  <c r="V1164" i="11"/>
  <c r="AE1164" i="11"/>
  <c r="AC1164" i="11"/>
  <c r="R1164" i="11"/>
  <c r="J1163" i="11"/>
  <c r="AC1163" i="11"/>
  <c r="O1163" i="11"/>
  <c r="I1163" i="11"/>
  <c r="K1163" i="11"/>
  <c r="N1163" i="11"/>
  <c r="X1163" i="11"/>
  <c r="V1163" i="11"/>
  <c r="I1162" i="11"/>
  <c r="J1162" i="11"/>
  <c r="O1162" i="11" s="1"/>
  <c r="K1162" i="11"/>
  <c r="N1162" i="11"/>
  <c r="AC1162" i="11"/>
  <c r="AE1162" i="11"/>
  <c r="L1162" i="11"/>
  <c r="K1161" i="11"/>
  <c r="I1161" i="11"/>
  <c r="X1161" i="11"/>
  <c r="AC1161" i="11"/>
  <c r="J1161" i="11"/>
  <c r="J1160" i="11"/>
  <c r="N1160" i="11" s="1"/>
  <c r="AC1160" i="11"/>
  <c r="O1160" i="11"/>
  <c r="K1160" i="11"/>
  <c r="I1160" i="11"/>
  <c r="AE1160" i="11"/>
  <c r="K1159" i="11"/>
  <c r="I1159" i="11"/>
  <c r="X1159" i="11"/>
  <c r="J1159" i="11"/>
  <c r="AC1159" i="11"/>
  <c r="L1159" i="11"/>
  <c r="AE1159" i="11"/>
  <c r="K1158" i="11"/>
  <c r="AC1158" i="11"/>
  <c r="J1158" i="11"/>
  <c r="I1158" i="11"/>
  <c r="AC1157" i="11"/>
  <c r="J1157" i="11"/>
  <c r="O1157" i="11"/>
  <c r="I1157" i="11"/>
  <c r="N1157" i="11"/>
  <c r="K1157" i="11"/>
  <c r="AE1157" i="11" s="1"/>
  <c r="J1156" i="11"/>
  <c r="O1156" i="11" s="1"/>
  <c r="I1156" i="11"/>
  <c r="K1156" i="11"/>
  <c r="L1156" i="11" s="1"/>
  <c r="N1156" i="11"/>
  <c r="AE1156" i="11"/>
  <c r="AC1156" i="11"/>
  <c r="X1156" i="11"/>
  <c r="AC1155" i="11"/>
  <c r="K1155" i="11"/>
  <c r="I1155" i="11"/>
  <c r="J1155" i="11"/>
  <c r="L1155" i="11"/>
  <c r="I1154" i="11"/>
  <c r="R1154" i="11"/>
  <c r="V1154" i="11"/>
  <c r="X1154" i="11"/>
  <c r="AC1154" i="11"/>
  <c r="J1154" i="11"/>
  <c r="O1154" i="11" s="1"/>
  <c r="N1154" i="11"/>
  <c r="K1154" i="11"/>
  <c r="AC1153" i="11"/>
  <c r="J1153" i="11"/>
  <c r="I1153" i="11"/>
  <c r="O1153" i="11"/>
  <c r="N1153" i="11"/>
  <c r="K1153" i="11"/>
  <c r="L1153" i="11" s="1"/>
  <c r="K1152" i="11"/>
  <c r="I1152" i="11"/>
  <c r="AE1152" i="11"/>
  <c r="J1152" i="11"/>
  <c r="X1152" i="11"/>
  <c r="L1152" i="11"/>
  <c r="AC1152" i="11"/>
  <c r="N1152" i="11"/>
  <c r="O1152" i="11"/>
  <c r="AC1151" i="11"/>
  <c r="J1151" i="11"/>
  <c r="I1151" i="11"/>
  <c r="K1151" i="11"/>
  <c r="V1151" i="11"/>
  <c r="I1150" i="11"/>
  <c r="X1150" i="11"/>
  <c r="AC1150" i="11"/>
  <c r="J1150" i="11"/>
  <c r="K1150" i="11"/>
  <c r="I1149" i="11"/>
  <c r="V1149" i="11"/>
  <c r="AC1149" i="11"/>
  <c r="K1149" i="11"/>
  <c r="AE1149" i="11" s="1"/>
  <c r="J1149" i="11"/>
  <c r="AC1148" i="11"/>
  <c r="J1148" i="11"/>
  <c r="I1148" i="11"/>
  <c r="K1148" i="11"/>
  <c r="I1147" i="11"/>
  <c r="K1147" i="11"/>
  <c r="X1147" i="11"/>
  <c r="R1147" i="11"/>
  <c r="J1147" i="11"/>
  <c r="AC1147" i="11"/>
  <c r="AE1147" i="11"/>
  <c r="I1146" i="11"/>
  <c r="J1146" i="11"/>
  <c r="N1146" i="11"/>
  <c r="V1146" i="11"/>
  <c r="R1146" i="11"/>
  <c r="X1146" i="11"/>
  <c r="K1146" i="11"/>
  <c r="O1146" i="11"/>
  <c r="AC1146" i="11"/>
  <c r="I1145" i="11"/>
  <c r="J1145" i="11"/>
  <c r="N1145" i="11" s="1"/>
  <c r="K1145" i="11"/>
  <c r="L1145" i="11"/>
  <c r="O1145" i="11"/>
  <c r="V1145" i="11"/>
  <c r="X1145" i="11"/>
  <c r="R1145" i="11"/>
  <c r="AC1145" i="11"/>
  <c r="AE1145" i="11"/>
  <c r="I1144" i="11"/>
  <c r="R1144" i="11" s="1"/>
  <c r="K1144" i="11"/>
  <c r="V1144" i="11"/>
  <c r="X1144" i="11"/>
  <c r="AC1144" i="11"/>
  <c r="J1144" i="11"/>
  <c r="L1144" i="11"/>
  <c r="AE1144" i="11"/>
  <c r="AC1143" i="11"/>
  <c r="K1143" i="11"/>
  <c r="I1143" i="11"/>
  <c r="J1143" i="11"/>
  <c r="R1143" i="11"/>
  <c r="X1143" i="11"/>
  <c r="K1142" i="11"/>
  <c r="I1142" i="11"/>
  <c r="AC1142" i="11"/>
  <c r="J1142" i="11"/>
  <c r="AC1141" i="11"/>
  <c r="J1141" i="11"/>
  <c r="I1141" i="11"/>
  <c r="K1141" i="11"/>
  <c r="AC1140" i="11"/>
  <c r="I1140" i="11"/>
  <c r="K1140" i="11"/>
  <c r="X1140" i="11"/>
  <c r="R1140" i="11"/>
  <c r="J1140" i="11"/>
  <c r="N1140" i="11" s="1"/>
  <c r="O1140" i="11"/>
  <c r="J1139" i="11"/>
  <c r="O1139" i="11"/>
  <c r="I1139" i="11"/>
  <c r="N1139" i="11"/>
  <c r="K1139" i="11"/>
  <c r="V1139" i="11"/>
  <c r="X1139" i="11"/>
  <c r="AC1139" i="11"/>
  <c r="K1138" i="11"/>
  <c r="J1138" i="11"/>
  <c r="N1138" i="11" s="1"/>
  <c r="O1138" i="11"/>
  <c r="AC1138" i="11"/>
  <c r="I1138" i="11"/>
  <c r="V1138" i="11"/>
  <c r="K1137" i="11"/>
  <c r="I1137" i="11"/>
  <c r="AC1137" i="11"/>
  <c r="R1137" i="11"/>
  <c r="J1137" i="11"/>
  <c r="AC1136" i="11"/>
  <c r="J1136" i="11"/>
  <c r="O1136" i="11" s="1"/>
  <c r="N1136" i="11"/>
  <c r="I1136" i="11"/>
  <c r="K1136" i="11"/>
  <c r="I1135" i="11"/>
  <c r="X1135" i="11" s="1"/>
  <c r="AC1135" i="11"/>
  <c r="K1135" i="11"/>
  <c r="R1135" i="11"/>
  <c r="V1135" i="11"/>
  <c r="J1135" i="11"/>
  <c r="J1134" i="11"/>
  <c r="AC1134" i="11"/>
  <c r="O1134" i="11"/>
  <c r="K1134" i="11"/>
  <c r="N1134" i="11"/>
  <c r="I1134" i="11"/>
  <c r="L1134" i="11"/>
  <c r="R1134" i="11"/>
  <c r="X1134" i="11"/>
  <c r="I1133" i="11"/>
  <c r="J1133" i="11"/>
  <c r="O1133" i="11"/>
  <c r="AC1133" i="11"/>
  <c r="X1133" i="11"/>
  <c r="N1133" i="11"/>
  <c r="K1133" i="11"/>
  <c r="L1133" i="11" s="1"/>
  <c r="I1132" i="11"/>
  <c r="X1132" i="11" s="1"/>
  <c r="J1132" i="11"/>
  <c r="N1132" i="11"/>
  <c r="K1132" i="11"/>
  <c r="O1132" i="11"/>
  <c r="R1132" i="11"/>
  <c r="AC1132" i="11"/>
  <c r="AE1132" i="11"/>
  <c r="L1132" i="11"/>
  <c r="V1132" i="11"/>
  <c r="AC1131" i="11"/>
  <c r="I1131" i="11"/>
  <c r="K1131" i="11"/>
  <c r="X1131" i="11"/>
  <c r="J1131" i="11"/>
  <c r="O1131" i="11" s="1"/>
  <c r="N1131" i="11"/>
  <c r="R1131" i="11"/>
  <c r="V1131" i="11"/>
  <c r="K1130" i="11"/>
  <c r="I1130" i="11"/>
  <c r="R1130" i="11"/>
  <c r="AC1130" i="11"/>
  <c r="X1130" i="11"/>
  <c r="J1130" i="11"/>
  <c r="AE1130" i="11"/>
  <c r="V1130" i="11"/>
  <c r="O1130" i="11"/>
  <c r="K1129" i="11"/>
  <c r="I1129" i="11"/>
  <c r="AE1129" i="11"/>
  <c r="J1129" i="11"/>
  <c r="R1129" i="11"/>
  <c r="N1129" i="11"/>
  <c r="AC1129" i="11"/>
  <c r="X1129" i="11"/>
  <c r="V1129" i="11"/>
  <c r="K1128" i="11"/>
  <c r="I1128" i="11"/>
  <c r="AE1128" i="11"/>
  <c r="AC1128" i="11"/>
  <c r="J1128" i="11"/>
  <c r="R1128" i="11"/>
  <c r="AC1127" i="11"/>
  <c r="I1127" i="11"/>
  <c r="K1127" i="11"/>
  <c r="X1127" i="11"/>
  <c r="AE1127" i="11"/>
  <c r="J1127" i="11"/>
  <c r="O1127" i="11" s="1"/>
  <c r="N1127" i="11"/>
  <c r="R1127" i="11"/>
  <c r="AC1126" i="11"/>
  <c r="J1126" i="11"/>
  <c r="N1126" i="11" s="1"/>
  <c r="O1126" i="11"/>
  <c r="I1126" i="11"/>
  <c r="V1126" i="11"/>
  <c r="K1126" i="11"/>
  <c r="AE1126" i="11" s="1"/>
  <c r="AC1125" i="11"/>
  <c r="J1125" i="11"/>
  <c r="I1125" i="11"/>
  <c r="K1125" i="11"/>
  <c r="AC1124" i="11"/>
  <c r="J1124" i="11"/>
  <c r="K1124" i="11"/>
  <c r="I1124" i="11"/>
  <c r="I1123" i="11"/>
  <c r="V1123" i="11"/>
  <c r="AC1123" i="11"/>
  <c r="K1123" i="11"/>
  <c r="R1123" i="11"/>
  <c r="J1123" i="11"/>
  <c r="X1123" i="11"/>
  <c r="K1122" i="11"/>
  <c r="I1122" i="11"/>
  <c r="AE1122" i="11"/>
  <c r="V1122" i="11"/>
  <c r="J1122" i="11"/>
  <c r="N1122" i="11" s="1"/>
  <c r="O1122" i="11"/>
  <c r="L1122" i="11"/>
  <c r="AC1122" i="11"/>
  <c r="AC1121" i="11"/>
  <c r="J1121" i="11"/>
  <c r="O1121" i="11" s="1"/>
  <c r="N1121" i="11"/>
  <c r="I1121" i="11"/>
  <c r="K1121" i="11"/>
  <c r="X1121" i="11"/>
  <c r="I1120" i="11"/>
  <c r="K1120" i="11"/>
  <c r="AC1120" i="11"/>
  <c r="J1120" i="11"/>
  <c r="O1120" i="11"/>
  <c r="I1119" i="11"/>
  <c r="AE1119" i="11" s="1"/>
  <c r="K1119" i="11"/>
  <c r="J1119" i="11"/>
  <c r="L1119" i="11"/>
  <c r="V1119" i="11"/>
  <c r="X1119" i="11"/>
  <c r="AC1119" i="11"/>
  <c r="R1119" i="11"/>
  <c r="AC1118" i="11"/>
  <c r="I1118" i="11"/>
  <c r="K1118" i="11"/>
  <c r="X1118" i="11"/>
  <c r="J1118" i="11"/>
  <c r="N1118" i="11"/>
  <c r="R1118" i="11"/>
  <c r="I1117" i="11"/>
  <c r="J1117" i="11"/>
  <c r="O1117" i="11" s="1"/>
  <c r="V1117" i="11"/>
  <c r="R1117" i="11"/>
  <c r="N1117" i="11"/>
  <c r="X1117" i="11"/>
  <c r="AC1117" i="11"/>
  <c r="K1117" i="11"/>
  <c r="AC1116" i="11"/>
  <c r="K1116" i="11"/>
  <c r="I1116" i="11"/>
  <c r="J1116" i="11"/>
  <c r="O1116" i="11" s="1"/>
  <c r="N1116" i="11"/>
  <c r="K1115" i="11"/>
  <c r="I1115" i="11"/>
  <c r="L1115" i="11" s="1"/>
  <c r="J1115" i="11"/>
  <c r="N1115" i="11" s="1"/>
  <c r="V1115" i="11"/>
  <c r="AE1115" i="11"/>
  <c r="AC1115" i="11"/>
  <c r="X1115" i="11"/>
  <c r="R1115" i="11"/>
  <c r="O1115" i="11"/>
  <c r="J1114" i="11"/>
  <c r="O1114" i="11" s="1"/>
  <c r="I1114" i="11"/>
  <c r="V1114" i="11"/>
  <c r="K1114" i="11"/>
  <c r="L1114" i="11" s="1"/>
  <c r="R1114" i="11"/>
  <c r="N1114" i="11"/>
  <c r="X1114" i="11"/>
  <c r="AE1114" i="11"/>
  <c r="AC1114" i="11"/>
  <c r="AC1113" i="11"/>
  <c r="J1113" i="11"/>
  <c r="K1113" i="11"/>
  <c r="O1113" i="11"/>
  <c r="I1113" i="11"/>
  <c r="L1113" i="11"/>
  <c r="N1113" i="11"/>
  <c r="V1113" i="11"/>
  <c r="K1112" i="11"/>
  <c r="I1112" i="11"/>
  <c r="X1112" i="11"/>
  <c r="J1112" i="11"/>
  <c r="O1112" i="11" s="1"/>
  <c r="AC1112" i="11"/>
  <c r="V1112" i="11"/>
  <c r="N1112" i="11"/>
  <c r="K1111" i="11"/>
  <c r="I1111" i="11"/>
  <c r="L1111" i="11" s="1"/>
  <c r="R1111" i="11"/>
  <c r="X1111" i="11"/>
  <c r="V1111" i="11"/>
  <c r="AC1111" i="11"/>
  <c r="AE1111" i="11"/>
  <c r="J1111" i="11"/>
  <c r="I1110" i="11"/>
  <c r="AC1110" i="11"/>
  <c r="J1110" i="11"/>
  <c r="X1110" i="11"/>
  <c r="O1110" i="11"/>
  <c r="V1110" i="11"/>
  <c r="R1110" i="11"/>
  <c r="N1110" i="11"/>
  <c r="K1110" i="11"/>
  <c r="I1109" i="11"/>
  <c r="L1109" i="11" s="1"/>
  <c r="K1109" i="11"/>
  <c r="R1109" i="11"/>
  <c r="V1109" i="11"/>
  <c r="X1109" i="11"/>
  <c r="AE1109" i="11"/>
  <c r="AC1109" i="11"/>
  <c r="J1109" i="11"/>
  <c r="K1108" i="11"/>
  <c r="AC1108" i="11"/>
  <c r="J1108" i="11"/>
  <c r="I1108" i="11"/>
  <c r="AE1108" i="11"/>
  <c r="V1108" i="11"/>
  <c r="I1107" i="11"/>
  <c r="AC1107" i="11"/>
  <c r="R1107" i="11"/>
  <c r="X1107" i="11"/>
  <c r="J1107" i="11"/>
  <c r="K1107" i="11"/>
  <c r="V1107" i="11"/>
  <c r="J1106" i="11"/>
  <c r="N1106" i="11" s="1"/>
  <c r="O1106" i="11"/>
  <c r="AC1106" i="11"/>
  <c r="K1106" i="11"/>
  <c r="I1106" i="11"/>
  <c r="AC1105" i="11"/>
  <c r="J1105" i="11"/>
  <c r="I1105" i="11"/>
  <c r="K1105" i="11"/>
  <c r="AE1105" i="11"/>
  <c r="I1104" i="11"/>
  <c r="V1104" i="11" s="1"/>
  <c r="X1104" i="11"/>
  <c r="AC1104" i="11"/>
  <c r="K1104" i="11"/>
  <c r="J1104" i="11"/>
  <c r="N1104" i="11" s="1"/>
  <c r="O1104" i="11"/>
  <c r="R1104" i="11"/>
  <c r="K1103" i="11"/>
  <c r="J1103" i="11"/>
  <c r="O1103" i="11" s="1"/>
  <c r="N1103" i="11"/>
  <c r="I1103" i="11"/>
  <c r="AE1103" i="11"/>
  <c r="AC1103" i="11"/>
  <c r="V1103" i="11"/>
  <c r="J1102" i="11"/>
  <c r="O1102" i="11"/>
  <c r="AC1102" i="11"/>
  <c r="K1102" i="11"/>
  <c r="I1102" i="11"/>
  <c r="N1102" i="11"/>
  <c r="AE1102" i="11"/>
  <c r="K1101" i="11"/>
  <c r="I1101" i="11"/>
  <c r="J1101" i="11"/>
  <c r="N1101" i="11" s="1"/>
  <c r="O1101" i="11"/>
  <c r="AC1101" i="11"/>
  <c r="AE1101" i="11"/>
  <c r="K1100" i="11"/>
  <c r="I1100" i="11"/>
  <c r="AC1100" i="11"/>
  <c r="V1100" i="11"/>
  <c r="J1100" i="11"/>
  <c r="R1100" i="11"/>
  <c r="L1100" i="11"/>
  <c r="AC1099" i="11"/>
  <c r="J1099" i="11"/>
  <c r="N1099" i="11" s="1"/>
  <c r="K1099" i="11"/>
  <c r="I1099" i="11"/>
  <c r="R1099" i="11"/>
  <c r="AE1099" i="11"/>
  <c r="O1099" i="11"/>
  <c r="L1099" i="11"/>
  <c r="J1098" i="11"/>
  <c r="K1098" i="11"/>
  <c r="O1098" i="11"/>
  <c r="I1098" i="11"/>
  <c r="AC1098" i="11"/>
  <c r="X1098" i="11"/>
  <c r="N1098" i="11"/>
  <c r="AC1097" i="11"/>
  <c r="K1097" i="11"/>
  <c r="I1097" i="11"/>
  <c r="R1097" i="11"/>
  <c r="X1097" i="11"/>
  <c r="AE1097" i="11"/>
  <c r="V1097" i="11"/>
  <c r="J1097" i="11"/>
  <c r="AC1096" i="11"/>
  <c r="J1096" i="11"/>
  <c r="O1096" i="11"/>
  <c r="I1096" i="11"/>
  <c r="K1096" i="11"/>
  <c r="N1096" i="11"/>
  <c r="I1095" i="11"/>
  <c r="R1095" i="11"/>
  <c r="X1095" i="11"/>
  <c r="V1095" i="11"/>
  <c r="AC1095" i="11"/>
  <c r="J1095" i="11"/>
  <c r="K1095" i="11"/>
  <c r="K1094" i="11"/>
  <c r="I1094" i="11"/>
  <c r="J1094" i="11"/>
  <c r="L1094" i="11" s="1"/>
  <c r="AE1094" i="11"/>
  <c r="X1094" i="11"/>
  <c r="O1094" i="11"/>
  <c r="V1094" i="11"/>
  <c r="R1094" i="11"/>
  <c r="AC1094" i="11"/>
  <c r="N1094" i="11"/>
  <c r="J1093" i="11"/>
  <c r="O1093" i="11" s="1"/>
  <c r="K1093" i="11"/>
  <c r="N1093" i="11"/>
  <c r="I1093" i="11"/>
  <c r="AC1093" i="11"/>
  <c r="AC1092" i="11"/>
  <c r="K1092" i="11"/>
  <c r="J1092" i="11"/>
  <c r="N1092" i="11" s="1"/>
  <c r="O1092" i="11"/>
  <c r="I1092" i="11"/>
  <c r="J1091" i="11"/>
  <c r="N1091" i="11" s="1"/>
  <c r="I1091" i="11"/>
  <c r="O1091" i="11"/>
  <c r="AC1091" i="11"/>
  <c r="X1091" i="11"/>
  <c r="V1091" i="11"/>
  <c r="K1091" i="11"/>
  <c r="AE1091" i="11" s="1"/>
  <c r="J1090" i="11"/>
  <c r="AC1090" i="11"/>
  <c r="K1090" i="11"/>
  <c r="I1090" i="11"/>
  <c r="O1090" i="11"/>
  <c r="L1090" i="11"/>
  <c r="N1090" i="11"/>
  <c r="R1090" i="11"/>
  <c r="V1090" i="11"/>
  <c r="AE1090" i="11"/>
  <c r="X1090" i="11"/>
  <c r="J1089" i="11"/>
  <c r="N1089" i="11"/>
  <c r="AC1089" i="11"/>
  <c r="K1089" i="11"/>
  <c r="O1089" i="11"/>
  <c r="I1089" i="11"/>
  <c r="AC1088" i="11"/>
  <c r="I1088" i="11"/>
  <c r="V1088" i="11"/>
  <c r="R1088" i="11"/>
  <c r="J1088" i="11"/>
  <c r="N1088" i="11" s="1"/>
  <c r="K1088" i="11"/>
  <c r="L1088" i="11" s="1"/>
  <c r="O1088" i="11"/>
  <c r="X1088" i="11"/>
  <c r="AE1088" i="11"/>
  <c r="K1087" i="11"/>
  <c r="AC1087" i="11"/>
  <c r="J1087" i="11"/>
  <c r="N1087" i="11" s="1"/>
  <c r="I1087" i="11"/>
  <c r="O1087" i="11"/>
  <c r="L1087" i="11"/>
  <c r="K1086" i="11"/>
  <c r="I1086" i="11"/>
  <c r="AC1086" i="11"/>
  <c r="J1086" i="11"/>
  <c r="X1086" i="11"/>
  <c r="I1085" i="11"/>
  <c r="X1085" i="11"/>
  <c r="V1085" i="11"/>
  <c r="K1085" i="11"/>
  <c r="J1085" i="11"/>
  <c r="N1085" i="11" s="1"/>
  <c r="O1085" i="11"/>
  <c r="L1085" i="11"/>
  <c r="AC1085" i="11"/>
  <c r="AC1084" i="11"/>
  <c r="K1084" i="11"/>
  <c r="J1084" i="11"/>
  <c r="O1084" i="11" s="1"/>
  <c r="I1084" i="11"/>
  <c r="N1084" i="11"/>
  <c r="R1084" i="11"/>
  <c r="I1083" i="11"/>
  <c r="J1083" i="11"/>
  <c r="K1083" i="11"/>
  <c r="L1083" i="11" s="1"/>
  <c r="R1083" i="11"/>
  <c r="X1083" i="11"/>
  <c r="O1083" i="11"/>
  <c r="AE1083" i="11"/>
  <c r="AC1083" i="11"/>
  <c r="V1083" i="11"/>
  <c r="N1083" i="11"/>
  <c r="AC1082" i="11"/>
  <c r="K1082" i="11"/>
  <c r="J1082" i="11"/>
  <c r="I1082" i="11"/>
  <c r="R1082" i="11"/>
  <c r="AE1082" i="11"/>
  <c r="J1081" i="11"/>
  <c r="N1081" i="11" s="1"/>
  <c r="AC1081" i="11"/>
  <c r="K1081" i="11"/>
  <c r="I1081" i="11"/>
  <c r="AE1081" i="11"/>
  <c r="O1081" i="11"/>
  <c r="X1081" i="11"/>
  <c r="AC1080" i="11"/>
  <c r="K1080" i="11"/>
  <c r="I1080" i="11"/>
  <c r="V1080" i="11"/>
  <c r="J1080" i="11"/>
  <c r="X1080" i="11"/>
  <c r="K1079" i="11"/>
  <c r="AC1079" i="11"/>
  <c r="I1079" i="11"/>
  <c r="J1079" i="11"/>
  <c r="L1079" i="11"/>
  <c r="K1078" i="11"/>
  <c r="I1078" i="11"/>
  <c r="R1078" i="11"/>
  <c r="AC1078" i="11"/>
  <c r="AE1078" i="11"/>
  <c r="J1078" i="11"/>
  <c r="I1077" i="11"/>
  <c r="X1077" i="11" s="1"/>
  <c r="AC1077" i="11"/>
  <c r="R1077" i="11"/>
  <c r="V1077" i="11"/>
  <c r="J1077" i="11"/>
  <c r="K1077" i="11"/>
  <c r="AC1076" i="11"/>
  <c r="J1076" i="11"/>
  <c r="O1076" i="11" s="1"/>
  <c r="N1076" i="11"/>
  <c r="I1076" i="11"/>
  <c r="K1076" i="11"/>
  <c r="J1075" i="11"/>
  <c r="O1075" i="11" s="1"/>
  <c r="AC1075" i="11"/>
  <c r="K1075" i="11"/>
  <c r="N1075" i="11"/>
  <c r="I1075" i="11"/>
  <c r="K1074" i="11"/>
  <c r="J1074" i="11"/>
  <c r="O1074" i="11"/>
  <c r="N1074" i="11"/>
  <c r="I1074" i="11"/>
  <c r="L1074" i="11" s="1"/>
  <c r="R1074" i="11"/>
  <c r="X1074" i="11"/>
  <c r="AE1074" i="11"/>
  <c r="AC1074" i="11"/>
  <c r="V1074" i="11"/>
  <c r="AC1073" i="11"/>
  <c r="K1073" i="11"/>
  <c r="J1073" i="11"/>
  <c r="I1073" i="11"/>
  <c r="J1072" i="11"/>
  <c r="N1072" i="11" s="1"/>
  <c r="AC1072" i="11"/>
  <c r="I1072" i="11"/>
  <c r="K1072" i="11"/>
  <c r="O1072" i="11"/>
  <c r="AC1071" i="11"/>
  <c r="K1071" i="11"/>
  <c r="I1071" i="11"/>
  <c r="J1071" i="11"/>
  <c r="N1071" i="11" s="1"/>
  <c r="O1071" i="11"/>
  <c r="L1071" i="11"/>
  <c r="AC1070" i="11"/>
  <c r="I1070" i="11"/>
  <c r="J1070" i="11"/>
  <c r="K1070" i="11"/>
  <c r="I1069" i="11"/>
  <c r="AE1069" i="11" s="1"/>
  <c r="J1069" i="11"/>
  <c r="O1069" i="11" s="1"/>
  <c r="V1069" i="11"/>
  <c r="X1069" i="11"/>
  <c r="R1069" i="11"/>
  <c r="K1069" i="11"/>
  <c r="L1069" i="11" s="1"/>
  <c r="N1069" i="11"/>
  <c r="AC1069" i="11"/>
  <c r="K1068" i="11"/>
  <c r="J1068" i="11"/>
  <c r="N1068" i="11"/>
  <c r="I1068" i="11"/>
  <c r="AC1068" i="11"/>
  <c r="X1068" i="11"/>
  <c r="V1068" i="11"/>
  <c r="O1068" i="11"/>
  <c r="AE1068" i="11"/>
  <c r="I1067" i="11"/>
  <c r="AC1067" i="11"/>
  <c r="R1067" i="11"/>
  <c r="V1067" i="11"/>
  <c r="J1067" i="11"/>
  <c r="K1067" i="11"/>
  <c r="L1067" i="11" s="1"/>
  <c r="J1066" i="11"/>
  <c r="AC1066" i="11"/>
  <c r="O1066" i="11"/>
  <c r="K1066" i="11"/>
  <c r="I1066" i="11"/>
  <c r="N1066" i="11"/>
  <c r="AC1065" i="11"/>
  <c r="K1065" i="11"/>
  <c r="I1065" i="11"/>
  <c r="V1065" i="11"/>
  <c r="J1065" i="11"/>
  <c r="O1065" i="11" s="1"/>
  <c r="N1065" i="11"/>
  <c r="X1065" i="11"/>
  <c r="AC1064" i="11"/>
  <c r="I1064" i="11"/>
  <c r="R1064" i="11" s="1"/>
  <c r="K1064" i="11"/>
  <c r="X1064" i="11"/>
  <c r="J1064" i="11"/>
  <c r="V1064" i="11"/>
  <c r="AE1064" i="11"/>
  <c r="I1063" i="11"/>
  <c r="V1063" i="11"/>
  <c r="K1063" i="11"/>
  <c r="J1063" i="11"/>
  <c r="O1063" i="11" s="1"/>
  <c r="AC1063" i="11"/>
  <c r="N1063" i="11"/>
  <c r="R1063" i="11"/>
  <c r="X1063" i="11"/>
  <c r="K1062" i="11"/>
  <c r="AC1062" i="11"/>
  <c r="I1062" i="11"/>
  <c r="J1062" i="11"/>
  <c r="L1062" i="11"/>
  <c r="I1061" i="11"/>
  <c r="AC1061" i="11"/>
  <c r="X1061" i="11"/>
  <c r="R1061" i="11"/>
  <c r="K1061" i="11"/>
  <c r="AE1061" i="11" s="1"/>
  <c r="J1061" i="11"/>
  <c r="O1061" i="11" s="1"/>
  <c r="N1061" i="11"/>
  <c r="V1061" i="11"/>
  <c r="L1061" i="11"/>
  <c r="K1060" i="11"/>
  <c r="J1060" i="11"/>
  <c r="I1060" i="11"/>
  <c r="AC1060" i="11"/>
  <c r="K1059" i="11"/>
  <c r="I1059" i="11"/>
  <c r="AC1059" i="11"/>
  <c r="R1059" i="11"/>
  <c r="J1059" i="11"/>
  <c r="N1059" i="11"/>
  <c r="AE1059" i="11"/>
  <c r="AC1058" i="11"/>
  <c r="K1058" i="11"/>
  <c r="J1058" i="11"/>
  <c r="O1058" i="11" s="1"/>
  <c r="I1058" i="11"/>
  <c r="L1058" i="11"/>
  <c r="N1058" i="11"/>
  <c r="AC1057" i="11"/>
  <c r="J1057" i="11"/>
  <c r="N1057" i="11" s="1"/>
  <c r="I1057" i="11"/>
  <c r="X1057" i="11"/>
  <c r="O1057" i="11"/>
  <c r="R1057" i="11"/>
  <c r="K1057" i="11"/>
  <c r="AC1056" i="11"/>
  <c r="K1056" i="11"/>
  <c r="J1056" i="11"/>
  <c r="O1056" i="11" s="1"/>
  <c r="N1056" i="11"/>
  <c r="I1056" i="11"/>
  <c r="V1056" i="11"/>
  <c r="AE1056" i="11"/>
  <c r="K1055" i="11"/>
  <c r="AC1055" i="11"/>
  <c r="I1055" i="11"/>
  <c r="J1055" i="11"/>
  <c r="R1055" i="11"/>
  <c r="K1054" i="11"/>
  <c r="I1054" i="11"/>
  <c r="AE1054" i="11"/>
  <c r="AC1054" i="11"/>
  <c r="X1054" i="11"/>
  <c r="J1054" i="11"/>
  <c r="AC1053" i="11"/>
  <c r="K1053" i="11"/>
  <c r="I1053" i="11"/>
  <c r="J1053" i="11"/>
  <c r="V1053" i="11"/>
  <c r="K1052" i="11"/>
  <c r="I1052" i="11"/>
  <c r="L1052" i="11" s="1"/>
  <c r="AE1052" i="11"/>
  <c r="R1052" i="11"/>
  <c r="V1052" i="11"/>
  <c r="AC1052" i="11"/>
  <c r="X1052" i="11"/>
  <c r="J1052" i="11"/>
  <c r="K1051" i="11"/>
  <c r="J1051" i="11"/>
  <c r="I1051" i="11"/>
  <c r="AC1051" i="11"/>
  <c r="X1051" i="11"/>
  <c r="V1051" i="11"/>
  <c r="K1050" i="11"/>
  <c r="J1050" i="11"/>
  <c r="I1050" i="11"/>
  <c r="AC1050" i="11"/>
  <c r="V1050" i="11"/>
  <c r="I1049" i="11"/>
  <c r="R1049" i="11" s="1"/>
  <c r="AC1049" i="11"/>
  <c r="J1049" i="11"/>
  <c r="N1049" i="11" s="1"/>
  <c r="V1049" i="11"/>
  <c r="X1049" i="11"/>
  <c r="K1049" i="11"/>
  <c r="AE1049" i="11" s="1"/>
  <c r="L1049" i="11"/>
  <c r="O1049" i="11"/>
  <c r="AC1048" i="11"/>
  <c r="K1048" i="11"/>
  <c r="I1048" i="11"/>
  <c r="J1048" i="11"/>
  <c r="L1048" i="11"/>
  <c r="AC1047" i="11"/>
  <c r="J1047" i="11"/>
  <c r="K1047" i="11"/>
  <c r="I1047" i="11"/>
  <c r="I1046" i="11"/>
  <c r="V1046" i="11" s="1"/>
  <c r="J1046" i="11"/>
  <c r="N1046" i="11"/>
  <c r="X1046" i="11"/>
  <c r="AC1046" i="11"/>
  <c r="R1046" i="11"/>
  <c r="K1046" i="11"/>
  <c r="L1046" i="11" s="1"/>
  <c r="O1046" i="11"/>
  <c r="AE1046" i="11"/>
  <c r="J1045" i="11"/>
  <c r="AC1045" i="11"/>
  <c r="O1045" i="11"/>
  <c r="N1045" i="11"/>
  <c r="I1045" i="11"/>
  <c r="K1045" i="11"/>
  <c r="I1044" i="11"/>
  <c r="K1044" i="11"/>
  <c r="J1044" i="11"/>
  <c r="O1044" i="11" s="1"/>
  <c r="AC1044" i="11"/>
  <c r="R1044" i="11"/>
  <c r="V1044" i="11"/>
  <c r="X1044" i="11"/>
  <c r="N1044" i="11"/>
  <c r="AC1043" i="11"/>
  <c r="I1043" i="11"/>
  <c r="X1043" i="11" s="1"/>
  <c r="V1043" i="11"/>
  <c r="R1043" i="11"/>
  <c r="K1043" i="11"/>
  <c r="L1043" i="11" s="1"/>
  <c r="AE1043" i="11"/>
  <c r="J1043" i="11"/>
  <c r="J1042" i="11"/>
  <c r="N1042" i="11" s="1"/>
  <c r="AC1042" i="11"/>
  <c r="O1042" i="11"/>
  <c r="I1042" i="11"/>
  <c r="K1042" i="11"/>
  <c r="V1042" i="11"/>
  <c r="AE1042" i="11"/>
  <c r="AC1041" i="11"/>
  <c r="I1041" i="11"/>
  <c r="K1041" i="11"/>
  <c r="R1041" i="11"/>
  <c r="J1041" i="11"/>
  <c r="K1040" i="11"/>
  <c r="AC1040" i="11"/>
  <c r="I1040" i="11"/>
  <c r="J1040" i="11"/>
  <c r="R1040" i="11"/>
  <c r="AE1040" i="11"/>
  <c r="J1039" i="11"/>
  <c r="O1039" i="11" s="1"/>
  <c r="N1039" i="11"/>
  <c r="I1039" i="11"/>
  <c r="K1039" i="11"/>
  <c r="AC1039" i="11"/>
  <c r="L1039" i="11"/>
  <c r="I1038" i="11"/>
  <c r="L1038" i="11" s="1"/>
  <c r="AC1038" i="11"/>
  <c r="J1038" i="11"/>
  <c r="O1038" i="11" s="1"/>
  <c r="K1038" i="11"/>
  <c r="V1038" i="11"/>
  <c r="AE1038" i="11"/>
  <c r="N1038" i="11"/>
  <c r="R1038" i="11"/>
  <c r="X1038" i="11"/>
  <c r="J1037" i="11"/>
  <c r="N1037" i="11" s="1"/>
  <c r="I1037" i="11"/>
  <c r="O1037" i="11"/>
  <c r="K1037" i="11"/>
  <c r="L1037" i="11" s="1"/>
  <c r="X1037" i="11"/>
  <c r="AC1037" i="11"/>
  <c r="AE1037" i="11"/>
  <c r="AC1036" i="11"/>
  <c r="I1036" i="11"/>
  <c r="R1036" i="11" s="1"/>
  <c r="J1036" i="11"/>
  <c r="X1036" i="11"/>
  <c r="V1036" i="11"/>
  <c r="K1036" i="11"/>
  <c r="AC1035" i="11"/>
  <c r="J1035" i="11"/>
  <c r="O1035" i="11" s="1"/>
  <c r="N1035" i="11"/>
  <c r="K1035" i="11"/>
  <c r="I1035" i="11"/>
  <c r="R1035" i="11"/>
  <c r="L1035" i="11"/>
  <c r="AC1034" i="11"/>
  <c r="I1034" i="11"/>
  <c r="K1034" i="11"/>
  <c r="J1034" i="11"/>
  <c r="I1033" i="11"/>
  <c r="J1033" i="11"/>
  <c r="AC1033" i="11"/>
  <c r="K1033" i="11"/>
  <c r="L1033" i="11" s="1"/>
  <c r="AE1033" i="11"/>
  <c r="X1033" i="11"/>
  <c r="V1033" i="11"/>
  <c r="R1033" i="11"/>
  <c r="I1032" i="11"/>
  <c r="V1032" i="11"/>
  <c r="K1032" i="11"/>
  <c r="J1032" i="11"/>
  <c r="AE1032" i="11"/>
  <c r="AC1032" i="11"/>
  <c r="O1032" i="11"/>
  <c r="N1032" i="11"/>
  <c r="L1032" i="11"/>
  <c r="AC1031" i="11"/>
  <c r="I1031" i="11"/>
  <c r="X1031" i="11"/>
  <c r="R1031" i="11"/>
  <c r="J1031" i="11"/>
  <c r="O1031" i="11"/>
  <c r="K1031" i="11"/>
  <c r="N1031" i="11"/>
  <c r="I1030" i="11"/>
  <c r="R1030" i="11" s="1"/>
  <c r="AC1030" i="11"/>
  <c r="V1030" i="11"/>
  <c r="K1030" i="11"/>
  <c r="J1030" i="11"/>
  <c r="L1030" i="11"/>
  <c r="O1030" i="11"/>
  <c r="X1030" i="11"/>
  <c r="AE1030" i="11"/>
  <c r="N1030" i="11"/>
  <c r="K1029" i="11"/>
  <c r="I1029" i="11"/>
  <c r="J1029" i="11"/>
  <c r="R1029" i="11"/>
  <c r="L1029" i="11"/>
  <c r="AE1029" i="11"/>
  <c r="AC1029" i="11"/>
  <c r="I1028" i="11"/>
  <c r="X1028" i="11"/>
  <c r="K1028" i="11"/>
  <c r="AE1028" i="11" s="1"/>
  <c r="V1028" i="11"/>
  <c r="J1028" i="11"/>
  <c r="R1028" i="11"/>
  <c r="AC1028" i="11"/>
  <c r="K1027" i="11"/>
  <c r="J1027" i="11"/>
  <c r="O1027" i="11"/>
  <c r="I1027" i="11"/>
  <c r="N1027" i="11"/>
  <c r="AE1027" i="11"/>
  <c r="AC1027" i="11"/>
  <c r="X1027" i="11"/>
  <c r="V1027" i="11"/>
  <c r="AC1026" i="11"/>
  <c r="J1026" i="11"/>
  <c r="N1026" i="11" s="1"/>
  <c r="K1026" i="11"/>
  <c r="I1026" i="11"/>
  <c r="R1026" i="11"/>
  <c r="O1026" i="11"/>
  <c r="L1026" i="11"/>
  <c r="J1025" i="11"/>
  <c r="O1025" i="11"/>
  <c r="AC1025" i="11"/>
  <c r="K1025" i="11"/>
  <c r="N1025" i="11"/>
  <c r="I1025" i="11"/>
  <c r="J1024" i="11"/>
  <c r="O1024" i="11" s="1"/>
  <c r="AC1024" i="11"/>
  <c r="N1024" i="11"/>
  <c r="K1024" i="11"/>
  <c r="I1024" i="11"/>
  <c r="I1023" i="11"/>
  <c r="L1023" i="11" s="1"/>
  <c r="V1023" i="11"/>
  <c r="J1023" i="11"/>
  <c r="K1023" i="11"/>
  <c r="AE1023" i="11" s="1"/>
  <c r="R1023" i="11"/>
  <c r="X1023" i="11"/>
  <c r="AC1023" i="11"/>
  <c r="K1022" i="11"/>
  <c r="AC1022" i="11"/>
  <c r="J1022" i="11"/>
  <c r="O1022" i="11" s="1"/>
  <c r="N1022" i="11"/>
  <c r="I1022" i="11"/>
  <c r="K1021" i="11"/>
  <c r="I1021" i="11"/>
  <c r="R1021" i="11"/>
  <c r="X1021" i="11"/>
  <c r="J1021" i="11"/>
  <c r="AC1021" i="11"/>
  <c r="I1020" i="11"/>
  <c r="J1020" i="11"/>
  <c r="O1020" i="11" s="1"/>
  <c r="V1020" i="11"/>
  <c r="N1020" i="11"/>
  <c r="K1020" i="11"/>
  <c r="AC1020" i="11"/>
  <c r="I1019" i="11"/>
  <c r="K1019" i="11"/>
  <c r="AE1019" i="11"/>
  <c r="AC1019" i="11"/>
  <c r="J1019" i="11"/>
  <c r="X1019" i="11"/>
  <c r="L1019" i="11"/>
  <c r="V1019" i="11"/>
  <c r="R1019" i="11"/>
  <c r="O1019" i="11"/>
  <c r="N1019" i="11"/>
  <c r="AC1018" i="11"/>
  <c r="I1018" i="11"/>
  <c r="K1018" i="11"/>
  <c r="J1018" i="11"/>
  <c r="X1018" i="11"/>
  <c r="I1017" i="11"/>
  <c r="J1017" i="11"/>
  <c r="K1017" i="11"/>
  <c r="L1017" i="11" s="1"/>
  <c r="AC1016" i="11"/>
  <c r="I1016" i="11"/>
  <c r="J1016" i="11"/>
  <c r="K1016" i="11"/>
  <c r="L1016" i="11" s="1"/>
  <c r="R1016" i="11"/>
  <c r="K1015" i="11"/>
  <c r="J1015" i="11"/>
  <c r="N1015" i="11" s="1"/>
  <c r="I1015" i="11"/>
  <c r="L1015" i="11" s="1"/>
  <c r="R1015" i="11"/>
  <c r="AE1015" i="11"/>
  <c r="AC1015" i="11"/>
  <c r="X1015" i="11"/>
  <c r="V1015" i="11"/>
  <c r="O1015" i="11"/>
  <c r="I1014" i="11"/>
  <c r="K1014" i="11"/>
  <c r="J1014" i="11"/>
  <c r="AC1014" i="11"/>
  <c r="O1014" i="11"/>
  <c r="R1014" i="11"/>
  <c r="AE1014" i="11"/>
  <c r="X1014" i="11"/>
  <c r="V1014" i="11"/>
  <c r="J1013" i="11"/>
  <c r="K1013" i="11"/>
  <c r="I1013" i="11"/>
  <c r="X1013" i="11" s="1"/>
  <c r="AC1013" i="11"/>
  <c r="AE1013" i="11"/>
  <c r="L1013" i="11"/>
  <c r="N1013" i="11"/>
  <c r="O1013" i="11"/>
  <c r="R1013" i="11"/>
  <c r="V1013" i="11"/>
  <c r="I1012" i="11"/>
  <c r="AC1012" i="11"/>
  <c r="X1012" i="11"/>
  <c r="V1012" i="11"/>
  <c r="R1012" i="11"/>
  <c r="K1012" i="11"/>
  <c r="J1012" i="11"/>
  <c r="J1011" i="11"/>
  <c r="I1011" i="11"/>
  <c r="K1011" i="11"/>
  <c r="L1011" i="11"/>
  <c r="N1011" i="11"/>
  <c r="O1011" i="11"/>
  <c r="R1011" i="11"/>
  <c r="V1011" i="11"/>
  <c r="X1011" i="11"/>
  <c r="AC1011" i="11"/>
  <c r="AE1011" i="11"/>
  <c r="K1010" i="11"/>
  <c r="AC1010" i="11"/>
  <c r="I1010" i="11"/>
  <c r="J1010" i="11"/>
  <c r="L1010" i="11"/>
  <c r="R1010" i="11"/>
  <c r="O1010" i="11"/>
  <c r="N1010" i="11"/>
  <c r="K1009" i="11"/>
  <c r="AC1009" i="11"/>
  <c r="J1009" i="11"/>
  <c r="I1009" i="11"/>
  <c r="K1008" i="11"/>
  <c r="J1008" i="11"/>
  <c r="I1008" i="11"/>
  <c r="AE1008" i="11"/>
  <c r="AC1008" i="11"/>
  <c r="X1008" i="11"/>
  <c r="V1008" i="11"/>
  <c r="AC1007" i="11"/>
  <c r="I1007" i="11"/>
  <c r="J1007" i="11"/>
  <c r="K1007" i="11"/>
  <c r="L1007" i="11"/>
  <c r="N1007" i="11"/>
  <c r="O1007" i="11"/>
  <c r="AE1007" i="11"/>
  <c r="AC1006" i="11"/>
  <c r="K1006" i="11"/>
  <c r="J1006" i="11"/>
  <c r="I1006" i="11"/>
  <c r="R1006" i="11"/>
  <c r="J1005" i="11"/>
  <c r="O1005" i="11"/>
  <c r="N1005" i="11"/>
  <c r="K1005" i="11"/>
  <c r="AC1005" i="11"/>
  <c r="I1005" i="11"/>
  <c r="AE1005" i="11"/>
  <c r="L1005" i="11"/>
  <c r="J1004" i="11"/>
  <c r="AC1004" i="11"/>
  <c r="N1004" i="11"/>
  <c r="O1004" i="11"/>
  <c r="I1004" i="11"/>
  <c r="K1004" i="11"/>
  <c r="X1004" i="11"/>
  <c r="R1004" i="11"/>
  <c r="V1004" i="11"/>
  <c r="AC1003" i="11"/>
  <c r="J1003" i="11"/>
  <c r="K1003" i="11"/>
  <c r="I1003" i="11"/>
  <c r="X1003" i="11"/>
  <c r="AC1002" i="11"/>
  <c r="K1002" i="11"/>
  <c r="J1002" i="11"/>
  <c r="I1002" i="11"/>
  <c r="I1001" i="11"/>
  <c r="J1001" i="11"/>
  <c r="O1001" i="11" s="1"/>
  <c r="K1001" i="11"/>
  <c r="X1001" i="11"/>
  <c r="V1001" i="11"/>
  <c r="N1001" i="11"/>
  <c r="AC1001" i="11"/>
  <c r="AE1001" i="11"/>
  <c r="R1001" i="11"/>
  <c r="L1001" i="11"/>
  <c r="AC1000" i="11"/>
  <c r="K1000" i="11"/>
  <c r="J1000" i="11"/>
  <c r="I1000" i="11"/>
  <c r="N1000" i="11"/>
  <c r="O1000" i="11"/>
  <c r="R1000" i="11"/>
  <c r="AC999" i="11"/>
  <c r="K999" i="11"/>
  <c r="J999" i="11"/>
  <c r="I999" i="11"/>
  <c r="X999" i="11"/>
  <c r="AE999" i="11"/>
  <c r="R999" i="11"/>
  <c r="AC998" i="11"/>
  <c r="K998" i="11"/>
  <c r="J998" i="11"/>
  <c r="I998" i="11"/>
  <c r="J997" i="11"/>
  <c r="O997" i="11"/>
  <c r="N997" i="11"/>
  <c r="K997" i="11"/>
  <c r="I997" i="11"/>
  <c r="AE997" i="11"/>
  <c r="X997" i="11"/>
  <c r="AC997" i="11"/>
  <c r="AE996" i="11"/>
  <c r="AC996" i="11"/>
  <c r="K996" i="11"/>
  <c r="J996" i="11"/>
  <c r="I996" i="11"/>
  <c r="R996" i="11"/>
  <c r="O996" i="11"/>
  <c r="N996" i="11"/>
  <c r="K995" i="11"/>
  <c r="J995" i="11"/>
  <c r="I995" i="11"/>
  <c r="X995" i="11"/>
  <c r="AE995" i="11"/>
  <c r="AC995" i="11"/>
  <c r="K994" i="11"/>
  <c r="I994" i="11"/>
  <c r="AE994" i="11"/>
  <c r="AC994" i="11"/>
  <c r="J994" i="11"/>
  <c r="O994" i="11" s="1"/>
  <c r="N994" i="11"/>
  <c r="I993" i="11"/>
  <c r="J993" i="11"/>
  <c r="K993" i="11"/>
  <c r="L993" i="11"/>
  <c r="N993" i="11"/>
  <c r="O993" i="11"/>
  <c r="R993" i="11"/>
  <c r="AE993" i="11"/>
  <c r="AC993" i="11"/>
  <c r="J992" i="11"/>
  <c r="K992" i="11"/>
  <c r="N992" i="11"/>
  <c r="O992" i="11"/>
  <c r="AC992" i="11"/>
  <c r="I992" i="11"/>
  <c r="K991" i="11"/>
  <c r="AC991" i="11"/>
  <c r="J991" i="11"/>
  <c r="I991" i="11"/>
  <c r="K990" i="11"/>
  <c r="AC990" i="11"/>
  <c r="I990" i="11"/>
  <c r="J990" i="11"/>
  <c r="AC989" i="11"/>
  <c r="K989" i="11"/>
  <c r="J989" i="11"/>
  <c r="I989" i="11"/>
  <c r="AE989" i="11" s="1"/>
  <c r="V989" i="11"/>
  <c r="X989" i="11"/>
  <c r="R989" i="11"/>
  <c r="O989" i="11"/>
  <c r="N989" i="11"/>
  <c r="L989" i="11"/>
  <c r="J988" i="11"/>
  <c r="N988" i="11"/>
  <c r="O988" i="11"/>
  <c r="I988" i="11"/>
  <c r="K988" i="11"/>
  <c r="V988" i="11"/>
  <c r="X988" i="11"/>
  <c r="AC988" i="11"/>
  <c r="AE988" i="11"/>
  <c r="AC987" i="11"/>
  <c r="K987" i="11"/>
  <c r="J987" i="11"/>
  <c r="I987" i="11"/>
  <c r="L987" i="11"/>
  <c r="J986" i="11"/>
  <c r="K986" i="11"/>
  <c r="N986" i="11"/>
  <c r="O986" i="11"/>
  <c r="AC986" i="11"/>
  <c r="I986" i="11"/>
  <c r="AE986" i="11"/>
  <c r="AC985" i="11"/>
  <c r="J985" i="11"/>
  <c r="O985" i="11"/>
  <c r="N985" i="11"/>
  <c r="K985" i="11"/>
  <c r="I985" i="11"/>
  <c r="K984" i="11"/>
  <c r="J984" i="11"/>
  <c r="I984" i="11"/>
  <c r="AE984" i="11"/>
  <c r="AC984" i="11"/>
  <c r="X984" i="11"/>
  <c r="V984" i="11"/>
  <c r="K983" i="11"/>
  <c r="J983" i="11"/>
  <c r="AC983" i="11"/>
  <c r="I983" i="11"/>
  <c r="I982" i="11"/>
  <c r="L982" i="11" s="1"/>
  <c r="AC982" i="11"/>
  <c r="X982" i="11"/>
  <c r="V982" i="11"/>
  <c r="R982" i="11"/>
  <c r="K982" i="11"/>
  <c r="AE982" i="11" s="1"/>
  <c r="J982" i="11"/>
  <c r="J981" i="11"/>
  <c r="I981" i="11"/>
  <c r="N981" i="11"/>
  <c r="O981" i="11"/>
  <c r="X981" i="11"/>
  <c r="K981" i="11"/>
  <c r="L981" i="11"/>
  <c r="V981" i="11"/>
  <c r="AC981" i="11"/>
  <c r="AE981" i="11"/>
  <c r="R981" i="11"/>
  <c r="AC980" i="11"/>
  <c r="K980" i="11"/>
  <c r="I980" i="11"/>
  <c r="J980" i="11"/>
  <c r="AC979" i="11"/>
  <c r="K979" i="11"/>
  <c r="J979" i="11"/>
  <c r="I979" i="11"/>
  <c r="I978" i="11"/>
  <c r="AC978" i="11"/>
  <c r="X978" i="11"/>
  <c r="R978" i="11"/>
  <c r="V978" i="11"/>
  <c r="K978" i="11"/>
  <c r="L978" i="11" s="1"/>
  <c r="AE978" i="11"/>
  <c r="J978" i="11"/>
  <c r="AC977" i="11"/>
  <c r="I977" i="11"/>
  <c r="V977" i="11"/>
  <c r="R977" i="11"/>
  <c r="K977" i="11"/>
  <c r="L977" i="11" s="1"/>
  <c r="J977" i="11"/>
  <c r="AC976" i="11"/>
  <c r="K976" i="11"/>
  <c r="J976" i="11"/>
  <c r="I976" i="11"/>
  <c r="K975" i="11"/>
  <c r="J975" i="11"/>
  <c r="I975" i="11"/>
  <c r="AE975" i="11"/>
  <c r="AC975" i="11"/>
  <c r="X975" i="11"/>
  <c r="V975" i="11"/>
  <c r="AC974" i="11"/>
  <c r="J974" i="11"/>
  <c r="K974" i="11"/>
  <c r="I974" i="11"/>
  <c r="L974" i="11"/>
  <c r="J973" i="11"/>
  <c r="AC973" i="11"/>
  <c r="O973" i="11"/>
  <c r="N973" i="11"/>
  <c r="K973" i="11"/>
  <c r="I973" i="11"/>
  <c r="I972" i="11"/>
  <c r="J972" i="11"/>
  <c r="K972" i="11"/>
  <c r="L972" i="11"/>
  <c r="O972" i="11"/>
  <c r="R972" i="11"/>
  <c r="V972" i="11"/>
  <c r="X972" i="11"/>
  <c r="AC972" i="11"/>
  <c r="AE972" i="11"/>
  <c r="N972" i="11"/>
  <c r="I971" i="11"/>
  <c r="AC971" i="11"/>
  <c r="X971" i="11"/>
  <c r="V971" i="11"/>
  <c r="R971" i="11"/>
  <c r="K971" i="11"/>
  <c r="L971" i="11" s="1"/>
  <c r="J971" i="11"/>
  <c r="AE971" i="11"/>
  <c r="K970" i="11"/>
  <c r="J970" i="11"/>
  <c r="I970" i="11"/>
  <c r="AE970" i="11"/>
  <c r="AC970" i="11"/>
  <c r="AC969" i="11"/>
  <c r="K969" i="11"/>
  <c r="J969" i="11"/>
  <c r="O969" i="11" s="1"/>
  <c r="I969" i="11"/>
  <c r="N969" i="11"/>
  <c r="I968" i="11"/>
  <c r="J968" i="11"/>
  <c r="K968" i="11"/>
  <c r="L968" i="11"/>
  <c r="N968" i="11"/>
  <c r="O968" i="11"/>
  <c r="R968" i="11"/>
  <c r="V968" i="11"/>
  <c r="X968" i="11"/>
  <c r="AC968" i="11"/>
  <c r="AE968" i="11"/>
  <c r="AC967" i="11"/>
  <c r="I967" i="11"/>
  <c r="V967" i="11"/>
  <c r="J967" i="11"/>
  <c r="N967" i="11" s="1"/>
  <c r="K967" i="11"/>
  <c r="L967" i="11"/>
  <c r="O967" i="11"/>
  <c r="I966" i="11"/>
  <c r="J966" i="11"/>
  <c r="V966" i="11"/>
  <c r="K966" i="11"/>
  <c r="L966" i="11"/>
  <c r="N966" i="11"/>
  <c r="O966" i="11"/>
  <c r="AE966" i="11"/>
  <c r="X966" i="11"/>
  <c r="AC966" i="11"/>
  <c r="R966" i="11"/>
  <c r="I965" i="11"/>
  <c r="AE965" i="11" s="1"/>
  <c r="J965" i="11"/>
  <c r="K965" i="11"/>
  <c r="L965" i="11"/>
  <c r="N965" i="11"/>
  <c r="O965" i="11"/>
  <c r="AC965" i="11"/>
  <c r="R965" i="11"/>
  <c r="V965" i="11"/>
  <c r="X965" i="11"/>
  <c r="J964" i="11"/>
  <c r="K964" i="11"/>
  <c r="N964" i="11"/>
  <c r="O964" i="11"/>
  <c r="I964" i="11"/>
  <c r="AC964" i="11"/>
  <c r="I963" i="11"/>
  <c r="AC963" i="11"/>
  <c r="X963" i="11"/>
  <c r="V963" i="11"/>
  <c r="R963" i="11"/>
  <c r="K963" i="11"/>
  <c r="J963" i="11"/>
  <c r="AC962" i="11"/>
  <c r="I962" i="11"/>
  <c r="J962" i="11"/>
  <c r="K962" i="11"/>
  <c r="L962" i="11"/>
  <c r="N962" i="11"/>
  <c r="O962" i="11"/>
  <c r="R962" i="11"/>
  <c r="K961" i="11"/>
  <c r="J961" i="11"/>
  <c r="AC961" i="11"/>
  <c r="I961" i="11"/>
  <c r="AC960" i="11"/>
  <c r="K960" i="11"/>
  <c r="J960" i="11"/>
  <c r="I960" i="11"/>
  <c r="R960" i="11"/>
  <c r="K959" i="11"/>
  <c r="AC959" i="11"/>
  <c r="J959" i="11"/>
  <c r="I959" i="11"/>
  <c r="R959" i="11"/>
  <c r="O959" i="11"/>
  <c r="N959" i="11"/>
  <c r="L959" i="11"/>
  <c r="AC958" i="11"/>
  <c r="I958" i="11"/>
  <c r="R958" i="11" s="1"/>
  <c r="J958" i="11"/>
  <c r="K958" i="11"/>
  <c r="AE958" i="11" s="1"/>
  <c r="L958" i="11"/>
  <c r="X958" i="11"/>
  <c r="V958" i="11"/>
  <c r="AC957" i="11"/>
  <c r="K957" i="11"/>
  <c r="J957" i="11"/>
  <c r="N957" i="11" s="1"/>
  <c r="I957" i="11"/>
  <c r="R957" i="11"/>
  <c r="O957" i="11"/>
  <c r="V957" i="11"/>
  <c r="X957" i="11"/>
  <c r="AC956" i="11"/>
  <c r="I956" i="11"/>
  <c r="R956" i="11"/>
  <c r="J956" i="11"/>
  <c r="K956" i="11"/>
  <c r="AE956" i="11" s="1"/>
  <c r="L956" i="11"/>
  <c r="N956" i="11"/>
  <c r="O956" i="11"/>
  <c r="AC955" i="11"/>
  <c r="K955" i="11"/>
  <c r="J955" i="11"/>
  <c r="I955" i="11"/>
  <c r="AC954" i="11"/>
  <c r="K954" i="11"/>
  <c r="J954" i="11"/>
  <c r="I954" i="11"/>
  <c r="X954" i="11"/>
  <c r="V954" i="11"/>
  <c r="AE954" i="11"/>
  <c r="K953" i="11"/>
  <c r="I953" i="11"/>
  <c r="AE953" i="11"/>
  <c r="AC953" i="11"/>
  <c r="X953" i="11"/>
  <c r="J953" i="11"/>
  <c r="AC952" i="11"/>
  <c r="I952" i="11"/>
  <c r="J952" i="11"/>
  <c r="K952" i="11"/>
  <c r="L952" i="11"/>
  <c r="AE952" i="11"/>
  <c r="O952" i="11"/>
  <c r="R952" i="11"/>
  <c r="N952" i="11"/>
  <c r="I951" i="11"/>
  <c r="AC951" i="11"/>
  <c r="J951" i="11"/>
  <c r="K951" i="11"/>
  <c r="AE951" i="11" s="1"/>
  <c r="L951" i="11"/>
  <c r="N951" i="11"/>
  <c r="O951" i="11"/>
  <c r="R951" i="11"/>
  <c r="K950" i="11"/>
  <c r="AC950" i="11"/>
  <c r="I950" i="11"/>
  <c r="AE950" i="11"/>
  <c r="J950" i="11"/>
  <c r="K949" i="11"/>
  <c r="AC949" i="11"/>
  <c r="I949" i="11"/>
  <c r="J949" i="11"/>
  <c r="L949" i="11"/>
  <c r="N949" i="11"/>
  <c r="O949" i="11"/>
  <c r="R949" i="11"/>
  <c r="X949" i="11"/>
  <c r="K948" i="11"/>
  <c r="AC948" i="11"/>
  <c r="J948" i="11"/>
  <c r="I948" i="11"/>
  <c r="V948" i="11"/>
  <c r="J947" i="11"/>
  <c r="I947" i="11"/>
  <c r="K947" i="11"/>
  <c r="R947" i="11"/>
  <c r="O947" i="11"/>
  <c r="AC947" i="11"/>
  <c r="N947" i="11"/>
  <c r="X947" i="11"/>
  <c r="V947" i="11"/>
  <c r="AC946" i="11"/>
  <c r="I946" i="11"/>
  <c r="J946" i="11"/>
  <c r="K946" i="11"/>
  <c r="L946" i="11"/>
  <c r="N946" i="11"/>
  <c r="O946" i="11"/>
  <c r="R946" i="11"/>
  <c r="K945" i="11"/>
  <c r="J945" i="11"/>
  <c r="I945" i="11"/>
  <c r="X945" i="11"/>
  <c r="AE945" i="11"/>
  <c r="AC945" i="11"/>
  <c r="K944" i="11"/>
  <c r="J944" i="11"/>
  <c r="O944" i="11" s="1"/>
  <c r="AC944" i="11"/>
  <c r="N944" i="11"/>
  <c r="I944" i="11"/>
  <c r="AC943" i="11"/>
  <c r="K943" i="11"/>
  <c r="I943" i="11"/>
  <c r="J943" i="11"/>
  <c r="AE943" i="11"/>
  <c r="J942" i="11"/>
  <c r="I942" i="11"/>
  <c r="K942" i="11"/>
  <c r="L942" i="11"/>
  <c r="N942" i="11"/>
  <c r="O942" i="11"/>
  <c r="R942" i="11"/>
  <c r="V942" i="11"/>
  <c r="X942" i="11"/>
  <c r="AC942" i="11"/>
  <c r="AE942" i="11"/>
  <c r="K941" i="11"/>
  <c r="I941" i="11"/>
  <c r="J941" i="11"/>
  <c r="L941" i="11"/>
  <c r="N941" i="11"/>
  <c r="O941" i="11"/>
  <c r="R941" i="11"/>
  <c r="V941" i="11"/>
  <c r="X941" i="11"/>
  <c r="AC941" i="11"/>
  <c r="AE941" i="11"/>
  <c r="I940" i="11"/>
  <c r="L940" i="11" s="1"/>
  <c r="AC940" i="11"/>
  <c r="X940" i="11"/>
  <c r="V940" i="11"/>
  <c r="R940" i="11"/>
  <c r="J940" i="11"/>
  <c r="O940" i="11" s="1"/>
  <c r="K940" i="11"/>
  <c r="AE940" i="11" s="1"/>
  <c r="N940" i="11"/>
  <c r="K939" i="11"/>
  <c r="I939" i="11"/>
  <c r="J939" i="11"/>
  <c r="AC939" i="11"/>
  <c r="I938" i="11"/>
  <c r="AC938" i="11"/>
  <c r="X938" i="11"/>
  <c r="K938" i="11"/>
  <c r="AE938" i="11" s="1"/>
  <c r="J938" i="11"/>
  <c r="L938" i="11"/>
  <c r="N938" i="11"/>
  <c r="O938" i="11"/>
  <c r="R938" i="11"/>
  <c r="V938" i="11"/>
  <c r="K937" i="11"/>
  <c r="J937" i="11"/>
  <c r="I937" i="11"/>
  <c r="AE937" i="11"/>
  <c r="AC937" i="11"/>
  <c r="X937" i="11"/>
  <c r="V937" i="11"/>
  <c r="K936" i="11"/>
  <c r="I936" i="11"/>
  <c r="AE936" i="11" s="1"/>
  <c r="R936" i="11"/>
  <c r="J936" i="11"/>
  <c r="V936" i="11"/>
  <c r="L936" i="11"/>
  <c r="X936" i="11"/>
  <c r="AC936" i="11"/>
  <c r="AC935" i="11"/>
  <c r="K935" i="11"/>
  <c r="J935" i="11"/>
  <c r="I935" i="11"/>
  <c r="K934" i="11"/>
  <c r="AC934" i="11"/>
  <c r="J934" i="11"/>
  <c r="O934" i="11"/>
  <c r="N934" i="11"/>
  <c r="I934" i="11"/>
  <c r="V934" i="11"/>
  <c r="R934" i="11"/>
  <c r="AC933" i="11"/>
  <c r="I933" i="11"/>
  <c r="J933" i="11"/>
  <c r="K933" i="11"/>
  <c r="L933" i="11"/>
  <c r="N933" i="11"/>
  <c r="O933" i="11"/>
  <c r="R933" i="11"/>
  <c r="AC932" i="11"/>
  <c r="I932" i="11"/>
  <c r="J932" i="11"/>
  <c r="O932" i="11" s="1"/>
  <c r="K932" i="11"/>
  <c r="L932" i="11"/>
  <c r="N932" i="11"/>
  <c r="X932" i="11"/>
  <c r="J931" i="11"/>
  <c r="I931" i="11"/>
  <c r="AC931" i="11"/>
  <c r="X931" i="11"/>
  <c r="V931" i="11"/>
  <c r="K931" i="11"/>
  <c r="AC930" i="11"/>
  <c r="I930" i="11"/>
  <c r="J930" i="11"/>
  <c r="N930" i="11" s="1"/>
  <c r="K930" i="11"/>
  <c r="L930" i="11"/>
  <c r="O930" i="11"/>
  <c r="I929" i="11"/>
  <c r="AE929" i="11" s="1"/>
  <c r="K929" i="11"/>
  <c r="R929" i="11"/>
  <c r="J929" i="11"/>
  <c r="V929" i="11"/>
  <c r="X929" i="11"/>
  <c r="AC929" i="11"/>
  <c r="J928" i="11"/>
  <c r="I928" i="11"/>
  <c r="K928" i="11"/>
  <c r="AE928" i="11"/>
  <c r="AC928" i="11"/>
  <c r="X928" i="11"/>
  <c r="V928" i="11"/>
  <c r="I927" i="11"/>
  <c r="AC927" i="11"/>
  <c r="X927" i="11"/>
  <c r="V927" i="11"/>
  <c r="J927" i="11"/>
  <c r="K927" i="11"/>
  <c r="AE927" i="11" s="1"/>
  <c r="L927" i="11"/>
  <c r="N927" i="11"/>
  <c r="O927" i="11"/>
  <c r="R927" i="11"/>
  <c r="I926" i="11"/>
  <c r="V926" i="11"/>
  <c r="X926" i="11"/>
  <c r="AC926" i="11"/>
  <c r="R926" i="11"/>
  <c r="K926" i="11"/>
  <c r="J926" i="11"/>
  <c r="AC925" i="11"/>
  <c r="I925" i="11"/>
  <c r="J925" i="11"/>
  <c r="K925" i="11"/>
  <c r="N925" i="11"/>
  <c r="O925" i="11"/>
  <c r="R925" i="11"/>
  <c r="AC924" i="11"/>
  <c r="K924" i="11"/>
  <c r="J924" i="11"/>
  <c r="O924" i="11" s="1"/>
  <c r="N924" i="11"/>
  <c r="I924" i="11"/>
  <c r="AC923" i="11"/>
  <c r="I923" i="11"/>
  <c r="J923" i="11"/>
  <c r="K923" i="11"/>
  <c r="L923" i="11"/>
  <c r="N923" i="11"/>
  <c r="O923" i="11"/>
  <c r="R923" i="11"/>
  <c r="J922" i="11"/>
  <c r="AC922" i="11"/>
  <c r="K922" i="11"/>
  <c r="N922" i="11"/>
  <c r="O922" i="11"/>
  <c r="I922" i="11"/>
  <c r="K921" i="11"/>
  <c r="J921" i="11"/>
  <c r="I921" i="11"/>
  <c r="L921" i="11" s="1"/>
  <c r="V921" i="11"/>
  <c r="R921" i="11"/>
  <c r="AE921" i="11"/>
  <c r="AC921" i="11"/>
  <c r="X921" i="11"/>
  <c r="AC920" i="11"/>
  <c r="K920" i="11"/>
  <c r="J920" i="11"/>
  <c r="N920" i="11" s="1"/>
  <c r="I920" i="11"/>
  <c r="O920" i="11"/>
  <c r="L920" i="11"/>
  <c r="I919" i="11"/>
  <c r="J919" i="11"/>
  <c r="K919" i="11"/>
  <c r="L919" i="11"/>
  <c r="N919" i="11"/>
  <c r="O919" i="11"/>
  <c r="R919" i="11"/>
  <c r="V919" i="11"/>
  <c r="X919" i="11"/>
  <c r="AC919" i="11"/>
  <c r="AE919" i="11"/>
  <c r="K918" i="11"/>
  <c r="J918" i="11"/>
  <c r="AC918" i="11"/>
  <c r="I918" i="11"/>
  <c r="V918" i="11"/>
  <c r="R918" i="11"/>
  <c r="AC917" i="11"/>
  <c r="K917" i="11"/>
  <c r="J917" i="11"/>
  <c r="I917" i="11"/>
  <c r="AC916" i="11"/>
  <c r="K916" i="11"/>
  <c r="J916" i="11"/>
  <c r="I916" i="11"/>
  <c r="AC915" i="11"/>
  <c r="K915" i="11"/>
  <c r="J915" i="11"/>
  <c r="I915" i="11"/>
  <c r="AC914" i="11"/>
  <c r="J914" i="11"/>
  <c r="K914" i="11"/>
  <c r="I914" i="11"/>
  <c r="L914" i="11"/>
  <c r="N914" i="11"/>
  <c r="O914" i="11"/>
  <c r="R914" i="11"/>
  <c r="V914" i="11"/>
  <c r="K913" i="11"/>
  <c r="AC913" i="11"/>
  <c r="I913" i="11"/>
  <c r="J913" i="11"/>
  <c r="L913" i="11"/>
  <c r="N913" i="11"/>
  <c r="O913" i="11"/>
  <c r="R913" i="11"/>
  <c r="AC912" i="11"/>
  <c r="J912" i="11"/>
  <c r="K912" i="11"/>
  <c r="I912" i="11"/>
  <c r="L912" i="11"/>
  <c r="O912" i="11"/>
  <c r="R912" i="11"/>
  <c r="N912" i="11"/>
  <c r="AC911" i="11"/>
  <c r="K911" i="11"/>
  <c r="I911" i="11"/>
  <c r="J911" i="11"/>
  <c r="AC910" i="11"/>
  <c r="K910" i="11"/>
  <c r="J910" i="11"/>
  <c r="N910" i="11" s="1"/>
  <c r="I910" i="11"/>
  <c r="O910" i="11"/>
  <c r="AC909" i="11"/>
  <c r="I909" i="11"/>
  <c r="J909" i="11"/>
  <c r="K909" i="11"/>
  <c r="L909" i="11"/>
  <c r="N909" i="11"/>
  <c r="O909" i="11"/>
  <c r="R909" i="11"/>
  <c r="I908" i="11"/>
  <c r="AC908" i="11"/>
  <c r="K908" i="11"/>
  <c r="L908" i="11" s="1"/>
  <c r="J908" i="11"/>
  <c r="AE908" i="11"/>
  <c r="AC907" i="11"/>
  <c r="J907" i="11"/>
  <c r="I907" i="11"/>
  <c r="K907" i="11"/>
  <c r="L907" i="11"/>
  <c r="AE907" i="11"/>
  <c r="AC906" i="11"/>
  <c r="K906" i="11"/>
  <c r="J906" i="11"/>
  <c r="I906" i="11"/>
  <c r="AC905" i="11"/>
  <c r="K905" i="11"/>
  <c r="I905" i="11"/>
  <c r="J905" i="11"/>
  <c r="N905" i="11"/>
  <c r="O905" i="11"/>
  <c r="R905" i="11"/>
  <c r="K904" i="11"/>
  <c r="J904" i="11"/>
  <c r="O904" i="11" s="1"/>
  <c r="I904" i="11"/>
  <c r="V904" i="11"/>
  <c r="N904" i="11"/>
  <c r="AE904" i="11"/>
  <c r="AC904" i="11"/>
  <c r="X904" i="11"/>
  <c r="AC903" i="11"/>
  <c r="K903" i="11"/>
  <c r="J903" i="11"/>
  <c r="I903" i="11"/>
  <c r="AC902" i="11"/>
  <c r="K902" i="11"/>
  <c r="J902" i="11"/>
  <c r="I902" i="11"/>
  <c r="AC901" i="11"/>
  <c r="K901" i="11"/>
  <c r="J901" i="11"/>
  <c r="I901" i="11"/>
  <c r="AC900" i="11"/>
  <c r="K900" i="11"/>
  <c r="J900" i="11"/>
  <c r="I900" i="11"/>
  <c r="K899" i="11"/>
  <c r="I899" i="11"/>
  <c r="J899" i="11"/>
  <c r="L899" i="11"/>
  <c r="N899" i="11"/>
  <c r="O899" i="11"/>
  <c r="R899" i="11"/>
  <c r="V899" i="11"/>
  <c r="X899" i="11"/>
  <c r="AC899" i="11"/>
  <c r="AE899" i="11"/>
  <c r="AC898" i="11"/>
  <c r="K898" i="11"/>
  <c r="J898" i="11"/>
  <c r="I898" i="11"/>
  <c r="AC897" i="11"/>
  <c r="I897" i="11"/>
  <c r="J897" i="11"/>
  <c r="K897" i="11"/>
  <c r="L897" i="11"/>
  <c r="N897" i="11"/>
  <c r="O897" i="11"/>
  <c r="R897" i="11"/>
  <c r="K896" i="11"/>
  <c r="J896" i="11"/>
  <c r="I896" i="11"/>
  <c r="AC896" i="11"/>
  <c r="X896" i="11"/>
  <c r="V896" i="11"/>
  <c r="J895" i="11"/>
  <c r="I895" i="11"/>
  <c r="AC895" i="11"/>
  <c r="X895" i="11"/>
  <c r="K895" i="11"/>
  <c r="V895" i="11"/>
  <c r="R895" i="11"/>
  <c r="O895" i="11"/>
  <c r="N895" i="11"/>
  <c r="K894" i="11"/>
  <c r="J894" i="11"/>
  <c r="I894" i="11"/>
  <c r="AE894" i="11"/>
  <c r="AC894" i="11"/>
  <c r="X894" i="11"/>
  <c r="V894" i="11"/>
  <c r="AC893" i="11"/>
  <c r="J893" i="11"/>
  <c r="O893" i="11"/>
  <c r="N893" i="11"/>
  <c r="I893" i="11"/>
  <c r="K893" i="11"/>
  <c r="AC892" i="11"/>
  <c r="I892" i="11"/>
  <c r="J892" i="11"/>
  <c r="R892" i="11"/>
  <c r="O892" i="11"/>
  <c r="N892" i="11"/>
  <c r="K892" i="11"/>
  <c r="L892" i="11" s="1"/>
  <c r="K891" i="11"/>
  <c r="I891" i="11"/>
  <c r="L891" i="11" s="1"/>
  <c r="J891" i="11"/>
  <c r="R891" i="11"/>
  <c r="AE891" i="11"/>
  <c r="AC891" i="11"/>
  <c r="X891" i="11"/>
  <c r="V891" i="11"/>
  <c r="AC890" i="11"/>
  <c r="K890" i="11"/>
  <c r="J890" i="11"/>
  <c r="I890" i="11"/>
  <c r="AC889" i="11"/>
  <c r="K889" i="11"/>
  <c r="J889" i="11"/>
  <c r="I889" i="11"/>
  <c r="AC888" i="11"/>
  <c r="K888" i="11"/>
  <c r="J888" i="11"/>
  <c r="I888" i="11"/>
  <c r="AC887" i="11"/>
  <c r="K887" i="11"/>
  <c r="J887" i="11"/>
  <c r="I887" i="11"/>
  <c r="AC886" i="11"/>
  <c r="K886" i="11"/>
  <c r="J886" i="11"/>
  <c r="I886" i="11"/>
  <c r="AC885" i="11"/>
  <c r="K885" i="11"/>
  <c r="J885" i="11"/>
  <c r="I885" i="11"/>
  <c r="AC884" i="11"/>
  <c r="K884" i="11"/>
  <c r="J884" i="11"/>
  <c r="I884" i="11"/>
  <c r="AC883" i="11"/>
  <c r="K883" i="11"/>
  <c r="J883" i="11"/>
  <c r="I883" i="11"/>
  <c r="AC882" i="11"/>
  <c r="K882" i="11"/>
  <c r="J882" i="11"/>
  <c r="I882" i="11"/>
  <c r="AC881" i="11"/>
  <c r="K881" i="11"/>
  <c r="J881" i="11"/>
  <c r="I881" i="11"/>
  <c r="AC880" i="11"/>
  <c r="K880" i="11"/>
  <c r="J880" i="11"/>
  <c r="I880" i="11"/>
  <c r="K879" i="11"/>
  <c r="AC879" i="11"/>
  <c r="J879" i="11"/>
  <c r="I879" i="11"/>
  <c r="AC878" i="11"/>
  <c r="I878" i="11"/>
  <c r="V878" i="11"/>
  <c r="R878" i="11"/>
  <c r="K878" i="11"/>
  <c r="L878" i="11" s="1"/>
  <c r="J878" i="11"/>
  <c r="K877" i="11"/>
  <c r="J877" i="11"/>
  <c r="I877" i="11"/>
  <c r="V877" i="11"/>
  <c r="X877" i="11"/>
  <c r="AC877" i="11"/>
  <c r="AE877" i="11"/>
  <c r="AC876" i="11"/>
  <c r="K876" i="11"/>
  <c r="J876" i="11"/>
  <c r="N876" i="11" s="1"/>
  <c r="I876" i="11"/>
  <c r="O876" i="11"/>
  <c r="V876" i="11"/>
  <c r="X876" i="11"/>
  <c r="AC875" i="11"/>
  <c r="K875" i="11"/>
  <c r="J875" i="11"/>
  <c r="I875" i="11"/>
  <c r="K874" i="11"/>
  <c r="J874" i="11"/>
  <c r="O874" i="11" s="1"/>
  <c r="AC874" i="11"/>
  <c r="I874" i="11"/>
  <c r="L874" i="11" s="1"/>
  <c r="X874" i="11"/>
  <c r="V874" i="11"/>
  <c r="AE874" i="11"/>
  <c r="R874" i="11"/>
  <c r="N874" i="11"/>
  <c r="AC873" i="11"/>
  <c r="J873" i="11"/>
  <c r="N873" i="11"/>
  <c r="O873" i="11"/>
  <c r="K873" i="11"/>
  <c r="I873" i="11"/>
  <c r="AC872" i="11"/>
  <c r="I872" i="11"/>
  <c r="J872" i="11"/>
  <c r="O872" i="11" s="1"/>
  <c r="K872" i="11"/>
  <c r="L872" i="11"/>
  <c r="N872" i="11"/>
  <c r="R872" i="11"/>
  <c r="K871" i="11"/>
  <c r="J871" i="11"/>
  <c r="I871" i="11"/>
  <c r="X871" i="11"/>
  <c r="AE871" i="11"/>
  <c r="AC871" i="11"/>
  <c r="AC870" i="11"/>
  <c r="J870" i="11"/>
  <c r="I870" i="11"/>
  <c r="R870" i="11"/>
  <c r="V870" i="11"/>
  <c r="O870" i="11"/>
  <c r="N870" i="11"/>
  <c r="K870" i="11"/>
  <c r="L870" i="11" s="1"/>
  <c r="AC869" i="11"/>
  <c r="K869" i="11"/>
  <c r="J869" i="11"/>
  <c r="I869" i="11"/>
  <c r="AC868" i="11"/>
  <c r="I868" i="11"/>
  <c r="J868" i="11"/>
  <c r="K868" i="11"/>
  <c r="L868" i="11"/>
  <c r="N868" i="11"/>
  <c r="O868" i="11"/>
  <c r="R868" i="11"/>
  <c r="J867" i="11"/>
  <c r="I867" i="11"/>
  <c r="K867" i="11"/>
  <c r="AE867" i="11"/>
  <c r="AC867" i="11"/>
  <c r="X867" i="11"/>
  <c r="V867" i="11"/>
  <c r="AC866" i="11"/>
  <c r="I866" i="11"/>
  <c r="K866" i="11"/>
  <c r="J866" i="11"/>
  <c r="R866" i="11"/>
  <c r="AC865" i="11"/>
  <c r="I865" i="11"/>
  <c r="J865" i="11"/>
  <c r="K865" i="11"/>
  <c r="L865" i="11"/>
  <c r="N865" i="11"/>
  <c r="O865" i="11"/>
  <c r="R865" i="11"/>
  <c r="K864" i="11"/>
  <c r="J864" i="11"/>
  <c r="I864" i="11"/>
  <c r="AE864" i="11"/>
  <c r="AC864" i="11"/>
  <c r="X864" i="11"/>
  <c r="V864" i="11"/>
  <c r="I863" i="11"/>
  <c r="AE863" i="11" s="1"/>
  <c r="J863" i="11"/>
  <c r="AC863" i="11"/>
  <c r="K863" i="11"/>
  <c r="L863" i="11"/>
  <c r="N863" i="11"/>
  <c r="O863" i="11"/>
  <c r="R863" i="11"/>
  <c r="X863" i="11"/>
  <c r="V863" i="11"/>
  <c r="K862" i="11"/>
  <c r="I862" i="11"/>
  <c r="J862" i="11"/>
  <c r="AE862" i="11"/>
  <c r="AC862" i="11"/>
  <c r="X862" i="11"/>
  <c r="V862" i="11"/>
  <c r="K861" i="11"/>
  <c r="J861" i="11"/>
  <c r="I861" i="11"/>
  <c r="AE861" i="11"/>
  <c r="AC861" i="11"/>
  <c r="X861" i="11"/>
  <c r="V861" i="11"/>
  <c r="J860" i="11"/>
  <c r="K860" i="11"/>
  <c r="N860" i="11"/>
  <c r="I860" i="11"/>
  <c r="O860" i="11"/>
  <c r="R860" i="11"/>
  <c r="X860" i="11"/>
  <c r="AC860" i="11"/>
  <c r="V860" i="11"/>
  <c r="AC859" i="11"/>
  <c r="I859" i="11"/>
  <c r="J859" i="11"/>
  <c r="K859" i="11"/>
  <c r="L859" i="11"/>
  <c r="N859" i="11"/>
  <c r="O859" i="11"/>
  <c r="R859" i="11"/>
  <c r="AC858" i="11"/>
  <c r="J858" i="11"/>
  <c r="O858" i="11" s="1"/>
  <c r="N858" i="11"/>
  <c r="K858" i="11"/>
  <c r="I858" i="11"/>
  <c r="K857" i="11"/>
  <c r="J857" i="11"/>
  <c r="I857" i="11"/>
  <c r="L857" i="11" s="1"/>
  <c r="R857" i="11"/>
  <c r="V857" i="11"/>
  <c r="O857" i="11"/>
  <c r="N857" i="11"/>
  <c r="X857" i="11"/>
  <c r="AC857" i="11"/>
  <c r="AE857" i="11"/>
  <c r="I856" i="11"/>
  <c r="X856" i="11" s="1"/>
  <c r="J856" i="11"/>
  <c r="R856" i="11"/>
  <c r="V856" i="11"/>
  <c r="AC856" i="11"/>
  <c r="K856" i="11"/>
  <c r="K855" i="11"/>
  <c r="I855" i="11"/>
  <c r="J855" i="11"/>
  <c r="L855" i="11"/>
  <c r="N855" i="11"/>
  <c r="O855" i="11"/>
  <c r="AC855" i="11"/>
  <c r="R855" i="11"/>
  <c r="AC854" i="11"/>
  <c r="K854" i="11"/>
  <c r="J854" i="11"/>
  <c r="I854" i="11"/>
  <c r="AE854" i="11"/>
  <c r="AC853" i="11"/>
  <c r="K853" i="11"/>
  <c r="I853" i="11"/>
  <c r="J853" i="11"/>
  <c r="L853" i="11"/>
  <c r="N853" i="11"/>
  <c r="O853" i="11"/>
  <c r="R853" i="11"/>
  <c r="K852" i="11"/>
  <c r="J852" i="11"/>
  <c r="AC852" i="11"/>
  <c r="I852" i="11"/>
  <c r="AE852" i="11"/>
  <c r="AC851" i="11"/>
  <c r="I851" i="11"/>
  <c r="J851" i="11"/>
  <c r="K851" i="11"/>
  <c r="L851" i="11"/>
  <c r="N851" i="11"/>
  <c r="O851" i="11"/>
  <c r="R851" i="11"/>
  <c r="I850" i="11"/>
  <c r="J850" i="11"/>
  <c r="N850" i="11"/>
  <c r="O850" i="11"/>
  <c r="R850" i="11"/>
  <c r="V850" i="11"/>
  <c r="X850" i="11"/>
  <c r="AC850" i="11"/>
  <c r="K850" i="11"/>
  <c r="K849" i="11"/>
  <c r="J849" i="11"/>
  <c r="I849" i="11"/>
  <c r="V849" i="11"/>
  <c r="X849" i="11"/>
  <c r="AC849" i="11"/>
  <c r="AC848" i="11"/>
  <c r="I848" i="11"/>
  <c r="J848" i="11"/>
  <c r="K848" i="11"/>
  <c r="L848" i="11"/>
  <c r="N848" i="11"/>
  <c r="O848" i="11"/>
  <c r="R848" i="11"/>
  <c r="I847" i="11"/>
  <c r="AC847" i="11"/>
  <c r="J847" i="11"/>
  <c r="N847" i="11"/>
  <c r="K847" i="11"/>
  <c r="AE847" i="11" s="1"/>
  <c r="L847" i="11"/>
  <c r="O847" i="11"/>
  <c r="R847" i="11"/>
  <c r="AC846" i="11"/>
  <c r="I846" i="11"/>
  <c r="J846" i="11"/>
  <c r="K846" i="11"/>
  <c r="L846" i="11"/>
  <c r="N846" i="11"/>
  <c r="O846" i="11"/>
  <c r="K845" i="11"/>
  <c r="AC845" i="11"/>
  <c r="J845" i="11"/>
  <c r="I845" i="11"/>
  <c r="K844" i="11"/>
  <c r="J844" i="11"/>
  <c r="I844" i="11"/>
  <c r="AE844" i="11"/>
  <c r="AC844" i="11"/>
  <c r="L844" i="11"/>
  <c r="K843" i="11"/>
  <c r="J843" i="11"/>
  <c r="I843" i="11"/>
  <c r="AE843" i="11"/>
  <c r="AC843" i="11"/>
  <c r="X843" i="11"/>
  <c r="V843" i="11"/>
  <c r="AC842" i="11"/>
  <c r="I842" i="11"/>
  <c r="R842" i="11"/>
  <c r="X842" i="11"/>
  <c r="V842" i="11"/>
  <c r="J842" i="11"/>
  <c r="K842" i="11"/>
  <c r="AE842" i="11" s="1"/>
  <c r="L842" i="11"/>
  <c r="N842" i="11"/>
  <c r="O842" i="11"/>
  <c r="J841" i="11"/>
  <c r="N841" i="11"/>
  <c r="O841" i="11"/>
  <c r="K841" i="11"/>
  <c r="I841" i="11"/>
  <c r="AC841" i="11"/>
  <c r="AE841" i="11"/>
  <c r="J840" i="11"/>
  <c r="I840" i="11"/>
  <c r="X840" i="11"/>
  <c r="AC840" i="11"/>
  <c r="K840" i="11"/>
  <c r="L840" i="11" s="1"/>
  <c r="AC839" i="11"/>
  <c r="I839" i="11"/>
  <c r="J839" i="11"/>
  <c r="K839" i="11"/>
  <c r="L839" i="11"/>
  <c r="N839" i="11"/>
  <c r="O839" i="11"/>
  <c r="R839" i="11"/>
  <c r="AC838" i="11"/>
  <c r="K838" i="11"/>
  <c r="J838" i="11"/>
  <c r="I838" i="11"/>
  <c r="AC837" i="11"/>
  <c r="K837" i="11"/>
  <c r="J837" i="11"/>
  <c r="I837" i="11"/>
  <c r="J836" i="11"/>
  <c r="AC836" i="11"/>
  <c r="I836" i="11"/>
  <c r="V836" i="11"/>
  <c r="R836" i="11"/>
  <c r="O836" i="11"/>
  <c r="N836" i="11"/>
  <c r="K836" i="11"/>
  <c r="L836" i="11" s="1"/>
  <c r="AC835" i="11"/>
  <c r="K835" i="11"/>
  <c r="J835" i="11"/>
  <c r="I835" i="11"/>
  <c r="J834" i="11"/>
  <c r="O834" i="11"/>
  <c r="N834" i="11"/>
  <c r="K834" i="11"/>
  <c r="I834" i="11"/>
  <c r="AE834" i="11"/>
  <c r="AC834" i="11"/>
  <c r="X834" i="11"/>
  <c r="AC833" i="11"/>
  <c r="J833" i="11"/>
  <c r="K833" i="11"/>
  <c r="I833" i="11"/>
  <c r="J832" i="11"/>
  <c r="AC832" i="11"/>
  <c r="O832" i="11"/>
  <c r="N832" i="11"/>
  <c r="K832" i="11"/>
  <c r="I832" i="11"/>
  <c r="I831" i="11"/>
  <c r="J831" i="11"/>
  <c r="K831" i="11"/>
  <c r="L831" i="11"/>
  <c r="O831" i="11"/>
  <c r="R831" i="11"/>
  <c r="V831" i="11"/>
  <c r="X831" i="11"/>
  <c r="AC831" i="11"/>
  <c r="AE831" i="11"/>
  <c r="N831" i="11"/>
  <c r="I830" i="11"/>
  <c r="AC830" i="11"/>
  <c r="X830" i="11"/>
  <c r="V830" i="11"/>
  <c r="R830" i="11"/>
  <c r="K830" i="11"/>
  <c r="L830" i="11" s="1"/>
  <c r="J830" i="11"/>
  <c r="AE830" i="11"/>
  <c r="K829" i="11"/>
  <c r="J829" i="11"/>
  <c r="I829" i="11"/>
  <c r="AE829" i="11"/>
  <c r="AC829" i="11"/>
  <c r="AC828" i="11"/>
  <c r="K828" i="11"/>
  <c r="J828" i="11"/>
  <c r="O828" i="11" s="1"/>
  <c r="I828" i="11"/>
  <c r="N828" i="11"/>
  <c r="I827" i="11"/>
  <c r="J827" i="11"/>
  <c r="K827" i="11"/>
  <c r="L827" i="11"/>
  <c r="N827" i="11"/>
  <c r="O827" i="11"/>
  <c r="R827" i="11"/>
  <c r="V827" i="11"/>
  <c r="X827" i="11"/>
  <c r="AC827" i="11"/>
  <c r="AE827" i="11"/>
  <c r="AC826" i="11"/>
  <c r="I826" i="11"/>
  <c r="J826" i="11"/>
  <c r="N826" i="11" s="1"/>
  <c r="K826" i="11"/>
  <c r="L826" i="11"/>
  <c r="O826" i="11"/>
  <c r="I825" i="11"/>
  <c r="J825" i="11"/>
  <c r="K825" i="11"/>
  <c r="L825" i="11"/>
  <c r="N825" i="11"/>
  <c r="O825" i="11"/>
  <c r="R825" i="11"/>
  <c r="AE825" i="11"/>
  <c r="V825" i="11"/>
  <c r="X825" i="11"/>
  <c r="AC825" i="11"/>
  <c r="I824" i="11"/>
  <c r="J824" i="11"/>
  <c r="K824" i="11"/>
  <c r="L824" i="11"/>
  <c r="N824" i="11"/>
  <c r="O824" i="11"/>
  <c r="AC824" i="11"/>
  <c r="V824" i="11"/>
  <c r="X824" i="11"/>
  <c r="J823" i="11"/>
  <c r="K823" i="11"/>
  <c r="N823" i="11"/>
  <c r="O823" i="11"/>
  <c r="AC823" i="11"/>
  <c r="I823" i="11"/>
  <c r="I822" i="11"/>
  <c r="AC822" i="11"/>
  <c r="X822" i="11"/>
  <c r="V822" i="11"/>
  <c r="R822" i="11"/>
  <c r="K822" i="11"/>
  <c r="J822" i="11"/>
  <c r="K821" i="11"/>
  <c r="AC821" i="11"/>
  <c r="I821" i="11"/>
  <c r="J821" i="11"/>
  <c r="AE821" i="11"/>
  <c r="L821" i="11"/>
  <c r="N821" i="11"/>
  <c r="O821" i="11"/>
  <c r="J820" i="11"/>
  <c r="AC820" i="11"/>
  <c r="I820" i="11"/>
  <c r="O820" i="11"/>
  <c r="N820" i="11"/>
  <c r="K820" i="11"/>
  <c r="L820" i="11" s="1"/>
  <c r="AC819" i="11"/>
  <c r="I819" i="11"/>
  <c r="J819" i="11"/>
  <c r="K819" i="11"/>
  <c r="N819" i="11"/>
  <c r="O819" i="11"/>
  <c r="X819" i="11"/>
  <c r="AE819" i="11"/>
  <c r="V819" i="11"/>
  <c r="R819" i="11"/>
  <c r="L819" i="11"/>
  <c r="I818" i="11"/>
  <c r="J818" i="11"/>
  <c r="K818" i="11"/>
  <c r="N818" i="11"/>
  <c r="O818" i="11"/>
  <c r="R818" i="11"/>
  <c r="L818" i="11"/>
  <c r="AE818" i="11"/>
  <c r="AC818" i="11"/>
  <c r="X818" i="11"/>
  <c r="V818" i="11"/>
  <c r="K817" i="11"/>
  <c r="I817" i="11"/>
  <c r="AC817" i="11"/>
  <c r="AE817" i="11"/>
  <c r="R817" i="11"/>
  <c r="J817" i="11"/>
  <c r="K816" i="11"/>
  <c r="J816" i="11"/>
  <c r="I816" i="11"/>
  <c r="AC816" i="11"/>
  <c r="AE816" i="11"/>
  <c r="X816" i="11"/>
  <c r="V816" i="11"/>
  <c r="AC815" i="11"/>
  <c r="I815" i="11"/>
  <c r="K815" i="11"/>
  <c r="J815" i="11"/>
  <c r="N815" i="11" s="1"/>
  <c r="R815" i="11"/>
  <c r="O815" i="11"/>
  <c r="V815" i="11"/>
  <c r="X815" i="11"/>
  <c r="AC814" i="11"/>
  <c r="K814" i="11"/>
  <c r="J814" i="11"/>
  <c r="I814" i="11"/>
  <c r="K813" i="11"/>
  <c r="J813" i="11"/>
  <c r="I813" i="11"/>
  <c r="X813" i="11"/>
  <c r="V813" i="11"/>
  <c r="AE813" i="11"/>
  <c r="AC813" i="11"/>
  <c r="K812" i="11"/>
  <c r="J812" i="11"/>
  <c r="I812" i="11"/>
  <c r="AE812" i="11"/>
  <c r="AC812" i="11"/>
  <c r="X812" i="11"/>
  <c r="AC811" i="11"/>
  <c r="I811" i="11"/>
  <c r="J811" i="11"/>
  <c r="K811" i="11"/>
  <c r="L811" i="11"/>
  <c r="V811" i="11"/>
  <c r="O811" i="11"/>
  <c r="R811" i="11"/>
  <c r="N811" i="11"/>
  <c r="I810" i="11"/>
  <c r="AC810" i="11"/>
  <c r="J810" i="11"/>
  <c r="K810" i="11"/>
  <c r="AE810" i="11" s="1"/>
  <c r="L810" i="11"/>
  <c r="N810" i="11"/>
  <c r="O810" i="11"/>
  <c r="R810" i="11"/>
  <c r="J809" i="11"/>
  <c r="O809" i="11"/>
  <c r="N809" i="11"/>
  <c r="K809" i="11"/>
  <c r="AC809" i="11"/>
  <c r="I809" i="11"/>
  <c r="K808" i="11"/>
  <c r="AC808" i="11"/>
  <c r="I808" i="11"/>
  <c r="J808" i="11"/>
  <c r="L808" i="11"/>
  <c r="N808" i="11"/>
  <c r="O808" i="11"/>
  <c r="R808" i="11"/>
  <c r="X808" i="11"/>
  <c r="K807" i="11"/>
  <c r="AC807" i="11"/>
  <c r="J807" i="11"/>
  <c r="I807" i="11"/>
  <c r="V807" i="11"/>
  <c r="J806" i="11"/>
  <c r="I806" i="11"/>
  <c r="L806" i="11" s="1"/>
  <c r="K806" i="11"/>
  <c r="AE806" i="11" s="1"/>
  <c r="R806" i="11"/>
  <c r="AC806" i="11"/>
  <c r="O806" i="11"/>
  <c r="X806" i="11"/>
  <c r="V806" i="11"/>
  <c r="N806" i="11"/>
  <c r="AC805" i="11"/>
  <c r="I805" i="11"/>
  <c r="J805" i="11"/>
  <c r="K805" i="11"/>
  <c r="L805" i="11"/>
  <c r="N805" i="11"/>
  <c r="O805" i="11"/>
  <c r="R805" i="11"/>
  <c r="K804" i="11"/>
  <c r="J804" i="11"/>
  <c r="I804" i="11"/>
  <c r="X804" i="11"/>
  <c r="AE804" i="11"/>
  <c r="AC804" i="11"/>
  <c r="K803" i="11"/>
  <c r="J803" i="11"/>
  <c r="O803" i="11" s="1"/>
  <c r="AC803" i="11"/>
  <c r="N803" i="11"/>
  <c r="I803" i="11"/>
  <c r="AC802" i="11"/>
  <c r="K802" i="11"/>
  <c r="I802" i="11"/>
  <c r="J802" i="11"/>
  <c r="AE802" i="11"/>
  <c r="J801" i="11"/>
  <c r="I801" i="11"/>
  <c r="K801" i="11"/>
  <c r="L801" i="11"/>
  <c r="N801" i="11"/>
  <c r="O801" i="11"/>
  <c r="R801" i="11"/>
  <c r="V801" i="11"/>
  <c r="X801" i="11"/>
  <c r="AC801" i="11"/>
  <c r="AE801" i="11"/>
  <c r="K800" i="11"/>
  <c r="I800" i="11"/>
  <c r="J800" i="11"/>
  <c r="L800" i="11"/>
  <c r="N800" i="11"/>
  <c r="O800" i="11"/>
  <c r="R800" i="11"/>
  <c r="V800" i="11"/>
  <c r="X800" i="11"/>
  <c r="AC800" i="11"/>
  <c r="AE800" i="11"/>
  <c r="I799" i="11"/>
  <c r="L799" i="11" s="1"/>
  <c r="AC799" i="11"/>
  <c r="X799" i="11"/>
  <c r="V799" i="11"/>
  <c r="R799" i="11"/>
  <c r="J799" i="11"/>
  <c r="O799" i="11" s="1"/>
  <c r="K799" i="11"/>
  <c r="AE799" i="11" s="1"/>
  <c r="N799" i="11"/>
  <c r="K798" i="11"/>
  <c r="I798" i="11"/>
  <c r="J798" i="11"/>
  <c r="AC798" i="11"/>
  <c r="AC797" i="11"/>
  <c r="J797" i="11"/>
  <c r="N797" i="11"/>
  <c r="O797" i="11"/>
  <c r="I797" i="11"/>
  <c r="K797" i="11"/>
  <c r="K796" i="11"/>
  <c r="J796" i="11"/>
  <c r="I796" i="11"/>
  <c r="AE796" i="11"/>
  <c r="AC796" i="11"/>
  <c r="X796" i="11"/>
  <c r="V796" i="11"/>
  <c r="K795" i="11"/>
  <c r="J795" i="11"/>
  <c r="AC795" i="11"/>
  <c r="I795" i="11"/>
  <c r="R795" i="11"/>
  <c r="O795" i="11"/>
  <c r="N795" i="11"/>
  <c r="L795" i="11"/>
  <c r="K794" i="11"/>
  <c r="J794" i="11"/>
  <c r="AC794" i="11"/>
  <c r="I794" i="11"/>
  <c r="R794" i="11"/>
  <c r="O794" i="11"/>
  <c r="N794" i="11"/>
  <c r="L794" i="11"/>
  <c r="J793" i="11"/>
  <c r="AC793" i="11"/>
  <c r="I793" i="11"/>
  <c r="K793" i="11"/>
  <c r="L793" i="11"/>
  <c r="N793" i="11"/>
  <c r="O793" i="11"/>
  <c r="K792" i="11"/>
  <c r="J792" i="11"/>
  <c r="N792" i="11" s="1"/>
  <c r="I792" i="11"/>
  <c r="O792" i="11"/>
  <c r="AC792" i="11"/>
  <c r="K791" i="11"/>
  <c r="J791" i="11"/>
  <c r="I791" i="11"/>
  <c r="AC791" i="11"/>
  <c r="R791" i="11"/>
  <c r="AC790" i="11"/>
  <c r="I790" i="11"/>
  <c r="J790" i="11"/>
  <c r="K790" i="11"/>
  <c r="L790" i="11"/>
  <c r="N790" i="11"/>
  <c r="O790" i="11"/>
  <c r="AC789" i="11"/>
  <c r="K789" i="11"/>
  <c r="J789" i="11"/>
  <c r="I789" i="11"/>
  <c r="V789" i="11"/>
  <c r="X789" i="11"/>
  <c r="AC788" i="11"/>
  <c r="I788" i="11"/>
  <c r="X788" i="11"/>
  <c r="J788" i="11"/>
  <c r="K788" i="11"/>
  <c r="AE788" i="11" s="1"/>
  <c r="L788" i="11"/>
  <c r="J787" i="11"/>
  <c r="I787" i="11"/>
  <c r="R787" i="11" s="1"/>
  <c r="K787" i="11"/>
  <c r="X787" i="11"/>
  <c r="AC787" i="11"/>
  <c r="V787" i="11"/>
  <c r="L787" i="11"/>
  <c r="N787" i="11"/>
  <c r="O787" i="11"/>
  <c r="AE787" i="11"/>
  <c r="AC786" i="11"/>
  <c r="I786" i="11"/>
  <c r="J786" i="11"/>
  <c r="K786" i="11"/>
  <c r="L786" i="11"/>
  <c r="N786" i="11"/>
  <c r="O786" i="11"/>
  <c r="R786" i="11"/>
  <c r="AC785" i="11"/>
  <c r="I785" i="11"/>
  <c r="J785" i="11"/>
  <c r="K785" i="11"/>
  <c r="L785" i="11" s="1"/>
  <c r="X785" i="11"/>
  <c r="N785" i="11"/>
  <c r="O785" i="11"/>
  <c r="K784" i="11"/>
  <c r="I784" i="11"/>
  <c r="J784" i="11"/>
  <c r="AE784" i="11"/>
  <c r="AC784" i="11"/>
  <c r="X784" i="11"/>
  <c r="V784" i="11"/>
  <c r="J783" i="11"/>
  <c r="K783" i="11"/>
  <c r="N783" i="11"/>
  <c r="AC783" i="11"/>
  <c r="O783" i="11"/>
  <c r="I783" i="11"/>
  <c r="R783" i="11"/>
  <c r="I782" i="11"/>
  <c r="J782" i="11"/>
  <c r="K782" i="11"/>
  <c r="L782" i="11"/>
  <c r="N782" i="11"/>
  <c r="O782" i="11"/>
  <c r="R782" i="11"/>
  <c r="V782" i="11"/>
  <c r="X782" i="11"/>
  <c r="AC782" i="11"/>
  <c r="AE782" i="11"/>
  <c r="K781" i="11"/>
  <c r="AC781" i="11"/>
  <c r="J781" i="11"/>
  <c r="I781" i="11"/>
  <c r="K780" i="11"/>
  <c r="J780" i="11"/>
  <c r="AC780" i="11"/>
  <c r="I780" i="11"/>
  <c r="O780" i="11"/>
  <c r="N780" i="11"/>
  <c r="L780" i="11"/>
  <c r="AC779" i="11"/>
  <c r="I779" i="11"/>
  <c r="J779" i="11"/>
  <c r="N779" i="11" s="1"/>
  <c r="K779" i="11"/>
  <c r="L779" i="11"/>
  <c r="O779" i="11"/>
  <c r="R779" i="11"/>
  <c r="I778" i="11"/>
  <c r="AE778" i="11" s="1"/>
  <c r="J778" i="11"/>
  <c r="K778" i="11"/>
  <c r="L778" i="11"/>
  <c r="N778" i="11"/>
  <c r="O778" i="11"/>
  <c r="R778" i="11"/>
  <c r="V778" i="11"/>
  <c r="X778" i="11"/>
  <c r="AC778" i="11"/>
  <c r="K777" i="11"/>
  <c r="J777" i="11"/>
  <c r="I777" i="11"/>
  <c r="V777" i="11"/>
  <c r="X777" i="11"/>
  <c r="AC777" i="11"/>
  <c r="AE777" i="11"/>
  <c r="AC776" i="11"/>
  <c r="I776" i="11"/>
  <c r="J776" i="11"/>
  <c r="K776" i="11"/>
  <c r="L776" i="11"/>
  <c r="N776" i="11"/>
  <c r="O776" i="11"/>
  <c r="R776" i="11"/>
  <c r="AC775" i="11"/>
  <c r="K775" i="11"/>
  <c r="J775" i="11"/>
  <c r="I775" i="11"/>
  <c r="AC774" i="11"/>
  <c r="K774" i="11"/>
  <c r="J774" i="11"/>
  <c r="I774" i="11"/>
  <c r="K773" i="11"/>
  <c r="I773" i="11"/>
  <c r="J773" i="11"/>
  <c r="R773" i="11"/>
  <c r="O773" i="11"/>
  <c r="N773" i="11"/>
  <c r="L773" i="11"/>
  <c r="AE773" i="11"/>
  <c r="AC773" i="11"/>
  <c r="X773" i="11"/>
  <c r="V773" i="11"/>
  <c r="AC772" i="11"/>
  <c r="K772" i="11"/>
  <c r="J772" i="11"/>
  <c r="I772" i="11"/>
  <c r="L772" i="11"/>
  <c r="N772" i="11"/>
  <c r="O772" i="11"/>
  <c r="R772" i="11"/>
  <c r="AC771" i="11"/>
  <c r="I771" i="11"/>
  <c r="K771" i="11"/>
  <c r="J771" i="11"/>
  <c r="R771" i="11"/>
  <c r="K770" i="11"/>
  <c r="J770" i="11"/>
  <c r="I770" i="11"/>
  <c r="V770" i="11"/>
  <c r="X770" i="11"/>
  <c r="R770" i="11"/>
  <c r="AC770" i="11"/>
  <c r="AE770" i="11"/>
  <c r="O770" i="11"/>
  <c r="N770" i="11"/>
  <c r="L770" i="11"/>
  <c r="K769" i="11"/>
  <c r="J769" i="11"/>
  <c r="N769" i="11" s="1"/>
  <c r="I769" i="11"/>
  <c r="AE769" i="11"/>
  <c r="O769" i="11"/>
  <c r="AC769" i="11"/>
  <c r="X769" i="11"/>
  <c r="V769" i="11"/>
  <c r="J768" i="11"/>
  <c r="AC768" i="11"/>
  <c r="K768" i="11"/>
  <c r="N768" i="11"/>
  <c r="O768" i="11"/>
  <c r="I768" i="11"/>
  <c r="I767" i="11"/>
  <c r="J767" i="11"/>
  <c r="K767" i="11"/>
  <c r="L767" i="11"/>
  <c r="R767" i="11"/>
  <c r="V767" i="11"/>
  <c r="X767" i="11"/>
  <c r="AC767" i="11"/>
  <c r="AE767" i="11"/>
  <c r="K766" i="11"/>
  <c r="AC766" i="11"/>
  <c r="I766" i="11"/>
  <c r="J766" i="11"/>
  <c r="O766" i="11" s="1"/>
  <c r="L766" i="11"/>
  <c r="N766" i="11"/>
  <c r="I765" i="11"/>
  <c r="V765" i="11"/>
  <c r="X765" i="11"/>
  <c r="AC765" i="11"/>
  <c r="J765" i="11"/>
  <c r="K765" i="11"/>
  <c r="AE765" i="11" s="1"/>
  <c r="L765" i="11"/>
  <c r="N765" i="11"/>
  <c r="O765" i="11"/>
  <c r="R765" i="11"/>
  <c r="AC764" i="11"/>
  <c r="K764" i="11"/>
  <c r="J764" i="11"/>
  <c r="I764" i="11"/>
  <c r="K763" i="11"/>
  <c r="J763" i="11"/>
  <c r="I763" i="11"/>
  <c r="AE763" i="11"/>
  <c r="AC763" i="11"/>
  <c r="X763" i="11"/>
  <c r="V763" i="11"/>
  <c r="AC762" i="11"/>
  <c r="I762" i="11"/>
  <c r="J762" i="11"/>
  <c r="K762" i="11"/>
  <c r="L762" i="11"/>
  <c r="N762" i="11"/>
  <c r="O762" i="11"/>
  <c r="R762" i="11"/>
  <c r="K761" i="11"/>
  <c r="I761" i="11"/>
  <c r="J761" i="11"/>
  <c r="AE761" i="11"/>
  <c r="AC761" i="11"/>
  <c r="X761" i="11"/>
  <c r="V761" i="11"/>
  <c r="I760" i="11"/>
  <c r="J760" i="11"/>
  <c r="N760" i="11" s="1"/>
  <c r="K760" i="11"/>
  <c r="L760" i="11"/>
  <c r="O760" i="11"/>
  <c r="R760" i="11"/>
  <c r="V760" i="11"/>
  <c r="AE760" i="11"/>
  <c r="X760" i="11"/>
  <c r="AC760" i="11"/>
  <c r="AC759" i="11"/>
  <c r="K759" i="11"/>
  <c r="J759" i="11"/>
  <c r="I759" i="11"/>
  <c r="AC758" i="11"/>
  <c r="J758" i="11"/>
  <c r="I758" i="11"/>
  <c r="O758" i="11"/>
  <c r="N758" i="11"/>
  <c r="K758" i="11"/>
  <c r="L758" i="11" s="1"/>
  <c r="R758" i="11"/>
  <c r="K757" i="11"/>
  <c r="J757" i="11"/>
  <c r="I757" i="11"/>
  <c r="L757" i="11" s="1"/>
  <c r="R757" i="11"/>
  <c r="AE757" i="11"/>
  <c r="AC757" i="11"/>
  <c r="X757" i="11"/>
  <c r="V757" i="11"/>
  <c r="AC756" i="11"/>
  <c r="K756" i="11"/>
  <c r="J756" i="11"/>
  <c r="I756" i="11"/>
  <c r="K755" i="11"/>
  <c r="J755" i="11"/>
  <c r="I755" i="11"/>
  <c r="AE755" i="11"/>
  <c r="AC755" i="11"/>
  <c r="X755" i="11"/>
  <c r="V755" i="11"/>
  <c r="AC754" i="11"/>
  <c r="I754" i="11"/>
  <c r="J754" i="11"/>
  <c r="K754" i="11"/>
  <c r="L754" i="11"/>
  <c r="N754" i="11"/>
  <c r="O754" i="11"/>
  <c r="R754" i="11"/>
  <c r="AC753" i="11"/>
  <c r="K753" i="11"/>
  <c r="J753" i="11"/>
  <c r="I753" i="11"/>
  <c r="K752" i="11"/>
  <c r="AC752" i="11"/>
  <c r="I752" i="11"/>
  <c r="J752" i="11"/>
  <c r="J751" i="11"/>
  <c r="I751" i="11"/>
  <c r="AE751" i="11" s="1"/>
  <c r="K751" i="11"/>
  <c r="L751" i="11" s="1"/>
  <c r="N751" i="11"/>
  <c r="O751" i="11"/>
  <c r="R751" i="11"/>
  <c r="V751" i="11"/>
  <c r="X751" i="11"/>
  <c r="AC751" i="11"/>
  <c r="AC750" i="11"/>
  <c r="I750" i="11"/>
  <c r="J750" i="11"/>
  <c r="K750" i="11"/>
  <c r="AC749" i="11"/>
  <c r="K749" i="11"/>
  <c r="J749" i="11"/>
  <c r="I749" i="11"/>
  <c r="AC748" i="11"/>
  <c r="K748" i="11"/>
  <c r="J748" i="11"/>
  <c r="I748" i="11"/>
  <c r="AC747" i="11"/>
  <c r="K747" i="11"/>
  <c r="J747" i="11"/>
  <c r="I747" i="11"/>
  <c r="AC746" i="11"/>
  <c r="K746" i="11"/>
  <c r="J746" i="11"/>
  <c r="I746" i="11"/>
  <c r="AC745" i="11"/>
  <c r="K745" i="11"/>
  <c r="J745" i="11"/>
  <c r="I745" i="11"/>
  <c r="AC744" i="11"/>
  <c r="K744" i="11"/>
  <c r="J744" i="11"/>
  <c r="I744" i="11"/>
  <c r="AC743" i="11"/>
  <c r="K743" i="11"/>
  <c r="J743" i="11"/>
  <c r="I743" i="11"/>
  <c r="AC742" i="11"/>
  <c r="K742" i="11"/>
  <c r="J742" i="11"/>
  <c r="I742" i="11"/>
  <c r="AC741" i="11"/>
  <c r="K741" i="11"/>
  <c r="J741" i="11"/>
  <c r="I741" i="11"/>
  <c r="AC740" i="11"/>
  <c r="K740" i="11"/>
  <c r="J740" i="11"/>
  <c r="I740" i="11"/>
  <c r="AC739" i="11"/>
  <c r="K739" i="11"/>
  <c r="J739" i="11"/>
  <c r="I739" i="11"/>
  <c r="AC738" i="11"/>
  <c r="K738" i="11"/>
  <c r="J738" i="11"/>
  <c r="I738" i="11"/>
  <c r="AC737" i="11"/>
  <c r="K737" i="11"/>
  <c r="J737" i="11"/>
  <c r="I737" i="11"/>
  <c r="AC736" i="11"/>
  <c r="K736" i="11"/>
  <c r="J736" i="11"/>
  <c r="I736" i="11"/>
  <c r="AC735" i="11"/>
  <c r="K735" i="11"/>
  <c r="J735" i="11"/>
  <c r="I735" i="11"/>
  <c r="AC734" i="11"/>
  <c r="K734" i="11"/>
  <c r="J734" i="11"/>
  <c r="I734" i="11"/>
  <c r="AC733" i="11"/>
  <c r="K733" i="11"/>
  <c r="J733" i="11"/>
  <c r="I733" i="11"/>
  <c r="AC732" i="11"/>
  <c r="K732" i="11"/>
  <c r="J732" i="11"/>
  <c r="I732" i="11"/>
  <c r="AC731" i="11"/>
  <c r="K731" i="11"/>
  <c r="J731" i="11"/>
  <c r="I731" i="11"/>
  <c r="AC730" i="11"/>
  <c r="K730" i="11"/>
  <c r="J730" i="11"/>
  <c r="I730" i="11"/>
  <c r="AC729" i="11"/>
  <c r="K729" i="11"/>
  <c r="J729" i="11"/>
  <c r="I729" i="11"/>
  <c r="AC728" i="11"/>
  <c r="K728" i="11"/>
  <c r="J728" i="11"/>
  <c r="I728" i="11"/>
  <c r="AC727" i="11"/>
  <c r="K727" i="11"/>
  <c r="J727" i="11"/>
  <c r="I727" i="11"/>
  <c r="AC726" i="11"/>
  <c r="K726" i="11"/>
  <c r="J726" i="11"/>
  <c r="I726" i="11"/>
  <c r="AC725" i="11"/>
  <c r="K725" i="11"/>
  <c r="J725" i="11"/>
  <c r="I725" i="11"/>
  <c r="AC724" i="11"/>
  <c r="K724" i="11"/>
  <c r="J724" i="11"/>
  <c r="I724" i="11"/>
  <c r="AC723" i="11"/>
  <c r="K723" i="11"/>
  <c r="J723" i="11"/>
  <c r="I723" i="11"/>
  <c r="AC722" i="11"/>
  <c r="K722" i="11"/>
  <c r="J722" i="11"/>
  <c r="I722" i="11"/>
  <c r="AC721" i="11"/>
  <c r="K721" i="11"/>
  <c r="J721" i="11"/>
  <c r="I721" i="11"/>
  <c r="AC720" i="11"/>
  <c r="K720" i="11"/>
  <c r="J720" i="11"/>
  <c r="I720" i="11"/>
  <c r="AC719" i="11"/>
  <c r="K719" i="11"/>
  <c r="J719" i="11"/>
  <c r="I719" i="11"/>
  <c r="AC718" i="11"/>
  <c r="K718" i="11"/>
  <c r="J718" i="11"/>
  <c r="I718" i="11"/>
  <c r="AC717" i="11"/>
  <c r="K717" i="11"/>
  <c r="J717" i="11"/>
  <c r="I717" i="11"/>
  <c r="AC716" i="11"/>
  <c r="K716" i="11"/>
  <c r="J716" i="11"/>
  <c r="I716" i="11"/>
  <c r="AC715" i="11"/>
  <c r="K715" i="11"/>
  <c r="J715" i="11"/>
  <c r="I715" i="11"/>
  <c r="AC714" i="11"/>
  <c r="K714" i="11"/>
  <c r="J714" i="11"/>
  <c r="I714" i="11"/>
  <c r="AC713" i="11"/>
  <c r="K713" i="11"/>
  <c r="J713" i="11"/>
  <c r="I713" i="11"/>
  <c r="AC712" i="11"/>
  <c r="K712" i="11"/>
  <c r="J712" i="11"/>
  <c r="I712" i="11"/>
  <c r="AC711" i="11"/>
  <c r="K711" i="11"/>
  <c r="J711" i="11"/>
  <c r="I711" i="11"/>
  <c r="AC710" i="11"/>
  <c r="K710" i="11"/>
  <c r="J710" i="11"/>
  <c r="I710" i="11"/>
  <c r="AC709" i="11"/>
  <c r="K709" i="11"/>
  <c r="J709" i="11"/>
  <c r="I709" i="11"/>
  <c r="AC708" i="11"/>
  <c r="K708" i="11"/>
  <c r="J708" i="11"/>
  <c r="I708" i="11"/>
  <c r="AC707" i="11"/>
  <c r="K707" i="11"/>
  <c r="J707" i="11"/>
  <c r="I707" i="11"/>
  <c r="AC706" i="11"/>
  <c r="K706" i="11"/>
  <c r="J706" i="11"/>
  <c r="I706" i="11"/>
  <c r="AC705" i="11"/>
  <c r="K705" i="11"/>
  <c r="J705" i="11"/>
  <c r="I705" i="11"/>
  <c r="AC704" i="11"/>
  <c r="K704" i="11"/>
  <c r="J704" i="11"/>
  <c r="I704" i="11"/>
  <c r="AC703" i="11"/>
  <c r="K703" i="11"/>
  <c r="J703" i="11"/>
  <c r="I703" i="11"/>
  <c r="J702" i="11"/>
  <c r="O702" i="11" s="1"/>
  <c r="I702" i="11"/>
  <c r="R702" i="11" s="1"/>
  <c r="N702" i="11"/>
  <c r="K702" i="11"/>
  <c r="L702" i="11" s="1"/>
  <c r="AE702" i="11"/>
  <c r="AC702" i="11"/>
  <c r="X702" i="11"/>
  <c r="V702" i="11"/>
  <c r="K701" i="11"/>
  <c r="J701" i="11"/>
  <c r="I701" i="11"/>
  <c r="AE701" i="11"/>
  <c r="AC701" i="11"/>
  <c r="X701" i="11"/>
  <c r="V701" i="11"/>
  <c r="AC700" i="11"/>
  <c r="K700" i="11"/>
  <c r="J700" i="11"/>
  <c r="I700" i="11"/>
  <c r="J699" i="11"/>
  <c r="K699" i="11"/>
  <c r="I699" i="11"/>
  <c r="AE699" i="11"/>
  <c r="AC699" i="11"/>
  <c r="X699" i="11"/>
  <c r="V699" i="11"/>
  <c r="K698" i="11"/>
  <c r="J698" i="11"/>
  <c r="I698" i="11"/>
  <c r="AE698" i="11"/>
  <c r="AC698" i="11"/>
  <c r="X698" i="11"/>
  <c r="I697" i="11"/>
  <c r="K697" i="11"/>
  <c r="L697" i="11" s="1"/>
  <c r="J697" i="11"/>
  <c r="AE697" i="11"/>
  <c r="AC697" i="11"/>
  <c r="V697" i="11"/>
  <c r="K696" i="11"/>
  <c r="J696" i="11"/>
  <c r="I696" i="11"/>
  <c r="AE696" i="11"/>
  <c r="AC696" i="11"/>
  <c r="X696" i="11"/>
  <c r="V696" i="11"/>
  <c r="AC695" i="11"/>
  <c r="I695" i="11"/>
  <c r="R695" i="11" s="1"/>
  <c r="K695" i="11"/>
  <c r="L695" i="11" s="1"/>
  <c r="AE695" i="11"/>
  <c r="J695" i="11"/>
  <c r="X695" i="11"/>
  <c r="V695" i="11"/>
  <c r="AC694" i="11"/>
  <c r="K694" i="11"/>
  <c r="J694" i="11"/>
  <c r="I694" i="11"/>
  <c r="K693" i="11"/>
  <c r="J693" i="11"/>
  <c r="I693" i="11"/>
  <c r="AE693" i="11"/>
  <c r="AC693" i="11"/>
  <c r="X693" i="11"/>
  <c r="V693" i="11"/>
  <c r="AC692" i="11"/>
  <c r="I692" i="11"/>
  <c r="J692" i="11"/>
  <c r="K692" i="11"/>
  <c r="L692" i="11"/>
  <c r="N692" i="11"/>
  <c r="O692" i="11"/>
  <c r="J691" i="11"/>
  <c r="O691" i="11" s="1"/>
  <c r="N691" i="11"/>
  <c r="K691" i="11"/>
  <c r="I691" i="11"/>
  <c r="AE691" i="11"/>
  <c r="AC691" i="11"/>
  <c r="X691" i="11"/>
  <c r="V691" i="11"/>
  <c r="K690" i="11"/>
  <c r="I690" i="11"/>
  <c r="J690" i="11"/>
  <c r="AE690" i="11"/>
  <c r="AC690" i="11"/>
  <c r="X690" i="11"/>
  <c r="V690" i="11"/>
  <c r="K689" i="11"/>
  <c r="J689" i="11"/>
  <c r="AC689" i="11"/>
  <c r="I689" i="11"/>
  <c r="AC688" i="11"/>
  <c r="K688" i="11"/>
  <c r="J688" i="11"/>
  <c r="I688" i="11"/>
  <c r="J687" i="11"/>
  <c r="I687" i="11"/>
  <c r="K687" i="11"/>
  <c r="AE687" i="11" s="1"/>
  <c r="AC687" i="11"/>
  <c r="X687" i="11"/>
  <c r="V687" i="11"/>
  <c r="K686" i="11"/>
  <c r="J686" i="11"/>
  <c r="O686" i="11" s="1"/>
  <c r="N686" i="11"/>
  <c r="I686" i="11"/>
  <c r="AE686" i="11"/>
  <c r="AC686" i="11"/>
  <c r="X686" i="11"/>
  <c r="K685" i="11"/>
  <c r="I685" i="11"/>
  <c r="AE685" i="11"/>
  <c r="AC685" i="11"/>
  <c r="J685" i="11"/>
  <c r="X685" i="11"/>
  <c r="V685" i="11"/>
  <c r="K684" i="11"/>
  <c r="J684" i="11"/>
  <c r="O684" i="11" s="1"/>
  <c r="I684" i="11"/>
  <c r="N684" i="11"/>
  <c r="AE684" i="11"/>
  <c r="AC684" i="11"/>
  <c r="X684" i="11"/>
  <c r="V684" i="11"/>
  <c r="K683" i="11"/>
  <c r="J683" i="11"/>
  <c r="I683" i="11"/>
  <c r="AE683" i="11"/>
  <c r="AC683" i="11"/>
  <c r="X683" i="11"/>
  <c r="V683" i="11"/>
  <c r="AC682" i="11"/>
  <c r="J682" i="11"/>
  <c r="O682" i="11" s="1"/>
  <c r="N682" i="11"/>
  <c r="I682" i="11"/>
  <c r="R682" i="11" s="1"/>
  <c r="K682" i="11"/>
  <c r="X682" i="11"/>
  <c r="V682" i="11"/>
  <c r="AC681" i="11"/>
  <c r="K681" i="11"/>
  <c r="J681" i="11"/>
  <c r="I681" i="11"/>
  <c r="K680" i="11"/>
  <c r="J680" i="11"/>
  <c r="I680" i="11"/>
  <c r="AC680" i="11"/>
  <c r="X680" i="11"/>
  <c r="V680" i="11"/>
  <c r="I679" i="11"/>
  <c r="AE679" i="11" s="1"/>
  <c r="J679" i="11"/>
  <c r="K679" i="11"/>
  <c r="O679" i="11"/>
  <c r="R679" i="11"/>
  <c r="V679" i="11"/>
  <c r="X679" i="11"/>
  <c r="AC679" i="11"/>
  <c r="J678" i="11"/>
  <c r="I678" i="11"/>
  <c r="AC678" i="11"/>
  <c r="K678" i="11"/>
  <c r="L678" i="11"/>
  <c r="AE678" i="11"/>
  <c r="N678" i="11"/>
  <c r="O678" i="11"/>
  <c r="R678" i="11"/>
  <c r="V678" i="11"/>
  <c r="X678" i="11"/>
  <c r="AC677" i="11"/>
  <c r="K677" i="11"/>
  <c r="J677" i="11"/>
  <c r="I677" i="11"/>
  <c r="AC676" i="11"/>
  <c r="K676" i="11"/>
  <c r="J676" i="11"/>
  <c r="I676" i="11"/>
  <c r="I675" i="11"/>
  <c r="AE675" i="11" s="1"/>
  <c r="K675" i="11"/>
  <c r="J675" i="11"/>
  <c r="L675" i="11" s="1"/>
  <c r="N675" i="11"/>
  <c r="O675" i="11"/>
  <c r="R675" i="11"/>
  <c r="V675" i="11"/>
  <c r="X675" i="11"/>
  <c r="AC675" i="11"/>
  <c r="I674" i="11"/>
  <c r="AC674" i="11"/>
  <c r="X674" i="11"/>
  <c r="V674" i="11"/>
  <c r="R674" i="11"/>
  <c r="K674" i="11"/>
  <c r="J674" i="11"/>
  <c r="J673" i="11"/>
  <c r="I673" i="11"/>
  <c r="X673" i="11"/>
  <c r="V673" i="11"/>
  <c r="K673" i="11"/>
  <c r="AE673" i="11" s="1"/>
  <c r="R673" i="11"/>
  <c r="AC673" i="11"/>
  <c r="J672" i="11"/>
  <c r="I672" i="11"/>
  <c r="AC672" i="11"/>
  <c r="X672" i="11"/>
  <c r="V672" i="11"/>
  <c r="R672" i="11"/>
  <c r="O672" i="11"/>
  <c r="N672" i="11"/>
  <c r="K672" i="11"/>
  <c r="J671" i="11"/>
  <c r="I671" i="11"/>
  <c r="K671" i="11"/>
  <c r="AE671" i="11"/>
  <c r="AC671" i="11"/>
  <c r="X671" i="11"/>
  <c r="V671" i="11"/>
  <c r="R671" i="11"/>
  <c r="O671" i="11"/>
  <c r="N671" i="11"/>
  <c r="L671" i="11"/>
  <c r="AC670" i="11"/>
  <c r="K670" i="11"/>
  <c r="I670" i="11"/>
  <c r="J670" i="11"/>
  <c r="J669" i="11"/>
  <c r="I669" i="11"/>
  <c r="AC669" i="11"/>
  <c r="X669" i="11"/>
  <c r="V669" i="11"/>
  <c r="R669" i="11"/>
  <c r="O669" i="11"/>
  <c r="N669" i="11"/>
  <c r="K669" i="11"/>
  <c r="J668" i="11"/>
  <c r="I668" i="11"/>
  <c r="AC668" i="11"/>
  <c r="X668" i="11"/>
  <c r="V668" i="11"/>
  <c r="K668" i="11"/>
  <c r="AE668" i="11"/>
  <c r="R668" i="11"/>
  <c r="O668" i="11"/>
  <c r="N668" i="11"/>
  <c r="L668" i="11"/>
  <c r="J667" i="11"/>
  <c r="I667" i="11"/>
  <c r="AC667" i="11"/>
  <c r="X667" i="11"/>
  <c r="V667" i="11"/>
  <c r="R667" i="11"/>
  <c r="O667" i="11"/>
  <c r="N667" i="11"/>
  <c r="K667" i="11"/>
  <c r="J666" i="11"/>
  <c r="I666" i="11"/>
  <c r="R666" i="11"/>
  <c r="V666" i="11"/>
  <c r="AC666" i="11"/>
  <c r="K666" i="11"/>
  <c r="AE666" i="11"/>
  <c r="X666" i="11"/>
  <c r="L666" i="11"/>
  <c r="N666" i="11"/>
  <c r="O666" i="11"/>
  <c r="AC665" i="11"/>
  <c r="K665" i="11"/>
  <c r="J665" i="11"/>
  <c r="I665" i="11"/>
  <c r="AC664" i="11"/>
  <c r="J664" i="11"/>
  <c r="I664" i="11"/>
  <c r="K664" i="11"/>
  <c r="O664" i="11"/>
  <c r="N664" i="11"/>
  <c r="L664" i="11"/>
  <c r="R664" i="11"/>
  <c r="K663" i="11"/>
  <c r="J663" i="11"/>
  <c r="I663" i="11"/>
  <c r="X663" i="11"/>
  <c r="AC663" i="11"/>
  <c r="AE663" i="11"/>
  <c r="I662" i="11"/>
  <c r="R662" i="11"/>
  <c r="K662" i="11"/>
  <c r="L662" i="11" s="1"/>
  <c r="V662" i="11"/>
  <c r="X662" i="11"/>
  <c r="AC662" i="11"/>
  <c r="AE662" i="11"/>
  <c r="J662" i="11"/>
  <c r="J661" i="11"/>
  <c r="I661" i="11"/>
  <c r="V661" i="11"/>
  <c r="AC661" i="11"/>
  <c r="X661" i="11"/>
  <c r="R661" i="11"/>
  <c r="O661" i="11"/>
  <c r="N661" i="11"/>
  <c r="K661" i="11"/>
  <c r="J660" i="11"/>
  <c r="I660" i="11"/>
  <c r="K660" i="11"/>
  <c r="AE660" i="11" s="1"/>
  <c r="AC660" i="11"/>
  <c r="X660" i="11"/>
  <c r="V660" i="11"/>
  <c r="R660" i="11"/>
  <c r="O660" i="11"/>
  <c r="N660" i="11"/>
  <c r="L660" i="11"/>
  <c r="AC659" i="11"/>
  <c r="K659" i="11"/>
  <c r="I659" i="11"/>
  <c r="J659" i="11"/>
  <c r="J658" i="11"/>
  <c r="I658" i="11"/>
  <c r="AC658" i="11"/>
  <c r="X658" i="11"/>
  <c r="V658" i="11"/>
  <c r="R658" i="11"/>
  <c r="O658" i="11"/>
  <c r="N658" i="11"/>
  <c r="K658" i="11"/>
  <c r="I657" i="11"/>
  <c r="AC657" i="11"/>
  <c r="X657" i="11"/>
  <c r="V657" i="11"/>
  <c r="R657" i="11"/>
  <c r="K657" i="11"/>
  <c r="J657" i="11"/>
  <c r="K656" i="11"/>
  <c r="J656" i="11"/>
  <c r="I656" i="11"/>
  <c r="AE656" i="11"/>
  <c r="AC656" i="11"/>
  <c r="X656" i="11"/>
  <c r="V656" i="11"/>
  <c r="I655" i="11"/>
  <c r="K655" i="11"/>
  <c r="R655" i="11"/>
  <c r="J655" i="11"/>
  <c r="V655" i="11"/>
  <c r="AE655" i="11"/>
  <c r="AC655" i="11"/>
  <c r="X655" i="11"/>
  <c r="J654" i="11"/>
  <c r="AC654" i="11"/>
  <c r="O654" i="11"/>
  <c r="N654" i="11"/>
  <c r="K654" i="11"/>
  <c r="I654" i="11"/>
  <c r="K653" i="11"/>
  <c r="J653" i="11"/>
  <c r="I653" i="11"/>
  <c r="AE653" i="11"/>
  <c r="AC653" i="11"/>
  <c r="X653" i="11"/>
  <c r="V653" i="11"/>
  <c r="AC652" i="11"/>
  <c r="I652" i="11"/>
  <c r="J652" i="11"/>
  <c r="K652" i="11"/>
  <c r="L652" i="11"/>
  <c r="N652" i="11"/>
  <c r="O652" i="11"/>
  <c r="AC651" i="11"/>
  <c r="K651" i="11"/>
  <c r="J651" i="11"/>
  <c r="I651" i="11"/>
  <c r="I650" i="11"/>
  <c r="AE650" i="11" s="1"/>
  <c r="J650" i="11"/>
  <c r="K650" i="11"/>
  <c r="L650" i="11"/>
  <c r="N650" i="11"/>
  <c r="O650" i="11"/>
  <c r="R650" i="11"/>
  <c r="V650" i="11"/>
  <c r="X650" i="11"/>
  <c r="AC650" i="11"/>
  <c r="AC649" i="11"/>
  <c r="K649" i="11"/>
  <c r="J649" i="11"/>
  <c r="I649" i="11"/>
  <c r="AE649" i="11"/>
  <c r="J648" i="11"/>
  <c r="I648" i="11"/>
  <c r="K648" i="11"/>
  <c r="AE648" i="11" s="1"/>
  <c r="AC648" i="11"/>
  <c r="X648" i="11"/>
  <c r="V648" i="11"/>
  <c r="K647" i="11"/>
  <c r="AE647" i="11" s="1"/>
  <c r="J647" i="11"/>
  <c r="I647" i="11"/>
  <c r="AC647" i="11"/>
  <c r="X647" i="11"/>
  <c r="V647" i="11"/>
  <c r="K646" i="11"/>
  <c r="AC646" i="11"/>
  <c r="J646" i="11"/>
  <c r="I646" i="11"/>
  <c r="V646" i="11"/>
  <c r="R646" i="11"/>
  <c r="O646" i="11"/>
  <c r="N646" i="11"/>
  <c r="AC645" i="11"/>
  <c r="K645" i="11"/>
  <c r="J645" i="11"/>
  <c r="I645" i="11"/>
  <c r="K644" i="11"/>
  <c r="J644" i="11"/>
  <c r="I644" i="11"/>
  <c r="V644" i="11"/>
  <c r="AE644" i="11"/>
  <c r="AC644" i="11"/>
  <c r="X644" i="11"/>
  <c r="K643" i="11"/>
  <c r="J643" i="11"/>
  <c r="I643" i="11"/>
  <c r="AC643" i="11"/>
  <c r="I642" i="11"/>
  <c r="J642" i="11"/>
  <c r="K642" i="11"/>
  <c r="L642" i="11"/>
  <c r="N642" i="11"/>
  <c r="AC642" i="11"/>
  <c r="R642" i="11"/>
  <c r="AE642" i="11"/>
  <c r="X642" i="11"/>
  <c r="V642" i="11"/>
  <c r="O642" i="11"/>
  <c r="K641" i="11"/>
  <c r="J641" i="11"/>
  <c r="I641" i="11"/>
  <c r="AC641" i="11"/>
  <c r="AC640" i="11"/>
  <c r="I640" i="11"/>
  <c r="J640" i="11"/>
  <c r="K640" i="11"/>
  <c r="L640" i="11"/>
  <c r="N640" i="11"/>
  <c r="O640" i="11"/>
  <c r="R640" i="11"/>
  <c r="K639" i="11"/>
  <c r="I639" i="11"/>
  <c r="J639" i="11"/>
  <c r="R639" i="11"/>
  <c r="V639" i="11"/>
  <c r="X639" i="11"/>
  <c r="AC639" i="11"/>
  <c r="AE639" i="11"/>
  <c r="AC638" i="11"/>
  <c r="I638" i="11"/>
  <c r="J638" i="11"/>
  <c r="K638" i="11"/>
  <c r="R638" i="11"/>
  <c r="V638" i="11"/>
  <c r="K637" i="11"/>
  <c r="J637" i="11"/>
  <c r="I637" i="11"/>
  <c r="R637" i="11"/>
  <c r="V637" i="11"/>
  <c r="X637" i="11"/>
  <c r="AC637" i="11"/>
  <c r="AC636" i="11"/>
  <c r="J636" i="11"/>
  <c r="I636" i="11"/>
  <c r="K636" i="11"/>
  <c r="AC635" i="11"/>
  <c r="K635" i="11"/>
  <c r="J635" i="11"/>
  <c r="I635" i="11"/>
  <c r="AC634" i="11"/>
  <c r="I634" i="11"/>
  <c r="J634" i="11"/>
  <c r="K634" i="11"/>
  <c r="N634" i="11"/>
  <c r="O634" i="11"/>
  <c r="R634" i="11"/>
  <c r="V634" i="11"/>
  <c r="X634" i="11"/>
  <c r="J633" i="11"/>
  <c r="K633" i="11"/>
  <c r="I633" i="11"/>
  <c r="V633" i="11"/>
  <c r="AE633" i="11"/>
  <c r="X633" i="11"/>
  <c r="AC633" i="11"/>
  <c r="K632" i="11"/>
  <c r="J632" i="11"/>
  <c r="I632" i="11"/>
  <c r="L632" i="11" s="1"/>
  <c r="V632" i="11"/>
  <c r="X632" i="11"/>
  <c r="AC632" i="11"/>
  <c r="R632" i="11"/>
  <c r="AE632" i="11"/>
  <c r="K631" i="11"/>
  <c r="J631" i="11"/>
  <c r="I631" i="11"/>
  <c r="L631" i="11"/>
  <c r="AC631" i="11"/>
  <c r="K630" i="11"/>
  <c r="J630" i="11"/>
  <c r="I630" i="11"/>
  <c r="R630" i="11"/>
  <c r="AC630" i="11"/>
  <c r="X630" i="11"/>
  <c r="L630" i="11"/>
  <c r="K629" i="11"/>
  <c r="J629" i="11"/>
  <c r="I629" i="11"/>
  <c r="V629" i="11"/>
  <c r="AE629" i="11"/>
  <c r="AC629" i="11"/>
  <c r="X629" i="11"/>
  <c r="K628" i="11"/>
  <c r="J628" i="11"/>
  <c r="I628" i="11"/>
  <c r="V628" i="11"/>
  <c r="X628" i="11"/>
  <c r="AC628" i="11"/>
  <c r="K627" i="11"/>
  <c r="J627" i="11"/>
  <c r="I627" i="11"/>
  <c r="AC627" i="11"/>
  <c r="X627" i="11"/>
  <c r="V627" i="11"/>
  <c r="K626" i="11"/>
  <c r="J626" i="11"/>
  <c r="O626" i="11" s="1"/>
  <c r="N626" i="11"/>
  <c r="I626" i="11"/>
  <c r="AE626" i="11"/>
  <c r="AC626" i="11"/>
  <c r="X626" i="11"/>
  <c r="V626" i="11"/>
  <c r="AC625" i="11"/>
  <c r="I625" i="11"/>
  <c r="J625" i="11"/>
  <c r="K625" i="11"/>
  <c r="L625" i="11" s="1"/>
  <c r="N625" i="11"/>
  <c r="O625" i="11"/>
  <c r="AC624" i="11"/>
  <c r="I624" i="11"/>
  <c r="J624" i="11"/>
  <c r="K624" i="11"/>
  <c r="L624" i="11"/>
  <c r="N624" i="11"/>
  <c r="O624" i="11"/>
  <c r="R624" i="11"/>
  <c r="AC623" i="11"/>
  <c r="K623" i="11"/>
  <c r="J623" i="11"/>
  <c r="I623" i="11"/>
  <c r="K622" i="11"/>
  <c r="AC622" i="11"/>
  <c r="I622" i="11"/>
  <c r="J622" i="11"/>
  <c r="O622" i="11" s="1"/>
  <c r="L622" i="11"/>
  <c r="N622" i="11"/>
  <c r="V622" i="11"/>
  <c r="AC621" i="11"/>
  <c r="I621" i="11"/>
  <c r="K621" i="11"/>
  <c r="J621" i="11"/>
  <c r="AC620" i="11"/>
  <c r="I620" i="11"/>
  <c r="K620" i="11"/>
  <c r="L620" i="11" s="1"/>
  <c r="J620" i="11"/>
  <c r="X620" i="11"/>
  <c r="K619" i="11"/>
  <c r="J619" i="11"/>
  <c r="I619" i="11"/>
  <c r="AE619" i="11"/>
  <c r="AC619" i="11"/>
  <c r="X619" i="11"/>
  <c r="V619" i="11"/>
  <c r="I618" i="11"/>
  <c r="AE618" i="11" s="1"/>
  <c r="J618" i="11"/>
  <c r="N618" i="11"/>
  <c r="R618" i="11"/>
  <c r="K618" i="11"/>
  <c r="L618" i="11" s="1"/>
  <c r="V618" i="11"/>
  <c r="X618" i="11"/>
  <c r="AC618" i="11"/>
  <c r="O618" i="11"/>
  <c r="K617" i="11"/>
  <c r="I617" i="11"/>
  <c r="J617" i="11"/>
  <c r="AE617" i="11"/>
  <c r="AC617" i="11"/>
  <c r="X617" i="11"/>
  <c r="V617" i="11"/>
  <c r="AC616" i="11"/>
  <c r="I616" i="11"/>
  <c r="J616" i="11"/>
  <c r="K616" i="11"/>
  <c r="L616" i="11"/>
  <c r="O616" i="11"/>
  <c r="N616" i="11"/>
  <c r="R616" i="11"/>
  <c r="J615" i="11"/>
  <c r="I615" i="11"/>
  <c r="V615" i="11"/>
  <c r="R615" i="11"/>
  <c r="X615" i="11"/>
  <c r="AC615" i="11"/>
  <c r="O615" i="11"/>
  <c r="N615" i="11"/>
  <c r="K615" i="11"/>
  <c r="K614" i="11"/>
  <c r="J614" i="11"/>
  <c r="I614" i="11"/>
  <c r="AE614" i="11"/>
  <c r="AC614" i="11"/>
  <c r="X614" i="11"/>
  <c r="V614" i="11"/>
  <c r="J613" i="11"/>
  <c r="K613" i="11"/>
  <c r="I613" i="11"/>
  <c r="AC613" i="11"/>
  <c r="X613" i="11"/>
  <c r="V613" i="11"/>
  <c r="AE613" i="11"/>
  <c r="AC612" i="11"/>
  <c r="I612" i="11"/>
  <c r="J612" i="11"/>
  <c r="K612" i="11"/>
  <c r="L612" i="11" s="1"/>
  <c r="N612" i="11"/>
  <c r="O612" i="11"/>
  <c r="R612" i="11"/>
  <c r="AC611" i="11"/>
  <c r="I611" i="11"/>
  <c r="J611" i="11"/>
  <c r="O611" i="11" s="1"/>
  <c r="K611" i="11"/>
  <c r="L611" i="11"/>
  <c r="N611" i="11"/>
  <c r="AC610" i="11"/>
  <c r="K610" i="11"/>
  <c r="J610" i="11"/>
  <c r="I610" i="11"/>
  <c r="X610" i="11"/>
  <c r="AC609" i="11"/>
  <c r="K609" i="11"/>
  <c r="J609" i="11"/>
  <c r="I609" i="11"/>
  <c r="V609" i="11"/>
  <c r="AC608" i="11"/>
  <c r="K608" i="11"/>
  <c r="J608" i="11"/>
  <c r="I608" i="11"/>
  <c r="K607" i="11"/>
  <c r="J607" i="11"/>
  <c r="I607" i="11"/>
  <c r="X607" i="11"/>
  <c r="V607" i="11"/>
  <c r="AC607" i="11"/>
  <c r="K606" i="11"/>
  <c r="J606" i="11"/>
  <c r="I606" i="11"/>
  <c r="X606" i="11"/>
  <c r="AC606" i="11"/>
  <c r="AE606" i="11"/>
  <c r="V606" i="11"/>
  <c r="K605" i="11"/>
  <c r="I605" i="11"/>
  <c r="L605" i="11" s="1"/>
  <c r="J605" i="11"/>
  <c r="N605" i="11" s="1"/>
  <c r="O605" i="11"/>
  <c r="R605" i="11"/>
  <c r="V605" i="11"/>
  <c r="X605" i="11"/>
  <c r="AC605" i="11"/>
  <c r="AE605" i="11"/>
  <c r="AC604" i="11"/>
  <c r="J604" i="11"/>
  <c r="I604" i="11"/>
  <c r="N604" i="11"/>
  <c r="O604" i="11"/>
  <c r="R604" i="11"/>
  <c r="K604" i="11"/>
  <c r="K603" i="11"/>
  <c r="J603" i="11"/>
  <c r="I603" i="11"/>
  <c r="AE603" i="11"/>
  <c r="AC603" i="11"/>
  <c r="X603" i="11"/>
  <c r="K602" i="11"/>
  <c r="J602" i="11"/>
  <c r="I602" i="11"/>
  <c r="AE602" i="11"/>
  <c r="AC602" i="11"/>
  <c r="X602" i="11"/>
  <c r="AC601" i="11"/>
  <c r="K601" i="11"/>
  <c r="J601" i="11"/>
  <c r="N601" i="11" s="1"/>
  <c r="I601" i="11"/>
  <c r="L601" i="11"/>
  <c r="V601" i="11"/>
  <c r="R601" i="11"/>
  <c r="O601" i="11"/>
  <c r="K600" i="11"/>
  <c r="J600" i="11"/>
  <c r="I600" i="11"/>
  <c r="AC600" i="11"/>
  <c r="X600" i="11"/>
  <c r="V600" i="11"/>
  <c r="I599" i="11"/>
  <c r="R599" i="11" s="1"/>
  <c r="J599" i="11"/>
  <c r="AC599" i="11"/>
  <c r="X599" i="11"/>
  <c r="V599" i="11"/>
  <c r="K599" i="11"/>
  <c r="K598" i="11"/>
  <c r="J598" i="11"/>
  <c r="I598" i="11"/>
  <c r="AE598" i="11"/>
  <c r="AC598" i="11"/>
  <c r="X598" i="11"/>
  <c r="V598" i="11"/>
  <c r="K597" i="11"/>
  <c r="J597" i="11"/>
  <c r="AC597" i="11"/>
  <c r="I597" i="11"/>
  <c r="O597" i="11"/>
  <c r="N597" i="11"/>
  <c r="K596" i="11"/>
  <c r="J596" i="11"/>
  <c r="AC596" i="11"/>
  <c r="I596" i="11"/>
  <c r="R596" i="11"/>
  <c r="O596" i="11"/>
  <c r="N596" i="11"/>
  <c r="K595" i="11"/>
  <c r="J595" i="11"/>
  <c r="N595" i="11" s="1"/>
  <c r="I595" i="11"/>
  <c r="AE595" i="11"/>
  <c r="AC595" i="11"/>
  <c r="X595" i="11"/>
  <c r="V595" i="11"/>
  <c r="R595" i="11"/>
  <c r="O595" i="11"/>
  <c r="L595" i="11"/>
  <c r="K594" i="11"/>
  <c r="J594" i="11"/>
  <c r="AC594" i="11"/>
  <c r="I594" i="11"/>
  <c r="O594" i="11"/>
  <c r="N594" i="11"/>
  <c r="L594" i="11"/>
  <c r="K593" i="11"/>
  <c r="J593" i="11"/>
  <c r="I593" i="11"/>
  <c r="AE593" i="11"/>
  <c r="AC593" i="11"/>
  <c r="X593" i="11"/>
  <c r="V593" i="11"/>
  <c r="R593" i="11"/>
  <c r="O593" i="11"/>
  <c r="N593" i="11"/>
  <c r="L593" i="11"/>
  <c r="J592" i="11"/>
  <c r="I592" i="11"/>
  <c r="K592" i="11"/>
  <c r="AE592" i="11"/>
  <c r="AC592" i="11"/>
  <c r="X592" i="11"/>
  <c r="V592" i="11"/>
  <c r="R592" i="11"/>
  <c r="O592" i="11"/>
  <c r="N592" i="11"/>
  <c r="L592" i="11"/>
  <c r="AC591" i="11"/>
  <c r="I591" i="11"/>
  <c r="AE591" i="11" s="1"/>
  <c r="J591" i="11"/>
  <c r="K591" i="11"/>
  <c r="L591" i="11"/>
  <c r="N591" i="11"/>
  <c r="O591" i="11"/>
  <c r="R591" i="11"/>
  <c r="V591" i="11"/>
  <c r="X591" i="11"/>
  <c r="J590" i="11"/>
  <c r="O590" i="11" s="1"/>
  <c r="I590" i="11"/>
  <c r="AE590" i="11" s="1"/>
  <c r="X590" i="11"/>
  <c r="V590" i="11"/>
  <c r="R590" i="11"/>
  <c r="AC590" i="11"/>
  <c r="N590" i="11"/>
  <c r="K590" i="11"/>
  <c r="L590" i="11" s="1"/>
  <c r="J589" i="11"/>
  <c r="I589" i="11"/>
  <c r="X589" i="11"/>
  <c r="AC589" i="11"/>
  <c r="V589" i="11"/>
  <c r="N589" i="11"/>
  <c r="R589" i="11"/>
  <c r="O589" i="11"/>
  <c r="K589" i="11"/>
  <c r="AC588" i="11"/>
  <c r="I588" i="11"/>
  <c r="J588" i="11"/>
  <c r="O588" i="11" s="1"/>
  <c r="K588" i="11"/>
  <c r="L588" i="11" s="1"/>
  <c r="N588" i="11"/>
  <c r="K587" i="11"/>
  <c r="J587" i="11"/>
  <c r="I587" i="11"/>
  <c r="V587" i="11"/>
  <c r="X587" i="11"/>
  <c r="AC587" i="11"/>
  <c r="AE587" i="11"/>
  <c r="R587" i="11"/>
  <c r="O587" i="11"/>
  <c r="N587" i="11"/>
  <c r="L587" i="11"/>
  <c r="K586" i="11"/>
  <c r="J586" i="11"/>
  <c r="I586" i="11"/>
  <c r="AE586" i="11"/>
  <c r="AC586" i="11"/>
  <c r="X586" i="11"/>
  <c r="V586" i="11"/>
  <c r="R586" i="11"/>
  <c r="O586" i="11"/>
  <c r="N586" i="11"/>
  <c r="L586" i="11"/>
  <c r="K585" i="11"/>
  <c r="J585" i="11"/>
  <c r="I585" i="11"/>
  <c r="AE585" i="11"/>
  <c r="AC585" i="11"/>
  <c r="R585" i="11"/>
  <c r="V585" i="11"/>
  <c r="O585" i="11"/>
  <c r="N585" i="11"/>
  <c r="L585" i="11"/>
  <c r="X585" i="11"/>
  <c r="AC584" i="11"/>
  <c r="I584" i="11"/>
  <c r="J584" i="11"/>
  <c r="K584" i="11"/>
  <c r="L584" i="11"/>
  <c r="N584" i="11"/>
  <c r="O584" i="11"/>
  <c r="R584" i="11"/>
  <c r="AC583" i="11"/>
  <c r="K583" i="11"/>
  <c r="J583" i="11"/>
  <c r="I583" i="11"/>
  <c r="AC582" i="11"/>
  <c r="I582" i="11"/>
  <c r="J582" i="11"/>
  <c r="K582" i="11"/>
  <c r="N582" i="11"/>
  <c r="O582" i="11"/>
  <c r="AC581" i="11"/>
  <c r="K581" i="11"/>
  <c r="J581" i="11"/>
  <c r="I581" i="11"/>
  <c r="R581" i="11"/>
  <c r="I580" i="11"/>
  <c r="R580" i="11" s="1"/>
  <c r="J580" i="11"/>
  <c r="K580" i="11"/>
  <c r="O580" i="11"/>
  <c r="V580" i="11"/>
  <c r="X580" i="11"/>
  <c r="AC580" i="11"/>
  <c r="AE580" i="11"/>
  <c r="I579" i="11"/>
  <c r="R579" i="11" s="1"/>
  <c r="J579" i="11"/>
  <c r="K579" i="11"/>
  <c r="L579" i="11"/>
  <c r="V579" i="11"/>
  <c r="N579" i="11"/>
  <c r="AE579" i="11"/>
  <c r="AC579" i="11"/>
  <c r="X579" i="11"/>
  <c r="O579" i="11"/>
  <c r="I578" i="11"/>
  <c r="J578" i="11"/>
  <c r="O578" i="11" s="1"/>
  <c r="K578" i="11"/>
  <c r="L578" i="11"/>
  <c r="N578" i="11"/>
  <c r="R578" i="11"/>
  <c r="V578" i="11"/>
  <c r="X578" i="11"/>
  <c r="AC578" i="11"/>
  <c r="AE578" i="11"/>
  <c r="AC577" i="11"/>
  <c r="K577" i="11"/>
  <c r="J577" i="11"/>
  <c r="I577" i="11"/>
  <c r="J576" i="11"/>
  <c r="K576" i="11"/>
  <c r="N576" i="11"/>
  <c r="O576" i="11"/>
  <c r="AC576" i="11"/>
  <c r="I576" i="11"/>
  <c r="K575" i="11"/>
  <c r="J575" i="11"/>
  <c r="I575" i="11"/>
  <c r="AE575" i="11"/>
  <c r="AC575" i="11"/>
  <c r="X575" i="11"/>
  <c r="V575" i="11"/>
  <c r="K574" i="11"/>
  <c r="J574" i="11"/>
  <c r="I574" i="11"/>
  <c r="L574" i="11"/>
  <c r="V574" i="11"/>
  <c r="X574" i="11"/>
  <c r="AC574" i="11"/>
  <c r="I573" i="11"/>
  <c r="J573" i="11"/>
  <c r="K573" i="11"/>
  <c r="AE573" i="11"/>
  <c r="AC573" i="11"/>
  <c r="X573" i="11"/>
  <c r="L573" i="11"/>
  <c r="AC572" i="11"/>
  <c r="I572" i="11"/>
  <c r="J572" i="11"/>
  <c r="K572" i="11"/>
  <c r="L572" i="11"/>
  <c r="N572" i="11"/>
  <c r="O572" i="11"/>
  <c r="R572" i="11"/>
  <c r="K571" i="11"/>
  <c r="J571" i="11"/>
  <c r="AC571" i="11"/>
  <c r="I571" i="11"/>
  <c r="AC570" i="11"/>
  <c r="I570" i="11"/>
  <c r="J570" i="11"/>
  <c r="K570" i="11"/>
  <c r="L570" i="11"/>
  <c r="N570" i="11"/>
  <c r="O570" i="11"/>
  <c r="R570" i="11"/>
  <c r="J569" i="11"/>
  <c r="I569" i="11"/>
  <c r="AC569" i="11"/>
  <c r="X569" i="11"/>
  <c r="V569" i="11"/>
  <c r="R569" i="11"/>
  <c r="O569" i="11"/>
  <c r="N569" i="11"/>
  <c r="K569" i="11"/>
  <c r="I568" i="11"/>
  <c r="J568" i="11"/>
  <c r="R568" i="11"/>
  <c r="K568" i="11"/>
  <c r="X568" i="11"/>
  <c r="AC568" i="11"/>
  <c r="V568" i="11"/>
  <c r="K567" i="11"/>
  <c r="J567" i="11"/>
  <c r="I567" i="11"/>
  <c r="AE567" i="11"/>
  <c r="AC567" i="11"/>
  <c r="X567" i="11"/>
  <c r="V567" i="11"/>
  <c r="J566" i="11"/>
  <c r="K566" i="11"/>
  <c r="I566" i="11"/>
  <c r="L566" i="11" s="1"/>
  <c r="R566" i="11"/>
  <c r="V566" i="11"/>
  <c r="X566" i="11"/>
  <c r="AC566" i="11"/>
  <c r="AE566" i="11"/>
  <c r="AC565" i="11"/>
  <c r="I565" i="11"/>
  <c r="J565" i="11"/>
  <c r="N565" i="11" s="1"/>
  <c r="K565" i="11"/>
  <c r="L565" i="11"/>
  <c r="O565" i="11"/>
  <c r="R565" i="11"/>
  <c r="V565" i="11"/>
  <c r="AC564" i="11"/>
  <c r="K564" i="11"/>
  <c r="J564" i="11"/>
  <c r="I564" i="11"/>
  <c r="I563" i="11"/>
  <c r="J563" i="11"/>
  <c r="K563" i="11"/>
  <c r="AE563" i="11"/>
  <c r="AC563" i="11"/>
  <c r="X563" i="11"/>
  <c r="L563" i="11"/>
  <c r="I562" i="11"/>
  <c r="J562" i="11"/>
  <c r="K562" i="11"/>
  <c r="L562" i="11"/>
  <c r="N562" i="11"/>
  <c r="O562" i="11"/>
  <c r="R562" i="11"/>
  <c r="V562" i="11"/>
  <c r="X562" i="11"/>
  <c r="AC562" i="11"/>
  <c r="AE562" i="11"/>
  <c r="I561" i="11"/>
  <c r="AC561" i="11"/>
  <c r="X561" i="11"/>
  <c r="V561" i="11"/>
  <c r="R561" i="11"/>
  <c r="K561" i="11"/>
  <c r="J561" i="11"/>
  <c r="J560" i="11"/>
  <c r="I560" i="11"/>
  <c r="R560" i="11"/>
  <c r="O560" i="11"/>
  <c r="N560" i="11"/>
  <c r="K560" i="11"/>
  <c r="V560" i="11"/>
  <c r="X560" i="11"/>
  <c r="AC560" i="11"/>
  <c r="I559" i="11"/>
  <c r="AE559" i="11" s="1"/>
  <c r="J559" i="11"/>
  <c r="K559" i="11"/>
  <c r="L559" i="11"/>
  <c r="N559" i="11"/>
  <c r="O559" i="11"/>
  <c r="R559" i="11"/>
  <c r="X559" i="11"/>
  <c r="V559" i="11"/>
  <c r="AC559" i="11"/>
  <c r="AC558" i="11"/>
  <c r="K558" i="11"/>
  <c r="J558" i="11"/>
  <c r="I558" i="11"/>
  <c r="AC557" i="11"/>
  <c r="K557" i="11"/>
  <c r="J557" i="11"/>
  <c r="I557" i="11"/>
  <c r="AC556" i="11"/>
  <c r="K556" i="11"/>
  <c r="J556" i="11"/>
  <c r="I556" i="11"/>
  <c r="AC555" i="11"/>
  <c r="K555" i="11"/>
  <c r="J555" i="11"/>
  <c r="I555" i="11"/>
  <c r="R555" i="11"/>
  <c r="J554" i="11"/>
  <c r="N554" i="11" s="1"/>
  <c r="K554" i="11"/>
  <c r="O554" i="11"/>
  <c r="AC554" i="11"/>
  <c r="I554" i="11"/>
  <c r="AC553" i="11"/>
  <c r="J553" i="11"/>
  <c r="I553" i="11"/>
  <c r="K553" i="11"/>
  <c r="L553" i="11"/>
  <c r="N553" i="11"/>
  <c r="O553" i="11"/>
  <c r="R553" i="11"/>
  <c r="I552" i="11"/>
  <c r="R552" i="11"/>
  <c r="K552" i="11"/>
  <c r="AC552" i="11"/>
  <c r="J552" i="11"/>
  <c r="X552" i="11"/>
  <c r="V552" i="11"/>
  <c r="I551" i="11"/>
  <c r="AC551" i="11"/>
  <c r="X551" i="11"/>
  <c r="V551" i="11"/>
  <c r="R551" i="11"/>
  <c r="K551" i="11"/>
  <c r="J551" i="11"/>
  <c r="I550" i="11"/>
  <c r="AC550" i="11"/>
  <c r="X550" i="11"/>
  <c r="V550" i="11"/>
  <c r="R550" i="11"/>
  <c r="K550" i="11"/>
  <c r="J550" i="11"/>
  <c r="AC549" i="11"/>
  <c r="I549" i="11"/>
  <c r="K549" i="11"/>
  <c r="J549" i="11"/>
  <c r="AC548" i="11"/>
  <c r="K548" i="11"/>
  <c r="J548" i="11"/>
  <c r="I548" i="11"/>
  <c r="AC547" i="11"/>
  <c r="K547" i="11"/>
  <c r="J547" i="11"/>
  <c r="I547" i="11"/>
  <c r="AC546" i="11"/>
  <c r="K546" i="11"/>
  <c r="J546" i="11"/>
  <c r="I546" i="11"/>
  <c r="AC545" i="11"/>
  <c r="K545" i="11"/>
  <c r="J545" i="11"/>
  <c r="I545" i="11"/>
  <c r="AC544" i="11"/>
  <c r="K544" i="11"/>
  <c r="J544" i="11"/>
  <c r="I544" i="11"/>
  <c r="AC543" i="11"/>
  <c r="K543" i="11"/>
  <c r="J543" i="11"/>
  <c r="I543" i="11"/>
  <c r="AC542" i="11"/>
  <c r="K542" i="11"/>
  <c r="J542" i="11"/>
  <c r="I542" i="11"/>
  <c r="AC541" i="11"/>
  <c r="K541" i="11"/>
  <c r="J541" i="11"/>
  <c r="I541" i="11"/>
  <c r="AC540" i="11"/>
  <c r="K540" i="11"/>
  <c r="J540" i="11"/>
  <c r="I540" i="11"/>
  <c r="AC539" i="11"/>
  <c r="K539" i="11"/>
  <c r="J539" i="11"/>
  <c r="I539" i="11"/>
  <c r="AC538" i="11"/>
  <c r="K538" i="11"/>
  <c r="J538" i="11"/>
  <c r="I538" i="11"/>
  <c r="AC537" i="11"/>
  <c r="K537" i="11"/>
  <c r="J537" i="11"/>
  <c r="I537" i="11"/>
  <c r="AC536" i="11"/>
  <c r="K536" i="11"/>
  <c r="J536" i="11"/>
  <c r="I536" i="11"/>
  <c r="AC535" i="11"/>
  <c r="K535" i="11"/>
  <c r="J535" i="11"/>
  <c r="I535" i="11"/>
  <c r="AC534" i="11"/>
  <c r="K534" i="11"/>
  <c r="J534" i="11"/>
  <c r="I534" i="11"/>
  <c r="AC533" i="11"/>
  <c r="K533" i="11"/>
  <c r="J533" i="11"/>
  <c r="I533" i="11"/>
  <c r="AC532" i="11"/>
  <c r="K532" i="11"/>
  <c r="J532" i="11"/>
  <c r="I532" i="11"/>
  <c r="AC531" i="11"/>
  <c r="K531" i="11"/>
  <c r="J531" i="11"/>
  <c r="I531" i="11"/>
  <c r="AC530" i="11"/>
  <c r="K530" i="11"/>
  <c r="J530" i="11"/>
  <c r="I530" i="11"/>
  <c r="AC529" i="11"/>
  <c r="K529" i="11"/>
  <c r="J529" i="11"/>
  <c r="I529" i="11"/>
  <c r="K528" i="11"/>
  <c r="J528" i="11"/>
  <c r="I528" i="11"/>
  <c r="AE528" i="11"/>
  <c r="O528" i="11"/>
  <c r="N528" i="11"/>
  <c r="AC528" i="11"/>
  <c r="J527" i="11"/>
  <c r="N527" i="11" s="1"/>
  <c r="AC527" i="11"/>
  <c r="O527" i="11"/>
  <c r="K527" i="11"/>
  <c r="I527" i="11"/>
  <c r="L527" i="11"/>
  <c r="J526" i="11"/>
  <c r="O526" i="11" s="1"/>
  <c r="I526" i="11"/>
  <c r="N526" i="11"/>
  <c r="K526" i="11"/>
  <c r="AC526" i="11"/>
  <c r="AC525" i="11"/>
  <c r="J525" i="11"/>
  <c r="N525" i="11"/>
  <c r="K525" i="11"/>
  <c r="O525" i="11"/>
  <c r="I525" i="11"/>
  <c r="J524" i="11"/>
  <c r="AC524" i="11"/>
  <c r="K524" i="11"/>
  <c r="O524" i="11"/>
  <c r="I524" i="11"/>
  <c r="N524" i="11"/>
  <c r="V524" i="11"/>
  <c r="AE524" i="11"/>
  <c r="X524" i="11"/>
  <c r="R524" i="11"/>
  <c r="L524" i="11"/>
  <c r="J523" i="11"/>
  <c r="AC523" i="11"/>
  <c r="O523" i="11"/>
  <c r="N523" i="11"/>
  <c r="K523" i="11"/>
  <c r="I523" i="11"/>
  <c r="I522" i="11"/>
  <c r="J522" i="11"/>
  <c r="O522" i="11" s="1"/>
  <c r="N522" i="11"/>
  <c r="X522" i="11"/>
  <c r="AC522" i="11"/>
  <c r="V522" i="11"/>
  <c r="K522" i="11"/>
  <c r="AE522" i="11" s="1"/>
  <c r="I521" i="11"/>
  <c r="K521" i="11"/>
  <c r="L521" i="11" s="1"/>
  <c r="R521" i="11"/>
  <c r="AE521" i="11"/>
  <c r="AC521" i="11"/>
  <c r="X521" i="11"/>
  <c r="V521" i="11"/>
  <c r="J521" i="11"/>
  <c r="I520" i="11"/>
  <c r="K520" i="11"/>
  <c r="AE520" i="11"/>
  <c r="AC520" i="11"/>
  <c r="X520" i="11"/>
  <c r="V520" i="11"/>
  <c r="R520" i="11"/>
  <c r="J520" i="11"/>
  <c r="AC519" i="11"/>
  <c r="I519" i="11"/>
  <c r="L519" i="11" s="1"/>
  <c r="R519" i="11"/>
  <c r="V519" i="11"/>
  <c r="X519" i="11"/>
  <c r="K519" i="11"/>
  <c r="AE519" i="11" s="1"/>
  <c r="J519" i="11"/>
  <c r="AC518" i="11"/>
  <c r="I518" i="11"/>
  <c r="J518" i="11"/>
  <c r="V518" i="11"/>
  <c r="K518" i="11"/>
  <c r="AE518" i="11" s="1"/>
  <c r="K517" i="11"/>
  <c r="J517" i="11"/>
  <c r="O517" i="11" s="1"/>
  <c r="AC517" i="11"/>
  <c r="N517" i="11"/>
  <c r="I517" i="11"/>
  <c r="AC516" i="11"/>
  <c r="J516" i="11"/>
  <c r="O516" i="11"/>
  <c r="I516" i="11"/>
  <c r="N516" i="11"/>
  <c r="K516" i="11"/>
  <c r="I515" i="11"/>
  <c r="J515" i="11"/>
  <c r="R515" i="11"/>
  <c r="N515" i="11"/>
  <c r="V515" i="11"/>
  <c r="X515" i="11"/>
  <c r="AC515" i="11"/>
  <c r="K515" i="11"/>
  <c r="O515" i="11"/>
  <c r="I514" i="11"/>
  <c r="R514" i="11"/>
  <c r="V514" i="11"/>
  <c r="J514" i="11"/>
  <c r="N514" i="11" s="1"/>
  <c r="X514" i="11"/>
  <c r="K514" i="11"/>
  <c r="L514" i="11"/>
  <c r="AC514" i="11"/>
  <c r="AE514" i="11"/>
  <c r="O514" i="11"/>
  <c r="AC513" i="11"/>
  <c r="K513" i="11"/>
  <c r="J513" i="11"/>
  <c r="N513" i="11"/>
  <c r="O513" i="11"/>
  <c r="I513" i="11"/>
  <c r="R513" i="11"/>
  <c r="V513" i="11"/>
  <c r="AE513" i="11"/>
  <c r="AC512" i="11"/>
  <c r="J512" i="11"/>
  <c r="O512" i="11" s="1"/>
  <c r="I512" i="11"/>
  <c r="K512" i="11"/>
  <c r="R512" i="11"/>
  <c r="N512" i="11"/>
  <c r="V512" i="11"/>
  <c r="X512" i="11"/>
  <c r="J511" i="11"/>
  <c r="K511" i="11"/>
  <c r="I511" i="11"/>
  <c r="AC511" i="11"/>
  <c r="AE511" i="11"/>
  <c r="N511" i="11"/>
  <c r="O511" i="11"/>
  <c r="K510" i="11"/>
  <c r="AC510" i="11"/>
  <c r="I510" i="11"/>
  <c r="X510" i="11" s="1"/>
  <c r="J510" i="11"/>
  <c r="N510" i="11" s="1"/>
  <c r="R510" i="11"/>
  <c r="O510" i="11"/>
  <c r="AE510" i="11"/>
  <c r="V510" i="11"/>
  <c r="L510" i="11"/>
  <c r="K509" i="11"/>
  <c r="J509" i="11"/>
  <c r="O509" i="11"/>
  <c r="AC509" i="11"/>
  <c r="N509" i="11"/>
  <c r="I509" i="11"/>
  <c r="J508" i="11"/>
  <c r="K508" i="11"/>
  <c r="O508" i="11"/>
  <c r="N508" i="11"/>
  <c r="AC508" i="11"/>
  <c r="I508" i="11"/>
  <c r="X508" i="11"/>
  <c r="AC507" i="11"/>
  <c r="J507" i="11"/>
  <c r="I507" i="11"/>
  <c r="K507" i="11"/>
  <c r="AE507" i="11"/>
  <c r="O507" i="11"/>
  <c r="L507" i="11"/>
  <c r="N507" i="11"/>
  <c r="R507" i="11"/>
  <c r="AC506" i="11"/>
  <c r="J506" i="11"/>
  <c r="O506" i="11" s="1"/>
  <c r="N506" i="11"/>
  <c r="K506" i="11"/>
  <c r="I506" i="11"/>
  <c r="I505" i="11"/>
  <c r="R505" i="11"/>
  <c r="J505" i="11"/>
  <c r="X505" i="11"/>
  <c r="AC505" i="11"/>
  <c r="K505" i="11"/>
  <c r="V505" i="11"/>
  <c r="I504" i="11"/>
  <c r="AC504" i="11"/>
  <c r="J504" i="11"/>
  <c r="K504" i="11"/>
  <c r="L504" i="11" s="1"/>
  <c r="R504" i="11"/>
  <c r="K503" i="11"/>
  <c r="AC503" i="11"/>
  <c r="J503" i="11"/>
  <c r="I503" i="11"/>
  <c r="AC502" i="11"/>
  <c r="K502" i="11"/>
  <c r="J502" i="11"/>
  <c r="O502" i="11" s="1"/>
  <c r="N502" i="11"/>
  <c r="I502" i="11"/>
  <c r="J501" i="11"/>
  <c r="O501" i="11" s="1"/>
  <c r="N501" i="11"/>
  <c r="AC501" i="11"/>
  <c r="K501" i="11"/>
  <c r="I501" i="11"/>
  <c r="J500" i="11"/>
  <c r="N500" i="11" s="1"/>
  <c r="I500" i="11"/>
  <c r="V500" i="11"/>
  <c r="AC500" i="11"/>
  <c r="X500" i="11"/>
  <c r="R500" i="11"/>
  <c r="O500" i="11"/>
  <c r="K500" i="11"/>
  <c r="AC1017" i="11"/>
  <c r="J499" i="11"/>
  <c r="O499" i="11" s="1"/>
  <c r="I499" i="11"/>
  <c r="K499" i="11"/>
  <c r="N499" i="11"/>
  <c r="AE499" i="11"/>
  <c r="AC499" i="11"/>
  <c r="V499" i="11"/>
  <c r="J498" i="11"/>
  <c r="I498" i="11"/>
  <c r="AC498" i="11"/>
  <c r="X498" i="11"/>
  <c r="V498" i="11"/>
  <c r="R498" i="11"/>
  <c r="O498" i="11"/>
  <c r="N498" i="11"/>
  <c r="K498" i="11"/>
  <c r="L498" i="11" s="1"/>
  <c r="J497" i="11"/>
  <c r="AC497" i="11"/>
  <c r="I497" i="11"/>
  <c r="R497" i="11"/>
  <c r="O497" i="11"/>
  <c r="N497" i="11"/>
  <c r="K497" i="11"/>
  <c r="L497" i="11" s="1"/>
  <c r="J496" i="11"/>
  <c r="AC496" i="11"/>
  <c r="I496" i="11"/>
  <c r="X496" i="11"/>
  <c r="V496" i="11"/>
  <c r="K496" i="11"/>
  <c r="J495" i="11"/>
  <c r="I495" i="11"/>
  <c r="AC495" i="11"/>
  <c r="X495" i="11"/>
  <c r="V495" i="11"/>
  <c r="R495" i="11"/>
  <c r="O495" i="11"/>
  <c r="N495" i="11"/>
  <c r="K495" i="11"/>
  <c r="J494" i="11"/>
  <c r="K494" i="11"/>
  <c r="AC494" i="11"/>
  <c r="O494" i="11"/>
  <c r="N494" i="11"/>
  <c r="I494" i="11"/>
  <c r="I493" i="11"/>
  <c r="J493" i="11"/>
  <c r="AC493" i="11"/>
  <c r="X493" i="11"/>
  <c r="V493" i="11"/>
  <c r="R493" i="11"/>
  <c r="O493" i="11"/>
  <c r="N493" i="11"/>
  <c r="K493" i="11"/>
  <c r="J492" i="11"/>
  <c r="I492" i="11"/>
  <c r="AC492" i="11"/>
  <c r="X492" i="11"/>
  <c r="V492" i="11"/>
  <c r="R492" i="11"/>
  <c r="O492" i="11"/>
  <c r="N492" i="11"/>
  <c r="K492" i="11"/>
  <c r="I491" i="11"/>
  <c r="AC491" i="11"/>
  <c r="X491" i="11"/>
  <c r="V491" i="11"/>
  <c r="J491" i="11"/>
  <c r="R491" i="11"/>
  <c r="O491" i="11"/>
  <c r="N491" i="11"/>
  <c r="K491" i="11"/>
  <c r="J490" i="11"/>
  <c r="I490" i="11"/>
  <c r="AE490" i="11" s="1"/>
  <c r="AC490" i="11"/>
  <c r="X490" i="11"/>
  <c r="V490" i="11"/>
  <c r="R490" i="11"/>
  <c r="O490" i="11"/>
  <c r="N490" i="11"/>
  <c r="K490" i="11"/>
  <c r="L490" i="11" s="1"/>
  <c r="J489" i="11"/>
  <c r="AC489" i="11"/>
  <c r="K489" i="11"/>
  <c r="O489" i="11"/>
  <c r="N489" i="11"/>
  <c r="I489" i="11"/>
  <c r="J488" i="11"/>
  <c r="I488" i="11"/>
  <c r="AC488" i="11"/>
  <c r="X488" i="11"/>
  <c r="V488" i="11"/>
  <c r="R488" i="11"/>
  <c r="O488" i="11"/>
  <c r="N488" i="11"/>
  <c r="K488" i="11"/>
  <c r="I487" i="11"/>
  <c r="J487" i="11"/>
  <c r="AC487" i="11"/>
  <c r="X487" i="11"/>
  <c r="V487" i="11"/>
  <c r="R487" i="11"/>
  <c r="O487" i="11"/>
  <c r="N487" i="11"/>
  <c r="K487" i="11"/>
  <c r="I486" i="11"/>
  <c r="AC486" i="11"/>
  <c r="X486" i="11"/>
  <c r="V486" i="11"/>
  <c r="J486" i="11"/>
  <c r="R486" i="11"/>
  <c r="O486" i="11"/>
  <c r="N486" i="11"/>
  <c r="K486" i="11"/>
  <c r="J485" i="11"/>
  <c r="I485" i="11"/>
  <c r="AC485" i="11"/>
  <c r="X485" i="11"/>
  <c r="V485" i="11"/>
  <c r="R485" i="11"/>
  <c r="O485" i="11"/>
  <c r="N485" i="11"/>
  <c r="K485" i="11"/>
  <c r="J484" i="11"/>
  <c r="K484" i="11"/>
  <c r="AC484" i="11"/>
  <c r="O484" i="11"/>
  <c r="N484" i="11"/>
  <c r="I484" i="11"/>
  <c r="I483" i="11"/>
  <c r="J483" i="11"/>
  <c r="AC483" i="11"/>
  <c r="X483" i="11"/>
  <c r="V483" i="11"/>
  <c r="R483" i="11"/>
  <c r="O483" i="11"/>
  <c r="N483" i="11"/>
  <c r="K483" i="11"/>
  <c r="I482" i="11"/>
  <c r="J482" i="11"/>
  <c r="AC482" i="11"/>
  <c r="X482" i="11"/>
  <c r="V482" i="11"/>
  <c r="R482" i="11"/>
  <c r="O482" i="11"/>
  <c r="N482" i="11"/>
  <c r="K482" i="11"/>
  <c r="I481" i="11"/>
  <c r="AE481" i="11" s="1"/>
  <c r="AC481" i="11"/>
  <c r="X481" i="11"/>
  <c r="V481" i="11"/>
  <c r="J481" i="11"/>
  <c r="R481" i="11"/>
  <c r="O481" i="11"/>
  <c r="N481" i="11"/>
  <c r="K481" i="11"/>
  <c r="L481" i="11" s="1"/>
  <c r="J480" i="11"/>
  <c r="I480" i="11"/>
  <c r="AE480" i="11" s="1"/>
  <c r="AC480" i="11"/>
  <c r="X480" i="11"/>
  <c r="V480" i="11"/>
  <c r="R480" i="11"/>
  <c r="O480" i="11"/>
  <c r="N480" i="11"/>
  <c r="K480" i="11"/>
  <c r="L480" i="11" s="1"/>
  <c r="J479" i="11"/>
  <c r="AC479" i="11"/>
  <c r="K479" i="11"/>
  <c r="O479" i="11"/>
  <c r="N479" i="11"/>
  <c r="I479" i="11"/>
  <c r="J478" i="11"/>
  <c r="I478" i="11"/>
  <c r="AC478" i="11"/>
  <c r="X478" i="11"/>
  <c r="V478" i="11"/>
  <c r="R478" i="11"/>
  <c r="O478" i="11"/>
  <c r="N478" i="11"/>
  <c r="K478" i="11"/>
  <c r="J477" i="11"/>
  <c r="I477" i="11"/>
  <c r="AC477" i="11"/>
  <c r="X477" i="11"/>
  <c r="V477" i="11"/>
  <c r="R477" i="11"/>
  <c r="O477" i="11"/>
  <c r="N477" i="11"/>
  <c r="K477" i="11"/>
  <c r="I476" i="11"/>
  <c r="AC476" i="11"/>
  <c r="X476" i="11"/>
  <c r="V476" i="11"/>
  <c r="J476" i="11"/>
  <c r="R476" i="11"/>
  <c r="O476" i="11"/>
  <c r="N476" i="11"/>
  <c r="K476" i="11"/>
  <c r="J475" i="11"/>
  <c r="I475" i="11"/>
  <c r="AC475" i="11"/>
  <c r="X475" i="11"/>
  <c r="V475" i="11"/>
  <c r="R475" i="11"/>
  <c r="O475" i="11"/>
  <c r="N475" i="11"/>
  <c r="K475" i="11"/>
  <c r="J474" i="11"/>
  <c r="K474" i="11"/>
  <c r="AC474" i="11"/>
  <c r="O474" i="11"/>
  <c r="N474" i="11"/>
  <c r="I474" i="11"/>
  <c r="J473" i="11"/>
  <c r="I473" i="11"/>
  <c r="AC473" i="11"/>
  <c r="X473" i="11"/>
  <c r="V473" i="11"/>
  <c r="R473" i="11"/>
  <c r="O473" i="11"/>
  <c r="N473" i="11"/>
  <c r="K473" i="11"/>
  <c r="J472" i="11"/>
  <c r="I472" i="11"/>
  <c r="AC472" i="11"/>
  <c r="X472" i="11"/>
  <c r="V472" i="11"/>
  <c r="R472" i="11"/>
  <c r="O472" i="11"/>
  <c r="N472" i="11"/>
  <c r="K472" i="11"/>
  <c r="AC471" i="11"/>
  <c r="I471" i="11"/>
  <c r="V471" i="11"/>
  <c r="J471" i="11"/>
  <c r="R471" i="11"/>
  <c r="O471" i="11"/>
  <c r="N471" i="11"/>
  <c r="K471" i="11"/>
  <c r="L471" i="11" s="1"/>
  <c r="J470" i="11"/>
  <c r="I470" i="11"/>
  <c r="AE470" i="11" s="1"/>
  <c r="AC470" i="11"/>
  <c r="X470" i="11"/>
  <c r="V470" i="11"/>
  <c r="R470" i="11"/>
  <c r="O470" i="11"/>
  <c r="N470" i="11"/>
  <c r="K470" i="11"/>
  <c r="L470" i="11" s="1"/>
  <c r="J469" i="11"/>
  <c r="AC469" i="11"/>
  <c r="K469" i="11"/>
  <c r="O469" i="11"/>
  <c r="N469" i="11"/>
  <c r="I469" i="11"/>
  <c r="J468" i="11"/>
  <c r="I468" i="11"/>
  <c r="AC468" i="11"/>
  <c r="X468" i="11"/>
  <c r="V468" i="11"/>
  <c r="R468" i="11"/>
  <c r="O468" i="11"/>
  <c r="N468" i="11"/>
  <c r="K468" i="11"/>
  <c r="I467" i="11"/>
  <c r="J467" i="11"/>
  <c r="AC467" i="11"/>
  <c r="X467" i="11"/>
  <c r="V467" i="11"/>
  <c r="R467" i="11"/>
  <c r="O467" i="11"/>
  <c r="N467" i="11"/>
  <c r="K467" i="11"/>
  <c r="I466" i="11"/>
  <c r="AC466" i="11"/>
  <c r="X466" i="11"/>
  <c r="V466" i="11"/>
  <c r="J466" i="11"/>
  <c r="R466" i="11"/>
  <c r="O466" i="11"/>
  <c r="N466" i="11"/>
  <c r="K466" i="11"/>
  <c r="J465" i="11"/>
  <c r="I465" i="11"/>
  <c r="AC465" i="11"/>
  <c r="X465" i="11"/>
  <c r="V465" i="11"/>
  <c r="R465" i="11"/>
  <c r="O465" i="11"/>
  <c r="N465" i="11"/>
  <c r="K465" i="11"/>
  <c r="J464" i="11"/>
  <c r="K464" i="11"/>
  <c r="AC464" i="11"/>
  <c r="O464" i="11"/>
  <c r="N464" i="11"/>
  <c r="I464" i="11"/>
  <c r="I463" i="11"/>
  <c r="J463" i="11"/>
  <c r="AC463" i="11"/>
  <c r="X463" i="11"/>
  <c r="V463" i="11"/>
  <c r="R463" i="11"/>
  <c r="O463" i="11"/>
  <c r="N463" i="11"/>
  <c r="K463" i="11"/>
  <c r="J462" i="11"/>
  <c r="I462" i="11"/>
  <c r="AC462" i="11"/>
  <c r="X462" i="11"/>
  <c r="V462" i="11"/>
  <c r="R462" i="11"/>
  <c r="O462" i="11"/>
  <c r="N462" i="11"/>
  <c r="K462" i="11"/>
  <c r="I461" i="11"/>
  <c r="AC461" i="11"/>
  <c r="X461" i="11"/>
  <c r="V461" i="11"/>
  <c r="J461" i="11"/>
  <c r="R461" i="11"/>
  <c r="O461" i="11"/>
  <c r="N461" i="11"/>
  <c r="K461" i="11"/>
  <c r="J460" i="11"/>
  <c r="AC460" i="11"/>
  <c r="I460" i="11"/>
  <c r="AE460" i="11" s="1"/>
  <c r="X460" i="11"/>
  <c r="V460" i="11"/>
  <c r="R460" i="11"/>
  <c r="O460" i="11"/>
  <c r="N460" i="11"/>
  <c r="K460" i="11"/>
  <c r="L460" i="11" s="1"/>
  <c r="J459" i="11"/>
  <c r="AC459" i="11"/>
  <c r="K459" i="11"/>
  <c r="O459" i="11"/>
  <c r="N459" i="11"/>
  <c r="I459" i="11"/>
  <c r="J458" i="11"/>
  <c r="I458" i="11"/>
  <c r="AC458" i="11"/>
  <c r="X458" i="11"/>
  <c r="V458" i="11"/>
  <c r="R458" i="11"/>
  <c r="O458" i="11"/>
  <c r="N458" i="11"/>
  <c r="K458" i="11"/>
  <c r="J457" i="11"/>
  <c r="I457" i="11"/>
  <c r="AC457" i="11"/>
  <c r="X457" i="11"/>
  <c r="V457" i="11"/>
  <c r="R457" i="11"/>
  <c r="O457" i="11"/>
  <c r="N457" i="11"/>
  <c r="K457" i="11"/>
  <c r="J456" i="11"/>
  <c r="AC456" i="11"/>
  <c r="I456" i="11"/>
  <c r="R456" i="11"/>
  <c r="O456" i="11"/>
  <c r="N456" i="11"/>
  <c r="K456" i="11"/>
  <c r="L456" i="11" s="1"/>
  <c r="J455" i="11"/>
  <c r="AC455" i="11"/>
  <c r="I455" i="11"/>
  <c r="AE455" i="11" s="1"/>
  <c r="X455" i="11"/>
  <c r="V455" i="11"/>
  <c r="R455" i="11"/>
  <c r="O455" i="11"/>
  <c r="N455" i="11"/>
  <c r="K455" i="11"/>
  <c r="L455" i="11" s="1"/>
  <c r="J454" i="11"/>
  <c r="I454" i="11"/>
  <c r="AC454" i="11"/>
  <c r="X454" i="11"/>
  <c r="V454" i="11"/>
  <c r="R454" i="11"/>
  <c r="O454" i="11"/>
  <c r="N454" i="11"/>
  <c r="K454" i="11"/>
  <c r="J453" i="11"/>
  <c r="K453" i="11"/>
  <c r="AC453" i="11"/>
  <c r="O453" i="11"/>
  <c r="N453" i="11"/>
  <c r="I453" i="11"/>
  <c r="I452" i="11"/>
  <c r="J452" i="11"/>
  <c r="AC452" i="11"/>
  <c r="X452" i="11"/>
  <c r="V452" i="11"/>
  <c r="R452" i="11"/>
  <c r="O452" i="11"/>
  <c r="N452" i="11"/>
  <c r="K452" i="11"/>
  <c r="I451" i="11"/>
  <c r="AC451" i="11"/>
  <c r="X451" i="11"/>
  <c r="V451" i="11"/>
  <c r="R451" i="11"/>
  <c r="K451" i="11"/>
  <c r="J451" i="11"/>
  <c r="I450" i="11"/>
  <c r="AC450" i="11"/>
  <c r="X450" i="11"/>
  <c r="V450" i="11"/>
  <c r="J450" i="11"/>
  <c r="R450" i="11"/>
  <c r="O450" i="11"/>
  <c r="N450" i="11"/>
  <c r="K450" i="11"/>
  <c r="J449" i="11"/>
  <c r="I449" i="11"/>
  <c r="AE449" i="11" s="1"/>
  <c r="AC449" i="11"/>
  <c r="X449" i="11"/>
  <c r="V449" i="11"/>
  <c r="R449" i="11"/>
  <c r="O449" i="11"/>
  <c r="N449" i="11"/>
  <c r="K449" i="11"/>
  <c r="L449" i="11" s="1"/>
  <c r="J448" i="11"/>
  <c r="AC448" i="11"/>
  <c r="K448" i="11"/>
  <c r="O448" i="11"/>
  <c r="N448" i="11"/>
  <c r="I448" i="11"/>
  <c r="J447" i="11"/>
  <c r="I447" i="11"/>
  <c r="AC447" i="11"/>
  <c r="X447" i="11"/>
  <c r="V447" i="11"/>
  <c r="R447" i="11"/>
  <c r="O447" i="11"/>
  <c r="N447" i="11"/>
  <c r="K447" i="11"/>
  <c r="I446" i="11"/>
  <c r="J446" i="11"/>
  <c r="AC446" i="11"/>
  <c r="X446" i="11"/>
  <c r="V446" i="11"/>
  <c r="R446" i="11"/>
  <c r="O446" i="11"/>
  <c r="N446" i="11"/>
  <c r="K446" i="11"/>
  <c r="I445" i="11"/>
  <c r="AC445" i="11"/>
  <c r="X445" i="11"/>
  <c r="V445" i="11"/>
  <c r="J445" i="11"/>
  <c r="R445" i="11"/>
  <c r="O445" i="11"/>
  <c r="N445" i="11"/>
  <c r="K445" i="11"/>
  <c r="J444" i="11"/>
  <c r="I444" i="11"/>
  <c r="AC444" i="11"/>
  <c r="X444" i="11"/>
  <c r="V444" i="11"/>
  <c r="R444" i="11"/>
  <c r="O444" i="11"/>
  <c r="N444" i="11"/>
  <c r="K444" i="11"/>
  <c r="J443" i="11"/>
  <c r="K443" i="11"/>
  <c r="AC443" i="11"/>
  <c r="O443" i="11"/>
  <c r="N443" i="11"/>
  <c r="I443" i="11"/>
  <c r="I442" i="11"/>
  <c r="J442" i="11"/>
  <c r="AC442" i="11"/>
  <c r="X442" i="11"/>
  <c r="V442" i="11"/>
  <c r="R442" i="11"/>
  <c r="O442" i="11"/>
  <c r="N442" i="11"/>
  <c r="K442" i="11"/>
  <c r="I441" i="11"/>
  <c r="J441" i="11"/>
  <c r="AC441" i="11"/>
  <c r="X441" i="11"/>
  <c r="V441" i="11"/>
  <c r="R441" i="11"/>
  <c r="O441" i="11"/>
  <c r="N441" i="11"/>
  <c r="K441" i="11"/>
  <c r="I440" i="11"/>
  <c r="AC440" i="11"/>
  <c r="X440" i="11"/>
  <c r="V440" i="11"/>
  <c r="J440" i="11"/>
  <c r="R440" i="11"/>
  <c r="O440" i="11"/>
  <c r="N440" i="11"/>
  <c r="K440" i="11"/>
  <c r="J439" i="11"/>
  <c r="I439" i="11"/>
  <c r="AE439" i="11" s="1"/>
  <c r="AC439" i="11"/>
  <c r="X439" i="11"/>
  <c r="V439" i="11"/>
  <c r="R439" i="11"/>
  <c r="O439" i="11"/>
  <c r="N439" i="11"/>
  <c r="K439" i="11"/>
  <c r="L439" i="11" s="1"/>
  <c r="J438" i="11"/>
  <c r="AC438" i="11"/>
  <c r="K438" i="11"/>
  <c r="O438" i="11"/>
  <c r="N438" i="11"/>
  <c r="I438" i="11"/>
  <c r="J437" i="11"/>
  <c r="I437" i="11"/>
  <c r="AC437" i="11"/>
  <c r="X437" i="11"/>
  <c r="V437" i="11"/>
  <c r="R437" i="11"/>
  <c r="O437" i="11"/>
  <c r="N437" i="11"/>
  <c r="K437" i="11"/>
  <c r="J436" i="11"/>
  <c r="I436" i="11"/>
  <c r="AC436" i="11"/>
  <c r="X436" i="11"/>
  <c r="V436" i="11"/>
  <c r="R436" i="11"/>
  <c r="O436" i="11"/>
  <c r="N436" i="11"/>
  <c r="K436" i="11"/>
  <c r="I435" i="11"/>
  <c r="AC435" i="11"/>
  <c r="X435" i="11"/>
  <c r="V435" i="11"/>
  <c r="J435" i="11"/>
  <c r="R435" i="11"/>
  <c r="O435" i="11"/>
  <c r="N435" i="11"/>
  <c r="K435" i="11"/>
  <c r="J434" i="11"/>
  <c r="I434" i="11"/>
  <c r="AC434" i="11"/>
  <c r="X434" i="11"/>
  <c r="V434" i="11"/>
  <c r="R434" i="11"/>
  <c r="O434" i="11"/>
  <c r="N434" i="11"/>
  <c r="K434" i="11"/>
  <c r="J433" i="11"/>
  <c r="K433" i="11"/>
  <c r="AC433" i="11"/>
  <c r="O433" i="11"/>
  <c r="N433" i="11"/>
  <c r="I433" i="11"/>
  <c r="J432" i="11"/>
  <c r="I432" i="11"/>
  <c r="AC432" i="11"/>
  <c r="X432" i="11"/>
  <c r="V432" i="11"/>
  <c r="R432" i="11"/>
  <c r="O432" i="11"/>
  <c r="N432" i="11"/>
  <c r="K432" i="11"/>
  <c r="J431" i="11"/>
  <c r="I431" i="11"/>
  <c r="AC431" i="11"/>
  <c r="X431" i="11"/>
  <c r="V431" i="11"/>
  <c r="R431" i="11"/>
  <c r="O431" i="11"/>
  <c r="N431" i="11"/>
  <c r="K431" i="11"/>
  <c r="I430" i="11"/>
  <c r="AC430" i="11"/>
  <c r="X430" i="11"/>
  <c r="V430" i="11"/>
  <c r="J430" i="11"/>
  <c r="R430" i="11"/>
  <c r="O430" i="11"/>
  <c r="N430" i="11"/>
  <c r="K430" i="11"/>
  <c r="J429" i="11"/>
  <c r="I429" i="11"/>
  <c r="AE429" i="11" s="1"/>
  <c r="AC429" i="11"/>
  <c r="X429" i="11"/>
  <c r="V429" i="11"/>
  <c r="R429" i="11"/>
  <c r="O429" i="11"/>
  <c r="N429" i="11"/>
  <c r="K429" i="11"/>
  <c r="L429" i="11" s="1"/>
  <c r="J428" i="11"/>
  <c r="AC428" i="11"/>
  <c r="K428" i="11"/>
  <c r="O428" i="11"/>
  <c r="N428" i="11"/>
  <c r="I428" i="11"/>
  <c r="J427" i="11"/>
  <c r="I427" i="11"/>
  <c r="AC427" i="11"/>
  <c r="X427" i="11"/>
  <c r="V427" i="11"/>
  <c r="R427" i="11"/>
  <c r="O427" i="11"/>
  <c r="N427" i="11"/>
  <c r="K427" i="11"/>
  <c r="I426" i="11"/>
  <c r="J426" i="11"/>
  <c r="AC426" i="11"/>
  <c r="X426" i="11"/>
  <c r="V426" i="11"/>
  <c r="R426" i="11"/>
  <c r="O426" i="11"/>
  <c r="N426" i="11"/>
  <c r="K426" i="11"/>
  <c r="I425" i="11"/>
  <c r="AC425" i="11"/>
  <c r="X425" i="11"/>
  <c r="V425" i="11"/>
  <c r="J425" i="11"/>
  <c r="R425" i="11"/>
  <c r="O425" i="11"/>
  <c r="N425" i="11"/>
  <c r="K425" i="11"/>
  <c r="J424" i="11"/>
  <c r="I424" i="11"/>
  <c r="AC424" i="11"/>
  <c r="X424" i="11"/>
  <c r="V424" i="11"/>
  <c r="R424" i="11"/>
  <c r="O424" i="11"/>
  <c r="N424" i="11"/>
  <c r="K424" i="11"/>
  <c r="J423" i="11"/>
  <c r="K423" i="11"/>
  <c r="AC423" i="11"/>
  <c r="O423" i="11"/>
  <c r="N423" i="11"/>
  <c r="I423" i="11"/>
  <c r="I422" i="11"/>
  <c r="J422" i="11"/>
  <c r="AC422" i="11"/>
  <c r="X422" i="11"/>
  <c r="V422" i="11"/>
  <c r="R422" i="11"/>
  <c r="O422" i="11"/>
  <c r="N422" i="11"/>
  <c r="K422" i="11"/>
  <c r="J421" i="11"/>
  <c r="I421" i="11"/>
  <c r="AC421" i="11"/>
  <c r="X421" i="11"/>
  <c r="V421" i="11"/>
  <c r="R421" i="11"/>
  <c r="O421" i="11"/>
  <c r="N421" i="11"/>
  <c r="K421" i="11"/>
  <c r="I420" i="11"/>
  <c r="AC420" i="11"/>
  <c r="X420" i="11"/>
  <c r="V420" i="11"/>
  <c r="J420" i="11"/>
  <c r="R420" i="11"/>
  <c r="O420" i="11"/>
  <c r="N420" i="11"/>
  <c r="K420" i="11"/>
  <c r="J419" i="11"/>
  <c r="AC419" i="11"/>
  <c r="I419" i="11"/>
  <c r="AE419" i="11" s="1"/>
  <c r="X419" i="11"/>
  <c r="V419" i="11"/>
  <c r="R419" i="11"/>
  <c r="O419" i="11"/>
  <c r="N419" i="11"/>
  <c r="K419" i="11"/>
  <c r="L419" i="11" s="1"/>
  <c r="J418" i="11"/>
  <c r="AC418" i="11"/>
  <c r="K418" i="11"/>
  <c r="O418" i="11"/>
  <c r="N418" i="11"/>
  <c r="I418" i="11"/>
  <c r="J417" i="11"/>
  <c r="I417" i="11"/>
  <c r="AC417" i="11"/>
  <c r="X417" i="11"/>
  <c r="V417" i="11"/>
  <c r="R417" i="11"/>
  <c r="O417" i="11"/>
  <c r="N417" i="11"/>
  <c r="K417" i="11"/>
  <c r="J416" i="11"/>
  <c r="I416" i="11"/>
  <c r="AC416" i="11"/>
  <c r="X416" i="11"/>
  <c r="V416" i="11"/>
  <c r="R416" i="11"/>
  <c r="O416" i="11"/>
  <c r="N416" i="11"/>
  <c r="K416" i="11"/>
  <c r="J415" i="11"/>
  <c r="AC415" i="11"/>
  <c r="I415" i="11"/>
  <c r="R415" i="11"/>
  <c r="O415" i="11"/>
  <c r="N415" i="11"/>
  <c r="K415" i="11"/>
  <c r="L415" i="11" s="1"/>
  <c r="J414" i="11"/>
  <c r="AC414" i="11"/>
  <c r="I414" i="11"/>
  <c r="AE414" i="11" s="1"/>
  <c r="X414" i="11"/>
  <c r="V414" i="11"/>
  <c r="R414" i="11"/>
  <c r="O414" i="11"/>
  <c r="N414" i="11"/>
  <c r="K414" i="11"/>
  <c r="L414" i="11" s="1"/>
  <c r="J413" i="11"/>
  <c r="I413" i="11"/>
  <c r="AC413" i="11"/>
  <c r="X413" i="11"/>
  <c r="V413" i="11"/>
  <c r="R413" i="11"/>
  <c r="O413" i="11"/>
  <c r="N413" i="11"/>
  <c r="K413" i="11"/>
  <c r="J412" i="11"/>
  <c r="K412" i="11"/>
  <c r="AC412" i="11"/>
  <c r="O412" i="11"/>
  <c r="N412" i="11"/>
  <c r="I412" i="11"/>
  <c r="J411" i="11"/>
  <c r="I411" i="11"/>
  <c r="AC411" i="11"/>
  <c r="X411" i="11"/>
  <c r="V411" i="11"/>
  <c r="R411" i="11"/>
  <c r="O411" i="11"/>
  <c r="N411" i="11"/>
  <c r="K411" i="11"/>
  <c r="J410" i="11"/>
  <c r="I410" i="11"/>
  <c r="AC410" i="11"/>
  <c r="X410" i="11"/>
  <c r="V410" i="11"/>
  <c r="R410" i="11"/>
  <c r="O410" i="11"/>
  <c r="N410" i="11"/>
  <c r="K410" i="11"/>
  <c r="I409" i="11"/>
  <c r="AC409" i="11"/>
  <c r="X409" i="11"/>
  <c r="V409" i="11"/>
  <c r="J409" i="11"/>
  <c r="R409" i="11"/>
  <c r="O409" i="11"/>
  <c r="N409" i="11"/>
  <c r="K409" i="11"/>
  <c r="J408" i="11"/>
  <c r="I408" i="11"/>
  <c r="AE408" i="11" s="1"/>
  <c r="AC408" i="11"/>
  <c r="X408" i="11"/>
  <c r="V408" i="11"/>
  <c r="R408" i="11"/>
  <c r="O408" i="11"/>
  <c r="N408" i="11"/>
  <c r="K408" i="11"/>
  <c r="L408" i="11" s="1"/>
  <c r="J407" i="11"/>
  <c r="AC407" i="11"/>
  <c r="K407" i="11"/>
  <c r="O407" i="11"/>
  <c r="N407" i="11"/>
  <c r="I407" i="11"/>
  <c r="J406" i="11"/>
  <c r="I406" i="11"/>
  <c r="AC406" i="11"/>
  <c r="X406" i="11"/>
  <c r="V406" i="11"/>
  <c r="R406" i="11"/>
  <c r="O406" i="11"/>
  <c r="N406" i="11"/>
  <c r="K406" i="11"/>
  <c r="I405" i="11"/>
  <c r="J405" i="11"/>
  <c r="AC405" i="11"/>
  <c r="X405" i="11"/>
  <c r="V405" i="11"/>
  <c r="R405" i="11"/>
  <c r="O405" i="11"/>
  <c r="N405" i="11"/>
  <c r="K405" i="11"/>
  <c r="I404" i="11"/>
  <c r="AC404" i="11"/>
  <c r="X404" i="11"/>
  <c r="V404" i="11"/>
  <c r="J404" i="11"/>
  <c r="R404" i="11"/>
  <c r="O404" i="11"/>
  <c r="N404" i="11"/>
  <c r="K404" i="11"/>
  <c r="J403" i="11"/>
  <c r="I403" i="11"/>
  <c r="AC403" i="11"/>
  <c r="X403" i="11"/>
  <c r="V403" i="11"/>
  <c r="R403" i="11"/>
  <c r="O403" i="11"/>
  <c r="N403" i="11"/>
  <c r="K403" i="11"/>
  <c r="J402" i="11"/>
  <c r="K402" i="11"/>
  <c r="AC402" i="11"/>
  <c r="O402" i="11"/>
  <c r="N402" i="11"/>
  <c r="I402" i="11"/>
  <c r="I401" i="11"/>
  <c r="J401" i="11"/>
  <c r="AC401" i="11"/>
  <c r="X401" i="11"/>
  <c r="V401" i="11"/>
  <c r="R401" i="11"/>
  <c r="O401" i="11"/>
  <c r="N401" i="11"/>
  <c r="K401" i="11"/>
  <c r="I400" i="11"/>
  <c r="J400" i="11"/>
  <c r="AC400" i="11"/>
  <c r="X400" i="11"/>
  <c r="V400" i="11"/>
  <c r="R400" i="11"/>
  <c r="O400" i="11"/>
  <c r="N400" i="11"/>
  <c r="K400" i="11"/>
  <c r="I399" i="11"/>
  <c r="AE399" i="11" s="1"/>
  <c r="AC399" i="11"/>
  <c r="X399" i="11"/>
  <c r="V399" i="11"/>
  <c r="J399" i="11"/>
  <c r="R399" i="11"/>
  <c r="O399" i="11"/>
  <c r="N399" i="11"/>
  <c r="K399" i="11"/>
  <c r="L399" i="11" s="1"/>
  <c r="J398" i="11"/>
  <c r="I398" i="11"/>
  <c r="AE398" i="11" s="1"/>
  <c r="AC398" i="11"/>
  <c r="X398" i="11"/>
  <c r="V398" i="11"/>
  <c r="R398" i="11"/>
  <c r="O398" i="11"/>
  <c r="N398" i="11"/>
  <c r="K398" i="11"/>
  <c r="L398" i="11" s="1"/>
  <c r="J397" i="11"/>
  <c r="AC397" i="11"/>
  <c r="K397" i="11"/>
  <c r="O397" i="11"/>
  <c r="N397" i="11"/>
  <c r="I397" i="11"/>
  <c r="J396" i="11"/>
  <c r="I396" i="11"/>
  <c r="AC396" i="11"/>
  <c r="X396" i="11"/>
  <c r="V396" i="11"/>
  <c r="R396" i="11"/>
  <c r="O396" i="11"/>
  <c r="N396" i="11"/>
  <c r="K396" i="11"/>
  <c r="J395" i="11"/>
  <c r="I395" i="11"/>
  <c r="AC395" i="11"/>
  <c r="X395" i="11"/>
  <c r="V395" i="11"/>
  <c r="R395" i="11"/>
  <c r="O395" i="11"/>
  <c r="N395" i="11"/>
  <c r="K395" i="11"/>
  <c r="I394" i="11"/>
  <c r="AC394" i="11"/>
  <c r="X394" i="11"/>
  <c r="V394" i="11"/>
  <c r="J394" i="11"/>
  <c r="R394" i="11"/>
  <c r="O394" i="11"/>
  <c r="N394" i="11"/>
  <c r="K394" i="11"/>
  <c r="J393" i="11"/>
  <c r="I393" i="11"/>
  <c r="AC393" i="11"/>
  <c r="X393" i="11"/>
  <c r="V393" i="11"/>
  <c r="R393" i="11"/>
  <c r="O393" i="11"/>
  <c r="N393" i="11"/>
  <c r="K393" i="11"/>
  <c r="J392" i="11"/>
  <c r="K392" i="11"/>
  <c r="AC392" i="11"/>
  <c r="O392" i="11"/>
  <c r="N392" i="11"/>
  <c r="I392" i="11"/>
  <c r="J391" i="11"/>
  <c r="I391" i="11"/>
  <c r="AC391" i="11"/>
  <c r="X391" i="11"/>
  <c r="V391" i="11"/>
  <c r="R391" i="11"/>
  <c r="O391" i="11"/>
  <c r="N391" i="11"/>
  <c r="K391" i="11"/>
  <c r="J390" i="11"/>
  <c r="I390" i="11"/>
  <c r="AC390" i="11"/>
  <c r="X390" i="11"/>
  <c r="V390" i="11"/>
  <c r="R390" i="11"/>
  <c r="O390" i="11"/>
  <c r="N390" i="11"/>
  <c r="K390" i="11"/>
  <c r="AC389" i="11"/>
  <c r="I389" i="11"/>
  <c r="AE389" i="11" s="1"/>
  <c r="X389" i="11"/>
  <c r="V389" i="11"/>
  <c r="J389" i="11"/>
  <c r="R389" i="11"/>
  <c r="O389" i="11"/>
  <c r="N389" i="11"/>
  <c r="K389" i="11"/>
  <c r="L389" i="11" s="1"/>
  <c r="J388" i="11"/>
  <c r="I388" i="11"/>
  <c r="AE388" i="11" s="1"/>
  <c r="AC388" i="11"/>
  <c r="X388" i="11"/>
  <c r="V388" i="11"/>
  <c r="R388" i="11"/>
  <c r="O388" i="11"/>
  <c r="N388" i="11"/>
  <c r="K388" i="11"/>
  <c r="L388" i="11" s="1"/>
  <c r="J387" i="11"/>
  <c r="AC387" i="11"/>
  <c r="K387" i="11"/>
  <c r="O387" i="11"/>
  <c r="N387" i="11"/>
  <c r="I387" i="11"/>
  <c r="J386" i="11"/>
  <c r="I386" i="11"/>
  <c r="AC386" i="11"/>
  <c r="X386" i="11"/>
  <c r="V386" i="11"/>
  <c r="R386" i="11"/>
  <c r="O386" i="11"/>
  <c r="N386" i="11"/>
  <c r="K386" i="11"/>
  <c r="I385" i="11"/>
  <c r="J385" i="11"/>
  <c r="AC385" i="11"/>
  <c r="X385" i="11"/>
  <c r="V385" i="11"/>
  <c r="R385" i="11"/>
  <c r="O385" i="11"/>
  <c r="N385" i="11"/>
  <c r="K385" i="11"/>
  <c r="I384" i="11"/>
  <c r="AC384" i="11"/>
  <c r="X384" i="11"/>
  <c r="V384" i="11"/>
  <c r="J384" i="11"/>
  <c r="R384" i="11"/>
  <c r="O384" i="11"/>
  <c r="N384" i="11"/>
  <c r="K384" i="11"/>
  <c r="J383" i="11"/>
  <c r="I383" i="11"/>
  <c r="AC383" i="11"/>
  <c r="X383" i="11"/>
  <c r="V383" i="11"/>
  <c r="R383" i="11"/>
  <c r="O383" i="11"/>
  <c r="N383" i="11"/>
  <c r="K383" i="11"/>
  <c r="J382" i="11"/>
  <c r="K382" i="11"/>
  <c r="AC382" i="11"/>
  <c r="O382" i="11"/>
  <c r="N382" i="11"/>
  <c r="I382" i="11"/>
  <c r="I381" i="11"/>
  <c r="J381" i="11"/>
  <c r="AC381" i="11"/>
  <c r="X381" i="11"/>
  <c r="V381" i="11"/>
  <c r="R381" i="11"/>
  <c r="O381" i="11"/>
  <c r="N381" i="11"/>
  <c r="K381" i="11"/>
  <c r="J380" i="11"/>
  <c r="I380" i="11"/>
  <c r="AC380" i="11"/>
  <c r="X380" i="11"/>
  <c r="V380" i="11"/>
  <c r="R380" i="11"/>
  <c r="O380" i="11"/>
  <c r="N380" i="11"/>
  <c r="K380" i="11"/>
  <c r="I379" i="11"/>
  <c r="AC379" i="11"/>
  <c r="X379" i="11"/>
  <c r="V379" i="11"/>
  <c r="J379" i="11"/>
  <c r="R379" i="11"/>
  <c r="O379" i="11"/>
  <c r="N379" i="11"/>
  <c r="K379" i="11"/>
  <c r="J378" i="11"/>
  <c r="AC378" i="11"/>
  <c r="I378" i="11"/>
  <c r="AE378" i="11" s="1"/>
  <c r="X378" i="11"/>
  <c r="V378" i="11"/>
  <c r="R378" i="11"/>
  <c r="O378" i="11"/>
  <c r="N378" i="11"/>
  <c r="K378" i="11"/>
  <c r="L378" i="11" s="1"/>
  <c r="J377" i="11"/>
  <c r="AC377" i="11"/>
  <c r="K377" i="11"/>
  <c r="O377" i="11"/>
  <c r="N377" i="11"/>
  <c r="I377" i="11"/>
  <c r="J376" i="11"/>
  <c r="I376" i="11"/>
  <c r="AC376" i="11"/>
  <c r="X376" i="11"/>
  <c r="V376" i="11"/>
  <c r="R376" i="11"/>
  <c r="O376" i="11"/>
  <c r="N376" i="11"/>
  <c r="K376" i="11"/>
  <c r="J375" i="11"/>
  <c r="I375" i="11"/>
  <c r="AC375" i="11"/>
  <c r="X375" i="11"/>
  <c r="V375" i="11"/>
  <c r="R375" i="11"/>
  <c r="O375" i="11"/>
  <c r="N375" i="11"/>
  <c r="K375" i="11"/>
  <c r="J374" i="11"/>
  <c r="AC374" i="11"/>
  <c r="I374" i="11"/>
  <c r="R374" i="11"/>
  <c r="O374" i="11"/>
  <c r="N374" i="11"/>
  <c r="K374" i="11"/>
  <c r="L374" i="11" s="1"/>
  <c r="J373" i="11"/>
  <c r="AC373" i="11"/>
  <c r="I373" i="11"/>
  <c r="AE373" i="11" s="1"/>
  <c r="X373" i="11"/>
  <c r="V373" i="11"/>
  <c r="R373" i="11"/>
  <c r="O373" i="11"/>
  <c r="N373" i="11"/>
  <c r="K373" i="11"/>
  <c r="L373" i="11" s="1"/>
  <c r="J372" i="11"/>
  <c r="I372" i="11"/>
  <c r="AC372" i="11"/>
  <c r="X372" i="11"/>
  <c r="V372" i="11"/>
  <c r="R372" i="11"/>
  <c r="O372" i="11"/>
  <c r="N372" i="11"/>
  <c r="K372" i="11"/>
  <c r="J371" i="11"/>
  <c r="K371" i="11"/>
  <c r="AC371" i="11"/>
  <c r="O371" i="11"/>
  <c r="N371" i="11"/>
  <c r="I371" i="11"/>
  <c r="I370" i="11"/>
  <c r="J370" i="11"/>
  <c r="AC370" i="11"/>
  <c r="X370" i="11"/>
  <c r="V370" i="11"/>
  <c r="R370" i="11"/>
  <c r="O370" i="11"/>
  <c r="N370" i="11"/>
  <c r="K370" i="11"/>
  <c r="J369" i="11"/>
  <c r="I369" i="11"/>
  <c r="AC369" i="11"/>
  <c r="X369" i="11"/>
  <c r="V369" i="11"/>
  <c r="R369" i="11"/>
  <c r="O369" i="11"/>
  <c r="N369" i="11"/>
  <c r="K369" i="11"/>
  <c r="I368" i="11"/>
  <c r="AC368" i="11"/>
  <c r="X368" i="11"/>
  <c r="V368" i="11"/>
  <c r="J368" i="11"/>
  <c r="R368" i="11"/>
  <c r="O368" i="11"/>
  <c r="N368" i="11"/>
  <c r="K368" i="11"/>
  <c r="J367" i="11"/>
  <c r="I367" i="11"/>
  <c r="AE367" i="11" s="1"/>
  <c r="AC367" i="11"/>
  <c r="X367" i="11"/>
  <c r="V367" i="11"/>
  <c r="R367" i="11"/>
  <c r="O367" i="11"/>
  <c r="N367" i="11"/>
  <c r="K367" i="11"/>
  <c r="L367" i="11" s="1"/>
  <c r="J366" i="11"/>
  <c r="AC366" i="11"/>
  <c r="K366" i="11"/>
  <c r="O366" i="11"/>
  <c r="N366" i="11"/>
  <c r="I366" i="11"/>
  <c r="J365" i="11"/>
  <c r="I365" i="11"/>
  <c r="AC365" i="11"/>
  <c r="X365" i="11"/>
  <c r="V365" i="11"/>
  <c r="R365" i="11"/>
  <c r="O365" i="11"/>
  <c r="N365" i="11"/>
  <c r="K365" i="11"/>
  <c r="I364" i="11"/>
  <c r="J364" i="11"/>
  <c r="AC364" i="11"/>
  <c r="X364" i="11"/>
  <c r="V364" i="11"/>
  <c r="R364" i="11"/>
  <c r="O364" i="11"/>
  <c r="N364" i="11"/>
  <c r="K364" i="11"/>
  <c r="I363" i="11"/>
  <c r="AC363" i="11"/>
  <c r="X363" i="11"/>
  <c r="V363" i="11"/>
  <c r="J363" i="11"/>
  <c r="R363" i="11"/>
  <c r="O363" i="11"/>
  <c r="N363" i="11"/>
  <c r="K363" i="11"/>
  <c r="J362" i="11"/>
  <c r="I362" i="11"/>
  <c r="AC362" i="11"/>
  <c r="X362" i="11"/>
  <c r="V362" i="11"/>
  <c r="R362" i="11"/>
  <c r="O362" i="11"/>
  <c r="N362" i="11"/>
  <c r="K362" i="11"/>
  <c r="J361" i="11"/>
  <c r="K361" i="11"/>
  <c r="AC361" i="11"/>
  <c r="O361" i="11"/>
  <c r="N361" i="11"/>
  <c r="I361" i="11"/>
  <c r="I360" i="11"/>
  <c r="J360" i="11"/>
  <c r="AC360" i="11"/>
  <c r="X360" i="11"/>
  <c r="V360" i="11"/>
  <c r="R360" i="11"/>
  <c r="O360" i="11"/>
  <c r="N360" i="11"/>
  <c r="K360" i="11"/>
  <c r="I359" i="11"/>
  <c r="J359" i="11"/>
  <c r="AC359" i="11"/>
  <c r="X359" i="11"/>
  <c r="V359" i="11"/>
  <c r="R359" i="11"/>
  <c r="O359" i="11"/>
  <c r="N359" i="11"/>
  <c r="K359" i="11"/>
  <c r="I358" i="11"/>
  <c r="AC358" i="11"/>
  <c r="X358" i="11"/>
  <c r="V358" i="11"/>
  <c r="J358" i="11"/>
  <c r="R358" i="11"/>
  <c r="O358" i="11"/>
  <c r="N358" i="11"/>
  <c r="K358" i="11"/>
  <c r="J357" i="11"/>
  <c r="I357" i="11"/>
  <c r="AE357" i="11" s="1"/>
  <c r="AC357" i="11"/>
  <c r="X357" i="11"/>
  <c r="V357" i="11"/>
  <c r="R357" i="11"/>
  <c r="O357" i="11"/>
  <c r="N357" i="11"/>
  <c r="K357" i="11"/>
  <c r="L357" i="11" s="1"/>
  <c r="J356" i="11"/>
  <c r="AC356" i="11"/>
  <c r="K356" i="11"/>
  <c r="O356" i="11"/>
  <c r="N356" i="11"/>
  <c r="I356" i="11"/>
  <c r="J355" i="11"/>
  <c r="I355" i="11"/>
  <c r="AC355" i="11"/>
  <c r="X355" i="11"/>
  <c r="V355" i="11"/>
  <c r="R355" i="11"/>
  <c r="O355" i="11"/>
  <c r="N355" i="11"/>
  <c r="K355" i="11"/>
  <c r="J354" i="11"/>
  <c r="I354" i="11"/>
  <c r="AC354" i="11"/>
  <c r="X354" i="11"/>
  <c r="V354" i="11"/>
  <c r="R354" i="11"/>
  <c r="O354" i="11"/>
  <c r="N354" i="11"/>
  <c r="K354" i="11"/>
  <c r="I353" i="11"/>
  <c r="AC353" i="11"/>
  <c r="X353" i="11"/>
  <c r="V353" i="11"/>
  <c r="J353" i="11"/>
  <c r="R353" i="11"/>
  <c r="O353" i="11"/>
  <c r="N353" i="11"/>
  <c r="K353" i="11"/>
  <c r="J352" i="11"/>
  <c r="I352" i="11"/>
  <c r="AC352" i="11"/>
  <c r="X352" i="11"/>
  <c r="V352" i="11"/>
  <c r="R352" i="11"/>
  <c r="O352" i="11"/>
  <c r="N352" i="11"/>
  <c r="K352" i="11"/>
  <c r="J351" i="11"/>
  <c r="K351" i="11"/>
  <c r="AC351" i="11"/>
  <c r="O351" i="11"/>
  <c r="N351" i="11"/>
  <c r="I351" i="11"/>
  <c r="J350" i="11"/>
  <c r="I350" i="11"/>
  <c r="AC350" i="11"/>
  <c r="X350" i="11"/>
  <c r="V350" i="11"/>
  <c r="R350" i="11"/>
  <c r="O350" i="11"/>
  <c r="N350" i="11"/>
  <c r="K350" i="11"/>
  <c r="J349" i="11"/>
  <c r="I349" i="11"/>
  <c r="AC349" i="11"/>
  <c r="X349" i="11"/>
  <c r="V349" i="11"/>
  <c r="R349" i="11"/>
  <c r="O349" i="11"/>
  <c r="N349" i="11"/>
  <c r="K349" i="11"/>
  <c r="I348" i="11"/>
  <c r="AC348" i="11"/>
  <c r="X348" i="11"/>
  <c r="V348" i="11"/>
  <c r="J348" i="11"/>
  <c r="R348" i="11"/>
  <c r="O348" i="11"/>
  <c r="N348" i="11"/>
  <c r="K348" i="11"/>
  <c r="J347" i="11"/>
  <c r="I347" i="11"/>
  <c r="AE347" i="11" s="1"/>
  <c r="AC347" i="11"/>
  <c r="X347" i="11"/>
  <c r="V347" i="11"/>
  <c r="R347" i="11"/>
  <c r="O347" i="11"/>
  <c r="N347" i="11"/>
  <c r="K347" i="11"/>
  <c r="L347" i="11" s="1"/>
  <c r="J346" i="11"/>
  <c r="AC346" i="11"/>
  <c r="K346" i="11"/>
  <c r="O346" i="11"/>
  <c r="N346" i="11"/>
  <c r="I346" i="11"/>
  <c r="J345" i="11"/>
  <c r="I345" i="11"/>
  <c r="AC345" i="11"/>
  <c r="X345" i="11"/>
  <c r="V345" i="11"/>
  <c r="R345" i="11"/>
  <c r="O345" i="11"/>
  <c r="N345" i="11"/>
  <c r="K345" i="11"/>
  <c r="I344" i="11"/>
  <c r="J344" i="11"/>
  <c r="AC344" i="11"/>
  <c r="X344" i="11"/>
  <c r="V344" i="11"/>
  <c r="R344" i="11"/>
  <c r="O344" i="11"/>
  <c r="N344" i="11"/>
  <c r="K344" i="11"/>
  <c r="I343" i="11"/>
  <c r="AC343" i="11"/>
  <c r="X343" i="11"/>
  <c r="V343" i="11"/>
  <c r="J343" i="11"/>
  <c r="R343" i="11"/>
  <c r="O343" i="11"/>
  <c r="N343" i="11"/>
  <c r="K343" i="11"/>
  <c r="J342" i="11"/>
  <c r="I342" i="11"/>
  <c r="AC342" i="11"/>
  <c r="X342" i="11"/>
  <c r="V342" i="11"/>
  <c r="R342" i="11"/>
  <c r="O342" i="11"/>
  <c r="N342" i="11"/>
  <c r="K342" i="11"/>
  <c r="J341" i="11"/>
  <c r="K341" i="11"/>
  <c r="AC341" i="11"/>
  <c r="O341" i="11"/>
  <c r="N341" i="11"/>
  <c r="I341" i="11"/>
  <c r="I340" i="11"/>
  <c r="J340" i="11"/>
  <c r="AC340" i="11"/>
  <c r="X340" i="11"/>
  <c r="V340" i="11"/>
  <c r="R340" i="11"/>
  <c r="O340" i="11"/>
  <c r="N340" i="11"/>
  <c r="K340" i="11"/>
  <c r="J339" i="11"/>
  <c r="I339" i="11"/>
  <c r="AC339" i="11"/>
  <c r="X339" i="11"/>
  <c r="V339" i="11"/>
  <c r="R339" i="11"/>
  <c r="O339" i="11"/>
  <c r="N339" i="11"/>
  <c r="K339" i="11"/>
  <c r="I338" i="11"/>
  <c r="AC338" i="11"/>
  <c r="X338" i="11"/>
  <c r="V338" i="11"/>
  <c r="J338" i="11"/>
  <c r="R338" i="11"/>
  <c r="O338" i="11"/>
  <c r="N338" i="11"/>
  <c r="K338" i="11"/>
  <c r="J337" i="11"/>
  <c r="AC337" i="11"/>
  <c r="I337" i="11"/>
  <c r="AE337" i="11" s="1"/>
  <c r="X337" i="11"/>
  <c r="V337" i="11"/>
  <c r="R337" i="11"/>
  <c r="O337" i="11"/>
  <c r="N337" i="11"/>
  <c r="K337" i="11"/>
  <c r="L337" i="11" s="1"/>
  <c r="J336" i="11"/>
  <c r="AC336" i="11"/>
  <c r="K336" i="11"/>
  <c r="O336" i="11"/>
  <c r="N336" i="11"/>
  <c r="I336" i="11"/>
  <c r="J335" i="11"/>
  <c r="I335" i="11"/>
  <c r="AC335" i="11"/>
  <c r="X335" i="11"/>
  <c r="V335" i="11"/>
  <c r="R335" i="11"/>
  <c r="O335" i="11"/>
  <c r="N335" i="11"/>
  <c r="K335" i="11"/>
  <c r="J334" i="11"/>
  <c r="I334" i="11"/>
  <c r="AC334" i="11"/>
  <c r="X334" i="11"/>
  <c r="V334" i="11"/>
  <c r="R334" i="11"/>
  <c r="O334" i="11"/>
  <c r="N334" i="11"/>
  <c r="K334" i="11"/>
  <c r="J333" i="11"/>
  <c r="AC333" i="11"/>
  <c r="I333" i="11"/>
  <c r="R333" i="11"/>
  <c r="O333" i="11"/>
  <c r="N333" i="11"/>
  <c r="K333" i="11"/>
  <c r="L333" i="11" s="1"/>
  <c r="J332" i="11"/>
  <c r="AC332" i="11"/>
  <c r="I332" i="11"/>
  <c r="AE332" i="11" s="1"/>
  <c r="X332" i="11"/>
  <c r="V332" i="11"/>
  <c r="R332" i="11"/>
  <c r="O332" i="11"/>
  <c r="N332" i="11"/>
  <c r="K332" i="11"/>
  <c r="L332" i="11" s="1"/>
  <c r="J331" i="11"/>
  <c r="I331" i="11"/>
  <c r="AC331" i="11"/>
  <c r="X331" i="11"/>
  <c r="V331" i="11"/>
  <c r="R331" i="11"/>
  <c r="O331" i="11"/>
  <c r="N331" i="11"/>
  <c r="K331" i="11"/>
  <c r="J330" i="11"/>
  <c r="K330" i="11"/>
  <c r="AC330" i="11"/>
  <c r="O330" i="11"/>
  <c r="N330" i="11"/>
  <c r="I330" i="11"/>
  <c r="J329" i="11"/>
  <c r="I329" i="11"/>
  <c r="AC329" i="11"/>
  <c r="X329" i="11"/>
  <c r="V329" i="11"/>
  <c r="R329" i="11"/>
  <c r="O329" i="11"/>
  <c r="N329" i="11"/>
  <c r="K329" i="11"/>
  <c r="J328" i="11"/>
  <c r="I328" i="11"/>
  <c r="AC328" i="11"/>
  <c r="X328" i="11"/>
  <c r="V328" i="11"/>
  <c r="R328" i="11"/>
  <c r="O328" i="11"/>
  <c r="N328" i="11"/>
  <c r="K328" i="11"/>
  <c r="I327" i="11"/>
  <c r="AC327" i="11"/>
  <c r="X327" i="11"/>
  <c r="V327" i="11"/>
  <c r="J327" i="11"/>
  <c r="R327" i="11"/>
  <c r="O327" i="11"/>
  <c r="N327" i="11"/>
  <c r="K327" i="11"/>
  <c r="J326" i="11"/>
  <c r="I326" i="11"/>
  <c r="AE326" i="11" s="1"/>
  <c r="AC326" i="11"/>
  <c r="X326" i="11"/>
  <c r="V326" i="11"/>
  <c r="R326" i="11"/>
  <c r="O326" i="11"/>
  <c r="N326" i="11"/>
  <c r="K326" i="11"/>
  <c r="L326" i="11" s="1"/>
  <c r="J325" i="11"/>
  <c r="AC325" i="11"/>
  <c r="K325" i="11"/>
  <c r="O325" i="11"/>
  <c r="N325" i="11"/>
  <c r="I325" i="11"/>
  <c r="J324" i="11"/>
  <c r="I324" i="11"/>
  <c r="AC324" i="11"/>
  <c r="X324" i="11"/>
  <c r="V324" i="11"/>
  <c r="R324" i="11"/>
  <c r="O324" i="11"/>
  <c r="N324" i="11"/>
  <c r="K324" i="11"/>
  <c r="I323" i="11"/>
  <c r="AC323" i="11"/>
  <c r="X323" i="11"/>
  <c r="V323" i="11"/>
  <c r="R323" i="11"/>
  <c r="K323" i="11"/>
  <c r="J323" i="11"/>
  <c r="I322" i="11"/>
  <c r="AC322" i="11"/>
  <c r="X322" i="11"/>
  <c r="V322" i="11"/>
  <c r="J322" i="11"/>
  <c r="R322" i="11"/>
  <c r="O322" i="11"/>
  <c r="N322" i="11"/>
  <c r="K322" i="11"/>
  <c r="J321" i="11"/>
  <c r="I321" i="11"/>
  <c r="AC321" i="11"/>
  <c r="X321" i="11"/>
  <c r="V321" i="11"/>
  <c r="R321" i="11"/>
  <c r="O321" i="11"/>
  <c r="N321" i="11"/>
  <c r="K321" i="11"/>
  <c r="J320" i="11"/>
  <c r="K320" i="11"/>
  <c r="AC320" i="11"/>
  <c r="O320" i="11"/>
  <c r="N320" i="11"/>
  <c r="I320" i="11"/>
  <c r="I319" i="11"/>
  <c r="J319" i="11"/>
  <c r="AC319" i="11"/>
  <c r="X319" i="11"/>
  <c r="V319" i="11"/>
  <c r="R319" i="11"/>
  <c r="O319" i="11"/>
  <c r="N319" i="11"/>
  <c r="K319" i="11"/>
  <c r="I318" i="11"/>
  <c r="J318" i="11"/>
  <c r="AC318" i="11"/>
  <c r="X318" i="11"/>
  <c r="V318" i="11"/>
  <c r="R318" i="11"/>
  <c r="O318" i="11"/>
  <c r="N318" i="11"/>
  <c r="K318" i="11"/>
  <c r="I317" i="11"/>
  <c r="AC317" i="11"/>
  <c r="X317" i="11"/>
  <c r="V317" i="11"/>
  <c r="J317" i="11"/>
  <c r="R317" i="11"/>
  <c r="O317" i="11"/>
  <c r="N317" i="11"/>
  <c r="K317" i="11"/>
  <c r="J316" i="11"/>
  <c r="I316" i="11"/>
  <c r="AE316" i="11" s="1"/>
  <c r="AC316" i="11"/>
  <c r="X316" i="11"/>
  <c r="V316" i="11"/>
  <c r="R316" i="11"/>
  <c r="O316" i="11"/>
  <c r="N316" i="11"/>
  <c r="K316" i="11"/>
  <c r="L316" i="11" s="1"/>
  <c r="J315" i="11"/>
  <c r="AC315" i="11"/>
  <c r="K315" i="11"/>
  <c r="O315" i="11"/>
  <c r="N315" i="11"/>
  <c r="I315" i="11"/>
  <c r="J314" i="11"/>
  <c r="I314" i="11"/>
  <c r="AC314" i="11"/>
  <c r="X314" i="11"/>
  <c r="V314" i="11"/>
  <c r="R314" i="11"/>
  <c r="O314" i="11"/>
  <c r="N314" i="11"/>
  <c r="K314" i="11"/>
  <c r="J313" i="11"/>
  <c r="I313" i="11"/>
  <c r="AC313" i="11"/>
  <c r="X313" i="11"/>
  <c r="V313" i="11"/>
  <c r="R313" i="11"/>
  <c r="O313" i="11"/>
  <c r="N313" i="11"/>
  <c r="K313" i="11"/>
  <c r="I312" i="11"/>
  <c r="AC312" i="11"/>
  <c r="X312" i="11"/>
  <c r="V312" i="11"/>
  <c r="J312" i="11"/>
  <c r="R312" i="11"/>
  <c r="O312" i="11"/>
  <c r="N312" i="11"/>
  <c r="K312" i="11"/>
  <c r="J311" i="11"/>
  <c r="I311" i="11"/>
  <c r="AC311" i="11"/>
  <c r="X311" i="11"/>
  <c r="V311" i="11"/>
  <c r="R311" i="11"/>
  <c r="O311" i="11"/>
  <c r="N311" i="11"/>
  <c r="K311" i="11"/>
  <c r="J310" i="11"/>
  <c r="K310" i="11"/>
  <c r="AC310" i="11"/>
  <c r="O310" i="11"/>
  <c r="N310" i="11"/>
  <c r="I310" i="11"/>
  <c r="J309" i="11"/>
  <c r="I309" i="11"/>
  <c r="AC309" i="11"/>
  <c r="X309" i="11"/>
  <c r="V309" i="11"/>
  <c r="R309" i="11"/>
  <c r="O309" i="11"/>
  <c r="N309" i="11"/>
  <c r="K309" i="11"/>
  <c r="I308" i="11"/>
  <c r="J308" i="11"/>
  <c r="AC308" i="11"/>
  <c r="X308" i="11"/>
  <c r="V308" i="11"/>
  <c r="R308" i="11"/>
  <c r="O308" i="11"/>
  <c r="N308" i="11"/>
  <c r="K308" i="11"/>
  <c r="AC307" i="11"/>
  <c r="I307" i="11"/>
  <c r="AE307" i="11" s="1"/>
  <c r="X307" i="11"/>
  <c r="V307" i="11"/>
  <c r="J307" i="11"/>
  <c r="R307" i="11"/>
  <c r="O307" i="11"/>
  <c r="N307" i="11"/>
  <c r="K307" i="11"/>
  <c r="L307" i="11" s="1"/>
  <c r="J306" i="11"/>
  <c r="I306" i="11"/>
  <c r="AE306" i="11" s="1"/>
  <c r="AC306" i="11"/>
  <c r="X306" i="11"/>
  <c r="V306" i="11"/>
  <c r="R306" i="11"/>
  <c r="O306" i="11"/>
  <c r="N306" i="11"/>
  <c r="K306" i="11"/>
  <c r="L306" i="11" s="1"/>
  <c r="J305" i="11"/>
  <c r="AC305" i="11"/>
  <c r="K305" i="11"/>
  <c r="O305" i="11"/>
  <c r="N305" i="11"/>
  <c r="I305" i="11"/>
  <c r="J304" i="11"/>
  <c r="I304" i="11"/>
  <c r="AC304" i="11"/>
  <c r="X304" i="11"/>
  <c r="V304" i="11"/>
  <c r="R304" i="11"/>
  <c r="O304" i="11"/>
  <c r="N304" i="11"/>
  <c r="K304" i="11"/>
  <c r="I303" i="11"/>
  <c r="AC303" i="11"/>
  <c r="X303" i="11"/>
  <c r="V303" i="11"/>
  <c r="R303" i="11"/>
  <c r="K303" i="11"/>
  <c r="J303" i="11"/>
  <c r="I302" i="11"/>
  <c r="AC302" i="11"/>
  <c r="X302" i="11"/>
  <c r="V302" i="11"/>
  <c r="J302" i="11"/>
  <c r="R302" i="11"/>
  <c r="O302" i="11"/>
  <c r="N302" i="11"/>
  <c r="K302" i="11"/>
  <c r="J301" i="11"/>
  <c r="I301" i="11"/>
  <c r="AC301" i="11"/>
  <c r="X301" i="11"/>
  <c r="V301" i="11"/>
  <c r="R301" i="11"/>
  <c r="O301" i="11"/>
  <c r="N301" i="11"/>
  <c r="K301" i="11"/>
  <c r="J300" i="11"/>
  <c r="K300" i="11"/>
  <c r="AC300" i="11"/>
  <c r="O300" i="11"/>
  <c r="N300" i="11"/>
  <c r="I300" i="11"/>
  <c r="I299" i="11"/>
  <c r="J299" i="11"/>
  <c r="AC299" i="11"/>
  <c r="X299" i="11"/>
  <c r="V299" i="11"/>
  <c r="R299" i="11"/>
  <c r="O299" i="11"/>
  <c r="N299" i="11"/>
  <c r="K299" i="11"/>
  <c r="J298" i="11"/>
  <c r="I298" i="11"/>
  <c r="AC298" i="11"/>
  <c r="X298" i="11"/>
  <c r="V298" i="11"/>
  <c r="R298" i="11"/>
  <c r="O298" i="11"/>
  <c r="N298" i="11"/>
  <c r="K298" i="11"/>
  <c r="I297" i="11"/>
  <c r="AC297" i="11"/>
  <c r="X297" i="11"/>
  <c r="V297" i="11"/>
  <c r="J297" i="11"/>
  <c r="R297" i="11"/>
  <c r="O297" i="11"/>
  <c r="N297" i="11"/>
  <c r="K297" i="11"/>
  <c r="J296" i="11"/>
  <c r="I296" i="11"/>
  <c r="AE296" i="11" s="1"/>
  <c r="AC296" i="11"/>
  <c r="X296" i="11"/>
  <c r="V296" i="11"/>
  <c r="R296" i="11"/>
  <c r="O296" i="11"/>
  <c r="N296" i="11"/>
  <c r="K296" i="11"/>
  <c r="L296" i="11" s="1"/>
  <c r="J295" i="11"/>
  <c r="AC295" i="11"/>
  <c r="K295" i="11"/>
  <c r="O295" i="11"/>
  <c r="N295" i="11"/>
  <c r="I295" i="11"/>
  <c r="J294" i="11"/>
  <c r="I294" i="11"/>
  <c r="AC294" i="11"/>
  <c r="X294" i="11"/>
  <c r="V294" i="11"/>
  <c r="R294" i="11"/>
  <c r="O294" i="11"/>
  <c r="N294" i="11"/>
  <c r="K294" i="11"/>
  <c r="J293" i="11"/>
  <c r="I293" i="11"/>
  <c r="AC293" i="11"/>
  <c r="X293" i="11"/>
  <c r="V293" i="11"/>
  <c r="R293" i="11"/>
  <c r="O293" i="11"/>
  <c r="N293" i="11"/>
  <c r="K293" i="11"/>
  <c r="I292" i="11"/>
  <c r="AC292" i="11"/>
  <c r="X292" i="11"/>
  <c r="V292" i="11"/>
  <c r="J292" i="11"/>
  <c r="R292" i="11"/>
  <c r="O292" i="11"/>
  <c r="N292" i="11"/>
  <c r="K292" i="11"/>
  <c r="J291" i="11"/>
  <c r="I291" i="11"/>
  <c r="AC291" i="11"/>
  <c r="X291" i="11"/>
  <c r="V291" i="11"/>
  <c r="R291" i="11"/>
  <c r="O291" i="11"/>
  <c r="N291" i="11"/>
  <c r="K291" i="11"/>
  <c r="J290" i="11"/>
  <c r="K290" i="11"/>
  <c r="AC290" i="11"/>
  <c r="O290" i="11"/>
  <c r="N290" i="11"/>
  <c r="I290" i="11"/>
  <c r="I289" i="11"/>
  <c r="J289" i="11"/>
  <c r="AC289" i="11"/>
  <c r="X289" i="11"/>
  <c r="V289" i="11"/>
  <c r="R289" i="11"/>
  <c r="O289" i="11"/>
  <c r="N289" i="11"/>
  <c r="K289" i="11"/>
  <c r="J288" i="11"/>
  <c r="I288" i="11"/>
  <c r="AC288" i="11"/>
  <c r="X288" i="11"/>
  <c r="V288" i="11"/>
  <c r="R288" i="11"/>
  <c r="O288" i="11"/>
  <c r="N288" i="11"/>
  <c r="K288" i="11"/>
  <c r="AC287" i="11"/>
  <c r="J287" i="11"/>
  <c r="O287" i="11" s="1"/>
  <c r="I287" i="11"/>
  <c r="N287" i="11"/>
  <c r="K287" i="11"/>
  <c r="L287" i="11" s="1"/>
  <c r="J286" i="11"/>
  <c r="I286" i="11"/>
  <c r="AE286" i="11" s="1"/>
  <c r="AC286" i="11"/>
  <c r="X286" i="11"/>
  <c r="V286" i="11"/>
  <c r="R286" i="11"/>
  <c r="O286" i="11"/>
  <c r="N286" i="11"/>
  <c r="K286" i="11"/>
  <c r="L286" i="11" s="1"/>
  <c r="J285" i="11"/>
  <c r="AC285" i="11"/>
  <c r="K285" i="11"/>
  <c r="O285" i="11"/>
  <c r="N285" i="11"/>
  <c r="I285" i="11"/>
  <c r="J284" i="11"/>
  <c r="I284" i="11"/>
  <c r="AC284" i="11"/>
  <c r="X284" i="11"/>
  <c r="V284" i="11"/>
  <c r="R284" i="11"/>
  <c r="O284" i="11"/>
  <c r="N284" i="11"/>
  <c r="K284" i="11"/>
  <c r="I283" i="11"/>
  <c r="J283" i="11"/>
  <c r="AC283" i="11"/>
  <c r="X283" i="11"/>
  <c r="V283" i="11"/>
  <c r="R283" i="11"/>
  <c r="O283" i="11"/>
  <c r="N283" i="11"/>
  <c r="K283" i="11"/>
  <c r="I282" i="11"/>
  <c r="AC282" i="11"/>
  <c r="X282" i="11"/>
  <c r="V282" i="11"/>
  <c r="J282" i="11"/>
  <c r="R282" i="11"/>
  <c r="O282" i="11"/>
  <c r="N282" i="11"/>
  <c r="K282" i="11"/>
  <c r="J281" i="11"/>
  <c r="I281" i="11"/>
  <c r="AC281" i="11"/>
  <c r="X281" i="11"/>
  <c r="V281" i="11"/>
  <c r="R281" i="11"/>
  <c r="O281" i="11"/>
  <c r="N281" i="11"/>
  <c r="K281" i="11"/>
  <c r="J280" i="11"/>
  <c r="K280" i="11"/>
  <c r="AC280" i="11"/>
  <c r="O280" i="11"/>
  <c r="N280" i="11"/>
  <c r="I280" i="11"/>
  <c r="I279" i="11"/>
  <c r="J279" i="11"/>
  <c r="AC279" i="11"/>
  <c r="X279" i="11"/>
  <c r="V279" i="11"/>
  <c r="R279" i="11"/>
  <c r="O279" i="11"/>
  <c r="N279" i="11"/>
  <c r="K279" i="11"/>
  <c r="I278" i="11"/>
  <c r="J278" i="11"/>
  <c r="AC278" i="11"/>
  <c r="X278" i="11"/>
  <c r="V278" i="11"/>
  <c r="R278" i="11"/>
  <c r="O278" i="11"/>
  <c r="N278" i="11"/>
  <c r="K278" i="11"/>
  <c r="I277" i="11"/>
  <c r="AC277" i="11"/>
  <c r="X277" i="11"/>
  <c r="V277" i="11"/>
  <c r="J277" i="11"/>
  <c r="R277" i="11"/>
  <c r="O277" i="11"/>
  <c r="N277" i="11"/>
  <c r="K277" i="11"/>
  <c r="J276" i="11"/>
  <c r="I276" i="11"/>
  <c r="AE276" i="11" s="1"/>
  <c r="AC276" i="11"/>
  <c r="X276" i="11"/>
  <c r="V276" i="11"/>
  <c r="R276" i="11"/>
  <c r="O276" i="11"/>
  <c r="N276" i="11"/>
  <c r="K276" i="11"/>
  <c r="L276" i="11" s="1"/>
  <c r="J275" i="11"/>
  <c r="AC275" i="11"/>
  <c r="K275" i="11"/>
  <c r="O275" i="11"/>
  <c r="N275" i="11"/>
  <c r="I275" i="11"/>
  <c r="J274" i="11"/>
  <c r="I274" i="11"/>
  <c r="AC274" i="11"/>
  <c r="X274" i="11"/>
  <c r="V274" i="11"/>
  <c r="R274" i="11"/>
  <c r="O274" i="11"/>
  <c r="N274" i="11"/>
  <c r="K274" i="11"/>
  <c r="J273" i="11"/>
  <c r="I273" i="11"/>
  <c r="AC273" i="11"/>
  <c r="X273" i="11"/>
  <c r="V273" i="11"/>
  <c r="R273" i="11"/>
  <c r="O273" i="11"/>
  <c r="N273" i="11"/>
  <c r="K273" i="11"/>
  <c r="I272" i="11"/>
  <c r="AC272" i="11"/>
  <c r="X272" i="11"/>
  <c r="V272" i="11"/>
  <c r="J272" i="11"/>
  <c r="R272" i="11"/>
  <c r="O272" i="11"/>
  <c r="N272" i="11"/>
  <c r="K272" i="11"/>
  <c r="J271" i="11"/>
  <c r="I271" i="11"/>
  <c r="AC271" i="11"/>
  <c r="X271" i="11"/>
  <c r="V271" i="11"/>
  <c r="R271" i="11"/>
  <c r="O271" i="11"/>
  <c r="N271" i="11"/>
  <c r="K271" i="11"/>
  <c r="J270" i="11"/>
  <c r="K270" i="11"/>
  <c r="AC270" i="11"/>
  <c r="O270" i="11"/>
  <c r="N270" i="11"/>
  <c r="I270" i="11"/>
  <c r="J269" i="11"/>
  <c r="I269" i="11"/>
  <c r="AC269" i="11"/>
  <c r="X269" i="11"/>
  <c r="V269" i="11"/>
  <c r="R269" i="11"/>
  <c r="O269" i="11"/>
  <c r="N269" i="11"/>
  <c r="K269" i="11"/>
  <c r="J268" i="11"/>
  <c r="I268" i="11"/>
  <c r="AC268" i="11"/>
  <c r="X268" i="11"/>
  <c r="V268" i="11"/>
  <c r="R268" i="11"/>
  <c r="O268" i="11"/>
  <c r="N268" i="11"/>
  <c r="K268" i="11"/>
  <c r="I267" i="11"/>
  <c r="AC267" i="11"/>
  <c r="X267" i="11"/>
  <c r="V267" i="11"/>
  <c r="J267" i="11"/>
  <c r="R267" i="11"/>
  <c r="O267" i="11"/>
  <c r="N267" i="11"/>
  <c r="K267" i="11"/>
  <c r="J266" i="11"/>
  <c r="I266" i="11"/>
  <c r="AE266" i="11" s="1"/>
  <c r="AC266" i="11"/>
  <c r="X266" i="11"/>
  <c r="V266" i="11"/>
  <c r="R266" i="11"/>
  <c r="O266" i="11"/>
  <c r="N266" i="11"/>
  <c r="K266" i="11"/>
  <c r="L266" i="11" s="1"/>
  <c r="J265" i="11"/>
  <c r="AC265" i="11"/>
  <c r="K265" i="11"/>
  <c r="O265" i="11"/>
  <c r="N265" i="11"/>
  <c r="I265" i="11"/>
  <c r="J264" i="11"/>
  <c r="I264" i="11"/>
  <c r="AC264" i="11"/>
  <c r="X264" i="11"/>
  <c r="V264" i="11"/>
  <c r="R264" i="11"/>
  <c r="O264" i="11"/>
  <c r="N264" i="11"/>
  <c r="K264" i="11"/>
  <c r="I263" i="11"/>
  <c r="J263" i="11"/>
  <c r="AC263" i="11"/>
  <c r="X263" i="11"/>
  <c r="V263" i="11"/>
  <c r="R263" i="11"/>
  <c r="O263" i="11"/>
  <c r="N263" i="11"/>
  <c r="K263" i="11"/>
  <c r="I262" i="11"/>
  <c r="AC262" i="11"/>
  <c r="X262" i="11"/>
  <c r="V262" i="11"/>
  <c r="J262" i="11"/>
  <c r="R262" i="11"/>
  <c r="O262" i="11"/>
  <c r="N262" i="11"/>
  <c r="K262" i="11"/>
  <c r="J261" i="11"/>
  <c r="I261" i="11"/>
  <c r="AC261" i="11"/>
  <c r="X261" i="11"/>
  <c r="V261" i="11"/>
  <c r="R261" i="11"/>
  <c r="O261" i="11"/>
  <c r="N261" i="11"/>
  <c r="K261" i="11"/>
  <c r="J260" i="11"/>
  <c r="K260" i="11"/>
  <c r="AC260" i="11"/>
  <c r="O260" i="11"/>
  <c r="N260" i="11"/>
  <c r="I260" i="11"/>
  <c r="I259" i="11"/>
  <c r="J259" i="11"/>
  <c r="AC259" i="11"/>
  <c r="X259" i="11"/>
  <c r="V259" i="11"/>
  <c r="R259" i="11"/>
  <c r="O259" i="11"/>
  <c r="N259" i="11"/>
  <c r="K259" i="11"/>
  <c r="J258" i="11"/>
  <c r="I258" i="11"/>
  <c r="AC258" i="11"/>
  <c r="X258" i="11"/>
  <c r="V258" i="11"/>
  <c r="R258" i="11"/>
  <c r="O258" i="11"/>
  <c r="N258" i="11"/>
  <c r="K258" i="11"/>
  <c r="I257" i="11"/>
  <c r="AC257" i="11"/>
  <c r="X257" i="11"/>
  <c r="V257" i="11"/>
  <c r="J257" i="11"/>
  <c r="R257" i="11"/>
  <c r="O257" i="11"/>
  <c r="N257" i="11"/>
  <c r="K257" i="11"/>
  <c r="J256" i="11"/>
  <c r="AC256" i="11"/>
  <c r="I256" i="11"/>
  <c r="AE256" i="11" s="1"/>
  <c r="X256" i="11"/>
  <c r="V256" i="11"/>
  <c r="R256" i="11"/>
  <c r="O256" i="11"/>
  <c r="N256" i="11"/>
  <c r="K256" i="11"/>
  <c r="L256" i="11" s="1"/>
  <c r="J255" i="11"/>
  <c r="AC255" i="11"/>
  <c r="K255" i="11"/>
  <c r="O255" i="11"/>
  <c r="N255" i="11"/>
  <c r="I255" i="11"/>
  <c r="J254" i="11"/>
  <c r="I254" i="11"/>
  <c r="AC254" i="11"/>
  <c r="X254" i="11"/>
  <c r="V254" i="11"/>
  <c r="R254" i="11"/>
  <c r="O254" i="11"/>
  <c r="N254" i="11"/>
  <c r="K254" i="11"/>
  <c r="J253" i="11"/>
  <c r="I253" i="11"/>
  <c r="AC253" i="11"/>
  <c r="X253" i="11"/>
  <c r="V253" i="11"/>
  <c r="R253" i="11"/>
  <c r="O253" i="11"/>
  <c r="N253" i="11"/>
  <c r="K253" i="11"/>
  <c r="J252" i="11"/>
  <c r="AC252" i="11"/>
  <c r="I252" i="11"/>
  <c r="R252" i="11"/>
  <c r="O252" i="11"/>
  <c r="N252" i="11"/>
  <c r="K252" i="11"/>
  <c r="L252" i="11" s="1"/>
  <c r="J251" i="11"/>
  <c r="AC251" i="11"/>
  <c r="I251" i="11"/>
  <c r="AE251" i="11" s="1"/>
  <c r="X251" i="11"/>
  <c r="V251" i="11"/>
  <c r="R251" i="11"/>
  <c r="O251" i="11"/>
  <c r="N251" i="11"/>
  <c r="K251" i="11"/>
  <c r="L251" i="11" s="1"/>
  <c r="J250" i="11"/>
  <c r="I250" i="11"/>
  <c r="AC250" i="11"/>
  <c r="X250" i="11"/>
  <c r="V250" i="11"/>
  <c r="R250" i="11"/>
  <c r="O250" i="11"/>
  <c r="N250" i="11"/>
  <c r="K250" i="11"/>
  <c r="J249" i="11"/>
  <c r="K249" i="11"/>
  <c r="AC249" i="11"/>
  <c r="O249" i="11"/>
  <c r="N249" i="11"/>
  <c r="I249" i="11"/>
  <c r="J248" i="11"/>
  <c r="I248" i="11"/>
  <c r="AC248" i="11"/>
  <c r="X248" i="11"/>
  <c r="V248" i="11"/>
  <c r="R248" i="11"/>
  <c r="O248" i="11"/>
  <c r="N248" i="11"/>
  <c r="K248" i="11"/>
  <c r="J247" i="11"/>
  <c r="I247" i="11"/>
  <c r="AC247" i="11"/>
  <c r="X247" i="11"/>
  <c r="V247" i="11"/>
  <c r="R247" i="11"/>
  <c r="O247" i="11"/>
  <c r="N247" i="11"/>
  <c r="K247" i="11"/>
  <c r="J246" i="11"/>
  <c r="AC246" i="11"/>
  <c r="I246" i="11"/>
  <c r="R246" i="11"/>
  <c r="O246" i="11"/>
  <c r="N246" i="11"/>
  <c r="K246" i="11"/>
  <c r="L246" i="11" s="1"/>
  <c r="J245" i="11"/>
  <c r="I245" i="11"/>
  <c r="AE245" i="11" s="1"/>
  <c r="AC245" i="11"/>
  <c r="X245" i="11"/>
  <c r="V245" i="11"/>
  <c r="R245" i="11"/>
  <c r="O245" i="11"/>
  <c r="N245" i="11"/>
  <c r="K245" i="11"/>
  <c r="L245" i="11" s="1"/>
  <c r="J244" i="11"/>
  <c r="AC244" i="11"/>
  <c r="K244" i="11"/>
  <c r="O244" i="11"/>
  <c r="N244" i="11"/>
  <c r="I244" i="11"/>
  <c r="J243" i="11"/>
  <c r="I243" i="11"/>
  <c r="AC243" i="11"/>
  <c r="X243" i="11"/>
  <c r="V243" i="11"/>
  <c r="R243" i="11"/>
  <c r="O243" i="11"/>
  <c r="N243" i="11"/>
  <c r="K243" i="11"/>
  <c r="I242" i="11"/>
  <c r="J242" i="11"/>
  <c r="AC242" i="11"/>
  <c r="X242" i="11"/>
  <c r="V242" i="11"/>
  <c r="R242" i="11"/>
  <c r="O242" i="11"/>
  <c r="N242" i="11"/>
  <c r="K242" i="11"/>
  <c r="I241" i="11"/>
  <c r="AC241" i="11"/>
  <c r="X241" i="11"/>
  <c r="V241" i="11"/>
  <c r="J241" i="11"/>
  <c r="R241" i="11"/>
  <c r="O241" i="11"/>
  <c r="N241" i="11"/>
  <c r="K241" i="11"/>
  <c r="J240" i="11"/>
  <c r="I240" i="11"/>
  <c r="AC240" i="11"/>
  <c r="X240" i="11"/>
  <c r="V240" i="11"/>
  <c r="R240" i="11"/>
  <c r="O240" i="11"/>
  <c r="N240" i="11"/>
  <c r="K240" i="11"/>
  <c r="J239" i="11"/>
  <c r="K239" i="11"/>
  <c r="AC239" i="11"/>
  <c r="O239" i="11"/>
  <c r="N239" i="11"/>
  <c r="I239" i="11"/>
  <c r="I238" i="11"/>
  <c r="J238" i="11"/>
  <c r="AC238" i="11"/>
  <c r="X238" i="11"/>
  <c r="V238" i="11"/>
  <c r="R238" i="11"/>
  <c r="O238" i="11"/>
  <c r="N238" i="11"/>
  <c r="K238" i="11"/>
  <c r="I237" i="11"/>
  <c r="J237" i="11"/>
  <c r="AC237" i="11"/>
  <c r="X237" i="11"/>
  <c r="V237" i="11"/>
  <c r="R237" i="11"/>
  <c r="O237" i="11"/>
  <c r="N237" i="11"/>
  <c r="K237" i="11"/>
  <c r="I236" i="11"/>
  <c r="AE236" i="11" s="1"/>
  <c r="AC236" i="11"/>
  <c r="X236" i="11"/>
  <c r="V236" i="11"/>
  <c r="J236" i="11"/>
  <c r="R236" i="11"/>
  <c r="O236" i="11"/>
  <c r="N236" i="11"/>
  <c r="K236" i="11"/>
  <c r="L236" i="11" s="1"/>
  <c r="J235" i="11"/>
  <c r="I235" i="11"/>
  <c r="AE235" i="11" s="1"/>
  <c r="AC235" i="11"/>
  <c r="X235" i="11"/>
  <c r="V235" i="11"/>
  <c r="R235" i="11"/>
  <c r="O235" i="11"/>
  <c r="N235" i="11"/>
  <c r="K235" i="11"/>
  <c r="L235" i="11" s="1"/>
  <c r="J234" i="11"/>
  <c r="AC234" i="11"/>
  <c r="K234" i="11"/>
  <c r="O234" i="11"/>
  <c r="N234" i="11"/>
  <c r="I234" i="11"/>
  <c r="J233" i="11"/>
  <c r="I233" i="11"/>
  <c r="AC233" i="11"/>
  <c r="X233" i="11"/>
  <c r="V233" i="11"/>
  <c r="R233" i="11"/>
  <c r="O233" i="11"/>
  <c r="N233" i="11"/>
  <c r="K233" i="11"/>
  <c r="J232" i="11"/>
  <c r="I232" i="11"/>
  <c r="AC232" i="11"/>
  <c r="X232" i="11"/>
  <c r="V232" i="11"/>
  <c r="R232" i="11"/>
  <c r="O232" i="11"/>
  <c r="N232" i="11"/>
  <c r="K232" i="11"/>
  <c r="I231" i="11"/>
  <c r="AC231" i="11"/>
  <c r="X231" i="11"/>
  <c r="V231" i="11"/>
  <c r="J231" i="11"/>
  <c r="R231" i="11"/>
  <c r="O231" i="11"/>
  <c r="N231" i="11"/>
  <c r="K231" i="11"/>
  <c r="J230" i="11"/>
  <c r="I230" i="11"/>
  <c r="AC230" i="11"/>
  <c r="X230" i="11"/>
  <c r="V230" i="11"/>
  <c r="R230" i="11"/>
  <c r="O230" i="11"/>
  <c r="N230" i="11"/>
  <c r="K230" i="11"/>
  <c r="J229" i="11"/>
  <c r="K229" i="11"/>
  <c r="AC229" i="11"/>
  <c r="O229" i="11"/>
  <c r="N229" i="11"/>
  <c r="I229" i="11"/>
  <c r="J228" i="11"/>
  <c r="I228" i="11"/>
  <c r="AC228" i="11"/>
  <c r="X228" i="11"/>
  <c r="V228" i="11"/>
  <c r="R228" i="11"/>
  <c r="O228" i="11"/>
  <c r="N228" i="11"/>
  <c r="K228" i="11"/>
  <c r="J227" i="11"/>
  <c r="I227" i="11"/>
  <c r="AC227" i="11"/>
  <c r="X227" i="11"/>
  <c r="V227" i="11"/>
  <c r="R227" i="11"/>
  <c r="O227" i="11"/>
  <c r="N227" i="11"/>
  <c r="K227" i="11"/>
  <c r="AC226" i="11"/>
  <c r="I226" i="11"/>
  <c r="AE226" i="11" s="1"/>
  <c r="X226" i="11"/>
  <c r="V226" i="11"/>
  <c r="J226" i="11"/>
  <c r="R226" i="11"/>
  <c r="O226" i="11"/>
  <c r="N226" i="11"/>
  <c r="K226" i="11"/>
  <c r="L226" i="11" s="1"/>
  <c r="J225" i="11"/>
  <c r="I225" i="11"/>
  <c r="AE225" i="11" s="1"/>
  <c r="AC225" i="11"/>
  <c r="X225" i="11"/>
  <c r="V225" i="11"/>
  <c r="R225" i="11"/>
  <c r="O225" i="11"/>
  <c r="N225" i="11"/>
  <c r="K225" i="11"/>
  <c r="L225" i="11" s="1"/>
  <c r="J224" i="11"/>
  <c r="AC224" i="11"/>
  <c r="K224" i="11"/>
  <c r="O224" i="11"/>
  <c r="N224" i="11"/>
  <c r="I224" i="11"/>
  <c r="J223" i="11"/>
  <c r="I223" i="11"/>
  <c r="AC223" i="11"/>
  <c r="X223" i="11"/>
  <c r="V223" i="11"/>
  <c r="R223" i="11"/>
  <c r="O223" i="11"/>
  <c r="N223" i="11"/>
  <c r="K223" i="11"/>
  <c r="I222" i="11"/>
  <c r="J222" i="11"/>
  <c r="AC222" i="11"/>
  <c r="X222" i="11"/>
  <c r="V222" i="11"/>
  <c r="R222" i="11"/>
  <c r="O222" i="11"/>
  <c r="N222" i="11"/>
  <c r="K222" i="11"/>
  <c r="I221" i="11"/>
  <c r="AC221" i="11"/>
  <c r="X221" i="11"/>
  <c r="V221" i="11"/>
  <c r="J221" i="11"/>
  <c r="R221" i="11"/>
  <c r="O221" i="11"/>
  <c r="N221" i="11"/>
  <c r="K221" i="11"/>
  <c r="J220" i="11"/>
  <c r="I220" i="11"/>
  <c r="AC220" i="11"/>
  <c r="X220" i="11"/>
  <c r="V220" i="11"/>
  <c r="R220" i="11"/>
  <c r="O220" i="11"/>
  <c r="N220" i="11"/>
  <c r="K220" i="11"/>
  <c r="J219" i="11"/>
  <c r="K219" i="11"/>
  <c r="AC219" i="11"/>
  <c r="O219" i="11"/>
  <c r="N219" i="11"/>
  <c r="I219" i="11"/>
  <c r="I218" i="11"/>
  <c r="J218" i="11"/>
  <c r="AC218" i="11"/>
  <c r="X218" i="11"/>
  <c r="V218" i="11"/>
  <c r="R218" i="11"/>
  <c r="O218" i="11"/>
  <c r="N218" i="11"/>
  <c r="K218" i="11"/>
  <c r="J217" i="11"/>
  <c r="I217" i="11"/>
  <c r="AC217" i="11"/>
  <c r="X217" i="11"/>
  <c r="V217" i="11"/>
  <c r="R217" i="11"/>
  <c r="O217" i="11"/>
  <c r="N217" i="11"/>
  <c r="K217" i="11"/>
  <c r="I216" i="11"/>
  <c r="AC216" i="11"/>
  <c r="X216" i="11"/>
  <c r="V216" i="11"/>
  <c r="J216" i="11"/>
  <c r="R216" i="11"/>
  <c r="O216" i="11"/>
  <c r="N216" i="11"/>
  <c r="K216" i="11"/>
  <c r="J215" i="11"/>
  <c r="AC215" i="11"/>
  <c r="I215" i="11"/>
  <c r="AE215" i="11" s="1"/>
  <c r="X215" i="11"/>
  <c r="V215" i="11"/>
  <c r="R215" i="11"/>
  <c r="O215" i="11"/>
  <c r="N215" i="11"/>
  <c r="K215" i="11"/>
  <c r="L215" i="11" s="1"/>
  <c r="J214" i="11"/>
  <c r="AC214" i="11"/>
  <c r="K214" i="11"/>
  <c r="O214" i="11"/>
  <c r="N214" i="11"/>
  <c r="I214" i="11"/>
  <c r="J213" i="11"/>
  <c r="I213" i="11"/>
  <c r="AC213" i="11"/>
  <c r="X213" i="11"/>
  <c r="V213" i="11"/>
  <c r="R213" i="11"/>
  <c r="O213" i="11"/>
  <c r="N213" i="11"/>
  <c r="K213" i="11"/>
  <c r="J212" i="11"/>
  <c r="I212" i="11"/>
  <c r="AC212" i="11"/>
  <c r="X212" i="11"/>
  <c r="V212" i="11"/>
  <c r="R212" i="11"/>
  <c r="O212" i="11"/>
  <c r="N212" i="11"/>
  <c r="K212" i="11"/>
  <c r="J211" i="11"/>
  <c r="AC211" i="11"/>
  <c r="I211" i="11"/>
  <c r="R211" i="11"/>
  <c r="O211" i="11"/>
  <c r="N211" i="11"/>
  <c r="K211" i="11"/>
  <c r="L211" i="11" s="1"/>
  <c r="J210" i="11"/>
  <c r="AC210" i="11"/>
  <c r="I210" i="11"/>
  <c r="AE210" i="11" s="1"/>
  <c r="X210" i="11"/>
  <c r="V210" i="11"/>
  <c r="R210" i="11"/>
  <c r="O210" i="11"/>
  <c r="N210" i="11"/>
  <c r="K210" i="11"/>
  <c r="L210" i="11" s="1"/>
  <c r="J209" i="11"/>
  <c r="I209" i="11"/>
  <c r="AC209" i="11"/>
  <c r="X209" i="11"/>
  <c r="V209" i="11"/>
  <c r="R209" i="11"/>
  <c r="O209" i="11"/>
  <c r="N209" i="11"/>
  <c r="K209" i="11"/>
  <c r="J208" i="11"/>
  <c r="K208" i="11"/>
  <c r="AC208" i="11"/>
  <c r="O208" i="11"/>
  <c r="N208" i="11"/>
  <c r="I208" i="11"/>
  <c r="I207" i="11"/>
  <c r="J207" i="11"/>
  <c r="AC207" i="11"/>
  <c r="X207" i="11"/>
  <c r="V207" i="11"/>
  <c r="R207" i="11"/>
  <c r="O207" i="11"/>
  <c r="N207" i="11"/>
  <c r="K207" i="11"/>
  <c r="J206" i="11"/>
  <c r="I206" i="11"/>
  <c r="AC206" i="11"/>
  <c r="X206" i="11"/>
  <c r="V206" i="11"/>
  <c r="R206" i="11"/>
  <c r="O206" i="11"/>
  <c r="N206" i="11"/>
  <c r="K206" i="11"/>
  <c r="I205" i="11"/>
  <c r="AC205" i="11"/>
  <c r="X205" i="11"/>
  <c r="V205" i="11"/>
  <c r="J205" i="11"/>
  <c r="R205" i="11"/>
  <c r="O205" i="11"/>
  <c r="N205" i="11"/>
  <c r="K205" i="11"/>
  <c r="J204" i="11"/>
  <c r="I204" i="11"/>
  <c r="AE204" i="11" s="1"/>
  <c r="AC204" i="11"/>
  <c r="X204" i="11"/>
  <c r="V204" i="11"/>
  <c r="R204" i="11"/>
  <c r="O204" i="11"/>
  <c r="N204" i="11"/>
  <c r="K204" i="11"/>
  <c r="L204" i="11" s="1"/>
  <c r="J203" i="11"/>
  <c r="AC203" i="11"/>
  <c r="K203" i="11"/>
  <c r="O203" i="11"/>
  <c r="N203" i="11"/>
  <c r="I203" i="11"/>
  <c r="J202" i="11"/>
  <c r="I202" i="11"/>
  <c r="AC202" i="11"/>
  <c r="X202" i="11"/>
  <c r="V202" i="11"/>
  <c r="R202" i="11"/>
  <c r="O202" i="11"/>
  <c r="N202" i="11"/>
  <c r="K202" i="11"/>
  <c r="I201" i="11"/>
  <c r="J201" i="11"/>
  <c r="AC201" i="11"/>
  <c r="X201" i="11"/>
  <c r="V201" i="11"/>
  <c r="R201" i="11"/>
  <c r="O201" i="11"/>
  <c r="N201" i="11"/>
  <c r="K201" i="11"/>
  <c r="I200" i="11"/>
  <c r="AC200" i="11"/>
  <c r="X200" i="11"/>
  <c r="V200" i="11"/>
  <c r="J200" i="11"/>
  <c r="R200" i="11"/>
  <c r="O200" i="11"/>
  <c r="N200" i="11"/>
  <c r="K200" i="11"/>
  <c r="J199" i="11"/>
  <c r="I199" i="11"/>
  <c r="AC199" i="11"/>
  <c r="X199" i="11"/>
  <c r="V199" i="11"/>
  <c r="R199" i="11"/>
  <c r="O199" i="11"/>
  <c r="N199" i="11"/>
  <c r="K199" i="11"/>
  <c r="J198" i="11"/>
  <c r="K198" i="11"/>
  <c r="AC198" i="11"/>
  <c r="O198" i="11"/>
  <c r="N198" i="11"/>
  <c r="I198" i="11"/>
  <c r="I197" i="11"/>
  <c r="J197" i="11"/>
  <c r="AC197" i="11"/>
  <c r="X197" i="11"/>
  <c r="V197" i="11"/>
  <c r="R197" i="11"/>
  <c r="O197" i="11"/>
  <c r="N197" i="11"/>
  <c r="K197" i="11"/>
  <c r="I196" i="11"/>
  <c r="J196" i="11"/>
  <c r="AC196" i="11"/>
  <c r="X196" i="11"/>
  <c r="V196" i="11"/>
  <c r="R196" i="11"/>
  <c r="O196" i="11"/>
  <c r="N196" i="11"/>
  <c r="K196" i="11"/>
  <c r="I195" i="11"/>
  <c r="AC195" i="11"/>
  <c r="X195" i="11"/>
  <c r="V195" i="11"/>
  <c r="J195" i="11"/>
  <c r="R195" i="11"/>
  <c r="O195" i="11"/>
  <c r="N195" i="11"/>
  <c r="K195" i="11"/>
  <c r="J194" i="11"/>
  <c r="I194" i="11"/>
  <c r="AE194" i="11" s="1"/>
  <c r="AC194" i="11"/>
  <c r="X194" i="11"/>
  <c r="V194" i="11"/>
  <c r="R194" i="11"/>
  <c r="O194" i="11"/>
  <c r="N194" i="11"/>
  <c r="K194" i="11"/>
  <c r="L194" i="11" s="1"/>
  <c r="J193" i="11"/>
  <c r="AC193" i="11"/>
  <c r="K193" i="11"/>
  <c r="O193" i="11"/>
  <c r="N193" i="11"/>
  <c r="I193" i="11"/>
  <c r="J192" i="11"/>
  <c r="I192" i="11"/>
  <c r="AC192" i="11"/>
  <c r="X192" i="11"/>
  <c r="V192" i="11"/>
  <c r="R192" i="11"/>
  <c r="O192" i="11"/>
  <c r="N192" i="11"/>
  <c r="K192" i="11"/>
  <c r="J191" i="11"/>
  <c r="I191" i="11"/>
  <c r="AC191" i="11"/>
  <c r="X191" i="11"/>
  <c r="V191" i="11"/>
  <c r="R191" i="11"/>
  <c r="O191" i="11"/>
  <c r="N191" i="11"/>
  <c r="K191" i="11"/>
  <c r="I190" i="11"/>
  <c r="AC190" i="11"/>
  <c r="X190" i="11"/>
  <c r="V190" i="11"/>
  <c r="J190" i="11"/>
  <c r="R190" i="11"/>
  <c r="O190" i="11"/>
  <c r="N190" i="11"/>
  <c r="K190" i="11"/>
  <c r="J189" i="11"/>
  <c r="I189" i="11"/>
  <c r="AC189" i="11"/>
  <c r="X189" i="11"/>
  <c r="V189" i="11"/>
  <c r="R189" i="11"/>
  <c r="O189" i="11"/>
  <c r="N189" i="11"/>
  <c r="K189" i="11"/>
  <c r="J188" i="11"/>
  <c r="K188" i="11"/>
  <c r="AC188" i="11"/>
  <c r="O188" i="11"/>
  <c r="N188" i="11"/>
  <c r="I188" i="11"/>
  <c r="J187" i="11"/>
  <c r="I187" i="11"/>
  <c r="AC187" i="11"/>
  <c r="X187" i="11"/>
  <c r="V187" i="11"/>
  <c r="R187" i="11"/>
  <c r="O187" i="11"/>
  <c r="N187" i="11"/>
  <c r="K187" i="11"/>
  <c r="J186" i="11"/>
  <c r="I186" i="11"/>
  <c r="AC186" i="11"/>
  <c r="X186" i="11"/>
  <c r="V186" i="11"/>
  <c r="R186" i="11"/>
  <c r="O186" i="11"/>
  <c r="N186" i="11"/>
  <c r="K186" i="11"/>
  <c r="I185" i="11"/>
  <c r="AC185" i="11"/>
  <c r="X185" i="11"/>
  <c r="V185" i="11"/>
  <c r="J185" i="11"/>
  <c r="R185" i="11"/>
  <c r="O185" i="11"/>
  <c r="N185" i="11"/>
  <c r="K185" i="11"/>
  <c r="J184" i="11"/>
  <c r="I184" i="11"/>
  <c r="AE184" i="11" s="1"/>
  <c r="AC184" i="11"/>
  <c r="X184" i="11"/>
  <c r="V184" i="11"/>
  <c r="R184" i="11"/>
  <c r="O184" i="11"/>
  <c r="N184" i="11"/>
  <c r="K184" i="11"/>
  <c r="L184" i="11" s="1"/>
  <c r="J183" i="11"/>
  <c r="AC183" i="11"/>
  <c r="K183" i="11"/>
  <c r="O183" i="11"/>
  <c r="N183" i="11"/>
  <c r="I183" i="11"/>
  <c r="J182" i="11"/>
  <c r="I182" i="11"/>
  <c r="AC182" i="11"/>
  <c r="X182" i="11"/>
  <c r="V182" i="11"/>
  <c r="R182" i="11"/>
  <c r="O182" i="11"/>
  <c r="N182" i="11"/>
  <c r="K182" i="11"/>
  <c r="I181" i="11"/>
  <c r="J181" i="11"/>
  <c r="AC181" i="11"/>
  <c r="X181" i="11"/>
  <c r="V181" i="11"/>
  <c r="R181" i="11"/>
  <c r="O181" i="11"/>
  <c r="N181" i="11"/>
  <c r="K181" i="11"/>
  <c r="I180" i="11"/>
  <c r="AC180" i="11"/>
  <c r="X180" i="11"/>
  <c r="V180" i="11"/>
  <c r="J180" i="11"/>
  <c r="R180" i="11"/>
  <c r="O180" i="11"/>
  <c r="N180" i="11"/>
  <c r="K180" i="11"/>
  <c r="J179" i="11"/>
  <c r="I179" i="11"/>
  <c r="AC179" i="11"/>
  <c r="X179" i="11"/>
  <c r="V179" i="11"/>
  <c r="R179" i="11"/>
  <c r="O179" i="11"/>
  <c r="N179" i="11"/>
  <c r="K179" i="11"/>
  <c r="J178" i="11"/>
  <c r="K178" i="11"/>
  <c r="AC178" i="11"/>
  <c r="O178" i="11"/>
  <c r="N178" i="11"/>
  <c r="I178" i="11"/>
  <c r="I177" i="11"/>
  <c r="J177" i="11"/>
  <c r="AC177" i="11"/>
  <c r="X177" i="11"/>
  <c r="V177" i="11"/>
  <c r="R177" i="11"/>
  <c r="O177" i="11"/>
  <c r="N177" i="11"/>
  <c r="K177" i="11"/>
  <c r="J176" i="11"/>
  <c r="I176" i="11"/>
  <c r="AC176" i="11"/>
  <c r="X176" i="11"/>
  <c r="V176" i="11"/>
  <c r="R176" i="11"/>
  <c r="O176" i="11"/>
  <c r="N176" i="11"/>
  <c r="K176" i="11"/>
  <c r="I175" i="11"/>
  <c r="AC175" i="11"/>
  <c r="X175" i="11"/>
  <c r="V175" i="11"/>
  <c r="J175" i="11"/>
  <c r="R175" i="11"/>
  <c r="O175" i="11"/>
  <c r="N175" i="11"/>
  <c r="K175" i="11"/>
  <c r="J174" i="11"/>
  <c r="AC174" i="11"/>
  <c r="I174" i="11"/>
  <c r="AE174" i="11" s="1"/>
  <c r="X174" i="11"/>
  <c r="V174" i="11"/>
  <c r="R174" i="11"/>
  <c r="O174" i="11"/>
  <c r="N174" i="11"/>
  <c r="K174" i="11"/>
  <c r="L174" i="11" s="1"/>
  <c r="J173" i="11"/>
  <c r="AC173" i="11"/>
  <c r="K173" i="11"/>
  <c r="O173" i="11"/>
  <c r="N173" i="11"/>
  <c r="I173" i="11"/>
  <c r="J172" i="11"/>
  <c r="I172" i="11"/>
  <c r="AC172" i="11"/>
  <c r="X172" i="11"/>
  <c r="V172" i="11"/>
  <c r="R172" i="11"/>
  <c r="O172" i="11"/>
  <c r="N172" i="11"/>
  <c r="K172" i="11"/>
  <c r="J171" i="11"/>
  <c r="I171" i="11"/>
  <c r="AC171" i="11"/>
  <c r="X171" i="11"/>
  <c r="V171" i="11"/>
  <c r="R171" i="11"/>
  <c r="O171" i="11"/>
  <c r="N171" i="11"/>
  <c r="K171" i="11"/>
  <c r="J170" i="11"/>
  <c r="AC170" i="11"/>
  <c r="I170" i="11"/>
  <c r="R170" i="11"/>
  <c r="O170" i="11"/>
  <c r="N170" i="11"/>
  <c r="K170" i="11"/>
  <c r="L170" i="11" s="1"/>
  <c r="J169" i="11"/>
  <c r="AC169" i="11"/>
  <c r="I169" i="11"/>
  <c r="AE169" i="11" s="1"/>
  <c r="X169" i="11"/>
  <c r="V169" i="11"/>
  <c r="R169" i="11"/>
  <c r="O169" i="11"/>
  <c r="N169" i="11"/>
  <c r="K169" i="11"/>
  <c r="L169" i="11" s="1"/>
  <c r="J168" i="11"/>
  <c r="I168" i="11"/>
  <c r="AC168" i="11"/>
  <c r="X168" i="11"/>
  <c r="V168" i="11"/>
  <c r="R168" i="11"/>
  <c r="O168" i="11"/>
  <c r="N168" i="11"/>
  <c r="K168" i="11"/>
  <c r="J167" i="11"/>
  <c r="K167" i="11"/>
  <c r="AC167" i="11"/>
  <c r="O167" i="11"/>
  <c r="N167" i="11"/>
  <c r="I167" i="11"/>
  <c r="I166" i="11"/>
  <c r="J166" i="11"/>
  <c r="AC166" i="11"/>
  <c r="X166" i="11"/>
  <c r="V166" i="11"/>
  <c r="R166" i="11"/>
  <c r="O166" i="11"/>
  <c r="N166" i="11"/>
  <c r="K166" i="11"/>
  <c r="J165" i="11"/>
  <c r="I165" i="11"/>
  <c r="AC165" i="11"/>
  <c r="X165" i="11"/>
  <c r="V165" i="11"/>
  <c r="R165" i="11"/>
  <c r="O165" i="11"/>
  <c r="N165" i="11"/>
  <c r="K165" i="11"/>
  <c r="I164" i="11"/>
  <c r="AC164" i="11"/>
  <c r="X164" i="11"/>
  <c r="V164" i="11"/>
  <c r="J164" i="11"/>
  <c r="R164" i="11"/>
  <c r="O164" i="11"/>
  <c r="N164" i="11"/>
  <c r="K164" i="11"/>
  <c r="J163" i="11"/>
  <c r="I163" i="11"/>
  <c r="AE163" i="11" s="1"/>
  <c r="AC163" i="11"/>
  <c r="X163" i="11"/>
  <c r="V163" i="11"/>
  <c r="R163" i="11"/>
  <c r="O163" i="11"/>
  <c r="N163" i="11"/>
  <c r="K163" i="11"/>
  <c r="L163" i="11" s="1"/>
  <c r="J162" i="11"/>
  <c r="AC162" i="11"/>
  <c r="K162" i="11"/>
  <c r="O162" i="11"/>
  <c r="N162" i="11"/>
  <c r="I162" i="11"/>
  <c r="J161" i="11"/>
  <c r="I161" i="11"/>
  <c r="AC161" i="11"/>
  <c r="X161" i="11"/>
  <c r="V161" i="11"/>
  <c r="R161" i="11"/>
  <c r="O161" i="11"/>
  <c r="N161" i="11"/>
  <c r="K161" i="11"/>
  <c r="I160" i="11"/>
  <c r="J160" i="11"/>
  <c r="AC160" i="11"/>
  <c r="X160" i="11"/>
  <c r="V160" i="11"/>
  <c r="R160" i="11"/>
  <c r="O160" i="11"/>
  <c r="N160" i="11"/>
  <c r="K160" i="11"/>
  <c r="I159" i="11"/>
  <c r="AC159" i="11"/>
  <c r="X159" i="11"/>
  <c r="V159" i="11"/>
  <c r="J159" i="11"/>
  <c r="R159" i="11"/>
  <c r="O159" i="11"/>
  <c r="N159" i="11"/>
  <c r="K159" i="11"/>
  <c r="J158" i="11"/>
  <c r="I158" i="11"/>
  <c r="AC158" i="11"/>
  <c r="X158" i="11"/>
  <c r="V158" i="11"/>
  <c r="R158" i="11"/>
  <c r="O158" i="11"/>
  <c r="N158" i="11"/>
  <c r="K158" i="11"/>
  <c r="J157" i="11"/>
  <c r="K157" i="11"/>
  <c r="AC157" i="11"/>
  <c r="O157" i="11"/>
  <c r="N157" i="11"/>
  <c r="I157" i="11"/>
  <c r="I156" i="11"/>
  <c r="J156" i="11"/>
  <c r="AC156" i="11"/>
  <c r="X156" i="11"/>
  <c r="V156" i="11"/>
  <c r="R156" i="11"/>
  <c r="O156" i="11"/>
  <c r="N156" i="11"/>
  <c r="K156" i="11"/>
  <c r="I155" i="11"/>
  <c r="J155" i="11"/>
  <c r="AC155" i="11"/>
  <c r="X155" i="11"/>
  <c r="V155" i="11"/>
  <c r="R155" i="11"/>
  <c r="O155" i="11"/>
  <c r="N155" i="11"/>
  <c r="K155" i="11"/>
  <c r="I154" i="11"/>
  <c r="AE154" i="11" s="1"/>
  <c r="AC154" i="11"/>
  <c r="X154" i="11"/>
  <c r="V154" i="11"/>
  <c r="J154" i="11"/>
  <c r="R154" i="11"/>
  <c r="O154" i="11"/>
  <c r="N154" i="11"/>
  <c r="K154" i="11"/>
  <c r="L154" i="11" s="1"/>
  <c r="J153" i="11"/>
  <c r="I153" i="11"/>
  <c r="AE153" i="11" s="1"/>
  <c r="AC153" i="11"/>
  <c r="X153" i="11"/>
  <c r="V153" i="11"/>
  <c r="R153" i="11"/>
  <c r="O153" i="11"/>
  <c r="N153" i="11"/>
  <c r="K153" i="11"/>
  <c r="L153" i="11" s="1"/>
  <c r="J152" i="11"/>
  <c r="AC152" i="11"/>
  <c r="K152" i="11"/>
  <c r="O152" i="11"/>
  <c r="N152" i="11"/>
  <c r="I152" i="11"/>
  <c r="J151" i="11"/>
  <c r="I151" i="11"/>
  <c r="AC151" i="11"/>
  <c r="X151" i="11"/>
  <c r="V151" i="11"/>
  <c r="R151" i="11"/>
  <c r="O151" i="11"/>
  <c r="N151" i="11"/>
  <c r="K151" i="11"/>
  <c r="J150" i="11"/>
  <c r="I150" i="11"/>
  <c r="AC150" i="11"/>
  <c r="X150" i="11"/>
  <c r="V150" i="11"/>
  <c r="R150" i="11"/>
  <c r="O150" i="11"/>
  <c r="N150" i="11"/>
  <c r="K150" i="11"/>
  <c r="I149" i="11"/>
  <c r="AC149" i="11"/>
  <c r="X149" i="11"/>
  <c r="V149" i="11"/>
  <c r="J149" i="11"/>
  <c r="R149" i="11"/>
  <c r="O149" i="11"/>
  <c r="N149" i="11"/>
  <c r="K149" i="11"/>
  <c r="J148" i="11"/>
  <c r="I148" i="11"/>
  <c r="AC148" i="11"/>
  <c r="X148" i="11"/>
  <c r="V148" i="11"/>
  <c r="R148" i="11"/>
  <c r="O148" i="11"/>
  <c r="N148" i="11"/>
  <c r="K148" i="11"/>
  <c r="J147" i="11"/>
  <c r="K147" i="11"/>
  <c r="AC147" i="11"/>
  <c r="O147" i="11"/>
  <c r="N147" i="11"/>
  <c r="I147" i="11"/>
  <c r="J146" i="11"/>
  <c r="I146" i="11"/>
  <c r="AC146" i="11"/>
  <c r="X146" i="11"/>
  <c r="V146" i="11"/>
  <c r="R146" i="11"/>
  <c r="O146" i="11"/>
  <c r="N146" i="11"/>
  <c r="K146" i="11"/>
  <c r="J145" i="11"/>
  <c r="I145" i="11"/>
  <c r="AC145" i="11"/>
  <c r="X145" i="11"/>
  <c r="V145" i="11"/>
  <c r="R145" i="11"/>
  <c r="O145" i="11"/>
  <c r="N145" i="11"/>
  <c r="K145" i="11"/>
  <c r="AC144" i="11"/>
  <c r="I144" i="11"/>
  <c r="V144" i="11"/>
  <c r="J144" i="11"/>
  <c r="R144" i="11"/>
  <c r="O144" i="11"/>
  <c r="N144" i="11"/>
  <c r="K144" i="11"/>
  <c r="L144" i="11" s="1"/>
  <c r="J143" i="11"/>
  <c r="I143" i="11"/>
  <c r="AE143" i="11" s="1"/>
  <c r="AC143" i="11"/>
  <c r="X143" i="11"/>
  <c r="V143" i="11"/>
  <c r="R143" i="11"/>
  <c r="O143" i="11"/>
  <c r="N143" i="11"/>
  <c r="K143" i="11"/>
  <c r="L143" i="11" s="1"/>
  <c r="J142" i="11"/>
  <c r="AC142" i="11"/>
  <c r="K142" i="11"/>
  <c r="O142" i="11"/>
  <c r="N142" i="11"/>
  <c r="I142" i="11"/>
  <c r="J141" i="11"/>
  <c r="I141" i="11"/>
  <c r="AC141" i="11"/>
  <c r="X141" i="11"/>
  <c r="V141" i="11"/>
  <c r="R141" i="11"/>
  <c r="O141" i="11"/>
  <c r="N141" i="11"/>
  <c r="K141" i="11"/>
  <c r="I140" i="11"/>
  <c r="J140" i="11"/>
  <c r="AC140" i="11"/>
  <c r="X140" i="11"/>
  <c r="V140" i="11"/>
  <c r="R140" i="11"/>
  <c r="O140" i="11"/>
  <c r="N140" i="11"/>
  <c r="K140" i="11"/>
  <c r="I139" i="11"/>
  <c r="AC139" i="11"/>
  <c r="X139" i="11"/>
  <c r="V139" i="11"/>
  <c r="J139" i="11"/>
  <c r="R139" i="11"/>
  <c r="O139" i="11"/>
  <c r="N139" i="11"/>
  <c r="K139" i="11"/>
  <c r="J138" i="11"/>
  <c r="I138" i="11"/>
  <c r="AC138" i="11"/>
  <c r="X138" i="11"/>
  <c r="V138" i="11"/>
  <c r="R138" i="11"/>
  <c r="O138" i="11"/>
  <c r="N138" i="11"/>
  <c r="K138" i="11"/>
  <c r="J137" i="11"/>
  <c r="K137" i="11"/>
  <c r="AC137" i="11"/>
  <c r="O137" i="11"/>
  <c r="N137" i="11"/>
  <c r="I137" i="11"/>
  <c r="I136" i="11"/>
  <c r="J136" i="11"/>
  <c r="AC136" i="11"/>
  <c r="X136" i="11"/>
  <c r="V136" i="11"/>
  <c r="R136" i="11"/>
  <c r="O136" i="11"/>
  <c r="N136" i="11"/>
  <c r="K136" i="11"/>
  <c r="J135" i="11"/>
  <c r="I135" i="11"/>
  <c r="AC135" i="11"/>
  <c r="X135" i="11"/>
  <c r="V135" i="11"/>
  <c r="R135" i="11"/>
  <c r="O135" i="11"/>
  <c r="N135" i="11"/>
  <c r="K135" i="11"/>
  <c r="I134" i="11"/>
  <c r="AC134" i="11"/>
  <c r="X134" i="11"/>
  <c r="V134" i="11"/>
  <c r="J134" i="11"/>
  <c r="R134" i="11"/>
  <c r="O134" i="11"/>
  <c r="N134" i="11"/>
  <c r="K134" i="11"/>
  <c r="J133" i="11"/>
  <c r="AC133" i="11"/>
  <c r="I133" i="11"/>
  <c r="AE133" i="11" s="1"/>
  <c r="X133" i="11"/>
  <c r="V133" i="11"/>
  <c r="R133" i="11"/>
  <c r="O133" i="11"/>
  <c r="N133" i="11"/>
  <c r="K133" i="11"/>
  <c r="L133" i="11" s="1"/>
  <c r="J132" i="11"/>
  <c r="AC132" i="11"/>
  <c r="K132" i="11"/>
  <c r="O132" i="11"/>
  <c r="N132" i="11"/>
  <c r="I132" i="11"/>
  <c r="J131" i="11"/>
  <c r="I131" i="11"/>
  <c r="AC131" i="11"/>
  <c r="X131" i="11"/>
  <c r="V131" i="11"/>
  <c r="R131" i="11"/>
  <c r="O131" i="11"/>
  <c r="N131" i="11"/>
  <c r="K131" i="11"/>
  <c r="J130" i="11"/>
  <c r="I130" i="11"/>
  <c r="AC130" i="11"/>
  <c r="X130" i="11"/>
  <c r="V130" i="11"/>
  <c r="R130" i="11"/>
  <c r="O130" i="11"/>
  <c r="N130" i="11"/>
  <c r="K130" i="11"/>
  <c r="J129" i="11"/>
  <c r="AC129" i="11"/>
  <c r="I129" i="11"/>
  <c r="R129" i="11"/>
  <c r="O129" i="11"/>
  <c r="N129" i="11"/>
  <c r="K129" i="11"/>
  <c r="L129" i="11" s="1"/>
  <c r="J128" i="11"/>
  <c r="AC128" i="11"/>
  <c r="I128" i="11"/>
  <c r="AE128" i="11" s="1"/>
  <c r="X128" i="11"/>
  <c r="V128" i="11"/>
  <c r="R128" i="11"/>
  <c r="O128" i="11"/>
  <c r="N128" i="11"/>
  <c r="K128" i="11"/>
  <c r="L128" i="11" s="1"/>
  <c r="J127" i="11"/>
  <c r="I127" i="11"/>
  <c r="AC127" i="11"/>
  <c r="X127" i="11"/>
  <c r="V127" i="11"/>
  <c r="R127" i="11"/>
  <c r="O127" i="11"/>
  <c r="N127" i="11"/>
  <c r="K127" i="11"/>
  <c r="J126" i="11"/>
  <c r="K126" i="11"/>
  <c r="AC126" i="11"/>
  <c r="O126" i="11"/>
  <c r="N126" i="11"/>
  <c r="I126" i="11"/>
  <c r="I125" i="11"/>
  <c r="J125" i="11"/>
  <c r="AC125" i="11"/>
  <c r="X125" i="11"/>
  <c r="V125" i="11"/>
  <c r="R125" i="11"/>
  <c r="O125" i="11"/>
  <c r="N125" i="11"/>
  <c r="K125" i="11"/>
  <c r="I124" i="11"/>
  <c r="AC124" i="11"/>
  <c r="X124" i="11"/>
  <c r="V124" i="11"/>
  <c r="R124" i="11"/>
  <c r="K124" i="11"/>
  <c r="J124" i="11"/>
  <c r="I123" i="11"/>
  <c r="AC123" i="11"/>
  <c r="X123" i="11"/>
  <c r="V123" i="11"/>
  <c r="J123" i="11"/>
  <c r="R123" i="11"/>
  <c r="O123" i="11"/>
  <c r="N123" i="11"/>
  <c r="K123" i="11"/>
  <c r="J122" i="11"/>
  <c r="I122" i="11"/>
  <c r="AE122" i="11" s="1"/>
  <c r="AC122" i="11"/>
  <c r="X122" i="11"/>
  <c r="V122" i="11"/>
  <c r="R122" i="11"/>
  <c r="O122" i="11"/>
  <c r="N122" i="11"/>
  <c r="K122" i="11"/>
  <c r="L122" i="11" s="1"/>
  <c r="J121" i="11"/>
  <c r="AC121" i="11"/>
  <c r="K121" i="11"/>
  <c r="O121" i="11"/>
  <c r="N121" i="11"/>
  <c r="I121" i="11"/>
  <c r="J120" i="11"/>
  <c r="I120" i="11"/>
  <c r="AC120" i="11"/>
  <c r="X120" i="11"/>
  <c r="V120" i="11"/>
  <c r="R120" i="11"/>
  <c r="O120" i="11"/>
  <c r="N120" i="11"/>
  <c r="K120" i="11"/>
  <c r="I119" i="11"/>
  <c r="J119" i="11"/>
  <c r="AC119" i="11"/>
  <c r="X119" i="11"/>
  <c r="V119" i="11"/>
  <c r="R119" i="11"/>
  <c r="O119" i="11"/>
  <c r="N119" i="11"/>
  <c r="K119" i="11"/>
  <c r="I118" i="11"/>
  <c r="AC118" i="11"/>
  <c r="X118" i="11"/>
  <c r="V118" i="11"/>
  <c r="J118" i="11"/>
  <c r="R118" i="11"/>
  <c r="O118" i="11"/>
  <c r="N118" i="11"/>
  <c r="K118" i="11"/>
  <c r="J117" i="11"/>
  <c r="I117" i="11"/>
  <c r="AC117" i="11"/>
  <c r="X117" i="11"/>
  <c r="V117" i="11"/>
  <c r="R117" i="11"/>
  <c r="O117" i="11"/>
  <c r="N117" i="11"/>
  <c r="K117" i="11"/>
  <c r="J116" i="11"/>
  <c r="K116" i="11"/>
  <c r="AC116" i="11"/>
  <c r="O116" i="11"/>
  <c r="N116" i="11"/>
  <c r="I116" i="11"/>
  <c r="I115" i="11"/>
  <c r="J115" i="11"/>
  <c r="AC115" i="11"/>
  <c r="X115" i="11"/>
  <c r="V115" i="11"/>
  <c r="R115" i="11"/>
  <c r="O115" i="11"/>
  <c r="N115" i="11"/>
  <c r="K115" i="11"/>
  <c r="I114" i="11"/>
  <c r="J114" i="11"/>
  <c r="AC114" i="11"/>
  <c r="X114" i="11"/>
  <c r="V114" i="11"/>
  <c r="R114" i="11"/>
  <c r="O114" i="11"/>
  <c r="N114" i="11"/>
  <c r="K114" i="11"/>
  <c r="I113" i="11"/>
  <c r="AC113" i="11"/>
  <c r="X113" i="11"/>
  <c r="V113" i="11"/>
  <c r="J113" i="11"/>
  <c r="R113" i="11"/>
  <c r="O113" i="11"/>
  <c r="N113" i="11"/>
  <c r="K113" i="11"/>
  <c r="J112" i="11"/>
  <c r="I112" i="11"/>
  <c r="AE112" i="11" s="1"/>
  <c r="AC112" i="11"/>
  <c r="X112" i="11"/>
  <c r="V112" i="11"/>
  <c r="R112" i="11"/>
  <c r="O112" i="11"/>
  <c r="N112" i="11"/>
  <c r="K112" i="11"/>
  <c r="L112" i="11" s="1"/>
  <c r="J111" i="11"/>
  <c r="AC111" i="11"/>
  <c r="K111" i="11"/>
  <c r="O111" i="11"/>
  <c r="N111" i="11"/>
  <c r="I111" i="11"/>
  <c r="J110" i="11"/>
  <c r="I110" i="11"/>
  <c r="AC110" i="11"/>
  <c r="X110" i="11"/>
  <c r="V110" i="11"/>
  <c r="R110" i="11"/>
  <c r="O110" i="11"/>
  <c r="N110" i="11"/>
  <c r="K110" i="11"/>
  <c r="J109" i="11"/>
  <c r="I109" i="11"/>
  <c r="AC109" i="11"/>
  <c r="X109" i="11"/>
  <c r="V109" i="11"/>
  <c r="R109" i="11"/>
  <c r="O109" i="11"/>
  <c r="N109" i="11"/>
  <c r="K109" i="11"/>
  <c r="I108" i="11"/>
  <c r="AC108" i="11"/>
  <c r="X108" i="11"/>
  <c r="V108" i="11"/>
  <c r="J108" i="11"/>
  <c r="R108" i="11"/>
  <c r="O108" i="11"/>
  <c r="N108" i="11"/>
  <c r="K108" i="11"/>
  <c r="J107" i="11"/>
  <c r="I107" i="11"/>
  <c r="AC107" i="11"/>
  <c r="X107" i="11"/>
  <c r="V107" i="11"/>
  <c r="R107" i="11"/>
  <c r="O107" i="11"/>
  <c r="N107" i="11"/>
  <c r="K107" i="11"/>
  <c r="J106" i="11"/>
  <c r="K106" i="11"/>
  <c r="AC106" i="11"/>
  <c r="O106" i="11"/>
  <c r="N106" i="11"/>
  <c r="I106" i="11"/>
  <c r="J105" i="11"/>
  <c r="I105" i="11"/>
  <c r="AC105" i="11"/>
  <c r="X105" i="11"/>
  <c r="V105" i="11"/>
  <c r="R105" i="11"/>
  <c r="O105" i="11"/>
  <c r="N105" i="11"/>
  <c r="K105" i="11"/>
  <c r="J104" i="11"/>
  <c r="I104" i="11"/>
  <c r="AC104" i="11"/>
  <c r="X104" i="11"/>
  <c r="V104" i="11"/>
  <c r="R104" i="11"/>
  <c r="O104" i="11"/>
  <c r="N104" i="11"/>
  <c r="K104" i="11"/>
  <c r="I103" i="11"/>
  <c r="AC103" i="11"/>
  <c r="X103" i="11"/>
  <c r="V103" i="11"/>
  <c r="J103" i="11"/>
  <c r="R103" i="11"/>
  <c r="O103" i="11"/>
  <c r="N103" i="11"/>
  <c r="K103" i="11"/>
  <c r="J102" i="11"/>
  <c r="I102" i="11"/>
  <c r="AE102" i="11" s="1"/>
  <c r="AC102" i="11"/>
  <c r="X102" i="11"/>
  <c r="V102" i="11"/>
  <c r="R102" i="11"/>
  <c r="O102" i="11"/>
  <c r="N102" i="11"/>
  <c r="K102" i="11"/>
  <c r="L102" i="11" s="1"/>
  <c r="J101" i="11"/>
  <c r="AC101" i="11"/>
  <c r="K101" i="11"/>
  <c r="O101" i="11"/>
  <c r="N101" i="11"/>
  <c r="I101" i="11"/>
  <c r="J100" i="11"/>
  <c r="I100" i="11"/>
  <c r="AC100" i="11"/>
  <c r="X100" i="11"/>
  <c r="V100" i="11"/>
  <c r="R100" i="11"/>
  <c r="O100" i="11"/>
  <c r="N100" i="11"/>
  <c r="K100" i="11"/>
  <c r="I99" i="11"/>
  <c r="J99" i="11"/>
  <c r="AC99" i="11"/>
  <c r="X99" i="11"/>
  <c r="V99" i="11"/>
  <c r="R99" i="11"/>
  <c r="O99" i="11"/>
  <c r="N99" i="11"/>
  <c r="K99" i="11"/>
  <c r="I98" i="11"/>
  <c r="AC98" i="11"/>
  <c r="X98" i="11"/>
  <c r="V98" i="11"/>
  <c r="J98" i="11"/>
  <c r="R98" i="11"/>
  <c r="O98" i="11"/>
  <c r="N98" i="11"/>
  <c r="K98" i="11"/>
  <c r="J97" i="11"/>
  <c r="I97" i="11"/>
  <c r="AC97" i="11"/>
  <c r="X97" i="11"/>
  <c r="V97" i="11"/>
  <c r="R97" i="11"/>
  <c r="O97" i="11"/>
  <c r="N97" i="11"/>
  <c r="K97" i="11"/>
  <c r="J96" i="11"/>
  <c r="K96" i="11"/>
  <c r="AC96" i="11"/>
  <c r="O96" i="11"/>
  <c r="N96" i="11"/>
  <c r="I96" i="11"/>
  <c r="I95" i="11"/>
  <c r="J95" i="11"/>
  <c r="AC95" i="11"/>
  <c r="X95" i="11"/>
  <c r="V95" i="11"/>
  <c r="R95" i="11"/>
  <c r="O95" i="11"/>
  <c r="N95" i="11"/>
  <c r="K95" i="11"/>
  <c r="J94" i="11"/>
  <c r="I94" i="11"/>
  <c r="AC94" i="11"/>
  <c r="X94" i="11"/>
  <c r="V94" i="11"/>
  <c r="R94" i="11"/>
  <c r="O94" i="11"/>
  <c r="N94" i="11"/>
  <c r="K94" i="11"/>
  <c r="I93" i="11"/>
  <c r="AC93" i="11"/>
  <c r="X93" i="11"/>
  <c r="V93" i="11"/>
  <c r="J93" i="11"/>
  <c r="R93" i="11"/>
  <c r="O93" i="11"/>
  <c r="N93" i="11"/>
  <c r="K93" i="11"/>
  <c r="J92" i="11"/>
  <c r="AC92" i="11"/>
  <c r="I92" i="11"/>
  <c r="AE92" i="11" s="1"/>
  <c r="X92" i="11"/>
  <c r="V92" i="11"/>
  <c r="R92" i="11"/>
  <c r="O92" i="11"/>
  <c r="N92" i="11"/>
  <c r="K92" i="11"/>
  <c r="L92" i="11" s="1"/>
  <c r="J91" i="11"/>
  <c r="AC91" i="11"/>
  <c r="K91" i="11"/>
  <c r="O91" i="11"/>
  <c r="N91" i="11"/>
  <c r="I91" i="11"/>
  <c r="J90" i="11"/>
  <c r="I90" i="11"/>
  <c r="AC90" i="11"/>
  <c r="X90" i="11"/>
  <c r="V90" i="11"/>
  <c r="R90" i="11"/>
  <c r="O90" i="11"/>
  <c r="N90" i="11"/>
  <c r="K90" i="11"/>
  <c r="J89" i="11"/>
  <c r="I89" i="11"/>
  <c r="AC89" i="11"/>
  <c r="X89" i="11"/>
  <c r="V89" i="11"/>
  <c r="R89" i="11"/>
  <c r="O89" i="11"/>
  <c r="N89" i="11"/>
  <c r="K89" i="11"/>
  <c r="J88" i="11"/>
  <c r="AC88" i="11"/>
  <c r="I88" i="11"/>
  <c r="R88" i="11"/>
  <c r="O88" i="11"/>
  <c r="N88" i="11"/>
  <c r="K88" i="11"/>
  <c r="L88" i="11" s="1"/>
  <c r="J87" i="11"/>
  <c r="AC87" i="11"/>
  <c r="I87" i="11"/>
  <c r="AE87" i="11" s="1"/>
  <c r="X87" i="11"/>
  <c r="V87" i="11"/>
  <c r="R87" i="11"/>
  <c r="O87" i="11"/>
  <c r="N87" i="11"/>
  <c r="K87" i="11"/>
  <c r="L87" i="11" s="1"/>
  <c r="J86" i="11"/>
  <c r="I86" i="11"/>
  <c r="AC86" i="11"/>
  <c r="X86" i="11"/>
  <c r="V86" i="11"/>
  <c r="R86" i="11"/>
  <c r="O86" i="11"/>
  <c r="N86" i="11"/>
  <c r="K86" i="11"/>
  <c r="J85" i="11"/>
  <c r="K85" i="11"/>
  <c r="AC85" i="11"/>
  <c r="O85" i="11"/>
  <c r="N85" i="11"/>
  <c r="I85" i="11"/>
  <c r="J84" i="11"/>
  <c r="I84" i="11"/>
  <c r="AC84" i="11"/>
  <c r="X84" i="11"/>
  <c r="V84" i="11"/>
  <c r="R84" i="11"/>
  <c r="O84" i="11"/>
  <c r="N84" i="11"/>
  <c r="K84" i="11"/>
  <c r="J83" i="11"/>
  <c r="I83" i="11"/>
  <c r="AC83" i="11"/>
  <c r="X83" i="11"/>
  <c r="V83" i="11"/>
  <c r="R83" i="11"/>
  <c r="O83" i="11"/>
  <c r="N83" i="11"/>
  <c r="K83" i="11"/>
  <c r="I82" i="11"/>
  <c r="AC82" i="11"/>
  <c r="X82" i="11"/>
  <c r="V82" i="11"/>
  <c r="J82" i="11"/>
  <c r="R82" i="11"/>
  <c r="O82" i="11"/>
  <c r="N82" i="11"/>
  <c r="K82" i="11"/>
  <c r="J81" i="11"/>
  <c r="I81" i="11"/>
  <c r="AE81" i="11" s="1"/>
  <c r="AC81" i="11"/>
  <c r="X81" i="11"/>
  <c r="V81" i="11"/>
  <c r="R81" i="11"/>
  <c r="O81" i="11"/>
  <c r="N81" i="11"/>
  <c r="K81" i="11"/>
  <c r="L81" i="11" s="1"/>
  <c r="J80" i="11"/>
  <c r="AC80" i="11"/>
  <c r="K80" i="11"/>
  <c r="O80" i="11"/>
  <c r="N80" i="11"/>
  <c r="I80" i="11"/>
  <c r="J79" i="11"/>
  <c r="I79" i="11"/>
  <c r="AC79" i="11"/>
  <c r="X79" i="11"/>
  <c r="V79" i="11"/>
  <c r="R79" i="11"/>
  <c r="O79" i="11"/>
  <c r="N79" i="11"/>
  <c r="K79" i="11"/>
  <c r="I78" i="11"/>
  <c r="J78" i="11"/>
  <c r="AC78" i="11"/>
  <c r="X78" i="11"/>
  <c r="V78" i="11"/>
  <c r="R78" i="11"/>
  <c r="O78" i="11"/>
  <c r="N78" i="11"/>
  <c r="K78" i="11"/>
  <c r="I77" i="11"/>
  <c r="AC77" i="11"/>
  <c r="X77" i="11"/>
  <c r="V77" i="11"/>
  <c r="J77" i="11"/>
  <c r="R77" i="11"/>
  <c r="O77" i="11"/>
  <c r="N77" i="11"/>
  <c r="K77" i="11"/>
  <c r="J76" i="11"/>
  <c r="I76" i="11"/>
  <c r="AC76" i="11"/>
  <c r="X76" i="11"/>
  <c r="V76" i="11"/>
  <c r="R76" i="11"/>
  <c r="O76" i="11"/>
  <c r="N76" i="11"/>
  <c r="K76" i="11"/>
  <c r="J75" i="11"/>
  <c r="K75" i="11"/>
  <c r="AC75" i="11"/>
  <c r="O75" i="11"/>
  <c r="N75" i="11"/>
  <c r="I75" i="11"/>
  <c r="I74" i="11"/>
  <c r="J74" i="11"/>
  <c r="AC74" i="11"/>
  <c r="X74" i="11"/>
  <c r="V74" i="11"/>
  <c r="R74" i="11"/>
  <c r="O74" i="11"/>
  <c r="N74" i="11"/>
  <c r="K74" i="11"/>
  <c r="I73" i="11"/>
  <c r="J73" i="11"/>
  <c r="AC73" i="11"/>
  <c r="X73" i="11"/>
  <c r="V73" i="11"/>
  <c r="R73" i="11"/>
  <c r="O73" i="11"/>
  <c r="N73" i="11"/>
  <c r="K73" i="11"/>
  <c r="I72" i="11"/>
  <c r="AE72" i="11" s="1"/>
  <c r="AC72" i="11"/>
  <c r="X72" i="11"/>
  <c r="V72" i="11"/>
  <c r="J72" i="11"/>
  <c r="R72" i="11"/>
  <c r="O72" i="11"/>
  <c r="N72" i="11"/>
  <c r="K72" i="11"/>
  <c r="L72" i="11" s="1"/>
  <c r="J71" i="11"/>
  <c r="I71" i="11"/>
  <c r="AE71" i="11" s="1"/>
  <c r="AC71" i="11"/>
  <c r="X71" i="11"/>
  <c r="V71" i="11"/>
  <c r="R71" i="11"/>
  <c r="O71" i="11"/>
  <c r="N71" i="11"/>
  <c r="K71" i="11"/>
  <c r="L71" i="11" s="1"/>
  <c r="J70" i="11"/>
  <c r="AC70" i="11"/>
  <c r="K70" i="11"/>
  <c r="O70" i="11"/>
  <c r="N70" i="11"/>
  <c r="I70" i="11"/>
  <c r="J69" i="11"/>
  <c r="I69" i="11"/>
  <c r="AC69" i="11"/>
  <c r="X69" i="11"/>
  <c r="V69" i="11"/>
  <c r="R69" i="11"/>
  <c r="O69" i="11"/>
  <c r="N69" i="11"/>
  <c r="K69" i="11"/>
  <c r="J68" i="11"/>
  <c r="I68" i="11"/>
  <c r="AC68" i="11"/>
  <c r="X68" i="11"/>
  <c r="V68" i="11"/>
  <c r="R68" i="11"/>
  <c r="O68" i="11"/>
  <c r="N68" i="11"/>
  <c r="K68" i="11"/>
  <c r="I67" i="11"/>
  <c r="AC67" i="11"/>
  <c r="X67" i="11"/>
  <c r="V67" i="11"/>
  <c r="J67" i="11"/>
  <c r="R67" i="11"/>
  <c r="O67" i="11"/>
  <c r="N67" i="11"/>
  <c r="K67" i="11"/>
  <c r="J66" i="11"/>
  <c r="I66" i="11"/>
  <c r="AC66" i="11"/>
  <c r="X66" i="11"/>
  <c r="V66" i="11"/>
  <c r="R66" i="11"/>
  <c r="O66" i="11"/>
  <c r="N66" i="11"/>
  <c r="K66" i="11"/>
  <c r="J65" i="11"/>
  <c r="K65" i="11"/>
  <c r="AC65" i="11"/>
  <c r="O65" i="11"/>
  <c r="N65" i="11"/>
  <c r="I65" i="11"/>
  <c r="J64" i="11"/>
  <c r="I64" i="11"/>
  <c r="AC64" i="11"/>
  <c r="X64" i="11"/>
  <c r="V64" i="11"/>
  <c r="R64" i="11"/>
  <c r="O64" i="11"/>
  <c r="N64" i="11"/>
  <c r="K64" i="11"/>
  <c r="J63" i="11"/>
  <c r="I63" i="11"/>
  <c r="AC63" i="11"/>
  <c r="X63" i="11"/>
  <c r="V63" i="11"/>
  <c r="R63" i="11"/>
  <c r="O63" i="11"/>
  <c r="N63" i="11"/>
  <c r="K63" i="11"/>
  <c r="AC62" i="11"/>
  <c r="I62" i="11"/>
  <c r="AE62" i="11" s="1"/>
  <c r="X62" i="11"/>
  <c r="V62" i="11"/>
  <c r="J62" i="11"/>
  <c r="R62" i="11"/>
  <c r="O62" i="11"/>
  <c r="N62" i="11"/>
  <c r="K62" i="11"/>
  <c r="L62" i="11" s="1"/>
  <c r="J61" i="11"/>
  <c r="I61" i="11"/>
  <c r="AE61" i="11" s="1"/>
  <c r="AC61" i="11"/>
  <c r="X61" i="11"/>
  <c r="V61" i="11"/>
  <c r="R61" i="11"/>
  <c r="O61" i="11"/>
  <c r="N61" i="11"/>
  <c r="K61" i="11"/>
  <c r="L61" i="11" s="1"/>
  <c r="J60" i="11"/>
  <c r="AC60" i="11"/>
  <c r="K60" i="11"/>
  <c r="O60" i="11"/>
  <c r="N60" i="11"/>
  <c r="I60" i="11"/>
  <c r="J59" i="11"/>
  <c r="I59" i="11"/>
  <c r="AC59" i="11"/>
  <c r="X59" i="11"/>
  <c r="V59" i="11"/>
  <c r="R59" i="11"/>
  <c r="O59" i="11"/>
  <c r="N59" i="11"/>
  <c r="K59" i="11"/>
  <c r="I58" i="11"/>
  <c r="J58" i="11"/>
  <c r="AC58" i="11"/>
  <c r="X58" i="11"/>
  <c r="V58" i="11"/>
  <c r="R58" i="11"/>
  <c r="O58" i="11"/>
  <c r="N58" i="11"/>
  <c r="K58" i="11"/>
  <c r="I57" i="11"/>
  <c r="AC57" i="11"/>
  <c r="X57" i="11"/>
  <c r="V57" i="11"/>
  <c r="J57" i="11"/>
  <c r="R57" i="11"/>
  <c r="O57" i="11"/>
  <c r="N57" i="11"/>
  <c r="K57" i="11"/>
  <c r="J56" i="11"/>
  <c r="I56" i="11"/>
  <c r="AC56" i="11"/>
  <c r="X56" i="11"/>
  <c r="V56" i="11"/>
  <c r="R56" i="11"/>
  <c r="O56" i="11"/>
  <c r="N56" i="11"/>
  <c r="K56" i="11"/>
  <c r="J55" i="11"/>
  <c r="K55" i="11"/>
  <c r="AC55" i="11"/>
  <c r="O55" i="11"/>
  <c r="N55" i="11"/>
  <c r="I55" i="11"/>
  <c r="I54" i="11"/>
  <c r="J54" i="11"/>
  <c r="AC54" i="11"/>
  <c r="X54" i="11"/>
  <c r="V54" i="11"/>
  <c r="R54" i="11"/>
  <c r="O54" i="11"/>
  <c r="N54" i="11"/>
  <c r="K54" i="11"/>
  <c r="J53" i="11"/>
  <c r="I53" i="11"/>
  <c r="AC53" i="11"/>
  <c r="X53" i="11"/>
  <c r="V53" i="11"/>
  <c r="R53" i="11"/>
  <c r="O53" i="11"/>
  <c r="N53" i="11"/>
  <c r="K53" i="11"/>
  <c r="I52" i="11"/>
  <c r="AC52" i="11"/>
  <c r="X52" i="11"/>
  <c r="V52" i="11"/>
  <c r="J52" i="11"/>
  <c r="R52" i="11"/>
  <c r="O52" i="11"/>
  <c r="N52" i="11"/>
  <c r="K52" i="11"/>
  <c r="J51" i="11"/>
  <c r="AC51" i="11"/>
  <c r="I51" i="11"/>
  <c r="AE51" i="11" s="1"/>
  <c r="X51" i="11"/>
  <c r="V51" i="11"/>
  <c r="R51" i="11"/>
  <c r="O51" i="11"/>
  <c r="N51" i="11"/>
  <c r="K51" i="11"/>
  <c r="L51" i="11" s="1"/>
  <c r="J50" i="11"/>
  <c r="AC50" i="11"/>
  <c r="K50" i="11"/>
  <c r="O50" i="11"/>
  <c r="N50" i="11"/>
  <c r="I50" i="11"/>
  <c r="J49" i="11"/>
  <c r="I49" i="11"/>
  <c r="AC49" i="11"/>
  <c r="X49" i="11"/>
  <c r="V49" i="11"/>
  <c r="R49" i="11"/>
  <c r="O49" i="11"/>
  <c r="N49" i="11"/>
  <c r="K49" i="11"/>
  <c r="J48" i="11"/>
  <c r="I48" i="11"/>
  <c r="AC48" i="11"/>
  <c r="X48" i="11"/>
  <c r="V48" i="11"/>
  <c r="R48" i="11"/>
  <c r="O48" i="11"/>
  <c r="N48" i="11"/>
  <c r="K48" i="11"/>
  <c r="J47" i="11"/>
  <c r="AC47" i="11"/>
  <c r="I47" i="11"/>
  <c r="R47" i="11"/>
  <c r="O47" i="11"/>
  <c r="N47" i="11"/>
  <c r="K47" i="11"/>
  <c r="L47" i="11" s="1"/>
  <c r="J46" i="11"/>
  <c r="AC46" i="11"/>
  <c r="I46" i="11"/>
  <c r="AE46" i="11" s="1"/>
  <c r="X46" i="11"/>
  <c r="V46" i="11"/>
  <c r="R46" i="11"/>
  <c r="O46" i="11"/>
  <c r="N46" i="11"/>
  <c r="K46" i="11"/>
  <c r="L46" i="11" s="1"/>
  <c r="J45" i="11"/>
  <c r="I45" i="11"/>
  <c r="AC45" i="11"/>
  <c r="X45" i="11"/>
  <c r="V45" i="11"/>
  <c r="R45" i="11"/>
  <c r="O45" i="11"/>
  <c r="N45" i="11"/>
  <c r="K45" i="11"/>
  <c r="J44" i="11"/>
  <c r="K44" i="11"/>
  <c r="AC44" i="11"/>
  <c r="O44" i="11"/>
  <c r="N44" i="11"/>
  <c r="I44" i="11"/>
  <c r="I43" i="11"/>
  <c r="J43" i="11"/>
  <c r="AC43" i="11"/>
  <c r="X43" i="11"/>
  <c r="V43" i="11"/>
  <c r="R43" i="11"/>
  <c r="O43" i="11"/>
  <c r="N43" i="11"/>
  <c r="K43" i="11"/>
  <c r="J42" i="11"/>
  <c r="I42" i="11"/>
  <c r="AC42" i="11"/>
  <c r="X42" i="11"/>
  <c r="V42" i="11"/>
  <c r="R42" i="11"/>
  <c r="O42" i="11"/>
  <c r="N42" i="11"/>
  <c r="K42" i="11"/>
  <c r="I41" i="11"/>
  <c r="AC41" i="11"/>
  <c r="X41" i="11"/>
  <c r="V41" i="11"/>
  <c r="J41" i="11"/>
  <c r="R41" i="11"/>
  <c r="O41" i="11"/>
  <c r="N41" i="11"/>
  <c r="K41" i="11"/>
  <c r="J40" i="11"/>
  <c r="I40" i="11"/>
  <c r="AE40" i="11" s="1"/>
  <c r="AC40" i="11"/>
  <c r="X40" i="11"/>
  <c r="V40" i="11"/>
  <c r="R40" i="11"/>
  <c r="O40" i="11"/>
  <c r="N40" i="11"/>
  <c r="K40" i="11"/>
  <c r="L40" i="11" s="1"/>
  <c r="J39" i="11"/>
  <c r="AC39" i="11"/>
  <c r="K39" i="11"/>
  <c r="O39" i="11"/>
  <c r="N39" i="11"/>
  <c r="I39" i="11"/>
  <c r="J38" i="11"/>
  <c r="I38" i="11"/>
  <c r="AC38" i="11"/>
  <c r="X38" i="11"/>
  <c r="V38" i="11"/>
  <c r="R38" i="11"/>
  <c r="O38" i="11"/>
  <c r="N38" i="11"/>
  <c r="K38" i="11"/>
  <c r="I37" i="11"/>
  <c r="J37" i="11"/>
  <c r="AC37" i="11"/>
  <c r="X37" i="11"/>
  <c r="V37" i="11"/>
  <c r="R37" i="11"/>
  <c r="O37" i="11"/>
  <c r="N37" i="11"/>
  <c r="K37" i="11"/>
  <c r="I36" i="11"/>
  <c r="AC36" i="11"/>
  <c r="X36" i="11"/>
  <c r="V36" i="11"/>
  <c r="J36" i="11"/>
  <c r="R36" i="11"/>
  <c r="O36" i="11"/>
  <c r="N36" i="11"/>
  <c r="K36" i="11"/>
  <c r="J35" i="11"/>
  <c r="I35" i="11"/>
  <c r="AC35" i="11"/>
  <c r="X35" i="11"/>
  <c r="V35" i="11"/>
  <c r="R35" i="11"/>
  <c r="O35" i="11"/>
  <c r="N35" i="11"/>
  <c r="K35" i="11"/>
  <c r="J34" i="11"/>
  <c r="K34" i="11"/>
  <c r="AC34" i="11"/>
  <c r="O34" i="11"/>
  <c r="N34" i="11"/>
  <c r="I34" i="11"/>
  <c r="I33" i="11"/>
  <c r="J33" i="11"/>
  <c r="AC33" i="11"/>
  <c r="X33" i="11"/>
  <c r="V33" i="11"/>
  <c r="R33" i="11"/>
  <c r="O33" i="11"/>
  <c r="N33" i="11"/>
  <c r="K33" i="11"/>
  <c r="I32" i="11"/>
  <c r="J32" i="11"/>
  <c r="AC32" i="11"/>
  <c r="X32" i="11"/>
  <c r="V32" i="11"/>
  <c r="R32" i="11"/>
  <c r="O32" i="11"/>
  <c r="N32" i="11"/>
  <c r="K32" i="11"/>
  <c r="I31" i="11"/>
  <c r="AC31" i="11"/>
  <c r="X31" i="11"/>
  <c r="V31" i="11"/>
  <c r="J31" i="11"/>
  <c r="R31" i="11"/>
  <c r="O31" i="11"/>
  <c r="N31" i="11"/>
  <c r="K31" i="11"/>
  <c r="J30" i="11"/>
  <c r="I30" i="11"/>
  <c r="AE30" i="11" s="1"/>
  <c r="AC30" i="11"/>
  <c r="X30" i="11"/>
  <c r="V30" i="11"/>
  <c r="R30" i="11"/>
  <c r="O30" i="11"/>
  <c r="N30" i="11"/>
  <c r="K30" i="11"/>
  <c r="L30" i="11" s="1"/>
  <c r="J29" i="11"/>
  <c r="AC29" i="11"/>
  <c r="K29" i="11"/>
  <c r="O29" i="11"/>
  <c r="N29" i="11"/>
  <c r="I29" i="11"/>
  <c r="J28" i="11"/>
  <c r="I28" i="11"/>
  <c r="AC28" i="11"/>
  <c r="X28" i="11"/>
  <c r="V28" i="11"/>
  <c r="R28" i="11"/>
  <c r="O28" i="11"/>
  <c r="N28" i="11"/>
  <c r="K28" i="11"/>
  <c r="J27" i="11"/>
  <c r="I27" i="11"/>
  <c r="AC27" i="11"/>
  <c r="X27" i="11"/>
  <c r="V27" i="11"/>
  <c r="R27" i="11"/>
  <c r="O27" i="11"/>
  <c r="N27" i="11"/>
  <c r="K27" i="11"/>
  <c r="I26" i="11"/>
  <c r="AC26" i="11"/>
  <c r="X26" i="11"/>
  <c r="V26" i="11"/>
  <c r="J26" i="11"/>
  <c r="R26" i="11"/>
  <c r="O26" i="11"/>
  <c r="N26" i="11"/>
  <c r="K26" i="11"/>
  <c r="J25" i="11"/>
  <c r="I25" i="11"/>
  <c r="AC25" i="11"/>
  <c r="X25" i="11"/>
  <c r="V25" i="11"/>
  <c r="R25" i="11"/>
  <c r="O25" i="11"/>
  <c r="N25" i="11"/>
  <c r="K25" i="11"/>
  <c r="J24" i="11"/>
  <c r="K24" i="11"/>
  <c r="AC24" i="11"/>
  <c r="O24" i="11"/>
  <c r="N24" i="11"/>
  <c r="I24" i="11"/>
  <c r="J23" i="11"/>
  <c r="I23" i="11"/>
  <c r="AC23" i="11"/>
  <c r="X23" i="11"/>
  <c r="V23" i="11"/>
  <c r="R23" i="11"/>
  <c r="O23" i="11"/>
  <c r="N23" i="11"/>
  <c r="K23" i="11"/>
  <c r="J22" i="11"/>
  <c r="I22" i="11"/>
  <c r="AC22" i="11"/>
  <c r="X22" i="11"/>
  <c r="V22" i="11"/>
  <c r="R22" i="11"/>
  <c r="O22" i="11"/>
  <c r="N22" i="11"/>
  <c r="K22" i="11"/>
  <c r="I21" i="11"/>
  <c r="AC21" i="11"/>
  <c r="X21" i="11"/>
  <c r="V21" i="11"/>
  <c r="J21" i="11"/>
  <c r="R21" i="11"/>
  <c r="O21" i="11"/>
  <c r="N21" i="11"/>
  <c r="K21" i="11"/>
  <c r="J20" i="11"/>
  <c r="I20" i="11"/>
  <c r="AE20" i="11" s="1"/>
  <c r="AC20" i="11"/>
  <c r="X20" i="11"/>
  <c r="V20" i="11"/>
  <c r="R20" i="11"/>
  <c r="O20" i="11"/>
  <c r="N20" i="11"/>
  <c r="K20" i="11"/>
  <c r="L20" i="11" s="1"/>
  <c r="J19" i="11"/>
  <c r="AC19" i="11"/>
  <c r="K19" i="11"/>
  <c r="O19" i="11"/>
  <c r="N19" i="11"/>
  <c r="I19" i="11"/>
  <c r="J18" i="11"/>
  <c r="I18" i="11"/>
  <c r="AC18" i="11"/>
  <c r="X18" i="11"/>
  <c r="V18" i="11"/>
  <c r="R18" i="11"/>
  <c r="O18" i="11"/>
  <c r="N18" i="11"/>
  <c r="K18" i="11"/>
  <c r="I17" i="11"/>
  <c r="J17" i="11"/>
  <c r="AC17" i="11"/>
  <c r="X17" i="11"/>
  <c r="V17" i="11"/>
  <c r="R17" i="11"/>
  <c r="O17" i="11"/>
  <c r="N17" i="11"/>
  <c r="K17" i="11"/>
  <c r="I16" i="11"/>
  <c r="AC16" i="11"/>
  <c r="X16" i="11"/>
  <c r="V16" i="11"/>
  <c r="J16" i="11"/>
  <c r="R16" i="11"/>
  <c r="O16" i="11"/>
  <c r="N16" i="11"/>
  <c r="K16" i="11"/>
  <c r="J15" i="11"/>
  <c r="I15" i="11"/>
  <c r="AC15" i="11"/>
  <c r="X15" i="11"/>
  <c r="V15" i="11"/>
  <c r="R15" i="11"/>
  <c r="O15" i="11"/>
  <c r="N15" i="11"/>
  <c r="K15" i="11"/>
  <c r="J14" i="11"/>
  <c r="K14" i="11"/>
  <c r="AC14" i="11"/>
  <c r="O14" i="11"/>
  <c r="N14" i="11"/>
  <c r="I14" i="11"/>
  <c r="I13" i="11"/>
  <c r="J13" i="11"/>
  <c r="AC13" i="11"/>
  <c r="X13" i="11"/>
  <c r="V13" i="11"/>
  <c r="R13" i="11"/>
  <c r="O13" i="11"/>
  <c r="N13" i="11"/>
  <c r="K13" i="11"/>
  <c r="J12" i="11"/>
  <c r="I12" i="11"/>
  <c r="AC12" i="11"/>
  <c r="X12" i="11"/>
  <c r="V12" i="11"/>
  <c r="R12" i="11"/>
  <c r="O12" i="11"/>
  <c r="N12" i="11"/>
  <c r="K12" i="11"/>
  <c r="I11" i="11"/>
  <c r="AC11" i="11"/>
  <c r="X11" i="11"/>
  <c r="V11" i="11"/>
  <c r="J11" i="11"/>
  <c r="R11" i="11"/>
  <c r="O11" i="11"/>
  <c r="N11" i="11"/>
  <c r="K11" i="11"/>
  <c r="J10" i="11"/>
  <c r="AC10" i="11"/>
  <c r="I10" i="11"/>
  <c r="AE10" i="11" s="1"/>
  <c r="X10" i="11"/>
  <c r="V10" i="11"/>
  <c r="R10" i="11"/>
  <c r="O10" i="11"/>
  <c r="N10" i="11"/>
  <c r="K10" i="11"/>
  <c r="L10" i="11" s="1"/>
  <c r="J9" i="11"/>
  <c r="AC9" i="11"/>
  <c r="K9" i="11"/>
  <c r="O9" i="11"/>
  <c r="N9" i="11"/>
  <c r="I9" i="11"/>
  <c r="J8" i="11"/>
  <c r="I8" i="11"/>
  <c r="AC8" i="11"/>
  <c r="X8" i="11"/>
  <c r="V8" i="11"/>
  <c r="R8" i="11"/>
  <c r="O8" i="11"/>
  <c r="N8" i="11"/>
  <c r="K8" i="11"/>
  <c r="J7" i="11"/>
  <c r="I7" i="11"/>
  <c r="AC7" i="11"/>
  <c r="X7" i="11"/>
  <c r="V7" i="11"/>
  <c r="R7" i="11"/>
  <c r="O7" i="11"/>
  <c r="N7" i="11"/>
  <c r="K7" i="11"/>
  <c r="J6" i="11"/>
  <c r="AC6" i="11"/>
  <c r="I6" i="11"/>
  <c r="R6" i="11"/>
  <c r="O6" i="11"/>
  <c r="N6" i="11"/>
  <c r="K6" i="11"/>
  <c r="L6" i="11" s="1"/>
  <c r="J5" i="11"/>
  <c r="AC5" i="11"/>
  <c r="I5" i="11"/>
  <c r="AE5" i="11" s="1"/>
  <c r="X5" i="11"/>
  <c r="V5" i="11"/>
  <c r="R5" i="11"/>
  <c r="O5" i="11"/>
  <c r="N5" i="11"/>
  <c r="K5" i="11"/>
  <c r="L5" i="11" s="1"/>
  <c r="J4" i="11"/>
  <c r="I4" i="11"/>
  <c r="AC4" i="11"/>
  <c r="X4" i="11"/>
  <c r="V4" i="11"/>
  <c r="R4" i="11"/>
  <c r="O4" i="11"/>
  <c r="N4" i="11"/>
  <c r="K4" i="11"/>
  <c r="AC3" i="11"/>
  <c r="K3" i="11"/>
  <c r="J3" i="11"/>
  <c r="I3" i="11"/>
  <c r="R3" i="11"/>
  <c r="O3" i="11"/>
  <c r="N3" i="11"/>
  <c r="L3" i="11"/>
  <c r="AC1536" i="11"/>
  <c r="AC2" i="11"/>
  <c r="AD2" i="11" s="1"/>
  <c r="AD3" i="11" s="1"/>
  <c r="K2" i="11"/>
  <c r="J2" i="11"/>
  <c r="I2" i="11"/>
  <c r="I7" i="1"/>
  <c r="K7" i="1"/>
  <c r="M7" i="1"/>
  <c r="H8" i="1"/>
  <c r="I8" i="1"/>
  <c r="L8" i="1"/>
  <c r="H9" i="1"/>
  <c r="J9" i="1"/>
  <c r="M9" i="1"/>
  <c r="H10" i="1"/>
  <c r="K10" i="1"/>
  <c r="M10" i="1"/>
  <c r="L11" i="1"/>
  <c r="M11" i="1"/>
  <c r="H12" i="1"/>
  <c r="J12" i="1"/>
  <c r="L12" i="1"/>
  <c r="I13" i="1"/>
  <c r="L13" i="1"/>
  <c r="N13" i="1"/>
  <c r="J14" i="1"/>
  <c r="L14" i="1"/>
  <c r="N14" i="1"/>
  <c r="I15" i="1"/>
  <c r="K15" i="1"/>
  <c r="M15" i="1"/>
  <c r="H16" i="1"/>
  <c r="J16" i="1"/>
  <c r="L16" i="1"/>
  <c r="I17" i="1"/>
  <c r="K17" i="1"/>
  <c r="M17" i="1"/>
  <c r="H18" i="1"/>
  <c r="J18" i="1"/>
  <c r="L18" i="1"/>
  <c r="N18" i="1"/>
  <c r="I19" i="1"/>
  <c r="K19" i="1"/>
  <c r="N19" i="1"/>
  <c r="I20" i="1"/>
  <c r="K20" i="1"/>
  <c r="N20" i="1"/>
  <c r="L21" i="1"/>
  <c r="N21" i="1"/>
  <c r="L22" i="1"/>
  <c r="N22" i="1"/>
  <c r="J23" i="1"/>
  <c r="M23" i="1"/>
  <c r="N23" i="1"/>
  <c r="I24" i="1"/>
  <c r="L24" i="1"/>
  <c r="H7" i="1"/>
  <c r="J7" i="1"/>
  <c r="N7" i="1"/>
  <c r="J8" i="1"/>
  <c r="K8" i="1"/>
  <c r="M8" i="1"/>
  <c r="N8" i="1"/>
  <c r="I9" i="1"/>
  <c r="K9" i="1"/>
  <c r="L9" i="1"/>
  <c r="N9" i="1"/>
  <c r="J10" i="1"/>
  <c r="L10" i="1"/>
  <c r="N10" i="1"/>
  <c r="I11" i="1"/>
  <c r="K11" i="1"/>
  <c r="N11" i="1"/>
  <c r="I12" i="1"/>
  <c r="N12" i="1"/>
  <c r="K13" i="1"/>
  <c r="M13" i="1"/>
  <c r="H14" i="1"/>
  <c r="I14" i="1"/>
  <c r="K14" i="1"/>
  <c r="M14" i="1"/>
  <c r="H15" i="1"/>
  <c r="J15" i="1"/>
  <c r="L15" i="1"/>
  <c r="N15" i="1"/>
  <c r="I16" i="1"/>
  <c r="K16" i="1"/>
  <c r="M16" i="1"/>
  <c r="H17" i="1"/>
  <c r="L17" i="1"/>
  <c r="I18" i="1"/>
  <c r="M18" i="1"/>
  <c r="H19" i="1"/>
  <c r="J19" i="1"/>
  <c r="L19" i="1"/>
  <c r="M19" i="1"/>
  <c r="H20" i="1"/>
  <c r="M20" i="1"/>
  <c r="H21" i="1"/>
  <c r="J21" i="1"/>
  <c r="M21" i="1"/>
  <c r="H22" i="1"/>
  <c r="J22" i="1"/>
  <c r="M22" i="1"/>
  <c r="I23" i="1"/>
  <c r="K23" i="1"/>
  <c r="H24" i="1"/>
  <c r="J24" i="1"/>
  <c r="M24" i="1"/>
  <c r="I10" i="1"/>
  <c r="N16" i="1"/>
  <c r="N17" i="1"/>
  <c r="J20" i="1"/>
  <c r="K21" i="1"/>
  <c r="I22" i="1"/>
  <c r="L23" i="1"/>
  <c r="K24" i="1"/>
  <c r="N24" i="1"/>
  <c r="L7" i="1"/>
  <c r="H11" i="1"/>
  <c r="M12" i="1"/>
  <c r="J13" i="1"/>
  <c r="J17" i="1"/>
  <c r="K18" i="1"/>
  <c r="H23" i="1"/>
  <c r="J11" i="1"/>
  <c r="K12" i="1"/>
  <c r="H13" i="1"/>
  <c r="L20" i="1"/>
  <c r="I21" i="1"/>
  <c r="K22" i="1"/>
  <c r="AA3000" i="11" l="1"/>
  <c r="AB3000" i="11"/>
  <c r="AA2999" i="11"/>
  <c r="AB2999" i="11"/>
  <c r="AA2998" i="11"/>
  <c r="AB2998" i="11"/>
  <c r="AA2997" i="11"/>
  <c r="AB2997" i="11"/>
  <c r="AA2996" i="11"/>
  <c r="AB2996" i="11"/>
  <c r="AA2995" i="11"/>
  <c r="AB2995" i="11"/>
  <c r="AA2994" i="11"/>
  <c r="AB2994" i="11"/>
  <c r="AA2993" i="11"/>
  <c r="AB2993" i="11"/>
  <c r="AA2992" i="11"/>
  <c r="AB2992" i="11"/>
  <c r="AA2991" i="11"/>
  <c r="AB2991" i="11"/>
  <c r="AA2990" i="11"/>
  <c r="AB2990" i="11"/>
  <c r="AA2989" i="11"/>
  <c r="AB2989" i="11"/>
  <c r="AA2988" i="11"/>
  <c r="AB2988" i="11"/>
  <c r="AA2987" i="11"/>
  <c r="AB2987" i="11"/>
  <c r="AA2986" i="11"/>
  <c r="AB2986" i="11"/>
  <c r="AA2985" i="11"/>
  <c r="AB2985" i="11"/>
  <c r="AA2984" i="11"/>
  <c r="AB2984" i="11"/>
  <c r="AA2983" i="11"/>
  <c r="AB2983" i="11"/>
  <c r="AA2982" i="11"/>
  <c r="AB2982" i="11"/>
  <c r="AA2981" i="11"/>
  <c r="AB2981" i="11"/>
  <c r="AA2980" i="11"/>
  <c r="AB2980" i="11"/>
  <c r="AA2979" i="11"/>
  <c r="AB2979" i="11"/>
  <c r="AA2978" i="11"/>
  <c r="AB2978" i="11"/>
  <c r="AA2977" i="11"/>
  <c r="AB2977" i="11"/>
  <c r="AA2976" i="11"/>
  <c r="AB2976" i="11"/>
  <c r="AA2975" i="11"/>
  <c r="AB2975" i="11"/>
  <c r="AA2974" i="11"/>
  <c r="AB2974" i="11"/>
  <c r="AA2973" i="11"/>
  <c r="AB2973" i="11"/>
  <c r="AA2972" i="11"/>
  <c r="AB2972" i="11"/>
  <c r="AA2971" i="11"/>
  <c r="AB2971" i="11"/>
  <c r="AA2970" i="11"/>
  <c r="AB2970" i="11"/>
  <c r="AA2969" i="11"/>
  <c r="AB2969" i="11"/>
  <c r="AA2968" i="11"/>
  <c r="AB2968" i="11"/>
  <c r="AA2967" i="11"/>
  <c r="AB2967" i="11"/>
  <c r="AA2966" i="11"/>
  <c r="AB2966" i="11"/>
  <c r="AA2965" i="11"/>
  <c r="AB2965" i="11"/>
  <c r="AA2964" i="11"/>
  <c r="AB2964" i="11"/>
  <c r="AA2963" i="11"/>
  <c r="AB2963" i="11"/>
  <c r="AA2962" i="11"/>
  <c r="AB2962" i="11"/>
  <c r="AA2961" i="11"/>
  <c r="AB2961" i="11"/>
  <c r="AA2960" i="11"/>
  <c r="AB2960" i="11"/>
  <c r="AA2959" i="11"/>
  <c r="AB2959" i="11"/>
  <c r="AA2958" i="11"/>
  <c r="AB2958" i="11"/>
  <c r="AA2957" i="11"/>
  <c r="AB2957" i="11"/>
  <c r="AA2956" i="11"/>
  <c r="AB2956" i="11"/>
  <c r="AA2955" i="11"/>
  <c r="AB2955" i="11"/>
  <c r="AA2954" i="11"/>
  <c r="AB2954" i="11"/>
  <c r="AA2953" i="11"/>
  <c r="AB2953" i="11"/>
  <c r="AA2952" i="11"/>
  <c r="AB2952" i="11"/>
  <c r="AA2951" i="11"/>
  <c r="AB2951" i="11"/>
  <c r="AA2950" i="11"/>
  <c r="AB2950" i="11"/>
  <c r="AA2949" i="11"/>
  <c r="AB2949" i="11"/>
  <c r="AA2948" i="11"/>
  <c r="AB2948" i="11"/>
  <c r="AA2947" i="11"/>
  <c r="AB2947" i="11"/>
  <c r="AA2946" i="11"/>
  <c r="AB2946" i="11"/>
  <c r="AA2945" i="11"/>
  <c r="AB2945" i="11"/>
  <c r="AA2944" i="11"/>
  <c r="AB2944" i="11"/>
  <c r="AA2943" i="11"/>
  <c r="AB2943" i="11"/>
  <c r="AA2942" i="11"/>
  <c r="AB2942" i="11"/>
  <c r="AA2941" i="11"/>
  <c r="AB2941" i="11"/>
  <c r="AA2940" i="11"/>
  <c r="AB2940" i="11"/>
  <c r="AA2939" i="11"/>
  <c r="AB2939" i="11"/>
  <c r="AA2938" i="11"/>
  <c r="AB2938" i="11"/>
  <c r="AA2937" i="11"/>
  <c r="AB2937" i="11"/>
  <c r="AA2936" i="11"/>
  <c r="AB2936" i="11"/>
  <c r="AA2935" i="11"/>
  <c r="AB2935" i="11"/>
  <c r="AA2934" i="11"/>
  <c r="AB2934" i="11"/>
  <c r="AA2933" i="11"/>
  <c r="AB2933" i="11"/>
  <c r="AA2932" i="11"/>
  <c r="AB2932" i="11"/>
  <c r="AA2931" i="11"/>
  <c r="AB2931" i="11"/>
  <c r="AA2930" i="11"/>
  <c r="AB2930" i="11"/>
  <c r="AA2929" i="11"/>
  <c r="AB2929" i="11"/>
  <c r="AA2928" i="11"/>
  <c r="AB2928" i="11"/>
  <c r="AA2927" i="11"/>
  <c r="AB2927" i="11"/>
  <c r="AA2926" i="11"/>
  <c r="AB2926" i="11"/>
  <c r="AA2925" i="11"/>
  <c r="AB2925" i="11"/>
  <c r="AA2924" i="11"/>
  <c r="AB2924" i="11"/>
  <c r="AA2923" i="11"/>
  <c r="AB2923" i="11"/>
  <c r="AA2922" i="11"/>
  <c r="AB2922" i="11"/>
  <c r="AA2921" i="11"/>
  <c r="AB2921" i="11"/>
  <c r="AA2920" i="11"/>
  <c r="AB2920" i="11"/>
  <c r="AA2919" i="11"/>
  <c r="AB2919" i="11"/>
  <c r="AA2918" i="11"/>
  <c r="AB2918" i="11"/>
  <c r="AA2917" i="11"/>
  <c r="AB2917" i="11"/>
  <c r="AA2916" i="11"/>
  <c r="AB2916" i="11"/>
  <c r="AA2915" i="11"/>
  <c r="AB2915" i="11"/>
  <c r="AA2914" i="11"/>
  <c r="AB2914" i="11"/>
  <c r="AA2913" i="11"/>
  <c r="AB2913" i="11"/>
  <c r="AA2912" i="11"/>
  <c r="AB2912" i="11"/>
  <c r="AA2911" i="11"/>
  <c r="AB2911" i="11"/>
  <c r="AA2910" i="11"/>
  <c r="AB2910" i="11"/>
  <c r="AA2909" i="11"/>
  <c r="AB2909" i="11"/>
  <c r="AA2908" i="11"/>
  <c r="AB2908" i="11"/>
  <c r="AA2907" i="11"/>
  <c r="AB2907" i="11"/>
  <c r="AA2906" i="11"/>
  <c r="AB2906" i="11"/>
  <c r="AA2905" i="11"/>
  <c r="AB2905" i="11"/>
  <c r="AA2904" i="11"/>
  <c r="AB2904" i="11"/>
  <c r="AA2903" i="11"/>
  <c r="AB2903" i="11"/>
  <c r="AA2902" i="11"/>
  <c r="AB2902" i="11"/>
  <c r="AA2901" i="11"/>
  <c r="AB2901" i="11"/>
  <c r="AA2900" i="11"/>
  <c r="AB2900" i="11"/>
  <c r="AA2899" i="11"/>
  <c r="AB2899" i="11"/>
  <c r="AA2898" i="11"/>
  <c r="AB2898" i="11"/>
  <c r="AA2897" i="11"/>
  <c r="AB2897" i="11"/>
  <c r="AA2896" i="11"/>
  <c r="AB2896" i="11"/>
  <c r="AA2895" i="11"/>
  <c r="AB2895" i="11"/>
  <c r="AA2894" i="11"/>
  <c r="AB2894" i="11"/>
  <c r="AA2893" i="11"/>
  <c r="AB2893" i="11"/>
  <c r="AA2892" i="11"/>
  <c r="AB2892" i="11"/>
  <c r="AA2891" i="11"/>
  <c r="AB2891" i="11"/>
  <c r="AA2890" i="11"/>
  <c r="AB2890" i="11"/>
  <c r="AA2889" i="11"/>
  <c r="AB2889" i="11"/>
  <c r="AA2888" i="11"/>
  <c r="AB2888" i="11"/>
  <c r="AA2887" i="11"/>
  <c r="AB2887" i="11"/>
  <c r="AA2886" i="11"/>
  <c r="AB2886" i="11"/>
  <c r="AA2885" i="11"/>
  <c r="AB2885" i="11"/>
  <c r="AA2884" i="11"/>
  <c r="AB2884" i="11"/>
  <c r="AA2883" i="11"/>
  <c r="AB2883" i="11"/>
  <c r="AA2882" i="11"/>
  <c r="AB2882" i="11"/>
  <c r="AA2881" i="11"/>
  <c r="AB2881" i="11"/>
  <c r="AA2880" i="11"/>
  <c r="AB2880" i="11"/>
  <c r="AA2879" i="11"/>
  <c r="AB2879" i="11"/>
  <c r="AA2878" i="11"/>
  <c r="AB2878" i="11"/>
  <c r="AA2877" i="11"/>
  <c r="AB2877" i="11"/>
  <c r="AA2876" i="11"/>
  <c r="AB2876" i="11"/>
  <c r="AA2875" i="11"/>
  <c r="AB2875" i="11"/>
  <c r="AA2874" i="11"/>
  <c r="AB2874" i="11"/>
  <c r="AA2873" i="11"/>
  <c r="AB2873" i="11"/>
  <c r="AA2872" i="11"/>
  <c r="AB2872" i="11"/>
  <c r="AA2871" i="11"/>
  <c r="AB2871" i="11"/>
  <c r="AA2870" i="11"/>
  <c r="AB2870" i="11"/>
  <c r="AA2869" i="11"/>
  <c r="AB2869" i="11"/>
  <c r="AA2868" i="11"/>
  <c r="AB2868" i="11"/>
  <c r="AA2867" i="11"/>
  <c r="AB2867" i="11"/>
  <c r="AA2866" i="11"/>
  <c r="AB2866" i="11"/>
  <c r="AA2865" i="11"/>
  <c r="AB2865" i="11"/>
  <c r="AA2864" i="11"/>
  <c r="AB2864" i="11"/>
  <c r="AA2863" i="11"/>
  <c r="AB2863" i="11"/>
  <c r="AA2862" i="11"/>
  <c r="AB2862" i="11"/>
  <c r="AA2861" i="11"/>
  <c r="AB2861" i="11"/>
  <c r="AA2860" i="11"/>
  <c r="AB2860" i="11"/>
  <c r="AA2859" i="11"/>
  <c r="AB2859" i="11"/>
  <c r="AA2858" i="11"/>
  <c r="AB2858" i="11"/>
  <c r="AA2857" i="11"/>
  <c r="AB2857" i="11"/>
  <c r="AA2856" i="11"/>
  <c r="AB2856" i="11"/>
  <c r="AA2855" i="11"/>
  <c r="AB2855" i="11"/>
  <c r="AA2854" i="11"/>
  <c r="AB2854" i="11"/>
  <c r="AA2853" i="11"/>
  <c r="AB2853" i="11"/>
  <c r="AA2852" i="11"/>
  <c r="AB2852" i="11"/>
  <c r="AA2851" i="11"/>
  <c r="AB2851" i="11"/>
  <c r="AA2850" i="11"/>
  <c r="AB2850" i="11"/>
  <c r="AA2849" i="11"/>
  <c r="AB2849" i="11"/>
  <c r="AA2848" i="11"/>
  <c r="AB2848" i="11"/>
  <c r="AA2847" i="11"/>
  <c r="AB2847" i="11"/>
  <c r="AA2846" i="11"/>
  <c r="AB2846" i="11"/>
  <c r="AA2845" i="11"/>
  <c r="AB2845" i="11"/>
  <c r="AA2844" i="11"/>
  <c r="AB2844" i="11"/>
  <c r="AA2843" i="11"/>
  <c r="AB2843" i="11"/>
  <c r="AA2842" i="11"/>
  <c r="AB2842" i="11"/>
  <c r="AA2841" i="11"/>
  <c r="AB2841" i="11"/>
  <c r="AA2840" i="11"/>
  <c r="AB2840" i="11"/>
  <c r="AA2839" i="11"/>
  <c r="AB2839" i="11"/>
  <c r="AA2838" i="11"/>
  <c r="AB2838" i="11"/>
  <c r="AA2837" i="11"/>
  <c r="AB2837" i="11"/>
  <c r="AA2836" i="11"/>
  <c r="AB2836" i="11"/>
  <c r="AA2835" i="11"/>
  <c r="AB2835" i="11"/>
  <c r="AA2834" i="11"/>
  <c r="AB2834" i="11"/>
  <c r="AA2833" i="11"/>
  <c r="AB2833" i="11"/>
  <c r="AA2832" i="11"/>
  <c r="AB2832" i="11"/>
  <c r="AA2831" i="11"/>
  <c r="AB2831" i="11"/>
  <c r="AA2830" i="11"/>
  <c r="AB2830" i="11"/>
  <c r="AA2829" i="11"/>
  <c r="AB2829" i="11"/>
  <c r="AA2828" i="11"/>
  <c r="AB2828" i="11"/>
  <c r="AA2827" i="11"/>
  <c r="AB2827" i="11"/>
  <c r="AA2826" i="11"/>
  <c r="AB2826" i="11"/>
  <c r="AA2825" i="11"/>
  <c r="AB2825" i="11"/>
  <c r="AA2824" i="11"/>
  <c r="AB2824" i="11"/>
  <c r="AA2823" i="11"/>
  <c r="AB2823" i="11"/>
  <c r="AA2822" i="11"/>
  <c r="AB2822" i="11"/>
  <c r="AA2821" i="11"/>
  <c r="AB2821" i="11"/>
  <c r="AA2820" i="11"/>
  <c r="AB2820" i="11"/>
  <c r="AA2819" i="11"/>
  <c r="AB2819" i="11"/>
  <c r="AA2818" i="11"/>
  <c r="AB2818" i="11"/>
  <c r="AA2817" i="11"/>
  <c r="AB2817" i="11"/>
  <c r="AA2816" i="11"/>
  <c r="AB2816" i="11"/>
  <c r="AA2815" i="11"/>
  <c r="AB2815" i="11"/>
  <c r="AA2814" i="11"/>
  <c r="AB2814" i="11"/>
  <c r="AA2813" i="11"/>
  <c r="AB2813" i="11"/>
  <c r="AA2812" i="11"/>
  <c r="AB2812" i="11"/>
  <c r="AA2811" i="11"/>
  <c r="AB2811" i="11"/>
  <c r="AA2810" i="11"/>
  <c r="AB2810" i="11"/>
  <c r="AA2809" i="11"/>
  <c r="AB2809" i="11"/>
  <c r="AA2808" i="11"/>
  <c r="AB2808" i="11"/>
  <c r="AA2807" i="11"/>
  <c r="AB2807" i="11"/>
  <c r="AA2806" i="11"/>
  <c r="AB2806" i="11"/>
  <c r="AA2805" i="11"/>
  <c r="AB2805" i="11"/>
  <c r="AA2804" i="11"/>
  <c r="AB2804" i="11"/>
  <c r="AA2803" i="11"/>
  <c r="AB2803" i="11"/>
  <c r="AA2802" i="11"/>
  <c r="AB2802" i="11"/>
  <c r="AA2801" i="11"/>
  <c r="AB2801" i="11"/>
  <c r="AA2800" i="11"/>
  <c r="AB2800" i="11"/>
  <c r="AA2799" i="11"/>
  <c r="AB2799" i="11"/>
  <c r="AA2798" i="11"/>
  <c r="AB2798" i="11"/>
  <c r="AA2797" i="11"/>
  <c r="AB2797" i="11"/>
  <c r="AA2796" i="11"/>
  <c r="AB2796" i="11"/>
  <c r="AA2795" i="11"/>
  <c r="AB2795" i="11"/>
  <c r="AA2794" i="11"/>
  <c r="AB2794" i="11"/>
  <c r="AA2793" i="11"/>
  <c r="AB2793" i="11"/>
  <c r="AA2792" i="11"/>
  <c r="AB2792" i="11"/>
  <c r="AA2791" i="11"/>
  <c r="AB2791" i="11"/>
  <c r="AA2790" i="11"/>
  <c r="AB2790" i="11"/>
  <c r="AA2789" i="11"/>
  <c r="AB2789" i="11"/>
  <c r="AA2788" i="11"/>
  <c r="AB2788" i="11"/>
  <c r="AA2787" i="11"/>
  <c r="AB2787" i="11"/>
  <c r="AA2786" i="11"/>
  <c r="AB2786" i="11"/>
  <c r="AA2785" i="11"/>
  <c r="AB2785" i="11"/>
  <c r="AA2784" i="11"/>
  <c r="AB2784" i="11"/>
  <c r="AA2783" i="11"/>
  <c r="AB2783" i="11"/>
  <c r="AA2782" i="11"/>
  <c r="AB2782" i="11"/>
  <c r="AA2781" i="11"/>
  <c r="AB2781" i="11"/>
  <c r="AA2780" i="11"/>
  <c r="AB2780" i="11"/>
  <c r="AA2779" i="11"/>
  <c r="AB2779" i="11"/>
  <c r="AA2778" i="11"/>
  <c r="AB2778" i="11"/>
  <c r="AA2777" i="11"/>
  <c r="AB2777" i="11"/>
  <c r="AA2776" i="11"/>
  <c r="AB2776" i="11"/>
  <c r="AA2775" i="11"/>
  <c r="AB2775" i="11"/>
  <c r="AA2774" i="11"/>
  <c r="AB2774" i="11"/>
  <c r="AA2773" i="11"/>
  <c r="AB2773" i="11"/>
  <c r="AA2772" i="11"/>
  <c r="AB2772" i="11"/>
  <c r="AA2771" i="11"/>
  <c r="AB2771" i="11"/>
  <c r="AA2770" i="11"/>
  <c r="AB2770" i="11"/>
  <c r="AA2769" i="11"/>
  <c r="AB2769" i="11"/>
  <c r="AA2768" i="11"/>
  <c r="AB2768" i="11"/>
  <c r="AA2767" i="11"/>
  <c r="AB2767" i="11"/>
  <c r="AA2766" i="11"/>
  <c r="AB2766" i="11"/>
  <c r="AA2765" i="11"/>
  <c r="AB2765" i="11"/>
  <c r="AA2764" i="11"/>
  <c r="AB2764" i="11"/>
  <c r="AA2763" i="11"/>
  <c r="AB2763" i="11"/>
  <c r="AA2762" i="11"/>
  <c r="AB2762" i="11"/>
  <c r="AA2761" i="11"/>
  <c r="AB2761" i="11"/>
  <c r="AA2760" i="11"/>
  <c r="AB2760" i="11"/>
  <c r="AA2759" i="11"/>
  <c r="AB2759" i="11"/>
  <c r="AA2758" i="11"/>
  <c r="AB2758" i="11"/>
  <c r="AA2757" i="11"/>
  <c r="AB2757" i="11"/>
  <c r="AA2756" i="11"/>
  <c r="AB2756" i="11"/>
  <c r="AA2755" i="11"/>
  <c r="AB2755" i="11"/>
  <c r="AA2754" i="11"/>
  <c r="AB2754" i="11"/>
  <c r="AA2753" i="11"/>
  <c r="AB2753" i="11"/>
  <c r="AA2752" i="11"/>
  <c r="AB2752" i="11"/>
  <c r="AA2751" i="11"/>
  <c r="AB2751" i="11"/>
  <c r="AA2750" i="11"/>
  <c r="AB2750" i="11"/>
  <c r="AA2749" i="11"/>
  <c r="AB2749" i="11"/>
  <c r="AA2748" i="11"/>
  <c r="AB2748" i="11"/>
  <c r="AA2747" i="11"/>
  <c r="AB2747" i="11"/>
  <c r="AA2746" i="11"/>
  <c r="AB2746" i="11"/>
  <c r="AA2745" i="11"/>
  <c r="AB2745" i="11"/>
  <c r="AA2744" i="11"/>
  <c r="AB2744" i="11"/>
  <c r="AA2743" i="11"/>
  <c r="AB2743" i="11"/>
  <c r="AA2742" i="11"/>
  <c r="AB2742" i="11"/>
  <c r="AA2741" i="11"/>
  <c r="AB2741" i="11"/>
  <c r="AA2740" i="11"/>
  <c r="AB2740" i="11"/>
  <c r="AA2739" i="11"/>
  <c r="AB2739" i="11"/>
  <c r="AA2738" i="11"/>
  <c r="AB2738" i="11"/>
  <c r="AA2737" i="11"/>
  <c r="AB2737" i="11"/>
  <c r="AA2736" i="11"/>
  <c r="AB2736" i="11"/>
  <c r="AA2735" i="11"/>
  <c r="AB2735" i="11"/>
  <c r="AA2734" i="11"/>
  <c r="AB2734" i="11"/>
  <c r="AA2733" i="11"/>
  <c r="AB2733" i="11"/>
  <c r="AA2732" i="11"/>
  <c r="AB2732" i="11"/>
  <c r="AA2731" i="11"/>
  <c r="AB2731" i="11"/>
  <c r="AA2730" i="11"/>
  <c r="AB2730" i="11"/>
  <c r="AA2729" i="11"/>
  <c r="AB2729" i="11"/>
  <c r="AA2728" i="11"/>
  <c r="AB2728" i="11"/>
  <c r="AA2727" i="11"/>
  <c r="AB2727" i="11"/>
  <c r="AA2726" i="11"/>
  <c r="AB2726" i="11"/>
  <c r="AA2725" i="11"/>
  <c r="AB2725" i="11"/>
  <c r="AA2724" i="11"/>
  <c r="AB2724" i="11"/>
  <c r="AA2723" i="11"/>
  <c r="AB2723" i="11"/>
  <c r="AA2722" i="11"/>
  <c r="AB2722" i="11"/>
  <c r="AA2721" i="11"/>
  <c r="AB2721" i="11"/>
  <c r="AA2720" i="11"/>
  <c r="AB2720" i="11"/>
  <c r="AA2719" i="11"/>
  <c r="AB2719" i="11"/>
  <c r="AA2718" i="11"/>
  <c r="AB2718" i="11"/>
  <c r="AA2717" i="11"/>
  <c r="AB2717" i="11"/>
  <c r="AA2716" i="11"/>
  <c r="AB2716" i="11"/>
  <c r="AA2715" i="11"/>
  <c r="AB2715" i="11"/>
  <c r="AA2714" i="11"/>
  <c r="AB2714" i="11"/>
  <c r="AA2713" i="11"/>
  <c r="AB2713" i="11"/>
  <c r="AA2712" i="11"/>
  <c r="AB2712" i="11"/>
  <c r="AA2711" i="11"/>
  <c r="AB2711" i="11"/>
  <c r="AA2710" i="11"/>
  <c r="AB2710" i="11"/>
  <c r="AA2709" i="11"/>
  <c r="AB2709" i="11"/>
  <c r="AA2708" i="11"/>
  <c r="AB2708" i="11"/>
  <c r="AA2707" i="11"/>
  <c r="AB2707" i="11"/>
  <c r="AA2706" i="11"/>
  <c r="AB2706" i="11"/>
  <c r="AA2705" i="11"/>
  <c r="AB2705" i="11"/>
  <c r="AA2704" i="11"/>
  <c r="AB2704" i="11"/>
  <c r="AA2703" i="11"/>
  <c r="AB2703" i="11"/>
  <c r="AA2702" i="11"/>
  <c r="AB2702" i="11"/>
  <c r="AA2701" i="11"/>
  <c r="AB2701" i="11"/>
  <c r="AA2700" i="11"/>
  <c r="AB2700" i="11"/>
  <c r="AA2699" i="11"/>
  <c r="AB2699" i="11"/>
  <c r="AA2698" i="11"/>
  <c r="AB2698" i="11"/>
  <c r="AA2697" i="11"/>
  <c r="AB2697" i="11"/>
  <c r="AA2696" i="11"/>
  <c r="AB2696" i="11"/>
  <c r="AA2695" i="11"/>
  <c r="AB2695" i="11"/>
  <c r="AA2694" i="11"/>
  <c r="AB2694" i="11"/>
  <c r="AA2693" i="11"/>
  <c r="AB2693" i="11"/>
  <c r="AA2692" i="11"/>
  <c r="AB2692" i="11"/>
  <c r="AA2691" i="11"/>
  <c r="AB2691" i="11"/>
  <c r="AA2690" i="11"/>
  <c r="AB2690" i="11"/>
  <c r="AA2689" i="11"/>
  <c r="AB2689" i="11"/>
  <c r="AA2688" i="11"/>
  <c r="AB2688" i="11"/>
  <c r="AA2687" i="11"/>
  <c r="AB2687" i="11"/>
  <c r="AA2686" i="11"/>
  <c r="AB2686" i="11"/>
  <c r="AA2685" i="11"/>
  <c r="AB2685" i="11"/>
  <c r="AA2684" i="11"/>
  <c r="AB2684" i="11"/>
  <c r="AA2683" i="11"/>
  <c r="AB2683" i="11"/>
  <c r="AA2682" i="11"/>
  <c r="AB2682" i="11"/>
  <c r="AA2681" i="11"/>
  <c r="AB2681" i="11"/>
  <c r="AA2680" i="11"/>
  <c r="AB2680" i="11"/>
  <c r="AA2679" i="11"/>
  <c r="AB2679" i="11"/>
  <c r="AA2678" i="11"/>
  <c r="AB2678" i="11"/>
  <c r="AA2677" i="11"/>
  <c r="AB2677" i="11"/>
  <c r="AA2676" i="11"/>
  <c r="AB2676" i="11"/>
  <c r="AA2675" i="11"/>
  <c r="AB2675" i="11"/>
  <c r="AA2674" i="11"/>
  <c r="AB2674" i="11"/>
  <c r="AA2673" i="11"/>
  <c r="AB2673" i="11"/>
  <c r="AA2672" i="11"/>
  <c r="AB2672" i="11"/>
  <c r="AA2671" i="11"/>
  <c r="AB2671" i="11"/>
  <c r="AA2670" i="11"/>
  <c r="AB2670" i="11"/>
  <c r="AA2669" i="11"/>
  <c r="AB2669" i="11"/>
  <c r="AA2668" i="11"/>
  <c r="AB2668" i="11"/>
  <c r="AA2667" i="11"/>
  <c r="AB2667" i="11"/>
  <c r="AA2666" i="11"/>
  <c r="AB2666" i="11"/>
  <c r="AA2665" i="11"/>
  <c r="AB2665" i="11"/>
  <c r="AA2664" i="11"/>
  <c r="AB2664" i="11"/>
  <c r="AA2663" i="11"/>
  <c r="AB2663" i="11"/>
  <c r="AA2662" i="11"/>
  <c r="AB2662" i="11"/>
  <c r="AA2661" i="11"/>
  <c r="AB2661" i="11"/>
  <c r="AA2660" i="11"/>
  <c r="AB2660" i="11"/>
  <c r="AA2659" i="11"/>
  <c r="AB2659" i="11"/>
  <c r="AA2658" i="11"/>
  <c r="AB2658" i="11"/>
  <c r="AA2657" i="11"/>
  <c r="AB2657" i="11"/>
  <c r="AA2656" i="11"/>
  <c r="AB2656" i="11"/>
  <c r="AA2655" i="11"/>
  <c r="AB2655" i="11"/>
  <c r="AA2654" i="11"/>
  <c r="AB2654" i="11"/>
  <c r="AA2653" i="11"/>
  <c r="AB2653" i="11"/>
  <c r="AA2652" i="11"/>
  <c r="AB2652" i="11"/>
  <c r="AA2651" i="11"/>
  <c r="AB2651" i="11"/>
  <c r="AA2650" i="11"/>
  <c r="AB2650" i="11"/>
  <c r="AA2649" i="11"/>
  <c r="AB2649" i="11"/>
  <c r="AA2648" i="11"/>
  <c r="AB2648" i="11"/>
  <c r="AA2647" i="11"/>
  <c r="AB2647" i="11"/>
  <c r="AA2646" i="11"/>
  <c r="AB2646" i="11"/>
  <c r="AA2645" i="11"/>
  <c r="AB2645" i="11"/>
  <c r="AA2644" i="11"/>
  <c r="AB2644" i="11"/>
  <c r="AA2643" i="11"/>
  <c r="AB2643" i="11"/>
  <c r="AA2642" i="11"/>
  <c r="AB2642" i="11"/>
  <c r="AA2641" i="11"/>
  <c r="AB2641" i="11"/>
  <c r="AA2640" i="11"/>
  <c r="AB2640" i="11"/>
  <c r="AA2639" i="11"/>
  <c r="AB2639" i="11"/>
  <c r="AA2638" i="11"/>
  <c r="AB2638" i="11"/>
  <c r="AA2637" i="11"/>
  <c r="AB2637" i="11"/>
  <c r="AA2636" i="11"/>
  <c r="AB2636" i="11"/>
  <c r="AA2635" i="11"/>
  <c r="AB2635" i="11"/>
  <c r="AA2634" i="11"/>
  <c r="AB2634" i="11"/>
  <c r="AA2633" i="11"/>
  <c r="AB2633" i="11"/>
  <c r="AA2632" i="11"/>
  <c r="AB2632" i="11"/>
  <c r="AA2631" i="11"/>
  <c r="AB2631" i="11"/>
  <c r="AA2630" i="11"/>
  <c r="AB2630" i="11"/>
  <c r="AA2629" i="11"/>
  <c r="AB2629" i="11"/>
  <c r="AA2628" i="11"/>
  <c r="AB2628" i="11"/>
  <c r="AA2627" i="11"/>
  <c r="AB2627" i="11"/>
  <c r="AA2626" i="11"/>
  <c r="AB2626" i="11"/>
  <c r="AA2625" i="11"/>
  <c r="AB2625" i="11"/>
  <c r="AA2624" i="11"/>
  <c r="AB2624" i="11"/>
  <c r="AA2623" i="11"/>
  <c r="AB2623" i="11"/>
  <c r="AA2622" i="11"/>
  <c r="AB2622" i="11"/>
  <c r="AA2621" i="11"/>
  <c r="AB2621" i="11"/>
  <c r="AA2620" i="11"/>
  <c r="AB2620" i="11"/>
  <c r="AA2619" i="11"/>
  <c r="AB2619" i="11"/>
  <c r="AA2618" i="11"/>
  <c r="AB2618" i="11"/>
  <c r="AA2617" i="11"/>
  <c r="AB2617" i="11"/>
  <c r="AA2616" i="11"/>
  <c r="AB2616" i="11"/>
  <c r="AA2615" i="11"/>
  <c r="AB2615" i="11"/>
  <c r="AA2614" i="11"/>
  <c r="AB2614" i="11"/>
  <c r="AA2613" i="11"/>
  <c r="AB2613" i="11"/>
  <c r="AA2612" i="11"/>
  <c r="AB2612" i="11"/>
  <c r="AA2611" i="11"/>
  <c r="AB2611" i="11"/>
  <c r="AA2610" i="11"/>
  <c r="AB2610" i="11"/>
  <c r="AA2609" i="11"/>
  <c r="AB2609" i="11"/>
  <c r="AA2608" i="11"/>
  <c r="AB2608" i="11"/>
  <c r="AA2607" i="11"/>
  <c r="AB2607" i="11"/>
  <c r="AA2606" i="11"/>
  <c r="AB2606" i="11"/>
  <c r="AA2605" i="11"/>
  <c r="AB2605" i="11"/>
  <c r="AA2604" i="11"/>
  <c r="AB2604" i="11"/>
  <c r="AA2603" i="11"/>
  <c r="AB2603" i="11"/>
  <c r="AA2602" i="11"/>
  <c r="AB2602" i="11"/>
  <c r="AA2601" i="11"/>
  <c r="AB2601" i="11"/>
  <c r="AA2600" i="11"/>
  <c r="AB2600" i="11"/>
  <c r="AA2599" i="11"/>
  <c r="AB2599" i="11"/>
  <c r="AA2598" i="11"/>
  <c r="AB2598" i="11"/>
  <c r="AA2597" i="11"/>
  <c r="AB2597" i="11"/>
  <c r="AA2596" i="11"/>
  <c r="AB2596" i="11"/>
  <c r="AA2595" i="11"/>
  <c r="AB2595" i="11"/>
  <c r="AA2594" i="11"/>
  <c r="AB2594" i="11"/>
  <c r="AA2593" i="11"/>
  <c r="AB2593" i="11"/>
  <c r="AA2592" i="11"/>
  <c r="AB2592" i="11"/>
  <c r="AA2591" i="11"/>
  <c r="AB2591" i="11"/>
  <c r="AA2590" i="11"/>
  <c r="AB2590" i="11"/>
  <c r="AA2589" i="11"/>
  <c r="AB2589" i="11"/>
  <c r="AA2588" i="11"/>
  <c r="AB2588" i="11"/>
  <c r="AA2587" i="11"/>
  <c r="AB2587" i="11"/>
  <c r="AA2586" i="11"/>
  <c r="AB2586" i="11"/>
  <c r="AA2585" i="11"/>
  <c r="AB2585" i="11"/>
  <c r="AA2584" i="11"/>
  <c r="AB2584" i="11"/>
  <c r="AA2583" i="11"/>
  <c r="AB2583" i="11"/>
  <c r="AA2582" i="11"/>
  <c r="AB2582" i="11"/>
  <c r="AA2581" i="11"/>
  <c r="AB2581" i="11"/>
  <c r="AA2580" i="11"/>
  <c r="AB2580" i="11"/>
  <c r="AA2579" i="11"/>
  <c r="AB2579" i="11"/>
  <c r="AA2578" i="11"/>
  <c r="AB2578" i="11"/>
  <c r="AA2577" i="11"/>
  <c r="AB2577" i="11"/>
  <c r="AA2576" i="11"/>
  <c r="AB2576" i="11"/>
  <c r="AA2575" i="11"/>
  <c r="AB2575" i="11"/>
  <c r="AA2574" i="11"/>
  <c r="AB2574" i="11"/>
  <c r="AA2572" i="11"/>
  <c r="AB2572" i="11"/>
  <c r="AA2571" i="11"/>
  <c r="AB2571" i="11"/>
  <c r="AA2570" i="11"/>
  <c r="AB2570" i="11"/>
  <c r="AA2569" i="11"/>
  <c r="AB2569" i="11"/>
  <c r="AA2568" i="11"/>
  <c r="AB2568" i="11"/>
  <c r="AA2567" i="11"/>
  <c r="AB2567" i="11"/>
  <c r="AA2566" i="11"/>
  <c r="AB2566" i="11"/>
  <c r="AA2565" i="11"/>
  <c r="AB2565" i="11"/>
  <c r="AA2564" i="11"/>
  <c r="AB2564" i="11"/>
  <c r="AA2563" i="11"/>
  <c r="AB2563" i="11"/>
  <c r="AA2562" i="11"/>
  <c r="AB2562" i="11"/>
  <c r="AA2561" i="11"/>
  <c r="AB2561" i="11"/>
  <c r="AA2560" i="11"/>
  <c r="AB2560" i="11"/>
  <c r="AA2559" i="11"/>
  <c r="AB2559" i="11"/>
  <c r="AA2558" i="11"/>
  <c r="AB2558" i="11"/>
  <c r="AA2557" i="11"/>
  <c r="AB2557" i="11"/>
  <c r="AA2556" i="11"/>
  <c r="AB2556" i="11"/>
  <c r="AA2555" i="11"/>
  <c r="AB2555" i="11"/>
  <c r="AA2554" i="11"/>
  <c r="AB2554" i="11"/>
  <c r="AA2553" i="11"/>
  <c r="AB2553" i="11"/>
  <c r="AA2552" i="11"/>
  <c r="AB2552" i="11"/>
  <c r="AA2551" i="11"/>
  <c r="AB2551" i="11"/>
  <c r="AA2550" i="11"/>
  <c r="AB2550" i="11"/>
  <c r="AA2549" i="11"/>
  <c r="AB2549" i="11"/>
  <c r="AA2548" i="11"/>
  <c r="AB2548" i="11"/>
  <c r="AA2547" i="11"/>
  <c r="AB2547" i="11"/>
  <c r="AA2546" i="11"/>
  <c r="AB2546" i="11"/>
  <c r="AA2545" i="11"/>
  <c r="AB2545" i="11"/>
  <c r="AA2544" i="11"/>
  <c r="AB2544" i="11"/>
  <c r="AA2543" i="11"/>
  <c r="AB2543" i="11"/>
  <c r="AA2542" i="11"/>
  <c r="AB2542" i="11"/>
  <c r="AA2541" i="11"/>
  <c r="AB2541" i="11"/>
  <c r="AA2540" i="11"/>
  <c r="AB2540" i="11"/>
  <c r="AA2539" i="11"/>
  <c r="AB2539" i="11"/>
  <c r="AA2538" i="11"/>
  <c r="AB2538" i="11"/>
  <c r="AA2537" i="11"/>
  <c r="AB2537" i="11"/>
  <c r="AA2536" i="11"/>
  <c r="AB2536" i="11"/>
  <c r="AA2535" i="11"/>
  <c r="AB2535" i="11"/>
  <c r="AA2534" i="11"/>
  <c r="AB2534" i="11"/>
  <c r="AA2533" i="11"/>
  <c r="AB2533" i="11"/>
  <c r="AA2532" i="11"/>
  <c r="AB2532" i="11"/>
  <c r="AA2531" i="11"/>
  <c r="AB2531" i="11"/>
  <c r="AA2530" i="11"/>
  <c r="AB2530" i="11"/>
  <c r="AA2529" i="11"/>
  <c r="AB2529" i="11"/>
  <c r="AA2528" i="11"/>
  <c r="AB2528" i="11"/>
  <c r="AA2527" i="11"/>
  <c r="AB2527" i="11"/>
  <c r="AA2526" i="11"/>
  <c r="AB2526" i="11"/>
  <c r="AA2525" i="11"/>
  <c r="AB2525" i="11"/>
  <c r="AA2524" i="11"/>
  <c r="AB2524" i="11"/>
  <c r="AA2523" i="11"/>
  <c r="AB2523" i="11"/>
  <c r="AA2522" i="11"/>
  <c r="AB2522" i="11"/>
  <c r="AA2521" i="11"/>
  <c r="AB2521" i="11"/>
  <c r="AA2520" i="11"/>
  <c r="AB2520" i="11"/>
  <c r="AA2519" i="11"/>
  <c r="AB2519" i="11"/>
  <c r="AA2518" i="11"/>
  <c r="AB2518" i="11"/>
  <c r="AA2517" i="11"/>
  <c r="AB2517" i="11"/>
  <c r="AA2516" i="11"/>
  <c r="AB2516" i="11"/>
  <c r="AA2515" i="11"/>
  <c r="AB2515" i="11"/>
  <c r="AA2514" i="11"/>
  <c r="AB2514" i="11"/>
  <c r="AA2513" i="11"/>
  <c r="AB2513" i="11"/>
  <c r="AA2512" i="11"/>
  <c r="AB2512" i="11"/>
  <c r="AA2511" i="11"/>
  <c r="AB2511" i="11"/>
  <c r="AA2510" i="11"/>
  <c r="AB2510" i="11"/>
  <c r="AA2509" i="11"/>
  <c r="AB2509" i="11"/>
  <c r="AA2508" i="11"/>
  <c r="AB2508" i="11"/>
  <c r="AA2507" i="11"/>
  <c r="AB2507" i="11"/>
  <c r="AA2506" i="11"/>
  <c r="AB2506" i="11"/>
  <c r="AA2505" i="11"/>
  <c r="AB2505" i="11"/>
  <c r="AA2504" i="11"/>
  <c r="AB2504" i="11"/>
  <c r="AA2503" i="11"/>
  <c r="AB2503" i="11"/>
  <c r="AA2502" i="11"/>
  <c r="AB2502" i="11"/>
  <c r="AA2501" i="11"/>
  <c r="AB2501" i="11"/>
  <c r="AA2500" i="11"/>
  <c r="AB2500" i="11"/>
  <c r="AA2499" i="11"/>
  <c r="AB2499" i="11"/>
  <c r="AA2498" i="11"/>
  <c r="AB2498" i="11"/>
  <c r="AA2497" i="11"/>
  <c r="AB2497" i="11"/>
  <c r="AA2496" i="11"/>
  <c r="AB2496" i="11"/>
  <c r="AA2495" i="11"/>
  <c r="AB2495" i="11"/>
  <c r="AA2494" i="11"/>
  <c r="AB2494" i="11"/>
  <c r="AA2493" i="11"/>
  <c r="AB2493" i="11"/>
  <c r="AA2492" i="11"/>
  <c r="AB2492" i="11"/>
  <c r="AA2491" i="11"/>
  <c r="AB2491" i="11"/>
  <c r="AA2490" i="11"/>
  <c r="AB2490" i="11"/>
  <c r="AA2489" i="11"/>
  <c r="AB2489" i="11"/>
  <c r="AA2488" i="11"/>
  <c r="AB2488" i="11"/>
  <c r="AA2487" i="11"/>
  <c r="AB2487" i="11"/>
  <c r="AA2486" i="11"/>
  <c r="AB2486" i="11"/>
  <c r="AA2485" i="11"/>
  <c r="AB2485" i="11"/>
  <c r="AA2484" i="11"/>
  <c r="AB2484" i="11"/>
  <c r="AA2483" i="11"/>
  <c r="AB2483" i="11"/>
  <c r="AA2482" i="11"/>
  <c r="AB2482" i="11"/>
  <c r="AA2481" i="11"/>
  <c r="AB2481" i="11"/>
  <c r="AA2480" i="11"/>
  <c r="AB2480" i="11"/>
  <c r="AA2479" i="11"/>
  <c r="AB2479" i="11"/>
  <c r="AA2478" i="11"/>
  <c r="AB2478" i="11"/>
  <c r="AA2477" i="11"/>
  <c r="AB2477" i="11"/>
  <c r="AA2476" i="11"/>
  <c r="AB2476" i="11"/>
  <c r="AA2475" i="11"/>
  <c r="AB2475" i="11"/>
  <c r="AA2474" i="11"/>
  <c r="AB2474" i="11"/>
  <c r="AA2473" i="11"/>
  <c r="AB2473" i="11"/>
  <c r="AA2472" i="11"/>
  <c r="AB2472" i="11"/>
  <c r="AA2471" i="11"/>
  <c r="AB2471" i="11"/>
  <c r="AA2470" i="11"/>
  <c r="AB2470" i="11"/>
  <c r="AA2469" i="11"/>
  <c r="AB2469" i="11"/>
  <c r="AA2468" i="11"/>
  <c r="AB2468" i="11"/>
  <c r="AA2467" i="11"/>
  <c r="AB2467" i="11"/>
  <c r="AA2466" i="11"/>
  <c r="AB2466" i="11"/>
  <c r="AA2465" i="11"/>
  <c r="AB2465" i="11"/>
  <c r="AA2464" i="11"/>
  <c r="AB2464" i="11"/>
  <c r="AA2463" i="11"/>
  <c r="AB2463" i="11"/>
  <c r="AA2462" i="11"/>
  <c r="AB2462" i="11"/>
  <c r="AA2461" i="11"/>
  <c r="AB2461" i="11"/>
  <c r="AA2460" i="11"/>
  <c r="AB2460" i="11"/>
  <c r="AA2459" i="11"/>
  <c r="AB2459" i="11"/>
  <c r="AA2458" i="11"/>
  <c r="AB2458" i="11"/>
  <c r="AA2457" i="11"/>
  <c r="AB2457" i="11"/>
  <c r="AA2456" i="11"/>
  <c r="AB2456" i="11"/>
  <c r="AA2455" i="11"/>
  <c r="AB2455" i="11"/>
  <c r="AA2454" i="11"/>
  <c r="AB2454" i="11"/>
  <c r="AA2453" i="11"/>
  <c r="AB2453" i="11"/>
  <c r="AA2452" i="11"/>
  <c r="AB2452" i="11"/>
  <c r="AA2451" i="11"/>
  <c r="AB2451" i="11"/>
  <c r="AA2450" i="11"/>
  <c r="AB2450" i="11"/>
  <c r="AA2449" i="11"/>
  <c r="AB2449" i="11"/>
  <c r="AA2448" i="11"/>
  <c r="AB2448" i="11"/>
  <c r="AA2447" i="11"/>
  <c r="AB2447" i="11"/>
  <c r="AA2446" i="11"/>
  <c r="AB2446" i="11"/>
  <c r="AA2445" i="11"/>
  <c r="AB2445" i="11"/>
  <c r="AA2444" i="11"/>
  <c r="AB2444" i="11"/>
  <c r="AA2443" i="11"/>
  <c r="AB2443" i="11"/>
  <c r="AA2442" i="11"/>
  <c r="AB2442" i="11"/>
  <c r="AA2441" i="11"/>
  <c r="AB2441" i="11"/>
  <c r="AA2440" i="11"/>
  <c r="AB2440" i="11"/>
  <c r="AA2439" i="11"/>
  <c r="AB2439" i="11"/>
  <c r="AA2438" i="11"/>
  <c r="AB2438" i="11"/>
  <c r="AA2437" i="11"/>
  <c r="AB2437" i="11"/>
  <c r="AA2436" i="11"/>
  <c r="AB2436" i="11"/>
  <c r="AA2435" i="11"/>
  <c r="AB2435" i="11"/>
  <c r="AA2434" i="11"/>
  <c r="AB2434" i="11"/>
  <c r="AA2433" i="11"/>
  <c r="AB2433" i="11"/>
  <c r="AA2432" i="11"/>
  <c r="AB2432" i="11"/>
  <c r="AA2431" i="11"/>
  <c r="AB2431" i="11"/>
  <c r="AA2430" i="11"/>
  <c r="AB2430" i="11"/>
  <c r="AA2429" i="11"/>
  <c r="AB2429" i="11"/>
  <c r="AA2428" i="11"/>
  <c r="AB2428" i="11"/>
  <c r="AA2427" i="11"/>
  <c r="AB2427" i="11"/>
  <c r="AA2426" i="11"/>
  <c r="AB2426" i="11"/>
  <c r="AA2425" i="11"/>
  <c r="AB2425" i="11"/>
  <c r="AA2424" i="11"/>
  <c r="AB2424" i="11"/>
  <c r="AA2423" i="11"/>
  <c r="AB2423" i="11"/>
  <c r="AA2422" i="11"/>
  <c r="AB2422" i="11"/>
  <c r="AA2421" i="11"/>
  <c r="AB2421" i="11"/>
  <c r="AA2420" i="11"/>
  <c r="AB2420" i="11"/>
  <c r="AA2419" i="11"/>
  <c r="AB2419" i="11"/>
  <c r="AA2418" i="11"/>
  <c r="AB2418" i="11"/>
  <c r="AA2417" i="11"/>
  <c r="AB2417" i="11"/>
  <c r="AA2416" i="11"/>
  <c r="AB2416" i="11"/>
  <c r="AA2415" i="11"/>
  <c r="AB2415" i="11"/>
  <c r="AA2414" i="11"/>
  <c r="AB2414" i="11"/>
  <c r="AA2413" i="11"/>
  <c r="AB2413" i="11"/>
  <c r="AA2412" i="11"/>
  <c r="AB2412" i="11"/>
  <c r="AA2411" i="11"/>
  <c r="AB2411" i="11"/>
  <c r="AA2410" i="11"/>
  <c r="AB2410" i="11"/>
  <c r="AA2409" i="11"/>
  <c r="AB2409" i="11"/>
  <c r="AA2408" i="11"/>
  <c r="AB2408" i="11"/>
  <c r="AA2407" i="11"/>
  <c r="AB2407" i="11"/>
  <c r="AA2406" i="11"/>
  <c r="AB2406" i="11"/>
  <c r="AA2405" i="11"/>
  <c r="AB2405" i="11"/>
  <c r="AA2404" i="11"/>
  <c r="AB2404" i="11"/>
  <c r="AA2403" i="11"/>
  <c r="AB2403" i="11"/>
  <c r="AA2402" i="11"/>
  <c r="AB2402" i="11"/>
  <c r="AA2401" i="11"/>
  <c r="AB2401" i="11"/>
  <c r="AA2400" i="11"/>
  <c r="AB2400" i="11"/>
  <c r="AA2399" i="11"/>
  <c r="AB2399" i="11"/>
  <c r="AA2398" i="11"/>
  <c r="AB2398" i="11"/>
  <c r="AA2397" i="11"/>
  <c r="AB2397" i="11"/>
  <c r="AA2396" i="11"/>
  <c r="AB2396" i="11"/>
  <c r="AA2395" i="11"/>
  <c r="AB2395" i="11"/>
  <c r="AA2394" i="11"/>
  <c r="AB2394" i="11"/>
  <c r="AA2393" i="11"/>
  <c r="AB2393" i="11"/>
  <c r="AA2392" i="11"/>
  <c r="AB2392" i="11"/>
  <c r="AA2391" i="11"/>
  <c r="AB2391" i="11"/>
  <c r="AA2390" i="11"/>
  <c r="AB2390" i="11"/>
  <c r="AA2389" i="11"/>
  <c r="AB2389" i="11"/>
  <c r="AA2388" i="11"/>
  <c r="AB2388" i="11"/>
  <c r="AA2387" i="11"/>
  <c r="AB2387" i="11"/>
  <c r="AA2386" i="11"/>
  <c r="AB2386" i="11"/>
  <c r="AA2385" i="11"/>
  <c r="AB2385" i="11"/>
  <c r="AA2384" i="11"/>
  <c r="AB2384" i="11"/>
  <c r="AA2383" i="11"/>
  <c r="AB2383" i="11"/>
  <c r="AA2382" i="11"/>
  <c r="AB2382" i="11"/>
  <c r="AA2381" i="11"/>
  <c r="AB2381" i="11"/>
  <c r="AA2380" i="11"/>
  <c r="AB2380" i="11"/>
  <c r="AA2379" i="11"/>
  <c r="AB2379" i="11"/>
  <c r="AA2378" i="11"/>
  <c r="AB2378" i="11"/>
  <c r="AA2377" i="11"/>
  <c r="AB2377" i="11"/>
  <c r="AA2376" i="11"/>
  <c r="AB2376" i="11"/>
  <c r="AA2375" i="11"/>
  <c r="AB2375" i="11"/>
  <c r="AA2374" i="11"/>
  <c r="AB2374" i="11"/>
  <c r="AA2373" i="11"/>
  <c r="AB2373" i="11"/>
  <c r="AA2372" i="11"/>
  <c r="AB2372" i="11"/>
  <c r="AA2371" i="11"/>
  <c r="AB2371" i="11"/>
  <c r="AA2370" i="11"/>
  <c r="AB2370" i="11"/>
  <c r="AA2369" i="11"/>
  <c r="AB2369" i="11"/>
  <c r="AA2368" i="11"/>
  <c r="AB2368" i="11"/>
  <c r="AA2367" i="11"/>
  <c r="AB2367" i="11"/>
  <c r="AA2366" i="11"/>
  <c r="AB2366" i="11"/>
  <c r="AA2365" i="11"/>
  <c r="AB2365" i="11"/>
  <c r="AA2364" i="11"/>
  <c r="AB2364" i="11"/>
  <c r="AA2363" i="11"/>
  <c r="AB2363" i="11"/>
  <c r="AA2362" i="11"/>
  <c r="AB2362" i="11"/>
  <c r="AA2361" i="11"/>
  <c r="AB2361" i="11"/>
  <c r="AA2360" i="11"/>
  <c r="AB2360" i="11"/>
  <c r="AA2359" i="11"/>
  <c r="AB2359" i="11"/>
  <c r="AA2358" i="11"/>
  <c r="AB2358" i="11"/>
  <c r="AA2357" i="11"/>
  <c r="AB2357" i="11"/>
  <c r="AA2356" i="11"/>
  <c r="AB2356" i="11"/>
  <c r="AA2355" i="11"/>
  <c r="AB2355" i="11"/>
  <c r="AA2354" i="11"/>
  <c r="AB2354" i="11"/>
  <c r="AA2353" i="11"/>
  <c r="AB2353" i="11"/>
  <c r="AA2352" i="11"/>
  <c r="AB2352" i="11"/>
  <c r="AA2351" i="11"/>
  <c r="AB2351" i="11"/>
  <c r="AA2350" i="11"/>
  <c r="AB2350" i="11"/>
  <c r="AA2349" i="11"/>
  <c r="AB2349" i="11"/>
  <c r="AA2348" i="11"/>
  <c r="AB2348" i="11"/>
  <c r="AA2347" i="11"/>
  <c r="AB2347" i="11"/>
  <c r="AA2346" i="11"/>
  <c r="AB2346" i="11"/>
  <c r="AA2345" i="11"/>
  <c r="AB2345" i="11"/>
  <c r="AA2344" i="11"/>
  <c r="AB2344" i="11"/>
  <c r="AA2343" i="11"/>
  <c r="AB2343" i="11"/>
  <c r="AA2342" i="11"/>
  <c r="AB2342" i="11"/>
  <c r="AA2341" i="11"/>
  <c r="AB2341" i="11"/>
  <c r="AA2340" i="11"/>
  <c r="AB2340" i="11"/>
  <c r="AA2339" i="11"/>
  <c r="AB2339" i="11"/>
  <c r="AA2338" i="11"/>
  <c r="AB2338" i="11"/>
  <c r="AA2337" i="11"/>
  <c r="AB2337" i="11"/>
  <c r="AA2336" i="11"/>
  <c r="AB2336" i="11"/>
  <c r="AA2335" i="11"/>
  <c r="AB2335" i="11"/>
  <c r="AA2334" i="11"/>
  <c r="AB2334" i="11"/>
  <c r="AA2333" i="11"/>
  <c r="AB2333" i="11"/>
  <c r="AA2332" i="11"/>
  <c r="AB2332" i="11"/>
  <c r="AA2331" i="11"/>
  <c r="AB2331" i="11"/>
  <c r="AA2330" i="11"/>
  <c r="AB2330" i="11"/>
  <c r="AA2329" i="11"/>
  <c r="AB2329" i="11"/>
  <c r="AA2328" i="11"/>
  <c r="AB2328" i="11"/>
  <c r="AA2327" i="11"/>
  <c r="AB2327" i="11"/>
  <c r="AA2326" i="11"/>
  <c r="AB2326" i="11"/>
  <c r="AA2325" i="11"/>
  <c r="AB2325" i="11"/>
  <c r="AA2324" i="11"/>
  <c r="AB2324" i="11"/>
  <c r="AA2323" i="11"/>
  <c r="AB2323" i="11"/>
  <c r="AA2322" i="11"/>
  <c r="AB2322" i="11"/>
  <c r="AA2321" i="11"/>
  <c r="AB2321" i="11"/>
  <c r="AA2320" i="11"/>
  <c r="AB2320" i="11"/>
  <c r="AA2319" i="11"/>
  <c r="AB2319" i="11"/>
  <c r="AA2318" i="11"/>
  <c r="AB2318" i="11"/>
  <c r="AA2317" i="11"/>
  <c r="AB2317" i="11"/>
  <c r="AA2316" i="11"/>
  <c r="AB2316" i="11"/>
  <c r="AA2315" i="11"/>
  <c r="AB2315" i="11"/>
  <c r="AA2314" i="11"/>
  <c r="AB2314" i="11"/>
  <c r="AA2313" i="11"/>
  <c r="AB2313" i="11"/>
  <c r="AA2312" i="11"/>
  <c r="AB2312" i="11"/>
  <c r="AA2311" i="11"/>
  <c r="AB2311" i="11"/>
  <c r="AA2310" i="11"/>
  <c r="AB2310" i="11"/>
  <c r="AA2309" i="11"/>
  <c r="AB2309" i="11"/>
  <c r="AA2308" i="11"/>
  <c r="AB2308" i="11"/>
  <c r="AA2307" i="11"/>
  <c r="AB2307" i="11"/>
  <c r="AA2306" i="11"/>
  <c r="AB2306" i="11"/>
  <c r="AA2305" i="11"/>
  <c r="AB2305" i="11"/>
  <c r="AA2304" i="11"/>
  <c r="AB2304" i="11"/>
  <c r="AA2303" i="11"/>
  <c r="AB2303" i="11"/>
  <c r="AA2302" i="11"/>
  <c r="AB2302" i="11"/>
  <c r="AA2301" i="11"/>
  <c r="AB2301" i="11"/>
  <c r="AA2300" i="11"/>
  <c r="AB2300" i="11"/>
  <c r="AA2299" i="11"/>
  <c r="AB2299" i="11"/>
  <c r="AA2298" i="11"/>
  <c r="AB2298" i="11"/>
  <c r="AA2297" i="11"/>
  <c r="AB2297" i="11"/>
  <c r="AA2296" i="11"/>
  <c r="AB2296" i="11"/>
  <c r="AA2295" i="11"/>
  <c r="AB2295" i="11"/>
  <c r="AA2294" i="11"/>
  <c r="AB2294" i="11"/>
  <c r="AA2293" i="11"/>
  <c r="AB2293" i="11"/>
  <c r="AA2292" i="11"/>
  <c r="AB2292" i="11"/>
  <c r="AA2291" i="11"/>
  <c r="AB2291" i="11"/>
  <c r="AA2290" i="11"/>
  <c r="AB2290" i="11"/>
  <c r="AA2289" i="11"/>
  <c r="AB2289" i="11"/>
  <c r="AA2288" i="11"/>
  <c r="AB2288" i="11"/>
  <c r="AA2287" i="11"/>
  <c r="AB2287" i="11"/>
  <c r="AA2286" i="11"/>
  <c r="AB2286" i="11"/>
  <c r="AA2285" i="11"/>
  <c r="AB2285" i="11"/>
  <c r="AA2284" i="11"/>
  <c r="AB2284" i="11"/>
  <c r="AA2283" i="11"/>
  <c r="AB2283" i="11"/>
  <c r="AA2282" i="11"/>
  <c r="AB2282" i="11"/>
  <c r="AA2281" i="11"/>
  <c r="AB2281" i="11"/>
  <c r="AA2280" i="11"/>
  <c r="AB2280" i="11"/>
  <c r="AA2279" i="11"/>
  <c r="AB2279" i="11"/>
  <c r="AA2278" i="11"/>
  <c r="AB2278" i="11"/>
  <c r="AA2277" i="11"/>
  <c r="AB2277" i="11"/>
  <c r="AA2276" i="11"/>
  <c r="AB2276" i="11"/>
  <c r="AA2275" i="11"/>
  <c r="AB2275" i="11"/>
  <c r="AA2274" i="11"/>
  <c r="AB2274" i="11"/>
  <c r="AA2273" i="11"/>
  <c r="AB2273" i="11"/>
  <c r="AA2272" i="11"/>
  <c r="AB2272" i="11"/>
  <c r="AA2271" i="11"/>
  <c r="AB2271" i="11"/>
  <c r="AA2270" i="11"/>
  <c r="AB2270" i="11"/>
  <c r="AA2269" i="11"/>
  <c r="AB2269" i="11"/>
  <c r="AA2268" i="11"/>
  <c r="AB2268" i="11"/>
  <c r="AA2267" i="11"/>
  <c r="AB2267" i="11"/>
  <c r="AA2266" i="11"/>
  <c r="AB2266" i="11"/>
  <c r="AA2265" i="11"/>
  <c r="AB2265" i="11"/>
  <c r="AA2264" i="11"/>
  <c r="AB2264" i="11"/>
  <c r="AA2263" i="11"/>
  <c r="AB2263" i="11"/>
  <c r="AA2262" i="11"/>
  <c r="AB2262" i="11"/>
  <c r="AA2261" i="11"/>
  <c r="AB2261" i="11"/>
  <c r="AA2260" i="11"/>
  <c r="AB2260" i="11"/>
  <c r="AA2259" i="11"/>
  <c r="AB2259" i="11"/>
  <c r="AA2258" i="11"/>
  <c r="AB2258" i="11"/>
  <c r="AA2257" i="11"/>
  <c r="AB2257" i="11"/>
  <c r="AA2256" i="11"/>
  <c r="AB2256" i="11"/>
  <c r="AA2255" i="11"/>
  <c r="AB2255" i="11"/>
  <c r="AA2254" i="11"/>
  <c r="AB2254" i="11"/>
  <c r="AA2253" i="11"/>
  <c r="AB2253" i="11"/>
  <c r="AA2252" i="11"/>
  <c r="AB2252" i="11"/>
  <c r="AA2251" i="11"/>
  <c r="AB2251" i="11"/>
  <c r="AA2250" i="11"/>
  <c r="AB2250" i="11"/>
  <c r="AA2249" i="11"/>
  <c r="AB2249" i="11"/>
  <c r="AA2248" i="11"/>
  <c r="AB2248" i="11"/>
  <c r="AA2247" i="11"/>
  <c r="AB2247" i="11"/>
  <c r="AA2246" i="11"/>
  <c r="AB2246" i="11"/>
  <c r="AA2245" i="11"/>
  <c r="AB2245" i="11"/>
  <c r="AA2244" i="11"/>
  <c r="AB2244" i="11"/>
  <c r="AA2243" i="11"/>
  <c r="AB2243" i="11"/>
  <c r="AA2242" i="11"/>
  <c r="AB2242" i="11"/>
  <c r="AA2241" i="11"/>
  <c r="AB2241" i="11"/>
  <c r="AA2240" i="11"/>
  <c r="AB2240" i="11"/>
  <c r="AA2239" i="11"/>
  <c r="AB2239" i="11"/>
  <c r="AA2238" i="11"/>
  <c r="AB2238" i="11"/>
  <c r="AA2237" i="11"/>
  <c r="AB2237" i="11"/>
  <c r="AA2236" i="11"/>
  <c r="AB2236" i="11"/>
  <c r="AA2235" i="11"/>
  <c r="AB2235" i="11"/>
  <c r="AA2234" i="11"/>
  <c r="AB2234" i="11"/>
  <c r="AA2233" i="11"/>
  <c r="AB2233" i="11"/>
  <c r="AA2232" i="11"/>
  <c r="AB2232" i="11"/>
  <c r="AA2231" i="11"/>
  <c r="AB2231" i="11"/>
  <c r="AA2230" i="11"/>
  <c r="AB2230" i="11"/>
  <c r="AA2229" i="11"/>
  <c r="AB2229" i="11"/>
  <c r="AA2228" i="11"/>
  <c r="AB2228" i="11"/>
  <c r="AA2227" i="11"/>
  <c r="AB2227" i="11"/>
  <c r="AA2226" i="11"/>
  <c r="AB2226" i="11"/>
  <c r="AA2225" i="11"/>
  <c r="AB2225" i="11"/>
  <c r="AA2224" i="11"/>
  <c r="AB2224" i="11"/>
  <c r="AA2223" i="11"/>
  <c r="AB2223" i="11"/>
  <c r="AA2222" i="11"/>
  <c r="AB2222" i="11"/>
  <c r="AA2221" i="11"/>
  <c r="AB2221" i="11"/>
  <c r="AA2220" i="11"/>
  <c r="AB2220" i="11"/>
  <c r="AA2219" i="11"/>
  <c r="AB2219" i="11"/>
  <c r="AA2218" i="11"/>
  <c r="AB2218" i="11"/>
  <c r="AA2217" i="11"/>
  <c r="AB2217" i="11"/>
  <c r="AA2216" i="11"/>
  <c r="AB2216" i="11"/>
  <c r="AA2215" i="11"/>
  <c r="AB2215" i="11"/>
  <c r="AA2214" i="11"/>
  <c r="AB2214" i="11"/>
  <c r="AA2213" i="11"/>
  <c r="AB2213" i="11"/>
  <c r="AA2212" i="11"/>
  <c r="AB2212" i="11"/>
  <c r="AA2211" i="11"/>
  <c r="AB2211" i="11"/>
  <c r="AA2210" i="11"/>
  <c r="AB2210" i="11"/>
  <c r="AA2209" i="11"/>
  <c r="AB2209" i="11"/>
  <c r="AA2208" i="11"/>
  <c r="AB2208" i="11"/>
  <c r="AA2207" i="11"/>
  <c r="AB2207" i="11"/>
  <c r="AA2206" i="11"/>
  <c r="AB2206" i="11"/>
  <c r="AA2205" i="11"/>
  <c r="AB2205" i="11"/>
  <c r="AA2204" i="11"/>
  <c r="AB2204" i="11"/>
  <c r="AA2203" i="11"/>
  <c r="AB2203" i="11"/>
  <c r="AA2202" i="11"/>
  <c r="AB2202" i="11"/>
  <c r="AA2201" i="11"/>
  <c r="AB2201" i="11"/>
  <c r="AA2200" i="11"/>
  <c r="AB2200" i="11"/>
  <c r="AA2199" i="11"/>
  <c r="AB2199" i="11"/>
  <c r="AA2198" i="11"/>
  <c r="AB2198" i="11"/>
  <c r="AA2197" i="11"/>
  <c r="AB2197" i="11"/>
  <c r="AA2196" i="11"/>
  <c r="AB2196" i="11"/>
  <c r="AA2195" i="11"/>
  <c r="AB2195" i="11"/>
  <c r="AA2194" i="11"/>
  <c r="AB2194" i="11"/>
  <c r="AA2193" i="11"/>
  <c r="AB2193" i="11"/>
  <c r="AA2192" i="11"/>
  <c r="AB2192" i="11"/>
  <c r="AA2191" i="11"/>
  <c r="AB2191" i="11"/>
  <c r="AA2190" i="11"/>
  <c r="AB2190" i="11"/>
  <c r="AA2189" i="11"/>
  <c r="AB2189" i="11"/>
  <c r="AA2188" i="11"/>
  <c r="AB2188" i="11"/>
  <c r="AA2187" i="11"/>
  <c r="AB2187" i="11"/>
  <c r="AA2186" i="11"/>
  <c r="AB2186" i="11"/>
  <c r="AA2185" i="11"/>
  <c r="AB2185" i="11"/>
  <c r="AA2184" i="11"/>
  <c r="AB2184" i="11"/>
  <c r="AA2183" i="11"/>
  <c r="AB2183" i="11"/>
  <c r="AA2182" i="11"/>
  <c r="AB2182" i="11"/>
  <c r="AA2181" i="11"/>
  <c r="AB2181" i="11"/>
  <c r="AA2180" i="11"/>
  <c r="AB2180" i="11"/>
  <c r="AA2179" i="11"/>
  <c r="AB2179" i="11"/>
  <c r="AA2178" i="11"/>
  <c r="AB2178" i="11"/>
  <c r="AA2177" i="11"/>
  <c r="AB2177" i="11"/>
  <c r="AA2176" i="11"/>
  <c r="AB2176" i="11"/>
  <c r="AA2175" i="11"/>
  <c r="AB2175" i="11"/>
  <c r="AA2174" i="11"/>
  <c r="AB2174" i="11"/>
  <c r="AA2173" i="11"/>
  <c r="AB2173" i="11"/>
  <c r="AA2172" i="11"/>
  <c r="AB2172" i="11"/>
  <c r="AA2171" i="11"/>
  <c r="AB2171" i="11"/>
  <c r="AA2170" i="11"/>
  <c r="AB2170" i="11"/>
  <c r="AA2169" i="11"/>
  <c r="AB2169" i="11"/>
  <c r="AA2168" i="11"/>
  <c r="AB2168" i="11"/>
  <c r="AA2167" i="11"/>
  <c r="AB2167" i="11"/>
  <c r="AA2166" i="11"/>
  <c r="AB2166" i="11"/>
  <c r="AA2165" i="11"/>
  <c r="AB2165" i="11"/>
  <c r="AA2164" i="11"/>
  <c r="AB2164" i="11"/>
  <c r="AA2163" i="11"/>
  <c r="AB2163" i="11"/>
  <c r="AA2162" i="11"/>
  <c r="AB2162" i="11"/>
  <c r="AA2161" i="11"/>
  <c r="AB2161" i="11"/>
  <c r="AA2160" i="11"/>
  <c r="AB2160" i="11"/>
  <c r="AA2159" i="11"/>
  <c r="AB2159" i="11"/>
  <c r="AA2158" i="11"/>
  <c r="AB2158" i="11"/>
  <c r="AA2157" i="11"/>
  <c r="AB2157" i="11"/>
  <c r="AA2156" i="11"/>
  <c r="AB2156" i="11"/>
  <c r="AA2155" i="11"/>
  <c r="AB2155" i="11"/>
  <c r="AA2154" i="11"/>
  <c r="AB2154" i="11"/>
  <c r="AA2153" i="11"/>
  <c r="AB2153" i="11"/>
  <c r="AA2152" i="11"/>
  <c r="AB2152" i="11"/>
  <c r="AA2151" i="11"/>
  <c r="AB2151" i="11"/>
  <c r="AA2150" i="11"/>
  <c r="AB2150" i="11"/>
  <c r="AA2149" i="11"/>
  <c r="AB2149" i="11"/>
  <c r="AA2148" i="11"/>
  <c r="AB2148" i="11"/>
  <c r="AA2147" i="11"/>
  <c r="AB2147" i="11"/>
  <c r="AA2146" i="11"/>
  <c r="AB2146" i="11"/>
  <c r="AA2145" i="11"/>
  <c r="AB2145" i="11"/>
  <c r="AA2144" i="11"/>
  <c r="AB2144" i="11"/>
  <c r="AA2143" i="11"/>
  <c r="AB2143" i="11"/>
  <c r="AA2142" i="11"/>
  <c r="AB2142" i="11"/>
  <c r="AA2141" i="11"/>
  <c r="AB2141" i="11"/>
  <c r="AA2140" i="11"/>
  <c r="AB2140" i="11"/>
  <c r="AA2139" i="11"/>
  <c r="AB2139" i="11"/>
  <c r="AA2138" i="11"/>
  <c r="AB2138" i="11"/>
  <c r="AA2137" i="11"/>
  <c r="AB2137" i="11"/>
  <c r="AA2136" i="11"/>
  <c r="AB2136" i="11"/>
  <c r="AA2135" i="11"/>
  <c r="AB2135" i="11"/>
  <c r="AA2134" i="11"/>
  <c r="AB2134" i="11"/>
  <c r="AA2133" i="11"/>
  <c r="AB2133" i="11"/>
  <c r="AA2132" i="11"/>
  <c r="AB2132" i="11"/>
  <c r="AA2131" i="11"/>
  <c r="AB2131" i="11"/>
  <c r="AA2130" i="11"/>
  <c r="AB2130" i="11"/>
  <c r="AA2129" i="11"/>
  <c r="AB2129" i="11"/>
  <c r="AA2128" i="11"/>
  <c r="AB2128" i="11"/>
  <c r="AA2127" i="11"/>
  <c r="AB2127" i="11"/>
  <c r="AA2126" i="11"/>
  <c r="AB2126" i="11"/>
  <c r="AA2125" i="11"/>
  <c r="AB2125" i="11"/>
  <c r="AA2124" i="11"/>
  <c r="AB2124" i="11"/>
  <c r="AA2123" i="11"/>
  <c r="AB2123" i="11"/>
  <c r="AA2122" i="11"/>
  <c r="AB2122" i="11"/>
  <c r="AA2121" i="11"/>
  <c r="AB2121" i="11"/>
  <c r="AA2120" i="11"/>
  <c r="AB2120" i="11"/>
  <c r="AA2119" i="11"/>
  <c r="AB2119" i="11"/>
  <c r="AA2118" i="11"/>
  <c r="AB2118" i="11"/>
  <c r="AA2117" i="11"/>
  <c r="AB2117" i="11"/>
  <c r="AA2116" i="11"/>
  <c r="AB2116" i="11"/>
  <c r="AA2115" i="11"/>
  <c r="AB2115" i="11"/>
  <c r="AA2114" i="11"/>
  <c r="AB2114" i="11"/>
  <c r="AA2113" i="11"/>
  <c r="AB2113" i="11"/>
  <c r="AA2112" i="11"/>
  <c r="AB2112" i="11"/>
  <c r="AA2111" i="11"/>
  <c r="AB2111" i="11"/>
  <c r="AA2110" i="11"/>
  <c r="AB2110" i="11"/>
  <c r="AA2109" i="11"/>
  <c r="AB2109" i="11"/>
  <c r="AA2108" i="11"/>
  <c r="AB2108" i="11"/>
  <c r="AA2107" i="11"/>
  <c r="AB2107" i="11"/>
  <c r="AA2106" i="11"/>
  <c r="AB2106" i="11"/>
  <c r="AA2105" i="11"/>
  <c r="AB2105" i="11"/>
  <c r="AA2104" i="11"/>
  <c r="AB2104" i="11"/>
  <c r="AA2103" i="11"/>
  <c r="AB2103" i="11"/>
  <c r="AA2102" i="11"/>
  <c r="AB2102" i="11"/>
  <c r="AA2101" i="11"/>
  <c r="AB2101" i="11"/>
  <c r="AA2100" i="11"/>
  <c r="AB2100" i="11"/>
  <c r="AA2099" i="11"/>
  <c r="AB2099" i="11"/>
  <c r="AA2098" i="11"/>
  <c r="AB2098" i="11"/>
  <c r="AA2097" i="11"/>
  <c r="AB2097" i="11"/>
  <c r="AA2096" i="11"/>
  <c r="AB2096" i="11"/>
  <c r="AA2095" i="11"/>
  <c r="AB2095" i="11"/>
  <c r="AA2094" i="11"/>
  <c r="AB2094" i="11"/>
  <c r="AA2093" i="11"/>
  <c r="AB2093" i="11"/>
  <c r="AA2092" i="11"/>
  <c r="AB2092" i="11"/>
  <c r="AA2091" i="11"/>
  <c r="AB2091" i="11"/>
  <c r="AA2090" i="11"/>
  <c r="AB2090" i="11"/>
  <c r="AA2089" i="11"/>
  <c r="AB2089" i="11"/>
  <c r="AA2088" i="11"/>
  <c r="AB2088" i="11"/>
  <c r="AA2087" i="11"/>
  <c r="AB2087" i="11"/>
  <c r="AA2086" i="11"/>
  <c r="AB2086" i="11"/>
  <c r="AA2085" i="11"/>
  <c r="AB2085" i="11"/>
  <c r="AA2084" i="11"/>
  <c r="AB2084" i="11"/>
  <c r="AA2083" i="11"/>
  <c r="AB2083" i="11"/>
  <c r="AA2082" i="11"/>
  <c r="AB2082" i="11"/>
  <c r="AA2081" i="11"/>
  <c r="AB2081" i="11"/>
  <c r="AA2080" i="11"/>
  <c r="AB2080" i="11"/>
  <c r="AA2079" i="11"/>
  <c r="AB2079" i="11"/>
  <c r="AA2078" i="11"/>
  <c r="AB2078" i="11"/>
  <c r="AA2077" i="11"/>
  <c r="AB2077" i="11"/>
  <c r="AA2076" i="11"/>
  <c r="AB2076" i="11"/>
  <c r="AA2075" i="11"/>
  <c r="AB2075" i="11"/>
  <c r="AA2074" i="11"/>
  <c r="AB2074" i="11"/>
  <c r="AA2073" i="11"/>
  <c r="AB2073" i="11"/>
  <c r="AA2072" i="11"/>
  <c r="AB2072" i="11"/>
  <c r="AA2071" i="11"/>
  <c r="AB2071" i="11"/>
  <c r="AA2070" i="11"/>
  <c r="AB2070" i="11"/>
  <c r="AA2069" i="11"/>
  <c r="AB2069" i="11"/>
  <c r="AA2068" i="11"/>
  <c r="AB2068" i="11"/>
  <c r="AA2067" i="11"/>
  <c r="AB2067" i="11"/>
  <c r="AA2066" i="11"/>
  <c r="AB2066" i="11"/>
  <c r="AA2065" i="11"/>
  <c r="AB2065" i="11"/>
  <c r="AA2064" i="11"/>
  <c r="AB2064" i="11"/>
  <c r="AA2063" i="11"/>
  <c r="AB2063" i="11"/>
  <c r="AA2062" i="11"/>
  <c r="AB2062" i="11"/>
  <c r="AA2061" i="11"/>
  <c r="AB2061" i="11"/>
  <c r="AA2060" i="11"/>
  <c r="AB2060" i="11"/>
  <c r="AA2059" i="11"/>
  <c r="AB2059" i="11"/>
  <c r="AA2058" i="11"/>
  <c r="AB2058" i="11"/>
  <c r="AA2057" i="11"/>
  <c r="AB2057" i="11"/>
  <c r="AA2056" i="11"/>
  <c r="AB2056" i="11"/>
  <c r="AA2055" i="11"/>
  <c r="AB2055" i="11"/>
  <c r="AA2053" i="11"/>
  <c r="AB2053" i="11"/>
  <c r="AA2052" i="11"/>
  <c r="AB2052" i="11"/>
  <c r="AA2051" i="11"/>
  <c r="AB2051" i="11"/>
  <c r="AA2050" i="11"/>
  <c r="AB2050" i="11"/>
  <c r="AA2049" i="11"/>
  <c r="AB2049" i="11"/>
  <c r="AA2048" i="11"/>
  <c r="AB2048" i="11"/>
  <c r="AA2047" i="11"/>
  <c r="AB2047" i="11"/>
  <c r="AA2046" i="11"/>
  <c r="AB2046" i="11"/>
  <c r="AA2045" i="11"/>
  <c r="AB2045" i="11"/>
  <c r="AA2044" i="11"/>
  <c r="AB2044" i="11"/>
  <c r="AA2043" i="11"/>
  <c r="AB2043" i="11"/>
  <c r="AA2042" i="11"/>
  <c r="AB2042" i="11"/>
  <c r="AA2041" i="11"/>
  <c r="AB2041" i="11"/>
  <c r="AA2040" i="11"/>
  <c r="AB2040" i="11"/>
  <c r="AA2039" i="11"/>
  <c r="AB2039" i="11"/>
  <c r="AA2038" i="11"/>
  <c r="AB2038" i="11"/>
  <c r="AA2037" i="11"/>
  <c r="AB2037" i="11"/>
  <c r="AA2036" i="11"/>
  <c r="AB2036" i="11"/>
  <c r="AA2035" i="11"/>
  <c r="AB2035" i="11"/>
  <c r="AA2034" i="11"/>
  <c r="AB2034" i="11"/>
  <c r="AA2033" i="11"/>
  <c r="AB2033" i="11"/>
  <c r="AA2032" i="11"/>
  <c r="AB2032" i="11"/>
  <c r="AA2031" i="11"/>
  <c r="AB2031" i="11"/>
  <c r="AA2030" i="11"/>
  <c r="AB2030" i="11"/>
  <c r="AA2029" i="11"/>
  <c r="AB2029" i="11"/>
  <c r="AA2028" i="11"/>
  <c r="AB2028" i="11"/>
  <c r="AA2027" i="11"/>
  <c r="AB2027" i="11"/>
  <c r="AA2026" i="11"/>
  <c r="AB2026" i="11"/>
  <c r="AA2025" i="11"/>
  <c r="AB2025" i="11"/>
  <c r="AA2024" i="11"/>
  <c r="AB2024" i="11"/>
  <c r="AA2023" i="11"/>
  <c r="AB2023" i="11"/>
  <c r="AA2022" i="11"/>
  <c r="AB2022" i="11"/>
  <c r="AA2021" i="11"/>
  <c r="AB2021" i="11"/>
  <c r="AA2020" i="11"/>
  <c r="AB2020" i="11"/>
  <c r="AA2019" i="11"/>
  <c r="AB2019" i="11"/>
  <c r="AA2018" i="11"/>
  <c r="AB2018" i="11"/>
  <c r="AA2017" i="11"/>
  <c r="AB2017" i="11"/>
  <c r="AA2016" i="11"/>
  <c r="AB2016" i="11"/>
  <c r="AA2015" i="11"/>
  <c r="AB2015" i="11"/>
  <c r="AA2014" i="11"/>
  <c r="AB2014" i="11"/>
  <c r="AA2013" i="11"/>
  <c r="AB2013" i="11"/>
  <c r="AA2012" i="11"/>
  <c r="AB2012" i="11"/>
  <c r="AA2011" i="11"/>
  <c r="AB2011" i="11"/>
  <c r="AA2010" i="11"/>
  <c r="AB2010" i="11"/>
  <c r="AA2009" i="11"/>
  <c r="AB2009" i="11"/>
  <c r="AA2008" i="11"/>
  <c r="AB2008" i="11"/>
  <c r="AA2007" i="11"/>
  <c r="AB2007" i="11"/>
  <c r="AA2006" i="11"/>
  <c r="AB2006" i="11"/>
  <c r="AA2005" i="11"/>
  <c r="AB2005" i="11"/>
  <c r="AA2004" i="11"/>
  <c r="AB2004" i="11"/>
  <c r="AA2003" i="11"/>
  <c r="AB2003" i="11"/>
  <c r="AA2002" i="11"/>
  <c r="AB2002" i="11"/>
  <c r="AA2001" i="11"/>
  <c r="AB2001" i="11"/>
  <c r="AA2000" i="11"/>
  <c r="AB2000" i="11"/>
  <c r="AA1999" i="11"/>
  <c r="AB1999" i="11"/>
  <c r="AA1998" i="11"/>
  <c r="AB1998" i="11"/>
  <c r="AA1997" i="11"/>
  <c r="AB1997" i="11"/>
  <c r="AA1996" i="11"/>
  <c r="AB1996" i="11"/>
  <c r="AA1995" i="11"/>
  <c r="AB1995" i="11"/>
  <c r="AA1994" i="11"/>
  <c r="AB1994" i="11"/>
  <c r="AA1993" i="11"/>
  <c r="AB1993" i="11"/>
  <c r="AA1992" i="11"/>
  <c r="AB1992" i="11"/>
  <c r="AA1991" i="11"/>
  <c r="AB1991" i="11"/>
  <c r="AA1990" i="11"/>
  <c r="AB1990" i="11"/>
  <c r="AA1989" i="11"/>
  <c r="AB1989" i="11"/>
  <c r="AA1988" i="11"/>
  <c r="AB1988" i="11"/>
  <c r="AA1987" i="11"/>
  <c r="AB1987" i="11"/>
  <c r="AA1986" i="11"/>
  <c r="AB1986" i="11"/>
  <c r="AA1985" i="11"/>
  <c r="AB1985" i="11"/>
  <c r="AA1984" i="11"/>
  <c r="AB1984" i="11"/>
  <c r="AA1983" i="11"/>
  <c r="AB1983" i="11"/>
  <c r="AA1982" i="11"/>
  <c r="AB1982" i="11"/>
  <c r="AA1981" i="11"/>
  <c r="AB1981" i="11"/>
  <c r="AA1980" i="11"/>
  <c r="AB1980" i="11"/>
  <c r="AA1979" i="11"/>
  <c r="AB1979" i="11"/>
  <c r="AA1978" i="11"/>
  <c r="AB1978" i="11"/>
  <c r="AA1977" i="11"/>
  <c r="AB1977" i="11"/>
  <c r="AA1976" i="11"/>
  <c r="AB1976" i="11"/>
  <c r="AA1975" i="11"/>
  <c r="AB1975" i="11"/>
  <c r="AA1974" i="11"/>
  <c r="AB1974" i="11"/>
  <c r="AA1973" i="11"/>
  <c r="AB1973" i="11"/>
  <c r="AA1972" i="11"/>
  <c r="AB1972" i="11"/>
  <c r="AA1971" i="11"/>
  <c r="AB1971" i="11"/>
  <c r="AA1970" i="11"/>
  <c r="AB1970" i="11"/>
  <c r="AA1969" i="11"/>
  <c r="AB1969" i="11"/>
  <c r="AA1968" i="11"/>
  <c r="AB1968" i="11"/>
  <c r="AA1967" i="11"/>
  <c r="AB1967" i="11"/>
  <c r="AA1966" i="11"/>
  <c r="AB1966" i="11"/>
  <c r="AA1965" i="11"/>
  <c r="AB1965" i="11"/>
  <c r="AA1964" i="11"/>
  <c r="AB1964" i="11"/>
  <c r="AA1963" i="11"/>
  <c r="AB1963" i="11"/>
  <c r="AA1962" i="11"/>
  <c r="AB1962" i="11"/>
  <c r="AA1961" i="11"/>
  <c r="AB1961" i="11"/>
  <c r="AA1960" i="11"/>
  <c r="AB1960" i="11"/>
  <c r="AA1959" i="11"/>
  <c r="AB1959" i="11"/>
  <c r="AA1958" i="11"/>
  <c r="AB1958" i="11"/>
  <c r="AA1957" i="11"/>
  <c r="AB1957" i="11"/>
  <c r="AA1956" i="11"/>
  <c r="AB1956" i="11"/>
  <c r="AA1955" i="11"/>
  <c r="AB1955" i="11"/>
  <c r="AA1954" i="11"/>
  <c r="AB1954" i="11"/>
  <c r="AA1953" i="11"/>
  <c r="AB1953" i="11"/>
  <c r="AA1952" i="11"/>
  <c r="AB1952" i="11"/>
  <c r="AA1951" i="11"/>
  <c r="AB1951" i="11"/>
  <c r="AA1950" i="11"/>
  <c r="AB1950" i="11"/>
  <c r="AA1949" i="11"/>
  <c r="AB1949" i="11"/>
  <c r="AA1948" i="11"/>
  <c r="AB1948" i="11"/>
  <c r="AA1947" i="11"/>
  <c r="AB1947" i="11"/>
  <c r="AA1946" i="11"/>
  <c r="AB1946" i="11"/>
  <c r="AA1945" i="11"/>
  <c r="AB1945" i="11"/>
  <c r="AA1944" i="11"/>
  <c r="AB1944" i="11"/>
  <c r="AA1943" i="11"/>
  <c r="AB1943" i="11"/>
  <c r="AA1942" i="11"/>
  <c r="AB1942" i="11"/>
  <c r="AA1941" i="11"/>
  <c r="AB1941" i="11"/>
  <c r="AA1940" i="11"/>
  <c r="AB1940" i="11"/>
  <c r="AA1939" i="11"/>
  <c r="AB1939" i="11"/>
  <c r="AA1938" i="11"/>
  <c r="AB1938" i="11"/>
  <c r="AA1937" i="11"/>
  <c r="AB1937" i="11"/>
  <c r="AA1936" i="11"/>
  <c r="AB1936" i="11"/>
  <c r="AA1935" i="11"/>
  <c r="AB1935" i="11"/>
  <c r="AA1934" i="11"/>
  <c r="AB1934" i="11"/>
  <c r="AA1933" i="11"/>
  <c r="AB1933" i="11"/>
  <c r="AA1932" i="11"/>
  <c r="AB1932" i="11"/>
  <c r="AA1931" i="11"/>
  <c r="AB1931" i="11"/>
  <c r="X1017" i="11"/>
  <c r="AE1017" i="11"/>
  <c r="R1017" i="11"/>
  <c r="V1017" i="11"/>
  <c r="AH2" i="11"/>
  <c r="AH3" i="11"/>
  <c r="AH4" i="11"/>
  <c r="AH5" i="11"/>
  <c r="AH6" i="11"/>
  <c r="AH7" i="11"/>
  <c r="AH8" i="11"/>
  <c r="AH9" i="11"/>
  <c r="AH10" i="11"/>
  <c r="AH11" i="11"/>
  <c r="AH12" i="11"/>
  <c r="AH13" i="11"/>
  <c r="AH14" i="11"/>
  <c r="AH15" i="11"/>
  <c r="AH16" i="11"/>
  <c r="AH17" i="11"/>
  <c r="AH18" i="11"/>
  <c r="AH19" i="11"/>
  <c r="AH20" i="11"/>
  <c r="AH21" i="11"/>
  <c r="AH22" i="11"/>
  <c r="AH23" i="11"/>
  <c r="AH24" i="11"/>
  <c r="AH25" i="11"/>
  <c r="AH26" i="11"/>
  <c r="AH27" i="11"/>
  <c r="AH28" i="11"/>
  <c r="AH29" i="11"/>
  <c r="AH30" i="11"/>
  <c r="AH1" i="11"/>
  <c r="B3" i="12" s="1"/>
  <c r="AE498" i="11"/>
  <c r="L1929" i="11"/>
  <c r="R1929" i="11"/>
  <c r="AE1928" i="11"/>
  <c r="X1928" i="11"/>
  <c r="N1928" i="11"/>
  <c r="O1928" i="11"/>
  <c r="R1927" i="11"/>
  <c r="L1927" i="11"/>
  <c r="AE1925" i="11"/>
  <c r="R1925" i="11"/>
  <c r="X1924" i="11"/>
  <c r="V1924" i="11"/>
  <c r="N1924" i="11"/>
  <c r="O1924" i="11"/>
  <c r="X1923" i="11"/>
  <c r="V1923" i="11"/>
  <c r="AE1923" i="11"/>
  <c r="N1922" i="11"/>
  <c r="O1922" i="11"/>
  <c r="R1922" i="11"/>
  <c r="L1922" i="11"/>
  <c r="O1921" i="11"/>
  <c r="N1921" i="11"/>
  <c r="AE1921" i="11"/>
  <c r="R1921" i="11"/>
  <c r="L1921" i="11"/>
  <c r="O1920" i="11"/>
  <c r="N1920" i="11"/>
  <c r="AE1919" i="11"/>
  <c r="V1919" i="11"/>
  <c r="X1919" i="11"/>
  <c r="X1917" i="11"/>
  <c r="V1917" i="11"/>
  <c r="AE1917" i="11"/>
  <c r="O1917" i="11"/>
  <c r="N1917" i="11"/>
  <c r="R1915" i="11"/>
  <c r="AE1915" i="11"/>
  <c r="L1915" i="11"/>
  <c r="V1915" i="11"/>
  <c r="R1913" i="11"/>
  <c r="X1913" i="11"/>
  <c r="AE1913" i="11"/>
  <c r="V1913" i="11"/>
  <c r="O1912" i="11"/>
  <c r="N1912" i="11"/>
  <c r="X1912" i="11"/>
  <c r="V1912" i="11"/>
  <c r="R1912" i="11"/>
  <c r="AE1912" i="11"/>
  <c r="L1912" i="11"/>
  <c r="O1911" i="11"/>
  <c r="N1911" i="11"/>
  <c r="R1911" i="11"/>
  <c r="L1911" i="11"/>
  <c r="O1910" i="11"/>
  <c r="N1910" i="11"/>
  <c r="X1909" i="11"/>
  <c r="V1909" i="11"/>
  <c r="AE1909" i="11"/>
  <c r="O1908" i="11"/>
  <c r="N1908" i="11"/>
  <c r="AE1907" i="11"/>
  <c r="V1907" i="11"/>
  <c r="X1907" i="11"/>
  <c r="V1906" i="11"/>
  <c r="AE1906" i="11"/>
  <c r="R1906" i="11"/>
  <c r="N1906" i="11"/>
  <c r="O1906" i="11"/>
  <c r="X1904" i="11"/>
  <c r="R1904" i="11"/>
  <c r="L1904" i="11"/>
  <c r="AE1904" i="11"/>
  <c r="V1904" i="11"/>
  <c r="O1903" i="11"/>
  <c r="N1903" i="11"/>
  <c r="R1903" i="11"/>
  <c r="L1903" i="11"/>
  <c r="R1902" i="11"/>
  <c r="V1902" i="11"/>
  <c r="L1902" i="11"/>
  <c r="X1902" i="11"/>
  <c r="R1901" i="11"/>
  <c r="L1901" i="11"/>
  <c r="O1901" i="11"/>
  <c r="N1901" i="11"/>
  <c r="O1899" i="11"/>
  <c r="N1899" i="11"/>
  <c r="L1898" i="11"/>
  <c r="R1898" i="11"/>
  <c r="V1898" i="11"/>
  <c r="X1898" i="11"/>
  <c r="N1898" i="11"/>
  <c r="O1898" i="11"/>
  <c r="O1897" i="11"/>
  <c r="N1897" i="11"/>
  <c r="AE1897" i="11"/>
  <c r="X1897" i="11"/>
  <c r="V1897" i="11"/>
  <c r="R1897" i="11"/>
  <c r="L1897" i="11"/>
  <c r="O1895" i="11"/>
  <c r="N1895" i="11"/>
  <c r="X1895" i="11"/>
  <c r="AE1895" i="11"/>
  <c r="L1895" i="11"/>
  <c r="R1895" i="11"/>
  <c r="V1895" i="11"/>
  <c r="N1894" i="11"/>
  <c r="O1894" i="11"/>
  <c r="L1894" i="11"/>
  <c r="AE1894" i="11"/>
  <c r="R1894" i="11"/>
  <c r="V1894" i="11"/>
  <c r="X1894" i="11"/>
  <c r="O1893" i="11"/>
  <c r="N1893" i="11"/>
  <c r="X1893" i="11"/>
  <c r="AE1893" i="11"/>
  <c r="V1893" i="11"/>
  <c r="R1893" i="11"/>
  <c r="L1893" i="11"/>
  <c r="N1892" i="11"/>
  <c r="O1892" i="11"/>
  <c r="V1891" i="11"/>
  <c r="X1891" i="11"/>
  <c r="O1889" i="11"/>
  <c r="N1889" i="11"/>
  <c r="AE1889" i="11"/>
  <c r="V1889" i="11"/>
  <c r="L1889" i="11"/>
  <c r="X1889" i="11"/>
  <c r="R1889" i="11"/>
  <c r="AE1888" i="11"/>
  <c r="L1888" i="11"/>
  <c r="O1887" i="11"/>
  <c r="N1887" i="11"/>
  <c r="R1887" i="11"/>
  <c r="L1887" i="11"/>
  <c r="V1885" i="11"/>
  <c r="R1885" i="11"/>
  <c r="L1885" i="11"/>
  <c r="R1884" i="11"/>
  <c r="L1884" i="11"/>
  <c r="AE1881" i="11"/>
  <c r="V1881" i="11"/>
  <c r="X1881" i="11"/>
  <c r="O1879" i="11"/>
  <c r="N1879" i="11"/>
  <c r="AE1879" i="11"/>
  <c r="V1879" i="11"/>
  <c r="R1879" i="11"/>
  <c r="L1879" i="11"/>
  <c r="X1879" i="11"/>
  <c r="N1878" i="11"/>
  <c r="O1878" i="11"/>
  <c r="L1878" i="11"/>
  <c r="R1878" i="11"/>
  <c r="V1878" i="11"/>
  <c r="AE1878" i="11"/>
  <c r="X1878" i="11"/>
  <c r="X1877" i="11"/>
  <c r="V1877" i="11"/>
  <c r="N1876" i="11"/>
  <c r="O1876" i="11"/>
  <c r="X1876" i="11"/>
  <c r="R1876" i="11"/>
  <c r="L1876" i="11"/>
  <c r="AE1876" i="11"/>
  <c r="V1876" i="11"/>
  <c r="AE1875" i="11"/>
  <c r="X1875" i="11"/>
  <c r="V1875" i="11"/>
  <c r="O1874" i="11"/>
  <c r="N1874" i="11"/>
  <c r="AE1873" i="11"/>
  <c r="L1873" i="11"/>
  <c r="R1873" i="11"/>
  <c r="V1873" i="11"/>
  <c r="X1873" i="11"/>
  <c r="O1873" i="11"/>
  <c r="N1873" i="11"/>
  <c r="O1872" i="11"/>
  <c r="N1872" i="11"/>
  <c r="X1872" i="11"/>
  <c r="AE1872" i="11"/>
  <c r="R1872" i="11"/>
  <c r="L1872" i="11"/>
  <c r="O1870" i="11"/>
  <c r="N1870" i="11"/>
  <c r="V1870" i="11"/>
  <c r="AE1870" i="11"/>
  <c r="X1870" i="11"/>
  <c r="R1870" i="11"/>
  <c r="AE1869" i="11"/>
  <c r="X1869" i="11"/>
  <c r="X1867" i="11"/>
  <c r="V1867" i="11"/>
  <c r="R1867" i="11"/>
  <c r="AE1867" i="11"/>
  <c r="N1866" i="11"/>
  <c r="O1866" i="11"/>
  <c r="X1866" i="11"/>
  <c r="AE1866" i="11"/>
  <c r="L1866" i="11"/>
  <c r="N1865" i="11"/>
  <c r="O1865" i="11"/>
  <c r="L1865" i="11"/>
  <c r="AE1865" i="11"/>
  <c r="V1865" i="11"/>
  <c r="X1865" i="11"/>
  <c r="R1865" i="11"/>
  <c r="AE1864" i="11"/>
  <c r="V1864" i="11"/>
  <c r="X1864" i="11"/>
  <c r="O1863" i="11"/>
  <c r="N1863" i="11"/>
  <c r="L1862" i="11"/>
  <c r="R1862" i="11"/>
  <c r="X1862" i="11"/>
  <c r="V1862" i="11"/>
  <c r="AE1862" i="11"/>
  <c r="R1861" i="11"/>
  <c r="AE1861" i="11"/>
  <c r="V1861" i="11"/>
  <c r="X1861" i="11"/>
  <c r="AE1860" i="11"/>
  <c r="X1860" i="11"/>
  <c r="V1860" i="11"/>
  <c r="O1859" i="11"/>
  <c r="N1859" i="11"/>
  <c r="X1859" i="11"/>
  <c r="V1859" i="11"/>
  <c r="R1859" i="11"/>
  <c r="L1859" i="11"/>
  <c r="X1858" i="11"/>
  <c r="L1858" i="11"/>
  <c r="V1858" i="11"/>
  <c r="R1858" i="11"/>
  <c r="O1857" i="11"/>
  <c r="N1857" i="11"/>
  <c r="N1855" i="11"/>
  <c r="O1855" i="11"/>
  <c r="X1855" i="11"/>
  <c r="V1855" i="11"/>
  <c r="AE1855" i="11"/>
  <c r="L1855" i="11"/>
  <c r="R1855" i="11"/>
  <c r="N1854" i="11"/>
  <c r="O1854" i="11"/>
  <c r="AE1854" i="11"/>
  <c r="X1854" i="11"/>
  <c r="V1854" i="11"/>
  <c r="R1854" i="11"/>
  <c r="L1854" i="11"/>
  <c r="O1853" i="11"/>
  <c r="N1853" i="11"/>
  <c r="AE1853" i="11"/>
  <c r="L1853" i="11"/>
  <c r="X1853" i="11"/>
  <c r="V1853" i="11"/>
  <c r="R1853" i="11"/>
  <c r="O1852" i="11"/>
  <c r="N1852" i="11"/>
  <c r="AE1852" i="11"/>
  <c r="X1852" i="11"/>
  <c r="L1852" i="11"/>
  <c r="V1852" i="11"/>
  <c r="R1852" i="11"/>
  <c r="O1851" i="11"/>
  <c r="N1851" i="11"/>
  <c r="X1851" i="11"/>
  <c r="V1851" i="11"/>
  <c r="R1851" i="11"/>
  <c r="AE1851" i="11"/>
  <c r="L1851" i="11"/>
  <c r="O1850" i="11"/>
  <c r="N1850" i="11"/>
  <c r="X1850" i="11"/>
  <c r="V1850" i="11"/>
  <c r="R1850" i="11"/>
  <c r="L1850" i="11"/>
  <c r="AE1850" i="11"/>
  <c r="N1849" i="11"/>
  <c r="O1849" i="11"/>
  <c r="AE1849" i="11"/>
  <c r="L1849" i="11"/>
  <c r="X1849" i="11"/>
  <c r="V1849" i="11"/>
  <c r="R1849" i="11"/>
  <c r="N1848" i="11"/>
  <c r="O1848" i="11"/>
  <c r="L1848" i="11"/>
  <c r="R1848" i="11"/>
  <c r="X1848" i="11"/>
  <c r="V1848" i="11"/>
  <c r="AE1848" i="11"/>
  <c r="N1847" i="11"/>
  <c r="O1847" i="11"/>
  <c r="L1847" i="11"/>
  <c r="R1847" i="11"/>
  <c r="V1847" i="11"/>
  <c r="X1847" i="11"/>
  <c r="AE1847" i="11"/>
  <c r="N1846" i="11"/>
  <c r="O1846" i="11"/>
  <c r="AE1846" i="11"/>
  <c r="L1846" i="11"/>
  <c r="R1846" i="11"/>
  <c r="V1846" i="11"/>
  <c r="X1846" i="11"/>
  <c r="N1845" i="11"/>
  <c r="O1845" i="11"/>
  <c r="V1845" i="11"/>
  <c r="X1845" i="11"/>
  <c r="L1845" i="11"/>
  <c r="R1845" i="11"/>
  <c r="AE1845" i="11"/>
  <c r="N1844" i="11"/>
  <c r="O1844" i="11"/>
  <c r="AE1844" i="11"/>
  <c r="R1844" i="11"/>
  <c r="V1844" i="11"/>
  <c r="X1844" i="11"/>
  <c r="L1844" i="11"/>
  <c r="O1843" i="11"/>
  <c r="N1843" i="11"/>
  <c r="X1843" i="11"/>
  <c r="AE1843" i="11"/>
  <c r="L1843" i="11"/>
  <c r="R1843" i="11"/>
  <c r="V1843" i="11"/>
  <c r="O1842" i="11"/>
  <c r="N1842" i="11"/>
  <c r="R1842" i="11"/>
  <c r="X1842" i="11"/>
  <c r="AE1842" i="11"/>
  <c r="L1842" i="11"/>
  <c r="V1842" i="11"/>
  <c r="N1841" i="11"/>
  <c r="O1841" i="11"/>
  <c r="X1841" i="11"/>
  <c r="V1841" i="11"/>
  <c r="R1841" i="11"/>
  <c r="L1841" i="11"/>
  <c r="AE1841" i="11"/>
  <c r="O1840" i="11"/>
  <c r="N1840" i="11"/>
  <c r="AE1840" i="11"/>
  <c r="X1840" i="11"/>
  <c r="V1840" i="11"/>
  <c r="R1840" i="11"/>
  <c r="L1840" i="11"/>
  <c r="N1839" i="11"/>
  <c r="O1839" i="11"/>
  <c r="X1839" i="11"/>
  <c r="R1839" i="11"/>
  <c r="V1839" i="11"/>
  <c r="AE1839" i="11"/>
  <c r="L1839" i="11"/>
  <c r="O1838" i="11"/>
  <c r="N1838" i="11"/>
  <c r="R1838" i="11"/>
  <c r="AE1838" i="11"/>
  <c r="X1838" i="11"/>
  <c r="V1838" i="11"/>
  <c r="L1838" i="11"/>
  <c r="N1837" i="11"/>
  <c r="O1837" i="11"/>
  <c r="X1837" i="11"/>
  <c r="AE1837" i="11"/>
  <c r="V1837" i="11"/>
  <c r="L1837" i="11"/>
  <c r="R1837" i="11"/>
  <c r="O1836" i="11"/>
  <c r="N1836" i="11"/>
  <c r="X1836" i="11"/>
  <c r="V1836" i="11"/>
  <c r="R1836" i="11"/>
  <c r="AE1836" i="11"/>
  <c r="L1836" i="11"/>
  <c r="O1835" i="11"/>
  <c r="N1835" i="11"/>
  <c r="AE1835" i="11"/>
  <c r="L1835" i="11"/>
  <c r="R1835" i="11"/>
  <c r="V1835" i="11"/>
  <c r="X1835" i="11"/>
  <c r="O1834" i="11"/>
  <c r="N1834" i="11"/>
  <c r="AE1834" i="11"/>
  <c r="V1834" i="11"/>
  <c r="R1834" i="11"/>
  <c r="L1834" i="11"/>
  <c r="X1834" i="11"/>
  <c r="N1833" i="11"/>
  <c r="O1833" i="11"/>
  <c r="V1833" i="11"/>
  <c r="R1833" i="11"/>
  <c r="L1833" i="11"/>
  <c r="AE1833" i="11"/>
  <c r="X1833" i="11"/>
  <c r="N1832" i="11"/>
  <c r="O1832" i="11"/>
  <c r="AE1832" i="11"/>
  <c r="L1832" i="11"/>
  <c r="R1832" i="11"/>
  <c r="V1832" i="11"/>
  <c r="X1832" i="11"/>
  <c r="N1831" i="11"/>
  <c r="O1831" i="11"/>
  <c r="AE1831" i="11"/>
  <c r="X1831" i="11"/>
  <c r="R1831" i="11"/>
  <c r="V1831" i="11"/>
  <c r="L1831" i="11"/>
  <c r="O1830" i="11"/>
  <c r="N1830" i="11"/>
  <c r="X1830" i="11"/>
  <c r="V1830" i="11"/>
  <c r="R1830" i="11"/>
  <c r="L1830" i="11"/>
  <c r="AE1830" i="11"/>
  <c r="O1829" i="11"/>
  <c r="N1829" i="11"/>
  <c r="L1829" i="11"/>
  <c r="AE1829" i="11"/>
  <c r="X1829" i="11"/>
  <c r="V1829" i="11"/>
  <c r="R1829" i="11"/>
  <c r="N1828" i="11"/>
  <c r="O1828" i="11"/>
  <c r="X1828" i="11"/>
  <c r="R1828" i="11"/>
  <c r="V1828" i="11"/>
  <c r="AE1828" i="11"/>
  <c r="L1828" i="11"/>
  <c r="N1827" i="11"/>
  <c r="O1827" i="11"/>
  <c r="AE1827" i="11"/>
  <c r="X1827" i="11"/>
  <c r="V1827" i="11"/>
  <c r="R1827" i="11"/>
  <c r="L1827" i="11"/>
  <c r="O1826" i="11"/>
  <c r="N1826" i="11"/>
  <c r="X1826" i="11"/>
  <c r="V1826" i="11"/>
  <c r="R1826" i="11"/>
  <c r="L1826" i="11"/>
  <c r="AE1826" i="11"/>
  <c r="N1825" i="11"/>
  <c r="O1825" i="11"/>
  <c r="AE1825" i="11"/>
  <c r="L1825" i="11"/>
  <c r="R1825" i="11"/>
  <c r="V1825" i="11"/>
  <c r="X1825" i="11"/>
  <c r="O1824" i="11"/>
  <c r="N1824" i="11"/>
  <c r="X1824" i="11"/>
  <c r="V1824" i="11"/>
  <c r="R1824" i="11"/>
  <c r="L1824" i="11"/>
  <c r="AE1824" i="11"/>
  <c r="O1823" i="11"/>
  <c r="N1823" i="11"/>
  <c r="AE1823" i="11"/>
  <c r="R1823" i="11"/>
  <c r="V1823" i="11"/>
  <c r="X1823" i="11"/>
  <c r="L1823" i="11"/>
  <c r="O1822" i="11"/>
  <c r="N1822" i="11"/>
  <c r="X1822" i="11"/>
  <c r="R1822" i="11"/>
  <c r="L1822" i="11"/>
  <c r="AE1822" i="11"/>
  <c r="V1822" i="11"/>
  <c r="N1821" i="11"/>
  <c r="O1821" i="11"/>
  <c r="L1821" i="11"/>
  <c r="R1821" i="11"/>
  <c r="V1821" i="11"/>
  <c r="X1821" i="11"/>
  <c r="AE1821" i="11"/>
  <c r="O1820" i="11"/>
  <c r="N1820" i="11"/>
  <c r="AE1820" i="11"/>
  <c r="L1820" i="11"/>
  <c r="V1820" i="11"/>
  <c r="R1820" i="11"/>
  <c r="X1820" i="11"/>
  <c r="O1819" i="11"/>
  <c r="N1819" i="11"/>
  <c r="AE1819" i="11"/>
  <c r="X1819" i="11"/>
  <c r="V1819" i="11"/>
  <c r="R1819" i="11"/>
  <c r="L1819" i="11"/>
  <c r="O1818" i="11"/>
  <c r="N1818" i="11"/>
  <c r="X1818" i="11"/>
  <c r="R1818" i="11"/>
  <c r="L1818" i="11"/>
  <c r="V1818" i="11"/>
  <c r="AE1818" i="11"/>
  <c r="N1817" i="11"/>
  <c r="O1817" i="11"/>
  <c r="R1817" i="11"/>
  <c r="X1817" i="11"/>
  <c r="L1817" i="11"/>
  <c r="V1817" i="11"/>
  <c r="AE1817" i="11"/>
  <c r="O1816" i="11"/>
  <c r="N1816" i="11"/>
  <c r="V1816" i="11"/>
  <c r="X1816" i="11"/>
  <c r="L1816" i="11"/>
  <c r="AE1816" i="11"/>
  <c r="R1816" i="11"/>
  <c r="O1815" i="11"/>
  <c r="N1815" i="11"/>
  <c r="L1815" i="11"/>
  <c r="AE1815" i="11"/>
  <c r="R1815" i="11"/>
  <c r="X1815" i="11"/>
  <c r="V1815" i="11"/>
  <c r="O1814" i="11"/>
  <c r="N1814" i="11"/>
  <c r="L1814" i="11"/>
  <c r="AE1814" i="11"/>
  <c r="R1814" i="11"/>
  <c r="V1814" i="11"/>
  <c r="X1814" i="11"/>
  <c r="N1813" i="11"/>
  <c r="O1813" i="11"/>
  <c r="X1813" i="11"/>
  <c r="V1813" i="11"/>
  <c r="R1813" i="11"/>
  <c r="L1813" i="11"/>
  <c r="AE1813" i="11"/>
  <c r="O1812" i="11"/>
  <c r="N1812" i="11"/>
  <c r="R1812" i="11"/>
  <c r="X1812" i="11"/>
  <c r="AE1812" i="11"/>
  <c r="V1812" i="11"/>
  <c r="L1812" i="11"/>
  <c r="N1811" i="11"/>
  <c r="O1811" i="11"/>
  <c r="V1811" i="11"/>
  <c r="X1811" i="11"/>
  <c r="L1811" i="11"/>
  <c r="R1811" i="11"/>
  <c r="AE1811" i="11"/>
  <c r="N1810" i="11"/>
  <c r="O1810" i="11"/>
  <c r="R1810" i="11"/>
  <c r="AE1810" i="11"/>
  <c r="V1810" i="11"/>
  <c r="L1810" i="11"/>
  <c r="X1810" i="11"/>
  <c r="O1809" i="11"/>
  <c r="N1809" i="11"/>
  <c r="R1809" i="11"/>
  <c r="V1809" i="11"/>
  <c r="X1809" i="11"/>
  <c r="L1809" i="11"/>
  <c r="AE1809" i="11"/>
  <c r="N1808" i="11"/>
  <c r="O1808" i="11"/>
  <c r="L1808" i="11"/>
  <c r="AE1808" i="11"/>
  <c r="V1808" i="11"/>
  <c r="X1808" i="11"/>
  <c r="R1808" i="11"/>
  <c r="O1807" i="11"/>
  <c r="N1807" i="11"/>
  <c r="AE1807" i="11"/>
  <c r="L1807" i="11"/>
  <c r="R1807" i="11"/>
  <c r="X1807" i="11"/>
  <c r="V1807" i="11"/>
  <c r="N1806" i="11"/>
  <c r="O1806" i="11"/>
  <c r="L1806" i="11"/>
  <c r="R1806" i="11"/>
  <c r="AE1806" i="11"/>
  <c r="V1806" i="11"/>
  <c r="X1806" i="11"/>
  <c r="O1805" i="11"/>
  <c r="N1805" i="11"/>
  <c r="AE1805" i="11"/>
  <c r="R1805" i="11"/>
  <c r="L1805" i="11"/>
  <c r="V1805" i="11"/>
  <c r="X1805" i="11"/>
  <c r="O1804" i="11"/>
  <c r="N1804" i="11"/>
  <c r="L1804" i="11"/>
  <c r="AE1804" i="11"/>
  <c r="R1804" i="11"/>
  <c r="V1804" i="11"/>
  <c r="X1804" i="11"/>
  <c r="N1803" i="11"/>
  <c r="O1803" i="11"/>
  <c r="V1803" i="11"/>
  <c r="AE1803" i="11"/>
  <c r="X1803" i="11"/>
  <c r="L1803" i="11"/>
  <c r="R1803" i="11"/>
  <c r="N1802" i="11"/>
  <c r="O1802" i="11"/>
  <c r="X1802" i="11"/>
  <c r="L1802" i="11"/>
  <c r="R1802" i="11"/>
  <c r="V1802" i="11"/>
  <c r="AE1802" i="11"/>
  <c r="O1801" i="11"/>
  <c r="N1801" i="11"/>
  <c r="L1801" i="11"/>
  <c r="R1801" i="11"/>
  <c r="V1801" i="11"/>
  <c r="X1801" i="11"/>
  <c r="AE1801" i="11"/>
  <c r="O1800" i="11"/>
  <c r="N1800" i="11"/>
  <c r="V1800" i="11"/>
  <c r="L1800" i="11"/>
  <c r="AE1800" i="11"/>
  <c r="X1800" i="11"/>
  <c r="R1800" i="11"/>
  <c r="V1799" i="11"/>
  <c r="R1799" i="11"/>
  <c r="AE1799" i="11"/>
  <c r="L1798" i="11"/>
  <c r="R1798" i="11"/>
  <c r="O1798" i="11"/>
  <c r="N1798" i="11"/>
  <c r="X1797" i="11"/>
  <c r="V1797" i="11"/>
  <c r="R1797" i="11"/>
  <c r="L1797" i="11"/>
  <c r="O1796" i="11"/>
  <c r="N1796" i="11"/>
  <c r="R1796" i="11"/>
  <c r="X1796" i="11"/>
  <c r="L1796" i="11"/>
  <c r="V1796" i="11"/>
  <c r="AE1794" i="11"/>
  <c r="X1794" i="11"/>
  <c r="V1794" i="11"/>
  <c r="O1793" i="11"/>
  <c r="N1793" i="11"/>
  <c r="O1792" i="11"/>
  <c r="N1792" i="11"/>
  <c r="R1792" i="11"/>
  <c r="L1792" i="11"/>
  <c r="O1791" i="11"/>
  <c r="N1791" i="11"/>
  <c r="X1791" i="11"/>
  <c r="R1791" i="11"/>
  <c r="AE1791" i="11"/>
  <c r="L1791" i="11"/>
  <c r="AE1790" i="11"/>
  <c r="X1790" i="11"/>
  <c r="V1790" i="11"/>
  <c r="R1790" i="11"/>
  <c r="L1790" i="11"/>
  <c r="R1789" i="11"/>
  <c r="V1789" i="11"/>
  <c r="X1789" i="11"/>
  <c r="AE1789" i="11"/>
  <c r="O1786" i="11"/>
  <c r="N1786" i="11"/>
  <c r="L1786" i="11"/>
  <c r="AE1786" i="11"/>
  <c r="X1786" i="11"/>
  <c r="AE1785" i="11"/>
  <c r="R1785" i="11"/>
  <c r="V1785" i="11"/>
  <c r="X1785" i="11"/>
  <c r="V1784" i="11"/>
  <c r="X1784" i="11"/>
  <c r="AE1784" i="11"/>
  <c r="X1783" i="11"/>
  <c r="V1783" i="11"/>
  <c r="AE1783" i="11"/>
  <c r="X1782" i="11"/>
  <c r="L1782" i="11"/>
  <c r="R1782" i="11"/>
  <c r="V1782" i="11"/>
  <c r="AE1782" i="11"/>
  <c r="R1781" i="11"/>
  <c r="L1781" i="11"/>
  <c r="X1780" i="11"/>
  <c r="AE1780" i="11"/>
  <c r="V1780" i="11"/>
  <c r="N1779" i="11"/>
  <c r="O1779" i="11"/>
  <c r="V1777" i="11"/>
  <c r="AE1777" i="11"/>
  <c r="X1777" i="11"/>
  <c r="N1775" i="11"/>
  <c r="O1775" i="11"/>
  <c r="V1775" i="11"/>
  <c r="AE1775" i="11"/>
  <c r="R1775" i="11"/>
  <c r="X1775" i="11"/>
  <c r="L1773" i="11"/>
  <c r="V1773" i="11"/>
  <c r="X1772" i="11"/>
  <c r="V1772" i="11"/>
  <c r="AE1772" i="11"/>
  <c r="AE1771" i="11"/>
  <c r="X1771" i="11"/>
  <c r="V1771" i="11"/>
  <c r="R1771" i="11"/>
  <c r="N1771" i="11"/>
  <c r="O1771" i="11"/>
  <c r="O1770" i="11"/>
  <c r="N1770" i="11"/>
  <c r="L1770" i="11"/>
  <c r="AE1770" i="11"/>
  <c r="X1770" i="11"/>
  <c r="V1770" i="11"/>
  <c r="R1770" i="11"/>
  <c r="L1769" i="11"/>
  <c r="X1769" i="11"/>
  <c r="R1769" i="11"/>
  <c r="AE1769" i="11"/>
  <c r="V1769" i="11"/>
  <c r="N1768" i="11"/>
  <c r="O1768" i="11"/>
  <c r="L1768" i="11"/>
  <c r="AE1768" i="11"/>
  <c r="R1768" i="11"/>
  <c r="V1768" i="11"/>
  <c r="V1766" i="11"/>
  <c r="X1766" i="11"/>
  <c r="AE1766" i="11"/>
  <c r="L1766" i="11"/>
  <c r="AE1765" i="11"/>
  <c r="V1765" i="11"/>
  <c r="X1765" i="11"/>
  <c r="X1764" i="11"/>
  <c r="V1764" i="11"/>
  <c r="AE1764" i="11"/>
  <c r="R1762" i="11"/>
  <c r="X1762" i="11"/>
  <c r="L1762" i="11"/>
  <c r="R1761" i="11"/>
  <c r="AE1761" i="11"/>
  <c r="X1761" i="11"/>
  <c r="V1761" i="11"/>
  <c r="O1761" i="11"/>
  <c r="N1761" i="11"/>
  <c r="R1760" i="11"/>
  <c r="V1760" i="11"/>
  <c r="L1760" i="11"/>
  <c r="X1760" i="11"/>
  <c r="AE1760" i="11"/>
  <c r="N1760" i="11"/>
  <c r="O1760" i="11"/>
  <c r="N1758" i="11"/>
  <c r="O1758" i="11"/>
  <c r="L1758" i="11"/>
  <c r="AE1758" i="11"/>
  <c r="V1758" i="11"/>
  <c r="R1758" i="11"/>
  <c r="L1757" i="11"/>
  <c r="R1757" i="11"/>
  <c r="AE1757" i="11"/>
  <c r="V1757" i="11"/>
  <c r="X1757" i="11"/>
  <c r="N1757" i="11"/>
  <c r="O1757" i="11"/>
  <c r="X1756" i="11"/>
  <c r="V1756" i="11"/>
  <c r="AE1756" i="11"/>
  <c r="L1756" i="11"/>
  <c r="R1756" i="11"/>
  <c r="AE1754" i="11"/>
  <c r="V1754" i="11"/>
  <c r="R1754" i="11"/>
  <c r="X1754" i="11"/>
  <c r="L1754" i="11"/>
  <c r="N1754" i="11"/>
  <c r="O1754" i="11"/>
  <c r="L1752" i="11"/>
  <c r="R1752" i="11"/>
  <c r="X1752" i="11"/>
  <c r="AE1752" i="11"/>
  <c r="V1752" i="11"/>
  <c r="N1752" i="11"/>
  <c r="O1752" i="11"/>
  <c r="V1751" i="11"/>
  <c r="R1751" i="11"/>
  <c r="L1751" i="11"/>
  <c r="AE1751" i="11"/>
  <c r="X1751" i="11"/>
  <c r="N1751" i="11"/>
  <c r="O1751" i="11"/>
  <c r="N1750" i="11"/>
  <c r="O1750" i="11"/>
  <c r="N1749" i="11"/>
  <c r="O1749" i="11"/>
  <c r="L1749" i="11"/>
  <c r="X1749" i="11"/>
  <c r="V1749" i="11"/>
  <c r="R1749" i="11"/>
  <c r="AE1749" i="11"/>
  <c r="O1748" i="11"/>
  <c r="N1748" i="11"/>
  <c r="R1748" i="11"/>
  <c r="L1748" i="11"/>
  <c r="V1748" i="11"/>
  <c r="O1747" i="11"/>
  <c r="N1747" i="11"/>
  <c r="V1747" i="11"/>
  <c r="L1747" i="11"/>
  <c r="X1746" i="11"/>
  <c r="V1746" i="11"/>
  <c r="AE1746" i="11"/>
  <c r="N1744" i="11"/>
  <c r="O1744" i="11"/>
  <c r="X1744" i="11"/>
  <c r="L1744" i="11"/>
  <c r="AE1744" i="11"/>
  <c r="V1744" i="11"/>
  <c r="R1744" i="11"/>
  <c r="L1743" i="11"/>
  <c r="X1743" i="11"/>
  <c r="V1742" i="11"/>
  <c r="AE1742" i="11"/>
  <c r="N1741" i="11"/>
  <c r="O1741" i="11"/>
  <c r="L1741" i="11"/>
  <c r="V1741" i="11"/>
  <c r="R1741" i="11"/>
  <c r="X1741" i="11"/>
  <c r="AE1741" i="11"/>
  <c r="AE1740" i="11"/>
  <c r="V1740" i="11"/>
  <c r="L1740" i="11"/>
  <c r="X1740" i="11"/>
  <c r="R1740" i="11"/>
  <c r="O1739" i="11"/>
  <c r="N1739" i="11"/>
  <c r="V1739" i="11"/>
  <c r="L1739" i="11"/>
  <c r="R1739" i="11"/>
  <c r="L1738" i="11"/>
  <c r="AE1738" i="11"/>
  <c r="R1738" i="11"/>
  <c r="N1738" i="11"/>
  <c r="O1738" i="11"/>
  <c r="N1737" i="11"/>
  <c r="O1737" i="11"/>
  <c r="L1737" i="11"/>
  <c r="AE1737" i="11"/>
  <c r="X1737" i="11"/>
  <c r="V1737" i="11"/>
  <c r="R1737" i="11"/>
  <c r="O1736" i="11"/>
  <c r="N1736" i="11"/>
  <c r="V1736" i="11"/>
  <c r="AE1736" i="11"/>
  <c r="L1736" i="11"/>
  <c r="R1736" i="11"/>
  <c r="X1736" i="11"/>
  <c r="N1735" i="11"/>
  <c r="O1735" i="11"/>
  <c r="V1735" i="11"/>
  <c r="AE1735" i="11"/>
  <c r="R1735" i="11"/>
  <c r="L1735" i="11"/>
  <c r="X1735" i="11"/>
  <c r="O1734" i="11"/>
  <c r="N1734" i="11"/>
  <c r="AE1734" i="11"/>
  <c r="V1734" i="11"/>
  <c r="X1734" i="11"/>
  <c r="L1734" i="11"/>
  <c r="R1734" i="11"/>
  <c r="N1733" i="11"/>
  <c r="O1733" i="11"/>
  <c r="V1733" i="11"/>
  <c r="AE1733" i="11"/>
  <c r="R1733" i="11"/>
  <c r="X1733" i="11"/>
  <c r="L1733" i="11"/>
  <c r="O1732" i="11"/>
  <c r="N1732" i="11"/>
  <c r="V1732" i="11"/>
  <c r="R1732" i="11"/>
  <c r="L1732" i="11"/>
  <c r="AE1732" i="11"/>
  <c r="X1732" i="11"/>
  <c r="V1731" i="11"/>
  <c r="R1731" i="11"/>
  <c r="AE1731" i="11"/>
  <c r="X1731" i="11"/>
  <c r="AE1730" i="11"/>
  <c r="X1730" i="11"/>
  <c r="V1730" i="11"/>
  <c r="AE1728" i="11"/>
  <c r="L1728" i="11"/>
  <c r="N1728" i="11"/>
  <c r="O1728" i="11"/>
  <c r="L1727" i="11"/>
  <c r="AE1727" i="11"/>
  <c r="R1727" i="11"/>
  <c r="X1727" i="11"/>
  <c r="V1727" i="11"/>
  <c r="O1726" i="11"/>
  <c r="N1726" i="11"/>
  <c r="R1726" i="11"/>
  <c r="V1726" i="11"/>
  <c r="X1726" i="11"/>
  <c r="L1726" i="11"/>
  <c r="O1725" i="11"/>
  <c r="N1725" i="11"/>
  <c r="L1725" i="11"/>
  <c r="O1724" i="11"/>
  <c r="N1724" i="11"/>
  <c r="R1724" i="11"/>
  <c r="V1724" i="11"/>
  <c r="X1724" i="11"/>
  <c r="N1722" i="11"/>
  <c r="O1722" i="11"/>
  <c r="V1721" i="11"/>
  <c r="R1721" i="11"/>
  <c r="X1721" i="11"/>
  <c r="N1721" i="11"/>
  <c r="L1721" i="11"/>
  <c r="O1721" i="11"/>
  <c r="N1720" i="11"/>
  <c r="O1720" i="11"/>
  <c r="L1720" i="11"/>
  <c r="L1719" i="11"/>
  <c r="O1719" i="11"/>
  <c r="N1719" i="11"/>
  <c r="AE1718" i="11"/>
  <c r="R1718" i="11"/>
  <c r="L1718" i="11"/>
  <c r="O1717" i="11"/>
  <c r="N1717" i="11"/>
  <c r="AE1717" i="11"/>
  <c r="L1717" i="11"/>
  <c r="R1717" i="11"/>
  <c r="V1717" i="11"/>
  <c r="X1717" i="11"/>
  <c r="X1716" i="11"/>
  <c r="AE1716" i="11"/>
  <c r="L1716" i="11"/>
  <c r="R1716" i="11"/>
  <c r="O1715" i="11"/>
  <c r="N1715" i="11"/>
  <c r="AE1715" i="11"/>
  <c r="L1715" i="11"/>
  <c r="X1715" i="11"/>
  <c r="R1715" i="11"/>
  <c r="V1715" i="11"/>
  <c r="X1714" i="11"/>
  <c r="AE1714" i="11"/>
  <c r="L1714" i="11"/>
  <c r="V1714" i="11"/>
  <c r="R1714" i="11"/>
  <c r="R1713" i="11"/>
  <c r="L1713" i="11"/>
  <c r="L1712" i="11"/>
  <c r="R1712" i="11"/>
  <c r="X1712" i="11"/>
  <c r="AE1712" i="11"/>
  <c r="X1711" i="11"/>
  <c r="V1711" i="11"/>
  <c r="R1711" i="11"/>
  <c r="X1710" i="11"/>
  <c r="L1710" i="11"/>
  <c r="AE1710" i="11"/>
  <c r="V1710" i="11"/>
  <c r="R1710" i="11"/>
  <c r="V1709" i="11"/>
  <c r="X1709" i="11"/>
  <c r="R1709" i="11"/>
  <c r="L1709" i="11"/>
  <c r="AE1707" i="11"/>
  <c r="L1707" i="11"/>
  <c r="AE1706" i="11"/>
  <c r="L1706" i="11"/>
  <c r="R1706" i="11"/>
  <c r="V1706" i="11"/>
  <c r="X1706" i="11"/>
  <c r="N1706" i="11"/>
  <c r="O1706" i="11"/>
  <c r="R1705" i="11"/>
  <c r="V1705" i="11"/>
  <c r="N1704" i="11"/>
  <c r="O1704" i="11"/>
  <c r="V1704" i="11"/>
  <c r="AE1704" i="11"/>
  <c r="V1703" i="11"/>
  <c r="AE1703" i="11"/>
  <c r="X1703" i="11"/>
  <c r="R1703" i="11"/>
  <c r="AE1702" i="11"/>
  <c r="V1702" i="11"/>
  <c r="L1702" i="11"/>
  <c r="R1702" i="11"/>
  <c r="X1702" i="11"/>
  <c r="X1701" i="11"/>
  <c r="R1701" i="11"/>
  <c r="V1701" i="11"/>
  <c r="AE1701" i="11"/>
  <c r="L1701" i="11"/>
  <c r="N1700" i="11"/>
  <c r="O1700" i="11"/>
  <c r="AE1699" i="11"/>
  <c r="R1699" i="11"/>
  <c r="V1699" i="11"/>
  <c r="L1699" i="11"/>
  <c r="X1699" i="11"/>
  <c r="N1699" i="11"/>
  <c r="O1699" i="11"/>
  <c r="O1698" i="11"/>
  <c r="N1698" i="11"/>
  <c r="L1698" i="11"/>
  <c r="V1698" i="11"/>
  <c r="X1698" i="11"/>
  <c r="AE1698" i="11"/>
  <c r="V1696" i="11"/>
  <c r="R1696" i="11"/>
  <c r="X1696" i="11"/>
  <c r="AE1696" i="11"/>
  <c r="N1696" i="11"/>
  <c r="O1696" i="11"/>
  <c r="N1695" i="11"/>
  <c r="O1695" i="11"/>
  <c r="L1695" i="11"/>
  <c r="R1695" i="11"/>
  <c r="V1695" i="11"/>
  <c r="X1694" i="11"/>
  <c r="L1694" i="11"/>
  <c r="N1693" i="11"/>
  <c r="O1693" i="11"/>
  <c r="L1692" i="11"/>
  <c r="V1692" i="11"/>
  <c r="X1692" i="11"/>
  <c r="L1690" i="11"/>
  <c r="AE1690" i="11"/>
  <c r="O1690" i="11"/>
  <c r="N1690" i="11"/>
  <c r="AE1689" i="11"/>
  <c r="X1689" i="11"/>
  <c r="N1689" i="11"/>
  <c r="L1689" i="11"/>
  <c r="O1689" i="11"/>
  <c r="N1688" i="11"/>
  <c r="O1688" i="11"/>
  <c r="L1688" i="11"/>
  <c r="V1687" i="11"/>
  <c r="L1687" i="11"/>
  <c r="AE1687" i="11"/>
  <c r="O1687" i="11"/>
  <c r="N1687" i="11"/>
  <c r="V1686" i="11"/>
  <c r="X1686" i="11"/>
  <c r="R1686" i="11"/>
  <c r="L1686" i="11"/>
  <c r="AE1686" i="11"/>
  <c r="X1683" i="11"/>
  <c r="AE1683" i="11"/>
  <c r="R1683" i="11"/>
  <c r="V1683" i="11"/>
  <c r="L1683" i="11"/>
  <c r="AE1682" i="11"/>
  <c r="X1682" i="11"/>
  <c r="V1682" i="11"/>
  <c r="O1682" i="11"/>
  <c r="N1682" i="11"/>
  <c r="N1681" i="11"/>
  <c r="O1681" i="11"/>
  <c r="O1680" i="11"/>
  <c r="N1680" i="11"/>
  <c r="R1680" i="11"/>
  <c r="AE1680" i="11"/>
  <c r="V1680" i="11"/>
  <c r="L1680" i="11"/>
  <c r="X1680" i="11"/>
  <c r="O1679" i="11"/>
  <c r="N1679" i="11"/>
  <c r="L1679" i="11"/>
  <c r="R1677" i="11"/>
  <c r="AE1677" i="11"/>
  <c r="V1677" i="11"/>
  <c r="X1677" i="11"/>
  <c r="N1677" i="11"/>
  <c r="O1677" i="11"/>
  <c r="L1676" i="11"/>
  <c r="R1676" i="11"/>
  <c r="V1676" i="11"/>
  <c r="X1676" i="11"/>
  <c r="AE1675" i="11"/>
  <c r="L1675" i="11"/>
  <c r="V1674" i="11"/>
  <c r="X1674" i="11"/>
  <c r="AE1674" i="11"/>
  <c r="N1674" i="11"/>
  <c r="L1674" i="11"/>
  <c r="O1674" i="11"/>
  <c r="N1673" i="11"/>
  <c r="O1673" i="11"/>
  <c r="AE1673" i="11"/>
  <c r="R1673" i="11"/>
  <c r="V1673" i="11"/>
  <c r="X1673" i="11"/>
  <c r="L1673" i="11"/>
  <c r="L1672" i="11"/>
  <c r="N1672" i="11"/>
  <c r="O1672" i="11"/>
  <c r="L1671" i="11"/>
  <c r="V1671" i="11"/>
  <c r="X1671" i="11"/>
  <c r="AE1670" i="11"/>
  <c r="L1670" i="11"/>
  <c r="N1670" i="11"/>
  <c r="O1670" i="11"/>
  <c r="R1669" i="11"/>
  <c r="L1669" i="11"/>
  <c r="AE1666" i="11"/>
  <c r="X1666" i="11"/>
  <c r="R1666" i="11"/>
  <c r="V1666" i="11"/>
  <c r="AE1665" i="11"/>
  <c r="X1665" i="11"/>
  <c r="V1665" i="11"/>
  <c r="L1665" i="11"/>
  <c r="R1665" i="11"/>
  <c r="N1665" i="11"/>
  <c r="O1665" i="11"/>
  <c r="R1664" i="11"/>
  <c r="L1664" i="11"/>
  <c r="X1663" i="11"/>
  <c r="V1663" i="11"/>
  <c r="AE1663" i="11"/>
  <c r="R1663" i="11"/>
  <c r="N1661" i="11"/>
  <c r="O1661" i="11"/>
  <c r="AE1661" i="11"/>
  <c r="X1661" i="11"/>
  <c r="V1661" i="11"/>
  <c r="R1661" i="11"/>
  <c r="N1660" i="11"/>
  <c r="O1660" i="11"/>
  <c r="AE1660" i="11"/>
  <c r="L1660" i="11"/>
  <c r="V1660" i="11"/>
  <c r="R1659" i="11"/>
  <c r="V1659" i="11"/>
  <c r="L1659" i="11"/>
  <c r="AE1659" i="11"/>
  <c r="O1657" i="11"/>
  <c r="N1657" i="11"/>
  <c r="V1657" i="11"/>
  <c r="L1657" i="11"/>
  <c r="R1657" i="11"/>
  <c r="X1657" i="11"/>
  <c r="L1656" i="11"/>
  <c r="R1656" i="11"/>
  <c r="AE1656" i="11"/>
  <c r="L1655" i="11"/>
  <c r="AE1655" i="11"/>
  <c r="L1654" i="11"/>
  <c r="X1654" i="11"/>
  <c r="AE1654" i="11"/>
  <c r="X1653" i="11"/>
  <c r="V1653" i="11"/>
  <c r="R1653" i="11"/>
  <c r="O1653" i="11"/>
  <c r="L1653" i="11"/>
  <c r="N1653" i="11"/>
  <c r="R1652" i="11"/>
  <c r="X1652" i="11"/>
  <c r="V1652" i="11"/>
  <c r="N1652" i="11"/>
  <c r="O1652" i="11"/>
  <c r="R1651" i="11"/>
  <c r="L1651" i="11"/>
  <c r="V1651" i="11"/>
  <c r="N1650" i="11"/>
  <c r="O1650" i="11"/>
  <c r="L1650" i="11"/>
  <c r="V1650" i="11"/>
  <c r="R1650" i="11"/>
  <c r="AE1650" i="11"/>
  <c r="X1650" i="11"/>
  <c r="AE1648" i="11"/>
  <c r="X1648" i="11"/>
  <c r="V1648" i="11"/>
  <c r="N1648" i="11"/>
  <c r="L1648" i="11"/>
  <c r="O1648" i="11"/>
  <c r="N1647" i="11"/>
  <c r="O1647" i="11"/>
  <c r="L1647" i="11"/>
  <c r="X1647" i="11"/>
  <c r="AE1647" i="11"/>
  <c r="R1647" i="11"/>
  <c r="L1645" i="11"/>
  <c r="X1645" i="11"/>
  <c r="O1645" i="11"/>
  <c r="N1645" i="11"/>
  <c r="R1644" i="11"/>
  <c r="V1644" i="11"/>
  <c r="N1644" i="11"/>
  <c r="L1644" i="11"/>
  <c r="AE1643" i="11"/>
  <c r="L1643" i="11"/>
  <c r="R1643" i="11"/>
  <c r="N1642" i="11"/>
  <c r="O1642" i="11"/>
  <c r="L1642" i="11"/>
  <c r="AE1641" i="11"/>
  <c r="L1641" i="11"/>
  <c r="V1641" i="11"/>
  <c r="X1641" i="11"/>
  <c r="R1641" i="11"/>
  <c r="R1639" i="11"/>
  <c r="X1639" i="11"/>
  <c r="N1639" i="11"/>
  <c r="L1639" i="11"/>
  <c r="O1639" i="11"/>
  <c r="N1638" i="11"/>
  <c r="L1638" i="11"/>
  <c r="O1638" i="11"/>
  <c r="X1637" i="11"/>
  <c r="R1637" i="11"/>
  <c r="AE1637" i="11"/>
  <c r="V1636" i="11"/>
  <c r="AE1636" i="11"/>
  <c r="X1636" i="11"/>
  <c r="O1636" i="11"/>
  <c r="N1636" i="11"/>
  <c r="L1636" i="11"/>
  <c r="R1635" i="11"/>
  <c r="AE1635" i="11"/>
  <c r="L1635" i="11"/>
  <c r="O1635" i="11"/>
  <c r="N1635" i="11"/>
  <c r="L1634" i="11"/>
  <c r="R1634" i="11"/>
  <c r="V1634" i="11"/>
  <c r="N1633" i="11"/>
  <c r="L1633" i="11"/>
  <c r="O1633" i="11"/>
  <c r="L1632" i="11"/>
  <c r="AE1632" i="11"/>
  <c r="AE1631" i="11"/>
  <c r="X1631" i="11"/>
  <c r="V1631" i="11"/>
  <c r="O1630" i="11"/>
  <c r="L1630" i="11"/>
  <c r="X1629" i="11"/>
  <c r="V1629" i="11"/>
  <c r="R1629" i="11"/>
  <c r="L1628" i="11"/>
  <c r="X1628" i="11"/>
  <c r="X1627" i="11"/>
  <c r="AE1627" i="11"/>
  <c r="V1625" i="11"/>
  <c r="X1625" i="11"/>
  <c r="R1625" i="11"/>
  <c r="L1625" i="11"/>
  <c r="AE1624" i="11"/>
  <c r="L1624" i="11"/>
  <c r="R1624" i="11"/>
  <c r="V1624" i="11"/>
  <c r="O1623" i="11"/>
  <c r="L1623" i="11"/>
  <c r="N1623" i="11"/>
  <c r="L1620" i="11"/>
  <c r="R1620" i="11"/>
  <c r="N1619" i="11"/>
  <c r="O1619" i="11"/>
  <c r="L1619" i="11"/>
  <c r="V1619" i="11"/>
  <c r="X1619" i="11"/>
  <c r="R1619" i="11"/>
  <c r="AE1618" i="11"/>
  <c r="X1618" i="11"/>
  <c r="V1618" i="11"/>
  <c r="L1617" i="11"/>
  <c r="AE1617" i="11"/>
  <c r="O1617" i="11"/>
  <c r="N1617" i="11"/>
  <c r="O1616" i="11"/>
  <c r="N1616" i="11"/>
  <c r="R1616" i="11"/>
  <c r="AE1616" i="11"/>
  <c r="X1616" i="11"/>
  <c r="L1616" i="11"/>
  <c r="V1616" i="11"/>
  <c r="L1615" i="11"/>
  <c r="X1615" i="11"/>
  <c r="V1615" i="11"/>
  <c r="R1615" i="11"/>
  <c r="AE1615" i="11"/>
  <c r="O1615" i="11"/>
  <c r="N1615" i="11"/>
  <c r="V1614" i="11"/>
  <c r="X1614" i="11"/>
  <c r="R1614" i="11"/>
  <c r="L1614" i="11"/>
  <c r="AE1614" i="11"/>
  <c r="R1613" i="11"/>
  <c r="L1613" i="11"/>
  <c r="X1612" i="11"/>
  <c r="V1612" i="11"/>
  <c r="L1610" i="11"/>
  <c r="R1610" i="11"/>
  <c r="N1610" i="11"/>
  <c r="O1610" i="11"/>
  <c r="V1609" i="11"/>
  <c r="R1609" i="11"/>
  <c r="L1609" i="11"/>
  <c r="AE1609" i="11"/>
  <c r="X1609" i="11"/>
  <c r="V1608" i="11"/>
  <c r="AE1608" i="11"/>
  <c r="V1605" i="11"/>
  <c r="X1605" i="11"/>
  <c r="L1605" i="11"/>
  <c r="N1605" i="11"/>
  <c r="O1605" i="11"/>
  <c r="AE1604" i="11"/>
  <c r="X1604" i="11"/>
  <c r="V1604" i="11"/>
  <c r="R1603" i="11"/>
  <c r="V1603" i="11"/>
  <c r="O1603" i="11"/>
  <c r="N1603" i="11"/>
  <c r="L1603" i="11"/>
  <c r="AE1602" i="11"/>
  <c r="R1602" i="11"/>
  <c r="L1602" i="11"/>
  <c r="V1602" i="11"/>
  <c r="X1602" i="11"/>
  <c r="N1602" i="11"/>
  <c r="O1602" i="11"/>
  <c r="X1601" i="11"/>
  <c r="AE1601" i="11"/>
  <c r="L1601" i="11"/>
  <c r="V1601" i="11"/>
  <c r="R1601" i="11"/>
  <c r="L1600" i="11"/>
  <c r="O1600" i="11"/>
  <c r="N1600" i="11"/>
  <c r="N1598" i="11"/>
  <c r="O1598" i="11"/>
  <c r="R1598" i="11"/>
  <c r="AE1598" i="11"/>
  <c r="X1598" i="11"/>
  <c r="V1598" i="11"/>
  <c r="L1598" i="11"/>
  <c r="X1597" i="11"/>
  <c r="V1597" i="11"/>
  <c r="L1597" i="11"/>
  <c r="R1597" i="11"/>
  <c r="AE1597" i="11"/>
  <c r="R1595" i="11"/>
  <c r="AE1595" i="11"/>
  <c r="X1595" i="11"/>
  <c r="L1595" i="11"/>
  <c r="O1595" i="11"/>
  <c r="X1594" i="11"/>
  <c r="R1594" i="11"/>
  <c r="V1594" i="11"/>
  <c r="AE1594" i="11"/>
  <c r="N1594" i="11"/>
  <c r="O1594" i="11"/>
  <c r="AE1593" i="11"/>
  <c r="V1593" i="11"/>
  <c r="X1593" i="11"/>
  <c r="L1593" i="11"/>
  <c r="R1593" i="11"/>
  <c r="AE1592" i="11"/>
  <c r="R1592" i="11"/>
  <c r="L1592" i="11"/>
  <c r="V1592" i="11"/>
  <c r="X1592" i="11"/>
  <c r="R1591" i="11"/>
  <c r="AE1591" i="11"/>
  <c r="X1591" i="11"/>
  <c r="V1591" i="11"/>
  <c r="L1591" i="11"/>
  <c r="X1590" i="11"/>
  <c r="R1590" i="11"/>
  <c r="V1590" i="11"/>
  <c r="L1590" i="11"/>
  <c r="AE1588" i="11"/>
  <c r="X1588" i="11"/>
  <c r="R1588" i="11"/>
  <c r="L1588" i="11"/>
  <c r="V1588" i="11"/>
  <c r="O1588" i="11"/>
  <c r="N1588" i="11"/>
  <c r="O1587" i="11"/>
  <c r="N1587" i="11"/>
  <c r="X1586" i="11"/>
  <c r="R1586" i="11"/>
  <c r="V1586" i="11"/>
  <c r="AE1586" i="11"/>
  <c r="R1585" i="11"/>
  <c r="X1585" i="11"/>
  <c r="AE1585" i="11"/>
  <c r="L1583" i="11"/>
  <c r="N1583" i="11"/>
  <c r="N1582" i="11"/>
  <c r="O1582" i="11"/>
  <c r="V1582" i="11"/>
  <c r="X1582" i="11"/>
  <c r="AE1582" i="11"/>
  <c r="L1582" i="11"/>
  <c r="V1581" i="11"/>
  <c r="R1581" i="11"/>
  <c r="N1581" i="11"/>
  <c r="O1581" i="11"/>
  <c r="O1580" i="11"/>
  <c r="N1580" i="11"/>
  <c r="O1578" i="11"/>
  <c r="N1578" i="11"/>
  <c r="R1578" i="11"/>
  <c r="L1578" i="11"/>
  <c r="AE1577" i="11"/>
  <c r="L1577" i="11"/>
  <c r="R1577" i="11"/>
  <c r="V1577" i="11"/>
  <c r="V1576" i="11"/>
  <c r="X1576" i="11"/>
  <c r="AE1576" i="11"/>
  <c r="R1576" i="11"/>
  <c r="L1576" i="11"/>
  <c r="AE1575" i="11"/>
  <c r="R1575" i="11"/>
  <c r="L1575" i="11"/>
  <c r="V1575" i="11"/>
  <c r="X1575" i="11"/>
  <c r="X1573" i="11"/>
  <c r="R1573" i="11"/>
  <c r="L1573" i="11"/>
  <c r="V1573" i="11"/>
  <c r="AE1573" i="11"/>
  <c r="O1571" i="11"/>
  <c r="L1571" i="11"/>
  <c r="N1569" i="11"/>
  <c r="O1569" i="11"/>
  <c r="L1569" i="11"/>
  <c r="V1569" i="11"/>
  <c r="AE1569" i="11"/>
  <c r="X1569" i="11"/>
  <c r="R1569" i="11"/>
  <c r="V1566" i="11"/>
  <c r="R1566" i="11"/>
  <c r="N1566" i="11"/>
  <c r="O1566" i="11"/>
  <c r="L1566" i="11"/>
  <c r="X1565" i="11"/>
  <c r="V1565" i="11"/>
  <c r="X1564" i="11"/>
  <c r="L1564" i="11"/>
  <c r="AE1564" i="11"/>
  <c r="AE1563" i="11"/>
  <c r="X1563" i="11"/>
  <c r="O1563" i="11"/>
  <c r="N1563" i="11"/>
  <c r="AE1562" i="11"/>
  <c r="L1562" i="11"/>
  <c r="V1561" i="11"/>
  <c r="L1561" i="11"/>
  <c r="R1561" i="11"/>
  <c r="AE1561" i="11"/>
  <c r="X1561" i="11"/>
  <c r="X1560" i="11"/>
  <c r="V1560" i="11"/>
  <c r="R1560" i="11"/>
  <c r="L1560" i="11"/>
  <c r="AE1560" i="11"/>
  <c r="R1559" i="11"/>
  <c r="AE1559" i="11"/>
  <c r="O1559" i="11"/>
  <c r="N1559" i="11"/>
  <c r="R1558" i="11"/>
  <c r="X1558" i="11"/>
  <c r="V1558" i="11"/>
  <c r="AE1558" i="11"/>
  <c r="AE1557" i="11"/>
  <c r="R1557" i="11"/>
  <c r="V1557" i="11"/>
  <c r="L1557" i="11"/>
  <c r="N1557" i="11"/>
  <c r="O1557" i="11"/>
  <c r="O1556" i="11"/>
  <c r="N1556" i="11"/>
  <c r="R1556" i="11"/>
  <c r="AE1556" i="11"/>
  <c r="V1556" i="11"/>
  <c r="L1556" i="11"/>
  <c r="X1556" i="11"/>
  <c r="X1555" i="11"/>
  <c r="V1555" i="11"/>
  <c r="R1555" i="11"/>
  <c r="L1555" i="11"/>
  <c r="O1555" i="11"/>
  <c r="N1555" i="11"/>
  <c r="AE1554" i="11"/>
  <c r="R1554" i="11"/>
  <c r="N1554" i="11"/>
  <c r="O1554" i="11"/>
  <c r="N1552" i="11"/>
  <c r="O1552" i="11"/>
  <c r="AE1552" i="11"/>
  <c r="X1552" i="11"/>
  <c r="L1552" i="11"/>
  <c r="V1552" i="11"/>
  <c r="R1552" i="11"/>
  <c r="R1551" i="11"/>
  <c r="V1551" i="11"/>
  <c r="X1551" i="11"/>
  <c r="AE1551" i="11"/>
  <c r="L1551" i="11"/>
  <c r="N1550" i="11"/>
  <c r="O1550" i="11"/>
  <c r="AE1550" i="11"/>
  <c r="V1550" i="11"/>
  <c r="X1550" i="11"/>
  <c r="R1549" i="11"/>
  <c r="L1549" i="11"/>
  <c r="V1549" i="11"/>
  <c r="X1549" i="11"/>
  <c r="AE1548" i="11"/>
  <c r="V1548" i="11"/>
  <c r="X1548" i="11"/>
  <c r="R1548" i="11"/>
  <c r="L1548" i="11"/>
  <c r="X1547" i="11"/>
  <c r="L1547" i="11"/>
  <c r="O1547" i="11"/>
  <c r="N1547" i="11"/>
  <c r="X1546" i="11"/>
  <c r="V1546" i="11"/>
  <c r="O1545" i="11"/>
  <c r="L1545" i="11"/>
  <c r="N1545" i="11"/>
  <c r="N1544" i="11"/>
  <c r="O1544" i="11"/>
  <c r="AE1544" i="11"/>
  <c r="R1544" i="11"/>
  <c r="L1544" i="11"/>
  <c r="L1543" i="11"/>
  <c r="AE1543" i="11"/>
  <c r="X1543" i="11"/>
  <c r="V1543" i="11"/>
  <c r="R1543" i="11"/>
  <c r="L1540" i="11"/>
  <c r="R1540" i="11"/>
  <c r="V1540" i="11"/>
  <c r="L1539" i="11"/>
  <c r="V1539" i="11"/>
  <c r="R1539" i="11"/>
  <c r="X1539" i="11"/>
  <c r="L1538" i="11"/>
  <c r="N1538" i="11"/>
  <c r="N1537" i="11"/>
  <c r="O1537" i="11"/>
  <c r="AE1537" i="11"/>
  <c r="X1537" i="11"/>
  <c r="R1537" i="11"/>
  <c r="V1537" i="11"/>
  <c r="L1537" i="11"/>
  <c r="N1536" i="11"/>
  <c r="O1536" i="11"/>
  <c r="L1536" i="11"/>
  <c r="AE1535" i="11"/>
  <c r="X1535" i="11"/>
  <c r="V1535" i="11"/>
  <c r="R1535" i="11"/>
  <c r="L1534" i="11"/>
  <c r="AE1534" i="11"/>
  <c r="X1533" i="11"/>
  <c r="AE1533" i="11"/>
  <c r="L1533" i="11"/>
  <c r="O1532" i="11"/>
  <c r="N1532" i="11"/>
  <c r="N1531" i="11"/>
  <c r="O1531" i="11"/>
  <c r="N1530" i="11"/>
  <c r="O1530" i="11"/>
  <c r="O1529" i="11"/>
  <c r="N1529" i="11"/>
  <c r="AE1529" i="11"/>
  <c r="L1529" i="11"/>
  <c r="R1529" i="11"/>
  <c r="V1529" i="11"/>
  <c r="X1529" i="11"/>
  <c r="V1528" i="11"/>
  <c r="X1528" i="11"/>
  <c r="O1528" i="11"/>
  <c r="N1528" i="11"/>
  <c r="O1527" i="11"/>
  <c r="N1527" i="11"/>
  <c r="L1527" i="11"/>
  <c r="AE1527" i="11"/>
  <c r="N1526" i="11"/>
  <c r="O1526" i="11"/>
  <c r="R1526" i="11"/>
  <c r="X1526" i="11"/>
  <c r="AE1526" i="11"/>
  <c r="V1526" i="11"/>
  <c r="L1526" i="11"/>
  <c r="O1525" i="11"/>
  <c r="N1525" i="11"/>
  <c r="X1525" i="11"/>
  <c r="V1525" i="11"/>
  <c r="R1525" i="11"/>
  <c r="L1525" i="11"/>
  <c r="AE1525" i="11"/>
  <c r="X1524" i="11"/>
  <c r="V1524" i="11"/>
  <c r="AE1524" i="11"/>
  <c r="R1524" i="11"/>
  <c r="O1524" i="11"/>
  <c r="N1524" i="11"/>
  <c r="X1523" i="11"/>
  <c r="AE1523" i="11"/>
  <c r="O1523" i="11"/>
  <c r="N1523" i="11"/>
  <c r="AE1522" i="11"/>
  <c r="L1522" i="11"/>
  <c r="O1522" i="11"/>
  <c r="N1522" i="11"/>
  <c r="AE1521" i="11"/>
  <c r="L1521" i="11"/>
  <c r="N1521" i="11"/>
  <c r="O1521" i="11"/>
  <c r="L1520" i="11"/>
  <c r="AE1520" i="11"/>
  <c r="N1520" i="11"/>
  <c r="O1520" i="11"/>
  <c r="L1519" i="11"/>
  <c r="AE1519" i="11"/>
  <c r="O1519" i="11"/>
  <c r="N1519" i="11"/>
  <c r="N1518" i="11"/>
  <c r="O1518" i="11"/>
  <c r="AE1517" i="11"/>
  <c r="L1517" i="11"/>
  <c r="O1517" i="11"/>
  <c r="N1517" i="11"/>
  <c r="AE1516" i="11"/>
  <c r="L1516" i="11"/>
  <c r="O1516" i="11"/>
  <c r="N1516" i="11"/>
  <c r="AE1515" i="11"/>
  <c r="L1515" i="11"/>
  <c r="O1515" i="11"/>
  <c r="N1515" i="11"/>
  <c r="L1514" i="11"/>
  <c r="AE1514" i="11"/>
  <c r="O1514" i="11"/>
  <c r="N1514" i="11"/>
  <c r="AE1513" i="11"/>
  <c r="L1513" i="11"/>
  <c r="O1513" i="11"/>
  <c r="N1513" i="11"/>
  <c r="N1512" i="11"/>
  <c r="O1512" i="11"/>
  <c r="L1511" i="11"/>
  <c r="AE1511" i="11"/>
  <c r="O1511" i="11"/>
  <c r="N1511" i="11"/>
  <c r="AE1510" i="11"/>
  <c r="L1510" i="11"/>
  <c r="O1510" i="11"/>
  <c r="N1510" i="11"/>
  <c r="AE1509" i="11"/>
  <c r="L1509" i="11"/>
  <c r="N1509" i="11"/>
  <c r="O1509" i="11"/>
  <c r="AE1508" i="11"/>
  <c r="L1508" i="11"/>
  <c r="O1508" i="11"/>
  <c r="N1508" i="11"/>
  <c r="AE1507" i="11"/>
  <c r="L1507" i="11"/>
  <c r="N1507" i="11"/>
  <c r="O1507" i="11"/>
  <c r="X1506" i="11"/>
  <c r="AE1506" i="11"/>
  <c r="V1506" i="11"/>
  <c r="O1505" i="11"/>
  <c r="N1505" i="11"/>
  <c r="X1505" i="11"/>
  <c r="V1505" i="11"/>
  <c r="R1505" i="11"/>
  <c r="L1505" i="11"/>
  <c r="AE1505" i="11"/>
  <c r="AE1504" i="11"/>
  <c r="L1504" i="11"/>
  <c r="V1503" i="11"/>
  <c r="X1503" i="11"/>
  <c r="AE1503" i="11"/>
  <c r="L1502" i="11"/>
  <c r="R1502" i="11"/>
  <c r="N1502" i="11"/>
  <c r="O1502" i="11"/>
  <c r="L1501" i="11"/>
  <c r="X1501" i="11"/>
  <c r="AE1501" i="11"/>
  <c r="V1501" i="11"/>
  <c r="O1500" i="11"/>
  <c r="N1500" i="11"/>
  <c r="V1500" i="11"/>
  <c r="X1500" i="11"/>
  <c r="AE1500" i="11"/>
  <c r="L1500" i="11"/>
  <c r="R1500" i="11"/>
  <c r="O1499" i="11"/>
  <c r="N1499" i="11"/>
  <c r="AE1499" i="11"/>
  <c r="X1499" i="11"/>
  <c r="V1499" i="11"/>
  <c r="R1499" i="11"/>
  <c r="L1499" i="11"/>
  <c r="N1498" i="11"/>
  <c r="O1498" i="11"/>
  <c r="AE1498" i="11"/>
  <c r="R1498" i="11"/>
  <c r="L1498" i="11"/>
  <c r="V1498" i="11"/>
  <c r="X1498" i="11"/>
  <c r="N1497" i="11"/>
  <c r="O1497" i="11"/>
  <c r="L1497" i="11"/>
  <c r="R1497" i="11"/>
  <c r="V1497" i="11"/>
  <c r="X1497" i="11"/>
  <c r="O1496" i="11"/>
  <c r="N1496" i="11"/>
  <c r="AE1496" i="11"/>
  <c r="L1496" i="11"/>
  <c r="X1496" i="11"/>
  <c r="V1496" i="11"/>
  <c r="R1496" i="11"/>
  <c r="N1495" i="11"/>
  <c r="O1495" i="11"/>
  <c r="AE1495" i="11"/>
  <c r="L1495" i="11"/>
  <c r="V1495" i="11"/>
  <c r="X1495" i="11"/>
  <c r="R1495" i="11"/>
  <c r="O1494" i="11"/>
  <c r="N1494" i="11"/>
  <c r="R1494" i="11"/>
  <c r="L1494" i="11"/>
  <c r="V1494" i="11"/>
  <c r="X1494" i="11"/>
  <c r="AE1494" i="11"/>
  <c r="O1493" i="11"/>
  <c r="N1493" i="11"/>
  <c r="X1493" i="11"/>
  <c r="V1493" i="11"/>
  <c r="R1493" i="11"/>
  <c r="L1493" i="11"/>
  <c r="AE1493" i="11"/>
  <c r="N1492" i="11"/>
  <c r="O1492" i="11"/>
  <c r="L1492" i="11"/>
  <c r="AE1492" i="11"/>
  <c r="R1492" i="11"/>
  <c r="V1492" i="11"/>
  <c r="X1492" i="11"/>
  <c r="N1491" i="11"/>
  <c r="O1491" i="11"/>
  <c r="L1491" i="11"/>
  <c r="R1491" i="11"/>
  <c r="V1491" i="11"/>
  <c r="X1491" i="11"/>
  <c r="AE1491" i="11"/>
  <c r="O1490" i="11"/>
  <c r="N1490" i="11"/>
  <c r="L1490" i="11"/>
  <c r="X1490" i="11"/>
  <c r="AE1490" i="11"/>
  <c r="V1490" i="11"/>
  <c r="R1490" i="11"/>
  <c r="O1489" i="11"/>
  <c r="N1489" i="11"/>
  <c r="R1489" i="11"/>
  <c r="V1489" i="11"/>
  <c r="X1489" i="11"/>
  <c r="AE1489" i="11"/>
  <c r="L1489" i="11"/>
  <c r="O1488" i="11"/>
  <c r="N1488" i="11"/>
  <c r="V1488" i="11"/>
  <c r="R1488" i="11"/>
  <c r="L1488" i="11"/>
  <c r="AE1488" i="11"/>
  <c r="X1488" i="11"/>
  <c r="O1487" i="11"/>
  <c r="N1487" i="11"/>
  <c r="AE1487" i="11"/>
  <c r="L1487" i="11"/>
  <c r="X1487" i="11"/>
  <c r="V1487" i="11"/>
  <c r="R1487" i="11"/>
  <c r="O1486" i="11"/>
  <c r="N1486" i="11"/>
  <c r="V1486" i="11"/>
  <c r="R1486" i="11"/>
  <c r="L1486" i="11"/>
  <c r="AE1486" i="11"/>
  <c r="X1486" i="11"/>
  <c r="N1485" i="11"/>
  <c r="O1485" i="11"/>
  <c r="AE1485" i="11"/>
  <c r="X1485" i="11"/>
  <c r="V1485" i="11"/>
  <c r="R1485" i="11"/>
  <c r="L1485" i="11"/>
  <c r="O1484" i="11"/>
  <c r="N1484" i="11"/>
  <c r="V1484" i="11"/>
  <c r="AE1484" i="11"/>
  <c r="L1484" i="11"/>
  <c r="R1484" i="11"/>
  <c r="X1484" i="11"/>
  <c r="N1483" i="11"/>
  <c r="O1483" i="11"/>
  <c r="V1483" i="11"/>
  <c r="AE1483" i="11"/>
  <c r="L1483" i="11"/>
  <c r="R1483" i="11"/>
  <c r="X1483" i="11"/>
  <c r="N1482" i="11"/>
  <c r="O1482" i="11"/>
  <c r="R1482" i="11"/>
  <c r="V1482" i="11"/>
  <c r="X1482" i="11"/>
  <c r="L1482" i="11"/>
  <c r="AE1482" i="11"/>
  <c r="O1481" i="11"/>
  <c r="N1481" i="11"/>
  <c r="X1481" i="11"/>
  <c r="V1481" i="11"/>
  <c r="R1481" i="11"/>
  <c r="L1481" i="11"/>
  <c r="AE1481" i="11"/>
  <c r="O1480" i="11"/>
  <c r="N1480" i="11"/>
  <c r="AE1480" i="11"/>
  <c r="X1480" i="11"/>
  <c r="V1480" i="11"/>
  <c r="R1480" i="11"/>
  <c r="L1480" i="11"/>
  <c r="N1479" i="11"/>
  <c r="O1479" i="11"/>
  <c r="AE1479" i="11"/>
  <c r="X1479" i="11"/>
  <c r="V1479" i="11"/>
  <c r="R1479" i="11"/>
  <c r="L1479" i="11"/>
  <c r="N1478" i="11"/>
  <c r="O1478" i="11"/>
  <c r="AE1478" i="11"/>
  <c r="V1478" i="11"/>
  <c r="X1478" i="11"/>
  <c r="R1478" i="11"/>
  <c r="L1478" i="11"/>
  <c r="N1477" i="11"/>
  <c r="O1477" i="11"/>
  <c r="X1477" i="11"/>
  <c r="L1477" i="11"/>
  <c r="R1477" i="11"/>
  <c r="V1477" i="11"/>
  <c r="AE1477" i="11"/>
  <c r="N1476" i="11"/>
  <c r="O1476" i="11"/>
  <c r="R1476" i="11"/>
  <c r="L1476" i="11"/>
  <c r="V1476" i="11"/>
  <c r="X1476" i="11"/>
  <c r="AE1476" i="11"/>
  <c r="O1475" i="11"/>
  <c r="N1475" i="11"/>
  <c r="R1475" i="11"/>
  <c r="L1475" i="11"/>
  <c r="AE1475" i="11"/>
  <c r="X1475" i="11"/>
  <c r="V1475" i="11"/>
  <c r="N1474" i="11"/>
  <c r="O1474" i="11"/>
  <c r="L1474" i="11"/>
  <c r="R1474" i="11"/>
  <c r="V1474" i="11"/>
  <c r="X1474" i="11"/>
  <c r="AE1474" i="11"/>
  <c r="N1473" i="11"/>
  <c r="O1473" i="11"/>
  <c r="V1473" i="11"/>
  <c r="L1473" i="11"/>
  <c r="R1473" i="11"/>
  <c r="X1473" i="11"/>
  <c r="AE1473" i="11"/>
  <c r="O1472" i="11"/>
  <c r="N1472" i="11"/>
  <c r="X1472" i="11"/>
  <c r="V1472" i="11"/>
  <c r="R1472" i="11"/>
  <c r="L1472" i="11"/>
  <c r="AE1472" i="11"/>
  <c r="N1471" i="11"/>
  <c r="O1471" i="11"/>
  <c r="L1471" i="11"/>
  <c r="AE1471" i="11"/>
  <c r="R1471" i="11"/>
  <c r="V1471" i="11"/>
  <c r="X1471" i="11"/>
  <c r="N1470" i="11"/>
  <c r="O1470" i="11"/>
  <c r="L1470" i="11"/>
  <c r="R1470" i="11"/>
  <c r="V1470" i="11"/>
  <c r="X1470" i="11"/>
  <c r="AE1470" i="11"/>
  <c r="N1469" i="11"/>
  <c r="O1469" i="11"/>
  <c r="R1469" i="11"/>
  <c r="L1469" i="11"/>
  <c r="AE1469" i="11"/>
  <c r="X1469" i="11"/>
  <c r="V1469" i="11"/>
  <c r="N1468" i="11"/>
  <c r="O1468" i="11"/>
  <c r="V1468" i="11"/>
  <c r="L1468" i="11"/>
  <c r="AE1468" i="11"/>
  <c r="R1468" i="11"/>
  <c r="X1468" i="11"/>
  <c r="O1467" i="11"/>
  <c r="N1467" i="11"/>
  <c r="X1467" i="11"/>
  <c r="V1467" i="11"/>
  <c r="R1467" i="11"/>
  <c r="L1467" i="11"/>
  <c r="AE1467" i="11"/>
  <c r="O1466" i="11"/>
  <c r="N1466" i="11"/>
  <c r="AE1466" i="11"/>
  <c r="X1466" i="11"/>
  <c r="V1466" i="11"/>
  <c r="R1466" i="11"/>
  <c r="L1466" i="11"/>
  <c r="N1465" i="11"/>
  <c r="O1465" i="11"/>
  <c r="R1465" i="11"/>
  <c r="X1465" i="11"/>
  <c r="AE1465" i="11"/>
  <c r="V1465" i="11"/>
  <c r="L1465" i="11"/>
  <c r="N1464" i="11"/>
  <c r="O1464" i="11"/>
  <c r="L1464" i="11"/>
  <c r="AE1464" i="11"/>
  <c r="R1464" i="11"/>
  <c r="V1464" i="11"/>
  <c r="X1464" i="11"/>
  <c r="N1463" i="11"/>
  <c r="O1463" i="11"/>
  <c r="L1463" i="11"/>
  <c r="R1463" i="11"/>
  <c r="V1463" i="11"/>
  <c r="X1463" i="11"/>
  <c r="AE1463" i="11"/>
  <c r="N1462" i="11"/>
  <c r="O1462" i="11"/>
  <c r="AE1462" i="11"/>
  <c r="V1462" i="11"/>
  <c r="X1462" i="11"/>
  <c r="L1462" i="11"/>
  <c r="R1462" i="11"/>
  <c r="N1461" i="11"/>
  <c r="O1461" i="11"/>
  <c r="L1461" i="11"/>
  <c r="R1461" i="11"/>
  <c r="V1461" i="11"/>
  <c r="X1461" i="11"/>
  <c r="AE1461" i="11"/>
  <c r="N1460" i="11"/>
  <c r="O1460" i="11"/>
  <c r="AE1460" i="11"/>
  <c r="X1460" i="11"/>
  <c r="L1460" i="11"/>
  <c r="V1460" i="11"/>
  <c r="R1460" i="11"/>
  <c r="N1459" i="11"/>
  <c r="O1459" i="11"/>
  <c r="V1459" i="11"/>
  <c r="X1459" i="11"/>
  <c r="L1459" i="11"/>
  <c r="R1459" i="11"/>
  <c r="AE1459" i="11"/>
  <c r="N1458" i="11"/>
  <c r="O1458" i="11"/>
  <c r="R1458" i="11"/>
  <c r="V1458" i="11"/>
  <c r="AE1458" i="11"/>
  <c r="X1458" i="11"/>
  <c r="L1458" i="11"/>
  <c r="N1457" i="11"/>
  <c r="O1457" i="11"/>
  <c r="V1457" i="11"/>
  <c r="L1457" i="11"/>
  <c r="R1457" i="11"/>
  <c r="X1457" i="11"/>
  <c r="AE1457" i="11"/>
  <c r="N1456" i="11"/>
  <c r="O1456" i="11"/>
  <c r="L1456" i="11"/>
  <c r="V1456" i="11"/>
  <c r="R1456" i="11"/>
  <c r="X1456" i="11"/>
  <c r="AE1456" i="11"/>
  <c r="O1455" i="11"/>
  <c r="N1455" i="11"/>
  <c r="L1455" i="11"/>
  <c r="AE1455" i="11"/>
  <c r="R1455" i="11"/>
  <c r="V1455" i="11"/>
  <c r="X1455" i="11"/>
  <c r="O1454" i="11"/>
  <c r="N1454" i="11"/>
  <c r="AE1454" i="11"/>
  <c r="R1454" i="11"/>
  <c r="L1454" i="11"/>
  <c r="X1454" i="11"/>
  <c r="V1454" i="11"/>
  <c r="O1453" i="11"/>
  <c r="N1453" i="11"/>
  <c r="V1453" i="11"/>
  <c r="X1453" i="11"/>
  <c r="AE1453" i="11"/>
  <c r="R1453" i="11"/>
  <c r="L1453" i="11"/>
  <c r="O1452" i="11"/>
  <c r="N1452" i="11"/>
  <c r="AE1452" i="11"/>
  <c r="V1452" i="11"/>
  <c r="X1452" i="11"/>
  <c r="R1452" i="11"/>
  <c r="L1452" i="11"/>
  <c r="O1451" i="11"/>
  <c r="N1451" i="11"/>
  <c r="R1451" i="11"/>
  <c r="AE1451" i="11"/>
  <c r="L1451" i="11"/>
  <c r="X1451" i="11"/>
  <c r="V1451" i="11"/>
  <c r="N1450" i="11"/>
  <c r="O1450" i="11"/>
  <c r="AE1450" i="11"/>
  <c r="X1450" i="11"/>
  <c r="V1450" i="11"/>
  <c r="R1450" i="11"/>
  <c r="L1450" i="11"/>
  <c r="O1449" i="11"/>
  <c r="N1449" i="11"/>
  <c r="AE1449" i="11"/>
  <c r="X1449" i="11"/>
  <c r="V1449" i="11"/>
  <c r="R1449" i="11"/>
  <c r="L1449" i="11"/>
  <c r="O1448" i="11"/>
  <c r="N1448" i="11"/>
  <c r="AE1448" i="11"/>
  <c r="X1448" i="11"/>
  <c r="V1448" i="11"/>
  <c r="R1448" i="11"/>
  <c r="L1448" i="11"/>
  <c r="O1447" i="11"/>
  <c r="N1447" i="11"/>
  <c r="R1447" i="11"/>
  <c r="AE1447" i="11"/>
  <c r="X1447" i="11"/>
  <c r="V1447" i="11"/>
  <c r="L1447" i="11"/>
  <c r="O1446" i="11"/>
  <c r="N1446" i="11"/>
  <c r="AE1446" i="11"/>
  <c r="X1446" i="11"/>
  <c r="V1446" i="11"/>
  <c r="R1446" i="11"/>
  <c r="L1446" i="11"/>
  <c r="O1445" i="11"/>
  <c r="N1445" i="11"/>
  <c r="AE1445" i="11"/>
  <c r="X1445" i="11"/>
  <c r="V1445" i="11"/>
  <c r="R1445" i="11"/>
  <c r="L1445" i="11"/>
  <c r="O1444" i="11"/>
  <c r="N1444" i="11"/>
  <c r="AE1444" i="11"/>
  <c r="X1444" i="11"/>
  <c r="V1444" i="11"/>
  <c r="R1444" i="11"/>
  <c r="L1444" i="11"/>
  <c r="O1443" i="11"/>
  <c r="N1443" i="11"/>
  <c r="AE1443" i="11"/>
  <c r="L1443" i="11"/>
  <c r="V1443" i="11"/>
  <c r="R1443" i="11"/>
  <c r="X1443" i="11"/>
  <c r="O1442" i="11"/>
  <c r="N1442" i="11"/>
  <c r="X1442" i="11"/>
  <c r="V1442" i="11"/>
  <c r="R1442" i="11"/>
  <c r="L1442" i="11"/>
  <c r="AE1442" i="11"/>
  <c r="O1441" i="11"/>
  <c r="N1441" i="11"/>
  <c r="AE1441" i="11"/>
  <c r="X1441" i="11"/>
  <c r="V1441" i="11"/>
  <c r="W1441" i="11" s="1"/>
  <c r="R1441" i="11"/>
  <c r="L1441" i="11"/>
  <c r="N1440" i="11"/>
  <c r="O1440" i="11"/>
  <c r="AE1440" i="11"/>
  <c r="X1440" i="11"/>
  <c r="V1440" i="11"/>
  <c r="W1440" i="11" s="1"/>
  <c r="R1440" i="11"/>
  <c r="L1440" i="11"/>
  <c r="O1439" i="11"/>
  <c r="N1439" i="11"/>
  <c r="L1439" i="11"/>
  <c r="X1439" i="11"/>
  <c r="V1439" i="11"/>
  <c r="W1439" i="11" s="1"/>
  <c r="R1439" i="11"/>
  <c r="AE1439" i="11"/>
  <c r="O1438" i="11"/>
  <c r="N1438" i="11"/>
  <c r="AE1438" i="11"/>
  <c r="X1438" i="11"/>
  <c r="R1438" i="11"/>
  <c r="L1438" i="11"/>
  <c r="V1438" i="11"/>
  <c r="W1438" i="11" s="1"/>
  <c r="O1437" i="11"/>
  <c r="N1437" i="11"/>
  <c r="L1437" i="11"/>
  <c r="X1437" i="11"/>
  <c r="V1437" i="11"/>
  <c r="W1437" i="11" s="1"/>
  <c r="R1437" i="11"/>
  <c r="AE1437" i="11"/>
  <c r="O1436" i="11"/>
  <c r="N1436" i="11"/>
  <c r="V1436" i="11"/>
  <c r="W1436" i="11" s="1"/>
  <c r="R1436" i="11"/>
  <c r="L1436" i="11"/>
  <c r="X1436" i="11"/>
  <c r="AE1436" i="11"/>
  <c r="N1435" i="11"/>
  <c r="O1435" i="11"/>
  <c r="AE1435" i="11"/>
  <c r="X1435" i="11"/>
  <c r="V1435" i="11"/>
  <c r="W1435" i="11" s="1"/>
  <c r="R1435" i="11"/>
  <c r="L1435" i="11"/>
  <c r="O1434" i="11"/>
  <c r="N1434" i="11"/>
  <c r="L1434" i="11"/>
  <c r="X1434" i="11"/>
  <c r="R1434" i="11"/>
  <c r="V1434" i="11"/>
  <c r="W1434" i="11" s="1"/>
  <c r="AE1434" i="11"/>
  <c r="O1433" i="11"/>
  <c r="N1433" i="11"/>
  <c r="AE1433" i="11"/>
  <c r="X1433" i="11"/>
  <c r="V1433" i="11"/>
  <c r="W1433" i="11" s="1"/>
  <c r="L1433" i="11"/>
  <c r="R1433" i="11"/>
  <c r="O1432" i="11"/>
  <c r="N1432" i="11"/>
  <c r="V1432" i="11"/>
  <c r="W1432" i="11" s="1"/>
  <c r="AE1432" i="11"/>
  <c r="X1432" i="11"/>
  <c r="L1432" i="11"/>
  <c r="R1432" i="11"/>
  <c r="N1431" i="11"/>
  <c r="O1431" i="11"/>
  <c r="V1431" i="11"/>
  <c r="W1431" i="11" s="1"/>
  <c r="R1431" i="11"/>
  <c r="L1431" i="11"/>
  <c r="AE1431" i="11"/>
  <c r="X1431" i="11"/>
  <c r="N1430" i="11"/>
  <c r="O1430" i="11"/>
  <c r="AE1430" i="11"/>
  <c r="X1430" i="11"/>
  <c r="V1430" i="11"/>
  <c r="W1430" i="11" s="1"/>
  <c r="R1430" i="11"/>
  <c r="L1430" i="11"/>
  <c r="O1429" i="11"/>
  <c r="N1429" i="11"/>
  <c r="V1429" i="11"/>
  <c r="R1429" i="11"/>
  <c r="L1429" i="11"/>
  <c r="X1429" i="11"/>
  <c r="AE1429" i="11"/>
  <c r="N1428" i="11"/>
  <c r="O1428" i="11"/>
  <c r="V1428" i="11"/>
  <c r="AE1428" i="11"/>
  <c r="X1428" i="11"/>
  <c r="R1428" i="11"/>
  <c r="L1428" i="11"/>
  <c r="N1427" i="11"/>
  <c r="O1427" i="11"/>
  <c r="AE1427" i="11"/>
  <c r="R1427" i="11"/>
  <c r="X1427" i="11"/>
  <c r="V1427" i="11"/>
  <c r="L1427" i="11"/>
  <c r="N1426" i="11"/>
  <c r="O1426" i="11"/>
  <c r="V1426" i="11"/>
  <c r="X1426" i="11"/>
  <c r="L1426" i="11"/>
  <c r="AE1426" i="11"/>
  <c r="R1426" i="11"/>
  <c r="O1425" i="11"/>
  <c r="N1425" i="11"/>
  <c r="V1425" i="11"/>
  <c r="L1425" i="11"/>
  <c r="R1425" i="11"/>
  <c r="X1425" i="11"/>
  <c r="AE1425" i="11"/>
  <c r="O1424" i="11"/>
  <c r="N1424" i="11"/>
  <c r="X1424" i="11"/>
  <c r="AE1424" i="11"/>
  <c r="V1424" i="11"/>
  <c r="R1424" i="11"/>
  <c r="L1424" i="11"/>
  <c r="O1423" i="11"/>
  <c r="N1423" i="11"/>
  <c r="V1423" i="11"/>
  <c r="R1423" i="11"/>
  <c r="AE1423" i="11"/>
  <c r="X1423" i="11"/>
  <c r="L1423" i="11"/>
  <c r="O1422" i="11"/>
  <c r="N1422" i="11"/>
  <c r="AE1422" i="11"/>
  <c r="X1422" i="11"/>
  <c r="V1422" i="11"/>
  <c r="R1422" i="11"/>
  <c r="L1422" i="11"/>
  <c r="O1421" i="11"/>
  <c r="N1421" i="11"/>
  <c r="R1421" i="11"/>
  <c r="AE1421" i="11"/>
  <c r="L1421" i="11"/>
  <c r="X1421" i="11"/>
  <c r="V1421" i="11"/>
  <c r="N1420" i="11"/>
  <c r="O1420" i="11"/>
  <c r="V1420" i="11"/>
  <c r="R1420" i="11"/>
  <c r="AE1420" i="11"/>
  <c r="X1420" i="11"/>
  <c r="L1420" i="11"/>
  <c r="N1419" i="11"/>
  <c r="O1419" i="11"/>
  <c r="L1419" i="11"/>
  <c r="R1419" i="11"/>
  <c r="V1419" i="11"/>
  <c r="X1419" i="11"/>
  <c r="AE1419" i="11"/>
  <c r="N1418" i="11"/>
  <c r="O1418" i="11"/>
  <c r="V1418" i="11"/>
  <c r="R1418" i="11"/>
  <c r="X1418" i="11"/>
  <c r="L1418" i="11"/>
  <c r="AE1418" i="11"/>
  <c r="O1417" i="11"/>
  <c r="N1417" i="11"/>
  <c r="AE1417" i="11"/>
  <c r="X1417" i="11"/>
  <c r="V1417" i="11"/>
  <c r="R1417" i="11"/>
  <c r="L1417" i="11"/>
  <c r="N1416" i="11"/>
  <c r="O1416" i="11"/>
  <c r="L1416" i="11"/>
  <c r="AE1416" i="11"/>
  <c r="X1416" i="11"/>
  <c r="V1416" i="11"/>
  <c r="R1416" i="11"/>
  <c r="O1415" i="11"/>
  <c r="N1415" i="11"/>
  <c r="AE1415" i="11"/>
  <c r="R1415" i="11"/>
  <c r="L1415" i="11"/>
  <c r="V1415" i="11"/>
  <c r="X1415" i="11"/>
  <c r="O1414" i="11"/>
  <c r="N1414" i="11"/>
  <c r="R1414" i="11"/>
  <c r="V1414" i="11"/>
  <c r="X1414" i="11"/>
  <c r="AE1414" i="11"/>
  <c r="L1414" i="11"/>
  <c r="O1413" i="11"/>
  <c r="N1413" i="11"/>
  <c r="R1413" i="11"/>
  <c r="V1413" i="11"/>
  <c r="AE1413" i="11"/>
  <c r="L1413" i="11"/>
  <c r="X1413" i="11"/>
  <c r="O1412" i="11"/>
  <c r="N1412" i="11"/>
  <c r="X1412" i="11"/>
  <c r="V1412" i="11"/>
  <c r="R1412" i="11"/>
  <c r="L1412" i="11"/>
  <c r="AE1412" i="11"/>
  <c r="N1411" i="11"/>
  <c r="O1411" i="11"/>
  <c r="L1411" i="11"/>
  <c r="X1411" i="11"/>
  <c r="V1411" i="11"/>
  <c r="R1411" i="11"/>
  <c r="AE1411" i="11"/>
  <c r="N1410" i="11"/>
  <c r="O1410" i="11"/>
  <c r="V1410" i="11"/>
  <c r="R1410" i="11"/>
  <c r="AE1410" i="11"/>
  <c r="L1410" i="11"/>
  <c r="X1410" i="11"/>
  <c r="N1409" i="11"/>
  <c r="O1409" i="11"/>
  <c r="R1409" i="11"/>
  <c r="V1409" i="11"/>
  <c r="AE1409" i="11"/>
  <c r="L1409" i="11"/>
  <c r="X1409" i="11"/>
  <c r="O1408" i="11"/>
  <c r="N1408" i="11"/>
  <c r="X1408" i="11"/>
  <c r="AE1408" i="11"/>
  <c r="L1408" i="11"/>
  <c r="R1408" i="11"/>
  <c r="V1408" i="11"/>
  <c r="O1407" i="11"/>
  <c r="N1407" i="11"/>
  <c r="AE1407" i="11"/>
  <c r="L1407" i="11"/>
  <c r="X1407" i="11"/>
  <c r="V1407" i="11"/>
  <c r="R1407" i="11"/>
  <c r="O1406" i="11"/>
  <c r="N1406" i="11"/>
  <c r="V1406" i="11"/>
  <c r="R1406" i="11"/>
  <c r="L1406" i="11"/>
  <c r="AE1406" i="11"/>
  <c r="X1406" i="11"/>
  <c r="N1405" i="11"/>
  <c r="O1405" i="11"/>
  <c r="R1405" i="11"/>
  <c r="AE1405" i="11"/>
  <c r="X1405" i="11"/>
  <c r="V1405" i="11"/>
  <c r="L1405" i="11"/>
  <c r="O1404" i="11"/>
  <c r="N1404" i="11"/>
  <c r="L1404" i="11"/>
  <c r="R1404" i="11"/>
  <c r="AE1404" i="11"/>
  <c r="X1404" i="11"/>
  <c r="V1404" i="11"/>
  <c r="O1403" i="11"/>
  <c r="N1403" i="11"/>
  <c r="L1403" i="11"/>
  <c r="AE1403" i="11"/>
  <c r="X1403" i="11"/>
  <c r="V1403" i="11"/>
  <c r="R1403" i="11"/>
  <c r="O1402" i="11"/>
  <c r="N1402" i="11"/>
  <c r="V1402" i="11"/>
  <c r="X1402" i="11"/>
  <c r="AE1402" i="11"/>
  <c r="R1402" i="11"/>
  <c r="L1402" i="11"/>
  <c r="N1401" i="11"/>
  <c r="O1401" i="11"/>
  <c r="L1401" i="11"/>
  <c r="R1401" i="11"/>
  <c r="V1401" i="11"/>
  <c r="X1401" i="11"/>
  <c r="AE1401" i="11"/>
  <c r="N1400" i="11"/>
  <c r="O1400" i="11"/>
  <c r="AE1400" i="11"/>
  <c r="L1400" i="11"/>
  <c r="R1400" i="11"/>
  <c r="V1400" i="11"/>
  <c r="X1400" i="11"/>
  <c r="O1399" i="11"/>
  <c r="N1399" i="11"/>
  <c r="L1399" i="11"/>
  <c r="X1399" i="11"/>
  <c r="V1399" i="11"/>
  <c r="R1399" i="11"/>
  <c r="AE1399" i="11"/>
  <c r="N1398" i="11"/>
  <c r="O1398" i="11"/>
  <c r="V1398" i="11"/>
  <c r="AE1398" i="11"/>
  <c r="X1398" i="11"/>
  <c r="R1398" i="11"/>
  <c r="L1398" i="11"/>
  <c r="O1397" i="11"/>
  <c r="N1397" i="11"/>
  <c r="X1397" i="11"/>
  <c r="V1397" i="11"/>
  <c r="R1397" i="11"/>
  <c r="L1397" i="11"/>
  <c r="AE1397" i="11"/>
  <c r="N1396" i="11"/>
  <c r="O1396" i="11"/>
  <c r="X1396" i="11"/>
  <c r="L1396" i="11"/>
  <c r="R1396" i="11"/>
  <c r="V1396" i="11"/>
  <c r="AE1396" i="11"/>
  <c r="O1395" i="11"/>
  <c r="N1395" i="11"/>
  <c r="X1395" i="11"/>
  <c r="V1395" i="11"/>
  <c r="R1395" i="11"/>
  <c r="L1395" i="11"/>
  <c r="AE1395" i="11"/>
  <c r="O1394" i="11"/>
  <c r="N1394" i="11"/>
  <c r="AE1394" i="11"/>
  <c r="V1394" i="11"/>
  <c r="L1394" i="11"/>
  <c r="R1394" i="11"/>
  <c r="X1394" i="11"/>
  <c r="N1393" i="11"/>
  <c r="O1393" i="11"/>
  <c r="V1393" i="11"/>
  <c r="R1393" i="11"/>
  <c r="AE1393" i="11"/>
  <c r="L1393" i="11"/>
  <c r="X1393" i="11"/>
  <c r="O1392" i="11"/>
  <c r="N1392" i="11"/>
  <c r="L1392" i="11"/>
  <c r="AE1392" i="11"/>
  <c r="X1392" i="11"/>
  <c r="V1392" i="11"/>
  <c r="R1392" i="11"/>
  <c r="O1391" i="11"/>
  <c r="N1391" i="11"/>
  <c r="AE1391" i="11"/>
  <c r="R1391" i="11"/>
  <c r="V1391" i="11"/>
  <c r="L1391" i="11"/>
  <c r="X1391" i="11"/>
  <c r="O1390" i="11"/>
  <c r="N1390" i="11"/>
  <c r="AE1390" i="11"/>
  <c r="X1390" i="11"/>
  <c r="V1390" i="11"/>
  <c r="R1390" i="11"/>
  <c r="L1390" i="11"/>
  <c r="N1389" i="11"/>
  <c r="O1389" i="11"/>
  <c r="X1389" i="11"/>
  <c r="V1389" i="11"/>
  <c r="AE1389" i="11"/>
  <c r="L1389" i="11"/>
  <c r="R1389" i="11"/>
  <c r="N1388" i="11"/>
  <c r="O1388" i="11"/>
  <c r="L1388" i="11"/>
  <c r="R1388" i="11"/>
  <c r="V1388" i="11"/>
  <c r="X1388" i="11"/>
  <c r="AE1388" i="11"/>
  <c r="O1387" i="11"/>
  <c r="N1387" i="11"/>
  <c r="L1387" i="11"/>
  <c r="V1387" i="11"/>
  <c r="X1387" i="11"/>
  <c r="AE1387" i="11"/>
  <c r="R1387" i="11"/>
  <c r="O1386" i="11"/>
  <c r="N1386" i="11"/>
  <c r="V1386" i="11"/>
  <c r="AE1386" i="11"/>
  <c r="X1386" i="11"/>
  <c r="R1386" i="11"/>
  <c r="L1386" i="11"/>
  <c r="N1385" i="11"/>
  <c r="O1385" i="11"/>
  <c r="R1385" i="11"/>
  <c r="L1385" i="11"/>
  <c r="V1385" i="11"/>
  <c r="AE1385" i="11"/>
  <c r="X1385" i="11"/>
  <c r="O1384" i="11"/>
  <c r="N1384" i="11"/>
  <c r="X1384" i="11"/>
  <c r="AE1384" i="11"/>
  <c r="V1384" i="11"/>
  <c r="R1384" i="11"/>
  <c r="L1384" i="11"/>
  <c r="O1383" i="11"/>
  <c r="N1383" i="11"/>
  <c r="AE1383" i="11"/>
  <c r="L1383" i="11"/>
  <c r="R1383" i="11"/>
  <c r="V1383" i="11"/>
  <c r="X1383" i="11"/>
  <c r="N1382" i="11"/>
  <c r="O1382" i="11"/>
  <c r="V1382" i="11"/>
  <c r="X1382" i="11"/>
  <c r="AE1382" i="11"/>
  <c r="L1382" i="11"/>
  <c r="R1382" i="11"/>
  <c r="O1381" i="11"/>
  <c r="N1381" i="11"/>
  <c r="X1381" i="11"/>
  <c r="V1381" i="11"/>
  <c r="AE1381" i="11"/>
  <c r="R1381" i="11"/>
  <c r="L1381" i="11"/>
  <c r="N1380" i="11"/>
  <c r="O1380" i="11"/>
  <c r="R1380" i="11"/>
  <c r="AE1380" i="11"/>
  <c r="L1380" i="11"/>
  <c r="X1380" i="11"/>
  <c r="V1380" i="11"/>
  <c r="N1379" i="11"/>
  <c r="O1379" i="11"/>
  <c r="V1379" i="11"/>
  <c r="AE1379" i="11"/>
  <c r="X1379" i="11"/>
  <c r="R1379" i="11"/>
  <c r="L1379" i="11"/>
  <c r="N1378" i="11"/>
  <c r="O1378" i="11"/>
  <c r="L1378" i="11"/>
  <c r="R1378" i="11"/>
  <c r="V1378" i="11"/>
  <c r="X1378" i="11"/>
  <c r="AE1378" i="11"/>
  <c r="O1377" i="11"/>
  <c r="N1377" i="11"/>
  <c r="L1377" i="11"/>
  <c r="AE1377" i="11"/>
  <c r="X1377" i="11"/>
  <c r="V1377" i="11"/>
  <c r="R1377" i="11"/>
  <c r="O1376" i="11"/>
  <c r="N1376" i="11"/>
  <c r="V1376" i="11"/>
  <c r="R1376" i="11"/>
  <c r="AE1376" i="11"/>
  <c r="X1376" i="11"/>
  <c r="L1376" i="11"/>
  <c r="N1375" i="11"/>
  <c r="O1375" i="11"/>
  <c r="L1375" i="11"/>
  <c r="R1375" i="11"/>
  <c r="V1375" i="11"/>
  <c r="X1375" i="11"/>
  <c r="AE1375" i="11"/>
  <c r="O1374" i="11"/>
  <c r="N1374" i="11"/>
  <c r="L1374" i="11"/>
  <c r="R1374" i="11"/>
  <c r="V1374" i="11"/>
  <c r="X1374" i="11"/>
  <c r="AE1374" i="11"/>
  <c r="N1373" i="11"/>
  <c r="O1373" i="11"/>
  <c r="L1373" i="11"/>
  <c r="X1373" i="11"/>
  <c r="V1373" i="11"/>
  <c r="R1373" i="11"/>
  <c r="AE1373" i="11"/>
  <c r="O1372" i="11"/>
  <c r="N1372" i="11"/>
  <c r="AE1372" i="11"/>
  <c r="L1372" i="11"/>
  <c r="R1372" i="11"/>
  <c r="V1372" i="11"/>
  <c r="X1372" i="11"/>
  <c r="N1371" i="11"/>
  <c r="O1371" i="11"/>
  <c r="L1371" i="11"/>
  <c r="R1371" i="11"/>
  <c r="V1371" i="11"/>
  <c r="X1371" i="11"/>
  <c r="AE1371" i="11"/>
  <c r="N1370" i="11"/>
  <c r="O1370" i="11"/>
  <c r="L1370" i="11"/>
  <c r="R1370" i="11"/>
  <c r="V1370" i="11"/>
  <c r="X1370" i="11"/>
  <c r="AE1370" i="11"/>
  <c r="O1369" i="11"/>
  <c r="N1369" i="11"/>
  <c r="R1369" i="11"/>
  <c r="L1369" i="11"/>
  <c r="X1369" i="11"/>
  <c r="AE1369" i="11"/>
  <c r="V1369" i="11"/>
  <c r="O1368" i="11"/>
  <c r="N1368" i="11"/>
  <c r="AE1368" i="11"/>
  <c r="X1368" i="11"/>
  <c r="V1368" i="11"/>
  <c r="R1368" i="11"/>
  <c r="L1368" i="11"/>
  <c r="O1367" i="11"/>
  <c r="N1367" i="11"/>
  <c r="AE1367" i="11"/>
  <c r="X1367" i="11"/>
  <c r="V1367" i="11"/>
  <c r="R1367" i="11"/>
  <c r="L1367" i="11"/>
  <c r="N1366" i="11"/>
  <c r="O1366" i="11"/>
  <c r="AE1366" i="11"/>
  <c r="X1366" i="11"/>
  <c r="L1366" i="11"/>
  <c r="R1366" i="11"/>
  <c r="V1366" i="11"/>
  <c r="O1365" i="11"/>
  <c r="N1365" i="11"/>
  <c r="L1365" i="11"/>
  <c r="X1365" i="11"/>
  <c r="V1365" i="11"/>
  <c r="R1365" i="11"/>
  <c r="AE1365" i="11"/>
  <c r="O1364" i="11"/>
  <c r="N1364" i="11"/>
  <c r="R1364" i="11"/>
  <c r="AE1364" i="11"/>
  <c r="X1364" i="11"/>
  <c r="L1364" i="11"/>
  <c r="V1364" i="11"/>
  <c r="O1363" i="11"/>
  <c r="N1363" i="11"/>
  <c r="R1363" i="11"/>
  <c r="X1363" i="11"/>
  <c r="L1363" i="11"/>
  <c r="V1363" i="11"/>
  <c r="AE1363" i="11"/>
  <c r="N1362" i="11"/>
  <c r="O1362" i="11"/>
  <c r="L1362" i="11"/>
  <c r="R1362" i="11"/>
  <c r="V1362" i="11"/>
  <c r="X1362" i="11"/>
  <c r="AE1362" i="11"/>
  <c r="O1361" i="11"/>
  <c r="N1361" i="11"/>
  <c r="X1361" i="11"/>
  <c r="V1361" i="11"/>
  <c r="R1361" i="11"/>
  <c r="AE1361" i="11"/>
  <c r="L1361" i="11"/>
  <c r="N1360" i="11"/>
  <c r="O1360" i="11"/>
  <c r="L1360" i="11"/>
  <c r="R1360" i="11"/>
  <c r="V1360" i="11"/>
  <c r="X1360" i="11"/>
  <c r="AE1360" i="11"/>
  <c r="O1359" i="11"/>
  <c r="N1359" i="11"/>
  <c r="V1359" i="11"/>
  <c r="R1359" i="11"/>
  <c r="L1359" i="11"/>
  <c r="X1359" i="11"/>
  <c r="AE1359" i="11"/>
  <c r="O1358" i="11"/>
  <c r="N1358" i="11"/>
  <c r="R1358" i="11"/>
  <c r="L1358" i="11"/>
  <c r="X1358" i="11"/>
  <c r="V1358" i="11"/>
  <c r="AE1358" i="11"/>
  <c r="O1357" i="11"/>
  <c r="N1357" i="11"/>
  <c r="L1357" i="11"/>
  <c r="X1357" i="11"/>
  <c r="R1357" i="11"/>
  <c r="AE1357" i="11"/>
  <c r="V1357" i="11"/>
  <c r="O1356" i="11"/>
  <c r="N1356" i="11"/>
  <c r="L1356" i="11"/>
  <c r="R1356" i="11"/>
  <c r="AE1356" i="11"/>
  <c r="X1356" i="11"/>
  <c r="V1356" i="11"/>
  <c r="O1355" i="11"/>
  <c r="N1355" i="11"/>
  <c r="AE1355" i="11"/>
  <c r="X1355" i="11"/>
  <c r="V1355" i="11"/>
  <c r="R1355" i="11"/>
  <c r="L1355" i="11"/>
  <c r="O1354" i="11"/>
  <c r="N1354" i="11"/>
  <c r="X1354" i="11"/>
  <c r="AE1354" i="11"/>
  <c r="L1354" i="11"/>
  <c r="V1354" i="11"/>
  <c r="R1354" i="11"/>
  <c r="N1353" i="11"/>
  <c r="O1353" i="11"/>
  <c r="V1353" i="11"/>
  <c r="R1353" i="11"/>
  <c r="L1353" i="11"/>
  <c r="AE1353" i="11"/>
  <c r="X1353" i="11"/>
  <c r="N1352" i="11"/>
  <c r="O1352" i="11"/>
  <c r="V1352" i="11"/>
  <c r="R1352" i="11"/>
  <c r="L1352" i="11"/>
  <c r="AE1352" i="11"/>
  <c r="X1352" i="11"/>
  <c r="N1351" i="11"/>
  <c r="O1351" i="11"/>
  <c r="R1351" i="11"/>
  <c r="V1351" i="11"/>
  <c r="X1351" i="11"/>
  <c r="AE1351" i="11"/>
  <c r="L1351" i="11"/>
  <c r="N1350" i="11"/>
  <c r="O1350" i="11"/>
  <c r="L1350" i="11"/>
  <c r="X1350" i="11"/>
  <c r="R1350" i="11"/>
  <c r="V1350" i="11"/>
  <c r="AE1350" i="11"/>
  <c r="N1349" i="11"/>
  <c r="O1349" i="11"/>
  <c r="R1349" i="11"/>
  <c r="L1349" i="11"/>
  <c r="V1349" i="11"/>
  <c r="X1349" i="11"/>
  <c r="AE1349" i="11"/>
  <c r="N1348" i="11"/>
  <c r="O1348" i="11"/>
  <c r="L1348" i="11"/>
  <c r="AE1348" i="11"/>
  <c r="X1348" i="11"/>
  <c r="V1348" i="11"/>
  <c r="R1348" i="11"/>
  <c r="O1347" i="11"/>
  <c r="N1347" i="11"/>
  <c r="AE1347" i="11"/>
  <c r="R1347" i="11"/>
  <c r="V1347" i="11"/>
  <c r="X1347" i="11"/>
  <c r="L1347" i="11"/>
  <c r="N1346" i="11"/>
  <c r="O1346" i="11"/>
  <c r="L1346" i="11"/>
  <c r="R1346" i="11"/>
  <c r="V1346" i="11"/>
  <c r="X1346" i="11"/>
  <c r="AE1346" i="11"/>
  <c r="N1345" i="11"/>
  <c r="O1345" i="11"/>
  <c r="L1345" i="11"/>
  <c r="V1345" i="11"/>
  <c r="X1345" i="11"/>
  <c r="AE1345" i="11"/>
  <c r="R1345" i="11"/>
  <c r="N1344" i="11"/>
  <c r="O1344" i="11"/>
  <c r="L1344" i="11"/>
  <c r="R1344" i="11"/>
  <c r="V1344" i="11"/>
  <c r="X1344" i="11"/>
  <c r="AE1344" i="11"/>
  <c r="N1343" i="11"/>
  <c r="O1343" i="11"/>
  <c r="R1343" i="11"/>
  <c r="L1343" i="11"/>
  <c r="V1343" i="11"/>
  <c r="AE1343" i="11"/>
  <c r="X1343" i="11"/>
  <c r="O1342" i="11"/>
  <c r="N1342" i="11"/>
  <c r="X1342" i="11"/>
  <c r="R1342" i="11"/>
  <c r="AE1342" i="11"/>
  <c r="V1342" i="11"/>
  <c r="L1342" i="11"/>
  <c r="N1341" i="11"/>
  <c r="O1341" i="11"/>
  <c r="L1341" i="11"/>
  <c r="AE1341" i="11"/>
  <c r="X1341" i="11"/>
  <c r="V1341" i="11"/>
  <c r="R1341" i="11"/>
  <c r="O1340" i="11"/>
  <c r="N1340" i="11"/>
  <c r="AE1340" i="11"/>
  <c r="X1340" i="11"/>
  <c r="V1340" i="11"/>
  <c r="R1340" i="11"/>
  <c r="L1340" i="11"/>
  <c r="N1339" i="11"/>
  <c r="O1339" i="11"/>
  <c r="L1339" i="11"/>
  <c r="R1339" i="11"/>
  <c r="V1339" i="11"/>
  <c r="X1339" i="11"/>
  <c r="AE1339" i="11"/>
  <c r="O1338" i="11"/>
  <c r="N1338" i="11"/>
  <c r="R1338" i="11"/>
  <c r="L1338" i="11"/>
  <c r="AE1338" i="11"/>
  <c r="X1338" i="11"/>
  <c r="V1338" i="11"/>
  <c r="N1337" i="11"/>
  <c r="O1337" i="11"/>
  <c r="L1337" i="11"/>
  <c r="R1337" i="11"/>
  <c r="V1337" i="11"/>
  <c r="X1337" i="11"/>
  <c r="AE1337" i="11"/>
  <c r="O1336" i="11"/>
  <c r="N1336" i="11"/>
  <c r="V1336" i="11"/>
  <c r="R1336" i="11"/>
  <c r="L1336" i="11"/>
  <c r="AE1336" i="11"/>
  <c r="X1336" i="11"/>
  <c r="O1335" i="11"/>
  <c r="N1335" i="11"/>
  <c r="V1335" i="11"/>
  <c r="R1335" i="11"/>
  <c r="X1335" i="11"/>
  <c r="AE1335" i="11"/>
  <c r="L1335" i="11"/>
  <c r="O1334" i="11"/>
  <c r="N1334" i="11"/>
  <c r="X1334" i="11"/>
  <c r="V1334" i="11"/>
  <c r="L1334" i="11"/>
  <c r="AE1334" i="11"/>
  <c r="R1334" i="11"/>
  <c r="N1333" i="11"/>
  <c r="O1333" i="11"/>
  <c r="AE1333" i="11"/>
  <c r="X1333" i="11"/>
  <c r="R1333" i="11"/>
  <c r="V1333" i="11"/>
  <c r="L1333" i="11"/>
  <c r="O1332" i="11"/>
  <c r="N1332" i="11"/>
  <c r="AE1332" i="11"/>
  <c r="X1332" i="11"/>
  <c r="V1332" i="11"/>
  <c r="R1332" i="11"/>
  <c r="L1332" i="11"/>
  <c r="O1331" i="11"/>
  <c r="N1331" i="11"/>
  <c r="AE1331" i="11"/>
  <c r="X1331" i="11"/>
  <c r="L1331" i="11"/>
  <c r="R1331" i="11"/>
  <c r="V1331" i="11"/>
  <c r="O1330" i="11"/>
  <c r="N1330" i="11"/>
  <c r="AE1330" i="11"/>
  <c r="R1330" i="11"/>
  <c r="L1330" i="11"/>
  <c r="V1330" i="11"/>
  <c r="X1330" i="11"/>
  <c r="N1329" i="11"/>
  <c r="O1329" i="11"/>
  <c r="AE1329" i="11"/>
  <c r="L1329" i="11"/>
  <c r="R1329" i="11"/>
  <c r="V1329" i="11"/>
  <c r="X1329" i="11"/>
  <c r="N1328" i="11"/>
  <c r="O1328" i="11"/>
  <c r="X1328" i="11"/>
  <c r="V1328" i="11"/>
  <c r="R1328" i="11"/>
  <c r="L1328" i="11"/>
  <c r="AE1328" i="11"/>
  <c r="N1327" i="11"/>
  <c r="O1327" i="11"/>
  <c r="L1327" i="11"/>
  <c r="AE1327" i="11"/>
  <c r="X1327" i="11"/>
  <c r="V1327" i="11"/>
  <c r="R1327" i="11"/>
  <c r="O1326" i="11"/>
  <c r="N1326" i="11"/>
  <c r="AE1326" i="11"/>
  <c r="X1326" i="11"/>
  <c r="L1326" i="11"/>
  <c r="V1326" i="11"/>
  <c r="R1326" i="11"/>
  <c r="O1325" i="11"/>
  <c r="N1325" i="11"/>
  <c r="AE1325" i="11"/>
  <c r="X1325" i="11"/>
  <c r="V1325" i="11"/>
  <c r="R1325" i="11"/>
  <c r="L1325" i="11"/>
  <c r="N1324" i="11"/>
  <c r="O1324" i="11"/>
  <c r="L1324" i="11"/>
  <c r="X1324" i="11"/>
  <c r="V1324" i="11"/>
  <c r="R1324" i="11"/>
  <c r="AE1324" i="11"/>
  <c r="O1323" i="11"/>
  <c r="N1323" i="11"/>
  <c r="AE1323" i="11"/>
  <c r="X1323" i="11"/>
  <c r="V1323" i="11"/>
  <c r="R1323" i="11"/>
  <c r="L1323" i="11"/>
  <c r="O1322" i="11"/>
  <c r="N1322" i="11"/>
  <c r="AE1322" i="11"/>
  <c r="X1322" i="11"/>
  <c r="R1322" i="11"/>
  <c r="L1322" i="11"/>
  <c r="V1322" i="11"/>
  <c r="N1321" i="11"/>
  <c r="O1321" i="11"/>
  <c r="R1321" i="11"/>
  <c r="V1321" i="11"/>
  <c r="X1321" i="11"/>
  <c r="AE1321" i="11"/>
  <c r="L1321" i="11"/>
  <c r="N1320" i="11"/>
  <c r="O1320" i="11"/>
  <c r="V1320" i="11"/>
  <c r="R1320" i="11"/>
  <c r="AE1320" i="11"/>
  <c r="L1320" i="11"/>
  <c r="X1320" i="11"/>
  <c r="O1319" i="11"/>
  <c r="N1319" i="11"/>
  <c r="L1319" i="11"/>
  <c r="AE1319" i="11"/>
  <c r="X1319" i="11"/>
  <c r="V1319" i="11"/>
  <c r="R1319" i="11"/>
  <c r="N1318" i="11"/>
  <c r="O1318" i="11"/>
  <c r="R1318" i="11"/>
  <c r="L1318" i="11"/>
  <c r="V1318" i="11"/>
  <c r="X1318" i="11"/>
  <c r="AE1318" i="11"/>
  <c r="O1317" i="11"/>
  <c r="N1317" i="11"/>
  <c r="AE1317" i="11"/>
  <c r="X1317" i="11"/>
  <c r="V1317" i="11"/>
  <c r="R1317" i="11"/>
  <c r="L1317" i="11"/>
  <c r="O1316" i="11"/>
  <c r="N1316" i="11"/>
  <c r="AE1316" i="11"/>
  <c r="X1316" i="11"/>
  <c r="V1316" i="11"/>
  <c r="R1316" i="11"/>
  <c r="L1316" i="11"/>
  <c r="N1315" i="11"/>
  <c r="O1315" i="11"/>
  <c r="AE1315" i="11"/>
  <c r="X1315" i="11"/>
  <c r="V1315" i="11"/>
  <c r="L1315" i="11"/>
  <c r="R1315" i="11"/>
  <c r="N1314" i="11"/>
  <c r="O1314" i="11"/>
  <c r="R1314" i="11"/>
  <c r="L1314" i="11"/>
  <c r="AE1314" i="11"/>
  <c r="X1314" i="11"/>
  <c r="V1314" i="11"/>
  <c r="N1313" i="11"/>
  <c r="O1313" i="11"/>
  <c r="L1313" i="11"/>
  <c r="V1313" i="11"/>
  <c r="X1313" i="11"/>
  <c r="R1313" i="11"/>
  <c r="AE1313" i="11"/>
  <c r="O1312" i="11"/>
  <c r="N1312" i="11"/>
  <c r="V1312" i="11"/>
  <c r="AE1312" i="11"/>
  <c r="L1312" i="11"/>
  <c r="X1312" i="11"/>
  <c r="R1312" i="11"/>
  <c r="N1311" i="11"/>
  <c r="O1311" i="11"/>
  <c r="R1311" i="11"/>
  <c r="L1311" i="11"/>
  <c r="V1311" i="11"/>
  <c r="X1311" i="11"/>
  <c r="AE1311" i="11"/>
  <c r="N1310" i="11"/>
  <c r="O1310" i="11"/>
  <c r="X1310" i="11"/>
  <c r="R1310" i="11"/>
  <c r="L1310" i="11"/>
  <c r="V1310" i="11"/>
  <c r="AE1310" i="11"/>
  <c r="N1309" i="11"/>
  <c r="O1309" i="11"/>
  <c r="R1309" i="11"/>
  <c r="V1309" i="11"/>
  <c r="X1309" i="11"/>
  <c r="AE1309" i="11"/>
  <c r="L1309" i="11"/>
  <c r="O1308" i="11"/>
  <c r="N1308" i="11"/>
  <c r="L1308" i="11"/>
  <c r="R1308" i="11"/>
  <c r="AE1308" i="11"/>
  <c r="X1308" i="11"/>
  <c r="V1308" i="11"/>
  <c r="N1307" i="11"/>
  <c r="O1307" i="11"/>
  <c r="L1307" i="11"/>
  <c r="R1307" i="11"/>
  <c r="V1307" i="11"/>
  <c r="X1307" i="11"/>
  <c r="AE1307" i="11"/>
  <c r="O1306" i="11"/>
  <c r="N1306" i="11"/>
  <c r="AE1306" i="11"/>
  <c r="L1306" i="11"/>
  <c r="X1306" i="11"/>
  <c r="V1306" i="11"/>
  <c r="R1306" i="11"/>
  <c r="O1305" i="11"/>
  <c r="N1305" i="11"/>
  <c r="V1305" i="11"/>
  <c r="X1305" i="11"/>
  <c r="AE1305" i="11"/>
  <c r="L1305" i="11"/>
  <c r="R1305" i="11"/>
  <c r="N1304" i="11"/>
  <c r="O1304" i="11"/>
  <c r="V1304" i="11"/>
  <c r="AE1304" i="11"/>
  <c r="X1304" i="11"/>
  <c r="L1304" i="11"/>
  <c r="R1304" i="11"/>
  <c r="N1303" i="11"/>
  <c r="O1303" i="11"/>
  <c r="V1303" i="11"/>
  <c r="R1303" i="11"/>
  <c r="X1303" i="11"/>
  <c r="AE1303" i="11"/>
  <c r="L1303" i="11"/>
  <c r="O1302" i="11"/>
  <c r="N1302" i="11"/>
  <c r="AE1302" i="11"/>
  <c r="R1302" i="11"/>
  <c r="V1302" i="11"/>
  <c r="X1302" i="11"/>
  <c r="L1302" i="11"/>
  <c r="N1301" i="11"/>
  <c r="O1301" i="11"/>
  <c r="R1301" i="11"/>
  <c r="L1301" i="11"/>
  <c r="V1301" i="11"/>
  <c r="AE1301" i="11"/>
  <c r="X1301" i="11"/>
  <c r="N1300" i="11"/>
  <c r="O1300" i="11"/>
  <c r="X1300" i="11"/>
  <c r="L1300" i="11"/>
  <c r="V1300" i="11"/>
  <c r="R1300" i="11"/>
  <c r="AE1300" i="11"/>
  <c r="O1299" i="11"/>
  <c r="N1299" i="11"/>
  <c r="R1299" i="11"/>
  <c r="V1299" i="11"/>
  <c r="L1299" i="11"/>
  <c r="X1299" i="11"/>
  <c r="AE1299" i="11"/>
  <c r="O1298" i="11"/>
  <c r="N1298" i="11"/>
  <c r="AE1298" i="11"/>
  <c r="X1298" i="11"/>
  <c r="V1298" i="11"/>
  <c r="L1298" i="11"/>
  <c r="R1298" i="11"/>
  <c r="O1297" i="11"/>
  <c r="N1297" i="11"/>
  <c r="X1297" i="11"/>
  <c r="V1297" i="11"/>
  <c r="R1297" i="11"/>
  <c r="L1297" i="11"/>
  <c r="AE1297" i="11"/>
  <c r="O1296" i="11"/>
  <c r="N1296" i="11"/>
  <c r="AE1296" i="11"/>
  <c r="V1296" i="11"/>
  <c r="R1296" i="11"/>
  <c r="X1296" i="11"/>
  <c r="L1296" i="11"/>
  <c r="N1295" i="11"/>
  <c r="O1295" i="11"/>
  <c r="X1295" i="11"/>
  <c r="V1295" i="11"/>
  <c r="AE1295" i="11"/>
  <c r="R1295" i="11"/>
  <c r="L1295" i="11"/>
  <c r="N1294" i="11"/>
  <c r="O1294" i="11"/>
  <c r="L1294" i="11"/>
  <c r="R1294" i="11"/>
  <c r="X1294" i="11"/>
  <c r="V1294" i="11"/>
  <c r="AE1294" i="11"/>
  <c r="O1293" i="11"/>
  <c r="N1293" i="11"/>
  <c r="L1293" i="11"/>
  <c r="X1293" i="11"/>
  <c r="AE1293" i="11"/>
  <c r="V1293" i="11"/>
  <c r="R1293" i="11"/>
  <c r="O1292" i="11"/>
  <c r="N1292" i="11"/>
  <c r="AE1292" i="11"/>
  <c r="X1292" i="11"/>
  <c r="V1292" i="11"/>
  <c r="R1292" i="11"/>
  <c r="L1292" i="11"/>
  <c r="N1291" i="11"/>
  <c r="O1291" i="11"/>
  <c r="L1291" i="11"/>
  <c r="R1291" i="11"/>
  <c r="V1291" i="11"/>
  <c r="X1291" i="11"/>
  <c r="AE1291" i="11"/>
  <c r="O1290" i="11"/>
  <c r="N1290" i="11"/>
  <c r="AE1290" i="11"/>
  <c r="R1290" i="11"/>
  <c r="V1290" i="11"/>
  <c r="L1290" i="11"/>
  <c r="X1290" i="11"/>
  <c r="O1289" i="11"/>
  <c r="N1289" i="11"/>
  <c r="X1289" i="11"/>
  <c r="V1289" i="11"/>
  <c r="R1289" i="11"/>
  <c r="L1289" i="11"/>
  <c r="AE1289" i="11"/>
  <c r="O1288" i="11"/>
  <c r="N1288" i="11"/>
  <c r="AE1288" i="11"/>
  <c r="L1288" i="11"/>
  <c r="X1288" i="11"/>
  <c r="V1288" i="11"/>
  <c r="R1288" i="11"/>
  <c r="N1287" i="11"/>
  <c r="O1287" i="11"/>
  <c r="X1287" i="11"/>
  <c r="AE1287" i="11"/>
  <c r="L1287" i="11"/>
  <c r="R1287" i="11"/>
  <c r="V1287" i="11"/>
  <c r="N1286" i="11"/>
  <c r="O1286" i="11"/>
  <c r="L1286" i="11"/>
  <c r="V1286" i="11"/>
  <c r="AE1286" i="11"/>
  <c r="R1286" i="11"/>
  <c r="X1286" i="11"/>
  <c r="N1285" i="11"/>
  <c r="O1285" i="11"/>
  <c r="AE1285" i="11"/>
  <c r="V1285" i="11"/>
  <c r="R1285" i="11"/>
  <c r="X1285" i="11"/>
  <c r="L1285" i="11"/>
  <c r="N1284" i="11"/>
  <c r="O1284" i="11"/>
  <c r="R1284" i="11"/>
  <c r="V1284" i="11"/>
  <c r="X1284" i="11"/>
  <c r="AE1284" i="11"/>
  <c r="L1284" i="11"/>
  <c r="O1283" i="11"/>
  <c r="N1283" i="11"/>
  <c r="AE1283" i="11"/>
  <c r="X1283" i="11"/>
  <c r="V1283" i="11"/>
  <c r="R1283" i="11"/>
  <c r="L1283" i="11"/>
  <c r="N1282" i="11"/>
  <c r="O1282" i="11"/>
  <c r="R1282" i="11"/>
  <c r="AE1282" i="11"/>
  <c r="X1282" i="11"/>
  <c r="V1282" i="11"/>
  <c r="L1282" i="11"/>
  <c r="O1281" i="11"/>
  <c r="N1281" i="11"/>
  <c r="AE1281" i="11"/>
  <c r="X1281" i="11"/>
  <c r="V1281" i="11"/>
  <c r="R1281" i="11"/>
  <c r="L1281" i="11"/>
  <c r="N1280" i="11"/>
  <c r="O1280" i="11"/>
  <c r="AE1280" i="11"/>
  <c r="L1280" i="11"/>
  <c r="R1280" i="11"/>
  <c r="V1280" i="11"/>
  <c r="X1280" i="11"/>
  <c r="O1279" i="11"/>
  <c r="N1279" i="11"/>
  <c r="AE1279" i="11"/>
  <c r="X1279" i="11"/>
  <c r="L1279" i="11"/>
  <c r="V1279" i="11"/>
  <c r="R1279" i="11"/>
  <c r="N1278" i="11"/>
  <c r="O1278" i="11"/>
  <c r="L1278" i="11"/>
  <c r="X1278" i="11"/>
  <c r="R1278" i="11"/>
  <c r="V1278" i="11"/>
  <c r="AE1278" i="11"/>
  <c r="N1277" i="11"/>
  <c r="O1277" i="11"/>
  <c r="L1277" i="11"/>
  <c r="X1277" i="11"/>
  <c r="V1277" i="11"/>
  <c r="R1277" i="11"/>
  <c r="AE1277" i="11"/>
  <c r="N1276" i="11"/>
  <c r="O1276" i="11"/>
  <c r="X1276" i="11"/>
  <c r="L1276" i="11"/>
  <c r="R1276" i="11"/>
  <c r="V1276" i="11"/>
  <c r="AE1276" i="11"/>
  <c r="N1275" i="11"/>
  <c r="O1275" i="11"/>
  <c r="V1275" i="11"/>
  <c r="L1275" i="11"/>
  <c r="R1275" i="11"/>
  <c r="AE1275" i="11"/>
  <c r="X1275" i="11"/>
  <c r="N1274" i="11"/>
  <c r="O1274" i="11"/>
  <c r="R1274" i="11"/>
  <c r="V1274" i="11"/>
  <c r="AE1274" i="11"/>
  <c r="X1274" i="11"/>
  <c r="L1274" i="11"/>
  <c r="N1273" i="11"/>
  <c r="O1273" i="11"/>
  <c r="AE1273" i="11"/>
  <c r="R1273" i="11"/>
  <c r="L1273" i="11"/>
  <c r="V1273" i="11"/>
  <c r="X1273" i="11"/>
  <c r="N1272" i="11"/>
  <c r="O1272" i="11"/>
  <c r="L1272" i="11"/>
  <c r="AE1272" i="11"/>
  <c r="X1272" i="11"/>
  <c r="V1272" i="11"/>
  <c r="R1272" i="11"/>
  <c r="N1271" i="11"/>
  <c r="O1271" i="11"/>
  <c r="L1271" i="11"/>
  <c r="X1271" i="11"/>
  <c r="V1271" i="11"/>
  <c r="R1271" i="11"/>
  <c r="AE1271" i="11"/>
  <c r="O1270" i="11"/>
  <c r="N1270" i="11"/>
  <c r="X1270" i="11"/>
  <c r="V1270" i="11"/>
  <c r="AE1270" i="11"/>
  <c r="L1270" i="11"/>
  <c r="R1270" i="11"/>
  <c r="O1269" i="11"/>
  <c r="N1269" i="11"/>
  <c r="X1269" i="11"/>
  <c r="L1269" i="11"/>
  <c r="V1269" i="11"/>
  <c r="AE1269" i="11"/>
  <c r="R1269" i="11"/>
  <c r="O1268" i="11"/>
  <c r="N1268" i="11"/>
  <c r="V1268" i="11"/>
  <c r="R1268" i="11"/>
  <c r="L1268" i="11"/>
  <c r="X1268" i="11"/>
  <c r="AE1268" i="11"/>
  <c r="O1267" i="11"/>
  <c r="N1267" i="11"/>
  <c r="X1267" i="11"/>
  <c r="AE1267" i="11"/>
  <c r="V1267" i="11"/>
  <c r="L1267" i="11"/>
  <c r="R1267" i="11"/>
  <c r="O1266" i="11"/>
  <c r="N1266" i="11"/>
  <c r="X1266" i="11"/>
  <c r="V1266" i="11"/>
  <c r="L1266" i="11"/>
  <c r="AE1266" i="11"/>
  <c r="R1266" i="11"/>
  <c r="N1265" i="11"/>
  <c r="O1265" i="11"/>
  <c r="L1265" i="11"/>
  <c r="V1265" i="11"/>
  <c r="AE1265" i="11"/>
  <c r="X1265" i="11"/>
  <c r="R1265" i="11"/>
  <c r="L1264" i="11"/>
  <c r="X1264" i="11"/>
  <c r="AE1264" i="11"/>
  <c r="R1263" i="11"/>
  <c r="L1263" i="11"/>
  <c r="O1263" i="11"/>
  <c r="N1263" i="11"/>
  <c r="X1262" i="11"/>
  <c r="L1262" i="11"/>
  <c r="V1262" i="11"/>
  <c r="AE1262" i="11"/>
  <c r="R1262" i="11"/>
  <c r="O1262" i="11"/>
  <c r="N1262" i="11"/>
  <c r="L1261" i="11"/>
  <c r="N1261" i="11"/>
  <c r="O1261" i="11"/>
  <c r="L1260" i="11"/>
  <c r="R1260" i="11"/>
  <c r="N1260" i="11"/>
  <c r="O1260" i="11"/>
  <c r="V1258" i="11"/>
  <c r="X1258" i="11"/>
  <c r="AE1258" i="11"/>
  <c r="L1258" i="11"/>
  <c r="N1257" i="11"/>
  <c r="O1257" i="11"/>
  <c r="V1257" i="11"/>
  <c r="R1257" i="11"/>
  <c r="L1257" i="11"/>
  <c r="L1256" i="11"/>
  <c r="R1256" i="11"/>
  <c r="V1256" i="11"/>
  <c r="X1256" i="11"/>
  <c r="AE1256" i="11"/>
  <c r="N1256" i="11"/>
  <c r="O1256" i="11"/>
  <c r="N1254" i="11"/>
  <c r="O1254" i="11"/>
  <c r="L1254" i="11"/>
  <c r="R1254" i="11"/>
  <c r="O1249" i="11"/>
  <c r="N1249" i="11"/>
  <c r="R1249" i="11"/>
  <c r="L1249" i="11"/>
  <c r="AE1249" i="11"/>
  <c r="N1247" i="11"/>
  <c r="O1247" i="11"/>
  <c r="O1246" i="11"/>
  <c r="N1246" i="11"/>
  <c r="AE1245" i="11"/>
  <c r="R1245" i="11"/>
  <c r="X1245" i="11"/>
  <c r="V1245" i="11"/>
  <c r="N1243" i="11"/>
  <c r="O1243" i="11"/>
  <c r="L1243" i="11"/>
  <c r="R1243" i="11"/>
  <c r="V1243" i="11"/>
  <c r="X1243" i="11"/>
  <c r="AE1243" i="11"/>
  <c r="X1239" i="11"/>
  <c r="L1239" i="11"/>
  <c r="AE1239" i="11"/>
  <c r="AE1232" i="11"/>
  <c r="V1232" i="11"/>
  <c r="N1230" i="11"/>
  <c r="O1230" i="11"/>
  <c r="L1230" i="11"/>
  <c r="R1230" i="11"/>
  <c r="R1229" i="11"/>
  <c r="L1229" i="11"/>
  <c r="O1227" i="11"/>
  <c r="N1227" i="11"/>
  <c r="X1227" i="11"/>
  <c r="R1227" i="11"/>
  <c r="L1227" i="11"/>
  <c r="AE1227" i="11"/>
  <c r="V1227" i="11"/>
  <c r="AE1223" i="11"/>
  <c r="L1223" i="11"/>
  <c r="O1219" i="11"/>
  <c r="N1219" i="11"/>
  <c r="R1219" i="11"/>
  <c r="L1219" i="11"/>
  <c r="AE1218" i="11"/>
  <c r="V1218" i="11"/>
  <c r="L1218" i="11"/>
  <c r="X1218" i="11"/>
  <c r="R1218" i="11"/>
  <c r="V1217" i="11"/>
  <c r="L1217" i="11"/>
  <c r="R1217" i="11"/>
  <c r="R1216" i="11"/>
  <c r="L1216" i="11"/>
  <c r="X1215" i="11"/>
  <c r="V1215" i="11"/>
  <c r="AE1215" i="11"/>
  <c r="O1214" i="11"/>
  <c r="N1214" i="11"/>
  <c r="L1214" i="11"/>
  <c r="AE1214" i="11"/>
  <c r="V1214" i="11"/>
  <c r="X1214" i="11"/>
  <c r="R1214" i="11"/>
  <c r="O1213" i="11"/>
  <c r="N1213" i="11"/>
  <c r="AE1213" i="11"/>
  <c r="X1213" i="11"/>
  <c r="V1213" i="11"/>
  <c r="R1213" i="11"/>
  <c r="L1213" i="11"/>
  <c r="O1212" i="11"/>
  <c r="N1212" i="11"/>
  <c r="AE1212" i="11"/>
  <c r="X1212" i="11"/>
  <c r="V1212" i="11"/>
  <c r="R1212" i="11"/>
  <c r="L1212" i="11"/>
  <c r="N1211" i="11"/>
  <c r="O1211" i="11"/>
  <c r="V1211" i="11"/>
  <c r="L1211" i="11"/>
  <c r="R1211" i="11"/>
  <c r="X1211" i="11"/>
  <c r="AE1211" i="11"/>
  <c r="N1210" i="11"/>
  <c r="O1210" i="11"/>
  <c r="AE1210" i="11"/>
  <c r="X1210" i="11"/>
  <c r="L1210" i="11"/>
  <c r="R1210" i="11"/>
  <c r="V1210" i="11"/>
  <c r="R1208" i="11"/>
  <c r="L1208" i="11"/>
  <c r="V1206" i="11"/>
  <c r="X1206" i="11"/>
  <c r="AE1206" i="11"/>
  <c r="L1206" i="11"/>
  <c r="L1205" i="11"/>
  <c r="V1205" i="11"/>
  <c r="X1205" i="11"/>
  <c r="R1205" i="11"/>
  <c r="X1203" i="11"/>
  <c r="R1203" i="11"/>
  <c r="X1202" i="11"/>
  <c r="AE1202" i="11"/>
  <c r="L1202" i="11"/>
  <c r="R1201" i="11"/>
  <c r="L1201" i="11"/>
  <c r="AE1201" i="11"/>
  <c r="V1201" i="11"/>
  <c r="O1201" i="11"/>
  <c r="N1201" i="11"/>
  <c r="N1199" i="11"/>
  <c r="O1199" i="11"/>
  <c r="O1198" i="11"/>
  <c r="N1198" i="11"/>
  <c r="X1198" i="11"/>
  <c r="V1198" i="11"/>
  <c r="R1198" i="11"/>
  <c r="AE1198" i="11"/>
  <c r="L1198" i="11"/>
  <c r="N1197" i="11"/>
  <c r="O1197" i="11"/>
  <c r="X1197" i="11"/>
  <c r="R1197" i="11"/>
  <c r="L1197" i="11"/>
  <c r="V1197" i="11"/>
  <c r="AE1197" i="11"/>
  <c r="X1196" i="11"/>
  <c r="AE1196" i="11"/>
  <c r="V1196" i="11"/>
  <c r="R1196" i="11"/>
  <c r="L1196" i="11"/>
  <c r="N1196" i="11"/>
  <c r="O1196" i="11"/>
  <c r="AE1194" i="11"/>
  <c r="V1194" i="11"/>
  <c r="X1194" i="11"/>
  <c r="R1194" i="11"/>
  <c r="R1193" i="11"/>
  <c r="L1193" i="11"/>
  <c r="X1193" i="11"/>
  <c r="V1193" i="11"/>
  <c r="AE1193" i="11"/>
  <c r="N1191" i="11"/>
  <c r="O1191" i="11"/>
  <c r="L1191" i="11"/>
  <c r="X1191" i="11"/>
  <c r="AE1191" i="11"/>
  <c r="R1191" i="11"/>
  <c r="V1191" i="11"/>
  <c r="AE1189" i="11"/>
  <c r="R1189" i="11"/>
  <c r="V1189" i="11"/>
  <c r="L1189" i="11"/>
  <c r="X1189" i="11"/>
  <c r="AE1188" i="11"/>
  <c r="L1188" i="11"/>
  <c r="N1187" i="11"/>
  <c r="O1187" i="11"/>
  <c r="R1187" i="11"/>
  <c r="V1187" i="11"/>
  <c r="L1187" i="11"/>
  <c r="AE1187" i="11"/>
  <c r="X1187" i="11"/>
  <c r="N1185" i="11"/>
  <c r="L1185" i="11"/>
  <c r="L1184" i="11"/>
  <c r="AE1184" i="11"/>
  <c r="O1183" i="11"/>
  <c r="N1183" i="11"/>
  <c r="X1183" i="11"/>
  <c r="L1183" i="11"/>
  <c r="V1183" i="11"/>
  <c r="AE1183" i="11"/>
  <c r="R1183" i="11"/>
  <c r="O1182" i="11"/>
  <c r="N1182" i="11"/>
  <c r="X1182" i="11"/>
  <c r="L1182" i="11"/>
  <c r="V1182" i="11"/>
  <c r="R1182" i="11"/>
  <c r="AE1182" i="11"/>
  <c r="O1181" i="11"/>
  <c r="N1181" i="11"/>
  <c r="AE1181" i="11"/>
  <c r="R1181" i="11"/>
  <c r="L1181" i="11"/>
  <c r="V1181" i="11"/>
  <c r="X1181" i="11"/>
  <c r="N1180" i="11"/>
  <c r="O1180" i="11"/>
  <c r="AE1180" i="11"/>
  <c r="X1180" i="11"/>
  <c r="L1180" i="11"/>
  <c r="V1180" i="11"/>
  <c r="R1180" i="11"/>
  <c r="N1179" i="11"/>
  <c r="O1179" i="11"/>
  <c r="X1179" i="11"/>
  <c r="R1179" i="11"/>
  <c r="V1179" i="11"/>
  <c r="AE1179" i="11"/>
  <c r="L1179" i="11"/>
  <c r="AE1178" i="11"/>
  <c r="X1178" i="11"/>
  <c r="R1177" i="11"/>
  <c r="L1177" i="11"/>
  <c r="O1177" i="11"/>
  <c r="N1177" i="11"/>
  <c r="R1175" i="11"/>
  <c r="V1175" i="11"/>
  <c r="X1175" i="11"/>
  <c r="AE1175" i="11"/>
  <c r="X1174" i="11"/>
  <c r="V1174" i="11"/>
  <c r="N1174" i="11"/>
  <c r="L1174" i="11"/>
  <c r="V1171" i="11"/>
  <c r="L1171" i="11"/>
  <c r="R1171" i="11"/>
  <c r="X1171" i="11"/>
  <c r="N1171" i="11"/>
  <c r="O1171" i="11"/>
  <c r="N1170" i="11"/>
  <c r="O1170" i="11"/>
  <c r="V1170" i="11"/>
  <c r="X1170" i="11"/>
  <c r="AE1170" i="11"/>
  <c r="R1170" i="11"/>
  <c r="L1170" i="11"/>
  <c r="O1169" i="11"/>
  <c r="N1169" i="11"/>
  <c r="V1169" i="11"/>
  <c r="L1169" i="11"/>
  <c r="AE1169" i="11"/>
  <c r="X1169" i="11"/>
  <c r="R1169" i="11"/>
  <c r="R1168" i="11"/>
  <c r="V1168" i="11"/>
  <c r="X1168" i="11"/>
  <c r="AE1168" i="11"/>
  <c r="L1168" i="11"/>
  <c r="L1167" i="11"/>
  <c r="N1167" i="11"/>
  <c r="O1167" i="11"/>
  <c r="L1166" i="11"/>
  <c r="R1166" i="11"/>
  <c r="V1166" i="11"/>
  <c r="X1166" i="11"/>
  <c r="V1165" i="11"/>
  <c r="R1165" i="11"/>
  <c r="X1165" i="11"/>
  <c r="AE1165" i="11"/>
  <c r="L1165" i="11"/>
  <c r="O1164" i="11"/>
  <c r="N1164" i="11"/>
  <c r="R1163" i="11"/>
  <c r="AE1163" i="11"/>
  <c r="L1163" i="11"/>
  <c r="X1162" i="11"/>
  <c r="V1162" i="11"/>
  <c r="R1162" i="11"/>
  <c r="R1161" i="11"/>
  <c r="L1161" i="11"/>
  <c r="AE1161" i="11"/>
  <c r="V1161" i="11"/>
  <c r="O1161" i="11"/>
  <c r="N1161" i="11"/>
  <c r="L1160" i="11"/>
  <c r="X1160" i="11"/>
  <c r="V1160" i="11"/>
  <c r="R1160" i="11"/>
  <c r="V1159" i="11"/>
  <c r="R1159" i="11"/>
  <c r="N1159" i="11"/>
  <c r="O1159" i="11"/>
  <c r="O1158" i="11"/>
  <c r="N1158" i="11"/>
  <c r="AE1158" i="11"/>
  <c r="X1158" i="11"/>
  <c r="R1158" i="11"/>
  <c r="V1158" i="11"/>
  <c r="L1158" i="11"/>
  <c r="X1157" i="11"/>
  <c r="R1157" i="11"/>
  <c r="L1157" i="11"/>
  <c r="V1157" i="11"/>
  <c r="R1156" i="11"/>
  <c r="V1156" i="11"/>
  <c r="X1155" i="11"/>
  <c r="V1155" i="11"/>
  <c r="AE1155" i="11"/>
  <c r="R1155" i="11"/>
  <c r="N1155" i="11"/>
  <c r="O1155" i="11"/>
  <c r="L1154" i="11"/>
  <c r="AE1154" i="11"/>
  <c r="AE1153" i="11"/>
  <c r="R1153" i="11"/>
  <c r="X1153" i="11"/>
  <c r="V1153" i="11"/>
  <c r="V1152" i="11"/>
  <c r="R1152" i="11"/>
  <c r="O1151" i="11"/>
  <c r="N1151" i="11"/>
  <c r="X1151" i="11"/>
  <c r="L1151" i="11"/>
  <c r="AE1151" i="11"/>
  <c r="R1151" i="11"/>
  <c r="R1150" i="11"/>
  <c r="V1150" i="11"/>
  <c r="O1150" i="11"/>
  <c r="N1150" i="11"/>
  <c r="L1150" i="11"/>
  <c r="AE1150" i="11"/>
  <c r="X1149" i="11"/>
  <c r="R1149" i="11"/>
  <c r="L1149" i="11"/>
  <c r="O1149" i="11"/>
  <c r="N1149" i="11"/>
  <c r="O1148" i="11"/>
  <c r="N1148" i="11"/>
  <c r="L1148" i="11"/>
  <c r="AE1148" i="11"/>
  <c r="V1148" i="11"/>
  <c r="R1148" i="11"/>
  <c r="X1148" i="11"/>
  <c r="V1147" i="11"/>
  <c r="L1147" i="11"/>
  <c r="O1147" i="11"/>
  <c r="N1147" i="11"/>
  <c r="L1146" i="11"/>
  <c r="AE1146" i="11"/>
  <c r="N1144" i="11"/>
  <c r="O1144" i="11"/>
  <c r="L1143" i="11"/>
  <c r="AE1143" i="11"/>
  <c r="V1143" i="11"/>
  <c r="O1143" i="11"/>
  <c r="N1143" i="11"/>
  <c r="X1142" i="11"/>
  <c r="AE1142" i="11"/>
  <c r="R1142" i="11"/>
  <c r="L1142" i="11"/>
  <c r="V1142" i="11"/>
  <c r="N1142" i="11"/>
  <c r="O1142" i="11"/>
  <c r="N1141" i="11"/>
  <c r="O1141" i="11"/>
  <c r="AE1141" i="11"/>
  <c r="X1141" i="11"/>
  <c r="L1141" i="11"/>
  <c r="V1141" i="11"/>
  <c r="R1141" i="11"/>
  <c r="AE1140" i="11"/>
  <c r="V1140" i="11"/>
  <c r="L1140" i="11"/>
  <c r="AE1139" i="11"/>
  <c r="L1139" i="11"/>
  <c r="R1139" i="11"/>
  <c r="L1138" i="11"/>
  <c r="R1138" i="11"/>
  <c r="X1138" i="11"/>
  <c r="AE1138" i="11"/>
  <c r="X1137" i="11"/>
  <c r="AE1137" i="11"/>
  <c r="V1137" i="11"/>
  <c r="L1137" i="11"/>
  <c r="N1137" i="11"/>
  <c r="O1137" i="11"/>
  <c r="X1136" i="11"/>
  <c r="L1136" i="11"/>
  <c r="V1136" i="11"/>
  <c r="R1136" i="11"/>
  <c r="AE1136" i="11"/>
  <c r="AE1135" i="11"/>
  <c r="L1135" i="11"/>
  <c r="O1135" i="11"/>
  <c r="N1135" i="11"/>
  <c r="AE1134" i="11"/>
  <c r="V1134" i="11"/>
  <c r="AE1133" i="11"/>
  <c r="V1133" i="11"/>
  <c r="R1133" i="11"/>
  <c r="L1131" i="11"/>
  <c r="AE1131" i="11"/>
  <c r="L1130" i="11"/>
  <c r="N1130" i="11"/>
  <c r="O1129" i="11"/>
  <c r="L1129" i="11"/>
  <c r="X1128" i="11"/>
  <c r="V1128" i="11"/>
  <c r="N1128" i="11"/>
  <c r="O1128" i="11"/>
  <c r="L1128" i="11"/>
  <c r="V1127" i="11"/>
  <c r="L1127" i="11"/>
  <c r="X1126" i="11"/>
  <c r="L1126" i="11"/>
  <c r="R1126" i="11"/>
  <c r="N1125" i="11"/>
  <c r="O1125" i="11"/>
  <c r="V1125" i="11"/>
  <c r="AE1125" i="11"/>
  <c r="X1125" i="11"/>
  <c r="R1125" i="11"/>
  <c r="L1125" i="11"/>
  <c r="O1124" i="11"/>
  <c r="N1124" i="11"/>
  <c r="AE1124" i="11"/>
  <c r="X1124" i="11"/>
  <c r="R1124" i="11"/>
  <c r="L1124" i="11"/>
  <c r="V1124" i="11"/>
  <c r="L1123" i="11"/>
  <c r="AE1123" i="11"/>
  <c r="O1123" i="11"/>
  <c r="N1123" i="11"/>
  <c r="X1122" i="11"/>
  <c r="R1122" i="11"/>
  <c r="L1121" i="11"/>
  <c r="R1121" i="11"/>
  <c r="V1121" i="11"/>
  <c r="AE1121" i="11"/>
  <c r="V1120" i="11"/>
  <c r="R1120" i="11"/>
  <c r="X1120" i="11"/>
  <c r="AE1120" i="11"/>
  <c r="N1120" i="11"/>
  <c r="L1120" i="11"/>
  <c r="O1119" i="11"/>
  <c r="N1119" i="11"/>
  <c r="V1118" i="11"/>
  <c r="AE1118" i="11"/>
  <c r="O1118" i="11"/>
  <c r="L1118" i="11"/>
  <c r="L1117" i="11"/>
  <c r="AE1117" i="11"/>
  <c r="R1116" i="11"/>
  <c r="V1116" i="11"/>
  <c r="AE1116" i="11"/>
  <c r="X1116" i="11"/>
  <c r="L1116" i="11"/>
  <c r="R1113" i="11"/>
  <c r="AE1113" i="11"/>
  <c r="X1113" i="11"/>
  <c r="R1112" i="11"/>
  <c r="AE1112" i="11"/>
  <c r="L1112" i="11"/>
  <c r="N1111" i="11"/>
  <c r="O1111" i="11"/>
  <c r="L1110" i="11"/>
  <c r="AE1110" i="11"/>
  <c r="N1109" i="11"/>
  <c r="O1109" i="11"/>
  <c r="N1108" i="11"/>
  <c r="O1108" i="11"/>
  <c r="X1108" i="11"/>
  <c r="L1108" i="11"/>
  <c r="R1108" i="11"/>
  <c r="N1107" i="11"/>
  <c r="O1107" i="11"/>
  <c r="L1107" i="11"/>
  <c r="AE1107" i="11"/>
  <c r="L1106" i="11"/>
  <c r="X1106" i="11"/>
  <c r="R1106" i="11"/>
  <c r="AE1106" i="11"/>
  <c r="V1106" i="11"/>
  <c r="N1105" i="11"/>
  <c r="O1105" i="11"/>
  <c r="R1105" i="11"/>
  <c r="L1105" i="11"/>
  <c r="V1105" i="11"/>
  <c r="X1105" i="11"/>
  <c r="L1104" i="11"/>
  <c r="AE1104" i="11"/>
  <c r="L1103" i="11"/>
  <c r="R1103" i="11"/>
  <c r="X1103" i="11"/>
  <c r="V1102" i="11"/>
  <c r="L1102" i="11"/>
  <c r="X1102" i="11"/>
  <c r="R1102" i="11"/>
  <c r="V1101" i="11"/>
  <c r="L1101" i="11"/>
  <c r="R1101" i="11"/>
  <c r="X1101" i="11"/>
  <c r="AE1100" i="11"/>
  <c r="X1100" i="11"/>
  <c r="O1100" i="11"/>
  <c r="N1100" i="11"/>
  <c r="V1099" i="11"/>
  <c r="X1099" i="11"/>
  <c r="AE1098" i="11"/>
  <c r="V1098" i="11"/>
  <c r="R1098" i="11"/>
  <c r="L1098" i="11"/>
  <c r="N1097" i="11"/>
  <c r="L1097" i="11"/>
  <c r="O1097" i="11"/>
  <c r="R1096" i="11"/>
  <c r="L1096" i="11"/>
  <c r="AE1096" i="11"/>
  <c r="V1096" i="11"/>
  <c r="X1096" i="11"/>
  <c r="O1095" i="11"/>
  <c r="N1095" i="11"/>
  <c r="AE1095" i="11"/>
  <c r="L1095" i="11"/>
  <c r="L1093" i="11"/>
  <c r="V1093" i="11"/>
  <c r="X1093" i="11"/>
  <c r="R1093" i="11"/>
  <c r="AE1093" i="11"/>
  <c r="X1092" i="11"/>
  <c r="R1092" i="11"/>
  <c r="V1092" i="11"/>
  <c r="AE1092" i="11"/>
  <c r="L1092" i="11"/>
  <c r="L1091" i="11"/>
  <c r="R1091" i="11"/>
  <c r="V1089" i="11"/>
  <c r="R1089" i="11"/>
  <c r="X1089" i="11"/>
  <c r="L1089" i="11"/>
  <c r="AE1089" i="11"/>
  <c r="V1087" i="11"/>
  <c r="AE1087" i="11"/>
  <c r="X1087" i="11"/>
  <c r="R1087" i="11"/>
  <c r="R1086" i="11"/>
  <c r="V1086" i="11"/>
  <c r="AE1086" i="11"/>
  <c r="L1086" i="11"/>
  <c r="O1086" i="11"/>
  <c r="N1086" i="11"/>
  <c r="R1085" i="11"/>
  <c r="AE1085" i="11"/>
  <c r="V1084" i="11"/>
  <c r="AE1084" i="11"/>
  <c r="X1084" i="11"/>
  <c r="L1084" i="11"/>
  <c r="O1082" i="11"/>
  <c r="N1082" i="11"/>
  <c r="X1082" i="11"/>
  <c r="V1082" i="11"/>
  <c r="L1082" i="11"/>
  <c r="V1081" i="11"/>
  <c r="L1081" i="11"/>
  <c r="R1081" i="11"/>
  <c r="R1080" i="11"/>
  <c r="AE1080" i="11"/>
  <c r="O1080" i="11"/>
  <c r="N1080" i="11"/>
  <c r="L1080" i="11"/>
  <c r="R1079" i="11"/>
  <c r="V1079" i="11"/>
  <c r="X1079" i="11"/>
  <c r="AE1079" i="11"/>
  <c r="N1079" i="11"/>
  <c r="O1079" i="11"/>
  <c r="V1078" i="11"/>
  <c r="X1078" i="11"/>
  <c r="N1078" i="11"/>
  <c r="L1078" i="11"/>
  <c r="O1078" i="11"/>
  <c r="N1077" i="11"/>
  <c r="O1077" i="11"/>
  <c r="L1077" i="11"/>
  <c r="AE1077" i="11"/>
  <c r="X1076" i="11"/>
  <c r="L1076" i="11"/>
  <c r="R1076" i="11"/>
  <c r="AE1076" i="11"/>
  <c r="V1076" i="11"/>
  <c r="AE1075" i="11"/>
  <c r="R1075" i="11"/>
  <c r="X1075" i="11"/>
  <c r="L1075" i="11"/>
  <c r="V1075" i="11"/>
  <c r="O1073" i="11"/>
  <c r="N1073" i="11"/>
  <c r="AE1073" i="11"/>
  <c r="R1073" i="11"/>
  <c r="L1073" i="11"/>
  <c r="X1073" i="11"/>
  <c r="V1073" i="11"/>
  <c r="R1072" i="11"/>
  <c r="L1072" i="11"/>
  <c r="X1072" i="11"/>
  <c r="V1072" i="11"/>
  <c r="AE1072" i="11"/>
  <c r="V1071" i="11"/>
  <c r="AE1071" i="11"/>
  <c r="X1071" i="11"/>
  <c r="R1071" i="11"/>
  <c r="R1070" i="11"/>
  <c r="X1070" i="11"/>
  <c r="AE1070" i="11"/>
  <c r="L1070" i="11"/>
  <c r="V1070" i="11"/>
  <c r="O1070" i="11"/>
  <c r="N1070" i="11"/>
  <c r="R1068" i="11"/>
  <c r="L1068" i="11"/>
  <c r="X1067" i="11"/>
  <c r="AE1067" i="11"/>
  <c r="N1067" i="11"/>
  <c r="O1067" i="11"/>
  <c r="R1066" i="11"/>
  <c r="L1066" i="11"/>
  <c r="X1066" i="11"/>
  <c r="V1066" i="11"/>
  <c r="AE1066" i="11"/>
  <c r="L1065" i="11"/>
  <c r="AE1065" i="11"/>
  <c r="R1065" i="11"/>
  <c r="O1064" i="11"/>
  <c r="N1064" i="11"/>
  <c r="L1064" i="11"/>
  <c r="AE1063" i="11"/>
  <c r="L1063" i="11"/>
  <c r="R1062" i="11"/>
  <c r="AE1062" i="11"/>
  <c r="V1062" i="11"/>
  <c r="X1062" i="11"/>
  <c r="O1062" i="11"/>
  <c r="N1062" i="11"/>
  <c r="O1060" i="11"/>
  <c r="N1060" i="11"/>
  <c r="L1060" i="11"/>
  <c r="R1060" i="11"/>
  <c r="V1060" i="11"/>
  <c r="AE1060" i="11"/>
  <c r="X1060" i="11"/>
  <c r="V1059" i="11"/>
  <c r="X1059" i="11"/>
  <c r="O1059" i="11"/>
  <c r="L1059" i="11"/>
  <c r="X1058" i="11"/>
  <c r="R1058" i="11"/>
  <c r="V1058" i="11"/>
  <c r="AE1058" i="11"/>
  <c r="AE1057" i="11"/>
  <c r="V1057" i="11"/>
  <c r="L1057" i="11"/>
  <c r="L1056" i="11"/>
  <c r="X1056" i="11"/>
  <c r="R1056" i="11"/>
  <c r="V1055" i="11"/>
  <c r="AE1055" i="11"/>
  <c r="X1055" i="11"/>
  <c r="L1055" i="11"/>
  <c r="O1055" i="11"/>
  <c r="N1055" i="11"/>
  <c r="V1054" i="11"/>
  <c r="L1054" i="11"/>
  <c r="R1054" i="11"/>
  <c r="O1054" i="11"/>
  <c r="N1054" i="11"/>
  <c r="AE1053" i="11"/>
  <c r="L1053" i="11"/>
  <c r="R1053" i="11"/>
  <c r="X1053" i="11"/>
  <c r="O1053" i="11"/>
  <c r="N1053" i="11"/>
  <c r="O1052" i="11"/>
  <c r="N1052" i="11"/>
  <c r="O1051" i="11"/>
  <c r="N1051" i="11"/>
  <c r="AE1051" i="11"/>
  <c r="L1051" i="11"/>
  <c r="R1051" i="11"/>
  <c r="O1050" i="11"/>
  <c r="N1050" i="11"/>
  <c r="X1050" i="11"/>
  <c r="R1050" i="11"/>
  <c r="AE1050" i="11"/>
  <c r="L1050" i="11"/>
  <c r="X1048" i="11"/>
  <c r="Y1048" i="11" s="1"/>
  <c r="R1048" i="11"/>
  <c r="V1048" i="11"/>
  <c r="W1048" i="11" s="1"/>
  <c r="AE1048" i="11"/>
  <c r="N1048" i="11"/>
  <c r="O1048" i="11"/>
  <c r="N1047" i="11"/>
  <c r="O1047" i="11"/>
  <c r="AE1047" i="11"/>
  <c r="V1047" i="11"/>
  <c r="W1047" i="11" s="1"/>
  <c r="X1047" i="11"/>
  <c r="Y1047" i="11" s="1"/>
  <c r="R1047" i="11"/>
  <c r="L1047" i="11"/>
  <c r="AE1045" i="11"/>
  <c r="R1045" i="11"/>
  <c r="X1045" i="11"/>
  <c r="V1045" i="11"/>
  <c r="W1045" i="11" s="1"/>
  <c r="L1045" i="11"/>
  <c r="AE1044" i="11"/>
  <c r="L1044" i="11"/>
  <c r="N1043" i="11"/>
  <c r="O1043" i="11"/>
  <c r="L1042" i="11"/>
  <c r="R1042" i="11"/>
  <c r="X1042" i="11"/>
  <c r="Y1042" i="11" s="1"/>
  <c r="V1041" i="11"/>
  <c r="W1041" i="11" s="1"/>
  <c r="AE1041" i="11"/>
  <c r="X1041" i="11"/>
  <c r="Y1041" i="11" s="1"/>
  <c r="O1041" i="11"/>
  <c r="N1041" i="11"/>
  <c r="L1041" i="11"/>
  <c r="V1040" i="11"/>
  <c r="W1040" i="11" s="1"/>
  <c r="L1040" i="11"/>
  <c r="X1040" i="11"/>
  <c r="O1040" i="11"/>
  <c r="N1040" i="11"/>
  <c r="R1039" i="11"/>
  <c r="X1039" i="11"/>
  <c r="AE1039" i="11"/>
  <c r="V1039" i="11"/>
  <c r="W1039" i="11" s="1"/>
  <c r="R1037" i="11"/>
  <c r="V1037" i="11"/>
  <c r="W1037" i="11" s="1"/>
  <c r="O1036" i="11"/>
  <c r="N1036" i="11"/>
  <c r="AE1036" i="11"/>
  <c r="L1036" i="11"/>
  <c r="V1035" i="11"/>
  <c r="W1035" i="11" s="1"/>
  <c r="AE1035" i="11"/>
  <c r="X1035" i="11"/>
  <c r="Y1035" i="11" s="1"/>
  <c r="R1034" i="11"/>
  <c r="X1034" i="11"/>
  <c r="V1034" i="11"/>
  <c r="W1034" i="11" s="1"/>
  <c r="L1034" i="11"/>
  <c r="AE1034" i="11"/>
  <c r="O1034" i="11"/>
  <c r="N1034" i="11"/>
  <c r="O1033" i="11"/>
  <c r="N1033" i="11"/>
  <c r="R1032" i="11"/>
  <c r="X1032" i="11"/>
  <c r="AE1031" i="11"/>
  <c r="V1031" i="11"/>
  <c r="W1031" i="11" s="1"/>
  <c r="L1031" i="11"/>
  <c r="X1029" i="11"/>
  <c r="V1029" i="11"/>
  <c r="O1029" i="11"/>
  <c r="N1029" i="11"/>
  <c r="L1028" i="11"/>
  <c r="O1028" i="11"/>
  <c r="N1028" i="11"/>
  <c r="L1027" i="11"/>
  <c r="R1027" i="11"/>
  <c r="X1026" i="11"/>
  <c r="V1026" i="11"/>
  <c r="AE1026" i="11"/>
  <c r="R1025" i="11"/>
  <c r="L1025" i="11"/>
  <c r="X1025" i="11"/>
  <c r="V1025" i="11"/>
  <c r="AE1025" i="11"/>
  <c r="AE1024" i="11"/>
  <c r="L1024" i="11"/>
  <c r="V1024" i="11"/>
  <c r="X1024" i="11"/>
  <c r="R1024" i="11"/>
  <c r="O1023" i="11"/>
  <c r="N1023" i="11"/>
  <c r="AE1022" i="11"/>
  <c r="X1022" i="11"/>
  <c r="V1022" i="11"/>
  <c r="R1022" i="11"/>
  <c r="L1022" i="11"/>
  <c r="AE1021" i="11"/>
  <c r="V1021" i="11"/>
  <c r="N1021" i="11"/>
  <c r="L1021" i="11"/>
  <c r="O1021" i="11"/>
  <c r="R1020" i="11"/>
  <c r="X1020" i="11"/>
  <c r="L1020" i="11"/>
  <c r="AE1020" i="11"/>
  <c r="V1018" i="11"/>
  <c r="AE1018" i="11"/>
  <c r="R1018" i="11"/>
  <c r="N1018" i="11"/>
  <c r="L1018" i="11"/>
  <c r="O1018" i="11"/>
  <c r="O1017" i="11"/>
  <c r="N1017" i="11"/>
  <c r="AE1016" i="11"/>
  <c r="V1016" i="11"/>
  <c r="X1016" i="11"/>
  <c r="O1016" i="11"/>
  <c r="N1016" i="11"/>
  <c r="L1014" i="11"/>
  <c r="N1014" i="11"/>
  <c r="AE1012" i="11"/>
  <c r="L1012" i="11"/>
  <c r="O1012" i="11"/>
  <c r="N1012" i="11"/>
  <c r="AE1010" i="11"/>
  <c r="X1010" i="11"/>
  <c r="V1010" i="11"/>
  <c r="N1009" i="11"/>
  <c r="O1009" i="11"/>
  <c r="X1009" i="11"/>
  <c r="L1009" i="11"/>
  <c r="AE1009" i="11"/>
  <c r="R1009" i="11"/>
  <c r="V1009" i="11"/>
  <c r="N1008" i="11"/>
  <c r="O1008" i="11"/>
  <c r="L1008" i="11"/>
  <c r="R1008" i="11"/>
  <c r="R1007" i="11"/>
  <c r="V1007" i="11"/>
  <c r="X1007" i="11"/>
  <c r="N1006" i="11"/>
  <c r="O1006" i="11"/>
  <c r="V1006" i="11"/>
  <c r="L1006" i="11"/>
  <c r="X1006" i="11"/>
  <c r="AE1006" i="11"/>
  <c r="R1005" i="11"/>
  <c r="V1005" i="11"/>
  <c r="X1005" i="11"/>
  <c r="AE1004" i="11"/>
  <c r="L1004" i="11"/>
  <c r="N1003" i="11"/>
  <c r="O1003" i="11"/>
  <c r="AE1003" i="11"/>
  <c r="R1003" i="11"/>
  <c r="L1003" i="11"/>
  <c r="V1003" i="11"/>
  <c r="O1002" i="11"/>
  <c r="N1002" i="11"/>
  <c r="V1002" i="11"/>
  <c r="X1002" i="11"/>
  <c r="R1002" i="11"/>
  <c r="AE1002" i="11"/>
  <c r="L1002" i="11"/>
  <c r="L1000" i="11"/>
  <c r="X1000" i="11"/>
  <c r="V1000" i="11"/>
  <c r="AE1000" i="11"/>
  <c r="N999" i="11"/>
  <c r="O999" i="11"/>
  <c r="L999" i="11"/>
  <c r="V999" i="11"/>
  <c r="O998" i="11"/>
  <c r="N998" i="11"/>
  <c r="V998" i="11"/>
  <c r="X998" i="11"/>
  <c r="AE998" i="11"/>
  <c r="L998" i="11"/>
  <c r="R998" i="11"/>
  <c r="L997" i="11"/>
  <c r="R997" i="11"/>
  <c r="V997" i="11"/>
  <c r="X996" i="11"/>
  <c r="V996" i="11"/>
  <c r="L996" i="11"/>
  <c r="O995" i="11"/>
  <c r="N995" i="11"/>
  <c r="V995" i="11"/>
  <c r="R995" i="11"/>
  <c r="L995" i="11"/>
  <c r="L994" i="11"/>
  <c r="V994" i="11"/>
  <c r="R994" i="11"/>
  <c r="X994" i="11"/>
  <c r="X993" i="11"/>
  <c r="V993" i="11"/>
  <c r="R992" i="11"/>
  <c r="X992" i="11"/>
  <c r="V992" i="11"/>
  <c r="AE992" i="11"/>
  <c r="L992" i="11"/>
  <c r="N991" i="11"/>
  <c r="O991" i="11"/>
  <c r="L991" i="11"/>
  <c r="V991" i="11"/>
  <c r="R991" i="11"/>
  <c r="X991" i="11"/>
  <c r="AE991" i="11"/>
  <c r="L990" i="11"/>
  <c r="R990" i="11"/>
  <c r="V990" i="11"/>
  <c r="X990" i="11"/>
  <c r="AE990" i="11"/>
  <c r="N990" i="11"/>
  <c r="O990" i="11"/>
  <c r="R988" i="11"/>
  <c r="L988" i="11"/>
  <c r="O987" i="11"/>
  <c r="N987" i="11"/>
  <c r="AE987" i="11"/>
  <c r="V987" i="11"/>
  <c r="X987" i="11"/>
  <c r="R987" i="11"/>
  <c r="R986" i="11"/>
  <c r="X986" i="11"/>
  <c r="L986" i="11"/>
  <c r="V986" i="11"/>
  <c r="V985" i="11"/>
  <c r="AE985" i="11"/>
  <c r="X985" i="11"/>
  <c r="R985" i="11"/>
  <c r="L985" i="11"/>
  <c r="O984" i="11"/>
  <c r="N984" i="11"/>
  <c r="R984" i="11"/>
  <c r="L984" i="11"/>
  <c r="O983" i="11"/>
  <c r="N983" i="11"/>
  <c r="V983" i="11"/>
  <c r="L983" i="11"/>
  <c r="R983" i="11"/>
  <c r="AE983" i="11"/>
  <c r="X983" i="11"/>
  <c r="O982" i="11"/>
  <c r="N982" i="11"/>
  <c r="AE980" i="11"/>
  <c r="X980" i="11"/>
  <c r="R980" i="11"/>
  <c r="L980" i="11"/>
  <c r="V980" i="11"/>
  <c r="O980" i="11"/>
  <c r="N980" i="11"/>
  <c r="N979" i="11"/>
  <c r="O979" i="11"/>
  <c r="AE979" i="11"/>
  <c r="X979" i="11"/>
  <c r="V979" i="11"/>
  <c r="R979" i="11"/>
  <c r="L979" i="11"/>
  <c r="N978" i="11"/>
  <c r="O978" i="11"/>
  <c r="AE977" i="11"/>
  <c r="X977" i="11"/>
  <c r="O977" i="11"/>
  <c r="N977" i="11"/>
  <c r="O976" i="11"/>
  <c r="N976" i="11"/>
  <c r="AE976" i="11"/>
  <c r="X976" i="11"/>
  <c r="V976" i="11"/>
  <c r="R976" i="11"/>
  <c r="L976" i="11"/>
  <c r="O975" i="11"/>
  <c r="N975" i="11"/>
  <c r="R975" i="11"/>
  <c r="L975" i="11"/>
  <c r="N974" i="11"/>
  <c r="O974" i="11"/>
  <c r="V974" i="11"/>
  <c r="X974" i="11"/>
  <c r="AE974" i="11"/>
  <c r="R974" i="11"/>
  <c r="X973" i="11"/>
  <c r="V973" i="11"/>
  <c r="AE973" i="11"/>
  <c r="R973" i="11"/>
  <c r="L973" i="11"/>
  <c r="O971" i="11"/>
  <c r="N971" i="11"/>
  <c r="O970" i="11"/>
  <c r="N970" i="11"/>
  <c r="X970" i="11"/>
  <c r="V970" i="11"/>
  <c r="R970" i="11"/>
  <c r="L970" i="11"/>
  <c r="AE969" i="11"/>
  <c r="R969" i="11"/>
  <c r="X969" i="11"/>
  <c r="V969" i="11"/>
  <c r="L969" i="11"/>
  <c r="R967" i="11"/>
  <c r="AE967" i="11"/>
  <c r="X967" i="11"/>
  <c r="AE964" i="11"/>
  <c r="L964" i="11"/>
  <c r="R964" i="11"/>
  <c r="V964" i="11"/>
  <c r="X964" i="11"/>
  <c r="L963" i="11"/>
  <c r="AE963" i="11"/>
  <c r="N963" i="11"/>
  <c r="O963" i="11"/>
  <c r="AE962" i="11"/>
  <c r="V962" i="11"/>
  <c r="X962" i="11"/>
  <c r="O961" i="11"/>
  <c r="N961" i="11"/>
  <c r="V961" i="11"/>
  <c r="L961" i="11"/>
  <c r="R961" i="11"/>
  <c r="AE961" i="11"/>
  <c r="X961" i="11"/>
  <c r="N960" i="11"/>
  <c r="O960" i="11"/>
  <c r="X960" i="11"/>
  <c r="V960" i="11"/>
  <c r="L960" i="11"/>
  <c r="AE960" i="11"/>
  <c r="AE959" i="11"/>
  <c r="V959" i="11"/>
  <c r="X959" i="11"/>
  <c r="N958" i="11"/>
  <c r="O958" i="11"/>
  <c r="AE957" i="11"/>
  <c r="L957" i="11"/>
  <c r="X956" i="11"/>
  <c r="V956" i="11"/>
  <c r="N955" i="11"/>
  <c r="O955" i="11"/>
  <c r="R955" i="11"/>
  <c r="X955" i="11"/>
  <c r="V955" i="11"/>
  <c r="AE955" i="11"/>
  <c r="L955" i="11"/>
  <c r="O954" i="11"/>
  <c r="N954" i="11"/>
  <c r="R954" i="11"/>
  <c r="L954" i="11"/>
  <c r="V953" i="11"/>
  <c r="L953" i="11"/>
  <c r="R953" i="11"/>
  <c r="N953" i="11"/>
  <c r="O953" i="11"/>
  <c r="X952" i="11"/>
  <c r="V952" i="11"/>
  <c r="V951" i="11"/>
  <c r="X951" i="11"/>
  <c r="R950" i="11"/>
  <c r="V950" i="11"/>
  <c r="X950" i="11"/>
  <c r="L950" i="11"/>
  <c r="N950" i="11"/>
  <c r="O950" i="11"/>
  <c r="V949" i="11"/>
  <c r="AE949" i="11"/>
  <c r="O948" i="11"/>
  <c r="N948" i="11"/>
  <c r="X948" i="11"/>
  <c r="R948" i="11"/>
  <c r="AE948" i="11"/>
  <c r="L948" i="11"/>
  <c r="L947" i="11"/>
  <c r="AE947" i="11"/>
  <c r="AE946" i="11"/>
  <c r="X946" i="11"/>
  <c r="V946" i="11"/>
  <c r="O945" i="11"/>
  <c r="N945" i="11"/>
  <c r="L945" i="11"/>
  <c r="R945" i="11"/>
  <c r="V945" i="11"/>
  <c r="AE944" i="11"/>
  <c r="L944" i="11"/>
  <c r="R944" i="11"/>
  <c r="V944" i="11"/>
  <c r="X944" i="11"/>
  <c r="L943" i="11"/>
  <c r="R943" i="11"/>
  <c r="V943" i="11"/>
  <c r="X943" i="11"/>
  <c r="N943" i="11"/>
  <c r="O943" i="11"/>
  <c r="L939" i="11"/>
  <c r="R939" i="11"/>
  <c r="V939" i="11"/>
  <c r="X939" i="11"/>
  <c r="AE939" i="11"/>
  <c r="N939" i="11"/>
  <c r="O939" i="11"/>
  <c r="N937" i="11"/>
  <c r="O937" i="11"/>
  <c r="R937" i="11"/>
  <c r="L937" i="11"/>
  <c r="O936" i="11"/>
  <c r="N936" i="11"/>
  <c r="N935" i="11"/>
  <c r="O935" i="11"/>
  <c r="AE935" i="11"/>
  <c r="V935" i="11"/>
  <c r="X935" i="11"/>
  <c r="R935" i="11"/>
  <c r="L935" i="11"/>
  <c r="X934" i="11"/>
  <c r="AE934" i="11"/>
  <c r="L934" i="11"/>
  <c r="AE933" i="11"/>
  <c r="V933" i="11"/>
  <c r="X933" i="11"/>
  <c r="AE932" i="11"/>
  <c r="V932" i="11"/>
  <c r="R932" i="11"/>
  <c r="O931" i="11"/>
  <c r="N931" i="11"/>
  <c r="AE931" i="11"/>
  <c r="R931" i="11"/>
  <c r="L931" i="11"/>
  <c r="AE930" i="11"/>
  <c r="X930" i="11"/>
  <c r="V930" i="11"/>
  <c r="R930" i="11"/>
  <c r="N929" i="11"/>
  <c r="L929" i="11"/>
  <c r="O929" i="11"/>
  <c r="N928" i="11"/>
  <c r="O928" i="11"/>
  <c r="R928" i="11"/>
  <c r="L928" i="11"/>
  <c r="L926" i="11"/>
  <c r="AE926" i="11"/>
  <c r="O926" i="11"/>
  <c r="N926" i="11"/>
  <c r="X925" i="11"/>
  <c r="V925" i="11"/>
  <c r="L925" i="11"/>
  <c r="AE925" i="11"/>
  <c r="AE924" i="11"/>
  <c r="X924" i="11"/>
  <c r="R924" i="11"/>
  <c r="V924" i="11"/>
  <c r="L924" i="11"/>
  <c r="V923" i="11"/>
  <c r="AE923" i="11"/>
  <c r="X923" i="11"/>
  <c r="R922" i="11"/>
  <c r="L922" i="11"/>
  <c r="AE922" i="11"/>
  <c r="X922" i="11"/>
  <c r="V922" i="11"/>
  <c r="O921" i="11"/>
  <c r="N921" i="11"/>
  <c r="V920" i="11"/>
  <c r="AE920" i="11"/>
  <c r="X920" i="11"/>
  <c r="R920" i="11"/>
  <c r="N918" i="11"/>
  <c r="O918" i="11"/>
  <c r="X918" i="11"/>
  <c r="L918" i="11"/>
  <c r="AE918" i="11"/>
  <c r="N917" i="11"/>
  <c r="O917" i="11"/>
  <c r="X917" i="11"/>
  <c r="V917" i="11"/>
  <c r="AE917" i="11"/>
  <c r="R917" i="11"/>
  <c r="L917" i="11"/>
  <c r="O916" i="11"/>
  <c r="N916" i="11"/>
  <c r="X916" i="11"/>
  <c r="AE916" i="11"/>
  <c r="V916" i="11"/>
  <c r="R916" i="11"/>
  <c r="L916" i="11"/>
  <c r="N915" i="11"/>
  <c r="O915" i="11"/>
  <c r="L915" i="11"/>
  <c r="AE915" i="11"/>
  <c r="X915" i="11"/>
  <c r="V915" i="11"/>
  <c r="R915" i="11"/>
  <c r="AE914" i="11"/>
  <c r="X914" i="11"/>
  <c r="AE913" i="11"/>
  <c r="V913" i="11"/>
  <c r="X913" i="11"/>
  <c r="AE912" i="11"/>
  <c r="X912" i="11"/>
  <c r="V912" i="11"/>
  <c r="V911" i="11"/>
  <c r="R911" i="11"/>
  <c r="L911" i="11"/>
  <c r="X911" i="11"/>
  <c r="AE911" i="11"/>
  <c r="N911" i="11"/>
  <c r="O911" i="11"/>
  <c r="AE910" i="11"/>
  <c r="R910" i="11"/>
  <c r="V910" i="11"/>
  <c r="X910" i="11"/>
  <c r="L910" i="11"/>
  <c r="AE909" i="11"/>
  <c r="V909" i="11"/>
  <c r="X909" i="11"/>
  <c r="V908" i="11"/>
  <c r="X908" i="11"/>
  <c r="R908" i="11"/>
  <c r="N908" i="11"/>
  <c r="O908" i="11"/>
  <c r="N907" i="11"/>
  <c r="O907" i="11"/>
  <c r="R907" i="11"/>
  <c r="V907" i="11"/>
  <c r="X907" i="11"/>
  <c r="O906" i="11"/>
  <c r="N906" i="11"/>
  <c r="V906" i="11"/>
  <c r="X906" i="11"/>
  <c r="L906" i="11"/>
  <c r="R906" i="11"/>
  <c r="AE906" i="11"/>
  <c r="V905" i="11"/>
  <c r="X905" i="11"/>
  <c r="L905" i="11"/>
  <c r="AE905" i="11"/>
  <c r="R904" i="11"/>
  <c r="L904" i="11"/>
  <c r="N903" i="11"/>
  <c r="O903" i="11"/>
  <c r="AE903" i="11"/>
  <c r="X903" i="11"/>
  <c r="L903" i="11"/>
  <c r="R903" i="11"/>
  <c r="V903" i="11"/>
  <c r="N902" i="11"/>
  <c r="O902" i="11"/>
  <c r="X902" i="11"/>
  <c r="V902" i="11"/>
  <c r="L902" i="11"/>
  <c r="R902" i="11"/>
  <c r="AE902" i="11"/>
  <c r="O901" i="11"/>
  <c r="N901" i="11"/>
  <c r="L901" i="11"/>
  <c r="AE901" i="11"/>
  <c r="X901" i="11"/>
  <c r="V901" i="11"/>
  <c r="R901" i="11"/>
  <c r="N900" i="11"/>
  <c r="O900" i="11"/>
  <c r="X900" i="11"/>
  <c r="AE900" i="11"/>
  <c r="L900" i="11"/>
  <c r="R900" i="11"/>
  <c r="V900" i="11"/>
  <c r="O898" i="11"/>
  <c r="N898" i="11"/>
  <c r="V898" i="11"/>
  <c r="AE898" i="11"/>
  <c r="X898" i="11"/>
  <c r="R898" i="11"/>
  <c r="L898" i="11"/>
  <c r="AE897" i="11"/>
  <c r="X897" i="11"/>
  <c r="V897" i="11"/>
  <c r="N896" i="11"/>
  <c r="O896" i="11"/>
  <c r="AE896" i="11"/>
  <c r="R896" i="11"/>
  <c r="L896" i="11"/>
  <c r="AE895" i="11"/>
  <c r="L895" i="11"/>
  <c r="O894" i="11"/>
  <c r="N894" i="11"/>
  <c r="R894" i="11"/>
  <c r="L894" i="11"/>
  <c r="R893" i="11"/>
  <c r="L893" i="11"/>
  <c r="X893" i="11"/>
  <c r="V893" i="11"/>
  <c r="AE893" i="11"/>
  <c r="V892" i="11"/>
  <c r="X892" i="11"/>
  <c r="AE892" i="11"/>
  <c r="N891" i="11"/>
  <c r="O891" i="11"/>
  <c r="O890" i="11"/>
  <c r="N890" i="11"/>
  <c r="AE890" i="11"/>
  <c r="V890" i="11"/>
  <c r="X890" i="11"/>
  <c r="R890" i="11"/>
  <c r="L890" i="11"/>
  <c r="N889" i="11"/>
  <c r="O889" i="11"/>
  <c r="X889" i="11"/>
  <c r="AE889" i="11"/>
  <c r="L889" i="11"/>
  <c r="R889" i="11"/>
  <c r="V889" i="11"/>
  <c r="O888" i="11"/>
  <c r="N888" i="11"/>
  <c r="R888" i="11"/>
  <c r="L888" i="11"/>
  <c r="V888" i="11"/>
  <c r="X888" i="11"/>
  <c r="AE888" i="11"/>
  <c r="O887" i="11"/>
  <c r="N887" i="11"/>
  <c r="V887" i="11"/>
  <c r="X887" i="11"/>
  <c r="L887" i="11"/>
  <c r="R887" i="11"/>
  <c r="AE887" i="11"/>
  <c r="N886" i="11"/>
  <c r="O886" i="11"/>
  <c r="L886" i="11"/>
  <c r="R886" i="11"/>
  <c r="V886" i="11"/>
  <c r="X886" i="11"/>
  <c r="AE886" i="11"/>
  <c r="O885" i="11"/>
  <c r="N885" i="11"/>
  <c r="AE885" i="11"/>
  <c r="L885" i="11"/>
  <c r="X885" i="11"/>
  <c r="V885" i="11"/>
  <c r="R885" i="11"/>
  <c r="O884" i="11"/>
  <c r="N884" i="11"/>
  <c r="AE884" i="11"/>
  <c r="V884" i="11"/>
  <c r="X884" i="11"/>
  <c r="R884" i="11"/>
  <c r="L884" i="11"/>
  <c r="O883" i="11"/>
  <c r="N883" i="11"/>
  <c r="AE883" i="11"/>
  <c r="X883" i="11"/>
  <c r="V883" i="11"/>
  <c r="L883" i="11"/>
  <c r="R883" i="11"/>
  <c r="N882" i="11"/>
  <c r="O882" i="11"/>
  <c r="L882" i="11"/>
  <c r="X882" i="11"/>
  <c r="V882" i="11"/>
  <c r="AE882" i="11"/>
  <c r="R882" i="11"/>
  <c r="N881" i="11"/>
  <c r="O881" i="11"/>
  <c r="L881" i="11"/>
  <c r="AE881" i="11"/>
  <c r="X881" i="11"/>
  <c r="V881" i="11"/>
  <c r="R881" i="11"/>
  <c r="O880" i="11"/>
  <c r="N880" i="11"/>
  <c r="L880" i="11"/>
  <c r="R880" i="11"/>
  <c r="V880" i="11"/>
  <c r="X880" i="11"/>
  <c r="AE880" i="11"/>
  <c r="N879" i="11"/>
  <c r="O879" i="11"/>
  <c r="L879" i="11"/>
  <c r="AE879" i="11"/>
  <c r="R879" i="11"/>
  <c r="X879" i="11"/>
  <c r="V879" i="11"/>
  <c r="X878" i="11"/>
  <c r="AE878" i="11"/>
  <c r="O878" i="11"/>
  <c r="N878" i="11"/>
  <c r="O877" i="11"/>
  <c r="N877" i="11"/>
  <c r="L877" i="11"/>
  <c r="R877" i="11"/>
  <c r="AE876" i="11"/>
  <c r="R876" i="11"/>
  <c r="L876" i="11"/>
  <c r="N875" i="11"/>
  <c r="O875" i="11"/>
  <c r="X875" i="11"/>
  <c r="V875" i="11"/>
  <c r="AE875" i="11"/>
  <c r="R875" i="11"/>
  <c r="L875" i="11"/>
  <c r="AE873" i="11"/>
  <c r="V873" i="11"/>
  <c r="L873" i="11"/>
  <c r="R873" i="11"/>
  <c r="X873" i="11"/>
  <c r="V872" i="11"/>
  <c r="AE872" i="11"/>
  <c r="X872" i="11"/>
  <c r="O871" i="11"/>
  <c r="N871" i="11"/>
  <c r="L871" i="11"/>
  <c r="R871" i="11"/>
  <c r="V871" i="11"/>
  <c r="AE870" i="11"/>
  <c r="X870" i="11"/>
  <c r="N869" i="11"/>
  <c r="O869" i="11"/>
  <c r="L869" i="11"/>
  <c r="R869" i="11"/>
  <c r="V869" i="11"/>
  <c r="AE869" i="11"/>
  <c r="X869" i="11"/>
  <c r="X868" i="11"/>
  <c r="AE868" i="11"/>
  <c r="V868" i="11"/>
  <c r="O867" i="11"/>
  <c r="N867" i="11"/>
  <c r="R867" i="11"/>
  <c r="L867" i="11"/>
  <c r="X866" i="11"/>
  <c r="L866" i="11"/>
  <c r="AE866" i="11"/>
  <c r="V866" i="11"/>
  <c r="N866" i="11"/>
  <c r="O866" i="11"/>
  <c r="AE865" i="11"/>
  <c r="V865" i="11"/>
  <c r="X865" i="11"/>
  <c r="N864" i="11"/>
  <c r="O864" i="11"/>
  <c r="R864" i="11"/>
  <c r="L864" i="11"/>
  <c r="R862" i="11"/>
  <c r="L862" i="11"/>
  <c r="O862" i="11"/>
  <c r="N862" i="11"/>
  <c r="O861" i="11"/>
  <c r="N861" i="11"/>
  <c r="R861" i="11"/>
  <c r="L861" i="11"/>
  <c r="L860" i="11"/>
  <c r="AE860" i="11"/>
  <c r="V859" i="11"/>
  <c r="X859" i="11"/>
  <c r="AE859" i="11"/>
  <c r="AE858" i="11"/>
  <c r="X858" i="11"/>
  <c r="V858" i="11"/>
  <c r="R858" i="11"/>
  <c r="L858" i="11"/>
  <c r="N856" i="11"/>
  <c r="O856" i="11"/>
  <c r="AE856" i="11"/>
  <c r="L856" i="11"/>
  <c r="V855" i="11"/>
  <c r="AE855" i="11"/>
  <c r="X855" i="11"/>
  <c r="O854" i="11"/>
  <c r="N854" i="11"/>
  <c r="V854" i="11"/>
  <c r="X854" i="11"/>
  <c r="R854" i="11"/>
  <c r="L854" i="11"/>
  <c r="V853" i="11"/>
  <c r="X853" i="11"/>
  <c r="AE853" i="11"/>
  <c r="N852" i="11"/>
  <c r="O852" i="11"/>
  <c r="X852" i="11"/>
  <c r="L852" i="11"/>
  <c r="R852" i="11"/>
  <c r="V852" i="11"/>
  <c r="V851" i="11"/>
  <c r="X851" i="11"/>
  <c r="AE851" i="11"/>
  <c r="L850" i="11"/>
  <c r="AE850" i="11"/>
  <c r="N849" i="11"/>
  <c r="O849" i="11"/>
  <c r="AE849" i="11"/>
  <c r="L849" i="11"/>
  <c r="R849" i="11"/>
  <c r="AE848" i="11"/>
  <c r="X848" i="11"/>
  <c r="V848" i="11"/>
  <c r="V847" i="11"/>
  <c r="X847" i="11"/>
  <c r="X846" i="11"/>
  <c r="R846" i="11"/>
  <c r="AE846" i="11"/>
  <c r="V846" i="11"/>
  <c r="N845" i="11"/>
  <c r="O845" i="11"/>
  <c r="V845" i="11"/>
  <c r="X845" i="11"/>
  <c r="R845" i="11"/>
  <c r="AE845" i="11"/>
  <c r="L845" i="11"/>
  <c r="O844" i="11"/>
  <c r="N844" i="11"/>
  <c r="X844" i="11"/>
  <c r="V844" i="11"/>
  <c r="R844" i="11"/>
  <c r="O843" i="11"/>
  <c r="N843" i="11"/>
  <c r="R843" i="11"/>
  <c r="L843" i="11"/>
  <c r="L841" i="11"/>
  <c r="R841" i="11"/>
  <c r="V841" i="11"/>
  <c r="X841" i="11"/>
  <c r="O840" i="11"/>
  <c r="N840" i="11"/>
  <c r="AE840" i="11"/>
  <c r="V840" i="11"/>
  <c r="R840" i="11"/>
  <c r="V839" i="11"/>
  <c r="AE839" i="11"/>
  <c r="X839" i="11"/>
  <c r="N838" i="11"/>
  <c r="O838" i="11"/>
  <c r="L838" i="11"/>
  <c r="R838" i="11"/>
  <c r="V838" i="11"/>
  <c r="X838" i="11"/>
  <c r="AE838" i="11"/>
  <c r="O837" i="11"/>
  <c r="N837" i="11"/>
  <c r="L837" i="11"/>
  <c r="X837" i="11"/>
  <c r="V837" i="11"/>
  <c r="R837" i="11"/>
  <c r="AE837" i="11"/>
  <c r="AE836" i="11"/>
  <c r="X836" i="11"/>
  <c r="O835" i="11"/>
  <c r="N835" i="11"/>
  <c r="R835" i="11"/>
  <c r="X835" i="11"/>
  <c r="AE835" i="11"/>
  <c r="V835" i="11"/>
  <c r="L835" i="11"/>
  <c r="R834" i="11"/>
  <c r="L834" i="11"/>
  <c r="V834" i="11"/>
  <c r="N833" i="11"/>
  <c r="O833" i="11"/>
  <c r="R833" i="11"/>
  <c r="L833" i="11"/>
  <c r="AE833" i="11"/>
  <c r="X833" i="11"/>
  <c r="V833" i="11"/>
  <c r="L832" i="11"/>
  <c r="R832" i="11"/>
  <c r="AE832" i="11"/>
  <c r="V832" i="11"/>
  <c r="X832" i="11"/>
  <c r="N830" i="11"/>
  <c r="O830" i="11"/>
  <c r="N829" i="11"/>
  <c r="O829" i="11"/>
  <c r="L829" i="11"/>
  <c r="R829" i="11"/>
  <c r="V829" i="11"/>
  <c r="X829" i="11"/>
  <c r="X828" i="11"/>
  <c r="L828" i="11"/>
  <c r="V828" i="11"/>
  <c r="AE828" i="11"/>
  <c r="R828" i="11"/>
  <c r="X826" i="11"/>
  <c r="AE826" i="11"/>
  <c r="R826" i="11"/>
  <c r="V826" i="11"/>
  <c r="R824" i="11"/>
  <c r="AE824" i="11"/>
  <c r="V823" i="11"/>
  <c r="X823" i="11"/>
  <c r="R823" i="11"/>
  <c r="L823" i="11"/>
  <c r="AE823" i="11"/>
  <c r="AE822" i="11"/>
  <c r="L822" i="11"/>
  <c r="O822" i="11"/>
  <c r="N822" i="11"/>
  <c r="V821" i="11"/>
  <c r="R821" i="11"/>
  <c r="X821" i="11"/>
  <c r="R820" i="11"/>
  <c r="AE820" i="11"/>
  <c r="X820" i="11"/>
  <c r="V820" i="11"/>
  <c r="V817" i="11"/>
  <c r="X817" i="11"/>
  <c r="L817" i="11"/>
  <c r="N817" i="11"/>
  <c r="O817" i="11"/>
  <c r="O816" i="11"/>
  <c r="N816" i="11"/>
  <c r="R816" i="11"/>
  <c r="L816" i="11"/>
  <c r="L815" i="11"/>
  <c r="AE815" i="11"/>
  <c r="N814" i="11"/>
  <c r="O814" i="11"/>
  <c r="AE814" i="11"/>
  <c r="X814" i="11"/>
  <c r="R814" i="11"/>
  <c r="L814" i="11"/>
  <c r="V814" i="11"/>
  <c r="O813" i="11"/>
  <c r="N813" i="11"/>
  <c r="L813" i="11"/>
  <c r="R813" i="11"/>
  <c r="O812" i="11"/>
  <c r="N812" i="11"/>
  <c r="L812" i="11"/>
  <c r="R812" i="11"/>
  <c r="V812" i="11"/>
  <c r="X811" i="11"/>
  <c r="AE811" i="11"/>
  <c r="X810" i="11"/>
  <c r="V810" i="11"/>
  <c r="L809" i="11"/>
  <c r="V809" i="11"/>
  <c r="R809" i="11"/>
  <c r="X809" i="11"/>
  <c r="AE809" i="11"/>
  <c r="V808" i="11"/>
  <c r="AE808" i="11"/>
  <c r="N807" i="11"/>
  <c r="O807" i="11"/>
  <c r="L807" i="11"/>
  <c r="X807" i="11"/>
  <c r="AE807" i="11"/>
  <c r="R807" i="11"/>
  <c r="AE805" i="11"/>
  <c r="X805" i="11"/>
  <c r="V805" i="11"/>
  <c r="O804" i="11"/>
  <c r="N804" i="11"/>
  <c r="L804" i="11"/>
  <c r="V804" i="11"/>
  <c r="R804" i="11"/>
  <c r="AE803" i="11"/>
  <c r="X803" i="11"/>
  <c r="L803" i="11"/>
  <c r="R803" i="11"/>
  <c r="V803" i="11"/>
  <c r="X802" i="11"/>
  <c r="V802" i="11"/>
  <c r="L802" i="11"/>
  <c r="R802" i="11"/>
  <c r="N802" i="11"/>
  <c r="O802" i="11"/>
  <c r="R798" i="11"/>
  <c r="AE798" i="11"/>
  <c r="L798" i="11"/>
  <c r="V798" i="11"/>
  <c r="X798" i="11"/>
  <c r="N798" i="11"/>
  <c r="O798" i="11"/>
  <c r="R797" i="11"/>
  <c r="X797" i="11"/>
  <c r="L797" i="11"/>
  <c r="V797" i="11"/>
  <c r="AE797" i="11"/>
  <c r="O796" i="11"/>
  <c r="N796" i="11"/>
  <c r="R796" i="11"/>
  <c r="L796" i="11"/>
  <c r="AE795" i="11"/>
  <c r="X795" i="11"/>
  <c r="V795" i="11"/>
  <c r="X794" i="11"/>
  <c r="V794" i="11"/>
  <c r="AE794" i="11"/>
  <c r="R793" i="11"/>
  <c r="V793" i="11"/>
  <c r="X793" i="11"/>
  <c r="AE793" i="11"/>
  <c r="AE792" i="11"/>
  <c r="R792" i="11"/>
  <c r="L792" i="11"/>
  <c r="X792" i="11"/>
  <c r="V792" i="11"/>
  <c r="N791" i="11"/>
  <c r="O791" i="11"/>
  <c r="L791" i="11"/>
  <c r="AE791" i="11"/>
  <c r="V791" i="11"/>
  <c r="X791" i="11"/>
  <c r="R790" i="11"/>
  <c r="V790" i="11"/>
  <c r="X790" i="11"/>
  <c r="AE790" i="11"/>
  <c r="N789" i="11"/>
  <c r="O789" i="11"/>
  <c r="R789" i="11"/>
  <c r="AE789" i="11"/>
  <c r="L789" i="11"/>
  <c r="V788" i="11"/>
  <c r="R788" i="11"/>
  <c r="O788" i="11"/>
  <c r="N788" i="11"/>
  <c r="AE786" i="11"/>
  <c r="V786" i="11"/>
  <c r="X786" i="11"/>
  <c r="R785" i="11"/>
  <c r="V785" i="11"/>
  <c r="AE785" i="11"/>
  <c r="L784" i="11"/>
  <c r="R784" i="11"/>
  <c r="N784" i="11"/>
  <c r="O784" i="11"/>
  <c r="AE783" i="11"/>
  <c r="X783" i="11"/>
  <c r="V783" i="11"/>
  <c r="L783" i="11"/>
  <c r="O781" i="11"/>
  <c r="N781" i="11"/>
  <c r="L781" i="11"/>
  <c r="AE781" i="11"/>
  <c r="X781" i="11"/>
  <c r="V781" i="11"/>
  <c r="R781" i="11"/>
  <c r="AE780" i="11"/>
  <c r="X780" i="11"/>
  <c r="V780" i="11"/>
  <c r="R780" i="11"/>
  <c r="X779" i="11"/>
  <c r="AE779" i="11"/>
  <c r="V779" i="11"/>
  <c r="O777" i="11"/>
  <c r="N777" i="11"/>
  <c r="R777" i="11"/>
  <c r="L777" i="11"/>
  <c r="AE776" i="11"/>
  <c r="X776" i="11"/>
  <c r="V776" i="11"/>
  <c r="O775" i="11"/>
  <c r="N775" i="11"/>
  <c r="V775" i="11"/>
  <c r="L775" i="11"/>
  <c r="R775" i="11"/>
  <c r="X775" i="11"/>
  <c r="AE775" i="11"/>
  <c r="O774" i="11"/>
  <c r="N774" i="11"/>
  <c r="L774" i="11"/>
  <c r="R774" i="11"/>
  <c r="V774" i="11"/>
  <c r="X774" i="11"/>
  <c r="AE774" i="11"/>
  <c r="AE772" i="11"/>
  <c r="X772" i="11"/>
  <c r="V772" i="11"/>
  <c r="AE771" i="11"/>
  <c r="X771" i="11"/>
  <c r="V771" i="11"/>
  <c r="N771" i="11"/>
  <c r="L771" i="11"/>
  <c r="O771" i="11"/>
  <c r="R769" i="11"/>
  <c r="L769" i="11"/>
  <c r="R768" i="11"/>
  <c r="X768" i="11"/>
  <c r="V768" i="11"/>
  <c r="AE768" i="11"/>
  <c r="L768" i="11"/>
  <c r="N767" i="11"/>
  <c r="O767" i="11"/>
  <c r="V766" i="11"/>
  <c r="AE766" i="11"/>
  <c r="X766" i="11"/>
  <c r="R766" i="11"/>
  <c r="N764" i="11"/>
  <c r="O764" i="11"/>
  <c r="R764" i="11"/>
  <c r="V764" i="11"/>
  <c r="X764" i="11"/>
  <c r="AE764" i="11"/>
  <c r="L764" i="11"/>
  <c r="O763" i="11"/>
  <c r="N763" i="11"/>
  <c r="L763" i="11"/>
  <c r="R763" i="11"/>
  <c r="V762" i="11"/>
  <c r="X762" i="11"/>
  <c r="AE762" i="11"/>
  <c r="L761" i="11"/>
  <c r="R761" i="11"/>
  <c r="O761" i="11"/>
  <c r="N761" i="11"/>
  <c r="N759" i="11"/>
  <c r="O759" i="11"/>
  <c r="L759" i="11"/>
  <c r="R759" i="11"/>
  <c r="AE759" i="11"/>
  <c r="V759" i="11"/>
  <c r="X759" i="11"/>
  <c r="X758" i="11"/>
  <c r="V758" i="11"/>
  <c r="AE758" i="11"/>
  <c r="O757" i="11"/>
  <c r="N757" i="11"/>
  <c r="O756" i="11"/>
  <c r="N756" i="11"/>
  <c r="V756" i="11"/>
  <c r="AE756" i="11"/>
  <c r="R756" i="11"/>
  <c r="L756" i="11"/>
  <c r="X756" i="11"/>
  <c r="O755" i="11"/>
  <c r="N755" i="11"/>
  <c r="L755" i="11"/>
  <c r="R755" i="11"/>
  <c r="V754" i="11"/>
  <c r="X754" i="11"/>
  <c r="AE754" i="11"/>
  <c r="O753" i="11"/>
  <c r="N753" i="11"/>
  <c r="R753" i="11"/>
  <c r="AE753" i="11"/>
  <c r="V753" i="11"/>
  <c r="X753" i="11"/>
  <c r="L753" i="11"/>
  <c r="L752" i="11"/>
  <c r="R752" i="11"/>
  <c r="AE752" i="11"/>
  <c r="X752" i="11"/>
  <c r="V752" i="11"/>
  <c r="N752" i="11"/>
  <c r="O752" i="11"/>
  <c r="AE750" i="11"/>
  <c r="L750" i="11"/>
  <c r="V750" i="11"/>
  <c r="R750" i="11"/>
  <c r="X750" i="11"/>
  <c r="O750" i="11"/>
  <c r="N750" i="11"/>
  <c r="N749" i="11"/>
  <c r="O749" i="11"/>
  <c r="AE749" i="11"/>
  <c r="L749" i="11"/>
  <c r="R749" i="11"/>
  <c r="V749" i="11"/>
  <c r="X749" i="11"/>
  <c r="O748" i="11"/>
  <c r="N748" i="11"/>
  <c r="L748" i="11"/>
  <c r="R748" i="11"/>
  <c r="V748" i="11"/>
  <c r="X748" i="11"/>
  <c r="AE748" i="11"/>
  <c r="N747" i="11"/>
  <c r="O747" i="11"/>
  <c r="L747" i="11"/>
  <c r="R747" i="11"/>
  <c r="V747" i="11"/>
  <c r="X747" i="11"/>
  <c r="AE747" i="11"/>
  <c r="N746" i="11"/>
  <c r="O746" i="11"/>
  <c r="R746" i="11"/>
  <c r="L746" i="11"/>
  <c r="V746" i="11"/>
  <c r="AE746" i="11"/>
  <c r="X746" i="11"/>
  <c r="O745" i="11"/>
  <c r="N745" i="11"/>
  <c r="X745" i="11"/>
  <c r="V745" i="11"/>
  <c r="R745" i="11"/>
  <c r="L745" i="11"/>
  <c r="AE745" i="11"/>
  <c r="O744" i="11"/>
  <c r="N744" i="11"/>
  <c r="AE744" i="11"/>
  <c r="X744" i="11"/>
  <c r="V744" i="11"/>
  <c r="R744" i="11"/>
  <c r="L744" i="11"/>
  <c r="O743" i="11"/>
  <c r="N743" i="11"/>
  <c r="AE743" i="11"/>
  <c r="X743" i="11"/>
  <c r="V743" i="11"/>
  <c r="R743" i="11"/>
  <c r="L743" i="11"/>
  <c r="N742" i="11"/>
  <c r="O742" i="11"/>
  <c r="X742" i="11"/>
  <c r="V742" i="11"/>
  <c r="AE742" i="11"/>
  <c r="L742" i="11"/>
  <c r="R742" i="11"/>
  <c r="N741" i="11"/>
  <c r="O741" i="11"/>
  <c r="L741" i="11"/>
  <c r="X741" i="11"/>
  <c r="V741" i="11"/>
  <c r="R741" i="11"/>
  <c r="AE741" i="11"/>
  <c r="O740" i="11"/>
  <c r="N740" i="11"/>
  <c r="AE740" i="11"/>
  <c r="V740" i="11"/>
  <c r="R740" i="11"/>
  <c r="X740" i="11"/>
  <c r="L740" i="11"/>
  <c r="N739" i="11"/>
  <c r="O739" i="11"/>
  <c r="X739" i="11"/>
  <c r="R739" i="11"/>
  <c r="L739" i="11"/>
  <c r="AE739" i="11"/>
  <c r="V739" i="11"/>
  <c r="O738" i="11"/>
  <c r="N738" i="11"/>
  <c r="L738" i="11"/>
  <c r="R738" i="11"/>
  <c r="AE738" i="11"/>
  <c r="X738" i="11"/>
  <c r="V738" i="11"/>
  <c r="N737" i="11"/>
  <c r="O737" i="11"/>
  <c r="L737" i="11"/>
  <c r="AE737" i="11"/>
  <c r="X737" i="11"/>
  <c r="R737" i="11"/>
  <c r="V737" i="11"/>
  <c r="O736" i="11"/>
  <c r="N736" i="11"/>
  <c r="R736" i="11"/>
  <c r="AE736" i="11"/>
  <c r="L736" i="11"/>
  <c r="V736" i="11"/>
  <c r="X736" i="11"/>
  <c r="N735" i="11"/>
  <c r="O735" i="11"/>
  <c r="R735" i="11"/>
  <c r="L735" i="11"/>
  <c r="AE735" i="11"/>
  <c r="V735" i="11"/>
  <c r="X735" i="11"/>
  <c r="N734" i="11"/>
  <c r="O734" i="11"/>
  <c r="AE734" i="11"/>
  <c r="X734" i="11"/>
  <c r="V734" i="11"/>
  <c r="L734" i="11"/>
  <c r="R734" i="11"/>
  <c r="O733" i="11"/>
  <c r="N733" i="11"/>
  <c r="R733" i="11"/>
  <c r="V733" i="11"/>
  <c r="X733" i="11"/>
  <c r="L733" i="11"/>
  <c r="AE733" i="11"/>
  <c r="O732" i="11"/>
  <c r="N732" i="11"/>
  <c r="X732" i="11"/>
  <c r="L732" i="11"/>
  <c r="AE732" i="11"/>
  <c r="R732" i="11"/>
  <c r="V732" i="11"/>
  <c r="O731" i="11"/>
  <c r="N731" i="11"/>
  <c r="R731" i="11"/>
  <c r="V731" i="11"/>
  <c r="X731" i="11"/>
  <c r="AE731" i="11"/>
  <c r="L731" i="11"/>
  <c r="N730" i="11"/>
  <c r="O730" i="11"/>
  <c r="L730" i="11"/>
  <c r="R730" i="11"/>
  <c r="V730" i="11"/>
  <c r="X730" i="11"/>
  <c r="AE730" i="11"/>
  <c r="N729" i="11"/>
  <c r="O729" i="11"/>
  <c r="L729" i="11"/>
  <c r="R729" i="11"/>
  <c r="V729" i="11"/>
  <c r="X729" i="11"/>
  <c r="AE729" i="11"/>
  <c r="N728" i="11"/>
  <c r="O728" i="11"/>
  <c r="AE728" i="11"/>
  <c r="L728" i="11"/>
  <c r="R728" i="11"/>
  <c r="V728" i="11"/>
  <c r="X728" i="11"/>
  <c r="N727" i="11"/>
  <c r="O727" i="11"/>
  <c r="V727" i="11"/>
  <c r="X727" i="11"/>
  <c r="AE727" i="11"/>
  <c r="L727" i="11"/>
  <c r="R727" i="11"/>
  <c r="N726" i="11"/>
  <c r="O726" i="11"/>
  <c r="AE726" i="11"/>
  <c r="R726" i="11"/>
  <c r="L726" i="11"/>
  <c r="X726" i="11"/>
  <c r="V726" i="11"/>
  <c r="N725" i="11"/>
  <c r="O725" i="11"/>
  <c r="L725" i="11"/>
  <c r="R725" i="11"/>
  <c r="V725" i="11"/>
  <c r="X725" i="11"/>
  <c r="AE725" i="11"/>
  <c r="N724" i="11"/>
  <c r="O724" i="11"/>
  <c r="L724" i="11"/>
  <c r="V724" i="11"/>
  <c r="W724" i="11" s="1"/>
  <c r="R724" i="11"/>
  <c r="AE724" i="11"/>
  <c r="X724" i="11"/>
  <c r="Y724" i="11" s="1"/>
  <c r="O723" i="11"/>
  <c r="N723" i="11"/>
  <c r="X723" i="11"/>
  <c r="V723" i="11"/>
  <c r="W723" i="11" s="1"/>
  <c r="L723" i="11"/>
  <c r="R723" i="11"/>
  <c r="AE723" i="11"/>
  <c r="O722" i="11"/>
  <c r="N722" i="11"/>
  <c r="L722" i="11"/>
  <c r="V722" i="11"/>
  <c r="W722" i="11" s="1"/>
  <c r="X722" i="11"/>
  <c r="AE722" i="11"/>
  <c r="R722" i="11"/>
  <c r="O721" i="11"/>
  <c r="N721" i="11"/>
  <c r="R721" i="11"/>
  <c r="L721" i="11"/>
  <c r="AE721" i="11"/>
  <c r="X721" i="11"/>
  <c r="V721" i="11"/>
  <c r="W721" i="11" s="1"/>
  <c r="O720" i="11"/>
  <c r="N720" i="11"/>
  <c r="V720" i="11"/>
  <c r="W720" i="11" s="1"/>
  <c r="R720" i="11"/>
  <c r="L720" i="11"/>
  <c r="AE720" i="11"/>
  <c r="X720" i="11"/>
  <c r="Y720" i="11" s="1"/>
  <c r="N719" i="11"/>
  <c r="O719" i="11"/>
  <c r="V719" i="11"/>
  <c r="W719" i="11" s="1"/>
  <c r="R719" i="11"/>
  <c r="L719" i="11"/>
  <c r="AE719" i="11"/>
  <c r="X719" i="11"/>
  <c r="Y719" i="11" s="1"/>
  <c r="N718" i="11"/>
  <c r="O718" i="11"/>
  <c r="L718" i="11"/>
  <c r="R718" i="11"/>
  <c r="V718" i="11"/>
  <c r="W718" i="11" s="1"/>
  <c r="X718" i="11"/>
  <c r="AE718" i="11"/>
  <c r="N717" i="11"/>
  <c r="O717" i="11"/>
  <c r="AE717" i="11"/>
  <c r="V717" i="11"/>
  <c r="W717" i="11" s="1"/>
  <c r="X717" i="11"/>
  <c r="R717" i="11"/>
  <c r="L717" i="11"/>
  <c r="O716" i="11"/>
  <c r="N716" i="11"/>
  <c r="AE716" i="11"/>
  <c r="X716" i="11"/>
  <c r="V716" i="11"/>
  <c r="W716" i="11" s="1"/>
  <c r="R716" i="11"/>
  <c r="L716" i="11"/>
  <c r="O715" i="11"/>
  <c r="N715" i="11"/>
  <c r="R715" i="11"/>
  <c r="V715" i="11"/>
  <c r="W715" i="11" s="1"/>
  <c r="X715" i="11"/>
  <c r="Y715" i="11" s="1"/>
  <c r="AE715" i="11"/>
  <c r="L715" i="11"/>
  <c r="N714" i="11"/>
  <c r="O714" i="11"/>
  <c r="L714" i="11"/>
  <c r="X714" i="11"/>
  <c r="Y714" i="11" s="1"/>
  <c r="V714" i="11"/>
  <c r="W714" i="11" s="1"/>
  <c r="R714" i="11"/>
  <c r="AE714" i="11"/>
  <c r="O713" i="11"/>
  <c r="N713" i="11"/>
  <c r="V713" i="11"/>
  <c r="W713" i="11" s="1"/>
  <c r="R713" i="11"/>
  <c r="L713" i="11"/>
  <c r="X713" i="11"/>
  <c r="Y713" i="11" s="1"/>
  <c r="AE713" i="11"/>
  <c r="O712" i="11"/>
  <c r="N712" i="11"/>
  <c r="R712" i="11"/>
  <c r="AE712" i="11"/>
  <c r="X712" i="11"/>
  <c r="Y712" i="11" s="1"/>
  <c r="L712" i="11"/>
  <c r="V712" i="11"/>
  <c r="W712" i="11" s="1"/>
  <c r="N711" i="11"/>
  <c r="O711" i="11"/>
  <c r="V711" i="11"/>
  <c r="W711" i="11" s="1"/>
  <c r="R711" i="11"/>
  <c r="AE711" i="11"/>
  <c r="L711" i="11"/>
  <c r="X711" i="11"/>
  <c r="O710" i="11"/>
  <c r="N710" i="11"/>
  <c r="X710" i="11"/>
  <c r="V710" i="11"/>
  <c r="W710" i="11" s="1"/>
  <c r="R710" i="11"/>
  <c r="AE710" i="11"/>
  <c r="L710" i="11"/>
  <c r="N709" i="11"/>
  <c r="O709" i="11"/>
  <c r="R709" i="11"/>
  <c r="V709" i="11"/>
  <c r="W709" i="11" s="1"/>
  <c r="AE709" i="11"/>
  <c r="X709" i="11"/>
  <c r="L709" i="11"/>
  <c r="O708" i="11"/>
  <c r="N708" i="11"/>
  <c r="X708" i="11"/>
  <c r="Y708" i="11" s="1"/>
  <c r="V708" i="11"/>
  <c r="W708" i="11" s="1"/>
  <c r="R708" i="11"/>
  <c r="L708" i="11"/>
  <c r="AE708" i="11"/>
  <c r="O707" i="11"/>
  <c r="N707" i="11"/>
  <c r="V707" i="11"/>
  <c r="W707" i="11" s="1"/>
  <c r="X707" i="11"/>
  <c r="Y707" i="11" s="1"/>
  <c r="L707" i="11"/>
  <c r="AE707" i="11"/>
  <c r="R707" i="11"/>
  <c r="N706" i="11"/>
  <c r="O706" i="11"/>
  <c r="L706" i="11"/>
  <c r="AE706" i="11"/>
  <c r="R706" i="11"/>
  <c r="V706" i="11"/>
  <c r="W706" i="11" s="1"/>
  <c r="X706" i="11"/>
  <c r="Y706" i="11" s="1"/>
  <c r="N705" i="11"/>
  <c r="O705" i="11"/>
  <c r="R705" i="11"/>
  <c r="L705" i="11"/>
  <c r="AE705" i="11"/>
  <c r="V705" i="11"/>
  <c r="W705" i="11" s="1"/>
  <c r="X705" i="11"/>
  <c r="Y705" i="11" s="1"/>
  <c r="O704" i="11"/>
  <c r="N704" i="11"/>
  <c r="AE704" i="11"/>
  <c r="V704" i="11"/>
  <c r="W704" i="11" s="1"/>
  <c r="X704" i="11"/>
  <c r="R704" i="11"/>
  <c r="L704" i="11"/>
  <c r="O703" i="11"/>
  <c r="N703" i="11"/>
  <c r="L703" i="11"/>
  <c r="R703" i="11"/>
  <c r="V703" i="11"/>
  <c r="W703" i="11" s="1"/>
  <c r="X703" i="11"/>
  <c r="AE703" i="11"/>
  <c r="O701" i="11"/>
  <c r="N701" i="11"/>
  <c r="L701" i="11"/>
  <c r="R701" i="11"/>
  <c r="N700" i="11"/>
  <c r="O700" i="11"/>
  <c r="R700" i="11"/>
  <c r="X700" i="11"/>
  <c r="V700" i="11"/>
  <c r="W700" i="11" s="1"/>
  <c r="AE700" i="11"/>
  <c r="L700" i="11"/>
  <c r="O699" i="11"/>
  <c r="N699" i="11"/>
  <c r="R699" i="11"/>
  <c r="L699" i="11"/>
  <c r="O698" i="11"/>
  <c r="N698" i="11"/>
  <c r="L698" i="11"/>
  <c r="V698" i="11"/>
  <c r="W698" i="11" s="1"/>
  <c r="R698" i="11"/>
  <c r="R697" i="11"/>
  <c r="X697" i="11"/>
  <c r="Y697" i="11" s="1"/>
  <c r="N697" i="11"/>
  <c r="O697" i="11"/>
  <c r="N696" i="11"/>
  <c r="O696" i="11"/>
  <c r="L696" i="11"/>
  <c r="R696" i="11"/>
  <c r="O695" i="11"/>
  <c r="N695" i="11"/>
  <c r="O694" i="11"/>
  <c r="N694" i="11"/>
  <c r="AE694" i="11"/>
  <c r="X694" i="11"/>
  <c r="Y694" i="11" s="1"/>
  <c r="V694" i="11"/>
  <c r="W694" i="11" s="1"/>
  <c r="R694" i="11"/>
  <c r="L694" i="11"/>
  <c r="N693" i="11"/>
  <c r="O693" i="11"/>
  <c r="R693" i="11"/>
  <c r="L693" i="11"/>
  <c r="AE692" i="11"/>
  <c r="R692" i="11"/>
  <c r="X692" i="11"/>
  <c r="V692" i="11"/>
  <c r="W692" i="11" s="1"/>
  <c r="R691" i="11"/>
  <c r="L691" i="11"/>
  <c r="R690" i="11"/>
  <c r="L690" i="11"/>
  <c r="O690" i="11"/>
  <c r="N690" i="11"/>
  <c r="O689" i="11"/>
  <c r="N689" i="11"/>
  <c r="R689" i="11"/>
  <c r="AE689" i="11"/>
  <c r="L689" i="11"/>
  <c r="X689" i="11"/>
  <c r="Y689" i="11" s="1"/>
  <c r="V689" i="11"/>
  <c r="W689" i="11" s="1"/>
  <c r="N688" i="11"/>
  <c r="O688" i="11"/>
  <c r="R688" i="11"/>
  <c r="V688" i="11"/>
  <c r="W688" i="11" s="1"/>
  <c r="AE688" i="11"/>
  <c r="X688" i="11"/>
  <c r="Y688" i="11" s="1"/>
  <c r="L688" i="11"/>
  <c r="N687" i="11"/>
  <c r="O687" i="11"/>
  <c r="R687" i="11"/>
  <c r="L687" i="11"/>
  <c r="R686" i="11"/>
  <c r="V686" i="11"/>
  <c r="W686" i="11" s="1"/>
  <c r="L686" i="11"/>
  <c r="R685" i="11"/>
  <c r="L685" i="11"/>
  <c r="O685" i="11"/>
  <c r="N685" i="11"/>
  <c r="R684" i="11"/>
  <c r="L684" i="11"/>
  <c r="N683" i="11"/>
  <c r="O683" i="11"/>
  <c r="L683" i="11"/>
  <c r="R683" i="11"/>
  <c r="AE682" i="11"/>
  <c r="L682" i="11"/>
  <c r="O681" i="11"/>
  <c r="N681" i="11"/>
  <c r="L681" i="11"/>
  <c r="AE681" i="11"/>
  <c r="X681" i="11"/>
  <c r="Y681" i="11" s="1"/>
  <c r="R681" i="11"/>
  <c r="V681" i="11"/>
  <c r="W681" i="11" s="1"/>
  <c r="N680" i="11"/>
  <c r="O680" i="11"/>
  <c r="AE680" i="11"/>
  <c r="L680" i="11"/>
  <c r="R680" i="11"/>
  <c r="L679" i="11"/>
  <c r="N679" i="11"/>
  <c r="N677" i="11"/>
  <c r="O677" i="11"/>
  <c r="V677" i="11"/>
  <c r="W677" i="11" s="1"/>
  <c r="AE677" i="11"/>
  <c r="R677" i="11"/>
  <c r="L677" i="11"/>
  <c r="X677" i="11"/>
  <c r="N676" i="11"/>
  <c r="O676" i="11"/>
  <c r="AE676" i="11"/>
  <c r="R676" i="11"/>
  <c r="V676" i="11"/>
  <c r="W676" i="11" s="1"/>
  <c r="X676" i="11"/>
  <c r="Y676" i="11" s="1"/>
  <c r="L676" i="11"/>
  <c r="AE674" i="11"/>
  <c r="L674" i="11"/>
  <c r="O674" i="11"/>
  <c r="N674" i="11"/>
  <c r="O673" i="11"/>
  <c r="L673" i="11"/>
  <c r="N673" i="11"/>
  <c r="AE672" i="11"/>
  <c r="L672" i="11"/>
  <c r="L670" i="11"/>
  <c r="AE670" i="11"/>
  <c r="X670" i="11"/>
  <c r="Y670" i="11" s="1"/>
  <c r="V670" i="11"/>
  <c r="W670" i="11" s="1"/>
  <c r="R670" i="11"/>
  <c r="O670" i="11"/>
  <c r="N670" i="11"/>
  <c r="AE669" i="11"/>
  <c r="L669" i="11"/>
  <c r="AE667" i="11"/>
  <c r="L667" i="11"/>
  <c r="O665" i="11"/>
  <c r="N665" i="11"/>
  <c r="X665" i="11"/>
  <c r="V665" i="11"/>
  <c r="W665" i="11" s="1"/>
  <c r="R665" i="11"/>
  <c r="L665" i="11"/>
  <c r="AE665" i="11"/>
  <c r="V664" i="11"/>
  <c r="X664" i="11"/>
  <c r="AE664" i="11"/>
  <c r="N663" i="11"/>
  <c r="O663" i="11"/>
  <c r="V663" i="11"/>
  <c r="L663" i="11"/>
  <c r="R663" i="11"/>
  <c r="N662" i="11"/>
  <c r="O662" i="11"/>
  <c r="AE661" i="11"/>
  <c r="L661" i="11"/>
  <c r="AE659" i="11"/>
  <c r="V659" i="11"/>
  <c r="R659" i="11"/>
  <c r="X659" i="11"/>
  <c r="L659" i="11"/>
  <c r="O659" i="11"/>
  <c r="N659" i="11"/>
  <c r="AE658" i="11"/>
  <c r="L658" i="11"/>
  <c r="AE657" i="11"/>
  <c r="L657" i="11"/>
  <c r="O657" i="11"/>
  <c r="N657" i="11"/>
  <c r="O656" i="11"/>
  <c r="N656" i="11"/>
  <c r="L656" i="11"/>
  <c r="R656" i="11"/>
  <c r="O655" i="11"/>
  <c r="L655" i="11"/>
  <c r="N655" i="11"/>
  <c r="V654" i="11"/>
  <c r="X654" i="11"/>
  <c r="L654" i="11"/>
  <c r="R654" i="11"/>
  <c r="AE654" i="11"/>
  <c r="N653" i="11"/>
  <c r="O653" i="11"/>
  <c r="L653" i="11"/>
  <c r="R653" i="11"/>
  <c r="AE652" i="11"/>
  <c r="V652" i="11"/>
  <c r="R652" i="11"/>
  <c r="X652" i="11"/>
  <c r="O651" i="11"/>
  <c r="N651" i="11"/>
  <c r="AE651" i="11"/>
  <c r="X651" i="11"/>
  <c r="V651" i="11"/>
  <c r="R651" i="11"/>
  <c r="L651" i="11"/>
  <c r="N649" i="11"/>
  <c r="O649" i="11"/>
  <c r="L649" i="11"/>
  <c r="V649" i="11"/>
  <c r="R649" i="11"/>
  <c r="X649" i="11"/>
  <c r="O648" i="11"/>
  <c r="N648" i="11"/>
  <c r="L648" i="11"/>
  <c r="R648" i="11"/>
  <c r="O647" i="11"/>
  <c r="N647" i="11"/>
  <c r="R647" i="11"/>
  <c r="L647" i="11"/>
  <c r="L646" i="11"/>
  <c r="X646" i="11"/>
  <c r="AE646" i="11"/>
  <c r="N645" i="11"/>
  <c r="O645" i="11"/>
  <c r="X645" i="11"/>
  <c r="V645" i="11"/>
  <c r="R645" i="11"/>
  <c r="L645" i="11"/>
  <c r="AE645" i="11"/>
  <c r="O644" i="11"/>
  <c r="N644" i="11"/>
  <c r="R644" i="11"/>
  <c r="L644" i="11"/>
  <c r="N643" i="11"/>
  <c r="O643" i="11"/>
  <c r="X643" i="11"/>
  <c r="R643" i="11"/>
  <c r="L643" i="11"/>
  <c r="V643" i="11"/>
  <c r="AE643" i="11"/>
  <c r="N641" i="11"/>
  <c r="O641" i="11"/>
  <c r="R641" i="11"/>
  <c r="L641" i="11"/>
  <c r="AE641" i="11"/>
  <c r="V641" i="11"/>
  <c r="X641" i="11"/>
  <c r="V640" i="11"/>
  <c r="AE640" i="11"/>
  <c r="X640" i="11"/>
  <c r="L639" i="11"/>
  <c r="O639" i="11"/>
  <c r="N639" i="11"/>
  <c r="AE638" i="11"/>
  <c r="X638" i="11"/>
  <c r="O638" i="11"/>
  <c r="L638" i="11"/>
  <c r="N638" i="11"/>
  <c r="O637" i="11"/>
  <c r="N637" i="11"/>
  <c r="AE637" i="11"/>
  <c r="L637" i="11"/>
  <c r="N636" i="11"/>
  <c r="O636" i="11"/>
  <c r="AE636" i="11"/>
  <c r="V636" i="11"/>
  <c r="X636" i="11"/>
  <c r="R636" i="11"/>
  <c r="L636" i="11"/>
  <c r="N635" i="11"/>
  <c r="O635" i="11"/>
  <c r="X635" i="11"/>
  <c r="L635" i="11"/>
  <c r="AE635" i="11"/>
  <c r="R635" i="11"/>
  <c r="V635" i="11"/>
  <c r="L634" i="11"/>
  <c r="AE634" i="11"/>
  <c r="O633" i="11"/>
  <c r="N633" i="11"/>
  <c r="R633" i="11"/>
  <c r="L633" i="11"/>
  <c r="O632" i="11"/>
  <c r="N632" i="11"/>
  <c r="O631" i="11"/>
  <c r="N631" i="11"/>
  <c r="X631" i="11"/>
  <c r="V631" i="11"/>
  <c r="R631" i="11"/>
  <c r="AE631" i="11"/>
  <c r="O630" i="11"/>
  <c r="N630" i="11"/>
  <c r="AE630" i="11"/>
  <c r="V630" i="11"/>
  <c r="N629" i="11"/>
  <c r="O629" i="11"/>
  <c r="L629" i="11"/>
  <c r="R629" i="11"/>
  <c r="N628" i="11"/>
  <c r="O628" i="11"/>
  <c r="L628" i="11"/>
  <c r="AE628" i="11"/>
  <c r="R628" i="11"/>
  <c r="N627" i="11"/>
  <c r="O627" i="11"/>
  <c r="AE627" i="11"/>
  <c r="R627" i="11"/>
  <c r="L627" i="11"/>
  <c r="R626" i="11"/>
  <c r="L626" i="11"/>
  <c r="AE625" i="11"/>
  <c r="X625" i="11"/>
  <c r="R625" i="11"/>
  <c r="V625" i="11"/>
  <c r="AE624" i="11"/>
  <c r="V624" i="11"/>
  <c r="X624" i="11"/>
  <c r="N623" i="11"/>
  <c r="O623" i="11"/>
  <c r="X623" i="11"/>
  <c r="V623" i="11"/>
  <c r="R623" i="11"/>
  <c r="AE623" i="11"/>
  <c r="L623" i="11"/>
  <c r="R622" i="11"/>
  <c r="X622" i="11"/>
  <c r="AE622" i="11"/>
  <c r="V621" i="11"/>
  <c r="X621" i="11"/>
  <c r="AE621" i="11"/>
  <c r="R621" i="11"/>
  <c r="L621" i="11"/>
  <c r="O621" i="11"/>
  <c r="N621" i="11"/>
  <c r="V620" i="11"/>
  <c r="R620" i="11"/>
  <c r="AE620" i="11"/>
  <c r="N620" i="11"/>
  <c r="O620" i="11"/>
  <c r="O619" i="11"/>
  <c r="N619" i="11"/>
  <c r="R619" i="11"/>
  <c r="L619" i="11"/>
  <c r="R617" i="11"/>
  <c r="L617" i="11"/>
  <c r="N617" i="11"/>
  <c r="O617" i="11"/>
  <c r="X616" i="11"/>
  <c r="V616" i="11"/>
  <c r="AE616" i="11"/>
  <c r="AE615" i="11"/>
  <c r="L615" i="11"/>
  <c r="N614" i="11"/>
  <c r="O614" i="11"/>
  <c r="R614" i="11"/>
  <c r="L614" i="11"/>
  <c r="O613" i="11"/>
  <c r="N613" i="11"/>
  <c r="R613" i="11"/>
  <c r="L613" i="11"/>
  <c r="AE612" i="11"/>
  <c r="X612" i="11"/>
  <c r="V612" i="11"/>
  <c r="V611" i="11"/>
  <c r="R611" i="11"/>
  <c r="X611" i="11"/>
  <c r="AE611" i="11"/>
  <c r="N610" i="11"/>
  <c r="O610" i="11"/>
  <c r="V610" i="11"/>
  <c r="AE610" i="11"/>
  <c r="R610" i="11"/>
  <c r="L610" i="11"/>
  <c r="O609" i="11"/>
  <c r="N609" i="11"/>
  <c r="R609" i="11"/>
  <c r="AE609" i="11"/>
  <c r="X609" i="11"/>
  <c r="L609" i="11"/>
  <c r="O608" i="11"/>
  <c r="N608" i="11"/>
  <c r="R608" i="11"/>
  <c r="L608" i="11"/>
  <c r="AE608" i="11"/>
  <c r="X608" i="11"/>
  <c r="V608" i="11"/>
  <c r="N607" i="11"/>
  <c r="O607" i="11"/>
  <c r="L607" i="11"/>
  <c r="R607" i="11"/>
  <c r="AE607" i="11"/>
  <c r="O606" i="11"/>
  <c r="N606" i="11"/>
  <c r="R606" i="11"/>
  <c r="L606" i="11"/>
  <c r="AE604" i="11"/>
  <c r="V604" i="11"/>
  <c r="L604" i="11"/>
  <c r="X604" i="11"/>
  <c r="N603" i="11"/>
  <c r="O603" i="11"/>
  <c r="L603" i="11"/>
  <c r="V603" i="11"/>
  <c r="R603" i="11"/>
  <c r="N602" i="11"/>
  <c r="O602" i="11"/>
  <c r="L602" i="11"/>
  <c r="R602" i="11"/>
  <c r="V602" i="11"/>
  <c r="X601" i="11"/>
  <c r="AE601" i="11"/>
  <c r="N600" i="11"/>
  <c r="O600" i="11"/>
  <c r="AE600" i="11"/>
  <c r="L600" i="11"/>
  <c r="R600" i="11"/>
  <c r="N599" i="11"/>
  <c r="O599" i="11"/>
  <c r="L599" i="11"/>
  <c r="AE599" i="11"/>
  <c r="O598" i="11"/>
  <c r="N598" i="11"/>
  <c r="R598" i="11"/>
  <c r="L598" i="11"/>
  <c r="V597" i="11"/>
  <c r="R597" i="11"/>
  <c r="AE597" i="11"/>
  <c r="X597" i="11"/>
  <c r="L597" i="11"/>
  <c r="AE596" i="11"/>
  <c r="L596" i="11"/>
  <c r="X596" i="11"/>
  <c r="V596" i="11"/>
  <c r="V594" i="11"/>
  <c r="AE594" i="11"/>
  <c r="R594" i="11"/>
  <c r="X594" i="11"/>
  <c r="L589" i="11"/>
  <c r="AE589" i="11"/>
  <c r="AE588" i="11"/>
  <c r="R588" i="11"/>
  <c r="V588" i="11"/>
  <c r="X588" i="11"/>
  <c r="V584" i="11"/>
  <c r="AE584" i="11"/>
  <c r="X584" i="11"/>
  <c r="N583" i="11"/>
  <c r="O583" i="11"/>
  <c r="AE583" i="11"/>
  <c r="L583" i="11"/>
  <c r="X583" i="11"/>
  <c r="R583" i="11"/>
  <c r="V583" i="11"/>
  <c r="R582" i="11"/>
  <c r="L582" i="11"/>
  <c r="AE582" i="11"/>
  <c r="V582" i="11"/>
  <c r="X582" i="11"/>
  <c r="O581" i="11"/>
  <c r="N581" i="11"/>
  <c r="AE581" i="11"/>
  <c r="V581" i="11"/>
  <c r="X581" i="11"/>
  <c r="L581" i="11"/>
  <c r="L580" i="11"/>
  <c r="N580" i="11"/>
  <c r="O577" i="11"/>
  <c r="N577" i="11"/>
  <c r="AE577" i="11"/>
  <c r="R577" i="11"/>
  <c r="X577" i="11"/>
  <c r="V577" i="11"/>
  <c r="L577" i="11"/>
  <c r="R576" i="11"/>
  <c r="AE576" i="11"/>
  <c r="X576" i="11"/>
  <c r="V576" i="11"/>
  <c r="L576" i="11"/>
  <c r="N575" i="11"/>
  <c r="O575" i="11"/>
  <c r="R575" i="11"/>
  <c r="L575" i="11"/>
  <c r="N574" i="11"/>
  <c r="O574" i="11"/>
  <c r="AE574" i="11"/>
  <c r="R574" i="11"/>
  <c r="R573" i="11"/>
  <c r="V573" i="11"/>
  <c r="O573" i="11"/>
  <c r="N573" i="11"/>
  <c r="AE572" i="11"/>
  <c r="X572" i="11"/>
  <c r="V572" i="11"/>
  <c r="N571" i="11"/>
  <c r="O571" i="11"/>
  <c r="X571" i="11"/>
  <c r="AE571" i="11"/>
  <c r="R571" i="11"/>
  <c r="V571" i="11"/>
  <c r="L571" i="11"/>
  <c r="X570" i="11"/>
  <c r="AE570" i="11"/>
  <c r="V570" i="11"/>
  <c r="AE569" i="11"/>
  <c r="L569" i="11"/>
  <c r="N568" i="11"/>
  <c r="O568" i="11"/>
  <c r="AE568" i="11"/>
  <c r="L568" i="11"/>
  <c r="N567" i="11"/>
  <c r="O567" i="11"/>
  <c r="L567" i="11"/>
  <c r="R567" i="11"/>
  <c r="O566" i="11"/>
  <c r="N566" i="11"/>
  <c r="X565" i="11"/>
  <c r="AE565" i="11"/>
  <c r="O564" i="11"/>
  <c r="N564" i="11"/>
  <c r="X564" i="11"/>
  <c r="R564" i="11"/>
  <c r="V564" i="11"/>
  <c r="L564" i="11"/>
  <c r="AE564" i="11"/>
  <c r="R563" i="11"/>
  <c r="V563" i="11"/>
  <c r="O563" i="11"/>
  <c r="N563" i="11"/>
  <c r="L561" i="11"/>
  <c r="AE561" i="11"/>
  <c r="O561" i="11"/>
  <c r="N561" i="11"/>
  <c r="AE560" i="11"/>
  <c r="L560" i="11"/>
  <c r="N558" i="11"/>
  <c r="O558" i="11"/>
  <c r="AE558" i="11"/>
  <c r="L558" i="11"/>
  <c r="R558" i="11"/>
  <c r="X558" i="11"/>
  <c r="V558" i="11"/>
  <c r="N557" i="11"/>
  <c r="O557" i="11"/>
  <c r="X557" i="11"/>
  <c r="AE557" i="11"/>
  <c r="R557" i="11"/>
  <c r="V557" i="11"/>
  <c r="L557" i="11"/>
  <c r="O556" i="11"/>
  <c r="N556" i="11"/>
  <c r="L556" i="11"/>
  <c r="AE556" i="11"/>
  <c r="R556" i="11"/>
  <c r="X556" i="11"/>
  <c r="V556" i="11"/>
  <c r="N555" i="11"/>
  <c r="O555" i="11"/>
  <c r="AE555" i="11"/>
  <c r="X555" i="11"/>
  <c r="V555" i="11"/>
  <c r="L555" i="11"/>
  <c r="X554" i="11"/>
  <c r="R554" i="11"/>
  <c r="V554" i="11"/>
  <c r="L554" i="11"/>
  <c r="AE554" i="11"/>
  <c r="AE553" i="11"/>
  <c r="X553" i="11"/>
  <c r="V553" i="11"/>
  <c r="AE552" i="11"/>
  <c r="L552" i="11"/>
  <c r="N552" i="11"/>
  <c r="O552" i="11"/>
  <c r="L551" i="11"/>
  <c r="AE551" i="11"/>
  <c r="O551" i="11"/>
  <c r="N551" i="11"/>
  <c r="L550" i="11"/>
  <c r="AE550" i="11"/>
  <c r="N550" i="11"/>
  <c r="O550" i="11"/>
  <c r="AE549" i="11"/>
  <c r="L549" i="11"/>
  <c r="V549" i="11"/>
  <c r="X549" i="11"/>
  <c r="R549" i="11"/>
  <c r="O549" i="11"/>
  <c r="N549" i="11"/>
  <c r="N548" i="11"/>
  <c r="O548" i="11"/>
  <c r="X548" i="11"/>
  <c r="R548" i="11"/>
  <c r="L548" i="11"/>
  <c r="AE548" i="11"/>
  <c r="V548" i="11"/>
  <c r="O547" i="11"/>
  <c r="N547" i="11"/>
  <c r="R547" i="11"/>
  <c r="AE547" i="11"/>
  <c r="L547" i="11"/>
  <c r="V547" i="11"/>
  <c r="W547" i="11" s="1"/>
  <c r="X547" i="11"/>
  <c r="O546" i="11"/>
  <c r="N546" i="11"/>
  <c r="R546" i="11"/>
  <c r="L546" i="11"/>
  <c r="X546" i="11"/>
  <c r="AE546" i="11"/>
  <c r="V546" i="11"/>
  <c r="W546" i="11" s="1"/>
  <c r="O545" i="11"/>
  <c r="N545" i="11"/>
  <c r="R545" i="11"/>
  <c r="L545" i="11"/>
  <c r="V545" i="11"/>
  <c r="W545" i="11" s="1"/>
  <c r="X545" i="11"/>
  <c r="AE545" i="11"/>
  <c r="N544" i="11"/>
  <c r="O544" i="11"/>
  <c r="L544" i="11"/>
  <c r="R544" i="11"/>
  <c r="V544" i="11"/>
  <c r="W544" i="11" s="1"/>
  <c r="X544" i="11"/>
  <c r="AE544" i="11"/>
  <c r="N543" i="11"/>
  <c r="O543" i="11"/>
  <c r="R543" i="11"/>
  <c r="V543" i="11"/>
  <c r="W543" i="11" s="1"/>
  <c r="AE543" i="11"/>
  <c r="X543" i="11"/>
  <c r="Y543" i="11" s="1"/>
  <c r="L543" i="11"/>
  <c r="N542" i="11"/>
  <c r="O542" i="11"/>
  <c r="AE542" i="11"/>
  <c r="X542" i="11"/>
  <c r="Y542" i="11" s="1"/>
  <c r="V542" i="11"/>
  <c r="W542" i="11" s="1"/>
  <c r="R542" i="11"/>
  <c r="L542" i="11"/>
  <c r="N541" i="11"/>
  <c r="O541" i="11"/>
  <c r="L541" i="11"/>
  <c r="R541" i="11"/>
  <c r="X541" i="11"/>
  <c r="V541" i="11"/>
  <c r="W541" i="11" s="1"/>
  <c r="AE541" i="11"/>
  <c r="N540" i="11"/>
  <c r="O540" i="11"/>
  <c r="R540" i="11"/>
  <c r="V540" i="11"/>
  <c r="W540" i="11" s="1"/>
  <c r="X540" i="11"/>
  <c r="Y540" i="11" s="1"/>
  <c r="L540" i="11"/>
  <c r="AE540" i="11"/>
  <c r="O539" i="11"/>
  <c r="N539" i="11"/>
  <c r="AE539" i="11"/>
  <c r="X539" i="11"/>
  <c r="Y539" i="11" s="1"/>
  <c r="V539" i="11"/>
  <c r="W539" i="11" s="1"/>
  <c r="R539" i="11"/>
  <c r="L539" i="11"/>
  <c r="O538" i="11"/>
  <c r="N538" i="11"/>
  <c r="AE538" i="11"/>
  <c r="X538" i="11"/>
  <c r="V538" i="11"/>
  <c r="W538" i="11" s="1"/>
  <c r="R538" i="11"/>
  <c r="L538" i="11"/>
  <c r="O537" i="11"/>
  <c r="N537" i="11"/>
  <c r="X537" i="11"/>
  <c r="R537" i="11"/>
  <c r="V537" i="11"/>
  <c r="W537" i="11" s="1"/>
  <c r="AE537" i="11"/>
  <c r="L537" i="11"/>
  <c r="O536" i="11"/>
  <c r="N536" i="11"/>
  <c r="AE536" i="11"/>
  <c r="X536" i="11"/>
  <c r="V536" i="11"/>
  <c r="W536" i="11" s="1"/>
  <c r="R536" i="11"/>
  <c r="L536" i="11"/>
  <c r="N535" i="11"/>
  <c r="O535" i="11"/>
  <c r="AE535" i="11"/>
  <c r="R535" i="11"/>
  <c r="V535" i="11"/>
  <c r="W535" i="11" s="1"/>
  <c r="X535" i="11"/>
  <c r="L535" i="11"/>
  <c r="O534" i="11"/>
  <c r="N534" i="11"/>
  <c r="V534" i="11"/>
  <c r="W534" i="11" s="1"/>
  <c r="AE534" i="11"/>
  <c r="X534" i="11"/>
  <c r="Y534" i="11" s="1"/>
  <c r="L534" i="11"/>
  <c r="R534" i="11"/>
  <c r="O533" i="11"/>
  <c r="N533" i="11"/>
  <c r="AE533" i="11"/>
  <c r="X533" i="11"/>
  <c r="Y533" i="11" s="1"/>
  <c r="V533" i="11"/>
  <c r="W533" i="11" s="1"/>
  <c r="R533" i="11"/>
  <c r="L533" i="11"/>
  <c r="O532" i="11"/>
  <c r="N532" i="11"/>
  <c r="L532" i="11"/>
  <c r="R532" i="11"/>
  <c r="V532" i="11"/>
  <c r="W532" i="11" s="1"/>
  <c r="X532" i="11"/>
  <c r="Y532" i="11" s="1"/>
  <c r="AE532" i="11"/>
  <c r="N531" i="11"/>
  <c r="O531" i="11"/>
  <c r="X531" i="11"/>
  <c r="L531" i="11"/>
  <c r="R531" i="11"/>
  <c r="AE531" i="11"/>
  <c r="V531" i="11"/>
  <c r="W531" i="11" s="1"/>
  <c r="O530" i="11"/>
  <c r="N530" i="11"/>
  <c r="AE530" i="11"/>
  <c r="V530" i="11"/>
  <c r="W530" i="11" s="1"/>
  <c r="R530" i="11"/>
  <c r="L530" i="11"/>
  <c r="X530" i="11"/>
  <c r="N529" i="11"/>
  <c r="O529" i="11"/>
  <c r="L529" i="11"/>
  <c r="AE529" i="11"/>
  <c r="X529" i="11"/>
  <c r="V529" i="11"/>
  <c r="R529" i="11"/>
  <c r="V528" i="11"/>
  <c r="R528" i="11"/>
  <c r="L528" i="11"/>
  <c r="X528" i="11"/>
  <c r="V527" i="11"/>
  <c r="X527" i="11"/>
  <c r="AE527" i="11"/>
  <c r="R527" i="11"/>
  <c r="AE526" i="11"/>
  <c r="L526" i="11"/>
  <c r="R526" i="11"/>
  <c r="V526" i="11"/>
  <c r="X526" i="11"/>
  <c r="AE525" i="11"/>
  <c r="V525" i="11"/>
  <c r="X525" i="11"/>
  <c r="R525" i="11"/>
  <c r="L525" i="11"/>
  <c r="AE523" i="11"/>
  <c r="X523" i="11"/>
  <c r="V523" i="11"/>
  <c r="R523" i="11"/>
  <c r="L523" i="11"/>
  <c r="L522" i="11"/>
  <c r="R522" i="11"/>
  <c r="N521" i="11"/>
  <c r="O521" i="11"/>
  <c r="L520" i="11"/>
  <c r="N520" i="11"/>
  <c r="O520" i="11"/>
  <c r="O519" i="11"/>
  <c r="N519" i="11"/>
  <c r="L518" i="11"/>
  <c r="X518" i="11"/>
  <c r="R518" i="11"/>
  <c r="N518" i="11"/>
  <c r="O518" i="11"/>
  <c r="X517" i="11"/>
  <c r="V517" i="11"/>
  <c r="AE517" i="11"/>
  <c r="L517" i="11"/>
  <c r="R517" i="11"/>
  <c r="L516" i="11"/>
  <c r="AE516" i="11"/>
  <c r="R516" i="11"/>
  <c r="X516" i="11"/>
  <c r="V516" i="11"/>
  <c r="L515" i="11"/>
  <c r="AE515" i="11"/>
  <c r="L513" i="11"/>
  <c r="X513" i="11"/>
  <c r="L512" i="11"/>
  <c r="AE512" i="11"/>
  <c r="X511" i="11"/>
  <c r="L511" i="11"/>
  <c r="R511" i="11"/>
  <c r="V511" i="11"/>
  <c r="X509" i="11"/>
  <c r="AE509" i="11"/>
  <c r="V509" i="11"/>
  <c r="L509" i="11"/>
  <c r="R509" i="11"/>
  <c r="V508" i="11"/>
  <c r="L508" i="11"/>
  <c r="AE508" i="11"/>
  <c r="R508" i="11"/>
  <c r="V507" i="11"/>
  <c r="X507" i="11"/>
  <c r="V506" i="11"/>
  <c r="R506" i="11"/>
  <c r="L506" i="11"/>
  <c r="AE506" i="11"/>
  <c r="X506" i="11"/>
  <c r="L505" i="11"/>
  <c r="AE505" i="11"/>
  <c r="O505" i="11"/>
  <c r="N505" i="11"/>
  <c r="AE504" i="11"/>
  <c r="V504" i="11"/>
  <c r="X504" i="11"/>
  <c r="N504" i="11"/>
  <c r="O504" i="11"/>
  <c r="N503" i="11"/>
  <c r="O503" i="11"/>
  <c r="L503" i="11"/>
  <c r="AE503" i="11"/>
  <c r="V503" i="11"/>
  <c r="R503" i="11"/>
  <c r="X503" i="11"/>
  <c r="V502" i="11"/>
  <c r="X502" i="11"/>
  <c r="R502" i="11"/>
  <c r="L502" i="11"/>
  <c r="AE502" i="11"/>
  <c r="X501" i="11"/>
  <c r="R501" i="11"/>
  <c r="L501" i="11"/>
  <c r="AE501" i="11"/>
  <c r="V501" i="11"/>
  <c r="AE500" i="11"/>
  <c r="L500" i="11"/>
  <c r="R499" i="11"/>
  <c r="X499" i="11"/>
  <c r="L499" i="11"/>
  <c r="V497" i="11"/>
  <c r="X497" i="11"/>
  <c r="AE497" i="11"/>
  <c r="O496" i="11"/>
  <c r="N496" i="11"/>
  <c r="AE496" i="11"/>
  <c r="R496" i="11"/>
  <c r="L496" i="11"/>
  <c r="AE495" i="11"/>
  <c r="L495" i="11"/>
  <c r="AE494" i="11"/>
  <c r="V494" i="11"/>
  <c r="L494" i="11"/>
  <c r="X494" i="11"/>
  <c r="R494" i="11"/>
  <c r="L493" i="11"/>
  <c r="AE493" i="11"/>
  <c r="AE492" i="11"/>
  <c r="L492" i="11"/>
  <c r="L491" i="11"/>
  <c r="AE491" i="11"/>
  <c r="L489" i="11"/>
  <c r="AE489" i="11"/>
  <c r="R489" i="11"/>
  <c r="V489" i="11"/>
  <c r="X489" i="11"/>
  <c r="L488" i="11"/>
  <c r="AE488" i="11"/>
  <c r="AE487" i="11"/>
  <c r="L487" i="11"/>
  <c r="L486" i="11"/>
  <c r="AE486" i="11"/>
  <c r="L485" i="11"/>
  <c r="AE485" i="11"/>
  <c r="R484" i="11"/>
  <c r="V484" i="11"/>
  <c r="X484" i="11"/>
  <c r="AE484" i="11"/>
  <c r="L484" i="11"/>
  <c r="L483" i="11"/>
  <c r="AE483" i="11"/>
  <c r="AE482" i="11"/>
  <c r="L482" i="11"/>
  <c r="R479" i="11"/>
  <c r="L479" i="11"/>
  <c r="AE479" i="11"/>
  <c r="X479" i="11"/>
  <c r="V479" i="11"/>
  <c r="AE478" i="11"/>
  <c r="L478" i="11"/>
  <c r="AE477" i="11"/>
  <c r="L477" i="11"/>
  <c r="AE476" i="11"/>
  <c r="L476" i="11"/>
  <c r="L475" i="11"/>
  <c r="AE475" i="11"/>
  <c r="AE474" i="11"/>
  <c r="X474" i="11"/>
  <c r="V474" i="11"/>
  <c r="R474" i="11"/>
  <c r="L474" i="11"/>
  <c r="AE473" i="11"/>
  <c r="L473" i="11"/>
  <c r="L472" i="11"/>
  <c r="AE472" i="11"/>
  <c r="AE471" i="11"/>
  <c r="X471" i="11"/>
  <c r="AE469" i="11"/>
  <c r="L469" i="11"/>
  <c r="R469" i="11"/>
  <c r="V469" i="11"/>
  <c r="X469" i="11"/>
  <c r="L468" i="11"/>
  <c r="AE468" i="11"/>
  <c r="L467" i="11"/>
  <c r="AE467" i="11"/>
  <c r="L466" i="11"/>
  <c r="AE466" i="11"/>
  <c r="AE465" i="11"/>
  <c r="L465" i="11"/>
  <c r="L464" i="11"/>
  <c r="R464" i="11"/>
  <c r="V464" i="11"/>
  <c r="X464" i="11"/>
  <c r="AE464" i="11"/>
  <c r="L463" i="11"/>
  <c r="AE463" i="11"/>
  <c r="L462" i="11"/>
  <c r="AE462" i="11"/>
  <c r="AE461" i="11"/>
  <c r="L461" i="11"/>
  <c r="V459" i="11"/>
  <c r="R459" i="11"/>
  <c r="L459" i="11"/>
  <c r="X459" i="11"/>
  <c r="AE459" i="11"/>
  <c r="L458" i="11"/>
  <c r="AE458" i="11"/>
  <c r="L457" i="11"/>
  <c r="AE457" i="11"/>
  <c r="V456" i="11"/>
  <c r="X456" i="11"/>
  <c r="AE456" i="11"/>
  <c r="AE454" i="11"/>
  <c r="L454" i="11"/>
  <c r="R453" i="11"/>
  <c r="L453" i="11"/>
  <c r="V453" i="11"/>
  <c r="X453" i="11"/>
  <c r="AE453" i="11"/>
  <c r="AE452" i="11"/>
  <c r="L452" i="11"/>
  <c r="AE451" i="11"/>
  <c r="L451" i="11"/>
  <c r="O451" i="11"/>
  <c r="N451" i="11"/>
  <c r="L450" i="11"/>
  <c r="AE450" i="11"/>
  <c r="V448" i="11"/>
  <c r="AE448" i="11"/>
  <c r="X448" i="11"/>
  <c r="R448" i="11"/>
  <c r="L448" i="11"/>
  <c r="L447" i="11"/>
  <c r="AE447" i="11"/>
  <c r="L446" i="11"/>
  <c r="AE446" i="11"/>
  <c r="L445" i="11"/>
  <c r="AE445" i="11"/>
  <c r="AE444" i="11"/>
  <c r="L444" i="11"/>
  <c r="AE443" i="11"/>
  <c r="R443" i="11"/>
  <c r="L443" i="11"/>
  <c r="V443" i="11"/>
  <c r="X443" i="11"/>
  <c r="AE442" i="11"/>
  <c r="L442" i="11"/>
  <c r="L441" i="11"/>
  <c r="AE441" i="11"/>
  <c r="AE440" i="11"/>
  <c r="L440" i="11"/>
  <c r="R438" i="11"/>
  <c r="L438" i="11"/>
  <c r="V438" i="11"/>
  <c r="X438" i="11"/>
  <c r="AE438" i="11"/>
  <c r="AE437" i="11"/>
  <c r="L437" i="11"/>
  <c r="L436" i="11"/>
  <c r="AE436" i="11"/>
  <c r="AE435" i="11"/>
  <c r="L435" i="11"/>
  <c r="L434" i="11"/>
  <c r="AE434" i="11"/>
  <c r="L433" i="11"/>
  <c r="V433" i="11"/>
  <c r="AE433" i="11"/>
  <c r="R433" i="11"/>
  <c r="X433" i="11"/>
  <c r="AE432" i="11"/>
  <c r="L432" i="11"/>
  <c r="L431" i="11"/>
  <c r="AE431" i="11"/>
  <c r="L430" i="11"/>
  <c r="AE430" i="11"/>
  <c r="AE428" i="11"/>
  <c r="X428" i="11"/>
  <c r="V428" i="11"/>
  <c r="R428" i="11"/>
  <c r="L428" i="11"/>
  <c r="AE427" i="11"/>
  <c r="L427" i="11"/>
  <c r="AE426" i="11"/>
  <c r="L426" i="11"/>
  <c r="AE425" i="11"/>
  <c r="L425" i="11"/>
  <c r="AE424" i="11"/>
  <c r="L424" i="11"/>
  <c r="L423" i="11"/>
  <c r="R423" i="11"/>
  <c r="V423" i="11"/>
  <c r="X423" i="11"/>
  <c r="AE423" i="11"/>
  <c r="AE422" i="11"/>
  <c r="L422" i="11"/>
  <c r="L421" i="11"/>
  <c r="AE421" i="11"/>
  <c r="AE420" i="11"/>
  <c r="L420" i="11"/>
  <c r="X418" i="11"/>
  <c r="V418" i="11"/>
  <c r="R418" i="11"/>
  <c r="L418" i="11"/>
  <c r="AE418" i="11"/>
  <c r="AE417" i="11"/>
  <c r="L417" i="11"/>
  <c r="L416" i="11"/>
  <c r="AE416" i="11"/>
  <c r="V415" i="11"/>
  <c r="X415" i="11"/>
  <c r="AE415" i="11"/>
  <c r="AE413" i="11"/>
  <c r="L413" i="11"/>
  <c r="V412" i="11"/>
  <c r="L412" i="11"/>
  <c r="R412" i="11"/>
  <c r="X412" i="11"/>
  <c r="AE412" i="11"/>
  <c r="L411" i="11"/>
  <c r="AE411" i="11"/>
  <c r="AE410" i="11"/>
  <c r="L410" i="11"/>
  <c r="L409" i="11"/>
  <c r="AE409" i="11"/>
  <c r="V407" i="11"/>
  <c r="R407" i="11"/>
  <c r="L407" i="11"/>
  <c r="X407" i="11"/>
  <c r="AE407" i="11"/>
  <c r="L406" i="11"/>
  <c r="AE406" i="11"/>
  <c r="AE405" i="11"/>
  <c r="L405" i="11"/>
  <c r="L404" i="11"/>
  <c r="AE404" i="11"/>
  <c r="AE403" i="11"/>
  <c r="L403" i="11"/>
  <c r="AE402" i="11"/>
  <c r="X402" i="11"/>
  <c r="V402" i="11"/>
  <c r="R402" i="11"/>
  <c r="L402" i="11"/>
  <c r="AE401" i="11"/>
  <c r="L401" i="11"/>
  <c r="AE400" i="11"/>
  <c r="L400" i="11"/>
  <c r="AE397" i="11"/>
  <c r="X397" i="11"/>
  <c r="V397" i="11"/>
  <c r="R397" i="11"/>
  <c r="L397" i="11"/>
  <c r="AE396" i="11"/>
  <c r="L396" i="11"/>
  <c r="L395" i="11"/>
  <c r="AE395" i="11"/>
  <c r="AE394" i="11"/>
  <c r="L394" i="11"/>
  <c r="AE393" i="11"/>
  <c r="L393" i="11"/>
  <c r="V392" i="11"/>
  <c r="R392" i="11"/>
  <c r="L392" i="11"/>
  <c r="AE392" i="11"/>
  <c r="X392" i="11"/>
  <c r="AE391" i="11"/>
  <c r="L391" i="11"/>
  <c r="AE390" i="11"/>
  <c r="L390" i="11"/>
  <c r="L387" i="11"/>
  <c r="R387" i="11"/>
  <c r="V387" i="11"/>
  <c r="X387" i="11"/>
  <c r="AE387" i="11"/>
  <c r="AE386" i="11"/>
  <c r="L386" i="11"/>
  <c r="L385" i="11"/>
  <c r="AE385" i="11"/>
  <c r="L384" i="11"/>
  <c r="AE384" i="11"/>
  <c r="L383" i="11"/>
  <c r="AE383" i="11"/>
  <c r="R382" i="11"/>
  <c r="X382" i="11"/>
  <c r="AE382" i="11"/>
  <c r="V382" i="11"/>
  <c r="L382" i="11"/>
  <c r="L381" i="11"/>
  <c r="AE381" i="11"/>
  <c r="L380" i="11"/>
  <c r="AE380" i="11"/>
  <c r="AE379" i="11"/>
  <c r="L379" i="11"/>
  <c r="L377" i="11"/>
  <c r="R377" i="11"/>
  <c r="V377" i="11"/>
  <c r="X377" i="11"/>
  <c r="AE377" i="11"/>
  <c r="AE376" i="11"/>
  <c r="L376" i="11"/>
  <c r="L375" i="11"/>
  <c r="AE375" i="11"/>
  <c r="AE374" i="11"/>
  <c r="X374" i="11"/>
  <c r="V374" i="11"/>
  <c r="AE372" i="11"/>
  <c r="L372" i="11"/>
  <c r="R371" i="11"/>
  <c r="V371" i="11"/>
  <c r="X371" i="11"/>
  <c r="AE371" i="11"/>
  <c r="L371" i="11"/>
  <c r="L370" i="11"/>
  <c r="AE370" i="11"/>
  <c r="L369" i="11"/>
  <c r="AE369" i="11"/>
  <c r="AE368" i="11"/>
  <c r="L368" i="11"/>
  <c r="L366" i="11"/>
  <c r="V366" i="11"/>
  <c r="R366" i="11"/>
  <c r="AE366" i="11"/>
  <c r="X366" i="11"/>
  <c r="AE365" i="11"/>
  <c r="L365" i="11"/>
  <c r="AE364" i="11"/>
  <c r="L364" i="11"/>
  <c r="AE363" i="11"/>
  <c r="L363" i="11"/>
  <c r="L362" i="11"/>
  <c r="AE362" i="11"/>
  <c r="AE361" i="11"/>
  <c r="L361" i="11"/>
  <c r="X361" i="11"/>
  <c r="V361" i="11"/>
  <c r="R361" i="11"/>
  <c r="AE360" i="11"/>
  <c r="L360" i="11"/>
  <c r="L359" i="11"/>
  <c r="AE359" i="11"/>
  <c r="L358" i="11"/>
  <c r="AE358" i="11"/>
  <c r="AE356" i="11"/>
  <c r="X356" i="11"/>
  <c r="V356" i="11"/>
  <c r="R356" i="11"/>
  <c r="L356" i="11"/>
  <c r="AE355" i="11"/>
  <c r="L355" i="11"/>
  <c r="AE354" i="11"/>
  <c r="L354" i="11"/>
  <c r="AE353" i="11"/>
  <c r="L353" i="11"/>
  <c r="AE352" i="11"/>
  <c r="L352" i="11"/>
  <c r="AE351" i="11"/>
  <c r="X351" i="11"/>
  <c r="V351" i="11"/>
  <c r="R351" i="11"/>
  <c r="L351" i="11"/>
  <c r="AE350" i="11"/>
  <c r="L350" i="11"/>
  <c r="L349" i="11"/>
  <c r="AE349" i="11"/>
  <c r="AE348" i="11"/>
  <c r="L348" i="11"/>
  <c r="L346" i="11"/>
  <c r="R346" i="11"/>
  <c r="V346" i="11"/>
  <c r="X346" i="11"/>
  <c r="AE346" i="11"/>
  <c r="L345" i="11"/>
  <c r="AE345" i="11"/>
  <c r="AE344" i="11"/>
  <c r="L344" i="11"/>
  <c r="AE343" i="11"/>
  <c r="L343" i="11"/>
  <c r="L342" i="11"/>
  <c r="AE342" i="11"/>
  <c r="V341" i="11"/>
  <c r="L341" i="11"/>
  <c r="X341" i="11"/>
  <c r="AE341" i="11"/>
  <c r="R341" i="11"/>
  <c r="AE340" i="11"/>
  <c r="L340" i="11"/>
  <c r="L339" i="11"/>
  <c r="AE339" i="11"/>
  <c r="AE338" i="11"/>
  <c r="L338" i="11"/>
  <c r="V336" i="11"/>
  <c r="L336" i="11"/>
  <c r="X336" i="11"/>
  <c r="R336" i="11"/>
  <c r="AE336" i="11"/>
  <c r="L335" i="11"/>
  <c r="AE335" i="11"/>
  <c r="AE334" i="11"/>
  <c r="L334" i="11"/>
  <c r="X333" i="11"/>
  <c r="V333" i="11"/>
  <c r="AE333" i="11"/>
  <c r="AE331" i="11"/>
  <c r="L331" i="11"/>
  <c r="L330" i="11"/>
  <c r="R330" i="11"/>
  <c r="V330" i="11"/>
  <c r="X330" i="11"/>
  <c r="AE330" i="11"/>
  <c r="AE329" i="11"/>
  <c r="L329" i="11"/>
  <c r="AE328" i="11"/>
  <c r="L328" i="11"/>
  <c r="AE327" i="11"/>
  <c r="L327" i="11"/>
  <c r="V325" i="11"/>
  <c r="AE325" i="11"/>
  <c r="R325" i="11"/>
  <c r="X325" i="11"/>
  <c r="L325" i="11"/>
  <c r="AE324" i="11"/>
  <c r="L324" i="11"/>
  <c r="L323" i="11"/>
  <c r="AE323" i="11"/>
  <c r="O323" i="11"/>
  <c r="N323" i="11"/>
  <c r="AE322" i="11"/>
  <c r="L322" i="11"/>
  <c r="L321" i="11"/>
  <c r="AE321" i="11"/>
  <c r="L320" i="11"/>
  <c r="AE320" i="11"/>
  <c r="X320" i="11"/>
  <c r="V320" i="11"/>
  <c r="R320" i="11"/>
  <c r="AE319" i="11"/>
  <c r="L319" i="11"/>
  <c r="AE318" i="11"/>
  <c r="L318" i="11"/>
  <c r="AE317" i="11"/>
  <c r="L317" i="11"/>
  <c r="L315" i="11"/>
  <c r="R315" i="11"/>
  <c r="V315" i="11"/>
  <c r="X315" i="11"/>
  <c r="AE315" i="11"/>
  <c r="L314" i="11"/>
  <c r="AE314" i="11"/>
  <c r="AE313" i="11"/>
  <c r="L313" i="11"/>
  <c r="L312" i="11"/>
  <c r="AE312" i="11"/>
  <c r="AE311" i="11"/>
  <c r="L311" i="11"/>
  <c r="V310" i="11"/>
  <c r="X310" i="11"/>
  <c r="AE310" i="11"/>
  <c r="L310" i="11"/>
  <c r="R310" i="11"/>
  <c r="L309" i="11"/>
  <c r="AE309" i="11"/>
  <c r="AE308" i="11"/>
  <c r="L308" i="11"/>
  <c r="L305" i="11"/>
  <c r="X305" i="11"/>
  <c r="AE305" i="11"/>
  <c r="V305" i="11"/>
  <c r="R305" i="11"/>
  <c r="AE304" i="11"/>
  <c r="L304" i="11"/>
  <c r="AE303" i="11"/>
  <c r="L303" i="11"/>
  <c r="O303" i="11"/>
  <c r="N303" i="11"/>
  <c r="AE302" i="11"/>
  <c r="L302" i="11"/>
  <c r="AE301" i="11"/>
  <c r="L301" i="11"/>
  <c r="AE300" i="11"/>
  <c r="X300" i="11"/>
  <c r="V300" i="11"/>
  <c r="R300" i="11"/>
  <c r="L300" i="11"/>
  <c r="AE299" i="11"/>
  <c r="L299" i="11"/>
  <c r="AE298" i="11"/>
  <c r="L298" i="11"/>
  <c r="AE297" i="11"/>
  <c r="L297" i="11"/>
  <c r="AE295" i="11"/>
  <c r="X295" i="11"/>
  <c r="V295" i="11"/>
  <c r="R295" i="11"/>
  <c r="L295" i="11"/>
  <c r="AE294" i="11"/>
  <c r="L294" i="11"/>
  <c r="AE293" i="11"/>
  <c r="L293" i="11"/>
  <c r="AE292" i="11"/>
  <c r="L292" i="11"/>
  <c r="AE291" i="11"/>
  <c r="L291" i="11"/>
  <c r="X290" i="11"/>
  <c r="V290" i="11"/>
  <c r="R290" i="11"/>
  <c r="AE290" i="11"/>
  <c r="L290" i="11"/>
  <c r="AE289" i="11"/>
  <c r="L289" i="11"/>
  <c r="AE288" i="11"/>
  <c r="L288" i="11"/>
  <c r="AE287" i="11"/>
  <c r="X287" i="11"/>
  <c r="V287" i="11"/>
  <c r="R287" i="11"/>
  <c r="X285" i="11"/>
  <c r="AE285" i="11"/>
  <c r="V285" i="11"/>
  <c r="R285" i="11"/>
  <c r="L285" i="11"/>
  <c r="AE284" i="11"/>
  <c r="L284" i="11"/>
  <c r="AE283" i="11"/>
  <c r="L283" i="11"/>
  <c r="AE282" i="11"/>
  <c r="L282" i="11"/>
  <c r="AE281" i="11"/>
  <c r="L281" i="11"/>
  <c r="R280" i="11"/>
  <c r="L280" i="11"/>
  <c r="X280" i="11"/>
  <c r="AE280" i="11"/>
  <c r="V280" i="11"/>
  <c r="AE279" i="11"/>
  <c r="L279" i="11"/>
  <c r="AE278" i="11"/>
  <c r="L278" i="11"/>
  <c r="AE277" i="11"/>
  <c r="L277" i="11"/>
  <c r="AE275" i="11"/>
  <c r="X275" i="11"/>
  <c r="V275" i="11"/>
  <c r="R275" i="11"/>
  <c r="L275" i="11"/>
  <c r="AE274" i="11"/>
  <c r="L274" i="11"/>
  <c r="AE273" i="11"/>
  <c r="L273" i="11"/>
  <c r="AE272" i="11"/>
  <c r="L272" i="11"/>
  <c r="AE271" i="11"/>
  <c r="L271" i="11"/>
  <c r="AE270" i="11"/>
  <c r="X270" i="11"/>
  <c r="V270" i="11"/>
  <c r="R270" i="11"/>
  <c r="L270" i="11"/>
  <c r="L269" i="11"/>
  <c r="AE269" i="11"/>
  <c r="L268" i="11"/>
  <c r="AE268" i="11"/>
  <c r="L267" i="11"/>
  <c r="AE267" i="11"/>
  <c r="AE265" i="11"/>
  <c r="X265" i="11"/>
  <c r="R265" i="11"/>
  <c r="L265" i="11"/>
  <c r="V265" i="11"/>
  <c r="L264" i="11"/>
  <c r="AE264" i="11"/>
  <c r="L263" i="11"/>
  <c r="AE263" i="11"/>
  <c r="AE262" i="11"/>
  <c r="L262" i="11"/>
  <c r="AE261" i="11"/>
  <c r="L261" i="11"/>
  <c r="L260" i="11"/>
  <c r="AE260" i="11"/>
  <c r="X260" i="11"/>
  <c r="V260" i="11"/>
  <c r="R260" i="11"/>
  <c r="L259" i="11"/>
  <c r="AE259" i="11"/>
  <c r="AE258" i="11"/>
  <c r="L258" i="11"/>
  <c r="AE257" i="11"/>
  <c r="L257" i="11"/>
  <c r="L255" i="11"/>
  <c r="AE255" i="11"/>
  <c r="R255" i="11"/>
  <c r="V255" i="11"/>
  <c r="X255" i="11"/>
  <c r="L254" i="11"/>
  <c r="AE254" i="11"/>
  <c r="L253" i="11"/>
  <c r="AE253" i="11"/>
  <c r="V252" i="11"/>
  <c r="X252" i="11"/>
  <c r="AE252" i="11"/>
  <c r="AE250" i="11"/>
  <c r="L250" i="11"/>
  <c r="L249" i="11"/>
  <c r="R249" i="11"/>
  <c r="V249" i="11"/>
  <c r="X249" i="11"/>
  <c r="AE249" i="11"/>
  <c r="AE248" i="11"/>
  <c r="L248" i="11"/>
  <c r="L247" i="11"/>
  <c r="AE247" i="11"/>
  <c r="X246" i="11"/>
  <c r="AE246" i="11"/>
  <c r="V246" i="11"/>
  <c r="X244" i="11"/>
  <c r="L244" i="11"/>
  <c r="AE244" i="11"/>
  <c r="V244" i="11"/>
  <c r="R244" i="11"/>
  <c r="AE243" i="11"/>
  <c r="L243" i="11"/>
  <c r="AE242" i="11"/>
  <c r="L242" i="11"/>
  <c r="AE241" i="11"/>
  <c r="L241" i="11"/>
  <c r="AE240" i="11"/>
  <c r="L240" i="11"/>
  <c r="L239" i="11"/>
  <c r="R239" i="11"/>
  <c r="V239" i="11"/>
  <c r="X239" i="11"/>
  <c r="AE239" i="11"/>
  <c r="AE238" i="11"/>
  <c r="L238" i="11"/>
  <c r="L237" i="11"/>
  <c r="AE237" i="11"/>
  <c r="AE234" i="11"/>
  <c r="X234" i="11"/>
  <c r="V234" i="11"/>
  <c r="L234" i="11"/>
  <c r="R234" i="11"/>
  <c r="L233" i="11"/>
  <c r="AE233" i="11"/>
  <c r="L232" i="11"/>
  <c r="AE232" i="11"/>
  <c r="L231" i="11"/>
  <c r="AE231" i="11"/>
  <c r="L230" i="11"/>
  <c r="AE230" i="11"/>
  <c r="V229" i="11"/>
  <c r="AE229" i="11"/>
  <c r="X229" i="11"/>
  <c r="R229" i="11"/>
  <c r="L229" i="11"/>
  <c r="AE228" i="11"/>
  <c r="L228" i="11"/>
  <c r="AE227" i="11"/>
  <c r="L227" i="11"/>
  <c r="AE224" i="11"/>
  <c r="L224" i="11"/>
  <c r="R224" i="11"/>
  <c r="V224" i="11"/>
  <c r="X224" i="11"/>
  <c r="L223" i="11"/>
  <c r="AE223" i="11"/>
  <c r="AE222" i="11"/>
  <c r="L222" i="11"/>
  <c r="AE221" i="11"/>
  <c r="L221" i="11"/>
  <c r="L220" i="11"/>
  <c r="AE220" i="11"/>
  <c r="AE219" i="11"/>
  <c r="L219" i="11"/>
  <c r="X219" i="11"/>
  <c r="R219" i="11"/>
  <c r="V219" i="11"/>
  <c r="AE218" i="11"/>
  <c r="L218" i="11"/>
  <c r="AE217" i="11"/>
  <c r="L217" i="11"/>
  <c r="AE216" i="11"/>
  <c r="L216" i="11"/>
  <c r="R214" i="11"/>
  <c r="V214" i="11"/>
  <c r="X214" i="11"/>
  <c r="AE214" i="11"/>
  <c r="L214" i="11"/>
  <c r="AE213" i="11"/>
  <c r="L213" i="11"/>
  <c r="L212" i="11"/>
  <c r="AE212" i="11"/>
  <c r="AE211" i="11"/>
  <c r="V211" i="11"/>
  <c r="X211" i="11"/>
  <c r="AE209" i="11"/>
  <c r="L209" i="11"/>
  <c r="R208" i="11"/>
  <c r="V208" i="11"/>
  <c r="X208" i="11"/>
  <c r="AE208" i="11"/>
  <c r="L208" i="11"/>
  <c r="L207" i="11"/>
  <c r="AE207" i="11"/>
  <c r="AE206" i="11"/>
  <c r="L206" i="11"/>
  <c r="L205" i="11"/>
  <c r="AE205" i="11"/>
  <c r="AE203" i="11"/>
  <c r="L203" i="11"/>
  <c r="R203" i="11"/>
  <c r="V203" i="11"/>
  <c r="X203" i="11"/>
  <c r="AE202" i="11"/>
  <c r="L202" i="11"/>
  <c r="L201" i="11"/>
  <c r="AE201" i="11"/>
  <c r="AE200" i="11"/>
  <c r="L200" i="11"/>
  <c r="L199" i="11"/>
  <c r="AE199" i="11"/>
  <c r="R198" i="11"/>
  <c r="V198" i="11"/>
  <c r="X198" i="11"/>
  <c r="AE198" i="11"/>
  <c r="L198" i="11"/>
  <c r="L197" i="11"/>
  <c r="AE197" i="11"/>
  <c r="AE196" i="11"/>
  <c r="L196" i="11"/>
  <c r="AE195" i="11"/>
  <c r="L195" i="11"/>
  <c r="X193" i="11"/>
  <c r="V193" i="11"/>
  <c r="R193" i="11"/>
  <c r="AE193" i="11"/>
  <c r="L193" i="11"/>
  <c r="AE192" i="11"/>
  <c r="L192" i="11"/>
  <c r="L191" i="11"/>
  <c r="AE191" i="11"/>
  <c r="L190" i="11"/>
  <c r="AE190" i="11"/>
  <c r="AE189" i="11"/>
  <c r="L189" i="11"/>
  <c r="L188" i="11"/>
  <c r="AE188" i="11"/>
  <c r="X188" i="11"/>
  <c r="V188" i="11"/>
  <c r="R188" i="11"/>
  <c r="L187" i="11"/>
  <c r="AE187" i="11"/>
  <c r="AE186" i="11"/>
  <c r="L186" i="11"/>
  <c r="L185" i="11"/>
  <c r="AE185" i="11"/>
  <c r="X183" i="11"/>
  <c r="V183" i="11"/>
  <c r="R183" i="11"/>
  <c r="L183" i="11"/>
  <c r="AE183" i="11"/>
  <c r="AE182" i="11"/>
  <c r="L182" i="11"/>
  <c r="L181" i="11"/>
  <c r="AE181" i="11"/>
  <c r="AE180" i="11"/>
  <c r="L180" i="11"/>
  <c r="AE179" i="11"/>
  <c r="L179" i="11"/>
  <c r="L178" i="11"/>
  <c r="R178" i="11"/>
  <c r="V178" i="11"/>
  <c r="X178" i="11"/>
  <c r="AE178" i="11"/>
  <c r="L177" i="11"/>
  <c r="AE177" i="11"/>
  <c r="AE176" i="11"/>
  <c r="L176" i="11"/>
  <c r="AE175" i="11"/>
  <c r="L175" i="11"/>
  <c r="AE173" i="11"/>
  <c r="X173" i="11"/>
  <c r="V173" i="11"/>
  <c r="R173" i="11"/>
  <c r="L173" i="11"/>
  <c r="AE172" i="11"/>
  <c r="L172" i="11"/>
  <c r="AE171" i="11"/>
  <c r="L171" i="11"/>
  <c r="AE170" i="11"/>
  <c r="X170" i="11"/>
  <c r="V170" i="11"/>
  <c r="AE168" i="11"/>
  <c r="L168" i="11"/>
  <c r="L167" i="11"/>
  <c r="X167" i="11"/>
  <c r="V167" i="11"/>
  <c r="R167" i="11"/>
  <c r="AE167" i="11"/>
  <c r="AE166" i="11"/>
  <c r="L166" i="11"/>
  <c r="AE165" i="11"/>
  <c r="L165" i="11"/>
  <c r="AE164" i="11"/>
  <c r="L164" i="11"/>
  <c r="R162" i="11"/>
  <c r="V162" i="11"/>
  <c r="AE162" i="11"/>
  <c r="L162" i="11"/>
  <c r="X162" i="11"/>
  <c r="AE161" i="11"/>
  <c r="L161" i="11"/>
  <c r="AE160" i="11"/>
  <c r="L160" i="11"/>
  <c r="L159" i="11"/>
  <c r="AE159" i="11"/>
  <c r="AE158" i="11"/>
  <c r="L158" i="11"/>
  <c r="L157" i="11"/>
  <c r="V157" i="11"/>
  <c r="X157" i="11"/>
  <c r="AE157" i="11"/>
  <c r="R157" i="11"/>
  <c r="AE156" i="11"/>
  <c r="L156" i="11"/>
  <c r="L155" i="11"/>
  <c r="AE155" i="11"/>
  <c r="R152" i="11"/>
  <c r="V152" i="11"/>
  <c r="AE152" i="11"/>
  <c r="L152" i="11"/>
  <c r="X152" i="11"/>
  <c r="L151" i="11"/>
  <c r="AE151" i="11"/>
  <c r="L150" i="11"/>
  <c r="AE150" i="11"/>
  <c r="L149" i="11"/>
  <c r="AE149" i="11"/>
  <c r="L148" i="11"/>
  <c r="AE148" i="11"/>
  <c r="X147" i="11"/>
  <c r="AE147" i="11"/>
  <c r="V147" i="11"/>
  <c r="R147" i="11"/>
  <c r="L147" i="11"/>
  <c r="AE146" i="11"/>
  <c r="L146" i="11"/>
  <c r="L145" i="11"/>
  <c r="AE145" i="11"/>
  <c r="X144" i="11"/>
  <c r="AE144" i="11"/>
  <c r="L142" i="11"/>
  <c r="R142" i="11"/>
  <c r="V142" i="11"/>
  <c r="X142" i="11"/>
  <c r="AE142" i="11"/>
  <c r="L141" i="11"/>
  <c r="AE141" i="11"/>
  <c r="L140" i="11"/>
  <c r="AE140" i="11"/>
  <c r="L139" i="11"/>
  <c r="AE139" i="11"/>
  <c r="AE138" i="11"/>
  <c r="L138" i="11"/>
  <c r="X137" i="11"/>
  <c r="R137" i="11"/>
  <c r="V137" i="11"/>
  <c r="L137" i="11"/>
  <c r="AE137" i="11"/>
  <c r="AE136" i="11"/>
  <c r="L136" i="11"/>
  <c r="AE135" i="11"/>
  <c r="L135" i="11"/>
  <c r="AE134" i="11"/>
  <c r="L134" i="11"/>
  <c r="AE132" i="11"/>
  <c r="L132" i="11"/>
  <c r="X132" i="11"/>
  <c r="V132" i="11"/>
  <c r="R132" i="11"/>
  <c r="L131" i="11"/>
  <c r="AE131" i="11"/>
  <c r="AE130" i="11"/>
  <c r="L130" i="11"/>
  <c r="AE129" i="11"/>
  <c r="V129" i="11"/>
  <c r="X129" i="11"/>
  <c r="AE127" i="11"/>
  <c r="L127" i="11"/>
  <c r="R126" i="11"/>
  <c r="AE126" i="11"/>
  <c r="X126" i="11"/>
  <c r="V126" i="11"/>
  <c r="L126" i="11"/>
  <c r="AE125" i="11"/>
  <c r="L125" i="11"/>
  <c r="L124" i="11"/>
  <c r="AE124" i="11"/>
  <c r="O124" i="11"/>
  <c r="P124" i="11" s="1"/>
  <c r="N124" i="11"/>
  <c r="AE123" i="11"/>
  <c r="L123" i="11"/>
  <c r="X121" i="11"/>
  <c r="L121" i="11"/>
  <c r="AE121" i="11"/>
  <c r="V121" i="11"/>
  <c r="R121" i="11"/>
  <c r="L120" i="11"/>
  <c r="AE120" i="11"/>
  <c r="AE119" i="11"/>
  <c r="L119" i="11"/>
  <c r="AE118" i="11"/>
  <c r="L118" i="11"/>
  <c r="L117" i="11"/>
  <c r="AE117" i="11"/>
  <c r="AE116" i="11"/>
  <c r="X116" i="11"/>
  <c r="V116" i="11"/>
  <c r="R116" i="11"/>
  <c r="L116" i="11"/>
  <c r="AE115" i="11"/>
  <c r="L115" i="11"/>
  <c r="AE114" i="11"/>
  <c r="L114" i="11"/>
  <c r="L113" i="11"/>
  <c r="AE113" i="11"/>
  <c r="V111" i="11"/>
  <c r="R111" i="11"/>
  <c r="L111" i="11"/>
  <c r="X111" i="11"/>
  <c r="AE111" i="11"/>
  <c r="AE110" i="11"/>
  <c r="L110" i="11"/>
  <c r="AE109" i="11"/>
  <c r="L109" i="11"/>
  <c r="AE108" i="11"/>
  <c r="L108" i="11"/>
  <c r="AE107" i="11"/>
  <c r="L107" i="11"/>
  <c r="L106" i="11"/>
  <c r="R106" i="11"/>
  <c r="V106" i="11"/>
  <c r="X106" i="11"/>
  <c r="AE106" i="11"/>
  <c r="AE105" i="11"/>
  <c r="L105" i="11"/>
  <c r="L104" i="11"/>
  <c r="AE104" i="11"/>
  <c r="AE103" i="11"/>
  <c r="L103" i="11"/>
  <c r="V101" i="11"/>
  <c r="AE101" i="11"/>
  <c r="X101" i="11"/>
  <c r="R101" i="11"/>
  <c r="L101" i="11"/>
  <c r="L100" i="11"/>
  <c r="AE100" i="11"/>
  <c r="AE99" i="11"/>
  <c r="L99" i="11"/>
  <c r="L98" i="11"/>
  <c r="AE98" i="11"/>
  <c r="AE97" i="11"/>
  <c r="L97" i="11"/>
  <c r="L96" i="11"/>
  <c r="X96" i="11"/>
  <c r="R96" i="11"/>
  <c r="V96" i="11"/>
  <c r="AE96" i="11"/>
  <c r="T95" i="11"/>
  <c r="AE95" i="11"/>
  <c r="L95" i="11"/>
  <c r="T94" i="11"/>
  <c r="AE94" i="11"/>
  <c r="L94" i="11"/>
  <c r="T93" i="11"/>
  <c r="AE93" i="11"/>
  <c r="L93" i="11"/>
  <c r="T92" i="11"/>
  <c r="AE91" i="11"/>
  <c r="L91" i="11"/>
  <c r="R91" i="11"/>
  <c r="V91" i="11"/>
  <c r="W91" i="11" s="1"/>
  <c r="X91" i="11"/>
  <c r="Y91" i="11" s="1"/>
  <c r="T90" i="11"/>
  <c r="L90" i="11"/>
  <c r="AE90" i="11"/>
  <c r="T89" i="11"/>
  <c r="L89" i="11"/>
  <c r="AE89" i="11"/>
  <c r="V88" i="11"/>
  <c r="W88" i="11" s="1"/>
  <c r="AE88" i="11"/>
  <c r="X88" i="11"/>
  <c r="Y88" i="11" s="1"/>
  <c r="T88" i="11"/>
  <c r="T87" i="11"/>
  <c r="T86" i="11"/>
  <c r="AE86" i="11"/>
  <c r="L86" i="11"/>
  <c r="X85" i="11"/>
  <c r="Y85" i="11" s="1"/>
  <c r="V85" i="11"/>
  <c r="W85" i="11" s="1"/>
  <c r="R85" i="11"/>
  <c r="L85" i="11"/>
  <c r="AE85" i="11"/>
  <c r="T84" i="11"/>
  <c r="AE84" i="11"/>
  <c r="L84" i="11"/>
  <c r="T83" i="11"/>
  <c r="S83" i="11"/>
  <c r="L83" i="11"/>
  <c r="AE83" i="11"/>
  <c r="S82" i="11"/>
  <c r="T82" i="11"/>
  <c r="AE82" i="11"/>
  <c r="L82" i="11"/>
  <c r="S81" i="11"/>
  <c r="T81" i="11"/>
  <c r="L80" i="11"/>
  <c r="M80" i="11" s="1"/>
  <c r="R80" i="11"/>
  <c r="V80" i="11"/>
  <c r="W80" i="11" s="1"/>
  <c r="AE80" i="11"/>
  <c r="X80" i="11"/>
  <c r="Y80" i="11" s="1"/>
  <c r="S79" i="11"/>
  <c r="T79" i="11"/>
  <c r="L79" i="11"/>
  <c r="AE79" i="11"/>
  <c r="T78" i="11"/>
  <c r="S78" i="11"/>
  <c r="L78" i="11"/>
  <c r="AE78" i="11"/>
  <c r="T77" i="11"/>
  <c r="S77" i="11"/>
  <c r="AE77" i="11"/>
  <c r="L77" i="11"/>
  <c r="M77" i="11" s="1"/>
  <c r="AE76" i="11"/>
  <c r="L76" i="11"/>
  <c r="L75" i="11"/>
  <c r="V75" i="11"/>
  <c r="R75" i="11"/>
  <c r="X75" i="11"/>
  <c r="AE75" i="11"/>
  <c r="AE74" i="11"/>
  <c r="L74" i="11"/>
  <c r="AE73" i="11"/>
  <c r="L73" i="11"/>
  <c r="L70" i="11"/>
  <c r="R70" i="11"/>
  <c r="V70" i="11"/>
  <c r="X70" i="11"/>
  <c r="AE70" i="11"/>
  <c r="L69" i="11"/>
  <c r="AE69" i="11"/>
  <c r="L68" i="11"/>
  <c r="AE68" i="11"/>
  <c r="L67" i="11"/>
  <c r="AE67" i="11"/>
  <c r="AE66" i="11"/>
  <c r="L66" i="11"/>
  <c r="R65" i="11"/>
  <c r="V65" i="11"/>
  <c r="X65" i="11"/>
  <c r="L65" i="11"/>
  <c r="AE65" i="11"/>
  <c r="L64" i="11"/>
  <c r="AE64" i="11"/>
  <c r="L63" i="11"/>
  <c r="AE63" i="11"/>
  <c r="AE60" i="11"/>
  <c r="X60" i="11"/>
  <c r="V60" i="11"/>
  <c r="R60" i="11"/>
  <c r="L60" i="11"/>
  <c r="AE59" i="11"/>
  <c r="L59" i="11"/>
  <c r="L58" i="11"/>
  <c r="AE58" i="11"/>
  <c r="L57" i="11"/>
  <c r="AE57" i="11"/>
  <c r="AE56" i="11"/>
  <c r="L56" i="11"/>
  <c r="X55" i="11"/>
  <c r="V55" i="11"/>
  <c r="R55" i="11"/>
  <c r="L55" i="11"/>
  <c r="AE55" i="11"/>
  <c r="L54" i="11"/>
  <c r="AE54" i="11"/>
  <c r="AE53" i="11"/>
  <c r="L53" i="11"/>
  <c r="L52" i="11"/>
  <c r="AE52" i="11"/>
  <c r="AE50" i="11"/>
  <c r="X50" i="11"/>
  <c r="V50" i="11"/>
  <c r="R50" i="11"/>
  <c r="L50" i="11"/>
  <c r="AE49" i="11"/>
  <c r="L49" i="11"/>
  <c r="AE48" i="11"/>
  <c r="L48" i="11"/>
  <c r="AE47" i="11"/>
  <c r="X47" i="11"/>
  <c r="V47" i="11"/>
  <c r="AE45" i="11"/>
  <c r="L45" i="11"/>
  <c r="AE44" i="11"/>
  <c r="X44" i="11"/>
  <c r="V44" i="11"/>
  <c r="R44" i="11"/>
  <c r="L44" i="11"/>
  <c r="AE43" i="11"/>
  <c r="L43" i="11"/>
  <c r="L42" i="11"/>
  <c r="AE42" i="11"/>
  <c r="AE41" i="11"/>
  <c r="L41" i="11"/>
  <c r="R39" i="11"/>
  <c r="V39" i="11"/>
  <c r="L39" i="11"/>
  <c r="AE39" i="11"/>
  <c r="X39" i="11"/>
  <c r="L38" i="11"/>
  <c r="AE38" i="11"/>
  <c r="AE37" i="11"/>
  <c r="L37" i="11"/>
  <c r="L36" i="11"/>
  <c r="AE36" i="11"/>
  <c r="AE35" i="11"/>
  <c r="L35" i="11"/>
  <c r="X34" i="11"/>
  <c r="L34" i="11"/>
  <c r="R34" i="11"/>
  <c r="V34" i="11"/>
  <c r="AE34" i="11"/>
  <c r="L33" i="11"/>
  <c r="AE33" i="11"/>
  <c r="AE32" i="11"/>
  <c r="L32" i="11"/>
  <c r="AE31" i="11"/>
  <c r="L31" i="11"/>
  <c r="AE29" i="11"/>
  <c r="V29" i="11"/>
  <c r="R29" i="11"/>
  <c r="X29" i="11"/>
  <c r="L29" i="11"/>
  <c r="L28" i="11"/>
  <c r="AE28" i="11"/>
  <c r="L27" i="11"/>
  <c r="AE27" i="11"/>
  <c r="AE26" i="11"/>
  <c r="L26" i="11"/>
  <c r="AE25" i="11"/>
  <c r="L25" i="11"/>
  <c r="X24" i="11"/>
  <c r="AE24" i="11"/>
  <c r="L24" i="11"/>
  <c r="R24" i="11"/>
  <c r="V24" i="11"/>
  <c r="L23" i="11"/>
  <c r="AE23" i="11"/>
  <c r="AE22" i="11"/>
  <c r="L22" i="11"/>
  <c r="AE21" i="11"/>
  <c r="L21" i="11"/>
  <c r="V19" i="11"/>
  <c r="AE19" i="11"/>
  <c r="R19" i="11"/>
  <c r="L19" i="11"/>
  <c r="X19" i="11"/>
  <c r="AE18" i="11"/>
  <c r="L18" i="11"/>
  <c r="L17" i="11"/>
  <c r="AE17" i="11"/>
  <c r="AE16" i="11"/>
  <c r="L16" i="11"/>
  <c r="L15" i="11"/>
  <c r="AE15" i="11"/>
  <c r="X14" i="11"/>
  <c r="AE14" i="11"/>
  <c r="R14" i="11"/>
  <c r="L14" i="11"/>
  <c r="V14" i="11"/>
  <c r="L13" i="11"/>
  <c r="AE13" i="11"/>
  <c r="L12" i="11"/>
  <c r="AE12" i="11"/>
  <c r="AE11" i="11"/>
  <c r="L11" i="11"/>
  <c r="R9" i="11"/>
  <c r="L9" i="11"/>
  <c r="AE9" i="11"/>
  <c r="X9" i="11"/>
  <c r="V9" i="11"/>
  <c r="AE8" i="11"/>
  <c r="L8" i="11"/>
  <c r="AE7" i="11"/>
  <c r="L7" i="11"/>
  <c r="AE6" i="11"/>
  <c r="X6" i="11"/>
  <c r="V6" i="11"/>
  <c r="AE4" i="11"/>
  <c r="L4" i="11"/>
  <c r="AE3" i="11"/>
  <c r="V3" i="11"/>
  <c r="X3" i="11"/>
  <c r="N2" i="11"/>
  <c r="O2" i="11"/>
  <c r="R2" i="11"/>
  <c r="V2" i="11"/>
  <c r="AE2" i="11"/>
  <c r="X2" i="11"/>
  <c r="L2" i="11"/>
  <c r="AD4" i="11"/>
  <c r="AD5" i="11" s="1"/>
  <c r="AD6" i="11" s="1"/>
  <c r="AD7" i="11" s="1"/>
  <c r="AD8" i="11" s="1"/>
  <c r="AD9" i="11" s="1"/>
  <c r="AD10" i="11" s="1"/>
  <c r="AD11" i="11" s="1"/>
  <c r="AD12" i="11" s="1"/>
  <c r="AD13" i="11" s="1"/>
  <c r="AD14" i="11" s="1"/>
  <c r="AD15" i="11" s="1"/>
  <c r="AD16" i="11" s="1"/>
  <c r="AD17" i="11" s="1"/>
  <c r="AD18" i="11" s="1"/>
  <c r="AD19" i="11" s="1"/>
  <c r="AD20" i="11" s="1"/>
  <c r="AD21" i="11"/>
  <c r="AD22" i="11" s="1"/>
  <c r="AD23" i="11" s="1"/>
  <c r="AD24" i="11" s="1"/>
  <c r="AD25" i="11" s="1"/>
  <c r="AD26" i="11" s="1"/>
  <c r="AD27" i="11" s="1"/>
  <c r="AD28" i="11" s="1"/>
  <c r="AD29" i="11" s="1"/>
  <c r="AD30" i="11" s="1"/>
  <c r="AD31" i="11" s="1"/>
  <c r="AD32" i="11" s="1"/>
  <c r="AD33" i="11" s="1"/>
  <c r="AD34" i="11" s="1"/>
  <c r="AD35" i="11" s="1"/>
  <c r="AD36" i="11" s="1"/>
  <c r="AD37" i="11" s="1"/>
  <c r="AD38" i="11" s="1"/>
  <c r="AD39" i="11" s="1"/>
  <c r="AD40" i="11" s="1"/>
  <c r="AD41" i="11" s="1"/>
  <c r="AD42" i="11" s="1"/>
  <c r="AD43" i="11" s="1"/>
  <c r="AD44" i="11" s="1"/>
  <c r="AD45" i="11"/>
  <c r="AD46" i="11" s="1"/>
  <c r="AD47" i="11" s="1"/>
  <c r="AD48" i="11" s="1"/>
  <c r="AD49" i="11" s="1"/>
  <c r="AD50" i="11" s="1"/>
  <c r="AD51" i="11" s="1"/>
  <c r="AD52" i="11" s="1"/>
  <c r="AD53" i="11" s="1"/>
  <c r="AD54" i="11" s="1"/>
  <c r="AD55" i="11" s="1"/>
  <c r="AD56" i="11" s="1"/>
  <c r="AD57" i="11" s="1"/>
  <c r="AD58" i="11" s="1"/>
  <c r="AD59" i="11" s="1"/>
  <c r="AD60" i="11" s="1"/>
  <c r="AD61" i="11" s="1"/>
  <c r="AD62" i="11" s="1"/>
  <c r="AD63" i="11" s="1"/>
  <c r="AD64" i="11" s="1"/>
  <c r="AD65" i="11" s="1"/>
  <c r="AD66" i="11" s="1"/>
  <c r="AD67" i="11" s="1"/>
  <c r="AD68" i="11" s="1"/>
  <c r="AD69" i="11" s="1"/>
  <c r="AD70" i="11" s="1"/>
  <c r="AD71" i="11" s="1"/>
  <c r="AD72" i="11" s="1"/>
  <c r="AD73" i="11" s="1"/>
  <c r="AD74" i="11" s="1"/>
  <c r="AD75" i="11" s="1"/>
  <c r="AD76" i="11" s="1"/>
  <c r="AD77" i="11" s="1"/>
  <c r="AD78" i="11" s="1"/>
  <c r="AD79" i="11" s="1"/>
  <c r="AD80" i="11" s="1"/>
  <c r="AD81" i="11" s="1"/>
  <c r="AD82" i="11" s="1"/>
  <c r="AD83" i="11" s="1"/>
  <c r="AD84" i="11" s="1"/>
  <c r="AD85" i="11" s="1"/>
  <c r="AD86" i="11" s="1"/>
  <c r="AD87" i="11" s="1"/>
  <c r="AD88" i="11" s="1"/>
  <c r="AD89" i="11" s="1"/>
  <c r="AD90" i="11" s="1"/>
  <c r="AD91" i="11" s="1"/>
  <c r="AD92" i="11" s="1"/>
  <c r="AD93" i="11" s="1"/>
  <c r="AD94" i="11" s="1"/>
  <c r="AD95" i="11" s="1"/>
  <c r="AD96" i="11" s="1"/>
  <c r="AD97" i="11" s="1"/>
  <c r="AD98" i="11" s="1"/>
  <c r="AD99" i="11" s="1"/>
  <c r="AD100" i="11" s="1"/>
  <c r="AD101" i="11" s="1"/>
  <c r="AD102" i="11" s="1"/>
  <c r="AD103" i="11" s="1"/>
  <c r="AD104" i="11" s="1"/>
  <c r="AD105" i="11" s="1"/>
  <c r="AD106" i="11" s="1"/>
  <c r="AD107" i="11" s="1"/>
  <c r="AD108" i="11" s="1"/>
  <c r="AD109" i="11" s="1"/>
  <c r="AD110" i="11" s="1"/>
  <c r="AD111" i="11" s="1"/>
  <c r="AD112" i="11" s="1"/>
  <c r="AD113" i="11" s="1"/>
  <c r="AD114" i="11" s="1"/>
  <c r="AD115" i="11" s="1"/>
  <c r="AD116" i="11" s="1"/>
  <c r="AD117" i="11" s="1"/>
  <c r="AD118" i="11" s="1"/>
  <c r="AD119" i="11" s="1"/>
  <c r="AD120" i="11" s="1"/>
  <c r="AD121" i="11" s="1"/>
  <c r="AD122" i="11" s="1"/>
  <c r="AD123" i="11" s="1"/>
  <c r="AD124" i="11" s="1"/>
  <c r="AD125" i="11" s="1"/>
  <c r="AD126" i="11" s="1"/>
  <c r="AD127" i="11" s="1"/>
  <c r="AD128" i="11" s="1"/>
  <c r="AD129" i="11" s="1"/>
  <c r="AD130" i="11" s="1"/>
  <c r="AD131" i="11" s="1"/>
  <c r="AD132" i="11" s="1"/>
  <c r="AD133" i="11" s="1"/>
  <c r="AD134" i="11" s="1"/>
  <c r="AD135" i="11" s="1"/>
  <c r="AD136" i="11" s="1"/>
  <c r="AD137" i="11" s="1"/>
  <c r="AD138" i="11" s="1"/>
  <c r="AD139" i="11" s="1"/>
  <c r="AD140" i="11" s="1"/>
  <c r="AD141" i="11" s="1"/>
  <c r="AD142" i="11" s="1"/>
  <c r="AD143" i="11" s="1"/>
  <c r="AD144" i="11" s="1"/>
  <c r="AD145" i="11" s="1"/>
  <c r="AD146" i="11" s="1"/>
  <c r="AD147" i="11" s="1"/>
  <c r="AD148" i="11" s="1"/>
  <c r="AD149" i="11" s="1"/>
  <c r="AD150" i="11" s="1"/>
  <c r="AD151" i="11" s="1"/>
  <c r="AD152" i="11" s="1"/>
  <c r="AD153" i="11" s="1"/>
  <c r="AD154" i="11" s="1"/>
  <c r="AD155" i="11" s="1"/>
  <c r="AD156" i="11" s="1"/>
  <c r="AD157" i="11" s="1"/>
  <c r="AD158" i="11" s="1"/>
  <c r="AD159" i="11" s="1"/>
  <c r="AD160" i="11" s="1"/>
  <c r="AD161" i="11" s="1"/>
  <c r="AD162" i="11" s="1"/>
  <c r="AD163" i="11" s="1"/>
  <c r="AD164" i="11" s="1"/>
  <c r="AD165" i="11" s="1"/>
  <c r="AD166" i="11" s="1"/>
  <c r="AD167" i="11" s="1"/>
  <c r="AD168" i="11" s="1"/>
  <c r="AD169" i="11" s="1"/>
  <c r="AD170" i="11" s="1"/>
  <c r="AD171" i="11" s="1"/>
  <c r="AD172" i="11" s="1"/>
  <c r="AD173" i="11" s="1"/>
  <c r="AD174" i="11" s="1"/>
  <c r="AD175" i="11" s="1"/>
  <c r="AD176" i="11" s="1"/>
  <c r="AD177" i="11" s="1"/>
  <c r="AD178" i="11" s="1"/>
  <c r="AD179" i="11" s="1"/>
  <c r="AD180" i="11" s="1"/>
  <c r="AD181" i="11" s="1"/>
  <c r="AD182" i="11" s="1"/>
  <c r="AD183" i="11" s="1"/>
  <c r="AD184" i="11" s="1"/>
  <c r="AD185" i="11" s="1"/>
  <c r="AD186" i="11" s="1"/>
  <c r="AD187" i="11" s="1"/>
  <c r="AD188" i="11" s="1"/>
  <c r="AD189" i="11" s="1"/>
  <c r="AD190" i="11" s="1"/>
  <c r="AD191" i="11" s="1"/>
  <c r="AD192" i="11" s="1"/>
  <c r="AD193" i="11" s="1"/>
  <c r="AD194" i="11" s="1"/>
  <c r="AD195" i="11" s="1"/>
  <c r="AD196" i="11" s="1"/>
  <c r="AD197" i="11" s="1"/>
  <c r="AD198" i="11" s="1"/>
  <c r="AD199" i="11" s="1"/>
  <c r="AD200" i="11" s="1"/>
  <c r="AD201" i="11" s="1"/>
  <c r="AD202" i="11" s="1"/>
  <c r="AD203" i="11" s="1"/>
  <c r="AD204" i="11" s="1"/>
  <c r="AD205" i="11" s="1"/>
  <c r="AD206" i="11" s="1"/>
  <c r="AD207" i="11" s="1"/>
  <c r="AD208" i="11" s="1"/>
  <c r="AD209" i="11" s="1"/>
  <c r="AD210" i="11" s="1"/>
  <c r="AD211" i="11" s="1"/>
  <c r="AD212" i="11" s="1"/>
  <c r="AD213" i="11" s="1"/>
  <c r="AD214" i="11" s="1"/>
  <c r="AD215" i="11" s="1"/>
  <c r="AD216" i="11" s="1"/>
  <c r="AD217" i="11" s="1"/>
  <c r="AD218" i="11" s="1"/>
  <c r="AD219" i="11" s="1"/>
  <c r="AD220" i="11" s="1"/>
  <c r="AD221" i="11" s="1"/>
  <c r="AD222" i="11" s="1"/>
  <c r="AD223" i="11" s="1"/>
  <c r="AD224" i="11" s="1"/>
  <c r="AD225" i="11" s="1"/>
  <c r="AD226" i="11" s="1"/>
  <c r="AD227" i="11" s="1"/>
  <c r="AD228" i="11" s="1"/>
  <c r="AD229" i="11" s="1"/>
  <c r="AD230" i="11" s="1"/>
  <c r="AD231" i="11" s="1"/>
  <c r="AD232" i="11" s="1"/>
  <c r="AD233" i="11" s="1"/>
  <c r="AD234" i="11" s="1"/>
  <c r="AD235" i="11" s="1"/>
  <c r="AD236" i="11" s="1"/>
  <c r="AD237" i="11" s="1"/>
  <c r="AD238" i="11" s="1"/>
  <c r="AD239" i="11" s="1"/>
  <c r="AD240" i="11" s="1"/>
  <c r="AD241" i="11" s="1"/>
  <c r="AD242" i="11" s="1"/>
  <c r="AD243" i="11" s="1"/>
  <c r="AD244" i="11" s="1"/>
  <c r="AD245" i="11" s="1"/>
  <c r="AD246" i="11" s="1"/>
  <c r="AD247" i="11" s="1"/>
  <c r="AD248" i="11" s="1"/>
  <c r="AD249" i="11" s="1"/>
  <c r="AD250" i="11" s="1"/>
  <c r="AD251" i="11" s="1"/>
  <c r="AD252" i="11" s="1"/>
  <c r="AD253" i="11" s="1"/>
  <c r="AD254" i="11" s="1"/>
  <c r="AD255" i="11" s="1"/>
  <c r="AD256" i="11" s="1"/>
  <c r="AD257" i="11" s="1"/>
  <c r="AD258" i="11" s="1"/>
  <c r="AD259" i="11" s="1"/>
  <c r="AD260" i="11" s="1"/>
  <c r="AD261" i="11" s="1"/>
  <c r="AD262" i="11" s="1"/>
  <c r="AD263" i="11" s="1"/>
  <c r="AD264" i="11" s="1"/>
  <c r="AD265" i="11" s="1"/>
  <c r="AD266" i="11" s="1"/>
  <c r="AD267" i="11" s="1"/>
  <c r="AD268" i="11" s="1"/>
  <c r="AD269" i="11" s="1"/>
  <c r="AD270" i="11" s="1"/>
  <c r="AD271" i="11" s="1"/>
  <c r="AD272" i="11" s="1"/>
  <c r="AD273" i="11" s="1"/>
  <c r="AD274" i="11" s="1"/>
  <c r="AD275" i="11" s="1"/>
  <c r="AD276" i="11" s="1"/>
  <c r="AD277" i="11" s="1"/>
  <c r="AD278" i="11" s="1"/>
  <c r="AD279" i="11" s="1"/>
  <c r="AD280" i="11" s="1"/>
  <c r="AD281" i="11" s="1"/>
  <c r="AD282" i="11" s="1"/>
  <c r="AD283" i="11" s="1"/>
  <c r="AD284" i="11" s="1"/>
  <c r="AD285" i="11" s="1"/>
  <c r="AD286" i="11" s="1"/>
  <c r="AD287" i="11" s="1"/>
  <c r="AD288" i="11" s="1"/>
  <c r="AD289" i="11" s="1"/>
  <c r="AD290" i="11" s="1"/>
  <c r="AD291" i="11" s="1"/>
  <c r="AD292" i="11" s="1"/>
  <c r="AD293" i="11" s="1"/>
  <c r="AD294" i="11" s="1"/>
  <c r="AD295" i="11" s="1"/>
  <c r="AD296" i="11" s="1"/>
  <c r="AD297" i="11" s="1"/>
  <c r="AD298" i="11" s="1"/>
  <c r="AD299" i="11" s="1"/>
  <c r="AD300" i="11" s="1"/>
  <c r="AD301" i="11" s="1"/>
  <c r="AD302" i="11" s="1"/>
  <c r="AD303" i="11" s="1"/>
  <c r="AD304" i="11" s="1"/>
  <c r="AD305" i="11" s="1"/>
  <c r="AD306" i="11" s="1"/>
  <c r="AD307" i="11" s="1"/>
  <c r="AD308" i="11" s="1"/>
  <c r="AD309" i="11" s="1"/>
  <c r="AD310" i="11" s="1"/>
  <c r="AD311" i="11" s="1"/>
  <c r="AD312" i="11" s="1"/>
  <c r="AD313" i="11" s="1"/>
  <c r="AD314" i="11" s="1"/>
  <c r="AD315" i="11" s="1"/>
  <c r="AD316" i="11" s="1"/>
  <c r="AD317" i="11" s="1"/>
  <c r="AD318" i="11" s="1"/>
  <c r="AD319" i="11" s="1"/>
  <c r="AD320" i="11" s="1"/>
  <c r="AD321" i="11" s="1"/>
  <c r="AD322" i="11" s="1"/>
  <c r="AD323" i="11" s="1"/>
  <c r="AD324" i="11" s="1"/>
  <c r="AD325" i="11" s="1"/>
  <c r="AD326" i="11" s="1"/>
  <c r="AD327" i="11" s="1"/>
  <c r="AD328" i="11" s="1"/>
  <c r="AD329" i="11" s="1"/>
  <c r="AD330" i="11" s="1"/>
  <c r="AD331" i="11" s="1"/>
  <c r="AD332" i="11" s="1"/>
  <c r="AD333" i="11" s="1"/>
  <c r="AD334" i="11" s="1"/>
  <c r="AD335" i="11" s="1"/>
  <c r="AD336" i="11" s="1"/>
  <c r="AD337" i="11" s="1"/>
  <c r="AD338" i="11" s="1"/>
  <c r="AD339" i="11" s="1"/>
  <c r="AD340" i="11" s="1"/>
  <c r="AD341" i="11" s="1"/>
  <c r="AD342" i="11" s="1"/>
  <c r="AD343" i="11" s="1"/>
  <c r="AD344" i="11" s="1"/>
  <c r="AD345" i="11" s="1"/>
  <c r="AD346" i="11" s="1"/>
  <c r="AD347" i="11" s="1"/>
  <c r="AD348" i="11" s="1"/>
  <c r="AD349" i="11" s="1"/>
  <c r="AD350" i="11" s="1"/>
  <c r="AD351" i="11" s="1"/>
  <c r="AD352" i="11" s="1"/>
  <c r="AD353" i="11" s="1"/>
  <c r="AD354" i="11" s="1"/>
  <c r="AD355" i="11" s="1"/>
  <c r="AD356" i="11" s="1"/>
  <c r="AD357" i="11" s="1"/>
  <c r="AD358" i="11" s="1"/>
  <c r="AD359" i="11" s="1"/>
  <c r="AD360" i="11" s="1"/>
  <c r="AD361" i="11" s="1"/>
  <c r="AD362" i="11" s="1"/>
  <c r="AD363" i="11" s="1"/>
  <c r="AD364" i="11" s="1"/>
  <c r="AD365" i="11" s="1"/>
  <c r="AD366" i="11" s="1"/>
  <c r="AD367" i="11" s="1"/>
  <c r="AD368" i="11" s="1"/>
  <c r="AD369" i="11" s="1"/>
  <c r="AD370" i="11" s="1"/>
  <c r="AD371" i="11" s="1"/>
  <c r="AD372" i="11" s="1"/>
  <c r="AD373" i="11" s="1"/>
  <c r="AD374" i="11" s="1"/>
  <c r="AD375" i="11" s="1"/>
  <c r="AD376" i="11" s="1"/>
  <c r="AD377" i="11" s="1"/>
  <c r="AD378" i="11" s="1"/>
  <c r="AD379" i="11" s="1"/>
  <c r="AD380" i="11" s="1"/>
  <c r="AD381" i="11" s="1"/>
  <c r="AD382" i="11" s="1"/>
  <c r="AD383" i="11" s="1"/>
  <c r="AD384" i="11" s="1"/>
  <c r="AD385" i="11" s="1"/>
  <c r="AD386" i="11" s="1"/>
  <c r="AD387" i="11" s="1"/>
  <c r="AD388" i="11" s="1"/>
  <c r="AD389" i="11" s="1"/>
  <c r="AD390" i="11" s="1"/>
  <c r="AD391" i="11" s="1"/>
  <c r="AD392" i="11" s="1"/>
  <c r="AD393" i="11" s="1"/>
  <c r="AD394" i="11" s="1"/>
  <c r="AD395" i="11" s="1"/>
  <c r="AD396" i="11" s="1"/>
  <c r="AD397" i="11" s="1"/>
  <c r="AD398" i="11" s="1"/>
  <c r="AD399" i="11" s="1"/>
  <c r="AD400" i="11" s="1"/>
  <c r="AD401" i="11" s="1"/>
  <c r="AD402" i="11" s="1"/>
  <c r="AD403" i="11" s="1"/>
  <c r="AD404" i="11" s="1"/>
  <c r="AD405" i="11" s="1"/>
  <c r="AD406" i="11" s="1"/>
  <c r="AD407" i="11" s="1"/>
  <c r="AD408" i="11" s="1"/>
  <c r="AD409" i="11" s="1"/>
  <c r="AD410" i="11" s="1"/>
  <c r="AD411" i="11" s="1"/>
  <c r="AD412" i="11" s="1"/>
  <c r="AD413" i="11" s="1"/>
  <c r="AD414" i="11" s="1"/>
  <c r="AD415" i="11" s="1"/>
  <c r="AD416" i="11" s="1"/>
  <c r="AD417" i="11" s="1"/>
  <c r="AD418" i="11" s="1"/>
  <c r="AD419" i="11" s="1"/>
  <c r="AD420" i="11" s="1"/>
  <c r="AD421" i="11" s="1"/>
  <c r="AD422" i="11" s="1"/>
  <c r="AD423" i="11" s="1"/>
  <c r="AD424" i="11" s="1"/>
  <c r="AD425" i="11" s="1"/>
  <c r="AD426" i="11" s="1"/>
  <c r="AD427" i="11" s="1"/>
  <c r="AD428" i="11" s="1"/>
  <c r="AD429" i="11" s="1"/>
  <c r="AD430" i="11" s="1"/>
  <c r="AD431" i="11" s="1"/>
  <c r="AD432" i="11" s="1"/>
  <c r="AD433" i="11" s="1"/>
  <c r="AD434" i="11" s="1"/>
  <c r="AD435" i="11" s="1"/>
  <c r="AD436" i="11" s="1"/>
  <c r="AD437" i="11" s="1"/>
  <c r="AD438" i="11" s="1"/>
  <c r="AD439" i="11" s="1"/>
  <c r="AD440" i="11" s="1"/>
  <c r="AD441" i="11" s="1"/>
  <c r="AD442" i="11" s="1"/>
  <c r="AD443" i="11" s="1"/>
  <c r="AD444" i="11" s="1"/>
  <c r="AD445" i="11" s="1"/>
  <c r="AD446" i="11" s="1"/>
  <c r="AD447" i="11" s="1"/>
  <c r="AD448" i="11" s="1"/>
  <c r="AD449" i="11" s="1"/>
  <c r="AD450" i="11" s="1"/>
  <c r="AD451" i="11" s="1"/>
  <c r="AD452" i="11" s="1"/>
  <c r="AD453" i="11" s="1"/>
  <c r="AD454" i="11" s="1"/>
  <c r="AD455" i="11" s="1"/>
  <c r="AD456" i="11" s="1"/>
  <c r="AD457" i="11" s="1"/>
  <c r="AD458" i="11" s="1"/>
  <c r="AD459" i="11" s="1"/>
  <c r="AD460" i="11" s="1"/>
  <c r="AD461" i="11" s="1"/>
  <c r="AD462" i="11" s="1"/>
  <c r="AD463" i="11" s="1"/>
  <c r="AD464" i="11" s="1"/>
  <c r="AD465" i="11" s="1"/>
  <c r="AD466" i="11" s="1"/>
  <c r="AD467" i="11" s="1"/>
  <c r="AD468" i="11" s="1"/>
  <c r="AD469" i="11" s="1"/>
  <c r="AD470" i="11" s="1"/>
  <c r="AD471" i="11" s="1"/>
  <c r="AD472" i="11" s="1"/>
  <c r="AD473" i="11" s="1"/>
  <c r="AD474" i="11" s="1"/>
  <c r="AD475" i="11" s="1"/>
  <c r="AD476" i="11" s="1"/>
  <c r="AD477" i="11" s="1"/>
  <c r="AD478" i="11" s="1"/>
  <c r="AD479" i="11" s="1"/>
  <c r="AD480" i="11" s="1"/>
  <c r="AD481" i="11" s="1"/>
  <c r="AD482" i="11" s="1"/>
  <c r="AD483" i="11" s="1"/>
  <c r="AD484" i="11" s="1"/>
  <c r="AD485" i="11" s="1"/>
  <c r="AD486" i="11" s="1"/>
  <c r="AD487" i="11" s="1"/>
  <c r="AD488" i="11" s="1"/>
  <c r="AD489" i="11" s="1"/>
  <c r="AD490" i="11" s="1"/>
  <c r="AD491" i="11" s="1"/>
  <c r="AD492" i="11" s="1"/>
  <c r="AD493" i="11" s="1"/>
  <c r="AD494" i="11" s="1"/>
  <c r="AD495" i="11" s="1"/>
  <c r="AD496" i="11" s="1"/>
  <c r="AD497" i="11" s="1"/>
  <c r="AD498" i="11" s="1"/>
  <c r="AD499" i="11" s="1"/>
  <c r="AD500" i="11" s="1"/>
  <c r="AD501" i="11" s="1"/>
  <c r="AD502" i="11" s="1"/>
  <c r="AD503" i="11" s="1"/>
  <c r="AD504" i="11" s="1"/>
  <c r="AD505" i="11" s="1"/>
  <c r="AD506" i="11" s="1"/>
  <c r="AD507" i="11" s="1"/>
  <c r="AD508" i="11" s="1"/>
  <c r="AD509" i="11" s="1"/>
  <c r="AD510" i="11" s="1"/>
  <c r="AD511" i="11" s="1"/>
  <c r="AD512" i="11" s="1"/>
  <c r="AD513" i="11" s="1"/>
  <c r="AD514" i="11" s="1"/>
  <c r="AD515" i="11" s="1"/>
  <c r="AD516" i="11" s="1"/>
  <c r="AD517" i="11" s="1"/>
  <c r="AD518" i="11" s="1"/>
  <c r="AD519" i="11" s="1"/>
  <c r="AD520" i="11" s="1"/>
  <c r="AD521" i="11" s="1"/>
  <c r="AD522" i="11" s="1"/>
  <c r="AD523" i="11" s="1"/>
  <c r="AD524" i="11" s="1"/>
  <c r="AD525" i="11" s="1"/>
  <c r="AD526" i="11" s="1"/>
  <c r="AD527" i="11" s="1"/>
  <c r="AD528" i="11" s="1"/>
  <c r="AD529" i="11" s="1"/>
  <c r="AD530" i="11" s="1"/>
  <c r="AD531" i="11" s="1"/>
  <c r="AD532" i="11" s="1"/>
  <c r="AD533" i="11" s="1"/>
  <c r="AD534" i="11" s="1"/>
  <c r="AD535" i="11" s="1"/>
  <c r="AD536" i="11" s="1"/>
  <c r="AD537" i="11" s="1"/>
  <c r="AD538" i="11" s="1"/>
  <c r="AD539" i="11" s="1"/>
  <c r="AD540" i="11" s="1"/>
  <c r="AD541" i="11" s="1"/>
  <c r="AD542" i="11" s="1"/>
  <c r="AD543" i="11" s="1"/>
  <c r="AD544" i="11" s="1"/>
  <c r="AD545" i="11" s="1"/>
  <c r="AD546" i="11" s="1"/>
  <c r="AD547" i="11" s="1"/>
  <c r="AD548" i="11" s="1"/>
  <c r="AD549" i="11" s="1"/>
  <c r="AD550" i="11" s="1"/>
  <c r="AD551" i="11" s="1"/>
  <c r="AD552" i="11" s="1"/>
  <c r="AD553" i="11" s="1"/>
  <c r="AD554" i="11" s="1"/>
  <c r="AD555" i="11" s="1"/>
  <c r="AD556" i="11" s="1"/>
  <c r="AD557" i="11" s="1"/>
  <c r="AD558" i="11" s="1"/>
  <c r="AD559" i="11" s="1"/>
  <c r="AD560" i="11" s="1"/>
  <c r="AD561" i="11" s="1"/>
  <c r="AD562" i="11" s="1"/>
  <c r="AD563" i="11" s="1"/>
  <c r="AD564" i="11" s="1"/>
  <c r="AD565" i="11" s="1"/>
  <c r="AD566" i="11" s="1"/>
  <c r="AD567" i="11" s="1"/>
  <c r="AD568" i="11" s="1"/>
  <c r="AD569" i="11" s="1"/>
  <c r="AD570" i="11" s="1"/>
  <c r="AD571" i="11" s="1"/>
  <c r="AD572" i="11" s="1"/>
  <c r="AD573" i="11" s="1"/>
  <c r="AD574" i="11" s="1"/>
  <c r="AD575" i="11" s="1"/>
  <c r="AD576" i="11" s="1"/>
  <c r="AD577" i="11" s="1"/>
  <c r="AD578" i="11" s="1"/>
  <c r="AD579" i="11" s="1"/>
  <c r="AD580" i="11" s="1"/>
  <c r="AD581" i="11" s="1"/>
  <c r="AD582" i="11" s="1"/>
  <c r="AD583" i="11" s="1"/>
  <c r="AD584" i="11" s="1"/>
  <c r="AD585" i="11" s="1"/>
  <c r="AD586" i="11" s="1"/>
  <c r="AD587" i="11" s="1"/>
  <c r="AD588" i="11" s="1"/>
  <c r="AD589" i="11" s="1"/>
  <c r="AD590" i="11" s="1"/>
  <c r="AD591" i="11" s="1"/>
  <c r="AD592" i="11" s="1"/>
  <c r="AD593" i="11" s="1"/>
  <c r="AD594" i="11" s="1"/>
  <c r="AD595" i="11" s="1"/>
  <c r="AD596" i="11" s="1"/>
  <c r="AD597" i="11" s="1"/>
  <c r="AD598" i="11" s="1"/>
  <c r="AD599" i="11" s="1"/>
  <c r="AD600" i="11" s="1"/>
  <c r="AD601" i="11" s="1"/>
  <c r="AD602" i="11" s="1"/>
  <c r="AD603" i="11" s="1"/>
  <c r="AD604" i="11" s="1"/>
  <c r="AD605" i="11" s="1"/>
  <c r="AD606" i="11" s="1"/>
  <c r="AD607" i="11" s="1"/>
  <c r="AD608" i="11" s="1"/>
  <c r="AD609" i="11" s="1"/>
  <c r="AD610" i="11" s="1"/>
  <c r="AD611" i="11" s="1"/>
  <c r="AD612" i="11" s="1"/>
  <c r="AD613" i="11" s="1"/>
  <c r="AD614" i="11" s="1"/>
  <c r="AD615" i="11" s="1"/>
  <c r="AD616" i="11" s="1"/>
  <c r="AD617" i="11" s="1"/>
  <c r="AD618" i="11" s="1"/>
  <c r="AD619" i="11" s="1"/>
  <c r="AD620" i="11" s="1"/>
  <c r="AD621" i="11" s="1"/>
  <c r="AD622" i="11" s="1"/>
  <c r="AD623" i="11" s="1"/>
  <c r="AD624" i="11" s="1"/>
  <c r="AD625" i="11" s="1"/>
  <c r="AD626" i="11" s="1"/>
  <c r="AD627" i="11" s="1"/>
  <c r="AD628" i="11" s="1"/>
  <c r="AD629" i="11" s="1"/>
  <c r="AD630" i="11" s="1"/>
  <c r="AD631" i="11" s="1"/>
  <c r="AD632" i="11" s="1"/>
  <c r="AD633" i="11" s="1"/>
  <c r="AD634" i="11" s="1"/>
  <c r="AD635" i="11" s="1"/>
  <c r="AD636" i="11" s="1"/>
  <c r="AD637" i="11" s="1"/>
  <c r="AD638" i="11" s="1"/>
  <c r="AD639" i="11" s="1"/>
  <c r="AD640" i="11" s="1"/>
  <c r="AD641" i="11" s="1"/>
  <c r="AD642" i="11" s="1"/>
  <c r="AD643" i="11" s="1"/>
  <c r="AD644" i="11" s="1"/>
  <c r="AD645" i="11" s="1"/>
  <c r="AD646" i="11" s="1"/>
  <c r="AD647" i="11" s="1"/>
  <c r="AD648" i="11" s="1"/>
  <c r="AD649" i="11" s="1"/>
  <c r="AD650" i="11" s="1"/>
  <c r="AD651" i="11" s="1"/>
  <c r="AD652" i="11" s="1"/>
  <c r="AD653" i="11" s="1"/>
  <c r="AD654" i="11" s="1"/>
  <c r="AD655" i="11" s="1"/>
  <c r="AD656" i="11" s="1"/>
  <c r="AD657" i="11" s="1"/>
  <c r="AD658" i="11" s="1"/>
  <c r="AD659" i="11" s="1"/>
  <c r="AD660" i="11" s="1"/>
  <c r="AD661" i="11" s="1"/>
  <c r="AD662" i="11" s="1"/>
  <c r="AD663" i="11" s="1"/>
  <c r="AD664" i="11" s="1"/>
  <c r="AD665" i="11" s="1"/>
  <c r="AD666" i="11" s="1"/>
  <c r="AD667" i="11" s="1"/>
  <c r="AD668" i="11" s="1"/>
  <c r="AD669" i="11" s="1"/>
  <c r="AD670" i="11" s="1"/>
  <c r="AD671" i="11" s="1"/>
  <c r="AD672" i="11" s="1"/>
  <c r="AD673" i="11" s="1"/>
  <c r="AD674" i="11" s="1"/>
  <c r="AD675" i="11" s="1"/>
  <c r="AD676" i="11" s="1"/>
  <c r="AD677" i="11" s="1"/>
  <c r="AD678" i="11" s="1"/>
  <c r="AD679" i="11" s="1"/>
  <c r="AD680" i="11" s="1"/>
  <c r="AD681" i="11" s="1"/>
  <c r="AD682" i="11" s="1"/>
  <c r="AD683" i="11" s="1"/>
  <c r="AD684" i="11" s="1"/>
  <c r="AD685" i="11" s="1"/>
  <c r="AD686" i="11" s="1"/>
  <c r="AD687" i="11" s="1"/>
  <c r="AD688" i="11" s="1"/>
  <c r="AD689" i="11" s="1"/>
  <c r="AD690" i="11" s="1"/>
  <c r="AD691" i="11" s="1"/>
  <c r="AD692" i="11" s="1"/>
  <c r="AD693" i="11" s="1"/>
  <c r="AD694" i="11" s="1"/>
  <c r="AD695" i="11" s="1"/>
  <c r="AD696" i="11" s="1"/>
  <c r="AD697" i="11" s="1"/>
  <c r="AD698" i="11" s="1"/>
  <c r="AD699" i="11" s="1"/>
  <c r="AD700" i="11" s="1"/>
  <c r="AD701" i="11" s="1"/>
  <c r="AD702" i="11" s="1"/>
  <c r="AD703" i="11" s="1"/>
  <c r="AD704" i="11" s="1"/>
  <c r="AD705" i="11" s="1"/>
  <c r="AD706" i="11" s="1"/>
  <c r="AD707" i="11" s="1"/>
  <c r="AD708" i="11" s="1"/>
  <c r="AD709" i="11" s="1"/>
  <c r="AD710" i="11" s="1"/>
  <c r="AD711" i="11" s="1"/>
  <c r="AD712" i="11" s="1"/>
  <c r="AD713" i="11" s="1"/>
  <c r="AD714" i="11" s="1"/>
  <c r="AD715" i="11" s="1"/>
  <c r="AD716" i="11" s="1"/>
  <c r="AD717" i="11" s="1"/>
  <c r="AD718" i="11" s="1"/>
  <c r="AD719" i="11" s="1"/>
  <c r="AD720" i="11" s="1"/>
  <c r="AD721" i="11" s="1"/>
  <c r="AD722" i="11" s="1"/>
  <c r="AD723" i="11" s="1"/>
  <c r="AD724" i="11" s="1"/>
  <c r="AD725" i="11" s="1"/>
  <c r="AD726" i="11" s="1"/>
  <c r="AD727" i="11" s="1"/>
  <c r="AD728" i="11" s="1"/>
  <c r="AD729" i="11" s="1"/>
  <c r="AD730" i="11" s="1"/>
  <c r="AD731" i="11" s="1"/>
  <c r="AD732" i="11" s="1"/>
  <c r="AD733" i="11" s="1"/>
  <c r="AD734" i="11" s="1"/>
  <c r="AD735" i="11" s="1"/>
  <c r="AD736" i="11" s="1"/>
  <c r="AD737" i="11" s="1"/>
  <c r="AD738" i="11" s="1"/>
  <c r="AD739" i="11" s="1"/>
  <c r="AD740" i="11" s="1"/>
  <c r="AD741" i="11" s="1"/>
  <c r="AD742" i="11" s="1"/>
  <c r="AD743" i="11" s="1"/>
  <c r="AD744" i="11" s="1"/>
  <c r="AD745" i="11" s="1"/>
  <c r="AD746" i="11" s="1"/>
  <c r="AD747" i="11" s="1"/>
  <c r="AD748" i="11" s="1"/>
  <c r="AD749" i="11" s="1"/>
  <c r="AD750" i="11" s="1"/>
  <c r="AD751" i="11" s="1"/>
  <c r="AD752" i="11" s="1"/>
  <c r="AD753" i="11" s="1"/>
  <c r="AD754" i="11" s="1"/>
  <c r="AD755" i="11" s="1"/>
  <c r="AD756" i="11" s="1"/>
  <c r="AD757" i="11" s="1"/>
  <c r="AD758" i="11" s="1"/>
  <c r="AD759" i="11" s="1"/>
  <c r="AD760" i="11" s="1"/>
  <c r="AD761" i="11" s="1"/>
  <c r="AD762" i="11" s="1"/>
  <c r="AD763" i="11" s="1"/>
  <c r="AD764" i="11" s="1"/>
  <c r="AD765" i="11" s="1"/>
  <c r="AD766" i="11" s="1"/>
  <c r="AD767" i="11" s="1"/>
  <c r="AD768" i="11" s="1"/>
  <c r="AD769" i="11" s="1"/>
  <c r="AD770" i="11" s="1"/>
  <c r="AD771" i="11" s="1"/>
  <c r="AD772" i="11" s="1"/>
  <c r="AD773" i="11" s="1"/>
  <c r="AD774" i="11" s="1"/>
  <c r="AD775" i="11" s="1"/>
  <c r="AD776" i="11" s="1"/>
  <c r="AD777" i="11" s="1"/>
  <c r="AD778" i="11" s="1"/>
  <c r="AD779" i="11" s="1"/>
  <c r="AD780" i="11" s="1"/>
  <c r="AD781" i="11" s="1"/>
  <c r="AD782" i="11" s="1"/>
  <c r="AD783" i="11" s="1"/>
  <c r="AD784" i="11" s="1"/>
  <c r="AD785" i="11" s="1"/>
  <c r="AD786" i="11" s="1"/>
  <c r="AD787" i="11" s="1"/>
  <c r="AD788" i="11" s="1"/>
  <c r="AD789" i="11" s="1"/>
  <c r="AD790" i="11" s="1"/>
  <c r="AD791" i="11" s="1"/>
  <c r="AD792" i="11" s="1"/>
  <c r="AD793" i="11" s="1"/>
  <c r="AD794" i="11" s="1"/>
  <c r="AD795" i="11" s="1"/>
  <c r="AD796" i="11" s="1"/>
  <c r="AD797" i="11" s="1"/>
  <c r="AD798" i="11" s="1"/>
  <c r="AD799" i="11" s="1"/>
  <c r="AD800" i="11" s="1"/>
  <c r="AD801" i="11" s="1"/>
  <c r="AD802" i="11" s="1"/>
  <c r="AD803" i="11" s="1"/>
  <c r="AD804" i="11" s="1"/>
  <c r="AD805" i="11" s="1"/>
  <c r="AD806" i="11" s="1"/>
  <c r="AD807" i="11" s="1"/>
  <c r="AD808" i="11" s="1"/>
  <c r="AD809" i="11" s="1"/>
  <c r="AD810" i="11" s="1"/>
  <c r="AD811" i="11" s="1"/>
  <c r="AD812" i="11" s="1"/>
  <c r="AD813" i="11" s="1"/>
  <c r="AD814" i="11" s="1"/>
  <c r="AD815" i="11" s="1"/>
  <c r="AD816" i="11" s="1"/>
  <c r="AD817" i="11" s="1"/>
  <c r="AD818" i="11" s="1"/>
  <c r="AD819" i="11" s="1"/>
  <c r="AD820" i="11" s="1"/>
  <c r="AD821" i="11" s="1"/>
  <c r="AD822" i="11" s="1"/>
  <c r="AD823" i="11" s="1"/>
  <c r="AD824" i="11" s="1"/>
  <c r="AD825" i="11" s="1"/>
  <c r="AD826" i="11" s="1"/>
  <c r="AD827" i="11" s="1"/>
  <c r="AD828" i="11" s="1"/>
  <c r="AD829" i="11" s="1"/>
  <c r="AD830" i="11" s="1"/>
  <c r="AD831" i="11" s="1"/>
  <c r="AD832" i="11" s="1"/>
  <c r="AD833" i="11" s="1"/>
  <c r="AD834" i="11" s="1"/>
  <c r="AD835" i="11" s="1"/>
  <c r="AD836" i="11" s="1"/>
  <c r="AD837" i="11" s="1"/>
  <c r="AD838" i="11" s="1"/>
  <c r="AD839" i="11" s="1"/>
  <c r="AD840" i="11" s="1"/>
  <c r="AD841" i="11" s="1"/>
  <c r="AD842" i="11" s="1"/>
  <c r="AD843" i="11" s="1"/>
  <c r="AD844" i="11" s="1"/>
  <c r="AD845" i="11" s="1"/>
  <c r="AD846" i="11" s="1"/>
  <c r="AD847" i="11" s="1"/>
  <c r="AD848" i="11" s="1"/>
  <c r="AD849" i="11" s="1"/>
  <c r="AD850" i="11" s="1"/>
  <c r="AD851" i="11" s="1"/>
  <c r="AD852" i="11" s="1"/>
  <c r="AD853" i="11" s="1"/>
  <c r="AD854" i="11" s="1"/>
  <c r="AD855" i="11" s="1"/>
  <c r="AD856" i="11" s="1"/>
  <c r="AD857" i="11" s="1"/>
  <c r="AD858" i="11" s="1"/>
  <c r="AD859" i="11" s="1"/>
  <c r="AD860" i="11" s="1"/>
  <c r="AD861" i="11" s="1"/>
  <c r="AD862" i="11" s="1"/>
  <c r="AD863" i="11" s="1"/>
  <c r="AD864" i="11" s="1"/>
  <c r="AD865" i="11" s="1"/>
  <c r="AD866" i="11" s="1"/>
  <c r="AD867" i="11" s="1"/>
  <c r="AD868" i="11" s="1"/>
  <c r="AD869" i="11" s="1"/>
  <c r="AD870" i="11" s="1"/>
  <c r="AD871" i="11" s="1"/>
  <c r="AD872" i="11" s="1"/>
  <c r="AD873" i="11" s="1"/>
  <c r="AD874" i="11" s="1"/>
  <c r="AD875" i="11" s="1"/>
  <c r="AD876" i="11" s="1"/>
  <c r="AD877" i="11" s="1"/>
  <c r="AD878" i="11" s="1"/>
  <c r="AD879" i="11" s="1"/>
  <c r="AD880" i="11" s="1"/>
  <c r="AD881" i="11" s="1"/>
  <c r="AD882" i="11" s="1"/>
  <c r="AD883" i="11" s="1"/>
  <c r="AD884" i="11" s="1"/>
  <c r="AD885" i="11" s="1"/>
  <c r="AD886" i="11" s="1"/>
  <c r="AD887" i="11" s="1"/>
  <c r="AD888" i="11" s="1"/>
  <c r="AD889" i="11" s="1"/>
  <c r="AD890" i="11" s="1"/>
  <c r="AD891" i="11" s="1"/>
  <c r="AD892" i="11" s="1"/>
  <c r="AD893" i="11" s="1"/>
  <c r="AD894" i="11" s="1"/>
  <c r="AD895" i="11" s="1"/>
  <c r="AD896" i="11" s="1"/>
  <c r="AD897" i="11" s="1"/>
  <c r="AD898" i="11" s="1"/>
  <c r="AD899" i="11" s="1"/>
  <c r="AD900" i="11" s="1"/>
  <c r="AD901" i="11" s="1"/>
  <c r="AD902" i="11" s="1"/>
  <c r="AD903" i="11" s="1"/>
  <c r="AD904" i="11" s="1"/>
  <c r="AD905" i="11" s="1"/>
  <c r="AD906" i="11" s="1"/>
  <c r="AD907" i="11" s="1"/>
  <c r="AD908" i="11" s="1"/>
  <c r="AD909" i="11" s="1"/>
  <c r="AD910" i="11" s="1"/>
  <c r="AD911" i="11" s="1"/>
  <c r="AD912" i="11" s="1"/>
  <c r="AD913" i="11" s="1"/>
  <c r="AD914" i="11" s="1"/>
  <c r="AD915" i="11" s="1"/>
  <c r="AD916" i="11" s="1"/>
  <c r="AD917" i="11" s="1"/>
  <c r="AD918" i="11" s="1"/>
  <c r="AD919" i="11" s="1"/>
  <c r="AD920" i="11" s="1"/>
  <c r="AD921" i="11" s="1"/>
  <c r="AD922" i="11" s="1"/>
  <c r="AD923" i="11" s="1"/>
  <c r="AD924" i="11" s="1"/>
  <c r="AD925" i="11" s="1"/>
  <c r="AD926" i="11" s="1"/>
  <c r="AD927" i="11" s="1"/>
  <c r="AD928" i="11" s="1"/>
  <c r="AD929" i="11" s="1"/>
  <c r="AD930" i="11" s="1"/>
  <c r="AD931" i="11" s="1"/>
  <c r="AD932" i="11" s="1"/>
  <c r="AD933" i="11" s="1"/>
  <c r="AD934" i="11" s="1"/>
  <c r="AD935" i="11" s="1"/>
  <c r="AD936" i="11" s="1"/>
  <c r="AD937" i="11" s="1"/>
  <c r="AD938" i="11" s="1"/>
  <c r="AD939" i="11" s="1"/>
  <c r="AD940" i="11" s="1"/>
  <c r="AD941" i="11" s="1"/>
  <c r="AD942" i="11" s="1"/>
  <c r="AD943" i="11" s="1"/>
  <c r="AD944" i="11" s="1"/>
  <c r="AD945" i="11" s="1"/>
  <c r="AD946" i="11" s="1"/>
  <c r="AD947" i="11" s="1"/>
  <c r="AD948" i="11" s="1"/>
  <c r="AD949" i="11" s="1"/>
  <c r="AD950" i="11" s="1"/>
  <c r="AD951" i="11" s="1"/>
  <c r="AD952" i="11" s="1"/>
  <c r="AD953" i="11" s="1"/>
  <c r="AD954" i="11" s="1"/>
  <c r="AD955" i="11" s="1"/>
  <c r="AD956" i="11" s="1"/>
  <c r="AD957" i="11" s="1"/>
  <c r="AD958" i="11" s="1"/>
  <c r="AD959" i="11" s="1"/>
  <c r="AD960" i="11" s="1"/>
  <c r="AD961" i="11" s="1"/>
  <c r="AD962" i="11" s="1"/>
  <c r="AD963" i="11" s="1"/>
  <c r="AD964" i="11" s="1"/>
  <c r="AD965" i="11" s="1"/>
  <c r="AD966" i="11" s="1"/>
  <c r="AD967" i="11" s="1"/>
  <c r="AD968" i="11" s="1"/>
  <c r="AD969" i="11" s="1"/>
  <c r="AD970" i="11" s="1"/>
  <c r="AD971" i="11" s="1"/>
  <c r="AD972" i="11" s="1"/>
  <c r="AD973" i="11" s="1"/>
  <c r="AD974" i="11" s="1"/>
  <c r="AD975" i="11" s="1"/>
  <c r="AD976" i="11" s="1"/>
  <c r="AD977" i="11" s="1"/>
  <c r="AD978" i="11" s="1"/>
  <c r="AD979" i="11" s="1"/>
  <c r="AD980" i="11" s="1"/>
  <c r="AD981" i="11" s="1"/>
  <c r="AD982" i="11" s="1"/>
  <c r="AD983" i="11" s="1"/>
  <c r="AD984" i="11" s="1"/>
  <c r="AD985" i="11" s="1"/>
  <c r="AD986" i="11" s="1"/>
  <c r="AD987" i="11" s="1"/>
  <c r="AD988" i="11" s="1"/>
  <c r="AD989" i="11" s="1"/>
  <c r="AD990" i="11" s="1"/>
  <c r="AD991" i="11" s="1"/>
  <c r="AD992" i="11" s="1"/>
  <c r="AD993" i="11" s="1"/>
  <c r="AD994" i="11" s="1"/>
  <c r="AD995" i="11" s="1"/>
  <c r="AD996" i="11" s="1"/>
  <c r="AD997" i="11" s="1"/>
  <c r="AD998" i="11" s="1"/>
  <c r="AD999" i="11" s="1"/>
  <c r="AD1000" i="11" s="1"/>
  <c r="AD1001" i="11" s="1"/>
  <c r="AD1002" i="11" s="1"/>
  <c r="AD1003" i="11" s="1"/>
  <c r="AD1004" i="11" s="1"/>
  <c r="AD1005" i="11" s="1"/>
  <c r="AD1006" i="11" s="1"/>
  <c r="AD1007" i="11" s="1"/>
  <c r="AD1008" i="11" s="1"/>
  <c r="AD1009" i="11" s="1"/>
  <c r="AD1010" i="11" s="1"/>
  <c r="AD1011" i="11" s="1"/>
  <c r="AD1012" i="11" s="1"/>
  <c r="AD1013" i="11" s="1"/>
  <c r="AD1014" i="11" s="1"/>
  <c r="AD1015" i="11" s="1"/>
  <c r="AD1016" i="11" s="1"/>
  <c r="AD1017" i="11" s="1"/>
  <c r="AD1018" i="11" s="1"/>
  <c r="AD1019" i="11" s="1"/>
  <c r="AD1020" i="11" s="1"/>
  <c r="AD1021" i="11" s="1"/>
  <c r="AD1022" i="11" s="1"/>
  <c r="AD1023" i="11" s="1"/>
  <c r="AD1024" i="11" s="1"/>
  <c r="AD1025" i="11" s="1"/>
  <c r="AD1026" i="11" s="1"/>
  <c r="AD1027" i="11" s="1"/>
  <c r="AD1028" i="11" s="1"/>
  <c r="AD1029" i="11" s="1"/>
  <c r="AD1030" i="11" s="1"/>
  <c r="AD1031" i="11" s="1"/>
  <c r="AD1032" i="11" s="1"/>
  <c r="AD1033" i="11" s="1"/>
  <c r="AD1034" i="11" s="1"/>
  <c r="AD1035" i="11" s="1"/>
  <c r="AD1036" i="11" s="1"/>
  <c r="AD1037" i="11" s="1"/>
  <c r="AD1038" i="11" s="1"/>
  <c r="AD1039" i="11" s="1"/>
  <c r="AD1040" i="11" s="1"/>
  <c r="AD1041" i="11" s="1"/>
  <c r="AD1042" i="11" s="1"/>
  <c r="AD1043" i="11" s="1"/>
  <c r="AD1044" i="11" s="1"/>
  <c r="AD1045" i="11" s="1"/>
  <c r="AD1046" i="11" s="1"/>
  <c r="AD1047" i="11" s="1"/>
  <c r="AD1048" i="11" s="1"/>
  <c r="AD1049" i="11" s="1"/>
  <c r="AD1050" i="11" s="1"/>
  <c r="AD1051" i="11" s="1"/>
  <c r="AD1052" i="11" s="1"/>
  <c r="AD1053" i="11" s="1"/>
  <c r="AD1054" i="11" s="1"/>
  <c r="AD1055" i="11" s="1"/>
  <c r="AD1056" i="11" s="1"/>
  <c r="AD1057" i="11" s="1"/>
  <c r="AD1058" i="11" s="1"/>
  <c r="AD1059" i="11" s="1"/>
  <c r="AD1060" i="11" s="1"/>
  <c r="AD1061" i="11" s="1"/>
  <c r="AD1062" i="11" s="1"/>
  <c r="AD1063" i="11" s="1"/>
  <c r="AD1064" i="11" s="1"/>
  <c r="AD1065" i="11" s="1"/>
  <c r="AD1066" i="11" s="1"/>
  <c r="AD1067" i="11" s="1"/>
  <c r="AD1068" i="11" s="1"/>
  <c r="AD1069" i="11" s="1"/>
  <c r="AD1070" i="11" s="1"/>
  <c r="AD1071" i="11" s="1"/>
  <c r="AD1072" i="11" s="1"/>
  <c r="AD1073" i="11" s="1"/>
  <c r="AD1074" i="11" s="1"/>
  <c r="AD1075" i="11" s="1"/>
  <c r="AD1076" i="11" s="1"/>
  <c r="AD1077" i="11" s="1"/>
  <c r="AD1078" i="11" s="1"/>
  <c r="AD1079" i="11" s="1"/>
  <c r="AD1080" i="11" s="1"/>
  <c r="AD1081" i="11" s="1"/>
  <c r="AD1082" i="11" s="1"/>
  <c r="AD1083" i="11" s="1"/>
  <c r="AD1084" i="11" s="1"/>
  <c r="AD1085" i="11" s="1"/>
  <c r="AD1086" i="11" s="1"/>
  <c r="AD1087" i="11" s="1"/>
  <c r="AD1088" i="11" s="1"/>
  <c r="AD1089" i="11" s="1"/>
  <c r="AD1090" i="11" s="1"/>
  <c r="AD1091" i="11" s="1"/>
  <c r="AD1092" i="11" s="1"/>
  <c r="AD1093" i="11" s="1"/>
  <c r="AD1094" i="11" s="1"/>
  <c r="AD1095" i="11" s="1"/>
  <c r="AD1096" i="11" s="1"/>
  <c r="AD1097" i="11" s="1"/>
  <c r="AD1098" i="11" s="1"/>
  <c r="AD1099" i="11" s="1"/>
  <c r="AD1100" i="11" s="1"/>
  <c r="AD1101" i="11" s="1"/>
  <c r="AD1102" i="11" s="1"/>
  <c r="AD1103" i="11" s="1"/>
  <c r="AD1104" i="11" s="1"/>
  <c r="AD1105" i="11" s="1"/>
  <c r="AD1106" i="11" s="1"/>
  <c r="AD1107" i="11" s="1"/>
  <c r="AD1108" i="11" s="1"/>
  <c r="AD1109" i="11" s="1"/>
  <c r="AD1110" i="11" s="1"/>
  <c r="AD1111" i="11" s="1"/>
  <c r="AD1112" i="11" s="1"/>
  <c r="AD1113" i="11" s="1"/>
  <c r="AD1114" i="11" s="1"/>
  <c r="AD1115" i="11" s="1"/>
  <c r="AD1116" i="11" s="1"/>
  <c r="AD1117" i="11" s="1"/>
  <c r="AD1118" i="11" s="1"/>
  <c r="AD1119" i="11" s="1"/>
  <c r="AD1120" i="11" s="1"/>
  <c r="AD1121" i="11" s="1"/>
  <c r="AD1122" i="11" s="1"/>
  <c r="AD1123" i="11" s="1"/>
  <c r="AD1124" i="11" s="1"/>
  <c r="AD1125" i="11" s="1"/>
  <c r="AD1126" i="11" s="1"/>
  <c r="AD1127" i="11" s="1"/>
  <c r="AD1128" i="11" s="1"/>
  <c r="AD1129" i="11" s="1"/>
  <c r="AD1130" i="11" s="1"/>
  <c r="AD1131" i="11" s="1"/>
  <c r="AD1132" i="11" s="1"/>
  <c r="AD1133" i="11" s="1"/>
  <c r="AD1134" i="11" s="1"/>
  <c r="AD1135" i="11" s="1"/>
  <c r="AD1136" i="11" s="1"/>
  <c r="AD1137" i="11" s="1"/>
  <c r="AD1138" i="11" s="1"/>
  <c r="AD1139" i="11" s="1"/>
  <c r="AD1140" i="11" s="1"/>
  <c r="AD1141" i="11" s="1"/>
  <c r="AD1142" i="11" s="1"/>
  <c r="AD1143" i="11" s="1"/>
  <c r="AD1144" i="11" s="1"/>
  <c r="AD1145" i="11" s="1"/>
  <c r="AD1146" i="11" s="1"/>
  <c r="AD1147" i="11" s="1"/>
  <c r="AD1148" i="11" s="1"/>
  <c r="AD1149" i="11" s="1"/>
  <c r="AD1150" i="11" s="1"/>
  <c r="AD1151" i="11" s="1"/>
  <c r="AD1152" i="11" s="1"/>
  <c r="AD1153" i="11" s="1"/>
  <c r="AD1154" i="11" s="1"/>
  <c r="AD1155" i="11" s="1"/>
  <c r="AD1156" i="11" s="1"/>
  <c r="AD1157" i="11" s="1"/>
  <c r="AD1158" i="11" s="1"/>
  <c r="AD1159" i="11" s="1"/>
  <c r="AD1160" i="11" s="1"/>
  <c r="AD1161" i="11" s="1"/>
  <c r="AD1162" i="11" s="1"/>
  <c r="AD1163" i="11" s="1"/>
  <c r="AD1164" i="11" s="1"/>
  <c r="AD1165" i="11" s="1"/>
  <c r="AD1166" i="11" s="1"/>
  <c r="AD1167" i="11" s="1"/>
  <c r="AD1168" i="11" s="1"/>
  <c r="AD1169" i="11" s="1"/>
  <c r="AD1170" i="11" s="1"/>
  <c r="AD1171" i="11" s="1"/>
  <c r="AD1172" i="11" s="1"/>
  <c r="AD1173" i="11" s="1"/>
  <c r="AD1174" i="11" s="1"/>
  <c r="AD1175" i="11" s="1"/>
  <c r="AD1176" i="11" s="1"/>
  <c r="AD1177" i="11" s="1"/>
  <c r="AD1178" i="11" s="1"/>
  <c r="AD1179" i="11" s="1"/>
  <c r="AD1180" i="11" s="1"/>
  <c r="AD1181" i="11" s="1"/>
  <c r="AD1182" i="11" s="1"/>
  <c r="AD1183" i="11" s="1"/>
  <c r="AD1184" i="11" s="1"/>
  <c r="AD1185" i="11" s="1"/>
  <c r="AD1186" i="11" s="1"/>
  <c r="AD1187" i="11" s="1"/>
  <c r="AD1188" i="11" s="1"/>
  <c r="AD1189" i="11" s="1"/>
  <c r="AD1190" i="11" s="1"/>
  <c r="AD1191" i="11" s="1"/>
  <c r="AD1192" i="11" s="1"/>
  <c r="AD1193" i="11" s="1"/>
  <c r="AD1194" i="11" s="1"/>
  <c r="AD1195" i="11" s="1"/>
  <c r="AD1196" i="11" s="1"/>
  <c r="AD1197" i="11" s="1"/>
  <c r="AD1198" i="11" s="1"/>
  <c r="AD1199" i="11" s="1"/>
  <c r="AD1200" i="11" s="1"/>
  <c r="AD1201" i="11" s="1"/>
  <c r="AD1202" i="11" s="1"/>
  <c r="AD1203" i="11" s="1"/>
  <c r="AD1204" i="11" s="1"/>
  <c r="AD1205" i="11" s="1"/>
  <c r="AD1206" i="11" s="1"/>
  <c r="AD1207" i="11" s="1"/>
  <c r="AD1208" i="11" s="1"/>
  <c r="AD1209" i="11" s="1"/>
  <c r="AD1210" i="11" s="1"/>
  <c r="AD1211" i="11" s="1"/>
  <c r="AD1212" i="11" s="1"/>
  <c r="AD1213" i="11" s="1"/>
  <c r="AD1214" i="11" s="1"/>
  <c r="AD1215" i="11" s="1"/>
  <c r="AD1216" i="11" s="1"/>
  <c r="AD1217" i="11" s="1"/>
  <c r="AD1218" i="11" s="1"/>
  <c r="AD1219" i="11" s="1"/>
  <c r="AD1220" i="11" s="1"/>
  <c r="AD1221" i="11" s="1"/>
  <c r="AD1222" i="11" s="1"/>
  <c r="AD1223" i="11" s="1"/>
  <c r="AD1224" i="11" s="1"/>
  <c r="AD1225" i="11" s="1"/>
  <c r="AD1226" i="11" s="1"/>
  <c r="AD1227" i="11" s="1"/>
  <c r="AD1228" i="11" s="1"/>
  <c r="AD1229" i="11" s="1"/>
  <c r="AD1230" i="11" s="1"/>
  <c r="AD1231" i="11" s="1"/>
  <c r="AD1232" i="11" s="1"/>
  <c r="AD1233" i="11" s="1"/>
  <c r="AD1234" i="11" s="1"/>
  <c r="AD1235" i="11" s="1"/>
  <c r="AD1236" i="11" s="1"/>
  <c r="AD1237" i="11" s="1"/>
  <c r="AD1238" i="11" s="1"/>
  <c r="AD1239" i="11" s="1"/>
  <c r="AD1240" i="11" s="1"/>
  <c r="AD1241" i="11" s="1"/>
  <c r="AD1242" i="11" s="1"/>
  <c r="AD1243" i="11" s="1"/>
  <c r="AD1244" i="11" s="1"/>
  <c r="AD1245" i="11" s="1"/>
  <c r="AD1246" i="11" s="1"/>
  <c r="AD1247" i="11" s="1"/>
  <c r="AD1248" i="11" s="1"/>
  <c r="AD1249" i="11" s="1"/>
  <c r="AD1250" i="11" s="1"/>
  <c r="AD1251" i="11" s="1"/>
  <c r="AD1252" i="11" s="1"/>
  <c r="AD1253" i="11" s="1"/>
  <c r="AD1254" i="11" s="1"/>
  <c r="AD1255" i="11" s="1"/>
  <c r="AD1256" i="11" s="1"/>
  <c r="AD1257" i="11" s="1"/>
  <c r="AD1258" i="11" s="1"/>
  <c r="AD1259" i="11" s="1"/>
  <c r="AD1260" i="11" s="1"/>
  <c r="AD1261" i="11" s="1"/>
  <c r="AD1262" i="11" s="1"/>
  <c r="AD1263" i="11" s="1"/>
  <c r="AD1264" i="11" s="1"/>
  <c r="AD1265" i="11" s="1"/>
  <c r="AD1266" i="11" s="1"/>
  <c r="AD1267" i="11" s="1"/>
  <c r="AD1268" i="11" s="1"/>
  <c r="AD1269" i="11" s="1"/>
  <c r="AD1270" i="11" s="1"/>
  <c r="AD1271" i="11" s="1"/>
  <c r="AD1272" i="11" s="1"/>
  <c r="AD1273" i="11" s="1"/>
  <c r="AD1274" i="11" s="1"/>
  <c r="AD1275" i="11" s="1"/>
  <c r="AD1276" i="11" s="1"/>
  <c r="AD1277" i="11" s="1"/>
  <c r="AD1278" i="11" s="1"/>
  <c r="AD1279" i="11" s="1"/>
  <c r="AD1280" i="11" s="1"/>
  <c r="AD1281" i="11" s="1"/>
  <c r="AD1282" i="11" s="1"/>
  <c r="AD1283" i="11" s="1"/>
  <c r="AD1284" i="11" s="1"/>
  <c r="AD1285" i="11" s="1"/>
  <c r="AD1286" i="11" s="1"/>
  <c r="AD1287" i="11" s="1"/>
  <c r="AD1288" i="11" s="1"/>
  <c r="AD1289" i="11" s="1"/>
  <c r="AD1290" i="11" s="1"/>
  <c r="AD1291" i="11" s="1"/>
  <c r="AD1292" i="11" s="1"/>
  <c r="AD1293" i="11" s="1"/>
  <c r="AD1294" i="11" s="1"/>
  <c r="AD1295" i="11" s="1"/>
  <c r="AD1296" i="11" s="1"/>
  <c r="AD1297" i="11" s="1"/>
  <c r="AD1298" i="11" s="1"/>
  <c r="AD1299" i="11" s="1"/>
  <c r="AD1300" i="11" s="1"/>
  <c r="AD1301" i="11" s="1"/>
  <c r="AD1302" i="11" s="1"/>
  <c r="AD1303" i="11" s="1"/>
  <c r="AD1304" i="11" s="1"/>
  <c r="AD1305" i="11" s="1"/>
  <c r="AD1306" i="11" s="1"/>
  <c r="AD1307" i="11" s="1"/>
  <c r="AD1308" i="11" s="1"/>
  <c r="AD1309" i="11" s="1"/>
  <c r="AD1310" i="11" s="1"/>
  <c r="AD1311" i="11" s="1"/>
  <c r="AD1312" i="11" s="1"/>
  <c r="AD1313" i="11" s="1"/>
  <c r="AD1314" i="11" s="1"/>
  <c r="AD1315" i="11" s="1"/>
  <c r="AD1316" i="11" s="1"/>
  <c r="AD1317" i="11" s="1"/>
  <c r="AD1318" i="11" s="1"/>
  <c r="AD1319" i="11" s="1"/>
  <c r="AD1320" i="11" s="1"/>
  <c r="AD1321" i="11" s="1"/>
  <c r="AD1322" i="11" s="1"/>
  <c r="AD1323" i="11" s="1"/>
  <c r="AD1324" i="11" s="1"/>
  <c r="AD1325" i="11" s="1"/>
  <c r="AD1326" i="11" s="1"/>
  <c r="AD1327" i="11" s="1"/>
  <c r="AD1328" i="11" s="1"/>
  <c r="AD1329" i="11" s="1"/>
  <c r="AD1330" i="11" s="1"/>
  <c r="AD1331" i="11" s="1"/>
  <c r="AD1332" i="11" s="1"/>
  <c r="AD1333" i="11" s="1"/>
  <c r="AD1334" i="11" s="1"/>
  <c r="AD1335" i="11" s="1"/>
  <c r="AD1336" i="11" s="1"/>
  <c r="AD1337" i="11" s="1"/>
  <c r="AD1338" i="11" s="1"/>
  <c r="AD1339" i="11" s="1"/>
  <c r="AD1340" i="11" s="1"/>
  <c r="AD1341" i="11" s="1"/>
  <c r="AD1342" i="11" s="1"/>
  <c r="AD1343" i="11" s="1"/>
  <c r="AD1344" i="11" s="1"/>
  <c r="AD1345" i="11" s="1"/>
  <c r="AD1346" i="11" s="1"/>
  <c r="AD1347" i="11" s="1"/>
  <c r="AD1348" i="11" s="1"/>
  <c r="AD1349" i="11" s="1"/>
  <c r="AD1350" i="11" s="1"/>
  <c r="AD1351" i="11" s="1"/>
  <c r="AD1352" i="11" s="1"/>
  <c r="AD1353" i="11" s="1"/>
  <c r="AD1354" i="11" s="1"/>
  <c r="AD1355" i="11" s="1"/>
  <c r="AD1356" i="11" s="1"/>
  <c r="AD1357" i="11" s="1"/>
  <c r="AD1358" i="11" s="1"/>
  <c r="AD1359" i="11" s="1"/>
  <c r="AD1360" i="11" s="1"/>
  <c r="AD1361" i="11" s="1"/>
  <c r="AD1362" i="11" s="1"/>
  <c r="AD1363" i="11" s="1"/>
  <c r="AD1364" i="11" s="1"/>
  <c r="AD1365" i="11" s="1"/>
  <c r="AD1366" i="11" s="1"/>
  <c r="AD1367" i="11" s="1"/>
  <c r="AD1368" i="11" s="1"/>
  <c r="AD1369" i="11" s="1"/>
  <c r="AD1370" i="11" s="1"/>
  <c r="AD1371" i="11" s="1"/>
  <c r="AD1372" i="11" s="1"/>
  <c r="AD1373" i="11" s="1"/>
  <c r="AD1374" i="11" s="1"/>
  <c r="AD1375" i="11" s="1"/>
  <c r="AD1376" i="11" s="1"/>
  <c r="AD1377" i="11" s="1"/>
  <c r="AD1378" i="11" s="1"/>
  <c r="AD1379" i="11" s="1"/>
  <c r="AD1380" i="11" s="1"/>
  <c r="AD1381" i="11" s="1"/>
  <c r="AD1382" i="11" s="1"/>
  <c r="AD1383" i="11" s="1"/>
  <c r="AD1384" i="11" s="1"/>
  <c r="AD1385" i="11" s="1"/>
  <c r="AD1386" i="11" s="1"/>
  <c r="AD1387" i="11" s="1"/>
  <c r="AD1388" i="11" s="1"/>
  <c r="AD1389" i="11" s="1"/>
  <c r="AD1390" i="11" s="1"/>
  <c r="AD1391" i="11" s="1"/>
  <c r="AD1392" i="11" s="1"/>
  <c r="AD1393" i="11" s="1"/>
  <c r="AD1394" i="11" s="1"/>
  <c r="AD1395" i="11" s="1"/>
  <c r="AD1396" i="11" s="1"/>
  <c r="AD1397" i="11" s="1"/>
  <c r="AD1398" i="11" s="1"/>
  <c r="AD1399" i="11" s="1"/>
  <c r="AD1400" i="11" s="1"/>
  <c r="AD1401" i="11" s="1"/>
  <c r="AD1402" i="11" s="1"/>
  <c r="AD1403" i="11" s="1"/>
  <c r="AD1404" i="11" s="1"/>
  <c r="AD1405" i="11" s="1"/>
  <c r="AD1406" i="11" s="1"/>
  <c r="AD1407" i="11" s="1"/>
  <c r="AD1408" i="11" s="1"/>
  <c r="AD1409" i="11" s="1"/>
  <c r="AD1410" i="11" s="1"/>
  <c r="AD1411" i="11" s="1"/>
  <c r="AD1412" i="11" s="1"/>
  <c r="AD1413" i="11" s="1"/>
  <c r="AD1414" i="11" s="1"/>
  <c r="AD1415" i="11" s="1"/>
  <c r="AD1416" i="11" s="1"/>
  <c r="AD1417" i="11" s="1"/>
  <c r="AD1418" i="11" s="1"/>
  <c r="AD1419" i="11" s="1"/>
  <c r="AD1420" i="11" s="1"/>
  <c r="AD1421" i="11" s="1"/>
  <c r="AD1422" i="11" s="1"/>
  <c r="AD1423" i="11" s="1"/>
  <c r="AD1424" i="11" s="1"/>
  <c r="AD1425" i="11" s="1"/>
  <c r="AD1426" i="11" s="1"/>
  <c r="AD1427" i="11" s="1"/>
  <c r="AD1428" i="11" s="1"/>
  <c r="AD1429" i="11" s="1"/>
  <c r="AD1430" i="11" s="1"/>
  <c r="AD1431" i="11" s="1"/>
  <c r="AD1432" i="11" s="1"/>
  <c r="AD1433" i="11" s="1"/>
  <c r="AD1434" i="11" s="1"/>
  <c r="AD1435" i="11" s="1"/>
  <c r="AD1436" i="11" s="1"/>
  <c r="AD1437" i="11" s="1"/>
  <c r="AD1438" i="11" s="1"/>
  <c r="AD1439" i="11" s="1"/>
  <c r="AD1440" i="11" s="1"/>
  <c r="AD1441" i="11" s="1"/>
  <c r="AD1442" i="11" s="1"/>
  <c r="AD1443" i="11" s="1"/>
  <c r="AD1444" i="11" s="1"/>
  <c r="AD1445" i="11" s="1"/>
  <c r="AD1446" i="11" s="1"/>
  <c r="AD1447" i="11" s="1"/>
  <c r="AD1448" i="11" s="1"/>
  <c r="AD1449" i="11" s="1"/>
  <c r="AD1450" i="11" s="1"/>
  <c r="AD1451" i="11" s="1"/>
  <c r="AD1452" i="11" s="1"/>
  <c r="AD1453" i="11" s="1"/>
  <c r="AD1454" i="11" s="1"/>
  <c r="AD1455" i="11" s="1"/>
  <c r="AD1456" i="11" s="1"/>
  <c r="AD1457" i="11" s="1"/>
  <c r="AD1458" i="11" s="1"/>
  <c r="AD1459" i="11" s="1"/>
  <c r="AD1460" i="11" s="1"/>
  <c r="AD1461" i="11" s="1"/>
  <c r="AD1462" i="11" s="1"/>
  <c r="AD1463" i="11" s="1"/>
  <c r="AD1464" i="11" s="1"/>
  <c r="AD1465" i="11" s="1"/>
  <c r="AD1466" i="11" s="1"/>
  <c r="AD1467" i="11" s="1"/>
  <c r="AD1468" i="11" s="1"/>
  <c r="AD1469" i="11" s="1"/>
  <c r="AD1470" i="11" s="1"/>
  <c r="AD1471" i="11" s="1"/>
  <c r="AD1472" i="11" s="1"/>
  <c r="AD1473" i="11" s="1"/>
  <c r="AD1474" i="11" s="1"/>
  <c r="AD1475" i="11" s="1"/>
  <c r="AD1476" i="11" s="1"/>
  <c r="AD1477" i="11" s="1"/>
  <c r="AD1478" i="11" s="1"/>
  <c r="AD1479" i="11" s="1"/>
  <c r="AD1480" i="11" s="1"/>
  <c r="AD1481" i="11" s="1"/>
  <c r="AD1482" i="11" s="1"/>
  <c r="AD1483" i="11" s="1"/>
  <c r="AD1484" i="11" s="1"/>
  <c r="AD1485" i="11" s="1"/>
  <c r="AD1486" i="11" s="1"/>
  <c r="AD1487" i="11" s="1"/>
  <c r="AD1488" i="11" s="1"/>
  <c r="AD1489" i="11" s="1"/>
  <c r="AD1490" i="11" s="1"/>
  <c r="AD1491" i="11" s="1"/>
  <c r="AD1492" i="11" s="1"/>
  <c r="AD1493" i="11" s="1"/>
  <c r="AD1494" i="11" s="1"/>
  <c r="AD1495" i="11" s="1"/>
  <c r="AD1496" i="11" s="1"/>
  <c r="AD1497" i="11" s="1"/>
  <c r="AD1498" i="11" s="1"/>
  <c r="AD1499" i="11" s="1"/>
  <c r="AD1500" i="11" s="1"/>
  <c r="AD1501" i="11" s="1"/>
  <c r="AD1502" i="11" s="1"/>
  <c r="AD1503" i="11" s="1"/>
  <c r="AD1504" i="11" s="1"/>
  <c r="AD1505" i="11" s="1"/>
  <c r="AD1506" i="11" s="1"/>
  <c r="AD1507" i="11" s="1"/>
  <c r="AD1508" i="11" s="1"/>
  <c r="AD1509" i="11" s="1"/>
  <c r="AD1510" i="11" s="1"/>
  <c r="AD1511" i="11" s="1"/>
  <c r="AD1512" i="11" s="1"/>
  <c r="AD1513" i="11" s="1"/>
  <c r="AD1514" i="11" s="1"/>
  <c r="AD1515" i="11" s="1"/>
  <c r="AD1516" i="11" s="1"/>
  <c r="AD1517" i="11" s="1"/>
  <c r="AD1518" i="11" s="1"/>
  <c r="AD1519" i="11" s="1"/>
  <c r="AD1520" i="11" s="1"/>
  <c r="AD1521" i="11" s="1"/>
  <c r="AD1522" i="11" s="1"/>
  <c r="AD1523" i="11" s="1"/>
  <c r="AD1524" i="11" s="1"/>
  <c r="AD1525" i="11" s="1"/>
  <c r="AD1526" i="11" s="1"/>
  <c r="AD1527" i="11" s="1"/>
  <c r="AD1528" i="11" s="1"/>
  <c r="AD1529" i="11" s="1"/>
  <c r="AD1530" i="11" s="1"/>
  <c r="AD1531" i="11" s="1"/>
  <c r="AD1532" i="11" s="1"/>
  <c r="AD1533" i="11" s="1"/>
  <c r="AD1534" i="11" s="1"/>
  <c r="AD1535" i="11" s="1"/>
  <c r="AD1536" i="11" s="1"/>
  <c r="AD1537" i="11" s="1"/>
  <c r="AD1538" i="11" s="1"/>
  <c r="AD1539" i="11" s="1"/>
  <c r="AD1540" i="11" s="1"/>
  <c r="AD1541" i="11" s="1"/>
  <c r="AD1542" i="11" s="1"/>
  <c r="AD1543" i="11" s="1"/>
  <c r="AD1544" i="11" s="1"/>
  <c r="AD1545" i="11" s="1"/>
  <c r="AD1546" i="11" s="1"/>
  <c r="AD1547" i="11" s="1"/>
  <c r="AD1548" i="11" s="1"/>
  <c r="AD1549" i="11" s="1"/>
  <c r="AD1550" i="11" s="1"/>
  <c r="AD1551" i="11" s="1"/>
  <c r="AD1552" i="11" s="1"/>
  <c r="AD1553" i="11" s="1"/>
  <c r="AD1554" i="11" s="1"/>
  <c r="AD1555" i="11" s="1"/>
  <c r="AD1556" i="11" s="1"/>
  <c r="AD1557" i="11" s="1"/>
  <c r="AD1558" i="11" s="1"/>
  <c r="AD1559" i="11" s="1"/>
  <c r="AD1560" i="11" s="1"/>
  <c r="AD1561" i="11" s="1"/>
  <c r="AD1562" i="11" s="1"/>
  <c r="AD1563" i="11" s="1"/>
  <c r="AD1564" i="11" s="1"/>
  <c r="AD1565" i="11" s="1"/>
  <c r="AD1566" i="11" s="1"/>
  <c r="AD1567" i="11" s="1"/>
  <c r="AD1568" i="11" s="1"/>
  <c r="AD1569" i="11" s="1"/>
  <c r="AD1570" i="11" s="1"/>
  <c r="AD1571" i="11" s="1"/>
  <c r="AD1572" i="11" s="1"/>
  <c r="AD1573" i="11" s="1"/>
  <c r="AD1574" i="11" s="1"/>
  <c r="AD1575" i="11" s="1"/>
  <c r="AD1576" i="11" s="1"/>
  <c r="AD1577" i="11" s="1"/>
  <c r="AD1578" i="11" s="1"/>
  <c r="AD1579" i="11" s="1"/>
  <c r="AD1580" i="11" s="1"/>
  <c r="AD1581" i="11" s="1"/>
  <c r="AD1582" i="11" s="1"/>
  <c r="AD1583" i="11" s="1"/>
  <c r="AD1584" i="11" s="1"/>
  <c r="AD1585" i="11" s="1"/>
  <c r="AD1586" i="11" s="1"/>
  <c r="AD1587" i="11" s="1"/>
  <c r="AD1588" i="11" s="1"/>
  <c r="AD1589" i="11" s="1"/>
  <c r="AD1590" i="11" s="1"/>
  <c r="AD1591" i="11" s="1"/>
  <c r="AD1592" i="11" s="1"/>
  <c r="AD1593" i="11" s="1"/>
  <c r="AD1594" i="11" s="1"/>
  <c r="AD1595" i="11" s="1"/>
  <c r="AD1596" i="11" s="1"/>
  <c r="AD1597" i="11" s="1"/>
  <c r="AD1598" i="11" s="1"/>
  <c r="AD1599" i="11" s="1"/>
  <c r="AD1600" i="11" s="1"/>
  <c r="AD1601" i="11" s="1"/>
  <c r="AD1602" i="11" s="1"/>
  <c r="AD1603" i="11" s="1"/>
  <c r="AD1604" i="11" s="1"/>
  <c r="AD1605" i="11" s="1"/>
  <c r="AD1606" i="11" s="1"/>
  <c r="AD1607" i="11" s="1"/>
  <c r="AD1608" i="11" s="1"/>
  <c r="AD1609" i="11" s="1"/>
  <c r="AD1610" i="11" s="1"/>
  <c r="AD1611" i="11" s="1"/>
  <c r="AD1612" i="11" s="1"/>
  <c r="AD1613" i="11" s="1"/>
  <c r="AD1614" i="11" s="1"/>
  <c r="AD1615" i="11" s="1"/>
  <c r="AD1616" i="11" s="1"/>
  <c r="AD1617" i="11" s="1"/>
  <c r="AD1618" i="11" s="1"/>
  <c r="AD1619" i="11" s="1"/>
  <c r="AD1620" i="11" s="1"/>
  <c r="AD1621" i="11" s="1"/>
  <c r="AD1622" i="11" s="1"/>
  <c r="AD1623" i="11" s="1"/>
  <c r="AD1624" i="11" s="1"/>
  <c r="AD1625" i="11" s="1"/>
  <c r="AD1626" i="11" s="1"/>
  <c r="AD1627" i="11" s="1"/>
  <c r="AD1628" i="11" s="1"/>
  <c r="AD1629" i="11" s="1"/>
  <c r="AD1630" i="11" s="1"/>
  <c r="AD1631" i="11" s="1"/>
  <c r="AD1632" i="11" s="1"/>
  <c r="AD1633" i="11" s="1"/>
  <c r="AD1634" i="11" s="1"/>
  <c r="AD1635" i="11" s="1"/>
  <c r="AD1636" i="11" s="1"/>
  <c r="AD1637" i="11" s="1"/>
  <c r="AD1638" i="11" s="1"/>
  <c r="AD1639" i="11" s="1"/>
  <c r="AD1640" i="11" s="1"/>
  <c r="AD1641" i="11" s="1"/>
  <c r="AD1642" i="11" s="1"/>
  <c r="AD1643" i="11" s="1"/>
  <c r="AD1644" i="11" s="1"/>
  <c r="AD1645" i="11" s="1"/>
  <c r="AD1646" i="11" s="1"/>
  <c r="AD1647" i="11" s="1"/>
  <c r="AD1648" i="11" s="1"/>
  <c r="AD1649" i="11" s="1"/>
  <c r="AD1650" i="11" s="1"/>
  <c r="AD1651" i="11" s="1"/>
  <c r="AD1652" i="11" s="1"/>
  <c r="AD1653" i="11" s="1"/>
  <c r="AD1654" i="11" s="1"/>
  <c r="AD1655" i="11" s="1"/>
  <c r="AD1656" i="11" s="1"/>
  <c r="AD1657" i="11" s="1"/>
  <c r="AD1658" i="11" s="1"/>
  <c r="AD1659" i="11" s="1"/>
  <c r="AD1660" i="11" s="1"/>
  <c r="AD1661" i="11" s="1"/>
  <c r="AD1662" i="11" s="1"/>
  <c r="AD1663" i="11" s="1"/>
  <c r="AD1664" i="11" s="1"/>
  <c r="AD1665" i="11" s="1"/>
  <c r="AD1666" i="11" s="1"/>
  <c r="AD1667" i="11" s="1"/>
  <c r="AD1668" i="11" s="1"/>
  <c r="AD1669" i="11" s="1"/>
  <c r="AD1670" i="11" s="1"/>
  <c r="AD1671" i="11" s="1"/>
  <c r="AD1672" i="11" s="1"/>
  <c r="AD1673" i="11" s="1"/>
  <c r="AD1674" i="11" s="1"/>
  <c r="AD1675" i="11" s="1"/>
  <c r="AD1676" i="11" s="1"/>
  <c r="AD1677" i="11" s="1"/>
  <c r="AD1678" i="11" s="1"/>
  <c r="AD1679" i="11" s="1"/>
  <c r="AD1680" i="11" s="1"/>
  <c r="AD1681" i="11" s="1"/>
  <c r="AD1682" i="11" s="1"/>
  <c r="AD1683" i="11" s="1"/>
  <c r="AD1684" i="11" s="1"/>
  <c r="AD1685" i="11" s="1"/>
  <c r="AD1686" i="11" s="1"/>
  <c r="AD1687" i="11" s="1"/>
  <c r="AD1688" i="11" s="1"/>
  <c r="AD1689" i="11" s="1"/>
  <c r="AD1690" i="11" s="1"/>
  <c r="AD1691" i="11" s="1"/>
  <c r="AD1692" i="11" s="1"/>
  <c r="AD1693" i="11" s="1"/>
  <c r="AD1694" i="11" s="1"/>
  <c r="AD1695" i="11" s="1"/>
  <c r="AD1696" i="11" s="1"/>
  <c r="AD1697" i="11" s="1"/>
  <c r="AD1698" i="11" s="1"/>
  <c r="AD1699" i="11" s="1"/>
  <c r="AD1700" i="11" s="1"/>
  <c r="AD1701" i="11" s="1"/>
  <c r="AD1702" i="11" s="1"/>
  <c r="AD1703" i="11" s="1"/>
  <c r="AD1704" i="11" s="1"/>
  <c r="AD1705" i="11" s="1"/>
  <c r="AD1706" i="11" s="1"/>
  <c r="AD1707" i="11" s="1"/>
  <c r="AD1708" i="11" s="1"/>
  <c r="AD1709" i="11" s="1"/>
  <c r="AD1710" i="11" s="1"/>
  <c r="AD1711" i="11" s="1"/>
  <c r="AD1712" i="11" s="1"/>
  <c r="AD1713" i="11" s="1"/>
  <c r="AD1714" i="11" s="1"/>
  <c r="AD1715" i="11" s="1"/>
  <c r="AD1716" i="11" s="1"/>
  <c r="AD1717" i="11" s="1"/>
  <c r="AD1718" i="11" s="1"/>
  <c r="AD1719" i="11" s="1"/>
  <c r="AD1720" i="11" s="1"/>
  <c r="AD1721" i="11" s="1"/>
  <c r="AD1722" i="11" s="1"/>
  <c r="AD1723" i="11" s="1"/>
  <c r="AD1724" i="11" s="1"/>
  <c r="AD1725" i="11" s="1"/>
  <c r="AD1726" i="11" s="1"/>
  <c r="AD1727" i="11" s="1"/>
  <c r="AD1728" i="11" s="1"/>
  <c r="AD1729" i="11" s="1"/>
  <c r="AD1730" i="11" s="1"/>
  <c r="AD1731" i="11" s="1"/>
  <c r="AD1732" i="11" s="1"/>
  <c r="AD1733" i="11" s="1"/>
  <c r="AD1734" i="11" s="1"/>
  <c r="AD1735" i="11" s="1"/>
  <c r="AD1736" i="11" s="1"/>
  <c r="AD1737" i="11" s="1"/>
  <c r="AD1738" i="11" s="1"/>
  <c r="AD1739" i="11" s="1"/>
  <c r="AD1740" i="11" s="1"/>
  <c r="AD1741" i="11" s="1"/>
  <c r="AD1742" i="11" s="1"/>
  <c r="AD1743" i="11" s="1"/>
  <c r="AD1744" i="11" s="1"/>
  <c r="AD1745" i="11" s="1"/>
  <c r="AD1746" i="11" s="1"/>
  <c r="AD1747" i="11" s="1"/>
  <c r="AD1748" i="11" s="1"/>
  <c r="AD1749" i="11" s="1"/>
  <c r="AD1750" i="11" s="1"/>
  <c r="AD1751" i="11" s="1"/>
  <c r="AD1752" i="11" s="1"/>
  <c r="AD1753" i="11" s="1"/>
  <c r="AD1754" i="11" s="1"/>
  <c r="AD1755" i="11" s="1"/>
  <c r="AD1756" i="11" s="1"/>
  <c r="AD1757" i="11" s="1"/>
  <c r="AD1758" i="11" s="1"/>
  <c r="AD1759" i="11" s="1"/>
  <c r="AD1760" i="11" s="1"/>
  <c r="AD1761" i="11" s="1"/>
  <c r="AD1762" i="11" s="1"/>
  <c r="AD1763" i="11" s="1"/>
  <c r="AD1764" i="11" s="1"/>
  <c r="AD1765" i="11" s="1"/>
  <c r="AD1766" i="11" s="1"/>
  <c r="AD1767" i="11" s="1"/>
  <c r="AD1768" i="11" s="1"/>
  <c r="AD1769" i="11" s="1"/>
  <c r="AD1770" i="11" s="1"/>
  <c r="AD1771" i="11" s="1"/>
  <c r="AD1772" i="11" s="1"/>
  <c r="AD1773" i="11" s="1"/>
  <c r="AD1774" i="11" s="1"/>
  <c r="AD1775" i="11" s="1"/>
  <c r="AD1776" i="11" s="1"/>
  <c r="AD1777" i="11" s="1"/>
  <c r="AD1778" i="11" s="1"/>
  <c r="AD1779" i="11" s="1"/>
  <c r="AD1780" i="11" s="1"/>
  <c r="AD1781" i="11" s="1"/>
  <c r="AD1782" i="11" s="1"/>
  <c r="AD1783" i="11" s="1"/>
  <c r="AD1784" i="11" s="1"/>
  <c r="AD1785" i="11" s="1"/>
  <c r="AD1786" i="11" s="1"/>
  <c r="AD1787" i="11" s="1"/>
  <c r="AD1788" i="11" s="1"/>
  <c r="AD1789" i="11" s="1"/>
  <c r="AD1790" i="11" s="1"/>
  <c r="AD1791" i="11" s="1"/>
  <c r="AD1792" i="11" s="1"/>
  <c r="AD1793" i="11" s="1"/>
  <c r="AD1794" i="11" s="1"/>
  <c r="AD1795" i="11" s="1"/>
  <c r="AD1796" i="11" s="1"/>
  <c r="AD1797" i="11" s="1"/>
  <c r="AD1798" i="11" s="1"/>
  <c r="AD1799" i="11" s="1"/>
  <c r="AD1800" i="11" s="1"/>
  <c r="AD1801" i="11" s="1"/>
  <c r="AD1802" i="11" s="1"/>
  <c r="AD1803" i="11" s="1"/>
  <c r="AD1804" i="11" s="1"/>
  <c r="AD1805" i="11" s="1"/>
  <c r="AD1806" i="11" s="1"/>
  <c r="AD1807" i="11" s="1"/>
  <c r="AD1808" i="11" s="1"/>
  <c r="AD1809" i="11" s="1"/>
  <c r="AD1810" i="11" s="1"/>
  <c r="AD1811" i="11" s="1"/>
  <c r="AD1812" i="11" s="1"/>
  <c r="AD1813" i="11" s="1"/>
  <c r="AD1814" i="11" s="1"/>
  <c r="AD1815" i="11" s="1"/>
  <c r="AD1816" i="11" s="1"/>
  <c r="AD1817" i="11" s="1"/>
  <c r="AD1818" i="11" s="1"/>
  <c r="AD1819" i="11" s="1"/>
  <c r="AD1820" i="11" s="1"/>
  <c r="AD1821" i="11" s="1"/>
  <c r="AD1822" i="11" s="1"/>
  <c r="AD1823" i="11" s="1"/>
  <c r="AD1824" i="11" s="1"/>
  <c r="AD1825" i="11" s="1"/>
  <c r="AD1826" i="11" s="1"/>
  <c r="AD1827" i="11" s="1"/>
  <c r="AD1828" i="11" s="1"/>
  <c r="AD1829" i="11" s="1"/>
  <c r="AD1830" i="11" s="1"/>
  <c r="AD1831" i="11" s="1"/>
  <c r="AD1832" i="11" s="1"/>
  <c r="AD1833" i="11" s="1"/>
  <c r="AD1834" i="11" s="1"/>
  <c r="AD1835" i="11" s="1"/>
  <c r="AD1836" i="11" s="1"/>
  <c r="AD1837" i="11" s="1"/>
  <c r="AD1838" i="11" s="1"/>
  <c r="AD1839" i="11" s="1"/>
  <c r="AD1840" i="11" s="1"/>
  <c r="AD1841" i="11" s="1"/>
  <c r="AD1842" i="11" s="1"/>
  <c r="AD1843" i="11" s="1"/>
  <c r="AD1844" i="11" s="1"/>
  <c r="AD1845" i="11" s="1"/>
  <c r="AD1846" i="11" s="1"/>
  <c r="AD1847" i="11" s="1"/>
  <c r="AD1848" i="11" s="1"/>
  <c r="AD1849" i="11" s="1"/>
  <c r="AD1850" i="11" s="1"/>
  <c r="AD1851" i="11" s="1"/>
  <c r="AD1852" i="11" s="1"/>
  <c r="AD1853" i="11" s="1"/>
  <c r="AD1854" i="11" s="1"/>
  <c r="AD1855" i="11" s="1"/>
  <c r="AD1856" i="11" s="1"/>
  <c r="AD1857" i="11" s="1"/>
  <c r="AD1858" i="11" s="1"/>
  <c r="AD1859" i="11" s="1"/>
  <c r="AD1860" i="11" s="1"/>
  <c r="AD1861" i="11" s="1"/>
  <c r="AD1862" i="11" s="1"/>
  <c r="AD1863" i="11" s="1"/>
  <c r="AD1864" i="11" s="1"/>
  <c r="AD1865" i="11" s="1"/>
  <c r="AD1866" i="11" s="1"/>
  <c r="AD1867" i="11" s="1"/>
  <c r="AD1868" i="11" s="1"/>
  <c r="AD1869" i="11" s="1"/>
  <c r="AD1870" i="11" s="1"/>
  <c r="AD1871" i="11" s="1"/>
  <c r="AD1872" i="11" s="1"/>
  <c r="AD1873" i="11" s="1"/>
  <c r="AD1874" i="11" s="1"/>
  <c r="AD1875" i="11" s="1"/>
  <c r="AD1876" i="11" s="1"/>
  <c r="AD1877" i="11" s="1"/>
  <c r="AD1878" i="11" s="1"/>
  <c r="AD1879" i="11" s="1"/>
  <c r="AD1880" i="11" s="1"/>
  <c r="AD1881" i="11" s="1"/>
  <c r="AD1882" i="11" s="1"/>
  <c r="AD1883" i="11" s="1"/>
  <c r="AD1884" i="11" s="1"/>
  <c r="AD1885" i="11" s="1"/>
  <c r="AD1886" i="11" s="1"/>
  <c r="AD1887" i="11" s="1"/>
  <c r="AD1888" i="11" s="1"/>
  <c r="AD1889" i="11" s="1"/>
  <c r="AD1890" i="11" s="1"/>
  <c r="AD1891" i="11" s="1"/>
  <c r="AD1892" i="11" s="1"/>
  <c r="AD1893" i="11" s="1"/>
  <c r="AD1894" i="11" s="1"/>
  <c r="AD1895" i="11" s="1"/>
  <c r="AD1896" i="11" s="1"/>
  <c r="AD1897" i="11" s="1"/>
  <c r="AD1898" i="11" s="1"/>
  <c r="AD1899" i="11" s="1"/>
  <c r="AD1900" i="11" s="1"/>
  <c r="AD1901" i="11" s="1"/>
  <c r="AD1902" i="11" s="1"/>
  <c r="AD1903" i="11" s="1"/>
  <c r="AD1904" i="11" s="1"/>
  <c r="AD1905" i="11" s="1"/>
  <c r="AD1906" i="11" s="1"/>
  <c r="AD1907" i="11" s="1"/>
  <c r="AD1908" i="11" s="1"/>
  <c r="AD1909" i="11" s="1"/>
  <c r="AD1910" i="11" s="1"/>
  <c r="AD1911" i="11" s="1"/>
  <c r="AD1912" i="11" s="1"/>
  <c r="AD1913" i="11" s="1"/>
  <c r="AD1914" i="11" s="1"/>
  <c r="AD1915" i="11" s="1"/>
  <c r="AD1916" i="11" s="1"/>
  <c r="AD1917" i="11" s="1"/>
  <c r="AD1918" i="11" s="1"/>
  <c r="AD1919" i="11" s="1"/>
  <c r="AD1920" i="11" s="1"/>
  <c r="AD1921" i="11" s="1"/>
  <c r="AD1922" i="11" s="1"/>
  <c r="AD1923" i="11" s="1"/>
  <c r="AD1924" i="11" s="1"/>
  <c r="AD1925" i="11" s="1"/>
  <c r="AD1926" i="11" s="1"/>
  <c r="AD1927" i="11" s="1"/>
  <c r="AD1928" i="11" s="1"/>
  <c r="AD1929" i="11" s="1"/>
  <c r="AD1930" i="11" s="1"/>
  <c r="AD1931" i="11" s="1"/>
  <c r="AD1932" i="11" s="1"/>
  <c r="AD1933" i="11" s="1"/>
  <c r="AD1934" i="11" s="1"/>
  <c r="AD1935" i="11" s="1"/>
  <c r="AD1936" i="11" s="1"/>
  <c r="AD1937" i="11" s="1"/>
  <c r="AD1938" i="11" s="1"/>
  <c r="AD1939" i="11" s="1"/>
  <c r="AD1940" i="11" s="1"/>
  <c r="AD1941" i="11" s="1"/>
  <c r="AD1942" i="11" s="1"/>
  <c r="AD1943" i="11" s="1"/>
  <c r="AD1944" i="11" s="1"/>
  <c r="AD1945" i="11" s="1"/>
  <c r="AD1946" i="11" s="1"/>
  <c r="AD1947" i="11" s="1"/>
  <c r="AD1948" i="11" s="1"/>
  <c r="AD1949" i="11" s="1"/>
  <c r="AD1950" i="11" s="1"/>
  <c r="AD1951" i="11" s="1"/>
  <c r="AD1952" i="11" s="1"/>
  <c r="AD1953" i="11" s="1"/>
  <c r="AD1954" i="11" s="1"/>
  <c r="AD1955" i="11" s="1"/>
  <c r="AD1956" i="11" s="1"/>
  <c r="AD1957" i="11" s="1"/>
  <c r="AD1958" i="11" s="1"/>
  <c r="AD1959" i="11" s="1"/>
  <c r="AD1960" i="11" s="1"/>
  <c r="AD1961" i="11" s="1"/>
  <c r="AD1962" i="11" s="1"/>
  <c r="AD1963" i="11" s="1"/>
  <c r="AD1964" i="11" s="1"/>
  <c r="AD1965" i="11" s="1"/>
  <c r="AD1966" i="11" s="1"/>
  <c r="AD1967" i="11" s="1"/>
  <c r="AD1968" i="11" s="1"/>
  <c r="AD1969" i="11" s="1"/>
  <c r="AD1970" i="11" s="1"/>
  <c r="AD1971" i="11" s="1"/>
  <c r="AD1972" i="11" s="1"/>
  <c r="AD1973" i="11" s="1"/>
  <c r="AD1974" i="11" s="1"/>
  <c r="AD1975" i="11" s="1"/>
  <c r="AD1976" i="11" s="1"/>
  <c r="AD1977" i="11" s="1"/>
  <c r="AD1978" i="11" s="1"/>
  <c r="AD1979" i="11" s="1"/>
  <c r="AD1980" i="11" s="1"/>
  <c r="AD1981" i="11" s="1"/>
  <c r="AD1982" i="11" s="1"/>
  <c r="AD1983" i="11" s="1"/>
  <c r="AD1984" i="11" s="1"/>
  <c r="AD1985" i="11" s="1"/>
  <c r="AD1986" i="11" s="1"/>
  <c r="AD1987" i="11" s="1"/>
  <c r="AD1988" i="11" s="1"/>
  <c r="AD1989" i="11" s="1"/>
  <c r="AD1990" i="11" s="1"/>
  <c r="AD1991" i="11" s="1"/>
  <c r="AD1992" i="11" s="1"/>
  <c r="AD1993" i="11" s="1"/>
  <c r="AD1994" i="11" s="1"/>
  <c r="AD1995" i="11" s="1"/>
  <c r="AD1996" i="11" s="1"/>
  <c r="AD1997" i="11" s="1"/>
  <c r="AD1998" i="11" s="1"/>
  <c r="AD1999" i="11" s="1"/>
  <c r="AD2000" i="11" s="1"/>
  <c r="AD2001" i="11" s="1"/>
  <c r="AD2002" i="11" s="1"/>
  <c r="AD2003" i="11" s="1"/>
  <c r="AD2004" i="11" s="1"/>
  <c r="AD2005" i="11" s="1"/>
  <c r="AD2006" i="11" s="1"/>
  <c r="AD2007" i="11" s="1"/>
  <c r="AD2008" i="11" s="1"/>
  <c r="AD2009" i="11" s="1"/>
  <c r="AD2010" i="11" s="1"/>
  <c r="AD2011" i="11" s="1"/>
  <c r="AD2012" i="11" s="1"/>
  <c r="AD2013" i="11" s="1"/>
  <c r="AD2014" i="11" s="1"/>
  <c r="AD2015" i="11" s="1"/>
  <c r="AD2016" i="11" s="1"/>
  <c r="AD2017" i="11" s="1"/>
  <c r="AD2018" i="11" s="1"/>
  <c r="AD2019" i="11" s="1"/>
  <c r="AD2020" i="11" s="1"/>
  <c r="AD2021" i="11" s="1"/>
  <c r="AD2022" i="11" s="1"/>
  <c r="AD2023" i="11" s="1"/>
  <c r="AD2024" i="11" s="1"/>
  <c r="AD2025" i="11" s="1"/>
  <c r="AD2026" i="11" s="1"/>
  <c r="AD2027" i="11" s="1"/>
  <c r="AD2028" i="11" s="1"/>
  <c r="AD2029" i="11" s="1"/>
  <c r="AD2030" i="11" s="1"/>
  <c r="AD2031" i="11" s="1"/>
  <c r="AD2032" i="11" s="1"/>
  <c r="AD2033" i="11" s="1"/>
  <c r="AD2034" i="11" s="1"/>
  <c r="AD2035" i="11" s="1"/>
  <c r="AD2036" i="11" s="1"/>
  <c r="AD2037" i="11" s="1"/>
  <c r="AD2038" i="11" s="1"/>
  <c r="AD2039" i="11" s="1"/>
  <c r="AD2040" i="11" s="1"/>
  <c r="AD2041" i="11" s="1"/>
  <c r="AD2042" i="11" s="1"/>
  <c r="AD2043" i="11" s="1"/>
  <c r="AD2044" i="11" s="1"/>
  <c r="AD2045" i="11" s="1"/>
  <c r="AD2046" i="11" s="1"/>
  <c r="AD2047" i="11" s="1"/>
  <c r="AD2048" i="11" s="1"/>
  <c r="AD2049" i="11" s="1"/>
  <c r="AD2050" i="11" s="1"/>
  <c r="AD2051" i="11" s="1"/>
  <c r="AD2052" i="11" s="1"/>
  <c r="AD2053" i="11" s="1"/>
  <c r="AD2054" i="11" s="1"/>
  <c r="AD2055" i="11" s="1"/>
  <c r="AD2056" i="11" s="1"/>
  <c r="AD2057" i="11" s="1"/>
  <c r="AD2058" i="11" s="1"/>
  <c r="AD2059" i="11" s="1"/>
  <c r="AD2060" i="11" s="1"/>
  <c r="AD2061" i="11" s="1"/>
  <c r="AD2062" i="11" s="1"/>
  <c r="AD2063" i="11" s="1"/>
  <c r="AD2064" i="11" s="1"/>
  <c r="AD2065" i="11" s="1"/>
  <c r="AD2066" i="11" s="1"/>
  <c r="AD2067" i="11" s="1"/>
  <c r="AD2068" i="11" s="1"/>
  <c r="AD2069" i="11" s="1"/>
  <c r="AD2070" i="11" s="1"/>
  <c r="AD2071" i="11" s="1"/>
  <c r="AD2072" i="11" s="1"/>
  <c r="AD2073" i="11" s="1"/>
  <c r="AD2074" i="11" s="1"/>
  <c r="AD2075" i="11" s="1"/>
  <c r="AD2076" i="11" s="1"/>
  <c r="AD2077" i="11" s="1"/>
  <c r="AD2078" i="11" s="1"/>
  <c r="AD2079" i="11" s="1"/>
  <c r="AD2080" i="11" s="1"/>
  <c r="AD2081" i="11" s="1"/>
  <c r="AD2082" i="11" s="1"/>
  <c r="AD2083" i="11" s="1"/>
  <c r="AD2084" i="11" s="1"/>
  <c r="AD2085" i="11" s="1"/>
  <c r="AD2086" i="11" s="1"/>
  <c r="AD2087" i="11" s="1"/>
  <c r="AD2088" i="11" s="1"/>
  <c r="AD2089" i="11" s="1"/>
  <c r="AD2090" i="11" s="1"/>
  <c r="AD2091" i="11" s="1"/>
  <c r="AD2092" i="11" s="1"/>
  <c r="AD2093" i="11" s="1"/>
  <c r="AD2094" i="11" s="1"/>
  <c r="AD2095" i="11" s="1"/>
  <c r="AD2096" i="11" s="1"/>
  <c r="AD2097" i="11" s="1"/>
  <c r="AD2098" i="11" s="1"/>
  <c r="AD2099" i="11" s="1"/>
  <c r="AD2100" i="11" s="1"/>
  <c r="AD2101" i="11" s="1"/>
  <c r="AD2102" i="11" s="1"/>
  <c r="AD2103" i="11" s="1"/>
  <c r="AD2104" i="11" s="1"/>
  <c r="AD2105" i="11" s="1"/>
  <c r="AD2106" i="11" s="1"/>
  <c r="AD2107" i="11" s="1"/>
  <c r="AD2108" i="11" s="1"/>
  <c r="AD2109" i="11" s="1"/>
  <c r="AD2110" i="11" s="1"/>
  <c r="AD2111" i="11" s="1"/>
  <c r="AD2112" i="11" s="1"/>
  <c r="AD2113" i="11" s="1"/>
  <c r="AD2114" i="11" s="1"/>
  <c r="AD2115" i="11" s="1"/>
  <c r="AD2116" i="11" s="1"/>
  <c r="AD2117" i="11" s="1"/>
  <c r="AD2118" i="11" s="1"/>
  <c r="AD2119" i="11" s="1"/>
  <c r="AD2120" i="11" s="1"/>
  <c r="AD2121" i="11" s="1"/>
  <c r="AD2122" i="11" s="1"/>
  <c r="AD2123" i="11" s="1"/>
  <c r="AD2124" i="11" s="1"/>
  <c r="AD2125" i="11" s="1"/>
  <c r="AD2126" i="11" s="1"/>
  <c r="AD2127" i="11" s="1"/>
  <c r="AD2128" i="11" s="1"/>
  <c r="AD2129" i="11" s="1"/>
  <c r="AD2130" i="11" s="1"/>
  <c r="AD2131" i="11" s="1"/>
  <c r="AD2132" i="11" s="1"/>
  <c r="AD2133" i="11" s="1"/>
  <c r="AD2134" i="11" s="1"/>
  <c r="AD2135" i="11" s="1"/>
  <c r="AD2136" i="11" s="1"/>
  <c r="AD2137" i="11" s="1"/>
  <c r="AD2138" i="11" s="1"/>
  <c r="AD2139" i="11" s="1"/>
  <c r="AD2140" i="11" s="1"/>
  <c r="AD2141" i="11" s="1"/>
  <c r="AD2142" i="11" s="1"/>
  <c r="AD2143" i="11" s="1"/>
  <c r="AD2144" i="11" s="1"/>
  <c r="AD2145" i="11" s="1"/>
  <c r="AD2146" i="11" s="1"/>
  <c r="AD2147" i="11" s="1"/>
  <c r="AD2148" i="11" s="1"/>
  <c r="AD2149" i="11" s="1"/>
  <c r="AD2150" i="11" s="1"/>
  <c r="AD2151" i="11" s="1"/>
  <c r="AD2152" i="11" s="1"/>
  <c r="AD2153" i="11" s="1"/>
  <c r="AD2154" i="11" s="1"/>
  <c r="AD2155" i="11" s="1"/>
  <c r="AD2156" i="11" s="1"/>
  <c r="AD2157" i="11" s="1"/>
  <c r="AD2158" i="11" s="1"/>
  <c r="AD2159" i="11" s="1"/>
  <c r="AD2160" i="11" s="1"/>
  <c r="AD2161" i="11" s="1"/>
  <c r="AD2162" i="11" s="1"/>
  <c r="AD2163" i="11" s="1"/>
  <c r="AD2164" i="11" s="1"/>
  <c r="AD2165" i="11" s="1"/>
  <c r="AD2166" i="11" s="1"/>
  <c r="AD2167" i="11" s="1"/>
  <c r="AD2168" i="11" s="1"/>
  <c r="AD2169" i="11" s="1"/>
  <c r="AD2170" i="11" s="1"/>
  <c r="AD2171" i="11" s="1"/>
  <c r="AD2172" i="11" s="1"/>
  <c r="AD2173" i="11" s="1"/>
  <c r="AD2174" i="11" s="1"/>
  <c r="AD2175" i="11" s="1"/>
  <c r="AD2176" i="11" s="1"/>
  <c r="AD2177" i="11" s="1"/>
  <c r="AD2178" i="11" s="1"/>
  <c r="AD2179" i="11" s="1"/>
  <c r="AD2180" i="11" s="1"/>
  <c r="AD2181" i="11" s="1"/>
  <c r="AD2182" i="11" s="1"/>
  <c r="AD2183" i="11" s="1"/>
  <c r="AD2184" i="11" s="1"/>
  <c r="AD2185" i="11" s="1"/>
  <c r="AD2186" i="11" s="1"/>
  <c r="AD2187" i="11" s="1"/>
  <c r="AD2188" i="11" s="1"/>
  <c r="AD2189" i="11" s="1"/>
  <c r="AD2190" i="11" s="1"/>
  <c r="AD2191" i="11" s="1"/>
  <c r="AD2192" i="11" s="1"/>
  <c r="AD2193" i="11" s="1"/>
  <c r="AD2194" i="11" s="1"/>
  <c r="AD2195" i="11" s="1"/>
  <c r="AD2196" i="11" s="1"/>
  <c r="AD2197" i="11" s="1"/>
  <c r="AD2198" i="11" s="1"/>
  <c r="AD2199" i="11" s="1"/>
  <c r="AD2200" i="11" s="1"/>
  <c r="AD2201" i="11" s="1"/>
  <c r="AD2202" i="11" s="1"/>
  <c r="AD2203" i="11" s="1"/>
  <c r="AD2204" i="11" s="1"/>
  <c r="AD2205" i="11" s="1"/>
  <c r="AD2206" i="11" s="1"/>
  <c r="AD2207" i="11" s="1"/>
  <c r="AD2208" i="11" s="1"/>
  <c r="AD2209" i="11" s="1"/>
  <c r="AD2210" i="11" s="1"/>
  <c r="AD2211" i="11" s="1"/>
  <c r="AD2212" i="11" s="1"/>
  <c r="AD2213" i="11" s="1"/>
  <c r="AD2214" i="11" s="1"/>
  <c r="AD2215" i="11" s="1"/>
  <c r="AD2216" i="11" s="1"/>
  <c r="AD2217" i="11" s="1"/>
  <c r="AD2218" i="11" s="1"/>
  <c r="AD2219" i="11" s="1"/>
  <c r="AD2220" i="11" s="1"/>
  <c r="AD2221" i="11" s="1"/>
  <c r="AD2222" i="11" s="1"/>
  <c r="AD2223" i="11" s="1"/>
  <c r="AD2224" i="11" s="1"/>
  <c r="AD2225" i="11" s="1"/>
  <c r="AD2226" i="11" s="1"/>
  <c r="AD2227" i="11" s="1"/>
  <c r="AD2228" i="11" s="1"/>
  <c r="AD2229" i="11" s="1"/>
  <c r="AD2230" i="11" s="1"/>
  <c r="AD2231" i="11" s="1"/>
  <c r="AD2232" i="11" s="1"/>
  <c r="AD2233" i="11" s="1"/>
  <c r="AD2234" i="11" s="1"/>
  <c r="AD2235" i="11" s="1"/>
  <c r="AD2236" i="11" s="1"/>
  <c r="AD2237" i="11" s="1"/>
  <c r="AD2238" i="11" s="1"/>
  <c r="AD2239" i="11" s="1"/>
  <c r="AD2240" i="11" s="1"/>
  <c r="AD2241" i="11" s="1"/>
  <c r="AD2242" i="11" s="1"/>
  <c r="AD2243" i="11" s="1"/>
  <c r="AD2244" i="11" s="1"/>
  <c r="AD2245" i="11" s="1"/>
  <c r="AD2246" i="11" s="1"/>
  <c r="AD2247" i="11" s="1"/>
  <c r="AD2248" i="11" s="1"/>
  <c r="AD2249" i="11" s="1"/>
  <c r="AD2250" i="11" s="1"/>
  <c r="AD2251" i="11" s="1"/>
  <c r="AD2252" i="11" s="1"/>
  <c r="AD2253" i="11" s="1"/>
  <c r="AD2254" i="11" s="1"/>
  <c r="AD2255" i="11" s="1"/>
  <c r="AD2256" i="11" s="1"/>
  <c r="AD2257" i="11" s="1"/>
  <c r="AD2258" i="11" s="1"/>
  <c r="AD2259" i="11" s="1"/>
  <c r="AD2260" i="11" s="1"/>
  <c r="AD2261" i="11" s="1"/>
  <c r="AD2262" i="11" s="1"/>
  <c r="AD2263" i="11" s="1"/>
  <c r="AD2264" i="11" s="1"/>
  <c r="AD2265" i="11" s="1"/>
  <c r="AD2266" i="11" s="1"/>
  <c r="AD2267" i="11" s="1"/>
  <c r="AD2268" i="11" s="1"/>
  <c r="AD2269" i="11" s="1"/>
  <c r="AD2270" i="11" s="1"/>
  <c r="AD2271" i="11" s="1"/>
  <c r="AD2272" i="11" s="1"/>
  <c r="AD2273" i="11" s="1"/>
  <c r="AD2274" i="11" s="1"/>
  <c r="AD2275" i="11" s="1"/>
  <c r="AD2276" i="11" s="1"/>
  <c r="AD2277" i="11" s="1"/>
  <c r="AD2278" i="11" s="1"/>
  <c r="AD2279" i="11" s="1"/>
  <c r="AD2280" i="11" s="1"/>
  <c r="AD2281" i="11" s="1"/>
  <c r="AD2282" i="11" s="1"/>
  <c r="AD2283" i="11" s="1"/>
  <c r="AD2284" i="11" s="1"/>
  <c r="AD2285" i="11" s="1"/>
  <c r="AD2286" i="11" s="1"/>
  <c r="AD2287" i="11" s="1"/>
  <c r="AD2288" i="11" s="1"/>
  <c r="AD2289" i="11" s="1"/>
  <c r="AD2290" i="11" s="1"/>
  <c r="AD2291" i="11" s="1"/>
  <c r="AD2292" i="11" s="1"/>
  <c r="AD2293" i="11" s="1"/>
  <c r="AD2294" i="11" s="1"/>
  <c r="AD2295" i="11" s="1"/>
  <c r="AD2296" i="11" s="1"/>
  <c r="AD2297" i="11" s="1"/>
  <c r="AD2298" i="11" s="1"/>
  <c r="AD2299" i="11" s="1"/>
  <c r="AD2300" i="11" s="1"/>
  <c r="AD2301" i="11" s="1"/>
  <c r="AD2302" i="11" s="1"/>
  <c r="AD2303" i="11" s="1"/>
  <c r="AD2304" i="11" s="1"/>
  <c r="AD2305" i="11" s="1"/>
  <c r="AD2306" i="11" s="1"/>
  <c r="AD2307" i="11" s="1"/>
  <c r="AD2308" i="11" s="1"/>
  <c r="AD2309" i="11" s="1"/>
  <c r="AD2310" i="11" s="1"/>
  <c r="AD2311" i="11" s="1"/>
  <c r="AD2312" i="11" s="1"/>
  <c r="AD2313" i="11" s="1"/>
  <c r="AD2314" i="11" s="1"/>
  <c r="AD2315" i="11" s="1"/>
  <c r="AD2316" i="11" s="1"/>
  <c r="AD2317" i="11" s="1"/>
  <c r="AD2318" i="11" s="1"/>
  <c r="AD2319" i="11" s="1"/>
  <c r="AD2320" i="11" s="1"/>
  <c r="AD2321" i="11" s="1"/>
  <c r="AD2322" i="11" s="1"/>
  <c r="AD2323" i="11" s="1"/>
  <c r="AD2324" i="11" s="1"/>
  <c r="AD2325" i="11" s="1"/>
  <c r="AD2326" i="11" s="1"/>
  <c r="AD2327" i="11" s="1"/>
  <c r="AD2328" i="11" s="1"/>
  <c r="AD2329" i="11" s="1"/>
  <c r="AD2330" i="11" s="1"/>
  <c r="AD2331" i="11" s="1"/>
  <c r="AD2332" i="11" s="1"/>
  <c r="AD2333" i="11" s="1"/>
  <c r="AD2334" i="11" s="1"/>
  <c r="AD2335" i="11" s="1"/>
  <c r="AD2336" i="11" s="1"/>
  <c r="AD2337" i="11" s="1"/>
  <c r="AD2338" i="11" s="1"/>
  <c r="AD2339" i="11" s="1"/>
  <c r="AD2340" i="11" s="1"/>
  <c r="AD2341" i="11" s="1"/>
  <c r="AD2342" i="11" s="1"/>
  <c r="AD2343" i="11" s="1"/>
  <c r="AD2344" i="11" s="1"/>
  <c r="AD2345" i="11" s="1"/>
  <c r="AD2346" i="11" s="1"/>
  <c r="AD2347" i="11" s="1"/>
  <c r="AD2348" i="11" s="1"/>
  <c r="AD2349" i="11" s="1"/>
  <c r="AD2350" i="11" s="1"/>
  <c r="AD2351" i="11" s="1"/>
  <c r="AD2352" i="11" s="1"/>
  <c r="AD2353" i="11" s="1"/>
  <c r="AD2354" i="11" s="1"/>
  <c r="AD2355" i="11" s="1"/>
  <c r="AD2356" i="11" s="1"/>
  <c r="AD2357" i="11" s="1"/>
  <c r="AD2358" i="11" s="1"/>
  <c r="AD2359" i="11" s="1"/>
  <c r="AD2360" i="11" s="1"/>
  <c r="AD2361" i="11" s="1"/>
  <c r="AD2362" i="11" s="1"/>
  <c r="AD2363" i="11" s="1"/>
  <c r="AD2364" i="11" s="1"/>
  <c r="AD2365" i="11" s="1"/>
  <c r="AD2366" i="11" s="1"/>
  <c r="AD2367" i="11" s="1"/>
  <c r="AD2368" i="11" s="1"/>
  <c r="AD2369" i="11" s="1"/>
  <c r="AD2370" i="11" s="1"/>
  <c r="AD2371" i="11" s="1"/>
  <c r="AD2372" i="11" s="1"/>
  <c r="AD2373" i="11" s="1"/>
  <c r="AD2374" i="11" s="1"/>
  <c r="AD2375" i="11" s="1"/>
  <c r="AD2376" i="11" s="1"/>
  <c r="AD2377" i="11" s="1"/>
  <c r="AD2378" i="11" s="1"/>
  <c r="AD2379" i="11" s="1"/>
  <c r="AD2380" i="11" s="1"/>
  <c r="AD2381" i="11" s="1"/>
  <c r="AD2382" i="11" s="1"/>
  <c r="AD2383" i="11" s="1"/>
  <c r="AD2384" i="11" s="1"/>
  <c r="AD2385" i="11" s="1"/>
  <c r="AD2386" i="11" s="1"/>
  <c r="AD2387" i="11" s="1"/>
  <c r="AD2388" i="11" s="1"/>
  <c r="AD2389" i="11" s="1"/>
  <c r="AD2390" i="11" s="1"/>
  <c r="AD2391" i="11" s="1"/>
  <c r="AD2392" i="11" s="1"/>
  <c r="AD2393" i="11" s="1"/>
  <c r="AD2394" i="11" s="1"/>
  <c r="AD2395" i="11" s="1"/>
  <c r="AD2396" i="11" s="1"/>
  <c r="AD2397" i="11" s="1"/>
  <c r="AD2398" i="11" s="1"/>
  <c r="AD2399" i="11" s="1"/>
  <c r="AD2400" i="11" s="1"/>
  <c r="AD2401" i="11" s="1"/>
  <c r="AD2402" i="11" s="1"/>
  <c r="AD2403" i="11" s="1"/>
  <c r="AD2404" i="11" s="1"/>
  <c r="AD2405" i="11" s="1"/>
  <c r="AD2406" i="11" s="1"/>
  <c r="AD2407" i="11" s="1"/>
  <c r="AD2408" i="11" s="1"/>
  <c r="AD2409" i="11" s="1"/>
  <c r="AD2410" i="11" s="1"/>
  <c r="AD2411" i="11" s="1"/>
  <c r="AD2412" i="11" s="1"/>
  <c r="AD2413" i="11" s="1"/>
  <c r="AD2414" i="11" s="1"/>
  <c r="AD2415" i="11" s="1"/>
  <c r="AD2416" i="11" s="1"/>
  <c r="AD2417" i="11" s="1"/>
  <c r="AD2418" i="11" s="1"/>
  <c r="AD2419" i="11" s="1"/>
  <c r="AD2420" i="11" s="1"/>
  <c r="AD2421" i="11" s="1"/>
  <c r="AD2422" i="11" s="1"/>
  <c r="AD2423" i="11" s="1"/>
  <c r="AD2424" i="11" s="1"/>
  <c r="AD2425" i="11" s="1"/>
  <c r="AD2426" i="11" s="1"/>
  <c r="AD2427" i="11" s="1"/>
  <c r="AD2428" i="11" s="1"/>
  <c r="AD2429" i="11" s="1"/>
  <c r="AD2430" i="11" s="1"/>
  <c r="AD2431" i="11" s="1"/>
  <c r="AD2432" i="11" s="1"/>
  <c r="AD2433" i="11" s="1"/>
  <c r="AD2434" i="11" s="1"/>
  <c r="AD2435" i="11" s="1"/>
  <c r="AD2436" i="11" s="1"/>
  <c r="AD2437" i="11" s="1"/>
  <c r="AD2438" i="11" s="1"/>
  <c r="AD2439" i="11" s="1"/>
  <c r="AD2440" i="11" s="1"/>
  <c r="AD2441" i="11" s="1"/>
  <c r="AD2442" i="11" s="1"/>
  <c r="AD2443" i="11" s="1"/>
  <c r="AD2444" i="11" s="1"/>
  <c r="AD2445" i="11" s="1"/>
  <c r="AD2446" i="11" s="1"/>
  <c r="AD2447" i="11" s="1"/>
  <c r="AD2448" i="11" s="1"/>
  <c r="AD2449" i="11" s="1"/>
  <c r="AD2450" i="11" s="1"/>
  <c r="AD2451" i="11" s="1"/>
  <c r="AD2452" i="11" s="1"/>
  <c r="AD2453" i="11" s="1"/>
  <c r="AD2454" i="11" s="1"/>
  <c r="AD2455" i="11" s="1"/>
  <c r="AD2456" i="11" s="1"/>
  <c r="AD2457" i="11" s="1"/>
  <c r="AD2458" i="11" s="1"/>
  <c r="AD2459" i="11" s="1"/>
  <c r="AD2460" i="11" s="1"/>
  <c r="AD2461" i="11" s="1"/>
  <c r="AD2462" i="11" s="1"/>
  <c r="AD2463" i="11" s="1"/>
  <c r="AD2464" i="11" s="1"/>
  <c r="AD2465" i="11" s="1"/>
  <c r="AD2466" i="11" s="1"/>
  <c r="AD2467" i="11" s="1"/>
  <c r="AD2468" i="11" s="1"/>
  <c r="AD2469" i="11" s="1"/>
  <c r="AD2470" i="11" s="1"/>
  <c r="AD2471" i="11" s="1"/>
  <c r="AD2472" i="11" s="1"/>
  <c r="AD2473" i="11" s="1"/>
  <c r="AD2474" i="11" s="1"/>
  <c r="AD2475" i="11" s="1"/>
  <c r="AD2476" i="11" s="1"/>
  <c r="AD2477" i="11" s="1"/>
  <c r="AD2478" i="11" s="1"/>
  <c r="AD2479" i="11" s="1"/>
  <c r="AD2480" i="11" s="1"/>
  <c r="AD2481" i="11" s="1"/>
  <c r="AD2482" i="11" s="1"/>
  <c r="AD2483" i="11" s="1"/>
  <c r="AD2484" i="11" s="1"/>
  <c r="AD2485" i="11" s="1"/>
  <c r="AD2486" i="11" s="1"/>
  <c r="AD2487" i="11" s="1"/>
  <c r="AD2488" i="11" s="1"/>
  <c r="AD2489" i="11" s="1"/>
  <c r="AD2490" i="11" s="1"/>
  <c r="AD2491" i="11" s="1"/>
  <c r="AD2492" i="11" s="1"/>
  <c r="AD2493" i="11" s="1"/>
  <c r="AD2494" i="11" s="1"/>
  <c r="AD2495" i="11" s="1"/>
  <c r="AD2496" i="11" s="1"/>
  <c r="AD2497" i="11" s="1"/>
  <c r="AD2498" i="11" s="1"/>
  <c r="AD2499" i="11" s="1"/>
  <c r="AD2500" i="11" s="1"/>
  <c r="AD2501" i="11" s="1"/>
  <c r="AD2502" i="11" s="1"/>
  <c r="AD2503" i="11" s="1"/>
  <c r="AD2504" i="11" s="1"/>
  <c r="AD2505" i="11" s="1"/>
  <c r="AD2506" i="11" s="1"/>
  <c r="AD2507" i="11" s="1"/>
  <c r="AD2508" i="11" s="1"/>
  <c r="AD2509" i="11" s="1"/>
  <c r="AD2510" i="11" s="1"/>
  <c r="AD2511" i="11" s="1"/>
  <c r="AD2512" i="11" s="1"/>
  <c r="AD2513" i="11" s="1"/>
  <c r="AD2514" i="11" s="1"/>
  <c r="AD2515" i="11" s="1"/>
  <c r="AD2516" i="11" s="1"/>
  <c r="AD2517" i="11" s="1"/>
  <c r="AD2518" i="11" s="1"/>
  <c r="AD2519" i="11" s="1"/>
  <c r="AD2520" i="11" s="1"/>
  <c r="AD2521" i="11" s="1"/>
  <c r="AD2522" i="11" s="1"/>
  <c r="AD2523" i="11" s="1"/>
  <c r="AD2524" i="11" s="1"/>
  <c r="AD2525" i="11" s="1"/>
  <c r="AD2526" i="11" s="1"/>
  <c r="AD2527" i="11" s="1"/>
  <c r="AD2528" i="11" s="1"/>
  <c r="AD2529" i="11" s="1"/>
  <c r="AD2530" i="11" s="1"/>
  <c r="AD2531" i="11" s="1"/>
  <c r="AD2532" i="11" s="1"/>
  <c r="AD2533" i="11" s="1"/>
  <c r="AD2534" i="11" s="1"/>
  <c r="AD2535" i="11" s="1"/>
  <c r="AD2536" i="11" s="1"/>
  <c r="AD2537" i="11" s="1"/>
  <c r="AD2538" i="11" s="1"/>
  <c r="AD2539" i="11" s="1"/>
  <c r="AD2540" i="11" s="1"/>
  <c r="AD2541" i="11" s="1"/>
  <c r="AD2542" i="11" s="1"/>
  <c r="AD2543" i="11" s="1"/>
  <c r="AD2544" i="11" s="1"/>
  <c r="AD2545" i="11" s="1"/>
  <c r="AD2546" i="11" s="1"/>
  <c r="AD2547" i="11" s="1"/>
  <c r="AD2548" i="11" s="1"/>
  <c r="AD2549" i="11" s="1"/>
  <c r="AD2550" i="11" s="1"/>
  <c r="AD2551" i="11" s="1"/>
  <c r="AD2552" i="11" s="1"/>
  <c r="AD2553" i="11" s="1"/>
  <c r="AD2554" i="11" s="1"/>
  <c r="AD2555" i="11" s="1"/>
  <c r="AD2556" i="11" s="1"/>
  <c r="AD2557" i="11" s="1"/>
  <c r="AD2558" i="11" s="1"/>
  <c r="AD2559" i="11" s="1"/>
  <c r="AD2560" i="11" s="1"/>
  <c r="AD2561" i="11" s="1"/>
  <c r="AD2562" i="11" s="1"/>
  <c r="AD2563" i="11" s="1"/>
  <c r="AD2564" i="11" s="1"/>
  <c r="AD2565" i="11" s="1"/>
  <c r="AD2566" i="11" s="1"/>
  <c r="AD2567" i="11" s="1"/>
  <c r="AD2568" i="11" s="1"/>
  <c r="AD2569" i="11" s="1"/>
  <c r="AD2570" i="11" s="1"/>
  <c r="AD2571" i="11" s="1"/>
  <c r="AD2572" i="11" s="1"/>
  <c r="AD2573" i="11" s="1"/>
  <c r="AD2574" i="11" s="1"/>
  <c r="AD2575" i="11" s="1"/>
  <c r="AD2576" i="11" s="1"/>
  <c r="AD2577" i="11" s="1"/>
  <c r="AD2578" i="11" s="1"/>
  <c r="AD2579" i="11" s="1"/>
  <c r="AD2580" i="11" s="1"/>
  <c r="AD2581" i="11" s="1"/>
  <c r="AD2582" i="11" s="1"/>
  <c r="AD2583" i="11" s="1"/>
  <c r="AD2584" i="11" s="1"/>
  <c r="AD2585" i="11" s="1"/>
  <c r="AD2586" i="11" s="1"/>
  <c r="AD2587" i="11" s="1"/>
  <c r="AD2588" i="11" s="1"/>
  <c r="AD2589" i="11" s="1"/>
  <c r="AD2590" i="11" s="1"/>
  <c r="AD2591" i="11" s="1"/>
  <c r="AD2592" i="11" s="1"/>
  <c r="AD2593" i="11" s="1"/>
  <c r="AD2594" i="11" s="1"/>
  <c r="AD2595" i="11" s="1"/>
  <c r="AD2596" i="11" s="1"/>
  <c r="AD2597" i="11" s="1"/>
  <c r="AD2598" i="11" s="1"/>
  <c r="AD2599" i="11" s="1"/>
  <c r="AD2600" i="11" s="1"/>
  <c r="AD2601" i="11" s="1"/>
  <c r="AD2602" i="11" s="1"/>
  <c r="AD2603" i="11" s="1"/>
  <c r="AD2604" i="11" s="1"/>
  <c r="AD2605" i="11" s="1"/>
  <c r="AD2606" i="11" s="1"/>
  <c r="AD2607" i="11" s="1"/>
  <c r="AD2608" i="11" s="1"/>
  <c r="AD2609" i="11" s="1"/>
  <c r="AD2610" i="11" s="1"/>
  <c r="AD2611" i="11" s="1"/>
  <c r="AD2612" i="11" s="1"/>
  <c r="AD2613" i="11" s="1"/>
  <c r="AD2614" i="11" s="1"/>
  <c r="AD2615" i="11" s="1"/>
  <c r="AD2616" i="11" s="1"/>
  <c r="AD2617" i="11" s="1"/>
  <c r="AD2618" i="11" s="1"/>
  <c r="AD2619" i="11" s="1"/>
  <c r="AD2620" i="11" s="1"/>
  <c r="AD2621" i="11" s="1"/>
  <c r="AD2622" i="11" s="1"/>
  <c r="AD2623" i="11" s="1"/>
  <c r="AD2624" i="11" s="1"/>
  <c r="AD2625" i="11" s="1"/>
  <c r="AD2626" i="11" s="1"/>
  <c r="AD2627" i="11" s="1"/>
  <c r="AD2628" i="11" s="1"/>
  <c r="AD2629" i="11" s="1"/>
  <c r="AD2630" i="11" s="1"/>
  <c r="AD2631" i="11" s="1"/>
  <c r="AD2632" i="11" s="1"/>
  <c r="AD2633" i="11" s="1"/>
  <c r="AD2634" i="11" s="1"/>
  <c r="AD2635" i="11" s="1"/>
  <c r="AD2636" i="11" s="1"/>
  <c r="AD2637" i="11" s="1"/>
  <c r="AD2638" i="11" s="1"/>
  <c r="AD2639" i="11" s="1"/>
  <c r="AD2640" i="11" s="1"/>
  <c r="AD2641" i="11" s="1"/>
  <c r="AD2642" i="11" s="1"/>
  <c r="AD2643" i="11" s="1"/>
  <c r="AD2644" i="11" s="1"/>
  <c r="AD2645" i="11" s="1"/>
  <c r="AD2646" i="11" s="1"/>
  <c r="AD2647" i="11" s="1"/>
  <c r="AD2648" i="11" s="1"/>
  <c r="AD2649" i="11" s="1"/>
  <c r="AD2650" i="11" s="1"/>
  <c r="AD2651" i="11" s="1"/>
  <c r="AD2652" i="11" s="1"/>
  <c r="AD2653" i="11" s="1"/>
  <c r="AD2654" i="11" s="1"/>
  <c r="AD2655" i="11" s="1"/>
  <c r="AD2656" i="11" s="1"/>
  <c r="AD2657" i="11" s="1"/>
  <c r="AD2658" i="11" s="1"/>
  <c r="AD2659" i="11" s="1"/>
  <c r="AD2660" i="11" s="1"/>
  <c r="AD2661" i="11" s="1"/>
  <c r="AD2662" i="11" s="1"/>
  <c r="AD2663" i="11" s="1"/>
  <c r="AD2664" i="11" s="1"/>
  <c r="AD2665" i="11" s="1"/>
  <c r="AD2666" i="11" s="1"/>
  <c r="AD2667" i="11" s="1"/>
  <c r="AD2668" i="11" s="1"/>
  <c r="AD2669" i="11" s="1"/>
  <c r="AD2670" i="11" s="1"/>
  <c r="AD2671" i="11" s="1"/>
  <c r="AD2672" i="11" s="1"/>
  <c r="AD2673" i="11" s="1"/>
  <c r="AD2674" i="11" s="1"/>
  <c r="AD2675" i="11" s="1"/>
  <c r="AD2676" i="11" s="1"/>
  <c r="AD2677" i="11" s="1"/>
  <c r="AD2678" i="11" s="1"/>
  <c r="AD2679" i="11" s="1"/>
  <c r="AD2680" i="11" s="1"/>
  <c r="AD2681" i="11" s="1"/>
  <c r="AD2682" i="11" s="1"/>
  <c r="AD2683" i="11" s="1"/>
  <c r="AD2684" i="11" s="1"/>
  <c r="AD2685" i="11" s="1"/>
  <c r="AD2686" i="11" s="1"/>
  <c r="AD2687" i="11" s="1"/>
  <c r="AD2688" i="11" s="1"/>
  <c r="AD2689" i="11" s="1"/>
  <c r="AD2690" i="11" s="1"/>
  <c r="AD2691" i="11" s="1"/>
  <c r="AD2692" i="11" s="1"/>
  <c r="AD2693" i="11" s="1"/>
  <c r="AD2694" i="11" s="1"/>
  <c r="AD2695" i="11" s="1"/>
  <c r="AD2696" i="11" s="1"/>
  <c r="AD2697" i="11" s="1"/>
  <c r="AD2698" i="11" s="1"/>
  <c r="AD2699" i="11" s="1"/>
  <c r="AD2700" i="11" s="1"/>
  <c r="AD2701" i="11" s="1"/>
  <c r="AD2702" i="11" s="1"/>
  <c r="AD2703" i="11" s="1"/>
  <c r="AD2704" i="11" s="1"/>
  <c r="AD2705" i="11" s="1"/>
  <c r="AD2706" i="11" s="1"/>
  <c r="AD2707" i="11" s="1"/>
  <c r="AD2708" i="11" s="1"/>
  <c r="AD2709" i="11" s="1"/>
  <c r="AD2710" i="11" s="1"/>
  <c r="AD2711" i="11" s="1"/>
  <c r="AD2712" i="11" s="1"/>
  <c r="AD2713" i="11" s="1"/>
  <c r="AD2714" i="11" s="1"/>
  <c r="AD2715" i="11" s="1"/>
  <c r="AD2716" i="11" s="1"/>
  <c r="AD2717" i="11" s="1"/>
  <c r="AD2718" i="11" s="1"/>
  <c r="AD2719" i="11" s="1"/>
  <c r="AD2720" i="11" s="1"/>
  <c r="AD2721" i="11" s="1"/>
  <c r="AD2722" i="11" s="1"/>
  <c r="AD2723" i="11" s="1"/>
  <c r="AD2724" i="11" s="1"/>
  <c r="AD2725" i="11" s="1"/>
  <c r="AD2726" i="11" s="1"/>
  <c r="AD2727" i="11" s="1"/>
  <c r="AD2728" i="11" s="1"/>
  <c r="AD2729" i="11" s="1"/>
  <c r="AD2730" i="11" s="1"/>
  <c r="AD2731" i="11" s="1"/>
  <c r="AD2732" i="11" s="1"/>
  <c r="AD2733" i="11" s="1"/>
  <c r="AD2734" i="11" s="1"/>
  <c r="AD2735" i="11" s="1"/>
  <c r="AD2736" i="11" s="1"/>
  <c r="AD2737" i="11" s="1"/>
  <c r="AD2738" i="11" s="1"/>
  <c r="AD2739" i="11" s="1"/>
  <c r="AD2740" i="11" s="1"/>
  <c r="AD2741" i="11" s="1"/>
  <c r="AD2742" i="11" s="1"/>
  <c r="AD2743" i="11" s="1"/>
  <c r="AD2744" i="11" s="1"/>
  <c r="AD2745" i="11" s="1"/>
  <c r="AD2746" i="11" s="1"/>
  <c r="AD2747" i="11" s="1"/>
  <c r="AD2748" i="11" s="1"/>
  <c r="AD2749" i="11" s="1"/>
  <c r="AD2750" i="11" s="1"/>
  <c r="AD2751" i="11" s="1"/>
  <c r="AD2752" i="11" s="1"/>
  <c r="AD2753" i="11" s="1"/>
  <c r="AD2754" i="11" s="1"/>
  <c r="AD2755" i="11" s="1"/>
  <c r="AD2756" i="11" s="1"/>
  <c r="AD2757" i="11" s="1"/>
  <c r="AD2758" i="11" s="1"/>
  <c r="AD2759" i="11" s="1"/>
  <c r="AD2760" i="11" s="1"/>
  <c r="AD2761" i="11" s="1"/>
  <c r="AD2762" i="11" s="1"/>
  <c r="AD2763" i="11" s="1"/>
  <c r="AD2764" i="11" s="1"/>
  <c r="AD2765" i="11" s="1"/>
  <c r="AD2766" i="11" s="1"/>
  <c r="AD2767" i="11" s="1"/>
  <c r="AD2768" i="11" s="1"/>
  <c r="AD2769" i="11" s="1"/>
  <c r="AD2770" i="11" s="1"/>
  <c r="AD2771" i="11" s="1"/>
  <c r="AD2772" i="11" s="1"/>
  <c r="AD2773" i="11" s="1"/>
  <c r="AD2774" i="11" s="1"/>
  <c r="AD2775" i="11" s="1"/>
  <c r="AD2776" i="11" s="1"/>
  <c r="AD2777" i="11" s="1"/>
  <c r="AD2778" i="11" s="1"/>
  <c r="AD2779" i="11" s="1"/>
  <c r="AD2780" i="11" s="1"/>
  <c r="AD2781" i="11" s="1"/>
  <c r="AD2782" i="11" s="1"/>
  <c r="AD2783" i="11" s="1"/>
  <c r="AD2784" i="11" s="1"/>
  <c r="AD2785" i="11" s="1"/>
  <c r="AD2786" i="11" s="1"/>
  <c r="AD2787" i="11" s="1"/>
  <c r="AD2788" i="11" s="1"/>
  <c r="AD2789" i="11" s="1"/>
  <c r="AD2790" i="11" s="1"/>
  <c r="AD2791" i="11" s="1"/>
  <c r="AD2792" i="11" s="1"/>
  <c r="AD2793" i="11" s="1"/>
  <c r="AD2794" i="11" s="1"/>
  <c r="AD2795" i="11" s="1"/>
  <c r="AD2796" i="11" s="1"/>
  <c r="AD2797" i="11" s="1"/>
  <c r="AD2798" i="11" s="1"/>
  <c r="AD2799" i="11" s="1"/>
  <c r="AD2800" i="11" s="1"/>
  <c r="AD2801" i="11" s="1"/>
  <c r="AD2802" i="11" s="1"/>
  <c r="AD2803" i="11" s="1"/>
  <c r="AD2804" i="11" s="1"/>
  <c r="AD2805" i="11" s="1"/>
  <c r="AD2806" i="11" s="1"/>
  <c r="AD2807" i="11" s="1"/>
  <c r="AD2808" i="11" s="1"/>
  <c r="AD2809" i="11" s="1"/>
  <c r="AD2810" i="11" s="1"/>
  <c r="AD2811" i="11" s="1"/>
  <c r="AD2812" i="11" s="1"/>
  <c r="AD2813" i="11" s="1"/>
  <c r="AD2814" i="11" s="1"/>
  <c r="AD2815" i="11" s="1"/>
  <c r="AD2816" i="11" s="1"/>
  <c r="AD2817" i="11" s="1"/>
  <c r="AD2818" i="11" s="1"/>
  <c r="AD2819" i="11" s="1"/>
  <c r="AD2820" i="11" s="1"/>
  <c r="AD2821" i="11" s="1"/>
  <c r="AD2822" i="11" s="1"/>
  <c r="AD2823" i="11" s="1"/>
  <c r="AD2824" i="11" s="1"/>
  <c r="AD2825" i="11" s="1"/>
  <c r="AD2826" i="11" s="1"/>
  <c r="AD2827" i="11" s="1"/>
  <c r="AD2828" i="11" s="1"/>
  <c r="AD2829" i="11" s="1"/>
  <c r="AD2830" i="11" s="1"/>
  <c r="AD2831" i="11" s="1"/>
  <c r="AD2832" i="11" s="1"/>
  <c r="AD2833" i="11" s="1"/>
  <c r="AD2834" i="11" s="1"/>
  <c r="AD2835" i="11" s="1"/>
  <c r="AD2836" i="11" s="1"/>
  <c r="AD2837" i="11" s="1"/>
  <c r="AD2838" i="11" s="1"/>
  <c r="AD2839" i="11" s="1"/>
  <c r="AD2840" i="11" s="1"/>
  <c r="AD2841" i="11" s="1"/>
  <c r="AD2842" i="11" s="1"/>
  <c r="AD2843" i="11" s="1"/>
  <c r="AD2844" i="11" s="1"/>
  <c r="AD2845" i="11" s="1"/>
  <c r="AD2846" i="11" s="1"/>
  <c r="AD2847" i="11" s="1"/>
  <c r="AD2848" i="11" s="1"/>
  <c r="AD2849" i="11" s="1"/>
  <c r="AD2850" i="11" s="1"/>
  <c r="AD2851" i="11" s="1"/>
  <c r="AD2852" i="11" s="1"/>
  <c r="AD2853" i="11" s="1"/>
  <c r="AD2854" i="11" s="1"/>
  <c r="AD2855" i="11" s="1"/>
  <c r="AD2856" i="11" s="1"/>
  <c r="AD2857" i="11" s="1"/>
  <c r="AD2858" i="11" s="1"/>
  <c r="AD2859" i="11" s="1"/>
  <c r="AD2860" i="11" s="1"/>
  <c r="AD2861" i="11" s="1"/>
  <c r="AD2862" i="11" s="1"/>
  <c r="AD2863" i="11" s="1"/>
  <c r="AD2864" i="11" s="1"/>
  <c r="AD2865" i="11" s="1"/>
  <c r="AD2866" i="11" s="1"/>
  <c r="AD2867" i="11" s="1"/>
  <c r="AD2868" i="11" s="1"/>
  <c r="AD2869" i="11" s="1"/>
  <c r="AD2870" i="11" s="1"/>
  <c r="AD2871" i="11" s="1"/>
  <c r="AD2872" i="11" s="1"/>
  <c r="AD2873" i="11" s="1"/>
  <c r="AD2874" i="11" s="1"/>
  <c r="AD2875" i="11" s="1"/>
  <c r="AD2876" i="11" s="1"/>
  <c r="AD2877" i="11" s="1"/>
  <c r="AD2878" i="11" s="1"/>
  <c r="AD2879" i="11" s="1"/>
  <c r="AD2880" i="11" s="1"/>
  <c r="AD2881" i="11" s="1"/>
  <c r="AD2882" i="11" s="1"/>
  <c r="AD2883" i="11" s="1"/>
  <c r="AD2884" i="11" s="1"/>
  <c r="AD2885" i="11" s="1"/>
  <c r="AD2886" i="11" s="1"/>
  <c r="AD2887" i="11" s="1"/>
  <c r="AD2888" i="11" s="1"/>
  <c r="AD2889" i="11" s="1"/>
  <c r="AD2890" i="11" s="1"/>
  <c r="AD2891" i="11" s="1"/>
  <c r="AD2892" i="11" s="1"/>
  <c r="AD2893" i="11" s="1"/>
  <c r="AD2894" i="11" s="1"/>
  <c r="AD2895" i="11" s="1"/>
  <c r="AD2896" i="11" s="1"/>
  <c r="AD2897" i="11" s="1"/>
  <c r="AD2898" i="11" s="1"/>
  <c r="AD2899" i="11" s="1"/>
  <c r="AD2900" i="11" s="1"/>
  <c r="AD2901" i="11" s="1"/>
  <c r="AD2902" i="11" s="1"/>
  <c r="AD2903" i="11" s="1"/>
  <c r="AD2904" i="11" s="1"/>
  <c r="AD2905" i="11" s="1"/>
  <c r="AD2906" i="11" s="1"/>
  <c r="AD2907" i="11" s="1"/>
  <c r="AD2908" i="11" s="1"/>
  <c r="AD2909" i="11" s="1"/>
  <c r="AD2910" i="11" s="1"/>
  <c r="AD2911" i="11" s="1"/>
  <c r="AD2912" i="11" s="1"/>
  <c r="AD2913" i="11" s="1"/>
  <c r="AD2914" i="11" s="1"/>
  <c r="AD2915" i="11" s="1"/>
  <c r="AD2916" i="11" s="1"/>
  <c r="AD2917" i="11" s="1"/>
  <c r="AD2918" i="11" s="1"/>
  <c r="AD2919" i="11" s="1"/>
  <c r="AD2920" i="11" s="1"/>
  <c r="AD2921" i="11" s="1"/>
  <c r="AD2922" i="11" s="1"/>
  <c r="AD2923" i="11" s="1"/>
  <c r="AD2924" i="11" s="1"/>
  <c r="AD2925" i="11" s="1"/>
  <c r="AD2926" i="11" s="1"/>
  <c r="AD2927" i="11" s="1"/>
  <c r="AD2928" i="11" s="1"/>
  <c r="AD2929" i="11" s="1"/>
  <c r="AD2930" i="11" s="1"/>
  <c r="AD2931" i="11" s="1"/>
  <c r="AD2932" i="11" s="1"/>
  <c r="AD2933" i="11" s="1"/>
  <c r="AD2934" i="11" s="1"/>
  <c r="AD2935" i="11" s="1"/>
  <c r="AD2936" i="11" s="1"/>
  <c r="AD2937" i="11" s="1"/>
  <c r="AD2938" i="11" s="1"/>
  <c r="AD2939" i="11" s="1"/>
  <c r="AD2940" i="11" s="1"/>
  <c r="AD2941" i="11" s="1"/>
  <c r="AD2942" i="11" s="1"/>
  <c r="AD2943" i="11" s="1"/>
  <c r="AD2944" i="11" s="1"/>
  <c r="AD2945" i="11" s="1"/>
  <c r="AD2946" i="11" s="1"/>
  <c r="AD2947" i="11" s="1"/>
  <c r="AD2948" i="11" s="1"/>
  <c r="AD2949" i="11" s="1"/>
  <c r="AD2950" i="11" s="1"/>
  <c r="AD2951" i="11" s="1"/>
  <c r="AD2952" i="11" s="1"/>
  <c r="AD2953" i="11" s="1"/>
  <c r="AD2954" i="11" s="1"/>
  <c r="AD2955" i="11" s="1"/>
  <c r="AD2956" i="11" s="1"/>
  <c r="AD2957" i="11" s="1"/>
  <c r="AD2958" i="11" s="1"/>
  <c r="AD2959" i="11" s="1"/>
  <c r="AD2960" i="11" s="1"/>
  <c r="AD2961" i="11" s="1"/>
  <c r="AD2962" i="11" s="1"/>
  <c r="AD2963" i="11" s="1"/>
  <c r="AD2964" i="11" s="1"/>
  <c r="AD2965" i="11" s="1"/>
  <c r="AD2966" i="11" s="1"/>
  <c r="AD2967" i="11" s="1"/>
  <c r="AD2968" i="11" s="1"/>
  <c r="AD2969" i="11" s="1"/>
  <c r="AD2970" i="11" s="1"/>
  <c r="AD2971" i="11" s="1"/>
  <c r="AD2972" i="11" s="1"/>
  <c r="AD2973" i="11" s="1"/>
  <c r="AD2974" i="11" s="1"/>
  <c r="AD2975" i="11" s="1"/>
  <c r="AD2976" i="11" s="1"/>
  <c r="AD2977" i="11" s="1"/>
  <c r="AD2978" i="11" s="1"/>
  <c r="AD2979" i="11" s="1"/>
  <c r="AD2980" i="11" s="1"/>
  <c r="AD2981" i="11" s="1"/>
  <c r="AD2982" i="11" s="1"/>
  <c r="AD2983" i="11" s="1"/>
  <c r="AD2984" i="11" s="1"/>
  <c r="AD2985" i="11" s="1"/>
  <c r="AD2986" i="11" s="1"/>
  <c r="AD2987" i="11" s="1"/>
  <c r="AD2988" i="11" s="1"/>
  <c r="AD2989" i="11" s="1"/>
  <c r="AD2990" i="11" s="1"/>
  <c r="AD2991" i="11" s="1"/>
  <c r="AD2992" i="11" s="1"/>
  <c r="AD2993" i="11" s="1"/>
  <c r="AD2994" i="11" s="1"/>
  <c r="AD2995" i="11" s="1"/>
  <c r="AD2996" i="11" s="1"/>
  <c r="AD2997" i="11" s="1"/>
  <c r="AD2998" i="11" s="1"/>
  <c r="AD2999" i="11" s="1"/>
  <c r="AD3000" i="11" s="1"/>
  <c r="T1017" i="11" l="1"/>
  <c r="S1017" i="11"/>
  <c r="U499" i="11"/>
  <c r="U511" i="11"/>
  <c r="U519" i="11"/>
  <c r="U526" i="11"/>
  <c r="U533" i="11"/>
  <c r="U535" i="11"/>
  <c r="U541" i="11"/>
  <c r="U553" i="11"/>
  <c r="U554" i="11"/>
  <c r="U556" i="11"/>
  <c r="U562" i="11"/>
  <c r="U569" i="11"/>
  <c r="U574" i="11"/>
  <c r="U595" i="11"/>
  <c r="U602" i="11"/>
  <c r="U603" i="11"/>
  <c r="U604" i="11"/>
  <c r="U609" i="11"/>
  <c r="U625" i="11"/>
  <c r="U632" i="11"/>
  <c r="U639" i="11"/>
  <c r="U641" i="11"/>
  <c r="U642" i="11"/>
  <c r="U655" i="11"/>
  <c r="U656" i="11"/>
  <c r="U664" i="11"/>
  <c r="U671" i="11"/>
  <c r="U683" i="11"/>
  <c r="U702" i="11"/>
  <c r="U703" i="11"/>
  <c r="U710" i="11"/>
  <c r="U711" i="11"/>
  <c r="U718" i="11"/>
  <c r="U725" i="11"/>
  <c r="U732" i="11"/>
  <c r="U739" i="11"/>
  <c r="U746" i="11"/>
  <c r="U997" i="11"/>
  <c r="U998" i="11"/>
  <c r="U1014" i="11"/>
  <c r="U1021" i="11"/>
  <c r="U1034" i="11"/>
  <c r="U1051" i="11"/>
  <c r="U1057" i="11"/>
  <c r="U1064" i="11"/>
  <c r="U1069" i="11"/>
  <c r="U1076" i="11"/>
  <c r="U1082" i="11"/>
  <c r="U1084" i="11"/>
  <c r="U1090" i="11"/>
  <c r="U1094" i="11"/>
  <c r="U1107" i="11"/>
  <c r="U1112" i="11"/>
  <c r="U1113" i="11"/>
  <c r="U1117" i="11"/>
  <c r="U1118" i="11"/>
  <c r="U1125" i="11"/>
  <c r="U1131" i="11"/>
  <c r="U1136" i="11"/>
  <c r="U1160" i="11"/>
  <c r="U1161" i="11"/>
  <c r="U1172" i="11"/>
  <c r="U1173" i="11"/>
  <c r="U1180" i="11"/>
  <c r="U1185" i="11"/>
  <c r="U1200" i="11"/>
  <c r="U1209" i="11"/>
  <c r="U1215" i="11"/>
  <c r="U1220" i="11"/>
  <c r="U1224" i="11"/>
  <c r="U1229" i="11"/>
  <c r="U1236" i="11"/>
  <c r="U1237" i="11"/>
  <c r="U1243" i="11"/>
  <c r="U1266" i="11"/>
  <c r="U1273" i="11"/>
  <c r="U1279" i="11"/>
  <c r="U1499" i="11"/>
  <c r="U1502" i="11"/>
  <c r="U1506" i="11"/>
  <c r="U1508" i="11"/>
  <c r="U1513" i="11"/>
  <c r="U1517" i="11"/>
  <c r="U1522" i="11"/>
  <c r="U1526" i="11"/>
  <c r="U1531" i="11"/>
  <c r="U96" i="11"/>
  <c r="U97" i="11"/>
  <c r="U98" i="11"/>
  <c r="U99" i="11"/>
  <c r="U100" i="11"/>
  <c r="U101" i="11"/>
  <c r="U102" i="11"/>
  <c r="U103" i="11"/>
  <c r="U104" i="11"/>
  <c r="U105" i="11"/>
  <c r="U106" i="11"/>
  <c r="U107" i="11"/>
  <c r="U108" i="11"/>
  <c r="U109" i="11"/>
  <c r="U110" i="11"/>
  <c r="U111" i="11"/>
  <c r="U112" i="11"/>
  <c r="U113" i="11"/>
  <c r="U114" i="11"/>
  <c r="U115" i="11"/>
  <c r="U116" i="11"/>
  <c r="U117" i="11"/>
  <c r="U118" i="11"/>
  <c r="U119" i="11"/>
  <c r="U120" i="11"/>
  <c r="U121" i="11"/>
  <c r="U122" i="11"/>
  <c r="U123" i="11"/>
  <c r="U124" i="11"/>
  <c r="U125" i="11"/>
  <c r="U126" i="11"/>
  <c r="U127" i="11"/>
  <c r="U128" i="11"/>
  <c r="U129" i="11"/>
  <c r="U130" i="11"/>
  <c r="U131" i="11"/>
  <c r="U132" i="11"/>
  <c r="U133" i="11"/>
  <c r="U134" i="11"/>
  <c r="U135" i="11"/>
  <c r="U136" i="11"/>
  <c r="U137" i="11"/>
  <c r="U138" i="11"/>
  <c r="U139" i="11"/>
  <c r="U140" i="11"/>
  <c r="U141" i="11"/>
  <c r="U142" i="11"/>
  <c r="U143" i="11"/>
  <c r="U144" i="11"/>
  <c r="U145" i="11"/>
  <c r="U146" i="11"/>
  <c r="U147" i="11"/>
  <c r="U148" i="11"/>
  <c r="U149" i="11"/>
  <c r="U150" i="11"/>
  <c r="U151" i="11"/>
  <c r="U152" i="11"/>
  <c r="U153" i="11"/>
  <c r="U154" i="11"/>
  <c r="U155" i="11"/>
  <c r="U156" i="11"/>
  <c r="U157" i="11"/>
  <c r="U158" i="11"/>
  <c r="U159" i="11"/>
  <c r="U160" i="11"/>
  <c r="U161" i="11"/>
  <c r="U162" i="11"/>
  <c r="U163" i="11"/>
  <c r="U164" i="11"/>
  <c r="U165"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332" i="11"/>
  <c r="U333" i="11"/>
  <c r="U334" i="11"/>
  <c r="U335" i="11"/>
  <c r="U336" i="11"/>
  <c r="U337" i="11"/>
  <c r="U338" i="11"/>
  <c r="U339" i="11"/>
  <c r="U340" i="11"/>
  <c r="U341" i="11"/>
  <c r="U342" i="11"/>
  <c r="U343" i="11"/>
  <c r="U344" i="11"/>
  <c r="U345" i="11"/>
  <c r="U346" i="11"/>
  <c r="U347" i="11"/>
  <c r="U348" i="11"/>
  <c r="U349" i="11"/>
  <c r="U350" i="11"/>
  <c r="U351" i="11"/>
  <c r="U352" i="11"/>
  <c r="U353" i="11"/>
  <c r="U354" i="11"/>
  <c r="U355" i="11"/>
  <c r="U356" i="11"/>
  <c r="U357" i="11"/>
  <c r="U358" i="11"/>
  <c r="U359" i="11"/>
  <c r="U360" i="11"/>
  <c r="U361" i="11"/>
  <c r="U362" i="11"/>
  <c r="U363" i="11"/>
  <c r="U364" i="11"/>
  <c r="U365" i="11"/>
  <c r="U366" i="11"/>
  <c r="U367" i="11"/>
  <c r="U368" i="11"/>
  <c r="U369" i="11"/>
  <c r="U370" i="11"/>
  <c r="U371" i="11"/>
  <c r="U372" i="11"/>
  <c r="U373" i="11"/>
  <c r="U374" i="11"/>
  <c r="U375" i="11"/>
  <c r="U376" i="11"/>
  <c r="U377" i="11"/>
  <c r="U378" i="11"/>
  <c r="U379" i="11"/>
  <c r="U380" i="11"/>
  <c r="U381" i="11"/>
  <c r="U382" i="11"/>
  <c r="U383" i="11"/>
  <c r="U384" i="11"/>
  <c r="U385" i="11"/>
  <c r="U386" i="11"/>
  <c r="U387" i="11"/>
  <c r="U388" i="11"/>
  <c r="U389" i="11"/>
  <c r="U390" i="11"/>
  <c r="U391" i="11"/>
  <c r="U392" i="11"/>
  <c r="U393" i="11"/>
  <c r="U394" i="11"/>
  <c r="U395" i="11"/>
  <c r="U396" i="11"/>
  <c r="U397" i="11"/>
  <c r="U398" i="11"/>
  <c r="U399" i="11"/>
  <c r="U400" i="11"/>
  <c r="U401" i="11"/>
  <c r="U402" i="11"/>
  <c r="U403" i="11"/>
  <c r="U404" i="11"/>
  <c r="U405" i="11"/>
  <c r="U406" i="11"/>
  <c r="U407" i="11"/>
  <c r="U408" i="11"/>
  <c r="U409" i="11"/>
  <c r="U410" i="11"/>
  <c r="U411" i="11"/>
  <c r="U412" i="11"/>
  <c r="U413" i="11"/>
  <c r="U414" i="11"/>
  <c r="U415" i="11"/>
  <c r="U416" i="11"/>
  <c r="U417" i="11"/>
  <c r="U418" i="11"/>
  <c r="U419" i="11"/>
  <c r="U420" i="11"/>
  <c r="U421" i="11"/>
  <c r="U422" i="11"/>
  <c r="U423" i="11"/>
  <c r="U424" i="11"/>
  <c r="U425" i="11"/>
  <c r="U426" i="11"/>
  <c r="U427" i="11"/>
  <c r="U428" i="11"/>
  <c r="U429" i="11"/>
  <c r="U430" i="11"/>
  <c r="U431" i="11"/>
  <c r="U432" i="11"/>
  <c r="U433" i="11"/>
  <c r="U434" i="11"/>
  <c r="U435" i="11"/>
  <c r="U436" i="11"/>
  <c r="U437" i="11"/>
  <c r="U438" i="11"/>
  <c r="U439" i="11"/>
  <c r="U440" i="11"/>
  <c r="U441" i="11"/>
  <c r="U442" i="11"/>
  <c r="U443" i="11"/>
  <c r="U444" i="11"/>
  <c r="U445" i="11"/>
  <c r="U446" i="11"/>
  <c r="U447" i="11"/>
  <c r="U448" i="11"/>
  <c r="U449" i="11"/>
  <c r="U450" i="11"/>
  <c r="U451" i="11"/>
  <c r="U452" i="11"/>
  <c r="U453" i="11"/>
  <c r="U454" i="11"/>
  <c r="U455" i="11"/>
  <c r="U456" i="11"/>
  <c r="U457" i="11"/>
  <c r="U458" i="11"/>
  <c r="U459" i="11"/>
  <c r="U460" i="11"/>
  <c r="U461" i="11"/>
  <c r="U462" i="11"/>
  <c r="U463" i="11"/>
  <c r="U464" i="11"/>
  <c r="U465" i="11"/>
  <c r="U466" i="11"/>
  <c r="U467" i="11"/>
  <c r="U468" i="11"/>
  <c r="U469" i="11"/>
  <c r="U470" i="11"/>
  <c r="U471" i="11"/>
  <c r="U472" i="11"/>
  <c r="U473" i="11"/>
  <c r="U474" i="11"/>
  <c r="U475" i="11"/>
  <c r="U476" i="11"/>
  <c r="U477" i="11"/>
  <c r="U478" i="11"/>
  <c r="U479" i="11"/>
  <c r="U480" i="11"/>
  <c r="U481" i="11"/>
  <c r="U482" i="11"/>
  <c r="U483" i="11"/>
  <c r="U484" i="11"/>
  <c r="U485" i="11"/>
  <c r="U486" i="11"/>
  <c r="U487" i="11"/>
  <c r="U488" i="11"/>
  <c r="U489" i="11"/>
  <c r="U490" i="11"/>
  <c r="U491" i="11"/>
  <c r="U492" i="11"/>
  <c r="U493" i="11"/>
  <c r="U494" i="11"/>
  <c r="U495" i="11"/>
  <c r="U498" i="11"/>
  <c r="U504" i="11"/>
  <c r="U505" i="11"/>
  <c r="U506" i="11"/>
  <c r="U512" i="11"/>
  <c r="U517" i="11"/>
  <c r="U523" i="11"/>
  <c r="U524" i="11"/>
  <c r="U531" i="11"/>
  <c r="U544" i="11"/>
  <c r="U555" i="11"/>
  <c r="U557" i="11"/>
  <c r="U564" i="11"/>
  <c r="U565" i="11"/>
  <c r="U571" i="11"/>
  <c r="U578" i="11"/>
  <c r="U584" i="11"/>
  <c r="U587" i="11"/>
  <c r="U588" i="11"/>
  <c r="U589" i="11"/>
  <c r="U596" i="11"/>
  <c r="U610" i="11"/>
  <c r="U617" i="11"/>
  <c r="U624" i="11"/>
  <c r="U637" i="11"/>
  <c r="U646" i="11"/>
  <c r="U654" i="11"/>
  <c r="U662" i="11"/>
  <c r="U663" i="11"/>
  <c r="U669" i="11"/>
  <c r="U678" i="11"/>
  <c r="U684" i="11"/>
  <c r="U689" i="11"/>
  <c r="U693" i="11"/>
  <c r="U694" i="11"/>
  <c r="U699" i="11"/>
  <c r="U704" i="11"/>
  <c r="U708" i="11"/>
  <c r="U713" i="11"/>
  <c r="U717" i="11"/>
  <c r="U726" i="11"/>
  <c r="U727" i="11"/>
  <c r="U731" i="11"/>
  <c r="U735" i="11"/>
  <c r="U740" i="11"/>
  <c r="U743" i="11"/>
  <c r="U757" i="11"/>
  <c r="U760" i="11"/>
  <c r="U761" i="11"/>
  <c r="U762" i="11"/>
  <c r="U763" i="11"/>
  <c r="U764" i="11"/>
  <c r="U765" i="11"/>
  <c r="U766" i="11"/>
  <c r="U767" i="11"/>
  <c r="U768" i="11"/>
  <c r="U769" i="11"/>
  <c r="U770" i="11"/>
  <c r="U771" i="11"/>
  <c r="U772" i="11"/>
  <c r="U773" i="11"/>
  <c r="U774" i="11"/>
  <c r="U775" i="11"/>
  <c r="U776" i="11"/>
  <c r="U777" i="11"/>
  <c r="U778" i="11"/>
  <c r="U779" i="11"/>
  <c r="U780" i="11"/>
  <c r="U781" i="11"/>
  <c r="U782" i="11"/>
  <c r="U783" i="11"/>
  <c r="U784" i="11"/>
  <c r="U785" i="11"/>
  <c r="U786" i="11"/>
  <c r="U787" i="11"/>
  <c r="U788" i="11"/>
  <c r="U789" i="11"/>
  <c r="U790" i="11"/>
  <c r="U791" i="11"/>
  <c r="U792" i="11"/>
  <c r="U793" i="11"/>
  <c r="U794" i="11"/>
  <c r="U795" i="11"/>
  <c r="U796" i="11"/>
  <c r="U797" i="11"/>
  <c r="U798" i="11"/>
  <c r="U799" i="11"/>
  <c r="U800" i="11"/>
  <c r="U801" i="11"/>
  <c r="U802" i="11"/>
  <c r="U803" i="11"/>
  <c r="U804" i="11"/>
  <c r="U805" i="11"/>
  <c r="U806" i="11"/>
  <c r="U807" i="11"/>
  <c r="U808" i="11"/>
  <c r="U809" i="11"/>
  <c r="U810" i="11"/>
  <c r="U811" i="11"/>
  <c r="U812" i="11"/>
  <c r="U813" i="11"/>
  <c r="U814" i="11"/>
  <c r="U815" i="11"/>
  <c r="U816" i="11"/>
  <c r="U817" i="11"/>
  <c r="U818" i="11"/>
  <c r="U819" i="11"/>
  <c r="U820" i="11"/>
  <c r="U821" i="11"/>
  <c r="U822" i="11"/>
  <c r="U823" i="11"/>
  <c r="U824" i="11"/>
  <c r="U825" i="11"/>
  <c r="U826" i="11"/>
  <c r="U827" i="11"/>
  <c r="U828" i="11"/>
  <c r="U829" i="11"/>
  <c r="U830" i="11"/>
  <c r="U831" i="11"/>
  <c r="U832" i="11"/>
  <c r="U833" i="11"/>
  <c r="U834" i="11"/>
  <c r="U835" i="11"/>
  <c r="U836" i="11"/>
  <c r="U837" i="11"/>
  <c r="U838" i="11"/>
  <c r="U839" i="11"/>
  <c r="U840" i="11"/>
  <c r="U841" i="11"/>
  <c r="U842" i="11"/>
  <c r="U843" i="11"/>
  <c r="U844" i="11"/>
  <c r="U845" i="11"/>
  <c r="U846" i="11"/>
  <c r="U847" i="11"/>
  <c r="U848" i="11"/>
  <c r="U849" i="11"/>
  <c r="U850" i="11"/>
  <c r="U851" i="11"/>
  <c r="U852" i="11"/>
  <c r="U853" i="11"/>
  <c r="U854" i="11"/>
  <c r="U855" i="11"/>
  <c r="U856" i="11"/>
  <c r="U857" i="11"/>
  <c r="U858" i="11"/>
  <c r="U859" i="11"/>
  <c r="U860" i="11"/>
  <c r="U861" i="11"/>
  <c r="U862" i="11"/>
  <c r="U863" i="11"/>
  <c r="U864" i="11"/>
  <c r="U865" i="11"/>
  <c r="U866" i="11"/>
  <c r="U867" i="11"/>
  <c r="U868" i="11"/>
  <c r="U869" i="11"/>
  <c r="U870" i="11"/>
  <c r="U871" i="11"/>
  <c r="U872" i="11"/>
  <c r="U873" i="11"/>
  <c r="U874" i="11"/>
  <c r="U875" i="11"/>
  <c r="U876" i="11"/>
  <c r="U877" i="11"/>
  <c r="U878" i="11"/>
  <c r="U879" i="11"/>
  <c r="U880" i="11"/>
  <c r="U881" i="11"/>
  <c r="U882" i="11"/>
  <c r="U883" i="11"/>
  <c r="U884" i="11"/>
  <c r="U885" i="11"/>
  <c r="U886" i="11"/>
  <c r="U887" i="11"/>
  <c r="U888" i="11"/>
  <c r="U889" i="11"/>
  <c r="U890" i="11"/>
  <c r="U891" i="11"/>
  <c r="U892" i="11"/>
  <c r="U893" i="11"/>
  <c r="U894" i="11"/>
  <c r="U895" i="11"/>
  <c r="U896" i="11"/>
  <c r="U897" i="11"/>
  <c r="U898" i="11"/>
  <c r="U899" i="11"/>
  <c r="U900" i="11"/>
  <c r="U901" i="11"/>
  <c r="U902" i="11"/>
  <c r="U903" i="11"/>
  <c r="U904" i="11"/>
  <c r="U905" i="11"/>
  <c r="U906" i="11"/>
  <c r="U907" i="11"/>
  <c r="U908" i="11"/>
  <c r="U909" i="11"/>
  <c r="U910" i="11"/>
  <c r="U911" i="11"/>
  <c r="U912" i="11"/>
  <c r="U913" i="11"/>
  <c r="U914" i="11"/>
  <c r="U915" i="11"/>
  <c r="U916" i="11"/>
  <c r="U917" i="11"/>
  <c r="U918" i="11"/>
  <c r="U919" i="11"/>
  <c r="U920" i="11"/>
  <c r="U921" i="11"/>
  <c r="U922" i="11"/>
  <c r="U923" i="11"/>
  <c r="U924" i="11"/>
  <c r="U925" i="11"/>
  <c r="U926" i="11"/>
  <c r="U927" i="11"/>
  <c r="U928" i="11"/>
  <c r="U929" i="11"/>
  <c r="U930" i="11"/>
  <c r="U931" i="11"/>
  <c r="U932" i="11"/>
  <c r="U933" i="11"/>
  <c r="U934" i="11"/>
  <c r="U935" i="11"/>
  <c r="U936" i="11"/>
  <c r="U937" i="11"/>
  <c r="U938" i="11"/>
  <c r="U939" i="11"/>
  <c r="U940" i="11"/>
  <c r="U941" i="11"/>
  <c r="U942" i="11"/>
  <c r="U943" i="11"/>
  <c r="U944" i="11"/>
  <c r="U945" i="11"/>
  <c r="U946" i="11"/>
  <c r="U947" i="11"/>
  <c r="U948" i="11"/>
  <c r="U949" i="11"/>
  <c r="U950" i="11"/>
  <c r="U951" i="11"/>
  <c r="U952" i="11"/>
  <c r="U953" i="11"/>
  <c r="U954" i="11"/>
  <c r="U955" i="11"/>
  <c r="U956" i="11"/>
  <c r="U957" i="11"/>
  <c r="U958" i="11"/>
  <c r="U959" i="11"/>
  <c r="U960" i="11"/>
  <c r="U961" i="11"/>
  <c r="U962" i="11"/>
  <c r="U963" i="11"/>
  <c r="U964" i="11"/>
  <c r="U965" i="11"/>
  <c r="U966" i="11"/>
  <c r="U967" i="11"/>
  <c r="U968" i="11"/>
  <c r="U969" i="11"/>
  <c r="U970" i="11"/>
  <c r="U971" i="11"/>
  <c r="U972" i="11"/>
  <c r="U973" i="11"/>
  <c r="U974" i="11"/>
  <c r="U975" i="11"/>
  <c r="U976" i="11"/>
  <c r="U977" i="11"/>
  <c r="U978" i="11"/>
  <c r="U979" i="11"/>
  <c r="U980" i="11"/>
  <c r="U981" i="11"/>
  <c r="U982" i="11"/>
  <c r="U983" i="11"/>
  <c r="U984" i="11"/>
  <c r="U985" i="11"/>
  <c r="U986" i="11"/>
  <c r="U987" i="11"/>
  <c r="U988" i="11"/>
  <c r="U989" i="11"/>
  <c r="U990" i="11"/>
  <c r="U991" i="11"/>
  <c r="U992" i="11"/>
  <c r="U993" i="11"/>
  <c r="U994" i="11"/>
  <c r="U995" i="11"/>
  <c r="U497" i="11"/>
  <c r="U508" i="11"/>
  <c r="U509" i="11"/>
  <c r="U510" i="11"/>
  <c r="U514" i="11"/>
  <c r="U522" i="11"/>
  <c r="U525" i="11"/>
  <c r="U528" i="11"/>
  <c r="U534" i="11"/>
  <c r="U537" i="11"/>
  <c r="U542" i="11"/>
  <c r="U545" i="11"/>
  <c r="U546" i="11"/>
  <c r="U547" i="11"/>
  <c r="U551" i="11"/>
  <c r="U558" i="11"/>
  <c r="U563" i="11"/>
  <c r="U567" i="11"/>
  <c r="U575" i="11"/>
  <c r="U576" i="11"/>
  <c r="U577" i="11"/>
  <c r="U580" i="11"/>
  <c r="U581" i="11"/>
  <c r="U590" i="11"/>
  <c r="U591" i="11"/>
  <c r="U594" i="11"/>
  <c r="U599" i="11"/>
  <c r="U607" i="11"/>
  <c r="U608" i="11"/>
  <c r="U611" i="11"/>
  <c r="U619" i="11"/>
  <c r="U620" i="11"/>
  <c r="U633" i="11"/>
  <c r="U634" i="11"/>
  <c r="U636" i="11"/>
  <c r="U643" i="11"/>
  <c r="U649" i="11"/>
  <c r="U657" i="11"/>
  <c r="U665" i="11"/>
  <c r="U670" i="11"/>
  <c r="U674" i="11"/>
  <c r="U676" i="11"/>
  <c r="U698" i="11"/>
  <c r="U706" i="11"/>
  <c r="U714" i="11"/>
  <c r="U721" i="11"/>
  <c r="U722" i="11"/>
  <c r="U729" i="11"/>
  <c r="U730" i="11"/>
  <c r="U737" i="11"/>
  <c r="U745" i="11"/>
  <c r="U752" i="11"/>
  <c r="U753" i="11"/>
  <c r="U1005" i="11"/>
  <c r="U1006" i="11"/>
  <c r="U1009" i="11"/>
  <c r="U1010" i="11"/>
  <c r="U1013" i="11"/>
  <c r="U1016" i="11"/>
  <c r="U1019" i="11"/>
  <c r="U1024" i="11"/>
  <c r="U1025" i="11"/>
  <c r="U1027" i="11"/>
  <c r="U1032" i="11"/>
  <c r="U1035" i="11"/>
  <c r="U1039" i="11"/>
  <c r="U1040" i="11"/>
  <c r="U1054" i="11"/>
  <c r="U1055" i="11"/>
  <c r="U1066" i="11"/>
  <c r="U1081" i="11"/>
  <c r="U1091" i="11"/>
  <c r="U1093" i="11"/>
  <c r="U1100" i="11"/>
  <c r="U1108" i="11"/>
  <c r="U1111" i="11"/>
  <c r="U1116" i="11"/>
  <c r="U1122" i="11"/>
  <c r="U1123" i="11"/>
  <c r="U1126" i="11"/>
  <c r="U1127" i="11"/>
  <c r="U1130" i="11"/>
  <c r="U1135" i="11"/>
  <c r="U1137" i="11"/>
  <c r="U1138" i="11"/>
  <c r="U1145" i="11"/>
  <c r="U1149" i="11"/>
  <c r="U1152" i="11"/>
  <c r="U1153" i="11"/>
  <c r="U1154" i="11"/>
  <c r="U1155" i="11"/>
  <c r="U1158" i="11"/>
  <c r="U1165" i="11"/>
  <c r="U1169" i="11"/>
  <c r="U1174" i="11"/>
  <c r="U1176" i="11"/>
  <c r="U1181" i="11"/>
  <c r="U1187" i="11"/>
  <c r="U1188" i="11"/>
  <c r="U1191" i="11"/>
  <c r="U1192" i="11"/>
  <c r="U1195" i="11"/>
  <c r="U1196" i="11"/>
  <c r="U1199" i="11"/>
  <c r="U1201" i="11"/>
  <c r="U1202" i="11"/>
  <c r="U1206" i="11"/>
  <c r="U1207" i="11"/>
  <c r="U1210" i="11"/>
  <c r="U1211" i="11"/>
  <c r="U1214" i="11"/>
  <c r="U1217" i="11"/>
  <c r="U1218" i="11"/>
  <c r="U1222" i="11"/>
  <c r="U1228" i="11"/>
  <c r="U1230" i="11"/>
  <c r="U1231" i="11"/>
  <c r="U1232" i="11"/>
  <c r="U1233" i="11"/>
  <c r="U1234" i="11"/>
  <c r="U1238" i="11"/>
  <c r="U1241" i="11"/>
  <c r="U1248" i="11"/>
  <c r="U1252" i="11"/>
  <c r="U1255" i="11"/>
  <c r="U1256" i="11"/>
  <c r="U1260" i="11"/>
  <c r="U1261" i="11"/>
  <c r="U1262" i="11"/>
  <c r="U1267" i="11"/>
  <c r="U1270" i="11"/>
  <c r="U1274" i="11"/>
  <c r="U1277" i="11"/>
  <c r="U1281" i="11"/>
  <c r="U1286" i="11"/>
  <c r="U1288" i="11"/>
  <c r="U1290" i="11"/>
  <c r="U1291" i="11"/>
  <c r="U1292" i="11"/>
  <c r="U1293" i="11"/>
  <c r="U1294" i="11"/>
  <c r="U1295" i="11"/>
  <c r="U1296" i="11"/>
  <c r="U1297" i="11"/>
  <c r="U1298" i="11"/>
  <c r="U1299" i="11"/>
  <c r="U1300" i="11"/>
  <c r="U1301" i="11"/>
  <c r="U1302" i="11"/>
  <c r="U1303" i="11"/>
  <c r="U1304" i="11"/>
  <c r="U1305" i="11"/>
  <c r="U1306" i="11"/>
  <c r="U1307" i="11"/>
  <c r="U1308" i="11"/>
  <c r="U1309" i="11"/>
  <c r="U1310" i="11"/>
  <c r="U1311" i="11"/>
  <c r="U1312" i="11"/>
  <c r="U1313" i="11"/>
  <c r="U1314" i="11"/>
  <c r="U1315" i="11"/>
  <c r="U1316" i="11"/>
  <c r="U1317" i="11"/>
  <c r="U1318" i="11"/>
  <c r="U1319" i="11"/>
  <c r="U1320" i="11"/>
  <c r="U1321" i="11"/>
  <c r="U1322" i="11"/>
  <c r="U1323" i="11"/>
  <c r="U1324" i="11"/>
  <c r="U1325" i="11"/>
  <c r="U1326" i="11"/>
  <c r="U1327" i="11"/>
  <c r="U1328" i="11"/>
  <c r="U1329" i="11"/>
  <c r="U1330" i="11"/>
  <c r="U1331" i="11"/>
  <c r="U1332" i="11"/>
  <c r="U1333" i="11"/>
  <c r="U1334" i="11"/>
  <c r="U1335" i="11"/>
  <c r="U1336" i="11"/>
  <c r="U1337" i="11"/>
  <c r="U1338" i="11"/>
  <c r="U1339" i="11"/>
  <c r="U1340" i="11"/>
  <c r="U1341" i="11"/>
  <c r="U1342" i="11"/>
  <c r="U1343" i="11"/>
  <c r="U1344" i="11"/>
  <c r="U1345" i="11"/>
  <c r="U1346" i="11"/>
  <c r="U1347" i="11"/>
  <c r="U1348" i="11"/>
  <c r="U1349" i="11"/>
  <c r="U1350" i="11"/>
  <c r="U1351" i="11"/>
  <c r="U1352" i="11"/>
  <c r="U1353" i="11"/>
  <c r="U1354" i="11"/>
  <c r="U1355" i="11"/>
  <c r="U1356" i="11"/>
  <c r="U1357" i="11"/>
  <c r="U1358" i="11"/>
  <c r="U1359" i="11"/>
  <c r="U1360" i="11"/>
  <c r="U1361" i="11"/>
  <c r="U1362" i="11"/>
  <c r="U1363" i="11"/>
  <c r="U1364" i="11"/>
  <c r="U1365" i="11"/>
  <c r="U1366" i="11"/>
  <c r="U1367" i="11"/>
  <c r="U1368" i="11"/>
  <c r="U1369" i="11"/>
  <c r="U1370" i="11"/>
  <c r="U1371" i="11"/>
  <c r="U1372" i="11"/>
  <c r="U1373" i="11"/>
  <c r="U1374" i="11"/>
  <c r="U1375" i="11"/>
  <c r="U1376" i="11"/>
  <c r="U1377" i="11"/>
  <c r="U1378" i="11"/>
  <c r="U1379" i="11"/>
  <c r="U1380" i="11"/>
  <c r="U1381" i="11"/>
  <c r="U1382" i="11"/>
  <c r="U1383" i="11"/>
  <c r="U1384" i="11"/>
  <c r="U1385" i="11"/>
  <c r="U1386" i="11"/>
  <c r="U1387" i="11"/>
  <c r="U1388" i="11"/>
  <c r="U1389" i="11"/>
  <c r="U1390" i="11"/>
  <c r="U1391" i="11"/>
  <c r="U1392" i="11"/>
  <c r="U1393" i="11"/>
  <c r="U1394" i="11"/>
  <c r="U1395" i="11"/>
  <c r="U1396" i="11"/>
  <c r="U1397" i="11"/>
  <c r="U1398" i="11"/>
  <c r="U1399" i="11"/>
  <c r="U1400" i="11"/>
  <c r="U1401" i="11"/>
  <c r="U1402" i="11"/>
  <c r="U1403" i="11"/>
  <c r="U1404" i="11"/>
  <c r="U1405" i="11"/>
  <c r="U1406" i="11"/>
  <c r="U1407" i="11"/>
  <c r="U1408" i="11"/>
  <c r="U1409" i="11"/>
  <c r="U1410" i="11"/>
  <c r="U1411" i="11"/>
  <c r="U1412" i="11"/>
  <c r="U1413" i="11"/>
  <c r="U1414" i="11"/>
  <c r="U1415" i="11"/>
  <c r="U1416" i="11"/>
  <c r="U1417" i="11"/>
  <c r="U1418" i="11"/>
  <c r="U1419" i="11"/>
  <c r="U1420" i="11"/>
  <c r="U1421" i="11"/>
  <c r="U1422" i="11"/>
  <c r="U1423" i="11"/>
  <c r="U1424" i="11"/>
  <c r="U1425" i="11"/>
  <c r="U1426" i="11"/>
  <c r="U1427" i="11"/>
  <c r="U1428" i="11"/>
  <c r="U1429" i="11"/>
  <c r="U1430" i="11"/>
  <c r="U1431" i="11"/>
  <c r="U1432" i="11"/>
  <c r="U1433" i="11"/>
  <c r="U1434" i="11"/>
  <c r="U1435" i="11"/>
  <c r="U1436" i="11"/>
  <c r="U1437" i="11"/>
  <c r="U1438" i="11"/>
  <c r="U1439" i="11"/>
  <c r="U1440" i="11"/>
  <c r="U1441" i="11"/>
  <c r="U1442" i="11"/>
  <c r="U1443" i="11"/>
  <c r="U1444" i="11"/>
  <c r="U1445" i="11"/>
  <c r="U1446" i="11"/>
  <c r="U1447" i="11"/>
  <c r="U1448" i="11"/>
  <c r="U1449" i="11"/>
  <c r="U1450" i="11"/>
  <c r="U1451" i="11"/>
  <c r="U1452" i="11"/>
  <c r="U1453" i="11"/>
  <c r="U1454" i="11"/>
  <c r="U1455" i="11"/>
  <c r="U1456" i="11"/>
  <c r="U1457" i="11"/>
  <c r="U1458" i="11"/>
  <c r="U1459" i="11"/>
  <c r="U1460" i="11"/>
  <c r="U1461" i="11"/>
  <c r="U1462" i="11"/>
  <c r="U1463" i="11"/>
  <c r="U1464" i="11"/>
  <c r="U1465" i="11"/>
  <c r="U1466" i="11"/>
  <c r="U1467" i="11"/>
  <c r="U1468" i="11"/>
  <c r="U1469" i="11"/>
  <c r="U1470" i="11"/>
  <c r="U1471" i="11"/>
  <c r="U1472" i="11"/>
  <c r="U1473" i="11"/>
  <c r="U1474" i="11"/>
  <c r="U1475" i="11"/>
  <c r="U1476" i="11"/>
  <c r="U1477" i="11"/>
  <c r="U1478" i="11"/>
  <c r="U1479" i="11"/>
  <c r="U1480" i="11"/>
  <c r="U1481" i="11"/>
  <c r="U1482" i="11"/>
  <c r="U1483" i="11"/>
  <c r="U1484" i="11"/>
  <c r="U1485" i="11"/>
  <c r="U1486" i="11"/>
  <c r="U1487" i="11"/>
  <c r="U1488" i="11"/>
  <c r="U1489" i="11"/>
  <c r="U1490" i="11"/>
  <c r="U1491" i="11"/>
  <c r="U1492" i="11"/>
  <c r="U1493" i="11"/>
  <c r="U1494" i="11"/>
  <c r="U1495" i="11"/>
  <c r="U1496" i="11"/>
  <c r="U1497" i="11"/>
  <c r="U496" i="11"/>
  <c r="U501" i="11"/>
  <c r="U502" i="11"/>
  <c r="U515" i="11"/>
  <c r="U516" i="11"/>
  <c r="U518" i="11"/>
  <c r="U532" i="11"/>
  <c r="U540" i="11"/>
  <c r="U548" i="11"/>
  <c r="U549" i="11"/>
  <c r="U561" i="11"/>
  <c r="U566" i="11"/>
  <c r="U568" i="11"/>
  <c r="U573" i="11"/>
  <c r="U583" i="11"/>
  <c r="U592" i="11"/>
  <c r="U593" i="11"/>
  <c r="U612" i="11"/>
  <c r="U613" i="11"/>
  <c r="U631" i="11"/>
  <c r="U640" i="11"/>
  <c r="U647" i="11"/>
  <c r="U667" i="11"/>
  <c r="U668" i="11"/>
  <c r="U686" i="11"/>
  <c r="U687" i="11"/>
  <c r="U695" i="11"/>
  <c r="U700" i="11"/>
  <c r="U709" i="11"/>
  <c r="U716" i="11"/>
  <c r="U723" i="11"/>
  <c r="U736" i="11"/>
  <c r="U744" i="11"/>
  <c r="U750" i="11"/>
  <c r="U751" i="11"/>
  <c r="U758" i="11"/>
  <c r="U759" i="11"/>
  <c r="U996" i="11"/>
  <c r="U1001" i="11"/>
  <c r="U1007" i="11"/>
  <c r="U1008" i="11"/>
  <c r="U1015" i="11"/>
  <c r="U1022" i="11"/>
  <c r="U1036" i="11"/>
  <c r="U1042" i="11"/>
  <c r="U1047" i="11"/>
  <c r="U1083" i="11"/>
  <c r="U1089" i="11"/>
  <c r="U1099" i="11"/>
  <c r="U1104" i="11"/>
  <c r="U1105" i="11"/>
  <c r="U1119" i="11"/>
  <c r="U1132" i="11"/>
  <c r="U1133" i="11"/>
  <c r="U1139" i="11"/>
  <c r="U1140" i="11"/>
  <c r="U1144" i="11"/>
  <c r="U1151" i="11"/>
  <c r="U1157" i="11"/>
  <c r="U1162" i="11"/>
  <c r="U1163" i="11"/>
  <c r="U1175" i="11"/>
  <c r="U1182" i="11"/>
  <c r="U1189" i="11"/>
  <c r="U1190" i="11"/>
  <c r="U1240" i="11"/>
  <c r="U1242" i="11"/>
  <c r="U1244" i="11"/>
  <c r="U1245" i="11"/>
  <c r="U1249" i="11"/>
  <c r="U1253" i="11"/>
  <c r="U1263" i="11"/>
  <c r="U1264" i="11"/>
  <c r="U1268" i="11"/>
  <c r="U1272" i="11"/>
  <c r="U1276" i="11"/>
  <c r="U1280" i="11"/>
  <c r="U1285" i="11"/>
  <c r="U1289" i="11"/>
  <c r="U1498" i="11"/>
  <c r="U1510" i="11"/>
  <c r="U1512" i="11"/>
  <c r="U1516" i="11"/>
  <c r="U1518" i="11"/>
  <c r="U1519" i="11"/>
  <c r="U1521" i="11"/>
  <c r="U1525" i="11"/>
  <c r="U1527" i="11"/>
  <c r="U1530" i="11"/>
  <c r="U1534" i="11"/>
  <c r="U1535" i="11"/>
  <c r="U1537" i="11"/>
  <c r="U1539" i="11"/>
  <c r="U1544" i="11"/>
  <c r="U1549" i="11"/>
  <c r="U1550" i="11"/>
  <c r="U1551" i="11"/>
  <c r="U1555" i="11"/>
  <c r="U1556" i="11"/>
  <c r="U1557" i="11"/>
  <c r="U1558" i="11"/>
  <c r="U1561" i="11"/>
  <c r="U1567" i="11"/>
  <c r="U1568" i="11"/>
  <c r="U1569" i="11"/>
  <c r="U1572" i="11"/>
  <c r="U1575" i="11"/>
  <c r="U1576" i="11"/>
  <c r="U1577" i="11"/>
  <c r="U1578" i="11"/>
  <c r="U1579" i="11"/>
  <c r="U1583" i="11"/>
  <c r="U1585" i="11"/>
  <c r="U1592" i="11"/>
  <c r="U1593" i="11"/>
  <c r="U1599" i="11"/>
  <c r="U1600" i="11"/>
  <c r="U1604" i="11"/>
  <c r="U1607" i="11"/>
  <c r="U1615" i="11"/>
  <c r="U1619" i="11"/>
  <c r="U1630" i="11"/>
  <c r="U1633" i="11"/>
  <c r="U1641" i="11"/>
  <c r="U1647" i="11"/>
  <c r="U1648" i="11"/>
  <c r="U1650" i="11"/>
  <c r="U1652" i="11"/>
  <c r="U1653" i="11"/>
  <c r="U1656" i="11"/>
  <c r="U1659" i="11"/>
  <c r="U1661" i="11"/>
  <c r="U1666" i="11"/>
  <c r="U1667" i="11"/>
  <c r="U1669" i="11"/>
  <c r="U1675" i="11"/>
  <c r="U1680" i="11"/>
  <c r="U1681" i="11"/>
  <c r="U1684" i="11"/>
  <c r="U1685" i="11"/>
  <c r="U1686" i="11"/>
  <c r="U1687" i="11"/>
  <c r="U1688" i="11"/>
  <c r="U1689" i="11"/>
  <c r="U1690" i="11"/>
  <c r="U1691" i="11"/>
  <c r="U1692" i="11"/>
  <c r="U1694" i="11"/>
  <c r="U1714" i="11"/>
  <c r="U1715" i="11"/>
  <c r="U1717" i="11"/>
  <c r="U1718" i="11"/>
  <c r="U1721" i="11"/>
  <c r="U1722" i="11"/>
  <c r="U1725" i="11"/>
  <c r="U1726" i="11"/>
  <c r="U1731" i="11"/>
  <c r="U1732" i="11"/>
  <c r="U1736" i="11"/>
  <c r="U1739" i="11"/>
  <c r="U1744" i="11"/>
  <c r="U1749" i="11"/>
  <c r="U1750" i="11"/>
  <c r="U1766" i="11"/>
  <c r="U1767" i="11"/>
  <c r="U1774" i="11"/>
  <c r="U1780" i="11"/>
  <c r="U1784" i="11"/>
  <c r="U1785" i="11"/>
  <c r="U1788" i="11"/>
  <c r="U1792" i="11"/>
  <c r="U1802" i="11"/>
  <c r="U1806" i="11"/>
  <c r="U1810" i="11"/>
  <c r="U1813" i="11"/>
  <c r="U1817" i="11"/>
  <c r="U1820" i="11"/>
  <c r="U1821" i="11"/>
  <c r="U1824" i="11"/>
  <c r="U1828" i="11"/>
  <c r="U1831" i="11"/>
  <c r="U1835" i="11"/>
  <c r="U1839" i="11"/>
  <c r="U1842" i="11"/>
  <c r="U1846" i="11"/>
  <c r="U1850" i="11"/>
  <c r="U1853" i="11"/>
  <c r="U1856" i="11"/>
  <c r="U1857" i="11"/>
  <c r="U1860" i="11"/>
  <c r="U1864" i="11"/>
  <c r="U1865" i="11"/>
  <c r="U1871" i="11"/>
  <c r="U1873" i="11"/>
  <c r="U1874" i="11"/>
  <c r="U1877" i="11"/>
  <c r="U1878" i="11"/>
  <c r="U1882" i="11"/>
  <c r="U1883" i="11"/>
  <c r="U1885" i="11"/>
  <c r="U1895" i="11"/>
  <c r="U1897" i="11"/>
  <c r="U1898" i="11"/>
  <c r="U1902" i="11"/>
  <c r="U1904" i="11"/>
  <c r="U1905" i="11"/>
  <c r="U1908" i="11"/>
  <c r="U1911" i="11"/>
  <c r="U1917" i="11"/>
  <c r="U1920" i="11"/>
  <c r="U1921" i="11"/>
  <c r="U1924" i="11"/>
  <c r="U1925" i="11"/>
  <c r="U1926" i="11"/>
  <c r="U1927" i="11"/>
  <c r="U1928" i="11"/>
  <c r="U1929" i="11"/>
  <c r="U1930" i="11"/>
  <c r="U503" i="11"/>
  <c r="U543" i="11"/>
  <c r="U550" i="11"/>
  <c r="U552" i="11"/>
  <c r="U559" i="11"/>
  <c r="U570" i="11"/>
  <c r="U572" i="11"/>
  <c r="U579" i="11"/>
  <c r="U582" i="11"/>
  <c r="U586" i="11"/>
  <c r="U597" i="11"/>
  <c r="U600" i="11"/>
  <c r="U601" i="11"/>
  <c r="U605" i="11"/>
  <c r="U618" i="11"/>
  <c r="U621" i="11"/>
  <c r="U622" i="11"/>
  <c r="U623" i="11"/>
  <c r="U626" i="11"/>
  <c r="U627" i="11"/>
  <c r="U635" i="11"/>
  <c r="U638" i="11"/>
  <c r="U648" i="11"/>
  <c r="U650" i="11"/>
  <c r="U651" i="11"/>
  <c r="U652" i="11"/>
  <c r="U658" i="11"/>
  <c r="U666" i="11"/>
  <c r="U672" i="11"/>
  <c r="U675" i="11"/>
  <c r="U677" i="11"/>
  <c r="U681" i="11"/>
  <c r="U682" i="11"/>
  <c r="U685" i="11"/>
  <c r="U692" i="11"/>
  <c r="U697" i="11"/>
  <c r="U701" i="11"/>
  <c r="U707" i="11"/>
  <c r="U715" i="11"/>
  <c r="U724" i="11"/>
  <c r="U728" i="11"/>
  <c r="U733" i="11"/>
  <c r="U738" i="11"/>
  <c r="U742" i="11"/>
  <c r="U747" i="11"/>
  <c r="U1000" i="11"/>
  <c r="U1002" i="11"/>
  <c r="U1003" i="11"/>
  <c r="U1004" i="11"/>
  <c r="U1011" i="11"/>
  <c r="U1012" i="11"/>
  <c r="U1020" i="11"/>
  <c r="U1026" i="11"/>
  <c r="U1033" i="11"/>
  <c r="U1037" i="11"/>
  <c r="U1041" i="11"/>
  <c r="U1048" i="11"/>
  <c r="U1049" i="11"/>
  <c r="U1056" i="11"/>
  <c r="U1060" i="11"/>
  <c r="U1061" i="11"/>
  <c r="U1062" i="11"/>
  <c r="U1063" i="11"/>
  <c r="U1067" i="11"/>
  <c r="U1068" i="11"/>
  <c r="U1071" i="11"/>
  <c r="U1072" i="11"/>
  <c r="U1073" i="11"/>
  <c r="U1074" i="11"/>
  <c r="U1075" i="11"/>
  <c r="U1080" i="11"/>
  <c r="U1087" i="11"/>
  <c r="U1088" i="11"/>
  <c r="U1097" i="11"/>
  <c r="U1098" i="11"/>
  <c r="U1101" i="11"/>
  <c r="U1103" i="11"/>
  <c r="U1106" i="11"/>
  <c r="U1110" i="11"/>
  <c r="U1120" i="11"/>
  <c r="U1121" i="11"/>
  <c r="U1124" i="11"/>
  <c r="U1128" i="11"/>
  <c r="U1129" i="11"/>
  <c r="U1142" i="11"/>
  <c r="U1143" i="11"/>
  <c r="U1146" i="11"/>
  <c r="U1150" i="11"/>
  <c r="U1156" i="11"/>
  <c r="U1159" i="11"/>
  <c r="U1164" i="11"/>
  <c r="U1167" i="11"/>
  <c r="U1168" i="11"/>
  <c r="U1170" i="11"/>
  <c r="U1171" i="11"/>
  <c r="U1177" i="11"/>
  <c r="U1178" i="11"/>
  <c r="U1179" i="11"/>
  <c r="U1183" i="11"/>
  <c r="U1194" i="11"/>
  <c r="U1197" i="11"/>
  <c r="U1198" i="11"/>
  <c r="U1204" i="11"/>
  <c r="U1205" i="11"/>
  <c r="U1212" i="11"/>
  <c r="U1213" i="11"/>
  <c r="U1216" i="11"/>
  <c r="U1219" i="11"/>
  <c r="U1223" i="11"/>
  <c r="U1225" i="11"/>
  <c r="U1235" i="11"/>
  <c r="U1246" i="11"/>
  <c r="U1247" i="11"/>
  <c r="U1254" i="11"/>
  <c r="U1258" i="11"/>
  <c r="U1269" i="11"/>
  <c r="U1275" i="11"/>
  <c r="U1282" i="11"/>
  <c r="U1287" i="11"/>
  <c r="U1501" i="11"/>
  <c r="U1503" i="11"/>
  <c r="U1504" i="11"/>
  <c r="U1507" i="11"/>
  <c r="U1511" i="11"/>
  <c r="U1515" i="11"/>
  <c r="U1520" i="11"/>
  <c r="U1524" i="11"/>
  <c r="U1528" i="11"/>
  <c r="U1529" i="11"/>
  <c r="U1532" i="11"/>
  <c r="U1533" i="11"/>
  <c r="U1538" i="11"/>
  <c r="U1543" i="11"/>
  <c r="U1545" i="11"/>
  <c r="U1546" i="11"/>
  <c r="U1552" i="11"/>
  <c r="U1553" i="11"/>
  <c r="U1560" i="11"/>
  <c r="U1564" i="11"/>
  <c r="U1570" i="11"/>
  <c r="U1573" i="11"/>
  <c r="U1580" i="11"/>
  <c r="U1581" i="11"/>
  <c r="U1582" i="11"/>
  <c r="U1584" i="11"/>
  <c r="U1588" i="11"/>
  <c r="U1590" i="11"/>
  <c r="U1591" i="11"/>
  <c r="U1595" i="11"/>
  <c r="U1601" i="11"/>
  <c r="U1602" i="11"/>
  <c r="U1605" i="11"/>
  <c r="U1609" i="11"/>
  <c r="U1610" i="11"/>
  <c r="U1612" i="11"/>
  <c r="U1613" i="11"/>
  <c r="U1616" i="11"/>
  <c r="U1617" i="11"/>
  <c r="U1620" i="11"/>
  <c r="U1623" i="11"/>
  <c r="U1628" i="11"/>
  <c r="U1635" i="11"/>
  <c r="U1649" i="11"/>
  <c r="U1651" i="11"/>
  <c r="U1655" i="11"/>
  <c r="U1657" i="11"/>
  <c r="U1658" i="11"/>
  <c r="U1660" i="11"/>
  <c r="U1662" i="11"/>
  <c r="U1663" i="11"/>
  <c r="U1664" i="11"/>
  <c r="U1665" i="11"/>
  <c r="U1668" i="11"/>
  <c r="U1670" i="11"/>
  <c r="U1671" i="11"/>
  <c r="U1672" i="11"/>
  <c r="U1673" i="11"/>
  <c r="U1674" i="11"/>
  <c r="U1676" i="11"/>
  <c r="U1677" i="11"/>
  <c r="U1678" i="11"/>
  <c r="U1679" i="11"/>
  <c r="U1682" i="11"/>
  <c r="U1683" i="11"/>
  <c r="U1693" i="11"/>
  <c r="U1695" i="11"/>
  <c r="U1696" i="11"/>
  <c r="U1697" i="11"/>
  <c r="U1698" i="11"/>
  <c r="U1699" i="11"/>
  <c r="U1700" i="11"/>
  <c r="U1702" i="11"/>
  <c r="U1705" i="11"/>
  <c r="U1707" i="11"/>
  <c r="U1708" i="11"/>
  <c r="U1709" i="11"/>
  <c r="U1710" i="11"/>
  <c r="U1711" i="11"/>
  <c r="U1712" i="11"/>
  <c r="U1720" i="11"/>
  <c r="U1724" i="11"/>
  <c r="U1728" i="11"/>
  <c r="U1729" i="11"/>
  <c r="U1730" i="11"/>
  <c r="U1733" i="11"/>
  <c r="U1735" i="11"/>
  <c r="U1737" i="11"/>
  <c r="U1742" i="11"/>
  <c r="U1743" i="11"/>
  <c r="U1745" i="11"/>
  <c r="U1746" i="11"/>
  <c r="U1747" i="11"/>
  <c r="U1748" i="11"/>
  <c r="U1751" i="11"/>
  <c r="U1752" i="11"/>
  <c r="U1753" i="11"/>
  <c r="U1754" i="11"/>
  <c r="U1755" i="11"/>
  <c r="U1757" i="11"/>
  <c r="U1759" i="11"/>
  <c r="U1760" i="11"/>
  <c r="U1761" i="11"/>
  <c r="U1764" i="11"/>
  <c r="U1765" i="11"/>
  <c r="U1768" i="11"/>
  <c r="U1769" i="11"/>
  <c r="U1773" i="11"/>
  <c r="U1775" i="11"/>
  <c r="U1777" i="11"/>
  <c r="U1781" i="11"/>
  <c r="U1782" i="11"/>
  <c r="U1786" i="11"/>
  <c r="U1789" i="11"/>
  <c r="U1790" i="11"/>
  <c r="U1791" i="11"/>
  <c r="U1795" i="11"/>
  <c r="U1797" i="11"/>
  <c r="U1798" i="11"/>
  <c r="U1799" i="11"/>
  <c r="U1800" i="11"/>
  <c r="U1803" i="11"/>
  <c r="U1805" i="11"/>
  <c r="U1807" i="11"/>
  <c r="U1809" i="11"/>
  <c r="U1811" i="11"/>
  <c r="U1814" i="11"/>
  <c r="U1816" i="11"/>
  <c r="U1818" i="11"/>
  <c r="U1822" i="11"/>
  <c r="U1825" i="11"/>
  <c r="U1827" i="11"/>
  <c r="U1829" i="11"/>
  <c r="U1832" i="11"/>
  <c r="U1834" i="11"/>
  <c r="U1836" i="11"/>
  <c r="U1838" i="11"/>
  <c r="U1840" i="11"/>
  <c r="U1843" i="11"/>
  <c r="U1845" i="11"/>
  <c r="U1847" i="11"/>
  <c r="U1849" i="11"/>
  <c r="U1851" i="11"/>
  <c r="U1852" i="11"/>
  <c r="U1854" i="11"/>
  <c r="U1855" i="11"/>
  <c r="U1859" i="11"/>
  <c r="U1866" i="11"/>
  <c r="U1867" i="11"/>
  <c r="U1870" i="11"/>
  <c r="U1875" i="11"/>
  <c r="U1876" i="11"/>
  <c r="U1879" i="11"/>
  <c r="U1888" i="11"/>
  <c r="U1891" i="11"/>
  <c r="U1893" i="11"/>
  <c r="U1894" i="11"/>
  <c r="U1896" i="11"/>
  <c r="U1900" i="11"/>
  <c r="U1901" i="11"/>
  <c r="U1912" i="11"/>
  <c r="U1915" i="11"/>
  <c r="U1918" i="11"/>
  <c r="U1922" i="11"/>
  <c r="U1923" i="11"/>
  <c r="U500" i="11"/>
  <c r="U507" i="11"/>
  <c r="U513" i="11"/>
  <c r="U520" i="11"/>
  <c r="U521" i="11"/>
  <c r="U527" i="11"/>
  <c r="U529" i="11"/>
  <c r="U530" i="11"/>
  <c r="U536" i="11"/>
  <c r="U538" i="11"/>
  <c r="U539" i="11"/>
  <c r="U560" i="11"/>
  <c r="U585" i="11"/>
  <c r="U598" i="11"/>
  <c r="U606" i="11"/>
  <c r="U614" i="11"/>
  <c r="U615" i="11"/>
  <c r="U616" i="11"/>
  <c r="U628" i="11"/>
  <c r="U629" i="11"/>
  <c r="U630" i="11"/>
  <c r="U644" i="11"/>
  <c r="U645" i="11"/>
  <c r="U653" i="11"/>
  <c r="U659" i="11"/>
  <c r="U660" i="11"/>
  <c r="U661" i="11"/>
  <c r="U673" i="11"/>
  <c r="U679" i="11"/>
  <c r="U680" i="11"/>
  <c r="U688" i="11"/>
  <c r="U690" i="11"/>
  <c r="U691" i="11"/>
  <c r="U696" i="11"/>
  <c r="U705" i="11"/>
  <c r="U712" i="11"/>
  <c r="U719" i="11"/>
  <c r="U720" i="11"/>
  <c r="U734" i="11"/>
  <c r="U741" i="11"/>
  <c r="U748" i="11"/>
  <c r="U749" i="11"/>
  <c r="U754" i="11"/>
  <c r="U755" i="11"/>
  <c r="U756" i="11"/>
  <c r="U999" i="11"/>
  <c r="U1018" i="11"/>
  <c r="U1023" i="11"/>
  <c r="U1028" i="11"/>
  <c r="U1029" i="11"/>
  <c r="U1030" i="11"/>
  <c r="U1031" i="11"/>
  <c r="U1038" i="11"/>
  <c r="U1043" i="11"/>
  <c r="U1044" i="11"/>
  <c r="U1045" i="11"/>
  <c r="U1046" i="11"/>
  <c r="U1050" i="11"/>
  <c r="U1052" i="11"/>
  <c r="U1053" i="11"/>
  <c r="U1058" i="11"/>
  <c r="U1059" i="11"/>
  <c r="U1065" i="11"/>
  <c r="U1070" i="11"/>
  <c r="U1077" i="11"/>
  <c r="U1078" i="11"/>
  <c r="U1079" i="11"/>
  <c r="U1085" i="11"/>
  <c r="U1086" i="11"/>
  <c r="U1092" i="11"/>
  <c r="U1095" i="11"/>
  <c r="U1096" i="11"/>
  <c r="U1102" i="11"/>
  <c r="U1109" i="11"/>
  <c r="U1114" i="11"/>
  <c r="U1115" i="11"/>
  <c r="U1134" i="11"/>
  <c r="U1141" i="11"/>
  <c r="U1147" i="11"/>
  <c r="U1148" i="11"/>
  <c r="U1166" i="11"/>
  <c r="U1184" i="11"/>
  <c r="U1186" i="11"/>
  <c r="U1193" i="11"/>
  <c r="U1203" i="11"/>
  <c r="U1208" i="11"/>
  <c r="U1221" i="11"/>
  <c r="U1226" i="11"/>
  <c r="U1227" i="11"/>
  <c r="U1239" i="11"/>
  <c r="U1250" i="11"/>
  <c r="U1251" i="11"/>
  <c r="U1257" i="11"/>
  <c r="U1259" i="11"/>
  <c r="U1265" i="11"/>
  <c r="U1271" i="11"/>
  <c r="U1278" i="11"/>
  <c r="U1283" i="11"/>
  <c r="U1284" i="11"/>
  <c r="U1500" i="11"/>
  <c r="U1505" i="11"/>
  <c r="U1509" i="11"/>
  <c r="U1514" i="11"/>
  <c r="U1523" i="11"/>
  <c r="U1540" i="11"/>
  <c r="U1541" i="11"/>
  <c r="U1542" i="11"/>
  <c r="U1547" i="11"/>
  <c r="U1548" i="11"/>
  <c r="U1554" i="11"/>
  <c r="U1559" i="11"/>
  <c r="U1562" i="11"/>
  <c r="U1563" i="11"/>
  <c r="U1565" i="11"/>
  <c r="U1566" i="11"/>
  <c r="U1571" i="11"/>
  <c r="U1574" i="11"/>
  <c r="U1586" i="11"/>
  <c r="U1587" i="11"/>
  <c r="U1589" i="11"/>
  <c r="U1594" i="11"/>
  <c r="U1596" i="11"/>
  <c r="U1597" i="11"/>
  <c r="U1598" i="11"/>
  <c r="U1603" i="11"/>
  <c r="U1606" i="11"/>
  <c r="U1608" i="11"/>
  <c r="U1611" i="11"/>
  <c r="U1614" i="11"/>
  <c r="U1618" i="11"/>
  <c r="U1621" i="11"/>
  <c r="U1622" i="11"/>
  <c r="U1624" i="11"/>
  <c r="U1625" i="11"/>
  <c r="U1626" i="11"/>
  <c r="U1627" i="11"/>
  <c r="U1629" i="11"/>
  <c r="U1631" i="11"/>
  <c r="U1632" i="11"/>
  <c r="U1634" i="11"/>
  <c r="U1636" i="11"/>
  <c r="U1637" i="11"/>
  <c r="U1638" i="11"/>
  <c r="U1639" i="11"/>
  <c r="U1640" i="11"/>
  <c r="U1642" i="11"/>
  <c r="U1643" i="11"/>
  <c r="U1644" i="11"/>
  <c r="U1645" i="11"/>
  <c r="U1646" i="11"/>
  <c r="U1654" i="11"/>
  <c r="U1701" i="11"/>
  <c r="U1703" i="11"/>
  <c r="U1704" i="11"/>
  <c r="U1706" i="11"/>
  <c r="U1713" i="11"/>
  <c r="U1716" i="11"/>
  <c r="U1719" i="11"/>
  <c r="U1723" i="11"/>
  <c r="U1727" i="11"/>
  <c r="U1734" i="11"/>
  <c r="U1738" i="11"/>
  <c r="U1740" i="11"/>
  <c r="U1741" i="11"/>
  <c r="U1756" i="11"/>
  <c r="U1758" i="11"/>
  <c r="U1762" i="11"/>
  <c r="U1763" i="11"/>
  <c r="U1770" i="11"/>
  <c r="U1771" i="11"/>
  <c r="U1772" i="11"/>
  <c r="U1776" i="11"/>
  <c r="U1778" i="11"/>
  <c r="U1779" i="11"/>
  <c r="U1783" i="11"/>
  <c r="U1787" i="11"/>
  <c r="U1793" i="11"/>
  <c r="U1794" i="11"/>
  <c r="U1796" i="11"/>
  <c r="U1801" i="11"/>
  <c r="U1804" i="11"/>
  <c r="U1808" i="11"/>
  <c r="U1812" i="11"/>
  <c r="U1815" i="11"/>
  <c r="U1819" i="11"/>
  <c r="U1823" i="11"/>
  <c r="U1826" i="11"/>
  <c r="U1830" i="11"/>
  <c r="U1833" i="11"/>
  <c r="U1837" i="11"/>
  <c r="U1841" i="11"/>
  <c r="U1844" i="11"/>
  <c r="U1848" i="11"/>
  <c r="U1858" i="11"/>
  <c r="U1861" i="11"/>
  <c r="U1862" i="11"/>
  <c r="U1863" i="11"/>
  <c r="U1868" i="11"/>
  <c r="U1869" i="11"/>
  <c r="U1872" i="11"/>
  <c r="U1880" i="11"/>
  <c r="U1881" i="11"/>
  <c r="U1884" i="11"/>
  <c r="U1886" i="11"/>
  <c r="U1887" i="11"/>
  <c r="U1889" i="11"/>
  <c r="U1890" i="11"/>
  <c r="U1892" i="11"/>
  <c r="U1899" i="11"/>
  <c r="U1903" i="11"/>
  <c r="U1906" i="11"/>
  <c r="U1907" i="11"/>
  <c r="U1909" i="11"/>
  <c r="U1910" i="11"/>
  <c r="U1913" i="11"/>
  <c r="U1914" i="11"/>
  <c r="U1916" i="11"/>
  <c r="U1919" i="11"/>
  <c r="AK1" i="11"/>
  <c r="AK2" i="11"/>
  <c r="AK3" i="11"/>
  <c r="U1017" i="11"/>
  <c r="U1536" i="11"/>
  <c r="S1929" i="11"/>
  <c r="T1929" i="11"/>
  <c r="S1927" i="11"/>
  <c r="T1927" i="11"/>
  <c r="T1925" i="11"/>
  <c r="S1925" i="11"/>
  <c r="S1922" i="11"/>
  <c r="T1922" i="11"/>
  <c r="S1921" i="11"/>
  <c r="T1921" i="11"/>
  <c r="T1915" i="11"/>
  <c r="S1915" i="11"/>
  <c r="T1913" i="11"/>
  <c r="S1913" i="11"/>
  <c r="T1912" i="11"/>
  <c r="S1912" i="11"/>
  <c r="T1911" i="11"/>
  <c r="S1911" i="11"/>
  <c r="S1906" i="11"/>
  <c r="T1906" i="11"/>
  <c r="T1904" i="11"/>
  <c r="S1904" i="11"/>
  <c r="S1903" i="11"/>
  <c r="T1903" i="11"/>
  <c r="T1902" i="11"/>
  <c r="S1902" i="11"/>
  <c r="S1901" i="11"/>
  <c r="T1901" i="11"/>
  <c r="T1898" i="11"/>
  <c r="S1898" i="11"/>
  <c r="T1897" i="11"/>
  <c r="S1897" i="11"/>
  <c r="S1895" i="11"/>
  <c r="T1895" i="11"/>
  <c r="S1894" i="11"/>
  <c r="T1894" i="11"/>
  <c r="S1893" i="11"/>
  <c r="T1893" i="11"/>
  <c r="T1889" i="11"/>
  <c r="S1889" i="11"/>
  <c r="S1887" i="11"/>
  <c r="T1887" i="11"/>
  <c r="S1885" i="11"/>
  <c r="T1885" i="11"/>
  <c r="S1884" i="11"/>
  <c r="T1884" i="11"/>
  <c r="T1879" i="11"/>
  <c r="S1879" i="11"/>
  <c r="S1878" i="11"/>
  <c r="T1878" i="11"/>
  <c r="S1876" i="11"/>
  <c r="T1876" i="11"/>
  <c r="S1873" i="11"/>
  <c r="T1873" i="11"/>
  <c r="S1872" i="11"/>
  <c r="T1872" i="11"/>
  <c r="S1870" i="11"/>
  <c r="T1870" i="11"/>
  <c r="S1867" i="11"/>
  <c r="T1867" i="11"/>
  <c r="S1865" i="11"/>
  <c r="T1865" i="11"/>
  <c r="S1862" i="11"/>
  <c r="T1862" i="11"/>
  <c r="T1861" i="11"/>
  <c r="S1861" i="11"/>
  <c r="S1859" i="11"/>
  <c r="T1859" i="11"/>
  <c r="S1858" i="11"/>
  <c r="T1858" i="11"/>
  <c r="T1855" i="11"/>
  <c r="S1855" i="11"/>
  <c r="S1854" i="11"/>
  <c r="T1854" i="11"/>
  <c r="S1853" i="11"/>
  <c r="T1853" i="11"/>
  <c r="S1852" i="11"/>
  <c r="T1852" i="11"/>
  <c r="S1851" i="11"/>
  <c r="T1851" i="11"/>
  <c r="S1850" i="11"/>
  <c r="T1850" i="11"/>
  <c r="S1849" i="11"/>
  <c r="T1849" i="11"/>
  <c r="S1848" i="11"/>
  <c r="T1848" i="11"/>
  <c r="S1847" i="11"/>
  <c r="T1847" i="11"/>
  <c r="S1846" i="11"/>
  <c r="T1846" i="11"/>
  <c r="S1845" i="11"/>
  <c r="T1845" i="11"/>
  <c r="S1844" i="11"/>
  <c r="T1844" i="11"/>
  <c r="S1843" i="11"/>
  <c r="T1843" i="11"/>
  <c r="S1842" i="11"/>
  <c r="T1842" i="11"/>
  <c r="S1841" i="11"/>
  <c r="T1841" i="11"/>
  <c r="S1840" i="11"/>
  <c r="T1840" i="11"/>
  <c r="S1839" i="11"/>
  <c r="T1839" i="11"/>
  <c r="S1838" i="11"/>
  <c r="T1838" i="11"/>
  <c r="S1837" i="11"/>
  <c r="T1837" i="11"/>
  <c r="S1836" i="11"/>
  <c r="T1836" i="11"/>
  <c r="S1835" i="11"/>
  <c r="T1835" i="11"/>
  <c r="S1834" i="11"/>
  <c r="T1834" i="11"/>
  <c r="S1833" i="11"/>
  <c r="T1833" i="11"/>
  <c r="S1832" i="11"/>
  <c r="T1832" i="11"/>
  <c r="S1831" i="11"/>
  <c r="T1831" i="11"/>
  <c r="S1830" i="11"/>
  <c r="T1830" i="11"/>
  <c r="S1829" i="11"/>
  <c r="T1829" i="11"/>
  <c r="S1828" i="11"/>
  <c r="T1828" i="11"/>
  <c r="S1827" i="11"/>
  <c r="T1827" i="11"/>
  <c r="S1826" i="11"/>
  <c r="T1826" i="11"/>
  <c r="S1825" i="11"/>
  <c r="T1825" i="11"/>
  <c r="S1824" i="11"/>
  <c r="T1824" i="11"/>
  <c r="S1823" i="11"/>
  <c r="T1823" i="11"/>
  <c r="S1822" i="11"/>
  <c r="T1822" i="11"/>
  <c r="S1821" i="11"/>
  <c r="T1821" i="11"/>
  <c r="S1820" i="11"/>
  <c r="T1820" i="11"/>
  <c r="S1819" i="11"/>
  <c r="T1819" i="11"/>
  <c r="S1818" i="11"/>
  <c r="T1818" i="11"/>
  <c r="S1817" i="11"/>
  <c r="T1817" i="11"/>
  <c r="S1816" i="11"/>
  <c r="T1816" i="11"/>
  <c r="S1815" i="11"/>
  <c r="T1815" i="11"/>
  <c r="S1814" i="11"/>
  <c r="T1814" i="11"/>
  <c r="S1813" i="11"/>
  <c r="T1813" i="11"/>
  <c r="S1812" i="11"/>
  <c r="T1812" i="11"/>
  <c r="S1811" i="11"/>
  <c r="T1811" i="11"/>
  <c r="S1810" i="11"/>
  <c r="T1810" i="11"/>
  <c r="S1809" i="11"/>
  <c r="T1809" i="11"/>
  <c r="S1808" i="11"/>
  <c r="T1808" i="11"/>
  <c r="S1807" i="11"/>
  <c r="T1807" i="11"/>
  <c r="S1806" i="11"/>
  <c r="T1806" i="11"/>
  <c r="S1805" i="11"/>
  <c r="T1805" i="11"/>
  <c r="S1804" i="11"/>
  <c r="T1804" i="11"/>
  <c r="S1803" i="11"/>
  <c r="T1803" i="11"/>
  <c r="S1802" i="11"/>
  <c r="T1802" i="11"/>
  <c r="S1801" i="11"/>
  <c r="T1801" i="11"/>
  <c r="S1800" i="11"/>
  <c r="T1800" i="11"/>
  <c r="S1799" i="11"/>
  <c r="T1799" i="11"/>
  <c r="S1798" i="11"/>
  <c r="T1798" i="11"/>
  <c r="S1797" i="11"/>
  <c r="T1797" i="11"/>
  <c r="S1796" i="11"/>
  <c r="T1796" i="11"/>
  <c r="S1792" i="11"/>
  <c r="T1792" i="11"/>
  <c r="T1791" i="11"/>
  <c r="S1791" i="11"/>
  <c r="T1790" i="11"/>
  <c r="S1790" i="11"/>
  <c r="S1789" i="11"/>
  <c r="T1789" i="11"/>
  <c r="S1785" i="11"/>
  <c r="T1785" i="11"/>
  <c r="S1782" i="11"/>
  <c r="T1782" i="11"/>
  <c r="T1781" i="11"/>
  <c r="S1781" i="11"/>
  <c r="T1775" i="11"/>
  <c r="S1775" i="11"/>
  <c r="T1771" i="11"/>
  <c r="S1771" i="11"/>
  <c r="S1770" i="11"/>
  <c r="T1770" i="11"/>
  <c r="T1769" i="11"/>
  <c r="S1769" i="11"/>
  <c r="T1768" i="11"/>
  <c r="S1768" i="11"/>
  <c r="T1762" i="11"/>
  <c r="S1762" i="11"/>
  <c r="T1761" i="11"/>
  <c r="S1761" i="11"/>
  <c r="S1760" i="11"/>
  <c r="T1760" i="11"/>
  <c r="T1758" i="11"/>
  <c r="S1758" i="11"/>
  <c r="T1757" i="11"/>
  <c r="S1757" i="11"/>
  <c r="S1756" i="11"/>
  <c r="T1756" i="11"/>
  <c r="T1754" i="11"/>
  <c r="S1754" i="11"/>
  <c r="T1752" i="11"/>
  <c r="S1752" i="11"/>
  <c r="S1751" i="11"/>
  <c r="T1751" i="11"/>
  <c r="T1749" i="11"/>
  <c r="S1749" i="11"/>
  <c r="S1748" i="11"/>
  <c r="T1748" i="11"/>
  <c r="S1744" i="11"/>
  <c r="T1744" i="11"/>
  <c r="S1741" i="11"/>
  <c r="T1741" i="11"/>
  <c r="S1740" i="11"/>
  <c r="T1740" i="11"/>
  <c r="S1739" i="11"/>
  <c r="T1739" i="11"/>
  <c r="S1738" i="11"/>
  <c r="T1738" i="11"/>
  <c r="S1737" i="11"/>
  <c r="T1737" i="11"/>
  <c r="S1736" i="11"/>
  <c r="T1736" i="11"/>
  <c r="S1735" i="11"/>
  <c r="T1735" i="11"/>
  <c r="S1734" i="11"/>
  <c r="T1734" i="11"/>
  <c r="S1733" i="11"/>
  <c r="T1733" i="11"/>
  <c r="S1732" i="11"/>
  <c r="T1732" i="11"/>
  <c r="T1731" i="11"/>
  <c r="S1731" i="11"/>
  <c r="T1727" i="11"/>
  <c r="S1727" i="11"/>
  <c r="T1726" i="11"/>
  <c r="S1726" i="11"/>
  <c r="S1724" i="11"/>
  <c r="T1724" i="11"/>
  <c r="T1721" i="11"/>
  <c r="S1721" i="11"/>
  <c r="S1718" i="11"/>
  <c r="T1718" i="11"/>
  <c r="T1717" i="11"/>
  <c r="S1717" i="11"/>
  <c r="S1716" i="11"/>
  <c r="T1716" i="11"/>
  <c r="S1715" i="11"/>
  <c r="T1715" i="11"/>
  <c r="S1714" i="11"/>
  <c r="T1714" i="11"/>
  <c r="S1713" i="11"/>
  <c r="T1713" i="11"/>
  <c r="T1712" i="11"/>
  <c r="S1712" i="11"/>
  <c r="S1711" i="11"/>
  <c r="T1711" i="11"/>
  <c r="T1710" i="11"/>
  <c r="S1710" i="11"/>
  <c r="T1709" i="11"/>
  <c r="S1709" i="11"/>
  <c r="T1706" i="11"/>
  <c r="S1706" i="11"/>
  <c r="T1705" i="11"/>
  <c r="S1705" i="11"/>
  <c r="S1703" i="11"/>
  <c r="T1703" i="11"/>
  <c r="T1702" i="11"/>
  <c r="S1702" i="11"/>
  <c r="T1701" i="11"/>
  <c r="S1701" i="11"/>
  <c r="S1699" i="11"/>
  <c r="T1699" i="11"/>
  <c r="S1696" i="11"/>
  <c r="T1696" i="11"/>
  <c r="T1695" i="11"/>
  <c r="S1695" i="11"/>
  <c r="S1686" i="11"/>
  <c r="T1686" i="11"/>
  <c r="T1683" i="11"/>
  <c r="S1683" i="11"/>
  <c r="S1680" i="11"/>
  <c r="T1680" i="11"/>
  <c r="T1677" i="11"/>
  <c r="S1677" i="11"/>
  <c r="T1676" i="11"/>
  <c r="S1676" i="11"/>
  <c r="T1673" i="11"/>
  <c r="S1673" i="11"/>
  <c r="T1669" i="11"/>
  <c r="S1669" i="11"/>
  <c r="S1666" i="11"/>
  <c r="T1666" i="11"/>
  <c r="S1665" i="11"/>
  <c r="T1665" i="11"/>
  <c r="T1664" i="11"/>
  <c r="S1664" i="11"/>
  <c r="S1663" i="11"/>
  <c r="T1663" i="11"/>
  <c r="S1661" i="11"/>
  <c r="T1661" i="11"/>
  <c r="S1659" i="11"/>
  <c r="T1659" i="11"/>
  <c r="S1657" i="11"/>
  <c r="T1657" i="11"/>
  <c r="T1656" i="11"/>
  <c r="S1656" i="11"/>
  <c r="T1653" i="11"/>
  <c r="S1653" i="11"/>
  <c r="T1652" i="11"/>
  <c r="S1652" i="11"/>
  <c r="T1651" i="11"/>
  <c r="S1651" i="11"/>
  <c r="T1650" i="11"/>
  <c r="S1650" i="11"/>
  <c r="T1647" i="11"/>
  <c r="S1647" i="11"/>
  <c r="T1644" i="11"/>
  <c r="S1644" i="11"/>
  <c r="T1643" i="11"/>
  <c r="S1643" i="11"/>
  <c r="S1641" i="11"/>
  <c r="T1641" i="11"/>
  <c r="T1639" i="11"/>
  <c r="S1639" i="11"/>
  <c r="T1637" i="11"/>
  <c r="S1637" i="11"/>
  <c r="T1635" i="11"/>
  <c r="S1635" i="11"/>
  <c r="T1634" i="11"/>
  <c r="S1634" i="11"/>
  <c r="T1629" i="11"/>
  <c r="S1629" i="11"/>
  <c r="T1625" i="11"/>
  <c r="S1625" i="11"/>
  <c r="S1624" i="11"/>
  <c r="T1624" i="11"/>
  <c r="S1620" i="11"/>
  <c r="T1620" i="11"/>
  <c r="S1619" i="11"/>
  <c r="T1619" i="11"/>
  <c r="T1616" i="11"/>
  <c r="S1616" i="11"/>
  <c r="T1615" i="11"/>
  <c r="S1615" i="11"/>
  <c r="S1614" i="11"/>
  <c r="T1614" i="11"/>
  <c r="S1613" i="11"/>
  <c r="T1613" i="11"/>
  <c r="S1610" i="11"/>
  <c r="T1610" i="11"/>
  <c r="S1609" i="11"/>
  <c r="T1609" i="11"/>
  <c r="T1603" i="11"/>
  <c r="S1603" i="11"/>
  <c r="T1602" i="11"/>
  <c r="S1602" i="11"/>
  <c r="T1601" i="11"/>
  <c r="S1601" i="11"/>
  <c r="S1598" i="11"/>
  <c r="T1598" i="11"/>
  <c r="T1597" i="11"/>
  <c r="S1597" i="11"/>
  <c r="S1595" i="11"/>
  <c r="T1595" i="11"/>
  <c r="T1594" i="11"/>
  <c r="S1594" i="11"/>
  <c r="S1593" i="11"/>
  <c r="T1593" i="11"/>
  <c r="S1592" i="11"/>
  <c r="T1592" i="11"/>
  <c r="S1591" i="11"/>
  <c r="T1591" i="11"/>
  <c r="S1590" i="11"/>
  <c r="T1590" i="11"/>
  <c r="S1588" i="11"/>
  <c r="T1588" i="11"/>
  <c r="T1586" i="11"/>
  <c r="S1586" i="11"/>
  <c r="S1585" i="11"/>
  <c r="T1585" i="11"/>
  <c r="T1581" i="11"/>
  <c r="S1581" i="11"/>
  <c r="S1578" i="11"/>
  <c r="T1578" i="11"/>
  <c r="S1577" i="11"/>
  <c r="T1577" i="11"/>
  <c r="T1576" i="11"/>
  <c r="S1576" i="11"/>
  <c r="T1575" i="11"/>
  <c r="S1575" i="11"/>
  <c r="T1573" i="11"/>
  <c r="S1573" i="11"/>
  <c r="S1569" i="11"/>
  <c r="T1569" i="11"/>
  <c r="T1566" i="11"/>
  <c r="S1566" i="11"/>
  <c r="T1561" i="11"/>
  <c r="S1561" i="11"/>
  <c r="S1560" i="11"/>
  <c r="T1560" i="11"/>
  <c r="S1559" i="11"/>
  <c r="T1559" i="11"/>
  <c r="S1558" i="11"/>
  <c r="T1558" i="11"/>
  <c r="T1557" i="11"/>
  <c r="S1557" i="11"/>
  <c r="T1556" i="11"/>
  <c r="S1556" i="11"/>
  <c r="S1555" i="11"/>
  <c r="T1555" i="11"/>
  <c r="T1554" i="11"/>
  <c r="S1554" i="11"/>
  <c r="S1552" i="11"/>
  <c r="T1552" i="11"/>
  <c r="S1551" i="11"/>
  <c r="T1551" i="11"/>
  <c r="T1549" i="11"/>
  <c r="S1549" i="11"/>
  <c r="S1548" i="11"/>
  <c r="T1548" i="11"/>
  <c r="S1544" i="11"/>
  <c r="T1544" i="11"/>
  <c r="T1543" i="11"/>
  <c r="S1543" i="11"/>
  <c r="T1540" i="11"/>
  <c r="S1540" i="11"/>
  <c r="T1539" i="11"/>
  <c r="S1539" i="11"/>
  <c r="T1537" i="11"/>
  <c r="S1537" i="11"/>
  <c r="S1535" i="11"/>
  <c r="T1535" i="11"/>
  <c r="T1529" i="11"/>
  <c r="S1529" i="11"/>
  <c r="S1526" i="11"/>
  <c r="T1526" i="11"/>
  <c r="S1525" i="11"/>
  <c r="T1525" i="11"/>
  <c r="S1524" i="11"/>
  <c r="T1524" i="11"/>
  <c r="S1505" i="11"/>
  <c r="T1505" i="11"/>
  <c r="T1502" i="11"/>
  <c r="S1502" i="11"/>
  <c r="S1500" i="11"/>
  <c r="T1500" i="11"/>
  <c r="S1499" i="11"/>
  <c r="T1499" i="11"/>
  <c r="S1498" i="11"/>
  <c r="T1498" i="11"/>
  <c r="S1497" i="11"/>
  <c r="T1497" i="11"/>
  <c r="S1496" i="11"/>
  <c r="T1496" i="11"/>
  <c r="S1495" i="11"/>
  <c r="T1495" i="11"/>
  <c r="S1494" i="11"/>
  <c r="T1494" i="11"/>
  <c r="S1493" i="11"/>
  <c r="T1493" i="11"/>
  <c r="S1492" i="11"/>
  <c r="T1492" i="11"/>
  <c r="S1491" i="11"/>
  <c r="T1491" i="11"/>
  <c r="S1490" i="11"/>
  <c r="T1490" i="11"/>
  <c r="S1489" i="11"/>
  <c r="T1489" i="11"/>
  <c r="S1488" i="11"/>
  <c r="T1488" i="11"/>
  <c r="S1487" i="11"/>
  <c r="T1487" i="11"/>
  <c r="S1486" i="11"/>
  <c r="T1486" i="11"/>
  <c r="S1485" i="11"/>
  <c r="T1485" i="11"/>
  <c r="S1484" i="11"/>
  <c r="T1484" i="11"/>
  <c r="S1483" i="11"/>
  <c r="T1483" i="11"/>
  <c r="S1482" i="11"/>
  <c r="T1482" i="11"/>
  <c r="S1481" i="11"/>
  <c r="T1481" i="11"/>
  <c r="S1480" i="11"/>
  <c r="T1480" i="11"/>
  <c r="S1479" i="11"/>
  <c r="T1479" i="11"/>
  <c r="S1478" i="11"/>
  <c r="T1478" i="11"/>
  <c r="S1477" i="11"/>
  <c r="T1477" i="11"/>
  <c r="S1476" i="11"/>
  <c r="T1476" i="11"/>
  <c r="S1475" i="11"/>
  <c r="T1475" i="11"/>
  <c r="S1474" i="11"/>
  <c r="T1474" i="11"/>
  <c r="S1473" i="11"/>
  <c r="T1473" i="11"/>
  <c r="S1472" i="11"/>
  <c r="T1472" i="11"/>
  <c r="S1471" i="11"/>
  <c r="T1471" i="11"/>
  <c r="S1470" i="11"/>
  <c r="T1470" i="11"/>
  <c r="S1469" i="11"/>
  <c r="T1469" i="11"/>
  <c r="S1468" i="11"/>
  <c r="T1468" i="11"/>
  <c r="S1467" i="11"/>
  <c r="T1467" i="11"/>
  <c r="S1466" i="11"/>
  <c r="T1466" i="11"/>
  <c r="S1465" i="11"/>
  <c r="T1465" i="11"/>
  <c r="S1464" i="11"/>
  <c r="T1464" i="11"/>
  <c r="S1463" i="11"/>
  <c r="T1463" i="11"/>
  <c r="S1462" i="11"/>
  <c r="T1462" i="11"/>
  <c r="S1461" i="11"/>
  <c r="T1461" i="11"/>
  <c r="S1460" i="11"/>
  <c r="T1460" i="11"/>
  <c r="S1459" i="11"/>
  <c r="T1459" i="11"/>
  <c r="S1458" i="11"/>
  <c r="T1458" i="11"/>
  <c r="S1457" i="11"/>
  <c r="T1457" i="11"/>
  <c r="S1456" i="11"/>
  <c r="T1456" i="11"/>
  <c r="S1455" i="11"/>
  <c r="T1455" i="11"/>
  <c r="S1454" i="11"/>
  <c r="T1454" i="11"/>
  <c r="S1453" i="11"/>
  <c r="T1453" i="11"/>
  <c r="S1452" i="11"/>
  <c r="T1452" i="11"/>
  <c r="S1451" i="11"/>
  <c r="T1451" i="11"/>
  <c r="S1450" i="11"/>
  <c r="T1450" i="11"/>
  <c r="S1449" i="11"/>
  <c r="T1449" i="11"/>
  <c r="S1448" i="11"/>
  <c r="T1448" i="11"/>
  <c r="S1447" i="11"/>
  <c r="T1447" i="11"/>
  <c r="S1446" i="11"/>
  <c r="T1446" i="11"/>
  <c r="S1445" i="11"/>
  <c r="T1445" i="11"/>
  <c r="S1444" i="11"/>
  <c r="T1444" i="11"/>
  <c r="S1443" i="11"/>
  <c r="T1443" i="11"/>
  <c r="S1442" i="11"/>
  <c r="T1442" i="11"/>
  <c r="S1441" i="11"/>
  <c r="T1441" i="11"/>
  <c r="S1440" i="11"/>
  <c r="T1440" i="11"/>
  <c r="S1439" i="11"/>
  <c r="T1439" i="11"/>
  <c r="S1438" i="11"/>
  <c r="T1438" i="11"/>
  <c r="S1437" i="11"/>
  <c r="T1437" i="11"/>
  <c r="S1436" i="11"/>
  <c r="T1436" i="11"/>
  <c r="S1435" i="11"/>
  <c r="T1435" i="11"/>
  <c r="S1434" i="11"/>
  <c r="T1434" i="11"/>
  <c r="S1433" i="11"/>
  <c r="T1433" i="11"/>
  <c r="S1432" i="11"/>
  <c r="T1432" i="11"/>
  <c r="S1431" i="11"/>
  <c r="T1431" i="11"/>
  <c r="S1430" i="11"/>
  <c r="T1430" i="11"/>
  <c r="S1429" i="11"/>
  <c r="T1429" i="11"/>
  <c r="S1428" i="11"/>
  <c r="T1428" i="11"/>
  <c r="S1427" i="11"/>
  <c r="T1427" i="11"/>
  <c r="S1426" i="11"/>
  <c r="T1426" i="11"/>
  <c r="S1425" i="11"/>
  <c r="T1425" i="11"/>
  <c r="S1424" i="11"/>
  <c r="T1424" i="11"/>
  <c r="S1423" i="11"/>
  <c r="T1423" i="11"/>
  <c r="S1422" i="11"/>
  <c r="T1422" i="11"/>
  <c r="S1421" i="11"/>
  <c r="T1421" i="11"/>
  <c r="S1420" i="11"/>
  <c r="T1420" i="11"/>
  <c r="S1419" i="11"/>
  <c r="T1419" i="11"/>
  <c r="S1418" i="11"/>
  <c r="T1418" i="11"/>
  <c r="S1417" i="11"/>
  <c r="T1417" i="11"/>
  <c r="S1416" i="11"/>
  <c r="T1416" i="11"/>
  <c r="S1415" i="11"/>
  <c r="T1415" i="11"/>
  <c r="S1414" i="11"/>
  <c r="T1414" i="11"/>
  <c r="S1413" i="11"/>
  <c r="T1413" i="11"/>
  <c r="S1412" i="11"/>
  <c r="T1412" i="11"/>
  <c r="S1411" i="11"/>
  <c r="T1411" i="11"/>
  <c r="S1410" i="11"/>
  <c r="T1410" i="11"/>
  <c r="S1409" i="11"/>
  <c r="T1409" i="11"/>
  <c r="S1408" i="11"/>
  <c r="T1408" i="11"/>
  <c r="S1407" i="11"/>
  <c r="T1407" i="11"/>
  <c r="S1406" i="11"/>
  <c r="T1406" i="11"/>
  <c r="S1405" i="11"/>
  <c r="T1405" i="11"/>
  <c r="S1404" i="11"/>
  <c r="T1404" i="11"/>
  <c r="S1403" i="11"/>
  <c r="T1403" i="11"/>
  <c r="S1402" i="11"/>
  <c r="T1402" i="11"/>
  <c r="S1401" i="11"/>
  <c r="T1401" i="11"/>
  <c r="S1400" i="11"/>
  <c r="T1400" i="11"/>
  <c r="S1399" i="11"/>
  <c r="T1399" i="11"/>
  <c r="S1398" i="11"/>
  <c r="T1398" i="11"/>
  <c r="S1397" i="11"/>
  <c r="T1397" i="11"/>
  <c r="S1396" i="11"/>
  <c r="T1396" i="11"/>
  <c r="S1395" i="11"/>
  <c r="T1395" i="11"/>
  <c r="S1394" i="11"/>
  <c r="T1394" i="11"/>
  <c r="S1393" i="11"/>
  <c r="T1393" i="11"/>
  <c r="S1392" i="11"/>
  <c r="T1392" i="11"/>
  <c r="S1391" i="11"/>
  <c r="T1391" i="11"/>
  <c r="S1390" i="11"/>
  <c r="T1390" i="11"/>
  <c r="S1389" i="11"/>
  <c r="T1389" i="11"/>
  <c r="S1388" i="11"/>
  <c r="T1388" i="11"/>
  <c r="S1387" i="11"/>
  <c r="T1387" i="11"/>
  <c r="S1386" i="11"/>
  <c r="T1386" i="11"/>
  <c r="S1385" i="11"/>
  <c r="T1385" i="11"/>
  <c r="S1384" i="11"/>
  <c r="T1384" i="11"/>
  <c r="S1383" i="11"/>
  <c r="T1383" i="11"/>
  <c r="S1382" i="11"/>
  <c r="T1382" i="11"/>
  <c r="S1381" i="11"/>
  <c r="T1381" i="11"/>
  <c r="S1380" i="11"/>
  <c r="T1380" i="11"/>
  <c r="S1379" i="11"/>
  <c r="T1379" i="11"/>
  <c r="S1378" i="11"/>
  <c r="T1378" i="11"/>
  <c r="S1377" i="11"/>
  <c r="T1377" i="11"/>
  <c r="S1376" i="11"/>
  <c r="T1376" i="11"/>
  <c r="S1375" i="11"/>
  <c r="T1375" i="11"/>
  <c r="S1374" i="11"/>
  <c r="T1374" i="11"/>
  <c r="S1373" i="11"/>
  <c r="T1373" i="11"/>
  <c r="S1372" i="11"/>
  <c r="T1372" i="11"/>
  <c r="S1371" i="11"/>
  <c r="T1371" i="11"/>
  <c r="S1370" i="11"/>
  <c r="T1370" i="11"/>
  <c r="S1369" i="11"/>
  <c r="T1369" i="11"/>
  <c r="S1368" i="11"/>
  <c r="T1368" i="11"/>
  <c r="S1367" i="11"/>
  <c r="T1367" i="11"/>
  <c r="S1366" i="11"/>
  <c r="T1366" i="11"/>
  <c r="S1365" i="11"/>
  <c r="T1365" i="11"/>
  <c r="S1364" i="11"/>
  <c r="T1364" i="11"/>
  <c r="S1363" i="11"/>
  <c r="T1363" i="11"/>
  <c r="S1362" i="11"/>
  <c r="T1362" i="11"/>
  <c r="S1361" i="11"/>
  <c r="T1361" i="11"/>
  <c r="S1360" i="11"/>
  <c r="T1360" i="11"/>
  <c r="S1359" i="11"/>
  <c r="T1359" i="11"/>
  <c r="S1358" i="11"/>
  <c r="T1358" i="11"/>
  <c r="S1357" i="11"/>
  <c r="T1357" i="11"/>
  <c r="S1356" i="11"/>
  <c r="T1356" i="11"/>
  <c r="S1355" i="11"/>
  <c r="T1355" i="11"/>
  <c r="S1354" i="11"/>
  <c r="T1354" i="11"/>
  <c r="S1353" i="11"/>
  <c r="T1353" i="11"/>
  <c r="S1352" i="11"/>
  <c r="T1352" i="11"/>
  <c r="S1351" i="11"/>
  <c r="T1351" i="11"/>
  <c r="S1350" i="11"/>
  <c r="T1350" i="11"/>
  <c r="S1349" i="11"/>
  <c r="T1349" i="11"/>
  <c r="S1348" i="11"/>
  <c r="T1348" i="11"/>
  <c r="S1347" i="11"/>
  <c r="T1347" i="11"/>
  <c r="S1346" i="11"/>
  <c r="T1346" i="11"/>
  <c r="S1345" i="11"/>
  <c r="T1345" i="11"/>
  <c r="S1344" i="11"/>
  <c r="T1344" i="11"/>
  <c r="S1343" i="11"/>
  <c r="T1343" i="11"/>
  <c r="S1342" i="11"/>
  <c r="T1342" i="11"/>
  <c r="S1341" i="11"/>
  <c r="T1341" i="11"/>
  <c r="S1340" i="11"/>
  <c r="T1340" i="11"/>
  <c r="S1339" i="11"/>
  <c r="T1339" i="11"/>
  <c r="S1338" i="11"/>
  <c r="T1338" i="11"/>
  <c r="S1337" i="11"/>
  <c r="T1337" i="11"/>
  <c r="S1336" i="11"/>
  <c r="T1336" i="11"/>
  <c r="S1335" i="11"/>
  <c r="T1335" i="11"/>
  <c r="S1334" i="11"/>
  <c r="T1334" i="11"/>
  <c r="S1333" i="11"/>
  <c r="T1333" i="11"/>
  <c r="S1332" i="11"/>
  <c r="T1332" i="11"/>
  <c r="S1331" i="11"/>
  <c r="T1331" i="11"/>
  <c r="S1330" i="11"/>
  <c r="T1330" i="11"/>
  <c r="S1329" i="11"/>
  <c r="T1329" i="11"/>
  <c r="S1328" i="11"/>
  <c r="T1328" i="11"/>
  <c r="S1327" i="11"/>
  <c r="T1327" i="11"/>
  <c r="S1326" i="11"/>
  <c r="T1326" i="11"/>
  <c r="S1325" i="11"/>
  <c r="T1325" i="11"/>
  <c r="S1324" i="11"/>
  <c r="T1324" i="11"/>
  <c r="S1323" i="11"/>
  <c r="T1323" i="11"/>
  <c r="S1322" i="11"/>
  <c r="T1322" i="11"/>
  <c r="S1321" i="11"/>
  <c r="T1321" i="11"/>
  <c r="S1320" i="11"/>
  <c r="T1320" i="11"/>
  <c r="S1319" i="11"/>
  <c r="T1319" i="11"/>
  <c r="S1318" i="11"/>
  <c r="T1318" i="11"/>
  <c r="S1317" i="11"/>
  <c r="T1317" i="11"/>
  <c r="S1316" i="11"/>
  <c r="T1316" i="11"/>
  <c r="S1315" i="11"/>
  <c r="T1315" i="11"/>
  <c r="S1314" i="11"/>
  <c r="T1314" i="11"/>
  <c r="S1313" i="11"/>
  <c r="T1313" i="11"/>
  <c r="S1312" i="11"/>
  <c r="T1312" i="11"/>
  <c r="S1311" i="11"/>
  <c r="T1311" i="11"/>
  <c r="S1310" i="11"/>
  <c r="T1310" i="11"/>
  <c r="S1309" i="11"/>
  <c r="T1309" i="11"/>
  <c r="S1308" i="11"/>
  <c r="T1308" i="11"/>
  <c r="S1307" i="11"/>
  <c r="T1307" i="11"/>
  <c r="S1306" i="11"/>
  <c r="T1306" i="11"/>
  <c r="S1305" i="11"/>
  <c r="T1305" i="11"/>
  <c r="S1304" i="11"/>
  <c r="T1304" i="11"/>
  <c r="S1303" i="11"/>
  <c r="T1303" i="11"/>
  <c r="S1302" i="11"/>
  <c r="T1302" i="11"/>
  <c r="S1301" i="11"/>
  <c r="T1301" i="11"/>
  <c r="S1300" i="11"/>
  <c r="T1300" i="11"/>
  <c r="S1299" i="11"/>
  <c r="T1299" i="11"/>
  <c r="S1298" i="11"/>
  <c r="T1298" i="11"/>
  <c r="S1297" i="11"/>
  <c r="T1297" i="11"/>
  <c r="S1296" i="11"/>
  <c r="T1296" i="11"/>
  <c r="S1295" i="11"/>
  <c r="T1295" i="11"/>
  <c r="S1294" i="11"/>
  <c r="T1294" i="11"/>
  <c r="S1293" i="11"/>
  <c r="T1293" i="11"/>
  <c r="S1292" i="11"/>
  <c r="T1292" i="11"/>
  <c r="S1291" i="11"/>
  <c r="T1291" i="11"/>
  <c r="S1290" i="11"/>
  <c r="T1290" i="11"/>
  <c r="S1289" i="11"/>
  <c r="T1289" i="11"/>
  <c r="S1288" i="11"/>
  <c r="T1288" i="11"/>
  <c r="S1287" i="11"/>
  <c r="T1287" i="11"/>
  <c r="S1286" i="11"/>
  <c r="T1286" i="11"/>
  <c r="S1285" i="11"/>
  <c r="T1285" i="11"/>
  <c r="S1284" i="11"/>
  <c r="T1284" i="11"/>
  <c r="S1283" i="11"/>
  <c r="T1283" i="11"/>
  <c r="S1282" i="11"/>
  <c r="T1282" i="11"/>
  <c r="S1281" i="11"/>
  <c r="T1281" i="11"/>
  <c r="S1280" i="11"/>
  <c r="T1280" i="11"/>
  <c r="S1279" i="11"/>
  <c r="T1279" i="11"/>
  <c r="S1278" i="11"/>
  <c r="T1278" i="11"/>
  <c r="S1277" i="11"/>
  <c r="T1277" i="11"/>
  <c r="S1276" i="11"/>
  <c r="T1276" i="11"/>
  <c r="S1275" i="11"/>
  <c r="T1275" i="11"/>
  <c r="S1274" i="11"/>
  <c r="T1274" i="11"/>
  <c r="S1273" i="11"/>
  <c r="T1273" i="11"/>
  <c r="S1272" i="11"/>
  <c r="T1272" i="11"/>
  <c r="S1271" i="11"/>
  <c r="T1271" i="11"/>
  <c r="S1270" i="11"/>
  <c r="T1270" i="11"/>
  <c r="S1269" i="11"/>
  <c r="T1269" i="11"/>
  <c r="S1268" i="11"/>
  <c r="T1268" i="11"/>
  <c r="S1267" i="11"/>
  <c r="T1267" i="11"/>
  <c r="S1266" i="11"/>
  <c r="T1266" i="11"/>
  <c r="S1265" i="11"/>
  <c r="T1265" i="11"/>
  <c r="T1263" i="11"/>
  <c r="S1263" i="11"/>
  <c r="T1262" i="11"/>
  <c r="S1262" i="11"/>
  <c r="S1260" i="11"/>
  <c r="T1260" i="11"/>
  <c r="S1257" i="11"/>
  <c r="T1257" i="11"/>
  <c r="T1256" i="11"/>
  <c r="S1256" i="11"/>
  <c r="S1254" i="11"/>
  <c r="T1254" i="11"/>
  <c r="S1249" i="11"/>
  <c r="T1249" i="11"/>
  <c r="T1245" i="11"/>
  <c r="S1245" i="11"/>
  <c r="S1243" i="11"/>
  <c r="T1243" i="11"/>
  <c r="S1230" i="11"/>
  <c r="T1230" i="11"/>
  <c r="S1229" i="11"/>
  <c r="T1229" i="11"/>
  <c r="T1227" i="11"/>
  <c r="S1227" i="11"/>
  <c r="S1219" i="11"/>
  <c r="T1219" i="11"/>
  <c r="T1218" i="11"/>
  <c r="S1218" i="11"/>
  <c r="S1217" i="11"/>
  <c r="T1217" i="11"/>
  <c r="S1216" i="11"/>
  <c r="T1216" i="11"/>
  <c r="S1214" i="11"/>
  <c r="T1214" i="11"/>
  <c r="S1213" i="11"/>
  <c r="T1213" i="11"/>
  <c r="S1212" i="11"/>
  <c r="T1212" i="11"/>
  <c r="S1211" i="11"/>
  <c r="T1211" i="11"/>
  <c r="S1210" i="11"/>
  <c r="T1210" i="11"/>
  <c r="S1208" i="11"/>
  <c r="T1208" i="11"/>
  <c r="S1205" i="11"/>
  <c r="T1205" i="11"/>
  <c r="T1203" i="11"/>
  <c r="S1203" i="11"/>
  <c r="S1201" i="11"/>
  <c r="T1201" i="11"/>
  <c r="S1198" i="11"/>
  <c r="T1198" i="11"/>
  <c r="S1197" i="11"/>
  <c r="T1197" i="11"/>
  <c r="S1196" i="11"/>
  <c r="T1196" i="11"/>
  <c r="T1194" i="11"/>
  <c r="S1194" i="11"/>
  <c r="T1193" i="11"/>
  <c r="S1193" i="11"/>
  <c r="S1191" i="11"/>
  <c r="T1191" i="11"/>
  <c r="S1189" i="11"/>
  <c r="T1189" i="11"/>
  <c r="T1187" i="11"/>
  <c r="S1187" i="11"/>
  <c r="S1183" i="11"/>
  <c r="T1183" i="11"/>
  <c r="S1182" i="11"/>
  <c r="T1182" i="11"/>
  <c r="S1181" i="11"/>
  <c r="T1181" i="11"/>
  <c r="S1180" i="11"/>
  <c r="T1180" i="11"/>
  <c r="T1179" i="11"/>
  <c r="S1179" i="11"/>
  <c r="S1177" i="11"/>
  <c r="T1177" i="11"/>
  <c r="T1175" i="11"/>
  <c r="S1175" i="11"/>
  <c r="S1171" i="11"/>
  <c r="T1171" i="11"/>
  <c r="T1170" i="11"/>
  <c r="S1170" i="11"/>
  <c r="T1169" i="11"/>
  <c r="S1169" i="11"/>
  <c r="S1168" i="11"/>
  <c r="T1168" i="11"/>
  <c r="S1166" i="11"/>
  <c r="T1166" i="11"/>
  <c r="S1165" i="11"/>
  <c r="T1165" i="11"/>
  <c r="T1163" i="11"/>
  <c r="S1163" i="11"/>
  <c r="S1162" i="11"/>
  <c r="T1162" i="11"/>
  <c r="S1161" i="11"/>
  <c r="T1161" i="11"/>
  <c r="T1160" i="11"/>
  <c r="S1160" i="11"/>
  <c r="T1159" i="11"/>
  <c r="S1159" i="11"/>
  <c r="T1158" i="11"/>
  <c r="S1158" i="11"/>
  <c r="T1157" i="11"/>
  <c r="S1157" i="11"/>
  <c r="S1156" i="11"/>
  <c r="T1156" i="11"/>
  <c r="S1155" i="11"/>
  <c r="T1155" i="11"/>
  <c r="T1153" i="11"/>
  <c r="S1153" i="11"/>
  <c r="S1152" i="11"/>
  <c r="T1152" i="11"/>
  <c r="S1151" i="11"/>
  <c r="T1151" i="11"/>
  <c r="S1150" i="11"/>
  <c r="T1150" i="11"/>
  <c r="T1149" i="11"/>
  <c r="S1149" i="11"/>
  <c r="T1148" i="11"/>
  <c r="S1148" i="11"/>
  <c r="S1142" i="11"/>
  <c r="T1142" i="11"/>
  <c r="S1141" i="11"/>
  <c r="T1141" i="11"/>
  <c r="S1139" i="11"/>
  <c r="T1139" i="11"/>
  <c r="S1138" i="11"/>
  <c r="T1138" i="11"/>
  <c r="S1136" i="11"/>
  <c r="T1136" i="11"/>
  <c r="T1133" i="11"/>
  <c r="S1133" i="11"/>
  <c r="S1126" i="11"/>
  <c r="T1126" i="11"/>
  <c r="S1125" i="11"/>
  <c r="T1125" i="11"/>
  <c r="S1124" i="11"/>
  <c r="T1124" i="11"/>
  <c r="T1122" i="11"/>
  <c r="S1122" i="11"/>
  <c r="T1121" i="11"/>
  <c r="S1121" i="11"/>
  <c r="S1120" i="11"/>
  <c r="T1120" i="11"/>
  <c r="S1116" i="11"/>
  <c r="T1116" i="11"/>
  <c r="S1113" i="11"/>
  <c r="T1113" i="11"/>
  <c r="S1112" i="11"/>
  <c r="T1112" i="11"/>
  <c r="S1108" i="11"/>
  <c r="T1108" i="11"/>
  <c r="T1106" i="11"/>
  <c r="S1106" i="11"/>
  <c r="T1105" i="11"/>
  <c r="S1105" i="11"/>
  <c r="S1103" i="11"/>
  <c r="T1103" i="11"/>
  <c r="T1102" i="11"/>
  <c r="S1102" i="11"/>
  <c r="T1101" i="11"/>
  <c r="S1101" i="11"/>
  <c r="S1098" i="11"/>
  <c r="T1098" i="11"/>
  <c r="S1096" i="11"/>
  <c r="T1096" i="11"/>
  <c r="T1093" i="11"/>
  <c r="S1093" i="11"/>
  <c r="T1092" i="11"/>
  <c r="S1092" i="11"/>
  <c r="S1091" i="11"/>
  <c r="T1091" i="11"/>
  <c r="T1089" i="11"/>
  <c r="S1089" i="11"/>
  <c r="S1087" i="11"/>
  <c r="T1087" i="11"/>
  <c r="T1086" i="11"/>
  <c r="S1086" i="11"/>
  <c r="S1085" i="11"/>
  <c r="T1085" i="11"/>
  <c r="T1081" i="11"/>
  <c r="S1081" i="11"/>
  <c r="S1080" i="11"/>
  <c r="T1080" i="11"/>
  <c r="S1079" i="11"/>
  <c r="T1079" i="11"/>
  <c r="S1076" i="11"/>
  <c r="T1076" i="11"/>
  <c r="S1075" i="11"/>
  <c r="T1075" i="11"/>
  <c r="T1073" i="11"/>
  <c r="S1073" i="11"/>
  <c r="S1072" i="11"/>
  <c r="T1072" i="11"/>
  <c r="T1071" i="11"/>
  <c r="S1071" i="11"/>
  <c r="T1070" i="11"/>
  <c r="S1070" i="11"/>
  <c r="S1068" i="11"/>
  <c r="T1068" i="11"/>
  <c r="S1066" i="11"/>
  <c r="T1066" i="11"/>
  <c r="T1065" i="11"/>
  <c r="S1065" i="11"/>
  <c r="S1062" i="11"/>
  <c r="T1062" i="11"/>
  <c r="S1060" i="11"/>
  <c r="T1060" i="11"/>
  <c r="T1058" i="11"/>
  <c r="S1058" i="11"/>
  <c r="T1056" i="11"/>
  <c r="S1056" i="11"/>
  <c r="T1054" i="11"/>
  <c r="S1054" i="11"/>
  <c r="T1053" i="11"/>
  <c r="S1053" i="11"/>
  <c r="S1051" i="11"/>
  <c r="T1051" i="11"/>
  <c r="S1050" i="11"/>
  <c r="T1050" i="11"/>
  <c r="T1048" i="11"/>
  <c r="S1048" i="11"/>
  <c r="S1047" i="11"/>
  <c r="T1047" i="11"/>
  <c r="T1045" i="11"/>
  <c r="S1045" i="11"/>
  <c r="T1042" i="11"/>
  <c r="S1042" i="11"/>
  <c r="S1039" i="11"/>
  <c r="T1039" i="11"/>
  <c r="S1037" i="11"/>
  <c r="T1037" i="11"/>
  <c r="T1034" i="11"/>
  <c r="S1034" i="11"/>
  <c r="S1032" i="11"/>
  <c r="T1032" i="11"/>
  <c r="S1027" i="11"/>
  <c r="T1027" i="11"/>
  <c r="T1025" i="11"/>
  <c r="S1025" i="11"/>
  <c r="S1024" i="11"/>
  <c r="T1024" i="11"/>
  <c r="T1022" i="11"/>
  <c r="S1022" i="11"/>
  <c r="S1020" i="11"/>
  <c r="T1020" i="11"/>
  <c r="T1018" i="11"/>
  <c r="S1018" i="11"/>
  <c r="S1009" i="11"/>
  <c r="T1009" i="11"/>
  <c r="T1008" i="11"/>
  <c r="S1008" i="11"/>
  <c r="S1007" i="11"/>
  <c r="T1007" i="11"/>
  <c r="T1005" i="11"/>
  <c r="S1005" i="11"/>
  <c r="T1003" i="11"/>
  <c r="S1003" i="11"/>
  <c r="T1002" i="11"/>
  <c r="S1002" i="11"/>
  <c r="S998" i="11"/>
  <c r="T998" i="11"/>
  <c r="T997" i="11"/>
  <c r="S997" i="11"/>
  <c r="S995" i="11"/>
  <c r="T995" i="11"/>
  <c r="S994" i="11"/>
  <c r="T994" i="11"/>
  <c r="T992" i="11"/>
  <c r="S992" i="11"/>
  <c r="T991" i="11"/>
  <c r="S991" i="11"/>
  <c r="T990" i="11"/>
  <c r="S990" i="11"/>
  <c r="T988" i="11"/>
  <c r="S988" i="11"/>
  <c r="S987" i="11"/>
  <c r="T987" i="11"/>
  <c r="S986" i="11"/>
  <c r="T986" i="11"/>
  <c r="T985" i="11"/>
  <c r="S985" i="11"/>
  <c r="S984" i="11"/>
  <c r="T984" i="11"/>
  <c r="S983" i="11"/>
  <c r="T983" i="11"/>
  <c r="S980" i="11"/>
  <c r="T980" i="11"/>
  <c r="S979" i="11"/>
  <c r="T979" i="11"/>
  <c r="T976" i="11"/>
  <c r="S976" i="11"/>
  <c r="S975" i="11"/>
  <c r="T975" i="11"/>
  <c r="T974" i="11"/>
  <c r="S974" i="11"/>
  <c r="T973" i="11"/>
  <c r="S973" i="11"/>
  <c r="S970" i="11"/>
  <c r="T970" i="11"/>
  <c r="S969" i="11"/>
  <c r="T969" i="11"/>
  <c r="S967" i="11"/>
  <c r="T967" i="11"/>
  <c r="T964" i="11"/>
  <c r="S964" i="11"/>
  <c r="S961" i="11"/>
  <c r="T961" i="11"/>
  <c r="S955" i="11"/>
  <c r="T955" i="11"/>
  <c r="S954" i="11"/>
  <c r="T954" i="11"/>
  <c r="S953" i="11"/>
  <c r="T953" i="11"/>
  <c r="T950" i="11"/>
  <c r="S950" i="11"/>
  <c r="T948" i="11"/>
  <c r="S948" i="11"/>
  <c r="S945" i="11"/>
  <c r="T945" i="11"/>
  <c r="T944" i="11"/>
  <c r="S944" i="11"/>
  <c r="S943" i="11"/>
  <c r="T943" i="11"/>
  <c r="T939" i="11"/>
  <c r="S939" i="11"/>
  <c r="S937" i="11"/>
  <c r="T937" i="11"/>
  <c r="S935" i="11"/>
  <c r="T935" i="11"/>
  <c r="T932" i="11"/>
  <c r="S932" i="11"/>
  <c r="S931" i="11"/>
  <c r="T931" i="11"/>
  <c r="T930" i="11"/>
  <c r="S930" i="11"/>
  <c r="S928" i="11"/>
  <c r="T928" i="11"/>
  <c r="S924" i="11"/>
  <c r="T924" i="11"/>
  <c r="T922" i="11"/>
  <c r="S922" i="11"/>
  <c r="T920" i="11"/>
  <c r="S920" i="11"/>
  <c r="S917" i="11"/>
  <c r="T917" i="11"/>
  <c r="S916" i="11"/>
  <c r="T916" i="11"/>
  <c r="S915" i="11"/>
  <c r="T915" i="11"/>
  <c r="T911" i="11"/>
  <c r="S911" i="11"/>
  <c r="S910" i="11"/>
  <c r="T910" i="11"/>
  <c r="T908" i="11"/>
  <c r="S908" i="11"/>
  <c r="S907" i="11"/>
  <c r="T907" i="11"/>
  <c r="S906" i="11"/>
  <c r="T906" i="11"/>
  <c r="S904" i="11"/>
  <c r="T904" i="11"/>
  <c r="S903" i="11"/>
  <c r="T903" i="11"/>
  <c r="S902" i="11"/>
  <c r="T902" i="11"/>
  <c r="S901" i="11"/>
  <c r="T901" i="11"/>
  <c r="T900" i="11"/>
  <c r="S900" i="11"/>
  <c r="S898" i="11"/>
  <c r="T898" i="11"/>
  <c r="T896" i="11"/>
  <c r="S896" i="11"/>
  <c r="S894" i="11"/>
  <c r="T894" i="11"/>
  <c r="S893" i="11"/>
  <c r="T893" i="11"/>
  <c r="S890" i="11"/>
  <c r="T890" i="11"/>
  <c r="S889" i="11"/>
  <c r="T889" i="11"/>
  <c r="S888" i="11"/>
  <c r="T888" i="11"/>
  <c r="S887" i="11"/>
  <c r="T887" i="11"/>
  <c r="S886" i="11"/>
  <c r="T886" i="11"/>
  <c r="S885" i="11"/>
  <c r="T885" i="11"/>
  <c r="S884" i="11"/>
  <c r="T884" i="11"/>
  <c r="S883" i="11"/>
  <c r="T883" i="11"/>
  <c r="S882" i="11"/>
  <c r="T882" i="11"/>
  <c r="S881" i="11"/>
  <c r="T881" i="11"/>
  <c r="S880" i="11"/>
  <c r="T880" i="11"/>
  <c r="S879" i="11"/>
  <c r="T879" i="11"/>
  <c r="S877" i="11"/>
  <c r="T877" i="11"/>
  <c r="S876" i="11"/>
  <c r="T876" i="11"/>
  <c r="S875" i="11"/>
  <c r="T875" i="11"/>
  <c r="S873" i="11"/>
  <c r="T873" i="11"/>
  <c r="S871" i="11"/>
  <c r="T871" i="11"/>
  <c r="S869" i="11"/>
  <c r="T869" i="11"/>
  <c r="S867" i="11"/>
  <c r="T867" i="11"/>
  <c r="T864" i="11"/>
  <c r="S864" i="11"/>
  <c r="S862" i="11"/>
  <c r="T862" i="11"/>
  <c r="T861" i="11"/>
  <c r="S861" i="11"/>
  <c r="S858" i="11"/>
  <c r="T858" i="11"/>
  <c r="S854" i="11"/>
  <c r="T854" i="11"/>
  <c r="S852" i="11"/>
  <c r="T852" i="11"/>
  <c r="T849" i="11"/>
  <c r="S849" i="11"/>
  <c r="S846" i="11"/>
  <c r="T846" i="11"/>
  <c r="T845" i="11"/>
  <c r="S845" i="11"/>
  <c r="S844" i="11"/>
  <c r="T844" i="11"/>
  <c r="S843" i="11"/>
  <c r="T843" i="11"/>
  <c r="T841" i="11"/>
  <c r="S841" i="11"/>
  <c r="S840" i="11"/>
  <c r="T840" i="11"/>
  <c r="S838" i="11"/>
  <c r="T838" i="11"/>
  <c r="S837" i="11"/>
  <c r="T837" i="11"/>
  <c r="S835" i="11"/>
  <c r="T835" i="11"/>
  <c r="S834" i="11"/>
  <c r="T834" i="11"/>
  <c r="S833" i="11"/>
  <c r="T833" i="11"/>
  <c r="T832" i="11"/>
  <c r="S832" i="11"/>
  <c r="S829" i="11"/>
  <c r="T829" i="11"/>
  <c r="S828" i="11"/>
  <c r="T828" i="11"/>
  <c r="T826" i="11"/>
  <c r="S826" i="11"/>
  <c r="T824" i="11"/>
  <c r="S824" i="11"/>
  <c r="T823" i="11"/>
  <c r="S823" i="11"/>
  <c r="T821" i="11"/>
  <c r="S821" i="11"/>
  <c r="S820" i="11"/>
  <c r="T820" i="11"/>
  <c r="T816" i="11"/>
  <c r="S816" i="11"/>
  <c r="S814" i="11"/>
  <c r="T814" i="11"/>
  <c r="S813" i="11"/>
  <c r="T813" i="11"/>
  <c r="S812" i="11"/>
  <c r="T812" i="11"/>
  <c r="T809" i="11"/>
  <c r="S809" i="11"/>
  <c r="T807" i="11"/>
  <c r="S807" i="11"/>
  <c r="S804" i="11"/>
  <c r="T804" i="11"/>
  <c r="T803" i="11"/>
  <c r="S803" i="11"/>
  <c r="S802" i="11"/>
  <c r="T802" i="11"/>
  <c r="T798" i="11"/>
  <c r="S798" i="11"/>
  <c r="T797" i="11"/>
  <c r="S797" i="11"/>
  <c r="S796" i="11"/>
  <c r="T796" i="11"/>
  <c r="T793" i="11"/>
  <c r="S793" i="11"/>
  <c r="T792" i="11"/>
  <c r="S792" i="11"/>
  <c r="T790" i="11"/>
  <c r="S790" i="11"/>
  <c r="S789" i="11"/>
  <c r="T789" i="11"/>
  <c r="T788" i="11"/>
  <c r="S788" i="11"/>
  <c r="T785" i="11"/>
  <c r="S785" i="11"/>
  <c r="S784" i="11"/>
  <c r="T784" i="11"/>
  <c r="S781" i="11"/>
  <c r="T781" i="11"/>
  <c r="S780" i="11"/>
  <c r="T780" i="11"/>
  <c r="T777" i="11"/>
  <c r="S777" i="11"/>
  <c r="S775" i="11"/>
  <c r="T775" i="11"/>
  <c r="S774" i="11"/>
  <c r="T774" i="11"/>
  <c r="S769" i="11"/>
  <c r="T769" i="11"/>
  <c r="T768" i="11"/>
  <c r="S768" i="11"/>
  <c r="T766" i="11"/>
  <c r="S766" i="11"/>
  <c r="S764" i="11"/>
  <c r="T764" i="11"/>
  <c r="S763" i="11"/>
  <c r="T763" i="11"/>
  <c r="S761" i="11"/>
  <c r="T761" i="11"/>
  <c r="S759" i="11"/>
  <c r="T759" i="11"/>
  <c r="T756" i="11"/>
  <c r="S756" i="11"/>
  <c r="S755" i="11"/>
  <c r="T755" i="11"/>
  <c r="S753" i="11"/>
  <c r="T753" i="11"/>
  <c r="S752" i="11"/>
  <c r="T752" i="11"/>
  <c r="T750" i="11"/>
  <c r="S750" i="11"/>
  <c r="S749" i="11"/>
  <c r="T749" i="11"/>
  <c r="S748" i="11"/>
  <c r="T748" i="11"/>
  <c r="S747" i="11"/>
  <c r="T747" i="11"/>
  <c r="S746" i="11"/>
  <c r="T746" i="11"/>
  <c r="S745" i="11"/>
  <c r="T745" i="11"/>
  <c r="S744" i="11"/>
  <c r="T744" i="11"/>
  <c r="S743" i="11"/>
  <c r="T743" i="11"/>
  <c r="S742" i="11"/>
  <c r="T742" i="11"/>
  <c r="S741" i="11"/>
  <c r="T741" i="11"/>
  <c r="S740" i="11"/>
  <c r="T740" i="11"/>
  <c r="S739" i="11"/>
  <c r="T739" i="11"/>
  <c r="S738" i="11"/>
  <c r="T738" i="11"/>
  <c r="S737" i="11"/>
  <c r="T737" i="11"/>
  <c r="S736" i="11"/>
  <c r="T736" i="11"/>
  <c r="S735" i="11"/>
  <c r="T735" i="11"/>
  <c r="S734" i="11"/>
  <c r="T734" i="11"/>
  <c r="S733" i="11"/>
  <c r="T733" i="11"/>
  <c r="S732" i="11"/>
  <c r="T732" i="11"/>
  <c r="S731" i="11"/>
  <c r="T731" i="11"/>
  <c r="S730" i="11"/>
  <c r="T730" i="11"/>
  <c r="S729" i="11"/>
  <c r="T729" i="11"/>
  <c r="S728" i="11"/>
  <c r="T728" i="11"/>
  <c r="S727" i="11"/>
  <c r="T727" i="11"/>
  <c r="S726" i="11"/>
  <c r="T726" i="11"/>
  <c r="S725" i="11"/>
  <c r="T725" i="11"/>
  <c r="S724" i="11"/>
  <c r="T724" i="11"/>
  <c r="S723" i="11"/>
  <c r="T723" i="11"/>
  <c r="S722" i="11"/>
  <c r="T722" i="11"/>
  <c r="S721" i="11"/>
  <c r="T721" i="11"/>
  <c r="S720" i="11"/>
  <c r="T720" i="11"/>
  <c r="S719" i="11"/>
  <c r="T719" i="11"/>
  <c r="S718" i="11"/>
  <c r="T718" i="11"/>
  <c r="S717" i="11"/>
  <c r="T717" i="11"/>
  <c r="S716" i="11"/>
  <c r="T716" i="11"/>
  <c r="S715" i="11"/>
  <c r="T715" i="11"/>
  <c r="S714" i="11"/>
  <c r="T714" i="11"/>
  <c r="S713" i="11"/>
  <c r="T713" i="11"/>
  <c r="S712" i="11"/>
  <c r="T712" i="11"/>
  <c r="S711" i="11"/>
  <c r="T711" i="11"/>
  <c r="S710" i="11"/>
  <c r="T710" i="11"/>
  <c r="S709" i="11"/>
  <c r="T709" i="11"/>
  <c r="S708" i="11"/>
  <c r="T708" i="11"/>
  <c r="S707" i="11"/>
  <c r="T707" i="11"/>
  <c r="S706" i="11"/>
  <c r="T706" i="11"/>
  <c r="S705" i="11"/>
  <c r="T705" i="11"/>
  <c r="T704" i="11"/>
  <c r="S704" i="11"/>
  <c r="S703" i="11"/>
  <c r="T703" i="11"/>
  <c r="S701" i="11"/>
  <c r="T701" i="11"/>
  <c r="S700" i="11"/>
  <c r="T700" i="11"/>
  <c r="S699" i="11"/>
  <c r="T699" i="11"/>
  <c r="S698" i="11"/>
  <c r="T698" i="11"/>
  <c r="S697" i="11"/>
  <c r="T697" i="11"/>
  <c r="S696" i="11"/>
  <c r="T696" i="11"/>
  <c r="S694" i="11"/>
  <c r="T694" i="11"/>
  <c r="S693" i="11"/>
  <c r="T693" i="11"/>
  <c r="T692" i="11"/>
  <c r="S692" i="11"/>
  <c r="S691" i="11"/>
  <c r="T691" i="11"/>
  <c r="S690" i="11"/>
  <c r="T690" i="11"/>
  <c r="S689" i="11"/>
  <c r="T689" i="11"/>
  <c r="S688" i="11"/>
  <c r="T688" i="11"/>
  <c r="S687" i="11"/>
  <c r="T687" i="11"/>
  <c r="S686" i="11"/>
  <c r="T686" i="11"/>
  <c r="S685" i="11"/>
  <c r="T685" i="11"/>
  <c r="S684" i="11"/>
  <c r="T684" i="11"/>
  <c r="S683" i="11"/>
  <c r="T683" i="11"/>
  <c r="T681" i="11"/>
  <c r="S681" i="11"/>
  <c r="T680" i="11"/>
  <c r="S680" i="11"/>
  <c r="T677" i="11"/>
  <c r="S677" i="11"/>
  <c r="S676" i="11"/>
  <c r="T676" i="11"/>
  <c r="S670" i="11"/>
  <c r="T670" i="11"/>
  <c r="T665" i="11"/>
  <c r="S665" i="11"/>
  <c r="S663" i="11"/>
  <c r="T663" i="11"/>
  <c r="S659" i="11"/>
  <c r="T659" i="11"/>
  <c r="S656" i="11"/>
  <c r="T656" i="11"/>
  <c r="S654" i="11"/>
  <c r="T654" i="11"/>
  <c r="S653" i="11"/>
  <c r="T653" i="11"/>
  <c r="S652" i="11"/>
  <c r="T652" i="11"/>
  <c r="S651" i="11"/>
  <c r="T651" i="11"/>
  <c r="T649" i="11"/>
  <c r="S649" i="11"/>
  <c r="S648" i="11"/>
  <c r="T648" i="11"/>
  <c r="S647" i="11"/>
  <c r="T647" i="11"/>
  <c r="S645" i="11"/>
  <c r="T645" i="11"/>
  <c r="S644" i="11"/>
  <c r="T644" i="11"/>
  <c r="S643" i="11"/>
  <c r="T643" i="11"/>
  <c r="T641" i="11"/>
  <c r="S641" i="11"/>
  <c r="S636" i="11"/>
  <c r="T636" i="11"/>
  <c r="S635" i="11"/>
  <c r="T635" i="11"/>
  <c r="S633" i="11"/>
  <c r="T633" i="11"/>
  <c r="S631" i="11"/>
  <c r="T631" i="11"/>
  <c r="S629" i="11"/>
  <c r="T629" i="11"/>
  <c r="S628" i="11"/>
  <c r="T628" i="11"/>
  <c r="S627" i="11"/>
  <c r="T627" i="11"/>
  <c r="S626" i="11"/>
  <c r="T626" i="11"/>
  <c r="T625" i="11"/>
  <c r="S625" i="11"/>
  <c r="S623" i="11"/>
  <c r="T623" i="11"/>
  <c r="S622" i="11"/>
  <c r="T622" i="11"/>
  <c r="T621" i="11"/>
  <c r="S621" i="11"/>
  <c r="S620" i="11"/>
  <c r="T620" i="11"/>
  <c r="S619" i="11"/>
  <c r="T619" i="11"/>
  <c r="S617" i="11"/>
  <c r="T617" i="11"/>
  <c r="S614" i="11"/>
  <c r="T614" i="11"/>
  <c r="S613" i="11"/>
  <c r="T613" i="11"/>
  <c r="S611" i="11"/>
  <c r="T611" i="11"/>
  <c r="S610" i="11"/>
  <c r="T610" i="11"/>
  <c r="S609" i="11"/>
  <c r="T609" i="11"/>
  <c r="S608" i="11"/>
  <c r="T608" i="11"/>
  <c r="S607" i="11"/>
  <c r="T607" i="11"/>
  <c r="S606" i="11"/>
  <c r="T606" i="11"/>
  <c r="S603" i="11"/>
  <c r="T603" i="11"/>
  <c r="T602" i="11"/>
  <c r="S602" i="11"/>
  <c r="S600" i="11"/>
  <c r="T600" i="11"/>
  <c r="S598" i="11"/>
  <c r="T598" i="11"/>
  <c r="S597" i="11"/>
  <c r="T597" i="11"/>
  <c r="S594" i="11"/>
  <c r="T594" i="11"/>
  <c r="S588" i="11"/>
  <c r="T588" i="11"/>
  <c r="T583" i="11"/>
  <c r="S583" i="11"/>
  <c r="S582" i="11"/>
  <c r="T582" i="11"/>
  <c r="T577" i="11"/>
  <c r="S577" i="11"/>
  <c r="T576" i="11"/>
  <c r="S576" i="11"/>
  <c r="S575" i="11"/>
  <c r="T575" i="11"/>
  <c r="S574" i="11"/>
  <c r="T574" i="11"/>
  <c r="S573" i="11"/>
  <c r="T573" i="11"/>
  <c r="S571" i="11"/>
  <c r="T571" i="11"/>
  <c r="S567" i="11"/>
  <c r="T567" i="11"/>
  <c r="S564" i="11"/>
  <c r="T564" i="11"/>
  <c r="T563" i="11"/>
  <c r="S563" i="11"/>
  <c r="T558" i="11"/>
  <c r="S558" i="11"/>
  <c r="S557" i="11"/>
  <c r="T557" i="11"/>
  <c r="T556" i="11"/>
  <c r="S556" i="11"/>
  <c r="T554" i="11"/>
  <c r="S554" i="11"/>
  <c r="S549" i="11"/>
  <c r="T549" i="11"/>
  <c r="S548" i="11"/>
  <c r="T548" i="11"/>
  <c r="S547" i="11"/>
  <c r="T547" i="11"/>
  <c r="S546" i="11"/>
  <c r="T546" i="11"/>
  <c r="S545" i="11"/>
  <c r="T545" i="11"/>
  <c r="S544" i="11"/>
  <c r="T544" i="11"/>
  <c r="S543" i="11"/>
  <c r="T543" i="11"/>
  <c r="S542" i="11"/>
  <c r="T542" i="11"/>
  <c r="S541" i="11"/>
  <c r="T541" i="11"/>
  <c r="S540" i="11"/>
  <c r="T540" i="11"/>
  <c r="S539" i="11"/>
  <c r="T539" i="11"/>
  <c r="T538" i="11"/>
  <c r="S538" i="11"/>
  <c r="S537" i="11"/>
  <c r="T537" i="11"/>
  <c r="S536" i="11"/>
  <c r="T536" i="11"/>
  <c r="S535" i="11"/>
  <c r="T535" i="11"/>
  <c r="T534" i="11"/>
  <c r="S534" i="11"/>
  <c r="S533" i="11"/>
  <c r="T533" i="11"/>
  <c r="S532" i="11"/>
  <c r="T532" i="11"/>
  <c r="S531" i="11"/>
  <c r="T531" i="11"/>
  <c r="S530" i="11"/>
  <c r="T530" i="11"/>
  <c r="S529" i="11"/>
  <c r="T529" i="11"/>
  <c r="T528" i="11"/>
  <c r="S528" i="11"/>
  <c r="T527" i="11"/>
  <c r="S527" i="11"/>
  <c r="T526" i="11"/>
  <c r="S526" i="11"/>
  <c r="T525" i="11"/>
  <c r="S525" i="11"/>
  <c r="S523" i="11"/>
  <c r="T523" i="11"/>
  <c r="T522" i="11"/>
  <c r="S522" i="11"/>
  <c r="S518" i="11"/>
  <c r="T518" i="11"/>
  <c r="T517" i="11"/>
  <c r="S517" i="11"/>
  <c r="S516" i="11"/>
  <c r="T516" i="11"/>
  <c r="T511" i="11"/>
  <c r="S511" i="11"/>
  <c r="T509" i="11"/>
  <c r="S509" i="11"/>
  <c r="T508" i="11"/>
  <c r="S508" i="11"/>
  <c r="T506" i="11"/>
  <c r="S506" i="11"/>
  <c r="S503" i="11"/>
  <c r="T503" i="11"/>
  <c r="T502" i="11"/>
  <c r="S502" i="11"/>
  <c r="T501" i="11"/>
  <c r="S501" i="11"/>
  <c r="S499" i="11"/>
  <c r="T499" i="11"/>
  <c r="S496" i="11"/>
  <c r="T496" i="11"/>
  <c r="S494" i="11"/>
  <c r="T494" i="11"/>
  <c r="S489" i="11"/>
  <c r="T489" i="11"/>
  <c r="S484" i="11"/>
  <c r="T484" i="11"/>
  <c r="S479" i="11"/>
  <c r="T479" i="11"/>
  <c r="S474" i="11"/>
  <c r="T474" i="11"/>
  <c r="S469" i="11"/>
  <c r="T469" i="11"/>
  <c r="S464" i="11"/>
  <c r="T464" i="11"/>
  <c r="S459" i="11"/>
  <c r="T459" i="11"/>
  <c r="S453" i="11"/>
  <c r="T453" i="11"/>
  <c r="S448" i="11"/>
  <c r="T448" i="11"/>
  <c r="S443" i="11"/>
  <c r="T443" i="11"/>
  <c r="S438" i="11"/>
  <c r="T438" i="11"/>
  <c r="S433" i="11"/>
  <c r="T433" i="11"/>
  <c r="S428" i="11"/>
  <c r="T428" i="11"/>
  <c r="S423" i="11"/>
  <c r="T423" i="11"/>
  <c r="S418" i="11"/>
  <c r="T418" i="11"/>
  <c r="S412" i="11"/>
  <c r="T412" i="11"/>
  <c r="S407" i="11"/>
  <c r="T407" i="11"/>
  <c r="S402" i="11"/>
  <c r="T402" i="11"/>
  <c r="S397" i="11"/>
  <c r="T397" i="11"/>
  <c r="S392" i="11"/>
  <c r="T392" i="11"/>
  <c r="S387" i="11"/>
  <c r="T387" i="11"/>
  <c r="S382" i="11"/>
  <c r="T382" i="11"/>
  <c r="S377" i="11"/>
  <c r="T377" i="11"/>
  <c r="S371" i="11"/>
  <c r="T371" i="11"/>
  <c r="S366" i="11"/>
  <c r="T366" i="11"/>
  <c r="S361" i="11"/>
  <c r="T361" i="11"/>
  <c r="S356" i="11"/>
  <c r="T356" i="11"/>
  <c r="S351" i="11"/>
  <c r="T351" i="11"/>
  <c r="S346" i="11"/>
  <c r="T346" i="11"/>
  <c r="S341" i="11"/>
  <c r="T341" i="11"/>
  <c r="S336" i="11"/>
  <c r="T336" i="11"/>
  <c r="S330" i="11"/>
  <c r="T330" i="11"/>
  <c r="S325" i="11"/>
  <c r="T325" i="11"/>
  <c r="S320" i="11"/>
  <c r="T320" i="11"/>
  <c r="S315" i="11"/>
  <c r="T315" i="11"/>
  <c r="S310" i="11"/>
  <c r="T310" i="11"/>
  <c r="S305" i="11"/>
  <c r="T305" i="11"/>
  <c r="S300" i="11"/>
  <c r="T300" i="11"/>
  <c r="S295" i="11"/>
  <c r="T295" i="11"/>
  <c r="S290" i="11"/>
  <c r="T290" i="11"/>
  <c r="S287" i="11"/>
  <c r="T287" i="11"/>
  <c r="S285" i="11"/>
  <c r="T285" i="11"/>
  <c r="S280" i="11"/>
  <c r="T280" i="11"/>
  <c r="S275" i="11"/>
  <c r="T275" i="11"/>
  <c r="S270" i="11"/>
  <c r="T270" i="11"/>
  <c r="S265" i="11"/>
  <c r="T265" i="11"/>
  <c r="S260" i="11"/>
  <c r="T260" i="11"/>
  <c r="S255" i="11"/>
  <c r="T255" i="11"/>
  <c r="S249" i="11"/>
  <c r="T249" i="11"/>
  <c r="S244" i="11"/>
  <c r="T244" i="11"/>
  <c r="S239" i="11"/>
  <c r="T239" i="11"/>
  <c r="S234" i="11"/>
  <c r="T234" i="11"/>
  <c r="S229" i="11"/>
  <c r="T229" i="11"/>
  <c r="S224" i="11"/>
  <c r="T224" i="11"/>
  <c r="S219" i="11"/>
  <c r="T219" i="11"/>
  <c r="S214" i="11"/>
  <c r="T214" i="11"/>
  <c r="S208" i="11"/>
  <c r="T208" i="11"/>
  <c r="S203" i="11"/>
  <c r="T203" i="11"/>
  <c r="S198" i="11"/>
  <c r="T198" i="11"/>
  <c r="S193" i="11"/>
  <c r="T193" i="11"/>
  <c r="S188" i="11"/>
  <c r="T188" i="11"/>
  <c r="S183" i="11"/>
  <c r="T183" i="11"/>
  <c r="S178" i="11"/>
  <c r="T178" i="11"/>
  <c r="S173" i="11"/>
  <c r="T173" i="11"/>
  <c r="S167" i="11"/>
  <c r="T167" i="11"/>
  <c r="S162" i="11"/>
  <c r="T162" i="11"/>
  <c r="S157" i="11"/>
  <c r="T157" i="11"/>
  <c r="S152" i="11"/>
  <c r="T152" i="11"/>
  <c r="S147" i="11"/>
  <c r="T147" i="11"/>
  <c r="S142" i="11"/>
  <c r="T142" i="11"/>
  <c r="S137" i="11"/>
  <c r="T137" i="11"/>
  <c r="S132" i="11"/>
  <c r="T132" i="11"/>
  <c r="S126" i="11"/>
  <c r="T126" i="11"/>
  <c r="S121" i="11"/>
  <c r="T121" i="11"/>
  <c r="S116" i="11"/>
  <c r="T116" i="11"/>
  <c r="S111" i="11"/>
  <c r="T111" i="11"/>
  <c r="S106" i="11"/>
  <c r="T106" i="11"/>
  <c r="S101" i="11"/>
  <c r="T101" i="11"/>
  <c r="S96" i="11"/>
  <c r="T96" i="11"/>
  <c r="S91" i="11"/>
  <c r="T91" i="11"/>
  <c r="U91" i="11" s="1"/>
  <c r="S85" i="11"/>
  <c r="T85" i="11"/>
  <c r="U85" i="11" s="1"/>
  <c r="S80" i="11"/>
  <c r="T80" i="11"/>
  <c r="U80" i="11" s="1"/>
  <c r="S75" i="11"/>
  <c r="T75" i="11"/>
  <c r="U75" i="11" s="1"/>
  <c r="S70" i="11"/>
  <c r="T70" i="11"/>
  <c r="U70" i="11" s="1"/>
  <c r="S65" i="11"/>
  <c r="T65" i="11"/>
  <c r="U65" i="11" s="1"/>
  <c r="S60" i="11"/>
  <c r="T60" i="11"/>
  <c r="U60" i="11" s="1"/>
  <c r="S55" i="11"/>
  <c r="T55" i="11"/>
  <c r="U55" i="11" s="1"/>
  <c r="S50" i="11"/>
  <c r="T50" i="11"/>
  <c r="U50" i="11" s="1"/>
  <c r="S44" i="11"/>
  <c r="T44" i="11"/>
  <c r="U44" i="11" s="1"/>
  <c r="S39" i="11"/>
  <c r="T39" i="11"/>
  <c r="U39" i="11" s="1"/>
  <c r="S34" i="11"/>
  <c r="T34" i="11"/>
  <c r="U34" i="11" s="1"/>
  <c r="S29" i="11"/>
  <c r="T29" i="11"/>
  <c r="U29" i="11" s="1"/>
  <c r="S24" i="11"/>
  <c r="T24" i="11"/>
  <c r="U24" i="11" s="1"/>
  <c r="S19" i="11"/>
  <c r="T19" i="11"/>
  <c r="U19" i="11" s="1"/>
  <c r="S14" i="11"/>
  <c r="T14" i="11"/>
  <c r="U14" i="11" s="1"/>
  <c r="S9" i="11"/>
  <c r="T9" i="11"/>
  <c r="U9" i="11" s="1"/>
  <c r="P6" i="11"/>
  <c r="P13" i="11"/>
  <c r="P20" i="11"/>
  <c r="P27" i="11"/>
  <c r="P33" i="11"/>
  <c r="P38" i="11"/>
  <c r="P44" i="11"/>
  <c r="P50" i="11"/>
  <c r="P57" i="11"/>
  <c r="P63" i="11"/>
  <c r="P73" i="11"/>
  <c r="P87" i="11"/>
  <c r="P101" i="11"/>
  <c r="P121" i="11"/>
  <c r="P133" i="11"/>
  <c r="P139" i="11"/>
  <c r="P144" i="11"/>
  <c r="P152" i="11"/>
  <c r="P157" i="11"/>
  <c r="P165" i="11"/>
  <c r="P170" i="11"/>
  <c r="P176" i="11"/>
  <c r="P184" i="11"/>
  <c r="P193" i="11"/>
  <c r="P202" i="11"/>
  <c r="P208" i="11"/>
  <c r="P213" i="11"/>
  <c r="P220" i="11"/>
  <c r="P241" i="11"/>
  <c r="P246" i="11"/>
  <c r="P253" i="11"/>
  <c r="P259" i="11"/>
  <c r="P274" i="11"/>
  <c r="P286" i="11"/>
  <c r="P292" i="11"/>
  <c r="P301" i="11"/>
  <c r="P308" i="11"/>
  <c r="P315" i="11"/>
  <c r="P334" i="11"/>
  <c r="P353" i="11"/>
  <c r="P363" i="11"/>
  <c r="P370" i="11"/>
  <c r="P376" i="11"/>
  <c r="P381" i="11"/>
  <c r="P388" i="11"/>
  <c r="P396" i="11"/>
  <c r="P397" i="11"/>
  <c r="P398" i="11"/>
  <c r="P399" i="11"/>
  <c r="P400" i="11"/>
  <c r="P401" i="11"/>
  <c r="P402" i="11"/>
  <c r="P403" i="11"/>
  <c r="P404" i="11"/>
  <c r="P405" i="11"/>
  <c r="P406" i="11"/>
  <c r="P407" i="11"/>
  <c r="P408" i="11"/>
  <c r="P409" i="11"/>
  <c r="P410" i="11"/>
  <c r="P411" i="11"/>
  <c r="P412" i="11"/>
  <c r="P413" i="11"/>
  <c r="P414" i="11"/>
  <c r="P415" i="11"/>
  <c r="P416" i="11"/>
  <c r="P417" i="11"/>
  <c r="P418" i="11"/>
  <c r="P419" i="11"/>
  <c r="P420" i="11"/>
  <c r="P421" i="11"/>
  <c r="P422" i="11"/>
  <c r="P423" i="11"/>
  <c r="P424" i="11"/>
  <c r="P425" i="11"/>
  <c r="P426" i="11"/>
  <c r="P427" i="11"/>
  <c r="P428" i="11"/>
  <c r="P429" i="11"/>
  <c r="P430" i="11"/>
  <c r="P431" i="11"/>
  <c r="P432" i="11"/>
  <c r="P433" i="11"/>
  <c r="P434" i="11"/>
  <c r="P435" i="11"/>
  <c r="P436" i="11"/>
  <c r="P437" i="11"/>
  <c r="P438" i="11"/>
  <c r="P439" i="11"/>
  <c r="P440" i="11"/>
  <c r="P441" i="11"/>
  <c r="P442" i="11"/>
  <c r="P443" i="11"/>
  <c r="P444" i="11"/>
  <c r="P445" i="11"/>
  <c r="P446" i="11"/>
  <c r="P447" i="11"/>
  <c r="P448" i="11"/>
  <c r="P449" i="11"/>
  <c r="P450" i="11"/>
  <c r="P452" i="11"/>
  <c r="P453" i="11"/>
  <c r="P454" i="11"/>
  <c r="P455" i="11"/>
  <c r="P456" i="11"/>
  <c r="P457" i="11"/>
  <c r="P458" i="11"/>
  <c r="P459" i="11"/>
  <c r="P460" i="11"/>
  <c r="P461" i="11"/>
  <c r="P462" i="11"/>
  <c r="P463" i="11"/>
  <c r="P464" i="11"/>
  <c r="P465" i="11"/>
  <c r="P466" i="11"/>
  <c r="P467" i="11"/>
  <c r="P468" i="11"/>
  <c r="P469" i="11"/>
  <c r="P470" i="11"/>
  <c r="P471" i="11"/>
  <c r="P472" i="11"/>
  <c r="P473" i="11"/>
  <c r="P474" i="11"/>
  <c r="P475" i="11"/>
  <c r="P476" i="11"/>
  <c r="P477" i="11"/>
  <c r="P478" i="11"/>
  <c r="P479" i="11"/>
  <c r="P480" i="11"/>
  <c r="P481" i="11"/>
  <c r="P482" i="11"/>
  <c r="P483" i="11"/>
  <c r="P484" i="11"/>
  <c r="P485" i="11"/>
  <c r="P486" i="11"/>
  <c r="P487" i="11"/>
  <c r="P488" i="11"/>
  <c r="P489" i="11"/>
  <c r="P490" i="11"/>
  <c r="P491" i="11"/>
  <c r="P492" i="11"/>
  <c r="P493" i="11"/>
  <c r="P494" i="11"/>
  <c r="P495" i="11"/>
  <c r="P497" i="11"/>
  <c r="P498" i="11"/>
  <c r="P499" i="11"/>
  <c r="P500" i="11"/>
  <c r="P8" i="11"/>
  <c r="P10" i="11"/>
  <c r="P14" i="11"/>
  <c r="P17" i="11"/>
  <c r="P21" i="11"/>
  <c r="P23" i="11"/>
  <c r="P28" i="11"/>
  <c r="P30" i="11"/>
  <c r="P35" i="11"/>
  <c r="P37" i="11"/>
  <c r="P43" i="11"/>
  <c r="P48" i="11"/>
  <c r="P51" i="11"/>
  <c r="P55" i="11"/>
  <c r="P58" i="11"/>
  <c r="P62" i="11"/>
  <c r="P65" i="11"/>
  <c r="P68" i="11"/>
  <c r="P71" i="11"/>
  <c r="P74" i="11"/>
  <c r="P77" i="11"/>
  <c r="P80" i="11"/>
  <c r="P82" i="11"/>
  <c r="P92" i="11"/>
  <c r="P94" i="11"/>
  <c r="P100" i="11"/>
  <c r="P105" i="11"/>
  <c r="P107" i="11"/>
  <c r="P111" i="11"/>
  <c r="P114" i="11"/>
  <c r="P118" i="11"/>
  <c r="P128" i="11"/>
  <c r="P131" i="11"/>
  <c r="P134" i="11"/>
  <c r="P141" i="11"/>
  <c r="P145" i="11"/>
  <c r="P149" i="11"/>
  <c r="P151" i="11"/>
  <c r="P156" i="11"/>
  <c r="P160" i="11"/>
  <c r="P163" i="11"/>
  <c r="P169" i="11"/>
  <c r="P172" i="11"/>
  <c r="P174" i="11"/>
  <c r="P180" i="11"/>
  <c r="P183" i="11"/>
  <c r="P187" i="11"/>
  <c r="P191" i="11"/>
  <c r="P197" i="11"/>
  <c r="P199" i="11"/>
  <c r="P206" i="11"/>
  <c r="P210" i="11"/>
  <c r="P212" i="11"/>
  <c r="P218" i="11"/>
  <c r="P222" i="11"/>
  <c r="P226" i="11"/>
  <c r="P230" i="11"/>
  <c r="P232" i="11"/>
  <c r="P238" i="11"/>
  <c r="P242" i="11"/>
  <c r="P244" i="11"/>
  <c r="P250" i="11"/>
  <c r="P252" i="11"/>
  <c r="P255" i="11"/>
  <c r="P258" i="11"/>
  <c r="P262" i="11"/>
  <c r="P265" i="11"/>
  <c r="P268" i="11"/>
  <c r="P272" i="11"/>
  <c r="P279" i="11"/>
  <c r="P281" i="11"/>
  <c r="P284" i="11"/>
  <c r="P289" i="11"/>
  <c r="P294" i="11"/>
  <c r="P296" i="11"/>
  <c r="P300" i="11"/>
  <c r="P304" i="11"/>
  <c r="P307" i="11"/>
  <c r="P311" i="11"/>
  <c r="P314" i="11"/>
  <c r="P318" i="11"/>
  <c r="P321" i="11"/>
  <c r="P326" i="11"/>
  <c r="P331" i="11"/>
  <c r="P332" i="11"/>
  <c r="P335" i="11"/>
  <c r="P338" i="11"/>
  <c r="P343" i="11"/>
  <c r="P347" i="11"/>
  <c r="P351" i="11"/>
  <c r="P355" i="11"/>
  <c r="P358" i="11"/>
  <c r="P360" i="11"/>
  <c r="P364" i="11"/>
  <c r="P366" i="11"/>
  <c r="P369" i="11"/>
  <c r="P372" i="11"/>
  <c r="P375" i="11"/>
  <c r="P380" i="11"/>
  <c r="P385" i="11"/>
  <c r="P389" i="11"/>
  <c r="P393" i="11"/>
  <c r="P395" i="11"/>
  <c r="P502" i="11"/>
  <c r="P514" i="11"/>
  <c r="P515" i="11"/>
  <c r="P516" i="11"/>
  <c r="P523" i="11"/>
  <c r="P569" i="11"/>
  <c r="P578" i="11"/>
  <c r="P585" i="11"/>
  <c r="P586" i="11"/>
  <c r="P588" i="11"/>
  <c r="P590" i="11"/>
  <c r="P593" i="11"/>
  <c r="P596" i="11"/>
  <c r="P615" i="11"/>
  <c r="P622" i="11"/>
  <c r="P626" i="11"/>
  <c r="P646" i="11"/>
  <c r="P654" i="11"/>
  <c r="P661" i="11"/>
  <c r="P664" i="11"/>
  <c r="P668" i="11"/>
  <c r="P672" i="11"/>
  <c r="P675" i="11"/>
  <c r="P682" i="11"/>
  <c r="P692" i="11"/>
  <c r="P766" i="11"/>
  <c r="P773" i="11"/>
  <c r="P786" i="11"/>
  <c r="P803" i="11"/>
  <c r="P821" i="11"/>
  <c r="P832" i="11"/>
  <c r="P858" i="11"/>
  <c r="P870" i="11"/>
  <c r="P893" i="11"/>
  <c r="P904" i="11"/>
  <c r="P910" i="11"/>
  <c r="P920" i="11"/>
  <c r="P932" i="11"/>
  <c r="P940" i="11"/>
  <c r="P947" i="11"/>
  <c r="P965" i="11"/>
  <c r="P989" i="11"/>
  <c r="P994" i="11"/>
  <c r="P996" i="11"/>
  <c r="P997" i="11"/>
  <c r="P1001" i="11"/>
  <c r="P1005" i="11"/>
  <c r="P1007" i="11"/>
  <c r="P1010" i="11"/>
  <c r="P1015" i="11"/>
  <c r="P1019" i="11"/>
  <c r="P1020" i="11"/>
  <c r="P1022" i="11"/>
  <c r="P1024" i="11"/>
  <c r="P1026" i="11"/>
  <c r="P1027" i="11"/>
  <c r="P1030" i="11"/>
  <c r="P1031" i="11"/>
  <c r="P1032" i="11"/>
  <c r="P1035" i="11"/>
  <c r="P1038" i="11"/>
  <c r="P1039" i="11"/>
  <c r="P1042" i="11"/>
  <c r="P1044" i="11"/>
  <c r="P1046" i="11"/>
  <c r="P1049" i="11"/>
  <c r="P1056" i="11"/>
  <c r="P1057" i="11"/>
  <c r="P1058" i="11"/>
  <c r="P1061" i="11"/>
  <c r="P1063" i="11"/>
  <c r="P1065" i="11"/>
  <c r="P1066" i="11"/>
  <c r="P1068" i="11"/>
  <c r="P1069" i="11"/>
  <c r="P1071" i="11"/>
  <c r="P1072" i="11"/>
  <c r="P1074" i="11"/>
  <c r="P1075" i="11"/>
  <c r="P1076" i="11"/>
  <c r="P1081" i="11"/>
  <c r="P1083" i="11"/>
  <c r="P1084" i="11"/>
  <c r="P1085" i="11"/>
  <c r="P1087" i="11"/>
  <c r="P1089" i="11"/>
  <c r="P1090" i="11"/>
  <c r="P1093" i="11"/>
  <c r="P1094" i="11"/>
  <c r="P1096" i="11"/>
  <c r="P1098" i="11"/>
  <c r="P1099" i="11"/>
  <c r="P1101" i="11"/>
  <c r="P1103" i="11"/>
  <c r="P1104" i="11"/>
  <c r="P1106" i="11"/>
  <c r="P1112" i="11"/>
  <c r="P1114" i="11"/>
  <c r="P1115" i="11"/>
  <c r="P1116" i="11"/>
  <c r="P1117" i="11"/>
  <c r="P1120" i="11"/>
  <c r="P1121" i="11"/>
  <c r="P1122" i="11"/>
  <c r="P1127" i="11"/>
  <c r="P1130" i="11"/>
  <c r="P1131" i="11"/>
  <c r="P1132" i="11"/>
  <c r="P1136" i="11"/>
  <c r="P1138" i="11"/>
  <c r="P1139" i="11"/>
  <c r="P1140" i="11"/>
  <c r="P1145" i="11"/>
  <c r="P1146" i="11"/>
  <c r="P1152" i="11"/>
  <c r="P1154" i="11"/>
  <c r="P1156" i="11"/>
  <c r="P1162" i="11"/>
  <c r="P1163" i="11"/>
  <c r="P1165" i="11"/>
  <c r="P1166" i="11"/>
  <c r="P1168" i="11"/>
  <c r="P1172" i="11"/>
  <c r="P1173" i="11"/>
  <c r="P1176" i="11"/>
  <c r="P1178" i="11"/>
  <c r="P1184" i="11"/>
  <c r="P1185" i="11"/>
  <c r="P1186" i="11"/>
  <c r="P1188" i="11"/>
  <c r="P1189" i="11"/>
  <c r="P1190" i="11"/>
  <c r="P1192" i="11"/>
  <c r="P1193" i="11"/>
  <c r="P1194" i="11"/>
  <c r="P1202" i="11"/>
  <c r="P1205" i="11"/>
  <c r="P1207" i="11"/>
  <c r="P1208" i="11"/>
  <c r="P1209" i="11"/>
  <c r="P3" i="11"/>
  <c r="P9" i="11"/>
  <c r="P16" i="11"/>
  <c r="P22" i="11"/>
  <c r="P29" i="11"/>
  <c r="P34" i="11"/>
  <c r="P53" i="11"/>
  <c r="P66" i="11"/>
  <c r="P72" i="11"/>
  <c r="P79" i="11"/>
  <c r="P86" i="11"/>
  <c r="P90" i="11"/>
  <c r="P96" i="11"/>
  <c r="P102" i="11"/>
  <c r="P109" i="11"/>
  <c r="P116" i="11"/>
  <c r="P122" i="11"/>
  <c r="P137" i="11"/>
  <c r="P148" i="11"/>
  <c r="P155" i="11"/>
  <c r="P166" i="11"/>
  <c r="P171" i="11"/>
  <c r="P178" i="11"/>
  <c r="P190" i="11"/>
  <c r="P196" i="11"/>
  <c r="P203" i="11"/>
  <c r="P216" i="11"/>
  <c r="P223" i="11"/>
  <c r="P229" i="11"/>
  <c r="P235" i="11"/>
  <c r="P249" i="11"/>
  <c r="P263" i="11"/>
  <c r="P270" i="11"/>
  <c r="P278" i="11"/>
  <c r="P290" i="11"/>
  <c r="P316" i="11"/>
  <c r="P322" i="11"/>
  <c r="P328" i="11"/>
  <c r="P340" i="11"/>
  <c r="P345" i="11"/>
  <c r="P354" i="11"/>
  <c r="P368" i="11"/>
  <c r="P374" i="11"/>
  <c r="P383" i="11"/>
  <c r="P391" i="11"/>
  <c r="P501" i="11"/>
  <c r="P508" i="11"/>
  <c r="P527" i="11"/>
  <c r="P560" i="11"/>
  <c r="P582" i="11"/>
  <c r="P587" i="11"/>
  <c r="P592" i="11"/>
  <c r="P595" i="11"/>
  <c r="P669" i="11"/>
  <c r="P679" i="11"/>
  <c r="P770" i="11"/>
  <c r="P799" i="11"/>
  <c r="P842" i="11"/>
  <c r="P892" i="11"/>
  <c r="P969" i="11"/>
  <c r="P1229" i="11"/>
  <c r="P1236" i="11"/>
  <c r="P1240" i="11"/>
  <c r="P1244" i="11"/>
  <c r="P1248" i="11"/>
  <c r="P1535" i="11"/>
  <c r="P1541" i="11"/>
  <c r="P1564" i="11"/>
  <c r="P1572" i="11"/>
  <c r="P1591" i="11"/>
  <c r="P1613" i="11"/>
  <c r="P1629" i="11"/>
  <c r="P1646" i="11"/>
  <c r="P1655" i="11"/>
  <c r="P1667" i="11"/>
  <c r="P1676" i="11"/>
  <c r="P1685" i="11"/>
  <c r="P1703" i="11"/>
  <c r="P1708" i="11"/>
  <c r="P1711" i="11"/>
  <c r="P1723" i="11"/>
  <c r="P1745" i="11"/>
  <c r="P1759" i="11"/>
  <c r="P1763" i="11"/>
  <c r="P1772" i="11"/>
  <c r="P1788" i="11"/>
  <c r="P1799" i="11"/>
  <c r="P1858" i="11"/>
  <c r="P1904" i="11"/>
  <c r="P1916" i="11"/>
  <c r="P1919" i="11"/>
  <c r="P4" i="11"/>
  <c r="P7" i="11"/>
  <c r="P11" i="11"/>
  <c r="P15" i="11"/>
  <c r="P26" i="11"/>
  <c r="P36" i="11"/>
  <c r="P39" i="11"/>
  <c r="P42" i="11"/>
  <c r="P45" i="11"/>
  <c r="P49" i="11"/>
  <c r="P52" i="11"/>
  <c r="P56" i="11"/>
  <c r="P60" i="11"/>
  <c r="P67" i="11"/>
  <c r="P69" i="11"/>
  <c r="P76" i="11"/>
  <c r="P81" i="11"/>
  <c r="P85" i="11"/>
  <c r="P89" i="11"/>
  <c r="P93" i="11"/>
  <c r="P97" i="11"/>
  <c r="P99" i="11"/>
  <c r="P104" i="11"/>
  <c r="P106" i="11"/>
  <c r="P110" i="11"/>
  <c r="P112" i="11"/>
  <c r="P117" i="11"/>
  <c r="P119" i="11"/>
  <c r="P123" i="11"/>
  <c r="P127" i="11"/>
  <c r="P130" i="11"/>
  <c r="P135" i="11"/>
  <c r="P138" i="11"/>
  <c r="P143" i="11"/>
  <c r="P146" i="11"/>
  <c r="P150" i="11"/>
  <c r="P154" i="11"/>
  <c r="P159" i="11"/>
  <c r="P162" i="11"/>
  <c r="P164" i="11"/>
  <c r="P167" i="11"/>
  <c r="P173" i="11"/>
  <c r="P175" i="11"/>
  <c r="P179" i="11"/>
  <c r="P182" i="11"/>
  <c r="P185" i="11"/>
  <c r="P189" i="11"/>
  <c r="P195" i="11"/>
  <c r="P198" i="11"/>
  <c r="P204" i="11"/>
  <c r="P209" i="11"/>
  <c r="P214" i="11"/>
  <c r="P217" i="11"/>
  <c r="P221" i="11"/>
  <c r="P225" i="11"/>
  <c r="P227" i="11"/>
  <c r="P231" i="11"/>
  <c r="P234" i="11"/>
  <c r="P236" i="11"/>
  <c r="P239" i="11"/>
  <c r="P243" i="11"/>
  <c r="P248" i="11"/>
  <c r="P251" i="11"/>
  <c r="P254" i="11"/>
  <c r="P256" i="11"/>
  <c r="P261" i="11"/>
  <c r="P264" i="11"/>
  <c r="P267" i="11"/>
  <c r="P271" i="11"/>
  <c r="P273" i="11"/>
  <c r="P277" i="11"/>
  <c r="P280" i="11"/>
  <c r="P285" i="11"/>
  <c r="P287" i="11"/>
  <c r="P293" i="11"/>
  <c r="P295" i="11"/>
  <c r="P299" i="11"/>
  <c r="P302" i="11"/>
  <c r="P306" i="11"/>
  <c r="P309" i="11"/>
  <c r="P312" i="11"/>
  <c r="P320" i="11"/>
  <c r="P324" i="11"/>
  <c r="P327" i="11"/>
  <c r="P330" i="11"/>
  <c r="P333" i="11"/>
  <c r="P339" i="11"/>
  <c r="P342" i="11"/>
  <c r="P344" i="11"/>
  <c r="P346" i="11"/>
  <c r="P349" i="11"/>
  <c r="P352" i="11"/>
  <c r="P359" i="11"/>
  <c r="P362" i="11"/>
  <c r="P371" i="11"/>
  <c r="P379" i="11"/>
  <c r="P382" i="11"/>
  <c r="P386" i="11"/>
  <c r="P392" i="11"/>
  <c r="P394" i="11"/>
  <c r="P506" i="11"/>
  <c r="P507" i="11"/>
  <c r="P512" i="11"/>
  <c r="P522" i="11"/>
  <c r="P528" i="11"/>
  <c r="P579" i="11"/>
  <c r="P597" i="11"/>
  <c r="P601" i="11"/>
  <c r="P618" i="11"/>
  <c r="P658" i="11"/>
  <c r="P660" i="11"/>
  <c r="P684" i="11"/>
  <c r="P758" i="11"/>
  <c r="P769" i="11"/>
  <c r="P795" i="11"/>
  <c r="P809" i="11"/>
  <c r="P820" i="11"/>
  <c r="P836" i="11"/>
  <c r="P872" i="11"/>
  <c r="P874" i="11"/>
  <c r="P895" i="11"/>
  <c r="P924" i="11"/>
  <c r="P944" i="11"/>
  <c r="P957" i="11"/>
  <c r="P962" i="11"/>
  <c r="P981" i="11"/>
  <c r="P1216" i="11"/>
  <c r="P1220" i="11"/>
  <c r="P1223" i="11"/>
  <c r="P1224" i="11"/>
  <c r="P1228" i="11"/>
  <c r="P1233" i="11"/>
  <c r="P1234" i="11"/>
  <c r="P1235" i="11"/>
  <c r="P1238" i="11"/>
  <c r="P1242" i="11"/>
  <c r="P1245" i="11"/>
  <c r="P1250" i="11"/>
  <c r="P1251" i="11"/>
  <c r="P1252" i="11"/>
  <c r="P1253" i="11"/>
  <c r="P1264" i="11"/>
  <c r="P1504" i="11"/>
  <c r="P1539" i="11"/>
  <c r="P1543" i="11"/>
  <c r="P1546" i="11"/>
  <c r="P1553" i="11"/>
  <c r="P1561" i="11"/>
  <c r="P1565" i="11"/>
  <c r="P1574" i="11"/>
  <c r="P1576" i="11"/>
  <c r="P1579" i="11"/>
  <c r="P1583" i="11"/>
  <c r="P1585" i="11"/>
  <c r="P1589" i="11"/>
  <c r="P1590" i="11"/>
  <c r="P1596" i="11"/>
  <c r="P1601" i="11"/>
  <c r="P1607" i="11"/>
  <c r="P1609" i="11"/>
  <c r="P1611" i="11"/>
  <c r="P1612" i="11"/>
  <c r="P1620" i="11"/>
  <c r="P1621" i="11"/>
  <c r="P1624" i="11"/>
  <c r="P1626" i="11"/>
  <c r="P1628" i="11"/>
  <c r="P1631" i="11"/>
  <c r="P1632" i="11"/>
  <c r="P1637" i="11"/>
  <c r="P1641" i="11"/>
  <c r="P1651" i="11"/>
  <c r="P1656" i="11"/>
  <c r="P1662" i="11"/>
  <c r="P1666" i="11"/>
  <c r="P1669" i="11"/>
  <c r="P1683" i="11"/>
  <c r="P1684" i="11"/>
  <c r="P1686" i="11"/>
  <c r="P1691" i="11"/>
  <c r="P1694" i="11"/>
  <c r="P1702" i="11"/>
  <c r="P1707" i="11"/>
  <c r="P1710" i="11"/>
  <c r="P1727" i="11"/>
  <c r="P1743" i="11"/>
  <c r="P1746" i="11"/>
  <c r="P1756" i="11"/>
  <c r="P1766" i="11"/>
  <c r="P1774" i="11"/>
  <c r="P1778" i="11"/>
  <c r="P1781" i="11"/>
  <c r="P1782" i="11"/>
  <c r="P1783" i="11"/>
  <c r="P1785" i="11"/>
  <c r="P1789" i="11"/>
  <c r="P1794" i="11"/>
  <c r="P1795" i="11"/>
  <c r="P1869" i="11"/>
  <c r="P1885" i="11"/>
  <c r="P1902" i="11"/>
  <c r="P1929" i="11"/>
  <c r="P5" i="11"/>
  <c r="P18" i="11"/>
  <c r="P24" i="11"/>
  <c r="P31" i="11"/>
  <c r="P41" i="11"/>
  <c r="P47" i="11"/>
  <c r="P54" i="11"/>
  <c r="P61" i="11"/>
  <c r="P78" i="11"/>
  <c r="P84" i="11"/>
  <c r="P88" i="11"/>
  <c r="P95" i="11"/>
  <c r="P103" i="11"/>
  <c r="P115" i="11"/>
  <c r="P125" i="11"/>
  <c r="P129" i="11"/>
  <c r="P136" i="11"/>
  <c r="P142" i="11"/>
  <c r="P147" i="11"/>
  <c r="P153" i="11"/>
  <c r="P161" i="11"/>
  <c r="P168" i="11"/>
  <c r="P177" i="11"/>
  <c r="P188" i="11"/>
  <c r="P194" i="11"/>
  <c r="P201" i="11"/>
  <c r="P207" i="11"/>
  <c r="P215" i="11"/>
  <c r="P224" i="11"/>
  <c r="P240" i="11"/>
  <c r="P247" i="11"/>
  <c r="P260" i="11"/>
  <c r="P266" i="11"/>
  <c r="P276" i="11"/>
  <c r="P282" i="11"/>
  <c r="P288" i="11"/>
  <c r="P297" i="11"/>
  <c r="P313" i="11"/>
  <c r="P319" i="11"/>
  <c r="P329" i="11"/>
  <c r="P336" i="11"/>
  <c r="P341" i="11"/>
  <c r="P348" i="11"/>
  <c r="P356" i="11"/>
  <c r="P361" i="11"/>
  <c r="P367" i="11"/>
  <c r="P373" i="11"/>
  <c r="P378" i="11"/>
  <c r="P384" i="11"/>
  <c r="P390" i="11"/>
  <c r="P511" i="11"/>
  <c r="P517" i="11"/>
  <c r="P526" i="11"/>
  <c r="P554" i="11"/>
  <c r="P576" i="11"/>
  <c r="P589" i="11"/>
  <c r="P642" i="11"/>
  <c r="P666" i="11"/>
  <c r="P671" i="11"/>
  <c r="P686" i="11"/>
  <c r="P702" i="11"/>
  <c r="P780" i="11"/>
  <c r="P828" i="11"/>
  <c r="P839" i="11"/>
  <c r="P973" i="11"/>
  <c r="P985" i="11"/>
  <c r="P1221" i="11"/>
  <c r="P1237" i="11"/>
  <c r="P1239" i="11"/>
  <c r="P1255" i="11"/>
  <c r="P1538" i="11"/>
  <c r="P1570" i="11"/>
  <c r="P1573" i="11"/>
  <c r="P1577" i="11"/>
  <c r="P1584" i="11"/>
  <c r="P1593" i="11"/>
  <c r="P1614" i="11"/>
  <c r="P1622" i="11"/>
  <c r="P1627" i="11"/>
  <c r="P1644" i="11"/>
  <c r="P1649" i="11"/>
  <c r="P1654" i="11"/>
  <c r="P1659" i="11"/>
  <c r="P1664" i="11"/>
  <c r="P1675" i="11"/>
  <c r="P1678" i="11"/>
  <c r="P1697" i="11"/>
  <c r="P1705" i="11"/>
  <c r="P1709" i="11"/>
  <c r="P1718" i="11"/>
  <c r="P1730" i="11"/>
  <c r="P1753" i="11"/>
  <c r="P1762" i="11"/>
  <c r="P1765" i="11"/>
  <c r="P1776" i="11"/>
  <c r="P1780" i="11"/>
  <c r="P1797" i="11"/>
  <c r="P1867" i="11"/>
  <c r="P1884" i="11"/>
  <c r="P1888" i="11"/>
  <c r="P1915" i="11"/>
  <c r="P1918" i="11"/>
  <c r="P1926" i="11"/>
  <c r="P1927" i="11"/>
  <c r="P12" i="11"/>
  <c r="P19" i="11"/>
  <c r="P25" i="11"/>
  <c r="P32" i="11"/>
  <c r="P40" i="11"/>
  <c r="P46" i="11"/>
  <c r="P59" i="11"/>
  <c r="P64" i="11"/>
  <c r="P70" i="11"/>
  <c r="P75" i="11"/>
  <c r="P83" i="11"/>
  <c r="P91" i="11"/>
  <c r="P98" i="11"/>
  <c r="P108" i="11"/>
  <c r="P113" i="11"/>
  <c r="P120" i="11"/>
  <c r="P126" i="11"/>
  <c r="P132" i="11"/>
  <c r="P140" i="11"/>
  <c r="P158" i="11"/>
  <c r="P181" i="11"/>
  <c r="P186" i="11"/>
  <c r="P192" i="11"/>
  <c r="P200" i="11"/>
  <c r="P205" i="11"/>
  <c r="P211" i="11"/>
  <c r="P219" i="11"/>
  <c r="P228" i="11"/>
  <c r="P233" i="11"/>
  <c r="P237" i="11"/>
  <c r="P245" i="11"/>
  <c r="P257" i="11"/>
  <c r="P269" i="11"/>
  <c r="P275" i="11"/>
  <c r="P283" i="11"/>
  <c r="P291" i="11"/>
  <c r="P298" i="11"/>
  <c r="P305" i="11"/>
  <c r="P310" i="11"/>
  <c r="P317" i="11"/>
  <c r="P325" i="11"/>
  <c r="P337" i="11"/>
  <c r="P350" i="11"/>
  <c r="P357" i="11"/>
  <c r="P365" i="11"/>
  <c r="P377" i="11"/>
  <c r="P387" i="11"/>
  <c r="P525" i="11"/>
  <c r="P580" i="11"/>
  <c r="P594" i="11"/>
  <c r="P611" i="11"/>
  <c r="P667" i="11"/>
  <c r="P691" i="11"/>
  <c r="P754" i="11"/>
  <c r="P794" i="11"/>
  <c r="P806" i="11"/>
  <c r="P834" i="11"/>
  <c r="P857" i="11"/>
  <c r="P876" i="11"/>
  <c r="P912" i="11"/>
  <c r="P959" i="11"/>
  <c r="P1222" i="11"/>
  <c r="P1232" i="11"/>
  <c r="P1241" i="11"/>
  <c r="P1501" i="11"/>
  <c r="P1540" i="11"/>
  <c r="P1549" i="11"/>
  <c r="P1567" i="11"/>
  <c r="P1575" i="11"/>
  <c r="P1586" i="11"/>
  <c r="P1597" i="11"/>
  <c r="P1663" i="11"/>
  <c r="P1671" i="11"/>
  <c r="P1692" i="11"/>
  <c r="P1714" i="11"/>
  <c r="P1731" i="11"/>
  <c r="P2" i="11"/>
  <c r="P553" i="11"/>
  <c r="P565" i="11"/>
  <c r="P604" i="11"/>
  <c r="P612" i="11"/>
  <c r="P640" i="11"/>
  <c r="P760" i="11"/>
  <c r="P762" i="11"/>
  <c r="P765" i="11"/>
  <c r="P768" i="11"/>
  <c r="P772" i="11"/>
  <c r="P776" i="11"/>
  <c r="P778" i="11"/>
  <c r="P779" i="11"/>
  <c r="P782" i="11"/>
  <c r="P783" i="11"/>
  <c r="P785" i="11"/>
  <c r="P787" i="11"/>
  <c r="P790" i="11"/>
  <c r="P792" i="11"/>
  <c r="P793" i="11"/>
  <c r="P797" i="11"/>
  <c r="P800" i="11"/>
  <c r="P801" i="11"/>
  <c r="P805" i="11"/>
  <c r="P808" i="11"/>
  <c r="P810" i="11"/>
  <c r="P811" i="11"/>
  <c r="P815" i="11"/>
  <c r="P818" i="11"/>
  <c r="P819" i="11"/>
  <c r="P823" i="11"/>
  <c r="P824" i="11"/>
  <c r="P825" i="11"/>
  <c r="P826" i="11"/>
  <c r="P827" i="11"/>
  <c r="P831" i="11"/>
  <c r="P841" i="11"/>
  <c r="P846" i="11"/>
  <c r="P847" i="11"/>
  <c r="P848" i="11"/>
  <c r="P850" i="11"/>
  <c r="P851" i="11"/>
  <c r="P853" i="11"/>
  <c r="P855" i="11"/>
  <c r="P859" i="11"/>
  <c r="P860" i="11"/>
  <c r="P863" i="11"/>
  <c r="P865" i="11"/>
  <c r="P868" i="11"/>
  <c r="P873" i="11"/>
  <c r="P897" i="11"/>
  <c r="P899" i="11"/>
  <c r="P905" i="11"/>
  <c r="P909" i="11"/>
  <c r="P913" i="11"/>
  <c r="P914" i="11"/>
  <c r="P919" i="11"/>
  <c r="P922" i="11"/>
  <c r="P923" i="11"/>
  <c r="P925" i="11"/>
  <c r="P927" i="11"/>
  <c r="P930" i="11"/>
  <c r="P933" i="11"/>
  <c r="P934" i="11"/>
  <c r="P938" i="11"/>
  <c r="P941" i="11"/>
  <c r="P942" i="11"/>
  <c r="P946" i="11"/>
  <c r="P949" i="11"/>
  <c r="P951" i="11"/>
  <c r="P952" i="11"/>
  <c r="P956" i="11"/>
  <c r="P964" i="11"/>
  <c r="P966" i="11"/>
  <c r="P967" i="11"/>
  <c r="P968" i="11"/>
  <c r="P972" i="11"/>
  <c r="P986" i="11"/>
  <c r="P988" i="11"/>
  <c r="P992" i="11"/>
  <c r="P993" i="11"/>
  <c r="P509" i="11"/>
  <c r="P524" i="11"/>
  <c r="P572" i="11"/>
  <c r="P624" i="11"/>
  <c r="P625" i="11"/>
  <c r="P1013" i="11"/>
  <c r="P1025" i="11"/>
  <c r="P1088" i="11"/>
  <c r="P1153" i="11"/>
  <c r="P1195" i="11"/>
  <c r="P1215" i="11"/>
  <c r="P1217" i="11"/>
  <c r="P1218" i="11"/>
  <c r="P1259" i="11"/>
  <c r="P510" i="11"/>
  <c r="P634" i="11"/>
  <c r="P751" i="11"/>
  <c r="P1113" i="11"/>
  <c r="P1126" i="11"/>
  <c r="P1133" i="11"/>
  <c r="P1157" i="11"/>
  <c r="P1551" i="11"/>
  <c r="P1558" i="11"/>
  <c r="P1568" i="11"/>
  <c r="P1599" i="11"/>
  <c r="P1604" i="11"/>
  <c r="P1608" i="11"/>
  <c r="P1634" i="11"/>
  <c r="P1740" i="11"/>
  <c r="P1764" i="11"/>
  <c r="P1856" i="11"/>
  <c r="P1861" i="11"/>
  <c r="P1871" i="11"/>
  <c r="P1875" i="11"/>
  <c r="P1883" i="11"/>
  <c r="P1886" i="11"/>
  <c r="P1905" i="11"/>
  <c r="P1925" i="11"/>
  <c r="P1930" i="11"/>
  <c r="P513" i="11"/>
  <c r="P559" i="11"/>
  <c r="P570" i="11"/>
  <c r="P584" i="11"/>
  <c r="P650" i="11"/>
  <c r="P652" i="11"/>
  <c r="P678" i="11"/>
  <c r="P1000" i="11"/>
  <c r="P1004" i="11"/>
  <c r="P1011" i="11"/>
  <c r="P1102" i="11"/>
  <c r="P1110" i="11"/>
  <c r="P1175" i="11"/>
  <c r="P1200" i="11"/>
  <c r="P1225" i="11"/>
  <c r="P1226" i="11"/>
  <c r="P1231" i="11"/>
  <c r="P1533" i="11"/>
  <c r="P1534" i="11"/>
  <c r="P1548" i="11"/>
  <c r="P1560" i="11"/>
  <c r="P1592" i="11"/>
  <c r="P1658" i="11"/>
  <c r="P1668" i="11"/>
  <c r="P1712" i="11"/>
  <c r="P1713" i="11"/>
  <c r="P1729" i="11"/>
  <c r="P1769" i="11"/>
  <c r="P1773" i="11"/>
  <c r="P1777" i="11"/>
  <c r="P1784" i="11"/>
  <c r="P1787" i="11"/>
  <c r="P1790" i="11"/>
  <c r="P1860" i="11"/>
  <c r="P1864" i="11"/>
  <c r="P1882" i="11"/>
  <c r="P1890" i="11"/>
  <c r="P1891" i="11"/>
  <c r="P1896" i="11"/>
  <c r="P1900" i="11"/>
  <c r="P1909" i="11"/>
  <c r="P1923" i="11"/>
  <c r="P562" i="11"/>
  <c r="P591" i="11"/>
  <c r="P605" i="11"/>
  <c r="P616" i="11"/>
  <c r="P1037" i="11"/>
  <c r="P1045" i="11"/>
  <c r="P1091" i="11"/>
  <c r="P1092" i="11"/>
  <c r="P1134" i="11"/>
  <c r="P1160" i="11"/>
  <c r="P1203" i="11"/>
  <c r="P1204" i="11"/>
  <c r="P1258" i="11"/>
  <c r="P1542" i="11"/>
  <c r="P1562" i="11"/>
  <c r="P1606" i="11"/>
  <c r="P1618" i="11"/>
  <c r="P1625" i="11"/>
  <c r="P1640" i="11"/>
  <c r="P1643" i="11"/>
  <c r="P1701" i="11"/>
  <c r="P1716" i="11"/>
  <c r="P1742" i="11"/>
  <c r="P1755" i="11"/>
  <c r="P1767" i="11"/>
  <c r="P1862" i="11"/>
  <c r="P1868" i="11"/>
  <c r="P1877" i="11"/>
  <c r="P1880" i="11"/>
  <c r="P1881" i="11"/>
  <c r="P1907" i="11"/>
  <c r="P1913" i="11"/>
  <c r="P1914" i="11"/>
  <c r="P1014" i="11"/>
  <c r="P1174" i="11"/>
  <c r="P1206" i="11"/>
  <c r="P1503" i="11"/>
  <c r="P1506" i="11"/>
  <c r="T505" i="11"/>
  <c r="T510" i="11"/>
  <c r="S512" i="11"/>
  <c r="S519" i="11"/>
  <c r="S552" i="11"/>
  <c r="T624" i="11"/>
  <c r="T773" i="11"/>
  <c r="T817" i="11"/>
  <c r="S923" i="11"/>
  <c r="T936" i="11"/>
  <c r="T947" i="11"/>
  <c r="S996" i="11"/>
  <c r="S1010" i="11"/>
  <c r="T1014" i="11"/>
  <c r="S1029" i="11"/>
  <c r="T1033" i="11"/>
  <c r="T1038" i="11"/>
  <c r="S1044" i="11"/>
  <c r="T1046" i="11"/>
  <c r="S1055" i="11"/>
  <c r="T1059" i="11"/>
  <c r="S1069" i="11"/>
  <c r="S1077" i="11"/>
  <c r="T1078" i="11"/>
  <c r="T1088" i="11"/>
  <c r="S1094" i="11"/>
  <c r="S1095" i="11"/>
  <c r="T1099" i="11"/>
  <c r="T1111" i="11"/>
  <c r="S1117" i="11"/>
  <c r="T1123" i="11"/>
  <c r="T1146" i="11"/>
  <c r="T1167" i="11"/>
  <c r="S1199" i="11"/>
  <c r="S1207" i="11"/>
  <c r="S514" i="11"/>
  <c r="S754" i="11"/>
  <c r="S818" i="11"/>
  <c r="T872" i="11"/>
  <c r="T921" i="11"/>
  <c r="S1587" i="11"/>
  <c r="S1605" i="11"/>
  <c r="S1607" i="11"/>
  <c r="T1618" i="11"/>
  <c r="S1627" i="11"/>
  <c r="S1633" i="11"/>
  <c r="T1636" i="11"/>
  <c r="T1697" i="11"/>
  <c r="T1763" i="11"/>
  <c r="T1877" i="11"/>
  <c r="T1920" i="11"/>
  <c r="S1926" i="11"/>
  <c r="T553" i="11"/>
  <c r="S560" i="11"/>
  <c r="S568" i="11"/>
  <c r="S650" i="11"/>
  <c r="T668" i="11"/>
  <c r="T762" i="11"/>
  <c r="S830" i="11"/>
  <c r="T853" i="11"/>
  <c r="T865" i="11"/>
  <c r="T912" i="11"/>
  <c r="T946" i="11"/>
  <c r="S971" i="11"/>
  <c r="T1562" i="11"/>
  <c r="S1564" i="11"/>
  <c r="S1571" i="11"/>
  <c r="T1632" i="11"/>
  <c r="T1638" i="11"/>
  <c r="S1654" i="11"/>
  <c r="S1662" i="11"/>
  <c r="S1668" i="11"/>
  <c r="T1678" i="11"/>
  <c r="S1693" i="11"/>
  <c r="T1907" i="11"/>
  <c r="T521" i="11"/>
  <c r="T584" i="11"/>
  <c r="T765" i="11"/>
  <c r="T786" i="11"/>
  <c r="T805" i="11"/>
  <c r="S857" i="11"/>
  <c r="T962" i="11"/>
  <c r="T1231" i="11"/>
  <c r="T1258" i="11"/>
  <c r="S1503" i="11"/>
  <c r="T1532" i="11"/>
  <c r="T1553" i="11"/>
  <c r="T1608" i="11"/>
  <c r="S1628" i="11"/>
  <c r="T1743" i="11"/>
  <c r="T1868" i="11"/>
  <c r="T1891" i="11"/>
  <c r="T570" i="11"/>
  <c r="T587" i="11"/>
  <c r="T634" i="11"/>
  <c r="T640" i="11"/>
  <c r="S675" i="11"/>
  <c r="T771" i="11"/>
  <c r="T806" i="11"/>
  <c r="S825" i="11"/>
  <c r="T839" i="11"/>
  <c r="T1232" i="11"/>
  <c r="S1250" i="11"/>
  <c r="S1542" i="11"/>
  <c r="T1570" i="11"/>
  <c r="S1572" i="11"/>
  <c r="T1704" i="11"/>
  <c r="S2" i="11"/>
  <c r="T2" i="11"/>
  <c r="U2" i="11" s="1"/>
  <c r="T578" i="11"/>
  <c r="T585" i="11"/>
  <c r="T637" i="11"/>
  <c r="S638" i="11"/>
  <c r="S662" i="11"/>
  <c r="T678" i="11"/>
  <c r="T760" i="11"/>
  <c r="S760" i="11"/>
  <c r="S762" i="11"/>
  <c r="S765" i="11"/>
  <c r="T767" i="11"/>
  <c r="S767" i="11"/>
  <c r="S770" i="11"/>
  <c r="T770" i="11"/>
  <c r="S771" i="11"/>
  <c r="S773" i="11"/>
  <c r="T778" i="11"/>
  <c r="S778" i="11"/>
  <c r="T782" i="11"/>
  <c r="S782" i="11"/>
  <c r="T783" i="11"/>
  <c r="S783" i="11"/>
  <c r="S786" i="11"/>
  <c r="T800" i="11"/>
  <c r="S800" i="11"/>
  <c r="T801" i="11"/>
  <c r="S801" i="11"/>
  <c r="S805" i="11"/>
  <c r="S806" i="11"/>
  <c r="T808" i="11"/>
  <c r="S808" i="11"/>
  <c r="T810" i="11"/>
  <c r="S810" i="11"/>
  <c r="T811" i="11"/>
  <c r="S811" i="11"/>
  <c r="T815" i="11"/>
  <c r="S815" i="11"/>
  <c r="S817" i="11"/>
  <c r="T818" i="11"/>
  <c r="T825" i="11"/>
  <c r="T827" i="11"/>
  <c r="S827" i="11"/>
  <c r="T830" i="11"/>
  <c r="T831" i="11"/>
  <c r="S831" i="11"/>
  <c r="S839" i="11"/>
  <c r="S842" i="11"/>
  <c r="T842" i="11"/>
  <c r="T847" i="11"/>
  <c r="S847" i="11"/>
  <c r="T850" i="11"/>
  <c r="S850" i="11"/>
  <c r="S853" i="11"/>
  <c r="T856" i="11"/>
  <c r="S856" i="11"/>
  <c r="T857" i="11"/>
  <c r="T860" i="11"/>
  <c r="S860" i="11"/>
  <c r="S863" i="11"/>
  <c r="T863" i="11"/>
  <c r="S865" i="11"/>
  <c r="S872" i="11"/>
  <c r="T899" i="11"/>
  <c r="S899" i="11"/>
  <c r="S912" i="11"/>
  <c r="T913" i="11"/>
  <c r="S913" i="11"/>
  <c r="T919" i="11"/>
  <c r="S919" i="11"/>
  <c r="S921" i="11"/>
  <c r="T923" i="11"/>
  <c r="T927" i="11"/>
  <c r="S927" i="11"/>
  <c r="T929" i="11"/>
  <c r="S929" i="11"/>
  <c r="S936" i="11"/>
  <c r="T938" i="11"/>
  <c r="S938" i="11"/>
  <c r="T941" i="11"/>
  <c r="S941" i="11"/>
  <c r="T942" i="11"/>
  <c r="S942" i="11"/>
  <c r="S946" i="11"/>
  <c r="S947" i="11"/>
  <c r="T949" i="11"/>
  <c r="S949" i="11"/>
  <c r="T951" i="11"/>
  <c r="S951" i="11"/>
  <c r="T952" i="11"/>
  <c r="S952" i="11"/>
  <c r="T957" i="11"/>
  <c r="S957" i="11"/>
  <c r="S962" i="11"/>
  <c r="T965" i="11"/>
  <c r="S965" i="11"/>
  <c r="T968" i="11"/>
  <c r="S968" i="11"/>
  <c r="T971" i="11"/>
  <c r="S972" i="11"/>
  <c r="T972" i="11"/>
  <c r="T978" i="11"/>
  <c r="S978" i="11"/>
  <c r="T996" i="11"/>
  <c r="S505" i="11"/>
  <c r="S510" i="11"/>
  <c r="T514" i="11"/>
  <c r="S515" i="11"/>
  <c r="S559" i="11"/>
  <c r="S566" i="11"/>
  <c r="S584" i="11"/>
  <c r="T591" i="11"/>
  <c r="S591" i="11"/>
  <c r="S604" i="11"/>
  <c r="T616" i="11"/>
  <c r="S616" i="11"/>
  <c r="S642" i="11"/>
  <c r="S678" i="11"/>
  <c r="T751" i="11"/>
  <c r="T754" i="11"/>
  <c r="T1010" i="11"/>
  <c r="T1013" i="11"/>
  <c r="T1019" i="11"/>
  <c r="T1055" i="11"/>
  <c r="S1074" i="11"/>
  <c r="S1088" i="11"/>
  <c r="T1094" i="11"/>
  <c r="S1123" i="11"/>
  <c r="S1130" i="11"/>
  <c r="T1130" i="11"/>
  <c r="T1174" i="11"/>
  <c r="T1176" i="11"/>
  <c r="S1176" i="11"/>
  <c r="T1195" i="11"/>
  <c r="S1195" i="11"/>
  <c r="T1199" i="11"/>
  <c r="T1207" i="11"/>
  <c r="S1222" i="11"/>
  <c r="T1222" i="11"/>
  <c r="S1232" i="11"/>
  <c r="T1259" i="11"/>
  <c r="T515" i="11"/>
  <c r="T560" i="11"/>
  <c r="T566" i="11"/>
  <c r="S585" i="11"/>
  <c r="S634" i="11"/>
  <c r="T642" i="11"/>
  <c r="S668" i="11"/>
  <c r="S1015" i="11"/>
  <c r="T1015" i="11"/>
  <c r="S1019" i="11"/>
  <c r="S1023" i="11"/>
  <c r="T1023" i="11"/>
  <c r="T1031" i="11"/>
  <c r="S1067" i="11"/>
  <c r="T1067" i="11"/>
  <c r="S1099" i="11"/>
  <c r="S1111" i="11"/>
  <c r="S1241" i="11"/>
  <c r="T1534" i="11"/>
  <c r="S1534" i="11"/>
  <c r="S1550" i="11"/>
  <c r="T1550" i="11"/>
  <c r="S1562" i="11"/>
  <c r="S1568" i="11"/>
  <c r="T1568" i="11"/>
  <c r="T1572" i="11"/>
  <c r="S1608" i="11"/>
  <c r="S1630" i="11"/>
  <c r="T1630" i="11"/>
  <c r="T1633" i="11"/>
  <c r="S1678" i="11"/>
  <c r="S1684" i="11"/>
  <c r="T1685" i="11"/>
  <c r="S1685" i="11"/>
  <c r="T1693" i="11"/>
  <c r="S1743" i="11"/>
  <c r="T1753" i="11"/>
  <c r="S1767" i="11"/>
  <c r="T1856" i="11"/>
  <c r="S1856" i="11"/>
  <c r="S1868" i="11"/>
  <c r="S1869" i="11"/>
  <c r="T1871" i="11"/>
  <c r="S1871" i="11"/>
  <c r="T1874" i="11"/>
  <c r="S1874" i="11"/>
  <c r="S1905" i="11"/>
  <c r="S1914" i="11"/>
  <c r="S1916" i="11"/>
  <c r="S1920" i="11"/>
  <c r="T1926" i="11"/>
  <c r="T1930" i="11"/>
  <c r="S1930" i="11"/>
  <c r="T552" i="11"/>
  <c r="T559" i="11"/>
  <c r="T565" i="11"/>
  <c r="S565" i="11"/>
  <c r="S578" i="11"/>
  <c r="T605" i="11"/>
  <c r="S605" i="11"/>
  <c r="T618" i="11"/>
  <c r="S640" i="11"/>
  <c r="T650" i="11"/>
  <c r="T662" i="11"/>
  <c r="T675" i="11"/>
  <c r="S751" i="11"/>
  <c r="S1004" i="11"/>
  <c r="T1011" i="11"/>
  <c r="S1011" i="11"/>
  <c r="S1013" i="11"/>
  <c r="S1021" i="11"/>
  <c r="S1033" i="11"/>
  <c r="S1061" i="11"/>
  <c r="T1061" i="11"/>
  <c r="T1074" i="11"/>
  <c r="T1083" i="11"/>
  <c r="T1109" i="11"/>
  <c r="S1109" i="11"/>
  <c r="S1146" i="11"/>
  <c r="S1200" i="11"/>
  <c r="T1204" i="11"/>
  <c r="S1204" i="11"/>
  <c r="T1206" i="11"/>
  <c r="T1225" i="11"/>
  <c r="S1225" i="11"/>
  <c r="S1231" i="11"/>
  <c r="T1241" i="11"/>
  <c r="T1533" i="11"/>
  <c r="S1533" i="11"/>
  <c r="T1538" i="11"/>
  <c r="S1553" i="11"/>
  <c r="T1564" i="11"/>
  <c r="T1623" i="11"/>
  <c r="S1623" i="11"/>
  <c r="T1628" i="11"/>
  <c r="S1660" i="11"/>
  <c r="T1660" i="11"/>
  <c r="T1662" i="11"/>
  <c r="T1668" i="11"/>
  <c r="T1684" i="11"/>
  <c r="S1697" i="11"/>
  <c r="S1720" i="11"/>
  <c r="T1723" i="11"/>
  <c r="S1729" i="11"/>
  <c r="T1729" i="11"/>
  <c r="T1730" i="11"/>
  <c r="S1730" i="11"/>
  <c r="T1742" i="11"/>
  <c r="S1742" i="11"/>
  <c r="S1753" i="11"/>
  <c r="T1755" i="11"/>
  <c r="T1776" i="11"/>
  <c r="T1780" i="11"/>
  <c r="T1793" i="11"/>
  <c r="T1864" i="11"/>
  <c r="S1864" i="11"/>
  <c r="T1888" i="11"/>
  <c r="S1888" i="11"/>
  <c r="S1891" i="11"/>
  <c r="S1900" i="11"/>
  <c r="T1909" i="11"/>
  <c r="S1909" i="11"/>
  <c r="S1919" i="11"/>
  <c r="T1923" i="11"/>
  <c r="S1923" i="11"/>
  <c r="S521" i="11"/>
  <c r="S553" i="11"/>
  <c r="S570" i="11"/>
  <c r="S615" i="11"/>
  <c r="T615" i="11"/>
  <c r="S624" i="11"/>
  <c r="S637" i="11"/>
  <c r="T638" i="11"/>
  <c r="T1029" i="11"/>
  <c r="S1031" i="11"/>
  <c r="S1038" i="11"/>
  <c r="T1044" i="11"/>
  <c r="S1059" i="11"/>
  <c r="S1078" i="11"/>
  <c r="S1167" i="11"/>
  <c r="S1174" i="11"/>
  <c r="T1250" i="11"/>
  <c r="S1258" i="11"/>
  <c r="S1259" i="11"/>
  <c r="S1506" i="11"/>
  <c r="S1532" i="11"/>
  <c r="S1538" i="11"/>
  <c r="T1541" i="11"/>
  <c r="S1541" i="11"/>
  <c r="T1542" i="11"/>
  <c r="S1570" i="11"/>
  <c r="T1571" i="11"/>
  <c r="T1587" i="11"/>
  <c r="T1605" i="11"/>
  <c r="T1607" i="11"/>
  <c r="S1618" i="11"/>
  <c r="T1627" i="11"/>
  <c r="S1632" i="11"/>
  <c r="S1636" i="11"/>
  <c r="S1638" i="11"/>
  <c r="T1640" i="11"/>
  <c r="S1640" i="11"/>
  <c r="T1654" i="11"/>
  <c r="S1704" i="11"/>
  <c r="T1720" i="11"/>
  <c r="S1723" i="11"/>
  <c r="S1755" i="11"/>
  <c r="S1763" i="11"/>
  <c r="T1767" i="11"/>
  <c r="T1772" i="11"/>
  <c r="S1772" i="11"/>
  <c r="S1776" i="11"/>
  <c r="T1778" i="11"/>
  <c r="S1778" i="11"/>
  <c r="S1780" i="11"/>
  <c r="S1787" i="11"/>
  <c r="T1787" i="11"/>
  <c r="S1793" i="11"/>
  <c r="T1869" i="11"/>
  <c r="S1877" i="11"/>
  <c r="T1880" i="11"/>
  <c r="S1880" i="11"/>
  <c r="T1900" i="11"/>
  <c r="T1905" i="11"/>
  <c r="S1907" i="11"/>
  <c r="T1914" i="11"/>
  <c r="T1916" i="11"/>
  <c r="T1919" i="11"/>
  <c r="T512" i="11"/>
  <c r="T519" i="11"/>
  <c r="T568" i="11"/>
  <c r="S587" i="11"/>
  <c r="T604" i="11"/>
  <c r="S618" i="11"/>
  <c r="T655" i="11"/>
  <c r="S655" i="11"/>
  <c r="T1004" i="11"/>
  <c r="S1014" i="11"/>
  <c r="T1021" i="11"/>
  <c r="S1046" i="11"/>
  <c r="T1069" i="11"/>
  <c r="T1077" i="11"/>
  <c r="S1083" i="11"/>
  <c r="T1095" i="11"/>
  <c r="T1117" i="11"/>
  <c r="T1200" i="11"/>
  <c r="S1206" i="11"/>
  <c r="T1503" i="11"/>
  <c r="T1506" i="11"/>
  <c r="W1536" i="11"/>
  <c r="W22" i="11"/>
  <c r="W58" i="11"/>
  <c r="W64" i="11"/>
  <c r="W66" i="11"/>
  <c r="W68" i="11"/>
  <c r="W93" i="11"/>
  <c r="W94" i="11"/>
  <c r="W112" i="11"/>
  <c r="W114" i="11"/>
  <c r="W115" i="11"/>
  <c r="W159" i="11"/>
  <c r="W186" i="11"/>
  <c r="W187" i="11"/>
  <c r="W195" i="11"/>
  <c r="W213" i="11"/>
  <c r="W235" i="11"/>
  <c r="W266" i="11"/>
  <c r="W276" i="11"/>
  <c r="W277" i="11"/>
  <c r="W279" i="11"/>
  <c r="W294" i="11"/>
  <c r="W316" i="11"/>
  <c r="W318" i="11"/>
  <c r="W319" i="11"/>
  <c r="W328" i="11"/>
  <c r="W354" i="11"/>
  <c r="W364" i="11"/>
  <c r="W389" i="11"/>
  <c r="W390" i="11"/>
  <c r="W396" i="11"/>
  <c r="W398" i="11"/>
  <c r="W399" i="11"/>
  <c r="W400" i="11"/>
  <c r="W401" i="11"/>
  <c r="W403" i="11"/>
  <c r="W404" i="11"/>
  <c r="W405" i="11"/>
  <c r="W406" i="11"/>
  <c r="W408" i="11"/>
  <c r="W409" i="11"/>
  <c r="W410" i="11"/>
  <c r="W411" i="11"/>
  <c r="W413" i="11"/>
  <c r="W414" i="11"/>
  <c r="W416" i="11"/>
  <c r="W417" i="11"/>
  <c r="W419" i="11"/>
  <c r="W420" i="11"/>
  <c r="W421" i="11"/>
  <c r="W422" i="11"/>
  <c r="W424" i="11"/>
  <c r="W425" i="11"/>
  <c r="W426" i="11"/>
  <c r="W427" i="11"/>
  <c r="W429" i="11"/>
  <c r="W430" i="11"/>
  <c r="W431" i="11"/>
  <c r="W432" i="11"/>
  <c r="W434" i="11"/>
  <c r="W435" i="11"/>
  <c r="W436" i="11"/>
  <c r="W437" i="11"/>
  <c r="W439" i="11"/>
  <c r="W440" i="11"/>
  <c r="W441" i="11"/>
  <c r="W442" i="11"/>
  <c r="W444" i="11"/>
  <c r="W445" i="11"/>
  <c r="W446" i="11"/>
  <c r="W447" i="11"/>
  <c r="W449" i="11"/>
  <c r="W450" i="11"/>
  <c r="W451" i="11"/>
  <c r="W452" i="11"/>
  <c r="W454" i="11"/>
  <c r="W455" i="11"/>
  <c r="W457" i="11"/>
  <c r="W458" i="11"/>
  <c r="W460" i="11"/>
  <c r="W461" i="11"/>
  <c r="W462" i="11"/>
  <c r="W463" i="11"/>
  <c r="W465" i="11"/>
  <c r="W466" i="11"/>
  <c r="W467" i="11"/>
  <c r="W468" i="11"/>
  <c r="W470" i="11"/>
  <c r="W471" i="11"/>
  <c r="W472" i="11"/>
  <c r="W473" i="11"/>
  <c r="W475" i="11"/>
  <c r="W476" i="11"/>
  <c r="W477" i="11"/>
  <c r="W478" i="11"/>
  <c r="W480" i="11"/>
  <c r="W481" i="11"/>
  <c r="W482" i="11"/>
  <c r="W483" i="11"/>
  <c r="W485" i="11"/>
  <c r="W486" i="11"/>
  <c r="W487" i="11"/>
  <c r="W488" i="11"/>
  <c r="W490" i="11"/>
  <c r="W491" i="11"/>
  <c r="W492" i="11"/>
  <c r="W493" i="11"/>
  <c r="W495" i="11"/>
  <c r="W496" i="11"/>
  <c r="W498" i="11"/>
  <c r="W499" i="11"/>
  <c r="W500" i="11"/>
  <c r="W5" i="11"/>
  <c r="W10" i="11"/>
  <c r="W17" i="11"/>
  <c r="W18" i="11"/>
  <c r="W21" i="11"/>
  <c r="W23" i="11"/>
  <c r="W35" i="11"/>
  <c r="W37" i="11"/>
  <c r="W38" i="11"/>
  <c r="W40" i="11"/>
  <c r="W51" i="11"/>
  <c r="W52" i="11"/>
  <c r="W59" i="11"/>
  <c r="W74" i="11"/>
  <c r="W83" i="11"/>
  <c r="W95" i="11"/>
  <c r="W100" i="11"/>
  <c r="W107" i="11"/>
  <c r="W108" i="11"/>
  <c r="W119" i="11"/>
  <c r="W122" i="11"/>
  <c r="W123" i="11"/>
  <c r="W125" i="11"/>
  <c r="W128" i="11"/>
  <c r="W131" i="11"/>
  <c r="W134" i="11"/>
  <c r="W135" i="11"/>
  <c r="W136" i="11"/>
  <c r="W151" i="11"/>
  <c r="W154" i="11"/>
  <c r="W160" i="11"/>
  <c r="W161" i="11"/>
  <c r="W164" i="11"/>
  <c r="W165" i="11"/>
  <c r="W166" i="11"/>
  <c r="W174" i="11"/>
  <c r="W175" i="11"/>
  <c r="W176" i="11"/>
  <c r="W180" i="11"/>
  <c r="W184" i="11"/>
  <c r="W197" i="11"/>
  <c r="W200" i="11"/>
  <c r="W206" i="11"/>
  <c r="W207" i="11"/>
  <c r="W215" i="11"/>
  <c r="W226" i="11"/>
  <c r="W230" i="11"/>
  <c r="W232" i="11"/>
  <c r="W233" i="11"/>
  <c r="W247" i="11"/>
  <c r="W253" i="11"/>
  <c r="W259" i="11"/>
  <c r="W269" i="11"/>
  <c r="W301" i="11"/>
  <c r="W304" i="11"/>
  <c r="W307" i="11"/>
  <c r="W314" i="11"/>
  <c r="W323" i="11"/>
  <c r="W326" i="11"/>
  <c r="W327" i="11"/>
  <c r="W332" i="11"/>
  <c r="W335" i="11"/>
  <c r="W338" i="11"/>
  <c r="W339" i="11"/>
  <c r="W340" i="11"/>
  <c r="W343" i="11"/>
  <c r="W344" i="11"/>
  <c r="W347" i="11"/>
  <c r="W348" i="11"/>
  <c r="W349" i="11"/>
  <c r="W355" i="11"/>
  <c r="W358" i="11"/>
  <c r="W369" i="11"/>
  <c r="W372" i="11"/>
  <c r="W373" i="11"/>
  <c r="W380" i="11"/>
  <c r="W381" i="11"/>
  <c r="W393" i="11"/>
  <c r="W505" i="11"/>
  <c r="W514" i="11"/>
  <c r="W565" i="11"/>
  <c r="W575" i="11"/>
  <c r="W593" i="11"/>
  <c r="W598" i="11"/>
  <c r="W599" i="11"/>
  <c r="W600" i="11"/>
  <c r="W606" i="11"/>
  <c r="W607" i="11"/>
  <c r="W609" i="11"/>
  <c r="W617" i="11"/>
  <c r="W627" i="11"/>
  <c r="W646" i="11"/>
  <c r="W657" i="11"/>
  <c r="W658" i="11"/>
  <c r="W673" i="11"/>
  <c r="W683" i="11"/>
  <c r="W684" i="11"/>
  <c r="W685" i="11"/>
  <c r="W693" i="11"/>
  <c r="W695" i="11"/>
  <c r="W769" i="11"/>
  <c r="W807" i="11"/>
  <c r="W816" i="11"/>
  <c r="W842" i="11"/>
  <c r="W843" i="11"/>
  <c r="W967" i="11"/>
  <c r="W981" i="11"/>
  <c r="W1001" i="11"/>
  <c r="W1004" i="11"/>
  <c r="W1008" i="11"/>
  <c r="W1012" i="11"/>
  <c r="W1013" i="11"/>
  <c r="W1014" i="11"/>
  <c r="W1015" i="11"/>
  <c r="W1019" i="11"/>
  <c r="W1020" i="11"/>
  <c r="W1023" i="11"/>
  <c r="W1027" i="11"/>
  <c r="W1028" i="11"/>
  <c r="W1030" i="11"/>
  <c r="W1032" i="11"/>
  <c r="W1033" i="11"/>
  <c r="W1036" i="11"/>
  <c r="W1042" i="11"/>
  <c r="W1043" i="11"/>
  <c r="W1044" i="11"/>
  <c r="W1046" i="11"/>
  <c r="W1050" i="11"/>
  <c r="W1051" i="11"/>
  <c r="W1052" i="11"/>
  <c r="W1053" i="11"/>
  <c r="W1056" i="11"/>
  <c r="W1061" i="11"/>
  <c r="W1063" i="11"/>
  <c r="W1064" i="11"/>
  <c r="W1068" i="11"/>
  <c r="W1074" i="11"/>
  <c r="W1077" i="11"/>
  <c r="W1083" i="11"/>
  <c r="W1088" i="11"/>
  <c r="W1090" i="11"/>
  <c r="W1091" i="11"/>
  <c r="W1094" i="11"/>
  <c r="W1097" i="11"/>
  <c r="W1100" i="11"/>
  <c r="W1103" i="11"/>
  <c r="W1104" i="11"/>
  <c r="W1107" i="11"/>
  <c r="W1108" i="11"/>
  <c r="W1110" i="11"/>
  <c r="W1111" i="11"/>
  <c r="W1113" i="11"/>
  <c r="W1114" i="11"/>
  <c r="W1117" i="11"/>
  <c r="W1119" i="11"/>
  <c r="W1122" i="11"/>
  <c r="W1126" i="11"/>
  <c r="W1129" i="11"/>
  <c r="W1130" i="11"/>
  <c r="W1131" i="11"/>
  <c r="W1132" i="11"/>
  <c r="W1135" i="11"/>
  <c r="W1138" i="11"/>
  <c r="W1139" i="11"/>
  <c r="W1145" i="11"/>
  <c r="W1151" i="11"/>
  <c r="W1154" i="11"/>
  <c r="W1163" i="11"/>
  <c r="W1167" i="11"/>
  <c r="W1173" i="11"/>
  <c r="W1176" i="11"/>
  <c r="W1177" i="11"/>
  <c r="W1178" i="11"/>
  <c r="W1184" i="11"/>
  <c r="W1186" i="11"/>
  <c r="W1188" i="11"/>
  <c r="W1190" i="11"/>
  <c r="W1192" i="11"/>
  <c r="W1199" i="11"/>
  <c r="W1202" i="11"/>
  <c r="W1203" i="11"/>
  <c r="W1207" i="11"/>
  <c r="W1208" i="11"/>
  <c r="W1209" i="11"/>
  <c r="W1216" i="11"/>
  <c r="W41" i="11"/>
  <c r="W54" i="11"/>
  <c r="W67" i="11"/>
  <c r="W103" i="11"/>
  <c r="W104" i="11"/>
  <c r="W105" i="11"/>
  <c r="W117" i="11"/>
  <c r="W124" i="11"/>
  <c r="W130" i="11"/>
  <c r="W149" i="11"/>
  <c r="W150" i="11"/>
  <c r="W155" i="11"/>
  <c r="W156" i="11"/>
  <c r="W158" i="11"/>
  <c r="W172" i="11"/>
  <c r="W204" i="11"/>
  <c r="W223" i="11"/>
  <c r="W237" i="11"/>
  <c r="W238" i="11"/>
  <c r="W240" i="11"/>
  <c r="W242" i="11"/>
  <c r="W243" i="11"/>
  <c r="W250" i="11"/>
  <c r="W256" i="11"/>
  <c r="W272" i="11"/>
  <c r="W296" i="11"/>
  <c r="W297" i="11"/>
  <c r="W306" i="11"/>
  <c r="W308" i="11"/>
  <c r="W309" i="11"/>
  <c r="W329" i="11"/>
  <c r="W334" i="11"/>
  <c r="W345" i="11"/>
  <c r="W360" i="11"/>
  <c r="W370" i="11"/>
  <c r="W375" i="11"/>
  <c r="W376" i="11"/>
  <c r="W384" i="11"/>
  <c r="W512" i="11"/>
  <c r="W522" i="11"/>
  <c r="W561" i="11"/>
  <c r="W587" i="11"/>
  <c r="W669" i="11"/>
  <c r="W682" i="11"/>
  <c r="W696" i="11"/>
  <c r="W699" i="11"/>
  <c r="W702" i="11"/>
  <c r="W755" i="11"/>
  <c r="W757" i="11"/>
  <c r="W799" i="11"/>
  <c r="W806" i="11"/>
  <c r="W870" i="11"/>
  <c r="W874" i="11"/>
  <c r="W894" i="11"/>
  <c r="W971" i="11"/>
  <c r="W984" i="11"/>
  <c r="W1223" i="11"/>
  <c r="W1237" i="11"/>
  <c r="W1244" i="11"/>
  <c r="W1248" i="11"/>
  <c r="W1249" i="11"/>
  <c r="W1260" i="11"/>
  <c r="W1264" i="11"/>
  <c r="W1520" i="11"/>
  <c r="W1554" i="11"/>
  <c r="W1559" i="11"/>
  <c r="W1570" i="11"/>
  <c r="W1580" i="11"/>
  <c r="W1622" i="11"/>
  <c r="W1647" i="11"/>
  <c r="W1649" i="11"/>
  <c r="W1656" i="11"/>
  <c r="W1668" i="11"/>
  <c r="W1697" i="11"/>
  <c r="W1713" i="11"/>
  <c r="W1716" i="11"/>
  <c r="W1719" i="11"/>
  <c r="W1750" i="11"/>
  <c r="W1779" i="11"/>
  <c r="W1792" i="11"/>
  <c r="W1863" i="11"/>
  <c r="W1869" i="11"/>
  <c r="W1884" i="11"/>
  <c r="W1896" i="11"/>
  <c r="W1914" i="11"/>
  <c r="W1922" i="11"/>
  <c r="W4" i="11"/>
  <c r="W7" i="11"/>
  <c r="W8" i="11"/>
  <c r="W15" i="11"/>
  <c r="W16" i="11"/>
  <c r="W20" i="11"/>
  <c r="W26" i="11"/>
  <c r="W27" i="11"/>
  <c r="W28" i="11"/>
  <c r="W30" i="11"/>
  <c r="W31" i="11"/>
  <c r="W32" i="11"/>
  <c r="W36" i="11"/>
  <c r="W43" i="11"/>
  <c r="W45" i="11"/>
  <c r="W46" i="11"/>
  <c r="W49" i="11"/>
  <c r="W53" i="11"/>
  <c r="W56" i="11"/>
  <c r="W57" i="11"/>
  <c r="W62" i="11"/>
  <c r="W69" i="11"/>
  <c r="W72" i="11"/>
  <c r="W73" i="11"/>
  <c r="W77" i="11"/>
  <c r="W78" i="11"/>
  <c r="W79" i="11"/>
  <c r="W81" i="11"/>
  <c r="W82" i="11"/>
  <c r="W86" i="11"/>
  <c r="W87" i="11"/>
  <c r="W89" i="11"/>
  <c r="W90" i="11"/>
  <c r="W99" i="11"/>
  <c r="W102" i="11"/>
  <c r="W113" i="11"/>
  <c r="W120" i="11"/>
  <c r="W138" i="11"/>
  <c r="W139" i="11"/>
  <c r="W140" i="11"/>
  <c r="W141" i="11"/>
  <c r="W143" i="11"/>
  <c r="W146" i="11"/>
  <c r="W148" i="11"/>
  <c r="W168" i="11"/>
  <c r="W182" i="11"/>
  <c r="W185" i="11"/>
  <c r="W189" i="11"/>
  <c r="W190" i="11"/>
  <c r="W191" i="11"/>
  <c r="W192" i="11"/>
  <c r="W196" i="11"/>
  <c r="W199" i="11"/>
  <c r="W201" i="11"/>
  <c r="W205" i="11"/>
  <c r="W217" i="11"/>
  <c r="W218" i="11"/>
  <c r="W222" i="11"/>
  <c r="W225" i="11"/>
  <c r="W227" i="11"/>
  <c r="W228" i="11"/>
  <c r="W231" i="11"/>
  <c r="W236" i="11"/>
  <c r="W245" i="11"/>
  <c r="W248" i="11"/>
  <c r="W251" i="11"/>
  <c r="W257" i="11"/>
  <c r="W264" i="11"/>
  <c r="W271" i="11"/>
  <c r="W273" i="11"/>
  <c r="W274" i="11"/>
  <c r="W278" i="11"/>
  <c r="W281" i="11"/>
  <c r="W282" i="11"/>
  <c r="W288" i="11"/>
  <c r="W289" i="11"/>
  <c r="W293" i="11"/>
  <c r="W302" i="11"/>
  <c r="W303" i="11"/>
  <c r="W312" i="11"/>
  <c r="W313" i="11"/>
  <c r="W317" i="11"/>
  <c r="W324" i="11"/>
  <c r="W331" i="11"/>
  <c r="W337" i="11"/>
  <c r="W352" i="11"/>
  <c r="W353" i="11"/>
  <c r="W357" i="11"/>
  <c r="W359" i="11"/>
  <c r="W362" i="11"/>
  <c r="W363" i="11"/>
  <c r="W368" i="11"/>
  <c r="W379" i="11"/>
  <c r="W383" i="11"/>
  <c r="W386" i="11"/>
  <c r="W394" i="11"/>
  <c r="W395" i="11"/>
  <c r="W524" i="11"/>
  <c r="W550" i="11"/>
  <c r="W551" i="11"/>
  <c r="W552" i="11"/>
  <c r="W562" i="11"/>
  <c r="W569" i="11"/>
  <c r="W580" i="11"/>
  <c r="W585" i="11"/>
  <c r="W586" i="11"/>
  <c r="W613" i="11"/>
  <c r="W618" i="11"/>
  <c r="W626" i="11"/>
  <c r="W633" i="11"/>
  <c r="W634" i="11"/>
  <c r="W638" i="11"/>
  <c r="W639" i="11"/>
  <c r="W660" i="11"/>
  <c r="W671" i="11"/>
  <c r="W679" i="11"/>
  <c r="W680" i="11"/>
  <c r="W687" i="11"/>
  <c r="W690" i="11"/>
  <c r="W691" i="11"/>
  <c r="W763" i="11"/>
  <c r="W784" i="11"/>
  <c r="W796" i="11"/>
  <c r="W811" i="11"/>
  <c r="W815" i="11"/>
  <c r="W818" i="11"/>
  <c r="W819" i="11"/>
  <c r="W822" i="11"/>
  <c r="W830" i="11"/>
  <c r="W861" i="11"/>
  <c r="W862" i="11"/>
  <c r="W864" i="11"/>
  <c r="W877" i="11"/>
  <c r="W878" i="11"/>
  <c r="W895" i="11"/>
  <c r="W896" i="11"/>
  <c r="W927" i="11"/>
  <c r="W928" i="11"/>
  <c r="W931" i="11"/>
  <c r="W934" i="11"/>
  <c r="W938" i="11"/>
  <c r="W982" i="11"/>
  <c r="W1220" i="11"/>
  <c r="W1221" i="11"/>
  <c r="W1222" i="11"/>
  <c r="W1224" i="11"/>
  <c r="W1228" i="11"/>
  <c r="W1235" i="11"/>
  <c r="W1236" i="11"/>
  <c r="W1238" i="11"/>
  <c r="W1242" i="11"/>
  <c r="W1252" i="11"/>
  <c r="W1254" i="11"/>
  <c r="W1504" i="11"/>
  <c r="W1512" i="11"/>
  <c r="W1513" i="11"/>
  <c r="W1516" i="11"/>
  <c r="W1517" i="11"/>
  <c r="W1518" i="11"/>
  <c r="W1533" i="11"/>
  <c r="W1541" i="11"/>
  <c r="W1563" i="11"/>
  <c r="W1572" i="11"/>
  <c r="W1574" i="11"/>
  <c r="W1584" i="11"/>
  <c r="W1587" i="11"/>
  <c r="W1595" i="11"/>
  <c r="W1596" i="11"/>
  <c r="W1607" i="11"/>
  <c r="W1610" i="11"/>
  <c r="W1611" i="11"/>
  <c r="W1613" i="11"/>
  <c r="W1620" i="11"/>
  <c r="W1621" i="11"/>
  <c r="W1626" i="11"/>
  <c r="W1628" i="11"/>
  <c r="W1633" i="11"/>
  <c r="W1635" i="11"/>
  <c r="W1637" i="11"/>
  <c r="W1638" i="11"/>
  <c r="W1639" i="11"/>
  <c r="W1645" i="11"/>
  <c r="W1646" i="11"/>
  <c r="W1654" i="11"/>
  <c r="W1655" i="11"/>
  <c r="W1658" i="11"/>
  <c r="W1669" i="11"/>
  <c r="W1678" i="11"/>
  <c r="W1681" i="11"/>
  <c r="W1688" i="11"/>
  <c r="W1689" i="11"/>
  <c r="W1690" i="11"/>
  <c r="W1691" i="11"/>
  <c r="W1712" i="11"/>
  <c r="W1722" i="11"/>
  <c r="W1725" i="11"/>
  <c r="W1728" i="11"/>
  <c r="W1729" i="11"/>
  <c r="W1738" i="11"/>
  <c r="W1774" i="11"/>
  <c r="W1786" i="11"/>
  <c r="W1787" i="11"/>
  <c r="W1788" i="11"/>
  <c r="W1791" i="11"/>
  <c r="W1795" i="11"/>
  <c r="W1866" i="11"/>
  <c r="W1871" i="11"/>
  <c r="W1872" i="11"/>
  <c r="W1880" i="11"/>
  <c r="W1882" i="11"/>
  <c r="W1883" i="11"/>
  <c r="W1903" i="11"/>
  <c r="W1910" i="11"/>
  <c r="W1911" i="11"/>
  <c r="W1920" i="11"/>
  <c r="W1926" i="11"/>
  <c r="W11" i="11"/>
  <c r="W12" i="11"/>
  <c r="W25" i="11"/>
  <c r="W42" i="11"/>
  <c r="W48" i="11"/>
  <c r="W61" i="11"/>
  <c r="W63" i="11"/>
  <c r="W71" i="11"/>
  <c r="W97" i="11"/>
  <c r="W109" i="11"/>
  <c r="W110" i="11"/>
  <c r="W118" i="11"/>
  <c r="W169" i="11"/>
  <c r="W171" i="11"/>
  <c r="W177" i="11"/>
  <c r="W179" i="11"/>
  <c r="W181" i="11"/>
  <c r="W202" i="11"/>
  <c r="W209" i="11"/>
  <c r="W210" i="11"/>
  <c r="W216" i="11"/>
  <c r="W241" i="11"/>
  <c r="W254" i="11"/>
  <c r="W267" i="11"/>
  <c r="W268" i="11"/>
  <c r="W283" i="11"/>
  <c r="W291" i="11"/>
  <c r="W298" i="11"/>
  <c r="W299" i="11"/>
  <c r="W321" i="11"/>
  <c r="W322" i="11"/>
  <c r="W342" i="11"/>
  <c r="W385" i="11"/>
  <c r="W391" i="11"/>
  <c r="W518" i="11"/>
  <c r="W521" i="11"/>
  <c r="W560" i="11"/>
  <c r="W567" i="11"/>
  <c r="W568" i="11"/>
  <c r="W589" i="11"/>
  <c r="W590" i="11"/>
  <c r="W619" i="11"/>
  <c r="W622" i="11"/>
  <c r="W647" i="11"/>
  <c r="W653" i="11"/>
  <c r="W656" i="11"/>
  <c r="W666" i="11"/>
  <c r="W672" i="11"/>
  <c r="W674" i="11"/>
  <c r="W761" i="11"/>
  <c r="W787" i="11"/>
  <c r="W789" i="11"/>
  <c r="W891" i="11"/>
  <c r="W947" i="11"/>
  <c r="W948" i="11"/>
  <c r="W958" i="11"/>
  <c r="W975" i="11"/>
  <c r="W1229" i="11"/>
  <c r="W1230" i="11"/>
  <c r="W1234" i="11"/>
  <c r="W1239" i="11"/>
  <c r="W1240" i="11"/>
  <c r="W1251" i="11"/>
  <c r="W1509" i="11"/>
  <c r="W1511" i="11"/>
  <c r="W1514" i="11"/>
  <c r="W1515" i="11"/>
  <c r="W1519" i="11"/>
  <c r="W1521" i="11"/>
  <c r="W1522" i="11"/>
  <c r="W1523" i="11"/>
  <c r="W1530" i="11"/>
  <c r="W1531" i="11"/>
  <c r="W1538" i="11"/>
  <c r="W1542" i="11"/>
  <c r="W1544" i="11"/>
  <c r="W1545" i="11"/>
  <c r="W1547" i="11"/>
  <c r="W1571" i="11"/>
  <c r="W1623" i="11"/>
  <c r="W1627" i="11"/>
  <c r="W1662" i="11"/>
  <c r="W1685" i="11"/>
  <c r="W1700" i="11"/>
  <c r="W1720" i="11"/>
  <c r="W1743" i="11"/>
  <c r="W1755" i="11"/>
  <c r="W1762" i="11"/>
  <c r="W1763" i="11"/>
  <c r="W1798" i="11"/>
  <c r="W1857" i="11"/>
  <c r="W1892" i="11"/>
  <c r="W1900" i="11"/>
  <c r="W1901" i="11"/>
  <c r="W1927" i="11"/>
  <c r="W1928" i="11"/>
  <c r="W1929" i="11"/>
  <c r="W13" i="11"/>
  <c r="W33" i="11"/>
  <c r="W76" i="11"/>
  <c r="W84" i="11"/>
  <c r="W92" i="11"/>
  <c r="W98" i="11"/>
  <c r="W127" i="11"/>
  <c r="W133" i="11"/>
  <c r="W144" i="11"/>
  <c r="W145" i="11"/>
  <c r="W153" i="11"/>
  <c r="W163" i="11"/>
  <c r="W194" i="11"/>
  <c r="W212" i="11"/>
  <c r="W220" i="11"/>
  <c r="W221" i="11"/>
  <c r="W258" i="11"/>
  <c r="W261" i="11"/>
  <c r="W262" i="11"/>
  <c r="W263" i="11"/>
  <c r="W284" i="11"/>
  <c r="W286" i="11"/>
  <c r="W292" i="11"/>
  <c r="W311" i="11"/>
  <c r="W350" i="11"/>
  <c r="W365" i="11"/>
  <c r="W367" i="11"/>
  <c r="W378" i="11"/>
  <c r="W388" i="11"/>
  <c r="W520" i="11"/>
  <c r="W592" i="11"/>
  <c r="W595" i="11"/>
  <c r="W614" i="11"/>
  <c r="W642" i="11"/>
  <c r="W648" i="11"/>
  <c r="W667" i="11"/>
  <c r="W668" i="11"/>
  <c r="W697" i="11"/>
  <c r="W701" i="11"/>
  <c r="W773" i="11"/>
  <c r="W836" i="11"/>
  <c r="W860" i="11"/>
  <c r="W867" i="11"/>
  <c r="W914" i="11"/>
  <c r="W918" i="11"/>
  <c r="W937" i="11"/>
  <c r="W940" i="11"/>
  <c r="W963" i="11"/>
  <c r="W977" i="11"/>
  <c r="W1233" i="11"/>
  <c r="W1241" i="11"/>
  <c r="W1246" i="11"/>
  <c r="W1247" i="11"/>
  <c r="W1502" i="11"/>
  <c r="W1507" i="11"/>
  <c r="W1508" i="11"/>
  <c r="W1510" i="11"/>
  <c r="W1527" i="11"/>
  <c r="W1564" i="11"/>
  <c r="W1567" i="11"/>
  <c r="W1664" i="11"/>
  <c r="W1675" i="11"/>
  <c r="W1693" i="11"/>
  <c r="W1694" i="11"/>
  <c r="W1707" i="11"/>
  <c r="W1708" i="11"/>
  <c r="W1718" i="11"/>
  <c r="W1745" i="11"/>
  <c r="W2" i="11"/>
  <c r="W578" i="11"/>
  <c r="W637" i="11"/>
  <c r="W655" i="11"/>
  <c r="W678" i="11"/>
  <c r="W765" i="11"/>
  <c r="W767" i="11"/>
  <c r="W770" i="11"/>
  <c r="W777" i="11"/>
  <c r="W778" i="11"/>
  <c r="W782" i="11"/>
  <c r="W800" i="11"/>
  <c r="W801" i="11"/>
  <c r="W813" i="11"/>
  <c r="W824" i="11"/>
  <c r="W825" i="11"/>
  <c r="W827" i="11"/>
  <c r="W831" i="11"/>
  <c r="W849" i="11"/>
  <c r="W850" i="11"/>
  <c r="W856" i="11"/>
  <c r="W857" i="11"/>
  <c r="W863" i="11"/>
  <c r="W876" i="11"/>
  <c r="W899" i="11"/>
  <c r="W904" i="11"/>
  <c r="W919" i="11"/>
  <c r="W921" i="11"/>
  <c r="W926" i="11"/>
  <c r="W929" i="11"/>
  <c r="W936" i="11"/>
  <c r="W941" i="11"/>
  <c r="W942" i="11"/>
  <c r="W954" i="11"/>
  <c r="W957" i="11"/>
  <c r="W965" i="11"/>
  <c r="W966" i="11"/>
  <c r="W968" i="11"/>
  <c r="W972" i="11"/>
  <c r="W978" i="11"/>
  <c r="W988" i="11"/>
  <c r="W989" i="11"/>
  <c r="W515" i="11"/>
  <c r="W566" i="11"/>
  <c r="W591" i="11"/>
  <c r="W615" i="11"/>
  <c r="W644" i="11"/>
  <c r="W751" i="11"/>
  <c r="W1067" i="11"/>
  <c r="W1112" i="11"/>
  <c r="W1123" i="11"/>
  <c r="W1149" i="11"/>
  <c r="W1195" i="11"/>
  <c r="W1225" i="11"/>
  <c r="W1231" i="11"/>
  <c r="W1261" i="11"/>
  <c r="W510" i="11"/>
  <c r="W574" i="11"/>
  <c r="W632" i="11"/>
  <c r="W1534" i="11"/>
  <c r="W1568" i="11"/>
  <c r="W1578" i="11"/>
  <c r="W1583" i="11"/>
  <c r="W1599" i="11"/>
  <c r="W1600" i="11"/>
  <c r="W1630" i="11"/>
  <c r="W1667" i="11"/>
  <c r="W1672" i="11"/>
  <c r="W1684" i="11"/>
  <c r="W1856" i="11"/>
  <c r="W1868" i="11"/>
  <c r="W1874" i="11"/>
  <c r="W1886" i="11"/>
  <c r="W1899" i="11"/>
  <c r="W1905" i="11"/>
  <c r="W1908" i="11"/>
  <c r="W1921" i="11"/>
  <c r="W1925" i="11"/>
  <c r="W1930" i="11"/>
  <c r="W513" i="11"/>
  <c r="W559" i="11"/>
  <c r="W579" i="11"/>
  <c r="W601" i="11"/>
  <c r="W605" i="11"/>
  <c r="W650" i="11"/>
  <c r="W662" i="11"/>
  <c r="W675" i="11"/>
  <c r="W760" i="11"/>
  <c r="W1011" i="11"/>
  <c r="W1049" i="11"/>
  <c r="W1080" i="11"/>
  <c r="W1146" i="11"/>
  <c r="W1164" i="11"/>
  <c r="W1204" i="11"/>
  <c r="W1253" i="11"/>
  <c r="W1263" i="11"/>
  <c r="W1532" i="11"/>
  <c r="W1553" i="11"/>
  <c r="W1579" i="11"/>
  <c r="W1585" i="11"/>
  <c r="W1617" i="11"/>
  <c r="W1642" i="11"/>
  <c r="W1670" i="11"/>
  <c r="W1679" i="11"/>
  <c r="W1753" i="11"/>
  <c r="W1759" i="11"/>
  <c r="W1781" i="11"/>
  <c r="W1793" i="11"/>
  <c r="W1888" i="11"/>
  <c r="W1918" i="11"/>
  <c r="W628" i="11"/>
  <c r="W629" i="11"/>
  <c r="W661" i="11"/>
  <c r="W1038" i="11"/>
  <c r="W1065" i="11"/>
  <c r="W1085" i="11"/>
  <c r="W1109" i="11"/>
  <c r="W1115" i="11"/>
  <c r="W1185" i="11"/>
  <c r="W1226" i="11"/>
  <c r="W1250" i="11"/>
  <c r="W1259" i="11"/>
  <c r="W1562" i="11"/>
  <c r="W1589" i="11"/>
  <c r="W1606" i="11"/>
  <c r="W1632" i="11"/>
  <c r="W1640" i="11"/>
  <c r="W1643" i="11"/>
  <c r="W1723" i="11"/>
  <c r="W1767" i="11"/>
  <c r="W1776" i="11"/>
  <c r="W1778" i="11"/>
  <c r="W1887" i="11"/>
  <c r="W1890" i="11"/>
  <c r="W1916" i="11"/>
  <c r="W519" i="11"/>
  <c r="W1069" i="11"/>
  <c r="W1095" i="11"/>
  <c r="W1144" i="11"/>
  <c r="W1172" i="11"/>
  <c r="W1200" i="11"/>
  <c r="W1219" i="11"/>
  <c r="W1255" i="11"/>
  <c r="Y1536" i="11"/>
  <c r="Y7" i="11"/>
  <c r="Y13" i="11"/>
  <c r="Y21" i="11"/>
  <c r="Y67" i="11"/>
  <c r="Y73" i="11"/>
  <c r="Y74" i="11"/>
  <c r="Y92" i="11"/>
  <c r="Y102" i="11"/>
  <c r="Y113" i="11"/>
  <c r="Y141" i="11"/>
  <c r="Y158" i="11"/>
  <c r="Y177" i="11"/>
  <c r="Y185" i="11"/>
  <c r="Y194" i="11"/>
  <c r="Y226" i="11"/>
  <c r="Y227" i="11"/>
  <c r="Y228" i="11"/>
  <c r="Y247" i="11"/>
  <c r="Y267" i="11"/>
  <c r="Y274" i="11"/>
  <c r="Y278" i="11"/>
  <c r="Y292" i="11"/>
  <c r="Y293" i="11"/>
  <c r="Y302" i="11"/>
  <c r="Y308" i="11"/>
  <c r="Y309" i="11"/>
  <c r="Y317" i="11"/>
  <c r="Y327" i="11"/>
  <c r="Y329" i="11"/>
  <c r="Y334" i="11"/>
  <c r="Y335" i="11"/>
  <c r="Y354" i="11"/>
  <c r="Y355" i="11"/>
  <c r="Y357" i="11"/>
  <c r="Y370" i="11"/>
  <c r="Y388" i="11"/>
  <c r="Y391" i="11"/>
  <c r="Y396" i="11"/>
  <c r="Y398" i="11"/>
  <c r="Y399" i="11"/>
  <c r="Y400" i="11"/>
  <c r="Y401" i="11"/>
  <c r="Y403" i="11"/>
  <c r="Y404" i="11"/>
  <c r="Y405" i="11"/>
  <c r="Y406" i="11"/>
  <c r="Y408" i="11"/>
  <c r="Y409" i="11"/>
  <c r="Y410" i="11"/>
  <c r="Y411" i="11"/>
  <c r="Y413" i="11"/>
  <c r="Y414" i="11"/>
  <c r="Y416" i="11"/>
  <c r="Y417" i="11"/>
  <c r="Y419" i="11"/>
  <c r="Y420" i="11"/>
  <c r="Y421" i="11"/>
  <c r="Y422" i="11"/>
  <c r="Y424" i="11"/>
  <c r="Y425" i="11"/>
  <c r="Y426" i="11"/>
  <c r="Y427" i="11"/>
  <c r="Y429" i="11"/>
  <c r="Y430" i="11"/>
  <c r="Y431" i="11"/>
  <c r="Y432" i="11"/>
  <c r="Y434" i="11"/>
  <c r="Y435" i="11"/>
  <c r="Y436" i="11"/>
  <c r="Y437" i="11"/>
  <c r="Y439" i="11"/>
  <c r="Y440" i="11"/>
  <c r="Y441" i="11"/>
  <c r="Y442" i="11"/>
  <c r="Y444" i="11"/>
  <c r="Y445" i="11"/>
  <c r="Y446" i="11"/>
  <c r="Y447" i="11"/>
  <c r="Y449" i="11"/>
  <c r="Y450" i="11"/>
  <c r="Y451" i="11"/>
  <c r="Y452" i="11"/>
  <c r="Y454" i="11"/>
  <c r="Y455" i="11"/>
  <c r="Y457" i="11"/>
  <c r="Y458" i="11"/>
  <c r="Y460" i="11"/>
  <c r="Y461" i="11"/>
  <c r="Y462" i="11"/>
  <c r="Y463" i="11"/>
  <c r="Y465" i="11"/>
  <c r="Y466" i="11"/>
  <c r="Y467" i="11"/>
  <c r="Y468" i="11"/>
  <c r="Y470" i="11"/>
  <c r="Y472" i="11"/>
  <c r="Y473" i="11"/>
  <c r="Y475" i="11"/>
  <c r="Y476" i="11"/>
  <c r="Y477" i="11"/>
  <c r="Y478" i="11"/>
  <c r="Y480" i="11"/>
  <c r="Y481" i="11"/>
  <c r="Y482" i="11"/>
  <c r="Y483" i="11"/>
  <c r="Y485" i="11"/>
  <c r="Y486" i="11"/>
  <c r="Y487" i="11"/>
  <c r="Y488" i="11"/>
  <c r="Y490" i="11"/>
  <c r="Y491" i="11"/>
  <c r="Y492" i="11"/>
  <c r="Y493" i="11"/>
  <c r="Y495" i="11"/>
  <c r="Y496" i="11"/>
  <c r="Y498" i="11"/>
  <c r="Y500" i="11"/>
  <c r="Y11" i="11"/>
  <c r="Y17" i="11"/>
  <c r="Y23" i="11"/>
  <c r="Y28" i="11"/>
  <c r="Y30" i="11"/>
  <c r="Y37" i="11"/>
  <c r="Y38" i="11"/>
  <c r="Y40" i="11"/>
  <c r="Y43" i="11"/>
  <c r="Y48" i="11"/>
  <c r="Y58" i="11"/>
  <c r="Y59" i="11"/>
  <c r="Y68" i="11"/>
  <c r="Y71" i="11"/>
  <c r="Y82" i="11"/>
  <c r="Y94" i="11"/>
  <c r="Y100" i="11"/>
  <c r="Y107" i="11"/>
  <c r="Y109" i="11"/>
  <c r="Y114" i="11"/>
  <c r="Y115" i="11"/>
  <c r="Y118" i="11"/>
  <c r="Y122" i="11"/>
  <c r="Y125" i="11"/>
  <c r="Y128" i="11"/>
  <c r="Y134" i="11"/>
  <c r="Y135" i="11"/>
  <c r="Y136" i="11"/>
  <c r="Y145" i="11"/>
  <c r="Y156" i="11"/>
  <c r="Y163" i="11"/>
  <c r="Y164" i="11"/>
  <c r="Y165" i="11"/>
  <c r="Y166" i="11"/>
  <c r="Y169" i="11"/>
  <c r="Y172" i="11"/>
  <c r="Y175" i="11"/>
  <c r="Y176" i="11"/>
  <c r="Y181" i="11"/>
  <c r="Y184" i="11"/>
  <c r="Y187" i="11"/>
  <c r="Y199" i="11"/>
  <c r="Y218" i="11"/>
  <c r="Y232" i="11"/>
  <c r="Y233" i="11"/>
  <c r="Y250" i="11"/>
  <c r="Y258" i="11"/>
  <c r="Y262" i="11"/>
  <c r="Y268" i="11"/>
  <c r="Y272" i="11"/>
  <c r="Y281" i="11"/>
  <c r="Y284" i="11"/>
  <c r="Y294" i="11"/>
  <c r="Y296" i="11"/>
  <c r="Y304" i="11"/>
  <c r="Y307" i="11"/>
  <c r="Y311" i="11"/>
  <c r="Y314" i="11"/>
  <c r="Y318" i="11"/>
  <c r="Y321" i="11"/>
  <c r="Y322" i="11"/>
  <c r="Y326" i="11"/>
  <c r="Y332" i="11"/>
  <c r="Y338" i="11"/>
  <c r="Y339" i="11"/>
  <c r="Y340" i="11"/>
  <c r="Y343" i="11"/>
  <c r="Y344" i="11"/>
  <c r="Y352" i="11"/>
  <c r="Y360" i="11"/>
  <c r="Y372" i="11"/>
  <c r="Y373" i="11"/>
  <c r="Y375" i="11"/>
  <c r="Y378" i="11"/>
  <c r="Y381" i="11"/>
  <c r="Y389" i="11"/>
  <c r="Y390" i="11"/>
  <c r="Y393" i="11"/>
  <c r="Y514" i="11"/>
  <c r="Y569" i="11"/>
  <c r="Y573" i="11"/>
  <c r="Y580" i="11"/>
  <c r="Y593" i="11"/>
  <c r="Y598" i="11"/>
  <c r="Y600" i="11"/>
  <c r="Y602" i="11"/>
  <c r="Y603" i="11"/>
  <c r="Y610" i="11"/>
  <c r="Y615" i="11"/>
  <c r="Y617" i="11"/>
  <c r="Y627" i="11"/>
  <c r="Y629" i="11"/>
  <c r="Y630" i="11"/>
  <c r="Y634" i="11"/>
  <c r="Y647" i="11"/>
  <c r="Y656" i="11"/>
  <c r="Y657" i="11"/>
  <c r="Y658" i="11"/>
  <c r="Y668" i="11"/>
  <c r="Y683" i="11"/>
  <c r="Y684" i="11"/>
  <c r="Y686" i="11"/>
  <c r="Y687" i="11"/>
  <c r="Y769" i="11"/>
  <c r="Y789" i="11"/>
  <c r="Y796" i="11"/>
  <c r="Y808" i="11"/>
  <c r="Y812" i="11"/>
  <c r="Y813" i="11"/>
  <c r="Y822" i="11"/>
  <c r="Y861" i="11"/>
  <c r="Y862" i="11"/>
  <c r="Y891" i="11"/>
  <c r="Y894" i="11"/>
  <c r="Y926" i="11"/>
  <c r="Y927" i="11"/>
  <c r="Y940" i="11"/>
  <c r="Y949" i="11"/>
  <c r="Y953" i="11"/>
  <c r="Y954" i="11"/>
  <c r="Y971" i="11"/>
  <c r="Y1001" i="11"/>
  <c r="Y1003" i="11"/>
  <c r="Y1008" i="11"/>
  <c r="Y1012" i="11"/>
  <c r="Y1013" i="11"/>
  <c r="Y1014" i="11"/>
  <c r="Y1015" i="11"/>
  <c r="Y1018" i="11"/>
  <c r="Y1019" i="11"/>
  <c r="Y1021" i="11"/>
  <c r="Y1027" i="11"/>
  <c r="Y1030" i="11"/>
  <c r="Y1033" i="11"/>
  <c r="Y1036" i="11"/>
  <c r="Y1037" i="11"/>
  <c r="Y1038" i="11"/>
  <c r="Y1043" i="11"/>
  <c r="Y1044" i="11"/>
  <c r="Y1049" i="11"/>
  <c r="Y1051" i="11"/>
  <c r="Y1052" i="11"/>
  <c r="Y1054" i="11"/>
  <c r="Y1057" i="11"/>
  <c r="Y1064" i="11"/>
  <c r="Y1065" i="11"/>
  <c r="Y1069" i="11"/>
  <c r="Y1077" i="11"/>
  <c r="Y1080" i="11"/>
  <c r="Y1081" i="11"/>
  <c r="Y1085" i="11"/>
  <c r="Y1086" i="11"/>
  <c r="Y1088" i="11"/>
  <c r="Y1090" i="11"/>
  <c r="Y1091" i="11"/>
  <c r="Y1098" i="11"/>
  <c r="Y1104" i="11"/>
  <c r="Y1107" i="11"/>
  <c r="Y1110" i="11"/>
  <c r="Y1111" i="11"/>
  <c r="Y1115" i="11"/>
  <c r="Y1117" i="11"/>
  <c r="Y1118" i="11"/>
  <c r="Y1121" i="11"/>
  <c r="Y1123" i="11"/>
  <c r="Y1127" i="11"/>
  <c r="Y1129" i="11"/>
  <c r="Y1132" i="11"/>
  <c r="Y1133" i="11"/>
  <c r="Y1134" i="11"/>
  <c r="Y1135" i="11"/>
  <c r="Y1139" i="11"/>
  <c r="Y1140" i="11"/>
  <c r="Y1143" i="11"/>
  <c r="Y1144" i="11"/>
  <c r="Y1152" i="11"/>
  <c r="Y1154" i="11"/>
  <c r="Y1156" i="11"/>
  <c r="Y1161" i="11"/>
  <c r="Y1163" i="11"/>
  <c r="Y1167" i="11"/>
  <c r="Y1173" i="11"/>
  <c r="Y1176" i="11"/>
  <c r="Y1177" i="11"/>
  <c r="Y1184" i="11"/>
  <c r="Y1186" i="11"/>
  <c r="Y1188" i="11"/>
  <c r="Y1190" i="11"/>
  <c r="Y1192" i="11"/>
  <c r="Y1195" i="11"/>
  <c r="Y1199" i="11"/>
  <c r="Y1200" i="11"/>
  <c r="Y1201" i="11"/>
  <c r="Y1208" i="11"/>
  <c r="Y4" i="11"/>
  <c r="Y10" i="11"/>
  <c r="Y22" i="11"/>
  <c r="Y41" i="11"/>
  <c r="Y42" i="11"/>
  <c r="Y53" i="11"/>
  <c r="Y66" i="11"/>
  <c r="Y79" i="11"/>
  <c r="Y97" i="11"/>
  <c r="Y103" i="11"/>
  <c r="Y110" i="11"/>
  <c r="Y131" i="11"/>
  <c r="Y148" i="11"/>
  <c r="Y149" i="11"/>
  <c r="Y155" i="11"/>
  <c r="Y159" i="11"/>
  <c r="Y160" i="11"/>
  <c r="Y171" i="11"/>
  <c r="Y196" i="11"/>
  <c r="Y197" i="11"/>
  <c r="Y210" i="11"/>
  <c r="Y216" i="11"/>
  <c r="Y230" i="11"/>
  <c r="Y235" i="11"/>
  <c r="Y236" i="11"/>
  <c r="Y241" i="11"/>
  <c r="Y243" i="11"/>
  <c r="Y263" i="11"/>
  <c r="Y264" i="11"/>
  <c r="Y271" i="11"/>
  <c r="Y279" i="11"/>
  <c r="Y298" i="11"/>
  <c r="Y299" i="11"/>
  <c r="Y328" i="11"/>
  <c r="Y345" i="11"/>
  <c r="Y347" i="11"/>
  <c r="Y359" i="11"/>
  <c r="Y362" i="11"/>
  <c r="Y369" i="11"/>
  <c r="Y376" i="11"/>
  <c r="Y383" i="11"/>
  <c r="Y385" i="11"/>
  <c r="Y510" i="11"/>
  <c r="Y512" i="11"/>
  <c r="Y515" i="11"/>
  <c r="Y592" i="11"/>
  <c r="Y595" i="11"/>
  <c r="Y607" i="11"/>
  <c r="Y633" i="11"/>
  <c r="Y639" i="11"/>
  <c r="Y653" i="11"/>
  <c r="Y655" i="11"/>
  <c r="Y663" i="11"/>
  <c r="Y669" i="11"/>
  <c r="Y682" i="11"/>
  <c r="Y799" i="11"/>
  <c r="Y819" i="11"/>
  <c r="Y830" i="11"/>
  <c r="Y834" i="11"/>
  <c r="Y842" i="11"/>
  <c r="Y843" i="11"/>
  <c r="Y856" i="11"/>
  <c r="Y874" i="11"/>
  <c r="Y896" i="11"/>
  <c r="Y921" i="11"/>
  <c r="Y947" i="11"/>
  <c r="Y958" i="11"/>
  <c r="Y982" i="11"/>
  <c r="Y984" i="11"/>
  <c r="Y1223" i="11"/>
  <c r="Y1230" i="11"/>
  <c r="Y1232" i="11"/>
  <c r="Y1236" i="11"/>
  <c r="Y1237" i="11"/>
  <c r="Y1240" i="11"/>
  <c r="Y1249" i="11"/>
  <c r="Y1257" i="11"/>
  <c r="Y1259" i="11"/>
  <c r="Y1541" i="11"/>
  <c r="Y1557" i="11"/>
  <c r="Y1572" i="11"/>
  <c r="Y1608" i="11"/>
  <c r="Y1634" i="11"/>
  <c r="Y1649" i="11"/>
  <c r="Y1656" i="11"/>
  <c r="Y1662" i="11"/>
  <c r="Y1668" i="11"/>
  <c r="Y1693" i="11"/>
  <c r="Y1697" i="11"/>
  <c r="Y1748" i="11"/>
  <c r="Y1759" i="11"/>
  <c r="Y1773" i="11"/>
  <c r="Y1793" i="11"/>
  <c r="Y1863" i="11"/>
  <c r="Y1885" i="11"/>
  <c r="Y1887" i="11"/>
  <c r="Y1892" i="11"/>
  <c r="Y1906" i="11"/>
  <c r="Y1911" i="11"/>
  <c r="Y1914" i="11"/>
  <c r="Y1922" i="11"/>
  <c r="Y1925" i="11"/>
  <c r="Y1929" i="11"/>
  <c r="Y5" i="11"/>
  <c r="Y8" i="11"/>
  <c r="Y12" i="11"/>
  <c r="Y15" i="11"/>
  <c r="Y16" i="11"/>
  <c r="Y20" i="11"/>
  <c r="Y27" i="11"/>
  <c r="Y31" i="11"/>
  <c r="Y32" i="11"/>
  <c r="Y36" i="11"/>
  <c r="Y45" i="11"/>
  <c r="Y46" i="11"/>
  <c r="Y49" i="11"/>
  <c r="Y56" i="11"/>
  <c r="Y57" i="11"/>
  <c r="Y63" i="11"/>
  <c r="Y69" i="11"/>
  <c r="Y72" i="11"/>
  <c r="Y76" i="11"/>
  <c r="Y78" i="11"/>
  <c r="Y81" i="11"/>
  <c r="Y87" i="11"/>
  <c r="Y90" i="11"/>
  <c r="Y93" i="11"/>
  <c r="Y104" i="11"/>
  <c r="Y105" i="11"/>
  <c r="Y112" i="11"/>
  <c r="Y119" i="11"/>
  <c r="Y120" i="11"/>
  <c r="Y123" i="11"/>
  <c r="Y124" i="11"/>
  <c r="Y127" i="11"/>
  <c r="Y138" i="11"/>
  <c r="Y139" i="11"/>
  <c r="Y140" i="11"/>
  <c r="Y143" i="11"/>
  <c r="Y150" i="11"/>
  <c r="Y151" i="11"/>
  <c r="Y179" i="11"/>
  <c r="Y186" i="11"/>
  <c r="Y189" i="11"/>
  <c r="Y190" i="11"/>
  <c r="Y191" i="11"/>
  <c r="Y195" i="11"/>
  <c r="Y200" i="11"/>
  <c r="Y201" i="11"/>
  <c r="Y202" i="11"/>
  <c r="Y204" i="11"/>
  <c r="Y209" i="11"/>
  <c r="Y221" i="11"/>
  <c r="Y231" i="11"/>
  <c r="Y245" i="11"/>
  <c r="Y248" i="11"/>
  <c r="Y254" i="11"/>
  <c r="Y256" i="11"/>
  <c r="Y261" i="11"/>
  <c r="Y273" i="11"/>
  <c r="Y286" i="11"/>
  <c r="Y303" i="11"/>
  <c r="Y306" i="11"/>
  <c r="Y312" i="11"/>
  <c r="Y313" i="11"/>
  <c r="Y316" i="11"/>
  <c r="Y324" i="11"/>
  <c r="Y337" i="11"/>
  <c r="Y353" i="11"/>
  <c r="Y363" i="11"/>
  <c r="Y364" i="11"/>
  <c r="Y367" i="11"/>
  <c r="Y368" i="11"/>
  <c r="Y386" i="11"/>
  <c r="Y394" i="11"/>
  <c r="Y395" i="11"/>
  <c r="Y508" i="11"/>
  <c r="Y524" i="11"/>
  <c r="Y551" i="11"/>
  <c r="Y552" i="11"/>
  <c r="Y561" i="11"/>
  <c r="Y562" i="11"/>
  <c r="Y563" i="11"/>
  <c r="Y575" i="11"/>
  <c r="Y590" i="11"/>
  <c r="Y599" i="11"/>
  <c r="Y613" i="11"/>
  <c r="Y614" i="11"/>
  <c r="Y619" i="11"/>
  <c r="Y626" i="11"/>
  <c r="Y632" i="11"/>
  <c r="Y671" i="11"/>
  <c r="Y672" i="11"/>
  <c r="Y679" i="11"/>
  <c r="Y685" i="11"/>
  <c r="Y690" i="11"/>
  <c r="Y691" i="11"/>
  <c r="Y699" i="11"/>
  <c r="Y701" i="11"/>
  <c r="Y702" i="11"/>
  <c r="Y761" i="11"/>
  <c r="Y806" i="11"/>
  <c r="Y816" i="11"/>
  <c r="Y895" i="11"/>
  <c r="Y904" i="11"/>
  <c r="Y931" i="11"/>
  <c r="Y932" i="11"/>
  <c r="Y937" i="11"/>
  <c r="Y1217" i="11"/>
  <c r="Y1219" i="11"/>
  <c r="Y1220" i="11"/>
  <c r="Y1224" i="11"/>
  <c r="Y1225" i="11"/>
  <c r="Y1228" i="11"/>
  <c r="Y1229" i="11"/>
  <c r="Y1235" i="11"/>
  <c r="Y1238" i="11"/>
  <c r="Y1241" i="11"/>
  <c r="Y1242" i="11"/>
  <c r="Y1251" i="11"/>
  <c r="Y1253" i="11"/>
  <c r="Y1512" i="11"/>
  <c r="Y1514" i="11"/>
  <c r="Y1515" i="11"/>
  <c r="Y1516" i="11"/>
  <c r="Y1531" i="11"/>
  <c r="Y1562" i="11"/>
  <c r="Y1574" i="11"/>
  <c r="Y1583" i="11"/>
  <c r="Y1587" i="11"/>
  <c r="Y1589" i="11"/>
  <c r="Y1596" i="11"/>
  <c r="Y1600" i="11"/>
  <c r="Y1610" i="11"/>
  <c r="Y1613" i="11"/>
  <c r="Y1620" i="11"/>
  <c r="Y1621" i="11"/>
  <c r="Y1622" i="11"/>
  <c r="Y1633" i="11"/>
  <c r="Y1635" i="11"/>
  <c r="Y1640" i="11"/>
  <c r="Y1643" i="11"/>
  <c r="Y1644" i="11"/>
  <c r="Y1646" i="11"/>
  <c r="Y1658" i="11"/>
  <c r="Y1659" i="11"/>
  <c r="Y1660" i="11"/>
  <c r="Y1664" i="11"/>
  <c r="Y1667" i="11"/>
  <c r="Y1669" i="11"/>
  <c r="Y1670" i="11"/>
  <c r="Y1678" i="11"/>
  <c r="Y1679" i="11"/>
  <c r="Y1695" i="11"/>
  <c r="Y1704" i="11"/>
  <c r="Y1708" i="11"/>
  <c r="Y1713" i="11"/>
  <c r="Y1728" i="11"/>
  <c r="Y1729" i="11"/>
  <c r="Y1750" i="11"/>
  <c r="Y1758" i="11"/>
  <c r="Y1768" i="11"/>
  <c r="Y1774" i="11"/>
  <c r="Y1776" i="11"/>
  <c r="Y1787" i="11"/>
  <c r="Y1788" i="11"/>
  <c r="Y1792" i="11"/>
  <c r="Y1795" i="11"/>
  <c r="Y1874" i="11"/>
  <c r="Y1880" i="11"/>
  <c r="Y1882" i="11"/>
  <c r="Y1883" i="11"/>
  <c r="Y1884" i="11"/>
  <c r="Y1888" i="11"/>
  <c r="Y1896" i="11"/>
  <c r="Y1899" i="11"/>
  <c r="Y1910" i="11"/>
  <c r="Y1918" i="11"/>
  <c r="Y1921" i="11"/>
  <c r="Y18" i="11"/>
  <c r="Y33" i="11"/>
  <c r="Y35" i="11"/>
  <c r="Y54" i="11"/>
  <c r="Y61" i="11"/>
  <c r="Y62" i="11"/>
  <c r="Y64" i="11"/>
  <c r="Y89" i="11"/>
  <c r="Y95" i="11"/>
  <c r="Y98" i="11"/>
  <c r="Y108" i="11"/>
  <c r="Y117" i="11"/>
  <c r="Y130" i="11"/>
  <c r="Y153" i="11"/>
  <c r="Y154" i="11"/>
  <c r="Y161" i="11"/>
  <c r="Y168" i="11"/>
  <c r="Y180" i="11"/>
  <c r="Y182" i="11"/>
  <c r="Y207" i="11"/>
  <c r="Y215" i="11"/>
  <c r="Y217" i="11"/>
  <c r="Y225" i="11"/>
  <c r="Y240" i="11"/>
  <c r="Y242" i="11"/>
  <c r="Y253" i="11"/>
  <c r="Y266" i="11"/>
  <c r="Y269" i="11"/>
  <c r="Y282" i="11"/>
  <c r="Y288" i="11"/>
  <c r="Y289" i="11"/>
  <c r="Y297" i="11"/>
  <c r="Y301" i="11"/>
  <c r="Y319" i="11"/>
  <c r="Y323" i="11"/>
  <c r="Y331" i="11"/>
  <c r="Y342" i="11"/>
  <c r="Y348" i="11"/>
  <c r="Y349" i="11"/>
  <c r="Y350" i="11"/>
  <c r="Y384" i="11"/>
  <c r="Y505" i="11"/>
  <c r="Y520" i="11"/>
  <c r="Y579" i="11"/>
  <c r="Y585" i="11"/>
  <c r="Y642" i="11"/>
  <c r="Y644" i="11"/>
  <c r="Y648" i="11"/>
  <c r="Y666" i="11"/>
  <c r="Y673" i="11"/>
  <c r="Y674" i="11"/>
  <c r="Y763" i="11"/>
  <c r="Y784" i="11"/>
  <c r="Y864" i="11"/>
  <c r="Y867" i="11"/>
  <c r="Y928" i="11"/>
  <c r="Y963" i="11"/>
  <c r="Y1221" i="11"/>
  <c r="Y1234" i="11"/>
  <c r="Y1504" i="11"/>
  <c r="Y1507" i="11"/>
  <c r="Y1508" i="11"/>
  <c r="Y1510" i="11"/>
  <c r="Y1513" i="11"/>
  <c r="Y1517" i="11"/>
  <c r="Y1518" i="11"/>
  <c r="Y1519" i="11"/>
  <c r="Y1520" i="11"/>
  <c r="Y1521" i="11"/>
  <c r="Y1522" i="11"/>
  <c r="Y1527" i="11"/>
  <c r="Y1530" i="11"/>
  <c r="Y1532" i="11"/>
  <c r="Y1544" i="11"/>
  <c r="Y1571" i="11"/>
  <c r="Y1617" i="11"/>
  <c r="Y1624" i="11"/>
  <c r="Y1651" i="11"/>
  <c r="Y1655" i="11"/>
  <c r="Y1681" i="11"/>
  <c r="Y1687" i="11"/>
  <c r="Y1688" i="11"/>
  <c r="Y1690" i="11"/>
  <c r="Y1700" i="11"/>
  <c r="Y1722" i="11"/>
  <c r="Y1738" i="11"/>
  <c r="Y1739" i="11"/>
  <c r="Y1742" i="11"/>
  <c r="Y1763" i="11"/>
  <c r="Y1798" i="11"/>
  <c r="Y1799" i="11"/>
  <c r="Y1856" i="11"/>
  <c r="Y1857" i="11"/>
  <c r="Y1901" i="11"/>
  <c r="Y1903" i="11"/>
  <c r="Y1908" i="11"/>
  <c r="Y25" i="11"/>
  <c r="Y26" i="11"/>
  <c r="Y51" i="11"/>
  <c r="Y52" i="11"/>
  <c r="Y77" i="11"/>
  <c r="Y83" i="11"/>
  <c r="Y84" i="11"/>
  <c r="Y86" i="11"/>
  <c r="Y99" i="11"/>
  <c r="Y133" i="11"/>
  <c r="Y146" i="11"/>
  <c r="Y174" i="11"/>
  <c r="Y192" i="11"/>
  <c r="Y205" i="11"/>
  <c r="Y206" i="11"/>
  <c r="Y212" i="11"/>
  <c r="Y213" i="11"/>
  <c r="Y220" i="11"/>
  <c r="Y222" i="11"/>
  <c r="Y223" i="11"/>
  <c r="Y237" i="11"/>
  <c r="Y238" i="11"/>
  <c r="Y251" i="11"/>
  <c r="Y257" i="11"/>
  <c r="Y259" i="11"/>
  <c r="Y276" i="11"/>
  <c r="Y277" i="11"/>
  <c r="Y283" i="11"/>
  <c r="Y291" i="11"/>
  <c r="Y358" i="11"/>
  <c r="Y365" i="11"/>
  <c r="Y379" i="11"/>
  <c r="Y380" i="11"/>
  <c r="Y521" i="11"/>
  <c r="Y550" i="11"/>
  <c r="Y567" i="11"/>
  <c r="Y568" i="11"/>
  <c r="Y587" i="11"/>
  <c r="Y660" i="11"/>
  <c r="Y661" i="11"/>
  <c r="Y662" i="11"/>
  <c r="Y667" i="11"/>
  <c r="Y680" i="11"/>
  <c r="Y693" i="11"/>
  <c r="Y696" i="11"/>
  <c r="Y698" i="11"/>
  <c r="Y755" i="11"/>
  <c r="Y757" i="11"/>
  <c r="Y773" i="11"/>
  <c r="Y818" i="11"/>
  <c r="Y938" i="11"/>
  <c r="Y975" i="11"/>
  <c r="Y1216" i="11"/>
  <c r="Y1222" i="11"/>
  <c r="Y1247" i="11"/>
  <c r="Y1254" i="11"/>
  <c r="Y1255" i="11"/>
  <c r="Y1260" i="11"/>
  <c r="Y1502" i="11"/>
  <c r="Y1509" i="11"/>
  <c r="Y1511" i="11"/>
  <c r="Y1559" i="11"/>
  <c r="Y1567" i="11"/>
  <c r="Y1568" i="11"/>
  <c r="Y1577" i="11"/>
  <c r="Y1672" i="11"/>
  <c r="Y1675" i="11"/>
  <c r="Y1705" i="11"/>
  <c r="Y1707" i="11"/>
  <c r="Y1719" i="11"/>
  <c r="Y2" i="11"/>
  <c r="Y578" i="11"/>
  <c r="Y589" i="11"/>
  <c r="Y637" i="11"/>
  <c r="Y678" i="11"/>
  <c r="Y695" i="11"/>
  <c r="Y760" i="11"/>
  <c r="Y765" i="11"/>
  <c r="Y767" i="11"/>
  <c r="Y770" i="11"/>
  <c r="Y777" i="11"/>
  <c r="Y778" i="11"/>
  <c r="Y782" i="11"/>
  <c r="Y785" i="11"/>
  <c r="Y787" i="11"/>
  <c r="Y788" i="11"/>
  <c r="Y800" i="11"/>
  <c r="Y801" i="11"/>
  <c r="Y804" i="11"/>
  <c r="Y815" i="11"/>
  <c r="Y824" i="11"/>
  <c r="Y825" i="11"/>
  <c r="Y827" i="11"/>
  <c r="Y831" i="11"/>
  <c r="Y840" i="11"/>
  <c r="Y849" i="11"/>
  <c r="Y850" i="11"/>
  <c r="Y857" i="11"/>
  <c r="Y860" i="11"/>
  <c r="Y863" i="11"/>
  <c r="Y871" i="11"/>
  <c r="Y876" i="11"/>
  <c r="Y877" i="11"/>
  <c r="Y899" i="11"/>
  <c r="Y919" i="11"/>
  <c r="Y929" i="11"/>
  <c r="Y936" i="11"/>
  <c r="Y941" i="11"/>
  <c r="Y942" i="11"/>
  <c r="Y945" i="11"/>
  <c r="Y957" i="11"/>
  <c r="Y965" i="11"/>
  <c r="Y966" i="11"/>
  <c r="Y968" i="11"/>
  <c r="Y972" i="11"/>
  <c r="Y978" i="11"/>
  <c r="Y981" i="11"/>
  <c r="Y988" i="11"/>
  <c r="Y989" i="11"/>
  <c r="Y995" i="11"/>
  <c r="Y522" i="11"/>
  <c r="Y586" i="11"/>
  <c r="Y591" i="11"/>
  <c r="Y620" i="11"/>
  <c r="Y675" i="11"/>
  <c r="Y751" i="11"/>
  <c r="Y1028" i="11"/>
  <c r="Y1074" i="11"/>
  <c r="Y1097" i="11"/>
  <c r="Y1130" i="11"/>
  <c r="Y1131" i="11"/>
  <c r="Y1145" i="11"/>
  <c r="Y1207" i="11"/>
  <c r="Y1231" i="11"/>
  <c r="Y1233" i="11"/>
  <c r="Y1252" i="11"/>
  <c r="Y1261" i="11"/>
  <c r="Y566" i="11"/>
  <c r="Y1023" i="11"/>
  <c r="Y1112" i="11"/>
  <c r="Y1164" i="11"/>
  <c r="Y1244" i="11"/>
  <c r="Y1246" i="11"/>
  <c r="Y1248" i="11"/>
  <c r="Y1534" i="11"/>
  <c r="Y1542" i="11"/>
  <c r="Y1578" i="11"/>
  <c r="Y1579" i="11"/>
  <c r="Y1580" i="11"/>
  <c r="Y1599" i="11"/>
  <c r="Y1626" i="11"/>
  <c r="Y1630" i="11"/>
  <c r="Y1684" i="11"/>
  <c r="Y1685" i="11"/>
  <c r="Y1691" i="11"/>
  <c r="Y1718" i="11"/>
  <c r="Y1725" i="11"/>
  <c r="Y1747" i="11"/>
  <c r="Y1767" i="11"/>
  <c r="Y1781" i="11"/>
  <c r="Y1868" i="11"/>
  <c r="Y1871" i="11"/>
  <c r="Y1905" i="11"/>
  <c r="Y1926" i="11"/>
  <c r="Y1927" i="11"/>
  <c r="Y1930" i="11"/>
  <c r="Y559" i="11"/>
  <c r="Y605" i="11"/>
  <c r="Y618" i="11"/>
  <c r="Y650" i="11"/>
  <c r="Y1004" i="11"/>
  <c r="Y1011" i="11"/>
  <c r="Y1061" i="11"/>
  <c r="Y1063" i="11"/>
  <c r="Y1068" i="11"/>
  <c r="Y1083" i="11"/>
  <c r="Y1114" i="11"/>
  <c r="Y1146" i="11"/>
  <c r="Y1159" i="11"/>
  <c r="Y1204" i="11"/>
  <c r="Y1263" i="11"/>
  <c r="Y1538" i="11"/>
  <c r="Y1553" i="11"/>
  <c r="Y1570" i="11"/>
  <c r="Y1581" i="11"/>
  <c r="Y1584" i="11"/>
  <c r="Y1623" i="11"/>
  <c r="Y1638" i="11"/>
  <c r="Y1642" i="11"/>
  <c r="Y1745" i="11"/>
  <c r="Y1753" i="11"/>
  <c r="Y1779" i="11"/>
  <c r="Y1915" i="11"/>
  <c r="Y1920" i="11"/>
  <c r="Y560" i="11"/>
  <c r="Y606" i="11"/>
  <c r="Y628" i="11"/>
  <c r="Y999" i="11"/>
  <c r="Y1031" i="11"/>
  <c r="Y1046" i="11"/>
  <c r="Y1109" i="11"/>
  <c r="Y1147" i="11"/>
  <c r="Y1226" i="11"/>
  <c r="Y1250" i="11"/>
  <c r="Y1540" i="11"/>
  <c r="Y1545" i="11"/>
  <c r="Y1554" i="11"/>
  <c r="Y1566" i="11"/>
  <c r="Y1603" i="11"/>
  <c r="Y1606" i="11"/>
  <c r="Y1607" i="11"/>
  <c r="Y1611" i="11"/>
  <c r="Y1632" i="11"/>
  <c r="Y1720" i="11"/>
  <c r="Y1723" i="11"/>
  <c r="Y1755" i="11"/>
  <c r="Y1778" i="11"/>
  <c r="Y1886" i="11"/>
  <c r="Y1890" i="11"/>
  <c r="Y1900" i="11"/>
  <c r="Y1916" i="11"/>
  <c r="Y519" i="11"/>
  <c r="Y574" i="11"/>
  <c r="Y997" i="11"/>
  <c r="Y1094" i="11"/>
  <c r="Y1095" i="11"/>
  <c r="Y1119" i="11"/>
  <c r="Y1150" i="11"/>
  <c r="Y1172" i="11"/>
  <c r="Y1185" i="11"/>
  <c r="Y1209" i="11"/>
  <c r="M81" i="11"/>
  <c r="M92" i="11"/>
  <c r="M112" i="11"/>
  <c r="M128" i="11"/>
  <c r="M226" i="11"/>
  <c r="M235" i="11"/>
  <c r="M266" i="11"/>
  <c r="M326" i="11"/>
  <c r="M347" i="11"/>
  <c r="M398" i="11"/>
  <c r="M399" i="11"/>
  <c r="M408" i="11"/>
  <c r="M414" i="11"/>
  <c r="M415" i="11"/>
  <c r="M419" i="11"/>
  <c r="M429" i="11"/>
  <c r="M439" i="11"/>
  <c r="M449" i="11"/>
  <c r="M455" i="11"/>
  <c r="M456" i="11"/>
  <c r="M460" i="11"/>
  <c r="M470" i="11"/>
  <c r="M471" i="11"/>
  <c r="M480" i="11"/>
  <c r="M481" i="11"/>
  <c r="M490" i="11"/>
  <c r="M497" i="11"/>
  <c r="M498" i="11"/>
  <c r="M3" i="11"/>
  <c r="M5" i="11"/>
  <c r="M46" i="11"/>
  <c r="M87" i="11"/>
  <c r="M88" i="11"/>
  <c r="M122" i="11"/>
  <c r="M154" i="11"/>
  <c r="M194" i="11"/>
  <c r="M204" i="11"/>
  <c r="M215" i="11"/>
  <c r="M225" i="11"/>
  <c r="M236" i="11"/>
  <c r="M246" i="11"/>
  <c r="M276" i="11"/>
  <c r="M287" i="11"/>
  <c r="M378" i="11"/>
  <c r="M388" i="11"/>
  <c r="M507" i="11"/>
  <c r="M510" i="11"/>
  <c r="M521" i="11"/>
  <c r="M527" i="11"/>
  <c r="M563" i="11"/>
  <c r="M573" i="11"/>
  <c r="M601" i="11"/>
  <c r="M702" i="11"/>
  <c r="M757" i="11"/>
  <c r="M795" i="11"/>
  <c r="M806" i="11"/>
  <c r="M820" i="11"/>
  <c r="M836" i="11"/>
  <c r="M840" i="11"/>
  <c r="M874" i="11"/>
  <c r="M959" i="11"/>
  <c r="M971" i="11"/>
  <c r="M978" i="11"/>
  <c r="M982" i="11"/>
  <c r="M1001" i="11"/>
  <c r="M1005" i="11"/>
  <c r="M1015" i="11"/>
  <c r="M1016" i="11"/>
  <c r="M1017" i="11"/>
  <c r="M1023" i="11"/>
  <c r="M1026" i="11"/>
  <c r="M1029" i="11"/>
  <c r="M1030" i="11"/>
  <c r="M1032" i="11"/>
  <c r="M1033" i="11"/>
  <c r="M1035" i="11"/>
  <c r="M1037" i="11"/>
  <c r="M1038" i="11"/>
  <c r="M1039" i="11"/>
  <c r="M1043" i="11"/>
  <c r="M1046" i="11"/>
  <c r="M1048" i="11"/>
  <c r="M1049" i="11"/>
  <c r="M1052" i="11"/>
  <c r="M1058" i="11"/>
  <c r="M1061" i="11"/>
  <c r="M1062" i="11"/>
  <c r="M1067" i="11"/>
  <c r="M1069" i="11"/>
  <c r="M1071" i="11"/>
  <c r="M1074" i="11"/>
  <c r="M1079" i="11"/>
  <c r="M1083" i="11"/>
  <c r="M1087" i="11"/>
  <c r="M1088" i="11"/>
  <c r="M1090" i="11"/>
  <c r="M1094" i="11"/>
  <c r="M1099" i="11"/>
  <c r="M1100" i="11"/>
  <c r="M1109" i="11"/>
  <c r="M1111" i="11"/>
  <c r="M1113" i="11"/>
  <c r="M1114" i="11"/>
  <c r="M1115" i="11"/>
  <c r="M1122" i="11"/>
  <c r="M1132" i="11"/>
  <c r="M1133" i="11"/>
  <c r="M1134" i="11"/>
  <c r="M1144" i="11"/>
  <c r="M1145" i="11"/>
  <c r="M1152" i="11"/>
  <c r="M1153" i="11"/>
  <c r="M1155" i="11"/>
  <c r="M1156" i="11"/>
  <c r="M1159" i="11"/>
  <c r="M1162" i="11"/>
  <c r="M1164" i="11"/>
  <c r="M1172" i="11"/>
  <c r="M1173" i="11"/>
  <c r="M1176" i="11"/>
  <c r="M1186" i="11"/>
  <c r="M1190" i="11"/>
  <c r="M1192" i="11"/>
  <c r="M1199" i="11"/>
  <c r="M40" i="11"/>
  <c r="M47" i="11"/>
  <c r="M61" i="11"/>
  <c r="M129" i="11"/>
  <c r="M143" i="11"/>
  <c r="M184" i="11"/>
  <c r="M210" i="11"/>
  <c r="M256" i="11"/>
  <c r="M286" i="11"/>
  <c r="M296" i="11"/>
  <c r="M306" i="11"/>
  <c r="M333" i="11"/>
  <c r="M572" i="11"/>
  <c r="M605" i="11"/>
  <c r="M620" i="11"/>
  <c r="M630" i="11"/>
  <c r="M662" i="11"/>
  <c r="M695" i="11"/>
  <c r="M785" i="11"/>
  <c r="M830" i="11"/>
  <c r="M870" i="11"/>
  <c r="M920" i="11"/>
  <c r="M946" i="11"/>
  <c r="M981" i="11"/>
  <c r="M1220" i="11"/>
  <c r="M1222" i="11"/>
  <c r="M1234" i="11"/>
  <c r="M1252" i="11"/>
  <c r="M1255" i="11"/>
  <c r="M1506" i="11"/>
  <c r="M1518" i="11"/>
  <c r="M1531" i="11"/>
  <c r="M1546" i="11"/>
  <c r="M1554" i="11"/>
  <c r="M1567" i="11"/>
  <c r="M1574" i="11"/>
  <c r="M1579" i="11"/>
  <c r="M1584" i="11"/>
  <c r="M1596" i="11"/>
  <c r="M1611" i="11"/>
  <c r="M1621" i="11"/>
  <c r="M1626" i="11"/>
  <c r="M1640" i="11"/>
  <c r="M1661" i="11"/>
  <c r="M1662" i="11"/>
  <c r="M1681" i="11"/>
  <c r="M1691" i="11"/>
  <c r="M1696" i="11"/>
  <c r="M1729" i="11"/>
  <c r="M1776" i="11"/>
  <c r="M1785" i="11"/>
  <c r="M1795" i="11"/>
  <c r="M1874" i="11"/>
  <c r="M1883" i="11"/>
  <c r="M1892" i="11"/>
  <c r="M1910" i="11"/>
  <c r="M1928" i="11"/>
  <c r="M20" i="11"/>
  <c r="M30" i="11"/>
  <c r="M62" i="11"/>
  <c r="M72" i="11"/>
  <c r="M102" i="11"/>
  <c r="M133" i="11"/>
  <c r="M170" i="11"/>
  <c r="M211" i="11"/>
  <c r="M245" i="11"/>
  <c r="M316" i="11"/>
  <c r="M337" i="11"/>
  <c r="M357" i="11"/>
  <c r="M367" i="11"/>
  <c r="M374" i="11"/>
  <c r="M389" i="11"/>
  <c r="M524" i="11"/>
  <c r="M574" i="11"/>
  <c r="M585" i="11"/>
  <c r="M586" i="11"/>
  <c r="M588" i="11"/>
  <c r="M590" i="11"/>
  <c r="M593" i="11"/>
  <c r="M594" i="11"/>
  <c r="M595" i="11"/>
  <c r="M612" i="11"/>
  <c r="M625" i="11"/>
  <c r="M631" i="11"/>
  <c r="M664" i="11"/>
  <c r="M668" i="11"/>
  <c r="M671" i="11"/>
  <c r="M675" i="11"/>
  <c r="M697" i="11"/>
  <c r="M751" i="11"/>
  <c r="M773" i="11"/>
  <c r="M780" i="11"/>
  <c r="M794" i="11"/>
  <c r="M805" i="11"/>
  <c r="M819" i="11"/>
  <c r="M844" i="11"/>
  <c r="M857" i="11"/>
  <c r="M891" i="11"/>
  <c r="M908" i="11"/>
  <c r="M977" i="11"/>
  <c r="M987" i="11"/>
  <c r="M1221" i="11"/>
  <c r="M1232" i="11"/>
  <c r="M1236" i="11"/>
  <c r="M1237" i="11"/>
  <c r="M1240" i="11"/>
  <c r="M1246" i="11"/>
  <c r="M1248" i="11"/>
  <c r="M1512" i="11"/>
  <c r="M1524" i="11"/>
  <c r="M1530" i="11"/>
  <c r="M1532" i="11"/>
  <c r="M1541" i="11"/>
  <c r="M1550" i="11"/>
  <c r="M1558" i="11"/>
  <c r="M1568" i="11"/>
  <c r="M1570" i="11"/>
  <c r="M1572" i="11"/>
  <c r="M1580" i="11"/>
  <c r="M1586" i="11"/>
  <c r="M1594" i="11"/>
  <c r="M1599" i="11"/>
  <c r="M1606" i="11"/>
  <c r="M1607" i="11"/>
  <c r="M1612" i="11"/>
  <c r="M1618" i="11"/>
  <c r="M1622" i="11"/>
  <c r="M1627" i="11"/>
  <c r="M1629" i="11"/>
  <c r="M1646" i="11"/>
  <c r="M1649" i="11"/>
  <c r="M1658" i="11"/>
  <c r="M1663" i="11"/>
  <c r="M1666" i="11"/>
  <c r="M1677" i="11"/>
  <c r="M1678" i="11"/>
  <c r="M1700" i="11"/>
  <c r="M1703" i="11"/>
  <c r="M1708" i="11"/>
  <c r="M1711" i="11"/>
  <c r="M1722" i="11"/>
  <c r="M1724" i="11"/>
  <c r="M1731" i="11"/>
  <c r="M1750" i="11"/>
  <c r="M1761" i="11"/>
  <c r="M1763" i="11"/>
  <c r="M1765" i="11"/>
  <c r="M1771" i="11"/>
  <c r="M1775" i="11"/>
  <c r="M1779" i="11"/>
  <c r="M1780" i="11"/>
  <c r="M1799" i="11"/>
  <c r="M1857" i="11"/>
  <c r="M1863" i="11"/>
  <c r="M1869" i="11"/>
  <c r="M1877" i="11"/>
  <c r="M1882" i="11"/>
  <c r="M1896" i="11"/>
  <c r="M1906" i="11"/>
  <c r="M1908" i="11"/>
  <c r="M1914" i="11"/>
  <c r="M1917" i="11"/>
  <c r="M1918" i="11"/>
  <c r="M1920" i="11"/>
  <c r="M1925" i="11"/>
  <c r="M1926" i="11"/>
  <c r="M10" i="11"/>
  <c r="M71" i="11"/>
  <c r="M252" i="11"/>
  <c r="M307" i="11"/>
  <c r="M504" i="11"/>
  <c r="M618" i="11"/>
  <c r="M758" i="11"/>
  <c r="M799" i="11"/>
  <c r="M818" i="11"/>
  <c r="M878" i="11"/>
  <c r="M907" i="11"/>
  <c r="M921" i="11"/>
  <c r="M940" i="11"/>
  <c r="M1224" i="11"/>
  <c r="M1228" i="11"/>
  <c r="M1233" i="11"/>
  <c r="M1242" i="11"/>
  <c r="M1247" i="11"/>
  <c r="M1251" i="11"/>
  <c r="M1542" i="11"/>
  <c r="M1553" i="11"/>
  <c r="M1563" i="11"/>
  <c r="M1565" i="11"/>
  <c r="M1587" i="11"/>
  <c r="M1608" i="11"/>
  <c r="M1631" i="11"/>
  <c r="M1637" i="11"/>
  <c r="M1668" i="11"/>
  <c r="M1684" i="11"/>
  <c r="M1693" i="11"/>
  <c r="M1723" i="11"/>
  <c r="M1774" i="11"/>
  <c r="M1783" i="11"/>
  <c r="M1787" i="11"/>
  <c r="M1794" i="11"/>
  <c r="M1870" i="11"/>
  <c r="M1880" i="11"/>
  <c r="M1899" i="11"/>
  <c r="M1907" i="11"/>
  <c r="M1924" i="11"/>
  <c r="M6" i="11"/>
  <c r="M51" i="11"/>
  <c r="M144" i="11"/>
  <c r="M153" i="11"/>
  <c r="M163" i="11"/>
  <c r="M169" i="11"/>
  <c r="M174" i="11"/>
  <c r="M251" i="11"/>
  <c r="M332" i="11"/>
  <c r="M373" i="11"/>
  <c r="M519" i="11"/>
  <c r="M566" i="11"/>
  <c r="M587" i="11"/>
  <c r="M592" i="11"/>
  <c r="M632" i="11"/>
  <c r="M660" i="11"/>
  <c r="M770" i="11"/>
  <c r="M892" i="11"/>
  <c r="M936" i="11"/>
  <c r="M974" i="11"/>
  <c r="M989" i="11"/>
  <c r="M1235" i="11"/>
  <c r="M1238" i="11"/>
  <c r="M1245" i="11"/>
  <c r="M1253" i="11"/>
  <c r="M1523" i="11"/>
  <c r="M1535" i="11"/>
  <c r="M1559" i="11"/>
  <c r="M1581" i="11"/>
  <c r="M1589" i="11"/>
  <c r="M1667" i="11"/>
  <c r="M1682" i="11"/>
  <c r="M1685" i="11"/>
  <c r="M1697" i="11"/>
  <c r="M1704" i="11"/>
  <c r="M2" i="11"/>
  <c r="M553" i="11"/>
  <c r="M562" i="11"/>
  <c r="M678" i="11"/>
  <c r="M760" i="11"/>
  <c r="M762" i="11"/>
  <c r="M765" i="11"/>
  <c r="M766" i="11"/>
  <c r="M767" i="11"/>
  <c r="M772" i="11"/>
  <c r="M776" i="11"/>
  <c r="M778" i="11"/>
  <c r="M779" i="11"/>
  <c r="M782" i="11"/>
  <c r="M786" i="11"/>
  <c r="M787" i="11"/>
  <c r="M788" i="11"/>
  <c r="M790" i="11"/>
  <c r="M793" i="11"/>
  <c r="M800" i="11"/>
  <c r="M801" i="11"/>
  <c r="M808" i="11"/>
  <c r="M810" i="11"/>
  <c r="M811" i="11"/>
  <c r="M821" i="11"/>
  <c r="M824" i="11"/>
  <c r="M825" i="11"/>
  <c r="M826" i="11"/>
  <c r="M827" i="11"/>
  <c r="M831" i="11"/>
  <c r="M839" i="11"/>
  <c r="M842" i="11"/>
  <c r="M846" i="11"/>
  <c r="M847" i="11"/>
  <c r="M848" i="11"/>
  <c r="M851" i="11"/>
  <c r="M853" i="11"/>
  <c r="M855" i="11"/>
  <c r="M859" i="11"/>
  <c r="M863" i="11"/>
  <c r="M865" i="11"/>
  <c r="M868" i="11"/>
  <c r="M872" i="11"/>
  <c r="M897" i="11"/>
  <c r="M899" i="11"/>
  <c r="M909" i="11"/>
  <c r="M912" i="11"/>
  <c r="M913" i="11"/>
  <c r="M914" i="11"/>
  <c r="M919" i="11"/>
  <c r="M923" i="11"/>
  <c r="M927" i="11"/>
  <c r="M930" i="11"/>
  <c r="M932" i="11"/>
  <c r="M933" i="11"/>
  <c r="M938" i="11"/>
  <c r="M941" i="11"/>
  <c r="M942" i="11"/>
  <c r="M949" i="11"/>
  <c r="M951" i="11"/>
  <c r="M952" i="11"/>
  <c r="M956" i="11"/>
  <c r="M958" i="11"/>
  <c r="M962" i="11"/>
  <c r="M965" i="11"/>
  <c r="M966" i="11"/>
  <c r="M967" i="11"/>
  <c r="M968" i="11"/>
  <c r="M972" i="11"/>
  <c r="M993" i="11"/>
  <c r="M579" i="11"/>
  <c r="M624" i="11"/>
  <c r="M692" i="11"/>
  <c r="M1119" i="11"/>
  <c r="M1194" i="11"/>
  <c r="M1195" i="11"/>
  <c r="M1010" i="11"/>
  <c r="M1241" i="11"/>
  <c r="M1244" i="11"/>
  <c r="M1250" i="11"/>
  <c r="M1604" i="11"/>
  <c r="M1767" i="11"/>
  <c r="M1856" i="11"/>
  <c r="M1861" i="11"/>
  <c r="M1868" i="11"/>
  <c r="M1875" i="11"/>
  <c r="M1886" i="11"/>
  <c r="M1905" i="11"/>
  <c r="M1916" i="11"/>
  <c r="M1930" i="11"/>
  <c r="M514" i="11"/>
  <c r="M565" i="11"/>
  <c r="M578" i="11"/>
  <c r="M622" i="11"/>
  <c r="M650" i="11"/>
  <c r="M652" i="11"/>
  <c r="M666" i="11"/>
  <c r="M1007" i="11"/>
  <c r="M1011" i="11"/>
  <c r="M1013" i="11"/>
  <c r="M1019" i="11"/>
  <c r="M1175" i="11"/>
  <c r="M1178" i="11"/>
  <c r="M1200" i="11"/>
  <c r="M1204" i="11"/>
  <c r="M1207" i="11"/>
  <c r="M1225" i="11"/>
  <c r="M1231" i="11"/>
  <c r="M1528" i="11"/>
  <c r="M1652" i="11"/>
  <c r="M1705" i="11"/>
  <c r="M1730" i="11"/>
  <c r="M1745" i="11"/>
  <c r="M1746" i="11"/>
  <c r="M1753" i="11"/>
  <c r="M1777" i="11"/>
  <c r="M1784" i="11"/>
  <c r="M1788" i="11"/>
  <c r="M1789" i="11"/>
  <c r="M1793" i="11"/>
  <c r="M1860" i="11"/>
  <c r="M1864" i="11"/>
  <c r="M1867" i="11"/>
  <c r="M1890" i="11"/>
  <c r="M1891" i="11"/>
  <c r="M1900" i="11"/>
  <c r="M1909" i="11"/>
  <c r="M1923" i="11"/>
  <c r="M559" i="11"/>
  <c r="M570" i="11"/>
  <c r="M584" i="11"/>
  <c r="M591" i="11"/>
  <c r="M616" i="11"/>
  <c r="M1085" i="11"/>
  <c r="M1203" i="11"/>
  <c r="M1209" i="11"/>
  <c r="M1215" i="11"/>
  <c r="M1226" i="11"/>
  <c r="M1259" i="11"/>
  <c r="M1585" i="11"/>
  <c r="M1742" i="11"/>
  <c r="M1755" i="11"/>
  <c r="M1759" i="11"/>
  <c r="M1764" i="11"/>
  <c r="M1772" i="11"/>
  <c r="M1778" i="11"/>
  <c r="M1871" i="11"/>
  <c r="M1881" i="11"/>
  <c r="M1913" i="11"/>
  <c r="M1919" i="11"/>
  <c r="M611" i="11"/>
  <c r="M640" i="11"/>
  <c r="M642" i="11"/>
  <c r="M754" i="11"/>
  <c r="M1503" i="11"/>
  <c r="M1929" i="11"/>
  <c r="Y1928" i="11"/>
  <c r="P1928" i="11"/>
  <c r="M1927" i="11"/>
  <c r="Y1924" i="11"/>
  <c r="W1924" i="11"/>
  <c r="P1924" i="11"/>
  <c r="Y1923" i="11"/>
  <c r="W1923" i="11"/>
  <c r="P1922" i="11"/>
  <c r="M1922" i="11"/>
  <c r="M1921" i="11"/>
  <c r="P1920" i="11"/>
  <c r="Y1917" i="11"/>
  <c r="W1917" i="11"/>
  <c r="M1915" i="11"/>
  <c r="W1913" i="11"/>
  <c r="Y1912" i="11"/>
  <c r="W1912" i="11"/>
  <c r="M1912" i="11"/>
  <c r="M1911" i="11"/>
  <c r="Y1909" i="11"/>
  <c r="P1908" i="11"/>
  <c r="W1907" i="11"/>
  <c r="Y1907" i="11"/>
  <c r="Y1904" i="11"/>
  <c r="M1904" i="11"/>
  <c r="P1903" i="11"/>
  <c r="M1902" i="11"/>
  <c r="P1901" i="11"/>
  <c r="W1898" i="11"/>
  <c r="Y1898" i="11"/>
  <c r="P1898" i="11"/>
  <c r="W1897" i="11"/>
  <c r="M1897" i="11"/>
  <c r="P1895" i="11"/>
  <c r="W1895" i="11"/>
  <c r="P1894" i="11"/>
  <c r="Y1894" i="11"/>
  <c r="Y1893" i="11"/>
  <c r="W1893" i="11"/>
  <c r="M1893" i="11"/>
  <c r="P1892" i="11"/>
  <c r="W1889" i="11"/>
  <c r="Y1889" i="11"/>
  <c r="M1888" i="11"/>
  <c r="M1887" i="11"/>
  <c r="W1885" i="11"/>
  <c r="M1885" i="11"/>
  <c r="W1881" i="11"/>
  <c r="W1879" i="11"/>
  <c r="M1879" i="11"/>
  <c r="M1878" i="11"/>
  <c r="W1878" i="11"/>
  <c r="Y1877" i="11"/>
  <c r="Y1876" i="11"/>
  <c r="M1876" i="11"/>
  <c r="W1875" i="11"/>
  <c r="W1873" i="11"/>
  <c r="Y1873" i="11"/>
  <c r="P1873" i="11"/>
  <c r="Y1872" i="11"/>
  <c r="P1870" i="11"/>
  <c r="W1864" i="11"/>
  <c r="Y1861" i="11"/>
  <c r="P1859" i="11"/>
  <c r="W1858" i="11"/>
  <c r="P1857" i="11"/>
  <c r="Y1855" i="11"/>
  <c r="W1855" i="11"/>
  <c r="P1854" i="11"/>
  <c r="M1853" i="11"/>
  <c r="M1852" i="11"/>
  <c r="P1850" i="11"/>
  <c r="M1849" i="11"/>
  <c r="M1848" i="11"/>
  <c r="M1847" i="11"/>
  <c r="P1846" i="11"/>
  <c r="W1845" i="11"/>
  <c r="Y1845" i="11"/>
  <c r="P1844" i="11"/>
  <c r="Y1843" i="11"/>
  <c r="W1843" i="11"/>
  <c r="P1842" i="11"/>
  <c r="Y1841" i="11"/>
  <c r="M1841" i="11"/>
  <c r="W1840" i="11"/>
  <c r="P1839" i="11"/>
  <c r="P1838" i="11"/>
  <c r="Y1837" i="11"/>
  <c r="W1837" i="11"/>
  <c r="P1836" i="11"/>
  <c r="P1835" i="11"/>
  <c r="W1834" i="11"/>
  <c r="M1834" i="11"/>
  <c r="W1833" i="11"/>
  <c r="Y1833" i="11"/>
  <c r="M1832" i="11"/>
  <c r="Y1831" i="11"/>
  <c r="W1831" i="11"/>
  <c r="P1830" i="11"/>
  <c r="Y1828" i="11"/>
  <c r="P1827" i="11"/>
  <c r="P1825" i="11"/>
  <c r="Y1824" i="11"/>
  <c r="W1824" i="11"/>
  <c r="M1824" i="11"/>
  <c r="P1822" i="11"/>
  <c r="M1821" i="11"/>
  <c r="M1820" i="11"/>
  <c r="W1819" i="11"/>
  <c r="M1819" i="11"/>
  <c r="W1818" i="11"/>
  <c r="Y1817" i="11"/>
  <c r="M1817" i="11"/>
  <c r="W1816" i="11"/>
  <c r="M1816" i="11"/>
  <c r="Y1815" i="11"/>
  <c r="W1815" i="11"/>
  <c r="P1814" i="11"/>
  <c r="Y1813" i="11"/>
  <c r="P1812" i="11"/>
  <c r="W1811" i="11"/>
  <c r="Y1811" i="11"/>
  <c r="M1811" i="11"/>
  <c r="Y1810" i="11"/>
  <c r="P1809" i="11"/>
  <c r="M1808" i="11"/>
  <c r="M1807" i="11"/>
  <c r="M1806" i="11"/>
  <c r="W1805" i="11"/>
  <c r="Y1805" i="11"/>
  <c r="P1804" i="11"/>
  <c r="W1803" i="11"/>
  <c r="M1803" i="11"/>
  <c r="W1802" i="11"/>
  <c r="P1801" i="11"/>
  <c r="W1800" i="11"/>
  <c r="M1800" i="11"/>
  <c r="Y1797" i="11"/>
  <c r="W1797" i="11"/>
  <c r="M1797" i="11"/>
  <c r="W1796" i="11"/>
  <c r="Y1794" i="11"/>
  <c r="W1794" i="11"/>
  <c r="P1793" i="11"/>
  <c r="P1791" i="11"/>
  <c r="W1651" i="11"/>
  <c r="P1650" i="11"/>
  <c r="W1648" i="11"/>
  <c r="Y1647" i="11"/>
  <c r="Y1645" i="11"/>
  <c r="P1645" i="11"/>
  <c r="M1641" i="11"/>
  <c r="P1638" i="11"/>
  <c r="M1635" i="11"/>
  <c r="M1633" i="11"/>
  <c r="P1630" i="11"/>
  <c r="W1625" i="11"/>
  <c r="M1625" i="11"/>
  <c r="W1619" i="11"/>
  <c r="Y1619" i="11"/>
  <c r="W1618" i="11"/>
  <c r="Y1616" i="11"/>
  <c r="M1616" i="11"/>
  <c r="W1614" i="11"/>
  <c r="M1613" i="11"/>
  <c r="M1610" i="11"/>
  <c r="W1608" i="11"/>
  <c r="W1605" i="11"/>
  <c r="Y1605" i="11"/>
  <c r="M1605" i="11"/>
  <c r="P1603" i="11"/>
  <c r="M1601" i="11"/>
  <c r="M1598" i="11"/>
  <c r="P1595" i="11"/>
  <c r="M1593" i="11"/>
  <c r="Y1590" i="11"/>
  <c r="Y1586" i="11"/>
  <c r="W1586" i="11"/>
  <c r="W1582" i="11"/>
  <c r="W1581" i="11"/>
  <c r="P1581" i="11"/>
  <c r="P1578" i="11"/>
  <c r="M1575" i="11"/>
  <c r="P1571" i="11"/>
  <c r="W1566" i="11"/>
  <c r="P1566" i="11"/>
  <c r="P1563" i="11"/>
  <c r="Y1560" i="11"/>
  <c r="P1559" i="11"/>
  <c r="M1557" i="11"/>
  <c r="P1556" i="11"/>
  <c r="P1555" i="11"/>
  <c r="Y1552" i="11"/>
  <c r="W1552" i="11"/>
  <c r="Y1551" i="11"/>
  <c r="P1550" i="11"/>
  <c r="P1547" i="11"/>
  <c r="P1545" i="11"/>
  <c r="Y1543" i="11"/>
  <c r="W1543" i="11"/>
  <c r="W1540" i="11"/>
  <c r="W1539" i="11"/>
  <c r="Y1539" i="11"/>
  <c r="P1537" i="11"/>
  <c r="Y1535" i="11"/>
  <c r="M1534" i="11"/>
  <c r="P1529" i="11"/>
  <c r="Y1526" i="11"/>
  <c r="W1526" i="11"/>
  <c r="P1525" i="11"/>
  <c r="P1522" i="11"/>
  <c r="M1519" i="11"/>
  <c r="M1516" i="11"/>
  <c r="M1514" i="11"/>
  <c r="M1513" i="11"/>
  <c r="P1510" i="11"/>
  <c r="P1509" i="11"/>
  <c r="P1507" i="11"/>
  <c r="M1505" i="11"/>
  <c r="W1503" i="11"/>
  <c r="Y1503" i="11"/>
  <c r="M1502" i="11"/>
  <c r="Y1501" i="11"/>
  <c r="W1501" i="11"/>
  <c r="P1500" i="11"/>
  <c r="Y1499" i="11"/>
  <c r="M1499" i="11"/>
  <c r="W1498" i="11"/>
  <c r="Y1498" i="11"/>
  <c r="P1497" i="11"/>
  <c r="W1494" i="11"/>
  <c r="Y1494" i="11"/>
  <c r="P1493" i="11"/>
  <c r="Y1493" i="11"/>
  <c r="P1492" i="11"/>
  <c r="W1492" i="11"/>
  <c r="Y1492" i="11"/>
  <c r="M1491" i="11"/>
  <c r="W1491" i="11"/>
  <c r="Y1491" i="11"/>
  <c r="M1490" i="11"/>
  <c r="Y1490" i="11"/>
  <c r="W1489" i="11"/>
  <c r="Y1489" i="11"/>
  <c r="M1489" i="11"/>
  <c r="W1488" i="11"/>
  <c r="M1488" i="11"/>
  <c r="P1487" i="11"/>
  <c r="W1487" i="11"/>
  <c r="P1486" i="11"/>
  <c r="P1485" i="11"/>
  <c r="P1484" i="11"/>
  <c r="Y1484" i="11"/>
  <c r="W1483" i="11"/>
  <c r="M1483" i="11"/>
  <c r="Y1483" i="11"/>
  <c r="W1482" i="11"/>
  <c r="Y1482" i="11"/>
  <c r="M1482" i="11"/>
  <c r="Y1481" i="11"/>
  <c r="W1481" i="11"/>
  <c r="M1481" i="11"/>
  <c r="Y1480" i="11"/>
  <c r="W1480" i="11"/>
  <c r="M1480" i="11"/>
  <c r="Y1479" i="11"/>
  <c r="W1479" i="11"/>
  <c r="M1479" i="11"/>
  <c r="P1478" i="11"/>
  <c r="P1477" i="11"/>
  <c r="W1477" i="11"/>
  <c r="M1476" i="11"/>
  <c r="W1476" i="11"/>
  <c r="Y1476" i="11"/>
  <c r="P1475" i="11"/>
  <c r="W1475" i="11"/>
  <c r="M1474" i="11"/>
  <c r="P1473" i="11"/>
  <c r="W1472" i="11"/>
  <c r="M1472" i="11"/>
  <c r="W1471" i="11"/>
  <c r="Y1471" i="11"/>
  <c r="P1470" i="11"/>
  <c r="Y1469" i="11"/>
  <c r="W1469" i="11"/>
  <c r="P1468" i="11"/>
  <c r="W1467" i="11"/>
  <c r="P1466" i="11"/>
  <c r="Y1465" i="11"/>
  <c r="W1465" i="11"/>
  <c r="M1465" i="11"/>
  <c r="M1464" i="11"/>
  <c r="P1463" i="11"/>
  <c r="Y1463" i="11"/>
  <c r="W1462" i="11"/>
  <c r="Y1462" i="11"/>
  <c r="M1462" i="11"/>
  <c r="M1461" i="11"/>
  <c r="Y1460" i="11"/>
  <c r="M1460" i="11"/>
  <c r="Y1459" i="11"/>
  <c r="P1458" i="11"/>
  <c r="W1457" i="11"/>
  <c r="M1457" i="11"/>
  <c r="W1456" i="11"/>
  <c r="Y1456" i="11"/>
  <c r="P1455" i="11"/>
  <c r="M1454" i="11"/>
  <c r="Y1453" i="11"/>
  <c r="P1452" i="11"/>
  <c r="M1451" i="11"/>
  <c r="W1450" i="11"/>
  <c r="M1450" i="11"/>
  <c r="Y1449" i="11"/>
  <c r="P1448" i="11"/>
  <c r="Y1447" i="11"/>
  <c r="M1447" i="11"/>
  <c r="W1446" i="11"/>
  <c r="P1445" i="11"/>
  <c r="Y1444" i="11"/>
  <c r="W1444" i="11"/>
  <c r="M1444" i="11"/>
  <c r="W1443" i="11"/>
  <c r="Y1443" i="11"/>
  <c r="Y1442" i="11"/>
  <c r="P1441" i="11"/>
  <c r="P1440" i="11"/>
  <c r="M1439" i="11"/>
  <c r="P1438" i="11"/>
  <c r="M1437" i="11"/>
  <c r="M1436" i="11"/>
  <c r="M1435" i="11"/>
  <c r="Y1434" i="11"/>
  <c r="P1433" i="11"/>
  <c r="Y1432" i="11"/>
  <c r="M1431" i="11"/>
  <c r="Y1430" i="11"/>
  <c r="P1429" i="11"/>
  <c r="P1428" i="11"/>
  <c r="Y1427" i="11"/>
  <c r="M1427" i="11"/>
  <c r="M1426" i="11"/>
  <c r="Y1425" i="11"/>
  <c r="Y1424" i="11"/>
  <c r="W1424" i="11"/>
  <c r="P1423" i="11"/>
  <c r="P1422" i="11"/>
  <c r="Y1422" i="11"/>
  <c r="W1422" i="11"/>
  <c r="M1421" i="11"/>
  <c r="W1421" i="11"/>
  <c r="W1420" i="11"/>
  <c r="Y1420" i="11"/>
  <c r="P1419" i="11"/>
  <c r="P1418" i="11"/>
  <c r="W1417" i="11"/>
  <c r="M1417" i="11"/>
  <c r="Y1416" i="11"/>
  <c r="W1416" i="11"/>
  <c r="M1415" i="11"/>
  <c r="W1414" i="11"/>
  <c r="M1414" i="11"/>
  <c r="Y1413" i="11"/>
  <c r="P1412" i="11"/>
  <c r="M1411" i="11"/>
  <c r="M1410" i="11"/>
  <c r="W1409" i="11"/>
  <c r="Y1409" i="11"/>
  <c r="P1408" i="11"/>
  <c r="M1407" i="11"/>
  <c r="W1406" i="11"/>
  <c r="M1406" i="11"/>
  <c r="W1405" i="11"/>
  <c r="P1404" i="11"/>
  <c r="W1404" i="11"/>
  <c r="Y1102" i="11"/>
  <c r="W1101" i="11"/>
  <c r="Y1101" i="11"/>
  <c r="Y1100" i="11"/>
  <c r="Y1099" i="11"/>
  <c r="M1098" i="11"/>
  <c r="W1096" i="11"/>
  <c r="Y1096" i="11"/>
  <c r="P1095" i="11"/>
  <c r="W1089" i="11"/>
  <c r="M1089" i="11"/>
  <c r="M1084" i="11"/>
  <c r="W1081" i="11"/>
  <c r="P1080" i="11"/>
  <c r="P1077" i="11"/>
  <c r="M1073" i="11"/>
  <c r="M1070" i="11"/>
  <c r="M1068" i="11"/>
  <c r="W1066" i="11"/>
  <c r="P1064" i="11"/>
  <c r="Y1062" i="11"/>
  <c r="W1060" i="11"/>
  <c r="Y1060" i="11"/>
  <c r="M1059" i="11"/>
  <c r="Y1056" i="11"/>
  <c r="W1055" i="11"/>
  <c r="P1055" i="11"/>
  <c r="P1052" i="11"/>
  <c r="M1047" i="11"/>
  <c r="M1041" i="11"/>
  <c r="Y1034" i="11"/>
  <c r="P1033" i="11"/>
  <c r="P1029" i="11"/>
  <c r="W651" i="11"/>
  <c r="P649" i="11"/>
  <c r="Y646" i="11"/>
  <c r="Y645" i="11"/>
  <c r="W645" i="11"/>
  <c r="P644" i="11"/>
  <c r="Y641" i="11"/>
  <c r="Y640" i="11"/>
  <c r="P639" i="11"/>
  <c r="W636" i="11"/>
  <c r="Y636" i="11"/>
  <c r="P635" i="11"/>
  <c r="Y631" i="11"/>
  <c r="W631" i="11"/>
  <c r="P627" i="11"/>
  <c r="Y621" i="11"/>
  <c r="P620" i="11"/>
  <c r="M615" i="11"/>
  <c r="Y612" i="11"/>
  <c r="P610" i="11"/>
  <c r="Y608" i="11"/>
  <c r="Y167" i="11"/>
  <c r="M164" i="11"/>
  <c r="Y142" i="11"/>
  <c r="M134" i="11"/>
  <c r="W129" i="11"/>
  <c r="M124" i="11"/>
  <c r="W121" i="11"/>
  <c r="M120" i="11"/>
  <c r="W116" i="11"/>
  <c r="Y111" i="11"/>
  <c r="W96" i="11"/>
  <c r="M86" i="11"/>
  <c r="M83" i="11"/>
  <c r="M1791" i="11"/>
  <c r="Y1790" i="11"/>
  <c r="W1790" i="11"/>
  <c r="M1790" i="11"/>
  <c r="W1789" i="11"/>
  <c r="Y1789" i="11"/>
  <c r="P1786" i="11"/>
  <c r="M1786" i="11"/>
  <c r="Y1786" i="11"/>
  <c r="W1785" i="11"/>
  <c r="Y1785" i="11"/>
  <c r="W1784" i="11"/>
  <c r="Y1784" i="11"/>
  <c r="Y1783" i="11"/>
  <c r="W1783" i="11"/>
  <c r="Y1782" i="11"/>
  <c r="M1782" i="11"/>
  <c r="W1782" i="11"/>
  <c r="M1781" i="11"/>
  <c r="Y1780" i="11"/>
  <c r="W1780" i="11"/>
  <c r="P1779" i="11"/>
  <c r="W1777" i="11"/>
  <c r="Y1777" i="11"/>
  <c r="P1775" i="11"/>
  <c r="W1775" i="11"/>
  <c r="Y1775" i="11"/>
  <c r="M1773" i="11"/>
  <c r="W1773" i="11"/>
  <c r="Y1772" i="11"/>
  <c r="W1772" i="11"/>
  <c r="Y1771" i="11"/>
  <c r="W1771" i="11"/>
  <c r="P1771" i="11"/>
  <c r="P1770" i="11"/>
  <c r="M1770" i="11"/>
  <c r="Y1770" i="11"/>
  <c r="W1770" i="11"/>
  <c r="M1769" i="11"/>
  <c r="Y1769" i="11"/>
  <c r="W1769" i="11"/>
  <c r="P1768" i="11"/>
  <c r="M1768" i="11"/>
  <c r="W1768" i="11"/>
  <c r="W1766" i="11"/>
  <c r="Y1766" i="11"/>
  <c r="M1766" i="11"/>
  <c r="W1765" i="11"/>
  <c r="Y1765" i="11"/>
  <c r="Y1764" i="11"/>
  <c r="W1764" i="11"/>
  <c r="Y1762" i="11"/>
  <c r="M1762" i="11"/>
  <c r="Y1761" i="11"/>
  <c r="W1761" i="11"/>
  <c r="P1761" i="11"/>
  <c r="W1760" i="11"/>
  <c r="M1760" i="11"/>
  <c r="Y1760" i="11"/>
  <c r="P1760" i="11"/>
  <c r="P1758" i="11"/>
  <c r="M1758" i="11"/>
  <c r="W1758" i="11"/>
  <c r="M1757" i="11"/>
  <c r="W1757" i="11"/>
  <c r="Y1757" i="11"/>
  <c r="P1757" i="11"/>
  <c r="Y1756" i="11"/>
  <c r="W1756" i="11"/>
  <c r="M1756" i="11"/>
  <c r="W1754" i="11"/>
  <c r="Y1754" i="11"/>
  <c r="M1754" i="11"/>
  <c r="P1754" i="11"/>
  <c r="M1752" i="11"/>
  <c r="Y1752" i="11"/>
  <c r="W1752" i="11"/>
  <c r="P1752" i="11"/>
  <c r="W1751" i="11"/>
  <c r="M1751" i="11"/>
  <c r="Y1751" i="11"/>
  <c r="P1751" i="11"/>
  <c r="P1750" i="11"/>
  <c r="P1749" i="11"/>
  <c r="M1749" i="11"/>
  <c r="Y1749" i="11"/>
  <c r="W1749" i="11"/>
  <c r="P1748" i="11"/>
  <c r="M1748" i="11"/>
  <c r="W1748" i="11"/>
  <c r="P1747" i="11"/>
  <c r="W1747" i="11"/>
  <c r="M1747" i="11"/>
  <c r="Y1746" i="11"/>
  <c r="W1746" i="11"/>
  <c r="P1744" i="11"/>
  <c r="Y1744" i="11"/>
  <c r="M1744" i="11"/>
  <c r="W1744" i="11"/>
  <c r="M1743" i="11"/>
  <c r="Y1743" i="11"/>
  <c r="W1742" i="11"/>
  <c r="P1741" i="11"/>
  <c r="M1741" i="11"/>
  <c r="W1741" i="11"/>
  <c r="Y1741" i="11"/>
  <c r="W1740" i="11"/>
  <c r="M1740" i="11"/>
  <c r="Y1740" i="11"/>
  <c r="P1739" i="11"/>
  <c r="W1739" i="11"/>
  <c r="M1739" i="11"/>
  <c r="M1738" i="11"/>
  <c r="P1738" i="11"/>
  <c r="P1737" i="11"/>
  <c r="M1737" i="11"/>
  <c r="Y1737" i="11"/>
  <c r="W1737" i="11"/>
  <c r="P1736" i="11"/>
  <c r="W1736" i="11"/>
  <c r="M1736" i="11"/>
  <c r="Y1736" i="11"/>
  <c r="P1735" i="11"/>
  <c r="W1735" i="11"/>
  <c r="M1735" i="11"/>
  <c r="Y1735" i="11"/>
  <c r="P1734" i="11"/>
  <c r="W1734" i="11"/>
  <c r="Y1734" i="11"/>
  <c r="M1734" i="11"/>
  <c r="P1733" i="11"/>
  <c r="W1733" i="11"/>
  <c r="Y1733" i="11"/>
  <c r="M1733" i="11"/>
  <c r="P1732" i="11"/>
  <c r="W1732" i="11"/>
  <c r="M1732" i="11"/>
  <c r="Y1732" i="11"/>
  <c r="W1731" i="11"/>
  <c r="Y1731" i="11"/>
  <c r="Y1730" i="11"/>
  <c r="W1730" i="11"/>
  <c r="M1728" i="11"/>
  <c r="P1728" i="11"/>
  <c r="M1727" i="11"/>
  <c r="Y1727" i="11"/>
  <c r="W1727" i="11"/>
  <c r="P1726" i="11"/>
  <c r="W1726" i="11"/>
  <c r="Y1726" i="11"/>
  <c r="M1726" i="11"/>
  <c r="P1725" i="11"/>
  <c r="M1725" i="11"/>
  <c r="P1724" i="11"/>
  <c r="W1724" i="11"/>
  <c r="Y1724" i="11"/>
  <c r="P1722" i="11"/>
  <c r="W1721" i="11"/>
  <c r="Y1721" i="11"/>
  <c r="M1721" i="11"/>
  <c r="P1721" i="11"/>
  <c r="P1720" i="11"/>
  <c r="M1720" i="11"/>
  <c r="M1719" i="11"/>
  <c r="P1719" i="11"/>
  <c r="M1718" i="11"/>
  <c r="P1717" i="11"/>
  <c r="M1717" i="11"/>
  <c r="W1717" i="11"/>
  <c r="Y1717" i="11"/>
  <c r="Y1716" i="11"/>
  <c r="M1716" i="11"/>
  <c r="P1715" i="11"/>
  <c r="M1715" i="11"/>
  <c r="Y1715" i="11"/>
  <c r="W1715" i="11"/>
  <c r="Y1714" i="11"/>
  <c r="M1714" i="11"/>
  <c r="W1714" i="11"/>
  <c r="M1713" i="11"/>
  <c r="M1712" i="11"/>
  <c r="Y1712" i="11"/>
  <c r="Y1711" i="11"/>
  <c r="W1711" i="11"/>
  <c r="Y1710" i="11"/>
  <c r="M1710" i="11"/>
  <c r="W1710" i="11"/>
  <c r="W1709" i="11"/>
  <c r="Y1709" i="11"/>
  <c r="M1709" i="11"/>
  <c r="M1707" i="11"/>
  <c r="M1706" i="11"/>
  <c r="W1706" i="11"/>
  <c r="Y1706" i="11"/>
  <c r="P1706" i="11"/>
  <c r="W1705" i="11"/>
  <c r="P1704" i="11"/>
  <c r="W1704" i="11"/>
  <c r="W1703" i="11"/>
  <c r="Y1703" i="11"/>
  <c r="W1702" i="11"/>
  <c r="M1702" i="11"/>
  <c r="Y1702" i="11"/>
  <c r="Y1701" i="11"/>
  <c r="W1701" i="11"/>
  <c r="M1701" i="11"/>
  <c r="P1700" i="11"/>
  <c r="W1699" i="11"/>
  <c r="M1699" i="11"/>
  <c r="Y1699" i="11"/>
  <c r="P1699" i="11"/>
  <c r="P1698" i="11"/>
  <c r="M1698" i="11"/>
  <c r="W1698" i="11"/>
  <c r="Y1698" i="11"/>
  <c r="W1696" i="11"/>
  <c r="Y1696" i="11"/>
  <c r="P1696" i="11"/>
  <c r="P1695" i="11"/>
  <c r="M1695" i="11"/>
  <c r="W1695" i="11"/>
  <c r="Y1694" i="11"/>
  <c r="M1694" i="11"/>
  <c r="P1693" i="11"/>
  <c r="M1692" i="11"/>
  <c r="W1692" i="11"/>
  <c r="Y1692" i="11"/>
  <c r="M1690" i="11"/>
  <c r="P1690" i="11"/>
  <c r="Y1689" i="11"/>
  <c r="M1689" i="11"/>
  <c r="P1689" i="11"/>
  <c r="P1688" i="11"/>
  <c r="M1688" i="11"/>
  <c r="W1687" i="11"/>
  <c r="M1687" i="11"/>
  <c r="P1687" i="11"/>
  <c r="W1686" i="11"/>
  <c r="Y1686" i="11"/>
  <c r="M1686" i="11"/>
  <c r="Y1683" i="11"/>
  <c r="W1683" i="11"/>
  <c r="M1683" i="11"/>
  <c r="Y1682" i="11"/>
  <c r="W1682" i="11"/>
  <c r="P1682" i="11"/>
  <c r="P1681" i="11"/>
  <c r="P1680" i="11"/>
  <c r="W1680" i="11"/>
  <c r="M1680" i="11"/>
  <c r="Y1680" i="11"/>
  <c r="P1679" i="11"/>
  <c r="M1679" i="11"/>
  <c r="W1677" i="11"/>
  <c r="Y1677" i="11"/>
  <c r="P1677" i="11"/>
  <c r="M1676" i="11"/>
  <c r="W1676" i="11"/>
  <c r="Y1676" i="11"/>
  <c r="M1675" i="11"/>
  <c r="W1674" i="11"/>
  <c r="Y1674" i="11"/>
  <c r="M1674" i="11"/>
  <c r="P1674" i="11"/>
  <c r="P1673" i="11"/>
  <c r="W1673" i="11"/>
  <c r="Y1673" i="11"/>
  <c r="M1673" i="11"/>
  <c r="M1672" i="11"/>
  <c r="P1672" i="11"/>
  <c r="M1671" i="11"/>
  <c r="W1671" i="11"/>
  <c r="Y1671" i="11"/>
  <c r="M1670" i="11"/>
  <c r="P1670" i="11"/>
  <c r="M1669" i="11"/>
  <c r="Y1666" i="11"/>
  <c r="W1666" i="11"/>
  <c r="Y1665" i="11"/>
  <c r="W1665" i="11"/>
  <c r="M1665" i="11"/>
  <c r="P1665" i="11"/>
  <c r="M1664" i="11"/>
  <c r="Y1663" i="11"/>
  <c r="W1663" i="11"/>
  <c r="P1661" i="11"/>
  <c r="Y1661" i="11"/>
  <c r="W1661" i="11"/>
  <c r="P1660" i="11"/>
  <c r="M1660" i="11"/>
  <c r="W1660" i="11"/>
  <c r="W1659" i="11"/>
  <c r="M1659" i="11"/>
  <c r="P1657" i="11"/>
  <c r="W1657" i="11"/>
  <c r="M1657" i="11"/>
  <c r="Y1657" i="11"/>
  <c r="M1656" i="11"/>
  <c r="M1655" i="11"/>
  <c r="M1654" i="11"/>
  <c r="Y1654" i="11"/>
  <c r="Y1653" i="11"/>
  <c r="W1653" i="11"/>
  <c r="P1653" i="11"/>
  <c r="M1653" i="11"/>
  <c r="Y1652" i="11"/>
  <c r="M1651" i="11"/>
  <c r="W1650" i="11"/>
  <c r="Y1650" i="11"/>
  <c r="Y1648" i="11"/>
  <c r="P1648" i="11"/>
  <c r="W1644" i="11"/>
  <c r="M1643" i="11"/>
  <c r="M1642" i="11"/>
  <c r="P1639" i="11"/>
  <c r="Y1636" i="11"/>
  <c r="M1636" i="11"/>
  <c r="W1634" i="11"/>
  <c r="P1633" i="11"/>
  <c r="M1630" i="11"/>
  <c r="Y1627" i="11"/>
  <c r="Y1625" i="11"/>
  <c r="W1624" i="11"/>
  <c r="P1623" i="11"/>
  <c r="P1619" i="11"/>
  <c r="P1617" i="11"/>
  <c r="M1615" i="11"/>
  <c r="M1614" i="11"/>
  <c r="P1610" i="11"/>
  <c r="P1605" i="11"/>
  <c r="M1602" i="11"/>
  <c r="Y1601" i="11"/>
  <c r="M1600" i="11"/>
  <c r="Y1598" i="11"/>
  <c r="W1598" i="11"/>
  <c r="W1597" i="11"/>
  <c r="W1594" i="11"/>
  <c r="W1593" i="11"/>
  <c r="Y1593" i="11"/>
  <c r="M1592" i="11"/>
  <c r="W1590" i="11"/>
  <c r="Y1588" i="11"/>
  <c r="W1588" i="11"/>
  <c r="P1588" i="11"/>
  <c r="M1583" i="11"/>
  <c r="M1582" i="11"/>
  <c r="M1577" i="11"/>
  <c r="W1575" i="11"/>
  <c r="Y1575" i="11"/>
  <c r="Y1573" i="11"/>
  <c r="M1573" i="11"/>
  <c r="M1569" i="11"/>
  <c r="M1566" i="11"/>
  <c r="M1564" i="11"/>
  <c r="W1561" i="11"/>
  <c r="M1561" i="11"/>
  <c r="Y1558" i="11"/>
  <c r="W1558" i="11"/>
  <c r="W1557" i="11"/>
  <c r="P1557" i="11"/>
  <c r="M1556" i="11"/>
  <c r="P1554" i="11"/>
  <c r="W1550" i="11"/>
  <c r="Y1550" i="11"/>
  <c r="W1549" i="11"/>
  <c r="Y1549" i="11"/>
  <c r="W1548" i="11"/>
  <c r="Y1547" i="11"/>
  <c r="M1547" i="11"/>
  <c r="M1544" i="11"/>
  <c r="M1539" i="11"/>
  <c r="W1537" i="11"/>
  <c r="P1536" i="11"/>
  <c r="P1532" i="11"/>
  <c r="W1528" i="11"/>
  <c r="M1527" i="11"/>
  <c r="Y1525" i="11"/>
  <c r="M1525" i="11"/>
  <c r="P1523" i="11"/>
  <c r="M1521" i="11"/>
  <c r="P1520" i="11"/>
  <c r="P1517" i="11"/>
  <c r="P1515" i="11"/>
  <c r="P1513" i="11"/>
  <c r="P1512" i="11"/>
  <c r="P1511" i="11"/>
  <c r="P1508" i="11"/>
  <c r="Y1506" i="11"/>
  <c r="P1505" i="11"/>
  <c r="M1501" i="11"/>
  <c r="W1500" i="11"/>
  <c r="Y1500" i="11"/>
  <c r="M1500" i="11"/>
  <c r="W1499" i="11"/>
  <c r="P1498" i="11"/>
  <c r="M1497" i="11"/>
  <c r="P1496" i="11"/>
  <c r="M1496" i="11"/>
  <c r="W1496" i="11"/>
  <c r="P1495" i="11"/>
  <c r="W1495" i="11"/>
  <c r="Y1495" i="11"/>
  <c r="P1494" i="11"/>
  <c r="M1494" i="11"/>
  <c r="W1493" i="11"/>
  <c r="M1493" i="11"/>
  <c r="M1492" i="11"/>
  <c r="P1491" i="11"/>
  <c r="P1490" i="11"/>
  <c r="W1490" i="11"/>
  <c r="P1489" i="11"/>
  <c r="P1488" i="11"/>
  <c r="Y1488" i="11"/>
  <c r="M1487" i="11"/>
  <c r="Y1487" i="11"/>
  <c r="W1486" i="11"/>
  <c r="M1486" i="11"/>
  <c r="Y1486" i="11"/>
  <c r="Y1485" i="11"/>
  <c r="W1485" i="11"/>
  <c r="M1485" i="11"/>
  <c r="W1484" i="11"/>
  <c r="M1484" i="11"/>
  <c r="P1483" i="11"/>
  <c r="P1482" i="11"/>
  <c r="P1481" i="11"/>
  <c r="P1480" i="11"/>
  <c r="Y1475" i="11"/>
  <c r="P1474" i="11"/>
  <c r="Y1473" i="11"/>
  <c r="P1472" i="11"/>
  <c r="M1471" i="11"/>
  <c r="W1470" i="11"/>
  <c r="Y1470" i="11"/>
  <c r="P1469" i="11"/>
  <c r="W1468" i="11"/>
  <c r="M1468" i="11"/>
  <c r="Y1467" i="11"/>
  <c r="M1467" i="11"/>
  <c r="P1465" i="11"/>
  <c r="W1461" i="11"/>
  <c r="Y1461" i="11"/>
  <c r="P1460" i="11"/>
  <c r="W1459" i="11"/>
  <c r="M1459" i="11"/>
  <c r="Y1458" i="11"/>
  <c r="P1457" i="11"/>
  <c r="M1456" i="11"/>
  <c r="W1455" i="11"/>
  <c r="Y1455" i="11"/>
  <c r="P1454" i="11"/>
  <c r="W1453" i="11"/>
  <c r="M1453" i="11"/>
  <c r="M1452" i="11"/>
  <c r="Y1451" i="11"/>
  <c r="W1451" i="11"/>
  <c r="Y1450" i="11"/>
  <c r="P1449" i="11"/>
  <c r="Y1448" i="11"/>
  <c r="W1448" i="11"/>
  <c r="M1448" i="11"/>
  <c r="W1447" i="11"/>
  <c r="P1446" i="11"/>
  <c r="Y1445" i="11"/>
  <c r="W1445" i="11"/>
  <c r="M1445" i="11"/>
  <c r="P1443" i="11"/>
  <c r="P1442" i="11"/>
  <c r="Y1441" i="11"/>
  <c r="Y1440" i="11"/>
  <c r="P1439" i="11"/>
  <c r="Y1438" i="11"/>
  <c r="P1437" i="11"/>
  <c r="P1436" i="11"/>
  <c r="Y1435" i="11"/>
  <c r="P1434" i="11"/>
  <c r="Y1433" i="11"/>
  <c r="P1432" i="11"/>
  <c r="P1431" i="11"/>
  <c r="M1430" i="11"/>
  <c r="Y1429" i="11"/>
  <c r="W1428" i="11"/>
  <c r="Y1428" i="11"/>
  <c r="P1427" i="11"/>
  <c r="W1426" i="11"/>
  <c r="Y1426" i="11"/>
  <c r="P1425" i="11"/>
  <c r="P1424" i="11"/>
  <c r="W1423" i="11"/>
  <c r="Y1423" i="11"/>
  <c r="P1421" i="11"/>
  <c r="P1420" i="11"/>
  <c r="M1419" i="11"/>
  <c r="Y1418" i="11"/>
  <c r="P1417" i="11"/>
  <c r="M1416" i="11"/>
  <c r="P1415" i="11"/>
  <c r="Y1414" i="11"/>
  <c r="P1413" i="11"/>
  <c r="W1412" i="11"/>
  <c r="P1411" i="11"/>
  <c r="W1411" i="11"/>
  <c r="P1410" i="11"/>
  <c r="M1409" i="11"/>
  <c r="W1408" i="11"/>
  <c r="P1407" i="11"/>
  <c r="Y1406" i="11"/>
  <c r="P1405" i="11"/>
  <c r="Y1404" i="11"/>
  <c r="P1403" i="11"/>
  <c r="W1099" i="11"/>
  <c r="W1098" i="11"/>
  <c r="M1097" i="11"/>
  <c r="M1093" i="11"/>
  <c r="Y1084" i="11"/>
  <c r="P1082" i="11"/>
  <c r="M1080" i="11"/>
  <c r="P1078" i="11"/>
  <c r="P1073" i="11"/>
  <c r="Y1067" i="11"/>
  <c r="P1067" i="11"/>
  <c r="M1065" i="11"/>
  <c r="M1064" i="11"/>
  <c r="W1062" i="11"/>
  <c r="P1060" i="11"/>
  <c r="W1059" i="11"/>
  <c r="Y1059" i="11"/>
  <c r="P1059" i="11"/>
  <c r="Y1055" i="11"/>
  <c r="M1055" i="11"/>
  <c r="M1053" i="11"/>
  <c r="Y1053" i="11"/>
  <c r="P1053" i="11"/>
  <c r="M1051" i="11"/>
  <c r="Y1050" i="11"/>
  <c r="M1050" i="11"/>
  <c r="P1047" i="11"/>
  <c r="Y1045" i="11"/>
  <c r="M1044" i="11"/>
  <c r="P1043" i="11"/>
  <c r="P1041" i="11"/>
  <c r="M1040" i="11"/>
  <c r="Y1039" i="11"/>
  <c r="P1036" i="11"/>
  <c r="P1034" i="11"/>
  <c r="M1031" i="11"/>
  <c r="Y1029" i="11"/>
  <c r="W1029" i="11"/>
  <c r="M1028" i="11"/>
  <c r="Y1026" i="11"/>
  <c r="W1026" i="11"/>
  <c r="Y651" i="11"/>
  <c r="M651" i="11"/>
  <c r="W649" i="11"/>
  <c r="Y649" i="11"/>
  <c r="M648" i="11"/>
  <c r="M647" i="11"/>
  <c r="M645" i="11"/>
  <c r="P643" i="11"/>
  <c r="W643" i="11"/>
  <c r="M641" i="11"/>
  <c r="P638" i="11"/>
  <c r="P636" i="11"/>
  <c r="Y635" i="11"/>
  <c r="W635" i="11"/>
  <c r="P633" i="11"/>
  <c r="P630" i="11"/>
  <c r="P629" i="11"/>
  <c r="M627" i="11"/>
  <c r="W625" i="11"/>
  <c r="W624" i="11"/>
  <c r="P623" i="11"/>
  <c r="W620" i="11"/>
  <c r="P619" i="11"/>
  <c r="M617" i="11"/>
  <c r="W616" i="11"/>
  <c r="P614" i="11"/>
  <c r="M613" i="11"/>
  <c r="W611" i="11"/>
  <c r="W610" i="11"/>
  <c r="M610" i="11"/>
  <c r="P608" i="11"/>
  <c r="W608" i="11"/>
  <c r="P607" i="11"/>
  <c r="W162" i="11"/>
  <c r="Y162" i="11"/>
  <c r="M161" i="11"/>
  <c r="M159" i="11"/>
  <c r="M157" i="11"/>
  <c r="M155" i="11"/>
  <c r="W152" i="11"/>
  <c r="Y152" i="11"/>
  <c r="M151" i="11"/>
  <c r="Y147" i="11"/>
  <c r="M145" i="11"/>
  <c r="M142" i="11"/>
  <c r="M138" i="11"/>
  <c r="M136" i="11"/>
  <c r="M131" i="11"/>
  <c r="Y126" i="11"/>
  <c r="M125" i="11"/>
  <c r="M118" i="11"/>
  <c r="Y116" i="11"/>
  <c r="M115" i="11"/>
  <c r="M110" i="11"/>
  <c r="W106" i="11"/>
  <c r="Y106" i="11"/>
  <c r="M105" i="11"/>
  <c r="M101" i="11"/>
  <c r="M99" i="11"/>
  <c r="M97" i="11"/>
  <c r="M91" i="11"/>
  <c r="M90" i="11"/>
  <c r="M89" i="11"/>
  <c r="M84" i="11"/>
  <c r="M79" i="11"/>
  <c r="M78" i="11"/>
  <c r="Y1403" i="11"/>
  <c r="W1403" i="11"/>
  <c r="P1402" i="11"/>
  <c r="W1402" i="11"/>
  <c r="Y1402" i="11"/>
  <c r="M1402" i="11"/>
  <c r="P1401" i="11"/>
  <c r="M1401" i="11"/>
  <c r="W1401" i="11"/>
  <c r="Y1401" i="11"/>
  <c r="P1400" i="11"/>
  <c r="M1400" i="11"/>
  <c r="W1400" i="11"/>
  <c r="Y1400" i="11"/>
  <c r="P1399" i="11"/>
  <c r="M1399" i="11"/>
  <c r="Y1399" i="11"/>
  <c r="W1399" i="11"/>
  <c r="P1398" i="11"/>
  <c r="W1398" i="11"/>
  <c r="Y1398" i="11"/>
  <c r="M1398" i="11"/>
  <c r="P1397" i="11"/>
  <c r="Y1397" i="11"/>
  <c r="W1397" i="11"/>
  <c r="M1397" i="11"/>
  <c r="P1396" i="11"/>
  <c r="Y1396" i="11"/>
  <c r="M1396" i="11"/>
  <c r="W1396" i="11"/>
  <c r="P1395" i="11"/>
  <c r="Y1395" i="11"/>
  <c r="W1395" i="11"/>
  <c r="M1395" i="11"/>
  <c r="P1394" i="11"/>
  <c r="W1394" i="11"/>
  <c r="M1394" i="11"/>
  <c r="Y1394" i="11"/>
  <c r="P1393" i="11"/>
  <c r="W1393" i="11"/>
  <c r="M1393" i="11"/>
  <c r="Y1393" i="11"/>
  <c r="P1392" i="11"/>
  <c r="M1392" i="11"/>
  <c r="Y1392" i="11"/>
  <c r="W1392" i="11"/>
  <c r="P1391" i="11"/>
  <c r="W1391" i="11"/>
  <c r="M1391" i="11"/>
  <c r="Y1391" i="11"/>
  <c r="P1390" i="11"/>
  <c r="Y1390" i="11"/>
  <c r="W1390" i="11"/>
  <c r="M1390" i="11"/>
  <c r="P1389" i="11"/>
  <c r="Y1389" i="11"/>
  <c r="W1389" i="11"/>
  <c r="M1389" i="11"/>
  <c r="P1388" i="11"/>
  <c r="M1388" i="11"/>
  <c r="W1388" i="11"/>
  <c r="Y1388" i="11"/>
  <c r="P1387" i="11"/>
  <c r="M1387" i="11"/>
  <c r="W1387" i="11"/>
  <c r="Y1387" i="11"/>
  <c r="P1386" i="11"/>
  <c r="W1386" i="11"/>
  <c r="Y1386" i="11"/>
  <c r="M1386" i="11"/>
  <c r="P1385" i="11"/>
  <c r="M1385" i="11"/>
  <c r="W1385" i="11"/>
  <c r="Y1385" i="11"/>
  <c r="P1384" i="11"/>
  <c r="Y1384" i="11"/>
  <c r="W1384" i="11"/>
  <c r="M1384" i="11"/>
  <c r="P1383" i="11"/>
  <c r="M1383" i="11"/>
  <c r="W1383" i="11"/>
  <c r="Y1383" i="11"/>
  <c r="P1382" i="11"/>
  <c r="W1382" i="11"/>
  <c r="Y1382" i="11"/>
  <c r="M1382" i="11"/>
  <c r="P1381" i="11"/>
  <c r="Y1381" i="11"/>
  <c r="W1381" i="11"/>
  <c r="M1381" i="11"/>
  <c r="P1380" i="11"/>
  <c r="M1380" i="11"/>
  <c r="Y1380" i="11"/>
  <c r="W1380" i="11"/>
  <c r="P1379" i="11"/>
  <c r="W1379" i="11"/>
  <c r="Y1379" i="11"/>
  <c r="M1379" i="11"/>
  <c r="P1378" i="11"/>
  <c r="M1378" i="11"/>
  <c r="W1378" i="11"/>
  <c r="Y1378" i="11"/>
  <c r="P1377" i="11"/>
  <c r="M1377" i="11"/>
  <c r="Y1377" i="11"/>
  <c r="W1377" i="11"/>
  <c r="P1376" i="11"/>
  <c r="W1376" i="11"/>
  <c r="Y1376" i="11"/>
  <c r="M1376" i="11"/>
  <c r="P1375" i="11"/>
  <c r="M1375" i="11"/>
  <c r="W1375" i="11"/>
  <c r="Y1375" i="11"/>
  <c r="P1374" i="11"/>
  <c r="M1374" i="11"/>
  <c r="W1374" i="11"/>
  <c r="Y1374" i="11"/>
  <c r="P1373" i="11"/>
  <c r="M1373" i="11"/>
  <c r="Y1373" i="11"/>
  <c r="W1373" i="11"/>
  <c r="P1372" i="11"/>
  <c r="M1372" i="11"/>
  <c r="W1372" i="11"/>
  <c r="Y1372" i="11"/>
  <c r="P1371" i="11"/>
  <c r="M1371" i="11"/>
  <c r="W1371" i="11"/>
  <c r="Y1371" i="11"/>
  <c r="P1370" i="11"/>
  <c r="M1370" i="11"/>
  <c r="W1370" i="11"/>
  <c r="Y1370" i="11"/>
  <c r="P1369" i="11"/>
  <c r="M1369" i="11"/>
  <c r="Y1369" i="11"/>
  <c r="W1369" i="11"/>
  <c r="P1368" i="11"/>
  <c r="Y1368" i="11"/>
  <c r="W1368" i="11"/>
  <c r="M1368" i="11"/>
  <c r="P1367" i="11"/>
  <c r="Y1367" i="11"/>
  <c r="W1367" i="11"/>
  <c r="M1367" i="11"/>
  <c r="P1366" i="11"/>
  <c r="Y1366" i="11"/>
  <c r="M1366" i="11"/>
  <c r="W1366" i="11"/>
  <c r="P1365" i="11"/>
  <c r="M1365" i="11"/>
  <c r="Y1365" i="11"/>
  <c r="W1365" i="11"/>
  <c r="P1364" i="11"/>
  <c r="Y1364" i="11"/>
  <c r="M1364" i="11"/>
  <c r="W1364" i="11"/>
  <c r="P1363" i="11"/>
  <c r="Y1363" i="11"/>
  <c r="M1363" i="11"/>
  <c r="W1363" i="11"/>
  <c r="P1362" i="11"/>
  <c r="M1362" i="11"/>
  <c r="W1362" i="11"/>
  <c r="Y1362" i="11"/>
  <c r="P1361" i="11"/>
  <c r="Y1361" i="11"/>
  <c r="W1361" i="11"/>
  <c r="M1361" i="11"/>
  <c r="P1360" i="11"/>
  <c r="M1360" i="11"/>
  <c r="W1360" i="11"/>
  <c r="Y1360" i="11"/>
  <c r="P1359" i="11"/>
  <c r="W1359" i="11"/>
  <c r="M1359" i="11"/>
  <c r="Y1359" i="11"/>
  <c r="P1358" i="11"/>
  <c r="M1358" i="11"/>
  <c r="Y1358" i="11"/>
  <c r="W1358" i="11"/>
  <c r="P1357" i="11"/>
  <c r="M1357" i="11"/>
  <c r="Y1357" i="11"/>
  <c r="W1357" i="11"/>
  <c r="P1356" i="11"/>
  <c r="M1356" i="11"/>
  <c r="Y1356" i="11"/>
  <c r="W1356" i="11"/>
  <c r="P1355" i="11"/>
  <c r="Y1355" i="11"/>
  <c r="W1355" i="11"/>
  <c r="M1355" i="11"/>
  <c r="P1354" i="11"/>
  <c r="Y1354" i="11"/>
  <c r="M1354" i="11"/>
  <c r="W1354" i="11"/>
  <c r="P1353" i="11"/>
  <c r="W1353" i="11"/>
  <c r="M1353" i="11"/>
  <c r="Y1353" i="11"/>
  <c r="P1352" i="11"/>
  <c r="W1352" i="11"/>
  <c r="M1352" i="11"/>
  <c r="Y1352" i="11"/>
  <c r="P1351" i="11"/>
  <c r="W1351" i="11"/>
  <c r="Y1351" i="11"/>
  <c r="M1351" i="11"/>
  <c r="P1350" i="11"/>
  <c r="M1350" i="11"/>
  <c r="Y1350" i="11"/>
  <c r="W1350" i="11"/>
  <c r="P1349" i="11"/>
  <c r="M1349" i="11"/>
  <c r="W1349" i="11"/>
  <c r="Y1349" i="11"/>
  <c r="P1348" i="11"/>
  <c r="M1348" i="11"/>
  <c r="Y1348" i="11"/>
  <c r="W1348" i="11"/>
  <c r="P1347" i="11"/>
  <c r="W1347" i="11"/>
  <c r="Y1347" i="11"/>
  <c r="M1347" i="11"/>
  <c r="P1346" i="11"/>
  <c r="M1346" i="11"/>
  <c r="W1346" i="11"/>
  <c r="Y1346" i="11"/>
  <c r="P1345" i="11"/>
  <c r="M1345" i="11"/>
  <c r="W1345" i="11"/>
  <c r="Y1345" i="11"/>
  <c r="P1344" i="11"/>
  <c r="M1344" i="11"/>
  <c r="W1344" i="11"/>
  <c r="Y1344" i="11"/>
  <c r="P1343" i="11"/>
  <c r="M1343" i="11"/>
  <c r="W1343" i="11"/>
  <c r="Y1343" i="11"/>
  <c r="P1342" i="11"/>
  <c r="Y1342" i="11"/>
  <c r="W1342" i="11"/>
  <c r="M1342" i="11"/>
  <c r="P1341" i="11"/>
  <c r="M1341" i="11"/>
  <c r="Y1341" i="11"/>
  <c r="W1341" i="11"/>
  <c r="P1340" i="11"/>
  <c r="Y1340" i="11"/>
  <c r="W1340" i="11"/>
  <c r="M1340" i="11"/>
  <c r="P1339" i="11"/>
  <c r="M1339" i="11"/>
  <c r="W1339" i="11"/>
  <c r="Y1339" i="11"/>
  <c r="P1338" i="11"/>
  <c r="M1338" i="11"/>
  <c r="Y1338" i="11"/>
  <c r="W1338" i="11"/>
  <c r="P1337" i="11"/>
  <c r="M1337" i="11"/>
  <c r="W1337" i="11"/>
  <c r="Y1337" i="11"/>
  <c r="P1336" i="11"/>
  <c r="W1336" i="11"/>
  <c r="M1336" i="11"/>
  <c r="Y1336" i="11"/>
  <c r="P1335" i="11"/>
  <c r="W1335" i="11"/>
  <c r="Y1335" i="11"/>
  <c r="M1335" i="11"/>
  <c r="P1334" i="11"/>
  <c r="Y1334" i="11"/>
  <c r="W1334" i="11"/>
  <c r="M1334" i="11"/>
  <c r="P1333" i="11"/>
  <c r="Y1333" i="11"/>
  <c r="W1333" i="11"/>
  <c r="M1333" i="11"/>
  <c r="P1332" i="11"/>
  <c r="Y1332" i="11"/>
  <c r="W1332" i="11"/>
  <c r="M1332" i="11"/>
  <c r="P1331" i="11"/>
  <c r="Y1331" i="11"/>
  <c r="M1331" i="11"/>
  <c r="W1331" i="11"/>
  <c r="P1330" i="11"/>
  <c r="M1330" i="11"/>
  <c r="W1330" i="11"/>
  <c r="Y1330" i="11"/>
  <c r="P1329" i="11"/>
  <c r="M1329" i="11"/>
  <c r="W1329" i="11"/>
  <c r="Y1329" i="11"/>
  <c r="P1328" i="11"/>
  <c r="Y1328" i="11"/>
  <c r="W1328" i="11"/>
  <c r="M1328" i="11"/>
  <c r="P1327" i="11"/>
  <c r="M1327" i="11"/>
  <c r="Y1327" i="11"/>
  <c r="W1327" i="11"/>
  <c r="P1326" i="11"/>
  <c r="Y1326" i="11"/>
  <c r="M1326" i="11"/>
  <c r="W1326" i="11"/>
  <c r="P1325" i="11"/>
  <c r="Y1325" i="11"/>
  <c r="W1325" i="11"/>
  <c r="M1325" i="11"/>
  <c r="P1324" i="11"/>
  <c r="M1324" i="11"/>
  <c r="Y1324" i="11"/>
  <c r="W1324" i="11"/>
  <c r="P1323" i="11"/>
  <c r="Y1323" i="11"/>
  <c r="W1323" i="11"/>
  <c r="M1323" i="11"/>
  <c r="P1322" i="11"/>
  <c r="Y1322" i="11"/>
  <c r="M1322" i="11"/>
  <c r="W1322" i="11"/>
  <c r="P1321" i="11"/>
  <c r="W1321" i="11"/>
  <c r="Y1321" i="11"/>
  <c r="M1321" i="11"/>
  <c r="P1320" i="11"/>
  <c r="W1320" i="11"/>
  <c r="M1320" i="11"/>
  <c r="Y1320" i="11"/>
  <c r="P1319" i="11"/>
  <c r="M1319" i="11"/>
  <c r="Y1319" i="11"/>
  <c r="W1319" i="11"/>
  <c r="P1318" i="11"/>
  <c r="M1318" i="11"/>
  <c r="W1318" i="11"/>
  <c r="Y1318" i="11"/>
  <c r="P1317" i="11"/>
  <c r="Y1317" i="11"/>
  <c r="W1317" i="11"/>
  <c r="M1317" i="11"/>
  <c r="P1316" i="11"/>
  <c r="Y1316" i="11"/>
  <c r="W1316" i="11"/>
  <c r="M1316" i="11"/>
  <c r="P1315" i="11"/>
  <c r="Y1315" i="11"/>
  <c r="W1315" i="11"/>
  <c r="M1315" i="11"/>
  <c r="P1314" i="11"/>
  <c r="M1314" i="11"/>
  <c r="Y1314" i="11"/>
  <c r="W1314" i="11"/>
  <c r="P1313" i="11"/>
  <c r="M1313" i="11"/>
  <c r="W1313" i="11"/>
  <c r="Y1313" i="11"/>
  <c r="P1312" i="11"/>
  <c r="W1312" i="11"/>
  <c r="M1312" i="11"/>
  <c r="Y1312" i="11"/>
  <c r="P1311" i="11"/>
  <c r="M1311" i="11"/>
  <c r="W1311" i="11"/>
  <c r="Y1311" i="11"/>
  <c r="P1310" i="11"/>
  <c r="Y1310" i="11"/>
  <c r="M1310" i="11"/>
  <c r="W1310" i="11"/>
  <c r="P1309" i="11"/>
  <c r="W1309" i="11"/>
  <c r="Y1309" i="11"/>
  <c r="M1309" i="11"/>
  <c r="P1308" i="11"/>
  <c r="M1308" i="11"/>
  <c r="Y1308" i="11"/>
  <c r="W1308" i="11"/>
  <c r="P1307" i="11"/>
  <c r="M1307" i="11"/>
  <c r="W1307" i="11"/>
  <c r="Y1307" i="11"/>
  <c r="P1306" i="11"/>
  <c r="M1306" i="11"/>
  <c r="Y1306" i="11"/>
  <c r="W1306" i="11"/>
  <c r="P1305" i="11"/>
  <c r="W1305" i="11"/>
  <c r="Y1305" i="11"/>
  <c r="M1305" i="11"/>
  <c r="P1304" i="11"/>
  <c r="W1304" i="11"/>
  <c r="Y1304" i="11"/>
  <c r="M1304" i="11"/>
  <c r="P1303" i="11"/>
  <c r="W1303" i="11"/>
  <c r="Y1303" i="11"/>
  <c r="M1303" i="11"/>
  <c r="P1302" i="11"/>
  <c r="W1302" i="11"/>
  <c r="Y1302" i="11"/>
  <c r="M1302" i="11"/>
  <c r="P1301" i="11"/>
  <c r="M1301" i="11"/>
  <c r="W1301" i="11"/>
  <c r="Y1301" i="11"/>
  <c r="P1300" i="11"/>
  <c r="Y1300" i="11"/>
  <c r="M1300" i="11"/>
  <c r="W1300" i="11"/>
  <c r="P1299" i="11"/>
  <c r="W1299" i="11"/>
  <c r="M1299" i="11"/>
  <c r="Y1299" i="11"/>
  <c r="P1298" i="11"/>
  <c r="Y1298" i="11"/>
  <c r="W1298" i="11"/>
  <c r="M1298" i="11"/>
  <c r="P1297" i="11"/>
  <c r="Y1297" i="11"/>
  <c r="W1297" i="11"/>
  <c r="M1297" i="11"/>
  <c r="P1296" i="11"/>
  <c r="W1296" i="11"/>
  <c r="Y1296" i="11"/>
  <c r="M1296" i="11"/>
  <c r="P1295" i="11"/>
  <c r="Y1295" i="11"/>
  <c r="W1295" i="11"/>
  <c r="M1295" i="11"/>
  <c r="P1294" i="11"/>
  <c r="M1294" i="11"/>
  <c r="Y1294" i="11"/>
  <c r="W1294" i="11"/>
  <c r="P1293" i="11"/>
  <c r="M1293" i="11"/>
  <c r="Y1293" i="11"/>
  <c r="W1293" i="11"/>
  <c r="P1292" i="11"/>
  <c r="Y1292" i="11"/>
  <c r="W1292" i="11"/>
  <c r="M1292" i="11"/>
  <c r="P1291" i="11"/>
  <c r="M1291" i="11"/>
  <c r="W1291" i="11"/>
  <c r="Y1291" i="11"/>
  <c r="P1290" i="11"/>
  <c r="W1290" i="11"/>
  <c r="M1290" i="11"/>
  <c r="Y1290" i="11"/>
  <c r="P1289" i="11"/>
  <c r="Y1289" i="11"/>
  <c r="W1289" i="11"/>
  <c r="M1289" i="11"/>
  <c r="P1288" i="11"/>
  <c r="M1288" i="11"/>
  <c r="Y1288" i="11"/>
  <c r="W1288" i="11"/>
  <c r="P1287" i="11"/>
  <c r="Y1287" i="11"/>
  <c r="M1287" i="11"/>
  <c r="W1287" i="11"/>
  <c r="P1286" i="11"/>
  <c r="M1286" i="11"/>
  <c r="W1286" i="11"/>
  <c r="Y1286" i="11"/>
  <c r="P1285" i="11"/>
  <c r="W1285" i="11"/>
  <c r="Y1285" i="11"/>
  <c r="M1285" i="11"/>
  <c r="P1284" i="11"/>
  <c r="W1284" i="11"/>
  <c r="Y1284" i="11"/>
  <c r="M1284" i="11"/>
  <c r="P1283" i="11"/>
  <c r="Y1283" i="11"/>
  <c r="W1283" i="11"/>
  <c r="M1283" i="11"/>
  <c r="P1282" i="11"/>
  <c r="Y1282" i="11"/>
  <c r="W1282" i="11"/>
  <c r="M1282" i="11"/>
  <c r="P1281" i="11"/>
  <c r="Y1281" i="11"/>
  <c r="W1281" i="11"/>
  <c r="M1281" i="11"/>
  <c r="P1280" i="11"/>
  <c r="M1280" i="11"/>
  <c r="W1280" i="11"/>
  <c r="Y1280" i="11"/>
  <c r="P1279" i="11"/>
  <c r="Y1279" i="11"/>
  <c r="M1279" i="11"/>
  <c r="W1279" i="11"/>
  <c r="P1278" i="11"/>
  <c r="M1278" i="11"/>
  <c r="Y1278" i="11"/>
  <c r="W1278" i="11"/>
  <c r="P1277" i="11"/>
  <c r="M1277" i="11"/>
  <c r="Y1277" i="11"/>
  <c r="W1277" i="11"/>
  <c r="P1276" i="11"/>
  <c r="Y1276" i="11"/>
  <c r="M1276" i="11"/>
  <c r="W1276" i="11"/>
  <c r="P1275" i="11"/>
  <c r="W1275" i="11"/>
  <c r="M1275" i="11"/>
  <c r="Y1275" i="11"/>
  <c r="P1274" i="11"/>
  <c r="W1274" i="11"/>
  <c r="Y1274" i="11"/>
  <c r="M1274" i="11"/>
  <c r="P1273" i="11"/>
  <c r="M1273" i="11"/>
  <c r="W1273" i="11"/>
  <c r="Y1273" i="11"/>
  <c r="P1272" i="11"/>
  <c r="M1272" i="11"/>
  <c r="Y1272" i="11"/>
  <c r="W1272" i="11"/>
  <c r="P1271" i="11"/>
  <c r="M1271" i="11"/>
  <c r="Y1271" i="11"/>
  <c r="W1271" i="11"/>
  <c r="P1270" i="11"/>
  <c r="Y1270" i="11"/>
  <c r="W1270" i="11"/>
  <c r="M1270" i="11"/>
  <c r="P1269" i="11"/>
  <c r="Y1269" i="11"/>
  <c r="M1269" i="11"/>
  <c r="W1269" i="11"/>
  <c r="P1268" i="11"/>
  <c r="W1268" i="11"/>
  <c r="M1268" i="11"/>
  <c r="Y1268" i="11"/>
  <c r="P1267" i="11"/>
  <c r="Y1267" i="11"/>
  <c r="W1267" i="11"/>
  <c r="M1267" i="11"/>
  <c r="P1266" i="11"/>
  <c r="Y1266" i="11"/>
  <c r="W1266" i="11"/>
  <c r="M1266" i="11"/>
  <c r="P1265" i="11"/>
  <c r="M1265" i="11"/>
  <c r="W1265" i="11"/>
  <c r="Y1265" i="11"/>
  <c r="M1264" i="11"/>
  <c r="Y1264" i="11"/>
  <c r="M1263" i="11"/>
  <c r="P1263" i="11"/>
  <c r="Y1262" i="11"/>
  <c r="M1262" i="11"/>
  <c r="W1262" i="11"/>
  <c r="P1262" i="11"/>
  <c r="M1261" i="11"/>
  <c r="P1261" i="11"/>
  <c r="M1260" i="11"/>
  <c r="P1260" i="11"/>
  <c r="W1258" i="11"/>
  <c r="Y1258" i="11"/>
  <c r="M1258" i="11"/>
  <c r="P1257" i="11"/>
  <c r="W1257" i="11"/>
  <c r="M1257" i="11"/>
  <c r="M1256" i="11"/>
  <c r="W1256" i="11"/>
  <c r="Y1256" i="11"/>
  <c r="P1256" i="11"/>
  <c r="P1254" i="11"/>
  <c r="M1254" i="11"/>
  <c r="P1249" i="11"/>
  <c r="M1249" i="11"/>
  <c r="P1247" i="11"/>
  <c r="P1246" i="11"/>
  <c r="Y1245" i="11"/>
  <c r="W1245" i="11"/>
  <c r="P1243" i="11"/>
  <c r="M1243" i="11"/>
  <c r="W1243" i="11"/>
  <c r="Y1243" i="11"/>
  <c r="Y1239" i="11"/>
  <c r="M1239" i="11"/>
  <c r="W1232" i="11"/>
  <c r="P1230" i="11"/>
  <c r="M1230" i="11"/>
  <c r="M1229" i="11"/>
  <c r="P1227" i="11"/>
  <c r="Y1227" i="11"/>
  <c r="M1227" i="11"/>
  <c r="W1227" i="11"/>
  <c r="M1223" i="11"/>
  <c r="P1219" i="11"/>
  <c r="M1219" i="11"/>
  <c r="W1218" i="11"/>
  <c r="M1218" i="11"/>
  <c r="Y1218" i="11"/>
  <c r="W1217" i="11"/>
  <c r="M1217" i="11"/>
  <c r="M1216" i="11"/>
  <c r="Y1215" i="11"/>
  <c r="W1215" i="11"/>
  <c r="P1214" i="11"/>
  <c r="M1214" i="11"/>
  <c r="W1214" i="11"/>
  <c r="Y1214" i="11"/>
  <c r="P1213" i="11"/>
  <c r="Y1213" i="11"/>
  <c r="W1213" i="11"/>
  <c r="M1213" i="11"/>
  <c r="P1212" i="11"/>
  <c r="Y1212" i="11"/>
  <c r="W1212" i="11"/>
  <c r="M1212" i="11"/>
  <c r="P1211" i="11"/>
  <c r="W1211" i="11"/>
  <c r="M1211" i="11"/>
  <c r="Y1211" i="11"/>
  <c r="P1210" i="11"/>
  <c r="Y1210" i="11"/>
  <c r="M1210" i="11"/>
  <c r="W1210" i="11"/>
  <c r="M1208" i="11"/>
  <c r="W1206" i="11"/>
  <c r="Y1206" i="11"/>
  <c r="M1206" i="11"/>
  <c r="M1205" i="11"/>
  <c r="W1205" i="11"/>
  <c r="Y1205" i="11"/>
  <c r="Y1203" i="11"/>
  <c r="Y1202" i="11"/>
  <c r="M1202" i="11"/>
  <c r="M1201" i="11"/>
  <c r="W1201" i="11"/>
  <c r="P1201" i="11"/>
  <c r="P1199" i="11"/>
  <c r="P1198" i="11"/>
  <c r="Y1198" i="11"/>
  <c r="W1198" i="11"/>
  <c r="M1198" i="11"/>
  <c r="P1197" i="11"/>
  <c r="Y1197" i="11"/>
  <c r="M1197" i="11"/>
  <c r="W1197" i="11"/>
  <c r="Y1196" i="11"/>
  <c r="W1196" i="11"/>
  <c r="M1196" i="11"/>
  <c r="P1196" i="11"/>
  <c r="W1194" i="11"/>
  <c r="Y1194" i="11"/>
  <c r="M1193" i="11"/>
  <c r="Y1193" i="11"/>
  <c r="W1193" i="11"/>
  <c r="P1191" i="11"/>
  <c r="M1191" i="11"/>
  <c r="Y1191" i="11"/>
  <c r="W1191" i="11"/>
  <c r="W1189" i="11"/>
  <c r="M1189" i="11"/>
  <c r="Y1189" i="11"/>
  <c r="M1188" i="11"/>
  <c r="P1187" i="11"/>
  <c r="W1187" i="11"/>
  <c r="M1187" i="11"/>
  <c r="Y1187" i="11"/>
  <c r="M1185" i="11"/>
  <c r="M1184" i="11"/>
  <c r="P1183" i="11"/>
  <c r="Y1183" i="11"/>
  <c r="M1183" i="11"/>
  <c r="W1183" i="11"/>
  <c r="P1182" i="11"/>
  <c r="Y1182" i="11"/>
  <c r="M1182" i="11"/>
  <c r="W1182" i="11"/>
  <c r="P1181" i="11"/>
  <c r="M1181" i="11"/>
  <c r="W1181" i="11"/>
  <c r="Y1181" i="11"/>
  <c r="P1180" i="11"/>
  <c r="Y1180" i="11"/>
  <c r="M1180" i="11"/>
  <c r="W1180" i="11"/>
  <c r="P1179" i="11"/>
  <c r="Y1179" i="11"/>
  <c r="W1179" i="11"/>
  <c r="M1179" i="11"/>
  <c r="Y1178" i="11"/>
  <c r="M1177" i="11"/>
  <c r="P1177" i="11"/>
  <c r="W1175" i="11"/>
  <c r="Y1175" i="11"/>
  <c r="Y1174" i="11"/>
  <c r="W1174" i="11"/>
  <c r="M1174" i="11"/>
  <c r="W1171" i="11"/>
  <c r="M1171" i="11"/>
  <c r="Y1171" i="11"/>
  <c r="P1171" i="11"/>
  <c r="P1170" i="11"/>
  <c r="W1170" i="11"/>
  <c r="Y1170" i="11"/>
  <c r="M1170" i="11"/>
  <c r="P1169" i="11"/>
  <c r="W1169" i="11"/>
  <c r="M1169" i="11"/>
  <c r="Y1169" i="11"/>
  <c r="W1168" i="11"/>
  <c r="Y1168" i="11"/>
  <c r="M1168" i="11"/>
  <c r="M1167" i="11"/>
  <c r="P1167" i="11"/>
  <c r="M1166" i="11"/>
  <c r="W1166" i="11"/>
  <c r="Y1166" i="11"/>
  <c r="W1165" i="11"/>
  <c r="Y1165" i="11"/>
  <c r="M1165" i="11"/>
  <c r="P1164" i="11"/>
  <c r="M1163" i="11"/>
  <c r="Y1162" i="11"/>
  <c r="W1162" i="11"/>
  <c r="M1161" i="11"/>
  <c r="W1161" i="11"/>
  <c r="P1161" i="11"/>
  <c r="M1160" i="11"/>
  <c r="Y1160" i="11"/>
  <c r="W1160" i="11"/>
  <c r="W1159" i="11"/>
  <c r="P1159" i="11"/>
  <c r="P1158" i="11"/>
  <c r="Y1158" i="11"/>
  <c r="W1158" i="11"/>
  <c r="M1158" i="11"/>
  <c r="Y1157" i="11"/>
  <c r="M1157" i="11"/>
  <c r="W1157" i="11"/>
  <c r="W1156" i="11"/>
  <c r="Y1155" i="11"/>
  <c r="W1155" i="11"/>
  <c r="P1155" i="11"/>
  <c r="M1154" i="11"/>
  <c r="Y1153" i="11"/>
  <c r="W1153" i="11"/>
  <c r="W1152" i="11"/>
  <c r="P1151" i="11"/>
  <c r="Y1151" i="11"/>
  <c r="M1151" i="11"/>
  <c r="W1150" i="11"/>
  <c r="P1150" i="11"/>
  <c r="M1150" i="11"/>
  <c r="Y1149" i="11"/>
  <c r="M1149" i="11"/>
  <c r="P1149" i="11"/>
  <c r="P1148" i="11"/>
  <c r="M1148" i="11"/>
  <c r="W1148" i="11"/>
  <c r="Y1148" i="11"/>
  <c r="W1147" i="11"/>
  <c r="M1147" i="11"/>
  <c r="P1147" i="11"/>
  <c r="M1146" i="11"/>
  <c r="P1144" i="11"/>
  <c r="M1143" i="11"/>
  <c r="W1143" i="11"/>
  <c r="P1143" i="11"/>
  <c r="Y1142" i="11"/>
  <c r="M1142" i="11"/>
  <c r="W1142" i="11"/>
  <c r="P1142" i="11"/>
  <c r="P1141" i="11"/>
  <c r="Y1141" i="11"/>
  <c r="M1141" i="11"/>
  <c r="W1141" i="11"/>
  <c r="W1140" i="11"/>
  <c r="M1140" i="11"/>
  <c r="M1139" i="11"/>
  <c r="M1138" i="11"/>
  <c r="Y1138" i="11"/>
  <c r="Y1137" i="11"/>
  <c r="W1137" i="11"/>
  <c r="M1137" i="11"/>
  <c r="P1137" i="11"/>
  <c r="Y1136" i="11"/>
  <c r="M1136" i="11"/>
  <c r="W1136" i="11"/>
  <c r="M1135" i="11"/>
  <c r="P1135" i="11"/>
  <c r="W1134" i="11"/>
  <c r="W1133" i="11"/>
  <c r="M1131" i="11"/>
  <c r="M1130" i="11"/>
  <c r="P1129" i="11"/>
  <c r="M1129" i="11"/>
  <c r="Y1128" i="11"/>
  <c r="W1128" i="11"/>
  <c r="P1128" i="11"/>
  <c r="M1128" i="11"/>
  <c r="W1127" i="11"/>
  <c r="M1127" i="11"/>
  <c r="Y1126" i="11"/>
  <c r="M1126" i="11"/>
  <c r="P1125" i="11"/>
  <c r="W1125" i="11"/>
  <c r="Y1125" i="11"/>
  <c r="M1125" i="11"/>
  <c r="P1124" i="11"/>
  <c r="Y1124" i="11"/>
  <c r="M1124" i="11"/>
  <c r="W1124" i="11"/>
  <c r="M1123" i="11"/>
  <c r="P1123" i="11"/>
  <c r="Y1122" i="11"/>
  <c r="M1121" i="11"/>
  <c r="W1121" i="11"/>
  <c r="W1120" i="11"/>
  <c r="Y1120" i="11"/>
  <c r="M1120" i="11"/>
  <c r="P1119" i="11"/>
  <c r="W1118" i="11"/>
  <c r="P1118" i="11"/>
  <c r="M1118" i="11"/>
  <c r="M1117" i="11"/>
  <c r="W1116" i="11"/>
  <c r="Y1116" i="11"/>
  <c r="M1116" i="11"/>
  <c r="Y1113" i="11"/>
  <c r="M1112" i="11"/>
  <c r="P1111" i="11"/>
  <c r="M1110" i="11"/>
  <c r="P1109" i="11"/>
  <c r="P1108" i="11"/>
  <c r="Y1108" i="11"/>
  <c r="M1108" i="11"/>
  <c r="P1107" i="11"/>
  <c r="M1107" i="11"/>
  <c r="M1106" i="11"/>
  <c r="Y1106" i="11"/>
  <c r="W1106" i="11"/>
  <c r="P1105" i="11"/>
  <c r="M1105" i="11"/>
  <c r="W1105" i="11"/>
  <c r="Y1105" i="11"/>
  <c r="M1104" i="11"/>
  <c r="M1103" i="11"/>
  <c r="Y1103" i="11"/>
  <c r="W1102" i="11"/>
  <c r="M1102" i="11"/>
  <c r="M1101" i="11"/>
  <c r="P1100" i="11"/>
  <c r="P1097" i="11"/>
  <c r="M1095" i="11"/>
  <c r="Y1092" i="11"/>
  <c r="W1092" i="11"/>
  <c r="M1091" i="11"/>
  <c r="Y1089" i="11"/>
  <c r="W1087" i="11"/>
  <c r="Y1087" i="11"/>
  <c r="M1086" i="11"/>
  <c r="W1084" i="11"/>
  <c r="Y1082" i="11"/>
  <c r="W1082" i="11"/>
  <c r="M1082" i="11"/>
  <c r="M1081" i="11"/>
  <c r="W1079" i="11"/>
  <c r="Y1079" i="11"/>
  <c r="P1079" i="11"/>
  <c r="M1077" i="11"/>
  <c r="Y1076" i="11"/>
  <c r="M1076" i="11"/>
  <c r="M1075" i="11"/>
  <c r="W1073" i="11"/>
  <c r="M1072" i="11"/>
  <c r="W1071" i="11"/>
  <c r="Y1071" i="11"/>
  <c r="Y1066" i="11"/>
  <c r="M1060" i="11"/>
  <c r="Y1058" i="11"/>
  <c r="M1057" i="11"/>
  <c r="W1054" i="11"/>
  <c r="P1054" i="11"/>
  <c r="P1051" i="11"/>
  <c r="P1048" i="11"/>
  <c r="P1040" i="11"/>
  <c r="M1034" i="11"/>
  <c r="P1028" i="11"/>
  <c r="M646" i="11"/>
  <c r="M644" i="11"/>
  <c r="M643" i="11"/>
  <c r="Y638" i="11"/>
  <c r="M637" i="11"/>
  <c r="M635" i="11"/>
  <c r="P632" i="11"/>
  <c r="M628" i="11"/>
  <c r="Y625" i="11"/>
  <c r="Y624" i="11"/>
  <c r="W623" i="11"/>
  <c r="Y622" i="11"/>
  <c r="P621" i="11"/>
  <c r="Y616" i="11"/>
  <c r="M614" i="11"/>
  <c r="M608" i="11"/>
  <c r="M160" i="11"/>
  <c r="Y157" i="11"/>
  <c r="M150" i="11"/>
  <c r="M140" i="11"/>
  <c r="W126" i="11"/>
  <c r="M121" i="11"/>
  <c r="M117" i="11"/>
  <c r="M113" i="11"/>
  <c r="M108" i="11"/>
  <c r="M103" i="11"/>
  <c r="M1025" i="11"/>
  <c r="Y1025" i="11"/>
  <c r="W1025" i="11"/>
  <c r="M1024" i="11"/>
  <c r="W1024" i="11"/>
  <c r="Y1024" i="11"/>
  <c r="P1023" i="11"/>
  <c r="Y1022" i="11"/>
  <c r="W1022" i="11"/>
  <c r="M1022" i="11"/>
  <c r="W1021" i="11"/>
  <c r="M1021" i="11"/>
  <c r="P1021" i="11"/>
  <c r="Y1020" i="11"/>
  <c r="M1020" i="11"/>
  <c r="W1018" i="11"/>
  <c r="M1018" i="11"/>
  <c r="P1018" i="11"/>
  <c r="P1017" i="11"/>
  <c r="W1016" i="11"/>
  <c r="Y1016" i="11"/>
  <c r="P1016" i="11"/>
  <c r="M1014" i="11"/>
  <c r="M1012" i="11"/>
  <c r="P1012" i="11"/>
  <c r="Y1010" i="11"/>
  <c r="W1010" i="11"/>
  <c r="P1009" i="11"/>
  <c r="Y1009" i="11"/>
  <c r="M1009" i="11"/>
  <c r="W1009" i="11"/>
  <c r="P1008" i="11"/>
  <c r="M1008" i="11"/>
  <c r="W1007" i="11"/>
  <c r="Y1007" i="11"/>
  <c r="P1006" i="11"/>
  <c r="W1006" i="11"/>
  <c r="M1006" i="11"/>
  <c r="Y1006" i="11"/>
  <c r="W1005" i="11"/>
  <c r="Y1005" i="11"/>
  <c r="M1004" i="11"/>
  <c r="P1003" i="11"/>
  <c r="M1003" i="11"/>
  <c r="W1003" i="11"/>
  <c r="P1002" i="11"/>
  <c r="W1002" i="11"/>
  <c r="Y1002" i="11"/>
  <c r="M1002" i="11"/>
  <c r="M1000" i="11"/>
  <c r="Y1000" i="11"/>
  <c r="W1000" i="11"/>
  <c r="P999" i="11"/>
  <c r="M999" i="11"/>
  <c r="W999" i="11"/>
  <c r="P998" i="11"/>
  <c r="W998" i="11"/>
  <c r="Y998" i="11"/>
  <c r="M998" i="11"/>
  <c r="M997" i="11"/>
  <c r="W997" i="11"/>
  <c r="Y996" i="11"/>
  <c r="W996" i="11"/>
  <c r="M996" i="11"/>
  <c r="P995" i="11"/>
  <c r="W995" i="11"/>
  <c r="M995" i="11"/>
  <c r="M994" i="11"/>
  <c r="W994" i="11"/>
  <c r="Y994" i="11"/>
  <c r="Y993" i="11"/>
  <c r="W993" i="11"/>
  <c r="Y992" i="11"/>
  <c r="W992" i="11"/>
  <c r="M992" i="11"/>
  <c r="P991" i="11"/>
  <c r="M991" i="11"/>
  <c r="W991" i="11"/>
  <c r="Y991" i="11"/>
  <c r="M990" i="11"/>
  <c r="W990" i="11"/>
  <c r="Y990" i="11"/>
  <c r="P990" i="11"/>
  <c r="M988" i="11"/>
  <c r="P987" i="11"/>
  <c r="W987" i="11"/>
  <c r="Y987" i="11"/>
  <c r="Y986" i="11"/>
  <c r="M986" i="11"/>
  <c r="W986" i="11"/>
  <c r="W985" i="11"/>
  <c r="Y985" i="11"/>
  <c r="M985" i="11"/>
  <c r="P984" i="11"/>
  <c r="M984" i="11"/>
  <c r="P983" i="11"/>
  <c r="W983" i="11"/>
  <c r="M983" i="11"/>
  <c r="Y983" i="11"/>
  <c r="P982" i="11"/>
  <c r="Y980" i="11"/>
  <c r="M980" i="11"/>
  <c r="W980" i="11"/>
  <c r="P980" i="11"/>
  <c r="P979" i="11"/>
  <c r="Y979" i="11"/>
  <c r="W979" i="11"/>
  <c r="M979" i="11"/>
  <c r="P978" i="11"/>
  <c r="Y977" i="11"/>
  <c r="P977" i="11"/>
  <c r="P976" i="11"/>
  <c r="Y976" i="11"/>
  <c r="W976" i="11"/>
  <c r="M976" i="11"/>
  <c r="P975" i="11"/>
  <c r="M975" i="11"/>
  <c r="P974" i="11"/>
  <c r="W974" i="11"/>
  <c r="Y974" i="11"/>
  <c r="Y973" i="11"/>
  <c r="W973" i="11"/>
  <c r="M973" i="11"/>
  <c r="P971" i="11"/>
  <c r="P970" i="11"/>
  <c r="Y970" i="11"/>
  <c r="W970" i="11"/>
  <c r="M970" i="11"/>
  <c r="Y969" i="11"/>
  <c r="W969" i="11"/>
  <c r="M969" i="11"/>
  <c r="Y967" i="11"/>
  <c r="M964" i="11"/>
  <c r="W964" i="11"/>
  <c r="Y964" i="11"/>
  <c r="M963" i="11"/>
  <c r="P963" i="11"/>
  <c r="W962" i="11"/>
  <c r="Y962" i="11"/>
  <c r="P961" i="11"/>
  <c r="W961" i="11"/>
  <c r="M961" i="11"/>
  <c r="Y961" i="11"/>
  <c r="P960" i="11"/>
  <c r="Y960" i="11"/>
  <c r="W960" i="11"/>
  <c r="M960" i="11"/>
  <c r="W959" i="11"/>
  <c r="Y959" i="11"/>
  <c r="P958" i="11"/>
  <c r="M957" i="11"/>
  <c r="Y956" i="11"/>
  <c r="W956" i="11"/>
  <c r="P955" i="11"/>
  <c r="Y955" i="11"/>
  <c r="W955" i="11"/>
  <c r="M955" i="11"/>
  <c r="P954" i="11"/>
  <c r="M954" i="11"/>
  <c r="W953" i="11"/>
  <c r="M953" i="11"/>
  <c r="P953" i="11"/>
  <c r="Y952" i="11"/>
  <c r="W952" i="11"/>
  <c r="W951" i="11"/>
  <c r="Y951" i="11"/>
  <c r="W950" i="11"/>
  <c r="Y950" i="11"/>
  <c r="M950" i="11"/>
  <c r="P950" i="11"/>
  <c r="W949" i="11"/>
  <c r="P948" i="11"/>
  <c r="Y948" i="11"/>
  <c r="M948" i="11"/>
  <c r="M947" i="11"/>
  <c r="Y946" i="11"/>
  <c r="W946" i="11"/>
  <c r="P945" i="11"/>
  <c r="M945" i="11"/>
  <c r="W945" i="11"/>
  <c r="M944" i="11"/>
  <c r="W944" i="11"/>
  <c r="Y944" i="11"/>
  <c r="M943" i="11"/>
  <c r="W943" i="11"/>
  <c r="Y943" i="11"/>
  <c r="P943" i="11"/>
  <c r="M939" i="11"/>
  <c r="W939" i="11"/>
  <c r="Y939" i="11"/>
  <c r="P939" i="11"/>
  <c r="P937" i="11"/>
  <c r="M937" i="11"/>
  <c r="P936" i="11"/>
  <c r="P935" i="11"/>
  <c r="W935" i="11"/>
  <c r="Y935" i="11"/>
  <c r="M935" i="11"/>
  <c r="Y934" i="11"/>
  <c r="M934" i="11"/>
  <c r="W933" i="11"/>
  <c r="Y933" i="11"/>
  <c r="W932" i="11"/>
  <c r="P931" i="11"/>
  <c r="M931" i="11"/>
  <c r="Y930" i="11"/>
  <c r="W930" i="11"/>
  <c r="M929" i="11"/>
  <c r="P929" i="11"/>
  <c r="P928" i="11"/>
  <c r="M928" i="11"/>
  <c r="M926" i="11"/>
  <c r="P926" i="11"/>
  <c r="Y925" i="11"/>
  <c r="W925" i="11"/>
  <c r="M925" i="11"/>
  <c r="Y924" i="11"/>
  <c r="W924" i="11"/>
  <c r="M924" i="11"/>
  <c r="W923" i="11"/>
  <c r="Y923" i="11"/>
  <c r="M922" i="11"/>
  <c r="Y922" i="11"/>
  <c r="W922" i="11"/>
  <c r="P921" i="11"/>
  <c r="W920" i="11"/>
  <c r="Y920" i="11"/>
  <c r="P918" i="11"/>
  <c r="Y918" i="11"/>
  <c r="M918" i="11"/>
  <c r="P917" i="11"/>
  <c r="Y917" i="11"/>
  <c r="W917" i="11"/>
  <c r="M917" i="11"/>
  <c r="P916" i="11"/>
  <c r="Y916" i="11"/>
  <c r="W916" i="11"/>
  <c r="M916" i="11"/>
  <c r="P915" i="11"/>
  <c r="M915" i="11"/>
  <c r="Y915" i="11"/>
  <c r="W915" i="11"/>
  <c r="Y914" i="11"/>
  <c r="W913" i="11"/>
  <c r="Y913" i="11"/>
  <c r="Y912" i="11"/>
  <c r="W912" i="11"/>
  <c r="W911" i="11"/>
  <c r="M911" i="11"/>
  <c r="Y911" i="11"/>
  <c r="P911" i="11"/>
  <c r="W910" i="11"/>
  <c r="Y910" i="11"/>
  <c r="M910" i="11"/>
  <c r="W909" i="11"/>
  <c r="Y909" i="11"/>
  <c r="W908" i="11"/>
  <c r="Y908" i="11"/>
  <c r="P908" i="11"/>
  <c r="P907" i="11"/>
  <c r="W907" i="11"/>
  <c r="Y907" i="11"/>
  <c r="P906" i="11"/>
  <c r="W906" i="11"/>
  <c r="Y906" i="11"/>
  <c r="M906" i="11"/>
  <c r="W905" i="11"/>
  <c r="Y905" i="11"/>
  <c r="M905" i="11"/>
  <c r="M904" i="11"/>
  <c r="P903" i="11"/>
  <c r="Y903" i="11"/>
  <c r="M903" i="11"/>
  <c r="W903" i="11"/>
  <c r="P902" i="11"/>
  <c r="Y902" i="11"/>
  <c r="W902" i="11"/>
  <c r="M902" i="11"/>
  <c r="P901" i="11"/>
  <c r="M901" i="11"/>
  <c r="Y901" i="11"/>
  <c r="W901" i="11"/>
  <c r="P900" i="11"/>
  <c r="Y900" i="11"/>
  <c r="M900" i="11"/>
  <c r="W900" i="11"/>
  <c r="P898" i="11"/>
  <c r="W898" i="11"/>
  <c r="Y898" i="11"/>
  <c r="M898" i="11"/>
  <c r="Y897" i="11"/>
  <c r="W897" i="11"/>
  <c r="P896" i="11"/>
  <c r="M896" i="11"/>
  <c r="M895" i="11"/>
  <c r="P894" i="11"/>
  <c r="M894" i="11"/>
  <c r="M893" i="11"/>
  <c r="Y893" i="11"/>
  <c r="W893" i="11"/>
  <c r="W892" i="11"/>
  <c r="Y892" i="11"/>
  <c r="P891" i="11"/>
  <c r="P890" i="11"/>
  <c r="W890" i="11"/>
  <c r="Y890" i="11"/>
  <c r="M890" i="11"/>
  <c r="P889" i="11"/>
  <c r="Y889" i="11"/>
  <c r="M889" i="11"/>
  <c r="W889" i="11"/>
  <c r="P888" i="11"/>
  <c r="M888" i="11"/>
  <c r="W888" i="11"/>
  <c r="Y888" i="11"/>
  <c r="P887" i="11"/>
  <c r="W887" i="11"/>
  <c r="Y887" i="11"/>
  <c r="M887" i="11"/>
  <c r="P886" i="11"/>
  <c r="M886" i="11"/>
  <c r="W886" i="11"/>
  <c r="Y886" i="11"/>
  <c r="P885" i="11"/>
  <c r="M885" i="11"/>
  <c r="Y885" i="11"/>
  <c r="W885" i="11"/>
  <c r="P884" i="11"/>
  <c r="W884" i="11"/>
  <c r="Y884" i="11"/>
  <c r="M884" i="11"/>
  <c r="P883" i="11"/>
  <c r="Y883" i="11"/>
  <c r="W883" i="11"/>
  <c r="M883" i="11"/>
  <c r="P882" i="11"/>
  <c r="M882" i="11"/>
  <c r="Y882" i="11"/>
  <c r="W882" i="11"/>
  <c r="P881" i="11"/>
  <c r="M881" i="11"/>
  <c r="Y881" i="11"/>
  <c r="W881" i="11"/>
  <c r="P880" i="11"/>
  <c r="M880" i="11"/>
  <c r="W880" i="11"/>
  <c r="Y880" i="11"/>
  <c r="P879" i="11"/>
  <c r="M879" i="11"/>
  <c r="Y879" i="11"/>
  <c r="W879" i="11"/>
  <c r="Y878" i="11"/>
  <c r="P878" i="11"/>
  <c r="P877" i="11"/>
  <c r="M877" i="11"/>
  <c r="M876" i="11"/>
  <c r="P875" i="11"/>
  <c r="Y875" i="11"/>
  <c r="W875" i="11"/>
  <c r="M875" i="11"/>
  <c r="W873" i="11"/>
  <c r="M873" i="11"/>
  <c r="Y873" i="11"/>
  <c r="W872" i="11"/>
  <c r="Y872" i="11"/>
  <c r="P871" i="11"/>
  <c r="M871" i="11"/>
  <c r="W871" i="11"/>
  <c r="Y870" i="11"/>
  <c r="P869" i="11"/>
  <c r="M869" i="11"/>
  <c r="W869" i="11"/>
  <c r="Y869" i="11"/>
  <c r="Y868" i="11"/>
  <c r="W868" i="11"/>
  <c r="P867" i="11"/>
  <c r="M867" i="11"/>
  <c r="Y866" i="11"/>
  <c r="M866" i="11"/>
  <c r="W866" i="11"/>
  <c r="P866" i="11"/>
  <c r="W865" i="11"/>
  <c r="Y865" i="11"/>
  <c r="P864" i="11"/>
  <c r="M864" i="11"/>
  <c r="M862" i="11"/>
  <c r="P862" i="11"/>
  <c r="P861" i="11"/>
  <c r="M861" i="11"/>
  <c r="M860" i="11"/>
  <c r="W859" i="11"/>
  <c r="Y859" i="11"/>
  <c r="Y858" i="11"/>
  <c r="W858" i="11"/>
  <c r="M858" i="11"/>
  <c r="P856" i="11"/>
  <c r="M856" i="11"/>
  <c r="W855" i="11"/>
  <c r="Y855" i="11"/>
  <c r="P854" i="11"/>
  <c r="W854" i="11"/>
  <c r="Y854" i="11"/>
  <c r="M854" i="11"/>
  <c r="W853" i="11"/>
  <c r="Y853" i="11"/>
  <c r="P852" i="11"/>
  <c r="Y852" i="11"/>
  <c r="M852" i="11"/>
  <c r="W852" i="11"/>
  <c r="W851" i="11"/>
  <c r="Y851" i="11"/>
  <c r="M850" i="11"/>
  <c r="P849" i="11"/>
  <c r="M849" i="11"/>
  <c r="Y848" i="11"/>
  <c r="W848" i="11"/>
  <c r="W847" i="11"/>
  <c r="Y847" i="11"/>
  <c r="Y846" i="11"/>
  <c r="W846" i="11"/>
  <c r="P845" i="11"/>
  <c r="W845" i="11"/>
  <c r="Y845" i="11"/>
  <c r="M845" i="11"/>
  <c r="P844" i="11"/>
  <c r="Y844" i="11"/>
  <c r="W844" i="11"/>
  <c r="P843" i="11"/>
  <c r="M843" i="11"/>
  <c r="M841" i="11"/>
  <c r="W841" i="11"/>
  <c r="Y841" i="11"/>
  <c r="P840" i="11"/>
  <c r="W840" i="11"/>
  <c r="W839" i="11"/>
  <c r="Y839" i="11"/>
  <c r="P838" i="11"/>
  <c r="M838" i="11"/>
  <c r="W838" i="11"/>
  <c r="Y838" i="11"/>
  <c r="P837" i="11"/>
  <c r="M837" i="11"/>
  <c r="Y837" i="11"/>
  <c r="W837" i="11"/>
  <c r="Y836" i="11"/>
  <c r="P835" i="11"/>
  <c r="Y835" i="11"/>
  <c r="W835" i="11"/>
  <c r="M835" i="11"/>
  <c r="M834" i="11"/>
  <c r="W834" i="11"/>
  <c r="P833" i="11"/>
  <c r="M833" i="11"/>
  <c r="Y833" i="11"/>
  <c r="W833" i="11"/>
  <c r="M832" i="11"/>
  <c r="W832" i="11"/>
  <c r="Y832" i="11"/>
  <c r="P830" i="11"/>
  <c r="P829" i="11"/>
  <c r="M829" i="11"/>
  <c r="W829" i="11"/>
  <c r="Y829" i="11"/>
  <c r="Y828" i="11"/>
  <c r="M828" i="11"/>
  <c r="W828" i="11"/>
  <c r="Y826" i="11"/>
  <c r="W826" i="11"/>
  <c r="W823" i="11"/>
  <c r="Y823" i="11"/>
  <c r="M823" i="11"/>
  <c r="M822" i="11"/>
  <c r="P822" i="11"/>
  <c r="W821" i="11"/>
  <c r="Y821" i="11"/>
  <c r="Y820" i="11"/>
  <c r="W820" i="11"/>
  <c r="W817" i="11"/>
  <c r="Y817" i="11"/>
  <c r="M817" i="11"/>
  <c r="P817" i="11"/>
  <c r="P816" i="11"/>
  <c r="M816" i="11"/>
  <c r="M815" i="11"/>
  <c r="P814" i="11"/>
  <c r="Y814" i="11"/>
  <c r="M814" i="11"/>
  <c r="W814" i="11"/>
  <c r="P813" i="11"/>
  <c r="M813" i="11"/>
  <c r="P812" i="11"/>
  <c r="M812" i="11"/>
  <c r="W812" i="11"/>
  <c r="Y811" i="11"/>
  <c r="Y810" i="11"/>
  <c r="W810" i="11"/>
  <c r="M809" i="11"/>
  <c r="W809" i="11"/>
  <c r="Y809" i="11"/>
  <c r="W808" i="11"/>
  <c r="P807" i="11"/>
  <c r="M807" i="11"/>
  <c r="Y807" i="11"/>
  <c r="Y805" i="11"/>
  <c r="W805" i="11"/>
  <c r="P804" i="11"/>
  <c r="M804" i="11"/>
  <c r="W804" i="11"/>
  <c r="Y803" i="11"/>
  <c r="M803" i="11"/>
  <c r="W803" i="11"/>
  <c r="Y802" i="11"/>
  <c r="W802" i="11"/>
  <c r="M802" i="11"/>
  <c r="P802" i="11"/>
  <c r="M798" i="11"/>
  <c r="W798" i="11"/>
  <c r="Y798" i="11"/>
  <c r="P798" i="11"/>
  <c r="Y797" i="11"/>
  <c r="M797" i="11"/>
  <c r="W797" i="11"/>
  <c r="P796" i="11"/>
  <c r="M796" i="11"/>
  <c r="Y795" i="11"/>
  <c r="W795" i="11"/>
  <c r="Y794" i="11"/>
  <c r="W794" i="11"/>
  <c r="W793" i="11"/>
  <c r="Y793" i="11"/>
  <c r="M792" i="11"/>
  <c r="Y792" i="11"/>
  <c r="W792" i="11"/>
  <c r="P791" i="11"/>
  <c r="M791" i="11"/>
  <c r="W791" i="11"/>
  <c r="Y791" i="11"/>
  <c r="W790" i="11"/>
  <c r="Y790" i="11"/>
  <c r="P789" i="11"/>
  <c r="M789" i="11"/>
  <c r="W788" i="11"/>
  <c r="P788" i="11"/>
  <c r="W786" i="11"/>
  <c r="Y786" i="11"/>
  <c r="W785" i="11"/>
  <c r="M784" i="11"/>
  <c r="P784" i="11"/>
  <c r="Y783" i="11"/>
  <c r="W783" i="11"/>
  <c r="M783" i="11"/>
  <c r="P781" i="11"/>
  <c r="M781" i="11"/>
  <c r="Y781" i="11"/>
  <c r="W781" i="11"/>
  <c r="Y780" i="11"/>
  <c r="W780" i="11"/>
  <c r="Y779" i="11"/>
  <c r="W779" i="11"/>
  <c r="P777" i="11"/>
  <c r="M777" i="11"/>
  <c r="Y776" i="11"/>
  <c r="W776" i="11"/>
  <c r="P775" i="11"/>
  <c r="W775" i="11"/>
  <c r="M775" i="11"/>
  <c r="Y775" i="11"/>
  <c r="P774" i="11"/>
  <c r="M774" i="11"/>
  <c r="W774" i="11"/>
  <c r="Y774" i="11"/>
  <c r="Y772" i="11"/>
  <c r="W772" i="11"/>
  <c r="Y771" i="11"/>
  <c r="W771" i="11"/>
  <c r="M771" i="11"/>
  <c r="P771" i="11"/>
  <c r="M769" i="11"/>
  <c r="Y768" i="11"/>
  <c r="W768" i="11"/>
  <c r="M768" i="11"/>
  <c r="P767" i="11"/>
  <c r="W766" i="11"/>
  <c r="Y766" i="11"/>
  <c r="P764" i="11"/>
  <c r="W764" i="11"/>
  <c r="Y764" i="11"/>
  <c r="M764" i="11"/>
  <c r="P763" i="11"/>
  <c r="M763" i="11"/>
  <c r="W762" i="11"/>
  <c r="Y762" i="11"/>
  <c r="M761" i="11"/>
  <c r="P761" i="11"/>
  <c r="P759" i="11"/>
  <c r="M759" i="11"/>
  <c r="W759" i="11"/>
  <c r="Y759" i="11"/>
  <c r="Y758" i="11"/>
  <c r="W758" i="11"/>
  <c r="P757" i="11"/>
  <c r="P756" i="11"/>
  <c r="W756" i="11"/>
  <c r="M756" i="11"/>
  <c r="Y756" i="11"/>
  <c r="P755" i="11"/>
  <c r="M755" i="11"/>
  <c r="W754" i="11"/>
  <c r="Y754" i="11"/>
  <c r="P753" i="11"/>
  <c r="W753" i="11"/>
  <c r="Y753" i="11"/>
  <c r="M753" i="11"/>
  <c r="M752" i="11"/>
  <c r="Y752" i="11"/>
  <c r="W752" i="11"/>
  <c r="P752" i="11"/>
  <c r="M750" i="11"/>
  <c r="W750" i="11"/>
  <c r="Y750" i="11"/>
  <c r="P750" i="11"/>
  <c r="P749" i="11"/>
  <c r="M749" i="11"/>
  <c r="W749" i="11"/>
  <c r="Y749" i="11"/>
  <c r="P748" i="11"/>
  <c r="M748" i="11"/>
  <c r="W748" i="11"/>
  <c r="Y748" i="11"/>
  <c r="P747" i="11"/>
  <c r="M747" i="11"/>
  <c r="W747" i="11"/>
  <c r="Y747" i="11"/>
  <c r="P746" i="11"/>
  <c r="M746" i="11"/>
  <c r="W746" i="11"/>
  <c r="Y746" i="11"/>
  <c r="P745" i="11"/>
  <c r="Y745" i="11"/>
  <c r="W745" i="11"/>
  <c r="M745" i="11"/>
  <c r="P744" i="11"/>
  <c r="Y744" i="11"/>
  <c r="W744" i="11"/>
  <c r="M744" i="11"/>
  <c r="P743" i="11"/>
  <c r="Y743" i="11"/>
  <c r="W743" i="11"/>
  <c r="M743" i="11"/>
  <c r="P742" i="11"/>
  <c r="Y742" i="11"/>
  <c r="W742" i="11"/>
  <c r="M742" i="11"/>
  <c r="P741" i="11"/>
  <c r="M741" i="11"/>
  <c r="Y741" i="11"/>
  <c r="W741" i="11"/>
  <c r="P740" i="11"/>
  <c r="W740" i="11"/>
  <c r="Y740" i="11"/>
  <c r="M740" i="11"/>
  <c r="P739" i="11"/>
  <c r="Y739" i="11"/>
  <c r="M739" i="11"/>
  <c r="W739" i="11"/>
  <c r="P738" i="11"/>
  <c r="M738" i="11"/>
  <c r="Y738" i="11"/>
  <c r="W738" i="11"/>
  <c r="P737" i="11"/>
  <c r="M737" i="11"/>
  <c r="Y737" i="11"/>
  <c r="W737" i="11"/>
  <c r="P736" i="11"/>
  <c r="M736" i="11"/>
  <c r="W736" i="11"/>
  <c r="Y736" i="11"/>
  <c r="P735" i="11"/>
  <c r="M735" i="11"/>
  <c r="W735" i="11"/>
  <c r="Y735" i="11"/>
  <c r="P734" i="11"/>
  <c r="Y734" i="11"/>
  <c r="W734" i="11"/>
  <c r="M734" i="11"/>
  <c r="P733" i="11"/>
  <c r="W733" i="11"/>
  <c r="Y733" i="11"/>
  <c r="M733" i="11"/>
  <c r="P732" i="11"/>
  <c r="Y732" i="11"/>
  <c r="M732" i="11"/>
  <c r="W732" i="11"/>
  <c r="P731" i="11"/>
  <c r="W731" i="11"/>
  <c r="Y731" i="11"/>
  <c r="M731" i="11"/>
  <c r="P730" i="11"/>
  <c r="M730" i="11"/>
  <c r="W730" i="11"/>
  <c r="Y730" i="11"/>
  <c r="P729" i="11"/>
  <c r="M729" i="11"/>
  <c r="W729" i="11"/>
  <c r="Y729" i="11"/>
  <c r="P728" i="11"/>
  <c r="M728" i="11"/>
  <c r="W728" i="11"/>
  <c r="Y728" i="11"/>
  <c r="P727" i="11"/>
  <c r="W727" i="11"/>
  <c r="Y727" i="11"/>
  <c r="M727" i="11"/>
  <c r="P726" i="11"/>
  <c r="M726" i="11"/>
  <c r="Y726" i="11"/>
  <c r="W726" i="11"/>
  <c r="P725" i="11"/>
  <c r="M725" i="11"/>
  <c r="W725" i="11"/>
  <c r="Y725" i="11"/>
  <c r="P724" i="11"/>
  <c r="M724" i="11"/>
  <c r="P723" i="11"/>
  <c r="Y723" i="11"/>
  <c r="M723" i="11"/>
  <c r="P722" i="11"/>
  <c r="M722" i="11"/>
  <c r="Y722" i="11"/>
  <c r="P721" i="11"/>
  <c r="M721" i="11"/>
  <c r="Y721" i="11"/>
  <c r="P720" i="11"/>
  <c r="M720" i="11"/>
  <c r="P719" i="11"/>
  <c r="M719" i="11"/>
  <c r="P718" i="11"/>
  <c r="M718" i="11"/>
  <c r="Y718" i="11"/>
  <c r="P717" i="11"/>
  <c r="Y717" i="11"/>
  <c r="M717" i="11"/>
  <c r="P716" i="11"/>
  <c r="Y716" i="11"/>
  <c r="M716" i="11"/>
  <c r="P715" i="11"/>
  <c r="M715" i="11"/>
  <c r="P714" i="11"/>
  <c r="M714" i="11"/>
  <c r="P713" i="11"/>
  <c r="M713" i="11"/>
  <c r="P712" i="11"/>
  <c r="M712" i="11"/>
  <c r="P711" i="11"/>
  <c r="M711" i="11"/>
  <c r="Y711" i="11"/>
  <c r="P710" i="11"/>
  <c r="Y710" i="11"/>
  <c r="M710" i="11"/>
  <c r="P709" i="11"/>
  <c r="Y709" i="11"/>
  <c r="M709" i="11"/>
  <c r="P708" i="11"/>
  <c r="M708" i="11"/>
  <c r="P707" i="11"/>
  <c r="M707" i="11"/>
  <c r="P706" i="11"/>
  <c r="M706" i="11"/>
  <c r="P705" i="11"/>
  <c r="M705" i="11"/>
  <c r="P704" i="11"/>
  <c r="Y704" i="11"/>
  <c r="M704" i="11"/>
  <c r="P703" i="11"/>
  <c r="M703" i="11"/>
  <c r="Y703" i="11"/>
  <c r="P701" i="11"/>
  <c r="M701" i="11"/>
  <c r="P700" i="11"/>
  <c r="Y700" i="11"/>
  <c r="M700" i="11"/>
  <c r="P699" i="11"/>
  <c r="M699" i="11"/>
  <c r="P698" i="11"/>
  <c r="M698" i="11"/>
  <c r="P697" i="11"/>
  <c r="P696" i="11"/>
  <c r="M696" i="11"/>
  <c r="P695" i="11"/>
  <c r="P694" i="11"/>
  <c r="M694" i="11"/>
  <c r="P693" i="11"/>
  <c r="M693" i="11"/>
  <c r="Y692" i="11"/>
  <c r="M691" i="11"/>
  <c r="M690" i="11"/>
  <c r="P690" i="11"/>
  <c r="P689" i="11"/>
  <c r="M689" i="11"/>
  <c r="P688" i="11"/>
  <c r="M688" i="11"/>
  <c r="P687" i="11"/>
  <c r="M687" i="11"/>
  <c r="M686" i="11"/>
  <c r="M685" i="11"/>
  <c r="P685" i="11"/>
  <c r="M684" i="11"/>
  <c r="P683" i="11"/>
  <c r="M683" i="11"/>
  <c r="M682" i="11"/>
  <c r="P681" i="11"/>
  <c r="M681" i="11"/>
  <c r="P680" i="11"/>
  <c r="M680" i="11"/>
  <c r="M679" i="11"/>
  <c r="P677" i="11"/>
  <c r="M677" i="11"/>
  <c r="Y677" i="11"/>
  <c r="P676" i="11"/>
  <c r="M676" i="11"/>
  <c r="M674" i="11"/>
  <c r="P674" i="11"/>
  <c r="P673" i="11"/>
  <c r="M673" i="11"/>
  <c r="M672" i="11"/>
  <c r="M670" i="11"/>
  <c r="P670" i="11"/>
  <c r="M669" i="11"/>
  <c r="M667" i="11"/>
  <c r="P665" i="11"/>
  <c r="Y665" i="11"/>
  <c r="M665" i="11"/>
  <c r="W664" i="11"/>
  <c r="Y664" i="11"/>
  <c r="P663" i="11"/>
  <c r="W663" i="11"/>
  <c r="M663" i="11"/>
  <c r="P662" i="11"/>
  <c r="M661" i="11"/>
  <c r="W659" i="11"/>
  <c r="Y659" i="11"/>
  <c r="M659" i="11"/>
  <c r="P659" i="11"/>
  <c r="M658" i="11"/>
  <c r="M657" i="11"/>
  <c r="P657" i="11"/>
  <c r="P656" i="11"/>
  <c r="M656" i="11"/>
  <c r="P655" i="11"/>
  <c r="M655" i="11"/>
  <c r="W654" i="11"/>
  <c r="Y654" i="11"/>
  <c r="M654" i="11"/>
  <c r="P653" i="11"/>
  <c r="M653" i="11"/>
  <c r="W652" i="11"/>
  <c r="Y652" i="11"/>
  <c r="P651" i="11"/>
  <c r="M649" i="11"/>
  <c r="P647" i="11"/>
  <c r="P641" i="11"/>
  <c r="M638" i="11"/>
  <c r="M636" i="11"/>
  <c r="M633" i="11"/>
  <c r="W630" i="11"/>
  <c r="M629" i="11"/>
  <c r="M626" i="11"/>
  <c r="W621" i="11"/>
  <c r="M621" i="11"/>
  <c r="P617" i="11"/>
  <c r="W612" i="11"/>
  <c r="Y611" i="11"/>
  <c r="Y609" i="11"/>
  <c r="M609" i="11"/>
  <c r="M607" i="11"/>
  <c r="M162" i="11"/>
  <c r="M152" i="11"/>
  <c r="M148" i="11"/>
  <c r="M139" i="11"/>
  <c r="M135" i="11"/>
  <c r="M130" i="11"/>
  <c r="Y121" i="11"/>
  <c r="M111" i="11"/>
  <c r="M107" i="11"/>
  <c r="W101" i="11"/>
  <c r="M96" i="11"/>
  <c r="M85" i="11"/>
  <c r="P606" i="11"/>
  <c r="M606" i="11"/>
  <c r="W604" i="11"/>
  <c r="M604" i="11"/>
  <c r="Y604" i="11"/>
  <c r="P603" i="11"/>
  <c r="M603" i="11"/>
  <c r="W603" i="11"/>
  <c r="P602" i="11"/>
  <c r="M602" i="11"/>
  <c r="W602" i="11"/>
  <c r="Y601" i="11"/>
  <c r="P600" i="11"/>
  <c r="M600" i="11"/>
  <c r="P599" i="11"/>
  <c r="M599" i="11"/>
  <c r="P598" i="11"/>
  <c r="M598" i="11"/>
  <c r="W597" i="11"/>
  <c r="Y597" i="11"/>
  <c r="M597" i="11"/>
  <c r="M596" i="11"/>
  <c r="Y596" i="11"/>
  <c r="W596" i="11"/>
  <c r="W594" i="11"/>
  <c r="Y594" i="11"/>
  <c r="M589" i="11"/>
  <c r="W588" i="11"/>
  <c r="Y588" i="11"/>
  <c r="W584" i="11"/>
  <c r="Y584" i="11"/>
  <c r="P583" i="11"/>
  <c r="M583" i="11"/>
  <c r="Y583" i="11"/>
  <c r="W583" i="11"/>
  <c r="M582" i="11"/>
  <c r="W582" i="11"/>
  <c r="Y582" i="11"/>
  <c r="P581" i="11"/>
  <c r="W581" i="11"/>
  <c r="Y581" i="11"/>
  <c r="M581" i="11"/>
  <c r="M580" i="11"/>
  <c r="P577" i="11"/>
  <c r="Y577" i="11"/>
  <c r="W577" i="11"/>
  <c r="M577" i="11"/>
  <c r="Y576" i="11"/>
  <c r="W576" i="11"/>
  <c r="M576" i="11"/>
  <c r="P575" i="11"/>
  <c r="M575" i="11"/>
  <c r="P574" i="11"/>
  <c r="W573" i="11"/>
  <c r="P573" i="11"/>
  <c r="Y572" i="11"/>
  <c r="W572" i="11"/>
  <c r="P571" i="11"/>
  <c r="Y571" i="11"/>
  <c r="W571" i="11"/>
  <c r="M571" i="11"/>
  <c r="Y570" i="11"/>
  <c r="W570" i="11"/>
  <c r="M569" i="11"/>
  <c r="P568" i="11"/>
  <c r="M568" i="11"/>
  <c r="P567" i="11"/>
  <c r="M567" i="11"/>
  <c r="P566" i="11"/>
  <c r="Y565" i="11"/>
  <c r="P564" i="11"/>
  <c r="Y564" i="11"/>
  <c r="W564" i="11"/>
  <c r="M564" i="11"/>
  <c r="W563" i="11"/>
  <c r="P563" i="11"/>
  <c r="M561" i="11"/>
  <c r="P561" i="11"/>
  <c r="M560" i="11"/>
  <c r="P558" i="11"/>
  <c r="M558" i="11"/>
  <c r="Y558" i="11"/>
  <c r="W558" i="11"/>
  <c r="P557" i="11"/>
  <c r="Y557" i="11"/>
  <c r="W557" i="11"/>
  <c r="M557" i="11"/>
  <c r="P556" i="11"/>
  <c r="M556" i="11"/>
  <c r="Y556" i="11"/>
  <c r="W556" i="11"/>
  <c r="P555" i="11"/>
  <c r="Y555" i="11"/>
  <c r="W555" i="11"/>
  <c r="M555" i="11"/>
  <c r="Y554" i="11"/>
  <c r="W554" i="11"/>
  <c r="M554" i="11"/>
  <c r="Y553" i="11"/>
  <c r="W553" i="11"/>
  <c r="M552" i="11"/>
  <c r="P552" i="11"/>
  <c r="M551" i="11"/>
  <c r="P551" i="11"/>
  <c r="M550" i="11"/>
  <c r="P550" i="11"/>
  <c r="M549" i="11"/>
  <c r="W549" i="11"/>
  <c r="Y549" i="11"/>
  <c r="P549" i="11"/>
  <c r="P548" i="11"/>
  <c r="Y548" i="11"/>
  <c r="M548" i="11"/>
  <c r="W548" i="11"/>
  <c r="P547" i="11"/>
  <c r="M547" i="11"/>
  <c r="Y547" i="11"/>
  <c r="P546" i="11"/>
  <c r="M546" i="11"/>
  <c r="Y546" i="11"/>
  <c r="P545" i="11"/>
  <c r="M545" i="11"/>
  <c r="Y545" i="11"/>
  <c r="P544" i="11"/>
  <c r="M544" i="11"/>
  <c r="Y544" i="11"/>
  <c r="P543" i="11"/>
  <c r="M543" i="11"/>
  <c r="P542" i="11"/>
  <c r="M542" i="11"/>
  <c r="P541" i="11"/>
  <c r="M541" i="11"/>
  <c r="Y541" i="11"/>
  <c r="P540" i="11"/>
  <c r="M540" i="11"/>
  <c r="P539" i="11"/>
  <c r="M539" i="11"/>
  <c r="P538" i="11"/>
  <c r="Y538" i="11"/>
  <c r="M538" i="11"/>
  <c r="P537" i="11"/>
  <c r="Y537" i="11"/>
  <c r="M537" i="11"/>
  <c r="P536" i="11"/>
  <c r="Y536" i="11"/>
  <c r="M536" i="11"/>
  <c r="P535" i="11"/>
  <c r="Y535" i="11"/>
  <c r="M535" i="11"/>
  <c r="P534" i="11"/>
  <c r="M534" i="11"/>
  <c r="P533" i="11"/>
  <c r="M533" i="11"/>
  <c r="P532" i="11"/>
  <c r="M532" i="11"/>
  <c r="P531" i="11"/>
  <c r="Y531" i="11"/>
  <c r="M531" i="11"/>
  <c r="P530" i="11"/>
  <c r="M530" i="11"/>
  <c r="Y530" i="11"/>
  <c r="P529" i="11"/>
  <c r="M529" i="11"/>
  <c r="Y529" i="11"/>
  <c r="W529" i="11"/>
  <c r="W528" i="11"/>
  <c r="M528" i="11"/>
  <c r="Y528" i="11"/>
  <c r="W527" i="11"/>
  <c r="Y527" i="11"/>
  <c r="M526" i="11"/>
  <c r="W526" i="11"/>
  <c r="Y526" i="11"/>
  <c r="W525" i="11"/>
  <c r="Y525" i="11"/>
  <c r="M525" i="11"/>
  <c r="Y523" i="11"/>
  <c r="W523" i="11"/>
  <c r="M523" i="11"/>
  <c r="M522" i="11"/>
  <c r="P521" i="11"/>
  <c r="M520" i="11"/>
  <c r="P520" i="11"/>
  <c r="P519" i="11"/>
  <c r="M518" i="11"/>
  <c r="Y518" i="11"/>
  <c r="P518" i="11"/>
  <c r="Y517" i="11"/>
  <c r="W517" i="11"/>
  <c r="M517" i="11"/>
  <c r="M516" i="11"/>
  <c r="Y516" i="11"/>
  <c r="W516" i="11"/>
  <c r="M515" i="11"/>
  <c r="M513" i="11"/>
  <c r="Y513" i="11"/>
  <c r="M512" i="11"/>
  <c r="Y511" i="11"/>
  <c r="M511" i="11"/>
  <c r="W511" i="11"/>
  <c r="Y509" i="11"/>
  <c r="W509" i="11"/>
  <c r="M509" i="11"/>
  <c r="W508" i="11"/>
  <c r="M508" i="11"/>
  <c r="W507" i="11"/>
  <c r="Y507" i="11"/>
  <c r="W506" i="11"/>
  <c r="M506" i="11"/>
  <c r="Y506" i="11"/>
  <c r="M505" i="11"/>
  <c r="P505" i="11"/>
  <c r="W504" i="11"/>
  <c r="Y504" i="11"/>
  <c r="P504" i="11"/>
  <c r="P503" i="11"/>
  <c r="M503" i="11"/>
  <c r="W503" i="11"/>
  <c r="Y503" i="11"/>
  <c r="W502" i="11"/>
  <c r="Y502" i="11"/>
  <c r="M502" i="11"/>
  <c r="Y501" i="11"/>
  <c r="M501" i="11"/>
  <c r="W501" i="11"/>
  <c r="M500" i="11"/>
  <c r="Y499" i="11"/>
  <c r="M499" i="11"/>
  <c r="W497" i="11"/>
  <c r="Y497" i="11"/>
  <c r="P496" i="11"/>
  <c r="M496" i="11"/>
  <c r="M495" i="11"/>
  <c r="W494" i="11"/>
  <c r="M494" i="11"/>
  <c r="Y494" i="11"/>
  <c r="M493" i="11"/>
  <c r="M492" i="11"/>
  <c r="M491" i="11"/>
  <c r="M489" i="11"/>
  <c r="W489" i="11"/>
  <c r="Y489" i="11"/>
  <c r="M488" i="11"/>
  <c r="M487" i="11"/>
  <c r="M486" i="11"/>
  <c r="M485" i="11"/>
  <c r="W484" i="11"/>
  <c r="Y484" i="11"/>
  <c r="M484" i="11"/>
  <c r="M483" i="11"/>
  <c r="M482" i="11"/>
  <c r="M479" i="11"/>
  <c r="Y479" i="11"/>
  <c r="W479" i="11"/>
  <c r="M478" i="11"/>
  <c r="M477" i="11"/>
  <c r="M476" i="11"/>
  <c r="M475" i="11"/>
  <c r="Y474" i="11"/>
  <c r="W474" i="11"/>
  <c r="M474" i="11"/>
  <c r="M473" i="11"/>
  <c r="M472" i="11"/>
  <c r="Y471" i="11"/>
  <c r="M469" i="11"/>
  <c r="W469" i="11"/>
  <c r="Y469" i="11"/>
  <c r="M468" i="11"/>
  <c r="M467" i="11"/>
  <c r="M466" i="11"/>
  <c r="M465" i="11"/>
  <c r="M464" i="11"/>
  <c r="W464" i="11"/>
  <c r="Y464" i="11"/>
  <c r="M463" i="11"/>
  <c r="M462" i="11"/>
  <c r="M461" i="11"/>
  <c r="W459" i="11"/>
  <c r="M459" i="11"/>
  <c r="Y459" i="11"/>
  <c r="M458" i="11"/>
  <c r="M457" i="11"/>
  <c r="W456" i="11"/>
  <c r="Y456" i="11"/>
  <c r="M454" i="11"/>
  <c r="M453" i="11"/>
  <c r="W453" i="11"/>
  <c r="Y453" i="11"/>
  <c r="M452" i="11"/>
  <c r="M451" i="11"/>
  <c r="P451" i="11"/>
  <c r="M450" i="11"/>
  <c r="W448" i="11"/>
  <c r="Y448" i="11"/>
  <c r="M448" i="11"/>
  <c r="M447" i="11"/>
  <c r="M446" i="11"/>
  <c r="M445" i="11"/>
  <c r="M444" i="11"/>
  <c r="M443" i="11"/>
  <c r="W443" i="11"/>
  <c r="Y443" i="11"/>
  <c r="M442" i="11"/>
  <c r="M441" i="11"/>
  <c r="M440" i="11"/>
  <c r="M438" i="11"/>
  <c r="W438" i="11"/>
  <c r="Y438" i="11"/>
  <c r="M437" i="11"/>
  <c r="M436" i="11"/>
  <c r="M435" i="11"/>
  <c r="M434" i="11"/>
  <c r="M433" i="11"/>
  <c r="W433" i="11"/>
  <c r="Y433" i="11"/>
  <c r="M432" i="11"/>
  <c r="M431" i="11"/>
  <c r="M430" i="11"/>
  <c r="Y428" i="11"/>
  <c r="W428" i="11"/>
  <c r="M428" i="11"/>
  <c r="M427" i="11"/>
  <c r="M426" i="11"/>
  <c r="M425" i="11"/>
  <c r="M424" i="11"/>
  <c r="M423" i="11"/>
  <c r="W423" i="11"/>
  <c r="Y423" i="11"/>
  <c r="M422" i="11"/>
  <c r="M421" i="11"/>
  <c r="M420" i="11"/>
  <c r="Y418" i="11"/>
  <c r="W418" i="11"/>
  <c r="M418" i="11"/>
  <c r="M417" i="11"/>
  <c r="M416" i="11"/>
  <c r="W415" i="11"/>
  <c r="Y415" i="11"/>
  <c r="M413" i="11"/>
  <c r="W412" i="11"/>
  <c r="M412" i="11"/>
  <c r="Y412" i="11"/>
  <c r="M411" i="11"/>
  <c r="M410" i="11"/>
  <c r="M409" i="11"/>
  <c r="W407" i="11"/>
  <c r="M407" i="11"/>
  <c r="Y407" i="11"/>
  <c r="M406" i="11"/>
  <c r="M405" i="11"/>
  <c r="M404" i="11"/>
  <c r="M403" i="11"/>
  <c r="Y402" i="11"/>
  <c r="W402" i="11"/>
  <c r="M402" i="11"/>
  <c r="M401" i="11"/>
  <c r="M400" i="11"/>
  <c r="Y397" i="11"/>
  <c r="W397" i="11"/>
  <c r="M397" i="11"/>
  <c r="M396" i="11"/>
  <c r="M395" i="11"/>
  <c r="M394" i="11"/>
  <c r="M393" i="11"/>
  <c r="W392" i="11"/>
  <c r="M392" i="11"/>
  <c r="Y392" i="11"/>
  <c r="M391" i="11"/>
  <c r="M390" i="11"/>
  <c r="M387" i="11"/>
  <c r="W387" i="11"/>
  <c r="Y387" i="11"/>
  <c r="M386" i="11"/>
  <c r="M385" i="11"/>
  <c r="M384" i="11"/>
  <c r="M383" i="11"/>
  <c r="Y382" i="11"/>
  <c r="W382" i="11"/>
  <c r="M382" i="11"/>
  <c r="M381" i="11"/>
  <c r="M380" i="11"/>
  <c r="M379" i="11"/>
  <c r="M377" i="11"/>
  <c r="W377" i="11"/>
  <c r="Y377" i="11"/>
  <c r="M376" i="11"/>
  <c r="M375" i="11"/>
  <c r="Y374" i="11"/>
  <c r="W374" i="11"/>
  <c r="M372" i="11"/>
  <c r="W371" i="11"/>
  <c r="Y371" i="11"/>
  <c r="M371" i="11"/>
  <c r="M370" i="11"/>
  <c r="M369" i="11"/>
  <c r="M368" i="11"/>
  <c r="M366" i="11"/>
  <c r="W366" i="11"/>
  <c r="Y366" i="11"/>
  <c r="M365" i="11"/>
  <c r="M364" i="11"/>
  <c r="M363" i="11"/>
  <c r="M362" i="11"/>
  <c r="M361" i="11"/>
  <c r="Y361" i="11"/>
  <c r="W361" i="11"/>
  <c r="M360" i="11"/>
  <c r="M359" i="11"/>
  <c r="M358" i="11"/>
  <c r="Y356" i="11"/>
  <c r="W356" i="11"/>
  <c r="M356" i="11"/>
  <c r="M355" i="11"/>
  <c r="M354" i="11"/>
  <c r="M353" i="11"/>
  <c r="M352" i="11"/>
  <c r="Y351" i="11"/>
  <c r="W351" i="11"/>
  <c r="M351" i="11"/>
  <c r="M350" i="11"/>
  <c r="M349" i="11"/>
  <c r="M348" i="11"/>
  <c r="M346" i="11"/>
  <c r="W346" i="11"/>
  <c r="Y346" i="11"/>
  <c r="M345" i="11"/>
  <c r="M344" i="11"/>
  <c r="M343" i="11"/>
  <c r="M342" i="11"/>
  <c r="W341" i="11"/>
  <c r="M341" i="11"/>
  <c r="Y341" i="11"/>
  <c r="M340" i="11"/>
  <c r="M339" i="11"/>
  <c r="M338" i="11"/>
  <c r="W336" i="11"/>
  <c r="M336" i="11"/>
  <c r="Y336" i="11"/>
  <c r="M335" i="11"/>
  <c r="M334" i="11"/>
  <c r="Y333" i="11"/>
  <c r="W333" i="11"/>
  <c r="M331" i="11"/>
  <c r="M330" i="11"/>
  <c r="W330" i="11"/>
  <c r="Y330" i="11"/>
  <c r="M329" i="11"/>
  <c r="M328" i="11"/>
  <c r="M327" i="11"/>
  <c r="W325" i="11"/>
  <c r="Y325" i="11"/>
  <c r="M325" i="11"/>
  <c r="M324" i="11"/>
  <c r="M323" i="11"/>
  <c r="P323" i="11"/>
  <c r="M322" i="11"/>
  <c r="M321" i="11"/>
  <c r="M320" i="11"/>
  <c r="Y320" i="11"/>
  <c r="W320" i="11"/>
  <c r="M319" i="11"/>
  <c r="M318" i="11"/>
  <c r="M317" i="11"/>
  <c r="M315" i="11"/>
  <c r="W315" i="11"/>
  <c r="Y315" i="11"/>
  <c r="M314" i="11"/>
  <c r="M313" i="11"/>
  <c r="M312" i="11"/>
  <c r="M311" i="11"/>
  <c r="W310" i="11"/>
  <c r="Y310" i="11"/>
  <c r="M310" i="11"/>
  <c r="M309" i="11"/>
  <c r="M308" i="11"/>
  <c r="M305" i="11"/>
  <c r="Y305" i="11"/>
  <c r="W305" i="11"/>
  <c r="M304" i="11"/>
  <c r="M303" i="11"/>
  <c r="P303" i="11"/>
  <c r="M302" i="11"/>
  <c r="M301" i="11"/>
  <c r="Y300" i="11"/>
  <c r="W300" i="11"/>
  <c r="M300" i="11"/>
  <c r="M299" i="11"/>
  <c r="M298" i="11"/>
  <c r="M297" i="11"/>
  <c r="Y295" i="11"/>
  <c r="W295" i="11"/>
  <c r="M295" i="11"/>
  <c r="M294" i="11"/>
  <c r="M293" i="11"/>
  <c r="M292" i="11"/>
  <c r="M291" i="11"/>
  <c r="Y290" i="11"/>
  <c r="W290" i="11"/>
  <c r="M290" i="11"/>
  <c r="M289" i="11"/>
  <c r="M288" i="11"/>
  <c r="Y287" i="11"/>
  <c r="W287" i="11"/>
  <c r="Y285" i="11"/>
  <c r="W285" i="11"/>
  <c r="M285" i="11"/>
  <c r="M284" i="11"/>
  <c r="M283" i="11"/>
  <c r="M282" i="11"/>
  <c r="M281" i="11"/>
  <c r="M280" i="11"/>
  <c r="Y280" i="11"/>
  <c r="W280" i="11"/>
  <c r="M279" i="11"/>
  <c r="M278" i="11"/>
  <c r="M277" i="11"/>
  <c r="Y275" i="11"/>
  <c r="W275" i="11"/>
  <c r="M275" i="11"/>
  <c r="M274" i="11"/>
  <c r="M273" i="11"/>
  <c r="M272" i="11"/>
  <c r="M271" i="11"/>
  <c r="Y270" i="11"/>
  <c r="W270" i="11"/>
  <c r="M270" i="11"/>
  <c r="M269" i="11"/>
  <c r="M268" i="11"/>
  <c r="M267" i="11"/>
  <c r="Y265" i="11"/>
  <c r="M265" i="11"/>
  <c r="W265" i="11"/>
  <c r="M264" i="11"/>
  <c r="M263" i="11"/>
  <c r="M262" i="11"/>
  <c r="M261" i="11"/>
  <c r="M260" i="11"/>
  <c r="Y260" i="11"/>
  <c r="W260" i="11"/>
  <c r="M259" i="11"/>
  <c r="M258" i="11"/>
  <c r="M257" i="11"/>
  <c r="M255" i="11"/>
  <c r="W255" i="11"/>
  <c r="Y255" i="11"/>
  <c r="M254" i="11"/>
  <c r="M253" i="11"/>
  <c r="W252" i="11"/>
  <c r="Y252" i="11"/>
  <c r="M250" i="11"/>
  <c r="M249" i="11"/>
  <c r="W249" i="11"/>
  <c r="Y249" i="11"/>
  <c r="M248" i="11"/>
  <c r="M247" i="11"/>
  <c r="Y246" i="11"/>
  <c r="W246" i="11"/>
  <c r="Y244" i="11"/>
  <c r="M244" i="11"/>
  <c r="W244" i="11"/>
  <c r="M243" i="11"/>
  <c r="M242" i="11"/>
  <c r="M241" i="11"/>
  <c r="M240" i="11"/>
  <c r="M239" i="11"/>
  <c r="W239" i="11"/>
  <c r="Y239" i="11"/>
  <c r="M238" i="11"/>
  <c r="M237" i="11"/>
  <c r="Y234" i="11"/>
  <c r="W234" i="11"/>
  <c r="M234" i="11"/>
  <c r="M233" i="11"/>
  <c r="M232" i="11"/>
  <c r="M231" i="11"/>
  <c r="M230" i="11"/>
  <c r="W229" i="11"/>
  <c r="Y229" i="11"/>
  <c r="M229" i="11"/>
  <c r="M228" i="11"/>
  <c r="M227" i="11"/>
  <c r="M224" i="11"/>
  <c r="W224" i="11"/>
  <c r="Y224" i="11"/>
  <c r="M223" i="11"/>
  <c r="M222" i="11"/>
  <c r="M221" i="11"/>
  <c r="M220" i="11"/>
  <c r="M219" i="11"/>
  <c r="Y219" i="11"/>
  <c r="W219" i="11"/>
  <c r="M218" i="11"/>
  <c r="M217" i="11"/>
  <c r="M216" i="11"/>
  <c r="W214" i="11"/>
  <c r="Y214" i="11"/>
  <c r="M214" i="11"/>
  <c r="M213" i="11"/>
  <c r="M212" i="11"/>
  <c r="W211" i="11"/>
  <c r="Y211" i="11"/>
  <c r="M209" i="11"/>
  <c r="W208" i="11"/>
  <c r="Y208" i="11"/>
  <c r="M208" i="11"/>
  <c r="M207" i="11"/>
  <c r="M206" i="11"/>
  <c r="M205" i="11"/>
  <c r="M203" i="11"/>
  <c r="W203" i="11"/>
  <c r="Y203" i="11"/>
  <c r="M202" i="11"/>
  <c r="M201" i="11"/>
  <c r="M200" i="11"/>
  <c r="M199" i="11"/>
  <c r="W198" i="11"/>
  <c r="Y198" i="11"/>
  <c r="M198" i="11"/>
  <c r="M197" i="11"/>
  <c r="M196" i="11"/>
  <c r="M195" i="11"/>
  <c r="Y193" i="11"/>
  <c r="W193" i="11"/>
  <c r="M193" i="11"/>
  <c r="M192" i="11"/>
  <c r="M191" i="11"/>
  <c r="M190" i="11"/>
  <c r="M189" i="11"/>
  <c r="M188" i="11"/>
  <c r="Y188" i="11"/>
  <c r="W188" i="11"/>
  <c r="M187" i="11"/>
  <c r="M186" i="11"/>
  <c r="M185" i="11"/>
  <c r="Y183" i="11"/>
  <c r="W183" i="11"/>
  <c r="M183" i="11"/>
  <c r="M182" i="11"/>
  <c r="M181" i="11"/>
  <c r="M180" i="11"/>
  <c r="M179" i="11"/>
  <c r="M178" i="11"/>
  <c r="W178" i="11"/>
  <c r="Y178" i="11"/>
  <c r="M177" i="11"/>
  <c r="M176" i="11"/>
  <c r="M175" i="11"/>
  <c r="Y173" i="11"/>
  <c r="W173" i="11"/>
  <c r="M173" i="11"/>
  <c r="M172" i="11"/>
  <c r="M171" i="11"/>
  <c r="Y170" i="11"/>
  <c r="W170" i="11"/>
  <c r="M168" i="11"/>
  <c r="M167" i="11"/>
  <c r="M165" i="11"/>
  <c r="M158" i="11"/>
  <c r="W157" i="11"/>
  <c r="M156" i="11"/>
  <c r="M149" i="11"/>
  <c r="W147" i="11"/>
  <c r="M147" i="11"/>
  <c r="Y144" i="11"/>
  <c r="W142" i="11"/>
  <c r="Y137" i="11"/>
  <c r="W137" i="11"/>
  <c r="Y132" i="11"/>
  <c r="W132" i="11"/>
  <c r="Y129" i="11"/>
  <c r="M126" i="11"/>
  <c r="M114" i="11"/>
  <c r="M109" i="11"/>
  <c r="M104" i="11"/>
  <c r="Y101" i="11"/>
  <c r="M100" i="11"/>
  <c r="Y96" i="11"/>
  <c r="M95" i="11"/>
  <c r="M93" i="11"/>
  <c r="M82" i="11"/>
  <c r="M76" i="11"/>
  <c r="M75" i="11"/>
  <c r="W75" i="11"/>
  <c r="Y75" i="11"/>
  <c r="M74" i="11"/>
  <c r="M73" i="11"/>
  <c r="M70" i="11"/>
  <c r="W70" i="11"/>
  <c r="Y70" i="11"/>
  <c r="M69" i="11"/>
  <c r="M68" i="11"/>
  <c r="M67" i="11"/>
  <c r="M66" i="11"/>
  <c r="W65" i="11"/>
  <c r="Y65" i="11"/>
  <c r="M65" i="11"/>
  <c r="M64" i="11"/>
  <c r="M63" i="11"/>
  <c r="Y60" i="11"/>
  <c r="W60" i="11"/>
  <c r="M60" i="11"/>
  <c r="M59" i="11"/>
  <c r="M58" i="11"/>
  <c r="M57" i="11"/>
  <c r="M56" i="11"/>
  <c r="Y55" i="11"/>
  <c r="W55" i="11"/>
  <c r="M55" i="11"/>
  <c r="M54" i="11"/>
  <c r="M53" i="11"/>
  <c r="M52" i="11"/>
  <c r="Y50" i="11"/>
  <c r="W50" i="11"/>
  <c r="M50" i="11"/>
  <c r="M49" i="11"/>
  <c r="M48" i="11"/>
  <c r="Y47" i="11"/>
  <c r="W47" i="11"/>
  <c r="M45" i="11"/>
  <c r="Y44" i="11"/>
  <c r="W44" i="11"/>
  <c r="M44" i="11"/>
  <c r="M43" i="11"/>
  <c r="M42" i="11"/>
  <c r="M41" i="11"/>
  <c r="W39" i="11"/>
  <c r="M39" i="11"/>
  <c r="Y39" i="11"/>
  <c r="M38" i="11"/>
  <c r="M37" i="11"/>
  <c r="M36" i="11"/>
  <c r="M35" i="11"/>
  <c r="Y34" i="11"/>
  <c r="M34" i="11"/>
  <c r="W34" i="11"/>
  <c r="M33" i="11"/>
  <c r="M32" i="11"/>
  <c r="M31" i="11"/>
  <c r="W29" i="11"/>
  <c r="Y29" i="11"/>
  <c r="M29" i="11"/>
  <c r="M28" i="11"/>
  <c r="M27" i="11"/>
  <c r="M26" i="11"/>
  <c r="M25" i="11"/>
  <c r="Y24" i="11"/>
  <c r="M24" i="11"/>
  <c r="W24" i="11"/>
  <c r="M23" i="11"/>
  <c r="M22" i="11"/>
  <c r="M21" i="11"/>
  <c r="W19" i="11"/>
  <c r="M19" i="11"/>
  <c r="Y19" i="11"/>
  <c r="M18" i="11"/>
  <c r="M17" i="11"/>
  <c r="M16" i="11"/>
  <c r="M15" i="11"/>
  <c r="Y14" i="11"/>
  <c r="M14" i="11"/>
  <c r="W14" i="11"/>
  <c r="M13" i="11"/>
  <c r="M12" i="11"/>
  <c r="M11" i="11"/>
  <c r="M9" i="11"/>
  <c r="Y9" i="11"/>
  <c r="W9" i="11"/>
  <c r="M8" i="11"/>
  <c r="M7" i="11"/>
  <c r="Y6" i="11"/>
  <c r="W6" i="11"/>
  <c r="M4" i="11"/>
  <c r="W3" i="11"/>
  <c r="Y3" i="11"/>
  <c r="Y1017" i="11"/>
  <c r="W1017" i="11"/>
  <c r="P1921" i="11"/>
  <c r="W1919" i="11"/>
  <c r="Y1919" i="11"/>
  <c r="P1917" i="11"/>
  <c r="W1915" i="11"/>
  <c r="Y1913" i="11"/>
  <c r="P1912" i="11"/>
  <c r="P1911" i="11"/>
  <c r="P1910" i="11"/>
  <c r="W1909" i="11"/>
  <c r="W1906" i="11"/>
  <c r="P1906" i="11"/>
  <c r="W1904" i="11"/>
  <c r="M1903" i="11"/>
  <c r="W1902" i="11"/>
  <c r="Y1902" i="11"/>
  <c r="M1901" i="11"/>
  <c r="P1899" i="11"/>
  <c r="M1898" i="11"/>
  <c r="P1897" i="11"/>
  <c r="Y1897" i="11"/>
  <c r="Y1895" i="11"/>
  <c r="M1895" i="11"/>
  <c r="M1894" i="11"/>
  <c r="W1894" i="11"/>
  <c r="P1893" i="11"/>
  <c r="W1891" i="11"/>
  <c r="Y1891" i="11"/>
  <c r="P1889" i="11"/>
  <c r="M1889" i="11"/>
  <c r="P1887" i="11"/>
  <c r="M1884" i="11"/>
  <c r="Y1881" i="11"/>
  <c r="P1879" i="11"/>
  <c r="Y1879" i="11"/>
  <c r="P1878" i="11"/>
  <c r="Y1878" i="11"/>
  <c r="W1877" i="11"/>
  <c r="P1876" i="11"/>
  <c r="W1876" i="11"/>
  <c r="Y1875" i="11"/>
  <c r="P1874" i="11"/>
  <c r="M1873" i="11"/>
  <c r="P1872" i="11"/>
  <c r="M1872" i="11"/>
  <c r="W1870" i="11"/>
  <c r="Y1870" i="11"/>
  <c r="Y1869" i="11"/>
  <c r="Y1867" i="11"/>
  <c r="W1867" i="11"/>
  <c r="P1866" i="11"/>
  <c r="Y1866" i="11"/>
  <c r="M1866" i="11"/>
  <c r="P1865" i="11"/>
  <c r="M1865" i="11"/>
  <c r="W1865" i="11"/>
  <c r="Y1865" i="11"/>
  <c r="Y1864" i="11"/>
  <c r="P1863" i="11"/>
  <c r="M1862" i="11"/>
  <c r="Y1862" i="11"/>
  <c r="W1862" i="11"/>
  <c r="W1861" i="11"/>
  <c r="Y1860" i="11"/>
  <c r="W1860" i="11"/>
  <c r="Y1859" i="11"/>
  <c r="W1859" i="11"/>
  <c r="M1859" i="11"/>
  <c r="Y1858" i="11"/>
  <c r="M1858" i="11"/>
  <c r="P1855" i="11"/>
  <c r="M1855" i="11"/>
  <c r="Y1854" i="11"/>
  <c r="W1854" i="11"/>
  <c r="M1854" i="11"/>
  <c r="P1853" i="11"/>
  <c r="Y1853" i="11"/>
  <c r="W1853" i="11"/>
  <c r="P1852" i="11"/>
  <c r="Y1852" i="11"/>
  <c r="W1852" i="11"/>
  <c r="P1851" i="11"/>
  <c r="Y1851" i="11"/>
  <c r="W1851" i="11"/>
  <c r="M1851" i="11"/>
  <c r="Y1850" i="11"/>
  <c r="W1850" i="11"/>
  <c r="M1850" i="11"/>
  <c r="P1849" i="11"/>
  <c r="Y1849" i="11"/>
  <c r="W1849" i="11"/>
  <c r="P1848" i="11"/>
  <c r="Y1848" i="11"/>
  <c r="W1848" i="11"/>
  <c r="P1847" i="11"/>
  <c r="W1847" i="11"/>
  <c r="Y1847" i="11"/>
  <c r="M1846" i="11"/>
  <c r="W1846" i="11"/>
  <c r="Y1846" i="11"/>
  <c r="P1845" i="11"/>
  <c r="M1845" i="11"/>
  <c r="W1844" i="11"/>
  <c r="Y1844" i="11"/>
  <c r="M1844" i="11"/>
  <c r="P1843" i="11"/>
  <c r="M1843" i="11"/>
  <c r="Y1842" i="11"/>
  <c r="M1842" i="11"/>
  <c r="W1842" i="11"/>
  <c r="P1841" i="11"/>
  <c r="W1841" i="11"/>
  <c r="P1840" i="11"/>
  <c r="Y1840" i="11"/>
  <c r="M1840" i="11"/>
  <c r="Y1839" i="11"/>
  <c r="W1839" i="11"/>
  <c r="M1839" i="11"/>
  <c r="Y1838" i="11"/>
  <c r="W1838" i="11"/>
  <c r="M1838" i="11"/>
  <c r="P1837" i="11"/>
  <c r="M1837" i="11"/>
  <c r="Y1836" i="11"/>
  <c r="W1836" i="11"/>
  <c r="M1836" i="11"/>
  <c r="M1835" i="11"/>
  <c r="W1835" i="11"/>
  <c r="Y1835" i="11"/>
  <c r="P1834" i="11"/>
  <c r="Y1834" i="11"/>
  <c r="P1833" i="11"/>
  <c r="M1833" i="11"/>
  <c r="P1832" i="11"/>
  <c r="W1832" i="11"/>
  <c r="Y1832" i="11"/>
  <c r="P1831" i="11"/>
  <c r="M1831" i="11"/>
  <c r="Y1830" i="11"/>
  <c r="W1830" i="11"/>
  <c r="M1830" i="11"/>
  <c r="P1829" i="11"/>
  <c r="M1829" i="11"/>
  <c r="Y1829" i="11"/>
  <c r="W1829" i="11"/>
  <c r="P1828" i="11"/>
  <c r="W1828" i="11"/>
  <c r="M1828" i="11"/>
  <c r="Y1827" i="11"/>
  <c r="W1827" i="11"/>
  <c r="M1827" i="11"/>
  <c r="P1826" i="11"/>
  <c r="Y1826" i="11"/>
  <c r="W1826" i="11"/>
  <c r="M1826" i="11"/>
  <c r="M1825" i="11"/>
  <c r="W1825" i="11"/>
  <c r="Y1825" i="11"/>
  <c r="P1824" i="11"/>
  <c r="P1823" i="11"/>
  <c r="W1823" i="11"/>
  <c r="Y1823" i="11"/>
  <c r="M1823" i="11"/>
  <c r="Y1822" i="11"/>
  <c r="M1822" i="11"/>
  <c r="W1822" i="11"/>
  <c r="P1821" i="11"/>
  <c r="W1821" i="11"/>
  <c r="Y1821" i="11"/>
  <c r="P1820" i="11"/>
  <c r="W1820" i="11"/>
  <c r="Y1820" i="11"/>
  <c r="P1819" i="11"/>
  <c r="Y1819" i="11"/>
  <c r="P1818" i="11"/>
  <c r="Y1818" i="11"/>
  <c r="M1818" i="11"/>
  <c r="P1817" i="11"/>
  <c r="W1817" i="11"/>
  <c r="P1816" i="11"/>
  <c r="Y1816" i="11"/>
  <c r="P1815" i="11"/>
  <c r="M1815" i="11"/>
  <c r="M1814" i="11"/>
  <c r="W1814" i="11"/>
  <c r="Y1814" i="11"/>
  <c r="P1813" i="11"/>
  <c r="W1813" i="11"/>
  <c r="M1813" i="11"/>
  <c r="Y1812" i="11"/>
  <c r="W1812" i="11"/>
  <c r="M1812" i="11"/>
  <c r="P1811" i="11"/>
  <c r="P1810" i="11"/>
  <c r="W1810" i="11"/>
  <c r="M1810" i="11"/>
  <c r="W1809" i="11"/>
  <c r="Y1809" i="11"/>
  <c r="M1809" i="11"/>
  <c r="P1808" i="11"/>
  <c r="W1808" i="11"/>
  <c r="Y1808" i="11"/>
  <c r="P1807" i="11"/>
  <c r="Y1807" i="11"/>
  <c r="W1807" i="11"/>
  <c r="P1806" i="11"/>
  <c r="W1806" i="11"/>
  <c r="Y1806" i="11"/>
  <c r="P1805" i="11"/>
  <c r="M1805" i="11"/>
  <c r="M1804" i="11"/>
  <c r="W1804" i="11"/>
  <c r="Y1804" i="11"/>
  <c r="P1803" i="11"/>
  <c r="Y1803" i="11"/>
  <c r="P1802" i="11"/>
  <c r="Y1802" i="11"/>
  <c r="M1802" i="11"/>
  <c r="M1801" i="11"/>
  <c r="W1801" i="11"/>
  <c r="Y1801" i="11"/>
  <c r="P1800" i="11"/>
  <c r="Y1800" i="11"/>
  <c r="W1799" i="11"/>
  <c r="M1798" i="11"/>
  <c r="P1798" i="11"/>
  <c r="P1796" i="11"/>
  <c r="Y1796" i="11"/>
  <c r="M1796" i="11"/>
  <c r="P1792" i="11"/>
  <c r="M1792" i="11"/>
  <c r="Y1791" i="11"/>
  <c r="W1652" i="11"/>
  <c r="P1652" i="11"/>
  <c r="M1650" i="11"/>
  <c r="M1648" i="11"/>
  <c r="P1647" i="11"/>
  <c r="M1647" i="11"/>
  <c r="M1645" i="11"/>
  <c r="M1644" i="11"/>
  <c r="P1642" i="11"/>
  <c r="W1641" i="11"/>
  <c r="Y1641" i="11"/>
  <c r="Y1639" i="11"/>
  <c r="M1639" i="11"/>
  <c r="M1638" i="11"/>
  <c r="Y1637" i="11"/>
  <c r="W1636" i="11"/>
  <c r="P1636" i="11"/>
  <c r="P1635" i="11"/>
  <c r="M1634" i="11"/>
  <c r="M1632" i="11"/>
  <c r="Y1631" i="11"/>
  <c r="W1631" i="11"/>
  <c r="Y1629" i="11"/>
  <c r="W1629" i="11"/>
  <c r="M1628" i="11"/>
  <c r="Y1628" i="11"/>
  <c r="M1624" i="11"/>
  <c r="M1623" i="11"/>
  <c r="M1620" i="11"/>
  <c r="M1619" i="11"/>
  <c r="Y1618" i="11"/>
  <c r="M1617" i="11"/>
  <c r="P1616" i="11"/>
  <c r="W1616" i="11"/>
  <c r="Y1615" i="11"/>
  <c r="W1615" i="11"/>
  <c r="P1615" i="11"/>
  <c r="Y1614" i="11"/>
  <c r="Y1612" i="11"/>
  <c r="W1612" i="11"/>
  <c r="W1609" i="11"/>
  <c r="M1609" i="11"/>
  <c r="Y1609" i="11"/>
  <c r="Y1604" i="11"/>
  <c r="W1604" i="11"/>
  <c r="W1603" i="11"/>
  <c r="M1603" i="11"/>
  <c r="W1602" i="11"/>
  <c r="Y1602" i="11"/>
  <c r="P1602" i="11"/>
  <c r="W1601" i="11"/>
  <c r="P1600" i="11"/>
  <c r="P1598" i="11"/>
  <c r="Y1597" i="11"/>
  <c r="M1597" i="11"/>
  <c r="Y1595" i="11"/>
  <c r="M1595" i="11"/>
  <c r="Y1594" i="11"/>
  <c r="P1594" i="11"/>
  <c r="W1592" i="11"/>
  <c r="Y1592" i="11"/>
  <c r="Y1591" i="11"/>
  <c r="W1591" i="11"/>
  <c r="M1591" i="11"/>
  <c r="M1590" i="11"/>
  <c r="M1588" i="11"/>
  <c r="P1587" i="11"/>
  <c r="Y1585" i="11"/>
  <c r="P1582" i="11"/>
  <c r="Y1582" i="11"/>
  <c r="P1580" i="11"/>
  <c r="M1578" i="11"/>
  <c r="W1577" i="11"/>
  <c r="W1576" i="11"/>
  <c r="Y1576" i="11"/>
  <c r="M1576" i="11"/>
  <c r="W1573" i="11"/>
  <c r="M1571" i="11"/>
  <c r="P1569" i="11"/>
  <c r="W1569" i="11"/>
  <c r="Y1569" i="11"/>
  <c r="Y1565" i="11"/>
  <c r="W1565" i="11"/>
  <c r="Y1564" i="11"/>
  <c r="Y1563" i="11"/>
  <c r="M1562" i="11"/>
  <c r="Y1561" i="11"/>
  <c r="W1560" i="11"/>
  <c r="M1560" i="11"/>
  <c r="W1556" i="11"/>
  <c r="Y1556" i="11"/>
  <c r="Y1555" i="11"/>
  <c r="W1555" i="11"/>
  <c r="M1555" i="11"/>
  <c r="P1552" i="11"/>
  <c r="M1552" i="11"/>
  <c r="W1551" i="11"/>
  <c r="M1551" i="11"/>
  <c r="M1549" i="11"/>
  <c r="Y1548" i="11"/>
  <c r="M1548" i="11"/>
  <c r="Y1546" i="11"/>
  <c r="W1546" i="11"/>
  <c r="M1545" i="11"/>
  <c r="P1544" i="11"/>
  <c r="M1543" i="11"/>
  <c r="M1540" i="11"/>
  <c r="M1538" i="11"/>
  <c r="Y1537" i="11"/>
  <c r="M1537" i="11"/>
  <c r="M1536" i="11"/>
  <c r="W1535" i="11"/>
  <c r="Y1533" i="11"/>
  <c r="M1533" i="11"/>
  <c r="P1531" i="11"/>
  <c r="P1530" i="11"/>
  <c r="M1529" i="11"/>
  <c r="W1529" i="11"/>
  <c r="Y1529" i="11"/>
  <c r="Y1528" i="11"/>
  <c r="P1528" i="11"/>
  <c r="P1527" i="11"/>
  <c r="P1526" i="11"/>
  <c r="M1526" i="11"/>
  <c r="W1525" i="11"/>
  <c r="Y1524" i="11"/>
  <c r="W1524" i="11"/>
  <c r="P1524" i="11"/>
  <c r="Y1523" i="11"/>
  <c r="M1522" i="11"/>
  <c r="P1521" i="11"/>
  <c r="M1520" i="11"/>
  <c r="P1519" i="11"/>
  <c r="P1518" i="11"/>
  <c r="M1517" i="11"/>
  <c r="P1516" i="11"/>
  <c r="M1515" i="11"/>
  <c r="P1514" i="11"/>
  <c r="M1511" i="11"/>
  <c r="M1510" i="11"/>
  <c r="M1509" i="11"/>
  <c r="M1508" i="11"/>
  <c r="M1507" i="11"/>
  <c r="W1506" i="11"/>
  <c r="Y1505" i="11"/>
  <c r="W1505" i="11"/>
  <c r="M1504" i="11"/>
  <c r="P1502" i="11"/>
  <c r="P1499" i="11"/>
  <c r="M1498" i="11"/>
  <c r="W1497" i="11"/>
  <c r="Y1497" i="11"/>
  <c r="Y1496" i="11"/>
  <c r="M1495" i="11"/>
  <c r="P1479" i="11"/>
  <c r="W1478" i="11"/>
  <c r="Y1478" i="11"/>
  <c r="M1478" i="11"/>
  <c r="Y1477" i="11"/>
  <c r="M1477" i="11"/>
  <c r="P1476" i="11"/>
  <c r="M1475" i="11"/>
  <c r="W1474" i="11"/>
  <c r="Y1474" i="11"/>
  <c r="W1473" i="11"/>
  <c r="M1473" i="11"/>
  <c r="Y1472" i="11"/>
  <c r="P1471" i="11"/>
  <c r="M1470" i="11"/>
  <c r="M1469" i="11"/>
  <c r="Y1468" i="11"/>
  <c r="P1467" i="11"/>
  <c r="Y1466" i="11"/>
  <c r="W1466" i="11"/>
  <c r="M1466" i="11"/>
  <c r="P1464" i="11"/>
  <c r="W1464" i="11"/>
  <c r="Y1464" i="11"/>
  <c r="M1463" i="11"/>
  <c r="W1463" i="11"/>
  <c r="P1462" i="11"/>
  <c r="P1461" i="11"/>
  <c r="W1460" i="11"/>
  <c r="P1459" i="11"/>
  <c r="W1458" i="11"/>
  <c r="M1458" i="11"/>
  <c r="Y1457" i="11"/>
  <c r="P1456" i="11"/>
  <c r="M1455" i="11"/>
  <c r="Y1454" i="11"/>
  <c r="W1454" i="11"/>
  <c r="P1453" i="11"/>
  <c r="W1452" i="11"/>
  <c r="Y1452" i="11"/>
  <c r="P1451" i="11"/>
  <c r="P1450" i="11"/>
  <c r="W1449" i="11"/>
  <c r="M1449" i="11"/>
  <c r="P1447" i="11"/>
  <c r="Y1446" i="11"/>
  <c r="M1446" i="11"/>
  <c r="P1444" i="11"/>
  <c r="M1443" i="11"/>
  <c r="W1442" i="11"/>
  <c r="M1442" i="11"/>
  <c r="M1441" i="11"/>
  <c r="M1440" i="11"/>
  <c r="Y1439" i="11"/>
  <c r="M1438" i="11"/>
  <c r="Y1437" i="11"/>
  <c r="Y1436" i="11"/>
  <c r="P1435" i="11"/>
  <c r="M1434" i="11"/>
  <c r="M1433" i="11"/>
  <c r="M1432" i="11"/>
  <c r="Y1431" i="11"/>
  <c r="P1430" i="11"/>
  <c r="W1429" i="11"/>
  <c r="M1429" i="11"/>
  <c r="M1428" i="11"/>
  <c r="W1427" i="11"/>
  <c r="P1426" i="11"/>
  <c r="W1425" i="11"/>
  <c r="M1425" i="11"/>
  <c r="M1424" i="11"/>
  <c r="M1423" i="11"/>
  <c r="M1422" i="11"/>
  <c r="Y1421" i="11"/>
  <c r="M1420" i="11"/>
  <c r="W1419" i="11"/>
  <c r="Y1419" i="11"/>
  <c r="W1418" i="11"/>
  <c r="M1418" i="11"/>
  <c r="Y1417" i="11"/>
  <c r="P1416" i="11"/>
  <c r="W1415" i="11"/>
  <c r="Y1415" i="11"/>
  <c r="P1414" i="11"/>
  <c r="W1413" i="11"/>
  <c r="M1413" i="11"/>
  <c r="Y1412" i="11"/>
  <c r="M1412" i="11"/>
  <c r="Y1411" i="11"/>
  <c r="W1410" i="11"/>
  <c r="Y1410" i="11"/>
  <c r="P1409" i="11"/>
  <c r="Y1408" i="11"/>
  <c r="M1408" i="11"/>
  <c r="Y1407" i="11"/>
  <c r="W1407" i="11"/>
  <c r="P1406" i="11"/>
  <c r="Y1405" i="11"/>
  <c r="M1405" i="11"/>
  <c r="M1404" i="11"/>
  <c r="M1403" i="11"/>
  <c r="M1096" i="11"/>
  <c r="W1093" i="11"/>
  <c r="Y1093" i="11"/>
  <c r="M1092" i="11"/>
  <c r="W1086" i="11"/>
  <c r="P1086" i="11"/>
  <c r="W1078" i="11"/>
  <c r="Y1078" i="11"/>
  <c r="M1078" i="11"/>
  <c r="W1076" i="11"/>
  <c r="Y1075" i="11"/>
  <c r="W1075" i="11"/>
  <c r="Y1073" i="11"/>
  <c r="Y1072" i="11"/>
  <c r="W1072" i="11"/>
  <c r="Y1070" i="11"/>
  <c r="W1070" i="11"/>
  <c r="P1070" i="11"/>
  <c r="M1066" i="11"/>
  <c r="M1063" i="11"/>
  <c r="P1062" i="11"/>
  <c r="W1058" i="11"/>
  <c r="W1057" i="11"/>
  <c r="M1056" i="11"/>
  <c r="M1054" i="11"/>
  <c r="P1050" i="11"/>
  <c r="M1045" i="11"/>
  <c r="M1042" i="11"/>
  <c r="Y1040" i="11"/>
  <c r="M1036" i="11"/>
  <c r="Y1032" i="11"/>
  <c r="M1027" i="11"/>
  <c r="P648" i="11"/>
  <c r="P645" i="11"/>
  <c r="Y643" i="11"/>
  <c r="W641" i="11"/>
  <c r="W640" i="11"/>
  <c r="M639" i="11"/>
  <c r="P637" i="11"/>
  <c r="M634" i="11"/>
  <c r="P631" i="11"/>
  <c r="P628" i="11"/>
  <c r="Y623" i="11"/>
  <c r="M623" i="11"/>
  <c r="M619" i="11"/>
  <c r="P613" i="11"/>
  <c r="P609" i="11"/>
  <c r="W167" i="11"/>
  <c r="M166" i="11"/>
  <c r="M146" i="11"/>
  <c r="M141" i="11"/>
  <c r="M137" i="11"/>
  <c r="M132" i="11"/>
  <c r="M127" i="11"/>
  <c r="M123" i="11"/>
  <c r="M119" i="11"/>
  <c r="M116" i="11"/>
  <c r="W111" i="11"/>
  <c r="M106" i="11"/>
  <c r="M98" i="11"/>
  <c r="M94" i="11"/>
  <c r="S1536" i="11"/>
  <c r="S1928" i="11"/>
  <c r="T1928" i="11"/>
  <c r="S1924" i="11"/>
  <c r="T1924" i="11"/>
  <c r="T1917" i="11"/>
  <c r="S1917" i="11"/>
  <c r="S1910" i="11"/>
  <c r="S1899" i="11"/>
  <c r="T1883" i="11"/>
  <c r="S1883" i="11"/>
  <c r="T1882" i="11"/>
  <c r="S1881" i="11"/>
  <c r="S1875" i="11"/>
  <c r="S1863" i="11"/>
  <c r="T1860" i="11"/>
  <c r="T1795" i="11"/>
  <c r="T1648" i="11"/>
  <c r="S1648" i="11"/>
  <c r="T1646" i="11"/>
  <c r="S1642" i="11"/>
  <c r="T1631" i="11"/>
  <c r="T1626" i="11"/>
  <c r="T1622" i="11"/>
  <c r="T1621" i="11"/>
  <c r="S1621" i="11"/>
  <c r="S1617" i="11"/>
  <c r="S1599" i="11"/>
  <c r="S1589" i="11"/>
  <c r="T1584" i="11"/>
  <c r="T1583" i="11"/>
  <c r="S1583" i="11"/>
  <c r="T1582" i="11"/>
  <c r="T1567" i="11"/>
  <c r="T1545" i="11"/>
  <c r="S1531" i="11"/>
  <c r="T1528" i="11"/>
  <c r="S1527" i="11"/>
  <c r="S1523" i="11"/>
  <c r="S1520" i="11"/>
  <c r="S1517" i="11"/>
  <c r="T1516" i="11"/>
  <c r="S1515" i="11"/>
  <c r="T1513" i="11"/>
  <c r="S1512" i="11"/>
  <c r="S1511" i="11"/>
  <c r="S1510" i="11"/>
  <c r="S1507" i="11"/>
  <c r="T1501" i="11"/>
  <c r="T1100" i="11"/>
  <c r="T1090" i="11"/>
  <c r="T1082" i="11"/>
  <c r="T1064" i="11"/>
  <c r="T1052" i="11"/>
  <c r="S1049" i="11"/>
  <c r="T1041" i="11"/>
  <c r="S1036" i="11"/>
  <c r="S630" i="11"/>
  <c r="T164" i="11"/>
  <c r="S160" i="11"/>
  <c r="S156" i="11"/>
  <c r="T151" i="11"/>
  <c r="S150" i="11"/>
  <c r="T146" i="11"/>
  <c r="S145" i="11"/>
  <c r="S140" i="11"/>
  <c r="T136" i="11"/>
  <c r="T135" i="11"/>
  <c r="T134" i="11"/>
  <c r="S128" i="11"/>
  <c r="S114" i="11"/>
  <c r="S109" i="11"/>
  <c r="T105" i="11"/>
  <c r="S104" i="11"/>
  <c r="T100" i="11"/>
  <c r="S99" i="11"/>
  <c r="S93" i="11"/>
  <c r="T1866" i="11"/>
  <c r="T1863" i="11"/>
  <c r="S1860" i="11"/>
  <c r="S1857" i="11"/>
  <c r="T1857" i="11"/>
  <c r="S1795" i="11"/>
  <c r="T1794" i="11"/>
  <c r="S1794" i="11"/>
  <c r="T1649" i="11"/>
  <c r="S1649" i="11"/>
  <c r="S1645" i="11"/>
  <c r="T1642" i="11"/>
  <c r="S1631" i="11"/>
  <c r="S1626" i="11"/>
  <c r="S1622" i="11"/>
  <c r="T1617" i="11"/>
  <c r="T1612" i="11"/>
  <c r="S1612" i="11"/>
  <c r="S1611" i="11"/>
  <c r="T1606" i="11"/>
  <c r="S1606" i="11"/>
  <c r="S1604" i="11"/>
  <c r="T1604" i="11"/>
  <c r="T1600" i="11"/>
  <c r="S1600" i="11"/>
  <c r="T1599" i="11"/>
  <c r="S1747" i="11"/>
  <c r="T1747" i="11"/>
  <c r="T1746" i="11"/>
  <c r="S1746" i="11"/>
  <c r="T1745" i="11"/>
  <c r="S1745" i="11"/>
  <c r="S1728" i="11"/>
  <c r="T1728" i="11"/>
  <c r="T1725" i="11"/>
  <c r="S1725" i="11"/>
  <c r="T1722" i="11"/>
  <c r="S1722" i="11"/>
  <c r="S1719" i="11"/>
  <c r="T1719" i="11"/>
  <c r="T1708" i="11"/>
  <c r="S1708" i="11"/>
  <c r="T1707" i="11"/>
  <c r="S1707" i="11"/>
  <c r="T1700" i="11"/>
  <c r="S1700" i="11"/>
  <c r="T1698" i="11"/>
  <c r="S1698" i="11"/>
  <c r="T1694" i="11"/>
  <c r="S1694" i="11"/>
  <c r="S1692" i="11"/>
  <c r="T1692" i="11"/>
  <c r="S1691" i="11"/>
  <c r="T1691" i="11"/>
  <c r="T1690" i="11"/>
  <c r="S1690" i="11"/>
  <c r="T1689" i="11"/>
  <c r="S1689" i="11"/>
  <c r="S1688" i="11"/>
  <c r="T1688" i="11"/>
  <c r="T1687" i="11"/>
  <c r="S1687" i="11"/>
  <c r="T1682" i="11"/>
  <c r="S1682" i="11"/>
  <c r="T1681" i="11"/>
  <c r="S1681" i="11"/>
  <c r="T1679" i="11"/>
  <c r="S1679" i="11"/>
  <c r="T1675" i="11"/>
  <c r="S1675" i="11"/>
  <c r="S1674" i="11"/>
  <c r="T1674" i="11"/>
  <c r="T1672" i="11"/>
  <c r="S1672" i="11"/>
  <c r="T1671" i="11"/>
  <c r="S1671" i="11"/>
  <c r="S1670" i="11"/>
  <c r="T1670" i="11"/>
  <c r="S1667" i="11"/>
  <c r="T1667" i="11"/>
  <c r="T1658" i="11"/>
  <c r="S1658" i="11"/>
  <c r="S1655" i="11"/>
  <c r="T1655" i="11"/>
  <c r="S1646" i="11"/>
  <c r="T1645" i="11"/>
  <c r="T1611" i="11"/>
  <c r="S1596" i="11"/>
  <c r="T1589" i="11"/>
  <c r="S1580" i="11"/>
  <c r="T1574" i="11"/>
  <c r="S1545" i="11"/>
  <c r="T1530" i="11"/>
  <c r="S1530" i="11"/>
  <c r="S1528" i="11"/>
  <c r="T1521" i="11"/>
  <c r="S1518" i="11"/>
  <c r="S1513" i="11"/>
  <c r="T1512" i="11"/>
  <c r="T1509" i="11"/>
  <c r="S1509" i="11"/>
  <c r="T1508" i="11"/>
  <c r="S1508" i="11"/>
  <c r="T1504" i="11"/>
  <c r="S1504" i="11"/>
  <c r="T1097" i="11"/>
  <c r="S1090" i="11"/>
  <c r="T1084" i="11"/>
  <c r="S1063" i="11"/>
  <c r="S1057" i="11"/>
  <c r="T1049" i="11"/>
  <c r="T1043" i="11"/>
  <c r="T1040" i="11"/>
  <c r="T1036" i="11"/>
  <c r="S1035" i="11"/>
  <c r="S1028" i="11"/>
  <c r="T646" i="11"/>
  <c r="S646" i="11"/>
  <c r="S639" i="11"/>
  <c r="T632" i="11"/>
  <c r="S632" i="11"/>
  <c r="S165" i="11"/>
  <c r="T163" i="11"/>
  <c r="T155" i="11"/>
  <c r="S149" i="11"/>
  <c r="S146" i="11"/>
  <c r="T143" i="11"/>
  <c r="T140" i="11"/>
  <c r="T139" i="11"/>
  <c r="S139" i="11"/>
  <c r="T138" i="11"/>
  <c r="T133" i="11"/>
  <c r="S133" i="11"/>
  <c r="T129" i="11"/>
  <c r="S129" i="11"/>
  <c r="T125" i="11"/>
  <c r="S123" i="11"/>
  <c r="S122" i="11"/>
  <c r="S120" i="11"/>
  <c r="T115" i="11"/>
  <c r="S113" i="11"/>
  <c r="T110" i="11"/>
  <c r="S108" i="11"/>
  <c r="S103" i="11"/>
  <c r="T99" i="11"/>
  <c r="S95" i="11"/>
  <c r="S87" i="11"/>
  <c r="T1264" i="11"/>
  <c r="S1264" i="11"/>
  <c r="T1261" i="11"/>
  <c r="S1261" i="11"/>
  <c r="S1255" i="11"/>
  <c r="T1255" i="11"/>
  <c r="S1253" i="11"/>
  <c r="T1253" i="11"/>
  <c r="S1252" i="11"/>
  <c r="T1252" i="11"/>
  <c r="S1251" i="11"/>
  <c r="T1251" i="11"/>
  <c r="S1248" i="11"/>
  <c r="T1248" i="11"/>
  <c r="T1247" i="11"/>
  <c r="S1247" i="11"/>
  <c r="S1246" i="11"/>
  <c r="T1246" i="11"/>
  <c r="T1244" i="11"/>
  <c r="S1244" i="11"/>
  <c r="T1242" i="11"/>
  <c r="S1242" i="11"/>
  <c r="T1240" i="11"/>
  <c r="S1240" i="11"/>
  <c r="S1239" i="11"/>
  <c r="T1239" i="11"/>
  <c r="T1238" i="11"/>
  <c r="S1238" i="11"/>
  <c r="S1237" i="11"/>
  <c r="T1237" i="11"/>
  <c r="S1236" i="11"/>
  <c r="T1236" i="11"/>
  <c r="T1235" i="11"/>
  <c r="S1235" i="11"/>
  <c r="T1234" i="11"/>
  <c r="S1234" i="11"/>
  <c r="S1233" i="11"/>
  <c r="T1233" i="11"/>
  <c r="S1228" i="11"/>
  <c r="T1228" i="11"/>
  <c r="T1226" i="11"/>
  <c r="S1226" i="11"/>
  <c r="T1224" i="11"/>
  <c r="S1224" i="11"/>
  <c r="T1223" i="11"/>
  <c r="S1223" i="11"/>
  <c r="T1221" i="11"/>
  <c r="S1221" i="11"/>
  <c r="S1220" i="11"/>
  <c r="T1220" i="11"/>
  <c r="T1215" i="11"/>
  <c r="S1215" i="11"/>
  <c r="T1209" i="11"/>
  <c r="S1209" i="11"/>
  <c r="T1202" i="11"/>
  <c r="S1202" i="11"/>
  <c r="T1192" i="11"/>
  <c r="S1192" i="11"/>
  <c r="S1190" i="11"/>
  <c r="T1190" i="11"/>
  <c r="S1188" i="11"/>
  <c r="T1188" i="11"/>
  <c r="T1186" i="11"/>
  <c r="S1186" i="11"/>
  <c r="S1185" i="11"/>
  <c r="T1185" i="11"/>
  <c r="S1184" i="11"/>
  <c r="T1184" i="11"/>
  <c r="S1178" i="11"/>
  <c r="T1178" i="11"/>
  <c r="T1173" i="11"/>
  <c r="S1173" i="11"/>
  <c r="T1172" i="11"/>
  <c r="S1172" i="11"/>
  <c r="S1164" i="11"/>
  <c r="T1164" i="11"/>
  <c r="S1154" i="11"/>
  <c r="T1154" i="11"/>
  <c r="S1147" i="11"/>
  <c r="T1147" i="11"/>
  <c r="S1145" i="11"/>
  <c r="T1145" i="11"/>
  <c r="T1144" i="11"/>
  <c r="S1144" i="11"/>
  <c r="T1143" i="11"/>
  <c r="S1143" i="11"/>
  <c r="S1140" i="11"/>
  <c r="T1140" i="11"/>
  <c r="S1137" i="11"/>
  <c r="T1137" i="11"/>
  <c r="T1135" i="11"/>
  <c r="S1135" i="11"/>
  <c r="T1134" i="11"/>
  <c r="S1134" i="11"/>
  <c r="T1132" i="11"/>
  <c r="S1132" i="11"/>
  <c r="T1131" i="11"/>
  <c r="S1131" i="11"/>
  <c r="S1129" i="11"/>
  <c r="T1129" i="11"/>
  <c r="S1128" i="11"/>
  <c r="T1128" i="11"/>
  <c r="S1127" i="11"/>
  <c r="T1127" i="11"/>
  <c r="S1119" i="11"/>
  <c r="T1119" i="11"/>
  <c r="T1118" i="11"/>
  <c r="S1118" i="11"/>
  <c r="S1115" i="11"/>
  <c r="T1115" i="11"/>
  <c r="T1114" i="11"/>
  <c r="S1114" i="11"/>
  <c r="S1110" i="11"/>
  <c r="T1110" i="11"/>
  <c r="T1107" i="11"/>
  <c r="S1107" i="11"/>
  <c r="S1104" i="11"/>
  <c r="T1104" i="11"/>
  <c r="S1097" i="11"/>
  <c r="S1084" i="11"/>
  <c r="S1064" i="11"/>
  <c r="T1063" i="11"/>
  <c r="S1043" i="11"/>
  <c r="S1041" i="11"/>
  <c r="T1035" i="11"/>
  <c r="T1030" i="11"/>
  <c r="T639" i="11"/>
  <c r="S612" i="11"/>
  <c r="T166" i="11"/>
  <c r="T165" i="11"/>
  <c r="S164" i="11"/>
  <c r="S154" i="11"/>
  <c r="T141" i="11"/>
  <c r="S135" i="11"/>
  <c r="T131" i="11"/>
  <c r="S130" i="11"/>
  <c r="T124" i="11"/>
  <c r="S124" i="11"/>
  <c r="T117" i="11"/>
  <c r="T108" i="11"/>
  <c r="T104" i="11"/>
  <c r="T103" i="11"/>
  <c r="S98" i="11"/>
  <c r="S94" i="11"/>
  <c r="S88" i="11"/>
  <c r="T1596" i="11"/>
  <c r="S1584" i="11"/>
  <c r="S1582" i="11"/>
  <c r="T1580" i="11"/>
  <c r="T1579" i="11"/>
  <c r="S1579" i="11"/>
  <c r="S1574" i="11"/>
  <c r="S1567" i="11"/>
  <c r="S1565" i="11"/>
  <c r="T1565" i="11"/>
  <c r="S1563" i="11"/>
  <c r="T1563" i="11"/>
  <c r="S1547" i="11"/>
  <c r="T1547" i="11"/>
  <c r="T1546" i="11"/>
  <c r="S1546" i="11"/>
  <c r="S989" i="11"/>
  <c r="T989" i="11"/>
  <c r="T982" i="11"/>
  <c r="S982" i="11"/>
  <c r="T981" i="11"/>
  <c r="S981" i="11"/>
  <c r="T977" i="11"/>
  <c r="S977" i="11"/>
  <c r="S966" i="11"/>
  <c r="T966" i="11"/>
  <c r="T963" i="11"/>
  <c r="S963" i="11"/>
  <c r="T960" i="11"/>
  <c r="S960" i="11"/>
  <c r="S959" i="11"/>
  <c r="T959" i="11"/>
  <c r="T958" i="11"/>
  <c r="S958" i="11"/>
  <c r="T956" i="11"/>
  <c r="S956" i="11"/>
  <c r="S940" i="11"/>
  <c r="T940" i="11"/>
  <c r="T934" i="11"/>
  <c r="S934" i="11"/>
  <c r="S933" i="11"/>
  <c r="T933" i="11"/>
  <c r="S926" i="11"/>
  <c r="T926" i="11"/>
  <c r="S925" i="11"/>
  <c r="T925" i="11"/>
  <c r="T918" i="11"/>
  <c r="S918" i="11"/>
  <c r="T914" i="11"/>
  <c r="S914" i="11"/>
  <c r="S909" i="11"/>
  <c r="T909" i="11"/>
  <c r="S905" i="11"/>
  <c r="T905" i="11"/>
  <c r="S897" i="11"/>
  <c r="T897" i="11"/>
  <c r="T895" i="11"/>
  <c r="S895" i="11"/>
  <c r="T892" i="11"/>
  <c r="S892" i="11"/>
  <c r="T891" i="11"/>
  <c r="S891" i="11"/>
  <c r="S878" i="11"/>
  <c r="T878" i="11"/>
  <c r="T874" i="11"/>
  <c r="S874" i="11"/>
  <c r="T870" i="11"/>
  <c r="S870" i="11"/>
  <c r="T868" i="11"/>
  <c r="S868" i="11"/>
  <c r="T866" i="11"/>
  <c r="S866" i="11"/>
  <c r="S859" i="11"/>
  <c r="T859" i="11"/>
  <c r="S855" i="11"/>
  <c r="T855" i="11"/>
  <c r="T851" i="11"/>
  <c r="S851" i="11"/>
  <c r="T848" i="11"/>
  <c r="S848" i="11"/>
  <c r="S836" i="11"/>
  <c r="T836" i="11"/>
  <c r="S822" i="11"/>
  <c r="T822" i="11"/>
  <c r="T819" i="11"/>
  <c r="S819" i="11"/>
  <c r="T799" i="11"/>
  <c r="S799" i="11"/>
  <c r="T795" i="11"/>
  <c r="S795" i="11"/>
  <c r="T794" i="11"/>
  <c r="S794" i="11"/>
  <c r="S791" i="11"/>
  <c r="T791" i="11"/>
  <c r="S787" i="11"/>
  <c r="T787" i="11"/>
  <c r="S779" i="11"/>
  <c r="T779" i="11"/>
  <c r="S776" i="11"/>
  <c r="T776" i="11"/>
  <c r="T772" i="11"/>
  <c r="S772" i="11"/>
  <c r="T758" i="11"/>
  <c r="S758" i="11"/>
  <c r="S757" i="11"/>
  <c r="T757" i="11"/>
  <c r="S702" i="11"/>
  <c r="T702" i="11"/>
  <c r="S695" i="11"/>
  <c r="T695" i="11"/>
  <c r="S682" i="11"/>
  <c r="T682" i="11"/>
  <c r="T679" i="11"/>
  <c r="S679" i="11"/>
  <c r="T674" i="11"/>
  <c r="S674" i="11"/>
  <c r="T673" i="11"/>
  <c r="S673" i="11"/>
  <c r="T672" i="11"/>
  <c r="S672" i="11"/>
  <c r="S671" i="11"/>
  <c r="T671" i="11"/>
  <c r="S669" i="11"/>
  <c r="T669" i="11"/>
  <c r="T667" i="11"/>
  <c r="S667" i="11"/>
  <c r="T666" i="11"/>
  <c r="S666" i="11"/>
  <c r="T664" i="11"/>
  <c r="S664" i="11"/>
  <c r="S661" i="11"/>
  <c r="T661" i="11"/>
  <c r="T660" i="11"/>
  <c r="S660" i="11"/>
  <c r="T658" i="11"/>
  <c r="S658" i="11"/>
  <c r="S657" i="11"/>
  <c r="T657" i="11"/>
  <c r="T630" i="11"/>
  <c r="T612" i="11"/>
  <c r="S158" i="11"/>
  <c r="T154" i="11"/>
  <c r="T153" i="11"/>
  <c r="T148" i="11"/>
  <c r="S144" i="11"/>
  <c r="T130" i="11"/>
  <c r="S125" i="11"/>
  <c r="T122" i="11"/>
  <c r="T120" i="11"/>
  <c r="S119" i="11"/>
  <c r="S115" i="11"/>
  <c r="T107" i="11"/>
  <c r="T102" i="11"/>
  <c r="S100" i="11"/>
  <c r="S92" i="11"/>
  <c r="T1531" i="11"/>
  <c r="T1527" i="11"/>
  <c r="T1523" i="11"/>
  <c r="T1522" i="11"/>
  <c r="S1522" i="11"/>
  <c r="S1521" i="11"/>
  <c r="T1520" i="11"/>
  <c r="T1519" i="11"/>
  <c r="S1519" i="11"/>
  <c r="T1518" i="11"/>
  <c r="T1517" i="11"/>
  <c r="S1516" i="11"/>
  <c r="T1515" i="11"/>
  <c r="T1514" i="11"/>
  <c r="S1514" i="11"/>
  <c r="T1511" i="11"/>
  <c r="T1510" i="11"/>
  <c r="T1507" i="11"/>
  <c r="S1501" i="11"/>
  <c r="S1100" i="11"/>
  <c r="S1082" i="11"/>
  <c r="T1057" i="11"/>
  <c r="S1052" i="11"/>
  <c r="S1040" i="11"/>
  <c r="S1030" i="11"/>
  <c r="T1028" i="11"/>
  <c r="T161" i="11"/>
  <c r="T160" i="11"/>
  <c r="T159" i="11"/>
  <c r="S159" i="11"/>
  <c r="S155" i="11"/>
  <c r="T150" i="11"/>
  <c r="T149" i="11"/>
  <c r="S148" i="11"/>
  <c r="T127" i="11"/>
  <c r="T123" i="11"/>
  <c r="S110" i="11"/>
  <c r="S102" i="11"/>
  <c r="S524" i="11"/>
  <c r="T524" i="11"/>
  <c r="S520" i="11"/>
  <c r="T520" i="11"/>
  <c r="T513" i="11"/>
  <c r="S513" i="11"/>
  <c r="T507" i="11"/>
  <c r="S507" i="11"/>
  <c r="T504" i="11"/>
  <c r="S504" i="11"/>
  <c r="T500" i="11"/>
  <c r="S500" i="11"/>
  <c r="T498" i="11"/>
  <c r="S498" i="11"/>
  <c r="S497" i="11"/>
  <c r="T497" i="11"/>
  <c r="S495" i="11"/>
  <c r="T495" i="11"/>
  <c r="T493" i="11"/>
  <c r="S493" i="11"/>
  <c r="T492" i="11"/>
  <c r="S492" i="11"/>
  <c r="S491" i="11"/>
  <c r="T491" i="11"/>
  <c r="T490" i="11"/>
  <c r="S490" i="11"/>
  <c r="T488" i="11"/>
  <c r="S488" i="11"/>
  <c r="S487" i="11"/>
  <c r="T487" i="11"/>
  <c r="T486" i="11"/>
  <c r="S486" i="11"/>
  <c r="S485" i="11"/>
  <c r="T485" i="11"/>
  <c r="S483" i="11"/>
  <c r="T483" i="11"/>
  <c r="T482" i="11"/>
  <c r="S482" i="11"/>
  <c r="S481" i="11"/>
  <c r="T481" i="11"/>
  <c r="S480" i="11"/>
  <c r="T480" i="11"/>
  <c r="T478" i="11"/>
  <c r="S478" i="11"/>
  <c r="T477" i="11"/>
  <c r="S477" i="11"/>
  <c r="T476" i="11"/>
  <c r="S476" i="11"/>
  <c r="S475" i="11"/>
  <c r="T475" i="11"/>
  <c r="T473" i="11"/>
  <c r="S473" i="11"/>
  <c r="T472" i="11"/>
  <c r="S472" i="11"/>
  <c r="S471" i="11"/>
  <c r="T471" i="11"/>
  <c r="S470" i="11"/>
  <c r="T470" i="11"/>
  <c r="T468" i="11"/>
  <c r="S468" i="11"/>
  <c r="S467" i="11"/>
  <c r="T467" i="11"/>
  <c r="S466" i="11"/>
  <c r="T466" i="11"/>
  <c r="S465" i="11"/>
  <c r="T465" i="11"/>
  <c r="T463" i="11"/>
  <c r="S463" i="11"/>
  <c r="S462" i="11"/>
  <c r="T462" i="11"/>
  <c r="S461" i="11"/>
  <c r="T461" i="11"/>
  <c r="S460" i="11"/>
  <c r="T460" i="11"/>
  <c r="T458" i="11"/>
  <c r="S458" i="11"/>
  <c r="S457" i="11"/>
  <c r="T457" i="11"/>
  <c r="T456" i="11"/>
  <c r="S456" i="11"/>
  <c r="T455" i="11"/>
  <c r="S455" i="11"/>
  <c r="T454" i="11"/>
  <c r="S454" i="11"/>
  <c r="T452" i="11"/>
  <c r="S452" i="11"/>
  <c r="T451" i="11"/>
  <c r="S451" i="11"/>
  <c r="S450" i="11"/>
  <c r="T450" i="11"/>
  <c r="T449" i="11"/>
  <c r="S449" i="11"/>
  <c r="T447" i="11"/>
  <c r="S447" i="11"/>
  <c r="S446" i="11"/>
  <c r="T446" i="11"/>
  <c r="T445" i="11"/>
  <c r="S445" i="11"/>
  <c r="T444" i="11"/>
  <c r="S444" i="11"/>
  <c r="T442" i="11"/>
  <c r="S442" i="11"/>
  <c r="S441" i="11"/>
  <c r="T441" i="11"/>
  <c r="S440" i="11"/>
  <c r="T440" i="11"/>
  <c r="T439" i="11"/>
  <c r="S439" i="11"/>
  <c r="T437" i="11"/>
  <c r="S437" i="11"/>
  <c r="T436" i="11"/>
  <c r="S436" i="11"/>
  <c r="S435" i="11"/>
  <c r="T435" i="11"/>
  <c r="T434" i="11"/>
  <c r="S434" i="11"/>
  <c r="S432" i="11"/>
  <c r="T432" i="11"/>
  <c r="S431" i="11"/>
  <c r="T431" i="11"/>
  <c r="T430" i="11"/>
  <c r="S430" i="11"/>
  <c r="T429" i="11"/>
  <c r="S429" i="11"/>
  <c r="T427" i="11"/>
  <c r="S427" i="11"/>
  <c r="T426" i="11"/>
  <c r="S426" i="11"/>
  <c r="S425" i="11"/>
  <c r="T425" i="11"/>
  <c r="T424" i="11"/>
  <c r="S424" i="11"/>
  <c r="S422" i="11"/>
  <c r="T422" i="11"/>
  <c r="S421" i="11"/>
  <c r="T421" i="11"/>
  <c r="T420" i="11"/>
  <c r="S420" i="11"/>
  <c r="T419" i="11"/>
  <c r="S419" i="11"/>
  <c r="S417" i="11"/>
  <c r="T417" i="11"/>
  <c r="S416" i="11"/>
  <c r="T416" i="11"/>
  <c r="T415" i="11"/>
  <c r="S415" i="11"/>
  <c r="T414" i="11"/>
  <c r="S414" i="11"/>
  <c r="S413" i="11"/>
  <c r="T413" i="11"/>
  <c r="S411" i="11"/>
  <c r="T411" i="11"/>
  <c r="T410" i="11"/>
  <c r="S410" i="11"/>
  <c r="S409" i="11"/>
  <c r="T409" i="11"/>
  <c r="T408" i="11"/>
  <c r="S408" i="11"/>
  <c r="S406" i="11"/>
  <c r="T406" i="11"/>
  <c r="S405" i="11"/>
  <c r="T405" i="11"/>
  <c r="S404" i="11"/>
  <c r="T404" i="11"/>
  <c r="S403" i="11"/>
  <c r="T403" i="11"/>
  <c r="S401" i="11"/>
  <c r="T401" i="11"/>
  <c r="T400" i="11"/>
  <c r="S400" i="11"/>
  <c r="T399" i="11"/>
  <c r="S399" i="11"/>
  <c r="T398" i="11"/>
  <c r="S398" i="11"/>
  <c r="S396" i="11"/>
  <c r="T396" i="11"/>
  <c r="S395" i="11"/>
  <c r="T395" i="11"/>
  <c r="T394" i="11"/>
  <c r="S394" i="11"/>
  <c r="S393" i="11"/>
  <c r="T393" i="11"/>
  <c r="S391" i="11"/>
  <c r="T391" i="11"/>
  <c r="T390" i="11"/>
  <c r="S390" i="11"/>
  <c r="S389" i="11"/>
  <c r="T389" i="11"/>
  <c r="T388" i="11"/>
  <c r="S388" i="11"/>
  <c r="T386" i="11"/>
  <c r="S386" i="11"/>
  <c r="S385" i="11"/>
  <c r="T385" i="11"/>
  <c r="T384" i="11"/>
  <c r="S384" i="11"/>
  <c r="T383" i="11"/>
  <c r="S383" i="11"/>
  <c r="T381" i="11"/>
  <c r="S381" i="11"/>
  <c r="T380" i="11"/>
  <c r="S380" i="11"/>
  <c r="S379" i="11"/>
  <c r="T379" i="11"/>
  <c r="S378" i="11"/>
  <c r="T378" i="11"/>
  <c r="S376" i="11"/>
  <c r="T376" i="11"/>
  <c r="T375" i="11"/>
  <c r="S375" i="11"/>
  <c r="T374" i="11"/>
  <c r="S374" i="11"/>
  <c r="T373" i="11"/>
  <c r="S373" i="11"/>
  <c r="T372" i="11"/>
  <c r="S372" i="11"/>
  <c r="S370" i="11"/>
  <c r="T370" i="11"/>
  <c r="S369" i="11"/>
  <c r="T369" i="11"/>
  <c r="T368" i="11"/>
  <c r="S368" i="11"/>
  <c r="T367" i="11"/>
  <c r="S367" i="11"/>
  <c r="T365" i="11"/>
  <c r="S365" i="11"/>
  <c r="T364" i="11"/>
  <c r="S364" i="11"/>
  <c r="T363" i="11"/>
  <c r="S363" i="11"/>
  <c r="T362" i="11"/>
  <c r="S362" i="11"/>
  <c r="T360" i="11"/>
  <c r="S360" i="11"/>
  <c r="S359" i="11"/>
  <c r="T359" i="11"/>
  <c r="S358" i="11"/>
  <c r="T358" i="11"/>
  <c r="S357" i="11"/>
  <c r="T357" i="11"/>
  <c r="T355" i="11"/>
  <c r="S355" i="11"/>
  <c r="T354" i="11"/>
  <c r="S354" i="11"/>
  <c r="T353" i="11"/>
  <c r="S353" i="11"/>
  <c r="S352" i="11"/>
  <c r="T352" i="11"/>
  <c r="T350" i="11"/>
  <c r="S350" i="11"/>
  <c r="T349" i="11"/>
  <c r="S349" i="11"/>
  <c r="S348" i="11"/>
  <c r="T348" i="11"/>
  <c r="T347" i="11"/>
  <c r="S347" i="11"/>
  <c r="S345" i="11"/>
  <c r="T345" i="11"/>
  <c r="T344" i="11"/>
  <c r="S344" i="11"/>
  <c r="T343" i="11"/>
  <c r="S343" i="11"/>
  <c r="S342" i="11"/>
  <c r="T342" i="11"/>
  <c r="T340" i="11"/>
  <c r="S340" i="11"/>
  <c r="T339" i="11"/>
  <c r="S339" i="11"/>
  <c r="S338" i="11"/>
  <c r="T338" i="11"/>
  <c r="T337" i="11"/>
  <c r="S337" i="11"/>
  <c r="T335" i="11"/>
  <c r="S335" i="11"/>
  <c r="T334" i="11"/>
  <c r="S334" i="11"/>
  <c r="T333" i="11"/>
  <c r="S333" i="11"/>
  <c r="S332" i="11"/>
  <c r="T332" i="11"/>
  <c r="S331" i="11"/>
  <c r="T331" i="11"/>
  <c r="S329" i="11"/>
  <c r="T329" i="11"/>
  <c r="T328" i="11"/>
  <c r="S328" i="11"/>
  <c r="T327" i="11"/>
  <c r="S327" i="11"/>
  <c r="S326" i="11"/>
  <c r="T326" i="11"/>
  <c r="T324" i="11"/>
  <c r="S324" i="11"/>
  <c r="T323" i="11"/>
  <c r="S323" i="11"/>
  <c r="T322" i="11"/>
  <c r="S322" i="11"/>
  <c r="S321" i="11"/>
  <c r="T321" i="11"/>
  <c r="S319" i="11"/>
  <c r="T319" i="11"/>
  <c r="T318" i="11"/>
  <c r="S318" i="11"/>
  <c r="S317" i="11"/>
  <c r="T317" i="11"/>
  <c r="S316" i="11"/>
  <c r="T316" i="11"/>
  <c r="T314" i="11"/>
  <c r="S314" i="11"/>
  <c r="S313" i="11"/>
  <c r="T313" i="11"/>
  <c r="T312" i="11"/>
  <c r="S312" i="11"/>
  <c r="T311" i="11"/>
  <c r="S311" i="11"/>
  <c r="T309" i="11"/>
  <c r="S309" i="11"/>
  <c r="T308" i="11"/>
  <c r="S308" i="11"/>
  <c r="S307" i="11"/>
  <c r="T307" i="11"/>
  <c r="T306" i="11"/>
  <c r="S306" i="11"/>
  <c r="T304" i="11"/>
  <c r="S304" i="11"/>
  <c r="S303" i="11"/>
  <c r="T303" i="11"/>
  <c r="T302" i="11"/>
  <c r="S302" i="11"/>
  <c r="T301" i="11"/>
  <c r="S301" i="11"/>
  <c r="S299" i="11"/>
  <c r="T299" i="11"/>
  <c r="T298" i="11"/>
  <c r="S298" i="11"/>
  <c r="T297" i="11"/>
  <c r="S297" i="11"/>
  <c r="T296" i="11"/>
  <c r="S296" i="11"/>
  <c r="S294" i="11"/>
  <c r="T294" i="11"/>
  <c r="S293" i="11"/>
  <c r="T293" i="11"/>
  <c r="T292" i="11"/>
  <c r="S292" i="11"/>
  <c r="T291" i="11"/>
  <c r="S291" i="11"/>
  <c r="T289" i="11"/>
  <c r="S289" i="11"/>
  <c r="T288" i="11"/>
  <c r="S288" i="11"/>
  <c r="T286" i="11"/>
  <c r="S286" i="11"/>
  <c r="T284" i="11"/>
  <c r="S284" i="11"/>
  <c r="T283" i="11"/>
  <c r="S283" i="11"/>
  <c r="T282" i="11"/>
  <c r="S282" i="11"/>
  <c r="T281" i="11"/>
  <c r="S281" i="11"/>
  <c r="T279" i="11"/>
  <c r="S279" i="11"/>
  <c r="T278" i="11"/>
  <c r="S278" i="11"/>
  <c r="T277" i="11"/>
  <c r="S277" i="11"/>
  <c r="T276" i="11"/>
  <c r="S276" i="11"/>
  <c r="T274" i="11"/>
  <c r="S274" i="11"/>
  <c r="T273" i="11"/>
  <c r="S273" i="11"/>
  <c r="T272" i="11"/>
  <c r="S272" i="11"/>
  <c r="T271" i="11"/>
  <c r="S271" i="11"/>
  <c r="T269" i="11"/>
  <c r="S269" i="11"/>
  <c r="T268" i="11"/>
  <c r="S268" i="11"/>
  <c r="T267" i="11"/>
  <c r="S267" i="11"/>
  <c r="T266" i="11"/>
  <c r="S266" i="11"/>
  <c r="S264" i="11"/>
  <c r="T264" i="11"/>
  <c r="S263" i="11"/>
  <c r="T263" i="11"/>
  <c r="T262" i="11"/>
  <c r="S262" i="11"/>
  <c r="T261" i="11"/>
  <c r="S261" i="11"/>
  <c r="T259" i="11"/>
  <c r="S259" i="11"/>
  <c r="T258" i="11"/>
  <c r="S258" i="11"/>
  <c r="S257" i="11"/>
  <c r="T257" i="11"/>
  <c r="S256" i="11"/>
  <c r="T256" i="11"/>
  <c r="S254" i="11"/>
  <c r="T254" i="11"/>
  <c r="S253" i="11"/>
  <c r="T253" i="11"/>
  <c r="T252" i="11"/>
  <c r="S252" i="11"/>
  <c r="T251" i="11"/>
  <c r="S251" i="11"/>
  <c r="S250" i="11"/>
  <c r="T250" i="11"/>
  <c r="T248" i="11"/>
  <c r="S248" i="11"/>
  <c r="S247" i="11"/>
  <c r="T247" i="11"/>
  <c r="S246" i="11"/>
  <c r="T246" i="11"/>
  <c r="T245" i="11"/>
  <c r="S245" i="11"/>
  <c r="T243" i="11"/>
  <c r="S243" i="11"/>
  <c r="S242" i="11"/>
  <c r="T242" i="11"/>
  <c r="T241" i="11"/>
  <c r="S241" i="11"/>
  <c r="T240" i="11"/>
  <c r="S240" i="11"/>
  <c r="S238" i="11"/>
  <c r="T238" i="11"/>
  <c r="T237" i="11"/>
  <c r="S237" i="11"/>
  <c r="T236" i="11"/>
  <c r="S236" i="11"/>
  <c r="T235" i="11"/>
  <c r="S235" i="11"/>
  <c r="T233" i="11"/>
  <c r="S233" i="11"/>
  <c r="T232" i="11"/>
  <c r="S232" i="11"/>
  <c r="S231" i="11"/>
  <c r="T231" i="11"/>
  <c r="S230" i="11"/>
  <c r="T230" i="11"/>
  <c r="S228" i="11"/>
  <c r="T228" i="11"/>
  <c r="S227" i="11"/>
  <c r="T227" i="11"/>
  <c r="S226" i="11"/>
  <c r="T226" i="11"/>
  <c r="T225" i="11"/>
  <c r="S225" i="11"/>
  <c r="S223" i="11"/>
  <c r="T223" i="11"/>
  <c r="T222" i="11"/>
  <c r="S222" i="11"/>
  <c r="S221" i="11"/>
  <c r="T221" i="11"/>
  <c r="T220" i="11"/>
  <c r="S220" i="11"/>
  <c r="T218" i="11"/>
  <c r="S218" i="11"/>
  <c r="S217" i="11"/>
  <c r="T217" i="11"/>
  <c r="S216" i="11"/>
  <c r="T216" i="11"/>
  <c r="T215" i="11"/>
  <c r="S215" i="11"/>
  <c r="S213" i="11"/>
  <c r="T213" i="11"/>
  <c r="S212" i="11"/>
  <c r="T212" i="11"/>
  <c r="T211" i="11"/>
  <c r="S211" i="11"/>
  <c r="S210" i="11"/>
  <c r="T210" i="11"/>
  <c r="S209" i="11"/>
  <c r="T209" i="11"/>
  <c r="T207" i="11"/>
  <c r="S207" i="11"/>
  <c r="S206" i="11"/>
  <c r="T206" i="11"/>
  <c r="S205" i="11"/>
  <c r="T205" i="11"/>
  <c r="S204" i="11"/>
  <c r="T204" i="11"/>
  <c r="T202" i="11"/>
  <c r="S202" i="11"/>
  <c r="T201" i="11"/>
  <c r="S201" i="11"/>
  <c r="S200" i="11"/>
  <c r="T200" i="11"/>
  <c r="T199" i="11"/>
  <c r="S199" i="11"/>
  <c r="T197" i="11"/>
  <c r="S197" i="11"/>
  <c r="T196" i="11"/>
  <c r="S196" i="11"/>
  <c r="T195" i="11"/>
  <c r="S195" i="11"/>
  <c r="T194" i="11"/>
  <c r="S194" i="11"/>
  <c r="T192" i="11"/>
  <c r="S192" i="11"/>
  <c r="T191" i="11"/>
  <c r="S191" i="11"/>
  <c r="T190" i="11"/>
  <c r="S190" i="11"/>
  <c r="T189" i="11"/>
  <c r="S189" i="11"/>
  <c r="T187" i="11"/>
  <c r="S187" i="11"/>
  <c r="S186" i="11"/>
  <c r="T186" i="11"/>
  <c r="S185" i="11"/>
  <c r="T185" i="11"/>
  <c r="T184" i="11"/>
  <c r="S184" i="11"/>
  <c r="S182" i="11"/>
  <c r="T182" i="11"/>
  <c r="S181" i="11"/>
  <c r="T181" i="11"/>
  <c r="S180" i="11"/>
  <c r="T180" i="11"/>
  <c r="T179" i="11"/>
  <c r="S179" i="11"/>
  <c r="S177" i="11"/>
  <c r="T177" i="11"/>
  <c r="T176" i="11"/>
  <c r="S176" i="11"/>
  <c r="T175" i="11"/>
  <c r="S175" i="11"/>
  <c r="T174" i="11"/>
  <c r="S174" i="11"/>
  <c r="T172" i="11"/>
  <c r="S172" i="11"/>
  <c r="T171" i="11"/>
  <c r="S171" i="11"/>
  <c r="T170" i="11"/>
  <c r="S170" i="11"/>
  <c r="T169" i="11"/>
  <c r="S169" i="11"/>
  <c r="T168" i="11"/>
  <c r="S168" i="11"/>
  <c r="S166" i="11"/>
  <c r="S163" i="11"/>
  <c r="S161" i="11"/>
  <c r="T158" i="11"/>
  <c r="T156" i="11"/>
  <c r="S153" i="11"/>
  <c r="S151" i="11"/>
  <c r="T145" i="11"/>
  <c r="T144" i="11"/>
  <c r="S143" i="11"/>
  <c r="S141" i="11"/>
  <c r="S138" i="11"/>
  <c r="S136" i="11"/>
  <c r="S134" i="11"/>
  <c r="S131" i="11"/>
  <c r="T128" i="11"/>
  <c r="S127" i="11"/>
  <c r="T119" i="11"/>
  <c r="T118" i="11"/>
  <c r="S118" i="11"/>
  <c r="S117" i="11"/>
  <c r="T114" i="11"/>
  <c r="T113" i="11"/>
  <c r="T112" i="11"/>
  <c r="S112" i="11"/>
  <c r="T109" i="11"/>
  <c r="S107" i="11"/>
  <c r="S105" i="11"/>
  <c r="T98" i="11"/>
  <c r="T97" i="11"/>
  <c r="S97" i="11"/>
  <c r="S89" i="11"/>
  <c r="S86" i="11"/>
  <c r="S84" i="11"/>
  <c r="S90" i="11"/>
  <c r="T1536" i="11"/>
  <c r="T1918" i="11"/>
  <c r="S1918" i="11"/>
  <c r="T1910" i="11"/>
  <c r="T1908" i="11"/>
  <c r="S1908" i="11"/>
  <c r="T1899" i="11"/>
  <c r="T1896" i="11"/>
  <c r="S1896" i="11"/>
  <c r="T1892" i="11"/>
  <c r="S1892" i="11"/>
  <c r="S1890" i="11"/>
  <c r="T1890" i="11"/>
  <c r="T1886" i="11"/>
  <c r="S1886" i="11"/>
  <c r="S1882" i="11"/>
  <c r="T1881" i="11"/>
  <c r="T1875" i="11"/>
  <c r="S1866" i="11"/>
  <c r="T1788" i="11"/>
  <c r="S1788" i="11"/>
  <c r="S1786" i="11"/>
  <c r="T1786" i="11"/>
  <c r="T1784" i="11"/>
  <c r="S1784" i="11"/>
  <c r="S1783" i="11"/>
  <c r="T1783" i="11"/>
  <c r="S1779" i="11"/>
  <c r="T1779" i="11"/>
  <c r="S1777" i="11"/>
  <c r="T1777" i="11"/>
  <c r="T1774" i="11"/>
  <c r="S1774" i="11"/>
  <c r="S1773" i="11"/>
  <c r="T1773" i="11"/>
  <c r="T1766" i="11"/>
  <c r="S1766" i="11"/>
  <c r="T1765" i="11"/>
  <c r="S1765" i="11"/>
  <c r="S1764" i="11"/>
  <c r="T1764" i="11"/>
  <c r="T1759" i="11"/>
  <c r="S1759" i="11"/>
  <c r="S1750" i="11"/>
  <c r="T1750" i="11"/>
  <c r="S1026" i="11"/>
  <c r="T1026" i="11"/>
  <c r="T1016" i="11"/>
  <c r="S1016" i="11"/>
  <c r="S1012" i="11"/>
  <c r="T1012" i="11"/>
  <c r="T1006" i="11"/>
  <c r="S1006" i="11"/>
  <c r="S1001" i="11"/>
  <c r="T1001" i="11"/>
  <c r="T1000" i="11"/>
  <c r="S1000" i="11"/>
  <c r="S999" i="11"/>
  <c r="T999" i="11"/>
  <c r="S993" i="11"/>
  <c r="T993" i="11"/>
  <c r="T601" i="11"/>
  <c r="S601" i="11"/>
  <c r="S599" i="11"/>
  <c r="T599" i="11"/>
  <c r="T596" i="11"/>
  <c r="S596" i="11"/>
  <c r="S595" i="11"/>
  <c r="T595" i="11"/>
  <c r="S593" i="11"/>
  <c r="T593" i="11"/>
  <c r="T592" i="11"/>
  <c r="S592" i="11"/>
  <c r="S590" i="11"/>
  <c r="T590" i="11"/>
  <c r="S589" i="11"/>
  <c r="T589" i="11"/>
  <c r="T586" i="11"/>
  <c r="S586" i="11"/>
  <c r="S581" i="11"/>
  <c r="T581" i="11"/>
  <c r="T580" i="11"/>
  <c r="S580" i="11"/>
  <c r="T579" i="11"/>
  <c r="S579" i="11"/>
  <c r="S572" i="11"/>
  <c r="T572" i="11"/>
  <c r="S569" i="11"/>
  <c r="T569" i="11"/>
  <c r="S562" i="11"/>
  <c r="T562" i="11"/>
  <c r="T561" i="11"/>
  <c r="S561" i="11"/>
  <c r="S555" i="11"/>
  <c r="T555" i="11"/>
  <c r="T551" i="11"/>
  <c r="S551" i="11"/>
  <c r="S550" i="11"/>
  <c r="T550" i="11"/>
  <c r="T13" i="11"/>
  <c r="U13" i="11" s="1"/>
  <c r="S13" i="11"/>
  <c r="S12" i="11"/>
  <c r="T12" i="11"/>
  <c r="U12" i="11" s="1"/>
  <c r="S11" i="11"/>
  <c r="T11" i="11"/>
  <c r="U11" i="11" s="1"/>
  <c r="T10" i="11"/>
  <c r="U10" i="11" s="1"/>
  <c r="S10" i="11"/>
  <c r="T8" i="11"/>
  <c r="U8" i="11" s="1"/>
  <c r="S8" i="11"/>
  <c r="S7" i="11"/>
  <c r="T7" i="11"/>
  <c r="U7" i="11" s="1"/>
  <c r="S6" i="11"/>
  <c r="T6" i="11"/>
  <c r="U6" i="11" s="1"/>
  <c r="T5" i="11"/>
  <c r="U5" i="11" s="1"/>
  <c r="S5" i="11"/>
  <c r="T4" i="11"/>
  <c r="U4" i="11" s="1"/>
  <c r="S4" i="11"/>
  <c r="T3" i="11"/>
  <c r="U3" i="11" s="1"/>
  <c r="S3" i="11"/>
  <c r="S76" i="11"/>
  <c r="S74" i="11"/>
  <c r="T74" i="11"/>
  <c r="U74" i="11" s="1"/>
  <c r="S73" i="11"/>
  <c r="T73" i="11"/>
  <c r="U73" i="11" s="1"/>
  <c r="S72" i="11"/>
  <c r="T72" i="11"/>
  <c r="U72" i="11" s="1"/>
  <c r="S71" i="11"/>
  <c r="T71" i="11"/>
  <c r="U71" i="11" s="1"/>
  <c r="S69" i="11"/>
  <c r="T69" i="11"/>
  <c r="U69" i="11" s="1"/>
  <c r="T68" i="11"/>
  <c r="U68" i="11" s="1"/>
  <c r="S68" i="11"/>
  <c r="T67" i="11"/>
  <c r="U67" i="11" s="1"/>
  <c r="S67" i="11"/>
  <c r="T66" i="11"/>
  <c r="U66" i="11" s="1"/>
  <c r="S66" i="11"/>
  <c r="T64" i="11"/>
  <c r="U64" i="11" s="1"/>
  <c r="S64" i="11"/>
  <c r="T63" i="11"/>
  <c r="U63" i="11" s="1"/>
  <c r="S63" i="11"/>
  <c r="T62" i="11"/>
  <c r="U62" i="11" s="1"/>
  <c r="S62" i="11"/>
  <c r="S61" i="11"/>
  <c r="T61" i="11"/>
  <c r="U61" i="11" s="1"/>
  <c r="S59" i="11"/>
  <c r="T59" i="11"/>
  <c r="U59" i="11" s="1"/>
  <c r="T58" i="11"/>
  <c r="U58" i="11" s="1"/>
  <c r="S58" i="11"/>
  <c r="T57" i="11"/>
  <c r="U57" i="11" s="1"/>
  <c r="S57" i="11"/>
  <c r="T56" i="11"/>
  <c r="U56" i="11" s="1"/>
  <c r="S56" i="11"/>
  <c r="T54" i="11"/>
  <c r="U54" i="11" s="1"/>
  <c r="S54" i="11"/>
  <c r="T53" i="11"/>
  <c r="U53" i="11" s="1"/>
  <c r="S53" i="11"/>
  <c r="T52" i="11"/>
  <c r="U52" i="11" s="1"/>
  <c r="S52" i="11"/>
  <c r="T51" i="11"/>
  <c r="U51" i="11" s="1"/>
  <c r="S51" i="11"/>
  <c r="T49" i="11"/>
  <c r="U49" i="11" s="1"/>
  <c r="S49" i="11"/>
  <c r="T48" i="11"/>
  <c r="U48" i="11" s="1"/>
  <c r="S48" i="11"/>
  <c r="S47" i="11"/>
  <c r="T47" i="11"/>
  <c r="U47" i="11" s="1"/>
  <c r="T46" i="11"/>
  <c r="U46" i="11" s="1"/>
  <c r="S46" i="11"/>
  <c r="T76" i="11"/>
  <c r="U76" i="11" s="1"/>
  <c r="S45" i="11"/>
  <c r="S43" i="11"/>
  <c r="T43" i="11"/>
  <c r="U43" i="11" s="1"/>
  <c r="S42" i="11"/>
  <c r="T42" i="11"/>
  <c r="U42" i="11" s="1"/>
  <c r="T41" i="11"/>
  <c r="U41" i="11" s="1"/>
  <c r="S41" i="11"/>
  <c r="T40" i="11"/>
  <c r="U40" i="11" s="1"/>
  <c r="S40" i="11"/>
  <c r="S38" i="11"/>
  <c r="T38" i="11"/>
  <c r="U38" i="11" s="1"/>
  <c r="T37" i="11"/>
  <c r="U37" i="11" s="1"/>
  <c r="S37" i="11"/>
  <c r="S36" i="11"/>
  <c r="T36" i="11"/>
  <c r="U36" i="11" s="1"/>
  <c r="T35" i="11"/>
  <c r="U35" i="11" s="1"/>
  <c r="S35" i="11"/>
  <c r="S33" i="11"/>
  <c r="T33" i="11"/>
  <c r="U33" i="11" s="1"/>
  <c r="S32" i="11"/>
  <c r="T32" i="11"/>
  <c r="U32" i="11" s="1"/>
  <c r="T31" i="11"/>
  <c r="U31" i="11" s="1"/>
  <c r="S31" i="11"/>
  <c r="S30" i="11"/>
  <c r="T30" i="11"/>
  <c r="U30" i="11" s="1"/>
  <c r="S28" i="11"/>
  <c r="T28" i="11"/>
  <c r="U28" i="11" s="1"/>
  <c r="S27" i="11"/>
  <c r="T27" i="11"/>
  <c r="U27" i="11" s="1"/>
  <c r="S26" i="11"/>
  <c r="T26" i="11"/>
  <c r="U26" i="11" s="1"/>
  <c r="S25" i="11"/>
  <c r="T25" i="11"/>
  <c r="U25" i="11" s="1"/>
  <c r="S23" i="11"/>
  <c r="T23" i="11"/>
  <c r="U23" i="11" s="1"/>
  <c r="S22" i="11"/>
  <c r="T22" i="11"/>
  <c r="U22" i="11" s="1"/>
  <c r="S21" i="11"/>
  <c r="T21" i="11"/>
  <c r="U21" i="11" s="1"/>
  <c r="T20" i="11"/>
  <c r="U20" i="11" s="1"/>
  <c r="S20" i="11"/>
  <c r="T18" i="11"/>
  <c r="U18" i="11" s="1"/>
  <c r="S18" i="11"/>
  <c r="S17" i="11"/>
  <c r="T17" i="11"/>
  <c r="U17" i="11" s="1"/>
  <c r="S16" i="11"/>
  <c r="T16" i="11"/>
  <c r="U16" i="11" s="1"/>
  <c r="T15" i="11"/>
  <c r="U15" i="11" s="1"/>
  <c r="S15" i="11"/>
  <c r="T45" i="11"/>
  <c r="U45" i="11" s="1"/>
  <c r="AI1" i="11" l="1"/>
  <c r="AB10" i="12"/>
  <c r="AB9" i="12"/>
  <c r="AI2" i="11"/>
  <c r="AL1" i="11"/>
  <c r="BA5" i="12"/>
  <c r="U81" i="11"/>
  <c r="U79" i="11"/>
  <c r="U78" i="11"/>
  <c r="U77" i="11"/>
  <c r="U94" i="11"/>
  <c r="U93" i="11"/>
  <c r="U92" i="11"/>
  <c r="U95" i="11"/>
  <c r="U90" i="11"/>
  <c r="U89" i="11"/>
  <c r="U88" i="11"/>
  <c r="U87" i="11"/>
  <c r="U86" i="11"/>
  <c r="U84" i="11"/>
  <c r="U83" i="11"/>
  <c r="U82" i="11"/>
  <c r="Q609" i="11" l="1"/>
  <c r="Q613" i="11"/>
  <c r="Q628" i="11"/>
  <c r="Q631" i="11"/>
  <c r="Q637" i="11"/>
  <c r="Q645" i="11"/>
  <c r="Q648" i="11"/>
  <c r="Q1050" i="11"/>
  <c r="Q1062" i="11"/>
  <c r="Q1070" i="11"/>
  <c r="Q1086" i="11"/>
  <c r="Q1406" i="11"/>
  <c r="Q1409" i="11"/>
  <c r="Q1414" i="11"/>
  <c r="Q1416" i="11"/>
  <c r="Q1426" i="11"/>
  <c r="Q1430" i="11"/>
  <c r="Q1435" i="11"/>
  <c r="Q1444" i="11"/>
  <c r="Q1447" i="11"/>
  <c r="Q1450" i="11"/>
  <c r="Q1451" i="11"/>
  <c r="Q1453" i="11"/>
  <c r="Q1456" i="11"/>
  <c r="Q1459" i="11"/>
  <c r="Q1461" i="11"/>
  <c r="Q1462" i="11"/>
  <c r="Q1464" i="11"/>
  <c r="Q1467" i="11"/>
  <c r="Q1471" i="11"/>
  <c r="Q1476" i="11"/>
  <c r="Q1479" i="11"/>
  <c r="Q1499" i="11"/>
  <c r="Q1502" i="11"/>
  <c r="Q1514" i="11"/>
  <c r="Q1516" i="11"/>
  <c r="Q1518" i="11"/>
  <c r="Q1519" i="11"/>
  <c r="Q1521" i="11"/>
  <c r="Q1524" i="11"/>
  <c r="Q1526" i="11"/>
  <c r="Q1527" i="11"/>
  <c r="Q1528" i="11"/>
  <c r="Q1530" i="11"/>
  <c r="Q1531" i="11"/>
  <c r="Q1544" i="11"/>
  <c r="Q1552" i="11"/>
  <c r="Q1569" i="11"/>
  <c r="Q1580" i="11"/>
  <c r="Q1582" i="11"/>
  <c r="Q1587" i="11"/>
  <c r="Q1594" i="11"/>
  <c r="Q1598" i="11"/>
  <c r="Q1600" i="11"/>
  <c r="Q1602" i="11"/>
  <c r="Q1615" i="11"/>
  <c r="Q1616" i="11"/>
  <c r="Q1635" i="11"/>
  <c r="Q1636" i="11"/>
  <c r="Q1642" i="11"/>
  <c r="Q1647" i="11"/>
  <c r="Q1652" i="11"/>
  <c r="Q1792" i="11"/>
  <c r="Q1796" i="11"/>
  <c r="Q1798" i="11"/>
  <c r="Q1800" i="11"/>
  <c r="Q1802" i="11"/>
  <c r="Q1803" i="11"/>
  <c r="Q1805" i="11"/>
  <c r="Q1806" i="11"/>
  <c r="Q1807" i="11"/>
  <c r="Q1808" i="11"/>
  <c r="Q1810" i="11"/>
  <c r="Q1811" i="11"/>
  <c r="Q1813" i="11"/>
  <c r="Q1815" i="11"/>
  <c r="Q1816" i="11"/>
  <c r="Q1817" i="11"/>
  <c r="Q1818" i="11"/>
  <c r="Q1819" i="11"/>
  <c r="Q1820" i="11"/>
  <c r="Q1821" i="11"/>
  <c r="Q1823" i="11"/>
  <c r="Q1824" i="11"/>
  <c r="Q1826" i="11"/>
  <c r="Q1828" i="11"/>
  <c r="Q1829" i="11"/>
  <c r="Q1831" i="11"/>
  <c r="Q1832" i="11"/>
  <c r="Q1833" i="11"/>
  <c r="Q1834" i="11"/>
  <c r="Q1837" i="11"/>
  <c r="Q1840" i="11"/>
  <c r="Q1841" i="11"/>
  <c r="Q1843" i="11"/>
  <c r="Q1845" i="11"/>
  <c r="Q1847" i="11"/>
  <c r="Q1848" i="11"/>
  <c r="Q1849" i="11"/>
  <c r="Q1851" i="11"/>
  <c r="Q1852" i="11"/>
  <c r="Q1853" i="11"/>
  <c r="Q1855" i="11"/>
  <c r="Q1863" i="11"/>
  <c r="Q1865" i="11"/>
  <c r="Q1866" i="11"/>
  <c r="Q1872" i="11"/>
  <c r="Q1874" i="11"/>
  <c r="Q1876" i="11"/>
  <c r="Q1878" i="11"/>
  <c r="Q1879" i="11"/>
  <c r="Q1887" i="11"/>
  <c r="Q1889" i="11"/>
  <c r="Q1893" i="11"/>
  <c r="Q1897" i="11"/>
  <c r="Q1899" i="11"/>
  <c r="Q1906" i="11"/>
  <c r="Q1910" i="11"/>
  <c r="Q1911" i="11"/>
  <c r="Q1912" i="11"/>
  <c r="Q1917" i="11"/>
  <c r="Q1921" i="11"/>
  <c r="Q303" i="11"/>
  <c r="Q323" i="11"/>
  <c r="Q451" i="11"/>
  <c r="Q504" i="11"/>
  <c r="Q519" i="11"/>
  <c r="Q532" i="11"/>
  <c r="Q535" i="11"/>
  <c r="Q538" i="11"/>
  <c r="Q541" i="11"/>
  <c r="Q546" i="11"/>
  <c r="Q550" i="11"/>
  <c r="Q557" i="11"/>
  <c r="Q567" i="11"/>
  <c r="Q577" i="11"/>
  <c r="Q598" i="11"/>
  <c r="Q647" i="11"/>
  <c r="Q655" i="11"/>
  <c r="Q659" i="11"/>
  <c r="Q662" i="11"/>
  <c r="Q663" i="11"/>
  <c r="Q665" i="11"/>
  <c r="Q670" i="11"/>
  <c r="Q673" i="11"/>
  <c r="Q674" i="11"/>
  <c r="Q676" i="11"/>
  <c r="Q677" i="11"/>
  <c r="Q680" i="11"/>
  <c r="Q681" i="11"/>
  <c r="Q683" i="11"/>
  <c r="Q685" i="11"/>
  <c r="Q687" i="11"/>
  <c r="Q688" i="11"/>
  <c r="Q689" i="11"/>
  <c r="Q690" i="11"/>
  <c r="Q693" i="11"/>
  <c r="Q694" i="11"/>
  <c r="Q695" i="11"/>
  <c r="Q696" i="11"/>
  <c r="Q697" i="11"/>
  <c r="Q698" i="11"/>
  <c r="Q699" i="11"/>
  <c r="Q700" i="11"/>
  <c r="Q701" i="11"/>
  <c r="Q703" i="11"/>
  <c r="Q704" i="11"/>
  <c r="Q705" i="11"/>
  <c r="Q706" i="11"/>
  <c r="Q707" i="11"/>
  <c r="Q708" i="11"/>
  <c r="Q709" i="11"/>
  <c r="Q710" i="11"/>
  <c r="Q711" i="11"/>
  <c r="Q712" i="11"/>
  <c r="Q713" i="11"/>
  <c r="Q714" i="11"/>
  <c r="Q715" i="11"/>
  <c r="Q716" i="11"/>
  <c r="Q717" i="11"/>
  <c r="Q718" i="11"/>
  <c r="Q719" i="11"/>
  <c r="Q720" i="11"/>
  <c r="Q721" i="11"/>
  <c r="Q722" i="11"/>
  <c r="Q723" i="11"/>
  <c r="Q724" i="11"/>
  <c r="Q725" i="11"/>
  <c r="Q726" i="11"/>
  <c r="Q727" i="11"/>
  <c r="Q728" i="11"/>
  <c r="Q729" i="11"/>
  <c r="Q730" i="11"/>
  <c r="Q731" i="11"/>
  <c r="Q732" i="11"/>
  <c r="Q733" i="11"/>
  <c r="Q734" i="11"/>
  <c r="Q735" i="11"/>
  <c r="Q736" i="11"/>
  <c r="Q737" i="11"/>
  <c r="Q738" i="11"/>
  <c r="Q739" i="11"/>
  <c r="Q740" i="11"/>
  <c r="Q741" i="11"/>
  <c r="Q742" i="11"/>
  <c r="Q743" i="11"/>
  <c r="Q744" i="11"/>
  <c r="Q745" i="11"/>
  <c r="Q746" i="11"/>
  <c r="Q747" i="11"/>
  <c r="Q748" i="11"/>
  <c r="Q749" i="11"/>
  <c r="Q750" i="11"/>
  <c r="Q752" i="11"/>
  <c r="Q753" i="11"/>
  <c r="Q755" i="11"/>
  <c r="Q756" i="11"/>
  <c r="Q757" i="11"/>
  <c r="Q759" i="11"/>
  <c r="Q761" i="11"/>
  <c r="Q763" i="11"/>
  <c r="Q764" i="11"/>
  <c r="Q767" i="11"/>
  <c r="Q771" i="11"/>
  <c r="Q774" i="11"/>
  <c r="Q775" i="11"/>
  <c r="Q777" i="11"/>
  <c r="Q781" i="11"/>
  <c r="Q784" i="11"/>
  <c r="Q788" i="11"/>
  <c r="Q789" i="11"/>
  <c r="Q791" i="11"/>
  <c r="Q796" i="11"/>
  <c r="Q798" i="11"/>
  <c r="Q802" i="11"/>
  <c r="Q804" i="11"/>
  <c r="Q807" i="11"/>
  <c r="Q812" i="11"/>
  <c r="Q813" i="11"/>
  <c r="Q814" i="11"/>
  <c r="Q816" i="11"/>
  <c r="Q817" i="11"/>
  <c r="Q822" i="11"/>
  <c r="Q829" i="11"/>
  <c r="Q830" i="11"/>
  <c r="Q833" i="11"/>
  <c r="Q835" i="11"/>
  <c r="Q837" i="11"/>
  <c r="Q838" i="11"/>
  <c r="Q840" i="11"/>
  <c r="Q843" i="11"/>
  <c r="Q844" i="11"/>
  <c r="Q845" i="11"/>
  <c r="Q849" i="11"/>
  <c r="Q852" i="11"/>
  <c r="Q854" i="11"/>
  <c r="Q856" i="11"/>
  <c r="Q861" i="11"/>
  <c r="Q862" i="11"/>
  <c r="Q864" i="11"/>
  <c r="Q866" i="11"/>
  <c r="Q867" i="11"/>
  <c r="Q869" i="11"/>
  <c r="Q871" i="11"/>
  <c r="Q875" i="11"/>
  <c r="Q877" i="11"/>
  <c r="Q878" i="11"/>
  <c r="Q879" i="11"/>
  <c r="Q880" i="11"/>
  <c r="Q881" i="11"/>
  <c r="Q882" i="11"/>
  <c r="Q883" i="11"/>
  <c r="Q884" i="11"/>
  <c r="Q885" i="11"/>
  <c r="Q886" i="11"/>
  <c r="Q887" i="11"/>
  <c r="Q888" i="11"/>
  <c r="Q889" i="11"/>
  <c r="Q890" i="11"/>
  <c r="Q891" i="11"/>
  <c r="Q894" i="11"/>
  <c r="Q896" i="11"/>
  <c r="Q898" i="11"/>
  <c r="Q900" i="11"/>
  <c r="Q901" i="11"/>
  <c r="Q902" i="11"/>
  <c r="Q903" i="11"/>
  <c r="Q906" i="11"/>
  <c r="Q907" i="11"/>
  <c r="Q908" i="11"/>
  <c r="Q911" i="11"/>
  <c r="Q915" i="11"/>
  <c r="Q916" i="11"/>
  <c r="Q917" i="11"/>
  <c r="Q918" i="11"/>
  <c r="Q921" i="11"/>
  <c r="Q926" i="11"/>
  <c r="Q928" i="11"/>
  <c r="Q929" i="11"/>
  <c r="Q931" i="11"/>
  <c r="Q935" i="11"/>
  <c r="Q936" i="11"/>
  <c r="Q937" i="11"/>
  <c r="Q939" i="11"/>
  <c r="Q943" i="11"/>
  <c r="Q945" i="11"/>
  <c r="Q948" i="11"/>
  <c r="Q950" i="11"/>
  <c r="Q953" i="11"/>
  <c r="Q954" i="11"/>
  <c r="Q955" i="11"/>
  <c r="Q958" i="11"/>
  <c r="Q960" i="11"/>
  <c r="Q961" i="11"/>
  <c r="Q963" i="11"/>
  <c r="Q970" i="11"/>
  <c r="Q971" i="11"/>
  <c r="Q974" i="11"/>
  <c r="Q975" i="11"/>
  <c r="Q976" i="11"/>
  <c r="Q977" i="11"/>
  <c r="Q978" i="11"/>
  <c r="Q979" i="11"/>
  <c r="Q980" i="11"/>
  <c r="Q982" i="11"/>
  <c r="Q983" i="11"/>
  <c r="Q984" i="11"/>
  <c r="Q987" i="11"/>
  <c r="Q990" i="11"/>
  <c r="Q991" i="11"/>
  <c r="Q995" i="11"/>
  <c r="Q998" i="11"/>
  <c r="Q999" i="11"/>
  <c r="Q1002" i="11"/>
  <c r="Q1003" i="11"/>
  <c r="Q1006" i="11"/>
  <c r="Q1008" i="11"/>
  <c r="Q1009" i="11"/>
  <c r="Q1012" i="11"/>
  <c r="Q1016" i="11"/>
  <c r="Q1017" i="11"/>
  <c r="Q1018" i="11"/>
  <c r="Q1021" i="11"/>
  <c r="Q1023" i="11"/>
  <c r="Q621" i="11"/>
  <c r="Q632" i="11"/>
  <c r="Q1028" i="11"/>
  <c r="Q1040" i="11"/>
  <c r="Q1048" i="11"/>
  <c r="Q1051" i="11"/>
  <c r="Q1054" i="11"/>
  <c r="Q1079" i="11"/>
  <c r="Q1097" i="11"/>
  <c r="Q1100" i="11"/>
  <c r="Q1105" i="11"/>
  <c r="Q1107" i="11"/>
  <c r="Q1108" i="11"/>
  <c r="Q1109" i="11"/>
  <c r="Q1111" i="11"/>
  <c r="Q1118" i="11"/>
  <c r="Q1119" i="11"/>
  <c r="Q1123" i="11"/>
  <c r="Q1124" i="11"/>
  <c r="Q1125" i="11"/>
  <c r="Q1128" i="11"/>
  <c r="Q1129" i="11"/>
  <c r="Q1135" i="11"/>
  <c r="Q1137" i="11"/>
  <c r="Q1141" i="11"/>
  <c r="Q1142" i="11"/>
  <c r="Q1143" i="11"/>
  <c r="Q1144" i="11"/>
  <c r="Q1147" i="11"/>
  <c r="Q1148" i="11"/>
  <c r="Q1149" i="11"/>
  <c r="Q1150" i="11"/>
  <c r="Q1151" i="11"/>
  <c r="Q1155" i="11"/>
  <c r="Q1158" i="11"/>
  <c r="Q1159" i="11"/>
  <c r="Q1161" i="11"/>
  <c r="Q1164" i="11"/>
  <c r="Q1167" i="11"/>
  <c r="Q1169" i="11"/>
  <c r="Q1170" i="11"/>
  <c r="Q1171" i="11"/>
  <c r="Q1177" i="11"/>
  <c r="Q1179" i="11"/>
  <c r="Q1180" i="11"/>
  <c r="Q1181" i="11"/>
  <c r="Q1182" i="11"/>
  <c r="Q1183" i="11"/>
  <c r="Q1187" i="11"/>
  <c r="Q1191" i="11"/>
  <c r="Q1196" i="11"/>
  <c r="Q1197" i="11"/>
  <c r="Q1198" i="11"/>
  <c r="Q1199" i="11"/>
  <c r="Q1201" i="11"/>
  <c r="Q1210" i="11"/>
  <c r="Q1211" i="11"/>
  <c r="Q1212" i="11"/>
  <c r="Q1213" i="11"/>
  <c r="Q1214" i="11"/>
  <c r="Q1219" i="11"/>
  <c r="Q1227" i="11"/>
  <c r="Q1230" i="11"/>
  <c r="Q1243" i="11"/>
  <c r="Q1246" i="11"/>
  <c r="Q1247" i="11"/>
  <c r="Q1249" i="11"/>
  <c r="Q1254" i="11"/>
  <c r="Q1256" i="11"/>
  <c r="Q1257" i="11"/>
  <c r="Q1260" i="11"/>
  <c r="Q1261" i="11"/>
  <c r="Q1262" i="11"/>
  <c r="Q1263" i="11"/>
  <c r="Q1265" i="11"/>
  <c r="Q1266" i="11"/>
  <c r="Q1267" i="11"/>
  <c r="Q1268" i="11"/>
  <c r="Q1269" i="11"/>
  <c r="Q1270" i="11"/>
  <c r="Q1271" i="11"/>
  <c r="Q1272" i="11"/>
  <c r="Q1273" i="1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319" i="11"/>
  <c r="Q1320" i="11"/>
  <c r="Q1321" i="11"/>
  <c r="Q1322" i="11"/>
  <c r="Q1323" i="11"/>
  <c r="Q1324" i="11"/>
  <c r="Q1325" i="11"/>
  <c r="Q1326" i="11"/>
  <c r="Q1327" i="11"/>
  <c r="Q1328" i="11"/>
  <c r="Q1329" i="11"/>
  <c r="Q1330" i="11"/>
  <c r="Q1331" i="11"/>
  <c r="Q1332" i="11"/>
  <c r="Q1333" i="11"/>
  <c r="Q1334" i="11"/>
  <c r="Q1335" i="11"/>
  <c r="Q1336" i="11"/>
  <c r="Q1337" i="11"/>
  <c r="Q1338" i="11"/>
  <c r="Q1339" i="11"/>
  <c r="Q1340" i="11"/>
  <c r="Q1341" i="11"/>
  <c r="Q1342" i="11"/>
  <c r="Q1343" i="11"/>
  <c r="Q1344" i="11"/>
  <c r="Q1345" i="11"/>
  <c r="Q1346" i="11"/>
  <c r="Q1347" i="11"/>
  <c r="Q1348" i="11"/>
  <c r="Q1349" i="11"/>
  <c r="Q1350" i="11"/>
  <c r="Q1351" i="11"/>
  <c r="Q1352" i="11"/>
  <c r="Q1353" i="11"/>
  <c r="Q1354" i="11"/>
  <c r="Q1355" i="11"/>
  <c r="Q1356" i="11"/>
  <c r="Q1357" i="11"/>
  <c r="Q1358" i="11"/>
  <c r="Q1359" i="11"/>
  <c r="Q1360" i="11"/>
  <c r="Q1361" i="11"/>
  <c r="Q1362" i="11"/>
  <c r="Q1363" i="11"/>
  <c r="Q1364" i="11"/>
  <c r="Q1365" i="11"/>
  <c r="Q1366" i="11"/>
  <c r="Q1367" i="11"/>
  <c r="Q1368" i="11"/>
  <c r="Q1369" i="11"/>
  <c r="Q1370" i="11"/>
  <c r="Q1371" i="11"/>
  <c r="Q1372" i="11"/>
  <c r="Q1373" i="11"/>
  <c r="Q1374" i="11"/>
  <c r="Q1375" i="11"/>
  <c r="Q1376" i="11"/>
  <c r="Q1377" i="11"/>
  <c r="Q1378" i="11"/>
  <c r="Q1379" i="11"/>
  <c r="Q1380" i="11"/>
  <c r="Q1381" i="11"/>
  <c r="Q1382" i="11"/>
  <c r="Q1383" i="11"/>
  <c r="Q505" i="11"/>
  <c r="Q518" i="11"/>
  <c r="Q537" i="11"/>
  <c r="Q543" i="11"/>
  <c r="Q547" i="11"/>
  <c r="Q564" i="11"/>
  <c r="Q581" i="11"/>
  <c r="Q657" i="11"/>
  <c r="Q1390" i="11"/>
  <c r="Q1392" i="11"/>
  <c r="Q1395" i="11"/>
  <c r="Q1397" i="11"/>
  <c r="Q1402" i="11"/>
  <c r="Q636" i="11"/>
  <c r="Q1043" i="11"/>
  <c r="Q1060" i="11"/>
  <c r="Q1078" i="11"/>
  <c r="Q1405" i="11"/>
  <c r="Q1413" i="11"/>
  <c r="Q1427" i="11"/>
  <c r="Q1436" i="11"/>
  <c r="Q1443" i="11"/>
  <c r="Q1454" i="11"/>
  <c r="Q1480" i="11"/>
  <c r="Q1490" i="11"/>
  <c r="Q1494" i="11"/>
  <c r="Q1508" i="11"/>
  <c r="Q1513" i="11"/>
  <c r="Q1523" i="11"/>
  <c r="Q1554" i="11"/>
  <c r="Q1557" i="11"/>
  <c r="Q1610" i="11"/>
  <c r="Q1617" i="11"/>
  <c r="Q1623" i="11"/>
  <c r="Q1633" i="11"/>
  <c r="Q1639" i="11"/>
  <c r="Q1660" i="11"/>
  <c r="Q1661" i="11"/>
  <c r="Q1665" i="11"/>
  <c r="Q1670" i="11"/>
  <c r="Q1672" i="11"/>
  <c r="Q1673" i="11"/>
  <c r="Q1674" i="11"/>
  <c r="Q1677" i="11"/>
  <c r="Q1679" i="11"/>
  <c r="Q1680" i="11"/>
  <c r="Q1681" i="11"/>
  <c r="Q1682" i="11"/>
  <c r="Q1687" i="11"/>
  <c r="Q1688" i="11"/>
  <c r="Q1689" i="11"/>
  <c r="Q1690" i="11"/>
  <c r="Q1693" i="11"/>
  <c r="Q1695" i="11"/>
  <c r="Q1696" i="11"/>
  <c r="Q1698" i="11"/>
  <c r="Q1699" i="11"/>
  <c r="Q1700" i="11"/>
  <c r="Q1704" i="11"/>
  <c r="Q1706" i="11"/>
  <c r="Q1715" i="11"/>
  <c r="Q1717" i="11"/>
  <c r="Q1719" i="11"/>
  <c r="Q1720" i="11"/>
  <c r="Q1721" i="11"/>
  <c r="Q1722" i="11"/>
  <c r="Q1724" i="11"/>
  <c r="Q1725" i="11"/>
  <c r="Q1726" i="11"/>
  <c r="Q1728" i="11"/>
  <c r="Q1732" i="11"/>
  <c r="Q1733" i="11"/>
  <c r="Q1734" i="11"/>
  <c r="Q1735" i="11"/>
  <c r="Q1736" i="11"/>
  <c r="Q1737" i="11"/>
  <c r="Q1738" i="11"/>
  <c r="Q1739" i="11"/>
  <c r="Q1741" i="11"/>
  <c r="Q1744" i="11"/>
  <c r="Q1747" i="11"/>
  <c r="Q1748" i="11"/>
  <c r="Q1749" i="11"/>
  <c r="Q1750" i="11"/>
  <c r="Q1751" i="11"/>
  <c r="Q1752" i="11"/>
  <c r="Q1754" i="11"/>
  <c r="Q1757" i="11"/>
  <c r="Q1758" i="11"/>
  <c r="Q1760" i="11"/>
  <c r="Q1761" i="11"/>
  <c r="Q1768" i="11"/>
  <c r="Q1770" i="11"/>
  <c r="Q1771" i="11"/>
  <c r="Q1775" i="11"/>
  <c r="Q1779" i="11"/>
  <c r="Q1786" i="11"/>
  <c r="Q610" i="11"/>
  <c r="Q620" i="11"/>
  <c r="Q627" i="11"/>
  <c r="Q635" i="11"/>
  <c r="Q639" i="11"/>
  <c r="Q644" i="11"/>
  <c r="Q649" i="11"/>
  <c r="Q1029" i="11"/>
  <c r="Q1033" i="11"/>
  <c r="Q1052" i="11"/>
  <c r="Q1055" i="11"/>
  <c r="Q1064" i="11"/>
  <c r="Q1077" i="11"/>
  <c r="Q1080" i="11"/>
  <c r="Q1095" i="11"/>
  <c r="Q1404" i="11"/>
  <c r="Q1408" i="11"/>
  <c r="Q1412" i="11"/>
  <c r="Q1418" i="11"/>
  <c r="Q1419" i="11"/>
  <c r="Q1422" i="11"/>
  <c r="Q1423" i="11"/>
  <c r="Q1428" i="11"/>
  <c r="Q1429" i="11"/>
  <c r="Q1433" i="11"/>
  <c r="Q1438" i="11"/>
  <c r="Q1440" i="11"/>
  <c r="Q1441" i="11"/>
  <c r="Q1445" i="11"/>
  <c r="Q1448" i="11"/>
  <c r="Q1452" i="11"/>
  <c r="Q1455" i="11"/>
  <c r="Q1458" i="11"/>
  <c r="Q1463" i="11"/>
  <c r="Q1466" i="11"/>
  <c r="Q1468" i="11"/>
  <c r="Q1470" i="11"/>
  <c r="Q1473" i="11"/>
  <c r="Q1475" i="11"/>
  <c r="Q1477" i="11"/>
  <c r="Q1478" i="11"/>
  <c r="Q1484" i="11"/>
  <c r="Q1485" i="11"/>
  <c r="Q1486" i="11"/>
  <c r="Q1487" i="11"/>
  <c r="Q1492" i="11"/>
  <c r="Q1493" i="11"/>
  <c r="Q1497" i="11"/>
  <c r="Q1500" i="11"/>
  <c r="Q1507" i="11"/>
  <c r="Q1509" i="11"/>
  <c r="Q1510" i="11"/>
  <c r="Q1522" i="11"/>
  <c r="Q1525" i="11"/>
  <c r="Q1529" i="11"/>
  <c r="Q1537" i="11"/>
  <c r="Q1545" i="11"/>
  <c r="Q1547" i="11"/>
  <c r="Q1550" i="11"/>
  <c r="Q1555" i="11"/>
  <c r="Q1556" i="11"/>
  <c r="Q1559" i="11"/>
  <c r="Q1563" i="11"/>
  <c r="Q1566" i="11"/>
  <c r="Q1571" i="11"/>
  <c r="Q1578" i="11"/>
  <c r="Q1581" i="11"/>
  <c r="Q1595" i="11"/>
  <c r="Q1603" i="11"/>
  <c r="Q1630" i="11"/>
  <c r="Q1638" i="11"/>
  <c r="Q1645" i="11"/>
  <c r="Q1650" i="11"/>
  <c r="Q1791" i="11"/>
  <c r="Q1793" i="11"/>
  <c r="Q1801" i="11"/>
  <c r="Q1804" i="11"/>
  <c r="Q1809" i="11"/>
  <c r="Q1812" i="11"/>
  <c r="Q1814" i="11"/>
  <c r="Q1822" i="11"/>
  <c r="Q1825" i="11"/>
  <c r="Q1827" i="11"/>
  <c r="Q1830" i="11"/>
  <c r="Q1835" i="11"/>
  <c r="Q1836" i="11"/>
  <c r="Q1838" i="11"/>
  <c r="Q1839" i="11"/>
  <c r="Q1842" i="11"/>
  <c r="Q1844" i="11"/>
  <c r="Q1846" i="11"/>
  <c r="Q1850" i="11"/>
  <c r="Q1854" i="11"/>
  <c r="Q1857" i="11"/>
  <c r="Q1859" i="11"/>
  <c r="Q1870" i="11"/>
  <c r="Q1873" i="11"/>
  <c r="Q1892" i="11"/>
  <c r="Q1894" i="11"/>
  <c r="Q1895" i="11"/>
  <c r="Q1898" i="11"/>
  <c r="Q1901" i="11"/>
  <c r="Q1903" i="11"/>
  <c r="Q1908" i="11"/>
  <c r="Q1920" i="11"/>
  <c r="Q1922" i="11"/>
  <c r="Q1924" i="11"/>
  <c r="Q1928" i="11"/>
  <c r="Q496" i="11"/>
  <c r="Q529" i="11"/>
  <c r="Q530" i="11"/>
  <c r="Q534" i="11"/>
  <c r="Q544" i="11"/>
  <c r="Q548" i="11"/>
  <c r="Q555" i="11"/>
  <c r="Q558" i="11"/>
  <c r="Q563" i="11"/>
  <c r="Q566" i="11"/>
  <c r="Q568" i="11"/>
  <c r="Q573" i="11"/>
  <c r="Q575" i="11"/>
  <c r="Q602" i="11"/>
  <c r="Q606" i="11"/>
  <c r="Q641" i="11"/>
  <c r="Q651" i="11"/>
  <c r="Q656" i="11"/>
  <c r="Q1386" i="11"/>
  <c r="Q1388" i="11"/>
  <c r="Q1393" i="11"/>
  <c r="Q1394" i="11"/>
  <c r="Q1398" i="11"/>
  <c r="Q1400" i="11"/>
  <c r="Q607" i="11"/>
  <c r="Q619" i="11"/>
  <c r="Q629" i="11"/>
  <c r="Q633" i="11"/>
  <c r="Q1034" i="11"/>
  <c r="Q1041" i="11"/>
  <c r="Q1047" i="11"/>
  <c r="Q1053" i="11"/>
  <c r="Q1059" i="11"/>
  <c r="Q1073" i="11"/>
  <c r="Q1411" i="11"/>
  <c r="Q1420" i="11"/>
  <c r="Q1424" i="11"/>
  <c r="Q1434" i="11"/>
  <c r="Q1439" i="11"/>
  <c r="Q1460" i="11"/>
  <c r="Q1465" i="11"/>
  <c r="Q1469" i="11"/>
  <c r="Q1472" i="11"/>
  <c r="Q1481" i="11"/>
  <c r="Q1489" i="11"/>
  <c r="Q1491" i="11"/>
  <c r="Q1498" i="11"/>
  <c r="Q1505" i="11"/>
  <c r="Q1511" i="11"/>
  <c r="Q1515" i="11"/>
  <c r="Q1532" i="11"/>
  <c r="Q1588" i="11"/>
  <c r="Q1605" i="11"/>
  <c r="Q1619" i="11"/>
  <c r="Q1648" i="11"/>
  <c r="Q1653" i="11"/>
  <c r="Q1657" i="11"/>
  <c r="Q1506" i="11"/>
  <c r="Q1503" i="11"/>
  <c r="Q1206" i="11"/>
  <c r="Q1174" i="11"/>
  <c r="Q1014" i="11"/>
  <c r="Q1914" i="11"/>
  <c r="Q1913" i="11"/>
  <c r="Q1907" i="11"/>
  <c r="Q1881" i="11"/>
  <c r="Q1880" i="11"/>
  <c r="Q1877" i="11"/>
  <c r="Q1868" i="11"/>
  <c r="Q1862" i="11"/>
  <c r="Q1767" i="11"/>
  <c r="Q1755" i="11"/>
  <c r="Q1742" i="11"/>
  <c r="Q1716" i="11"/>
  <c r="Q1701" i="11"/>
  <c r="Q1643" i="11"/>
  <c r="Q1640" i="11"/>
  <c r="Q1625" i="11"/>
  <c r="Q1618" i="11"/>
  <c r="Q1606" i="11"/>
  <c r="Q1562" i="11"/>
  <c r="Q1542" i="11"/>
  <c r="Q1258" i="11"/>
  <c r="Q1204" i="11"/>
  <c r="Q1203" i="11"/>
  <c r="Q1160" i="11"/>
  <c r="Q1134" i="11"/>
  <c r="Q1092" i="11"/>
  <c r="Q1091" i="11"/>
  <c r="Q1045" i="11"/>
  <c r="Q1037" i="11"/>
  <c r="Q616" i="11"/>
  <c r="Q605" i="11"/>
  <c r="Q591" i="11"/>
  <c r="Q562" i="11"/>
  <c r="Q1923" i="11"/>
  <c r="Q1909" i="11"/>
  <c r="Q1900" i="11"/>
  <c r="Q1896" i="11"/>
  <c r="Q1891" i="11"/>
  <c r="Q1890" i="11"/>
  <c r="Q1882" i="11"/>
  <c r="Q1864" i="11"/>
  <c r="Q1860" i="11"/>
  <c r="Q1790" i="11"/>
  <c r="Q1787" i="11"/>
  <c r="Q1784" i="11"/>
  <c r="Q1777" i="11"/>
  <c r="Q1773" i="11"/>
  <c r="Q1769" i="11"/>
  <c r="Q1729" i="11"/>
  <c r="Q1713" i="11"/>
  <c r="Q1712" i="11"/>
  <c r="Q1668" i="11"/>
  <c r="Q1658" i="11"/>
  <c r="Q1592" i="11"/>
  <c r="Q1560" i="11"/>
  <c r="Q1548" i="11"/>
  <c r="Q1534" i="11"/>
  <c r="Q1533" i="11"/>
  <c r="Q1231" i="11"/>
  <c r="Q1226" i="11"/>
  <c r="Q1225" i="11"/>
  <c r="Q1200" i="11"/>
  <c r="Q1175" i="11"/>
  <c r="Q1110" i="11"/>
  <c r="Q1102" i="11"/>
  <c r="Q1011" i="11"/>
  <c r="Q1004" i="11"/>
  <c r="Q1000" i="11"/>
  <c r="Q678" i="11"/>
  <c r="Q652" i="11"/>
  <c r="Q650" i="11"/>
  <c r="Q584" i="11"/>
  <c r="Q570" i="11"/>
  <c r="Q559" i="11"/>
  <c r="Q513" i="11"/>
  <c r="Q1930" i="11"/>
  <c r="Q1925" i="11"/>
  <c r="Q1905" i="11"/>
  <c r="Q1886" i="11"/>
  <c r="Q1883" i="11"/>
  <c r="Q1875" i="11"/>
  <c r="Q1871" i="11"/>
  <c r="Q1861" i="11"/>
  <c r="Q1856" i="11"/>
  <c r="Q1764" i="11"/>
  <c r="Q1740" i="11"/>
  <c r="Q1634" i="11"/>
  <c r="Q1608" i="11"/>
  <c r="Q1604" i="11"/>
  <c r="Q1599" i="11"/>
  <c r="Q1568" i="11"/>
  <c r="Q1558" i="11"/>
  <c r="Q1551" i="11"/>
  <c r="Q1157" i="11"/>
  <c r="Q1133" i="11"/>
  <c r="Q1126" i="11"/>
  <c r="Q1113" i="11"/>
  <c r="Q751" i="11"/>
  <c r="Q634" i="11"/>
  <c r="Q510" i="11"/>
  <c r="Q1259" i="11"/>
  <c r="Q1218" i="11"/>
  <c r="Q1217" i="11"/>
  <c r="Q1215" i="11"/>
  <c r="Q1195" i="11"/>
  <c r="Q1153" i="11"/>
  <c r="Q1088" i="11"/>
  <c r="Q1025" i="11"/>
  <c r="Q1013" i="11"/>
  <c r="Q625" i="11"/>
  <c r="Q624" i="11"/>
  <c r="Q572" i="11"/>
  <c r="Q524" i="11"/>
  <c r="Q509" i="11"/>
  <c r="Q993" i="11"/>
  <c r="Q992" i="11"/>
  <c r="Q988" i="11"/>
  <c r="Q986" i="11"/>
  <c r="Q972" i="11"/>
  <c r="Q968" i="11"/>
  <c r="Q967" i="11"/>
  <c r="Q966" i="11"/>
  <c r="Q964" i="11"/>
  <c r="Q956" i="11"/>
  <c r="Q952" i="11"/>
  <c r="Q951" i="11"/>
  <c r="Q949" i="11"/>
  <c r="Q946" i="11"/>
  <c r="Q942" i="11"/>
  <c r="Q941" i="11"/>
  <c r="Q938" i="11"/>
  <c r="Q934" i="11"/>
  <c r="Q933" i="11"/>
  <c r="Q930" i="11"/>
  <c r="Q927" i="11"/>
  <c r="Q925" i="11"/>
  <c r="Q923" i="11"/>
  <c r="Q922" i="11"/>
  <c r="Q919" i="11"/>
  <c r="Q914" i="11"/>
  <c r="Q913" i="11"/>
  <c r="Q909" i="11"/>
  <c r="Q905" i="11"/>
  <c r="Q899" i="11"/>
  <c r="Q897" i="11"/>
  <c r="Q873" i="11"/>
  <c r="Q868" i="11"/>
  <c r="Q865" i="11"/>
  <c r="Q863" i="11"/>
  <c r="Q860" i="11"/>
  <c r="Q859" i="11"/>
  <c r="Q855" i="11"/>
  <c r="Q853" i="11"/>
  <c r="Q851" i="11"/>
  <c r="Q850" i="11"/>
  <c r="Q848" i="11"/>
  <c r="Q847" i="11"/>
  <c r="Q846" i="11"/>
  <c r="Q841" i="11"/>
  <c r="Q831" i="11"/>
  <c r="Q827" i="11"/>
  <c r="Q826" i="11"/>
  <c r="Q825" i="11"/>
  <c r="Q824" i="11"/>
  <c r="Q823" i="11"/>
  <c r="Q819" i="11"/>
  <c r="Q818" i="11"/>
  <c r="Q815" i="11"/>
  <c r="Q811" i="11"/>
  <c r="Q810" i="11"/>
  <c r="Q808" i="11"/>
  <c r="Q805" i="11"/>
  <c r="Q801" i="11"/>
  <c r="Q800" i="11"/>
  <c r="Q797" i="11"/>
  <c r="Q793" i="11"/>
  <c r="Q792" i="11"/>
  <c r="Q790" i="11"/>
  <c r="Q787" i="11"/>
  <c r="Q785" i="11"/>
  <c r="Q783" i="11"/>
  <c r="Q782" i="11"/>
  <c r="Q779" i="11"/>
  <c r="Q778" i="11"/>
  <c r="Q776" i="11"/>
  <c r="Q772" i="11"/>
  <c r="Q768" i="11"/>
  <c r="Q765" i="11"/>
  <c r="Q762" i="11"/>
  <c r="Q760" i="11"/>
  <c r="Q640" i="11"/>
  <c r="Q612" i="11"/>
  <c r="Q604" i="11"/>
  <c r="Q565" i="11"/>
  <c r="Q553" i="11"/>
  <c r="Q2" i="11"/>
  <c r="Q1731" i="11"/>
  <c r="Q1714" i="11"/>
  <c r="Q1692" i="11"/>
  <c r="Q1671" i="11"/>
  <c r="Q1663" i="11"/>
  <c r="Q1597" i="11"/>
  <c r="Q1586" i="11"/>
  <c r="Q1575" i="11"/>
  <c r="Q1567" i="11"/>
  <c r="Q1549" i="11"/>
  <c r="Q1540" i="11"/>
  <c r="Q1501" i="11"/>
  <c r="Q1241" i="11"/>
  <c r="Q1232" i="11"/>
  <c r="Q1222" i="11"/>
  <c r="Q959" i="11"/>
  <c r="Q912" i="11"/>
  <c r="Q876" i="11"/>
  <c r="Q857" i="11"/>
  <c r="Q834" i="11"/>
  <c r="Q806" i="11"/>
  <c r="Q794" i="11"/>
  <c r="Q754" i="11"/>
  <c r="Q691" i="11"/>
  <c r="Q667" i="11"/>
  <c r="Q611" i="11"/>
  <c r="Q594" i="11"/>
  <c r="Q580" i="11"/>
  <c r="Q525" i="11"/>
  <c r="Q387" i="11"/>
  <c r="Q377" i="11"/>
  <c r="Q365" i="11"/>
  <c r="Q357" i="11"/>
  <c r="Q350" i="11"/>
  <c r="Q337" i="11"/>
  <c r="Q325" i="11"/>
  <c r="Q317" i="11"/>
  <c r="Q310" i="11"/>
  <c r="Q305" i="11"/>
  <c r="Q298" i="11"/>
  <c r="Q291" i="11"/>
  <c r="Q283" i="11"/>
  <c r="Q275" i="11"/>
  <c r="Q269" i="11"/>
  <c r="Q257" i="11"/>
  <c r="Q245" i="11"/>
  <c r="Q237" i="11"/>
  <c r="Q233" i="11"/>
  <c r="Q228" i="11"/>
  <c r="Q219" i="11"/>
  <c r="Q211" i="11"/>
  <c r="Q205" i="11"/>
  <c r="Q200" i="11"/>
  <c r="Q192" i="11"/>
  <c r="Q186" i="11"/>
  <c r="Q181" i="11"/>
  <c r="Q158" i="11"/>
  <c r="Q140" i="11"/>
  <c r="Q132" i="11"/>
  <c r="Q126" i="11"/>
  <c r="Q120" i="11"/>
  <c r="Q113" i="11"/>
  <c r="Q108" i="11"/>
  <c r="Q98" i="11"/>
  <c r="Q91" i="11"/>
  <c r="Q83" i="11"/>
  <c r="Q75" i="11"/>
  <c r="Q70" i="11"/>
  <c r="Q64" i="11"/>
  <c r="Q59" i="11"/>
  <c r="Q46" i="11"/>
  <c r="Q40" i="11"/>
  <c r="Q32" i="11"/>
  <c r="Q25" i="11"/>
  <c r="Q19" i="11"/>
  <c r="Q12" i="11"/>
  <c r="Q1927" i="11"/>
  <c r="Q1926" i="11"/>
  <c r="Q1918" i="11"/>
  <c r="Q1915" i="11"/>
  <c r="Q1888" i="11"/>
  <c r="Q1884" i="11"/>
  <c r="Q1867" i="11"/>
  <c r="Q1797" i="11"/>
  <c r="Q1780" i="11"/>
  <c r="Q1776" i="11"/>
  <c r="Q1765" i="11"/>
  <c r="Q1762" i="11"/>
  <c r="Q1753" i="11"/>
  <c r="Q1730" i="11"/>
  <c r="Q1718" i="11"/>
  <c r="Q1709" i="11"/>
  <c r="Q1705" i="11"/>
  <c r="Q1697" i="11"/>
  <c r="Q1678" i="11"/>
  <c r="Q1675" i="11"/>
  <c r="Q1664" i="11"/>
  <c r="Q1659" i="11"/>
  <c r="Q1654" i="11"/>
  <c r="Q1649" i="11"/>
  <c r="Q1644" i="11"/>
  <c r="Q1627" i="11"/>
  <c r="Q1622" i="11"/>
  <c r="Q1614" i="11"/>
  <c r="Q1593" i="11"/>
  <c r="Q1584" i="11"/>
  <c r="Q1577" i="11"/>
  <c r="Q1573" i="11"/>
  <c r="Q1570" i="11"/>
  <c r="Q1538" i="11"/>
  <c r="Q1255" i="11"/>
  <c r="Q1239" i="11"/>
  <c r="Q1237" i="11"/>
  <c r="Q1221" i="11"/>
  <c r="Q985" i="11"/>
  <c r="Q973" i="11"/>
  <c r="Q839" i="11"/>
  <c r="Q828" i="11"/>
  <c r="Q780" i="11"/>
  <c r="Q702" i="11"/>
  <c r="Q686" i="11"/>
  <c r="Q671" i="11"/>
  <c r="Q666" i="11"/>
  <c r="Q642" i="11"/>
  <c r="Q589" i="11"/>
  <c r="Q576" i="11"/>
  <c r="Q554" i="11"/>
  <c r="Q526" i="11"/>
  <c r="Q517" i="11"/>
  <c r="Q511" i="11"/>
  <c r="Q390" i="11"/>
  <c r="Q384" i="11"/>
  <c r="Q378" i="11"/>
  <c r="Q373" i="11"/>
  <c r="Q367" i="11"/>
  <c r="Q361" i="11"/>
  <c r="Q356" i="11"/>
  <c r="Q348" i="11"/>
  <c r="Q341" i="11"/>
  <c r="Q336" i="11"/>
  <c r="Q329" i="11"/>
  <c r="Q319" i="11"/>
  <c r="Q313" i="11"/>
  <c r="Q297" i="11"/>
  <c r="Q288" i="11"/>
  <c r="Q282" i="11"/>
  <c r="Q276" i="11"/>
  <c r="Q266" i="11"/>
  <c r="Q260" i="11"/>
  <c r="Q247" i="11"/>
  <c r="Q240" i="11"/>
  <c r="Q224" i="11"/>
  <c r="Q215" i="11"/>
  <c r="Q207" i="11"/>
  <c r="Q201" i="11"/>
  <c r="Q194" i="11"/>
  <c r="Q188" i="11"/>
  <c r="Q177" i="11"/>
  <c r="Q168" i="11"/>
  <c r="Q161" i="11"/>
  <c r="Q153" i="11"/>
  <c r="Q147" i="11"/>
  <c r="Q142" i="11"/>
  <c r="Q136" i="11"/>
  <c r="Q129" i="11"/>
  <c r="Q125" i="11"/>
  <c r="Q115" i="11"/>
  <c r="Q103" i="11"/>
  <c r="Q95" i="11"/>
  <c r="Q88" i="11"/>
  <c r="Q84" i="11"/>
  <c r="Q78" i="11"/>
  <c r="Q61" i="11"/>
  <c r="Q54" i="11"/>
  <c r="Q47" i="11"/>
  <c r="Q41" i="11"/>
  <c r="Q31" i="11"/>
  <c r="Q24" i="11"/>
  <c r="Q18" i="11"/>
  <c r="Q5" i="11"/>
  <c r="Q1929" i="11"/>
  <c r="Q1902" i="11"/>
  <c r="Q1885" i="11"/>
  <c r="Q1869" i="11"/>
  <c r="Q1795" i="11"/>
  <c r="Q1794" i="11"/>
  <c r="Q1789" i="11"/>
  <c r="Q1785" i="11"/>
  <c r="Q1783" i="11"/>
  <c r="Q1782" i="11"/>
  <c r="Q1781" i="11"/>
  <c r="Q1778" i="11"/>
  <c r="Q1774" i="11"/>
  <c r="Q1766" i="11"/>
  <c r="Q1756" i="11"/>
  <c r="Q1746" i="11"/>
  <c r="Q1743" i="11"/>
  <c r="Q1727" i="11"/>
  <c r="Q1710" i="11"/>
  <c r="Q1707" i="11"/>
  <c r="Q1702" i="11"/>
  <c r="Q1694" i="11"/>
  <c r="Q1691" i="11"/>
  <c r="Q1686" i="11"/>
  <c r="Q1684" i="11"/>
  <c r="Q1683" i="11"/>
  <c r="Q1669" i="11"/>
  <c r="Q1666" i="11"/>
  <c r="Q1662" i="11"/>
  <c r="Q1656" i="11"/>
  <c r="Q1651" i="11"/>
  <c r="Q1641" i="11"/>
  <c r="Q1637" i="11"/>
  <c r="Q1632" i="11"/>
  <c r="Q1631" i="11"/>
  <c r="Q1628" i="11"/>
  <c r="Q1626" i="11"/>
  <c r="Q1624" i="11"/>
  <c r="Q1621" i="11"/>
  <c r="Q1620" i="11"/>
  <c r="Q1612" i="11"/>
  <c r="Q1611" i="11"/>
  <c r="Q1609" i="11"/>
  <c r="Q1607" i="11"/>
  <c r="Q1601" i="11"/>
  <c r="Q1596" i="11"/>
  <c r="Q1590" i="11"/>
  <c r="Q1589" i="11"/>
  <c r="Q1585" i="11"/>
  <c r="Q1583" i="11"/>
  <c r="Q1579" i="11"/>
  <c r="Q1576" i="11"/>
  <c r="Q1574" i="11"/>
  <c r="Q1565" i="11"/>
  <c r="Q1561" i="11"/>
  <c r="Q1553" i="11"/>
  <c r="Q1546" i="11"/>
  <c r="Q1543" i="11"/>
  <c r="Q1539" i="11"/>
  <c r="Q1504" i="11"/>
  <c r="Q1264" i="11"/>
  <c r="Q1253" i="11"/>
  <c r="Q1252" i="11"/>
  <c r="Q1251" i="11"/>
  <c r="Q1250" i="11"/>
  <c r="Q1245" i="11"/>
  <c r="Q1242" i="11"/>
  <c r="Q1238" i="11"/>
  <c r="Q1235" i="11"/>
  <c r="Q1234" i="11"/>
  <c r="Q1233" i="11"/>
  <c r="Q1228" i="11"/>
  <c r="Q1224" i="11"/>
  <c r="Q1223" i="11"/>
  <c r="Q1220" i="11"/>
  <c r="Q1216" i="11"/>
  <c r="Q981" i="11"/>
  <c r="Q962" i="11"/>
  <c r="Q957" i="11"/>
  <c r="Q944" i="11"/>
  <c r="Q924" i="11"/>
  <c r="Q895" i="11"/>
  <c r="Q874" i="11"/>
  <c r="Q872" i="11"/>
  <c r="Q836" i="11"/>
  <c r="Q820" i="11"/>
  <c r="Q809" i="11"/>
  <c r="Q795" i="11"/>
  <c r="Q769" i="11"/>
  <c r="Q758" i="11"/>
  <c r="Q684" i="11"/>
  <c r="Q660" i="11"/>
  <c r="Q658" i="11"/>
  <c r="Q618" i="11"/>
  <c r="Q601" i="11"/>
  <c r="Q597" i="11"/>
  <c r="Q579" i="11"/>
  <c r="Q528" i="11"/>
  <c r="Q522" i="11"/>
  <c r="Q512" i="11"/>
  <c r="Q507" i="11"/>
  <c r="Q506" i="11"/>
  <c r="Q394" i="11"/>
  <c r="Q392" i="11"/>
  <c r="Q386" i="11"/>
  <c r="Q382" i="11"/>
  <c r="Q379" i="11"/>
  <c r="Q371" i="11"/>
  <c r="Q362" i="11"/>
  <c r="Q359" i="11"/>
  <c r="Q352" i="11"/>
  <c r="Q349" i="11"/>
  <c r="Q346" i="11"/>
  <c r="Q344" i="11"/>
  <c r="Q342" i="11"/>
  <c r="Q339" i="11"/>
  <c r="Q333" i="11"/>
  <c r="Q330" i="11"/>
  <c r="Q327" i="11"/>
  <c r="Q324" i="11"/>
  <c r="Q320" i="11"/>
  <c r="Q312" i="11"/>
  <c r="Q309" i="11"/>
  <c r="Q306" i="11"/>
  <c r="Q302" i="11"/>
  <c r="Q299" i="11"/>
  <c r="Q295" i="11"/>
  <c r="Q293" i="11"/>
  <c r="Q287" i="11"/>
  <c r="Q285" i="11"/>
  <c r="Q280" i="11"/>
  <c r="Q277" i="11"/>
  <c r="Q273" i="11"/>
  <c r="Q271" i="11"/>
  <c r="Q267" i="11"/>
  <c r="Q264" i="11"/>
  <c r="Q261" i="11"/>
  <c r="Q256" i="11"/>
  <c r="Q254" i="11"/>
  <c r="Q251" i="11"/>
  <c r="Q248" i="11"/>
  <c r="Q243" i="11"/>
  <c r="Q239" i="11"/>
  <c r="Q236" i="11"/>
  <c r="Q234" i="11"/>
  <c r="Q231" i="11"/>
  <c r="Q503" i="11"/>
  <c r="Q520" i="11"/>
  <c r="Q533" i="11"/>
  <c r="Q536" i="11"/>
  <c r="Q540" i="11"/>
  <c r="Q551" i="11"/>
  <c r="Q574" i="11"/>
  <c r="Q583" i="11"/>
  <c r="Q599" i="11"/>
  <c r="Q603" i="11"/>
  <c r="Q653" i="11"/>
  <c r="Q1385" i="11"/>
  <c r="Q1387" i="11"/>
  <c r="Q1401" i="11"/>
  <c r="Q614" i="11"/>
  <c r="Q630" i="11"/>
  <c r="Q643" i="11"/>
  <c r="Q1403" i="11"/>
  <c r="Q1410" i="11"/>
  <c r="Q1417" i="11"/>
  <c r="Q1425" i="11"/>
  <c r="Q1432" i="11"/>
  <c r="Q1442" i="11"/>
  <c r="Q1449" i="11"/>
  <c r="Q1474" i="11"/>
  <c r="Q1483" i="11"/>
  <c r="Q1488" i="11"/>
  <c r="Q1496" i="11"/>
  <c r="Q1512" i="11"/>
  <c r="Q1520" i="11"/>
  <c r="Q1536" i="11"/>
  <c r="Q227" i="11"/>
  <c r="Q221" i="11"/>
  <c r="Q214" i="11"/>
  <c r="Q204" i="11"/>
  <c r="Q195" i="11"/>
  <c r="Q185" i="11"/>
  <c r="Q179" i="11"/>
  <c r="Q173" i="11"/>
  <c r="Q162" i="11"/>
  <c r="Q159" i="11"/>
  <c r="Q150" i="11"/>
  <c r="Q143" i="11"/>
  <c r="Q135" i="11"/>
  <c r="Q127" i="11"/>
  <c r="Q119" i="11"/>
  <c r="Q112" i="11"/>
  <c r="Q106" i="11"/>
  <c r="Q93" i="11"/>
  <c r="Q85" i="11"/>
  <c r="Q76" i="11"/>
  <c r="Q67" i="11"/>
  <c r="Q56" i="11"/>
  <c r="Q49" i="11"/>
  <c r="Q45" i="11"/>
  <c r="Q42" i="11"/>
  <c r="Q39" i="11"/>
  <c r="Q36" i="11"/>
  <c r="Q26" i="11"/>
  <c r="Q15" i="11"/>
  <c r="Q11" i="11"/>
  <c r="Q7" i="11"/>
  <c r="Q4" i="11"/>
  <c r="Q1916" i="11"/>
  <c r="Q1858" i="11"/>
  <c r="Q1772" i="11"/>
  <c r="Q1759" i="11"/>
  <c r="Q1723" i="11"/>
  <c r="Q1708" i="11"/>
  <c r="Q1685" i="11"/>
  <c r="Q1667" i="11"/>
  <c r="Q1646" i="11"/>
  <c r="Q1613" i="11"/>
  <c r="Q1572" i="11"/>
  <c r="Q1541" i="11"/>
  <c r="Q1248" i="11"/>
  <c r="Q1240" i="11"/>
  <c r="Q1229" i="11"/>
  <c r="Q892" i="11"/>
  <c r="Q799" i="11"/>
  <c r="Q669" i="11"/>
  <c r="Q587" i="11"/>
  <c r="Q560" i="11"/>
  <c r="Q501" i="11"/>
  <c r="Q374" i="11"/>
  <c r="Q345" i="11"/>
  <c r="Q322" i="11"/>
  <c r="Q290" i="11"/>
  <c r="Q263" i="11"/>
  <c r="Q229" i="11"/>
  <c r="Q216" i="11"/>
  <c r="Q190" i="11"/>
  <c r="Q171" i="11"/>
  <c r="Q148" i="11"/>
  <c r="Q116" i="11"/>
  <c r="Q102" i="11"/>
  <c r="Q86" i="11"/>
  <c r="Q66" i="11"/>
  <c r="Q1209" i="11"/>
  <c r="Q1205" i="11"/>
  <c r="Q1193" i="11"/>
  <c r="Q1190" i="11"/>
  <c r="Q1188" i="11"/>
  <c r="Q1185" i="11"/>
  <c r="Q1178" i="11"/>
  <c r="Q1173" i="11"/>
  <c r="Q1168" i="11"/>
  <c r="Q1166" i="11"/>
  <c r="Q1163" i="11"/>
  <c r="Q1162" i="11"/>
  <c r="Q1154" i="11"/>
  <c r="Q1152" i="11"/>
  <c r="Q1146" i="11"/>
  <c r="Q1145" i="11"/>
  <c r="Q1140" i="11"/>
  <c r="Q1139" i="11"/>
  <c r="Q1138" i="11"/>
  <c r="Q1136" i="11"/>
  <c r="Q1132" i="11"/>
  <c r="Q1131" i="11"/>
  <c r="Q1130" i="11"/>
  <c r="Q1127" i="11"/>
  <c r="Q1122" i="11"/>
  <c r="Q1121" i="11"/>
  <c r="Q1120" i="11"/>
  <c r="Q1117" i="11"/>
  <c r="Q1116" i="11"/>
  <c r="Q1115" i="11"/>
  <c r="Q1114" i="11"/>
  <c r="Q1112" i="11"/>
  <c r="Q1106" i="11"/>
  <c r="Q1104" i="11"/>
  <c r="Q1103" i="11"/>
  <c r="Q1101" i="11"/>
  <c r="Q1099" i="11"/>
  <c r="Q1098" i="11"/>
  <c r="Q1096" i="11"/>
  <c r="Q1094" i="11"/>
  <c r="Q1093" i="11"/>
  <c r="Q1089" i="11"/>
  <c r="Q1085" i="11"/>
  <c r="Q1083" i="11"/>
  <c r="Q1076" i="11"/>
  <c r="Q1074" i="11"/>
  <c r="Q1071" i="11"/>
  <c r="Q1068" i="11"/>
  <c r="Q1065" i="11"/>
  <c r="Q1061" i="11"/>
  <c r="Q1057" i="11"/>
  <c r="Q1046" i="11"/>
  <c r="Q1042" i="11"/>
  <c r="Q1038" i="11"/>
  <c r="Q1032" i="11"/>
  <c r="Q1031" i="11"/>
  <c r="Q1027" i="11"/>
  <c r="Q1022" i="11"/>
  <c r="Q1019" i="11"/>
  <c r="Q1010" i="11"/>
  <c r="Q1005" i="11"/>
  <c r="Q997" i="11"/>
  <c r="Q989" i="11"/>
  <c r="Q965" i="11"/>
  <c r="Q940" i="11"/>
  <c r="Q920" i="11"/>
  <c r="Q904" i="11"/>
  <c r="Q870" i="11"/>
  <c r="Q832" i="11"/>
  <c r="Q803" i="11"/>
  <c r="Q773" i="11"/>
  <c r="Q692" i="11"/>
  <c r="Q675" i="11"/>
  <c r="Q668" i="11"/>
  <c r="Q661" i="11"/>
  <c r="Q646" i="11"/>
  <c r="Q622" i="11"/>
  <c r="Q593" i="11"/>
  <c r="Q588" i="11"/>
  <c r="Q585" i="11"/>
  <c r="Q569" i="11"/>
  <c r="Q516" i="11"/>
  <c r="Q514" i="11"/>
  <c r="Q395" i="11"/>
  <c r="Q385" i="11"/>
  <c r="Q375" i="11"/>
  <c r="Q369" i="11"/>
  <c r="Q360" i="11"/>
  <c r="Q355" i="11"/>
  <c r="Q351" i="11"/>
  <c r="Q343" i="11"/>
  <c r="Q332" i="11"/>
  <c r="Q326" i="11"/>
  <c r="Q311" i="11"/>
  <c r="Q304" i="11"/>
  <c r="Q296" i="11"/>
  <c r="Q289" i="11"/>
  <c r="Q281" i="11"/>
  <c r="Q272" i="11"/>
  <c r="Q265" i="11"/>
  <c r="Q258" i="11"/>
  <c r="Q252" i="11"/>
  <c r="Q244" i="11"/>
  <c r="Q238" i="11"/>
  <c r="Q230" i="11"/>
  <c r="Q222" i="11"/>
  <c r="Q212" i="11"/>
  <c r="Q206" i="11"/>
  <c r="Q197" i="11"/>
  <c r="Q187" i="11"/>
  <c r="Q180" i="11"/>
  <c r="Q160" i="11"/>
  <c r="Q151" i="11"/>
  <c r="Q141" i="11"/>
  <c r="Q131" i="11"/>
  <c r="Q118" i="11"/>
  <c r="Q111" i="11"/>
  <c r="Q105" i="11"/>
  <c r="Q100" i="11"/>
  <c r="Q92" i="11"/>
  <c r="Q80" i="11"/>
  <c r="Q74" i="11"/>
  <c r="Q68" i="11"/>
  <c r="Q62" i="11"/>
  <c r="Q55" i="11"/>
  <c r="Q48" i="11"/>
  <c r="Q37" i="11"/>
  <c r="Q30" i="11"/>
  <c r="Q23" i="11"/>
  <c r="Q500" i="11"/>
  <c r="Q498" i="11"/>
  <c r="Q495" i="11"/>
  <c r="Q493" i="11"/>
  <c r="Q491" i="11"/>
  <c r="Q489" i="11"/>
  <c r="Q487" i="11"/>
  <c r="Q485" i="11"/>
  <c r="Q483" i="11"/>
  <c r="Q481" i="11"/>
  <c r="Q479" i="11"/>
  <c r="Q477" i="11"/>
  <c r="Q475" i="11"/>
  <c r="Q473" i="11"/>
  <c r="Q471" i="11"/>
  <c r="Q469" i="11"/>
  <c r="Q467" i="11"/>
  <c r="Q465" i="11"/>
  <c r="Q463" i="11"/>
  <c r="Q461" i="11"/>
  <c r="Q459" i="11"/>
  <c r="Q456" i="11"/>
  <c r="Q453" i="11"/>
  <c r="Q450" i="11"/>
  <c r="Q448" i="11"/>
  <c r="Q446" i="11"/>
  <c r="Q444" i="11"/>
  <c r="Q442" i="11"/>
  <c r="Q440" i="11"/>
  <c r="Q438" i="11"/>
  <c r="Q436" i="11"/>
  <c r="Q434" i="11"/>
  <c r="Q432" i="11"/>
  <c r="Q429" i="11"/>
  <c r="Q427" i="11"/>
  <c r="Q425" i="11"/>
  <c r="Q423" i="11"/>
  <c r="Q421" i="11"/>
  <c r="Q419" i="11"/>
  <c r="Q417" i="11"/>
  <c r="Q415" i="11"/>
  <c r="Q413" i="11"/>
  <c r="Q411" i="11"/>
  <c r="Q409" i="11"/>
  <c r="Q407" i="11"/>
  <c r="Q405" i="11"/>
  <c r="Q403" i="11"/>
  <c r="Q401" i="11"/>
  <c r="Q399" i="11"/>
  <c r="Q397" i="11"/>
  <c r="Q388" i="11"/>
  <c r="Q376" i="11"/>
  <c r="Q363" i="11"/>
  <c r="Q334" i="11"/>
  <c r="Q308" i="11"/>
  <c r="Q292" i="11"/>
  <c r="Q274" i="11"/>
  <c r="Q253" i="11"/>
  <c r="Q241" i="11"/>
  <c r="Q213" i="11"/>
  <c r="Q202" i="11"/>
  <c r="Q184" i="11"/>
  <c r="Q170" i="11"/>
  <c r="Q157" i="11"/>
  <c r="Q144" i="11"/>
  <c r="Q133" i="11"/>
  <c r="Q87" i="11"/>
  <c r="Q63" i="11"/>
  <c r="Q50" i="11"/>
  <c r="Q38" i="11"/>
  <c r="Q27" i="11"/>
  <c r="Q13" i="11"/>
  <c r="Q521" i="11"/>
  <c r="Q531" i="11"/>
  <c r="Q539" i="11"/>
  <c r="Q542" i="11"/>
  <c r="Q545" i="11"/>
  <c r="Q549" i="11"/>
  <c r="Q552" i="11"/>
  <c r="Q556" i="11"/>
  <c r="Q561" i="11"/>
  <c r="Q571" i="11"/>
  <c r="Q600" i="11"/>
  <c r="Q617" i="11"/>
  <c r="Q1384" i="11"/>
  <c r="Q1389" i="11"/>
  <c r="Q1391" i="11"/>
  <c r="Q1396" i="11"/>
  <c r="Q1399" i="11"/>
  <c r="Q608" i="11"/>
  <c r="Q623" i="11"/>
  <c r="Q638" i="11"/>
  <c r="Q1036" i="11"/>
  <c r="Q1067" i="11"/>
  <c r="Q1082" i="11"/>
  <c r="Q1407" i="11"/>
  <c r="Q1415" i="11"/>
  <c r="Q1421" i="11"/>
  <c r="Q1431" i="11"/>
  <c r="Q1437" i="11"/>
  <c r="Q1446" i="11"/>
  <c r="Q1457" i="11"/>
  <c r="Q1482" i="11"/>
  <c r="Q1495" i="11"/>
  <c r="Q1517" i="11"/>
  <c r="Q225" i="11"/>
  <c r="Q217" i="11"/>
  <c r="Q209" i="11"/>
  <c r="Q198" i="11"/>
  <c r="Q189" i="11"/>
  <c r="Q182" i="11"/>
  <c r="Q175" i="11"/>
  <c r="Q167" i="11"/>
  <c r="Q164" i="11"/>
  <c r="Q154" i="11"/>
  <c r="Q146" i="11"/>
  <c r="Q138" i="11"/>
  <c r="Q130" i="11"/>
  <c r="Q123" i="11"/>
  <c r="Q117" i="11"/>
  <c r="Q110" i="11"/>
  <c r="Q104" i="11"/>
  <c r="Q99" i="11"/>
  <c r="Q97" i="11"/>
  <c r="Q89" i="11"/>
  <c r="Q81" i="11"/>
  <c r="Q69" i="11"/>
  <c r="Q60" i="11"/>
  <c r="Q52" i="11"/>
  <c r="Q1919" i="11"/>
  <c r="Q1904" i="11"/>
  <c r="Q1799" i="11"/>
  <c r="Q1788" i="11"/>
  <c r="Q1763" i="11"/>
  <c r="Q1745" i="11"/>
  <c r="Q1711" i="11"/>
  <c r="Q1703" i="11"/>
  <c r="Q1676" i="11"/>
  <c r="Q1655" i="11"/>
  <c r="Q1629" i="11"/>
  <c r="Q1591" i="11"/>
  <c r="Q1564" i="11"/>
  <c r="Q1535" i="11"/>
  <c r="Q1244" i="11"/>
  <c r="Q1236" i="11"/>
  <c r="Q969" i="11"/>
  <c r="Q842" i="11"/>
  <c r="Q770" i="11"/>
  <c r="Q679" i="11"/>
  <c r="Q595" i="11"/>
  <c r="Q592" i="11"/>
  <c r="Q582" i="11"/>
  <c r="Q527" i="11"/>
  <c r="Q508" i="11"/>
  <c r="Q391" i="11"/>
  <c r="Q383" i="11"/>
  <c r="Q368" i="11"/>
  <c r="Q354" i="11"/>
  <c r="Q340" i="11"/>
  <c r="Q328" i="11"/>
  <c r="Q316" i="11"/>
  <c r="Q278" i="11"/>
  <c r="Q270" i="11"/>
  <c r="Q249" i="11"/>
  <c r="Q235" i="11"/>
  <c r="Q223" i="11"/>
  <c r="Q203" i="11"/>
  <c r="Q196" i="11"/>
  <c r="Q178" i="11"/>
  <c r="Q166" i="11"/>
  <c r="Q155" i="11"/>
  <c r="Q137" i="11"/>
  <c r="Q122" i="11"/>
  <c r="Q109" i="11"/>
  <c r="Q96" i="11"/>
  <c r="Q90" i="11"/>
  <c r="Q79" i="11"/>
  <c r="Q72" i="11"/>
  <c r="Q53" i="11"/>
  <c r="Q34" i="11"/>
  <c r="Q29" i="11"/>
  <c r="Q22" i="11"/>
  <c r="Q16" i="11"/>
  <c r="Q9" i="11"/>
  <c r="Q3" i="11"/>
  <c r="Q1208" i="11"/>
  <c r="Q1207" i="11"/>
  <c r="Q1202" i="11"/>
  <c r="Q1194" i="11"/>
  <c r="Q1192" i="11"/>
  <c r="Q1189" i="11"/>
  <c r="Q1186" i="11"/>
  <c r="Q1184" i="11"/>
  <c r="Q1176" i="11"/>
  <c r="Q1172" i="11"/>
  <c r="Q1165" i="11"/>
  <c r="Q1156" i="11"/>
  <c r="Q1090" i="11"/>
  <c r="Q1087" i="11"/>
  <c r="Q1084" i="11"/>
  <c r="Q1081" i="11"/>
  <c r="Q1075" i="11"/>
  <c r="Q1072" i="11"/>
  <c r="Q1069" i="11"/>
  <c r="Q1066" i="11"/>
  <c r="Q1063" i="11"/>
  <c r="Q1058" i="11"/>
  <c r="Q1056" i="11"/>
  <c r="Q1049" i="11"/>
  <c r="Q1044" i="11"/>
  <c r="Q1039" i="11"/>
  <c r="Q1035" i="11"/>
  <c r="Q1030" i="11"/>
  <c r="Q1026" i="11"/>
  <c r="Q1024" i="11"/>
  <c r="Q1020" i="11"/>
  <c r="Q1015" i="11"/>
  <c r="Q1007" i="11"/>
  <c r="Q1001" i="11"/>
  <c r="Q996" i="11"/>
  <c r="Q994" i="11"/>
  <c r="Q947" i="11"/>
  <c r="Q932" i="11"/>
  <c r="Q910" i="11"/>
  <c r="Q893" i="11"/>
  <c r="Q858" i="11"/>
  <c r="Q821" i="11"/>
  <c r="Q786" i="11"/>
  <c r="Q766" i="11"/>
  <c r="Q682" i="11"/>
  <c r="Q672" i="11"/>
  <c r="Q664" i="11"/>
  <c r="Q654" i="11"/>
  <c r="Q626" i="11"/>
  <c r="Q615" i="11"/>
  <c r="Q596" i="11"/>
  <c r="Q590" i="11"/>
  <c r="Q586" i="11"/>
  <c r="Q578" i="11"/>
  <c r="Q523" i="11"/>
  <c r="Q515" i="11"/>
  <c r="Q502" i="11"/>
  <c r="Q393" i="11"/>
  <c r="Q389" i="11"/>
  <c r="Q380" i="11"/>
  <c r="Q372" i="11"/>
  <c r="Q366" i="11"/>
  <c r="Q364" i="11"/>
  <c r="Q358" i="11"/>
  <c r="Q347" i="11"/>
  <c r="Q338" i="11"/>
  <c r="Q335" i="11"/>
  <c r="Q331" i="11"/>
  <c r="Q321" i="11"/>
  <c r="Q318" i="11"/>
  <c r="Q314" i="11"/>
  <c r="Q307" i="11"/>
  <c r="Q300" i="11"/>
  <c r="Q294" i="11"/>
  <c r="Q284" i="11"/>
  <c r="Q279" i="11"/>
  <c r="Q268" i="11"/>
  <c r="Q262" i="11"/>
  <c r="Q255" i="11"/>
  <c r="Q250" i="11"/>
  <c r="Q242" i="11"/>
  <c r="Q232" i="11"/>
  <c r="Q226" i="11"/>
  <c r="Q218" i="11"/>
  <c r="Q210" i="11"/>
  <c r="Q199" i="11"/>
  <c r="Q191" i="11"/>
  <c r="Q183" i="11"/>
  <c r="Q174" i="11"/>
  <c r="Q172" i="11"/>
  <c r="Q169" i="11"/>
  <c r="Q163" i="11"/>
  <c r="Q156" i="11"/>
  <c r="Q149" i="11"/>
  <c r="Q145" i="11"/>
  <c r="Q134" i="11"/>
  <c r="Q128" i="11"/>
  <c r="Q114" i="11"/>
  <c r="Q107" i="11"/>
  <c r="Q94" i="11"/>
  <c r="Q82" i="11"/>
  <c r="Q77" i="11"/>
  <c r="Q71" i="11"/>
  <c r="Q65" i="11"/>
  <c r="Q58" i="11"/>
  <c r="Q51" i="11"/>
  <c r="Q43" i="11"/>
  <c r="Q35" i="11"/>
  <c r="Q28" i="11"/>
  <c r="Q21" i="11"/>
  <c r="Q17" i="11"/>
  <c r="Q14" i="11"/>
  <c r="Q10" i="11"/>
  <c r="Q8" i="11"/>
  <c r="Q499" i="11"/>
  <c r="Q497" i="11"/>
  <c r="Q494" i="11"/>
  <c r="Q492" i="11"/>
  <c r="Q490" i="11"/>
  <c r="Q488" i="11"/>
  <c r="Q486" i="11"/>
  <c r="Q484" i="11"/>
  <c r="Q482" i="11"/>
  <c r="Q480" i="11"/>
  <c r="Q478" i="11"/>
  <c r="Q476" i="11"/>
  <c r="Q474" i="11"/>
  <c r="Q472" i="11"/>
  <c r="Q470" i="11"/>
  <c r="Q468" i="11"/>
  <c r="Q466" i="11"/>
  <c r="Q464" i="11"/>
  <c r="Q462" i="11"/>
  <c r="Q460" i="11"/>
  <c r="Q458" i="11"/>
  <c r="Q457" i="11"/>
  <c r="Q455" i="11"/>
  <c r="Q454" i="11"/>
  <c r="Q452" i="11"/>
  <c r="Q449" i="11"/>
  <c r="Q447" i="11"/>
  <c r="Q445" i="11"/>
  <c r="Q443" i="11"/>
  <c r="Q441" i="11"/>
  <c r="Q439" i="11"/>
  <c r="Q437" i="11"/>
  <c r="Q435" i="11"/>
  <c r="Q433" i="11"/>
  <c r="Q431" i="11"/>
  <c r="Q430" i="11"/>
  <c r="Q428" i="11"/>
  <c r="Q426" i="11"/>
  <c r="Q424" i="11"/>
  <c r="Q422" i="11"/>
  <c r="Q420" i="11"/>
  <c r="Q418" i="11"/>
  <c r="Q416" i="11"/>
  <c r="Q414" i="11"/>
  <c r="Q412" i="11"/>
  <c r="Q410" i="11"/>
  <c r="Q408" i="11"/>
  <c r="Q406" i="11"/>
  <c r="Q404" i="11"/>
  <c r="Q402" i="11"/>
  <c r="Q400" i="11"/>
  <c r="Q398" i="11"/>
  <c r="Q396" i="11"/>
  <c r="Q381" i="11"/>
  <c r="Q370" i="11"/>
  <c r="Q353" i="11"/>
  <c r="Q315" i="11"/>
  <c r="Q301" i="11"/>
  <c r="Q286" i="11"/>
  <c r="Q259" i="11"/>
  <c r="Q246" i="11"/>
  <c r="Q220" i="11"/>
  <c r="Q208" i="11"/>
  <c r="Q193" i="11"/>
  <c r="Q176" i="11"/>
  <c r="Q165" i="11"/>
  <c r="Q152" i="11"/>
  <c r="Q139" i="11"/>
  <c r="Q121" i="11"/>
  <c r="Q101" i="11"/>
  <c r="Q73" i="11"/>
  <c r="Q57" i="11"/>
  <c r="Q44" i="11"/>
  <c r="Q33" i="11"/>
  <c r="Q20" i="11"/>
  <c r="Q6" i="11"/>
  <c r="Q2573" i="11"/>
  <c r="Q3000" i="11"/>
  <c r="Q2999" i="11"/>
  <c r="Q2998" i="11"/>
  <c r="Q2997" i="11"/>
  <c r="Q2996" i="11"/>
  <c r="Q2995" i="11"/>
  <c r="Q2994" i="11"/>
  <c r="Q2993" i="11"/>
  <c r="Q2992" i="11"/>
  <c r="Q2991" i="11"/>
  <c r="Q2990" i="11"/>
  <c r="Q2989" i="11"/>
  <c r="Q2988" i="11"/>
  <c r="Q2987" i="11"/>
  <c r="Q2986" i="11"/>
  <c r="Q2985" i="11"/>
  <c r="Q2984" i="11"/>
  <c r="Q2983" i="11"/>
  <c r="Q2982" i="11"/>
  <c r="Q2981" i="11"/>
  <c r="Q2980" i="11"/>
  <c r="Q2979" i="11"/>
  <c r="Q2978" i="11"/>
  <c r="Q2977" i="11"/>
  <c r="Q2976" i="11"/>
  <c r="Q2975" i="11"/>
  <c r="Q2974" i="11"/>
  <c r="Q2973" i="11"/>
  <c r="Q2972" i="11"/>
  <c r="Q2971" i="11"/>
  <c r="Q2970" i="11"/>
  <c r="Q2969" i="11"/>
  <c r="Q2968" i="11"/>
  <c r="Q2967" i="11"/>
  <c r="Q2966" i="11"/>
  <c r="Q2965" i="11"/>
  <c r="Q2964" i="11"/>
  <c r="Q2963" i="11"/>
  <c r="Q2962" i="11"/>
  <c r="Q2961" i="11"/>
  <c r="Q2960" i="11"/>
  <c r="Q2959" i="11"/>
  <c r="Q2958" i="11"/>
  <c r="Q2957" i="11"/>
  <c r="Q2956" i="11"/>
  <c r="Q2955" i="11"/>
  <c r="Q2954" i="11"/>
  <c r="Q2953" i="11"/>
  <c r="Q2952" i="11"/>
  <c r="Q2951" i="11"/>
  <c r="Q2950" i="11"/>
  <c r="Q2949" i="11"/>
  <c r="Q2948" i="11"/>
  <c r="Q2947" i="11"/>
  <c r="Q2946" i="11"/>
  <c r="Q2945" i="11"/>
  <c r="Q2944" i="11"/>
  <c r="Q2943" i="11"/>
  <c r="Q2942" i="11"/>
  <c r="Q2941" i="11"/>
  <c r="Q2940" i="11"/>
  <c r="Q2939" i="11"/>
  <c r="Q2938" i="11"/>
  <c r="Q2937" i="11"/>
  <c r="Q2936" i="11"/>
  <c r="Q2935" i="11"/>
  <c r="Q2934" i="11"/>
  <c r="Q2933" i="11"/>
  <c r="Q2932" i="11"/>
  <c r="Q2931" i="11"/>
  <c r="Q2930" i="11"/>
  <c r="Q2929" i="11"/>
  <c r="Q2928" i="11"/>
  <c r="Q2927" i="11"/>
  <c r="Q2926" i="11"/>
  <c r="Q2925" i="11"/>
  <c r="Q2924" i="11"/>
  <c r="Q2923" i="11"/>
  <c r="Q2922" i="11"/>
  <c r="Q2921" i="11"/>
  <c r="Q2920" i="11"/>
  <c r="Q2919" i="11"/>
  <c r="Q2918" i="11"/>
  <c r="Q2917" i="11"/>
  <c r="Q2916" i="11"/>
  <c r="Q2915" i="11"/>
  <c r="Q2914" i="11"/>
  <c r="Q2913" i="11"/>
  <c r="Q2912" i="11"/>
  <c r="Q2911" i="11"/>
  <c r="Q2910" i="11"/>
  <c r="Q2909" i="11"/>
  <c r="Q2908" i="11"/>
  <c r="Q2907" i="11"/>
  <c r="Q2906" i="11"/>
  <c r="Q2905" i="11"/>
  <c r="Q2904" i="11"/>
  <c r="Q2903" i="11"/>
  <c r="Q2902" i="11"/>
  <c r="Q2901" i="11"/>
  <c r="Q2900" i="11"/>
  <c r="Q2899" i="11"/>
  <c r="Q2898" i="11"/>
  <c r="Q2897" i="11"/>
  <c r="Q2896" i="11"/>
  <c r="Q2895" i="11"/>
  <c r="Q2894" i="11"/>
  <c r="Q2893" i="11"/>
  <c r="Q2892" i="11"/>
  <c r="Q2891" i="11"/>
  <c r="Q2890" i="11"/>
  <c r="Q2889" i="11"/>
  <c r="Q2888" i="11"/>
  <c r="Q2887" i="11"/>
  <c r="Q2886" i="11"/>
  <c r="Q2885" i="11"/>
  <c r="Q2884" i="11"/>
  <c r="Q2883" i="11"/>
  <c r="Q2882" i="11"/>
  <c r="Q2881" i="11"/>
  <c r="Q2880" i="11"/>
  <c r="Q2879" i="11"/>
  <c r="Q2878" i="11"/>
  <c r="Q2877" i="11"/>
  <c r="Q2876" i="11"/>
  <c r="Q2875" i="11"/>
  <c r="Q2874" i="11"/>
  <c r="Q2873" i="11"/>
  <c r="Q2872" i="11"/>
  <c r="Q2871" i="11"/>
  <c r="Q2870" i="11"/>
  <c r="Q2869" i="11"/>
  <c r="Q2868" i="11"/>
  <c r="Q2867" i="11"/>
  <c r="Q2866" i="11"/>
  <c r="Q2865" i="11"/>
  <c r="Q2864" i="11"/>
  <c r="Q2863" i="11"/>
  <c r="Q2862" i="11"/>
  <c r="Q2861" i="11"/>
  <c r="Q2860" i="11"/>
  <c r="Q2859" i="11"/>
  <c r="Q2858" i="11"/>
  <c r="Q2857" i="11"/>
  <c r="Q2856" i="11"/>
  <c r="Q2855" i="11"/>
  <c r="Q2854" i="11"/>
  <c r="Q2853" i="11"/>
  <c r="Q2852" i="11"/>
  <c r="Q2851" i="11"/>
  <c r="Q2850" i="11"/>
  <c r="Q2849" i="11"/>
  <c r="Q2848" i="11"/>
  <c r="Q2847" i="11"/>
  <c r="Q2846" i="11"/>
  <c r="Q2845" i="11"/>
  <c r="Q2844" i="11"/>
  <c r="Q2843" i="11"/>
  <c r="Q2842" i="11"/>
  <c r="Q2841" i="11"/>
  <c r="Q2840" i="11"/>
  <c r="Q2839" i="11"/>
  <c r="Q2838" i="11"/>
  <c r="Q2837" i="11"/>
  <c r="Q2836" i="11"/>
  <c r="Q2835" i="11"/>
  <c r="Q2834" i="11"/>
  <c r="Q2833" i="11"/>
  <c r="Q2832" i="11"/>
  <c r="Q2831" i="11"/>
  <c r="Q2830" i="11"/>
  <c r="Q2829" i="11"/>
  <c r="Q2828" i="11"/>
  <c r="Q2827" i="11"/>
  <c r="Q2826" i="11"/>
  <c r="Q2825" i="11"/>
  <c r="Q2824" i="11"/>
  <c r="Q2823" i="11"/>
  <c r="Q2822" i="11"/>
  <c r="Q2821" i="11"/>
  <c r="Q2820" i="11"/>
  <c r="Q2819" i="11"/>
  <c r="Q2818" i="11"/>
  <c r="Q2817" i="11"/>
  <c r="Q2816" i="11"/>
  <c r="Q2815" i="11"/>
  <c r="Q2814" i="11"/>
  <c r="Q2813" i="11"/>
  <c r="Q2812" i="11"/>
  <c r="Q2811" i="11"/>
  <c r="Q2810" i="11"/>
  <c r="Q2809" i="11"/>
  <c r="Q2808" i="11"/>
  <c r="Q2807" i="11"/>
  <c r="Q2806" i="11"/>
  <c r="Q2805" i="11"/>
  <c r="Q2804" i="11"/>
  <c r="Q2803" i="11"/>
  <c r="Q2802" i="11"/>
  <c r="Q2801" i="11"/>
  <c r="Q2800" i="11"/>
  <c r="Q2799" i="11"/>
  <c r="Q2798" i="11"/>
  <c r="Q2797" i="11"/>
  <c r="Q2796" i="11"/>
  <c r="Q2795" i="11"/>
  <c r="Q2794" i="11"/>
  <c r="Q2793" i="11"/>
  <c r="Q2792" i="11"/>
  <c r="Q2791" i="11"/>
  <c r="Q2790" i="11"/>
  <c r="Q2789" i="11"/>
  <c r="Q2788" i="11"/>
  <c r="Q2787" i="11"/>
  <c r="Q2786" i="11"/>
  <c r="Q2785" i="11"/>
  <c r="Q2784" i="11"/>
  <c r="Q2783" i="11"/>
  <c r="Q2782" i="11"/>
  <c r="Q2781" i="11"/>
  <c r="Q2780" i="11"/>
  <c r="Q2779" i="11"/>
  <c r="Q2778" i="11"/>
  <c r="Q2777" i="11"/>
  <c r="Q2776" i="11"/>
  <c r="Q2775" i="11"/>
  <c r="Q2774" i="11"/>
  <c r="Q2773" i="11"/>
  <c r="Q2772" i="11"/>
  <c r="Q2771" i="11"/>
  <c r="Q2770" i="11"/>
  <c r="Q2769" i="11"/>
  <c r="Q2768" i="11"/>
  <c r="Q2767" i="11"/>
  <c r="Q2766" i="11"/>
  <c r="Q2765" i="11"/>
  <c r="Q2764" i="11"/>
  <c r="Q2763" i="11"/>
  <c r="Q2762" i="11"/>
  <c r="Q2761" i="11"/>
  <c r="Q2760" i="11"/>
  <c r="Q2759" i="11"/>
  <c r="Q2758" i="11"/>
  <c r="Q2757" i="11"/>
  <c r="Q2756" i="11"/>
  <c r="Q2755" i="11"/>
  <c r="Q2754" i="11"/>
  <c r="Q2753" i="11"/>
  <c r="Q2752" i="11"/>
  <c r="Q2751" i="11"/>
  <c r="Q2750" i="11"/>
  <c r="Q2749" i="11"/>
  <c r="Q2748" i="11"/>
  <c r="Q2747" i="11"/>
  <c r="Q2746" i="11"/>
  <c r="Q2745" i="11"/>
  <c r="Q2744" i="11"/>
  <c r="Q2743" i="11"/>
  <c r="Q2742" i="11"/>
  <c r="Q2741" i="11"/>
  <c r="Q2740" i="11"/>
  <c r="Q2739" i="11"/>
  <c r="Q2738" i="11"/>
  <c r="Q2737" i="11"/>
  <c r="Q2736" i="11"/>
  <c r="Q2735" i="11"/>
  <c r="Q2734" i="11"/>
  <c r="Q2733" i="11"/>
  <c r="Q2732" i="11"/>
  <c r="Q2731" i="11"/>
  <c r="Q2730" i="11"/>
  <c r="Q2729" i="11"/>
  <c r="Q2728" i="11"/>
  <c r="Q2727" i="11"/>
  <c r="Q2726" i="11"/>
  <c r="Q2725" i="11"/>
  <c r="Q2724" i="11"/>
  <c r="Q2723" i="11"/>
  <c r="Q2722" i="11"/>
  <c r="Q2721" i="11"/>
  <c r="Q2720" i="11"/>
  <c r="Q2719" i="11"/>
  <c r="Q2718" i="11"/>
  <c r="Q2717" i="11"/>
  <c r="Q2716" i="11"/>
  <c r="Q2715" i="11"/>
  <c r="Q2714" i="11"/>
  <c r="Q2713" i="11"/>
  <c r="Q2712" i="11"/>
  <c r="Q2711" i="11"/>
  <c r="Q2710" i="11"/>
  <c r="Q2709" i="11"/>
  <c r="Q2708" i="11"/>
  <c r="Q2707" i="11"/>
  <c r="Q2706" i="11"/>
  <c r="Q2705" i="11"/>
  <c r="Q2704" i="11"/>
  <c r="Q2703" i="11"/>
  <c r="Q2702" i="11"/>
  <c r="Q2701" i="11"/>
  <c r="Q2700" i="11"/>
  <c r="Q2699" i="11"/>
  <c r="Q2698" i="11"/>
  <c r="Q2697" i="11"/>
  <c r="Q2696" i="11"/>
  <c r="Q2695" i="11"/>
  <c r="Q2694" i="11"/>
  <c r="Q2693" i="11"/>
  <c r="Q2692" i="11"/>
  <c r="Q2691" i="11"/>
  <c r="Q2690" i="11"/>
  <c r="Q2689" i="11"/>
  <c r="Q2688" i="11"/>
  <c r="Q2687" i="11"/>
  <c r="Q2686" i="11"/>
  <c r="Q2685" i="11"/>
  <c r="Q2684" i="11"/>
  <c r="Q2683" i="11"/>
  <c r="Q2682" i="11"/>
  <c r="Q2681" i="11"/>
  <c r="Q2680" i="11"/>
  <c r="Q2679" i="11"/>
  <c r="Q2678" i="11"/>
  <c r="Q2677" i="11"/>
  <c r="Q2676" i="11"/>
  <c r="Q2675" i="11"/>
  <c r="Q2674" i="11"/>
  <c r="Q2673" i="11"/>
  <c r="Q2672" i="11"/>
  <c r="Q2671" i="11"/>
  <c r="Q2670" i="11"/>
  <c r="Q2669" i="11"/>
  <c r="Q2668" i="11"/>
  <c r="Q2667" i="11"/>
  <c r="Q2666" i="11"/>
  <c r="Q2665" i="11"/>
  <c r="Q2664" i="11"/>
  <c r="Q2663" i="11"/>
  <c r="Q2662" i="11"/>
  <c r="Q2661" i="11"/>
  <c r="Q2660" i="11"/>
  <c r="Q2659" i="11"/>
  <c r="Q2658" i="11"/>
  <c r="Q2657" i="11"/>
  <c r="Q2656" i="11"/>
  <c r="Q2655" i="11"/>
  <c r="Q2654" i="11"/>
  <c r="Q2653" i="11"/>
  <c r="Q2652" i="11"/>
  <c r="Q2651" i="11"/>
  <c r="Q2650" i="11"/>
  <c r="Q2649" i="11"/>
  <c r="Q2648" i="11"/>
  <c r="Q2647" i="11"/>
  <c r="Q2646" i="11"/>
  <c r="Q2645" i="11"/>
  <c r="Q2644" i="11"/>
  <c r="Q2643" i="11"/>
  <c r="Q2642" i="11"/>
  <c r="Q2641" i="11"/>
  <c r="Q2640" i="11"/>
  <c r="Q2639" i="11"/>
  <c r="Q2638" i="11"/>
  <c r="Q2637" i="11"/>
  <c r="Q2636" i="11"/>
  <c r="Q2635" i="11"/>
  <c r="Q2634" i="11"/>
  <c r="Q2633" i="11"/>
  <c r="Q2632" i="11"/>
  <c r="Q2631" i="11"/>
  <c r="Q2630" i="11"/>
  <c r="Q2629" i="11"/>
  <c r="Q2628" i="11"/>
  <c r="Q2627" i="11"/>
  <c r="Q2626" i="11"/>
  <c r="Q2625" i="11"/>
  <c r="Q2624" i="11"/>
  <c r="Q2623" i="11"/>
  <c r="Q2622" i="11"/>
  <c r="Q2621" i="11"/>
  <c r="Q2620" i="11"/>
  <c r="Q2619" i="11"/>
  <c r="Q2618" i="11"/>
  <c r="Q2617" i="11"/>
  <c r="Q2616" i="11"/>
  <c r="Q2615" i="11"/>
  <c r="Q2614" i="11"/>
  <c r="Q2613" i="11"/>
  <c r="Q2612" i="11"/>
  <c r="Q2611" i="11"/>
  <c r="Q2610" i="11"/>
  <c r="Q2609" i="11"/>
  <c r="Q2608" i="11"/>
  <c r="Q2607" i="11"/>
  <c r="Q2606" i="11"/>
  <c r="Q2605" i="11"/>
  <c r="Q2604" i="11"/>
  <c r="Q2603" i="11"/>
  <c r="Q2602" i="11"/>
  <c r="Q2601" i="11"/>
  <c r="Q2600" i="11"/>
  <c r="Q2599" i="11"/>
  <c r="Q2598" i="11"/>
  <c r="Q2597" i="11"/>
  <c r="Q2596" i="11"/>
  <c r="Q2595" i="11"/>
  <c r="Q2594" i="11"/>
  <c r="Q2593" i="11"/>
  <c r="Q2592" i="11"/>
  <c r="Q2591" i="11"/>
  <c r="Q2590" i="11"/>
  <c r="Q2589" i="11"/>
  <c r="Q2588" i="11"/>
  <c r="Q2587" i="11"/>
  <c r="Q2586" i="11"/>
  <c r="Q2585" i="11"/>
  <c r="Q2584" i="11"/>
  <c r="Q2583" i="11"/>
  <c r="Q2582" i="11"/>
  <c r="Q2581" i="11"/>
  <c r="Q2580" i="11"/>
  <c r="Q2579" i="11"/>
  <c r="Q2578" i="11"/>
  <c r="Q2577" i="11"/>
  <c r="Q2576" i="11"/>
  <c r="Q2575" i="11"/>
  <c r="Q2574"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42" i="11"/>
  <c r="Q2541" i="11"/>
  <c r="Q2540" i="11"/>
  <c r="Q2539" i="11"/>
  <c r="Q2538" i="11"/>
  <c r="Q2537" i="11"/>
  <c r="Q2536" i="11"/>
  <c r="Q2535" i="11"/>
  <c r="Q2534" i="11"/>
  <c r="Q2533" i="11"/>
  <c r="Q2532" i="11"/>
  <c r="Q2531" i="11"/>
  <c r="Q2530" i="11"/>
  <c r="Q2529" i="11"/>
  <c r="Q2528" i="11"/>
  <c r="Q2527" i="11"/>
  <c r="Q2526" i="11"/>
  <c r="Q2525" i="11"/>
  <c r="Q2524" i="11"/>
  <c r="Q2523" i="11"/>
  <c r="Q2522" i="11"/>
  <c r="Q2521" i="11"/>
  <c r="Q2520" i="11"/>
  <c r="Q2519" i="11"/>
  <c r="Q2518" i="11"/>
  <c r="Q2517" i="11"/>
  <c r="Q2516" i="11"/>
  <c r="Q2515" i="11"/>
  <c r="Q2514" i="11"/>
  <c r="Q2513" i="11"/>
  <c r="Q2512" i="11"/>
  <c r="Q2511" i="11"/>
  <c r="Q2510" i="11"/>
  <c r="Q2509" i="11"/>
  <c r="Q2508" i="11"/>
  <c r="Q2507" i="11"/>
  <c r="Q2506" i="11"/>
  <c r="Q2505" i="11"/>
  <c r="Q2504" i="11"/>
  <c r="Q2503" i="11"/>
  <c r="Q2502" i="11"/>
  <c r="Q2501" i="11"/>
  <c r="Q2500" i="11"/>
  <c r="Q2499" i="11"/>
  <c r="Q2498" i="11"/>
  <c r="Q2497" i="11"/>
  <c r="Q2496" i="11"/>
  <c r="Q2495" i="11"/>
  <c r="Q2494" i="11"/>
  <c r="Q2493" i="11"/>
  <c r="Q2492" i="11"/>
  <c r="Q2491" i="11"/>
  <c r="Q2490" i="11"/>
  <c r="Q2489" i="11"/>
  <c r="Q2488" i="11"/>
  <c r="Q2487" i="11"/>
  <c r="Q2486" i="11"/>
  <c r="Q2485" i="11"/>
  <c r="Q2484" i="11"/>
  <c r="Q2483" i="11"/>
  <c r="Q2482" i="11"/>
  <c r="Q2481" i="11"/>
  <c r="Q2480" i="11"/>
  <c r="Q2479" i="11"/>
  <c r="Q2478" i="11"/>
  <c r="Q2477" i="11"/>
  <c r="Q2476" i="11"/>
  <c r="Q2475" i="11"/>
  <c r="Q2474" i="11"/>
  <c r="Q2473" i="11"/>
  <c r="Q2472" i="11"/>
  <c r="Q2471" i="11"/>
  <c r="Q2470" i="11"/>
  <c r="Q2469" i="11"/>
  <c r="Q2468" i="11"/>
  <c r="Q2467" i="11"/>
  <c r="Q2466" i="11"/>
  <c r="Q2465" i="11"/>
  <c r="Q2464" i="11"/>
  <c r="Q2463" i="11"/>
  <c r="Q2462" i="11"/>
  <c r="Q2461" i="11"/>
  <c r="Q2460" i="11"/>
  <c r="Q2459" i="11"/>
  <c r="Q2458" i="11"/>
  <c r="Q2457" i="11"/>
  <c r="Q2456" i="11"/>
  <c r="Q2455" i="11"/>
  <c r="Q2454" i="11"/>
  <c r="Q2453" i="11"/>
  <c r="Q2452" i="11"/>
  <c r="Q2451" i="11"/>
  <c r="Q2450" i="11"/>
  <c r="Q2449" i="11"/>
  <c r="Q2448" i="11"/>
  <c r="Q2447" i="11"/>
  <c r="Q2446" i="11"/>
  <c r="Q2445" i="11"/>
  <c r="Q2444" i="11"/>
  <c r="Q2443" i="11"/>
  <c r="Q2442" i="11"/>
  <c r="Q2441" i="11"/>
  <c r="Q2440" i="11"/>
  <c r="Q2439" i="11"/>
  <c r="Q2438" i="11"/>
  <c r="Q2437" i="11"/>
  <c r="Q2436" i="11"/>
  <c r="Q2435" i="11"/>
  <c r="Q2434" i="11"/>
  <c r="Q2433" i="11"/>
  <c r="Q2432" i="11"/>
  <c r="Q2431" i="11"/>
  <c r="Q2430" i="11"/>
  <c r="Q2429" i="11"/>
  <c r="Q2428" i="11"/>
  <c r="Q2427" i="11"/>
  <c r="Q2426" i="11"/>
  <c r="Q2425" i="11"/>
  <c r="Q2424" i="11"/>
  <c r="Q2423" i="11"/>
  <c r="Q2422" i="11"/>
  <c r="Q2421" i="11"/>
  <c r="Q2420" i="11"/>
  <c r="Q2419" i="11"/>
  <c r="Q2418" i="11"/>
  <c r="Q2417" i="11"/>
  <c r="Q2416" i="11"/>
  <c r="Q2415" i="11"/>
  <c r="Q2414" i="11"/>
  <c r="Q2413" i="11"/>
  <c r="Q2412" i="11"/>
  <c r="Q2411" i="11"/>
  <c r="Q2410" i="11"/>
  <c r="Q2409" i="11"/>
  <c r="Q2408" i="11"/>
  <c r="Q2407" i="11"/>
  <c r="Q2406" i="11"/>
  <c r="Q2405" i="11"/>
  <c r="Q2404" i="11"/>
  <c r="Q2403" i="11"/>
  <c r="Q2402" i="11"/>
  <c r="Q2401" i="11"/>
  <c r="Q2400" i="11"/>
  <c r="Q2399" i="11"/>
  <c r="Q2398" i="11"/>
  <c r="Q2397" i="11"/>
  <c r="Q2396" i="11"/>
  <c r="Q2395" i="11"/>
  <c r="Q2394" i="11"/>
  <c r="Q2393" i="11"/>
  <c r="Q2392" i="11"/>
  <c r="Q2391" i="11"/>
  <c r="Q2390" i="11"/>
  <c r="Q2389" i="11"/>
  <c r="Q2388" i="11"/>
  <c r="Q2387" i="11"/>
  <c r="Q2386" i="11"/>
  <c r="Q2385" i="11"/>
  <c r="Q2384" i="11"/>
  <c r="Q2383" i="11"/>
  <c r="Q2382" i="11"/>
  <c r="Q2381" i="11"/>
  <c r="Q2380" i="11"/>
  <c r="Q2379" i="11"/>
  <c r="Q2378" i="11"/>
  <c r="Q2377" i="11"/>
  <c r="Q2376" i="11"/>
  <c r="Q2375" i="11"/>
  <c r="Q2374" i="11"/>
  <c r="Q2373" i="11"/>
  <c r="Q2372" i="11"/>
  <c r="Q2371" i="11"/>
  <c r="Q2370" i="11"/>
  <c r="Q2369" i="11"/>
  <c r="Q2368" i="11"/>
  <c r="Q2367" i="11"/>
  <c r="Q2366" i="11"/>
  <c r="Q2365" i="11"/>
  <c r="Q2364" i="11"/>
  <c r="Q2363" i="11"/>
  <c r="Q2362" i="11"/>
  <c r="Q2361" i="11"/>
  <c r="Q2360" i="11"/>
  <c r="Q2359" i="11"/>
  <c r="Q2358" i="11"/>
  <c r="Q2357" i="11"/>
  <c r="Q2356" i="11"/>
  <c r="Q2355" i="11"/>
  <c r="Q2354" i="11"/>
  <c r="Q2353" i="11"/>
  <c r="Q2352" i="11"/>
  <c r="Q2351" i="11"/>
  <c r="Q2350" i="11"/>
  <c r="Q2349" i="11"/>
  <c r="Q2348" i="11"/>
  <c r="Q2347" i="11"/>
  <c r="Q2346" i="11"/>
  <c r="Q2345" i="11"/>
  <c r="Q2344" i="11"/>
  <c r="Q2343" i="11"/>
  <c r="Q2342" i="11"/>
  <c r="Q2341" i="11"/>
  <c r="Q2340" i="11"/>
  <c r="Q2339" i="11"/>
  <c r="Q2338" i="11"/>
  <c r="Q2337" i="11"/>
  <c r="Q2336" i="11"/>
  <c r="Q2335" i="11"/>
  <c r="Q2334" i="11"/>
  <c r="Q2333" i="11"/>
  <c r="Q2332" i="11"/>
  <c r="Q2331" i="11"/>
  <c r="Q2330" i="11"/>
  <c r="Q2329" i="11"/>
  <c r="Q2328" i="11"/>
  <c r="Q2327" i="11"/>
  <c r="Q2326" i="11"/>
  <c r="Q2325" i="11"/>
  <c r="Q2324" i="11"/>
  <c r="Q2323" i="11"/>
  <c r="Q2322" i="11"/>
  <c r="Q2321" i="11"/>
  <c r="Q2320" i="11"/>
  <c r="Q2319" i="11"/>
  <c r="Q2318" i="11"/>
  <c r="Q2317" i="11"/>
  <c r="Q2316" i="11"/>
  <c r="Q2315" i="11"/>
  <c r="Q2314" i="11"/>
  <c r="Q2313" i="11"/>
  <c r="Q2312" i="11"/>
  <c r="Q2311" i="11"/>
  <c r="Q2310" i="11"/>
  <c r="Q2309" i="11"/>
  <c r="Q2308" i="11"/>
  <c r="Q2307" i="11"/>
  <c r="Q2306" i="11"/>
  <c r="Q2305" i="11"/>
  <c r="Q2304" i="11"/>
  <c r="Q2303" i="11"/>
  <c r="Q2302" i="11"/>
  <c r="Q2301" i="11"/>
  <c r="Q2300" i="11"/>
  <c r="Q2299" i="11"/>
  <c r="Q2298" i="11"/>
  <c r="Q2297" i="11"/>
  <c r="Q2296" i="11"/>
  <c r="Q2295" i="11"/>
  <c r="Q2294" i="11"/>
  <c r="Q2293" i="11"/>
  <c r="Q2292" i="11"/>
  <c r="Q2291" i="11"/>
  <c r="Q2290" i="11"/>
  <c r="Q2289" i="11"/>
  <c r="Q2288" i="11"/>
  <c r="Q2287" i="11"/>
  <c r="Q2286" i="11"/>
  <c r="Q2285" i="11"/>
  <c r="Q2284" i="11"/>
  <c r="Q2283" i="11"/>
  <c r="Q2282" i="11"/>
  <c r="Q2281" i="11"/>
  <c r="Q2280" i="11"/>
  <c r="Q2279" i="11"/>
  <c r="Q2278" i="11"/>
  <c r="Q2277" i="11"/>
  <c r="Q2276" i="11"/>
  <c r="Q2275" i="11"/>
  <c r="Q2274" i="11"/>
  <c r="Q2273" i="11"/>
  <c r="Q2272" i="11"/>
  <c r="Q2271" i="11"/>
  <c r="Q2270" i="11"/>
  <c r="Q2269" i="11"/>
  <c r="Q2268" i="11"/>
  <c r="Q2267" i="11"/>
  <c r="Q2266" i="11"/>
  <c r="Q2265" i="11"/>
  <c r="Q2264" i="11"/>
  <c r="Q2263" i="11"/>
  <c r="Q2262" i="11"/>
  <c r="Q2261" i="11"/>
  <c r="Q2260" i="11"/>
  <c r="Q2259" i="11"/>
  <c r="Q2258" i="11"/>
  <c r="Q2257" i="11"/>
  <c r="Q2256" i="11"/>
  <c r="Q2255" i="11"/>
  <c r="Q2254" i="11"/>
  <c r="Q2253" i="11"/>
  <c r="Q2252" i="11"/>
  <c r="Q2251" i="11"/>
  <c r="Q2250" i="11"/>
  <c r="Q2249" i="11"/>
  <c r="Q2248" i="11"/>
  <c r="Q2247" i="11"/>
  <c r="Q2246" i="11"/>
  <c r="Q2245" i="11"/>
  <c r="Q2244" i="11"/>
  <c r="Q2243" i="11"/>
  <c r="Q2242" i="11"/>
  <c r="Q2241" i="11"/>
  <c r="Q2240" i="11"/>
  <c r="Q2239" i="11"/>
  <c r="Q2238" i="11"/>
  <c r="Q2237" i="11"/>
  <c r="Q2236" i="11"/>
  <c r="Q2235" i="11"/>
  <c r="Q2234" i="11"/>
  <c r="Q2233" i="11"/>
  <c r="Q2232" i="11"/>
  <c r="Q2231" i="11"/>
  <c r="Q2230" i="11"/>
  <c r="Q2229" i="11"/>
  <c r="Q2228" i="11"/>
  <c r="Q2227" i="11"/>
  <c r="Q2226" i="11"/>
  <c r="Q2225" i="11"/>
  <c r="Q2224" i="11"/>
  <c r="Q2223" i="11"/>
  <c r="Q2222" i="11"/>
  <c r="Q2221" i="11"/>
  <c r="Q2220" i="11"/>
  <c r="Q2219" i="11"/>
  <c r="Q2218" i="11"/>
  <c r="Q2217" i="11"/>
  <c r="Q2216" i="11"/>
  <c r="Q2215" i="11"/>
  <c r="Q2214" i="11"/>
  <c r="Q2213" i="11"/>
  <c r="Q2212" i="11"/>
  <c r="Q2211" i="11"/>
  <c r="Q2210" i="11"/>
  <c r="Q2209" i="11"/>
  <c r="Q2208" i="11"/>
  <c r="Q2207" i="11"/>
  <c r="Q2206" i="11"/>
  <c r="Q2205" i="11"/>
  <c r="Q2204" i="11"/>
  <c r="Q2203" i="11"/>
  <c r="Q2202" i="11"/>
  <c r="Q2201" i="11"/>
  <c r="Q2200" i="11"/>
  <c r="Q2199" i="11"/>
  <c r="Q2198" i="11"/>
  <c r="Q2197" i="11"/>
  <c r="Q2196" i="11"/>
  <c r="Q2195" i="11"/>
  <c r="Q2194" i="11"/>
  <c r="Q2193" i="11"/>
  <c r="Q2192" i="11"/>
  <c r="Q2191" i="11"/>
  <c r="Q2190" i="11"/>
  <c r="Q2189" i="11"/>
  <c r="Q2188" i="11"/>
  <c r="Q2187" i="11"/>
  <c r="Q2186" i="11"/>
  <c r="Q2185" i="11"/>
  <c r="Q2184" i="11"/>
  <c r="Q2183" i="11"/>
  <c r="Q2182" i="11"/>
  <c r="Q2181" i="11"/>
  <c r="Q2180" i="11"/>
  <c r="Q2179" i="11"/>
  <c r="Q2178" i="11"/>
  <c r="Q2177" i="11"/>
  <c r="Q2176" i="11"/>
  <c r="Q2175" i="11"/>
  <c r="Q2174" i="11"/>
  <c r="Q2173" i="11"/>
  <c r="Q2172"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43" i="11"/>
  <c r="Q2142" i="11"/>
  <c r="Q2141" i="11"/>
  <c r="Q2140" i="11"/>
  <c r="Q2139" i="11"/>
  <c r="Q2138" i="11"/>
  <c r="Q2137" i="11"/>
  <c r="Q2136" i="11"/>
  <c r="Q2135" i="11"/>
  <c r="Q2134" i="11"/>
  <c r="Q2133" i="11"/>
  <c r="Q2132" i="11"/>
  <c r="Q2131" i="11"/>
  <c r="Q2130" i="11"/>
  <c r="Q2129" i="11"/>
  <c r="Q2128" i="11"/>
  <c r="Q2127" i="11"/>
  <c r="Q2126" i="11"/>
  <c r="Q2125" i="11"/>
  <c r="Q2124" i="11"/>
  <c r="Q2123" i="11"/>
  <c r="Q2122" i="11"/>
  <c r="Q2121" i="11"/>
  <c r="Q2120" i="11"/>
  <c r="Q2119" i="11"/>
  <c r="Q2118" i="11"/>
  <c r="Q2117" i="11"/>
  <c r="Q2116" i="11"/>
  <c r="Q2115" i="11"/>
  <c r="Q2114" i="11"/>
  <c r="Q2113" i="11"/>
  <c r="Q2112" i="11"/>
  <c r="Q2111" i="11"/>
  <c r="Q2110" i="11"/>
  <c r="Q2109" i="11"/>
  <c r="Q2108" i="11"/>
  <c r="Q2107" i="11"/>
  <c r="Q2106" i="11"/>
  <c r="Q2105" i="11"/>
  <c r="Q2104" i="11"/>
  <c r="Q2103" i="11"/>
  <c r="Q2102" i="11"/>
  <c r="Q2101" i="11"/>
  <c r="Q2100" i="11"/>
  <c r="Q2099" i="11"/>
  <c r="Q2098" i="11"/>
  <c r="Q2097" i="11"/>
  <c r="Q2096" i="11"/>
  <c r="Q2095" i="11"/>
  <c r="Q2094" i="11"/>
  <c r="Q2093" i="11"/>
  <c r="Q2092" i="11"/>
  <c r="Q2091" i="11"/>
  <c r="Q2090" i="11"/>
  <c r="Q2089" i="11"/>
  <c r="Q2088" i="11"/>
  <c r="Q2087" i="11"/>
  <c r="Q2086" i="11"/>
  <c r="Q2085" i="11"/>
  <c r="Q2084" i="11"/>
  <c r="Q2083" i="11"/>
  <c r="Q2082" i="11"/>
  <c r="Q2081" i="11"/>
  <c r="Q2080" i="11"/>
  <c r="Q2079" i="11"/>
  <c r="Q2078" i="11"/>
  <c r="Q2077" i="11"/>
  <c r="Q2076" i="11"/>
  <c r="Q2075" i="11"/>
  <c r="Q2074" i="11"/>
  <c r="Q2073" i="11"/>
  <c r="Q2072" i="11"/>
  <c r="Q2071" i="11"/>
  <c r="Q2070" i="11"/>
  <c r="Q2069" i="11"/>
  <c r="Q2068" i="11"/>
  <c r="Q2067" i="11"/>
  <c r="Q2066" i="11"/>
  <c r="Q2065" i="11"/>
  <c r="Q2064" i="11"/>
  <c r="Q2063" i="11"/>
  <c r="Q2062" i="11"/>
  <c r="Q2061" i="11"/>
  <c r="Q2060" i="11"/>
  <c r="Q2059" i="11"/>
  <c r="Q2058" i="11"/>
  <c r="Q2057" i="11"/>
  <c r="Q2056" i="11"/>
  <c r="Q2055" i="11"/>
  <c r="Q2054" i="11"/>
  <c r="Q2053" i="11"/>
  <c r="Q2052" i="11"/>
  <c r="Q2051" i="11"/>
  <c r="Q2050" i="11"/>
  <c r="Q2049" i="11"/>
  <c r="Q2048" i="11"/>
  <c r="Q2047" i="11"/>
  <c r="Q2046" i="11"/>
  <c r="Q2045" i="11"/>
  <c r="Q2044" i="11"/>
  <c r="Q2043" i="11"/>
  <c r="Q2042" i="11"/>
  <c r="Q2041" i="11"/>
  <c r="Q2040" i="11"/>
  <c r="Q2039" i="11"/>
  <c r="Q2038" i="11"/>
  <c r="Q2037" i="11"/>
  <c r="Q2036" i="11"/>
  <c r="Q2035" i="11"/>
  <c r="Q2034" i="11"/>
  <c r="Q2033" i="11"/>
  <c r="Q2032" i="11"/>
  <c r="Q2031" i="11"/>
  <c r="Q2030" i="11"/>
  <c r="Q2029" i="11"/>
  <c r="Q2028" i="11"/>
  <c r="Q2027" i="11"/>
  <c r="Q2026" i="11"/>
  <c r="Q2025" i="11"/>
  <c r="Q2024" i="11"/>
  <c r="Q2023" i="11"/>
  <c r="Q2022" i="11"/>
  <c r="Q2021" i="11"/>
  <c r="Q2020" i="11"/>
  <c r="Q2019" i="11"/>
  <c r="Q2018" i="11"/>
  <c r="Q2017" i="11"/>
  <c r="Q2016" i="11"/>
  <c r="Q2015" i="11"/>
  <c r="Q2014" i="11"/>
  <c r="Q2013" i="11"/>
  <c r="Q2012" i="11"/>
  <c r="Q2011" i="11"/>
  <c r="Q2010" i="11"/>
  <c r="Q2009" i="11"/>
  <c r="Q2008" i="11"/>
  <c r="Q2007" i="11"/>
  <c r="Q2006" i="11"/>
  <c r="Q2005" i="11"/>
  <c r="Q2004" i="11"/>
  <c r="Q2003" i="11"/>
  <c r="Q2002" i="11"/>
  <c r="Q2001" i="11"/>
  <c r="Q2000" i="11"/>
  <c r="Q1999" i="11"/>
  <c r="Q1998" i="11"/>
  <c r="Q1997" i="11"/>
  <c r="Q1996" i="11"/>
  <c r="Q1995" i="11"/>
  <c r="Q1994" i="11"/>
  <c r="Q1993" i="11"/>
  <c r="Q1992" i="11"/>
  <c r="Q1991" i="11"/>
  <c r="Q1990" i="11"/>
  <c r="Q1989" i="11"/>
  <c r="Q1988" i="11"/>
  <c r="Q1987" i="11"/>
  <c r="Q1986" i="11"/>
  <c r="Q1985" i="11"/>
  <c r="Q1984" i="11"/>
  <c r="Q1983" i="11"/>
  <c r="Q1982" i="11"/>
  <c r="Q1981" i="11"/>
  <c r="Q1980" i="11"/>
  <c r="Q1979" i="11"/>
  <c r="Q1978" i="11"/>
  <c r="Q1977" i="11"/>
  <c r="Q1976" i="11"/>
  <c r="Q1975" i="11"/>
  <c r="Q1974" i="11"/>
  <c r="Q1973" i="11"/>
  <c r="Q1972" i="11"/>
  <c r="Q1971" i="11"/>
  <c r="Q1970" i="11"/>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24" i="11"/>
  <c r="AB38" i="12"/>
  <c r="AB37" i="12"/>
  <c r="AB36" i="12"/>
  <c r="AB35" i="12"/>
  <c r="AB34" i="12"/>
  <c r="AB33" i="12"/>
  <c r="AB32" i="12"/>
  <c r="AB31" i="12"/>
  <c r="AB30" i="12"/>
  <c r="AB29" i="12"/>
  <c r="AB28" i="12"/>
  <c r="AB27" i="12"/>
  <c r="AB26" i="12"/>
  <c r="AB25" i="12"/>
  <c r="AB24" i="12"/>
  <c r="AB23" i="12"/>
  <c r="AB22" i="12"/>
  <c r="AB21" i="12"/>
  <c r="AB20" i="12"/>
  <c r="AB19" i="12"/>
  <c r="AB18" i="12"/>
  <c r="AB17" i="12"/>
  <c r="AB16" i="12"/>
  <c r="AB15" i="12"/>
  <c r="AB14" i="12"/>
  <c r="AB13" i="12"/>
  <c r="AB12" i="12"/>
  <c r="AB11" i="12"/>
  <c r="AI30" i="11"/>
  <c r="AI28" i="11"/>
  <c r="AI27" i="11"/>
  <c r="AI26" i="11"/>
  <c r="AI25" i="11"/>
  <c r="AI24" i="11"/>
  <c r="AI18" i="11"/>
  <c r="AI16" i="11"/>
  <c r="AI15" i="11"/>
  <c r="AI13" i="11"/>
  <c r="AI11" i="11"/>
  <c r="AI8" i="11"/>
  <c r="AI6" i="11"/>
  <c r="AI4" i="11"/>
  <c r="AI29" i="11"/>
  <c r="AI9" i="11"/>
  <c r="AI5" i="11"/>
  <c r="AI23" i="11"/>
  <c r="AI22" i="11"/>
  <c r="AI21" i="11"/>
  <c r="AI20" i="11"/>
  <c r="AI19" i="11"/>
  <c r="AI17" i="11"/>
  <c r="AI14" i="11"/>
  <c r="AI12" i="11"/>
  <c r="AI7" i="11"/>
  <c r="AI3" i="11"/>
  <c r="BA4" i="12" s="1"/>
  <c r="AI10" i="11"/>
  <c r="AJ2" i="11" l="1"/>
  <c r="AJ3" i="11"/>
  <c r="AJ4" i="11"/>
  <c r="AJ5" i="11"/>
  <c r="AJ6" i="11"/>
  <c r="AJ7" i="11"/>
  <c r="AJ8" i="11"/>
  <c r="AJ9" i="11"/>
  <c r="AJ10" i="11"/>
  <c r="AJ11" i="11"/>
  <c r="AJ12" i="11"/>
  <c r="AJ13" i="11"/>
  <c r="AJ14" i="11"/>
  <c r="AJ15" i="11"/>
  <c r="AJ16" i="11"/>
  <c r="AJ17" i="11"/>
  <c r="AJ18" i="11"/>
  <c r="AJ19" i="11"/>
  <c r="AJ20" i="11"/>
  <c r="E6" i="12"/>
  <c r="F6" i="12"/>
  <c r="G6" i="12"/>
  <c r="H6" i="12"/>
  <c r="I6" i="12"/>
  <c r="J6" i="12"/>
  <c r="K6" i="12"/>
  <c r="L6" i="12"/>
  <c r="M6" i="12"/>
  <c r="N6" i="12"/>
  <c r="O6" i="12"/>
  <c r="P6" i="12"/>
  <c r="Q6" i="12"/>
  <c r="R6" i="12"/>
  <c r="S6" i="12"/>
  <c r="T6" i="12"/>
  <c r="U6" i="12"/>
  <c r="V6" i="12"/>
  <c r="W6" i="12"/>
  <c r="X6" i="12"/>
  <c r="AJ1" i="11"/>
  <c r="Z77" i="11"/>
  <c r="Z80" i="11"/>
  <c r="Z1500" i="11"/>
  <c r="Z1492" i="11"/>
  <c r="Z1487" i="11"/>
  <c r="Z1471" i="11"/>
  <c r="Z1468" i="11"/>
  <c r="Z1053" i="11"/>
  <c r="Z1044" i="11"/>
  <c r="Z648" i="11"/>
  <c r="Z142" i="11"/>
  <c r="Z118" i="11"/>
  <c r="Z99" i="11"/>
  <c r="Z89" i="11"/>
  <c r="Z1402" i="11"/>
  <c r="Z1394" i="11"/>
  <c r="Z1387" i="11"/>
  <c r="Z655" i="11"/>
  <c r="Z649" i="11"/>
  <c r="Z633" i="11"/>
  <c r="Z111" i="11"/>
  <c r="Z606" i="11"/>
  <c r="Z596" i="11"/>
  <c r="Z582" i="11"/>
  <c r="Z576" i="11"/>
  <c r="Z567" i="11"/>
  <c r="Z537" i="11"/>
  <c r="Z534" i="11"/>
  <c r="Z528" i="11"/>
  <c r="Z517" i="11"/>
  <c r="Z511" i="11"/>
  <c r="Z505" i="11"/>
  <c r="Z502" i="11"/>
  <c r="Z496" i="11"/>
  <c r="Z491" i="11"/>
  <c r="Z484" i="11"/>
  <c r="Z1467" i="11"/>
  <c r="Z1064" i="11"/>
  <c r="Z1040" i="11"/>
  <c r="Z155" i="11"/>
  <c r="Z97" i="11"/>
  <c r="Z1399" i="11"/>
  <c r="Z577" i="11"/>
  <c r="Z564" i="11"/>
  <c r="Z548" i="11"/>
  <c r="Z543" i="11"/>
  <c r="Z531" i="11"/>
  <c r="Z516" i="11"/>
  <c r="Z494" i="11"/>
  <c r="Z482" i="11"/>
  <c r="Z1660" i="11"/>
  <c r="Z1655" i="11"/>
  <c r="Z1642" i="11"/>
  <c r="Z1636" i="11"/>
  <c r="Z1630" i="11"/>
  <c r="Z1615" i="11"/>
  <c r="Z1614" i="11"/>
  <c r="Z1600" i="11"/>
  <c r="Z1582" i="11"/>
  <c r="Z1573" i="11"/>
  <c r="Z1566" i="11"/>
  <c r="Z1561" i="11"/>
  <c r="Z1496" i="11"/>
  <c r="Z1494" i="11"/>
  <c r="Z1486" i="11"/>
  <c r="Z1484" i="11"/>
  <c r="Z1456" i="11"/>
  <c r="Z1452" i="11"/>
  <c r="Z1448" i="11"/>
  <c r="Z1445" i="11"/>
  <c r="Z1430" i="11"/>
  <c r="Z1416" i="11"/>
  <c r="Z1409" i="11"/>
  <c r="Z1097" i="11"/>
  <c r="Z1093" i="11"/>
  <c r="Z1065" i="11"/>
  <c r="Z1028" i="11"/>
  <c r="Z645" i="11"/>
  <c r="Z641" i="11"/>
  <c r="Z613" i="11"/>
  <c r="Z151" i="11"/>
  <c r="Z138" i="11"/>
  <c r="Z125" i="11"/>
  <c r="Z110" i="11"/>
  <c r="Z101" i="11"/>
  <c r="Z91" i="11"/>
  <c r="Z79" i="11"/>
  <c r="Z78" i="11"/>
  <c r="Z1401" i="11"/>
  <c r="Z1398" i="11"/>
  <c r="Z1396" i="11"/>
  <c r="Z1392" i="11"/>
  <c r="Z1391" i="11"/>
  <c r="Z1389" i="11"/>
  <c r="Z1385" i="11"/>
  <c r="Z658" i="11"/>
  <c r="Z654" i="11"/>
  <c r="Z609" i="11"/>
  <c r="Z148" i="11"/>
  <c r="Z130" i="11"/>
  <c r="Z96" i="11"/>
  <c r="Z599" i="11"/>
  <c r="Z597" i="11"/>
  <c r="Z589" i="11"/>
  <c r="Z581" i="11"/>
  <c r="Z580" i="11"/>
  <c r="Z557" i="11"/>
  <c r="Z551" i="11"/>
  <c r="Z550" i="11"/>
  <c r="Z547" i="11"/>
  <c r="Z546" i="11"/>
  <c r="Z542" i="11"/>
  <c r="Z541" i="11"/>
  <c r="Z539" i="11"/>
  <c r="Z538" i="11"/>
  <c r="Z536" i="11"/>
  <c r="Z533" i="11"/>
  <c r="Z525" i="11"/>
  <c r="Z520" i="11"/>
  <c r="Z518" i="11"/>
  <c r="Z515" i="11"/>
  <c r="Z506" i="11"/>
  <c r="Z503" i="11"/>
  <c r="Z492" i="11"/>
  <c r="Z485" i="11"/>
  <c r="Z477" i="11"/>
  <c r="Z81" i="11"/>
  <c r="Z92" i="11"/>
  <c r="Z112" i="11"/>
  <c r="Z128" i="11"/>
  <c r="Z226" i="11"/>
  <c r="Z235" i="11"/>
  <c r="Z266" i="11"/>
  <c r="Z326" i="11"/>
  <c r="Z347" i="11"/>
  <c r="Z398" i="11"/>
  <c r="Z399" i="11"/>
  <c r="Z408" i="11"/>
  <c r="Z414" i="11"/>
  <c r="Z415" i="11"/>
  <c r="Z419" i="11"/>
  <c r="Z429" i="11"/>
  <c r="Z439" i="11"/>
  <c r="Z449" i="11"/>
  <c r="Z1544" i="11"/>
  <c r="Z1521" i="11"/>
  <c r="Z1453" i="11"/>
  <c r="Z1050" i="11"/>
  <c r="Z159" i="11"/>
  <c r="Z84" i="11"/>
  <c r="Z1397" i="11"/>
  <c r="Z1390" i="11"/>
  <c r="Z656" i="11"/>
  <c r="Z607" i="11"/>
  <c r="Z568" i="11"/>
  <c r="Z526" i="11"/>
  <c r="Z487" i="11"/>
  <c r="Z460" i="11"/>
  <c r="Z471" i="11"/>
  <c r="Z490" i="11"/>
  <c r="Z3" i="11"/>
  <c r="Z46" i="11"/>
  <c r="Z122" i="11"/>
  <c r="Z194" i="11"/>
  <c r="Z225" i="11"/>
  <c r="Z246" i="11"/>
  <c r="Z287" i="11"/>
  <c r="Z507" i="11"/>
  <c r="Z521" i="11"/>
  <c r="Z563" i="11"/>
  <c r="Z702" i="11"/>
  <c r="Z795" i="11"/>
  <c r="Z820" i="11"/>
  <c r="Z874" i="11"/>
  <c r="Z971" i="11"/>
  <c r="Z1001" i="11"/>
  <c r="Z1015" i="11"/>
  <c r="Z1023" i="11"/>
  <c r="Z1030" i="11"/>
  <c r="Z1033" i="11"/>
  <c r="Z1038" i="11"/>
  <c r="Z1043" i="11"/>
  <c r="Z1049" i="11"/>
  <c r="Z1061" i="11"/>
  <c r="Z1067" i="11"/>
  <c r="Z1074" i="11"/>
  <c r="Z1083" i="11"/>
  <c r="Z1090" i="11"/>
  <c r="Z1099" i="11"/>
  <c r="Z1111" i="11"/>
  <c r="Z1114" i="11"/>
  <c r="Z1122" i="11"/>
  <c r="Z1134" i="11"/>
  <c r="Z1145" i="11"/>
  <c r="Z1153" i="11"/>
  <c r="Z1156" i="11"/>
  <c r="Z1162" i="11"/>
  <c r="Z1173" i="11"/>
  <c r="Z1186" i="11"/>
  <c r="Z1199" i="11"/>
  <c r="Z47" i="11"/>
  <c r="Z129" i="11"/>
  <c r="Z184" i="11"/>
  <c r="Z256" i="11"/>
  <c r="Z306" i="11"/>
  <c r="Z572" i="11"/>
  <c r="Z620" i="11"/>
  <c r="Z662" i="11"/>
  <c r="Z830" i="11"/>
  <c r="Z920" i="11"/>
  <c r="Z1220" i="11"/>
  <c r="Z1234" i="11"/>
  <c r="Z1506" i="11"/>
  <c r="Z1531" i="11"/>
  <c r="Z1567" i="11"/>
  <c r="Z1579" i="11"/>
  <c r="Z1596" i="11"/>
  <c r="Z1626" i="11"/>
  <c r="Z1662" i="11"/>
  <c r="Z1691" i="11"/>
  <c r="Z1776" i="11"/>
  <c r="Z1795" i="11"/>
  <c r="Z1892" i="11"/>
  <c r="Z20" i="11"/>
  <c r="Z62" i="11"/>
  <c r="Z102" i="11"/>
  <c r="Z170" i="11"/>
  <c r="Z316" i="11"/>
  <c r="Z357" i="11"/>
  <c r="Z374" i="11"/>
  <c r="Z524" i="11"/>
  <c r="Z585" i="11"/>
  <c r="Z588" i="11"/>
  <c r="Z594" i="11"/>
  <c r="Z612" i="11"/>
  <c r="Z664" i="11"/>
  <c r="Z671" i="11"/>
  <c r="Z697" i="11"/>
  <c r="Z773" i="11"/>
  <c r="Z794" i="11"/>
  <c r="Z844" i="11"/>
  <c r="Z891" i="11"/>
  <c r="Z987" i="11"/>
  <c r="Z1236" i="11"/>
  <c r="Z1240" i="11"/>
  <c r="Z1248" i="11"/>
  <c r="Z1524" i="11"/>
  <c r="Z1541" i="11"/>
  <c r="Z1558" i="11"/>
  <c r="Z1572" i="11"/>
  <c r="Z1586" i="11"/>
  <c r="Z1606" i="11"/>
  <c r="Z1612" i="11"/>
  <c r="Z1622" i="11"/>
  <c r="Z1646" i="11"/>
  <c r="Z1658" i="11"/>
  <c r="Z1677" i="11"/>
  <c r="Z1703" i="11"/>
  <c r="Z1711" i="11"/>
  <c r="Z1731" i="11"/>
  <c r="Z1761" i="11"/>
  <c r="Z1765" i="11"/>
  <c r="Z1779" i="11"/>
  <c r="Z1799" i="11"/>
  <c r="Z1863" i="11"/>
  <c r="Z1882" i="11"/>
  <c r="Z1906" i="11"/>
  <c r="Z1914" i="11"/>
  <c r="Z1920" i="11"/>
  <c r="Z10" i="11"/>
  <c r="Z252" i="11"/>
  <c r="Z504" i="11"/>
  <c r="Z758" i="11"/>
  <c r="Z818" i="11"/>
  <c r="Z907" i="11"/>
  <c r="Z940" i="11"/>
  <c r="Z1233" i="11"/>
  <c r="Z1247" i="11"/>
  <c r="Z1553" i="11"/>
  <c r="Z1587" i="11"/>
  <c r="Z1631" i="11"/>
  <c r="Z1684" i="11"/>
  <c r="Z1723" i="11"/>
  <c r="Z1783" i="11"/>
  <c r="Z1794" i="11"/>
  <c r="Z1899" i="11"/>
  <c r="Z1924" i="11"/>
  <c r="Z51" i="11"/>
  <c r="Z153" i="11"/>
  <c r="Z169" i="11"/>
  <c r="Z174" i="11"/>
  <c r="Z251" i="11"/>
  <c r="Z332" i="11"/>
  <c r="Z373" i="11"/>
  <c r="Z519" i="11"/>
  <c r="Z566" i="11"/>
  <c r="Z587" i="11"/>
  <c r="Z592" i="11"/>
  <c r="Z632" i="11"/>
  <c r="Z660" i="11"/>
  <c r="Z770" i="11"/>
  <c r="Z892" i="11"/>
  <c r="Z936" i="11"/>
  <c r="Z974" i="11"/>
  <c r="Z989" i="11"/>
  <c r="Z1235" i="11"/>
  <c r="Z1238" i="11"/>
  <c r="Z1245" i="11"/>
  <c r="Z1253" i="11"/>
  <c r="Z1523" i="11"/>
  <c r="Z1535" i="11"/>
  <c r="Z1559" i="11"/>
  <c r="Z1581" i="11"/>
  <c r="Z1589" i="11"/>
  <c r="Z1667" i="11"/>
  <c r="Z1682" i="11"/>
  <c r="Z1685" i="11"/>
  <c r="Z1697" i="11"/>
  <c r="Z1704" i="11"/>
  <c r="Z2" i="11"/>
  <c r="Z553" i="11"/>
  <c r="Z562" i="11"/>
  <c r="Z678" i="11"/>
  <c r="Z760" i="11"/>
  <c r="Z762" i="11"/>
  <c r="Z765" i="11"/>
  <c r="Z766" i="11"/>
  <c r="Z767" i="11"/>
  <c r="Z772" i="11"/>
  <c r="Z776" i="11"/>
  <c r="Z778" i="11"/>
  <c r="Z779" i="11"/>
  <c r="Z782" i="11"/>
  <c r="Z786" i="11"/>
  <c r="Z787" i="11"/>
  <c r="Z788" i="11"/>
  <c r="Z790" i="11"/>
  <c r="Z793" i="11"/>
  <c r="Z800" i="11"/>
  <c r="Z801" i="11"/>
  <c r="Z808" i="11"/>
  <c r="Z810" i="11"/>
  <c r="Z811" i="11"/>
  <c r="Z821" i="11"/>
  <c r="Z824" i="11"/>
  <c r="Z825" i="11"/>
  <c r="Z826" i="11"/>
  <c r="Z827" i="11"/>
  <c r="Z831" i="11"/>
  <c r="Z839" i="11"/>
  <c r="Z842" i="11"/>
  <c r="Z846" i="11"/>
  <c r="Z847" i="11"/>
  <c r="Z848" i="11"/>
  <c r="Z851" i="11"/>
  <c r="Z853" i="11"/>
  <c r="Z855" i="11"/>
  <c r="Z859" i="11"/>
  <c r="Z863" i="11"/>
  <c r="Z865" i="11"/>
  <c r="Z868" i="11"/>
  <c r="Z872" i="11"/>
  <c r="Z897" i="11"/>
  <c r="Z899" i="11"/>
  <c r="Z909" i="11"/>
  <c r="Z912" i="11"/>
  <c r="Z913" i="11"/>
  <c r="Z914" i="11"/>
  <c r="Z919" i="11"/>
  <c r="Z923" i="11"/>
  <c r="Z927" i="11"/>
  <c r="Z930" i="11"/>
  <c r="Z932" i="11"/>
  <c r="Z933" i="11"/>
  <c r="Z938" i="11"/>
  <c r="Z941" i="11"/>
  <c r="Z942" i="11"/>
  <c r="Z949" i="11"/>
  <c r="Z951" i="11"/>
  <c r="Z952" i="11"/>
  <c r="Z956" i="11"/>
  <c r="Z958" i="11"/>
  <c r="Z962" i="11"/>
  <c r="Z965" i="11"/>
  <c r="Z966" i="11"/>
  <c r="Z967" i="11"/>
  <c r="Z968" i="11"/>
  <c r="Z972" i="11"/>
  <c r="Z993" i="11"/>
  <c r="Z579" i="11"/>
  <c r="Z624" i="11"/>
  <c r="Z692" i="11"/>
  <c r="Z1119" i="11"/>
  <c r="Z1194" i="11"/>
  <c r="Z1195" i="11"/>
  <c r="Z1010" i="11"/>
  <c r="Z1241" i="11"/>
  <c r="Z1244" i="11"/>
  <c r="Z1250" i="11"/>
  <c r="Z1604" i="11"/>
  <c r="Z1767" i="11"/>
  <c r="Z1856" i="11"/>
  <c r="Z1861" i="11"/>
  <c r="Z1868" i="11"/>
  <c r="Z1875" i="11"/>
  <c r="Z1886" i="11"/>
  <c r="Z1905" i="11"/>
  <c r="Z1916" i="11"/>
  <c r="Z1930" i="11"/>
  <c r="Z514" i="11"/>
  <c r="Z565" i="11"/>
  <c r="Z578" i="11"/>
  <c r="Z622" i="11"/>
  <c r="Z650" i="11"/>
  <c r="Z652" i="11"/>
  <c r="Z666" i="11"/>
  <c r="Z1007" i="11"/>
  <c r="Z1011" i="11"/>
  <c r="Z1013" i="11"/>
  <c r="Z1019" i="11"/>
  <c r="Z1175" i="11"/>
  <c r="Z1178" i="11"/>
  <c r="Z1200" i="11"/>
  <c r="Z1204" i="11"/>
  <c r="Z1207" i="11"/>
  <c r="Z1225" i="11"/>
  <c r="Z1231" i="11"/>
  <c r="Z1528" i="11"/>
  <c r="Z1652" i="11"/>
  <c r="Z1705" i="11"/>
  <c r="Z1730" i="11"/>
  <c r="Z1745" i="11"/>
  <c r="Z1746" i="11"/>
  <c r="Z1753" i="11"/>
  <c r="Z1777" i="11"/>
  <c r="Z1784" i="11"/>
  <c r="Z1788" i="11"/>
  <c r="Z1789" i="11"/>
  <c r="Z1793" i="11"/>
  <c r="Z1860" i="11"/>
  <c r="Z1864" i="11"/>
  <c r="Z1867" i="11"/>
  <c r="Z1890" i="11"/>
  <c r="Z1891" i="11"/>
  <c r="Z1900" i="11"/>
  <c r="Z1909" i="11"/>
  <c r="Z1923" i="11"/>
  <c r="Z559" i="11"/>
  <c r="Z570" i="11"/>
  <c r="Z584" i="11"/>
  <c r="Z591" i="11"/>
  <c r="Z616" i="11"/>
  <c r="Z1085" i="11"/>
  <c r="Z1203" i="11"/>
  <c r="Z1209" i="11"/>
  <c r="Z1215" i="11"/>
  <c r="Z1226" i="11"/>
  <c r="Z1259" i="11"/>
  <c r="Z1585" i="11"/>
  <c r="Z1742" i="11"/>
  <c r="Z1755" i="11"/>
  <c r="Z1759" i="11"/>
  <c r="Z1764" i="11"/>
  <c r="Z1772" i="11"/>
  <c r="Z1778" i="11"/>
  <c r="Z1871" i="11"/>
  <c r="Z1881" i="11"/>
  <c r="Z1913" i="11"/>
  <c r="Z1919" i="11"/>
  <c r="Z611" i="11"/>
  <c r="Z640" i="11"/>
  <c r="Z642" i="11"/>
  <c r="Z754" i="11"/>
  <c r="Z1503" i="11"/>
  <c r="Z1929" i="11"/>
  <c r="Z1927" i="11"/>
  <c r="Z1922" i="11"/>
  <c r="Z1921" i="11"/>
  <c r="Z1915" i="11"/>
  <c r="Z1912" i="11"/>
  <c r="Z1911" i="11"/>
  <c r="Z1904" i="11"/>
  <c r="Z1902" i="11"/>
  <c r="Z1897" i="11"/>
  <c r="Z1893" i="11"/>
  <c r="Z1888" i="11"/>
  <c r="Z1887" i="11"/>
  <c r="Z1885" i="11"/>
  <c r="Z1879" i="11"/>
  <c r="Z1878" i="11"/>
  <c r="Z1876" i="11"/>
  <c r="Z1853" i="11"/>
  <c r="Z1852" i="11"/>
  <c r="Z1849" i="11"/>
  <c r="Z1848" i="11"/>
  <c r="Z1847" i="11"/>
  <c r="Z1841" i="11"/>
  <c r="Z1834" i="11"/>
  <c r="Z1832" i="11"/>
  <c r="Z1824" i="11"/>
  <c r="Z1821" i="11"/>
  <c r="Z1820" i="11"/>
  <c r="Z1819" i="11"/>
  <c r="Z1817" i="11"/>
  <c r="Z1816" i="11"/>
  <c r="Z1811" i="11"/>
  <c r="Z1808" i="11"/>
  <c r="Z1807" i="11"/>
  <c r="Z1806" i="11"/>
  <c r="Z1803" i="11"/>
  <c r="Z1800" i="11"/>
  <c r="Z1797" i="11"/>
  <c r="Z1641" i="11"/>
  <c r="Z1635" i="11"/>
  <c r="Z1633" i="11"/>
  <c r="Z1625" i="11"/>
  <c r="Z1616" i="11"/>
  <c r="Z1613" i="11"/>
  <c r="Z1610" i="11"/>
  <c r="Z1605" i="11"/>
  <c r="Z1601" i="11"/>
  <c r="Z1598" i="11"/>
  <c r="Z1593" i="11"/>
  <c r="Z1575" i="11"/>
  <c r="Z1557" i="11"/>
  <c r="Z1534" i="11"/>
  <c r="Z1519" i="11"/>
  <c r="Z1516" i="11"/>
  <c r="Z1514" i="11"/>
  <c r="Z1513" i="11"/>
  <c r="Z1505" i="11"/>
  <c r="Z1502" i="11"/>
  <c r="Z1499" i="11"/>
  <c r="Z1491" i="11"/>
  <c r="Z1490" i="11"/>
  <c r="Z1489" i="11"/>
  <c r="Z1488" i="11"/>
  <c r="Z1483" i="11"/>
  <c r="Z1482" i="11"/>
  <c r="Z1481" i="11"/>
  <c r="Z1480" i="11"/>
  <c r="Z1479" i="11"/>
  <c r="Z1476" i="11"/>
  <c r="Z1474" i="11"/>
  <c r="Z1472" i="11"/>
  <c r="Z1465" i="11"/>
  <c r="Z1464" i="11"/>
  <c r="Z1462" i="11"/>
  <c r="Z1461" i="11"/>
  <c r="Z1460" i="11"/>
  <c r="Z1457" i="11"/>
  <c r="Z1454" i="11"/>
  <c r="Z1451" i="11"/>
  <c r="Z1450" i="11"/>
  <c r="Z1447" i="11"/>
  <c r="Z1444" i="11"/>
  <c r="Z1439" i="11"/>
  <c r="Z1437" i="11"/>
  <c r="Z1436" i="11"/>
  <c r="Z1435" i="11"/>
  <c r="Z1431" i="11"/>
  <c r="Z1427" i="11"/>
  <c r="Z1426" i="11"/>
  <c r="Z1421" i="11"/>
  <c r="Z1417" i="11"/>
  <c r="Z1415" i="11"/>
  <c r="Z1414" i="11"/>
  <c r="Z1411" i="11"/>
  <c r="Z1410" i="11"/>
  <c r="Z1407" i="11"/>
  <c r="Z1406" i="11"/>
  <c r="Z1098" i="11"/>
  <c r="Z1089" i="11"/>
  <c r="Z1084" i="11"/>
  <c r="Z1073" i="11"/>
  <c r="Z1070" i="11"/>
  <c r="Z1068" i="11"/>
  <c r="Z1059" i="11"/>
  <c r="Z1047" i="11"/>
  <c r="Z1041" i="11"/>
  <c r="Z615" i="11"/>
  <c r="Z164" i="11"/>
  <c r="Z134" i="11"/>
  <c r="Z124" i="11"/>
  <c r="Z120" i="11"/>
  <c r="Z86" i="11"/>
  <c r="Z83" i="11"/>
  <c r="Z1791" i="11"/>
  <c r="Z1790" i="11"/>
  <c r="Z1786" i="11"/>
  <c r="Z1782" i="11"/>
  <c r="Z1781" i="11"/>
  <c r="Z1773" i="11"/>
  <c r="Z1770" i="11"/>
  <c r="Z1769" i="11"/>
  <c r="Z1768" i="11"/>
  <c r="Z1766" i="11"/>
  <c r="Z1762" i="11"/>
  <c r="Z1760" i="11"/>
  <c r="Z1758" i="11"/>
  <c r="Z1757" i="11"/>
  <c r="Z1756" i="11"/>
  <c r="Z1754" i="11"/>
  <c r="Z1752" i="11"/>
  <c r="Z1751" i="11"/>
  <c r="Z1749" i="11"/>
  <c r="Z1748" i="11"/>
  <c r="Z1747" i="11"/>
  <c r="Z1744" i="11"/>
  <c r="Z1743" i="11"/>
  <c r="Z1741" i="11"/>
  <c r="Z1740" i="11"/>
  <c r="Z1739" i="11"/>
  <c r="Z1738" i="11"/>
  <c r="Z1737" i="11"/>
  <c r="Z1736" i="11"/>
  <c r="Z1735" i="11"/>
  <c r="Z1734" i="11"/>
  <c r="Z1733" i="11"/>
  <c r="Z1732" i="11"/>
  <c r="Z1728" i="11"/>
  <c r="Z1727" i="11"/>
  <c r="Z1726" i="11"/>
  <c r="Z1725" i="11"/>
  <c r="Z1721" i="11"/>
  <c r="Z1720" i="11"/>
  <c r="Z1719" i="11"/>
  <c r="Z1718" i="11"/>
  <c r="Z1717" i="11"/>
  <c r="Z1716" i="11"/>
  <c r="Z1715" i="11"/>
  <c r="Z1714" i="11"/>
  <c r="Z1713" i="11"/>
  <c r="Z1712" i="11"/>
  <c r="Z1710" i="11"/>
  <c r="Z1709" i="11"/>
  <c r="Z1707" i="11"/>
  <c r="Z1706" i="11"/>
  <c r="Z1702" i="11"/>
  <c r="Z1701" i="11"/>
  <c r="Z1699" i="11"/>
  <c r="Z1698" i="11"/>
  <c r="Z1695" i="11"/>
  <c r="Z1694" i="11"/>
  <c r="Z1692" i="11"/>
  <c r="Z1690" i="11"/>
  <c r="Z1689" i="11"/>
  <c r="Z1556" i="11"/>
  <c r="Z1525" i="11"/>
  <c r="Z1501" i="11"/>
  <c r="Z1493" i="11"/>
  <c r="Z1459" i="11"/>
  <c r="Z1080" i="11"/>
  <c r="Z1055" i="11"/>
  <c r="Z651" i="11"/>
  <c r="Z161" i="11"/>
  <c r="Z136" i="11"/>
  <c r="Z115" i="11"/>
  <c r="Z1395" i="11"/>
  <c r="Z1393" i="11"/>
  <c r="Z636" i="11"/>
  <c r="Z629" i="11"/>
  <c r="Z558" i="11"/>
  <c r="Z555" i="11"/>
  <c r="Z545" i="11"/>
  <c r="Z509" i="11"/>
  <c r="Z500" i="11"/>
  <c r="Z489" i="11"/>
  <c r="Z478" i="11"/>
  <c r="Z455" i="11"/>
  <c r="Z456" i="11"/>
  <c r="Z470" i="11"/>
  <c r="Z480" i="11"/>
  <c r="Z481" i="11"/>
  <c r="Z497" i="11"/>
  <c r="Z498" i="11"/>
  <c r="Z5" i="11"/>
  <c r="Z87" i="11"/>
  <c r="Z88" i="11"/>
  <c r="Z154" i="11"/>
  <c r="Z204" i="11"/>
  <c r="Z215" i="11"/>
  <c r="Z236" i="11"/>
  <c r="Z276" i="11"/>
  <c r="Z378" i="11"/>
  <c r="Z388" i="11"/>
  <c r="Z510" i="11"/>
  <c r="Z527" i="11"/>
  <c r="Z573" i="11"/>
  <c r="Z601" i="11"/>
  <c r="Z757" i="11"/>
  <c r="Z806" i="11"/>
  <c r="Z836" i="11"/>
  <c r="Z840" i="11"/>
  <c r="Z959" i="11"/>
  <c r="Z978" i="11"/>
  <c r="Z982" i="11"/>
  <c r="Z1005" i="11"/>
  <c r="Z1016" i="11"/>
  <c r="Z1017" i="11"/>
  <c r="Z1026" i="11"/>
  <c r="Z1029" i="11"/>
  <c r="Z1032" i="11"/>
  <c r="Z1035" i="11"/>
  <c r="Z1037" i="11"/>
  <c r="Z1039" i="11"/>
  <c r="Z1046" i="11"/>
  <c r="Z1048" i="11"/>
  <c r="Z1052" i="11"/>
  <c r="Z1058" i="11"/>
  <c r="Z1062" i="11"/>
  <c r="Z1069" i="11"/>
  <c r="Z1071" i="11"/>
  <c r="Z1079" i="11"/>
  <c r="Z1087" i="11"/>
  <c r="Z1088" i="11"/>
  <c r="Z1094" i="11"/>
  <c r="Z1100" i="11"/>
  <c r="Z1109" i="11"/>
  <c r="Z1113" i="11"/>
  <c r="Z1115" i="11"/>
  <c r="Z1132" i="11"/>
  <c r="Z1133" i="11"/>
  <c r="Z1144" i="11"/>
  <c r="Z1152" i="11"/>
  <c r="Z1155" i="11"/>
  <c r="Z1159" i="11"/>
  <c r="Z1164" i="11"/>
  <c r="Z1172" i="11"/>
  <c r="Z1176" i="11"/>
  <c r="Z1190" i="11"/>
  <c r="Z1192" i="11"/>
  <c r="Z40" i="11"/>
  <c r="Z61" i="11"/>
  <c r="Z143" i="11"/>
  <c r="Z210" i="11"/>
  <c r="Z286" i="11"/>
  <c r="Z296" i="11"/>
  <c r="Z333" i="11"/>
  <c r="Z605" i="11"/>
  <c r="Z630" i="11"/>
  <c r="Z695" i="11"/>
  <c r="Z785" i="11"/>
  <c r="Z870" i="11"/>
  <c r="Z946" i="11"/>
  <c r="Z981" i="11"/>
  <c r="Z1222" i="11"/>
  <c r="Z1252" i="11"/>
  <c r="Z1255" i="11"/>
  <c r="Z1518" i="11"/>
  <c r="Z1546" i="11"/>
  <c r="Z1554" i="11"/>
  <c r="Z1574" i="11"/>
  <c r="Z1584" i="11"/>
  <c r="Z1611" i="11"/>
  <c r="Z1621" i="11"/>
  <c r="Z1640" i="11"/>
  <c r="Z1661" i="11"/>
  <c r="Z1681" i="11"/>
  <c r="Z1696" i="11"/>
  <c r="Z1729" i="11"/>
  <c r="Z1785" i="11"/>
  <c r="Z1874" i="11"/>
  <c r="Z1883" i="11"/>
  <c r="Z1910" i="11"/>
  <c r="Z1928" i="11"/>
  <c r="Z30" i="11"/>
  <c r="Z72" i="11"/>
  <c r="Z133" i="11"/>
  <c r="Z211" i="11"/>
  <c r="Z245" i="11"/>
  <c r="Z337" i="11"/>
  <c r="Z367" i="11"/>
  <c r="Z389" i="11"/>
  <c r="Z574" i="11"/>
  <c r="Z586" i="11"/>
  <c r="Z590" i="11"/>
  <c r="Z593" i="11"/>
  <c r="Z595" i="11"/>
  <c r="Z625" i="11"/>
  <c r="Z631" i="11"/>
  <c r="Z668" i="11"/>
  <c r="Z675" i="11"/>
  <c r="Z751" i="11"/>
  <c r="Z780" i="11"/>
  <c r="Z805" i="11"/>
  <c r="Z819" i="11"/>
  <c r="Z857" i="11"/>
  <c r="Z908" i="11"/>
  <c r="Z977" i="11"/>
  <c r="Z1221" i="11"/>
  <c r="Z1232" i="11"/>
  <c r="Z1237" i="11"/>
  <c r="Z1246" i="11"/>
  <c r="Z1512" i="11"/>
  <c r="Z1530" i="11"/>
  <c r="Z1532" i="11"/>
  <c r="Z1550" i="11"/>
  <c r="Z1568" i="11"/>
  <c r="Z1570" i="11"/>
  <c r="Z1580" i="11"/>
  <c r="Z1594" i="11"/>
  <c r="Z1599" i="11"/>
  <c r="Z1607" i="11"/>
  <c r="Z1618" i="11"/>
  <c r="Z1627" i="11"/>
  <c r="Z1629" i="11"/>
  <c r="Z1649" i="11"/>
  <c r="Z1663" i="11"/>
  <c r="Z1666" i="11"/>
  <c r="Z1678" i="11"/>
  <c r="Z1700" i="11"/>
  <c r="Z1708" i="11"/>
  <c r="Z1722" i="11"/>
  <c r="Z1724" i="11"/>
  <c r="Z1750" i="11"/>
  <c r="Z1763" i="11"/>
  <c r="Z1771" i="11"/>
  <c r="Z1775" i="11"/>
  <c r="Z1780" i="11"/>
  <c r="Z1857" i="11"/>
  <c r="Z1869" i="11"/>
  <c r="Z1877" i="11"/>
  <c r="Z1896" i="11"/>
  <c r="Z1908" i="11"/>
  <c r="Z1917" i="11"/>
  <c r="Z1918" i="11"/>
  <c r="Z1925" i="11"/>
  <c r="Z1926" i="11"/>
  <c r="Z71" i="11"/>
  <c r="Z307" i="11"/>
  <c r="Z618" i="11"/>
  <c r="Z799" i="11"/>
  <c r="Z878" i="11"/>
  <c r="Z921" i="11"/>
  <c r="Z1224" i="11"/>
  <c r="Z1228" i="11"/>
  <c r="Z1242" i="11"/>
  <c r="Z1251" i="11"/>
  <c r="Z1542" i="11"/>
  <c r="Z1563" i="11"/>
  <c r="Z1565" i="11"/>
  <c r="Z1608" i="11"/>
  <c r="Z1637" i="11"/>
  <c r="Z1668" i="11"/>
  <c r="Z1693" i="11"/>
  <c r="Z1774" i="11"/>
  <c r="Z1787" i="11"/>
  <c r="Z1870" i="11"/>
  <c r="Z1880" i="11"/>
  <c r="Z1907" i="11"/>
  <c r="Z6" i="11"/>
  <c r="Z144" i="11"/>
  <c r="Z163" i="11"/>
  <c r="Z1688" i="11"/>
  <c r="Z1687" i="11"/>
  <c r="Z1686" i="11"/>
  <c r="Z1683" i="11"/>
  <c r="Z1680" i="11"/>
  <c r="Z1679" i="11"/>
  <c r="Z1676" i="11"/>
  <c r="Z1675" i="11"/>
  <c r="Z1674" i="11"/>
  <c r="Z1673" i="11"/>
  <c r="Z1672" i="11"/>
  <c r="Z1671" i="11"/>
  <c r="Z1670" i="11"/>
  <c r="Z1669" i="11"/>
  <c r="Z1665" i="11"/>
  <c r="Z1664" i="11"/>
  <c r="Z1659" i="11"/>
  <c r="Z1657" i="11"/>
  <c r="Z1656" i="11"/>
  <c r="Z1654" i="11"/>
  <c r="Z1653" i="11"/>
  <c r="Z1651" i="11"/>
  <c r="Z1643" i="11"/>
  <c r="Z1602" i="11"/>
  <c r="Z1592" i="11"/>
  <c r="Z1583" i="11"/>
  <c r="Z1577" i="11"/>
  <c r="Z1569" i="11"/>
  <c r="Z1564" i="11"/>
  <c r="Z1547" i="11"/>
  <c r="Z1539" i="11"/>
  <c r="Z1527" i="11"/>
  <c r="Z1497" i="11"/>
  <c r="Z1485" i="11"/>
  <c r="Z1419" i="11"/>
  <c r="Z1051" i="11"/>
  <c r="Z1031" i="11"/>
  <c r="Z647" i="11"/>
  <c r="Z627" i="11"/>
  <c r="Z617" i="11"/>
  <c r="Z610" i="11"/>
  <c r="Z157" i="11"/>
  <c r="Z145" i="11"/>
  <c r="Z131" i="11"/>
  <c r="Z105" i="11"/>
  <c r="Z90" i="11"/>
  <c r="Z1400" i="11"/>
  <c r="Z1388" i="11"/>
  <c r="Z1386" i="11"/>
  <c r="Z653" i="11"/>
  <c r="Z638" i="11"/>
  <c r="Z621" i="11"/>
  <c r="Z152" i="11"/>
  <c r="Z135" i="11"/>
  <c r="Z85" i="11"/>
  <c r="Z603" i="11"/>
  <c r="Z600" i="11"/>
  <c r="Z598" i="11"/>
  <c r="Z575" i="11"/>
  <c r="Z569" i="11"/>
  <c r="Z560" i="11"/>
  <c r="Z556" i="11"/>
  <c r="Z552" i="11"/>
  <c r="Z549" i="11"/>
  <c r="Z540" i="11"/>
  <c r="Z535" i="11"/>
  <c r="Z532" i="11"/>
  <c r="Z529" i="11"/>
  <c r="Z522" i="11"/>
  <c r="Z512" i="11"/>
  <c r="Z501" i="11"/>
  <c r="Z495" i="11"/>
  <c r="Z488" i="11"/>
  <c r="Z483" i="11"/>
  <c r="Z1384" i="11"/>
  <c r="Z1383" i="11"/>
  <c r="Z1382" i="11"/>
  <c r="Z1381" i="11"/>
  <c r="Z1380" i="11"/>
  <c r="Z1379" i="11"/>
  <c r="Z1378" i="11"/>
  <c r="Z1377" i="11"/>
  <c r="Z1376" i="11"/>
  <c r="Z1375" i="11"/>
  <c r="Z1374" i="11"/>
  <c r="Z1373" i="11"/>
  <c r="Z1372" i="11"/>
  <c r="Z1371" i="11"/>
  <c r="Z1370" i="11"/>
  <c r="Z1369" i="11"/>
  <c r="Z1368" i="11"/>
  <c r="Z1367" i="11"/>
  <c r="Z1366" i="11"/>
  <c r="Z1365" i="11"/>
  <c r="Z1364" i="11"/>
  <c r="Z1363" i="11"/>
  <c r="Z1362" i="11"/>
  <c r="Z1361" i="11"/>
  <c r="Z1360" i="11"/>
  <c r="Z1359" i="11"/>
  <c r="Z1358" i="11"/>
  <c r="Z1357" i="11"/>
  <c r="Z1356" i="11"/>
  <c r="Z1355" i="11"/>
  <c r="Z1354" i="11"/>
  <c r="Z1353" i="11"/>
  <c r="Z1352" i="11"/>
  <c r="Z1351" i="11"/>
  <c r="Z1350" i="11"/>
  <c r="Z1349" i="11"/>
  <c r="Z1348" i="11"/>
  <c r="Z1347" i="11"/>
  <c r="Z1346" i="11"/>
  <c r="Z1345" i="11"/>
  <c r="Z1344" i="11"/>
  <c r="Z1343" i="11"/>
  <c r="Z1342" i="11"/>
  <c r="Z1341" i="11"/>
  <c r="Z1340" i="11"/>
  <c r="Z1339" i="11"/>
  <c r="Z1338" i="11"/>
  <c r="Z1337" i="11"/>
  <c r="Z1336" i="11"/>
  <c r="Z1335" i="11"/>
  <c r="Z1334" i="11"/>
  <c r="Z1333" i="11"/>
  <c r="Z1332" i="11"/>
  <c r="Z1331" i="11"/>
  <c r="Z1330" i="11"/>
  <c r="Z1329" i="11"/>
  <c r="Z1328" i="11"/>
  <c r="Z1327" i="11"/>
  <c r="Z1326" i="11"/>
  <c r="Z1325" i="11"/>
  <c r="Z1324" i="11"/>
  <c r="Z1323" i="11"/>
  <c r="Z1322" i="11"/>
  <c r="Z1321" i="11"/>
  <c r="Z1320" i="11"/>
  <c r="Z1319" i="11"/>
  <c r="Z1318" i="11"/>
  <c r="Z1317" i="11"/>
  <c r="Z1316" i="11"/>
  <c r="Z1315" i="11"/>
  <c r="Z1314" i="11"/>
  <c r="Z1313" i="11"/>
  <c r="Z1312" i="11"/>
  <c r="Z1311" i="11"/>
  <c r="Z1310" i="11"/>
  <c r="Z1309" i="11"/>
  <c r="Z1308" i="11"/>
  <c r="Z1307" i="11"/>
  <c r="Z1306" i="11"/>
  <c r="Z1305" i="11"/>
  <c r="Z1304" i="11"/>
  <c r="Z1303" i="11"/>
  <c r="Z1302" i="11"/>
  <c r="Z1301" i="11"/>
  <c r="Z1300" i="11"/>
  <c r="Z1299" i="11"/>
  <c r="Z1298" i="11"/>
  <c r="Z1297" i="11"/>
  <c r="Z1296" i="11"/>
  <c r="Z1295" i="11"/>
  <c r="Z1294" i="11"/>
  <c r="Z1293" i="11"/>
  <c r="Z1292" i="11"/>
  <c r="Z1291" i="11"/>
  <c r="Z1290" i="11"/>
  <c r="Z1289" i="11"/>
  <c r="Z1288" i="11"/>
  <c r="Z1287" i="11"/>
  <c r="Z1286" i="11"/>
  <c r="Z1285" i="11"/>
  <c r="Z1284" i="11"/>
  <c r="Z1283" i="11"/>
  <c r="Z1282" i="11"/>
  <c r="Z1281" i="11"/>
  <c r="Z1280" i="11"/>
  <c r="Z1279" i="11"/>
  <c r="Z1278" i="11"/>
  <c r="Z1277" i="11"/>
  <c r="Z1276" i="11"/>
  <c r="Z1275" i="11"/>
  <c r="Z1274" i="11"/>
  <c r="Z1273" i="11"/>
  <c r="Z1272" i="11"/>
  <c r="Z1271" i="11"/>
  <c r="Z1270" i="11"/>
  <c r="Z1269" i="11"/>
  <c r="Z1268" i="11"/>
  <c r="Z1267" i="11"/>
  <c r="Z1266" i="11"/>
  <c r="Z1265" i="11"/>
  <c r="Z1264" i="11"/>
  <c r="Z1263" i="11"/>
  <c r="Z1262" i="11"/>
  <c r="Z1261" i="11"/>
  <c r="Z1260" i="11"/>
  <c r="Z1258" i="11"/>
  <c r="Z1257" i="11"/>
  <c r="Z1256" i="11"/>
  <c r="Z1254" i="11"/>
  <c r="Z1249" i="11"/>
  <c r="Z1243" i="11"/>
  <c r="Z1239" i="11"/>
  <c r="Z1230" i="11"/>
  <c r="Z1229" i="11"/>
  <c r="Z1227" i="11"/>
  <c r="Z1223" i="11"/>
  <c r="Z1219" i="11"/>
  <c r="Z1218" i="11"/>
  <c r="Z1217" i="11"/>
  <c r="Z1216" i="11"/>
  <c r="Z1214" i="11"/>
  <c r="Z1213" i="11"/>
  <c r="Z1212" i="11"/>
  <c r="Z1211" i="11"/>
  <c r="Z1210" i="11"/>
  <c r="Z1208" i="11"/>
  <c r="Z1206" i="11"/>
  <c r="Z1205" i="11"/>
  <c r="Z1202" i="11"/>
  <c r="Z1201" i="11"/>
  <c r="Z1198" i="11"/>
  <c r="Z1197" i="11"/>
  <c r="Z1196" i="11"/>
  <c r="Z1193" i="11"/>
  <c r="Z1191" i="11"/>
  <c r="Z1189" i="11"/>
  <c r="Z1188" i="11"/>
  <c r="Z1187" i="11"/>
  <c r="Z1185" i="11"/>
  <c r="Z1184" i="11"/>
  <c r="Z1183" i="11"/>
  <c r="Z1182" i="11"/>
  <c r="Z1181" i="11"/>
  <c r="Z1180" i="11"/>
  <c r="Z1179" i="11"/>
  <c r="Z1177" i="11"/>
  <c r="Z1174" i="11"/>
  <c r="Z1171" i="11"/>
  <c r="Z1170" i="11"/>
  <c r="Z1169" i="11"/>
  <c r="Z1168" i="11"/>
  <c r="Z1167" i="11"/>
  <c r="Z1166" i="11"/>
  <c r="Z1165" i="11"/>
  <c r="Z1163" i="11"/>
  <c r="Z1161" i="11"/>
  <c r="Z1160" i="11"/>
  <c r="Z1158" i="11"/>
  <c r="Z1157" i="11"/>
  <c r="Z1154" i="11"/>
  <c r="Z1151" i="11"/>
  <c r="Z1150" i="11"/>
  <c r="Z1149" i="11"/>
  <c r="Z1148" i="11"/>
  <c r="Z1147" i="11"/>
  <c r="Z1146" i="11"/>
  <c r="Z1143" i="11"/>
  <c r="Z1142" i="11"/>
  <c r="Z1141" i="11"/>
  <c r="Z1140" i="11"/>
  <c r="Z1139" i="11"/>
  <c r="Z1138" i="11"/>
  <c r="Z1137" i="11"/>
  <c r="Z1136" i="11"/>
  <c r="Z1135" i="11"/>
  <c r="Z1131" i="11"/>
  <c r="Z1130" i="11"/>
  <c r="Z1129" i="11"/>
  <c r="Z1128" i="11"/>
  <c r="Z1127" i="11"/>
  <c r="Z1126" i="11"/>
  <c r="Z1125" i="11"/>
  <c r="Z1124" i="11"/>
  <c r="Z1123" i="11"/>
  <c r="Z1121" i="11"/>
  <c r="Z1120" i="11"/>
  <c r="Z1118" i="11"/>
  <c r="Z1117" i="11"/>
  <c r="Z1116" i="11"/>
  <c r="Z1112" i="11"/>
  <c r="Z1110" i="11"/>
  <c r="Z1108" i="11"/>
  <c r="Z1107" i="11"/>
  <c r="Z1106" i="11"/>
  <c r="Z1105" i="11"/>
  <c r="Z1104" i="11"/>
  <c r="Z1103" i="11"/>
  <c r="Z1102" i="11"/>
  <c r="Z1101" i="11"/>
  <c r="Z1095" i="11"/>
  <c r="Z1091" i="11"/>
  <c r="Z1086" i="11"/>
  <c r="Z1082" i="11"/>
  <c r="Z1081" i="11"/>
  <c r="Z1077" i="11"/>
  <c r="Z1076" i="11"/>
  <c r="Z1075" i="11"/>
  <c r="Z1072" i="11"/>
  <c r="Z1060" i="11"/>
  <c r="Z1057" i="11"/>
  <c r="Z1034" i="11"/>
  <c r="Z646" i="11"/>
  <c r="Z644" i="11"/>
  <c r="Z643" i="11"/>
  <c r="Z637" i="11"/>
  <c r="Z635" i="11"/>
  <c r="Z628" i="11"/>
  <c r="Z614" i="11"/>
  <c r="Z608" i="11"/>
  <c r="Z160" i="11"/>
  <c r="Z150" i="11"/>
  <c r="Z140" i="11"/>
  <c r="Z121" i="11"/>
  <c r="Z117" i="11"/>
  <c r="Z113" i="11"/>
  <c r="Z108" i="11"/>
  <c r="Z103" i="11"/>
  <c r="Z1025" i="11"/>
  <c r="Z1024" i="11"/>
  <c r="Z1022" i="11"/>
  <c r="Z1021" i="11"/>
  <c r="Z1020" i="11"/>
  <c r="Z1018" i="11"/>
  <c r="Z1014" i="11"/>
  <c r="Z1012" i="11"/>
  <c r="Z1009" i="11"/>
  <c r="Z1008" i="11"/>
  <c r="Z1006" i="11"/>
  <c r="Z1004" i="11"/>
  <c r="Z1003" i="11"/>
  <c r="Z1002" i="11"/>
  <c r="Z1000" i="11"/>
  <c r="Z999" i="11"/>
  <c r="Z998" i="11"/>
  <c r="Z997" i="11"/>
  <c r="Z996" i="11"/>
  <c r="Z995" i="11"/>
  <c r="Z994" i="11"/>
  <c r="Z992" i="11"/>
  <c r="Z991" i="11"/>
  <c r="Z990" i="11"/>
  <c r="Z988" i="11"/>
  <c r="Z986" i="11"/>
  <c r="Z985" i="11"/>
  <c r="Z984" i="11"/>
  <c r="Z983" i="11"/>
  <c r="Z980" i="11"/>
  <c r="Z979" i="11"/>
  <c r="Z976" i="11"/>
  <c r="Z975" i="11"/>
  <c r="Z973" i="11"/>
  <c r="Z970" i="11"/>
  <c r="Z969" i="11"/>
  <c r="Z964" i="11"/>
  <c r="Z963" i="11"/>
  <c r="Z961" i="11"/>
  <c r="Z960" i="11"/>
  <c r="Z957" i="11"/>
  <c r="Z955" i="11"/>
  <c r="Z954" i="11"/>
  <c r="Z953" i="11"/>
  <c r="Z950" i="11"/>
  <c r="Z948" i="11"/>
  <c r="Z947" i="11"/>
  <c r="Z945" i="11"/>
  <c r="Z944" i="11"/>
  <c r="Z943" i="11"/>
  <c r="Z939" i="11"/>
  <c r="Z937" i="11"/>
  <c r="Z935" i="11"/>
  <c r="Z934" i="11"/>
  <c r="Z931" i="11"/>
  <c r="Z929" i="11"/>
  <c r="Z928" i="11"/>
  <c r="Z926" i="11"/>
  <c r="Z925" i="11"/>
  <c r="Z924" i="11"/>
  <c r="Z922" i="11"/>
  <c r="Z918" i="11"/>
  <c r="Z917" i="11"/>
  <c r="Z916" i="11"/>
  <c r="Z915" i="11"/>
  <c r="Z911" i="11"/>
  <c r="Z910" i="11"/>
  <c r="Z906" i="11"/>
  <c r="Z905" i="11"/>
  <c r="Z904" i="11"/>
  <c r="Z903" i="11"/>
  <c r="Z902" i="11"/>
  <c r="Z901" i="11"/>
  <c r="Z900" i="11"/>
  <c r="Z898" i="11"/>
  <c r="Z896" i="11"/>
  <c r="Z895" i="11"/>
  <c r="Z894" i="11"/>
  <c r="Z893" i="11"/>
  <c r="Z890" i="11"/>
  <c r="Z889" i="11"/>
  <c r="Z888" i="11"/>
  <c r="Z887" i="11"/>
  <c r="Z886" i="11"/>
  <c r="Z885" i="11"/>
  <c r="Z884" i="11"/>
  <c r="Z883" i="11"/>
  <c r="Z882" i="11"/>
  <c r="Z881" i="11"/>
  <c r="Z880" i="11"/>
  <c r="Z879" i="11"/>
  <c r="Z877" i="11"/>
  <c r="Z876" i="11"/>
  <c r="Z875" i="11"/>
  <c r="Z873" i="11"/>
  <c r="Z871" i="11"/>
  <c r="Z869" i="11"/>
  <c r="Z867" i="11"/>
  <c r="Z866" i="11"/>
  <c r="Z864" i="11"/>
  <c r="Z862" i="11"/>
  <c r="Z861" i="11"/>
  <c r="Z860" i="11"/>
  <c r="Z858" i="11"/>
  <c r="Z856" i="11"/>
  <c r="Z854" i="11"/>
  <c r="Z852" i="11"/>
  <c r="Z850" i="11"/>
  <c r="Z849" i="11"/>
  <c r="Z845" i="11"/>
  <c r="Z843" i="11"/>
  <c r="Z841" i="11"/>
  <c r="Z838" i="11"/>
  <c r="Z837" i="11"/>
  <c r="Z835" i="11"/>
  <c r="Z834" i="11"/>
  <c r="Z833" i="11"/>
  <c r="Z832" i="11"/>
  <c r="Z829" i="11"/>
  <c r="Z828" i="11"/>
  <c r="Z823" i="11"/>
  <c r="Z822" i="11"/>
  <c r="Z817" i="11"/>
  <c r="Z816" i="11"/>
  <c r="Z815" i="11"/>
  <c r="Z814" i="11"/>
  <c r="Z813" i="11"/>
  <c r="Z812" i="11"/>
  <c r="Z809" i="11"/>
  <c r="Z807" i="11"/>
  <c r="Z804" i="11"/>
  <c r="Z803" i="11"/>
  <c r="Z802" i="11"/>
  <c r="Z798" i="11"/>
  <c r="Z797" i="11"/>
  <c r="Z796" i="11"/>
  <c r="Z792" i="11"/>
  <c r="Z791" i="11"/>
  <c r="Z789" i="11"/>
  <c r="Z784" i="11"/>
  <c r="Z783" i="11"/>
  <c r="Z781" i="11"/>
  <c r="Z777" i="11"/>
  <c r="Z775" i="11"/>
  <c r="Z774" i="11"/>
  <c r="Z771" i="11"/>
  <c r="Z769" i="11"/>
  <c r="Z768" i="11"/>
  <c r="Z764" i="11"/>
  <c r="Z763" i="11"/>
  <c r="Z761" i="11"/>
  <c r="Z759" i="11"/>
  <c r="Z756" i="11"/>
  <c r="Z755" i="11"/>
  <c r="Z753" i="11"/>
  <c r="Z752" i="11"/>
  <c r="Z750" i="11"/>
  <c r="Z749" i="11"/>
  <c r="Z748" i="11"/>
  <c r="Z747" i="11"/>
  <c r="Z746" i="11"/>
  <c r="Z745" i="11"/>
  <c r="Z744" i="11"/>
  <c r="Z743" i="11"/>
  <c r="Z742" i="11"/>
  <c r="Z741" i="11"/>
  <c r="Z740" i="11"/>
  <c r="Z739" i="11"/>
  <c r="Z738" i="11"/>
  <c r="Z737" i="11"/>
  <c r="Z736" i="11"/>
  <c r="Z735" i="11"/>
  <c r="Z734" i="11"/>
  <c r="Z733" i="11"/>
  <c r="Z732" i="11"/>
  <c r="Z731" i="11"/>
  <c r="Z730" i="11"/>
  <c r="Z729" i="11"/>
  <c r="Z728" i="11"/>
  <c r="Z727" i="11"/>
  <c r="Z726" i="11"/>
  <c r="Z725" i="11"/>
  <c r="Z724" i="11"/>
  <c r="Z723" i="11"/>
  <c r="Z722" i="11"/>
  <c r="Z721" i="11"/>
  <c r="Z720" i="11"/>
  <c r="Z719" i="11"/>
  <c r="Z718" i="11"/>
  <c r="Z717" i="11"/>
  <c r="Z716" i="11"/>
  <c r="Z715" i="11"/>
  <c r="Z714" i="11"/>
  <c r="Z713" i="11"/>
  <c r="Z712" i="11"/>
  <c r="Z711" i="11"/>
  <c r="Z710" i="11"/>
  <c r="Z709" i="11"/>
  <c r="Z708" i="11"/>
  <c r="Z707" i="11"/>
  <c r="Z706" i="11"/>
  <c r="Z705" i="11"/>
  <c r="Z704" i="11"/>
  <c r="Z703" i="11"/>
  <c r="Z701" i="11"/>
  <c r="Z700" i="11"/>
  <c r="Z699" i="11"/>
  <c r="Z698" i="11"/>
  <c r="Z696" i="11"/>
  <c r="Z694" i="11"/>
  <c r="Z693" i="11"/>
  <c r="Z691" i="11"/>
  <c r="Z690" i="11"/>
  <c r="Z689" i="11"/>
  <c r="Z688" i="11"/>
  <c r="Z687" i="11"/>
  <c r="Z686" i="11"/>
  <c r="Z685" i="11"/>
  <c r="Z684" i="11"/>
  <c r="Z683" i="11"/>
  <c r="Z682" i="11"/>
  <c r="Z681" i="11"/>
  <c r="Z680" i="11"/>
  <c r="Z679" i="11"/>
  <c r="Z677" i="11"/>
  <c r="Z676" i="11"/>
  <c r="Z674" i="11"/>
  <c r="Z673" i="11"/>
  <c r="Z672" i="11"/>
  <c r="Z670" i="11"/>
  <c r="Z669" i="11"/>
  <c r="Z667" i="11"/>
  <c r="Z665" i="11"/>
  <c r="Z663" i="11"/>
  <c r="Z661" i="11"/>
  <c r="Z659" i="11"/>
  <c r="Z657" i="11"/>
  <c r="Z626" i="11"/>
  <c r="Z162" i="11"/>
  <c r="Z139" i="11"/>
  <c r="Z107" i="11"/>
  <c r="Z604" i="11"/>
  <c r="Z602" i="11"/>
  <c r="Z583" i="11"/>
  <c r="Z571" i="11"/>
  <c r="Z561" i="11"/>
  <c r="Z554" i="11"/>
  <c r="Z544" i="11"/>
  <c r="Z530" i="11"/>
  <c r="Z523" i="11"/>
  <c r="Z513" i="11"/>
  <c r="Z508" i="11"/>
  <c r="Z499" i="11"/>
  <c r="Z493" i="11"/>
  <c r="Z486" i="11"/>
  <c r="Z479" i="11"/>
  <c r="Z476" i="11"/>
  <c r="Z475" i="11"/>
  <c r="Z474" i="11"/>
  <c r="Z473" i="11"/>
  <c r="Z472" i="11"/>
  <c r="Z469" i="11"/>
  <c r="Z468" i="11"/>
  <c r="Z467" i="11"/>
  <c r="Z466" i="11"/>
  <c r="Z465" i="11"/>
  <c r="Z464" i="11"/>
  <c r="Z463" i="11"/>
  <c r="Z462" i="11"/>
  <c r="Z461" i="11"/>
  <c r="Z459" i="11"/>
  <c r="Z458" i="11"/>
  <c r="Z457" i="11"/>
  <c r="Z454" i="11"/>
  <c r="Z453" i="11"/>
  <c r="Z452" i="11"/>
  <c r="Z451" i="11"/>
  <c r="Z450" i="11"/>
  <c r="Z448" i="11"/>
  <c r="Z447" i="11"/>
  <c r="Z446" i="11"/>
  <c r="Z445" i="11"/>
  <c r="Z444" i="11"/>
  <c r="Z443" i="11"/>
  <c r="Z442" i="11"/>
  <c r="Z441" i="11"/>
  <c r="Z440" i="11"/>
  <c r="Z438" i="11"/>
  <c r="Z437" i="11"/>
  <c r="Z436" i="11"/>
  <c r="Z435" i="11"/>
  <c r="Z434" i="11"/>
  <c r="Z433" i="11"/>
  <c r="Z432" i="11"/>
  <c r="Z431" i="11"/>
  <c r="Z430" i="11"/>
  <c r="Z428" i="11"/>
  <c r="Z427" i="11"/>
  <c r="Z426" i="11"/>
  <c r="Z425" i="11"/>
  <c r="Z424" i="11"/>
  <c r="Z423" i="11"/>
  <c r="Z422" i="11"/>
  <c r="Z421" i="11"/>
  <c r="Z420" i="11"/>
  <c r="Z418" i="11"/>
  <c r="Z417" i="11"/>
  <c r="Z416" i="11"/>
  <c r="Z413" i="11"/>
  <c r="Z412" i="11"/>
  <c r="Z411" i="11"/>
  <c r="Z410" i="11"/>
  <c r="Z409" i="11"/>
  <c r="Z407" i="11"/>
  <c r="Z406" i="11"/>
  <c r="Z405" i="11"/>
  <c r="Z404" i="11"/>
  <c r="Z403" i="11"/>
  <c r="Z402" i="11"/>
  <c r="Z401" i="11"/>
  <c r="Z400" i="11"/>
  <c r="Z397" i="11"/>
  <c r="Z396" i="11"/>
  <c r="Z395" i="11"/>
  <c r="Z394" i="11"/>
  <c r="Z393" i="11"/>
  <c r="Z392" i="11"/>
  <c r="Z391" i="11"/>
  <c r="Z390" i="11"/>
  <c r="Z387" i="11"/>
  <c r="Z386" i="11"/>
  <c r="Z385" i="11"/>
  <c r="Z384" i="11"/>
  <c r="Z383" i="11"/>
  <c r="Z382" i="11"/>
  <c r="Z381" i="11"/>
  <c r="Z380" i="11"/>
  <c r="Z379" i="11"/>
  <c r="Z377" i="11"/>
  <c r="Z376" i="11"/>
  <c r="Z375" i="11"/>
  <c r="Z372" i="11"/>
  <c r="Z371" i="11"/>
  <c r="Z370" i="11"/>
  <c r="Z369" i="11"/>
  <c r="Z368" i="11"/>
  <c r="Z366" i="11"/>
  <c r="Z365" i="11"/>
  <c r="Z364" i="11"/>
  <c r="Z363" i="11"/>
  <c r="Z362" i="11"/>
  <c r="Z361" i="11"/>
  <c r="Z360" i="11"/>
  <c r="Z359" i="11"/>
  <c r="Z358" i="11"/>
  <c r="Z356" i="11"/>
  <c r="Z355" i="11"/>
  <c r="Z354" i="11"/>
  <c r="Z353" i="11"/>
  <c r="Z352" i="11"/>
  <c r="Z351" i="11"/>
  <c r="Z350" i="11"/>
  <c r="Z349" i="11"/>
  <c r="Z348" i="11"/>
  <c r="Z346" i="11"/>
  <c r="Z345" i="11"/>
  <c r="Z344" i="11"/>
  <c r="Z343" i="11"/>
  <c r="Z342" i="11"/>
  <c r="Z341" i="11"/>
  <c r="Z340" i="11"/>
  <c r="Z339" i="11"/>
  <c r="Z338" i="11"/>
  <c r="Z336" i="11"/>
  <c r="Z335" i="11"/>
  <c r="Z334" i="11"/>
  <c r="Z331" i="11"/>
  <c r="Z330" i="11"/>
  <c r="Z329" i="11"/>
  <c r="Z328" i="11"/>
  <c r="Z327" i="11"/>
  <c r="Z325" i="11"/>
  <c r="Z324" i="11"/>
  <c r="Z323" i="11"/>
  <c r="Z322" i="11"/>
  <c r="Z321" i="11"/>
  <c r="Z320" i="11"/>
  <c r="Z319" i="11"/>
  <c r="Z318" i="11"/>
  <c r="Z317" i="11"/>
  <c r="Z315" i="11"/>
  <c r="Z314" i="11"/>
  <c r="Z313" i="11"/>
  <c r="Z312" i="11"/>
  <c r="Z311" i="11"/>
  <c r="Z310" i="11"/>
  <c r="Z309" i="11"/>
  <c r="Z308" i="11"/>
  <c r="Z305" i="11"/>
  <c r="Z304" i="11"/>
  <c r="Z303" i="11"/>
  <c r="Z302" i="11"/>
  <c r="Z301" i="11"/>
  <c r="Z300" i="11"/>
  <c r="Z299" i="11"/>
  <c r="Z298" i="11"/>
  <c r="Z297" i="11"/>
  <c r="Z295" i="11"/>
  <c r="Z294" i="11"/>
  <c r="Z293" i="11"/>
  <c r="Z292" i="11"/>
  <c r="Z291" i="11"/>
  <c r="Z290" i="11"/>
  <c r="Z289" i="11"/>
  <c r="Z288" i="11"/>
  <c r="Z285" i="11"/>
  <c r="Z284" i="11"/>
  <c r="Z283" i="11"/>
  <c r="Z282" i="11"/>
  <c r="Z281" i="11"/>
  <c r="Z280" i="11"/>
  <c r="Z279" i="11"/>
  <c r="Z278" i="11"/>
  <c r="Z277" i="11"/>
  <c r="Z275" i="11"/>
  <c r="Z274" i="11"/>
  <c r="Z273" i="11"/>
  <c r="Z272" i="11"/>
  <c r="Z271" i="11"/>
  <c r="Z270" i="11"/>
  <c r="Z269" i="11"/>
  <c r="Z268" i="11"/>
  <c r="Z267" i="11"/>
  <c r="Z265" i="11"/>
  <c r="Z264" i="11"/>
  <c r="Z263" i="11"/>
  <c r="Z262" i="11"/>
  <c r="Z261" i="11"/>
  <c r="Z260" i="11"/>
  <c r="Z259" i="11"/>
  <c r="Z258" i="11"/>
  <c r="Z257" i="11"/>
  <c r="Z255" i="11"/>
  <c r="Z254" i="11"/>
  <c r="Z253" i="11"/>
  <c r="Z250" i="11"/>
  <c r="Z249" i="11"/>
  <c r="Z248" i="11"/>
  <c r="Z247" i="11"/>
  <c r="Z244" i="11"/>
  <c r="Z243" i="11"/>
  <c r="Z242" i="11"/>
  <c r="Z241" i="11"/>
  <c r="Z240" i="11"/>
  <c r="Z239" i="11"/>
  <c r="Z238" i="11"/>
  <c r="Z237" i="11"/>
  <c r="Z234" i="11"/>
  <c r="Z233" i="11"/>
  <c r="Z232" i="11"/>
  <c r="Z231" i="11"/>
  <c r="Z230" i="11"/>
  <c r="Z229" i="11"/>
  <c r="Z228" i="11"/>
  <c r="Z227" i="11"/>
  <c r="Z224" i="11"/>
  <c r="Z223" i="11"/>
  <c r="Z222" i="11"/>
  <c r="Z221" i="11"/>
  <c r="Z220" i="11"/>
  <c r="Z219" i="11"/>
  <c r="Z218" i="11"/>
  <c r="Z217" i="11"/>
  <c r="Z216" i="11"/>
  <c r="Z214" i="11"/>
  <c r="Z213" i="11"/>
  <c r="Z212" i="11"/>
  <c r="Z209" i="11"/>
  <c r="Z208" i="11"/>
  <c r="Z207" i="11"/>
  <c r="Z206" i="11"/>
  <c r="Z205" i="11"/>
  <c r="Z203" i="11"/>
  <c r="Z202" i="11"/>
  <c r="Z201" i="11"/>
  <c r="Z200" i="11"/>
  <c r="Z199" i="11"/>
  <c r="Z198" i="11"/>
  <c r="Z197" i="11"/>
  <c r="Z196" i="11"/>
  <c r="Z195" i="11"/>
  <c r="Z193" i="11"/>
  <c r="Z192" i="11"/>
  <c r="Z191" i="11"/>
  <c r="Z190" i="11"/>
  <c r="Z189" i="11"/>
  <c r="Z188" i="11"/>
  <c r="Z187" i="11"/>
  <c r="Z186" i="11"/>
  <c r="Z185" i="11"/>
  <c r="Z183" i="11"/>
  <c r="Z182" i="11"/>
  <c r="Z181" i="11"/>
  <c r="Z180" i="11"/>
  <c r="Z179" i="11"/>
  <c r="Z178" i="11"/>
  <c r="Z177" i="11"/>
  <c r="Z176" i="11"/>
  <c r="Z175" i="11"/>
  <c r="Z173" i="11"/>
  <c r="Z172" i="11"/>
  <c r="Z171" i="11"/>
  <c r="Z168" i="11"/>
  <c r="Z167" i="11"/>
  <c r="Z165" i="11"/>
  <c r="Z158" i="11"/>
  <c r="Z156" i="11"/>
  <c r="Z149" i="11"/>
  <c r="Z147" i="11"/>
  <c r="Z126" i="11"/>
  <c r="Z114" i="11"/>
  <c r="Z109" i="11"/>
  <c r="Z104" i="11"/>
  <c r="Z100" i="11"/>
  <c r="Z95" i="11"/>
  <c r="Z93" i="11"/>
  <c r="Z82" i="11"/>
  <c r="Z76" i="11"/>
  <c r="Z75" i="11"/>
  <c r="Z74" i="11"/>
  <c r="Z73" i="11"/>
  <c r="Z70" i="11"/>
  <c r="Z69" i="11"/>
  <c r="Z68" i="11"/>
  <c r="Z67" i="11"/>
  <c r="Z66" i="11"/>
  <c r="Z65" i="11"/>
  <c r="Z64" i="11"/>
  <c r="Z63" i="11"/>
  <c r="Z60" i="11"/>
  <c r="Z59" i="11"/>
  <c r="Z58" i="11"/>
  <c r="Z57" i="11"/>
  <c r="Z56" i="11"/>
  <c r="Z55" i="11"/>
  <c r="Z54" i="11"/>
  <c r="Z53" i="11"/>
  <c r="Z52" i="11"/>
  <c r="Z50" i="11"/>
  <c r="Z49" i="11"/>
  <c r="Z48" i="11"/>
  <c r="Z45" i="11"/>
  <c r="Z44" i="11"/>
  <c r="Z43" i="11"/>
  <c r="Z42" i="11"/>
  <c r="Z41" i="11"/>
  <c r="Z39" i="11"/>
  <c r="Z38" i="11"/>
  <c r="Z37" i="11"/>
  <c r="Z36" i="11"/>
  <c r="Z35" i="11"/>
  <c r="Z34" i="11"/>
  <c r="Z33" i="11"/>
  <c r="Z32" i="11"/>
  <c r="Z31" i="11"/>
  <c r="Z29" i="11"/>
  <c r="Z28" i="11"/>
  <c r="Z27" i="11"/>
  <c r="Z26" i="11"/>
  <c r="Z25" i="11"/>
  <c r="Z24" i="11"/>
  <c r="Z23" i="11"/>
  <c r="Z22" i="11"/>
  <c r="Z21" i="11"/>
  <c r="Z19" i="11"/>
  <c r="Z18" i="11"/>
  <c r="Z17" i="11"/>
  <c r="Z16" i="11"/>
  <c r="Z15" i="11"/>
  <c r="Z14" i="11"/>
  <c r="Z13" i="11"/>
  <c r="Z12" i="11"/>
  <c r="Z11" i="11"/>
  <c r="Z9" i="11"/>
  <c r="Z8" i="11"/>
  <c r="Z7" i="11"/>
  <c r="Z4" i="11"/>
  <c r="Z1903" i="11"/>
  <c r="Z1901" i="11"/>
  <c r="Z1898" i="11"/>
  <c r="Z1895" i="11"/>
  <c r="Z1894" i="11"/>
  <c r="Z1889" i="11"/>
  <c r="Z1884" i="11"/>
  <c r="Z1873" i="11"/>
  <c r="Z1872" i="11"/>
  <c r="Z1866" i="11"/>
  <c r="Z1865" i="11"/>
  <c r="Z1862" i="11"/>
  <c r="Z1859" i="11"/>
  <c r="Z1858" i="11"/>
  <c r="Z1855" i="11"/>
  <c r="Z1854" i="11"/>
  <c r="Z1851" i="11"/>
  <c r="Z1850" i="11"/>
  <c r="Z1846" i="11"/>
  <c r="Z1845" i="11"/>
  <c r="Z1844" i="11"/>
  <c r="Z1843" i="11"/>
  <c r="Z1842" i="11"/>
  <c r="Z1840" i="11"/>
  <c r="Z1839" i="11"/>
  <c r="Z1838" i="11"/>
  <c r="Z1837" i="11"/>
  <c r="Z1836" i="11"/>
  <c r="Z1835" i="11"/>
  <c r="Z1833" i="11"/>
  <c r="Z1831" i="11"/>
  <c r="Z1830" i="11"/>
  <c r="Z1829" i="11"/>
  <c r="Z1828" i="11"/>
  <c r="Z1827" i="11"/>
  <c r="Z1826" i="11"/>
  <c r="Z1825" i="11"/>
  <c r="Z1823" i="11"/>
  <c r="Z1822" i="11"/>
  <c r="Z1818" i="11"/>
  <c r="Z1815" i="11"/>
  <c r="Z1814" i="11"/>
  <c r="Z1813" i="11"/>
  <c r="Z1812" i="11"/>
  <c r="Z1810" i="11"/>
  <c r="Z1809" i="11"/>
  <c r="Z1805" i="11"/>
  <c r="Z1804" i="11"/>
  <c r="Z1802" i="11"/>
  <c r="Z1801" i="11"/>
  <c r="Z1798" i="11"/>
  <c r="Z1796" i="11"/>
  <c r="Z1792" i="11"/>
  <c r="Z1650" i="11"/>
  <c r="Z1648" i="11"/>
  <c r="Z1647" i="11"/>
  <c r="Z1645" i="11"/>
  <c r="Z1644" i="11"/>
  <c r="Z1639" i="11"/>
  <c r="Z1638" i="11"/>
  <c r="Z1634" i="11"/>
  <c r="Z1632" i="11"/>
  <c r="Z1628" i="11"/>
  <c r="Z1624" i="11"/>
  <c r="Z1623" i="11"/>
  <c r="Z1620" i="11"/>
  <c r="Z1619" i="11"/>
  <c r="Z1617" i="11"/>
  <c r="Z1609" i="11"/>
  <c r="Z1603" i="11"/>
  <c r="Z1597" i="11"/>
  <c r="Z1595" i="11"/>
  <c r="Z1591" i="11"/>
  <c r="Z1590" i="11"/>
  <c r="Z1588" i="11"/>
  <c r="Z1578" i="11"/>
  <c r="Z1576" i="11"/>
  <c r="Z1571" i="11"/>
  <c r="Z1562" i="11"/>
  <c r="Z1560" i="11"/>
  <c r="Z1555" i="11"/>
  <c r="Z1552" i="11"/>
  <c r="Z1551" i="11"/>
  <c r="Z1549" i="11"/>
  <c r="Z1548" i="11"/>
  <c r="Z1545" i="11"/>
  <c r="Z1543" i="11"/>
  <c r="Z1540" i="11"/>
  <c r="Z1538" i="11"/>
  <c r="Z1537" i="11"/>
  <c r="Z1536" i="11"/>
  <c r="Z1533" i="11"/>
  <c r="Z1529" i="11"/>
  <c r="Z1526" i="11"/>
  <c r="Z1522" i="11"/>
  <c r="Z1520" i="11"/>
  <c r="Z1517" i="11"/>
  <c r="Z1515" i="11"/>
  <c r="Z1511" i="11"/>
  <c r="Z1510" i="11"/>
  <c r="Z1509" i="11"/>
  <c r="Z1508" i="11"/>
  <c r="Z1507" i="11"/>
  <c r="Z1504" i="11"/>
  <c r="Z1498" i="11"/>
  <c r="Z1495" i="11"/>
  <c r="Z1478" i="11"/>
  <c r="Z1477" i="11"/>
  <c r="Z1475" i="11"/>
  <c r="Z1473" i="11"/>
  <c r="Z1470" i="11"/>
  <c r="Z1469" i="11"/>
  <c r="Z1466" i="11"/>
  <c r="Z1463" i="11"/>
  <c r="Z1458" i="11"/>
  <c r="Z1455" i="11"/>
  <c r="Z1449" i="11"/>
  <c r="Z1446" i="11"/>
  <c r="Z1443" i="11"/>
  <c r="Z1442" i="11"/>
  <c r="Z1441" i="11"/>
  <c r="Z1440" i="11"/>
  <c r="Z1438" i="11"/>
  <c r="Z1434" i="11"/>
  <c r="Z1433" i="11"/>
  <c r="Z1432" i="11"/>
  <c r="Z1429" i="11"/>
  <c r="Z1428" i="11"/>
  <c r="Z1425" i="11"/>
  <c r="Z1424" i="11"/>
  <c r="Z1423" i="11"/>
  <c r="Z1422" i="11"/>
  <c r="Z1420" i="11"/>
  <c r="Z1418" i="11"/>
  <c r="Z1413" i="11"/>
  <c r="Z1412" i="11"/>
  <c r="Z1408" i="11"/>
  <c r="Z1405" i="11"/>
  <c r="Z1404" i="11"/>
  <c r="Z1403" i="11"/>
  <c r="Z1096" i="11"/>
  <c r="Z1092" i="11"/>
  <c r="Z1078" i="11"/>
  <c r="Z1066" i="11"/>
  <c r="Z1063" i="11"/>
  <c r="Z1056" i="11"/>
  <c r="Z1054" i="11"/>
  <c r="Z1045" i="11"/>
  <c r="Z1042" i="11"/>
  <c r="Z1036" i="11"/>
  <c r="Z1027" i="11"/>
  <c r="Z639" i="11"/>
  <c r="Z634" i="11"/>
  <c r="Z623" i="11"/>
  <c r="Z619" i="11"/>
  <c r="Z166" i="11"/>
  <c r="Z146" i="11"/>
  <c r="Z141" i="11"/>
  <c r="Z137" i="11"/>
  <c r="Z132" i="11"/>
  <c r="Z127" i="11"/>
  <c r="Z123" i="11"/>
  <c r="Z119" i="11"/>
  <c r="Z116" i="11"/>
  <c r="Z106" i="11"/>
  <c r="Z98" i="11"/>
  <c r="Z94" i="11"/>
  <c r="AB77" i="11" l="1"/>
  <c r="AA77" i="11"/>
  <c r="AB80" i="11"/>
  <c r="AA80" i="11"/>
  <c r="AA1500" i="11"/>
  <c r="AB1500" i="11"/>
  <c r="AA1492" i="11"/>
  <c r="AB1492" i="11"/>
  <c r="AA1487" i="11"/>
  <c r="AB1487" i="11"/>
  <c r="AA1471" i="11"/>
  <c r="AB1471" i="11"/>
  <c r="AA1468" i="11"/>
  <c r="AB1468" i="11"/>
  <c r="AB1053" i="11"/>
  <c r="AA1053" i="11"/>
  <c r="AA1044" i="11"/>
  <c r="AB1044" i="11"/>
  <c r="AA648" i="11"/>
  <c r="AB648" i="11"/>
  <c r="AA142" i="11"/>
  <c r="AB142" i="11"/>
  <c r="AA118" i="11"/>
  <c r="AB118" i="11"/>
  <c r="AA99" i="11"/>
  <c r="AB99" i="11"/>
  <c r="AA89" i="11"/>
  <c r="AB89" i="11"/>
  <c r="AA1402" i="11"/>
  <c r="AB1402" i="11"/>
  <c r="AA1394" i="11"/>
  <c r="AB1394" i="11"/>
  <c r="AA1387" i="11"/>
  <c r="AB1387" i="11"/>
  <c r="AA655" i="11"/>
  <c r="AB655" i="11"/>
  <c r="AA649" i="11"/>
  <c r="AB649" i="11"/>
  <c r="AA633" i="11"/>
  <c r="AB633" i="11"/>
  <c r="AA111" i="11"/>
  <c r="AB111" i="11"/>
  <c r="AA606" i="11"/>
  <c r="AB606" i="11"/>
  <c r="AA596" i="11"/>
  <c r="AB596" i="11"/>
  <c r="AA582" i="11"/>
  <c r="AB582" i="11"/>
  <c r="AA576" i="11"/>
  <c r="AB576" i="11"/>
  <c r="AA567" i="11"/>
  <c r="AB567" i="11"/>
  <c r="AA537" i="11"/>
  <c r="AB537" i="11"/>
  <c r="AA534" i="11"/>
  <c r="AB534" i="11"/>
  <c r="AA528" i="11"/>
  <c r="AB528" i="11"/>
  <c r="AB517" i="11"/>
  <c r="AA517" i="11"/>
  <c r="AA511" i="11"/>
  <c r="AB511" i="11"/>
  <c r="AA505" i="11"/>
  <c r="AB505" i="11"/>
  <c r="AB502" i="11"/>
  <c r="AA502" i="11"/>
  <c r="AA496" i="11"/>
  <c r="AB496" i="11"/>
  <c r="AA491" i="11"/>
  <c r="AB491" i="11"/>
  <c r="AA484" i="11"/>
  <c r="AB484" i="11"/>
  <c r="AA1467" i="11"/>
  <c r="AB1467" i="11"/>
  <c r="AB1064" i="11"/>
  <c r="AA1064" i="11"/>
  <c r="AB1040" i="11"/>
  <c r="AA1040" i="11"/>
  <c r="AA155" i="11"/>
  <c r="AB155" i="11"/>
  <c r="AA97" i="11"/>
  <c r="AB97" i="11"/>
  <c r="AA1399" i="11"/>
  <c r="AB1399" i="11"/>
  <c r="AA577" i="11"/>
  <c r="AB577" i="11"/>
  <c r="AA564" i="11"/>
  <c r="AB564" i="11"/>
  <c r="AA548" i="11"/>
  <c r="AB548" i="11"/>
  <c r="AA543" i="11"/>
  <c r="AB543" i="11"/>
  <c r="AA531" i="11"/>
  <c r="AB531" i="11"/>
  <c r="AA516" i="11"/>
  <c r="AB516" i="11"/>
  <c r="AA494" i="11"/>
  <c r="AB494" i="11"/>
  <c r="AA482" i="11"/>
  <c r="AB482" i="11"/>
  <c r="AB1660" i="11"/>
  <c r="AA1660" i="11"/>
  <c r="AA1655" i="11"/>
  <c r="AB1655" i="11"/>
  <c r="AA1642" i="11"/>
  <c r="AB1642" i="11"/>
  <c r="AA1636" i="11"/>
  <c r="AB1636" i="11"/>
  <c r="AB1630" i="11"/>
  <c r="AA1630" i="11"/>
  <c r="AA1615" i="11"/>
  <c r="AB1615" i="11"/>
  <c r="AB1614" i="11"/>
  <c r="AA1614" i="11"/>
  <c r="AA1600" i="11"/>
  <c r="AB1600" i="11"/>
  <c r="AB1582" i="11"/>
  <c r="AA1582" i="11"/>
  <c r="AA1573" i="11"/>
  <c r="AB1573" i="11"/>
  <c r="AB1566" i="11"/>
  <c r="AA1566" i="11"/>
  <c r="AA1561" i="11"/>
  <c r="AB1561" i="11"/>
  <c r="AA1496" i="11"/>
  <c r="AB1496" i="11"/>
  <c r="AA1494" i="11"/>
  <c r="AB1494" i="11"/>
  <c r="AA1486" i="11"/>
  <c r="AB1486" i="11"/>
  <c r="AA1484" i="11"/>
  <c r="AB1484" i="11"/>
  <c r="AA1456" i="11"/>
  <c r="AB1456" i="11"/>
  <c r="AA1452" i="11"/>
  <c r="AB1452" i="11"/>
  <c r="AA1448" i="11"/>
  <c r="AB1448" i="11"/>
  <c r="AA1445" i="11"/>
  <c r="AB1445" i="11"/>
  <c r="AA1430" i="11"/>
  <c r="AB1430" i="11"/>
  <c r="AA1416" i="11"/>
  <c r="AB1416" i="11"/>
  <c r="AA1409" i="11"/>
  <c r="AB1409" i="11"/>
  <c r="AA1097" i="11"/>
  <c r="AB1097" i="11"/>
  <c r="AB1093" i="11"/>
  <c r="AA1093" i="11"/>
  <c r="AB1065" i="11"/>
  <c r="AA1065" i="11"/>
  <c r="AB1028" i="11"/>
  <c r="AA1028" i="11"/>
  <c r="AA645" i="11"/>
  <c r="AB645" i="11"/>
  <c r="AA641" i="11"/>
  <c r="AB641" i="11"/>
  <c r="AA613" i="11"/>
  <c r="AB613" i="11"/>
  <c r="AA151" i="11"/>
  <c r="AB151" i="11"/>
  <c r="AA138" i="11"/>
  <c r="AB138" i="11"/>
  <c r="AA125" i="11"/>
  <c r="AB125" i="11"/>
  <c r="AA110" i="11"/>
  <c r="AB110" i="11"/>
  <c r="AA101" i="11"/>
  <c r="AB101" i="11"/>
  <c r="AA91" i="11"/>
  <c r="AB91" i="11"/>
  <c r="AA79" i="11"/>
  <c r="AB79" i="11"/>
  <c r="AA78" i="11"/>
  <c r="AB78" i="11"/>
  <c r="AA1401" i="11"/>
  <c r="AB1401" i="11"/>
  <c r="AA1398" i="11"/>
  <c r="AB1398" i="11"/>
  <c r="AA1396" i="11"/>
  <c r="AB1396" i="11"/>
  <c r="AA1392" i="11"/>
  <c r="AB1392" i="11"/>
  <c r="AA1391" i="11"/>
  <c r="AB1391" i="11"/>
  <c r="AA1389" i="11"/>
  <c r="AB1389" i="11"/>
  <c r="AA1385" i="11"/>
  <c r="AB1385" i="11"/>
  <c r="AA658" i="11"/>
  <c r="AB658" i="11"/>
  <c r="AA654" i="11"/>
  <c r="AB654" i="11"/>
  <c r="AA609" i="11"/>
  <c r="AB609" i="11"/>
  <c r="AA148" i="11"/>
  <c r="AB148" i="11"/>
  <c r="AA130" i="11"/>
  <c r="AB130" i="11"/>
  <c r="AA96" i="11"/>
  <c r="AB96" i="11"/>
  <c r="AA599" i="11"/>
  <c r="AB599" i="11"/>
  <c r="AA597" i="11"/>
  <c r="AB597" i="11"/>
  <c r="AA589" i="11"/>
  <c r="AB589" i="11"/>
  <c r="AA581" i="11"/>
  <c r="AB581" i="11"/>
  <c r="AA580" i="11"/>
  <c r="AB580" i="11"/>
  <c r="AA557" i="11"/>
  <c r="AB557" i="11"/>
  <c r="AA551" i="11"/>
  <c r="AB551" i="11"/>
  <c r="AA550" i="11"/>
  <c r="AB550" i="11"/>
  <c r="AA547" i="11"/>
  <c r="AB547" i="11"/>
  <c r="AA546" i="11"/>
  <c r="AB546" i="11"/>
  <c r="AA542" i="11"/>
  <c r="AB542" i="11"/>
  <c r="AA541" i="11"/>
  <c r="AB541" i="11"/>
  <c r="AA539" i="11"/>
  <c r="AB539" i="11"/>
  <c r="AA538" i="11"/>
  <c r="AB538" i="11"/>
  <c r="AA536" i="11"/>
  <c r="AB536" i="11"/>
  <c r="AA533" i="11"/>
  <c r="AB533" i="11"/>
  <c r="AB525" i="11"/>
  <c r="AA525" i="11"/>
  <c r="AB520" i="11"/>
  <c r="AA520" i="11"/>
  <c r="AB518" i="11"/>
  <c r="AA518" i="11"/>
  <c r="AA515" i="11"/>
  <c r="AB515" i="11"/>
  <c r="AA506" i="11"/>
  <c r="AB506" i="11"/>
  <c r="AB503" i="11"/>
  <c r="AA503" i="11"/>
  <c r="AA492" i="11"/>
  <c r="AB492" i="11"/>
  <c r="AA485" i="11"/>
  <c r="AB485" i="11"/>
  <c r="AA477" i="11"/>
  <c r="AB477" i="11"/>
  <c r="AB81" i="11"/>
  <c r="AA81" i="11"/>
  <c r="AB92" i="11"/>
  <c r="AA92" i="11"/>
  <c r="AB112" i="11"/>
  <c r="AA112" i="11"/>
  <c r="AB128" i="11"/>
  <c r="AA128" i="11"/>
  <c r="AB226" i="11"/>
  <c r="AA226" i="11"/>
  <c r="AB235" i="11"/>
  <c r="AA235" i="11"/>
  <c r="AB266" i="11"/>
  <c r="AA266" i="11"/>
  <c r="AB326" i="11"/>
  <c r="AA326" i="11"/>
  <c r="AB347" i="11"/>
  <c r="AA347" i="11"/>
  <c r="AB398" i="11"/>
  <c r="AA398" i="11"/>
  <c r="AB399" i="11"/>
  <c r="AA399" i="11"/>
  <c r="AB408" i="11"/>
  <c r="AA408" i="11"/>
  <c r="AB414" i="11"/>
  <c r="AA414" i="11"/>
  <c r="AB415" i="11"/>
  <c r="AA415" i="11"/>
  <c r="AB419" i="11"/>
  <c r="AA419" i="11"/>
  <c r="AB429" i="11"/>
  <c r="AA429" i="11"/>
  <c r="AB439" i="11"/>
  <c r="AA439" i="11"/>
  <c r="AB449" i="11"/>
  <c r="AA449" i="11"/>
  <c r="AA1544" i="11"/>
  <c r="AB1544" i="11"/>
  <c r="AA1521" i="11"/>
  <c r="AB1521" i="11"/>
  <c r="AA1453" i="11"/>
  <c r="AB1453" i="11"/>
  <c r="AA1050" i="11"/>
  <c r="AB1050" i="11"/>
  <c r="AA159" i="11"/>
  <c r="AB159" i="11"/>
  <c r="AA84" i="11"/>
  <c r="AB84" i="11"/>
  <c r="AA1397" i="11"/>
  <c r="AB1397" i="11"/>
  <c r="AA1390" i="11"/>
  <c r="AB1390" i="11"/>
  <c r="AA656" i="11"/>
  <c r="AB656" i="11"/>
  <c r="AA607" i="11"/>
  <c r="AB607" i="11"/>
  <c r="AA568" i="11"/>
  <c r="AB568" i="11"/>
  <c r="AA526" i="11"/>
  <c r="AB526" i="11"/>
  <c r="AA487" i="11"/>
  <c r="AB487" i="11"/>
  <c r="AB460" i="11"/>
  <c r="AA460" i="11"/>
  <c r="AB471" i="11"/>
  <c r="AA471" i="11"/>
  <c r="AB490" i="11"/>
  <c r="AA490" i="11"/>
  <c r="AA3" i="11"/>
  <c r="AB46" i="11"/>
  <c r="AA46" i="11"/>
  <c r="AB122" i="11"/>
  <c r="AA122" i="11"/>
  <c r="AB194" i="11"/>
  <c r="AA194" i="11"/>
  <c r="AB225" i="11"/>
  <c r="AA225" i="11"/>
  <c r="AB246" i="11"/>
  <c r="AA246" i="11"/>
  <c r="AB287" i="11"/>
  <c r="AA287" i="11"/>
  <c r="AA507" i="11"/>
  <c r="AB507" i="11"/>
  <c r="AA521" i="11"/>
  <c r="AB521" i="11"/>
  <c r="AB563" i="11"/>
  <c r="AA563" i="11"/>
  <c r="AB702" i="11"/>
  <c r="AA702" i="11"/>
  <c r="AB795" i="11"/>
  <c r="AA795" i="11"/>
  <c r="AB820" i="11"/>
  <c r="AA820" i="11"/>
  <c r="AB874" i="11"/>
  <c r="AA874" i="11"/>
  <c r="AB971" i="11"/>
  <c r="AA971" i="11"/>
  <c r="AB1001" i="11"/>
  <c r="AA1001" i="11"/>
  <c r="AB1015" i="11"/>
  <c r="AA1015" i="11"/>
  <c r="AA1023" i="11"/>
  <c r="AB1023" i="11"/>
  <c r="AA1030" i="11"/>
  <c r="AB1030" i="11"/>
  <c r="AA1033" i="11"/>
  <c r="AB1033" i="11"/>
  <c r="AB1038" i="11"/>
  <c r="AA1038" i="11"/>
  <c r="AA1043" i="11"/>
  <c r="AB1043" i="11"/>
  <c r="AB1049" i="11"/>
  <c r="AA1049" i="11"/>
  <c r="AB1061" i="11"/>
  <c r="AA1061" i="11"/>
  <c r="AB1067" i="11"/>
  <c r="AA1067" i="11"/>
  <c r="AA1074" i="11"/>
  <c r="AB1074" i="11"/>
  <c r="AB1083" i="11"/>
  <c r="AA1083" i="11"/>
  <c r="AA1090" i="11"/>
  <c r="AB1090" i="11"/>
  <c r="AA1099" i="11"/>
  <c r="AB1099" i="11"/>
  <c r="AB1111" i="11"/>
  <c r="AA1111" i="11"/>
  <c r="AB1114" i="11"/>
  <c r="AA1114" i="11"/>
  <c r="AA1122" i="11"/>
  <c r="AB1122" i="11"/>
  <c r="AA1134" i="11"/>
  <c r="AB1134" i="11"/>
  <c r="AB1145" i="11"/>
  <c r="AA1145" i="11"/>
  <c r="AA1153" i="11"/>
  <c r="AB1153" i="11"/>
  <c r="AB1156" i="11"/>
  <c r="AA1156" i="11"/>
  <c r="AB1162" i="11"/>
  <c r="AA1162" i="11"/>
  <c r="AB1173" i="11"/>
  <c r="AA1173" i="11"/>
  <c r="AB1186" i="11"/>
  <c r="AA1186" i="11"/>
  <c r="AB1199" i="11"/>
  <c r="AA1199" i="11"/>
  <c r="AB47" i="11"/>
  <c r="AA47" i="11"/>
  <c r="AB129" i="11"/>
  <c r="AA129" i="11"/>
  <c r="AB184" i="11"/>
  <c r="AA184" i="11"/>
  <c r="AB256" i="11"/>
  <c r="AA256" i="11"/>
  <c r="AB306" i="11"/>
  <c r="AA306" i="11"/>
  <c r="AB572" i="11"/>
  <c r="AA572" i="11"/>
  <c r="AB620" i="11"/>
  <c r="AA620" i="11"/>
  <c r="AB662" i="11"/>
  <c r="AA662" i="11"/>
  <c r="AB830" i="11"/>
  <c r="AA830" i="11"/>
  <c r="AB920" i="11"/>
  <c r="AA920" i="11"/>
  <c r="AB1220" i="11"/>
  <c r="AA1220" i="11"/>
  <c r="AB1234" i="11"/>
  <c r="AA1234" i="11"/>
  <c r="AB1506" i="11"/>
  <c r="AA1506" i="11"/>
  <c r="AB1531" i="11"/>
  <c r="AA1531" i="11"/>
  <c r="AB1567" i="11"/>
  <c r="AA1567" i="11"/>
  <c r="AB1579" i="11"/>
  <c r="AA1579" i="11"/>
  <c r="AA1596" i="11"/>
  <c r="AB1596" i="11"/>
  <c r="AB1626" i="11"/>
  <c r="AA1626" i="11"/>
  <c r="AB1662" i="11"/>
  <c r="AA1662" i="11"/>
  <c r="AB1691" i="11"/>
  <c r="AA1691" i="11"/>
  <c r="AB1776" i="11"/>
  <c r="AA1776" i="11"/>
  <c r="AB1795" i="11"/>
  <c r="AA1795" i="11"/>
  <c r="AB1892" i="11"/>
  <c r="AA1892" i="11"/>
  <c r="AB20" i="11"/>
  <c r="AA20" i="11"/>
  <c r="AB62" i="11"/>
  <c r="AA62" i="11"/>
  <c r="AB102" i="11"/>
  <c r="AA102" i="11"/>
  <c r="AB170" i="11"/>
  <c r="AA170" i="11"/>
  <c r="AB316" i="11"/>
  <c r="AA316" i="11"/>
  <c r="AB357" i="11"/>
  <c r="AA357" i="11"/>
  <c r="AB374" i="11"/>
  <c r="AA374" i="11"/>
  <c r="AA524" i="11"/>
  <c r="AB524" i="11"/>
  <c r="AB585" i="11"/>
  <c r="AA585" i="11"/>
  <c r="AB588" i="11"/>
  <c r="AA588" i="11"/>
  <c r="AB594" i="11"/>
  <c r="AA594" i="11"/>
  <c r="AB612" i="11"/>
  <c r="AA612" i="11"/>
  <c r="AB664" i="11"/>
  <c r="AA664" i="11"/>
  <c r="AB671" i="11"/>
  <c r="AA671" i="11"/>
  <c r="AB697" i="11"/>
  <c r="AA697" i="11"/>
  <c r="AB773" i="11"/>
  <c r="AA773" i="11"/>
  <c r="AB794" i="11"/>
  <c r="AA794" i="11"/>
  <c r="AB844" i="11"/>
  <c r="AA844" i="11"/>
  <c r="AB891" i="11"/>
  <c r="AA891" i="11"/>
  <c r="AB987" i="11"/>
  <c r="AA987" i="11"/>
  <c r="AB1236" i="11"/>
  <c r="AA1236" i="11"/>
  <c r="AB1240" i="11"/>
  <c r="AA1240" i="11"/>
  <c r="AB1248" i="11"/>
  <c r="AA1248" i="11"/>
  <c r="AB1524" i="11"/>
  <c r="AA1524" i="11"/>
  <c r="AB1541" i="11"/>
  <c r="AA1541" i="11"/>
  <c r="AB1558" i="11"/>
  <c r="AA1558" i="11"/>
  <c r="AA1572" i="11"/>
  <c r="AB1572" i="11"/>
  <c r="AB1586" i="11"/>
  <c r="AA1586" i="11"/>
  <c r="AB1606" i="11"/>
  <c r="AA1606" i="11"/>
  <c r="AA1612" i="11"/>
  <c r="AB1612" i="11"/>
  <c r="AB1622" i="11"/>
  <c r="AA1622" i="11"/>
  <c r="AB1646" i="11"/>
  <c r="AA1646" i="11"/>
  <c r="AB1658" i="11"/>
  <c r="AA1658" i="11"/>
  <c r="AB1677" i="11"/>
  <c r="AA1677" i="11"/>
  <c r="AB1703" i="11"/>
  <c r="AA1703" i="11"/>
  <c r="AB1711" i="11"/>
  <c r="AA1711" i="11"/>
  <c r="AB1731" i="11"/>
  <c r="AA1731" i="11"/>
  <c r="AB1761" i="11"/>
  <c r="AA1761" i="11"/>
  <c r="AB1765" i="11"/>
  <c r="AA1765" i="11"/>
  <c r="AB1779" i="11"/>
  <c r="AA1779" i="11"/>
  <c r="AB1799" i="11"/>
  <c r="AA1799" i="11"/>
  <c r="AB1863" i="11"/>
  <c r="AA1863" i="11"/>
  <c r="AB1882" i="11"/>
  <c r="AA1882" i="11"/>
  <c r="AB1906" i="11"/>
  <c r="AA1906" i="11"/>
  <c r="AB1914" i="11"/>
  <c r="AA1914" i="11"/>
  <c r="AB1920" i="11"/>
  <c r="AA1920" i="11"/>
  <c r="AB10" i="11"/>
  <c r="AA10" i="11"/>
  <c r="AB252" i="11"/>
  <c r="AA252" i="11"/>
  <c r="AB504" i="11"/>
  <c r="AA504" i="11"/>
  <c r="AB758" i="11"/>
  <c r="AA758" i="11"/>
  <c r="AB818" i="11"/>
  <c r="AA818" i="11"/>
  <c r="AB907" i="11"/>
  <c r="AA907" i="11"/>
  <c r="AB940" i="11"/>
  <c r="AA940" i="11"/>
  <c r="AB1233" i="11"/>
  <c r="AA1233" i="11"/>
  <c r="AB1247" i="11"/>
  <c r="AA1247" i="11"/>
  <c r="AA1553" i="11"/>
  <c r="AB1553" i="11"/>
  <c r="AA1587" i="11"/>
  <c r="AB1587" i="11"/>
  <c r="AB1631" i="11"/>
  <c r="AA1631" i="11"/>
  <c r="AB1684" i="11"/>
  <c r="AA1684" i="11"/>
  <c r="AB1723" i="11"/>
  <c r="AA1723" i="11"/>
  <c r="AB1783" i="11"/>
  <c r="AA1783" i="11"/>
  <c r="AB1794" i="11"/>
  <c r="AA1794" i="11"/>
  <c r="AB1899" i="11"/>
  <c r="AA1899" i="11"/>
  <c r="AB1924" i="11"/>
  <c r="AA1924" i="11"/>
  <c r="AB51" i="11"/>
  <c r="AA51" i="11"/>
  <c r="AB153" i="11"/>
  <c r="AA153" i="11"/>
  <c r="AB169" i="11"/>
  <c r="AA169" i="11"/>
  <c r="AB174" i="11"/>
  <c r="AA174" i="11"/>
  <c r="AB251" i="11"/>
  <c r="AA251" i="11"/>
  <c r="AB332" i="11"/>
  <c r="AA332" i="11"/>
  <c r="AB373" i="11"/>
  <c r="AA373" i="11"/>
  <c r="AB519" i="11"/>
  <c r="AA519" i="11"/>
  <c r="AB566" i="11"/>
  <c r="AA566" i="11"/>
  <c r="AB587" i="11"/>
  <c r="AA587" i="11"/>
  <c r="AB592" i="11"/>
  <c r="AA592" i="11"/>
  <c r="AB632" i="11"/>
  <c r="AA632" i="11"/>
  <c r="AB660" i="11"/>
  <c r="AA660" i="11"/>
  <c r="AB770" i="11"/>
  <c r="AA770" i="11"/>
  <c r="AB892" i="11"/>
  <c r="AA892" i="11"/>
  <c r="AB936" i="11"/>
  <c r="AA936" i="11"/>
  <c r="AB974" i="11"/>
  <c r="AA974" i="11"/>
  <c r="AB989" i="11"/>
  <c r="AA989" i="11"/>
  <c r="AB1235" i="11"/>
  <c r="AA1235" i="11"/>
  <c r="AB1238" i="11"/>
  <c r="AA1238" i="11"/>
  <c r="AB1245" i="11"/>
  <c r="AA1245" i="11"/>
  <c r="AB1253" i="11"/>
  <c r="AA1253" i="11"/>
  <c r="AB1523" i="11"/>
  <c r="AA1523" i="11"/>
  <c r="AB1535" i="11"/>
  <c r="AA1535" i="11"/>
  <c r="AB1559" i="11"/>
  <c r="AA1559" i="11"/>
  <c r="AA1581" i="11"/>
  <c r="AB1581" i="11"/>
  <c r="AB1589" i="11"/>
  <c r="AA1589" i="11"/>
  <c r="AB1667" i="11"/>
  <c r="AA1667" i="11"/>
  <c r="AB1682" i="11"/>
  <c r="AA1682" i="11"/>
  <c r="AA1685" i="11"/>
  <c r="AB1685" i="11"/>
  <c r="AB1697" i="11"/>
  <c r="AA1697" i="11"/>
  <c r="AB1704" i="11"/>
  <c r="AA1704" i="11"/>
  <c r="AA2" i="11"/>
  <c r="AB553" i="11"/>
  <c r="AA553" i="11"/>
  <c r="AB562" i="11"/>
  <c r="AA562" i="11"/>
  <c r="AB678" i="11"/>
  <c r="AA678" i="11"/>
  <c r="AB760" i="11"/>
  <c r="AA760" i="11"/>
  <c r="AB762" i="11"/>
  <c r="AA762" i="11"/>
  <c r="AB765" i="11"/>
  <c r="AA765" i="11"/>
  <c r="AB766" i="11"/>
  <c r="AA766" i="11"/>
  <c r="AB767" i="11"/>
  <c r="AA767" i="11"/>
  <c r="AB772" i="11"/>
  <c r="AA772" i="11"/>
  <c r="AB776" i="11"/>
  <c r="AA776" i="11"/>
  <c r="AB778" i="11"/>
  <c r="AA778" i="11"/>
  <c r="AB779" i="11"/>
  <c r="AA779" i="11"/>
  <c r="AB782" i="11"/>
  <c r="AA782" i="11"/>
  <c r="AB786" i="11"/>
  <c r="AA786" i="11"/>
  <c r="AB787" i="11"/>
  <c r="AA787" i="11"/>
  <c r="AB788" i="11"/>
  <c r="AA788" i="11"/>
  <c r="AB790" i="11"/>
  <c r="AA790" i="11"/>
  <c r="AB793" i="11"/>
  <c r="AA793" i="11"/>
  <c r="AB800" i="11"/>
  <c r="AA800" i="11"/>
  <c r="AB801" i="11"/>
  <c r="AA801" i="11"/>
  <c r="AB808" i="11"/>
  <c r="AA808" i="11"/>
  <c r="AB810" i="11"/>
  <c r="AA810" i="11"/>
  <c r="AB811" i="11"/>
  <c r="AA811" i="11"/>
  <c r="AB821" i="11"/>
  <c r="AA821" i="11"/>
  <c r="AB824" i="11"/>
  <c r="AA824" i="11"/>
  <c r="AB825" i="11"/>
  <c r="AA825" i="11"/>
  <c r="AB826" i="11"/>
  <c r="AA826" i="11"/>
  <c r="AB827" i="11"/>
  <c r="AA827" i="11"/>
  <c r="AB831" i="11"/>
  <c r="AA831" i="11"/>
  <c r="AB839" i="11"/>
  <c r="AA839" i="11"/>
  <c r="AB842" i="11"/>
  <c r="AA842" i="11"/>
  <c r="AB846" i="11"/>
  <c r="AA846" i="11"/>
  <c r="AB847" i="11"/>
  <c r="AA847" i="11"/>
  <c r="AB848" i="11"/>
  <c r="AA848" i="11"/>
  <c r="AB851" i="11"/>
  <c r="AA851" i="11"/>
  <c r="AB853" i="11"/>
  <c r="AA853" i="11"/>
  <c r="AB855" i="11"/>
  <c r="AA855" i="11"/>
  <c r="AB859" i="11"/>
  <c r="AA859" i="11"/>
  <c r="AB863" i="11"/>
  <c r="AA863" i="11"/>
  <c r="AB865" i="11"/>
  <c r="AA865" i="11"/>
  <c r="AB868" i="11"/>
  <c r="AA868" i="11"/>
  <c r="AB872" i="11"/>
  <c r="AA872" i="11"/>
  <c r="AB897" i="11"/>
  <c r="AA897" i="11"/>
  <c r="AB899" i="11"/>
  <c r="AA899" i="11"/>
  <c r="AB909" i="11"/>
  <c r="AA909" i="11"/>
  <c r="AB912" i="11"/>
  <c r="AA912" i="11"/>
  <c r="AB913" i="11"/>
  <c r="AA913" i="11"/>
  <c r="AB914" i="11"/>
  <c r="AA914" i="11"/>
  <c r="AB919" i="11"/>
  <c r="AA919" i="11"/>
  <c r="AB923" i="11"/>
  <c r="AA923" i="11"/>
  <c r="AB927" i="11"/>
  <c r="AA927" i="11"/>
  <c r="AB930" i="11"/>
  <c r="AA930" i="11"/>
  <c r="AB932" i="11"/>
  <c r="AA932" i="11"/>
  <c r="AB933" i="11"/>
  <c r="AA933" i="11"/>
  <c r="AB938" i="11"/>
  <c r="AA938" i="11"/>
  <c r="AB941" i="11"/>
  <c r="AA941" i="11"/>
  <c r="AB942" i="11"/>
  <c r="AA942" i="11"/>
  <c r="AB949" i="11"/>
  <c r="AA949" i="11"/>
  <c r="AB951" i="11"/>
  <c r="AA951" i="11"/>
  <c r="AB952" i="11"/>
  <c r="AA952" i="11"/>
  <c r="AB956" i="11"/>
  <c r="AA956" i="11"/>
  <c r="AB958" i="11"/>
  <c r="AA958" i="11"/>
  <c r="AB962" i="11"/>
  <c r="AA962" i="11"/>
  <c r="AB965" i="11"/>
  <c r="AA965" i="11"/>
  <c r="AB966" i="11"/>
  <c r="AA966" i="11"/>
  <c r="AB967" i="11"/>
  <c r="AA967" i="11"/>
  <c r="AB968" i="11"/>
  <c r="AA968" i="11"/>
  <c r="AB972" i="11"/>
  <c r="AA972" i="11"/>
  <c r="AB993" i="11"/>
  <c r="AA993" i="11"/>
  <c r="AB579" i="11"/>
  <c r="AA579" i="11"/>
  <c r="AB624" i="11"/>
  <c r="AA624" i="11"/>
  <c r="AB692" i="11"/>
  <c r="AA692" i="11"/>
  <c r="AB1119" i="11"/>
  <c r="AA1119" i="11"/>
  <c r="AB1194" i="11"/>
  <c r="AA1194" i="11"/>
  <c r="AB1195" i="11"/>
  <c r="AA1195" i="11"/>
  <c r="AB1010" i="11"/>
  <c r="AA1010" i="11"/>
  <c r="AB1241" i="11"/>
  <c r="AA1241" i="11"/>
  <c r="AB1244" i="11"/>
  <c r="AA1244" i="11"/>
  <c r="AB1250" i="11"/>
  <c r="AA1250" i="11"/>
  <c r="AA1604" i="11"/>
  <c r="AB1604" i="11"/>
  <c r="AB1767" i="11"/>
  <c r="AA1767" i="11"/>
  <c r="AB1856" i="11"/>
  <c r="AA1856" i="11"/>
  <c r="AB1861" i="11"/>
  <c r="AA1861" i="11"/>
  <c r="AB1868" i="11"/>
  <c r="AA1868" i="11"/>
  <c r="AB1875" i="11"/>
  <c r="AA1875" i="11"/>
  <c r="AB1886" i="11"/>
  <c r="AA1886" i="11"/>
  <c r="AB1905" i="11"/>
  <c r="AA1905" i="11"/>
  <c r="AB1916" i="11"/>
  <c r="AA1916" i="11"/>
  <c r="AB1930" i="11"/>
  <c r="AA1930" i="11"/>
  <c r="AB514" i="11"/>
  <c r="AA514" i="11"/>
  <c r="AB565" i="11"/>
  <c r="AA565" i="11"/>
  <c r="AB578" i="11"/>
  <c r="AA578" i="11"/>
  <c r="AB622" i="11"/>
  <c r="AA622" i="11"/>
  <c r="AB650" i="11"/>
  <c r="AA650" i="11"/>
  <c r="AB652" i="11"/>
  <c r="AA652" i="11"/>
  <c r="AB666" i="11"/>
  <c r="AA666" i="11"/>
  <c r="AB1007" i="11"/>
  <c r="AA1007" i="11"/>
  <c r="AB1011" i="11"/>
  <c r="AA1011" i="11"/>
  <c r="AB1013" i="11"/>
  <c r="AA1013" i="11"/>
  <c r="AA1019" i="11"/>
  <c r="AB1019" i="11"/>
  <c r="AB1175" i="11"/>
  <c r="AA1175" i="11"/>
  <c r="AB1178" i="11"/>
  <c r="AA1178" i="11"/>
  <c r="AB1200" i="11"/>
  <c r="AA1200" i="11"/>
  <c r="AB1204" i="11"/>
  <c r="AA1204" i="11"/>
  <c r="AB1207" i="11"/>
  <c r="AA1207" i="11"/>
  <c r="AB1225" i="11"/>
  <c r="AA1225" i="11"/>
  <c r="AB1231" i="11"/>
  <c r="AA1231" i="11"/>
  <c r="AB1528" i="11"/>
  <c r="AA1528" i="11"/>
  <c r="AA1652" i="11"/>
  <c r="AB1652" i="11"/>
  <c r="AA1705" i="11"/>
  <c r="AB1705" i="11"/>
  <c r="AB1730" i="11"/>
  <c r="AA1730" i="11"/>
  <c r="AB1745" i="11"/>
  <c r="AA1745" i="11"/>
  <c r="AB1746" i="11"/>
  <c r="AA1746" i="11"/>
  <c r="AB1753" i="11"/>
  <c r="AA1753" i="11"/>
  <c r="AB1777" i="11"/>
  <c r="AA1777" i="11"/>
  <c r="AB1784" i="11"/>
  <c r="AA1784" i="11"/>
  <c r="AB1788" i="11"/>
  <c r="AA1788" i="11"/>
  <c r="AB1789" i="11"/>
  <c r="AA1789" i="11"/>
  <c r="AB1793" i="11"/>
  <c r="AA1793" i="11"/>
  <c r="AB1860" i="11"/>
  <c r="AA1860" i="11"/>
  <c r="AB1864" i="11"/>
  <c r="AA1864" i="11"/>
  <c r="AB1867" i="11"/>
  <c r="AA1867" i="11"/>
  <c r="AB1890" i="11"/>
  <c r="AA1890" i="11"/>
  <c r="AB1891" i="11"/>
  <c r="AA1891" i="11"/>
  <c r="AB1900" i="11"/>
  <c r="AA1900" i="11"/>
  <c r="AB1909" i="11"/>
  <c r="AA1909" i="11"/>
  <c r="AB1923" i="11"/>
  <c r="AA1923" i="11"/>
  <c r="AB559" i="11"/>
  <c r="AA559" i="11"/>
  <c r="AB570" i="11"/>
  <c r="AA570" i="11"/>
  <c r="AB584" i="11"/>
  <c r="AA584" i="11"/>
  <c r="AB591" i="11"/>
  <c r="AA591" i="11"/>
  <c r="AB616" i="11"/>
  <c r="AA616" i="11"/>
  <c r="AB1085" i="11"/>
  <c r="AA1085" i="11"/>
  <c r="AB1203" i="11"/>
  <c r="AA1203" i="11"/>
  <c r="AB1209" i="11"/>
  <c r="AA1209" i="11"/>
  <c r="AB1215" i="11"/>
  <c r="AA1215" i="11"/>
  <c r="AB1226" i="11"/>
  <c r="AA1226" i="11"/>
  <c r="AB1259" i="11"/>
  <c r="AA1259" i="11"/>
  <c r="AB1585" i="11"/>
  <c r="AA1585" i="11"/>
  <c r="AB1742" i="11"/>
  <c r="AA1742" i="11"/>
  <c r="AB1755" i="11"/>
  <c r="AA1755" i="11"/>
  <c r="AB1759" i="11"/>
  <c r="AA1759" i="11"/>
  <c r="AB1764" i="11"/>
  <c r="AA1764" i="11"/>
  <c r="AB1772" i="11"/>
  <c r="AA1772" i="11"/>
  <c r="AB1778" i="11"/>
  <c r="AA1778" i="11"/>
  <c r="AB1871" i="11"/>
  <c r="AA1871" i="11"/>
  <c r="AB1881" i="11"/>
  <c r="AA1881" i="11"/>
  <c r="AB1913" i="11"/>
  <c r="AA1913" i="11"/>
  <c r="AB1919" i="11"/>
  <c r="AA1919" i="11"/>
  <c r="AB611" i="11"/>
  <c r="AA611" i="11"/>
  <c r="AB640" i="11"/>
  <c r="AA640" i="11"/>
  <c r="AB642" i="11"/>
  <c r="AA642" i="11"/>
  <c r="AB754" i="11"/>
  <c r="AA754" i="11"/>
  <c r="AB1503" i="11"/>
  <c r="AA1503" i="11"/>
  <c r="AA1929" i="11"/>
  <c r="AB1929" i="11"/>
  <c r="AA1927" i="11"/>
  <c r="AB1927" i="11"/>
  <c r="AA1922" i="11"/>
  <c r="AB1922" i="11"/>
  <c r="AA1921" i="11"/>
  <c r="AB1921" i="11"/>
  <c r="AA1915" i="11"/>
  <c r="AB1915" i="11"/>
  <c r="AA1912" i="11"/>
  <c r="AB1912" i="11"/>
  <c r="AA1911" i="11"/>
  <c r="AB1911" i="11"/>
  <c r="AA1904" i="11"/>
  <c r="AB1904" i="11"/>
  <c r="AA1902" i="11"/>
  <c r="AB1902" i="11"/>
  <c r="AA1897" i="11"/>
  <c r="AB1897" i="11"/>
  <c r="AA1893" i="11"/>
  <c r="AB1893" i="11"/>
  <c r="AA1888" i="11"/>
  <c r="AB1888" i="11"/>
  <c r="AA1887" i="11"/>
  <c r="AB1887" i="11"/>
  <c r="AA1885" i="11"/>
  <c r="AB1885" i="11"/>
  <c r="AA1879" i="11"/>
  <c r="AB1879" i="11"/>
  <c r="AA1878" i="11"/>
  <c r="AB1878" i="11"/>
  <c r="AA1876" i="11"/>
  <c r="AB1876" i="11"/>
  <c r="AA1853" i="11"/>
  <c r="AB1853" i="11"/>
  <c r="AA1852" i="11"/>
  <c r="AB1852" i="11"/>
  <c r="AA1849" i="11"/>
  <c r="AB1849" i="11"/>
  <c r="AA1848" i="11"/>
  <c r="AB1848" i="11"/>
  <c r="AA1847" i="11"/>
  <c r="AB1847" i="11"/>
  <c r="AA1841" i="11"/>
  <c r="AB1841" i="11"/>
  <c r="AA1834" i="11"/>
  <c r="AB1834" i="11"/>
  <c r="AA1832" i="11"/>
  <c r="AB1832" i="11"/>
  <c r="AA1824" i="11"/>
  <c r="AB1824" i="11"/>
  <c r="AA1821" i="11"/>
  <c r="AB1821" i="11"/>
  <c r="AA1820" i="11"/>
  <c r="AB1820" i="11"/>
  <c r="AA1819" i="11"/>
  <c r="AB1819" i="11"/>
  <c r="AA1817" i="11"/>
  <c r="AB1817" i="11"/>
  <c r="AA1816" i="11"/>
  <c r="AB1816" i="11"/>
  <c r="AA1811" i="11"/>
  <c r="AB1811" i="11"/>
  <c r="AA1808" i="11"/>
  <c r="AB1808" i="11"/>
  <c r="AA1807" i="11"/>
  <c r="AB1807" i="11"/>
  <c r="AA1806" i="11"/>
  <c r="AB1806" i="11"/>
  <c r="AA1803" i="11"/>
  <c r="AB1803" i="11"/>
  <c r="AA1800" i="11"/>
  <c r="AB1800" i="11"/>
  <c r="AA1797" i="11"/>
  <c r="AB1797" i="11"/>
  <c r="AA1641" i="11"/>
  <c r="AB1641" i="11"/>
  <c r="AB1635" i="11"/>
  <c r="AA1635" i="11"/>
  <c r="AB1633" i="11"/>
  <c r="AA1633" i="11"/>
  <c r="AB1625" i="11"/>
  <c r="AA1625" i="11"/>
  <c r="AA1616" i="11"/>
  <c r="AB1616" i="11"/>
  <c r="AA1613" i="11"/>
  <c r="AB1613" i="11"/>
  <c r="AA1610" i="11"/>
  <c r="AB1610" i="11"/>
  <c r="AA1605" i="11"/>
  <c r="AB1605" i="11"/>
  <c r="AB1601" i="11"/>
  <c r="AA1601" i="11"/>
  <c r="AA1598" i="11"/>
  <c r="AB1598" i="11"/>
  <c r="AA1593" i="11"/>
  <c r="AB1593" i="11"/>
  <c r="AA1575" i="11"/>
  <c r="AB1575" i="11"/>
  <c r="AA1557" i="11"/>
  <c r="AB1557" i="11"/>
  <c r="AA1534" i="11"/>
  <c r="AB1534" i="11"/>
  <c r="AA1519" i="11"/>
  <c r="AB1519" i="11"/>
  <c r="AA1516" i="11"/>
  <c r="AB1516" i="11"/>
  <c r="AA1514" i="11"/>
  <c r="AB1514" i="11"/>
  <c r="AA1513" i="11"/>
  <c r="AB1513" i="11"/>
  <c r="AA1505" i="11"/>
  <c r="AB1505" i="11"/>
  <c r="AA1502" i="11"/>
  <c r="AB1502" i="11"/>
  <c r="AA1499" i="11"/>
  <c r="AB1499" i="11"/>
  <c r="AA1491" i="11"/>
  <c r="AB1491" i="11"/>
  <c r="AA1490" i="11"/>
  <c r="AB1490" i="11"/>
  <c r="AA1489" i="11"/>
  <c r="AB1489" i="11"/>
  <c r="AA1488" i="11"/>
  <c r="AB1488" i="11"/>
  <c r="AA1483" i="11"/>
  <c r="AB1483" i="11"/>
  <c r="AA1482" i="11"/>
  <c r="AB1482" i="11"/>
  <c r="AA1481" i="11"/>
  <c r="AB1481" i="11"/>
  <c r="AA1480" i="11"/>
  <c r="AB1480" i="11"/>
  <c r="AA1479" i="11"/>
  <c r="AB1479" i="11"/>
  <c r="AA1476" i="11"/>
  <c r="AB1476" i="11"/>
  <c r="AA1474" i="11"/>
  <c r="AB1474" i="11"/>
  <c r="AA1472" i="11"/>
  <c r="AB1472" i="11"/>
  <c r="AA1465" i="11"/>
  <c r="AB1465" i="11"/>
  <c r="AA1464" i="11"/>
  <c r="AB1464" i="11"/>
  <c r="AA1462" i="11"/>
  <c r="AB1462" i="11"/>
  <c r="AA1461" i="11"/>
  <c r="AB1461" i="11"/>
  <c r="AA1460" i="11"/>
  <c r="AB1460" i="11"/>
  <c r="AA1457" i="11"/>
  <c r="AB1457" i="11"/>
  <c r="AA1454" i="11"/>
  <c r="AB1454" i="11"/>
  <c r="AA1451" i="11"/>
  <c r="AB1451" i="11"/>
  <c r="AA1450" i="11"/>
  <c r="AB1450" i="11"/>
  <c r="AA1447" i="11"/>
  <c r="AB1447" i="11"/>
  <c r="AA1444" i="11"/>
  <c r="AB1444" i="11"/>
  <c r="AA1439" i="11"/>
  <c r="AB1439" i="11"/>
  <c r="AA1437" i="11"/>
  <c r="AB1437" i="11"/>
  <c r="AA1436" i="11"/>
  <c r="AB1436" i="11"/>
  <c r="AA1435" i="11"/>
  <c r="AB1435" i="11"/>
  <c r="AA1431" i="11"/>
  <c r="AB1431" i="11"/>
  <c r="AA1427" i="11"/>
  <c r="AB1427" i="11"/>
  <c r="AA1426" i="11"/>
  <c r="AB1426" i="11"/>
  <c r="AA1421" i="11"/>
  <c r="AB1421" i="11"/>
  <c r="AA1417" i="11"/>
  <c r="AB1417" i="11"/>
  <c r="AA1415" i="11"/>
  <c r="AB1415" i="11"/>
  <c r="AA1414" i="11"/>
  <c r="AB1414" i="11"/>
  <c r="AA1411" i="11"/>
  <c r="AB1411" i="11"/>
  <c r="AA1410" i="11"/>
  <c r="AB1410" i="11"/>
  <c r="AA1407" i="11"/>
  <c r="AB1407" i="11"/>
  <c r="AA1406" i="11"/>
  <c r="AB1406" i="11"/>
  <c r="AA1098" i="11"/>
  <c r="AB1098" i="11"/>
  <c r="AA1089" i="11"/>
  <c r="AB1089" i="11"/>
  <c r="AA1084" i="11"/>
  <c r="AB1084" i="11"/>
  <c r="AB1073" i="11"/>
  <c r="AA1073" i="11"/>
  <c r="AB1070" i="11"/>
  <c r="AA1070" i="11"/>
  <c r="AB1068" i="11"/>
  <c r="AA1068" i="11"/>
  <c r="AB1059" i="11"/>
  <c r="AA1059" i="11"/>
  <c r="AA1047" i="11"/>
  <c r="AB1047" i="11"/>
  <c r="AA1041" i="11"/>
  <c r="AB1041" i="11"/>
  <c r="AA615" i="11"/>
  <c r="AB615" i="11"/>
  <c r="AA164" i="11"/>
  <c r="AB164" i="11"/>
  <c r="AA134" i="11"/>
  <c r="AB134" i="11"/>
  <c r="AA124" i="11"/>
  <c r="AB124" i="11"/>
  <c r="AA120" i="11"/>
  <c r="AB120" i="11"/>
  <c r="AA86" i="11"/>
  <c r="AB86" i="11"/>
  <c r="AA83" i="11"/>
  <c r="AB83" i="11"/>
  <c r="AA1791" i="11"/>
  <c r="AB1791" i="11"/>
  <c r="AA1790" i="11"/>
  <c r="AB1790" i="11"/>
  <c r="AA1786" i="11"/>
  <c r="AB1786" i="11"/>
  <c r="AA1782" i="11"/>
  <c r="AB1782" i="11"/>
  <c r="AA1781" i="11"/>
  <c r="AB1781" i="11"/>
  <c r="AA1773" i="11"/>
  <c r="AB1773" i="11"/>
  <c r="AA1770" i="11"/>
  <c r="AB1770" i="11"/>
  <c r="AA1769" i="11"/>
  <c r="AB1769" i="11"/>
  <c r="AA1768" i="11"/>
  <c r="AB1768" i="11"/>
  <c r="AA1766" i="11"/>
  <c r="AB1766" i="11"/>
  <c r="AA1762" i="11"/>
  <c r="AB1762" i="11"/>
  <c r="AA1760" i="11"/>
  <c r="AB1760" i="11"/>
  <c r="AA1758" i="11"/>
  <c r="AB1758" i="11"/>
  <c r="AA1757" i="11"/>
  <c r="AB1757" i="11"/>
  <c r="AA1756" i="11"/>
  <c r="AB1756" i="11"/>
  <c r="AA1754" i="11"/>
  <c r="AB1754" i="11"/>
  <c r="AA1752" i="11"/>
  <c r="AB1752" i="11"/>
  <c r="AA1751" i="11"/>
  <c r="AB1751" i="11"/>
  <c r="AA1749" i="11"/>
  <c r="AB1749" i="11"/>
  <c r="AA1748" i="11"/>
  <c r="AB1748" i="11"/>
  <c r="AA1747" i="11"/>
  <c r="AB1747" i="11"/>
  <c r="AA1744" i="11"/>
  <c r="AB1744" i="11"/>
  <c r="AA1743" i="11"/>
  <c r="AB1743" i="11"/>
  <c r="AA1741" i="11"/>
  <c r="AB1741" i="11"/>
  <c r="AA1740" i="11"/>
  <c r="AB1740" i="11"/>
  <c r="AA1739" i="11"/>
  <c r="AB1739" i="11"/>
  <c r="AA1738" i="11"/>
  <c r="AB1738" i="11"/>
  <c r="AA1737" i="11"/>
  <c r="AB1737" i="11"/>
  <c r="AA1736" i="11"/>
  <c r="AB1736" i="11"/>
  <c r="AA1735" i="11"/>
  <c r="AB1735" i="11"/>
  <c r="AA1734" i="11"/>
  <c r="AB1734" i="11"/>
  <c r="AA1733" i="11"/>
  <c r="AB1733" i="11"/>
  <c r="AA1732" i="11"/>
  <c r="AB1732" i="11"/>
  <c r="AA1728" i="11"/>
  <c r="AB1728" i="11"/>
  <c r="AA1727" i="11"/>
  <c r="AB1727" i="11"/>
  <c r="AA1726" i="11"/>
  <c r="AB1726" i="11"/>
  <c r="AA1725" i="11"/>
  <c r="AB1725" i="11"/>
  <c r="AA1721" i="11"/>
  <c r="AB1721" i="11"/>
  <c r="AB1720" i="11"/>
  <c r="AA1720" i="11"/>
  <c r="AA1719" i="11"/>
  <c r="AB1719" i="11"/>
  <c r="AA1718" i="11"/>
  <c r="AB1718" i="11"/>
  <c r="AA1717" i="11"/>
  <c r="AB1717" i="11"/>
  <c r="AA1716" i="11"/>
  <c r="AB1716" i="11"/>
  <c r="AB1715" i="11"/>
  <c r="AA1715" i="11"/>
  <c r="AA1714" i="11"/>
  <c r="AB1714" i="11"/>
  <c r="AA1713" i="11"/>
  <c r="AB1713" i="11"/>
  <c r="AA1712" i="11"/>
  <c r="AB1712" i="11"/>
  <c r="AA1710" i="11"/>
  <c r="AB1710" i="11"/>
  <c r="AB1709" i="11"/>
  <c r="AA1709" i="11"/>
  <c r="AA1707" i="11"/>
  <c r="AB1707" i="11"/>
  <c r="AA1706" i="11"/>
  <c r="AB1706" i="11"/>
  <c r="AB1702" i="11"/>
  <c r="AA1702" i="11"/>
  <c r="AA1701" i="11"/>
  <c r="AB1701" i="11"/>
  <c r="AA1699" i="11"/>
  <c r="AB1699" i="11"/>
  <c r="AB1698" i="11"/>
  <c r="AA1698" i="11"/>
  <c r="AA1695" i="11"/>
  <c r="AB1695" i="11"/>
  <c r="AA1694" i="11"/>
  <c r="AB1694" i="11"/>
  <c r="AB1692" i="11"/>
  <c r="AA1692" i="11"/>
  <c r="AA1690" i="11"/>
  <c r="AB1690" i="11"/>
  <c r="AA1689" i="11"/>
  <c r="AB1689" i="11"/>
  <c r="AB1556" i="11"/>
  <c r="AA1556" i="11"/>
  <c r="AA1525" i="11"/>
  <c r="AB1525" i="11"/>
  <c r="AA1501" i="11"/>
  <c r="AB1501" i="11"/>
  <c r="AA1493" i="11"/>
  <c r="AB1493" i="11"/>
  <c r="AA1459" i="11"/>
  <c r="AB1459" i="11"/>
  <c r="AB1080" i="11"/>
  <c r="AA1080" i="11"/>
  <c r="AB1055" i="11"/>
  <c r="AA1055" i="11"/>
  <c r="AA651" i="11"/>
  <c r="AB651" i="11"/>
  <c r="AA161" i="11"/>
  <c r="AB161" i="11"/>
  <c r="AA136" i="11"/>
  <c r="AB136" i="11"/>
  <c r="AA115" i="11"/>
  <c r="AB115" i="11"/>
  <c r="AA1395" i="11"/>
  <c r="AB1395" i="11"/>
  <c r="AA1393" i="11"/>
  <c r="AB1393" i="11"/>
  <c r="AA636" i="11"/>
  <c r="AB636" i="11"/>
  <c r="AA629" i="11"/>
  <c r="AB629" i="11"/>
  <c r="AA558" i="11"/>
  <c r="AB558" i="11"/>
  <c r="AA555" i="11"/>
  <c r="AB555" i="11"/>
  <c r="AA545" i="11"/>
  <c r="AB545" i="11"/>
  <c r="AA509" i="11"/>
  <c r="AB509" i="11"/>
  <c r="AA500" i="11"/>
  <c r="AB500" i="11"/>
  <c r="AA489" i="11"/>
  <c r="AB489" i="11"/>
  <c r="AA478" i="11"/>
  <c r="AB478" i="11"/>
  <c r="AB455" i="11"/>
  <c r="AA455" i="11"/>
  <c r="AB456" i="11"/>
  <c r="AA456" i="11"/>
  <c r="AB470" i="11"/>
  <c r="AA470" i="11"/>
  <c r="AB480" i="11"/>
  <c r="AA480" i="11"/>
  <c r="AB481" i="11"/>
  <c r="AA481" i="11"/>
  <c r="AB497" i="11"/>
  <c r="AA497" i="11"/>
  <c r="AB498" i="11"/>
  <c r="AA498" i="11"/>
  <c r="AA5" i="11"/>
  <c r="AB87" i="11"/>
  <c r="AA87" i="11"/>
  <c r="AB88" i="11"/>
  <c r="AA88" i="11"/>
  <c r="AB154" i="11"/>
  <c r="AA154" i="11"/>
  <c r="AB204" i="11"/>
  <c r="AA204" i="11"/>
  <c r="AB215" i="11"/>
  <c r="AA215" i="11"/>
  <c r="AB236" i="11"/>
  <c r="AA236" i="11"/>
  <c r="AB276" i="11"/>
  <c r="AA276" i="11"/>
  <c r="AB378" i="11"/>
  <c r="AA378" i="11"/>
  <c r="AB388" i="11"/>
  <c r="AA388" i="11"/>
  <c r="AB510" i="11"/>
  <c r="AA510" i="11"/>
  <c r="AB527" i="11"/>
  <c r="AA527" i="11"/>
  <c r="AB573" i="11"/>
  <c r="AA573" i="11"/>
  <c r="AB601" i="11"/>
  <c r="AA601" i="11"/>
  <c r="AB757" i="11"/>
  <c r="AA757" i="11"/>
  <c r="AB806" i="11"/>
  <c r="AA806" i="11"/>
  <c r="AB836" i="11"/>
  <c r="AA836" i="11"/>
  <c r="AB840" i="11"/>
  <c r="AA840" i="11"/>
  <c r="AB959" i="11"/>
  <c r="AA959" i="11"/>
  <c r="AB978" i="11"/>
  <c r="AA978" i="11"/>
  <c r="AB982" i="11"/>
  <c r="AA982" i="11"/>
  <c r="AB1005" i="11"/>
  <c r="AA1005" i="11"/>
  <c r="AB1016" i="11"/>
  <c r="AA1016" i="11"/>
  <c r="AB1017" i="11"/>
  <c r="AA1017" i="11"/>
  <c r="AB1026" i="11"/>
  <c r="AA1026" i="11"/>
  <c r="AB1029" i="11"/>
  <c r="AA1029" i="11"/>
  <c r="AA1032" i="11"/>
  <c r="AB1032" i="11"/>
  <c r="AB1035" i="11"/>
  <c r="AA1035" i="11"/>
  <c r="AA1037" i="11"/>
  <c r="AB1037" i="11"/>
  <c r="AB1039" i="11"/>
  <c r="AA1039" i="11"/>
  <c r="AB1046" i="11"/>
  <c r="AA1046" i="11"/>
  <c r="AA1048" i="11"/>
  <c r="AB1048" i="11"/>
  <c r="AB1052" i="11"/>
  <c r="AA1052" i="11"/>
  <c r="AB1058" i="11"/>
  <c r="AA1058" i="11"/>
  <c r="AB1062" i="11"/>
  <c r="AA1062" i="11"/>
  <c r="AB1069" i="11"/>
  <c r="AA1069" i="11"/>
  <c r="AB1071" i="11"/>
  <c r="AA1071" i="11"/>
  <c r="AA1079" i="11"/>
  <c r="AB1079" i="11"/>
  <c r="AB1087" i="11"/>
  <c r="AA1087" i="11"/>
  <c r="AA1088" i="11"/>
  <c r="AB1088" i="11"/>
  <c r="AB1094" i="11"/>
  <c r="AA1094" i="11"/>
  <c r="AB1100" i="11"/>
  <c r="AA1100" i="11"/>
  <c r="AA1109" i="11"/>
  <c r="AB1109" i="11"/>
  <c r="AB1113" i="11"/>
  <c r="AA1113" i="11"/>
  <c r="AB1115" i="11"/>
  <c r="AA1115" i="11"/>
  <c r="AA1132" i="11"/>
  <c r="AB1132" i="11"/>
  <c r="AB1133" i="11"/>
  <c r="AA1133" i="11"/>
  <c r="AB1144" i="11"/>
  <c r="AA1144" i="11"/>
  <c r="AB1152" i="11"/>
  <c r="AA1152" i="11"/>
  <c r="AA1155" i="11"/>
  <c r="AB1155" i="11"/>
  <c r="AA1159" i="11"/>
  <c r="AB1159" i="11"/>
  <c r="AA1164" i="11"/>
  <c r="AB1164" i="11"/>
  <c r="AB1172" i="11"/>
  <c r="AA1172" i="11"/>
  <c r="AB1176" i="11"/>
  <c r="AA1176" i="11"/>
  <c r="AB1190" i="11"/>
  <c r="AA1190" i="11"/>
  <c r="AB1192" i="11"/>
  <c r="AA1192" i="11"/>
  <c r="AB40" i="11"/>
  <c r="AA40" i="11"/>
  <c r="AB61" i="11"/>
  <c r="AA61" i="11"/>
  <c r="AB143" i="11"/>
  <c r="AA143" i="11"/>
  <c r="AB210" i="11"/>
  <c r="AA210" i="11"/>
  <c r="AB286" i="11"/>
  <c r="AA286" i="11"/>
  <c r="AB296" i="11"/>
  <c r="AA296" i="11"/>
  <c r="AB333" i="11"/>
  <c r="AA333" i="11"/>
  <c r="AB605" i="11"/>
  <c r="AA605" i="11"/>
  <c r="AB630" i="11"/>
  <c r="AA630" i="11"/>
  <c r="AB695" i="11"/>
  <c r="AA695" i="11"/>
  <c r="AB785" i="11"/>
  <c r="AA785" i="11"/>
  <c r="AB870" i="11"/>
  <c r="AA870" i="11"/>
  <c r="AB946" i="11"/>
  <c r="AA946" i="11"/>
  <c r="AB981" i="11"/>
  <c r="AA981" i="11"/>
  <c r="AB1222" i="11"/>
  <c r="AA1222" i="11"/>
  <c r="AB1252" i="11"/>
  <c r="AA1252" i="11"/>
  <c r="AB1255" i="11"/>
  <c r="AA1255" i="11"/>
  <c r="AB1518" i="11"/>
  <c r="AA1518" i="11"/>
  <c r="AA1546" i="11"/>
  <c r="AB1546" i="11"/>
  <c r="AB1554" i="11"/>
  <c r="AA1554" i="11"/>
  <c r="AB1574" i="11"/>
  <c r="AA1574" i="11"/>
  <c r="AB1584" i="11"/>
  <c r="AA1584" i="11"/>
  <c r="AA1611" i="11"/>
  <c r="AB1611" i="11"/>
  <c r="AA1621" i="11"/>
  <c r="AB1621" i="11"/>
  <c r="AB1640" i="11"/>
  <c r="AA1640" i="11"/>
  <c r="AB1661" i="11"/>
  <c r="AA1661" i="11"/>
  <c r="AA1681" i="11"/>
  <c r="AB1681" i="11"/>
  <c r="AB1696" i="11"/>
  <c r="AA1696" i="11"/>
  <c r="AB1729" i="11"/>
  <c r="AA1729" i="11"/>
  <c r="AB1785" i="11"/>
  <c r="AA1785" i="11"/>
  <c r="AB1874" i="11"/>
  <c r="AA1874" i="11"/>
  <c r="AB1883" i="11"/>
  <c r="AA1883" i="11"/>
  <c r="AB1910" i="11"/>
  <c r="AA1910" i="11"/>
  <c r="AB1928" i="11"/>
  <c r="AA1928" i="11"/>
  <c r="AB30" i="11"/>
  <c r="AA30" i="11"/>
  <c r="AB72" i="11"/>
  <c r="AA72" i="11"/>
  <c r="AB133" i="11"/>
  <c r="AA133" i="11"/>
  <c r="AB211" i="11"/>
  <c r="AA211" i="11"/>
  <c r="AB245" i="11"/>
  <c r="AA245" i="11"/>
  <c r="AB337" i="11"/>
  <c r="AA337" i="11"/>
  <c r="AB367" i="11"/>
  <c r="AA367" i="11"/>
  <c r="AB389" i="11"/>
  <c r="AA389" i="11"/>
  <c r="AB574" i="11"/>
  <c r="AA574" i="11"/>
  <c r="AB586" i="11"/>
  <c r="AA586" i="11"/>
  <c r="AB590" i="11"/>
  <c r="AA590" i="11"/>
  <c r="AB593" i="11"/>
  <c r="AA593" i="11"/>
  <c r="AB595" i="11"/>
  <c r="AA595" i="11"/>
  <c r="AB625" i="11"/>
  <c r="AA625" i="11"/>
  <c r="AB631" i="11"/>
  <c r="AA631" i="11"/>
  <c r="AB668" i="11"/>
  <c r="AA668" i="11"/>
  <c r="AB675" i="11"/>
  <c r="AA675" i="11"/>
  <c r="AB751" i="11"/>
  <c r="AA751" i="11"/>
  <c r="AB780" i="11"/>
  <c r="AA780" i="11"/>
  <c r="AB805" i="11"/>
  <c r="AA805" i="11"/>
  <c r="AB819" i="11"/>
  <c r="AA819" i="11"/>
  <c r="AB857" i="11"/>
  <c r="AA857" i="11"/>
  <c r="AB908" i="11"/>
  <c r="AA908" i="11"/>
  <c r="AB977" i="11"/>
  <c r="AA977" i="11"/>
  <c r="AB1221" i="11"/>
  <c r="AA1221" i="11"/>
  <c r="AB1232" i="11"/>
  <c r="AA1232" i="11"/>
  <c r="AB1237" i="11"/>
  <c r="AA1237" i="11"/>
  <c r="AB1246" i="11"/>
  <c r="AA1246" i="11"/>
  <c r="AB1512" i="11"/>
  <c r="AA1512" i="11"/>
  <c r="AB1530" i="11"/>
  <c r="AA1530" i="11"/>
  <c r="AB1532" i="11"/>
  <c r="AA1532" i="11"/>
  <c r="AA1550" i="11"/>
  <c r="AB1550" i="11"/>
  <c r="AB1568" i="11"/>
  <c r="AA1568" i="11"/>
  <c r="AB1570" i="11"/>
  <c r="AA1570" i="11"/>
  <c r="AA1580" i="11"/>
  <c r="AB1580" i="11"/>
  <c r="AB1594" i="11"/>
  <c r="AA1594" i="11"/>
  <c r="AB1599" i="11"/>
  <c r="AA1599" i="11"/>
  <c r="AB1607" i="11"/>
  <c r="AA1607" i="11"/>
  <c r="AB1618" i="11"/>
  <c r="AA1618" i="11"/>
  <c r="AA1627" i="11"/>
  <c r="AB1627" i="11"/>
  <c r="AB1629" i="11"/>
  <c r="AA1629" i="11"/>
  <c r="AB1649" i="11"/>
  <c r="AA1649" i="11"/>
  <c r="AA1663" i="11"/>
  <c r="AB1663" i="11"/>
  <c r="AB1666" i="11"/>
  <c r="AA1666" i="11"/>
  <c r="AB1678" i="11"/>
  <c r="AA1678" i="11"/>
  <c r="AA1700" i="11"/>
  <c r="AB1700" i="11"/>
  <c r="AA1708" i="11"/>
  <c r="AB1708" i="11"/>
  <c r="AA1722" i="11"/>
  <c r="AB1722" i="11"/>
  <c r="AB1724" i="11"/>
  <c r="AA1724" i="11"/>
  <c r="AB1750" i="11"/>
  <c r="AA1750" i="11"/>
  <c r="AB1763" i="11"/>
  <c r="AA1763" i="11"/>
  <c r="AB1771" i="11"/>
  <c r="AA1771" i="11"/>
  <c r="AB1775" i="11"/>
  <c r="AA1775" i="11"/>
  <c r="AB1780" i="11"/>
  <c r="AA1780" i="11"/>
  <c r="AB1857" i="11"/>
  <c r="AA1857" i="11"/>
  <c r="AB1869" i="11"/>
  <c r="AA1869" i="11"/>
  <c r="AB1877" i="11"/>
  <c r="AA1877" i="11"/>
  <c r="AB1896" i="11"/>
  <c r="AA1896" i="11"/>
  <c r="AB1908" i="11"/>
  <c r="AA1908" i="11"/>
  <c r="AB1917" i="11"/>
  <c r="AA1917" i="11"/>
  <c r="AB1918" i="11"/>
  <c r="AA1918" i="11"/>
  <c r="AB1925" i="11"/>
  <c r="AA1925" i="11"/>
  <c r="AB1926" i="11"/>
  <c r="AA1926" i="11"/>
  <c r="AB71" i="11"/>
  <c r="AA71" i="11"/>
  <c r="AB307" i="11"/>
  <c r="AA307" i="11"/>
  <c r="AB618" i="11"/>
  <c r="AA618" i="11"/>
  <c r="AB799" i="11"/>
  <c r="AA799" i="11"/>
  <c r="AB878" i="11"/>
  <c r="AA878" i="11"/>
  <c r="AB921" i="11"/>
  <c r="AA921" i="11"/>
  <c r="AB1224" i="11"/>
  <c r="AA1224" i="11"/>
  <c r="AB1228" i="11"/>
  <c r="AA1228" i="11"/>
  <c r="AB1242" i="11"/>
  <c r="AA1242" i="11"/>
  <c r="AB1251" i="11"/>
  <c r="AA1251" i="11"/>
  <c r="AA1542" i="11"/>
  <c r="AB1542" i="11"/>
  <c r="AA1563" i="11"/>
  <c r="AB1563" i="11"/>
  <c r="AB1565" i="11"/>
  <c r="AA1565" i="11"/>
  <c r="AA1608" i="11"/>
  <c r="AB1608" i="11"/>
  <c r="AB1637" i="11"/>
  <c r="AA1637" i="11"/>
  <c r="AB1668" i="11"/>
  <c r="AA1668" i="11"/>
  <c r="AA1693" i="11"/>
  <c r="AB1693" i="11"/>
  <c r="AB1774" i="11"/>
  <c r="AA1774" i="11"/>
  <c r="AB1787" i="11"/>
  <c r="AA1787" i="11"/>
  <c r="AB1870" i="11"/>
  <c r="AA1870" i="11"/>
  <c r="AB1880" i="11"/>
  <c r="AA1880" i="11"/>
  <c r="AB1907" i="11"/>
  <c r="AA1907" i="11"/>
  <c r="AA6" i="11"/>
  <c r="AB144" i="11"/>
  <c r="AA144" i="11"/>
  <c r="AB163" i="11"/>
  <c r="AA163" i="11"/>
  <c r="AB1688" i="11"/>
  <c r="AA1688" i="11"/>
  <c r="AA1687" i="11"/>
  <c r="AB1687" i="11"/>
  <c r="AB1686" i="11"/>
  <c r="AA1686" i="11"/>
  <c r="AA1683" i="11"/>
  <c r="AB1683" i="11"/>
  <c r="AA1680" i="11"/>
  <c r="AB1680" i="11"/>
  <c r="AA1679" i="11"/>
  <c r="AB1679" i="11"/>
  <c r="AA1676" i="11"/>
  <c r="AB1676" i="11"/>
  <c r="AA1675" i="11"/>
  <c r="AB1675" i="11"/>
  <c r="AA1674" i="11"/>
  <c r="AB1674" i="11"/>
  <c r="AA1673" i="11"/>
  <c r="AB1673" i="11"/>
  <c r="AA1672" i="11"/>
  <c r="AB1672" i="11"/>
  <c r="AA1671" i="11"/>
  <c r="AB1671" i="11"/>
  <c r="AA1670" i="11"/>
  <c r="AB1670" i="11"/>
  <c r="AB1669" i="11"/>
  <c r="AA1669" i="11"/>
  <c r="AA1665" i="11"/>
  <c r="AB1665" i="11"/>
  <c r="AA1664" i="11"/>
  <c r="AB1664" i="11"/>
  <c r="AB1659" i="11"/>
  <c r="AA1659" i="11"/>
  <c r="AA1657" i="11"/>
  <c r="AB1657" i="11"/>
  <c r="AA1656" i="11"/>
  <c r="AB1656" i="11"/>
  <c r="AA1654" i="11"/>
  <c r="AB1654" i="11"/>
  <c r="AB1653" i="11"/>
  <c r="AA1653" i="11"/>
  <c r="AB1651" i="11"/>
  <c r="AA1651" i="11"/>
  <c r="AB1643" i="11"/>
  <c r="AA1643" i="11"/>
  <c r="AA1602" i="11"/>
  <c r="AB1602" i="11"/>
  <c r="AB1592" i="11"/>
  <c r="AA1592" i="11"/>
  <c r="AA1583" i="11"/>
  <c r="AB1583" i="11"/>
  <c r="AA1577" i="11"/>
  <c r="AB1577" i="11"/>
  <c r="AA1569" i="11"/>
  <c r="AB1569" i="11"/>
  <c r="AA1564" i="11"/>
  <c r="AB1564" i="11"/>
  <c r="AA1547" i="11"/>
  <c r="AB1547" i="11"/>
  <c r="AA1539" i="11"/>
  <c r="AB1539" i="11"/>
  <c r="AA1527" i="11"/>
  <c r="AB1527" i="11"/>
  <c r="AA1497" i="11"/>
  <c r="AB1497" i="11"/>
  <c r="AA1485" i="11"/>
  <c r="AB1485" i="11"/>
  <c r="AA1419" i="11"/>
  <c r="AB1419" i="11"/>
  <c r="AB1051" i="11"/>
  <c r="AA1051" i="11"/>
  <c r="AB1031" i="11"/>
  <c r="AA1031" i="11"/>
  <c r="AA647" i="11"/>
  <c r="AB647" i="11"/>
  <c r="AA627" i="11"/>
  <c r="AB627" i="11"/>
  <c r="AA617" i="11"/>
  <c r="AB617" i="11"/>
  <c r="AA610" i="11"/>
  <c r="AB610" i="11"/>
  <c r="AA157" i="11"/>
  <c r="AB157" i="11"/>
  <c r="AA145" i="11"/>
  <c r="AB145" i="11"/>
  <c r="AA131" i="11"/>
  <c r="AB131" i="11"/>
  <c r="AA105" i="11"/>
  <c r="AB105" i="11"/>
  <c r="AA90" i="11"/>
  <c r="AB90" i="11"/>
  <c r="AA1400" i="11"/>
  <c r="AB1400" i="11"/>
  <c r="AA1388" i="11"/>
  <c r="AB1388" i="11"/>
  <c r="AA1386" i="11"/>
  <c r="AB1386" i="11"/>
  <c r="AA653" i="11"/>
  <c r="AB653" i="11"/>
  <c r="AA638" i="11"/>
  <c r="AB638" i="11"/>
  <c r="AA621" i="11"/>
  <c r="AB621" i="11"/>
  <c r="AA152" i="11"/>
  <c r="AB152" i="11"/>
  <c r="AA135" i="11"/>
  <c r="AB135" i="11"/>
  <c r="AA85" i="11"/>
  <c r="AB85" i="11"/>
  <c r="AA603" i="11"/>
  <c r="AB603" i="11"/>
  <c r="AA600" i="11"/>
  <c r="AB600" i="11"/>
  <c r="AA598" i="11"/>
  <c r="AB598" i="11"/>
  <c r="AA575" i="11"/>
  <c r="AB575" i="11"/>
  <c r="AA569" i="11"/>
  <c r="AB569" i="11"/>
  <c r="AA560" i="11"/>
  <c r="AB560" i="11"/>
  <c r="AA556" i="11"/>
  <c r="AB556" i="11"/>
  <c r="AA552" i="11"/>
  <c r="AB552" i="11"/>
  <c r="AA549" i="11"/>
  <c r="AB549" i="11"/>
  <c r="AA540" i="11"/>
  <c r="AB540" i="11"/>
  <c r="AA535" i="11"/>
  <c r="AB535" i="11"/>
  <c r="AA532" i="11"/>
  <c r="AB532" i="11"/>
  <c r="AA529" i="11"/>
  <c r="AB529" i="11"/>
  <c r="AB522" i="11"/>
  <c r="AA522" i="11"/>
  <c r="AA512" i="11"/>
  <c r="AB512" i="11"/>
  <c r="AA501" i="11"/>
  <c r="AB501" i="11"/>
  <c r="AA495" i="11"/>
  <c r="AB495" i="11"/>
  <c r="AA488" i="11"/>
  <c r="AB488" i="11"/>
  <c r="AA483" i="11"/>
  <c r="AB483" i="11"/>
  <c r="AA1384" i="11"/>
  <c r="AB1384" i="11"/>
  <c r="AA1383" i="11"/>
  <c r="AB1383" i="11"/>
  <c r="AA1382" i="11"/>
  <c r="AB1382" i="11"/>
  <c r="AA1381" i="11"/>
  <c r="AB1381" i="11"/>
  <c r="AA1380" i="11"/>
  <c r="AB1380" i="11"/>
  <c r="AA1379" i="11"/>
  <c r="AB1379" i="11"/>
  <c r="AA1378" i="11"/>
  <c r="AB1378" i="11"/>
  <c r="AA1377" i="11"/>
  <c r="AB1377" i="11"/>
  <c r="AA1376" i="11"/>
  <c r="AB1376" i="11"/>
  <c r="AA1375" i="11"/>
  <c r="AB1375" i="11"/>
  <c r="AA1374" i="11"/>
  <c r="AB1374" i="11"/>
  <c r="AA1373" i="11"/>
  <c r="AB1373" i="11"/>
  <c r="AA1372" i="11"/>
  <c r="AB1372" i="11"/>
  <c r="AA1371" i="11"/>
  <c r="AB1371" i="11"/>
  <c r="AA1370" i="11"/>
  <c r="AB1370" i="11"/>
  <c r="AA1369" i="11"/>
  <c r="AB1369" i="11"/>
  <c r="AA1368" i="11"/>
  <c r="AB1368" i="11"/>
  <c r="AA1367" i="11"/>
  <c r="AB1367" i="11"/>
  <c r="AA1366" i="11"/>
  <c r="AB1366" i="11"/>
  <c r="AA1365" i="11"/>
  <c r="AB1365" i="11"/>
  <c r="AA1364" i="11"/>
  <c r="AB1364" i="11"/>
  <c r="AA1363" i="11"/>
  <c r="AB1363" i="11"/>
  <c r="AA1362" i="11"/>
  <c r="AB1362" i="11"/>
  <c r="AA1361" i="11"/>
  <c r="AB1361" i="11"/>
  <c r="AA1360" i="11"/>
  <c r="AB1360" i="11"/>
  <c r="AA1359" i="11"/>
  <c r="AB1359" i="11"/>
  <c r="AA1358" i="11"/>
  <c r="AB1358" i="11"/>
  <c r="AA1357" i="11"/>
  <c r="AB1357" i="11"/>
  <c r="AA1356" i="11"/>
  <c r="AB1356" i="11"/>
  <c r="AA1355" i="11"/>
  <c r="AB1355" i="11"/>
  <c r="AA1354" i="11"/>
  <c r="AB1354" i="11"/>
  <c r="AA1353" i="11"/>
  <c r="AB1353" i="11"/>
  <c r="AA1352" i="11"/>
  <c r="AB1352" i="11"/>
  <c r="AA1351" i="11"/>
  <c r="AB1351" i="11"/>
  <c r="AA1350" i="11"/>
  <c r="AB1350" i="11"/>
  <c r="AA1349" i="11"/>
  <c r="AB1349" i="11"/>
  <c r="AA1348" i="11"/>
  <c r="AB1348" i="11"/>
  <c r="AA1347" i="11"/>
  <c r="AB1347" i="11"/>
  <c r="AA1346" i="11"/>
  <c r="AB1346" i="11"/>
  <c r="AA1345" i="11"/>
  <c r="AB1345" i="11"/>
  <c r="AA1344" i="11"/>
  <c r="AB1344" i="11"/>
  <c r="AA1343" i="11"/>
  <c r="AB1343" i="11"/>
  <c r="AA1342" i="11"/>
  <c r="AB1342" i="11"/>
  <c r="AA1341" i="11"/>
  <c r="AB1341" i="11"/>
  <c r="AA1340" i="11"/>
  <c r="AB1340" i="11"/>
  <c r="AA1339" i="11"/>
  <c r="AB1339" i="11"/>
  <c r="AA1338" i="11"/>
  <c r="AB1338" i="11"/>
  <c r="AA1337" i="11"/>
  <c r="AB1337" i="11"/>
  <c r="AA1336" i="11"/>
  <c r="AB1336" i="11"/>
  <c r="AA1335" i="11"/>
  <c r="AB1335" i="11"/>
  <c r="AA1334" i="11"/>
  <c r="AB1334" i="11"/>
  <c r="AA1333" i="11"/>
  <c r="AB1333" i="11"/>
  <c r="AA1332" i="11"/>
  <c r="AB1332" i="11"/>
  <c r="AA1331" i="11"/>
  <c r="AB1331" i="11"/>
  <c r="AA1330" i="11"/>
  <c r="AB1330" i="11"/>
  <c r="AA1329" i="11"/>
  <c r="AB1329" i="11"/>
  <c r="AA1328" i="11"/>
  <c r="AB1328" i="11"/>
  <c r="AA1327" i="11"/>
  <c r="AB1327" i="11"/>
  <c r="AA1326" i="11"/>
  <c r="AB1326" i="11"/>
  <c r="AA1325" i="11"/>
  <c r="AB1325" i="11"/>
  <c r="AA1324" i="11"/>
  <c r="AB1324" i="11"/>
  <c r="AA1323" i="11"/>
  <c r="AB1323" i="11"/>
  <c r="AA1322" i="11"/>
  <c r="AB1322" i="11"/>
  <c r="AA1321" i="11"/>
  <c r="AB1321" i="11"/>
  <c r="AA1320" i="11"/>
  <c r="AB1320" i="11"/>
  <c r="AA1319" i="11"/>
  <c r="AB1319" i="11"/>
  <c r="AA1318" i="11"/>
  <c r="AB1318" i="11"/>
  <c r="AA1317" i="11"/>
  <c r="AB1317" i="11"/>
  <c r="AA1316" i="11"/>
  <c r="AB1316" i="11"/>
  <c r="AA1315" i="11"/>
  <c r="AB1315" i="11"/>
  <c r="AA1314" i="11"/>
  <c r="AB1314" i="11"/>
  <c r="AA1313" i="11"/>
  <c r="AB1313" i="11"/>
  <c r="AA1312" i="11"/>
  <c r="AB1312" i="11"/>
  <c r="AA1311" i="11"/>
  <c r="AB1311" i="11"/>
  <c r="AA1310" i="11"/>
  <c r="AB1310" i="11"/>
  <c r="AA1309" i="11"/>
  <c r="AB1309" i="11"/>
  <c r="AA1308" i="11"/>
  <c r="AB1308" i="11"/>
  <c r="AA1307" i="11"/>
  <c r="AB1307" i="11"/>
  <c r="AA1306" i="11"/>
  <c r="AB1306" i="11"/>
  <c r="AA1305" i="11"/>
  <c r="AB1305" i="11"/>
  <c r="AA1304" i="11"/>
  <c r="AB1304" i="11"/>
  <c r="AA1303" i="11"/>
  <c r="AB1303" i="11"/>
  <c r="AA1302" i="11"/>
  <c r="AB1302" i="11"/>
  <c r="AA1301" i="11"/>
  <c r="AB1301" i="11"/>
  <c r="AA1300" i="11"/>
  <c r="AB1300" i="11"/>
  <c r="AA1299" i="11"/>
  <c r="AB1299" i="11"/>
  <c r="AA1298" i="11"/>
  <c r="AB1298" i="11"/>
  <c r="AA1297" i="11"/>
  <c r="AB1297" i="11"/>
  <c r="AA1296" i="11"/>
  <c r="AB1296" i="11"/>
  <c r="AA1295" i="11"/>
  <c r="AB1295" i="11"/>
  <c r="AA1294" i="11"/>
  <c r="AB1294" i="11"/>
  <c r="AA1293" i="11"/>
  <c r="AB1293" i="11"/>
  <c r="AA1292" i="11"/>
  <c r="AB1292" i="11"/>
  <c r="AA1291" i="11"/>
  <c r="AB1291" i="11"/>
  <c r="AA1290" i="11"/>
  <c r="AB1290" i="11"/>
  <c r="AA1289" i="11"/>
  <c r="AB1289" i="11"/>
  <c r="AA1288" i="11"/>
  <c r="AB1288" i="11"/>
  <c r="AA1287" i="11"/>
  <c r="AB1287" i="11"/>
  <c r="AA1286" i="11"/>
  <c r="AB1286" i="11"/>
  <c r="AA1285" i="11"/>
  <c r="AB1285" i="11"/>
  <c r="AA1284" i="11"/>
  <c r="AB1284" i="11"/>
  <c r="AA1283" i="11"/>
  <c r="AB1283" i="11"/>
  <c r="AA1282" i="11"/>
  <c r="AB1282" i="11"/>
  <c r="AA1281" i="11"/>
  <c r="AB1281" i="11"/>
  <c r="AA1280" i="11"/>
  <c r="AB1280" i="11"/>
  <c r="AA1279" i="11"/>
  <c r="AB1279" i="11"/>
  <c r="AA1278" i="11"/>
  <c r="AB1278" i="11"/>
  <c r="AA1277" i="11"/>
  <c r="AB1277" i="11"/>
  <c r="AA1276" i="11"/>
  <c r="AB1276" i="11"/>
  <c r="AA1275" i="11"/>
  <c r="AB1275" i="11"/>
  <c r="AA1274" i="11"/>
  <c r="AB1274" i="11"/>
  <c r="AA1273" i="11"/>
  <c r="AB1273" i="11"/>
  <c r="AA1272" i="11"/>
  <c r="AB1272" i="11"/>
  <c r="AA1271" i="11"/>
  <c r="AB1271" i="11"/>
  <c r="AA1270" i="11"/>
  <c r="AB1270" i="11"/>
  <c r="AA1269" i="11"/>
  <c r="AB1269" i="11"/>
  <c r="AA1268" i="11"/>
  <c r="AB1268" i="11"/>
  <c r="AA1267" i="11"/>
  <c r="AB1267" i="11"/>
  <c r="AA1266" i="11"/>
  <c r="AB1266" i="11"/>
  <c r="AA1265" i="11"/>
  <c r="AB1265" i="11"/>
  <c r="AA1264" i="11"/>
  <c r="AB1264" i="11"/>
  <c r="AA1263" i="11"/>
  <c r="AB1263" i="11"/>
  <c r="AA1262" i="11"/>
  <c r="AB1262" i="11"/>
  <c r="AA1261" i="11"/>
  <c r="AB1261" i="11"/>
  <c r="AA1260" i="11"/>
  <c r="AB1260" i="11"/>
  <c r="AA1258" i="11"/>
  <c r="AB1258" i="11"/>
  <c r="AA1257" i="11"/>
  <c r="AB1257" i="11"/>
  <c r="AA1256" i="11"/>
  <c r="AB1256" i="11"/>
  <c r="AA1254" i="11"/>
  <c r="AB1254" i="11"/>
  <c r="AA1249" i="11"/>
  <c r="AB1249" i="11"/>
  <c r="AA1243" i="11"/>
  <c r="AB1243" i="11"/>
  <c r="AA1239" i="11"/>
  <c r="AB1239" i="11"/>
  <c r="AA1230" i="11"/>
  <c r="AB1230" i="11"/>
  <c r="AA1229" i="11"/>
  <c r="AB1229" i="11"/>
  <c r="AA1227" i="11"/>
  <c r="AB1227" i="11"/>
  <c r="AA1223" i="11"/>
  <c r="AB1223" i="11"/>
  <c r="AA1219" i="11"/>
  <c r="AB1219" i="11"/>
  <c r="AA1218" i="11"/>
  <c r="AB1218" i="11"/>
  <c r="AA1217" i="11"/>
  <c r="AB1217" i="11"/>
  <c r="AA1216" i="11"/>
  <c r="AB1216" i="11"/>
  <c r="AA1214" i="11"/>
  <c r="AB1214" i="11"/>
  <c r="AA1213" i="11"/>
  <c r="AB1213" i="11"/>
  <c r="AA1212" i="11"/>
  <c r="AB1212" i="11"/>
  <c r="AA1211" i="11"/>
  <c r="AB1211" i="11"/>
  <c r="AA1210" i="11"/>
  <c r="AB1210" i="11"/>
  <c r="AA1208" i="11"/>
  <c r="AB1208" i="11"/>
  <c r="AA1206" i="11"/>
  <c r="AB1206" i="11"/>
  <c r="AA1205" i="11"/>
  <c r="AB1205" i="11"/>
  <c r="AA1202" i="11"/>
  <c r="AB1202" i="11"/>
  <c r="AA1201" i="11"/>
  <c r="AB1201" i="11"/>
  <c r="AA1198" i="11"/>
  <c r="AB1198" i="11"/>
  <c r="AA1197" i="11"/>
  <c r="AB1197" i="11"/>
  <c r="AA1196" i="11"/>
  <c r="AB1196" i="11"/>
  <c r="AA1193" i="11"/>
  <c r="AB1193" i="11"/>
  <c r="AA1191" i="11"/>
  <c r="AB1191" i="11"/>
  <c r="AA1189" i="11"/>
  <c r="AB1189" i="11"/>
  <c r="AA1188" i="11"/>
  <c r="AB1188" i="11"/>
  <c r="AA1187" i="11"/>
  <c r="AB1187" i="11"/>
  <c r="AA1185" i="11"/>
  <c r="AB1185" i="11"/>
  <c r="AA1184" i="11"/>
  <c r="AB1184" i="11"/>
  <c r="AA1183" i="11"/>
  <c r="AB1183" i="11"/>
  <c r="AA1182" i="11"/>
  <c r="AB1182" i="11"/>
  <c r="AA1181" i="11"/>
  <c r="AB1181" i="11"/>
  <c r="AA1180" i="11"/>
  <c r="AB1180" i="11"/>
  <c r="AA1179" i="11"/>
  <c r="AB1179" i="11"/>
  <c r="AA1177" i="11"/>
  <c r="AB1177" i="11"/>
  <c r="AA1174" i="11"/>
  <c r="AB1174" i="11"/>
  <c r="AA1171" i="11"/>
  <c r="AB1171" i="11"/>
  <c r="AA1170" i="11"/>
  <c r="AB1170" i="11"/>
  <c r="AB1169" i="11"/>
  <c r="AA1169" i="11"/>
  <c r="AB1168" i="11"/>
  <c r="AA1168" i="11"/>
  <c r="AA1167" i="11"/>
  <c r="AB1167" i="11"/>
  <c r="AA1166" i="11"/>
  <c r="AB1166" i="11"/>
  <c r="AB1165" i="11"/>
  <c r="AA1165" i="11"/>
  <c r="AB1163" i="11"/>
  <c r="AA1163" i="11"/>
  <c r="AB1161" i="11"/>
  <c r="AA1161" i="11"/>
  <c r="AB1160" i="11"/>
  <c r="AA1160" i="11"/>
  <c r="AA1158" i="11"/>
  <c r="AB1158" i="11"/>
  <c r="AB1157" i="11"/>
  <c r="AA1157" i="11"/>
  <c r="AB1154" i="11"/>
  <c r="AA1154" i="11"/>
  <c r="AB1151" i="11"/>
  <c r="AA1151" i="11"/>
  <c r="AB1150" i="11"/>
  <c r="AA1150" i="11"/>
  <c r="AB1149" i="11"/>
  <c r="AA1149" i="11"/>
  <c r="AA1148" i="11"/>
  <c r="AB1148" i="11"/>
  <c r="AB1147" i="11"/>
  <c r="AA1147" i="11"/>
  <c r="AA1146" i="11"/>
  <c r="AB1146" i="11"/>
  <c r="AA1143" i="11"/>
  <c r="AB1143" i="11"/>
  <c r="AA1142" i="11"/>
  <c r="AB1142" i="11"/>
  <c r="AA1141" i="11"/>
  <c r="AB1141" i="11"/>
  <c r="AB1140" i="11"/>
  <c r="AA1140" i="11"/>
  <c r="AB1139" i="11"/>
  <c r="AA1139" i="11"/>
  <c r="AA1138" i="11"/>
  <c r="AB1138" i="11"/>
  <c r="AB1137" i="11"/>
  <c r="AA1137" i="11"/>
  <c r="AB1136" i="11"/>
  <c r="AA1136" i="11"/>
  <c r="AA1135" i="11"/>
  <c r="AB1135" i="11"/>
  <c r="AB1131" i="11"/>
  <c r="AA1131" i="11"/>
  <c r="AA1130" i="11"/>
  <c r="AB1130" i="11"/>
  <c r="AB1129" i="11"/>
  <c r="AA1129" i="11"/>
  <c r="AA1128" i="11"/>
  <c r="AB1128" i="11"/>
  <c r="AA1127" i="11"/>
  <c r="AB1127" i="11"/>
  <c r="AB1126" i="11"/>
  <c r="AA1126" i="11"/>
  <c r="AB1125" i="11"/>
  <c r="AA1125" i="11"/>
  <c r="AB1124" i="11"/>
  <c r="AA1124" i="11"/>
  <c r="AB1123" i="11"/>
  <c r="AA1123" i="11"/>
  <c r="AB1121" i="11"/>
  <c r="AA1121" i="11"/>
  <c r="AB1120" i="11"/>
  <c r="AA1120" i="11"/>
  <c r="AB1118" i="11"/>
  <c r="AA1118" i="11"/>
  <c r="AA1117" i="11"/>
  <c r="AB1117" i="11"/>
  <c r="AB1116" i="11"/>
  <c r="AA1116" i="11"/>
  <c r="AA1112" i="11"/>
  <c r="AB1112" i="11"/>
  <c r="AB1110" i="11"/>
  <c r="AA1110" i="11"/>
  <c r="AB1108" i="11"/>
  <c r="AA1108" i="11"/>
  <c r="AA1107" i="11"/>
  <c r="AB1107" i="11"/>
  <c r="AB1106" i="11"/>
  <c r="AA1106" i="11"/>
  <c r="AA1105" i="11"/>
  <c r="AB1105" i="11"/>
  <c r="AA1104" i="11"/>
  <c r="AB1104" i="11"/>
  <c r="AA1103" i="11"/>
  <c r="AB1103" i="11"/>
  <c r="AA1102" i="11"/>
  <c r="AB1102" i="11"/>
  <c r="AA1101" i="11"/>
  <c r="AB1101" i="11"/>
  <c r="AB1095" i="11"/>
  <c r="AA1095" i="11"/>
  <c r="AB1091" i="11"/>
  <c r="AA1091" i="11"/>
  <c r="AA1086" i="11"/>
  <c r="AB1086" i="11"/>
  <c r="AA1082" i="11"/>
  <c r="AB1082" i="11"/>
  <c r="AB1081" i="11"/>
  <c r="AA1081" i="11"/>
  <c r="AB1077" i="11"/>
  <c r="AA1077" i="11"/>
  <c r="AB1076" i="11"/>
  <c r="AA1076" i="11"/>
  <c r="AB1075" i="11"/>
  <c r="AA1075" i="11"/>
  <c r="AB1072" i="11"/>
  <c r="AA1072" i="11"/>
  <c r="AB1060" i="11"/>
  <c r="AA1060" i="11"/>
  <c r="AB1057" i="11"/>
  <c r="AA1057" i="11"/>
  <c r="AA1034" i="11"/>
  <c r="AB1034" i="11"/>
  <c r="AA646" i="11"/>
  <c r="AB646" i="11"/>
  <c r="AA644" i="11"/>
  <c r="AB644" i="11"/>
  <c r="AA643" i="11"/>
  <c r="AB643" i="11"/>
  <c r="AA637" i="11"/>
  <c r="AB637" i="11"/>
  <c r="AA635" i="11"/>
  <c r="AB635" i="11"/>
  <c r="AA628" i="11"/>
  <c r="AB628" i="11"/>
  <c r="AA614" i="11"/>
  <c r="AB614" i="11"/>
  <c r="AA608" i="11"/>
  <c r="AB608" i="11"/>
  <c r="AA160" i="11"/>
  <c r="AB160" i="11"/>
  <c r="AA150" i="11"/>
  <c r="AB150" i="11"/>
  <c r="AA140" i="11"/>
  <c r="AB140" i="11"/>
  <c r="AA121" i="11"/>
  <c r="AB121" i="11"/>
  <c r="AA117" i="11"/>
  <c r="AB117" i="11"/>
  <c r="AA113" i="11"/>
  <c r="AB113" i="11"/>
  <c r="AA108" i="11"/>
  <c r="AB108" i="11"/>
  <c r="AA103" i="11"/>
  <c r="AB103" i="11"/>
  <c r="AA1025" i="11"/>
  <c r="AB1025" i="11"/>
  <c r="AB1024" i="11"/>
  <c r="AA1024" i="11"/>
  <c r="AA1022" i="11"/>
  <c r="AB1022" i="11"/>
  <c r="AA1021" i="11"/>
  <c r="AB1021" i="11"/>
  <c r="AB1020" i="11"/>
  <c r="AA1020" i="11"/>
  <c r="AA1018" i="11"/>
  <c r="AB1018" i="11"/>
  <c r="AA1014" i="11"/>
  <c r="AB1014" i="11"/>
  <c r="AA1012" i="11"/>
  <c r="AB1012" i="11"/>
  <c r="AA1009" i="11"/>
  <c r="AB1009" i="11"/>
  <c r="AA1008" i="11"/>
  <c r="AB1008" i="11"/>
  <c r="AA1006" i="11"/>
  <c r="AB1006" i="11"/>
  <c r="AA1004" i="11"/>
  <c r="AB1004" i="11"/>
  <c r="AA1003" i="11"/>
  <c r="AB1003" i="11"/>
  <c r="AA1002" i="11"/>
  <c r="AB1002" i="11"/>
  <c r="AA1000" i="11"/>
  <c r="AB1000" i="11"/>
  <c r="AA999" i="11"/>
  <c r="AB999" i="11"/>
  <c r="AA998" i="11"/>
  <c r="AB998" i="11"/>
  <c r="AA997" i="11"/>
  <c r="AB997" i="11"/>
  <c r="AA996" i="11"/>
  <c r="AB996" i="11"/>
  <c r="AA995" i="11"/>
  <c r="AB995" i="11"/>
  <c r="AA994" i="11"/>
  <c r="AB994" i="11"/>
  <c r="AA992" i="11"/>
  <c r="AB992" i="11"/>
  <c r="AA991" i="11"/>
  <c r="AB991" i="11"/>
  <c r="AA990" i="11"/>
  <c r="AB990" i="11"/>
  <c r="AA988" i="11"/>
  <c r="AB988" i="11"/>
  <c r="AA986" i="11"/>
  <c r="AB986" i="11"/>
  <c r="AA985" i="11"/>
  <c r="AB985" i="11"/>
  <c r="AA984" i="11"/>
  <c r="AB984" i="11"/>
  <c r="AA983" i="11"/>
  <c r="AB983" i="11"/>
  <c r="AA980" i="11"/>
  <c r="AB980" i="11"/>
  <c r="AA979" i="11"/>
  <c r="AB979" i="11"/>
  <c r="AA976" i="11"/>
  <c r="AB976" i="11"/>
  <c r="AA975" i="11"/>
  <c r="AB975" i="11"/>
  <c r="AA973" i="11"/>
  <c r="AB973" i="11"/>
  <c r="AA970" i="11"/>
  <c r="AB970" i="11"/>
  <c r="AA969" i="11"/>
  <c r="AB969" i="11"/>
  <c r="AA964" i="11"/>
  <c r="AB964" i="11"/>
  <c r="AA963" i="11"/>
  <c r="AB963" i="11"/>
  <c r="AA961" i="11"/>
  <c r="AB961" i="11"/>
  <c r="AA960" i="11"/>
  <c r="AB960" i="11"/>
  <c r="AA957" i="11"/>
  <c r="AB957" i="11"/>
  <c r="AA955" i="11"/>
  <c r="AB955" i="11"/>
  <c r="AA954" i="11"/>
  <c r="AB954" i="11"/>
  <c r="AA953" i="11"/>
  <c r="AB953" i="11"/>
  <c r="AA950" i="11"/>
  <c r="AB950" i="11"/>
  <c r="AA948" i="11"/>
  <c r="AB948" i="11"/>
  <c r="AA947" i="11"/>
  <c r="AB947" i="11"/>
  <c r="AA945" i="11"/>
  <c r="AB945" i="11"/>
  <c r="AA944" i="11"/>
  <c r="AB944" i="11"/>
  <c r="AA943" i="11"/>
  <c r="AB943" i="11"/>
  <c r="AA939" i="11"/>
  <c r="AB939" i="11"/>
  <c r="AA937" i="11"/>
  <c r="AB937" i="11"/>
  <c r="AA935" i="11"/>
  <c r="AB935" i="11"/>
  <c r="AA934" i="11"/>
  <c r="AB934" i="11"/>
  <c r="AA931" i="11"/>
  <c r="AB931" i="11"/>
  <c r="AA929" i="11"/>
  <c r="AB929" i="11"/>
  <c r="AA928" i="11"/>
  <c r="AB928" i="11"/>
  <c r="AA926" i="11"/>
  <c r="AB926" i="11"/>
  <c r="AA925" i="11"/>
  <c r="AB925" i="11"/>
  <c r="AA924" i="11"/>
  <c r="AB924" i="11"/>
  <c r="AA922" i="11"/>
  <c r="AB922" i="11"/>
  <c r="AA918" i="11"/>
  <c r="AB918" i="11"/>
  <c r="AA917" i="11"/>
  <c r="AB917" i="11"/>
  <c r="AA916" i="11"/>
  <c r="AB916" i="11"/>
  <c r="AA915" i="11"/>
  <c r="AB915" i="11"/>
  <c r="AA911" i="11"/>
  <c r="AB911" i="11"/>
  <c r="AA910" i="11"/>
  <c r="AB910" i="11"/>
  <c r="AA906" i="11"/>
  <c r="AB906" i="11"/>
  <c r="AA905" i="11"/>
  <c r="AB905" i="11"/>
  <c r="AA904" i="11"/>
  <c r="AB904" i="11"/>
  <c r="AA903" i="11"/>
  <c r="AB903" i="11"/>
  <c r="AA902" i="11"/>
  <c r="AB902" i="11"/>
  <c r="AA901" i="11"/>
  <c r="AB901" i="11"/>
  <c r="AA900" i="11"/>
  <c r="AB900" i="11"/>
  <c r="AA898" i="11"/>
  <c r="AB898" i="11"/>
  <c r="AA896" i="11"/>
  <c r="AB896" i="11"/>
  <c r="AA895" i="11"/>
  <c r="AB895" i="11"/>
  <c r="AA894" i="11"/>
  <c r="AB894" i="11"/>
  <c r="AA893" i="11"/>
  <c r="AB893" i="11"/>
  <c r="AA890" i="11"/>
  <c r="AB890" i="11"/>
  <c r="AA889" i="11"/>
  <c r="AB889" i="11"/>
  <c r="AA888" i="11"/>
  <c r="AB888" i="11"/>
  <c r="AA887" i="11"/>
  <c r="AB887" i="11"/>
  <c r="AA886" i="11"/>
  <c r="AB886" i="11"/>
  <c r="AA885" i="11"/>
  <c r="AB885" i="11"/>
  <c r="AA884" i="11"/>
  <c r="AB884" i="11"/>
  <c r="AA883" i="11"/>
  <c r="AB883" i="11"/>
  <c r="AA882" i="11"/>
  <c r="AB882" i="11"/>
  <c r="AA881" i="11"/>
  <c r="AB881" i="11"/>
  <c r="AA880" i="11"/>
  <c r="AB880" i="11"/>
  <c r="AA879" i="11"/>
  <c r="AB879" i="11"/>
  <c r="AA877" i="11"/>
  <c r="AB877" i="11"/>
  <c r="AA876" i="11"/>
  <c r="AB876" i="11"/>
  <c r="AA875" i="11"/>
  <c r="AB875" i="11"/>
  <c r="AA873" i="11"/>
  <c r="AB873" i="11"/>
  <c r="AA871" i="11"/>
  <c r="AB871" i="11"/>
  <c r="AA869" i="11"/>
  <c r="AB869" i="11"/>
  <c r="AA867" i="11"/>
  <c r="AB867" i="11"/>
  <c r="AA866" i="11"/>
  <c r="AB866" i="11"/>
  <c r="AA864" i="11"/>
  <c r="AB864" i="11"/>
  <c r="AA862" i="11"/>
  <c r="AB862" i="11"/>
  <c r="AA861" i="11"/>
  <c r="AB861" i="11"/>
  <c r="AA860" i="11"/>
  <c r="AB860" i="11"/>
  <c r="AA858" i="11"/>
  <c r="AB858" i="11"/>
  <c r="AA856" i="11"/>
  <c r="AB856" i="11"/>
  <c r="AA854" i="11"/>
  <c r="AB854" i="11"/>
  <c r="AA852" i="11"/>
  <c r="AB852" i="11"/>
  <c r="AA850" i="11"/>
  <c r="AB850" i="11"/>
  <c r="AA849" i="11"/>
  <c r="AB849" i="11"/>
  <c r="AA845" i="11"/>
  <c r="AB845" i="11"/>
  <c r="AA843" i="11"/>
  <c r="AB843" i="11"/>
  <c r="AA841" i="11"/>
  <c r="AB841" i="11"/>
  <c r="AA838" i="11"/>
  <c r="AB838" i="11"/>
  <c r="AA837" i="11"/>
  <c r="AB837" i="11"/>
  <c r="AA835" i="11"/>
  <c r="AB835" i="11"/>
  <c r="AA834" i="11"/>
  <c r="AB834" i="11"/>
  <c r="AA833" i="11"/>
  <c r="AB833" i="11"/>
  <c r="AA832" i="11"/>
  <c r="AB832" i="11"/>
  <c r="AA829" i="11"/>
  <c r="AB829" i="11"/>
  <c r="AA828" i="11"/>
  <c r="AB828" i="11"/>
  <c r="AA823" i="11"/>
  <c r="AB823" i="11"/>
  <c r="AA822" i="11"/>
  <c r="AB822" i="11"/>
  <c r="AA817" i="11"/>
  <c r="AB817" i="11"/>
  <c r="AA816" i="11"/>
  <c r="AB816" i="11"/>
  <c r="AA815" i="11"/>
  <c r="AB815" i="11"/>
  <c r="AA814" i="11"/>
  <c r="AB814" i="11"/>
  <c r="AA813" i="11"/>
  <c r="AB813" i="11"/>
  <c r="AA812" i="11"/>
  <c r="AB812" i="11"/>
  <c r="AA809" i="11"/>
  <c r="AB809" i="11"/>
  <c r="AA807" i="11"/>
  <c r="AB807" i="11"/>
  <c r="AA804" i="11"/>
  <c r="AB804" i="11"/>
  <c r="AA803" i="11"/>
  <c r="AB803" i="11"/>
  <c r="AA802" i="11"/>
  <c r="AB802" i="11"/>
  <c r="AA798" i="11"/>
  <c r="AB798" i="11"/>
  <c r="AA797" i="11"/>
  <c r="AB797" i="11"/>
  <c r="AA796" i="11"/>
  <c r="AB796" i="11"/>
  <c r="AA792" i="11"/>
  <c r="AB792" i="11"/>
  <c r="AA791" i="11"/>
  <c r="AB791" i="11"/>
  <c r="AA789" i="11"/>
  <c r="AB789" i="11"/>
  <c r="AA784" i="11"/>
  <c r="AB784" i="11"/>
  <c r="AA783" i="11"/>
  <c r="AB783" i="11"/>
  <c r="AA781" i="11"/>
  <c r="AB781" i="11"/>
  <c r="AA777" i="11"/>
  <c r="AB777" i="11"/>
  <c r="AA775" i="11"/>
  <c r="AB775" i="11"/>
  <c r="AA774" i="11"/>
  <c r="AB774" i="11"/>
  <c r="AA771" i="11"/>
  <c r="AB771" i="11"/>
  <c r="AA769" i="11"/>
  <c r="AB769" i="11"/>
  <c r="AA768" i="11"/>
  <c r="AB768" i="11"/>
  <c r="AA764" i="11"/>
  <c r="AB764" i="11"/>
  <c r="AA763" i="11"/>
  <c r="AB763" i="11"/>
  <c r="AA761" i="11"/>
  <c r="AB761" i="11"/>
  <c r="AA759" i="11"/>
  <c r="AB759" i="11"/>
  <c r="AA756" i="11"/>
  <c r="AB756" i="11"/>
  <c r="AA755" i="11"/>
  <c r="AB755" i="11"/>
  <c r="AA753" i="11"/>
  <c r="AB753" i="11"/>
  <c r="AA752" i="11"/>
  <c r="AB752" i="11"/>
  <c r="AA750" i="11"/>
  <c r="AB750" i="11"/>
  <c r="AA749" i="11"/>
  <c r="AB749" i="11"/>
  <c r="AA748" i="11"/>
  <c r="AB748" i="11"/>
  <c r="AA747" i="11"/>
  <c r="AB747" i="11"/>
  <c r="AA746" i="11"/>
  <c r="AB746" i="11"/>
  <c r="AA745" i="11"/>
  <c r="AB745" i="11"/>
  <c r="AA744" i="11"/>
  <c r="AB744" i="11"/>
  <c r="AA743" i="11"/>
  <c r="AB743" i="11"/>
  <c r="AA742" i="11"/>
  <c r="AB742" i="11"/>
  <c r="AA741" i="11"/>
  <c r="AB741" i="11"/>
  <c r="AA740" i="11"/>
  <c r="AB740" i="11"/>
  <c r="AA739" i="11"/>
  <c r="AB739" i="11"/>
  <c r="AA738" i="11"/>
  <c r="AB738" i="11"/>
  <c r="AA737" i="11"/>
  <c r="AB737" i="11"/>
  <c r="AA736" i="11"/>
  <c r="AB736" i="11"/>
  <c r="AA735" i="11"/>
  <c r="AB735" i="11"/>
  <c r="AA734" i="11"/>
  <c r="AB734" i="11"/>
  <c r="AA733" i="11"/>
  <c r="AB733" i="11"/>
  <c r="AA732" i="11"/>
  <c r="AB732" i="11"/>
  <c r="AA731" i="11"/>
  <c r="AB731" i="11"/>
  <c r="AA730" i="11"/>
  <c r="AB730" i="11"/>
  <c r="AA729" i="11"/>
  <c r="AB729" i="11"/>
  <c r="AA728" i="11"/>
  <c r="AB728" i="11"/>
  <c r="AA727" i="11"/>
  <c r="AB727" i="11"/>
  <c r="AA726" i="11"/>
  <c r="AB726" i="11"/>
  <c r="AA725" i="11"/>
  <c r="AB725" i="11"/>
  <c r="AA724" i="11"/>
  <c r="AB724" i="11"/>
  <c r="AA723" i="11"/>
  <c r="AB723" i="11"/>
  <c r="AA722" i="11"/>
  <c r="AB722" i="11"/>
  <c r="AA721" i="11"/>
  <c r="AB721" i="11"/>
  <c r="AA720" i="11"/>
  <c r="AB720" i="11"/>
  <c r="AA719" i="11"/>
  <c r="AB719" i="11"/>
  <c r="AA718" i="11"/>
  <c r="AB718" i="11"/>
  <c r="AA717" i="11"/>
  <c r="AB717" i="11"/>
  <c r="AA716" i="11"/>
  <c r="AB716" i="11"/>
  <c r="AA715" i="11"/>
  <c r="AB715" i="11"/>
  <c r="AA714" i="11"/>
  <c r="AB714" i="11"/>
  <c r="AA713" i="11"/>
  <c r="AB713" i="11"/>
  <c r="AA712" i="11"/>
  <c r="AB712" i="11"/>
  <c r="AA711" i="11"/>
  <c r="AB711" i="11"/>
  <c r="AA710" i="11"/>
  <c r="AB710" i="11"/>
  <c r="AA709" i="11"/>
  <c r="AB709" i="11"/>
  <c r="AA708" i="11"/>
  <c r="AB708" i="11"/>
  <c r="AA707" i="11"/>
  <c r="AB707" i="11"/>
  <c r="AA706" i="11"/>
  <c r="AB706" i="11"/>
  <c r="AA705" i="11"/>
  <c r="AB705" i="11"/>
  <c r="AA704" i="11"/>
  <c r="AB704" i="11"/>
  <c r="AA703" i="11"/>
  <c r="AB703" i="11"/>
  <c r="AA701" i="11"/>
  <c r="AB701" i="11"/>
  <c r="AA700" i="11"/>
  <c r="AB700" i="11"/>
  <c r="AA699" i="11"/>
  <c r="AB699" i="11"/>
  <c r="AA698" i="11"/>
  <c r="AB698" i="11"/>
  <c r="AA696" i="11"/>
  <c r="AB696" i="11"/>
  <c r="AA694" i="11"/>
  <c r="AB694" i="11"/>
  <c r="AA693" i="11"/>
  <c r="AB693" i="11"/>
  <c r="AA691" i="11"/>
  <c r="AB691" i="11"/>
  <c r="AA690" i="11"/>
  <c r="AB690" i="11"/>
  <c r="AA689" i="11"/>
  <c r="AB689" i="11"/>
  <c r="AA688" i="11"/>
  <c r="AB688" i="11"/>
  <c r="AA687" i="11"/>
  <c r="AB687" i="11"/>
  <c r="AA686" i="11"/>
  <c r="AB686" i="11"/>
  <c r="AA685" i="11"/>
  <c r="AB685" i="11"/>
  <c r="AA684" i="11"/>
  <c r="AB684" i="11"/>
  <c r="AA683" i="11"/>
  <c r="AB683" i="11"/>
  <c r="AA682" i="11"/>
  <c r="AB682" i="11"/>
  <c r="AA681" i="11"/>
  <c r="AB681" i="11"/>
  <c r="AA680" i="11"/>
  <c r="AB680" i="11"/>
  <c r="AA679" i="11"/>
  <c r="AB679" i="11"/>
  <c r="AA677" i="11"/>
  <c r="AB677" i="11"/>
  <c r="AA676" i="11"/>
  <c r="AB676" i="11"/>
  <c r="AA674" i="11"/>
  <c r="AB674" i="11"/>
  <c r="AA673" i="11"/>
  <c r="AB673" i="11"/>
  <c r="AA672" i="11"/>
  <c r="AB672" i="11"/>
  <c r="AA670" i="11"/>
  <c r="AB670" i="11"/>
  <c r="AA669" i="11"/>
  <c r="AB669" i="11"/>
  <c r="AA667" i="11"/>
  <c r="AB667" i="11"/>
  <c r="AA665" i="11"/>
  <c r="AB665" i="11"/>
  <c r="AA663" i="11"/>
  <c r="AB663" i="11"/>
  <c r="AA661" i="11"/>
  <c r="AB661" i="11"/>
  <c r="AA659" i="11"/>
  <c r="AB659" i="11"/>
  <c r="AA657" i="11"/>
  <c r="AB657" i="11"/>
  <c r="AA626" i="11"/>
  <c r="AB626" i="11"/>
  <c r="AA162" i="11"/>
  <c r="AB162" i="11"/>
  <c r="AA139" i="11"/>
  <c r="AB139" i="11"/>
  <c r="AA107" i="11"/>
  <c r="AB107" i="11"/>
  <c r="AA604" i="11"/>
  <c r="AB604" i="11"/>
  <c r="AA602" i="11"/>
  <c r="AB602" i="11"/>
  <c r="AA583" i="11"/>
  <c r="AB583" i="11"/>
  <c r="AA571" i="11"/>
  <c r="AB571" i="11"/>
  <c r="AA561" i="11"/>
  <c r="AB561" i="11"/>
  <c r="AA554" i="11"/>
  <c r="AB554" i="11"/>
  <c r="AA544" i="11"/>
  <c r="AB544" i="11"/>
  <c r="AA530" i="11"/>
  <c r="AB530" i="11"/>
  <c r="AB523" i="11"/>
  <c r="AA523" i="11"/>
  <c r="AB513" i="11"/>
  <c r="AA513" i="11"/>
  <c r="AA508" i="11"/>
  <c r="AB508" i="11"/>
  <c r="AB499" i="11"/>
  <c r="AA499" i="11"/>
  <c r="AA493" i="11"/>
  <c r="AB493" i="11"/>
  <c r="AA486" i="11"/>
  <c r="AB486" i="11"/>
  <c r="AA479" i="11"/>
  <c r="AB479" i="11"/>
  <c r="AA476" i="11"/>
  <c r="AB476" i="11"/>
  <c r="AA475" i="11"/>
  <c r="AB475" i="11"/>
  <c r="AA474" i="11"/>
  <c r="AB474" i="11"/>
  <c r="AA473" i="11"/>
  <c r="AB473" i="11"/>
  <c r="AA472" i="11"/>
  <c r="AB472" i="11"/>
  <c r="AA469" i="11"/>
  <c r="AB469" i="11"/>
  <c r="AA468" i="11"/>
  <c r="AB468" i="11"/>
  <c r="AA467" i="11"/>
  <c r="AB467" i="11"/>
  <c r="AA466" i="11"/>
  <c r="AB466" i="11"/>
  <c r="AA465" i="11"/>
  <c r="AB465" i="11"/>
  <c r="AA464" i="11"/>
  <c r="AB464" i="11"/>
  <c r="AA463" i="11"/>
  <c r="AB463" i="11"/>
  <c r="AA462" i="11"/>
  <c r="AB462" i="11"/>
  <c r="AA461" i="11"/>
  <c r="AB461" i="11"/>
  <c r="AA459" i="11"/>
  <c r="AB459" i="11"/>
  <c r="AA458" i="11"/>
  <c r="AB458" i="11"/>
  <c r="AA457" i="11"/>
  <c r="AB457" i="11"/>
  <c r="AA454" i="11"/>
  <c r="AB454" i="11"/>
  <c r="AA453" i="11"/>
  <c r="AB453" i="11"/>
  <c r="AA452" i="11"/>
  <c r="AB452" i="11"/>
  <c r="AA451" i="11"/>
  <c r="AB451" i="11"/>
  <c r="AA450" i="11"/>
  <c r="AB450" i="11"/>
  <c r="AA448" i="11"/>
  <c r="AB448" i="11"/>
  <c r="AA447" i="11"/>
  <c r="AB447" i="11"/>
  <c r="AA446" i="11"/>
  <c r="AB446" i="11"/>
  <c r="AA445" i="11"/>
  <c r="AB445" i="11"/>
  <c r="AA444" i="11"/>
  <c r="AB444" i="11"/>
  <c r="AA443" i="11"/>
  <c r="AB443" i="11"/>
  <c r="AA442" i="11"/>
  <c r="AB442" i="11"/>
  <c r="AA441" i="11"/>
  <c r="AB441" i="11"/>
  <c r="AA440" i="11"/>
  <c r="AB440" i="11"/>
  <c r="AA438" i="11"/>
  <c r="AB438" i="11"/>
  <c r="AA437" i="11"/>
  <c r="AB437" i="11"/>
  <c r="AA436" i="11"/>
  <c r="AB436" i="11"/>
  <c r="AA435" i="11"/>
  <c r="AB435" i="11"/>
  <c r="AA434" i="11"/>
  <c r="AB434" i="11"/>
  <c r="AA433" i="11"/>
  <c r="AB433" i="11"/>
  <c r="AA432" i="11"/>
  <c r="AB432" i="11"/>
  <c r="AA431" i="11"/>
  <c r="AB431" i="11"/>
  <c r="AA430" i="11"/>
  <c r="AB430" i="11"/>
  <c r="AA428" i="11"/>
  <c r="AB428" i="11"/>
  <c r="AA427" i="11"/>
  <c r="AB427" i="11"/>
  <c r="AA426" i="11"/>
  <c r="AB426" i="11"/>
  <c r="AA425" i="11"/>
  <c r="AB425" i="11"/>
  <c r="AA424" i="11"/>
  <c r="AB424" i="11"/>
  <c r="AA423" i="11"/>
  <c r="AB423" i="11"/>
  <c r="AA422" i="11"/>
  <c r="AB422" i="11"/>
  <c r="AA421" i="11"/>
  <c r="AB421" i="11"/>
  <c r="AA420" i="11"/>
  <c r="AB420" i="11"/>
  <c r="AA418" i="11"/>
  <c r="AB418" i="11"/>
  <c r="AA417" i="11"/>
  <c r="AB417" i="11"/>
  <c r="AA416" i="11"/>
  <c r="AB416" i="11"/>
  <c r="AA413" i="11"/>
  <c r="AB413" i="11"/>
  <c r="AA412" i="11"/>
  <c r="AB412" i="11"/>
  <c r="AA411" i="11"/>
  <c r="AB411" i="11"/>
  <c r="AA410" i="11"/>
  <c r="AB410" i="11"/>
  <c r="AA409" i="11"/>
  <c r="AB409" i="11"/>
  <c r="AA407" i="11"/>
  <c r="AB407" i="11"/>
  <c r="AA406" i="11"/>
  <c r="AB406" i="11"/>
  <c r="AA405" i="11"/>
  <c r="AB405" i="11"/>
  <c r="AA404" i="11"/>
  <c r="AB404" i="11"/>
  <c r="AA403" i="11"/>
  <c r="AB403" i="11"/>
  <c r="AA402" i="11"/>
  <c r="AB402" i="11"/>
  <c r="AA401" i="11"/>
  <c r="AB401" i="11"/>
  <c r="AA400" i="11"/>
  <c r="AB400" i="11"/>
  <c r="AA397" i="11"/>
  <c r="AB397" i="11"/>
  <c r="AA396" i="11"/>
  <c r="AB396" i="11"/>
  <c r="AA395" i="11"/>
  <c r="AB395" i="11"/>
  <c r="AA394" i="11"/>
  <c r="AB394" i="11"/>
  <c r="AA393" i="11"/>
  <c r="AB393" i="11"/>
  <c r="AA392" i="11"/>
  <c r="AB392" i="11"/>
  <c r="AA391" i="11"/>
  <c r="AB391" i="11"/>
  <c r="AA390" i="11"/>
  <c r="AB390" i="11"/>
  <c r="AA387" i="11"/>
  <c r="AB387" i="11"/>
  <c r="AA386" i="11"/>
  <c r="AB386" i="11"/>
  <c r="AA385" i="11"/>
  <c r="AB385" i="11"/>
  <c r="AA384" i="11"/>
  <c r="AB384" i="11"/>
  <c r="AA383" i="11"/>
  <c r="AB383" i="11"/>
  <c r="AA382" i="11"/>
  <c r="AB382" i="11"/>
  <c r="AA381" i="11"/>
  <c r="AB381" i="11"/>
  <c r="AA380" i="11"/>
  <c r="AB380" i="11"/>
  <c r="AA379" i="11"/>
  <c r="AB379" i="11"/>
  <c r="AA377" i="11"/>
  <c r="AB377" i="11"/>
  <c r="AA376" i="11"/>
  <c r="AB376" i="11"/>
  <c r="AA375" i="11"/>
  <c r="AB375" i="11"/>
  <c r="AA372" i="11"/>
  <c r="AB372" i="11"/>
  <c r="AA371" i="11"/>
  <c r="AB371" i="11"/>
  <c r="AA370" i="11"/>
  <c r="AB370" i="11"/>
  <c r="AA369" i="11"/>
  <c r="AB369" i="11"/>
  <c r="AA368" i="11"/>
  <c r="AB368" i="11"/>
  <c r="AA366" i="11"/>
  <c r="AB366" i="11"/>
  <c r="AA365" i="11"/>
  <c r="AB365" i="11"/>
  <c r="AA364" i="11"/>
  <c r="AB364" i="11"/>
  <c r="AA363" i="11"/>
  <c r="AB363" i="11"/>
  <c r="AA362" i="11"/>
  <c r="AB362" i="11"/>
  <c r="AA361" i="11"/>
  <c r="AB361" i="11"/>
  <c r="AA360" i="11"/>
  <c r="AB360" i="11"/>
  <c r="AA359" i="11"/>
  <c r="AB359" i="11"/>
  <c r="AA358" i="11"/>
  <c r="AB358" i="11"/>
  <c r="AA356" i="11"/>
  <c r="AB356" i="11"/>
  <c r="AA355" i="11"/>
  <c r="AB355" i="11"/>
  <c r="AA354" i="11"/>
  <c r="AB354" i="11"/>
  <c r="AA353" i="11"/>
  <c r="AB353" i="11"/>
  <c r="AA352" i="11"/>
  <c r="AB352" i="11"/>
  <c r="AA351" i="11"/>
  <c r="AB351" i="11"/>
  <c r="AA350" i="11"/>
  <c r="AB350" i="11"/>
  <c r="AA349" i="11"/>
  <c r="AB349" i="11"/>
  <c r="AA348" i="11"/>
  <c r="AB348" i="11"/>
  <c r="AA346" i="11"/>
  <c r="AB346" i="11"/>
  <c r="AA345" i="11"/>
  <c r="AB345" i="11"/>
  <c r="AA344" i="11"/>
  <c r="AB344" i="11"/>
  <c r="AA343" i="11"/>
  <c r="AB343" i="11"/>
  <c r="AA342" i="11"/>
  <c r="AB342" i="11"/>
  <c r="AA341" i="11"/>
  <c r="AB341" i="11"/>
  <c r="AA340" i="11"/>
  <c r="AB340" i="11"/>
  <c r="AA339" i="11"/>
  <c r="AB339" i="11"/>
  <c r="AA338" i="11"/>
  <c r="AB338" i="11"/>
  <c r="AA336" i="11"/>
  <c r="AB336" i="11"/>
  <c r="AA335" i="11"/>
  <c r="AB335" i="11"/>
  <c r="AA334" i="11"/>
  <c r="AB334" i="11"/>
  <c r="AA331" i="11"/>
  <c r="AB331" i="11"/>
  <c r="AA330" i="11"/>
  <c r="AB330" i="11"/>
  <c r="AA329" i="11"/>
  <c r="AB329" i="11"/>
  <c r="AA328" i="11"/>
  <c r="AB328" i="11"/>
  <c r="AA327" i="11"/>
  <c r="AB327" i="11"/>
  <c r="AA325" i="11"/>
  <c r="AB325" i="11"/>
  <c r="AA324" i="11"/>
  <c r="AB324" i="11"/>
  <c r="AA323" i="11"/>
  <c r="AB323" i="11"/>
  <c r="AA322" i="11"/>
  <c r="AB322" i="11"/>
  <c r="AA321" i="11"/>
  <c r="AB321" i="11"/>
  <c r="AA320" i="11"/>
  <c r="AB320" i="11"/>
  <c r="AA319" i="11"/>
  <c r="AB319" i="11"/>
  <c r="AA318" i="11"/>
  <c r="AB318" i="11"/>
  <c r="AA317" i="11"/>
  <c r="AB317" i="11"/>
  <c r="AA315" i="11"/>
  <c r="AB315" i="11"/>
  <c r="AA314" i="11"/>
  <c r="AB314" i="11"/>
  <c r="AA313" i="11"/>
  <c r="AB313" i="11"/>
  <c r="AA312" i="11"/>
  <c r="AB312" i="11"/>
  <c r="AA311" i="11"/>
  <c r="AB311" i="11"/>
  <c r="AA310" i="11"/>
  <c r="AB310" i="11"/>
  <c r="AA309" i="11"/>
  <c r="AB309" i="11"/>
  <c r="AA308" i="11"/>
  <c r="AB308" i="11"/>
  <c r="AA305" i="11"/>
  <c r="AB305" i="11"/>
  <c r="AA304" i="11"/>
  <c r="AB304" i="11"/>
  <c r="AA303" i="11"/>
  <c r="AB303" i="11"/>
  <c r="AA302" i="11"/>
  <c r="AB302" i="11"/>
  <c r="AA301" i="11"/>
  <c r="AB301" i="11"/>
  <c r="AA300" i="11"/>
  <c r="AB300" i="11"/>
  <c r="AA299" i="11"/>
  <c r="AB299" i="11"/>
  <c r="AA298" i="11"/>
  <c r="AB298" i="11"/>
  <c r="AA297" i="11"/>
  <c r="AB297" i="11"/>
  <c r="AA295" i="11"/>
  <c r="AB295" i="11"/>
  <c r="AA294" i="11"/>
  <c r="AB294" i="11"/>
  <c r="AA293" i="11"/>
  <c r="AB293" i="11"/>
  <c r="AA292" i="11"/>
  <c r="AB292" i="11"/>
  <c r="AA291" i="11"/>
  <c r="AB291" i="11"/>
  <c r="AA290" i="11"/>
  <c r="AB290" i="11"/>
  <c r="AA289" i="11"/>
  <c r="AB289" i="11"/>
  <c r="AA288" i="11"/>
  <c r="AB288" i="11"/>
  <c r="AA285" i="11"/>
  <c r="AB285" i="11"/>
  <c r="AA284" i="11"/>
  <c r="AB284" i="11"/>
  <c r="AA283" i="11"/>
  <c r="AB283" i="11"/>
  <c r="AA282" i="11"/>
  <c r="AB282" i="11"/>
  <c r="AA281" i="11"/>
  <c r="AB281" i="11"/>
  <c r="AA280" i="11"/>
  <c r="AB280" i="11"/>
  <c r="AA279" i="11"/>
  <c r="AB279" i="11"/>
  <c r="AA278" i="11"/>
  <c r="AB278" i="11"/>
  <c r="AA277" i="11"/>
  <c r="AB277" i="11"/>
  <c r="AA275" i="11"/>
  <c r="AB275" i="11"/>
  <c r="AA274" i="11"/>
  <c r="AB274" i="11"/>
  <c r="AA273" i="11"/>
  <c r="AB273" i="11"/>
  <c r="AA272" i="11"/>
  <c r="AB272" i="11"/>
  <c r="AA271" i="11"/>
  <c r="AB271" i="11"/>
  <c r="AA270" i="11"/>
  <c r="AB270" i="11"/>
  <c r="AA269" i="11"/>
  <c r="AB269" i="11"/>
  <c r="AA268" i="11"/>
  <c r="AB268" i="11"/>
  <c r="AA267" i="11"/>
  <c r="AB267" i="11"/>
  <c r="AA265" i="11"/>
  <c r="AB265" i="11"/>
  <c r="AA264" i="11"/>
  <c r="AB264" i="11"/>
  <c r="AA263" i="11"/>
  <c r="AB263" i="11"/>
  <c r="AA262" i="11"/>
  <c r="AB262" i="11"/>
  <c r="AA261" i="11"/>
  <c r="AB261" i="11"/>
  <c r="AA260" i="11"/>
  <c r="AB260" i="11"/>
  <c r="AA259" i="11"/>
  <c r="AB259" i="11"/>
  <c r="AA258" i="11"/>
  <c r="AB258" i="11"/>
  <c r="AA257" i="11"/>
  <c r="AB257" i="11"/>
  <c r="AA255" i="11"/>
  <c r="AB255" i="11"/>
  <c r="AA254" i="11"/>
  <c r="AB254" i="11"/>
  <c r="AA253" i="11"/>
  <c r="AB253" i="11"/>
  <c r="AA250" i="11"/>
  <c r="AB250" i="11"/>
  <c r="AA249" i="11"/>
  <c r="AB249" i="11"/>
  <c r="AA248" i="11"/>
  <c r="AB248" i="11"/>
  <c r="AA247" i="11"/>
  <c r="AB247" i="11"/>
  <c r="AA244" i="11"/>
  <c r="AB244" i="11"/>
  <c r="AA243" i="11"/>
  <c r="AB243" i="11"/>
  <c r="AA242" i="11"/>
  <c r="AB242" i="11"/>
  <c r="AA241" i="11"/>
  <c r="AB241" i="11"/>
  <c r="AA240" i="11"/>
  <c r="AB240" i="11"/>
  <c r="AA239" i="11"/>
  <c r="AB239" i="11"/>
  <c r="AA238" i="11"/>
  <c r="AB238" i="11"/>
  <c r="AA237" i="11"/>
  <c r="AB237" i="11"/>
  <c r="AA234" i="11"/>
  <c r="AB234" i="11"/>
  <c r="AA233" i="11"/>
  <c r="AB233" i="11"/>
  <c r="AA232" i="11"/>
  <c r="AB232" i="11"/>
  <c r="AA231" i="11"/>
  <c r="AB231" i="11"/>
  <c r="AA230" i="11"/>
  <c r="AB230" i="11"/>
  <c r="AA229" i="11"/>
  <c r="AB229" i="11"/>
  <c r="AA228" i="11"/>
  <c r="AB228" i="11"/>
  <c r="AA227" i="11"/>
  <c r="AB227" i="11"/>
  <c r="AA224" i="11"/>
  <c r="AB224" i="11"/>
  <c r="AA223" i="11"/>
  <c r="AB223" i="11"/>
  <c r="AA222" i="11"/>
  <c r="AB222" i="11"/>
  <c r="AA221" i="11"/>
  <c r="AB221" i="11"/>
  <c r="AA220" i="11"/>
  <c r="AB220" i="11"/>
  <c r="AA219" i="11"/>
  <c r="AB219" i="11"/>
  <c r="AA218" i="11"/>
  <c r="AB218" i="11"/>
  <c r="AA217" i="11"/>
  <c r="AB217" i="11"/>
  <c r="AA216" i="11"/>
  <c r="AB216" i="11"/>
  <c r="AA214" i="11"/>
  <c r="AB214" i="11"/>
  <c r="AA213" i="11"/>
  <c r="AB213" i="11"/>
  <c r="AA212" i="11"/>
  <c r="AB212" i="11"/>
  <c r="AA209" i="11"/>
  <c r="AB209" i="11"/>
  <c r="AA208" i="11"/>
  <c r="AB208" i="11"/>
  <c r="AA207" i="11"/>
  <c r="AB207" i="11"/>
  <c r="AA206" i="11"/>
  <c r="AB206" i="11"/>
  <c r="AA205" i="11"/>
  <c r="AB205" i="11"/>
  <c r="AA203" i="11"/>
  <c r="AB203" i="11"/>
  <c r="AA202" i="11"/>
  <c r="AB202" i="11"/>
  <c r="AA201" i="11"/>
  <c r="AB201" i="11"/>
  <c r="AA200" i="11"/>
  <c r="AB200" i="11"/>
  <c r="AA199" i="11"/>
  <c r="AB199" i="11"/>
  <c r="AA198" i="11"/>
  <c r="AB198" i="11"/>
  <c r="AA197" i="11"/>
  <c r="AB197" i="11"/>
  <c r="AA196" i="11"/>
  <c r="AB196" i="11"/>
  <c r="AA195" i="11"/>
  <c r="AB195" i="11"/>
  <c r="AA193" i="11"/>
  <c r="AB193" i="11"/>
  <c r="AA192" i="11"/>
  <c r="AB192" i="11"/>
  <c r="AA191" i="11"/>
  <c r="AB191" i="11"/>
  <c r="AA190" i="11"/>
  <c r="AB190" i="11"/>
  <c r="AA189" i="11"/>
  <c r="AB189" i="11"/>
  <c r="AA188" i="11"/>
  <c r="AB188" i="11"/>
  <c r="AA187" i="11"/>
  <c r="AB187" i="11"/>
  <c r="AA186" i="11"/>
  <c r="AB186" i="11"/>
  <c r="AA185" i="11"/>
  <c r="AB185" i="11"/>
  <c r="AA183" i="11"/>
  <c r="AB183" i="11"/>
  <c r="AA182" i="11"/>
  <c r="AB182" i="11"/>
  <c r="AA181" i="11"/>
  <c r="AB181" i="11"/>
  <c r="AA180" i="11"/>
  <c r="AB180" i="11"/>
  <c r="AA179" i="11"/>
  <c r="AB179" i="11"/>
  <c r="AA178" i="11"/>
  <c r="AB178" i="11"/>
  <c r="AA177" i="11"/>
  <c r="AB177" i="11"/>
  <c r="AA176" i="11"/>
  <c r="AB176" i="11"/>
  <c r="AA175" i="11"/>
  <c r="AB175" i="11"/>
  <c r="AA173" i="11"/>
  <c r="AB173" i="11"/>
  <c r="AA172" i="11"/>
  <c r="AB172" i="11"/>
  <c r="AA171" i="11"/>
  <c r="AB171" i="11"/>
  <c r="AA168" i="11"/>
  <c r="AB168" i="11"/>
  <c r="AA167" i="11"/>
  <c r="AB167" i="11"/>
  <c r="AA165" i="11"/>
  <c r="AB165" i="11"/>
  <c r="AA158" i="11"/>
  <c r="AB158" i="11"/>
  <c r="AA156" i="11"/>
  <c r="AB156" i="11"/>
  <c r="AA149" i="11"/>
  <c r="AB149" i="11"/>
  <c r="AA147" i="11"/>
  <c r="AB147" i="11"/>
  <c r="AA126" i="11"/>
  <c r="AB126" i="11"/>
  <c r="AA114" i="11"/>
  <c r="AB114" i="11"/>
  <c r="AA109" i="11"/>
  <c r="AB109" i="11"/>
  <c r="AA104" i="11"/>
  <c r="AB104" i="11"/>
  <c r="AA100" i="11"/>
  <c r="AB100" i="11"/>
  <c r="AA95" i="11"/>
  <c r="AB95" i="11"/>
  <c r="AA93" i="11"/>
  <c r="AB93" i="11"/>
  <c r="AA82" i="11"/>
  <c r="AB82" i="11"/>
  <c r="AA76" i="11"/>
  <c r="AB76" i="11"/>
  <c r="AA75" i="11"/>
  <c r="AB75" i="11"/>
  <c r="AA74" i="11"/>
  <c r="AB74" i="11"/>
  <c r="AA73" i="11"/>
  <c r="AB73" i="11"/>
  <c r="AA70" i="11"/>
  <c r="AB70" i="11"/>
  <c r="AA69" i="11"/>
  <c r="AB69" i="11"/>
  <c r="AA68" i="11"/>
  <c r="AB68" i="11"/>
  <c r="AA67" i="11"/>
  <c r="AB67" i="11"/>
  <c r="AA66" i="11"/>
  <c r="AB66" i="11"/>
  <c r="AA65" i="11"/>
  <c r="AB65" i="11"/>
  <c r="AA64" i="11"/>
  <c r="AB64" i="11"/>
  <c r="AA63" i="11"/>
  <c r="AB63" i="11"/>
  <c r="AA60" i="11"/>
  <c r="AB60" i="11"/>
  <c r="AA59" i="11"/>
  <c r="AB59" i="11"/>
  <c r="AA58" i="11"/>
  <c r="AB58" i="11"/>
  <c r="AA57" i="11"/>
  <c r="AB57" i="11"/>
  <c r="AA56" i="11"/>
  <c r="AB56" i="11"/>
  <c r="AA55" i="11"/>
  <c r="AB55" i="11"/>
  <c r="AA54" i="11"/>
  <c r="AB54" i="11"/>
  <c r="AA53" i="11"/>
  <c r="AB53" i="11"/>
  <c r="AA52" i="11"/>
  <c r="AB52" i="11"/>
  <c r="AA50" i="11"/>
  <c r="AB50" i="11"/>
  <c r="AA49" i="11"/>
  <c r="AB49" i="11"/>
  <c r="AA48" i="11"/>
  <c r="AB48" i="11"/>
  <c r="AA45" i="11"/>
  <c r="AB45" i="11"/>
  <c r="AA44" i="11"/>
  <c r="AB44" i="11"/>
  <c r="AA43" i="11"/>
  <c r="AB43" i="11"/>
  <c r="AA42" i="11"/>
  <c r="AB42" i="11"/>
  <c r="AA41" i="11"/>
  <c r="AB41" i="11"/>
  <c r="AA39" i="11"/>
  <c r="AB39" i="11"/>
  <c r="AA38" i="11"/>
  <c r="AB38" i="11"/>
  <c r="AA37" i="11"/>
  <c r="AB37" i="11"/>
  <c r="AA36" i="11"/>
  <c r="AB36" i="11"/>
  <c r="AA35" i="11"/>
  <c r="AB35" i="11"/>
  <c r="AA34" i="11"/>
  <c r="AB34" i="11"/>
  <c r="AA33" i="11"/>
  <c r="AB33" i="11"/>
  <c r="AA32" i="11"/>
  <c r="AB32" i="11"/>
  <c r="AA31" i="11"/>
  <c r="AB31" i="11"/>
  <c r="AA29" i="11"/>
  <c r="AB29" i="11"/>
  <c r="AA28" i="11"/>
  <c r="AB28" i="11"/>
  <c r="AA27" i="11"/>
  <c r="AB27" i="11"/>
  <c r="AA26" i="11"/>
  <c r="AB26" i="11"/>
  <c r="AA25" i="11"/>
  <c r="AB25" i="11"/>
  <c r="AA24" i="11"/>
  <c r="AB24" i="11"/>
  <c r="AA23" i="11"/>
  <c r="AB23" i="11"/>
  <c r="AA22" i="11"/>
  <c r="AB22" i="11"/>
  <c r="AA21" i="11"/>
  <c r="AB21" i="11"/>
  <c r="AA19" i="11"/>
  <c r="AB19" i="11"/>
  <c r="AA18" i="11"/>
  <c r="AB18" i="11"/>
  <c r="AA17" i="11"/>
  <c r="AB17" i="11"/>
  <c r="AA16" i="11"/>
  <c r="AB16" i="11"/>
  <c r="AA15" i="11"/>
  <c r="AB15" i="11"/>
  <c r="AA14" i="11"/>
  <c r="AB14" i="11"/>
  <c r="AA13" i="11"/>
  <c r="AB13" i="11"/>
  <c r="AA12" i="11"/>
  <c r="AB12" i="11"/>
  <c r="AA11" i="11"/>
  <c r="AA9" i="11"/>
  <c r="AB9" i="11"/>
  <c r="AA8" i="11"/>
  <c r="AB8" i="11"/>
  <c r="AA7" i="11"/>
  <c r="AB7" i="11"/>
  <c r="AA4" i="11"/>
  <c r="AA1903" i="11"/>
  <c r="AB1903" i="11"/>
  <c r="AA1901" i="11"/>
  <c r="AB1901" i="11"/>
  <c r="AA1898" i="11"/>
  <c r="AB1898" i="11"/>
  <c r="AA1895" i="11"/>
  <c r="AB1895" i="11"/>
  <c r="AA1894" i="11"/>
  <c r="AB1894" i="11"/>
  <c r="AA1889" i="11"/>
  <c r="AB1889" i="11"/>
  <c r="AA1884" i="11"/>
  <c r="AB1884" i="11"/>
  <c r="AA1873" i="11"/>
  <c r="AB1873" i="11"/>
  <c r="AA1872" i="11"/>
  <c r="AB1872" i="11"/>
  <c r="AA1866" i="11"/>
  <c r="AB1866" i="11"/>
  <c r="AA1865" i="11"/>
  <c r="AB1865" i="11"/>
  <c r="AA1862" i="11"/>
  <c r="AB1862" i="11"/>
  <c r="AA1859" i="11"/>
  <c r="AB1859" i="11"/>
  <c r="AA1858" i="11"/>
  <c r="AB1858" i="11"/>
  <c r="AA1855" i="11"/>
  <c r="AB1855" i="11"/>
  <c r="AA1854" i="11"/>
  <c r="AB1854" i="11"/>
  <c r="AA1851" i="11"/>
  <c r="AB1851" i="11"/>
  <c r="AA1850" i="11"/>
  <c r="AB1850" i="11"/>
  <c r="AA1846" i="11"/>
  <c r="AB1846" i="11"/>
  <c r="AA1845" i="11"/>
  <c r="AB1845" i="11"/>
  <c r="AA1844" i="11"/>
  <c r="AB1844" i="11"/>
  <c r="AA1843" i="11"/>
  <c r="AB1843" i="11"/>
  <c r="AA1842" i="11"/>
  <c r="AB1842" i="11"/>
  <c r="AA1840" i="11"/>
  <c r="AB1840" i="11"/>
  <c r="AA1839" i="11"/>
  <c r="AB1839" i="11"/>
  <c r="AA1838" i="11"/>
  <c r="AB1838" i="11"/>
  <c r="AA1837" i="11"/>
  <c r="AB1837" i="11"/>
  <c r="AA1836" i="11"/>
  <c r="AB1836" i="11"/>
  <c r="AA1835" i="11"/>
  <c r="AB1835" i="11"/>
  <c r="AA1833" i="11"/>
  <c r="AB1833" i="11"/>
  <c r="AA1831" i="11"/>
  <c r="AB1831" i="11"/>
  <c r="AA1830" i="11"/>
  <c r="AB1830" i="11"/>
  <c r="AA1829" i="11"/>
  <c r="AB1829" i="11"/>
  <c r="AA1828" i="11"/>
  <c r="AB1828" i="11"/>
  <c r="AA1827" i="11"/>
  <c r="AB1827" i="11"/>
  <c r="AA1826" i="11"/>
  <c r="AB1826" i="11"/>
  <c r="AA1825" i="11"/>
  <c r="AB1825" i="11"/>
  <c r="AA1823" i="11"/>
  <c r="AB1823" i="11"/>
  <c r="AA1822" i="11"/>
  <c r="AB1822" i="11"/>
  <c r="AA1818" i="11"/>
  <c r="AB1818" i="11"/>
  <c r="AA1815" i="11"/>
  <c r="AB1815" i="11"/>
  <c r="AA1814" i="11"/>
  <c r="AB1814" i="11"/>
  <c r="AA1813" i="11"/>
  <c r="AB1813" i="11"/>
  <c r="AA1812" i="11"/>
  <c r="AB1812" i="11"/>
  <c r="AA1810" i="11"/>
  <c r="AB1810" i="11"/>
  <c r="AA1809" i="11"/>
  <c r="AB1809" i="11"/>
  <c r="AA1805" i="11"/>
  <c r="AB1805" i="11"/>
  <c r="AA1804" i="11"/>
  <c r="AB1804" i="11"/>
  <c r="AA1802" i="11"/>
  <c r="AB1802" i="11"/>
  <c r="AA1801" i="11"/>
  <c r="AB1801" i="11"/>
  <c r="AA1798" i="11"/>
  <c r="AB1798" i="11"/>
  <c r="AA1796" i="11"/>
  <c r="AB1796" i="11"/>
  <c r="AA1792" i="11"/>
  <c r="AB1792" i="11"/>
  <c r="AA1650" i="11"/>
  <c r="AB1650" i="11"/>
  <c r="AB1648" i="11"/>
  <c r="AA1648" i="11"/>
  <c r="AA1647" i="11"/>
  <c r="AB1647" i="11"/>
  <c r="AA1645" i="11"/>
  <c r="AB1645" i="11"/>
  <c r="AA1644" i="11"/>
  <c r="AB1644" i="11"/>
  <c r="AA1639" i="11"/>
  <c r="AB1639" i="11"/>
  <c r="AB1638" i="11"/>
  <c r="AA1638" i="11"/>
  <c r="AA1634" i="11"/>
  <c r="AB1634" i="11"/>
  <c r="AB1632" i="11"/>
  <c r="AA1632" i="11"/>
  <c r="AB1628" i="11"/>
  <c r="AA1628" i="11"/>
  <c r="AA1624" i="11"/>
  <c r="AB1624" i="11"/>
  <c r="AA1623" i="11"/>
  <c r="AB1623" i="11"/>
  <c r="AB1620" i="11"/>
  <c r="AA1620" i="11"/>
  <c r="AA1619" i="11"/>
  <c r="AB1619" i="11"/>
  <c r="AA1617" i="11"/>
  <c r="AB1617" i="11"/>
  <c r="AA1609" i="11"/>
  <c r="AB1609" i="11"/>
  <c r="AA1603" i="11"/>
  <c r="AB1603" i="11"/>
  <c r="AA1597" i="11"/>
  <c r="AB1597" i="11"/>
  <c r="AB1595" i="11"/>
  <c r="AA1595" i="11"/>
  <c r="AA1591" i="11"/>
  <c r="AB1591" i="11"/>
  <c r="AA1590" i="11"/>
  <c r="AB1590" i="11"/>
  <c r="AB1588" i="11"/>
  <c r="AA1588" i="11"/>
  <c r="AA1578" i="11"/>
  <c r="AB1578" i="11"/>
  <c r="AA1576" i="11"/>
  <c r="AB1576" i="11"/>
  <c r="AA1571" i="11"/>
  <c r="AB1571" i="11"/>
  <c r="AA1562" i="11"/>
  <c r="AB1562" i="11"/>
  <c r="AB1560" i="11"/>
  <c r="AA1560" i="11"/>
  <c r="AA1555" i="11"/>
  <c r="AB1555" i="11"/>
  <c r="AA1552" i="11"/>
  <c r="AB1552" i="11"/>
  <c r="AA1551" i="11"/>
  <c r="AB1551" i="11"/>
  <c r="AA1549" i="11"/>
  <c r="AB1549" i="11"/>
  <c r="AB1548" i="11"/>
  <c r="AA1548" i="11"/>
  <c r="AB1545" i="11"/>
  <c r="AA1545" i="11"/>
  <c r="AA1543" i="11"/>
  <c r="AB1543" i="11"/>
  <c r="AB1540" i="11"/>
  <c r="AA1540" i="11"/>
  <c r="AA1538" i="11"/>
  <c r="AB1538" i="11"/>
  <c r="AA1537" i="11"/>
  <c r="AB1537" i="11"/>
  <c r="AA1536" i="11"/>
  <c r="AB1536" i="11"/>
  <c r="AA1533" i="11"/>
  <c r="AB1533" i="11"/>
  <c r="AA1529" i="11"/>
  <c r="AB1529" i="11"/>
  <c r="AA1526" i="11"/>
  <c r="AB1526" i="11"/>
  <c r="AA1522" i="11"/>
  <c r="AB1522" i="11"/>
  <c r="AA1520" i="11"/>
  <c r="AB1520" i="11"/>
  <c r="AA1517" i="11"/>
  <c r="AB1517" i="11"/>
  <c r="AA1515" i="11"/>
  <c r="AB1515" i="11"/>
  <c r="AA1511" i="11"/>
  <c r="AB1511" i="11"/>
  <c r="AA1510" i="11"/>
  <c r="AB1510" i="11"/>
  <c r="AA1509" i="11"/>
  <c r="AB1509" i="11"/>
  <c r="AA1508" i="11"/>
  <c r="AB1508" i="11"/>
  <c r="AA1507" i="11"/>
  <c r="AB1507" i="11"/>
  <c r="AA1504" i="11"/>
  <c r="AB1504" i="11"/>
  <c r="AA1498" i="11"/>
  <c r="AB1498" i="11"/>
  <c r="AA1495" i="11"/>
  <c r="AB1495" i="11"/>
  <c r="AA1478" i="11"/>
  <c r="AB1478" i="11"/>
  <c r="AA1477" i="11"/>
  <c r="AB1477" i="11"/>
  <c r="AA1475" i="11"/>
  <c r="AB1475" i="11"/>
  <c r="AA1473" i="11"/>
  <c r="AB1473" i="11"/>
  <c r="AA1470" i="11"/>
  <c r="AB1470" i="11"/>
  <c r="AA1469" i="11"/>
  <c r="AB1469" i="11"/>
  <c r="AA1466" i="11"/>
  <c r="AB1466" i="11"/>
  <c r="AA1463" i="11"/>
  <c r="AB1463" i="11"/>
  <c r="AA1458" i="11"/>
  <c r="AB1458" i="11"/>
  <c r="AA1455" i="11"/>
  <c r="AB1455" i="11"/>
  <c r="AA1449" i="11"/>
  <c r="AB1449" i="11"/>
  <c r="AA1446" i="11"/>
  <c r="AB1446" i="11"/>
  <c r="AA1443" i="11"/>
  <c r="AB1443" i="11"/>
  <c r="AA1442" i="11"/>
  <c r="AB1442" i="11"/>
  <c r="AA1441" i="11"/>
  <c r="AB1441" i="11"/>
  <c r="AA1440" i="11"/>
  <c r="AB1440" i="11"/>
  <c r="AA1438" i="11"/>
  <c r="AB1438" i="11"/>
  <c r="AA1434" i="11"/>
  <c r="AB1434" i="11"/>
  <c r="AA1433" i="11"/>
  <c r="AB1433" i="11"/>
  <c r="AA1432" i="11"/>
  <c r="AB1432" i="11"/>
  <c r="AA1429" i="11"/>
  <c r="AB1429" i="11"/>
  <c r="AA1428" i="11"/>
  <c r="AB1428" i="11"/>
  <c r="AA1425" i="11"/>
  <c r="AB1425" i="11"/>
  <c r="AA1424" i="11"/>
  <c r="AB1424" i="11"/>
  <c r="AA1423" i="11"/>
  <c r="AB1423" i="11"/>
  <c r="AA1422" i="11"/>
  <c r="AB1422" i="11"/>
  <c r="AA1420" i="11"/>
  <c r="AB1420" i="11"/>
  <c r="AA1418" i="11"/>
  <c r="AB1418" i="11"/>
  <c r="AA1413" i="11"/>
  <c r="AB1413" i="11"/>
  <c r="AA1412" i="11"/>
  <c r="AB1412" i="11"/>
  <c r="AA1408" i="11"/>
  <c r="AB1408" i="11"/>
  <c r="AA1405" i="11"/>
  <c r="AB1405" i="11"/>
  <c r="AA1404" i="11"/>
  <c r="AB1404" i="11"/>
  <c r="AA1403" i="11"/>
  <c r="AB1403" i="11"/>
  <c r="AA1096" i="11"/>
  <c r="AB1096" i="11"/>
  <c r="AB1092" i="11"/>
  <c r="AA1092" i="11"/>
  <c r="AB1078" i="11"/>
  <c r="AA1078" i="11"/>
  <c r="AB1066" i="11"/>
  <c r="AA1066" i="11"/>
  <c r="AB1063" i="11"/>
  <c r="AA1063" i="11"/>
  <c r="AA1056" i="11"/>
  <c r="AB1056" i="11"/>
  <c r="AA1054" i="11"/>
  <c r="AB1054" i="11"/>
  <c r="AB1045" i="11"/>
  <c r="AA1045" i="11"/>
  <c r="AA1042" i="11"/>
  <c r="AB1042" i="11"/>
  <c r="AB1036" i="11"/>
  <c r="AA1036" i="11"/>
  <c r="AA1027" i="11"/>
  <c r="AB1027" i="11"/>
  <c r="AA639" i="11"/>
  <c r="AB639" i="11"/>
  <c r="AA634" i="11"/>
  <c r="AB634" i="11"/>
  <c r="AA623" i="11"/>
  <c r="AB623" i="11"/>
  <c r="AA619" i="11"/>
  <c r="AB619" i="11"/>
  <c r="AA166" i="11"/>
  <c r="AB166" i="11"/>
  <c r="AA146" i="11"/>
  <c r="AB146" i="11"/>
  <c r="AA141" i="11"/>
  <c r="AB141" i="11"/>
  <c r="AA137" i="11"/>
  <c r="AB137" i="11"/>
  <c r="AA132" i="11"/>
  <c r="AB132" i="11"/>
  <c r="AA127" i="11"/>
  <c r="AB127" i="11"/>
  <c r="AA123" i="11"/>
  <c r="AB123" i="11"/>
  <c r="AA119" i="11"/>
  <c r="AB119" i="11"/>
  <c r="AA116" i="11"/>
  <c r="AB116" i="11"/>
  <c r="AA106" i="11"/>
  <c r="AB106" i="11"/>
  <c r="AA98" i="11"/>
  <c r="AB98" i="11"/>
  <c r="AA94" i="11"/>
  <c r="AB94" i="11"/>
  <c r="AB2" i="11" l="1"/>
  <c r="B7" i="12" s="1"/>
  <c r="AB3" i="11"/>
  <c r="AB11" i="11"/>
  <c r="AB5" i="11"/>
  <c r="AB6" i="11"/>
  <c r="AB4" i="11"/>
  <c r="C10" i="12" l="1"/>
  <c r="B10" i="12"/>
  <c r="D10" i="12"/>
  <c r="D7" i="12"/>
  <c r="E7" i="12" s="1"/>
  <c r="C7" i="12"/>
  <c r="O7" i="12"/>
  <c r="P7" i="12"/>
  <c r="Q7" i="12"/>
  <c r="R7" i="12"/>
  <c r="S7" i="12"/>
  <c r="T7" i="12"/>
  <c r="U7" i="12"/>
  <c r="V7" i="12"/>
  <c r="W7" i="12"/>
  <c r="X7" i="12"/>
  <c r="B8" i="12"/>
  <c r="C8" i="12"/>
  <c r="D8" i="12"/>
  <c r="B9" i="12"/>
  <c r="C9" i="12"/>
  <c r="D9" i="12"/>
  <c r="B11" i="12"/>
  <c r="C11" i="12"/>
  <c r="D11" i="12"/>
  <c r="B12" i="12"/>
  <c r="C12" i="12"/>
  <c r="D12" i="12"/>
  <c r="B13" i="12"/>
  <c r="C13" i="12"/>
  <c r="D13" i="12"/>
  <c r="B14" i="12"/>
  <c r="C14" i="12"/>
  <c r="D14" i="12"/>
  <c r="B15" i="12"/>
  <c r="C15" i="12"/>
  <c r="D15" i="12"/>
  <c r="B16" i="12"/>
  <c r="C16" i="12"/>
  <c r="D16" i="12"/>
  <c r="B17" i="12"/>
  <c r="C17" i="12"/>
  <c r="D17" i="12"/>
  <c r="B18" i="12"/>
  <c r="C18" i="12"/>
  <c r="D18" i="12"/>
  <c r="B19" i="12"/>
  <c r="C19" i="12"/>
  <c r="D19" i="12"/>
  <c r="B20" i="12"/>
  <c r="C20" i="12"/>
  <c r="D20" i="12"/>
  <c r="B21" i="12"/>
  <c r="C21" i="12"/>
  <c r="D21" i="12"/>
  <c r="B22" i="12"/>
  <c r="C22" i="12"/>
  <c r="D22" i="12"/>
  <c r="B23" i="12"/>
  <c r="C23" i="12"/>
  <c r="D23" i="12"/>
  <c r="B24" i="12"/>
  <c r="C24" i="12"/>
  <c r="D24" i="12"/>
  <c r="B25" i="12"/>
  <c r="C25" i="12"/>
  <c r="D25" i="12"/>
  <c r="B26" i="12"/>
  <c r="C26" i="12"/>
  <c r="D26" i="12"/>
  <c r="C44" i="12"/>
  <c r="B45" i="12"/>
  <c r="D45" i="12"/>
  <c r="C46" i="12"/>
  <c r="B47" i="12"/>
  <c r="B91" i="12"/>
  <c r="B92" i="12"/>
  <c r="C93" i="12"/>
  <c r="D94" i="12"/>
  <c r="B96" i="12"/>
  <c r="C97" i="12"/>
  <c r="D98" i="12"/>
  <c r="B100" i="12"/>
  <c r="C101" i="12"/>
  <c r="C102" i="12"/>
  <c r="D103" i="12"/>
  <c r="B105" i="12"/>
  <c r="B106" i="12"/>
  <c r="C107" i="12"/>
  <c r="B27" i="12"/>
  <c r="C27" i="12"/>
  <c r="D27" i="12"/>
  <c r="B28" i="12"/>
  <c r="C28" i="12"/>
  <c r="D28" i="12"/>
  <c r="B29" i="12"/>
  <c r="C29" i="12"/>
  <c r="D29" i="12"/>
  <c r="B30" i="12"/>
  <c r="C30" i="12"/>
  <c r="D30" i="12"/>
  <c r="B31" i="12"/>
  <c r="C31" i="12"/>
  <c r="D31" i="12"/>
  <c r="B32" i="12"/>
  <c r="C32" i="12"/>
  <c r="D32" i="12"/>
  <c r="B33" i="12"/>
  <c r="C33" i="12"/>
  <c r="D33" i="12"/>
  <c r="B34" i="12"/>
  <c r="C34" i="12"/>
  <c r="D34" i="12"/>
  <c r="B35" i="12"/>
  <c r="C35" i="12"/>
  <c r="D35" i="12"/>
  <c r="B36" i="12"/>
  <c r="C36" i="12"/>
  <c r="D36" i="12"/>
  <c r="B37" i="12"/>
  <c r="C37" i="12"/>
  <c r="D37" i="12"/>
  <c r="B38" i="12"/>
  <c r="C38" i="12"/>
  <c r="D38" i="12"/>
  <c r="B39" i="12"/>
  <c r="C39" i="12"/>
  <c r="D39" i="12"/>
  <c r="B40" i="12"/>
  <c r="C40" i="12"/>
  <c r="D40" i="12"/>
  <c r="B41" i="12"/>
  <c r="C41" i="12"/>
  <c r="D41" i="12"/>
  <c r="B42" i="12"/>
  <c r="C42" i="12"/>
  <c r="D42" i="12"/>
  <c r="B43" i="12"/>
  <c r="C43" i="12"/>
  <c r="D43" i="12"/>
  <c r="B44" i="12"/>
  <c r="D44" i="12"/>
  <c r="C45" i="12"/>
  <c r="B46" i="12"/>
  <c r="D46" i="12"/>
  <c r="C90" i="12"/>
  <c r="D92" i="12"/>
  <c r="B94" i="12"/>
  <c r="C95" i="12"/>
  <c r="D96" i="12"/>
  <c r="B98" i="12"/>
  <c r="C99" i="12"/>
  <c r="D100" i="12"/>
  <c r="B102" i="12"/>
  <c r="C103" i="12"/>
  <c r="D104" i="12"/>
  <c r="C106" i="12"/>
  <c r="D107" i="12"/>
  <c r="C47" i="12"/>
  <c r="D47" i="12"/>
  <c r="B48" i="12"/>
  <c r="C48" i="12"/>
  <c r="D48" i="12"/>
  <c r="B49" i="12"/>
  <c r="C49" i="12"/>
  <c r="D49" i="12"/>
  <c r="B50" i="12"/>
  <c r="C50" i="12"/>
  <c r="D50" i="12"/>
  <c r="B51" i="12"/>
  <c r="C51" i="12"/>
  <c r="D51" i="12"/>
  <c r="B52" i="12"/>
  <c r="C52" i="12"/>
  <c r="D52" i="12"/>
  <c r="B53" i="12"/>
  <c r="C53" i="12"/>
  <c r="D53" i="12"/>
  <c r="B54" i="12"/>
  <c r="C54" i="12"/>
  <c r="D54" i="12"/>
  <c r="B55" i="12"/>
  <c r="C55" i="12"/>
  <c r="D55" i="12"/>
  <c r="B56" i="12"/>
  <c r="C56" i="12"/>
  <c r="D56" i="12"/>
  <c r="B57" i="12"/>
  <c r="C57" i="12"/>
  <c r="D57" i="12"/>
  <c r="B58" i="12"/>
  <c r="C58" i="12"/>
  <c r="D58" i="12"/>
  <c r="B59" i="12"/>
  <c r="C59" i="12"/>
  <c r="D59" i="12"/>
  <c r="B60" i="12"/>
  <c r="C60" i="12"/>
  <c r="D60" i="12"/>
  <c r="B61" i="12"/>
  <c r="C61" i="12"/>
  <c r="D61" i="12"/>
  <c r="B62" i="12"/>
  <c r="C62" i="12"/>
  <c r="D62" i="12"/>
  <c r="B63" i="12"/>
  <c r="C63" i="12"/>
  <c r="D63" i="12"/>
  <c r="B64" i="12"/>
  <c r="C64" i="12"/>
  <c r="D64" i="12"/>
  <c r="B65" i="12"/>
  <c r="C65" i="12"/>
  <c r="D65" i="12"/>
  <c r="B66" i="12"/>
  <c r="C66" i="12"/>
  <c r="D66" i="12"/>
  <c r="B67" i="12"/>
  <c r="C67" i="12"/>
  <c r="D67" i="12"/>
  <c r="B68" i="12"/>
  <c r="C68" i="12"/>
  <c r="D68" i="12"/>
  <c r="B69" i="12"/>
  <c r="C69" i="12"/>
  <c r="D69" i="12"/>
  <c r="B70" i="12"/>
  <c r="C70" i="12"/>
  <c r="D70" i="12"/>
  <c r="B71" i="12"/>
  <c r="C71" i="12"/>
  <c r="D71" i="12"/>
  <c r="B72" i="12"/>
  <c r="C72" i="12"/>
  <c r="D72" i="12"/>
  <c r="B73" i="12"/>
  <c r="C73" i="12"/>
  <c r="D73" i="12"/>
  <c r="B74" i="12"/>
  <c r="C74" i="12"/>
  <c r="D74" i="12"/>
  <c r="B75" i="12"/>
  <c r="C75" i="12"/>
  <c r="D75" i="12"/>
  <c r="B76" i="12"/>
  <c r="C76" i="12"/>
  <c r="D76" i="12"/>
  <c r="B77" i="12"/>
  <c r="C77" i="12"/>
  <c r="D77" i="12"/>
  <c r="B78" i="12"/>
  <c r="C78" i="12"/>
  <c r="D78" i="12"/>
  <c r="B79" i="12"/>
  <c r="C79" i="12"/>
  <c r="D79" i="12"/>
  <c r="B80" i="12"/>
  <c r="C80" i="12"/>
  <c r="D80" i="12"/>
  <c r="B81" i="12"/>
  <c r="C81" i="12"/>
  <c r="D81" i="12"/>
  <c r="B82" i="12"/>
  <c r="C82" i="12"/>
  <c r="D82" i="12"/>
  <c r="B83" i="12"/>
  <c r="C83" i="12"/>
  <c r="D83" i="12"/>
  <c r="B84" i="12"/>
  <c r="C84" i="12"/>
  <c r="D84" i="12"/>
  <c r="B85" i="12"/>
  <c r="C85" i="12"/>
  <c r="D85" i="12"/>
  <c r="B86" i="12"/>
  <c r="C86" i="12"/>
  <c r="D86" i="12"/>
  <c r="B87" i="12"/>
  <c r="C87" i="12"/>
  <c r="D87" i="12"/>
  <c r="B88" i="12"/>
  <c r="C88" i="12"/>
  <c r="D88" i="12"/>
  <c r="B89" i="12"/>
  <c r="C89" i="12"/>
  <c r="D89" i="12"/>
  <c r="B90" i="12"/>
  <c r="D90" i="12"/>
  <c r="C91" i="12"/>
  <c r="D91" i="12"/>
  <c r="C92" i="12"/>
  <c r="B93" i="12"/>
  <c r="D93" i="12"/>
  <c r="C94" i="12"/>
  <c r="B95" i="12"/>
  <c r="D95" i="12"/>
  <c r="C96" i="12"/>
  <c r="B97" i="12"/>
  <c r="D97" i="12"/>
  <c r="C98" i="12"/>
  <c r="B99" i="12"/>
  <c r="D99" i="12"/>
  <c r="C100" i="12"/>
  <c r="B101" i="12"/>
  <c r="D101" i="12"/>
  <c r="D102" i="12"/>
  <c r="B103" i="12"/>
  <c r="B104" i="12"/>
  <c r="C104" i="12"/>
  <c r="C105" i="12"/>
  <c r="D105" i="12"/>
  <c r="D106" i="12"/>
  <c r="B107" i="12"/>
  <c r="B108" i="12"/>
  <c r="C108" i="12"/>
  <c r="D108" i="12"/>
  <c r="B109" i="12"/>
  <c r="C109" i="12"/>
  <c r="D109" i="12"/>
  <c r="B110" i="12"/>
  <c r="C110" i="12"/>
  <c r="D110" i="12"/>
  <c r="B111" i="12"/>
  <c r="C111" i="12"/>
  <c r="D111" i="12"/>
  <c r="B112" i="12"/>
  <c r="C112" i="12"/>
  <c r="D112" i="12"/>
  <c r="B113" i="12"/>
  <c r="C113" i="12"/>
  <c r="D113" i="12"/>
  <c r="B114" i="12"/>
  <c r="C114" i="12"/>
  <c r="D114" i="12"/>
  <c r="B115" i="12"/>
  <c r="C115" i="12"/>
  <c r="D115" i="12"/>
  <c r="B116" i="12"/>
  <c r="C116" i="12"/>
  <c r="D116" i="12"/>
  <c r="B117" i="12"/>
  <c r="C117" i="12"/>
  <c r="D117" i="12"/>
  <c r="B118" i="12"/>
  <c r="C118" i="12"/>
  <c r="D118" i="12"/>
  <c r="B119" i="12"/>
  <c r="C119" i="12"/>
  <c r="D119" i="12"/>
  <c r="B120" i="12"/>
  <c r="C120" i="12"/>
  <c r="D120" i="12"/>
  <c r="B121" i="12"/>
  <c r="C121" i="12"/>
  <c r="D121" i="12"/>
  <c r="B122" i="12"/>
  <c r="C122" i="12"/>
  <c r="D122" i="12"/>
  <c r="B123" i="12"/>
  <c r="C123" i="12"/>
  <c r="D123" i="12"/>
  <c r="B124" i="12"/>
  <c r="C124" i="12"/>
  <c r="D124" i="12"/>
  <c r="B125" i="12"/>
  <c r="C125" i="12"/>
  <c r="D125" i="12"/>
  <c r="B126" i="12"/>
  <c r="C126" i="12"/>
  <c r="D126" i="12"/>
  <c r="N7" i="12" l="1"/>
  <c r="L7" i="12"/>
  <c r="K7" i="12"/>
  <c r="G7" i="12"/>
  <c r="M10" i="12"/>
  <c r="M7" i="12"/>
  <c r="J7" i="12"/>
  <c r="I7" i="12"/>
  <c r="H7" i="12"/>
  <c r="F7" i="12"/>
  <c r="L10" i="12"/>
  <c r="K10" i="12"/>
  <c r="J10" i="12"/>
  <c r="I10" i="12"/>
  <c r="X10" i="12"/>
  <c r="H10" i="12"/>
  <c r="U10" i="12"/>
  <c r="E10" i="12"/>
  <c r="R10" i="12"/>
  <c r="T10" i="12"/>
  <c r="S10" i="12"/>
  <c r="Q10" i="12"/>
  <c r="P10" i="12"/>
  <c r="O10" i="12"/>
  <c r="W10" i="12"/>
  <c r="G10" i="12"/>
  <c r="V10" i="12"/>
  <c r="F10" i="12"/>
  <c r="N10" i="12"/>
  <c r="X8" i="12"/>
  <c r="W8" i="12"/>
  <c r="V8" i="12"/>
  <c r="U8" i="12"/>
  <c r="T8" i="12"/>
  <c r="S8" i="12"/>
  <c r="R8" i="12"/>
  <c r="Q8" i="12"/>
  <c r="P8" i="12"/>
  <c r="O8" i="12"/>
  <c r="N8" i="12"/>
  <c r="M8" i="12"/>
  <c r="L8" i="12"/>
  <c r="K8" i="12"/>
  <c r="J8" i="12"/>
  <c r="I8" i="12"/>
  <c r="H8" i="12"/>
  <c r="G8" i="12"/>
  <c r="F8" i="12"/>
  <c r="E8" i="12"/>
  <c r="X9" i="12"/>
  <c r="W9" i="12"/>
  <c r="V9" i="12"/>
  <c r="U9" i="12"/>
  <c r="T9" i="12"/>
  <c r="S9" i="12"/>
  <c r="R9" i="12"/>
  <c r="Q9" i="12"/>
  <c r="P9" i="12"/>
  <c r="O9" i="12"/>
  <c r="N9" i="12"/>
  <c r="M9" i="12"/>
  <c r="L9" i="12"/>
  <c r="K9" i="12"/>
  <c r="J9" i="12"/>
  <c r="I9" i="12"/>
  <c r="H9" i="12"/>
  <c r="G9" i="12"/>
  <c r="F9" i="12"/>
  <c r="E9" i="12"/>
  <c r="X11" i="12"/>
  <c r="W11" i="12"/>
  <c r="V11" i="12"/>
  <c r="U11" i="12"/>
  <c r="T11" i="12"/>
  <c r="S11" i="12"/>
  <c r="R11" i="12"/>
  <c r="Q11" i="12"/>
  <c r="P11" i="12"/>
  <c r="O11" i="12"/>
  <c r="N11" i="12"/>
  <c r="M11" i="12"/>
  <c r="L11" i="12"/>
  <c r="K11" i="12"/>
  <c r="J11" i="12"/>
  <c r="I11" i="12"/>
  <c r="H11" i="12"/>
  <c r="G11" i="12"/>
  <c r="F11" i="12"/>
  <c r="E11" i="12"/>
  <c r="X12" i="12"/>
  <c r="W12" i="12"/>
  <c r="V12" i="12"/>
  <c r="U12" i="12"/>
  <c r="T12" i="12"/>
  <c r="S12" i="12"/>
  <c r="R12" i="12"/>
  <c r="Q12" i="12"/>
  <c r="P12" i="12"/>
  <c r="O12" i="12"/>
  <c r="N12" i="12"/>
  <c r="M12" i="12"/>
  <c r="L12" i="12"/>
  <c r="K12" i="12"/>
  <c r="J12" i="12"/>
  <c r="I12" i="12"/>
  <c r="H12" i="12"/>
  <c r="G12" i="12"/>
  <c r="F12" i="12"/>
  <c r="E12" i="12"/>
  <c r="X13" i="12"/>
  <c r="W13" i="12"/>
  <c r="V13" i="12"/>
  <c r="U13" i="12"/>
  <c r="T13" i="12"/>
  <c r="S13" i="12"/>
  <c r="R13" i="12"/>
  <c r="Q13" i="12"/>
  <c r="P13" i="12"/>
  <c r="O13" i="12"/>
  <c r="N13" i="12"/>
  <c r="M13" i="12"/>
  <c r="L13" i="12"/>
  <c r="K13" i="12"/>
  <c r="J13" i="12"/>
  <c r="I13" i="12"/>
  <c r="H13" i="12"/>
  <c r="G13" i="12"/>
  <c r="F13" i="12"/>
  <c r="E13" i="12"/>
  <c r="X14" i="12"/>
  <c r="W14" i="12"/>
  <c r="V14" i="12"/>
  <c r="U14" i="12"/>
  <c r="T14" i="12"/>
  <c r="S14" i="12"/>
  <c r="R14" i="12"/>
  <c r="Q14" i="12"/>
  <c r="P14" i="12"/>
  <c r="O14" i="12"/>
  <c r="N14" i="12"/>
  <c r="M14" i="12"/>
  <c r="L14" i="12"/>
  <c r="K14" i="12"/>
  <c r="J14" i="12"/>
  <c r="I14" i="12"/>
  <c r="H14" i="12"/>
  <c r="G14" i="12"/>
  <c r="F14" i="12"/>
  <c r="E14" i="12"/>
  <c r="X15" i="12"/>
  <c r="W15" i="12"/>
  <c r="V15" i="12"/>
  <c r="U15" i="12"/>
  <c r="T15" i="12"/>
  <c r="S15" i="12"/>
  <c r="R15" i="12"/>
  <c r="Q15" i="12"/>
  <c r="P15" i="12"/>
  <c r="O15" i="12"/>
  <c r="N15" i="12"/>
  <c r="M15" i="12"/>
  <c r="L15" i="12"/>
  <c r="K15" i="12"/>
  <c r="J15" i="12"/>
  <c r="I15" i="12"/>
  <c r="H15" i="12"/>
  <c r="G15" i="12"/>
  <c r="F15" i="12"/>
  <c r="E15" i="12"/>
  <c r="X16" i="12"/>
  <c r="W16" i="12"/>
  <c r="V16" i="12"/>
  <c r="U16" i="12"/>
  <c r="T16" i="12"/>
  <c r="S16" i="12"/>
  <c r="R16" i="12"/>
  <c r="Q16" i="12"/>
  <c r="P16" i="12"/>
  <c r="O16" i="12"/>
  <c r="N16" i="12"/>
  <c r="M16" i="12"/>
  <c r="L16" i="12"/>
  <c r="K16" i="12"/>
  <c r="J16" i="12"/>
  <c r="I16" i="12"/>
  <c r="H16" i="12"/>
  <c r="G16" i="12"/>
  <c r="F16" i="12"/>
  <c r="E16" i="12"/>
  <c r="X17" i="12"/>
  <c r="W17" i="12"/>
  <c r="V17" i="12"/>
  <c r="U17" i="12"/>
  <c r="T17" i="12"/>
  <c r="S17" i="12"/>
  <c r="R17" i="12"/>
  <c r="Q17" i="12"/>
  <c r="P17" i="12"/>
  <c r="O17" i="12"/>
  <c r="N17" i="12"/>
  <c r="M17" i="12"/>
  <c r="L17" i="12"/>
  <c r="K17" i="12"/>
  <c r="J17" i="12"/>
  <c r="I17" i="12"/>
  <c r="H17" i="12"/>
  <c r="G17" i="12"/>
  <c r="F17" i="12"/>
  <c r="E17" i="12"/>
  <c r="X18" i="12"/>
  <c r="W18" i="12"/>
  <c r="V18" i="12"/>
  <c r="U18" i="12"/>
  <c r="T18" i="12"/>
  <c r="S18" i="12"/>
  <c r="R18" i="12"/>
  <c r="Q18" i="12"/>
  <c r="P18" i="12"/>
  <c r="O18" i="12"/>
  <c r="N18" i="12"/>
  <c r="M18" i="12"/>
  <c r="L18" i="12"/>
  <c r="K18" i="12"/>
  <c r="J18" i="12"/>
  <c r="I18" i="12"/>
  <c r="H18" i="12"/>
  <c r="G18" i="12"/>
  <c r="F18" i="12"/>
  <c r="E18" i="12"/>
  <c r="X19" i="12"/>
  <c r="W19" i="12"/>
  <c r="V19" i="12"/>
  <c r="U19" i="12"/>
  <c r="T19" i="12"/>
  <c r="S19" i="12"/>
  <c r="R19" i="12"/>
  <c r="Q19" i="12"/>
  <c r="P19" i="12"/>
  <c r="O19" i="12"/>
  <c r="N19" i="12"/>
  <c r="M19" i="12"/>
  <c r="L19" i="12"/>
  <c r="K19" i="12"/>
  <c r="J19" i="12"/>
  <c r="I19" i="12"/>
  <c r="H19" i="12"/>
  <c r="G19" i="12"/>
  <c r="F19" i="12"/>
  <c r="E19" i="12"/>
  <c r="X20" i="12"/>
  <c r="W20" i="12"/>
  <c r="V20" i="12"/>
  <c r="U20" i="12"/>
  <c r="T20" i="12"/>
  <c r="S20" i="12"/>
  <c r="R20" i="12"/>
  <c r="Q20" i="12"/>
  <c r="P20" i="12"/>
  <c r="O20" i="12"/>
  <c r="N20" i="12"/>
  <c r="M20" i="12"/>
  <c r="L20" i="12"/>
  <c r="K20" i="12"/>
  <c r="J20" i="12"/>
  <c r="I20" i="12"/>
  <c r="H20" i="12"/>
  <c r="G20" i="12"/>
  <c r="F20" i="12"/>
  <c r="E20" i="12"/>
  <c r="X21" i="12"/>
  <c r="W21" i="12"/>
  <c r="V21" i="12"/>
  <c r="U21" i="12"/>
  <c r="T21" i="12"/>
  <c r="S21" i="12"/>
  <c r="R21" i="12"/>
  <c r="Q21" i="12"/>
  <c r="P21" i="12"/>
  <c r="O21" i="12"/>
  <c r="N21" i="12"/>
  <c r="M21" i="12"/>
  <c r="L21" i="12"/>
  <c r="K21" i="12"/>
  <c r="J21" i="12"/>
  <c r="I21" i="12"/>
  <c r="H21" i="12"/>
  <c r="G21" i="12"/>
  <c r="F21" i="12"/>
  <c r="E21" i="12"/>
  <c r="X22" i="12"/>
  <c r="W22" i="12"/>
  <c r="V22" i="12"/>
  <c r="U22" i="12"/>
  <c r="T22" i="12"/>
  <c r="S22" i="12"/>
  <c r="R22" i="12"/>
  <c r="Q22" i="12"/>
  <c r="P22" i="12"/>
  <c r="O22" i="12"/>
  <c r="N22" i="12"/>
  <c r="M22" i="12"/>
  <c r="L22" i="12"/>
  <c r="K22" i="12"/>
  <c r="J22" i="12"/>
  <c r="I22" i="12"/>
  <c r="H22" i="12"/>
  <c r="G22" i="12"/>
  <c r="F22" i="12"/>
  <c r="E22" i="12"/>
  <c r="X23" i="12"/>
  <c r="W23" i="12"/>
  <c r="V23" i="12"/>
  <c r="U23" i="12"/>
  <c r="T23" i="12"/>
  <c r="S23" i="12"/>
  <c r="R23" i="12"/>
  <c r="Q23" i="12"/>
  <c r="P23" i="12"/>
  <c r="O23" i="12"/>
  <c r="N23" i="12"/>
  <c r="M23" i="12"/>
  <c r="L23" i="12"/>
  <c r="K23" i="12"/>
  <c r="J23" i="12"/>
  <c r="I23" i="12"/>
  <c r="H23" i="12"/>
  <c r="G23" i="12"/>
  <c r="F23" i="12"/>
  <c r="E23" i="12"/>
  <c r="X24" i="12"/>
  <c r="W24" i="12"/>
  <c r="V24" i="12"/>
  <c r="U24" i="12"/>
  <c r="T24" i="12"/>
  <c r="S24" i="12"/>
  <c r="R24" i="12"/>
  <c r="Q24" i="12"/>
  <c r="P24" i="12"/>
  <c r="O24" i="12"/>
  <c r="N24" i="12"/>
  <c r="M24" i="12"/>
  <c r="L24" i="12"/>
  <c r="K24" i="12"/>
  <c r="J24" i="12"/>
  <c r="I24" i="12"/>
  <c r="H24" i="12"/>
  <c r="G24" i="12"/>
  <c r="F24" i="12"/>
  <c r="E24" i="12"/>
  <c r="X25" i="12"/>
  <c r="W25" i="12"/>
  <c r="V25" i="12"/>
  <c r="U25" i="12"/>
  <c r="T25" i="12"/>
  <c r="S25" i="12"/>
  <c r="R25" i="12"/>
  <c r="Q25" i="12"/>
  <c r="P25" i="12"/>
  <c r="O25" i="12"/>
  <c r="N25" i="12"/>
  <c r="M25" i="12"/>
  <c r="L25" i="12"/>
  <c r="K25" i="12"/>
  <c r="J25" i="12"/>
  <c r="I25" i="12"/>
  <c r="H25" i="12"/>
  <c r="G25" i="12"/>
  <c r="F25" i="12"/>
  <c r="E25" i="12"/>
  <c r="X26" i="12"/>
  <c r="W26" i="12"/>
  <c r="V26" i="12"/>
  <c r="U26" i="12"/>
  <c r="T26" i="12"/>
  <c r="S26" i="12"/>
  <c r="R26" i="12"/>
  <c r="Q26" i="12"/>
  <c r="P26" i="12"/>
  <c r="O26" i="12"/>
  <c r="N26" i="12"/>
  <c r="M26" i="12"/>
  <c r="L26" i="12"/>
  <c r="K26" i="12"/>
  <c r="J26" i="12"/>
  <c r="I26" i="12"/>
  <c r="H26" i="12"/>
  <c r="G26" i="12"/>
  <c r="F26" i="12"/>
  <c r="E26" i="12"/>
  <c r="X45" i="12"/>
  <c r="W45" i="12"/>
  <c r="V45" i="12"/>
  <c r="U45" i="12"/>
  <c r="T45" i="12"/>
  <c r="S45" i="12"/>
  <c r="R45" i="12"/>
  <c r="Q45" i="12"/>
  <c r="P45" i="12"/>
  <c r="O45" i="12"/>
  <c r="N45" i="12"/>
  <c r="M45" i="12"/>
  <c r="L45" i="12"/>
  <c r="K45" i="12"/>
  <c r="J45" i="12"/>
  <c r="I45" i="12"/>
  <c r="H45" i="12"/>
  <c r="G45" i="12"/>
  <c r="F45" i="12"/>
  <c r="E45" i="12"/>
  <c r="X47" i="12"/>
  <c r="W47" i="12"/>
  <c r="V47" i="12"/>
  <c r="U47" i="12"/>
  <c r="T47" i="12"/>
  <c r="S47" i="12"/>
  <c r="R47" i="12"/>
  <c r="Q47" i="12"/>
  <c r="P47" i="12"/>
  <c r="O47" i="12"/>
  <c r="N47" i="12"/>
  <c r="M47" i="12"/>
  <c r="L47" i="12"/>
  <c r="K47" i="12"/>
  <c r="J47" i="12"/>
  <c r="I47" i="12"/>
  <c r="H47" i="12"/>
  <c r="G47" i="12"/>
  <c r="F47" i="12"/>
  <c r="E47" i="12"/>
  <c r="X91" i="12"/>
  <c r="W91" i="12"/>
  <c r="V91" i="12"/>
  <c r="U91" i="12"/>
  <c r="T91" i="12"/>
  <c r="S91" i="12"/>
  <c r="R91" i="12"/>
  <c r="Q91" i="12"/>
  <c r="P91" i="12"/>
  <c r="O91" i="12"/>
  <c r="N91" i="12"/>
  <c r="M91" i="12"/>
  <c r="L91" i="12"/>
  <c r="K91" i="12"/>
  <c r="J91" i="12"/>
  <c r="I91" i="12"/>
  <c r="H91" i="12"/>
  <c r="G91" i="12"/>
  <c r="F91" i="12"/>
  <c r="E91" i="12"/>
  <c r="X92" i="12"/>
  <c r="W92" i="12"/>
  <c r="V92" i="12"/>
  <c r="U92" i="12"/>
  <c r="T92" i="12"/>
  <c r="S92" i="12"/>
  <c r="R92" i="12"/>
  <c r="Q92" i="12"/>
  <c r="P92" i="12"/>
  <c r="O92" i="12"/>
  <c r="N92" i="12"/>
  <c r="M92" i="12"/>
  <c r="L92" i="12"/>
  <c r="K92" i="12"/>
  <c r="J92" i="12"/>
  <c r="I92" i="12"/>
  <c r="H92" i="12"/>
  <c r="G92" i="12"/>
  <c r="F92" i="12"/>
  <c r="E92" i="12"/>
  <c r="X96" i="12"/>
  <c r="W96" i="12"/>
  <c r="V96" i="12"/>
  <c r="U96" i="12"/>
  <c r="T96" i="12"/>
  <c r="S96" i="12"/>
  <c r="R96" i="12"/>
  <c r="Q96" i="12"/>
  <c r="P96" i="12"/>
  <c r="O96" i="12"/>
  <c r="N96" i="12"/>
  <c r="M96" i="12"/>
  <c r="L96" i="12"/>
  <c r="K96" i="12"/>
  <c r="J96" i="12"/>
  <c r="I96" i="12"/>
  <c r="H96" i="12"/>
  <c r="G96" i="12"/>
  <c r="F96" i="12"/>
  <c r="E96" i="12"/>
  <c r="X100" i="12"/>
  <c r="W100" i="12"/>
  <c r="V100" i="12"/>
  <c r="U100" i="12"/>
  <c r="T100" i="12"/>
  <c r="S100" i="12"/>
  <c r="R100" i="12"/>
  <c r="Q100" i="12"/>
  <c r="P100" i="12"/>
  <c r="O100" i="12"/>
  <c r="N100" i="12"/>
  <c r="M100" i="12"/>
  <c r="L100" i="12"/>
  <c r="K100" i="12"/>
  <c r="J100" i="12"/>
  <c r="I100" i="12"/>
  <c r="H100" i="12"/>
  <c r="G100" i="12"/>
  <c r="F100" i="12"/>
  <c r="E100" i="12"/>
  <c r="X105" i="12"/>
  <c r="W105" i="12"/>
  <c r="V105" i="12"/>
  <c r="U105" i="12"/>
  <c r="T105" i="12"/>
  <c r="S105" i="12"/>
  <c r="R105" i="12"/>
  <c r="Q105" i="12"/>
  <c r="P105" i="12"/>
  <c r="O105" i="12"/>
  <c r="N105" i="12"/>
  <c r="M105" i="12"/>
  <c r="L105" i="12"/>
  <c r="K105" i="12"/>
  <c r="J105" i="12"/>
  <c r="I105" i="12"/>
  <c r="H105" i="12"/>
  <c r="G105" i="12"/>
  <c r="F105" i="12"/>
  <c r="E105" i="12"/>
  <c r="X106" i="12"/>
  <c r="W106" i="12"/>
  <c r="V106" i="12"/>
  <c r="U106" i="12"/>
  <c r="T106" i="12"/>
  <c r="S106" i="12"/>
  <c r="R106" i="12"/>
  <c r="Q106" i="12"/>
  <c r="P106" i="12"/>
  <c r="O106" i="12"/>
  <c r="N106" i="12"/>
  <c r="M106" i="12"/>
  <c r="L106" i="12"/>
  <c r="K106" i="12"/>
  <c r="J106" i="12"/>
  <c r="I106" i="12"/>
  <c r="H106" i="12"/>
  <c r="G106" i="12"/>
  <c r="F106" i="12"/>
  <c r="E106" i="12"/>
  <c r="X27" i="12"/>
  <c r="W27" i="12"/>
  <c r="V27" i="12"/>
  <c r="U27" i="12"/>
  <c r="T27" i="12"/>
  <c r="S27" i="12"/>
  <c r="R27" i="12"/>
  <c r="Q27" i="12"/>
  <c r="P27" i="12"/>
  <c r="O27" i="12"/>
  <c r="N27" i="12"/>
  <c r="M27" i="12"/>
  <c r="L27" i="12"/>
  <c r="K27" i="12"/>
  <c r="J27" i="12"/>
  <c r="I27" i="12"/>
  <c r="H27" i="12"/>
  <c r="G27" i="12"/>
  <c r="F27" i="12"/>
  <c r="E27" i="12"/>
  <c r="X28" i="12"/>
  <c r="W28" i="12"/>
  <c r="V28" i="12"/>
  <c r="U28" i="12"/>
  <c r="T28" i="12"/>
  <c r="S28" i="12"/>
  <c r="R28" i="12"/>
  <c r="Q28" i="12"/>
  <c r="P28" i="12"/>
  <c r="O28" i="12"/>
  <c r="N28" i="12"/>
  <c r="M28" i="12"/>
  <c r="L28" i="12"/>
  <c r="K28" i="12"/>
  <c r="J28" i="12"/>
  <c r="I28" i="12"/>
  <c r="H28" i="12"/>
  <c r="G28" i="12"/>
  <c r="F28" i="12"/>
  <c r="E28" i="12"/>
  <c r="X29" i="12"/>
  <c r="W29" i="12"/>
  <c r="V29" i="12"/>
  <c r="U29" i="12"/>
  <c r="T29" i="12"/>
  <c r="S29" i="12"/>
  <c r="R29" i="12"/>
  <c r="Q29" i="12"/>
  <c r="P29" i="12"/>
  <c r="O29" i="12"/>
  <c r="N29" i="12"/>
  <c r="M29" i="12"/>
  <c r="L29" i="12"/>
  <c r="K29" i="12"/>
  <c r="J29" i="12"/>
  <c r="I29" i="12"/>
  <c r="H29" i="12"/>
  <c r="G29" i="12"/>
  <c r="F29" i="12"/>
  <c r="E29" i="12"/>
  <c r="X30" i="12"/>
  <c r="W30" i="12"/>
  <c r="V30" i="12"/>
  <c r="U30" i="12"/>
  <c r="T30" i="12"/>
  <c r="S30" i="12"/>
  <c r="R30" i="12"/>
  <c r="Q30" i="12"/>
  <c r="P30" i="12"/>
  <c r="O30" i="12"/>
  <c r="N30" i="12"/>
  <c r="M30" i="12"/>
  <c r="L30" i="12"/>
  <c r="K30" i="12"/>
  <c r="J30" i="12"/>
  <c r="I30" i="12"/>
  <c r="H30" i="12"/>
  <c r="G30" i="12"/>
  <c r="F30" i="12"/>
  <c r="E30" i="12"/>
  <c r="X31" i="12"/>
  <c r="W31" i="12"/>
  <c r="V31" i="12"/>
  <c r="U31" i="12"/>
  <c r="T31" i="12"/>
  <c r="S31" i="12"/>
  <c r="R31" i="12"/>
  <c r="Q31" i="12"/>
  <c r="P31" i="12"/>
  <c r="O31" i="12"/>
  <c r="N31" i="12"/>
  <c r="M31" i="12"/>
  <c r="L31" i="12"/>
  <c r="K31" i="12"/>
  <c r="J31" i="12"/>
  <c r="I31" i="12"/>
  <c r="H31" i="12"/>
  <c r="G31" i="12"/>
  <c r="F31" i="12"/>
  <c r="E31" i="12"/>
  <c r="X32" i="12"/>
  <c r="W32" i="12"/>
  <c r="V32" i="12"/>
  <c r="U32" i="12"/>
  <c r="T32" i="12"/>
  <c r="S32" i="12"/>
  <c r="R32" i="12"/>
  <c r="Q32" i="12"/>
  <c r="P32" i="12"/>
  <c r="O32" i="12"/>
  <c r="N32" i="12"/>
  <c r="M32" i="12"/>
  <c r="L32" i="12"/>
  <c r="K32" i="12"/>
  <c r="J32" i="12"/>
  <c r="I32" i="12"/>
  <c r="H32" i="12"/>
  <c r="G32" i="12"/>
  <c r="F32" i="12"/>
  <c r="E32" i="12"/>
  <c r="X33" i="12"/>
  <c r="W33" i="12"/>
  <c r="V33" i="12"/>
  <c r="U33" i="12"/>
  <c r="T33" i="12"/>
  <c r="S33" i="12"/>
  <c r="R33" i="12"/>
  <c r="Q33" i="12"/>
  <c r="P33" i="12"/>
  <c r="O33" i="12"/>
  <c r="N33" i="12"/>
  <c r="M33" i="12"/>
  <c r="L33" i="12"/>
  <c r="K33" i="12"/>
  <c r="J33" i="12"/>
  <c r="I33" i="12"/>
  <c r="H33" i="12"/>
  <c r="G33" i="12"/>
  <c r="F33" i="12"/>
  <c r="E33" i="12"/>
  <c r="X34" i="12"/>
  <c r="W34" i="12"/>
  <c r="V34" i="12"/>
  <c r="U34" i="12"/>
  <c r="T34" i="12"/>
  <c r="S34" i="12"/>
  <c r="R34" i="12"/>
  <c r="Q34" i="12"/>
  <c r="P34" i="12"/>
  <c r="O34" i="12"/>
  <c r="N34" i="12"/>
  <c r="M34" i="12"/>
  <c r="L34" i="12"/>
  <c r="K34" i="12"/>
  <c r="J34" i="12"/>
  <c r="I34" i="12"/>
  <c r="H34" i="12"/>
  <c r="G34" i="12"/>
  <c r="F34" i="12"/>
  <c r="E34" i="12"/>
  <c r="X35" i="12"/>
  <c r="W35" i="12"/>
  <c r="V35" i="12"/>
  <c r="U35" i="12"/>
  <c r="T35" i="12"/>
  <c r="S35" i="12"/>
  <c r="R35" i="12"/>
  <c r="Q35" i="12"/>
  <c r="P35" i="12"/>
  <c r="O35" i="12"/>
  <c r="N35" i="12"/>
  <c r="M35" i="12"/>
  <c r="L35" i="12"/>
  <c r="K35" i="12"/>
  <c r="J35" i="12"/>
  <c r="I35" i="12"/>
  <c r="H35" i="12"/>
  <c r="G35" i="12"/>
  <c r="F35" i="12"/>
  <c r="E35" i="12"/>
  <c r="X36" i="12"/>
  <c r="W36" i="12"/>
  <c r="V36" i="12"/>
  <c r="U36" i="12"/>
  <c r="T36" i="12"/>
  <c r="S36" i="12"/>
  <c r="R36" i="12"/>
  <c r="Q36" i="12"/>
  <c r="P36" i="12"/>
  <c r="O36" i="12"/>
  <c r="N36" i="12"/>
  <c r="M36" i="12"/>
  <c r="L36" i="12"/>
  <c r="K36" i="12"/>
  <c r="J36" i="12"/>
  <c r="I36" i="12"/>
  <c r="H36" i="12"/>
  <c r="G36" i="12"/>
  <c r="F36" i="12"/>
  <c r="E36" i="12"/>
  <c r="X37" i="12"/>
  <c r="W37" i="12"/>
  <c r="V37" i="12"/>
  <c r="U37" i="12"/>
  <c r="T37" i="12"/>
  <c r="S37" i="12"/>
  <c r="R37" i="12"/>
  <c r="Q37" i="12"/>
  <c r="P37" i="12"/>
  <c r="O37" i="12"/>
  <c r="N37" i="12"/>
  <c r="M37" i="12"/>
  <c r="L37" i="12"/>
  <c r="K37" i="12"/>
  <c r="J37" i="12"/>
  <c r="I37" i="12"/>
  <c r="H37" i="12"/>
  <c r="G37" i="12"/>
  <c r="F37" i="12"/>
  <c r="E37" i="12"/>
  <c r="X38" i="12"/>
  <c r="W38" i="12"/>
  <c r="V38" i="12"/>
  <c r="U38" i="12"/>
  <c r="T38" i="12"/>
  <c r="S38" i="12"/>
  <c r="R38" i="12"/>
  <c r="Q38" i="12"/>
  <c r="P38" i="12"/>
  <c r="O38" i="12"/>
  <c r="N38" i="12"/>
  <c r="M38" i="12"/>
  <c r="L38" i="12"/>
  <c r="K38" i="12"/>
  <c r="J38" i="12"/>
  <c r="I38" i="12"/>
  <c r="H38" i="12"/>
  <c r="G38" i="12"/>
  <c r="F38" i="12"/>
  <c r="E38" i="12"/>
  <c r="X39" i="12"/>
  <c r="W39" i="12"/>
  <c r="V39" i="12"/>
  <c r="U39" i="12"/>
  <c r="T39" i="12"/>
  <c r="S39" i="12"/>
  <c r="R39" i="12"/>
  <c r="Q39" i="12"/>
  <c r="P39" i="12"/>
  <c r="O39" i="12"/>
  <c r="N39" i="12"/>
  <c r="M39" i="12"/>
  <c r="L39" i="12"/>
  <c r="K39" i="12"/>
  <c r="J39" i="12"/>
  <c r="I39" i="12"/>
  <c r="H39" i="12"/>
  <c r="G39" i="12"/>
  <c r="F39" i="12"/>
  <c r="E39" i="12"/>
  <c r="X40" i="12"/>
  <c r="W40" i="12"/>
  <c r="V40" i="12"/>
  <c r="U40" i="12"/>
  <c r="T40" i="12"/>
  <c r="S40" i="12"/>
  <c r="R40" i="12"/>
  <c r="Q40" i="12"/>
  <c r="P40" i="12"/>
  <c r="O40" i="12"/>
  <c r="N40" i="12"/>
  <c r="M40" i="12"/>
  <c r="L40" i="12"/>
  <c r="K40" i="12"/>
  <c r="J40" i="12"/>
  <c r="I40" i="12"/>
  <c r="H40" i="12"/>
  <c r="G40" i="12"/>
  <c r="F40" i="12"/>
  <c r="E40" i="12"/>
  <c r="X41" i="12"/>
  <c r="W41" i="12"/>
  <c r="V41" i="12"/>
  <c r="U41" i="12"/>
  <c r="T41" i="12"/>
  <c r="S41" i="12"/>
  <c r="R41" i="12"/>
  <c r="Q41" i="12"/>
  <c r="P41" i="12"/>
  <c r="O41" i="12"/>
  <c r="N41" i="12"/>
  <c r="M41" i="12"/>
  <c r="L41" i="12"/>
  <c r="K41" i="12"/>
  <c r="J41" i="12"/>
  <c r="I41" i="12"/>
  <c r="H41" i="12"/>
  <c r="G41" i="12"/>
  <c r="F41" i="12"/>
  <c r="E41" i="12"/>
  <c r="X42" i="12"/>
  <c r="W42" i="12"/>
  <c r="V42" i="12"/>
  <c r="U42" i="12"/>
  <c r="T42" i="12"/>
  <c r="S42" i="12"/>
  <c r="R42" i="12"/>
  <c r="Q42" i="12"/>
  <c r="P42" i="12"/>
  <c r="O42" i="12"/>
  <c r="N42" i="12"/>
  <c r="M42" i="12"/>
  <c r="L42" i="12"/>
  <c r="K42" i="12"/>
  <c r="J42" i="12"/>
  <c r="I42" i="12"/>
  <c r="H42" i="12"/>
  <c r="G42" i="12"/>
  <c r="F42" i="12"/>
  <c r="E42" i="12"/>
  <c r="X43" i="12"/>
  <c r="W43" i="12"/>
  <c r="V43" i="12"/>
  <c r="U43" i="12"/>
  <c r="T43" i="12"/>
  <c r="S43" i="12"/>
  <c r="R43" i="12"/>
  <c r="Q43" i="12"/>
  <c r="P43" i="12"/>
  <c r="O43" i="12"/>
  <c r="N43" i="12"/>
  <c r="M43" i="12"/>
  <c r="L43" i="12"/>
  <c r="K43" i="12"/>
  <c r="J43" i="12"/>
  <c r="I43" i="12"/>
  <c r="H43" i="12"/>
  <c r="G43" i="12"/>
  <c r="F43" i="12"/>
  <c r="E43" i="12"/>
  <c r="X44" i="12"/>
  <c r="W44" i="12"/>
  <c r="V44" i="12"/>
  <c r="U44" i="12"/>
  <c r="T44" i="12"/>
  <c r="S44" i="12"/>
  <c r="R44" i="12"/>
  <c r="Q44" i="12"/>
  <c r="P44" i="12"/>
  <c r="O44" i="12"/>
  <c r="N44" i="12"/>
  <c r="M44" i="12"/>
  <c r="L44" i="12"/>
  <c r="K44" i="12"/>
  <c r="J44" i="12"/>
  <c r="I44" i="12"/>
  <c r="H44" i="12"/>
  <c r="G44" i="12"/>
  <c r="F44" i="12"/>
  <c r="E44" i="12"/>
  <c r="X46" i="12"/>
  <c r="W46" i="12"/>
  <c r="V46" i="12"/>
  <c r="U46" i="12"/>
  <c r="T46" i="12"/>
  <c r="S46" i="12"/>
  <c r="R46" i="12"/>
  <c r="Q46" i="12"/>
  <c r="P46" i="12"/>
  <c r="O46" i="12"/>
  <c r="N46" i="12"/>
  <c r="M46" i="12"/>
  <c r="L46" i="12"/>
  <c r="K46" i="12"/>
  <c r="J46" i="12"/>
  <c r="I46" i="12"/>
  <c r="H46" i="12"/>
  <c r="G46" i="12"/>
  <c r="F46" i="12"/>
  <c r="E46" i="12"/>
  <c r="X94" i="12"/>
  <c r="W94" i="12"/>
  <c r="V94" i="12"/>
  <c r="U94" i="12"/>
  <c r="T94" i="12"/>
  <c r="S94" i="12"/>
  <c r="R94" i="12"/>
  <c r="Q94" i="12"/>
  <c r="P94" i="12"/>
  <c r="O94" i="12"/>
  <c r="N94" i="12"/>
  <c r="M94" i="12"/>
  <c r="L94" i="12"/>
  <c r="K94" i="12"/>
  <c r="J94" i="12"/>
  <c r="I94" i="12"/>
  <c r="H94" i="12"/>
  <c r="G94" i="12"/>
  <c r="F94" i="12"/>
  <c r="E94" i="12"/>
  <c r="X98" i="12"/>
  <c r="W98" i="12"/>
  <c r="V98" i="12"/>
  <c r="U98" i="12"/>
  <c r="T98" i="12"/>
  <c r="S98" i="12"/>
  <c r="R98" i="12"/>
  <c r="Q98" i="12"/>
  <c r="P98" i="12"/>
  <c r="O98" i="12"/>
  <c r="N98" i="12"/>
  <c r="M98" i="12"/>
  <c r="L98" i="12"/>
  <c r="K98" i="12"/>
  <c r="J98" i="12"/>
  <c r="I98" i="12"/>
  <c r="H98" i="12"/>
  <c r="G98" i="12"/>
  <c r="F98" i="12"/>
  <c r="E98" i="12"/>
  <c r="X102" i="12"/>
  <c r="W102" i="12"/>
  <c r="V102" i="12"/>
  <c r="U102" i="12"/>
  <c r="T102" i="12"/>
  <c r="S102" i="12"/>
  <c r="R102" i="12"/>
  <c r="Q102" i="12"/>
  <c r="P102" i="12"/>
  <c r="O102" i="12"/>
  <c r="N102" i="12"/>
  <c r="M102" i="12"/>
  <c r="L102" i="12"/>
  <c r="K102" i="12"/>
  <c r="J102" i="12"/>
  <c r="I102" i="12"/>
  <c r="H102" i="12"/>
  <c r="G102" i="12"/>
  <c r="F102" i="12"/>
  <c r="E102" i="12"/>
  <c r="X48" i="12"/>
  <c r="W48" i="12"/>
  <c r="V48" i="12"/>
  <c r="U48" i="12"/>
  <c r="T48" i="12"/>
  <c r="S48" i="12"/>
  <c r="R48" i="12"/>
  <c r="Q48" i="12"/>
  <c r="P48" i="12"/>
  <c r="O48" i="12"/>
  <c r="N48" i="12"/>
  <c r="M48" i="12"/>
  <c r="L48" i="12"/>
  <c r="K48" i="12"/>
  <c r="J48" i="12"/>
  <c r="I48" i="12"/>
  <c r="H48" i="12"/>
  <c r="G48" i="12"/>
  <c r="F48" i="12"/>
  <c r="E48" i="12"/>
  <c r="X49" i="12"/>
  <c r="W49" i="12"/>
  <c r="V49" i="12"/>
  <c r="U49" i="12"/>
  <c r="T49" i="12"/>
  <c r="S49" i="12"/>
  <c r="R49" i="12"/>
  <c r="Q49" i="12"/>
  <c r="P49" i="12"/>
  <c r="O49" i="12"/>
  <c r="N49" i="12"/>
  <c r="M49" i="12"/>
  <c r="L49" i="12"/>
  <c r="K49" i="12"/>
  <c r="J49" i="12"/>
  <c r="I49" i="12"/>
  <c r="H49" i="12"/>
  <c r="G49" i="12"/>
  <c r="F49" i="12"/>
  <c r="E49" i="12"/>
  <c r="X50" i="12"/>
  <c r="W50" i="12"/>
  <c r="V50" i="12"/>
  <c r="U50" i="12"/>
  <c r="T50" i="12"/>
  <c r="S50" i="12"/>
  <c r="R50" i="12"/>
  <c r="Q50" i="12"/>
  <c r="P50" i="12"/>
  <c r="O50" i="12"/>
  <c r="N50" i="12"/>
  <c r="M50" i="12"/>
  <c r="L50" i="12"/>
  <c r="K50" i="12"/>
  <c r="J50" i="12"/>
  <c r="I50" i="12"/>
  <c r="H50" i="12"/>
  <c r="G50" i="12"/>
  <c r="F50" i="12"/>
  <c r="E50" i="12"/>
  <c r="X51" i="12"/>
  <c r="W51" i="12"/>
  <c r="V51" i="12"/>
  <c r="U51" i="12"/>
  <c r="T51" i="12"/>
  <c r="S51" i="12"/>
  <c r="R51" i="12"/>
  <c r="Q51" i="12"/>
  <c r="P51" i="12"/>
  <c r="O51" i="12"/>
  <c r="N51" i="12"/>
  <c r="M51" i="12"/>
  <c r="L51" i="12"/>
  <c r="K51" i="12"/>
  <c r="J51" i="12"/>
  <c r="I51" i="12"/>
  <c r="H51" i="12"/>
  <c r="G51" i="12"/>
  <c r="F51" i="12"/>
  <c r="E51" i="12"/>
  <c r="X52" i="12"/>
  <c r="W52" i="12"/>
  <c r="V52" i="12"/>
  <c r="U52" i="12"/>
  <c r="T52" i="12"/>
  <c r="S52" i="12"/>
  <c r="R52" i="12"/>
  <c r="Q52" i="12"/>
  <c r="P52" i="12"/>
  <c r="O52" i="12"/>
  <c r="N52" i="12"/>
  <c r="M52" i="12"/>
  <c r="L52" i="12"/>
  <c r="K52" i="12"/>
  <c r="J52" i="12"/>
  <c r="I52" i="12"/>
  <c r="H52" i="12"/>
  <c r="G52" i="12"/>
  <c r="F52" i="12"/>
  <c r="E52" i="12"/>
  <c r="X53" i="12"/>
  <c r="W53" i="12"/>
  <c r="V53" i="12"/>
  <c r="U53" i="12"/>
  <c r="T53" i="12"/>
  <c r="S53" i="12"/>
  <c r="R53" i="12"/>
  <c r="Q53" i="12"/>
  <c r="P53" i="12"/>
  <c r="O53" i="12"/>
  <c r="N53" i="12"/>
  <c r="M53" i="12"/>
  <c r="L53" i="12"/>
  <c r="K53" i="12"/>
  <c r="J53" i="12"/>
  <c r="I53" i="12"/>
  <c r="H53" i="12"/>
  <c r="G53" i="12"/>
  <c r="F53" i="12"/>
  <c r="E53" i="12"/>
  <c r="X54" i="12"/>
  <c r="W54" i="12"/>
  <c r="V54" i="12"/>
  <c r="U54" i="12"/>
  <c r="T54" i="12"/>
  <c r="S54" i="12"/>
  <c r="R54" i="12"/>
  <c r="Q54" i="12"/>
  <c r="P54" i="12"/>
  <c r="O54" i="12"/>
  <c r="N54" i="12"/>
  <c r="M54" i="12"/>
  <c r="L54" i="12"/>
  <c r="K54" i="12"/>
  <c r="J54" i="12"/>
  <c r="I54" i="12"/>
  <c r="H54" i="12"/>
  <c r="G54" i="12"/>
  <c r="F54" i="12"/>
  <c r="E54" i="12"/>
  <c r="X55" i="12"/>
  <c r="W55" i="12"/>
  <c r="V55" i="12"/>
  <c r="U55" i="12"/>
  <c r="T55" i="12"/>
  <c r="S55" i="12"/>
  <c r="R55" i="12"/>
  <c r="Q55" i="12"/>
  <c r="P55" i="12"/>
  <c r="O55" i="12"/>
  <c r="N55" i="12"/>
  <c r="M55" i="12"/>
  <c r="L55" i="12"/>
  <c r="K55" i="12"/>
  <c r="J55" i="12"/>
  <c r="I55" i="12"/>
  <c r="H55" i="12"/>
  <c r="G55" i="12"/>
  <c r="F55" i="12"/>
  <c r="E55" i="12"/>
  <c r="X56" i="12"/>
  <c r="W56" i="12"/>
  <c r="V56" i="12"/>
  <c r="U56" i="12"/>
  <c r="T56" i="12"/>
  <c r="S56" i="12"/>
  <c r="R56" i="12"/>
  <c r="Q56" i="12"/>
  <c r="P56" i="12"/>
  <c r="O56" i="12"/>
  <c r="N56" i="12"/>
  <c r="M56" i="12"/>
  <c r="L56" i="12"/>
  <c r="K56" i="12"/>
  <c r="J56" i="12"/>
  <c r="I56" i="12"/>
  <c r="H56" i="12"/>
  <c r="G56" i="12"/>
  <c r="F56" i="12"/>
  <c r="E56" i="12"/>
  <c r="X57" i="12"/>
  <c r="W57" i="12"/>
  <c r="V57" i="12"/>
  <c r="U57" i="12"/>
  <c r="T57" i="12"/>
  <c r="S57" i="12"/>
  <c r="R57" i="12"/>
  <c r="Q57" i="12"/>
  <c r="P57" i="12"/>
  <c r="O57" i="12"/>
  <c r="N57" i="12"/>
  <c r="M57" i="12"/>
  <c r="L57" i="12"/>
  <c r="K57" i="12"/>
  <c r="J57" i="12"/>
  <c r="I57" i="12"/>
  <c r="H57" i="12"/>
  <c r="G57" i="12"/>
  <c r="F57" i="12"/>
  <c r="E57" i="12"/>
  <c r="X58" i="12"/>
  <c r="W58" i="12"/>
  <c r="V58" i="12"/>
  <c r="U58" i="12"/>
  <c r="T58" i="12"/>
  <c r="S58" i="12"/>
  <c r="R58" i="12"/>
  <c r="Q58" i="12"/>
  <c r="P58" i="12"/>
  <c r="O58" i="12"/>
  <c r="N58" i="12"/>
  <c r="M58" i="12"/>
  <c r="L58" i="12"/>
  <c r="K58" i="12"/>
  <c r="J58" i="12"/>
  <c r="I58" i="12"/>
  <c r="H58" i="12"/>
  <c r="G58" i="12"/>
  <c r="F58" i="12"/>
  <c r="E58" i="12"/>
  <c r="X59" i="12"/>
  <c r="W59" i="12"/>
  <c r="V59" i="12"/>
  <c r="U59" i="12"/>
  <c r="T59" i="12"/>
  <c r="S59" i="12"/>
  <c r="R59" i="12"/>
  <c r="Q59" i="12"/>
  <c r="P59" i="12"/>
  <c r="O59" i="12"/>
  <c r="N59" i="12"/>
  <c r="M59" i="12"/>
  <c r="L59" i="12"/>
  <c r="K59" i="12"/>
  <c r="J59" i="12"/>
  <c r="I59" i="12"/>
  <c r="H59" i="12"/>
  <c r="G59" i="12"/>
  <c r="F59" i="12"/>
  <c r="E59" i="12"/>
  <c r="X60" i="12"/>
  <c r="W60" i="12"/>
  <c r="V60" i="12"/>
  <c r="U60" i="12"/>
  <c r="T60" i="12"/>
  <c r="S60" i="12"/>
  <c r="R60" i="12"/>
  <c r="Q60" i="12"/>
  <c r="P60" i="12"/>
  <c r="O60" i="12"/>
  <c r="N60" i="12"/>
  <c r="M60" i="12"/>
  <c r="L60" i="12"/>
  <c r="K60" i="12"/>
  <c r="J60" i="12"/>
  <c r="I60" i="12"/>
  <c r="H60" i="12"/>
  <c r="G60" i="12"/>
  <c r="F60" i="12"/>
  <c r="E60" i="12"/>
  <c r="X61" i="12"/>
  <c r="W61" i="12"/>
  <c r="V61" i="12"/>
  <c r="U61" i="12"/>
  <c r="T61" i="12"/>
  <c r="S61" i="12"/>
  <c r="R61" i="12"/>
  <c r="Q61" i="12"/>
  <c r="P61" i="12"/>
  <c r="O61" i="12"/>
  <c r="N61" i="12"/>
  <c r="M61" i="12"/>
  <c r="L61" i="12"/>
  <c r="K61" i="12"/>
  <c r="J61" i="12"/>
  <c r="I61" i="12"/>
  <c r="H61" i="12"/>
  <c r="G61" i="12"/>
  <c r="F61" i="12"/>
  <c r="E61" i="12"/>
  <c r="X62" i="12"/>
  <c r="W62" i="12"/>
  <c r="V62" i="12"/>
  <c r="U62" i="12"/>
  <c r="T62" i="12"/>
  <c r="S62" i="12"/>
  <c r="R62" i="12"/>
  <c r="Q62" i="12"/>
  <c r="P62" i="12"/>
  <c r="O62" i="12"/>
  <c r="N62" i="12"/>
  <c r="M62" i="12"/>
  <c r="L62" i="12"/>
  <c r="K62" i="12"/>
  <c r="J62" i="12"/>
  <c r="I62" i="12"/>
  <c r="H62" i="12"/>
  <c r="G62" i="12"/>
  <c r="F62" i="12"/>
  <c r="E62" i="12"/>
  <c r="X63" i="12"/>
  <c r="W63" i="12"/>
  <c r="V63" i="12"/>
  <c r="U63" i="12"/>
  <c r="T63" i="12"/>
  <c r="S63" i="12"/>
  <c r="R63" i="12"/>
  <c r="Q63" i="12"/>
  <c r="P63" i="12"/>
  <c r="O63" i="12"/>
  <c r="N63" i="12"/>
  <c r="M63" i="12"/>
  <c r="L63" i="12"/>
  <c r="K63" i="12"/>
  <c r="J63" i="12"/>
  <c r="I63" i="12"/>
  <c r="H63" i="12"/>
  <c r="G63" i="12"/>
  <c r="F63" i="12"/>
  <c r="E63" i="12"/>
  <c r="X64" i="12"/>
  <c r="W64" i="12"/>
  <c r="V64" i="12"/>
  <c r="U64" i="12"/>
  <c r="T64" i="12"/>
  <c r="S64" i="12"/>
  <c r="R64" i="12"/>
  <c r="Q64" i="12"/>
  <c r="P64" i="12"/>
  <c r="O64" i="12"/>
  <c r="N64" i="12"/>
  <c r="M64" i="12"/>
  <c r="L64" i="12"/>
  <c r="K64" i="12"/>
  <c r="J64" i="12"/>
  <c r="I64" i="12"/>
  <c r="H64" i="12"/>
  <c r="G64" i="12"/>
  <c r="F64" i="12"/>
  <c r="E64" i="12"/>
  <c r="X65" i="12"/>
  <c r="W65" i="12"/>
  <c r="V65" i="12"/>
  <c r="U65" i="12"/>
  <c r="T65" i="12"/>
  <c r="S65" i="12"/>
  <c r="R65" i="12"/>
  <c r="Q65" i="12"/>
  <c r="P65" i="12"/>
  <c r="O65" i="12"/>
  <c r="N65" i="12"/>
  <c r="M65" i="12"/>
  <c r="L65" i="12"/>
  <c r="K65" i="12"/>
  <c r="J65" i="12"/>
  <c r="I65" i="12"/>
  <c r="H65" i="12"/>
  <c r="G65" i="12"/>
  <c r="F65" i="12"/>
  <c r="E65" i="12"/>
  <c r="X66" i="12"/>
  <c r="W66" i="12"/>
  <c r="V66" i="12"/>
  <c r="U66" i="12"/>
  <c r="T66" i="12"/>
  <c r="S66" i="12"/>
  <c r="R66" i="12"/>
  <c r="Q66" i="12"/>
  <c r="P66" i="12"/>
  <c r="O66" i="12"/>
  <c r="N66" i="12"/>
  <c r="M66" i="12"/>
  <c r="L66" i="12"/>
  <c r="K66" i="12"/>
  <c r="J66" i="12"/>
  <c r="I66" i="12"/>
  <c r="H66" i="12"/>
  <c r="G66" i="12"/>
  <c r="F66" i="12"/>
  <c r="E66" i="12"/>
  <c r="X67" i="12"/>
  <c r="W67" i="12"/>
  <c r="V67" i="12"/>
  <c r="U67" i="12"/>
  <c r="T67" i="12"/>
  <c r="S67" i="12"/>
  <c r="R67" i="12"/>
  <c r="Q67" i="12"/>
  <c r="P67" i="12"/>
  <c r="O67" i="12"/>
  <c r="N67" i="12"/>
  <c r="M67" i="12"/>
  <c r="L67" i="12"/>
  <c r="K67" i="12"/>
  <c r="J67" i="12"/>
  <c r="I67" i="12"/>
  <c r="H67" i="12"/>
  <c r="G67" i="12"/>
  <c r="F67" i="12"/>
  <c r="E67" i="12"/>
  <c r="X68" i="12"/>
  <c r="W68" i="12"/>
  <c r="V68" i="12"/>
  <c r="U68" i="12"/>
  <c r="T68" i="12"/>
  <c r="S68" i="12"/>
  <c r="R68" i="12"/>
  <c r="Q68" i="12"/>
  <c r="P68" i="12"/>
  <c r="O68" i="12"/>
  <c r="N68" i="12"/>
  <c r="M68" i="12"/>
  <c r="L68" i="12"/>
  <c r="K68" i="12"/>
  <c r="J68" i="12"/>
  <c r="I68" i="12"/>
  <c r="H68" i="12"/>
  <c r="G68" i="12"/>
  <c r="F68" i="12"/>
  <c r="E68" i="12"/>
  <c r="X69" i="12"/>
  <c r="W69" i="12"/>
  <c r="V69" i="12"/>
  <c r="U69" i="12"/>
  <c r="T69" i="12"/>
  <c r="S69" i="12"/>
  <c r="R69" i="12"/>
  <c r="Q69" i="12"/>
  <c r="P69" i="12"/>
  <c r="O69" i="12"/>
  <c r="N69" i="12"/>
  <c r="M69" i="12"/>
  <c r="L69" i="12"/>
  <c r="K69" i="12"/>
  <c r="J69" i="12"/>
  <c r="I69" i="12"/>
  <c r="H69" i="12"/>
  <c r="G69" i="12"/>
  <c r="F69" i="12"/>
  <c r="E69" i="12"/>
  <c r="X70" i="12"/>
  <c r="W70" i="12"/>
  <c r="V70" i="12"/>
  <c r="U70" i="12"/>
  <c r="T70" i="12"/>
  <c r="S70" i="12"/>
  <c r="R70" i="12"/>
  <c r="Q70" i="12"/>
  <c r="P70" i="12"/>
  <c r="O70" i="12"/>
  <c r="N70" i="12"/>
  <c r="M70" i="12"/>
  <c r="L70" i="12"/>
  <c r="K70" i="12"/>
  <c r="J70" i="12"/>
  <c r="I70" i="12"/>
  <c r="H70" i="12"/>
  <c r="G70" i="12"/>
  <c r="F70" i="12"/>
  <c r="E70" i="12"/>
  <c r="X71" i="12"/>
  <c r="W71" i="12"/>
  <c r="V71" i="12"/>
  <c r="U71" i="12"/>
  <c r="T71" i="12"/>
  <c r="S71" i="12"/>
  <c r="R71" i="12"/>
  <c r="Q71" i="12"/>
  <c r="P71" i="12"/>
  <c r="O71" i="12"/>
  <c r="N71" i="12"/>
  <c r="M71" i="12"/>
  <c r="L71" i="12"/>
  <c r="K71" i="12"/>
  <c r="J71" i="12"/>
  <c r="I71" i="12"/>
  <c r="H71" i="12"/>
  <c r="G71" i="12"/>
  <c r="F71" i="12"/>
  <c r="E71" i="12"/>
  <c r="X72" i="12"/>
  <c r="W72" i="12"/>
  <c r="V72" i="12"/>
  <c r="U72" i="12"/>
  <c r="T72" i="12"/>
  <c r="S72" i="12"/>
  <c r="R72" i="12"/>
  <c r="Q72" i="12"/>
  <c r="P72" i="12"/>
  <c r="O72" i="12"/>
  <c r="N72" i="12"/>
  <c r="M72" i="12"/>
  <c r="L72" i="12"/>
  <c r="K72" i="12"/>
  <c r="J72" i="12"/>
  <c r="I72" i="12"/>
  <c r="H72" i="12"/>
  <c r="G72" i="12"/>
  <c r="F72" i="12"/>
  <c r="E72" i="12"/>
  <c r="X73" i="12"/>
  <c r="W73" i="12"/>
  <c r="V73" i="12"/>
  <c r="U73" i="12"/>
  <c r="T73" i="12"/>
  <c r="S73" i="12"/>
  <c r="R73" i="12"/>
  <c r="Q73" i="12"/>
  <c r="P73" i="12"/>
  <c r="O73" i="12"/>
  <c r="N73" i="12"/>
  <c r="M73" i="12"/>
  <c r="L73" i="12"/>
  <c r="K73" i="12"/>
  <c r="J73" i="12"/>
  <c r="I73" i="12"/>
  <c r="H73" i="12"/>
  <c r="G73" i="12"/>
  <c r="F73" i="12"/>
  <c r="E73" i="12"/>
  <c r="X74" i="12"/>
  <c r="W74" i="12"/>
  <c r="V74" i="12"/>
  <c r="U74" i="12"/>
  <c r="T74" i="12"/>
  <c r="S74" i="12"/>
  <c r="R74" i="12"/>
  <c r="Q74" i="12"/>
  <c r="P74" i="12"/>
  <c r="O74" i="12"/>
  <c r="N74" i="12"/>
  <c r="M74" i="12"/>
  <c r="L74" i="12"/>
  <c r="K74" i="12"/>
  <c r="J74" i="12"/>
  <c r="I74" i="12"/>
  <c r="H74" i="12"/>
  <c r="G74" i="12"/>
  <c r="F74" i="12"/>
  <c r="E74" i="12"/>
  <c r="X75" i="12"/>
  <c r="W75" i="12"/>
  <c r="V75" i="12"/>
  <c r="U75" i="12"/>
  <c r="T75" i="12"/>
  <c r="S75" i="12"/>
  <c r="R75" i="12"/>
  <c r="Q75" i="12"/>
  <c r="P75" i="12"/>
  <c r="O75" i="12"/>
  <c r="N75" i="12"/>
  <c r="M75" i="12"/>
  <c r="L75" i="12"/>
  <c r="K75" i="12"/>
  <c r="J75" i="12"/>
  <c r="I75" i="12"/>
  <c r="H75" i="12"/>
  <c r="G75" i="12"/>
  <c r="F75" i="12"/>
  <c r="E75" i="12"/>
  <c r="X76" i="12"/>
  <c r="W76" i="12"/>
  <c r="V76" i="12"/>
  <c r="U76" i="12"/>
  <c r="T76" i="12"/>
  <c r="S76" i="12"/>
  <c r="R76" i="12"/>
  <c r="Q76" i="12"/>
  <c r="P76" i="12"/>
  <c r="O76" i="12"/>
  <c r="N76" i="12"/>
  <c r="M76" i="12"/>
  <c r="L76" i="12"/>
  <c r="K76" i="12"/>
  <c r="J76" i="12"/>
  <c r="I76" i="12"/>
  <c r="H76" i="12"/>
  <c r="G76" i="12"/>
  <c r="F76" i="12"/>
  <c r="E76" i="12"/>
  <c r="X77" i="12"/>
  <c r="W77" i="12"/>
  <c r="V77" i="12"/>
  <c r="U77" i="12"/>
  <c r="T77" i="12"/>
  <c r="S77" i="12"/>
  <c r="R77" i="12"/>
  <c r="Q77" i="12"/>
  <c r="P77" i="12"/>
  <c r="O77" i="12"/>
  <c r="N77" i="12"/>
  <c r="M77" i="12"/>
  <c r="L77" i="12"/>
  <c r="K77" i="12"/>
  <c r="J77" i="12"/>
  <c r="I77" i="12"/>
  <c r="H77" i="12"/>
  <c r="G77" i="12"/>
  <c r="F77" i="12"/>
  <c r="E77" i="12"/>
  <c r="X78" i="12"/>
  <c r="W78" i="12"/>
  <c r="V78" i="12"/>
  <c r="U78" i="12"/>
  <c r="T78" i="12"/>
  <c r="S78" i="12"/>
  <c r="R78" i="12"/>
  <c r="Q78" i="12"/>
  <c r="P78" i="12"/>
  <c r="O78" i="12"/>
  <c r="N78" i="12"/>
  <c r="M78" i="12"/>
  <c r="L78" i="12"/>
  <c r="K78" i="12"/>
  <c r="J78" i="12"/>
  <c r="I78" i="12"/>
  <c r="H78" i="12"/>
  <c r="G78" i="12"/>
  <c r="F78" i="12"/>
  <c r="E78" i="12"/>
  <c r="X79" i="12"/>
  <c r="W79" i="12"/>
  <c r="V79" i="12"/>
  <c r="U79" i="12"/>
  <c r="T79" i="12"/>
  <c r="S79" i="12"/>
  <c r="R79" i="12"/>
  <c r="Q79" i="12"/>
  <c r="P79" i="12"/>
  <c r="O79" i="12"/>
  <c r="N79" i="12"/>
  <c r="M79" i="12"/>
  <c r="L79" i="12"/>
  <c r="K79" i="12"/>
  <c r="J79" i="12"/>
  <c r="I79" i="12"/>
  <c r="H79" i="12"/>
  <c r="G79" i="12"/>
  <c r="F79" i="12"/>
  <c r="E79" i="12"/>
  <c r="X80" i="12"/>
  <c r="W80" i="12"/>
  <c r="V80" i="12"/>
  <c r="U80" i="12"/>
  <c r="T80" i="12"/>
  <c r="S80" i="12"/>
  <c r="R80" i="12"/>
  <c r="Q80" i="12"/>
  <c r="P80" i="12"/>
  <c r="O80" i="12"/>
  <c r="N80" i="12"/>
  <c r="M80" i="12"/>
  <c r="L80" i="12"/>
  <c r="K80" i="12"/>
  <c r="J80" i="12"/>
  <c r="I80" i="12"/>
  <c r="H80" i="12"/>
  <c r="G80" i="12"/>
  <c r="F80" i="12"/>
  <c r="E80" i="12"/>
  <c r="X81" i="12"/>
  <c r="W81" i="12"/>
  <c r="V81" i="12"/>
  <c r="U81" i="12"/>
  <c r="T81" i="12"/>
  <c r="S81" i="12"/>
  <c r="R81" i="12"/>
  <c r="Q81" i="12"/>
  <c r="P81" i="12"/>
  <c r="O81" i="12"/>
  <c r="N81" i="12"/>
  <c r="M81" i="12"/>
  <c r="L81" i="12"/>
  <c r="K81" i="12"/>
  <c r="J81" i="12"/>
  <c r="I81" i="12"/>
  <c r="H81" i="12"/>
  <c r="G81" i="12"/>
  <c r="F81" i="12"/>
  <c r="E81" i="12"/>
  <c r="X82" i="12"/>
  <c r="W82" i="12"/>
  <c r="V82" i="12"/>
  <c r="U82" i="12"/>
  <c r="T82" i="12"/>
  <c r="S82" i="12"/>
  <c r="R82" i="12"/>
  <c r="Q82" i="12"/>
  <c r="P82" i="12"/>
  <c r="O82" i="12"/>
  <c r="N82" i="12"/>
  <c r="M82" i="12"/>
  <c r="L82" i="12"/>
  <c r="K82" i="12"/>
  <c r="J82" i="12"/>
  <c r="I82" i="12"/>
  <c r="H82" i="12"/>
  <c r="G82" i="12"/>
  <c r="F82" i="12"/>
  <c r="E82" i="12"/>
  <c r="X83" i="12"/>
  <c r="W83" i="12"/>
  <c r="V83" i="12"/>
  <c r="U83" i="12"/>
  <c r="T83" i="12"/>
  <c r="S83" i="12"/>
  <c r="R83" i="12"/>
  <c r="Q83" i="12"/>
  <c r="P83" i="12"/>
  <c r="O83" i="12"/>
  <c r="N83" i="12"/>
  <c r="M83" i="12"/>
  <c r="L83" i="12"/>
  <c r="K83" i="12"/>
  <c r="J83" i="12"/>
  <c r="I83" i="12"/>
  <c r="H83" i="12"/>
  <c r="G83" i="12"/>
  <c r="F83" i="12"/>
  <c r="E83" i="12"/>
  <c r="X84" i="12"/>
  <c r="W84" i="12"/>
  <c r="V84" i="12"/>
  <c r="U84" i="12"/>
  <c r="T84" i="12"/>
  <c r="S84" i="12"/>
  <c r="R84" i="12"/>
  <c r="Q84" i="12"/>
  <c r="P84" i="12"/>
  <c r="O84" i="12"/>
  <c r="N84" i="12"/>
  <c r="M84" i="12"/>
  <c r="L84" i="12"/>
  <c r="K84" i="12"/>
  <c r="J84" i="12"/>
  <c r="I84" i="12"/>
  <c r="H84" i="12"/>
  <c r="G84" i="12"/>
  <c r="F84" i="12"/>
  <c r="E84" i="12"/>
  <c r="X85" i="12"/>
  <c r="W85" i="12"/>
  <c r="V85" i="12"/>
  <c r="U85" i="12"/>
  <c r="T85" i="12"/>
  <c r="S85" i="12"/>
  <c r="R85" i="12"/>
  <c r="Q85" i="12"/>
  <c r="P85" i="12"/>
  <c r="O85" i="12"/>
  <c r="N85" i="12"/>
  <c r="M85" i="12"/>
  <c r="L85" i="12"/>
  <c r="K85" i="12"/>
  <c r="J85" i="12"/>
  <c r="I85" i="12"/>
  <c r="H85" i="12"/>
  <c r="G85" i="12"/>
  <c r="F85" i="12"/>
  <c r="E85" i="12"/>
  <c r="X86" i="12"/>
  <c r="W86" i="12"/>
  <c r="V86" i="12"/>
  <c r="U86" i="12"/>
  <c r="T86" i="12"/>
  <c r="S86" i="12"/>
  <c r="R86" i="12"/>
  <c r="Q86" i="12"/>
  <c r="P86" i="12"/>
  <c r="O86" i="12"/>
  <c r="N86" i="12"/>
  <c r="M86" i="12"/>
  <c r="L86" i="12"/>
  <c r="K86" i="12"/>
  <c r="J86" i="12"/>
  <c r="I86" i="12"/>
  <c r="H86" i="12"/>
  <c r="G86" i="12"/>
  <c r="F86" i="12"/>
  <c r="E86" i="12"/>
  <c r="X87" i="12"/>
  <c r="W87" i="12"/>
  <c r="V87" i="12"/>
  <c r="U87" i="12"/>
  <c r="T87" i="12"/>
  <c r="S87" i="12"/>
  <c r="R87" i="12"/>
  <c r="Q87" i="12"/>
  <c r="P87" i="12"/>
  <c r="O87" i="12"/>
  <c r="N87" i="12"/>
  <c r="M87" i="12"/>
  <c r="L87" i="12"/>
  <c r="K87" i="12"/>
  <c r="J87" i="12"/>
  <c r="I87" i="12"/>
  <c r="H87" i="12"/>
  <c r="G87" i="12"/>
  <c r="F87" i="12"/>
  <c r="E87" i="12"/>
  <c r="X88" i="12"/>
  <c r="W88" i="12"/>
  <c r="V88" i="12"/>
  <c r="U88" i="12"/>
  <c r="T88" i="12"/>
  <c r="S88" i="12"/>
  <c r="R88" i="12"/>
  <c r="Q88" i="12"/>
  <c r="P88" i="12"/>
  <c r="O88" i="12"/>
  <c r="N88" i="12"/>
  <c r="M88" i="12"/>
  <c r="L88" i="12"/>
  <c r="K88" i="12"/>
  <c r="J88" i="12"/>
  <c r="I88" i="12"/>
  <c r="H88" i="12"/>
  <c r="G88" i="12"/>
  <c r="F88" i="12"/>
  <c r="E88" i="12"/>
  <c r="X89" i="12"/>
  <c r="W89" i="12"/>
  <c r="V89" i="12"/>
  <c r="U89" i="12"/>
  <c r="T89" i="12"/>
  <c r="S89" i="12"/>
  <c r="R89" i="12"/>
  <c r="Q89" i="12"/>
  <c r="P89" i="12"/>
  <c r="O89" i="12"/>
  <c r="N89" i="12"/>
  <c r="M89" i="12"/>
  <c r="L89" i="12"/>
  <c r="K89" i="12"/>
  <c r="J89" i="12"/>
  <c r="I89" i="12"/>
  <c r="H89" i="12"/>
  <c r="G89" i="12"/>
  <c r="F89" i="12"/>
  <c r="E89" i="12"/>
  <c r="X90" i="12"/>
  <c r="W90" i="12"/>
  <c r="V90" i="12"/>
  <c r="U90" i="12"/>
  <c r="T90" i="12"/>
  <c r="S90" i="12"/>
  <c r="R90" i="12"/>
  <c r="Q90" i="12"/>
  <c r="P90" i="12"/>
  <c r="O90" i="12"/>
  <c r="N90" i="12"/>
  <c r="M90" i="12"/>
  <c r="L90" i="12"/>
  <c r="K90" i="12"/>
  <c r="J90" i="12"/>
  <c r="I90" i="12"/>
  <c r="H90" i="12"/>
  <c r="G90" i="12"/>
  <c r="F90" i="12"/>
  <c r="E90" i="12"/>
  <c r="X93" i="12"/>
  <c r="W93" i="12"/>
  <c r="V93" i="12"/>
  <c r="U93" i="12"/>
  <c r="T93" i="12"/>
  <c r="S93" i="12"/>
  <c r="R93" i="12"/>
  <c r="Q93" i="12"/>
  <c r="P93" i="12"/>
  <c r="O93" i="12"/>
  <c r="N93" i="12"/>
  <c r="M93" i="12"/>
  <c r="L93" i="12"/>
  <c r="K93" i="12"/>
  <c r="J93" i="12"/>
  <c r="I93" i="12"/>
  <c r="H93" i="12"/>
  <c r="G93" i="12"/>
  <c r="F93" i="12"/>
  <c r="E93" i="12"/>
  <c r="X95" i="12"/>
  <c r="W95" i="12"/>
  <c r="V95" i="12"/>
  <c r="U95" i="12"/>
  <c r="T95" i="12"/>
  <c r="S95" i="12"/>
  <c r="R95" i="12"/>
  <c r="Q95" i="12"/>
  <c r="P95" i="12"/>
  <c r="O95" i="12"/>
  <c r="N95" i="12"/>
  <c r="M95" i="12"/>
  <c r="L95" i="12"/>
  <c r="K95" i="12"/>
  <c r="J95" i="12"/>
  <c r="I95" i="12"/>
  <c r="H95" i="12"/>
  <c r="G95" i="12"/>
  <c r="F95" i="12"/>
  <c r="E95" i="12"/>
  <c r="X97" i="12"/>
  <c r="W97" i="12"/>
  <c r="V97" i="12"/>
  <c r="U97" i="12"/>
  <c r="T97" i="12"/>
  <c r="S97" i="12"/>
  <c r="R97" i="12"/>
  <c r="Q97" i="12"/>
  <c r="P97" i="12"/>
  <c r="O97" i="12"/>
  <c r="N97" i="12"/>
  <c r="M97" i="12"/>
  <c r="L97" i="12"/>
  <c r="K97" i="12"/>
  <c r="J97" i="12"/>
  <c r="I97" i="12"/>
  <c r="H97" i="12"/>
  <c r="G97" i="12"/>
  <c r="F97" i="12"/>
  <c r="E97" i="12"/>
  <c r="X99" i="12"/>
  <c r="W99" i="12"/>
  <c r="V99" i="12"/>
  <c r="U99" i="12"/>
  <c r="T99" i="12"/>
  <c r="S99" i="12"/>
  <c r="R99" i="12"/>
  <c r="Q99" i="12"/>
  <c r="P99" i="12"/>
  <c r="O99" i="12"/>
  <c r="N99" i="12"/>
  <c r="M99" i="12"/>
  <c r="L99" i="12"/>
  <c r="K99" i="12"/>
  <c r="J99" i="12"/>
  <c r="I99" i="12"/>
  <c r="H99" i="12"/>
  <c r="G99" i="12"/>
  <c r="F99" i="12"/>
  <c r="E99" i="12"/>
  <c r="X101" i="12"/>
  <c r="W101" i="12"/>
  <c r="V101" i="12"/>
  <c r="U101" i="12"/>
  <c r="T101" i="12"/>
  <c r="S101" i="12"/>
  <c r="R101" i="12"/>
  <c r="Q101" i="12"/>
  <c r="P101" i="12"/>
  <c r="O101" i="12"/>
  <c r="N101" i="12"/>
  <c r="M101" i="12"/>
  <c r="L101" i="12"/>
  <c r="K101" i="12"/>
  <c r="J101" i="12"/>
  <c r="I101" i="12"/>
  <c r="H101" i="12"/>
  <c r="G101" i="12"/>
  <c r="F101" i="12"/>
  <c r="E101" i="12"/>
  <c r="X103" i="12"/>
  <c r="W103" i="12"/>
  <c r="V103" i="12"/>
  <c r="U103" i="12"/>
  <c r="T103" i="12"/>
  <c r="S103" i="12"/>
  <c r="R103" i="12"/>
  <c r="Q103" i="12"/>
  <c r="P103" i="12"/>
  <c r="O103" i="12"/>
  <c r="N103" i="12"/>
  <c r="M103" i="12"/>
  <c r="L103" i="12"/>
  <c r="K103" i="12"/>
  <c r="J103" i="12"/>
  <c r="I103" i="12"/>
  <c r="H103" i="12"/>
  <c r="G103" i="12"/>
  <c r="F103" i="12"/>
  <c r="E103" i="12"/>
  <c r="X104" i="12"/>
  <c r="W104" i="12"/>
  <c r="V104" i="12"/>
  <c r="U104" i="12"/>
  <c r="T104" i="12"/>
  <c r="S104" i="12"/>
  <c r="R104" i="12"/>
  <c r="Q104" i="12"/>
  <c r="P104" i="12"/>
  <c r="O104" i="12"/>
  <c r="N104" i="12"/>
  <c r="M104" i="12"/>
  <c r="L104" i="12"/>
  <c r="K104" i="12"/>
  <c r="J104" i="12"/>
  <c r="I104" i="12"/>
  <c r="H104" i="12"/>
  <c r="G104" i="12"/>
  <c r="F104" i="12"/>
  <c r="E104" i="12"/>
  <c r="X107" i="12"/>
  <c r="W107" i="12"/>
  <c r="V107" i="12"/>
  <c r="U107" i="12"/>
  <c r="T107" i="12"/>
  <c r="S107" i="12"/>
  <c r="R107" i="12"/>
  <c r="Q107" i="12"/>
  <c r="P107" i="12"/>
  <c r="O107" i="12"/>
  <c r="N107" i="12"/>
  <c r="M107" i="12"/>
  <c r="L107" i="12"/>
  <c r="K107" i="12"/>
  <c r="J107" i="12"/>
  <c r="I107" i="12"/>
  <c r="H107" i="12"/>
  <c r="G107" i="12"/>
  <c r="F107" i="12"/>
  <c r="E107" i="12"/>
  <c r="X108" i="12"/>
  <c r="W108" i="12"/>
  <c r="V108" i="12"/>
  <c r="U108" i="12"/>
  <c r="T108" i="12"/>
  <c r="S108" i="12"/>
  <c r="R108" i="12"/>
  <c r="Q108" i="12"/>
  <c r="P108" i="12"/>
  <c r="O108" i="12"/>
  <c r="N108" i="12"/>
  <c r="M108" i="12"/>
  <c r="L108" i="12"/>
  <c r="K108" i="12"/>
  <c r="J108" i="12"/>
  <c r="I108" i="12"/>
  <c r="H108" i="12"/>
  <c r="G108" i="12"/>
  <c r="F108" i="12"/>
  <c r="E108" i="12"/>
  <c r="X109" i="12"/>
  <c r="W109" i="12"/>
  <c r="V109" i="12"/>
  <c r="U109" i="12"/>
  <c r="T109" i="12"/>
  <c r="S109" i="12"/>
  <c r="R109" i="12"/>
  <c r="Q109" i="12"/>
  <c r="P109" i="12"/>
  <c r="O109" i="12"/>
  <c r="N109" i="12"/>
  <c r="M109" i="12"/>
  <c r="L109" i="12"/>
  <c r="K109" i="12"/>
  <c r="J109" i="12"/>
  <c r="I109" i="12"/>
  <c r="H109" i="12"/>
  <c r="G109" i="12"/>
  <c r="F109" i="12"/>
  <c r="E109" i="12"/>
  <c r="X110" i="12"/>
  <c r="W110" i="12"/>
  <c r="V110" i="12"/>
  <c r="U110" i="12"/>
  <c r="T110" i="12"/>
  <c r="S110" i="12"/>
  <c r="R110" i="12"/>
  <c r="Q110" i="12"/>
  <c r="P110" i="12"/>
  <c r="O110" i="12"/>
  <c r="N110" i="12"/>
  <c r="M110" i="12"/>
  <c r="L110" i="12"/>
  <c r="K110" i="12"/>
  <c r="J110" i="12"/>
  <c r="I110" i="12"/>
  <c r="H110" i="12"/>
  <c r="G110" i="12"/>
  <c r="F110" i="12"/>
  <c r="E110" i="12"/>
  <c r="X111" i="12"/>
  <c r="W111" i="12"/>
  <c r="V111" i="12"/>
  <c r="U111" i="12"/>
  <c r="T111" i="12"/>
  <c r="S111" i="12"/>
  <c r="R111" i="12"/>
  <c r="Q111" i="12"/>
  <c r="P111" i="12"/>
  <c r="O111" i="12"/>
  <c r="N111" i="12"/>
  <c r="M111" i="12"/>
  <c r="L111" i="12"/>
  <c r="K111" i="12"/>
  <c r="J111" i="12"/>
  <c r="I111" i="12"/>
  <c r="H111" i="12"/>
  <c r="G111" i="12"/>
  <c r="F111" i="12"/>
  <c r="E111" i="12"/>
  <c r="X112" i="12"/>
  <c r="W112" i="12"/>
  <c r="V112" i="12"/>
  <c r="U112" i="12"/>
  <c r="T112" i="12"/>
  <c r="S112" i="12"/>
  <c r="R112" i="12"/>
  <c r="Q112" i="12"/>
  <c r="P112" i="12"/>
  <c r="O112" i="12"/>
  <c r="N112" i="12"/>
  <c r="M112" i="12"/>
  <c r="L112" i="12"/>
  <c r="K112" i="12"/>
  <c r="J112" i="12"/>
  <c r="I112" i="12"/>
  <c r="H112" i="12"/>
  <c r="G112" i="12"/>
  <c r="F112" i="12"/>
  <c r="E112" i="12"/>
  <c r="X113" i="12"/>
  <c r="W113" i="12"/>
  <c r="V113" i="12"/>
  <c r="U113" i="12"/>
  <c r="T113" i="12"/>
  <c r="S113" i="12"/>
  <c r="R113" i="12"/>
  <c r="Q113" i="12"/>
  <c r="P113" i="12"/>
  <c r="O113" i="12"/>
  <c r="N113" i="12"/>
  <c r="M113" i="12"/>
  <c r="L113" i="12"/>
  <c r="K113" i="12"/>
  <c r="J113" i="12"/>
  <c r="I113" i="12"/>
  <c r="H113" i="12"/>
  <c r="G113" i="12"/>
  <c r="F113" i="12"/>
  <c r="E113" i="12"/>
  <c r="X114" i="12"/>
  <c r="W114" i="12"/>
  <c r="V114" i="12"/>
  <c r="U114" i="12"/>
  <c r="T114" i="12"/>
  <c r="S114" i="12"/>
  <c r="R114" i="12"/>
  <c r="Q114" i="12"/>
  <c r="P114" i="12"/>
  <c r="O114" i="12"/>
  <c r="N114" i="12"/>
  <c r="M114" i="12"/>
  <c r="L114" i="12"/>
  <c r="K114" i="12"/>
  <c r="J114" i="12"/>
  <c r="I114" i="12"/>
  <c r="H114" i="12"/>
  <c r="G114" i="12"/>
  <c r="F114" i="12"/>
  <c r="E114" i="12"/>
  <c r="X115" i="12"/>
  <c r="W115" i="12"/>
  <c r="V115" i="12"/>
  <c r="U115" i="12"/>
  <c r="T115" i="12"/>
  <c r="S115" i="12"/>
  <c r="R115" i="12"/>
  <c r="Q115" i="12"/>
  <c r="P115" i="12"/>
  <c r="O115" i="12"/>
  <c r="N115" i="12"/>
  <c r="M115" i="12"/>
  <c r="L115" i="12"/>
  <c r="K115" i="12"/>
  <c r="J115" i="12"/>
  <c r="I115" i="12"/>
  <c r="H115" i="12"/>
  <c r="G115" i="12"/>
  <c r="F115" i="12"/>
  <c r="E115" i="12"/>
  <c r="X116" i="12"/>
  <c r="W116" i="12"/>
  <c r="V116" i="12"/>
  <c r="U116" i="12"/>
  <c r="T116" i="12"/>
  <c r="S116" i="12"/>
  <c r="R116" i="12"/>
  <c r="Q116" i="12"/>
  <c r="P116" i="12"/>
  <c r="O116" i="12"/>
  <c r="N116" i="12"/>
  <c r="M116" i="12"/>
  <c r="L116" i="12"/>
  <c r="K116" i="12"/>
  <c r="J116" i="12"/>
  <c r="I116" i="12"/>
  <c r="H116" i="12"/>
  <c r="G116" i="12"/>
  <c r="F116" i="12"/>
  <c r="E116" i="12"/>
  <c r="X117" i="12"/>
  <c r="W117" i="12"/>
  <c r="V117" i="12"/>
  <c r="U117" i="12"/>
  <c r="T117" i="12"/>
  <c r="S117" i="12"/>
  <c r="R117" i="12"/>
  <c r="Q117" i="12"/>
  <c r="P117" i="12"/>
  <c r="O117" i="12"/>
  <c r="N117" i="12"/>
  <c r="M117" i="12"/>
  <c r="L117" i="12"/>
  <c r="K117" i="12"/>
  <c r="J117" i="12"/>
  <c r="I117" i="12"/>
  <c r="H117" i="12"/>
  <c r="G117" i="12"/>
  <c r="F117" i="12"/>
  <c r="E117" i="12"/>
  <c r="X118" i="12"/>
  <c r="W118" i="12"/>
  <c r="V118" i="12"/>
  <c r="U118" i="12"/>
  <c r="T118" i="12"/>
  <c r="S118" i="12"/>
  <c r="R118" i="12"/>
  <c r="Q118" i="12"/>
  <c r="P118" i="12"/>
  <c r="O118" i="12"/>
  <c r="N118" i="12"/>
  <c r="M118" i="12"/>
  <c r="L118" i="12"/>
  <c r="K118" i="12"/>
  <c r="J118" i="12"/>
  <c r="I118" i="12"/>
  <c r="H118" i="12"/>
  <c r="G118" i="12"/>
  <c r="F118" i="12"/>
  <c r="E118" i="12"/>
  <c r="X119" i="12"/>
  <c r="W119" i="12"/>
  <c r="V119" i="12"/>
  <c r="U119" i="12"/>
  <c r="T119" i="12"/>
  <c r="S119" i="12"/>
  <c r="R119" i="12"/>
  <c r="Q119" i="12"/>
  <c r="P119" i="12"/>
  <c r="O119" i="12"/>
  <c r="N119" i="12"/>
  <c r="M119" i="12"/>
  <c r="L119" i="12"/>
  <c r="K119" i="12"/>
  <c r="J119" i="12"/>
  <c r="I119" i="12"/>
  <c r="H119" i="12"/>
  <c r="G119" i="12"/>
  <c r="F119" i="12"/>
  <c r="E119" i="12"/>
  <c r="X120" i="12"/>
  <c r="W120" i="12"/>
  <c r="V120" i="12"/>
  <c r="U120" i="12"/>
  <c r="T120" i="12"/>
  <c r="S120" i="12"/>
  <c r="R120" i="12"/>
  <c r="Q120" i="12"/>
  <c r="P120" i="12"/>
  <c r="O120" i="12"/>
  <c r="N120" i="12"/>
  <c r="M120" i="12"/>
  <c r="L120" i="12"/>
  <c r="K120" i="12"/>
  <c r="J120" i="12"/>
  <c r="I120" i="12"/>
  <c r="H120" i="12"/>
  <c r="G120" i="12"/>
  <c r="F120" i="12"/>
  <c r="E120" i="12"/>
  <c r="X121" i="12"/>
  <c r="W121" i="12"/>
  <c r="V121" i="12"/>
  <c r="U121" i="12"/>
  <c r="T121" i="12"/>
  <c r="S121" i="12"/>
  <c r="R121" i="12"/>
  <c r="Q121" i="12"/>
  <c r="P121" i="12"/>
  <c r="O121" i="12"/>
  <c r="N121" i="12"/>
  <c r="M121" i="12"/>
  <c r="L121" i="12"/>
  <c r="K121" i="12"/>
  <c r="J121" i="12"/>
  <c r="I121" i="12"/>
  <c r="H121" i="12"/>
  <c r="G121" i="12"/>
  <c r="F121" i="12"/>
  <c r="E121" i="12"/>
  <c r="X122" i="12"/>
  <c r="W122" i="12"/>
  <c r="V122" i="12"/>
  <c r="U122" i="12"/>
  <c r="T122" i="12"/>
  <c r="S122" i="12"/>
  <c r="R122" i="12"/>
  <c r="Q122" i="12"/>
  <c r="P122" i="12"/>
  <c r="O122" i="12"/>
  <c r="N122" i="12"/>
  <c r="M122" i="12"/>
  <c r="L122" i="12"/>
  <c r="K122" i="12"/>
  <c r="J122" i="12"/>
  <c r="I122" i="12"/>
  <c r="H122" i="12"/>
  <c r="G122" i="12"/>
  <c r="F122" i="12"/>
  <c r="E122" i="12"/>
  <c r="X123" i="12"/>
  <c r="W123" i="12"/>
  <c r="V123" i="12"/>
  <c r="U123" i="12"/>
  <c r="T123" i="12"/>
  <c r="S123" i="12"/>
  <c r="R123" i="12"/>
  <c r="Q123" i="12"/>
  <c r="P123" i="12"/>
  <c r="O123" i="12"/>
  <c r="N123" i="12"/>
  <c r="M123" i="12"/>
  <c r="L123" i="12"/>
  <c r="K123" i="12"/>
  <c r="J123" i="12"/>
  <c r="I123" i="12"/>
  <c r="H123" i="12"/>
  <c r="G123" i="12"/>
  <c r="F123" i="12"/>
  <c r="E123" i="12"/>
  <c r="X124" i="12"/>
  <c r="W124" i="12"/>
  <c r="V124" i="12"/>
  <c r="U124" i="12"/>
  <c r="T124" i="12"/>
  <c r="S124" i="12"/>
  <c r="R124" i="12"/>
  <c r="Q124" i="12"/>
  <c r="P124" i="12"/>
  <c r="O124" i="12"/>
  <c r="N124" i="12"/>
  <c r="M124" i="12"/>
  <c r="L124" i="12"/>
  <c r="K124" i="12"/>
  <c r="J124" i="12"/>
  <c r="I124" i="12"/>
  <c r="H124" i="12"/>
  <c r="G124" i="12"/>
  <c r="F124" i="12"/>
  <c r="E124" i="12"/>
  <c r="X125" i="12"/>
  <c r="W125" i="12"/>
  <c r="V125" i="12"/>
  <c r="U125" i="12"/>
  <c r="T125" i="12"/>
  <c r="S125" i="12"/>
  <c r="R125" i="12"/>
  <c r="Q125" i="12"/>
  <c r="P125" i="12"/>
  <c r="O125" i="12"/>
  <c r="N125" i="12"/>
  <c r="M125" i="12"/>
  <c r="L125" i="12"/>
  <c r="K125" i="12"/>
  <c r="J125" i="12"/>
  <c r="I125" i="12"/>
  <c r="H125" i="12"/>
  <c r="G125" i="12"/>
  <c r="F125" i="12"/>
  <c r="E125" i="12"/>
  <c r="X126" i="12"/>
  <c r="W126" i="12"/>
  <c r="V126" i="12"/>
  <c r="U126" i="12"/>
  <c r="T126" i="12"/>
  <c r="S126" i="12"/>
  <c r="R126" i="12"/>
  <c r="Q126" i="12"/>
  <c r="P126" i="12"/>
  <c r="O126" i="12"/>
  <c r="N126" i="12"/>
  <c r="M126" i="12"/>
  <c r="L126" i="12"/>
  <c r="K126" i="12"/>
  <c r="J126" i="12"/>
  <c r="I126" i="12"/>
  <c r="H126" i="12"/>
  <c r="G126" i="12"/>
  <c r="F126" i="12"/>
  <c r="E126" i="12"/>
</calcChain>
</file>

<file path=xl/sharedStrings.xml><?xml version="1.0" encoding="utf-8"?>
<sst xmlns="http://schemas.openxmlformats.org/spreadsheetml/2006/main" count="58519" uniqueCount="5659">
  <si>
    <t>数据概览</t>
  </si>
  <si>
    <t>中信建投</t>
  </si>
  <si>
    <t>中金中国</t>
  </si>
  <si>
    <t>▍目录</t>
  </si>
  <si>
    <t>▍进度概览</t>
  </si>
  <si>
    <t>▍发售日历</t>
  </si>
  <si>
    <t>2026年10月</t>
  </si>
  <si>
    <t>◀请选择月份</t>
  </si>
  <si>
    <t>中金印力</t>
  </si>
  <si>
    <t>产品信息</t>
  </si>
  <si>
    <t>基金状态</t>
  </si>
  <si>
    <t>数量(只)</t>
  </si>
  <si>
    <t>募集规模(亿元)</t>
  </si>
  <si>
    <t>中金唯品</t>
  </si>
  <si>
    <t>一</t>
  </si>
  <si>
    <t>二</t>
  </si>
  <si>
    <t>三</t>
  </si>
  <si>
    <t>四</t>
  </si>
  <si>
    <t>五</t>
  </si>
  <si>
    <t>六</t>
  </si>
  <si>
    <t>日</t>
  </si>
  <si>
    <t>创金合信</t>
  </si>
  <si>
    <t>项目基本信息</t>
  </si>
  <si>
    <t>已上市</t>
  </si>
  <si>
    <t>华夏中海</t>
  </si>
  <si>
    <t>华夏保利</t>
  </si>
  <si>
    <t>估值信息</t>
  </si>
  <si>
    <t>已成立</t>
  </si>
  <si>
    <t>华夏凯德</t>
  </si>
  <si>
    <t>华夏华润</t>
  </si>
  <si>
    <t>发售及分派</t>
  </si>
  <si>
    <t>已询价</t>
  </si>
  <si>
    <t>华夏大悦</t>
  </si>
  <si>
    <t>华夏金茂</t>
  </si>
  <si>
    <t>分派率预测</t>
  </si>
  <si>
    <t>已通过</t>
  </si>
  <si>
    <t>华夏首创</t>
  </si>
  <si>
    <t>华安百联</t>
  </si>
  <si>
    <t>二级分派率</t>
  </si>
  <si>
    <t>已受理</t>
  </si>
  <si>
    <t>华安锦江</t>
  </si>
  <si>
    <t>华安陆家</t>
  </si>
  <si>
    <t>发售持有人</t>
  </si>
  <si>
    <t>已申报</t>
  </si>
  <si>
    <t>华泰华住</t>
  </si>
  <si>
    <t>嘉实物美</t>
  </si>
  <si>
    <t>前十大持有人</t>
  </si>
  <si>
    <t>已终止</t>
  </si>
  <si>
    <t>国泰海通</t>
  </si>
  <si>
    <t>广发新城</t>
  </si>
  <si>
    <t>经营数据</t>
  </si>
  <si>
    <t>合计</t>
  </si>
  <si>
    <t>易方达华</t>
  </si>
  <si>
    <t>汇添富上</t>
  </si>
  <si>
    <t>▍一级分派率</t>
  </si>
  <si>
    <t>▍二级分派率</t>
  </si>
  <si>
    <t>近60个交易日</t>
  </si>
  <si>
    <t>◀请选择时间窗口</t>
  </si>
  <si>
    <t>满4个报告期用TTM、不足用发售稿预测；分派率按市值加权</t>
  </si>
  <si>
    <t>▍发售持有人</t>
  </si>
  <si>
    <t>▍前十大持有人</t>
  </si>
  <si>
    <t>全部时间</t>
  </si>
  <si>
    <t>◀请选择时间口径</t>
  </si>
  <si>
    <t>战配</t>
  </si>
  <si>
    <t>◀请选择持有人类别</t>
  </si>
  <si>
    <t>2026中报</t>
  </si>
  <si>
    <t>◀请选择报告期</t>
  </si>
  <si>
    <t>排名</t>
  </si>
  <si>
    <t>机构名称</t>
  </si>
  <si>
    <t>参与次数</t>
  </si>
  <si>
    <t>参与金额(亿元)</t>
  </si>
  <si>
    <t>流通持有人类型</t>
  </si>
  <si>
    <t>比例</t>
  </si>
  <si>
    <t>较上期</t>
  </si>
  <si>
    <t>非流通持有人类型</t>
  </si>
  <si>
    <t>金额=获配份额×发行价（以《基金合同生效公告》为准）；近一年口径按发售公告日统计；原始权益人及其关联方不参与排名</t>
  </si>
  <si>
    <t>比例=同类型持有人合计比例按市值加权，市值基准为630/1231 或其后最近交易日；较上期=本期比例-上期比例</t>
  </si>
  <si>
    <t>▍项目基本情况</t>
  </si>
  <si>
    <t>北京市</t>
  </si>
  <si>
    <t>◀请选择省份</t>
  </si>
  <si>
    <t>按省份 · 地图深浅代表项目数（点击省份看明细）</t>
  </si>
  <si>
    <t>基金</t>
  </si>
  <si>
    <t>项目</t>
  </si>
  <si>
    <t>城市</t>
  </si>
  <si>
    <t>类型</t>
  </si>
  <si>
    <t>估值(亿元)</t>
  </si>
  <si>
    <t>剩余期限（年）
（截至10月9日）</t>
  </si>
  <si>
    <t>⬅ 返回数据概览</t>
  </si>
  <si>
    <t>ID</t>
  </si>
  <si>
    <t>基金代码</t>
  </si>
  <si>
    <t>基金简称</t>
  </si>
  <si>
    <t>基金名称</t>
  </si>
  <si>
    <t>发行期数</t>
  </si>
  <si>
    <t>交易场所</t>
  </si>
  <si>
    <t>项目行业</t>
  </si>
  <si>
    <t>项目业态</t>
  </si>
  <si>
    <t>基金期限</t>
  </si>
  <si>
    <t>募集份额(亿份)</t>
  </si>
  <si>
    <t>拟发行价（元）</t>
  </si>
  <si>
    <t>拟募集规模</t>
  </si>
  <si>
    <t>发行价(元)</t>
  </si>
  <si>
    <t>发行规模(亿元)</t>
  </si>
  <si>
    <t>发行溢价率</t>
  </si>
  <si>
    <t>询价区间下限</t>
  </si>
  <si>
    <t>询价区间上限</t>
  </si>
  <si>
    <t>询价区间下限比例</t>
  </si>
  <si>
    <t>询价区间上限比例</t>
  </si>
  <si>
    <t>询价结果中位数</t>
  </si>
  <si>
    <t>询价结果加权平均数</t>
  </si>
  <si>
    <t>参与询价的网下投资者数量</t>
  </si>
  <si>
    <t>参与询价网下投资者管理的配售对象数量</t>
  </si>
  <si>
    <t>有效报价投资者数量</t>
  </si>
  <si>
    <t>有效报价投资者管理的配售对象数量</t>
  </si>
  <si>
    <t>报价入围率</t>
  </si>
  <si>
    <t>网下认购倍数</t>
  </si>
  <si>
    <t>公众认购倍数</t>
  </si>
  <si>
    <t>网下发售起始日</t>
  </si>
  <si>
    <t>网下发售截止日</t>
  </si>
  <si>
    <t>战略配售份额占比</t>
  </si>
  <si>
    <t>网下配售份额占比</t>
  </si>
  <si>
    <t>公众配售份额占比</t>
  </si>
  <si>
    <t>原始权益人配售份额占比</t>
  </si>
  <si>
    <t>受理日</t>
  </si>
  <si>
    <t>批文日</t>
  </si>
  <si>
    <t>询价日</t>
  </si>
  <si>
    <t>发售公告日</t>
  </si>
  <si>
    <t>成立日</t>
  </si>
  <si>
    <t>上市日</t>
  </si>
  <si>
    <t>508002</t>
  </si>
  <si>
    <t>华安百联消费REIT</t>
  </si>
  <si>
    <t>华安百联消费封闭式基础设施证券投资基金</t>
  </si>
  <si>
    <t>上交所</t>
  </si>
  <si>
    <t>消费基础设施</t>
  </si>
  <si>
    <t>购物中心</t>
  </si>
  <si>
    <t>21年</t>
  </si>
  <si>
    <t>508005</t>
  </si>
  <si>
    <t>华夏首创奥莱REIT</t>
  </si>
  <si>
    <t>华夏首创奥特莱斯封闭式基础设施证券投资基金</t>
  </si>
  <si>
    <t>奥特莱斯</t>
  </si>
  <si>
    <t>34年</t>
  </si>
  <si>
    <t>508011</t>
  </si>
  <si>
    <t>嘉实物美消费REIT</t>
  </si>
  <si>
    <t>嘉实物美消费封闭式基础设施证券投资基金</t>
  </si>
  <si>
    <t>社区商业</t>
  </si>
  <si>
    <t>508017</t>
  </si>
  <si>
    <t>华夏金茂消费REIT</t>
  </si>
  <si>
    <t>华夏金茂消费封闭式基础设施证券投资基金</t>
  </si>
  <si>
    <t>30年</t>
  </si>
  <si>
    <t>180601</t>
  </si>
  <si>
    <t>华夏华润消费REIT</t>
  </si>
  <si>
    <t>华夏华润消费封闭式基础设施证券投资基金</t>
  </si>
  <si>
    <t>深交所</t>
  </si>
  <si>
    <t>28年</t>
  </si>
  <si>
    <t>180602</t>
  </si>
  <si>
    <t>中金印力消费REIT</t>
  </si>
  <si>
    <t>中金印力消费基础设施封闭式基础设施证券投资基金</t>
  </si>
  <si>
    <t>25年</t>
  </si>
  <si>
    <t>180603</t>
  </si>
  <si>
    <t>华夏大悦城消费REIT</t>
  </si>
  <si>
    <t>华夏大悦城购物中心封闭式基础设施证券投资基金</t>
  </si>
  <si>
    <t>24年</t>
  </si>
  <si>
    <t>180605</t>
  </si>
  <si>
    <t>易方达华威市场REIT</t>
  </si>
  <si>
    <t>易方达华威农贸市场封闭式基础设施证券投资基金</t>
  </si>
  <si>
    <t>农贸市场</t>
  </si>
  <si>
    <t>32年</t>
  </si>
  <si>
    <t>180606</t>
  </si>
  <si>
    <t>中金中国绿发消费REIT</t>
  </si>
  <si>
    <t>中金中国绿发消费封闭式基础设施证券投资基金</t>
  </si>
  <si>
    <t>508091</t>
  </si>
  <si>
    <t>华夏凯德消费REIT</t>
  </si>
  <si>
    <t>华夏凯德消费封闭式基础设施证券投资基金</t>
  </si>
  <si>
    <t>27年</t>
  </si>
  <si>
    <t>180607</t>
  </si>
  <si>
    <t>华夏中海消费REIT</t>
  </si>
  <si>
    <t>华夏中海消费封闭式基础设施证券投资基金</t>
  </si>
  <si>
    <t>508082</t>
  </si>
  <si>
    <t>中金唯品会奥莱REIT</t>
  </si>
  <si>
    <t>中金唯品会奥特莱斯封闭式基础设施证券投资基金</t>
  </si>
  <si>
    <t>26年</t>
  </si>
  <si>
    <t>508602</t>
  </si>
  <si>
    <t>国泰海通砂之船商业REIT</t>
  </si>
  <si>
    <t>国泰海通砂之船封闭式商业不动产证券投资基金</t>
  </si>
  <si>
    <t>商业不动产</t>
  </si>
  <si>
    <t>508603</t>
  </si>
  <si>
    <t>中金唯品会商业REIT</t>
  </si>
  <si>
    <t>中金唯品会封闭式商业不动产证券投资基金</t>
  </si>
  <si>
    <t>31年</t>
  </si>
  <si>
    <t>508600</t>
  </si>
  <si>
    <t>汇添富上海地产商业REIT</t>
  </si>
  <si>
    <t>汇添富上海地产封闭式商业不动产证券投资基金</t>
  </si>
  <si>
    <t>办公、配套商业</t>
  </si>
  <si>
    <t>41年</t>
  </si>
  <si>
    <t>508601</t>
  </si>
  <si>
    <t>中信建投首农商业REIT</t>
  </si>
  <si>
    <t>中信建投首农食品集团封闭式商业不动产证券投资基金</t>
  </si>
  <si>
    <t>20年</t>
  </si>
  <si>
    <t>181001</t>
  </si>
  <si>
    <t>创金合信北京国资公司REIT</t>
  </si>
  <si>
    <t>创金合信北京国资封闭式商业不动产证券投资基金</t>
  </si>
  <si>
    <t>40年</t>
  </si>
  <si>
    <t>508605</t>
  </si>
  <si>
    <t>华夏保利商业REIT</t>
  </si>
  <si>
    <t>华夏保利发展封闭式商业不动产证券投资基金</t>
  </si>
  <si>
    <t>办公及配套商业、商业零售</t>
  </si>
  <si>
    <t>508609</t>
  </si>
  <si>
    <t>华安锦江商业REIT</t>
  </si>
  <si>
    <t>华安锦江封闭式商业不动产证券投资基金</t>
  </si>
  <si>
    <t>酒店</t>
  </si>
  <si>
    <t>508607</t>
  </si>
  <si>
    <t>华安陆家嘴商业REIT</t>
  </si>
  <si>
    <t>华安陆家嘴封闭式商业不动产证券投资基金</t>
  </si>
  <si>
    <t>综合体</t>
  </si>
  <si>
    <t>38年</t>
  </si>
  <si>
    <t>508606</t>
  </si>
  <si>
    <t>华夏凯德商业REIT</t>
  </si>
  <si>
    <t>华夏凯德封闭式商业不动产证券投资基金</t>
  </si>
  <si>
    <t>181002</t>
  </si>
  <si>
    <t>华泰华住安住REIT</t>
  </si>
  <si>
    <t>华泰紫金华住安住封闭式商业不动产证券投资基金</t>
  </si>
  <si>
    <t>508610</t>
  </si>
  <si>
    <t>广发新城吾悦商业REIT</t>
  </si>
  <si>
    <t>广发新城吾悦封闭式商业不动产证券投资基金</t>
  </si>
  <si>
    <t>光大安石</t>
  </si>
  <si>
    <t>光大保德信光大安石封闭式商业不动产证券投资基金</t>
  </si>
  <si>
    <t>中金开元旅业</t>
  </si>
  <si>
    <t>中金开元旅业封闭式商业不动产证券投资基金</t>
  </si>
  <si>
    <t>招商蛇口不动产</t>
  </si>
  <si>
    <t>招商资管招商蛇口封闭式商业不动产证券投资基金</t>
  </si>
  <si>
    <t>商业零售、办公</t>
  </si>
  <si>
    <t>华夏银泰</t>
  </si>
  <si>
    <t>华夏银泰百货封闭式商业不动产证券投资基金</t>
  </si>
  <si>
    <t>33年</t>
  </si>
  <si>
    <t>国泰海通崇邦</t>
  </si>
  <si>
    <t>国泰海通崇邦封闭式商业不动产证券投资基金</t>
  </si>
  <si>
    <t>商业零售</t>
  </si>
  <si>
    <t>嘉实首开商业</t>
  </si>
  <si>
    <t>嘉实首开封闭式商业不动产证券投资基金</t>
  </si>
  <si>
    <t>购物中心、社区商业</t>
  </si>
  <si>
    <t>红土创新星河</t>
  </si>
  <si>
    <t>红土创新星河集团封闭式商业不动产证券投资基金</t>
  </si>
  <si>
    <t>47年</t>
  </si>
  <si>
    <t>国联安复星</t>
  </si>
  <si>
    <t>国联安复星封闭式商业不动产证券投资基金</t>
  </si>
  <si>
    <t>39年</t>
  </si>
  <si>
    <t>华夏华润置地</t>
  </si>
  <si>
    <t>华夏华润置地封闭式商业不动产证券投资基金</t>
  </si>
  <si>
    <t>红土创新茂业</t>
  </si>
  <si>
    <t>红土创新茂业封闭式商业不动产证券投资基金</t>
  </si>
  <si>
    <t>办公</t>
  </si>
  <si>
    <t>广发海珠城</t>
  </si>
  <si>
    <t>广发海珠城发封闭式商业不动产证券投资基金</t>
  </si>
  <si>
    <t>22年</t>
  </si>
  <si>
    <t>华安中电浦软</t>
  </si>
  <si>
    <t>华安中电浦软封闭式商业不动产证券投资基金</t>
  </si>
  <si>
    <t>华泰金鹰</t>
  </si>
  <si>
    <t>华泰紫金金鹰封闭式商业不动产证券投资基金</t>
  </si>
  <si>
    <t>华夏大悦城商业</t>
  </si>
  <si>
    <t>华夏大悦城封闭式商业不动产证券投资基金</t>
  </si>
  <si>
    <t>中金中国绿发商业</t>
  </si>
  <si>
    <t>中金中国绿发封闭式商业不动产证券投资基金</t>
  </si>
  <si>
    <t>综合体、酒店</t>
  </si>
  <si>
    <t>嘉实陶邑消费</t>
  </si>
  <si>
    <t>嘉实陶邑消费封闭式基础设施证券投资基金</t>
  </si>
  <si>
    <t>商业街区</t>
  </si>
  <si>
    <t>华夏中海不动产</t>
  </si>
  <si>
    <t>华夏中海封闭式商业不动产证券投资基金</t>
  </si>
  <si>
    <t>国联安泰华城</t>
  </si>
  <si>
    <t>国联安泰华城封闭式商业不动产证券投资基金</t>
  </si>
  <si>
    <t>国泰海通鹏瑞利</t>
  </si>
  <si>
    <t>国泰海通鹏瑞利封闭式商业不动产证券投资基金</t>
  </si>
  <si>
    <t>广发新世界</t>
  </si>
  <si>
    <t>广发新世界封闭式商业不动产证券投资基金</t>
  </si>
  <si>
    <t>商业综合体（商业、写字楼）</t>
  </si>
  <si>
    <t>华夏世纪金源</t>
  </si>
  <si>
    <t>华夏世纪金源封闭式商业不动产证券投资基金</t>
  </si>
  <si>
    <t>华夏凯华商业</t>
  </si>
  <si>
    <t>华夏凯华封闭式商业不动产证券投资基金</t>
  </si>
  <si>
    <t>专业市场（纺织面辅料专业市场）</t>
  </si>
  <si>
    <t>汇添富顺联商业</t>
  </si>
  <si>
    <t>汇添富顺联封闭式商业不动产证券投资基金</t>
  </si>
  <si>
    <t>购物中心、酒店专业市场</t>
  </si>
  <si>
    <t>43年</t>
  </si>
  <si>
    <t>中航天虹</t>
  </si>
  <si>
    <t>中航天虹消费封闭式基础设施证券投资基金</t>
  </si>
  <si>
    <t>华夏华润商业</t>
  </si>
  <si>
    <t>项目名称</t>
  </si>
  <si>
    <t>项目类型</t>
  </si>
  <si>
    <t>所在省份</t>
  </si>
  <si>
    <t>所在城市</t>
  </si>
  <si>
    <t>所在区县</t>
  </si>
  <si>
    <t>具体地址</t>
  </si>
  <si>
    <t>土地取得方式</t>
  </si>
  <si>
    <t>用地性质</t>
  </si>
  <si>
    <t>项目权属起始日</t>
  </si>
  <si>
    <t>项目权属到期日</t>
  </si>
  <si>
    <t>建设内容和规模</t>
  </si>
  <si>
    <t>决算总投资（亿元）</t>
  </si>
  <si>
    <t>开工时间</t>
  </si>
  <si>
    <t>竣工时间</t>
  </si>
  <si>
    <t>运营开始时间</t>
  </si>
  <si>
    <t>建筑用途</t>
  </si>
  <si>
    <t>土地使用权面积（平方米）</t>
  </si>
  <si>
    <t>总建筑面积（平方米）</t>
  </si>
  <si>
    <t>停车位</t>
  </si>
  <si>
    <t>苏州昆山万象汇</t>
  </si>
  <si>
    <t>江苏省</t>
  </si>
  <si>
    <t>苏州市</t>
  </si>
  <si>
    <t>市昆山市</t>
  </si>
  <si>
    <t>江苏省苏州市昆山市前进西路1280号、1288号、1268号以及1266号,东起鹿城路，西至江浦北路，南起前进西路，北至万象路</t>
  </si>
  <si>
    <t>出让</t>
  </si>
  <si>
    <t>青岛万象城</t>
  </si>
  <si>
    <t>山东省</t>
  </si>
  <si>
    <t>青岛市</t>
  </si>
  <si>
    <t>市南区</t>
  </si>
  <si>
    <t>东侧以沿山东路营区边线为界，南侧以临香格里拉大饭店的营区边线为界，西侧以临海门路、北海宾馆的营区边线以及操场西边挡土墙为界，北侧以今日商务楼南地界沿绿化带闭合区域</t>
  </si>
  <si>
    <t>商业、金融业用地，兼容居住</t>
  </si>
  <si>
    <t>一期、二期：2011年6月22日；产权地下车位：2011年6月22日</t>
  </si>
  <si>
    <t>一期、二期：2051年6月21日；产权地下车位：2061年6月21日止</t>
  </si>
  <si>
    <t>青岛万象城一期共10层（B3、B2、B1、LG、L1、L2、L3、L4、L5、L6），二期共8层（B2、B1、LG、L1、L2、L3、L4、L5），其中一期商业分布于B2-L6层，二期商业分布于LG-L5层。</t>
  </si>
  <si>
    <t>一期：2015年；二期：2021年</t>
  </si>
  <si>
    <t>零售商业,商服、城镇住宅、商务金融/商业</t>
  </si>
  <si>
    <t>商业：301,186.69平方米；车库：118,037.37平方米</t>
  </si>
  <si>
    <t>杭州西溪印象城</t>
  </si>
  <si>
    <t>浙江省</t>
  </si>
  <si>
    <t>杭州市</t>
  </si>
  <si>
    <t>余杭区</t>
  </si>
  <si>
    <t>杭州市余杭区五常街道五常大道1号、3号1幢</t>
  </si>
  <si>
    <t>商业用地</t>
  </si>
  <si>
    <t>杭州西溪印象城A馆：2013年1月
杭州西溪印象城B馆：2019年5月</t>
  </si>
  <si>
    <t>杭州西溪印象城A馆：2013年5月
杭州西溪印象城B馆：2019年5月</t>
  </si>
  <si>
    <t>成都大悦城</t>
  </si>
  <si>
    <t>四川省</t>
  </si>
  <si>
    <t>成都市</t>
  </si>
  <si>
    <t>武侯区</t>
  </si>
  <si>
    <t>大悦路518号，北临祥云路、南临大悦路、西临佳悦路、东临云锦路</t>
  </si>
  <si>
    <t>批发零售用地</t>
  </si>
  <si>
    <t>3栋地上建筑物和1栋地下建筑物以及633个地下产权车位</t>
  </si>
  <si>
    <t>146400</t>
  </si>
  <si>
    <t>华威西营里农产品交易中心</t>
  </si>
  <si>
    <t>福建省</t>
  </si>
  <si>
    <t>福州市</t>
  </si>
  <si>
    <t>仓山区</t>
  </si>
  <si>
    <t>盘屿路855号，东临阳岐路，南临盘屿路，西临上尚城，北临长埕路</t>
  </si>
  <si>
    <t>工业用地</t>
  </si>
  <si>
    <t>华威西营里农产品交易中心总用地面积92,966.67㎡，总建筑面积98,925.84㎡，包括建筑物所有权及其占用范围内的国有土地使用权</t>
  </si>
  <si>
    <t>（1）1#厂房：
开工时间为2004年10月17日
（2）（二期）A栋厂房：
开工时间为2012年6月27日
（3）改扩建工程，即将1#厂房由原1层加建至2层，将（二期）A栋厂房由原2层加建至3层，同时新建3#楼及5#楼：
开工时间为2016年1月15日
（4）提升改造工程，即新建6#楼、7-1#楼、7-2#楼及地下室：
开工时间为2022年10月30日</t>
  </si>
  <si>
    <t>（1）1#厂房：
竣工时间为2005年7月5日
（2）（二期）A栋厂房：
竣工时间为2013年11月20日
（3）改扩建工程，即将1#厂房由原1层加建至2层，将（二期）A栋厂房由原2层加建至3层，同时新建3#楼及5#楼：
竣工时间为2016年4月14日
（4）提升改造工程，即新建6#楼、7-1#楼、7-2#楼及地下室：
竣工时间为2023年11月9日</t>
  </si>
  <si>
    <t>领秀城贵和购物中心</t>
  </si>
  <si>
    <t>济南市</t>
  </si>
  <si>
    <t>市中区</t>
  </si>
  <si>
    <t>西至温秀路、南至俭秀路、东至领仁路、北至良秀路</t>
  </si>
  <si>
    <t>协议出让</t>
  </si>
  <si>
    <t>低密度生态型综合居住社区用地</t>
  </si>
  <si>
    <t>公建</t>
  </si>
  <si>
    <t>上海又一城购物中心</t>
  </si>
  <si>
    <t>基础设施​​</t>
  </si>
  <si>
    <t>上海市</t>
  </si>
  <si>
    <t>杨浦区</t>
  </si>
  <si>
    <t>上海市杨浦区淞沪路8号</t>
  </si>
  <si>
    <t>地下3层至地上9层商业物业，总建筑面积124,980.29平方米（含商业、停车场及设备层）</t>
  </si>
  <si>
    <t>10.32</t>
  </si>
  <si>
    <t>306个（地下2层114个、地下3层192个）</t>
  </si>
  <si>
    <t>武汉首创奥莱项目</t>
  </si>
  <si>
    <t>商服用地</t>
  </si>
  <si>
    <t>湖北省</t>
  </si>
  <si>
    <t>武汉市</t>
  </si>
  <si>
    <t>东湖新技术开发区</t>
  </si>
  <si>
    <t>武汉市东湖新技术开发区高新二路139号</t>
  </si>
  <si>
    <t>武汉首创奥莱项目 1#、2#、3#、4#、5#、6#、7#、8#楼 ;总建筑面积 87,397.55 平方米，其中 1 号楼7,468.32平方米；2号楼5,632.84平方米；3号楼8,566.67平方米；4号楼5,654.19 平方米；6号楼17,316.67 平方米；5、7、8号楼42,758.86平方米</t>
  </si>
  <si>
    <t>55518.86</t>
  </si>
  <si>
    <t>商业经营</t>
  </si>
  <si>
    <t>济南首创奥莱项目</t>
  </si>
  <si>
    <t>历城区</t>
  </si>
  <si>
    <t>济南市历城区世纪大道7181号</t>
  </si>
  <si>
    <t>商务金融</t>
  </si>
  <si>
    <t>济南首创奥特莱斯广场 1-1 号楼、1-7 号楼，以及济南首创奥特莱斯广场配套的856个地下车位；
土地面积 114,929.00 平方米4，总建筑面积为116,236.76 平方米，其中商业建筑面积为88,564.45 平方米，地下停车位27,672.31平方米</t>
  </si>
  <si>
    <t>60745.69</t>
  </si>
  <si>
    <t>华天项目</t>
  </si>
  <si>
    <t>海淀区</t>
  </si>
  <si>
    <t>北小马厂6号</t>
  </si>
  <si>
    <t>划拨</t>
  </si>
  <si>
    <t>4层商业用房（地下1层及地上1-3层） ;15,280.73平方米，其中-1层为3,466.52平方米，1层为3,635.03平方米，2层为4,070.82平方米，3层为4,108.36平方米</t>
  </si>
  <si>
    <t>1.49</t>
  </si>
  <si>
    <t>商业</t>
  </si>
  <si>
    <t>大成路项目</t>
  </si>
  <si>
    <t>丰台区</t>
  </si>
  <si>
    <t>大成路6号院1号楼</t>
  </si>
  <si>
    <t>4层商业用房（地下1层及地上1-3层），29,043.40平方米，其中-1层为6,980.44平方米，1层为7,027.3平方米，2层为7,415.5平方米，3层7,620.16平方米</t>
  </si>
  <si>
    <t>4.84</t>
  </si>
  <si>
    <t>德胜门项目</t>
  </si>
  <si>
    <t>西城区</t>
  </si>
  <si>
    <t>安德路118号楼</t>
  </si>
  <si>
    <t>2层商业用房（地上1-2层）;8,729.74平方米</t>
  </si>
  <si>
    <t>1.01</t>
  </si>
  <si>
    <t>玉蜓桥项目</t>
  </si>
  <si>
    <t>蒲方路9号院8号楼</t>
  </si>
  <si>
    <t>5层商业用房（地下1层及地上1-4层）；24,840.41平方米，其中-1层为5,630.07平方米，1层为4,875.85平方米，2层为6,894.78平方米，3层为7,374.09平方米，4层为65.62平方米</t>
  </si>
  <si>
    <t>2.61</t>
  </si>
  <si>
    <t>配套/商业用房</t>
  </si>
  <si>
    <t>长沙览秀城</t>
  </si>
  <si>
    <t>湖南省</t>
  </si>
  <si>
    <t>长沙市</t>
  </si>
  <si>
    <t>湘江新区</t>
  </si>
  <si>
    <t>湖南省长沙市湘江新区</t>
  </si>
  <si>
    <t>长沙市岳麓区环湖路1177号方茂苑（二期）12、13、15栋-201、-101、101、118、119、201、301、402;102,741.61 平方米</t>
  </si>
  <si>
    <t>商业综合体运营</t>
  </si>
  <si>
    <t>广州云尚项目</t>
  </si>
  <si>
    <t>广东省</t>
  </si>
  <si>
    <t>广州市</t>
  </si>
  <si>
    <t>白云区</t>
  </si>
  <si>
    <t>云城西路890号、874号、892号；东至建设用地，南至建设用地，西至云城西路，北至齐乐路</t>
  </si>
  <si>
    <t>土地使用权面积18,091.96平方米（包括地下车位的占地面积）；建筑面积92,974.39平方米（包括地下车位的建筑面积）；地下4层，地上6层</t>
  </si>
  <si>
    <t>长沙雨花亭项目</t>
  </si>
  <si>
    <t>雨花区</t>
  </si>
  <si>
    <t>韶山中路421号;西至韶山中路，东至公共道
路，北至新建东路，南至金地巷</t>
  </si>
  <si>
    <t>土地使用权面积26,522.03平方米
总建筑面积75,430.60平方米
地上4层，地下1层</t>
  </si>
  <si>
    <t>宁波杉井奥特莱斯</t>
  </si>
  <si>
    <t>宁波市</t>
  </si>
  <si>
    <t>海曙区</t>
  </si>
  <si>
    <t>宁波市海曙区集士港镇春华路1399号、秋实路555号，东隔奉化江与鄞州区相邻，北濒余姚江与江北区相望，西与余姚市接壤，南与奉化区连接。</t>
  </si>
  <si>
    <t>一期：2011年9月；三期：2016年11月；四期：2020年4月</t>
  </si>
  <si>
    <t>佛山映月湖环宇城</t>
  </si>
  <si>
    <t>佛山市</t>
  </si>
  <si>
    <t>南海区</t>
  </si>
  <si>
    <t>石龙南路6号；东至南海有轨电车康怡公园站、西至石龙南路、南至富丰新城、北至佛平四路</t>
  </si>
  <si>
    <t>1栋地上及地下建筑物、26,841.83平方米地下人防车库（539个），以及屋顶天面停车位375个地上6层（包括一层夹层和一层天面层），地下2层</t>
  </si>
  <si>
    <t>36000万元</t>
  </si>
  <si>
    <t>批发零售、住宿餐饮、商务金融和其它商服用地</t>
  </si>
  <si>
    <t>鼎保大厦</t>
  </si>
  <si>
    <t>黄浦区</t>
  </si>
  <si>
    <t>中山南路1777弄1-4号、弄内号、1799号</t>
  </si>
  <si>
    <t>商业、办公用地</t>
  </si>
  <si>
    <t>鼎保大厦西至保屯路，北至中山南路，东近南车站路，南近半淞园路，包括1幢地上1-18层办公楼、2幢1-2层商业楼、2幢1-3层商业楼及地下车库</t>
  </si>
  <si>
    <t>鼎博大厦</t>
  </si>
  <si>
    <t>苗江路688弄2号</t>
  </si>
  <si>
    <t>鼎博大厦西近半淞园路至保屯路，北近花园港路，东至苗江路，南至望达路，包括1幢地下3层至地上15层办公楼。</t>
  </si>
  <si>
    <t>哈尔滨杉杉奥特莱斯项目</t>
  </si>
  <si>
    <t>黑龙江省</t>
  </si>
  <si>
    <t>哈尔滨市</t>
  </si>
  <si>
    <t>利民开发区</t>
  </si>
  <si>
    <t>利民大道555号</t>
  </si>
  <si>
    <t>由一栋地上1层至地上3层的商业
及地下1层的地下车库组成，总建
筑面积130,635.62平方米，其中商
业可租赁面积62,768.08平方米</t>
  </si>
  <si>
    <t>郑州杉杉奥特莱斯项目</t>
  </si>
  <si>
    <t>河南省</t>
  </si>
  <si>
    <t>郑州市</t>
  </si>
  <si>
    <t>中牟县</t>
  </si>
  <si>
    <t>大孟镇郑开大道406号</t>
  </si>
  <si>
    <t>包括一期、二期及三期项目，其中一期
为2层地上广场及地下车库，二期为3
层地上广场（其中第3层为车库），三
期为1层地上广场，总建筑面积
111,962.80平方米，其中商业可租赁面
积59,393.85平方米</t>
  </si>
  <si>
    <t>一期于2016年9月竣工
二期于2021年7月竣工
三期于2024年8月竣工</t>
  </si>
  <si>
    <t>砂之船（西安）奥特莱斯项目</t>
  </si>
  <si>
    <t>陕西省</t>
  </si>
  <si>
    <t>西安市</t>
  </si>
  <si>
    <t>浐灞国际港</t>
  </si>
  <si>
    <t>西安浐灞国际港世博大道以北，世博东路以南，锦堤三路以东，锦堤二路以西</t>
  </si>
  <si>
    <t>零售商业用地</t>
  </si>
  <si>
    <t>砂之船（西安）奥特莱斯艺术商业广场一期A区、B区两个商业区域，总楼层为地上4层，地下1层</t>
  </si>
  <si>
    <t>A区：2015年9月1日；B区：2016年1月4日</t>
  </si>
  <si>
    <t>龙德广场</t>
  </si>
  <si>
    <t>昌平区</t>
  </si>
  <si>
    <t>北京市昌平区立汤路186号院1号楼</t>
  </si>
  <si>
    <t>商业服务业设施用地</t>
  </si>
  <si>
    <t>建筑面积为222,681.57平方米，建设内容为购物中心及地下配套</t>
  </si>
  <si>
    <t>隆福寺一期项目</t>
  </si>
  <si>
    <t>东城区</t>
  </si>
  <si>
    <t>北京市东城区隆福寺街95号、钱粮胡同38号</t>
  </si>
  <si>
    <t>批发零售用地、商务金融用地</t>
  </si>
  <si>
    <t>隆福大厦及隆福寺北里部分区域：2014年6月24日；隆福寺北里其他区域：2015年6月1日</t>
  </si>
  <si>
    <t>隆福大厦地上9层，首层为商业，2-8层为办公及配套，9层为展览展示，地下2层，局部3层，为地下车库及设备用房隆福寺北里地上1-6层为商业及办公，局部地下1层为设备用房</t>
  </si>
  <si>
    <t>隆福大厦及隆福寺北里部分区域：2015年9月；隆福寺北里其他区域：2017年8月</t>
  </si>
  <si>
    <t>隆福大厦及隆福寺北里部分区域：2017年6月；隆福寺北里其他区域：2019年7月</t>
  </si>
  <si>
    <t>集智未来项目</t>
  </si>
  <si>
    <t>北京市海淀区知春路23号、27号</t>
  </si>
  <si>
    <t>办公用地</t>
  </si>
  <si>
    <t>量子芯座：2002年2月13日；量子银座：2003年2月17日</t>
  </si>
  <si>
    <t>量子芯座：地上1-19层办公楼及地下室B1、房上房；量子银座：地上1-16层办公楼</t>
  </si>
  <si>
    <t>量子芯座：2001年3月；量子银座：2001年7月</t>
  </si>
  <si>
    <t>量子芯座：2001年7月；量子银座：2001年9月</t>
  </si>
  <si>
    <t>量子芯座：2002年2月；量子银座：2003年2月</t>
  </si>
  <si>
    <t>锦江都城南昌红谷滩店</t>
  </si>
  <si>
    <t>江西省</t>
  </si>
  <si>
    <t>南昌市</t>
  </si>
  <si>
    <t>红谷滩区</t>
  </si>
  <si>
    <t>红谷滩新区会展路999号</t>
  </si>
  <si>
    <t>包括地上一层至九层，具体为：地上一层为酒店大堂，地上二层为酒店餐厅、洗衣房、健身区域，地上三至九层为酒店客房</t>
  </si>
  <si>
    <t>锦江都城合肥包河包公园店</t>
  </si>
  <si>
    <t>安徽省</t>
  </si>
  <si>
    <t>合肥市</t>
  </si>
  <si>
    <t>包河区</t>
  </si>
  <si>
    <t>马鞍山路130号</t>
  </si>
  <si>
    <t>包括地上二层至十层，具体为：地上二层为酒店餐厅，地上三层为酒店客房、洗衣房，地上四层至十层为酒店客房</t>
  </si>
  <si>
    <t>锦江都城合肥政务中心店</t>
  </si>
  <si>
    <t>政务区南</t>
  </si>
  <si>
    <t>二环路3818号</t>
  </si>
  <si>
    <t>包括地上三层至十一层，具体为：地上三层为酒店餐厅，地上四层为酒店客房、会议室、健身房、自助洗衣房，地上五至十一层为酒店客房</t>
  </si>
  <si>
    <t>锦江都城宁德蕉城店</t>
  </si>
  <si>
    <t>宁德市</t>
  </si>
  <si>
    <t>蕉城区</t>
  </si>
  <si>
    <t>天湖东路1号</t>
  </si>
  <si>
    <t>商服</t>
  </si>
  <si>
    <t>包括地上九层，具体为：地上一层为酒店大堂，地上二层为酒店餐厅、健身房、洗衣房，地上三至九层为酒店客房、员工办公室</t>
  </si>
  <si>
    <t>锦江都城常州新北店</t>
  </si>
  <si>
    <t>常州市</t>
  </si>
  <si>
    <t>新北区</t>
  </si>
  <si>
    <t>通江中路88号</t>
  </si>
  <si>
    <t>包括地上九层，具体为：地上一层为酒店大堂及员工办公室，地上二层为酒店餐厅，地上三层为酒店客房、会议室、健身房及自助洗衣房，地上四至九层为酒店客房</t>
  </si>
  <si>
    <t>锦江都城广州白云店</t>
  </si>
  <si>
    <t>云城南二路171号</t>
  </si>
  <si>
    <t>商业金融业用地</t>
  </si>
  <si>
    <t>包括地上七层，具体为：地上一层为餐厅，地上二层为会议室、员工办公室，地上三至七层为酒店客房</t>
  </si>
  <si>
    <t>锦江都城廊坊广阳店</t>
  </si>
  <si>
    <t>河北省</t>
  </si>
  <si>
    <t>廊坊市</t>
  </si>
  <si>
    <t>广阳区</t>
  </si>
  <si>
    <t>新华路50号</t>
  </si>
  <si>
    <t>住宿餐饮用地</t>
  </si>
  <si>
    <t>包括地上八层，具体为：地上一层为酒店大堂及自助洗衣房，地上二层为酒店餐厅，地上三层为会议室、酒店客房及员工办公室，地上四层至地上八层为酒店客房</t>
  </si>
  <si>
    <t>2011、2012年</t>
  </si>
  <si>
    <t>锦江都城晋江梅岭店</t>
  </si>
  <si>
    <t>晋江市</t>
  </si>
  <si>
    <t>晋江梅岭街道世纪大道888号</t>
  </si>
  <si>
    <t>包括地上九层，具体为：地上一层为酒店大堂、健身房，地上二层为酒店餐厅，地上三至九层为酒店客房、会议室、员工办公室</t>
  </si>
  <si>
    <t>锦江都城武汉体育中心店</t>
  </si>
  <si>
    <t>武汉经济技术开发区</t>
  </si>
  <si>
    <t>12C2地块东风大道111号</t>
  </si>
  <si>
    <t>包括地上十层，具体为：地上一层为酒店大堂、会议室，地上二层为餐厅、自助洗衣房，地上三层至十层为酒店客房</t>
  </si>
  <si>
    <t>锦江都城武汉积玉桥店</t>
  </si>
  <si>
    <t>武昌区</t>
  </si>
  <si>
    <t>临江大道98号</t>
  </si>
  <si>
    <t>其他商服用地</t>
  </si>
  <si>
    <t>包括地上十层，具体为：地上一层为酒店大堂，地上二层为餐厅，地上三层为会议室、健身房、自助洗衣房和酒店客房，地上四层至十层为酒店客房</t>
  </si>
  <si>
    <t>锦江都城江阴澄江店</t>
  </si>
  <si>
    <t>江阴市</t>
  </si>
  <si>
    <t>江阴澄江街道文富南路6号</t>
  </si>
  <si>
    <t>包括地上二层至九层，具体为：地上二层为会议室、厨房、员工办公室、员工餐厅，地上三至九层为酒店客房</t>
  </si>
  <si>
    <t>锦江都城沈阳铁西店</t>
  </si>
  <si>
    <t>辽宁省</t>
  </si>
  <si>
    <t>沈阳市</t>
  </si>
  <si>
    <t>铁西区</t>
  </si>
  <si>
    <t>北一中路1-1号</t>
  </si>
  <si>
    <t>商业服务</t>
  </si>
  <si>
    <t>包括地下一层及地上十层，具体为：地下一层为员工办公室及更衣室、设备用房，地上一层为酒店大堂，地上二层为餐厅，地上三至十层为酒店客房</t>
  </si>
  <si>
    <t>锦江都城泰州海陵店</t>
  </si>
  <si>
    <t>泰州市</t>
  </si>
  <si>
    <t>海陵区</t>
  </si>
  <si>
    <t>青年南路320号</t>
  </si>
  <si>
    <t>包括地下一层、地上八层，具体为：地下一层为设备用房，地上一层为酒店大堂、健身房、自助洗衣房及员工办公室，地上二层为酒店餐厅，地上三至八层为酒店客房</t>
  </si>
  <si>
    <t>锦江都城石家庄裕华店</t>
  </si>
  <si>
    <t>石家庄市</t>
  </si>
  <si>
    <t>裕华区</t>
  </si>
  <si>
    <t>槐安东路123号</t>
  </si>
  <si>
    <t>商务金融用地</t>
  </si>
  <si>
    <t>包括地下一层、地上十层，具体为：地下一层为设备用房，地上一层为酒店大堂、餐厅、员工办公厅，地上二层为酒店办公室、会议室、员工餐厅、厨房，地上三层为设备转换层，地上四层为酒店客房及自助洗衣房，地上五层至十层为酒店客房</t>
  </si>
  <si>
    <t>锦江都城福州仓山店</t>
  </si>
  <si>
    <t>金山街道浦上大道272号</t>
  </si>
  <si>
    <t>包括地上十层，具体为：地上一层为酒店大堂，地上二层为酒店餐厅，地上三层为酒店客房、会议室、洗衣房及健身房，地上四至十层为酒店客房、员工办公室</t>
  </si>
  <si>
    <t>锦江都城福州台江店</t>
  </si>
  <si>
    <t>台江区</t>
  </si>
  <si>
    <t>鳌峰街道鳌江路8号</t>
  </si>
  <si>
    <t>包括地上一层、地上三至七层，具体为：地上一层为酒店大堂、酒店餐厅，地上三至七层为酒店客房、健身房、洗衣房、员工办公室（二层为商业街，非项目范围）</t>
  </si>
  <si>
    <t>锦江都城绍兴柯桥店</t>
  </si>
  <si>
    <t>绍兴市</t>
  </si>
  <si>
    <t>柯桥区</t>
  </si>
  <si>
    <t>钱陶路799号</t>
  </si>
  <si>
    <t>包括地上三层至十层，具体为：地上三至九层为酒店客房，地上十层为酒店会议室、茶室、洗衣房、健身房、设备用房</t>
  </si>
  <si>
    <t>锦江都城芜湖镜湖店</t>
  </si>
  <si>
    <t>芜湖市</t>
  </si>
  <si>
    <t>镜湖区</t>
  </si>
  <si>
    <t>赭山东路1号</t>
  </si>
  <si>
    <t>包括地上十层，具体为：地上一层为酒店大堂，地上二层为酒店餐厅，地上三层为酒店客房、员工办公室，地上四至十层为酒店客房</t>
  </si>
  <si>
    <t>锦江都城郑州二七店</t>
  </si>
  <si>
    <t>二七区</t>
  </si>
  <si>
    <t>大学南路8号</t>
  </si>
  <si>
    <t>包括地上九层，具体为：地上一层为酒店大堂，地上二层为厨房餐厅，地上四层至十层为健身房、自助洗衣房和酒店客房</t>
  </si>
  <si>
    <t>锦江都城镇江润州店</t>
  </si>
  <si>
    <t>镇江市</t>
  </si>
  <si>
    <t>润州区</t>
  </si>
  <si>
    <t>庄泉路17号</t>
  </si>
  <si>
    <t>包括地上八层，具体为：地上一层为酒店大堂、餐厅、设备用房，地上二层为酒店会议室、健身房、自助洗衣房、员工办公室，地上三至八层为酒店客房</t>
  </si>
  <si>
    <t>锦江都城长沙开福五一广场店</t>
  </si>
  <si>
    <t>开福区</t>
  </si>
  <si>
    <t>中山路589号</t>
  </si>
  <si>
    <t>包括地上二层至十一层，具体为：地上二层为酒店餐厅、员工办公室，地上三层为酒店客房、会议室，地上四至十一层为酒店客房</t>
  </si>
  <si>
    <t>佛山保利水城项目</t>
  </si>
  <si>
    <t>桂城街道灯湖西路20号</t>
  </si>
  <si>
    <t>批发市场用地，零售商业用地/商业</t>
  </si>
  <si>
    <t>佛山保利水城项目建筑面积为153,062.62平方米，共计5层，其中地上4层，地下1层。楼宇配有电梯系统，包括24台乘客电梯、3台载货电梯、40台自动扶梯、2台自动人行道；同时配有宽带、有线电视、空调系统、保安系统、消防系统、电气系统等设备设施</t>
  </si>
  <si>
    <t>广州保利中心项目</t>
  </si>
  <si>
    <t>写字楼</t>
  </si>
  <si>
    <t>天河区</t>
  </si>
  <si>
    <t>临江大道5号</t>
  </si>
  <si>
    <t>广州保利中心项目总建筑面积为79,382.84平方米，共计41层，其中地上38层（第9、24层为避难层，不计入建筑面积），地下3层。楼宇配有电梯系统，包括垂直客梯以及货用电梯；同时配有宽带、有线电视、空调系统、保安系统、消防系统、电气系统等设备设施</t>
  </si>
  <si>
    <t>晶耀前滩项目</t>
  </si>
  <si>
    <t>浦东新区</t>
  </si>
  <si>
    <t>江耀路28、56号、耀龙路1359号，耀体路190、212号</t>
  </si>
  <si>
    <t>商务办公 、商业、住宅</t>
  </si>
  <si>
    <t>位于22-01地块的晶耀T1办公楼和晶耀商场北区、位于28-01地块的晶耀商场西区、位于24-01地块的晶耀商场东区、位于30-01地块的晶耀商场南区</t>
  </si>
  <si>
    <t>22-01地块项目：2015年6月；28-01地块项目：2016年1月；24-01地块项目：2015年3月；30-01地块项目：2016年1月；</t>
  </si>
  <si>
    <t>22-01地块项目：2018年7月；28-01地块项目：2019年5月；24-01地块项目：2018年6月；30-01地块项目：2019年9月；</t>
  </si>
  <si>
    <t>深圳来福士项目</t>
  </si>
  <si>
    <t>深圳市</t>
  </si>
  <si>
    <t>南山区</t>
  </si>
  <si>
    <t>南海大道2163号</t>
  </si>
  <si>
    <t>商业、办公、酒店用地/商业，广场用地</t>
  </si>
  <si>
    <t>购物中心：地下1层至地上5层；
办公：地上5层至22层；
服务式公寓：地上6层至22层；
车库及设备房：地下2层至地下4层</t>
  </si>
  <si>
    <t>绵阳涪城项目</t>
  </si>
  <si>
    <t>绵阳市</t>
  </si>
  <si>
    <t>涪城区</t>
  </si>
  <si>
    <t>临园路东段74号</t>
  </si>
  <si>
    <t>商服用地和商业用地</t>
  </si>
  <si>
    <t>一期：购物中心为地下1层至地上6层，车库为地下1层；二期：购物中心为地下1层至地上6层，车库为地下2层至地下4层</t>
  </si>
  <si>
    <t>4000</t>
  </si>
  <si>
    <t>一期：2005年5月;二期：2012年11月</t>
  </si>
  <si>
    <t>一期：2006年8月;二期：2014年12月</t>
  </si>
  <si>
    <t>一期：2007年2月;二期：2014年12月</t>
  </si>
  <si>
    <t>上海江桥万达桔子水晶酒店项目</t>
  </si>
  <si>
    <t>嘉定区</t>
  </si>
  <si>
    <t>上海江桥万达桔子水晶酒店位于上海市嘉定区鹤旋东路188弄1，鹤旋东路190_208双号，北隔慧创新视界、慧创国际小区临金沙江西路，东至天创路，南至鹤旋东路，西至华江公路</t>
  </si>
  <si>
    <t>桔子水晶酒店为13,295.65平方米，建设内容为酒店及地下配套，包含地上建筑面积12,430.35平方米，地下商业/车库面865.30平方米</t>
  </si>
  <si>
    <t>广州天河体育中心美居酒店&amp;全季酒店项目</t>
  </si>
  <si>
    <t>广东省广州市天河区天河北路365号201房，东至广州市社会科学院，南至天河北路，西至林和东路，北至广州市天河区妇幼保健院</t>
  </si>
  <si>
    <t>美居酒店&amp;全季酒店为42,774.94平方米，建设内容为酒店，包含地上建筑面积42,774.94平方米</t>
  </si>
  <si>
    <t>美居酒店：2022年4月；全季酒店：2022年8月</t>
  </si>
  <si>
    <t>南通启东吾悦广场项目</t>
  </si>
  <si>
    <t>南通市</t>
  </si>
  <si>
    <t>启东市</t>
  </si>
  <si>
    <t>北至金沙江中路，南至世纪大道，西至吾悦首府，东至建设南路</t>
  </si>
  <si>
    <t>购物中心及地下配套建设规模：建筑面积合计120,270.51平方米，其中地上商业部分建筑面积73,003.73平方米，地下商业部分面积7,349.44平方米，地下非人防部分建筑面积18,108.54平方米，地下人防工程21,808.4平方米</t>
  </si>
  <si>
    <t>常州天宁吾悦广场项目</t>
  </si>
  <si>
    <t>天宁区</t>
  </si>
  <si>
    <t>北至东方西路，南至吾悦龙门步行街，西至名山路，东至清正路</t>
  </si>
  <si>
    <t>购物中心及地下配套建设规模：建筑面积合计173,774.76平方米，其中商业部分建筑面积123,394.31平方米，地下车库建筑面积23,815.87平方米，地下人防工程26,564.58平方米</t>
  </si>
  <si>
    <t>昆山招商花园城项目</t>
  </si>
  <si>
    <t>昆山市</t>
  </si>
  <si>
    <t>位于江苏省苏州市昆山市玉山镇萧林中路666号的昆山招商花园城项目，包括购物中心房屋及配套车库和配套设备用房房屋所有权及其占用范围内的国有建设用地使用权，以及相关人防车位的使用权和收益权</t>
  </si>
  <si>
    <t>商业服务业用地</t>
  </si>
  <si>
    <t>建设内容为地下两层至地上五层的商业及配套，总建筑面积为183,679.77平方米。其中，商业部分分布于地下一层至地上五层，建筑面积为118,459.18平方米</t>
  </si>
  <si>
    <t>深圳太子广场项目</t>
  </si>
  <si>
    <t>位于广东省深圳市南山区太子路51号的太子广场项目，包括办公房屋所有权及占用范围内的国有建设用地使用权，以及相关配套车位的所有权（人防车位为使用权和收益权）</t>
  </si>
  <si>
    <t>商业性办公用地</t>
  </si>
  <si>
    <t>建设内容为地上六层至四十一层（第三十层除外）的办公物业1，总建筑面积63,738.27平方米；位于地下一层至三层的472个配套车位（含124个人防车位）</t>
  </si>
  <si>
    <t>相城天虹</t>
  </si>
  <si>
    <t>相城区</t>
  </si>
  <si>
    <t>江苏省苏州市相城区相城大道1168号,南临阳澄湖东路，东临澄虹路，西临相城大道，北临嘉元路</t>
  </si>
  <si>
    <t>商业110,776.95平方米（含苏州相城天虹购物中心项目商业裙楼负1层商业地下室、1-5层商业、6层屋顶平台）；其中：车库87,044.41平方米（含地上停车楼2-4层的车库24,061.56平方米、地下负1层及负2层的地下车库33,361.82平方米及地下负2层的人防车库29,621.03平方米）</t>
  </si>
  <si>
    <t>66197.47</t>
  </si>
  <si>
    <t>合肥银泰中心项目</t>
  </si>
  <si>
    <t>庐阳区</t>
  </si>
  <si>
    <t>长江中路98号，东至含山路，南至长江中路，西至群力巷，北至中菜市路</t>
  </si>
  <si>
    <t>商业、商服用地</t>
  </si>
  <si>
    <t>二期：2018年4月20日</t>
  </si>
  <si>
    <t>一期：土地使用权面积18,323.77平方米商业及停车位建筑面积为105,452.88平方米（其中登记建筑面积86,402.53平方米），建设内容为购物中心及地下配套地上9层，地下3层；二期：土地使用权面积11,000.83平方米商业、停车位及其他建筑面积为79,870.53平方米（其中登记建筑面积69,974.82平方米1），建设内容为购物中心及地下配套地上10层，地下4层</t>
  </si>
  <si>
    <t>一期：2009年5月28日；二期：2020年12月4日</t>
  </si>
  <si>
    <t>一期：2012年5月28日；二期：2022年11月29日</t>
  </si>
  <si>
    <t>一期：2012年1月；二期：2023年4月</t>
  </si>
  <si>
    <t>江门大融城</t>
  </si>
  <si>
    <t>江门市</t>
  </si>
  <si>
    <t>蓬江区</t>
  </si>
  <si>
    <t>东邻中天新地广场，南临白石大道，西邻骏景湾豪庭，北邻中天国际三期</t>
  </si>
  <si>
    <t>江门市蓬江区白石大道166号的“江门·时代广场裙楼及地下室”的（1）裙楼（负一至地上五层）的不动产权；和（2）负二层地下停车场的不动产权；（3）负三层地下人防车位的使用权，不含已售部分。建设规模：建筑面积合计为119,651.78平方米，其中商业建筑面积99,104.54平方米、负二层地下车位建筑面积20,547.24平方米，另有负三层的人防车位561个</t>
  </si>
  <si>
    <t>静安大融城</t>
  </si>
  <si>
    <t>静安区</t>
  </si>
  <si>
    <t>东至高平路，南至地矿小区、沪太路1051弄，西至沪太路，北至晋城路</t>
  </si>
  <si>
    <t>商办用地</t>
  </si>
  <si>
    <t>上海市静安区沪太路1111弄6号-10号；沪太路1105号、1107号；沪太路1101号的静安大融城1-5号楼地上部分及地下停车场的不动产权。建筑规模：建筑面积合计为188,687.63平方米，其中商业部分建筑面积为146,156.93平方米，车库部分建筑面积为42,530.70平方米</t>
  </si>
  <si>
    <t>嘉亭荟城市生活广场一期项目</t>
  </si>
  <si>
    <t>生活广场</t>
  </si>
  <si>
    <t>中国上海市嘉定墨玉南路1055号、1077号、1099号、1019号、1033号101-103、105-110室及1033号2层（嘉亭荟城市生活广场一期）商业及配套不动产项目</t>
  </si>
  <si>
    <t>综合（商住办）用地</t>
  </si>
  <si>
    <t>建设内容为商业，总用地面积：52,546.00平方米</t>
  </si>
  <si>
    <t>华侨村商街项目</t>
  </si>
  <si>
    <t>朝阳区</t>
  </si>
  <si>
    <t>建国门外大街24号1~3幢</t>
  </si>
  <si>
    <t>综合、商业、办公、地下车库</t>
  </si>
  <si>
    <t>华侨村商街项目包括位于北京市朝阳区建国门外大街24号的华侨村商街地下二层和地上二层，游泳馆地下一层和地上二层，写字楼及地下车库地下三层和地上三层；</t>
  </si>
  <si>
    <t>商业：1987年7月;游泳馆：1989年2月;办公及地下车库：1985年6月</t>
  </si>
  <si>
    <t>商业：1990年9月;游泳馆：1989年12月;办公及地下车库：1988年10月</t>
  </si>
  <si>
    <t>商业：1991年;游泳馆：1990年;办公及地下车库：1989年</t>
  </si>
  <si>
    <t>宋家庄福茂项目</t>
  </si>
  <si>
    <t>顺八条8号院三区3号楼</t>
  </si>
  <si>
    <t>配套商业、地下配套商业、地下车库</t>
  </si>
  <si>
    <t>宋家庄福茂项目包括位于北京市丰台区顺八条8号院三区3号楼的购物中心-2层至3层；</t>
  </si>
  <si>
    <t>璞瑅商街项目</t>
  </si>
  <si>
    <t>紫芳园四区3号楼负1至2层、5号楼1至2层</t>
  </si>
  <si>
    <t>配套、地下配套</t>
  </si>
  <si>
    <t>璞瑅商街项目包括位于北京市丰台区紫芳园四区的3号楼地下一层和地上二层以及5号楼地上二层；</t>
  </si>
  <si>
    <t>3号楼：2009年8月;5号楼：2010年9月</t>
  </si>
  <si>
    <t>3号楼：2011年8月;5号楼：2011年8月</t>
  </si>
  <si>
    <t>3号楼：2013年;5号楼：2013年</t>
  </si>
  <si>
    <t>龙岗星河COCOPark</t>
  </si>
  <si>
    <t>龙岗区</t>
  </si>
  <si>
    <t>深圳市龙岗区爱南路666号</t>
  </si>
  <si>
    <t>商住混合用地</t>
  </si>
  <si>
    <t>由一栋地上1层至地上3层（包括地上1层夹层和地上3层夹层）的商业及地下1层至地下3层（包括地下1层夹层）的地下车库组成。地上部分建筑面积79,506.04平方米，其中商业可租赁面积49,963.51平方米；地下部分建筑面积90,186.1平方米。</t>
  </si>
  <si>
    <t>79506.04+90186.1</t>
  </si>
  <si>
    <t>天津大悦城</t>
  </si>
  <si>
    <t>天津市</t>
  </si>
  <si>
    <t>南开区</t>
  </si>
  <si>
    <t>南门外大街 2 号、6 号</t>
  </si>
  <si>
    <t>建筑面积为 311,561.15 平方米，建设内容为购物中心及地下车库</t>
  </si>
  <si>
    <t>汇智国际商业中心</t>
  </si>
  <si>
    <t>金科路3057号、亮景路55号，北至祖冲之路、南至晨晖路、西至金科路、东至上海长荣桂冠酒店</t>
  </si>
  <si>
    <t>商业金融用地</t>
  </si>
  <si>
    <t>主要建设内容包括地下1层及1-5夹层5商业以及地下2层人防车库</t>
  </si>
  <si>
    <t>上海艾迪逊酒店项目</t>
  </si>
  <si>
    <t>南京东路201号</t>
  </si>
  <si>
    <t>（1）地上1层至24层、建筑面积20,579.8平方米的地上酒店；（2）地下1层、建筑面积975.16平方米的地下机房部分。合计建筑面积21,554.96平方米。</t>
  </si>
  <si>
    <t>济南项目</t>
  </si>
  <si>
    <t>历下区</t>
  </si>
  <si>
    <t>天地坛街1号、3号</t>
  </si>
  <si>
    <t>济南项目包括贵和商贸持有的泉城路贵和购物中心及贵和洲际酒店、济南项目地下空间，系在历下区泉城路与黑虎泉西路之间，天地坛街西侧宗地上分三期建设、改造和扩建完成，包括贵和一期、贵和一期改造和贵和二期。（1）贵和一期：泉城路贵和购物中心1-5层及济南项目地下-1和-2层，建筑面积30,458.19平方米；贵和洲际酒店1层、6-16层及济南项目地下-1层，建筑面积40,156.92平方米。（2）贵和一期改造：泉城路贵和购物中心1-4层改造完成后新增部分，建筑面积5,339.01平方米。（3）贵和二期：泉城路贵和购物中心1-5层扩建部分、贵和洲际酒店5层、6-11层扩建部分、济南项目地下-1、-2层扩建部分，建筑面积62,488.77平方米。合计建筑面积138,442.89平方米。</t>
  </si>
  <si>
    <t>（1）贵和一期：2001年12月21日
（2）贵和一期改造：2014年1月17
日
（3）贵和二期：2013年6月28日</t>
  </si>
  <si>
    <t>泉城路贵和购物中心一期开业时间为1997年，二期开业时间为2013年，贵和洲际酒店开业时间为2001年</t>
  </si>
  <si>
    <t>数据来源</t>
  </si>
  <si>
    <t>评估基准日</t>
  </si>
  <si>
    <t>评估价值（万元）</t>
  </si>
  <si>
    <t>折现率</t>
  </si>
  <si>
    <t>公告日</t>
  </si>
  <si>
    <t>评估机构</t>
  </si>
  <si>
    <t>存续期</t>
  </si>
  <si>
    <t>深圳市戴德梁行土地房地产评估有限公司</t>
  </si>
  <si>
    <t>发售稿</t>
  </si>
  <si>
    <t>封卷稿</t>
  </si>
  <si>
    <t>仲量联行（北京）房地产资产评估咨询有限公司</t>
  </si>
  <si>
    <t>申报稿</t>
  </si>
  <si>
    <t>深圳市世联土地房地产评估有限公司</t>
  </si>
  <si>
    <t>北京国融兴华资产评估有限责任公司</t>
  </si>
  <si>
    <t>北京国友大正资产评估有限公司</t>
  </si>
  <si>
    <t>反馈回复稿</t>
  </si>
  <si>
    <t>深圳市世联资产房地产土地评估有限公司</t>
  </si>
  <si>
    <t>注册稿</t>
  </si>
  <si>
    <t>首年分派率-平价</t>
  </si>
  <si>
    <t>次年分派率-平价</t>
  </si>
  <si>
    <t>首年分派率-
询价区间上限</t>
  </si>
  <si>
    <t>次年分派率-
询价区间上限</t>
  </si>
  <si>
    <t>首年分派率-
询价区间下限</t>
  </si>
  <si>
    <t>次年分派率-
询价区间下限</t>
  </si>
  <si>
    <t>首年分派率-发行价</t>
  </si>
  <si>
    <t>次年分派率-发行价</t>
  </si>
  <si>
    <t>首日最低价相对发行价</t>
  </si>
  <si>
    <t>首日收盘价相对发行价</t>
  </si>
  <si>
    <t>第4日最低价相对发行价</t>
  </si>
  <si>
    <t>第4日收盘价相对发行价</t>
  </si>
  <si>
    <t>前5日最低价相对发行价</t>
  </si>
  <si>
    <t>预测年度</t>
  </si>
  <si>
    <t>预测期</t>
  </si>
  <si>
    <t>预测金额（万元）</t>
  </si>
  <si>
    <t>年化预测金额（万元）</t>
  </si>
  <si>
    <t>预测分派率</t>
  </si>
  <si>
    <t>招募版本</t>
  </si>
  <si>
    <t>文件日期</t>
  </si>
  <si>
    <t>1-12月</t>
  </si>
  <si>
    <t>4-12月</t>
  </si>
  <si>
    <t>7-12月</t>
  </si>
  <si>
    <t>11-12月</t>
  </si>
  <si>
    <t>10-12月</t>
  </si>
  <si>
    <t>加权平均分派率</t>
  </si>
  <si>
    <t>市值截至</t>
  </si>
  <si>
    <t>报告年度</t>
  </si>
  <si>
    <t>报告期</t>
  </si>
  <si>
    <t>已披露季度数</t>
  </si>
  <si>
    <t>可供分配金额（万元）</t>
  </si>
  <si>
    <t>可供分配金额TTM（万元）</t>
  </si>
  <si>
    <t>可供分配金额_取值（万元）</t>
  </si>
  <si>
    <t>分派率</t>
  </si>
  <si>
    <t>市值（万元）</t>
  </si>
  <si>
    <t>本期收入（万元）</t>
  </si>
  <si>
    <t>合并净利润（万元）</t>
  </si>
  <si>
    <t>折旧摊销（万元）</t>
  </si>
  <si>
    <t>利息支出（万元）</t>
  </si>
  <si>
    <t>所得税费用（万元）</t>
  </si>
  <si>
    <t>息税折旧及摊销前利润（万元）</t>
  </si>
  <si>
    <t>调增项（万元）</t>
  </si>
  <si>
    <t>调减项（万元）</t>
  </si>
  <si>
    <t>二季报</t>
  </si>
  <si>
    <t>配售类别</t>
  </si>
  <si>
    <t>投资者类型</t>
  </si>
  <si>
    <t>投资者名称</t>
  </si>
  <si>
    <t>所属机构</t>
  </si>
  <si>
    <t>是否原始权益人关联方</t>
  </si>
  <si>
    <t>解限售日</t>
  </si>
  <si>
    <t>获配数量（亿份）</t>
  </si>
  <si>
    <t>占募集份额比例</t>
  </si>
  <si>
    <t>其他</t>
  </si>
  <si>
    <t>上海中远汇丽建筑装潢有限公司</t>
  </si>
  <si>
    <t>否</t>
  </si>
  <si>
    <t>上海家树建设集团有限公司</t>
  </si>
  <si>
    <t>券商自营</t>
  </si>
  <si>
    <t>中信证券股份有限公司</t>
  </si>
  <si>
    <t>保险</t>
  </si>
  <si>
    <t>中国人寿保险股份有限公司-寿险传统公募REITs产品国寿投</t>
  </si>
  <si>
    <t>中国人寿保险股份有限公司</t>
  </si>
  <si>
    <t>中国人寿保险股份有限公司-寿险分红公募REITs产品国寿投</t>
  </si>
  <si>
    <t>券商资管</t>
  </si>
  <si>
    <t>光大证券资管一光大银行一光证资管诚享7号集合资产管理计划</t>
  </si>
  <si>
    <t>光大证券资产管理有限公司</t>
  </si>
  <si>
    <t>光大证券资管一浙商银行一光证资管丰合2号集合资产管理计划</t>
  </si>
  <si>
    <t>兴业国信资产管理有限公司</t>
  </si>
  <si>
    <t>公募基金与基金子</t>
  </si>
  <si>
    <t>兴瀚资管一兴业银行一兴瀚资管一兴元18号集合资产管理计划</t>
  </si>
  <si>
    <t>上海兴瀚资产管理有限公司</t>
  </si>
  <si>
    <t>创金合信基金一宁波银行一创金合信长风1号集合资产管理计划</t>
  </si>
  <si>
    <t>创金合信基金管理有限公司</t>
  </si>
  <si>
    <t>华夏基金一君龙人寿保险有限公司一传统险-华夏基金一君龙人寿6号单一资产管理计划</t>
  </si>
  <si>
    <t>华夏基金管理有限公司</t>
  </si>
  <si>
    <t>华夏基金一君龙人寿保险有限公司一分红险-华夏基金一君龙人寿4号单一资产管理计划</t>
  </si>
  <si>
    <t>华夏基金一国民养老保险股份有限公司一传统险一华夏基金国民养老3号单一资产管理计划</t>
  </si>
  <si>
    <t>原始权益人及其关联方</t>
  </si>
  <si>
    <t>华润商业资产控股有限公司</t>
  </si>
  <si>
    <t>是</t>
  </si>
  <si>
    <t>华润深国投信托有限公司</t>
  </si>
  <si>
    <t>私募基金</t>
  </si>
  <si>
    <t>国寿资本投资有限公司一国寿瑞驰(天津)基础设施投资基金合伙企业(有限合伙)</t>
  </si>
  <si>
    <t>产业投资者</t>
  </si>
  <si>
    <t>国新投资有限公司</t>
  </si>
  <si>
    <t>宏源汇智投资有限公司</t>
  </si>
  <si>
    <t>建信(北京)投资基金管理有限责任公司</t>
  </si>
  <si>
    <t>信托</t>
  </si>
  <si>
    <t>建信信托一睿驰组合1号集合资金信托计划</t>
  </si>
  <si>
    <t>建信信托有限责任公司</t>
  </si>
  <si>
    <t>建信基金一民生银行一建信专享日盈2号现金管理特定多个客户资产管理计划</t>
  </si>
  <si>
    <t>建信基金管理有限责任公司</t>
  </si>
  <si>
    <t>建信基金一民生银行一建信基金安享1号集合资产管理计划</t>
  </si>
  <si>
    <t>建信资本一建设银行一建信资本锦绣8号集合资产管理计划</t>
  </si>
  <si>
    <t>建信资本管理有限责任公司</t>
  </si>
  <si>
    <t>招商信诺人寿保险有限公司一传统</t>
  </si>
  <si>
    <t>招商信诺人寿保险有限公司</t>
  </si>
  <si>
    <t>招商信诺人寿保险有限公司一分红保险产品</t>
  </si>
  <si>
    <t>招商财富资管-光大银行-招商财富-鑫彩1号集合资产管理计划</t>
  </si>
  <si>
    <t>招商财富资产管理有限公司</t>
  </si>
  <si>
    <t>招商财富资管-招商银行-招商财富-招银基础设施6号集合资产管理计划</t>
  </si>
  <si>
    <t>新华人寿保险股份有限公司一传统一普通保险产品一018L一CT001深</t>
  </si>
  <si>
    <t>新华人寿保险股份有限公司</t>
  </si>
  <si>
    <t>银行及理财</t>
  </si>
  <si>
    <t>浙商银行股份有限公司一浙商银行2023年涌益丰利尊享1号人民币理财产品</t>
  </si>
  <si>
    <t>浙商银行股份有限公司</t>
  </si>
  <si>
    <t>陕西省国际信托股份有限公司-陕国投·金玉93号证券投资集合资金信托计划</t>
  </si>
  <si>
    <t>陕西省国际信托股份有限公司</t>
  </si>
  <si>
    <t>网下</t>
  </si>
  <si>
    <t>中国人民财产保险股份有限公司-传统-普通保险产品</t>
  </si>
  <si>
    <t>中国人民财产保险股份有限公司</t>
  </si>
  <si>
    <t>中银证券中国红-汇中27号集合资产管理计划</t>
  </si>
  <si>
    <t>中银国际证券股份有限公司</t>
  </si>
  <si>
    <t>中银证券中国红-汇中32号集合资产管理计划</t>
  </si>
  <si>
    <t>中银证券中国红-汇中48号集合资产管理计划</t>
  </si>
  <si>
    <t>创金合信嘉悦5号集合资产管理计划</t>
  </si>
  <si>
    <t>创金合信鼎泰33号集合资产管理计划</t>
  </si>
  <si>
    <t>创金合信鼎泰70号集合资产管理计划</t>
  </si>
  <si>
    <t>券商</t>
  </si>
  <si>
    <t>华泰证券股份有限公司自营账</t>
  </si>
  <si>
    <t>华泰证券股份有限公司</t>
  </si>
  <si>
    <t>华能贵诚信托有限公司-华能信托·北诚瑞驰资金信托</t>
  </si>
  <si>
    <t>华能贵诚信托有限公司</t>
  </si>
  <si>
    <t>受托管理中国人民人寿保险股份有限公司普通保险产品</t>
  </si>
  <si>
    <t>受托管理中国人民人寿保险股份有限公司</t>
  </si>
  <si>
    <t>受托管理中国人民健康保险股份有限公司一传统一普通保险产品</t>
  </si>
  <si>
    <t>受托管理中国人民健康保险股份有限公司</t>
  </si>
  <si>
    <t>受托管理太平人寿保险有限公司-传统-普通保险产品</t>
  </si>
  <si>
    <t>受托管理太平人寿保险有限公司</t>
  </si>
  <si>
    <t>工银瑞投-工银理财四海甄选集合资产管理计划</t>
  </si>
  <si>
    <t>工银瑞信投资管理有限公司</t>
  </si>
  <si>
    <t>江苏省国际信托有限责任公司一江苏信托一禾享添利1号集合资金信托计划</t>
  </si>
  <si>
    <t>江苏省国际信托有限责任公司</t>
  </si>
  <si>
    <t>申万宏源证券有限公司自营账</t>
  </si>
  <si>
    <t>申万宏源证券有限公司</t>
  </si>
  <si>
    <t>申万菱信一增盈1号单一资产管理计划</t>
  </si>
  <si>
    <t>申万菱信基金管理有限公司</t>
  </si>
  <si>
    <t>粤财信托·鹏雅10号集合资金信托计划</t>
  </si>
  <si>
    <t>广东粤财信托有限公司</t>
  </si>
  <si>
    <t>中国中金财富证券股份有限公司</t>
  </si>
  <si>
    <t>北京首源投资有限公司</t>
  </si>
  <si>
    <t>印力商用置业有限公司</t>
  </si>
  <si>
    <t>大家资产厚坤13号集合资产管理产品</t>
  </si>
  <si>
    <t>大家资产管理有限责任公司</t>
  </si>
  <si>
    <t>深圳市地铁集团有限公司</t>
  </si>
  <si>
    <t>深圳市龙华产业资本投资有限公司</t>
  </si>
  <si>
    <t>上海国际上海国际信托有限信托有限公司自营账户公司</t>
  </si>
  <si>
    <t>上海国际上海国际信托有限信托有限公司</t>
  </si>
  <si>
    <t>创金合信创金合信嘉悦5号基金管理集合资产管理计划有限公司</t>
  </si>
  <si>
    <t>华能贵诚信托有限华能贵诚信托有限公司-华能信托·北诚瑞驰资金信托</t>
  </si>
  <si>
    <t>华能贵诚信托有限华能贵诚信托有限公司</t>
  </si>
  <si>
    <t>大家资产大家人寿保险股份管理有限有限公司传统产品责任公司</t>
  </si>
  <si>
    <t>广东粤财粤财信托·鹏雅10信托有限号集合资金信托计</t>
  </si>
  <si>
    <t>建信信托建信信托有限责任有限责任公司自营投资账户公司</t>
  </si>
  <si>
    <t>建信资本建信资本锦绣8号管理有限集合资产管理计划责任公司</t>
  </si>
  <si>
    <t>招商信诺招商信诺人寿保险资产管理有限公司-传统有限公司</t>
  </si>
  <si>
    <t>招商财富招商财富-招银基资产管理础设施6号集合资有限公司产管理计划</t>
  </si>
  <si>
    <t>泰康资产泰康人寿保险有限管理有限责任公司-传统-普责任公司通保险产品</t>
  </si>
  <si>
    <t>泰康资产泰康人寿保险有限管理有限责任公司</t>
  </si>
  <si>
    <t>泰康资产泰康人寿保险有限管理有限责任公司-分红-个责任公司人分红</t>
  </si>
  <si>
    <t>申万宏源证券资产申万宏源安雅1号管理有限单一资产管理计划公司</t>
  </si>
  <si>
    <t>申万宏源证券资产管理有限公司</t>
  </si>
  <si>
    <t>中国国际金融股份有限公司</t>
  </si>
  <si>
    <t>中邮人寿保险股份有限公司</t>
  </si>
  <si>
    <t>华润信托·锐盈3号集合资金信托计划</t>
  </si>
  <si>
    <t>卓远地产(成都)有限公司</t>
  </si>
  <si>
    <t>国寿投资保险资产管理有限公司</t>
  </si>
  <si>
    <t>富荣基金丰惠一号单一资产管理计划</t>
  </si>
  <si>
    <t>富荣基金管理有限公司</t>
  </si>
  <si>
    <t>陆家嘴国际信托有限公司</t>
  </si>
  <si>
    <t>东方红添利21号集合资产管理计划</t>
  </si>
  <si>
    <t>上海东方证券资产管理有限公司</t>
  </si>
  <si>
    <t>东方红添利24号集合资产管理计划</t>
  </si>
  <si>
    <t>中信建投证券股份有限公司自营投资账</t>
  </si>
  <si>
    <t>中信建投证券股份有限公司</t>
  </si>
  <si>
    <t>中邮证券有限责任公司自营投资账户</t>
  </si>
  <si>
    <t>中邮证券有限责任公司</t>
  </si>
  <si>
    <t>兴瀚资管-兴元18号集合资产管理计划</t>
  </si>
  <si>
    <t>创金合信至信1号单一资产管理计划</t>
  </si>
  <si>
    <t>创金合信鼎泰40号集合资产管理计划</t>
  </si>
  <si>
    <t>创金合信鼎泰41号集合资产管理计划</t>
  </si>
  <si>
    <t>创金合信鼎泰53号集合资产管理计划</t>
  </si>
  <si>
    <t>华泰资管长江财险1号单一资产管理计</t>
  </si>
  <si>
    <t>华泰资产管理有限公司</t>
  </si>
  <si>
    <t>华润信托·LSF权益FOF精选集合资金信托计划</t>
  </si>
  <si>
    <t>华西证券股份有限公司自营账户</t>
  </si>
  <si>
    <t>华西证券股份有限公司</t>
  </si>
  <si>
    <t>受托管理中国平安财产保险股份有限公司-传统-普通保险产品</t>
  </si>
  <si>
    <t>受托管理中国平安财产保险股份有限公司</t>
  </si>
  <si>
    <t>受托管理平安健康保险股份有限公司传统保险产品</t>
  </si>
  <si>
    <t>受托管理平安健康保险股份有限公司</t>
  </si>
  <si>
    <t>国信证券股份有限公司自营账户</t>
  </si>
  <si>
    <t>国信证券股份有限公司</t>
  </si>
  <si>
    <t>国新证券股份有限公司自营投资账户</t>
  </si>
  <si>
    <t>国新证券股份有限公司</t>
  </si>
  <si>
    <t>国泰君安证券股份有限公司白营账户</t>
  </si>
  <si>
    <t>国泰君安证券股份有限公司</t>
  </si>
  <si>
    <t>国金资管鑫熠10号集合资产管理计划</t>
  </si>
  <si>
    <t>国金证券资产管理有限公司</t>
  </si>
  <si>
    <t>太平洋证券股份有限公司自营账户</t>
  </si>
  <si>
    <t>太平洋证券股份有限公司</t>
  </si>
  <si>
    <t>富荣-中信信托-聚信1号单资产管理计划</t>
  </si>
  <si>
    <t>广发证券股份有限公司自营账户</t>
  </si>
  <si>
    <t>广发证券股份有限公司</t>
  </si>
  <si>
    <t>广发资管长江1号单一资产管理计划</t>
  </si>
  <si>
    <t>广发证券资产管理（广东）有限公司</t>
  </si>
  <si>
    <t>建信资本锦绣8号集合资产管理计划</t>
  </si>
  <si>
    <t>招商信诺人寿保险有限公司-自有资金</t>
  </si>
  <si>
    <t>招商证券股份有限公司自营账户</t>
  </si>
  <si>
    <t>招商证券股份有限公司</t>
  </si>
  <si>
    <t>招商财富-招银基础设施6号集合资产管理计划</t>
  </si>
  <si>
    <t>泰信基金信瑞1号单一资产管理计划</t>
  </si>
  <si>
    <t>泰信基金管理有限公司</t>
  </si>
  <si>
    <t>泰康人寿保险有限责任公司一分红一个人分红-019L-FH002深</t>
  </si>
  <si>
    <t>泰康人寿保险有限责任公司</t>
  </si>
  <si>
    <t>泰康养老保险股份有限公司万能甲专门投资组合甲</t>
  </si>
  <si>
    <t>泰康养老保险股份有限公司</t>
  </si>
  <si>
    <t>泰康养老保险股份有限公司分红型保险专门投资组合甲</t>
  </si>
  <si>
    <t>泰康养老保险股份有限公司自有资金</t>
  </si>
  <si>
    <t>泰康资产纯泰睿智资产管理产品</t>
  </si>
  <si>
    <t>泰康资产管理有限责任公司</t>
  </si>
  <si>
    <t>浙商证券股份有限公司自营账户</t>
  </si>
  <si>
    <t>浙商证券股份有限公司</t>
  </si>
  <si>
    <t>浙商银行昕泽稳健同享3号（最短持有360天）人民币理财产品</t>
  </si>
  <si>
    <t>浙商银行昕泽稳健同享5号（最短持有270天）人民币理财产品</t>
  </si>
  <si>
    <t>浙商银行昕泽稳健同享6号固收增强（最短持有180天）人民币理财产品</t>
  </si>
  <si>
    <t>紫金财产保险股份有限公司</t>
  </si>
  <si>
    <t>金得尧典29号私募证券投资基金</t>
  </si>
  <si>
    <t>金得至诚15号私募证券投资基金</t>
  </si>
  <si>
    <t>金锝尧典28号私募证券投资基金</t>
  </si>
  <si>
    <t>金锝至诚17号私募证券投资基金</t>
  </si>
  <si>
    <t>长城证券股份有限公司自营账户</t>
  </si>
  <si>
    <t>长城证券股份有限公司</t>
  </si>
  <si>
    <t>上海睿投私募基金管理有限公司－睿投久远1号基础设施策略私募证券投资基金</t>
  </si>
  <si>
    <t>上海睿投私募基金管理有限公司</t>
  </si>
  <si>
    <t>上海睿投私募基金管理有限公司－睿投恒传1号基础设施策略私募证券投资基金</t>
  </si>
  <si>
    <t>中信证券-财信吉祥人寿保险股份有限公司-分红产品-中信证券财信人寿睿驰1号单一资产管理计划</t>
  </si>
  <si>
    <t>中信证券星云92号集合资产管理中信证券资产管理有限公司</t>
  </si>
  <si>
    <t>中国中金财富证券有限公司</t>
  </si>
  <si>
    <t>中国人寿保险股份有限公司－分红－个人分红-005L-FH002沪</t>
  </si>
  <si>
    <t>中国农业再保险股份有限公司-农行专户四</t>
  </si>
  <si>
    <t>中国农业再保险股份有限公司</t>
  </si>
  <si>
    <t>中国银河证券股份有限公司</t>
  </si>
  <si>
    <t>交银国际信托有限公司-交银国信·永权红利1号集合资金信托计划</t>
  </si>
  <si>
    <t>交银国际信托有限公司</t>
  </si>
  <si>
    <t>信达证券股份有限公司</t>
  </si>
  <si>
    <t>兴业国际信托有限公司一兴业信托·安享增利3号集合资金信托计划</t>
  </si>
  <si>
    <t>兴业国际信托有限公司</t>
  </si>
  <si>
    <t>华金证券－东吴人寿保险股份有限公司－华金证券东吴人寿15号基础设施基金策略FOF单一资产管理计划</t>
  </si>
  <si>
    <t>华金证券股份有限公司</t>
  </si>
  <si>
    <t>嘉实基金－财信吉祥人寿保险股份有限公司－传统产品－嘉实基金宝睿5号单一资产管理计划</t>
  </si>
  <si>
    <t>嘉实基金宝睿2号单一资产管理嘉实基金管理有限公司</t>
  </si>
  <si>
    <t>圆信永丰基金－厦门信托－金圆瑞盈1号集合资金信托计划－圆信永丰金圆瑞盈1号FOF单一资产管理计划</t>
  </si>
  <si>
    <t>圆信永丰基金管理有限公司</t>
  </si>
  <si>
    <t>大家人寿保险股份有限公司－传统产品</t>
  </si>
  <si>
    <t>大家人寿保险股份有限公司</t>
  </si>
  <si>
    <t>大家养老保险股份有限公司—传统产品</t>
  </si>
  <si>
    <t>大家养老保险股份有限公司</t>
  </si>
  <si>
    <t>大家资产－招商银行－大家资产厚坤27号集合资产管理产品</t>
  </si>
  <si>
    <t>大家资产厚坤15号集合资产管理大家资产管理有限责任公司</t>
  </si>
  <si>
    <t>工银瑞信投资－工商银行－工银瑞投－工银理财四海甄选集合资产管理计划</t>
  </si>
  <si>
    <t>平安基金管理有限公司</t>
  </si>
  <si>
    <t>易方达资产－北京大学教育基金会－易方达资产京华睿选1号FOF单一资产管理计划</t>
  </si>
  <si>
    <t>易方达资产管理有限公司</t>
  </si>
  <si>
    <t>江苏省国际信托有限责任公司-江苏信托·工银理财基础设施1号集合资金信托计划</t>
  </si>
  <si>
    <t>江苏省国际信托有限责任公司-江苏信托·工银理财基础设施4号集合资金信托计划</t>
  </si>
  <si>
    <t>生命保险资产管理有限公司-自有资金</t>
  </si>
  <si>
    <t>生命保险资产管理有限公司</t>
  </si>
  <si>
    <t>福州市投资管理有限公司</t>
  </si>
  <si>
    <t>福建华威农商(集团)有限公司</t>
  </si>
  <si>
    <t>福建省金投私募基金管理有限公司-福建省金投金资私募股权投资基金</t>
  </si>
  <si>
    <t>福建省金投私募基金管理有限公司</t>
  </si>
  <si>
    <t>上海合晟资产管理股份有限公司一合晟同晖7号私募证券投资基金</t>
  </si>
  <si>
    <t>上海合晟资产管理股份有限公司</t>
  </si>
  <si>
    <t>东亚前海证券有限责任公司</t>
  </si>
  <si>
    <t>东吴证券一利安人寿保险股份有限公司一东吴证券利安1号FOF单一资产管理计划</t>
  </si>
  <si>
    <t>东吴证券股份有限公司</t>
  </si>
  <si>
    <t>东方证券股份有限公司</t>
  </si>
  <si>
    <t>东方证券资管一中国银行一东方红添利21号集合资产管理计划</t>
  </si>
  <si>
    <t>东方证券资管一中国银行一东方红添利24号集合资产管理计划</t>
  </si>
  <si>
    <t>中信保诚基金一中信信托有限责任公司一中信保诚基金信和1号单一资产管理计划</t>
  </si>
  <si>
    <t>中信保诚基金一中信信托有限责任公司</t>
  </si>
  <si>
    <t>中再资管一兴业银行一中再汇利资产管理产品</t>
  </si>
  <si>
    <t>中再资产管理股份有限公司</t>
  </si>
  <si>
    <t>中国人民人寿保险股份有限公司-自有资金</t>
  </si>
  <si>
    <t>中国人民人寿保险股份有限公司</t>
  </si>
  <si>
    <t>中国人民人寿保险股份有限公司一万能一个险万能</t>
  </si>
  <si>
    <t>中国人民人寿保险股份有限公司一传统一普通保险产品</t>
  </si>
  <si>
    <t>中国人民人寿保险股份有限公司一分红一个险分红</t>
  </si>
  <si>
    <t>中国人民人寿保险股份有限公司一分红一团险分红</t>
  </si>
  <si>
    <t>中国人民健康保险股份有限公司-自有资金</t>
  </si>
  <si>
    <t>中国人民健康保险股份有限公司</t>
  </si>
  <si>
    <t>中国人民健康保险股份有限公司一万能保险产品</t>
  </si>
  <si>
    <t>中国人民健康保险股份有限公司一传统一普通保险产品</t>
  </si>
  <si>
    <t>中国人民健康保险股份有限公司一分红保险产品</t>
  </si>
  <si>
    <t>中国人民财产保险股份有限公司-自有资金</t>
  </si>
  <si>
    <t>中国人民财产保险股份有限公司一传统一收益组合</t>
  </si>
  <si>
    <t>中国人民财产保险股份有限公司一传统一普通保险产品</t>
  </si>
  <si>
    <t>中汇人寿保险股份有限公司一泰康资产多资产组合</t>
  </si>
  <si>
    <t>中汇人寿保险股份有限公司</t>
  </si>
  <si>
    <t>中粮信托有限责任公司-中粮信托·丰惠1号集合资金信托计划</t>
  </si>
  <si>
    <t>中粮信托有限责任公司</t>
  </si>
  <si>
    <t>中粮信托有限责任公司一中粮信托一腾飞3号集合资金信托计</t>
  </si>
  <si>
    <t>中英人寿保险有限公司</t>
  </si>
  <si>
    <t>中英人寿保险有限公司一万能一个险万能</t>
  </si>
  <si>
    <t>中英人寿保险有限公司一传统保险产品</t>
  </si>
  <si>
    <t>中英人寿保险有限公司一分红一个险分红</t>
  </si>
  <si>
    <t>中英人寿保险有限公司一资本补充债</t>
  </si>
  <si>
    <t>众安在线财产保险股份有限公司-自有资金</t>
  </si>
  <si>
    <t>众安在线财产保险股份有限公司</t>
  </si>
  <si>
    <t>保险股份有限公司一华金证券国任保险5号基础设施基金策略FOF单一资产管理计</t>
  </si>
  <si>
    <t>保险股份有限公司</t>
  </si>
  <si>
    <t>光大证券股份有限公司</t>
  </si>
  <si>
    <t>北京乐瑞资产管理有限公司一乐瑞宏观配置4号基金</t>
  </si>
  <si>
    <t>北京乐瑞资产管理有限公司</t>
  </si>
  <si>
    <t>北京乐瑞资产管理有限公司一乐瑞强债18号证券投资私募基金</t>
  </si>
  <si>
    <t>北京乐瑞资产管理有限公司一乐瑞强债30号4期私募证券投资基金</t>
  </si>
  <si>
    <t>北京乐瑞资产管理有限公司一乐瑞强债30号私募证券投资基金</t>
  </si>
  <si>
    <t>北京乐瑞资产管理有限公司一乐瑞股债轮动1号证券投资私募基金</t>
  </si>
  <si>
    <t>华安证券股份有限公司</t>
  </si>
  <si>
    <t>华宝证券股份有限公司</t>
  </si>
  <si>
    <t>华泰证券资管一复星保德信人寿保险有限公司一华泰复保1号单一资产管理计划</t>
  </si>
  <si>
    <t>华泰证券资管一长江财产保险股份有限公司一华泰资管长江财险1号单一资产管理计划</t>
  </si>
  <si>
    <t>华能贵诚信托有限公司一华能信托·北诚瑞驰2号资金信托</t>
  </si>
  <si>
    <t>华金证券一利安人寿保险股份有限公司一华金证券利安人寿22号基础设施基金策略FOF单一资产管理计划</t>
  </si>
  <si>
    <t>华鑫国际信托有限公司-华鑫信托·瑞驰2号集合资金信托计划</t>
  </si>
  <si>
    <t>华鑫国际信托有限公司</t>
  </si>
  <si>
    <t>华鑫国际信托有限公司-华鑫信托·瑞驰3号集合资金信托计划</t>
  </si>
  <si>
    <t>华鑫国际信托有限公司一华鑫信托·瑞驰1号集合资金信托计划</t>
  </si>
  <si>
    <t>华鑫国际信托有限公司一华鑫信托·瑞驰纯享1号集合资金信托计划</t>
  </si>
  <si>
    <t>华鑫证券有限责任公司</t>
  </si>
  <si>
    <t>南京盛泉恒元投资有限公司-盛泉恒元多策略量化对冲1号基金</t>
  </si>
  <si>
    <t>南京盛泉恒元投资有限公司</t>
  </si>
  <si>
    <t>南京盛泉恒元投资有限公司一盛泉恒元多策略对冲远见11号私募证券投资基金</t>
  </si>
  <si>
    <t>南京盛泉恒元投资有限公司一盛泉恒元多策略市场中性四号专项证券投资基金</t>
  </si>
  <si>
    <t>南京盛泉恒元投资有限公司一盛泉恒元多策略远见19号私募证券投资基金</t>
  </si>
  <si>
    <t>南京盛泉恒元投资有限公司一盛泉恒元沪深300指数增强76号私募证券投资基金</t>
  </si>
  <si>
    <t>南京盛泉恒元投资有限公司一盛泉恒元灵活配置专项2号私募证券投资基金</t>
  </si>
  <si>
    <t>南京盛泉恒元投资有限公司一盛泉恒元灵活配置专项6号私募证券投资基金</t>
  </si>
  <si>
    <t>南京盛泉恒元投资有限公司一盛泉恒元量化套利1号专项私募证券投资基金</t>
  </si>
  <si>
    <t>南京盛泉恒元投资有限公司一盛泉恒元量化套利专项23号私募证券投资基金</t>
  </si>
  <si>
    <t>南京盛泉恒元投资有限公司一盛泉恒元量化套利专项24号私募证券投资基金</t>
  </si>
  <si>
    <t>南京盛泉恒元投资有限公司一盛泉恒元量化套利专项35号私募证券投资基金</t>
  </si>
  <si>
    <t>南京盛泉恒元投资有限公司一盛泉恒元量化套利专项38号私募证券投资基金</t>
  </si>
  <si>
    <t>南京盛泉恒元投资有限公司一盛泉恒元量化套利专项44号私募证券投资基金</t>
  </si>
  <si>
    <t>南京盛泉恒元投资有限公司一盛泉恒元量化套利专项47号私募证券投资基金</t>
  </si>
  <si>
    <t>南京盛泉恒元投资有限公司一盛泉恒元量化套利专项50号私募证券投资基金</t>
  </si>
  <si>
    <t>南京盛泉恒元投资有限公司一盛泉恒元量化套利专项57号私募证券投资基金</t>
  </si>
  <si>
    <t>南京盛泉恒元投资有限公司一盛泉恒元量化套利专项5号私募证券投资基金</t>
  </si>
  <si>
    <t>南京盛泉恒元投资有限公司一盛泉恒元量化套利专项60号私募证券投资基金</t>
  </si>
  <si>
    <t>南京盛泉恒元投资有限公司一盛泉恒元量化套利专项64号私募证券投资基金</t>
  </si>
  <si>
    <t>南京盛泉恒元投资有限公司一盛泉恒元量化套利专项68号私募证券投资基金</t>
  </si>
  <si>
    <t>南京盛泉恒元投资有限公司一盛泉恒元量化套利专项69号私募证券投资基金</t>
  </si>
  <si>
    <t>南京盛泉恒元投资有限公司一盛泉恒元量化套利专项84号私募证券投资基金</t>
  </si>
  <si>
    <t>南京盛泉恒元投资有限公司一盛泉恒元量化套利专项9号私募证券投资基金</t>
  </si>
  <si>
    <t>嘉实基金一国任财产保险股份有限公司一自有资金一嘉实基金国任宝睿6号单一资产管理计划</t>
  </si>
  <si>
    <t>嘉实基金管理有限公司</t>
  </si>
  <si>
    <t>国富人寿保险股份有限公司一传统险产品</t>
  </si>
  <si>
    <t>国富人寿保险股份有限公司</t>
  </si>
  <si>
    <t>国富人寿保险股份有限公司一分红险</t>
  </si>
  <si>
    <t>国投证券股份有限公司</t>
  </si>
  <si>
    <t>国民养老保险股份有限公司一国民国泰民安101期限保本型（三年滚动）商业养老金产品A款一泰康组合</t>
  </si>
  <si>
    <t>国民养老保险股份有限公司</t>
  </si>
  <si>
    <t>国民养老保险股份有限公司一国民美好生活养老年金保险</t>
  </si>
  <si>
    <t>国海证券股份有限公司</t>
  </si>
  <si>
    <t>国盛证券有限责任公司</t>
  </si>
  <si>
    <t>国融证券股份有限公司</t>
  </si>
  <si>
    <t>国都证券股份有限公司</t>
  </si>
  <si>
    <t>国金证券股份有限公司</t>
  </si>
  <si>
    <t>宁波宁聚资产管理中心（有限合伙）一宁聚稳盈安全垫型私募证券投资基金</t>
  </si>
  <si>
    <t>宁波宁聚资产管理中心（有限合伙）一宁聚自由港1号私募证券投资基金</t>
  </si>
  <si>
    <t>宁波宁聚资产管理中心（有限合伙）一宁聚量化多策略证券投资基金</t>
  </si>
  <si>
    <t>宁波宁聚资产管理中心（有限合伙）一宁聚量化精选6期证券投资基金</t>
  </si>
  <si>
    <t>宁波宁聚资产管理中心（有限合伙）一融通5号证券投资基金</t>
  </si>
  <si>
    <t>宁波雾泽投资管理有限公司一雾泽夏天量化套利2号私募证券投资基金</t>
  </si>
  <si>
    <t>宁波雾泽投资管理有限公司</t>
  </si>
  <si>
    <t>宁波雾泽投资管理有限公司一雾泽夏天量化进取1号私募证券投资基金</t>
  </si>
  <si>
    <t>富德财产保险股份有限公司一自有资金</t>
  </si>
  <si>
    <t>富德财产保险股份有限公司</t>
  </si>
  <si>
    <t>平安证券股份有限公司</t>
  </si>
  <si>
    <t>开源证券股份有限公司</t>
  </si>
  <si>
    <t>德邦证券股份有限公司</t>
  </si>
  <si>
    <t>德邦证券资管一首创证券股份有限公司一德邦资管德创1号单一资产管理计划</t>
  </si>
  <si>
    <t>恒安标准人寿保险有限公司一传统分红保险产品</t>
  </si>
  <si>
    <t>恒安标准人寿保险有限公司</t>
  </si>
  <si>
    <t>恒安标准人寿保险有限公司一累积分红</t>
  </si>
  <si>
    <t>江海证券有限公司</t>
  </si>
  <si>
    <t>泰信基金一中信信托有限责任公司一泰信基金信瑞1号单一资产管理计划</t>
  </si>
  <si>
    <t>泰康人寿保险有限责任公司-万能-个险万能（乙）</t>
  </si>
  <si>
    <t>泰康人寿保险有限责任公司一万能-团体万能</t>
  </si>
  <si>
    <t>泰康人寿保险有限责任公司一万能一个人万能产品（B)</t>
  </si>
  <si>
    <t>泰康人寿保险有限责任公司一万能一个人万能产品（丁）</t>
  </si>
  <si>
    <t>泰康人寿保险有限责任公司一万能一个人万能产品（庚）</t>
  </si>
  <si>
    <t>泰康人寿保险有限责任公司一万能一个险万能（乙）</t>
  </si>
  <si>
    <t>泰康人寿保险有限责任公司一个险万能产品丙</t>
  </si>
  <si>
    <t>泰康人寿保险有限责任公司一传统一普通保险产品-019L-CT001深</t>
  </si>
  <si>
    <t>泰康人寿保险有限责任公司一投连一悦享配置</t>
  </si>
  <si>
    <t>泰康人寿保险有限责任公司一投连一稳健收益</t>
  </si>
  <si>
    <t>泰康人寿保险有限责任公司一投连一稳健添利</t>
  </si>
  <si>
    <t>泰康养老保险股份有限公司一万能甲专门投资组合甲</t>
  </si>
  <si>
    <t>泰康养老保险股份有限公司一分红型保险专门投资组合甲</t>
  </si>
  <si>
    <t>泰康养老保险股份有限公司一自有资金</t>
  </si>
  <si>
    <t>泰康资产一交通银行一泰康资产管理有限责任公司短融增益2号资产管理产品</t>
  </si>
  <si>
    <t>泰康资产一建设银行一多利增强资产管理产品</t>
  </si>
  <si>
    <t>泰康资产一建设银行一泰康资产一稳定收益资产管理产品</t>
  </si>
  <si>
    <t>泰康资产一建设银行一泰康资产管理有限责任公司信用优化资产管理产品</t>
  </si>
  <si>
    <t>泰康资管一中国银行一泰康资产开泰积极资产管理产品</t>
  </si>
  <si>
    <t>泰康资管一中国银行一泰康资产益泰新享15号资产管理产品</t>
  </si>
  <si>
    <t>泰康资管一中国银行一泰康资产益泰新享17号资产管理产品</t>
  </si>
  <si>
    <t>泰康资管一中国银行一泰康资产益泰新享18号资产管理产品</t>
  </si>
  <si>
    <t>泰康资管一中国银行一泰康资产益泰新享3号资产管理产品</t>
  </si>
  <si>
    <t>泰康资管一中国银行一泰康资产益泰新享5号资产管理产品</t>
  </si>
  <si>
    <t>泰康资管一中国银行一泰康资产纯泰21号资产管理产品</t>
  </si>
  <si>
    <t>泰康资管一中国银行一泰康资产纯泰22号资产管理产品</t>
  </si>
  <si>
    <t>泰康资管一中国银行一泰康资产纯泰智选配置资产管理产品</t>
  </si>
  <si>
    <t>泰康资管一农业银行一泰康资产管理有限责任公司短融增益38号资产管理产品</t>
  </si>
  <si>
    <t>泰康资管一招商银行一泰康资产纯泰睿智资产管理产品</t>
  </si>
  <si>
    <t>泰康资管一民生银行一泰康资产益泰15号资产管理产品</t>
  </si>
  <si>
    <t>生命保险资管一兴业银行一生命保险资产管理有限公司睿驰增强8号资产管理产品</t>
  </si>
  <si>
    <t>生命保险资管一兴业银行一生命保险资产管理有限公司</t>
  </si>
  <si>
    <t>生命保险资管一兴业银行一生命保险资产管理有限公司睿驰增强9号资产管理产品</t>
  </si>
  <si>
    <t>生命保险资管一农业银行一生命资产睿驰增强3号资产管理产品</t>
  </si>
  <si>
    <t>生命保险资管一农业银行一生命资产睿驰增强5号资产管理产品</t>
  </si>
  <si>
    <t>申港证券股份有限公司</t>
  </si>
  <si>
    <t>第一创业证券一兴业银行一第一创业基础设施1号集合资产管理计划</t>
  </si>
  <si>
    <t>第一创业证券股份有限公司</t>
  </si>
  <si>
    <t>第一创业证券一国元证券一第一创业基础设施2号集合资产管理计划</t>
  </si>
  <si>
    <t>粤开证券一中国船东互保协会一粤开证券卓粤臻享2号FOF单一资产管理计划</t>
  </si>
  <si>
    <t>粤开证券股份有限公司</t>
  </si>
  <si>
    <t>粤开证券一广州开发区控股集团有限公司一粤开证券锦盛安盈2号单一资产管理计</t>
  </si>
  <si>
    <t>红塔证券股份有限公司</t>
  </si>
  <si>
    <t>西南证券股份有限公司</t>
  </si>
  <si>
    <t>西藏信托有限公司一西藏信托一晟元1号集合资金信托计划</t>
  </si>
  <si>
    <t>西藏信托有限公司</t>
  </si>
  <si>
    <t>西部证券股份有限公司</t>
  </si>
  <si>
    <t>诺德基金一安信证券股份有限公司一诺德基金子牛10号单一资产管理计划</t>
  </si>
  <si>
    <t>诺德基金管理有限公司</t>
  </si>
  <si>
    <t>诺德基金一浙江吉晟资产管理有限公司一诺德基金浦江569号单一资产管理计划</t>
  </si>
  <si>
    <t>诺德基金一长城证券股份有限公司一诺德基金浦江987号单一资产管理计划</t>
  </si>
  <si>
    <t>财信证券股份有限公司</t>
  </si>
  <si>
    <t>财达证券股份有限公华金证券一国任财产</t>
  </si>
  <si>
    <t>财达证券股份有限公司</t>
  </si>
  <si>
    <t>野村东方国际证券有限公司</t>
  </si>
  <si>
    <t>青雅私募基金管理（上海）有限公司一青雅熠晨一期私募证券投资基金</t>
  </si>
  <si>
    <t>青雅私募基金管理（上海）有限公司</t>
  </si>
  <si>
    <t>青雅私募基金管理（上海）有限公司一青雅裕福一期私募证券投资基金</t>
  </si>
  <si>
    <t>青雅私募基金管理（上海）有限公司一青雅裕福五期私募证券投资基金</t>
  </si>
  <si>
    <t>青雅私募基金管理（上海）有限公司一青雅裕福六期私募证券投资基金</t>
  </si>
  <si>
    <t>青雅私募基金管理（上海）有限公司一青雅裕福四期私募证券投资基金</t>
  </si>
  <si>
    <t>首创证券股份有限公司</t>
  </si>
  <si>
    <t>中国国新资产管理有限公司</t>
  </si>
  <si>
    <t>中金国任1号单一资产管理计划</t>
  </si>
  <si>
    <t>中金国任财产保险有限公司</t>
  </si>
  <si>
    <t>信澳中银元启1号集合资产管理计划</t>
  </si>
  <si>
    <t>信达澳亚基金管理有限公司</t>
  </si>
  <si>
    <t>华夏基金国民养老4号单一资产管理计划</t>
  </si>
  <si>
    <t>华能信托・北诚瑞驰2号资金信托</t>
  </si>
  <si>
    <t>嘉兴中北德裕投资合伙企业（有限合伙）</t>
  </si>
  <si>
    <t>国寿瑞驰（天津）基础设施投资基金合伙企业（有限合伙）</t>
  </si>
  <si>
    <t>国寿资产-鼎瑞2498资产管理产品</t>
  </si>
  <si>
    <t>中国人寿资产管理有限公司</t>
  </si>
  <si>
    <t>国泰海通证券股份有限公司</t>
  </si>
  <si>
    <t>国金资管鑫熠13号集合资产管理计划</t>
  </si>
  <si>
    <t>山东鲁能商业管理有限公司</t>
  </si>
  <si>
    <t>山金金石1号私募证券投资基金</t>
  </si>
  <si>
    <t>招商基金长盈基础资产1号单一资产管理计划</t>
  </si>
  <si>
    <t>招商基金管理有限公司</t>
  </si>
  <si>
    <t>上信-睿选REITs1号集合资金信托计划</t>
  </si>
  <si>
    <t>上海国际信托有限公司</t>
  </si>
  <si>
    <t>上海国际信托有限公司自营账户</t>
  </si>
  <si>
    <t>东兴证券股份有限公司自营投资账户</t>
  </si>
  <si>
    <t>东兴证券股份有限公司</t>
  </si>
  <si>
    <t>东北证券股份有限公司自营账户</t>
  </si>
  <si>
    <t>东北证券股份有限公司</t>
  </si>
  <si>
    <t>东方红臻鑫1号集合资产管理计划</t>
  </si>
  <si>
    <t>东方证券股份有限公司自营账户</t>
  </si>
  <si>
    <t>东方财富证券REITs精选1号集合资产管理计划</t>
  </si>
  <si>
    <t>东方财富证券股份有限公司</t>
  </si>
  <si>
    <t>东方财富证券乐享2号单一资产管理计划</t>
  </si>
  <si>
    <t>东方财富证券乐财半年惠1号集合资产管理计划</t>
  </si>
  <si>
    <t>东方财富证券乐财半年惠2号集合资产管理计划</t>
  </si>
  <si>
    <t>东方财富证券安财1号集合资产管理计划</t>
  </si>
  <si>
    <t>东方财富证券昇财1号集合资产管理计划</t>
  </si>
  <si>
    <t>东方财富证券昇财2号集合资产管理计划</t>
  </si>
  <si>
    <t>东方财富证券添新1号集合资产管理计划</t>
  </si>
  <si>
    <t>东海证券股份有限公司自营账户</t>
  </si>
  <si>
    <t>东海证券股份有限公司</t>
  </si>
  <si>
    <t>中信保诚基金信和1号单一资产管理计划</t>
  </si>
  <si>
    <t>中信保诚基金管理有限公司</t>
  </si>
  <si>
    <t>中信期货-稳享3号集合资产管理计划</t>
  </si>
  <si>
    <t>中信期货有限公司</t>
  </si>
  <si>
    <t>中信期货信固臻1号集合资产管理计划</t>
  </si>
  <si>
    <t>中信期货兴利1号集合资产管理计划</t>
  </si>
  <si>
    <t>中信期货怡然1号集合资产管理计划</t>
  </si>
  <si>
    <t>中信证券星云92号集合资产管理计划</t>
  </si>
  <si>
    <t>中信证券资管信树1号集合资产管理计划</t>
  </si>
  <si>
    <t>中信证券资产管理有限公司</t>
  </si>
  <si>
    <t>中信证券资管睿驰2号集合资产管理计划</t>
  </si>
  <si>
    <t>中信证券资管稳利睿盛1号集合资产管理计划</t>
  </si>
  <si>
    <t>中信证券铁发紫宸1号集合资产管理计划</t>
  </si>
  <si>
    <t>中再汇利资产管理产品</t>
  </si>
  <si>
    <t>中再资产.基建强国REITs主题资产管理产品</t>
  </si>
  <si>
    <t>中国人保资产增鑫2号资产管理产品</t>
  </si>
  <si>
    <t>中国人保资产管理有限公司</t>
  </si>
  <si>
    <t>中国人民人寿保险股份有限公司一专属商业养老保险产品</t>
  </si>
  <si>
    <t>中国人民人寿保险股份有限公司自有资金</t>
  </si>
  <si>
    <t>中国人民健康保险股份有限公司-万能保险产品</t>
  </si>
  <si>
    <t>中国人民健康保险股份有限公司-分红保险产品</t>
  </si>
  <si>
    <t>中国人民健康保险股份有限公司一城乡大病保险账户</t>
  </si>
  <si>
    <t>中国人民健康保险股份有限公司自有资金</t>
  </si>
  <si>
    <t>中国人民养老保险有限责任公司一自有资金</t>
  </si>
  <si>
    <t>中国人民养老保险有限责任公司</t>
  </si>
  <si>
    <t>中国人民财产保险股份有限公司-传统-收益组合</t>
  </si>
  <si>
    <t>中国农业再保险股份有限公司-农行专户一</t>
  </si>
  <si>
    <t>中国太平洋人寿保险股份有限公司一万能一个人万能</t>
  </si>
  <si>
    <t>中国太平洋人寿保险股份有限公司</t>
  </si>
  <si>
    <t>中国太平洋人寿保险股份有限公司一万能一团体万能</t>
  </si>
  <si>
    <t>中国太平洋人寿保险股份有限公司一传统一普通保险产品</t>
  </si>
  <si>
    <t>中国太平洋人寿保险股份有限公司一分红一个人分红</t>
  </si>
  <si>
    <t>中国太平洋人寿共富二号账户委托投资资产</t>
  </si>
  <si>
    <t>太平洋资产管理有限责任公司</t>
  </si>
  <si>
    <t>中国太平洋财产保险股份有限公司-传统-普通保险产品</t>
  </si>
  <si>
    <t>中国太平洋财产保险股份有限公司</t>
  </si>
  <si>
    <t>中国对外经济贸易信托有限公司自营账户</t>
  </si>
  <si>
    <t>中国对外经济贸易信托有限公司</t>
  </si>
  <si>
    <t>中意人寿保险有限公司--万能--个险股票账户</t>
  </si>
  <si>
    <t>中意人寿保险有限公司</t>
  </si>
  <si>
    <t>中意人寿保险有限公司--万能--团险股票账户</t>
  </si>
  <si>
    <t>中意人寿保险有限公司--中石油年金产品--股票账户</t>
  </si>
  <si>
    <t>中意人寿保险有限公司-传统产品</t>
  </si>
  <si>
    <t>中意人寿保险有限公司-分红产品</t>
  </si>
  <si>
    <t>中意人寿保险有限公司-资本金</t>
  </si>
  <si>
    <t>中意人寿保险有限公司一中意人寿企业过渡年金分红托管专户（场内)</t>
  </si>
  <si>
    <t>中意人寿保险有限公司一兴业银行中意人寿万能A托管专户</t>
  </si>
  <si>
    <t>中意资管一工商银行一中意资产一安享稳健10号资产管理产品</t>
  </si>
  <si>
    <t>中意资产管理有限责任公司</t>
  </si>
  <si>
    <t>中意资管一工商银行一中意资产一安享稳健6号资产管理产品</t>
  </si>
  <si>
    <t>中汇人寿保险股份有限公司一泰康资产REITs组合</t>
  </si>
  <si>
    <t>中汇人寿保险股份有限公司泰康资产多资产组合</t>
  </si>
  <si>
    <t>中泰证券股份有限公司自营账户</t>
  </si>
  <si>
    <t>中泰证券股份有限公司</t>
  </si>
  <si>
    <t>中粮信托-信享1号集合资金信托计划</t>
  </si>
  <si>
    <t>中粮信托-信享2号集合资金信托计划</t>
  </si>
  <si>
    <t>中粮信托·丰惠1号集合资金信托计划</t>
  </si>
  <si>
    <t>中粮信托有限责任公司一中粮信托·丰泰25号集合资金信托计划</t>
  </si>
  <si>
    <t>中粮期货粮鑫精选3号集合资产管理计划</t>
  </si>
  <si>
    <t>中粮期货有限公司</t>
  </si>
  <si>
    <t>中航证券有限公司自营投资账户</t>
  </si>
  <si>
    <t>中航证券有限公司</t>
  </si>
  <si>
    <t>中英人寿保险有限公司-万能-个险万能</t>
  </si>
  <si>
    <t>中英人寿保险有限公司-传统保险产品</t>
  </si>
  <si>
    <t>中英人寿保险有限公司-分红-个险分红</t>
  </si>
  <si>
    <t>中英人寿保险有限公司-资本补充</t>
  </si>
  <si>
    <t>中诚信托-仲夏1号集合资金信托计划</t>
  </si>
  <si>
    <t>中诚信托有限责任公司</t>
  </si>
  <si>
    <t>中诚信托-仲夏3号集合资金信托计划</t>
  </si>
  <si>
    <t>中银国际证券股份有限公司自营投资账户</t>
  </si>
  <si>
    <t>乐瑞宏观配置基金</t>
  </si>
  <si>
    <t>乐瑞强债18号证券投资私募基金</t>
  </si>
  <si>
    <t>乐瑞股债轮动1号证券投资私募基金</t>
  </si>
  <si>
    <t>亿衍元亨五号私募证券投资基金</t>
  </si>
  <si>
    <t>上海亿衍私募基金管理有限公司</t>
  </si>
  <si>
    <t>亿衍元亨十二号私募证券投资基</t>
  </si>
  <si>
    <t>众安在线财产保险股份有限公司自有资金</t>
  </si>
  <si>
    <t>众诚汽车保险股份有限公司一招行传统</t>
  </si>
  <si>
    <t>众诚汽车保险股份有限公司</t>
  </si>
  <si>
    <t>信澳创享1号单一资产管理计划</t>
  </si>
  <si>
    <t>信达证券股份有限公司自营投资账户</t>
  </si>
  <si>
    <t>光大永明资产聚宝19号固定收益类资产管理产品</t>
  </si>
  <si>
    <t>光大永明资产管理股份有限公司</t>
  </si>
  <si>
    <t>凌顶三号私募证券投资基金</t>
  </si>
  <si>
    <t>宁波梅山保税港区凌顶投资管理有限公司</t>
  </si>
  <si>
    <t>凌顶兴星一号私募证券投资基金</t>
  </si>
  <si>
    <t>凌顶兴星二号私募证券投资基金</t>
  </si>
  <si>
    <t>凌顶出奇十五号私募证券投资基</t>
  </si>
  <si>
    <t>凌顶望岳二十七号私募证券投资基金</t>
  </si>
  <si>
    <t>凌顶望岳八号私募证券投资基金</t>
  </si>
  <si>
    <t>凌顶泰山六号私募证券投资基金</t>
  </si>
  <si>
    <t>凌顶泰山十八号私募证券投资基金</t>
  </si>
  <si>
    <t>凌顶泰山十号私募证券投资基金</t>
  </si>
  <si>
    <t>创金合信丰泰1号集合资产管理计划</t>
  </si>
  <si>
    <t>创金合信长风1号集合资产管理计划</t>
  </si>
  <si>
    <t>创金合信鼎泰107号集合资产管理计划</t>
  </si>
  <si>
    <t>创金合信鼎泰52号集合资产管理计划</t>
  </si>
  <si>
    <t>利安人寿保险股份有限公司-E理财（B款）终身寿险（万能型）</t>
  </si>
  <si>
    <t>利安人寿保险股份有限公司</t>
  </si>
  <si>
    <t>利安人寿保险股份有限公司-利安利尊稳赢两全保险</t>
  </si>
  <si>
    <t>利安人寿保险股份有限公司-利安盈（D款）两全保险（万能型）</t>
  </si>
  <si>
    <t>利安人寿保险股份有限公司-利安福年金保险</t>
  </si>
  <si>
    <t>利安人寿保险股份有限公司-利安福（D款）年金保险</t>
  </si>
  <si>
    <t>利安人寿保险股份有限公司-利安禧年金保险（分红型）</t>
  </si>
  <si>
    <t>利安人寿保险股份有限公司-利安红（F款）两全保险（分红型）</t>
  </si>
  <si>
    <t>利安人寿保险股份有限公司-自有资金</t>
  </si>
  <si>
    <t>利安人寿保险股份有限公司-至尊鑫享年金保险（分红型）</t>
  </si>
  <si>
    <t>前海再保险股份有限公司-传统泰康组合</t>
  </si>
  <si>
    <t>前海再保险股份有限公司</t>
  </si>
  <si>
    <t>北京乐瑞资产管理有限公司-乐瑞宏观配置4号基金</t>
  </si>
  <si>
    <t>华夏基金-鼎华尊享2号集合资产管理计划</t>
  </si>
  <si>
    <t>华夏基金-鼎华尊享REITs增强1号集合资产管理计划</t>
  </si>
  <si>
    <t>华安证券股份有限公司自营账户</t>
  </si>
  <si>
    <t>华安财保资管聚鑫5号资产管理产品</t>
  </si>
  <si>
    <t>华安财保资产管理有限责任公司</t>
  </si>
  <si>
    <t>华宝证券股份有限公司自营投资账户</t>
  </si>
  <si>
    <t>华泰复保1号单一资产管理计划</t>
  </si>
  <si>
    <t>华泰证券（上海）资产管理有限公司</t>
  </si>
  <si>
    <t>华泰瑞享1号集合资产管理计划</t>
  </si>
  <si>
    <t>华泰紫金保险1号单一资产管理计划</t>
  </si>
  <si>
    <t>华泰证券股份有限公司自营账户</t>
  </si>
  <si>
    <t>华润信托·卓越18号集合资金信托计划</t>
  </si>
  <si>
    <t>华润信托·长安荟享1号集合资金信托计划</t>
  </si>
  <si>
    <t>华福证券有限责任公司自营账户</t>
  </si>
  <si>
    <t>华福证券有限责任公司</t>
  </si>
  <si>
    <t>华能信托·熙元91天理财集合信托计划 (D类)</t>
  </si>
  <si>
    <t>华能贵诚信托有限公司-华能信托·双利粤湾1号集合资金信托计划</t>
  </si>
  <si>
    <t>华贵人寿保险股份有限公司一传统险固收委托投资专户</t>
  </si>
  <si>
    <t>华贵人寿保险股份有限公司</t>
  </si>
  <si>
    <t>华贵人寿保险股份有限公司一分红险固收委托投资专户</t>
  </si>
  <si>
    <t>华金证券东吴人寿15号基础设施基金策略FOF单一资产管理计划</t>
  </si>
  <si>
    <t>华金证券利安人寿22号基础设施基金策略FOF单一资产管理计划</t>
  </si>
  <si>
    <t>华金证券国任保险5号基础设施基金策略FOF单一资产管理计划</t>
  </si>
  <si>
    <t>华金证券横琴人寿基础设施策略2号FOF单一资产管理计划</t>
  </si>
  <si>
    <t>华鑫信托·信益嘉101号集合资金信托计划</t>
  </si>
  <si>
    <t>华鑫信托·华盈17号（混合配置）集合资金信托计划</t>
  </si>
  <si>
    <t>华鑫信托·瑞驰1号集合资金信托计划</t>
  </si>
  <si>
    <t>华鑫信托·瑞驰2号集合资金信托计划</t>
  </si>
  <si>
    <t>华鑫信托·瑞驰3号集合资金信托计划</t>
  </si>
  <si>
    <t>华鑫信托·瑞驰纯享1号集合资全信托计划</t>
  </si>
  <si>
    <t>华鑫证券有限责任公司自营账户</t>
  </si>
  <si>
    <t>受托管理中国人民人寿保险股份有限公司万能保险产品</t>
  </si>
  <si>
    <t>受托管理中国人民人寿保险股份有限公司个险分红</t>
  </si>
  <si>
    <t>受托管理中国人民人寿保险股份有限公司团险分红</t>
  </si>
  <si>
    <t>受托管理中国太平洋保险(集团)股份有限公司一集团本级-自有资金</t>
  </si>
  <si>
    <t>受托管理中国太平洋保险(集团)股份有限公司</t>
  </si>
  <si>
    <t>合晟同晖7号私募证券投资基金</t>
  </si>
  <si>
    <t>合晟同晖固定收益1号创新投资基金</t>
  </si>
  <si>
    <t>合晟恒嘉基石2号私募证券投资基金</t>
  </si>
  <si>
    <t>嘉实基金宝睿2号单一资产管理计划</t>
  </si>
  <si>
    <t>嘉实基金宝睿5号单一资产管理计划</t>
  </si>
  <si>
    <t>国投安鑫13号单一资产管理计划</t>
  </si>
  <si>
    <t>国投期货有限公司</t>
  </si>
  <si>
    <t>国投恒赢3号单一资产管理计划</t>
  </si>
  <si>
    <t>国海证券股份有限公司自营账户</t>
  </si>
  <si>
    <t>国盛证券有限责任公司自营账户</t>
  </si>
  <si>
    <t>国联欣欣向荣1号FOF集合资产管理计划</t>
  </si>
  <si>
    <t>国联证券资产管理有限公司</t>
  </si>
  <si>
    <t>国融证券股份有限公司自营投资账户</t>
  </si>
  <si>
    <t>国证资管国投臻选1号单一资产管理计划</t>
  </si>
  <si>
    <t>国投证券资产管理有限公司</t>
  </si>
  <si>
    <t>国都证券股份有限公司自营账户</t>
  </si>
  <si>
    <t>国金证券股份有限公司自营账户</t>
  </si>
  <si>
    <t>外贸信托-信固臻9号集合资金信托计划</t>
  </si>
  <si>
    <t>外贸信托-信悦1号固定收益证券投资集合资金信托计划</t>
  </si>
  <si>
    <t>外贸信托-信悦2号固定收益证券投资集合资金信托计划</t>
  </si>
  <si>
    <t>外贸信托-信悦3号固定收益证券投资集合资金信托计划</t>
  </si>
  <si>
    <t>外贸信托-信诚8号集合资金信托计划</t>
  </si>
  <si>
    <t>外贸信托-光鸿20号集合信托计划</t>
  </si>
  <si>
    <t>外贸信托-固盈粤享2号集合资金信托计划</t>
  </si>
  <si>
    <t>外贸信托-恒信盈固收10号证券投资集合资金信托计划</t>
  </si>
  <si>
    <t>外贸信托-恒信盈固收3号证券投资集合资金信托计划</t>
  </si>
  <si>
    <t>外贸信托-恒信盈固收5号证券投资集合资金信托计划</t>
  </si>
  <si>
    <t>外贸信托-晋元TOT集合资金信托计划</t>
  </si>
  <si>
    <t>外贸信托-海纳一号集合资金信托计划</t>
  </si>
  <si>
    <t>外贸信托-粤湾10号集合资金信托计划</t>
  </si>
  <si>
    <t>外贸信托-粤湾8号集合资金信托计划</t>
  </si>
  <si>
    <t>外贸信托-粤湾9号集合资金信托计划</t>
  </si>
  <si>
    <t>外贸信托-财富多盈1号集合资金信托计划</t>
  </si>
  <si>
    <t>外贸信托一固盈粤恒3号集合资金信托计划</t>
  </si>
  <si>
    <t>外贸信托一臻创77号证券投资集合资金信托计划</t>
  </si>
  <si>
    <t>外贸信托一臻创78号证券投资集合资金信托计划</t>
  </si>
  <si>
    <t>大家人寿保险股份有限公司万能产品</t>
  </si>
  <si>
    <t>大家人寿保险股份有限公司传统产品</t>
  </si>
  <si>
    <t>大家人寿保险股份有限公司分红产品</t>
  </si>
  <si>
    <t>大家保险集团有限责任公司一自有资金</t>
  </si>
  <si>
    <t>大家保险集团有限责任公司</t>
  </si>
  <si>
    <t>大家财产保险有限责任公司-传统账户</t>
  </si>
  <si>
    <t>大家财产保险有限责任公司</t>
  </si>
  <si>
    <t>大家资产厚坤15号集合资产管理产品</t>
  </si>
  <si>
    <t>天风证券股份有限公司</t>
  </si>
  <si>
    <t>太平洋健康保险股份有限公司-传统保险产品</t>
  </si>
  <si>
    <t>太平洋健康保险股份有限公司</t>
  </si>
  <si>
    <t>子午初心多策略定制二号私募证券投资基金</t>
  </si>
  <si>
    <t>上海子午投资管理有限公司</t>
  </si>
  <si>
    <t>子午增强六号私募证券投资基金</t>
  </si>
  <si>
    <t>子午瀚海一号私募证券投资基金</t>
  </si>
  <si>
    <t>宁波宁聚资产管理中心（有限合伙）-宁聚稳盈安全垫型私募证券投资基金</t>
  </si>
  <si>
    <t>宁波宁聚资产管理中心（有限合伙）-宁聚自由港1号私募证券投资基金</t>
  </si>
  <si>
    <t>宁波宁聚资产管理中心（有限合伙）-宁聚量化多策略证券投资基金</t>
  </si>
  <si>
    <t>宁波宁聚资产管理中心（有限合伙）-宁聚量化精选6期证券投资基金</t>
  </si>
  <si>
    <t>宁波宁聚资产管理中心（有限合伙）融通5号证券投资基金</t>
  </si>
  <si>
    <t>宁聚映山红3号私募证券投资基</t>
  </si>
  <si>
    <t>宁波宁聚资产管理中心（有限合伙）</t>
  </si>
  <si>
    <t>安信农业保险股份有限公司-传统保险产品</t>
  </si>
  <si>
    <t>安信农业保险股份有限公司</t>
  </si>
  <si>
    <t>宽投双鲤私募证券投资基金</t>
  </si>
  <si>
    <t>上海宽投资产管理有限公司</t>
  </si>
  <si>
    <t>宽投星玉私募证券投资基金</t>
  </si>
  <si>
    <t>宽投机器人1号私募证券投资基</t>
  </si>
  <si>
    <t>富荣-中信信托-聚信1号单一资产管理计划</t>
  </si>
  <si>
    <t>富荣-中信信托-聚信2号单一资产管理计划</t>
  </si>
  <si>
    <t>富荣基金欣享1号单一资产管理计划</t>
  </si>
  <si>
    <t>少数派万象更新2号私募证券投资基金</t>
  </si>
  <si>
    <t>上海少数派投资管理有限公司</t>
  </si>
  <si>
    <t>展弘稳泰套利运作1号私募证券投资基金</t>
  </si>
  <si>
    <t>上海展弘投资管理有限公司</t>
  </si>
  <si>
    <t>展弘稳泰套利运作2号私募证券投资基金</t>
  </si>
  <si>
    <t>展弘稳泰套利运作3号私募证券投资基金</t>
  </si>
  <si>
    <t>展弘稳泰对冲运作3号私募证券投资基金</t>
  </si>
  <si>
    <t>展弘稳进1号私募证券投资基金</t>
  </si>
  <si>
    <t>山西证券股份有限公司自营账户</t>
  </si>
  <si>
    <t>山西证券股份有限公司</t>
  </si>
  <si>
    <t>工银安盛人寿保险有限公司-短期分红</t>
  </si>
  <si>
    <t>工银安盛人寿保险有限公司</t>
  </si>
  <si>
    <t>工银安盛人寿保险有限公司-财富悦享</t>
  </si>
  <si>
    <t>平安证券股份有限公司自营账户</t>
  </si>
  <si>
    <t>广发资管瑞驰1号单一资产管理计划</t>
  </si>
  <si>
    <t>广金美好安享成长1号私募证券投资基金</t>
  </si>
  <si>
    <t>横琴广金美好基金管理有限公司</t>
  </si>
  <si>
    <t>康曼德230号私募证券投资基金</t>
  </si>
  <si>
    <t>深圳市康曼德资本管理有限公司</t>
  </si>
  <si>
    <t>德邦证券股份有限公司自营账户</t>
  </si>
  <si>
    <t>德邦资管星瑞1号集合资产管理计划</t>
  </si>
  <si>
    <t>德邦证券资产管理有限公司</t>
  </si>
  <si>
    <t>德邦资管邦盛1号单一资产管理计划</t>
  </si>
  <si>
    <t>恒安标准人寿保险有限公司传统分红保险产品</t>
  </si>
  <si>
    <t>恒安标准人寿保险有限公司累积分红UWP组合</t>
  </si>
  <si>
    <t>招商信诺人寿保险有限公司-分红保险产品</t>
  </si>
  <si>
    <t>新华人寿保险股份有限公司-万能-得意理财</t>
  </si>
  <si>
    <t>新华人寿保险股份有限公司-个人税延A款产品</t>
  </si>
  <si>
    <t>新华人寿保险股份有限公司-个人税延B1款产品</t>
  </si>
  <si>
    <t>新华人寿保险股份有限公司-个人税延B2款产品</t>
  </si>
  <si>
    <t>新华人寿保险股份有限公司-传统-普通保险产品</t>
  </si>
  <si>
    <t>新华人寿保险股份有限公司-传统产品</t>
  </si>
  <si>
    <t>新华人寿保险股份有限公司-分红-个人分红-018L-FH002沪</t>
  </si>
  <si>
    <t>新华人寿保险股份有限公司-分红-团体分红</t>
  </si>
  <si>
    <t>新华人寿保险股份有限公司-分红产品</t>
  </si>
  <si>
    <t>新华人寿保险股份有限公司-新传统产品</t>
  </si>
  <si>
    <t>新华人寿保险股份有限公司-新分红产品</t>
  </si>
  <si>
    <t>新华人寿保险股份有限公司-新华人寿保险股份有限公司稳得盈两全保险（分红型）</t>
  </si>
  <si>
    <t>新华人寿保险股份有限公司-新华人寿卓越优选专属商业养老保险（积极进取型）</t>
  </si>
  <si>
    <t>新华人寿保险股份有限公司-新华人寿卓越优选专属商业养老保险（稳健回报型）</t>
  </si>
  <si>
    <t>新华人寿保险股份有限公司-新华人寿惠金生年金保险产品（传统专一)</t>
  </si>
  <si>
    <t>新华人寿保险股份有限公司-新华人寿稳得福两全保险（分红型）（分红专二)</t>
  </si>
  <si>
    <t>新华人寿保险股份有限公司-精选万能产品</t>
  </si>
  <si>
    <t>新华人寿保险股份有限公司-财富一号万能产品</t>
  </si>
  <si>
    <t>新华人寿保险股份有限公司一新华人寿保险惠金生年金保险产品（传统专一）</t>
  </si>
  <si>
    <t>新华人寿保险股份有限公司一新华人寿保险稳得盈两全保险(分红型)</t>
  </si>
  <si>
    <t>新华人寿保险股份有限公司一新华人寿保险稳得福两全保险（分红型）（分红专二）</t>
  </si>
  <si>
    <t>新华资产-国强增质一号资产管理产品</t>
  </si>
  <si>
    <t>新华资产管理股份有限公司</t>
  </si>
  <si>
    <t>方正证券股份有限公司自营账户</t>
  </si>
  <si>
    <t>方正证券股份有限公司</t>
  </si>
  <si>
    <t>明世伙伴信智11号私募证券投资基金</t>
  </si>
  <si>
    <t>明世伙伴私募基金管理（珠海）有限公司</t>
  </si>
  <si>
    <t>明世伙伴信智12号私募证券投资基金</t>
  </si>
  <si>
    <t>明世伙伴信智13号私募证券投资基金</t>
  </si>
  <si>
    <t>明世伙伴信智1号私募证券投资基金</t>
  </si>
  <si>
    <t>明世伙伴信智2号私募证券投资基金</t>
  </si>
  <si>
    <t>明世伙伴信智3号私募证券投资基金</t>
  </si>
  <si>
    <t>明世伙伴信智4号私募证券投资基金</t>
  </si>
  <si>
    <t>明毅养元稳债半年一号私募证券投资基金</t>
  </si>
  <si>
    <t>明毅私募基金管理有限公司</t>
  </si>
  <si>
    <t>明毅博厚二号私募证券投资基金</t>
  </si>
  <si>
    <t>明毅固益九号私募基金</t>
  </si>
  <si>
    <t>明毅固盛八号私募基金</t>
  </si>
  <si>
    <t>明毅永图私募证券投资基金</t>
  </si>
  <si>
    <t>明毅永康私募基金</t>
  </si>
  <si>
    <t>明毅海安私募证券投资基金</t>
  </si>
  <si>
    <t>明毅海盈私募证券投资基金</t>
  </si>
  <si>
    <t>明毅海跃一号私募证券投资基金</t>
  </si>
  <si>
    <t>星展证券（中国）有限公司</t>
  </si>
  <si>
    <t>民生人寿保险股份有限公司-传统保险产品</t>
  </si>
  <si>
    <t>民生人寿保险股份有限公司</t>
  </si>
  <si>
    <t>汇添富REITs优选1号集合资产管理计划</t>
  </si>
  <si>
    <t>汇添富基金管理股份有限公司</t>
  </si>
  <si>
    <t>汇添富全天候策略1号集合资产管理计划</t>
  </si>
  <si>
    <t>汇百川信汇1号单一资产管理计划</t>
  </si>
  <si>
    <t>汇百川基金管理有限公司</t>
  </si>
  <si>
    <t>汇百川华汇1号单一资产管理计</t>
  </si>
  <si>
    <t>汇百川国汇10号单一资产管理计划</t>
  </si>
  <si>
    <t>汇百川国汇11号单一资产管理计划</t>
  </si>
  <si>
    <t>汇百川国汇12号单一资产管理计划</t>
  </si>
  <si>
    <t>汇百川国汇13号集合资产管理计划</t>
  </si>
  <si>
    <t>汇百川国汇14号集合资产管理计划</t>
  </si>
  <si>
    <t>汇百川国汇15号集合资产管理计划</t>
  </si>
  <si>
    <t>汇百川国汇16号集合资产管理计划</t>
  </si>
  <si>
    <t>汇百川国汇17号集合资产管理计划</t>
  </si>
  <si>
    <t>汇百川国汇18号集合资产管理计划</t>
  </si>
  <si>
    <t>汇百川国汇1号单一资产管理计划</t>
  </si>
  <si>
    <t>汇百川国汇21号单一资产管理计划</t>
  </si>
  <si>
    <t>汇百川国汇22号单一资产管理计划</t>
  </si>
  <si>
    <t>汇百川国汇23号单一资产管理计划</t>
  </si>
  <si>
    <t>汇百川国汇24号单一资产管理计划</t>
  </si>
  <si>
    <t>汇百川国汇25号单一资产管理计划</t>
  </si>
  <si>
    <t>汇百川国汇26号单一资产管理计划</t>
  </si>
  <si>
    <t>汇百川国汇27号单一资产管理计</t>
  </si>
  <si>
    <t>汇百川国汇28号单一资产管理计</t>
  </si>
  <si>
    <t>汇百川国汇29号单一资产管理计</t>
  </si>
  <si>
    <t>汇百川国汇2号单一资产管理计</t>
  </si>
  <si>
    <t>汇百川国汇30号单一资产管理计划</t>
  </si>
  <si>
    <t>汇百川国汇31号单一资产管理计划</t>
  </si>
  <si>
    <t>汇百川国汇32号单一资产管理计划</t>
  </si>
  <si>
    <t>汇百川国汇33号单一资产管理计划</t>
  </si>
  <si>
    <t>汇百川国汇34号单一资产管理计划</t>
  </si>
  <si>
    <t>汇百川国汇35号单一资产管理计</t>
  </si>
  <si>
    <t>汇百川国汇36号单一资产管理计</t>
  </si>
  <si>
    <t>汇百川国汇37号单一资产管理计</t>
  </si>
  <si>
    <t>汇百川国汇39号单一资产管理计划</t>
  </si>
  <si>
    <t>汇百川国汇3号单一资产管理计</t>
  </si>
  <si>
    <t>汇百川国汇40号单一资产管理计划</t>
  </si>
  <si>
    <t>汇百川国汇41号单一资产管理计划</t>
  </si>
  <si>
    <t>汇百川国汇42号单一资产管理计划</t>
  </si>
  <si>
    <t>汇百川国汇43号单一资产管理计划</t>
  </si>
  <si>
    <t>汇百川国汇44号单一资产管理计划</t>
  </si>
  <si>
    <t>汇百川国汇45号单一资产管理计划</t>
  </si>
  <si>
    <t>汇百川国汇46号单一资产管理计划</t>
  </si>
  <si>
    <t>汇百川国汇4号单一资产管理计</t>
  </si>
  <si>
    <t>汇百川国汇5号单一资产管理计</t>
  </si>
  <si>
    <t>汇百川国汇6号单一资产管理计</t>
  </si>
  <si>
    <t>汇百川国汇7号单一资产管理计划</t>
  </si>
  <si>
    <t>汇百川国汇8号单一资产管理计</t>
  </si>
  <si>
    <t>汇百川国汇9号单一资产管理计划</t>
  </si>
  <si>
    <t>汇百川基金联益6个月持有1号集合资产管理计划</t>
  </si>
  <si>
    <t>汇百川基金虹汇1号单一资产管理计划</t>
  </si>
  <si>
    <t>汇百川基金虹汇2号单一资产管理计划</t>
  </si>
  <si>
    <t>汇百川恒汇1号单一资产管理计划</t>
  </si>
  <si>
    <t>汇百川恒汇2号单一资产管理计划</t>
  </si>
  <si>
    <t>汇百川恒汇3号单一资产管理计划</t>
  </si>
  <si>
    <t>汇百川浦汇1号单一资产管理计划</t>
  </si>
  <si>
    <t>汇百川海汇10号单一资产管理计</t>
  </si>
  <si>
    <t>汇百川海汇11号单一资产管理计</t>
  </si>
  <si>
    <t>汇百川海汇12号单一资产管理计</t>
  </si>
  <si>
    <t>汇百川海汇13号单一资产管理计划</t>
  </si>
  <si>
    <t>汇百川海汇14号单一资产管理计划</t>
  </si>
  <si>
    <t>汇百川海汇15号单一资产管理计</t>
  </si>
  <si>
    <t>汇百川海汇16号单一资产管理计</t>
  </si>
  <si>
    <t>汇百川海汇17号单一资产管理计</t>
  </si>
  <si>
    <t>汇百川海汇18号单一资产管理计</t>
  </si>
  <si>
    <t>汇百川海汇19号单一资产管理计</t>
  </si>
  <si>
    <t>汇百川海汇1号单一资产管理计划</t>
  </si>
  <si>
    <t>汇百川海汇20号单一资产管理计</t>
  </si>
  <si>
    <t>汇百川海汇26号单一资产管理计划</t>
  </si>
  <si>
    <t>汇百川海汇27号单一资产管理计划</t>
  </si>
  <si>
    <t>汇百川海汇2号单一资产管理计划</t>
  </si>
  <si>
    <t>汇百川海汇3号单一资产管理计划</t>
  </si>
  <si>
    <t>汇百川海汇4号单一资产管理计划</t>
  </si>
  <si>
    <t>汇百川海汇5号单一资产管理计划</t>
  </si>
  <si>
    <t>汇百川海汇6号单一资产管理计划</t>
  </si>
  <si>
    <t>汇百川海汇7号单一资产管理计划</t>
  </si>
  <si>
    <t>汇百川海汇8号单一资产管理计划</t>
  </si>
  <si>
    <t>汇百川海汇9号单一资产管理计</t>
  </si>
  <si>
    <t>汇百川稳汇2号单一资产管理计</t>
  </si>
  <si>
    <t>汇百川稳益10号集合资产管理计划</t>
  </si>
  <si>
    <t>汇百川稳益1号集合资产管理计划</t>
  </si>
  <si>
    <t>汇百川稳益2号集合资产管理计划</t>
  </si>
  <si>
    <t>汇百川稳益3号集合资产管理计划</t>
  </si>
  <si>
    <t>汇百川稳益5号集合资产管理计划</t>
  </si>
  <si>
    <t>汇百川稳益6号集合资产管理计划</t>
  </si>
  <si>
    <t>汇百川稳益9号集合资产管理计划</t>
  </si>
  <si>
    <t>汇百川精汇1号单一资产管理计划</t>
  </si>
  <si>
    <t>汇百川精汇2号单一资产管理计</t>
  </si>
  <si>
    <t>汇百川精汇3号单一资产管理计</t>
  </si>
  <si>
    <t>汇百川联汇1号单一资产管理计划</t>
  </si>
  <si>
    <t>汇百川联汇2号单一资产管理计划</t>
  </si>
  <si>
    <t>汇百川联汇3号单一资产管理计划</t>
  </si>
  <si>
    <t>汇百川联汇4号单一资产管理计划</t>
  </si>
  <si>
    <t>汇百川联汇5号单一资产管理计划</t>
  </si>
  <si>
    <t>汇百川融泰1号集合资产管理计</t>
  </si>
  <si>
    <t>汇百川陆汇1号单一资产管理计划</t>
  </si>
  <si>
    <t>汇百川龙源1号集合资产管理计</t>
  </si>
  <si>
    <t>江海证券自营投资账户</t>
  </si>
  <si>
    <t>江苏省国际信托有限责任公司一江苏信托·工银理财基础设施1号集合资金信托计划</t>
  </si>
  <si>
    <t>江苏省国际信托有限责任公司一江苏信托·工银理财基础设施2号集合资金信托计划</t>
  </si>
  <si>
    <t>江苏省国际信托有限责任公司一江苏信托·工银理财基础设施4号集合资金信托计划</t>
  </si>
  <si>
    <t>江苏省国际信托有限责任公司一江苏信托一禾享添利2号集合资金信托计划</t>
  </si>
  <si>
    <t>泰康人寿保险有限责任公司-万能-个人万能产品（B）</t>
  </si>
  <si>
    <t>泰康人寿保险有限责任公司-万能-个人万能产品（丁）</t>
  </si>
  <si>
    <t>泰康人寿保险有限责任公司-万能-个人万能产品（庚）</t>
  </si>
  <si>
    <t>泰康人寿保险有限责任公司-万能-个险万能（乙）投资账户</t>
  </si>
  <si>
    <t>泰康人寿保险有限责任公司-专属商业养老保险稳健型组合</t>
  </si>
  <si>
    <t>泰康人寿保险有限责任公司-投连-稳盈增利</t>
  </si>
  <si>
    <t>泰康人寿保险有限责任公司一万能一团体万能</t>
  </si>
  <si>
    <t>泰康人寿保险有限责任公司一传统一普通保险产品</t>
  </si>
  <si>
    <t>泰康人寿保险有限责任公司分红型保险产品</t>
  </si>
  <si>
    <t>泰康人寿保险有限责任公司投连平衡配置型投资账户</t>
  </si>
  <si>
    <t>泰康人寿保险有限责任公司投连开泰稳利精选投资账户</t>
  </si>
  <si>
    <t>泰康人寿保险有限责任公司投连稳健收益型投资账户</t>
  </si>
  <si>
    <t>泰康保险集团股份有限公司自有资金</t>
  </si>
  <si>
    <t>泰康保险集团股份有限公司</t>
  </si>
  <si>
    <t>泰康养老保险股份有限公司一般账户专门投资组合乙</t>
  </si>
  <si>
    <t>泰康在线财产保险股份有限公司自有资金</t>
  </si>
  <si>
    <t>泰康在线财产保险股份有限公司</t>
  </si>
  <si>
    <t>泰康资产益泰15号资产管理产品</t>
  </si>
  <si>
    <t>泰康资产益泰智选增利资产管理产品</t>
  </si>
  <si>
    <t>泰康资产管理有限责任公司自有资金</t>
  </si>
  <si>
    <t>泰康资产纯泰21号资产管理产品</t>
  </si>
  <si>
    <t>泰康资产纯泰22号资产管理产品</t>
  </si>
  <si>
    <t>泰康资产纯泰66号资产管理产品</t>
  </si>
  <si>
    <t>泰康资产纯泰智选配置资产管理产品</t>
  </si>
  <si>
    <t>泰康资产纯泰睿智2号资产管理产品</t>
  </si>
  <si>
    <t>津博稳泰半年丰私募证券投资基金</t>
  </si>
  <si>
    <t>津博（上海）私募基金管理有限公司</t>
  </si>
  <si>
    <t>浙商聚金财享全景1号单一资产管理计划</t>
  </si>
  <si>
    <t>浙江浙商证券资产管理有限公司</t>
  </si>
  <si>
    <t>浙商聚金财享全景2号单一资产管理计划</t>
  </si>
  <si>
    <t>浙商聚金财固1号单一资产管理计划</t>
  </si>
  <si>
    <t>浙商聚金财固2号单一资产管理计划</t>
  </si>
  <si>
    <t>浙商聚金财固6号单一资产管理计划</t>
  </si>
  <si>
    <t>浙商聚金财固增利2号单一资产管理计划</t>
  </si>
  <si>
    <t>浙商聚金钻石专享1号单一资产管理计划</t>
  </si>
  <si>
    <t>浙商金惠添鑫5号28期集合资产管理计划</t>
  </si>
  <si>
    <t>浙商金惠添鑫5号29期集合资产管理计划</t>
  </si>
  <si>
    <t>浙商金惠添鑫周开10号集合资产管理计划</t>
  </si>
  <si>
    <t>浙商金惠添鑫周开11号集合资产管理计划</t>
  </si>
  <si>
    <t>浙商金惠添鑫周开12号集合资产管理计划</t>
  </si>
  <si>
    <t>浙商金惠添鑫周开13号集合资产管理计划</t>
  </si>
  <si>
    <t>浙商金惠添鑫周开14号集合资产管理计划</t>
  </si>
  <si>
    <t>浙商金惠添鑫周开15号集合资产管理计划</t>
  </si>
  <si>
    <t>浙商金惠添鑫周开18号集合资产管理计划</t>
  </si>
  <si>
    <t>浙商金惠添鑫周开19号集合资产管理计划</t>
  </si>
  <si>
    <t>浙商金惠添鑫周开20号集合资产管理计划</t>
  </si>
  <si>
    <t>浙商金惠添鑫周开21号集合资产管理计划</t>
  </si>
  <si>
    <t>浙商金惠添鑫周开22号集合资产管理计划</t>
  </si>
  <si>
    <t>浙商金惠添鑫周开23号集合资产管理计划</t>
  </si>
  <si>
    <t>浙商金惠添鑫周开24号集合资产管理计划</t>
  </si>
  <si>
    <t>浙商金惠添鑫周开25号集合资产管理计划</t>
  </si>
  <si>
    <t>浙商金惠添鑫周开26号集合资产管理计划</t>
  </si>
  <si>
    <t>浙商金惠添鑫周开27号集合资产管理计划</t>
  </si>
  <si>
    <t>浙商金惠添鑫周开28号集合资产管理计划</t>
  </si>
  <si>
    <t>浙商金惠添鑫周开29号集合资产管理计划</t>
  </si>
  <si>
    <t>浙商金惠添鑫周开2号集合资产管理计划</t>
  </si>
  <si>
    <t>浙商金惠添鑫周开31号集合资产管理计划</t>
  </si>
  <si>
    <t>浙商金惠添鑫周开32号集合资产管理计划</t>
  </si>
  <si>
    <t>浙商金惠添鑫周开33号集合资产管理计划</t>
  </si>
  <si>
    <t>浙商金惠添鑫周开3号集合资产管理计划</t>
  </si>
  <si>
    <t>浙商金惠添鑫周开41号集合资产管理计划</t>
  </si>
  <si>
    <t>浙商金惠添鑫周开42号集合资产管理计划</t>
  </si>
  <si>
    <t>浙商金惠添鑫周开43号集合资产管理计划</t>
  </si>
  <si>
    <t>浙商金惠添鑫周开44号集合资产管理计划</t>
  </si>
  <si>
    <t>浙商金惠添鑫周开45号集合资产管理计划</t>
  </si>
  <si>
    <t>浙商金惠添鑫周开46号集合资产管理计划</t>
  </si>
  <si>
    <t>浙商金惠添鑫周开47号集合资产管理计划</t>
  </si>
  <si>
    <t>浙商金惠添鑫周开48号集合资产管理计划</t>
  </si>
  <si>
    <t>浙商金惠添鑫周开49号集合资产管理计划</t>
  </si>
  <si>
    <t>浙商金惠添鑫周开4号集合资产管理计划</t>
  </si>
  <si>
    <t>浙商金惠添鑫周开50号集合资产管理计划</t>
  </si>
  <si>
    <t>浙商金惠添鑫周开51号集合资产管理计划</t>
  </si>
  <si>
    <t>浙商金惠添鑫周开52号集合资产管理计划</t>
  </si>
  <si>
    <t>浙商金惠添鑫周开53号集合资产管理计划</t>
  </si>
  <si>
    <t>浙商金惠添鑫周开5号集合资产管理计划</t>
  </si>
  <si>
    <t>浙商金惠添鑫周开6号集合资产管理计划</t>
  </si>
  <si>
    <t>浙商金惠添鑫周开7号集合资产管理计划</t>
  </si>
  <si>
    <t>浙商金惠添鑫周开8号集合资产管理计划</t>
  </si>
  <si>
    <t>浙商金惠添鑫周开9号集合资产管理计划</t>
  </si>
  <si>
    <t>浙商金惠添鑫增利1号1期集合资产管理计划</t>
  </si>
  <si>
    <t>浙商金惠添鑫增利1号2期集合资产管理计划</t>
  </si>
  <si>
    <t>浙商金惠添鑫增利1号3期集合资产管理计划</t>
  </si>
  <si>
    <t>浙商金惠聚禄周开1号集合资产管理计划</t>
  </si>
  <si>
    <t>浙商金惠聚禄周开2号集合资产管理计划</t>
  </si>
  <si>
    <t>浙商金惠鎏享周周购2号1期集合资产管理计划</t>
  </si>
  <si>
    <t>海保人寿保险股份有限公司一传统险（中行)</t>
  </si>
  <si>
    <t>海保人寿保险股份有限公司</t>
  </si>
  <si>
    <t>海保人寿保险股份有限公司一分红险</t>
  </si>
  <si>
    <t>海峡金桥财产保险股份有限公司-传统产品</t>
  </si>
  <si>
    <t>海峡金桥财产保险股份有限公司</t>
  </si>
  <si>
    <t>海通资管财富匠心100系列163期FOF单一资产管理计划</t>
  </si>
  <si>
    <t>上海海通证券资产管理有限公司</t>
  </si>
  <si>
    <t>海通资管通聚睿驰配置100号集合资产管理计划</t>
  </si>
  <si>
    <t>海通资管通聚私享168号FOF单一资产管理计划</t>
  </si>
  <si>
    <t>渤海证券股份有限公司</t>
  </si>
  <si>
    <t>生命保险资产管理有限公司睿驰增强12号资产管理产品</t>
  </si>
  <si>
    <t>生命保险资产管理有限公司睿驰增强6号资产管理产品</t>
  </si>
  <si>
    <t>生命保险资产管理有限公司睿驰增强8号资产管理产品</t>
  </si>
  <si>
    <t>生命保险资产管理有限公司睿驰增强9号资产管理产品</t>
  </si>
  <si>
    <t>生命资产睿驰增强1号资产管理产品</t>
  </si>
  <si>
    <t>生命资产睿驰增强3号资产管理产品</t>
  </si>
  <si>
    <t>生命资产睿驰增强5号资产管理产品</t>
  </si>
  <si>
    <t>甬兴证券有限公司自营账户</t>
  </si>
  <si>
    <t>甬兴证券有限公司</t>
  </si>
  <si>
    <t>申万菱信一申宏稳健1号单一资产管理计划</t>
  </si>
  <si>
    <t>申港证券股份有限公司自营账户</t>
  </si>
  <si>
    <t>盛泉恒元中证500指数增强73号私募证券投资基金</t>
  </si>
  <si>
    <t>盛泉恒元多策略对冲远见11号私募证券投资基金</t>
  </si>
  <si>
    <t>盛泉恒元多策略远见19号私募证券投资基金</t>
  </si>
  <si>
    <t>盛泉恒元沪深300指数增强76号私募证券投资基金</t>
  </si>
  <si>
    <t>盛泉恒元灵活配置8号私募证券投资基金</t>
  </si>
  <si>
    <t>盛泉恒元灵活配置专项34号私募证券投资基金</t>
  </si>
  <si>
    <t>盛泉恒元灵活配置专项6号私募证券投资基金</t>
  </si>
  <si>
    <t>盛泉恒元量化均衡专项4号私募证券投资基金</t>
  </si>
  <si>
    <t>盛泉恒元量化套利15号专项私募证券投资基金</t>
  </si>
  <si>
    <t>盛泉恒元量化套利1号专项私募证券投资基金</t>
  </si>
  <si>
    <t>盛泉恒元量化套利75号私募证券投资基金</t>
  </si>
  <si>
    <t>盛泉恒元量化套利9号私募证券投资基金</t>
  </si>
  <si>
    <t>盛泉恒元量化套利专项23号私募证券投资基金</t>
  </si>
  <si>
    <t>盛泉恒元量化套利专项24号私募证券投资基金</t>
  </si>
  <si>
    <t>盛泉恒元量化套利专项29号私募证券投资基金</t>
  </si>
  <si>
    <t>盛泉恒元量化套利专项35号私募证券投资基金</t>
  </si>
  <si>
    <t>盛泉恒元量化套利专项45号私募证券投资基金</t>
  </si>
  <si>
    <t>盛泉恒元量化套利专项48号私募证券投资基金</t>
  </si>
  <si>
    <t>盛泉恒元量化套利专项50号私募证券投资基金</t>
  </si>
  <si>
    <t>盛泉恒元量化套利专项57号私募证券投资基金</t>
  </si>
  <si>
    <t>盛泉恒元量化套利专项5号私募证券投资基金</t>
  </si>
  <si>
    <t>盛泉恒元量化套利专项69号私募证券投资基金</t>
  </si>
  <si>
    <t>第一创业基础设施1号集合资产管理计划</t>
  </si>
  <si>
    <t>第一创业基础设施2号集合资产管理计划</t>
  </si>
  <si>
    <t>第一创业基础设施5号单一资产管理计划</t>
  </si>
  <si>
    <t>第一创业证券股份有限公司自营账户</t>
  </si>
  <si>
    <t>粤开证券股份有限公司自营账户</t>
  </si>
  <si>
    <t>红塔证券股份有限公司自营账户</t>
  </si>
  <si>
    <t>英大证券有限责任公司自营投资账户</t>
  </si>
  <si>
    <t>英大证券有限责任公司</t>
  </si>
  <si>
    <t>蓝墨专享6号私募证券投资基金</t>
  </si>
  <si>
    <t>上海蓝墨投资管理有限公司</t>
  </si>
  <si>
    <t>西南证券安诚财险1号单一资产管理计划</t>
  </si>
  <si>
    <t>西藏信托-晟元1号集合资金信托计划</t>
  </si>
  <si>
    <t>西部证券股份有限公司自营账户</t>
  </si>
  <si>
    <t>诚泰财产保险股份有限公司传统</t>
  </si>
  <si>
    <t>诚泰财产保险股份有限公司</t>
  </si>
  <si>
    <t>诺德基金创新定增量化对冲51号单一资产管理计划</t>
  </si>
  <si>
    <t>诺德基金子牛10号单一资产管理计划</t>
  </si>
  <si>
    <t>诺德基金浦江66号单一资产管理计划</t>
  </si>
  <si>
    <t>财达证券股份有限公司自营投资账户</t>
  </si>
  <si>
    <t>量派300增强2号私募证券投资基</t>
  </si>
  <si>
    <t>上海量派投资管理有限公司</t>
  </si>
  <si>
    <t>量派CTA一号私募证券投资基金</t>
  </si>
  <si>
    <t>量派CTA二号私募证券投资基金</t>
  </si>
  <si>
    <t>量派专享二十一号私募证券投资基金</t>
  </si>
  <si>
    <t>量派专享六十九号私募证券投资基金</t>
  </si>
  <si>
    <t>量派专享六号私募证券投资基金</t>
  </si>
  <si>
    <t>量派专享四十一号私募证券投资基金</t>
  </si>
  <si>
    <t>量派中证2000指数增强62号私募证券投资基金</t>
  </si>
  <si>
    <t>量派信选中证A500指数增强70号私募证券投资基金</t>
  </si>
  <si>
    <t>量派信选对冲50号私募证券投资基金</t>
  </si>
  <si>
    <t>量派信选对冲55号私募证券投资基金</t>
  </si>
  <si>
    <t>量派内核1号私募证券投资基金</t>
  </si>
  <si>
    <t>量派内核3号私募证券投资基金</t>
  </si>
  <si>
    <t>量派对冲17号私募证券投资基金</t>
  </si>
  <si>
    <t>量派对冲31号私募证券投资基金</t>
  </si>
  <si>
    <t>量派对冲41号私募证券投资基金</t>
  </si>
  <si>
    <t>量派对冲9号私募证券投资基金</t>
  </si>
  <si>
    <t>量派广胜A500指数增强1号私募证券投资基金</t>
  </si>
  <si>
    <t>量派通合对冲1号私募证券投资基金</t>
  </si>
  <si>
    <t>量派陆享CTA十号私募证券投资基金</t>
  </si>
  <si>
    <t>金尧典28号私募证券投资基金</t>
  </si>
  <si>
    <t>上海金私募基金管理有限公司</t>
  </si>
  <si>
    <t>金至诚15号私募证券投资基金</t>
  </si>
  <si>
    <t>金锝尧典29号私募证券投资基金</t>
  </si>
  <si>
    <t>金锝诚意精心2号证券投资私募基金</t>
  </si>
  <si>
    <t>银叶新玉优选6期私募证券投资基金</t>
  </si>
  <si>
    <t>上海银叶投资有限公司</t>
  </si>
  <si>
    <t>银叶新玉优选私募证券投资基金</t>
  </si>
  <si>
    <t>银叶积汇3号私募证券投资基金</t>
  </si>
  <si>
    <t>银叶银徽起航1号私募证券投资基金</t>
  </si>
  <si>
    <t>银叶长安添瑞一号私募证券投资基金</t>
  </si>
  <si>
    <t>长城人寿保险股份有限公司-万能-个险万能</t>
  </si>
  <si>
    <t>长城人寿保险股份有限公司</t>
  </si>
  <si>
    <t>长城人寿保险股份有限公司-分红-个人分红</t>
  </si>
  <si>
    <t>长城人寿保险股份有限公司-自有资金</t>
  </si>
  <si>
    <t>长江财产保险股份有限公司一自有资金</t>
  </si>
  <si>
    <t>长江财产保险股份有限公司</t>
  </si>
  <si>
    <t>雾泽夏天量化套利2号私募证券投资基金</t>
  </si>
  <si>
    <t>雾泽夏天量化套利3号私募证券投资基金</t>
  </si>
  <si>
    <t>雾泽夏天量化套利6号私募证券投资基金</t>
  </si>
  <si>
    <t>雾泽夏天量化进取1号私募证券投资基金</t>
  </si>
  <si>
    <t>雾泽夏天量化进取2号私募证券投资基金</t>
  </si>
  <si>
    <t>雾泽艾比之路私募证券投资基金</t>
  </si>
  <si>
    <t>雾泽苹果1号私募证券投资基金</t>
  </si>
  <si>
    <t>青岛汉河集团股份有限公司</t>
  </si>
  <si>
    <t>首创证券股份有限公司自营账户</t>
  </si>
  <si>
    <t>中信保诚人寿保险有限公司</t>
  </si>
  <si>
    <t>中信建投证券股份有限公司（代表“中信建投建信3号集合资产管理计划”）</t>
  </si>
  <si>
    <t>中国保险投资基金（有限合伙）</t>
  </si>
  <si>
    <t>中国长城资产管理股份有限公司</t>
  </si>
  <si>
    <t>中海环宇商业发展（深圳）有限公司</t>
  </si>
  <si>
    <t>信达澳亚基金管理有限公司（代表“信澳航泰1号单一资产管理计划”）</t>
  </si>
  <si>
    <t>华夏基金管理有限公司（代表“华夏基金-磐石臻选1号单一资产管理计划”）</t>
  </si>
  <si>
    <t>华夏基金管理有限公司（代表“华夏基金国民养老1号单一资产管理计划”）</t>
  </si>
  <si>
    <t>华夏基金管理有限公司（代表“华夏基金瑞思1号单一资产管理计划”）</t>
  </si>
  <si>
    <t>华能贵诚信托有限公司（代表“华能信托·北诚瑞驰2号资金信托”）</t>
  </si>
  <si>
    <t>厦门源峰基础设施股权投资基金合伙企业（有限合伙）</t>
  </si>
  <si>
    <t>嘉实基金管理有限公司（代表“嘉实基金宝睿9号单一资产管理计划”）</t>
  </si>
  <si>
    <t>国金基金管理有限公司（代表“国金基金-星火睿驰FOF2号单一资产管理计划”）</t>
  </si>
  <si>
    <t>国金基金管理有限公司</t>
  </si>
  <si>
    <t>招商基金管理有限公司（代表“招商基金长盈基础资产1号单一资产管理计划”）</t>
  </si>
  <si>
    <t>招商财富资产管理有限公司（代表“招商财富-启航2号单一资产管理计划”）</t>
  </si>
  <si>
    <t>招商财富资产管理有限公司（代表“招商财富-启航3号单一资产管理计划”）</t>
  </si>
  <si>
    <t>招商财富资产管理有限公司（代表“招商财富-践昇多资产2号FOF单一资产管理计划”）</t>
  </si>
  <si>
    <t>深圳市高新投融资担保有限公司</t>
  </si>
  <si>
    <t>芜湖元康私募基金管理有限公司（代表“元康盛景22号私募证券投资基金”）</t>
  </si>
  <si>
    <t>芜湖元康私募基金管理有限公司</t>
  </si>
  <si>
    <t>万联证券股份有限公司自营账户</t>
  </si>
  <si>
    <t>万联证券股份有限公司</t>
  </si>
  <si>
    <t>三峡人寿-华泰资产-传统险委托投资组</t>
  </si>
  <si>
    <t>三峡人寿保险股份有限公司</t>
  </si>
  <si>
    <t>三星财险-工行</t>
  </si>
  <si>
    <t>上海信托添越睿金集合资金信托计划</t>
  </si>
  <si>
    <t>上海爱建信托有限责任公司-汇裕系列（稳健型）集合资金信托</t>
  </si>
  <si>
    <t>上海爱建信托有限责任公司</t>
  </si>
  <si>
    <t>上海迎水投资管理有限公司一迎水和谐1号私募证券投资基金</t>
  </si>
  <si>
    <t>上海迎水投资管理有限公司</t>
  </si>
  <si>
    <t>上海迎水投资管理有限公司一迎水和谐2号私募证券投资基金</t>
  </si>
  <si>
    <t>上海迎水投资管理有限公司一迎水龙凤呈祥12号私募证券投资基金</t>
  </si>
  <si>
    <t>上海迎水投资管理有限公司一迎水龙凤呈祥3号私募证券投资基金</t>
  </si>
  <si>
    <t>东吴证券新航13号集合资产管理计划</t>
  </si>
  <si>
    <t>东方红添利29号集合资产管理计划</t>
  </si>
  <si>
    <t>东方红添利31号集合资产管理计划</t>
  </si>
  <si>
    <t>东方红添盈32号集合资产管理计划</t>
  </si>
  <si>
    <t>东方红臻鑫3号集合资产管理计划</t>
  </si>
  <si>
    <t>东方财富证券乐享2号单一资产管理计</t>
  </si>
  <si>
    <t>东方财富证券乐财7号集合资产管理计</t>
  </si>
  <si>
    <t>东方财富证券安财1号集合资产管理计</t>
  </si>
  <si>
    <t>东方财富证券安财2号集合资产管理计</t>
  </si>
  <si>
    <t>东方财富证券昇财1号集合资产管理计</t>
  </si>
  <si>
    <t>东方财富证券昇财2号集合资产管理计</t>
  </si>
  <si>
    <t>东方财富证券财兴1号集合资产管理计</t>
  </si>
  <si>
    <t>东方财富证券财兴2号集合资产管理计</t>
  </si>
  <si>
    <t>东方财富证券财兴3号集合资产管理计</t>
  </si>
  <si>
    <t>东方财富证券财兴5号集合资产管理计</t>
  </si>
  <si>
    <t>东证融汇汇诚安赢11号集合资产管理计划</t>
  </si>
  <si>
    <t>东证融汇证券资产管理有限公司</t>
  </si>
  <si>
    <t>东证融汇汇诚安赢12号集合资产管理计划</t>
  </si>
  <si>
    <t>中信保诚基金信和1号单一资产管理计</t>
  </si>
  <si>
    <t>中信信托信益2号证券投资集合资金信托计划</t>
  </si>
  <si>
    <t>中信信托有限责任公司</t>
  </si>
  <si>
    <t>中信信托申聚1号证券投资信托计划</t>
  </si>
  <si>
    <t>中信建投瑞新增利6号单一资产管理计</t>
  </si>
  <si>
    <t>中信建投稳健增益智享6号集合资产管理计划</t>
  </si>
  <si>
    <t>中信建投稳健红利增强单一资产管理计</t>
  </si>
  <si>
    <t>中信建投稳利兴益1号集合资产管理计</t>
  </si>
  <si>
    <t>中信建投稳利龙享3号集合资产管理计</t>
  </si>
  <si>
    <t>中信建投鑫享增利1号集合资产管理计</t>
  </si>
  <si>
    <t>中信建投鑫享增利2号集合资产管理计</t>
  </si>
  <si>
    <t>中信建投鑫享稳益1号集合资产管理计</t>
  </si>
  <si>
    <t>中信期货-粤湾7号集合资产管理计划</t>
  </si>
  <si>
    <t>中信期货瑞信1号集合资产管理计划</t>
  </si>
  <si>
    <t>中再汇利2号资产管理产品</t>
  </si>
  <si>
    <t>中再资产-基建强国REITs主题资产管理产品</t>
  </si>
  <si>
    <t>中再资产-锐诚10号资产管理产品</t>
  </si>
  <si>
    <t>中原信托-盈享1号集合资金信托计划江苏省国际信托有限责任公司一江苏信</t>
  </si>
  <si>
    <t>中原信托有限公司</t>
  </si>
  <si>
    <t>中国人保资产债券REITs优选1号资产管理产品</t>
  </si>
  <si>
    <t>中国人保资产债券REITs优选2号资产管理产品</t>
  </si>
  <si>
    <t>中国人保资产管理股份有限公司</t>
  </si>
  <si>
    <t>中国人寿再保险有限责任公司</t>
  </si>
  <si>
    <t>中国人民人寿保险股份有限公司自有资</t>
  </si>
  <si>
    <t>中国人民健康保险股份有限公司自有资</t>
  </si>
  <si>
    <t>中国人民财产保险股份有限公司一传统一普通保险产品A</t>
  </si>
  <si>
    <t>中国人民财产保险股份有限公司一传统一普通保险产品B</t>
  </si>
  <si>
    <t>中国人民财产保险股份有限公司一传统一普通保险产品C</t>
  </si>
  <si>
    <t>中国人民财产保险股份有限公司一传统一普通保险产品D</t>
  </si>
  <si>
    <t>中国人民财产保险股份有限公司一传统一普通保险产品E</t>
  </si>
  <si>
    <t>中国农业再保险股份有限公司-农行专</t>
  </si>
  <si>
    <t>中国农业再保险股份有限公司-农行专户三</t>
  </si>
  <si>
    <t>中国大地财产保险股份有限公司</t>
  </si>
  <si>
    <t>中国对外经济贸易信托有限公司自营账</t>
  </si>
  <si>
    <t>中国融通财产保险有限公司一自有资金</t>
  </si>
  <si>
    <t>中国融通财产保险有限公司</t>
  </si>
  <si>
    <t>中国财产再保险有限责任公司一传统一普通保险产品</t>
  </si>
  <si>
    <t>中国财产再保险有限责任公司</t>
  </si>
  <si>
    <t>中意人寿保险有限公司-万能B账户</t>
  </si>
  <si>
    <t>中意人寿保险有限公司一中意人寿企业过渡年金分红托管专户（场内）</t>
  </si>
  <si>
    <t>中意资产一债券增强2号资产管理产品</t>
  </si>
  <si>
    <t>中意资产一债券精选13号资产管理产</t>
  </si>
  <si>
    <t>中意资产一新回报35号资产管理产品</t>
  </si>
  <si>
    <t>中意资产一新回报36号资产管理产品</t>
  </si>
  <si>
    <t>中意资产一新回报37号资产管理产品</t>
  </si>
  <si>
    <t>中意资产一新回报38号资产管理产品</t>
  </si>
  <si>
    <t>中意资管一工商银行一中意资产一安享稳健5号资产管理产品</t>
  </si>
  <si>
    <t>中汇人寿保险股份有限公司一泰康资产REITs 组合</t>
  </si>
  <si>
    <t>中泰资管8155号量化投资单一资产管理计划</t>
  </si>
  <si>
    <t>中粮信托·丰利23号集合资金信托计</t>
  </si>
  <si>
    <t>中粮信托·丰惠3号集合资金信托计划</t>
  </si>
  <si>
    <t>中粮期货粮鑫精选3号集合资产管理计</t>
  </si>
  <si>
    <t>中联-驰盈壹号私募股权投资基金山东省国际信托股份有限公司一山东信</t>
  </si>
  <si>
    <t>中联前源不动产基金管理有限公司</t>
  </si>
  <si>
    <t>中航基金REITs京彩1号集合资产管理计划</t>
  </si>
  <si>
    <t>中航基金管理有限公司</t>
  </si>
  <si>
    <t>中诚信托-嘉信配置12号集合资金信托计划</t>
  </si>
  <si>
    <t>中诚信托-鼎新12号集合资金信托计划</t>
  </si>
  <si>
    <t>中远海运财产保险自保有限公司传统</t>
  </si>
  <si>
    <t>中远海运财产保险自保有限公司</t>
  </si>
  <si>
    <t>中金向阳3号FOF单一资产管理计划</t>
  </si>
  <si>
    <t>中金新贝恒盈1号单一资产管理计划</t>
  </si>
  <si>
    <t>中金泰和1号ESG集合资产管理计划</t>
  </si>
  <si>
    <t>中金量化复兴1号集合资产管理计划</t>
  </si>
  <si>
    <t>中金长江财险债券1号单一资产管理计</t>
  </si>
  <si>
    <t>中金鼎昇丰裕1号单一资产管理计划</t>
  </si>
  <si>
    <t>中银国际证券股份有限公司自营投资账</t>
  </si>
  <si>
    <t>久铭专享9号私募证券投资基金</t>
  </si>
  <si>
    <t>云南信托-云和诚益2号集合资金信托计划</t>
  </si>
  <si>
    <t>云南省国际信托有限公司</t>
  </si>
  <si>
    <t>云南国际信托有限公司自营账户</t>
  </si>
  <si>
    <t>云南国际信托有限公司</t>
  </si>
  <si>
    <t>人保再保险股份有限公司一自有资金</t>
  </si>
  <si>
    <t>人保再保险股份有限公司</t>
  </si>
  <si>
    <t>人保资本投资管理有限公司</t>
  </si>
  <si>
    <t>众安在线财产保险股份有限公司自有资</t>
  </si>
  <si>
    <t>优美利金安子舟扬帆私募证券投资基金</t>
  </si>
  <si>
    <t>保险稳得福两全保险（分红型）（分红专二）</t>
  </si>
  <si>
    <t>保险股份有限公司稳得盈两全保险（分红型)新华人寿保险股份有限公司-新华人寿</t>
  </si>
  <si>
    <t>保险股份有限公司稳得盈两全保险（分红型)新华人寿保险股份有限公司</t>
  </si>
  <si>
    <t>信澳创信1号单一资产管理计划</t>
  </si>
  <si>
    <t>信达证券欣欣向荣13号单一资产管理计划</t>
  </si>
  <si>
    <t>兴证资管兴享多策略1号集合资产管理计划</t>
  </si>
  <si>
    <t>兴证资管阿尔法科睿106号单一资产管理计划</t>
  </si>
  <si>
    <t>兴证资管陆享多策略1号集合资产管理计划</t>
  </si>
  <si>
    <t>创金合信嘉悦12号集合资产管理计划</t>
  </si>
  <si>
    <t>创金合信城投高收益债增强1号集合资产管理计划</t>
  </si>
  <si>
    <t>创金合信恒鑫2号集合资产管理计划</t>
  </si>
  <si>
    <t>前海再保险股份有限公司传统</t>
  </si>
  <si>
    <t>华商基金-华安信盈10号单一资产管理计划</t>
  </si>
  <si>
    <t>华商基金管理有限公司</t>
  </si>
  <si>
    <t>华商基金-华安信盈11号单一资产管理计划</t>
  </si>
  <si>
    <t>华商基金-华安信盈12号单一资产管理计划</t>
  </si>
  <si>
    <t>华商基金-华安信盈13号单一资产管理计划</t>
  </si>
  <si>
    <t>华商基金-华安信盈14号单一资产管理计划</t>
  </si>
  <si>
    <t>华商基金-华安信盈15号单一资产管理计划</t>
  </si>
  <si>
    <t>华商基金-华安信盈16号单一资产管理计划</t>
  </si>
  <si>
    <t>华商基金-华安信盈17号单一资产管理计划</t>
  </si>
  <si>
    <t>华商基金-华安信盈18号单一资产管理计划</t>
  </si>
  <si>
    <t>华商基金-华安信盈19号单一资产管理计划</t>
  </si>
  <si>
    <t>华商基金-华安信盈1号单一资产管理计划</t>
  </si>
  <si>
    <t>华商基金-华安信盈20号单一资产管理计划</t>
  </si>
  <si>
    <t>华商基金-华安信盈2号单一资产管理计划</t>
  </si>
  <si>
    <t>华商基金-华安信盈3号单一资产管理计划</t>
  </si>
  <si>
    <t>华商基金-华安信盈4号单一资产管理计划</t>
  </si>
  <si>
    <t>华商基金-华安信盈5号单一资产管理计划</t>
  </si>
  <si>
    <t>华商基金-华安信盈6号单一资产管理计划</t>
  </si>
  <si>
    <t>华商基金-华安信盈7号单一资产管理计划</t>
  </si>
  <si>
    <t>华商基金-华安信盈8号单一资产管理计划</t>
  </si>
  <si>
    <t>华商基金-华安信盈9号单一资产管理计划</t>
  </si>
  <si>
    <t>华商基金-拾贝单一资产管理计划</t>
  </si>
  <si>
    <t>华商基金-永享单一资产管理计划</t>
  </si>
  <si>
    <t>华商基金-永安单一资产管理计划</t>
  </si>
  <si>
    <t>华商基金-永怡单一资产管理计划</t>
  </si>
  <si>
    <t>华商基金-永盈单一资产管理计划</t>
  </si>
  <si>
    <t>华商基金安盈1号集合资产管理计划</t>
  </si>
  <si>
    <t>华商基金悦享增利单一资产管理计划</t>
  </si>
  <si>
    <t>华商基金悦享增强单一资产管理计划</t>
  </si>
  <si>
    <t>华商基金悦享添利单一资产管理计划</t>
  </si>
  <si>
    <t>华商基金星斗1号集合资产管理计划</t>
  </si>
  <si>
    <t>华商基金盈源1号单一资产管理计划</t>
  </si>
  <si>
    <t>华安财保资管-民生银行-华安财保资管安创稳赢1号集合资产管理产品</t>
  </si>
  <si>
    <t>华宝信托有限责任公司-华宝信托瑞思1号集合资金信托计划</t>
  </si>
  <si>
    <t>华宝信托有限责任公司</t>
  </si>
  <si>
    <t>华宝证券华享添利10号集合资产管理计划</t>
  </si>
  <si>
    <t>华宝证券华享添利8号集合资产管理计</t>
  </si>
  <si>
    <t>华宝证券华享添利9号集合资产管理计</t>
  </si>
  <si>
    <t>华泰资产优势增益资产管理产品</t>
  </si>
  <si>
    <t>华泰资产优势平衡资产管理产品</t>
  </si>
  <si>
    <t>华泰资产优势智投资产管理产品</t>
  </si>
  <si>
    <t>华泰资产优势永续资产管理产品</t>
  </si>
  <si>
    <t>华泰资产优势稳航资产管理产品</t>
  </si>
  <si>
    <t>华泰资产优势聚能资产管理产品</t>
  </si>
  <si>
    <t>华泰资产优势赋能资产管理产品</t>
  </si>
  <si>
    <t>华泰资产优势轮动资产管理产品</t>
  </si>
  <si>
    <t>华泰资产强债1号资产管理产品</t>
  </si>
  <si>
    <t>华泰资管瑞新10号单一资产管理计划</t>
  </si>
  <si>
    <t>华泰资管瑞新11号单一资产管理计划</t>
  </si>
  <si>
    <t>华泰资管瑞新15号单一资产管理计划</t>
  </si>
  <si>
    <t>华泰资管瑞新16号单一资产管理计划</t>
  </si>
  <si>
    <t>华泰资管瑞新1号单一资产管理计划</t>
  </si>
  <si>
    <t>华泰资管瑞新20号单一资产管理计划</t>
  </si>
  <si>
    <t>华泰资管瑞新2号单一资产管理计划</t>
  </si>
  <si>
    <t>华泰资管瑞新3号单一资产管理计划</t>
  </si>
  <si>
    <t>华泰资管瑞新4号单一资产管理计划</t>
  </si>
  <si>
    <t>华泰资管瑞新5号单一资产管理计划</t>
  </si>
  <si>
    <t>华泰资管瑞新6号单一资产管理计划</t>
  </si>
  <si>
    <t>华泰资管瑞新7号单一资产管理计划</t>
  </si>
  <si>
    <t>华泰资管瑞新8号单一资产管理计划</t>
  </si>
  <si>
    <t>华泰资管瑞新9号单一资产管理计划</t>
  </si>
  <si>
    <t>华润元大基金安享单一资产管理计划</t>
  </si>
  <si>
    <t>华润元大基金管理有限公司</t>
  </si>
  <si>
    <t>华润元大基金安逸单一资产管理计划</t>
  </si>
  <si>
    <t>华润元大基金臻泓单一资产管理计划</t>
  </si>
  <si>
    <t>华源证券股份有限公司</t>
  </si>
  <si>
    <t>华鑫证券柏楚尊享1号单一资产管理计</t>
  </si>
  <si>
    <t>卓越优选专属商业养老保险（稳健回报</t>
  </si>
  <si>
    <t>南方基金瑞盈1号单一资产管理计划</t>
  </si>
  <si>
    <t>南方基金管理股份有限公司</t>
  </si>
  <si>
    <t>厦门信托-卓越9号集合资金信托计划</t>
  </si>
  <si>
    <t>厦门国际信托有限公司</t>
  </si>
  <si>
    <t>厦门信托-瑞思宏利1号集合资金信托计划</t>
  </si>
  <si>
    <t>嘉实基金国任宝睿6号单一资产管理计</t>
  </si>
  <si>
    <t>嘉实基金睿哲7号单一资产管理计划</t>
  </si>
  <si>
    <t>国富人寿保险股份有限公司一传统险产</t>
  </si>
  <si>
    <t>国民养老保险股份有限公司一国民国泰民安101期限保本型（三年滚动）商业</t>
  </si>
  <si>
    <t>国泰君安君享瑞投FOF1号集合资产管理计划</t>
  </si>
  <si>
    <t>上海国泰君安证券资产管理有限公司</t>
  </si>
  <si>
    <t>国联光盈添瑞1号集合资产管理计划</t>
  </si>
  <si>
    <t>国联光盈添瑞2号集合资产管理计划</t>
  </si>
  <si>
    <t>国联光盈添瑞3号集合资产管理计划</t>
  </si>
  <si>
    <t>国联安汇鸿添盈1号单一资产管理计划</t>
  </si>
  <si>
    <t>国联安基金管理有限公司</t>
  </si>
  <si>
    <t>国联定新101号单一资产管理计划</t>
  </si>
  <si>
    <t>国联定新臻享104号单一资产管理计划</t>
  </si>
  <si>
    <t>国联定新臻享105号单一资产管理计划</t>
  </si>
  <si>
    <t>国联定新臻享106号单一资产管理计划</t>
  </si>
  <si>
    <t>国联定新臻享108号单一资产管理计划</t>
  </si>
  <si>
    <t>国联欣欣向荣101号集合资产管理计划</t>
  </si>
  <si>
    <t>国联欣欣向荣102号集合资产管理计划</t>
  </si>
  <si>
    <t>国联欣欣向荣103号集合资产管理计划</t>
  </si>
  <si>
    <t>国联欣欣向荣104号集合资产管理计划</t>
  </si>
  <si>
    <t>国联欣欣向荣105号集合资产管理计划</t>
  </si>
  <si>
    <t>国联欣欣向荣106号集合资产管理计划</t>
  </si>
  <si>
    <t>国联欣欣向荣107号集合资产管理计划</t>
  </si>
  <si>
    <t>国联欣欣向荣108号集合资产管理计划</t>
  </si>
  <si>
    <t>国联欣欣向荣109号集合资产管理计划</t>
  </si>
  <si>
    <t>国联欣欣向荣110号集合资产管理计划</t>
  </si>
  <si>
    <t>国联欣欣向荣111号集合资产管理计划</t>
  </si>
  <si>
    <t>国联欣欣向荣112号集合资产管理计划</t>
  </si>
  <si>
    <t>国联欣欣向荣113号集合资产管理计划</t>
  </si>
  <si>
    <t>国联欣欣向荣114号集合资产管理计划</t>
  </si>
  <si>
    <t>国联欣欣向荣115号集合资产管理计划</t>
  </si>
  <si>
    <t>国联欣欣向荣116号集合资产管理计划</t>
  </si>
  <si>
    <t>国联欣欣向荣117号集合资产管理计划</t>
  </si>
  <si>
    <t>国联欣欣向荣118号集合资产管理计划</t>
  </si>
  <si>
    <t>国联欣欣向荣119号集合资产管理计划</t>
  </si>
  <si>
    <t>国联欣欣向荣120号集合资产管理计划</t>
  </si>
  <si>
    <t>国联欣欣向荣121号集合资产管理计划</t>
  </si>
  <si>
    <t>国联欣欣向荣122号集合资产管理计划</t>
  </si>
  <si>
    <t>国联欣欣向荣123号集合资产管理计划</t>
  </si>
  <si>
    <t>国联欣欣向荣124号集合资产管理计划</t>
  </si>
  <si>
    <t>国联欣欣向荣125号集合资产管理计划</t>
  </si>
  <si>
    <t>国联欣欣向荣126号集合资产管理计划</t>
  </si>
  <si>
    <t>国联欣欣向荣127号集合资产管理计划</t>
  </si>
  <si>
    <t>国联欣欣向荣128号集合资产管理计划</t>
  </si>
  <si>
    <t>国联欣欣向荣129号集合资产管理计划</t>
  </si>
  <si>
    <t>国联欣欣向荣130号集合资产管理计划</t>
  </si>
  <si>
    <t>国联欣欣向荣131号集合资产管理计划</t>
  </si>
  <si>
    <t>国联欣欣向荣132号集合资产管理计划</t>
  </si>
  <si>
    <t>国联欣欣向荣133号集合资产管理计划</t>
  </si>
  <si>
    <t>国联欣欣向荣134号集合资产管理计划</t>
  </si>
  <si>
    <t>国联欣欣向荣135号集合资产管理计划</t>
  </si>
  <si>
    <t>国联欣欣向荣136号集合资产管理计划</t>
  </si>
  <si>
    <t>国联欣欣向荣137号集合资产管理计划</t>
  </si>
  <si>
    <t>国联欣欣向荣138号集合资产管理计划</t>
  </si>
  <si>
    <t>国联欣欣向荣139号集合资产管理计划</t>
  </si>
  <si>
    <t>国联欣欣向荣140号集合资产管理计划</t>
  </si>
  <si>
    <t>国联欣欣向荣141号集合资产管理计划</t>
  </si>
  <si>
    <t>国联欣欣向荣142号集合资产管理计划</t>
  </si>
  <si>
    <t>国联欣欣向荣143号集合资产管理计划</t>
  </si>
  <si>
    <t>国联欣欣向荣144号集合资产管理计划</t>
  </si>
  <si>
    <t>国联欣欣向荣145号集合资产管理计划</t>
  </si>
  <si>
    <t>国联欣欣向荣146号集合资产管理计划</t>
  </si>
  <si>
    <t>国联欣欣向荣147号集合资产管理计划</t>
  </si>
  <si>
    <t>国联欣欣向荣148号集合资产管理计划</t>
  </si>
  <si>
    <t>国联欣欣向荣149号集合资产管理计划</t>
  </si>
  <si>
    <t>国联欣欣向荣150号集合资产管理计划</t>
  </si>
  <si>
    <t>国联欣欣向荣151号集合资产管理计划</t>
  </si>
  <si>
    <t>国联欣欣向荣152号集合资产管理计划</t>
  </si>
  <si>
    <t>国联欣欣向荣153号集合资产管理计划</t>
  </si>
  <si>
    <t>国联玉如意7号集合资产管理计划</t>
  </si>
  <si>
    <t>国联玉如意年年发10号集合资产管理计划</t>
  </si>
  <si>
    <t>国联玉如意年年发11号集合资产管理计划</t>
  </si>
  <si>
    <t>国联玉如意年年发12号集合资产管理计划</t>
  </si>
  <si>
    <t>国联玉如意年年发15号集合资产管理计划</t>
  </si>
  <si>
    <t>国联玉如意年年发16号集合资产管理计划</t>
  </si>
  <si>
    <t>国联玉如意年年发17号集合资产管理计划</t>
  </si>
  <si>
    <t>国联玉如意年年发18号集合资产管理计划</t>
  </si>
  <si>
    <t>国联玉如意年年发2号集合资产管理计</t>
  </si>
  <si>
    <t>国联玉如意年年发3号集合资产管理计</t>
  </si>
  <si>
    <t>国联玉如意年年发4号集合资产管理计</t>
  </si>
  <si>
    <t>国联玉如意年年发5号集合资产管理计</t>
  </si>
  <si>
    <t>国联玉如意年年发7号集合资产管理计</t>
  </si>
  <si>
    <t>国联玉如意年年发8号集合资产管理计</t>
  </si>
  <si>
    <t>国联玉如意年年发9号集合资产管理计</t>
  </si>
  <si>
    <t>国联玉如意年年发集合资产管理计划</t>
  </si>
  <si>
    <t>国联睿远周周盈2号集合资产管理计划</t>
  </si>
  <si>
    <t>国联睿远周周盈3号集合资产管理计划</t>
  </si>
  <si>
    <t>国联证券私享强债1号集合资产管理计</t>
  </si>
  <si>
    <t>国联证券股份有限公司</t>
  </si>
  <si>
    <t>国证资管创赢北瑞1号单一资产管理计</t>
  </si>
  <si>
    <t>国金证券鑫熠2号集合资产管理计划</t>
  </si>
  <si>
    <t>国金资管东创1号单一资产管理计划</t>
  </si>
  <si>
    <t>国金资管金牛1号集合资产管理计划</t>
  </si>
  <si>
    <t>国金资管金邮1号集合资产管理计划</t>
  </si>
  <si>
    <t>国金资管金邮2号集合资产管理计划</t>
  </si>
  <si>
    <t>国金资管金邮3号集合资产管理计划</t>
  </si>
  <si>
    <t>国金资管金邮4号集合资产管理计划</t>
  </si>
  <si>
    <t>国金资管鑫熠5号集合资产管理计划</t>
  </si>
  <si>
    <t>圆信永丰基本面进取1号集合资产管理计划</t>
  </si>
  <si>
    <t>圆信永丰基本面驱动5号单一资产管理计划</t>
  </si>
  <si>
    <t>圆信永丰基本面驱动7号单一资产管理计划</t>
  </si>
  <si>
    <t>圆信永丰基本面驱动9号集合资产管理计划</t>
  </si>
  <si>
    <t>圆信永丰基本面驱动绝对收益3号单一资产管理计划</t>
  </si>
  <si>
    <t>圆信永丰科创添利1号单一资产管理计</t>
  </si>
  <si>
    <t>圆信永丰科创添利2号单一资产管理计</t>
  </si>
  <si>
    <t>外贸信托-信诚6号集合资金信托计划</t>
  </si>
  <si>
    <t>外贸信托-光润13号集合资金信托计划</t>
  </si>
  <si>
    <t>外贸信托-稳盈淳享86号集合资金信托计划</t>
  </si>
  <si>
    <t>外贸信托一固盈粤享5号集合资金信托计划</t>
  </si>
  <si>
    <t>大家资产稳健优选1号固定收益类资产管理产品</t>
  </si>
  <si>
    <t>大家资产稳健优选2号固定收益类资产管理产品</t>
  </si>
  <si>
    <t>大家资产稳健优选3号固定收益类资产管理产品</t>
  </si>
  <si>
    <t>宁银理财宁享固定收益类优选日开理财2号</t>
  </si>
  <si>
    <t>宁银理财有限责任公司</t>
  </si>
  <si>
    <t>宁银理财宁享安和固定收益类日开理财3号（最短持有60天）</t>
  </si>
  <si>
    <t>宁银理财宁享转债增强固定收益类理财2号（最短持有100天）</t>
  </si>
  <si>
    <t>宁银理财宁欣固定收益类9个月周期型理财2号</t>
  </si>
  <si>
    <t>宁银理财宁欣固定收益类一年定期开放式理财16号</t>
  </si>
  <si>
    <t>宁银理财宁欣固定收益类一年定期开放式理财19号</t>
  </si>
  <si>
    <t>宁银理财宁欣固定收益类一年定期开放式理财1号</t>
  </si>
  <si>
    <t>宁银理财宁欣固定收益类一年定期开放式理财21号</t>
  </si>
  <si>
    <t>宁银理财宁欣固定收益类一年定期开放式理财26号</t>
  </si>
  <si>
    <t>宁银理财宁欣固定收益类一年定期开放式理财2号</t>
  </si>
  <si>
    <t>宁银理财宁欣固定收益类一年定期开放式理财32号</t>
  </si>
  <si>
    <t>宁银理财宁欣固定收益类一年定期开放式理财34号</t>
  </si>
  <si>
    <t>宁银理财宁欣固定收益类一年定期开放式理财4号</t>
  </si>
  <si>
    <t>宁银理财宁欣固定收益类一年定期开放式理财7号（周年庆专属）</t>
  </si>
  <si>
    <t>宁银理财宁欣固定收益类半年定期开放式理财24号</t>
  </si>
  <si>
    <t>宁银理财宁欣固定收益类半年定期开放式理财5号</t>
  </si>
  <si>
    <t>宁银理财宁欣固定收益类半年定期开放式理财6号</t>
  </si>
  <si>
    <t>宁银理财宁欣固定收益类半年定期开放式理财8号（周年庆专属）</t>
  </si>
  <si>
    <t>宁银理财宁欣固定收益类日开产品2号（最短持有100天）</t>
  </si>
  <si>
    <t>宁银理财宁欣固定收益类日开理财1号（最短持有200天）</t>
  </si>
  <si>
    <t>宁银理财宁欣固定收益类日开理财8号（最短持有300天）</t>
  </si>
  <si>
    <t>宁银理财宁欣固定收益类日开理财9号（最短持有90天）</t>
  </si>
  <si>
    <t>宁银理财宁欣固定收益类日申半年赎理财1号</t>
  </si>
  <si>
    <t>宁银理财宁欣固定收益类日申半年赎理财2号</t>
  </si>
  <si>
    <t>宁银理财宁欣固定收益类日申季赎理财1号</t>
  </si>
  <si>
    <t>宁银理财宁欣固定收益类日申季赎理财2号</t>
  </si>
  <si>
    <t>宁银理财宁欣固定收益类日申季赎理财4号</t>
  </si>
  <si>
    <t>宁银理财宁欣固定收益类日申季赎理财9号</t>
  </si>
  <si>
    <t>宁银理财宁欣固定收益类日申年赎理财1号</t>
  </si>
  <si>
    <t>宁银理财宁欣日日盈固定收益类日开理财9号（最短持有100天）</t>
  </si>
  <si>
    <t>宁银理财晶耀固定收益类一年定期开放式理财1号</t>
  </si>
  <si>
    <t>宁银理财晶耀固定收益类一年定期开放式理财2号（周年庆专属）</t>
  </si>
  <si>
    <t>宁银理财晶耀固定收益类一年定期开放式理财3号</t>
  </si>
  <si>
    <t>宁银理财晶耀固定收益类一年定期开放式理财4号</t>
  </si>
  <si>
    <t>宁银理财晶耀固定收益类一年定期开放式理财5号</t>
  </si>
  <si>
    <t>宁银理财晶耀固定收益类一年定期开放式理财6号</t>
  </si>
  <si>
    <t>宁银理财晶耀固定收益类一年定期开放式理财7号</t>
  </si>
  <si>
    <t>安联全享多利2号资产管理产品</t>
  </si>
  <si>
    <t>宽投宽涌私募证券投资基金</t>
  </si>
  <si>
    <t>宽投寓诚私募证券投资基金</t>
  </si>
  <si>
    <t>宽投智多星3号私募证券投资基金</t>
  </si>
  <si>
    <t>宽投瑞阳私募证券投资基金</t>
  </si>
  <si>
    <t>宽投盛相9号私募证券投资基金</t>
  </si>
  <si>
    <t>尊享收益10F私募证券投资基金</t>
  </si>
  <si>
    <t>尊享收益10G私募证券投资基金</t>
  </si>
  <si>
    <t>尊享收益55号证券投资基金</t>
  </si>
  <si>
    <t>尊享收益58号证券投资基金</t>
  </si>
  <si>
    <t>尊享收益59号证券投资基金</t>
  </si>
  <si>
    <t>尊享收益95号私募证券投资基金</t>
  </si>
  <si>
    <t>少数派51A私募证券投资基金</t>
  </si>
  <si>
    <t>少数派51G私募证券投资基金</t>
  </si>
  <si>
    <t>少数派62号私募证券投资基金</t>
  </si>
  <si>
    <t>少数派64号私募证券投资基金</t>
  </si>
  <si>
    <t>少数派7号投资基金</t>
  </si>
  <si>
    <t>少数派8D证券投资基金</t>
  </si>
  <si>
    <t>少数派尊享收益68A私募证券投资基</t>
  </si>
  <si>
    <t>少数派尊享收益68B私募证券投资基金</t>
  </si>
  <si>
    <t>少数派尊享收益68C私募证券投资基金</t>
  </si>
  <si>
    <t>少数派尊享收益68D私募证券投资基</t>
  </si>
  <si>
    <t>少数派尊享收益68号私募证券投资基</t>
  </si>
  <si>
    <t>少数派尊享收益69号私募证券投资基</t>
  </si>
  <si>
    <t>少数派锦上添花10号私募证券投资基</t>
  </si>
  <si>
    <t>少数派锦上添花8号私募证券投资基金</t>
  </si>
  <si>
    <t>少数派锦上添花9号私募证券投资基金</t>
  </si>
  <si>
    <t>少数派锦绣前程A私募证券投资基金</t>
  </si>
  <si>
    <t>少数派锦绣前程C私募证券投资基金</t>
  </si>
  <si>
    <t>少数派锦绣前程F私募证券投资基金</t>
  </si>
  <si>
    <t>平安基金-平安产险长盈1号单一资产管理计划</t>
  </si>
  <si>
    <t>平安汇通-稳祥1号B单一资产管理计</t>
  </si>
  <si>
    <t>平安汇通私行安丰1号单一资产管理计</t>
  </si>
  <si>
    <t>平安资产丰禾1号资产管理产品</t>
  </si>
  <si>
    <t>平安资产管理有限责任公司</t>
  </si>
  <si>
    <t>平安资产丰禾2号资产管理产品</t>
  </si>
  <si>
    <t>平安资产丰禾3号资产管理产品</t>
  </si>
  <si>
    <t>平安资产丰禾4号资产管理产品</t>
  </si>
  <si>
    <t>平安资产丰禾5号资产管理产品</t>
  </si>
  <si>
    <t>平安资产丰禾6号资产管理产品</t>
  </si>
  <si>
    <t>平安资产云丰2号资产管理产品</t>
  </si>
  <si>
    <t>平安资产创赢157号资产管理产品</t>
  </si>
  <si>
    <t>平安资产创赢15号资产管理产品</t>
  </si>
  <si>
    <t>平安资产创赢161号资产管理产品</t>
  </si>
  <si>
    <t>平安资产创赢24号资产管理产品</t>
  </si>
  <si>
    <t>平安资产如意53号资产管理产品</t>
  </si>
  <si>
    <t>平安资产如意56号资产管理产品</t>
  </si>
  <si>
    <t>平安资产如意59号资产管理产品</t>
  </si>
  <si>
    <t>平安资产春晖18号资产管理产品</t>
  </si>
  <si>
    <t>平安资产春晖19号资产管理产品</t>
  </si>
  <si>
    <t>平安资产春晖1号资产管理产品</t>
  </si>
  <si>
    <t>平安资产春晖22号资产管理产品</t>
  </si>
  <si>
    <t>平安资产春晖23号资产管理产品</t>
  </si>
  <si>
    <t>平安资产春晖24号资产管理产品</t>
  </si>
  <si>
    <t>平安资产春晖25号资产管理产品</t>
  </si>
  <si>
    <t>平安资产春晖26号资产管理产品</t>
  </si>
  <si>
    <t>平安资产春晖27号资产管理产品</t>
  </si>
  <si>
    <t>平安资产春晖2号资产管理产品</t>
  </si>
  <si>
    <t>平安资产春晖3号资产管理产品</t>
  </si>
  <si>
    <t>平安资产春晖4号资产管理产品</t>
  </si>
  <si>
    <t>平安资产春晖5号资产管理产品</t>
  </si>
  <si>
    <t>平安资产春晖6号资产管理产品</t>
  </si>
  <si>
    <t>平安资产春晖7号资产管理产品</t>
  </si>
  <si>
    <t>平安资产春晖8号资产管理产品</t>
  </si>
  <si>
    <t>平安资产春晖9号资产管理产品</t>
  </si>
  <si>
    <t>平安资产春风55号资产管理产品</t>
  </si>
  <si>
    <t>平安资产春风77号资产管理产品</t>
  </si>
  <si>
    <t>平安资产秋实10号资产管理产品</t>
  </si>
  <si>
    <t>平安资产秋实30号资产管理产品</t>
  </si>
  <si>
    <t>平安资产秋实33号资产管理产品</t>
  </si>
  <si>
    <t>平安资产秋实43号资产管理产品</t>
  </si>
  <si>
    <t>平安资产秋实53号资产管理产品</t>
  </si>
  <si>
    <t>平安资产秋实55号资产管理产品</t>
  </si>
  <si>
    <t>平安资产秋实74号资产管理产品</t>
  </si>
  <si>
    <t>平安资产鑫享53号资产管理产品</t>
  </si>
  <si>
    <t>平安资产鑫享55号资产管理产品</t>
  </si>
  <si>
    <t>平安资产鑫福10号资产管理产品</t>
  </si>
  <si>
    <t>平安资产青松ESG2号资产管理产品</t>
  </si>
  <si>
    <t>平安资产青松ESG5号资产管理产品</t>
  </si>
  <si>
    <t>平安资产青松ESG6号资产管理产品</t>
  </si>
  <si>
    <t>广发资管佳泰3号集合资产管理计划</t>
  </si>
  <si>
    <t>广发资管创鑫利110号集合资产管理计</t>
  </si>
  <si>
    <t>广发资管创鑫利30号集合资产管理计</t>
  </si>
  <si>
    <t>广发资管创鑫利31号集合资产管理计</t>
  </si>
  <si>
    <t>广发资管创鑫利32号集合资产管理计</t>
  </si>
  <si>
    <t>广发资管创鑫利33号集合资产管理计</t>
  </si>
  <si>
    <t>广发资管创鑫利34号集合资产管理计</t>
  </si>
  <si>
    <t>广发资管双债增利101号单一资产管理计划</t>
  </si>
  <si>
    <t>广发资管双债增利1号集合资产管理计</t>
  </si>
  <si>
    <t>广发资管广牛1号集合资产管理计划</t>
  </si>
  <si>
    <t>广发资管瑞鑫利101号集合资产管理计</t>
  </si>
  <si>
    <t>广发资管瑞鑫利10号单一资产管理计</t>
  </si>
  <si>
    <t>广发资管瑞鑫利11号单一资产管理计</t>
  </si>
  <si>
    <t>广发资管瑞鑫利13号单一资产管理计</t>
  </si>
  <si>
    <t>广发资管瑞鑫利1号单一资产管理计划</t>
  </si>
  <si>
    <t>广发资管瑞鑫利3号单一资产管理计划</t>
  </si>
  <si>
    <t>广发资管瑞鑫利50号单一资产管理计</t>
  </si>
  <si>
    <t>广发资管瑞鑫利52号单一资产管理计</t>
  </si>
  <si>
    <t>广发资管瑞鑫利5号单一资产管理计划</t>
  </si>
  <si>
    <t>广发资管瑞鑫利8号单一资产管理计划</t>
  </si>
  <si>
    <t>广发资管瑞鑫利9号单一资产管理计划</t>
  </si>
  <si>
    <t>广发资管瑞鑫贵享1号集合资产管理计</t>
  </si>
  <si>
    <t>广发资管瑞鑫贵享2号集合资产管理计</t>
  </si>
  <si>
    <t>广发资管瑞鑫贵享3号集合资产管理计</t>
  </si>
  <si>
    <t>广发资管财固4号单一资产管理计划</t>
  </si>
  <si>
    <t>广金美好安享成长1号私募证券投资基</t>
  </si>
  <si>
    <t>建信资本星链28号单一资产管理计划</t>
  </si>
  <si>
    <t>德邦心连心曦和1号集合资产管理计划</t>
  </si>
  <si>
    <t>德邦心连心曦和4号集合资产管理计划</t>
  </si>
  <si>
    <t>德邦证券东家京享1号集合资产管理计</t>
  </si>
  <si>
    <t>德邦资管星瑞2号集合资产管理计划</t>
  </si>
  <si>
    <t>德邦资管星瑞3号集合资产管理计划</t>
  </si>
  <si>
    <t>德邦资管星瑞周周盈3号集合资产管理计划</t>
  </si>
  <si>
    <t>德邦资管星瑞周周盈一四开集合资产管理计划</t>
  </si>
  <si>
    <t>德邦资管星瑞周周盈二三五开集合资产管理计划</t>
  </si>
  <si>
    <t>德邦资管星瑞周周盈五二开集合资产管理计划</t>
  </si>
  <si>
    <t>恒生前海周周鑫1号集合资产管理计划</t>
  </si>
  <si>
    <t>恒邦财产保险股份有限公司</t>
  </si>
  <si>
    <t>或然赋益私募证券投资基金</t>
  </si>
  <si>
    <t>或然赋赢一号私募证券投资基金</t>
  </si>
  <si>
    <t>或然赋赢八号私募证券投资基金</t>
  </si>
  <si>
    <t>托·工银理财基础设施1号集合资金信托计划</t>
  </si>
  <si>
    <t>托·工银理财基础设施2号集合资金信托计划江苏省国际信托有限责任公司一江苏信</t>
  </si>
  <si>
    <t>托·工银理财基础设施2号集合资金信托计划江苏省国际信托有限责任公司</t>
  </si>
  <si>
    <t>托·工银理财基础设施4号集合资金信托计划</t>
  </si>
  <si>
    <t>托·浙商金惠添鑫增利2号集合资金信托计划</t>
  </si>
  <si>
    <t>招商信诺人寿保险有限公司-传统</t>
  </si>
  <si>
    <t>招商信诺人寿保险有限公司一分红</t>
  </si>
  <si>
    <t>招商基金基础资产8号集合资产管理计</t>
  </si>
  <si>
    <t>招商财富-招银基础设施2号集合资产管理计划</t>
  </si>
  <si>
    <t>招商财富-招银基础设施3号集合资产管理计划</t>
  </si>
  <si>
    <t>新华人寿保险股份有限公司-万能产品</t>
  </si>
  <si>
    <t>新华人寿保险股份有限公司-分红-个人分红</t>
  </si>
  <si>
    <t>新华人寿保险股份有限公司-新传统产</t>
  </si>
  <si>
    <t>新华人寿保险股份有限公司-新分红产</t>
  </si>
  <si>
    <t>新华人寿保险股份有限公司-新华人寿惠金生年金保险产品（传统专一）新华人寿保险股份有限公司-新华人寿</t>
  </si>
  <si>
    <t>新华人寿保险股份有限公司-财富一号万能产品新华人寿保险股份有限公司-新华人寿</t>
  </si>
  <si>
    <t>新华人寿保险股份有限公司一新华人寿保险稳得盈两全保险（分红型）</t>
  </si>
  <si>
    <t>新华人寿保险股份有限公司一新华人寿鑫金利终身寿险(万能型)(电信万能)</t>
  </si>
  <si>
    <t>新华人寿保险股份有限公司新华人寿保险股份有限公司一新华人寿</t>
  </si>
  <si>
    <t>明毅永宁私募证券投资基金</t>
  </si>
  <si>
    <t>格林基金乐盈1号单一资产管理计划</t>
  </si>
  <si>
    <t>格林基金管理有限公司</t>
  </si>
  <si>
    <t>格林基金华远1号单一资产管理计划</t>
  </si>
  <si>
    <t>格林基金华远2号单一资产管理计划</t>
  </si>
  <si>
    <t>格林基金如盈1号单一资产管理计划</t>
  </si>
  <si>
    <t>格林基金富仁1号单一资产管理计划</t>
  </si>
  <si>
    <t>格林基金富利1号单一资产管理计划</t>
  </si>
  <si>
    <t>格林基金富益1号单一资产管理计划</t>
  </si>
  <si>
    <t>民生通惠和谐5号资产管理产品</t>
  </si>
  <si>
    <t>民生通惠资产管理有限公司</t>
  </si>
  <si>
    <t>民生通惠和谐6号资产管理产品</t>
  </si>
  <si>
    <t>民生通惠和谐7号资产管理产品</t>
  </si>
  <si>
    <t>民生通惠和谐8号资产管理产品</t>
  </si>
  <si>
    <t>民生通惠汇通2号资产管理产品</t>
  </si>
  <si>
    <t>民生通惠纯债4号资产管理产品</t>
  </si>
  <si>
    <t>民生通惠纯债5号资产管理产品</t>
  </si>
  <si>
    <t>民生通惠聚信2号资产管理产品</t>
  </si>
  <si>
    <t>民生通惠聚信3号资产管理产品</t>
  </si>
  <si>
    <t>民生通惠通汇9号资产管理产品</t>
  </si>
  <si>
    <t>民生通惠长益1号资产管理产品</t>
  </si>
  <si>
    <t>永赢基金兴多鑫10号集合资产管理计</t>
  </si>
  <si>
    <t>永赢基金兴多鑫1号集合资产管理计划</t>
  </si>
  <si>
    <t>永赢基金兴多鑫2号集合资产管理计划</t>
  </si>
  <si>
    <t>永赢基金兴多鑫3号集合资产管理计划</t>
  </si>
  <si>
    <t>永赢基金兴多鑫4号集合资产管理计划</t>
  </si>
  <si>
    <t>永赢基金兴多鑫5号集合资产管理计划</t>
  </si>
  <si>
    <t>永赢基金兴多鑫6号集合资产管理计划</t>
  </si>
  <si>
    <t>永赢基金兴多鑫7号集合资产管理计划</t>
  </si>
  <si>
    <t>永赢基金兴多鑫8号集合资产管理计划</t>
  </si>
  <si>
    <t>永赢基金兴多鑫9号集合资产管理计划</t>
  </si>
  <si>
    <t>汇添富华胜1号单一资产管理计划</t>
  </si>
  <si>
    <t>汇添富双擎添利1号集合资产管理计划</t>
  </si>
  <si>
    <t>汇添富双擎添利2号集合资产管理计划</t>
  </si>
  <si>
    <t>汇添富双擎添利5号集合资产管理计划</t>
  </si>
  <si>
    <t>汇添富双擎添利6号集合资产管理计划</t>
  </si>
  <si>
    <t>汇添富双擎添利7号集合资产管理计划</t>
  </si>
  <si>
    <t>汇添富双擎添利8号集合资产管理计划</t>
  </si>
  <si>
    <t>汇添富双源增益单一资产管理计划</t>
  </si>
  <si>
    <t>汇添富基金国民养老国泰民安中性策略2号单一资产管理计划</t>
  </si>
  <si>
    <t>汇添富基金国民养老国泰民安中性策略3号单一资产管理计划</t>
  </si>
  <si>
    <t>汇添富基金国民养老国泰民安中性策略4号单一资产管理计划</t>
  </si>
  <si>
    <t>汇添富基金国民养老国泰民安中性策略5号单一资产管理计划</t>
  </si>
  <si>
    <t>汇百川兴汇1号单一资产管理计划</t>
  </si>
  <si>
    <t>汇百川兴汇2号单一资产管理计划</t>
  </si>
  <si>
    <t>汇百川兴汇3号单一资产管理计划</t>
  </si>
  <si>
    <t>汇百川兴汇4号单一资产管理计划</t>
  </si>
  <si>
    <t>汇百川兴汇5号单一资产管理计划</t>
  </si>
  <si>
    <t>汇百川兴汇6号单一资产管理计划</t>
  </si>
  <si>
    <t>汇百川国汇19号集合资产管理计划</t>
  </si>
  <si>
    <t>汇百川国汇20号集合资产管理计划</t>
  </si>
  <si>
    <t>汇百川国汇27号单资产管理计划</t>
  </si>
  <si>
    <t>汇百川国汇28号单资产管理计划</t>
  </si>
  <si>
    <t>汇百川国汇29号单资产管理计划</t>
  </si>
  <si>
    <t>汇百川国汇2号单资产管理计划</t>
  </si>
  <si>
    <t>汇百川国汇35号单一一资产管理计划</t>
  </si>
  <si>
    <t>汇百川国汇37号单资产管理计划</t>
  </si>
  <si>
    <t>汇百川国汇47号单一资产管理计划</t>
  </si>
  <si>
    <t>汇百川国汇48号单一资产管理计划</t>
  </si>
  <si>
    <t>汇百川国汇4号单资产管理计划</t>
  </si>
  <si>
    <t>汇百川国汇51号集合资产管理计划</t>
  </si>
  <si>
    <t>汇百川国汇52号集合资产管理计划</t>
  </si>
  <si>
    <t>汇百川国汇5号单资产管理计划</t>
  </si>
  <si>
    <t>汇百川国汇6号单资产管理计划</t>
  </si>
  <si>
    <t>汇百川基金君汇10号集合资产管理计</t>
  </si>
  <si>
    <t>汇百川基金君汇11号单一资产管理计</t>
  </si>
  <si>
    <t>汇百川基金君汇12号单一资产管理计</t>
  </si>
  <si>
    <t>汇百川基金君汇13号单一资产管理计</t>
  </si>
  <si>
    <t>汇百川基金君汇15号单一资产管理计</t>
  </si>
  <si>
    <t>汇百川基金君汇16号单一资产管理计</t>
  </si>
  <si>
    <t>汇百川基金君汇17号单一资产管理计</t>
  </si>
  <si>
    <t>汇百川基金君汇18号单一资产管理计</t>
  </si>
  <si>
    <t>汇百川基金君汇19号单一资产管理计</t>
  </si>
  <si>
    <t>汇百川基金君汇1号集合资产管理计划</t>
  </si>
  <si>
    <t>汇百川基金君汇21号单一资产管理计</t>
  </si>
  <si>
    <t>汇百川基金君汇22号单一资产管理计</t>
  </si>
  <si>
    <t>汇百川基金君汇2号集合资产管理计划</t>
  </si>
  <si>
    <t>汇百川基金君汇3号集合资产管理计划</t>
  </si>
  <si>
    <t>汇百川基金君汇4号集合资产管理计划</t>
  </si>
  <si>
    <t>汇百川基金君汇5号集合资产管理计划</t>
  </si>
  <si>
    <t>汇百川基金君汇6号集合资产管理计划</t>
  </si>
  <si>
    <t>汇百川基金君汇7号集合资产管理计划</t>
  </si>
  <si>
    <t>汇百川基金君汇8号集合资产管理计划</t>
  </si>
  <si>
    <t>汇百川基金君汇9号集合资产管理计划</t>
  </si>
  <si>
    <t>汇百川基金盛汇90天持有4号集合资产管理计划</t>
  </si>
  <si>
    <t>汇百川基金虹汇3号单一资产管理计划</t>
  </si>
  <si>
    <t>汇百川恒汇4号单一资产管理计划</t>
  </si>
  <si>
    <t>汇百川新汇1号单一资产管理计划</t>
  </si>
  <si>
    <t>汇百川新汇2号单一资产管理计划</t>
  </si>
  <si>
    <t>汇百川新汇3号单一资产管理计划</t>
  </si>
  <si>
    <t>汇百川新益10号单一资产管理计划</t>
  </si>
  <si>
    <t>汇百川新益1号单资产管理计划</t>
  </si>
  <si>
    <t>汇百川新益2号单资产管理计划</t>
  </si>
  <si>
    <t>汇百川新益4号单资产管理计划</t>
  </si>
  <si>
    <t>汇百川新益5号单资产管理计划</t>
  </si>
  <si>
    <t>汇百川新益6号单一资产管理计划</t>
  </si>
  <si>
    <t>汇百川新益7号单一资产管理计划</t>
  </si>
  <si>
    <t>汇百川新益8号单一资产管理计划</t>
  </si>
  <si>
    <t>汇百川新益9号单一资产管理计划</t>
  </si>
  <si>
    <t>汇百川汇功1号单一资产管理计划</t>
  </si>
  <si>
    <t>汇百川汇盈1号集合资产管理计划</t>
  </si>
  <si>
    <t>汇百川浦汇2号单一资产管理计划</t>
  </si>
  <si>
    <t>汇百川海汇28号单一资产管理计划</t>
  </si>
  <si>
    <t>汇百川益汇1号集合资产管理计划</t>
  </si>
  <si>
    <t>汇百川稳益7号集合资产管理计划</t>
  </si>
  <si>
    <t>汇百川稳益8号集合资产管理计划</t>
  </si>
  <si>
    <t>汇百川联汇6号单一资产管理计划</t>
  </si>
  <si>
    <t>汇百川联汇7号单一资产管理计划</t>
  </si>
  <si>
    <t>汇百川陆汇10号单一资产管理计划</t>
  </si>
  <si>
    <t>汇百川陆汇11号单一资产管理计划</t>
  </si>
  <si>
    <t>汇百川陆汇12号单一资产管理计划</t>
  </si>
  <si>
    <t>汇百川陆汇2号单一资产管理计划</t>
  </si>
  <si>
    <t>汇百川陆汇3号单一资产管理计划</t>
  </si>
  <si>
    <t>汇百川陆汇4号单一资产管理计划</t>
  </si>
  <si>
    <t>汇百川陆汇5号单一资产管理计划</t>
  </si>
  <si>
    <t>汇百川陆汇6号单一资产管理计划</t>
  </si>
  <si>
    <t>汇百川陆汇7号单一资产管理计划</t>
  </si>
  <si>
    <t>汇百川陆汇8号单一资产管理计划</t>
  </si>
  <si>
    <t>汇百川陆汇9号单一资产管理计划</t>
  </si>
  <si>
    <t>江苏省国际信托有限责任公司一江苏信托·基础设施6号集合资金信托计划</t>
  </si>
  <si>
    <t>江苏省国际信托有限责任公司一江苏信托·稳盈5号集合资金信托计划</t>
  </si>
  <si>
    <t>江苏省国际信托有限责任公司一江苏信托·稳盈6号集合资金信托计划</t>
  </si>
  <si>
    <t>泰信基金稳健增益3号集合资产管理计</t>
  </si>
  <si>
    <t>泰信基金麒麟多策略7号集合资产管理计划</t>
  </si>
  <si>
    <t>泰康人寿保险有限责任公司-万能-个人万能产品(庚）</t>
  </si>
  <si>
    <t>泰康人寿保险有限责任公司一万能一个险万能</t>
  </si>
  <si>
    <t>泰康人寿保险有限责任公司投连稳健添</t>
  </si>
  <si>
    <t>泰康养老保险股份有限公司一万能型专门投资组合乙</t>
  </si>
  <si>
    <t>泰康在线财产保险股份有限公司自有资</t>
  </si>
  <si>
    <t>泰康资产开泰睿选资产管理产品</t>
  </si>
  <si>
    <t>泰康资产开泰积极资产管理产品</t>
  </si>
  <si>
    <t>泰康资产益泰5号资产管理产品</t>
  </si>
  <si>
    <t>泰康资产益泰新享11号资产管理产品</t>
  </si>
  <si>
    <t>泰康资产益泰新享12号资产管理产品</t>
  </si>
  <si>
    <t>泰康资产益泰新享15号资产管理产品</t>
  </si>
  <si>
    <t>泰康资产益泰新享16号资产管理产品</t>
  </si>
  <si>
    <t>泰康资产益泰新享17号资产管理产品</t>
  </si>
  <si>
    <t>泰康资产益泰新享18号资产管理产品</t>
  </si>
  <si>
    <t>泰康资产益泰新享3号资产管理产品</t>
  </si>
  <si>
    <t>泰康资产益泰新享5号资产管理产品</t>
  </si>
  <si>
    <t>泰康资产睿泰稳健多策略1号资产管理产品</t>
  </si>
  <si>
    <t>泰康资产睿泰稳健多策略2号资产管理产品</t>
  </si>
  <si>
    <t>泰康资产睿泰稳健多策略3号资产管理产品</t>
  </si>
  <si>
    <t>泰康资产睿泰稳健多策略4号资产管理产品</t>
  </si>
  <si>
    <t>泰康资产管理有限责任公司信用甄选资产管理产品</t>
  </si>
  <si>
    <t>泰康资产管理有限责任公司多利增强资产管理产品</t>
  </si>
  <si>
    <t>泰康资产管理有限责任公司稳泰价值3号资产管理产品</t>
  </si>
  <si>
    <t>泰康资产管理有限责任公司纯泰灵活配置资产管理产品</t>
  </si>
  <si>
    <t>泰康资产纯泰77号资产管理产品</t>
  </si>
  <si>
    <t>泰康资产纯泰智选恒利1号资产管理产</t>
  </si>
  <si>
    <t>浙商聚金钻石专享1号单一资产管理计</t>
  </si>
  <si>
    <t>浙商金惠周周优享1号集合资产管理计</t>
  </si>
  <si>
    <t>浙商金惠周周盈货币增强1号集合资产管理计划</t>
  </si>
  <si>
    <t>浙商金惠周周购273天滚动持有第5期债券型集合资产管理计划</t>
  </si>
  <si>
    <t>浙商金惠周周购91天滚动持有第5期债券型集合资产管理计划</t>
  </si>
  <si>
    <t>海富通明德1号集合资产管理计划</t>
  </si>
  <si>
    <t>海富通基金管理有限公司</t>
  </si>
  <si>
    <t>海富通明德3号集合资产管理计划</t>
  </si>
  <si>
    <t>海富通明德5号集合资产管理计划</t>
  </si>
  <si>
    <t>海富通明德6号集合资产管理计划</t>
  </si>
  <si>
    <t>海富通明德7号集合资产管理计划</t>
  </si>
  <si>
    <t>海富通磊磊硕果REITs1号集合资产管理计划</t>
  </si>
  <si>
    <t>海峡金桥财产保险股份有限公司传统</t>
  </si>
  <si>
    <t>海通资管睿丰汇盈5号集合资产管理计</t>
  </si>
  <si>
    <t>海通资管睿丰汇盈6号集合资产管理计</t>
  </si>
  <si>
    <t>海通资管睿丰汇盈7号集合资产管理计</t>
  </si>
  <si>
    <t>涌津涌发价值成长1号私募证券投资基</t>
  </si>
  <si>
    <t>涌津涌鑫18号私募证券投资基金</t>
  </si>
  <si>
    <t>涌津涌鑫20号私募证券投资基金</t>
  </si>
  <si>
    <t>涌津涌鑫36号私募证券投资基金</t>
  </si>
  <si>
    <t>涌津涌鑫37号私募证券投资基金</t>
  </si>
  <si>
    <t>涌津涌鑫多策略16号私募证券投资基</t>
  </si>
  <si>
    <t>涌津涌鑫多策略17号私募证券投资基</t>
  </si>
  <si>
    <t>爱建智赢-中短期理财投资（双季添利）集合资金信托计划</t>
  </si>
  <si>
    <t>爱建智赢-汇裕(定开型)集合资金信托计</t>
  </si>
  <si>
    <t>申万宏源宏享安心2号集合资产管理计</t>
  </si>
  <si>
    <t>申万宏源宏享安心3号集合资产管理计</t>
  </si>
  <si>
    <t>申万宏源宏享安心4号集合资产管理计</t>
  </si>
  <si>
    <t>申万宏源宏享安心5号集合资产管理计</t>
  </si>
  <si>
    <t>盛泉恒元灵活配置专项42号私募证券投资基金</t>
  </si>
  <si>
    <t>盛泉恒元量化均衡专项87号私募证券投资基金</t>
  </si>
  <si>
    <t>盛泉恒元量化套利9号私募证券投资基</t>
  </si>
  <si>
    <t>盛泉恒元量化套利专项46号私募证券投资基金</t>
  </si>
  <si>
    <t>盛泉恒元量化套利专项47号私募证券投资基金</t>
  </si>
  <si>
    <t>盛泉恒元量化套利专项84号私募证券投资基金</t>
  </si>
  <si>
    <t>盛泉恒元量化套利专项9号私募证券投资基金</t>
  </si>
  <si>
    <t>称心如意12号证券投资基金</t>
  </si>
  <si>
    <t>称心如意7号证券投资基金</t>
  </si>
  <si>
    <t>稳得福两全保险（分红型）（分红专</t>
  </si>
  <si>
    <t>第一创业基础设施11号FOF单一资产管理计划</t>
  </si>
  <si>
    <t>第一创业基础设施15号单一资产管理计划</t>
  </si>
  <si>
    <t>第一创业基础设施16号FOF单一资产管理计划</t>
  </si>
  <si>
    <t>第一创业基础设施1号集合资产管理计</t>
  </si>
  <si>
    <t>第一创业基础设施2号集合资产管理计</t>
  </si>
  <si>
    <t>第一创业基础设施5号单一资产管理计</t>
  </si>
  <si>
    <t>联储证券股份有限公司自营投资账户</t>
  </si>
  <si>
    <t>联储证券股份有限公司</t>
  </si>
  <si>
    <t>西南证券众惠甄选1号单一资产管理计</t>
  </si>
  <si>
    <t>西南证券众惠稳进1号集合资产管理计</t>
  </si>
  <si>
    <t>西南证券安诚财险1号单一资产管理计</t>
  </si>
  <si>
    <t>西南证券股份有限公司自营投资账户</t>
  </si>
  <si>
    <t>西南证券鑫利优选1号集合资产管理计</t>
  </si>
  <si>
    <t>西南证券鑫利优选2号单一资产管理计</t>
  </si>
  <si>
    <t>诺德基金子牛57号单一资产管理计划</t>
  </si>
  <si>
    <t>诺德基金子牛73号单一资产管理计划</t>
  </si>
  <si>
    <t>诺德基金子牛74号单一资产管理计划</t>
  </si>
  <si>
    <t>诺德基金子牛78号单一资产管理计划</t>
  </si>
  <si>
    <t>诺德基金子牛79号单一资产管理计划</t>
  </si>
  <si>
    <t>诺德基金浦江1242号单一资产管理计</t>
  </si>
  <si>
    <t>诺德基金浦江760号单一资产管理计划</t>
  </si>
  <si>
    <t>财通证券股份有限公司自营投资账户</t>
  </si>
  <si>
    <t>财通证券股份有限公司</t>
  </si>
  <si>
    <t>财通证券资管全天候高波1号集合资产管理计划</t>
  </si>
  <si>
    <t>财通证券资管嘉盈2号集合资产管理计</t>
  </si>
  <si>
    <t>财通证券资管睿投1号集合资产管理计</t>
  </si>
  <si>
    <t>财通证券资管财嘉18号单一资产管理计划</t>
  </si>
  <si>
    <t>财通证券资管财鑫10号单一资产管理计划</t>
  </si>
  <si>
    <t>资产管理计划汇百川国汇3号单</t>
  </si>
  <si>
    <t>资产管理计划汇百川新益3号单</t>
  </si>
  <si>
    <t>迎水绿洲5号私募证券投资基金</t>
  </si>
  <si>
    <t>迎水翡玉10号私募证券投资基金</t>
  </si>
  <si>
    <t>迎水翡玉1号私募证券投资基金</t>
  </si>
  <si>
    <t>迎水龙凤呈祥26号私募证券投资基金</t>
  </si>
  <si>
    <t>锦上添花3号证券投资基金</t>
  </si>
  <si>
    <t>锦上添花4号证券投资基金</t>
  </si>
  <si>
    <t>锦上添花7号私募证券投资基金</t>
  </si>
  <si>
    <t>锦绣前程1号证券投资基金</t>
  </si>
  <si>
    <t>锦绣前程3号证券投资基金</t>
  </si>
  <si>
    <t>锦绣前程5号证券投资基金</t>
  </si>
  <si>
    <t>长江证券股份有限公司自营账户</t>
  </si>
  <si>
    <t>长江证券股份有限公司</t>
  </si>
  <si>
    <t>阳光人寿保险股份有限公司一万能保险产品</t>
  </si>
  <si>
    <t>阳光人寿保险股份有限公司</t>
  </si>
  <si>
    <t>阳光人寿保险股份有限公司一传统保险产品</t>
  </si>
  <si>
    <t>阳光人寿保险股份有限公司一分红保险产品</t>
  </si>
  <si>
    <t>阳光人寿保险股份有限公司一自有资金</t>
  </si>
  <si>
    <t>阳光财产保险股份有限公司-传统-普通保险产品</t>
  </si>
  <si>
    <t>阳光财产保险股份有限公司</t>
  </si>
  <si>
    <t>雾泽夏天量化套利2号私募证券投资基</t>
  </si>
  <si>
    <t>雾泽夏天量化套利6号私募证券投资基</t>
  </si>
  <si>
    <t>雾泽夏天量化进取1号私募证券投资基</t>
  </si>
  <si>
    <t>上海国泰海通证券资产管理有限公司(代表“国泰海通君享龙鑫2号FOF集合资产管理计划”)</t>
  </si>
  <si>
    <t>上海国泰海通证券资产管理有限公司</t>
  </si>
  <si>
    <t>中信建投证券股份有限公司(代表“中信建投稳利龙享3号集合资产管理计划”)</t>
  </si>
  <si>
    <t>创金合信基金管理有限公司(代表“创金合信丰泰1号集合资产管理计划”)</t>
  </si>
  <si>
    <t>创金合信基金管理有限公司(代表“创金合信嘉悦12号集合资产管理计划”)</t>
  </si>
  <si>
    <t>北京中小企业融资再担保有限公司</t>
  </si>
  <si>
    <t>北京亦庄创源股权投资合伙企业(有限合伙)</t>
  </si>
  <si>
    <t>北京京管泰富基金管理有限责任公司(代表“京管泰富锦鸿1号单一资产管理计划”)</t>
  </si>
  <si>
    <t>北京京管泰富基金管理有限责任公司</t>
  </si>
  <si>
    <t>北京北投基金管理有限公司</t>
  </si>
  <si>
    <t>北京国华文科融资担保有限公司</t>
  </si>
  <si>
    <t>北京工业发展投资管理有限公司</t>
  </si>
  <si>
    <t>北京市国有资产经营有限责任公司</t>
  </si>
  <si>
    <t>北京数据集团有限公司</t>
  </si>
  <si>
    <t>北京朗佳私募基金管理有限公司</t>
  </si>
  <si>
    <t>北京证券有限责任公司</t>
  </si>
  <si>
    <t>华润深国投信托有限公司(代表“华润信托·嘉禾1号集合资金信托计划”)</t>
  </si>
  <si>
    <t>华能贵诚信托有限公司(代表“华能信托·北诚瑞驰2号资金信托”)</t>
  </si>
  <si>
    <t>华能贵诚信托有限公司(代表“华能信托·北诚瑞驰资金信托”)</t>
  </si>
  <si>
    <t>圆信基石(厦门)基础设施不动产股权投资基金合伙企业(有限合伙)</t>
  </si>
  <si>
    <t>易方达基金管理有限公司(代表“易方达基金兴安1号单一资产管理计划”)</t>
  </si>
  <si>
    <t>易方达基金管理有限公司</t>
  </si>
  <si>
    <t>顺隆资产管理(北京)有限公司(代表“顺隆开元1号私募证券投资基金”)</t>
  </si>
  <si>
    <t>顺隆资产管理(北京)有限公司</t>
  </si>
  <si>
    <t>顺隆资产管理(北京)有限公司(代表“顺隆稳健开元私募基金”)</t>
  </si>
  <si>
    <t>顺隆资产管理(北京)有限公司(代表“顺隆通盈1号私募证券投资基金”)</t>
  </si>
  <si>
    <t>东方红臻鑫4号集合资产管理计划</t>
  </si>
  <si>
    <t>兴宝国际信托有限责任公司</t>
  </si>
  <si>
    <t>鑫沅资产金梅花631号集合资产管理计划</t>
  </si>
  <si>
    <t>鑫沅资产管理有限公司</t>
  </si>
  <si>
    <t>上海兴瀚资产管理有限公司(代表兴瀚资管-兴元18号集合资产管理计划)</t>
  </si>
  <si>
    <t>上海百联集团股份有限公司</t>
  </si>
  <si>
    <t>上海证券有限责任公司</t>
  </si>
  <si>
    <t>中国太平洋保险(集团)股份有限公司</t>
  </si>
  <si>
    <t>中诚信托有限责任公司(代表中诚信托-汇赢23号集合资金信托计划)</t>
  </si>
  <si>
    <t>中诚信托有限责任公司(代表中诚信托-汇赢24号集合资金信托计划)</t>
  </si>
  <si>
    <t>中诚信托有限责任公司(代表中诚信托-汇赢55号集合资金信托计划)</t>
  </si>
  <si>
    <t>中诚信托有限责任公司(代表中诚信托-汇赢70号集合资金信托计划)</t>
  </si>
  <si>
    <t>创金合信基金管理有限公司(代表创金合信信雅中证1号集合资产管理计划)</t>
  </si>
  <si>
    <t>创金合信基金管理有限公司(代表创金合信信雅中证2号集合资产管理计划)</t>
  </si>
  <si>
    <t>创金合信基金管理有限公司(代表创金合信至信1号单一资产管理计划)</t>
  </si>
  <si>
    <t>华润深国投信托有限公司(代表华润信托·瑞安8号集合资金信托计划)</t>
  </si>
  <si>
    <t>合凡(广州)股权投资基金管理有限公司</t>
  </si>
  <si>
    <t>国泰君安投资管理股份有限公司</t>
  </si>
  <si>
    <t>工银瑞信投资管理有限公司(代表工银瑞投-工银理财四海甄选集合资产管理计划)</t>
  </si>
  <si>
    <t>江苏省国际信托有限责任公司(代表江苏信托·工银理财基础设施2号集合资金信托计划)</t>
  </si>
  <si>
    <t>中信期货一中信银行一中信期货信固臻1号集合资产管理计划</t>
  </si>
  <si>
    <t>中信期货一中信银行一中信期货信鑫安享2号集合资产管理计划</t>
  </si>
  <si>
    <t>中国人寿资管一工商银行一国寿资产一工银理财鼎瑞2204保险资产管理产</t>
  </si>
  <si>
    <t>中国人民人寿保险股份有限公司-传统-普通保险产品</t>
  </si>
  <si>
    <t>中国人民财产保险股份有限公司一传统—普通保险产品—008C—CT001沪</t>
  </si>
  <si>
    <t>中国对外经济贸易信托有限公司-外贸信托-粤湾9号集合资金信托计划</t>
  </si>
  <si>
    <t>中国对外经济贸易信托有限公司-外贸信托粤湾8号集合资金信托计划</t>
  </si>
  <si>
    <t>中国对外经济贸易信托有限公司一外贸信托一信固臻9号集合资金信托计</t>
  </si>
  <si>
    <t>中国对外经济贸易信托有限公司一外贸信托一信悦2号固定收益证券投资集合资金信托计划</t>
  </si>
  <si>
    <t>中国对外经济贸易信托有限公司一外贸信托一财富多盈1号集合资金信托计划</t>
  </si>
  <si>
    <t>中国对外经济贸易信托有限公司一外贸信托粤湾10号集合资金信托计划</t>
  </si>
  <si>
    <t>中粮期货一黎帮柱一中粮期货信远2号单一资产管理计划</t>
  </si>
  <si>
    <t>鑫沅资管一宁波银行一鑫沅资产鑫梅花514号集合资产管理计划</t>
  </si>
  <si>
    <t>中信证券财信人寿睿驰1号单一资产管理计划</t>
  </si>
  <si>
    <t>北京金融控股集团有限公司</t>
  </si>
  <si>
    <t>北京顺隆投资发展基金(有限合伙)</t>
  </si>
  <si>
    <t>北京首创商业管理有限公司</t>
  </si>
  <si>
    <t>国寿瑞驰(天津)基础设施投资基金合伙企业(有限合伙)</t>
  </si>
  <si>
    <t>顺隆通盈1号私募证券投资基金</t>
  </si>
  <si>
    <t>上海金锝私募基金管理有限公司一金锝至诚15号私募证券投资基金</t>
  </si>
  <si>
    <t>上海金锝私募基金管理有限公司</t>
  </si>
  <si>
    <t>上海金锝私募基金管理有限公司一金锝至诚17号私募证券投资基金</t>
  </si>
  <si>
    <t>中国对外经济贸易信托有限公司-外贸信托-粤湾8号集合资金信托计划</t>
  </si>
  <si>
    <t>中国对外经济贸易信托有限公司一外贸信托一粤湾10号集合资金信托计划</t>
  </si>
  <si>
    <t>中英人寿保险有限公司-资本补充债</t>
  </si>
  <si>
    <t>创金合信基金一中信信托有限责任公司一创金合信至信1号单一资产管理计划</t>
  </si>
  <si>
    <t>创金合信基金一中信银行一创金合信信雅中证1号集合资产管理计划</t>
  </si>
  <si>
    <t>创金合信基金一中信银行一创金合信信雅中证2号集合资产管理计划</t>
  </si>
  <si>
    <t>创金合信基金一平安银行一创金合信嘉悦5号集合资产管理计划</t>
  </si>
  <si>
    <t>华金证券一东吴人寿保险股份有限公司一华金证券东吴人寿15号基础设施基金策略FOF单一资产管理计划</t>
  </si>
  <si>
    <t>华金证券一国任财产保险股份有限公司一华金证券国任保险5号基础设施基金策略FOF单一资产管理计划</t>
  </si>
  <si>
    <t>大家资产-招商银行-大家资产厚坤15号集合资产管理产品</t>
  </si>
  <si>
    <t>广发证券资管一长江财产保险股份有限公司一广发资管长江1号单一资产管理计划</t>
  </si>
  <si>
    <t>泰康人寿保险有限责任公司-分红-个人分红-019L-FH002沪</t>
  </si>
  <si>
    <t>生命保险资管一兴业银行一生命资产睿驰增强1号资产管理产品</t>
  </si>
  <si>
    <t>生命保险资管一农业银行一生命保险资产管理有限公司睿驰增强6号资产管理产品</t>
  </si>
  <si>
    <t>生命保险资管一农业银行一生命保险资产管理有限公司</t>
  </si>
  <si>
    <t>生命保险资管一工商银行一生命保险资产管理有限公司睿驰增强12号资产管理产品</t>
  </si>
  <si>
    <t>生命保险资管一工商银行一生命保险资产管理有限公司</t>
  </si>
  <si>
    <t>中保投资有限责任公司(代表中国保险投资基金(有限合伙))</t>
  </si>
  <si>
    <t>北京京管泰富基金管理有限责任公司(代表京管泰富锦鸿1号单一资产管理计划)</t>
  </si>
  <si>
    <t>北京物美商业集团股份有限公司</t>
  </si>
  <si>
    <t>华能贵诚信托有限公司(代表华能信托·北诚瑞驰资金信托)</t>
  </si>
  <si>
    <t>建信信托有限责任公司(代表建信信托-睿驰组合1号集合资金信托计划)</t>
  </si>
  <si>
    <t>齐鲁银行股份有限公司(代表泉心盈196天2号)</t>
  </si>
  <si>
    <t>齐鲁银行股份有限公司</t>
  </si>
  <si>
    <t>齐鲁银行股份有限公司(代表泉心盈91天)</t>
  </si>
  <si>
    <t>南京盛泉恒元投资有限公司-盛泉恒元多策略量化套利1号专项基金</t>
  </si>
  <si>
    <t>南京盛泉恒元投资有限公司一盛泉恒元灵活配置8号私募证券投资基金</t>
  </si>
  <si>
    <t>南京盛泉恒元投资有限公司一盛泉恒元量化套利专项3号私募证券投资基金</t>
  </si>
  <si>
    <t>南京盛泉恒元投资有限公司一盛泉恒元量化套利专项45号私募证券投资基金</t>
  </si>
  <si>
    <t>国民养老保险股份有限公司-基础设施稳源组合</t>
  </si>
  <si>
    <t>大家人寿保险股份有限公司-传统产品</t>
  </si>
  <si>
    <t>上海兴秀茂商业管理有限公司</t>
  </si>
  <si>
    <t>上海高盾环境节能系统有限公司</t>
  </si>
  <si>
    <t>北京盈汇通投资管理有限公司</t>
  </si>
  <si>
    <t>宁波方太营销有限公司</t>
  </si>
  <si>
    <t>长城财富朱雀创睿六号资产管理产品</t>
  </si>
  <si>
    <t>长城财富资产管理股份有限公司</t>
  </si>
  <si>
    <t>中国人民财产保险股份有限公司一传统一普通保险产品—008C—CT001沪</t>
  </si>
  <si>
    <t>中银国际证券-中国银行-中银证券中国红-汇中27号集合资产管理计划</t>
  </si>
  <si>
    <t>中银国际证券-中国银行-中银证券中国红-汇中32号集合资产管理计划</t>
  </si>
  <si>
    <t>中银国际证券-中国银行-中银证券中国红-汇中48号集合资产管理计划</t>
  </si>
  <si>
    <t>中银国际证券-中国银行-中银证券中国红-汇鸿2号集合资产管理计划</t>
  </si>
  <si>
    <t>创金合信基金一中国银行一创金合信鼎泰33号集合资产管理计划</t>
  </si>
  <si>
    <t>创金合信基金一中国银行一创金合信鼎泰40号集合资产管理计划</t>
  </si>
  <si>
    <t>创金合信基金一中国银行一创金合信鼎泰52号集合资产管理计划</t>
  </si>
  <si>
    <t>创金合信基金一中国银行一创金合信鼎泰70号集合资产管理计划</t>
  </si>
  <si>
    <t>华润深国投信托有限公司一华润信托·瑞安6号集合资金信托计划</t>
  </si>
  <si>
    <t>广发基金一天津安塞资产管理有限公司一广发基金睿选FOF单一资产管理计划</t>
  </si>
  <si>
    <t>广发基金一天津安塞资产管理有限公司</t>
  </si>
  <si>
    <t>招商财富资管一光大银行一招商财富一鑫彩1号集合资产管理计划</t>
  </si>
  <si>
    <t>申万菱信基金一申万宏源集团股份有限公司一申万菱信一申宏稳健1号单一资产管理计划</t>
  </si>
  <si>
    <t>上信-睿展1号集合资金信托计划</t>
  </si>
  <si>
    <t>上信-睿展2号集合资金信托计划</t>
  </si>
  <si>
    <t>东吴人寿保险股份有限公司</t>
  </si>
  <si>
    <t>中平信凯睿（广东）基础设施投资合伙企业（有限合伙）</t>
  </si>
  <si>
    <t>云南信托-兴睿1号集合资金信托计划</t>
  </si>
  <si>
    <t>元康盛景21号私募证券投资基金</t>
  </si>
  <si>
    <t>兴业信托·兴业元泰12号集合资金信托计划C款</t>
  </si>
  <si>
    <t>北京平准基础设施不动产股权投资基金合伙企业（有限合伙）</t>
  </si>
  <si>
    <t>华夏基金国民养老1号单一资产管理计划</t>
  </si>
  <si>
    <t>启恒苏格拉底1号私募证券投资基金</t>
  </si>
  <si>
    <t>嘉实基金宝睿9号单一资产管理计划</t>
  </si>
  <si>
    <t>国寿资产-鼎瑞2511资产管理产品</t>
  </si>
  <si>
    <t>国泰君安君得3656FOF单一资产管理计划</t>
  </si>
  <si>
    <t>大家资产稳健优选6号固定收益类资产管理产品</t>
  </si>
  <si>
    <t>天津弘毅基础设施投资基金合伙企业（有限合伙）</t>
  </si>
  <si>
    <t>宁波梅山保税港区光挚源投资管理有限公司</t>
  </si>
  <si>
    <t>安联知瑞3号资产管理产品</t>
  </si>
  <si>
    <t>安联保险资产管理有限公司</t>
  </si>
  <si>
    <t>平安健康保险股份有限公司</t>
  </si>
  <si>
    <t>广州合凡伍号股权投资合伙企业（有限合伙）</t>
  </si>
  <si>
    <t>广州越秀产业投资有限公司</t>
  </si>
  <si>
    <t>建信信托-睿驰组合2号集合资金信托计划</t>
  </si>
  <si>
    <t>杉杉商业集团有限公司</t>
  </si>
  <si>
    <t>深创投红土资产管理（深圳）有限公司</t>
  </si>
  <si>
    <t>深圳担保集团有限公司</t>
  </si>
  <si>
    <t>睿投海纳2号基础设施策略私募证券投资基金</t>
  </si>
  <si>
    <t>青岛银盛泰润泽投资中心（有限合伙）</t>
  </si>
  <si>
    <t>-018L-FH001沪国融证券股份有限公司</t>
  </si>
  <si>
    <t>一资产管理计划中信信托有限责任公司一中信信托信智S2号金融投资信托计划长城人寿保险股份</t>
  </si>
  <si>
    <t>一资产管理计划中信信托有限责任公司</t>
  </si>
  <si>
    <t>一资产管理计划中国人民财产保险股份有限公司一传统一普通保险产品</t>
  </si>
  <si>
    <t>一资产管理计划中国人民财产保险股份有限公司</t>
  </si>
  <si>
    <t>一资产管理计划北京乐瑞资产管理有限公司一乐瑞强债18号证券投资私募基金汇百川基金一陆家</t>
  </si>
  <si>
    <t>一资产管理计划北京乐瑞资产管理有限公司</t>
  </si>
  <si>
    <t>一资产管理计划华源证券股份有限公司汇百川基金一陆家</t>
  </si>
  <si>
    <t>一资产管理计划华源证券股份有限公司</t>
  </si>
  <si>
    <t>一资产管理计划国盛证券有限责任公司</t>
  </si>
  <si>
    <t>一资产管理计划格林基金一华远陆港资本运营有限公司一格林基金华远2号单一资产管理计划浙商证券资管一山</t>
  </si>
  <si>
    <t>一资产管理计划格林基金一华远陆港资本运营有限公司</t>
  </si>
  <si>
    <t>一资产管理计划汇百川基金一方霞一汇百川基金虹汇2号单一资产管理计划</t>
  </si>
  <si>
    <t>一资产管理计划浙商证券资管一浙商银行一浙商金惠添鑫周开5号集合资产管理计划</t>
  </si>
  <si>
    <t>一资产管理计划诺德基金-兴业银行-诺德基金浦江汇泓83号集合资产管理计划</t>
  </si>
  <si>
    <t>一资产管理计划长城人寿保险股份有限公司-分红-个人分红深圳市林园投资管</t>
  </si>
  <si>
    <t>一资产管理计划长城人寿保险股份有限公司</t>
  </si>
  <si>
    <t>三峡人寿保险股份有限公司-三峡人寿-华泰资产-传统险委托投资组合</t>
  </si>
  <si>
    <t>三星财产保险（中国）有限公司-自有资金</t>
  </si>
  <si>
    <t>三星财产保险（中国）有限公司</t>
  </si>
  <si>
    <t>上海久铭投资管理有限公司一久铭专享9号私募证券投资基金</t>
  </si>
  <si>
    <t>上海久铭投资管理有限公司</t>
  </si>
  <si>
    <t>上海亿衍私募基金管理有限公司-亿衍元亨十二号私募证券投资基金浙商证券资管一山</t>
  </si>
  <si>
    <t>上海合晟资产管理股份有限公司一合晟同晖固定收益1号创新投资基金</t>
  </si>
  <si>
    <t>上海合晟资产管理股份有限公司一合晟恒嘉基石2号私募证券投资基金</t>
  </si>
  <si>
    <t>上海国际信托有限公司-上信-睿选REITs1号集合资金信托计划</t>
  </si>
  <si>
    <t>上海子午投资管理有限公司-子午初心多策略定制二号私募证券投资基金</t>
  </si>
  <si>
    <t>上海子午投资管理有限公司-子午增强六号私募证券投资基金</t>
  </si>
  <si>
    <t>上海子午投资管理有限公司-子午瀚海一号私募证券投资基金</t>
  </si>
  <si>
    <t>上海子午投资管理有限公司一子午初心多策略定制三号私募证券投资基金</t>
  </si>
  <si>
    <t>上海宽投资产管理有限公司一宽投双鲤私募证券投资基金</t>
  </si>
  <si>
    <t>上海宽投资产管理有限公司一宽投好涵私募证券投资基</t>
  </si>
  <si>
    <t>上海宽投资产管理有限公司一宽投寓诚私募证券投资基</t>
  </si>
  <si>
    <t>上海宽投资产管理有限公司一宽投星玉私募证券投资基</t>
  </si>
  <si>
    <t>上海宽投资产管理有限公司一宽投瑞阳私募证券投资基金</t>
  </si>
  <si>
    <t>上海少数派投资管理有限公司一少数派万象更新2号私募证券投资基金</t>
  </si>
  <si>
    <t>上海展弘投资管理有限公司-展弘稳进1号私募证券投资基金</t>
  </si>
  <si>
    <t>上海展弘投资管理有限公司一展弘稳泰套利运作1号私募证券投资基金</t>
  </si>
  <si>
    <t>上海展弘投资管理有限公司一展弘稳泰套利运作2号私募证券投资基金</t>
  </si>
  <si>
    <t>上海展弘投资管理有限公司一展弘稳泰套利运作3号私募证券投资基金</t>
  </si>
  <si>
    <t>上海涌津投资管理有限公司一涌津涌发价值成长1号私募证券投资基金</t>
  </si>
  <si>
    <t>上海涌津投资管理有限公司</t>
  </si>
  <si>
    <t>上海涌津投资管理有限公司一涌津涌鑫18号私募证券投资基金</t>
  </si>
  <si>
    <t>上海涌津投资管理有限公司一涌津涌鑫20号私募证券投资基金</t>
  </si>
  <si>
    <t>上海涌津投资管理有限公司一涌津涌鑫37号私募证券投资基金</t>
  </si>
  <si>
    <t>上海爱建信托有限责任公司-爱建智赢-中短期理财投资（双季添利）集合资金信托计划</t>
  </si>
  <si>
    <t>上海爱建信托有限责任公司-爱建智赢-汇裕(定开型)集合资金信托计划</t>
  </si>
  <si>
    <t>上海蓝墨投资管理有限公司-蓝墨专享6号私募证券投资基金</t>
  </si>
  <si>
    <t>上海金锝私募基金管理有限公司一金至诚17号私募证券投资基金</t>
  </si>
  <si>
    <t>上海金锝私募基金管理有限公司一金锝尧典20号私募证券投资基金</t>
  </si>
  <si>
    <t>上海金锝私募基金管理有限公司一金锝闻广1号私募证券投资基金</t>
  </si>
  <si>
    <t>上海银叶投资有限公司一银叶新玉优选6期私募证券投资基金</t>
  </si>
  <si>
    <t>上海银叶投资有限公司一银叶新玉优选私募证券投资基金</t>
  </si>
  <si>
    <t>上海银叶投资有限公司一银叶积汇3号私募证券投资基金</t>
  </si>
  <si>
    <t>上海阿杏投资管理有限公司一阿杏延安9号私募证券投资基金</t>
  </si>
  <si>
    <t>上海阿杏投资管理有限公司</t>
  </si>
  <si>
    <t>上海阿杏投资管理有限公司一阿杏迎春私募证券投资基</t>
  </si>
  <si>
    <t>东信托·浙商金惠添鑫增利12M002号集合资金信托计划一浙商聚金添鑫增利2号单一资产</t>
  </si>
  <si>
    <t>东信托·浙商金惠添鑫增利12M023号集合资金信托计划一浙商聚金添鑫增利12M023号单</t>
  </si>
  <si>
    <t>东信托·浙商金惠添鑫增利12M047号集合资金信托计划一浙商聚金添鑫增利12M047号单</t>
  </si>
  <si>
    <t>东信托·浙商金惠添鑫增利12M048号集合资金信托计划一浙商聚金添鑫增利12M048号单</t>
  </si>
  <si>
    <t>东信托·浙商金惠添鑫增利12M053号集合资金信托计划一浙商聚金添鑫增利12M053号单</t>
  </si>
  <si>
    <t>东信托·浙商金惠添鑫增利12M070号集合资金信托计划一浙商聚金添鑫增利12M070号单</t>
  </si>
  <si>
    <t>东信托·浙商金惠添鑫增利12M074号集合资金信托计划一浙商聚金添鑫增利12M074号单</t>
  </si>
  <si>
    <t>东信托·浙商金惠添鑫增利12M077号集合资金信托计划一浙商聚金添鑫增利12M077号单</t>
  </si>
  <si>
    <t>东信托·浙商金惠添鑫增利12M078号集合资金信托计划一浙商聚金添鑫增利12M078号单</t>
  </si>
  <si>
    <t>东信托·浙商金惠添鑫增利12M080号集合资金信托计划一浙商聚金添鑫增利12M080号单</t>
  </si>
  <si>
    <t>东信托·浙商金惠添鑫增利12M084号集合资金信托计划一浙商聚金添鑫增利12M084号单一资产管理计划</t>
  </si>
  <si>
    <t>东信托·浙商金惠添鑫增利6M006号集合资金信托计划一浙商聚金添鑫增利6M006号单一资</t>
  </si>
  <si>
    <t>东兴证券股份有限公司浙商证券资管一山</t>
  </si>
  <si>
    <t>东方证券资管一邮储银行一东方红臻鑫1号集合资产管理计划</t>
  </si>
  <si>
    <t>东方证券资管－中国银行一东方红添利21号集合资产管理计划</t>
  </si>
  <si>
    <t>东方财富证券-兴业银行-东方财富证券昇财1号集合资产管理计划</t>
  </si>
  <si>
    <t>东方财富证券一上海银行一东方财富证券乐财半年惠1号集合资产管理计划</t>
  </si>
  <si>
    <t>东方财富证券一上海银行一东方财富证券乐财半年惠2号集合资产管理计划</t>
  </si>
  <si>
    <t>东方财富证券一兴业银行一东方财富证券昇财2号集合资产管理计划</t>
  </si>
  <si>
    <t>东方财富证券一兴业银行一东方财富证券财兴1号集合资产管理计划</t>
  </si>
  <si>
    <t>东方财富证券一兴业银行一东方财富证券财兴2号集合资产管理计划</t>
  </si>
  <si>
    <t>东方财富证券一兴业银行一东方财富证券财兴3号集合资产管理计划</t>
  </si>
  <si>
    <t>东方财富证券一兴业银行一东方财富证券财兴5号集合资产管理计划</t>
  </si>
  <si>
    <t>东方财富证券一北京银行一东方财富证券添新1号集合资产管理计划</t>
  </si>
  <si>
    <t>东方财富证券一招商银行一东方财富证券安财1号集合资产管理计划</t>
  </si>
  <si>
    <t>东证融汇证券资管一上海银行一东证融汇汇赢1号集合资产管理计划</t>
  </si>
  <si>
    <t>东证融汇证券资管一东北证券股份有限公司一东证融汇融泰88号单一资产管理计划</t>
  </si>
  <si>
    <t>东证融汇证券资管一兴业银行一东证融汇汇诚安赢11号集合资产管理计划</t>
  </si>
  <si>
    <t>东证融汇证券资管一兴业银行一东证融汇汇诚安赢12号集合资产管理计划</t>
  </si>
  <si>
    <t>东证融汇证券资管一兴业银行一东证融汇汇赢17号集合资产管理计划</t>
  </si>
  <si>
    <t>东证融汇证券资管一兴业银行一东证融汇汇赢6号集合资产管理计划</t>
  </si>
  <si>
    <t>东证融汇证券资管一工商银行一东证融汇汇诚共赢2号集合资产管理计划</t>
  </si>
  <si>
    <t>东证融汇证券资管一广发银行一东证融汇汇赢3号集合资产管理计划</t>
  </si>
  <si>
    <t>东证融汇证券资管一广发银行一东证融汇汇赢7号集合资产管理计划</t>
  </si>
  <si>
    <t>东证融汇证券资管一广发银行一东证融汇汇赢8号集合资产管理计划</t>
  </si>
  <si>
    <t>东证融汇证券资管一邮储银行一东证融汇汇诚共赢1号集合资产管理计划</t>
  </si>
  <si>
    <t>东证融汇证券资管一邮储银行一东证融汇汇诚安赢1号集合资产管理计划</t>
  </si>
  <si>
    <t>东证融汇证券资管一邮储银行一东证融汇汇诚安赢2号集合资产管理计划</t>
  </si>
  <si>
    <t>东证融汇证券资管一邮储银行一东证融汇汇诚安赢5号集合资产管理计划浙商证券资管一山</t>
  </si>
  <si>
    <t>中信信托有限责任公司一中信信托禾1号集合资金信托计划</t>
  </si>
  <si>
    <t>中信建投证券一中信银行一中信建投稳健增益智享6号集合资产管理计划</t>
  </si>
  <si>
    <t>中信建投证券一中信银行一中信建投稳利兴益1号集合资产管理计划</t>
  </si>
  <si>
    <t>中信建投证券一宁波银行一中信建投REITs优选私享1号集合资产管理计</t>
  </si>
  <si>
    <t>中信建投证券一恒丰银行一中信建投稳健增利42号集合资产管理计划</t>
  </si>
  <si>
    <t>中信期货一中国银行一中信期货一稳享3号集合资产管理计划</t>
  </si>
  <si>
    <t>中信期货一兴业银行一中信期货怡然1号集合资产管理计划</t>
  </si>
  <si>
    <t>中信期货一广发银行一中信期货瑞信1号集合资产管理计划</t>
  </si>
  <si>
    <t>中信期货一招商银行一中信期货兴利1号集合资产管理计划</t>
  </si>
  <si>
    <t>中信证券一光大银行一中信证券基础设施1号集合资产管理计划</t>
  </si>
  <si>
    <t>中信证券一光大银行一中信证券基础设施3号集合资产管理计划</t>
  </si>
  <si>
    <t>中信证券一君龙人寿保险有限公司一传统险一中信证券君龙人寿2号单一资产管理计划</t>
  </si>
  <si>
    <t>中信证券一国任财产保险股份有限公司一中信证券国任财险睿驰1号单一资产管理计划</t>
  </si>
  <si>
    <t>中信证券一复星保德信人寿保险有限公司一传统险一中信证券复保睿驰1号单一资产管理计</t>
  </si>
  <si>
    <t>中信证券一招商银行一中信证券铁发紫宸1号集合资产管理计划</t>
  </si>
  <si>
    <t>中信证券一财信吉祥人寿保险股份有限公司一分红产品一中信证券财信人寿睿驰1号单一资产管理计划</t>
  </si>
  <si>
    <t>中信证券一长江财产保险股份有限公司一中信证券长江财险睿驰1号单一资产管理计划</t>
  </si>
  <si>
    <t>中信证券资管一北京银行一中信证券星云92号集合资产管理计划</t>
  </si>
  <si>
    <t>中信证券资管一恒邦财产保险股份有限公司－中信证券资管恒睿1号单一资产管理计划</t>
  </si>
  <si>
    <t>中信证券资管一恒邦财产保险股份有限公司</t>
  </si>
  <si>
    <t>中信证券资管一招商银行一中信证券资管睿驰2号集合资产管理计划</t>
  </si>
  <si>
    <t>中信证券资管一财信吉祥人寿保险股份有限公司一传统产品一中信证券资管茶子山睿驰2号单一资产管理计划</t>
  </si>
  <si>
    <t>中信证券资管一财信吉祥人寿保险股份有限公司一分红产品一中信证券资管茶子山睿驰1号单一资产管理计划</t>
  </si>
  <si>
    <t>中信证券资管一青岛银行一中信证券资管信树1号集合资产管理计划</t>
  </si>
  <si>
    <t>中再资管-招商银行-中再资产-基建强国REITs主题资产管理产品</t>
  </si>
  <si>
    <t>中国人保资管一兴业银行一中国人保资产增鑫2号资产管理产品</t>
  </si>
  <si>
    <t>中国人民人寿保险股份有限公司-万能-个险万能</t>
  </si>
  <si>
    <t>中国人民人寿保险股份有限公司-分红-个险分红</t>
  </si>
  <si>
    <t>中国人民人寿保险股份有限公司-分红-团险分红</t>
  </si>
  <si>
    <t>中国农业再保险股份有限公司一农行专户三</t>
  </si>
  <si>
    <t>中国太平洋保险（集团）股份有限公司-集团本级-自有资金-012G-ZY001沪</t>
  </si>
  <si>
    <t>中国太平洋保险（集团）股份有限公司</t>
  </si>
  <si>
    <t>中国对外经济贸易信托有限公司一外贸信托-【WS017】财富管理信托</t>
  </si>
  <si>
    <t>中国对外经济贸易信托有限公司一外贸信托-信悦1号固定收益证券投资集合资金信托计划</t>
  </si>
  <si>
    <t>中国对外经济贸易信托有限公司一外贸信托-信诚2号集合资金信托计划</t>
  </si>
  <si>
    <t>中国对外经济贸易信托有限公司一外贸信托-恒信盈固收10号证券投资集合资金信托计划</t>
  </si>
  <si>
    <t>中国对外经济贸易信托有限公司一外贸信托-恒信盈固收3号证券投资集合资金信托计划</t>
  </si>
  <si>
    <t>中国对外经济贸易信托有限公司一外贸信托一信固臻125号集合资金信托计划</t>
  </si>
  <si>
    <t>中国对外经济贸易信托有限公司一外贸信托一信固臻131号集合资金信托计划</t>
  </si>
  <si>
    <t>中国对外经济贸易信托有限公司一外贸信托一信悦3号固定收益证券投资集合资金信托计划</t>
  </si>
  <si>
    <t>中国对外经济贸易信托有限公司一外贸信托一信智9号集合资金信托计划</t>
  </si>
  <si>
    <t>中国对外经济贸易信托有限公司一外贸信托一信诚6号集合资金信托计划</t>
  </si>
  <si>
    <t>中国对外经济贸易信托有限公司一外贸信托一信诚8号集合资金信托计划</t>
  </si>
  <si>
    <t>中国对外经济贸易信托有限公司一外贸信托一光润13号集合资金信托计划</t>
  </si>
  <si>
    <t>中国对外经济贸易信托有限公司一外贸信托一光鸿20号集合信托计划</t>
  </si>
  <si>
    <t>中国对外经济贸易信托有限公司一外贸信托一固盈粤享2号集合资金信托计划</t>
  </si>
  <si>
    <t>中国对外经济贸易信托有限公司一外贸信托一固盈粤享5号集合资金信托计划</t>
  </si>
  <si>
    <t>中国对外经济贸易信托有限公司一外贸信托一固盈粤恒3号集合资金信托计划</t>
  </si>
  <si>
    <t>中国对外经济贸易信托有限公司一外贸信托一固盈粤恒5号集合资金信托计划</t>
  </si>
  <si>
    <t>中国对外经济贸易信托有限公司一外贸信托一海纳一号集合资金信托计划</t>
  </si>
  <si>
    <t>中国对外经济贸易信托有限公司一外贸信托一粤湾11号集合资金信托计划</t>
  </si>
  <si>
    <t>中国对外经济贸易信托有限公司一外贸信托一粤湾12号集合资金信托计划</t>
  </si>
  <si>
    <t>中国对外经济贸易信托有限公司一外贸信托一粤湾13号集合资金信托计划</t>
  </si>
  <si>
    <t>中国对外经济贸易信托有限公司一外贸信托一粤湾15号集合资金信托计划</t>
  </si>
  <si>
    <t>中国对外经济贸易信托有限公司一外贸信托一粤湾16号集合资金信托计划</t>
  </si>
  <si>
    <t>中国对外经济贸易信托有限公司一外贸信托一臻创77号证券投资集合资金信托计划</t>
  </si>
  <si>
    <t>中国对外经济贸易信托有限公司一外贸信托一臻创78号证券投资集合资金信托计划</t>
  </si>
  <si>
    <t>中国平安财产保险股份有限公司-传统-普通保险产品</t>
  </si>
  <si>
    <t>中国平安财产保险股份有限公司</t>
  </si>
  <si>
    <t>中意人寿保险有限公司一中意人寿企业过渡年金分红托管专户 (场内)</t>
  </si>
  <si>
    <t>中意人寿保险有限公司－万能B账户</t>
  </si>
  <si>
    <t>中泰证券股份有限公司浙商证券资管一山</t>
  </si>
  <si>
    <t>中泰证券资管一齐鲁资管8001号定向资产管理计划一中泰资管8155号量化投资单一资产管理计划</t>
  </si>
  <si>
    <t>中粮信托有限责任公司一中粮信托·丰惠3号集合资金信托计划</t>
  </si>
  <si>
    <t>中航基金一北京银行一中航基金REITs京彩1号集合资产管理计划</t>
  </si>
  <si>
    <t>中诚信托有限责任公司一中诚信托一仲夏1号集合资金信托计划</t>
  </si>
  <si>
    <t>中诚信托有限责任公司一中诚信托一仲夏3号集合资金信托计划</t>
  </si>
  <si>
    <t>中诚信托有限责任公司－中诚信托一嘉信配置12号集合资金信托计划</t>
  </si>
  <si>
    <t>中远海运财产保险自保有限公司-传</t>
  </si>
  <si>
    <t>中银国际证券-"安鑫"（最低持有180天）按日开放固定收益类净值型人民币理财产品-中银证券安鑫稳健4号单一资产管理计划</t>
  </si>
  <si>
    <t>云南国际信托有限公司-云南信托·铉武1号可转债混合证券投资集合资金信托计划</t>
  </si>
  <si>
    <t>云南国际信托有限公司一云南信托一臻盈10号集合资金信托计划</t>
  </si>
  <si>
    <t>云南国际信托有限公司一云南信托一臻盈1号集合资金信托计划</t>
  </si>
  <si>
    <t>云南国际信托有限公司一云南信托一臻盈2号集合资金信托计划</t>
  </si>
  <si>
    <t>云南国际信托有限公司一云南信托一臻盈3号集合资金信托计划</t>
  </si>
  <si>
    <t>云南国际信托有限公司一云南信托一臻盈4号集合资金信托计划</t>
  </si>
  <si>
    <t>云南国际信托有限公司一云南信托一臻盈5号集合资金信托计划</t>
  </si>
  <si>
    <t>云南国际信托有限公司一云南信托一臻盈6号集合资金信托计划</t>
  </si>
  <si>
    <t>云南国际信托有限公司一云南信托一臻盈7号集合资金信托计划</t>
  </si>
  <si>
    <t>云南国际信托有限公司一云南信托一臻盈8号集合资金信托计划</t>
  </si>
  <si>
    <t>云南国际信托有限公司一云南信托一臻盈9号集合资金信托计划</t>
  </si>
  <si>
    <t>产管理计划财通证券资管一青岛银行一财通证券资管睿投1号集合资产管理计划</t>
  </si>
  <si>
    <t>财通证券资产管理有限公司</t>
  </si>
  <si>
    <t>众诚汽车保险股份有限公司一招行传</t>
  </si>
  <si>
    <t>信达澳亚基金一中国银行一信澳中银元启1号集合资产管理计划</t>
  </si>
  <si>
    <t>信达澳亚基金一中航证券有限公司一信澳航泰1号单一资产管理计划</t>
  </si>
  <si>
    <t>信达澳亚基金一华安证券股份有限公司一信澳和安1号单一资产管理计划</t>
  </si>
  <si>
    <t>信达澳亚基金一国投证券股份有限公司一信澳创享1号单一资产管理计划</t>
  </si>
  <si>
    <t>信达证券一建信理财嘉鑫（稳利）固收类最低持有30天产品第11期一信达证券欣欣向荣13号单一资产管理计划</t>
  </si>
  <si>
    <t>光大永明资管一光大银行一光大永明资产永聚固收293号固定收益类资产管理产品</t>
  </si>
  <si>
    <t>兴证证券资管一兴业银行一兴证资管兴享多策略1号集合资产管理计划</t>
  </si>
  <si>
    <t>兴证证券资产管理有限公司</t>
  </si>
  <si>
    <t>兴证证券资管一华远陆港资本运营有限公司一兴证资管阿尔法科睿106号单一资产管理计划</t>
  </si>
  <si>
    <t>兴证证券资管一华远陆港资本运营有限公司</t>
  </si>
  <si>
    <t>兴证证券资管一浙商证券一兴证资管陆享多策略1号集合资产管理计划</t>
  </si>
  <si>
    <t>创证券股份有限公司一德邦资管德创1号单一资产管理</t>
  </si>
  <si>
    <t>创证券股份有限公司</t>
  </si>
  <si>
    <t>创金合信基金一平安银行一创金合信嘉悦12号集合资产管理计划</t>
  </si>
  <si>
    <t>创金合信基金一招商银行一创金合信丰泰1号集合资产管理计划</t>
  </si>
  <si>
    <t>利安人寿保险股份有限公司-E理财（B款）终身寿险（万能型)</t>
  </si>
  <si>
    <t>募证券投资基金新华人寿保险股份有限公司-精选万能产品2浙商证券资管一山</t>
  </si>
  <si>
    <t>募证券投资基金新华人寿保险股份有限公司</t>
  </si>
  <si>
    <t>北京乐瑞资产管理有限公司-乐瑞宏观配置基金</t>
  </si>
  <si>
    <t>北京乐瑞资产管理有限公司-乐瑞强债30号4期私募证券投资基金</t>
  </si>
  <si>
    <t>北京乐瑞资产管理有限公司-乐瑞强债30号私募证券投资基金</t>
  </si>
  <si>
    <t>北京乐瑞资产管理有限公司-乐瑞股债轮动1号证券投资私募基金</t>
  </si>
  <si>
    <t>华夏基金一建设银行一华夏基金家族专享福星稳健回报5号集合资产管理计划</t>
  </si>
  <si>
    <t>华夏基金一建设银行一华夏福星稳健回报4号集合资产管理计划</t>
  </si>
  <si>
    <t>华夏基金一招商银行一华夏基金一鼎华尊享2号集合资产管理计划</t>
  </si>
  <si>
    <t>华夏基金一招商银行一华夏基金一鼎华尊享3号集合资产管理计划</t>
  </si>
  <si>
    <t>华夏基金一招商银行一华夏基金一鼎华尊享REITs增强1号集合资产管理计划</t>
  </si>
  <si>
    <t>华泰证券资管-紫金财产保险股份有限公司-华泰紫金保险1号单一资产管理计划</t>
  </si>
  <si>
    <t>华泰证券资管一广州中望龙腾软件股份有限公司一华泰资管瑞新2号单一资产管理计划</t>
  </si>
  <si>
    <t>华泰证券资管一童玉萍一华泰资管瑞新1号单一资产管理计划</t>
  </si>
  <si>
    <t>华泰证券资管一青岛银行一华泰瑞享1号集合资产管理计划</t>
  </si>
  <si>
    <t>华泰资管一浦发银行一华泰资产优势增益资产管理产品</t>
  </si>
  <si>
    <t>华泰资管一浦发银行一华泰资产优势平衡资产管理产品</t>
  </si>
  <si>
    <t>华泰资管一浦发银行一华泰资产优势永续资产管理产品</t>
  </si>
  <si>
    <t>华泰资管一浦发银行一华泰资产优势稳航资产管理产品</t>
  </si>
  <si>
    <t>华泰资管一浦发银行一华泰资产优势聚能资产管理产品</t>
  </si>
  <si>
    <t>华泰资管一浦发银行一华泰资产优势赋能资产管理产品</t>
  </si>
  <si>
    <t>华泰资管一浦发银行一华泰资产优势轮动资产管理产品</t>
  </si>
  <si>
    <t>华润深国投信托有限公司-卓越18号单一资金信托</t>
  </si>
  <si>
    <t>华润深国投信托有限公司一华润信托·蓝屿9号集合资金信托计划</t>
  </si>
  <si>
    <t>华福证券资管一无锡力芯微电子股份有限公司一华福资管一安睿精选1号单一资产管理计划</t>
  </si>
  <si>
    <t>华福证券资管一无锡力芯微电子股份有限公司一华福资管一安睿精选2号单一资产管理计划</t>
  </si>
  <si>
    <t>华能贵诚信托有限公司一华能信托·熙元91天理财集合信托计划（D类)</t>
  </si>
  <si>
    <t>华鑫国际信托有限公司-华鑫信托·华盈17号（混合配置）集合资金信托计划</t>
  </si>
  <si>
    <t>华鑫国际信托有限公司一华鑫信托·中金鑫投2号集合资金信托计划</t>
  </si>
  <si>
    <t>华鑫国际信托有限公司一华鑫信托·信益嘉101号集合资金信托计划</t>
  </si>
  <si>
    <t>单一资产管理计划华泰资管一浦发银行一华泰资产优势智投资产管理产品</t>
  </si>
  <si>
    <t>单一资产管理计划国金证券股份有限公司</t>
  </si>
  <si>
    <t>单一资产管理计划生命保险资管一兴业银行一生命资产睿驰增强1号资产管理产品汇百川基金一浙江</t>
  </si>
  <si>
    <t>南京盛泉恒元投资有限公司-盛泉恒元多策略远见19号私募证券投资基金</t>
  </si>
  <si>
    <t>南京盛泉恒元投资有限公司-盛泉恒元量化均衡专项4号私募证券投资基</t>
  </si>
  <si>
    <t>南京盛泉恒元投资有限公司一盛泉恒元中证500指数增强73号私募证券投资基金</t>
  </si>
  <si>
    <t>南京盛泉恒元投资有限公司一盛泉恒元灵活配置专项34号私募证券投资基</t>
  </si>
  <si>
    <t>南京盛泉恒元投资有限公司一盛泉恒元灵活配置专项42号私募证券投资基</t>
  </si>
  <si>
    <t>南京盛泉恒元投资有限公司一盛泉恒元量化均衡专项87号私募证券投资基</t>
  </si>
  <si>
    <t>南京盛泉恒元投资有限公司一盛泉恒元量化套利15号专项私募证券投资基</t>
  </si>
  <si>
    <t>南京盛泉恒元投资有限公司一盛泉恒元量化套利75号私募证券投资基金</t>
  </si>
  <si>
    <t>南京盛泉恒元投资有限公司一盛泉恒元量化套利9号私募证券投资基金</t>
  </si>
  <si>
    <t>南京盛泉恒元投资有限公司一盛泉恒元量化套利专项48号私募证券投资基</t>
  </si>
  <si>
    <t>厦门国际信托有限公司一厦门信托一瑞思宏利1号集合资金信托计划</t>
  </si>
  <si>
    <t>厦门国际信托有限公司一厦门信托一长盛1号集合资金信托计划</t>
  </si>
  <si>
    <t>嘴信托一国联大方向50之汇百川2号集合资金信托计划一汇百川国汇30号</t>
  </si>
  <si>
    <t>嘴信托一国联大方向50之汇百川2号集合资金信托计划一汇百川国汇31号</t>
  </si>
  <si>
    <t>嘴信托一国联大方向50之汇百川2号集合资金信托计划一汇百川国汇33号单一资产管理计划</t>
  </si>
  <si>
    <t>国投期货一国投证券股份有限公司一国投安鑫13号单一资产管理计划</t>
  </si>
  <si>
    <t>国投期货一国投证券股份有限公司一国投恒赢3号单一资产管理计划</t>
  </si>
  <si>
    <t>国民养老保险股份有限公司一国民美好生活养老年金保</t>
  </si>
  <si>
    <t>国联证券资管-南京银行-国联玉如意年年发10号集合资产管理计划</t>
  </si>
  <si>
    <t>国联证券资管-南京银行-国联玉如意年年发12号集合资产管理计划</t>
  </si>
  <si>
    <t>国联证券资管一中国银行一国联欣欣向荣101号集合资产管理计划</t>
  </si>
  <si>
    <t>国联证券资管一中国银行一国联欣欣向荣102号集合资产管理计划</t>
  </si>
  <si>
    <t>国联证券资管一中国银行一国联欣欣向荣103号集合资产管理计划</t>
  </si>
  <si>
    <t>国联证券资管一中国银行一国联欣欣向荣104号集合资产管理计划</t>
  </si>
  <si>
    <t>国联证券资管一中国银行一国联欣欣向荣105号集合资产管理计划</t>
  </si>
  <si>
    <t>国联证券资管一中国银行一国联欣欣向荣106号集合资产管理计划</t>
  </si>
  <si>
    <t>国联证券资管一中国银行一国联欣欣向荣1号FOF集合资产管理计划</t>
  </si>
  <si>
    <t>国联证券资管一中国银行一国联玉如意年年发2号集合资产管理计划</t>
  </si>
  <si>
    <t>国联证券资管一中国银行一国联玉如意年年发9号集合资产管理计划</t>
  </si>
  <si>
    <t>国联证券资管一南京银行一国联年年发18号集合资产管理计划</t>
  </si>
  <si>
    <t>国联证券资管一南京银行一国联玉如意年年发11号集合资产管理计划</t>
  </si>
  <si>
    <t>国联证券资管一南京银行一国联玉如意年年发15号集合资产管理计划</t>
  </si>
  <si>
    <t>国联证券资管一南京银行一国联玉如意年年发16号集合资产管理计划</t>
  </si>
  <si>
    <t>国联证券资管一南京银行一国联玉如意年年发3号集合资产管理计划</t>
  </si>
  <si>
    <t>国联证券资管一南京银行一国联玉如意年年发4号集合资产管理计划</t>
  </si>
  <si>
    <t>国联证券资管一南京银行一国联玉如意年年发5号集合资产管理计划</t>
  </si>
  <si>
    <t>国联证券资管一南京银行一国联玉如意年年发7号集合资产管理计划</t>
  </si>
  <si>
    <t>国联证券资管一南京银行一国联玉如意年年发8号集合资产管理计划</t>
  </si>
  <si>
    <t>国联证券资管一建设银行一国联欣欣向荣108号集合资产管理计划</t>
  </si>
  <si>
    <t>国联证券资管一建设银行一国联欣欣向荣109号集合资产管理计划</t>
  </si>
  <si>
    <t>国联证券资管一建设银行一国联欣欣向荣112号集合资产管理计划</t>
  </si>
  <si>
    <t>国联证券资管一江苏银行一国联玉如意年年发17号集合资产管理计划</t>
  </si>
  <si>
    <t>国联证券资管一江苏银行一国联玉如意年年发集合资产管理计划汇百川基金一陆家</t>
  </si>
  <si>
    <t>国证资管一国投证券股份有限公司一国证资管国投臻选1号单一资产管理计划</t>
  </si>
  <si>
    <t>国证资管一国投证券股份有限公司</t>
  </si>
  <si>
    <t>国金基金一西部证券睿选财固FOF3号单一资产管理计划一国金基金一星火睿驰FOF1号单一资产管理计划</t>
  </si>
  <si>
    <t>国金证券资管一建设银行一国金资管鑫熠10号集合资产管理计划</t>
  </si>
  <si>
    <t>国金证券资管一建设银行一国金资管鑫熠13号集合资产管理计划</t>
  </si>
  <si>
    <t>国金证券资管一建设银行一国金资管鑫熠5号集合资产管理计划</t>
  </si>
  <si>
    <t>圆信永丰基金一上海银行一圆信永丰基本面进取1号集合资产管理计划</t>
  </si>
  <si>
    <t>圆信永丰基金一兴业银行一圆信永丰基本面驱动9号集合资产管理计划</t>
  </si>
  <si>
    <t>圆信永丰基金一厦门金圆投资集团有限公司一圆信永丰科创添利1号单一资产管理计划</t>
  </si>
  <si>
    <t>圆信永丰基金一厦门金圆投资集团有限公司一圆信永丰科创添利2号单一资产管理计划</t>
  </si>
  <si>
    <t>圆信永丰基金一浙江大学教育基金会一圆信永丰基本面驱动7号单一资产管理计划</t>
  </si>
  <si>
    <t>圆信永丰基金一金圆统一证券有限公司一圆信永丰基本面驱动5号单一资产管理计划</t>
  </si>
  <si>
    <t>大家资管一光大银行一大家资产稳健优选1号固定收益类资产管理产品</t>
  </si>
  <si>
    <t>大家资管一光大银行一大家资产稳健优选2号固定收益类资产管理产品</t>
  </si>
  <si>
    <t>大家资管一光大银行一大家资产稳健优选3号固定收益类资产管理产品</t>
  </si>
  <si>
    <t>太平人寿保险有限公司-传统-普通保险产品-022L-CT001沪</t>
  </si>
  <si>
    <t>太平人寿保险有限公司</t>
  </si>
  <si>
    <t>太平人寿保险有限公司-分红-团险分</t>
  </si>
  <si>
    <t>太平养老保险股份有限公司一传统账</t>
  </si>
  <si>
    <t>太平养老保险股份有限公司</t>
  </si>
  <si>
    <t>太平养老保险股份有限公司一太平养老稳盈宝壹号期限保本型（三年滚动）商业养老金产品</t>
  </si>
  <si>
    <t>太平养老保险股份有限公司一太平养老稳盈宝贰号期限保本型（三年滚动）商业养老金产品</t>
  </si>
  <si>
    <t>太平洋健康保险股份有限公司一传统保险产品</t>
  </si>
  <si>
    <t>太平财产保险有限公司一传统一普通保险产品</t>
  </si>
  <si>
    <t>太平财产保险有限公司</t>
  </si>
  <si>
    <t>宁波宁聚资产管理中心（有限合伙）-融通5号证券投资基金</t>
  </si>
  <si>
    <t>宁波梅山保税港区凌顶投资管理有限公司-凌顶兴星一号私募证券投资基金</t>
  </si>
  <si>
    <t>宁波梅山保税港区凌顶投资管理有限公司-凌顶兴星二号私募证券投资基金</t>
  </si>
  <si>
    <t>宁波梅山保税港区凌顶投资管理有限公司一凌顶三号私募证券投资基金</t>
  </si>
  <si>
    <t>宁波梅山保税港区凌顶投资管理有限公司一凌顶出奇十五号私募证券投资基金</t>
  </si>
  <si>
    <t>宁波梅山保税港区凌顶投资管理有限公司一凌顶望岳二十七号私募证券投资基金</t>
  </si>
  <si>
    <t>宁波梅山保税港区凌顶投资管理有限公司一凌顶望岳八号私募证券投资基</t>
  </si>
  <si>
    <t>宁波梅山保税港区凌顶投资管理有限公司一凌顶泰山十八号私募证券投资基金</t>
  </si>
  <si>
    <t>宁波梅山保税港区凌顶投资管理有限公司一凌顶泰山十号私募证券投资基</t>
  </si>
  <si>
    <t>宁波雾泽投资管理有限公司一泽夏天量化进取1号私募证券投资基金</t>
  </si>
  <si>
    <t>宁波雾泽投资管理有限公司一雾泽夏天量化套利3号私募证券投资基金</t>
  </si>
  <si>
    <t>宁波雾泽投资管理有限公司一雾泽夏天量化套利6号私募证券投资基金</t>
  </si>
  <si>
    <t>宁波雾泽投资管理有限公司一雾泽夏天量化进取2号私募证券投资基金</t>
  </si>
  <si>
    <t>宁波雾泽投资管理有限公司一雾泽苹果1号私募证券投资基金</t>
  </si>
  <si>
    <t>富国基金一国民国泰民安101期限保本三年滚动商业养老金产品A－富国基金国民养老国泰民安中性策略2号单一资产管理计划</t>
  </si>
  <si>
    <t>富国基金管理有限公司</t>
  </si>
  <si>
    <t>富国基金一国民国泰民安101期限保本型（三年滚动）商业养老金产品A款一富国基金国民养老国泰民安中性策略单一资产管理计划</t>
  </si>
  <si>
    <t>富荣基金一中信信托有限责任公司一富荣一中信信托一聚信1号单一资产管理计划</t>
  </si>
  <si>
    <t>富荣基金一中信信托有限责任公司一富荣一中信信托一聚信2号单一资产管理计划</t>
  </si>
  <si>
    <t>富荣基金一中粮信托·丰惠2号集合资金信托计划一富荣基金欣享1号单一资产管理计划</t>
  </si>
  <si>
    <t>山东省国际信托股份有限公司一山东信托·浙商金惠添鑫增利1号集合资金信托计划</t>
  </si>
  <si>
    <t>山东省国际信托股份有限公司</t>
  </si>
  <si>
    <t>山东省国际信托股份有限公司一山东信托·浙商金惠添鑫增利2号集合资金信托计划</t>
  </si>
  <si>
    <t>工银安盛人寿保险有限公司-财富悦</t>
  </si>
  <si>
    <t>工银安盛人寿保险有限公司-长期分红产品</t>
  </si>
  <si>
    <t>工银瑞信投资一工商银行一工银瑞投一工银理财四海甄选集合资产管理计划</t>
  </si>
  <si>
    <t>平安资产一工商银行一平安资产创赢15号资产管理产品</t>
  </si>
  <si>
    <t>平安资管一平安银行一平安资产丰禾2号资产管理产品</t>
  </si>
  <si>
    <t>平安资管一平安银行一平安资产丰禾4号资产管理产品</t>
  </si>
  <si>
    <t>平安资管一平安银行一平安资产丰禾6号资产管理产品</t>
  </si>
  <si>
    <t>平安资管一平安银行一平安资产云丰2号资产管理产品</t>
  </si>
  <si>
    <t>平安资管一平安银行一平安资产春晖1号资产管理产品</t>
  </si>
  <si>
    <t>平安资管一平安银行一平安资产春晖2号资产管理产品</t>
  </si>
  <si>
    <t>平安资管一平安银行一平安资产春晖5号资产管理产品</t>
  </si>
  <si>
    <t>平安资管一平安银行一平安资产春晖6号资产管理产品</t>
  </si>
  <si>
    <t>平安资管一平安银行一平安资产青松ESG6号资产管理产品</t>
  </si>
  <si>
    <t>平安资管一平安银行－平安资产丰禾3号资产管理产品</t>
  </si>
  <si>
    <t>平安资管一平安银行－平安资产春晖4号资产管理产品</t>
  </si>
  <si>
    <t>平安资管一邮储银行一平安资产青松ESG2号资产管理产品</t>
  </si>
  <si>
    <t>平安资管一邮储银行－平安资产青松ESG5号资产管理产品</t>
  </si>
  <si>
    <t>平安资管－平安银行一平安资产春晖3号资产管理产品</t>
  </si>
  <si>
    <t>平安资管－平安银行－平安资产丰禾1号资产管理产品</t>
  </si>
  <si>
    <t>广东粤财信托有限公司-粤财信托·鹏雅10号集合资金信托计划</t>
  </si>
  <si>
    <t>广发证券资管一交通银行一广发资管创鑫利101号集合资产管理计划</t>
  </si>
  <si>
    <t>广发证券资管一交通银行一广发资管创鑫利30号集合资产管理计划</t>
  </si>
  <si>
    <t>广发证券资管一交通银行一广发资管创鑫利31号集合资产管理计划</t>
  </si>
  <si>
    <t>广发证券资管一交通银行一广发资管创鑫利32号集合资产管理计划</t>
  </si>
  <si>
    <t>广发证券资管一喻智丽一广发资管瑞鑫利1号单一资产管理计划</t>
  </si>
  <si>
    <t>广发证券资管一工商银行一广发资管创鑫利33号集合资产管理计划</t>
  </si>
  <si>
    <t>广发证券资管一工商银行一广发资管创鑫利34号集合资产管理计划</t>
  </si>
  <si>
    <t>广发证券资管一济川药业集团有限公司一广发资管双债增利101号单一资产管理计划</t>
  </si>
  <si>
    <t>广发证券资管一浦发银行一广发资管双债增利1号集合资产管理计划</t>
  </si>
  <si>
    <t>广发证券资管一财通证券股份有限公司一广发资管财固4号单一资产管理计划</t>
  </si>
  <si>
    <t>广发证券资管一重庆两江新区开发投资集团有限公司一广发资管瑞驰1号单一资产管理计划</t>
  </si>
  <si>
    <t>建信基金一建信理财“私享”（按周）开放式固定收益类净值型人民币理财产品一建信基金惠众添添赢11号单一资产管理计划</t>
  </si>
  <si>
    <t>建信基金一建信理财睿鑫固收类最低持有7天产品第1期一建信基金惠众添添赢13号单一资产管理计划</t>
  </si>
  <si>
    <t>建信资本-建设银行-建信资本锦绣8号集合资产管理计划</t>
  </si>
  <si>
    <t>建信资本一建信理财睿鑫固收类最低持有7天产品（商户优享）一建信资本星链28号单一资产管理计划</t>
  </si>
  <si>
    <t>建元信托股份有限公司</t>
  </si>
  <si>
    <t>德邦证券一兴业银行一德邦证券东家京享1号集合资产管理计划汇百川基金一东海</t>
  </si>
  <si>
    <t>德邦证券资管一兴业银行一德邦资管星瑞1号集合资产管理计划</t>
  </si>
  <si>
    <t>德邦证券资管一兴业银行一德邦资管星瑞2号集合资产管理计划</t>
  </si>
  <si>
    <t>德邦证券资管一兴业银行一德邦资管星瑞周周盈一四开集合资产管理计划</t>
  </si>
  <si>
    <t>德邦证券资管一兴业银行一德邦资管星瑞周周盈二三五开集合资产管理计</t>
  </si>
  <si>
    <t>德邦证券资管一兴业银行一德邦资管星瑞周周盈五二开集合资产管理计划</t>
  </si>
  <si>
    <t>德邦证券资管一国盛证券有限责任公司一德邦资管邦盛1号单一资产管理计划</t>
  </si>
  <si>
    <t>恒安标准人寿保险有限公司-传统分红保险产品</t>
  </si>
  <si>
    <t>恒安标准人寿保险有限公司-累积分</t>
  </si>
  <si>
    <t>招商基金一平安银行一招商基金基础资产8号集合资产管理计划</t>
  </si>
  <si>
    <t>新华人寿保险股份有限公司-万能-得意理财-018L-WN001 沪</t>
  </si>
  <si>
    <t>新华人寿保险股份有限公司-个人税延B1款产品浙商证券资管一山</t>
  </si>
  <si>
    <t>新华人寿保险股份有限公司-传统-普通保险产品-018L-CT001沪</t>
  </si>
  <si>
    <t>新华人寿保险股份有限公司-新华人寿卓越优选专属商业养老保险（积极进取型)</t>
  </si>
  <si>
    <t>新华人寿保险股份有限公司一新华人寿保险稳得盈两全保险(分红型）</t>
  </si>
  <si>
    <t>新华人寿保险股份有限公司一新华人寿保险稳得福两全保险（分红型）（分红专二)</t>
  </si>
  <si>
    <t>新华人寿保险股份有限公司浙商证券资管一山</t>
  </si>
  <si>
    <t>新华资管-兴业银行-新华资产-国强增质一号资产管理产品</t>
  </si>
  <si>
    <t>明世伙伴私募基金管理（珠海）有限公司一明世伙伴信智1号私募证券投资基金</t>
  </si>
  <si>
    <t>明世伙伴私募基金管理（珠海）有限公司一明世伙伴信智2号私募证券投资基金</t>
  </si>
  <si>
    <t>明世伙伴私募基金管理（珠海）有限公司一明世伙伴信智4号私募证券投资基金</t>
  </si>
  <si>
    <t>明世伙伴私募基金管理（珠海）有限公司一明世伙伴信智6号私募证券投资基金</t>
  </si>
  <si>
    <t>明世伙伴私募基金管理（珠海）有限公司一明世伙伴信智7号私募证券投资基金</t>
  </si>
  <si>
    <t>明毅私募基金管理有限公司一明毅固益九号私募基金</t>
  </si>
  <si>
    <t>明毅私募基金管理有限公司一明毅固盛八号私募基金</t>
  </si>
  <si>
    <t>明毅私募基金管理有限公司一明毅永宁私募证券投资基浙商证券资管一山</t>
  </si>
  <si>
    <t>明毅私募基金管理有限公司一明毅永康私募基金</t>
  </si>
  <si>
    <t>明毅私募基金管理有限公司一明毅永泰私募证券投资基</t>
  </si>
  <si>
    <t>明毅私募基金管理有限公司一明毅海盈私募证券投资基</t>
  </si>
  <si>
    <t>明毅私募基金管理有限公司－明毅永图私募证券投资基</t>
  </si>
  <si>
    <t>有限公司-自有资德邦证券资管一首</t>
  </si>
  <si>
    <t>有限公司</t>
  </si>
  <si>
    <t>有限公司一盛泉恒元量化套利专项46号私募证券投资基</t>
  </si>
  <si>
    <t>有限公司一盛泉恒元量化套利专项5号私募证券投资基</t>
  </si>
  <si>
    <t>格林基金一东海证券海汇12号FOF集合资产管理计划一格林基金如盈1号单一资产管理计</t>
  </si>
  <si>
    <t>格林基金一东海证券海汇12号FOF集合资产管理计划一格林基金福盈1号单一资产管理计</t>
  </si>
  <si>
    <t>格林基金一东海龙成FOF22号集合资产管理计划一格林基金富仁1号单一资产管理计划</t>
  </si>
  <si>
    <t>格林基金一东海龙成FOF22号集合资产管理计划一格林基金富利1号单一资产管理计划</t>
  </si>
  <si>
    <t>格林基金一东海龙成FOF22号集合资产管理计划一格林基金富益1号单一资产管理计划</t>
  </si>
  <si>
    <t>格林基金一光大银行一格林基金纯债7号集合资产管理计划</t>
  </si>
  <si>
    <t>格林基金一华远陆港资本运营有限公司一格林基金华远1号单一资产管理计划</t>
  </si>
  <si>
    <t>格林基金一宁波银行一格林基金英大盈沣1号集合资产管理计划</t>
  </si>
  <si>
    <t>格林基金一梁芹一格林基金乐盈1号单一资产管理计划</t>
  </si>
  <si>
    <t>格林基金一浦发银行一格林基金纯债5号集合资产管理计划</t>
  </si>
  <si>
    <t>横琴广金美好基金管理有限公司一广金美好安享成长1号私募证券投资基</t>
  </si>
  <si>
    <t>民生通惠资产-农业银行-民生通惠聚信2号资产管理产品</t>
  </si>
  <si>
    <t>民生通惠资管-工商银行-民生通惠通汇9号资产管理产品</t>
  </si>
  <si>
    <t>民生通惠资管一兴业银行一民生通惠和谐5号资产管理产品</t>
  </si>
  <si>
    <t>民生通惠资管一兴业银行一民生通惠和谐6号资产管理产品</t>
  </si>
  <si>
    <t>民生通惠资管一兴业银行一民生通惠和谐7号资产管理产品</t>
  </si>
  <si>
    <t>民生通惠资管一兴业银行一民生通惠和谐8号资产管理产品</t>
  </si>
  <si>
    <t>民生通惠资管一农业银行一民生通惠民汇53号资产管理产品</t>
  </si>
  <si>
    <t>民生通惠资管一南京银行一民生通惠长益1号资产管理产品</t>
  </si>
  <si>
    <t>汇添富基金一世德能源（海南）有限公司一汇添富基金世德1号单一资产管理计划</t>
  </si>
  <si>
    <t>汇添富基金一兴业银行一汇添富全天候策略1号集合资产管理计划</t>
  </si>
  <si>
    <t>汇添富基金一农业银行一汇添富REITs优选1号集合资产管理计划</t>
  </si>
  <si>
    <t>汇添富基金一唐华胜一汇添富华胜1号单一资产管理计</t>
  </si>
  <si>
    <t>汇添富基金一国民养老保险股份有限公司一商业养老金产品一汇添富基金国民养老国泰民安中性策略2号单一资产管理计划</t>
  </si>
  <si>
    <t>汇添富基金一国民养老保险股份有限公司一商业养老金产品一汇添富基金国民养老国泰民安中性策略3号单一资产管理计划</t>
  </si>
  <si>
    <t>汇添富基金一国民养老保险股份有限公司一商业养老金产品一汇添富基金国民养老国泰民安中性策略4号单一资产管理计划</t>
  </si>
  <si>
    <t>汇添富基金一国民养老保险股份有限公司一商业养老金产品一汇添富基金国民养老国泰民安中性策略5号单一资产管理计划</t>
  </si>
  <si>
    <t>汇添富基金一工商银行一汇添富双擎添利1号集合资产管理计划</t>
  </si>
  <si>
    <t>汇添富基金一工商银行一汇添富双擎添利2号集合资产管理计划</t>
  </si>
  <si>
    <t>汇百川基金一上海浦江建设发展有限公司一汇百川浦汇1号单一资产管理计划</t>
  </si>
  <si>
    <t>汇百川基金一上海浦江建设发展有限公司一汇百川浦汇2号单一资产管理计划</t>
  </si>
  <si>
    <t>汇百川基金一上海精瀚机电设备有限公司一汇百川信汇1号单一资产管理计划</t>
  </si>
  <si>
    <t>汇百川基金一东海证券海汇12号FOF集合资产管理计划一汇百川海汇27号单一资产管理计划</t>
  </si>
  <si>
    <t>汇百川基金一东海龙成FOF22号集合资产管理计划一汇百川海汇13号单一资产管理计划</t>
  </si>
  <si>
    <t>汇百川基金一东海龙成FOF22号集合资产管理计划一汇百川海汇14号单一资产管理计划</t>
  </si>
  <si>
    <t>汇百川基金一东海龙成FOF22号集合资产管理计划一汇百川海汇15号单一资产管理计划</t>
  </si>
  <si>
    <t>汇百川基金一东海龙成FOF22号集合资产管理计划一汇百川海汇1号单一资产管理计划</t>
  </si>
  <si>
    <t>汇百川基金一东海龙成FOF22号集合资产管理计划一汇百川海汇2号单一资产管理计划</t>
  </si>
  <si>
    <t>汇百川基金一东海龙成FOF22号集合资产管理计划一汇百川海汇3号单一资产管理计划</t>
  </si>
  <si>
    <t>汇百川基金一东海龙成FOF22号集合资产管理计划一汇百川海汇4号单一资产管理计划</t>
  </si>
  <si>
    <t>汇百川基金一东海龙成FOF22号集合资产管理计划一汇百川海汇8号单一资产管理计划</t>
  </si>
  <si>
    <t>汇百川基金一中信银行一汇百川国汇13号集合资产管理计划</t>
  </si>
  <si>
    <t>汇百川基金一中信银行一汇百川国汇14号集合资产管理计划</t>
  </si>
  <si>
    <t>汇百川基金一中信银行一汇百川国汇15号集合资产管理计划</t>
  </si>
  <si>
    <t>汇百川基金一中信银行一汇百川国汇16号集合资产管理计划</t>
  </si>
  <si>
    <t>汇百川基金一中信银行一汇百川国汇17号集合资产管理计划</t>
  </si>
  <si>
    <t>汇百川基金一中信银行一汇百川国汇18号集合资产管理计划</t>
  </si>
  <si>
    <t>汇百川基金一中信银行一汇百川稳益1号集合资产管理计划</t>
  </si>
  <si>
    <t>汇百川基金一中信银行一汇百川稳益2号集合资产管理计划</t>
  </si>
  <si>
    <t>汇百川基金一中信银行一汇百川稳益3号集合资产管理计划</t>
  </si>
  <si>
    <t>汇百川基金一中信银行一汇百川稳益5号集合资产管理计划</t>
  </si>
  <si>
    <t>汇百川基金一中信银行一汇百川稳益6号集合资产管理计划</t>
  </si>
  <si>
    <t>汇百川基金一中信银行一汇百川稳益7号集合资产管理计划</t>
  </si>
  <si>
    <t>汇百川基金一中信银行一汇百川融泰1号集合资产管理计划</t>
  </si>
  <si>
    <t>汇百川基金一中国银行一汇百川基金联益6个月持有1号集合资产管理计</t>
  </si>
  <si>
    <t>汇百川基金一刘于洋一汇百川基金虹汇1号单一资产管理计划</t>
  </si>
  <si>
    <t>汇百川基金一华融发展私募基金管理有限公司一汇百川兴汇1号单一资产管理计划</t>
  </si>
  <si>
    <t>汇百川基金一华融发展私募基金管理有限公司</t>
  </si>
  <si>
    <t>汇百川基金一华融发展私募基金管理有限公司一汇百川兴汇2号单一资产管理计划</t>
  </si>
  <si>
    <t>汇百川基金一华融发展私募基金管理有限公司一汇百川兴汇3号单一资产管理计划</t>
  </si>
  <si>
    <t>汇百川基金一华融发展私募基金管理有限公司一汇百川兴汇4号单一资产管理计划</t>
  </si>
  <si>
    <t>汇百川基金一华融发展私募基金管理有限公司一汇百川兴汇5号单一资产管理计划</t>
  </si>
  <si>
    <t>汇百川基金一华融发展私募基金管理有限公司一汇百川兴汇6号单一资产管理计划</t>
  </si>
  <si>
    <t>汇百川基金一南京银行一汇百川基金盛汇90天持有4号集合资产管理计划</t>
  </si>
  <si>
    <t>汇百川基金一史娟华一汇百川精汇1号单一资产管理计</t>
  </si>
  <si>
    <t>汇百川基金一史娟华一汇百川精汇2号单一资产管理计</t>
  </si>
  <si>
    <t>汇百川基金一史娟华一汇百川精汇3号单一资产管理计</t>
  </si>
  <si>
    <t>汇百川基金一国联欣欣向荣1号FOF集合资产管理计划一汇百川国汇39号单一资产管理计划</t>
  </si>
  <si>
    <t>汇百川基金一国联欣欣向荣1号FOF集合资产管理计划一汇百川国汇40号单一资产管理计划</t>
  </si>
  <si>
    <t>汇百川基金一国联欣欣向荣1号FOF集合资产管理计划一汇百川国汇41号单一资产管理计划</t>
  </si>
  <si>
    <t>汇百川基金一国联欣欣向荣1号FOF集合资产管理计划一汇百川国汇42号单一资产管理计划</t>
  </si>
  <si>
    <t>汇百川基金一国联欣欣向荣1号FOF集合资产管理计划一汇百川国汇43号单一资产管理计划</t>
  </si>
  <si>
    <t>汇百川基金一国联欣欣向荣1号FOF集合资产管理计划一汇百川国汇44号单一资产管理计划</t>
  </si>
  <si>
    <t>汇百川基金一国联欣欣向荣1号FOF集合资产管理计划一汇百川国汇45号单一资产管理计划</t>
  </si>
  <si>
    <t>汇百川基金一国联欣欣向荣1号FOF集合资产管理计划一汇百川国汇46号单一资产管理计划</t>
  </si>
  <si>
    <t>汇百川基金一国联鑫诚8号FOF单一资产管理计划一汇百川国汇47号单一资产管理计划</t>
  </si>
  <si>
    <t>汇百川基金一常州市武进华联电控设备股份有限公司一汇百川联汇1号单一资产管理计划</t>
  </si>
  <si>
    <t>汇百川基金一常州市武进华联电控设备股份有限公司一汇百川联汇2号单一资产管理计划</t>
  </si>
  <si>
    <t>汇百川基金一常州市武进华联电控设备股份有限公司一汇百川联汇3号单</t>
  </si>
  <si>
    <t>汇百川基金一常州市武进华联电控设备股份有限公司一汇百川联汇4号单一资产管理计划</t>
  </si>
  <si>
    <t>汇百川基金一常州市武进华联电控设备股份有限公司一汇百川联汇5号单一资产管理计划</t>
  </si>
  <si>
    <t>汇百川基金一常州市武进华联电控设备股份有限公司一汇百川联汇6号单一资产管理计划</t>
  </si>
  <si>
    <t>汇百川基金一常州恒屹智能装备有限公司一汇百川恒汇1号单一资产管理计划</t>
  </si>
  <si>
    <t>汇百川基金一常州恒屹智能装备有限公司一汇百川恒汇2号单一资产管理计划</t>
  </si>
  <si>
    <t>汇百川基金一常州恒屹智能装备有限公司一汇百川恒汇3号单一资产管理计划</t>
  </si>
  <si>
    <t>汇百川基金一广州讯鸿网络技术有限公司一汇百川基金虹汇3号单一资产管理计划</t>
  </si>
  <si>
    <t>汇百川基金一招商银行一汇百川基金君汇10号集合资产管理计划</t>
  </si>
  <si>
    <t>汇百川基金一招商银行一汇百川基金君汇1号集合资产管理计划</t>
  </si>
  <si>
    <t>汇百川基金一招商银行一汇百川基金君汇2号集合资产管理计划</t>
  </si>
  <si>
    <t>汇百川基金一招商银行一汇百川基金君汇3号集合资产管理计划</t>
  </si>
  <si>
    <t>汇百川基金一招商银行一汇百川基金君汇4号集合资产管理计划</t>
  </si>
  <si>
    <t>汇百川基金一招商银行一汇百川基金君汇5号集合资产管理计划</t>
  </si>
  <si>
    <t>汇百川基金一招商银行一汇百川基金君汇6号集合资产管理计划</t>
  </si>
  <si>
    <t>汇百川基金一招商银行一汇百川基金君汇7号集合资产管理计划</t>
  </si>
  <si>
    <t>汇百川基金一招商银行一汇百川基金君汇8号集合资产管理计划</t>
  </si>
  <si>
    <t>汇百川基金一招商银行一汇百川基金君汇9号集合资产管理计划</t>
  </si>
  <si>
    <t>汇百川基金一浙江百朗士新材料有限公司一汇百川新汇1号单一资产管理计划</t>
  </si>
  <si>
    <t>汇百川基金一浙江百朗士新材料有限公司</t>
  </si>
  <si>
    <t>汇百川基金一浙江百朗士新材料有限公司－汇百川新汇3号单一资产管理计划</t>
  </si>
  <si>
    <t>汇百川基金一浦发银行一汇百川稳益10号集合资产管理计划</t>
  </si>
  <si>
    <t>汇百川基金一浦发银行一汇百川稳益8号集合资产管理计划</t>
  </si>
  <si>
    <t>汇百川基金一浦发银行一汇百川稳益9号集合资产管理计划</t>
  </si>
  <si>
    <t>汇百川基金一深圳太辰光通信股份有限公司一汇百川基金君汇11号单一资产管理计划</t>
  </si>
  <si>
    <t>汇百川基金一深圳太辰光通信股份有限公司</t>
  </si>
  <si>
    <t>汇百川基金一深圳太辰光通信股份有限公司一汇百川基金君汇12号单一资产管理计划</t>
  </si>
  <si>
    <t>汇百川基金一深圳太辰光通信股份有限公司一汇百川基金君汇15号单一资产管理计划</t>
  </si>
  <si>
    <t>汇百川基金一深圳太辰光通信股份有限公司一汇百川基金君汇16号单一资产管理计划</t>
  </si>
  <si>
    <t>汇百川基金一深圳太辰光通信股份有限公司一汇百川基金君汇17号单一资产管理计划</t>
  </si>
  <si>
    <t>汇百川基金一深圳太辰光通信股份有限公司－汇百川基金君汇13号单一资产管理计划</t>
  </si>
  <si>
    <t>汇百川基金一深圳市嘉润原新显科技有限公司一汇百川基金君汇21号单一</t>
  </si>
  <si>
    <t>汇百川基金一深圳市嘉润原新显科技有限公司</t>
  </si>
  <si>
    <t>汇百川基金一深圳市嘉润原新显科技有限公司－汇百川基金君汇19号单一资产管理计划</t>
  </si>
  <si>
    <t>汇百川基金一盛宇华一汇百川基金君汇22号单一资产管理计划</t>
  </si>
  <si>
    <t>汇百川基金一陆家嘴信托一世颂弘远家族信托1号一汇百川陆汇1号单一资产管理计划</t>
  </si>
  <si>
    <t>汇百川基金一陆家嘴信托一世颂弘远家族信托1号一汇百川陆汇2号单一资产管理计划</t>
  </si>
  <si>
    <t>汇百川基金一陆家嘴信托一世颂弘远家族信托1号一汇百川陆汇3号单一资产管理计划</t>
  </si>
  <si>
    <t>汇百川基金一陆家嘴信托一国联大方向50之汇百川2号集合资金信托计划一汇百川国汇23号单一资产管理计划</t>
  </si>
  <si>
    <t>汇百川基金一陆家嘴信托一国联大方向50之汇百川2号集合资金信托计划一汇百川国汇24号单一资产管理计划</t>
  </si>
  <si>
    <t>汇百川基金一陆家嘴信托一国联大方向50之汇百川2号集合资金信托计划一汇百川国汇25号单一资产管理计划</t>
  </si>
  <si>
    <t>汇百川基金一陆家嘴信托一国联大方向50之汇百川2号集合资金信托计划一汇百川国汇26号单一资产管理计划</t>
  </si>
  <si>
    <t>汇百川基金一陆家嘴信托一国联大方向50之汇百川2号集合资金信托计划一汇百川国汇27号单一资产管理计划</t>
  </si>
  <si>
    <t>汇百川基金一陆家嘴信托一国联大方向50之汇百川2号集合资金信托计划一汇百川国汇28号单一资产管理计划</t>
  </si>
  <si>
    <t>汇百川基金一陆家嘴信托一国联大方向50之汇百川2号集合资金信托计划一汇百川国汇29号单一资产管理计划</t>
  </si>
  <si>
    <t>汇百川基金一陆家嘴信托一国联大方向50之汇百川2号集合资金信托计划一汇百川国汇32号单一资产管理计划</t>
  </si>
  <si>
    <t>汇百川基金一陆家嘴信托一国联大方向50之汇百川2号集合资金信托计划一汇百川国汇34号单一资产管理计划</t>
  </si>
  <si>
    <t>汇百川基金一陆家嘴信托一国联大方向50之汇百川2号集合资金信托计划一汇百川国汇35号单一资产管理计划</t>
  </si>
  <si>
    <t>汇百川基金一陆家嘴信托一国联大方向50之汇百川2号集合资金信托计划一汇百川国汇36号单一资产管理计划</t>
  </si>
  <si>
    <t>汇百川基金一陆家嘴信托一国联大方向50之汇百川2号集合资金信托计划一汇百川国汇37号单一资产管理计划</t>
  </si>
  <si>
    <t>汇百川基金一陆家嘴信托一国联大方向50之汇百川集合资金信托计划一汇百川国汇10号单一资产管理计划</t>
  </si>
  <si>
    <t>汇百川基金一陆家嘴信托一国联大方向50之汇百川集合资金信托计划一汇百川国汇11号单一资产管理计划</t>
  </si>
  <si>
    <t>汇百川基金一陆家嘴信托一国联大方向50之汇百川集合资金信托计划一汇百川国汇12号单一资产管理计划</t>
  </si>
  <si>
    <t>汇百川基金一陆家嘴信托一国联大方向50之汇百川集合资金信托计划一汇百川国汇1号单一</t>
  </si>
  <si>
    <t>汇百川基金一陆家嘴信托一国联大方向50之汇百川集合资金信托计划一汇百川国汇21号单一资产管理计划</t>
  </si>
  <si>
    <t>汇百川基金一陆家嘴信托一国联大方向50之汇百川集合资金信托计划一汇百川国汇22号单一资产管理计划</t>
  </si>
  <si>
    <t>汇百川基金一陆家嘴信托一国联大方向50之汇百川集合资金信托计划一汇百川国汇2号单一资产管理计划</t>
  </si>
  <si>
    <t>汇百川基金一陆家嘴信托一国联大方向50之汇百川集合资金信托计划一汇百川国汇3号单一资产管理计划</t>
  </si>
  <si>
    <t>汇百川基金一陆家嘴信托一国联大方向50之汇百川集合资金信托计划一汇百川国汇4号单一资产管理计划</t>
  </si>
  <si>
    <t>汇百川基金一陆家嘴信托一国联大方向50之汇百川集合资金信托计划一汇百川国汇5号单一资产管理计划</t>
  </si>
  <si>
    <t>汇百川基金一陆家嘴信托一国联大方向50之汇百川集合资金信托计划一汇百川国汇6号单一资产管理计划</t>
  </si>
  <si>
    <t>汇百川基金一陆家嘴信托一国联大方向50之汇百川集合资金信托计划一汇百川国汇7号单一资产管理计划</t>
  </si>
  <si>
    <t>汇百川基金一陆家嘴信托一国联大方向50之汇百川集合资金信托计划一汇百川国汇8号单一资产管理计划</t>
  </si>
  <si>
    <t>汇百川基金一陆家嘴信托一国联大方向50之汇百川集合资金信托计划一汇百川国汇9号单一资产管理计划</t>
  </si>
  <si>
    <t>江苏省国际信托有限责任公司-江苏信托·盈丰1号集合资金信托计划</t>
  </si>
  <si>
    <t>泰康人寿保险有限责任公司-传统-普通保险产品-019L-CT001沪</t>
  </si>
  <si>
    <t>泰康人寿保险有限责任公司-分红-团体分红-019L-FH001沪</t>
  </si>
  <si>
    <t>泰康人寿保险有限责任公司-投连-平衡配置</t>
  </si>
  <si>
    <t>泰康人寿保险有限责任公司-投连-开泰稳利</t>
  </si>
  <si>
    <t>泰康人寿保险有限责任公司-投连-稳健收益</t>
  </si>
  <si>
    <t>泰康人寿保险有限责任公司一专属商业养老保险稳健型组合</t>
  </si>
  <si>
    <t>泰康人寿保险有限责任公司一专属商业养老保险稳健型组合B</t>
  </si>
  <si>
    <t>泰康人寿保险有限责任公司一专属商业养老保险进取型组合</t>
  </si>
  <si>
    <t>泰康人寿保险有限责任公司一专属商业养老保险进取型组合 B</t>
  </si>
  <si>
    <t>泰康保险集团股份有限公司-自有资</t>
  </si>
  <si>
    <t>泰康在线财产保险股份有限公司-自有资金</t>
  </si>
  <si>
    <t>泰康资产管理有限责任公司一自有资</t>
  </si>
  <si>
    <t>泰康资管-中国银行-泰康资产益泰新享11号资产管理产品</t>
  </si>
  <si>
    <t>泰康资管-中国银行-泰康资产益泰新享12号资产管理产品</t>
  </si>
  <si>
    <t>泰康资管-中国银行-泰康资产益泰新享15号资产管理产品</t>
  </si>
  <si>
    <t>泰康资管-中国银行-泰康资产益泰新享16号资产管理产品</t>
  </si>
  <si>
    <t>泰康资管-中国银行-泰康资产益泰新享17号资产管理产品</t>
  </si>
  <si>
    <t>泰康资管-中国银行-泰康资产益泰新享18号资产管理产品</t>
  </si>
  <si>
    <t>泰康资管-中国银行-泰康资产益泰新享3号资产管理产品</t>
  </si>
  <si>
    <t>泰康资管-中国银行-泰康资产益泰新享5号资产管理产品</t>
  </si>
  <si>
    <t>泰康资管-农业银行-泰康资产开泰睿选资产管理产品</t>
  </si>
  <si>
    <t>泰康资管-农业银行-泰康资产管理有限责任公司纯泰灵活配置资产管理产品</t>
  </si>
  <si>
    <t>泰康资管-工商银行-泰康资产管理有限责任公司益泰3号资产管理产品</t>
  </si>
  <si>
    <t>泰康资管-工商银行-泰康资产管理有限责任公司稳健增利3号资产管理产品</t>
  </si>
  <si>
    <t>泰康资管一兴业银行一泰康资产纯泰77号资产管理产品</t>
  </si>
  <si>
    <t>泰康资管一农业银行一泰康资产纯泰68号资产管理产品</t>
  </si>
  <si>
    <t>泰康资管一农业银行一银泰98号资产管理计划</t>
  </si>
  <si>
    <t>泰康资管一建设银行一泰康资产益泰智选增利资产管理产品</t>
  </si>
  <si>
    <t>泰康资管一招商银行一泰康资产纯泰66号资产管理产品</t>
  </si>
  <si>
    <t>泰康资管一招商银行一泰康资产纯泰智选恒利2号资产管理产品</t>
  </si>
  <si>
    <t>泰康资管一民生银行一泰康资产纯泰睿智2号资产管理产品</t>
  </si>
  <si>
    <t>津博（上海）私募基金管理有限公司津博宏图2号私募证券投资基金</t>
  </si>
  <si>
    <t>浙商证券资管一中红普林医疗用品股份有限公司一浙商聚金财享全景2号单一资产管理计划</t>
  </si>
  <si>
    <t>浙商证券资管一中红普林医疗用品股份有限公司一浙商聚金财固26号单一资产管理计划</t>
  </si>
  <si>
    <t>浙商证券资管一中红普林医疗用品股份有限公司一浙商聚金财固增利2号单一资产管理计划</t>
  </si>
  <si>
    <t>浙商证券资管一公元塑业集团有限公司一浙商聚金钻石专享1号单一资产管理计划</t>
  </si>
  <si>
    <t>浙商证券资管一兴业银行一浙商金惠享周周购2号1期集合资产管理计</t>
  </si>
  <si>
    <t>浙商证券资管一山东中际投资控股有限公司一浙商聚金财固2号单一资产管理计划</t>
  </si>
  <si>
    <t>浙商证券资管一山东信托·浙商金惠添鑫增利12M005号集合资金信托计划一浙商聚金添鑫增利5号单一资产管理计划</t>
  </si>
  <si>
    <t>浙商证券资管一山东信托·浙商金惠添鑫增利12M021号集合资金信托计划一浙商聚金添鑫增利12M021号单一资产管理计划</t>
  </si>
  <si>
    <t>浙商证券资管一山东信托·浙商金惠添鑫增利12M022号集合资金信托计划一浙商聚金添鑫增利12M022号单一资产管理计划</t>
  </si>
  <si>
    <t>浙商证券资管一山东信托·浙商金惠添鑫增利12M032号集合资金信托计划一浙商聚金添鑫增利12M032号单一资产管理计划</t>
  </si>
  <si>
    <t>浙商证券资管一山东信托·浙商金惠添鑫增利12M033号集合资金信托计划一浙商聚金添鑫增利12M033号单一资产管理计划</t>
  </si>
  <si>
    <t>浙商证券资管一山东信托·浙商金惠添鑫增利12M045号集合资金信托计划一浙商聚金添鑫增利12M045号单一资产管理计划</t>
  </si>
  <si>
    <t>浙商证券资管一山东信托·浙商金惠添鑫增利12M051号集合资金信托计划一浙商聚金添鑫增利12M051号单一资产管理计划</t>
  </si>
  <si>
    <t>浙商证券资管一山东信托·浙商金惠添鑫增利12M052号集合资金信托计划一浙商聚金添鑫增利12M052号单一资产管理计划</t>
  </si>
  <si>
    <t>浙商证券资管一山东信托·浙商金惠添鑫增利12M065号集合资金信托计划一浙商聚金添鑫增利12M065号单一资产管理计划</t>
  </si>
  <si>
    <t>浙商证券资管一山东信托·浙商金惠添鑫增利12M068号集合资金信托计划一浙商聚金添鑫增利12M068号单一资产管理计划</t>
  </si>
  <si>
    <t>浙商证券资管一山东信托·浙商金惠添鑫增利12M069号集合资金信托计划一浙商聚金添鑫增利12M069号单一资产管理计划</t>
  </si>
  <si>
    <t>浙商证券资管一山东信托·浙商金惠添鑫增利12M071号集合资金信托计划一浙商聚金添鑫增利12M071号单一资产管理计划</t>
  </si>
  <si>
    <t>浙商证券资管一山东信托·浙商金惠添鑫增利12M072号集合资金信托计划一浙商聚金添鑫增利12M072号单一资产管理计划</t>
  </si>
  <si>
    <t>浙商证券资管一山东信托·浙商金惠添鑫增利12M073号集合资金信托计划一浙商聚金添鑫增利12M073号单一资产管理计划</t>
  </si>
  <si>
    <t>浙商证券资管一山东信托·浙商金惠添鑫增利12M075号集合资金信托计划一浙商聚金添鑫增利12M075号单一资产管理计划</t>
  </si>
  <si>
    <t>浙商证券资管一山东信托·浙商金惠添鑫增利12M076号集合资金信托计划一浙商聚金添鑫增利12M076号单一资产管理计划</t>
  </si>
  <si>
    <t>浙商证券资管一山东信托·浙商金惠添鑫增利12M079号集合资金信托计划一浙商聚金添鑫增利12M079号单一资产管理计划</t>
  </si>
  <si>
    <t>浙商证券资管一山东信托·浙商金惠添鑫增利12M081号集合资金信托计划一浙商聚金添鑫增利12M081号单一资产管理计划</t>
  </si>
  <si>
    <t>浙商证券资管一山东信托·浙商金惠添鑫增利12M082号集合资金信托计划一浙商聚金添鑫增利12M082号单一资产管理计划</t>
  </si>
  <si>
    <t>浙商证券资管一山东信托·浙商金惠添鑫增利12M083号集合资金信托计划一浙商聚金添鑫增利12M083号单一资产管理计划</t>
  </si>
  <si>
    <t>浙商证券资管一山东信托·浙商金惠添鑫增利12M085号集合资金信托计划一浙商聚金添鑫增利12M085号单一资产管理计划</t>
  </si>
  <si>
    <t>浙商证券资管一山东信托·浙商金惠添鑫增利12M086号集合资金信托计划一浙商聚金添鑫增利12M086号单一资产管理计划</t>
  </si>
  <si>
    <t>浙商证券资管一山东信托·浙商金惠添鑫增利18M001号集合资金信托计划一浙商聚金添鑫增利18M001号单一资产管理计划</t>
  </si>
  <si>
    <t>浙商证券资管一山东信托·浙商金惠添鑫增利18M002号集合资金信托计划一浙商聚金添鑫增利18M002号单一资产管理计划</t>
  </si>
  <si>
    <t>浙商证券资管一山东信托·浙商金惠添鑫增利6M007号集合资金信托计划一浙商聚金添鑫增利6M007号单一资产管理计划</t>
  </si>
  <si>
    <t>浙商证券资管一山东信托·浙商金惠添鑫增利6M009号集合资金信托计划一浙商聚金添鑫增利6M009号单一资产管理计划</t>
  </si>
  <si>
    <t>浙商证券资管一山东信托·浙商金惠添鑫增利6M012号集合资金信托计划一浙商聚金添鑫增利6M012号单一资产管理计划</t>
  </si>
  <si>
    <t>浙商证券资管一工商银行一浙商金惠聚禄18M001号（闽享）集合资产管理计划</t>
  </si>
  <si>
    <t>浙商证券资管一工商银行一浙商金惠聚禄18M002号集合资产管理计划</t>
  </si>
  <si>
    <t>浙商证券资管一工商银行一浙商金惠聚禄18M003号集合资产管理计划</t>
  </si>
  <si>
    <t>浙商证券资管一工商银行一浙商金惠聚禄周开1号集合资产管理计划</t>
  </si>
  <si>
    <t>浙商证券资管一工商银行一浙商金惠聚禄周开2号集合资产管理计划</t>
  </si>
  <si>
    <t>浙商证券资管一江苏华达化工集团有限公司一浙商聚金财固6号单一资产管理计划</t>
  </si>
  <si>
    <t>浙商证券资管一济川药业集团有限公司一浙商聚金富满全景1号单一资产管理计划</t>
  </si>
  <si>
    <t>浙商证券资管一浙商银行一浙商金惠添鑫5号28期集合资产管理计划</t>
  </si>
  <si>
    <t>浙商证券资管一浙商银行一浙商金惠添鑫5号29期集合资产管理计划</t>
  </si>
  <si>
    <t>浙商证券资管一浙商银行一浙商金惠添鑫周开12号集合资产管理计划</t>
  </si>
  <si>
    <t>浙商证券资管一浙商银行一浙商金惠添鑫周开13号集合资产管理计划</t>
  </si>
  <si>
    <t>浙商证券资管一浙商银行一浙商金惠添鑫周开14号集合资产管理计划</t>
  </si>
  <si>
    <t>浙商证券资管一浙商银行一浙商金惠添鑫周开15号集合资产管理计划</t>
  </si>
  <si>
    <t>浙商证券资管一浙商银行一浙商金惠添鑫周开16号集合资产管理计划</t>
  </si>
  <si>
    <t>浙商证券资管一浙商银行一浙商金惠添鑫周开17号集合资产管理计划</t>
  </si>
  <si>
    <t>浙商证券资管一浙商银行一浙商金惠添鑫周开18号集合资产管理计划</t>
  </si>
  <si>
    <t>浙商证券资管一浙商银行一浙商金惠添鑫周开19号集合资产管理计划</t>
  </si>
  <si>
    <t>浙商证券资管一浙商银行一浙商金惠添鑫周开21号集合资产管理计划</t>
  </si>
  <si>
    <t>浙商证券资管一浙商银行一浙商金惠添鑫周开22号集合资产管理计划</t>
  </si>
  <si>
    <t>浙商证券资管一浙商银行一浙商金惠添鑫周开23号集合资产管理计划</t>
  </si>
  <si>
    <t>浙商证券资管一浙商银行一浙商金惠添鑫周开25号集合资产管理计划</t>
  </si>
  <si>
    <t>浙商证券资管一浙商银行一浙商金惠添鑫周开26号集合资产管理计划</t>
  </si>
  <si>
    <t>浙商证券资管一浙商银行一浙商金惠添鑫周开27号集合资产管理计划</t>
  </si>
  <si>
    <t>浙商证券资管一浙商银行一浙商金惠添鑫周开29号集合资产管理计划</t>
  </si>
  <si>
    <t>浙商证券资管一浙商银行一浙商金惠添鑫周开2号集合资产管理计划</t>
  </si>
  <si>
    <t>浙商证券资管一浙商银行一浙商金惠添鑫周开30号集合资产管理计划</t>
  </si>
  <si>
    <t>浙商证券资管一浙商银行一浙商金惠添鑫周开31号集合资产管理计划</t>
  </si>
  <si>
    <t>浙商证券资管一浙商银行一浙商金惠添鑫周开32号集合资产管理计划</t>
  </si>
  <si>
    <t>浙商证券资管一浙商银行一浙商金惠添鑫周开33号集合资产管理计划</t>
  </si>
  <si>
    <t>浙商证券资管一浙商银行一浙商金惠添鑫周开3号集合资产管理计划</t>
  </si>
  <si>
    <t>浙商证券资管一浙商银行一浙商金惠添鑫周开41号集合资产管理计划</t>
  </si>
  <si>
    <t>浙商证券资管一浙商银行一浙商金惠添鑫周开42号集合资产管理计划</t>
  </si>
  <si>
    <t>浙商证券资管一浙商银行一浙商金惠添鑫周开43号集合资产管理计划</t>
  </si>
  <si>
    <t>浙商证券资管一浙商银行一浙商金惠添鑫周开44号集合资产管理计划</t>
  </si>
  <si>
    <t>浙商证券资管一浙商银行一浙商金惠添鑫周开45号集合资产管理计划</t>
  </si>
  <si>
    <t>浙商证券资管一浙商银行一浙商金惠添鑫周开48号集合资产管理计划</t>
  </si>
  <si>
    <t>浙商证券资管一浙商银行一浙商金惠添鑫周开4号集合资产管理计划</t>
  </si>
  <si>
    <t>浙商证券资管一浙商银行一浙商金惠添鑫周开50号集合资产管理计划浙商证券资管一山</t>
  </si>
  <si>
    <t>浙商证券资管一浙商银行一浙商金惠添鑫周开51号集合资产管理计划</t>
  </si>
  <si>
    <t>浙商证券资管一浙商银行一浙商金惠添鑫周开52号集合资产管理计划</t>
  </si>
  <si>
    <t>浙商证券资管一浙商银行一浙商金惠添鑫周开53号集合资产管理计划</t>
  </si>
  <si>
    <t>浙商证券资管一浙商银行一浙商金惠添鑫周开54号集合资产管理计划</t>
  </si>
  <si>
    <t>浙商证券资管一浙商银行一浙商金惠添鑫周开7号集合资产管理计划</t>
  </si>
  <si>
    <t>浙商证券资管一浙商银行一浙商金惠添鑫周开8号集合资产管理计划</t>
  </si>
  <si>
    <t>浙商证券资管一浙商银行一浙商金惠添鑫周开9号集合资产管理计划</t>
  </si>
  <si>
    <t>浙商证券资管一浙商银行一浙商金惠添鑫增利1号1期集合资产管理计划</t>
  </si>
  <si>
    <t>浙商证券资管一浙商银行一浙商金惠添鑫增利1号2期集合资产管理计划</t>
  </si>
  <si>
    <t>浙商证券资管一浙商银行一浙商金惠添鑫增利1号3期集合资产管理计划</t>
  </si>
  <si>
    <t>浙商证券资管一邮储银行一浙商金惠汇鼎1号11期集合资产管理计划</t>
  </si>
  <si>
    <t>浙商证券资管一邮储银行一浙商金惠汇鼎1号3期集合资产管理计划</t>
  </si>
  <si>
    <t>浙商证券资管一邮储银行一浙商金惠汇鼎1号4期集合资产管理计划</t>
  </si>
  <si>
    <t>海富通基金一工商银行一海富通磊磊硕果REITs1号集合资产管理计划</t>
  </si>
  <si>
    <t>海通证券资管一光大银行一海通资管睿丰汇盈5号集合资产管理计划</t>
  </si>
  <si>
    <t>海通证券资管一冯景源一海通资管通聚私享168号FOF单一资产管理计划</t>
  </si>
  <si>
    <t>海通证券资管一华泰证券一海通资管通聚睿驰配置100号集合资产管理计</t>
  </si>
  <si>
    <t>海通证券资管一南京银行一海通资管固收多策略1号FOF集合资产管理计划</t>
  </si>
  <si>
    <t>海通证券资管一邮储银行-海通资管通聚鼎智51号FOF集合资产管理计划</t>
  </si>
  <si>
    <t>海通证券资管一邮储银行一海通资管通聚鼎智50号FOF集合资产管理计划</t>
  </si>
  <si>
    <t>海通证券资管一邮储银行一海通资管通聚鼎智66号FOF集合资产管理计划</t>
  </si>
  <si>
    <t>深圳市优美利投资管理有限公司-优美利金安子舟扬帆私募证券投资基金</t>
  </si>
  <si>
    <t>深圳市优美利投资管理有限公司</t>
  </si>
  <si>
    <t>深圳市康曼德资本管理有限公司一康曼德230号私募证券投资基金</t>
  </si>
  <si>
    <t>深圳市林园投资管理有限责任公司一林园投资152号私募证券投资基金</t>
  </si>
  <si>
    <t>深圳市林园投资管理有限责任公司</t>
  </si>
  <si>
    <t>深圳市林园投资管理有限责任公司一林园投资153号私募证券投资基金</t>
  </si>
  <si>
    <t>深圳市林园投资管理有限责任公司一林园投资212号私募证券投资基金</t>
  </si>
  <si>
    <t>深圳市林园投资管理有限责任公司一林园投资238号私募证券投资基金</t>
  </si>
  <si>
    <t>深圳市林园投资管理有限责任公司一林园投资311号私募证券投资基金</t>
  </si>
  <si>
    <t>深圳市林园投资管理有限责任公司一林园投资75号私募证券投资基金</t>
  </si>
  <si>
    <t>深圳市林园投资管理有限责任公司一林园投资91号私募证券投资基金明世伙伴私募基金</t>
  </si>
  <si>
    <t>深圳市林园投资管理有限责任公司一林园投资93号私募证券投资基金</t>
  </si>
  <si>
    <t>深圳市林园投资管理有限责任公司一林园投资96号私募证券投资基金</t>
  </si>
  <si>
    <t>深圳市林园投资管理有限责任公司一林园投资97号私募证券投资基金</t>
  </si>
  <si>
    <t>深圳平安汇通投资一平安汇通一稳祥1号FOF集合资产管理计划－平安汇通一稳祥1号B单一资产管理计划</t>
  </si>
  <si>
    <t>深圳平安汇通投资管理有限公司</t>
  </si>
  <si>
    <t>深圳平安汇通投资一杨秀丽一平安汇通私行安丰1号单一资产管理计划</t>
  </si>
  <si>
    <t>湖南省财信信托有限责任公司</t>
  </si>
  <si>
    <t>湖南省财信信托有限责任公司一财信信托湘信汇盛60号集合资金信托计划</t>
  </si>
  <si>
    <t>理有限责任公司一林园投资180号私</t>
  </si>
  <si>
    <t>理有限责任公司</t>
  </si>
  <si>
    <t>生命保险资管一工商银行一生命保险资产管理有限公司睿驰增强11号资产管理产品</t>
  </si>
  <si>
    <t>申港证券股份有限公司南京盛泉恒元投资</t>
  </si>
  <si>
    <t>百朗士新材料有限公司一汇百川新汇2号单一资产管理</t>
  </si>
  <si>
    <t>百朗士新材料有限公司</t>
  </si>
  <si>
    <t>第一创业证券一中廷投资控股有限公司一第一创业基础设施11号FOF单一资产管理计划</t>
  </si>
  <si>
    <t>第一创业证券一杨征一第一创业基础设施5号单一资产管理计划</t>
  </si>
  <si>
    <t>第一创业证券一苏州营财投资集团有限公司一第一创业基础设施15号单一资产管理计划</t>
  </si>
  <si>
    <t>第一创业证券股份有限公司南京盛泉恒元投资</t>
  </si>
  <si>
    <t>管理计划中国农业再保险股份有限公司-农行专户一</t>
  </si>
  <si>
    <t>管理计划中国农业再保险股份有限公司</t>
  </si>
  <si>
    <t>管理（珠海）有限公司一明世伙伴信智9号私募证券投</t>
  </si>
  <si>
    <t>管理（珠海）有限公司</t>
  </si>
  <si>
    <t>粤开证券-中国船东互保协会-粤开证券卓粤臻享2号FOF单一资产管理计划</t>
  </si>
  <si>
    <t>粤开证券一广州开发区控股集团有限公司一粤开证券锦盛安盈3号单一资产管理计划</t>
  </si>
  <si>
    <t>粤开证券一浦发银行一粤开证券卓越公募REITs多元增强1号集合资产管理计划</t>
  </si>
  <si>
    <t>西南证券一安诚财产保险股份有限公司一西南证券安诚财险1号单一资产管理计划</t>
  </si>
  <si>
    <t>西部信托有限公司一西部信托·永宁20号债券投资集合资金信托计划</t>
  </si>
  <si>
    <t>西部信托有限公司</t>
  </si>
  <si>
    <t>计划华鑫证券有限责任公司</t>
  </si>
  <si>
    <t>计划国联证券资管一建设银行一国联欣欣向荣107号集合资产管理计划浙商证券资管一山</t>
  </si>
  <si>
    <t>证券海汇12号FOF集合资产管理计划一汇百川海汇26号</t>
  </si>
  <si>
    <t>诚泰财产保险股份有限公司-传统产</t>
  </si>
  <si>
    <t>诺德基金-兴业银行-诺德基金创新旗舰3号集合资产管理计划</t>
  </si>
  <si>
    <t>诺德基金-兴业银行-诺德基金浦江汇泓69号集合资产管理计划</t>
  </si>
  <si>
    <t>诺德基金-华安证券股份有限公司-诺德基金子牛74号单一资产管理计划</t>
  </si>
  <si>
    <t>诺德基金一东亚前海证券有限责任公司一诺德基金子牛65号单一资产管理计划</t>
  </si>
  <si>
    <t>诺德基金一北京银行一诺德基金创新定增量化对冲26号集合资产管理计划</t>
  </si>
  <si>
    <t>诺德基金一台州金控资产管理有限公司一诺德基金创新定增量化对冲51号单一资产管理计划</t>
  </si>
  <si>
    <t>诺德基金一青雅熠晨一期私募证券投资基金一诺德基金浦江1242号单一资产管理计划</t>
  </si>
  <si>
    <t>财通证券资管一南京银行一财通证券资管聚利3号集合资产管理计划</t>
  </si>
  <si>
    <t>财通证券资管一工商银行一财通证券资管聚利2号集合资产管理计划</t>
  </si>
  <si>
    <t>财通证券资管一江苏银行一财通证券资管聚利1号集合资产管理计划</t>
  </si>
  <si>
    <t>资产管理计划西南证券股份有限公司</t>
  </si>
  <si>
    <t>资产管理计划长城人寿保险股份有限公司-万能-个险万能</t>
  </si>
  <si>
    <t>资产管理计划长城人寿保险股份有限公司</t>
  </si>
  <si>
    <t>资基金泰康资管一招商银行一泰康资产纯泰智选恒利1号资产管理产品浙商证券资管一山</t>
  </si>
  <si>
    <t>上海国际信托有限公司（代表“上信-睿展3号集合资金信托计划”）</t>
  </si>
  <si>
    <t>上海德祐诚管理咨询有限公司</t>
  </si>
  <si>
    <t>中信证券资产管理有限公司（代表“中信证券资管海睿1号单一资产管理计划”）</t>
  </si>
  <si>
    <t>中再资产管理股份有限公司（代表“中再汇利2号资产管理产品”）</t>
  </si>
  <si>
    <t>中国人寿资产管理有限公司（代表“国寿资产-鼎瑞2498资产管理产品”）</t>
  </si>
  <si>
    <t>中国太平洋人寿保险股份有限公司-万能险共富二号</t>
  </si>
  <si>
    <t>云南国际信托有限公司（代表“云南信托-兴睿1号集合资金信托计划”）</t>
  </si>
  <si>
    <t>兴业国际信托有限公司（代表“兴业信托·新兴转1号可转债投资集合资金信托计划”）</t>
  </si>
  <si>
    <t>凯德中国信托管理有限公司</t>
  </si>
  <si>
    <t>华夏基金管理有限公司（代表“华夏基金国民养老5号单一资产管理计划”）</t>
  </si>
  <si>
    <t>嘉实基金管理有限公司（代表“嘉实基金睿哲7号单一资产管理计划”）</t>
  </si>
  <si>
    <t>嘉实资本管理有限公司（代表“嘉实资本乾元10号固收单一资产管理计划”）</t>
  </si>
  <si>
    <t>嘉实资本管理有限公司</t>
  </si>
  <si>
    <t>国寿财富管理有限公司（代表“国寿财富稳睿5号集合资产管理计划”）</t>
  </si>
  <si>
    <t>国寿财富管理有限公司</t>
  </si>
  <si>
    <t>安联保险资产管理有限公司（代表“安联睿泰2号资产管理产品”）</t>
  </si>
  <si>
    <t>安联保险资产管理有限公司（代表“安联知瑞3号资产管理产品”）</t>
  </si>
  <si>
    <t>平安基金管理有限公司（代表“平安基金-锭城1号单一资产管理计划）”</t>
  </si>
  <si>
    <t>广州云凯商业管理有限公司</t>
  </si>
  <si>
    <t>广州合凡陆号股权投资合伙企业（有限合伙）</t>
  </si>
  <si>
    <t>广州林发股权投资管理企业（有限合伙）</t>
  </si>
  <si>
    <t>青岛国信产融控股（集团）有限公司</t>
  </si>
  <si>
    <t>“私享”（按周）开放式固定收益类净值型人民币理财产品一建信基金惠众添添赢11号单一资产管理计</t>
  </si>
  <si>
    <t>三星财产保险（中国）有限公司-自有资</t>
  </si>
  <si>
    <t>上海合晟资产管理股份有限公司一合晟同晖7号私募证券投资</t>
  </si>
  <si>
    <t>上海国际信托有限公司一上海信托添越睿金集合资金信托计划</t>
  </si>
  <si>
    <t>上海子午投资管理有限公司-子午初心多策略定制二号私募证券投资基金中银国际证券-"安鑫"</t>
  </si>
  <si>
    <t>上海宽投资产管理有限公司一宽投双鲤私募证券投资基金汇百川基金一陆家嘴</t>
  </si>
  <si>
    <t>上海宽投资产管理有限公司一宽投宽涌私募证券投资基金</t>
  </si>
  <si>
    <t>上海宽投资产管理有限公司一宽投寓诚私募证券投资基金</t>
  </si>
  <si>
    <t>上海宽投资产管理有限公司一宽投星玉私募证券投资基金</t>
  </si>
  <si>
    <t>上海少数派投资管理有限公司一尊享收益10G私募证券投资基</t>
  </si>
  <si>
    <t>上海少数派投资管理有限公司一尊享收益58号证券投资基金</t>
  </si>
  <si>
    <t>上海少数派投资管理有限公司一尊享收益59号证券投资基金</t>
  </si>
  <si>
    <t>上海少数派投资管理有限公司一尊享收益95号私募证券投资基浙商证券资管一山东</t>
  </si>
  <si>
    <t>上海少数派投资管理有限公司一少数派51G私募证券投资基</t>
  </si>
  <si>
    <t>上海少数派投资管理有限公司一少数派62号私募证券投资基金</t>
  </si>
  <si>
    <t>上海少数派投资管理有限公司一少数派64号私募证券投资基金</t>
  </si>
  <si>
    <t>上海少数派投资管理有限公司一少数派7号投资基金</t>
  </si>
  <si>
    <t>上海少数派投资管理有限公司一少数派8D证券投资基金</t>
  </si>
  <si>
    <t>上海少数派投资管理有限公司一少数派尊享收益68A私募证券投资基金</t>
  </si>
  <si>
    <t>上海少数派投资管理有限公司一少数派尊享收益68C私募证券投资基金</t>
  </si>
  <si>
    <t>上海少数派投资管理有限公司一少数派尊享收益68D私募证券投资基金</t>
  </si>
  <si>
    <t>上海少数派投资管理有限公司一少数派尊享收益68号私募证券投资基金</t>
  </si>
  <si>
    <t>上海少数派投资管理有限公司一少数派尊享收益69号私募证券投资基金</t>
  </si>
  <si>
    <t>上海少数派投资管理有限公司一少数派锦</t>
  </si>
  <si>
    <t>上海少数派投资管理有限公司一少数派锦上添花10号私募证券投资基金</t>
  </si>
  <si>
    <t>上海少数派投资管理有限公司一少数派锦绣前程A私募证券投资基金</t>
  </si>
  <si>
    <t>上海少数派投资管理有限公司一少数派锦绣前程C私募证券投资基金</t>
  </si>
  <si>
    <t>上海少数派投资管理有限公司一少数派锦绣前程F私募证券投资基金</t>
  </si>
  <si>
    <t>上海少数派投资管理有限公司一称心如意12号证券投资基金</t>
  </si>
  <si>
    <t>上海少数派投资管理有限公司一称心如意7号证券投资基金</t>
  </si>
  <si>
    <t>上海少数派投资管理有限公司一锦上添花3号证券投资基金</t>
  </si>
  <si>
    <t>上海少数派投资管理有限公司一锦上添花4号证券投资基金</t>
  </si>
  <si>
    <t>上海少数派投资管理有限公司一锦上添花7号私募证券投资基金</t>
  </si>
  <si>
    <t>上海少数派投资管理有限公司一锦绣前程1号证券投资基金</t>
  </si>
  <si>
    <t>上海少数派投资管理有限公司一锦绣前程3号证券投资基金</t>
  </si>
  <si>
    <t>上海少数派投资管理有限公司一锦绣前程5号证券投资基金</t>
  </si>
  <si>
    <t>上海少派投资管理有限公司一少数派尊享收益68B私募证券投资基金</t>
  </si>
  <si>
    <t>上海少派投资管理有限公司</t>
  </si>
  <si>
    <t>上海或然投资管理有限公司一或然赋益私募证券投资基金</t>
  </si>
  <si>
    <t>上海或然投资管理有限公司</t>
  </si>
  <si>
    <t>上海涌津投资管理有限公司一涌津涌鑫36号私募证券投资基金</t>
  </si>
  <si>
    <t>上海涌津投资管理有限公司一涌津涌鑫多策略16号私募证券投资基金</t>
  </si>
  <si>
    <t>上海涌津投资管理有限公司一涌津涌鑫多策略17号私募证券投资基金</t>
  </si>
  <si>
    <t>上海爱建信托有限责任公司-爱建智赢-中短期理财投资（双季添利）集合资金信托计</t>
  </si>
  <si>
    <t>上海银叶投资有限公司一银叶积汇3号私募证券投资基金平安基金一中国平安</t>
  </si>
  <si>
    <t>上海阿杏投资管理有限公司一阿杏迎春私募证券投资基金</t>
  </si>
  <si>
    <t>东方证券资管一南京银行一东方红添利31号集合资产管理计划</t>
  </si>
  <si>
    <t>东方证券资管一宁波银行一东方红添盈32号集合资产管理计划</t>
  </si>
  <si>
    <t>东证融汇证券资管一东北证券股份有限公司一东证融汇融泰88号单一资产管理计划浙商证券资管一爱建</t>
  </si>
  <si>
    <t>东证融汇证券资管一兴业银行一东证融汇汇诚安赢11号集合资产管理计划汇百川基金一陆家嘴</t>
  </si>
  <si>
    <t>东证融汇证券资管一邮储银行一东证融汇汇诚安赢5号集合资产管理计划</t>
  </si>
  <si>
    <t>中信信托有限责任公司一中信信托信智S2号金融投资信托计划</t>
  </si>
  <si>
    <t>中信信托有限责任公司一中信信托信智S3号金融投资信托计划</t>
  </si>
  <si>
    <t>中信信托有限责任公司一中信信托信智S7号金融投资信托计划</t>
  </si>
  <si>
    <t>中信信托有限责任公司一中信信托信益2号证券投资集合资金信托计划</t>
  </si>
  <si>
    <t>中信信托有限责任公司－中信信托禾1号集合资金信托计划</t>
  </si>
  <si>
    <t>中信建投证券一江苏银行一中信建投鑫享增利1号集合资产管理计划</t>
  </si>
  <si>
    <t>中信期货一平安银行一中信期货一粤湾7号集合资产管理计划</t>
  </si>
  <si>
    <t>中再资管-光大银行-中再资产-锐诚10号资产管理产品</t>
  </si>
  <si>
    <t>中再资管-招商银行-中再资产-基建强国REITs主题资产管理产</t>
  </si>
  <si>
    <t>中国人保资管一上海银行一中国人保资产债券REITs优选1号资产管理产品</t>
  </si>
  <si>
    <t>中国人保资管一兴业银行一中国人保资产增鑫2号资产管理产</t>
  </si>
  <si>
    <t>中国人保资管一工商银行一中国人保资产债券REITs优选2号资产管理产品</t>
  </si>
  <si>
    <t>中国人民养老保险有限责任公司一自有资</t>
  </si>
  <si>
    <t>中国人民财产保险股份有限公司一传统一普通保险产品A浙商证券资管一山东</t>
  </si>
  <si>
    <t>中国人民财产保险股份有限公司一传统一普通保险产品一008C—CT001沪</t>
  </si>
  <si>
    <t>中国农业再保险股份有限公司一农行专户</t>
  </si>
  <si>
    <t>中国对外经济贸易信托有限公司一外贸信托一稳盈淳享86号集合资金信托计划</t>
  </si>
  <si>
    <t>中意人寿保险有限公司--万能--个险股票账</t>
  </si>
  <si>
    <t>中意人寿保险有限公司--万能--团险股票账</t>
  </si>
  <si>
    <t>中意人寿保险有限公司-传统产品汇百川基金一陆家嘴</t>
  </si>
  <si>
    <t>中意资管一交通银行一中意资产一新回报35号资产管理产品</t>
  </si>
  <si>
    <t>中意资管一交通银行一中意资产一新回报36号资产管理产品</t>
  </si>
  <si>
    <t>中意资管一交通银行一中意资产一新回报37号资产管理产品</t>
  </si>
  <si>
    <t>中意资管一交通银行一中意资产一新回报38号资产管理产品</t>
  </si>
  <si>
    <t>中意资管一兴业银行一中意资产一债券精选13号资产管理产品</t>
  </si>
  <si>
    <t>中意资管一工商银行一中意资产一债券增强2号资产管理产品</t>
  </si>
  <si>
    <t>中意资管一工商银行一中意资产一安享稳健5号资产管理产品汇百川基金一陆家嘴</t>
  </si>
  <si>
    <t>中望龙腾软件股份有限公司一华泰资管瑞新2号单一资产管理计划</t>
  </si>
  <si>
    <t>中望龙腾软件股份有限公司</t>
  </si>
  <si>
    <t>中粮信托有限责任公司一中粮信托·丰惠2号集合资金信托计划</t>
  </si>
  <si>
    <t>中粮信托有限责任公司一中粮信托·丰泰25号集合资金信托计</t>
  </si>
  <si>
    <t>中粮信托有限责任公司一中粮信托一信享1号集合资金信托计划</t>
  </si>
  <si>
    <t>中粮期货一宁波银行一中粮期货粮鑫精选3号集合资产管理计划</t>
  </si>
  <si>
    <t>公募/基金专户</t>
  </si>
  <si>
    <t>中联前源不动产基金管理有限公司-中联-驰盈壹号私募股权投资</t>
  </si>
  <si>
    <t>中诚信托有限责任公司一中诚信托一明珠76号集合资金信托计</t>
  </si>
  <si>
    <t>中诚信托有限责任公司一中诚信托一鼎新11号集合资金信托计</t>
  </si>
  <si>
    <t>中诚信托有限责任公司－中诚信托一仲夏3号集合资金信托计划</t>
  </si>
  <si>
    <t>中远海运财产保险自保有限公司-传统</t>
  </si>
  <si>
    <t>中金公司-三一重工股份有限公司-中金向阳3号单一资产管理计划</t>
  </si>
  <si>
    <t>中金公司一中信银行一中金新贝臻选1号集合资产管理计划</t>
  </si>
  <si>
    <t>中金公司一中信银行一中金新贝臻选2号集合资产管理计划</t>
  </si>
  <si>
    <t>中金公司一中信银行一中金新贝臻选3号集合资产管理计划</t>
  </si>
  <si>
    <t>中金公司一中信银行一中金量化复兴1号集合资产管理计划</t>
  </si>
  <si>
    <t>中金公司一中文天地出版传媒集团股份有限公司中金鼎昇丰裕1号单一资产管理</t>
  </si>
  <si>
    <t>中金公司一信达证券股份有限公司一中金新贝达盈10号单一资产管理计划</t>
  </si>
  <si>
    <t>中金公司一信达证券股份有限公司一中金新贝达盈1号单一资产管理计划</t>
  </si>
  <si>
    <t>中金公司一信达证券股份有限公司一中金新贝达盈2号单一资产管理计划</t>
  </si>
  <si>
    <t>中金公司一信达证券股份有限公司一中金新贝达盈3号单一资产管理计划</t>
  </si>
  <si>
    <t>中金公司一信达证券股份有限公司一中金新贝达盈4号单一资产管理计划</t>
  </si>
  <si>
    <t>中金公司一信达证券股份有限公司一中金新贝达盈5号单一资产管理计划</t>
  </si>
  <si>
    <t>中金公司一信达证券股份有限公司一中金新贝达盈6号单一资产管理计划</t>
  </si>
  <si>
    <t>中金公司一信达证券股份有限公司一中金新贝达盈7号单一资产管理计划</t>
  </si>
  <si>
    <t>中金公司一信达证券股份有限公司一中金新贝达盈8号单一资产管理计划</t>
  </si>
  <si>
    <t>中金公司一信达证券股份有限公司一中金新贝达盈9号单一资产管理计划浙商证券资管一山东</t>
  </si>
  <si>
    <t>中金公司一北京银行一中金新贝天泰1号集合资产管理计划</t>
  </si>
  <si>
    <t>中金公司一北京银行一中金新贝天泰4号集合资产管理计划</t>
  </si>
  <si>
    <t>中金公司一长江财产保险股份有限公司一中金长江财险债券1号单一资产管理计划</t>
  </si>
  <si>
    <t>产管理计划南京盛泉恒元投资有限公司-盛泉恒元量化</t>
  </si>
  <si>
    <t>产管理计划南京盛泉恒元投资有限公司</t>
  </si>
  <si>
    <t>众安在线财产保险股份有限公司-自有资金兴证证券资管一华远</t>
  </si>
  <si>
    <t>保险股份有限公司一华金证券利安人寿22号基础设施基金策略FOF单一资产管理计汇百川基金一陆家嘴</t>
  </si>
  <si>
    <t>信托·浙商金惠添鑫增利12M026号集合资金信托计划一浙商聚金添鑫增利12M026号</t>
  </si>
  <si>
    <t>信托·浙商金惠添鑫增利12M045号集合资金信托计划一浙商聚金添鑫增利12M045号</t>
  </si>
  <si>
    <t>信托·浙商金惠添鑫增利12M047号集合资金信托计划一浙商聚金添鑫增利12M047号</t>
  </si>
  <si>
    <t>信托·浙商金惠添鑫增利12M048号集合资金信托计划一浙商聚金添鑫增利12M048号单一资产管理计划</t>
  </si>
  <si>
    <t>信托·浙商金惠添鑫增利12M049号集合资金信托计划一浙商聚金添鑫增利12M049号</t>
  </si>
  <si>
    <t>信托·浙商金惠添鑫增利12M051号集合资金信托计划一浙商聚金添鑫增利12M051号</t>
  </si>
  <si>
    <t>信托·浙商金惠添鑫增利12M057号集合资金信托计划一浙商聚金添鑫增利12M057号</t>
  </si>
  <si>
    <t>信托·浙商金惠添鑫增利12M059号集合资金信托计划一浙商聚金添鑫增利12M059号</t>
  </si>
  <si>
    <t>信托·浙商金惠添鑫增利12M068号集合资金信托计划一浙商聚金添鑫增利12M068号</t>
  </si>
  <si>
    <t>信托·浙商金惠添鑫增利12M069号集合资金信托计划一浙商聚金添鑫增利12M069号单一资产管理计划</t>
  </si>
  <si>
    <t>信托·浙商金惠添鑫增利12M070号集合资金信托计划一浙商聚金添鑫增利12M070号单一资产管理计划</t>
  </si>
  <si>
    <t>信托·浙商金惠添鑫增利12M071号集合资金信托计划一浙商聚金添鑫增利12M071号单一资产管理计划</t>
  </si>
  <si>
    <t>信托·浙商金惠添鑫增利12M072号集合资金信托计划一浙商聚金添鑫增利12M072号</t>
  </si>
  <si>
    <t>信托·浙商金惠添鑫增利12M073号集合资金信托计划一浙商聚金添鑫增利12M073号单一资产管理计划</t>
  </si>
  <si>
    <t>信托·浙商金惠添鑫增利12M074号集合资金信托计划一浙商聚金添鑫增利12M074号</t>
  </si>
  <si>
    <t>信托·浙商金惠添鑫增利12M075号集合资金信托计划一浙商聚金添鑫增利12M075号</t>
  </si>
  <si>
    <t>信托·浙商金惠添鑫增利12M076号集合资金信托计划一浙商聚金添鑫增利12M076号单一资产管理计划</t>
  </si>
  <si>
    <t>信托·浙商金惠添鑫增利12M077号集合资金信托计划一浙商聚金添鑫增利12M077号单一资产管理计划</t>
  </si>
  <si>
    <t>信托·浙商金惠添鑫增利12M078号集合资金信托计划一浙商聚金添鑫增利12M078号</t>
  </si>
  <si>
    <t>信托·浙商金惠添鑫增利12M079号集合资金信托计划一浙商聚金添鑫增利12M079号单一资产管理计划</t>
  </si>
  <si>
    <t>信托·浙商金惠添鑫增利12M080号集合资金信托计划一浙商聚金添鑫增利12M080号</t>
  </si>
  <si>
    <t>信托·浙商金惠添鑫增利12M081号集合资金信托计划一浙商聚金添鑫增利12M081号</t>
  </si>
  <si>
    <t>信托·浙商金惠添鑫增利12M082号集合资金信托计划一浙商聚金添鑫增利12M082号</t>
  </si>
  <si>
    <t>信托·浙商金惠添鑫增利12M083号集合资金信托计划一浙商聚金添鑫增利12M083号单一资产管理计划</t>
  </si>
  <si>
    <t>信托·浙商金惠添鑫增利12M084号集合资金信托计划一浙商聚金添鑫增利12M084号单一资产管理计划</t>
  </si>
  <si>
    <t>信托·浙商金惠添鑫增利12M085号集合资金信托计划一浙商聚金添鑫增利12M085号</t>
  </si>
  <si>
    <t>信托·浙商金惠添鑫增利6M012号集合资金信托计划一浙商聚金添鑫增利6M012号</t>
  </si>
  <si>
    <t>信托一国联大方向50之汇百川2号集合资金信托计划一汇百川国汇23号单一资产管</t>
  </si>
  <si>
    <t>信托一国联大方向50之汇百川2号集合资金信托计划一汇百川国汇24号单一资产管理计划</t>
  </si>
  <si>
    <t>信托一国联大方向50之汇百川2号集合资金信托计划一汇百川国汇25号单一资产管</t>
  </si>
  <si>
    <t>信托一国联大方向50之汇百川2号集合资金信托计划一汇百川国汇26号单一资产管</t>
  </si>
  <si>
    <t>信托一国联大方向50之汇百川2号集合资金信托计划一汇百川国汇27号单一资产管</t>
  </si>
  <si>
    <t>信托一国联大方向50之汇百川2号集合资金信托计划一汇百川国汇28号单一资产管理计划</t>
  </si>
  <si>
    <t>信托一国联大方向50之汇百川2号集合资金信托计划一汇百川国汇29号单一资产管</t>
  </si>
  <si>
    <t>信托一国联大方向50之汇百川2号集合资金信托计划一汇百川国汇30号单一资产管</t>
  </si>
  <si>
    <t>信托一国联大方向50之汇百川2号集合资金信托计划一汇百川国汇31号单一资产管理计划</t>
  </si>
  <si>
    <t>信托一国联大方向50之汇百川2号集合资金信托计划一汇百川国汇32号单一资产管</t>
  </si>
  <si>
    <t>信托一国联大方向50之汇百川2号集合资金信托计划一汇百川国汇33号单一资产管</t>
  </si>
  <si>
    <t>信托一国联大方向50之汇百川2号集合资金信托计划一汇百川国汇34号单一资产管理计划</t>
  </si>
  <si>
    <t>信托一国联大方向50之汇百川2号集合资金信托计划一汇百川国汇35号单一资产管</t>
  </si>
  <si>
    <t>信托一国联大方向50之汇百川2号集合资金信托计划一汇百川国汇36号单一资产管</t>
  </si>
  <si>
    <t>信托一国联大方向50之汇百川2号集合资金信托计划一汇百川国汇37号单一资产管理计划</t>
  </si>
  <si>
    <t>信托一国联大方向50之汇百川集合资金信托计划一汇百川国汇10号单一资产管理计</t>
  </si>
  <si>
    <t>信托一国联大方向50之汇百川集合资金信托计划一汇百川国汇11号单一资产管理计</t>
  </si>
  <si>
    <t>信托一国联大方向50之汇百川集合资金信托计划一汇百川国汇21号单一资产管理计</t>
  </si>
  <si>
    <t>信托一国联大方向50之汇百川集合资金信托计划一汇百川国汇22号单一资产管理计</t>
  </si>
  <si>
    <t>信托一国联大方向50之汇百川集合资金信托计划－汇百川国汇5号单一资产管理计划</t>
  </si>
  <si>
    <t>信达澳亚基金一信达证券股份有限公司一信澳创信1号单一资产管理计划</t>
  </si>
  <si>
    <t>信达澳亚基金一国投证券股份有限公司一信澳创享1号单一资产管理计划浙商证券资管一山东</t>
  </si>
  <si>
    <t>信达澳亚基金一西部证券股份有限公司一信澳创利1号单一资产管理计划</t>
  </si>
  <si>
    <t>兴证证券资管一兴业银行一兴证资管兴享多策略1号集合资产</t>
  </si>
  <si>
    <t>创金合信基金一宁波银行一创金合信城投高收益债增强1号集合资产管理计划</t>
  </si>
  <si>
    <t>创金合信基金一平安银行一创金合信嘉悦12号集合资产管理计</t>
  </si>
  <si>
    <t>利安人寿保险股份有限公司-利安福年金保</t>
  </si>
  <si>
    <t>利安人寿保险股份有限公司-利安禧年金保险 (分红型)</t>
  </si>
  <si>
    <t>券投资基金中国人民健康保险股份有限公司-自有资金</t>
  </si>
  <si>
    <t>券投资基金中国人民健康保险股份有限公司</t>
  </si>
  <si>
    <t>券投资基金明毅私募基金管理有限公司一明毅永图私募证券投资基金</t>
  </si>
  <si>
    <t>券投资基金明毅私募基金管理有限公司</t>
  </si>
  <si>
    <t>华商基金一上海永达资产管理股份有限公司一华商基金一拾贝单一资产管理计划汇百川基金一陆家嘴</t>
  </si>
  <si>
    <t>华商基金一上海永达资产管理股份有限公司一华商基金一永享单一资产管理计划</t>
  </si>
  <si>
    <t>华商基金一华安证券股份有限公司一华商基金一华安信盈10号单一资产管理计划</t>
  </si>
  <si>
    <t>华商基金一华安证券股份有限公司一华商基金一华安信盈11号单一资产管理计划</t>
  </si>
  <si>
    <t>华商基金一华安证券股份有限公司一华商基金一华安信盈12号单一资产管理计划</t>
  </si>
  <si>
    <t>华商基金一华安证券股份有限公司一华商基金一华安信盈13号单一资产管理计划</t>
  </si>
  <si>
    <t>华商基金一华安证券股份有限公司一华商基金一华安信盈14号单一资产管理计划浙商证券资管一山东</t>
  </si>
  <si>
    <t>华商基金一华安证券股份有限公司一华商基金一华安信盈15号单一资产管理计划</t>
  </si>
  <si>
    <t>华商基金一华安证券股份有限公司一华商基金一华安信盈16号单一资产管理计划</t>
  </si>
  <si>
    <t>华商基金一华安证券股份有限公司一华商基金一华安信盈17号单一资产管理计划</t>
  </si>
  <si>
    <t>华商基金一华安证券股份有限公司一华商基金一华安信盈18号单一资产管理计划</t>
  </si>
  <si>
    <t>华商基金一华安证券股份有限公司一华商基金一华安信盈19号单一资产管理计划浙商证券资管一山东</t>
  </si>
  <si>
    <t>华商基金一华安证券股份有限公司一华商基金一华安信盈1号单一资产管理计划</t>
  </si>
  <si>
    <t>华商基金一华安证券股份有限公司一华商基金一华安信盈20号单一资产管理计划</t>
  </si>
  <si>
    <t>华商基金一华安证券股份有限公司一华商基金一华安信盈2号单一资产管理计划</t>
  </si>
  <si>
    <t>华商基金一华安证券股份有限公司一华商基金一华安信盈3号单一资产管理计划</t>
  </si>
  <si>
    <t>华商基金一华安证券股份有限公司一华商基金一华安信盈4号单一资产管理计划</t>
  </si>
  <si>
    <t>华商基金一华安证券股份有限公司一华商基金一华安信盈5号单一资产管理计划</t>
  </si>
  <si>
    <t>华商基金一华安证券股份有限公司一华商基金一华安信盈6号单一资产管理计划</t>
  </si>
  <si>
    <t>华商基金一华安证券股份有限公司一华商基金一华安信盈7号单一资产管理计划</t>
  </si>
  <si>
    <t>华商基金一华安证券股份有限公司一华商基金一华安信盈8号单一资产管理计划</t>
  </si>
  <si>
    <t>华商基金一华安证券股份有限公司一华商基金一华安信盈9号单一资产管理计划</t>
  </si>
  <si>
    <t>华泰证券资管一丁叶霞一华泰资管瑞新4号单一资产管理计划</t>
  </si>
  <si>
    <t>华泰证券资管一刘兆丰一华泰资管瑞新10号单一资产管理计划</t>
  </si>
  <si>
    <t>华泰证券资管一吴欣一华泰资管瑞新5号单一资产管理计划</t>
  </si>
  <si>
    <t>华泰证券资管一吴磊一华泰资管瑞新8号单一资产管理计划</t>
  </si>
  <si>
    <t>华泰证券资管一孙健一华泰资管瑞新7号单一资产管理计划</t>
  </si>
  <si>
    <t>华泰证券资管一朱育梁一华泰资管瑞新9号单一资产管理计划</t>
  </si>
  <si>
    <t>华泰证券资管一长江财产保险股份有限公司一华泰资管长江财险1号单一资产管理</t>
  </si>
  <si>
    <t>华泰证券资管一陈红一华泰资管瑞新3号单一资产管理计划</t>
  </si>
  <si>
    <t>华泰证券资管一马岁青一华泰资管瑞新6号单一资产管理计划</t>
  </si>
  <si>
    <t>华泰资管一浦发银行一华泰资产优势智投资产管理产品</t>
  </si>
  <si>
    <t>华泰资管一浦发银行一华泰资产优势聚能资产管理产品汇百川基金一陆家嘴</t>
  </si>
  <si>
    <t>华泰资管一浦发银行一华泰资产优势轮动资产管理产品浙商证券资管一山东</t>
  </si>
  <si>
    <t>华福证券资管一孟春金一华福资管一安睿精选6号单一资产管理计划</t>
  </si>
  <si>
    <t>华福证券资管一无锡华信安全设备股份有限公司一华福资管一安睿精选5号单一资</t>
  </si>
  <si>
    <t>华福证券资管一林健一华福资管一安睿精选3号单一资产管理计划</t>
  </si>
  <si>
    <t>华能贵诚信托有限公司一华能信托·熙元91天理财集合信托计划 (D类)</t>
  </si>
  <si>
    <t>华金证券一华兴证券有限公司一华金证券华兴1号基础设施基金策略FOF单一资产管理计划</t>
  </si>
  <si>
    <t>华鑫证券有限责任公国联证券资管一中国</t>
  </si>
  <si>
    <t>单一资产管理计划上海国际信托有限公司-上信-睿选REITs1号集合资金信托计划</t>
  </si>
  <si>
    <t>单一资产管理计划上海国际信托有限公司</t>
  </si>
  <si>
    <t>单一资产管理计划中国人民财产保险股份有限公司一传统一普通保险产品C</t>
  </si>
  <si>
    <t>单一资产管理计划中国人民财产保险股份有限公司</t>
  </si>
  <si>
    <t>单一资产管理计划中粮信托有限责任公司一中粮信托一腾飞3号集合资金信托计划汇百川基金一陆家嘴</t>
  </si>
  <si>
    <t>单一资产管理计划中粮信托有限责任公司</t>
  </si>
  <si>
    <t>单一资产管理计划信美人寿相互保险社一传统险</t>
  </si>
  <si>
    <t>单一资产管理计划光大永明人寿保险有限公司-自有资金</t>
  </si>
  <si>
    <t>单一资产管理计划光大永明人寿保险有限公司</t>
  </si>
  <si>
    <t>单一资产管理计划华泰资管一浦发银行一华泰资产优势增益资产管理产品</t>
  </si>
  <si>
    <t>单一资产管理计划平安资管一工商银行一平安资产秋实30号资产管理产品</t>
  </si>
  <si>
    <t>单一资产管理计划平安资管一平安银行一平安资产丰禾3号资产管理产品</t>
  </si>
  <si>
    <t>单一资产管理计划平安资管一平安银行一平安资产春晖6号资产管理产品</t>
  </si>
  <si>
    <t>单一资产管理计划平安资管一平安银行一平安资产春晖8号资产管理产品深圳平安汇通投资一</t>
  </si>
  <si>
    <t>单一资产管理计划平安资管一平安银行一平安资产秋实74号资产管理产品</t>
  </si>
  <si>
    <t>单一资产管理计划星展证券（中国）有限公司</t>
  </si>
  <si>
    <t>单一资产管理计划格林基金一东海证券海汇12号FOF集合资产管理计划一格林基</t>
  </si>
  <si>
    <t>单一资产管理计划汇百川基金一中信银行一汇百川国汇16号集合资产管理计划</t>
  </si>
  <si>
    <t>单一资产管理计划汇百川基金一招商银行一汇百川基金君汇4号集合资产管理计划</t>
  </si>
  <si>
    <t>单一资产管理计划泰康人寿保险有限责任公司-万能-个人万能产品 (庚)</t>
  </si>
  <si>
    <t>单一资产管理计划泰康人寿保险有限责任公司</t>
  </si>
  <si>
    <t>单一资产管理计划泰康人寿保险有限责任公司一个险万能产品丙</t>
  </si>
  <si>
    <t>单一资产管理计划湖南省财信信托有限责任公司浙商证券资管一山东</t>
  </si>
  <si>
    <t>单一资产管理计划湖南省财信信托有限责任公司</t>
  </si>
  <si>
    <t>单一资产管理计划英大证券有限责任公司</t>
  </si>
  <si>
    <t>南京盛泉恒元投资有限公司-盛泉恒元灵活配置专项6号私募证券投资基金</t>
  </si>
  <si>
    <t>南京盛泉恒元投资有限公司-盛泉恒元量化均衡专项4号私募证券投资基金</t>
  </si>
  <si>
    <t>南京盛泉恒元投资有限公司-盛泉恒元量化套利1号专项私募证</t>
  </si>
  <si>
    <t>南京盛泉恒元投资有限公司-盛泉恒元量化套利专项74号私募证券投资基金</t>
  </si>
  <si>
    <t>南京盛泉恒元投资有限公司一盛泉恒元灵活配置专项34号私募证券投资基金</t>
  </si>
  <si>
    <t>南京盛泉恒元投资有限公司一盛泉恒元灵活配置专项42号私募证券投资基金</t>
  </si>
  <si>
    <t>南京盛泉恒元投资有限公司一盛泉恒元量化均衡专项87号私募证券投资基金</t>
  </si>
  <si>
    <t>南京盛泉恒元投资有限公司一盛泉恒元量化套利15号专项私募证券投资基金</t>
  </si>
  <si>
    <t>南京盛泉恒元投资有限公司一盛泉恒元量化套利专项46号私募证券投资基金</t>
  </si>
  <si>
    <t>南京盛泉恒元投资有限公司一盛泉恒元量化套利专项47号私募证券投资基金汇百川基金一陆家嘴</t>
  </si>
  <si>
    <t>南京盛泉恒元投资有限公司一盛泉恒元量化套利专项48号私募证券投资基金</t>
  </si>
  <si>
    <t>南京盛泉恒元投资有限公司一盛泉恒元量化套利专项5号私募证券投资基金浙商证券资管一山东</t>
  </si>
  <si>
    <t>南方基金一陕西投资产融控股有限公司一南方基金瑞盈1号单一资产管理计划</t>
  </si>
  <si>
    <t>厦门国际信托有限公司-厦门信托-信诚11号集合资金信托计划</t>
  </si>
  <si>
    <t>厦门国际信托有限公司一厦门信托一瑞思</t>
  </si>
  <si>
    <t>号单一资产管理计划方正证券股份有限公华泰证券资管一广州</t>
  </si>
  <si>
    <t>号单一资产管理计划汇百川基金一苏州叠纸网络科技股份有限</t>
  </si>
  <si>
    <t>号单一资产管理计划泰康养老保险股份有限公司一万能甲专门投资组合甲</t>
  </si>
  <si>
    <t>号单一资产管理计划泰康养老保险股份有限公司</t>
  </si>
  <si>
    <t>号单一资产管理计划渤海证券股份有限公司</t>
  </si>
  <si>
    <t>嘉鑫（稳利）固收类最低持有30天产品第11期一信达证券欣欣向荣13号单一资产管理计划</t>
  </si>
  <si>
    <t>国泰君安证券资管一青岛银行一国泰君安君享瑞投FOF1号集合资产管理计划</t>
  </si>
  <si>
    <t>国海证券股份有限公汇百川基金一国联欣</t>
  </si>
  <si>
    <t>国盛证券有限责任公中金公司一五矿信</t>
  </si>
  <si>
    <t>国联证券资管-南京银行-国联玉如意年年发10号集合资产管理计</t>
  </si>
  <si>
    <t>国联证券资管-南京银行-国联玉如意年年发12号集合资产管理计</t>
  </si>
  <si>
    <t>国联证券资管一中国银行一国联欣欣向荣101号集合资产管理计</t>
  </si>
  <si>
    <t>国联证券资管一中国银行一国联欣欣向荣102号集合资产管理计</t>
  </si>
  <si>
    <t>国联证券资管一中国银行一国联欣欣向荣104号集合资产管理计</t>
  </si>
  <si>
    <t>国联证券资管一中国银行一国联欣欣向荣105号集合资产管理计</t>
  </si>
  <si>
    <t>国联证券资管一中国银行一国联欣欣向荣106号集合资产管理计</t>
  </si>
  <si>
    <t>国联证券资管一中国银行一国联欣欣向荣113号集合资产管理计</t>
  </si>
  <si>
    <t>国联证券资管一中国银行一国联欣欣向荣114号集合资产管理计</t>
  </si>
  <si>
    <t>国联证券资管一中国银行一国联欣欣向荣115号集合资产管理计</t>
  </si>
  <si>
    <t>国联证券资管一中国银行一国联欣欣向荣116号集合资产管理计</t>
  </si>
  <si>
    <t>国联证券资管一中国银行一国联欣欣向荣117号集合资产管理计</t>
  </si>
  <si>
    <t>国联证券资管一中国银行一国联欣欣向荣118号集合资产管理计汇百川基金一陆家嘴</t>
  </si>
  <si>
    <t>国联证券资管一中国银行一国联欣欣向荣119号集合资产管理计</t>
  </si>
  <si>
    <t>国联证券资管一中国银行一国联欣欣向荣120号集合资产管理计建信基金一建信理财</t>
  </si>
  <si>
    <t>国联证券资管一中国银行一国联欣欣向荣121号集合资产管理计</t>
  </si>
  <si>
    <t>国联证券资管一中国银行一国联欣欣向荣122号集合资产管理计</t>
  </si>
  <si>
    <t>国联证券资管一中国银行一国联欣欣向荣123号集合资产管理计</t>
  </si>
  <si>
    <t>国联证券资管一中国银行一国联玉如意年</t>
  </si>
  <si>
    <t>国联证券资管一光大银行一国联光盈添瑞1号集合资产管理计划</t>
  </si>
  <si>
    <t>国联证券资管一光大银行一国联光盈添瑞2号集合资产管理计划</t>
  </si>
  <si>
    <t>国联证券资管一光大银行一国联光盈添瑞3号集合资产管理计划</t>
  </si>
  <si>
    <t>国联证券资管一兴业银行一国联睿远周周盈1号集合资产管理计划</t>
  </si>
  <si>
    <t>国联证券资管一南京银行一国联玉如意7号集合资产管理计划</t>
  </si>
  <si>
    <t>国联证券资管一南京银行一国联玉如意年年发3号集合资产管</t>
  </si>
  <si>
    <t>国联证券资管一南京银行一国联睿远周周盈3号集合资产管理计划</t>
  </si>
  <si>
    <t>国联证券资管一国联信托股份有限公司一国联定新101号单一资产管理计划</t>
  </si>
  <si>
    <t>国联证券资管一广州农商行一国联睿远周周盈2号集合资产管理计划</t>
  </si>
  <si>
    <t>国联证券资管一建设银行一国联欣欣向荣107号集合资产管理计</t>
  </si>
  <si>
    <t>国联证券资管一建设银行一国联欣欣向荣108号集合资产管理计</t>
  </si>
  <si>
    <t>国联证券资管一建设银行一国联欣欣向荣109号集合资产管理计</t>
  </si>
  <si>
    <t>国联证券资管一建设银行一国联欣欣向荣110号集合资产管理计</t>
  </si>
  <si>
    <t>国联证券资管一建设银行一国联欣欣向荣111号集合资产管理计浙商证券资管一爱建</t>
  </si>
  <si>
    <t>国联证券资管一建设银行一国联欣欣向荣112号集合资产管理计</t>
  </si>
  <si>
    <t>国联证券资管一江苏银行一国联玉如意年年发集合资产管理计</t>
  </si>
  <si>
    <t>国金证券股份有限公东方财富证券一济川</t>
  </si>
  <si>
    <t>国金证券资管一东北证券股份有限公司一国金资管东创1号单一资产管理计划</t>
  </si>
  <si>
    <t>国金证券资管一华夏银行－国金资管金牛1号集合资产管理计划</t>
  </si>
  <si>
    <t>国金证券资管一建设银行一国金资管鑫熠10号集合资产管理计</t>
  </si>
  <si>
    <t>国金证券资管一建设银行一国金资管鑫熠13号集合资产管理计</t>
  </si>
  <si>
    <t>圆信永丰基金一兴业银行一圆信永丰基本</t>
  </si>
  <si>
    <t>大家人寿保险股份有限公司-万能产品</t>
  </si>
  <si>
    <t>大家人寿保险股份有限公司-分红产品</t>
  </si>
  <si>
    <t>大家养老保险股份有限公司-传统产品</t>
  </si>
  <si>
    <t>大家养老保险股份有限公司一自有资金</t>
  </si>
  <si>
    <t>大家资产-招商银行-大家资产厚坤27号集合资产管理产品</t>
  </si>
  <si>
    <t>太平人寿保险有限公司-传统-普通保险产品-022L-CT001 沪</t>
  </si>
  <si>
    <t>太平人寿保险有限公司-分红-团险分红</t>
  </si>
  <si>
    <t>太平养老保险股份有限公司一传统账户</t>
  </si>
  <si>
    <t>太平养老保险股份有限公司一太平养老稳盈宝壹号期限保本型（三年滚动）商业养老金产品浙商证券资管一山东</t>
  </si>
  <si>
    <t>宁波宁聚资产管理中心（有限合伙）-宁聚稳盈安全垫型私募证券投资基金汇添富基金一国民养</t>
  </si>
  <si>
    <t>宁波宁聚资产管理中心（有限合伙）-宁聚量化多策略证券投资</t>
  </si>
  <si>
    <t>宁波梅山保税港区凌顶投资管理有限公司一凌顶兴星一号私募证券投资基金</t>
  </si>
  <si>
    <t>宁波梅山保税港区凌顶投资管理有限公司一凌顶兴星二号私募证券投资基金</t>
  </si>
  <si>
    <t>宁波梅山保税港区凌顶投资管理有限公司一凌顶嘉兴一号私募证券投资基金</t>
  </si>
  <si>
    <t>宁波梅山保税港区凌顶投资管理有限公司一凌顶望岳二十七号私募证券投资基金汇百川基金一陆家嘴</t>
  </si>
  <si>
    <t>宁波梅山保税港区凌顶投资管理有限公司一凌顶泰山六号私募证券投资基金</t>
  </si>
  <si>
    <t>宁波梅山保税港区凌顶投资管理有限公司一凌顶泰山十号私募证券投资基金</t>
  </si>
  <si>
    <t>宁银理财有限责任公司-宁银理财宁欣固定收益类一年定期开放式理财16号</t>
  </si>
  <si>
    <t>宁银理财有限责任公司-宁银理财宁欣固定收益类一年定期开放式理财19号</t>
  </si>
  <si>
    <t>宁银理财有限责任公司-宁银理财宁欣固定收益类一年定期开放式理财1号</t>
  </si>
  <si>
    <t>宁银理财有限责任公司-宁银理财宁欣固定收益类一年定期开放式理财21号</t>
  </si>
  <si>
    <t>宁银理财有限责任公司-宁银理财宁欣固定收益类一年定期开放式理财26号</t>
  </si>
  <si>
    <t>宁银理财有限责任公司-宁银理财宁欣固定收益类一年定期开放式理财2号</t>
  </si>
  <si>
    <t>宁银理财有限责任公司-宁银理财宁欣固定收益类一年定期开放式理财32号</t>
  </si>
  <si>
    <t>宁银理财有限责任公司-宁银理财宁欣固定收益类一年定期开放式理财34号</t>
  </si>
  <si>
    <t>宁银理财有限责任公司-宁银理财宁欣固定收益类一年定期开放式理财4号</t>
  </si>
  <si>
    <t>宁银理财有限责任公司-宁银理财宁欣固定收益类一年定期开放式理财7号（周年庆专属)</t>
  </si>
  <si>
    <t>宁银理财有限责任公司-宁银理财宁欣日日盈固定收益类日开理财9号（最短持有100天)</t>
  </si>
  <si>
    <t>宁银理财有限责任公司-宁银理财晶耀固定收益类一年定期开放式理财4号</t>
  </si>
  <si>
    <t>宁银理财有限责任公司-宁银理财晶耀固定收益类一年定期开放式理财7号</t>
  </si>
  <si>
    <t>宁银理财有限责任公司一宁银理财宁享安和固定收益类日开理财3号（最短持有60天)</t>
  </si>
  <si>
    <t>宁银理财有限责任公司一宁银理财晶耀固定收益类一年定期开放式理财1号浙商证券资管一山东</t>
  </si>
  <si>
    <t>宁银理财有限责任公司一宁银理财晶耀固定收益类一年定期开放式理财2号（周年庆专属)</t>
  </si>
  <si>
    <t>宁银理财有限责任公司一宁银理财晶耀固定收益类一年定期开放式理财3号</t>
  </si>
  <si>
    <t>宁银理财有限责任公司一宁银理财晶耀固定收益类一年定期开放式理财5号</t>
  </si>
  <si>
    <t>宁银理财有限责任公司一宁银理财晶耀固定收益类一年定期开放式理财6号</t>
  </si>
  <si>
    <t>平安信托有限责任公司－平安信托恒盈3号集合资金信托计划</t>
  </si>
  <si>
    <t>平安信托有限责任公司</t>
  </si>
  <si>
    <t>平安汇通－稳祥1号FOF集合资产管理计划一平安汇通一稳祥1号B单一资产管理计</t>
  </si>
  <si>
    <t>平安资产-工商银行-创赢24号资产管理产品</t>
  </si>
  <si>
    <t>平安资管一工商银行一平安资产春风77号资产管理产品</t>
  </si>
  <si>
    <t>平安资管一平安银行一平安资产丰禾1号资产管理产品</t>
  </si>
  <si>
    <t>平安资管一平安银行一平安资产丰禾5号资产管理产品</t>
  </si>
  <si>
    <t>平安资管一平安银行一平安资产春晖3号资产管理产品汇添富基金一国民养</t>
  </si>
  <si>
    <t>平安资管一平安银行一平安资产春晖4号资产管理产品泰康资管-建设银行-泰</t>
  </si>
  <si>
    <t>平安资管一平安银行一平安资产春晖7号资产管理产品</t>
  </si>
  <si>
    <t>平安资管一平安银行一平安资产春晖9号资产管理产品</t>
  </si>
  <si>
    <t>平安资管一平安银行一平安资产秋实33号资产管理产品</t>
  </si>
  <si>
    <t>平安资管一平安银行一平安资产秋实43号资产管理产品</t>
  </si>
  <si>
    <t>平安资管一平安银行一平安资产秋实53号资产管理产品浙商证券资管一山东</t>
  </si>
  <si>
    <t>平安资管一平安银行一平安资产秋实55号资产管理产品</t>
  </si>
  <si>
    <t>平安资管一建设银行一平安资产如意53号资产管理产品</t>
  </si>
  <si>
    <t>平安资管一招商银行一平安资产春风55号资产管理产品</t>
  </si>
  <si>
    <t>平安资管一邮储银行一平安资产青松ESG5号资产管理产品</t>
  </si>
  <si>
    <t>广发证券资管一华蓓一广发资管瑞鑫利5号单一资产管理计划</t>
  </si>
  <si>
    <t>广发证券资管一四川汇宇制药股份有限公司一广发资管瑞鑫利11号单一资产管理计</t>
  </si>
  <si>
    <t>广发证券资管一宋德夫一广发资管瑞鑫利9号单一资产管理计划</t>
  </si>
  <si>
    <t>广发证券资管一广州安洁芯材科技有限公司一广发资管瑞鑫利3号单一资产管理计划</t>
  </si>
  <si>
    <t>广发证券资管一济川药业集团有限公司一</t>
  </si>
  <si>
    <t>广发证券资管一深圳市锐新创投资有限公司一广发资管瑞鑫利10号单一资产管理计</t>
  </si>
  <si>
    <t>康养老保险股份有限公司-保险产品集合1-泰康资产管理有限责任公司信用甄选资产</t>
  </si>
  <si>
    <t>康养老保险股份有限公司</t>
  </si>
  <si>
    <t>建信基金一民生银行一建信基金安享1号集合资产管理计划汇百川基金一陆家嘴</t>
  </si>
  <si>
    <t>德邦证券一兴业银行一德邦心连心曦和1号集合资产管理计划</t>
  </si>
  <si>
    <t>德邦证券一兴业银行一德邦证券东家京享1号集合资产管理计划</t>
  </si>
  <si>
    <t>德邦证券资管一兴业银行一德邦心连心曦和4号集合资产管理计划</t>
  </si>
  <si>
    <t>德邦证券资管一兴业银行一德邦资管星瑞周周盈二三五开集合资产管理计划</t>
  </si>
  <si>
    <t>德邦证券资管一横琴人寿保险有限公司一德邦资管恒灿1号单一资产管理计划</t>
  </si>
  <si>
    <t>恒安标准人寿保险有限公司-累积分红</t>
  </si>
  <si>
    <t>托·中金财富【3989】号家族信托一中金新贝家盈1号单一资产管理计划</t>
  </si>
  <si>
    <t>托有限公司一外贸信托一臻创78号证券投资集合资金信托计划</t>
  </si>
  <si>
    <t>投资基金上海展弘投资管理有限公司-展弘稳进1号私募证券投资基金</t>
  </si>
  <si>
    <t>投资基金上海展弘投资管理有限公司</t>
  </si>
  <si>
    <t>新华人寿保险股份有限公司-分红-团体分红-018L-FH001沪</t>
  </si>
  <si>
    <t>明世伙伴私募基金管理（珠海）有限公司一明世伙伴信智10号私募证券投资基金</t>
  </si>
  <si>
    <t>明世伙伴私募基金管理（珠海）有限公司一明世伙伴信智11号私募证券投资基金信达证券一建信理财</t>
  </si>
  <si>
    <t>明世伙伴私募基金管理（珠海）有限公司一明世伙伴信智9号私募证券投资基金</t>
  </si>
  <si>
    <t>明毅私募基金管理有限公司一明毅永宁私募证券投资基金</t>
  </si>
  <si>
    <t>明毅私募基金管理有限公司一明毅海盈私募证券投资基金</t>
  </si>
  <si>
    <t>智赢一睿甄TOF纯债策略双季鑫1号集合资金信托计划一浙商聚金螯享001号单一资产管理计划汇百川基金一陆家嘴</t>
  </si>
  <si>
    <t>智赢一睿甄TOF纯债策略双季鑫2号集合资金信托计划一浙商聚金享002号单一</t>
  </si>
  <si>
    <t>智赢一睿甄TOF纯债策略双季鑫3号集合资金信托计划一浙商聚金享003号单一资产管理计划</t>
  </si>
  <si>
    <t>智赢一睿甄TOF纯债策略双季鑫5号集合资金信托计划一浙商聚金享005号单一资产管理计划</t>
  </si>
  <si>
    <t>有限公司一少数派锦上添花9号私募证券投资基金</t>
  </si>
  <si>
    <t>格林基金一东海证券海汇12号FOF集合资产管理计划一格林基金福盈1号单一资产管理计划</t>
  </si>
  <si>
    <t>格林基金一华远陆港资本运营有限公司一格林基金华远2号单一资产管理计划</t>
  </si>
  <si>
    <t>横琴广金美好基金管理有限公司一广金美好安享成长1号私募证券投资基金</t>
  </si>
  <si>
    <t>欣向荣1号FOF集合资产管理计划一汇百川国汇44号单一资产管理计划</t>
  </si>
  <si>
    <t>民生通惠资管一农业银行一民生通惠纯债4号资产管理产品</t>
  </si>
  <si>
    <t>民生通惠资管一农业银行一民生通惠纯债5号资产管理产品</t>
  </si>
  <si>
    <t>汇添富基金一浦发银行一汇添富双擎添利5号集合资产管理计划</t>
  </si>
  <si>
    <t>汇添富基金一浦发银行一汇添富双擎添利6号集合资产管理计划</t>
  </si>
  <si>
    <t>汇添富基金一浦发银行一汇添富双擎添利8号集合资产管理计划</t>
  </si>
  <si>
    <t>汇添富基金一韩映彩一汇添富双源增益单一资产管理计划</t>
  </si>
  <si>
    <t>汇百川基金一上海汇功实业集团有限公司一汇百川汇功1号单一资产管理计划</t>
  </si>
  <si>
    <t>汇百川基金一东海证券海汇12号FOF集合资产管理计划一汇百川海汇26号单一资产管理计划</t>
  </si>
  <si>
    <t>汇百川基金一东海证券海汇12号FOF集合资产管理计划一汇百川海汇27号单一资产</t>
  </si>
  <si>
    <t>汇百川基金一东海证券海汇12号FOF集合资产管理计划一汇百川海汇28号单一资产管理计划</t>
  </si>
  <si>
    <t>汇百川基金一东海龙成FOF22号集合资产管理计划一汇百川海汇2号单一资产管理</t>
  </si>
  <si>
    <t>汇百川基金一东海龙成FOF22号集合资产管理计划一汇百川海汇7号单一资产管理计划</t>
  </si>
  <si>
    <t>汇百川基金一中信银行一汇百川国汇20号集合资产管理计划</t>
  </si>
  <si>
    <t>汇百川基金一中信银行－汇百川国汇13号集合资产管理计划</t>
  </si>
  <si>
    <t>汇百川基金一中信银行－汇百川国汇15号集合资产管理计划</t>
  </si>
  <si>
    <t>汇百川基金一中信银行－汇百川国汇17号集合资产管理计划</t>
  </si>
  <si>
    <t>汇百川基金一中信银行－汇百川国汇18号集合资产管理计划</t>
  </si>
  <si>
    <t>汇百川基金一中信银行－汇百川国汇19号集合资产管理计划</t>
  </si>
  <si>
    <t>汇百川基金一中国银行一汇百川基金联益6个月持有1号集合资产管理计划</t>
  </si>
  <si>
    <t>汇百川基金一华融发展私募基金管理有限</t>
  </si>
  <si>
    <t>汇百川基金一华融发展私募基金管理有限公司－汇百川兴汇1号单一资产管理计划</t>
  </si>
  <si>
    <t>汇百川基金一华融发展私募基金管理有限公司－汇百川兴汇2号单一资产管理计划</t>
  </si>
  <si>
    <t>汇百川基金一华融发展私募基金管理有限公司－汇百川兴汇3号单一资产管理计划</t>
  </si>
  <si>
    <t>汇百川基金一华融发展私募基金管理有限公司－汇百川兴汇4号单一资产管理计划</t>
  </si>
  <si>
    <t>汇百川基金一华融发展私募基金管理有限公司－汇百川兴汇6号单一资产管理计划</t>
  </si>
  <si>
    <t>汇百川基金一史娟华一汇百川精汇1号单一资产管理计划</t>
  </si>
  <si>
    <t>汇百川基金一史娟华一汇百川精汇2号单一资产管理计划</t>
  </si>
  <si>
    <t>汇百川基金一史娟华一汇百川精汇3号单一资产管理计划浙商证券资管一山东</t>
  </si>
  <si>
    <t>汇百川基金一国联欣欣向荣1号FOF集合</t>
  </si>
  <si>
    <t>汇百川基金一国联欣欣向荣1号FOF集合资产管理计划一汇百川国汇39号单一资产管理计划浙商证券资管一山东</t>
  </si>
  <si>
    <t>汇百川基金一国联欣欣向荣1号FOF集合资产管理计划一汇百川国汇41号单一资产</t>
  </si>
  <si>
    <t>汇百川基金一常州市武进华联电控设备股份有限公司一汇百川联汇1号单一资产管理计划汇百川基金一陆家嘴</t>
  </si>
  <si>
    <t>汇百川基金一常州市武进华联电控设备股份有限公司一汇百川联汇3号单一资产管理计划</t>
  </si>
  <si>
    <t>汇百川基金一常州市武进华联电控设备股份有限公司一汇百川联汇4号单一资产管</t>
  </si>
  <si>
    <t>汇百川基金一招商银行一汇百川基金君汇10号集合资产管理计</t>
  </si>
  <si>
    <t>汇百川基金一招商银行一汇百川基金君汇2号集合资产管理计划汇百川基金一陆家嘴</t>
  </si>
  <si>
    <t>汇百川基金一招商银行一汇百川基金君汇7号集合资产管理计划汇百川基金一陆家嘴</t>
  </si>
  <si>
    <t>汇百川基金一方霞一汇百川基金虹汇2号单一资产管理计划</t>
  </si>
  <si>
    <t>汇百川基金一浙江百朗士新材料有限公司一汇百川新汇2号单一资产管理计划</t>
  </si>
  <si>
    <t>汇百川基金一浦发银行一汇百川汇盈1号集合资产管理计划</t>
  </si>
  <si>
    <t>汇百川基金一深圳太辰光通信股份有限公司一汇百川基金君汇11号单一资产管理计</t>
  </si>
  <si>
    <t>汇百川基金一深圳太辰光通信股份有限公司一汇百川基金君汇12号单一资产管理计</t>
  </si>
  <si>
    <t>汇百川基金一深圳太辰光通信股份有限公司一汇百川基金君汇13号单一资产管理计</t>
  </si>
  <si>
    <t>汇百川基金一深圳太辰光通信股份有限公司一汇百川基金君汇15号单一资产管理计</t>
  </si>
  <si>
    <t>汇百川基金一深圳太辰光通信股份有限公司一汇百川基金君汇17号单一资产管理计</t>
  </si>
  <si>
    <t>汇百川基金一深圳市嘉润原新显科技有限公司一汇百川基金君汇19号单一资产管理</t>
  </si>
  <si>
    <t>汇百川基金一深圳市嘉润原新显科技有限公司一汇百川基金君汇21号单一资产管理计划</t>
  </si>
  <si>
    <t>汇百川基金一苏州叠纸网络科技股份有限公司一汇百川新益10号单一资产管理计划</t>
  </si>
  <si>
    <t>汇百川基金一苏州叠纸网络科技股份有限公司</t>
  </si>
  <si>
    <t>汇百川基金一苏州叠纸网络科技股份有限公司一汇百川新益1号单一资产管理计划</t>
  </si>
  <si>
    <t>汇百川基金一苏州叠纸网络科技股份有限公司一汇百川新益2号单一资产管理计划</t>
  </si>
  <si>
    <t>汇百川基金一苏州叠纸网络科技股份有限公司一汇百川新益4号单一资产管理计划</t>
  </si>
  <si>
    <t>汇百川基金一苏州叠纸网络科技股份有限公司一汇百川新益7号单一资产管理计划</t>
  </si>
  <si>
    <t>汇百川基金一苏州叠纸网络科技股份有限公司一汇百川新益9号单一资产管理计划</t>
  </si>
  <si>
    <t>汇百川基金一苏州叠纸网络科技股份有限公司－汇百川新益3号单一资产管理计划汇百川基金一陆家嘴</t>
  </si>
  <si>
    <t>汇百川基金一苏州叠纸网络科技股份有限公司－汇百川新益6号单一资产管理计划</t>
  </si>
  <si>
    <t>汇百川基金一苏州叠纸网络科技股份有限公司－汇百川新益8号单一资产管理计划汇添富基金一国民养</t>
  </si>
  <si>
    <t>汇百川基金一陆家嘴信托一世颂弘远家族</t>
  </si>
  <si>
    <t>汇百川基金一陆家嘴信托一世颂弘远家族信托1号一汇百川陆</t>
  </si>
  <si>
    <t>汇百川基金一陆家嘴信托一世颂弘远家族信托1号一汇百川陆汇3号单一资产管理</t>
  </si>
  <si>
    <t>汇百川基金一陆家嘴信托一国联大方向50之汇百川集合资金信托计划一汇百川国汇</t>
  </si>
  <si>
    <t>汇百川基金一陆家嘴信托一国联大方向50之汇百川集合资金信托计划一汇百川国汇4号单一资产管理计划浙商证券资管一山东</t>
  </si>
  <si>
    <t>江苏省国际信托有限责任公司-江苏信托·盈丰1号集合资</t>
  </si>
  <si>
    <t>江苏省国际信托有限责任公司一江苏信托·工银理财基础设施1号集合资金信托</t>
  </si>
  <si>
    <t>江苏省国际信托有限责任公司一江苏信托·工银理财基础设施3号集合资金信托</t>
  </si>
  <si>
    <t>泰康人寿保险有限责任公司-万能-个人万能产品 (丁)</t>
  </si>
  <si>
    <t>泰康人寿保险有限责任公司-万能-个险万能(Z)</t>
  </si>
  <si>
    <t>泰康人寿保险有限责任公司-分红-个人分红-019L-FH002 沪</t>
  </si>
  <si>
    <t>泰康人寿保险有限责任公司-分红-团体分红-019L-FH001 沪</t>
  </si>
  <si>
    <t>泰康人寿保险有限责任公司-投连-稳盈增利圆信永丰基金一厦门</t>
  </si>
  <si>
    <t>泰康人寿保险有限责任公司一投连一悦享</t>
  </si>
  <si>
    <t>泰康人寿保险有限责任公司一投连领先优势混合</t>
  </si>
  <si>
    <t>泰康保险集团股份有限公司-自有资金国联证券资管一中国</t>
  </si>
  <si>
    <t>泰康养老保险股份有限公司一一般账户专门投资组合乙</t>
  </si>
  <si>
    <t>泰康资产管理有限责任公司一自有资金</t>
  </si>
  <si>
    <t>泰康资管-中国银行-泰康资产益泰5号资产管理产品浙商证券资管一爱建</t>
  </si>
  <si>
    <t>泰康资管一建设银行一泰康资产益泰智选增利资产管理产品浙商证券资管一山东</t>
  </si>
  <si>
    <t>泰康资管一招商银行一泰康资产纯泰智选恒利1号资产管理产</t>
  </si>
  <si>
    <t>泰康资管一招商银行一泰康资产纯泰智选恒利2号资产管理产</t>
  </si>
  <si>
    <t>浙商证券股份有限公江苏省国际信托有限</t>
  </si>
  <si>
    <t>浙商证券资管一中红普林医疗用品股份有限公司一浙商聚金财享全景2号单一资产管理计划浙商证券资管一山东</t>
  </si>
  <si>
    <t>浙商证券资管一公元塑业集团有限公司一浙商聚金钻石专享1号单一资产管理计划浙商证券资管一山东</t>
  </si>
  <si>
    <t>浙商证券资管一兴业银行一浙商金惠享周周购2号1期集合资产管理计划</t>
  </si>
  <si>
    <t>浙商证券资管一兴业银行一浙商金惠周周优享2号集合资产管理计划</t>
  </si>
  <si>
    <t>浙商证券资管一农业银行一浙商金惠周周优享1号集合资产管理计划</t>
  </si>
  <si>
    <t>浙商证券资管一山东信托·浙商金惠添鑫增利12M018号集合资金信托计划一浙商聚</t>
  </si>
  <si>
    <t>浙商证券资管一山东信托·浙商金惠添鑫增利12M023号集合资金信托计划一浙商聚</t>
  </si>
  <si>
    <t>浙商证券资管一山东信托·浙商金惠添鑫增利12M086号集合资金信托计划一浙商聚</t>
  </si>
  <si>
    <t>浙商证券资管一山东信托·浙商金惠添鑫增利18M002号集合资金信托计划一浙商聚</t>
  </si>
  <si>
    <t>浙商证券资管一招商银行一浙商金惠周周盈货币增强1号集合资产管理计划</t>
  </si>
  <si>
    <t>浙商证券资管一浙商银行一浙商金惠添鑫</t>
  </si>
  <si>
    <t>浙商证券资管一浙商银行一浙商金惠添鑫周开21号集合资产管理计划浙商证券资管一山东</t>
  </si>
  <si>
    <t>浙商证券资管一浙商银行一浙商金惠添鑫周开49号集合资产管理计划</t>
  </si>
  <si>
    <t>浙商证券资管一浙商银行一浙商金惠添鑫周开50号集合资产管理计划</t>
  </si>
  <si>
    <t>浙商证券资管一浙商银行一浙商金惠添鑫周开5号集合资产管理计划</t>
  </si>
  <si>
    <t>海保人寿保险股份有限公司一传统险</t>
  </si>
  <si>
    <t>海保人寿保险股份有限公司一传统险二中国对外经济贸易信</t>
  </si>
  <si>
    <t>海富通基金一建设银行一海富通明德3号集合资产管理计划</t>
  </si>
  <si>
    <t>海富通基金一建设银行一海富通明德6号集合资产管理计划</t>
  </si>
  <si>
    <t>海富通基金一建设银行一海富通明德7号集合资产管理计划</t>
  </si>
  <si>
    <t>海通证券资管一光大银行一海通资管睿丰汇盈6号集合资产管理计划</t>
  </si>
  <si>
    <t>海通证券资管一光大银行一海通资管睿丰汇盈7号集合资产管理计划</t>
  </si>
  <si>
    <t>海通证券资管一华泰证券一海通资管通聚睿驰配置100号集合</t>
  </si>
  <si>
    <t>湖南省财信信托有限责任公司一财信信托</t>
  </si>
  <si>
    <t>湖南省财信信托有限责任公司一财信信托湘信稳健半年锁定期1号集合资金信托计划</t>
  </si>
  <si>
    <t>湖南省财信信托有限责任公司一财信信托湘信金鹏1号集合资金信托计划</t>
  </si>
  <si>
    <t>理计划上海或然投资管理有限公司一或然赋赢一号私募证券投资基金</t>
  </si>
  <si>
    <t>理计划上海或然投资管理有限公司</t>
  </si>
  <si>
    <t>理计划上海涌津投资管理有限公司一涌津涌鑫20号私募证券投资基金</t>
  </si>
  <si>
    <t>理计划上海涌津投资管理有限公司</t>
  </si>
  <si>
    <t>理计划上海银叶投资有限公司一银叶新玉优选私募证券投资基金</t>
  </si>
  <si>
    <t>理计划上海银叶投资有限公司</t>
  </si>
  <si>
    <t>理计划中信期货一招商银行一中信期货兴利1号集合资产管理计划</t>
  </si>
  <si>
    <t>理计划中国人民财产保险股份有限公司一传统一普通保险产品B</t>
  </si>
  <si>
    <t>理计划中国人民财产保险股份有限公司</t>
  </si>
  <si>
    <t>理计划中国人民财产保险股份有限公司一传统一普通保险产品E</t>
  </si>
  <si>
    <t>理计划南京盛泉恒元投资有限公司-盛泉恒元多策略量化对冲1号基金</t>
  </si>
  <si>
    <t>理计划南京盛泉恒元投资有限公司</t>
  </si>
  <si>
    <t>理计划国新证券股份有限公司</t>
  </si>
  <si>
    <t>理计划安信农业保险股份有限公司-传统保险产品</t>
  </si>
  <si>
    <t>理计划安信农业保险股份有限公司</t>
  </si>
  <si>
    <t>理计划平安资管一邮储银行一平安资产青松ESG2号资产管理产品</t>
  </si>
  <si>
    <t>理计划广发证券资管一交通银行一广发资管广牛1号集合资产管理计划</t>
  </si>
  <si>
    <t>理计划新华人寿保险股份有限公司-分红-个人分红-018L-FH002沪华金证券一利安人寿</t>
  </si>
  <si>
    <t>理计划新华人寿保险股份有限公司</t>
  </si>
  <si>
    <t>理计划汇添富基金一国民养老保险股份有限公司一商业养老金产品一</t>
  </si>
  <si>
    <t>理计划汇添富基金一国民养老保险股份有限公司</t>
  </si>
  <si>
    <t>理计划汇添富基金一浦发银行一汇添富双擎添利7号集合资产管理计划</t>
  </si>
  <si>
    <t>理计划海富通基金一建设银行一海富通明德1号集合资产管理计划</t>
  </si>
  <si>
    <t>理计划生命保险资管一兴业银行一生命保险资产</t>
  </si>
  <si>
    <t>生命保险资管一兴业银行一生命资产睿驰增强1号资产管理产</t>
  </si>
  <si>
    <t>生命保险资管一农业银行一生命资产睿驰增强3号资产管理产</t>
  </si>
  <si>
    <t>生命保险资管一农业银行一生命资产睿驰增强5号资产管理产</t>
  </si>
  <si>
    <t>申万宏源证券资管一邮储银行一申万宏源宏享安心2号集合资产管理计划</t>
  </si>
  <si>
    <t>申万宏源证券资管一邮储银行一申万宏源宏享安心3号集合资产管理计划</t>
  </si>
  <si>
    <t>第一创业证券一厦门夏商集团有限公司一第一创业基础设施16号FOF单一资产管理计划华金证券一国任财产</t>
  </si>
  <si>
    <t>第一创业证券一国元证券一第一创业基础</t>
  </si>
  <si>
    <t>管理产品中粮期货一黎帮柱一中粮期货信远2号单一资产管理计划</t>
  </si>
  <si>
    <t>管理计划上海少数派投资管理有限公司一尊享收益10F私募证券投资基金</t>
  </si>
  <si>
    <t>管理计划上海少数派投资管理有限公司</t>
  </si>
  <si>
    <t>管理计划国都证券股份有限公司</t>
  </si>
  <si>
    <t>管理计划太平洋资产管理有限责任公司浙商证券资管一山东</t>
  </si>
  <si>
    <t>管理计划太平洋资产管理有限责任公司</t>
  </si>
  <si>
    <t>管理计划汇添富基金一唐华胜一汇添富华胜1号单一资产管理计划</t>
  </si>
  <si>
    <t>管理计划泰康人寿保险有限责任公司-投连-平衡配置上海少数派投资管理</t>
  </si>
  <si>
    <t>管理计划泰康人寿保险有限责任公司</t>
  </si>
  <si>
    <t>红塔证券股份有限公汇百川基金一深圳太</t>
  </si>
  <si>
    <t>老保险股份有限公司一商业养老金产品一汇添富基金国民养老国泰民安中性策略</t>
  </si>
  <si>
    <t>老保险股份有限公司</t>
  </si>
  <si>
    <t>老保险股份有限公司一商业养老金产品一汇添富基金国民养老国泰民安中性策略2号单一资产管理计划</t>
  </si>
  <si>
    <t>老保险股份有限公司一商业养老金产品一汇添富基金国民养老国泰民安中性策略5号单一资产管理计划</t>
  </si>
  <si>
    <t>药业集团有限公司一东方财富证券乐享2号单一资产管理计划</t>
  </si>
  <si>
    <t>药业集团有限公司</t>
  </si>
  <si>
    <t>西南证券一建设银行一西南证券众惠稳进1号集合资产管理计划汇百川基金一陆家嘴</t>
  </si>
  <si>
    <t>计划中国人民财产保险股份有限公司-自有资金浙商证券资管一山东</t>
  </si>
  <si>
    <t>计划中国人民财产保险股份有限公司</t>
  </si>
  <si>
    <t>计划中国对外经济贸易信托有限公司</t>
  </si>
  <si>
    <t>计划国融证券股份有限公司</t>
  </si>
  <si>
    <t>计划安联保险资管一兴业银行一安联全享多利2号资产管理产品</t>
  </si>
  <si>
    <t>计划平安资管一平安银行一平安资产创赢161号资产管理产品</t>
  </si>
  <si>
    <t>计划民生人寿保险股份有限公司-传统保险产品</t>
  </si>
  <si>
    <t>计划民生人寿保险股份有限公司</t>
  </si>
  <si>
    <t>计划海峡金桥财产保险股份有限公司-传统产品</t>
  </si>
  <si>
    <t>计划海峡金桥财产保险股份有限公司</t>
  </si>
  <si>
    <t>计划西南证券股份有限公司</t>
  </si>
  <si>
    <t>计划阳光人寿保险股份有限公司一自有资金</t>
  </si>
  <si>
    <t>计划阳光人寿保险股份有限公司</t>
  </si>
  <si>
    <t>诚泰财产保险股份有限公司-传统产品</t>
  </si>
  <si>
    <t>诺德基金-兴业银行-诺德基金浦江汇泓82号集合资产管理计划</t>
  </si>
  <si>
    <t>诺德基金-华安证券股份有限公司-诺德基金子牛73号单一资产管理计划</t>
  </si>
  <si>
    <t>诺德基金-华安证券股份有限公司-诺德基金子牛78号单一资产管理计划</t>
  </si>
  <si>
    <t>诺德基金-华安证券股份有限公司-诺德基金子牛79号单一资产管理计划</t>
  </si>
  <si>
    <t>诺德基金-浙商证券股份有限公司-诺德基金子牛57号单一资产管理计划</t>
  </si>
  <si>
    <t>财产保险（传统普通保险产品）农行托管专户1号－平安基金一平安产险长盈1号单一资产管理计划</t>
  </si>
  <si>
    <t>财通证券资管一工商银行一财通证券资管</t>
  </si>
  <si>
    <t>财通证券资管一浙商银行一财通证券资管聚利5号集合资产管理计划</t>
  </si>
  <si>
    <t>财通证券资管一青岛银行一财通证券资管睿投1号集合资产管理计划</t>
  </si>
  <si>
    <t>责任公司一江苏信托·工银理财基础设施2号集合资金信托计划</t>
  </si>
  <si>
    <t>资产管理计划中国人民人寿保险股份有限公司-传统-普通保险产品</t>
  </si>
  <si>
    <t>资产管理计划中国人民人寿保险股份有限公司</t>
  </si>
  <si>
    <t>资产管理计划中意人寿保险有限公司-资本金</t>
  </si>
  <si>
    <t>资产管理计划中意人寿保险有限公司</t>
  </si>
  <si>
    <t>辰光通信股份有限公司一汇百川基金君汇16号单一资产管理计</t>
  </si>
  <si>
    <t>辰光通信股份有限公司</t>
  </si>
  <si>
    <t>金信托计划财通证券股份有限公国民养老保险股份有</t>
  </si>
  <si>
    <t>金圆投资集团有限公司一圆信永丰科创添利1号单一资产管理计划</t>
  </si>
  <si>
    <t>金圆投资集团有限公司</t>
  </si>
  <si>
    <t>银行一国联欣欣向荣103号集合资产管理计浙商证券资管一山东</t>
  </si>
  <si>
    <t>银行一国联欣欣向荣1号FOF集合资产管理计划</t>
  </si>
  <si>
    <t>长江证券股份有限公浙商证券资管一山东</t>
  </si>
  <si>
    <t>阳光人寿保险股份有限公司一万能保险产</t>
  </si>
  <si>
    <t>阳光人寿保险股份有限公司一传统保险产浙商证券资管一山东</t>
  </si>
  <si>
    <t>阳光人寿保险股份有限公司一分红保险产</t>
  </si>
  <si>
    <t>陆港资本运营有限公司一兴证资管阿尔法科睿106号单一资产管理计划</t>
  </si>
  <si>
    <t>陆港资本运营有限公司</t>
  </si>
  <si>
    <t>限公司一国民国泰民安101期限保本型（三年滚动）商业养老金产品A款一泰康组合</t>
  </si>
  <si>
    <t>（最低持有180天）按日开放固定收益类净值型人民币理财产品-中银证券安鑫稳健4号单一资产管理计划</t>
  </si>
  <si>
    <t>上信睿启1号集合资金信托计划</t>
  </si>
  <si>
    <t>上海世博发展(集团)有限公司</t>
  </si>
  <si>
    <t>上海国有存量资产盘活私募投资基金合伙企业(有限合伙)</t>
  </si>
  <si>
    <t>东方财富证券乐财3号集合资产管理计划</t>
  </si>
  <si>
    <t>东方财富证券意享昇财2号集合资产管理计划</t>
  </si>
  <si>
    <t>兴业证券股份有限公司</t>
  </si>
  <si>
    <t>国泰海通私客睿享FOF2号单一资产管理计划</t>
  </si>
  <si>
    <t>建元启隆甄选9号集合资金信托计划</t>
  </si>
  <si>
    <t>深圳市高新投集团有限公司</t>
  </si>
  <si>
    <t>万联证券资管一建信理财“嘉鑫”固收类最低持有14天产品一万联资管稳健152号单一资产管理计划</t>
  </si>
  <si>
    <t>万联证券资产管理（广东）有限公司</t>
  </si>
  <si>
    <t>万联证券资管一建信理财“私享”（按周）开放式固定收益类净值型人民币理财产品一万联资管稳健153号单一资产管理计划</t>
  </si>
  <si>
    <t>万联证券资管一建信理财嘉鑫（增利）固收类最低持有60天产品第4期一万联资管稳健154号单一资产管理计划</t>
  </si>
  <si>
    <t>万联证券资管一建信理财嘉鑫（稳利）固收类最低持有14天产品第5期一万联资管稳健151号单一资产管理计划</t>
  </si>
  <si>
    <t>万联证券资管一建设银行一万联资管稳健101号集合资产管理计划</t>
  </si>
  <si>
    <t>万联证券资管一建设银行一万联资管稳健102号集合资产管理计划</t>
  </si>
  <si>
    <t>万联证券资管一建设银行一万联资管稳健103号集合资产管理计划</t>
  </si>
  <si>
    <t>万联证券资管一建设银行一万联资管稳健104号集合资产管理计划</t>
  </si>
  <si>
    <t>万联证券资管一建设银行一万联资管稳健105号集合资产管理计划</t>
  </si>
  <si>
    <t>万联证券资管一建设银行一万联资管稳健107号集合资产管理计划</t>
  </si>
  <si>
    <t>上海国际信托有限公司一上海信托“红宝石”安心稳健系列信睿尊享投资资金信托计划（上信－H一8002）</t>
  </si>
  <si>
    <t>上海宽投资产管理有限公司一宽投恒选1期私募证券投资基金</t>
  </si>
  <si>
    <t>上海宽投资产管理有限公司一宽投智多星私募证券投资基金</t>
  </si>
  <si>
    <t>上海宽投资产管理有限公司一宽投盛相9号私募证券投资基金</t>
  </si>
  <si>
    <t>上海宽投资产管理有限公司一宽投锦鲤量化1号私募证券投资基金</t>
  </si>
  <si>
    <t>中信证券资管一民生银行一中信证券资管民信基础设施1号集合资产管理计划</t>
  </si>
  <si>
    <t>中原信托有限公司一中原信托一盈享1号集合资金信托计划</t>
  </si>
  <si>
    <t>中国对外经济贸易信托有限公司-外贸信托晋元TOT集合资金信托计划</t>
  </si>
  <si>
    <t>中国对外经济贸易信托有限公司一外贸信托一晋元2期FOF集合资金信托计划</t>
  </si>
  <si>
    <t>中国对外经济贸易信托有限公司一外贸信托一稳盈淳享99号集合资金信托计划</t>
  </si>
  <si>
    <t>中国对外经济贸易信托有限公司一外贸信托一金元宝1号证券投资集合资金信托计划</t>
  </si>
  <si>
    <t>中海信托股份有限公司一中海信托一稳健可持续（ESG主题）1号集合资金信托计划</t>
  </si>
  <si>
    <t>中海信托股份有限公司</t>
  </si>
  <si>
    <t>中诚信托有限责任公司一中诚信托一嘉信配置12号集合资金信托计划</t>
  </si>
  <si>
    <t>中金公司一上海农商行一中金泰和1号ESG集合资产管理计划</t>
  </si>
  <si>
    <t>信达证券一建设银行一信达证券虎虎生威4号集合资产管理计划</t>
  </si>
  <si>
    <t>光大证券资管一光证资管光泽FOF单一资产管理计划一光证资管致远57号单一资产管理计划</t>
  </si>
  <si>
    <t>兴瀚资管一兴业银行一兴瀚资管-兴元18号集合资产管理计划</t>
  </si>
  <si>
    <t>兴证证券资管一兴业银行一兴证资管兴享多策略2号集合资产管理计划</t>
  </si>
  <si>
    <t>华创证券一广州农商行一华创证券泰安稳银1号集合资产管理计划</t>
  </si>
  <si>
    <t>华创证券有限责任公司</t>
  </si>
  <si>
    <t>华创证券一邮储银行一华创证券创金宝1号集合资产管理计划</t>
  </si>
  <si>
    <t>华商基金一兴业银行一华商基金一华海51号集合资产管理计划</t>
  </si>
  <si>
    <t>华商基金一兴业银行一华商基金一华海52号集合资产管理计划</t>
  </si>
  <si>
    <t>华商基金一兴业银行一华商基金一华海53号集合资产管理计划</t>
  </si>
  <si>
    <t>华商基金一兴业银行一华商基金一华海54号集合资产管理计划</t>
  </si>
  <si>
    <t>华商基金一兴业银行一华商基金一华海55号集合资产管理计划</t>
  </si>
  <si>
    <t>华商基金一兴业银行一华商基金添益10号集合资产管理计划</t>
  </si>
  <si>
    <t>华商基金一兴业银行一华商基金添益1号集合资产管理计划</t>
  </si>
  <si>
    <t>华商基金一兴业银行一华商基金添益2号集合资产管理计划</t>
  </si>
  <si>
    <t>华商基金一兴业银行一华商基金添益3号集合资产管理计划</t>
  </si>
  <si>
    <t>华商基金一兴业银行一华商基金添益4号集合资产管理计划</t>
  </si>
  <si>
    <t>华商基金一兴业银行一华商基金添益5号集合资产管理计划</t>
  </si>
  <si>
    <t>华商基金一兴业银行一华商基金添益6号集合资产管理计划</t>
  </si>
  <si>
    <t>华商基金一兴业银行一华商基金添益7号集合资产管理计划</t>
  </si>
  <si>
    <t>华商基金一兴业银行一华商基金添益8号集合资产管理计划</t>
  </si>
  <si>
    <t>华商基金一兴业银行一华商基金添益9号集合资产管理计划</t>
  </si>
  <si>
    <t>华商基金一北京银行一华商基金兴银1号集合资产管理计划</t>
  </si>
  <si>
    <t>华商基金一华安证券股份有限公司一华商基金一华安信盈14号单一资产管理计划</t>
  </si>
  <si>
    <t>华商基金一华源证券股份有限公司一华商基金盈源1号单一资产管理计划</t>
  </si>
  <si>
    <t>华商基金一华源证券股份有限公司一华商基金盈源5号单一资产管理计划</t>
  </si>
  <si>
    <t>华商基金一国联信托·财睿1号集合资金信托计划一华商基金睿益1号单一资产管理计划</t>
  </si>
  <si>
    <t>华商基金一招商银行一华商基金兴悦集合资产管理计划</t>
  </si>
  <si>
    <t>华商基金一招商银行一华商基金兴稳集合资产管理计划</t>
  </si>
  <si>
    <t>华商基金一财信致远5号集合资金信托计划一华商基金湘信1号单一资产管理计划</t>
  </si>
  <si>
    <t>华能贵诚信托有限公司-华能信托·北诚瑞驰2号资金信托</t>
  </si>
  <si>
    <t>国盛证券股份有限公司</t>
  </si>
  <si>
    <t>建信基金一建信理财“惠众”（日申周赎）开放式净值型人民币理财产品一建信基金惠众添添赢1号单一资产管理计划</t>
  </si>
  <si>
    <t>江苏省国际信托有限责任公司一江苏信托·基础设施14号集合资金信托计划</t>
  </si>
  <si>
    <t>江苏省国际信托有限责任公司一江苏信托长江臻选1号集合资金信托计划</t>
  </si>
  <si>
    <t>浙江银万私募基金管理有限公司-银万增利8号私募证券投资基金</t>
  </si>
  <si>
    <t>浙江银万私募基金管理有限公司</t>
  </si>
  <si>
    <t>深圳汇迪私募证券基金管理有限公司-汇迪景明3号私募证券投资基金</t>
  </si>
  <si>
    <t>深圳汇迪私募证券基金管理有限公司</t>
  </si>
  <si>
    <t>申港证券一宁波银行一申港证券睿盈18号集合资产管理计划</t>
  </si>
  <si>
    <t>诺德基金-兴业银行-诺德基金浦江汇泓83号集合资产管理计划</t>
  </si>
  <si>
    <t>诺德基金-兴业银行-诺德基金浦江汇泓84号集合资产管理计划</t>
  </si>
  <si>
    <t>财通证券资管一建设银行一财通证券资管稳健5号集合资产管理计划</t>
  </si>
  <si>
    <t>财通证券资管一建设银行一财通证券资管稳健6号集合资产管理计划</t>
  </si>
  <si>
    <t>财通证券资管一江苏银行一财通证券资管睿鑫10号集合资产管理计划</t>
  </si>
  <si>
    <t>财通证券资管一江苏银行一财通证券资管睿鑫11号集合资产管理计划</t>
  </si>
  <si>
    <t>财通证券资管一江苏银行一财通证券资管睿鑫12号集合资产管理计划</t>
  </si>
  <si>
    <t>财通证券资管一江苏银行一财通证券资管睿鑫13号集合资产管理计划</t>
  </si>
  <si>
    <t>财通证券资管一江苏银行一财通证券资管睿鑫14号集合资产管理计划</t>
  </si>
  <si>
    <t>财通证券资管一江苏银行一财通证券资管睿鑫15号集合资产管理计划</t>
  </si>
  <si>
    <t>财通证券资管一江苏银行一财通证券资管睿鑫1号集合资产管理计划</t>
  </si>
  <si>
    <t>财通证券资管一江苏银行一财通证券资管睿鑫2号集合资产管理计划</t>
  </si>
  <si>
    <t>财通证券资管一江苏银行一财通证券资管睿鑫3号集合资产管理计划</t>
  </si>
  <si>
    <t>财通证券资管一江苏银行一财通证券资管睿鑫4号集合资产管理计划</t>
  </si>
  <si>
    <t>财通证券资管一江苏银行一财通证券资管睿鑫5号集合资产管理计划</t>
  </si>
  <si>
    <t>财通证券资管一江苏银行一财通证券资管睿鑫6号集合资产管理计划</t>
  </si>
  <si>
    <t>财通证券资管一江苏银行一财通证券资管睿鑫7号集合资产管理计划</t>
  </si>
  <si>
    <t>财通证券资管一江苏银行一财通证券资管睿鑫8号集合资产管理计划</t>
  </si>
  <si>
    <t>财通证券资管一江苏银行一财通证券资管睿鑫9号集合资产管理计划</t>
  </si>
  <si>
    <t>青岛鹿秀投资管理有限公司一鹿秀统计套利1号私募证券基金</t>
  </si>
  <si>
    <t>青岛鹿秀投资管理有限公司</t>
  </si>
  <si>
    <t>青岛鹿秀投资管理有限公司一鹿秀长颈鹿6号私募证券投资基金</t>
  </si>
  <si>
    <t>青岛鹿秀投资管理有限公司一鹿秀驯鹿3号私募证券投资基金</t>
  </si>
  <si>
    <t>上海睿投私募基金管理有限公司(代表"睿投久远3号基础设施策略私募证券投资基金")</t>
  </si>
  <si>
    <t>上海睿投私募基金管理有限公司(代表"睿投恒传5号REITs策略私募证券投资基金")</t>
  </si>
  <si>
    <t>上海睿投私募基金管理有限公司(代表"睿投海纳6号REITs策略私募证券投资基金")</t>
  </si>
  <si>
    <t>中信建投基金管理有限公司(代表"中信建投基金-丰禾5号单一资产管理计划")</t>
  </si>
  <si>
    <t>中信建投基金管理有限公司</t>
  </si>
  <si>
    <t>中信建投基金管理有限公司(代表"中信建投基金-丰禾6号单一资产管理计划")</t>
  </si>
  <si>
    <t>中信建投基金管理有限公司(代表"中信建投基金-丰禾7号FOF单一资产管理计划")</t>
  </si>
  <si>
    <t>中信建投证券股份有限公司(代表"中信建投稳健红利增强单一资产管理计划")</t>
  </si>
  <si>
    <t>中信建投证券股份有限公司(代表"中信建投稳利龙享3号集合资产管理计划")</t>
  </si>
  <si>
    <t>中信证券资产管理有限公司(代表"中信证券星云92号集合资产管理计划")</t>
  </si>
  <si>
    <t>中航基金管理有限公司(代表"中航基金启蛰阳和6号单一资产管理计划")</t>
  </si>
  <si>
    <t>信达澳亚基金管理有限公司(代表"信澳中银元启6号集合资产管理计划")</t>
  </si>
  <si>
    <t>信达澳亚基金管理有限公司(代表"信澳信享1号集合资产管理计划")</t>
  </si>
  <si>
    <t>北京市西郊农场有限公司</t>
  </si>
  <si>
    <t>北京朗和私募基金管理有限公司</t>
  </si>
  <si>
    <t>北京粮食集团有限责任公司</t>
  </si>
  <si>
    <t>北京金控资本有限公司</t>
  </si>
  <si>
    <t>华夏基金管理有限公司(代表"华夏基金瑞思1号单一资产管理计划")</t>
  </si>
  <si>
    <t>华夏基金管理有限公司(代表"华夏基金瑞思2号单一资产管理计划")</t>
  </si>
  <si>
    <t>华润深国投信托有限公司(代表"华润信托·锐盈3号集合资金信托计划")</t>
  </si>
  <si>
    <t>厦门源峰基础设施股权投资基金合伙企业(有限合伙)</t>
  </si>
  <si>
    <t>嘉实基金管理有限公司(代表"嘉实基金睿哲3号单一资产管理计划")</t>
  </si>
  <si>
    <t>嘉实基金管理有限公司(代表"嘉实基金睿哲8号单一资产管理计划")</t>
  </si>
  <si>
    <t>广州城发合凡股权投资合伙企业(有限合伙)</t>
  </si>
  <si>
    <t>广州林发股权投资管理企业(有限合伙)</t>
  </si>
  <si>
    <t>建信信托有限责任公司(代表"建信信托-睿驰组合3号集合资金信托计划")</t>
  </si>
  <si>
    <t>招商致远资本投资有限公司(代表"招商致远基础设施三期集合私募股权投资基金")</t>
  </si>
  <si>
    <t>招商致远资本投资有限公司</t>
  </si>
  <si>
    <t>易方达基金管理有限公司(代表"易方达基金兴安1号单一资产管理计划")</t>
  </si>
  <si>
    <t>芜湖元康私募基金管理有限公司(代表"元康瑞景2号基础设施策略私募证券投资基金")</t>
  </si>
  <si>
    <t>西藏信托有限公司(代表"西藏信托-晟元3号集合资金信托计划")</t>
  </si>
  <si>
    <t>诺德基金管理有限公司(代表"诺德基金子牛21号单一资产管理计划")</t>
  </si>
  <si>
    <t>万家基金一财通证券股份有限公司一万家基金北新10号单一资产管理计划</t>
  </si>
  <si>
    <t>万家基金一财通证券股份有限公司</t>
  </si>
  <si>
    <t>万家基金一财通证券股份有限公司一万家基金北新1号单一资产管理计划</t>
  </si>
  <si>
    <t>万家基金一财通证券股份有限公司一万家基金北新2号单一资产管理计划</t>
  </si>
  <si>
    <t>万家基金一财通证券股份有限公司一万家基金北新3号单一资产管理计划</t>
  </si>
  <si>
    <t>万家基金一财通证券股份有限公司一万家基金北新4号单一资产管理计划</t>
  </si>
  <si>
    <t>万家基金一财通证券股份有限公司一万家基金北新5号单一资产管理计划</t>
  </si>
  <si>
    <t>万家基金一财通证券股份有限公司一万家基金北新6号单一资产管理计划</t>
  </si>
  <si>
    <t>万家基金一财通证券股份有限公司一万家基金北新7号单一资产管理计划</t>
  </si>
  <si>
    <t>万家基金一财通证券股份有限公司一万家基金北新8号单一资产管理计划</t>
  </si>
  <si>
    <t>万家基金一财通证券股份有限公司一万家基金北新9号单一资产管理计划</t>
  </si>
  <si>
    <t>上海国际信托有限公司一上海信托“红宝石”安心稳健系列信睿尊享投资资金信托计划（上信一H一8002）</t>
  </si>
  <si>
    <t>上海金私募基金管理有限公司一金锝仁贤20号私募证券投资基金</t>
  </si>
  <si>
    <t>上海金私募基金管理有限公司一金锝仁贤9号私募证券投资基金</t>
  </si>
  <si>
    <t>上海金锝私募基金管理有限公司一尧日量选证券投资私募基金</t>
  </si>
  <si>
    <t>上海金锝私募基金管理有限公司一金尧典45号私募证券投资基金</t>
  </si>
  <si>
    <t>上海金锝私募基金管理有限公司一金景行1号私募证券投资基金</t>
  </si>
  <si>
    <t>上海金锝私募基金管理有限公司一金温理私募证券投资基金</t>
  </si>
  <si>
    <t>上海金锝私募基金管理有限公司一金诚意精心5号证券投资私募基金</t>
  </si>
  <si>
    <t>上海金锝私募基金管理有限公司一金锝仁贤19号私募证券投资基金</t>
  </si>
  <si>
    <t>上海金锝私募基金管理有限公司一金锝仁贤21号私募证券投资基金</t>
  </si>
  <si>
    <t>东吴基金一东吴证券股份有限公司一东吴基金浩瀚19号单一资产管理计划</t>
  </si>
  <si>
    <t>东吴基金管理有限公司</t>
  </si>
  <si>
    <t>东方证券资管一中信银行一东方红兴选1号集合资产管理计划</t>
  </si>
  <si>
    <t>东方证券资管一平安银行一东方红臻鑫4号集合资产管理计划</t>
  </si>
  <si>
    <t>东方证券资管一招商银行一东方红添利33号集合资产管理计划</t>
  </si>
  <si>
    <t>东方证券资管一招商银行一东方红臻鑫6号集合资产管理计划</t>
  </si>
  <si>
    <t>东方证券资管一邮储银行一东方红添利32号集合资产管理计划</t>
  </si>
  <si>
    <t>东方证券资管一邮储银行一东方红臻鑫3号集合资产管理计划</t>
  </si>
  <si>
    <t>东方财富证券-上海银行-东方财富证券乐财3号集合资产管理计划</t>
  </si>
  <si>
    <t>东方财富证券-兴业银行-东方财富证券添新2号集合资产管理计划</t>
  </si>
  <si>
    <t>中信信托有限责任公司一中信信托双赢增利1号证券投资集合资金信托计划</t>
  </si>
  <si>
    <t>中国对外经济贸易信托有限公司一外贸信托-恒信盈固收4号证券投资集合资金信托计划</t>
  </si>
  <si>
    <t>中国对外经济贸易信托有限公司一外贸信托-恒信盈固收7号证券投资集合资金信托计划</t>
  </si>
  <si>
    <t>中国对外经济贸易信托有限公司一外贸信托一恒信盈固收20号证券投资集合资金信托计划</t>
  </si>
  <si>
    <t>中国对外经济贸易信托有限公司一外贸信托一稳盈淳享95号集合资金信托计划</t>
  </si>
  <si>
    <t>中诚信托有限责任公司一中诚信托一鼎新11号集合资金信托计划</t>
  </si>
  <si>
    <t>中金公司一建设银行一中金乐睿1号集合资产管理计划</t>
  </si>
  <si>
    <t>中金公司一建设银行一中金乐睿2号集合资产管理计划</t>
  </si>
  <si>
    <t>中金公司一建设银行一中金乐睿4号集合资产管理计划</t>
  </si>
  <si>
    <t>中金公司一建设银行一中金乐睿5号集合资产管理计划</t>
  </si>
  <si>
    <t>中银国际证券-"安鑫”（最低持有180天）按日开放固定收益类净值型人民币理财产品-中银证券安鑫稳健4号单一资产管理计</t>
  </si>
  <si>
    <t>中银国际证券-中国银行-中银证券中国红-汇鸿1号集合资产管理计划</t>
  </si>
  <si>
    <t>信达澳亚基金一中国银行一信澳中银元启3号集合资产管理计划</t>
  </si>
  <si>
    <t>华泰证券资管一邮储银行一华泰智享1号集合资产管理计划</t>
  </si>
  <si>
    <t>华润深国投信托有限公司一华润信托·蓝屿10号集合资金信托计划</t>
  </si>
  <si>
    <t>国联证券资管一中国银行一国联欣欣向荣301号集合资产管理计划</t>
  </si>
  <si>
    <t>国联证券资管一中国银行一国联欣欣向荣302号集合资产管理计划</t>
  </si>
  <si>
    <t>国联证券资管一中国银行一国联欣欣向荣303号集合资产管理计划</t>
  </si>
  <si>
    <t>国联证券资管一中国银行一国联欣欣向荣307号集合资产管理计划</t>
  </si>
  <si>
    <t>国联证券资管一中国银行一国联欣欣向荣309号集合资产管理计划</t>
  </si>
  <si>
    <t>国联证券资管一中国银行一国联欣欣向荣310号集合资产管理计划</t>
  </si>
  <si>
    <t>国联证券资管一中国银行一国联欣欣向荣311号集合资产管理计划</t>
  </si>
  <si>
    <t>国联证券资管一中国银行一国联欣欣向荣312号集合资产管理计划</t>
  </si>
  <si>
    <t>国联证券资管一中国银行一国联欣欣向荣313号集合资产管理计划</t>
  </si>
  <si>
    <t>国联证券资管一中国银行一国联欣欣向荣314号集合资产管理计划</t>
  </si>
  <si>
    <t>国联证券资管一中国银行一国联欣欣向荣315号集合资产管理计划</t>
  </si>
  <si>
    <t>国联证券资管一仇冰一国联定新臻享106号单一资产管理计划</t>
  </si>
  <si>
    <t>国联证券资管一周秋锋一国联定新臻享124号单一资产管理计划</t>
  </si>
  <si>
    <t>国联证券资管一国联信托股份有限公司一国联定新103号单一资产管理计划</t>
  </si>
  <si>
    <t>国联证券资管一国联信托股份有限公司一国联定新107号单一资产管理计划</t>
  </si>
  <si>
    <t>国联证券资管一工商银行一国联鸿如意11号（沪享）集合资产管理计划</t>
  </si>
  <si>
    <t>国联证券资管一工商银行一国联鸿如意1号集合资产管理计划</t>
  </si>
  <si>
    <t>国联证券资管一工商银行一国联鸿如意2号集合资产管理计划</t>
  </si>
  <si>
    <t>国联证券资管一工商银行一国联鸿如意3号集合资产管理计划</t>
  </si>
  <si>
    <t>国联证券资管一广东省季华新型显示装备有限公司一国联定新臻享125号单一资产管理计划</t>
  </si>
  <si>
    <t>国联证券资管一广东省季华新型显示装备有限公司一国联定新臻享126号单一资产管理计划</t>
  </si>
  <si>
    <t>国联证券资管一广东省季华新型显示装备有限公司一国联定新臻享127号单一资产管理计划</t>
  </si>
  <si>
    <t>国联证券资管一广东省季华新型显示装备有限公司一国联定新臻享128号单一资产管理计划</t>
  </si>
  <si>
    <t>国联证券资管一建设银行一国联鑫湘联1号集合资产管理计划</t>
  </si>
  <si>
    <t>国联证券资管一建设银行一国联鑫湘联2号集合资产管理计划</t>
  </si>
  <si>
    <t>国联证券资管一建设银行一国联鑫湘联3号集合资产管理计划</t>
  </si>
  <si>
    <t>国联证券资管一招商银行一国联证券私享强债1号集合资产管理计划</t>
  </si>
  <si>
    <t>国联证券资管一无锡贝斯特精机股份有限公司一国联定新臻享112号单一资产管理计划</t>
  </si>
  <si>
    <t>国联证券资管一江苏三菱磨料磨具有限公司一国联定新臻享129号单一资产管理计</t>
  </si>
  <si>
    <t>国联证券资管一江苏贵培电子科技有限公司一国联定新臻享123号单一资产管理计</t>
  </si>
  <si>
    <t>国联证券资管一江苏贵培电子科技有限公司一国联定新臻享130号单一资产管理计划</t>
  </si>
  <si>
    <t>国联证券资管一江苏银行一国联玉如意年年发集合资产管理计划</t>
  </si>
  <si>
    <t>国联证券资管一江苏银行一国联联盛10号集合资产管理计划</t>
  </si>
  <si>
    <t>国联证券资管一江苏银行一国联联盛13号集合资产管理计划</t>
  </si>
  <si>
    <t>国联证券资管一江苏银行一国联联盛14号集合资产管理计划</t>
  </si>
  <si>
    <t>国联证券资管一江苏银行一国联联盛15号集合资产管理计划</t>
  </si>
  <si>
    <t>国联证券资管一江苏银行一国联联盛1号集合资产管理计划</t>
  </si>
  <si>
    <t>国联证券资管一江苏银行一国联联盛2号集合资产管理计划</t>
  </si>
  <si>
    <t>国联证券资管一江苏银行一国联联盛3号集合资产管理计划</t>
  </si>
  <si>
    <t>国联证券资管一江苏银行一国联联盛4号集合资产管理计划</t>
  </si>
  <si>
    <t>国联证券资管一江苏银行一国联联盛5号集合资产管理计划</t>
  </si>
  <si>
    <t>国联证券资管一江苏银行一国联联盛6号集合资产管理计划</t>
  </si>
  <si>
    <t>国联证券资管一江苏银行一国联联盛7号集合资产管理计划</t>
  </si>
  <si>
    <t>国联证券资管一江苏银行一国联联盛8号集合资产管理计划</t>
  </si>
  <si>
    <t>国联证券资管一江苏银行一国联联盛9号集合资产管理计划</t>
  </si>
  <si>
    <t>国联证券资管一江苏银行－国联联盛11号集合资产管理计划</t>
  </si>
  <si>
    <t>国联证券资管一苏州银行一民生证券富泉7号集合资产管理计划</t>
  </si>
  <si>
    <t>国联证券资管一苏州银行一民生证券富泉8号集合资产管理计划</t>
  </si>
  <si>
    <t>国联证券资管一陈俊良一国联定新臻享109号单一资产管理计划</t>
  </si>
  <si>
    <t>国联证券资管一陈雁升一国联定新臻享108号单一资产管理计划</t>
  </si>
  <si>
    <t>国联证券资管一青岛延光智汇投资中心（有限合伙）一国联定新臻享118号单一资产管理计划</t>
  </si>
  <si>
    <t>国联证券资管一青岛延光智汇投资中心（有限合伙）一国联定新臻享119号单一资产管理计划</t>
  </si>
  <si>
    <t>国联证券资管一青岛延光智汇投资中心（有限合伙）一国联定新臻享120号单一资产管理计划</t>
  </si>
  <si>
    <t>国联证券资管一青岛延光智汇投资中心（有限合伙）一国联定新臻享121号单一资产管理计划</t>
  </si>
  <si>
    <t>国联证券资管一青岛延光智汇投资中心（有限合伙）一国联定新臻享122号单一资产管理计划</t>
  </si>
  <si>
    <t>国联证券资管一青岛银行一国联安鑫青享2号集合资产管理计划</t>
  </si>
  <si>
    <t>国联证券资管－江苏银行一国联联盛12号集合资产管理计划</t>
  </si>
  <si>
    <t>国金基金一成都产业资本控股集团有限公司一国金基金一成都产业资本一号单一资产管理计划</t>
  </si>
  <si>
    <t>国金证券一建设银行一国金证券鑫熠2号集合资产管理计划</t>
  </si>
  <si>
    <t>圆信永丰基金一上海国际信托有限公司一圆信永丰基本面驱动绝对收益3号单一资产管理计划</t>
  </si>
  <si>
    <t>宁波梅山保税港区凌顶投资管理有限公司一凌顶望岳二十七号私募证券投资基金注:</t>
  </si>
  <si>
    <t>宁银理财有限责任公司-宁银理财宁享固定收益类优选日开理财2号</t>
  </si>
  <si>
    <t>宁银理财有限责任公司-宁银理财宁享转债增强固定收益类理财2号（最短持有100天)</t>
  </si>
  <si>
    <t>宁银理财有限责任公司-宁银理财宁欣固定收益类3个月定期开放式理财18号</t>
  </si>
  <si>
    <t>宁银理财有限责任公司-宁银理财宁欣固定收益类3个月定期开放式理财22号</t>
  </si>
  <si>
    <t>宁银理财有限责任公司-宁银理财宁欣固定收益类3个月定期开放式理财25号</t>
  </si>
  <si>
    <t>宁银理财有限责任公司-宁银理财宁欣固定收益类3个月定期开放式理财33号</t>
  </si>
  <si>
    <t>宁银理财有限责任公司-宁银理财宁欣固定收益类9个月周期型理财2号</t>
  </si>
  <si>
    <t>宁银理财有限责任公司-宁银理财宁欣固定收益类一年定期开放式理财7号（周年庆专属）</t>
  </si>
  <si>
    <t>宁银理财有限责任公司-宁银理财宁欣固定收益类半年定期开放式理财24号</t>
  </si>
  <si>
    <t>宁银理财有限责任公司-宁银理财宁欣固定收益类半年定期开放式理财5号</t>
  </si>
  <si>
    <t>宁银理财有限责任公司-宁银理财宁欣固定收益类半年定期开放式理财8号（周年庆专属)</t>
  </si>
  <si>
    <t>宁银理财有限责任公司-宁银理财宁欣固定收益类封闭式理财3091号（丰利款）</t>
  </si>
  <si>
    <t>宁银理财有限责任公司-宁银理财宁欣固定收益类封闭式理财3150号</t>
  </si>
  <si>
    <t>宁银理财有限责任公司-宁银理财宁欣固定收益类封闭式理财3196号</t>
  </si>
  <si>
    <t>宁银理财有限责任公司-宁银理财宁欣固定收益类封闭式理财3200号</t>
  </si>
  <si>
    <t>宁银理财有限责任公司-宁银理财宁欣固定收益类日开产品2号（最短持有100天）</t>
  </si>
  <si>
    <t>宁银理财有限责任公司-宁银理财宁欣固定收益类日开理财17号（最短持有150天）</t>
  </si>
  <si>
    <t>宁银理财有限责任公司-宁银理财宁欣固定收益类日开理财19号（最短持有60天）</t>
  </si>
  <si>
    <t>宁银理财有限责任公司-宁银理财宁欣固定收益类日开理财7号</t>
  </si>
  <si>
    <t>宁银理财有限责任公司-宁银理财宁欣固定收益类日开理财8号（最短持有300天）</t>
  </si>
  <si>
    <t>宁银理财有限责任公司-宁银理财宁欣固定收益类日开理财9号（最短持有90天）</t>
  </si>
  <si>
    <t>宁银理财有限责任公司-宁银理财宁欣固定收益类日申半年赎理财1号</t>
  </si>
  <si>
    <t>宁银理财有限责任公司-宁银理财宁欣固定收益类日申半年赎理财2号</t>
  </si>
  <si>
    <t>宁银理财有限责任公司-宁银理财宁欣固定收益类日申季赎理财2号</t>
  </si>
  <si>
    <t>宁银理财有限责任公司-宁银理财宁欣固定收益类日申季赎理财3号</t>
  </si>
  <si>
    <t>宁银理财有限责任公司-宁银理财宁欣固定收益类日申季赎理财4号</t>
  </si>
  <si>
    <t>宁银理财有限责任公司-宁银理财宁欣固定收益类日申季赎理财6号</t>
  </si>
  <si>
    <t>宁银理财有限责任公司-宁银理财宁欣固定收益类日申年赎理财1号</t>
  </si>
  <si>
    <t>宁银理财有限责任公司-宁银理财宁欣日日盈固定收益类日开理财9号（最短持有100天）</t>
  </si>
  <si>
    <t>宁银理财有限责任公司一宁银理财宁欣固定收益类日申月赎理财1号</t>
  </si>
  <si>
    <t>宁银理财有限责任公司一宁银理财宁欣固定收益类日申月赎理财2号</t>
  </si>
  <si>
    <t>广发证券资管一佛山市长信泽意科技有限公司一广发资管瑞鑫利50号单一资产管理计划</t>
  </si>
  <si>
    <t>广发证券资管一招商银行一广发资管瑞鑫贵享1号集合资产管理计划</t>
  </si>
  <si>
    <t>广发证券资管一招商银行一广发资管瑞鑫贵享2号集合资产管理计划</t>
  </si>
  <si>
    <t>广发证券资管一招商银行一广发资管瑞鑫贵享3号集合资产管理计划</t>
  </si>
  <si>
    <t>建信信托有限责任公司一建信信托一阿尔法优选集合资金信托计划</t>
  </si>
  <si>
    <t>建信基金一中国建设银行股份有限公司广东省分行一建信基金惠众1号单一资产管理计划</t>
  </si>
  <si>
    <t>建信基金一建信理财“惠众”（日申周赎）开放式净值型人民币理财产品一建信基金惠众添添赢10号单一资产管理计划</t>
  </si>
  <si>
    <t>建信基金一建信理财嘉鑫（稳利）固收类最低持有14天产品第5期一建信基金惠众添添赢54号单一资产管理计划</t>
  </si>
  <si>
    <t>建信资本一建信理财嘉鑫固收类最低持有60天产品（代工专享）一建信资本安鑫稳健1号单一资产管理计划</t>
  </si>
  <si>
    <t>建信资本一建信理财嘉鑫固收类最低持有90天产品（代工专享）一建信资本安鑫稳健2号单一资产管理计划</t>
  </si>
  <si>
    <t>建信资本一建信理财睿鑫固收类最低持有30天产品第2期一建信资本星链30号单一资产管理计划</t>
  </si>
  <si>
    <t>建信资本一建设银行一建信资本臻享配置48号集合资产管理计划</t>
  </si>
  <si>
    <t>建信资本一建设银行一建信资本诚鑫配置1号集合资产管理计划</t>
  </si>
  <si>
    <t>江苏省国际信托有限责任公司一江苏信托·基础设施10号集合资金信托计划</t>
  </si>
  <si>
    <t>江苏省国际信托有限责任公司一江苏信托·基础设施7号集合资金信托计划</t>
  </si>
  <si>
    <t>江苏省国际信托有限责任公司一江苏信托·基础设施8号集合资金信托计划</t>
  </si>
  <si>
    <t>江苏省国际信托有限责任公司一江苏信托·基础设施9号集合资金信托计划</t>
  </si>
  <si>
    <t>浙商证券资管一中信银行一浙商金惠添鑫增利2号1期集合资产管理计划</t>
  </si>
  <si>
    <t>浙商证券资管一兴业银行一浙商金惠周周盈货币增强2号集合资产管理计划</t>
  </si>
  <si>
    <t>浙商证券资管一兴业银行一浙商金惠周周盈货币增强5号集合资产管理计划</t>
  </si>
  <si>
    <t>浙商证券资管一兴业银行一浙商金惠周周购35天滚动持有第3期债券型集合资产管理计划</t>
  </si>
  <si>
    <t>浙商证券资管一兴业银行一浙商金惠周周购91天滚动持有第1期债券型集合资产管理计划</t>
  </si>
  <si>
    <t>浙商证券资管一兴业银行一浙商金惠周周购91天滚动持有第2期债券型集合资产管理计划</t>
  </si>
  <si>
    <t>浙商证券资管一兴业银行一浙商金惠周周购91天滚动持有第5期债券型集合资产管理计划</t>
  </si>
  <si>
    <t>浙商证券资管一兴业银行一浙商金惠周周购91天滚动持有第6期债券型集合资产管理计划</t>
  </si>
  <si>
    <t>浙商证券资管一兴业银行一浙商金惠添利周周盈货币增强1号集合资产管理计划</t>
  </si>
  <si>
    <t>浙商证券资管一兴业银行一浙商金惠添利周周购91天滚动持有第1期集合资产管理计划</t>
  </si>
  <si>
    <t>浙商证券资管一南京银行一浙商金惠添利周周购28天滚动持有第1期集合资产管理计划</t>
  </si>
  <si>
    <t>浙商证券资管一工商银行一浙商金惠富盈全景1号集合资产管理计划</t>
  </si>
  <si>
    <t>浙商证券资管一工商银行一浙商金惠聚禄18M004号集合资产管理计划</t>
  </si>
  <si>
    <t>浙商证券资管一工商银行一浙商金惠聚禄18M005号集合资产管理计划</t>
  </si>
  <si>
    <t>浙商证券资管一工商银行一浙商金惠聚禄18M006号集合资产管理计划</t>
  </si>
  <si>
    <t>浙商证券资管一工商银行一浙商金惠聚禄18M007号集合资产管理计划</t>
  </si>
  <si>
    <t>浙商证券资管一工商银行一浙商金惠聚禄18M008号集合资产管理计划</t>
  </si>
  <si>
    <t>浙商证券资管一浙商银行一浙商金惠添鑫周开20号集合资产管理计划</t>
  </si>
  <si>
    <t>浙商证券资管一浙商银行一浙商金惠添鑫周开24号集合资产管理计划</t>
  </si>
  <si>
    <t>浙商证券资管一浙江荣晟环保纸业股份有限公司一浙商聚金乐享全景1号单一资产管理计划</t>
  </si>
  <si>
    <t>浙商证券资管一瑞派宠物医院管理股份有限公司一浙商聚金乐享全景2号单一资产管理计划</t>
  </si>
  <si>
    <t>浙商证券资管一邮储银行一浙商金惠享2号14期集合资产管理计划</t>
  </si>
  <si>
    <t>浙商证券资管一邮储银行一浙商金惠享2号3期集合资产管理计划</t>
  </si>
  <si>
    <t>浙商证券资管一邮储银行一浙商金惠享2号4期集合资产管理计划</t>
  </si>
  <si>
    <t>浙商证券资管一邮储银行一浙商金惠享2号6期集合资产管理计划</t>
  </si>
  <si>
    <t>浙商证券资管一邮储银行一浙商金惠享2号7期集合资产管理计划</t>
  </si>
  <si>
    <t>浙商证券资管一邮储银行一浙商金惠享2号8期集合资产管理计划</t>
  </si>
  <si>
    <t>浙商证券资管一邮储银行一浙商金惠享2号9期集合资产管理计划</t>
  </si>
  <si>
    <t>浙商证券资管一邮储银行一浙商金惠鎏享2号5期集合资产管理计划</t>
  </si>
  <si>
    <t>申万宏源证券资管一招商银行一申万宏源宏盈稳健2号集合资产管理计划</t>
  </si>
  <si>
    <t>申万宏源证券资管一招商银行一申万宏源宏盈稳健3号集合资产管理计划</t>
  </si>
  <si>
    <t>财通证券资管一建设银行一财通证券资管稳健2号集合资产管理计划</t>
  </si>
  <si>
    <t>上海国泰海通证券资产管理有限公司(代表"国泰君安君享瑞投FOF1号集合资产管理计划")</t>
  </si>
  <si>
    <t>上海国泰海通证券资产管理有限公司(代表"国泰君安君得3603FOF单一资产管理计划")</t>
  </si>
  <si>
    <t>上海国泰海通证券资产管理有限公司(代表"国泰君安君得睿享泰益单一资产管理计划")</t>
  </si>
  <si>
    <t>上海国泰海通证券资产管理有限公司(代表"国泰海通君享睿享5号集合资产管理计划")</t>
  </si>
  <si>
    <t>上海国泰海通证券资产管理有限公司(代表"国泰海通君享龙鑫2号FOF集合资产管理计划")</t>
  </si>
  <si>
    <t>上海国泰海通证券资产管理有限公司(代表"国泰海通君得睿享17号单一资产管理计划")</t>
  </si>
  <si>
    <t>上海国泰海通证券资产管理有限公司(代表"国泰海通君得睿享21号单一资产管理计划")</t>
  </si>
  <si>
    <t>上海国泰海通证券资产管理有限公司(代表"国泰海通君得睿享3号单一资产管理计划")</t>
  </si>
  <si>
    <t>上海国泰海通证券资产管理有限公司(代表"国泰海通君得睿享FOF18号单一资产管理计划")</t>
  </si>
  <si>
    <t>上海国泰海通证券资产管理有限公司(代表"国泰海通君得睿享FOF23号单一资产管理计划")</t>
  </si>
  <si>
    <t>上海国泰海通证券资产管理有限公司(代表"国泰海通私客睿享FOF1号单一资产管理计划")</t>
  </si>
  <si>
    <t>上海国泰海通证券资产管理有限公司(代表"国泰海通私客睿享FOF2号单一资产管理计划")</t>
  </si>
  <si>
    <t>上海睿投私募基金管理有限公司(代表"睿投海纳5号REITs策略私募证券投资基金")</t>
  </si>
  <si>
    <t>东方财富证券股份有限公司(代表"东方财富证券昇财1号集合资产管理计划")</t>
  </si>
  <si>
    <t>东方财富证券股份有限公司(代表"东方财富证券添新1号集合资产管理计划")</t>
  </si>
  <si>
    <t>中国保险投资基金(有限合伙)</t>
  </si>
  <si>
    <t>中诚信托有限责任公司(代表"中诚信托-汇萃5号集合资金信托计划")</t>
  </si>
  <si>
    <t>云南国际信托有限公司(代表"云南信托-兴睿2号集合资金信托计划")</t>
  </si>
  <si>
    <t>华泰证券(上海)资产管理有限公司(代表"华泰瑞享1号集合资产管理计划")</t>
  </si>
  <si>
    <t>华泰证券(上海)资产管理有限公司</t>
  </si>
  <si>
    <t>华润深国投信托有限公司(代表"华润信托·招银理财瑞驰11号集合资金信托计划")</t>
  </si>
  <si>
    <t>嘉实基金管理有限公司(代表"嘉实基金基础设施优选1号单一资产管理计划")</t>
  </si>
  <si>
    <t>嘉实基金管理有限公司(代表"嘉实基金基础设施稳健1号单一资产管理计划")</t>
  </si>
  <si>
    <t>国寿不动产投资管理有限公司</t>
  </si>
  <si>
    <t>国寿财富管理有限公司(代表"国寿财富稳睿6号单一资产管理计划")</t>
  </si>
  <si>
    <t>国寿资本投资有限公司</t>
  </si>
  <si>
    <t>国金基金管理有限公司(代表"国金基金-成都产业资本一号单一资产管理计划")</t>
  </si>
  <si>
    <t>国金基金管理有限公司(代表"国金基金-星火睿驰FOF1号单一资产管理计划")</t>
  </si>
  <si>
    <t>天津弘毅基础设施投资基金合伙企业(有限合伙)</t>
  </si>
  <si>
    <t>天津高和股权投资基金管理有限公司(代表"高和启航壹号私募股权投资基金")</t>
  </si>
  <si>
    <t>天津高和股权投资基金管理有限公司</t>
  </si>
  <si>
    <t>建信资本管理有限责任公司(代表"建信资本锦绣8号集合资产管理计划")</t>
  </si>
  <si>
    <t>扬州合凡叁号股权投资合伙企业(有限合伙)</t>
  </si>
  <si>
    <t>招商财富资产管理有限公司(代表"招商财富-启航10号单一资产管理计划")</t>
  </si>
  <si>
    <t>汕头市潮鸿基投资有限公司</t>
  </si>
  <si>
    <t>江苏省国际信托有限责任公司(代表"江苏信托·基础设施6号集合资金信托计划")</t>
  </si>
  <si>
    <t>砂之船(西安)购物广场有限公司</t>
  </si>
  <si>
    <t>长安国际信托股份有限公司(代表"长安信托·深创投红土资管REITs多策略2号集合资金信托计划")</t>
  </si>
  <si>
    <t>长安国际信托股份有限公司</t>
  </si>
  <si>
    <t>长沙信和誉美股权投资合伙企业(有限合伙)</t>
  </si>
  <si>
    <t>陕西金融控股集团有限公司</t>
  </si>
  <si>
    <t>一资产管理计划西南证券股份有限公司</t>
  </si>
  <si>
    <t>上海国际信托有限公司一上海信托红宝石"安心稳健系列信睿尊享投资资金信托计划（上信一H一8002）</t>
  </si>
  <si>
    <t>上海睿量私募基金管理有限公司一睿量电子15号私募证券投资基金</t>
  </si>
  <si>
    <t>上海睿量私募基金管理有限公司</t>
  </si>
  <si>
    <t>上海睿量私募基金管理有限公司一睿量电子22号私募证券投资基金</t>
  </si>
  <si>
    <t>上海睿量私募基金管理有限公司一睿量电子2号私募证券投资基金</t>
  </si>
  <si>
    <t>上海睿量私募基金管理有限公司一睿量电子5号私募证券投资基金</t>
  </si>
  <si>
    <t>上海睿量私募基金管理有限公司一睿量电子9号私募证券投资基金</t>
  </si>
  <si>
    <t>上海睿量私募基金管理有限公司一睿量红星2号私募证券投资基金</t>
  </si>
  <si>
    <t>上海睿量私募基金管理有限公司一睿量量子15号私募证券投资基金</t>
  </si>
  <si>
    <t>上海金锝私募基金管理有限公司一金尧典28号私募证券投资基金</t>
  </si>
  <si>
    <t>上海金锝私募基金管理有限公司一金锝尧典29号私募证券投资基金</t>
  </si>
  <si>
    <t>东方证券资管一中信建投证券一东方红同顺臻鑫3号集合资产管理计划</t>
  </si>
  <si>
    <t>东证融汇证券资管一兴业银行一东证融汇汇赢18号集合资产管理计划</t>
  </si>
  <si>
    <t>东证融汇证券资管一兴业银行一东证融汇汇赢19号集合资产管理计划</t>
  </si>
  <si>
    <t>东证融汇证券资管一兴业银行一东证融汇汇赢9号集合资产管理计划</t>
  </si>
  <si>
    <t>东证融汇证券资管一宁波银行一东证融汇汇享101号集合资产管理计划</t>
  </si>
  <si>
    <t>东证融汇证券资管一工商银行一东证融汇鑫衡1号集合资产管理计划</t>
  </si>
  <si>
    <t>东证融汇证券资管一工商银行一东证融汇鑫衡2号集合资产管理计划</t>
  </si>
  <si>
    <t>东证融汇证券资管一浙商银行一东证融汇汇享悦36M001号集合资产管理计划</t>
  </si>
  <si>
    <t>东证融汇证券资管一浙商银行一东证融汇汇享悦36M005号集合资产管理计划</t>
  </si>
  <si>
    <t>中信保诚基金一中信信托有限责任公司－中信保诚基金信和1号单一资产管理计划</t>
  </si>
  <si>
    <t>中信信托有限责任公司一中信信托信雅中证1号证券投资集合资金信托计</t>
  </si>
  <si>
    <t>中信信托有限责任公司一中信信托信雅中证2号证券投资集合资金信托计</t>
  </si>
  <si>
    <t>中信信托有限责任公司一中信信托双赢增利1号证券投资集合资金信托计</t>
  </si>
  <si>
    <t>中信信托有限责任公司一中信信托申聚1号证券投资集合资金信托计划</t>
  </si>
  <si>
    <t>中信建投基金-中信银行-中信建投基金-稳益1号集合资产管理计划</t>
  </si>
  <si>
    <t>中信证券一中信银行一中信证券鸿鑫1号集合资产管理计划</t>
  </si>
  <si>
    <t>中信证券资管一中航证券有限公司一中信证券资管中航睿驰1号单一资产管理计划</t>
  </si>
  <si>
    <t>中信证券资管一中航证券有限公司一中信证券资管中航睿驰2号单一资产管理计划</t>
  </si>
  <si>
    <t>中信证券资管一喻靖媚一中信证券资管蓉信睿驰1号单一资产管理计划</t>
  </si>
  <si>
    <t>中信证券资管一广东省季华新型显示装备有限公司一中信证券资管季华睿驰1号单一资产管理计划</t>
  </si>
  <si>
    <t>中信证券资管一邮储银行一中信证券资管稳利睿盛1号集合资产管理计划</t>
  </si>
  <si>
    <t>中国对外经济贸易信托有限公司-外贸信托-晋元TOT集合资金信托计划</t>
  </si>
  <si>
    <t>中国对外经济贸易信托有限公司一外贸信托-恒信盈固收2号证券投资集合资金信托计划</t>
  </si>
  <si>
    <t>中国对外经济贸易信托有限公司一外贸信托-恒信盈固收5号证券投资集合资金信托计划</t>
  </si>
  <si>
    <t>中国对外经济贸易信托有限公司一外贸信托一恒信盈固收14号证券投资集合资金信托计划</t>
  </si>
  <si>
    <t>中粮信托有限责任公司一中粮信托·丰泰31号集合资金信托计划</t>
  </si>
  <si>
    <t>中联前源不动产基金管理有限公司-中联-驰盈壹号私募股权投资基金</t>
  </si>
  <si>
    <t>中诚信托有限责任公司一中诚信托一嘉信配置21号集合资金信托计划</t>
  </si>
  <si>
    <t>中诚信托有限责任公司一中诚信托一明珠76号集合资金信托计划</t>
  </si>
  <si>
    <t>中诚信托有限责任公司一中诚信托一汇赢55号集合资金信托计划</t>
  </si>
  <si>
    <t>中诚信托有限责任公司一中诚信托一汇赢70号集合资金信托计划</t>
  </si>
  <si>
    <t>中金公司一中信信托有限责任公司一中金新贝信利10号单一资产管理计划</t>
  </si>
  <si>
    <t>中金公司一中信信托有限责任公司一中金新贝信利11号单一资产管理计划</t>
  </si>
  <si>
    <t>中金公司一中信信托有限责任公司一中金新贝信利12号单一资产管理计划</t>
  </si>
  <si>
    <t>中金公司一中信信托有限责任公司一中金新贝信利13号单一资产管理计划</t>
  </si>
  <si>
    <t>中金公司一中信信托有限责任公司一中金新贝信利14号单一资产管理计划</t>
  </si>
  <si>
    <t>中金公司一中信信托有限责任公司一中金新贝信利15号单一资产管理计划</t>
  </si>
  <si>
    <t>中金公司一中信信托有限责任公司一中金新贝信利16号单一资产管理计划</t>
  </si>
  <si>
    <t>中金公司一中信信托有限责任公司一中金新贝信利17号单一资产管理计划</t>
  </si>
  <si>
    <t>中金公司一中信信托有限责任公司一中金新贝信利18号单一资产管理计划</t>
  </si>
  <si>
    <t>中金公司一中信信托有限责任公司一中金新贝信利19号单一资产管理计划</t>
  </si>
  <si>
    <t>中金公司一中信信托有限责任公司一中金新贝信利1号单一资产管理计划</t>
  </si>
  <si>
    <t>中金公司一中信信托有限责任公司一中金新贝信利20号单一资产管理计划</t>
  </si>
  <si>
    <t>中金公司一中信信托有限责任公司一中金新贝信利2号单一资产管理计划</t>
  </si>
  <si>
    <t>中金公司一中信信托有限责任公司一中金新贝信利3号单一资产管理计划</t>
  </si>
  <si>
    <t>中金公司一中信信托有限责任公司一中金新贝信利4号单一资产管理计划</t>
  </si>
  <si>
    <t>中金公司一中信信托有限责任公司一中金新贝信利5号单一资产管理计划</t>
  </si>
  <si>
    <t>中金公司一中信信托有限责任公司一中金新贝信利6号单一资产管理计划</t>
  </si>
  <si>
    <t>中金公司一中信信托有限责任公司一中金新贝信利7号单一资产管理计划</t>
  </si>
  <si>
    <t>中金公司一中信信托有限责任公司一中金新贝信利8号单一资产管理计划</t>
  </si>
  <si>
    <t>中金公司一中信信托有限责任公司一中金新贝信利9号单一资产管理计划</t>
  </si>
  <si>
    <t>中金公司一中信建投证券一中金鼎益2号集合资产管理计划</t>
  </si>
  <si>
    <t>中金公司一中信银行一中金瑞和1号集合资产管理计划</t>
  </si>
  <si>
    <t>中金公司一北京银行一中金京泽6号集合资产管理计划</t>
  </si>
  <si>
    <t>中金公司一华夏理财合享固定收益类理财产品6号一中金新贝华赢10号单一资产管理计划</t>
  </si>
  <si>
    <t>中金公司一华夏理财合享固定收益类理财产品6号一中金新贝华赢11号单一资产管理计划</t>
  </si>
  <si>
    <t>中金公司一华夏理财合享固定收益类理财产品6号一中金新贝华赢12号单一资产管理计划</t>
  </si>
  <si>
    <t>中金公司一华夏理财合享固定收益类理财产品6号一中金新贝华赢13号单一资产管理计划</t>
  </si>
  <si>
    <t>中金公司一华夏理财合享固定收益类理财产品6号一中金新贝华赢15号单一资产管理计划</t>
  </si>
  <si>
    <t>中金公司一华夏理财合享固定收益类理财产品6号一中金新贝华赢1号单一资产管理计划</t>
  </si>
  <si>
    <t>中金公司一华夏理财合享固定收益类理财产品6号一中金新贝华赢2号单一资产管理计划</t>
  </si>
  <si>
    <t>中金公司一华夏理财合享固定收益类理财产品6号一中金新贝华赢3号单一资产管理计划</t>
  </si>
  <si>
    <t>中金公司一华夏理财合享固定收益类理财产品6号一中金新贝华赢4号单一资产管理计划</t>
  </si>
  <si>
    <t>中金公司一华夏理财合享固定收益类理财产品6号一中金新贝华赢5号单一资产管理计划</t>
  </si>
  <si>
    <t>中金公司一华夏理财合享固定收益类理财产品6号一中金新贝华赢6号单一资产管理计划</t>
  </si>
  <si>
    <t>中金公司一华夏理财合享固定收益类理财产品6号一中金新贝华赢8号单一资产管理计划</t>
  </si>
  <si>
    <t>中金公司一华夏理财合享固定收益类理财产品6号一中金新贝华赢9号单一资产管理计划</t>
  </si>
  <si>
    <t>中金公司一华夏理财合享固定收益类理财产品6号－中金新贝华赢14号单一资产管理计划</t>
  </si>
  <si>
    <t>中金公司一华夏理财合享固定收益类理财产品6号－中金新贝华赢7号单一资产管理计划</t>
  </si>
  <si>
    <t>中金公司一华夏银行－中金鸿牛1号集合资产管理计划</t>
  </si>
  <si>
    <t>中金公司一招商银行一中金多资产固收10号集合资产管理计划</t>
  </si>
  <si>
    <t>中金公司一招商银行一中金量化复兴臻选1号集合资产管理计划</t>
  </si>
  <si>
    <t>中金公司一紫森（厦门）供应链管理有限公司一中金鑫汇双赢2号单一资产管理计划</t>
  </si>
  <si>
    <t>中银国际证券中国银行-中银证券中国红-汇中50号集合资产管理计划</t>
  </si>
  <si>
    <t>云南国际信托有限公司一云南信托一臻盈12号集合资金信托计划</t>
  </si>
  <si>
    <t>信达澳亚基金一招商银行一信澳信享1号集合资产管理计划</t>
  </si>
  <si>
    <t>信达澳亚基金一招商银行一信澳兴意1号集合资产管理计划</t>
  </si>
  <si>
    <t>信达澳亚基金一招商银行一信澳兴意2号集合资产管理计划</t>
  </si>
  <si>
    <t>信达澳亚基金一招商银行一信澳睿盈1号集合资产管理计划</t>
  </si>
  <si>
    <t>信达澳亚基金一招商银行一信澳睿盈2号集合资产管理计划</t>
  </si>
  <si>
    <t>光大证券资管一中国银行一光证资管卓悦66号集合资产管理计划</t>
  </si>
  <si>
    <t>光大证券资管一中国银行一光证资管卓悦69号集合资产管理计划</t>
  </si>
  <si>
    <t>光大证券资管一中国银行一光证资管卓悦77号集合资产管理计划</t>
  </si>
  <si>
    <t>光大证券资管一中国银行一光证资管卓悦78号集合资产管理计划</t>
  </si>
  <si>
    <t>光大证券资管一中国银行一光证资管卓悦79号集合资产管理计划</t>
  </si>
  <si>
    <t>光大证券资管一中国银行一光证资管卓悦94号集合资产管理计划</t>
  </si>
  <si>
    <t>创金合信基金一中国银行一创金合信鼎泰107号集合资产管理计划</t>
  </si>
  <si>
    <t>创金合信基金一中国银行一创金合信鼎泰41号集合资产管理计划</t>
  </si>
  <si>
    <t>创金合信基金一恒丰银行一创金合信恒鑫2号集合资产管理计划</t>
  </si>
  <si>
    <t>华夏基金一邮储银行一华夏基金智盈1号集合资产管理计划</t>
  </si>
  <si>
    <t>华润深国投信托有限公司一华润信托·锐盈2号集合资金信托计划</t>
  </si>
  <si>
    <t>南京证券股份有限公司</t>
  </si>
  <si>
    <t>南方基金一国投证券股份有限公司一南方基金畅盈二号单一资产管理计划</t>
  </si>
  <si>
    <t>厦门国际信托有限公司一厦门信托一中金瑞思宏利1号财富管理服务信托</t>
  </si>
  <si>
    <t>国投期货一上海银行一国投盈途10号集合资产管理计划</t>
  </si>
  <si>
    <t>国投期货一上海银行一国投盈途6号集合资产管理计划</t>
  </si>
  <si>
    <t>国投期货一上海银行一国投盈途7号集合资产管理计划</t>
  </si>
  <si>
    <t>国投期货一上海银行一国投盈途8号集合资产管理计划</t>
  </si>
  <si>
    <t>国投期货一上海银行一国投盈途9号集合资产管理计划</t>
  </si>
  <si>
    <t>国联证券资管一国联信托股份有限公司一国联定新101号单一资产管理计</t>
  </si>
  <si>
    <t>国联证券资管一国联信托股份有限公司一国联定新103号单一资产管理计</t>
  </si>
  <si>
    <t>国联证券资管一国联信托股份有限公司一国联定新107号单一资产管理计</t>
  </si>
  <si>
    <t>国联证券资管一江苏贵电子科技有限公司一国联定新臻享123号单一资产管理计划</t>
  </si>
  <si>
    <t>国联证券资管一江苏银行一国联联盛11号集合资产管理计划</t>
  </si>
  <si>
    <t>国联证券资管一江苏银行一国联联盛12号集合资产管理计划</t>
  </si>
  <si>
    <t>国金证券资管一中信银行一国金资管金创信新1号集合资产管理计划</t>
  </si>
  <si>
    <t>国金证券资管一中国银行一国金资管信远优势7号集合资产管理计划</t>
  </si>
  <si>
    <t>国金证券资管一宁波银行一国金资管金创鑫11号集合资产管理计划</t>
  </si>
  <si>
    <t>国金证券资管一宁波银行一国金资管金创鑫12号集合资产管理计划</t>
  </si>
  <si>
    <t>天）按日开放固定收益类净值型人民币理财产品-中银证券安鑫稳健4号单</t>
  </si>
  <si>
    <t>宁波宁聚资产管理中心（有限合伙）-宁聚映山红3号私募证券投资基金</t>
  </si>
  <si>
    <t>宁波宁聚资产管理中心（有限合伙）-宁聚量化优选证券投资基金</t>
  </si>
  <si>
    <t>宁波梅山保税港区凌顶投资管理有限公司一凌顶兴星一号私募证券投资基</t>
  </si>
  <si>
    <t>宁波梅山保税港区凌顶投资管理有限公司一凌顶兴星二号私募证券投资基</t>
  </si>
  <si>
    <t>宁银理财有限责任公司-宁银理财宁享转债增强固定收益类理财2号（最短持有100天）</t>
  </si>
  <si>
    <t>宁银理财有限责任公司-宁银理财宁欣固定收益类3个月定期开放式理财</t>
  </si>
  <si>
    <t>宁银理财有限责任公司-宁银理财宁欣固定收益类半年定期开放式理财6号</t>
  </si>
  <si>
    <t>宁银理财有限责任公司-宁银理财宁欣固定收益类半年定期开放式理财8号（周年庆专属）</t>
  </si>
  <si>
    <t>宁银理财有限责任公司-宁银理财宁欣固定收益类封闭式理财3147号</t>
  </si>
  <si>
    <t>宁银理财有限责任公司-宁银理财宁欣固定收益类封闭式理财3165号</t>
  </si>
  <si>
    <t>宁银理财有限责任公司-宁银理财宁欣固定收益类封闭式理财3192号</t>
  </si>
  <si>
    <t>宁银理财有限责任公司-宁银理财宁欣固定收益类封闭式理财3193号</t>
  </si>
  <si>
    <t>宁银理财有限责任公司-宁银理财宁欣固定收益类封闭式理财3198号</t>
  </si>
  <si>
    <t>宁银理财有限责任公司-宁银理财宁欣固定收益类封闭式理财3199号</t>
  </si>
  <si>
    <t>宁银理财有限责任公司-宁银理财宁欣固定收益类封闭式理财3203号</t>
  </si>
  <si>
    <t>宁银理财有限责任公司-宁银理财宁欣固定收益类日开产品2号（最短持有100天）中银国际证券-"安鑫”（最低持有</t>
  </si>
  <si>
    <t>宁银理财有限责任公司-宁银理财宁欣固定收益类日开理财1号（最短持有200天）</t>
  </si>
  <si>
    <t>宁银理财有限责任公司-宁银理财宁欣固定收益类日申季赎理财1号</t>
  </si>
  <si>
    <t>宁银理财有限责任公司-宁银理财宁欣固定收益类日申季赎理财5号</t>
  </si>
  <si>
    <t>宁银理财有限责任公司-宁银理财宁欣固定收益类日申季赎理财8号</t>
  </si>
  <si>
    <t>宁银理财有限责任公司-宁银理财宁欣固定收益类日申季赎理财9号</t>
  </si>
  <si>
    <t>宁银理财有限责任公司一宁银理财宁享安和固定收益类日开理财3号（最短持有60天）</t>
  </si>
  <si>
    <t>宁银理财有限责任公司一宁银理财晶耀固定收益类一年定期开放式理财</t>
  </si>
  <si>
    <t>工银瑞信投资一工商银行一工银瑞投一工银理财四海甄选集合资产管理计</t>
  </si>
  <si>
    <t>广发证券资管一佛山海富盛达资产投资有限公司一广发资管瑞鑫利57号单一资产管理计划</t>
  </si>
  <si>
    <t>广发证券资管一工商银行一广发资管双债增利103号集合资产管理计划</t>
  </si>
  <si>
    <t>广发证券资管一张家港中美超薄带科技有限公司一广发资管瑞鑫利58号单一资产管理计划</t>
  </si>
  <si>
    <t>广发证券资管一郑瑞君一广发资管瑞鑫利66号单一资产管理计划</t>
  </si>
  <si>
    <t>广发证券资管一长沙银行一广发资管长聚1号集合资产管理计划</t>
  </si>
  <si>
    <t>建信基金一建信理财“嘉鑫”"固收类最低持有14天产品一建信基金惠众添添赢12号单一资产管理计划</t>
  </si>
  <si>
    <t>德邦证券资管一东北证券股份有限公司一德邦资管东富1号单一资产管理计划</t>
  </si>
  <si>
    <t>德邦证券资管一信达证券股份有限公司一德邦资管德享1号单一资产管理计划</t>
  </si>
  <si>
    <t>德邦证券资管一兴业银行一德邦资管星瑞周周盈1号集合资产管理计划</t>
  </si>
  <si>
    <t>恒生前海基金一邮储银行一恒生前海周周鑫1号债券集合资产管理计划</t>
  </si>
  <si>
    <t>易方达基金一北京大学教育基金会一易方达基金一北京大学教育基金会1号单一资产管理计划</t>
  </si>
  <si>
    <t>易方达基金一国投证券股份有限公司一易方达基金兴安1号单一资产管理计划</t>
  </si>
  <si>
    <t>江苏省国际信托有限责任公司-江苏信托-恒盈1号集合资金信托计划</t>
  </si>
  <si>
    <t>江苏省国际信托有限责任公司-江苏信托-恒盈2号集合资金信托计划</t>
  </si>
  <si>
    <t>江苏省国际信托有限责任公司-江苏信托-恒盈3号集合资金信托计划</t>
  </si>
  <si>
    <t>江苏省国际信托有限责任公司-江苏信托-恒盈4号集合资金信托计划</t>
  </si>
  <si>
    <t>江苏省国际信托有限责任公司-江苏信托-恒盈5号集合资金信托计划</t>
  </si>
  <si>
    <t>江苏省国际信托有限责任公司一江苏信托·基础设施10号集合资金信托计</t>
  </si>
  <si>
    <t>泰康基金一广发证券一泰康基金睿衡多策略1号集合资产管理计划</t>
  </si>
  <si>
    <t>浙商证券资管一兴业银行一浙商金惠周周购273天滚动持有第1期债券型集合资产管理计划</t>
  </si>
  <si>
    <t>浙商证券资管一兴业银行一浙商金惠周周购273天滚动持有第2期债券型集合资产管理计划</t>
  </si>
  <si>
    <t>浙商证券资管一兴业银行一浙商金惠周周购273天滚动持有第3期债券型集合资产管理计划</t>
  </si>
  <si>
    <t>浙商证券资管一兴业银行一浙商金惠周周购273天滚动持有第4期债券型集合资产管理计划</t>
  </si>
  <si>
    <t>浙商证券资管一兴业银行一浙商金惠周周购273天滚动持有第5期债券型集合资产管理计划</t>
  </si>
  <si>
    <t>浙商证券资管一招商银行一浙商金惠周周盈货币增强1号集合资产管理计</t>
  </si>
  <si>
    <t>浙商证券资管一浙商银行一浙商金惠荣享1号集合资产管理计划</t>
  </si>
  <si>
    <t>深圳汇迪私募证券基金管理有限公司-汇迪景明1号私募证券投资基金</t>
  </si>
  <si>
    <t>申万宏源证券资管一中信银行一申万宏源宏远信新1号集合资产管理计划</t>
  </si>
  <si>
    <t>申万宏源证券资管一中国银行一申万宏源信远绝对优势10号集合资产管理计划</t>
  </si>
  <si>
    <t>申万宏源证券资管一中国银行一申万宏源信远绝对优势8号集合资产管理计划</t>
  </si>
  <si>
    <t>申万宏源证券资管一北京银行一申万宏源宏盈稳健102号集合资产管理计</t>
  </si>
  <si>
    <t>申港证券一兴业银行一申港证券睿盈19号集合资产管理计划</t>
  </si>
  <si>
    <t>申港证券一宁波银行一申港证券申耀1号集合资产管理计划</t>
  </si>
  <si>
    <t>第一创业证券一刘峰一第一创业基础设施19号FOF单一资产管理计划</t>
  </si>
  <si>
    <t>第一创业证券一山南九牧王商贸有限责任公司一第一创业基础设施17号单一资产管理计划</t>
  </si>
  <si>
    <t>第一创业证券一李建明一第一创业基础设施18号单一资产管理计划</t>
  </si>
  <si>
    <t>第一创业证券一邮储银行一第一创业信壹100号集合资产管理计划</t>
  </si>
  <si>
    <t>诺德基金-华章天地传媒投资控股集团有限公司-诺德基金浦江汇泓90号单一资产管理计划</t>
  </si>
  <si>
    <t>诺德基金-睿量质子1号私募证券投资基金-诺德基金浦江1609号单一资产管理计划</t>
  </si>
  <si>
    <t>赎）开放式净值型人民币理财产品一建信基金惠众添添赢10号单一资产管理计划</t>
  </si>
  <si>
    <t>赎）开放式净值型人民币理财产品一建信基金惠众添添赢1号单一资产管理计划建信基金一建信理财惠众”（日申周</t>
  </si>
  <si>
    <t>中兵资产赤兔1号私募证券投资基金</t>
  </si>
  <si>
    <t>中平赣晟（广东）股权投资合伙企业（有限合伙）</t>
  </si>
  <si>
    <t>中粮信托-腾飞3号集合资金信托计划</t>
  </si>
  <si>
    <t>云南信托-兴睿2号集合资金信托计划</t>
  </si>
  <si>
    <t>佛山市信保裕耀基础设施股权投资合伙企业（有限合伙）</t>
  </si>
  <si>
    <t>信澳中银元启6号集合资产管理计划</t>
  </si>
  <si>
    <t>元康瑞景3号基础设施策略私募证券投资基金</t>
  </si>
  <si>
    <t>华夏基金瑞思1号单一资产管理计划</t>
  </si>
  <si>
    <t>圆信基石（厦门）基础设施不动产股权投资基金合伙企业（有限合伙）</t>
  </si>
  <si>
    <t>广州城发合凡股权投资合伙企业（有限合伙）</t>
  </si>
  <si>
    <t>建信资本诚鑫配置2号集合资产管理计划</t>
  </si>
  <si>
    <t>招商基金长盈基础资产1号FOF单一资产管理计划</t>
  </si>
  <si>
    <t>招商财富-启航6号单一资产管理计划</t>
  </si>
  <si>
    <t>招商财富-启航8号单一资产管理计划</t>
  </si>
  <si>
    <t>易方达基金瑞方1号单一资产管理计划</t>
  </si>
  <si>
    <t>江苏信托·基础设施6号集合资金信托计划</t>
  </si>
  <si>
    <t>源峰裕利2号私募证券投资基金</t>
  </si>
  <si>
    <t>西藏信托-晟元3号集合资金信托计划</t>
  </si>
  <si>
    <t>西藏信托-晟元6号集合资金信托计划</t>
  </si>
  <si>
    <t>诺德基金子牛21号单一资产管理计划</t>
  </si>
  <si>
    <t>长安信托·深创投红土资管REITs多策略2号集合资金信托计划</t>
  </si>
  <si>
    <t>青岛国信海天中心建设有限公司</t>
  </si>
  <si>
    <t>一盛泉恒元量化套利专项46号私募证券投资基金</t>
  </si>
  <si>
    <t>万联证券资管一建信理财“嘉鑫”固收类最低持有14天产品一万联资管稳健152号单一</t>
  </si>
  <si>
    <t>上海国际信托有限公司一上海信托“红宝石”安心稳健系列信睿尊享投资资金信托计</t>
  </si>
  <si>
    <t>上海金锝私募基金管理有限公司一金得诚意精心2号证券投资私募基金</t>
  </si>
  <si>
    <t>上海金锝私募基金管理有限公司一金锝诚意精心9号证券投资私募基金</t>
  </si>
  <si>
    <t>东海证券股份有限公司中海信托股份有限公司一中</t>
  </si>
  <si>
    <t>东证融汇证券资管一兴业银行－东证融汇汇诚安赢12号集合资产管理计划</t>
  </si>
  <si>
    <t>中原信托有限公司一中原信托一盈享1号集合资金信托计</t>
  </si>
  <si>
    <t>中国对外经济贸易信托有限公司一外贸信托一信固臻6号集合资金信托计划</t>
  </si>
  <si>
    <t>中国对外经济贸易信托有限公司一外贸信托一信固臻9号集合资金信托计划</t>
  </si>
  <si>
    <t>中国对外经济贸易信托有限公司一外贸信托一信恒双周享1号集合资金信托计划</t>
  </si>
  <si>
    <t>中国对外经济贸易信托有限公司一外贸信托一信悦5号固定收益证券投资集合资金信托计划</t>
  </si>
  <si>
    <t>中国对外经济贸易信托有限公司一外贸信托一信赋1号集合资金信托计划</t>
  </si>
  <si>
    <t>中国对外经济贸易信托有限公司一外贸信托一信赋2号集合资金信托计划</t>
  </si>
  <si>
    <t>中国对外经济贸易信托有限公司一外贸信托一信赋3号集合资金信托计划</t>
  </si>
  <si>
    <t>中国对外经济贸易信托有限公司一外贸信托一信赋4号集合资金信托计划</t>
  </si>
  <si>
    <t>中国对外经济贸易信托有限公司一外贸信托一信赋5号集合资金信托计划</t>
  </si>
  <si>
    <t>中国对外经济贸易信托有限公司一外贸信托一信赋6号集合资金信托计划</t>
  </si>
  <si>
    <t>中粮期货一平安银行一中粮期货信固臻8号集合资产管理计划</t>
  </si>
  <si>
    <t>中银国际证券-中国银行-中银证券中国红-汇中50号集合资产管理计划</t>
  </si>
  <si>
    <t>光大证券资管一中国银行一光证资管卓悦100号集合资产管理计划</t>
  </si>
  <si>
    <t>光大证券资管一中国银行一光证资管卓悦62号集合资产管理计划</t>
  </si>
  <si>
    <t>光大证券资管一中国银行一光证资管卓悦72号集合资产管理计划</t>
  </si>
  <si>
    <t>光大证券资管一中国银行一光证资管卓悦92号集合资产管理计划</t>
  </si>
  <si>
    <t>光大证券资管一中国银行一光证资管卓悦93号集合资产管理计划</t>
  </si>
  <si>
    <t>公司一合晟同晖7号私募证券投资基金</t>
  </si>
  <si>
    <t>公司一外贸信托-恒信盈固收3号证券投资集合资金信托计</t>
  </si>
  <si>
    <t>公司一外贸信托一信悦2号固定收益证券投资集合资金信托计划</t>
  </si>
  <si>
    <t>划（上信一H一8002）渤海证券股份有限公司中国对外经济贸易信托有限</t>
  </si>
  <si>
    <t>划（上信一H一8002）渤海证券股份有限公司</t>
  </si>
  <si>
    <t>创金合信基金一中国银行一创金合信鼎泰52号集合资产</t>
  </si>
  <si>
    <t>华商基金一北京银行一华商基金兴银1号集合资产管理计</t>
  </si>
  <si>
    <t>华商基金一国联信托·财睿1号集合资金信托计划一华商基金睿益1号单一资产管理计</t>
  </si>
  <si>
    <t>华夏基金一邮储银行一华夏基金智盈1号集合资产管理计</t>
  </si>
  <si>
    <t>华宝信托有限责任公司-华宝信托瑞思1号集合资金信托计</t>
  </si>
  <si>
    <t>华泰证券资管一邮储银行一华泰智享1号集合资产管理计</t>
  </si>
  <si>
    <t>华泰证券资管一青岛银行一华泰瑞享1号集合资产管理计</t>
  </si>
  <si>
    <t>华源证券股份有限公司华润元大基金-上海汽车集团</t>
  </si>
  <si>
    <t>华鑫国际信托有限公司一华鑫信托·信益嘉101号集合资</t>
  </si>
  <si>
    <t>南京盛泉恒元投资有限公司-盛泉恒元量化套利专项69号私募证券投资基金</t>
  </si>
  <si>
    <t>南京盛泉恒元投资有限公司盛泉恒元量化套利15号专项私募证券投资基金</t>
  </si>
  <si>
    <t>厦门国际信托有限公司一厦门信托一卓越10号集合资金信托计划</t>
  </si>
  <si>
    <t>厦门国际信托有限公司一厦门信托一卓越11号集合资金信托计划</t>
  </si>
  <si>
    <t>厦门国际信托有限公司一厦门信托一卓越12号集合资金信托计划</t>
  </si>
  <si>
    <t>厦门国际信托有限公司一厦门信托一卓越15号集合资金信托计划</t>
  </si>
  <si>
    <t>厦门国际信托有限公司一厦门信托一卓越16号集合资金信托计划</t>
  </si>
  <si>
    <t>团股份有限公司一申万菱信一申宏稳健1号单一资产管理计划</t>
  </si>
  <si>
    <t>团股份有限公司</t>
  </si>
  <si>
    <t>国泰海通证券资管一交通银行一国泰海通睿丰双玺1号集合资产管理计划</t>
  </si>
  <si>
    <t>国泰海通证券资管一交通银行一国泰海通睿丰安享1号集合资产管理计划</t>
  </si>
  <si>
    <t>国泰海通证券资管一交通银行一国泰海通睿丰臻选1号集合资产管理计划</t>
  </si>
  <si>
    <t>国泰海通证券资管一光大银行一海通资管睿丰汇盈5号集合资产管理计划</t>
  </si>
  <si>
    <t>国泰海通证券资管一光大银行一海通资管睿丰汇盈6号集合资产管理计划</t>
  </si>
  <si>
    <t>国泰海通证券资管一光大银行一海通资管睿丰汇盈7号集合资产管理计划</t>
  </si>
  <si>
    <t>国泰海通证券资管一华泰证券一海通资管通聚睿驰配置100号集合资产管理计划</t>
  </si>
  <si>
    <t>国泰海通证券资管一浙商证券一国泰海通君享睿驰1号集合资产管理计划</t>
  </si>
  <si>
    <t>国海证券股份有限公司申万菱信基金一申万宏源集</t>
  </si>
  <si>
    <t>国融证券股份有限公司财通证券资管一建设银行一</t>
  </si>
  <si>
    <t>国都证券股份有限公司上海合晟资产管理股份有限</t>
  </si>
  <si>
    <t>国金基金一信达证券股份有限公司一国金基金一星火睿驰FOF2号单一资产管理计划</t>
  </si>
  <si>
    <t>国金证券一建设银行一国金证券鑫熠2号集合资产管理计</t>
  </si>
  <si>
    <t>圆信永丰基金一厦门金圆投资集团有限公司一圆信永丰科创添利1号单一资产管理计</t>
  </si>
  <si>
    <t>圆信永丰基金一厦门金圆投资集团有限公司一圆信永丰科创添利2号单一资产管理计</t>
  </si>
  <si>
    <t>宁银理财有限责任公司-宁银理财宁欣固定收益类一年定期开放式理财7号（周年庆专</t>
  </si>
  <si>
    <t>广发证券资管一宁波银行一广发资管创鑫利116号集合资产管理计划</t>
  </si>
  <si>
    <t>广发证券资管一宁波银行一广发资管创鑫利117号集合资产管理计划</t>
  </si>
  <si>
    <t>广发证券资管一广东四通集团股份有限公司一广发资管瑞鑫利59号单一资产管理计</t>
  </si>
  <si>
    <t>广发证券资管一广州中望龙腾软件股份有限公司一广发资管瑞鑫利52号单一资产管理计划</t>
  </si>
  <si>
    <t>广发证券资管一招商银行一广发资管瑞鑫贵享3号集合资</t>
  </si>
  <si>
    <t>建信基金一建信理财“嘉鑫”固收类最低持有14天产品一建信基金惠众添添赢5号单一资产管理计划</t>
  </si>
  <si>
    <t>建信基金一建信理财“惠众”（日申周赎）开放式净值型人民币理财产品一建信基金惠众添添赢1号单一资产管理计</t>
  </si>
  <si>
    <t>建信基金一建信理财“私享”（按周）开放式固定收益类净值型人民币理财产品一建信基金惠众添添赢6号单一资产管理计划</t>
  </si>
  <si>
    <t>建信基金一民生银行一建信基金安享1号集合资产管理计</t>
  </si>
  <si>
    <t>建信基金一浦发银行一建信基金安心宝2号集合资产管理计划</t>
  </si>
  <si>
    <t>建元信托股份有限公司东证融汇证券资管一兴业银</t>
  </si>
  <si>
    <t>德邦证券股份有限公司南京盛泉恒元投资有限公司</t>
  </si>
  <si>
    <t>有180天）按日开放固定收益类净值型人民币理财产品-中银证券安鑫稳健4号单一资产</t>
  </si>
  <si>
    <t>江苏省国际信托有限责任公司-江苏信托盈丰1号集合资金信托计划</t>
  </si>
  <si>
    <t>江苏省国际信托有限责任公司一江苏信托·基础设施9号集合资金信托计划中银国际证券-"安鑫"（最低持</t>
  </si>
  <si>
    <t>海信托一稳健可持续（ESG主题）1号集合资金信托计划</t>
  </si>
  <si>
    <t>深圳汇迪私募证券基金管理有限公司-汇迪盛宏1号私募证券投资基金</t>
  </si>
  <si>
    <t>申万宏源证券资管一招商银行－申万宏源宏盈稳健3号集合资产管理计划</t>
  </si>
  <si>
    <t>申万宏源证券资管一邮储银行一申万宏源宏享安心4号集合资产管理计划</t>
  </si>
  <si>
    <t>申万宏源证券资管一邮储银行一申万宏源宏享安心5号集合资产管理计划</t>
  </si>
  <si>
    <t>申万宏源证券资管一邮储银行一申万宏源宏享安心6号集合资产管理计划</t>
  </si>
  <si>
    <t>申万宏源证券资管一邮储银行－申万宏源宏享安心3号集合资产管理计划</t>
  </si>
  <si>
    <t>申万宏源证券资管一邮储银行－申万宏源宏享安心7号集合资产管理计划</t>
  </si>
  <si>
    <t>申港证券一宁波银行一申港证券优倍1号集合资产管理计</t>
  </si>
  <si>
    <t>申港证券一招商银行一申港证券睿盈8号集合资产管理计</t>
  </si>
  <si>
    <t>申港证券一浙商银行一申港证券优享6号集合资产管理计</t>
  </si>
  <si>
    <t>管理计划建信资本-建设银行-建信资本锦绣8号集合资产管理计划建信基金一建信理财“私享”</t>
  </si>
  <si>
    <t>管理计划建信资本一建设银行一建信资本臻享配置48号集合资产管理计划</t>
  </si>
  <si>
    <t>粤开证券一上海银行一粤开证券恒盈10号集合资产管理计划</t>
  </si>
  <si>
    <t>粤开证券一上海银行一粤开证券恒盈11号集合资产管理计划</t>
  </si>
  <si>
    <t>粤开证券一上海银行一粤开证券恒盈12号集合资产管理计划</t>
  </si>
  <si>
    <t>粤开证券一上海银行一粤开证券恒盈13号集合资产管理计划</t>
  </si>
  <si>
    <t>粤开证券一上海银行一粤开证券恒盈14号集合资产管理计划</t>
  </si>
  <si>
    <t>粤开证券一上海银行一粤开证券恒盈15号集合资产管理计划</t>
  </si>
  <si>
    <t>粤开证券一上海银行一粤开证券恒盈1号集合资产管理计</t>
  </si>
  <si>
    <t>粤开证券一上海银行一粤开证券恒盈4号集合资产管理计</t>
  </si>
  <si>
    <t>粤开证券一上海银行一粤开证券恒盈5号集合资产管理计</t>
  </si>
  <si>
    <t>粤开证券一上海银行一粤开证券恒盈6号集合资产管理计</t>
  </si>
  <si>
    <t>粤开证券一上海银行一粤开证券恒盈7号集合资产管理计</t>
  </si>
  <si>
    <t>粤开证券一上海银行一粤开证券恒盈8号集合资产管理计</t>
  </si>
  <si>
    <t>粤开证券一上海银行一粤开证券恒盈9号集合资产管理计</t>
  </si>
  <si>
    <t>行一东证融汇汇诚安赢11号集合资产管理计划</t>
  </si>
  <si>
    <t>财达证券股份有限公司中国对外经济贸易信托有限</t>
  </si>
  <si>
    <t>财通证券资管一兴业银行一财通证券资管聚利6号集合资产管理计划</t>
  </si>
  <si>
    <t>财通证券资管稳健5号集合资产管理计划</t>
  </si>
  <si>
    <t>资产管理计划红塔证券股份有限公司宁银理财有限责任公司一宁</t>
  </si>
  <si>
    <t>资产管理计划红塔证券股份有限公司</t>
  </si>
  <si>
    <t>金信托计划华鑫国际信托有限公司-华鑫信托·华盈17号（混合配置）集合资金信托计划</t>
  </si>
  <si>
    <t>金信托计划华鑫国际信托有限公司</t>
  </si>
  <si>
    <t>金控管理有限公司-华润元大基金臻泓单一资产管理计划</t>
  </si>
  <si>
    <t>金控管理有限公司</t>
  </si>
  <si>
    <t>银理财晶耀固定收益类一年定期开放式理财2号（周年庆专属）</t>
  </si>
  <si>
    <t>首创证券股份有限公司建信基金一建信理财“惠众”</t>
  </si>
  <si>
    <t>（按周）开放式固定收益类净值型人民币理财产品一建信基金惠众添添赢11号单一资产管理计划</t>
  </si>
  <si>
    <t>（日申周赎）开放式净值型人民币理财产品一建信基金惠众添添赢10号单一资产管理计划</t>
  </si>
  <si>
    <t>上海国际信托有限公司(代表“上海信托“红宝石”安心稳健系列信睿尊享投资资金信托计划(上信-H-8002)”)</t>
  </si>
  <si>
    <t>上海国际信托有限公司(代表“上海信托“红宝石”安心稳健系列投资资金信托基金(上信-H-8001)”)</t>
  </si>
  <si>
    <t>云南云投资本运营有限公司</t>
  </si>
  <si>
    <t>保利发展控股集团股份有限公司</t>
  </si>
  <si>
    <t>广州市城发投资基金管理有限公司</t>
  </si>
  <si>
    <t>招商基金管理有限公司(代表“招商基金平安基础资产1号FOF单一资产管理计划”)</t>
  </si>
  <si>
    <t>海天塑机集团有限公司</t>
  </si>
  <si>
    <t>福州市金投金资二号股权投资合伙企业(有限合伙)</t>
  </si>
  <si>
    <t>紫金信托有限责任公司</t>
  </si>
  <si>
    <t>西部信托有限公司(代“西部信托·永宁30号债券投资集合资金信托计划”)</t>
  </si>
  <si>
    <t>陕西省国际信托股份有限公司(代表“陕国投·合聚2601007号REIT投资财富管理信托”)</t>
  </si>
  <si>
    <t>上海合晟资产管理股份有限公司-合晟同晖7号私募证券投资基金</t>
  </si>
  <si>
    <t>上海合晟资产管理股份有限公司-合晟恒嘉基石2号私募证券投资基金</t>
  </si>
  <si>
    <t>中国对外经济贸易信托有限公司-外贸信托-恒信盈固收3号证券投资集合资金信托计划</t>
  </si>
  <si>
    <t>中国对外经济贸易信托有限公司-外贸信托-粤湾11号集合资金信托计划</t>
  </si>
  <si>
    <t>中国对外经济贸易信托有限公司-外贸信托-财富多盈1号集合资金信托计划</t>
  </si>
  <si>
    <t>创金合信基金管理有限公司-创金合信创力22号集合资产管理计划</t>
  </si>
  <si>
    <t>基金份额持有人大会。在符合相关法律法规和基金上市条件的前提下，本基金可申请在上海证券交易所（以下简称“上交所”）上市交易并开通基金通平台转让业务。在确定上市交易的时间后，基金管理人应依据法律法规在规定媒介上刊登基金份额上市交易公告书。本基金公众投资者认购的基金份额无流通限制及锁定期安排，自基金份额在参与上交所场内交易；使用场外基金账户认购的基金份额持有人在办理跨系统转托管业务将基金份额转托管至场内</t>
  </si>
  <si>
    <t>上海前滩国际商务区投资(集团)有限公司</t>
  </si>
  <si>
    <t>上海陆家嘴金融贸易区开发股份有限公司</t>
  </si>
  <si>
    <t>中信信托蓁禾2号集合资金信托计划</t>
  </si>
  <si>
    <t>华安资产云投1号单一资产管理计划</t>
  </si>
  <si>
    <t>华安未来资产管理(上海)有限公司</t>
  </si>
  <si>
    <t>国泰海通君得睿享21号单一资产管理计划</t>
  </si>
  <si>
    <t>建元启隆甄选8号集合资金信托计划</t>
  </si>
  <si>
    <t>泉州交通发展产业投资合伙企业(有限合伙)</t>
  </si>
  <si>
    <t>浙江出版集团投资有限公司</t>
  </si>
  <si>
    <t>西藏瑞华商业管理有限公司</t>
  </si>
  <si>
    <t>诺德基金浦江520号单一资产管理计划</t>
  </si>
  <si>
    <t>长江资管安盈6号单一资产管理计划</t>
  </si>
  <si>
    <t>长江证券(上海)资产管理有限公司</t>
  </si>
  <si>
    <t>长江资管臻享1号集合资产管理计划</t>
  </si>
  <si>
    <t>长江资管臻享2号集合资产管理计划</t>
  </si>
  <si>
    <t>鼎一峰湖晨哲私募证券投资基金</t>
  </si>
  <si>
    <t>(元/份）</t>
  </si>
  <si>
    <t>机构名称资产管理计划国金证券资产管国金证券资管一上海农商行理有限公司</t>
  </si>
  <si>
    <t>上海国际信托有上海国际信托有限公司限公司</t>
  </si>
  <si>
    <t>上海国际信托有限公司一上上海国际信托有海信托“红宝石”安心稳健系限公司列信睿尊享投资资金信托计划（上信一H一8002）</t>
  </si>
  <si>
    <t>东方证券股份有东方证券股份有限公司限公司</t>
  </si>
  <si>
    <t>中国对外经济贸易信托有限中国对外经济贸公司一外贸信托一稳盈淳享易信托有限公司99号集合资金信托计划</t>
  </si>
  <si>
    <t>中国银河证券股中国银河证券股份有限公司份有限公司</t>
  </si>
  <si>
    <t>中泰证券股份有中泰证券股份有限公司限公司</t>
  </si>
  <si>
    <t>华润深国投信托有限公司-华华润深国投信托润信托·博越5号集合资金信有限公司托计划</t>
  </si>
  <si>
    <t>国联证券资管一兴银理财富利兴合民十八个月定期开国联证券资产管放3号混合类理财产品一民理有限公司生证券核心精选12号单一资产管理计划</t>
  </si>
  <si>
    <t>国金证券资管一建设银行一国金证券资产管国金资管鑫熠5号集合资产理有限公司管理计划</t>
  </si>
  <si>
    <t>宁波梅山保税港宁波梅山保税港区凌顶投资区凌顶投资管理管理有限公司一凌顶兴星一有限公司号私募证券投资基金</t>
  </si>
  <si>
    <t>宁波梅山保税港宁波梅山保税港区凌顶投资区凌顶投资管理管理有限公司</t>
  </si>
  <si>
    <t>宁波梅山保税港宁波梅山保税港区凌顶投资区凌顶投资管理管理有限公司一凌顶泰山六有限公司号私募证券投资基金</t>
  </si>
  <si>
    <t>工银瑞信投资一工商银行一工银瑞信投资管工银瑞投一工银理财四海甄理有限公司选集合资产管理计划</t>
  </si>
  <si>
    <t>方正证券股份有方正证券股份有限公司限公司</t>
  </si>
  <si>
    <t>江苏省国际信托有限责任公江苏省国际信托司一江苏信托·工银理财基础有限责任公司设施4号集合资金信托计划</t>
  </si>
  <si>
    <t>申万宏源证券资管一上海农申万宏源证券资商行－申万宏源稳臻1号集产管理有限公司合资产管理计划</t>
  </si>
  <si>
    <t>诺德基金-兴业银行-诺德基诺德基金管理有金浦江汇泓82号集合资产管限公司理计划</t>
  </si>
  <si>
    <t>诺德基金-兴业银行-诺德基诺德基金管理有金浦江汇泓83号集合资产管限公司理计划</t>
  </si>
  <si>
    <t>诺德基金-兴业银行-诺德基诺德基金管理有金浦江汇泓84号集合资产管限公司理计划</t>
  </si>
  <si>
    <t>鑫资管一宁波银行一鑫沅鑫沅资产管理有资产鑫梅花514号集合资产限公司管理计划</t>
  </si>
  <si>
    <t>（元/份）</t>
  </si>
  <si>
    <t>上海上报资产管理有限公司</t>
  </si>
  <si>
    <t>上海信托“红宝石”安心稳健系列投资资金信托基金(上信-H-8001)</t>
  </si>
  <si>
    <t>上海锦江资产管理有限公司</t>
  </si>
  <si>
    <t>中原信托-恒通295号-财富管理服务信托</t>
  </si>
  <si>
    <t>中航基金启蛰阳和2号单一资产管理计划</t>
  </si>
  <si>
    <t>信澳中盈5号集合资产管理计划</t>
  </si>
  <si>
    <t>信澳创益1号单一资产管理计划</t>
  </si>
  <si>
    <t>兴业信托·新兴转2号可转债投资集合资金信托计划</t>
  </si>
  <si>
    <t>华安资产中兵财富1号单一资产管理计划</t>
  </si>
  <si>
    <t>君宜共泰私募证券投资基金</t>
  </si>
  <si>
    <t>嘉实基金基础设施稳健1号单一资产管理计划</t>
  </si>
  <si>
    <t>国泰海通君享睿享5号集合资产管理计划</t>
  </si>
  <si>
    <t>上海国际信托有限公司国联证券资管一兴银理财</t>
  </si>
  <si>
    <t>上海爱建信托有限责任公司-汇裕系列（稳健型）集合资金信托计划</t>
  </si>
  <si>
    <t>华润深国投信托有限公司-华润信托·博越20号集合资金信托计划</t>
  </si>
  <si>
    <t>富利兴合民沣十八个月定期开放3号混合类理财产品一民生证券核心精选12号单一资产管理计划</t>
  </si>
  <si>
    <t>持有人名称</t>
  </si>
  <si>
    <t>持有份额</t>
  </si>
  <si>
    <t>持有比例</t>
  </si>
  <si>
    <t>比例较上期变动</t>
  </si>
  <si>
    <t>是否流通</t>
  </si>
  <si>
    <t>持有人类型</t>
  </si>
  <si>
    <t>中报</t>
  </si>
  <si>
    <t>-</t>
  </si>
  <si>
    <t>非流通</t>
  </si>
  <si>
    <t>中国人寿保险股份有限公司－寿险传统公募REITs产品国寿投</t>
  </si>
  <si>
    <t>陕西省国际信托股份有限公司－陕国投·金玉93号证券投资集合资金信托计划</t>
  </si>
  <si>
    <t>广东粤财信托有限公司－粤财信托·鹏雅10号集合资金信托计划</t>
  </si>
  <si>
    <t>流通</t>
  </si>
  <si>
    <t>中国人寿保险股份有限公司－寿险分红公募REITs产品国寿投</t>
  </si>
  <si>
    <t>中国人民人寿保险股份有限公司－传统－普通保险产品</t>
  </si>
  <si>
    <t>中国人民财产保险股份有限公司－传统－普通保险产品</t>
  </si>
  <si>
    <t>招商财富资管－招商银行－招商财富－招银基础设施6号集合资产管理计划</t>
  </si>
  <si>
    <t>新华人寿保险股份有限公司－传统－普通保险产品-018L-CT001深</t>
  </si>
  <si>
    <t>兴瀚资管－兴业银行－兴瀚资管－兴元18号集合资产管理计划</t>
  </si>
  <si>
    <t>中国人民健康保险股份有限公司－传统－普通保险产品</t>
  </si>
  <si>
    <t>江苏省国际信托有限责任公司－江苏信托－禾享添利1号集合资金信托计划</t>
  </si>
  <si>
    <t>年报</t>
  </si>
  <si>
    <t>广东粤财信托有限公司－粤财信托·鹏雅2号集合资金信托计划</t>
  </si>
  <si>
    <t>新华人寿保险股份有限公司-传统-普通保险产品-018L-CT001深</t>
  </si>
  <si>
    <t>中国人民健康保险股份有限公司-传统-普通保险产品</t>
  </si>
  <si>
    <t>大家资产－招商银行－大家资产厚坤13号集合资产管理产品</t>
  </si>
  <si>
    <t>申万宏源证券资管－雅戈尔时尚股份有限公司－申万宏源安雅1号单一资产管理计划</t>
  </si>
  <si>
    <t>深圳盈嘉众实业合伙企业（有限合伙）</t>
  </si>
  <si>
    <t>深圳市华源玖晟创业投资合伙企业（有限合伙）</t>
  </si>
  <si>
    <t>华金证券－国任财产保险股份有限公司－华金证券国任保险5号基础设施基金策略FOF单一资产管理计划</t>
  </si>
  <si>
    <t>长城人寿保险股份有限公司－自有资金</t>
  </si>
  <si>
    <t>华鑫国际信托有限公司－华鑫信托·华盈17号（混合配置）集合资金信托计划</t>
  </si>
  <si>
    <t>中信证券－光大银行－中信证券基础设施1号集合资产管理计划</t>
  </si>
  <si>
    <t>大家资管－光大银行－大家资产稳健优选2号固定收益类资产管理产品</t>
  </si>
  <si>
    <t>华能贵诚信托有限公司－华能信托·双利粤湾1号集合资金信托计划</t>
  </si>
  <si>
    <t>中国人寿保险股份有限公司-寿险传统公募</t>
  </si>
  <si>
    <t>北京东方引擎投资管理有限公司-东方引擎信用严选私募证券投资基金</t>
  </si>
  <si>
    <t>大家资产-招商银行-大家资产厚坤13号集合资产管理产品</t>
  </si>
  <si>
    <t>卓远地产（成都）有限公司</t>
  </si>
  <si>
    <t>中邮人寿保险股份有限公司传统险委托人保组合四交行托管专户</t>
  </si>
  <si>
    <t>新华人寿保险股份有限公司－财富一号万能产品</t>
  </si>
  <si>
    <t>华润深国投信托有限公司－华润信托·锐盈3号集合资金信托计划</t>
  </si>
  <si>
    <t>国寿投资保险资产管理有限公司－自有资金</t>
  </si>
  <si>
    <t>利安人寿保险股份有限公司－利安利尊稳赢两全保险</t>
  </si>
  <si>
    <t>泰康人寿保险有限责任公司－分红－个人分红-019L-FH002深</t>
  </si>
  <si>
    <t>紫金财产保险股份有限公司－自有资金</t>
  </si>
  <si>
    <t>富荣基金－中粮信托·丰惠1号集合资金信托计划－富荣基金丰惠一号单一资产管理计划</t>
  </si>
  <si>
    <t>中国平安财产保险股份有限公司－传统－普通保险产品</t>
  </si>
  <si>
    <t>中邮人寿保险股份有限公司－传统险委托人保组合四交行托管专户</t>
  </si>
  <si>
    <t>中邮人寿保险股份有限公司-传统险委托人保组合四交行托管专户</t>
  </si>
  <si>
    <t>华润深国投信托有限公司-华润信托·锐盈3号集合资金信托计划</t>
  </si>
  <si>
    <t>泰康人寿保险有限责任公司-分红一个人分红-019L-FH002深</t>
  </si>
  <si>
    <t>福建华威农商（集团）有限公司</t>
  </si>
  <si>
    <t>利安人寿保险股份有限公司－至尊鑫享年金保险（分红型）</t>
  </si>
  <si>
    <t>西藏信托有限公司－西藏信托－晟元1号集合资金信托计划</t>
  </si>
  <si>
    <t>平安基金－中国平安财产保险（传统普通保险产品）农行托管专户1号－平安基金－平安产险长盈2号MOM单一资产管理计划</t>
  </si>
  <si>
    <t>圆信永丰基金-厦门信托-金圆瑞盈1号集合资金信托计划-圆信永丰金圆瑞盈1号FOF单一资产管理计划</t>
  </si>
  <si>
    <t>西藏信托有限公司-西藏信托-晟元1号集合资金信托计划</t>
  </si>
  <si>
    <t>华金证券-东吴人寿保险股份有限公司-华金证券东吴人寿15号基础设施基金策略 FOF 单一资产管理计划</t>
  </si>
  <si>
    <t>山东绿发商业管理有限公司</t>
  </si>
  <si>
    <t>华夏基金－国民养老保险股份有限公司－商业养老金产品－华夏基金国民养老4号单一资产管理计划</t>
  </si>
  <si>
    <t>信达澳亚基金－中国银行－信澳中银元启1号集合资产管理计划</t>
  </si>
  <si>
    <t>国金证券资管－建设银行－国金资管鑫熠13号集合资产管理计划</t>
  </si>
  <si>
    <t>广东粤财信托有限公司－粤财信托·工信聚鑫4号集合资金信托计划</t>
  </si>
  <si>
    <t>中信证券资管－邮储银行－中信证券资管稳利睿盛1号集合资产管理计划</t>
  </si>
  <si>
    <t>中信证券－财信吉祥人寿保险股份有限公司－分红产品－中信证券财信人寿睿驰1号单一资产管理计划</t>
  </si>
  <si>
    <t>大家资产－招商银行－大家资产厚坤15号集合资产管理产品</t>
  </si>
  <si>
    <t>华夏基金-国民养老保险股份有限公司-商业养老金产品-华夏基金国民养老4号单一资产管理计划</t>
  </si>
  <si>
    <t>信达澳亚基金-中国银行-信澳中银元启1号集合资产管理计划</t>
  </si>
  <si>
    <t>国金证券资管-建设银行-国金资管鑫熠13号集合资产管理计划</t>
  </si>
  <si>
    <t>中咨(北京)私募基金管理有限公司-嘉兴中北德裕投资合伙企业(有限合伙)</t>
  </si>
  <si>
    <t>中国人寿资管-广发银行-国寿资产-鼎瑞2498资产管理产品</t>
  </si>
  <si>
    <t>国寿资本投资有限公司-国寿瑞驰(天津)基础设施投资基金合伙企业(有限合伙)</t>
  </si>
  <si>
    <t>利安人寿保险股份有限公司-至尊鑫享年金保险(分红型)</t>
  </si>
  <si>
    <t>广东粤财信托有限公司-粤财信托·工信聚鑫4号集合资金信托计划</t>
  </si>
  <si>
    <t>中国太平洋人寿保险股份有限公司-分红-个人分红</t>
  </si>
  <si>
    <t>海保人寿保险股份有限公司－传统险二</t>
  </si>
  <si>
    <t>华润深国投信托有限公司-华润信托·瑞安8号集合资金信托计划</t>
  </si>
  <si>
    <t>鑫沅资管－宁波银行－鑫沅资产鑫梅花514号集合资产管理计划</t>
  </si>
  <si>
    <t>北京盈立方私募基金管理有限公司－盈立方信智8号私募证券投资基金</t>
  </si>
  <si>
    <t>工银安盛人寿保险有限公司—传统产品</t>
  </si>
  <si>
    <t>北京盈立方私募基金管理有限公司－盈立方信智3号私募证券投资基金</t>
  </si>
  <si>
    <t>中国人民财产保险股份有限公司－传统－普通保险产品－008C－CT001沪</t>
  </si>
  <si>
    <t>中国对外经济贸易信托有限公司－外贸信托－信悦2号固定收益证券投资集合资金信托计划</t>
  </si>
  <si>
    <t>中诚信托有限责任公司-中诚信托-汇赢23号集合资金信托计划</t>
  </si>
  <si>
    <t>中诚信托有限责任公司-中诚信托-汇赢24号集合资金信托计划</t>
  </si>
  <si>
    <t>创金合信基金-中信信托有限责任公司-创金合信至信1号单一资产管理计划</t>
  </si>
  <si>
    <t>兴瀚资管-兴业银行-兴瀚资管-兴元18号集合资产管理计划</t>
  </si>
  <si>
    <t>华金证券－国任财产保险股份有限公司－华金证券国任保险5号基础设施基金策略FOF</t>
  </si>
  <si>
    <t>中国太平洋人寿保险股份有限公司－分红－个人分红</t>
  </si>
  <si>
    <t>中国太平洋人寿保险股份有限公司—分红一个人分红</t>
  </si>
  <si>
    <t>中国人民人寿保险股份有限公司—传统—普通保险产品</t>
  </si>
  <si>
    <t>兴瀚资管—兴业银行—兴瀚资管—兴元18号集合资产管理计划</t>
  </si>
  <si>
    <t>中国人民财产保险股份有限公司-传统-普通保险产品-008C-CT001沪</t>
  </si>
  <si>
    <t>中国人寿保险股份有限公司－传统－普通保险产品－005L－CT001沪</t>
  </si>
  <si>
    <t>国寿资本投资有限公司－国寿瑞驰（天津）基础设施投资基金合伙企业（有限合伙）</t>
  </si>
  <si>
    <t>长城人寿保险股份有限公司－分红－个人分红</t>
  </si>
  <si>
    <t>德邦证券资管－横琴人寿保险有限公司－德邦资管恒灿1号单一资产管理计划</t>
  </si>
  <si>
    <t>申万宏源产业投资管理有限责任公司</t>
  </si>
  <si>
    <t>华能贵诚信托有限公司－华能信托·北诚瑞驰资金信托</t>
  </si>
  <si>
    <t>国民养老保险股份有限公司－基础设施稳源组合</t>
  </si>
  <si>
    <t>京管泰富基金－北京市工程咨询有限公司－京管泰富锦鸿1号单一资产管理计划</t>
  </si>
  <si>
    <t>北京语论未来科技文化有限公司</t>
  </si>
  <si>
    <t>中保投资有限责任公司－中国保险投资基金（有限合伙）</t>
  </si>
  <si>
    <t>建信信托-睿驰组合1号集合资金信托计划</t>
  </si>
  <si>
    <t>建信（北京）投资基金管理有限责任公司</t>
  </si>
  <si>
    <t>李建辉</t>
  </si>
  <si>
    <t>齐鲁银行股份有限公司－泉心盈196天2号</t>
  </si>
  <si>
    <t>齐鲁银行股份有限公司－泉心盈91天</t>
  </si>
  <si>
    <t>新华人寿保险股份有限公司－新分红产品</t>
  </si>
  <si>
    <t>苏州市住房置业融资担保有限公司</t>
  </si>
  <si>
    <t>新华资管－兴业银行－新华资产－国强增质一号资产管理产品</t>
  </si>
  <si>
    <t>长城人寿保险股份有限公司—自有资金</t>
  </si>
  <si>
    <t>华金证券—国任财产保险股份有限公司—华金证券国任保险5号基础设施基金策略FOF单一资产管理计划</t>
  </si>
  <si>
    <t>长城财富资管－工商银行－长城财富朱雀创睿六号资产管理产品</t>
  </si>
  <si>
    <t>浙江高卓建设有限公司</t>
  </si>
  <si>
    <t>申万菱信基金－申万宏源集团股份有限公司－申万菱信－申宏稳健1号单一资产管理计划</t>
  </si>
  <si>
    <t>恒泰证券股份有限公司</t>
  </si>
  <si>
    <t>华宝信托有限责任公司－华宝信托瑞思1号集合资金信托计划</t>
  </si>
  <si>
    <t>德邦证券资管-横琴人寿保险有限公司-德邦资管恒灿1号单一资产管理计划</t>
  </si>
  <si>
    <t>华金证券-国任财产保险股份有限公司-华金证券国任保险5号基础设施基金策略FOF单一资产管理计划</t>
  </si>
  <si>
    <t>华宝信托有限责任公司—华宝信托瑞思1号集合资金信托计划</t>
  </si>
  <si>
    <t>凯德中国信托管理有限公司－汇丰机构信托服务（新加坡）有限公司（作为凯德中国信托的信托人）－RQFII</t>
  </si>
  <si>
    <t>国寿资本投资有限公司－北京平准基础设施不动产股权投资基金合伙企业（有限合伙）</t>
  </si>
  <si>
    <t>上海国际信托有限公司－上信－睿展3号集合资金信托计划</t>
  </si>
  <si>
    <t>中英人寿保险有限公司－分红－个险分红</t>
  </si>
  <si>
    <t>华能贵诚信托有限公司－华能信托·北诚瑞驰2号资金信托</t>
  </si>
  <si>
    <t>平安健康保险股份有限公司－传统保险产品2号</t>
  </si>
  <si>
    <t>弘毅私募基金管理（天津）合伙企业（有限合伙）－天津弘毅基础设施投资基金合伙企业（有限合伙）</t>
  </si>
  <si>
    <t>凯德中国信托管理有限公司-汇丰机构信托服务(新加坡)有限公司(作为凯德中国信托的信托人)-RQFII</t>
  </si>
  <si>
    <t>国寿资本投资有限公司-北京平准基础设施不动产股权投资基金合伙企业(有限合伙)</t>
  </si>
  <si>
    <t>上海国际信托有限公司-上信-睿展3号集合资金信托计划</t>
  </si>
  <si>
    <t>中英人寿保险有限公司—分红一个险分红</t>
  </si>
  <si>
    <t>平安健康保险股份有限公司-传统保险产品2号</t>
  </si>
  <si>
    <t>弘毅私募基金管理(天津)合伙企业(有限合伙)—天津弘毅基础设施投资基金合伙企业(有限合伙)</t>
  </si>
  <si>
    <t>广东粤财信托有限公司-粤财信托·双利粤湾2号集合资金信托计划</t>
  </si>
  <si>
    <t>上海合晟资产管理股份有限公司－合晟同晖7号私募证券投资基金</t>
  </si>
  <si>
    <t>北京磐茂投资管理有限公司－厦门源峰基础设施股权投资基金合伙企业（有限合伙）</t>
  </si>
  <si>
    <t>大家资管－兴业银行－大家资产稳健优选6号固定收益类资产管理产品</t>
  </si>
  <si>
    <t>东吴人寿保险股份有限公司－自有资金</t>
  </si>
  <si>
    <t>北京磐茂投资管理有限公司-厦门源峰基础设施股权投资基金合伙企业(有限合伙)</t>
  </si>
  <si>
    <t>大家资管-兴业银行-大家资产稳健优选6号固定收益类资产管理产品</t>
  </si>
  <si>
    <t>中信证券资管-财信吉祥人寿保险股份有限公司-传统产品-中信证券资管观沙岭1号单一资产管理计划</t>
  </si>
  <si>
    <t>东吴人寿保险股份有限公司-自有资金</t>
  </si>
  <si>
    <t>招商基金－申万宏源证券有限公司－招商基金长盈基础资产1号单一资产管理计划</t>
  </si>
  <si>
    <t>华夏基金－申万宏源证券有限公司－华夏基金瑞思1号单一资产管理计划</t>
  </si>
  <si>
    <t>中再资管－招商银行－中再资产－基建强国REITs主题资产管理产品</t>
  </si>
  <si>
    <t>中海环宇商业发展(深圳)有限公司</t>
  </si>
  <si>
    <t>招商基金-申万宏源证券有限公司-招商基金长盈基础资产1号FOF单一资产管理计划</t>
  </si>
  <si>
    <t>华夏基金-申万宏源证券有限公司-华夏基金瑞思1号单一资产管理计划</t>
  </si>
  <si>
    <t>指标类别</t>
  </si>
  <si>
    <t>指标名称</t>
  </si>
  <si>
    <t>指标数据</t>
  </si>
  <si>
    <t>单位</t>
  </si>
  <si>
    <t>指标子项</t>
  </si>
  <si>
    <t>基金整体</t>
  </si>
  <si>
    <t>2024Q1</t>
  </si>
  <si>
    <t>服务量</t>
  </si>
  <si>
    <t>期末加权平均剩余租期</t>
  </si>
  <si>
    <t>年</t>
  </si>
  <si>
    <t>服务效率</t>
  </si>
  <si>
    <t>期末收缴率</t>
  </si>
  <si>
    <t>%</t>
  </si>
  <si>
    <t>期末可供出租面积</t>
  </si>
  <si>
    <t>平方米</t>
  </si>
  <si>
    <t>期末实际出租面积</t>
  </si>
  <si>
    <t>期末出租率</t>
  </si>
  <si>
    <t>2024Q2</t>
  </si>
  <si>
    <t>服务价格</t>
  </si>
  <si>
    <t>本期租金单价水平</t>
  </si>
  <si>
    <t>元/平方米/月</t>
  </si>
  <si>
    <t>2024Q3</t>
  </si>
  <si>
    <t>2025Q1</t>
  </si>
  <si>
    <t>2025Q2</t>
  </si>
  <si>
    <t>2025Q3</t>
  </si>
  <si>
    <t>期内租金单价水平</t>
  </si>
  <si>
    <t>2024Q4</t>
  </si>
  <si>
    <t>2025Q4</t>
  </si>
  <si>
    <t>2026Q1</t>
  </si>
  <si>
    <t>2026Q2</t>
  </si>
  <si>
    <t>期内平均租金单价</t>
  </si>
  <si>
    <t>期末租金收缴率</t>
  </si>
  <si>
    <t>期末剩余租期情况</t>
  </si>
  <si>
    <t>2024Q3(0903-0930)</t>
  </si>
  <si>
    <t>期末剩余租期</t>
  </si>
  <si>
    <t>元/平方米/月,含增值税</t>
  </si>
  <si>
    <t>2020</t>
  </si>
  <si>
    <t>各经营业态平均租金情况</t>
  </si>
  <si>
    <t>商业配套</t>
  </si>
  <si>
    <t>各经营业态出租率表</t>
  </si>
  <si>
    <t>水产品</t>
  </si>
  <si>
    <t>冻品</t>
  </si>
  <si>
    <t>肉禽</t>
  </si>
  <si>
    <t>蔬果</t>
  </si>
  <si>
    <t>电商直播基地</t>
  </si>
  <si>
    <t>干货/调味品</t>
  </si>
  <si>
    <t>仓库</t>
  </si>
  <si>
    <t>续租率</t>
  </si>
  <si>
    <t>退租率</t>
  </si>
  <si>
    <t>期初已出租面积</t>
  </si>
  <si>
    <t>当年退租面积</t>
  </si>
  <si>
    <t>续租租约的租赁面积</t>
  </si>
  <si>
    <t>到期租约的租赁面积</t>
  </si>
  <si>
    <t>2021</t>
  </si>
  <si>
    <t>服务金额</t>
  </si>
  <si>
    <t>其他收
入</t>
  </si>
  <si>
    <t>万元</t>
  </si>
  <si>
    <t>租金物
业收入</t>
  </si>
  <si>
    <t>2022</t>
  </si>
  <si>
    <t>2023</t>
  </si>
  <si>
    <t>海鲜美食体验</t>
  </si>
  <si>
    <t>冷库</t>
  </si>
  <si>
    <t>2024H1</t>
  </si>
  <si>
    <t>可租赁面积</t>
  </si>
  <si>
    <t>2号楼1层</t>
  </si>
  <si>
    <t>各业态租金复合增长率</t>
  </si>
  <si>
    <t>2号楼2层</t>
  </si>
  <si>
    <t>2号楼3层</t>
  </si>
  <si>
    <t>3号楼（单层）</t>
  </si>
  <si>
    <t>1号楼1层</t>
  </si>
  <si>
    <t>租户数</t>
  </si>
  <si>
    <t>7号楼（单层）</t>
  </si>
  <si>
    <t>5号楼（单层）</t>
  </si>
  <si>
    <t>1号楼2层</t>
  </si>
  <si>
    <t>1号楼附2层</t>
  </si>
  <si>
    <t>6号楼（共6
层）</t>
  </si>
  <si>
    <t>租户业态分布-店铺租赁收入占比</t>
  </si>
  <si>
    <t>儿童</t>
  </si>
  <si>
    <t>配套</t>
  </si>
  <si>
    <t>餐饮</t>
  </si>
  <si>
    <t>零售</t>
  </si>
  <si>
    <t>营业额</t>
  </si>
  <si>
    <t>新能源汽车</t>
  </si>
  <si>
    <t>娱乐</t>
  </si>
  <si>
    <t>租户业态分布-租赁面积占比</t>
  </si>
  <si>
    <t>平均固定租金单价</t>
  </si>
  <si>
    <t>元/平方米/天</t>
  </si>
  <si>
    <t>月租金坪效</t>
  </si>
  <si>
    <t>平均固定租金单价增长率</t>
  </si>
  <si>
    <t>加权平均出租率</t>
  </si>
  <si>
    <t>除新能源汽车</t>
  </si>
  <si>
    <t>月销售坪效</t>
  </si>
  <si>
    <t>租售比</t>
  </si>
  <si>
    <t>客流量</t>
  </si>
  <si>
    <t>万人次</t>
  </si>
  <si>
    <t>2024</t>
  </si>
  <si>
    <t>收入类型</t>
  </si>
  <si>
    <t>物业管理费及推广费收入</t>
  </si>
  <si>
    <t>场租多经及仓储收入</t>
  </si>
  <si>
    <t>店铺租金收入</t>
  </si>
  <si>
    <t>其他收入</t>
  </si>
  <si>
    <t>停车场收入</t>
  </si>
  <si>
    <t>广告位收入</t>
  </si>
  <si>
    <t>2024Q3(0711-0930)</t>
  </si>
  <si>
    <t>租赁业务收缴率</t>
  </si>
  <si>
    <t>加权平均剩余租期</t>
  </si>
  <si>
    <t>租赁部分平均租金单价</t>
  </si>
  <si>
    <t>出租率</t>
  </si>
  <si>
    <t>实际出租面积</t>
  </si>
  <si>
    <t>可供出租面积</t>
  </si>
  <si>
    <t>租赁及联销月均收入水平</t>
  </si>
  <si>
    <t>期内租金单价</t>
  </si>
  <si>
    <t>租户数量</t>
  </si>
  <si>
    <t>专门店</t>
  </si>
  <si>
    <t>主力店</t>
  </si>
  <si>
    <t>营业收入（考虑租金减免，不含税）</t>
  </si>
  <si>
    <t>物业管理收入</t>
  </si>
  <si>
    <t>专门店平均租金单价</t>
  </si>
  <si>
    <t>主力店平均租金单价</t>
  </si>
  <si>
    <t>固定租金收入</t>
  </si>
  <si>
    <t>平均出租率</t>
  </si>
  <si>
    <t>期末时点出租率</t>
  </si>
  <si>
    <t>租金收缴率</t>
  </si>
  <si>
    <t>元/平方米</t>
  </si>
  <si>
    <t>万人/日</t>
  </si>
  <si>
    <t>销售额</t>
  </si>
  <si>
    <t>抽成租金收入</t>
  </si>
  <si>
    <t>推广费收入</t>
  </si>
  <si>
    <t>提成租金比例</t>
  </si>
  <si>
    <t>租金收入</t>
  </si>
  <si>
    <t>月整体销售坪效</t>
  </si>
  <si>
    <t>元/月/平方米</t>
  </si>
  <si>
    <t>月整体租金坪效</t>
  </si>
  <si>
    <t>租赁商户销售额</t>
  </si>
  <si>
    <t>整体销售额</t>
  </si>
  <si>
    <t>联营商户销售额</t>
  </si>
  <si>
    <t>联营模式收入</t>
  </si>
  <si>
    <t>联营模式扣率</t>
  </si>
  <si>
    <t>新能源汽车销售额</t>
  </si>
  <si>
    <t>销售额（不含车）</t>
  </si>
  <si>
    <t>主力店及次主力店</t>
  </si>
  <si>
    <t>主力店平均租金单价（含物管费）</t>
  </si>
  <si>
    <t>专门店平均租金单价（含物管费）</t>
  </si>
  <si>
    <t>万人</t>
  </si>
  <si>
    <t>电影放映服务收入</t>
  </si>
  <si>
    <t>平均固定租金单价（不含税）</t>
  </si>
  <si>
    <t>租赁收入</t>
  </si>
  <si>
    <t>物业管理服务及其他收入</t>
  </si>
  <si>
    <t>推广服务收入</t>
  </si>
  <si>
    <t>项目业态分布</t>
  </si>
  <si>
    <t>展销</t>
  </si>
  <si>
    <t>体验</t>
  </si>
  <si>
    <t>服务</t>
  </si>
  <si>
    <t>期末合同租金单价</t>
  </si>
  <si>
    <t>期末有效租金单价</t>
  </si>
  <si>
    <t>2025</t>
  </si>
  <si>
    <t>期末平均租金单价（含税）</t>
  </si>
  <si>
    <t>平均租金单价</t>
  </si>
  <si>
    <t>平均房价</t>
  </si>
  <si>
    <t>元/间</t>
  </si>
  <si>
    <t>平均入住率</t>
  </si>
  <si>
    <t>可供房数</t>
  </si>
  <si>
    <t>间</t>
  </si>
  <si>
    <t>美居酒店</t>
  </si>
  <si>
    <t>全季酒店</t>
  </si>
  <si>
    <t>2025.01-09</t>
  </si>
  <si>
    <t>万人/年</t>
  </si>
  <si>
    <t>期末租金单价水平</t>
  </si>
  <si>
    <t>期内有效租金单价</t>
  </si>
  <si>
    <t>合同月租金</t>
  </si>
  <si>
    <t>2026H1</t>
  </si>
  <si>
    <t>指标类型</t>
  </si>
  <si>
    <t>项目显示名</t>
  </si>
  <si>
    <t>报告期类型</t>
  </si>
  <si>
    <t>指标行标签</t>
  </si>
  <si>
    <t>判重键</t>
  </si>
  <si>
    <t>展示行唯一</t>
  </si>
  <si>
    <t>报告期排序键</t>
  </si>
  <si>
    <t>期间键</t>
  </si>
  <si>
    <t>期间唯一</t>
  </si>
  <si>
    <t>期间排名</t>
  </si>
  <si>
    <t>项目键</t>
  </si>
  <si>
    <t>项目唯一</t>
  </si>
  <si>
    <t>项目首现行号</t>
  </si>
  <si>
    <t>项目排名</t>
  </si>
  <si>
    <t>类型键</t>
  </si>
  <si>
    <t>类型首行号</t>
  </si>
  <si>
    <t>名称键</t>
  </si>
  <si>
    <t>名称首行号</t>
  </si>
  <si>
    <t>合格展示行</t>
  </si>
  <si>
    <t>展示行排序键</t>
  </si>
  <si>
    <t>展示行序号</t>
  </si>
  <si>
    <t>基金唯一</t>
  </si>
  <si>
    <t>基金序号</t>
  </si>
  <si>
    <t>匹配键</t>
  </si>
  <si>
    <t>44340|1</t>
  </si>
  <si>
    <t>询价 富国首创等7只</t>
  </si>
  <si>
    <t>区域</t>
  </si>
  <si>
    <t>预期值-第1年</t>
  </si>
  <si>
    <t>预期值-第2年</t>
  </si>
  <si>
    <t>发行价-第1年</t>
  </si>
  <si>
    <t>发行价-第2年</t>
  </si>
  <si>
    <t>交易日</t>
  </si>
  <si>
    <t>加权分派率</t>
  </si>
  <si>
    <t>窗口参数</t>
  </si>
  <si>
    <t>省份</t>
  </si>
  <si>
    <t>基金去重</t>
  </si>
  <si>
    <t>剩余期限(年)</t>
  </si>
  <si>
    <t>项目数</t>
  </si>
  <si>
    <t>基金数</t>
  </si>
  <si>
    <t>机构名(次数)</t>
  </si>
  <si>
    <t>次数</t>
  </si>
  <si>
    <t>机构名(金额)</t>
  </si>
  <si>
    <t>金额(亿元)</t>
  </si>
  <si>
    <t>流通类型</t>
  </si>
  <si>
    <t>非流通类型</t>
  </si>
  <si>
    <t>44341|1</t>
  </si>
  <si>
    <t>询价 平安广州等2只</t>
  </si>
  <si>
    <t>2026年11月</t>
  </si>
  <si>
    <t>44347|1</t>
  </si>
  <si>
    <t>发售 富国首创等9只</t>
  </si>
  <si>
    <t>2026年12月</t>
  </si>
  <si>
    <t>44368|1</t>
  </si>
  <si>
    <t>上市 富国首创等9只</t>
  </si>
  <si>
    <t>44519|1</t>
  </si>
  <si>
    <t>询价 华夏越秀等2只</t>
  </si>
  <si>
    <t>窗口选项</t>
  </si>
  <si>
    <t>交易日数</t>
  </si>
  <si>
    <t>44529|1</t>
  </si>
  <si>
    <t>发售 华夏越秀等2只</t>
  </si>
  <si>
    <t>近20个交易日</t>
  </si>
  <si>
    <t>44544|1</t>
  </si>
  <si>
    <t>上市 华夏越秀</t>
  </si>
  <si>
    <t>44547|1</t>
  </si>
  <si>
    <t>上市 建信中关</t>
  </si>
  <si>
    <t>中金开元旅业·反馈回复稿</t>
  </si>
  <si>
    <t>近120个交易日</t>
  </si>
  <si>
    <t>44649|1</t>
  </si>
  <si>
    <t>询价 华夏中交</t>
  </si>
  <si>
    <t>华夏世纪金源·申报稿</t>
  </si>
  <si>
    <t>近252个交易日</t>
  </si>
  <si>
    <t>44658|1</t>
  </si>
  <si>
    <t>发售 华夏中交</t>
  </si>
  <si>
    <t>华夏凯华商业·申报稿</t>
  </si>
  <si>
    <t>全部交易日</t>
  </si>
  <si>
    <t>44679|1</t>
  </si>
  <si>
    <t>上市 华夏中交</t>
  </si>
  <si>
    <t>汇添富顺联商业·申报稿</t>
  </si>
  <si>
    <t>44727|1</t>
  </si>
  <si>
    <t>询价 国金铁建</t>
  </si>
  <si>
    <t>招商蛇口不动产·封卷稿</t>
  </si>
  <si>
    <t>44732|1</t>
  </si>
  <si>
    <t>发售 国金铁建</t>
  </si>
  <si>
    <t>广发新世界·申报稿</t>
  </si>
  <si>
    <t>44739|1</t>
  </si>
  <si>
    <t>询价 鹏华深圳</t>
  </si>
  <si>
    <t>国泰海通鹏瑞利·申报稿</t>
  </si>
  <si>
    <t>44739|2</t>
  </si>
  <si>
    <t>发售 鹏华深圳</t>
  </si>
  <si>
    <t>国联安泰华城·申报稿</t>
  </si>
  <si>
    <t>44750|1</t>
  </si>
  <si>
    <t>上市 国金铁建</t>
  </si>
  <si>
    <t>华夏中海不动产·申报稿</t>
  </si>
  <si>
    <t>44768|1</t>
  </si>
  <si>
    <t>上市 鹏华深圳</t>
  </si>
  <si>
    <t>中金中国绿发商业·申报稿</t>
  </si>
  <si>
    <t>44778|1</t>
  </si>
  <si>
    <t>询价 红土深圳等2只</t>
  </si>
  <si>
    <t>嘉实陶邑消费·申报稿</t>
  </si>
  <si>
    <t>44783|1</t>
  </si>
  <si>
    <t>发售 中金厦门</t>
  </si>
  <si>
    <t>华安中电浦软·申报稿</t>
  </si>
  <si>
    <t>44785|1</t>
  </si>
  <si>
    <t>询价 华夏北京</t>
  </si>
  <si>
    <t>华泰金鹰·申报稿</t>
  </si>
  <si>
    <t>44789|1</t>
  </si>
  <si>
    <t>发售 红土深圳等2只</t>
  </si>
  <si>
    <t>华夏大悦城商业·申报稿</t>
  </si>
  <si>
    <t>44804|1</t>
  </si>
  <si>
    <t>上市 红土深圳等3只</t>
  </si>
  <si>
    <t>广发海珠城·申报稿</t>
  </si>
  <si>
    <t>44813|1</t>
  </si>
  <si>
    <t>询价 华夏合肥</t>
  </si>
  <si>
    <t>红土创新茂业·申报稿</t>
  </si>
  <si>
    <t>44817|1</t>
  </si>
  <si>
    <t>询价 国君临港</t>
  </si>
  <si>
    <t>华夏华润置地·申报稿</t>
  </si>
  <si>
    <t>44818|1</t>
  </si>
  <si>
    <t>发售 华夏合肥</t>
  </si>
  <si>
    <t>国联安复星·申报稿</t>
  </si>
  <si>
    <t>44819|1</t>
  </si>
  <si>
    <t>询价 国君东久</t>
  </si>
  <si>
    <t>红土创新星河·申报稿</t>
  </si>
  <si>
    <t>44823|1</t>
  </si>
  <si>
    <t>发售 国君临港</t>
  </si>
  <si>
    <t>嘉实首开商业·申报稿</t>
  </si>
  <si>
    <t>44824|1</t>
  </si>
  <si>
    <t>发售 国君东久</t>
  </si>
  <si>
    <t>国泰海通崇邦·反馈回复稿</t>
  </si>
  <si>
    <t>44844|1</t>
  </si>
  <si>
    <t>上市 华夏合肥</t>
  </si>
  <si>
    <t>光大安石·注册稿</t>
  </si>
  <si>
    <t>44847|1</t>
  </si>
  <si>
    <t>上市 国君临港</t>
  </si>
  <si>
    <t>华夏银泰·反馈回复稿</t>
  </si>
  <si>
    <t>44848|1</t>
  </si>
  <si>
    <t>上市 国君东久</t>
  </si>
  <si>
    <t>44854|1</t>
  </si>
  <si>
    <t>询价 华泰江苏</t>
  </si>
  <si>
    <t>44859|1</t>
  </si>
  <si>
    <t>发售 华泰江苏</t>
  </si>
  <si>
    <t>44862|1</t>
  </si>
  <si>
    <t>询价 中金安徽</t>
  </si>
  <si>
    <t>44872|1</t>
  </si>
  <si>
    <t>发售 中金安徽</t>
  </si>
  <si>
    <t>44874|1</t>
  </si>
  <si>
    <t>询价 华夏华润</t>
  </si>
  <si>
    <t>44879|1</t>
  </si>
  <si>
    <t>发售 华夏华润</t>
  </si>
  <si>
    <t>44880|1</t>
  </si>
  <si>
    <t>上市 华泰江苏</t>
  </si>
  <si>
    <t>44887|1</t>
  </si>
  <si>
    <t>上市 中金安徽</t>
  </si>
  <si>
    <t>44902|1</t>
  </si>
  <si>
    <t>询价 华夏和达</t>
  </si>
  <si>
    <t>44904|1</t>
  </si>
  <si>
    <t>上市 华夏华润</t>
  </si>
  <si>
    <t>44907|1</t>
  </si>
  <si>
    <t>发售 华夏和达</t>
  </si>
  <si>
    <t>44922|1</t>
  </si>
  <si>
    <t>上市 华夏和达</t>
  </si>
  <si>
    <t>44925|1</t>
  </si>
  <si>
    <t>询价 嘉实京东</t>
  </si>
  <si>
    <t>44925|2</t>
  </si>
  <si>
    <t>发售 嘉实京东</t>
  </si>
  <si>
    <t>44965|1</t>
  </si>
  <si>
    <t>上市 嘉实京东</t>
  </si>
  <si>
    <t>44994|1</t>
  </si>
  <si>
    <t>询价 建投国家等2只</t>
  </si>
  <si>
    <t>44999|1</t>
  </si>
  <si>
    <t>发售 建投国家等2只</t>
  </si>
  <si>
    <t>45014|1</t>
  </si>
  <si>
    <t>上市 建投国家等2只</t>
  </si>
  <si>
    <t>45075|1</t>
  </si>
  <si>
    <t>询价 中金湖北</t>
  </si>
  <si>
    <t>45082|1</t>
  </si>
  <si>
    <t>发售 中金湖北</t>
  </si>
  <si>
    <t>45093|1</t>
  </si>
  <si>
    <t>上市 中金普洛等4只</t>
  </si>
  <si>
    <t>45107|1</t>
  </si>
  <si>
    <t>上市 中金湖北</t>
  </si>
  <si>
    <t>45194|1</t>
  </si>
  <si>
    <t>询价 中金山东</t>
  </si>
  <si>
    <t>45209|1</t>
  </si>
  <si>
    <t>发售 中金山东</t>
  </si>
  <si>
    <t>45226|1</t>
  </si>
  <si>
    <t>上市 中金山东</t>
  </si>
  <si>
    <t>45278|1</t>
  </si>
  <si>
    <t>询价 国君城投</t>
  </si>
  <si>
    <t>45282|1</t>
  </si>
  <si>
    <t>发售 国君城投</t>
  </si>
  <si>
    <t>45285|1</t>
  </si>
  <si>
    <t>询价 华夏金茂</t>
  </si>
  <si>
    <t>45288|1</t>
  </si>
  <si>
    <t>询价 嘉实物美</t>
  </si>
  <si>
    <t>45303|1</t>
  </si>
  <si>
    <t>上市 国君城投</t>
  </si>
  <si>
    <t>45313|1</t>
  </si>
  <si>
    <t>发售 华夏金茂</t>
  </si>
  <si>
    <t>45315|1</t>
  </si>
  <si>
    <t>45315|2</t>
  </si>
  <si>
    <t>发售 嘉实物美</t>
  </si>
  <si>
    <t>45321|1</t>
  </si>
  <si>
    <t>45350|1</t>
  </si>
  <si>
    <t>询价 易方达深</t>
  </si>
  <si>
    <t>45355|1</t>
  </si>
  <si>
    <t>发售 易方达深</t>
  </si>
  <si>
    <t>45356|1</t>
  </si>
  <si>
    <t>询价 嘉实电建</t>
  </si>
  <si>
    <t>45362|1</t>
  </si>
  <si>
    <t>发售 嘉实电建</t>
  </si>
  <si>
    <t>45363|1</t>
  </si>
  <si>
    <t>上市 嘉实物美等2只</t>
  </si>
  <si>
    <t>45365|1</t>
  </si>
  <si>
    <t>45376|1</t>
  </si>
  <si>
    <t>询价 中金印力</t>
  </si>
  <si>
    <t>45379|1</t>
  </si>
  <si>
    <t>上市 嘉实电建</t>
  </si>
  <si>
    <t>45380|1</t>
  </si>
  <si>
    <t>上市 易方达深</t>
  </si>
  <si>
    <t>45390|1</t>
  </si>
  <si>
    <t>发售 中金印力</t>
  </si>
  <si>
    <t>45412|1</t>
  </si>
  <si>
    <t>上市 中金印力</t>
  </si>
  <si>
    <t>45448|1</t>
  </si>
  <si>
    <t>询价 工银河北</t>
  </si>
  <si>
    <t>45449|1</t>
  </si>
  <si>
    <t>询价 华夏特变</t>
  </si>
  <si>
    <t>45454|1</t>
  </si>
  <si>
    <t>发售 工银河北</t>
  </si>
  <si>
    <t>45455|1</t>
  </si>
  <si>
    <t>询价 华夏深国</t>
  </si>
  <si>
    <t>45455|2</t>
  </si>
  <si>
    <t>发售 华夏特变</t>
  </si>
  <si>
    <t>45460|1</t>
  </si>
  <si>
    <t>发售 华夏深国</t>
  </si>
  <si>
    <t>45468|1</t>
  </si>
  <si>
    <t>询价 华安百联</t>
  </si>
  <si>
    <t>45470|1</t>
  </si>
  <si>
    <t>询价 建投明阳</t>
  </si>
  <si>
    <t>45471|1</t>
  </si>
  <si>
    <t>上市 工银河北</t>
  </si>
  <si>
    <t>45475|1</t>
  </si>
  <si>
    <t>发售 华安百联等2只</t>
  </si>
  <si>
    <t>45475|2</t>
  </si>
  <si>
    <t>上市 华夏特变</t>
  </si>
  <si>
    <t>45482|1</t>
  </si>
  <si>
    <t>上市 华夏深国</t>
  </si>
  <si>
    <t>45496|1</t>
  </si>
  <si>
    <t>上市 建投明阳</t>
  </si>
  <si>
    <t>45506|1</t>
  </si>
  <si>
    <t>询价 华夏首创</t>
  </si>
  <si>
    <t>45510|1</t>
  </si>
  <si>
    <t>发售 华夏首创</t>
  </si>
  <si>
    <t>45517|1</t>
  </si>
  <si>
    <t>询价 博时津开</t>
  </si>
  <si>
    <t>45520|1</t>
  </si>
  <si>
    <t>询价 易方达广</t>
  </si>
  <si>
    <t>45520|2</t>
  </si>
  <si>
    <t>上市 华安百联</t>
  </si>
  <si>
    <t>45525|1</t>
  </si>
  <si>
    <t>发售 博时津开</t>
  </si>
  <si>
    <t>45527|1</t>
  </si>
  <si>
    <t>询价 华夏大悦</t>
  </si>
  <si>
    <t>45527|2</t>
  </si>
  <si>
    <t>发售 易方达广</t>
  </si>
  <si>
    <t>45531|1</t>
  </si>
  <si>
    <t>发售 华夏大悦</t>
  </si>
  <si>
    <t>45532|1</t>
  </si>
  <si>
    <t>上市 华夏首创</t>
  </si>
  <si>
    <t>45538|1</t>
  </si>
  <si>
    <t>询价 华泰宝湾</t>
  </si>
  <si>
    <t>45538|2</t>
  </si>
  <si>
    <t>发售 华泰宝湾</t>
  </si>
  <si>
    <t>45547|1</t>
  </si>
  <si>
    <t>询价 招商蛇口</t>
  </si>
  <si>
    <t>45554|1</t>
  </si>
  <si>
    <t>发售 招商蛇口</t>
  </si>
  <si>
    <t>45554|2</t>
  </si>
  <si>
    <t>上市 博时津开</t>
  </si>
  <si>
    <t>45555|1</t>
  </si>
  <si>
    <t>上市 华夏大悦</t>
  </si>
  <si>
    <t>45558|1</t>
  </si>
  <si>
    <t>询价 招商高速</t>
  </si>
  <si>
    <t>45558|2</t>
  </si>
  <si>
    <t>上市 易方达广</t>
  </si>
  <si>
    <t>45560|1</t>
  </si>
  <si>
    <t>询价 中金联东</t>
  </si>
  <si>
    <t>45561|1</t>
  </si>
  <si>
    <t>询价 华夏南京</t>
  </si>
  <si>
    <t>45573|1</t>
  </si>
  <si>
    <t>发售 中金联东等2只</t>
  </si>
  <si>
    <t>45574|1</t>
  </si>
  <si>
    <t>发售 华夏南京</t>
  </si>
  <si>
    <t>45580|1</t>
  </si>
  <si>
    <t>询价 银华绍兴</t>
  </si>
  <si>
    <t>45586|1</t>
  </si>
  <si>
    <t>发售 银华绍兴</t>
  </si>
  <si>
    <t>45588|1</t>
  </si>
  <si>
    <t>上市 招商蛇口</t>
  </si>
  <si>
    <t>45594|1</t>
  </si>
  <si>
    <t>询价 华泰南京</t>
  </si>
  <si>
    <t>45594|2</t>
  </si>
  <si>
    <t>上市 华泰宝湾</t>
  </si>
  <si>
    <t>45597|1</t>
  </si>
  <si>
    <t>上市 华夏南京</t>
  </si>
  <si>
    <t>45600|1</t>
  </si>
  <si>
    <t>发售 华泰南京</t>
  </si>
  <si>
    <t>45601|1</t>
  </si>
  <si>
    <t>上市 中金联东</t>
  </si>
  <si>
    <t>45604|1</t>
  </si>
  <si>
    <t>上市 银华绍兴</t>
  </si>
  <si>
    <t>45611|1</t>
  </si>
  <si>
    <t>询价 工银蒙能</t>
  </si>
  <si>
    <t>45617|1</t>
  </si>
  <si>
    <t>上市 招商高速</t>
  </si>
  <si>
    <t>45618|1</t>
  </si>
  <si>
    <t>询价 中金重庆</t>
  </si>
  <si>
    <t>45618|2</t>
  </si>
  <si>
    <t>发售 工银蒙能</t>
  </si>
  <si>
    <t>45622|1</t>
  </si>
  <si>
    <t>询价 广发成都</t>
  </si>
  <si>
    <t>45623|1</t>
  </si>
  <si>
    <t>询价 平安宁波</t>
  </si>
  <si>
    <t>45623|2</t>
  </si>
  <si>
    <t>发售 中金重庆</t>
  </si>
  <si>
    <t>45625|1</t>
  </si>
  <si>
    <t>询价 华安外高</t>
  </si>
  <si>
    <t>45628|1</t>
  </si>
  <si>
    <t>发售 广发成都</t>
  </si>
  <si>
    <t>45629|1</t>
  </si>
  <si>
    <t>发售 平安宁波</t>
  </si>
  <si>
    <t>45629|2</t>
  </si>
  <si>
    <t>上市 华泰南京</t>
  </si>
  <si>
    <t>45632|1</t>
  </si>
  <si>
    <t>询价 招商科创等2只</t>
  </si>
  <si>
    <t>45632|2</t>
  </si>
  <si>
    <t>发售 华安外高</t>
  </si>
  <si>
    <t>45636|1</t>
  </si>
  <si>
    <t>发售 招商科创</t>
  </si>
  <si>
    <t>45636|2</t>
  </si>
  <si>
    <t>上市 工银蒙能</t>
  </si>
  <si>
    <t>45637|1</t>
  </si>
  <si>
    <t>上市 中金重庆</t>
  </si>
  <si>
    <t>45639|1</t>
  </si>
  <si>
    <t>发售 中航易商</t>
  </si>
  <si>
    <t>45645|1</t>
  </si>
  <si>
    <t>上市 广发成都</t>
  </si>
  <si>
    <t>45651|1</t>
  </si>
  <si>
    <t>上市 华安外高</t>
  </si>
  <si>
    <t>45652|1</t>
  </si>
  <si>
    <t>上市 平安宁波</t>
  </si>
  <si>
    <t>45656|1</t>
  </si>
  <si>
    <t>询价 易方达华</t>
  </si>
  <si>
    <t>45657|1</t>
  </si>
  <si>
    <t>询价 国君济南</t>
  </si>
  <si>
    <t>45657|2</t>
  </si>
  <si>
    <t>上市 招商科创</t>
  </si>
  <si>
    <t>45663|1</t>
  </si>
  <si>
    <t>发售 易方达华等2只</t>
  </si>
  <si>
    <t>45670|1</t>
  </si>
  <si>
    <t>询价 华夏金隅</t>
  </si>
  <si>
    <t>45673|1</t>
  </si>
  <si>
    <t>询价 汇添富九</t>
  </si>
  <si>
    <t>45674|1</t>
  </si>
  <si>
    <t>发售 华夏金隅</t>
  </si>
  <si>
    <t>45681|1</t>
  </si>
  <si>
    <t>上市 易方达华等2只</t>
  </si>
  <si>
    <t>45698|1</t>
  </si>
  <si>
    <t>发售 汇添富九</t>
  </si>
  <si>
    <t>45705|1</t>
  </si>
  <si>
    <t>上市 国君济南</t>
  </si>
  <si>
    <t>45714|1</t>
  </si>
  <si>
    <t>上市 华夏金隅</t>
  </si>
  <si>
    <t>45715|1</t>
  </si>
  <si>
    <t>上市 汇添富九</t>
  </si>
  <si>
    <t>45729|1</t>
  </si>
  <si>
    <t>询价 汇添富上</t>
  </si>
  <si>
    <t>45733|1</t>
  </si>
  <si>
    <t>询价 南方顺丰</t>
  </si>
  <si>
    <t>45733|2</t>
  </si>
  <si>
    <t>发售 汇添富上</t>
  </si>
  <si>
    <t>45737|1</t>
  </si>
  <si>
    <t>发售 南方顺丰</t>
  </si>
  <si>
    <t>45747|1</t>
  </si>
  <si>
    <t>上市 汇添富上</t>
  </si>
  <si>
    <t>45761|1</t>
  </si>
  <si>
    <t>询价 华泰恒泰</t>
  </si>
  <si>
    <t>45768|1</t>
  </si>
  <si>
    <t>上市 南方顺丰</t>
  </si>
  <si>
    <t>45769|1</t>
  </si>
  <si>
    <t>发售 华泰恒泰</t>
  </si>
  <si>
    <t>45798|1</t>
  </si>
  <si>
    <t>上市 华泰恒泰</t>
  </si>
  <si>
    <t>45813|1</t>
  </si>
  <si>
    <t>询价 中金亦庄</t>
  </si>
  <si>
    <t>45817|1</t>
  </si>
  <si>
    <t>询价 中金中国</t>
  </si>
  <si>
    <t>45818|1</t>
  </si>
  <si>
    <t>发售 中金亦庄</t>
  </si>
  <si>
    <t>45821|1</t>
  </si>
  <si>
    <t>发售 中金中国</t>
  </si>
  <si>
    <t>45824|1</t>
  </si>
  <si>
    <t>询价 中银中外</t>
  </si>
  <si>
    <t>45831|1</t>
  </si>
  <si>
    <t>发售 中银中外</t>
  </si>
  <si>
    <t>45833|1</t>
  </si>
  <si>
    <t>上市 华夏北京</t>
  </si>
  <si>
    <t>45834|1</t>
  </si>
  <si>
    <t>上市 中金亦庄</t>
  </si>
  <si>
    <t>45835|1</t>
  </si>
  <si>
    <t>询价 创金合信等2只</t>
  </si>
  <si>
    <t>45835|2</t>
  </si>
  <si>
    <t>上市 中金中国</t>
  </si>
  <si>
    <t>45839|1</t>
  </si>
  <si>
    <t>询价 南方润泽等2只</t>
  </si>
  <si>
    <t>45845|1</t>
  </si>
  <si>
    <t>发售 创金合信等2只</t>
  </si>
  <si>
    <t>45852|1</t>
  </si>
  <si>
    <t>发售 南方润泽等2只</t>
  </si>
  <si>
    <t>45863|1</t>
  </si>
  <si>
    <t>上市 创金合信</t>
  </si>
  <si>
    <t>45867|1</t>
  </si>
  <si>
    <t>上市 中银中外</t>
  </si>
  <si>
    <t>45870|1</t>
  </si>
  <si>
    <t>上市 华夏华电</t>
  </si>
  <si>
    <t>45877|1</t>
  </si>
  <si>
    <t>上市 南方润泽等2只</t>
  </si>
  <si>
    <t>45882|1</t>
  </si>
  <si>
    <t>询价 中金唯品</t>
  </si>
  <si>
    <t>45889|1</t>
  </si>
  <si>
    <t>发售 中金唯品</t>
  </si>
  <si>
    <t>45898|1</t>
  </si>
  <si>
    <t>45904|1</t>
  </si>
  <si>
    <t>询价 华夏凯德</t>
  </si>
  <si>
    <t>45909|1</t>
  </si>
  <si>
    <t>发售 华夏凯德</t>
  </si>
  <si>
    <t>45912|1</t>
  </si>
  <si>
    <t>上市 中金唯品</t>
  </si>
  <si>
    <t>45926|1</t>
  </si>
  <si>
    <t>询价 华夏中海</t>
  </si>
  <si>
    <t>45929|1</t>
  </si>
  <si>
    <t>询价 建投沈阳</t>
  </si>
  <si>
    <t>45929|2</t>
  </si>
  <si>
    <t>上市 华夏凯德</t>
  </si>
  <si>
    <t>45943|1</t>
  </si>
  <si>
    <t>发售 建投沈阳等2只</t>
  </si>
  <si>
    <t>45960|1</t>
  </si>
  <si>
    <t>询价 华夏安博</t>
  </si>
  <si>
    <t>45961|1</t>
  </si>
  <si>
    <t>上市 华夏中海</t>
  </si>
  <si>
    <t>45967|1</t>
  </si>
  <si>
    <t>上市 建投沈阳</t>
  </si>
  <si>
    <t>45972|1</t>
  </si>
  <si>
    <t>发售 华夏安博</t>
  </si>
  <si>
    <t>46008|1</t>
  </si>
  <si>
    <t>询价 华夏中核</t>
  </si>
  <si>
    <t>46010|1</t>
  </si>
  <si>
    <t>上市 华夏安博</t>
  </si>
  <si>
    <t>46013|1</t>
  </si>
  <si>
    <t>发售 华夏中核</t>
  </si>
  <si>
    <t>46017|1</t>
  </si>
  <si>
    <t>46034|1</t>
  </si>
  <si>
    <t>46037|1</t>
  </si>
  <si>
    <t>上市 中航京能</t>
  </si>
  <si>
    <t>46055|1</t>
  </si>
  <si>
    <t>上市 华夏中核</t>
  </si>
  <si>
    <t>46106|1</t>
  </si>
  <si>
    <t>询价 东证高速</t>
  </si>
  <si>
    <t>46108|1</t>
  </si>
  <si>
    <t>询价 中航昌保</t>
  </si>
  <si>
    <t>46113|1</t>
  </si>
  <si>
    <t>发售 东证高速</t>
  </si>
  <si>
    <t>46120|1</t>
  </si>
  <si>
    <t>发售 中航昌保</t>
  </si>
  <si>
    <t>46134|1</t>
  </si>
  <si>
    <t>46134|2</t>
  </si>
  <si>
    <t>上市 东证高速</t>
  </si>
  <si>
    <t>46139|1</t>
  </si>
  <si>
    <t>46141|1</t>
  </si>
  <si>
    <t>上市 中航昌保</t>
  </si>
  <si>
    <t>46155|1</t>
  </si>
  <si>
    <t>询价 中航中核</t>
  </si>
  <si>
    <t>46160|1</t>
  </si>
  <si>
    <t>发售 中航中核</t>
  </si>
  <si>
    <t>46161|1</t>
  </si>
  <si>
    <t>46162|1</t>
  </si>
  <si>
    <t>询价 国泰海通等2只</t>
  </si>
  <si>
    <t>46163|1</t>
  </si>
  <si>
    <t>46167|1</t>
  </si>
  <si>
    <t>发售 国泰海通等3只</t>
  </si>
  <si>
    <t>46168|1</t>
  </si>
  <si>
    <t>46169|1</t>
  </si>
  <si>
    <t>46177|1</t>
  </si>
  <si>
    <t>上市 中金厦门</t>
  </si>
  <si>
    <t>46191|1</t>
  </si>
  <si>
    <t>上市 国泰海通等4只</t>
  </si>
  <si>
    <t>46195|1</t>
  </si>
  <si>
    <t>询价 华泰三峡</t>
  </si>
  <si>
    <t>46199|1</t>
  </si>
  <si>
    <t>询价 华夏保利等3只</t>
  </si>
  <si>
    <t>46202|1</t>
  </si>
  <si>
    <t>询价 华安锦江</t>
  </si>
  <si>
    <t>46204|1</t>
  </si>
  <si>
    <t>发售 华泰三峡</t>
  </si>
  <si>
    <t>46206|1</t>
  </si>
  <si>
    <t>发售 创金合信</t>
  </si>
  <si>
    <t>46218|1</t>
  </si>
  <si>
    <t>发售 华夏保利</t>
  </si>
  <si>
    <t>46224|1</t>
  </si>
  <si>
    <t>发售 华安陆家</t>
  </si>
  <si>
    <t>46231|1</t>
  </si>
  <si>
    <t>上市 中航中核</t>
  </si>
  <si>
    <t>46233|1</t>
  </si>
  <si>
    <t>发售 华安锦江</t>
  </si>
  <si>
    <t>46241|1</t>
  </si>
  <si>
    <t>上市 华泰三峡</t>
  </si>
  <si>
    <t>46266|1</t>
  </si>
  <si>
    <t>询价 山证晋中</t>
  </si>
  <si>
    <t>46268|1</t>
  </si>
  <si>
    <t>46272|1</t>
  </si>
  <si>
    <t>发售 山证晋中</t>
  </si>
  <si>
    <t>46274|1</t>
  </si>
  <si>
    <t>询价 国泰海通</t>
  </si>
  <si>
    <t>46279|1</t>
  </si>
  <si>
    <t>发售 国泰海通</t>
  </si>
  <si>
    <t>46280|1</t>
  </si>
  <si>
    <t>询价 中金菜鸟</t>
  </si>
  <si>
    <t>46281|1</t>
  </si>
  <si>
    <t>询价 中金杭州</t>
  </si>
  <si>
    <t>46286|1</t>
  </si>
  <si>
    <t>询价 银华粤海</t>
  </si>
  <si>
    <t>46286|2</t>
  </si>
  <si>
    <t>发售 中金菜鸟</t>
  </si>
  <si>
    <t>46287|1</t>
  </si>
  <si>
    <t>发售 中金杭州</t>
  </si>
  <si>
    <t>46288|1</t>
  </si>
  <si>
    <t>询价 华泰华住等3只</t>
  </si>
  <si>
    <t>46289|1</t>
  </si>
  <si>
    <t>46293|1</t>
  </si>
  <si>
    <t>询价 平安西安等2只</t>
  </si>
  <si>
    <t>46303|1</t>
  </si>
  <si>
    <t>发售 银华粤海</t>
  </si>
  <si>
    <t>46307|1</t>
  </si>
  <si>
    <t>发售 长城华能</t>
  </si>
  <si>
    <t>46309|1</t>
  </si>
  <si>
    <t>发售 平安西安</t>
  </si>
  <si>
    <t>46314|1</t>
  </si>
  <si>
    <t>发售 华泰华住</t>
  </si>
  <si>
    <t>46317|1</t>
  </si>
  <si>
    <t>发售 广发新城</t>
  </si>
  <si>
    <t>46321|1</t>
  </si>
  <si>
    <t>发售 国金嘉泽</t>
  </si>
  <si>
    <t>46329|1</t>
  </si>
  <si>
    <t>2024中报</t>
  </si>
  <si>
    <t>2024年报</t>
  </si>
  <si>
    <t>2025中报</t>
  </si>
  <si>
    <t>2025年报</t>
  </si>
  <si>
    <t>用法：① 选基金 → ②③ 自动填入该基金的默认项目与口径（B 列可下拉改选）　｜　要多项目对比请用右侧 AA 列（换基金后自动清空）　｜　若切换后数字未刷新，按 F9 重算</t>
  </si>
  <si>
    <t>① 基金名称</t>
  </si>
  <si>
    <t>② 项目</t>
  </si>
  <si>
    <t>③ 报告期</t>
  </si>
  <si>
    <t>序号</t>
  </si>
  <si>
    <t>指标</t>
  </si>
  <si>
    <t>▸ 项目多选（点单元格下拉，可多行；顺序 = 展示顺序）</t>
  </si>
  <si>
    <t>可选项目清单（参考）</t>
  </si>
  <si>
    <t>季度</t>
  </si>
  <si>
    <t>macro ok 2026-10-11 17:18:40</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</si>
</sst>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yyyy\-mm\-dd"/>
    <numFmt numFmtId="177" formatCode="#,##0.000"/>
    <numFmt numFmtId="178" formatCode="#,##0.0000"/>
    <numFmt numFmtId="179" formatCode="00"/>
    <numFmt numFmtId="180" formatCode="yyyy\-m\-d"/>
    <numFmt numFmtId="181" formatCode="\+0.00%;\-0.00%;0.00%"/>
  </numFmts>
  <fonts count="18" x14ac:knownFonts="1">
    <font>
      <sz val="11"/>
      <color theme="1"/>
      <name val="宋体"/>
      <family val="2"/>
      <scheme val="minor"/>
    </font>
    <font>
      <b/>
      <u/>
      <sz val="10"/>
      <color rgb="FF0563C1"/>
      <name val="微软雅黑"/>
      <family val="2"/>
      <charset val="134"/>
    </font>
    <font>
      <b/>
      <sz val="10"/>
      <color rgb="FFFFFFFF"/>
      <name val="微软雅黑"/>
      <family val="2"/>
      <charset val="134"/>
    </font>
    <font>
      <sz val="10"/>
      <name val="微软雅黑"/>
      <family val="2"/>
      <charset val="134"/>
    </font>
    <font>
      <b/>
      <sz val="14"/>
      <color rgb="FF1F4E79"/>
      <name val="微软雅黑"/>
      <family val="2"/>
      <charset val="134"/>
    </font>
    <font>
      <b/>
      <sz val="10"/>
      <color rgb="FF1F4E79"/>
      <name val="微软雅黑"/>
      <family val="2"/>
      <charset val="134"/>
    </font>
    <font>
      <sz val="9"/>
      <color rgb="FFC55A11"/>
      <name val="微软雅黑"/>
      <family val="2"/>
      <charset val="134"/>
    </font>
    <font>
      <sz val="9"/>
      <color rgb="FF808080"/>
      <name val="微软雅黑"/>
      <family val="2"/>
      <charset val="134"/>
    </font>
    <font>
      <b/>
      <sz val="9"/>
      <color rgb="FF1F4E79"/>
      <name val="微软雅黑"/>
      <family val="2"/>
      <charset val="134"/>
    </font>
    <font>
      <sz val="8"/>
      <color rgb="FF404040"/>
      <name val="微软雅黑"/>
      <family val="2"/>
      <charset val="134"/>
    </font>
    <font>
      <b/>
      <sz val="9"/>
      <color rgb="FF595959"/>
      <name val="微软雅黑"/>
      <family val="2"/>
      <charset val="134"/>
    </font>
    <font>
      <sz val="9"/>
      <name val="微软雅黑"/>
      <family val="2"/>
      <charset val="134"/>
    </font>
    <font>
      <sz val="11"/>
      <color theme="1"/>
      <name val="微软雅黑"/>
      <family val="2"/>
      <charset val="134"/>
    </font>
    <font>
      <sz val="10"/>
      <name val="Times New Roman"/>
      <family val="1"/>
    </font>
    <font>
      <b/>
      <sz val="10"/>
      <color rgb="FF1F4E79"/>
      <name val="Times New Roman"/>
      <family val="1"/>
    </font>
    <font>
      <sz val="9"/>
      <name val="Times New Roman"/>
      <family val="1"/>
    </font>
    <font>
      <sz val="11"/>
      <color theme="1"/>
      <name val="Times New Roman"/>
      <family val="1"/>
    </font>
    <font>
      <sz val="9"/>
      <name val="宋体"/>
      <family val="3"/>
      <charset val="134"/>
      <scheme val="minor"/>
    </font>
  </fonts>
  <fills count="14">
    <fill>
      <patternFill patternType="none"/>
    </fill>
    <fill>
      <patternFill patternType="gray125"/>
    </fill>
    <fill>
      <patternFill patternType="solid">
        <fgColor rgb="FF1F4E79"/>
      </patternFill>
    </fill>
    <fill>
      <patternFill patternType="solid">
        <fgColor rgb="FFFFC7CE"/>
      </patternFill>
    </fill>
    <fill>
      <patternFill patternType="solid">
        <fgColor rgb="FFC6EFCE"/>
      </patternFill>
    </fill>
    <fill>
      <patternFill patternType="solid">
        <fgColor rgb="FFDDEBF7"/>
      </patternFill>
    </fill>
    <fill>
      <patternFill patternType="solid">
        <fgColor rgb="FFFFF2CC"/>
      </patternFill>
    </fill>
    <fill>
      <patternFill patternType="solid">
        <fgColor rgb="FFFCE4D6"/>
      </patternFill>
    </fill>
    <fill>
      <patternFill patternType="solid">
        <fgColor rgb="FFE4DFEC"/>
      </patternFill>
    </fill>
    <fill>
      <patternFill patternType="solid">
        <fgColor rgb="FFF2F2F2"/>
      </patternFill>
    </fill>
    <fill>
      <patternFill patternType="solid">
        <fgColor rgb="FFD0CECE"/>
      </patternFill>
    </fill>
    <fill>
      <patternFill patternType="solid">
        <fgColor rgb="FFD9E1F2"/>
      </patternFill>
    </fill>
    <fill>
      <patternFill patternType="solid">
        <fgColor rgb="FFDEEBF7"/>
      </patternFill>
    </fill>
    <fill>
      <patternFill patternType="solid">
        <fgColor rgb="FFFFFF00"/>
        <bgColor indexed="64"/>
      </patternFill>
    </fill>
  </fills>
  <borders count="5">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diagonal/>
    </border>
    <border>
      <left style="thin">
        <color rgb="FFBFBFBF"/>
      </left>
      <right style="thin">
        <color rgb="FFBFBFBF"/>
      </right>
      <top/>
      <bottom style="thin">
        <color rgb="FFBFBFBF"/>
      </bottom>
      <diagonal/>
    </border>
  </borders>
  <cellStyleXfs count="1">
    <xf numFmtId="0" fontId="0" fillId="0" borderId="0"/>
  </cellStyleXfs>
  <cellXfs count="94">
    <xf numFmtId="0" fontId="0" fillId="0" borderId="0" xfId="0"/>
    <xf numFmtId="0" fontId="4" fillId="0" borderId="0" xfId="0" applyFont="1"/>
    <xf numFmtId="0" fontId="12" fillId="0" borderId="0" xfId="0" applyFont="1"/>
    <xf numFmtId="0" fontId="5" fillId="0" borderId="0" xfId="0" applyFont="1"/>
    <xf numFmtId="0" fontId="6" fillId="0" borderId="0" xfId="0" applyFont="1" applyAlignment="1">
      <alignment horizontal="left" vertical="center"/>
    </xf>
    <xf numFmtId="0" fontId="7" fillId="0" borderId="0" xfId="0" applyFont="1"/>
    <xf numFmtId="0" fontId="2" fillId="2" borderId="1" xfId="0" applyFont="1" applyFill="1" applyBorder="1" applyAlignment="1">
      <alignment horizontal="center" vertical="center" wrapText="1"/>
    </xf>
    <xf numFmtId="0" fontId="8" fillId="0" borderId="2" xfId="0" applyFont="1" applyBorder="1" applyAlignment="1">
      <alignment horizontal="left" vertical="top"/>
    </xf>
    <xf numFmtId="0" fontId="9" fillId="0" borderId="3" xfId="0" applyFont="1" applyBorder="1" applyAlignment="1">
      <alignment horizontal="left" vertical="center"/>
    </xf>
    <xf numFmtId="0" fontId="9" fillId="0" borderId="4" xfId="0" applyFont="1" applyBorder="1" applyAlignment="1">
      <alignment horizontal="left" vertical="center"/>
    </xf>
    <xf numFmtId="0" fontId="5" fillId="12" borderId="0" xfId="0" applyFont="1" applyFill="1" applyAlignment="1">
      <alignment horizontal="center" vertical="center"/>
    </xf>
    <xf numFmtId="0" fontId="10" fillId="0" borderId="1" xfId="0" applyFont="1" applyBorder="1" applyAlignment="1">
      <alignment horizontal="center" vertical="center"/>
    </xf>
    <xf numFmtId="1" fontId="15" fillId="0" borderId="1" xfId="0" applyNumberFormat="1" applyFont="1" applyBorder="1" applyAlignment="1">
      <alignment horizontal="center" vertical="center"/>
    </xf>
    <xf numFmtId="0" fontId="11" fillId="0" borderId="1" xfId="0" applyFont="1" applyBorder="1" applyAlignment="1">
      <alignment horizontal="left" vertical="center"/>
    </xf>
    <xf numFmtId="4" fontId="15" fillId="0" borderId="1" xfId="0" applyNumberFormat="1" applyFont="1" applyBorder="1" applyAlignment="1">
      <alignment horizontal="center" vertical="center"/>
    </xf>
    <xf numFmtId="10" fontId="15" fillId="0" borderId="1" xfId="0" applyNumberFormat="1" applyFont="1" applyBorder="1" applyAlignment="1">
      <alignment horizontal="center" vertical="center"/>
    </xf>
    <xf numFmtId="181" fontId="15" fillId="0" borderId="1" xfId="0" applyNumberFormat="1" applyFont="1" applyBorder="1" applyAlignment="1">
      <alignment horizontal="center" vertical="center"/>
    </xf>
    <xf numFmtId="0" fontId="10" fillId="0" borderId="1" xfId="0" applyFont="1" applyBorder="1" applyAlignment="1">
      <alignment horizontal="center" vertical="center" wrapText="1"/>
    </xf>
    <xf numFmtId="4" fontId="15" fillId="0" borderId="1" xfId="0" applyNumberFormat="1" applyFont="1" applyBorder="1" applyAlignment="1">
      <alignment horizontal="right" vertical="center"/>
    </xf>
    <xf numFmtId="2" fontId="15" fillId="0" borderId="1" xfId="0" applyNumberFormat="1" applyFont="1" applyBorder="1" applyAlignment="1">
      <alignment horizontal="right" vertical="center"/>
    </xf>
    <xf numFmtId="0" fontId="16" fillId="0" borderId="0" xfId="0" applyFont="1"/>
    <xf numFmtId="4" fontId="16" fillId="0" borderId="0" xfId="0" applyNumberFormat="1" applyFont="1"/>
    <xf numFmtId="177" fontId="16" fillId="0" borderId="0" xfId="0" applyNumberFormat="1" applyFont="1"/>
    <xf numFmtId="10" fontId="16" fillId="0" borderId="0" xfId="0" applyNumberFormat="1" applyFont="1"/>
    <xf numFmtId="3" fontId="16" fillId="0" borderId="0" xfId="0" applyNumberFormat="1" applyFont="1"/>
    <xf numFmtId="176" fontId="16" fillId="0" borderId="0" xfId="0" applyNumberFormat="1" applyFont="1"/>
    <xf numFmtId="176" fontId="0" fillId="0" borderId="0" xfId="0" applyNumberFormat="1"/>
    <xf numFmtId="4" fontId="0" fillId="0" borderId="0" xfId="0" applyNumberFormat="1"/>
    <xf numFmtId="177" fontId="0" fillId="0" borderId="0" xfId="0" applyNumberFormat="1"/>
    <xf numFmtId="10" fontId="0" fillId="0" borderId="0" xfId="0" applyNumberFormat="1"/>
    <xf numFmtId="3" fontId="0" fillId="0" borderId="0" xfId="0" applyNumberFormat="1"/>
    <xf numFmtId="4" fontId="12" fillId="0" borderId="0" xfId="0" applyNumberFormat="1" applyFont="1"/>
    <xf numFmtId="0" fontId="3" fillId="0" borderId="0" xfId="0" applyFont="1" applyAlignment="1">
      <alignment horizontal="center" vertical="center" wrapText="1"/>
    </xf>
    <xf numFmtId="10" fontId="13" fillId="0" borderId="0" xfId="0" applyNumberFormat="1" applyFont="1" applyAlignment="1">
      <alignment horizontal="center" vertical="center"/>
    </xf>
    <xf numFmtId="0" fontId="3" fillId="0" borderId="0" xfId="0" applyFont="1" applyAlignment="1">
      <alignment horizontal="right" vertical="center"/>
    </xf>
    <xf numFmtId="58" fontId="13" fillId="0" borderId="0" xfId="0" applyNumberFormat="1" applyFont="1" applyAlignment="1">
      <alignment horizontal="left" vertical="center"/>
    </xf>
    <xf numFmtId="178" fontId="16" fillId="0" borderId="0" xfId="0" applyNumberFormat="1" applyFont="1"/>
    <xf numFmtId="10" fontId="12" fillId="0" borderId="0" xfId="0" applyNumberFormat="1" applyFont="1"/>
    <xf numFmtId="0" fontId="16" fillId="3" borderId="0" xfId="0" applyFont="1" applyFill="1"/>
    <xf numFmtId="0" fontId="12" fillId="3" borderId="0" xfId="0" applyFont="1" applyFill="1"/>
    <xf numFmtId="4" fontId="16" fillId="3" borderId="0" xfId="0" applyNumberFormat="1" applyFont="1" applyFill="1"/>
    <xf numFmtId="10" fontId="16" fillId="3" borderId="0" xfId="0" applyNumberFormat="1" applyFont="1" applyFill="1"/>
    <xf numFmtId="0" fontId="0" fillId="4" borderId="0" xfId="0" applyFill="1"/>
    <xf numFmtId="0" fontId="12" fillId="4" borderId="0" xfId="0" applyFont="1" applyFill="1"/>
    <xf numFmtId="0" fontId="16" fillId="4" borderId="0" xfId="0" applyFont="1" applyFill="1"/>
    <xf numFmtId="4" fontId="0" fillId="4" borderId="0" xfId="0" applyNumberFormat="1" applyFill="1"/>
    <xf numFmtId="10" fontId="16" fillId="4" borderId="0" xfId="0" applyNumberFormat="1" applyFont="1" applyFill="1"/>
    <xf numFmtId="180" fontId="0" fillId="0" borderId="0" xfId="0" applyNumberFormat="1"/>
    <xf numFmtId="0" fontId="13" fillId="0" borderId="1" xfId="0" applyFont="1" applyBorder="1" applyAlignment="1">
      <alignment horizontal="left" vertical="center"/>
    </xf>
    <xf numFmtId="0" fontId="3" fillId="0" borderId="1" xfId="0" applyFont="1" applyBorder="1" applyAlignment="1">
      <alignment horizontal="left" vertical="center"/>
    </xf>
    <xf numFmtId="0" fontId="3" fillId="0" borderId="1" xfId="0" applyFont="1" applyBorder="1" applyAlignment="1">
      <alignment horizontal="right" vertical="center"/>
    </xf>
    <xf numFmtId="0" fontId="3" fillId="6" borderId="1" xfId="0" applyFont="1" applyFill="1" applyBorder="1"/>
    <xf numFmtId="0" fontId="7" fillId="0" borderId="1" xfId="0" applyFont="1" applyBorder="1"/>
    <xf numFmtId="0" fontId="16" fillId="13" borderId="0" xfId="0" applyFont="1" applyFill="1"/>
    <xf numFmtId="0" fontId="12" fillId="13" borderId="0" xfId="0" applyFont="1" applyFill="1"/>
    <xf numFmtId="176" fontId="16" fillId="13" borderId="0" xfId="0" applyNumberFormat="1" applyFont="1" applyFill="1"/>
    <xf numFmtId="4" fontId="16" fillId="13" borderId="0" xfId="0" applyNumberFormat="1" applyFont="1" applyFill="1"/>
    <xf numFmtId="10" fontId="16" fillId="13" borderId="0" xfId="0" applyNumberFormat="1" applyFont="1" applyFill="1"/>
    <xf numFmtId="0" fontId="0" fillId="13" borderId="0" xfId="0" applyFill="1"/>
    <xf numFmtId="3" fontId="16" fillId="13" borderId="0" xfId="0" applyNumberFormat="1" applyFont="1" applyFill="1"/>
    <xf numFmtId="4" fontId="0" fillId="13" borderId="0" xfId="0" applyNumberFormat="1" applyFill="1"/>
    <xf numFmtId="0" fontId="1" fillId="0" borderId="0" xfId="0" applyFont="1"/>
    <xf numFmtId="0" fontId="0" fillId="0" borderId="0" xfId="0"/>
    <xf numFmtId="0" fontId="11" fillId="0" borderId="1" xfId="0" applyFont="1" applyBorder="1" applyAlignment="1">
      <alignment horizontal="left" vertical="center"/>
    </xf>
    <xf numFmtId="0" fontId="0" fillId="0" borderId="1" xfId="0" applyBorder="1"/>
    <xf numFmtId="0" fontId="5" fillId="12" borderId="1" xfId="0" applyFont="1" applyFill="1" applyBorder="1" applyAlignment="1">
      <alignment horizontal="center" vertical="center"/>
    </xf>
    <xf numFmtId="0" fontId="6" fillId="0" borderId="0" xfId="0" applyFont="1" applyAlignment="1">
      <alignment horizontal="left" vertical="center"/>
    </xf>
    <xf numFmtId="0" fontId="10" fillId="0" borderId="1" xfId="0" applyFont="1" applyBorder="1" applyAlignment="1">
      <alignment horizontal="center" vertical="center"/>
    </xf>
    <xf numFmtId="0" fontId="2" fillId="2" borderId="1" xfId="0" applyFont="1" applyFill="1" applyBorder="1" applyAlignment="1">
      <alignment horizontal="center" vertical="center" wrapText="1"/>
    </xf>
    <xf numFmtId="0" fontId="5" fillId="0" borderId="0" xfId="0" applyFont="1"/>
    <xf numFmtId="1" fontId="13" fillId="0" borderId="1" xfId="0" applyNumberFormat="1" applyFont="1" applyBorder="1" applyAlignment="1">
      <alignment horizontal="center" vertical="center"/>
    </xf>
    <xf numFmtId="0" fontId="1" fillId="0" borderId="1" xfId="0" applyFont="1" applyBorder="1" applyAlignment="1">
      <alignment horizontal="left" vertical="center"/>
    </xf>
    <xf numFmtId="179" fontId="13" fillId="0" borderId="1" xfId="0" applyNumberFormat="1" applyFont="1" applyBorder="1" applyAlignment="1">
      <alignment horizontal="center" vertical="center"/>
    </xf>
    <xf numFmtId="0" fontId="2" fillId="2" borderId="0" xfId="0" applyFont="1" applyFill="1" applyAlignment="1">
      <alignment horizontal="left" vertical="center"/>
    </xf>
    <xf numFmtId="0" fontId="0" fillId="2" borderId="0" xfId="0" applyFill="1"/>
    <xf numFmtId="0" fontId="5" fillId="12" borderId="0" xfId="0" applyFont="1" applyFill="1" applyAlignment="1">
      <alignment horizontal="center" vertical="center"/>
    </xf>
    <xf numFmtId="0" fontId="2" fillId="2" borderId="1" xfId="0" applyFont="1" applyFill="1" applyBorder="1" applyAlignment="1">
      <alignment horizontal="center" vertical="center"/>
    </xf>
    <xf numFmtId="0" fontId="1" fillId="4" borderId="1" xfId="0" applyFont="1" applyFill="1" applyBorder="1" applyAlignment="1">
      <alignment horizontal="center" vertical="center"/>
    </xf>
    <xf numFmtId="4" fontId="13" fillId="0" borderId="1" xfId="0" applyNumberFormat="1" applyFont="1" applyBorder="1" applyAlignment="1">
      <alignment horizontal="right" vertical="center"/>
    </xf>
    <xf numFmtId="0" fontId="10" fillId="0" borderId="1" xfId="0" applyFont="1" applyBorder="1" applyAlignment="1">
      <alignment horizontal="center" vertical="center" wrapText="1"/>
    </xf>
    <xf numFmtId="0" fontId="1" fillId="8" borderId="1" xfId="0" applyFont="1" applyFill="1" applyBorder="1" applyAlignment="1">
      <alignment horizontal="center" vertical="center"/>
    </xf>
    <xf numFmtId="0" fontId="7" fillId="0" borderId="0" xfId="0" applyFont="1" applyAlignment="1">
      <alignment horizontal="left" vertical="center" wrapText="1"/>
    </xf>
    <xf numFmtId="1" fontId="14" fillId="0" borderId="1" xfId="0" applyNumberFormat="1" applyFont="1" applyBorder="1" applyAlignment="1">
      <alignment horizontal="center" vertical="center"/>
    </xf>
    <xf numFmtId="0" fontId="7" fillId="0" borderId="0" xfId="0" applyFont="1" applyAlignment="1">
      <alignment horizontal="left" vertical="center"/>
    </xf>
    <xf numFmtId="0" fontId="1" fillId="7" borderId="1" xfId="0" applyFont="1" applyFill="1" applyBorder="1" applyAlignment="1">
      <alignment horizontal="center" vertical="center"/>
    </xf>
    <xf numFmtId="0" fontId="5" fillId="0" borderId="1" xfId="0" applyFont="1" applyBorder="1" applyAlignment="1">
      <alignment horizontal="left" vertical="center"/>
    </xf>
    <xf numFmtId="0" fontId="5" fillId="11" borderId="1" xfId="0" applyFont="1" applyFill="1" applyBorder="1" applyAlignment="1">
      <alignment horizontal="center" vertical="center"/>
    </xf>
    <xf numFmtId="0" fontId="1" fillId="5" borderId="1" xfId="0" applyFont="1" applyFill="1" applyBorder="1" applyAlignment="1">
      <alignment horizontal="center" vertical="center"/>
    </xf>
    <xf numFmtId="0" fontId="1" fillId="6" borderId="1" xfId="0" applyFont="1" applyFill="1" applyBorder="1" applyAlignment="1">
      <alignment horizontal="center" vertical="center"/>
    </xf>
    <xf numFmtId="4" fontId="14" fillId="0" borderId="1" xfId="0" applyNumberFormat="1" applyFont="1" applyBorder="1" applyAlignment="1">
      <alignment horizontal="right" vertical="center"/>
    </xf>
    <xf numFmtId="0" fontId="1" fillId="9" borderId="1" xfId="0" applyFont="1" applyFill="1" applyBorder="1" applyAlignment="1">
      <alignment horizontal="center" vertical="center"/>
    </xf>
    <xf numFmtId="0" fontId="1" fillId="10" borderId="1" xfId="0" applyFont="1" applyFill="1" applyBorder="1" applyAlignment="1">
      <alignment horizontal="center" vertical="center"/>
    </xf>
    <xf numFmtId="0" fontId="3" fillId="6" borderId="1" xfId="0" applyFont="1" applyFill="1" applyBorder="1" applyAlignment="1">
      <alignment horizontal="left" vertical="center"/>
    </xf>
    <xf numFmtId="0" fontId="3" fillId="6" borderId="0" xfId="0" applyFont="1" applyFill="1"/>
  </cellXfs>
  <cellStyles count="1">
    <cellStyle name="常规" xfId="0" builtinId="0"/>
  </cellStyles>
  <dxfs count="17">
    <dxf>
      <font>
        <b/>
        <sz val="9"/>
        <color rgb="FFC00000"/>
        <name val="微软雅黑"/>
      </font>
      <fill>
        <patternFill patternType="solid">
          <fgColor rgb="FFFCE4E4"/>
        </patternFill>
      </fill>
    </dxf>
    <dxf>
      <font>
        <b/>
        <sz val="9"/>
        <color rgb="FFC00000"/>
        <name val="微软雅黑"/>
      </font>
      <fill>
        <patternFill patternType="solid">
          <fgColor rgb="FFFCE4E4"/>
        </patternFill>
      </fill>
    </dxf>
    <dxf>
      <font>
        <b/>
        <sz val="9"/>
        <color rgb="FFC00000"/>
        <name val="微软雅黑"/>
      </font>
      <fill>
        <patternFill patternType="solid">
          <fgColor rgb="FFFCE4E4"/>
        </patternFill>
      </fill>
    </dxf>
    <dxf>
      <font>
        <sz val="10"/>
        <color rgb="FFBFBFBF"/>
        <name val="微软雅黑"/>
      </font>
    </dxf>
    <dxf>
      <font>
        <sz val="10"/>
        <color rgb="FFBFBFBF"/>
        <name val="微软雅黑"/>
      </font>
    </dxf>
    <dxf>
      <font>
        <b/>
        <sz val="10"/>
        <color rgb="FF3F3F3F"/>
        <name val="微软雅黑"/>
      </font>
      <fill>
        <patternFill>
          <bgColor rgb="FFD0CECE"/>
        </patternFill>
      </fill>
    </dxf>
    <dxf>
      <font>
        <b/>
        <sz val="10"/>
        <color rgb="FF3F3F3F"/>
        <name val="微软雅黑"/>
      </font>
      <fill>
        <patternFill>
          <bgColor rgb="FFF2F2F2"/>
        </patternFill>
      </fill>
    </dxf>
    <dxf>
      <font>
        <b/>
        <sz val="10"/>
        <color rgb="FF3F3F3F"/>
        <name val="微软雅黑"/>
      </font>
      <fill>
        <patternFill>
          <bgColor rgb="FFE4DFEC"/>
        </patternFill>
      </fill>
    </dxf>
    <dxf>
      <font>
        <b/>
        <sz val="10"/>
        <color rgb="FF3F3F3F"/>
        <name val="微软雅黑"/>
      </font>
      <fill>
        <patternFill>
          <bgColor rgb="FFFCE4D6"/>
        </patternFill>
      </fill>
    </dxf>
    <dxf>
      <font>
        <b/>
        <sz val="10"/>
        <color rgb="FF3F3F3F"/>
        <name val="微软雅黑"/>
      </font>
      <fill>
        <patternFill>
          <bgColor rgb="FFFFF2CC"/>
        </patternFill>
      </fill>
    </dxf>
    <dxf>
      <font>
        <b/>
        <sz val="10"/>
        <color rgb="FF3F3F3F"/>
        <name val="微软雅黑"/>
      </font>
      <fill>
        <patternFill>
          <bgColor rgb="FFDDEBF7"/>
        </patternFill>
      </fill>
    </dxf>
    <dxf>
      <font>
        <b/>
        <sz val="10"/>
        <color rgb="FF3F3F3F"/>
        <name val="微软雅黑"/>
      </font>
      <fill>
        <patternFill>
          <bgColor rgb="FFC6EFCE"/>
        </patternFill>
      </fill>
    </dxf>
    <dxf>
      <font>
        <b/>
      </font>
    </dxf>
    <dxf>
      <font>
        <color rgb="FFC00000"/>
      </font>
    </dxf>
    <dxf>
      <font>
        <color rgb="FFC55A11"/>
      </font>
    </dxf>
    <dxf>
      <font>
        <color rgb="FF0563C1"/>
      </font>
    </dxf>
    <dxf>
      <fill>
        <patternFill>
          <bgColor rgb="FFFFF2C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c:style val="2"/>
  <c:chart>
    <c:autoTitleDeleted val="1"/>
    <c:plotArea>
      <c:layout/>
      <c:barChart>
        <c:barDir val="col"/>
        <c:grouping val="clustered"/>
        <c:varyColors val="1"/>
        <c:ser>
          <c:idx val="0"/>
          <c:order val="0"/>
          <c:tx>
            <c:strRef>
              <c:f>_calc!$BJ$1</c:f>
              <c:strCache>
                <c:ptCount val="1"/>
                <c:pt idx="0">
                  <c:v>预期值-第1年</c:v>
                </c:pt>
              </c:strCache>
            </c:strRef>
          </c:tx>
          <c:spPr>
            <a:solidFill>
              <a:srgbClr val="1F4E79"/>
            </a:solidFill>
            <a:ln>
              <a:prstDash val="solid"/>
            </a:ln>
          </c:spPr>
          <c:invertIfNegative val="1"/>
          <c:cat>
            <c:multiLvlStrRef>
              <c:f>_calc!$BH$2:$BI$30</c:f>
              <c:multiLvlStrCache>
                <c:ptCount val="29"/>
                <c:lvl>
                  <c:pt idx="0">
                    <c:v>华夏凯德商业REIT</c:v>
                  </c:pt>
                  <c:pt idx="1">
                    <c:v>华泰华住安住REIT</c:v>
                  </c:pt>
                  <c:pt idx="2">
                    <c:v>广发新城吾悦商业REIT</c:v>
                  </c:pt>
                  <c:pt idx="3">
                    <c:v>华安锦江商业REIT</c:v>
                  </c:pt>
                  <c:pt idx="4">
                    <c:v>华安陆家嘴商业REIT</c:v>
                  </c:pt>
                  <c:pt idx="5">
                    <c:v>华夏保利商业REIT</c:v>
                  </c:pt>
                  <c:pt idx="6">
                    <c:v>中金开元旅业·反馈回复稿</c:v>
                  </c:pt>
                  <c:pt idx="7">
                    <c:v>华夏世纪金源·申报稿</c:v>
                  </c:pt>
                  <c:pt idx="8">
                    <c:v>华夏凯华商业·申报稿</c:v>
                  </c:pt>
                  <c:pt idx="9">
                    <c:v>汇添富顺联商业·申报稿</c:v>
                  </c:pt>
                  <c:pt idx="10">
                    <c:v>招商蛇口不动产·封卷稿</c:v>
                  </c:pt>
                  <c:pt idx="11">
                    <c:v>广发新世界·申报稿</c:v>
                  </c:pt>
                  <c:pt idx="12">
                    <c:v>国泰海通鹏瑞利·申报稿</c:v>
                  </c:pt>
                  <c:pt idx="13">
                    <c:v>国联安泰华城·申报稿</c:v>
                  </c:pt>
                  <c:pt idx="14">
                    <c:v>华夏中海不动产·申报稿</c:v>
                  </c:pt>
                  <c:pt idx="15">
                    <c:v>中金中国绿发商业·申报稿</c:v>
                  </c:pt>
                  <c:pt idx="16">
                    <c:v>嘉实陶邑消费·申报稿</c:v>
                  </c:pt>
                  <c:pt idx="17">
                    <c:v>华安中电浦软·申报稿</c:v>
                  </c:pt>
                  <c:pt idx="18">
                    <c:v>华泰金鹰·申报稿</c:v>
                  </c:pt>
                  <c:pt idx="19">
                    <c:v>华夏大悦城商业·申报稿</c:v>
                  </c:pt>
                  <c:pt idx="20">
                    <c:v>广发海珠城·申报稿</c:v>
                  </c:pt>
                  <c:pt idx="21">
                    <c:v>红土创新茂业·申报稿</c:v>
                  </c:pt>
                  <c:pt idx="22">
                    <c:v>华夏华润置地·申报稿</c:v>
                  </c:pt>
                  <c:pt idx="23">
                    <c:v>国联安复星·申报稿</c:v>
                  </c:pt>
                  <c:pt idx="24">
                    <c:v>红土创新星河·申报稿</c:v>
                  </c:pt>
                  <c:pt idx="25">
                    <c:v>嘉实首开商业·申报稿</c:v>
                  </c:pt>
                  <c:pt idx="26">
                    <c:v>国泰海通崇邦·反馈回复稿</c:v>
                  </c:pt>
                  <c:pt idx="27">
                    <c:v>光大安石·注册稿</c:v>
                  </c:pt>
                  <c:pt idx="28">
                    <c:v>华夏银泰·反馈回复稿</c:v>
                  </c:pt>
                </c:lvl>
                <c:lvl>
                  <c:pt idx="0">
                    <c:v>已询价</c:v>
                  </c:pt>
                  <c:pt idx="6">
                    <c:v>已受理</c:v>
                  </c:pt>
                </c:lvl>
              </c:multiLvlStrCache>
            </c:multiLvlStrRef>
          </c:cat>
          <c:val>
            <c:numRef>
              <c:f>_calc!$BJ$2:$BJ$30</c:f>
              <c:numCache>
                <c:formatCode>0.00%</c:formatCode>
                <c:ptCount val="29"/>
                <c:pt idx="0">
                  <c:v>4.7E-2</c:v>
                </c:pt>
                <c:pt idx="1">
                  <c:v>5.5100000000000003E-2</c:v>
                </c:pt>
                <c:pt idx="2">
                  <c:v>5.6500000000000002E-2</c:v>
                </c:pt>
                <c:pt idx="3">
                  <c:v>4.5600000000000002E-2</c:v>
                </c:pt>
                <c:pt idx="4">
                  <c:v>4.5400000000000003E-2</c:v>
                </c:pt>
                <c:pt idx="5">
                  <c:v>5.3900000000000003E-2</c:v>
                </c:pt>
                <c:pt idx="6">
                  <c:v>5.0099999999999999E-2</c:v>
                </c:pt>
                <c:pt idx="7">
                  <c:v>0.04</c:v>
                </c:pt>
                <c:pt idx="8">
                  <c:v>5.7799999999999997E-2</c:v>
                </c:pt>
                <c:pt idx="9">
                  <c:v>5.0700000000000002E-2</c:v>
                </c:pt>
                <c:pt idx="10">
                  <c:v>4.99E-2</c:v>
                </c:pt>
                <c:pt idx="11">
                  <c:v>4.7899999999999998E-2</c:v>
                </c:pt>
                <c:pt idx="12">
                  <c:v>5.5500000000000001E-2</c:v>
                </c:pt>
                <c:pt idx="13">
                  <c:v>4.6399999999999997E-2</c:v>
                </c:pt>
                <c:pt idx="14">
                  <c:v>4.6100000000000002E-2</c:v>
                </c:pt>
                <c:pt idx="15">
                  <c:v>4.5699999999999998E-2</c:v>
                </c:pt>
                <c:pt idx="16">
                  <c:v>5.2299999999999999E-2</c:v>
                </c:pt>
                <c:pt idx="17">
                  <c:v>5.9799999999999999E-2</c:v>
                </c:pt>
                <c:pt idx="18">
                  <c:v>4.9500000000000002E-2</c:v>
                </c:pt>
                <c:pt idx="19">
                  <c:v>4.4299999999999999E-2</c:v>
                </c:pt>
                <c:pt idx="20">
                  <c:v>4.7699999999999999E-2</c:v>
                </c:pt>
                <c:pt idx="21">
                  <c:v>5.3199999999999997E-2</c:v>
                </c:pt>
                <c:pt idx="22">
                  <c:v>4.4900000000000002E-2</c:v>
                </c:pt>
                <c:pt idx="23">
                  <c:v>4.5600000000000002E-2</c:v>
                </c:pt>
                <c:pt idx="24">
                  <c:v>4.2299999999999997E-2</c:v>
                </c:pt>
                <c:pt idx="25">
                  <c:v>5.4600000000000003E-2</c:v>
                </c:pt>
                <c:pt idx="26">
                  <c:v>5.2600000000000001E-2</c:v>
                </c:pt>
                <c:pt idx="27">
                  <c:v>4.5999999999999999E-2</c:v>
                </c:pt>
                <c:pt idx="28">
                  <c:v>4.6399999999999997E-2</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0-4CD7-46B9-B3F2-8A91BF972462}"/>
            </c:ext>
          </c:extLst>
        </c:ser>
        <c:ser>
          <c:idx val="1"/>
          <c:order val="1"/>
          <c:tx>
            <c:strRef>
              <c:f>_calc!$BK$1</c:f>
              <c:strCache>
                <c:ptCount val="1"/>
                <c:pt idx="0">
                  <c:v>预期值-第2年</c:v>
                </c:pt>
              </c:strCache>
            </c:strRef>
          </c:tx>
          <c:spPr>
            <a:solidFill>
              <a:srgbClr val="8EAADB"/>
            </a:solidFill>
            <a:ln>
              <a:prstDash val="solid"/>
            </a:ln>
          </c:spPr>
          <c:invertIfNegative val="1"/>
          <c:cat>
            <c:multiLvlStrRef>
              <c:f>_calc!$BH$2:$BI$30</c:f>
              <c:multiLvlStrCache>
                <c:ptCount val="29"/>
                <c:lvl>
                  <c:pt idx="0">
                    <c:v>华夏凯德商业REIT</c:v>
                  </c:pt>
                  <c:pt idx="1">
                    <c:v>华泰华住安住REIT</c:v>
                  </c:pt>
                  <c:pt idx="2">
                    <c:v>广发新城吾悦商业REIT</c:v>
                  </c:pt>
                  <c:pt idx="3">
                    <c:v>华安锦江商业REIT</c:v>
                  </c:pt>
                  <c:pt idx="4">
                    <c:v>华安陆家嘴商业REIT</c:v>
                  </c:pt>
                  <c:pt idx="5">
                    <c:v>华夏保利商业REIT</c:v>
                  </c:pt>
                  <c:pt idx="6">
                    <c:v>中金开元旅业·反馈回复稿</c:v>
                  </c:pt>
                  <c:pt idx="7">
                    <c:v>华夏世纪金源·申报稿</c:v>
                  </c:pt>
                  <c:pt idx="8">
                    <c:v>华夏凯华商业·申报稿</c:v>
                  </c:pt>
                  <c:pt idx="9">
                    <c:v>汇添富顺联商业·申报稿</c:v>
                  </c:pt>
                  <c:pt idx="10">
                    <c:v>招商蛇口不动产·封卷稿</c:v>
                  </c:pt>
                  <c:pt idx="11">
                    <c:v>广发新世界·申报稿</c:v>
                  </c:pt>
                  <c:pt idx="12">
                    <c:v>国泰海通鹏瑞利·申报稿</c:v>
                  </c:pt>
                  <c:pt idx="13">
                    <c:v>国联安泰华城·申报稿</c:v>
                  </c:pt>
                  <c:pt idx="14">
                    <c:v>华夏中海不动产·申报稿</c:v>
                  </c:pt>
                  <c:pt idx="15">
                    <c:v>中金中国绿发商业·申报稿</c:v>
                  </c:pt>
                  <c:pt idx="16">
                    <c:v>嘉实陶邑消费·申报稿</c:v>
                  </c:pt>
                  <c:pt idx="17">
                    <c:v>华安中电浦软·申报稿</c:v>
                  </c:pt>
                  <c:pt idx="18">
                    <c:v>华泰金鹰·申报稿</c:v>
                  </c:pt>
                  <c:pt idx="19">
                    <c:v>华夏大悦城商业·申报稿</c:v>
                  </c:pt>
                  <c:pt idx="20">
                    <c:v>广发海珠城·申报稿</c:v>
                  </c:pt>
                  <c:pt idx="21">
                    <c:v>红土创新茂业·申报稿</c:v>
                  </c:pt>
                  <c:pt idx="22">
                    <c:v>华夏华润置地·申报稿</c:v>
                  </c:pt>
                  <c:pt idx="23">
                    <c:v>国联安复星·申报稿</c:v>
                  </c:pt>
                  <c:pt idx="24">
                    <c:v>红土创新星河·申报稿</c:v>
                  </c:pt>
                  <c:pt idx="25">
                    <c:v>嘉实首开商业·申报稿</c:v>
                  </c:pt>
                  <c:pt idx="26">
                    <c:v>国泰海通崇邦·反馈回复稿</c:v>
                  </c:pt>
                  <c:pt idx="27">
                    <c:v>光大安石·注册稿</c:v>
                  </c:pt>
                  <c:pt idx="28">
                    <c:v>华夏银泰·反馈回复稿</c:v>
                  </c:pt>
                </c:lvl>
                <c:lvl>
                  <c:pt idx="0">
                    <c:v>已询价</c:v>
                  </c:pt>
                  <c:pt idx="6">
                    <c:v>已受理</c:v>
                  </c:pt>
                </c:lvl>
              </c:multiLvlStrCache>
            </c:multiLvlStrRef>
          </c:cat>
          <c:val>
            <c:numRef>
              <c:f>_calc!$BK$2:$BK$30</c:f>
              <c:numCache>
                <c:formatCode>0.00%</c:formatCode>
                <c:ptCount val="29"/>
                <c:pt idx="0">
                  <c:v>4.7300000000000002E-2</c:v>
                </c:pt>
                <c:pt idx="1">
                  <c:v>5.6399999999999999E-2</c:v>
                </c:pt>
                <c:pt idx="2">
                  <c:v>5.7700000000000001E-2</c:v>
                </c:pt>
                <c:pt idx="3">
                  <c:v>4.3200000000000002E-2</c:v>
                </c:pt>
                <c:pt idx="4">
                  <c:v>4.8300000000000003E-2</c:v>
                </c:pt>
                <c:pt idx="5">
                  <c:v>5.4100000000000002E-2</c:v>
                </c:pt>
                <c:pt idx="6">
                  <c:v>5.28E-2</c:v>
                </c:pt>
                <c:pt idx="7">
                  <c:v>5.3600000000000002E-2</c:v>
                </c:pt>
                <c:pt idx="8">
                  <c:v>5.8099999999999999E-2</c:v>
                </c:pt>
                <c:pt idx="9">
                  <c:v>5.0200000000000002E-2</c:v>
                </c:pt>
                <c:pt idx="10">
                  <c:v>5.1900000000000002E-2</c:v>
                </c:pt>
                <c:pt idx="11">
                  <c:v>4.7500000000000001E-2</c:v>
                </c:pt>
                <c:pt idx="12">
                  <c:v>4.82E-2</c:v>
                </c:pt>
                <c:pt idx="13">
                  <c:v>5.3999999999999999E-2</c:v>
                </c:pt>
                <c:pt idx="14">
                  <c:v>4.6899999999999997E-2</c:v>
                </c:pt>
                <c:pt idx="15">
                  <c:v>4.6399999999999997E-2</c:v>
                </c:pt>
                <c:pt idx="16">
                  <c:v>5.4800000000000001E-2</c:v>
                </c:pt>
                <c:pt idx="17">
                  <c:v>6.0699999999999997E-2</c:v>
                </c:pt>
                <c:pt idx="18">
                  <c:v>5.04E-2</c:v>
                </c:pt>
                <c:pt idx="19">
                  <c:v>4.4999999999999998E-2</c:v>
                </c:pt>
                <c:pt idx="20">
                  <c:v>4.8399999999999999E-2</c:v>
                </c:pt>
                <c:pt idx="21">
                  <c:v>0.06</c:v>
                </c:pt>
                <c:pt idx="22">
                  <c:v>4.7100000000000003E-2</c:v>
                </c:pt>
                <c:pt idx="23">
                  <c:v>4.1200000000000001E-2</c:v>
                </c:pt>
                <c:pt idx="24">
                  <c:v>4.19E-2</c:v>
                </c:pt>
                <c:pt idx="25">
                  <c:v>5.7200000000000001E-2</c:v>
                </c:pt>
                <c:pt idx="26">
                  <c:v>5.2499999999999998E-2</c:v>
                </c:pt>
                <c:pt idx="27">
                  <c:v>4.6399999999999997E-2</c:v>
                </c:pt>
                <c:pt idx="28">
                  <c:v>5.1900000000000002E-2</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1-4CD7-46B9-B3F2-8A91BF972462}"/>
            </c:ext>
          </c:extLst>
        </c:ser>
        <c:ser>
          <c:idx val="2"/>
          <c:order val="2"/>
          <c:tx>
            <c:strRef>
              <c:f>_calc!$BL$1</c:f>
              <c:strCache>
                <c:ptCount val="1"/>
                <c:pt idx="0">
                  <c:v>发行价-第1年</c:v>
                </c:pt>
              </c:strCache>
            </c:strRef>
          </c:tx>
          <c:spPr>
            <a:solidFill>
              <a:srgbClr val="C55A11"/>
            </a:solidFill>
            <a:ln>
              <a:prstDash val="solid"/>
            </a:ln>
          </c:spPr>
          <c:invertIfNegative val="1"/>
          <c:cat>
            <c:multiLvlStrRef>
              <c:f>_calc!$BH$2:$BI$30</c:f>
              <c:multiLvlStrCache>
                <c:ptCount val="29"/>
                <c:lvl>
                  <c:pt idx="0">
                    <c:v>华夏凯德商业REIT</c:v>
                  </c:pt>
                  <c:pt idx="1">
                    <c:v>华泰华住安住REIT</c:v>
                  </c:pt>
                  <c:pt idx="2">
                    <c:v>广发新城吾悦商业REIT</c:v>
                  </c:pt>
                  <c:pt idx="3">
                    <c:v>华安锦江商业REIT</c:v>
                  </c:pt>
                  <c:pt idx="4">
                    <c:v>华安陆家嘴商业REIT</c:v>
                  </c:pt>
                  <c:pt idx="5">
                    <c:v>华夏保利商业REIT</c:v>
                  </c:pt>
                  <c:pt idx="6">
                    <c:v>中金开元旅业·反馈回复稿</c:v>
                  </c:pt>
                  <c:pt idx="7">
                    <c:v>华夏世纪金源·申报稿</c:v>
                  </c:pt>
                  <c:pt idx="8">
                    <c:v>华夏凯华商业·申报稿</c:v>
                  </c:pt>
                  <c:pt idx="9">
                    <c:v>汇添富顺联商业·申报稿</c:v>
                  </c:pt>
                  <c:pt idx="10">
                    <c:v>招商蛇口不动产·封卷稿</c:v>
                  </c:pt>
                  <c:pt idx="11">
                    <c:v>广发新世界·申报稿</c:v>
                  </c:pt>
                  <c:pt idx="12">
                    <c:v>国泰海通鹏瑞利·申报稿</c:v>
                  </c:pt>
                  <c:pt idx="13">
                    <c:v>国联安泰华城·申报稿</c:v>
                  </c:pt>
                  <c:pt idx="14">
                    <c:v>华夏中海不动产·申报稿</c:v>
                  </c:pt>
                  <c:pt idx="15">
                    <c:v>中金中国绿发商业·申报稿</c:v>
                  </c:pt>
                  <c:pt idx="16">
                    <c:v>嘉实陶邑消费·申报稿</c:v>
                  </c:pt>
                  <c:pt idx="17">
                    <c:v>华安中电浦软·申报稿</c:v>
                  </c:pt>
                  <c:pt idx="18">
                    <c:v>华泰金鹰·申报稿</c:v>
                  </c:pt>
                  <c:pt idx="19">
                    <c:v>华夏大悦城商业·申报稿</c:v>
                  </c:pt>
                  <c:pt idx="20">
                    <c:v>广发海珠城·申报稿</c:v>
                  </c:pt>
                  <c:pt idx="21">
                    <c:v>红土创新茂业·申报稿</c:v>
                  </c:pt>
                  <c:pt idx="22">
                    <c:v>华夏华润置地·申报稿</c:v>
                  </c:pt>
                  <c:pt idx="23">
                    <c:v>国联安复星·申报稿</c:v>
                  </c:pt>
                  <c:pt idx="24">
                    <c:v>红土创新星河·申报稿</c:v>
                  </c:pt>
                  <c:pt idx="25">
                    <c:v>嘉实首开商业·申报稿</c:v>
                  </c:pt>
                  <c:pt idx="26">
                    <c:v>国泰海通崇邦·反馈回复稿</c:v>
                  </c:pt>
                  <c:pt idx="27">
                    <c:v>光大安石·注册稿</c:v>
                  </c:pt>
                  <c:pt idx="28">
                    <c:v>华夏银泰·反馈回复稿</c:v>
                  </c:pt>
                </c:lvl>
                <c:lvl>
                  <c:pt idx="0">
                    <c:v>已询价</c:v>
                  </c:pt>
                  <c:pt idx="6">
                    <c:v>已受理</c:v>
                  </c:pt>
                </c:lvl>
              </c:multiLvlStrCache>
            </c:multiLvlStrRef>
          </c:cat>
          <c:val>
            <c:numRef>
              <c:f>_calc!$BL$2:$BL$30</c:f>
              <c:numCache>
                <c:formatCode>0.00%</c:formatCode>
                <c:ptCount val="29"/>
                <c:pt idx="0">
                  <c:v>5.2214000000000003E-2</c:v>
                </c:pt>
                <c:pt idx="1">
                  <c:v>5.8624999999999997E-2</c:v>
                </c:pt>
                <c:pt idx="2">
                  <c:v>5.6063000000000002E-2</c:v>
                </c:pt>
                <c:pt idx="3">
                  <c:v>4.1445999999999997E-2</c:v>
                </c:pt>
                <c:pt idx="4">
                  <c:v>4.2805999999999997E-2</c:v>
                </c:pt>
                <c:pt idx="5">
                  <c:v>5.9886000000000002E-2</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2-4CD7-46B9-B3F2-8A91BF972462}"/>
            </c:ext>
          </c:extLst>
        </c:ser>
        <c:ser>
          <c:idx val="3"/>
          <c:order val="3"/>
          <c:tx>
            <c:strRef>
              <c:f>_calc!$BM$1</c:f>
              <c:strCache>
                <c:ptCount val="1"/>
                <c:pt idx="0">
                  <c:v>发行价-第2年</c:v>
                </c:pt>
              </c:strCache>
            </c:strRef>
          </c:tx>
          <c:spPr>
            <a:solidFill>
              <a:srgbClr val="F4B183"/>
            </a:solidFill>
            <a:ln>
              <a:prstDash val="solid"/>
            </a:ln>
          </c:spPr>
          <c:invertIfNegative val="1"/>
          <c:cat>
            <c:multiLvlStrRef>
              <c:f>_calc!$BH$2:$BI$30</c:f>
              <c:multiLvlStrCache>
                <c:ptCount val="29"/>
                <c:lvl>
                  <c:pt idx="0">
                    <c:v>华夏凯德商业REIT</c:v>
                  </c:pt>
                  <c:pt idx="1">
                    <c:v>华泰华住安住REIT</c:v>
                  </c:pt>
                  <c:pt idx="2">
                    <c:v>广发新城吾悦商业REIT</c:v>
                  </c:pt>
                  <c:pt idx="3">
                    <c:v>华安锦江商业REIT</c:v>
                  </c:pt>
                  <c:pt idx="4">
                    <c:v>华安陆家嘴商业REIT</c:v>
                  </c:pt>
                  <c:pt idx="5">
                    <c:v>华夏保利商业REIT</c:v>
                  </c:pt>
                  <c:pt idx="6">
                    <c:v>中金开元旅业·反馈回复稿</c:v>
                  </c:pt>
                  <c:pt idx="7">
                    <c:v>华夏世纪金源·申报稿</c:v>
                  </c:pt>
                  <c:pt idx="8">
                    <c:v>华夏凯华商业·申报稿</c:v>
                  </c:pt>
                  <c:pt idx="9">
                    <c:v>汇添富顺联商业·申报稿</c:v>
                  </c:pt>
                  <c:pt idx="10">
                    <c:v>招商蛇口不动产·封卷稿</c:v>
                  </c:pt>
                  <c:pt idx="11">
                    <c:v>广发新世界·申报稿</c:v>
                  </c:pt>
                  <c:pt idx="12">
                    <c:v>国泰海通鹏瑞利·申报稿</c:v>
                  </c:pt>
                  <c:pt idx="13">
                    <c:v>国联安泰华城·申报稿</c:v>
                  </c:pt>
                  <c:pt idx="14">
                    <c:v>华夏中海不动产·申报稿</c:v>
                  </c:pt>
                  <c:pt idx="15">
                    <c:v>中金中国绿发商业·申报稿</c:v>
                  </c:pt>
                  <c:pt idx="16">
                    <c:v>嘉实陶邑消费·申报稿</c:v>
                  </c:pt>
                  <c:pt idx="17">
                    <c:v>华安中电浦软·申报稿</c:v>
                  </c:pt>
                  <c:pt idx="18">
                    <c:v>华泰金鹰·申报稿</c:v>
                  </c:pt>
                  <c:pt idx="19">
                    <c:v>华夏大悦城商业·申报稿</c:v>
                  </c:pt>
                  <c:pt idx="20">
                    <c:v>广发海珠城·申报稿</c:v>
                  </c:pt>
                  <c:pt idx="21">
                    <c:v>红土创新茂业·申报稿</c:v>
                  </c:pt>
                  <c:pt idx="22">
                    <c:v>华夏华润置地·申报稿</c:v>
                  </c:pt>
                  <c:pt idx="23">
                    <c:v>国联安复星·申报稿</c:v>
                  </c:pt>
                  <c:pt idx="24">
                    <c:v>红土创新星河·申报稿</c:v>
                  </c:pt>
                  <c:pt idx="25">
                    <c:v>嘉实首开商业·申报稿</c:v>
                  </c:pt>
                  <c:pt idx="26">
                    <c:v>国泰海通崇邦·反馈回复稿</c:v>
                  </c:pt>
                  <c:pt idx="27">
                    <c:v>光大安石·注册稿</c:v>
                  </c:pt>
                  <c:pt idx="28">
                    <c:v>华夏银泰·反馈回复稿</c:v>
                  </c:pt>
                </c:lvl>
                <c:lvl>
                  <c:pt idx="0">
                    <c:v>已询价</c:v>
                  </c:pt>
                  <c:pt idx="6">
                    <c:v>已受理</c:v>
                  </c:pt>
                </c:lvl>
              </c:multiLvlStrCache>
            </c:multiLvlStrRef>
          </c:cat>
          <c:val>
            <c:numRef>
              <c:f>_calc!$BM$2:$BM$30</c:f>
              <c:numCache>
                <c:formatCode>0.00%</c:formatCode>
                <c:ptCount val="29"/>
                <c:pt idx="0">
                  <c:v>5.2547000000000003E-2</c:v>
                </c:pt>
                <c:pt idx="1">
                  <c:v>6.0007999999999999E-2</c:v>
                </c:pt>
                <c:pt idx="2">
                  <c:v>5.7253999999999999E-2</c:v>
                </c:pt>
                <c:pt idx="3">
                  <c:v>3.9265000000000001E-2</c:v>
                </c:pt>
                <c:pt idx="4">
                  <c:v>4.5539999999999997E-2</c:v>
                </c:pt>
                <c:pt idx="5">
                  <c:v>6.0108000000000002E-2</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3-4CD7-46B9-B3F2-8A91BF972462}"/>
            </c:ext>
          </c:extLst>
        </c:ser>
        <c:dLbls>
          <c:showLegendKey val="0"/>
          <c:showVal val="0"/>
          <c:showCatName val="0"/>
          <c:showSerName val="0"/>
          <c:showPercent val="0"/>
          <c:showBubbleSize val="0"/>
        </c:dLbls>
        <c:gapWidth val="60"/>
        <c:axId val="10"/>
        <c:axId val="100"/>
      </c:barChart>
      <c:catAx>
        <c:axId val="10"/>
        <c:scaling>
          <c:orientation val="minMax"/>
        </c:scaling>
        <c:delete val="0"/>
        <c:axPos val="b"/>
        <c:numFmt formatCode="General" sourceLinked="1"/>
        <c:majorTickMark val="none"/>
        <c:minorTickMark val="none"/>
        <c:tickLblPos val="nextTo"/>
        <c:txPr>
          <a:bodyPr rot="-2700000" vert="horz"/>
          <a:lstStyle/>
          <a:p>
            <a:pPr>
              <a:defRPr sz="800">
                <a:latin typeface="Times New Roman"/>
                <a:ea typeface="微软雅黑"/>
              </a:defRPr>
            </a:pPr>
            <a:endParaRPr lang="zh-CN"/>
          </a:p>
        </c:txPr>
        <c:crossAx val="100"/>
        <c:crosses val="autoZero"/>
        <c:auto val="1"/>
        <c:lblAlgn val="ctr"/>
        <c:lblOffset val="100"/>
        <c:noMultiLvlLbl val="0"/>
      </c:catAx>
      <c:valAx>
        <c:axId val="100"/>
        <c:scaling>
          <c:orientation val="minMax"/>
        </c:scaling>
        <c:delete val="0"/>
        <c:axPos val="l"/>
        <c:majorGridlines/>
        <c:numFmt formatCode="0.00%" sourceLinked="0"/>
        <c:majorTickMark val="none"/>
        <c:minorTickMark val="none"/>
        <c:tickLblPos val="nextTo"/>
        <c:txPr>
          <a:bodyPr/>
          <a:lstStyle/>
          <a:p>
            <a:pPr>
              <a:defRPr sz="900">
                <a:latin typeface="Times New Roman"/>
                <a:ea typeface="微软雅黑"/>
              </a:defRPr>
            </a:pPr>
            <a:endParaRPr lang="zh-CN"/>
          </a:p>
        </c:txPr>
        <c:crossAx val="10"/>
        <c:crosses val="autoZero"/>
        <c:crossBetween val="between"/>
      </c:valAx>
    </c:plotArea>
    <c:legend>
      <c:legendPos val="t"/>
      <c:overlay val="0"/>
      <c:txPr>
        <a:bodyPr/>
        <a:lstStyle/>
        <a:p>
          <a:pPr>
            <a:defRPr sz="900">
              <a:latin typeface="Times New Roman"/>
              <a:ea typeface="微软雅黑"/>
            </a:defRPr>
          </a:pPr>
          <a:endParaRPr lang="zh-CN"/>
        </a:p>
      </c:txPr>
    </c:legend>
    <c:plotVisOnly val="0"/>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c:style val="2"/>
  <c:chart>
    <c:autoTitleDeleted val="1"/>
    <c:plotArea>
      <c:layout/>
      <c:lineChart>
        <c:grouping val="standard"/>
        <c:varyColors val="1"/>
        <c:ser>
          <c:idx val="0"/>
          <c:order val="0"/>
          <c:tx>
            <c:strRef>
              <c:f>_calc!$BQ$1</c:f>
              <c:strCache>
                <c:ptCount val="1"/>
                <c:pt idx="0">
                  <c:v>加权分派率</c:v>
                </c:pt>
              </c:strCache>
            </c:strRef>
          </c:tx>
          <c:spPr>
            <a:ln w="19050">
              <a:solidFill>
                <a:srgbClr val="1F4E79"/>
              </a:solidFill>
              <a:prstDash val="solid"/>
            </a:ln>
          </c:spPr>
          <c:marker>
            <c:symbol val="none"/>
          </c:marker>
          <c:cat>
            <c:numRef>
              <c:f>[0]!TTM日期</c:f>
              <c:numCache>
                <c:formatCode>yyyy\-m\-d</c:formatCode>
                <c:ptCount val="60"/>
                <c:pt idx="0">
                  <c:v>46212</c:v>
                </c:pt>
                <c:pt idx="1">
                  <c:v>46213</c:v>
                </c:pt>
                <c:pt idx="2">
                  <c:v>46216</c:v>
                </c:pt>
                <c:pt idx="3">
                  <c:v>46217</c:v>
                </c:pt>
                <c:pt idx="4">
                  <c:v>46218</c:v>
                </c:pt>
                <c:pt idx="5">
                  <c:v>46219</c:v>
                </c:pt>
                <c:pt idx="6">
                  <c:v>46220</c:v>
                </c:pt>
                <c:pt idx="7">
                  <c:v>46223</c:v>
                </c:pt>
                <c:pt idx="8">
                  <c:v>46224</c:v>
                </c:pt>
                <c:pt idx="9">
                  <c:v>46225</c:v>
                </c:pt>
                <c:pt idx="10">
                  <c:v>46226</c:v>
                </c:pt>
                <c:pt idx="11">
                  <c:v>46227</c:v>
                </c:pt>
                <c:pt idx="12">
                  <c:v>46230</c:v>
                </c:pt>
                <c:pt idx="13">
                  <c:v>46231</c:v>
                </c:pt>
                <c:pt idx="14">
                  <c:v>46232</c:v>
                </c:pt>
                <c:pt idx="15">
                  <c:v>46233</c:v>
                </c:pt>
                <c:pt idx="16">
                  <c:v>46234</c:v>
                </c:pt>
                <c:pt idx="17">
                  <c:v>46237</c:v>
                </c:pt>
                <c:pt idx="18">
                  <c:v>46238</c:v>
                </c:pt>
                <c:pt idx="19">
                  <c:v>46239</c:v>
                </c:pt>
                <c:pt idx="20">
                  <c:v>46240</c:v>
                </c:pt>
                <c:pt idx="21">
                  <c:v>46241</c:v>
                </c:pt>
                <c:pt idx="22">
                  <c:v>46244</c:v>
                </c:pt>
                <c:pt idx="23">
                  <c:v>46245</c:v>
                </c:pt>
                <c:pt idx="24">
                  <c:v>46246</c:v>
                </c:pt>
                <c:pt idx="25">
                  <c:v>46247</c:v>
                </c:pt>
                <c:pt idx="26">
                  <c:v>46248</c:v>
                </c:pt>
                <c:pt idx="27">
                  <c:v>46251</c:v>
                </c:pt>
                <c:pt idx="28">
                  <c:v>46252</c:v>
                </c:pt>
                <c:pt idx="29">
                  <c:v>46253</c:v>
                </c:pt>
                <c:pt idx="30">
                  <c:v>46254</c:v>
                </c:pt>
                <c:pt idx="31">
                  <c:v>46255</c:v>
                </c:pt>
                <c:pt idx="32">
                  <c:v>46258</c:v>
                </c:pt>
                <c:pt idx="33">
                  <c:v>46259</c:v>
                </c:pt>
                <c:pt idx="34">
                  <c:v>46260</c:v>
                </c:pt>
                <c:pt idx="35">
                  <c:v>46261</c:v>
                </c:pt>
                <c:pt idx="36">
                  <c:v>46262</c:v>
                </c:pt>
                <c:pt idx="37">
                  <c:v>46265</c:v>
                </c:pt>
                <c:pt idx="38">
                  <c:v>46266</c:v>
                </c:pt>
                <c:pt idx="39">
                  <c:v>46267</c:v>
                </c:pt>
                <c:pt idx="40">
                  <c:v>46268</c:v>
                </c:pt>
                <c:pt idx="41">
                  <c:v>46269</c:v>
                </c:pt>
                <c:pt idx="42">
                  <c:v>46272</c:v>
                </c:pt>
                <c:pt idx="43">
                  <c:v>46273</c:v>
                </c:pt>
                <c:pt idx="44">
                  <c:v>46274</c:v>
                </c:pt>
                <c:pt idx="45">
                  <c:v>46275</c:v>
                </c:pt>
                <c:pt idx="46">
                  <c:v>46276</c:v>
                </c:pt>
                <c:pt idx="47">
                  <c:v>46279</c:v>
                </c:pt>
                <c:pt idx="48">
                  <c:v>46280</c:v>
                </c:pt>
                <c:pt idx="49">
                  <c:v>46281</c:v>
                </c:pt>
                <c:pt idx="50">
                  <c:v>46282</c:v>
                </c:pt>
                <c:pt idx="51">
                  <c:v>46283</c:v>
                </c:pt>
                <c:pt idx="52">
                  <c:v>46286</c:v>
                </c:pt>
                <c:pt idx="53">
                  <c:v>46287</c:v>
                </c:pt>
                <c:pt idx="54">
                  <c:v>46288</c:v>
                </c:pt>
                <c:pt idx="55">
                  <c:v>46289</c:v>
                </c:pt>
                <c:pt idx="56">
                  <c:v>46293</c:v>
                </c:pt>
                <c:pt idx="57">
                  <c:v>46294</c:v>
                </c:pt>
                <c:pt idx="58">
                  <c:v>46295</c:v>
                </c:pt>
                <c:pt idx="59">
                  <c:v>46303</c:v>
                </c:pt>
              </c:numCache>
            </c:numRef>
          </c:cat>
          <c:val>
            <c:numRef>
              <c:f>[0]!TTM加权</c:f>
              <c:numCache>
                <c:formatCode>0.00%</c:formatCode>
                <c:ptCount val="60"/>
                <c:pt idx="0">
                  <c:v>4.3568076771208643E-2</c:v>
                </c:pt>
                <c:pt idx="1">
                  <c:v>4.3086400067054199E-2</c:v>
                </c:pt>
                <c:pt idx="2">
                  <c:v>4.3226851475549312E-2</c:v>
                </c:pt>
                <c:pt idx="3">
                  <c:v>4.3300460387642348E-2</c:v>
                </c:pt>
                <c:pt idx="4">
                  <c:v>4.3375396865367663E-2</c:v>
                </c:pt>
                <c:pt idx="5">
                  <c:v>4.3249171843681593E-2</c:v>
                </c:pt>
                <c:pt idx="6">
                  <c:v>4.3445912758440113E-2</c:v>
                </c:pt>
                <c:pt idx="7">
                  <c:v>4.3648085010314121E-2</c:v>
                </c:pt>
                <c:pt idx="8">
                  <c:v>4.3719605989173627E-2</c:v>
                </c:pt>
                <c:pt idx="9">
                  <c:v>4.3954757672007322E-2</c:v>
                </c:pt>
                <c:pt idx="10">
                  <c:v>4.3897312202574687E-2</c:v>
                </c:pt>
                <c:pt idx="11">
                  <c:v>4.3658049780482037E-2</c:v>
                </c:pt>
                <c:pt idx="12">
                  <c:v>4.3881744712185873E-2</c:v>
                </c:pt>
                <c:pt idx="13">
                  <c:v>4.4155333923362433E-2</c:v>
                </c:pt>
                <c:pt idx="14">
                  <c:v>4.4213829736612802E-2</c:v>
                </c:pt>
                <c:pt idx="15">
                  <c:v>4.4337206810691317E-2</c:v>
                </c:pt>
                <c:pt idx="16">
                  <c:v>4.3879762852736419E-2</c:v>
                </c:pt>
                <c:pt idx="17">
                  <c:v>4.3927450499935537E-2</c:v>
                </c:pt>
                <c:pt idx="18">
                  <c:v>4.4149908960428703E-2</c:v>
                </c:pt>
                <c:pt idx="19">
                  <c:v>4.4484571945639977E-2</c:v>
                </c:pt>
                <c:pt idx="20">
                  <c:v>4.4729801620216038E-2</c:v>
                </c:pt>
                <c:pt idx="21">
                  <c:v>4.4535322901196217E-2</c:v>
                </c:pt>
                <c:pt idx="22">
                  <c:v>4.472316709720537E-2</c:v>
                </c:pt>
                <c:pt idx="23">
                  <c:v>4.4790824646129372E-2</c:v>
                </c:pt>
                <c:pt idx="24">
                  <c:v>4.4897766802049051E-2</c:v>
                </c:pt>
                <c:pt idx="25">
                  <c:v>4.5330299686191032E-2</c:v>
                </c:pt>
                <c:pt idx="26">
                  <c:v>4.5473155688377787E-2</c:v>
                </c:pt>
                <c:pt idx="27">
                  <c:v>4.5764060890666793E-2</c:v>
                </c:pt>
                <c:pt idx="28">
                  <c:v>4.5467008068552903E-2</c:v>
                </c:pt>
                <c:pt idx="29">
                  <c:v>4.5121027739516331E-2</c:v>
                </c:pt>
                <c:pt idx="30">
                  <c:v>4.4805130683081722E-2</c:v>
                </c:pt>
                <c:pt idx="31">
                  <c:v>4.4865362005702139E-2</c:v>
                </c:pt>
                <c:pt idx="32">
                  <c:v>4.490383830521473E-2</c:v>
                </c:pt>
                <c:pt idx="33">
                  <c:v>4.479105408263797E-2</c:v>
                </c:pt>
                <c:pt idx="34">
                  <c:v>4.4277039045879742E-2</c:v>
                </c:pt>
                <c:pt idx="35">
                  <c:v>4.4295206852870313E-2</c:v>
                </c:pt>
                <c:pt idx="36">
                  <c:v>4.4430173617424892E-2</c:v>
                </c:pt>
                <c:pt idx="37">
                  <c:v>4.4626617809163001E-2</c:v>
                </c:pt>
                <c:pt idx="38">
                  <c:v>4.494184168388448E-2</c:v>
                </c:pt>
                <c:pt idx="39">
                  <c:v>4.5147042151984791E-2</c:v>
                </c:pt>
                <c:pt idx="40">
                  <c:v>4.5502964152222082E-2</c:v>
                </c:pt>
                <c:pt idx="41">
                  <c:v>4.5294845014399149E-2</c:v>
                </c:pt>
                <c:pt idx="42">
                  <c:v>4.5607098747623052E-2</c:v>
                </c:pt>
                <c:pt idx="43">
                  <c:v>4.5640601443593332E-2</c:v>
                </c:pt>
                <c:pt idx="44">
                  <c:v>4.5568200402556047E-2</c:v>
                </c:pt>
                <c:pt idx="45">
                  <c:v>4.5653727896661792E-2</c:v>
                </c:pt>
                <c:pt idx="46">
                  <c:v>4.5811224926099167E-2</c:v>
                </c:pt>
                <c:pt idx="47">
                  <c:v>4.595581141564279E-2</c:v>
                </c:pt>
                <c:pt idx="48">
                  <c:v>4.5807327743814463E-2</c:v>
                </c:pt>
                <c:pt idx="49">
                  <c:v>4.5824143859245131E-2</c:v>
                </c:pt>
                <c:pt idx="50">
                  <c:v>4.559589163964449E-2</c:v>
                </c:pt>
                <c:pt idx="51">
                  <c:v>4.5666178444049778E-2</c:v>
                </c:pt>
                <c:pt idx="52">
                  <c:v>4.5874819634459871E-2</c:v>
                </c:pt>
                <c:pt idx="53">
                  <c:v>4.5856664525480158E-2</c:v>
                </c:pt>
                <c:pt idx="54">
                  <c:v>4.5656763989492588E-2</c:v>
                </c:pt>
                <c:pt idx="55">
                  <c:v>4.5581058268255002E-2</c:v>
                </c:pt>
                <c:pt idx="56">
                  <c:v>4.5576065529379553E-2</c:v>
                </c:pt>
                <c:pt idx="57">
                  <c:v>4.5584009037248532E-2</c:v>
                </c:pt>
                <c:pt idx="58">
                  <c:v>4.5610810423095713E-2</c:v>
                </c:pt>
                <c:pt idx="59">
                  <c:v>4.5723812607434591E-2</c:v>
                </c:pt>
              </c:numCache>
            </c:numRef>
          </c:val>
          <c:smooth val="0"/>
          <c:extLst>
            <c:ext xmlns:c16="http://schemas.microsoft.com/office/drawing/2014/chart" uri="{C3380CC4-5D6E-409C-BE32-E72D297353CC}">
              <c16:uniqueId val="{00000000-C5AD-4B26-95BC-B0687C0EF107}"/>
            </c:ext>
          </c:extLst>
        </c:ser>
        <c:dLbls>
          <c:showLegendKey val="0"/>
          <c:showVal val="0"/>
          <c:showCatName val="0"/>
          <c:showSerName val="0"/>
          <c:showPercent val="0"/>
          <c:showBubbleSize val="0"/>
        </c:dLbls>
        <c:smooth val="0"/>
        <c:axId val="10"/>
        <c:axId val="100"/>
      </c:lineChart>
      <c:dateAx>
        <c:axId val="10"/>
        <c:scaling>
          <c:orientation val="minMax"/>
        </c:scaling>
        <c:delete val="0"/>
        <c:axPos val="b"/>
        <c:numFmt formatCode="yyyy\-m\-d" sourceLinked="1"/>
        <c:majorTickMark val="none"/>
        <c:minorTickMark val="none"/>
        <c:tickLblPos val="nextTo"/>
        <c:txPr>
          <a:bodyPr rot="-2700000" vert="horz"/>
          <a:lstStyle/>
          <a:p>
            <a:pPr>
              <a:defRPr sz="800">
                <a:latin typeface="Times New Roman"/>
                <a:ea typeface="微软雅黑"/>
              </a:defRPr>
            </a:pPr>
            <a:endParaRPr lang="zh-CN"/>
          </a:p>
        </c:txPr>
        <c:crossAx val="100"/>
        <c:crosses val="autoZero"/>
        <c:auto val="1"/>
        <c:lblOffset val="100"/>
        <c:baseTimeUnit val="days"/>
      </c:dateAx>
      <c:valAx>
        <c:axId val="100"/>
        <c:scaling>
          <c:orientation val="minMax"/>
          <c:min val="4.2655536066383663E-2"/>
        </c:scaling>
        <c:delete val="0"/>
        <c:axPos val="l"/>
        <c:majorGridlines/>
        <c:numFmt formatCode="0.00%" sourceLinked="0"/>
        <c:majorTickMark val="none"/>
        <c:minorTickMark val="none"/>
        <c:tickLblPos val="nextTo"/>
        <c:txPr>
          <a:bodyPr/>
          <a:lstStyle/>
          <a:p>
            <a:pPr>
              <a:defRPr sz="900">
                <a:latin typeface="Times New Roman"/>
                <a:ea typeface="微软雅黑"/>
              </a:defRPr>
            </a:pPr>
            <a:endParaRPr lang="zh-CN"/>
          </a:p>
        </c:txPr>
        <c:crossAx val="10"/>
        <c:crosses val="autoZero"/>
        <c:crossBetween val="between"/>
      </c:valAx>
    </c:plotArea>
    <c:plotVisOnly val="0"/>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27</xdr:row>
      <xdr:rowOff>0</xdr:rowOff>
    </xdr:from>
    <xdr:ext cx="13500000" cy="3060000"/>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0</xdr:colOff>
      <xdr:row>47</xdr:row>
      <xdr:rowOff>0</xdr:rowOff>
    </xdr:from>
    <xdr:ext cx="13500000" cy="3060000"/>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twoCellAnchor>
    <xdr:from>
      <xdr:col>4</xdr:col>
      <xdr:colOff>835739</xdr:colOff>
      <xdr:row>97</xdr:row>
      <xdr:rowOff>149645</xdr:rowOff>
    </xdr:from>
    <xdr:to>
      <xdr:col>4</xdr:col>
      <xdr:colOff>1004347</xdr:colOff>
      <xdr:row>98</xdr:row>
      <xdr:rowOff>70324</xdr:rowOff>
    </xdr:to>
    <xdr:sp macro="MapShapeClick" textlink="">
      <xdr:nvSpPr>
        <xdr:cNvPr id="4" name="北京市">
          <a:extLst>
            <a:ext uri="{FF2B5EF4-FFF2-40B4-BE49-F238E27FC236}">
              <a16:creationId xmlns:a16="http://schemas.microsoft.com/office/drawing/2014/main" id="{8414DA7E-FDE2-2530-4886-C98C8569A0F4}"/>
            </a:ext>
          </a:extLst>
        </xdr:cNvPr>
        <xdr:cNvSpPr/>
      </xdr:nvSpPr>
      <xdr:spPr>
        <a:xfrm>
          <a:off x="3990419" y="18224285"/>
          <a:ext cx="168608" cy="172139"/>
        </a:xfrm>
        <a:custGeom>
          <a:avLst/>
          <a:gdLst/>
          <a:ahLst/>
          <a:cxnLst/>
          <a:rect l="0" t="0" r="0" b="0"/>
          <a:pathLst>
            <a:path w="168608" h="172139">
              <a:moveTo>
                <a:pt x="156195" y="51348"/>
              </a:moveTo>
              <a:lnTo>
                <a:pt x="162802" y="51885"/>
              </a:lnTo>
              <a:lnTo>
                <a:pt x="161400" y="48772"/>
              </a:lnTo>
              <a:lnTo>
                <a:pt x="168607" y="45417"/>
              </a:lnTo>
              <a:lnTo>
                <a:pt x="168007" y="41284"/>
              </a:lnTo>
              <a:lnTo>
                <a:pt x="125016" y="37588"/>
              </a:lnTo>
              <a:lnTo>
                <a:pt x="104597" y="16095"/>
              </a:lnTo>
              <a:lnTo>
                <a:pt x="103396" y="4085"/>
              </a:lnTo>
              <a:lnTo>
                <a:pt x="99242" y="0"/>
              </a:lnTo>
              <a:lnTo>
                <a:pt x="95239" y="9142"/>
              </a:lnTo>
              <a:lnTo>
                <a:pt x="83628" y="8461"/>
              </a:lnTo>
              <a:lnTo>
                <a:pt x="85380" y="17164"/>
              </a:lnTo>
              <a:lnTo>
                <a:pt x="74219" y="14003"/>
              </a:lnTo>
              <a:lnTo>
                <a:pt x="83478" y="31557"/>
              </a:lnTo>
              <a:lnTo>
                <a:pt x="66712" y="28787"/>
              </a:lnTo>
              <a:lnTo>
                <a:pt x="59855" y="42645"/>
              </a:lnTo>
              <a:lnTo>
                <a:pt x="45192" y="51592"/>
              </a:lnTo>
              <a:lnTo>
                <a:pt x="39136" y="47459"/>
              </a:lnTo>
              <a:lnTo>
                <a:pt x="26725" y="55725"/>
              </a:lnTo>
              <a:lnTo>
                <a:pt x="28076" y="66034"/>
              </a:lnTo>
              <a:lnTo>
                <a:pt x="39937" y="75565"/>
              </a:lnTo>
              <a:lnTo>
                <a:pt x="44091" y="85193"/>
              </a:lnTo>
              <a:lnTo>
                <a:pt x="34231" y="97642"/>
              </a:lnTo>
              <a:lnTo>
                <a:pt x="28226" y="94530"/>
              </a:lnTo>
              <a:lnTo>
                <a:pt x="2302" y="110090"/>
              </a:lnTo>
              <a:lnTo>
                <a:pt x="0" y="118502"/>
              </a:lnTo>
              <a:lnTo>
                <a:pt x="11460" y="132701"/>
              </a:lnTo>
              <a:lnTo>
                <a:pt x="1401" y="135960"/>
              </a:lnTo>
              <a:lnTo>
                <a:pt x="4904" y="140579"/>
              </a:lnTo>
              <a:lnTo>
                <a:pt x="4254" y="150207"/>
              </a:lnTo>
              <a:lnTo>
                <a:pt x="7457" y="155847"/>
              </a:lnTo>
              <a:lnTo>
                <a:pt x="19618" y="153951"/>
              </a:lnTo>
              <a:lnTo>
                <a:pt x="30879" y="165037"/>
              </a:lnTo>
              <a:lnTo>
                <a:pt x="39337" y="155508"/>
              </a:lnTo>
              <a:lnTo>
                <a:pt x="43140" y="159689"/>
              </a:lnTo>
              <a:lnTo>
                <a:pt x="44842" y="155993"/>
              </a:lnTo>
              <a:lnTo>
                <a:pt x="62758" y="156674"/>
              </a:lnTo>
              <a:lnTo>
                <a:pt x="67563" y="166059"/>
              </a:lnTo>
              <a:lnTo>
                <a:pt x="81926" y="172138"/>
              </a:lnTo>
              <a:lnTo>
                <a:pt x="79274" y="163141"/>
              </a:lnTo>
              <a:lnTo>
                <a:pt x="82677" y="165037"/>
              </a:lnTo>
              <a:lnTo>
                <a:pt x="89233" y="155945"/>
              </a:lnTo>
              <a:lnTo>
                <a:pt x="110853" y="155993"/>
              </a:lnTo>
              <a:lnTo>
                <a:pt x="120262" y="147387"/>
              </a:lnTo>
              <a:lnTo>
                <a:pt x="119912" y="138293"/>
              </a:lnTo>
              <a:lnTo>
                <a:pt x="123765" y="136689"/>
              </a:lnTo>
              <a:lnTo>
                <a:pt x="121213" y="129540"/>
              </a:lnTo>
              <a:lnTo>
                <a:pt x="110353" y="124775"/>
              </a:lnTo>
              <a:lnTo>
                <a:pt x="110102" y="109556"/>
              </a:lnTo>
              <a:lnTo>
                <a:pt x="129921" y="110041"/>
              </a:lnTo>
              <a:lnTo>
                <a:pt x="156245" y="98759"/>
              </a:lnTo>
              <a:lnTo>
                <a:pt x="159549" y="89034"/>
              </a:lnTo>
              <a:lnTo>
                <a:pt x="146236" y="74009"/>
              </a:lnTo>
              <a:lnTo>
                <a:pt x="149289" y="66180"/>
              </a:lnTo>
              <a:lnTo>
                <a:pt x="144835" y="59859"/>
              </a:lnTo>
              <a:lnTo>
                <a:pt x="149790" y="53537"/>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939886</xdr:colOff>
      <xdr:row>97</xdr:row>
      <xdr:rowOff>236442</xdr:rowOff>
    </xdr:from>
    <xdr:to>
      <xdr:col>4</xdr:col>
      <xdr:colOff>1050140</xdr:colOff>
      <xdr:row>98</xdr:row>
      <xdr:rowOff>163007</xdr:rowOff>
    </xdr:to>
    <xdr:sp macro="MapShapeClick" textlink="">
      <xdr:nvSpPr>
        <xdr:cNvPr id="5" name="天津市">
          <a:extLst>
            <a:ext uri="{FF2B5EF4-FFF2-40B4-BE49-F238E27FC236}">
              <a16:creationId xmlns:a16="http://schemas.microsoft.com/office/drawing/2014/main" id="{FFE57851-D956-BED8-585E-31BE5B5ED931}"/>
            </a:ext>
          </a:extLst>
        </xdr:cNvPr>
        <xdr:cNvSpPr/>
      </xdr:nvSpPr>
      <xdr:spPr>
        <a:xfrm>
          <a:off x="4094566" y="18311082"/>
          <a:ext cx="110254" cy="178025"/>
        </a:xfrm>
        <a:custGeom>
          <a:avLst/>
          <a:gdLst/>
          <a:ahLst/>
          <a:cxnLst/>
          <a:rect l="0" t="0" r="0" b="0"/>
          <a:pathLst>
            <a:path w="110254" h="178025">
              <a:moveTo>
                <a:pt x="85930" y="89765"/>
              </a:moveTo>
              <a:lnTo>
                <a:pt x="94538" y="88598"/>
              </a:lnTo>
              <a:lnTo>
                <a:pt x="99593" y="71483"/>
              </a:lnTo>
              <a:lnTo>
                <a:pt x="86030" y="68905"/>
              </a:lnTo>
              <a:lnTo>
                <a:pt x="81876" y="76151"/>
              </a:lnTo>
              <a:lnTo>
                <a:pt x="75520" y="68419"/>
              </a:lnTo>
              <a:lnTo>
                <a:pt x="78073" y="61708"/>
              </a:lnTo>
              <a:lnTo>
                <a:pt x="68113" y="50183"/>
              </a:lnTo>
              <a:lnTo>
                <a:pt x="65561" y="32094"/>
              </a:lnTo>
              <a:lnTo>
                <a:pt x="68113" y="26551"/>
              </a:lnTo>
              <a:lnTo>
                <a:pt x="85179" y="30149"/>
              </a:lnTo>
              <a:lnTo>
                <a:pt x="88332" y="26794"/>
              </a:lnTo>
              <a:lnTo>
                <a:pt x="84179" y="24509"/>
              </a:lnTo>
              <a:lnTo>
                <a:pt x="86781" y="20132"/>
              </a:lnTo>
              <a:lnTo>
                <a:pt x="78573" y="17750"/>
              </a:lnTo>
              <a:lnTo>
                <a:pt x="68314" y="1752"/>
              </a:lnTo>
              <a:lnTo>
                <a:pt x="57503" y="0"/>
              </a:lnTo>
              <a:lnTo>
                <a:pt x="52098" y="11962"/>
              </a:lnTo>
              <a:lnTo>
                <a:pt x="39337" y="19402"/>
              </a:lnTo>
              <a:lnTo>
                <a:pt x="36934" y="39534"/>
              </a:lnTo>
              <a:lnTo>
                <a:pt x="44191" y="44008"/>
              </a:lnTo>
              <a:lnTo>
                <a:pt x="36434" y="45807"/>
              </a:lnTo>
              <a:lnTo>
                <a:pt x="40437" y="51448"/>
              </a:lnTo>
              <a:lnTo>
                <a:pt x="36884" y="53053"/>
              </a:lnTo>
              <a:lnTo>
                <a:pt x="36133" y="66278"/>
              </a:lnTo>
              <a:lnTo>
                <a:pt x="20819" y="64189"/>
              </a:lnTo>
              <a:lnTo>
                <a:pt x="18217" y="57525"/>
              </a:lnTo>
              <a:lnTo>
                <a:pt x="8458" y="67106"/>
              </a:lnTo>
              <a:lnTo>
                <a:pt x="9158" y="81158"/>
              </a:lnTo>
              <a:lnTo>
                <a:pt x="6256" y="82910"/>
              </a:lnTo>
              <a:lnTo>
                <a:pt x="13663" y="86167"/>
              </a:lnTo>
              <a:lnTo>
                <a:pt x="8958" y="92585"/>
              </a:lnTo>
              <a:lnTo>
                <a:pt x="14764" y="96331"/>
              </a:lnTo>
              <a:lnTo>
                <a:pt x="12011" y="109167"/>
              </a:lnTo>
              <a:lnTo>
                <a:pt x="16615" y="120157"/>
              </a:lnTo>
              <a:lnTo>
                <a:pt x="13312" y="126041"/>
              </a:lnTo>
              <a:lnTo>
                <a:pt x="3753" y="128132"/>
              </a:lnTo>
              <a:lnTo>
                <a:pt x="0" y="138879"/>
              </a:lnTo>
              <a:lnTo>
                <a:pt x="3103" y="157405"/>
              </a:lnTo>
              <a:lnTo>
                <a:pt x="12261" y="158767"/>
              </a:lnTo>
              <a:lnTo>
                <a:pt x="13763" y="165088"/>
              </a:lnTo>
              <a:lnTo>
                <a:pt x="29277" y="165088"/>
              </a:lnTo>
              <a:lnTo>
                <a:pt x="32630" y="175056"/>
              </a:lnTo>
              <a:lnTo>
                <a:pt x="41038" y="169319"/>
              </a:lnTo>
              <a:lnTo>
                <a:pt x="44291" y="178024"/>
              </a:lnTo>
              <a:lnTo>
                <a:pt x="82977" y="165138"/>
              </a:lnTo>
              <a:lnTo>
                <a:pt x="83928" y="157454"/>
              </a:lnTo>
              <a:lnTo>
                <a:pt x="76271" y="153806"/>
              </a:lnTo>
              <a:lnTo>
                <a:pt x="76221" y="149625"/>
              </a:lnTo>
              <a:lnTo>
                <a:pt x="92586" y="146853"/>
              </a:lnTo>
              <a:lnTo>
                <a:pt x="96690" y="137128"/>
              </a:lnTo>
              <a:lnTo>
                <a:pt x="93237" y="136204"/>
              </a:lnTo>
              <a:lnTo>
                <a:pt x="91785" y="125799"/>
              </a:lnTo>
              <a:lnTo>
                <a:pt x="94538" y="118942"/>
              </a:lnTo>
              <a:lnTo>
                <a:pt x="110253" y="107563"/>
              </a:lnTo>
              <a:lnTo>
                <a:pt x="106950" y="101436"/>
              </a:lnTo>
              <a:lnTo>
                <a:pt x="89133" y="92635"/>
              </a:lnTo>
              <a:lnTo>
                <a:pt x="78223" y="94240"/>
              </a:lnTo>
              <a:lnTo>
                <a:pt x="78123" y="97935"/>
              </a:lnTo>
              <a:lnTo>
                <a:pt x="67313" y="96331"/>
              </a:lnTo>
              <a:lnTo>
                <a:pt x="72568" y="87772"/>
              </a:lnTo>
              <a:lnTo>
                <a:pt x="80575" y="89037"/>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676390</xdr:colOff>
      <xdr:row>96</xdr:row>
      <xdr:rowOff>231058</xdr:rowOff>
    </xdr:from>
    <xdr:to>
      <xdr:col>4</xdr:col>
      <xdr:colOff>1196977</xdr:colOff>
      <xdr:row>99</xdr:row>
      <xdr:rowOff>167371</xdr:rowOff>
    </xdr:to>
    <xdr:sp macro="MapShapeClick" textlink="">
      <xdr:nvSpPr>
        <xdr:cNvPr id="6" name="河北省">
          <a:extLst>
            <a:ext uri="{FF2B5EF4-FFF2-40B4-BE49-F238E27FC236}">
              <a16:creationId xmlns:a16="http://schemas.microsoft.com/office/drawing/2014/main" id="{48EF24D7-21AC-F4FB-E9E7-D88D54A62541}"/>
            </a:ext>
          </a:extLst>
        </xdr:cNvPr>
        <xdr:cNvSpPr/>
      </xdr:nvSpPr>
      <xdr:spPr>
        <a:xfrm>
          <a:off x="3831070" y="18054238"/>
          <a:ext cx="520587" cy="690693"/>
        </a:xfrm>
        <a:custGeom>
          <a:avLst/>
          <a:gdLst/>
          <a:ahLst/>
          <a:cxnLst/>
          <a:rect l="0" t="0" r="0" b="0"/>
          <a:pathLst>
            <a:path w="520587" h="690693">
              <a:moveTo>
                <a:pt x="325203" y="214053"/>
              </a:moveTo>
              <a:lnTo>
                <a:pt x="322151" y="221932"/>
              </a:lnTo>
              <a:lnTo>
                <a:pt x="309139" y="223584"/>
              </a:lnTo>
              <a:lnTo>
                <a:pt x="304184" y="229906"/>
              </a:lnTo>
              <a:lnTo>
                <a:pt x="308638" y="236227"/>
              </a:lnTo>
              <a:lnTo>
                <a:pt x="305585" y="244056"/>
              </a:lnTo>
              <a:lnTo>
                <a:pt x="315745" y="258888"/>
              </a:lnTo>
              <a:lnTo>
                <a:pt x="331810" y="258596"/>
              </a:lnTo>
              <a:lnTo>
                <a:pt x="342069" y="274594"/>
              </a:lnTo>
              <a:lnTo>
                <a:pt x="350277" y="276976"/>
              </a:lnTo>
              <a:lnTo>
                <a:pt x="347675" y="281353"/>
              </a:lnTo>
              <a:lnTo>
                <a:pt x="351678" y="282714"/>
              </a:lnTo>
              <a:lnTo>
                <a:pt x="350727" y="286847"/>
              </a:lnTo>
              <a:lnTo>
                <a:pt x="331609" y="283395"/>
              </a:lnTo>
              <a:lnTo>
                <a:pt x="329057" y="288938"/>
              </a:lnTo>
              <a:lnTo>
                <a:pt x="331609" y="307027"/>
              </a:lnTo>
              <a:lnTo>
                <a:pt x="341569" y="318552"/>
              </a:lnTo>
              <a:lnTo>
                <a:pt x="339016" y="325263"/>
              </a:lnTo>
              <a:lnTo>
                <a:pt x="345372" y="332995"/>
              </a:lnTo>
              <a:lnTo>
                <a:pt x="349526" y="325749"/>
              </a:lnTo>
              <a:lnTo>
                <a:pt x="363089" y="328327"/>
              </a:lnTo>
              <a:lnTo>
                <a:pt x="353079" y="351423"/>
              </a:lnTo>
              <a:lnTo>
                <a:pt x="370446" y="358280"/>
              </a:lnTo>
              <a:lnTo>
                <a:pt x="373749" y="361781"/>
              </a:lnTo>
              <a:lnTo>
                <a:pt x="370596" y="367470"/>
              </a:lnTo>
              <a:lnTo>
                <a:pt x="378653" y="369464"/>
              </a:lnTo>
              <a:lnTo>
                <a:pt x="386761" y="384976"/>
              </a:lnTo>
              <a:lnTo>
                <a:pt x="398221" y="386922"/>
              </a:lnTo>
              <a:lnTo>
                <a:pt x="408381" y="398105"/>
              </a:lnTo>
              <a:lnTo>
                <a:pt x="417590" y="391590"/>
              </a:lnTo>
              <a:lnTo>
                <a:pt x="411784" y="379093"/>
              </a:lnTo>
              <a:lnTo>
                <a:pt x="415488" y="374910"/>
              </a:lnTo>
              <a:lnTo>
                <a:pt x="445766" y="369903"/>
              </a:lnTo>
              <a:lnTo>
                <a:pt x="441312" y="373986"/>
              </a:lnTo>
              <a:lnTo>
                <a:pt x="443714" y="375688"/>
              </a:lnTo>
              <a:lnTo>
                <a:pt x="464784" y="352736"/>
              </a:lnTo>
              <a:lnTo>
                <a:pt x="471890" y="350501"/>
              </a:lnTo>
              <a:lnTo>
                <a:pt x="475493" y="345540"/>
              </a:lnTo>
              <a:lnTo>
                <a:pt x="471640" y="336301"/>
              </a:lnTo>
              <a:lnTo>
                <a:pt x="479498" y="311356"/>
              </a:lnTo>
              <a:lnTo>
                <a:pt x="493310" y="303527"/>
              </a:lnTo>
              <a:lnTo>
                <a:pt x="493661" y="295163"/>
              </a:lnTo>
              <a:lnTo>
                <a:pt x="520586" y="287480"/>
              </a:lnTo>
              <a:lnTo>
                <a:pt x="519134" y="279796"/>
              </a:lnTo>
              <a:lnTo>
                <a:pt x="509576" y="272163"/>
              </a:lnTo>
              <a:lnTo>
                <a:pt x="510326" y="261221"/>
              </a:lnTo>
              <a:lnTo>
                <a:pt x="501668" y="258692"/>
              </a:lnTo>
              <a:lnTo>
                <a:pt x="495162" y="224945"/>
              </a:lnTo>
              <a:lnTo>
                <a:pt x="470539" y="225432"/>
              </a:lnTo>
              <a:lnTo>
                <a:pt x="468487" y="218964"/>
              </a:lnTo>
              <a:lnTo>
                <a:pt x="461480" y="215901"/>
              </a:lnTo>
              <a:lnTo>
                <a:pt x="464734" y="210796"/>
              </a:lnTo>
              <a:lnTo>
                <a:pt x="454174" y="212449"/>
              </a:lnTo>
              <a:lnTo>
                <a:pt x="437208" y="195575"/>
              </a:lnTo>
              <a:lnTo>
                <a:pt x="441762" y="180647"/>
              </a:lnTo>
              <a:lnTo>
                <a:pt x="449769" y="179967"/>
              </a:lnTo>
              <a:lnTo>
                <a:pt x="450821" y="175638"/>
              </a:lnTo>
              <a:lnTo>
                <a:pt x="444615" y="170775"/>
              </a:lnTo>
              <a:lnTo>
                <a:pt x="456276" y="166107"/>
              </a:lnTo>
              <a:lnTo>
                <a:pt x="469188" y="142524"/>
              </a:lnTo>
              <a:lnTo>
                <a:pt x="440861" y="143983"/>
              </a:lnTo>
              <a:lnTo>
                <a:pt x="437008" y="136008"/>
              </a:lnTo>
              <a:lnTo>
                <a:pt x="428750" y="141454"/>
              </a:lnTo>
              <a:lnTo>
                <a:pt x="396820" y="139461"/>
              </a:lnTo>
              <a:lnTo>
                <a:pt x="396820" y="130173"/>
              </a:lnTo>
              <a:lnTo>
                <a:pt x="390565" y="125505"/>
              </a:lnTo>
              <a:lnTo>
                <a:pt x="393067" y="116702"/>
              </a:lnTo>
              <a:lnTo>
                <a:pt x="385960" y="112035"/>
              </a:lnTo>
              <a:lnTo>
                <a:pt x="379254" y="97057"/>
              </a:lnTo>
              <a:lnTo>
                <a:pt x="382957" y="88158"/>
              </a:lnTo>
              <a:lnTo>
                <a:pt x="392216" y="92730"/>
              </a:lnTo>
              <a:lnTo>
                <a:pt x="395719" y="84852"/>
              </a:lnTo>
              <a:lnTo>
                <a:pt x="390314" y="75565"/>
              </a:lnTo>
              <a:lnTo>
                <a:pt x="393967" y="69243"/>
              </a:lnTo>
              <a:lnTo>
                <a:pt x="387962" y="65256"/>
              </a:lnTo>
              <a:lnTo>
                <a:pt x="392566" y="61658"/>
              </a:lnTo>
              <a:lnTo>
                <a:pt x="387912" y="57816"/>
              </a:lnTo>
              <a:lnTo>
                <a:pt x="384259" y="64526"/>
              </a:lnTo>
              <a:lnTo>
                <a:pt x="377953" y="63895"/>
              </a:lnTo>
              <a:lnTo>
                <a:pt x="381105" y="59080"/>
              </a:lnTo>
              <a:lnTo>
                <a:pt x="376401" y="56455"/>
              </a:lnTo>
              <a:lnTo>
                <a:pt x="377102" y="49111"/>
              </a:lnTo>
              <a:lnTo>
                <a:pt x="366642" y="42791"/>
              </a:lnTo>
              <a:lnTo>
                <a:pt x="373348" y="35253"/>
              </a:lnTo>
              <a:lnTo>
                <a:pt x="370446" y="25722"/>
              </a:lnTo>
              <a:lnTo>
                <a:pt x="350577" y="0"/>
              </a:lnTo>
              <a:lnTo>
                <a:pt x="341418" y="3987"/>
              </a:lnTo>
              <a:lnTo>
                <a:pt x="325854" y="1750"/>
              </a:lnTo>
              <a:lnTo>
                <a:pt x="318697" y="11135"/>
              </a:lnTo>
              <a:lnTo>
                <a:pt x="318948" y="17262"/>
              </a:lnTo>
              <a:lnTo>
                <a:pt x="294975" y="14830"/>
              </a:lnTo>
              <a:lnTo>
                <a:pt x="280862" y="23680"/>
              </a:lnTo>
              <a:lnTo>
                <a:pt x="278009" y="27765"/>
              </a:lnTo>
              <a:lnTo>
                <a:pt x="279360" y="47070"/>
              </a:lnTo>
              <a:lnTo>
                <a:pt x="270102" y="46000"/>
              </a:lnTo>
              <a:lnTo>
                <a:pt x="278310" y="57816"/>
              </a:lnTo>
              <a:lnTo>
                <a:pt x="277459" y="65937"/>
              </a:lnTo>
              <a:lnTo>
                <a:pt x="270653" y="70361"/>
              </a:lnTo>
              <a:lnTo>
                <a:pt x="250934" y="75759"/>
              </a:lnTo>
              <a:lnTo>
                <a:pt x="247481" y="70750"/>
              </a:lnTo>
              <a:lnTo>
                <a:pt x="237922" y="74203"/>
              </a:lnTo>
              <a:lnTo>
                <a:pt x="239624" y="69876"/>
              </a:lnTo>
              <a:lnTo>
                <a:pt x="236320" y="66861"/>
              </a:lnTo>
              <a:lnTo>
                <a:pt x="231166" y="68271"/>
              </a:lnTo>
              <a:lnTo>
                <a:pt x="221757" y="83053"/>
              </a:lnTo>
              <a:lnTo>
                <a:pt x="215952" y="83053"/>
              </a:lnTo>
              <a:lnTo>
                <a:pt x="214000" y="92341"/>
              </a:lnTo>
              <a:lnTo>
                <a:pt x="206543" y="90056"/>
              </a:lnTo>
              <a:lnTo>
                <a:pt x="199186" y="73961"/>
              </a:lnTo>
              <a:lnTo>
                <a:pt x="192530" y="74690"/>
              </a:lnTo>
              <a:lnTo>
                <a:pt x="152893" y="99344"/>
              </a:lnTo>
              <a:lnTo>
                <a:pt x="150640" y="101579"/>
              </a:lnTo>
              <a:lnTo>
                <a:pt x="155395" y="111208"/>
              </a:lnTo>
              <a:lnTo>
                <a:pt x="148288" y="109069"/>
              </a:lnTo>
              <a:lnTo>
                <a:pt x="141282" y="114661"/>
              </a:lnTo>
              <a:lnTo>
                <a:pt x="132774" y="108971"/>
              </a:lnTo>
              <a:lnTo>
                <a:pt x="113406" y="111452"/>
              </a:lnTo>
              <a:lnTo>
                <a:pt x="116809" y="101142"/>
              </a:lnTo>
              <a:lnTo>
                <a:pt x="114056" y="88306"/>
              </a:lnTo>
              <a:lnTo>
                <a:pt x="119762" y="84756"/>
              </a:lnTo>
              <a:lnTo>
                <a:pt x="113556" y="57233"/>
              </a:lnTo>
              <a:lnTo>
                <a:pt x="108001" y="51592"/>
              </a:lnTo>
              <a:lnTo>
                <a:pt x="104798" y="55288"/>
              </a:lnTo>
              <a:lnTo>
                <a:pt x="88983" y="53440"/>
              </a:lnTo>
              <a:lnTo>
                <a:pt x="82477" y="60880"/>
              </a:lnTo>
              <a:lnTo>
                <a:pt x="85029" y="69924"/>
              </a:lnTo>
              <a:lnTo>
                <a:pt x="72067" y="73037"/>
              </a:lnTo>
              <a:lnTo>
                <a:pt x="59756" y="90882"/>
              </a:lnTo>
              <a:lnTo>
                <a:pt x="64510" y="109019"/>
              </a:lnTo>
              <a:lnTo>
                <a:pt x="62208" y="120933"/>
              </a:lnTo>
              <a:lnTo>
                <a:pt x="46093" y="119183"/>
              </a:lnTo>
              <a:lnTo>
                <a:pt x="33531" y="129882"/>
              </a:lnTo>
              <a:lnTo>
                <a:pt x="38986" y="134063"/>
              </a:lnTo>
              <a:lnTo>
                <a:pt x="35283" y="142329"/>
              </a:lnTo>
              <a:lnTo>
                <a:pt x="44792" y="151423"/>
              </a:lnTo>
              <a:lnTo>
                <a:pt x="28777" y="165913"/>
              </a:lnTo>
              <a:lnTo>
                <a:pt x="48145" y="184489"/>
              </a:lnTo>
              <a:lnTo>
                <a:pt x="47094" y="194651"/>
              </a:lnTo>
              <a:lnTo>
                <a:pt x="66462" y="220375"/>
              </a:lnTo>
              <a:lnTo>
                <a:pt x="65161" y="232824"/>
              </a:lnTo>
              <a:lnTo>
                <a:pt x="68814" y="243667"/>
              </a:lnTo>
              <a:lnTo>
                <a:pt x="86581" y="246584"/>
              </a:lnTo>
              <a:lnTo>
                <a:pt x="81626" y="254803"/>
              </a:lnTo>
              <a:lnTo>
                <a:pt x="51398" y="262729"/>
              </a:lnTo>
              <a:lnTo>
                <a:pt x="50497" y="275711"/>
              </a:lnTo>
              <a:lnTo>
                <a:pt x="42590" y="271385"/>
              </a:lnTo>
              <a:lnTo>
                <a:pt x="36184" y="281644"/>
              </a:lnTo>
              <a:lnTo>
                <a:pt x="45843" y="284805"/>
              </a:lnTo>
              <a:lnTo>
                <a:pt x="47294" y="292197"/>
              </a:lnTo>
              <a:lnTo>
                <a:pt x="60707" y="291904"/>
              </a:lnTo>
              <a:lnTo>
                <a:pt x="61007" y="297935"/>
              </a:lnTo>
              <a:lnTo>
                <a:pt x="75571" y="297350"/>
              </a:lnTo>
              <a:lnTo>
                <a:pt x="76622" y="320109"/>
              </a:lnTo>
              <a:lnTo>
                <a:pt x="85330" y="329299"/>
              </a:lnTo>
              <a:lnTo>
                <a:pt x="89684" y="328375"/>
              </a:lnTo>
              <a:lnTo>
                <a:pt x="78473" y="356384"/>
              </a:lnTo>
              <a:lnTo>
                <a:pt x="77272" y="363191"/>
              </a:lnTo>
              <a:lnTo>
                <a:pt x="82127" y="365963"/>
              </a:lnTo>
              <a:lnTo>
                <a:pt x="75020" y="370096"/>
              </a:lnTo>
              <a:lnTo>
                <a:pt x="71567" y="380745"/>
              </a:lnTo>
              <a:lnTo>
                <a:pt x="52299" y="383128"/>
              </a:lnTo>
              <a:lnTo>
                <a:pt x="47594" y="374375"/>
              </a:lnTo>
              <a:lnTo>
                <a:pt x="35183" y="381524"/>
              </a:lnTo>
              <a:lnTo>
                <a:pt x="24573" y="392805"/>
              </a:lnTo>
              <a:lnTo>
                <a:pt x="25274" y="400536"/>
              </a:lnTo>
              <a:lnTo>
                <a:pt x="31729" y="406469"/>
              </a:lnTo>
              <a:lnTo>
                <a:pt x="30428" y="413811"/>
              </a:lnTo>
              <a:lnTo>
                <a:pt x="20769" y="418529"/>
              </a:lnTo>
              <a:lnTo>
                <a:pt x="19268" y="424947"/>
              </a:lnTo>
              <a:lnTo>
                <a:pt x="12011" y="425530"/>
              </a:lnTo>
              <a:lnTo>
                <a:pt x="7857" y="434624"/>
              </a:lnTo>
              <a:lnTo>
                <a:pt x="6456" y="464481"/>
              </a:lnTo>
              <a:lnTo>
                <a:pt x="20769" y="474400"/>
              </a:lnTo>
              <a:lnTo>
                <a:pt x="29778" y="475033"/>
              </a:lnTo>
              <a:lnTo>
                <a:pt x="28126" y="480285"/>
              </a:lnTo>
              <a:lnTo>
                <a:pt x="33431" y="486751"/>
              </a:lnTo>
              <a:lnTo>
                <a:pt x="33081" y="493413"/>
              </a:lnTo>
              <a:lnTo>
                <a:pt x="47094" y="516949"/>
              </a:lnTo>
              <a:lnTo>
                <a:pt x="42940" y="522589"/>
              </a:lnTo>
              <a:lnTo>
                <a:pt x="54801" y="525798"/>
              </a:lnTo>
              <a:lnTo>
                <a:pt x="34232" y="570487"/>
              </a:lnTo>
              <a:lnTo>
                <a:pt x="25023" y="579386"/>
              </a:lnTo>
              <a:lnTo>
                <a:pt x="25023" y="609582"/>
              </a:lnTo>
              <a:lnTo>
                <a:pt x="18817" y="606811"/>
              </a:lnTo>
              <a:lnTo>
                <a:pt x="17516" y="616196"/>
              </a:lnTo>
              <a:lnTo>
                <a:pt x="0" y="624510"/>
              </a:lnTo>
              <a:lnTo>
                <a:pt x="3403" y="624803"/>
              </a:lnTo>
              <a:lnTo>
                <a:pt x="1751" y="631854"/>
              </a:lnTo>
              <a:lnTo>
                <a:pt x="10059" y="640703"/>
              </a:lnTo>
              <a:lnTo>
                <a:pt x="7257" y="646101"/>
              </a:lnTo>
              <a:lnTo>
                <a:pt x="19769" y="653298"/>
              </a:lnTo>
              <a:lnTo>
                <a:pt x="21620" y="659376"/>
              </a:lnTo>
              <a:lnTo>
                <a:pt x="48045" y="662781"/>
              </a:lnTo>
              <a:lnTo>
                <a:pt x="49997" y="668810"/>
              </a:lnTo>
              <a:lnTo>
                <a:pt x="57304" y="671193"/>
              </a:lnTo>
              <a:lnTo>
                <a:pt x="71517" y="670221"/>
              </a:lnTo>
              <a:lnTo>
                <a:pt x="91285" y="684031"/>
              </a:lnTo>
              <a:lnTo>
                <a:pt x="117610" y="681794"/>
              </a:lnTo>
              <a:lnTo>
                <a:pt x="117760" y="690692"/>
              </a:lnTo>
              <a:lnTo>
                <a:pt x="124566" y="688942"/>
              </a:lnTo>
              <a:lnTo>
                <a:pt x="134876" y="674839"/>
              </a:lnTo>
              <a:lnTo>
                <a:pt x="144385" y="676687"/>
              </a:lnTo>
              <a:lnTo>
                <a:pt x="150140" y="687044"/>
              </a:lnTo>
              <a:lnTo>
                <a:pt x="164003" y="680967"/>
              </a:lnTo>
              <a:lnTo>
                <a:pt x="162301" y="668129"/>
              </a:lnTo>
              <a:lnTo>
                <a:pt x="159098" y="663509"/>
              </a:lnTo>
              <a:lnTo>
                <a:pt x="154494" y="664823"/>
              </a:lnTo>
              <a:lnTo>
                <a:pt x="146887" y="645810"/>
              </a:lnTo>
              <a:lnTo>
                <a:pt x="163703" y="619211"/>
              </a:lnTo>
              <a:lnTo>
                <a:pt x="180268" y="614348"/>
              </a:lnTo>
              <a:lnTo>
                <a:pt x="198635" y="573794"/>
              </a:lnTo>
              <a:lnTo>
                <a:pt x="203490" y="570438"/>
              </a:lnTo>
              <a:lnTo>
                <a:pt x="203990" y="560469"/>
              </a:lnTo>
              <a:lnTo>
                <a:pt x="225160" y="557990"/>
              </a:lnTo>
              <a:lnTo>
                <a:pt x="229164" y="553614"/>
              </a:lnTo>
              <a:lnTo>
                <a:pt x="224359" y="551181"/>
              </a:lnTo>
              <a:lnTo>
                <a:pt x="224209" y="545881"/>
              </a:lnTo>
              <a:lnTo>
                <a:pt x="228413" y="547194"/>
              </a:lnTo>
              <a:lnTo>
                <a:pt x="233268" y="535475"/>
              </a:lnTo>
              <a:lnTo>
                <a:pt x="241225" y="546563"/>
              </a:lnTo>
              <a:lnTo>
                <a:pt x="271353" y="508001"/>
              </a:lnTo>
              <a:lnTo>
                <a:pt x="322851" y="507466"/>
              </a:lnTo>
              <a:lnTo>
                <a:pt x="334913" y="485049"/>
              </a:lnTo>
              <a:lnTo>
                <a:pt x="344471" y="484564"/>
              </a:lnTo>
              <a:lnTo>
                <a:pt x="349876" y="478533"/>
              </a:lnTo>
              <a:lnTo>
                <a:pt x="365041" y="453539"/>
              </a:lnTo>
              <a:lnTo>
                <a:pt x="350677" y="453783"/>
              </a:lnTo>
              <a:lnTo>
                <a:pt x="339617" y="437833"/>
              </a:lnTo>
              <a:lnTo>
                <a:pt x="342920" y="436618"/>
              </a:lnTo>
              <a:lnTo>
                <a:pt x="339066" y="436033"/>
              </a:lnTo>
              <a:lnTo>
                <a:pt x="339167" y="427524"/>
              </a:lnTo>
              <a:lnTo>
                <a:pt x="307787" y="434868"/>
              </a:lnTo>
              <a:lnTo>
                <a:pt x="304534" y="426163"/>
              </a:lnTo>
              <a:lnTo>
                <a:pt x="296126" y="431900"/>
              </a:lnTo>
              <a:lnTo>
                <a:pt x="292773" y="421932"/>
              </a:lnTo>
              <a:lnTo>
                <a:pt x="277259" y="421932"/>
              </a:lnTo>
              <a:lnTo>
                <a:pt x="275757" y="415611"/>
              </a:lnTo>
              <a:lnTo>
                <a:pt x="266599" y="414249"/>
              </a:lnTo>
              <a:lnTo>
                <a:pt x="263496" y="395723"/>
              </a:lnTo>
              <a:lnTo>
                <a:pt x="267249" y="384976"/>
              </a:lnTo>
              <a:lnTo>
                <a:pt x="276808" y="382885"/>
              </a:lnTo>
              <a:lnTo>
                <a:pt x="280111" y="377001"/>
              </a:lnTo>
              <a:lnTo>
                <a:pt x="275507" y="366011"/>
              </a:lnTo>
              <a:lnTo>
                <a:pt x="278260" y="353175"/>
              </a:lnTo>
              <a:lnTo>
                <a:pt x="272454" y="349429"/>
              </a:lnTo>
              <a:lnTo>
                <a:pt x="277159" y="343011"/>
              </a:lnTo>
              <a:lnTo>
                <a:pt x="269752" y="339754"/>
              </a:lnTo>
              <a:lnTo>
                <a:pt x="272654" y="338002"/>
              </a:lnTo>
              <a:lnTo>
                <a:pt x="271954" y="323950"/>
              </a:lnTo>
              <a:lnTo>
                <a:pt x="248582" y="325992"/>
              </a:lnTo>
              <a:lnTo>
                <a:pt x="242026" y="335084"/>
              </a:lnTo>
              <a:lnTo>
                <a:pt x="238623" y="333188"/>
              </a:lnTo>
              <a:lnTo>
                <a:pt x="241275" y="342185"/>
              </a:lnTo>
              <a:lnTo>
                <a:pt x="226912" y="336106"/>
              </a:lnTo>
              <a:lnTo>
                <a:pt x="222107" y="326721"/>
              </a:lnTo>
              <a:lnTo>
                <a:pt x="204191" y="326040"/>
              </a:lnTo>
              <a:lnTo>
                <a:pt x="202489" y="329736"/>
              </a:lnTo>
              <a:lnTo>
                <a:pt x="198686" y="325555"/>
              </a:lnTo>
              <a:lnTo>
                <a:pt x="190228" y="335084"/>
              </a:lnTo>
              <a:lnTo>
                <a:pt x="185874" y="334502"/>
              </a:lnTo>
              <a:lnTo>
                <a:pt x="178967" y="323998"/>
              </a:lnTo>
              <a:lnTo>
                <a:pt x="166806" y="325894"/>
              </a:lnTo>
              <a:lnTo>
                <a:pt x="164253" y="310626"/>
              </a:lnTo>
              <a:lnTo>
                <a:pt x="160450" y="309556"/>
              </a:lnTo>
              <a:lnTo>
                <a:pt x="170809" y="302748"/>
              </a:lnTo>
              <a:lnTo>
                <a:pt x="159349" y="288549"/>
              </a:lnTo>
              <a:lnTo>
                <a:pt x="161651" y="280137"/>
              </a:lnTo>
              <a:lnTo>
                <a:pt x="187575" y="264577"/>
              </a:lnTo>
              <a:lnTo>
                <a:pt x="193580" y="267689"/>
              </a:lnTo>
              <a:lnTo>
                <a:pt x="203440" y="255240"/>
              </a:lnTo>
              <a:lnTo>
                <a:pt x="199286" y="245612"/>
              </a:lnTo>
              <a:lnTo>
                <a:pt x="187425" y="236081"/>
              </a:lnTo>
              <a:lnTo>
                <a:pt x="186074" y="225772"/>
              </a:lnTo>
              <a:lnTo>
                <a:pt x="198485" y="217506"/>
              </a:lnTo>
              <a:lnTo>
                <a:pt x="204541" y="221639"/>
              </a:lnTo>
              <a:lnTo>
                <a:pt x="219204" y="212692"/>
              </a:lnTo>
              <a:lnTo>
                <a:pt x="226061" y="198834"/>
              </a:lnTo>
              <a:lnTo>
                <a:pt x="242827" y="201604"/>
              </a:lnTo>
              <a:lnTo>
                <a:pt x="233568" y="184050"/>
              </a:lnTo>
              <a:lnTo>
                <a:pt x="244729" y="187211"/>
              </a:lnTo>
              <a:lnTo>
                <a:pt x="242977" y="178508"/>
              </a:lnTo>
              <a:lnTo>
                <a:pt x="254588" y="179189"/>
              </a:lnTo>
              <a:lnTo>
                <a:pt x="255989" y="170727"/>
              </a:lnTo>
              <a:lnTo>
                <a:pt x="261895" y="171651"/>
              </a:lnTo>
              <a:lnTo>
                <a:pt x="263946" y="186142"/>
              </a:lnTo>
              <a:lnTo>
                <a:pt x="284365" y="207635"/>
              </a:lnTo>
              <a:lnTo>
                <a:pt x="313192" y="213179"/>
              </a:lnTo>
              <a:lnTo>
                <a:pt x="320449" y="210066"/>
              </a:lnTo>
              <a:lnTo>
                <a:pt x="327356" y="211331"/>
              </a:lnTo>
              <a:lnTo>
                <a:pt x="327956" y="215464"/>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943940</xdr:colOff>
      <xdr:row>98</xdr:row>
      <xdr:rowOff>2732</xdr:rowOff>
    </xdr:from>
    <xdr:to>
      <xdr:col>4</xdr:col>
      <xdr:colOff>984078</xdr:colOff>
      <xdr:row>98</xdr:row>
      <xdr:rowOff>49657</xdr:rowOff>
    </xdr:to>
    <xdr:sp macro="MapShapeClick" textlink="">
      <xdr:nvSpPr>
        <xdr:cNvPr id="7" name="河北省">
          <a:extLst>
            <a:ext uri="{FF2B5EF4-FFF2-40B4-BE49-F238E27FC236}">
              <a16:creationId xmlns:a16="http://schemas.microsoft.com/office/drawing/2014/main" id="{BB98312C-0EBC-D94D-3AC9-D4F67678FB7B}"/>
            </a:ext>
          </a:extLst>
        </xdr:cNvPr>
        <xdr:cNvSpPr/>
      </xdr:nvSpPr>
      <xdr:spPr>
        <a:xfrm>
          <a:off x="4098620" y="18328832"/>
          <a:ext cx="40138" cy="46925"/>
        </a:xfrm>
        <a:custGeom>
          <a:avLst/>
          <a:gdLst/>
          <a:ahLst/>
          <a:cxnLst/>
          <a:rect l="0" t="0" r="0" b="0"/>
          <a:pathLst>
            <a:path w="40138" h="46925">
              <a:moveTo>
                <a:pt x="36734" y="0"/>
              </a:moveTo>
              <a:lnTo>
                <a:pt x="21720" y="5494"/>
              </a:lnTo>
              <a:lnTo>
                <a:pt x="5955" y="3258"/>
              </a:lnTo>
              <a:lnTo>
                <a:pt x="0" y="12107"/>
              </a:lnTo>
              <a:lnTo>
                <a:pt x="2152" y="20228"/>
              </a:lnTo>
              <a:lnTo>
                <a:pt x="13012" y="24993"/>
              </a:lnTo>
              <a:lnTo>
                <a:pt x="15564" y="32142"/>
              </a:lnTo>
              <a:lnTo>
                <a:pt x="11711" y="33746"/>
              </a:lnTo>
              <a:lnTo>
                <a:pt x="10710" y="41771"/>
              </a:lnTo>
              <a:lnTo>
                <a:pt x="14163" y="39775"/>
              </a:lnTo>
              <a:lnTo>
                <a:pt x="18317" y="46924"/>
              </a:lnTo>
              <a:lnTo>
                <a:pt x="34132" y="46243"/>
              </a:lnTo>
              <a:lnTo>
                <a:pt x="32830" y="35303"/>
              </a:lnTo>
              <a:lnTo>
                <a:pt x="36383" y="33698"/>
              </a:lnTo>
              <a:lnTo>
                <a:pt x="32380" y="28057"/>
              </a:lnTo>
              <a:lnTo>
                <a:pt x="40137" y="26258"/>
              </a:lnTo>
              <a:lnTo>
                <a:pt x="32880" y="21784"/>
              </a:lnTo>
              <a:lnTo>
                <a:pt x="35283" y="1652"/>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1007199</xdr:colOff>
      <xdr:row>98</xdr:row>
      <xdr:rowOff>74310</xdr:rowOff>
    </xdr:from>
    <xdr:to>
      <xdr:col>4</xdr:col>
      <xdr:colOff>1027368</xdr:colOff>
      <xdr:row>98</xdr:row>
      <xdr:rowOff>81314</xdr:rowOff>
    </xdr:to>
    <xdr:sp macro="MapShapeClick" textlink="">
      <xdr:nvSpPr>
        <xdr:cNvPr id="8" name="河北省">
          <a:extLst>
            <a:ext uri="{FF2B5EF4-FFF2-40B4-BE49-F238E27FC236}">
              <a16:creationId xmlns:a16="http://schemas.microsoft.com/office/drawing/2014/main" id="{D0377042-2876-C88F-C3DC-8126B9C2460C}"/>
            </a:ext>
          </a:extLst>
        </xdr:cNvPr>
        <xdr:cNvSpPr/>
      </xdr:nvSpPr>
      <xdr:spPr>
        <a:xfrm>
          <a:off x="4161879" y="18400410"/>
          <a:ext cx="20169" cy="7004"/>
        </a:xfrm>
        <a:custGeom>
          <a:avLst/>
          <a:gdLst/>
          <a:ahLst/>
          <a:cxnLst/>
          <a:rect l="0" t="0" r="0" b="0"/>
          <a:pathLst>
            <a:path w="20169" h="7004">
              <a:moveTo>
                <a:pt x="20168" y="2918"/>
              </a:moveTo>
              <a:lnTo>
                <a:pt x="2802" y="0"/>
              </a:lnTo>
              <a:lnTo>
                <a:pt x="0" y="7003"/>
              </a:lnTo>
              <a:lnTo>
                <a:pt x="16916" y="5251"/>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413495</xdr:colOff>
      <xdr:row>97</xdr:row>
      <xdr:rowOff>184267</xdr:rowOff>
    </xdr:from>
    <xdr:to>
      <xdr:col>4</xdr:col>
      <xdr:colOff>766075</xdr:colOff>
      <xdr:row>100</xdr:row>
      <xdr:rowOff>60478</xdr:rowOff>
    </xdr:to>
    <xdr:sp macro="MapShapeClick" textlink="">
      <xdr:nvSpPr>
        <xdr:cNvPr id="9" name="山西省">
          <a:extLst>
            <a:ext uri="{FF2B5EF4-FFF2-40B4-BE49-F238E27FC236}">
              <a16:creationId xmlns:a16="http://schemas.microsoft.com/office/drawing/2014/main" id="{180047C1-8A17-BC44-C0C2-3AB31765D18C}"/>
            </a:ext>
          </a:extLst>
        </xdr:cNvPr>
        <xdr:cNvSpPr/>
      </xdr:nvSpPr>
      <xdr:spPr>
        <a:xfrm>
          <a:off x="3568175" y="18258907"/>
          <a:ext cx="352580" cy="630591"/>
        </a:xfrm>
        <a:custGeom>
          <a:avLst/>
          <a:gdLst/>
          <a:ahLst/>
          <a:cxnLst/>
          <a:rect l="0" t="0" r="0" b="0"/>
          <a:pathLst>
            <a:path w="352580" h="630591">
              <a:moveTo>
                <a:pt x="12161" y="630590"/>
              </a:moveTo>
              <a:lnTo>
                <a:pt x="39036" y="630152"/>
              </a:lnTo>
              <a:lnTo>
                <a:pt x="42239" y="625485"/>
              </a:lnTo>
              <a:lnTo>
                <a:pt x="48345" y="629083"/>
              </a:lnTo>
              <a:lnTo>
                <a:pt x="56102" y="617801"/>
              </a:lnTo>
              <a:lnTo>
                <a:pt x="60656" y="620134"/>
              </a:lnTo>
              <a:lnTo>
                <a:pt x="74669" y="610118"/>
              </a:lnTo>
              <a:lnTo>
                <a:pt x="108951" y="606617"/>
              </a:lnTo>
              <a:lnTo>
                <a:pt x="118010" y="595919"/>
              </a:lnTo>
              <a:lnTo>
                <a:pt x="116559" y="592612"/>
              </a:lnTo>
              <a:lnTo>
                <a:pt x="128420" y="584881"/>
              </a:lnTo>
              <a:lnTo>
                <a:pt x="148889" y="585513"/>
              </a:lnTo>
              <a:lnTo>
                <a:pt x="148638" y="563242"/>
              </a:lnTo>
              <a:lnTo>
                <a:pt x="168607" y="566062"/>
              </a:lnTo>
              <a:lnTo>
                <a:pt x="167256" y="569223"/>
              </a:lnTo>
              <a:lnTo>
                <a:pt x="195632" y="568640"/>
              </a:lnTo>
              <a:lnTo>
                <a:pt x="194882" y="564896"/>
              </a:lnTo>
              <a:lnTo>
                <a:pt x="206643" y="570438"/>
              </a:lnTo>
              <a:lnTo>
                <a:pt x="224459" y="561637"/>
              </a:lnTo>
              <a:lnTo>
                <a:pt x="224809" y="555073"/>
              </a:lnTo>
              <a:lnTo>
                <a:pt x="235369" y="558039"/>
              </a:lnTo>
              <a:lnTo>
                <a:pt x="240524" y="546416"/>
              </a:lnTo>
              <a:lnTo>
                <a:pt x="249833" y="548605"/>
              </a:lnTo>
              <a:lnTo>
                <a:pt x="250483" y="543207"/>
              </a:lnTo>
              <a:lnTo>
                <a:pt x="265648" y="538102"/>
              </a:lnTo>
              <a:lnTo>
                <a:pt x="269601" y="525653"/>
              </a:lnTo>
              <a:lnTo>
                <a:pt x="275907" y="528084"/>
              </a:lnTo>
              <a:lnTo>
                <a:pt x="272454" y="509510"/>
              </a:lnTo>
              <a:lnTo>
                <a:pt x="278810" y="507613"/>
              </a:lnTo>
              <a:lnTo>
                <a:pt x="277809" y="491859"/>
              </a:lnTo>
              <a:lnTo>
                <a:pt x="281562" y="488552"/>
              </a:lnTo>
              <a:lnTo>
                <a:pt x="278360" y="478680"/>
              </a:lnTo>
              <a:lnTo>
                <a:pt x="283014" y="478242"/>
              </a:lnTo>
              <a:lnTo>
                <a:pt x="278009" y="473720"/>
              </a:lnTo>
              <a:lnTo>
                <a:pt x="281813" y="472991"/>
              </a:lnTo>
              <a:lnTo>
                <a:pt x="284515" y="454707"/>
              </a:lnTo>
              <a:lnTo>
                <a:pt x="282664" y="448629"/>
              </a:lnTo>
              <a:lnTo>
                <a:pt x="270152" y="441432"/>
              </a:lnTo>
              <a:lnTo>
                <a:pt x="272954" y="436034"/>
              </a:lnTo>
              <a:lnTo>
                <a:pt x="264646" y="427185"/>
              </a:lnTo>
              <a:lnTo>
                <a:pt x="266298" y="420134"/>
              </a:lnTo>
              <a:lnTo>
                <a:pt x="262895" y="419841"/>
              </a:lnTo>
              <a:lnTo>
                <a:pt x="280411" y="411527"/>
              </a:lnTo>
              <a:lnTo>
                <a:pt x="281712" y="402142"/>
              </a:lnTo>
              <a:lnTo>
                <a:pt x="287918" y="404913"/>
              </a:lnTo>
              <a:lnTo>
                <a:pt x="287918" y="374717"/>
              </a:lnTo>
              <a:lnTo>
                <a:pt x="297127" y="365818"/>
              </a:lnTo>
              <a:lnTo>
                <a:pt x="317696" y="321129"/>
              </a:lnTo>
              <a:lnTo>
                <a:pt x="305835" y="317920"/>
              </a:lnTo>
              <a:lnTo>
                <a:pt x="309989" y="312280"/>
              </a:lnTo>
              <a:lnTo>
                <a:pt x="295976" y="288744"/>
              </a:lnTo>
              <a:lnTo>
                <a:pt x="296326" y="282082"/>
              </a:lnTo>
              <a:lnTo>
                <a:pt x="291021" y="275616"/>
              </a:lnTo>
              <a:lnTo>
                <a:pt x="292673" y="270364"/>
              </a:lnTo>
              <a:lnTo>
                <a:pt x="283664" y="269731"/>
              </a:lnTo>
              <a:lnTo>
                <a:pt x="269351" y="259812"/>
              </a:lnTo>
              <a:lnTo>
                <a:pt x="270752" y="229955"/>
              </a:lnTo>
              <a:lnTo>
                <a:pt x="274906" y="220861"/>
              </a:lnTo>
              <a:lnTo>
                <a:pt x="282163" y="220278"/>
              </a:lnTo>
              <a:lnTo>
                <a:pt x="283664" y="213860"/>
              </a:lnTo>
              <a:lnTo>
                <a:pt x="293323" y="209142"/>
              </a:lnTo>
              <a:lnTo>
                <a:pt x="294624" y="201800"/>
              </a:lnTo>
              <a:lnTo>
                <a:pt x="288169" y="195867"/>
              </a:lnTo>
              <a:lnTo>
                <a:pt x="287468" y="188136"/>
              </a:lnTo>
              <a:lnTo>
                <a:pt x="298078" y="176855"/>
              </a:lnTo>
              <a:lnTo>
                <a:pt x="310489" y="169706"/>
              </a:lnTo>
              <a:lnTo>
                <a:pt x="315194" y="178459"/>
              </a:lnTo>
              <a:lnTo>
                <a:pt x="334462" y="176076"/>
              </a:lnTo>
              <a:lnTo>
                <a:pt x="337915" y="165427"/>
              </a:lnTo>
              <a:lnTo>
                <a:pt x="345022" y="161294"/>
              </a:lnTo>
              <a:lnTo>
                <a:pt x="340167" y="158522"/>
              </a:lnTo>
              <a:lnTo>
                <a:pt x="341368" y="151715"/>
              </a:lnTo>
              <a:lnTo>
                <a:pt x="352579" y="123706"/>
              </a:lnTo>
              <a:lnTo>
                <a:pt x="348225" y="124630"/>
              </a:lnTo>
              <a:lnTo>
                <a:pt x="339517" y="115440"/>
              </a:lnTo>
              <a:lnTo>
                <a:pt x="338466" y="92681"/>
              </a:lnTo>
              <a:lnTo>
                <a:pt x="323902" y="93266"/>
              </a:lnTo>
              <a:lnTo>
                <a:pt x="323602" y="87235"/>
              </a:lnTo>
              <a:lnTo>
                <a:pt x="310189" y="87528"/>
              </a:lnTo>
              <a:lnTo>
                <a:pt x="308738" y="80136"/>
              </a:lnTo>
              <a:lnTo>
                <a:pt x="299079" y="76975"/>
              </a:lnTo>
              <a:lnTo>
                <a:pt x="305485" y="66716"/>
              </a:lnTo>
              <a:lnTo>
                <a:pt x="313392" y="71042"/>
              </a:lnTo>
              <a:lnTo>
                <a:pt x="314293" y="58060"/>
              </a:lnTo>
              <a:lnTo>
                <a:pt x="344521" y="50134"/>
              </a:lnTo>
              <a:lnTo>
                <a:pt x="349476" y="41915"/>
              </a:lnTo>
              <a:lnTo>
                <a:pt x="331709" y="38998"/>
              </a:lnTo>
              <a:lnTo>
                <a:pt x="328056" y="28155"/>
              </a:lnTo>
              <a:lnTo>
                <a:pt x="329357" y="15706"/>
              </a:lnTo>
              <a:lnTo>
                <a:pt x="317296" y="0"/>
              </a:lnTo>
              <a:lnTo>
                <a:pt x="311541" y="3257"/>
              </a:lnTo>
              <a:lnTo>
                <a:pt x="311390" y="22320"/>
              </a:lnTo>
              <a:lnTo>
                <a:pt x="294224" y="29614"/>
              </a:lnTo>
              <a:lnTo>
                <a:pt x="289670" y="23486"/>
              </a:lnTo>
              <a:lnTo>
                <a:pt x="270602" y="41576"/>
              </a:lnTo>
              <a:lnTo>
                <a:pt x="250834" y="44639"/>
              </a:lnTo>
              <a:lnTo>
                <a:pt x="245529" y="34671"/>
              </a:lnTo>
              <a:lnTo>
                <a:pt x="227812" y="39387"/>
              </a:lnTo>
              <a:lnTo>
                <a:pt x="216852" y="43618"/>
              </a:lnTo>
              <a:lnTo>
                <a:pt x="212798" y="56649"/>
              </a:lnTo>
              <a:lnTo>
                <a:pt x="204340" y="60880"/>
              </a:lnTo>
              <a:lnTo>
                <a:pt x="180919" y="46729"/>
              </a:lnTo>
              <a:lnTo>
                <a:pt x="169057" y="51399"/>
              </a:lnTo>
              <a:lnTo>
                <a:pt x="141432" y="100171"/>
              </a:lnTo>
              <a:lnTo>
                <a:pt x="138829" y="118503"/>
              </a:lnTo>
              <a:lnTo>
                <a:pt x="126268" y="122101"/>
              </a:lnTo>
              <a:lnTo>
                <a:pt x="102996" y="114418"/>
              </a:lnTo>
              <a:lnTo>
                <a:pt x="98792" y="116703"/>
              </a:lnTo>
              <a:lnTo>
                <a:pt x="97641" y="130563"/>
              </a:lnTo>
              <a:lnTo>
                <a:pt x="91735" y="138586"/>
              </a:lnTo>
              <a:lnTo>
                <a:pt x="74219" y="141162"/>
              </a:lnTo>
              <a:lnTo>
                <a:pt x="72818" y="145539"/>
              </a:lnTo>
              <a:lnTo>
                <a:pt x="82727" y="152250"/>
              </a:lnTo>
              <a:lnTo>
                <a:pt x="73819" y="177196"/>
              </a:lnTo>
              <a:lnTo>
                <a:pt x="61007" y="187066"/>
              </a:lnTo>
              <a:lnTo>
                <a:pt x="63359" y="199855"/>
              </a:lnTo>
              <a:lnTo>
                <a:pt x="52899" y="222855"/>
              </a:lnTo>
              <a:lnTo>
                <a:pt x="56102" y="227524"/>
              </a:lnTo>
              <a:lnTo>
                <a:pt x="52399" y="240848"/>
              </a:lnTo>
              <a:lnTo>
                <a:pt x="44541" y="242161"/>
              </a:lnTo>
              <a:lnTo>
                <a:pt x="42039" y="249892"/>
              </a:lnTo>
              <a:lnTo>
                <a:pt x="28276" y="257040"/>
              </a:lnTo>
              <a:lnTo>
                <a:pt x="27325" y="265550"/>
              </a:lnTo>
              <a:lnTo>
                <a:pt x="22721" y="267933"/>
              </a:lnTo>
              <a:lnTo>
                <a:pt x="23822" y="292392"/>
              </a:lnTo>
              <a:lnTo>
                <a:pt x="41138" y="311404"/>
              </a:lnTo>
              <a:lnTo>
                <a:pt x="38736" y="318066"/>
              </a:lnTo>
              <a:lnTo>
                <a:pt x="44341" y="320595"/>
              </a:lnTo>
              <a:lnTo>
                <a:pt x="45943" y="333141"/>
              </a:lnTo>
              <a:lnTo>
                <a:pt x="41488" y="344325"/>
              </a:lnTo>
              <a:lnTo>
                <a:pt x="33681" y="345784"/>
              </a:lnTo>
              <a:lnTo>
                <a:pt x="32580" y="352154"/>
              </a:lnTo>
              <a:lnTo>
                <a:pt x="37835" y="354537"/>
              </a:lnTo>
              <a:lnTo>
                <a:pt x="37435" y="360907"/>
              </a:lnTo>
              <a:lnTo>
                <a:pt x="16015" y="389305"/>
              </a:lnTo>
              <a:lnTo>
                <a:pt x="12461" y="387942"/>
              </a:lnTo>
              <a:lnTo>
                <a:pt x="15814" y="393875"/>
              </a:lnTo>
              <a:lnTo>
                <a:pt x="11911" y="402142"/>
              </a:lnTo>
              <a:lnTo>
                <a:pt x="15814" y="404865"/>
              </a:lnTo>
              <a:lnTo>
                <a:pt x="14463" y="412936"/>
              </a:lnTo>
              <a:lnTo>
                <a:pt x="17666" y="416827"/>
              </a:lnTo>
              <a:lnTo>
                <a:pt x="13412" y="423002"/>
              </a:lnTo>
              <a:lnTo>
                <a:pt x="21720" y="432582"/>
              </a:lnTo>
              <a:lnTo>
                <a:pt x="17666" y="474742"/>
              </a:lnTo>
              <a:lnTo>
                <a:pt x="30879" y="528134"/>
              </a:lnTo>
              <a:lnTo>
                <a:pt x="11811" y="566062"/>
              </a:lnTo>
              <a:lnTo>
                <a:pt x="11711" y="577732"/>
              </a:lnTo>
              <a:lnTo>
                <a:pt x="100" y="602872"/>
              </a:lnTo>
              <a:lnTo>
                <a:pt x="0" y="621497"/>
              </a:lnTo>
              <a:lnTo>
                <a:pt x="5355" y="629568"/>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3</xdr:col>
      <xdr:colOff>175565</xdr:colOff>
      <xdr:row>92</xdr:row>
      <xdr:rowOff>81630</xdr:rowOff>
    </xdr:from>
    <xdr:to>
      <xdr:col>4</xdr:col>
      <xdr:colOff>1700446</xdr:colOff>
      <xdr:row>99</xdr:row>
      <xdr:rowOff>30049</xdr:rowOff>
    </xdr:to>
    <xdr:sp macro="MapShapeClick" textlink="">
      <xdr:nvSpPr>
        <xdr:cNvPr id="10" name="内蒙古自治区">
          <a:extLst>
            <a:ext uri="{FF2B5EF4-FFF2-40B4-BE49-F238E27FC236}">
              <a16:creationId xmlns:a16="http://schemas.microsoft.com/office/drawing/2014/main" id="{BD97F0D3-C2CA-9513-AC52-074F24167584}"/>
            </a:ext>
          </a:extLst>
        </xdr:cNvPr>
        <xdr:cNvSpPr/>
      </xdr:nvSpPr>
      <xdr:spPr>
        <a:xfrm>
          <a:off x="2507285" y="16746570"/>
          <a:ext cx="2347841" cy="1861039"/>
        </a:xfrm>
        <a:custGeom>
          <a:avLst/>
          <a:gdLst/>
          <a:ahLst/>
          <a:cxnLst/>
          <a:rect l="0" t="0" r="0" b="0"/>
          <a:pathLst>
            <a:path w="2347841" h="1861039">
              <a:moveTo>
                <a:pt x="0" y="1288118"/>
              </a:moveTo>
              <a:lnTo>
                <a:pt x="54751" y="1413089"/>
              </a:lnTo>
              <a:lnTo>
                <a:pt x="35833" y="1432541"/>
              </a:lnTo>
              <a:lnTo>
                <a:pt x="37085" y="1436528"/>
              </a:lnTo>
              <a:lnTo>
                <a:pt x="64911" y="1473581"/>
              </a:lnTo>
              <a:lnTo>
                <a:pt x="94288" y="1492838"/>
              </a:lnTo>
              <a:lnTo>
                <a:pt x="95189" y="1530426"/>
              </a:lnTo>
              <a:lnTo>
                <a:pt x="118210" y="1518707"/>
              </a:lnTo>
              <a:lnTo>
                <a:pt x="113506" y="1511316"/>
              </a:lnTo>
              <a:lnTo>
                <a:pt x="121513" y="1508496"/>
              </a:lnTo>
              <a:lnTo>
                <a:pt x="123215" y="1517199"/>
              </a:lnTo>
              <a:lnTo>
                <a:pt x="132423" y="1526293"/>
              </a:lnTo>
              <a:lnTo>
                <a:pt x="131473" y="1515740"/>
              </a:lnTo>
              <a:lnTo>
                <a:pt x="147237" y="1507474"/>
              </a:lnTo>
              <a:lnTo>
                <a:pt x="156746" y="1518853"/>
              </a:lnTo>
              <a:lnTo>
                <a:pt x="162502" y="1511268"/>
              </a:lnTo>
              <a:lnTo>
                <a:pt x="162652" y="1499353"/>
              </a:lnTo>
              <a:lnTo>
                <a:pt x="194431" y="1500569"/>
              </a:lnTo>
              <a:lnTo>
                <a:pt x="203139" y="1491329"/>
              </a:lnTo>
              <a:lnTo>
                <a:pt x="238472" y="1497506"/>
              </a:lnTo>
              <a:lnTo>
                <a:pt x="248982" y="1514525"/>
              </a:lnTo>
              <a:lnTo>
                <a:pt x="249433" y="1525028"/>
              </a:lnTo>
              <a:lnTo>
                <a:pt x="243477" y="1533344"/>
              </a:lnTo>
              <a:lnTo>
                <a:pt x="243477" y="1561449"/>
              </a:lnTo>
              <a:lnTo>
                <a:pt x="230315" y="1569717"/>
              </a:lnTo>
              <a:lnTo>
                <a:pt x="223809" y="1584207"/>
              </a:lnTo>
              <a:lnTo>
                <a:pt x="216802" y="1589556"/>
              </a:lnTo>
              <a:lnTo>
                <a:pt x="184272" y="1603074"/>
              </a:lnTo>
              <a:lnTo>
                <a:pt x="215251" y="1605797"/>
              </a:lnTo>
              <a:lnTo>
                <a:pt x="221957" y="1613675"/>
              </a:lnTo>
              <a:lnTo>
                <a:pt x="250033" y="1624275"/>
              </a:lnTo>
              <a:lnTo>
                <a:pt x="256239" y="1642850"/>
              </a:lnTo>
              <a:lnTo>
                <a:pt x="270402" y="1645768"/>
              </a:lnTo>
              <a:lnTo>
                <a:pt x="270252" y="1654277"/>
              </a:lnTo>
              <a:lnTo>
                <a:pt x="298128" y="1653743"/>
              </a:lnTo>
              <a:lnTo>
                <a:pt x="297578" y="1693568"/>
              </a:lnTo>
              <a:lnTo>
                <a:pt x="307837" y="1695659"/>
              </a:lnTo>
              <a:lnTo>
                <a:pt x="308488" y="1701834"/>
              </a:lnTo>
              <a:lnTo>
                <a:pt x="329557" y="1694103"/>
              </a:lnTo>
              <a:lnTo>
                <a:pt x="327105" y="1702223"/>
              </a:lnTo>
              <a:lnTo>
                <a:pt x="330708" y="1710831"/>
              </a:lnTo>
              <a:lnTo>
                <a:pt x="338216" y="1712241"/>
              </a:lnTo>
              <a:lnTo>
                <a:pt x="337865" y="1719535"/>
              </a:lnTo>
              <a:lnTo>
                <a:pt x="356683" y="1726197"/>
              </a:lnTo>
              <a:lnTo>
                <a:pt x="359836" y="1732226"/>
              </a:lnTo>
              <a:lnTo>
                <a:pt x="365641" y="1728530"/>
              </a:lnTo>
              <a:lnTo>
                <a:pt x="374099" y="1731691"/>
              </a:lnTo>
              <a:lnTo>
                <a:pt x="398322" y="1707621"/>
              </a:lnTo>
              <a:lnTo>
                <a:pt x="378703" y="1686954"/>
              </a:lnTo>
              <a:lnTo>
                <a:pt x="384308" y="1684572"/>
              </a:lnTo>
              <a:lnTo>
                <a:pt x="429050" y="1669546"/>
              </a:lnTo>
              <a:lnTo>
                <a:pt x="442313" y="1678299"/>
              </a:lnTo>
              <a:lnTo>
                <a:pt x="474092" y="1685837"/>
              </a:lnTo>
              <a:lnTo>
                <a:pt x="501468" y="1661523"/>
              </a:lnTo>
              <a:lnTo>
                <a:pt x="542806" y="1647859"/>
              </a:lnTo>
              <a:lnTo>
                <a:pt x="562024" y="1652236"/>
              </a:lnTo>
              <a:lnTo>
                <a:pt x="558571" y="1665072"/>
              </a:lnTo>
              <a:lnTo>
                <a:pt x="568631" y="1679467"/>
              </a:lnTo>
              <a:lnTo>
                <a:pt x="570682" y="1697507"/>
              </a:lnTo>
              <a:lnTo>
                <a:pt x="558321" y="1707232"/>
              </a:lnTo>
              <a:lnTo>
                <a:pt x="543307" y="1733344"/>
              </a:lnTo>
              <a:lnTo>
                <a:pt x="507273" y="1758242"/>
              </a:lnTo>
              <a:lnTo>
                <a:pt x="516932" y="1783916"/>
              </a:lnTo>
              <a:lnTo>
                <a:pt x="503420" y="1790919"/>
              </a:lnTo>
              <a:lnTo>
                <a:pt x="502919" y="1796219"/>
              </a:lnTo>
              <a:lnTo>
                <a:pt x="506573" y="1814454"/>
              </a:lnTo>
              <a:lnTo>
                <a:pt x="528993" y="1822963"/>
              </a:lnTo>
              <a:lnTo>
                <a:pt x="569631" y="1861038"/>
              </a:lnTo>
              <a:lnTo>
                <a:pt x="587848" y="1855105"/>
              </a:lnTo>
              <a:lnTo>
                <a:pt x="589950" y="1849903"/>
              </a:lnTo>
              <a:lnTo>
                <a:pt x="638245" y="1843191"/>
              </a:lnTo>
              <a:lnTo>
                <a:pt x="661567" y="1830744"/>
              </a:lnTo>
              <a:lnTo>
                <a:pt x="684639" y="1831036"/>
              </a:lnTo>
              <a:lnTo>
                <a:pt x="686540" y="1822963"/>
              </a:lnTo>
              <a:lnTo>
                <a:pt x="697801" y="1820726"/>
              </a:lnTo>
              <a:lnTo>
                <a:pt x="704257" y="1799672"/>
              </a:lnTo>
              <a:lnTo>
                <a:pt x="698352" y="1787564"/>
              </a:lnTo>
              <a:lnTo>
                <a:pt x="706359" y="1769473"/>
              </a:lnTo>
              <a:lnTo>
                <a:pt x="702706" y="1762181"/>
              </a:lnTo>
              <a:lnTo>
                <a:pt x="705258" y="1733637"/>
              </a:lnTo>
              <a:lnTo>
                <a:pt x="709862" y="1718077"/>
              </a:lnTo>
              <a:lnTo>
                <a:pt x="716619" y="1711172"/>
              </a:lnTo>
              <a:lnTo>
                <a:pt x="714867" y="1705773"/>
              </a:lnTo>
              <a:lnTo>
                <a:pt x="722174" y="1699549"/>
              </a:lnTo>
              <a:lnTo>
                <a:pt x="729080" y="1680245"/>
              </a:lnTo>
              <a:lnTo>
                <a:pt x="740391" y="1680973"/>
              </a:lnTo>
              <a:lnTo>
                <a:pt x="739990" y="1668818"/>
              </a:lnTo>
              <a:lnTo>
                <a:pt x="758808" y="1667748"/>
              </a:lnTo>
              <a:lnTo>
                <a:pt x="766165" y="1656904"/>
              </a:lnTo>
              <a:lnTo>
                <a:pt x="780728" y="1657293"/>
              </a:lnTo>
              <a:lnTo>
                <a:pt x="781879" y="1673825"/>
              </a:lnTo>
              <a:lnTo>
                <a:pt x="796193" y="1693520"/>
              </a:lnTo>
              <a:lnTo>
                <a:pt x="794741" y="1702419"/>
              </a:lnTo>
              <a:lnTo>
                <a:pt x="774873" y="1725613"/>
              </a:lnTo>
              <a:lnTo>
                <a:pt x="765964" y="1759798"/>
              </a:lnTo>
              <a:lnTo>
                <a:pt x="756406" y="1767092"/>
              </a:lnTo>
              <a:lnTo>
                <a:pt x="793791" y="1786445"/>
              </a:lnTo>
              <a:lnTo>
                <a:pt x="813960" y="1784207"/>
              </a:lnTo>
              <a:lnTo>
                <a:pt x="834278" y="1800546"/>
              </a:lnTo>
              <a:lnTo>
                <a:pt x="831926" y="1805457"/>
              </a:lnTo>
              <a:lnTo>
                <a:pt x="878269" y="1821991"/>
              </a:lnTo>
              <a:lnTo>
                <a:pt x="881772" y="1836141"/>
              </a:lnTo>
              <a:lnTo>
                <a:pt x="890631" y="1838962"/>
              </a:lnTo>
              <a:lnTo>
                <a:pt x="899740" y="1834488"/>
              </a:lnTo>
              <a:lnTo>
                <a:pt x="942930" y="1832640"/>
              </a:lnTo>
              <a:lnTo>
                <a:pt x="946933" y="1801228"/>
              </a:lnTo>
              <a:lnTo>
                <a:pt x="944531" y="1795149"/>
              </a:lnTo>
              <a:lnTo>
                <a:pt x="951488" y="1798650"/>
              </a:lnTo>
              <a:lnTo>
                <a:pt x="955692" y="1808083"/>
              </a:lnTo>
              <a:lnTo>
                <a:pt x="966652" y="1797726"/>
              </a:lnTo>
              <a:lnTo>
                <a:pt x="966602" y="1790675"/>
              </a:lnTo>
              <a:lnTo>
                <a:pt x="955992" y="1778665"/>
              </a:lnTo>
              <a:lnTo>
                <a:pt x="965401" y="1755226"/>
              </a:lnTo>
              <a:lnTo>
                <a:pt x="983467" y="1735581"/>
              </a:lnTo>
              <a:lnTo>
                <a:pt x="990824" y="1735096"/>
              </a:lnTo>
              <a:lnTo>
                <a:pt x="988522" y="1727412"/>
              </a:lnTo>
              <a:lnTo>
                <a:pt x="1002535" y="1713650"/>
              </a:lnTo>
              <a:lnTo>
                <a:pt x="1005638" y="1716568"/>
              </a:lnTo>
              <a:lnTo>
                <a:pt x="1011694" y="1711463"/>
              </a:lnTo>
              <a:lnTo>
                <a:pt x="1015047" y="1698188"/>
              </a:lnTo>
              <a:lnTo>
                <a:pt x="1022904" y="1690261"/>
              </a:lnTo>
              <a:lnTo>
                <a:pt x="1030161" y="1683404"/>
              </a:lnTo>
              <a:lnTo>
                <a:pt x="1035917" y="1685058"/>
              </a:lnTo>
              <a:lnTo>
                <a:pt x="1033614" y="1681508"/>
              </a:lnTo>
              <a:lnTo>
                <a:pt x="1039069" y="1676208"/>
              </a:lnTo>
              <a:lnTo>
                <a:pt x="1031813" y="1670762"/>
              </a:lnTo>
              <a:lnTo>
                <a:pt x="1034315" y="1667796"/>
              </a:lnTo>
              <a:lnTo>
                <a:pt x="1039169" y="1674068"/>
              </a:lnTo>
              <a:lnTo>
                <a:pt x="1059939" y="1666824"/>
              </a:lnTo>
              <a:lnTo>
                <a:pt x="1053333" y="1655201"/>
              </a:lnTo>
              <a:lnTo>
                <a:pt x="1054634" y="1648637"/>
              </a:lnTo>
              <a:lnTo>
                <a:pt x="1073551" y="1663761"/>
              </a:lnTo>
              <a:lnTo>
                <a:pt x="1077555" y="1656321"/>
              </a:lnTo>
              <a:lnTo>
                <a:pt x="1084812" y="1656125"/>
              </a:lnTo>
              <a:lnTo>
                <a:pt x="1093120" y="1668331"/>
              </a:lnTo>
              <a:lnTo>
                <a:pt x="1099325" y="1667602"/>
              </a:lnTo>
              <a:lnTo>
                <a:pt x="1114640" y="1642850"/>
              </a:lnTo>
              <a:lnTo>
                <a:pt x="1134609" y="1634632"/>
              </a:lnTo>
              <a:lnTo>
                <a:pt x="1135559" y="1640517"/>
              </a:lnTo>
              <a:lnTo>
                <a:pt x="1128253" y="1649318"/>
              </a:lnTo>
              <a:lnTo>
                <a:pt x="1130605" y="1656856"/>
              </a:lnTo>
              <a:lnTo>
                <a:pt x="1137461" y="1651895"/>
              </a:lnTo>
              <a:lnTo>
                <a:pt x="1150874" y="1652138"/>
              </a:lnTo>
              <a:lnTo>
                <a:pt x="1158531" y="1642900"/>
              </a:lnTo>
              <a:lnTo>
                <a:pt x="1159682" y="1629040"/>
              </a:lnTo>
              <a:lnTo>
                <a:pt x="1163886" y="1626755"/>
              </a:lnTo>
              <a:lnTo>
                <a:pt x="1187158" y="1634438"/>
              </a:lnTo>
              <a:lnTo>
                <a:pt x="1199719" y="1630840"/>
              </a:lnTo>
              <a:lnTo>
                <a:pt x="1202322" y="1612508"/>
              </a:lnTo>
              <a:lnTo>
                <a:pt x="1229947" y="1563736"/>
              </a:lnTo>
              <a:lnTo>
                <a:pt x="1241809" y="1559066"/>
              </a:lnTo>
              <a:lnTo>
                <a:pt x="1265230" y="1573217"/>
              </a:lnTo>
              <a:lnTo>
                <a:pt x="1273688" y="1568986"/>
              </a:lnTo>
              <a:lnTo>
                <a:pt x="1277742" y="1555955"/>
              </a:lnTo>
              <a:lnTo>
                <a:pt x="1288702" y="1551724"/>
              </a:lnTo>
              <a:lnTo>
                <a:pt x="1306419" y="1547008"/>
              </a:lnTo>
              <a:lnTo>
                <a:pt x="1311724" y="1556976"/>
              </a:lnTo>
              <a:lnTo>
                <a:pt x="1326638" y="1555420"/>
              </a:lnTo>
              <a:lnTo>
                <a:pt x="1350560" y="1535823"/>
              </a:lnTo>
              <a:lnTo>
                <a:pt x="1355114" y="1541951"/>
              </a:lnTo>
              <a:lnTo>
                <a:pt x="1372280" y="1534657"/>
              </a:lnTo>
              <a:lnTo>
                <a:pt x="1372431" y="1515594"/>
              </a:lnTo>
              <a:lnTo>
                <a:pt x="1378186" y="1512337"/>
              </a:lnTo>
              <a:lnTo>
                <a:pt x="1370879" y="1502319"/>
              </a:lnTo>
              <a:lnTo>
                <a:pt x="1371930" y="1492157"/>
              </a:lnTo>
              <a:lnTo>
                <a:pt x="1352562" y="1473581"/>
              </a:lnTo>
              <a:lnTo>
                <a:pt x="1368577" y="1459091"/>
              </a:lnTo>
              <a:lnTo>
                <a:pt x="1359068" y="1449997"/>
              </a:lnTo>
              <a:lnTo>
                <a:pt x="1362771" y="1441731"/>
              </a:lnTo>
              <a:lnTo>
                <a:pt x="1356766" y="1439494"/>
              </a:lnTo>
              <a:lnTo>
                <a:pt x="1369878" y="1426851"/>
              </a:lnTo>
              <a:lnTo>
                <a:pt x="1385993" y="1428601"/>
              </a:lnTo>
              <a:lnTo>
                <a:pt x="1388295" y="1416687"/>
              </a:lnTo>
              <a:lnTo>
                <a:pt x="1383541" y="1398550"/>
              </a:lnTo>
              <a:lnTo>
                <a:pt x="1395852" y="1380705"/>
              </a:lnTo>
              <a:lnTo>
                <a:pt x="1408814" y="1377592"/>
              </a:lnTo>
              <a:lnTo>
                <a:pt x="1406262" y="1368548"/>
              </a:lnTo>
              <a:lnTo>
                <a:pt x="1412768" y="1361108"/>
              </a:lnTo>
              <a:lnTo>
                <a:pt x="1428583" y="1362956"/>
              </a:lnTo>
              <a:lnTo>
                <a:pt x="1431786" y="1359260"/>
              </a:lnTo>
              <a:lnTo>
                <a:pt x="1437341" y="1364901"/>
              </a:lnTo>
              <a:lnTo>
                <a:pt x="1443547" y="1392424"/>
              </a:lnTo>
              <a:lnTo>
                <a:pt x="1437841" y="1395974"/>
              </a:lnTo>
              <a:lnTo>
                <a:pt x="1440594" y="1408810"/>
              </a:lnTo>
              <a:lnTo>
                <a:pt x="1437191" y="1419120"/>
              </a:lnTo>
              <a:lnTo>
                <a:pt x="1456559" y="1416639"/>
              </a:lnTo>
              <a:lnTo>
                <a:pt x="1465067" y="1422329"/>
              </a:lnTo>
              <a:lnTo>
                <a:pt x="1472073" y="1416737"/>
              </a:lnTo>
              <a:lnTo>
                <a:pt x="1479180" y="1418876"/>
              </a:lnTo>
              <a:lnTo>
                <a:pt x="1474425" y="1409247"/>
              </a:lnTo>
              <a:lnTo>
                <a:pt x="1476678" y="1407012"/>
              </a:lnTo>
              <a:lnTo>
                <a:pt x="1516315" y="1382358"/>
              </a:lnTo>
              <a:lnTo>
                <a:pt x="1522971" y="1381629"/>
              </a:lnTo>
              <a:lnTo>
                <a:pt x="1530328" y="1397724"/>
              </a:lnTo>
              <a:lnTo>
                <a:pt x="1537785" y="1400009"/>
              </a:lnTo>
              <a:lnTo>
                <a:pt x="1539737" y="1390721"/>
              </a:lnTo>
              <a:lnTo>
                <a:pt x="1545542" y="1390721"/>
              </a:lnTo>
              <a:lnTo>
                <a:pt x="1554951" y="1375939"/>
              </a:lnTo>
              <a:lnTo>
                <a:pt x="1560105" y="1374529"/>
              </a:lnTo>
              <a:lnTo>
                <a:pt x="1563409" y="1377544"/>
              </a:lnTo>
              <a:lnTo>
                <a:pt x="1561707" y="1381871"/>
              </a:lnTo>
              <a:lnTo>
                <a:pt x="1571266" y="1378418"/>
              </a:lnTo>
              <a:lnTo>
                <a:pt x="1574719" y="1383427"/>
              </a:lnTo>
              <a:lnTo>
                <a:pt x="1594438" y="1378029"/>
              </a:lnTo>
              <a:lnTo>
                <a:pt x="1601244" y="1373605"/>
              </a:lnTo>
              <a:lnTo>
                <a:pt x="1602095" y="1365484"/>
              </a:lnTo>
              <a:lnTo>
                <a:pt x="1593887" y="1353668"/>
              </a:lnTo>
              <a:lnTo>
                <a:pt x="1603145" y="1354738"/>
              </a:lnTo>
              <a:lnTo>
                <a:pt x="1601794" y="1335433"/>
              </a:lnTo>
              <a:lnTo>
                <a:pt x="1604647" y="1331348"/>
              </a:lnTo>
              <a:lnTo>
                <a:pt x="1618760" y="1322498"/>
              </a:lnTo>
              <a:lnTo>
                <a:pt x="1642733" y="1324930"/>
              </a:lnTo>
              <a:lnTo>
                <a:pt x="1642482" y="1318803"/>
              </a:lnTo>
              <a:lnTo>
                <a:pt x="1649639" y="1309418"/>
              </a:lnTo>
              <a:lnTo>
                <a:pt x="1665203" y="1311655"/>
              </a:lnTo>
              <a:lnTo>
                <a:pt x="1674362" y="1307668"/>
              </a:lnTo>
              <a:lnTo>
                <a:pt x="1694231" y="1333390"/>
              </a:lnTo>
              <a:lnTo>
                <a:pt x="1697133" y="1342921"/>
              </a:lnTo>
              <a:lnTo>
                <a:pt x="1690427" y="1350459"/>
              </a:lnTo>
              <a:lnTo>
                <a:pt x="1700887" y="1356779"/>
              </a:lnTo>
              <a:lnTo>
                <a:pt x="1700186" y="1364123"/>
              </a:lnTo>
              <a:lnTo>
                <a:pt x="1704890" y="1366748"/>
              </a:lnTo>
              <a:lnTo>
                <a:pt x="1701738" y="1371563"/>
              </a:lnTo>
              <a:lnTo>
                <a:pt x="1708044" y="1372194"/>
              </a:lnTo>
              <a:lnTo>
                <a:pt x="1711697" y="1365484"/>
              </a:lnTo>
              <a:lnTo>
                <a:pt x="1716351" y="1369326"/>
              </a:lnTo>
              <a:lnTo>
                <a:pt x="1711747" y="1372924"/>
              </a:lnTo>
              <a:lnTo>
                <a:pt x="1717752" y="1376911"/>
              </a:lnTo>
              <a:lnTo>
                <a:pt x="1714099" y="1383233"/>
              </a:lnTo>
              <a:lnTo>
                <a:pt x="1719504" y="1392520"/>
              </a:lnTo>
              <a:lnTo>
                <a:pt x="1716001" y="1400398"/>
              </a:lnTo>
              <a:lnTo>
                <a:pt x="1706742" y="1395826"/>
              </a:lnTo>
              <a:lnTo>
                <a:pt x="1703039" y="1404725"/>
              </a:lnTo>
              <a:lnTo>
                <a:pt x="1709745" y="1419703"/>
              </a:lnTo>
              <a:lnTo>
                <a:pt x="1716852" y="1424370"/>
              </a:lnTo>
              <a:lnTo>
                <a:pt x="1714350" y="1433173"/>
              </a:lnTo>
              <a:lnTo>
                <a:pt x="1720605" y="1437841"/>
              </a:lnTo>
              <a:lnTo>
                <a:pt x="1723158" y="1450436"/>
              </a:lnTo>
              <a:lnTo>
                <a:pt x="1735169" y="1445766"/>
              </a:lnTo>
              <a:lnTo>
                <a:pt x="1752535" y="1449122"/>
              </a:lnTo>
              <a:lnTo>
                <a:pt x="1760793" y="1443676"/>
              </a:lnTo>
              <a:lnTo>
                <a:pt x="1764646" y="1451651"/>
              </a:lnTo>
              <a:lnTo>
                <a:pt x="1789570" y="1453595"/>
              </a:lnTo>
              <a:lnTo>
                <a:pt x="1804083" y="1438522"/>
              </a:lnTo>
              <a:lnTo>
                <a:pt x="1806535" y="1429721"/>
              </a:lnTo>
              <a:lnTo>
                <a:pt x="1802932" y="1422864"/>
              </a:lnTo>
              <a:lnTo>
                <a:pt x="1807637" y="1422718"/>
              </a:lnTo>
              <a:lnTo>
                <a:pt x="1798528" y="1412993"/>
              </a:lnTo>
              <a:lnTo>
                <a:pt x="1797277" y="1398453"/>
              </a:lnTo>
              <a:lnTo>
                <a:pt x="1804784" y="1365824"/>
              </a:lnTo>
              <a:lnTo>
                <a:pt x="1792823" y="1353620"/>
              </a:lnTo>
              <a:lnTo>
                <a:pt x="1814343" y="1333050"/>
              </a:lnTo>
              <a:lnTo>
                <a:pt x="1819998" y="1336212"/>
              </a:lnTo>
              <a:lnTo>
                <a:pt x="1817346" y="1342969"/>
              </a:lnTo>
              <a:lnTo>
                <a:pt x="1823651" y="1347930"/>
              </a:lnTo>
              <a:lnTo>
                <a:pt x="1841919" y="1352015"/>
              </a:lnTo>
              <a:lnTo>
                <a:pt x="1842219" y="1364997"/>
              </a:lnTo>
              <a:lnTo>
                <a:pt x="1858133" y="1395389"/>
              </a:lnTo>
              <a:lnTo>
                <a:pt x="1857683" y="1407449"/>
              </a:lnTo>
              <a:lnTo>
                <a:pt x="1862588" y="1408664"/>
              </a:lnTo>
              <a:lnTo>
                <a:pt x="1870095" y="1392180"/>
              </a:lnTo>
              <a:lnTo>
                <a:pt x="1878052" y="1388728"/>
              </a:lnTo>
              <a:lnTo>
                <a:pt x="1876851" y="1383768"/>
              </a:lnTo>
              <a:lnTo>
                <a:pt x="1891865" y="1373848"/>
              </a:lnTo>
              <a:lnTo>
                <a:pt x="1894868" y="1367575"/>
              </a:lnTo>
              <a:lnTo>
                <a:pt x="1892666" y="1364073"/>
              </a:lnTo>
              <a:lnTo>
                <a:pt x="1926547" y="1346082"/>
              </a:lnTo>
              <a:lnTo>
                <a:pt x="1941762" y="1347784"/>
              </a:lnTo>
              <a:lnTo>
                <a:pt x="1967386" y="1323567"/>
              </a:lnTo>
              <a:lnTo>
                <a:pt x="1985402" y="1318949"/>
              </a:lnTo>
              <a:lnTo>
                <a:pt x="1992809" y="1327507"/>
              </a:lnTo>
              <a:lnTo>
                <a:pt x="2008323" y="1314475"/>
              </a:lnTo>
              <a:lnTo>
                <a:pt x="2012328" y="1299935"/>
              </a:lnTo>
              <a:lnTo>
                <a:pt x="2022337" y="1296045"/>
              </a:lnTo>
              <a:lnTo>
                <a:pt x="2033898" y="1300276"/>
              </a:lnTo>
              <a:lnTo>
                <a:pt x="2033898" y="1295023"/>
              </a:lnTo>
              <a:lnTo>
                <a:pt x="2049462" y="1300421"/>
              </a:lnTo>
              <a:lnTo>
                <a:pt x="2054717" y="1292544"/>
              </a:lnTo>
              <a:lnTo>
                <a:pt x="2047460" y="1290210"/>
              </a:lnTo>
              <a:lnTo>
                <a:pt x="2045809" y="1284229"/>
              </a:lnTo>
              <a:lnTo>
                <a:pt x="2052765" y="1282819"/>
              </a:lnTo>
              <a:lnTo>
                <a:pt x="2068030" y="1290551"/>
              </a:lnTo>
              <a:lnTo>
                <a:pt x="2076838" y="1289140"/>
              </a:lnTo>
              <a:lnTo>
                <a:pt x="2086246" y="1297310"/>
              </a:lnTo>
              <a:lnTo>
                <a:pt x="2089349" y="1290890"/>
              </a:lnTo>
              <a:lnTo>
                <a:pt x="2103262" y="1291036"/>
              </a:lnTo>
              <a:lnTo>
                <a:pt x="2117025" y="1284083"/>
              </a:lnTo>
              <a:lnTo>
                <a:pt x="2112321" y="1280971"/>
              </a:lnTo>
              <a:lnTo>
                <a:pt x="2119578" y="1266140"/>
              </a:lnTo>
              <a:lnTo>
                <a:pt x="2137094" y="1260694"/>
              </a:lnTo>
              <a:lnTo>
                <a:pt x="2145051" y="1265022"/>
              </a:lnTo>
              <a:lnTo>
                <a:pt x="2155261" y="1235115"/>
              </a:lnTo>
              <a:lnTo>
                <a:pt x="2155711" y="1224127"/>
              </a:lnTo>
              <a:lnTo>
                <a:pt x="2147954" y="1224612"/>
              </a:lnTo>
              <a:lnTo>
                <a:pt x="2138045" y="1215763"/>
              </a:lnTo>
              <a:lnTo>
                <a:pt x="2132640" y="1219701"/>
              </a:lnTo>
              <a:lnTo>
                <a:pt x="2124182" y="1210511"/>
              </a:lnTo>
              <a:lnTo>
                <a:pt x="2123281" y="1203947"/>
              </a:lnTo>
              <a:lnTo>
                <a:pt x="2135292" y="1204482"/>
              </a:lnTo>
              <a:lnTo>
                <a:pt x="2132740" y="1198598"/>
              </a:lnTo>
              <a:lnTo>
                <a:pt x="2140097" y="1199229"/>
              </a:lnTo>
              <a:lnTo>
                <a:pt x="2142149" y="1194609"/>
              </a:lnTo>
              <a:lnTo>
                <a:pt x="2136543" y="1169907"/>
              </a:lnTo>
              <a:lnTo>
                <a:pt x="2125433" y="1150117"/>
              </a:lnTo>
              <a:lnTo>
                <a:pt x="2129937" y="1135090"/>
              </a:lnTo>
              <a:lnTo>
                <a:pt x="2108968" y="1111799"/>
              </a:lnTo>
              <a:lnTo>
                <a:pt x="2108667" y="1095558"/>
              </a:lnTo>
              <a:lnTo>
                <a:pt x="2079090" y="1111507"/>
              </a:lnTo>
              <a:lnTo>
                <a:pt x="2072133" y="1121039"/>
              </a:lnTo>
              <a:lnTo>
                <a:pt x="2056519" y="1126581"/>
              </a:lnTo>
              <a:lnTo>
                <a:pt x="2039303" y="1124441"/>
              </a:lnTo>
              <a:lnTo>
                <a:pt x="2040504" y="1099204"/>
              </a:lnTo>
              <a:lnTo>
                <a:pt x="2027942" y="1087827"/>
              </a:lnTo>
              <a:lnTo>
                <a:pt x="2025640" y="1076837"/>
              </a:lnTo>
              <a:lnTo>
                <a:pt x="2030394" y="1070612"/>
              </a:lnTo>
              <a:lnTo>
                <a:pt x="2025590" y="1069688"/>
              </a:lnTo>
              <a:lnTo>
                <a:pt x="2030995" y="1065799"/>
              </a:lnTo>
              <a:lnTo>
                <a:pt x="2025389" y="1064436"/>
              </a:lnTo>
              <a:lnTo>
                <a:pt x="2021286" y="1049460"/>
              </a:lnTo>
              <a:lnTo>
                <a:pt x="2026190" y="1023103"/>
              </a:lnTo>
              <a:lnTo>
                <a:pt x="2035949" y="1015664"/>
              </a:lnTo>
              <a:lnTo>
                <a:pt x="2036700" y="1007641"/>
              </a:lnTo>
              <a:lnTo>
                <a:pt x="2029243" y="1005404"/>
              </a:lnTo>
              <a:lnTo>
                <a:pt x="2030945" y="988724"/>
              </a:lnTo>
              <a:lnTo>
                <a:pt x="2017482" y="980847"/>
              </a:lnTo>
              <a:lnTo>
                <a:pt x="2014830" y="959354"/>
              </a:lnTo>
              <a:lnTo>
                <a:pt x="1994010" y="958334"/>
              </a:lnTo>
              <a:lnTo>
                <a:pt x="1988355" y="952449"/>
              </a:lnTo>
              <a:lnTo>
                <a:pt x="2002418" y="938104"/>
              </a:lnTo>
              <a:lnTo>
                <a:pt x="1997914" y="923663"/>
              </a:lnTo>
              <a:lnTo>
                <a:pt x="2004570" y="920696"/>
              </a:lnTo>
              <a:lnTo>
                <a:pt x="2020535" y="928331"/>
              </a:lnTo>
              <a:lnTo>
                <a:pt x="2024689" y="937326"/>
              </a:lnTo>
              <a:lnTo>
                <a:pt x="2037901" y="947100"/>
              </a:lnTo>
              <a:lnTo>
                <a:pt x="2047560" y="940341"/>
              </a:lnTo>
              <a:lnTo>
                <a:pt x="2046710" y="933193"/>
              </a:lnTo>
              <a:lnTo>
                <a:pt x="2053516" y="933242"/>
              </a:lnTo>
              <a:lnTo>
                <a:pt x="2058270" y="948413"/>
              </a:lnTo>
              <a:lnTo>
                <a:pt x="2062474" y="944378"/>
              </a:lnTo>
              <a:lnTo>
                <a:pt x="2071833" y="958480"/>
              </a:lnTo>
              <a:lnTo>
                <a:pt x="2077538" y="957945"/>
              </a:lnTo>
              <a:lnTo>
                <a:pt x="2081642" y="950844"/>
              </a:lnTo>
              <a:lnTo>
                <a:pt x="2078389" y="942822"/>
              </a:lnTo>
              <a:lnTo>
                <a:pt x="2084595" y="933777"/>
              </a:lnTo>
              <a:lnTo>
                <a:pt x="2081692" y="914958"/>
              </a:lnTo>
              <a:lnTo>
                <a:pt x="2102262" y="911847"/>
              </a:lnTo>
              <a:lnTo>
                <a:pt x="2113021" y="894438"/>
              </a:lnTo>
              <a:lnTo>
                <a:pt x="2099459" y="872458"/>
              </a:lnTo>
              <a:lnTo>
                <a:pt x="2098708" y="855974"/>
              </a:lnTo>
              <a:lnTo>
                <a:pt x="2102812" y="855342"/>
              </a:lnTo>
              <a:lnTo>
                <a:pt x="2102262" y="850869"/>
              </a:lnTo>
              <a:lnTo>
                <a:pt x="2117075" y="854370"/>
              </a:lnTo>
              <a:lnTo>
                <a:pt x="2120979" y="845762"/>
              </a:lnTo>
              <a:lnTo>
                <a:pt x="2147554" y="842408"/>
              </a:lnTo>
              <a:lnTo>
                <a:pt x="2147704" y="818434"/>
              </a:lnTo>
              <a:lnTo>
                <a:pt x="2144250" y="826215"/>
              </a:lnTo>
              <a:lnTo>
                <a:pt x="2139696" y="826069"/>
              </a:lnTo>
              <a:lnTo>
                <a:pt x="2141448" y="812064"/>
              </a:lnTo>
              <a:lnTo>
                <a:pt x="2132940" y="813329"/>
              </a:lnTo>
              <a:lnTo>
                <a:pt x="2123031" y="805500"/>
              </a:lnTo>
              <a:lnTo>
                <a:pt x="2131388" y="813183"/>
              </a:lnTo>
              <a:lnTo>
                <a:pt x="2128936" y="824804"/>
              </a:lnTo>
              <a:lnTo>
                <a:pt x="2116525" y="823297"/>
              </a:lnTo>
              <a:lnTo>
                <a:pt x="2111820" y="836377"/>
              </a:lnTo>
              <a:lnTo>
                <a:pt x="2098808" y="837496"/>
              </a:lnTo>
              <a:lnTo>
                <a:pt x="2090951" y="828402"/>
              </a:lnTo>
              <a:lnTo>
                <a:pt x="2090000" y="810217"/>
              </a:lnTo>
              <a:lnTo>
                <a:pt x="2081542" y="812453"/>
              </a:lnTo>
              <a:lnTo>
                <a:pt x="2080191" y="808611"/>
              </a:lnTo>
              <a:lnTo>
                <a:pt x="2086547" y="796893"/>
              </a:lnTo>
              <a:lnTo>
                <a:pt x="2067279" y="790668"/>
              </a:lnTo>
              <a:lnTo>
                <a:pt x="2051264" y="763583"/>
              </a:lnTo>
              <a:lnTo>
                <a:pt x="2058470" y="757506"/>
              </a:lnTo>
              <a:lnTo>
                <a:pt x="2065527" y="739950"/>
              </a:lnTo>
              <a:lnTo>
                <a:pt x="2111670" y="711650"/>
              </a:lnTo>
              <a:lnTo>
                <a:pt x="2122930" y="690839"/>
              </a:lnTo>
              <a:lnTo>
                <a:pt x="2145602" y="679703"/>
              </a:lnTo>
              <a:lnTo>
                <a:pt x="2200853" y="619745"/>
              </a:lnTo>
              <a:lnTo>
                <a:pt x="2205308" y="623733"/>
              </a:lnTo>
              <a:lnTo>
                <a:pt x="2205608" y="642454"/>
              </a:lnTo>
              <a:lnTo>
                <a:pt x="2214066" y="655292"/>
              </a:lnTo>
              <a:lnTo>
                <a:pt x="2213815" y="663121"/>
              </a:lnTo>
              <a:lnTo>
                <a:pt x="2218370" y="664093"/>
              </a:lnTo>
              <a:lnTo>
                <a:pt x="2213565" y="674548"/>
              </a:lnTo>
              <a:lnTo>
                <a:pt x="2222824" y="667352"/>
              </a:lnTo>
              <a:lnTo>
                <a:pt x="2226878" y="649019"/>
              </a:lnTo>
              <a:lnTo>
                <a:pt x="2221923" y="639149"/>
              </a:lnTo>
              <a:lnTo>
                <a:pt x="2221022" y="630881"/>
              </a:lnTo>
              <a:lnTo>
                <a:pt x="2224926" y="628159"/>
              </a:lnTo>
              <a:lnTo>
                <a:pt x="2222073" y="617314"/>
              </a:lnTo>
              <a:lnTo>
                <a:pt x="2228679" y="607930"/>
              </a:lnTo>
              <a:lnTo>
                <a:pt x="2232933" y="583081"/>
              </a:lnTo>
              <a:lnTo>
                <a:pt x="2245445" y="560033"/>
              </a:lnTo>
              <a:lnTo>
                <a:pt x="2245545" y="548216"/>
              </a:lnTo>
              <a:lnTo>
                <a:pt x="2253452" y="539755"/>
              </a:lnTo>
              <a:lnTo>
                <a:pt x="2270568" y="546951"/>
              </a:lnTo>
              <a:lnTo>
                <a:pt x="2278876" y="539122"/>
              </a:lnTo>
              <a:lnTo>
                <a:pt x="2283030" y="506058"/>
              </a:lnTo>
              <a:lnTo>
                <a:pt x="2278176" y="495359"/>
              </a:lnTo>
              <a:lnTo>
                <a:pt x="2279727" y="488406"/>
              </a:lnTo>
              <a:lnTo>
                <a:pt x="2271369" y="480916"/>
              </a:lnTo>
              <a:lnTo>
                <a:pt x="2278876" y="479166"/>
              </a:lnTo>
              <a:lnTo>
                <a:pt x="2279126" y="462828"/>
              </a:lnTo>
              <a:lnTo>
                <a:pt x="2275473" y="458986"/>
              </a:lnTo>
              <a:lnTo>
                <a:pt x="2280978" y="453637"/>
              </a:lnTo>
              <a:lnTo>
                <a:pt x="2276474" y="442550"/>
              </a:lnTo>
              <a:lnTo>
                <a:pt x="2287684" y="429129"/>
              </a:lnTo>
              <a:lnTo>
                <a:pt x="2282029" y="424363"/>
              </a:lnTo>
              <a:lnTo>
                <a:pt x="2291588" y="420084"/>
              </a:lnTo>
              <a:lnTo>
                <a:pt x="2288285" y="417071"/>
              </a:lnTo>
              <a:lnTo>
                <a:pt x="2297493" y="410068"/>
              </a:lnTo>
              <a:lnTo>
                <a:pt x="2298695" y="399954"/>
              </a:lnTo>
              <a:lnTo>
                <a:pt x="2305451" y="391930"/>
              </a:lnTo>
              <a:lnTo>
                <a:pt x="2304600" y="384150"/>
              </a:lnTo>
              <a:lnTo>
                <a:pt x="2328422" y="366061"/>
              </a:lnTo>
              <a:lnTo>
                <a:pt x="2325169" y="350938"/>
              </a:lnTo>
              <a:lnTo>
                <a:pt x="2328122" y="347875"/>
              </a:lnTo>
              <a:lnTo>
                <a:pt x="2322667" y="342331"/>
              </a:lnTo>
              <a:lnTo>
                <a:pt x="2329824" y="339413"/>
              </a:lnTo>
              <a:lnTo>
                <a:pt x="2339182" y="322492"/>
              </a:lnTo>
              <a:lnTo>
                <a:pt x="2342085" y="326138"/>
              </a:lnTo>
              <a:lnTo>
                <a:pt x="2347840" y="313933"/>
              </a:lnTo>
              <a:lnTo>
                <a:pt x="2347090" y="304110"/>
              </a:lnTo>
              <a:lnTo>
                <a:pt x="2340333" y="298810"/>
              </a:lnTo>
              <a:lnTo>
                <a:pt x="2341785" y="294337"/>
              </a:lnTo>
              <a:lnTo>
                <a:pt x="2331275" y="290787"/>
              </a:lnTo>
              <a:lnTo>
                <a:pt x="2330124" y="282082"/>
              </a:lnTo>
              <a:lnTo>
                <a:pt x="2322917" y="280429"/>
              </a:lnTo>
              <a:lnTo>
                <a:pt x="2289586" y="228642"/>
              </a:lnTo>
              <a:lnTo>
                <a:pt x="2271469" y="224022"/>
              </a:lnTo>
              <a:lnTo>
                <a:pt x="2264863" y="240945"/>
              </a:lnTo>
              <a:lnTo>
                <a:pt x="2255254" y="245029"/>
              </a:lnTo>
              <a:lnTo>
                <a:pt x="2256355" y="251692"/>
              </a:lnTo>
              <a:lnTo>
                <a:pt x="2249999" y="260493"/>
              </a:lnTo>
              <a:lnTo>
                <a:pt x="2230681" y="267300"/>
              </a:lnTo>
              <a:lnTo>
                <a:pt x="2219621" y="260395"/>
              </a:lnTo>
              <a:lnTo>
                <a:pt x="2212814" y="274496"/>
              </a:lnTo>
              <a:lnTo>
                <a:pt x="2199202" y="265063"/>
              </a:lnTo>
              <a:lnTo>
                <a:pt x="2173778" y="270801"/>
              </a:lnTo>
              <a:lnTo>
                <a:pt x="2156312" y="258110"/>
              </a:lnTo>
              <a:lnTo>
                <a:pt x="2152308" y="268370"/>
              </a:lnTo>
              <a:lnTo>
                <a:pt x="2134291" y="274642"/>
              </a:lnTo>
              <a:lnTo>
                <a:pt x="2122430" y="276831"/>
              </a:lnTo>
              <a:lnTo>
                <a:pt x="2098758" y="269294"/>
              </a:lnTo>
              <a:lnTo>
                <a:pt x="2086697" y="247752"/>
              </a:lnTo>
              <a:lnTo>
                <a:pt x="2088298" y="236810"/>
              </a:lnTo>
              <a:lnTo>
                <a:pt x="2074636" y="193680"/>
              </a:lnTo>
              <a:lnTo>
                <a:pt x="2076287" y="182009"/>
              </a:lnTo>
              <a:lnTo>
                <a:pt x="2072834" y="182544"/>
              </a:lnTo>
              <a:lnTo>
                <a:pt x="2068080" y="170290"/>
              </a:lnTo>
              <a:lnTo>
                <a:pt x="2068380" y="161148"/>
              </a:lnTo>
              <a:lnTo>
                <a:pt x="2077238" y="158911"/>
              </a:lnTo>
              <a:lnTo>
                <a:pt x="2081242" y="145782"/>
              </a:lnTo>
              <a:lnTo>
                <a:pt x="2056118" y="139996"/>
              </a:lnTo>
              <a:lnTo>
                <a:pt x="2053616" y="126963"/>
              </a:lnTo>
              <a:lnTo>
                <a:pt x="2030995" y="111013"/>
              </a:lnTo>
              <a:lnTo>
                <a:pt x="2013028" y="139703"/>
              </a:lnTo>
              <a:lnTo>
                <a:pt x="2004370" y="141795"/>
              </a:lnTo>
              <a:lnTo>
                <a:pt x="1994060" y="137079"/>
              </a:lnTo>
              <a:lnTo>
                <a:pt x="1988005" y="120253"/>
              </a:lnTo>
              <a:lnTo>
                <a:pt x="1950820" y="99586"/>
              </a:lnTo>
              <a:lnTo>
                <a:pt x="1984051" y="69342"/>
              </a:lnTo>
              <a:lnTo>
                <a:pt x="1985602" y="60248"/>
              </a:lnTo>
              <a:lnTo>
                <a:pt x="2002468" y="37393"/>
              </a:lnTo>
              <a:lnTo>
                <a:pt x="1997213" y="25772"/>
              </a:lnTo>
              <a:lnTo>
                <a:pt x="1990057" y="22659"/>
              </a:lnTo>
              <a:lnTo>
                <a:pt x="1991258" y="13128"/>
              </a:lnTo>
              <a:lnTo>
                <a:pt x="1976594" y="0"/>
              </a:lnTo>
              <a:lnTo>
                <a:pt x="1954524" y="7731"/>
              </a:lnTo>
              <a:lnTo>
                <a:pt x="1926497" y="5834"/>
              </a:lnTo>
              <a:lnTo>
                <a:pt x="1878903" y="63263"/>
              </a:lnTo>
              <a:lnTo>
                <a:pt x="1857333" y="76197"/>
              </a:lnTo>
              <a:lnTo>
                <a:pt x="1860936" y="101337"/>
              </a:lnTo>
              <a:lnTo>
                <a:pt x="1892315" y="93411"/>
              </a:lnTo>
              <a:lnTo>
                <a:pt x="1914436" y="107902"/>
              </a:lnTo>
              <a:lnTo>
                <a:pt x="1910583" y="111306"/>
              </a:lnTo>
              <a:lnTo>
                <a:pt x="1905728" y="136300"/>
              </a:lnTo>
              <a:lnTo>
                <a:pt x="1916138" y="145004"/>
              </a:lnTo>
              <a:lnTo>
                <a:pt x="1918690" y="158328"/>
              </a:lnTo>
              <a:lnTo>
                <a:pt x="1908130" y="188914"/>
              </a:lnTo>
              <a:lnTo>
                <a:pt x="1893867" y="194263"/>
              </a:lnTo>
              <a:lnTo>
                <a:pt x="1868794" y="221300"/>
              </a:lnTo>
              <a:lnTo>
                <a:pt x="1861837" y="221542"/>
              </a:lnTo>
              <a:lnTo>
                <a:pt x="1852428" y="257818"/>
              </a:lnTo>
              <a:lnTo>
                <a:pt x="1847524" y="259034"/>
              </a:lnTo>
              <a:lnTo>
                <a:pt x="1850427" y="262972"/>
              </a:lnTo>
              <a:lnTo>
                <a:pt x="1839416" y="273329"/>
              </a:lnTo>
              <a:lnTo>
                <a:pt x="1840267" y="281986"/>
              </a:lnTo>
              <a:lnTo>
                <a:pt x="1835312" y="282228"/>
              </a:lnTo>
              <a:lnTo>
                <a:pt x="1835613" y="297838"/>
              </a:lnTo>
              <a:lnTo>
                <a:pt x="1813442" y="325360"/>
              </a:lnTo>
              <a:lnTo>
                <a:pt x="1814693" y="340142"/>
              </a:lnTo>
              <a:lnTo>
                <a:pt x="1796376" y="360955"/>
              </a:lnTo>
              <a:lnTo>
                <a:pt x="1791171" y="384831"/>
              </a:lnTo>
              <a:lnTo>
                <a:pt x="1783714" y="388088"/>
              </a:lnTo>
              <a:lnTo>
                <a:pt x="1788819" y="393388"/>
              </a:lnTo>
              <a:lnTo>
                <a:pt x="1802632" y="391930"/>
              </a:lnTo>
              <a:lnTo>
                <a:pt x="1804534" y="396356"/>
              </a:lnTo>
              <a:lnTo>
                <a:pt x="1799429" y="409484"/>
              </a:lnTo>
              <a:lnTo>
                <a:pt x="1801981" y="416438"/>
              </a:lnTo>
              <a:lnTo>
                <a:pt x="1780861" y="439293"/>
              </a:lnTo>
              <a:lnTo>
                <a:pt x="1738972" y="446148"/>
              </a:lnTo>
              <a:lnTo>
                <a:pt x="1731566" y="458840"/>
              </a:lnTo>
              <a:lnTo>
                <a:pt x="1723608" y="459277"/>
              </a:lnTo>
              <a:lnTo>
                <a:pt x="1723458" y="464724"/>
              </a:lnTo>
              <a:lnTo>
                <a:pt x="1710196" y="471533"/>
              </a:lnTo>
              <a:lnTo>
                <a:pt x="1698985" y="485732"/>
              </a:lnTo>
              <a:lnTo>
                <a:pt x="1681369" y="488891"/>
              </a:lnTo>
              <a:lnTo>
                <a:pt x="1676764" y="497694"/>
              </a:lnTo>
              <a:lnTo>
                <a:pt x="1650440" y="483688"/>
              </a:lnTo>
              <a:lnTo>
                <a:pt x="1616608" y="475859"/>
              </a:lnTo>
              <a:lnTo>
                <a:pt x="1588082" y="456749"/>
              </a:lnTo>
              <a:lnTo>
                <a:pt x="1533681" y="578267"/>
              </a:lnTo>
              <a:lnTo>
                <a:pt x="1536083" y="584540"/>
              </a:lnTo>
              <a:lnTo>
                <a:pt x="1513462" y="622371"/>
              </a:lnTo>
              <a:lnTo>
                <a:pt x="1515364" y="653639"/>
              </a:lnTo>
              <a:lnTo>
                <a:pt x="1491491" y="666330"/>
              </a:lnTo>
              <a:lnTo>
                <a:pt x="1495645" y="694728"/>
              </a:lnTo>
              <a:lnTo>
                <a:pt x="1524823" y="723564"/>
              </a:lnTo>
              <a:lnTo>
                <a:pt x="1551347" y="700174"/>
              </a:lnTo>
              <a:lnTo>
                <a:pt x="1566562" y="704940"/>
              </a:lnTo>
              <a:lnTo>
                <a:pt x="1594037" y="697646"/>
              </a:lnTo>
              <a:lnTo>
                <a:pt x="1618710" y="706545"/>
              </a:lnTo>
              <a:lnTo>
                <a:pt x="1642232" y="728621"/>
              </a:lnTo>
              <a:lnTo>
                <a:pt x="1677115" y="683253"/>
              </a:lnTo>
              <a:lnTo>
                <a:pt x="1702388" y="679459"/>
              </a:lnTo>
              <a:lnTo>
                <a:pt x="1738422" y="686171"/>
              </a:lnTo>
              <a:lnTo>
                <a:pt x="1755087" y="712963"/>
              </a:lnTo>
              <a:lnTo>
                <a:pt x="1784415" y="725849"/>
              </a:lnTo>
              <a:lnTo>
                <a:pt x="1785866" y="740778"/>
              </a:lnTo>
              <a:lnTo>
                <a:pt x="1803233" y="748364"/>
              </a:lnTo>
              <a:lnTo>
                <a:pt x="1799679" y="754393"/>
              </a:lnTo>
              <a:lnTo>
                <a:pt x="1831709" y="782159"/>
              </a:lnTo>
              <a:lnTo>
                <a:pt x="1843370" y="815370"/>
              </a:lnTo>
              <a:lnTo>
                <a:pt x="1848825" y="816927"/>
              </a:lnTo>
              <a:lnTo>
                <a:pt x="1847574" y="844741"/>
              </a:lnTo>
              <a:lnTo>
                <a:pt x="1838866" y="843282"/>
              </a:lnTo>
              <a:lnTo>
                <a:pt x="1837164" y="849895"/>
              </a:lnTo>
              <a:lnTo>
                <a:pt x="1828556" y="854759"/>
              </a:lnTo>
              <a:lnTo>
                <a:pt x="1818847" y="848971"/>
              </a:lnTo>
              <a:lnTo>
                <a:pt x="1803933" y="852570"/>
              </a:lnTo>
              <a:lnTo>
                <a:pt x="1783514" y="847902"/>
              </a:lnTo>
              <a:lnTo>
                <a:pt x="1774456" y="835696"/>
              </a:lnTo>
              <a:lnTo>
                <a:pt x="1766398" y="837205"/>
              </a:lnTo>
              <a:lnTo>
                <a:pt x="1766548" y="832244"/>
              </a:lnTo>
              <a:lnTo>
                <a:pt x="1760943" y="832633"/>
              </a:lnTo>
              <a:lnTo>
                <a:pt x="1756288" y="842651"/>
              </a:lnTo>
              <a:lnTo>
                <a:pt x="1717953" y="836475"/>
              </a:lnTo>
              <a:lnTo>
                <a:pt x="1671810" y="862199"/>
              </a:lnTo>
              <a:lnTo>
                <a:pt x="1659448" y="852570"/>
              </a:lnTo>
              <a:lnTo>
                <a:pt x="1645135" y="855098"/>
              </a:lnTo>
              <a:lnTo>
                <a:pt x="1647387" y="861468"/>
              </a:lnTo>
              <a:lnTo>
                <a:pt x="1641231" y="881259"/>
              </a:lnTo>
              <a:lnTo>
                <a:pt x="1597540" y="878439"/>
              </a:lnTo>
              <a:lnTo>
                <a:pt x="1577321" y="889234"/>
              </a:lnTo>
              <a:lnTo>
                <a:pt x="1551848" y="927407"/>
              </a:lnTo>
              <a:lnTo>
                <a:pt x="1549496" y="938008"/>
              </a:lnTo>
              <a:lnTo>
                <a:pt x="1553049" y="949775"/>
              </a:lnTo>
              <a:lnTo>
                <a:pt x="1543940" y="959841"/>
              </a:lnTo>
              <a:lnTo>
                <a:pt x="1532630" y="960278"/>
              </a:lnTo>
              <a:lnTo>
                <a:pt x="1505355" y="986439"/>
              </a:lnTo>
              <a:lnTo>
                <a:pt x="1478129" y="994220"/>
              </a:lnTo>
              <a:lnTo>
                <a:pt x="1447150" y="995727"/>
              </a:lnTo>
              <a:lnTo>
                <a:pt x="1427782" y="988920"/>
              </a:lnTo>
              <a:lnTo>
                <a:pt x="1412017" y="994803"/>
              </a:lnTo>
              <a:lnTo>
                <a:pt x="1404610" y="1014885"/>
              </a:lnTo>
              <a:lnTo>
                <a:pt x="1376735" y="1044403"/>
              </a:lnTo>
              <a:lnTo>
                <a:pt x="1359718" y="1049217"/>
              </a:lnTo>
              <a:lnTo>
                <a:pt x="1337298" y="1068667"/>
              </a:lnTo>
              <a:lnTo>
                <a:pt x="1273838" y="1057774"/>
              </a:lnTo>
              <a:lnTo>
                <a:pt x="1253470" y="1047417"/>
              </a:lnTo>
              <a:lnTo>
                <a:pt x="1240407" y="1031224"/>
              </a:lnTo>
              <a:lnTo>
                <a:pt x="1204974" y="1029036"/>
              </a:lnTo>
              <a:lnTo>
                <a:pt x="1185606" y="1042992"/>
              </a:lnTo>
              <a:lnTo>
                <a:pt x="1157280" y="1112917"/>
              </a:lnTo>
              <a:lnTo>
                <a:pt x="1177348" y="1146470"/>
              </a:lnTo>
              <a:lnTo>
                <a:pt x="1194214" y="1160134"/>
              </a:lnTo>
              <a:lnTo>
                <a:pt x="1201471" y="1173311"/>
              </a:lnTo>
              <a:lnTo>
                <a:pt x="1200770" y="1187948"/>
              </a:lnTo>
              <a:lnTo>
                <a:pt x="1188008" y="1190331"/>
              </a:lnTo>
              <a:lnTo>
                <a:pt x="1169341" y="1210706"/>
              </a:lnTo>
              <a:lnTo>
                <a:pt x="1160583" y="1210267"/>
              </a:lnTo>
              <a:lnTo>
                <a:pt x="1125149" y="1228649"/>
              </a:lnTo>
              <a:lnTo>
                <a:pt x="1077755" y="1289675"/>
              </a:lnTo>
              <a:lnTo>
                <a:pt x="1051030" y="1304992"/>
              </a:lnTo>
              <a:lnTo>
                <a:pt x="1020602" y="1311994"/>
              </a:lnTo>
              <a:lnTo>
                <a:pt x="1005188" y="1323763"/>
              </a:lnTo>
              <a:lnTo>
                <a:pt x="984669" y="1327798"/>
              </a:lnTo>
              <a:lnTo>
                <a:pt x="963099" y="1325319"/>
              </a:lnTo>
              <a:lnTo>
                <a:pt x="948435" y="1332224"/>
              </a:lnTo>
              <a:lnTo>
                <a:pt x="899089" y="1325124"/>
              </a:lnTo>
              <a:lnTo>
                <a:pt x="874816" y="1331348"/>
              </a:lnTo>
              <a:lnTo>
                <a:pt x="845138" y="1330327"/>
              </a:lnTo>
              <a:lnTo>
                <a:pt x="836380" y="1325270"/>
              </a:lnTo>
              <a:lnTo>
                <a:pt x="820566" y="1335677"/>
              </a:lnTo>
              <a:lnTo>
                <a:pt x="781079" y="1343699"/>
              </a:lnTo>
              <a:lnTo>
                <a:pt x="696249" y="1381190"/>
              </a:lnTo>
              <a:lnTo>
                <a:pt x="654711" y="1402781"/>
              </a:lnTo>
              <a:lnTo>
                <a:pt x="636744" y="1421064"/>
              </a:lnTo>
              <a:lnTo>
                <a:pt x="629737" y="1413332"/>
              </a:lnTo>
              <a:lnTo>
                <a:pt x="597307" y="1412506"/>
              </a:lnTo>
              <a:lnTo>
                <a:pt x="597808" y="1389263"/>
              </a:lnTo>
              <a:lnTo>
                <a:pt x="544058" y="1397189"/>
              </a:lnTo>
              <a:lnTo>
                <a:pt x="507473" y="1388484"/>
              </a:lnTo>
              <a:lnTo>
                <a:pt x="450070" y="1358871"/>
              </a:lnTo>
              <a:lnTo>
                <a:pt x="428700" y="1359843"/>
              </a:lnTo>
              <a:lnTo>
                <a:pt x="397921" y="1350167"/>
              </a:lnTo>
              <a:lnTo>
                <a:pt x="376251" y="1320310"/>
              </a:lnTo>
              <a:lnTo>
                <a:pt x="299830" y="1301832"/>
              </a:lnTo>
              <a:lnTo>
                <a:pt x="256139" y="1299741"/>
              </a:lnTo>
              <a:lnTo>
                <a:pt x="251835" y="1305674"/>
              </a:lnTo>
              <a:lnTo>
                <a:pt x="227212" y="1304409"/>
              </a:lnTo>
              <a:lnTo>
                <a:pt x="190077" y="1313210"/>
              </a:lnTo>
              <a:lnTo>
                <a:pt x="83077" y="1303826"/>
              </a:lnTo>
              <a:lnTo>
                <a:pt x="8908" y="1289577"/>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1113598</xdr:colOff>
      <xdr:row>96</xdr:row>
      <xdr:rowOff>134144</xdr:rowOff>
    </xdr:from>
    <xdr:to>
      <xdr:col>4</xdr:col>
      <xdr:colOff>1677925</xdr:colOff>
      <xdr:row>98</xdr:row>
      <xdr:rowOff>145646</xdr:rowOff>
    </xdr:to>
    <xdr:sp macro="MapShapeClick" textlink="">
      <xdr:nvSpPr>
        <xdr:cNvPr id="11" name="辽宁省">
          <a:extLst>
            <a:ext uri="{FF2B5EF4-FFF2-40B4-BE49-F238E27FC236}">
              <a16:creationId xmlns:a16="http://schemas.microsoft.com/office/drawing/2014/main" id="{5556192A-1FB1-9072-459A-14476314714B}"/>
            </a:ext>
          </a:extLst>
        </xdr:cNvPr>
        <xdr:cNvSpPr/>
      </xdr:nvSpPr>
      <xdr:spPr>
        <a:xfrm>
          <a:off x="4268278" y="17957324"/>
          <a:ext cx="564327" cy="514422"/>
        </a:xfrm>
        <a:custGeom>
          <a:avLst/>
          <a:gdLst/>
          <a:ahLst/>
          <a:cxnLst/>
          <a:rect l="0" t="0" r="0" b="0"/>
          <a:pathLst>
            <a:path w="564327" h="514422">
              <a:moveTo>
                <a:pt x="380955" y="402628"/>
              </a:moveTo>
              <a:lnTo>
                <a:pt x="381956" y="406033"/>
              </a:lnTo>
              <a:lnTo>
                <a:pt x="389964" y="398884"/>
              </a:lnTo>
              <a:lnTo>
                <a:pt x="427149" y="398932"/>
              </a:lnTo>
              <a:lnTo>
                <a:pt x="431052" y="407150"/>
              </a:lnTo>
              <a:lnTo>
                <a:pt x="438409" y="387798"/>
              </a:lnTo>
              <a:lnTo>
                <a:pt x="449019" y="377926"/>
              </a:lnTo>
              <a:lnTo>
                <a:pt x="446967" y="371751"/>
              </a:lnTo>
              <a:lnTo>
                <a:pt x="477496" y="346027"/>
              </a:lnTo>
              <a:lnTo>
                <a:pt x="478847" y="340678"/>
              </a:lnTo>
              <a:lnTo>
                <a:pt x="493010" y="328910"/>
              </a:lnTo>
              <a:lnTo>
                <a:pt x="503620" y="330564"/>
              </a:lnTo>
              <a:lnTo>
                <a:pt x="501318" y="323368"/>
              </a:lnTo>
              <a:lnTo>
                <a:pt x="522738" y="310384"/>
              </a:lnTo>
              <a:lnTo>
                <a:pt x="534349" y="312476"/>
              </a:lnTo>
              <a:lnTo>
                <a:pt x="534048" y="308439"/>
              </a:lnTo>
              <a:lnTo>
                <a:pt x="547611" y="296087"/>
              </a:lnTo>
              <a:lnTo>
                <a:pt x="555718" y="298179"/>
              </a:lnTo>
              <a:lnTo>
                <a:pt x="552115" y="295018"/>
              </a:lnTo>
              <a:lnTo>
                <a:pt x="557520" y="287676"/>
              </a:lnTo>
              <a:lnTo>
                <a:pt x="553016" y="282375"/>
              </a:lnTo>
              <a:lnTo>
                <a:pt x="547511" y="285001"/>
              </a:lnTo>
              <a:lnTo>
                <a:pt x="547911" y="280771"/>
              </a:lnTo>
              <a:lnTo>
                <a:pt x="554868" y="276103"/>
              </a:lnTo>
              <a:lnTo>
                <a:pt x="557920" y="263071"/>
              </a:lnTo>
              <a:lnTo>
                <a:pt x="564326" y="255290"/>
              </a:lnTo>
              <a:lnTo>
                <a:pt x="560022" y="254123"/>
              </a:lnTo>
              <a:lnTo>
                <a:pt x="560923" y="246878"/>
              </a:lnTo>
              <a:lnTo>
                <a:pt x="552565" y="244835"/>
              </a:lnTo>
              <a:lnTo>
                <a:pt x="551815" y="236179"/>
              </a:lnTo>
              <a:lnTo>
                <a:pt x="544558" y="230053"/>
              </a:lnTo>
              <a:lnTo>
                <a:pt x="536350" y="200196"/>
              </a:lnTo>
              <a:lnTo>
                <a:pt x="525791" y="200099"/>
              </a:lnTo>
              <a:lnTo>
                <a:pt x="527342" y="190179"/>
              </a:lnTo>
              <a:lnTo>
                <a:pt x="523989" y="184198"/>
              </a:lnTo>
              <a:lnTo>
                <a:pt x="525040" y="173110"/>
              </a:lnTo>
              <a:lnTo>
                <a:pt x="528593" y="172721"/>
              </a:lnTo>
              <a:lnTo>
                <a:pt x="524289" y="167664"/>
              </a:lnTo>
              <a:lnTo>
                <a:pt x="539854" y="149965"/>
              </a:lnTo>
              <a:lnTo>
                <a:pt x="529944" y="144859"/>
              </a:lnTo>
              <a:lnTo>
                <a:pt x="524890" y="148847"/>
              </a:lnTo>
              <a:lnTo>
                <a:pt x="524339" y="133091"/>
              </a:lnTo>
              <a:lnTo>
                <a:pt x="514280" y="131097"/>
              </a:lnTo>
              <a:lnTo>
                <a:pt x="515181" y="117920"/>
              </a:lnTo>
              <a:lnTo>
                <a:pt x="505622" y="110043"/>
              </a:lnTo>
              <a:lnTo>
                <a:pt x="507924" y="96475"/>
              </a:lnTo>
              <a:lnTo>
                <a:pt x="500917" y="95405"/>
              </a:lnTo>
              <a:lnTo>
                <a:pt x="498014" y="76538"/>
              </a:lnTo>
              <a:lnTo>
                <a:pt x="489807" y="77949"/>
              </a:lnTo>
              <a:lnTo>
                <a:pt x="487104" y="51057"/>
              </a:lnTo>
              <a:lnTo>
                <a:pt x="490507" y="39728"/>
              </a:lnTo>
              <a:lnTo>
                <a:pt x="474593" y="48968"/>
              </a:lnTo>
              <a:lnTo>
                <a:pt x="466435" y="65160"/>
              </a:lnTo>
              <a:lnTo>
                <a:pt x="456676" y="71627"/>
              </a:lnTo>
              <a:lnTo>
                <a:pt x="448969" y="67883"/>
              </a:lnTo>
              <a:lnTo>
                <a:pt x="454724" y="59227"/>
              </a:lnTo>
              <a:lnTo>
                <a:pt x="445866" y="54949"/>
              </a:lnTo>
              <a:lnTo>
                <a:pt x="453373" y="46196"/>
              </a:lnTo>
              <a:lnTo>
                <a:pt x="441011" y="34768"/>
              </a:lnTo>
              <a:lnTo>
                <a:pt x="441212" y="28690"/>
              </a:lnTo>
              <a:lnTo>
                <a:pt x="421443" y="23389"/>
              </a:lnTo>
              <a:lnTo>
                <a:pt x="410333" y="14393"/>
              </a:lnTo>
              <a:lnTo>
                <a:pt x="402275" y="0"/>
              </a:lnTo>
              <a:lnTo>
                <a:pt x="395219" y="8170"/>
              </a:lnTo>
              <a:lnTo>
                <a:pt x="394268" y="24361"/>
              </a:lnTo>
              <a:lnTo>
                <a:pt x="384058" y="54268"/>
              </a:lnTo>
              <a:lnTo>
                <a:pt x="376101" y="49940"/>
              </a:lnTo>
              <a:lnTo>
                <a:pt x="358585" y="55386"/>
              </a:lnTo>
              <a:lnTo>
                <a:pt x="351328" y="70217"/>
              </a:lnTo>
              <a:lnTo>
                <a:pt x="356032" y="73329"/>
              </a:lnTo>
              <a:lnTo>
                <a:pt x="342269" y="80282"/>
              </a:lnTo>
              <a:lnTo>
                <a:pt x="328356" y="80136"/>
              </a:lnTo>
              <a:lnTo>
                <a:pt x="325253" y="86556"/>
              </a:lnTo>
              <a:lnTo>
                <a:pt x="315845" y="78386"/>
              </a:lnTo>
              <a:lnTo>
                <a:pt x="307037" y="79797"/>
              </a:lnTo>
              <a:lnTo>
                <a:pt x="291772" y="72065"/>
              </a:lnTo>
              <a:lnTo>
                <a:pt x="284816" y="73475"/>
              </a:lnTo>
              <a:lnTo>
                <a:pt x="286467" y="79456"/>
              </a:lnTo>
              <a:lnTo>
                <a:pt x="293724" y="81790"/>
              </a:lnTo>
              <a:lnTo>
                <a:pt x="288469" y="89667"/>
              </a:lnTo>
              <a:lnTo>
                <a:pt x="272905" y="84269"/>
              </a:lnTo>
              <a:lnTo>
                <a:pt x="272905" y="89522"/>
              </a:lnTo>
              <a:lnTo>
                <a:pt x="261344" y="85291"/>
              </a:lnTo>
              <a:lnTo>
                <a:pt x="251335" y="89181"/>
              </a:lnTo>
              <a:lnTo>
                <a:pt x="247330" y="103721"/>
              </a:lnTo>
              <a:lnTo>
                <a:pt x="231816" y="116753"/>
              </a:lnTo>
              <a:lnTo>
                <a:pt x="224409" y="108195"/>
              </a:lnTo>
              <a:lnTo>
                <a:pt x="206393" y="112813"/>
              </a:lnTo>
              <a:lnTo>
                <a:pt x="180769" y="137030"/>
              </a:lnTo>
              <a:lnTo>
                <a:pt x="165554" y="135328"/>
              </a:lnTo>
              <a:lnTo>
                <a:pt x="131673" y="153319"/>
              </a:lnTo>
              <a:lnTo>
                <a:pt x="133875" y="156821"/>
              </a:lnTo>
              <a:lnTo>
                <a:pt x="130872" y="163094"/>
              </a:lnTo>
              <a:lnTo>
                <a:pt x="115858" y="173014"/>
              </a:lnTo>
              <a:lnTo>
                <a:pt x="117059" y="177974"/>
              </a:lnTo>
              <a:lnTo>
                <a:pt x="109102" y="181426"/>
              </a:lnTo>
              <a:lnTo>
                <a:pt x="101595" y="197910"/>
              </a:lnTo>
              <a:lnTo>
                <a:pt x="96690" y="196695"/>
              </a:lnTo>
              <a:lnTo>
                <a:pt x="97140" y="184635"/>
              </a:lnTo>
              <a:lnTo>
                <a:pt x="81226" y="154243"/>
              </a:lnTo>
              <a:lnTo>
                <a:pt x="80926" y="141261"/>
              </a:lnTo>
              <a:lnTo>
                <a:pt x="62658" y="137176"/>
              </a:lnTo>
              <a:lnTo>
                <a:pt x="56353" y="132215"/>
              </a:lnTo>
              <a:lnTo>
                <a:pt x="59005" y="125458"/>
              </a:lnTo>
              <a:lnTo>
                <a:pt x="53350" y="122296"/>
              </a:lnTo>
              <a:lnTo>
                <a:pt x="35283" y="136300"/>
              </a:lnTo>
              <a:lnTo>
                <a:pt x="31830" y="142866"/>
              </a:lnTo>
              <a:lnTo>
                <a:pt x="43791" y="155070"/>
              </a:lnTo>
              <a:lnTo>
                <a:pt x="36284" y="187699"/>
              </a:lnTo>
              <a:lnTo>
                <a:pt x="37535" y="202239"/>
              </a:lnTo>
              <a:lnTo>
                <a:pt x="46293" y="209533"/>
              </a:lnTo>
              <a:lnTo>
                <a:pt x="41939" y="212110"/>
              </a:lnTo>
              <a:lnTo>
                <a:pt x="45142" y="222321"/>
              </a:lnTo>
              <a:lnTo>
                <a:pt x="19068" y="263021"/>
              </a:lnTo>
              <a:lnTo>
                <a:pt x="7407" y="267689"/>
              </a:lnTo>
              <a:lnTo>
                <a:pt x="13613" y="272552"/>
              </a:lnTo>
              <a:lnTo>
                <a:pt x="12561" y="276881"/>
              </a:lnTo>
              <a:lnTo>
                <a:pt x="4554" y="277561"/>
              </a:lnTo>
              <a:lnTo>
                <a:pt x="0" y="292489"/>
              </a:lnTo>
              <a:lnTo>
                <a:pt x="16966" y="309363"/>
              </a:lnTo>
              <a:lnTo>
                <a:pt x="27526" y="307710"/>
              </a:lnTo>
              <a:lnTo>
                <a:pt x="24272" y="312815"/>
              </a:lnTo>
              <a:lnTo>
                <a:pt x="31279" y="315878"/>
              </a:lnTo>
              <a:lnTo>
                <a:pt x="33331" y="322346"/>
              </a:lnTo>
              <a:lnTo>
                <a:pt x="57954" y="321859"/>
              </a:lnTo>
              <a:lnTo>
                <a:pt x="64460" y="355606"/>
              </a:lnTo>
              <a:lnTo>
                <a:pt x="73118" y="358135"/>
              </a:lnTo>
              <a:lnTo>
                <a:pt x="72368" y="369077"/>
              </a:lnTo>
              <a:lnTo>
                <a:pt x="81926" y="376710"/>
              </a:lnTo>
              <a:lnTo>
                <a:pt x="81926" y="381428"/>
              </a:lnTo>
              <a:lnTo>
                <a:pt x="133725" y="358963"/>
              </a:lnTo>
              <a:lnTo>
                <a:pt x="144084" y="331245"/>
              </a:lnTo>
              <a:lnTo>
                <a:pt x="160600" y="316900"/>
              </a:lnTo>
              <a:lnTo>
                <a:pt x="161200" y="308682"/>
              </a:lnTo>
              <a:lnTo>
                <a:pt x="177666" y="304597"/>
              </a:lnTo>
              <a:lnTo>
                <a:pt x="172711" y="294239"/>
              </a:lnTo>
              <a:lnTo>
                <a:pt x="182070" y="295066"/>
              </a:lnTo>
              <a:lnTo>
                <a:pt x="185273" y="287432"/>
              </a:lnTo>
              <a:lnTo>
                <a:pt x="210697" y="291615"/>
              </a:lnTo>
              <a:lnTo>
                <a:pt x="210797" y="286071"/>
              </a:lnTo>
              <a:lnTo>
                <a:pt x="215601" y="286265"/>
              </a:lnTo>
              <a:lnTo>
                <a:pt x="219955" y="292976"/>
              </a:lnTo>
              <a:lnTo>
                <a:pt x="241325" y="284660"/>
              </a:lnTo>
              <a:lnTo>
                <a:pt x="243527" y="291468"/>
              </a:lnTo>
              <a:lnTo>
                <a:pt x="250934" y="295066"/>
              </a:lnTo>
              <a:lnTo>
                <a:pt x="252335" y="307660"/>
              </a:lnTo>
              <a:lnTo>
                <a:pt x="268350" y="308584"/>
              </a:lnTo>
              <a:lnTo>
                <a:pt x="267149" y="314761"/>
              </a:lnTo>
              <a:lnTo>
                <a:pt x="276258" y="324875"/>
              </a:lnTo>
              <a:lnTo>
                <a:pt x="277809" y="329106"/>
              </a:lnTo>
              <a:lnTo>
                <a:pt x="274306" y="329008"/>
              </a:lnTo>
              <a:lnTo>
                <a:pt x="276658" y="332801"/>
              </a:lnTo>
              <a:lnTo>
                <a:pt x="271453" y="335232"/>
              </a:lnTo>
              <a:lnTo>
                <a:pt x="272404" y="339559"/>
              </a:lnTo>
              <a:lnTo>
                <a:pt x="267299" y="340337"/>
              </a:lnTo>
              <a:lnTo>
                <a:pt x="265248" y="346660"/>
              </a:lnTo>
              <a:lnTo>
                <a:pt x="259542" y="345979"/>
              </a:lnTo>
              <a:lnTo>
                <a:pt x="258441" y="354197"/>
              </a:lnTo>
              <a:lnTo>
                <a:pt x="251434" y="354489"/>
              </a:lnTo>
              <a:lnTo>
                <a:pt x="255888" y="366596"/>
              </a:lnTo>
              <a:lnTo>
                <a:pt x="242026" y="377489"/>
              </a:lnTo>
              <a:lnTo>
                <a:pt x="237121" y="387263"/>
              </a:lnTo>
              <a:lnTo>
                <a:pt x="219054" y="393536"/>
              </a:lnTo>
              <a:lnTo>
                <a:pt x="213399" y="401169"/>
              </a:lnTo>
              <a:lnTo>
                <a:pt x="215851" y="411625"/>
              </a:lnTo>
              <a:lnTo>
                <a:pt x="211597" y="419891"/>
              </a:lnTo>
              <a:lnTo>
                <a:pt x="193430" y="427283"/>
              </a:lnTo>
              <a:lnTo>
                <a:pt x="199536" y="435549"/>
              </a:lnTo>
              <a:lnTo>
                <a:pt x="194982" y="437592"/>
              </a:lnTo>
              <a:lnTo>
                <a:pt x="196984" y="446295"/>
              </a:lnTo>
              <a:lnTo>
                <a:pt x="210196" y="448046"/>
              </a:lnTo>
              <a:lnTo>
                <a:pt x="216902" y="455485"/>
              </a:lnTo>
              <a:lnTo>
                <a:pt x="233918" y="447317"/>
              </a:lnTo>
              <a:lnTo>
                <a:pt x="229664" y="456653"/>
              </a:lnTo>
              <a:lnTo>
                <a:pt x="222908" y="457966"/>
              </a:lnTo>
              <a:lnTo>
                <a:pt x="226311" y="461808"/>
              </a:lnTo>
              <a:lnTo>
                <a:pt x="223058" y="461564"/>
              </a:lnTo>
              <a:lnTo>
                <a:pt x="224109" y="468128"/>
              </a:lnTo>
              <a:lnTo>
                <a:pt x="230465" y="473187"/>
              </a:lnTo>
              <a:lnTo>
                <a:pt x="226361" y="477368"/>
              </a:lnTo>
              <a:lnTo>
                <a:pt x="223008" y="469295"/>
              </a:lnTo>
              <a:lnTo>
                <a:pt x="220706" y="472213"/>
              </a:lnTo>
              <a:lnTo>
                <a:pt x="223709" y="475180"/>
              </a:lnTo>
              <a:lnTo>
                <a:pt x="216302" y="481938"/>
              </a:lnTo>
              <a:lnTo>
                <a:pt x="205141" y="479216"/>
              </a:lnTo>
              <a:lnTo>
                <a:pt x="200787" y="484225"/>
              </a:lnTo>
              <a:lnTo>
                <a:pt x="202739" y="487532"/>
              </a:lnTo>
              <a:lnTo>
                <a:pt x="182270" y="493658"/>
              </a:lnTo>
              <a:lnTo>
                <a:pt x="186224" y="514421"/>
              </a:lnTo>
              <a:lnTo>
                <a:pt x="204240" y="504064"/>
              </a:lnTo>
              <a:lnTo>
                <a:pt x="232617" y="498811"/>
              </a:lnTo>
              <a:lnTo>
                <a:pt x="233468" y="493852"/>
              </a:lnTo>
              <a:lnTo>
                <a:pt x="225310" y="490741"/>
              </a:lnTo>
              <a:lnTo>
                <a:pt x="229564" y="484467"/>
              </a:lnTo>
              <a:lnTo>
                <a:pt x="239223" y="483155"/>
              </a:lnTo>
              <a:lnTo>
                <a:pt x="245179" y="491519"/>
              </a:lnTo>
              <a:lnTo>
                <a:pt x="249833" y="488697"/>
              </a:lnTo>
              <a:lnTo>
                <a:pt x="244328" y="481792"/>
              </a:lnTo>
              <a:lnTo>
                <a:pt x="261294" y="479216"/>
              </a:lnTo>
              <a:lnTo>
                <a:pt x="260193" y="474937"/>
              </a:lnTo>
              <a:lnTo>
                <a:pt x="269852" y="468906"/>
              </a:lnTo>
              <a:lnTo>
                <a:pt x="265798" y="463121"/>
              </a:lnTo>
              <a:lnTo>
                <a:pt x="309038" y="431318"/>
              </a:lnTo>
              <a:lnTo>
                <a:pt x="326204" y="422030"/>
              </a:lnTo>
              <a:lnTo>
                <a:pt x="335313" y="423052"/>
              </a:lnTo>
              <a:lnTo>
                <a:pt x="338416" y="416682"/>
              </a:lnTo>
              <a:lnTo>
                <a:pt x="354831" y="415564"/>
              </a:lnTo>
              <a:lnTo>
                <a:pt x="360837" y="411527"/>
              </a:lnTo>
              <a:lnTo>
                <a:pt x="359836" y="406276"/>
              </a:lnTo>
              <a:lnTo>
                <a:pt x="369445" y="409437"/>
              </a:lnTo>
              <a:lnTo>
                <a:pt x="379905" y="404282"/>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1340960</xdr:colOff>
      <xdr:row>95</xdr:row>
      <xdr:rowOff>62918</xdr:rowOff>
    </xdr:from>
    <xdr:to>
      <xdr:col>5</xdr:col>
      <xdr:colOff>69644</xdr:colOff>
      <xdr:row>97</xdr:row>
      <xdr:rowOff>170361</xdr:rowOff>
    </xdr:to>
    <xdr:sp macro="MapShapeClick" textlink="">
      <xdr:nvSpPr>
        <xdr:cNvPr id="12" name="吉林省">
          <a:extLst>
            <a:ext uri="{FF2B5EF4-FFF2-40B4-BE49-F238E27FC236}">
              <a16:creationId xmlns:a16="http://schemas.microsoft.com/office/drawing/2014/main" id="{D9887884-C481-3A97-9529-C4EBE71428B6}"/>
            </a:ext>
          </a:extLst>
        </xdr:cNvPr>
        <xdr:cNvSpPr/>
      </xdr:nvSpPr>
      <xdr:spPr>
        <a:xfrm>
          <a:off x="4495640" y="17634638"/>
          <a:ext cx="786084" cy="610363"/>
        </a:xfrm>
        <a:custGeom>
          <a:avLst/>
          <a:gdLst/>
          <a:ahLst/>
          <a:cxnLst/>
          <a:rect l="0" t="0" r="0" b="0"/>
          <a:pathLst>
            <a:path w="786084" h="610363">
              <a:moveTo>
                <a:pt x="646553" y="442015"/>
              </a:moveTo>
              <a:lnTo>
                <a:pt x="648655" y="436764"/>
              </a:lnTo>
              <a:lnTo>
                <a:pt x="654911" y="440704"/>
              </a:lnTo>
              <a:lnTo>
                <a:pt x="658514" y="435840"/>
              </a:lnTo>
              <a:lnTo>
                <a:pt x="658314" y="423343"/>
              </a:lnTo>
              <a:lnTo>
                <a:pt x="661617" y="419939"/>
              </a:lnTo>
              <a:lnTo>
                <a:pt x="658965" y="416584"/>
              </a:lnTo>
              <a:lnTo>
                <a:pt x="662418" y="412597"/>
              </a:lnTo>
              <a:lnTo>
                <a:pt x="660016" y="409727"/>
              </a:lnTo>
              <a:lnTo>
                <a:pt x="670576" y="377148"/>
              </a:lnTo>
              <a:lnTo>
                <a:pt x="687742" y="378461"/>
              </a:lnTo>
              <a:lnTo>
                <a:pt x="690644" y="379968"/>
              </a:lnTo>
              <a:lnTo>
                <a:pt x="687241" y="385901"/>
              </a:lnTo>
              <a:lnTo>
                <a:pt x="701504" y="389305"/>
              </a:lnTo>
              <a:lnTo>
                <a:pt x="699853" y="409388"/>
              </a:lnTo>
              <a:lnTo>
                <a:pt x="710463" y="421300"/>
              </a:lnTo>
              <a:lnTo>
                <a:pt x="715217" y="420815"/>
              </a:lnTo>
              <a:lnTo>
                <a:pt x="714316" y="426796"/>
              </a:lnTo>
              <a:lnTo>
                <a:pt x="721423" y="419161"/>
              </a:lnTo>
              <a:lnTo>
                <a:pt x="726178" y="439780"/>
              </a:lnTo>
              <a:lnTo>
                <a:pt x="731382" y="440752"/>
              </a:lnTo>
              <a:lnTo>
                <a:pt x="724876" y="431951"/>
              </a:lnTo>
              <a:lnTo>
                <a:pt x="730432" y="421252"/>
              </a:lnTo>
              <a:lnTo>
                <a:pt x="727078" y="413764"/>
              </a:lnTo>
              <a:lnTo>
                <a:pt x="712014" y="407103"/>
              </a:lnTo>
              <a:lnTo>
                <a:pt x="744094" y="390714"/>
              </a:lnTo>
              <a:lnTo>
                <a:pt x="763713" y="392562"/>
              </a:lnTo>
              <a:lnTo>
                <a:pt x="762962" y="385220"/>
              </a:lnTo>
              <a:lnTo>
                <a:pt x="772020" y="384394"/>
              </a:lnTo>
              <a:lnTo>
                <a:pt x="768517" y="375008"/>
              </a:lnTo>
              <a:lnTo>
                <a:pt x="777075" y="362705"/>
              </a:lnTo>
              <a:lnTo>
                <a:pt x="776925" y="350939"/>
              </a:lnTo>
              <a:lnTo>
                <a:pt x="785733" y="333578"/>
              </a:lnTo>
              <a:lnTo>
                <a:pt x="786083" y="321616"/>
              </a:lnTo>
              <a:lnTo>
                <a:pt x="771770" y="329883"/>
              </a:lnTo>
              <a:lnTo>
                <a:pt x="762361" y="320595"/>
              </a:lnTo>
              <a:lnTo>
                <a:pt x="749149" y="328521"/>
              </a:lnTo>
              <a:lnTo>
                <a:pt x="745796" y="321179"/>
              </a:lnTo>
              <a:lnTo>
                <a:pt x="729581" y="311502"/>
              </a:lnTo>
              <a:lnTo>
                <a:pt x="730181" y="307854"/>
              </a:lnTo>
              <a:lnTo>
                <a:pt x="712465" y="304452"/>
              </a:lnTo>
              <a:lnTo>
                <a:pt x="713316" y="294044"/>
              </a:lnTo>
              <a:lnTo>
                <a:pt x="706409" y="269392"/>
              </a:lnTo>
              <a:lnTo>
                <a:pt x="708611" y="260347"/>
              </a:lnTo>
              <a:lnTo>
                <a:pt x="685389" y="283930"/>
              </a:lnTo>
              <a:lnTo>
                <a:pt x="681185" y="282034"/>
              </a:lnTo>
              <a:lnTo>
                <a:pt x="680385" y="269635"/>
              </a:lnTo>
              <a:lnTo>
                <a:pt x="674980" y="262243"/>
              </a:lnTo>
              <a:lnTo>
                <a:pt x="668223" y="263896"/>
              </a:lnTo>
              <a:lnTo>
                <a:pt x="658064" y="279310"/>
              </a:lnTo>
              <a:lnTo>
                <a:pt x="635693" y="279458"/>
              </a:lnTo>
              <a:lnTo>
                <a:pt x="625984" y="288063"/>
              </a:lnTo>
              <a:lnTo>
                <a:pt x="618377" y="285681"/>
              </a:lnTo>
              <a:lnTo>
                <a:pt x="614874" y="289620"/>
              </a:lnTo>
              <a:lnTo>
                <a:pt x="616375" y="311113"/>
              </a:lnTo>
              <a:lnTo>
                <a:pt x="598809" y="318990"/>
              </a:lnTo>
              <a:lnTo>
                <a:pt x="587799" y="317094"/>
              </a:lnTo>
              <a:lnTo>
                <a:pt x="575687" y="294968"/>
              </a:lnTo>
              <a:lnTo>
                <a:pt x="578239" y="281402"/>
              </a:lnTo>
              <a:lnTo>
                <a:pt x="568130" y="277610"/>
              </a:lnTo>
              <a:lnTo>
                <a:pt x="568430" y="271190"/>
              </a:lnTo>
              <a:lnTo>
                <a:pt x="554768" y="247509"/>
              </a:lnTo>
              <a:lnTo>
                <a:pt x="552716" y="226842"/>
              </a:lnTo>
              <a:lnTo>
                <a:pt x="555568" y="222759"/>
              </a:lnTo>
              <a:lnTo>
                <a:pt x="546710" y="206955"/>
              </a:lnTo>
              <a:lnTo>
                <a:pt x="533598" y="216389"/>
              </a:lnTo>
              <a:lnTo>
                <a:pt x="530445" y="226016"/>
              </a:lnTo>
              <a:lnTo>
                <a:pt x="520486" y="225676"/>
              </a:lnTo>
              <a:lnTo>
                <a:pt x="524690" y="232095"/>
              </a:lnTo>
              <a:lnTo>
                <a:pt x="521637" y="236860"/>
              </a:lnTo>
              <a:lnTo>
                <a:pt x="524890" y="239291"/>
              </a:lnTo>
              <a:lnTo>
                <a:pt x="521336" y="246244"/>
              </a:lnTo>
              <a:lnTo>
                <a:pt x="523839" y="250281"/>
              </a:lnTo>
              <a:lnTo>
                <a:pt x="509325" y="258012"/>
              </a:lnTo>
              <a:lnTo>
                <a:pt x="498816" y="257186"/>
              </a:lnTo>
              <a:lnTo>
                <a:pt x="494411" y="254123"/>
              </a:lnTo>
              <a:lnTo>
                <a:pt x="493060" y="242793"/>
              </a:lnTo>
              <a:lnTo>
                <a:pt x="490558" y="246440"/>
              </a:lnTo>
              <a:lnTo>
                <a:pt x="483151" y="239535"/>
              </a:lnTo>
              <a:lnTo>
                <a:pt x="485853" y="233845"/>
              </a:lnTo>
              <a:lnTo>
                <a:pt x="474693" y="218820"/>
              </a:lnTo>
              <a:lnTo>
                <a:pt x="472991" y="206712"/>
              </a:lnTo>
              <a:lnTo>
                <a:pt x="478747" y="206079"/>
              </a:lnTo>
              <a:lnTo>
                <a:pt x="480448" y="200001"/>
              </a:lnTo>
              <a:lnTo>
                <a:pt x="449970" y="192123"/>
              </a:lnTo>
              <a:lnTo>
                <a:pt x="439210" y="200974"/>
              </a:lnTo>
              <a:lnTo>
                <a:pt x="433905" y="171604"/>
              </a:lnTo>
              <a:lnTo>
                <a:pt x="442713" y="157501"/>
              </a:lnTo>
              <a:lnTo>
                <a:pt x="432253" y="136203"/>
              </a:lnTo>
              <a:lnTo>
                <a:pt x="418340" y="135814"/>
              </a:lnTo>
              <a:lnTo>
                <a:pt x="400173" y="122295"/>
              </a:lnTo>
              <a:lnTo>
                <a:pt x="373048" y="135279"/>
              </a:lnTo>
              <a:lnTo>
                <a:pt x="353780" y="132750"/>
              </a:lnTo>
              <a:lnTo>
                <a:pt x="329157" y="110820"/>
              </a:lnTo>
              <a:lnTo>
                <a:pt x="328557" y="92051"/>
              </a:lnTo>
              <a:lnTo>
                <a:pt x="307187" y="95357"/>
              </a:lnTo>
              <a:lnTo>
                <a:pt x="302082" y="106102"/>
              </a:lnTo>
              <a:lnTo>
                <a:pt x="298629" y="102650"/>
              </a:lnTo>
              <a:lnTo>
                <a:pt x="280562" y="107270"/>
              </a:lnTo>
              <a:lnTo>
                <a:pt x="274756" y="94481"/>
              </a:lnTo>
              <a:lnTo>
                <a:pt x="265448" y="89522"/>
              </a:lnTo>
              <a:lnTo>
                <a:pt x="263446" y="100317"/>
              </a:lnTo>
              <a:lnTo>
                <a:pt x="223809" y="100560"/>
              </a:lnTo>
              <a:lnTo>
                <a:pt x="219755" y="88257"/>
              </a:lnTo>
              <a:lnTo>
                <a:pt x="212899" y="87285"/>
              </a:lnTo>
              <a:lnTo>
                <a:pt x="209846" y="78191"/>
              </a:lnTo>
              <a:lnTo>
                <a:pt x="204591" y="80185"/>
              </a:lnTo>
              <a:lnTo>
                <a:pt x="202389" y="71577"/>
              </a:lnTo>
              <a:lnTo>
                <a:pt x="191579" y="62241"/>
              </a:lnTo>
              <a:lnTo>
                <a:pt x="196884" y="54121"/>
              </a:lnTo>
              <a:lnTo>
                <a:pt x="188876" y="42889"/>
              </a:lnTo>
              <a:lnTo>
                <a:pt x="190528" y="34087"/>
              </a:lnTo>
              <a:lnTo>
                <a:pt x="194682" y="33163"/>
              </a:lnTo>
              <a:lnTo>
                <a:pt x="188176" y="1653"/>
              </a:lnTo>
              <a:lnTo>
                <a:pt x="184722" y="5349"/>
              </a:lnTo>
              <a:lnTo>
                <a:pt x="179217" y="0"/>
              </a:lnTo>
              <a:lnTo>
                <a:pt x="156446" y="9239"/>
              </a:lnTo>
              <a:lnTo>
                <a:pt x="130322" y="3453"/>
              </a:lnTo>
              <a:lnTo>
                <a:pt x="120613" y="10795"/>
              </a:lnTo>
              <a:lnTo>
                <a:pt x="119311" y="20229"/>
              </a:lnTo>
              <a:lnTo>
                <a:pt x="113907" y="23779"/>
              </a:lnTo>
              <a:lnTo>
                <a:pt x="93337" y="26890"/>
              </a:lnTo>
              <a:lnTo>
                <a:pt x="96240" y="45709"/>
              </a:lnTo>
              <a:lnTo>
                <a:pt x="90034" y="54754"/>
              </a:lnTo>
              <a:lnTo>
                <a:pt x="93287" y="62776"/>
              </a:lnTo>
              <a:lnTo>
                <a:pt x="89183" y="69877"/>
              </a:lnTo>
              <a:lnTo>
                <a:pt x="83478" y="70412"/>
              </a:lnTo>
              <a:lnTo>
                <a:pt x="74119" y="56310"/>
              </a:lnTo>
              <a:lnTo>
                <a:pt x="69915" y="60345"/>
              </a:lnTo>
              <a:lnTo>
                <a:pt x="65161" y="45174"/>
              </a:lnTo>
              <a:lnTo>
                <a:pt x="58355" y="45125"/>
              </a:lnTo>
              <a:lnTo>
                <a:pt x="59205" y="52273"/>
              </a:lnTo>
              <a:lnTo>
                <a:pt x="49546" y="59032"/>
              </a:lnTo>
              <a:lnTo>
                <a:pt x="36334" y="49258"/>
              </a:lnTo>
              <a:lnTo>
                <a:pt x="32180" y="40263"/>
              </a:lnTo>
              <a:lnTo>
                <a:pt x="16215" y="32628"/>
              </a:lnTo>
              <a:lnTo>
                <a:pt x="9559" y="35595"/>
              </a:lnTo>
              <a:lnTo>
                <a:pt x="14063" y="50036"/>
              </a:lnTo>
              <a:lnTo>
                <a:pt x="0" y="64381"/>
              </a:lnTo>
              <a:lnTo>
                <a:pt x="5655" y="70266"/>
              </a:lnTo>
              <a:lnTo>
                <a:pt x="26475" y="71286"/>
              </a:lnTo>
              <a:lnTo>
                <a:pt x="29127" y="92779"/>
              </a:lnTo>
              <a:lnTo>
                <a:pt x="42590" y="100656"/>
              </a:lnTo>
              <a:lnTo>
                <a:pt x="40888" y="117336"/>
              </a:lnTo>
              <a:lnTo>
                <a:pt x="48345" y="119573"/>
              </a:lnTo>
              <a:lnTo>
                <a:pt x="47594" y="127596"/>
              </a:lnTo>
              <a:lnTo>
                <a:pt x="37835" y="135035"/>
              </a:lnTo>
              <a:lnTo>
                <a:pt x="32931" y="161392"/>
              </a:lnTo>
              <a:lnTo>
                <a:pt x="37034" y="176368"/>
              </a:lnTo>
              <a:lnTo>
                <a:pt x="42640" y="177731"/>
              </a:lnTo>
              <a:lnTo>
                <a:pt x="37235" y="181620"/>
              </a:lnTo>
              <a:lnTo>
                <a:pt x="42039" y="182544"/>
              </a:lnTo>
              <a:lnTo>
                <a:pt x="37285" y="188769"/>
              </a:lnTo>
              <a:lnTo>
                <a:pt x="39587" y="199759"/>
              </a:lnTo>
              <a:lnTo>
                <a:pt x="52149" y="211136"/>
              </a:lnTo>
              <a:lnTo>
                <a:pt x="50948" y="236373"/>
              </a:lnTo>
              <a:lnTo>
                <a:pt x="68164" y="238513"/>
              </a:lnTo>
              <a:lnTo>
                <a:pt x="83778" y="232971"/>
              </a:lnTo>
              <a:lnTo>
                <a:pt x="90735" y="223439"/>
              </a:lnTo>
              <a:lnTo>
                <a:pt x="120312" y="207490"/>
              </a:lnTo>
              <a:lnTo>
                <a:pt x="120613" y="223731"/>
              </a:lnTo>
              <a:lnTo>
                <a:pt x="141582" y="247022"/>
              </a:lnTo>
              <a:lnTo>
                <a:pt x="137078" y="262049"/>
              </a:lnTo>
              <a:lnTo>
                <a:pt x="142733" y="267641"/>
              </a:lnTo>
              <a:lnTo>
                <a:pt x="140281" y="268711"/>
              </a:lnTo>
              <a:lnTo>
                <a:pt x="152442" y="298177"/>
              </a:lnTo>
              <a:lnTo>
                <a:pt x="151742" y="311161"/>
              </a:lnTo>
              <a:lnTo>
                <a:pt x="144385" y="310530"/>
              </a:lnTo>
              <a:lnTo>
                <a:pt x="146937" y="316414"/>
              </a:lnTo>
              <a:lnTo>
                <a:pt x="134926" y="315879"/>
              </a:lnTo>
              <a:lnTo>
                <a:pt x="144285" y="331633"/>
              </a:lnTo>
              <a:lnTo>
                <a:pt x="149690" y="327695"/>
              </a:lnTo>
              <a:lnTo>
                <a:pt x="159599" y="336544"/>
              </a:lnTo>
              <a:lnTo>
                <a:pt x="167356" y="336059"/>
              </a:lnTo>
              <a:lnTo>
                <a:pt x="170910" y="324680"/>
              </a:lnTo>
              <a:lnTo>
                <a:pt x="179868" y="326139"/>
              </a:lnTo>
              <a:lnTo>
                <a:pt x="182971" y="337079"/>
              </a:lnTo>
              <a:lnTo>
                <a:pt x="194081" y="346075"/>
              </a:lnTo>
              <a:lnTo>
                <a:pt x="213850" y="351376"/>
              </a:lnTo>
              <a:lnTo>
                <a:pt x="213649" y="357454"/>
              </a:lnTo>
              <a:lnTo>
                <a:pt x="226011" y="368882"/>
              </a:lnTo>
              <a:lnTo>
                <a:pt x="218504" y="377635"/>
              </a:lnTo>
              <a:lnTo>
                <a:pt x="227362" y="381913"/>
              </a:lnTo>
              <a:lnTo>
                <a:pt x="221607" y="390569"/>
              </a:lnTo>
              <a:lnTo>
                <a:pt x="229314" y="394313"/>
              </a:lnTo>
              <a:lnTo>
                <a:pt x="239073" y="387846"/>
              </a:lnTo>
              <a:lnTo>
                <a:pt x="247231" y="371654"/>
              </a:lnTo>
              <a:lnTo>
                <a:pt x="263145" y="362414"/>
              </a:lnTo>
              <a:lnTo>
                <a:pt x="259742" y="373743"/>
              </a:lnTo>
              <a:lnTo>
                <a:pt x="262445" y="400635"/>
              </a:lnTo>
              <a:lnTo>
                <a:pt x="270652" y="399224"/>
              </a:lnTo>
              <a:lnTo>
                <a:pt x="273555" y="418091"/>
              </a:lnTo>
              <a:lnTo>
                <a:pt x="280562" y="419161"/>
              </a:lnTo>
              <a:lnTo>
                <a:pt x="278260" y="432729"/>
              </a:lnTo>
              <a:lnTo>
                <a:pt x="287819" y="440606"/>
              </a:lnTo>
              <a:lnTo>
                <a:pt x="286918" y="453783"/>
              </a:lnTo>
              <a:lnTo>
                <a:pt x="296977" y="455777"/>
              </a:lnTo>
              <a:lnTo>
                <a:pt x="297528" y="471533"/>
              </a:lnTo>
              <a:lnTo>
                <a:pt x="302582" y="467545"/>
              </a:lnTo>
              <a:lnTo>
                <a:pt x="312492" y="472651"/>
              </a:lnTo>
              <a:lnTo>
                <a:pt x="296376" y="492052"/>
              </a:lnTo>
              <a:lnTo>
                <a:pt x="301231" y="495407"/>
              </a:lnTo>
              <a:lnTo>
                <a:pt x="297678" y="495796"/>
              </a:lnTo>
              <a:lnTo>
                <a:pt x="298429" y="522785"/>
              </a:lnTo>
              <a:lnTo>
                <a:pt x="308988" y="522882"/>
              </a:lnTo>
              <a:lnTo>
                <a:pt x="317196" y="552739"/>
              </a:lnTo>
              <a:lnTo>
                <a:pt x="324453" y="558865"/>
              </a:lnTo>
              <a:lnTo>
                <a:pt x="325203" y="567521"/>
              </a:lnTo>
              <a:lnTo>
                <a:pt x="333561" y="569564"/>
              </a:lnTo>
              <a:lnTo>
                <a:pt x="332660" y="576809"/>
              </a:lnTo>
              <a:lnTo>
                <a:pt x="336964" y="577976"/>
              </a:lnTo>
              <a:lnTo>
                <a:pt x="320149" y="607687"/>
              </a:lnTo>
              <a:lnTo>
                <a:pt x="325654" y="605061"/>
              </a:lnTo>
              <a:lnTo>
                <a:pt x="330158" y="610362"/>
              </a:lnTo>
              <a:lnTo>
                <a:pt x="335914" y="607055"/>
              </a:lnTo>
              <a:lnTo>
                <a:pt x="339066" y="610362"/>
              </a:lnTo>
              <a:lnTo>
                <a:pt x="357283" y="603700"/>
              </a:lnTo>
              <a:lnTo>
                <a:pt x="364040" y="586096"/>
              </a:lnTo>
              <a:lnTo>
                <a:pt x="377902" y="577539"/>
              </a:lnTo>
              <a:lnTo>
                <a:pt x="389463" y="557893"/>
              </a:lnTo>
              <a:lnTo>
                <a:pt x="397721" y="556435"/>
              </a:lnTo>
              <a:lnTo>
                <a:pt x="394318" y="552106"/>
              </a:lnTo>
              <a:lnTo>
                <a:pt x="403326" y="523612"/>
              </a:lnTo>
              <a:lnTo>
                <a:pt x="409832" y="523077"/>
              </a:lnTo>
              <a:lnTo>
                <a:pt x="412785" y="519090"/>
              </a:lnTo>
              <a:lnTo>
                <a:pt x="410383" y="514713"/>
              </a:lnTo>
              <a:lnTo>
                <a:pt x="418941" y="519964"/>
              </a:lnTo>
              <a:lnTo>
                <a:pt x="429601" y="508002"/>
              </a:lnTo>
              <a:lnTo>
                <a:pt x="439310" y="515394"/>
              </a:lnTo>
              <a:lnTo>
                <a:pt x="438259" y="522785"/>
              </a:lnTo>
              <a:lnTo>
                <a:pt x="449669" y="531148"/>
              </a:lnTo>
              <a:lnTo>
                <a:pt x="444815" y="537665"/>
              </a:lnTo>
              <a:lnTo>
                <a:pt x="455775" y="543451"/>
              </a:lnTo>
              <a:lnTo>
                <a:pt x="479647" y="544473"/>
              </a:lnTo>
              <a:lnTo>
                <a:pt x="486904" y="551378"/>
              </a:lnTo>
              <a:lnTo>
                <a:pt x="516432" y="548216"/>
              </a:lnTo>
              <a:lnTo>
                <a:pt x="525741" y="556726"/>
              </a:lnTo>
              <a:lnTo>
                <a:pt x="532997" y="551669"/>
              </a:lnTo>
              <a:lnTo>
                <a:pt x="542256" y="533774"/>
              </a:lnTo>
              <a:lnTo>
                <a:pt x="525590" y="510093"/>
              </a:lnTo>
              <a:lnTo>
                <a:pt x="525090" y="493026"/>
              </a:lnTo>
              <a:lnTo>
                <a:pt x="519185" y="487530"/>
              </a:lnTo>
              <a:lnTo>
                <a:pt x="565027" y="486752"/>
              </a:lnTo>
              <a:lnTo>
                <a:pt x="576388" y="482036"/>
              </a:lnTo>
              <a:lnTo>
                <a:pt x="593854" y="484758"/>
              </a:lnTo>
              <a:lnTo>
                <a:pt x="595355" y="476929"/>
              </a:lnTo>
              <a:lnTo>
                <a:pt x="615224" y="464724"/>
              </a:lnTo>
              <a:lnTo>
                <a:pt x="612571" y="458841"/>
              </a:lnTo>
              <a:lnTo>
                <a:pt x="618827" y="450768"/>
              </a:lnTo>
              <a:lnTo>
                <a:pt x="617226" y="446296"/>
              </a:lnTo>
              <a:lnTo>
                <a:pt x="624182" y="444787"/>
              </a:lnTo>
              <a:lnTo>
                <a:pt x="627586" y="437153"/>
              </a:lnTo>
              <a:lnTo>
                <a:pt x="642049" y="447900"/>
              </a:lnTo>
              <a:lnTo>
                <a:pt x="643951" y="443767"/>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1303425</xdr:colOff>
      <xdr:row>92</xdr:row>
      <xdr:rowOff>50799</xdr:rowOff>
    </xdr:from>
    <xdr:to>
      <xdr:col>5</xdr:col>
      <xdr:colOff>376130</xdr:colOff>
      <xdr:row>96</xdr:row>
      <xdr:rowOff>141342</xdr:rowOff>
    </xdr:to>
    <xdr:sp macro="MapShapeClick" textlink="">
      <xdr:nvSpPr>
        <xdr:cNvPr id="13" name="黑龙江省">
          <a:extLst>
            <a:ext uri="{FF2B5EF4-FFF2-40B4-BE49-F238E27FC236}">
              <a16:creationId xmlns:a16="http://schemas.microsoft.com/office/drawing/2014/main" id="{D2A9626A-B483-F008-28C8-9763E6068645}"/>
            </a:ext>
          </a:extLst>
        </xdr:cNvPr>
        <xdr:cNvSpPr/>
      </xdr:nvSpPr>
      <xdr:spPr>
        <a:xfrm>
          <a:off x="4458105" y="16715739"/>
          <a:ext cx="1130105" cy="1248783"/>
        </a:xfrm>
        <a:custGeom>
          <a:avLst/>
          <a:gdLst/>
          <a:ahLst/>
          <a:cxnLst/>
          <a:rect l="0" t="0" r="0" b="0"/>
          <a:pathLst>
            <a:path w="1130105" h="1248783">
              <a:moveTo>
                <a:pt x="193981" y="928138"/>
              </a:moveTo>
              <a:lnTo>
                <a:pt x="216752" y="918899"/>
              </a:lnTo>
              <a:lnTo>
                <a:pt x="222257" y="924248"/>
              </a:lnTo>
              <a:lnTo>
                <a:pt x="225711" y="920552"/>
              </a:lnTo>
              <a:lnTo>
                <a:pt x="232217" y="952062"/>
              </a:lnTo>
              <a:lnTo>
                <a:pt x="228063" y="952986"/>
              </a:lnTo>
              <a:lnTo>
                <a:pt x="226411" y="961788"/>
              </a:lnTo>
              <a:lnTo>
                <a:pt x="234419" y="973020"/>
              </a:lnTo>
              <a:lnTo>
                <a:pt x="229114" y="981140"/>
              </a:lnTo>
              <a:lnTo>
                <a:pt x="239924" y="990476"/>
              </a:lnTo>
              <a:lnTo>
                <a:pt x="242126" y="999084"/>
              </a:lnTo>
              <a:lnTo>
                <a:pt x="247381" y="997090"/>
              </a:lnTo>
              <a:lnTo>
                <a:pt x="250434" y="1006184"/>
              </a:lnTo>
              <a:lnTo>
                <a:pt x="257290" y="1007156"/>
              </a:lnTo>
              <a:lnTo>
                <a:pt x="261344" y="1019459"/>
              </a:lnTo>
              <a:lnTo>
                <a:pt x="300981" y="1019216"/>
              </a:lnTo>
              <a:lnTo>
                <a:pt x="302983" y="1008421"/>
              </a:lnTo>
              <a:lnTo>
                <a:pt x="312291" y="1013380"/>
              </a:lnTo>
              <a:lnTo>
                <a:pt x="318097" y="1026169"/>
              </a:lnTo>
              <a:lnTo>
                <a:pt x="336164" y="1021549"/>
              </a:lnTo>
              <a:lnTo>
                <a:pt x="339617" y="1025001"/>
              </a:lnTo>
              <a:lnTo>
                <a:pt x="344722" y="1014256"/>
              </a:lnTo>
              <a:lnTo>
                <a:pt x="366092" y="1010950"/>
              </a:lnTo>
              <a:lnTo>
                <a:pt x="366692" y="1029719"/>
              </a:lnTo>
              <a:lnTo>
                <a:pt x="391315" y="1051649"/>
              </a:lnTo>
              <a:lnTo>
                <a:pt x="410583" y="1054178"/>
              </a:lnTo>
              <a:lnTo>
                <a:pt x="437708" y="1041194"/>
              </a:lnTo>
              <a:lnTo>
                <a:pt x="455875" y="1054713"/>
              </a:lnTo>
              <a:lnTo>
                <a:pt x="469788" y="1055102"/>
              </a:lnTo>
              <a:lnTo>
                <a:pt x="480248" y="1076400"/>
              </a:lnTo>
              <a:lnTo>
                <a:pt x="471440" y="1090503"/>
              </a:lnTo>
              <a:lnTo>
                <a:pt x="476745" y="1119873"/>
              </a:lnTo>
              <a:lnTo>
                <a:pt x="487505" y="1111022"/>
              </a:lnTo>
              <a:lnTo>
                <a:pt x="517983" y="1118900"/>
              </a:lnTo>
              <a:lnTo>
                <a:pt x="516282" y="1124978"/>
              </a:lnTo>
              <a:lnTo>
                <a:pt x="510526" y="1125611"/>
              </a:lnTo>
              <a:lnTo>
                <a:pt x="512228" y="1137719"/>
              </a:lnTo>
              <a:lnTo>
                <a:pt x="523388" y="1152744"/>
              </a:lnTo>
              <a:lnTo>
                <a:pt x="520686" y="1158434"/>
              </a:lnTo>
              <a:lnTo>
                <a:pt x="528093" y="1165339"/>
              </a:lnTo>
              <a:lnTo>
                <a:pt x="530595" y="1161692"/>
              </a:lnTo>
              <a:lnTo>
                <a:pt x="531946" y="1173022"/>
              </a:lnTo>
              <a:lnTo>
                <a:pt x="536351" y="1176085"/>
              </a:lnTo>
              <a:lnTo>
                <a:pt x="546860" y="1176911"/>
              </a:lnTo>
              <a:lnTo>
                <a:pt x="561374" y="1169180"/>
              </a:lnTo>
              <a:lnTo>
                <a:pt x="558871" y="1165143"/>
              </a:lnTo>
              <a:lnTo>
                <a:pt x="562425" y="1158190"/>
              </a:lnTo>
              <a:lnTo>
                <a:pt x="559172" y="1155759"/>
              </a:lnTo>
              <a:lnTo>
                <a:pt x="562225" y="1150994"/>
              </a:lnTo>
              <a:lnTo>
                <a:pt x="558021" y="1144575"/>
              </a:lnTo>
              <a:lnTo>
                <a:pt x="567980" y="1144915"/>
              </a:lnTo>
              <a:lnTo>
                <a:pt x="571133" y="1135288"/>
              </a:lnTo>
              <a:lnTo>
                <a:pt x="584245" y="1125854"/>
              </a:lnTo>
              <a:lnTo>
                <a:pt x="593103" y="1141658"/>
              </a:lnTo>
              <a:lnTo>
                <a:pt x="590251" y="1145741"/>
              </a:lnTo>
              <a:lnTo>
                <a:pt x="592303" y="1166408"/>
              </a:lnTo>
              <a:lnTo>
                <a:pt x="605965" y="1190089"/>
              </a:lnTo>
              <a:lnTo>
                <a:pt x="605665" y="1196509"/>
              </a:lnTo>
              <a:lnTo>
                <a:pt x="615774" y="1200301"/>
              </a:lnTo>
              <a:lnTo>
                <a:pt x="613222" y="1213867"/>
              </a:lnTo>
              <a:lnTo>
                <a:pt x="625334" y="1235993"/>
              </a:lnTo>
              <a:lnTo>
                <a:pt x="636344" y="1237889"/>
              </a:lnTo>
              <a:lnTo>
                <a:pt x="653910" y="1230012"/>
              </a:lnTo>
              <a:lnTo>
                <a:pt x="652409" y="1208519"/>
              </a:lnTo>
              <a:lnTo>
                <a:pt x="655912" y="1204580"/>
              </a:lnTo>
              <a:lnTo>
                <a:pt x="663519" y="1206962"/>
              </a:lnTo>
              <a:lnTo>
                <a:pt x="673228" y="1198357"/>
              </a:lnTo>
              <a:lnTo>
                <a:pt x="695599" y="1198209"/>
              </a:lnTo>
              <a:lnTo>
                <a:pt x="705758" y="1182795"/>
              </a:lnTo>
              <a:lnTo>
                <a:pt x="712515" y="1181142"/>
              </a:lnTo>
              <a:lnTo>
                <a:pt x="717920" y="1188534"/>
              </a:lnTo>
              <a:lnTo>
                <a:pt x="718720" y="1200933"/>
              </a:lnTo>
              <a:lnTo>
                <a:pt x="722924" y="1202829"/>
              </a:lnTo>
              <a:lnTo>
                <a:pt x="746146" y="1179246"/>
              </a:lnTo>
              <a:lnTo>
                <a:pt x="743944" y="1188291"/>
              </a:lnTo>
              <a:lnTo>
                <a:pt x="750851" y="1212943"/>
              </a:lnTo>
              <a:lnTo>
                <a:pt x="750000" y="1223351"/>
              </a:lnTo>
              <a:lnTo>
                <a:pt x="767716" y="1226753"/>
              </a:lnTo>
              <a:lnTo>
                <a:pt x="767116" y="1230401"/>
              </a:lnTo>
              <a:lnTo>
                <a:pt x="783331" y="1240078"/>
              </a:lnTo>
              <a:lnTo>
                <a:pt x="786684" y="1247420"/>
              </a:lnTo>
              <a:lnTo>
                <a:pt x="799896" y="1239494"/>
              </a:lnTo>
              <a:lnTo>
                <a:pt x="809305" y="1248782"/>
              </a:lnTo>
              <a:lnTo>
                <a:pt x="822467" y="1240224"/>
              </a:lnTo>
              <a:lnTo>
                <a:pt x="814010" y="1236868"/>
              </a:lnTo>
              <a:lnTo>
                <a:pt x="817163" y="1221357"/>
              </a:lnTo>
              <a:lnTo>
                <a:pt x="815361" y="1202684"/>
              </a:lnTo>
              <a:lnTo>
                <a:pt x="819314" y="1180316"/>
              </a:lnTo>
              <a:lnTo>
                <a:pt x="822968" y="1178955"/>
              </a:lnTo>
              <a:lnTo>
                <a:pt x="806803" y="1103535"/>
              </a:lnTo>
              <a:lnTo>
                <a:pt x="794892" y="1087438"/>
              </a:lnTo>
              <a:lnTo>
                <a:pt x="810806" y="1076254"/>
              </a:lnTo>
              <a:lnTo>
                <a:pt x="814610" y="1080193"/>
              </a:lnTo>
              <a:lnTo>
                <a:pt x="826571" y="1071440"/>
              </a:lnTo>
              <a:lnTo>
                <a:pt x="838482" y="1072851"/>
              </a:lnTo>
              <a:lnTo>
                <a:pt x="854247" y="1055102"/>
              </a:lnTo>
              <a:lnTo>
                <a:pt x="850593" y="1051893"/>
              </a:lnTo>
              <a:lnTo>
                <a:pt x="853096" y="1045523"/>
              </a:lnTo>
              <a:lnTo>
                <a:pt x="862204" y="1045912"/>
              </a:lnTo>
              <a:lnTo>
                <a:pt x="869862" y="1030837"/>
              </a:lnTo>
              <a:lnTo>
                <a:pt x="879270" y="1041000"/>
              </a:lnTo>
              <a:lnTo>
                <a:pt x="956492" y="1067648"/>
              </a:lnTo>
              <a:lnTo>
                <a:pt x="971557" y="1055637"/>
              </a:lnTo>
              <a:lnTo>
                <a:pt x="968003" y="1041875"/>
              </a:lnTo>
              <a:lnTo>
                <a:pt x="971907" y="1020625"/>
              </a:lnTo>
              <a:lnTo>
                <a:pt x="976761" y="1010657"/>
              </a:lnTo>
              <a:lnTo>
                <a:pt x="998532" y="997383"/>
              </a:lnTo>
              <a:lnTo>
                <a:pt x="999633" y="990331"/>
              </a:lnTo>
              <a:lnTo>
                <a:pt x="996430" y="988776"/>
              </a:lnTo>
              <a:lnTo>
                <a:pt x="1001284" y="979390"/>
              </a:lnTo>
              <a:lnTo>
                <a:pt x="998231" y="973653"/>
              </a:lnTo>
              <a:lnTo>
                <a:pt x="1015197" y="961010"/>
              </a:lnTo>
              <a:lnTo>
                <a:pt x="1020802" y="945546"/>
              </a:lnTo>
              <a:lnTo>
                <a:pt x="1017600" y="935238"/>
              </a:lnTo>
              <a:lnTo>
                <a:pt x="1034165" y="924539"/>
              </a:lnTo>
              <a:lnTo>
                <a:pt x="1035216" y="915543"/>
              </a:lnTo>
              <a:lnTo>
                <a:pt x="1030862" y="914669"/>
              </a:lnTo>
              <a:lnTo>
                <a:pt x="1037318" y="907277"/>
              </a:lnTo>
              <a:lnTo>
                <a:pt x="1029260" y="898524"/>
              </a:lnTo>
              <a:lnTo>
                <a:pt x="1034966" y="884277"/>
              </a:lnTo>
              <a:lnTo>
                <a:pt x="1042372" y="879317"/>
              </a:lnTo>
              <a:lnTo>
                <a:pt x="1046676" y="838714"/>
              </a:lnTo>
              <a:lnTo>
                <a:pt x="1053083" y="825195"/>
              </a:lnTo>
              <a:lnTo>
                <a:pt x="1059538" y="823784"/>
              </a:lnTo>
              <a:lnTo>
                <a:pt x="1060189" y="814594"/>
              </a:lnTo>
              <a:lnTo>
                <a:pt x="1054234" y="806669"/>
              </a:lnTo>
              <a:lnTo>
                <a:pt x="1055885" y="797332"/>
              </a:lnTo>
              <a:lnTo>
                <a:pt x="1066445" y="785030"/>
              </a:lnTo>
              <a:lnTo>
                <a:pt x="1087665" y="779097"/>
              </a:lnTo>
              <a:lnTo>
                <a:pt x="1104831" y="750455"/>
              </a:lnTo>
              <a:lnTo>
                <a:pt x="1096623" y="737958"/>
              </a:lnTo>
              <a:lnTo>
                <a:pt x="1096523" y="730033"/>
              </a:lnTo>
              <a:lnTo>
                <a:pt x="1086514" y="718217"/>
              </a:lnTo>
              <a:lnTo>
                <a:pt x="1096673" y="684859"/>
              </a:lnTo>
              <a:lnTo>
                <a:pt x="1130104" y="666867"/>
              </a:lnTo>
              <a:lnTo>
                <a:pt x="1128303" y="660010"/>
              </a:lnTo>
              <a:lnTo>
                <a:pt x="1116842" y="660983"/>
              </a:lnTo>
              <a:lnTo>
                <a:pt x="1103580" y="670952"/>
              </a:lnTo>
              <a:lnTo>
                <a:pt x="1082260" y="664971"/>
              </a:lnTo>
              <a:lnTo>
                <a:pt x="1058037" y="669443"/>
              </a:lnTo>
              <a:lnTo>
                <a:pt x="1020402" y="685053"/>
              </a:lnTo>
              <a:lnTo>
                <a:pt x="1016548" y="693319"/>
              </a:lnTo>
              <a:lnTo>
                <a:pt x="1006789" y="693904"/>
              </a:lnTo>
              <a:lnTo>
                <a:pt x="1004587" y="701294"/>
              </a:lnTo>
              <a:lnTo>
                <a:pt x="970806" y="699641"/>
              </a:lnTo>
              <a:lnTo>
                <a:pt x="945532" y="723711"/>
              </a:lnTo>
              <a:lnTo>
                <a:pt x="932720" y="722739"/>
              </a:lnTo>
              <a:lnTo>
                <a:pt x="934822" y="729984"/>
              </a:lnTo>
              <a:lnTo>
                <a:pt x="924312" y="750164"/>
              </a:lnTo>
              <a:lnTo>
                <a:pt x="909198" y="744474"/>
              </a:lnTo>
              <a:lnTo>
                <a:pt x="898689" y="751186"/>
              </a:lnTo>
              <a:lnTo>
                <a:pt x="879020" y="750894"/>
              </a:lnTo>
              <a:lnTo>
                <a:pt x="877068" y="755610"/>
              </a:lnTo>
              <a:lnTo>
                <a:pt x="853797" y="751525"/>
              </a:lnTo>
              <a:lnTo>
                <a:pt x="845689" y="757119"/>
              </a:lnTo>
              <a:lnTo>
                <a:pt x="841885" y="748024"/>
              </a:lnTo>
              <a:lnTo>
                <a:pt x="834779" y="746663"/>
              </a:lnTo>
              <a:lnTo>
                <a:pt x="800147" y="753033"/>
              </a:lnTo>
              <a:lnTo>
                <a:pt x="794992" y="748366"/>
              </a:lnTo>
              <a:lnTo>
                <a:pt x="788886" y="724879"/>
              </a:lnTo>
              <a:lnTo>
                <a:pt x="770619" y="703288"/>
              </a:lnTo>
              <a:lnTo>
                <a:pt x="785133" y="679948"/>
              </a:lnTo>
              <a:lnTo>
                <a:pt x="777225" y="666769"/>
              </a:lnTo>
              <a:lnTo>
                <a:pt x="778827" y="654078"/>
              </a:lnTo>
              <a:lnTo>
                <a:pt x="766916" y="655537"/>
              </a:lnTo>
              <a:lnTo>
                <a:pt x="765665" y="643477"/>
              </a:lnTo>
              <a:lnTo>
                <a:pt x="760209" y="641290"/>
              </a:lnTo>
              <a:lnTo>
                <a:pt x="771770" y="608126"/>
              </a:lnTo>
              <a:lnTo>
                <a:pt x="757257" y="610022"/>
              </a:lnTo>
              <a:lnTo>
                <a:pt x="749950" y="605160"/>
              </a:lnTo>
              <a:lnTo>
                <a:pt x="735786" y="609683"/>
              </a:lnTo>
              <a:lnTo>
                <a:pt x="711364" y="588433"/>
              </a:lnTo>
              <a:lnTo>
                <a:pt x="704107" y="570927"/>
              </a:lnTo>
              <a:lnTo>
                <a:pt x="696450" y="567522"/>
              </a:lnTo>
              <a:lnTo>
                <a:pt x="694548" y="557604"/>
              </a:lnTo>
              <a:lnTo>
                <a:pt x="680935" y="556193"/>
              </a:lnTo>
              <a:lnTo>
                <a:pt x="677332" y="540729"/>
              </a:lnTo>
              <a:lnTo>
                <a:pt x="666922" y="539611"/>
              </a:lnTo>
              <a:lnTo>
                <a:pt x="664320" y="549190"/>
              </a:lnTo>
              <a:lnTo>
                <a:pt x="652709" y="543792"/>
              </a:lnTo>
              <a:lnTo>
                <a:pt x="642099" y="548705"/>
              </a:lnTo>
              <a:lnTo>
                <a:pt x="636344" y="536547"/>
              </a:lnTo>
              <a:lnTo>
                <a:pt x="615824" y="533436"/>
              </a:lnTo>
              <a:lnTo>
                <a:pt x="620028" y="523905"/>
              </a:lnTo>
              <a:lnTo>
                <a:pt x="614423" y="519285"/>
              </a:lnTo>
              <a:lnTo>
                <a:pt x="569031" y="526238"/>
              </a:lnTo>
              <a:lnTo>
                <a:pt x="538953" y="519431"/>
              </a:lnTo>
              <a:lnTo>
                <a:pt x="527793" y="506399"/>
              </a:lnTo>
              <a:lnTo>
                <a:pt x="527542" y="498035"/>
              </a:lnTo>
              <a:lnTo>
                <a:pt x="515931" y="490254"/>
              </a:lnTo>
              <a:lnTo>
                <a:pt x="513479" y="461127"/>
              </a:lnTo>
              <a:lnTo>
                <a:pt x="520436" y="450867"/>
              </a:lnTo>
              <a:lnTo>
                <a:pt x="521737" y="437981"/>
              </a:lnTo>
              <a:lnTo>
                <a:pt x="499716" y="425095"/>
              </a:lnTo>
              <a:lnTo>
                <a:pt x="502319" y="412647"/>
              </a:lnTo>
              <a:lnTo>
                <a:pt x="496563" y="409146"/>
              </a:lnTo>
              <a:lnTo>
                <a:pt x="502819" y="394362"/>
              </a:lnTo>
              <a:lnTo>
                <a:pt x="496663" y="383859"/>
              </a:lnTo>
              <a:lnTo>
                <a:pt x="496713" y="372092"/>
              </a:lnTo>
              <a:lnTo>
                <a:pt x="466435" y="332558"/>
              </a:lnTo>
              <a:lnTo>
                <a:pt x="464584" y="314615"/>
              </a:lnTo>
              <a:lnTo>
                <a:pt x="471390" y="299249"/>
              </a:lnTo>
              <a:lnTo>
                <a:pt x="463533" y="298860"/>
              </a:lnTo>
              <a:lnTo>
                <a:pt x="465284" y="308634"/>
              </a:lnTo>
              <a:lnTo>
                <a:pt x="458127" y="304160"/>
              </a:lnTo>
              <a:lnTo>
                <a:pt x="459479" y="295846"/>
              </a:lnTo>
              <a:lnTo>
                <a:pt x="467036" y="293998"/>
              </a:lnTo>
              <a:lnTo>
                <a:pt x="465284" y="287725"/>
              </a:lnTo>
              <a:lnTo>
                <a:pt x="455775" y="284467"/>
              </a:lnTo>
              <a:lnTo>
                <a:pt x="459479" y="270948"/>
              </a:lnTo>
              <a:lnTo>
                <a:pt x="446617" y="262293"/>
              </a:lnTo>
              <a:lnTo>
                <a:pt x="451671" y="257042"/>
              </a:lnTo>
              <a:lnTo>
                <a:pt x="451121" y="247998"/>
              </a:lnTo>
              <a:lnTo>
                <a:pt x="429050" y="216827"/>
              </a:lnTo>
              <a:lnTo>
                <a:pt x="428099" y="206372"/>
              </a:lnTo>
              <a:lnTo>
                <a:pt x="433254" y="205109"/>
              </a:lnTo>
              <a:lnTo>
                <a:pt x="436657" y="192027"/>
              </a:lnTo>
              <a:lnTo>
                <a:pt x="416389" y="182837"/>
              </a:lnTo>
              <a:lnTo>
                <a:pt x="426648" y="170486"/>
              </a:lnTo>
              <a:lnTo>
                <a:pt x="418090" y="168930"/>
              </a:lnTo>
              <a:lnTo>
                <a:pt x="420192" y="158426"/>
              </a:lnTo>
              <a:lnTo>
                <a:pt x="413286" y="146999"/>
              </a:lnTo>
              <a:lnTo>
                <a:pt x="408131" y="148167"/>
              </a:lnTo>
              <a:lnTo>
                <a:pt x="408781" y="140289"/>
              </a:lnTo>
              <a:lnTo>
                <a:pt x="403427" y="133919"/>
              </a:lnTo>
              <a:lnTo>
                <a:pt x="393967" y="133481"/>
              </a:lnTo>
              <a:lnTo>
                <a:pt x="388913" y="126236"/>
              </a:lnTo>
              <a:lnTo>
                <a:pt x="396470" y="120498"/>
              </a:lnTo>
              <a:lnTo>
                <a:pt x="395069" y="111600"/>
              </a:lnTo>
              <a:lnTo>
                <a:pt x="400924" y="107758"/>
              </a:lnTo>
              <a:lnTo>
                <a:pt x="395719" y="103479"/>
              </a:lnTo>
              <a:lnTo>
                <a:pt x="388763" y="108876"/>
              </a:lnTo>
              <a:lnTo>
                <a:pt x="377452" y="90155"/>
              </a:lnTo>
              <a:lnTo>
                <a:pt x="365341" y="95309"/>
              </a:lnTo>
              <a:lnTo>
                <a:pt x="364240" y="88210"/>
              </a:lnTo>
              <a:lnTo>
                <a:pt x="370095" y="84174"/>
              </a:lnTo>
              <a:lnTo>
                <a:pt x="370546" y="77366"/>
              </a:lnTo>
              <a:lnTo>
                <a:pt x="360086" y="65258"/>
              </a:lnTo>
              <a:lnTo>
                <a:pt x="353330" y="69635"/>
              </a:lnTo>
              <a:lnTo>
                <a:pt x="351127" y="63654"/>
              </a:lnTo>
              <a:lnTo>
                <a:pt x="321750" y="48920"/>
              </a:lnTo>
              <a:lnTo>
                <a:pt x="301081" y="54316"/>
              </a:lnTo>
              <a:lnTo>
                <a:pt x="302833" y="60590"/>
              </a:lnTo>
              <a:lnTo>
                <a:pt x="299830" y="63167"/>
              </a:lnTo>
              <a:lnTo>
                <a:pt x="284115" y="48531"/>
              </a:lnTo>
              <a:lnTo>
                <a:pt x="264347" y="46246"/>
              </a:lnTo>
              <a:lnTo>
                <a:pt x="248382" y="25044"/>
              </a:lnTo>
              <a:lnTo>
                <a:pt x="239173" y="29372"/>
              </a:lnTo>
              <a:lnTo>
                <a:pt x="218003" y="10066"/>
              </a:lnTo>
              <a:lnTo>
                <a:pt x="204441" y="8851"/>
              </a:lnTo>
              <a:lnTo>
                <a:pt x="198135" y="1800"/>
              </a:lnTo>
              <a:lnTo>
                <a:pt x="190878" y="7684"/>
              </a:lnTo>
              <a:lnTo>
                <a:pt x="193030" y="4281"/>
              </a:lnTo>
              <a:lnTo>
                <a:pt x="189727" y="683"/>
              </a:lnTo>
              <a:lnTo>
                <a:pt x="188276" y="8949"/>
              </a:lnTo>
              <a:lnTo>
                <a:pt x="170009" y="0"/>
              </a:lnTo>
              <a:lnTo>
                <a:pt x="158848" y="8899"/>
              </a:lnTo>
              <a:lnTo>
                <a:pt x="133625" y="14491"/>
              </a:lnTo>
              <a:lnTo>
                <a:pt x="101795" y="16193"/>
              </a:lnTo>
              <a:lnTo>
                <a:pt x="94888" y="7879"/>
              </a:lnTo>
              <a:lnTo>
                <a:pt x="75471" y="18626"/>
              </a:lnTo>
              <a:lnTo>
                <a:pt x="56353" y="18674"/>
              </a:lnTo>
              <a:lnTo>
                <a:pt x="25774" y="30831"/>
              </a:lnTo>
              <a:lnTo>
                <a:pt x="40438" y="43959"/>
              </a:lnTo>
              <a:lnTo>
                <a:pt x="39237" y="53490"/>
              </a:lnTo>
              <a:lnTo>
                <a:pt x="46393" y="56603"/>
              </a:lnTo>
              <a:lnTo>
                <a:pt x="51648" y="68224"/>
              </a:lnTo>
              <a:lnTo>
                <a:pt x="34782" y="91079"/>
              </a:lnTo>
              <a:lnTo>
                <a:pt x="33231" y="100173"/>
              </a:lnTo>
              <a:lnTo>
                <a:pt x="0" y="130417"/>
              </a:lnTo>
              <a:lnTo>
                <a:pt x="37185" y="151084"/>
              </a:lnTo>
              <a:lnTo>
                <a:pt x="43240" y="167910"/>
              </a:lnTo>
              <a:lnTo>
                <a:pt x="53550" y="172626"/>
              </a:lnTo>
              <a:lnTo>
                <a:pt x="62208" y="170534"/>
              </a:lnTo>
              <a:lnTo>
                <a:pt x="80175" y="141844"/>
              </a:lnTo>
              <a:lnTo>
                <a:pt x="102796" y="157794"/>
              </a:lnTo>
              <a:lnTo>
                <a:pt x="105298" y="170827"/>
              </a:lnTo>
              <a:lnTo>
                <a:pt x="130422" y="176613"/>
              </a:lnTo>
              <a:lnTo>
                <a:pt x="126418" y="189742"/>
              </a:lnTo>
              <a:lnTo>
                <a:pt x="117560" y="191979"/>
              </a:lnTo>
              <a:lnTo>
                <a:pt x="117260" y="201121"/>
              </a:lnTo>
              <a:lnTo>
                <a:pt x="122014" y="213375"/>
              </a:lnTo>
              <a:lnTo>
                <a:pt x="125467" y="212840"/>
              </a:lnTo>
              <a:lnTo>
                <a:pt x="123816" y="224511"/>
              </a:lnTo>
              <a:lnTo>
                <a:pt x="137478" y="267641"/>
              </a:lnTo>
              <a:lnTo>
                <a:pt x="135877" y="278583"/>
              </a:lnTo>
              <a:lnTo>
                <a:pt x="147938" y="300125"/>
              </a:lnTo>
              <a:lnTo>
                <a:pt x="171610" y="307662"/>
              </a:lnTo>
              <a:lnTo>
                <a:pt x="183471" y="305473"/>
              </a:lnTo>
              <a:lnTo>
                <a:pt x="201488" y="299201"/>
              </a:lnTo>
              <a:lnTo>
                <a:pt x="205492" y="288941"/>
              </a:lnTo>
              <a:lnTo>
                <a:pt x="222958" y="301632"/>
              </a:lnTo>
              <a:lnTo>
                <a:pt x="248382" y="295894"/>
              </a:lnTo>
              <a:lnTo>
                <a:pt x="261994" y="305327"/>
              </a:lnTo>
              <a:lnTo>
                <a:pt x="268801" y="291226"/>
              </a:lnTo>
              <a:lnTo>
                <a:pt x="279861" y="298131"/>
              </a:lnTo>
              <a:lnTo>
                <a:pt x="299179" y="291324"/>
              </a:lnTo>
              <a:lnTo>
                <a:pt x="305535" y="282523"/>
              </a:lnTo>
              <a:lnTo>
                <a:pt x="304434" y="275860"/>
              </a:lnTo>
              <a:lnTo>
                <a:pt x="314043" y="271776"/>
              </a:lnTo>
              <a:lnTo>
                <a:pt x="320649" y="254853"/>
              </a:lnTo>
              <a:lnTo>
                <a:pt x="338766" y="259473"/>
              </a:lnTo>
              <a:lnTo>
                <a:pt x="372097" y="311260"/>
              </a:lnTo>
              <a:lnTo>
                <a:pt x="379304" y="312913"/>
              </a:lnTo>
              <a:lnTo>
                <a:pt x="380455" y="321618"/>
              </a:lnTo>
              <a:lnTo>
                <a:pt x="390965" y="325168"/>
              </a:lnTo>
              <a:lnTo>
                <a:pt x="389513" y="329641"/>
              </a:lnTo>
              <a:lnTo>
                <a:pt x="396270" y="334941"/>
              </a:lnTo>
              <a:lnTo>
                <a:pt x="397020" y="344764"/>
              </a:lnTo>
              <a:lnTo>
                <a:pt x="391265" y="356969"/>
              </a:lnTo>
              <a:lnTo>
                <a:pt x="388362" y="353323"/>
              </a:lnTo>
              <a:lnTo>
                <a:pt x="379004" y="370244"/>
              </a:lnTo>
              <a:lnTo>
                <a:pt x="371847" y="373162"/>
              </a:lnTo>
              <a:lnTo>
                <a:pt x="377302" y="378706"/>
              </a:lnTo>
              <a:lnTo>
                <a:pt x="374349" y="381769"/>
              </a:lnTo>
              <a:lnTo>
                <a:pt x="377602" y="396892"/>
              </a:lnTo>
              <a:lnTo>
                <a:pt x="353780" y="414981"/>
              </a:lnTo>
              <a:lnTo>
                <a:pt x="354631" y="422761"/>
              </a:lnTo>
              <a:lnTo>
                <a:pt x="347875" y="430785"/>
              </a:lnTo>
              <a:lnTo>
                <a:pt x="346673" y="440899"/>
              </a:lnTo>
              <a:lnTo>
                <a:pt x="337465" y="447902"/>
              </a:lnTo>
              <a:lnTo>
                <a:pt x="340768" y="450915"/>
              </a:lnTo>
              <a:lnTo>
                <a:pt x="331209" y="455194"/>
              </a:lnTo>
              <a:lnTo>
                <a:pt x="336864" y="459960"/>
              </a:lnTo>
              <a:lnTo>
                <a:pt x="325654" y="473381"/>
              </a:lnTo>
              <a:lnTo>
                <a:pt x="330158" y="484468"/>
              </a:lnTo>
              <a:lnTo>
                <a:pt x="324653" y="489817"/>
              </a:lnTo>
              <a:lnTo>
                <a:pt x="328306" y="493659"/>
              </a:lnTo>
              <a:lnTo>
                <a:pt x="328056" y="509997"/>
              </a:lnTo>
              <a:lnTo>
                <a:pt x="320549" y="511747"/>
              </a:lnTo>
              <a:lnTo>
                <a:pt x="328907" y="519237"/>
              </a:lnTo>
              <a:lnTo>
                <a:pt x="327356" y="526190"/>
              </a:lnTo>
              <a:lnTo>
                <a:pt x="332210" y="536889"/>
              </a:lnTo>
              <a:lnTo>
                <a:pt x="328056" y="569953"/>
              </a:lnTo>
              <a:lnTo>
                <a:pt x="319748" y="577782"/>
              </a:lnTo>
              <a:lnTo>
                <a:pt x="302632" y="570586"/>
              </a:lnTo>
              <a:lnTo>
                <a:pt x="294725" y="579047"/>
              </a:lnTo>
              <a:lnTo>
                <a:pt x="294625" y="590864"/>
              </a:lnTo>
              <a:lnTo>
                <a:pt x="282113" y="613912"/>
              </a:lnTo>
              <a:lnTo>
                <a:pt x="277859" y="638761"/>
              </a:lnTo>
              <a:lnTo>
                <a:pt x="271253" y="648145"/>
              </a:lnTo>
              <a:lnTo>
                <a:pt x="274106" y="658990"/>
              </a:lnTo>
              <a:lnTo>
                <a:pt x="270202" y="661712"/>
              </a:lnTo>
              <a:lnTo>
                <a:pt x="271103" y="669980"/>
              </a:lnTo>
              <a:lnTo>
                <a:pt x="276058" y="679850"/>
              </a:lnTo>
              <a:lnTo>
                <a:pt x="272004" y="698183"/>
              </a:lnTo>
              <a:lnTo>
                <a:pt x="262745" y="705379"/>
              </a:lnTo>
              <a:lnTo>
                <a:pt x="267550" y="694924"/>
              </a:lnTo>
              <a:lnTo>
                <a:pt x="262995" y="693952"/>
              </a:lnTo>
              <a:lnTo>
                <a:pt x="263246" y="686123"/>
              </a:lnTo>
              <a:lnTo>
                <a:pt x="254788" y="673285"/>
              </a:lnTo>
              <a:lnTo>
                <a:pt x="254488" y="654564"/>
              </a:lnTo>
              <a:lnTo>
                <a:pt x="250033" y="650576"/>
              </a:lnTo>
              <a:lnTo>
                <a:pt x="194782" y="710534"/>
              </a:lnTo>
              <a:lnTo>
                <a:pt x="172110" y="721670"/>
              </a:lnTo>
              <a:lnTo>
                <a:pt x="160850" y="742481"/>
              </a:lnTo>
              <a:lnTo>
                <a:pt x="114707" y="770781"/>
              </a:lnTo>
              <a:lnTo>
                <a:pt x="107650" y="788337"/>
              </a:lnTo>
              <a:lnTo>
                <a:pt x="100444" y="794414"/>
              </a:lnTo>
              <a:lnTo>
                <a:pt x="116459" y="821499"/>
              </a:lnTo>
              <a:lnTo>
                <a:pt x="135727" y="827724"/>
              </a:lnTo>
              <a:lnTo>
                <a:pt x="129371" y="839442"/>
              </a:lnTo>
              <a:lnTo>
                <a:pt x="130722" y="843284"/>
              </a:lnTo>
              <a:lnTo>
                <a:pt x="139180" y="841048"/>
              </a:lnTo>
              <a:lnTo>
                <a:pt x="140131" y="859233"/>
              </a:lnTo>
              <a:lnTo>
                <a:pt x="149840" y="869736"/>
              </a:lnTo>
              <a:lnTo>
                <a:pt x="161000" y="867208"/>
              </a:lnTo>
              <a:lnTo>
                <a:pt x="165705" y="854128"/>
              </a:lnTo>
              <a:lnTo>
                <a:pt x="178116" y="855635"/>
              </a:lnTo>
              <a:lnTo>
                <a:pt x="180568" y="844014"/>
              </a:lnTo>
              <a:lnTo>
                <a:pt x="172211" y="836331"/>
              </a:lnTo>
              <a:lnTo>
                <a:pt x="182120" y="844160"/>
              </a:lnTo>
              <a:lnTo>
                <a:pt x="190628" y="842895"/>
              </a:lnTo>
              <a:lnTo>
                <a:pt x="188876" y="856900"/>
              </a:lnTo>
              <a:lnTo>
                <a:pt x="193430" y="857046"/>
              </a:lnTo>
              <a:lnTo>
                <a:pt x="196884" y="849265"/>
              </a:lnTo>
              <a:lnTo>
                <a:pt x="196734" y="873239"/>
              </a:lnTo>
              <a:lnTo>
                <a:pt x="170159" y="876593"/>
              </a:lnTo>
              <a:lnTo>
                <a:pt x="166255" y="885201"/>
              </a:lnTo>
              <a:lnTo>
                <a:pt x="151442" y="881700"/>
              </a:lnTo>
              <a:lnTo>
                <a:pt x="151992" y="886173"/>
              </a:lnTo>
              <a:lnTo>
                <a:pt x="147888" y="886805"/>
              </a:lnTo>
              <a:lnTo>
                <a:pt x="148639" y="903289"/>
              </a:lnTo>
              <a:lnTo>
                <a:pt x="162201" y="925269"/>
              </a:lnTo>
              <a:lnTo>
                <a:pt x="188276" y="923907"/>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1278952</xdr:colOff>
      <xdr:row>101</xdr:row>
      <xdr:rowOff>108508</xdr:rowOff>
    </xdr:from>
    <xdr:to>
      <xdr:col>4</xdr:col>
      <xdr:colOff>1369137</xdr:colOff>
      <xdr:row>101</xdr:row>
      <xdr:rowOff>187722</xdr:rowOff>
    </xdr:to>
    <xdr:sp macro="MapShapeClick" textlink="">
      <xdr:nvSpPr>
        <xdr:cNvPr id="14" name="上海市">
          <a:extLst>
            <a:ext uri="{FF2B5EF4-FFF2-40B4-BE49-F238E27FC236}">
              <a16:creationId xmlns:a16="http://schemas.microsoft.com/office/drawing/2014/main" id="{7E884C12-FE3F-4BEE-15E3-954757EB23EB}"/>
            </a:ext>
          </a:extLst>
        </xdr:cNvPr>
        <xdr:cNvSpPr/>
      </xdr:nvSpPr>
      <xdr:spPr>
        <a:xfrm>
          <a:off x="4433632" y="19188988"/>
          <a:ext cx="90185" cy="79214"/>
        </a:xfrm>
        <a:custGeom>
          <a:avLst/>
          <a:gdLst/>
          <a:ahLst/>
          <a:cxnLst/>
          <a:rect l="0" t="0" r="0" b="0"/>
          <a:pathLst>
            <a:path w="90185" h="79214">
              <a:moveTo>
                <a:pt x="1652" y="47022"/>
              </a:moveTo>
              <a:lnTo>
                <a:pt x="8808" y="47314"/>
              </a:lnTo>
              <a:lnTo>
                <a:pt x="9008" y="64090"/>
              </a:lnTo>
              <a:lnTo>
                <a:pt x="12762" y="66279"/>
              </a:lnTo>
              <a:lnTo>
                <a:pt x="17616" y="62194"/>
              </a:lnTo>
              <a:lnTo>
                <a:pt x="19669" y="69585"/>
              </a:lnTo>
              <a:lnTo>
                <a:pt x="27276" y="68953"/>
              </a:lnTo>
              <a:lnTo>
                <a:pt x="31980" y="79213"/>
              </a:lnTo>
              <a:lnTo>
                <a:pt x="65011" y="65841"/>
              </a:lnTo>
              <a:lnTo>
                <a:pt x="83178" y="66279"/>
              </a:lnTo>
              <a:lnTo>
                <a:pt x="86331" y="69779"/>
              </a:lnTo>
              <a:lnTo>
                <a:pt x="90184" y="51642"/>
              </a:lnTo>
              <a:lnTo>
                <a:pt x="68364" y="19840"/>
              </a:lnTo>
              <a:lnTo>
                <a:pt x="37585" y="0"/>
              </a:lnTo>
              <a:lnTo>
                <a:pt x="29327" y="1799"/>
              </a:lnTo>
              <a:lnTo>
                <a:pt x="18918" y="13080"/>
              </a:lnTo>
              <a:lnTo>
                <a:pt x="21270" y="22514"/>
              </a:lnTo>
              <a:lnTo>
                <a:pt x="17016" y="20959"/>
              </a:lnTo>
              <a:lnTo>
                <a:pt x="14564" y="25383"/>
              </a:lnTo>
              <a:lnTo>
                <a:pt x="15915" y="33650"/>
              </a:lnTo>
              <a:lnTo>
                <a:pt x="0" y="35887"/>
              </a:lnTo>
              <a:lnTo>
                <a:pt x="801" y="39728"/>
              </a:lnTo>
            </a:path>
          </a:pathLst>
        </a:custGeom>
        <a:solidFill>
          <a:srgbClr val="6FA8DC"/>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1298270</xdr:colOff>
      <xdr:row>101</xdr:row>
      <xdr:rowOff>74470</xdr:rowOff>
    </xdr:from>
    <xdr:to>
      <xdr:col>4</xdr:col>
      <xdr:colOff>1369538</xdr:colOff>
      <xdr:row>101</xdr:row>
      <xdr:rowOff>116436</xdr:rowOff>
    </xdr:to>
    <xdr:sp macro="MapShapeClick" textlink="">
      <xdr:nvSpPr>
        <xdr:cNvPr id="15" name="上海市">
          <a:extLst>
            <a:ext uri="{FF2B5EF4-FFF2-40B4-BE49-F238E27FC236}">
              <a16:creationId xmlns:a16="http://schemas.microsoft.com/office/drawing/2014/main" id="{A4FDC5BE-9DC1-7CEF-DFBA-22AD676F3624}"/>
            </a:ext>
          </a:extLst>
        </xdr:cNvPr>
        <xdr:cNvSpPr/>
      </xdr:nvSpPr>
      <xdr:spPr>
        <a:xfrm>
          <a:off x="4452950" y="19154950"/>
          <a:ext cx="71268" cy="41966"/>
        </a:xfrm>
        <a:custGeom>
          <a:avLst/>
          <a:gdLst/>
          <a:ahLst/>
          <a:cxnLst/>
          <a:rect l="0" t="0" r="0" b="0"/>
          <a:pathLst>
            <a:path w="71268" h="41966">
              <a:moveTo>
                <a:pt x="69565" y="24022"/>
              </a:moveTo>
              <a:lnTo>
                <a:pt x="39087" y="15804"/>
              </a:lnTo>
              <a:lnTo>
                <a:pt x="16616" y="0"/>
              </a:lnTo>
              <a:lnTo>
                <a:pt x="0" y="10454"/>
              </a:lnTo>
              <a:lnTo>
                <a:pt x="20569" y="30099"/>
              </a:lnTo>
              <a:lnTo>
                <a:pt x="25624" y="26551"/>
              </a:lnTo>
              <a:lnTo>
                <a:pt x="62709" y="41965"/>
              </a:lnTo>
              <a:lnTo>
                <a:pt x="71267" y="35837"/>
              </a:lnTo>
            </a:path>
          </a:pathLst>
        </a:custGeom>
        <a:solidFill>
          <a:srgbClr val="6FA8DC"/>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1330050</xdr:colOff>
      <xdr:row>101</xdr:row>
      <xdr:rowOff>111328</xdr:rowOff>
    </xdr:from>
    <xdr:to>
      <xdr:col>4</xdr:col>
      <xdr:colOff>1353273</xdr:colOff>
      <xdr:row>101</xdr:row>
      <xdr:rowOff>127620</xdr:rowOff>
    </xdr:to>
    <xdr:sp macro="MapShapeClick" textlink="">
      <xdr:nvSpPr>
        <xdr:cNvPr id="16" name="上海市">
          <a:extLst>
            <a:ext uri="{FF2B5EF4-FFF2-40B4-BE49-F238E27FC236}">
              <a16:creationId xmlns:a16="http://schemas.microsoft.com/office/drawing/2014/main" id="{CE56ACA0-4946-6D20-6F2D-63AF82A21D3C}"/>
            </a:ext>
          </a:extLst>
        </xdr:cNvPr>
        <xdr:cNvSpPr/>
      </xdr:nvSpPr>
      <xdr:spPr>
        <a:xfrm>
          <a:off x="4484730" y="19191808"/>
          <a:ext cx="23223" cy="16292"/>
        </a:xfrm>
        <a:custGeom>
          <a:avLst/>
          <a:gdLst/>
          <a:ahLst/>
          <a:cxnLst/>
          <a:rect l="0" t="0" r="0" b="0"/>
          <a:pathLst>
            <a:path w="23223" h="16292">
              <a:moveTo>
                <a:pt x="23222" y="14491"/>
              </a:moveTo>
              <a:lnTo>
                <a:pt x="18868" y="7149"/>
              </a:lnTo>
              <a:lnTo>
                <a:pt x="0" y="0"/>
              </a:lnTo>
              <a:lnTo>
                <a:pt x="22371" y="16291"/>
              </a:lnTo>
            </a:path>
          </a:pathLst>
        </a:custGeom>
        <a:solidFill>
          <a:srgbClr val="6FA8DC"/>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1353021</xdr:colOff>
      <xdr:row>101</xdr:row>
      <xdr:rowOff>121297</xdr:rowOff>
    </xdr:from>
    <xdr:to>
      <xdr:col>4</xdr:col>
      <xdr:colOff>1379847</xdr:colOff>
      <xdr:row>101</xdr:row>
      <xdr:rowOff>132920</xdr:rowOff>
    </xdr:to>
    <xdr:sp macro="MapShapeClick" textlink="">
      <xdr:nvSpPr>
        <xdr:cNvPr id="17" name="上海市">
          <a:extLst>
            <a:ext uri="{FF2B5EF4-FFF2-40B4-BE49-F238E27FC236}">
              <a16:creationId xmlns:a16="http://schemas.microsoft.com/office/drawing/2014/main" id="{80E58F42-B1B9-3281-A87A-E12F1AA6BCA8}"/>
            </a:ext>
          </a:extLst>
        </xdr:cNvPr>
        <xdr:cNvSpPr/>
      </xdr:nvSpPr>
      <xdr:spPr>
        <a:xfrm>
          <a:off x="4507701" y="19201777"/>
          <a:ext cx="26826" cy="11623"/>
        </a:xfrm>
        <a:custGeom>
          <a:avLst/>
          <a:gdLst/>
          <a:ahLst/>
          <a:cxnLst/>
          <a:rect l="0" t="0" r="0" b="0"/>
          <a:pathLst>
            <a:path w="26826" h="11623">
              <a:moveTo>
                <a:pt x="751" y="1993"/>
              </a:moveTo>
              <a:lnTo>
                <a:pt x="3904" y="7829"/>
              </a:lnTo>
              <a:lnTo>
                <a:pt x="24774" y="11622"/>
              </a:lnTo>
              <a:lnTo>
                <a:pt x="26825" y="6711"/>
              </a:lnTo>
              <a:lnTo>
                <a:pt x="0" y="0"/>
              </a:lnTo>
            </a:path>
          </a:pathLst>
        </a:custGeom>
        <a:solidFill>
          <a:srgbClr val="6FA8DC"/>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912360</xdr:colOff>
      <xdr:row>100</xdr:row>
      <xdr:rowOff>8593</xdr:rowOff>
    </xdr:from>
    <xdr:to>
      <xdr:col>4</xdr:col>
      <xdr:colOff>1367836</xdr:colOff>
      <xdr:row>101</xdr:row>
      <xdr:rowOff>180088</xdr:rowOff>
    </xdr:to>
    <xdr:sp macro="MapShapeClick" textlink="">
      <xdr:nvSpPr>
        <xdr:cNvPr id="18" name="江苏省">
          <a:extLst>
            <a:ext uri="{FF2B5EF4-FFF2-40B4-BE49-F238E27FC236}">
              <a16:creationId xmlns:a16="http://schemas.microsoft.com/office/drawing/2014/main" id="{D56445AD-E494-1849-FE41-64EA4A94A06B}"/>
            </a:ext>
          </a:extLst>
        </xdr:cNvPr>
        <xdr:cNvSpPr/>
      </xdr:nvSpPr>
      <xdr:spPr>
        <a:xfrm>
          <a:off x="4067040" y="18837613"/>
          <a:ext cx="455476" cy="422955"/>
        </a:xfrm>
        <a:custGeom>
          <a:avLst/>
          <a:gdLst/>
          <a:ahLst/>
          <a:cxnLst/>
          <a:rect l="0" t="0" r="0" b="0"/>
          <a:pathLst>
            <a:path w="455476" h="422955">
              <a:moveTo>
                <a:pt x="76571" y="55725"/>
              </a:moveTo>
              <a:lnTo>
                <a:pt x="73419" y="56212"/>
              </a:lnTo>
              <a:lnTo>
                <a:pt x="75921" y="57621"/>
              </a:lnTo>
              <a:lnTo>
                <a:pt x="71417" y="66618"/>
              </a:lnTo>
              <a:lnTo>
                <a:pt x="64761" y="68272"/>
              </a:lnTo>
              <a:lnTo>
                <a:pt x="56953" y="40700"/>
              </a:lnTo>
              <a:lnTo>
                <a:pt x="48746" y="34962"/>
              </a:lnTo>
              <a:lnTo>
                <a:pt x="44942" y="22805"/>
              </a:lnTo>
              <a:lnTo>
                <a:pt x="34132" y="14830"/>
              </a:lnTo>
              <a:lnTo>
                <a:pt x="33481" y="20617"/>
              </a:lnTo>
              <a:lnTo>
                <a:pt x="20569" y="18332"/>
              </a:lnTo>
              <a:lnTo>
                <a:pt x="6156" y="22709"/>
              </a:lnTo>
              <a:lnTo>
                <a:pt x="0" y="37199"/>
              </a:lnTo>
              <a:lnTo>
                <a:pt x="400" y="47994"/>
              </a:lnTo>
              <a:lnTo>
                <a:pt x="4955" y="46924"/>
              </a:lnTo>
              <a:lnTo>
                <a:pt x="18117" y="62436"/>
              </a:lnTo>
              <a:lnTo>
                <a:pt x="32881" y="66374"/>
              </a:lnTo>
              <a:lnTo>
                <a:pt x="37285" y="72744"/>
              </a:lnTo>
              <a:lnTo>
                <a:pt x="48746" y="72744"/>
              </a:lnTo>
              <a:lnTo>
                <a:pt x="48746" y="83102"/>
              </a:lnTo>
              <a:lnTo>
                <a:pt x="55402" y="89229"/>
              </a:lnTo>
              <a:lnTo>
                <a:pt x="53300" y="94529"/>
              </a:lnTo>
              <a:lnTo>
                <a:pt x="66863" y="104206"/>
              </a:lnTo>
              <a:lnTo>
                <a:pt x="80275" y="102310"/>
              </a:lnTo>
              <a:lnTo>
                <a:pt x="86631" y="108193"/>
              </a:lnTo>
              <a:lnTo>
                <a:pt x="93087" y="104984"/>
              </a:lnTo>
              <a:lnTo>
                <a:pt x="97491" y="112424"/>
              </a:lnTo>
              <a:lnTo>
                <a:pt x="102396" y="108145"/>
              </a:lnTo>
              <a:lnTo>
                <a:pt x="109352" y="122782"/>
              </a:lnTo>
              <a:lnTo>
                <a:pt x="112505" y="121614"/>
              </a:lnTo>
              <a:lnTo>
                <a:pt x="112205" y="139266"/>
              </a:lnTo>
              <a:lnTo>
                <a:pt x="137829" y="133868"/>
              </a:lnTo>
              <a:lnTo>
                <a:pt x="145586" y="136835"/>
              </a:lnTo>
              <a:lnTo>
                <a:pt x="141232" y="162218"/>
              </a:lnTo>
              <a:lnTo>
                <a:pt x="136628" y="160613"/>
              </a:lnTo>
              <a:lnTo>
                <a:pt x="127819" y="186579"/>
              </a:lnTo>
              <a:lnTo>
                <a:pt x="135627" y="195332"/>
              </a:lnTo>
              <a:lnTo>
                <a:pt x="146987" y="187260"/>
              </a:lnTo>
              <a:lnTo>
                <a:pt x="150140" y="189788"/>
              </a:lnTo>
              <a:lnTo>
                <a:pt x="152392" y="208559"/>
              </a:lnTo>
              <a:lnTo>
                <a:pt x="157197" y="211427"/>
              </a:lnTo>
              <a:lnTo>
                <a:pt x="151442" y="216680"/>
              </a:lnTo>
              <a:lnTo>
                <a:pt x="156896" y="229370"/>
              </a:lnTo>
              <a:lnTo>
                <a:pt x="162001" y="230587"/>
              </a:lnTo>
              <a:lnTo>
                <a:pt x="163002" y="235595"/>
              </a:lnTo>
              <a:lnTo>
                <a:pt x="189977" y="235449"/>
              </a:lnTo>
              <a:lnTo>
                <a:pt x="193981" y="233797"/>
              </a:lnTo>
              <a:lnTo>
                <a:pt x="192880" y="222613"/>
              </a:lnTo>
              <a:lnTo>
                <a:pt x="198335" y="222563"/>
              </a:lnTo>
              <a:lnTo>
                <a:pt x="201488" y="212595"/>
              </a:lnTo>
              <a:lnTo>
                <a:pt x="215451" y="212692"/>
              </a:lnTo>
              <a:lnTo>
                <a:pt x="222958" y="225529"/>
              </a:lnTo>
              <a:lnTo>
                <a:pt x="228764" y="225287"/>
              </a:lnTo>
              <a:lnTo>
                <a:pt x="232517" y="246391"/>
              </a:lnTo>
              <a:lnTo>
                <a:pt x="220656" y="261271"/>
              </a:lnTo>
              <a:lnTo>
                <a:pt x="217103" y="255240"/>
              </a:lnTo>
              <a:lnTo>
                <a:pt x="204891" y="251594"/>
              </a:lnTo>
              <a:lnTo>
                <a:pt x="206293" y="247800"/>
              </a:lnTo>
              <a:lnTo>
                <a:pt x="178717" y="248433"/>
              </a:lnTo>
              <a:lnTo>
                <a:pt x="180619" y="258499"/>
              </a:lnTo>
              <a:lnTo>
                <a:pt x="188676" y="259373"/>
              </a:lnTo>
              <a:lnTo>
                <a:pt x="189627" y="273183"/>
              </a:lnTo>
              <a:lnTo>
                <a:pt x="184823" y="284610"/>
              </a:lnTo>
              <a:lnTo>
                <a:pt x="174012" y="286119"/>
              </a:lnTo>
              <a:lnTo>
                <a:pt x="173212" y="293072"/>
              </a:lnTo>
              <a:lnTo>
                <a:pt x="164554" y="297448"/>
              </a:lnTo>
              <a:lnTo>
                <a:pt x="162051" y="311404"/>
              </a:lnTo>
              <a:lnTo>
                <a:pt x="173512" y="319914"/>
              </a:lnTo>
              <a:lnTo>
                <a:pt x="171660" y="325943"/>
              </a:lnTo>
              <a:lnTo>
                <a:pt x="177816" y="330563"/>
              </a:lnTo>
              <a:lnTo>
                <a:pt x="184623" y="327840"/>
              </a:lnTo>
              <a:lnTo>
                <a:pt x="189177" y="332508"/>
              </a:lnTo>
              <a:lnTo>
                <a:pt x="184773" y="338246"/>
              </a:lnTo>
              <a:lnTo>
                <a:pt x="192329" y="339802"/>
              </a:lnTo>
              <a:lnTo>
                <a:pt x="195382" y="335085"/>
              </a:lnTo>
              <a:lnTo>
                <a:pt x="197735" y="341164"/>
              </a:lnTo>
              <a:lnTo>
                <a:pt x="202289" y="340726"/>
              </a:lnTo>
              <a:lnTo>
                <a:pt x="204491" y="350695"/>
              </a:lnTo>
              <a:lnTo>
                <a:pt x="201739" y="362657"/>
              </a:lnTo>
              <a:lnTo>
                <a:pt x="193080" y="364651"/>
              </a:lnTo>
              <a:lnTo>
                <a:pt x="191529" y="373258"/>
              </a:lnTo>
              <a:lnTo>
                <a:pt x="197084" y="378265"/>
              </a:lnTo>
              <a:lnTo>
                <a:pt x="222307" y="377730"/>
              </a:lnTo>
              <a:lnTo>
                <a:pt x="226611" y="372042"/>
              </a:lnTo>
              <a:lnTo>
                <a:pt x="235420" y="376272"/>
              </a:lnTo>
              <a:lnTo>
                <a:pt x="242226" y="371458"/>
              </a:lnTo>
              <a:lnTo>
                <a:pt x="245579" y="383518"/>
              </a:lnTo>
              <a:lnTo>
                <a:pt x="262495" y="389692"/>
              </a:lnTo>
              <a:lnTo>
                <a:pt x="268851" y="384101"/>
              </a:lnTo>
              <a:lnTo>
                <a:pt x="288619" y="383907"/>
              </a:lnTo>
              <a:lnTo>
                <a:pt x="295126" y="397473"/>
              </a:lnTo>
              <a:lnTo>
                <a:pt x="304034" y="404233"/>
              </a:lnTo>
              <a:lnTo>
                <a:pt x="325154" y="404913"/>
              </a:lnTo>
              <a:lnTo>
                <a:pt x="324102" y="410749"/>
              </a:lnTo>
              <a:lnTo>
                <a:pt x="330358" y="407539"/>
              </a:lnTo>
              <a:lnTo>
                <a:pt x="336014" y="422954"/>
              </a:lnTo>
              <a:lnTo>
                <a:pt x="342920" y="413860"/>
              </a:lnTo>
              <a:lnTo>
                <a:pt x="352979" y="410942"/>
              </a:lnTo>
              <a:lnTo>
                <a:pt x="351728" y="402822"/>
              </a:lnTo>
              <a:lnTo>
                <a:pt x="368244" y="398397"/>
              </a:lnTo>
              <a:lnTo>
                <a:pt x="366592" y="387262"/>
              </a:lnTo>
              <a:lnTo>
                <a:pt x="382507" y="385025"/>
              </a:lnTo>
              <a:lnTo>
                <a:pt x="381156" y="376758"/>
              </a:lnTo>
              <a:lnTo>
                <a:pt x="383608" y="372334"/>
              </a:lnTo>
              <a:lnTo>
                <a:pt x="387862" y="373889"/>
              </a:lnTo>
              <a:lnTo>
                <a:pt x="385510" y="364455"/>
              </a:lnTo>
              <a:lnTo>
                <a:pt x="406479" y="347436"/>
              </a:lnTo>
              <a:lnTo>
                <a:pt x="385910" y="327791"/>
              </a:lnTo>
              <a:lnTo>
                <a:pt x="392516" y="320546"/>
              </a:lnTo>
              <a:lnTo>
                <a:pt x="402526" y="317337"/>
              </a:lnTo>
              <a:lnTo>
                <a:pt x="424997" y="333141"/>
              </a:lnTo>
              <a:lnTo>
                <a:pt x="455475" y="341359"/>
              </a:lnTo>
              <a:lnTo>
                <a:pt x="455075" y="331632"/>
              </a:lnTo>
              <a:lnTo>
                <a:pt x="437959" y="299053"/>
              </a:lnTo>
              <a:lnTo>
                <a:pt x="413536" y="287723"/>
              </a:lnTo>
              <a:lnTo>
                <a:pt x="416389" y="279456"/>
              </a:lnTo>
              <a:lnTo>
                <a:pt x="412835" y="277657"/>
              </a:lnTo>
              <a:lnTo>
                <a:pt x="410834" y="263361"/>
              </a:lnTo>
              <a:lnTo>
                <a:pt x="373148" y="245904"/>
              </a:lnTo>
              <a:lnTo>
                <a:pt x="373299" y="239097"/>
              </a:lnTo>
              <a:lnTo>
                <a:pt x="369445" y="237297"/>
              </a:lnTo>
              <a:lnTo>
                <a:pt x="374750" y="221980"/>
              </a:lnTo>
              <a:lnTo>
                <a:pt x="370796" y="207829"/>
              </a:lnTo>
              <a:lnTo>
                <a:pt x="365841" y="203842"/>
              </a:lnTo>
              <a:lnTo>
                <a:pt x="362738" y="181718"/>
              </a:lnTo>
              <a:lnTo>
                <a:pt x="355232" y="175639"/>
              </a:lnTo>
              <a:lnTo>
                <a:pt x="324853" y="101969"/>
              </a:lnTo>
              <a:lnTo>
                <a:pt x="320349" y="80817"/>
              </a:lnTo>
              <a:lnTo>
                <a:pt x="265848" y="54997"/>
              </a:lnTo>
              <a:lnTo>
                <a:pt x="251585" y="44735"/>
              </a:lnTo>
              <a:lnTo>
                <a:pt x="256490" y="38754"/>
              </a:lnTo>
              <a:lnTo>
                <a:pt x="244779" y="36906"/>
              </a:lnTo>
              <a:lnTo>
                <a:pt x="254137" y="36712"/>
              </a:lnTo>
              <a:lnTo>
                <a:pt x="249483" y="33649"/>
              </a:lnTo>
              <a:lnTo>
                <a:pt x="233118" y="32238"/>
              </a:lnTo>
              <a:lnTo>
                <a:pt x="230915" y="14198"/>
              </a:lnTo>
              <a:lnTo>
                <a:pt x="233118" y="7536"/>
              </a:lnTo>
              <a:lnTo>
                <a:pt x="238723" y="9092"/>
              </a:lnTo>
              <a:lnTo>
                <a:pt x="234069" y="0"/>
              </a:lnTo>
              <a:lnTo>
                <a:pt x="223058" y="6903"/>
              </a:lnTo>
              <a:lnTo>
                <a:pt x="202589" y="9821"/>
              </a:lnTo>
              <a:lnTo>
                <a:pt x="202439" y="17893"/>
              </a:lnTo>
              <a:lnTo>
                <a:pt x="190928" y="37588"/>
              </a:lnTo>
              <a:lnTo>
                <a:pt x="196183" y="39776"/>
              </a:lnTo>
              <a:lnTo>
                <a:pt x="188576" y="44200"/>
              </a:lnTo>
              <a:lnTo>
                <a:pt x="176865" y="41478"/>
              </a:lnTo>
              <a:lnTo>
                <a:pt x="169959" y="46389"/>
              </a:lnTo>
              <a:lnTo>
                <a:pt x="163353" y="70168"/>
              </a:lnTo>
              <a:lnTo>
                <a:pt x="147087" y="73668"/>
              </a:lnTo>
              <a:lnTo>
                <a:pt x="143284" y="63457"/>
              </a:lnTo>
              <a:lnTo>
                <a:pt x="147538" y="57476"/>
              </a:lnTo>
              <a:lnTo>
                <a:pt x="138930" y="54947"/>
              </a:lnTo>
              <a:lnTo>
                <a:pt x="141833" y="50522"/>
              </a:lnTo>
              <a:lnTo>
                <a:pt x="139330" y="46437"/>
              </a:lnTo>
              <a:lnTo>
                <a:pt x="128570" y="44200"/>
              </a:lnTo>
              <a:lnTo>
                <a:pt x="115758" y="46827"/>
              </a:lnTo>
              <a:lnTo>
                <a:pt x="116409" y="59956"/>
              </a:lnTo>
              <a:lnTo>
                <a:pt x="106850" y="57136"/>
              </a:lnTo>
              <a:lnTo>
                <a:pt x="99393" y="65500"/>
              </a:lnTo>
              <a:lnTo>
                <a:pt x="89033" y="63311"/>
              </a:lnTo>
              <a:lnTo>
                <a:pt x="81376" y="53440"/>
              </a:lnTo>
              <a:lnTo>
                <a:pt x="77373" y="55238"/>
              </a:lnTo>
            </a:path>
          </a:pathLst>
        </a:custGeom>
        <a:solidFill>
          <a:srgbClr val="6FA8DC"/>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1047937</xdr:colOff>
      <xdr:row>101</xdr:row>
      <xdr:rowOff>141040</xdr:rowOff>
    </xdr:from>
    <xdr:to>
      <xdr:col>4</xdr:col>
      <xdr:colOff>1381499</xdr:colOff>
      <xdr:row>103</xdr:row>
      <xdr:rowOff>12983</xdr:rowOff>
    </xdr:to>
    <xdr:sp macro="MapShapeClick" textlink="">
      <xdr:nvSpPr>
        <xdr:cNvPr id="19" name="浙江省">
          <a:extLst>
            <a:ext uri="{FF2B5EF4-FFF2-40B4-BE49-F238E27FC236}">
              <a16:creationId xmlns:a16="http://schemas.microsoft.com/office/drawing/2014/main" id="{C07B727B-E303-5784-6649-25257CBF1CF5}"/>
            </a:ext>
          </a:extLst>
        </xdr:cNvPr>
        <xdr:cNvSpPr/>
      </xdr:nvSpPr>
      <xdr:spPr>
        <a:xfrm>
          <a:off x="4202617" y="19221520"/>
          <a:ext cx="333562" cy="374863"/>
        </a:xfrm>
        <a:custGeom>
          <a:avLst/>
          <a:gdLst/>
          <a:ahLst/>
          <a:cxnLst/>
          <a:rect l="0" t="0" r="0" b="0"/>
          <a:pathLst>
            <a:path w="333562" h="374863">
              <a:moveTo>
                <a:pt x="32180" y="269683"/>
              </a:moveTo>
              <a:lnTo>
                <a:pt x="36784" y="274302"/>
              </a:lnTo>
              <a:lnTo>
                <a:pt x="55401" y="267495"/>
              </a:lnTo>
              <a:lnTo>
                <a:pt x="62108" y="274109"/>
              </a:lnTo>
              <a:lnTo>
                <a:pt x="59605" y="278873"/>
              </a:lnTo>
              <a:lnTo>
                <a:pt x="62108" y="285438"/>
              </a:lnTo>
              <a:lnTo>
                <a:pt x="55351" y="290398"/>
              </a:lnTo>
              <a:lnTo>
                <a:pt x="56252" y="298957"/>
              </a:lnTo>
              <a:lnTo>
                <a:pt x="63409" y="303916"/>
              </a:lnTo>
              <a:lnTo>
                <a:pt x="71166" y="331195"/>
              </a:lnTo>
              <a:lnTo>
                <a:pt x="67563" y="338489"/>
              </a:lnTo>
              <a:lnTo>
                <a:pt x="70666" y="345735"/>
              </a:lnTo>
              <a:lnTo>
                <a:pt x="79874" y="342331"/>
              </a:lnTo>
              <a:lnTo>
                <a:pt x="88732" y="344422"/>
              </a:lnTo>
              <a:lnTo>
                <a:pt x="90184" y="349042"/>
              </a:lnTo>
              <a:lnTo>
                <a:pt x="100043" y="349285"/>
              </a:lnTo>
              <a:lnTo>
                <a:pt x="107450" y="339900"/>
              </a:lnTo>
              <a:lnTo>
                <a:pt x="116108" y="339754"/>
              </a:lnTo>
              <a:lnTo>
                <a:pt x="118911" y="328423"/>
              </a:lnTo>
              <a:lnTo>
                <a:pt x="127419" y="326138"/>
              </a:lnTo>
              <a:lnTo>
                <a:pt x="130522" y="327160"/>
              </a:lnTo>
              <a:lnTo>
                <a:pt x="129421" y="334599"/>
              </a:lnTo>
              <a:lnTo>
                <a:pt x="135776" y="340872"/>
              </a:lnTo>
              <a:lnTo>
                <a:pt x="133875" y="347777"/>
              </a:lnTo>
              <a:lnTo>
                <a:pt x="140631" y="359739"/>
              </a:lnTo>
              <a:lnTo>
                <a:pt x="160099" y="353564"/>
              </a:lnTo>
              <a:lnTo>
                <a:pt x="163703" y="356919"/>
              </a:lnTo>
              <a:lnTo>
                <a:pt x="170359" y="349479"/>
              </a:lnTo>
              <a:lnTo>
                <a:pt x="180768" y="348312"/>
              </a:lnTo>
              <a:lnTo>
                <a:pt x="181619" y="352299"/>
              </a:lnTo>
              <a:lnTo>
                <a:pt x="187124" y="351327"/>
              </a:lnTo>
              <a:lnTo>
                <a:pt x="196933" y="374862"/>
              </a:lnTo>
              <a:lnTo>
                <a:pt x="203790" y="373549"/>
              </a:lnTo>
              <a:lnTo>
                <a:pt x="206593" y="358524"/>
              </a:lnTo>
              <a:lnTo>
                <a:pt x="213499" y="355169"/>
              </a:lnTo>
              <a:lnTo>
                <a:pt x="216552" y="344131"/>
              </a:lnTo>
              <a:lnTo>
                <a:pt x="210997" y="335086"/>
              </a:lnTo>
              <a:lnTo>
                <a:pt x="222607" y="316948"/>
              </a:lnTo>
              <a:lnTo>
                <a:pt x="227712" y="318407"/>
              </a:lnTo>
              <a:lnTo>
                <a:pt x="235970" y="305764"/>
              </a:lnTo>
              <a:lnTo>
                <a:pt x="253036" y="313204"/>
              </a:lnTo>
              <a:lnTo>
                <a:pt x="251584" y="315830"/>
              </a:lnTo>
              <a:lnTo>
                <a:pt x="256289" y="312571"/>
              </a:lnTo>
              <a:lnTo>
                <a:pt x="253887" y="304792"/>
              </a:lnTo>
              <a:lnTo>
                <a:pt x="245229" y="305423"/>
              </a:lnTo>
              <a:lnTo>
                <a:pt x="240023" y="300853"/>
              </a:lnTo>
              <a:lnTo>
                <a:pt x="245479" y="287382"/>
              </a:lnTo>
              <a:lnTo>
                <a:pt x="249483" y="283444"/>
              </a:lnTo>
              <a:lnTo>
                <a:pt x="252135" y="293365"/>
              </a:lnTo>
              <a:lnTo>
                <a:pt x="261894" y="293072"/>
              </a:lnTo>
              <a:lnTo>
                <a:pt x="280411" y="268467"/>
              </a:lnTo>
              <a:lnTo>
                <a:pt x="291672" y="273039"/>
              </a:lnTo>
              <a:lnTo>
                <a:pt x="295075" y="265549"/>
              </a:lnTo>
              <a:lnTo>
                <a:pt x="292222" y="264188"/>
              </a:lnTo>
              <a:lnTo>
                <a:pt x="296977" y="258693"/>
              </a:lnTo>
              <a:lnTo>
                <a:pt x="292222" y="244348"/>
              </a:lnTo>
              <a:lnTo>
                <a:pt x="284615" y="235742"/>
              </a:lnTo>
              <a:lnTo>
                <a:pt x="296677" y="229857"/>
              </a:lnTo>
              <a:lnTo>
                <a:pt x="296526" y="216486"/>
              </a:lnTo>
              <a:lnTo>
                <a:pt x="303633" y="216436"/>
              </a:lnTo>
              <a:lnTo>
                <a:pt x="290120" y="188088"/>
              </a:lnTo>
              <a:lnTo>
                <a:pt x="298828" y="192173"/>
              </a:lnTo>
              <a:lnTo>
                <a:pt x="303082" y="188281"/>
              </a:lnTo>
              <a:lnTo>
                <a:pt x="304083" y="193582"/>
              </a:lnTo>
              <a:lnTo>
                <a:pt x="319197" y="198882"/>
              </a:lnTo>
              <a:lnTo>
                <a:pt x="320849" y="189401"/>
              </a:lnTo>
              <a:lnTo>
                <a:pt x="317746" y="185802"/>
              </a:lnTo>
              <a:lnTo>
                <a:pt x="322100" y="179578"/>
              </a:lnTo>
              <a:lnTo>
                <a:pt x="317446" y="177341"/>
              </a:lnTo>
              <a:lnTo>
                <a:pt x="316896" y="168053"/>
              </a:lnTo>
              <a:lnTo>
                <a:pt x="321399" y="161683"/>
              </a:lnTo>
              <a:lnTo>
                <a:pt x="321950" y="149527"/>
              </a:lnTo>
              <a:lnTo>
                <a:pt x="319197" y="144518"/>
              </a:lnTo>
              <a:lnTo>
                <a:pt x="308387" y="142914"/>
              </a:lnTo>
              <a:lnTo>
                <a:pt x="333561" y="121907"/>
              </a:lnTo>
              <a:lnTo>
                <a:pt x="299279" y="111111"/>
              </a:lnTo>
              <a:lnTo>
                <a:pt x="270902" y="75566"/>
              </a:lnTo>
              <a:lnTo>
                <a:pt x="258991" y="72405"/>
              </a:lnTo>
              <a:lnTo>
                <a:pt x="248231" y="61901"/>
              </a:lnTo>
              <a:lnTo>
                <a:pt x="245429" y="57379"/>
              </a:lnTo>
              <a:lnTo>
                <a:pt x="260142" y="49355"/>
              </a:lnTo>
              <a:lnTo>
                <a:pt x="262795" y="42304"/>
              </a:lnTo>
              <a:lnTo>
                <a:pt x="258291" y="36421"/>
              </a:lnTo>
              <a:lnTo>
                <a:pt x="250684" y="37053"/>
              </a:lnTo>
              <a:lnTo>
                <a:pt x="248631" y="29662"/>
              </a:lnTo>
              <a:lnTo>
                <a:pt x="243777" y="33747"/>
              </a:lnTo>
              <a:lnTo>
                <a:pt x="240023" y="31558"/>
              </a:lnTo>
              <a:lnTo>
                <a:pt x="239823" y="14782"/>
              </a:lnTo>
              <a:lnTo>
                <a:pt x="216151" y="18915"/>
              </a:lnTo>
              <a:lnTo>
                <a:pt x="217402" y="27035"/>
              </a:lnTo>
              <a:lnTo>
                <a:pt x="207343" y="29953"/>
              </a:lnTo>
              <a:lnTo>
                <a:pt x="200437" y="39047"/>
              </a:lnTo>
              <a:lnTo>
                <a:pt x="194781" y="23632"/>
              </a:lnTo>
              <a:lnTo>
                <a:pt x="188525" y="26842"/>
              </a:lnTo>
              <a:lnTo>
                <a:pt x="189577" y="21006"/>
              </a:lnTo>
              <a:lnTo>
                <a:pt x="168457" y="20326"/>
              </a:lnTo>
              <a:lnTo>
                <a:pt x="159549" y="13566"/>
              </a:lnTo>
              <a:lnTo>
                <a:pt x="153042" y="0"/>
              </a:lnTo>
              <a:lnTo>
                <a:pt x="133274" y="194"/>
              </a:lnTo>
              <a:lnTo>
                <a:pt x="128870" y="3792"/>
              </a:lnTo>
              <a:lnTo>
                <a:pt x="124966" y="32240"/>
              </a:lnTo>
              <a:lnTo>
                <a:pt x="117159" y="37686"/>
              </a:lnTo>
              <a:lnTo>
                <a:pt x="114306" y="49209"/>
              </a:lnTo>
              <a:lnTo>
                <a:pt x="109902" y="45854"/>
              </a:lnTo>
              <a:lnTo>
                <a:pt x="97591" y="53100"/>
              </a:lnTo>
              <a:lnTo>
                <a:pt x="97441" y="58984"/>
              </a:lnTo>
              <a:lnTo>
                <a:pt x="100293" y="62436"/>
              </a:lnTo>
              <a:lnTo>
                <a:pt x="104697" y="60297"/>
              </a:lnTo>
              <a:lnTo>
                <a:pt x="110903" y="75225"/>
              </a:lnTo>
              <a:lnTo>
                <a:pt x="94538" y="83103"/>
              </a:lnTo>
              <a:lnTo>
                <a:pt x="74469" y="76586"/>
              </a:lnTo>
              <a:lnTo>
                <a:pt x="68463" y="80817"/>
              </a:lnTo>
              <a:lnTo>
                <a:pt x="72467" y="91417"/>
              </a:lnTo>
              <a:lnTo>
                <a:pt x="66212" y="94772"/>
              </a:lnTo>
              <a:lnTo>
                <a:pt x="69664" y="96474"/>
              </a:lnTo>
              <a:lnTo>
                <a:pt x="69614" y="116266"/>
              </a:lnTo>
              <a:lnTo>
                <a:pt x="65060" y="116557"/>
              </a:lnTo>
              <a:lnTo>
                <a:pt x="57103" y="127790"/>
              </a:lnTo>
              <a:lnTo>
                <a:pt x="57453" y="134889"/>
              </a:lnTo>
              <a:lnTo>
                <a:pt x="37585" y="150158"/>
              </a:lnTo>
              <a:lnTo>
                <a:pt x="37234" y="155410"/>
              </a:lnTo>
              <a:lnTo>
                <a:pt x="23722" y="157696"/>
              </a:lnTo>
              <a:lnTo>
                <a:pt x="22621" y="164455"/>
              </a:lnTo>
              <a:lnTo>
                <a:pt x="12611" y="166983"/>
              </a:lnTo>
              <a:lnTo>
                <a:pt x="11410" y="176076"/>
              </a:lnTo>
              <a:lnTo>
                <a:pt x="3253" y="176758"/>
              </a:lnTo>
              <a:lnTo>
                <a:pt x="350" y="184246"/>
              </a:lnTo>
              <a:lnTo>
                <a:pt x="0" y="194312"/>
              </a:lnTo>
              <a:lnTo>
                <a:pt x="4854" y="203891"/>
              </a:lnTo>
              <a:lnTo>
                <a:pt x="15414" y="209142"/>
              </a:lnTo>
              <a:lnTo>
                <a:pt x="12812" y="212692"/>
              </a:lnTo>
              <a:lnTo>
                <a:pt x="18867" y="211331"/>
              </a:lnTo>
              <a:lnTo>
                <a:pt x="21319" y="219938"/>
              </a:lnTo>
              <a:lnTo>
                <a:pt x="26524" y="221106"/>
              </a:lnTo>
              <a:lnTo>
                <a:pt x="31729" y="233359"/>
              </a:lnTo>
              <a:lnTo>
                <a:pt x="30628" y="250378"/>
              </a:lnTo>
              <a:lnTo>
                <a:pt x="35483" y="252081"/>
              </a:lnTo>
              <a:lnTo>
                <a:pt x="32030" y="259179"/>
              </a:lnTo>
              <a:lnTo>
                <a:pt x="35933" y="266084"/>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1366234</xdr:colOff>
      <xdr:row>101</xdr:row>
      <xdr:rowOff>234208</xdr:rowOff>
    </xdr:from>
    <xdr:to>
      <xdr:col>4</xdr:col>
      <xdr:colOff>1397814</xdr:colOff>
      <xdr:row>102</xdr:row>
      <xdr:rowOff>5603</xdr:rowOff>
    </xdr:to>
    <xdr:sp macro="MapShapeClick" textlink="">
      <xdr:nvSpPr>
        <xdr:cNvPr id="20" name="浙江省">
          <a:extLst>
            <a:ext uri="{FF2B5EF4-FFF2-40B4-BE49-F238E27FC236}">
              <a16:creationId xmlns:a16="http://schemas.microsoft.com/office/drawing/2014/main" id="{D71F2A44-5F83-114A-81BD-AAD8E7A2E665}"/>
            </a:ext>
          </a:extLst>
        </xdr:cNvPr>
        <xdr:cNvSpPr/>
      </xdr:nvSpPr>
      <xdr:spPr>
        <a:xfrm>
          <a:off x="4520914" y="19314688"/>
          <a:ext cx="31580" cy="22855"/>
        </a:xfrm>
        <a:custGeom>
          <a:avLst/>
          <a:gdLst/>
          <a:ahLst/>
          <a:cxnLst/>
          <a:rect l="0" t="0" r="0" b="0"/>
          <a:pathLst>
            <a:path w="31580" h="22855">
              <a:moveTo>
                <a:pt x="16915" y="18382"/>
              </a:moveTo>
              <a:lnTo>
                <a:pt x="29828" y="22854"/>
              </a:lnTo>
              <a:lnTo>
                <a:pt x="31579" y="15366"/>
              </a:lnTo>
              <a:lnTo>
                <a:pt x="27525" y="7829"/>
              </a:lnTo>
              <a:lnTo>
                <a:pt x="0" y="0"/>
              </a:lnTo>
              <a:lnTo>
                <a:pt x="5905" y="18089"/>
              </a:lnTo>
              <a:lnTo>
                <a:pt x="13262" y="18527"/>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1374592</xdr:colOff>
      <xdr:row>101</xdr:row>
      <xdr:rowOff>218404</xdr:rowOff>
    </xdr:from>
    <xdr:to>
      <xdr:col>4</xdr:col>
      <xdr:colOff>1389957</xdr:colOff>
      <xdr:row>101</xdr:row>
      <xdr:rowOff>229443</xdr:rowOff>
    </xdr:to>
    <xdr:sp macro="MapShapeClick" textlink="">
      <xdr:nvSpPr>
        <xdr:cNvPr id="21" name="浙江省">
          <a:extLst>
            <a:ext uri="{FF2B5EF4-FFF2-40B4-BE49-F238E27FC236}">
              <a16:creationId xmlns:a16="http://schemas.microsoft.com/office/drawing/2014/main" id="{4C1608AD-F5F0-8C78-FCA9-8F0F86A13F25}"/>
            </a:ext>
          </a:extLst>
        </xdr:cNvPr>
        <xdr:cNvSpPr/>
      </xdr:nvSpPr>
      <xdr:spPr>
        <a:xfrm>
          <a:off x="4529272" y="19298884"/>
          <a:ext cx="15365" cy="11039"/>
        </a:xfrm>
        <a:custGeom>
          <a:avLst/>
          <a:gdLst/>
          <a:ahLst/>
          <a:cxnLst/>
          <a:rect l="0" t="0" r="0" b="0"/>
          <a:pathLst>
            <a:path w="15365" h="11039">
              <a:moveTo>
                <a:pt x="8507" y="2091"/>
              </a:moveTo>
              <a:lnTo>
                <a:pt x="0" y="5642"/>
              </a:lnTo>
              <a:lnTo>
                <a:pt x="14113" y="11038"/>
              </a:lnTo>
              <a:lnTo>
                <a:pt x="15364" y="4766"/>
              </a:lnTo>
              <a:lnTo>
                <a:pt x="9608" y="0"/>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1373740</xdr:colOff>
      <xdr:row>102</xdr:row>
      <xdr:rowOff>19801</xdr:rowOff>
    </xdr:from>
    <xdr:to>
      <xdr:col>4</xdr:col>
      <xdr:colOff>1387054</xdr:colOff>
      <xdr:row>102</xdr:row>
      <xdr:rowOff>32738</xdr:rowOff>
    </xdr:to>
    <xdr:sp macro="MapShapeClick" textlink="">
      <xdr:nvSpPr>
        <xdr:cNvPr id="22" name="浙江省">
          <a:extLst>
            <a:ext uri="{FF2B5EF4-FFF2-40B4-BE49-F238E27FC236}">
              <a16:creationId xmlns:a16="http://schemas.microsoft.com/office/drawing/2014/main" id="{1FE4FE52-FDA6-DC3B-E008-06F5F491D933}"/>
            </a:ext>
          </a:extLst>
        </xdr:cNvPr>
        <xdr:cNvSpPr/>
      </xdr:nvSpPr>
      <xdr:spPr>
        <a:xfrm>
          <a:off x="4528420" y="19351741"/>
          <a:ext cx="13314" cy="12937"/>
        </a:xfrm>
        <a:custGeom>
          <a:avLst/>
          <a:gdLst/>
          <a:ahLst/>
          <a:cxnLst/>
          <a:rect l="0" t="0" r="0" b="0"/>
          <a:pathLst>
            <a:path w="13314" h="12937">
              <a:moveTo>
                <a:pt x="10961" y="12936"/>
              </a:moveTo>
              <a:lnTo>
                <a:pt x="13313" y="9045"/>
              </a:lnTo>
              <a:lnTo>
                <a:pt x="6807" y="0"/>
              </a:lnTo>
              <a:lnTo>
                <a:pt x="0" y="6468"/>
              </a:lnTo>
              <a:lnTo>
                <a:pt x="7357" y="11866"/>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1357275</xdr:colOff>
      <xdr:row>101</xdr:row>
      <xdr:rowOff>241989</xdr:rowOff>
    </xdr:from>
    <xdr:to>
      <xdr:col>4</xdr:col>
      <xdr:colOff>1364433</xdr:colOff>
      <xdr:row>102</xdr:row>
      <xdr:rowOff>2151</xdr:rowOff>
    </xdr:to>
    <xdr:sp macro="MapShapeClick" textlink="">
      <xdr:nvSpPr>
        <xdr:cNvPr id="23" name="浙江省">
          <a:extLst>
            <a:ext uri="{FF2B5EF4-FFF2-40B4-BE49-F238E27FC236}">
              <a16:creationId xmlns:a16="http://schemas.microsoft.com/office/drawing/2014/main" id="{7BA29256-0BBC-C16B-6DFA-A30E70DF204B}"/>
            </a:ext>
          </a:extLst>
        </xdr:cNvPr>
        <xdr:cNvSpPr/>
      </xdr:nvSpPr>
      <xdr:spPr>
        <a:xfrm>
          <a:off x="4511955" y="19322469"/>
          <a:ext cx="7158" cy="11622"/>
        </a:xfrm>
        <a:custGeom>
          <a:avLst/>
          <a:gdLst/>
          <a:ahLst/>
          <a:cxnLst/>
          <a:rect l="0" t="0" r="0" b="0"/>
          <a:pathLst>
            <a:path w="7158" h="11622">
              <a:moveTo>
                <a:pt x="451" y="11621"/>
              </a:moveTo>
              <a:lnTo>
                <a:pt x="7157" y="9968"/>
              </a:lnTo>
              <a:lnTo>
                <a:pt x="3304" y="583"/>
              </a:lnTo>
              <a:lnTo>
                <a:pt x="301" y="0"/>
              </a:lnTo>
              <a:lnTo>
                <a:pt x="0" y="11086"/>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791597</xdr:colOff>
      <xdr:row>100</xdr:row>
      <xdr:rowOff>55517</xdr:rowOff>
    </xdr:from>
    <xdr:to>
      <xdr:col>4</xdr:col>
      <xdr:colOff>1178860</xdr:colOff>
      <xdr:row>102</xdr:row>
      <xdr:rowOff>54377</xdr:rowOff>
    </xdr:to>
    <xdr:sp macro="MapShapeClick" textlink="">
      <xdr:nvSpPr>
        <xdr:cNvPr id="24" name="安徽省">
          <a:extLst>
            <a:ext uri="{FF2B5EF4-FFF2-40B4-BE49-F238E27FC236}">
              <a16:creationId xmlns:a16="http://schemas.microsoft.com/office/drawing/2014/main" id="{4DD468DC-A06C-1533-AD1A-3E07FBD7B681}"/>
            </a:ext>
          </a:extLst>
        </xdr:cNvPr>
        <xdr:cNvSpPr/>
      </xdr:nvSpPr>
      <xdr:spPr>
        <a:xfrm>
          <a:off x="3946277" y="18884537"/>
          <a:ext cx="387263" cy="501780"/>
        </a:xfrm>
        <a:custGeom>
          <a:avLst/>
          <a:gdLst/>
          <a:ahLst/>
          <a:cxnLst/>
          <a:rect l="0" t="0" r="0" b="0"/>
          <a:pathLst>
            <a:path w="387263" h="501780">
              <a:moveTo>
                <a:pt x="139481" y="62631"/>
              </a:moveTo>
              <a:lnTo>
                <a:pt x="142884" y="66181"/>
              </a:lnTo>
              <a:lnTo>
                <a:pt x="142033" y="75031"/>
              </a:lnTo>
              <a:lnTo>
                <a:pt x="136828" y="73038"/>
              </a:lnTo>
              <a:lnTo>
                <a:pt x="126318" y="79067"/>
              </a:lnTo>
              <a:lnTo>
                <a:pt x="126268" y="83491"/>
              </a:lnTo>
              <a:lnTo>
                <a:pt x="103397" y="92440"/>
              </a:lnTo>
              <a:lnTo>
                <a:pt x="95289" y="83152"/>
              </a:lnTo>
              <a:lnTo>
                <a:pt x="87332" y="63263"/>
              </a:lnTo>
              <a:lnTo>
                <a:pt x="63009" y="58012"/>
              </a:lnTo>
              <a:lnTo>
                <a:pt x="54001" y="76295"/>
              </a:lnTo>
              <a:lnTo>
                <a:pt x="60857" y="76782"/>
              </a:lnTo>
              <a:lnTo>
                <a:pt x="59406" y="85972"/>
              </a:lnTo>
              <a:lnTo>
                <a:pt x="55252" y="86263"/>
              </a:lnTo>
              <a:lnTo>
                <a:pt x="61508" y="104595"/>
              </a:lnTo>
              <a:lnTo>
                <a:pt x="43841" y="107319"/>
              </a:lnTo>
              <a:lnTo>
                <a:pt x="37586" y="112620"/>
              </a:lnTo>
              <a:lnTo>
                <a:pt x="34983" y="124873"/>
              </a:lnTo>
              <a:lnTo>
                <a:pt x="38887" y="132507"/>
              </a:lnTo>
              <a:lnTo>
                <a:pt x="33031" y="148700"/>
              </a:lnTo>
              <a:lnTo>
                <a:pt x="12862" y="153076"/>
              </a:lnTo>
              <a:lnTo>
                <a:pt x="6757" y="147193"/>
              </a:lnTo>
              <a:lnTo>
                <a:pt x="1602" y="148895"/>
              </a:lnTo>
              <a:lnTo>
                <a:pt x="3454" y="159835"/>
              </a:lnTo>
              <a:lnTo>
                <a:pt x="0" y="162414"/>
              </a:lnTo>
              <a:lnTo>
                <a:pt x="25524" y="175396"/>
              </a:lnTo>
              <a:lnTo>
                <a:pt x="25825" y="200924"/>
              </a:lnTo>
              <a:lnTo>
                <a:pt x="34282" y="204670"/>
              </a:lnTo>
              <a:lnTo>
                <a:pt x="42941" y="202531"/>
              </a:lnTo>
              <a:lnTo>
                <a:pt x="51999" y="215367"/>
              </a:lnTo>
              <a:lnTo>
                <a:pt x="60407" y="218917"/>
              </a:lnTo>
              <a:lnTo>
                <a:pt x="66763" y="210262"/>
              </a:lnTo>
              <a:lnTo>
                <a:pt x="73619" y="212790"/>
              </a:lnTo>
              <a:lnTo>
                <a:pt x="83479" y="203307"/>
              </a:lnTo>
              <a:lnTo>
                <a:pt x="78223" y="209629"/>
              </a:lnTo>
              <a:lnTo>
                <a:pt x="81276" y="210942"/>
              </a:lnTo>
              <a:lnTo>
                <a:pt x="86031" y="241869"/>
              </a:lnTo>
              <a:lnTo>
                <a:pt x="83829" y="275566"/>
              </a:lnTo>
              <a:lnTo>
                <a:pt x="81527" y="279214"/>
              </a:lnTo>
              <a:lnTo>
                <a:pt x="64461" y="279019"/>
              </a:lnTo>
              <a:lnTo>
                <a:pt x="49747" y="289085"/>
              </a:lnTo>
              <a:lnTo>
                <a:pt x="39687" y="306008"/>
              </a:lnTo>
              <a:lnTo>
                <a:pt x="39737" y="319964"/>
              </a:lnTo>
              <a:lnTo>
                <a:pt x="45543" y="320401"/>
              </a:lnTo>
              <a:lnTo>
                <a:pt x="57104" y="339463"/>
              </a:lnTo>
              <a:lnTo>
                <a:pt x="66463" y="334017"/>
              </a:lnTo>
              <a:lnTo>
                <a:pt x="72768" y="342477"/>
              </a:lnTo>
              <a:lnTo>
                <a:pt x="79975" y="339122"/>
              </a:lnTo>
              <a:lnTo>
                <a:pt x="85780" y="348653"/>
              </a:lnTo>
              <a:lnTo>
                <a:pt x="95539" y="351911"/>
              </a:lnTo>
              <a:lnTo>
                <a:pt x="96591" y="357211"/>
              </a:lnTo>
              <a:lnTo>
                <a:pt x="79825" y="365964"/>
              </a:lnTo>
              <a:lnTo>
                <a:pt x="78674" y="376128"/>
              </a:lnTo>
              <a:lnTo>
                <a:pt x="73119" y="376613"/>
              </a:lnTo>
              <a:lnTo>
                <a:pt x="71467" y="382885"/>
              </a:lnTo>
              <a:lnTo>
                <a:pt x="83479" y="398593"/>
              </a:lnTo>
              <a:lnTo>
                <a:pt x="82878" y="417945"/>
              </a:lnTo>
              <a:lnTo>
                <a:pt x="96090" y="428207"/>
              </a:lnTo>
              <a:lnTo>
                <a:pt x="96741" y="450235"/>
              </a:lnTo>
              <a:lnTo>
                <a:pt x="101745" y="464336"/>
              </a:lnTo>
              <a:lnTo>
                <a:pt x="113557" y="467204"/>
              </a:lnTo>
              <a:lnTo>
                <a:pt x="135627" y="455875"/>
              </a:lnTo>
              <a:lnTo>
                <a:pt x="141182" y="440558"/>
              </a:lnTo>
              <a:lnTo>
                <a:pt x="151492" y="442065"/>
              </a:lnTo>
              <a:lnTo>
                <a:pt x="158448" y="451401"/>
              </a:lnTo>
              <a:lnTo>
                <a:pt x="163904" y="452179"/>
              </a:lnTo>
              <a:lnTo>
                <a:pt x="145486" y="474596"/>
              </a:lnTo>
              <a:lnTo>
                <a:pt x="148039" y="476590"/>
              </a:lnTo>
              <a:lnTo>
                <a:pt x="143735" y="481403"/>
              </a:lnTo>
              <a:lnTo>
                <a:pt x="149390" y="488163"/>
              </a:lnTo>
              <a:lnTo>
                <a:pt x="152543" y="484954"/>
              </a:lnTo>
              <a:lnTo>
                <a:pt x="159750" y="487093"/>
              </a:lnTo>
              <a:lnTo>
                <a:pt x="181170" y="474401"/>
              </a:lnTo>
              <a:lnTo>
                <a:pt x="183121" y="468469"/>
              </a:lnTo>
              <a:lnTo>
                <a:pt x="177967" y="463169"/>
              </a:lnTo>
              <a:lnTo>
                <a:pt x="189628" y="454270"/>
              </a:lnTo>
              <a:lnTo>
                <a:pt x="192580" y="462925"/>
              </a:lnTo>
              <a:lnTo>
                <a:pt x="199537" y="461662"/>
              </a:lnTo>
              <a:lnTo>
                <a:pt x="201188" y="464967"/>
              </a:lnTo>
              <a:lnTo>
                <a:pt x="205742" y="461419"/>
              </a:lnTo>
              <a:lnTo>
                <a:pt x="208895" y="476638"/>
              </a:lnTo>
              <a:lnTo>
                <a:pt x="215101" y="479799"/>
              </a:lnTo>
              <a:lnTo>
                <a:pt x="216152" y="485926"/>
              </a:lnTo>
              <a:lnTo>
                <a:pt x="224660" y="483495"/>
              </a:lnTo>
              <a:lnTo>
                <a:pt x="231316" y="489524"/>
              </a:lnTo>
              <a:lnTo>
                <a:pt x="253587" y="486899"/>
              </a:lnTo>
              <a:lnTo>
                <a:pt x="264948" y="495165"/>
              </a:lnTo>
              <a:lnTo>
                <a:pt x="264347" y="501779"/>
              </a:lnTo>
              <a:lnTo>
                <a:pt x="278961" y="501438"/>
              </a:lnTo>
              <a:lnTo>
                <a:pt x="280062" y="494679"/>
              </a:lnTo>
              <a:lnTo>
                <a:pt x="293574" y="492393"/>
              </a:lnTo>
              <a:lnTo>
                <a:pt x="299880" y="481306"/>
              </a:lnTo>
              <a:lnTo>
                <a:pt x="305836" y="480820"/>
              </a:lnTo>
              <a:lnTo>
                <a:pt x="321400" y="453540"/>
              </a:lnTo>
              <a:lnTo>
                <a:pt x="325954" y="453249"/>
              </a:lnTo>
              <a:lnTo>
                <a:pt x="326004" y="433457"/>
              </a:lnTo>
              <a:lnTo>
                <a:pt x="322552" y="431755"/>
              </a:lnTo>
              <a:lnTo>
                <a:pt x="328807" y="428400"/>
              </a:lnTo>
              <a:lnTo>
                <a:pt x="324803" y="417800"/>
              </a:lnTo>
              <a:lnTo>
                <a:pt x="330809" y="413569"/>
              </a:lnTo>
              <a:lnTo>
                <a:pt x="350878" y="420086"/>
              </a:lnTo>
              <a:lnTo>
                <a:pt x="367243" y="412208"/>
              </a:lnTo>
              <a:lnTo>
                <a:pt x="361037" y="397280"/>
              </a:lnTo>
              <a:lnTo>
                <a:pt x="356633" y="399419"/>
              </a:lnTo>
              <a:lnTo>
                <a:pt x="353781" y="395967"/>
              </a:lnTo>
              <a:lnTo>
                <a:pt x="353931" y="390083"/>
              </a:lnTo>
              <a:lnTo>
                <a:pt x="366242" y="382837"/>
              </a:lnTo>
              <a:lnTo>
                <a:pt x="370646" y="386192"/>
              </a:lnTo>
              <a:lnTo>
                <a:pt x="373499" y="374669"/>
              </a:lnTo>
              <a:lnTo>
                <a:pt x="381306" y="369223"/>
              </a:lnTo>
              <a:lnTo>
                <a:pt x="380305" y="360761"/>
              </a:lnTo>
              <a:lnTo>
                <a:pt x="387262" y="343158"/>
              </a:lnTo>
              <a:lnTo>
                <a:pt x="366342" y="336594"/>
              </a:lnTo>
              <a:lnTo>
                <a:pt x="362989" y="324534"/>
              </a:lnTo>
              <a:lnTo>
                <a:pt x="361988" y="328521"/>
              </a:lnTo>
              <a:lnTo>
                <a:pt x="347374" y="325118"/>
              </a:lnTo>
              <a:lnTo>
                <a:pt x="343070" y="330806"/>
              </a:lnTo>
              <a:lnTo>
                <a:pt x="317847" y="331341"/>
              </a:lnTo>
              <a:lnTo>
                <a:pt x="311841" y="322492"/>
              </a:lnTo>
              <a:lnTo>
                <a:pt x="313843" y="317727"/>
              </a:lnTo>
              <a:lnTo>
                <a:pt x="322502" y="315733"/>
              </a:lnTo>
              <a:lnTo>
                <a:pt x="325254" y="303771"/>
              </a:lnTo>
              <a:lnTo>
                <a:pt x="323052" y="293802"/>
              </a:lnTo>
              <a:lnTo>
                <a:pt x="318498" y="294240"/>
              </a:lnTo>
              <a:lnTo>
                <a:pt x="316145" y="288161"/>
              </a:lnTo>
              <a:lnTo>
                <a:pt x="313092" y="292878"/>
              </a:lnTo>
              <a:lnTo>
                <a:pt x="305536" y="291322"/>
              </a:lnTo>
              <a:lnTo>
                <a:pt x="309940" y="285584"/>
              </a:lnTo>
              <a:lnTo>
                <a:pt x="305386" y="280916"/>
              </a:lnTo>
              <a:lnTo>
                <a:pt x="295676" y="282375"/>
              </a:lnTo>
              <a:lnTo>
                <a:pt x="292423" y="279019"/>
              </a:lnTo>
              <a:lnTo>
                <a:pt x="294275" y="272990"/>
              </a:lnTo>
              <a:lnTo>
                <a:pt x="282814" y="264480"/>
              </a:lnTo>
              <a:lnTo>
                <a:pt x="285317" y="250524"/>
              </a:lnTo>
              <a:lnTo>
                <a:pt x="293975" y="246148"/>
              </a:lnTo>
              <a:lnTo>
                <a:pt x="294775" y="239195"/>
              </a:lnTo>
              <a:lnTo>
                <a:pt x="305586" y="237686"/>
              </a:lnTo>
              <a:lnTo>
                <a:pt x="310390" y="226259"/>
              </a:lnTo>
              <a:lnTo>
                <a:pt x="309439" y="212449"/>
              </a:lnTo>
              <a:lnTo>
                <a:pt x="301382" y="211575"/>
              </a:lnTo>
              <a:lnTo>
                <a:pt x="299480" y="201509"/>
              </a:lnTo>
              <a:lnTo>
                <a:pt x="327056" y="200876"/>
              </a:lnTo>
              <a:lnTo>
                <a:pt x="325654" y="204670"/>
              </a:lnTo>
              <a:lnTo>
                <a:pt x="337866" y="208316"/>
              </a:lnTo>
              <a:lnTo>
                <a:pt x="341419" y="214347"/>
              </a:lnTo>
              <a:lnTo>
                <a:pt x="353280" y="199467"/>
              </a:lnTo>
              <a:lnTo>
                <a:pt x="349527" y="178363"/>
              </a:lnTo>
              <a:lnTo>
                <a:pt x="343721" y="178605"/>
              </a:lnTo>
              <a:lnTo>
                <a:pt x="336214" y="165768"/>
              </a:lnTo>
              <a:lnTo>
                <a:pt x="322251" y="165671"/>
              </a:lnTo>
              <a:lnTo>
                <a:pt x="319098" y="175639"/>
              </a:lnTo>
              <a:lnTo>
                <a:pt x="313643" y="175689"/>
              </a:lnTo>
              <a:lnTo>
                <a:pt x="314744" y="186873"/>
              </a:lnTo>
              <a:lnTo>
                <a:pt x="283765" y="188671"/>
              </a:lnTo>
              <a:lnTo>
                <a:pt x="282764" y="183663"/>
              </a:lnTo>
              <a:lnTo>
                <a:pt x="277659" y="182446"/>
              </a:lnTo>
              <a:lnTo>
                <a:pt x="277760" y="176369"/>
              </a:lnTo>
              <a:lnTo>
                <a:pt x="273606" y="176174"/>
              </a:lnTo>
              <a:lnTo>
                <a:pt x="272205" y="169756"/>
              </a:lnTo>
              <a:lnTo>
                <a:pt x="277960" y="164503"/>
              </a:lnTo>
              <a:lnTo>
                <a:pt x="273155" y="161635"/>
              </a:lnTo>
              <a:lnTo>
                <a:pt x="270903" y="142864"/>
              </a:lnTo>
              <a:lnTo>
                <a:pt x="267750" y="140336"/>
              </a:lnTo>
              <a:lnTo>
                <a:pt x="256390" y="148408"/>
              </a:lnTo>
              <a:lnTo>
                <a:pt x="248582" y="139655"/>
              </a:lnTo>
              <a:lnTo>
                <a:pt x="257391" y="113689"/>
              </a:lnTo>
              <a:lnTo>
                <a:pt x="261995" y="115294"/>
              </a:lnTo>
              <a:lnTo>
                <a:pt x="266349" y="89911"/>
              </a:lnTo>
              <a:lnTo>
                <a:pt x="258592" y="86944"/>
              </a:lnTo>
              <a:lnTo>
                <a:pt x="232968" y="92342"/>
              </a:lnTo>
              <a:lnTo>
                <a:pt x="233268" y="74690"/>
              </a:lnTo>
              <a:lnTo>
                <a:pt x="230115" y="75858"/>
              </a:lnTo>
              <a:lnTo>
                <a:pt x="223159" y="61221"/>
              </a:lnTo>
              <a:lnTo>
                <a:pt x="218254" y="65500"/>
              </a:lnTo>
              <a:lnTo>
                <a:pt x="213850" y="58060"/>
              </a:lnTo>
              <a:lnTo>
                <a:pt x="207394" y="61269"/>
              </a:lnTo>
              <a:lnTo>
                <a:pt x="201038" y="55386"/>
              </a:lnTo>
              <a:lnTo>
                <a:pt x="187626" y="57282"/>
              </a:lnTo>
              <a:lnTo>
                <a:pt x="174063" y="47605"/>
              </a:lnTo>
              <a:lnTo>
                <a:pt x="176165" y="42305"/>
              </a:lnTo>
              <a:lnTo>
                <a:pt x="169509" y="36178"/>
              </a:lnTo>
              <a:lnTo>
                <a:pt x="169509" y="25820"/>
              </a:lnTo>
              <a:lnTo>
                <a:pt x="158048" y="25820"/>
              </a:lnTo>
              <a:lnTo>
                <a:pt x="153644" y="19450"/>
              </a:lnTo>
              <a:lnTo>
                <a:pt x="138880" y="15512"/>
              </a:lnTo>
              <a:lnTo>
                <a:pt x="125718" y="0"/>
              </a:lnTo>
              <a:lnTo>
                <a:pt x="114007" y="4133"/>
              </a:lnTo>
              <a:lnTo>
                <a:pt x="110904" y="9773"/>
              </a:lnTo>
              <a:lnTo>
                <a:pt x="106750" y="7390"/>
              </a:lnTo>
              <a:lnTo>
                <a:pt x="103947" y="18867"/>
              </a:lnTo>
              <a:lnTo>
                <a:pt x="121013" y="37928"/>
              </a:lnTo>
              <a:lnTo>
                <a:pt x="136428" y="35984"/>
              </a:lnTo>
              <a:lnTo>
                <a:pt x="133675" y="51982"/>
              </a:lnTo>
              <a:lnTo>
                <a:pt x="137579" y="57282"/>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870621</xdr:colOff>
      <xdr:row>102</xdr:row>
      <xdr:rowOff>157075</xdr:rowOff>
    </xdr:from>
    <xdr:to>
      <xdr:col>4</xdr:col>
      <xdr:colOff>1244871</xdr:colOff>
      <xdr:row>104</xdr:row>
      <xdr:rowOff>84550</xdr:rowOff>
    </xdr:to>
    <xdr:sp macro="MapShapeClick" textlink="">
      <xdr:nvSpPr>
        <xdr:cNvPr id="25" name="福建省">
          <a:extLst>
            <a:ext uri="{FF2B5EF4-FFF2-40B4-BE49-F238E27FC236}">
              <a16:creationId xmlns:a16="http://schemas.microsoft.com/office/drawing/2014/main" id="{EFE54535-4277-C2D1-494E-9AACE1C15324}"/>
            </a:ext>
          </a:extLst>
        </xdr:cNvPr>
        <xdr:cNvSpPr/>
      </xdr:nvSpPr>
      <xdr:spPr>
        <a:xfrm>
          <a:off x="4025301" y="19489015"/>
          <a:ext cx="374250" cy="430395"/>
        </a:xfrm>
        <a:custGeom>
          <a:avLst/>
          <a:gdLst/>
          <a:ahLst/>
          <a:cxnLst/>
          <a:rect l="0" t="0" r="0" b="0"/>
          <a:pathLst>
            <a:path w="374250" h="430395">
              <a:moveTo>
                <a:pt x="255889" y="303868"/>
              </a:moveTo>
              <a:lnTo>
                <a:pt x="256840" y="295942"/>
              </a:lnTo>
              <a:lnTo>
                <a:pt x="251034" y="298616"/>
              </a:lnTo>
              <a:lnTo>
                <a:pt x="246730" y="292878"/>
              </a:lnTo>
              <a:lnTo>
                <a:pt x="253437" y="290835"/>
              </a:lnTo>
              <a:lnTo>
                <a:pt x="254287" y="286021"/>
              </a:lnTo>
              <a:lnTo>
                <a:pt x="248632" y="278144"/>
              </a:lnTo>
              <a:lnTo>
                <a:pt x="255238" y="277268"/>
              </a:lnTo>
              <a:lnTo>
                <a:pt x="254688" y="283056"/>
              </a:lnTo>
              <a:lnTo>
                <a:pt x="261544" y="282229"/>
              </a:lnTo>
              <a:lnTo>
                <a:pt x="257841" y="288648"/>
              </a:lnTo>
              <a:lnTo>
                <a:pt x="266399" y="291663"/>
              </a:lnTo>
              <a:lnTo>
                <a:pt x="265198" y="300027"/>
              </a:lnTo>
              <a:lnTo>
                <a:pt x="268951" y="288113"/>
              </a:lnTo>
              <a:lnTo>
                <a:pt x="264297" y="283784"/>
              </a:lnTo>
              <a:lnTo>
                <a:pt x="266199" y="281160"/>
              </a:lnTo>
              <a:lnTo>
                <a:pt x="277359" y="286848"/>
              </a:lnTo>
              <a:lnTo>
                <a:pt x="281063" y="284125"/>
              </a:lnTo>
              <a:lnTo>
                <a:pt x="279461" y="279895"/>
              </a:lnTo>
              <a:lnTo>
                <a:pt x="286418" y="278727"/>
              </a:lnTo>
              <a:lnTo>
                <a:pt x="267249" y="266328"/>
              </a:lnTo>
              <a:lnTo>
                <a:pt x="273355" y="259082"/>
              </a:lnTo>
              <a:lnTo>
                <a:pt x="276308" y="257284"/>
              </a:lnTo>
              <a:lnTo>
                <a:pt x="276858" y="262730"/>
              </a:lnTo>
              <a:lnTo>
                <a:pt x="284215" y="264189"/>
              </a:lnTo>
              <a:lnTo>
                <a:pt x="284666" y="254316"/>
              </a:lnTo>
              <a:lnTo>
                <a:pt x="292273" y="256845"/>
              </a:lnTo>
              <a:lnTo>
                <a:pt x="291122" y="264139"/>
              </a:lnTo>
              <a:lnTo>
                <a:pt x="295426" y="261369"/>
              </a:lnTo>
              <a:lnTo>
                <a:pt x="295026" y="267981"/>
              </a:lnTo>
              <a:lnTo>
                <a:pt x="300080" y="268322"/>
              </a:lnTo>
              <a:lnTo>
                <a:pt x="302433" y="261125"/>
              </a:lnTo>
              <a:lnTo>
                <a:pt x="304034" y="271142"/>
              </a:lnTo>
              <a:lnTo>
                <a:pt x="308238" y="270413"/>
              </a:lnTo>
              <a:lnTo>
                <a:pt x="309939" y="262049"/>
              </a:lnTo>
              <a:lnTo>
                <a:pt x="306086" y="262195"/>
              </a:lnTo>
              <a:lnTo>
                <a:pt x="310340" y="259132"/>
              </a:lnTo>
              <a:lnTo>
                <a:pt x="318347" y="265647"/>
              </a:lnTo>
              <a:lnTo>
                <a:pt x="317597" y="262243"/>
              </a:lnTo>
              <a:lnTo>
                <a:pt x="325904" y="260299"/>
              </a:lnTo>
              <a:lnTo>
                <a:pt x="321400" y="255629"/>
              </a:lnTo>
              <a:lnTo>
                <a:pt x="327305" y="252081"/>
              </a:lnTo>
              <a:lnTo>
                <a:pt x="319699" y="245954"/>
              </a:lnTo>
              <a:lnTo>
                <a:pt x="319348" y="241139"/>
              </a:lnTo>
              <a:lnTo>
                <a:pt x="311041" y="247898"/>
              </a:lnTo>
              <a:lnTo>
                <a:pt x="313643" y="255192"/>
              </a:lnTo>
              <a:lnTo>
                <a:pt x="310340" y="258499"/>
              </a:lnTo>
              <a:lnTo>
                <a:pt x="307037" y="258499"/>
              </a:lnTo>
              <a:lnTo>
                <a:pt x="303183" y="247946"/>
              </a:lnTo>
              <a:lnTo>
                <a:pt x="294375" y="244398"/>
              </a:lnTo>
              <a:lnTo>
                <a:pt x="293925" y="241626"/>
              </a:lnTo>
              <a:lnTo>
                <a:pt x="304484" y="239584"/>
              </a:lnTo>
              <a:lnTo>
                <a:pt x="306536" y="222709"/>
              </a:lnTo>
              <a:lnTo>
                <a:pt x="311991" y="219793"/>
              </a:lnTo>
              <a:lnTo>
                <a:pt x="314293" y="210116"/>
              </a:lnTo>
              <a:lnTo>
                <a:pt x="309839" y="208803"/>
              </a:lnTo>
              <a:lnTo>
                <a:pt x="304584" y="195867"/>
              </a:lnTo>
              <a:lnTo>
                <a:pt x="310440" y="187358"/>
              </a:lnTo>
              <a:lnTo>
                <a:pt x="320700" y="186823"/>
              </a:lnTo>
              <a:lnTo>
                <a:pt x="321050" y="183322"/>
              </a:lnTo>
              <a:lnTo>
                <a:pt x="333061" y="179237"/>
              </a:lnTo>
              <a:lnTo>
                <a:pt x="328107" y="178946"/>
              </a:lnTo>
              <a:lnTo>
                <a:pt x="323402" y="171847"/>
              </a:lnTo>
              <a:lnTo>
                <a:pt x="319548" y="158279"/>
              </a:lnTo>
              <a:lnTo>
                <a:pt x="302433" y="154730"/>
              </a:lnTo>
              <a:lnTo>
                <a:pt x="309489" y="145297"/>
              </a:lnTo>
              <a:lnTo>
                <a:pt x="326505" y="152882"/>
              </a:lnTo>
              <a:lnTo>
                <a:pt x="332110" y="139996"/>
              </a:lnTo>
              <a:lnTo>
                <a:pt x="341769" y="141405"/>
              </a:lnTo>
              <a:lnTo>
                <a:pt x="332611" y="154535"/>
              </a:lnTo>
              <a:lnTo>
                <a:pt x="324703" y="157209"/>
              </a:lnTo>
              <a:lnTo>
                <a:pt x="322801" y="163677"/>
              </a:lnTo>
              <a:lnTo>
                <a:pt x="347975" y="153319"/>
              </a:lnTo>
              <a:lnTo>
                <a:pt x="345723" y="148360"/>
              </a:lnTo>
              <a:lnTo>
                <a:pt x="349927" y="146073"/>
              </a:lnTo>
              <a:lnTo>
                <a:pt x="345423" y="142864"/>
              </a:lnTo>
              <a:lnTo>
                <a:pt x="347825" y="138781"/>
              </a:lnTo>
              <a:lnTo>
                <a:pt x="341169" y="132800"/>
              </a:lnTo>
              <a:lnTo>
                <a:pt x="347024" y="127595"/>
              </a:lnTo>
              <a:lnTo>
                <a:pt x="355682" y="128763"/>
              </a:lnTo>
              <a:lnTo>
                <a:pt x="359736" y="112181"/>
              </a:lnTo>
              <a:lnTo>
                <a:pt x="368594" y="112959"/>
              </a:lnTo>
              <a:lnTo>
                <a:pt x="374249" y="107367"/>
              </a:lnTo>
              <a:lnTo>
                <a:pt x="364440" y="83832"/>
              </a:lnTo>
              <a:lnTo>
                <a:pt x="358935" y="84804"/>
              </a:lnTo>
              <a:lnTo>
                <a:pt x="358084" y="80817"/>
              </a:lnTo>
              <a:lnTo>
                <a:pt x="347675" y="81984"/>
              </a:lnTo>
              <a:lnTo>
                <a:pt x="341019" y="89424"/>
              </a:lnTo>
              <a:lnTo>
                <a:pt x="337415" y="86069"/>
              </a:lnTo>
              <a:lnTo>
                <a:pt x="317947" y="92244"/>
              </a:lnTo>
              <a:lnTo>
                <a:pt x="311191" y="80282"/>
              </a:lnTo>
              <a:lnTo>
                <a:pt x="313092" y="73377"/>
              </a:lnTo>
              <a:lnTo>
                <a:pt x="306737" y="67104"/>
              </a:lnTo>
              <a:lnTo>
                <a:pt x="307838" y="59665"/>
              </a:lnTo>
              <a:lnTo>
                <a:pt x="304735" y="58643"/>
              </a:lnTo>
              <a:lnTo>
                <a:pt x="296227" y="60928"/>
              </a:lnTo>
              <a:lnTo>
                <a:pt x="293424" y="72259"/>
              </a:lnTo>
              <a:lnTo>
                <a:pt x="284766" y="72405"/>
              </a:lnTo>
              <a:lnTo>
                <a:pt x="277359" y="81790"/>
              </a:lnTo>
              <a:lnTo>
                <a:pt x="267500" y="81547"/>
              </a:lnTo>
              <a:lnTo>
                <a:pt x="266048" y="76927"/>
              </a:lnTo>
              <a:lnTo>
                <a:pt x="257190" y="74836"/>
              </a:lnTo>
              <a:lnTo>
                <a:pt x="247982" y="78240"/>
              </a:lnTo>
              <a:lnTo>
                <a:pt x="244879" y="70994"/>
              </a:lnTo>
              <a:lnTo>
                <a:pt x="248482" y="63700"/>
              </a:lnTo>
              <a:lnTo>
                <a:pt x="240725" y="36421"/>
              </a:lnTo>
              <a:lnTo>
                <a:pt x="233568" y="31462"/>
              </a:lnTo>
              <a:lnTo>
                <a:pt x="232667" y="22903"/>
              </a:lnTo>
              <a:lnTo>
                <a:pt x="239424" y="17943"/>
              </a:lnTo>
              <a:lnTo>
                <a:pt x="236921" y="11378"/>
              </a:lnTo>
              <a:lnTo>
                <a:pt x="239424" y="6614"/>
              </a:lnTo>
              <a:lnTo>
                <a:pt x="232717" y="0"/>
              </a:lnTo>
              <a:lnTo>
                <a:pt x="214100" y="6807"/>
              </a:lnTo>
              <a:lnTo>
                <a:pt x="208695" y="1896"/>
              </a:lnTo>
              <a:lnTo>
                <a:pt x="199787" y="8314"/>
              </a:lnTo>
              <a:lnTo>
                <a:pt x="204741" y="11573"/>
              </a:lnTo>
              <a:lnTo>
                <a:pt x="203190" y="20326"/>
              </a:lnTo>
              <a:lnTo>
                <a:pt x="186724" y="23048"/>
              </a:lnTo>
              <a:lnTo>
                <a:pt x="182120" y="31462"/>
              </a:lnTo>
              <a:lnTo>
                <a:pt x="174163" y="29564"/>
              </a:lnTo>
              <a:lnTo>
                <a:pt x="162552" y="33747"/>
              </a:lnTo>
              <a:lnTo>
                <a:pt x="153143" y="47120"/>
              </a:lnTo>
              <a:lnTo>
                <a:pt x="142533" y="41332"/>
              </a:lnTo>
              <a:lnTo>
                <a:pt x="135376" y="30392"/>
              </a:lnTo>
              <a:lnTo>
                <a:pt x="120763" y="42013"/>
              </a:lnTo>
              <a:lnTo>
                <a:pt x="115758" y="40602"/>
              </a:lnTo>
              <a:lnTo>
                <a:pt x="117059" y="50425"/>
              </a:lnTo>
              <a:lnTo>
                <a:pt x="109602" y="57817"/>
              </a:lnTo>
              <a:lnTo>
                <a:pt x="102296" y="57038"/>
              </a:lnTo>
              <a:lnTo>
                <a:pt x="100644" y="62971"/>
              </a:lnTo>
              <a:lnTo>
                <a:pt x="96290" y="59082"/>
              </a:lnTo>
              <a:lnTo>
                <a:pt x="94338" y="68855"/>
              </a:lnTo>
              <a:lnTo>
                <a:pt x="101395" y="71627"/>
              </a:lnTo>
              <a:lnTo>
                <a:pt x="101495" y="90153"/>
              </a:lnTo>
              <a:lnTo>
                <a:pt x="106950" y="93849"/>
              </a:lnTo>
              <a:lnTo>
                <a:pt x="96640" y="106978"/>
              </a:lnTo>
              <a:lnTo>
                <a:pt x="97291" y="111209"/>
              </a:lnTo>
              <a:lnTo>
                <a:pt x="87832" y="118601"/>
              </a:lnTo>
              <a:lnTo>
                <a:pt x="66913" y="122345"/>
              </a:lnTo>
              <a:lnTo>
                <a:pt x="56303" y="134939"/>
              </a:lnTo>
              <a:lnTo>
                <a:pt x="55552" y="160468"/>
              </a:lnTo>
              <a:lnTo>
                <a:pt x="63609" y="167908"/>
              </a:lnTo>
              <a:lnTo>
                <a:pt x="60607" y="177389"/>
              </a:lnTo>
              <a:lnTo>
                <a:pt x="53951" y="173986"/>
              </a:lnTo>
              <a:lnTo>
                <a:pt x="45292" y="184198"/>
              </a:lnTo>
              <a:lnTo>
                <a:pt x="43591" y="195673"/>
              </a:lnTo>
              <a:lnTo>
                <a:pt x="50448" y="195528"/>
              </a:lnTo>
              <a:lnTo>
                <a:pt x="51498" y="200876"/>
              </a:lnTo>
              <a:lnTo>
                <a:pt x="42990" y="208364"/>
              </a:lnTo>
              <a:lnTo>
                <a:pt x="41789" y="214492"/>
              </a:lnTo>
              <a:lnTo>
                <a:pt x="22471" y="223780"/>
              </a:lnTo>
              <a:lnTo>
                <a:pt x="26425" y="231122"/>
              </a:lnTo>
              <a:lnTo>
                <a:pt x="17216" y="237882"/>
              </a:lnTo>
              <a:lnTo>
                <a:pt x="12412" y="272503"/>
              </a:lnTo>
              <a:lnTo>
                <a:pt x="0" y="282375"/>
              </a:lnTo>
              <a:lnTo>
                <a:pt x="5906" y="296670"/>
              </a:lnTo>
              <a:lnTo>
                <a:pt x="1452" y="299394"/>
              </a:lnTo>
              <a:lnTo>
                <a:pt x="5656" y="304695"/>
              </a:lnTo>
              <a:lnTo>
                <a:pt x="1201" y="304791"/>
              </a:lnTo>
              <a:lnTo>
                <a:pt x="17266" y="314613"/>
              </a:lnTo>
              <a:lnTo>
                <a:pt x="27326" y="312183"/>
              </a:lnTo>
              <a:lnTo>
                <a:pt x="31580" y="319670"/>
              </a:lnTo>
              <a:lnTo>
                <a:pt x="43841" y="312134"/>
              </a:lnTo>
              <a:lnTo>
                <a:pt x="45693" y="315441"/>
              </a:lnTo>
              <a:lnTo>
                <a:pt x="42239" y="318748"/>
              </a:lnTo>
              <a:lnTo>
                <a:pt x="51148" y="326236"/>
              </a:lnTo>
              <a:lnTo>
                <a:pt x="54802" y="336545"/>
              </a:lnTo>
              <a:lnTo>
                <a:pt x="60557" y="332119"/>
              </a:lnTo>
              <a:lnTo>
                <a:pt x="77973" y="332071"/>
              </a:lnTo>
              <a:lnTo>
                <a:pt x="73419" y="341844"/>
              </a:lnTo>
              <a:lnTo>
                <a:pt x="81677" y="349480"/>
              </a:lnTo>
              <a:lnTo>
                <a:pt x="87582" y="370875"/>
              </a:lnTo>
              <a:lnTo>
                <a:pt x="92887" y="374521"/>
              </a:lnTo>
              <a:lnTo>
                <a:pt x="87332" y="384733"/>
              </a:lnTo>
              <a:lnTo>
                <a:pt x="91486" y="390520"/>
              </a:lnTo>
              <a:lnTo>
                <a:pt x="91486" y="403309"/>
              </a:lnTo>
              <a:lnTo>
                <a:pt x="97491" y="417654"/>
              </a:lnTo>
              <a:lnTo>
                <a:pt x="108652" y="423391"/>
              </a:lnTo>
              <a:lnTo>
                <a:pt x="108652" y="429372"/>
              </a:lnTo>
              <a:lnTo>
                <a:pt x="117560" y="430394"/>
              </a:lnTo>
              <a:lnTo>
                <a:pt x="130672" y="427331"/>
              </a:lnTo>
              <a:lnTo>
                <a:pt x="133725" y="416730"/>
              </a:lnTo>
              <a:lnTo>
                <a:pt x="141883" y="416973"/>
              </a:lnTo>
              <a:lnTo>
                <a:pt x="147588" y="401315"/>
              </a:lnTo>
              <a:lnTo>
                <a:pt x="157397" y="398787"/>
              </a:lnTo>
              <a:lnTo>
                <a:pt x="175814" y="372917"/>
              </a:lnTo>
              <a:lnTo>
                <a:pt x="187125" y="366451"/>
              </a:lnTo>
              <a:lnTo>
                <a:pt x="178216" y="353223"/>
              </a:lnTo>
              <a:lnTo>
                <a:pt x="184122" y="339657"/>
              </a:lnTo>
              <a:lnTo>
                <a:pt x="193981" y="344812"/>
              </a:lnTo>
              <a:lnTo>
                <a:pt x="215902" y="336252"/>
              </a:lnTo>
              <a:lnTo>
                <a:pt x="219605" y="344812"/>
              </a:lnTo>
              <a:lnTo>
                <a:pt x="224159" y="343985"/>
              </a:lnTo>
              <a:lnTo>
                <a:pt x="229514" y="338587"/>
              </a:lnTo>
              <a:lnTo>
                <a:pt x="227262" y="332169"/>
              </a:lnTo>
              <a:lnTo>
                <a:pt x="238122" y="321179"/>
              </a:lnTo>
              <a:lnTo>
                <a:pt x="226862" y="315198"/>
              </a:lnTo>
              <a:lnTo>
                <a:pt x="254588" y="312037"/>
              </a:lnTo>
              <a:lnTo>
                <a:pt x="248882" y="307223"/>
              </a:lnTo>
              <a:lnTo>
                <a:pt x="256089" y="304451"/>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1067805</xdr:colOff>
      <xdr:row>103</xdr:row>
      <xdr:rowOff>250231</xdr:rowOff>
    </xdr:from>
    <xdr:to>
      <xdr:col>4</xdr:col>
      <xdr:colOff>1082069</xdr:colOff>
      <xdr:row>104</xdr:row>
      <xdr:rowOff>10589</xdr:rowOff>
    </xdr:to>
    <xdr:sp macro="MapShapeClick" textlink="">
      <xdr:nvSpPr>
        <xdr:cNvPr id="26" name="福建省">
          <a:extLst>
            <a:ext uri="{FF2B5EF4-FFF2-40B4-BE49-F238E27FC236}">
              <a16:creationId xmlns:a16="http://schemas.microsoft.com/office/drawing/2014/main" id="{B941AFBA-4945-4CDA-21AF-3FE370234FFB}"/>
            </a:ext>
          </a:extLst>
        </xdr:cNvPr>
        <xdr:cNvSpPr/>
      </xdr:nvSpPr>
      <xdr:spPr>
        <a:xfrm>
          <a:off x="4222485" y="19833631"/>
          <a:ext cx="14264" cy="11818"/>
        </a:xfrm>
        <a:custGeom>
          <a:avLst/>
          <a:gdLst/>
          <a:ahLst/>
          <a:cxnLst/>
          <a:rect l="0" t="0" r="0" b="0"/>
          <a:pathLst>
            <a:path w="14264" h="11818">
              <a:moveTo>
                <a:pt x="10560" y="0"/>
              </a:moveTo>
              <a:lnTo>
                <a:pt x="7507" y="4961"/>
              </a:lnTo>
              <a:lnTo>
                <a:pt x="1301" y="3307"/>
              </a:lnTo>
              <a:lnTo>
                <a:pt x="0" y="9045"/>
              </a:lnTo>
              <a:lnTo>
                <a:pt x="3854" y="11817"/>
              </a:lnTo>
              <a:lnTo>
                <a:pt x="14263" y="9142"/>
              </a:lnTo>
              <a:lnTo>
                <a:pt x="13763" y="681"/>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1050439</xdr:colOff>
      <xdr:row>103</xdr:row>
      <xdr:rowOff>246098</xdr:rowOff>
    </xdr:from>
    <xdr:to>
      <xdr:col>4</xdr:col>
      <xdr:colOff>1061450</xdr:colOff>
      <xdr:row>104</xdr:row>
      <xdr:rowOff>7136</xdr:rowOff>
    </xdr:to>
    <xdr:sp macro="MapShapeClick" textlink="">
      <xdr:nvSpPr>
        <xdr:cNvPr id="27" name="福建省">
          <a:extLst>
            <a:ext uri="{FF2B5EF4-FFF2-40B4-BE49-F238E27FC236}">
              <a16:creationId xmlns:a16="http://schemas.microsoft.com/office/drawing/2014/main" id="{8D57D63B-8151-14AF-7C3C-4B4824CBBA29}"/>
            </a:ext>
          </a:extLst>
        </xdr:cNvPr>
        <xdr:cNvSpPr/>
      </xdr:nvSpPr>
      <xdr:spPr>
        <a:xfrm>
          <a:off x="4205119" y="19829498"/>
          <a:ext cx="11011" cy="12498"/>
        </a:xfrm>
        <a:custGeom>
          <a:avLst/>
          <a:gdLst/>
          <a:ahLst/>
          <a:cxnLst/>
          <a:rect l="0" t="0" r="0" b="0"/>
          <a:pathLst>
            <a:path w="11011" h="12498">
              <a:moveTo>
                <a:pt x="11010" y="5009"/>
              </a:moveTo>
              <a:lnTo>
                <a:pt x="6206" y="0"/>
              </a:lnTo>
              <a:lnTo>
                <a:pt x="0" y="8705"/>
              </a:lnTo>
              <a:lnTo>
                <a:pt x="6056" y="12497"/>
              </a:lnTo>
              <a:lnTo>
                <a:pt x="10159" y="8705"/>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685649</xdr:colOff>
      <xdr:row>101</xdr:row>
      <xdr:rowOff>244274</xdr:rowOff>
    </xdr:from>
    <xdr:to>
      <xdr:col>4</xdr:col>
      <xdr:colOff>1083871</xdr:colOff>
      <xdr:row>104</xdr:row>
      <xdr:rowOff>281</xdr:rowOff>
    </xdr:to>
    <xdr:sp macro="MapShapeClick" textlink="">
      <xdr:nvSpPr>
        <xdr:cNvPr id="28" name="江西省">
          <a:extLst>
            <a:ext uri="{FF2B5EF4-FFF2-40B4-BE49-F238E27FC236}">
              <a16:creationId xmlns:a16="http://schemas.microsoft.com/office/drawing/2014/main" id="{E192C2F6-C727-B51F-239E-288965D74098}"/>
            </a:ext>
          </a:extLst>
        </xdr:cNvPr>
        <xdr:cNvSpPr/>
      </xdr:nvSpPr>
      <xdr:spPr>
        <a:xfrm>
          <a:off x="3840329" y="19324754"/>
          <a:ext cx="398222" cy="510387"/>
        </a:xfrm>
        <a:custGeom>
          <a:avLst/>
          <a:gdLst/>
          <a:ahLst/>
          <a:cxnLst/>
          <a:rect l="0" t="0" r="0" b="0"/>
          <a:pathLst>
            <a:path w="398222" h="510387">
              <a:moveTo>
                <a:pt x="374899" y="63749"/>
              </a:moveTo>
              <a:lnTo>
                <a:pt x="370295" y="61562"/>
              </a:lnTo>
              <a:lnTo>
                <a:pt x="370896" y="54948"/>
              </a:lnTo>
              <a:lnTo>
                <a:pt x="359535" y="46682"/>
              </a:lnTo>
              <a:lnTo>
                <a:pt x="337264" y="49307"/>
              </a:lnTo>
              <a:lnTo>
                <a:pt x="330608" y="43278"/>
              </a:lnTo>
              <a:lnTo>
                <a:pt x="322100" y="45709"/>
              </a:lnTo>
              <a:lnTo>
                <a:pt x="321049" y="39582"/>
              </a:lnTo>
              <a:lnTo>
                <a:pt x="314843" y="36421"/>
              </a:lnTo>
              <a:lnTo>
                <a:pt x="311690" y="21202"/>
              </a:lnTo>
              <a:lnTo>
                <a:pt x="307136" y="24750"/>
              </a:lnTo>
              <a:lnTo>
                <a:pt x="305485" y="21445"/>
              </a:lnTo>
              <a:lnTo>
                <a:pt x="298528" y="22708"/>
              </a:lnTo>
              <a:lnTo>
                <a:pt x="295576" y="14053"/>
              </a:lnTo>
              <a:lnTo>
                <a:pt x="283915" y="22952"/>
              </a:lnTo>
              <a:lnTo>
                <a:pt x="289069" y="28252"/>
              </a:lnTo>
              <a:lnTo>
                <a:pt x="287118" y="34184"/>
              </a:lnTo>
              <a:lnTo>
                <a:pt x="265698" y="46876"/>
              </a:lnTo>
              <a:lnTo>
                <a:pt x="258491" y="44737"/>
              </a:lnTo>
              <a:lnTo>
                <a:pt x="255338" y="47946"/>
              </a:lnTo>
              <a:lnTo>
                <a:pt x="249833" y="35790"/>
              </a:lnTo>
              <a:lnTo>
                <a:pt x="269852" y="11962"/>
              </a:lnTo>
              <a:lnTo>
                <a:pt x="250884" y="0"/>
              </a:lnTo>
              <a:lnTo>
                <a:pt x="244277" y="2917"/>
              </a:lnTo>
              <a:lnTo>
                <a:pt x="241575" y="15658"/>
              </a:lnTo>
              <a:lnTo>
                <a:pt x="219505" y="26987"/>
              </a:lnTo>
              <a:lnTo>
                <a:pt x="210746" y="23291"/>
              </a:lnTo>
              <a:lnTo>
                <a:pt x="189376" y="33066"/>
              </a:lnTo>
              <a:lnTo>
                <a:pt x="169708" y="21250"/>
              </a:lnTo>
              <a:lnTo>
                <a:pt x="157046" y="22174"/>
              </a:lnTo>
              <a:lnTo>
                <a:pt x="153693" y="31607"/>
              </a:lnTo>
              <a:lnTo>
                <a:pt x="138679" y="42937"/>
              </a:lnTo>
              <a:lnTo>
                <a:pt x="124666" y="36712"/>
              </a:lnTo>
              <a:lnTo>
                <a:pt x="127969" y="53052"/>
              </a:lnTo>
              <a:lnTo>
                <a:pt x="115507" y="47265"/>
              </a:lnTo>
              <a:lnTo>
                <a:pt x="110603" y="54559"/>
              </a:lnTo>
              <a:lnTo>
                <a:pt x="104097" y="56212"/>
              </a:lnTo>
              <a:lnTo>
                <a:pt x="106399" y="59956"/>
              </a:lnTo>
              <a:lnTo>
                <a:pt x="111153" y="57233"/>
              </a:lnTo>
              <a:lnTo>
                <a:pt x="106949" y="63556"/>
              </a:lnTo>
              <a:lnTo>
                <a:pt x="95939" y="66765"/>
              </a:lnTo>
              <a:lnTo>
                <a:pt x="88883" y="63701"/>
              </a:lnTo>
              <a:lnTo>
                <a:pt x="76421" y="70265"/>
              </a:lnTo>
              <a:lnTo>
                <a:pt x="61958" y="70071"/>
              </a:lnTo>
              <a:lnTo>
                <a:pt x="59155" y="66569"/>
              </a:lnTo>
              <a:lnTo>
                <a:pt x="55251" y="68563"/>
              </a:lnTo>
              <a:lnTo>
                <a:pt x="54701" y="78727"/>
              </a:lnTo>
              <a:lnTo>
                <a:pt x="39337" y="81499"/>
              </a:lnTo>
              <a:lnTo>
                <a:pt x="30328" y="91952"/>
              </a:lnTo>
              <a:lnTo>
                <a:pt x="30578" y="102553"/>
              </a:lnTo>
              <a:lnTo>
                <a:pt x="39086" y="109604"/>
              </a:lnTo>
              <a:lnTo>
                <a:pt x="40437" y="115926"/>
              </a:lnTo>
              <a:lnTo>
                <a:pt x="46693" y="116413"/>
              </a:lnTo>
              <a:lnTo>
                <a:pt x="44942" y="136981"/>
              </a:lnTo>
              <a:lnTo>
                <a:pt x="41188" y="141503"/>
              </a:lnTo>
              <a:lnTo>
                <a:pt x="51948" y="148312"/>
              </a:lnTo>
              <a:lnTo>
                <a:pt x="48195" y="153125"/>
              </a:lnTo>
              <a:lnTo>
                <a:pt x="54701" y="156530"/>
              </a:lnTo>
              <a:lnTo>
                <a:pt x="54751" y="163580"/>
              </a:lnTo>
              <a:lnTo>
                <a:pt x="42940" y="176174"/>
              </a:lnTo>
              <a:lnTo>
                <a:pt x="33581" y="178167"/>
              </a:lnTo>
              <a:lnTo>
                <a:pt x="36284" y="190131"/>
              </a:lnTo>
              <a:lnTo>
                <a:pt x="14063" y="199126"/>
              </a:lnTo>
              <a:lnTo>
                <a:pt x="14964" y="211477"/>
              </a:lnTo>
              <a:lnTo>
                <a:pt x="0" y="234770"/>
              </a:lnTo>
              <a:lnTo>
                <a:pt x="3903" y="238951"/>
              </a:lnTo>
              <a:lnTo>
                <a:pt x="1000" y="241869"/>
              </a:lnTo>
              <a:lnTo>
                <a:pt x="3053" y="253053"/>
              </a:lnTo>
              <a:lnTo>
                <a:pt x="23872" y="249454"/>
              </a:lnTo>
              <a:lnTo>
                <a:pt x="23872" y="258159"/>
              </a:lnTo>
              <a:lnTo>
                <a:pt x="15664" y="275811"/>
              </a:lnTo>
              <a:lnTo>
                <a:pt x="28276" y="289280"/>
              </a:lnTo>
              <a:lnTo>
                <a:pt x="20869" y="302263"/>
              </a:lnTo>
              <a:lnTo>
                <a:pt x="22871" y="315198"/>
              </a:lnTo>
              <a:lnTo>
                <a:pt x="43040" y="323805"/>
              </a:lnTo>
              <a:lnTo>
                <a:pt x="41138" y="338636"/>
              </a:lnTo>
              <a:lnTo>
                <a:pt x="36684" y="341311"/>
              </a:lnTo>
              <a:lnTo>
                <a:pt x="36584" y="351327"/>
              </a:lnTo>
              <a:lnTo>
                <a:pt x="30078" y="357989"/>
              </a:lnTo>
              <a:lnTo>
                <a:pt x="31179" y="361782"/>
              </a:lnTo>
              <a:lnTo>
                <a:pt x="48945" y="355995"/>
              </a:lnTo>
              <a:lnTo>
                <a:pt x="53500" y="361637"/>
              </a:lnTo>
              <a:lnTo>
                <a:pt x="37785" y="368492"/>
              </a:lnTo>
              <a:lnTo>
                <a:pt x="34882" y="373988"/>
              </a:lnTo>
              <a:lnTo>
                <a:pt x="36484" y="385074"/>
              </a:lnTo>
              <a:lnTo>
                <a:pt x="27175" y="402386"/>
              </a:lnTo>
              <a:lnTo>
                <a:pt x="32830" y="411576"/>
              </a:lnTo>
              <a:lnTo>
                <a:pt x="29727" y="425775"/>
              </a:lnTo>
              <a:lnTo>
                <a:pt x="34482" y="425678"/>
              </a:lnTo>
              <a:lnTo>
                <a:pt x="32830" y="428158"/>
              </a:lnTo>
              <a:lnTo>
                <a:pt x="38285" y="432728"/>
              </a:lnTo>
              <a:lnTo>
                <a:pt x="37435" y="442940"/>
              </a:lnTo>
              <a:lnTo>
                <a:pt x="49646" y="437007"/>
              </a:lnTo>
              <a:lnTo>
                <a:pt x="65311" y="436959"/>
              </a:lnTo>
              <a:lnTo>
                <a:pt x="78173" y="428011"/>
              </a:lnTo>
              <a:lnTo>
                <a:pt x="94588" y="440801"/>
              </a:lnTo>
              <a:lnTo>
                <a:pt x="89933" y="449893"/>
              </a:lnTo>
              <a:lnTo>
                <a:pt x="93987" y="454513"/>
              </a:lnTo>
              <a:lnTo>
                <a:pt x="79824" y="458500"/>
              </a:lnTo>
              <a:lnTo>
                <a:pt x="66362" y="469830"/>
              </a:lnTo>
              <a:lnTo>
                <a:pt x="61507" y="487920"/>
              </a:lnTo>
              <a:lnTo>
                <a:pt x="47945" y="493219"/>
              </a:lnTo>
              <a:lnTo>
                <a:pt x="58654" y="503140"/>
              </a:lnTo>
              <a:lnTo>
                <a:pt x="66011" y="504501"/>
              </a:lnTo>
              <a:lnTo>
                <a:pt x="66962" y="510386"/>
              </a:lnTo>
              <a:lnTo>
                <a:pt x="88232" y="502702"/>
              </a:lnTo>
              <a:lnTo>
                <a:pt x="91485" y="507857"/>
              </a:lnTo>
              <a:lnTo>
                <a:pt x="93487" y="500465"/>
              </a:lnTo>
              <a:lnTo>
                <a:pt x="102996" y="501000"/>
              </a:lnTo>
              <a:lnTo>
                <a:pt x="104797" y="504598"/>
              </a:lnTo>
              <a:lnTo>
                <a:pt x="108101" y="495748"/>
              </a:lnTo>
              <a:lnTo>
                <a:pt x="120112" y="492004"/>
              </a:lnTo>
              <a:lnTo>
                <a:pt x="123965" y="495165"/>
              </a:lnTo>
              <a:lnTo>
                <a:pt x="137378" y="487871"/>
              </a:lnTo>
              <a:lnTo>
                <a:pt x="144585" y="489136"/>
              </a:lnTo>
              <a:lnTo>
                <a:pt x="148989" y="483981"/>
              </a:lnTo>
              <a:lnTo>
                <a:pt x="160599" y="493754"/>
              </a:lnTo>
              <a:lnTo>
                <a:pt x="161751" y="499250"/>
              </a:lnTo>
              <a:lnTo>
                <a:pt x="170008" y="500806"/>
              </a:lnTo>
              <a:lnTo>
                <a:pt x="171459" y="506155"/>
              </a:lnTo>
              <a:lnTo>
                <a:pt x="184021" y="504598"/>
              </a:lnTo>
              <a:lnTo>
                <a:pt x="176915" y="487920"/>
              </a:lnTo>
              <a:lnTo>
                <a:pt x="182420" y="473574"/>
              </a:lnTo>
              <a:lnTo>
                <a:pt x="185473" y="477659"/>
              </a:lnTo>
              <a:lnTo>
                <a:pt x="189176" y="476200"/>
              </a:lnTo>
              <a:lnTo>
                <a:pt x="186173" y="469052"/>
              </a:lnTo>
              <a:lnTo>
                <a:pt x="190628" y="468956"/>
              </a:lnTo>
              <a:lnTo>
                <a:pt x="186424" y="463655"/>
              </a:lnTo>
              <a:lnTo>
                <a:pt x="190878" y="460931"/>
              </a:lnTo>
              <a:lnTo>
                <a:pt x="184972" y="446636"/>
              </a:lnTo>
              <a:lnTo>
                <a:pt x="197384" y="436764"/>
              </a:lnTo>
              <a:lnTo>
                <a:pt x="202188" y="402143"/>
              </a:lnTo>
              <a:lnTo>
                <a:pt x="211397" y="395383"/>
              </a:lnTo>
              <a:lnTo>
                <a:pt x="207443" y="388041"/>
              </a:lnTo>
              <a:lnTo>
                <a:pt x="226761" y="378753"/>
              </a:lnTo>
              <a:lnTo>
                <a:pt x="227962" y="372625"/>
              </a:lnTo>
              <a:lnTo>
                <a:pt x="236470" y="365137"/>
              </a:lnTo>
              <a:lnTo>
                <a:pt x="235420" y="359789"/>
              </a:lnTo>
              <a:lnTo>
                <a:pt x="228563" y="359934"/>
              </a:lnTo>
              <a:lnTo>
                <a:pt x="230264" y="348459"/>
              </a:lnTo>
              <a:lnTo>
                <a:pt x="238923" y="338247"/>
              </a:lnTo>
              <a:lnTo>
                <a:pt x="245579" y="341650"/>
              </a:lnTo>
              <a:lnTo>
                <a:pt x="248581" y="332169"/>
              </a:lnTo>
              <a:lnTo>
                <a:pt x="240524" y="324729"/>
              </a:lnTo>
              <a:lnTo>
                <a:pt x="241275" y="299200"/>
              </a:lnTo>
              <a:lnTo>
                <a:pt x="251885" y="286606"/>
              </a:lnTo>
              <a:lnTo>
                <a:pt x="272804" y="282862"/>
              </a:lnTo>
              <a:lnTo>
                <a:pt x="282263" y="275470"/>
              </a:lnTo>
              <a:lnTo>
                <a:pt x="281612" y="271239"/>
              </a:lnTo>
              <a:lnTo>
                <a:pt x="291922" y="258110"/>
              </a:lnTo>
              <a:lnTo>
                <a:pt x="286467" y="254414"/>
              </a:lnTo>
              <a:lnTo>
                <a:pt x="286367" y="235888"/>
              </a:lnTo>
              <a:lnTo>
                <a:pt x="279310" y="233116"/>
              </a:lnTo>
              <a:lnTo>
                <a:pt x="278259" y="227426"/>
              </a:lnTo>
              <a:lnTo>
                <a:pt x="281262" y="223343"/>
              </a:lnTo>
              <a:lnTo>
                <a:pt x="285616" y="227232"/>
              </a:lnTo>
              <a:lnTo>
                <a:pt x="287268" y="221299"/>
              </a:lnTo>
              <a:lnTo>
                <a:pt x="294574" y="222078"/>
              </a:lnTo>
              <a:lnTo>
                <a:pt x="302031" y="214686"/>
              </a:lnTo>
              <a:lnTo>
                <a:pt x="300730" y="204863"/>
              </a:lnTo>
              <a:lnTo>
                <a:pt x="305735" y="206274"/>
              </a:lnTo>
              <a:lnTo>
                <a:pt x="320348" y="194653"/>
              </a:lnTo>
              <a:lnTo>
                <a:pt x="327505" y="205593"/>
              </a:lnTo>
              <a:lnTo>
                <a:pt x="338115" y="211381"/>
              </a:lnTo>
              <a:lnTo>
                <a:pt x="347524" y="198008"/>
              </a:lnTo>
              <a:lnTo>
                <a:pt x="359135" y="193825"/>
              </a:lnTo>
              <a:lnTo>
                <a:pt x="367092" y="195723"/>
              </a:lnTo>
              <a:lnTo>
                <a:pt x="371696" y="187309"/>
              </a:lnTo>
              <a:lnTo>
                <a:pt x="388162" y="184587"/>
              </a:lnTo>
              <a:lnTo>
                <a:pt x="389713" y="175834"/>
              </a:lnTo>
              <a:lnTo>
                <a:pt x="384759" y="172575"/>
              </a:lnTo>
              <a:lnTo>
                <a:pt x="398221" y="162850"/>
              </a:lnTo>
              <a:lnTo>
                <a:pt x="394318" y="155945"/>
              </a:lnTo>
              <a:lnTo>
                <a:pt x="397771" y="148847"/>
              </a:lnTo>
              <a:lnTo>
                <a:pt x="392916" y="147144"/>
              </a:lnTo>
              <a:lnTo>
                <a:pt x="394017" y="130125"/>
              </a:lnTo>
              <a:lnTo>
                <a:pt x="388812" y="117872"/>
              </a:lnTo>
              <a:lnTo>
                <a:pt x="383607" y="116704"/>
              </a:lnTo>
              <a:lnTo>
                <a:pt x="381155" y="108097"/>
              </a:lnTo>
              <a:lnTo>
                <a:pt x="375100" y="109458"/>
              </a:lnTo>
              <a:lnTo>
                <a:pt x="377702" y="105908"/>
              </a:lnTo>
              <a:lnTo>
                <a:pt x="367142" y="100657"/>
              </a:lnTo>
              <a:lnTo>
                <a:pt x="362288" y="91078"/>
              </a:lnTo>
              <a:lnTo>
                <a:pt x="365541" y="73524"/>
              </a:lnTo>
              <a:lnTo>
                <a:pt x="373698" y="72842"/>
              </a:lnTo>
              <a:lnTo>
                <a:pt x="375900" y="68563"/>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786393</xdr:colOff>
      <xdr:row>98</xdr:row>
      <xdr:rowOff>189409</xdr:rowOff>
    </xdr:from>
    <xdr:to>
      <xdr:col>4</xdr:col>
      <xdr:colOff>1427892</xdr:colOff>
      <xdr:row>100</xdr:row>
      <xdr:rowOff>82262</xdr:rowOff>
    </xdr:to>
    <xdr:sp macro="MapShapeClick" textlink="">
      <xdr:nvSpPr>
        <xdr:cNvPr id="29" name="山东省">
          <a:extLst>
            <a:ext uri="{FF2B5EF4-FFF2-40B4-BE49-F238E27FC236}">
              <a16:creationId xmlns:a16="http://schemas.microsoft.com/office/drawing/2014/main" id="{02F80DB3-02ED-407F-3E99-6616C9D2B41E}"/>
            </a:ext>
          </a:extLst>
        </xdr:cNvPr>
        <xdr:cNvSpPr/>
      </xdr:nvSpPr>
      <xdr:spPr>
        <a:xfrm>
          <a:off x="3941073" y="18515509"/>
          <a:ext cx="641499" cy="395773"/>
        </a:xfrm>
        <a:custGeom>
          <a:avLst/>
          <a:gdLst/>
          <a:ahLst/>
          <a:cxnLst/>
          <a:rect l="0" t="0" r="0" b="0"/>
          <a:pathLst>
            <a:path w="641499" h="395773">
              <a:moveTo>
                <a:pt x="126367" y="370098"/>
              </a:moveTo>
              <a:lnTo>
                <a:pt x="125967" y="359303"/>
              </a:lnTo>
              <a:lnTo>
                <a:pt x="132123" y="344813"/>
              </a:lnTo>
              <a:lnTo>
                <a:pt x="146536" y="340436"/>
              </a:lnTo>
              <a:lnTo>
                <a:pt x="159448" y="342721"/>
              </a:lnTo>
              <a:lnTo>
                <a:pt x="160099" y="336934"/>
              </a:lnTo>
              <a:lnTo>
                <a:pt x="170909" y="344909"/>
              </a:lnTo>
              <a:lnTo>
                <a:pt x="174713" y="357066"/>
              </a:lnTo>
              <a:lnTo>
                <a:pt x="182920" y="362804"/>
              </a:lnTo>
              <a:lnTo>
                <a:pt x="190728" y="390376"/>
              </a:lnTo>
              <a:lnTo>
                <a:pt x="197384" y="388722"/>
              </a:lnTo>
              <a:lnTo>
                <a:pt x="201888" y="379725"/>
              </a:lnTo>
              <a:lnTo>
                <a:pt x="199386" y="378316"/>
              </a:lnTo>
              <a:lnTo>
                <a:pt x="207343" y="375544"/>
              </a:lnTo>
              <a:lnTo>
                <a:pt x="220956" y="387165"/>
              </a:lnTo>
              <a:lnTo>
                <a:pt x="225360" y="387604"/>
              </a:lnTo>
              <a:lnTo>
                <a:pt x="232817" y="379240"/>
              </a:lnTo>
              <a:lnTo>
                <a:pt x="242376" y="382060"/>
              </a:lnTo>
              <a:lnTo>
                <a:pt x="241725" y="368931"/>
              </a:lnTo>
              <a:lnTo>
                <a:pt x="254537" y="366304"/>
              </a:lnTo>
              <a:lnTo>
                <a:pt x="265297" y="368541"/>
              </a:lnTo>
              <a:lnTo>
                <a:pt x="267800" y="372626"/>
              </a:lnTo>
              <a:lnTo>
                <a:pt x="264897" y="377051"/>
              </a:lnTo>
              <a:lnTo>
                <a:pt x="273505" y="379580"/>
              </a:lnTo>
              <a:lnTo>
                <a:pt x="269251" y="385561"/>
              </a:lnTo>
              <a:lnTo>
                <a:pt x="273054" y="395772"/>
              </a:lnTo>
              <a:lnTo>
                <a:pt x="289320" y="392272"/>
              </a:lnTo>
              <a:lnTo>
                <a:pt x="295926" y="368493"/>
              </a:lnTo>
              <a:lnTo>
                <a:pt x="302832" y="363582"/>
              </a:lnTo>
              <a:lnTo>
                <a:pt x="314543" y="366304"/>
              </a:lnTo>
              <a:lnTo>
                <a:pt x="322150" y="361880"/>
              </a:lnTo>
              <a:lnTo>
                <a:pt x="316895" y="359692"/>
              </a:lnTo>
              <a:lnTo>
                <a:pt x="328406" y="339997"/>
              </a:lnTo>
              <a:lnTo>
                <a:pt x="328556" y="331925"/>
              </a:lnTo>
              <a:lnTo>
                <a:pt x="349025" y="329007"/>
              </a:lnTo>
              <a:lnTo>
                <a:pt x="360036" y="322104"/>
              </a:lnTo>
              <a:lnTo>
                <a:pt x="370095" y="326674"/>
              </a:lnTo>
              <a:lnTo>
                <a:pt x="374499" y="322443"/>
              </a:lnTo>
              <a:lnTo>
                <a:pt x="372047" y="320791"/>
              </a:lnTo>
              <a:lnTo>
                <a:pt x="376351" y="306105"/>
              </a:lnTo>
              <a:lnTo>
                <a:pt x="383457" y="304987"/>
              </a:lnTo>
              <a:lnTo>
                <a:pt x="387661" y="297402"/>
              </a:lnTo>
              <a:lnTo>
                <a:pt x="393517" y="275811"/>
              </a:lnTo>
              <a:lnTo>
                <a:pt x="414887" y="270997"/>
              </a:lnTo>
              <a:lnTo>
                <a:pt x="414987" y="258742"/>
              </a:lnTo>
              <a:lnTo>
                <a:pt x="422094" y="263314"/>
              </a:lnTo>
              <a:lnTo>
                <a:pt x="426197" y="247364"/>
              </a:lnTo>
              <a:lnTo>
                <a:pt x="437858" y="239924"/>
              </a:lnTo>
              <a:lnTo>
                <a:pt x="434755" y="245856"/>
              </a:lnTo>
              <a:lnTo>
                <a:pt x="437408" y="245516"/>
              </a:lnTo>
              <a:lnTo>
                <a:pt x="445765" y="237494"/>
              </a:lnTo>
              <a:lnTo>
                <a:pt x="441862" y="232144"/>
              </a:lnTo>
              <a:lnTo>
                <a:pt x="437107" y="235111"/>
              </a:lnTo>
              <a:lnTo>
                <a:pt x="440411" y="228400"/>
              </a:lnTo>
              <a:lnTo>
                <a:pt x="430451" y="224315"/>
              </a:lnTo>
              <a:lnTo>
                <a:pt x="435706" y="214152"/>
              </a:lnTo>
              <a:lnTo>
                <a:pt x="446166" y="216048"/>
              </a:lnTo>
              <a:lnTo>
                <a:pt x="446967" y="211283"/>
              </a:lnTo>
              <a:lnTo>
                <a:pt x="450420" y="214931"/>
              </a:lnTo>
              <a:lnTo>
                <a:pt x="444214" y="229906"/>
              </a:lnTo>
              <a:lnTo>
                <a:pt x="478846" y="221932"/>
              </a:lnTo>
              <a:lnTo>
                <a:pt x="474843" y="201266"/>
              </a:lnTo>
              <a:lnTo>
                <a:pt x="481449" y="201656"/>
              </a:lnTo>
              <a:lnTo>
                <a:pt x="477395" y="195381"/>
              </a:lnTo>
              <a:lnTo>
                <a:pt x="482700" y="188039"/>
              </a:lnTo>
              <a:lnTo>
                <a:pt x="488305" y="187650"/>
              </a:lnTo>
              <a:lnTo>
                <a:pt x="491808" y="197716"/>
              </a:lnTo>
              <a:lnTo>
                <a:pt x="494811" y="189304"/>
              </a:lnTo>
              <a:lnTo>
                <a:pt x="499416" y="187700"/>
              </a:lnTo>
              <a:lnTo>
                <a:pt x="500867" y="179627"/>
              </a:lnTo>
              <a:lnTo>
                <a:pt x="489807" y="172285"/>
              </a:lnTo>
              <a:lnTo>
                <a:pt x="504570" y="176904"/>
              </a:lnTo>
              <a:lnTo>
                <a:pt x="526491" y="163824"/>
              </a:lnTo>
              <a:lnTo>
                <a:pt x="534799" y="163921"/>
              </a:lnTo>
              <a:lnTo>
                <a:pt x="534248" y="160176"/>
              </a:lnTo>
              <a:lnTo>
                <a:pt x="548161" y="150792"/>
              </a:lnTo>
              <a:lnTo>
                <a:pt x="541655" y="155314"/>
              </a:lnTo>
              <a:lnTo>
                <a:pt x="545459" y="160371"/>
              </a:lnTo>
              <a:lnTo>
                <a:pt x="548962" y="159982"/>
              </a:lnTo>
              <a:lnTo>
                <a:pt x="547410" y="157502"/>
              </a:lnTo>
              <a:lnTo>
                <a:pt x="555168" y="161635"/>
              </a:lnTo>
              <a:lnTo>
                <a:pt x="553566" y="153806"/>
              </a:lnTo>
              <a:lnTo>
                <a:pt x="584195" y="137419"/>
              </a:lnTo>
              <a:lnTo>
                <a:pt x="586947" y="146609"/>
              </a:lnTo>
              <a:lnTo>
                <a:pt x="594955" y="139850"/>
              </a:lnTo>
              <a:lnTo>
                <a:pt x="593203" y="144568"/>
              </a:lnTo>
              <a:lnTo>
                <a:pt x="597757" y="144324"/>
              </a:lnTo>
              <a:lnTo>
                <a:pt x="597657" y="149577"/>
              </a:lnTo>
              <a:lnTo>
                <a:pt x="611470" y="151035"/>
              </a:lnTo>
              <a:lnTo>
                <a:pt x="620428" y="145881"/>
              </a:lnTo>
              <a:lnTo>
                <a:pt x="618777" y="142282"/>
              </a:lnTo>
              <a:lnTo>
                <a:pt x="626734" y="143595"/>
              </a:lnTo>
              <a:lnTo>
                <a:pt x="630888" y="129785"/>
              </a:lnTo>
              <a:lnTo>
                <a:pt x="621430" y="129785"/>
              </a:lnTo>
              <a:lnTo>
                <a:pt x="622831" y="120448"/>
              </a:lnTo>
              <a:lnTo>
                <a:pt x="634191" y="114128"/>
              </a:lnTo>
              <a:lnTo>
                <a:pt x="630088" y="103381"/>
              </a:lnTo>
              <a:lnTo>
                <a:pt x="632840" y="96426"/>
              </a:lnTo>
              <a:lnTo>
                <a:pt x="641498" y="93558"/>
              </a:lnTo>
              <a:lnTo>
                <a:pt x="635593" y="89862"/>
              </a:lnTo>
              <a:lnTo>
                <a:pt x="610870" y="91321"/>
              </a:lnTo>
              <a:lnTo>
                <a:pt x="604013" y="85827"/>
              </a:lnTo>
              <a:lnTo>
                <a:pt x="597007" y="88793"/>
              </a:lnTo>
              <a:lnTo>
                <a:pt x="595706" y="76685"/>
              </a:lnTo>
              <a:lnTo>
                <a:pt x="577288" y="85292"/>
              </a:lnTo>
              <a:lnTo>
                <a:pt x="553866" y="83153"/>
              </a:lnTo>
              <a:lnTo>
                <a:pt x="548661" y="88549"/>
              </a:lnTo>
              <a:lnTo>
                <a:pt x="541005" y="84999"/>
              </a:lnTo>
              <a:lnTo>
                <a:pt x="533998" y="69682"/>
              </a:lnTo>
              <a:lnTo>
                <a:pt x="519885" y="74059"/>
              </a:lnTo>
              <a:lnTo>
                <a:pt x="514329" y="69584"/>
              </a:lnTo>
              <a:lnTo>
                <a:pt x="513278" y="59616"/>
              </a:lnTo>
              <a:lnTo>
                <a:pt x="505271" y="60103"/>
              </a:lnTo>
              <a:lnTo>
                <a:pt x="497414" y="49745"/>
              </a:lnTo>
              <a:lnTo>
                <a:pt x="480548" y="48287"/>
              </a:lnTo>
              <a:lnTo>
                <a:pt x="450870" y="62242"/>
              </a:lnTo>
              <a:lnTo>
                <a:pt x="439460" y="62679"/>
              </a:lnTo>
              <a:lnTo>
                <a:pt x="443113" y="68515"/>
              </a:lnTo>
              <a:lnTo>
                <a:pt x="438459" y="70119"/>
              </a:lnTo>
              <a:lnTo>
                <a:pt x="441011" y="76733"/>
              </a:lnTo>
              <a:lnTo>
                <a:pt x="408281" y="95163"/>
              </a:lnTo>
              <a:lnTo>
                <a:pt x="412234" y="106688"/>
              </a:lnTo>
              <a:lnTo>
                <a:pt x="399873" y="119963"/>
              </a:lnTo>
              <a:lnTo>
                <a:pt x="366342" y="121811"/>
              </a:lnTo>
              <a:lnTo>
                <a:pt x="363989" y="113495"/>
              </a:lnTo>
              <a:lnTo>
                <a:pt x="356532" y="110821"/>
              </a:lnTo>
              <a:lnTo>
                <a:pt x="356332" y="105033"/>
              </a:lnTo>
              <a:lnTo>
                <a:pt x="350827" y="110042"/>
              </a:lnTo>
              <a:lnTo>
                <a:pt x="344121" y="107612"/>
              </a:lnTo>
              <a:lnTo>
                <a:pt x="334812" y="79748"/>
              </a:lnTo>
              <a:lnTo>
                <a:pt x="341668" y="67980"/>
              </a:lnTo>
              <a:lnTo>
                <a:pt x="361036" y="66084"/>
              </a:lnTo>
              <a:lnTo>
                <a:pt x="363439" y="44591"/>
              </a:lnTo>
              <a:lnTo>
                <a:pt x="352829" y="49793"/>
              </a:lnTo>
              <a:lnTo>
                <a:pt x="332260" y="16777"/>
              </a:lnTo>
              <a:lnTo>
                <a:pt x="309338" y="16875"/>
              </a:lnTo>
              <a:lnTo>
                <a:pt x="303333" y="25432"/>
              </a:lnTo>
              <a:lnTo>
                <a:pt x="299479" y="19403"/>
              </a:lnTo>
              <a:lnTo>
                <a:pt x="259992" y="10261"/>
              </a:lnTo>
              <a:lnTo>
                <a:pt x="249983" y="0"/>
              </a:lnTo>
              <a:lnTo>
                <a:pt x="234468" y="23293"/>
              </a:lnTo>
              <a:lnTo>
                <a:pt x="222507" y="26404"/>
              </a:lnTo>
              <a:lnTo>
                <a:pt x="212848" y="46195"/>
              </a:lnTo>
              <a:lnTo>
                <a:pt x="161350" y="46730"/>
              </a:lnTo>
              <a:lnTo>
                <a:pt x="131222" y="85292"/>
              </a:lnTo>
              <a:lnTo>
                <a:pt x="123265" y="74204"/>
              </a:lnTo>
              <a:lnTo>
                <a:pt x="118410" y="85923"/>
              </a:lnTo>
              <a:lnTo>
                <a:pt x="114206" y="84610"/>
              </a:lnTo>
              <a:lnTo>
                <a:pt x="114356" y="89910"/>
              </a:lnTo>
              <a:lnTo>
                <a:pt x="119161" y="92343"/>
              </a:lnTo>
              <a:lnTo>
                <a:pt x="115157" y="96719"/>
              </a:lnTo>
              <a:lnTo>
                <a:pt x="93987" y="99198"/>
              </a:lnTo>
              <a:lnTo>
                <a:pt x="93487" y="109167"/>
              </a:lnTo>
              <a:lnTo>
                <a:pt x="88632" y="112523"/>
              </a:lnTo>
              <a:lnTo>
                <a:pt x="70265" y="153077"/>
              </a:lnTo>
              <a:lnTo>
                <a:pt x="53700" y="157940"/>
              </a:lnTo>
              <a:lnTo>
                <a:pt x="43590" y="171409"/>
              </a:lnTo>
              <a:lnTo>
                <a:pt x="36884" y="184539"/>
              </a:lnTo>
              <a:lnTo>
                <a:pt x="44491" y="203552"/>
              </a:lnTo>
              <a:lnTo>
                <a:pt x="49095" y="202238"/>
              </a:lnTo>
              <a:lnTo>
                <a:pt x="52298" y="206858"/>
              </a:lnTo>
              <a:lnTo>
                <a:pt x="54050" y="222029"/>
              </a:lnTo>
              <a:lnTo>
                <a:pt x="51097" y="233409"/>
              </a:lnTo>
              <a:lnTo>
                <a:pt x="44191" y="237494"/>
              </a:lnTo>
              <a:lnTo>
                <a:pt x="41939" y="255048"/>
              </a:lnTo>
              <a:lnTo>
                <a:pt x="54951" y="245079"/>
              </a:lnTo>
              <a:lnTo>
                <a:pt x="104047" y="223391"/>
              </a:lnTo>
              <a:lnTo>
                <a:pt x="99943" y="237639"/>
              </a:lnTo>
              <a:lnTo>
                <a:pt x="88783" y="238659"/>
              </a:lnTo>
              <a:lnTo>
                <a:pt x="84579" y="248921"/>
              </a:lnTo>
              <a:lnTo>
                <a:pt x="74419" y="251400"/>
              </a:lnTo>
              <a:lnTo>
                <a:pt x="71066" y="259326"/>
              </a:lnTo>
              <a:lnTo>
                <a:pt x="54200" y="263703"/>
              </a:lnTo>
              <a:lnTo>
                <a:pt x="42740" y="279361"/>
              </a:lnTo>
              <a:lnTo>
                <a:pt x="43640" y="285681"/>
              </a:lnTo>
              <a:lnTo>
                <a:pt x="18217" y="297012"/>
              </a:lnTo>
              <a:lnTo>
                <a:pt x="9208" y="314760"/>
              </a:lnTo>
              <a:lnTo>
                <a:pt x="3453" y="316365"/>
              </a:lnTo>
              <a:lnTo>
                <a:pt x="5204" y="324681"/>
              </a:lnTo>
              <a:lnTo>
                <a:pt x="0" y="329348"/>
              </a:lnTo>
              <a:lnTo>
                <a:pt x="8508" y="337567"/>
              </a:lnTo>
              <a:lnTo>
                <a:pt x="25123" y="334016"/>
              </a:lnTo>
              <a:lnTo>
                <a:pt x="32530" y="338393"/>
              </a:lnTo>
              <a:lnTo>
                <a:pt x="35533" y="349820"/>
              </a:lnTo>
              <a:lnTo>
                <a:pt x="49396" y="353759"/>
              </a:lnTo>
              <a:lnTo>
                <a:pt x="52198" y="370389"/>
              </a:lnTo>
              <a:lnTo>
                <a:pt x="59655" y="377149"/>
              </a:lnTo>
              <a:lnTo>
                <a:pt x="70415" y="378364"/>
              </a:lnTo>
              <a:lnTo>
                <a:pt x="71366" y="374620"/>
              </a:lnTo>
              <a:lnTo>
                <a:pt x="81926" y="378170"/>
              </a:lnTo>
              <a:lnTo>
                <a:pt x="95238" y="372529"/>
              </a:lnTo>
              <a:lnTo>
                <a:pt x="116108" y="378801"/>
              </a:lnTo>
              <a:lnTo>
                <a:pt x="123115" y="371994"/>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424155</xdr:colOff>
      <xdr:row>99</xdr:row>
      <xdr:rowOff>136054</xdr:rowOff>
    </xdr:from>
    <xdr:to>
      <xdr:col>4</xdr:col>
      <xdr:colOff>934632</xdr:colOff>
      <xdr:row>101</xdr:row>
      <xdr:rowOff>120715</xdr:rowOff>
    </xdr:to>
    <xdr:sp macro="MapShapeClick" textlink="">
      <xdr:nvSpPr>
        <xdr:cNvPr id="30" name="河南省">
          <a:extLst>
            <a:ext uri="{FF2B5EF4-FFF2-40B4-BE49-F238E27FC236}">
              <a16:creationId xmlns:a16="http://schemas.microsoft.com/office/drawing/2014/main" id="{9D92E5EE-730E-BCDB-2DE9-A59D95E5EA52}"/>
            </a:ext>
          </a:extLst>
        </xdr:cNvPr>
        <xdr:cNvSpPr/>
      </xdr:nvSpPr>
      <xdr:spPr>
        <a:xfrm>
          <a:off x="3578835" y="18713614"/>
          <a:ext cx="510477" cy="487581"/>
        </a:xfrm>
        <a:custGeom>
          <a:avLst/>
          <a:gdLst/>
          <a:ahLst/>
          <a:cxnLst/>
          <a:rect l="0" t="0" r="0" b="0"/>
          <a:pathLst>
            <a:path w="510477" h="487581">
              <a:moveTo>
                <a:pt x="191428" y="394410"/>
              </a:moveTo>
              <a:lnTo>
                <a:pt x="213799" y="392417"/>
              </a:lnTo>
              <a:lnTo>
                <a:pt x="216552" y="387894"/>
              </a:lnTo>
              <a:lnTo>
                <a:pt x="227112" y="392175"/>
              </a:lnTo>
              <a:lnTo>
                <a:pt x="231666" y="387264"/>
              </a:lnTo>
              <a:lnTo>
                <a:pt x="249282" y="402774"/>
              </a:lnTo>
              <a:lnTo>
                <a:pt x="267299" y="389110"/>
              </a:lnTo>
              <a:lnTo>
                <a:pt x="274205" y="389305"/>
              </a:lnTo>
              <a:lnTo>
                <a:pt x="278009" y="411042"/>
              </a:lnTo>
              <a:lnTo>
                <a:pt x="273655" y="420767"/>
              </a:lnTo>
              <a:lnTo>
                <a:pt x="278760" y="425289"/>
              </a:lnTo>
              <a:lnTo>
                <a:pt x="276007" y="429714"/>
              </a:lnTo>
              <a:lnTo>
                <a:pt x="280862" y="432144"/>
              </a:lnTo>
              <a:lnTo>
                <a:pt x="283864" y="443767"/>
              </a:lnTo>
              <a:lnTo>
                <a:pt x="292273" y="442843"/>
              </a:lnTo>
              <a:lnTo>
                <a:pt x="294775" y="452666"/>
              </a:lnTo>
              <a:lnTo>
                <a:pt x="311290" y="442891"/>
              </a:lnTo>
              <a:lnTo>
                <a:pt x="319498" y="452422"/>
              </a:lnTo>
              <a:lnTo>
                <a:pt x="343320" y="451498"/>
              </a:lnTo>
              <a:lnTo>
                <a:pt x="341268" y="470706"/>
              </a:lnTo>
              <a:lnTo>
                <a:pt x="347824" y="468663"/>
              </a:lnTo>
              <a:lnTo>
                <a:pt x="363138" y="480431"/>
              </a:lnTo>
              <a:lnTo>
                <a:pt x="376551" y="479264"/>
              </a:lnTo>
              <a:lnTo>
                <a:pt x="378803" y="473868"/>
              </a:lnTo>
              <a:lnTo>
                <a:pt x="384759" y="475714"/>
              </a:lnTo>
              <a:lnTo>
                <a:pt x="390314" y="466524"/>
              </a:lnTo>
              <a:lnTo>
                <a:pt x="396119" y="471241"/>
              </a:lnTo>
              <a:lnTo>
                <a:pt x="394117" y="482036"/>
              </a:lnTo>
              <a:lnTo>
                <a:pt x="401424" y="487580"/>
              </a:lnTo>
              <a:lnTo>
                <a:pt x="407330" y="485489"/>
              </a:lnTo>
              <a:lnTo>
                <a:pt x="407129" y="476931"/>
              </a:lnTo>
              <a:lnTo>
                <a:pt x="417189" y="460008"/>
              </a:lnTo>
              <a:lnTo>
                <a:pt x="431903" y="449942"/>
              </a:lnTo>
              <a:lnTo>
                <a:pt x="448969" y="450137"/>
              </a:lnTo>
              <a:lnTo>
                <a:pt x="453473" y="412792"/>
              </a:lnTo>
              <a:lnTo>
                <a:pt x="448718" y="381865"/>
              </a:lnTo>
              <a:lnTo>
                <a:pt x="445665" y="380552"/>
              </a:lnTo>
              <a:lnTo>
                <a:pt x="450921" y="374230"/>
              </a:lnTo>
              <a:lnTo>
                <a:pt x="441061" y="383713"/>
              </a:lnTo>
              <a:lnTo>
                <a:pt x="434205" y="381185"/>
              </a:lnTo>
              <a:lnTo>
                <a:pt x="427849" y="389840"/>
              </a:lnTo>
              <a:lnTo>
                <a:pt x="419441" y="386290"/>
              </a:lnTo>
              <a:lnTo>
                <a:pt x="410383" y="373454"/>
              </a:lnTo>
              <a:lnTo>
                <a:pt x="401724" y="375593"/>
              </a:lnTo>
              <a:lnTo>
                <a:pt x="393267" y="371847"/>
              </a:lnTo>
              <a:lnTo>
                <a:pt x="392966" y="346319"/>
              </a:lnTo>
              <a:lnTo>
                <a:pt x="367442" y="333337"/>
              </a:lnTo>
              <a:lnTo>
                <a:pt x="370896" y="330758"/>
              </a:lnTo>
              <a:lnTo>
                <a:pt x="369044" y="319818"/>
              </a:lnTo>
              <a:lnTo>
                <a:pt x="390614" y="323805"/>
              </a:lnTo>
              <a:lnTo>
                <a:pt x="401624" y="317872"/>
              </a:lnTo>
              <a:lnTo>
                <a:pt x="406329" y="303430"/>
              </a:lnTo>
              <a:lnTo>
                <a:pt x="402425" y="295796"/>
              </a:lnTo>
              <a:lnTo>
                <a:pt x="405028" y="283543"/>
              </a:lnTo>
              <a:lnTo>
                <a:pt x="411283" y="278242"/>
              </a:lnTo>
              <a:lnTo>
                <a:pt x="428950" y="275518"/>
              </a:lnTo>
              <a:lnTo>
                <a:pt x="422694" y="257186"/>
              </a:lnTo>
              <a:lnTo>
                <a:pt x="426848" y="256895"/>
              </a:lnTo>
              <a:lnTo>
                <a:pt x="428299" y="247705"/>
              </a:lnTo>
              <a:lnTo>
                <a:pt x="421443" y="247218"/>
              </a:lnTo>
              <a:lnTo>
                <a:pt x="426297" y="231999"/>
              </a:lnTo>
              <a:lnTo>
                <a:pt x="436757" y="227427"/>
              </a:lnTo>
              <a:lnTo>
                <a:pt x="446016" y="234477"/>
              </a:lnTo>
              <a:lnTo>
                <a:pt x="454774" y="234186"/>
              </a:lnTo>
              <a:lnTo>
                <a:pt x="464233" y="256360"/>
              </a:lnTo>
              <a:lnTo>
                <a:pt x="470839" y="263363"/>
              </a:lnTo>
              <a:lnTo>
                <a:pt x="479597" y="261369"/>
              </a:lnTo>
              <a:lnTo>
                <a:pt x="504270" y="243961"/>
              </a:lnTo>
              <a:lnTo>
                <a:pt x="510476" y="245078"/>
              </a:lnTo>
              <a:lnTo>
                <a:pt x="510326" y="237104"/>
              </a:lnTo>
              <a:lnTo>
                <a:pt x="501117" y="222905"/>
              </a:lnTo>
              <a:lnTo>
                <a:pt x="505521" y="208803"/>
              </a:lnTo>
              <a:lnTo>
                <a:pt x="488455" y="208851"/>
              </a:lnTo>
              <a:lnTo>
                <a:pt x="471389" y="189790"/>
              </a:lnTo>
              <a:lnTo>
                <a:pt x="474192" y="178313"/>
              </a:lnTo>
              <a:lnTo>
                <a:pt x="469137" y="179918"/>
              </a:lnTo>
              <a:lnTo>
                <a:pt x="466435" y="175348"/>
              </a:lnTo>
              <a:lnTo>
                <a:pt x="444164" y="180065"/>
              </a:lnTo>
              <a:lnTo>
                <a:pt x="418840" y="177683"/>
              </a:lnTo>
              <a:lnTo>
                <a:pt x="414436" y="172284"/>
              </a:lnTo>
              <a:lnTo>
                <a:pt x="411634" y="155654"/>
              </a:lnTo>
              <a:lnTo>
                <a:pt x="397771" y="151715"/>
              </a:lnTo>
              <a:lnTo>
                <a:pt x="394768" y="140288"/>
              </a:lnTo>
              <a:lnTo>
                <a:pt x="387361" y="135911"/>
              </a:lnTo>
              <a:lnTo>
                <a:pt x="370746" y="139462"/>
              </a:lnTo>
              <a:lnTo>
                <a:pt x="362238" y="131243"/>
              </a:lnTo>
              <a:lnTo>
                <a:pt x="367442" y="126576"/>
              </a:lnTo>
              <a:lnTo>
                <a:pt x="365691" y="118260"/>
              </a:lnTo>
              <a:lnTo>
                <a:pt x="371446" y="116655"/>
              </a:lnTo>
              <a:lnTo>
                <a:pt x="380455" y="98907"/>
              </a:lnTo>
              <a:lnTo>
                <a:pt x="405878" y="87576"/>
              </a:lnTo>
              <a:lnTo>
                <a:pt x="404978" y="81256"/>
              </a:lnTo>
              <a:lnTo>
                <a:pt x="416438" y="65598"/>
              </a:lnTo>
              <a:lnTo>
                <a:pt x="433304" y="61221"/>
              </a:lnTo>
              <a:lnTo>
                <a:pt x="436657" y="53295"/>
              </a:lnTo>
              <a:lnTo>
                <a:pt x="446817" y="50816"/>
              </a:lnTo>
              <a:lnTo>
                <a:pt x="451021" y="40554"/>
              </a:lnTo>
              <a:lnTo>
                <a:pt x="462181" y="39534"/>
              </a:lnTo>
              <a:lnTo>
                <a:pt x="466285" y="25286"/>
              </a:lnTo>
              <a:lnTo>
                <a:pt x="416588" y="48529"/>
              </a:lnTo>
              <a:lnTo>
                <a:pt x="406479" y="58643"/>
              </a:lnTo>
              <a:lnTo>
                <a:pt x="405678" y="42694"/>
              </a:lnTo>
              <a:lnTo>
                <a:pt x="413335" y="35304"/>
              </a:lnTo>
              <a:lnTo>
                <a:pt x="414737" y="19450"/>
              </a:lnTo>
              <a:lnTo>
                <a:pt x="402375" y="27668"/>
              </a:lnTo>
              <a:lnTo>
                <a:pt x="396620" y="17311"/>
              </a:lnTo>
              <a:lnTo>
                <a:pt x="387111" y="15463"/>
              </a:lnTo>
              <a:lnTo>
                <a:pt x="376801" y="29566"/>
              </a:lnTo>
              <a:lnTo>
                <a:pt x="369995" y="31316"/>
              </a:lnTo>
              <a:lnTo>
                <a:pt x="369845" y="22418"/>
              </a:lnTo>
              <a:lnTo>
                <a:pt x="343520" y="24655"/>
              </a:lnTo>
              <a:lnTo>
                <a:pt x="323752" y="10845"/>
              </a:lnTo>
              <a:lnTo>
                <a:pt x="309539" y="11817"/>
              </a:lnTo>
              <a:lnTo>
                <a:pt x="302232" y="9434"/>
              </a:lnTo>
              <a:lnTo>
                <a:pt x="300280" y="3405"/>
              </a:lnTo>
              <a:lnTo>
                <a:pt x="273855" y="0"/>
              </a:lnTo>
              <a:lnTo>
                <a:pt x="271153" y="18284"/>
              </a:lnTo>
              <a:lnTo>
                <a:pt x="267349" y="19013"/>
              </a:lnTo>
              <a:lnTo>
                <a:pt x="272354" y="23535"/>
              </a:lnTo>
              <a:lnTo>
                <a:pt x="267700" y="23973"/>
              </a:lnTo>
              <a:lnTo>
                <a:pt x="270902" y="33845"/>
              </a:lnTo>
              <a:lnTo>
                <a:pt x="267149" y="37152"/>
              </a:lnTo>
              <a:lnTo>
                <a:pt x="268150" y="52906"/>
              </a:lnTo>
              <a:lnTo>
                <a:pt x="261794" y="54803"/>
              </a:lnTo>
              <a:lnTo>
                <a:pt x="265247" y="73377"/>
              </a:lnTo>
              <a:lnTo>
                <a:pt x="258941" y="70946"/>
              </a:lnTo>
              <a:lnTo>
                <a:pt x="254988" y="83395"/>
              </a:lnTo>
              <a:lnTo>
                <a:pt x="239823" y="88500"/>
              </a:lnTo>
              <a:lnTo>
                <a:pt x="239173" y="93898"/>
              </a:lnTo>
              <a:lnTo>
                <a:pt x="229864" y="91709"/>
              </a:lnTo>
              <a:lnTo>
                <a:pt x="224709" y="103332"/>
              </a:lnTo>
              <a:lnTo>
                <a:pt x="214149" y="100366"/>
              </a:lnTo>
              <a:lnTo>
                <a:pt x="213799" y="106930"/>
              </a:lnTo>
              <a:lnTo>
                <a:pt x="195983" y="115731"/>
              </a:lnTo>
              <a:lnTo>
                <a:pt x="184222" y="110189"/>
              </a:lnTo>
              <a:lnTo>
                <a:pt x="184972" y="113933"/>
              </a:lnTo>
              <a:lnTo>
                <a:pt x="156596" y="114516"/>
              </a:lnTo>
              <a:lnTo>
                <a:pt x="157947" y="111355"/>
              </a:lnTo>
              <a:lnTo>
                <a:pt x="137978" y="108535"/>
              </a:lnTo>
              <a:lnTo>
                <a:pt x="138229" y="130806"/>
              </a:lnTo>
              <a:lnTo>
                <a:pt x="117760" y="130174"/>
              </a:lnTo>
              <a:lnTo>
                <a:pt x="105899" y="137905"/>
              </a:lnTo>
              <a:lnTo>
                <a:pt x="107350" y="141212"/>
              </a:lnTo>
              <a:lnTo>
                <a:pt x="98291" y="151910"/>
              </a:lnTo>
              <a:lnTo>
                <a:pt x="64009" y="155411"/>
              </a:lnTo>
              <a:lnTo>
                <a:pt x="49996" y="165427"/>
              </a:lnTo>
              <a:lnTo>
                <a:pt x="45442" y="163094"/>
              </a:lnTo>
              <a:lnTo>
                <a:pt x="37685" y="174376"/>
              </a:lnTo>
              <a:lnTo>
                <a:pt x="31579" y="170778"/>
              </a:lnTo>
              <a:lnTo>
                <a:pt x="28376" y="175445"/>
              </a:lnTo>
              <a:lnTo>
                <a:pt x="1501" y="175883"/>
              </a:lnTo>
              <a:lnTo>
                <a:pt x="3553" y="180113"/>
              </a:lnTo>
              <a:lnTo>
                <a:pt x="0" y="184149"/>
              </a:lnTo>
              <a:lnTo>
                <a:pt x="11611" y="201850"/>
              </a:lnTo>
              <a:lnTo>
                <a:pt x="5505" y="206664"/>
              </a:lnTo>
              <a:lnTo>
                <a:pt x="6406" y="211088"/>
              </a:lnTo>
              <a:lnTo>
                <a:pt x="22871" y="219161"/>
              </a:lnTo>
              <a:lnTo>
                <a:pt x="18417" y="232679"/>
              </a:lnTo>
              <a:lnTo>
                <a:pt x="21119" y="231464"/>
              </a:lnTo>
              <a:lnTo>
                <a:pt x="24773" y="241043"/>
              </a:lnTo>
              <a:lnTo>
                <a:pt x="18417" y="245954"/>
              </a:lnTo>
              <a:lnTo>
                <a:pt x="34232" y="254901"/>
              </a:lnTo>
              <a:lnTo>
                <a:pt x="37635" y="265696"/>
              </a:lnTo>
              <a:lnTo>
                <a:pt x="52248" y="276151"/>
              </a:lnTo>
              <a:lnTo>
                <a:pt x="54050" y="300318"/>
              </a:lnTo>
              <a:lnTo>
                <a:pt x="50697" y="307613"/>
              </a:lnTo>
              <a:lnTo>
                <a:pt x="55652" y="315927"/>
              </a:lnTo>
              <a:lnTo>
                <a:pt x="66512" y="321227"/>
              </a:lnTo>
              <a:lnTo>
                <a:pt x="64360" y="328571"/>
              </a:lnTo>
              <a:lnTo>
                <a:pt x="72968" y="331780"/>
              </a:lnTo>
              <a:lnTo>
                <a:pt x="72667" y="343644"/>
              </a:lnTo>
              <a:lnTo>
                <a:pt x="82827" y="348945"/>
              </a:lnTo>
              <a:lnTo>
                <a:pt x="85530" y="355898"/>
              </a:lnTo>
              <a:lnTo>
                <a:pt x="90584" y="355607"/>
              </a:lnTo>
              <a:lnTo>
                <a:pt x="89183" y="358865"/>
              </a:lnTo>
              <a:lnTo>
                <a:pt x="98892" y="371702"/>
              </a:lnTo>
              <a:lnTo>
                <a:pt x="103997" y="367714"/>
              </a:lnTo>
              <a:lnTo>
                <a:pt x="124266" y="380407"/>
              </a:lnTo>
              <a:lnTo>
                <a:pt x="129020" y="379045"/>
              </a:lnTo>
              <a:lnTo>
                <a:pt x="134375" y="385512"/>
              </a:lnTo>
              <a:lnTo>
                <a:pt x="138379" y="383178"/>
              </a:lnTo>
              <a:lnTo>
                <a:pt x="145836" y="392514"/>
              </a:lnTo>
              <a:lnTo>
                <a:pt x="145385" y="389208"/>
              </a:lnTo>
              <a:lnTo>
                <a:pt x="159849" y="397863"/>
              </a:lnTo>
              <a:lnTo>
                <a:pt x="177515" y="389938"/>
              </a:lnTo>
              <a:lnTo>
                <a:pt x="185623" y="393390"/>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262504</xdr:colOff>
      <xdr:row>100</xdr:row>
      <xdr:rowOff>190261</xdr:rowOff>
    </xdr:from>
    <xdr:to>
      <xdr:col>4</xdr:col>
      <xdr:colOff>893343</xdr:colOff>
      <xdr:row>102</xdr:row>
      <xdr:rowOff>90652</xdr:rowOff>
    </xdr:to>
    <xdr:sp macro="MapShapeClick" textlink="">
      <xdr:nvSpPr>
        <xdr:cNvPr id="31" name="湖北省">
          <a:extLst>
            <a:ext uri="{FF2B5EF4-FFF2-40B4-BE49-F238E27FC236}">
              <a16:creationId xmlns:a16="http://schemas.microsoft.com/office/drawing/2014/main" id="{9C8327C6-0538-F687-2480-66BCB72BBFE7}"/>
            </a:ext>
          </a:extLst>
        </xdr:cNvPr>
        <xdr:cNvSpPr/>
      </xdr:nvSpPr>
      <xdr:spPr>
        <a:xfrm>
          <a:off x="3417184" y="19019281"/>
          <a:ext cx="630839" cy="403311"/>
        </a:xfrm>
        <a:custGeom>
          <a:avLst/>
          <a:gdLst/>
          <a:ahLst/>
          <a:cxnLst/>
          <a:rect l="0" t="0" r="0" b="0"/>
          <a:pathLst>
            <a:path w="630839" h="403311">
              <a:moveTo>
                <a:pt x="217303" y="10260"/>
              </a:moveTo>
              <a:lnTo>
                <a:pt x="210396" y="2091"/>
              </a:lnTo>
              <a:lnTo>
                <a:pt x="189426" y="17312"/>
              </a:lnTo>
              <a:lnTo>
                <a:pt x="180618" y="10407"/>
              </a:lnTo>
              <a:lnTo>
                <a:pt x="179267" y="2432"/>
              </a:lnTo>
              <a:lnTo>
                <a:pt x="170609" y="10114"/>
              </a:lnTo>
              <a:lnTo>
                <a:pt x="150090" y="10892"/>
              </a:lnTo>
              <a:lnTo>
                <a:pt x="145736" y="6420"/>
              </a:lnTo>
              <a:lnTo>
                <a:pt x="134876" y="8120"/>
              </a:lnTo>
              <a:lnTo>
                <a:pt x="101445" y="0"/>
              </a:lnTo>
              <a:lnTo>
                <a:pt x="86731" y="11962"/>
              </a:lnTo>
              <a:lnTo>
                <a:pt x="115658" y="20230"/>
              </a:lnTo>
              <a:lnTo>
                <a:pt x="115257" y="38123"/>
              </a:lnTo>
              <a:lnTo>
                <a:pt x="124816" y="36033"/>
              </a:lnTo>
              <a:lnTo>
                <a:pt x="140881" y="42938"/>
              </a:lnTo>
              <a:lnTo>
                <a:pt x="149089" y="62195"/>
              </a:lnTo>
              <a:lnTo>
                <a:pt x="144835" y="66035"/>
              </a:lnTo>
              <a:lnTo>
                <a:pt x="139680" y="63750"/>
              </a:lnTo>
              <a:lnTo>
                <a:pt x="133775" y="70509"/>
              </a:lnTo>
              <a:lnTo>
                <a:pt x="125066" y="66084"/>
              </a:lnTo>
              <a:lnTo>
                <a:pt x="102395" y="65404"/>
              </a:lnTo>
              <a:lnTo>
                <a:pt x="91335" y="94239"/>
              </a:lnTo>
              <a:lnTo>
                <a:pt x="99242" y="102019"/>
              </a:lnTo>
              <a:lnTo>
                <a:pt x="101595" y="112863"/>
              </a:lnTo>
              <a:lnTo>
                <a:pt x="99092" y="121859"/>
              </a:lnTo>
              <a:lnTo>
                <a:pt x="102395" y="126673"/>
              </a:lnTo>
              <a:lnTo>
                <a:pt x="98592" y="132606"/>
              </a:lnTo>
              <a:lnTo>
                <a:pt x="102596" y="141796"/>
              </a:lnTo>
              <a:lnTo>
                <a:pt x="98692" y="149236"/>
              </a:lnTo>
              <a:lnTo>
                <a:pt x="110503" y="151715"/>
              </a:lnTo>
              <a:lnTo>
                <a:pt x="113206" y="161052"/>
              </a:lnTo>
              <a:lnTo>
                <a:pt x="110203" y="166255"/>
              </a:lnTo>
              <a:lnTo>
                <a:pt x="129871" y="169999"/>
              </a:lnTo>
              <a:lnTo>
                <a:pt x="127869" y="173647"/>
              </a:lnTo>
              <a:lnTo>
                <a:pt x="141982" y="179432"/>
              </a:lnTo>
              <a:lnTo>
                <a:pt x="148589" y="203308"/>
              </a:lnTo>
              <a:lnTo>
                <a:pt x="142082" y="209970"/>
              </a:lnTo>
              <a:lnTo>
                <a:pt x="146386" y="220376"/>
              </a:lnTo>
              <a:lnTo>
                <a:pt x="139030" y="237347"/>
              </a:lnTo>
              <a:lnTo>
                <a:pt x="133024" y="229422"/>
              </a:lnTo>
              <a:lnTo>
                <a:pt x="123765" y="227865"/>
              </a:lnTo>
              <a:lnTo>
                <a:pt x="104447" y="241043"/>
              </a:lnTo>
              <a:lnTo>
                <a:pt x="97741" y="251789"/>
              </a:lnTo>
              <a:lnTo>
                <a:pt x="94588" y="250087"/>
              </a:lnTo>
              <a:lnTo>
                <a:pt x="86480" y="256603"/>
              </a:lnTo>
              <a:lnTo>
                <a:pt x="79924" y="266863"/>
              </a:lnTo>
              <a:lnTo>
                <a:pt x="75420" y="253346"/>
              </a:lnTo>
              <a:lnTo>
                <a:pt x="62758" y="263654"/>
              </a:lnTo>
              <a:lnTo>
                <a:pt x="58605" y="258207"/>
              </a:lnTo>
              <a:lnTo>
                <a:pt x="60156" y="251837"/>
              </a:lnTo>
              <a:lnTo>
                <a:pt x="54551" y="250963"/>
              </a:lnTo>
              <a:lnTo>
                <a:pt x="35533" y="266474"/>
              </a:lnTo>
              <a:lnTo>
                <a:pt x="30278" y="266134"/>
              </a:lnTo>
              <a:lnTo>
                <a:pt x="25774" y="257381"/>
              </a:lnTo>
              <a:lnTo>
                <a:pt x="15965" y="268615"/>
              </a:lnTo>
              <a:lnTo>
                <a:pt x="4504" y="266377"/>
              </a:lnTo>
              <a:lnTo>
                <a:pt x="2502" y="277270"/>
              </a:lnTo>
              <a:lnTo>
                <a:pt x="17116" y="288647"/>
              </a:lnTo>
              <a:lnTo>
                <a:pt x="11561" y="307273"/>
              </a:lnTo>
              <a:lnTo>
                <a:pt x="11761" y="323416"/>
              </a:lnTo>
              <a:lnTo>
                <a:pt x="0" y="327549"/>
              </a:lnTo>
              <a:lnTo>
                <a:pt x="4304" y="329932"/>
              </a:lnTo>
              <a:lnTo>
                <a:pt x="5355" y="336934"/>
              </a:lnTo>
              <a:lnTo>
                <a:pt x="10810" y="340046"/>
              </a:lnTo>
              <a:lnTo>
                <a:pt x="18667" y="325459"/>
              </a:lnTo>
              <a:lnTo>
                <a:pt x="23371" y="326285"/>
              </a:lnTo>
              <a:lnTo>
                <a:pt x="25974" y="341748"/>
              </a:lnTo>
              <a:lnTo>
                <a:pt x="30979" y="345542"/>
              </a:lnTo>
              <a:lnTo>
                <a:pt x="33731" y="341554"/>
              </a:lnTo>
              <a:lnTo>
                <a:pt x="33331" y="346805"/>
              </a:lnTo>
              <a:lnTo>
                <a:pt x="38436" y="344666"/>
              </a:lnTo>
              <a:lnTo>
                <a:pt x="43040" y="349675"/>
              </a:lnTo>
              <a:lnTo>
                <a:pt x="40238" y="362220"/>
              </a:lnTo>
              <a:lnTo>
                <a:pt x="45192" y="365478"/>
              </a:lnTo>
              <a:lnTo>
                <a:pt x="44542" y="375690"/>
              </a:lnTo>
              <a:lnTo>
                <a:pt x="56002" y="368494"/>
              </a:lnTo>
              <a:lnTo>
                <a:pt x="62608" y="380893"/>
              </a:lnTo>
              <a:lnTo>
                <a:pt x="60056" y="385902"/>
              </a:lnTo>
              <a:lnTo>
                <a:pt x="69965" y="394946"/>
              </a:lnTo>
              <a:lnTo>
                <a:pt x="73368" y="394703"/>
              </a:lnTo>
              <a:lnTo>
                <a:pt x="72017" y="385318"/>
              </a:lnTo>
              <a:lnTo>
                <a:pt x="79724" y="379532"/>
              </a:lnTo>
              <a:lnTo>
                <a:pt x="79024" y="371653"/>
              </a:lnTo>
              <a:lnTo>
                <a:pt x="82877" y="371411"/>
              </a:lnTo>
              <a:lnTo>
                <a:pt x="81025" y="367520"/>
              </a:lnTo>
              <a:lnTo>
                <a:pt x="93037" y="347681"/>
              </a:lnTo>
              <a:lnTo>
                <a:pt x="105098" y="350162"/>
              </a:lnTo>
              <a:lnTo>
                <a:pt x="109402" y="348703"/>
              </a:lnTo>
              <a:lnTo>
                <a:pt x="114407" y="335378"/>
              </a:lnTo>
              <a:lnTo>
                <a:pt x="141582" y="332364"/>
              </a:lnTo>
              <a:lnTo>
                <a:pt x="162602" y="347000"/>
              </a:lnTo>
              <a:lnTo>
                <a:pt x="184572" y="333676"/>
              </a:lnTo>
              <a:lnTo>
                <a:pt x="172861" y="320887"/>
              </a:lnTo>
              <a:lnTo>
                <a:pt x="177616" y="313789"/>
              </a:lnTo>
              <a:lnTo>
                <a:pt x="172761" y="307466"/>
              </a:lnTo>
              <a:lnTo>
                <a:pt x="185223" y="305375"/>
              </a:lnTo>
              <a:lnTo>
                <a:pt x="190227" y="309558"/>
              </a:lnTo>
              <a:lnTo>
                <a:pt x="193780" y="307564"/>
              </a:lnTo>
              <a:lnTo>
                <a:pt x="193030" y="302068"/>
              </a:lnTo>
              <a:lnTo>
                <a:pt x="233268" y="308877"/>
              </a:lnTo>
              <a:lnTo>
                <a:pt x="245629" y="320839"/>
              </a:lnTo>
              <a:lnTo>
                <a:pt x="279461" y="321957"/>
              </a:lnTo>
              <a:lnTo>
                <a:pt x="301031" y="336691"/>
              </a:lnTo>
              <a:lnTo>
                <a:pt x="300180" y="342526"/>
              </a:lnTo>
              <a:lnTo>
                <a:pt x="311290" y="346951"/>
              </a:lnTo>
              <a:lnTo>
                <a:pt x="314694" y="344568"/>
              </a:lnTo>
              <a:lnTo>
                <a:pt x="313843" y="348605"/>
              </a:lnTo>
              <a:lnTo>
                <a:pt x="319498" y="351473"/>
              </a:lnTo>
              <a:lnTo>
                <a:pt x="318497" y="357843"/>
              </a:lnTo>
              <a:lnTo>
                <a:pt x="330558" y="346951"/>
              </a:lnTo>
              <a:lnTo>
                <a:pt x="351227" y="349966"/>
              </a:lnTo>
              <a:lnTo>
                <a:pt x="364840" y="332995"/>
              </a:lnTo>
              <a:lnTo>
                <a:pt x="370345" y="333871"/>
              </a:lnTo>
              <a:lnTo>
                <a:pt x="371597" y="342381"/>
              </a:lnTo>
              <a:lnTo>
                <a:pt x="378203" y="333969"/>
              </a:lnTo>
              <a:lnTo>
                <a:pt x="368944" y="349479"/>
              </a:lnTo>
              <a:lnTo>
                <a:pt x="372047" y="361978"/>
              </a:lnTo>
              <a:lnTo>
                <a:pt x="380755" y="357358"/>
              </a:lnTo>
              <a:lnTo>
                <a:pt x="382457" y="365235"/>
              </a:lnTo>
              <a:lnTo>
                <a:pt x="387912" y="364213"/>
              </a:lnTo>
              <a:lnTo>
                <a:pt x="422544" y="326820"/>
              </a:lnTo>
              <a:lnTo>
                <a:pt x="420542" y="343061"/>
              </a:lnTo>
              <a:lnTo>
                <a:pt x="430001" y="342235"/>
              </a:lnTo>
              <a:lnTo>
                <a:pt x="436107" y="352058"/>
              </a:lnTo>
              <a:lnTo>
                <a:pt x="427348" y="357308"/>
              </a:lnTo>
              <a:lnTo>
                <a:pt x="437458" y="364457"/>
              </a:lnTo>
              <a:lnTo>
                <a:pt x="425647" y="382643"/>
              </a:lnTo>
              <a:lnTo>
                <a:pt x="432403" y="384978"/>
              </a:lnTo>
              <a:lnTo>
                <a:pt x="429951" y="390278"/>
              </a:lnTo>
              <a:lnTo>
                <a:pt x="432653" y="398836"/>
              </a:lnTo>
              <a:lnTo>
                <a:pt x="442413" y="396259"/>
              </a:lnTo>
              <a:lnTo>
                <a:pt x="449069" y="403310"/>
              </a:lnTo>
              <a:lnTo>
                <a:pt x="462482" y="386972"/>
              </a:lnTo>
              <a:lnTo>
                <a:pt x="477846" y="384200"/>
              </a:lnTo>
              <a:lnTo>
                <a:pt x="478396" y="374036"/>
              </a:lnTo>
              <a:lnTo>
                <a:pt x="482300" y="372042"/>
              </a:lnTo>
              <a:lnTo>
                <a:pt x="485103" y="375544"/>
              </a:lnTo>
              <a:lnTo>
                <a:pt x="499566" y="375738"/>
              </a:lnTo>
              <a:lnTo>
                <a:pt x="512028" y="369174"/>
              </a:lnTo>
              <a:lnTo>
                <a:pt x="519084" y="372238"/>
              </a:lnTo>
              <a:lnTo>
                <a:pt x="530094" y="369029"/>
              </a:lnTo>
              <a:lnTo>
                <a:pt x="534298" y="362706"/>
              </a:lnTo>
              <a:lnTo>
                <a:pt x="529544" y="365429"/>
              </a:lnTo>
              <a:lnTo>
                <a:pt x="527242" y="361685"/>
              </a:lnTo>
              <a:lnTo>
                <a:pt x="533748" y="360032"/>
              </a:lnTo>
              <a:lnTo>
                <a:pt x="538652" y="352738"/>
              </a:lnTo>
              <a:lnTo>
                <a:pt x="551114" y="358525"/>
              </a:lnTo>
              <a:lnTo>
                <a:pt x="547811" y="342185"/>
              </a:lnTo>
              <a:lnTo>
                <a:pt x="561824" y="348410"/>
              </a:lnTo>
              <a:lnTo>
                <a:pt x="576838" y="337080"/>
              </a:lnTo>
              <a:lnTo>
                <a:pt x="580191" y="327647"/>
              </a:lnTo>
              <a:lnTo>
                <a:pt x="592853" y="326723"/>
              </a:lnTo>
              <a:lnTo>
                <a:pt x="612521" y="338539"/>
              </a:lnTo>
              <a:lnTo>
                <a:pt x="630838" y="329592"/>
              </a:lnTo>
              <a:lnTo>
                <a:pt x="625834" y="315491"/>
              </a:lnTo>
              <a:lnTo>
                <a:pt x="625183" y="293463"/>
              </a:lnTo>
              <a:lnTo>
                <a:pt x="611971" y="283201"/>
              </a:lnTo>
              <a:lnTo>
                <a:pt x="612572" y="263849"/>
              </a:lnTo>
              <a:lnTo>
                <a:pt x="600560" y="248141"/>
              </a:lnTo>
              <a:lnTo>
                <a:pt x="602212" y="241869"/>
              </a:lnTo>
              <a:lnTo>
                <a:pt x="607767" y="241384"/>
              </a:lnTo>
              <a:lnTo>
                <a:pt x="608918" y="231220"/>
              </a:lnTo>
              <a:lnTo>
                <a:pt x="625684" y="222467"/>
              </a:lnTo>
              <a:lnTo>
                <a:pt x="624632" y="217167"/>
              </a:lnTo>
              <a:lnTo>
                <a:pt x="614873" y="213909"/>
              </a:lnTo>
              <a:lnTo>
                <a:pt x="609068" y="204378"/>
              </a:lnTo>
              <a:lnTo>
                <a:pt x="601861" y="207733"/>
              </a:lnTo>
              <a:lnTo>
                <a:pt x="595556" y="199273"/>
              </a:lnTo>
              <a:lnTo>
                <a:pt x="586197" y="204719"/>
              </a:lnTo>
              <a:lnTo>
                <a:pt x="574636" y="185657"/>
              </a:lnTo>
              <a:lnTo>
                <a:pt x="568830" y="185220"/>
              </a:lnTo>
              <a:lnTo>
                <a:pt x="568981" y="179822"/>
              </a:lnTo>
              <a:lnTo>
                <a:pt x="558971" y="181135"/>
              </a:lnTo>
              <a:lnTo>
                <a:pt x="555768" y="176369"/>
              </a:lnTo>
              <a:lnTo>
                <a:pt x="557770" y="165574"/>
              </a:lnTo>
              <a:lnTo>
                <a:pt x="551965" y="160857"/>
              </a:lnTo>
              <a:lnTo>
                <a:pt x="546410" y="170047"/>
              </a:lnTo>
              <a:lnTo>
                <a:pt x="540454" y="168201"/>
              </a:lnTo>
              <a:lnTo>
                <a:pt x="538202" y="173597"/>
              </a:lnTo>
              <a:lnTo>
                <a:pt x="524789" y="174764"/>
              </a:lnTo>
              <a:lnTo>
                <a:pt x="509475" y="162996"/>
              </a:lnTo>
              <a:lnTo>
                <a:pt x="502919" y="165039"/>
              </a:lnTo>
              <a:lnTo>
                <a:pt x="504971" y="145831"/>
              </a:lnTo>
              <a:lnTo>
                <a:pt x="481149" y="146755"/>
              </a:lnTo>
              <a:lnTo>
                <a:pt x="472941" y="137224"/>
              </a:lnTo>
              <a:lnTo>
                <a:pt x="456426" y="146999"/>
              </a:lnTo>
              <a:lnTo>
                <a:pt x="453924" y="137176"/>
              </a:lnTo>
              <a:lnTo>
                <a:pt x="445515" y="138100"/>
              </a:lnTo>
              <a:lnTo>
                <a:pt x="442513" y="126477"/>
              </a:lnTo>
              <a:lnTo>
                <a:pt x="437658" y="124047"/>
              </a:lnTo>
              <a:lnTo>
                <a:pt x="440411" y="119622"/>
              </a:lnTo>
              <a:lnTo>
                <a:pt x="434806" y="111161"/>
              </a:lnTo>
              <a:lnTo>
                <a:pt x="439660" y="105375"/>
              </a:lnTo>
              <a:lnTo>
                <a:pt x="435856" y="83638"/>
              </a:lnTo>
              <a:lnTo>
                <a:pt x="428950" y="83443"/>
              </a:lnTo>
              <a:lnTo>
                <a:pt x="410933" y="97107"/>
              </a:lnTo>
              <a:lnTo>
                <a:pt x="393317" y="81597"/>
              </a:lnTo>
              <a:lnTo>
                <a:pt x="388763" y="86508"/>
              </a:lnTo>
              <a:lnTo>
                <a:pt x="378203" y="82227"/>
              </a:lnTo>
              <a:lnTo>
                <a:pt x="375450" y="86750"/>
              </a:lnTo>
              <a:lnTo>
                <a:pt x="354631" y="88889"/>
              </a:lnTo>
              <a:lnTo>
                <a:pt x="339166" y="84271"/>
              </a:lnTo>
              <a:lnTo>
                <a:pt x="321500" y="92196"/>
              </a:lnTo>
              <a:lnTo>
                <a:pt x="265648" y="62047"/>
              </a:lnTo>
              <a:lnTo>
                <a:pt x="260543" y="66035"/>
              </a:lnTo>
              <a:lnTo>
                <a:pt x="250834" y="53198"/>
              </a:lnTo>
              <a:lnTo>
                <a:pt x="252235" y="49940"/>
              </a:lnTo>
              <a:lnTo>
                <a:pt x="247181" y="50231"/>
              </a:lnTo>
              <a:lnTo>
                <a:pt x="244478" y="43278"/>
              </a:lnTo>
              <a:lnTo>
                <a:pt x="234318" y="37977"/>
              </a:lnTo>
              <a:lnTo>
                <a:pt x="234619" y="26113"/>
              </a:lnTo>
              <a:lnTo>
                <a:pt x="226011" y="22904"/>
              </a:lnTo>
              <a:lnTo>
                <a:pt x="228163" y="15560"/>
              </a:lnTo>
              <a:lnTo>
                <a:pt x="220806" y="9094"/>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296586</xdr:colOff>
      <xdr:row>101</xdr:row>
      <xdr:rowOff>240869</xdr:rowOff>
    </xdr:from>
    <xdr:to>
      <xdr:col>4</xdr:col>
      <xdr:colOff>740401</xdr:colOff>
      <xdr:row>103</xdr:row>
      <xdr:rowOff>238611</xdr:rowOff>
    </xdr:to>
    <xdr:sp macro="MapShapeClick" textlink="">
      <xdr:nvSpPr>
        <xdr:cNvPr id="32" name="湖南省">
          <a:extLst>
            <a:ext uri="{FF2B5EF4-FFF2-40B4-BE49-F238E27FC236}">
              <a16:creationId xmlns:a16="http://schemas.microsoft.com/office/drawing/2014/main" id="{FD3B1356-6442-55F2-08E2-EA2C6FE5845F}"/>
            </a:ext>
          </a:extLst>
        </xdr:cNvPr>
        <xdr:cNvSpPr/>
      </xdr:nvSpPr>
      <xdr:spPr>
        <a:xfrm>
          <a:off x="3451266" y="19321349"/>
          <a:ext cx="443815" cy="500662"/>
        </a:xfrm>
        <a:custGeom>
          <a:avLst/>
          <a:gdLst/>
          <a:ahLst/>
          <a:cxnLst/>
          <a:rect l="0" t="0" r="0" b="0"/>
          <a:pathLst>
            <a:path w="443815" h="500662">
              <a:moveTo>
                <a:pt x="262745" y="492102"/>
              </a:moveTo>
              <a:lnTo>
                <a:pt x="274355" y="481405"/>
              </a:lnTo>
              <a:lnTo>
                <a:pt x="275006" y="475326"/>
              </a:lnTo>
              <a:lnTo>
                <a:pt x="270502" y="472117"/>
              </a:lnTo>
              <a:lnTo>
                <a:pt x="275957" y="452472"/>
              </a:lnTo>
              <a:lnTo>
                <a:pt x="285366" y="454757"/>
              </a:lnTo>
              <a:lnTo>
                <a:pt x="290421" y="451646"/>
              </a:lnTo>
              <a:lnTo>
                <a:pt x="294474" y="456070"/>
              </a:lnTo>
              <a:lnTo>
                <a:pt x="296777" y="452180"/>
              </a:lnTo>
              <a:lnTo>
                <a:pt x="306486" y="457675"/>
              </a:lnTo>
              <a:lnTo>
                <a:pt x="314393" y="456946"/>
              </a:lnTo>
              <a:lnTo>
                <a:pt x="324202" y="478098"/>
              </a:lnTo>
              <a:lnTo>
                <a:pt x="331759" y="478098"/>
              </a:lnTo>
              <a:lnTo>
                <a:pt x="341568" y="475374"/>
              </a:lnTo>
              <a:lnTo>
                <a:pt x="339416" y="456118"/>
              </a:lnTo>
              <a:lnTo>
                <a:pt x="344821" y="451061"/>
              </a:lnTo>
              <a:lnTo>
                <a:pt x="341418" y="446637"/>
              </a:lnTo>
              <a:lnTo>
                <a:pt x="331209" y="446443"/>
              </a:lnTo>
              <a:lnTo>
                <a:pt x="330208" y="438516"/>
              </a:lnTo>
              <a:lnTo>
                <a:pt x="335863" y="442212"/>
              </a:lnTo>
              <a:lnTo>
                <a:pt x="360386" y="423052"/>
              </a:lnTo>
              <a:lnTo>
                <a:pt x="367292" y="424804"/>
              </a:lnTo>
              <a:lnTo>
                <a:pt x="367542" y="429083"/>
              </a:lnTo>
              <a:lnTo>
                <a:pt x="378553" y="436571"/>
              </a:lnTo>
              <a:lnTo>
                <a:pt x="389063" y="437933"/>
              </a:lnTo>
              <a:lnTo>
                <a:pt x="389513" y="441336"/>
              </a:lnTo>
              <a:lnTo>
                <a:pt x="403226" y="436279"/>
              </a:lnTo>
              <a:lnTo>
                <a:pt x="408231" y="439343"/>
              </a:lnTo>
              <a:lnTo>
                <a:pt x="422144" y="421302"/>
              </a:lnTo>
              <a:lnTo>
                <a:pt x="416238" y="405791"/>
              </a:lnTo>
              <a:lnTo>
                <a:pt x="425547" y="388479"/>
              </a:lnTo>
              <a:lnTo>
                <a:pt x="423945" y="377393"/>
              </a:lnTo>
              <a:lnTo>
                <a:pt x="426848" y="371897"/>
              </a:lnTo>
              <a:lnTo>
                <a:pt x="442563" y="365042"/>
              </a:lnTo>
              <a:lnTo>
                <a:pt x="438008" y="359400"/>
              </a:lnTo>
              <a:lnTo>
                <a:pt x="420242" y="365187"/>
              </a:lnTo>
              <a:lnTo>
                <a:pt x="419141" y="361394"/>
              </a:lnTo>
              <a:lnTo>
                <a:pt x="425647" y="354732"/>
              </a:lnTo>
              <a:lnTo>
                <a:pt x="425747" y="344716"/>
              </a:lnTo>
              <a:lnTo>
                <a:pt x="430201" y="342041"/>
              </a:lnTo>
              <a:lnTo>
                <a:pt x="432103" y="327210"/>
              </a:lnTo>
              <a:lnTo>
                <a:pt x="411934" y="318603"/>
              </a:lnTo>
              <a:lnTo>
                <a:pt x="409932" y="305668"/>
              </a:lnTo>
              <a:lnTo>
                <a:pt x="417339" y="292685"/>
              </a:lnTo>
              <a:lnTo>
                <a:pt x="404727" y="279216"/>
              </a:lnTo>
              <a:lnTo>
                <a:pt x="412935" y="261564"/>
              </a:lnTo>
              <a:lnTo>
                <a:pt x="412935" y="252859"/>
              </a:lnTo>
              <a:lnTo>
                <a:pt x="392116" y="256458"/>
              </a:lnTo>
              <a:lnTo>
                <a:pt x="390063" y="245274"/>
              </a:lnTo>
              <a:lnTo>
                <a:pt x="392966" y="242356"/>
              </a:lnTo>
              <a:lnTo>
                <a:pt x="389063" y="238175"/>
              </a:lnTo>
              <a:lnTo>
                <a:pt x="404027" y="214882"/>
              </a:lnTo>
              <a:lnTo>
                <a:pt x="403126" y="202531"/>
              </a:lnTo>
              <a:lnTo>
                <a:pt x="425347" y="193536"/>
              </a:lnTo>
              <a:lnTo>
                <a:pt x="422644" y="181572"/>
              </a:lnTo>
              <a:lnTo>
                <a:pt x="438058" y="173404"/>
              </a:lnTo>
              <a:lnTo>
                <a:pt x="443814" y="166985"/>
              </a:lnTo>
              <a:lnTo>
                <a:pt x="443764" y="159935"/>
              </a:lnTo>
              <a:lnTo>
                <a:pt x="437258" y="156530"/>
              </a:lnTo>
              <a:lnTo>
                <a:pt x="441011" y="151717"/>
              </a:lnTo>
              <a:lnTo>
                <a:pt x="430251" y="144908"/>
              </a:lnTo>
              <a:lnTo>
                <a:pt x="434005" y="140386"/>
              </a:lnTo>
              <a:lnTo>
                <a:pt x="435756" y="119818"/>
              </a:lnTo>
              <a:lnTo>
                <a:pt x="429500" y="119331"/>
              </a:lnTo>
              <a:lnTo>
                <a:pt x="423995" y="108098"/>
              </a:lnTo>
              <a:lnTo>
                <a:pt x="421143" y="109752"/>
              </a:lnTo>
              <a:lnTo>
                <a:pt x="418540" y="99588"/>
              </a:lnTo>
              <a:lnTo>
                <a:pt x="413235" y="100414"/>
              </a:lnTo>
              <a:lnTo>
                <a:pt x="408331" y="94191"/>
              </a:lnTo>
              <a:lnTo>
                <a:pt x="398571" y="96768"/>
              </a:lnTo>
              <a:lnTo>
                <a:pt x="395869" y="88210"/>
              </a:lnTo>
              <a:lnTo>
                <a:pt x="398321" y="82910"/>
              </a:lnTo>
              <a:lnTo>
                <a:pt x="391565" y="80575"/>
              </a:lnTo>
              <a:lnTo>
                <a:pt x="403376" y="62389"/>
              </a:lnTo>
              <a:lnTo>
                <a:pt x="393266" y="55240"/>
              </a:lnTo>
              <a:lnTo>
                <a:pt x="402025" y="49990"/>
              </a:lnTo>
              <a:lnTo>
                <a:pt x="395919" y="40167"/>
              </a:lnTo>
              <a:lnTo>
                <a:pt x="386460" y="40993"/>
              </a:lnTo>
              <a:lnTo>
                <a:pt x="388462" y="24752"/>
              </a:lnTo>
              <a:lnTo>
                <a:pt x="353830" y="62145"/>
              </a:lnTo>
              <a:lnTo>
                <a:pt x="348375" y="63167"/>
              </a:lnTo>
              <a:lnTo>
                <a:pt x="346673" y="55290"/>
              </a:lnTo>
              <a:lnTo>
                <a:pt x="337965" y="59910"/>
              </a:lnTo>
              <a:lnTo>
                <a:pt x="334862" y="47411"/>
              </a:lnTo>
              <a:lnTo>
                <a:pt x="344121" y="31901"/>
              </a:lnTo>
              <a:lnTo>
                <a:pt x="337515" y="40313"/>
              </a:lnTo>
              <a:lnTo>
                <a:pt x="335813" y="32484"/>
              </a:lnTo>
              <a:lnTo>
                <a:pt x="330758" y="30927"/>
              </a:lnTo>
              <a:lnTo>
                <a:pt x="317145" y="47898"/>
              </a:lnTo>
              <a:lnTo>
                <a:pt x="296476" y="44883"/>
              </a:lnTo>
              <a:lnTo>
                <a:pt x="284415" y="55775"/>
              </a:lnTo>
              <a:lnTo>
                <a:pt x="285416" y="49405"/>
              </a:lnTo>
              <a:lnTo>
                <a:pt x="279761" y="46537"/>
              </a:lnTo>
              <a:lnTo>
                <a:pt x="280612" y="42500"/>
              </a:lnTo>
              <a:lnTo>
                <a:pt x="277208" y="44883"/>
              </a:lnTo>
              <a:lnTo>
                <a:pt x="266098" y="40458"/>
              </a:lnTo>
              <a:lnTo>
                <a:pt x="266949" y="34623"/>
              </a:lnTo>
              <a:lnTo>
                <a:pt x="245379" y="19889"/>
              </a:lnTo>
              <a:lnTo>
                <a:pt x="211547" y="18771"/>
              </a:lnTo>
              <a:lnTo>
                <a:pt x="199186" y="6809"/>
              </a:lnTo>
              <a:lnTo>
                <a:pt x="158948" y="0"/>
              </a:lnTo>
              <a:lnTo>
                <a:pt x="159698" y="5496"/>
              </a:lnTo>
              <a:lnTo>
                <a:pt x="156145" y="7490"/>
              </a:lnTo>
              <a:lnTo>
                <a:pt x="151141" y="3307"/>
              </a:lnTo>
              <a:lnTo>
                <a:pt x="138679" y="5398"/>
              </a:lnTo>
              <a:lnTo>
                <a:pt x="143534" y="11721"/>
              </a:lnTo>
              <a:lnTo>
                <a:pt x="138779" y="18819"/>
              </a:lnTo>
              <a:lnTo>
                <a:pt x="150490" y="31608"/>
              </a:lnTo>
              <a:lnTo>
                <a:pt x="143984" y="37541"/>
              </a:lnTo>
              <a:lnTo>
                <a:pt x="136227" y="37493"/>
              </a:lnTo>
              <a:lnTo>
                <a:pt x="128520" y="44932"/>
              </a:lnTo>
              <a:lnTo>
                <a:pt x="107500" y="30296"/>
              </a:lnTo>
              <a:lnTo>
                <a:pt x="80325" y="33310"/>
              </a:lnTo>
              <a:lnTo>
                <a:pt x="75320" y="46635"/>
              </a:lnTo>
              <a:lnTo>
                <a:pt x="58955" y="45613"/>
              </a:lnTo>
              <a:lnTo>
                <a:pt x="46943" y="65452"/>
              </a:lnTo>
              <a:lnTo>
                <a:pt x="48795" y="69343"/>
              </a:lnTo>
              <a:lnTo>
                <a:pt x="44942" y="69585"/>
              </a:lnTo>
              <a:lnTo>
                <a:pt x="45642" y="77464"/>
              </a:lnTo>
              <a:lnTo>
                <a:pt x="37935" y="83250"/>
              </a:lnTo>
              <a:lnTo>
                <a:pt x="36534" y="95942"/>
              </a:lnTo>
              <a:lnTo>
                <a:pt x="42990" y="100027"/>
              </a:lnTo>
              <a:lnTo>
                <a:pt x="36134" y="114906"/>
              </a:lnTo>
              <a:lnTo>
                <a:pt x="36584" y="124680"/>
              </a:lnTo>
              <a:lnTo>
                <a:pt x="41288" y="127403"/>
              </a:lnTo>
              <a:lnTo>
                <a:pt x="39036" y="134405"/>
              </a:lnTo>
              <a:lnTo>
                <a:pt x="32680" y="137711"/>
              </a:lnTo>
              <a:lnTo>
                <a:pt x="33381" y="141261"/>
              </a:lnTo>
              <a:lnTo>
                <a:pt x="41939" y="139122"/>
              </a:lnTo>
              <a:lnTo>
                <a:pt x="42990" y="142914"/>
              </a:lnTo>
              <a:lnTo>
                <a:pt x="39236" y="146756"/>
              </a:lnTo>
              <a:lnTo>
                <a:pt x="38836" y="165283"/>
              </a:lnTo>
              <a:lnTo>
                <a:pt x="48545" y="171701"/>
              </a:lnTo>
              <a:lnTo>
                <a:pt x="41238" y="193097"/>
              </a:lnTo>
              <a:lnTo>
                <a:pt x="47794" y="193243"/>
              </a:lnTo>
              <a:lnTo>
                <a:pt x="41539" y="200441"/>
              </a:lnTo>
              <a:lnTo>
                <a:pt x="46793" y="221982"/>
              </a:lnTo>
              <a:lnTo>
                <a:pt x="55251" y="225824"/>
              </a:lnTo>
              <a:lnTo>
                <a:pt x="54501" y="236132"/>
              </a:lnTo>
              <a:lnTo>
                <a:pt x="41639" y="244545"/>
              </a:lnTo>
              <a:lnTo>
                <a:pt x="41388" y="249309"/>
              </a:lnTo>
              <a:lnTo>
                <a:pt x="28526" y="247074"/>
              </a:lnTo>
              <a:lnTo>
                <a:pt x="25423" y="257284"/>
              </a:lnTo>
              <a:lnTo>
                <a:pt x="9508" y="269344"/>
              </a:lnTo>
              <a:lnTo>
                <a:pt x="11060" y="273381"/>
              </a:lnTo>
              <a:lnTo>
                <a:pt x="7156" y="278340"/>
              </a:lnTo>
              <a:lnTo>
                <a:pt x="0" y="280334"/>
              </a:lnTo>
              <a:lnTo>
                <a:pt x="12361" y="286460"/>
              </a:lnTo>
              <a:lnTo>
                <a:pt x="19668" y="278534"/>
              </a:lnTo>
              <a:lnTo>
                <a:pt x="27475" y="276833"/>
              </a:lnTo>
              <a:lnTo>
                <a:pt x="25223" y="281744"/>
              </a:lnTo>
              <a:lnTo>
                <a:pt x="30478" y="281938"/>
              </a:lnTo>
              <a:lnTo>
                <a:pt x="36434" y="274401"/>
              </a:lnTo>
              <a:lnTo>
                <a:pt x="55401" y="275714"/>
              </a:lnTo>
              <a:lnTo>
                <a:pt x="53950" y="281695"/>
              </a:lnTo>
              <a:lnTo>
                <a:pt x="59255" y="282668"/>
              </a:lnTo>
              <a:lnTo>
                <a:pt x="62108" y="292879"/>
              </a:lnTo>
              <a:lnTo>
                <a:pt x="52448" y="297840"/>
              </a:lnTo>
              <a:lnTo>
                <a:pt x="58404" y="299153"/>
              </a:lnTo>
              <a:lnTo>
                <a:pt x="59956" y="311358"/>
              </a:lnTo>
              <a:lnTo>
                <a:pt x="65511" y="310239"/>
              </a:lnTo>
              <a:lnTo>
                <a:pt x="63159" y="312963"/>
              </a:lnTo>
              <a:lnTo>
                <a:pt x="53400" y="309899"/>
              </a:lnTo>
              <a:lnTo>
                <a:pt x="45842" y="315976"/>
              </a:lnTo>
              <a:lnTo>
                <a:pt x="40037" y="315491"/>
              </a:lnTo>
              <a:lnTo>
                <a:pt x="45842" y="319089"/>
              </a:lnTo>
              <a:lnTo>
                <a:pt x="50096" y="330517"/>
              </a:lnTo>
              <a:lnTo>
                <a:pt x="39036" y="349140"/>
              </a:lnTo>
              <a:lnTo>
                <a:pt x="45542" y="354928"/>
              </a:lnTo>
              <a:lnTo>
                <a:pt x="54951" y="350405"/>
              </a:lnTo>
              <a:lnTo>
                <a:pt x="52699" y="357213"/>
              </a:lnTo>
              <a:lnTo>
                <a:pt x="58755" y="367229"/>
              </a:lnTo>
              <a:lnTo>
                <a:pt x="53550" y="369612"/>
              </a:lnTo>
              <a:lnTo>
                <a:pt x="53800" y="373795"/>
              </a:lnTo>
              <a:lnTo>
                <a:pt x="58705" y="378997"/>
              </a:lnTo>
              <a:lnTo>
                <a:pt x="68614" y="374523"/>
              </a:lnTo>
              <a:lnTo>
                <a:pt x="76321" y="379726"/>
              </a:lnTo>
              <a:lnTo>
                <a:pt x="72667" y="389646"/>
              </a:lnTo>
              <a:lnTo>
                <a:pt x="82927" y="389890"/>
              </a:lnTo>
              <a:lnTo>
                <a:pt x="80575" y="379095"/>
              </a:lnTo>
              <a:lnTo>
                <a:pt x="83177" y="375108"/>
              </a:lnTo>
              <a:lnTo>
                <a:pt x="87231" y="376323"/>
              </a:lnTo>
              <a:lnTo>
                <a:pt x="95839" y="361150"/>
              </a:lnTo>
              <a:lnTo>
                <a:pt x="106299" y="363533"/>
              </a:lnTo>
              <a:lnTo>
                <a:pt x="103546" y="374280"/>
              </a:lnTo>
              <a:lnTo>
                <a:pt x="106449" y="377004"/>
              </a:lnTo>
              <a:lnTo>
                <a:pt x="113005" y="373356"/>
              </a:lnTo>
              <a:lnTo>
                <a:pt x="119161" y="382304"/>
              </a:lnTo>
              <a:lnTo>
                <a:pt x="124716" y="381039"/>
              </a:lnTo>
              <a:lnTo>
                <a:pt x="128570" y="370779"/>
              </a:lnTo>
              <a:lnTo>
                <a:pt x="138479" y="363777"/>
              </a:lnTo>
              <a:lnTo>
                <a:pt x="147988" y="348605"/>
              </a:lnTo>
              <a:lnTo>
                <a:pt x="158548" y="350405"/>
              </a:lnTo>
              <a:lnTo>
                <a:pt x="159949" y="356337"/>
              </a:lnTo>
              <a:lnTo>
                <a:pt x="166205" y="355656"/>
              </a:lnTo>
              <a:lnTo>
                <a:pt x="174613" y="352884"/>
              </a:lnTo>
              <a:lnTo>
                <a:pt x="177415" y="343889"/>
              </a:lnTo>
              <a:lnTo>
                <a:pt x="180168" y="348314"/>
              </a:lnTo>
              <a:lnTo>
                <a:pt x="202088" y="354197"/>
              </a:lnTo>
              <a:lnTo>
                <a:pt x="201237" y="373502"/>
              </a:lnTo>
              <a:lnTo>
                <a:pt x="194932" y="383033"/>
              </a:lnTo>
              <a:lnTo>
                <a:pt x="199936" y="391057"/>
              </a:lnTo>
              <a:lnTo>
                <a:pt x="210096" y="387312"/>
              </a:lnTo>
              <a:lnTo>
                <a:pt x="219004" y="391542"/>
              </a:lnTo>
              <a:lnTo>
                <a:pt x="214700" y="392710"/>
              </a:lnTo>
              <a:lnTo>
                <a:pt x="215451" y="399421"/>
              </a:lnTo>
              <a:lnTo>
                <a:pt x="204591" y="404089"/>
              </a:lnTo>
              <a:lnTo>
                <a:pt x="206192" y="421982"/>
              </a:lnTo>
              <a:lnTo>
                <a:pt x="202189" y="430833"/>
              </a:lnTo>
              <a:lnTo>
                <a:pt x="187925" y="443232"/>
              </a:lnTo>
              <a:lnTo>
                <a:pt x="188676" y="449360"/>
              </a:lnTo>
              <a:lnTo>
                <a:pt x="179417" y="454368"/>
              </a:lnTo>
              <a:lnTo>
                <a:pt x="176965" y="471048"/>
              </a:lnTo>
              <a:lnTo>
                <a:pt x="180268" y="475909"/>
              </a:lnTo>
              <a:lnTo>
                <a:pt x="187675" y="473722"/>
              </a:lnTo>
              <a:lnTo>
                <a:pt x="187775" y="465699"/>
              </a:lnTo>
              <a:lnTo>
                <a:pt x="201838" y="455292"/>
              </a:lnTo>
              <a:lnTo>
                <a:pt x="214900" y="460447"/>
              </a:lnTo>
              <a:lnTo>
                <a:pt x="213349" y="464580"/>
              </a:lnTo>
              <a:lnTo>
                <a:pt x="217503" y="466865"/>
              </a:lnTo>
              <a:lnTo>
                <a:pt x="214700" y="470658"/>
              </a:lnTo>
              <a:lnTo>
                <a:pt x="218453" y="486997"/>
              </a:lnTo>
              <a:lnTo>
                <a:pt x="216201" y="498765"/>
              </a:lnTo>
              <a:lnTo>
                <a:pt x="225860" y="500661"/>
              </a:lnTo>
              <a:lnTo>
                <a:pt x="237071" y="487775"/>
              </a:lnTo>
              <a:lnTo>
                <a:pt x="256789" y="489477"/>
              </a:lnTo>
            </a:path>
          </a:pathLst>
        </a:custGeom>
        <a:solidFill>
          <a:srgbClr val="B4D2EE"/>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366851</xdr:colOff>
      <xdr:row>103</xdr:row>
      <xdr:rowOff>160613</xdr:rowOff>
    </xdr:from>
    <xdr:to>
      <xdr:col>4</xdr:col>
      <xdr:colOff>979274</xdr:colOff>
      <xdr:row>105</xdr:row>
      <xdr:rowOff>125481</xdr:rowOff>
    </xdr:to>
    <xdr:sp macro="MapShapeClick" textlink="">
      <xdr:nvSpPr>
        <xdr:cNvPr id="33" name="广东省">
          <a:extLst>
            <a:ext uri="{FF2B5EF4-FFF2-40B4-BE49-F238E27FC236}">
              <a16:creationId xmlns:a16="http://schemas.microsoft.com/office/drawing/2014/main" id="{4510B84D-3B35-AD65-1D75-2A7639046AE3}"/>
            </a:ext>
          </a:extLst>
        </xdr:cNvPr>
        <xdr:cNvSpPr/>
      </xdr:nvSpPr>
      <xdr:spPr>
        <a:xfrm>
          <a:off x="3521531" y="19744013"/>
          <a:ext cx="612423" cy="467788"/>
        </a:xfrm>
        <a:custGeom>
          <a:avLst/>
          <a:gdLst/>
          <a:ahLst/>
          <a:cxnLst/>
          <a:rect l="0" t="0" r="0" b="0"/>
          <a:pathLst>
            <a:path w="612423" h="467788">
              <a:moveTo>
                <a:pt x="317146" y="293414"/>
              </a:moveTo>
              <a:lnTo>
                <a:pt x="326155" y="275470"/>
              </a:lnTo>
              <a:lnTo>
                <a:pt x="318347" y="275908"/>
              </a:lnTo>
              <a:lnTo>
                <a:pt x="331910" y="265113"/>
              </a:lnTo>
              <a:lnTo>
                <a:pt x="326855" y="248238"/>
              </a:lnTo>
              <a:lnTo>
                <a:pt x="331359" y="247316"/>
              </a:lnTo>
              <a:lnTo>
                <a:pt x="344371" y="273184"/>
              </a:lnTo>
              <a:lnTo>
                <a:pt x="351078" y="267203"/>
              </a:lnTo>
              <a:lnTo>
                <a:pt x="384009" y="259180"/>
              </a:lnTo>
              <a:lnTo>
                <a:pt x="394168" y="273525"/>
              </a:lnTo>
              <a:lnTo>
                <a:pt x="402676" y="269731"/>
              </a:lnTo>
              <a:lnTo>
                <a:pt x="402926" y="264139"/>
              </a:lnTo>
              <a:lnTo>
                <a:pt x="398422" y="260785"/>
              </a:lnTo>
              <a:lnTo>
                <a:pt x="402025" y="255921"/>
              </a:lnTo>
              <a:lnTo>
                <a:pt x="394869" y="254462"/>
              </a:lnTo>
              <a:lnTo>
                <a:pt x="410683" y="242792"/>
              </a:lnTo>
              <a:lnTo>
                <a:pt x="413937" y="244883"/>
              </a:lnTo>
              <a:lnTo>
                <a:pt x="413636" y="260930"/>
              </a:lnTo>
              <a:lnTo>
                <a:pt x="423395" y="260054"/>
              </a:lnTo>
              <a:lnTo>
                <a:pt x="424947" y="264724"/>
              </a:lnTo>
              <a:lnTo>
                <a:pt x="440461" y="242744"/>
              </a:lnTo>
              <a:lnTo>
                <a:pt x="449770" y="244057"/>
              </a:lnTo>
              <a:lnTo>
                <a:pt x="449720" y="240070"/>
              </a:lnTo>
              <a:lnTo>
                <a:pt x="461731" y="243765"/>
              </a:lnTo>
              <a:lnTo>
                <a:pt x="465234" y="251934"/>
              </a:lnTo>
              <a:lnTo>
                <a:pt x="480999" y="254852"/>
              </a:lnTo>
              <a:lnTo>
                <a:pt x="483752" y="245857"/>
              </a:lnTo>
              <a:lnTo>
                <a:pt x="478247" y="245661"/>
              </a:lnTo>
              <a:lnTo>
                <a:pt x="487405" y="235936"/>
              </a:lnTo>
              <a:lnTo>
                <a:pt x="496013" y="238659"/>
              </a:lnTo>
              <a:lnTo>
                <a:pt x="501618" y="247461"/>
              </a:lnTo>
              <a:lnTo>
                <a:pt x="520085" y="237784"/>
              </a:lnTo>
              <a:lnTo>
                <a:pt x="523989" y="240263"/>
              </a:lnTo>
              <a:lnTo>
                <a:pt x="540104" y="228351"/>
              </a:lnTo>
              <a:lnTo>
                <a:pt x="556570" y="230199"/>
              </a:lnTo>
              <a:lnTo>
                <a:pt x="562375" y="222807"/>
              </a:lnTo>
              <a:lnTo>
                <a:pt x="561524" y="212206"/>
              </a:lnTo>
              <a:lnTo>
                <a:pt x="576037" y="205058"/>
              </a:lnTo>
              <a:lnTo>
                <a:pt x="581042" y="206323"/>
              </a:lnTo>
              <a:lnTo>
                <a:pt x="579090" y="196354"/>
              </a:lnTo>
              <a:lnTo>
                <a:pt x="587698" y="179724"/>
              </a:lnTo>
              <a:lnTo>
                <a:pt x="612422" y="174374"/>
              </a:lnTo>
              <a:lnTo>
                <a:pt x="612422" y="168393"/>
              </a:lnTo>
              <a:lnTo>
                <a:pt x="601261" y="162656"/>
              </a:lnTo>
              <a:lnTo>
                <a:pt x="593154" y="142379"/>
              </a:lnTo>
              <a:lnTo>
                <a:pt x="595256" y="135522"/>
              </a:lnTo>
              <a:lnTo>
                <a:pt x="591452" y="124193"/>
              </a:lnTo>
              <a:lnTo>
                <a:pt x="596657" y="119523"/>
              </a:lnTo>
              <a:lnTo>
                <a:pt x="591352" y="115877"/>
              </a:lnTo>
              <a:lnTo>
                <a:pt x="585447" y="94482"/>
              </a:lnTo>
              <a:lnTo>
                <a:pt x="577189" y="86846"/>
              </a:lnTo>
              <a:lnTo>
                <a:pt x="581743" y="77073"/>
              </a:lnTo>
              <a:lnTo>
                <a:pt x="564327" y="77121"/>
              </a:lnTo>
              <a:lnTo>
                <a:pt x="558572" y="81547"/>
              </a:lnTo>
              <a:lnTo>
                <a:pt x="554918" y="71238"/>
              </a:lnTo>
              <a:lnTo>
                <a:pt x="546009" y="63750"/>
              </a:lnTo>
              <a:lnTo>
                <a:pt x="549463" y="60443"/>
              </a:lnTo>
              <a:lnTo>
                <a:pt x="547611" y="57136"/>
              </a:lnTo>
              <a:lnTo>
                <a:pt x="535350" y="64672"/>
              </a:lnTo>
              <a:lnTo>
                <a:pt x="531096" y="57185"/>
              </a:lnTo>
              <a:lnTo>
                <a:pt x="521036" y="59615"/>
              </a:lnTo>
              <a:lnTo>
                <a:pt x="506773" y="51836"/>
              </a:lnTo>
              <a:lnTo>
                <a:pt x="507974" y="56941"/>
              </a:lnTo>
              <a:lnTo>
                <a:pt x="504271" y="58400"/>
              </a:lnTo>
              <a:lnTo>
                <a:pt x="501218" y="54315"/>
              </a:lnTo>
              <a:lnTo>
                <a:pt x="495713" y="68661"/>
              </a:lnTo>
              <a:lnTo>
                <a:pt x="502819" y="85339"/>
              </a:lnTo>
              <a:lnTo>
                <a:pt x="490257" y="86896"/>
              </a:lnTo>
              <a:lnTo>
                <a:pt x="488806" y="81547"/>
              </a:lnTo>
              <a:lnTo>
                <a:pt x="480549" y="79991"/>
              </a:lnTo>
              <a:lnTo>
                <a:pt x="479397" y="74495"/>
              </a:lnTo>
              <a:lnTo>
                <a:pt x="467787" y="64722"/>
              </a:lnTo>
              <a:lnTo>
                <a:pt x="463383" y="69877"/>
              </a:lnTo>
              <a:lnTo>
                <a:pt x="456176" y="68612"/>
              </a:lnTo>
              <a:lnTo>
                <a:pt x="442763" y="75906"/>
              </a:lnTo>
              <a:lnTo>
                <a:pt x="438910" y="72745"/>
              </a:lnTo>
              <a:lnTo>
                <a:pt x="426899" y="76489"/>
              </a:lnTo>
              <a:lnTo>
                <a:pt x="423595" y="85339"/>
              </a:lnTo>
              <a:lnTo>
                <a:pt x="421794" y="81741"/>
              </a:lnTo>
              <a:lnTo>
                <a:pt x="412285" y="81206"/>
              </a:lnTo>
              <a:lnTo>
                <a:pt x="410283" y="88598"/>
              </a:lnTo>
              <a:lnTo>
                <a:pt x="407030" y="83443"/>
              </a:lnTo>
              <a:lnTo>
                <a:pt x="387862" y="92147"/>
              </a:lnTo>
              <a:lnTo>
                <a:pt x="384809" y="85242"/>
              </a:lnTo>
              <a:lnTo>
                <a:pt x="377452" y="83881"/>
              </a:lnTo>
              <a:lnTo>
                <a:pt x="366743" y="73960"/>
              </a:lnTo>
              <a:lnTo>
                <a:pt x="380305" y="68661"/>
              </a:lnTo>
              <a:lnTo>
                <a:pt x="385160" y="50571"/>
              </a:lnTo>
              <a:lnTo>
                <a:pt x="398622" y="39241"/>
              </a:lnTo>
              <a:lnTo>
                <a:pt x="412785" y="35254"/>
              </a:lnTo>
              <a:lnTo>
                <a:pt x="408731" y="30634"/>
              </a:lnTo>
              <a:lnTo>
                <a:pt x="412735" y="25918"/>
              </a:lnTo>
              <a:lnTo>
                <a:pt x="411034" y="17846"/>
              </a:lnTo>
              <a:lnTo>
                <a:pt x="404728" y="17068"/>
              </a:lnTo>
              <a:lnTo>
                <a:pt x="396971" y="8752"/>
              </a:lnTo>
              <a:lnTo>
                <a:pt x="384109" y="17700"/>
              </a:lnTo>
              <a:lnTo>
                <a:pt x="368444" y="17748"/>
              </a:lnTo>
              <a:lnTo>
                <a:pt x="356233" y="23681"/>
              </a:lnTo>
              <a:lnTo>
                <a:pt x="357083" y="13469"/>
              </a:lnTo>
              <a:lnTo>
                <a:pt x="351628" y="8899"/>
              </a:lnTo>
              <a:lnTo>
                <a:pt x="353280" y="6419"/>
              </a:lnTo>
              <a:lnTo>
                <a:pt x="343821" y="6954"/>
              </a:lnTo>
              <a:lnTo>
                <a:pt x="337966" y="16679"/>
              </a:lnTo>
              <a:lnTo>
                <a:pt x="332961" y="13615"/>
              </a:lnTo>
              <a:lnTo>
                <a:pt x="319248" y="18672"/>
              </a:lnTo>
              <a:lnTo>
                <a:pt x="291973" y="0"/>
              </a:lnTo>
              <a:lnTo>
                <a:pt x="265598" y="19548"/>
              </a:lnTo>
              <a:lnTo>
                <a:pt x="259943" y="15852"/>
              </a:lnTo>
              <a:lnTo>
                <a:pt x="260944" y="23779"/>
              </a:lnTo>
              <a:lnTo>
                <a:pt x="271153" y="23973"/>
              </a:lnTo>
              <a:lnTo>
                <a:pt x="274556" y="28397"/>
              </a:lnTo>
              <a:lnTo>
                <a:pt x="269151" y="33454"/>
              </a:lnTo>
              <a:lnTo>
                <a:pt x="271303" y="52710"/>
              </a:lnTo>
              <a:lnTo>
                <a:pt x="253937" y="55434"/>
              </a:lnTo>
              <a:lnTo>
                <a:pt x="244128" y="34282"/>
              </a:lnTo>
              <a:lnTo>
                <a:pt x="236221" y="35011"/>
              </a:lnTo>
              <a:lnTo>
                <a:pt x="226512" y="29516"/>
              </a:lnTo>
              <a:lnTo>
                <a:pt x="224209" y="33406"/>
              </a:lnTo>
              <a:lnTo>
                <a:pt x="220156" y="28982"/>
              </a:lnTo>
              <a:lnTo>
                <a:pt x="215101" y="32093"/>
              </a:lnTo>
              <a:lnTo>
                <a:pt x="205692" y="29808"/>
              </a:lnTo>
              <a:lnTo>
                <a:pt x="200237" y="49453"/>
              </a:lnTo>
              <a:lnTo>
                <a:pt x="204741" y="52662"/>
              </a:lnTo>
              <a:lnTo>
                <a:pt x="204090" y="58741"/>
              </a:lnTo>
              <a:lnTo>
                <a:pt x="185573" y="74253"/>
              </a:lnTo>
              <a:lnTo>
                <a:pt x="185373" y="82374"/>
              </a:lnTo>
              <a:lnTo>
                <a:pt x="191078" y="87820"/>
              </a:lnTo>
              <a:lnTo>
                <a:pt x="189277" y="93801"/>
              </a:lnTo>
              <a:lnTo>
                <a:pt x="195332" y="105228"/>
              </a:lnTo>
              <a:lnTo>
                <a:pt x="189377" y="112618"/>
              </a:lnTo>
              <a:lnTo>
                <a:pt x="180519" y="115245"/>
              </a:lnTo>
              <a:lnTo>
                <a:pt x="185673" y="136544"/>
              </a:lnTo>
              <a:lnTo>
                <a:pt x="178667" y="140142"/>
              </a:lnTo>
              <a:lnTo>
                <a:pt x="175114" y="152639"/>
              </a:lnTo>
              <a:lnTo>
                <a:pt x="162452" y="150304"/>
              </a:lnTo>
              <a:lnTo>
                <a:pt x="159749" y="159836"/>
              </a:lnTo>
              <a:lnTo>
                <a:pt x="163403" y="160468"/>
              </a:lnTo>
              <a:lnTo>
                <a:pt x="159249" y="167519"/>
              </a:lnTo>
              <a:lnTo>
                <a:pt x="148839" y="168637"/>
              </a:lnTo>
              <a:lnTo>
                <a:pt x="148238" y="176952"/>
              </a:lnTo>
              <a:lnTo>
                <a:pt x="141733" y="182592"/>
              </a:lnTo>
              <a:lnTo>
                <a:pt x="137929" y="198931"/>
              </a:lnTo>
              <a:lnTo>
                <a:pt x="139931" y="216826"/>
              </a:lnTo>
              <a:lnTo>
                <a:pt x="144485" y="220861"/>
              </a:lnTo>
              <a:lnTo>
                <a:pt x="138730" y="226940"/>
              </a:lnTo>
              <a:lnTo>
                <a:pt x="138379" y="233845"/>
              </a:lnTo>
              <a:lnTo>
                <a:pt x="126969" y="246294"/>
              </a:lnTo>
              <a:lnTo>
                <a:pt x="113956" y="247898"/>
              </a:lnTo>
              <a:lnTo>
                <a:pt x="116509" y="250914"/>
              </a:lnTo>
              <a:lnTo>
                <a:pt x="113756" y="255047"/>
              </a:lnTo>
              <a:lnTo>
                <a:pt x="88883" y="263119"/>
              </a:lnTo>
              <a:lnTo>
                <a:pt x="88232" y="271288"/>
              </a:lnTo>
              <a:lnTo>
                <a:pt x="83928" y="270072"/>
              </a:lnTo>
              <a:lnTo>
                <a:pt x="91936" y="287237"/>
              </a:lnTo>
              <a:lnTo>
                <a:pt x="86931" y="286070"/>
              </a:lnTo>
              <a:lnTo>
                <a:pt x="80525" y="292683"/>
              </a:lnTo>
              <a:lnTo>
                <a:pt x="83128" y="296866"/>
              </a:lnTo>
              <a:lnTo>
                <a:pt x="79124" y="298956"/>
              </a:lnTo>
              <a:lnTo>
                <a:pt x="73319" y="294823"/>
              </a:lnTo>
              <a:lnTo>
                <a:pt x="69065" y="299491"/>
              </a:lnTo>
              <a:lnTo>
                <a:pt x="61658" y="293753"/>
              </a:lnTo>
              <a:lnTo>
                <a:pt x="58705" y="297595"/>
              </a:lnTo>
              <a:lnTo>
                <a:pt x="56303" y="294872"/>
              </a:lnTo>
              <a:lnTo>
                <a:pt x="59806" y="321325"/>
              </a:lnTo>
              <a:lnTo>
                <a:pt x="27976" y="322395"/>
              </a:lnTo>
              <a:lnTo>
                <a:pt x="23522" y="325652"/>
              </a:lnTo>
              <a:lnTo>
                <a:pt x="21170" y="341018"/>
              </a:lnTo>
              <a:lnTo>
                <a:pt x="14964" y="343838"/>
              </a:lnTo>
              <a:lnTo>
                <a:pt x="9960" y="340873"/>
              </a:lnTo>
              <a:lnTo>
                <a:pt x="7107" y="345589"/>
              </a:lnTo>
              <a:lnTo>
                <a:pt x="10560" y="359546"/>
              </a:lnTo>
              <a:lnTo>
                <a:pt x="20219" y="361879"/>
              </a:lnTo>
              <a:lnTo>
                <a:pt x="17317" y="367471"/>
              </a:lnTo>
              <a:lnTo>
                <a:pt x="8308" y="369125"/>
              </a:lnTo>
              <a:lnTo>
                <a:pt x="8809" y="379628"/>
              </a:lnTo>
              <a:lnTo>
                <a:pt x="1552" y="387457"/>
              </a:lnTo>
              <a:lnTo>
                <a:pt x="0" y="405497"/>
              </a:lnTo>
              <a:lnTo>
                <a:pt x="7257" y="432290"/>
              </a:lnTo>
              <a:lnTo>
                <a:pt x="11211" y="432777"/>
              </a:lnTo>
              <a:lnTo>
                <a:pt x="14964" y="443718"/>
              </a:lnTo>
              <a:lnTo>
                <a:pt x="18918" y="444933"/>
              </a:lnTo>
              <a:lnTo>
                <a:pt x="16716" y="453492"/>
              </a:lnTo>
              <a:lnTo>
                <a:pt x="22221" y="467787"/>
              </a:lnTo>
              <a:lnTo>
                <a:pt x="27476" y="464093"/>
              </a:lnTo>
              <a:lnTo>
                <a:pt x="41689" y="467107"/>
              </a:lnTo>
              <a:lnTo>
                <a:pt x="56353" y="463704"/>
              </a:lnTo>
              <a:lnTo>
                <a:pt x="64761" y="459182"/>
              </a:lnTo>
              <a:lnTo>
                <a:pt x="72718" y="445176"/>
              </a:lnTo>
              <a:lnTo>
                <a:pt x="65862" y="427136"/>
              </a:lnTo>
              <a:lnTo>
                <a:pt x="59856" y="426942"/>
              </a:lnTo>
              <a:lnTo>
                <a:pt x="59956" y="415319"/>
              </a:lnTo>
              <a:lnTo>
                <a:pt x="45042" y="411527"/>
              </a:lnTo>
              <a:lnTo>
                <a:pt x="42690" y="400926"/>
              </a:lnTo>
              <a:lnTo>
                <a:pt x="44942" y="394945"/>
              </a:lnTo>
              <a:lnTo>
                <a:pt x="47645" y="397961"/>
              </a:lnTo>
              <a:lnTo>
                <a:pt x="62308" y="382740"/>
              </a:lnTo>
              <a:lnTo>
                <a:pt x="78874" y="380552"/>
              </a:lnTo>
              <a:lnTo>
                <a:pt x="90435" y="367569"/>
              </a:lnTo>
              <a:lnTo>
                <a:pt x="103497" y="366597"/>
              </a:lnTo>
              <a:lnTo>
                <a:pt x="112055" y="361101"/>
              </a:lnTo>
              <a:lnTo>
                <a:pt x="132223" y="357016"/>
              </a:lnTo>
              <a:lnTo>
                <a:pt x="129571" y="360031"/>
              </a:lnTo>
              <a:lnTo>
                <a:pt x="132474" y="362851"/>
              </a:lnTo>
              <a:lnTo>
                <a:pt x="145336" y="354537"/>
              </a:lnTo>
              <a:lnTo>
                <a:pt x="162102" y="354683"/>
              </a:lnTo>
              <a:lnTo>
                <a:pt x="169108" y="346173"/>
              </a:lnTo>
              <a:lnTo>
                <a:pt x="173812" y="346027"/>
              </a:lnTo>
              <a:lnTo>
                <a:pt x="175064" y="350939"/>
              </a:lnTo>
              <a:lnTo>
                <a:pt x="188276" y="346756"/>
              </a:lnTo>
              <a:lnTo>
                <a:pt x="192680" y="344082"/>
              </a:lnTo>
              <a:lnTo>
                <a:pt x="186774" y="341116"/>
              </a:lnTo>
              <a:lnTo>
                <a:pt x="186924" y="337372"/>
              </a:lnTo>
              <a:lnTo>
                <a:pt x="201588" y="330078"/>
              </a:lnTo>
              <a:lnTo>
                <a:pt x="206143" y="330467"/>
              </a:lnTo>
              <a:lnTo>
                <a:pt x="209896" y="338101"/>
              </a:lnTo>
              <a:lnTo>
                <a:pt x="219205" y="337664"/>
              </a:lnTo>
              <a:lnTo>
                <a:pt x="226712" y="329250"/>
              </a:lnTo>
              <a:lnTo>
                <a:pt x="243077" y="333189"/>
              </a:lnTo>
              <a:lnTo>
                <a:pt x="254888" y="318942"/>
              </a:lnTo>
              <a:lnTo>
                <a:pt x="266048" y="326139"/>
              </a:lnTo>
              <a:lnTo>
                <a:pt x="275607" y="315829"/>
              </a:lnTo>
              <a:lnTo>
                <a:pt x="274356" y="308000"/>
              </a:lnTo>
              <a:lnTo>
                <a:pt x="278810" y="300950"/>
              </a:lnTo>
              <a:lnTo>
                <a:pt x="284065" y="313788"/>
              </a:lnTo>
              <a:lnTo>
                <a:pt x="293424" y="323269"/>
              </a:lnTo>
              <a:lnTo>
                <a:pt x="298579" y="315392"/>
              </a:lnTo>
              <a:lnTo>
                <a:pt x="317847" y="305424"/>
              </a:lnTo>
              <a:lnTo>
                <a:pt x="315494" y="293655"/>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959705</xdr:colOff>
      <xdr:row>104</xdr:row>
      <xdr:rowOff>90482</xdr:rowOff>
    </xdr:from>
    <xdr:to>
      <xdr:col>4</xdr:col>
      <xdr:colOff>975220</xdr:colOff>
      <xdr:row>104</xdr:row>
      <xdr:rowOff>97825</xdr:rowOff>
    </xdr:to>
    <xdr:sp macro="MapShapeClick" textlink="">
      <xdr:nvSpPr>
        <xdr:cNvPr id="34" name="广东省">
          <a:extLst>
            <a:ext uri="{FF2B5EF4-FFF2-40B4-BE49-F238E27FC236}">
              <a16:creationId xmlns:a16="http://schemas.microsoft.com/office/drawing/2014/main" id="{EC3A897E-B547-D346-FC0E-9A703811400E}"/>
            </a:ext>
          </a:extLst>
        </xdr:cNvPr>
        <xdr:cNvSpPr/>
      </xdr:nvSpPr>
      <xdr:spPr>
        <a:xfrm>
          <a:off x="4114385" y="19925342"/>
          <a:ext cx="15515" cy="7343"/>
        </a:xfrm>
        <a:custGeom>
          <a:avLst/>
          <a:gdLst/>
          <a:ahLst/>
          <a:cxnLst/>
          <a:rect l="0" t="0" r="0" b="0"/>
          <a:pathLst>
            <a:path w="15515" h="7343">
              <a:moveTo>
                <a:pt x="5905" y="4035"/>
              </a:moveTo>
              <a:lnTo>
                <a:pt x="2502" y="1994"/>
              </a:lnTo>
              <a:lnTo>
                <a:pt x="0" y="5640"/>
              </a:lnTo>
              <a:lnTo>
                <a:pt x="15514" y="7342"/>
              </a:lnTo>
              <a:lnTo>
                <a:pt x="14413" y="0"/>
              </a:lnTo>
              <a:lnTo>
                <a:pt x="6305" y="3549"/>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614683</xdr:colOff>
      <xdr:row>104</xdr:row>
      <xdr:rowOff>240738</xdr:rowOff>
    </xdr:from>
    <xdr:to>
      <xdr:col>4</xdr:col>
      <xdr:colOff>628546</xdr:colOff>
      <xdr:row>105</xdr:row>
      <xdr:rowOff>7854</xdr:rowOff>
    </xdr:to>
    <xdr:sp macro="MapShapeClick" textlink="">
      <xdr:nvSpPr>
        <xdr:cNvPr id="35" name="广东省">
          <a:extLst>
            <a:ext uri="{FF2B5EF4-FFF2-40B4-BE49-F238E27FC236}">
              <a16:creationId xmlns:a16="http://schemas.microsoft.com/office/drawing/2014/main" id="{E3B8F1B7-F20D-C289-5F66-B69EFA013B72}"/>
            </a:ext>
          </a:extLst>
        </xdr:cNvPr>
        <xdr:cNvSpPr/>
      </xdr:nvSpPr>
      <xdr:spPr>
        <a:xfrm>
          <a:off x="3769363" y="20075598"/>
          <a:ext cx="13863" cy="18576"/>
        </a:xfrm>
        <a:custGeom>
          <a:avLst/>
          <a:gdLst/>
          <a:ahLst/>
          <a:cxnLst/>
          <a:rect l="0" t="0" r="0" b="0"/>
          <a:pathLst>
            <a:path w="13863" h="18576">
              <a:moveTo>
                <a:pt x="12011" y="3161"/>
              </a:moveTo>
              <a:lnTo>
                <a:pt x="13862" y="341"/>
              </a:lnTo>
              <a:lnTo>
                <a:pt x="10960" y="0"/>
              </a:lnTo>
              <a:lnTo>
                <a:pt x="0" y="8509"/>
              </a:lnTo>
              <a:lnTo>
                <a:pt x="6055" y="9190"/>
              </a:lnTo>
              <a:lnTo>
                <a:pt x="2051" y="14247"/>
              </a:lnTo>
              <a:lnTo>
                <a:pt x="5655" y="18575"/>
              </a:lnTo>
              <a:lnTo>
                <a:pt x="9058" y="16290"/>
              </a:lnTo>
              <a:lnTo>
                <a:pt x="10359" y="3500"/>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600469</xdr:colOff>
      <xdr:row>104</xdr:row>
      <xdr:rowOff>246184</xdr:rowOff>
    </xdr:from>
    <xdr:to>
      <xdr:col>4</xdr:col>
      <xdr:colOff>611430</xdr:colOff>
      <xdr:row>105</xdr:row>
      <xdr:rowOff>6152</xdr:rowOff>
    </xdr:to>
    <xdr:sp macro="MapShapeClick" textlink="">
      <xdr:nvSpPr>
        <xdr:cNvPr id="36" name="广东省">
          <a:extLst>
            <a:ext uri="{FF2B5EF4-FFF2-40B4-BE49-F238E27FC236}">
              <a16:creationId xmlns:a16="http://schemas.microsoft.com/office/drawing/2014/main" id="{2BB69D4E-03E4-9D91-22CA-741D8496CF81}"/>
            </a:ext>
          </a:extLst>
        </xdr:cNvPr>
        <xdr:cNvSpPr/>
      </xdr:nvSpPr>
      <xdr:spPr>
        <a:xfrm>
          <a:off x="3755149" y="20081044"/>
          <a:ext cx="10961" cy="11428"/>
        </a:xfrm>
        <a:custGeom>
          <a:avLst/>
          <a:gdLst/>
          <a:ahLst/>
          <a:cxnLst/>
          <a:rect l="0" t="0" r="0" b="0"/>
          <a:pathLst>
            <a:path w="10961" h="11428">
              <a:moveTo>
                <a:pt x="0" y="11427"/>
              </a:moveTo>
              <a:lnTo>
                <a:pt x="10960" y="6273"/>
              </a:lnTo>
              <a:lnTo>
                <a:pt x="10810" y="0"/>
              </a:lnTo>
              <a:lnTo>
                <a:pt x="350" y="7488"/>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429910</xdr:colOff>
      <xdr:row>105</xdr:row>
      <xdr:rowOff>38683</xdr:rowOff>
    </xdr:from>
    <xdr:to>
      <xdr:col>4</xdr:col>
      <xdr:colOff>446226</xdr:colOff>
      <xdr:row>105</xdr:row>
      <xdr:rowOff>49770</xdr:rowOff>
    </xdr:to>
    <xdr:sp macro="MapShapeClick" textlink="">
      <xdr:nvSpPr>
        <xdr:cNvPr id="37" name="广东省">
          <a:extLst>
            <a:ext uri="{FF2B5EF4-FFF2-40B4-BE49-F238E27FC236}">
              <a16:creationId xmlns:a16="http://schemas.microsoft.com/office/drawing/2014/main" id="{0D974114-5AD3-D024-13CB-134DA7E271C6}"/>
            </a:ext>
          </a:extLst>
        </xdr:cNvPr>
        <xdr:cNvSpPr/>
      </xdr:nvSpPr>
      <xdr:spPr>
        <a:xfrm>
          <a:off x="3584590" y="20125003"/>
          <a:ext cx="16316" cy="11087"/>
        </a:xfrm>
        <a:custGeom>
          <a:avLst/>
          <a:gdLst/>
          <a:ahLst/>
          <a:cxnLst/>
          <a:rect l="0" t="0" r="0" b="0"/>
          <a:pathLst>
            <a:path w="16316" h="11087">
              <a:moveTo>
                <a:pt x="150" y="3452"/>
              </a:moveTo>
              <a:lnTo>
                <a:pt x="9208" y="11086"/>
              </a:lnTo>
              <a:lnTo>
                <a:pt x="16315" y="0"/>
              </a:lnTo>
              <a:lnTo>
                <a:pt x="0" y="2626"/>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411193</xdr:colOff>
      <xdr:row>105</xdr:row>
      <xdr:rowOff>49381</xdr:rowOff>
    </xdr:from>
    <xdr:to>
      <xdr:col>4</xdr:col>
      <xdr:colOff>440371</xdr:colOff>
      <xdr:row>105</xdr:row>
      <xdr:rowOff>63775</xdr:rowOff>
    </xdr:to>
    <xdr:sp macro="MapShapeClick" textlink="">
      <xdr:nvSpPr>
        <xdr:cNvPr id="38" name="广东省">
          <a:extLst>
            <a:ext uri="{FF2B5EF4-FFF2-40B4-BE49-F238E27FC236}">
              <a16:creationId xmlns:a16="http://schemas.microsoft.com/office/drawing/2014/main" id="{1924CD85-B0CD-1E9B-B9E1-5A16827E39D5}"/>
            </a:ext>
          </a:extLst>
        </xdr:cNvPr>
        <xdr:cNvSpPr/>
      </xdr:nvSpPr>
      <xdr:spPr>
        <a:xfrm>
          <a:off x="3565873" y="20135701"/>
          <a:ext cx="29178" cy="14394"/>
        </a:xfrm>
        <a:custGeom>
          <a:avLst/>
          <a:gdLst/>
          <a:ahLst/>
          <a:cxnLst/>
          <a:rect l="0" t="0" r="0" b="0"/>
          <a:pathLst>
            <a:path w="29178" h="14394">
              <a:moveTo>
                <a:pt x="25724" y="777"/>
              </a:moveTo>
              <a:lnTo>
                <a:pt x="8508" y="0"/>
              </a:lnTo>
              <a:lnTo>
                <a:pt x="0" y="13032"/>
              </a:lnTo>
              <a:lnTo>
                <a:pt x="16765" y="8510"/>
              </a:lnTo>
              <a:lnTo>
                <a:pt x="27175" y="14393"/>
              </a:lnTo>
              <a:lnTo>
                <a:pt x="29177" y="2333"/>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943239</xdr:colOff>
      <xdr:row>105</xdr:row>
      <xdr:rowOff>76125</xdr:rowOff>
    </xdr:from>
    <xdr:to>
      <xdr:col>4</xdr:col>
      <xdr:colOff>957553</xdr:colOff>
      <xdr:row>105</xdr:row>
      <xdr:rowOff>92804</xdr:rowOff>
    </xdr:to>
    <xdr:sp macro="MapShapeClick" textlink="">
      <xdr:nvSpPr>
        <xdr:cNvPr id="39" name="广东省">
          <a:extLst>
            <a:ext uri="{FF2B5EF4-FFF2-40B4-BE49-F238E27FC236}">
              <a16:creationId xmlns:a16="http://schemas.microsoft.com/office/drawing/2014/main" id="{F2A63A4B-9D90-AFB6-3272-6F973B3CDB75}"/>
            </a:ext>
          </a:extLst>
        </xdr:cNvPr>
        <xdr:cNvSpPr/>
      </xdr:nvSpPr>
      <xdr:spPr>
        <a:xfrm>
          <a:off x="4097919" y="20162445"/>
          <a:ext cx="14314" cy="16679"/>
        </a:xfrm>
        <a:custGeom>
          <a:avLst/>
          <a:gdLst/>
          <a:ahLst/>
          <a:cxnLst/>
          <a:rect l="0" t="0" r="0" b="0"/>
          <a:pathLst>
            <a:path w="14314" h="16679">
              <a:moveTo>
                <a:pt x="1652" y="779"/>
              </a:moveTo>
              <a:lnTo>
                <a:pt x="10009" y="3696"/>
              </a:lnTo>
              <a:lnTo>
                <a:pt x="11411" y="8462"/>
              </a:lnTo>
              <a:lnTo>
                <a:pt x="0" y="15609"/>
              </a:lnTo>
              <a:lnTo>
                <a:pt x="9209" y="16678"/>
              </a:lnTo>
              <a:lnTo>
                <a:pt x="14313" y="4668"/>
              </a:lnTo>
              <a:lnTo>
                <a:pt x="5755" y="0"/>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877728</xdr:colOff>
      <xdr:row>105</xdr:row>
      <xdr:rowOff>46268</xdr:rowOff>
    </xdr:from>
    <xdr:to>
      <xdr:col>4</xdr:col>
      <xdr:colOff>887838</xdr:colOff>
      <xdr:row>105</xdr:row>
      <xdr:rowOff>53952</xdr:rowOff>
    </xdr:to>
    <xdr:sp macro="MapShapeClick" textlink="">
      <xdr:nvSpPr>
        <xdr:cNvPr id="40" name="广东省">
          <a:extLst>
            <a:ext uri="{FF2B5EF4-FFF2-40B4-BE49-F238E27FC236}">
              <a16:creationId xmlns:a16="http://schemas.microsoft.com/office/drawing/2014/main" id="{6E572E30-85CE-87AC-54FB-97D9D48983E7}"/>
            </a:ext>
          </a:extLst>
        </xdr:cNvPr>
        <xdr:cNvSpPr/>
      </xdr:nvSpPr>
      <xdr:spPr>
        <a:xfrm>
          <a:off x="4032408" y="20132588"/>
          <a:ext cx="10110" cy="7684"/>
        </a:xfrm>
        <a:custGeom>
          <a:avLst/>
          <a:gdLst/>
          <a:ahLst/>
          <a:cxnLst/>
          <a:rect l="0" t="0" r="0" b="0"/>
          <a:pathLst>
            <a:path w="10110" h="7684">
              <a:moveTo>
                <a:pt x="0" y="2285"/>
              </a:moveTo>
              <a:lnTo>
                <a:pt x="3753" y="7683"/>
              </a:lnTo>
              <a:lnTo>
                <a:pt x="10109" y="7246"/>
              </a:lnTo>
              <a:lnTo>
                <a:pt x="8207" y="1168"/>
              </a:lnTo>
              <a:lnTo>
                <a:pt x="1802" y="0"/>
              </a:lnTo>
            </a:path>
          </a:pathLst>
        </a:custGeom>
        <a:solidFill>
          <a:srgbClr val="1F4E79"/>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3</xdr:col>
      <xdr:colOff>770070</xdr:colOff>
      <xdr:row>103</xdr:row>
      <xdr:rowOff>81838</xdr:rowOff>
    </xdr:from>
    <xdr:to>
      <xdr:col>4</xdr:col>
      <xdr:colOff>562184</xdr:colOff>
      <xdr:row>105</xdr:row>
      <xdr:rowOff>22978</xdr:rowOff>
    </xdr:to>
    <xdr:sp macro="MapShapeClick" textlink="">
      <xdr:nvSpPr>
        <xdr:cNvPr id="41" name="广西壮族自治区">
          <a:extLst>
            <a:ext uri="{FF2B5EF4-FFF2-40B4-BE49-F238E27FC236}">
              <a16:creationId xmlns:a16="http://schemas.microsoft.com/office/drawing/2014/main" id="{D4963682-5903-2DD4-3E02-5FBC5EA1452D}"/>
            </a:ext>
          </a:extLst>
        </xdr:cNvPr>
        <xdr:cNvSpPr/>
      </xdr:nvSpPr>
      <xdr:spPr>
        <a:xfrm>
          <a:off x="3101790" y="19665238"/>
          <a:ext cx="615074" cy="444060"/>
        </a:xfrm>
        <a:custGeom>
          <a:avLst/>
          <a:gdLst/>
          <a:ahLst/>
          <a:cxnLst/>
          <a:rect l="0" t="0" r="0" b="0"/>
          <a:pathLst>
            <a:path w="615074" h="444060">
              <a:moveTo>
                <a:pt x="405678" y="32239"/>
              </a:moveTo>
              <a:lnTo>
                <a:pt x="394067" y="49890"/>
              </a:lnTo>
              <a:lnTo>
                <a:pt x="394117" y="59178"/>
              </a:lnTo>
              <a:lnTo>
                <a:pt x="383307" y="58400"/>
              </a:lnTo>
              <a:lnTo>
                <a:pt x="383257" y="54073"/>
              </a:lnTo>
              <a:lnTo>
                <a:pt x="378503" y="58254"/>
              </a:lnTo>
              <a:lnTo>
                <a:pt x="378152" y="53441"/>
              </a:lnTo>
              <a:lnTo>
                <a:pt x="374199" y="52517"/>
              </a:lnTo>
              <a:lnTo>
                <a:pt x="358034" y="60735"/>
              </a:lnTo>
              <a:lnTo>
                <a:pt x="358384" y="63603"/>
              </a:lnTo>
              <a:lnTo>
                <a:pt x="372898" y="60150"/>
              </a:lnTo>
              <a:lnTo>
                <a:pt x="368994" y="68368"/>
              </a:lnTo>
              <a:lnTo>
                <a:pt x="373648" y="75469"/>
              </a:lnTo>
              <a:lnTo>
                <a:pt x="368494" y="78921"/>
              </a:lnTo>
              <a:lnTo>
                <a:pt x="362338" y="74884"/>
              </a:lnTo>
              <a:lnTo>
                <a:pt x="351428" y="77608"/>
              </a:lnTo>
              <a:lnTo>
                <a:pt x="348925" y="68466"/>
              </a:lnTo>
              <a:lnTo>
                <a:pt x="341218" y="68953"/>
              </a:lnTo>
              <a:lnTo>
                <a:pt x="338715" y="75517"/>
              </a:lnTo>
              <a:lnTo>
                <a:pt x="341218" y="77024"/>
              </a:lnTo>
              <a:lnTo>
                <a:pt x="334562" y="80769"/>
              </a:lnTo>
              <a:lnTo>
                <a:pt x="336013" y="97301"/>
              </a:lnTo>
              <a:lnTo>
                <a:pt x="313542" y="76782"/>
              </a:lnTo>
              <a:lnTo>
                <a:pt x="305685" y="86311"/>
              </a:lnTo>
              <a:lnTo>
                <a:pt x="298428" y="84998"/>
              </a:lnTo>
              <a:lnTo>
                <a:pt x="300930" y="88548"/>
              </a:lnTo>
              <a:lnTo>
                <a:pt x="296827" y="89862"/>
              </a:lnTo>
              <a:lnTo>
                <a:pt x="294574" y="106102"/>
              </a:lnTo>
              <a:lnTo>
                <a:pt x="265948" y="113738"/>
              </a:lnTo>
              <a:lnTo>
                <a:pt x="265898" y="104402"/>
              </a:lnTo>
              <a:lnTo>
                <a:pt x="260893" y="107513"/>
              </a:lnTo>
              <a:lnTo>
                <a:pt x="257590" y="96573"/>
              </a:lnTo>
              <a:lnTo>
                <a:pt x="242326" y="105763"/>
              </a:lnTo>
              <a:lnTo>
                <a:pt x="243777" y="100121"/>
              </a:lnTo>
              <a:lnTo>
                <a:pt x="239123" y="99004"/>
              </a:lnTo>
              <a:lnTo>
                <a:pt x="238172" y="89668"/>
              </a:lnTo>
              <a:lnTo>
                <a:pt x="229814" y="88890"/>
              </a:lnTo>
              <a:lnTo>
                <a:pt x="231315" y="83540"/>
              </a:lnTo>
              <a:lnTo>
                <a:pt x="220656" y="70314"/>
              </a:lnTo>
              <a:lnTo>
                <a:pt x="209195" y="74690"/>
              </a:lnTo>
              <a:lnTo>
                <a:pt x="209395" y="79213"/>
              </a:lnTo>
              <a:lnTo>
                <a:pt x="201037" y="85631"/>
              </a:lnTo>
              <a:lnTo>
                <a:pt x="204991" y="93266"/>
              </a:lnTo>
              <a:lnTo>
                <a:pt x="201988" y="104061"/>
              </a:lnTo>
              <a:lnTo>
                <a:pt x="198535" y="102456"/>
              </a:lnTo>
              <a:lnTo>
                <a:pt x="194881" y="108631"/>
              </a:lnTo>
              <a:lnTo>
                <a:pt x="175113" y="110187"/>
              </a:lnTo>
              <a:lnTo>
                <a:pt x="170709" y="117092"/>
              </a:lnTo>
              <a:lnTo>
                <a:pt x="158647" y="123219"/>
              </a:lnTo>
              <a:lnTo>
                <a:pt x="134525" y="129055"/>
              </a:lnTo>
              <a:lnTo>
                <a:pt x="139480" y="138294"/>
              </a:lnTo>
              <a:lnTo>
                <a:pt x="136777" y="146415"/>
              </a:lnTo>
              <a:lnTo>
                <a:pt x="124716" y="157794"/>
              </a:lnTo>
              <a:lnTo>
                <a:pt x="118010" y="149576"/>
              </a:lnTo>
              <a:lnTo>
                <a:pt x="108701" y="151569"/>
              </a:lnTo>
              <a:lnTo>
                <a:pt x="81876" y="142038"/>
              </a:lnTo>
              <a:lnTo>
                <a:pt x="76271" y="131146"/>
              </a:lnTo>
              <a:lnTo>
                <a:pt x="63209" y="131292"/>
              </a:lnTo>
              <a:lnTo>
                <a:pt x="58754" y="125359"/>
              </a:lnTo>
              <a:lnTo>
                <a:pt x="47794" y="132264"/>
              </a:lnTo>
              <a:lnTo>
                <a:pt x="44191" y="143984"/>
              </a:lnTo>
              <a:lnTo>
                <a:pt x="33281" y="147095"/>
              </a:lnTo>
              <a:lnTo>
                <a:pt x="19468" y="159155"/>
              </a:lnTo>
              <a:lnTo>
                <a:pt x="3253" y="148991"/>
              </a:lnTo>
              <a:lnTo>
                <a:pt x="0" y="155994"/>
              </a:lnTo>
              <a:lnTo>
                <a:pt x="2502" y="166545"/>
              </a:lnTo>
              <a:lnTo>
                <a:pt x="9859" y="180648"/>
              </a:lnTo>
              <a:lnTo>
                <a:pt x="17816" y="185656"/>
              </a:lnTo>
              <a:lnTo>
                <a:pt x="18367" y="174909"/>
              </a:lnTo>
              <a:lnTo>
                <a:pt x="35783" y="177633"/>
              </a:lnTo>
              <a:lnTo>
                <a:pt x="44942" y="174861"/>
              </a:lnTo>
              <a:lnTo>
                <a:pt x="56752" y="183323"/>
              </a:lnTo>
              <a:lnTo>
                <a:pt x="54851" y="188573"/>
              </a:lnTo>
              <a:lnTo>
                <a:pt x="61207" y="195674"/>
              </a:lnTo>
              <a:lnTo>
                <a:pt x="56302" y="199370"/>
              </a:lnTo>
              <a:lnTo>
                <a:pt x="62608" y="208803"/>
              </a:lnTo>
              <a:lnTo>
                <a:pt x="67513" y="203892"/>
              </a:lnTo>
              <a:lnTo>
                <a:pt x="81526" y="212741"/>
              </a:lnTo>
              <a:lnTo>
                <a:pt x="84829" y="202675"/>
              </a:lnTo>
              <a:lnTo>
                <a:pt x="89783" y="201994"/>
              </a:lnTo>
              <a:lnTo>
                <a:pt x="94238" y="211332"/>
              </a:lnTo>
              <a:lnTo>
                <a:pt x="103646" y="207684"/>
              </a:lnTo>
              <a:lnTo>
                <a:pt x="106199" y="212158"/>
              </a:lnTo>
              <a:lnTo>
                <a:pt x="113956" y="210650"/>
              </a:lnTo>
              <a:lnTo>
                <a:pt x="116158" y="203357"/>
              </a:lnTo>
              <a:lnTo>
                <a:pt x="122564" y="203503"/>
              </a:lnTo>
              <a:lnTo>
                <a:pt x="138379" y="224994"/>
              </a:lnTo>
              <a:lnTo>
                <a:pt x="133825" y="232434"/>
              </a:lnTo>
              <a:lnTo>
                <a:pt x="134225" y="252469"/>
              </a:lnTo>
              <a:lnTo>
                <a:pt x="128570" y="259034"/>
              </a:lnTo>
              <a:lnTo>
                <a:pt x="122714" y="263265"/>
              </a:lnTo>
              <a:lnTo>
                <a:pt x="121613" y="259569"/>
              </a:lnTo>
              <a:lnTo>
                <a:pt x="110703" y="256262"/>
              </a:lnTo>
              <a:lnTo>
                <a:pt x="98341" y="267348"/>
              </a:lnTo>
              <a:lnTo>
                <a:pt x="93287" y="267107"/>
              </a:lnTo>
              <a:lnTo>
                <a:pt x="98341" y="273914"/>
              </a:lnTo>
              <a:lnTo>
                <a:pt x="94238" y="272260"/>
              </a:lnTo>
              <a:lnTo>
                <a:pt x="84228" y="282132"/>
              </a:lnTo>
              <a:lnTo>
                <a:pt x="88182" y="297012"/>
              </a:lnTo>
              <a:lnTo>
                <a:pt x="100343" y="297351"/>
              </a:lnTo>
              <a:lnTo>
                <a:pt x="112905" y="310189"/>
              </a:lnTo>
              <a:lnTo>
                <a:pt x="122264" y="308341"/>
              </a:lnTo>
              <a:lnTo>
                <a:pt x="124316" y="303673"/>
              </a:lnTo>
              <a:lnTo>
                <a:pt x="135226" y="303867"/>
              </a:lnTo>
              <a:lnTo>
                <a:pt x="146036" y="314566"/>
              </a:lnTo>
              <a:lnTo>
                <a:pt x="152492" y="315392"/>
              </a:lnTo>
              <a:lnTo>
                <a:pt x="165454" y="307563"/>
              </a:lnTo>
              <a:lnTo>
                <a:pt x="190878" y="320206"/>
              </a:lnTo>
              <a:lnTo>
                <a:pt x="185173" y="325847"/>
              </a:lnTo>
              <a:lnTo>
                <a:pt x="180568" y="340288"/>
              </a:lnTo>
              <a:lnTo>
                <a:pt x="172611" y="337907"/>
              </a:lnTo>
              <a:lnTo>
                <a:pt x="168257" y="350793"/>
              </a:lnTo>
              <a:lnTo>
                <a:pt x="168457" y="360468"/>
              </a:lnTo>
              <a:lnTo>
                <a:pt x="176615" y="361781"/>
              </a:lnTo>
              <a:lnTo>
                <a:pt x="178666" y="367958"/>
              </a:lnTo>
              <a:lnTo>
                <a:pt x="179467" y="394313"/>
              </a:lnTo>
              <a:lnTo>
                <a:pt x="182720" y="390082"/>
              </a:lnTo>
              <a:lnTo>
                <a:pt x="203940" y="395382"/>
              </a:lnTo>
              <a:lnTo>
                <a:pt x="208844" y="398252"/>
              </a:lnTo>
              <a:lnTo>
                <a:pt x="205441" y="406616"/>
              </a:lnTo>
              <a:lnTo>
                <a:pt x="223658" y="416778"/>
              </a:lnTo>
              <a:lnTo>
                <a:pt x="229214" y="414104"/>
              </a:lnTo>
              <a:lnTo>
                <a:pt x="235519" y="426309"/>
              </a:lnTo>
              <a:lnTo>
                <a:pt x="242776" y="420572"/>
              </a:lnTo>
              <a:lnTo>
                <a:pt x="243527" y="426164"/>
              </a:lnTo>
              <a:lnTo>
                <a:pt x="248431" y="426990"/>
              </a:lnTo>
              <a:lnTo>
                <a:pt x="274155" y="421350"/>
              </a:lnTo>
              <a:lnTo>
                <a:pt x="281812" y="431562"/>
              </a:lnTo>
              <a:lnTo>
                <a:pt x="294024" y="433797"/>
              </a:lnTo>
              <a:lnTo>
                <a:pt x="300981" y="432825"/>
              </a:lnTo>
              <a:lnTo>
                <a:pt x="297928" y="430103"/>
              </a:lnTo>
              <a:lnTo>
                <a:pt x="304834" y="425822"/>
              </a:lnTo>
              <a:lnTo>
                <a:pt x="303933" y="435306"/>
              </a:lnTo>
              <a:lnTo>
                <a:pt x="325253" y="429762"/>
              </a:lnTo>
              <a:lnTo>
                <a:pt x="336113" y="418821"/>
              </a:lnTo>
              <a:lnTo>
                <a:pt x="345822" y="425581"/>
              </a:lnTo>
              <a:lnTo>
                <a:pt x="356833" y="423440"/>
              </a:lnTo>
              <a:lnTo>
                <a:pt x="377752" y="428644"/>
              </a:lnTo>
              <a:lnTo>
                <a:pt x="378052" y="433506"/>
              </a:lnTo>
              <a:lnTo>
                <a:pt x="370245" y="441141"/>
              </a:lnTo>
              <a:lnTo>
                <a:pt x="381606" y="444059"/>
              </a:lnTo>
              <a:lnTo>
                <a:pt x="409532" y="440022"/>
              </a:lnTo>
              <a:lnTo>
                <a:pt x="416238" y="429568"/>
              </a:lnTo>
              <a:lnTo>
                <a:pt x="423695" y="437785"/>
              </a:lnTo>
              <a:lnTo>
                <a:pt x="430301" y="438321"/>
              </a:lnTo>
              <a:lnTo>
                <a:pt x="426848" y="424364"/>
              </a:lnTo>
              <a:lnTo>
                <a:pt x="429701" y="419648"/>
              </a:lnTo>
              <a:lnTo>
                <a:pt x="434705" y="422613"/>
              </a:lnTo>
              <a:lnTo>
                <a:pt x="440911" y="419793"/>
              </a:lnTo>
              <a:lnTo>
                <a:pt x="443263" y="404427"/>
              </a:lnTo>
              <a:lnTo>
                <a:pt x="458177" y="399322"/>
              </a:lnTo>
              <a:lnTo>
                <a:pt x="479547" y="400100"/>
              </a:lnTo>
              <a:lnTo>
                <a:pt x="476044" y="373647"/>
              </a:lnTo>
              <a:lnTo>
                <a:pt x="478446" y="376370"/>
              </a:lnTo>
              <a:lnTo>
                <a:pt x="481399" y="372528"/>
              </a:lnTo>
              <a:lnTo>
                <a:pt x="488806" y="378266"/>
              </a:lnTo>
              <a:lnTo>
                <a:pt x="493060" y="373598"/>
              </a:lnTo>
              <a:lnTo>
                <a:pt x="498865" y="377731"/>
              </a:lnTo>
              <a:lnTo>
                <a:pt x="502869" y="375641"/>
              </a:lnTo>
              <a:lnTo>
                <a:pt x="500266" y="371458"/>
              </a:lnTo>
              <a:lnTo>
                <a:pt x="506672" y="364845"/>
              </a:lnTo>
              <a:lnTo>
                <a:pt x="511677" y="366012"/>
              </a:lnTo>
              <a:lnTo>
                <a:pt x="503669" y="348847"/>
              </a:lnTo>
              <a:lnTo>
                <a:pt x="507973" y="350063"/>
              </a:lnTo>
              <a:lnTo>
                <a:pt x="508624" y="341894"/>
              </a:lnTo>
              <a:lnTo>
                <a:pt x="533497" y="333822"/>
              </a:lnTo>
              <a:lnTo>
                <a:pt x="536250" y="329689"/>
              </a:lnTo>
              <a:lnTo>
                <a:pt x="533697" y="326673"/>
              </a:lnTo>
              <a:lnTo>
                <a:pt x="546710" y="325069"/>
              </a:lnTo>
              <a:lnTo>
                <a:pt x="558120" y="312620"/>
              </a:lnTo>
              <a:lnTo>
                <a:pt x="558471" y="305715"/>
              </a:lnTo>
              <a:lnTo>
                <a:pt x="564226" y="299636"/>
              </a:lnTo>
              <a:lnTo>
                <a:pt x="559672" y="295601"/>
              </a:lnTo>
              <a:lnTo>
                <a:pt x="557670" y="277706"/>
              </a:lnTo>
              <a:lnTo>
                <a:pt x="561474" y="261367"/>
              </a:lnTo>
              <a:lnTo>
                <a:pt x="567979" y="255727"/>
              </a:lnTo>
              <a:lnTo>
                <a:pt x="568580" y="247412"/>
              </a:lnTo>
              <a:lnTo>
                <a:pt x="578990" y="246294"/>
              </a:lnTo>
              <a:lnTo>
                <a:pt x="583144" y="239243"/>
              </a:lnTo>
              <a:lnTo>
                <a:pt x="579490" y="238611"/>
              </a:lnTo>
              <a:lnTo>
                <a:pt x="582193" y="229079"/>
              </a:lnTo>
              <a:lnTo>
                <a:pt x="594855" y="231414"/>
              </a:lnTo>
              <a:lnTo>
                <a:pt x="598408" y="218917"/>
              </a:lnTo>
              <a:lnTo>
                <a:pt x="605414" y="215319"/>
              </a:lnTo>
              <a:lnTo>
                <a:pt x="599759" y="198542"/>
              </a:lnTo>
              <a:lnTo>
                <a:pt x="600260" y="194020"/>
              </a:lnTo>
              <a:lnTo>
                <a:pt x="609118" y="191393"/>
              </a:lnTo>
              <a:lnTo>
                <a:pt x="615073" y="184003"/>
              </a:lnTo>
              <a:lnTo>
                <a:pt x="609018" y="172576"/>
              </a:lnTo>
              <a:lnTo>
                <a:pt x="610819" y="166595"/>
              </a:lnTo>
              <a:lnTo>
                <a:pt x="604364" y="158133"/>
              </a:lnTo>
              <a:lnTo>
                <a:pt x="607116" y="149915"/>
              </a:lnTo>
              <a:lnTo>
                <a:pt x="612221" y="148213"/>
              </a:lnTo>
              <a:lnTo>
                <a:pt x="586547" y="143886"/>
              </a:lnTo>
              <a:lnTo>
                <a:pt x="575336" y="156772"/>
              </a:lnTo>
              <a:lnTo>
                <a:pt x="565677" y="154876"/>
              </a:lnTo>
              <a:lnTo>
                <a:pt x="567929" y="143108"/>
              </a:lnTo>
              <a:lnTo>
                <a:pt x="564176" y="126769"/>
              </a:lnTo>
              <a:lnTo>
                <a:pt x="566979" y="122976"/>
              </a:lnTo>
              <a:lnTo>
                <a:pt x="562825" y="120691"/>
              </a:lnTo>
              <a:lnTo>
                <a:pt x="564376" y="116558"/>
              </a:lnTo>
              <a:lnTo>
                <a:pt x="551314" y="111403"/>
              </a:lnTo>
              <a:lnTo>
                <a:pt x="537251" y="121810"/>
              </a:lnTo>
              <a:lnTo>
                <a:pt x="537151" y="129833"/>
              </a:lnTo>
              <a:lnTo>
                <a:pt x="529744" y="132020"/>
              </a:lnTo>
              <a:lnTo>
                <a:pt x="526441" y="127159"/>
              </a:lnTo>
              <a:lnTo>
                <a:pt x="528893" y="110479"/>
              </a:lnTo>
              <a:lnTo>
                <a:pt x="538152" y="105471"/>
              </a:lnTo>
              <a:lnTo>
                <a:pt x="537401" y="99343"/>
              </a:lnTo>
              <a:lnTo>
                <a:pt x="551665" y="86944"/>
              </a:lnTo>
              <a:lnTo>
                <a:pt x="555668" y="78093"/>
              </a:lnTo>
              <a:lnTo>
                <a:pt x="554067" y="60200"/>
              </a:lnTo>
              <a:lnTo>
                <a:pt x="564927" y="55532"/>
              </a:lnTo>
              <a:lnTo>
                <a:pt x="564176" y="48821"/>
              </a:lnTo>
              <a:lnTo>
                <a:pt x="568480" y="47653"/>
              </a:lnTo>
              <a:lnTo>
                <a:pt x="559572" y="43423"/>
              </a:lnTo>
              <a:lnTo>
                <a:pt x="549412" y="47168"/>
              </a:lnTo>
              <a:lnTo>
                <a:pt x="544408" y="39144"/>
              </a:lnTo>
              <a:lnTo>
                <a:pt x="550713" y="29613"/>
              </a:lnTo>
              <a:lnTo>
                <a:pt x="551564" y="10308"/>
              </a:lnTo>
              <a:lnTo>
                <a:pt x="529644" y="4425"/>
              </a:lnTo>
              <a:lnTo>
                <a:pt x="526891" y="0"/>
              </a:lnTo>
              <a:lnTo>
                <a:pt x="524089" y="8995"/>
              </a:lnTo>
              <a:lnTo>
                <a:pt x="515681" y="11767"/>
              </a:lnTo>
              <a:lnTo>
                <a:pt x="509425" y="12448"/>
              </a:lnTo>
              <a:lnTo>
                <a:pt x="508024" y="6516"/>
              </a:lnTo>
              <a:lnTo>
                <a:pt x="497464" y="4716"/>
              </a:lnTo>
              <a:lnTo>
                <a:pt x="487955" y="19888"/>
              </a:lnTo>
              <a:lnTo>
                <a:pt x="478046" y="26890"/>
              </a:lnTo>
              <a:lnTo>
                <a:pt x="474192" y="37150"/>
              </a:lnTo>
              <a:lnTo>
                <a:pt x="468637" y="38415"/>
              </a:lnTo>
              <a:lnTo>
                <a:pt x="462481" y="29467"/>
              </a:lnTo>
              <a:lnTo>
                <a:pt x="455925" y="33115"/>
              </a:lnTo>
              <a:lnTo>
                <a:pt x="453022" y="30391"/>
              </a:lnTo>
              <a:lnTo>
                <a:pt x="455775" y="19644"/>
              </a:lnTo>
              <a:lnTo>
                <a:pt x="445315" y="17261"/>
              </a:lnTo>
              <a:lnTo>
                <a:pt x="436707" y="32434"/>
              </a:lnTo>
              <a:lnTo>
                <a:pt x="432653" y="31219"/>
              </a:lnTo>
              <a:lnTo>
                <a:pt x="430051" y="35206"/>
              </a:lnTo>
              <a:lnTo>
                <a:pt x="433604" y="42937"/>
              </a:lnTo>
              <a:lnTo>
                <a:pt x="429801" y="47022"/>
              </a:lnTo>
              <a:lnTo>
                <a:pt x="422143" y="45757"/>
              </a:lnTo>
              <a:lnTo>
                <a:pt x="425797" y="35837"/>
              </a:lnTo>
              <a:lnTo>
                <a:pt x="418090" y="30634"/>
              </a:lnTo>
              <a:lnTo>
                <a:pt x="408181" y="35108"/>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280370</xdr:colOff>
      <xdr:row>105</xdr:row>
      <xdr:rowOff>129615</xdr:rowOff>
    </xdr:from>
    <xdr:to>
      <xdr:col>4</xdr:col>
      <xdr:colOff>481109</xdr:colOff>
      <xdr:row>106</xdr:row>
      <xdr:rowOff>51947</xdr:rowOff>
    </xdr:to>
    <xdr:sp macro="MapShapeClick" textlink="">
      <xdr:nvSpPr>
        <xdr:cNvPr id="42" name="海南省">
          <a:extLst>
            <a:ext uri="{FF2B5EF4-FFF2-40B4-BE49-F238E27FC236}">
              <a16:creationId xmlns:a16="http://schemas.microsoft.com/office/drawing/2014/main" id="{11C417C9-F038-92E8-F748-6A46CA661102}"/>
            </a:ext>
          </a:extLst>
        </xdr:cNvPr>
        <xdr:cNvSpPr/>
      </xdr:nvSpPr>
      <xdr:spPr>
        <a:xfrm>
          <a:off x="3435050" y="20215935"/>
          <a:ext cx="200739" cy="173792"/>
        </a:xfrm>
        <a:custGeom>
          <a:avLst/>
          <a:gdLst/>
          <a:ahLst/>
          <a:cxnLst/>
          <a:rect l="0" t="0" r="0" b="0"/>
          <a:pathLst>
            <a:path w="200739" h="173792">
              <a:moveTo>
                <a:pt x="123115" y="11864"/>
              </a:moveTo>
              <a:lnTo>
                <a:pt x="114257" y="15900"/>
              </a:lnTo>
              <a:lnTo>
                <a:pt x="86682" y="13178"/>
              </a:lnTo>
              <a:lnTo>
                <a:pt x="76021" y="19061"/>
              </a:lnTo>
              <a:lnTo>
                <a:pt x="73719" y="25140"/>
              </a:lnTo>
              <a:lnTo>
                <a:pt x="57654" y="21298"/>
              </a:lnTo>
              <a:lnTo>
                <a:pt x="46144" y="32288"/>
              </a:lnTo>
              <a:lnTo>
                <a:pt x="45193" y="39678"/>
              </a:lnTo>
              <a:lnTo>
                <a:pt x="4354" y="70314"/>
              </a:lnTo>
              <a:lnTo>
                <a:pt x="0" y="88209"/>
              </a:lnTo>
              <a:lnTo>
                <a:pt x="3804" y="106880"/>
              </a:lnTo>
              <a:lnTo>
                <a:pt x="151" y="116753"/>
              </a:lnTo>
              <a:lnTo>
                <a:pt x="5906" y="128422"/>
              </a:lnTo>
              <a:lnTo>
                <a:pt x="4354" y="144421"/>
              </a:lnTo>
              <a:lnTo>
                <a:pt x="23573" y="150450"/>
              </a:lnTo>
              <a:lnTo>
                <a:pt x="28727" y="159203"/>
              </a:lnTo>
              <a:lnTo>
                <a:pt x="42040" y="158376"/>
              </a:lnTo>
              <a:lnTo>
                <a:pt x="44492" y="163142"/>
              </a:lnTo>
              <a:lnTo>
                <a:pt x="56604" y="163433"/>
              </a:lnTo>
              <a:lnTo>
                <a:pt x="80726" y="173791"/>
              </a:lnTo>
              <a:lnTo>
                <a:pt x="94138" y="169512"/>
              </a:lnTo>
              <a:lnTo>
                <a:pt x="97041" y="157015"/>
              </a:lnTo>
              <a:lnTo>
                <a:pt x="120213" y="153902"/>
              </a:lnTo>
              <a:lnTo>
                <a:pt x="123966" y="142718"/>
              </a:lnTo>
              <a:lnTo>
                <a:pt x="134476" y="133868"/>
              </a:lnTo>
              <a:lnTo>
                <a:pt x="155045" y="130270"/>
              </a:lnTo>
              <a:lnTo>
                <a:pt x="155045" y="121712"/>
              </a:lnTo>
              <a:lnTo>
                <a:pt x="161451" y="118892"/>
              </a:lnTo>
              <a:lnTo>
                <a:pt x="164804" y="87285"/>
              </a:lnTo>
              <a:lnTo>
                <a:pt x="169459" y="75760"/>
              </a:lnTo>
              <a:lnTo>
                <a:pt x="189277" y="52808"/>
              </a:lnTo>
              <a:lnTo>
                <a:pt x="200738" y="47653"/>
              </a:lnTo>
              <a:lnTo>
                <a:pt x="199286" y="34621"/>
              </a:lnTo>
              <a:lnTo>
                <a:pt x="192980" y="12593"/>
              </a:lnTo>
              <a:lnTo>
                <a:pt x="180168" y="11086"/>
              </a:lnTo>
              <a:lnTo>
                <a:pt x="170359" y="0"/>
              </a:lnTo>
              <a:lnTo>
                <a:pt x="157247" y="7682"/>
              </a:lnTo>
              <a:lnTo>
                <a:pt x="145937" y="4377"/>
              </a:lnTo>
              <a:lnTo>
                <a:pt x="140331" y="4764"/>
              </a:lnTo>
              <a:lnTo>
                <a:pt x="137979" y="9336"/>
              </a:lnTo>
              <a:lnTo>
                <a:pt x="126218" y="7731"/>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711473</xdr:colOff>
      <xdr:row>109</xdr:row>
      <xdr:rowOff>147463</xdr:rowOff>
    </xdr:from>
    <xdr:to>
      <xdr:col>4</xdr:col>
      <xdr:colOff>764974</xdr:colOff>
      <xdr:row>109</xdr:row>
      <xdr:rowOff>182815</xdr:rowOff>
    </xdr:to>
    <xdr:sp macro="MapShapeClick" textlink="">
      <xdr:nvSpPr>
        <xdr:cNvPr id="43" name="海南省">
          <a:extLst>
            <a:ext uri="{FF2B5EF4-FFF2-40B4-BE49-F238E27FC236}">
              <a16:creationId xmlns:a16="http://schemas.microsoft.com/office/drawing/2014/main" id="{C4461F40-4FC9-DC24-0979-294195F55A07}"/>
            </a:ext>
          </a:extLst>
        </xdr:cNvPr>
        <xdr:cNvSpPr/>
      </xdr:nvSpPr>
      <xdr:spPr>
        <a:xfrm>
          <a:off x="3866153" y="21239623"/>
          <a:ext cx="53501" cy="35352"/>
        </a:xfrm>
        <a:custGeom>
          <a:avLst/>
          <a:gdLst/>
          <a:ahLst/>
          <a:cxnLst/>
          <a:rect l="0" t="0" r="0" b="0"/>
          <a:pathLst>
            <a:path w="53501" h="35352">
              <a:moveTo>
                <a:pt x="0" y="29662"/>
              </a:moveTo>
              <a:lnTo>
                <a:pt x="13162" y="35351"/>
              </a:lnTo>
              <a:lnTo>
                <a:pt x="41488" y="23437"/>
              </a:lnTo>
              <a:lnTo>
                <a:pt x="42489" y="16678"/>
              </a:lnTo>
              <a:lnTo>
                <a:pt x="53500" y="6370"/>
              </a:lnTo>
              <a:lnTo>
                <a:pt x="46793" y="0"/>
              </a:lnTo>
              <a:lnTo>
                <a:pt x="2002" y="27035"/>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351287</xdr:colOff>
      <xdr:row>109</xdr:row>
      <xdr:rowOff>179701</xdr:rowOff>
    </xdr:from>
    <xdr:to>
      <xdr:col>4</xdr:col>
      <xdr:colOff>389874</xdr:colOff>
      <xdr:row>109</xdr:row>
      <xdr:rowOff>200661</xdr:rowOff>
    </xdr:to>
    <xdr:sp macro="MapShapeClick" textlink="">
      <xdr:nvSpPr>
        <xdr:cNvPr id="44" name="海南省">
          <a:extLst>
            <a:ext uri="{FF2B5EF4-FFF2-40B4-BE49-F238E27FC236}">
              <a16:creationId xmlns:a16="http://schemas.microsoft.com/office/drawing/2014/main" id="{2D6D7FB4-2977-0726-EA70-07FE50F83C62}"/>
            </a:ext>
          </a:extLst>
        </xdr:cNvPr>
        <xdr:cNvSpPr/>
      </xdr:nvSpPr>
      <xdr:spPr>
        <a:xfrm>
          <a:off x="3505967" y="21271861"/>
          <a:ext cx="38587" cy="20960"/>
        </a:xfrm>
        <a:custGeom>
          <a:avLst/>
          <a:gdLst/>
          <a:ahLst/>
          <a:cxnLst/>
          <a:rect l="0" t="0" r="0" b="0"/>
          <a:pathLst>
            <a:path w="38587" h="20960">
              <a:moveTo>
                <a:pt x="0" y="18965"/>
              </a:moveTo>
              <a:lnTo>
                <a:pt x="4004" y="20959"/>
              </a:lnTo>
              <a:lnTo>
                <a:pt x="19918" y="5301"/>
              </a:lnTo>
              <a:lnTo>
                <a:pt x="38586" y="5836"/>
              </a:lnTo>
              <a:lnTo>
                <a:pt x="35833" y="1994"/>
              </a:lnTo>
              <a:lnTo>
                <a:pt x="20969" y="0"/>
              </a:lnTo>
              <a:lnTo>
                <a:pt x="5855" y="10407"/>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920318</xdr:colOff>
      <xdr:row>108</xdr:row>
      <xdr:rowOff>196586</xdr:rowOff>
    </xdr:from>
    <xdr:to>
      <xdr:col>4</xdr:col>
      <xdr:colOff>934732</xdr:colOff>
      <xdr:row>108</xdr:row>
      <xdr:rowOff>206314</xdr:rowOff>
    </xdr:to>
    <xdr:sp macro="MapShapeClick" textlink="">
      <xdr:nvSpPr>
        <xdr:cNvPr id="45" name="海南省">
          <a:extLst>
            <a:ext uri="{FF2B5EF4-FFF2-40B4-BE49-F238E27FC236}">
              <a16:creationId xmlns:a16="http://schemas.microsoft.com/office/drawing/2014/main" id="{88D0720C-FC13-EE1C-D3D6-9548E0934E9D}"/>
            </a:ext>
          </a:extLst>
        </xdr:cNvPr>
        <xdr:cNvSpPr/>
      </xdr:nvSpPr>
      <xdr:spPr>
        <a:xfrm>
          <a:off x="4074998" y="21037286"/>
          <a:ext cx="14414" cy="9728"/>
        </a:xfrm>
        <a:custGeom>
          <a:avLst/>
          <a:gdLst/>
          <a:ahLst/>
          <a:cxnLst/>
          <a:rect l="0" t="0" r="0" b="0"/>
          <a:pathLst>
            <a:path w="14414" h="9728">
              <a:moveTo>
                <a:pt x="1751" y="2579"/>
              </a:moveTo>
              <a:lnTo>
                <a:pt x="0" y="9727"/>
              </a:lnTo>
              <a:lnTo>
                <a:pt x="14413" y="7586"/>
              </a:lnTo>
              <a:lnTo>
                <a:pt x="3853" y="6420"/>
              </a:lnTo>
              <a:lnTo>
                <a:pt x="4804" y="0"/>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389673</xdr:colOff>
      <xdr:row>109</xdr:row>
      <xdr:rowOff>149067</xdr:rowOff>
    </xdr:from>
    <xdr:to>
      <xdr:col>4</xdr:col>
      <xdr:colOff>401585</xdr:colOff>
      <xdr:row>109</xdr:row>
      <xdr:rowOff>160300</xdr:rowOff>
    </xdr:to>
    <xdr:sp macro="MapShapeClick" textlink="">
      <xdr:nvSpPr>
        <xdr:cNvPr id="46" name="海南省">
          <a:extLst>
            <a:ext uri="{FF2B5EF4-FFF2-40B4-BE49-F238E27FC236}">
              <a16:creationId xmlns:a16="http://schemas.microsoft.com/office/drawing/2014/main" id="{5E385B9E-A532-BAB2-D9D1-4E0D027926F5}"/>
            </a:ext>
          </a:extLst>
        </xdr:cNvPr>
        <xdr:cNvSpPr/>
      </xdr:nvSpPr>
      <xdr:spPr>
        <a:xfrm>
          <a:off x="3544353" y="21241227"/>
          <a:ext cx="11912" cy="11233"/>
        </a:xfrm>
        <a:custGeom>
          <a:avLst/>
          <a:gdLst/>
          <a:ahLst/>
          <a:cxnLst/>
          <a:rect l="0" t="0" r="0" b="0"/>
          <a:pathLst>
            <a:path w="11912" h="11233">
              <a:moveTo>
                <a:pt x="0" y="8267"/>
              </a:moveTo>
              <a:lnTo>
                <a:pt x="4203" y="11232"/>
              </a:lnTo>
              <a:lnTo>
                <a:pt x="11911" y="4327"/>
              </a:lnTo>
              <a:lnTo>
                <a:pt x="11510" y="0"/>
              </a:lnTo>
              <a:lnTo>
                <a:pt x="1351" y="4960"/>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12671</xdr:colOff>
      <xdr:row>101</xdr:row>
      <xdr:rowOff>42571</xdr:rowOff>
    </xdr:from>
    <xdr:to>
      <xdr:col>4</xdr:col>
      <xdr:colOff>411094</xdr:colOff>
      <xdr:row>102</xdr:row>
      <xdr:rowOff>170836</xdr:rowOff>
    </xdr:to>
    <xdr:sp macro="MapShapeClick" textlink="">
      <xdr:nvSpPr>
        <xdr:cNvPr id="47" name="重庆市">
          <a:extLst>
            <a:ext uri="{FF2B5EF4-FFF2-40B4-BE49-F238E27FC236}">
              <a16:creationId xmlns:a16="http://schemas.microsoft.com/office/drawing/2014/main" id="{DE3120AE-9FB6-6C76-DD76-5713F931F849}"/>
            </a:ext>
          </a:extLst>
        </xdr:cNvPr>
        <xdr:cNvSpPr/>
      </xdr:nvSpPr>
      <xdr:spPr>
        <a:xfrm>
          <a:off x="3167351" y="19123051"/>
          <a:ext cx="398423" cy="379725"/>
        </a:xfrm>
        <a:custGeom>
          <a:avLst/>
          <a:gdLst/>
          <a:ahLst/>
          <a:cxnLst/>
          <a:rect l="0" t="0" r="0" b="0"/>
          <a:pathLst>
            <a:path w="398423" h="379725">
              <a:moveTo>
                <a:pt x="87581" y="346221"/>
              </a:moveTo>
              <a:lnTo>
                <a:pt x="89934" y="342136"/>
              </a:lnTo>
              <a:lnTo>
                <a:pt x="98192" y="344471"/>
              </a:lnTo>
              <a:lnTo>
                <a:pt x="95089" y="340629"/>
              </a:lnTo>
              <a:lnTo>
                <a:pt x="100093" y="332168"/>
              </a:lnTo>
              <a:lnTo>
                <a:pt x="94688" y="324436"/>
              </a:lnTo>
              <a:lnTo>
                <a:pt x="95689" y="317775"/>
              </a:lnTo>
              <a:lnTo>
                <a:pt x="110102" y="334794"/>
              </a:lnTo>
              <a:lnTo>
                <a:pt x="103046" y="349965"/>
              </a:lnTo>
              <a:lnTo>
                <a:pt x="108551" y="348264"/>
              </a:lnTo>
              <a:lnTo>
                <a:pt x="114707" y="353174"/>
              </a:lnTo>
              <a:lnTo>
                <a:pt x="120362" y="342769"/>
              </a:lnTo>
              <a:lnTo>
                <a:pt x="118660" y="338684"/>
              </a:lnTo>
              <a:lnTo>
                <a:pt x="127569" y="337079"/>
              </a:lnTo>
              <a:lnTo>
                <a:pt x="129421" y="330467"/>
              </a:lnTo>
              <a:lnTo>
                <a:pt x="124116" y="324874"/>
              </a:lnTo>
              <a:lnTo>
                <a:pt x="132173" y="319914"/>
              </a:lnTo>
              <a:lnTo>
                <a:pt x="137478" y="323027"/>
              </a:lnTo>
              <a:lnTo>
                <a:pt x="139730" y="313155"/>
              </a:lnTo>
              <a:lnTo>
                <a:pt x="155195" y="314468"/>
              </a:lnTo>
              <a:lnTo>
                <a:pt x="158448" y="324339"/>
              </a:lnTo>
              <a:lnTo>
                <a:pt x="169608" y="316316"/>
              </a:lnTo>
              <a:lnTo>
                <a:pt x="174262" y="307465"/>
              </a:lnTo>
              <a:lnTo>
                <a:pt x="168007" y="301388"/>
              </a:lnTo>
              <a:lnTo>
                <a:pt x="168457" y="293753"/>
              </a:lnTo>
              <a:lnTo>
                <a:pt x="173161" y="290300"/>
              </a:lnTo>
              <a:lnTo>
                <a:pt x="171060" y="285098"/>
              </a:lnTo>
              <a:lnTo>
                <a:pt x="184772" y="281986"/>
              </a:lnTo>
              <a:lnTo>
                <a:pt x="186273" y="288307"/>
              </a:lnTo>
              <a:lnTo>
                <a:pt x="195332" y="289133"/>
              </a:lnTo>
              <a:lnTo>
                <a:pt x="199286" y="283687"/>
              </a:lnTo>
              <a:lnTo>
                <a:pt x="204290" y="289328"/>
              </a:lnTo>
              <a:lnTo>
                <a:pt x="204240" y="303721"/>
              </a:lnTo>
              <a:lnTo>
                <a:pt x="208895" y="305958"/>
              </a:lnTo>
              <a:lnTo>
                <a:pt x="210146" y="301680"/>
              </a:lnTo>
              <a:lnTo>
                <a:pt x="225410" y="294240"/>
              </a:lnTo>
              <a:lnTo>
                <a:pt x="240474" y="298519"/>
              </a:lnTo>
              <a:lnTo>
                <a:pt x="244578" y="294920"/>
              </a:lnTo>
              <a:lnTo>
                <a:pt x="251034" y="320547"/>
              </a:lnTo>
              <a:lnTo>
                <a:pt x="246680" y="332022"/>
              </a:lnTo>
              <a:lnTo>
                <a:pt x="271353" y="337370"/>
              </a:lnTo>
              <a:lnTo>
                <a:pt x="266298" y="345734"/>
              </a:lnTo>
              <a:lnTo>
                <a:pt x="269201" y="354537"/>
              </a:lnTo>
              <a:lnTo>
                <a:pt x="266799" y="363094"/>
              </a:lnTo>
              <a:lnTo>
                <a:pt x="273905" y="363921"/>
              </a:lnTo>
              <a:lnTo>
                <a:pt x="276307" y="357746"/>
              </a:lnTo>
              <a:lnTo>
                <a:pt x="271703" y="352591"/>
              </a:lnTo>
              <a:lnTo>
                <a:pt x="277309" y="348506"/>
              </a:lnTo>
              <a:lnTo>
                <a:pt x="283064" y="355461"/>
              </a:lnTo>
              <a:lnTo>
                <a:pt x="279661" y="373695"/>
              </a:lnTo>
              <a:lnTo>
                <a:pt x="286417" y="372139"/>
              </a:lnTo>
              <a:lnTo>
                <a:pt x="301381" y="379724"/>
              </a:lnTo>
              <a:lnTo>
                <a:pt x="303083" y="374424"/>
              </a:lnTo>
              <a:lnTo>
                <a:pt x="307937" y="377731"/>
              </a:lnTo>
              <a:lnTo>
                <a:pt x="313392" y="356239"/>
              </a:lnTo>
              <a:lnTo>
                <a:pt x="326905" y="341212"/>
              </a:lnTo>
              <a:lnTo>
                <a:pt x="325854" y="337420"/>
              </a:lnTo>
              <a:lnTo>
                <a:pt x="317296" y="339559"/>
              </a:lnTo>
              <a:lnTo>
                <a:pt x="316595" y="336009"/>
              </a:lnTo>
              <a:lnTo>
                <a:pt x="324853" y="328035"/>
              </a:lnTo>
              <a:lnTo>
                <a:pt x="320499" y="322978"/>
              </a:lnTo>
              <a:lnTo>
                <a:pt x="320049" y="313204"/>
              </a:lnTo>
              <a:lnTo>
                <a:pt x="326905" y="298325"/>
              </a:lnTo>
              <a:lnTo>
                <a:pt x="312241" y="286557"/>
              </a:lnTo>
              <a:lnTo>
                <a:pt x="310039" y="268661"/>
              </a:lnTo>
              <a:lnTo>
                <a:pt x="305835" y="264724"/>
              </a:lnTo>
              <a:lnTo>
                <a:pt x="294375" y="271920"/>
              </a:lnTo>
              <a:lnTo>
                <a:pt x="295025" y="261708"/>
              </a:lnTo>
              <a:lnTo>
                <a:pt x="290071" y="258450"/>
              </a:lnTo>
              <a:lnTo>
                <a:pt x="292873" y="245905"/>
              </a:lnTo>
              <a:lnTo>
                <a:pt x="288269" y="240896"/>
              </a:lnTo>
              <a:lnTo>
                <a:pt x="283164" y="243035"/>
              </a:lnTo>
              <a:lnTo>
                <a:pt x="283564" y="237784"/>
              </a:lnTo>
              <a:lnTo>
                <a:pt x="280812" y="241772"/>
              </a:lnTo>
              <a:lnTo>
                <a:pt x="275807" y="237978"/>
              </a:lnTo>
              <a:lnTo>
                <a:pt x="273204" y="222515"/>
              </a:lnTo>
              <a:lnTo>
                <a:pt x="268500" y="221689"/>
              </a:lnTo>
              <a:lnTo>
                <a:pt x="260643" y="236276"/>
              </a:lnTo>
              <a:lnTo>
                <a:pt x="249833" y="223779"/>
              </a:lnTo>
              <a:lnTo>
                <a:pt x="261594" y="219646"/>
              </a:lnTo>
              <a:lnTo>
                <a:pt x="261394" y="203503"/>
              </a:lnTo>
              <a:lnTo>
                <a:pt x="266949" y="184877"/>
              </a:lnTo>
              <a:lnTo>
                <a:pt x="252335" y="173500"/>
              </a:lnTo>
              <a:lnTo>
                <a:pt x="253086" y="167665"/>
              </a:lnTo>
              <a:lnTo>
                <a:pt x="254337" y="162607"/>
              </a:lnTo>
              <a:lnTo>
                <a:pt x="265798" y="164845"/>
              </a:lnTo>
              <a:lnTo>
                <a:pt x="275607" y="153611"/>
              </a:lnTo>
              <a:lnTo>
                <a:pt x="280111" y="162364"/>
              </a:lnTo>
              <a:lnTo>
                <a:pt x="285366" y="162704"/>
              </a:lnTo>
              <a:lnTo>
                <a:pt x="304384" y="147193"/>
              </a:lnTo>
              <a:lnTo>
                <a:pt x="309989" y="148067"/>
              </a:lnTo>
              <a:lnTo>
                <a:pt x="312591" y="159884"/>
              </a:lnTo>
              <a:lnTo>
                <a:pt x="325253" y="149576"/>
              </a:lnTo>
              <a:lnTo>
                <a:pt x="329757" y="163093"/>
              </a:lnTo>
              <a:lnTo>
                <a:pt x="336313" y="152833"/>
              </a:lnTo>
              <a:lnTo>
                <a:pt x="344421" y="146317"/>
              </a:lnTo>
              <a:lnTo>
                <a:pt x="347574" y="148019"/>
              </a:lnTo>
              <a:lnTo>
                <a:pt x="354280" y="137273"/>
              </a:lnTo>
              <a:lnTo>
                <a:pt x="373598" y="124095"/>
              </a:lnTo>
              <a:lnTo>
                <a:pt x="382857" y="125652"/>
              </a:lnTo>
              <a:lnTo>
                <a:pt x="388863" y="133577"/>
              </a:lnTo>
              <a:lnTo>
                <a:pt x="396219" y="116606"/>
              </a:lnTo>
              <a:lnTo>
                <a:pt x="391965" y="111549"/>
              </a:lnTo>
              <a:lnTo>
                <a:pt x="391915" y="106200"/>
              </a:lnTo>
              <a:lnTo>
                <a:pt x="398422" y="99538"/>
              </a:lnTo>
              <a:lnTo>
                <a:pt x="395319" y="84756"/>
              </a:lnTo>
              <a:lnTo>
                <a:pt x="391815" y="75662"/>
              </a:lnTo>
              <a:lnTo>
                <a:pt x="377702" y="69877"/>
              </a:lnTo>
              <a:lnTo>
                <a:pt x="379704" y="66229"/>
              </a:lnTo>
              <a:lnTo>
                <a:pt x="360036" y="62485"/>
              </a:lnTo>
              <a:lnTo>
                <a:pt x="363039" y="57282"/>
              </a:lnTo>
              <a:lnTo>
                <a:pt x="360336" y="47945"/>
              </a:lnTo>
              <a:lnTo>
                <a:pt x="323802" y="46390"/>
              </a:lnTo>
              <a:lnTo>
                <a:pt x="323351" y="38511"/>
              </a:lnTo>
              <a:lnTo>
                <a:pt x="316795" y="36761"/>
              </a:lnTo>
              <a:lnTo>
                <a:pt x="307887" y="26064"/>
              </a:lnTo>
              <a:lnTo>
                <a:pt x="261093" y="0"/>
              </a:lnTo>
              <a:lnTo>
                <a:pt x="252085" y="681"/>
              </a:lnTo>
              <a:lnTo>
                <a:pt x="250483" y="4571"/>
              </a:lnTo>
              <a:lnTo>
                <a:pt x="256439" y="10649"/>
              </a:lnTo>
              <a:lnTo>
                <a:pt x="247631" y="12837"/>
              </a:lnTo>
              <a:lnTo>
                <a:pt x="248231" y="22027"/>
              </a:lnTo>
              <a:lnTo>
                <a:pt x="240724" y="22466"/>
              </a:lnTo>
              <a:lnTo>
                <a:pt x="247581" y="32628"/>
              </a:lnTo>
              <a:lnTo>
                <a:pt x="263145" y="42499"/>
              </a:lnTo>
              <a:lnTo>
                <a:pt x="260743" y="44736"/>
              </a:lnTo>
              <a:lnTo>
                <a:pt x="264096" y="51301"/>
              </a:lnTo>
              <a:lnTo>
                <a:pt x="255638" y="54315"/>
              </a:lnTo>
              <a:lnTo>
                <a:pt x="247631" y="65889"/>
              </a:lnTo>
              <a:lnTo>
                <a:pt x="235219" y="67833"/>
              </a:lnTo>
              <a:lnTo>
                <a:pt x="237872" y="70508"/>
              </a:lnTo>
              <a:lnTo>
                <a:pt x="232166" y="79358"/>
              </a:lnTo>
              <a:lnTo>
                <a:pt x="234769" y="82617"/>
              </a:lnTo>
              <a:lnTo>
                <a:pt x="222808" y="90592"/>
              </a:lnTo>
              <a:lnTo>
                <a:pt x="222207" y="93995"/>
              </a:lnTo>
              <a:lnTo>
                <a:pt x="226962" y="95162"/>
              </a:lnTo>
              <a:lnTo>
                <a:pt x="220405" y="104206"/>
              </a:lnTo>
              <a:lnTo>
                <a:pt x="224559" y="109653"/>
              </a:lnTo>
              <a:lnTo>
                <a:pt x="215000" y="115634"/>
              </a:lnTo>
              <a:lnTo>
                <a:pt x="215451" y="122295"/>
              </a:lnTo>
              <a:lnTo>
                <a:pt x="219254" y="123269"/>
              </a:lnTo>
              <a:lnTo>
                <a:pt x="207593" y="134209"/>
              </a:lnTo>
              <a:lnTo>
                <a:pt x="200487" y="131924"/>
              </a:lnTo>
              <a:lnTo>
                <a:pt x="198535" y="125554"/>
              </a:lnTo>
              <a:lnTo>
                <a:pt x="190828" y="131535"/>
              </a:lnTo>
              <a:lnTo>
                <a:pt x="177665" y="129881"/>
              </a:lnTo>
              <a:lnTo>
                <a:pt x="172911" y="139169"/>
              </a:lnTo>
              <a:lnTo>
                <a:pt x="180418" y="148213"/>
              </a:lnTo>
              <a:lnTo>
                <a:pt x="142933" y="205107"/>
              </a:lnTo>
              <a:lnTo>
                <a:pt x="136928" y="200925"/>
              </a:lnTo>
              <a:lnTo>
                <a:pt x="131372" y="206516"/>
              </a:lnTo>
              <a:lnTo>
                <a:pt x="116659" y="206371"/>
              </a:lnTo>
              <a:lnTo>
                <a:pt x="106850" y="186775"/>
              </a:lnTo>
              <a:lnTo>
                <a:pt x="109352" y="185753"/>
              </a:lnTo>
              <a:lnTo>
                <a:pt x="102696" y="179286"/>
              </a:lnTo>
              <a:lnTo>
                <a:pt x="92886" y="179918"/>
              </a:lnTo>
              <a:lnTo>
                <a:pt x="91986" y="184975"/>
              </a:lnTo>
              <a:lnTo>
                <a:pt x="76071" y="191443"/>
              </a:lnTo>
              <a:lnTo>
                <a:pt x="70866" y="180355"/>
              </a:lnTo>
              <a:lnTo>
                <a:pt x="42990" y="167908"/>
              </a:lnTo>
              <a:lnTo>
                <a:pt x="33982" y="178557"/>
              </a:lnTo>
              <a:lnTo>
                <a:pt x="34432" y="185170"/>
              </a:lnTo>
              <a:lnTo>
                <a:pt x="26675" y="182981"/>
              </a:lnTo>
              <a:lnTo>
                <a:pt x="29727" y="189158"/>
              </a:lnTo>
              <a:lnTo>
                <a:pt x="19468" y="194554"/>
              </a:lnTo>
              <a:lnTo>
                <a:pt x="24373" y="193971"/>
              </a:lnTo>
              <a:lnTo>
                <a:pt x="22571" y="196646"/>
              </a:lnTo>
              <a:lnTo>
                <a:pt x="37134" y="207197"/>
              </a:lnTo>
              <a:lnTo>
                <a:pt x="32981" y="215950"/>
              </a:lnTo>
              <a:lnTo>
                <a:pt x="35933" y="219111"/>
              </a:lnTo>
              <a:lnTo>
                <a:pt x="33431" y="223829"/>
              </a:lnTo>
              <a:lnTo>
                <a:pt x="23271" y="225870"/>
              </a:lnTo>
              <a:lnTo>
                <a:pt x="22621" y="232873"/>
              </a:lnTo>
              <a:lnTo>
                <a:pt x="15064" y="235304"/>
              </a:lnTo>
              <a:lnTo>
                <a:pt x="14663" y="239389"/>
              </a:lnTo>
              <a:lnTo>
                <a:pt x="10009" y="238124"/>
              </a:lnTo>
              <a:lnTo>
                <a:pt x="0" y="249066"/>
              </a:lnTo>
              <a:lnTo>
                <a:pt x="3053" y="261174"/>
              </a:lnTo>
              <a:lnTo>
                <a:pt x="7357" y="259860"/>
              </a:lnTo>
              <a:lnTo>
                <a:pt x="6206" y="263070"/>
              </a:lnTo>
              <a:lnTo>
                <a:pt x="11811" y="264966"/>
              </a:lnTo>
              <a:lnTo>
                <a:pt x="10059" y="273281"/>
              </a:lnTo>
              <a:lnTo>
                <a:pt x="13713" y="272212"/>
              </a:lnTo>
              <a:lnTo>
                <a:pt x="13212" y="275421"/>
              </a:lnTo>
              <a:lnTo>
                <a:pt x="28526" y="278728"/>
              </a:lnTo>
              <a:lnTo>
                <a:pt x="32380" y="275518"/>
              </a:lnTo>
              <a:lnTo>
                <a:pt x="40688" y="308195"/>
              </a:lnTo>
              <a:lnTo>
                <a:pt x="49846" y="309654"/>
              </a:lnTo>
              <a:lnTo>
                <a:pt x="57253" y="304693"/>
              </a:lnTo>
              <a:lnTo>
                <a:pt x="61157" y="310967"/>
              </a:lnTo>
              <a:lnTo>
                <a:pt x="73969" y="311113"/>
              </a:lnTo>
              <a:lnTo>
                <a:pt x="78673" y="316559"/>
              </a:lnTo>
              <a:lnTo>
                <a:pt x="84128" y="343693"/>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3</xdr:col>
      <xdr:colOff>189778</xdr:colOff>
      <xdr:row>100</xdr:row>
      <xdr:rowOff>88827</xdr:rowOff>
    </xdr:from>
    <xdr:to>
      <xdr:col>4</xdr:col>
      <xdr:colOff>276768</xdr:colOff>
      <xdr:row>103</xdr:row>
      <xdr:rowOff>112619</xdr:rowOff>
    </xdr:to>
    <xdr:sp macro="MapShapeClick" textlink="">
      <xdr:nvSpPr>
        <xdr:cNvPr id="48" name="四川省">
          <a:extLst>
            <a:ext uri="{FF2B5EF4-FFF2-40B4-BE49-F238E27FC236}">
              <a16:creationId xmlns:a16="http://schemas.microsoft.com/office/drawing/2014/main" id="{27C04EBB-7149-F980-599C-75435D4EF4BE}"/>
            </a:ext>
          </a:extLst>
        </xdr:cNvPr>
        <xdr:cNvSpPr/>
      </xdr:nvSpPr>
      <xdr:spPr>
        <a:xfrm>
          <a:off x="2521498" y="18917847"/>
          <a:ext cx="909950" cy="778172"/>
        </a:xfrm>
        <a:custGeom>
          <a:avLst/>
          <a:gdLst/>
          <a:ahLst/>
          <a:cxnLst/>
          <a:rect l="0" t="0" r="0" b="0"/>
          <a:pathLst>
            <a:path w="909950" h="778172">
              <a:moveTo>
                <a:pt x="310390" y="673430"/>
              </a:moveTo>
              <a:lnTo>
                <a:pt x="307837" y="689379"/>
              </a:lnTo>
              <a:lnTo>
                <a:pt x="318247" y="695604"/>
              </a:lnTo>
              <a:lnTo>
                <a:pt x="318497" y="700368"/>
              </a:lnTo>
              <a:lnTo>
                <a:pt x="326455" y="702120"/>
              </a:lnTo>
              <a:lnTo>
                <a:pt x="328407" y="716756"/>
              </a:lnTo>
              <a:lnTo>
                <a:pt x="334012" y="716026"/>
              </a:lnTo>
              <a:lnTo>
                <a:pt x="334612" y="710969"/>
              </a:lnTo>
              <a:lnTo>
                <a:pt x="338466" y="712623"/>
              </a:lnTo>
              <a:lnTo>
                <a:pt x="333561" y="719528"/>
              </a:lnTo>
              <a:lnTo>
                <a:pt x="334262" y="727357"/>
              </a:lnTo>
              <a:lnTo>
                <a:pt x="328907" y="728670"/>
              </a:lnTo>
              <a:lnTo>
                <a:pt x="334012" y="737421"/>
              </a:lnTo>
              <a:lnTo>
                <a:pt x="348575" y="747098"/>
              </a:lnTo>
              <a:lnTo>
                <a:pt x="350427" y="750940"/>
              </a:lnTo>
              <a:lnTo>
                <a:pt x="344371" y="757019"/>
              </a:lnTo>
              <a:lnTo>
                <a:pt x="362388" y="768203"/>
              </a:lnTo>
              <a:lnTo>
                <a:pt x="364640" y="778171"/>
              </a:lnTo>
              <a:lnTo>
                <a:pt x="372247" y="772774"/>
              </a:lnTo>
              <a:lnTo>
                <a:pt x="384509" y="776421"/>
              </a:lnTo>
              <a:lnTo>
                <a:pt x="397921" y="763097"/>
              </a:lnTo>
              <a:lnTo>
                <a:pt x="424396" y="749481"/>
              </a:lnTo>
              <a:lnTo>
                <a:pt x="429901" y="754490"/>
              </a:lnTo>
              <a:lnTo>
                <a:pt x="426798" y="759645"/>
              </a:lnTo>
              <a:lnTo>
                <a:pt x="435657" y="763291"/>
              </a:lnTo>
              <a:lnTo>
                <a:pt x="449419" y="749335"/>
              </a:lnTo>
              <a:lnTo>
                <a:pt x="459129" y="748655"/>
              </a:lnTo>
              <a:lnTo>
                <a:pt x="458428" y="738589"/>
              </a:lnTo>
              <a:lnTo>
                <a:pt x="463533" y="731975"/>
              </a:lnTo>
              <a:lnTo>
                <a:pt x="456526" y="706301"/>
              </a:lnTo>
              <a:lnTo>
                <a:pt x="450821" y="699494"/>
              </a:lnTo>
              <a:lnTo>
                <a:pt x="449820" y="664190"/>
              </a:lnTo>
              <a:lnTo>
                <a:pt x="454474" y="654465"/>
              </a:lnTo>
              <a:lnTo>
                <a:pt x="458428" y="657918"/>
              </a:lnTo>
              <a:lnTo>
                <a:pt x="470740" y="653104"/>
              </a:lnTo>
              <a:lnTo>
                <a:pt x="478146" y="639440"/>
              </a:lnTo>
              <a:lnTo>
                <a:pt x="482500" y="640169"/>
              </a:lnTo>
              <a:lnTo>
                <a:pt x="483001" y="633653"/>
              </a:lnTo>
              <a:lnTo>
                <a:pt x="498866" y="618773"/>
              </a:lnTo>
              <a:lnTo>
                <a:pt x="504321" y="601900"/>
              </a:lnTo>
              <a:lnTo>
                <a:pt x="494261" y="595821"/>
              </a:lnTo>
              <a:lnTo>
                <a:pt x="505822" y="578656"/>
              </a:lnTo>
              <a:lnTo>
                <a:pt x="511578" y="575934"/>
              </a:lnTo>
              <a:lnTo>
                <a:pt x="516282" y="581622"/>
              </a:lnTo>
              <a:lnTo>
                <a:pt x="530545" y="570779"/>
              </a:lnTo>
              <a:lnTo>
                <a:pt x="522788" y="551473"/>
              </a:lnTo>
              <a:lnTo>
                <a:pt x="528393" y="538345"/>
              </a:lnTo>
              <a:lnTo>
                <a:pt x="536751" y="544472"/>
              </a:lnTo>
              <a:lnTo>
                <a:pt x="561024" y="538928"/>
              </a:lnTo>
              <a:lnTo>
                <a:pt x="566078" y="543111"/>
              </a:lnTo>
              <a:lnTo>
                <a:pt x="575087" y="542089"/>
              </a:lnTo>
              <a:lnTo>
                <a:pt x="561674" y="550453"/>
              </a:lnTo>
              <a:lnTo>
                <a:pt x="563426" y="568298"/>
              </a:lnTo>
              <a:lnTo>
                <a:pt x="566028" y="571653"/>
              </a:lnTo>
              <a:lnTo>
                <a:pt x="571784" y="569514"/>
              </a:lnTo>
              <a:lnTo>
                <a:pt x="578090" y="577684"/>
              </a:lnTo>
              <a:lnTo>
                <a:pt x="573185" y="581234"/>
              </a:lnTo>
              <a:lnTo>
                <a:pt x="576989" y="589451"/>
              </a:lnTo>
              <a:lnTo>
                <a:pt x="565228" y="595238"/>
              </a:lnTo>
              <a:lnTo>
                <a:pt x="587098" y="614592"/>
              </a:lnTo>
              <a:lnTo>
                <a:pt x="612672" y="607783"/>
              </a:lnTo>
              <a:lnTo>
                <a:pt x="620179" y="594120"/>
              </a:lnTo>
              <a:lnTo>
                <a:pt x="626785" y="591007"/>
              </a:lnTo>
              <a:lnTo>
                <a:pt x="635443" y="593342"/>
              </a:lnTo>
              <a:lnTo>
                <a:pt x="636894" y="600343"/>
              </a:lnTo>
              <a:lnTo>
                <a:pt x="643751" y="600197"/>
              </a:lnTo>
              <a:lnTo>
                <a:pt x="644902" y="605839"/>
              </a:lnTo>
              <a:lnTo>
                <a:pt x="640698" y="609535"/>
              </a:lnTo>
              <a:lnTo>
                <a:pt x="647204" y="617314"/>
              </a:lnTo>
              <a:lnTo>
                <a:pt x="644001" y="618773"/>
              </a:lnTo>
              <a:lnTo>
                <a:pt x="646804" y="627039"/>
              </a:lnTo>
              <a:lnTo>
                <a:pt x="657514" y="620573"/>
              </a:lnTo>
              <a:lnTo>
                <a:pt x="670926" y="626067"/>
              </a:lnTo>
              <a:lnTo>
                <a:pt x="672428" y="630589"/>
              </a:lnTo>
              <a:lnTo>
                <a:pt x="708211" y="620427"/>
              </a:lnTo>
              <a:lnTo>
                <a:pt x="722725" y="621301"/>
              </a:lnTo>
              <a:lnTo>
                <a:pt x="730432" y="612890"/>
              </a:lnTo>
              <a:lnTo>
                <a:pt x="729681" y="604282"/>
              </a:lnTo>
              <a:lnTo>
                <a:pt x="723025" y="598836"/>
              </a:lnTo>
              <a:lnTo>
                <a:pt x="724676" y="593779"/>
              </a:lnTo>
              <a:lnTo>
                <a:pt x="719822" y="587555"/>
              </a:lnTo>
              <a:lnTo>
                <a:pt x="710613" y="584928"/>
              </a:lnTo>
              <a:lnTo>
                <a:pt x="694498" y="588916"/>
              </a:lnTo>
              <a:lnTo>
                <a:pt x="691696" y="585221"/>
              </a:lnTo>
              <a:lnTo>
                <a:pt x="694048" y="578023"/>
              </a:lnTo>
              <a:lnTo>
                <a:pt x="688743" y="571703"/>
              </a:lnTo>
              <a:lnTo>
                <a:pt x="685740" y="568979"/>
              </a:lnTo>
              <a:lnTo>
                <a:pt x="681086" y="574864"/>
              </a:lnTo>
              <a:lnTo>
                <a:pt x="673729" y="570049"/>
              </a:lnTo>
              <a:lnTo>
                <a:pt x="672428" y="552155"/>
              </a:lnTo>
              <a:lnTo>
                <a:pt x="682287" y="543013"/>
              </a:lnTo>
              <a:lnTo>
                <a:pt x="693647" y="545007"/>
              </a:lnTo>
              <a:lnTo>
                <a:pt x="700304" y="529640"/>
              </a:lnTo>
              <a:lnTo>
                <a:pt x="733835" y="555656"/>
              </a:lnTo>
              <a:lnTo>
                <a:pt x="724526" y="521763"/>
              </a:lnTo>
              <a:lnTo>
                <a:pt x="719822" y="516317"/>
              </a:lnTo>
              <a:lnTo>
                <a:pt x="707010" y="516171"/>
              </a:lnTo>
              <a:lnTo>
                <a:pt x="703106" y="509897"/>
              </a:lnTo>
              <a:lnTo>
                <a:pt x="695699" y="514858"/>
              </a:lnTo>
              <a:lnTo>
                <a:pt x="686541" y="513399"/>
              </a:lnTo>
              <a:lnTo>
                <a:pt x="678233" y="480722"/>
              </a:lnTo>
              <a:lnTo>
                <a:pt x="674379" y="483932"/>
              </a:lnTo>
              <a:lnTo>
                <a:pt x="659065" y="480625"/>
              </a:lnTo>
              <a:lnTo>
                <a:pt x="659566" y="477416"/>
              </a:lnTo>
              <a:lnTo>
                <a:pt x="655912" y="478485"/>
              </a:lnTo>
              <a:lnTo>
                <a:pt x="657664" y="470170"/>
              </a:lnTo>
              <a:lnTo>
                <a:pt x="652059" y="468274"/>
              </a:lnTo>
              <a:lnTo>
                <a:pt x="653210" y="465064"/>
              </a:lnTo>
              <a:lnTo>
                <a:pt x="648906" y="466378"/>
              </a:lnTo>
              <a:lnTo>
                <a:pt x="645853" y="454270"/>
              </a:lnTo>
              <a:lnTo>
                <a:pt x="655862" y="443328"/>
              </a:lnTo>
              <a:lnTo>
                <a:pt x="660516" y="444593"/>
              </a:lnTo>
              <a:lnTo>
                <a:pt x="660917" y="440508"/>
              </a:lnTo>
              <a:lnTo>
                <a:pt x="668474" y="438077"/>
              </a:lnTo>
              <a:lnTo>
                <a:pt x="669124" y="431074"/>
              </a:lnTo>
              <a:lnTo>
                <a:pt x="679284" y="429033"/>
              </a:lnTo>
              <a:lnTo>
                <a:pt x="681786" y="424315"/>
              </a:lnTo>
              <a:lnTo>
                <a:pt x="678834" y="421154"/>
              </a:lnTo>
              <a:lnTo>
                <a:pt x="682987" y="412401"/>
              </a:lnTo>
              <a:lnTo>
                <a:pt x="666522" y="397279"/>
              </a:lnTo>
              <a:lnTo>
                <a:pt x="675580" y="394362"/>
              </a:lnTo>
              <a:lnTo>
                <a:pt x="672528" y="388185"/>
              </a:lnTo>
              <a:lnTo>
                <a:pt x="680285" y="390374"/>
              </a:lnTo>
              <a:lnTo>
                <a:pt x="679835" y="383761"/>
              </a:lnTo>
              <a:lnTo>
                <a:pt x="688843" y="373112"/>
              </a:lnTo>
              <a:lnTo>
                <a:pt x="716719" y="385559"/>
              </a:lnTo>
              <a:lnTo>
                <a:pt x="721924" y="396647"/>
              </a:lnTo>
              <a:lnTo>
                <a:pt x="737839" y="390179"/>
              </a:lnTo>
              <a:lnTo>
                <a:pt x="738739" y="385122"/>
              </a:lnTo>
              <a:lnTo>
                <a:pt x="748549" y="384490"/>
              </a:lnTo>
              <a:lnTo>
                <a:pt x="755205" y="390957"/>
              </a:lnTo>
              <a:lnTo>
                <a:pt x="752703" y="391979"/>
              </a:lnTo>
              <a:lnTo>
                <a:pt x="762512" y="411575"/>
              </a:lnTo>
              <a:lnTo>
                <a:pt x="777225" y="411720"/>
              </a:lnTo>
              <a:lnTo>
                <a:pt x="782280" y="405837"/>
              </a:lnTo>
              <a:lnTo>
                <a:pt x="788986" y="410068"/>
              </a:lnTo>
              <a:lnTo>
                <a:pt x="826271" y="353417"/>
              </a:lnTo>
              <a:lnTo>
                <a:pt x="818764" y="344373"/>
              </a:lnTo>
              <a:lnTo>
                <a:pt x="823518" y="335085"/>
              </a:lnTo>
              <a:lnTo>
                <a:pt x="836681" y="336739"/>
              </a:lnTo>
              <a:lnTo>
                <a:pt x="844388" y="330758"/>
              </a:lnTo>
              <a:lnTo>
                <a:pt x="846340" y="337128"/>
              </a:lnTo>
              <a:lnTo>
                <a:pt x="853446" y="339413"/>
              </a:lnTo>
              <a:lnTo>
                <a:pt x="865107" y="328473"/>
              </a:lnTo>
              <a:lnTo>
                <a:pt x="861304" y="327499"/>
              </a:lnTo>
              <a:lnTo>
                <a:pt x="860853" y="320838"/>
              </a:lnTo>
              <a:lnTo>
                <a:pt x="870412" y="314857"/>
              </a:lnTo>
              <a:lnTo>
                <a:pt x="866258" y="309410"/>
              </a:lnTo>
              <a:lnTo>
                <a:pt x="872815" y="300366"/>
              </a:lnTo>
              <a:lnTo>
                <a:pt x="868060" y="299199"/>
              </a:lnTo>
              <a:lnTo>
                <a:pt x="868661" y="295796"/>
              </a:lnTo>
              <a:lnTo>
                <a:pt x="880622" y="287821"/>
              </a:lnTo>
              <a:lnTo>
                <a:pt x="878019" y="284562"/>
              </a:lnTo>
              <a:lnTo>
                <a:pt x="883725" y="275712"/>
              </a:lnTo>
              <a:lnTo>
                <a:pt x="881072" y="273037"/>
              </a:lnTo>
              <a:lnTo>
                <a:pt x="893484" y="271093"/>
              </a:lnTo>
              <a:lnTo>
                <a:pt x="901491" y="259519"/>
              </a:lnTo>
              <a:lnTo>
                <a:pt x="909949" y="256505"/>
              </a:lnTo>
              <a:lnTo>
                <a:pt x="906596" y="249940"/>
              </a:lnTo>
              <a:lnTo>
                <a:pt x="908998" y="247703"/>
              </a:lnTo>
              <a:lnTo>
                <a:pt x="893434" y="237832"/>
              </a:lnTo>
              <a:lnTo>
                <a:pt x="886577" y="227670"/>
              </a:lnTo>
              <a:lnTo>
                <a:pt x="895586" y="225578"/>
              </a:lnTo>
              <a:lnTo>
                <a:pt x="893484" y="218041"/>
              </a:lnTo>
              <a:lnTo>
                <a:pt x="902292" y="215853"/>
              </a:lnTo>
              <a:lnTo>
                <a:pt x="895586" y="207975"/>
              </a:lnTo>
              <a:lnTo>
                <a:pt x="904544" y="207003"/>
              </a:lnTo>
              <a:lnTo>
                <a:pt x="906746" y="200924"/>
              </a:lnTo>
              <a:lnTo>
                <a:pt x="890781" y="202237"/>
              </a:lnTo>
              <a:lnTo>
                <a:pt x="885076" y="198152"/>
              </a:lnTo>
              <a:lnTo>
                <a:pt x="880122" y="203259"/>
              </a:lnTo>
              <a:lnTo>
                <a:pt x="867009" y="204183"/>
              </a:lnTo>
              <a:lnTo>
                <a:pt x="863856" y="210503"/>
              </a:lnTo>
              <a:lnTo>
                <a:pt x="854497" y="205204"/>
              </a:lnTo>
              <a:lnTo>
                <a:pt x="845489" y="192025"/>
              </a:lnTo>
              <a:lnTo>
                <a:pt x="841785" y="192658"/>
              </a:lnTo>
              <a:lnTo>
                <a:pt x="839584" y="186385"/>
              </a:lnTo>
              <a:lnTo>
                <a:pt x="821367" y="184392"/>
              </a:lnTo>
              <a:lnTo>
                <a:pt x="819715" y="173597"/>
              </a:lnTo>
              <a:lnTo>
                <a:pt x="815311" y="172575"/>
              </a:lnTo>
              <a:lnTo>
                <a:pt x="805702" y="185801"/>
              </a:lnTo>
              <a:lnTo>
                <a:pt x="801498" y="183322"/>
              </a:lnTo>
              <a:lnTo>
                <a:pt x="790788" y="172380"/>
              </a:lnTo>
              <a:lnTo>
                <a:pt x="793040" y="166740"/>
              </a:lnTo>
              <a:lnTo>
                <a:pt x="789687" y="156334"/>
              </a:lnTo>
              <a:lnTo>
                <a:pt x="762612" y="153367"/>
              </a:lnTo>
              <a:lnTo>
                <a:pt x="737238" y="165233"/>
              </a:lnTo>
              <a:lnTo>
                <a:pt x="712765" y="155265"/>
              </a:lnTo>
              <a:lnTo>
                <a:pt x="706609" y="141259"/>
              </a:lnTo>
              <a:lnTo>
                <a:pt x="688793" y="145149"/>
              </a:lnTo>
              <a:lnTo>
                <a:pt x="688593" y="150401"/>
              </a:lnTo>
              <a:lnTo>
                <a:pt x="670226" y="157258"/>
              </a:lnTo>
              <a:lnTo>
                <a:pt x="659766" y="134937"/>
              </a:lnTo>
              <a:lnTo>
                <a:pt x="652709" y="140142"/>
              </a:lnTo>
              <a:lnTo>
                <a:pt x="658214" y="154000"/>
              </a:lnTo>
              <a:lnTo>
                <a:pt x="645953" y="161342"/>
              </a:lnTo>
              <a:lnTo>
                <a:pt x="639597" y="160418"/>
              </a:lnTo>
              <a:lnTo>
                <a:pt x="636794" y="165135"/>
              </a:lnTo>
              <a:lnTo>
                <a:pt x="630789" y="167421"/>
              </a:lnTo>
              <a:lnTo>
                <a:pt x="623932" y="161974"/>
              </a:lnTo>
              <a:lnTo>
                <a:pt x="612171" y="166740"/>
              </a:lnTo>
              <a:lnTo>
                <a:pt x="607167" y="160759"/>
              </a:lnTo>
              <a:lnTo>
                <a:pt x="592753" y="160857"/>
              </a:lnTo>
              <a:lnTo>
                <a:pt x="564427" y="144079"/>
              </a:lnTo>
              <a:lnTo>
                <a:pt x="563926" y="133722"/>
              </a:lnTo>
              <a:lnTo>
                <a:pt x="571233" y="132702"/>
              </a:lnTo>
              <a:lnTo>
                <a:pt x="575137" y="127110"/>
              </a:lnTo>
              <a:lnTo>
                <a:pt x="567930" y="124484"/>
              </a:lnTo>
              <a:lnTo>
                <a:pt x="571233" y="117579"/>
              </a:lnTo>
              <a:lnTo>
                <a:pt x="565178" y="98614"/>
              </a:lnTo>
              <a:lnTo>
                <a:pt x="574636" y="96426"/>
              </a:lnTo>
              <a:lnTo>
                <a:pt x="564277" y="95503"/>
              </a:lnTo>
              <a:lnTo>
                <a:pt x="558421" y="88889"/>
              </a:lnTo>
              <a:lnTo>
                <a:pt x="553116" y="75418"/>
              </a:lnTo>
              <a:lnTo>
                <a:pt x="554868" y="69876"/>
              </a:lnTo>
              <a:lnTo>
                <a:pt x="544258" y="61415"/>
              </a:lnTo>
              <a:lnTo>
                <a:pt x="522488" y="64089"/>
              </a:lnTo>
              <a:lnTo>
                <a:pt x="507474" y="58497"/>
              </a:lnTo>
              <a:lnTo>
                <a:pt x="501518" y="62193"/>
              </a:lnTo>
              <a:lnTo>
                <a:pt x="501368" y="49598"/>
              </a:lnTo>
              <a:lnTo>
                <a:pt x="488056" y="55823"/>
              </a:lnTo>
              <a:lnTo>
                <a:pt x="479548" y="48918"/>
              </a:lnTo>
              <a:lnTo>
                <a:pt x="472691" y="49744"/>
              </a:lnTo>
              <a:lnTo>
                <a:pt x="473992" y="40456"/>
              </a:lnTo>
              <a:lnTo>
                <a:pt x="469038" y="35302"/>
              </a:lnTo>
              <a:lnTo>
                <a:pt x="472041" y="30829"/>
              </a:lnTo>
              <a:lnTo>
                <a:pt x="468988" y="27327"/>
              </a:lnTo>
              <a:lnTo>
                <a:pt x="473792" y="22902"/>
              </a:lnTo>
              <a:lnTo>
                <a:pt x="467386" y="12886"/>
              </a:lnTo>
              <a:lnTo>
                <a:pt x="457077" y="10551"/>
              </a:lnTo>
              <a:lnTo>
                <a:pt x="452072" y="0"/>
              </a:lnTo>
              <a:lnTo>
                <a:pt x="426648" y="16241"/>
              </a:lnTo>
              <a:lnTo>
                <a:pt x="430752" y="22854"/>
              </a:lnTo>
              <a:lnTo>
                <a:pt x="413536" y="22172"/>
              </a:lnTo>
              <a:lnTo>
                <a:pt x="409883" y="33503"/>
              </a:lnTo>
              <a:lnTo>
                <a:pt x="389063" y="34136"/>
              </a:lnTo>
              <a:lnTo>
                <a:pt x="398572" y="44298"/>
              </a:lnTo>
              <a:lnTo>
                <a:pt x="397771" y="51592"/>
              </a:lnTo>
              <a:lnTo>
                <a:pt x="404377" y="54753"/>
              </a:lnTo>
              <a:lnTo>
                <a:pt x="401124" y="58206"/>
              </a:lnTo>
              <a:lnTo>
                <a:pt x="405829" y="57573"/>
              </a:lnTo>
              <a:lnTo>
                <a:pt x="406179" y="69292"/>
              </a:lnTo>
              <a:lnTo>
                <a:pt x="416839" y="75370"/>
              </a:lnTo>
              <a:lnTo>
                <a:pt x="415588" y="84512"/>
              </a:lnTo>
              <a:lnTo>
                <a:pt x="409933" y="88889"/>
              </a:lnTo>
              <a:lnTo>
                <a:pt x="398973" y="88402"/>
              </a:lnTo>
              <a:lnTo>
                <a:pt x="393617" y="95453"/>
              </a:lnTo>
              <a:lnTo>
                <a:pt x="394318" y="106491"/>
              </a:lnTo>
              <a:lnTo>
                <a:pt x="387512" y="100170"/>
              </a:lnTo>
              <a:lnTo>
                <a:pt x="385260" y="108291"/>
              </a:lnTo>
              <a:lnTo>
                <a:pt x="372748" y="110041"/>
              </a:lnTo>
              <a:lnTo>
                <a:pt x="367093" y="118162"/>
              </a:lnTo>
              <a:lnTo>
                <a:pt x="363840" y="116605"/>
              </a:lnTo>
              <a:lnTo>
                <a:pt x="365141" y="110237"/>
              </a:lnTo>
              <a:lnTo>
                <a:pt x="359285" y="102066"/>
              </a:lnTo>
              <a:lnTo>
                <a:pt x="368044" y="97642"/>
              </a:lnTo>
              <a:lnTo>
                <a:pt x="373649" y="85145"/>
              </a:lnTo>
              <a:lnTo>
                <a:pt x="365341" y="69583"/>
              </a:lnTo>
              <a:lnTo>
                <a:pt x="359235" y="75808"/>
              </a:lnTo>
              <a:lnTo>
                <a:pt x="359235" y="83880"/>
              </a:lnTo>
              <a:lnTo>
                <a:pt x="350677" y="90883"/>
              </a:lnTo>
              <a:lnTo>
                <a:pt x="349526" y="96814"/>
              </a:lnTo>
              <a:lnTo>
                <a:pt x="356533" y="100997"/>
              </a:lnTo>
              <a:lnTo>
                <a:pt x="348225" y="118357"/>
              </a:lnTo>
              <a:lnTo>
                <a:pt x="336364" y="106151"/>
              </a:lnTo>
              <a:lnTo>
                <a:pt x="329508" y="106297"/>
              </a:lnTo>
              <a:lnTo>
                <a:pt x="327756" y="113300"/>
              </a:lnTo>
              <a:lnTo>
                <a:pt x="320900" y="102699"/>
              </a:lnTo>
              <a:lnTo>
                <a:pt x="311591" y="102018"/>
              </a:lnTo>
              <a:lnTo>
                <a:pt x="306887" y="106686"/>
              </a:lnTo>
              <a:lnTo>
                <a:pt x="308638" y="122684"/>
              </a:lnTo>
              <a:lnTo>
                <a:pt x="311741" y="124143"/>
              </a:lnTo>
              <a:lnTo>
                <a:pt x="306837" y="136883"/>
              </a:lnTo>
              <a:lnTo>
                <a:pt x="316045" y="145101"/>
              </a:lnTo>
              <a:lnTo>
                <a:pt x="314894" y="154680"/>
              </a:lnTo>
              <a:lnTo>
                <a:pt x="309539" y="160905"/>
              </a:lnTo>
              <a:lnTo>
                <a:pt x="303033" y="158863"/>
              </a:lnTo>
              <a:lnTo>
                <a:pt x="291222" y="166788"/>
              </a:lnTo>
              <a:lnTo>
                <a:pt x="271604" y="159300"/>
              </a:lnTo>
              <a:lnTo>
                <a:pt x="273205" y="165864"/>
              </a:lnTo>
              <a:lnTo>
                <a:pt x="269251" y="165281"/>
              </a:lnTo>
              <a:lnTo>
                <a:pt x="267950" y="173936"/>
              </a:lnTo>
              <a:lnTo>
                <a:pt x="259793" y="169755"/>
              </a:lnTo>
              <a:lnTo>
                <a:pt x="249633" y="154097"/>
              </a:lnTo>
              <a:lnTo>
                <a:pt x="246230" y="157307"/>
              </a:lnTo>
              <a:lnTo>
                <a:pt x="247932" y="151763"/>
              </a:lnTo>
              <a:lnTo>
                <a:pt x="243077" y="155313"/>
              </a:lnTo>
              <a:lnTo>
                <a:pt x="236521" y="153076"/>
              </a:lnTo>
              <a:lnTo>
                <a:pt x="232417" y="166205"/>
              </a:lnTo>
              <a:lnTo>
                <a:pt x="224410" y="162946"/>
              </a:lnTo>
              <a:lnTo>
                <a:pt x="225511" y="143934"/>
              </a:lnTo>
              <a:lnTo>
                <a:pt x="205542" y="123754"/>
              </a:lnTo>
              <a:lnTo>
                <a:pt x="203390" y="133820"/>
              </a:lnTo>
              <a:lnTo>
                <a:pt x="196333" y="135474"/>
              </a:lnTo>
              <a:lnTo>
                <a:pt x="198586" y="139461"/>
              </a:lnTo>
              <a:lnTo>
                <a:pt x="192580" y="154048"/>
              </a:lnTo>
              <a:lnTo>
                <a:pt x="164804" y="137855"/>
              </a:lnTo>
              <a:lnTo>
                <a:pt x="156096" y="139946"/>
              </a:lnTo>
              <a:lnTo>
                <a:pt x="150190" y="124727"/>
              </a:lnTo>
              <a:lnTo>
                <a:pt x="122765" y="113542"/>
              </a:lnTo>
              <a:lnTo>
                <a:pt x="114707" y="101288"/>
              </a:lnTo>
              <a:lnTo>
                <a:pt x="113306" y="81741"/>
              </a:lnTo>
              <a:lnTo>
                <a:pt x="103597" y="68855"/>
              </a:lnTo>
              <a:lnTo>
                <a:pt x="106349" y="65208"/>
              </a:lnTo>
              <a:lnTo>
                <a:pt x="86081" y="43715"/>
              </a:lnTo>
              <a:lnTo>
                <a:pt x="88783" y="32530"/>
              </a:lnTo>
              <a:lnTo>
                <a:pt x="85480" y="22367"/>
              </a:lnTo>
              <a:lnTo>
                <a:pt x="69765" y="22465"/>
              </a:lnTo>
              <a:lnTo>
                <a:pt x="37585" y="10357"/>
              </a:lnTo>
              <a:lnTo>
                <a:pt x="25824" y="18282"/>
              </a:lnTo>
              <a:lnTo>
                <a:pt x="28827" y="27133"/>
              </a:lnTo>
              <a:lnTo>
                <a:pt x="22872" y="38608"/>
              </a:lnTo>
              <a:lnTo>
                <a:pt x="3854" y="41576"/>
              </a:lnTo>
              <a:lnTo>
                <a:pt x="1952" y="46194"/>
              </a:lnTo>
              <a:lnTo>
                <a:pt x="6106" y="54703"/>
              </a:lnTo>
              <a:lnTo>
                <a:pt x="5505" y="69292"/>
              </a:lnTo>
              <a:lnTo>
                <a:pt x="14263" y="72064"/>
              </a:lnTo>
              <a:lnTo>
                <a:pt x="16616" y="82908"/>
              </a:lnTo>
              <a:lnTo>
                <a:pt x="33031" y="88354"/>
              </a:lnTo>
              <a:lnTo>
                <a:pt x="22321" y="95453"/>
              </a:lnTo>
              <a:lnTo>
                <a:pt x="21120" y="102553"/>
              </a:lnTo>
              <a:lnTo>
                <a:pt x="11361" y="111841"/>
              </a:lnTo>
              <a:lnTo>
                <a:pt x="14313" y="129249"/>
              </a:lnTo>
              <a:lnTo>
                <a:pt x="2252" y="132361"/>
              </a:lnTo>
              <a:lnTo>
                <a:pt x="0" y="138244"/>
              </a:lnTo>
              <a:lnTo>
                <a:pt x="6156" y="156724"/>
              </a:lnTo>
              <a:lnTo>
                <a:pt x="28677" y="173110"/>
              </a:lnTo>
              <a:lnTo>
                <a:pt x="48145" y="178167"/>
              </a:lnTo>
              <a:lnTo>
                <a:pt x="70766" y="191636"/>
              </a:lnTo>
              <a:lnTo>
                <a:pt x="70766" y="201994"/>
              </a:lnTo>
              <a:lnTo>
                <a:pt x="88333" y="223778"/>
              </a:lnTo>
              <a:lnTo>
                <a:pt x="86681" y="240556"/>
              </a:lnTo>
              <a:lnTo>
                <a:pt x="103297" y="263556"/>
              </a:lnTo>
              <a:lnTo>
                <a:pt x="125067" y="284221"/>
              </a:lnTo>
              <a:lnTo>
                <a:pt x="115808" y="296135"/>
              </a:lnTo>
              <a:lnTo>
                <a:pt x="105298" y="287626"/>
              </a:lnTo>
              <a:lnTo>
                <a:pt x="101945" y="301581"/>
              </a:lnTo>
              <a:lnTo>
                <a:pt x="118511" y="320205"/>
              </a:lnTo>
              <a:lnTo>
                <a:pt x="117760" y="331243"/>
              </a:lnTo>
              <a:lnTo>
                <a:pt x="130822" y="342039"/>
              </a:lnTo>
              <a:lnTo>
                <a:pt x="126718" y="348360"/>
              </a:lnTo>
              <a:lnTo>
                <a:pt x="132724" y="396938"/>
              </a:lnTo>
              <a:lnTo>
                <a:pt x="139781" y="420523"/>
              </a:lnTo>
              <a:lnTo>
                <a:pt x="133625" y="444349"/>
              </a:lnTo>
              <a:lnTo>
                <a:pt x="143534" y="484807"/>
              </a:lnTo>
              <a:lnTo>
                <a:pt x="142683" y="522152"/>
              </a:lnTo>
              <a:lnTo>
                <a:pt x="149189" y="545590"/>
              </a:lnTo>
              <a:lnTo>
                <a:pt x="147638" y="560713"/>
              </a:lnTo>
              <a:lnTo>
                <a:pt x="164704" y="583178"/>
              </a:lnTo>
              <a:lnTo>
                <a:pt x="169758" y="563193"/>
              </a:lnTo>
              <a:lnTo>
                <a:pt x="167006" y="549529"/>
              </a:lnTo>
              <a:lnTo>
                <a:pt x="178166" y="542381"/>
              </a:lnTo>
              <a:lnTo>
                <a:pt x="185073" y="524681"/>
              </a:lnTo>
              <a:lnTo>
                <a:pt x="192580" y="521714"/>
              </a:lnTo>
              <a:lnTo>
                <a:pt x="195633" y="535184"/>
              </a:lnTo>
              <a:lnTo>
                <a:pt x="214300" y="551086"/>
              </a:lnTo>
              <a:lnTo>
                <a:pt x="214700" y="555947"/>
              </a:lnTo>
              <a:lnTo>
                <a:pt x="221507" y="560615"/>
              </a:lnTo>
              <a:lnTo>
                <a:pt x="220156" y="565916"/>
              </a:lnTo>
              <a:lnTo>
                <a:pt x="229815" y="569953"/>
              </a:lnTo>
              <a:lnTo>
                <a:pt x="227963" y="580747"/>
              </a:lnTo>
              <a:lnTo>
                <a:pt x="217203" y="586387"/>
              </a:lnTo>
              <a:lnTo>
                <a:pt x="231466" y="605789"/>
              </a:lnTo>
              <a:lnTo>
                <a:pt x="229314" y="608415"/>
              </a:lnTo>
              <a:lnTo>
                <a:pt x="240575" y="612694"/>
              </a:lnTo>
              <a:lnTo>
                <a:pt x="240825" y="625289"/>
              </a:lnTo>
              <a:lnTo>
                <a:pt x="251485" y="612209"/>
              </a:lnTo>
              <a:lnTo>
                <a:pt x="259793" y="617460"/>
              </a:lnTo>
              <a:lnTo>
                <a:pt x="270853" y="607006"/>
              </a:lnTo>
              <a:lnTo>
                <a:pt x="272955" y="618238"/>
              </a:lnTo>
              <a:lnTo>
                <a:pt x="284416" y="630054"/>
              </a:lnTo>
              <a:lnTo>
                <a:pt x="282764" y="635209"/>
              </a:lnTo>
              <a:lnTo>
                <a:pt x="289620" y="643864"/>
              </a:lnTo>
              <a:lnTo>
                <a:pt x="288720" y="650089"/>
              </a:lnTo>
              <a:lnTo>
                <a:pt x="291622" y="648630"/>
              </a:lnTo>
              <a:lnTo>
                <a:pt x="298529" y="661127"/>
              </a:lnTo>
              <a:lnTo>
                <a:pt x="300180" y="671291"/>
              </a:lnTo>
              <a:lnTo>
                <a:pt x="306436" y="672456"/>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3</xdr:col>
      <xdr:colOff>697902</xdr:colOff>
      <xdr:row>102</xdr:row>
      <xdr:rowOff>73097</xdr:rowOff>
    </xdr:from>
    <xdr:to>
      <xdr:col>4</xdr:col>
      <xdr:colOff>358695</xdr:colOff>
      <xdr:row>103</xdr:row>
      <xdr:rowOff>240994</xdr:rowOff>
    </xdr:to>
    <xdr:sp macro="MapShapeClick" textlink="">
      <xdr:nvSpPr>
        <xdr:cNvPr id="49" name="贵州省">
          <a:extLst>
            <a:ext uri="{FF2B5EF4-FFF2-40B4-BE49-F238E27FC236}">
              <a16:creationId xmlns:a16="http://schemas.microsoft.com/office/drawing/2014/main" id="{51C6E77A-6942-20C1-F5A2-63F8F8E7AE0A}"/>
            </a:ext>
          </a:extLst>
        </xdr:cNvPr>
        <xdr:cNvSpPr/>
      </xdr:nvSpPr>
      <xdr:spPr>
        <a:xfrm>
          <a:off x="3029622" y="19405037"/>
          <a:ext cx="483753" cy="419357"/>
        </a:xfrm>
        <a:custGeom>
          <a:avLst/>
          <a:gdLst/>
          <a:ahLst/>
          <a:cxnLst/>
          <a:rect l="0" t="0" r="0" b="0"/>
          <a:pathLst>
            <a:path w="483753" h="419357">
              <a:moveTo>
                <a:pt x="460930" y="67105"/>
              </a:moveTo>
              <a:lnTo>
                <a:pt x="451121" y="74253"/>
              </a:lnTo>
              <a:lnTo>
                <a:pt x="445666" y="95745"/>
              </a:lnTo>
              <a:lnTo>
                <a:pt x="440812" y="92438"/>
              </a:lnTo>
              <a:lnTo>
                <a:pt x="439110" y="97738"/>
              </a:lnTo>
              <a:lnTo>
                <a:pt x="424146" y="90153"/>
              </a:lnTo>
              <a:lnTo>
                <a:pt x="420192" y="93120"/>
              </a:lnTo>
              <a:lnTo>
                <a:pt x="416439" y="86750"/>
              </a:lnTo>
              <a:lnTo>
                <a:pt x="420793" y="73475"/>
              </a:lnTo>
              <a:lnTo>
                <a:pt x="415038" y="66520"/>
              </a:lnTo>
              <a:lnTo>
                <a:pt x="409432" y="70605"/>
              </a:lnTo>
              <a:lnTo>
                <a:pt x="414036" y="75760"/>
              </a:lnTo>
              <a:lnTo>
                <a:pt x="411634" y="81935"/>
              </a:lnTo>
              <a:lnTo>
                <a:pt x="404528" y="81108"/>
              </a:lnTo>
              <a:lnTo>
                <a:pt x="406930" y="72551"/>
              </a:lnTo>
              <a:lnTo>
                <a:pt x="404027" y="63748"/>
              </a:lnTo>
              <a:lnTo>
                <a:pt x="409082" y="55384"/>
              </a:lnTo>
              <a:lnTo>
                <a:pt x="384409" y="50036"/>
              </a:lnTo>
              <a:lnTo>
                <a:pt x="388763" y="38561"/>
              </a:lnTo>
              <a:lnTo>
                <a:pt x="382307" y="12934"/>
              </a:lnTo>
              <a:lnTo>
                <a:pt x="378203" y="16533"/>
              </a:lnTo>
              <a:lnTo>
                <a:pt x="363139" y="12254"/>
              </a:lnTo>
              <a:lnTo>
                <a:pt x="347875" y="19694"/>
              </a:lnTo>
              <a:lnTo>
                <a:pt x="346624" y="23972"/>
              </a:lnTo>
              <a:lnTo>
                <a:pt x="341969" y="21735"/>
              </a:lnTo>
              <a:lnTo>
                <a:pt x="342019" y="7342"/>
              </a:lnTo>
              <a:lnTo>
                <a:pt x="337015" y="1701"/>
              </a:lnTo>
              <a:lnTo>
                <a:pt x="333061" y="7147"/>
              </a:lnTo>
              <a:lnTo>
                <a:pt x="324002" y="6321"/>
              </a:lnTo>
              <a:lnTo>
                <a:pt x="322501" y="0"/>
              </a:lnTo>
              <a:lnTo>
                <a:pt x="315695" y="4084"/>
              </a:lnTo>
              <a:lnTo>
                <a:pt x="311991" y="1312"/>
              </a:lnTo>
              <a:lnTo>
                <a:pt x="308789" y="3112"/>
              </a:lnTo>
              <a:lnTo>
                <a:pt x="309639" y="11476"/>
              </a:lnTo>
              <a:lnTo>
                <a:pt x="306186" y="11767"/>
              </a:lnTo>
              <a:lnTo>
                <a:pt x="305736" y="19402"/>
              </a:lnTo>
              <a:lnTo>
                <a:pt x="311991" y="25479"/>
              </a:lnTo>
              <a:lnTo>
                <a:pt x="307337" y="34330"/>
              </a:lnTo>
              <a:lnTo>
                <a:pt x="296177" y="42353"/>
              </a:lnTo>
              <a:lnTo>
                <a:pt x="292924" y="32482"/>
              </a:lnTo>
              <a:lnTo>
                <a:pt x="277459" y="31169"/>
              </a:lnTo>
              <a:lnTo>
                <a:pt x="275207" y="41041"/>
              </a:lnTo>
              <a:lnTo>
                <a:pt x="269902" y="37928"/>
              </a:lnTo>
              <a:lnTo>
                <a:pt x="261845" y="42888"/>
              </a:lnTo>
              <a:lnTo>
                <a:pt x="267150" y="48481"/>
              </a:lnTo>
              <a:lnTo>
                <a:pt x="265298" y="55093"/>
              </a:lnTo>
              <a:lnTo>
                <a:pt x="256389" y="56698"/>
              </a:lnTo>
              <a:lnTo>
                <a:pt x="258091" y="60783"/>
              </a:lnTo>
              <a:lnTo>
                <a:pt x="252436" y="71188"/>
              </a:lnTo>
              <a:lnTo>
                <a:pt x="246280" y="66278"/>
              </a:lnTo>
              <a:lnTo>
                <a:pt x="240775" y="67979"/>
              </a:lnTo>
              <a:lnTo>
                <a:pt x="247831" y="52808"/>
              </a:lnTo>
              <a:lnTo>
                <a:pt x="233418" y="35789"/>
              </a:lnTo>
              <a:lnTo>
                <a:pt x="232417" y="42450"/>
              </a:lnTo>
              <a:lnTo>
                <a:pt x="237822" y="50182"/>
              </a:lnTo>
              <a:lnTo>
                <a:pt x="232818" y="58643"/>
              </a:lnTo>
              <a:lnTo>
                <a:pt x="235921" y="62485"/>
              </a:lnTo>
              <a:lnTo>
                <a:pt x="227663" y="60150"/>
              </a:lnTo>
              <a:lnTo>
                <a:pt x="225711" y="68466"/>
              </a:lnTo>
              <a:lnTo>
                <a:pt x="192180" y="42450"/>
              </a:lnTo>
              <a:lnTo>
                <a:pt x="185523" y="57817"/>
              </a:lnTo>
              <a:lnTo>
                <a:pt x="174163" y="55823"/>
              </a:lnTo>
              <a:lnTo>
                <a:pt x="164304" y="64965"/>
              </a:lnTo>
              <a:lnTo>
                <a:pt x="165605" y="82859"/>
              </a:lnTo>
              <a:lnTo>
                <a:pt x="172962" y="87674"/>
              </a:lnTo>
              <a:lnTo>
                <a:pt x="177616" y="81789"/>
              </a:lnTo>
              <a:lnTo>
                <a:pt x="180619" y="84513"/>
              </a:lnTo>
              <a:lnTo>
                <a:pt x="185924" y="90833"/>
              </a:lnTo>
              <a:lnTo>
                <a:pt x="183572" y="98031"/>
              </a:lnTo>
              <a:lnTo>
                <a:pt x="186374" y="101726"/>
              </a:lnTo>
              <a:lnTo>
                <a:pt x="206693" y="97738"/>
              </a:lnTo>
              <a:lnTo>
                <a:pt x="216552" y="106589"/>
              </a:lnTo>
              <a:lnTo>
                <a:pt x="214901" y="111646"/>
              </a:lnTo>
              <a:lnTo>
                <a:pt x="221557" y="117092"/>
              </a:lnTo>
              <a:lnTo>
                <a:pt x="222308" y="125700"/>
              </a:lnTo>
              <a:lnTo>
                <a:pt x="214601" y="134111"/>
              </a:lnTo>
              <a:lnTo>
                <a:pt x="200087" y="133237"/>
              </a:lnTo>
              <a:lnTo>
                <a:pt x="164304" y="143399"/>
              </a:lnTo>
              <a:lnTo>
                <a:pt x="154945" y="133966"/>
              </a:lnTo>
              <a:lnTo>
                <a:pt x="142383" y="135814"/>
              </a:lnTo>
              <a:lnTo>
                <a:pt x="128470" y="170776"/>
              </a:lnTo>
              <a:lnTo>
                <a:pt x="119162" y="166108"/>
              </a:lnTo>
              <a:lnTo>
                <a:pt x="103196" y="177779"/>
              </a:lnTo>
              <a:lnTo>
                <a:pt x="99393" y="172089"/>
              </a:lnTo>
              <a:lnTo>
                <a:pt x="95039" y="175348"/>
              </a:lnTo>
              <a:lnTo>
                <a:pt x="76221" y="174424"/>
              </a:lnTo>
              <a:lnTo>
                <a:pt x="72768" y="166449"/>
              </a:lnTo>
              <a:lnTo>
                <a:pt x="61908" y="161586"/>
              </a:lnTo>
              <a:lnTo>
                <a:pt x="52599" y="177681"/>
              </a:lnTo>
              <a:lnTo>
                <a:pt x="46444" y="180307"/>
              </a:lnTo>
              <a:lnTo>
                <a:pt x="33632" y="165136"/>
              </a:lnTo>
              <a:lnTo>
                <a:pt x="26875" y="163775"/>
              </a:lnTo>
              <a:lnTo>
                <a:pt x="21470" y="178605"/>
              </a:lnTo>
              <a:lnTo>
                <a:pt x="16165" y="180113"/>
              </a:lnTo>
              <a:lnTo>
                <a:pt x="7708" y="192804"/>
              </a:lnTo>
              <a:lnTo>
                <a:pt x="2603" y="193339"/>
              </a:lnTo>
              <a:lnTo>
                <a:pt x="4755" y="198348"/>
              </a:lnTo>
              <a:lnTo>
                <a:pt x="0" y="198687"/>
              </a:lnTo>
              <a:lnTo>
                <a:pt x="1752" y="203696"/>
              </a:lnTo>
              <a:lnTo>
                <a:pt x="8408" y="199855"/>
              </a:lnTo>
              <a:lnTo>
                <a:pt x="14114" y="208803"/>
              </a:lnTo>
              <a:lnTo>
                <a:pt x="14464" y="215804"/>
              </a:lnTo>
              <a:lnTo>
                <a:pt x="8458" y="223050"/>
              </a:lnTo>
              <a:lnTo>
                <a:pt x="13963" y="230149"/>
              </a:lnTo>
              <a:lnTo>
                <a:pt x="11962" y="238610"/>
              </a:lnTo>
              <a:lnTo>
                <a:pt x="17717" y="247120"/>
              </a:lnTo>
              <a:lnTo>
                <a:pt x="37886" y="248481"/>
              </a:lnTo>
              <a:lnTo>
                <a:pt x="42240" y="237297"/>
              </a:lnTo>
              <a:lnTo>
                <a:pt x="61107" y="238854"/>
              </a:lnTo>
              <a:lnTo>
                <a:pt x="66863" y="230830"/>
              </a:lnTo>
              <a:lnTo>
                <a:pt x="69715" y="240506"/>
              </a:lnTo>
              <a:lnTo>
                <a:pt x="77623" y="241626"/>
              </a:lnTo>
              <a:lnTo>
                <a:pt x="86481" y="255825"/>
              </a:lnTo>
              <a:lnTo>
                <a:pt x="85980" y="264772"/>
              </a:lnTo>
              <a:lnTo>
                <a:pt x="80525" y="266376"/>
              </a:lnTo>
              <a:lnTo>
                <a:pt x="75321" y="284806"/>
              </a:lnTo>
              <a:lnTo>
                <a:pt x="69765" y="287383"/>
              </a:lnTo>
              <a:lnTo>
                <a:pt x="66062" y="303284"/>
              </a:lnTo>
              <a:lnTo>
                <a:pt x="68264" y="306980"/>
              </a:lnTo>
              <a:lnTo>
                <a:pt x="62509" y="319477"/>
              </a:lnTo>
              <a:lnTo>
                <a:pt x="59106" y="316753"/>
              </a:lnTo>
              <a:lnTo>
                <a:pt x="57604" y="326917"/>
              </a:lnTo>
              <a:lnTo>
                <a:pt x="59406" y="331341"/>
              </a:lnTo>
              <a:lnTo>
                <a:pt x="67213" y="333383"/>
              </a:lnTo>
              <a:lnTo>
                <a:pt x="67713" y="342720"/>
              </a:lnTo>
              <a:lnTo>
                <a:pt x="77623" y="338003"/>
              </a:lnTo>
              <a:lnTo>
                <a:pt x="76522" y="349187"/>
              </a:lnTo>
              <a:lnTo>
                <a:pt x="84879" y="353126"/>
              </a:lnTo>
              <a:lnTo>
                <a:pt x="84379" y="358622"/>
              </a:lnTo>
              <a:lnTo>
                <a:pt x="99543" y="364018"/>
              </a:lnTo>
              <a:lnTo>
                <a:pt x="99243" y="369902"/>
              </a:lnTo>
              <a:lnTo>
                <a:pt x="93638" y="365914"/>
              </a:lnTo>
              <a:lnTo>
                <a:pt x="88082" y="378120"/>
              </a:lnTo>
              <a:lnTo>
                <a:pt x="82728" y="379724"/>
              </a:lnTo>
              <a:lnTo>
                <a:pt x="88032" y="380309"/>
              </a:lnTo>
              <a:lnTo>
                <a:pt x="90335" y="385512"/>
              </a:lnTo>
              <a:lnTo>
                <a:pt x="76221" y="401850"/>
              </a:lnTo>
              <a:lnTo>
                <a:pt x="75421" y="409192"/>
              </a:lnTo>
              <a:lnTo>
                <a:pt x="91636" y="419356"/>
              </a:lnTo>
              <a:lnTo>
                <a:pt x="105449" y="407296"/>
              </a:lnTo>
              <a:lnTo>
                <a:pt x="116359" y="404185"/>
              </a:lnTo>
              <a:lnTo>
                <a:pt x="119962" y="392465"/>
              </a:lnTo>
              <a:lnTo>
                <a:pt x="130922" y="385560"/>
              </a:lnTo>
              <a:lnTo>
                <a:pt x="135377" y="391493"/>
              </a:lnTo>
              <a:lnTo>
                <a:pt x="148439" y="391347"/>
              </a:lnTo>
              <a:lnTo>
                <a:pt x="154044" y="402239"/>
              </a:lnTo>
              <a:lnTo>
                <a:pt x="180869" y="411770"/>
              </a:lnTo>
              <a:lnTo>
                <a:pt x="190178" y="409777"/>
              </a:lnTo>
              <a:lnTo>
                <a:pt x="196884" y="417995"/>
              </a:lnTo>
              <a:lnTo>
                <a:pt x="208945" y="406616"/>
              </a:lnTo>
              <a:lnTo>
                <a:pt x="211648" y="398495"/>
              </a:lnTo>
              <a:lnTo>
                <a:pt x="206693" y="389256"/>
              </a:lnTo>
              <a:lnTo>
                <a:pt x="230815" y="383420"/>
              </a:lnTo>
              <a:lnTo>
                <a:pt x="242877" y="377293"/>
              </a:lnTo>
              <a:lnTo>
                <a:pt x="247281" y="370388"/>
              </a:lnTo>
              <a:lnTo>
                <a:pt x="267049" y="368832"/>
              </a:lnTo>
              <a:lnTo>
                <a:pt x="270703" y="362657"/>
              </a:lnTo>
              <a:lnTo>
                <a:pt x="274156" y="364262"/>
              </a:lnTo>
              <a:lnTo>
                <a:pt x="277159" y="353467"/>
              </a:lnTo>
              <a:lnTo>
                <a:pt x="273205" y="345832"/>
              </a:lnTo>
              <a:lnTo>
                <a:pt x="281563" y="339414"/>
              </a:lnTo>
              <a:lnTo>
                <a:pt x="281363" y="334891"/>
              </a:lnTo>
              <a:lnTo>
                <a:pt x="292824" y="330515"/>
              </a:lnTo>
              <a:lnTo>
                <a:pt x="303483" y="343741"/>
              </a:lnTo>
              <a:lnTo>
                <a:pt x="301982" y="349091"/>
              </a:lnTo>
              <a:lnTo>
                <a:pt x="310340" y="349869"/>
              </a:lnTo>
              <a:lnTo>
                <a:pt x="311291" y="359205"/>
              </a:lnTo>
              <a:lnTo>
                <a:pt x="315945" y="360322"/>
              </a:lnTo>
              <a:lnTo>
                <a:pt x="314494" y="365964"/>
              </a:lnTo>
              <a:lnTo>
                <a:pt x="329758" y="356774"/>
              </a:lnTo>
              <a:lnTo>
                <a:pt x="333061" y="367714"/>
              </a:lnTo>
              <a:lnTo>
                <a:pt x="338066" y="364603"/>
              </a:lnTo>
              <a:lnTo>
                <a:pt x="338116" y="373939"/>
              </a:lnTo>
              <a:lnTo>
                <a:pt x="344322" y="374765"/>
              </a:lnTo>
              <a:lnTo>
                <a:pt x="366742" y="366303"/>
              </a:lnTo>
              <a:lnTo>
                <a:pt x="368995" y="350063"/>
              </a:lnTo>
              <a:lnTo>
                <a:pt x="373098" y="348749"/>
              </a:lnTo>
              <a:lnTo>
                <a:pt x="370596" y="345199"/>
              </a:lnTo>
              <a:lnTo>
                <a:pt x="377853" y="346512"/>
              </a:lnTo>
              <a:lnTo>
                <a:pt x="382457" y="337907"/>
              </a:lnTo>
              <a:lnTo>
                <a:pt x="385710" y="336983"/>
              </a:lnTo>
              <a:lnTo>
                <a:pt x="391415" y="345347"/>
              </a:lnTo>
              <a:lnTo>
                <a:pt x="395719" y="343936"/>
              </a:lnTo>
              <a:lnTo>
                <a:pt x="408181" y="357502"/>
              </a:lnTo>
              <a:lnTo>
                <a:pt x="406730" y="340970"/>
              </a:lnTo>
              <a:lnTo>
                <a:pt x="413386" y="337225"/>
              </a:lnTo>
              <a:lnTo>
                <a:pt x="410883" y="335718"/>
              </a:lnTo>
              <a:lnTo>
                <a:pt x="413386" y="329154"/>
              </a:lnTo>
              <a:lnTo>
                <a:pt x="421093" y="328667"/>
              </a:lnTo>
              <a:lnTo>
                <a:pt x="423596" y="337809"/>
              </a:lnTo>
              <a:lnTo>
                <a:pt x="434506" y="335085"/>
              </a:lnTo>
              <a:lnTo>
                <a:pt x="440662" y="339122"/>
              </a:lnTo>
              <a:lnTo>
                <a:pt x="445816" y="335670"/>
              </a:lnTo>
              <a:lnTo>
                <a:pt x="441162" y="328569"/>
              </a:lnTo>
              <a:lnTo>
                <a:pt x="445066" y="320351"/>
              </a:lnTo>
              <a:lnTo>
                <a:pt x="430552" y="323804"/>
              </a:lnTo>
              <a:lnTo>
                <a:pt x="430202" y="320936"/>
              </a:lnTo>
              <a:lnTo>
                <a:pt x="446367" y="312718"/>
              </a:lnTo>
              <a:lnTo>
                <a:pt x="450320" y="313642"/>
              </a:lnTo>
              <a:lnTo>
                <a:pt x="450671" y="318455"/>
              </a:lnTo>
              <a:lnTo>
                <a:pt x="455425" y="314274"/>
              </a:lnTo>
              <a:lnTo>
                <a:pt x="455475" y="318601"/>
              </a:lnTo>
              <a:lnTo>
                <a:pt x="466285" y="319379"/>
              </a:lnTo>
              <a:lnTo>
                <a:pt x="466235" y="310091"/>
              </a:lnTo>
              <a:lnTo>
                <a:pt x="477846" y="292440"/>
              </a:lnTo>
              <a:lnTo>
                <a:pt x="475194" y="285924"/>
              </a:lnTo>
              <a:lnTo>
                <a:pt x="480399" y="283541"/>
              </a:lnTo>
              <a:lnTo>
                <a:pt x="474343" y="273525"/>
              </a:lnTo>
              <a:lnTo>
                <a:pt x="476595" y="266717"/>
              </a:lnTo>
              <a:lnTo>
                <a:pt x="467186" y="271240"/>
              </a:lnTo>
              <a:lnTo>
                <a:pt x="460680" y="265452"/>
              </a:lnTo>
              <a:lnTo>
                <a:pt x="471740" y="246829"/>
              </a:lnTo>
              <a:lnTo>
                <a:pt x="467486" y="235401"/>
              </a:lnTo>
              <a:lnTo>
                <a:pt x="461681" y="231803"/>
              </a:lnTo>
              <a:lnTo>
                <a:pt x="478196" y="226211"/>
              </a:lnTo>
              <a:lnTo>
                <a:pt x="474092" y="214152"/>
              </a:lnTo>
              <a:lnTo>
                <a:pt x="483752" y="209191"/>
              </a:lnTo>
              <a:lnTo>
                <a:pt x="480899" y="198980"/>
              </a:lnTo>
              <a:lnTo>
                <a:pt x="475594" y="198007"/>
              </a:lnTo>
              <a:lnTo>
                <a:pt x="477045" y="192026"/>
              </a:lnTo>
              <a:lnTo>
                <a:pt x="472391" y="190275"/>
              </a:lnTo>
              <a:lnTo>
                <a:pt x="458078" y="190713"/>
              </a:lnTo>
              <a:lnTo>
                <a:pt x="452122" y="198250"/>
              </a:lnTo>
              <a:lnTo>
                <a:pt x="446867" y="198056"/>
              </a:lnTo>
              <a:lnTo>
                <a:pt x="449119" y="193145"/>
              </a:lnTo>
              <a:lnTo>
                <a:pt x="441312" y="194846"/>
              </a:lnTo>
              <a:lnTo>
                <a:pt x="434005" y="202772"/>
              </a:lnTo>
              <a:lnTo>
                <a:pt x="421644" y="196646"/>
              </a:lnTo>
              <a:lnTo>
                <a:pt x="428800" y="194652"/>
              </a:lnTo>
              <a:lnTo>
                <a:pt x="432704" y="189693"/>
              </a:lnTo>
              <a:lnTo>
                <a:pt x="431152" y="185656"/>
              </a:lnTo>
              <a:lnTo>
                <a:pt x="447067" y="173596"/>
              </a:lnTo>
              <a:lnTo>
                <a:pt x="450170" y="163386"/>
              </a:lnTo>
              <a:lnTo>
                <a:pt x="463032" y="165621"/>
              </a:lnTo>
              <a:lnTo>
                <a:pt x="463283" y="160857"/>
              </a:lnTo>
              <a:lnTo>
                <a:pt x="476145" y="152444"/>
              </a:lnTo>
              <a:lnTo>
                <a:pt x="476895" y="142136"/>
              </a:lnTo>
              <a:lnTo>
                <a:pt x="468437" y="138294"/>
              </a:lnTo>
              <a:lnTo>
                <a:pt x="463183" y="116753"/>
              </a:lnTo>
              <a:lnTo>
                <a:pt x="469438" y="109555"/>
              </a:lnTo>
              <a:lnTo>
                <a:pt x="462882" y="109409"/>
              </a:lnTo>
              <a:lnTo>
                <a:pt x="470189" y="88013"/>
              </a:lnTo>
              <a:lnTo>
                <a:pt x="461030" y="83880"/>
              </a:lnTo>
              <a:lnTo>
                <a:pt x="459829" y="69877"/>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3</xdr:col>
      <xdr:colOff>204542</xdr:colOff>
      <xdr:row>102</xdr:row>
      <xdr:rowOff>72804</xdr:rowOff>
    </xdr:from>
    <xdr:to>
      <xdr:col>4</xdr:col>
      <xdr:colOff>85490</xdr:colOff>
      <xdr:row>105</xdr:row>
      <xdr:rowOff>44178</xdr:rowOff>
    </xdr:to>
    <xdr:sp macro="MapShapeClick" textlink="">
      <xdr:nvSpPr>
        <xdr:cNvPr id="50" name="云南省">
          <a:extLst>
            <a:ext uri="{FF2B5EF4-FFF2-40B4-BE49-F238E27FC236}">
              <a16:creationId xmlns:a16="http://schemas.microsoft.com/office/drawing/2014/main" id="{89EBCBE6-A383-AA68-F21D-B232AFA5F27F}"/>
            </a:ext>
          </a:extLst>
        </xdr:cNvPr>
        <xdr:cNvSpPr/>
      </xdr:nvSpPr>
      <xdr:spPr>
        <a:xfrm>
          <a:off x="2536262" y="19404744"/>
          <a:ext cx="703908" cy="725754"/>
        </a:xfrm>
        <a:custGeom>
          <a:avLst/>
          <a:gdLst/>
          <a:ahLst/>
          <a:cxnLst/>
          <a:rect l="0" t="0" r="0" b="0"/>
          <a:pathLst>
            <a:path w="703908" h="725754">
              <a:moveTo>
                <a:pt x="632040" y="140142"/>
              </a:moveTo>
              <a:lnTo>
                <a:pt x="629237" y="131876"/>
              </a:lnTo>
              <a:lnTo>
                <a:pt x="632440" y="130417"/>
              </a:lnTo>
              <a:lnTo>
                <a:pt x="625934" y="122638"/>
              </a:lnTo>
              <a:lnTo>
                <a:pt x="630138" y="118942"/>
              </a:lnTo>
              <a:lnTo>
                <a:pt x="628987" y="113300"/>
              </a:lnTo>
              <a:lnTo>
                <a:pt x="622130" y="113446"/>
              </a:lnTo>
              <a:lnTo>
                <a:pt x="620679" y="106445"/>
              </a:lnTo>
              <a:lnTo>
                <a:pt x="612021" y="104110"/>
              </a:lnTo>
              <a:lnTo>
                <a:pt x="605415" y="107223"/>
              </a:lnTo>
              <a:lnTo>
                <a:pt x="597908" y="120886"/>
              </a:lnTo>
              <a:lnTo>
                <a:pt x="572334" y="127695"/>
              </a:lnTo>
              <a:lnTo>
                <a:pt x="567029" y="124242"/>
              </a:lnTo>
              <a:lnTo>
                <a:pt x="550464" y="108341"/>
              </a:lnTo>
              <a:lnTo>
                <a:pt x="562225" y="102554"/>
              </a:lnTo>
              <a:lnTo>
                <a:pt x="558421" y="94337"/>
              </a:lnTo>
              <a:lnTo>
                <a:pt x="562275" y="88161"/>
              </a:lnTo>
              <a:lnTo>
                <a:pt x="557020" y="82617"/>
              </a:lnTo>
              <a:lnTo>
                <a:pt x="551264" y="84756"/>
              </a:lnTo>
              <a:lnTo>
                <a:pt x="546410" y="75810"/>
              </a:lnTo>
              <a:lnTo>
                <a:pt x="546910" y="63556"/>
              </a:lnTo>
              <a:lnTo>
                <a:pt x="560323" y="55192"/>
              </a:lnTo>
              <a:lnTo>
                <a:pt x="551314" y="56214"/>
              </a:lnTo>
              <a:lnTo>
                <a:pt x="546260" y="52031"/>
              </a:lnTo>
              <a:lnTo>
                <a:pt x="521987" y="57575"/>
              </a:lnTo>
              <a:lnTo>
                <a:pt x="513629" y="51448"/>
              </a:lnTo>
              <a:lnTo>
                <a:pt x="508024" y="64576"/>
              </a:lnTo>
              <a:lnTo>
                <a:pt x="515781" y="83882"/>
              </a:lnTo>
              <a:lnTo>
                <a:pt x="501518" y="94725"/>
              </a:lnTo>
              <a:lnTo>
                <a:pt x="496814" y="89037"/>
              </a:lnTo>
              <a:lnTo>
                <a:pt x="491058" y="91759"/>
              </a:lnTo>
              <a:lnTo>
                <a:pt x="479497" y="108924"/>
              </a:lnTo>
              <a:lnTo>
                <a:pt x="489557" y="115003"/>
              </a:lnTo>
              <a:lnTo>
                <a:pt x="484102" y="131876"/>
              </a:lnTo>
              <a:lnTo>
                <a:pt x="468237" y="146756"/>
              </a:lnTo>
              <a:lnTo>
                <a:pt x="467736" y="153272"/>
              </a:lnTo>
              <a:lnTo>
                <a:pt x="463382" y="152543"/>
              </a:lnTo>
              <a:lnTo>
                <a:pt x="455976" y="166207"/>
              </a:lnTo>
              <a:lnTo>
                <a:pt x="443664" y="171021"/>
              </a:lnTo>
              <a:lnTo>
                <a:pt x="439710" y="167568"/>
              </a:lnTo>
              <a:lnTo>
                <a:pt x="435056" y="177293"/>
              </a:lnTo>
              <a:lnTo>
                <a:pt x="436057" y="212597"/>
              </a:lnTo>
              <a:lnTo>
                <a:pt x="441762" y="219404"/>
              </a:lnTo>
              <a:lnTo>
                <a:pt x="448769" y="245078"/>
              </a:lnTo>
              <a:lnTo>
                <a:pt x="443664" y="251692"/>
              </a:lnTo>
              <a:lnTo>
                <a:pt x="442513" y="264578"/>
              </a:lnTo>
              <a:lnTo>
                <a:pt x="434655" y="262438"/>
              </a:lnTo>
              <a:lnTo>
                <a:pt x="420893" y="276394"/>
              </a:lnTo>
              <a:lnTo>
                <a:pt x="412034" y="272748"/>
              </a:lnTo>
              <a:lnTo>
                <a:pt x="415137" y="267593"/>
              </a:lnTo>
              <a:lnTo>
                <a:pt x="409632" y="262584"/>
              </a:lnTo>
              <a:lnTo>
                <a:pt x="383157" y="276200"/>
              </a:lnTo>
              <a:lnTo>
                <a:pt x="371997" y="289232"/>
              </a:lnTo>
              <a:lnTo>
                <a:pt x="357483" y="285877"/>
              </a:lnTo>
              <a:lnTo>
                <a:pt x="349876" y="291274"/>
              </a:lnTo>
              <a:lnTo>
                <a:pt x="347624" y="281306"/>
              </a:lnTo>
              <a:lnTo>
                <a:pt x="329607" y="270122"/>
              </a:lnTo>
              <a:lnTo>
                <a:pt x="335663" y="264043"/>
              </a:lnTo>
              <a:lnTo>
                <a:pt x="333811" y="260201"/>
              </a:lnTo>
              <a:lnTo>
                <a:pt x="319248" y="250524"/>
              </a:lnTo>
              <a:lnTo>
                <a:pt x="314143" y="241773"/>
              </a:lnTo>
              <a:lnTo>
                <a:pt x="319498" y="240460"/>
              </a:lnTo>
              <a:lnTo>
                <a:pt x="318797" y="232631"/>
              </a:lnTo>
              <a:lnTo>
                <a:pt x="323702" y="225726"/>
              </a:lnTo>
              <a:lnTo>
                <a:pt x="319848" y="224072"/>
              </a:lnTo>
              <a:lnTo>
                <a:pt x="319248" y="229129"/>
              </a:lnTo>
              <a:lnTo>
                <a:pt x="313643" y="229859"/>
              </a:lnTo>
              <a:lnTo>
                <a:pt x="311691" y="215223"/>
              </a:lnTo>
              <a:lnTo>
                <a:pt x="303733" y="213471"/>
              </a:lnTo>
              <a:lnTo>
                <a:pt x="303483" y="208707"/>
              </a:lnTo>
              <a:lnTo>
                <a:pt x="293073" y="202482"/>
              </a:lnTo>
              <a:lnTo>
                <a:pt x="295626" y="186533"/>
              </a:lnTo>
              <a:lnTo>
                <a:pt x="285416" y="184394"/>
              </a:lnTo>
              <a:lnTo>
                <a:pt x="283765" y="174230"/>
              </a:lnTo>
              <a:lnTo>
                <a:pt x="276858" y="161733"/>
              </a:lnTo>
              <a:lnTo>
                <a:pt x="273956" y="163192"/>
              </a:lnTo>
              <a:lnTo>
                <a:pt x="274856" y="156967"/>
              </a:lnTo>
              <a:lnTo>
                <a:pt x="268000" y="148312"/>
              </a:lnTo>
              <a:lnTo>
                <a:pt x="269652" y="143157"/>
              </a:lnTo>
              <a:lnTo>
                <a:pt x="258191" y="131341"/>
              </a:lnTo>
              <a:lnTo>
                <a:pt x="256089" y="120109"/>
              </a:lnTo>
              <a:lnTo>
                <a:pt x="245029" y="130563"/>
              </a:lnTo>
              <a:lnTo>
                <a:pt x="236721" y="125312"/>
              </a:lnTo>
              <a:lnTo>
                <a:pt x="226061" y="138392"/>
              </a:lnTo>
              <a:lnTo>
                <a:pt x="225811" y="125797"/>
              </a:lnTo>
              <a:lnTo>
                <a:pt x="214550" y="121518"/>
              </a:lnTo>
              <a:lnTo>
                <a:pt x="216702" y="118892"/>
              </a:lnTo>
              <a:lnTo>
                <a:pt x="202439" y="99490"/>
              </a:lnTo>
              <a:lnTo>
                <a:pt x="213199" y="93850"/>
              </a:lnTo>
              <a:lnTo>
                <a:pt x="215051" y="83056"/>
              </a:lnTo>
              <a:lnTo>
                <a:pt x="205392" y="79019"/>
              </a:lnTo>
              <a:lnTo>
                <a:pt x="206743" y="73718"/>
              </a:lnTo>
              <a:lnTo>
                <a:pt x="199936" y="69050"/>
              </a:lnTo>
              <a:lnTo>
                <a:pt x="199536" y="64189"/>
              </a:lnTo>
              <a:lnTo>
                <a:pt x="180869" y="48287"/>
              </a:lnTo>
              <a:lnTo>
                <a:pt x="177816" y="34817"/>
              </a:lnTo>
              <a:lnTo>
                <a:pt x="170309" y="37784"/>
              </a:lnTo>
              <a:lnTo>
                <a:pt x="163402" y="55484"/>
              </a:lnTo>
              <a:lnTo>
                <a:pt x="152242" y="62632"/>
              </a:lnTo>
              <a:lnTo>
                <a:pt x="152993" y="85826"/>
              </a:lnTo>
              <a:lnTo>
                <a:pt x="149940" y="96281"/>
              </a:lnTo>
              <a:lnTo>
                <a:pt x="144385" y="92050"/>
              </a:lnTo>
              <a:lnTo>
                <a:pt x="132874" y="73816"/>
              </a:lnTo>
              <a:lnTo>
                <a:pt x="134425" y="58693"/>
              </a:lnTo>
              <a:lnTo>
                <a:pt x="127919" y="35255"/>
              </a:lnTo>
              <a:lnTo>
                <a:pt x="128720" y="0"/>
              </a:lnTo>
              <a:lnTo>
                <a:pt x="117960" y="1509"/>
              </a:lnTo>
              <a:lnTo>
                <a:pt x="120562" y="17167"/>
              </a:lnTo>
              <a:lnTo>
                <a:pt x="113456" y="22563"/>
              </a:lnTo>
              <a:lnTo>
                <a:pt x="112805" y="31073"/>
              </a:lnTo>
              <a:lnTo>
                <a:pt x="117259" y="36130"/>
              </a:lnTo>
              <a:lnTo>
                <a:pt x="107500" y="39291"/>
              </a:lnTo>
              <a:lnTo>
                <a:pt x="102095" y="20667"/>
              </a:lnTo>
              <a:lnTo>
                <a:pt x="88933" y="24411"/>
              </a:lnTo>
              <a:lnTo>
                <a:pt x="93788" y="44689"/>
              </a:lnTo>
              <a:lnTo>
                <a:pt x="86531" y="51399"/>
              </a:lnTo>
              <a:lnTo>
                <a:pt x="89083" y="67883"/>
              </a:lnTo>
              <a:lnTo>
                <a:pt x="92987" y="68857"/>
              </a:lnTo>
              <a:lnTo>
                <a:pt x="98392" y="80915"/>
              </a:lnTo>
              <a:lnTo>
                <a:pt x="96090" y="91905"/>
              </a:lnTo>
              <a:lnTo>
                <a:pt x="89083" y="97790"/>
              </a:lnTo>
              <a:lnTo>
                <a:pt x="83678" y="96184"/>
              </a:lnTo>
              <a:lnTo>
                <a:pt x="69865" y="102458"/>
              </a:lnTo>
              <a:lnTo>
                <a:pt x="62708" y="77609"/>
              </a:lnTo>
              <a:lnTo>
                <a:pt x="55202" y="79992"/>
              </a:lnTo>
              <a:lnTo>
                <a:pt x="59906" y="90689"/>
              </a:lnTo>
              <a:lnTo>
                <a:pt x="51998" y="94044"/>
              </a:lnTo>
              <a:lnTo>
                <a:pt x="49546" y="99929"/>
              </a:lnTo>
              <a:lnTo>
                <a:pt x="49846" y="117726"/>
              </a:lnTo>
              <a:lnTo>
                <a:pt x="54901" y="123173"/>
              </a:lnTo>
              <a:lnTo>
                <a:pt x="51998" y="126721"/>
              </a:lnTo>
              <a:lnTo>
                <a:pt x="64010" y="157163"/>
              </a:lnTo>
              <a:lnTo>
                <a:pt x="73118" y="154439"/>
              </a:lnTo>
              <a:lnTo>
                <a:pt x="74319" y="143790"/>
              </a:lnTo>
              <a:lnTo>
                <a:pt x="83278" y="145540"/>
              </a:lnTo>
              <a:lnTo>
                <a:pt x="85630" y="152397"/>
              </a:lnTo>
              <a:lnTo>
                <a:pt x="95639" y="154050"/>
              </a:lnTo>
              <a:lnTo>
                <a:pt x="94038" y="165768"/>
              </a:lnTo>
              <a:lnTo>
                <a:pt x="98442" y="174473"/>
              </a:lnTo>
              <a:lnTo>
                <a:pt x="94788" y="185366"/>
              </a:lnTo>
              <a:lnTo>
                <a:pt x="96140" y="197717"/>
              </a:lnTo>
              <a:lnTo>
                <a:pt x="100444" y="200002"/>
              </a:lnTo>
              <a:lnTo>
                <a:pt x="97591" y="218188"/>
              </a:lnTo>
              <a:lnTo>
                <a:pt x="101745" y="239147"/>
              </a:lnTo>
              <a:lnTo>
                <a:pt x="92887" y="273720"/>
              </a:lnTo>
              <a:lnTo>
                <a:pt x="97991" y="278679"/>
              </a:lnTo>
              <a:lnTo>
                <a:pt x="96740" y="283932"/>
              </a:lnTo>
              <a:lnTo>
                <a:pt x="91936" y="287482"/>
              </a:lnTo>
              <a:lnTo>
                <a:pt x="91535" y="282764"/>
              </a:lnTo>
              <a:lnTo>
                <a:pt x="84979" y="284710"/>
              </a:lnTo>
              <a:lnTo>
                <a:pt x="88132" y="298277"/>
              </a:lnTo>
              <a:lnTo>
                <a:pt x="95589" y="308488"/>
              </a:lnTo>
              <a:lnTo>
                <a:pt x="90284" y="313594"/>
              </a:lnTo>
              <a:lnTo>
                <a:pt x="81226" y="309801"/>
              </a:lnTo>
              <a:lnTo>
                <a:pt x="70916" y="332071"/>
              </a:lnTo>
              <a:lnTo>
                <a:pt x="63810" y="336643"/>
              </a:lnTo>
              <a:lnTo>
                <a:pt x="52099" y="329689"/>
              </a:lnTo>
              <a:lnTo>
                <a:pt x="49396" y="351182"/>
              </a:lnTo>
              <a:lnTo>
                <a:pt x="33381" y="366159"/>
              </a:lnTo>
              <a:lnTo>
                <a:pt x="25174" y="361150"/>
              </a:lnTo>
              <a:lnTo>
                <a:pt x="15464" y="378219"/>
              </a:lnTo>
              <a:lnTo>
                <a:pt x="16265" y="393634"/>
              </a:lnTo>
              <a:lnTo>
                <a:pt x="21770" y="399274"/>
              </a:lnTo>
              <a:lnTo>
                <a:pt x="1451" y="408805"/>
              </a:lnTo>
              <a:lnTo>
                <a:pt x="3353" y="421010"/>
              </a:lnTo>
              <a:lnTo>
                <a:pt x="50" y="435257"/>
              </a:lnTo>
              <a:lnTo>
                <a:pt x="11411" y="434383"/>
              </a:lnTo>
              <a:lnTo>
                <a:pt x="15164" y="442795"/>
              </a:lnTo>
              <a:lnTo>
                <a:pt x="11010" y="448339"/>
              </a:lnTo>
              <a:lnTo>
                <a:pt x="19318" y="451742"/>
              </a:lnTo>
              <a:lnTo>
                <a:pt x="16365" y="464628"/>
              </a:lnTo>
              <a:lnTo>
                <a:pt x="0" y="479800"/>
              </a:lnTo>
              <a:lnTo>
                <a:pt x="9559" y="488893"/>
              </a:lnTo>
              <a:lnTo>
                <a:pt x="45643" y="467108"/>
              </a:lnTo>
              <a:lnTo>
                <a:pt x="82677" y="463315"/>
              </a:lnTo>
              <a:lnTo>
                <a:pt x="86481" y="467595"/>
              </a:lnTo>
              <a:lnTo>
                <a:pt x="109452" y="461273"/>
              </a:lnTo>
              <a:lnTo>
                <a:pt x="110954" y="465941"/>
              </a:lnTo>
              <a:lnTo>
                <a:pt x="92937" y="478244"/>
              </a:lnTo>
              <a:lnTo>
                <a:pt x="95239" y="489476"/>
              </a:lnTo>
              <a:lnTo>
                <a:pt x="92586" y="492443"/>
              </a:lnTo>
              <a:lnTo>
                <a:pt x="101995" y="494145"/>
              </a:lnTo>
              <a:lnTo>
                <a:pt x="109902" y="508490"/>
              </a:lnTo>
              <a:lnTo>
                <a:pt x="103547" y="515541"/>
              </a:lnTo>
              <a:lnTo>
                <a:pt x="105348" y="521765"/>
              </a:lnTo>
              <a:lnTo>
                <a:pt x="109302" y="520598"/>
              </a:lnTo>
              <a:lnTo>
                <a:pt x="112355" y="525655"/>
              </a:lnTo>
              <a:lnTo>
                <a:pt x="113055" y="531441"/>
              </a:lnTo>
              <a:lnTo>
                <a:pt x="109152" y="534213"/>
              </a:lnTo>
              <a:lnTo>
                <a:pt x="114357" y="535963"/>
              </a:lnTo>
              <a:lnTo>
                <a:pt x="110503" y="544862"/>
              </a:lnTo>
              <a:lnTo>
                <a:pt x="124166" y="548801"/>
              </a:lnTo>
              <a:lnTo>
                <a:pt x="123415" y="553225"/>
              </a:lnTo>
              <a:lnTo>
                <a:pt x="128120" y="555706"/>
              </a:lnTo>
              <a:lnTo>
                <a:pt x="140231" y="556484"/>
              </a:lnTo>
              <a:lnTo>
                <a:pt x="147788" y="551962"/>
              </a:lnTo>
              <a:lnTo>
                <a:pt x="162402" y="557554"/>
              </a:lnTo>
              <a:lnTo>
                <a:pt x="165254" y="569905"/>
              </a:lnTo>
              <a:lnTo>
                <a:pt x="162652" y="572434"/>
              </a:lnTo>
              <a:lnTo>
                <a:pt x="155795" y="569127"/>
              </a:lnTo>
              <a:lnTo>
                <a:pt x="157096" y="577053"/>
              </a:lnTo>
              <a:lnTo>
                <a:pt x="145085" y="586487"/>
              </a:lnTo>
              <a:lnTo>
                <a:pt x="150540" y="607980"/>
              </a:lnTo>
              <a:lnTo>
                <a:pt x="139931" y="616781"/>
              </a:lnTo>
              <a:lnTo>
                <a:pt x="142082" y="620914"/>
              </a:lnTo>
              <a:lnTo>
                <a:pt x="132173" y="637301"/>
              </a:lnTo>
              <a:lnTo>
                <a:pt x="137328" y="641581"/>
              </a:lnTo>
              <a:lnTo>
                <a:pt x="159048" y="640025"/>
              </a:lnTo>
              <a:lnTo>
                <a:pt x="190177" y="648728"/>
              </a:lnTo>
              <a:lnTo>
                <a:pt x="190278" y="645423"/>
              </a:lnTo>
              <a:lnTo>
                <a:pt x="198485" y="646638"/>
              </a:lnTo>
              <a:lnTo>
                <a:pt x="200737" y="653639"/>
              </a:lnTo>
              <a:lnTo>
                <a:pt x="196183" y="666964"/>
              </a:lnTo>
              <a:lnTo>
                <a:pt x="200037" y="677224"/>
              </a:lnTo>
              <a:lnTo>
                <a:pt x="204741" y="680190"/>
              </a:lnTo>
              <a:lnTo>
                <a:pt x="211447" y="677565"/>
              </a:lnTo>
              <a:lnTo>
                <a:pt x="214500" y="680774"/>
              </a:lnTo>
              <a:lnTo>
                <a:pt x="209495" y="687582"/>
              </a:lnTo>
              <a:lnTo>
                <a:pt x="211397" y="694680"/>
              </a:lnTo>
              <a:lnTo>
                <a:pt x="217503" y="694195"/>
              </a:lnTo>
              <a:lnTo>
                <a:pt x="219855" y="697939"/>
              </a:lnTo>
              <a:lnTo>
                <a:pt x="236271" y="692152"/>
              </a:lnTo>
              <a:lnTo>
                <a:pt x="239974" y="698620"/>
              </a:lnTo>
              <a:lnTo>
                <a:pt x="247781" y="699252"/>
              </a:lnTo>
              <a:lnTo>
                <a:pt x="260093" y="693417"/>
              </a:lnTo>
              <a:lnTo>
                <a:pt x="271453" y="679946"/>
              </a:lnTo>
              <a:lnTo>
                <a:pt x="292022" y="671291"/>
              </a:lnTo>
              <a:lnTo>
                <a:pt x="293924" y="689769"/>
              </a:lnTo>
              <a:lnTo>
                <a:pt x="298979" y="690012"/>
              </a:lnTo>
              <a:lnTo>
                <a:pt x="300280" y="695119"/>
              </a:lnTo>
              <a:lnTo>
                <a:pt x="293574" y="702948"/>
              </a:lnTo>
              <a:lnTo>
                <a:pt x="301882" y="712284"/>
              </a:lnTo>
              <a:lnTo>
                <a:pt x="300030" y="718217"/>
              </a:lnTo>
              <a:lnTo>
                <a:pt x="305585" y="723079"/>
              </a:lnTo>
              <a:lnTo>
                <a:pt x="325253" y="716660"/>
              </a:lnTo>
              <a:lnTo>
                <a:pt x="330859" y="718313"/>
              </a:lnTo>
              <a:lnTo>
                <a:pt x="331209" y="723613"/>
              </a:lnTo>
              <a:lnTo>
                <a:pt x="336614" y="721669"/>
              </a:lnTo>
              <a:lnTo>
                <a:pt x="344121" y="725753"/>
              </a:lnTo>
              <a:lnTo>
                <a:pt x="349726" y="716612"/>
              </a:lnTo>
              <a:lnTo>
                <a:pt x="341319" y="709269"/>
              </a:lnTo>
              <a:lnTo>
                <a:pt x="343320" y="687630"/>
              </a:lnTo>
              <a:lnTo>
                <a:pt x="349326" y="684810"/>
              </a:lnTo>
              <a:lnTo>
                <a:pt x="342720" y="674939"/>
              </a:lnTo>
              <a:lnTo>
                <a:pt x="344672" y="665894"/>
              </a:lnTo>
              <a:lnTo>
                <a:pt x="338966" y="656655"/>
              </a:lnTo>
              <a:lnTo>
                <a:pt x="331259" y="654126"/>
              </a:lnTo>
              <a:lnTo>
                <a:pt x="330458" y="637155"/>
              </a:lnTo>
              <a:lnTo>
                <a:pt x="326455" y="630396"/>
              </a:lnTo>
              <a:lnTo>
                <a:pt x="332811" y="626506"/>
              </a:lnTo>
              <a:lnTo>
                <a:pt x="336614" y="609585"/>
              </a:lnTo>
              <a:lnTo>
                <a:pt x="344922" y="606861"/>
              </a:lnTo>
              <a:lnTo>
                <a:pt x="355231" y="617559"/>
              </a:lnTo>
              <a:lnTo>
                <a:pt x="355732" y="612940"/>
              </a:lnTo>
              <a:lnTo>
                <a:pt x="366992" y="611092"/>
              </a:lnTo>
              <a:lnTo>
                <a:pt x="375050" y="616392"/>
              </a:lnTo>
              <a:lnTo>
                <a:pt x="385209" y="614446"/>
              </a:lnTo>
              <a:lnTo>
                <a:pt x="384058" y="611140"/>
              </a:lnTo>
              <a:lnTo>
                <a:pt x="396119" y="595969"/>
              </a:lnTo>
              <a:lnTo>
                <a:pt x="394468" y="591592"/>
              </a:lnTo>
              <a:lnTo>
                <a:pt x="404728" y="583228"/>
              </a:lnTo>
              <a:lnTo>
                <a:pt x="409532" y="589696"/>
              </a:lnTo>
              <a:lnTo>
                <a:pt x="412585" y="587070"/>
              </a:lnTo>
              <a:lnTo>
                <a:pt x="430151" y="596553"/>
              </a:lnTo>
              <a:lnTo>
                <a:pt x="438860" y="608952"/>
              </a:lnTo>
              <a:lnTo>
                <a:pt x="446967" y="612550"/>
              </a:lnTo>
              <a:lnTo>
                <a:pt x="459379" y="602241"/>
              </a:lnTo>
              <a:lnTo>
                <a:pt x="460380" y="594364"/>
              </a:lnTo>
              <a:lnTo>
                <a:pt x="467486" y="591690"/>
              </a:lnTo>
              <a:lnTo>
                <a:pt x="470739" y="580311"/>
              </a:lnTo>
              <a:lnTo>
                <a:pt x="480348" y="585126"/>
              </a:lnTo>
              <a:lnTo>
                <a:pt x="479948" y="590037"/>
              </a:lnTo>
              <a:lnTo>
                <a:pt x="487505" y="599227"/>
              </a:lnTo>
              <a:lnTo>
                <a:pt x="496663" y="581430"/>
              </a:lnTo>
              <a:lnTo>
                <a:pt x="522888" y="607202"/>
              </a:lnTo>
              <a:lnTo>
                <a:pt x="526491" y="605841"/>
              </a:lnTo>
              <a:lnTo>
                <a:pt x="529444" y="587313"/>
              </a:lnTo>
              <a:lnTo>
                <a:pt x="535299" y="580214"/>
              </a:lnTo>
              <a:lnTo>
                <a:pt x="547010" y="577297"/>
              </a:lnTo>
              <a:lnTo>
                <a:pt x="547911" y="586437"/>
              </a:lnTo>
              <a:lnTo>
                <a:pt x="556269" y="590668"/>
              </a:lnTo>
              <a:lnTo>
                <a:pt x="574186" y="576908"/>
              </a:lnTo>
              <a:lnTo>
                <a:pt x="585696" y="578706"/>
              </a:lnTo>
              <a:lnTo>
                <a:pt x="594505" y="569857"/>
              </a:lnTo>
              <a:lnTo>
                <a:pt x="591102" y="553615"/>
              </a:lnTo>
              <a:lnTo>
                <a:pt x="597457" y="548899"/>
              </a:lnTo>
              <a:lnTo>
                <a:pt x="602862" y="549920"/>
              </a:lnTo>
              <a:lnTo>
                <a:pt x="614573" y="540291"/>
              </a:lnTo>
              <a:lnTo>
                <a:pt x="626334" y="540000"/>
              </a:lnTo>
              <a:lnTo>
                <a:pt x="633441" y="528864"/>
              </a:lnTo>
              <a:lnTo>
                <a:pt x="651107" y="547051"/>
              </a:lnTo>
              <a:lnTo>
                <a:pt x="649756" y="542626"/>
              </a:lnTo>
              <a:lnTo>
                <a:pt x="655211" y="535721"/>
              </a:lnTo>
              <a:lnTo>
                <a:pt x="663869" y="534408"/>
              </a:lnTo>
              <a:lnTo>
                <a:pt x="658815" y="527601"/>
              </a:lnTo>
              <a:lnTo>
                <a:pt x="663869" y="527842"/>
              </a:lnTo>
              <a:lnTo>
                <a:pt x="676231" y="516756"/>
              </a:lnTo>
              <a:lnTo>
                <a:pt x="687141" y="520063"/>
              </a:lnTo>
              <a:lnTo>
                <a:pt x="688242" y="523759"/>
              </a:lnTo>
              <a:lnTo>
                <a:pt x="699753" y="512963"/>
              </a:lnTo>
              <a:lnTo>
                <a:pt x="699353" y="492928"/>
              </a:lnTo>
              <a:lnTo>
                <a:pt x="703907" y="485488"/>
              </a:lnTo>
              <a:lnTo>
                <a:pt x="688092" y="463997"/>
              </a:lnTo>
              <a:lnTo>
                <a:pt x="681686" y="463851"/>
              </a:lnTo>
              <a:lnTo>
                <a:pt x="679484" y="471144"/>
              </a:lnTo>
              <a:lnTo>
                <a:pt x="671727" y="472652"/>
              </a:lnTo>
              <a:lnTo>
                <a:pt x="669174" y="468178"/>
              </a:lnTo>
              <a:lnTo>
                <a:pt x="659766" y="471826"/>
              </a:lnTo>
              <a:lnTo>
                <a:pt x="655311" y="462488"/>
              </a:lnTo>
              <a:lnTo>
                <a:pt x="650357" y="463169"/>
              </a:lnTo>
              <a:lnTo>
                <a:pt x="647054" y="473235"/>
              </a:lnTo>
              <a:lnTo>
                <a:pt x="633041" y="464386"/>
              </a:lnTo>
              <a:lnTo>
                <a:pt x="628136" y="469297"/>
              </a:lnTo>
              <a:lnTo>
                <a:pt x="621830" y="459864"/>
              </a:lnTo>
              <a:lnTo>
                <a:pt x="626735" y="456168"/>
              </a:lnTo>
              <a:lnTo>
                <a:pt x="620379" y="449067"/>
              </a:lnTo>
              <a:lnTo>
                <a:pt x="622280" y="443817"/>
              </a:lnTo>
              <a:lnTo>
                <a:pt x="615674" y="437786"/>
              </a:lnTo>
              <a:lnTo>
                <a:pt x="587949" y="433799"/>
              </a:lnTo>
              <a:lnTo>
                <a:pt x="582894" y="437349"/>
              </a:lnTo>
              <a:lnTo>
                <a:pt x="583344" y="446150"/>
              </a:lnTo>
              <a:lnTo>
                <a:pt x="572534" y="436912"/>
              </a:lnTo>
              <a:lnTo>
                <a:pt x="565528" y="416488"/>
              </a:lnTo>
              <a:lnTo>
                <a:pt x="569581" y="402143"/>
              </a:lnTo>
              <a:lnTo>
                <a:pt x="583695" y="385805"/>
              </a:lnTo>
              <a:lnTo>
                <a:pt x="581392" y="380602"/>
              </a:lnTo>
              <a:lnTo>
                <a:pt x="576088" y="380017"/>
              </a:lnTo>
              <a:lnTo>
                <a:pt x="581442" y="378413"/>
              </a:lnTo>
              <a:lnTo>
                <a:pt x="586998" y="366207"/>
              </a:lnTo>
              <a:lnTo>
                <a:pt x="592603" y="370195"/>
              </a:lnTo>
              <a:lnTo>
                <a:pt x="592903" y="364311"/>
              </a:lnTo>
              <a:lnTo>
                <a:pt x="577739" y="358915"/>
              </a:lnTo>
              <a:lnTo>
                <a:pt x="578239" y="353419"/>
              </a:lnTo>
              <a:lnTo>
                <a:pt x="569882" y="349480"/>
              </a:lnTo>
              <a:lnTo>
                <a:pt x="570983" y="338296"/>
              </a:lnTo>
              <a:lnTo>
                <a:pt x="561073" y="343013"/>
              </a:lnTo>
              <a:lnTo>
                <a:pt x="560573" y="333676"/>
              </a:lnTo>
              <a:lnTo>
                <a:pt x="552766" y="331634"/>
              </a:lnTo>
              <a:lnTo>
                <a:pt x="550964" y="327210"/>
              </a:lnTo>
              <a:lnTo>
                <a:pt x="552466" y="317046"/>
              </a:lnTo>
              <a:lnTo>
                <a:pt x="555869" y="319770"/>
              </a:lnTo>
              <a:lnTo>
                <a:pt x="561624" y="307273"/>
              </a:lnTo>
              <a:lnTo>
                <a:pt x="559422" y="303577"/>
              </a:lnTo>
              <a:lnTo>
                <a:pt x="563125" y="287676"/>
              </a:lnTo>
              <a:lnTo>
                <a:pt x="568681" y="285099"/>
              </a:lnTo>
              <a:lnTo>
                <a:pt x="573885" y="266669"/>
              </a:lnTo>
              <a:lnTo>
                <a:pt x="579340" y="265065"/>
              </a:lnTo>
              <a:lnTo>
                <a:pt x="579841" y="256118"/>
              </a:lnTo>
              <a:lnTo>
                <a:pt x="570983" y="241919"/>
              </a:lnTo>
              <a:lnTo>
                <a:pt x="563075" y="240799"/>
              </a:lnTo>
              <a:lnTo>
                <a:pt x="560223" y="231123"/>
              </a:lnTo>
              <a:lnTo>
                <a:pt x="554467" y="239147"/>
              </a:lnTo>
              <a:lnTo>
                <a:pt x="535600" y="237590"/>
              </a:lnTo>
              <a:lnTo>
                <a:pt x="531246" y="248774"/>
              </a:lnTo>
              <a:lnTo>
                <a:pt x="511077" y="247413"/>
              </a:lnTo>
              <a:lnTo>
                <a:pt x="505322" y="238903"/>
              </a:lnTo>
              <a:lnTo>
                <a:pt x="507323" y="230442"/>
              </a:lnTo>
              <a:lnTo>
                <a:pt x="501818" y="223343"/>
              </a:lnTo>
              <a:lnTo>
                <a:pt x="507824" y="216097"/>
              </a:lnTo>
              <a:lnTo>
                <a:pt x="507474" y="209096"/>
              </a:lnTo>
              <a:lnTo>
                <a:pt x="501768" y="200148"/>
              </a:lnTo>
              <a:lnTo>
                <a:pt x="495112" y="203989"/>
              </a:lnTo>
              <a:lnTo>
                <a:pt x="493360" y="198980"/>
              </a:lnTo>
              <a:lnTo>
                <a:pt x="498115" y="198641"/>
              </a:lnTo>
              <a:lnTo>
                <a:pt x="495963" y="193632"/>
              </a:lnTo>
              <a:lnTo>
                <a:pt x="501068" y="193097"/>
              </a:lnTo>
              <a:lnTo>
                <a:pt x="509525" y="180406"/>
              </a:lnTo>
              <a:lnTo>
                <a:pt x="514830" y="178898"/>
              </a:lnTo>
              <a:lnTo>
                <a:pt x="520235" y="164068"/>
              </a:lnTo>
              <a:lnTo>
                <a:pt x="526992" y="165429"/>
              </a:lnTo>
              <a:lnTo>
                <a:pt x="539804" y="180600"/>
              </a:lnTo>
              <a:lnTo>
                <a:pt x="545959" y="177974"/>
              </a:lnTo>
              <a:lnTo>
                <a:pt x="555268" y="161879"/>
              </a:lnTo>
              <a:lnTo>
                <a:pt x="566128" y="166742"/>
              </a:lnTo>
              <a:lnTo>
                <a:pt x="569581" y="174717"/>
              </a:lnTo>
              <a:lnTo>
                <a:pt x="588399" y="175641"/>
              </a:lnTo>
              <a:lnTo>
                <a:pt x="592753" y="172382"/>
              </a:lnTo>
              <a:lnTo>
                <a:pt x="596556" y="178072"/>
              </a:lnTo>
              <a:lnTo>
                <a:pt x="612522" y="166401"/>
              </a:lnTo>
              <a:lnTo>
                <a:pt x="621830" y="171069"/>
              </a:lnTo>
              <a:lnTo>
                <a:pt x="631039" y="146853"/>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1</xdr:col>
      <xdr:colOff>432922</xdr:colOff>
      <xdr:row>99</xdr:row>
      <xdr:rowOff>124044</xdr:rowOff>
    </xdr:from>
    <xdr:to>
      <xdr:col>3</xdr:col>
      <xdr:colOff>333263</xdr:colOff>
      <xdr:row>103</xdr:row>
      <xdr:rowOff>39192</xdr:rowOff>
    </xdr:to>
    <xdr:sp macro="MapShapeClick" textlink="">
      <xdr:nvSpPr>
        <xdr:cNvPr id="51" name="西藏自治区">
          <a:extLst>
            <a:ext uri="{FF2B5EF4-FFF2-40B4-BE49-F238E27FC236}">
              <a16:creationId xmlns:a16="http://schemas.microsoft.com/office/drawing/2014/main" id="{07B3FBC9-841A-CC15-F531-ADD1826D2A23}"/>
            </a:ext>
          </a:extLst>
        </xdr:cNvPr>
        <xdr:cNvSpPr/>
      </xdr:nvSpPr>
      <xdr:spPr>
        <a:xfrm>
          <a:off x="981562" y="18701604"/>
          <a:ext cx="1683421" cy="920988"/>
        </a:xfrm>
        <a:custGeom>
          <a:avLst/>
          <a:gdLst/>
          <a:ahLst/>
          <a:cxnLst/>
          <a:rect l="0" t="0" r="0" b="0"/>
          <a:pathLst>
            <a:path w="1683421" h="920988">
              <a:moveTo>
                <a:pt x="919457" y="39193"/>
              </a:moveTo>
              <a:lnTo>
                <a:pt x="885426" y="25285"/>
              </a:lnTo>
              <a:lnTo>
                <a:pt x="880521" y="18818"/>
              </a:lnTo>
              <a:lnTo>
                <a:pt x="871963" y="22951"/>
              </a:lnTo>
              <a:lnTo>
                <a:pt x="855648" y="11865"/>
              </a:lnTo>
              <a:lnTo>
                <a:pt x="842686" y="19159"/>
              </a:lnTo>
              <a:lnTo>
                <a:pt x="826971" y="2090"/>
              </a:lnTo>
              <a:lnTo>
                <a:pt x="818663" y="0"/>
              </a:lnTo>
              <a:lnTo>
                <a:pt x="779026" y="4473"/>
              </a:lnTo>
              <a:lnTo>
                <a:pt x="745495" y="14102"/>
              </a:lnTo>
              <a:lnTo>
                <a:pt x="737387" y="12886"/>
              </a:lnTo>
              <a:lnTo>
                <a:pt x="733834" y="5688"/>
              </a:lnTo>
              <a:lnTo>
                <a:pt x="711263" y="18624"/>
              </a:lnTo>
              <a:lnTo>
                <a:pt x="698852" y="17505"/>
              </a:lnTo>
              <a:lnTo>
                <a:pt x="689993" y="22124"/>
              </a:lnTo>
              <a:lnTo>
                <a:pt x="688041" y="18380"/>
              </a:lnTo>
              <a:lnTo>
                <a:pt x="678533" y="19207"/>
              </a:lnTo>
              <a:lnTo>
                <a:pt x="674729" y="23972"/>
              </a:lnTo>
              <a:lnTo>
                <a:pt x="640597" y="31412"/>
              </a:lnTo>
              <a:lnTo>
                <a:pt x="633140" y="35400"/>
              </a:lnTo>
              <a:lnTo>
                <a:pt x="634141" y="43763"/>
              </a:lnTo>
              <a:lnTo>
                <a:pt x="622230" y="64333"/>
              </a:lnTo>
              <a:lnTo>
                <a:pt x="613772" y="70751"/>
              </a:lnTo>
              <a:lnTo>
                <a:pt x="592803" y="73523"/>
              </a:lnTo>
              <a:lnTo>
                <a:pt x="586447" y="83491"/>
              </a:lnTo>
              <a:lnTo>
                <a:pt x="567029" y="78628"/>
              </a:lnTo>
              <a:lnTo>
                <a:pt x="558671" y="69731"/>
              </a:lnTo>
              <a:lnTo>
                <a:pt x="540954" y="73425"/>
              </a:lnTo>
              <a:lnTo>
                <a:pt x="491858" y="93605"/>
              </a:lnTo>
              <a:lnTo>
                <a:pt x="492209" y="101289"/>
              </a:lnTo>
              <a:lnTo>
                <a:pt x="468437" y="112618"/>
              </a:lnTo>
              <a:lnTo>
                <a:pt x="455875" y="106346"/>
              </a:lnTo>
              <a:lnTo>
                <a:pt x="424696" y="115051"/>
              </a:lnTo>
              <a:lnTo>
                <a:pt x="394568" y="106832"/>
              </a:lnTo>
              <a:lnTo>
                <a:pt x="384458" y="108728"/>
              </a:lnTo>
              <a:lnTo>
                <a:pt x="374048" y="100171"/>
              </a:lnTo>
              <a:lnTo>
                <a:pt x="371496" y="81887"/>
              </a:lnTo>
              <a:lnTo>
                <a:pt x="357483" y="79795"/>
              </a:lnTo>
              <a:lnTo>
                <a:pt x="352328" y="84852"/>
              </a:lnTo>
              <a:lnTo>
                <a:pt x="330958" y="76878"/>
              </a:lnTo>
              <a:lnTo>
                <a:pt x="320198" y="83491"/>
              </a:lnTo>
              <a:lnTo>
                <a:pt x="319548" y="92681"/>
              </a:lnTo>
              <a:lnTo>
                <a:pt x="295675" y="103428"/>
              </a:lnTo>
              <a:lnTo>
                <a:pt x="295325" y="116412"/>
              </a:lnTo>
              <a:lnTo>
                <a:pt x="267399" y="124969"/>
              </a:lnTo>
              <a:lnTo>
                <a:pt x="253336" y="125019"/>
              </a:lnTo>
              <a:lnTo>
                <a:pt x="247480" y="115244"/>
              </a:lnTo>
              <a:lnTo>
                <a:pt x="241175" y="113105"/>
              </a:lnTo>
              <a:lnTo>
                <a:pt x="229464" y="116655"/>
              </a:lnTo>
              <a:lnTo>
                <a:pt x="219705" y="107854"/>
              </a:lnTo>
              <a:lnTo>
                <a:pt x="214199" y="110528"/>
              </a:lnTo>
              <a:lnTo>
                <a:pt x="213749" y="117433"/>
              </a:lnTo>
              <a:lnTo>
                <a:pt x="208694" y="117481"/>
              </a:lnTo>
              <a:lnTo>
                <a:pt x="186373" y="114661"/>
              </a:lnTo>
              <a:lnTo>
                <a:pt x="183721" y="109215"/>
              </a:lnTo>
              <a:lnTo>
                <a:pt x="172210" y="109409"/>
              </a:lnTo>
              <a:lnTo>
                <a:pt x="165554" y="103671"/>
              </a:lnTo>
              <a:lnTo>
                <a:pt x="156495" y="109896"/>
              </a:lnTo>
              <a:lnTo>
                <a:pt x="152141" y="118988"/>
              </a:lnTo>
              <a:lnTo>
                <a:pt x="159849" y="127645"/>
              </a:lnTo>
              <a:lnTo>
                <a:pt x="151341" y="128180"/>
              </a:lnTo>
              <a:lnTo>
                <a:pt x="132923" y="144956"/>
              </a:lnTo>
              <a:lnTo>
                <a:pt x="133174" y="158085"/>
              </a:lnTo>
              <a:lnTo>
                <a:pt x="124416" y="163288"/>
              </a:lnTo>
              <a:lnTo>
                <a:pt x="119111" y="195041"/>
              </a:lnTo>
              <a:lnTo>
                <a:pt x="114256" y="199904"/>
              </a:lnTo>
              <a:lnTo>
                <a:pt x="52298" y="205544"/>
              </a:lnTo>
              <a:lnTo>
                <a:pt x="49996" y="207684"/>
              </a:lnTo>
              <a:lnTo>
                <a:pt x="53099" y="212741"/>
              </a:lnTo>
              <a:lnTo>
                <a:pt x="47644" y="215708"/>
              </a:lnTo>
              <a:lnTo>
                <a:pt x="43090" y="231705"/>
              </a:lnTo>
              <a:lnTo>
                <a:pt x="21620" y="238465"/>
              </a:lnTo>
              <a:lnTo>
                <a:pt x="21219" y="244009"/>
              </a:lnTo>
              <a:lnTo>
                <a:pt x="28376" y="248870"/>
              </a:lnTo>
              <a:lnTo>
                <a:pt x="31229" y="273135"/>
              </a:lnTo>
              <a:lnTo>
                <a:pt x="23521" y="280769"/>
              </a:lnTo>
              <a:lnTo>
                <a:pt x="29227" y="283832"/>
              </a:lnTo>
              <a:lnTo>
                <a:pt x="28176" y="290641"/>
              </a:lnTo>
              <a:lnTo>
                <a:pt x="36934" y="303624"/>
              </a:lnTo>
              <a:lnTo>
                <a:pt x="61507" y="326528"/>
              </a:lnTo>
              <a:lnTo>
                <a:pt x="62358" y="343255"/>
              </a:lnTo>
              <a:lnTo>
                <a:pt x="69915" y="349965"/>
              </a:lnTo>
              <a:lnTo>
                <a:pt x="67412" y="365283"/>
              </a:lnTo>
              <a:lnTo>
                <a:pt x="73618" y="370632"/>
              </a:lnTo>
              <a:lnTo>
                <a:pt x="71316" y="375543"/>
              </a:lnTo>
              <a:lnTo>
                <a:pt x="74169" y="383372"/>
              </a:lnTo>
              <a:lnTo>
                <a:pt x="69614" y="391103"/>
              </a:lnTo>
              <a:lnTo>
                <a:pt x="60156" y="395382"/>
              </a:lnTo>
              <a:lnTo>
                <a:pt x="57503" y="405255"/>
              </a:lnTo>
              <a:lnTo>
                <a:pt x="49596" y="404720"/>
              </a:lnTo>
              <a:lnTo>
                <a:pt x="46743" y="408901"/>
              </a:lnTo>
              <a:lnTo>
                <a:pt x="31429" y="394604"/>
              </a:lnTo>
              <a:lnTo>
                <a:pt x="28126" y="373063"/>
              </a:lnTo>
              <a:lnTo>
                <a:pt x="2402" y="386387"/>
              </a:lnTo>
              <a:lnTo>
                <a:pt x="0" y="389790"/>
              </a:lnTo>
              <a:lnTo>
                <a:pt x="9208" y="412160"/>
              </a:lnTo>
              <a:lnTo>
                <a:pt x="2802" y="422078"/>
              </a:lnTo>
              <a:lnTo>
                <a:pt x="17216" y="438466"/>
              </a:lnTo>
              <a:lnTo>
                <a:pt x="29827" y="445809"/>
              </a:lnTo>
              <a:lnTo>
                <a:pt x="21069" y="458062"/>
              </a:lnTo>
              <a:lnTo>
                <a:pt x="36584" y="478049"/>
              </a:lnTo>
              <a:lnTo>
                <a:pt x="28026" y="485391"/>
              </a:lnTo>
              <a:lnTo>
                <a:pt x="27175" y="490594"/>
              </a:lnTo>
              <a:lnTo>
                <a:pt x="32230" y="494630"/>
              </a:lnTo>
              <a:lnTo>
                <a:pt x="29227" y="502264"/>
              </a:lnTo>
              <a:lnTo>
                <a:pt x="32480" y="507467"/>
              </a:lnTo>
              <a:lnTo>
                <a:pt x="38185" y="506349"/>
              </a:lnTo>
              <a:lnTo>
                <a:pt x="48945" y="520985"/>
              </a:lnTo>
              <a:lnTo>
                <a:pt x="49946" y="531878"/>
              </a:lnTo>
              <a:lnTo>
                <a:pt x="57003" y="536789"/>
              </a:lnTo>
              <a:lnTo>
                <a:pt x="63909" y="534552"/>
              </a:lnTo>
              <a:lnTo>
                <a:pt x="67613" y="540874"/>
              </a:lnTo>
              <a:lnTo>
                <a:pt x="76121" y="538977"/>
              </a:lnTo>
              <a:lnTo>
                <a:pt x="74819" y="534358"/>
              </a:lnTo>
              <a:lnTo>
                <a:pt x="82026" y="529252"/>
              </a:lnTo>
              <a:lnTo>
                <a:pt x="97691" y="543062"/>
              </a:lnTo>
              <a:lnTo>
                <a:pt x="103446" y="537907"/>
              </a:lnTo>
              <a:lnTo>
                <a:pt x="123315" y="551863"/>
              </a:lnTo>
              <a:lnTo>
                <a:pt x="133924" y="573551"/>
              </a:lnTo>
              <a:lnTo>
                <a:pt x="181819" y="587216"/>
              </a:lnTo>
              <a:lnTo>
                <a:pt x="196783" y="600150"/>
              </a:lnTo>
              <a:lnTo>
                <a:pt x="214450" y="607152"/>
              </a:lnTo>
              <a:lnTo>
                <a:pt x="222357" y="628839"/>
              </a:lnTo>
              <a:lnTo>
                <a:pt x="232466" y="629228"/>
              </a:lnTo>
              <a:lnTo>
                <a:pt x="233517" y="615953"/>
              </a:lnTo>
              <a:lnTo>
                <a:pt x="243627" y="611625"/>
              </a:lnTo>
              <a:lnTo>
                <a:pt x="245629" y="590814"/>
              </a:lnTo>
              <a:lnTo>
                <a:pt x="256789" y="595627"/>
              </a:lnTo>
              <a:lnTo>
                <a:pt x="257640" y="590036"/>
              </a:lnTo>
              <a:lnTo>
                <a:pt x="262845" y="588333"/>
              </a:lnTo>
              <a:lnTo>
                <a:pt x="292172" y="600004"/>
              </a:lnTo>
              <a:lnTo>
                <a:pt x="301381" y="597815"/>
              </a:lnTo>
              <a:lnTo>
                <a:pt x="302181" y="609048"/>
              </a:lnTo>
              <a:lnTo>
                <a:pt x="309738" y="616877"/>
              </a:lnTo>
              <a:lnTo>
                <a:pt x="307336" y="623976"/>
              </a:lnTo>
              <a:lnTo>
                <a:pt x="338465" y="634529"/>
              </a:lnTo>
              <a:lnTo>
                <a:pt x="345172" y="642649"/>
              </a:lnTo>
              <a:lnTo>
                <a:pt x="343570" y="645858"/>
              </a:lnTo>
              <a:lnTo>
                <a:pt x="350076" y="644643"/>
              </a:lnTo>
              <a:lnTo>
                <a:pt x="352829" y="648485"/>
              </a:lnTo>
              <a:lnTo>
                <a:pt x="349075" y="652277"/>
              </a:lnTo>
              <a:lnTo>
                <a:pt x="360386" y="659620"/>
              </a:lnTo>
              <a:lnTo>
                <a:pt x="369945" y="658016"/>
              </a:lnTo>
              <a:lnTo>
                <a:pt x="381355" y="667352"/>
              </a:lnTo>
              <a:lnTo>
                <a:pt x="395819" y="670513"/>
              </a:lnTo>
              <a:lnTo>
                <a:pt x="396569" y="676590"/>
              </a:lnTo>
              <a:lnTo>
                <a:pt x="407930" y="684565"/>
              </a:lnTo>
              <a:lnTo>
                <a:pt x="411834" y="697111"/>
              </a:lnTo>
              <a:lnTo>
                <a:pt x="422594" y="707517"/>
              </a:lnTo>
              <a:lnTo>
                <a:pt x="427448" y="708149"/>
              </a:lnTo>
              <a:lnTo>
                <a:pt x="448218" y="693611"/>
              </a:lnTo>
              <a:lnTo>
                <a:pt x="464883" y="697063"/>
              </a:lnTo>
              <a:lnTo>
                <a:pt x="465984" y="701390"/>
              </a:lnTo>
              <a:lnTo>
                <a:pt x="471890" y="701390"/>
              </a:lnTo>
              <a:lnTo>
                <a:pt x="469287" y="705621"/>
              </a:lnTo>
              <a:lnTo>
                <a:pt x="471189" y="719528"/>
              </a:lnTo>
              <a:lnTo>
                <a:pt x="475593" y="720890"/>
              </a:lnTo>
              <a:lnTo>
                <a:pt x="474442" y="733969"/>
              </a:lnTo>
              <a:lnTo>
                <a:pt x="488555" y="737276"/>
              </a:lnTo>
              <a:lnTo>
                <a:pt x="494661" y="748266"/>
              </a:lnTo>
              <a:lnTo>
                <a:pt x="505771" y="748558"/>
              </a:lnTo>
              <a:lnTo>
                <a:pt x="512127" y="757700"/>
              </a:lnTo>
              <a:lnTo>
                <a:pt x="525039" y="763778"/>
              </a:lnTo>
              <a:lnTo>
                <a:pt x="546910" y="753760"/>
              </a:lnTo>
              <a:lnTo>
                <a:pt x="552565" y="758576"/>
              </a:lnTo>
              <a:lnTo>
                <a:pt x="552065" y="765918"/>
              </a:lnTo>
              <a:lnTo>
                <a:pt x="545458" y="773649"/>
              </a:lnTo>
              <a:lnTo>
                <a:pt x="545859" y="784396"/>
              </a:lnTo>
              <a:lnTo>
                <a:pt x="567479" y="790912"/>
              </a:lnTo>
              <a:lnTo>
                <a:pt x="570432" y="786585"/>
              </a:lnTo>
              <a:lnTo>
                <a:pt x="578940" y="786050"/>
              </a:lnTo>
              <a:lnTo>
                <a:pt x="585596" y="788918"/>
              </a:lnTo>
              <a:lnTo>
                <a:pt x="585496" y="792760"/>
              </a:lnTo>
              <a:lnTo>
                <a:pt x="595205" y="781867"/>
              </a:lnTo>
              <a:lnTo>
                <a:pt x="597857" y="795190"/>
              </a:lnTo>
              <a:lnTo>
                <a:pt x="606065" y="800297"/>
              </a:lnTo>
              <a:lnTo>
                <a:pt x="616274" y="817608"/>
              </a:lnTo>
              <a:lnTo>
                <a:pt x="613772" y="821936"/>
              </a:lnTo>
              <a:lnTo>
                <a:pt x="618076" y="824708"/>
              </a:lnTo>
              <a:lnTo>
                <a:pt x="628085" y="823249"/>
              </a:lnTo>
              <a:lnTo>
                <a:pt x="624933" y="807883"/>
              </a:lnTo>
              <a:lnTo>
                <a:pt x="633440" y="800782"/>
              </a:lnTo>
              <a:lnTo>
                <a:pt x="636743" y="818532"/>
              </a:lnTo>
              <a:lnTo>
                <a:pt x="651607" y="824950"/>
              </a:lnTo>
              <a:lnTo>
                <a:pt x="659715" y="820332"/>
              </a:lnTo>
              <a:lnTo>
                <a:pt x="664119" y="806667"/>
              </a:lnTo>
              <a:lnTo>
                <a:pt x="670525" y="809779"/>
              </a:lnTo>
              <a:lnTo>
                <a:pt x="674779" y="806813"/>
              </a:lnTo>
              <a:lnTo>
                <a:pt x="680334" y="809779"/>
              </a:lnTo>
              <a:lnTo>
                <a:pt x="679383" y="813134"/>
              </a:lnTo>
              <a:lnTo>
                <a:pt x="702004" y="821108"/>
              </a:lnTo>
              <a:lnTo>
                <a:pt x="708761" y="830835"/>
              </a:lnTo>
              <a:lnTo>
                <a:pt x="717669" y="833363"/>
              </a:lnTo>
              <a:lnTo>
                <a:pt x="746346" y="829083"/>
              </a:lnTo>
              <a:lnTo>
                <a:pt x="747747" y="833218"/>
              </a:lnTo>
              <a:lnTo>
                <a:pt x="758257" y="834287"/>
              </a:lnTo>
              <a:lnTo>
                <a:pt x="766314" y="822810"/>
              </a:lnTo>
              <a:lnTo>
                <a:pt x="789486" y="828598"/>
              </a:lnTo>
              <a:lnTo>
                <a:pt x="793140" y="820039"/>
              </a:lnTo>
              <a:lnTo>
                <a:pt x="813008" y="818288"/>
              </a:lnTo>
              <a:lnTo>
                <a:pt x="832826" y="805937"/>
              </a:lnTo>
              <a:lnTo>
                <a:pt x="848891" y="815614"/>
              </a:lnTo>
              <a:lnTo>
                <a:pt x="852595" y="830250"/>
              </a:lnTo>
              <a:lnTo>
                <a:pt x="849642" y="846395"/>
              </a:lnTo>
              <a:lnTo>
                <a:pt x="843036" y="856218"/>
              </a:lnTo>
              <a:lnTo>
                <a:pt x="844037" y="865067"/>
              </a:lnTo>
              <a:lnTo>
                <a:pt x="860402" y="888699"/>
              </a:lnTo>
              <a:lnTo>
                <a:pt x="876517" y="873626"/>
              </a:lnTo>
              <a:lnTo>
                <a:pt x="869411" y="864678"/>
              </a:lnTo>
              <a:lnTo>
                <a:pt x="874916" y="855244"/>
              </a:lnTo>
              <a:lnTo>
                <a:pt x="872363" y="849848"/>
              </a:lnTo>
              <a:lnTo>
                <a:pt x="881071" y="834870"/>
              </a:lnTo>
              <a:lnTo>
                <a:pt x="892182" y="827576"/>
              </a:lnTo>
              <a:lnTo>
                <a:pt x="903192" y="808222"/>
              </a:lnTo>
              <a:lnTo>
                <a:pt x="910849" y="801269"/>
              </a:lnTo>
              <a:lnTo>
                <a:pt x="924963" y="798012"/>
              </a:lnTo>
              <a:lnTo>
                <a:pt x="925813" y="793975"/>
              </a:lnTo>
              <a:lnTo>
                <a:pt x="945632" y="803554"/>
              </a:lnTo>
              <a:lnTo>
                <a:pt x="951287" y="803117"/>
              </a:lnTo>
              <a:lnTo>
                <a:pt x="953039" y="798595"/>
              </a:lnTo>
              <a:lnTo>
                <a:pt x="967052" y="801999"/>
              </a:lnTo>
              <a:lnTo>
                <a:pt x="974108" y="810557"/>
              </a:lnTo>
              <a:lnTo>
                <a:pt x="990974" y="814203"/>
              </a:lnTo>
              <a:lnTo>
                <a:pt x="999932" y="809146"/>
              </a:lnTo>
              <a:lnTo>
                <a:pt x="1015747" y="821108"/>
              </a:lnTo>
              <a:lnTo>
                <a:pt x="1021052" y="820428"/>
              </a:lnTo>
              <a:lnTo>
                <a:pt x="1026257" y="829278"/>
              </a:lnTo>
              <a:lnTo>
                <a:pt x="1033364" y="830300"/>
              </a:lnTo>
              <a:lnTo>
                <a:pt x="1037367" y="819066"/>
              </a:lnTo>
              <a:lnTo>
                <a:pt x="1044624" y="818873"/>
              </a:lnTo>
              <a:lnTo>
                <a:pt x="1049329" y="810848"/>
              </a:lnTo>
              <a:lnTo>
                <a:pt x="1073851" y="826167"/>
              </a:lnTo>
              <a:lnTo>
                <a:pt x="1068396" y="832683"/>
              </a:lnTo>
              <a:lnTo>
                <a:pt x="1073751" y="832779"/>
              </a:lnTo>
              <a:lnTo>
                <a:pt x="1076354" y="837642"/>
              </a:lnTo>
              <a:lnTo>
                <a:pt x="1069848" y="850382"/>
              </a:lnTo>
              <a:lnTo>
                <a:pt x="1071699" y="858357"/>
              </a:lnTo>
              <a:lnTo>
                <a:pt x="1082559" y="865067"/>
              </a:lnTo>
              <a:lnTo>
                <a:pt x="1106282" y="864386"/>
              </a:lnTo>
              <a:lnTo>
                <a:pt x="1115640" y="882816"/>
              </a:lnTo>
              <a:lnTo>
                <a:pt x="1107583" y="897891"/>
              </a:lnTo>
              <a:lnTo>
                <a:pt x="1115540" y="911408"/>
              </a:lnTo>
              <a:lnTo>
                <a:pt x="1114289" y="920987"/>
              </a:lnTo>
              <a:lnTo>
                <a:pt x="1157980" y="912089"/>
              </a:lnTo>
              <a:lnTo>
                <a:pt x="1170642" y="917341"/>
              </a:lnTo>
              <a:lnTo>
                <a:pt x="1195715" y="918702"/>
              </a:lnTo>
              <a:lnTo>
                <a:pt x="1232800" y="913402"/>
              </a:lnTo>
              <a:lnTo>
                <a:pt x="1253069" y="905477"/>
              </a:lnTo>
              <a:lnTo>
                <a:pt x="1255671" y="892395"/>
              </a:lnTo>
              <a:lnTo>
                <a:pt x="1290453" y="854613"/>
              </a:lnTo>
              <a:lnTo>
                <a:pt x="1310572" y="853250"/>
              </a:lnTo>
              <a:lnTo>
                <a:pt x="1339900" y="839782"/>
              </a:lnTo>
              <a:lnTo>
                <a:pt x="1372430" y="821693"/>
              </a:lnTo>
              <a:lnTo>
                <a:pt x="1381438" y="803069"/>
              </a:lnTo>
              <a:lnTo>
                <a:pt x="1409314" y="790814"/>
              </a:lnTo>
              <a:lnTo>
                <a:pt x="1420225" y="788724"/>
              </a:lnTo>
              <a:lnTo>
                <a:pt x="1429533" y="797914"/>
              </a:lnTo>
              <a:lnTo>
                <a:pt x="1452805" y="795142"/>
              </a:lnTo>
              <a:lnTo>
                <a:pt x="1454657" y="803263"/>
              </a:lnTo>
              <a:lnTo>
                <a:pt x="1462814" y="805256"/>
              </a:lnTo>
              <a:lnTo>
                <a:pt x="1465066" y="801269"/>
              </a:lnTo>
              <a:lnTo>
                <a:pt x="1471022" y="809974"/>
              </a:lnTo>
              <a:lnTo>
                <a:pt x="1496245" y="826263"/>
              </a:lnTo>
              <a:lnTo>
                <a:pt x="1509458" y="828937"/>
              </a:lnTo>
              <a:lnTo>
                <a:pt x="1519617" y="839977"/>
              </a:lnTo>
              <a:lnTo>
                <a:pt x="1532279" y="826117"/>
              </a:lnTo>
              <a:lnTo>
                <a:pt x="1543089" y="826944"/>
              </a:lnTo>
              <a:lnTo>
                <a:pt x="1545241" y="814933"/>
              </a:lnTo>
              <a:lnTo>
                <a:pt x="1536533" y="809585"/>
              </a:lnTo>
              <a:lnTo>
                <a:pt x="1540086" y="794462"/>
              </a:lnTo>
              <a:lnTo>
                <a:pt x="1553799" y="785952"/>
              </a:lnTo>
              <a:lnTo>
                <a:pt x="1551097" y="780554"/>
              </a:lnTo>
              <a:lnTo>
                <a:pt x="1557953" y="766209"/>
              </a:lnTo>
              <a:lnTo>
                <a:pt x="1567412" y="768203"/>
              </a:lnTo>
              <a:lnTo>
                <a:pt x="1576771" y="786050"/>
              </a:lnTo>
              <a:lnTo>
                <a:pt x="1585429" y="782694"/>
              </a:lnTo>
              <a:lnTo>
                <a:pt x="1595638" y="798936"/>
              </a:lnTo>
              <a:lnTo>
                <a:pt x="1604246" y="803069"/>
              </a:lnTo>
              <a:lnTo>
                <a:pt x="1606698" y="797184"/>
              </a:lnTo>
              <a:lnTo>
                <a:pt x="1614606" y="793829"/>
              </a:lnTo>
              <a:lnTo>
                <a:pt x="1609902" y="783132"/>
              </a:lnTo>
              <a:lnTo>
                <a:pt x="1617408" y="780749"/>
              </a:lnTo>
              <a:lnTo>
                <a:pt x="1624565" y="805598"/>
              </a:lnTo>
              <a:lnTo>
                <a:pt x="1638378" y="799324"/>
              </a:lnTo>
              <a:lnTo>
                <a:pt x="1643783" y="800930"/>
              </a:lnTo>
              <a:lnTo>
                <a:pt x="1650790" y="795045"/>
              </a:lnTo>
              <a:lnTo>
                <a:pt x="1653092" y="784055"/>
              </a:lnTo>
              <a:lnTo>
                <a:pt x="1647687" y="771997"/>
              </a:lnTo>
              <a:lnTo>
                <a:pt x="1643783" y="771023"/>
              </a:lnTo>
              <a:lnTo>
                <a:pt x="1641231" y="754539"/>
              </a:lnTo>
              <a:lnTo>
                <a:pt x="1648488" y="747829"/>
              </a:lnTo>
              <a:lnTo>
                <a:pt x="1643633" y="727551"/>
              </a:lnTo>
              <a:lnTo>
                <a:pt x="1656795" y="723807"/>
              </a:lnTo>
              <a:lnTo>
                <a:pt x="1662200" y="742431"/>
              </a:lnTo>
              <a:lnTo>
                <a:pt x="1671959" y="739270"/>
              </a:lnTo>
              <a:lnTo>
                <a:pt x="1667505" y="734213"/>
              </a:lnTo>
              <a:lnTo>
                <a:pt x="1668156" y="725703"/>
              </a:lnTo>
              <a:lnTo>
                <a:pt x="1675262" y="720307"/>
              </a:lnTo>
              <a:lnTo>
                <a:pt x="1671008" y="708295"/>
              </a:lnTo>
              <a:lnTo>
                <a:pt x="1683420" y="703140"/>
              </a:lnTo>
              <a:lnTo>
                <a:pt x="1673561" y="660592"/>
              </a:lnTo>
              <a:lnTo>
                <a:pt x="1679717" y="636766"/>
              </a:lnTo>
              <a:lnTo>
                <a:pt x="1672660" y="613181"/>
              </a:lnTo>
              <a:lnTo>
                <a:pt x="1666654" y="564603"/>
              </a:lnTo>
              <a:lnTo>
                <a:pt x="1670758" y="558282"/>
              </a:lnTo>
              <a:lnTo>
                <a:pt x="1657696" y="547486"/>
              </a:lnTo>
              <a:lnTo>
                <a:pt x="1658447" y="536448"/>
              </a:lnTo>
              <a:lnTo>
                <a:pt x="1641881" y="517824"/>
              </a:lnTo>
              <a:lnTo>
                <a:pt x="1645234" y="503869"/>
              </a:lnTo>
              <a:lnTo>
                <a:pt x="1655744" y="512378"/>
              </a:lnTo>
              <a:lnTo>
                <a:pt x="1665003" y="500464"/>
              </a:lnTo>
              <a:lnTo>
                <a:pt x="1643233" y="479799"/>
              </a:lnTo>
              <a:lnTo>
                <a:pt x="1626617" y="456799"/>
              </a:lnTo>
              <a:lnTo>
                <a:pt x="1628269" y="440021"/>
              </a:lnTo>
              <a:lnTo>
                <a:pt x="1610702" y="418237"/>
              </a:lnTo>
              <a:lnTo>
                <a:pt x="1610702" y="407879"/>
              </a:lnTo>
              <a:lnTo>
                <a:pt x="1576320" y="390666"/>
              </a:lnTo>
              <a:lnTo>
                <a:pt x="1552498" y="389742"/>
              </a:lnTo>
              <a:lnTo>
                <a:pt x="1548144" y="384344"/>
              </a:lnTo>
              <a:lnTo>
                <a:pt x="1540787" y="386581"/>
              </a:lnTo>
              <a:lnTo>
                <a:pt x="1538885" y="391347"/>
              </a:lnTo>
              <a:lnTo>
                <a:pt x="1543239" y="392562"/>
              </a:lnTo>
              <a:lnTo>
                <a:pt x="1539386" y="398398"/>
              </a:lnTo>
              <a:lnTo>
                <a:pt x="1543189" y="399711"/>
              </a:lnTo>
              <a:lnTo>
                <a:pt x="1546192" y="409777"/>
              </a:lnTo>
              <a:lnTo>
                <a:pt x="1541838" y="414542"/>
              </a:lnTo>
              <a:lnTo>
                <a:pt x="1536033" y="412451"/>
              </a:lnTo>
              <a:lnTo>
                <a:pt x="1533130" y="423246"/>
              </a:lnTo>
              <a:lnTo>
                <a:pt x="1536733" y="433409"/>
              </a:lnTo>
              <a:lnTo>
                <a:pt x="1529527" y="430296"/>
              </a:lnTo>
              <a:lnTo>
                <a:pt x="1530678" y="434625"/>
              </a:lnTo>
              <a:lnTo>
                <a:pt x="1525473" y="437591"/>
              </a:lnTo>
              <a:lnTo>
                <a:pt x="1512210" y="434236"/>
              </a:lnTo>
              <a:lnTo>
                <a:pt x="1501000" y="444106"/>
              </a:lnTo>
              <a:lnTo>
                <a:pt x="1489139" y="439487"/>
              </a:lnTo>
              <a:lnTo>
                <a:pt x="1496295" y="450866"/>
              </a:lnTo>
              <a:lnTo>
                <a:pt x="1492642" y="458062"/>
              </a:lnTo>
              <a:lnTo>
                <a:pt x="1498698" y="467496"/>
              </a:lnTo>
              <a:lnTo>
                <a:pt x="1493693" y="471775"/>
              </a:lnTo>
              <a:lnTo>
                <a:pt x="1468520" y="462780"/>
              </a:lnTo>
              <a:lnTo>
                <a:pt x="1462064" y="448435"/>
              </a:lnTo>
              <a:lnTo>
                <a:pt x="1445748" y="449942"/>
              </a:lnTo>
              <a:lnTo>
                <a:pt x="1444898" y="462245"/>
              </a:lnTo>
              <a:lnTo>
                <a:pt x="1450903" y="469685"/>
              </a:lnTo>
              <a:lnTo>
                <a:pt x="1447300" y="479118"/>
              </a:lnTo>
              <a:lnTo>
                <a:pt x="1443146" y="478729"/>
              </a:lnTo>
              <a:lnTo>
                <a:pt x="1442495" y="470754"/>
              </a:lnTo>
              <a:lnTo>
                <a:pt x="1429083" y="458306"/>
              </a:lnTo>
              <a:lnTo>
                <a:pt x="1422226" y="458258"/>
              </a:lnTo>
              <a:lnTo>
                <a:pt x="1416121" y="471144"/>
              </a:lnTo>
              <a:lnTo>
                <a:pt x="1412517" y="464773"/>
              </a:lnTo>
              <a:lnTo>
                <a:pt x="1400706" y="461564"/>
              </a:lnTo>
              <a:lnTo>
                <a:pt x="1390747" y="464628"/>
              </a:lnTo>
              <a:lnTo>
                <a:pt x="1378486" y="444641"/>
              </a:lnTo>
              <a:lnTo>
                <a:pt x="1386093" y="440021"/>
              </a:lnTo>
              <a:lnTo>
                <a:pt x="1383390" y="437493"/>
              </a:lnTo>
              <a:lnTo>
                <a:pt x="1384942" y="425628"/>
              </a:lnTo>
              <a:lnTo>
                <a:pt x="1374782" y="426504"/>
              </a:lnTo>
              <a:lnTo>
                <a:pt x="1368777" y="409971"/>
              </a:lnTo>
              <a:lnTo>
                <a:pt x="1355614" y="413910"/>
              </a:lnTo>
              <a:lnTo>
                <a:pt x="1357016" y="409825"/>
              </a:lnTo>
              <a:lnTo>
                <a:pt x="1370428" y="407344"/>
              </a:lnTo>
              <a:lnTo>
                <a:pt x="1366925" y="402628"/>
              </a:lnTo>
              <a:lnTo>
                <a:pt x="1342052" y="400828"/>
              </a:lnTo>
              <a:lnTo>
                <a:pt x="1317829" y="375980"/>
              </a:lnTo>
              <a:lnTo>
                <a:pt x="1305568" y="385755"/>
              </a:lnTo>
              <a:lnTo>
                <a:pt x="1300012" y="383616"/>
              </a:lnTo>
              <a:lnTo>
                <a:pt x="1298111" y="390325"/>
              </a:lnTo>
              <a:lnTo>
                <a:pt x="1283897" y="391152"/>
              </a:lnTo>
              <a:lnTo>
                <a:pt x="1279093" y="399078"/>
              </a:lnTo>
              <a:lnTo>
                <a:pt x="1264679" y="394167"/>
              </a:lnTo>
              <a:lnTo>
                <a:pt x="1256672" y="395967"/>
              </a:lnTo>
              <a:lnTo>
                <a:pt x="1253319" y="387942"/>
              </a:lnTo>
              <a:lnTo>
                <a:pt x="1245311" y="385170"/>
              </a:lnTo>
              <a:lnTo>
                <a:pt x="1228646" y="395043"/>
              </a:lnTo>
              <a:lnTo>
                <a:pt x="1224292" y="387310"/>
              </a:lnTo>
              <a:lnTo>
                <a:pt x="1217986" y="390277"/>
              </a:lnTo>
              <a:lnTo>
                <a:pt x="1206125" y="377050"/>
              </a:lnTo>
              <a:lnTo>
                <a:pt x="1192312" y="380552"/>
              </a:lnTo>
              <a:lnTo>
                <a:pt x="1188258" y="369806"/>
              </a:lnTo>
              <a:lnTo>
                <a:pt x="1175847" y="373598"/>
              </a:lnTo>
              <a:lnTo>
                <a:pt x="1161183" y="367131"/>
              </a:lnTo>
              <a:lnTo>
                <a:pt x="1156979" y="371410"/>
              </a:lnTo>
              <a:lnTo>
                <a:pt x="1134308" y="367179"/>
              </a:lnTo>
              <a:lnTo>
                <a:pt x="1126150" y="371410"/>
              </a:lnTo>
              <a:lnTo>
                <a:pt x="1121546" y="368151"/>
              </a:lnTo>
              <a:lnTo>
                <a:pt x="1122096" y="357357"/>
              </a:lnTo>
              <a:lnTo>
                <a:pt x="1117242" y="355461"/>
              </a:lnTo>
              <a:lnTo>
                <a:pt x="1101827" y="361781"/>
              </a:lnTo>
              <a:lnTo>
                <a:pt x="1092369" y="349430"/>
              </a:lnTo>
              <a:lnTo>
                <a:pt x="1071549" y="340775"/>
              </a:lnTo>
              <a:lnTo>
                <a:pt x="1067696" y="334696"/>
              </a:lnTo>
              <a:lnTo>
                <a:pt x="1059588" y="338003"/>
              </a:lnTo>
              <a:lnTo>
                <a:pt x="1042572" y="330661"/>
              </a:lnTo>
              <a:lnTo>
                <a:pt x="1036166" y="337420"/>
              </a:lnTo>
              <a:lnTo>
                <a:pt x="1018300" y="332752"/>
              </a:lnTo>
              <a:lnTo>
                <a:pt x="1016197" y="336350"/>
              </a:lnTo>
              <a:lnTo>
                <a:pt x="1014646" y="332752"/>
              </a:lnTo>
              <a:lnTo>
                <a:pt x="1000133" y="331244"/>
              </a:lnTo>
              <a:lnTo>
                <a:pt x="982766" y="318699"/>
              </a:lnTo>
              <a:lnTo>
                <a:pt x="972407" y="317288"/>
              </a:lnTo>
              <a:lnTo>
                <a:pt x="962948" y="303236"/>
              </a:lnTo>
              <a:lnTo>
                <a:pt x="951637" y="299636"/>
              </a:lnTo>
              <a:lnTo>
                <a:pt x="943780" y="290592"/>
              </a:lnTo>
              <a:lnTo>
                <a:pt x="943580" y="277512"/>
              </a:lnTo>
              <a:lnTo>
                <a:pt x="934972" y="270607"/>
              </a:lnTo>
              <a:lnTo>
                <a:pt x="938225" y="266424"/>
              </a:lnTo>
              <a:lnTo>
                <a:pt x="926264" y="260152"/>
              </a:lnTo>
              <a:lnTo>
                <a:pt x="913252" y="242111"/>
              </a:lnTo>
              <a:lnTo>
                <a:pt x="928015" y="230344"/>
              </a:lnTo>
              <a:lnTo>
                <a:pt x="932069" y="215075"/>
              </a:lnTo>
              <a:lnTo>
                <a:pt x="926614" y="208025"/>
              </a:lnTo>
              <a:lnTo>
                <a:pt x="926564" y="185121"/>
              </a:lnTo>
              <a:lnTo>
                <a:pt x="920608" y="181960"/>
              </a:lnTo>
              <a:lnTo>
                <a:pt x="921159" y="174909"/>
              </a:lnTo>
              <a:lnTo>
                <a:pt x="932169" y="167130"/>
              </a:lnTo>
              <a:lnTo>
                <a:pt x="925663" y="156140"/>
              </a:lnTo>
              <a:lnTo>
                <a:pt x="908697" y="158766"/>
              </a:lnTo>
              <a:lnTo>
                <a:pt x="909848" y="138001"/>
              </a:lnTo>
              <a:lnTo>
                <a:pt x="898237" y="126137"/>
              </a:lnTo>
              <a:lnTo>
                <a:pt x="904844" y="120934"/>
              </a:lnTo>
              <a:lnTo>
                <a:pt x="902041" y="112472"/>
              </a:lnTo>
              <a:lnTo>
                <a:pt x="923811" y="100365"/>
              </a:lnTo>
              <a:lnTo>
                <a:pt x="918507" y="94140"/>
              </a:lnTo>
              <a:lnTo>
                <a:pt x="923861" y="88646"/>
              </a:lnTo>
              <a:lnTo>
                <a:pt x="920659" y="83832"/>
              </a:lnTo>
              <a:lnTo>
                <a:pt x="926814" y="63798"/>
              </a:lnTo>
              <a:lnTo>
                <a:pt x="906395" y="62922"/>
              </a:lnTo>
              <a:lnTo>
                <a:pt x="896436" y="56845"/>
              </a:lnTo>
              <a:lnTo>
                <a:pt x="894534" y="46875"/>
              </a:lnTo>
              <a:lnTo>
                <a:pt x="910849" y="44735"/>
              </a:lnTo>
              <a:lnTo>
                <a:pt x="917606" y="39387"/>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29136</xdr:colOff>
      <xdr:row>98</xdr:row>
      <xdr:rowOff>55102</xdr:rowOff>
    </xdr:from>
    <xdr:to>
      <xdr:col>4</xdr:col>
      <xdr:colOff>496223</xdr:colOff>
      <xdr:row>101</xdr:row>
      <xdr:rowOff>88962</xdr:rowOff>
    </xdr:to>
    <xdr:sp macro="MapShapeClick" textlink="">
      <xdr:nvSpPr>
        <xdr:cNvPr id="52" name="陕西省">
          <a:extLst>
            <a:ext uri="{FF2B5EF4-FFF2-40B4-BE49-F238E27FC236}">
              <a16:creationId xmlns:a16="http://schemas.microsoft.com/office/drawing/2014/main" id="{F3D7547A-55AA-FB55-B7B1-F6811A428802}"/>
            </a:ext>
          </a:extLst>
        </xdr:cNvPr>
        <xdr:cNvSpPr/>
      </xdr:nvSpPr>
      <xdr:spPr>
        <a:xfrm>
          <a:off x="3183816" y="18381202"/>
          <a:ext cx="467087" cy="788240"/>
        </a:xfrm>
        <a:custGeom>
          <a:avLst/>
          <a:gdLst/>
          <a:ahLst/>
          <a:cxnLst/>
          <a:rect l="0" t="0" r="0" b="0"/>
          <a:pathLst>
            <a:path w="467087" h="788240">
              <a:moveTo>
                <a:pt x="396520" y="508295"/>
              </a:moveTo>
              <a:lnTo>
                <a:pt x="389714" y="507273"/>
              </a:lnTo>
              <a:lnTo>
                <a:pt x="384359" y="499202"/>
              </a:lnTo>
              <a:lnTo>
                <a:pt x="384459" y="480577"/>
              </a:lnTo>
              <a:lnTo>
                <a:pt x="396070" y="455437"/>
              </a:lnTo>
              <a:lnTo>
                <a:pt x="396170" y="443767"/>
              </a:lnTo>
              <a:lnTo>
                <a:pt x="415238" y="405839"/>
              </a:lnTo>
              <a:lnTo>
                <a:pt x="402025" y="352447"/>
              </a:lnTo>
              <a:lnTo>
                <a:pt x="406079" y="310287"/>
              </a:lnTo>
              <a:lnTo>
                <a:pt x="397771" y="300707"/>
              </a:lnTo>
              <a:lnTo>
                <a:pt x="402025" y="294532"/>
              </a:lnTo>
              <a:lnTo>
                <a:pt x="398822" y="290641"/>
              </a:lnTo>
              <a:lnTo>
                <a:pt x="400173" y="282570"/>
              </a:lnTo>
              <a:lnTo>
                <a:pt x="396270" y="279847"/>
              </a:lnTo>
              <a:lnTo>
                <a:pt x="400173" y="271580"/>
              </a:lnTo>
              <a:lnTo>
                <a:pt x="396820" y="265647"/>
              </a:lnTo>
              <a:lnTo>
                <a:pt x="400374" y="267010"/>
              </a:lnTo>
              <a:lnTo>
                <a:pt x="421794" y="238612"/>
              </a:lnTo>
              <a:lnTo>
                <a:pt x="422194" y="232242"/>
              </a:lnTo>
              <a:lnTo>
                <a:pt x="416939" y="229859"/>
              </a:lnTo>
              <a:lnTo>
                <a:pt x="418040" y="223489"/>
              </a:lnTo>
              <a:lnTo>
                <a:pt x="425847" y="222030"/>
              </a:lnTo>
              <a:lnTo>
                <a:pt x="430302" y="210846"/>
              </a:lnTo>
              <a:lnTo>
                <a:pt x="428700" y="198300"/>
              </a:lnTo>
              <a:lnTo>
                <a:pt x="423095" y="195771"/>
              </a:lnTo>
              <a:lnTo>
                <a:pt x="425497" y="189109"/>
              </a:lnTo>
              <a:lnTo>
                <a:pt x="408181" y="170097"/>
              </a:lnTo>
              <a:lnTo>
                <a:pt x="407080" y="145638"/>
              </a:lnTo>
              <a:lnTo>
                <a:pt x="411684" y="143255"/>
              </a:lnTo>
              <a:lnTo>
                <a:pt x="412635" y="134745"/>
              </a:lnTo>
              <a:lnTo>
                <a:pt x="426398" y="127597"/>
              </a:lnTo>
              <a:lnTo>
                <a:pt x="428900" y="119866"/>
              </a:lnTo>
              <a:lnTo>
                <a:pt x="436758" y="118553"/>
              </a:lnTo>
              <a:lnTo>
                <a:pt x="440461" y="105229"/>
              </a:lnTo>
              <a:lnTo>
                <a:pt x="437258" y="100560"/>
              </a:lnTo>
              <a:lnTo>
                <a:pt x="447718" y="77560"/>
              </a:lnTo>
              <a:lnTo>
                <a:pt x="445366" y="64771"/>
              </a:lnTo>
              <a:lnTo>
                <a:pt x="458178" y="54901"/>
              </a:lnTo>
              <a:lnTo>
                <a:pt x="467086" y="29955"/>
              </a:lnTo>
              <a:lnTo>
                <a:pt x="452172" y="19597"/>
              </a:lnTo>
              <a:lnTo>
                <a:pt x="451722" y="14686"/>
              </a:lnTo>
              <a:lnTo>
                <a:pt x="459028" y="5885"/>
              </a:lnTo>
              <a:lnTo>
                <a:pt x="458078" y="0"/>
              </a:lnTo>
              <a:lnTo>
                <a:pt x="436357" y="9775"/>
              </a:lnTo>
              <a:lnTo>
                <a:pt x="422794" y="32970"/>
              </a:lnTo>
              <a:lnTo>
                <a:pt x="414186" y="31997"/>
              </a:lnTo>
              <a:lnTo>
                <a:pt x="408281" y="21493"/>
              </a:lnTo>
              <a:lnTo>
                <a:pt x="401024" y="21689"/>
              </a:lnTo>
              <a:lnTo>
                <a:pt x="397020" y="29129"/>
              </a:lnTo>
              <a:lnTo>
                <a:pt x="378103" y="14005"/>
              </a:lnTo>
              <a:lnTo>
                <a:pt x="376802" y="20569"/>
              </a:lnTo>
              <a:lnTo>
                <a:pt x="383408" y="32192"/>
              </a:lnTo>
              <a:lnTo>
                <a:pt x="362638" y="39436"/>
              </a:lnTo>
              <a:lnTo>
                <a:pt x="357784" y="33164"/>
              </a:lnTo>
              <a:lnTo>
                <a:pt x="355282" y="36130"/>
              </a:lnTo>
              <a:lnTo>
                <a:pt x="362538" y="41576"/>
              </a:lnTo>
              <a:lnTo>
                <a:pt x="357083" y="46876"/>
              </a:lnTo>
              <a:lnTo>
                <a:pt x="359386" y="50426"/>
              </a:lnTo>
              <a:lnTo>
                <a:pt x="353630" y="48772"/>
              </a:lnTo>
              <a:lnTo>
                <a:pt x="346373" y="55629"/>
              </a:lnTo>
              <a:lnTo>
                <a:pt x="338516" y="63556"/>
              </a:lnTo>
              <a:lnTo>
                <a:pt x="335163" y="76831"/>
              </a:lnTo>
              <a:lnTo>
                <a:pt x="329107" y="81936"/>
              </a:lnTo>
              <a:lnTo>
                <a:pt x="326004" y="79018"/>
              </a:lnTo>
              <a:lnTo>
                <a:pt x="311991" y="92780"/>
              </a:lnTo>
              <a:lnTo>
                <a:pt x="314293" y="100464"/>
              </a:lnTo>
              <a:lnTo>
                <a:pt x="306936" y="100949"/>
              </a:lnTo>
              <a:lnTo>
                <a:pt x="288870" y="120594"/>
              </a:lnTo>
              <a:lnTo>
                <a:pt x="279461" y="144033"/>
              </a:lnTo>
              <a:lnTo>
                <a:pt x="290071" y="156043"/>
              </a:lnTo>
              <a:lnTo>
                <a:pt x="290121" y="163094"/>
              </a:lnTo>
              <a:lnTo>
                <a:pt x="279161" y="173451"/>
              </a:lnTo>
              <a:lnTo>
                <a:pt x="274957" y="164018"/>
              </a:lnTo>
              <a:lnTo>
                <a:pt x="268000" y="160517"/>
              </a:lnTo>
              <a:lnTo>
                <a:pt x="270402" y="166596"/>
              </a:lnTo>
              <a:lnTo>
                <a:pt x="266399" y="198008"/>
              </a:lnTo>
              <a:lnTo>
                <a:pt x="223209" y="199856"/>
              </a:lnTo>
              <a:lnTo>
                <a:pt x="214100" y="204330"/>
              </a:lnTo>
              <a:lnTo>
                <a:pt x="205241" y="201509"/>
              </a:lnTo>
              <a:lnTo>
                <a:pt x="201738" y="187359"/>
              </a:lnTo>
              <a:lnTo>
                <a:pt x="177566" y="176954"/>
              </a:lnTo>
              <a:lnTo>
                <a:pt x="172361" y="188527"/>
              </a:lnTo>
              <a:lnTo>
                <a:pt x="162502" y="189596"/>
              </a:lnTo>
              <a:lnTo>
                <a:pt x="161351" y="195673"/>
              </a:lnTo>
              <a:lnTo>
                <a:pt x="153393" y="197230"/>
              </a:lnTo>
              <a:lnTo>
                <a:pt x="156246" y="199904"/>
              </a:lnTo>
              <a:lnTo>
                <a:pt x="147238" y="205594"/>
              </a:lnTo>
              <a:lnTo>
                <a:pt x="151942" y="207879"/>
              </a:lnTo>
              <a:lnTo>
                <a:pt x="145035" y="218723"/>
              </a:lnTo>
              <a:lnTo>
                <a:pt x="142883" y="233505"/>
              </a:lnTo>
              <a:lnTo>
                <a:pt x="147087" y="243523"/>
              </a:lnTo>
              <a:lnTo>
                <a:pt x="143934" y="244543"/>
              </a:lnTo>
              <a:lnTo>
                <a:pt x="149289" y="251011"/>
              </a:lnTo>
              <a:lnTo>
                <a:pt x="143784" y="257770"/>
              </a:lnTo>
              <a:lnTo>
                <a:pt x="147137" y="276783"/>
              </a:lnTo>
              <a:lnTo>
                <a:pt x="160800" y="277220"/>
              </a:lnTo>
              <a:lnTo>
                <a:pt x="165855" y="285293"/>
              </a:lnTo>
              <a:lnTo>
                <a:pt x="176415" y="284856"/>
              </a:lnTo>
              <a:lnTo>
                <a:pt x="195683" y="293267"/>
              </a:lnTo>
              <a:lnTo>
                <a:pt x="198235" y="302847"/>
              </a:lnTo>
              <a:lnTo>
                <a:pt x="203740" y="300027"/>
              </a:lnTo>
              <a:lnTo>
                <a:pt x="208144" y="309266"/>
              </a:lnTo>
              <a:lnTo>
                <a:pt x="216502" y="312134"/>
              </a:lnTo>
              <a:lnTo>
                <a:pt x="221307" y="305327"/>
              </a:lnTo>
              <a:lnTo>
                <a:pt x="220306" y="310773"/>
              </a:lnTo>
              <a:lnTo>
                <a:pt x="230865" y="312621"/>
              </a:lnTo>
              <a:lnTo>
                <a:pt x="240625" y="326383"/>
              </a:lnTo>
              <a:lnTo>
                <a:pt x="244679" y="321179"/>
              </a:lnTo>
              <a:lnTo>
                <a:pt x="256139" y="330225"/>
              </a:lnTo>
              <a:lnTo>
                <a:pt x="255689" y="343402"/>
              </a:lnTo>
              <a:lnTo>
                <a:pt x="261094" y="355023"/>
              </a:lnTo>
              <a:lnTo>
                <a:pt x="259142" y="366840"/>
              </a:lnTo>
              <a:lnTo>
                <a:pt x="256189" y="374182"/>
              </a:lnTo>
              <a:lnTo>
                <a:pt x="243777" y="381769"/>
              </a:lnTo>
              <a:lnTo>
                <a:pt x="247031" y="408465"/>
              </a:lnTo>
              <a:lnTo>
                <a:pt x="254037" y="415320"/>
              </a:lnTo>
              <a:lnTo>
                <a:pt x="253136" y="436084"/>
              </a:lnTo>
              <a:lnTo>
                <a:pt x="242927" y="441434"/>
              </a:lnTo>
              <a:lnTo>
                <a:pt x="231266" y="438905"/>
              </a:lnTo>
              <a:lnTo>
                <a:pt x="222658" y="443330"/>
              </a:lnTo>
              <a:lnTo>
                <a:pt x="217403" y="438466"/>
              </a:lnTo>
              <a:lnTo>
                <a:pt x="199136" y="444399"/>
              </a:lnTo>
              <a:lnTo>
                <a:pt x="182520" y="437786"/>
              </a:lnTo>
              <a:lnTo>
                <a:pt x="181870" y="442212"/>
              </a:lnTo>
              <a:lnTo>
                <a:pt x="174963" y="444447"/>
              </a:lnTo>
              <a:lnTo>
                <a:pt x="192079" y="468858"/>
              </a:lnTo>
              <a:lnTo>
                <a:pt x="173862" y="475180"/>
              </a:lnTo>
              <a:lnTo>
                <a:pt x="167807" y="471874"/>
              </a:lnTo>
              <a:lnTo>
                <a:pt x="164504" y="477709"/>
              </a:lnTo>
              <a:lnTo>
                <a:pt x="145235" y="475520"/>
              </a:lnTo>
              <a:lnTo>
                <a:pt x="142483" y="480577"/>
              </a:lnTo>
              <a:lnTo>
                <a:pt x="131673" y="473722"/>
              </a:lnTo>
              <a:lnTo>
                <a:pt x="128670" y="466379"/>
              </a:lnTo>
              <a:lnTo>
                <a:pt x="113956" y="459377"/>
              </a:lnTo>
              <a:lnTo>
                <a:pt x="84729" y="460446"/>
              </a:lnTo>
              <a:lnTo>
                <a:pt x="80075" y="470367"/>
              </a:lnTo>
              <a:lnTo>
                <a:pt x="87432" y="491567"/>
              </a:lnTo>
              <a:lnTo>
                <a:pt x="77823" y="498083"/>
              </a:lnTo>
              <a:lnTo>
                <a:pt x="78974" y="504988"/>
              </a:lnTo>
              <a:lnTo>
                <a:pt x="66212" y="510434"/>
              </a:lnTo>
              <a:lnTo>
                <a:pt x="67863" y="516465"/>
              </a:lnTo>
              <a:lnTo>
                <a:pt x="82477" y="517048"/>
              </a:lnTo>
              <a:lnTo>
                <a:pt x="98993" y="531101"/>
              </a:lnTo>
              <a:lnTo>
                <a:pt x="93738" y="543452"/>
              </a:lnTo>
              <a:lnTo>
                <a:pt x="83478" y="538687"/>
              </a:lnTo>
              <a:lnTo>
                <a:pt x="81026" y="543987"/>
              </a:lnTo>
              <a:lnTo>
                <a:pt x="86031" y="544813"/>
              </a:lnTo>
              <a:lnTo>
                <a:pt x="88232" y="552690"/>
              </a:lnTo>
              <a:lnTo>
                <a:pt x="81476" y="557067"/>
              </a:lnTo>
              <a:lnTo>
                <a:pt x="79224" y="570246"/>
              </a:lnTo>
              <a:lnTo>
                <a:pt x="74069" y="576275"/>
              </a:lnTo>
              <a:lnTo>
                <a:pt x="75471" y="580456"/>
              </a:lnTo>
              <a:lnTo>
                <a:pt x="79324" y="579532"/>
              </a:lnTo>
              <a:lnTo>
                <a:pt x="79925" y="596018"/>
              </a:lnTo>
              <a:lnTo>
                <a:pt x="84129" y="597184"/>
              </a:lnTo>
              <a:lnTo>
                <a:pt x="87882" y="608806"/>
              </a:lnTo>
              <a:lnTo>
                <a:pt x="84579" y="614981"/>
              </a:lnTo>
              <a:lnTo>
                <a:pt x="77823" y="613037"/>
              </a:lnTo>
              <a:lnTo>
                <a:pt x="77022" y="605208"/>
              </a:lnTo>
              <a:lnTo>
                <a:pt x="55902" y="611674"/>
              </a:lnTo>
              <a:lnTo>
                <a:pt x="47745" y="604819"/>
              </a:lnTo>
              <a:lnTo>
                <a:pt x="38386" y="605208"/>
              </a:lnTo>
              <a:lnTo>
                <a:pt x="27876" y="617218"/>
              </a:lnTo>
              <a:lnTo>
                <a:pt x="26675" y="627917"/>
              </a:lnTo>
              <a:lnTo>
                <a:pt x="17116" y="627625"/>
              </a:lnTo>
              <a:lnTo>
                <a:pt x="24373" y="639733"/>
              </a:lnTo>
              <a:lnTo>
                <a:pt x="37885" y="644984"/>
              </a:lnTo>
              <a:lnTo>
                <a:pt x="38136" y="649847"/>
              </a:lnTo>
              <a:lnTo>
                <a:pt x="32330" y="650576"/>
              </a:lnTo>
              <a:lnTo>
                <a:pt x="35383" y="653932"/>
              </a:lnTo>
              <a:lnTo>
                <a:pt x="33982" y="665408"/>
              </a:lnTo>
              <a:lnTo>
                <a:pt x="11311" y="676494"/>
              </a:lnTo>
              <a:lnTo>
                <a:pt x="0" y="673334"/>
              </a:lnTo>
              <a:lnTo>
                <a:pt x="7908" y="693903"/>
              </a:lnTo>
              <a:lnTo>
                <a:pt x="26275" y="687046"/>
              </a:lnTo>
              <a:lnTo>
                <a:pt x="26475" y="681794"/>
              </a:lnTo>
              <a:lnTo>
                <a:pt x="44291" y="677904"/>
              </a:lnTo>
              <a:lnTo>
                <a:pt x="50447" y="691910"/>
              </a:lnTo>
              <a:lnTo>
                <a:pt x="74920" y="701878"/>
              </a:lnTo>
              <a:lnTo>
                <a:pt x="100294" y="690012"/>
              </a:lnTo>
              <a:lnTo>
                <a:pt x="127369" y="692979"/>
              </a:lnTo>
              <a:lnTo>
                <a:pt x="130722" y="703385"/>
              </a:lnTo>
              <a:lnTo>
                <a:pt x="128470" y="709025"/>
              </a:lnTo>
              <a:lnTo>
                <a:pt x="143384" y="722446"/>
              </a:lnTo>
              <a:lnTo>
                <a:pt x="152993" y="709220"/>
              </a:lnTo>
              <a:lnTo>
                <a:pt x="157397" y="710242"/>
              </a:lnTo>
              <a:lnTo>
                <a:pt x="159049" y="721037"/>
              </a:lnTo>
              <a:lnTo>
                <a:pt x="177266" y="723030"/>
              </a:lnTo>
              <a:lnTo>
                <a:pt x="179467" y="729303"/>
              </a:lnTo>
              <a:lnTo>
                <a:pt x="183171" y="728670"/>
              </a:lnTo>
              <a:lnTo>
                <a:pt x="192179" y="741849"/>
              </a:lnTo>
              <a:lnTo>
                <a:pt x="201538" y="747148"/>
              </a:lnTo>
              <a:lnTo>
                <a:pt x="204691" y="740828"/>
              </a:lnTo>
              <a:lnTo>
                <a:pt x="217804" y="739904"/>
              </a:lnTo>
              <a:lnTo>
                <a:pt x="222758" y="734797"/>
              </a:lnTo>
              <a:lnTo>
                <a:pt x="228463" y="738882"/>
              </a:lnTo>
              <a:lnTo>
                <a:pt x="241375" y="735186"/>
              </a:lnTo>
              <a:lnTo>
                <a:pt x="258191" y="751283"/>
              </a:lnTo>
              <a:lnTo>
                <a:pt x="291422" y="767913"/>
              </a:lnTo>
              <a:lnTo>
                <a:pt x="300330" y="778610"/>
              </a:lnTo>
              <a:lnTo>
                <a:pt x="306886" y="780360"/>
              </a:lnTo>
              <a:lnTo>
                <a:pt x="307337" y="788239"/>
              </a:lnTo>
              <a:lnTo>
                <a:pt x="332060" y="787315"/>
              </a:lnTo>
              <a:lnTo>
                <a:pt x="335964" y="779875"/>
              </a:lnTo>
              <a:lnTo>
                <a:pt x="331960" y="770685"/>
              </a:lnTo>
              <a:lnTo>
                <a:pt x="335763" y="764752"/>
              </a:lnTo>
              <a:lnTo>
                <a:pt x="332460" y="759938"/>
              </a:lnTo>
              <a:lnTo>
                <a:pt x="334963" y="750942"/>
              </a:lnTo>
              <a:lnTo>
                <a:pt x="332610" y="740098"/>
              </a:lnTo>
              <a:lnTo>
                <a:pt x="324703" y="732318"/>
              </a:lnTo>
              <a:lnTo>
                <a:pt x="335763" y="703483"/>
              </a:lnTo>
              <a:lnTo>
                <a:pt x="358434" y="704163"/>
              </a:lnTo>
              <a:lnTo>
                <a:pt x="367143" y="708588"/>
              </a:lnTo>
              <a:lnTo>
                <a:pt x="373048" y="701829"/>
              </a:lnTo>
              <a:lnTo>
                <a:pt x="378203" y="704114"/>
              </a:lnTo>
              <a:lnTo>
                <a:pt x="382457" y="700274"/>
              </a:lnTo>
              <a:lnTo>
                <a:pt x="374249" y="681017"/>
              </a:lnTo>
              <a:lnTo>
                <a:pt x="358184" y="674112"/>
              </a:lnTo>
              <a:lnTo>
                <a:pt x="348625" y="676202"/>
              </a:lnTo>
              <a:lnTo>
                <a:pt x="349026" y="658309"/>
              </a:lnTo>
              <a:lnTo>
                <a:pt x="320099" y="650041"/>
              </a:lnTo>
              <a:lnTo>
                <a:pt x="326255" y="641727"/>
              </a:lnTo>
              <a:lnTo>
                <a:pt x="333762" y="641921"/>
              </a:lnTo>
              <a:lnTo>
                <a:pt x="334813" y="638079"/>
              </a:lnTo>
              <a:lnTo>
                <a:pt x="393167" y="649263"/>
              </a:lnTo>
              <a:lnTo>
                <a:pt x="403977" y="648193"/>
              </a:lnTo>
              <a:lnTo>
                <a:pt x="409682" y="640025"/>
              </a:lnTo>
              <a:lnTo>
                <a:pt x="422794" y="655391"/>
              </a:lnTo>
              <a:lnTo>
                <a:pt x="432704" y="649458"/>
              </a:lnTo>
              <a:lnTo>
                <a:pt x="433054" y="645275"/>
              </a:lnTo>
              <a:lnTo>
                <a:pt x="440611" y="645034"/>
              </a:lnTo>
              <a:lnTo>
                <a:pt x="449069" y="632730"/>
              </a:lnTo>
              <a:lnTo>
                <a:pt x="447267" y="608563"/>
              </a:lnTo>
              <a:lnTo>
                <a:pt x="432654" y="598108"/>
              </a:lnTo>
              <a:lnTo>
                <a:pt x="429251" y="587313"/>
              </a:lnTo>
              <a:lnTo>
                <a:pt x="413436" y="578366"/>
              </a:lnTo>
              <a:lnTo>
                <a:pt x="419792" y="573455"/>
              </a:lnTo>
              <a:lnTo>
                <a:pt x="416138" y="563876"/>
              </a:lnTo>
              <a:lnTo>
                <a:pt x="413436" y="565091"/>
              </a:lnTo>
              <a:lnTo>
                <a:pt x="417890" y="551573"/>
              </a:lnTo>
              <a:lnTo>
                <a:pt x="401425" y="543500"/>
              </a:lnTo>
              <a:lnTo>
                <a:pt x="400524" y="539076"/>
              </a:lnTo>
              <a:lnTo>
                <a:pt x="406630" y="534262"/>
              </a:lnTo>
              <a:lnTo>
                <a:pt x="398472" y="524779"/>
              </a:lnTo>
              <a:lnTo>
                <a:pt x="395019" y="516561"/>
              </a:lnTo>
              <a:lnTo>
                <a:pt x="398572" y="512525"/>
              </a:lnTo>
              <a:lnTo>
                <a:pt x="395519" y="511649"/>
              </a:lnTo>
            </a:path>
          </a:pathLst>
        </a:custGeom>
        <a:solidFill>
          <a:srgbClr val="DEEBF7"/>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2</xdr:col>
      <xdr:colOff>605759</xdr:colOff>
      <xdr:row>96</xdr:row>
      <xdr:rowOff>211508</xdr:rowOff>
    </xdr:from>
    <xdr:to>
      <xdr:col>4</xdr:col>
      <xdr:colOff>290231</xdr:colOff>
      <xdr:row>101</xdr:row>
      <xdr:rowOff>4789</xdr:rowOff>
    </xdr:to>
    <xdr:sp macro="MapShapeClick" textlink="">
      <xdr:nvSpPr>
        <xdr:cNvPr id="53" name="甘肃省">
          <a:extLst>
            <a:ext uri="{FF2B5EF4-FFF2-40B4-BE49-F238E27FC236}">
              <a16:creationId xmlns:a16="http://schemas.microsoft.com/office/drawing/2014/main" id="{7BB1A8B2-4634-1182-1F2C-025A155F6432}"/>
            </a:ext>
          </a:extLst>
        </xdr:cNvPr>
        <xdr:cNvSpPr/>
      </xdr:nvSpPr>
      <xdr:spPr>
        <a:xfrm>
          <a:off x="2114519" y="18034688"/>
          <a:ext cx="1330392" cy="1050581"/>
        </a:xfrm>
        <a:custGeom>
          <a:avLst/>
          <a:gdLst/>
          <a:ahLst/>
          <a:cxnLst/>
          <a:rect l="0" t="0" r="0" b="0"/>
          <a:pathLst>
            <a:path w="1330392" h="1050581">
              <a:moveTo>
                <a:pt x="1151124" y="741800"/>
              </a:moveTo>
              <a:lnTo>
                <a:pt x="1145318" y="746711"/>
              </a:lnTo>
              <a:lnTo>
                <a:pt x="1150723" y="779097"/>
              </a:lnTo>
              <a:lnTo>
                <a:pt x="1139513" y="791594"/>
              </a:lnTo>
              <a:lnTo>
                <a:pt x="1124048" y="771755"/>
              </a:lnTo>
              <a:lnTo>
                <a:pt x="1119194" y="779340"/>
              </a:lnTo>
              <a:lnTo>
                <a:pt x="1115841" y="769177"/>
              </a:lnTo>
              <a:lnTo>
                <a:pt x="1101427" y="774138"/>
              </a:lnTo>
              <a:lnTo>
                <a:pt x="1101677" y="770394"/>
              </a:lnTo>
              <a:lnTo>
                <a:pt x="1113839" y="765724"/>
              </a:lnTo>
              <a:lnTo>
                <a:pt x="1101878" y="760813"/>
              </a:lnTo>
              <a:lnTo>
                <a:pt x="1097574" y="766502"/>
              </a:lnTo>
              <a:lnTo>
                <a:pt x="1084862" y="745691"/>
              </a:lnTo>
              <a:lnTo>
                <a:pt x="1090417" y="743065"/>
              </a:lnTo>
              <a:lnTo>
                <a:pt x="1067896" y="742822"/>
              </a:lnTo>
              <a:lnTo>
                <a:pt x="1063592" y="733632"/>
              </a:lnTo>
              <a:lnTo>
                <a:pt x="1059688" y="736258"/>
              </a:lnTo>
              <a:lnTo>
                <a:pt x="1061039" y="729790"/>
              </a:lnTo>
              <a:lnTo>
                <a:pt x="1055134" y="721328"/>
              </a:lnTo>
              <a:lnTo>
                <a:pt x="1056685" y="712090"/>
              </a:lnTo>
              <a:lnTo>
                <a:pt x="1070598" y="700663"/>
              </a:lnTo>
              <a:lnTo>
                <a:pt x="1058187" y="665457"/>
              </a:lnTo>
              <a:lnTo>
                <a:pt x="1049228" y="659718"/>
              </a:lnTo>
              <a:lnTo>
                <a:pt x="1045075" y="644790"/>
              </a:lnTo>
              <a:lnTo>
                <a:pt x="1054733" y="640512"/>
              </a:lnTo>
              <a:lnTo>
                <a:pt x="1055935" y="634627"/>
              </a:lnTo>
              <a:lnTo>
                <a:pt x="1048628" y="625097"/>
              </a:lnTo>
              <a:lnTo>
                <a:pt x="1043273" y="625339"/>
              </a:lnTo>
              <a:lnTo>
                <a:pt x="1042172" y="614933"/>
              </a:lnTo>
              <a:lnTo>
                <a:pt x="1025056" y="610313"/>
              </a:lnTo>
              <a:lnTo>
                <a:pt x="1017048" y="592809"/>
              </a:lnTo>
              <a:lnTo>
                <a:pt x="1010592" y="589259"/>
              </a:lnTo>
              <a:lnTo>
                <a:pt x="999332" y="593829"/>
              </a:lnTo>
              <a:lnTo>
                <a:pt x="996279" y="589648"/>
              </a:lnTo>
              <a:lnTo>
                <a:pt x="998231" y="583958"/>
              </a:lnTo>
              <a:lnTo>
                <a:pt x="1005488" y="580797"/>
              </a:lnTo>
              <a:lnTo>
                <a:pt x="1001284" y="576908"/>
              </a:lnTo>
              <a:lnTo>
                <a:pt x="1002735" y="572775"/>
              </a:lnTo>
              <a:lnTo>
                <a:pt x="983067" y="568933"/>
              </a:lnTo>
              <a:lnTo>
                <a:pt x="962397" y="572920"/>
              </a:lnTo>
              <a:lnTo>
                <a:pt x="921759" y="534845"/>
              </a:lnTo>
              <a:lnTo>
                <a:pt x="899339" y="526336"/>
              </a:lnTo>
              <a:lnTo>
                <a:pt x="896186" y="502801"/>
              </a:lnTo>
              <a:lnTo>
                <a:pt x="909698" y="495798"/>
              </a:lnTo>
              <a:lnTo>
                <a:pt x="900039" y="470124"/>
              </a:lnTo>
              <a:lnTo>
                <a:pt x="936073" y="445226"/>
              </a:lnTo>
              <a:lnTo>
                <a:pt x="951087" y="419114"/>
              </a:lnTo>
              <a:lnTo>
                <a:pt x="963448" y="409389"/>
              </a:lnTo>
              <a:lnTo>
                <a:pt x="961397" y="391349"/>
              </a:lnTo>
              <a:lnTo>
                <a:pt x="951337" y="376954"/>
              </a:lnTo>
              <a:lnTo>
                <a:pt x="954790" y="364118"/>
              </a:lnTo>
              <a:lnTo>
                <a:pt x="935572" y="359741"/>
              </a:lnTo>
              <a:lnTo>
                <a:pt x="894234" y="373405"/>
              </a:lnTo>
              <a:lnTo>
                <a:pt x="866858" y="397719"/>
              </a:lnTo>
              <a:lnTo>
                <a:pt x="835079" y="390181"/>
              </a:lnTo>
              <a:lnTo>
                <a:pt x="821816" y="381428"/>
              </a:lnTo>
              <a:lnTo>
                <a:pt x="777074" y="396454"/>
              </a:lnTo>
              <a:lnTo>
                <a:pt x="771469" y="398836"/>
              </a:lnTo>
              <a:lnTo>
                <a:pt x="791088" y="419503"/>
              </a:lnTo>
              <a:lnTo>
                <a:pt x="766865" y="443573"/>
              </a:lnTo>
              <a:lnTo>
                <a:pt x="758407" y="440412"/>
              </a:lnTo>
              <a:lnTo>
                <a:pt x="752602" y="444108"/>
              </a:lnTo>
              <a:lnTo>
                <a:pt x="749449" y="438079"/>
              </a:lnTo>
              <a:lnTo>
                <a:pt x="730631" y="431417"/>
              </a:lnTo>
              <a:lnTo>
                <a:pt x="730982" y="424123"/>
              </a:lnTo>
              <a:lnTo>
                <a:pt x="723474" y="422713"/>
              </a:lnTo>
              <a:lnTo>
                <a:pt x="719871" y="414105"/>
              </a:lnTo>
              <a:lnTo>
                <a:pt x="722323" y="405985"/>
              </a:lnTo>
              <a:lnTo>
                <a:pt x="701254" y="413716"/>
              </a:lnTo>
              <a:lnTo>
                <a:pt x="700603" y="407541"/>
              </a:lnTo>
              <a:lnTo>
                <a:pt x="690344" y="405450"/>
              </a:lnTo>
              <a:lnTo>
                <a:pt x="690894" y="365625"/>
              </a:lnTo>
              <a:lnTo>
                <a:pt x="663018" y="366159"/>
              </a:lnTo>
              <a:lnTo>
                <a:pt x="663168" y="357650"/>
              </a:lnTo>
              <a:lnTo>
                <a:pt x="649005" y="354732"/>
              </a:lnTo>
              <a:lnTo>
                <a:pt x="642799" y="336157"/>
              </a:lnTo>
              <a:lnTo>
                <a:pt x="614723" y="325557"/>
              </a:lnTo>
              <a:lnTo>
                <a:pt x="608017" y="317679"/>
              </a:lnTo>
              <a:lnTo>
                <a:pt x="577038" y="314956"/>
              </a:lnTo>
              <a:lnTo>
                <a:pt x="609568" y="301438"/>
              </a:lnTo>
              <a:lnTo>
                <a:pt x="616575" y="296089"/>
              </a:lnTo>
              <a:lnTo>
                <a:pt x="623081" y="281599"/>
              </a:lnTo>
              <a:lnTo>
                <a:pt x="636243" y="273331"/>
              </a:lnTo>
              <a:lnTo>
                <a:pt x="636243" y="245226"/>
              </a:lnTo>
              <a:lnTo>
                <a:pt x="642199" y="236910"/>
              </a:lnTo>
              <a:lnTo>
                <a:pt x="641748" y="226407"/>
              </a:lnTo>
              <a:lnTo>
                <a:pt x="631238" y="209388"/>
              </a:lnTo>
              <a:lnTo>
                <a:pt x="595905" y="203211"/>
              </a:lnTo>
              <a:lnTo>
                <a:pt x="587197" y="212451"/>
              </a:lnTo>
              <a:lnTo>
                <a:pt x="555418" y="211235"/>
              </a:lnTo>
              <a:lnTo>
                <a:pt x="555268" y="223150"/>
              </a:lnTo>
              <a:lnTo>
                <a:pt x="549512" y="230735"/>
              </a:lnTo>
              <a:lnTo>
                <a:pt x="540003" y="219356"/>
              </a:lnTo>
              <a:lnTo>
                <a:pt x="524239" y="227622"/>
              </a:lnTo>
              <a:lnTo>
                <a:pt x="525189" y="238175"/>
              </a:lnTo>
              <a:lnTo>
                <a:pt x="515981" y="229081"/>
              </a:lnTo>
              <a:lnTo>
                <a:pt x="514279" y="220378"/>
              </a:lnTo>
              <a:lnTo>
                <a:pt x="506272" y="223198"/>
              </a:lnTo>
              <a:lnTo>
                <a:pt x="510976" y="230589"/>
              </a:lnTo>
              <a:lnTo>
                <a:pt x="487955" y="242308"/>
              </a:lnTo>
              <a:lnTo>
                <a:pt x="487054" y="204720"/>
              </a:lnTo>
              <a:lnTo>
                <a:pt x="457677" y="185463"/>
              </a:lnTo>
              <a:lnTo>
                <a:pt x="429851" y="148410"/>
              </a:lnTo>
              <a:lnTo>
                <a:pt x="428599" y="144423"/>
              </a:lnTo>
              <a:lnTo>
                <a:pt x="447517" y="124971"/>
              </a:lnTo>
              <a:lnTo>
                <a:pt x="392766" y="0"/>
              </a:lnTo>
              <a:lnTo>
                <a:pt x="328856" y="7490"/>
              </a:lnTo>
              <a:lnTo>
                <a:pt x="305885" y="21104"/>
              </a:lnTo>
              <a:lnTo>
                <a:pt x="295725" y="39584"/>
              </a:lnTo>
              <a:lnTo>
                <a:pt x="302832" y="42015"/>
              </a:lnTo>
              <a:lnTo>
                <a:pt x="300780" y="51692"/>
              </a:lnTo>
              <a:lnTo>
                <a:pt x="311941" y="63654"/>
              </a:lnTo>
              <a:lnTo>
                <a:pt x="303733" y="71142"/>
              </a:lnTo>
              <a:lnTo>
                <a:pt x="308638" y="85341"/>
              </a:lnTo>
              <a:lnTo>
                <a:pt x="301931" y="94483"/>
              </a:lnTo>
              <a:lnTo>
                <a:pt x="262645" y="109752"/>
              </a:lnTo>
              <a:lnTo>
                <a:pt x="243477" y="126284"/>
              </a:lnTo>
              <a:lnTo>
                <a:pt x="240574" y="134794"/>
              </a:lnTo>
              <a:lnTo>
                <a:pt x="227262" y="112280"/>
              </a:lnTo>
              <a:lnTo>
                <a:pt x="204991" y="123658"/>
              </a:lnTo>
              <a:lnTo>
                <a:pt x="195932" y="137809"/>
              </a:lnTo>
              <a:lnTo>
                <a:pt x="178366" y="141310"/>
              </a:lnTo>
              <a:lnTo>
                <a:pt x="135826" y="183615"/>
              </a:lnTo>
              <a:lnTo>
                <a:pt x="119511" y="208950"/>
              </a:lnTo>
              <a:lnTo>
                <a:pt x="120412" y="218189"/>
              </a:lnTo>
              <a:lnTo>
                <a:pt x="115507" y="231999"/>
              </a:lnTo>
              <a:lnTo>
                <a:pt x="47894" y="241869"/>
              </a:lnTo>
              <a:lnTo>
                <a:pt x="46143" y="269830"/>
              </a:lnTo>
              <a:lnTo>
                <a:pt x="37184" y="286510"/>
              </a:lnTo>
              <a:lnTo>
                <a:pt x="24422" y="354197"/>
              </a:lnTo>
              <a:lnTo>
                <a:pt x="0" y="383374"/>
              </a:lnTo>
              <a:lnTo>
                <a:pt x="2252" y="401949"/>
              </a:lnTo>
              <a:lnTo>
                <a:pt x="9759" y="403700"/>
              </a:lnTo>
              <a:lnTo>
                <a:pt x="12261" y="397719"/>
              </a:lnTo>
              <a:lnTo>
                <a:pt x="63058" y="389355"/>
              </a:lnTo>
              <a:lnTo>
                <a:pt x="69815" y="403359"/>
              </a:lnTo>
              <a:lnTo>
                <a:pt x="68263" y="416099"/>
              </a:lnTo>
              <a:lnTo>
                <a:pt x="112955" y="416051"/>
              </a:lnTo>
              <a:lnTo>
                <a:pt x="125567" y="421984"/>
              </a:lnTo>
              <a:lnTo>
                <a:pt x="125567" y="426311"/>
              </a:lnTo>
              <a:lnTo>
                <a:pt x="115157" y="428256"/>
              </a:lnTo>
              <a:lnTo>
                <a:pt x="125617" y="437301"/>
              </a:lnTo>
              <a:lnTo>
                <a:pt x="165053" y="432924"/>
              </a:lnTo>
              <a:lnTo>
                <a:pt x="180568" y="475618"/>
              </a:lnTo>
              <a:lnTo>
                <a:pt x="214099" y="467497"/>
              </a:lnTo>
              <a:lnTo>
                <a:pt x="226161" y="468859"/>
              </a:lnTo>
              <a:lnTo>
                <a:pt x="237271" y="480675"/>
              </a:lnTo>
              <a:lnTo>
                <a:pt x="253236" y="481842"/>
              </a:lnTo>
              <a:lnTo>
                <a:pt x="273405" y="470610"/>
              </a:lnTo>
              <a:lnTo>
                <a:pt x="302832" y="494096"/>
              </a:lnTo>
              <a:lnTo>
                <a:pt x="318947" y="496917"/>
              </a:lnTo>
              <a:lnTo>
                <a:pt x="328206" y="483351"/>
              </a:lnTo>
              <a:lnTo>
                <a:pt x="351528" y="488212"/>
              </a:lnTo>
              <a:lnTo>
                <a:pt x="348374" y="475181"/>
              </a:lnTo>
              <a:lnTo>
                <a:pt x="354981" y="464482"/>
              </a:lnTo>
              <a:lnTo>
                <a:pt x="351628" y="461954"/>
              </a:lnTo>
              <a:lnTo>
                <a:pt x="360886" y="459814"/>
              </a:lnTo>
              <a:lnTo>
                <a:pt x="361987" y="449019"/>
              </a:lnTo>
              <a:lnTo>
                <a:pt x="375550" y="454222"/>
              </a:lnTo>
              <a:lnTo>
                <a:pt x="383257" y="450430"/>
              </a:lnTo>
              <a:lnTo>
                <a:pt x="373898" y="417801"/>
              </a:lnTo>
              <a:lnTo>
                <a:pt x="379704" y="393293"/>
              </a:lnTo>
              <a:lnTo>
                <a:pt x="375650" y="387409"/>
              </a:lnTo>
              <a:lnTo>
                <a:pt x="406929" y="390618"/>
              </a:lnTo>
              <a:lnTo>
                <a:pt x="467436" y="430444"/>
              </a:lnTo>
              <a:lnTo>
                <a:pt x="479647" y="420621"/>
              </a:lnTo>
              <a:lnTo>
                <a:pt x="482800" y="405304"/>
              </a:lnTo>
              <a:lnTo>
                <a:pt x="491158" y="405061"/>
              </a:lnTo>
              <a:lnTo>
                <a:pt x="497163" y="413084"/>
              </a:lnTo>
              <a:lnTo>
                <a:pt x="507473" y="415466"/>
              </a:lnTo>
              <a:lnTo>
                <a:pt x="520385" y="399080"/>
              </a:lnTo>
              <a:lnTo>
                <a:pt x="526341" y="399178"/>
              </a:lnTo>
              <a:lnTo>
                <a:pt x="537301" y="409437"/>
              </a:lnTo>
              <a:lnTo>
                <a:pt x="549963" y="413181"/>
              </a:lnTo>
              <a:lnTo>
                <a:pt x="546810" y="418919"/>
              </a:lnTo>
              <a:lnTo>
                <a:pt x="570632" y="437544"/>
              </a:lnTo>
              <a:lnTo>
                <a:pt x="594805" y="465504"/>
              </a:lnTo>
              <a:lnTo>
                <a:pt x="632740" y="488067"/>
              </a:lnTo>
              <a:lnTo>
                <a:pt x="637344" y="489039"/>
              </a:lnTo>
              <a:lnTo>
                <a:pt x="635793" y="478050"/>
              </a:lnTo>
              <a:lnTo>
                <a:pt x="622580" y="463656"/>
              </a:lnTo>
              <a:lnTo>
                <a:pt x="627685" y="458307"/>
              </a:lnTo>
              <a:lnTo>
                <a:pt x="641998" y="466282"/>
              </a:lnTo>
              <a:lnTo>
                <a:pt x="643550" y="474111"/>
              </a:lnTo>
              <a:lnTo>
                <a:pt x="647003" y="471826"/>
              </a:lnTo>
              <a:lnTo>
                <a:pt x="648354" y="477953"/>
              </a:lnTo>
              <a:lnTo>
                <a:pt x="657613" y="483544"/>
              </a:lnTo>
              <a:lnTo>
                <a:pt x="680585" y="485782"/>
              </a:lnTo>
              <a:lnTo>
                <a:pt x="692396" y="496674"/>
              </a:lnTo>
              <a:lnTo>
                <a:pt x="696700" y="493513"/>
              </a:lnTo>
              <a:lnTo>
                <a:pt x="695198" y="510630"/>
              </a:lnTo>
              <a:lnTo>
                <a:pt x="712114" y="517487"/>
              </a:lnTo>
              <a:lnTo>
                <a:pt x="720222" y="527697"/>
              </a:lnTo>
              <a:lnTo>
                <a:pt x="733184" y="533484"/>
              </a:lnTo>
              <a:lnTo>
                <a:pt x="741041" y="525753"/>
              </a:lnTo>
              <a:lnTo>
                <a:pt x="752352" y="529740"/>
              </a:lnTo>
              <a:lnTo>
                <a:pt x="757306" y="539417"/>
              </a:lnTo>
              <a:lnTo>
                <a:pt x="770018" y="547537"/>
              </a:lnTo>
              <a:lnTo>
                <a:pt x="784882" y="540291"/>
              </a:lnTo>
              <a:lnTo>
                <a:pt x="795642" y="558624"/>
              </a:lnTo>
              <a:lnTo>
                <a:pt x="793390" y="565139"/>
              </a:lnTo>
              <a:lnTo>
                <a:pt x="819764" y="582937"/>
              </a:lnTo>
              <a:lnTo>
                <a:pt x="837181" y="604236"/>
              </a:lnTo>
              <a:lnTo>
                <a:pt x="824669" y="606424"/>
              </a:lnTo>
              <a:lnTo>
                <a:pt x="826120" y="612453"/>
              </a:lnTo>
              <a:lnTo>
                <a:pt x="821566" y="617608"/>
              </a:lnTo>
              <a:lnTo>
                <a:pt x="843486" y="637983"/>
              </a:lnTo>
              <a:lnTo>
                <a:pt x="833827" y="643818"/>
              </a:lnTo>
              <a:lnTo>
                <a:pt x="846890" y="658163"/>
              </a:lnTo>
              <a:lnTo>
                <a:pt x="853696" y="682087"/>
              </a:lnTo>
              <a:lnTo>
                <a:pt x="871663" y="693660"/>
              </a:lnTo>
              <a:lnTo>
                <a:pt x="856649" y="707179"/>
              </a:lnTo>
              <a:lnTo>
                <a:pt x="863655" y="711020"/>
              </a:lnTo>
              <a:lnTo>
                <a:pt x="861754" y="732562"/>
              </a:lnTo>
              <a:lnTo>
                <a:pt x="848942" y="729255"/>
              </a:lnTo>
              <a:lnTo>
                <a:pt x="840734" y="738348"/>
              </a:lnTo>
              <a:lnTo>
                <a:pt x="850693" y="759501"/>
              </a:lnTo>
              <a:lnTo>
                <a:pt x="845638" y="761008"/>
              </a:lnTo>
              <a:lnTo>
                <a:pt x="848591" y="762758"/>
              </a:lnTo>
              <a:lnTo>
                <a:pt x="845388" y="766065"/>
              </a:lnTo>
              <a:lnTo>
                <a:pt x="825870" y="757021"/>
              </a:lnTo>
              <a:lnTo>
                <a:pt x="821366" y="771803"/>
              </a:lnTo>
              <a:lnTo>
                <a:pt x="808854" y="773116"/>
              </a:lnTo>
              <a:lnTo>
                <a:pt x="810806" y="781188"/>
              </a:lnTo>
              <a:lnTo>
                <a:pt x="807803" y="785176"/>
              </a:lnTo>
              <a:lnTo>
                <a:pt x="815060" y="789065"/>
              </a:lnTo>
              <a:lnTo>
                <a:pt x="817812" y="797477"/>
              </a:lnTo>
              <a:lnTo>
                <a:pt x="810205" y="802486"/>
              </a:lnTo>
              <a:lnTo>
                <a:pt x="809004" y="808176"/>
              </a:lnTo>
              <a:lnTo>
                <a:pt x="792689" y="816588"/>
              </a:lnTo>
              <a:lnTo>
                <a:pt x="790537" y="826410"/>
              </a:lnTo>
              <a:lnTo>
                <a:pt x="778226" y="827821"/>
              </a:lnTo>
              <a:lnTo>
                <a:pt x="779677" y="856122"/>
              </a:lnTo>
              <a:lnTo>
                <a:pt x="797644" y="863999"/>
              </a:lnTo>
              <a:lnTo>
                <a:pt x="806052" y="878928"/>
              </a:lnTo>
              <a:lnTo>
                <a:pt x="800146" y="879220"/>
              </a:lnTo>
              <a:lnTo>
                <a:pt x="797143" y="887194"/>
              </a:lnTo>
              <a:lnTo>
                <a:pt x="790487" y="885055"/>
              </a:lnTo>
              <a:lnTo>
                <a:pt x="781328" y="903144"/>
              </a:lnTo>
              <a:lnTo>
                <a:pt x="772921" y="898865"/>
              </a:lnTo>
              <a:lnTo>
                <a:pt x="762111" y="905720"/>
              </a:lnTo>
              <a:lnTo>
                <a:pt x="747497" y="893078"/>
              </a:lnTo>
              <a:lnTo>
                <a:pt x="699752" y="876204"/>
              </a:lnTo>
              <a:lnTo>
                <a:pt x="689243" y="882720"/>
              </a:lnTo>
              <a:lnTo>
                <a:pt x="684588" y="896336"/>
              </a:lnTo>
              <a:lnTo>
                <a:pt x="703306" y="924491"/>
              </a:lnTo>
              <a:lnTo>
                <a:pt x="716218" y="929111"/>
              </a:lnTo>
              <a:lnTo>
                <a:pt x="719221" y="934264"/>
              </a:lnTo>
              <a:lnTo>
                <a:pt x="717269" y="947150"/>
              </a:lnTo>
              <a:lnTo>
                <a:pt x="722974" y="944622"/>
              </a:lnTo>
              <a:lnTo>
                <a:pt x="735035" y="948609"/>
              </a:lnTo>
              <a:lnTo>
                <a:pt x="744494" y="942969"/>
              </a:lnTo>
              <a:lnTo>
                <a:pt x="751200" y="945741"/>
              </a:lnTo>
              <a:lnTo>
                <a:pt x="754303" y="962517"/>
              </a:lnTo>
              <a:lnTo>
                <a:pt x="764563" y="962225"/>
              </a:lnTo>
              <a:lnTo>
                <a:pt x="772320" y="952742"/>
              </a:lnTo>
              <a:lnTo>
                <a:pt x="775573" y="955125"/>
              </a:lnTo>
              <a:lnTo>
                <a:pt x="780628" y="968304"/>
              </a:lnTo>
              <a:lnTo>
                <a:pt x="775023" y="980801"/>
              </a:lnTo>
              <a:lnTo>
                <a:pt x="766264" y="985225"/>
              </a:lnTo>
              <a:lnTo>
                <a:pt x="774072" y="1001321"/>
              </a:lnTo>
              <a:lnTo>
                <a:pt x="779727" y="993200"/>
              </a:lnTo>
              <a:lnTo>
                <a:pt x="792239" y="991450"/>
              </a:lnTo>
              <a:lnTo>
                <a:pt x="794491" y="983329"/>
              </a:lnTo>
              <a:lnTo>
                <a:pt x="801297" y="989650"/>
              </a:lnTo>
              <a:lnTo>
                <a:pt x="800596" y="978612"/>
              </a:lnTo>
              <a:lnTo>
                <a:pt x="805952" y="971561"/>
              </a:lnTo>
              <a:lnTo>
                <a:pt x="816912" y="972048"/>
              </a:lnTo>
              <a:lnTo>
                <a:pt x="822567" y="967671"/>
              </a:lnTo>
              <a:lnTo>
                <a:pt x="823818" y="958529"/>
              </a:lnTo>
              <a:lnTo>
                <a:pt x="813158" y="952451"/>
              </a:lnTo>
              <a:lnTo>
                <a:pt x="812808" y="940732"/>
              </a:lnTo>
              <a:lnTo>
                <a:pt x="808103" y="941365"/>
              </a:lnTo>
              <a:lnTo>
                <a:pt x="811356" y="937912"/>
              </a:lnTo>
              <a:lnTo>
                <a:pt x="804750" y="934751"/>
              </a:lnTo>
              <a:lnTo>
                <a:pt x="805551" y="927457"/>
              </a:lnTo>
              <a:lnTo>
                <a:pt x="796042" y="917295"/>
              </a:lnTo>
              <a:lnTo>
                <a:pt x="816862" y="916662"/>
              </a:lnTo>
              <a:lnTo>
                <a:pt x="820515" y="905331"/>
              </a:lnTo>
              <a:lnTo>
                <a:pt x="837731" y="906013"/>
              </a:lnTo>
              <a:lnTo>
                <a:pt x="833627" y="899400"/>
              </a:lnTo>
              <a:lnTo>
                <a:pt x="859051" y="883159"/>
              </a:lnTo>
              <a:lnTo>
                <a:pt x="864056" y="893710"/>
              </a:lnTo>
              <a:lnTo>
                <a:pt x="874365" y="896045"/>
              </a:lnTo>
              <a:lnTo>
                <a:pt x="880771" y="906061"/>
              </a:lnTo>
              <a:lnTo>
                <a:pt x="875967" y="910486"/>
              </a:lnTo>
              <a:lnTo>
                <a:pt x="879020" y="913988"/>
              </a:lnTo>
              <a:lnTo>
                <a:pt x="876017" y="918461"/>
              </a:lnTo>
              <a:lnTo>
                <a:pt x="880971" y="923615"/>
              </a:lnTo>
              <a:lnTo>
                <a:pt x="879670" y="932903"/>
              </a:lnTo>
              <a:lnTo>
                <a:pt x="886527" y="932077"/>
              </a:lnTo>
              <a:lnTo>
                <a:pt x="895035" y="938982"/>
              </a:lnTo>
              <a:lnTo>
                <a:pt x="908347" y="932757"/>
              </a:lnTo>
              <a:lnTo>
                <a:pt x="908497" y="945352"/>
              </a:lnTo>
              <a:lnTo>
                <a:pt x="914453" y="941656"/>
              </a:lnTo>
              <a:lnTo>
                <a:pt x="929467" y="947248"/>
              </a:lnTo>
              <a:lnTo>
                <a:pt x="951237" y="944574"/>
              </a:lnTo>
              <a:lnTo>
                <a:pt x="961847" y="953035"/>
              </a:lnTo>
              <a:lnTo>
                <a:pt x="960095" y="958577"/>
              </a:lnTo>
              <a:lnTo>
                <a:pt x="965400" y="972048"/>
              </a:lnTo>
              <a:lnTo>
                <a:pt x="971256" y="978662"/>
              </a:lnTo>
              <a:lnTo>
                <a:pt x="981615" y="979585"/>
              </a:lnTo>
              <a:lnTo>
                <a:pt x="972157" y="981773"/>
              </a:lnTo>
              <a:lnTo>
                <a:pt x="978212" y="1000738"/>
              </a:lnTo>
              <a:lnTo>
                <a:pt x="974909" y="1007643"/>
              </a:lnTo>
              <a:lnTo>
                <a:pt x="982116" y="1010269"/>
              </a:lnTo>
              <a:lnTo>
                <a:pt x="978212" y="1015861"/>
              </a:lnTo>
              <a:lnTo>
                <a:pt x="970905" y="1016881"/>
              </a:lnTo>
              <a:lnTo>
                <a:pt x="971406" y="1027238"/>
              </a:lnTo>
              <a:lnTo>
                <a:pt x="999732" y="1044016"/>
              </a:lnTo>
              <a:lnTo>
                <a:pt x="1014146" y="1043918"/>
              </a:lnTo>
              <a:lnTo>
                <a:pt x="1019150" y="1049899"/>
              </a:lnTo>
              <a:lnTo>
                <a:pt x="1030911" y="1045133"/>
              </a:lnTo>
              <a:lnTo>
                <a:pt x="1037768" y="1050580"/>
              </a:lnTo>
              <a:lnTo>
                <a:pt x="1065193" y="1037159"/>
              </a:lnTo>
              <a:lnTo>
                <a:pt x="1059688" y="1023301"/>
              </a:lnTo>
              <a:lnTo>
                <a:pt x="1062391" y="1018875"/>
              </a:lnTo>
              <a:lnTo>
                <a:pt x="1076704" y="1023251"/>
              </a:lnTo>
              <a:lnTo>
                <a:pt x="1098775" y="1017222"/>
              </a:lnTo>
              <a:lnTo>
                <a:pt x="1104030" y="1007204"/>
              </a:lnTo>
              <a:lnTo>
                <a:pt x="1101627" y="997090"/>
              </a:lnTo>
              <a:lnTo>
                <a:pt x="1107433" y="996361"/>
              </a:lnTo>
              <a:lnTo>
                <a:pt x="1107182" y="991498"/>
              </a:lnTo>
              <a:lnTo>
                <a:pt x="1093670" y="986247"/>
              </a:lnTo>
              <a:lnTo>
                <a:pt x="1086413" y="974139"/>
              </a:lnTo>
              <a:lnTo>
                <a:pt x="1095972" y="974431"/>
              </a:lnTo>
              <a:lnTo>
                <a:pt x="1102078" y="957266"/>
              </a:lnTo>
              <a:lnTo>
                <a:pt x="1107683" y="951722"/>
              </a:lnTo>
              <a:lnTo>
                <a:pt x="1117042" y="951333"/>
              </a:lnTo>
              <a:lnTo>
                <a:pt x="1125199" y="958188"/>
              </a:lnTo>
              <a:lnTo>
                <a:pt x="1146319" y="951722"/>
              </a:lnTo>
              <a:lnTo>
                <a:pt x="1147120" y="959551"/>
              </a:lnTo>
              <a:lnTo>
                <a:pt x="1153876" y="961495"/>
              </a:lnTo>
              <a:lnTo>
                <a:pt x="1157179" y="955320"/>
              </a:lnTo>
              <a:lnTo>
                <a:pt x="1153426" y="943698"/>
              </a:lnTo>
              <a:lnTo>
                <a:pt x="1149222" y="942532"/>
              </a:lnTo>
              <a:lnTo>
                <a:pt x="1148621" y="926046"/>
              </a:lnTo>
              <a:lnTo>
                <a:pt x="1144768" y="926970"/>
              </a:lnTo>
              <a:lnTo>
                <a:pt x="1143366" y="922789"/>
              </a:lnTo>
              <a:lnTo>
                <a:pt x="1148521" y="916760"/>
              </a:lnTo>
              <a:lnTo>
                <a:pt x="1150773" y="903581"/>
              </a:lnTo>
              <a:lnTo>
                <a:pt x="1157529" y="899204"/>
              </a:lnTo>
              <a:lnTo>
                <a:pt x="1155328" y="891327"/>
              </a:lnTo>
              <a:lnTo>
                <a:pt x="1150323" y="890501"/>
              </a:lnTo>
              <a:lnTo>
                <a:pt x="1152775" y="885201"/>
              </a:lnTo>
              <a:lnTo>
                <a:pt x="1163035" y="889966"/>
              </a:lnTo>
              <a:lnTo>
                <a:pt x="1168290" y="877615"/>
              </a:lnTo>
              <a:lnTo>
                <a:pt x="1151774" y="863562"/>
              </a:lnTo>
              <a:lnTo>
                <a:pt x="1137160" y="862979"/>
              </a:lnTo>
              <a:lnTo>
                <a:pt x="1135509" y="856948"/>
              </a:lnTo>
              <a:lnTo>
                <a:pt x="1148271" y="851502"/>
              </a:lnTo>
              <a:lnTo>
                <a:pt x="1147120" y="844597"/>
              </a:lnTo>
              <a:lnTo>
                <a:pt x="1156729" y="838081"/>
              </a:lnTo>
              <a:lnTo>
                <a:pt x="1149372" y="816881"/>
              </a:lnTo>
              <a:lnTo>
                <a:pt x="1154026" y="806960"/>
              </a:lnTo>
              <a:lnTo>
                <a:pt x="1183253" y="805891"/>
              </a:lnTo>
              <a:lnTo>
                <a:pt x="1197967" y="812893"/>
              </a:lnTo>
              <a:lnTo>
                <a:pt x="1200970" y="820236"/>
              </a:lnTo>
              <a:lnTo>
                <a:pt x="1211780" y="827091"/>
              </a:lnTo>
              <a:lnTo>
                <a:pt x="1214532" y="822034"/>
              </a:lnTo>
              <a:lnTo>
                <a:pt x="1233801" y="824223"/>
              </a:lnTo>
              <a:lnTo>
                <a:pt x="1237104" y="818388"/>
              </a:lnTo>
              <a:lnTo>
                <a:pt x="1243159" y="821694"/>
              </a:lnTo>
              <a:lnTo>
                <a:pt x="1261376" y="815372"/>
              </a:lnTo>
              <a:lnTo>
                <a:pt x="1244260" y="790961"/>
              </a:lnTo>
              <a:lnTo>
                <a:pt x="1251167" y="788726"/>
              </a:lnTo>
              <a:lnTo>
                <a:pt x="1251817" y="784300"/>
              </a:lnTo>
              <a:lnTo>
                <a:pt x="1268433" y="790913"/>
              </a:lnTo>
              <a:lnTo>
                <a:pt x="1286700" y="784980"/>
              </a:lnTo>
              <a:lnTo>
                <a:pt x="1291955" y="789844"/>
              </a:lnTo>
              <a:lnTo>
                <a:pt x="1300563" y="785419"/>
              </a:lnTo>
              <a:lnTo>
                <a:pt x="1312224" y="787948"/>
              </a:lnTo>
              <a:lnTo>
                <a:pt x="1322433" y="782598"/>
              </a:lnTo>
              <a:lnTo>
                <a:pt x="1323334" y="761834"/>
              </a:lnTo>
              <a:lnTo>
                <a:pt x="1316328" y="754979"/>
              </a:lnTo>
              <a:lnTo>
                <a:pt x="1313074" y="728283"/>
              </a:lnTo>
              <a:lnTo>
                <a:pt x="1325486" y="720696"/>
              </a:lnTo>
              <a:lnTo>
                <a:pt x="1328439" y="713354"/>
              </a:lnTo>
              <a:lnTo>
                <a:pt x="1330391" y="701537"/>
              </a:lnTo>
              <a:lnTo>
                <a:pt x="1322784" y="671778"/>
              </a:lnTo>
              <a:lnTo>
                <a:pt x="1313976" y="667693"/>
              </a:lnTo>
              <a:lnTo>
                <a:pt x="1309922" y="672897"/>
              </a:lnTo>
              <a:lnTo>
                <a:pt x="1300162" y="659135"/>
              </a:lnTo>
              <a:lnTo>
                <a:pt x="1289603" y="657287"/>
              </a:lnTo>
              <a:lnTo>
                <a:pt x="1290604" y="651841"/>
              </a:lnTo>
              <a:lnTo>
                <a:pt x="1285799" y="658648"/>
              </a:lnTo>
              <a:lnTo>
                <a:pt x="1277441" y="655780"/>
              </a:lnTo>
              <a:lnTo>
                <a:pt x="1273037" y="646541"/>
              </a:lnTo>
              <a:lnTo>
                <a:pt x="1267532" y="649361"/>
              </a:lnTo>
              <a:lnTo>
                <a:pt x="1264980" y="639781"/>
              </a:lnTo>
              <a:lnTo>
                <a:pt x="1245712" y="631370"/>
              </a:lnTo>
              <a:lnTo>
                <a:pt x="1235152" y="631807"/>
              </a:lnTo>
              <a:lnTo>
                <a:pt x="1230097" y="623734"/>
              </a:lnTo>
              <a:lnTo>
                <a:pt x="1216434" y="623297"/>
              </a:lnTo>
              <a:lnTo>
                <a:pt x="1213081" y="604284"/>
              </a:lnTo>
              <a:lnTo>
                <a:pt x="1206025" y="599810"/>
              </a:lnTo>
              <a:lnTo>
                <a:pt x="1191111" y="603554"/>
              </a:lnTo>
              <a:lnTo>
                <a:pt x="1183604" y="598984"/>
              </a:lnTo>
              <a:lnTo>
                <a:pt x="1182403" y="604382"/>
              </a:lnTo>
              <a:lnTo>
                <a:pt x="1173044" y="598303"/>
              </a:lnTo>
              <a:lnTo>
                <a:pt x="1170942" y="604332"/>
              </a:lnTo>
              <a:lnTo>
                <a:pt x="1160132" y="600638"/>
              </a:lnTo>
              <a:lnTo>
                <a:pt x="1164186" y="612696"/>
              </a:lnTo>
              <a:lnTo>
                <a:pt x="1162234" y="618192"/>
              </a:lnTo>
              <a:lnTo>
                <a:pt x="1158380" y="620477"/>
              </a:lnTo>
              <a:lnTo>
                <a:pt x="1153876" y="616003"/>
              </a:lnTo>
              <a:lnTo>
                <a:pt x="1163435" y="632633"/>
              </a:lnTo>
              <a:lnTo>
                <a:pt x="1162384" y="642553"/>
              </a:lnTo>
              <a:lnTo>
                <a:pt x="1158280" y="639781"/>
              </a:lnTo>
              <a:lnTo>
                <a:pt x="1151774" y="643284"/>
              </a:lnTo>
              <a:lnTo>
                <a:pt x="1146119" y="659329"/>
              </a:lnTo>
              <a:lnTo>
                <a:pt x="1139563" y="657287"/>
              </a:lnTo>
              <a:lnTo>
                <a:pt x="1152525" y="668277"/>
              </a:lnTo>
              <a:lnTo>
                <a:pt x="1148221" y="684664"/>
              </a:lnTo>
              <a:lnTo>
                <a:pt x="1153976" y="689964"/>
              </a:lnTo>
              <a:lnTo>
                <a:pt x="1155428" y="686075"/>
              </a:lnTo>
              <a:lnTo>
                <a:pt x="1177698" y="692445"/>
              </a:lnTo>
              <a:lnTo>
                <a:pt x="1187808" y="706303"/>
              </a:lnTo>
              <a:lnTo>
                <a:pt x="1183303" y="721135"/>
              </a:lnTo>
              <a:lnTo>
                <a:pt x="1186406" y="722398"/>
              </a:lnTo>
              <a:lnTo>
                <a:pt x="1179049" y="726775"/>
              </a:lnTo>
              <a:lnTo>
                <a:pt x="1185356" y="734506"/>
              </a:lnTo>
              <a:lnTo>
                <a:pt x="1182903" y="739563"/>
              </a:lnTo>
              <a:lnTo>
                <a:pt x="1170992" y="743015"/>
              </a:lnTo>
              <a:lnTo>
                <a:pt x="1170992" y="746615"/>
              </a:lnTo>
              <a:lnTo>
                <a:pt x="1156028" y="741654"/>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2</xdr:col>
      <xdr:colOff>368387</xdr:colOff>
      <xdr:row>98</xdr:row>
      <xdr:rowOff>95997</xdr:rowOff>
    </xdr:from>
    <xdr:to>
      <xdr:col>3</xdr:col>
      <xdr:colOff>654463</xdr:colOff>
      <xdr:row>101</xdr:row>
      <xdr:rowOff>100243</xdr:rowOff>
    </xdr:to>
    <xdr:sp macro="MapShapeClick" textlink="">
      <xdr:nvSpPr>
        <xdr:cNvPr id="54" name="青海省">
          <a:extLst>
            <a:ext uri="{FF2B5EF4-FFF2-40B4-BE49-F238E27FC236}">
              <a16:creationId xmlns:a16="http://schemas.microsoft.com/office/drawing/2014/main" id="{6A8FC5EA-8028-46F7-6FB6-2F667DB74EB0}"/>
            </a:ext>
          </a:extLst>
        </xdr:cNvPr>
        <xdr:cNvSpPr/>
      </xdr:nvSpPr>
      <xdr:spPr>
        <a:xfrm>
          <a:off x="1877147" y="18422097"/>
          <a:ext cx="1109036" cy="758626"/>
        </a:xfrm>
        <a:custGeom>
          <a:avLst/>
          <a:gdLst/>
          <a:ahLst/>
          <a:cxnLst/>
          <a:rect l="0" t="0" r="0" b="0"/>
          <a:pathLst>
            <a:path w="1109036" h="758626">
              <a:moveTo>
                <a:pt x="1089767" y="291274"/>
              </a:moveTo>
              <a:lnTo>
                <a:pt x="1084262" y="270754"/>
              </a:lnTo>
              <a:lnTo>
                <a:pt x="1071199" y="256409"/>
              </a:lnTo>
              <a:lnTo>
                <a:pt x="1080858" y="250574"/>
              </a:lnTo>
              <a:lnTo>
                <a:pt x="1058938" y="230199"/>
              </a:lnTo>
              <a:lnTo>
                <a:pt x="1063492" y="225044"/>
              </a:lnTo>
              <a:lnTo>
                <a:pt x="1062041" y="219015"/>
              </a:lnTo>
              <a:lnTo>
                <a:pt x="1074553" y="216827"/>
              </a:lnTo>
              <a:lnTo>
                <a:pt x="1071099" y="209192"/>
              </a:lnTo>
              <a:lnTo>
                <a:pt x="1030762" y="177730"/>
              </a:lnTo>
              <a:lnTo>
                <a:pt x="1033014" y="171215"/>
              </a:lnTo>
              <a:lnTo>
                <a:pt x="1022254" y="152882"/>
              </a:lnTo>
              <a:lnTo>
                <a:pt x="1007390" y="160128"/>
              </a:lnTo>
              <a:lnTo>
                <a:pt x="994678" y="152008"/>
              </a:lnTo>
              <a:lnTo>
                <a:pt x="989724" y="142331"/>
              </a:lnTo>
              <a:lnTo>
                <a:pt x="978413" y="138344"/>
              </a:lnTo>
              <a:lnTo>
                <a:pt x="970556" y="146075"/>
              </a:lnTo>
              <a:lnTo>
                <a:pt x="957594" y="140288"/>
              </a:lnTo>
              <a:lnTo>
                <a:pt x="949486" y="130078"/>
              </a:lnTo>
              <a:lnTo>
                <a:pt x="932570" y="123221"/>
              </a:lnTo>
              <a:lnTo>
                <a:pt x="934072" y="106104"/>
              </a:lnTo>
              <a:lnTo>
                <a:pt x="929768" y="109265"/>
              </a:lnTo>
              <a:lnTo>
                <a:pt x="917957" y="98373"/>
              </a:lnTo>
              <a:lnTo>
                <a:pt x="894985" y="96135"/>
              </a:lnTo>
              <a:lnTo>
                <a:pt x="885726" y="90544"/>
              </a:lnTo>
              <a:lnTo>
                <a:pt x="884375" y="84417"/>
              </a:lnTo>
              <a:lnTo>
                <a:pt x="880922" y="86702"/>
              </a:lnTo>
              <a:lnTo>
                <a:pt x="879370" y="78873"/>
              </a:lnTo>
              <a:lnTo>
                <a:pt x="865057" y="70898"/>
              </a:lnTo>
              <a:lnTo>
                <a:pt x="859952" y="76247"/>
              </a:lnTo>
              <a:lnTo>
                <a:pt x="873165" y="90641"/>
              </a:lnTo>
              <a:lnTo>
                <a:pt x="874716" y="101630"/>
              </a:lnTo>
              <a:lnTo>
                <a:pt x="870112" y="100658"/>
              </a:lnTo>
              <a:lnTo>
                <a:pt x="832177" y="78095"/>
              </a:lnTo>
              <a:lnTo>
                <a:pt x="808004" y="50135"/>
              </a:lnTo>
              <a:lnTo>
                <a:pt x="784182" y="31510"/>
              </a:lnTo>
              <a:lnTo>
                <a:pt x="787335" y="25772"/>
              </a:lnTo>
              <a:lnTo>
                <a:pt x="774673" y="22028"/>
              </a:lnTo>
              <a:lnTo>
                <a:pt x="763713" y="11769"/>
              </a:lnTo>
              <a:lnTo>
                <a:pt x="757757" y="11671"/>
              </a:lnTo>
              <a:lnTo>
                <a:pt x="744845" y="28057"/>
              </a:lnTo>
              <a:lnTo>
                <a:pt x="734535" y="25675"/>
              </a:lnTo>
              <a:lnTo>
                <a:pt x="728530" y="17652"/>
              </a:lnTo>
              <a:lnTo>
                <a:pt x="720172" y="17895"/>
              </a:lnTo>
              <a:lnTo>
                <a:pt x="717019" y="33212"/>
              </a:lnTo>
              <a:lnTo>
                <a:pt x="704808" y="43035"/>
              </a:lnTo>
              <a:lnTo>
                <a:pt x="644301" y="3209"/>
              </a:lnTo>
              <a:lnTo>
                <a:pt x="613022" y="0"/>
              </a:lnTo>
              <a:lnTo>
                <a:pt x="617076" y="5884"/>
              </a:lnTo>
              <a:lnTo>
                <a:pt x="611270" y="30392"/>
              </a:lnTo>
              <a:lnTo>
                <a:pt x="620629" y="63021"/>
              </a:lnTo>
              <a:lnTo>
                <a:pt x="612922" y="66813"/>
              </a:lnTo>
              <a:lnTo>
                <a:pt x="599359" y="61610"/>
              </a:lnTo>
              <a:lnTo>
                <a:pt x="598258" y="72405"/>
              </a:lnTo>
              <a:lnTo>
                <a:pt x="589000" y="74545"/>
              </a:lnTo>
              <a:lnTo>
                <a:pt x="592353" y="77073"/>
              </a:lnTo>
              <a:lnTo>
                <a:pt x="585746" y="87772"/>
              </a:lnTo>
              <a:lnTo>
                <a:pt x="588900" y="100803"/>
              </a:lnTo>
              <a:lnTo>
                <a:pt x="565578" y="95942"/>
              </a:lnTo>
              <a:lnTo>
                <a:pt x="556319" y="109508"/>
              </a:lnTo>
              <a:lnTo>
                <a:pt x="540204" y="106687"/>
              </a:lnTo>
              <a:lnTo>
                <a:pt x="510777" y="83201"/>
              </a:lnTo>
              <a:lnTo>
                <a:pt x="490608" y="94433"/>
              </a:lnTo>
              <a:lnTo>
                <a:pt x="474643" y="93266"/>
              </a:lnTo>
              <a:lnTo>
                <a:pt x="463533" y="81450"/>
              </a:lnTo>
              <a:lnTo>
                <a:pt x="451471" y="80088"/>
              </a:lnTo>
              <a:lnTo>
                <a:pt x="417940" y="88209"/>
              </a:lnTo>
              <a:lnTo>
                <a:pt x="402425" y="45515"/>
              </a:lnTo>
              <a:lnTo>
                <a:pt x="362989" y="49892"/>
              </a:lnTo>
              <a:lnTo>
                <a:pt x="352529" y="40847"/>
              </a:lnTo>
              <a:lnTo>
                <a:pt x="362939" y="38902"/>
              </a:lnTo>
              <a:lnTo>
                <a:pt x="362939" y="34575"/>
              </a:lnTo>
              <a:lnTo>
                <a:pt x="350327" y="28642"/>
              </a:lnTo>
              <a:lnTo>
                <a:pt x="305635" y="28690"/>
              </a:lnTo>
              <a:lnTo>
                <a:pt x="307187" y="15950"/>
              </a:lnTo>
              <a:lnTo>
                <a:pt x="300430" y="1946"/>
              </a:lnTo>
              <a:lnTo>
                <a:pt x="254187" y="9094"/>
              </a:lnTo>
              <a:lnTo>
                <a:pt x="240725" y="20765"/>
              </a:lnTo>
              <a:lnTo>
                <a:pt x="164854" y="40215"/>
              </a:lnTo>
              <a:lnTo>
                <a:pt x="152843" y="47218"/>
              </a:lnTo>
              <a:lnTo>
                <a:pt x="100944" y="54705"/>
              </a:lnTo>
              <a:lnTo>
                <a:pt x="96790" y="63021"/>
              </a:lnTo>
              <a:lnTo>
                <a:pt x="84979" y="66959"/>
              </a:lnTo>
              <a:lnTo>
                <a:pt x="82027" y="73475"/>
              </a:lnTo>
              <a:lnTo>
                <a:pt x="56403" y="75129"/>
              </a:lnTo>
              <a:lnTo>
                <a:pt x="56403" y="81256"/>
              </a:lnTo>
              <a:lnTo>
                <a:pt x="61908" y="83541"/>
              </a:lnTo>
              <a:lnTo>
                <a:pt x="58505" y="89376"/>
              </a:lnTo>
              <a:lnTo>
                <a:pt x="70116" y="99977"/>
              </a:lnTo>
              <a:lnTo>
                <a:pt x="75971" y="100464"/>
              </a:lnTo>
              <a:lnTo>
                <a:pt x="76722" y="93559"/>
              </a:lnTo>
              <a:lnTo>
                <a:pt x="90484" y="91516"/>
              </a:lnTo>
              <a:lnTo>
                <a:pt x="89534" y="152299"/>
              </a:lnTo>
              <a:lnTo>
                <a:pt x="110503" y="160711"/>
              </a:lnTo>
              <a:lnTo>
                <a:pt x="125167" y="178217"/>
              </a:lnTo>
              <a:lnTo>
                <a:pt x="134526" y="178411"/>
              </a:lnTo>
              <a:lnTo>
                <a:pt x="144385" y="199078"/>
              </a:lnTo>
              <a:lnTo>
                <a:pt x="144084" y="206031"/>
              </a:lnTo>
              <a:lnTo>
                <a:pt x="151341" y="210311"/>
              </a:lnTo>
              <a:lnTo>
                <a:pt x="153243" y="225726"/>
              </a:lnTo>
              <a:lnTo>
                <a:pt x="143284" y="224413"/>
              </a:lnTo>
              <a:lnTo>
                <a:pt x="131573" y="234138"/>
              </a:lnTo>
              <a:lnTo>
                <a:pt x="116709" y="235597"/>
              </a:lnTo>
              <a:lnTo>
                <a:pt x="106800" y="244689"/>
              </a:lnTo>
              <a:lnTo>
                <a:pt x="108651" y="255290"/>
              </a:lnTo>
              <a:lnTo>
                <a:pt x="104698" y="261612"/>
              </a:lnTo>
              <a:lnTo>
                <a:pt x="107550" y="269002"/>
              </a:lnTo>
              <a:lnTo>
                <a:pt x="131473" y="274692"/>
              </a:lnTo>
              <a:lnTo>
                <a:pt x="130722" y="295505"/>
              </a:lnTo>
              <a:lnTo>
                <a:pt x="134476" y="297985"/>
              </a:lnTo>
              <a:lnTo>
                <a:pt x="132774" y="304112"/>
              </a:lnTo>
              <a:lnTo>
                <a:pt x="138729" y="316463"/>
              </a:lnTo>
              <a:lnTo>
                <a:pt x="135176" y="319185"/>
              </a:lnTo>
              <a:lnTo>
                <a:pt x="126868" y="317337"/>
              </a:lnTo>
              <a:lnTo>
                <a:pt x="122314" y="325166"/>
              </a:lnTo>
              <a:lnTo>
                <a:pt x="116409" y="326382"/>
              </a:lnTo>
              <a:lnTo>
                <a:pt x="100894" y="314517"/>
              </a:lnTo>
              <a:lnTo>
                <a:pt x="66562" y="311941"/>
              </a:lnTo>
              <a:lnTo>
                <a:pt x="47594" y="300027"/>
              </a:lnTo>
              <a:lnTo>
                <a:pt x="48946" y="306591"/>
              </a:lnTo>
              <a:lnTo>
                <a:pt x="42840" y="313935"/>
              </a:lnTo>
              <a:lnTo>
                <a:pt x="42540" y="321277"/>
              </a:lnTo>
              <a:lnTo>
                <a:pt x="23872" y="318700"/>
              </a:lnTo>
              <a:lnTo>
                <a:pt x="15264" y="324242"/>
              </a:lnTo>
              <a:lnTo>
                <a:pt x="0" y="323562"/>
              </a:lnTo>
              <a:lnTo>
                <a:pt x="851" y="336352"/>
              </a:lnTo>
              <a:lnTo>
                <a:pt x="10810" y="342429"/>
              </a:lnTo>
              <a:lnTo>
                <a:pt x="31229" y="343305"/>
              </a:lnTo>
              <a:lnTo>
                <a:pt x="25074" y="363339"/>
              </a:lnTo>
              <a:lnTo>
                <a:pt x="28276" y="368153"/>
              </a:lnTo>
              <a:lnTo>
                <a:pt x="22922" y="373647"/>
              </a:lnTo>
              <a:lnTo>
                <a:pt x="28226" y="379872"/>
              </a:lnTo>
              <a:lnTo>
                <a:pt x="6456" y="391979"/>
              </a:lnTo>
              <a:lnTo>
                <a:pt x="9259" y="400441"/>
              </a:lnTo>
              <a:lnTo>
                <a:pt x="2652" y="405644"/>
              </a:lnTo>
              <a:lnTo>
                <a:pt x="14263" y="417508"/>
              </a:lnTo>
              <a:lnTo>
                <a:pt x="13112" y="438273"/>
              </a:lnTo>
              <a:lnTo>
                <a:pt x="30078" y="435647"/>
              </a:lnTo>
              <a:lnTo>
                <a:pt x="36584" y="446637"/>
              </a:lnTo>
              <a:lnTo>
                <a:pt x="25574" y="454416"/>
              </a:lnTo>
              <a:lnTo>
                <a:pt x="25023" y="461467"/>
              </a:lnTo>
              <a:lnTo>
                <a:pt x="30979" y="464628"/>
              </a:lnTo>
              <a:lnTo>
                <a:pt x="31029" y="487532"/>
              </a:lnTo>
              <a:lnTo>
                <a:pt x="36484" y="494582"/>
              </a:lnTo>
              <a:lnTo>
                <a:pt x="32430" y="509851"/>
              </a:lnTo>
              <a:lnTo>
                <a:pt x="17667" y="521618"/>
              </a:lnTo>
              <a:lnTo>
                <a:pt x="30679" y="539659"/>
              </a:lnTo>
              <a:lnTo>
                <a:pt x="42640" y="545931"/>
              </a:lnTo>
              <a:lnTo>
                <a:pt x="39787" y="551816"/>
              </a:lnTo>
              <a:lnTo>
                <a:pt x="45993" y="553323"/>
              </a:lnTo>
              <a:lnTo>
                <a:pt x="48195" y="570099"/>
              </a:lnTo>
              <a:lnTo>
                <a:pt x="56052" y="579143"/>
              </a:lnTo>
              <a:lnTo>
                <a:pt x="67363" y="582743"/>
              </a:lnTo>
              <a:lnTo>
                <a:pt x="76822" y="596795"/>
              </a:lnTo>
              <a:lnTo>
                <a:pt x="87181" y="598206"/>
              </a:lnTo>
              <a:lnTo>
                <a:pt x="104548" y="610751"/>
              </a:lnTo>
              <a:lnTo>
                <a:pt x="140581" y="616927"/>
              </a:lnTo>
              <a:lnTo>
                <a:pt x="146987" y="610168"/>
              </a:lnTo>
              <a:lnTo>
                <a:pt x="164003" y="617510"/>
              </a:lnTo>
              <a:lnTo>
                <a:pt x="172111" y="614203"/>
              </a:lnTo>
              <a:lnTo>
                <a:pt x="175964" y="620282"/>
              </a:lnTo>
              <a:lnTo>
                <a:pt x="196784" y="628937"/>
              </a:lnTo>
              <a:lnTo>
                <a:pt x="206242" y="641288"/>
              </a:lnTo>
              <a:lnTo>
                <a:pt x="221657" y="634968"/>
              </a:lnTo>
              <a:lnTo>
                <a:pt x="226511" y="636864"/>
              </a:lnTo>
              <a:lnTo>
                <a:pt x="225961" y="647658"/>
              </a:lnTo>
              <a:lnTo>
                <a:pt x="230565" y="650917"/>
              </a:lnTo>
              <a:lnTo>
                <a:pt x="238723" y="646686"/>
              </a:lnTo>
              <a:lnTo>
                <a:pt x="261394" y="650917"/>
              </a:lnTo>
              <a:lnTo>
                <a:pt x="265598" y="646638"/>
              </a:lnTo>
              <a:lnTo>
                <a:pt x="280262" y="653105"/>
              </a:lnTo>
              <a:lnTo>
                <a:pt x="292673" y="649313"/>
              </a:lnTo>
              <a:lnTo>
                <a:pt x="296727" y="660059"/>
              </a:lnTo>
              <a:lnTo>
                <a:pt x="310540" y="656557"/>
              </a:lnTo>
              <a:lnTo>
                <a:pt x="322401" y="669784"/>
              </a:lnTo>
              <a:lnTo>
                <a:pt x="328707" y="666817"/>
              </a:lnTo>
              <a:lnTo>
                <a:pt x="333061" y="674550"/>
              </a:lnTo>
              <a:lnTo>
                <a:pt x="349726" y="664677"/>
              </a:lnTo>
              <a:lnTo>
                <a:pt x="357734" y="667449"/>
              </a:lnTo>
              <a:lnTo>
                <a:pt x="361087" y="675474"/>
              </a:lnTo>
              <a:lnTo>
                <a:pt x="369094" y="673674"/>
              </a:lnTo>
              <a:lnTo>
                <a:pt x="383508" y="678585"/>
              </a:lnTo>
              <a:lnTo>
                <a:pt x="388312" y="670659"/>
              </a:lnTo>
              <a:lnTo>
                <a:pt x="402526" y="669832"/>
              </a:lnTo>
              <a:lnTo>
                <a:pt x="404427" y="663123"/>
              </a:lnTo>
              <a:lnTo>
                <a:pt x="409983" y="665262"/>
              </a:lnTo>
              <a:lnTo>
                <a:pt x="422244" y="655487"/>
              </a:lnTo>
              <a:lnTo>
                <a:pt x="446467" y="680335"/>
              </a:lnTo>
              <a:lnTo>
                <a:pt x="471340" y="682135"/>
              </a:lnTo>
              <a:lnTo>
                <a:pt x="474843" y="686851"/>
              </a:lnTo>
              <a:lnTo>
                <a:pt x="461431" y="689332"/>
              </a:lnTo>
              <a:lnTo>
                <a:pt x="460029" y="693417"/>
              </a:lnTo>
              <a:lnTo>
                <a:pt x="473192" y="689478"/>
              </a:lnTo>
              <a:lnTo>
                <a:pt x="479197" y="706011"/>
              </a:lnTo>
              <a:lnTo>
                <a:pt x="489357" y="705135"/>
              </a:lnTo>
              <a:lnTo>
                <a:pt x="487805" y="717000"/>
              </a:lnTo>
              <a:lnTo>
                <a:pt x="490508" y="719528"/>
              </a:lnTo>
              <a:lnTo>
                <a:pt x="482901" y="724148"/>
              </a:lnTo>
              <a:lnTo>
                <a:pt x="495162" y="744135"/>
              </a:lnTo>
              <a:lnTo>
                <a:pt x="505121" y="741071"/>
              </a:lnTo>
              <a:lnTo>
                <a:pt x="516932" y="744280"/>
              </a:lnTo>
              <a:lnTo>
                <a:pt x="520536" y="750651"/>
              </a:lnTo>
              <a:lnTo>
                <a:pt x="526641" y="737765"/>
              </a:lnTo>
              <a:lnTo>
                <a:pt x="533498" y="737813"/>
              </a:lnTo>
              <a:lnTo>
                <a:pt x="546910" y="750261"/>
              </a:lnTo>
              <a:lnTo>
                <a:pt x="547561" y="758236"/>
              </a:lnTo>
              <a:lnTo>
                <a:pt x="551715" y="758625"/>
              </a:lnTo>
              <a:lnTo>
                <a:pt x="555318" y="749192"/>
              </a:lnTo>
              <a:lnTo>
                <a:pt x="549313" y="741752"/>
              </a:lnTo>
              <a:lnTo>
                <a:pt x="550163" y="729449"/>
              </a:lnTo>
              <a:lnTo>
                <a:pt x="555418" y="726968"/>
              </a:lnTo>
              <a:lnTo>
                <a:pt x="566479" y="727942"/>
              </a:lnTo>
              <a:lnTo>
                <a:pt x="570232" y="739758"/>
              </a:lnTo>
              <a:lnTo>
                <a:pt x="580992" y="747829"/>
              </a:lnTo>
              <a:lnTo>
                <a:pt x="584846" y="745398"/>
              </a:lnTo>
              <a:lnTo>
                <a:pt x="598108" y="751282"/>
              </a:lnTo>
              <a:lnTo>
                <a:pt x="603113" y="747003"/>
              </a:lnTo>
              <a:lnTo>
                <a:pt x="597057" y="737569"/>
              </a:lnTo>
              <a:lnTo>
                <a:pt x="600710" y="730373"/>
              </a:lnTo>
              <a:lnTo>
                <a:pt x="593554" y="718994"/>
              </a:lnTo>
              <a:lnTo>
                <a:pt x="605415" y="723613"/>
              </a:lnTo>
              <a:lnTo>
                <a:pt x="616625" y="713743"/>
              </a:lnTo>
              <a:lnTo>
                <a:pt x="629888" y="717098"/>
              </a:lnTo>
              <a:lnTo>
                <a:pt x="635093" y="714132"/>
              </a:lnTo>
              <a:lnTo>
                <a:pt x="633942" y="709803"/>
              </a:lnTo>
              <a:lnTo>
                <a:pt x="641148" y="712916"/>
              </a:lnTo>
              <a:lnTo>
                <a:pt x="637545" y="702753"/>
              </a:lnTo>
              <a:lnTo>
                <a:pt x="640448" y="691958"/>
              </a:lnTo>
              <a:lnTo>
                <a:pt x="646253" y="694049"/>
              </a:lnTo>
              <a:lnTo>
                <a:pt x="650607" y="689284"/>
              </a:lnTo>
              <a:lnTo>
                <a:pt x="647604" y="679218"/>
              </a:lnTo>
              <a:lnTo>
                <a:pt x="643801" y="677905"/>
              </a:lnTo>
              <a:lnTo>
                <a:pt x="647654" y="672069"/>
              </a:lnTo>
              <a:lnTo>
                <a:pt x="643100" y="668130"/>
              </a:lnTo>
              <a:lnTo>
                <a:pt x="652559" y="663851"/>
              </a:lnTo>
              <a:lnTo>
                <a:pt x="656913" y="669249"/>
              </a:lnTo>
              <a:lnTo>
                <a:pt x="675480" y="669589"/>
              </a:lnTo>
              <a:lnTo>
                <a:pt x="650507" y="652474"/>
              </a:lnTo>
              <a:lnTo>
                <a:pt x="644351" y="633994"/>
              </a:lnTo>
              <a:lnTo>
                <a:pt x="646603" y="628111"/>
              </a:lnTo>
              <a:lnTo>
                <a:pt x="658664" y="624999"/>
              </a:lnTo>
              <a:lnTo>
                <a:pt x="655712" y="607591"/>
              </a:lnTo>
              <a:lnTo>
                <a:pt x="665471" y="598303"/>
              </a:lnTo>
              <a:lnTo>
                <a:pt x="666672" y="591203"/>
              </a:lnTo>
              <a:lnTo>
                <a:pt x="677382" y="584104"/>
              </a:lnTo>
              <a:lnTo>
                <a:pt x="660967" y="578658"/>
              </a:lnTo>
              <a:lnTo>
                <a:pt x="658614" y="567814"/>
              </a:lnTo>
              <a:lnTo>
                <a:pt x="649856" y="565042"/>
              </a:lnTo>
              <a:lnTo>
                <a:pt x="650457" y="550453"/>
              </a:lnTo>
              <a:lnTo>
                <a:pt x="646303" y="541944"/>
              </a:lnTo>
              <a:lnTo>
                <a:pt x="648205" y="537326"/>
              </a:lnTo>
              <a:lnTo>
                <a:pt x="667223" y="534358"/>
              </a:lnTo>
              <a:lnTo>
                <a:pt x="673178" y="522883"/>
              </a:lnTo>
              <a:lnTo>
                <a:pt x="670175" y="514032"/>
              </a:lnTo>
              <a:lnTo>
                <a:pt x="681936" y="506107"/>
              </a:lnTo>
              <a:lnTo>
                <a:pt x="714116" y="518215"/>
              </a:lnTo>
              <a:lnTo>
                <a:pt x="729831" y="518117"/>
              </a:lnTo>
              <a:lnTo>
                <a:pt x="733134" y="528280"/>
              </a:lnTo>
              <a:lnTo>
                <a:pt x="730432" y="539465"/>
              </a:lnTo>
              <a:lnTo>
                <a:pt x="750700" y="560958"/>
              </a:lnTo>
              <a:lnTo>
                <a:pt x="747497" y="561930"/>
              </a:lnTo>
              <a:lnTo>
                <a:pt x="750000" y="570586"/>
              </a:lnTo>
              <a:lnTo>
                <a:pt x="756306" y="575010"/>
              </a:lnTo>
              <a:lnTo>
                <a:pt x="760710" y="587946"/>
              </a:lnTo>
              <a:lnTo>
                <a:pt x="759058" y="597038"/>
              </a:lnTo>
              <a:lnTo>
                <a:pt x="767116" y="609292"/>
              </a:lnTo>
              <a:lnTo>
                <a:pt x="794541" y="620477"/>
              </a:lnTo>
              <a:lnTo>
                <a:pt x="800447" y="635696"/>
              </a:lnTo>
              <a:lnTo>
                <a:pt x="809155" y="633605"/>
              </a:lnTo>
              <a:lnTo>
                <a:pt x="836931" y="649798"/>
              </a:lnTo>
              <a:lnTo>
                <a:pt x="842937" y="635211"/>
              </a:lnTo>
              <a:lnTo>
                <a:pt x="840684" y="631224"/>
              </a:lnTo>
              <a:lnTo>
                <a:pt x="847741" y="629570"/>
              </a:lnTo>
              <a:lnTo>
                <a:pt x="849893" y="619504"/>
              </a:lnTo>
              <a:lnTo>
                <a:pt x="869862" y="639684"/>
              </a:lnTo>
              <a:lnTo>
                <a:pt x="871163" y="650576"/>
              </a:lnTo>
              <a:lnTo>
                <a:pt x="867009" y="655926"/>
              </a:lnTo>
              <a:lnTo>
                <a:pt x="876768" y="661955"/>
              </a:lnTo>
              <a:lnTo>
                <a:pt x="880872" y="648826"/>
              </a:lnTo>
              <a:lnTo>
                <a:pt x="887428" y="651063"/>
              </a:lnTo>
              <a:lnTo>
                <a:pt x="892283" y="647513"/>
              </a:lnTo>
              <a:lnTo>
                <a:pt x="890581" y="653057"/>
              </a:lnTo>
              <a:lnTo>
                <a:pt x="893984" y="649847"/>
              </a:lnTo>
              <a:lnTo>
                <a:pt x="904144" y="665505"/>
              </a:lnTo>
              <a:lnTo>
                <a:pt x="912301" y="669686"/>
              </a:lnTo>
              <a:lnTo>
                <a:pt x="913602" y="661031"/>
              </a:lnTo>
              <a:lnTo>
                <a:pt x="917556" y="661614"/>
              </a:lnTo>
              <a:lnTo>
                <a:pt x="915955" y="655050"/>
              </a:lnTo>
              <a:lnTo>
                <a:pt x="935573" y="662538"/>
              </a:lnTo>
              <a:lnTo>
                <a:pt x="947384" y="654613"/>
              </a:lnTo>
              <a:lnTo>
                <a:pt x="953890" y="656655"/>
              </a:lnTo>
              <a:lnTo>
                <a:pt x="959245" y="650430"/>
              </a:lnTo>
              <a:lnTo>
                <a:pt x="960396" y="640851"/>
              </a:lnTo>
              <a:lnTo>
                <a:pt x="951188" y="632633"/>
              </a:lnTo>
              <a:lnTo>
                <a:pt x="956092" y="619893"/>
              </a:lnTo>
              <a:lnTo>
                <a:pt x="952989" y="618434"/>
              </a:lnTo>
              <a:lnTo>
                <a:pt x="951238" y="602436"/>
              </a:lnTo>
              <a:lnTo>
                <a:pt x="955942" y="597768"/>
              </a:lnTo>
              <a:lnTo>
                <a:pt x="965251" y="598449"/>
              </a:lnTo>
              <a:lnTo>
                <a:pt x="972107" y="609050"/>
              </a:lnTo>
              <a:lnTo>
                <a:pt x="973859" y="602047"/>
              </a:lnTo>
              <a:lnTo>
                <a:pt x="980715" y="601901"/>
              </a:lnTo>
              <a:lnTo>
                <a:pt x="992576" y="614107"/>
              </a:lnTo>
              <a:lnTo>
                <a:pt x="1000884" y="596747"/>
              </a:lnTo>
              <a:lnTo>
                <a:pt x="993877" y="592564"/>
              </a:lnTo>
              <a:lnTo>
                <a:pt x="995028" y="586633"/>
              </a:lnTo>
              <a:lnTo>
                <a:pt x="1003586" y="579630"/>
              </a:lnTo>
              <a:lnTo>
                <a:pt x="1004287" y="572044"/>
              </a:lnTo>
              <a:lnTo>
                <a:pt x="991675" y="575108"/>
              </a:lnTo>
              <a:lnTo>
                <a:pt x="988572" y="558332"/>
              </a:lnTo>
              <a:lnTo>
                <a:pt x="981866" y="555560"/>
              </a:lnTo>
              <a:lnTo>
                <a:pt x="972407" y="561200"/>
              </a:lnTo>
              <a:lnTo>
                <a:pt x="960346" y="557213"/>
              </a:lnTo>
              <a:lnTo>
                <a:pt x="954641" y="559741"/>
              </a:lnTo>
              <a:lnTo>
                <a:pt x="956593" y="546855"/>
              </a:lnTo>
              <a:lnTo>
                <a:pt x="953590" y="541702"/>
              </a:lnTo>
              <a:lnTo>
                <a:pt x="940678" y="537082"/>
              </a:lnTo>
              <a:lnTo>
                <a:pt x="921960" y="508927"/>
              </a:lnTo>
              <a:lnTo>
                <a:pt x="926615" y="495311"/>
              </a:lnTo>
              <a:lnTo>
                <a:pt x="937124" y="488795"/>
              </a:lnTo>
              <a:lnTo>
                <a:pt x="945532" y="494776"/>
              </a:lnTo>
              <a:lnTo>
                <a:pt x="956843" y="493415"/>
              </a:lnTo>
              <a:lnTo>
                <a:pt x="967703" y="502459"/>
              </a:lnTo>
              <a:lnTo>
                <a:pt x="991525" y="508927"/>
              </a:lnTo>
              <a:lnTo>
                <a:pt x="1000934" y="518604"/>
              </a:lnTo>
              <a:lnTo>
                <a:pt x="1010293" y="511456"/>
              </a:lnTo>
              <a:lnTo>
                <a:pt x="1018700" y="515735"/>
              </a:lnTo>
              <a:lnTo>
                <a:pt x="1027859" y="497646"/>
              </a:lnTo>
              <a:lnTo>
                <a:pt x="1034515" y="499785"/>
              </a:lnTo>
              <a:lnTo>
                <a:pt x="1037518" y="491811"/>
              </a:lnTo>
              <a:lnTo>
                <a:pt x="1043424" y="491519"/>
              </a:lnTo>
              <a:lnTo>
                <a:pt x="1035016" y="476590"/>
              </a:lnTo>
              <a:lnTo>
                <a:pt x="1017049" y="468713"/>
              </a:lnTo>
              <a:lnTo>
                <a:pt x="1015598" y="440412"/>
              </a:lnTo>
              <a:lnTo>
                <a:pt x="1027909" y="439001"/>
              </a:lnTo>
              <a:lnTo>
                <a:pt x="1030061" y="429179"/>
              </a:lnTo>
              <a:lnTo>
                <a:pt x="1046376" y="420767"/>
              </a:lnTo>
              <a:lnTo>
                <a:pt x="1047577" y="415077"/>
              </a:lnTo>
              <a:lnTo>
                <a:pt x="1055184" y="410068"/>
              </a:lnTo>
              <a:lnTo>
                <a:pt x="1052432" y="401656"/>
              </a:lnTo>
              <a:lnTo>
                <a:pt x="1045175" y="397767"/>
              </a:lnTo>
              <a:lnTo>
                <a:pt x="1048178" y="393779"/>
              </a:lnTo>
              <a:lnTo>
                <a:pt x="1046226" y="385707"/>
              </a:lnTo>
              <a:lnTo>
                <a:pt x="1058738" y="384394"/>
              </a:lnTo>
              <a:lnTo>
                <a:pt x="1063242" y="369612"/>
              </a:lnTo>
              <a:lnTo>
                <a:pt x="1082760" y="378656"/>
              </a:lnTo>
              <a:lnTo>
                <a:pt x="1085963" y="375349"/>
              </a:lnTo>
              <a:lnTo>
                <a:pt x="1083010" y="373599"/>
              </a:lnTo>
              <a:lnTo>
                <a:pt x="1088065" y="372092"/>
              </a:lnTo>
              <a:lnTo>
                <a:pt x="1078106" y="350939"/>
              </a:lnTo>
              <a:lnTo>
                <a:pt x="1086314" y="341846"/>
              </a:lnTo>
              <a:lnTo>
                <a:pt x="1099126" y="345153"/>
              </a:lnTo>
              <a:lnTo>
                <a:pt x="1101027" y="323611"/>
              </a:lnTo>
              <a:lnTo>
                <a:pt x="1094021" y="319770"/>
              </a:lnTo>
              <a:lnTo>
                <a:pt x="1109035" y="306251"/>
              </a:lnTo>
              <a:lnTo>
                <a:pt x="1090317" y="293365"/>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3</xdr:col>
      <xdr:colOff>753604</xdr:colOff>
      <xdr:row>98</xdr:row>
      <xdr:rowOff>77374</xdr:rowOff>
    </xdr:from>
    <xdr:to>
      <xdr:col>4</xdr:col>
      <xdr:colOff>204651</xdr:colOff>
      <xdr:row>99</xdr:row>
      <xdr:rowOff>248723</xdr:rowOff>
    </xdr:to>
    <xdr:sp macro="MapShapeClick" textlink="">
      <xdr:nvSpPr>
        <xdr:cNvPr id="55" name="宁夏回族自治区">
          <a:extLst>
            <a:ext uri="{FF2B5EF4-FFF2-40B4-BE49-F238E27FC236}">
              <a16:creationId xmlns:a16="http://schemas.microsoft.com/office/drawing/2014/main" id="{2FF82BCA-0A42-C731-4D9D-09E8320B6DFD}"/>
            </a:ext>
          </a:extLst>
        </xdr:cNvPr>
        <xdr:cNvSpPr/>
      </xdr:nvSpPr>
      <xdr:spPr>
        <a:xfrm>
          <a:off x="3085324" y="18403474"/>
          <a:ext cx="274007" cy="422809"/>
        </a:xfrm>
        <a:custGeom>
          <a:avLst/>
          <a:gdLst/>
          <a:ahLst/>
          <a:cxnLst/>
          <a:rect l="0" t="0" r="0" b="0"/>
          <a:pathLst>
            <a:path w="274007" h="422809">
              <a:moveTo>
                <a:pt x="242276" y="235498"/>
              </a:moveTo>
              <a:lnTo>
                <a:pt x="247631" y="231463"/>
              </a:lnTo>
              <a:lnTo>
                <a:pt x="241375" y="211233"/>
              </a:lnTo>
              <a:lnTo>
                <a:pt x="243527" y="196451"/>
              </a:lnTo>
              <a:lnTo>
                <a:pt x="250434" y="185607"/>
              </a:lnTo>
              <a:lnTo>
                <a:pt x="245730" y="183322"/>
              </a:lnTo>
              <a:lnTo>
                <a:pt x="254738" y="177632"/>
              </a:lnTo>
              <a:lnTo>
                <a:pt x="251885" y="174958"/>
              </a:lnTo>
              <a:lnTo>
                <a:pt x="259843" y="173401"/>
              </a:lnTo>
              <a:lnTo>
                <a:pt x="260994" y="167324"/>
              </a:lnTo>
              <a:lnTo>
                <a:pt x="270853" y="166255"/>
              </a:lnTo>
              <a:lnTo>
                <a:pt x="274006" y="159252"/>
              </a:lnTo>
              <a:lnTo>
                <a:pt x="253887" y="148553"/>
              </a:lnTo>
              <a:lnTo>
                <a:pt x="256239" y="143642"/>
              </a:lnTo>
              <a:lnTo>
                <a:pt x="235921" y="127303"/>
              </a:lnTo>
              <a:lnTo>
                <a:pt x="215752" y="129541"/>
              </a:lnTo>
              <a:lnTo>
                <a:pt x="178367" y="110188"/>
              </a:lnTo>
              <a:lnTo>
                <a:pt x="187925" y="102894"/>
              </a:lnTo>
              <a:lnTo>
                <a:pt x="196834" y="68709"/>
              </a:lnTo>
              <a:lnTo>
                <a:pt x="216702" y="45515"/>
              </a:lnTo>
              <a:lnTo>
                <a:pt x="218154" y="36616"/>
              </a:lnTo>
              <a:lnTo>
                <a:pt x="203840" y="16921"/>
              </a:lnTo>
              <a:lnTo>
                <a:pt x="202689" y="389"/>
              </a:lnTo>
              <a:lnTo>
                <a:pt x="188126" y="0"/>
              </a:lnTo>
              <a:lnTo>
                <a:pt x="180769" y="10844"/>
              </a:lnTo>
              <a:lnTo>
                <a:pt x="161951" y="11914"/>
              </a:lnTo>
              <a:lnTo>
                <a:pt x="162352" y="24069"/>
              </a:lnTo>
              <a:lnTo>
                <a:pt x="151041" y="23341"/>
              </a:lnTo>
              <a:lnTo>
                <a:pt x="144135" y="42645"/>
              </a:lnTo>
              <a:lnTo>
                <a:pt x="136828" y="48869"/>
              </a:lnTo>
              <a:lnTo>
                <a:pt x="138580" y="54268"/>
              </a:lnTo>
              <a:lnTo>
                <a:pt x="131823" y="61173"/>
              </a:lnTo>
              <a:lnTo>
                <a:pt x="127219" y="76733"/>
              </a:lnTo>
              <a:lnTo>
                <a:pt x="124667" y="105277"/>
              </a:lnTo>
              <a:lnTo>
                <a:pt x="128320" y="112569"/>
              </a:lnTo>
              <a:lnTo>
                <a:pt x="120313" y="130660"/>
              </a:lnTo>
              <a:lnTo>
                <a:pt x="126218" y="142768"/>
              </a:lnTo>
              <a:lnTo>
                <a:pt x="119762" y="163822"/>
              </a:lnTo>
              <a:lnTo>
                <a:pt x="108501" y="166059"/>
              </a:lnTo>
              <a:lnTo>
                <a:pt x="106600" y="174132"/>
              </a:lnTo>
              <a:lnTo>
                <a:pt x="83528" y="173840"/>
              </a:lnTo>
              <a:lnTo>
                <a:pt x="60206" y="186287"/>
              </a:lnTo>
              <a:lnTo>
                <a:pt x="11911" y="192999"/>
              </a:lnTo>
              <a:lnTo>
                <a:pt x="9809" y="198201"/>
              </a:lnTo>
              <a:lnTo>
                <a:pt x="0" y="201945"/>
              </a:lnTo>
              <a:lnTo>
                <a:pt x="31930" y="203989"/>
              </a:lnTo>
              <a:lnTo>
                <a:pt x="30479" y="208122"/>
              </a:lnTo>
              <a:lnTo>
                <a:pt x="34683" y="212011"/>
              </a:lnTo>
              <a:lnTo>
                <a:pt x="27426" y="215172"/>
              </a:lnTo>
              <a:lnTo>
                <a:pt x="25474" y="220862"/>
              </a:lnTo>
              <a:lnTo>
                <a:pt x="28527" y="225043"/>
              </a:lnTo>
              <a:lnTo>
                <a:pt x="39787" y="220473"/>
              </a:lnTo>
              <a:lnTo>
                <a:pt x="46243" y="224023"/>
              </a:lnTo>
              <a:lnTo>
                <a:pt x="54251" y="241527"/>
              </a:lnTo>
              <a:lnTo>
                <a:pt x="71367" y="246147"/>
              </a:lnTo>
              <a:lnTo>
                <a:pt x="72468" y="256553"/>
              </a:lnTo>
              <a:lnTo>
                <a:pt x="77823" y="256311"/>
              </a:lnTo>
              <a:lnTo>
                <a:pt x="85130" y="265841"/>
              </a:lnTo>
              <a:lnTo>
                <a:pt x="83928" y="271726"/>
              </a:lnTo>
              <a:lnTo>
                <a:pt x="74270" y="276004"/>
              </a:lnTo>
              <a:lnTo>
                <a:pt x="78423" y="290932"/>
              </a:lnTo>
              <a:lnTo>
                <a:pt x="87382" y="296671"/>
              </a:lnTo>
              <a:lnTo>
                <a:pt x="99793" y="331877"/>
              </a:lnTo>
              <a:lnTo>
                <a:pt x="85880" y="343304"/>
              </a:lnTo>
              <a:lnTo>
                <a:pt x="84329" y="352542"/>
              </a:lnTo>
              <a:lnTo>
                <a:pt x="90234" y="361004"/>
              </a:lnTo>
              <a:lnTo>
                <a:pt x="88883" y="367472"/>
              </a:lnTo>
              <a:lnTo>
                <a:pt x="92787" y="364846"/>
              </a:lnTo>
              <a:lnTo>
                <a:pt x="97091" y="374036"/>
              </a:lnTo>
              <a:lnTo>
                <a:pt x="119612" y="374279"/>
              </a:lnTo>
              <a:lnTo>
                <a:pt x="114057" y="376905"/>
              </a:lnTo>
              <a:lnTo>
                <a:pt x="126769" y="397716"/>
              </a:lnTo>
              <a:lnTo>
                <a:pt x="131073" y="392027"/>
              </a:lnTo>
              <a:lnTo>
                <a:pt x="145586" y="395772"/>
              </a:lnTo>
              <a:lnTo>
                <a:pt x="148389" y="410554"/>
              </a:lnTo>
              <a:lnTo>
                <a:pt x="153243" y="402969"/>
              </a:lnTo>
              <a:lnTo>
                <a:pt x="158498" y="405789"/>
              </a:lnTo>
              <a:lnTo>
                <a:pt x="168708" y="422808"/>
              </a:lnTo>
              <a:lnTo>
                <a:pt x="179918" y="410311"/>
              </a:lnTo>
              <a:lnTo>
                <a:pt x="174513" y="377925"/>
              </a:lnTo>
              <a:lnTo>
                <a:pt x="189627" y="372383"/>
              </a:lnTo>
              <a:lnTo>
                <a:pt x="200187" y="377829"/>
              </a:lnTo>
              <a:lnTo>
                <a:pt x="214551" y="365720"/>
              </a:lnTo>
              <a:lnTo>
                <a:pt x="208244" y="357989"/>
              </a:lnTo>
              <a:lnTo>
                <a:pt x="215601" y="353612"/>
              </a:lnTo>
              <a:lnTo>
                <a:pt x="212498" y="352349"/>
              </a:lnTo>
              <a:lnTo>
                <a:pt x="216202" y="347874"/>
              </a:lnTo>
              <a:lnTo>
                <a:pt x="214801" y="332751"/>
              </a:lnTo>
              <a:lnTo>
                <a:pt x="206893" y="323659"/>
              </a:lnTo>
              <a:lnTo>
                <a:pt x="201989" y="325311"/>
              </a:lnTo>
              <a:lnTo>
                <a:pt x="194882" y="319185"/>
              </a:lnTo>
              <a:lnTo>
                <a:pt x="180168" y="319915"/>
              </a:lnTo>
              <a:lnTo>
                <a:pt x="177416" y="315878"/>
              </a:lnTo>
              <a:lnTo>
                <a:pt x="181720" y="299491"/>
              </a:lnTo>
              <a:lnTo>
                <a:pt x="168758" y="288501"/>
              </a:lnTo>
              <a:lnTo>
                <a:pt x="175314" y="290543"/>
              </a:lnTo>
              <a:lnTo>
                <a:pt x="180969" y="274498"/>
              </a:lnTo>
              <a:lnTo>
                <a:pt x="187475" y="270995"/>
              </a:lnTo>
              <a:lnTo>
                <a:pt x="191579" y="273767"/>
              </a:lnTo>
              <a:lnTo>
                <a:pt x="192630" y="263847"/>
              </a:lnTo>
              <a:lnTo>
                <a:pt x="183071" y="247217"/>
              </a:lnTo>
              <a:lnTo>
                <a:pt x="187575" y="251691"/>
              </a:lnTo>
              <a:lnTo>
                <a:pt x="191429" y="249406"/>
              </a:lnTo>
              <a:lnTo>
                <a:pt x="193381" y="243910"/>
              </a:lnTo>
              <a:lnTo>
                <a:pt x="188376" y="232629"/>
              </a:lnTo>
              <a:lnTo>
                <a:pt x="200137" y="235546"/>
              </a:lnTo>
              <a:lnTo>
                <a:pt x="202239" y="229517"/>
              </a:lnTo>
              <a:lnTo>
                <a:pt x="211598" y="235596"/>
              </a:lnTo>
              <a:lnTo>
                <a:pt x="212799" y="230198"/>
              </a:lnTo>
              <a:lnTo>
                <a:pt x="220306" y="234768"/>
              </a:lnTo>
              <a:lnTo>
                <a:pt x="235220" y="231024"/>
              </a:lnTo>
              <a:lnTo>
                <a:pt x="239524" y="235790"/>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1</xdr:col>
      <xdr:colOff>35351</xdr:colOff>
      <xdr:row>94</xdr:row>
      <xdr:rowOff>119730</xdr:rowOff>
    </xdr:from>
    <xdr:to>
      <xdr:col>3</xdr:col>
      <xdr:colOff>111656</xdr:colOff>
      <xdr:row>100</xdr:row>
      <xdr:rowOff>86687</xdr:rowOff>
    </xdr:to>
    <xdr:sp macro="MapShapeClick" textlink="">
      <xdr:nvSpPr>
        <xdr:cNvPr id="56" name="新疆维吾尔自治区">
          <a:extLst>
            <a:ext uri="{FF2B5EF4-FFF2-40B4-BE49-F238E27FC236}">
              <a16:creationId xmlns:a16="http://schemas.microsoft.com/office/drawing/2014/main" id="{43FB81D5-5DCC-716F-2778-75354EC8F952}"/>
            </a:ext>
          </a:extLst>
        </xdr:cNvPr>
        <xdr:cNvSpPr/>
      </xdr:nvSpPr>
      <xdr:spPr>
        <a:xfrm>
          <a:off x="583991" y="17287590"/>
          <a:ext cx="1859385" cy="1628117"/>
        </a:xfrm>
        <a:custGeom>
          <a:avLst/>
          <a:gdLst/>
          <a:ahLst/>
          <a:cxnLst/>
          <a:rect l="0" t="0" r="0" b="0"/>
          <a:pathLst>
            <a:path w="1859385" h="1628117">
              <a:moveTo>
                <a:pt x="1859384" y="754588"/>
              </a:moveTo>
              <a:lnTo>
                <a:pt x="1857533" y="735429"/>
              </a:lnTo>
              <a:lnTo>
                <a:pt x="1818246" y="693171"/>
              </a:lnTo>
              <a:lnTo>
                <a:pt x="1816444" y="677854"/>
              </a:lnTo>
              <a:lnTo>
                <a:pt x="1789569" y="611528"/>
              </a:lnTo>
              <a:lnTo>
                <a:pt x="1773304" y="609146"/>
              </a:lnTo>
              <a:lnTo>
                <a:pt x="1780361" y="578560"/>
              </a:lnTo>
              <a:lnTo>
                <a:pt x="1746629" y="583713"/>
              </a:lnTo>
              <a:lnTo>
                <a:pt x="1724208" y="573794"/>
              </a:lnTo>
              <a:lnTo>
                <a:pt x="1714749" y="561539"/>
              </a:lnTo>
              <a:lnTo>
                <a:pt x="1694681" y="553857"/>
              </a:lnTo>
              <a:lnTo>
                <a:pt x="1682970" y="536497"/>
              </a:lnTo>
              <a:lnTo>
                <a:pt x="1625616" y="502118"/>
              </a:lnTo>
              <a:lnTo>
                <a:pt x="1574819" y="493074"/>
              </a:lnTo>
              <a:lnTo>
                <a:pt x="1522520" y="496624"/>
              </a:lnTo>
              <a:lnTo>
                <a:pt x="1507606" y="488454"/>
              </a:lnTo>
              <a:lnTo>
                <a:pt x="1467368" y="489767"/>
              </a:lnTo>
              <a:lnTo>
                <a:pt x="1458210" y="480431"/>
              </a:lnTo>
              <a:lnTo>
                <a:pt x="1452405" y="485682"/>
              </a:lnTo>
              <a:lnTo>
                <a:pt x="1432286" y="473574"/>
              </a:lnTo>
              <a:lnTo>
                <a:pt x="1412117" y="476346"/>
              </a:lnTo>
              <a:lnTo>
                <a:pt x="1413418" y="469684"/>
              </a:lnTo>
              <a:lnTo>
                <a:pt x="1405861" y="464481"/>
              </a:lnTo>
              <a:lnTo>
                <a:pt x="1403259" y="448580"/>
              </a:lnTo>
              <a:lnTo>
                <a:pt x="1395001" y="442162"/>
              </a:lnTo>
              <a:lnTo>
                <a:pt x="1395452" y="431172"/>
              </a:lnTo>
              <a:lnTo>
                <a:pt x="1398554" y="414153"/>
              </a:lnTo>
              <a:lnTo>
                <a:pt x="1424028" y="379822"/>
              </a:lnTo>
              <a:lnTo>
                <a:pt x="1423478" y="368346"/>
              </a:lnTo>
              <a:lnTo>
                <a:pt x="1413618" y="345881"/>
              </a:lnTo>
              <a:lnTo>
                <a:pt x="1420375" y="338537"/>
              </a:lnTo>
              <a:lnTo>
                <a:pt x="1428182" y="316802"/>
              </a:lnTo>
              <a:lnTo>
                <a:pt x="1423177" y="314030"/>
              </a:lnTo>
              <a:lnTo>
                <a:pt x="1426130" y="298033"/>
              </a:lnTo>
              <a:lnTo>
                <a:pt x="1417072" y="285195"/>
              </a:lnTo>
              <a:lnTo>
                <a:pt x="1418323" y="278825"/>
              </a:lnTo>
              <a:lnTo>
                <a:pt x="1413718" y="269148"/>
              </a:lnTo>
              <a:lnTo>
                <a:pt x="1402808" y="265356"/>
              </a:lnTo>
              <a:lnTo>
                <a:pt x="1386093" y="239777"/>
              </a:lnTo>
              <a:lnTo>
                <a:pt x="1380137" y="226550"/>
              </a:lnTo>
              <a:lnTo>
                <a:pt x="1383240" y="219160"/>
              </a:lnTo>
              <a:lnTo>
                <a:pt x="1378536" y="216047"/>
              </a:lnTo>
              <a:lnTo>
                <a:pt x="1378536" y="204911"/>
              </a:lnTo>
              <a:lnTo>
                <a:pt x="1368626" y="188087"/>
              </a:lnTo>
              <a:lnTo>
                <a:pt x="1371729" y="187261"/>
              </a:lnTo>
              <a:lnTo>
                <a:pt x="1351460" y="177730"/>
              </a:lnTo>
              <a:lnTo>
                <a:pt x="1346656" y="171164"/>
              </a:lnTo>
              <a:lnTo>
                <a:pt x="1345855" y="158328"/>
              </a:lnTo>
              <a:lnTo>
                <a:pt x="1321132" y="164114"/>
              </a:lnTo>
              <a:lnTo>
                <a:pt x="1305468" y="139607"/>
              </a:lnTo>
              <a:lnTo>
                <a:pt x="1265580" y="145782"/>
              </a:lnTo>
              <a:lnTo>
                <a:pt x="1254270" y="130173"/>
              </a:lnTo>
              <a:lnTo>
                <a:pt x="1244961" y="131193"/>
              </a:lnTo>
              <a:lnTo>
                <a:pt x="1229847" y="121857"/>
              </a:lnTo>
              <a:lnTo>
                <a:pt x="1224692" y="110382"/>
              </a:lnTo>
              <a:lnTo>
                <a:pt x="1227195" y="103040"/>
              </a:lnTo>
              <a:lnTo>
                <a:pt x="1220488" y="95016"/>
              </a:lnTo>
              <a:lnTo>
                <a:pt x="1213582" y="96231"/>
              </a:lnTo>
              <a:lnTo>
                <a:pt x="1203823" y="85826"/>
              </a:lnTo>
              <a:lnTo>
                <a:pt x="1175797" y="73863"/>
              </a:lnTo>
              <a:lnTo>
                <a:pt x="1185355" y="56164"/>
              </a:lnTo>
              <a:lnTo>
                <a:pt x="1163885" y="46195"/>
              </a:lnTo>
              <a:lnTo>
                <a:pt x="1157029" y="36275"/>
              </a:lnTo>
              <a:lnTo>
                <a:pt x="1170792" y="24070"/>
              </a:lnTo>
              <a:lnTo>
                <a:pt x="1164586" y="14830"/>
              </a:lnTo>
              <a:lnTo>
                <a:pt x="1167189" y="8072"/>
              </a:lnTo>
              <a:lnTo>
                <a:pt x="1163435" y="0"/>
              </a:lnTo>
              <a:lnTo>
                <a:pt x="1138762" y="3500"/>
              </a:lnTo>
              <a:lnTo>
                <a:pt x="1132206" y="12253"/>
              </a:lnTo>
              <a:lnTo>
                <a:pt x="1105881" y="2285"/>
              </a:lnTo>
              <a:lnTo>
                <a:pt x="1087614" y="5203"/>
              </a:lnTo>
              <a:lnTo>
                <a:pt x="1074953" y="22222"/>
              </a:lnTo>
              <a:lnTo>
                <a:pt x="1077055" y="34573"/>
              </a:lnTo>
              <a:lnTo>
                <a:pt x="1082209" y="40067"/>
              </a:lnTo>
              <a:lnTo>
                <a:pt x="1076754" y="48189"/>
              </a:lnTo>
              <a:lnTo>
                <a:pt x="1078906" y="54753"/>
              </a:lnTo>
              <a:lnTo>
                <a:pt x="1062591" y="78434"/>
              </a:lnTo>
              <a:lnTo>
                <a:pt x="1040270" y="84171"/>
              </a:lnTo>
              <a:lnTo>
                <a:pt x="1033814" y="91465"/>
              </a:lnTo>
              <a:lnTo>
                <a:pt x="998531" y="93120"/>
              </a:lnTo>
              <a:lnTo>
                <a:pt x="981916" y="120885"/>
              </a:lnTo>
              <a:lnTo>
                <a:pt x="977411" y="138585"/>
              </a:lnTo>
              <a:lnTo>
                <a:pt x="984168" y="204863"/>
              </a:lnTo>
              <a:lnTo>
                <a:pt x="989873" y="213179"/>
              </a:lnTo>
              <a:lnTo>
                <a:pt x="991174" y="230003"/>
              </a:lnTo>
              <a:lnTo>
                <a:pt x="978563" y="257575"/>
              </a:lnTo>
              <a:lnTo>
                <a:pt x="956692" y="256262"/>
              </a:lnTo>
              <a:lnTo>
                <a:pt x="933170" y="274205"/>
              </a:lnTo>
              <a:lnTo>
                <a:pt x="930568" y="281012"/>
              </a:lnTo>
              <a:lnTo>
                <a:pt x="913752" y="263312"/>
              </a:lnTo>
              <a:lnTo>
                <a:pt x="847490" y="268030"/>
              </a:lnTo>
              <a:lnTo>
                <a:pt x="818513" y="257429"/>
              </a:lnTo>
              <a:lnTo>
                <a:pt x="801798" y="243182"/>
              </a:lnTo>
              <a:lnTo>
                <a:pt x="792639" y="243813"/>
              </a:lnTo>
              <a:lnTo>
                <a:pt x="784281" y="236277"/>
              </a:lnTo>
              <a:lnTo>
                <a:pt x="773922" y="238756"/>
              </a:lnTo>
              <a:lnTo>
                <a:pt x="761810" y="288599"/>
              </a:lnTo>
              <a:lnTo>
                <a:pt x="757857" y="291517"/>
              </a:lnTo>
              <a:lnTo>
                <a:pt x="727979" y="384879"/>
              </a:lnTo>
              <a:lnTo>
                <a:pt x="718320" y="390083"/>
              </a:lnTo>
              <a:lnTo>
                <a:pt x="718120" y="409046"/>
              </a:lnTo>
              <a:lnTo>
                <a:pt x="712114" y="426795"/>
              </a:lnTo>
              <a:lnTo>
                <a:pt x="713365" y="436229"/>
              </a:lnTo>
              <a:lnTo>
                <a:pt x="734885" y="449310"/>
              </a:lnTo>
              <a:lnTo>
                <a:pt x="739289" y="458549"/>
              </a:lnTo>
              <a:lnTo>
                <a:pt x="736186" y="474887"/>
              </a:lnTo>
              <a:lnTo>
                <a:pt x="730031" y="477611"/>
              </a:lnTo>
              <a:lnTo>
                <a:pt x="714366" y="469928"/>
              </a:lnTo>
              <a:lnTo>
                <a:pt x="684038" y="471580"/>
              </a:lnTo>
              <a:lnTo>
                <a:pt x="673228" y="454220"/>
              </a:lnTo>
              <a:lnTo>
                <a:pt x="600910" y="483786"/>
              </a:lnTo>
              <a:lnTo>
                <a:pt x="587398" y="480479"/>
              </a:lnTo>
              <a:lnTo>
                <a:pt x="576637" y="486266"/>
              </a:lnTo>
              <a:lnTo>
                <a:pt x="568080" y="483834"/>
              </a:lnTo>
              <a:lnTo>
                <a:pt x="557069" y="493754"/>
              </a:lnTo>
              <a:lnTo>
                <a:pt x="537051" y="492393"/>
              </a:lnTo>
              <a:lnTo>
                <a:pt x="518834" y="508877"/>
              </a:lnTo>
              <a:lnTo>
                <a:pt x="525440" y="512475"/>
              </a:lnTo>
              <a:lnTo>
                <a:pt x="527892" y="522104"/>
              </a:lnTo>
              <a:lnTo>
                <a:pt x="541755" y="516269"/>
              </a:lnTo>
              <a:lnTo>
                <a:pt x="544257" y="526334"/>
              </a:lnTo>
              <a:lnTo>
                <a:pt x="560472" y="540971"/>
              </a:lnTo>
              <a:lnTo>
                <a:pt x="556419" y="557406"/>
              </a:lnTo>
              <a:lnTo>
                <a:pt x="561523" y="582401"/>
              </a:lnTo>
              <a:lnTo>
                <a:pt x="559972" y="598010"/>
              </a:lnTo>
              <a:lnTo>
                <a:pt x="564476" y="603554"/>
              </a:lnTo>
              <a:lnTo>
                <a:pt x="570382" y="633070"/>
              </a:lnTo>
              <a:lnTo>
                <a:pt x="589299" y="669247"/>
              </a:lnTo>
              <a:lnTo>
                <a:pt x="583694" y="687190"/>
              </a:lnTo>
              <a:lnTo>
                <a:pt x="591101" y="690060"/>
              </a:lnTo>
              <a:lnTo>
                <a:pt x="593303" y="704551"/>
              </a:lnTo>
              <a:lnTo>
                <a:pt x="592502" y="709122"/>
              </a:lnTo>
              <a:lnTo>
                <a:pt x="576137" y="709560"/>
              </a:lnTo>
              <a:lnTo>
                <a:pt x="558721" y="720889"/>
              </a:lnTo>
              <a:lnTo>
                <a:pt x="576938" y="736110"/>
              </a:lnTo>
              <a:lnTo>
                <a:pt x="549262" y="743404"/>
              </a:lnTo>
              <a:lnTo>
                <a:pt x="541255" y="765382"/>
              </a:lnTo>
              <a:lnTo>
                <a:pt x="549512" y="779484"/>
              </a:lnTo>
              <a:lnTo>
                <a:pt x="544708" y="787265"/>
              </a:lnTo>
              <a:lnTo>
                <a:pt x="551714" y="806132"/>
              </a:lnTo>
              <a:lnTo>
                <a:pt x="541655" y="812648"/>
              </a:lnTo>
              <a:lnTo>
                <a:pt x="539303" y="818046"/>
              </a:lnTo>
              <a:lnTo>
                <a:pt x="543657" y="825680"/>
              </a:lnTo>
              <a:lnTo>
                <a:pt x="539503" y="830786"/>
              </a:lnTo>
              <a:lnTo>
                <a:pt x="521736" y="829958"/>
              </a:lnTo>
              <a:lnTo>
                <a:pt x="515981" y="832926"/>
              </a:lnTo>
              <a:lnTo>
                <a:pt x="509775" y="846347"/>
              </a:lnTo>
              <a:lnTo>
                <a:pt x="473191" y="855391"/>
              </a:lnTo>
              <a:lnTo>
                <a:pt x="464333" y="864533"/>
              </a:lnTo>
              <a:lnTo>
                <a:pt x="422043" y="884518"/>
              </a:lnTo>
              <a:lnTo>
                <a:pt x="418290" y="892590"/>
              </a:lnTo>
              <a:lnTo>
                <a:pt x="378753" y="901683"/>
              </a:lnTo>
              <a:lnTo>
                <a:pt x="375950" y="918460"/>
              </a:lnTo>
              <a:lnTo>
                <a:pt x="352128" y="926580"/>
              </a:lnTo>
              <a:lnTo>
                <a:pt x="351578" y="936695"/>
              </a:lnTo>
              <a:lnTo>
                <a:pt x="347624" y="940634"/>
              </a:lnTo>
              <a:lnTo>
                <a:pt x="297927" y="942093"/>
              </a:lnTo>
              <a:lnTo>
                <a:pt x="284365" y="935188"/>
              </a:lnTo>
              <a:lnTo>
                <a:pt x="274906" y="940147"/>
              </a:lnTo>
              <a:lnTo>
                <a:pt x="264847" y="948024"/>
              </a:lnTo>
              <a:lnTo>
                <a:pt x="262394" y="962564"/>
              </a:lnTo>
              <a:lnTo>
                <a:pt x="255488" y="968885"/>
              </a:lnTo>
              <a:lnTo>
                <a:pt x="256339" y="983862"/>
              </a:lnTo>
              <a:lnTo>
                <a:pt x="248181" y="992178"/>
              </a:lnTo>
              <a:lnTo>
                <a:pt x="246780" y="1000542"/>
              </a:lnTo>
              <a:lnTo>
                <a:pt x="230014" y="1013428"/>
              </a:lnTo>
              <a:lnTo>
                <a:pt x="225660" y="1003216"/>
              </a:lnTo>
              <a:lnTo>
                <a:pt x="217252" y="1009391"/>
              </a:lnTo>
              <a:lnTo>
                <a:pt x="201838" y="1009343"/>
              </a:lnTo>
              <a:lnTo>
                <a:pt x="196583" y="1018970"/>
              </a:lnTo>
              <a:lnTo>
                <a:pt x="189226" y="1015128"/>
              </a:lnTo>
              <a:lnTo>
                <a:pt x="179317" y="1020089"/>
              </a:lnTo>
              <a:lnTo>
                <a:pt x="176114" y="1011239"/>
              </a:lnTo>
              <a:lnTo>
                <a:pt x="181269" y="999472"/>
              </a:lnTo>
              <a:lnTo>
                <a:pt x="174212" y="994948"/>
              </a:lnTo>
              <a:lnTo>
                <a:pt x="170409" y="979631"/>
              </a:lnTo>
              <a:lnTo>
                <a:pt x="141381" y="1002194"/>
              </a:lnTo>
              <a:lnTo>
                <a:pt x="121313" y="1001514"/>
              </a:lnTo>
              <a:lnTo>
                <a:pt x="109051" y="994463"/>
              </a:lnTo>
              <a:lnTo>
                <a:pt x="105048" y="1002777"/>
              </a:lnTo>
              <a:lnTo>
                <a:pt x="114256" y="1013913"/>
              </a:lnTo>
              <a:lnTo>
                <a:pt x="97340" y="1013135"/>
              </a:lnTo>
              <a:lnTo>
                <a:pt x="95138" y="1020333"/>
              </a:lnTo>
              <a:lnTo>
                <a:pt x="87331" y="1022277"/>
              </a:lnTo>
              <a:lnTo>
                <a:pt x="69414" y="1040463"/>
              </a:lnTo>
              <a:lnTo>
                <a:pt x="50697" y="1038859"/>
              </a:lnTo>
              <a:lnTo>
                <a:pt x="35833" y="1048244"/>
              </a:lnTo>
              <a:lnTo>
                <a:pt x="38836" y="1049460"/>
              </a:lnTo>
              <a:lnTo>
                <a:pt x="27876" y="1067840"/>
              </a:lnTo>
              <a:lnTo>
                <a:pt x="27575" y="1075767"/>
              </a:lnTo>
              <a:lnTo>
                <a:pt x="34282" y="1079365"/>
              </a:lnTo>
              <a:lnTo>
                <a:pt x="36684" y="1092251"/>
              </a:lnTo>
              <a:lnTo>
                <a:pt x="29727" y="1104602"/>
              </a:lnTo>
              <a:lnTo>
                <a:pt x="8808" y="1106402"/>
              </a:lnTo>
              <a:lnTo>
                <a:pt x="7356" y="1112042"/>
              </a:lnTo>
              <a:lnTo>
                <a:pt x="0" y="1115008"/>
              </a:lnTo>
              <a:lnTo>
                <a:pt x="4204" y="1118558"/>
              </a:lnTo>
              <a:lnTo>
                <a:pt x="3253" y="1127019"/>
              </a:lnTo>
              <a:lnTo>
                <a:pt x="11160" y="1132174"/>
              </a:lnTo>
              <a:lnTo>
                <a:pt x="19568" y="1152159"/>
              </a:lnTo>
              <a:lnTo>
                <a:pt x="27425" y="1154396"/>
              </a:lnTo>
              <a:lnTo>
                <a:pt x="26324" y="1163927"/>
              </a:lnTo>
              <a:lnTo>
                <a:pt x="19518" y="1162177"/>
              </a:lnTo>
              <a:lnTo>
                <a:pt x="16014" y="1170102"/>
              </a:lnTo>
              <a:lnTo>
                <a:pt x="21670" y="1178661"/>
              </a:lnTo>
              <a:lnTo>
                <a:pt x="24122" y="1195826"/>
              </a:lnTo>
              <a:lnTo>
                <a:pt x="41388" y="1204773"/>
              </a:lnTo>
              <a:lnTo>
                <a:pt x="47794" y="1202974"/>
              </a:lnTo>
              <a:lnTo>
                <a:pt x="45992" y="1198452"/>
              </a:lnTo>
              <a:lnTo>
                <a:pt x="52448" y="1188969"/>
              </a:lnTo>
              <a:lnTo>
                <a:pt x="74719" y="1191984"/>
              </a:lnTo>
              <a:lnTo>
                <a:pt x="92436" y="1196993"/>
              </a:lnTo>
              <a:lnTo>
                <a:pt x="110553" y="1209003"/>
              </a:lnTo>
              <a:lnTo>
                <a:pt x="111003" y="1217319"/>
              </a:lnTo>
              <a:lnTo>
                <a:pt x="104597" y="1225537"/>
              </a:lnTo>
              <a:lnTo>
                <a:pt x="105798" y="1241826"/>
              </a:lnTo>
              <a:lnTo>
                <a:pt x="111904" y="1256901"/>
              </a:lnTo>
              <a:lnTo>
                <a:pt x="115657" y="1257290"/>
              </a:lnTo>
              <a:lnTo>
                <a:pt x="114957" y="1275038"/>
              </a:lnTo>
              <a:lnTo>
                <a:pt x="122214" y="1282673"/>
              </a:lnTo>
              <a:lnTo>
                <a:pt x="112905" y="1293225"/>
              </a:lnTo>
              <a:lnTo>
                <a:pt x="116859" y="1304408"/>
              </a:lnTo>
              <a:lnTo>
                <a:pt x="128069" y="1309320"/>
              </a:lnTo>
              <a:lnTo>
                <a:pt x="134125" y="1319240"/>
              </a:lnTo>
              <a:lnTo>
                <a:pt x="131923" y="1328626"/>
              </a:lnTo>
              <a:lnTo>
                <a:pt x="115758" y="1333196"/>
              </a:lnTo>
              <a:lnTo>
                <a:pt x="114456" y="1337718"/>
              </a:lnTo>
              <a:lnTo>
                <a:pt x="106749" y="1339420"/>
              </a:lnTo>
              <a:lnTo>
                <a:pt x="99542" y="1332661"/>
              </a:lnTo>
              <a:lnTo>
                <a:pt x="94538" y="1337475"/>
              </a:lnTo>
              <a:lnTo>
                <a:pt x="81976" y="1337038"/>
              </a:lnTo>
              <a:lnTo>
                <a:pt x="78223" y="1346519"/>
              </a:lnTo>
              <a:lnTo>
                <a:pt x="80975" y="1354154"/>
              </a:lnTo>
              <a:lnTo>
                <a:pt x="86580" y="1358190"/>
              </a:lnTo>
              <a:lnTo>
                <a:pt x="98041" y="1352889"/>
              </a:lnTo>
              <a:lnTo>
                <a:pt x="100493" y="1358628"/>
              </a:lnTo>
              <a:lnTo>
                <a:pt x="109251" y="1355711"/>
              </a:lnTo>
              <a:lnTo>
                <a:pt x="113055" y="1367623"/>
              </a:lnTo>
              <a:lnTo>
                <a:pt x="124316" y="1359794"/>
              </a:lnTo>
              <a:lnTo>
                <a:pt x="155294" y="1366116"/>
              </a:lnTo>
              <a:lnTo>
                <a:pt x="158948" y="1389847"/>
              </a:lnTo>
              <a:lnTo>
                <a:pt x="173211" y="1384692"/>
              </a:lnTo>
              <a:lnTo>
                <a:pt x="192479" y="1395341"/>
              </a:lnTo>
              <a:lnTo>
                <a:pt x="205792" y="1421356"/>
              </a:lnTo>
              <a:lnTo>
                <a:pt x="202238" y="1427142"/>
              </a:lnTo>
              <a:lnTo>
                <a:pt x="207894" y="1439932"/>
              </a:lnTo>
              <a:lnTo>
                <a:pt x="203890" y="1439543"/>
              </a:lnTo>
              <a:lnTo>
                <a:pt x="204290" y="1445961"/>
              </a:lnTo>
              <a:lnTo>
                <a:pt x="197784" y="1449024"/>
              </a:lnTo>
              <a:lnTo>
                <a:pt x="198835" y="1455540"/>
              </a:lnTo>
              <a:lnTo>
                <a:pt x="210846" y="1460306"/>
              </a:lnTo>
              <a:lnTo>
                <a:pt x="216351" y="1471733"/>
              </a:lnTo>
              <a:lnTo>
                <a:pt x="215951" y="1480195"/>
              </a:lnTo>
              <a:lnTo>
                <a:pt x="232667" y="1480195"/>
              </a:lnTo>
              <a:lnTo>
                <a:pt x="232967" y="1476303"/>
              </a:lnTo>
              <a:lnTo>
                <a:pt x="248281" y="1470274"/>
              </a:lnTo>
              <a:lnTo>
                <a:pt x="251484" y="1473046"/>
              </a:lnTo>
              <a:lnTo>
                <a:pt x="251184" y="1485446"/>
              </a:lnTo>
              <a:lnTo>
                <a:pt x="259241" y="1487878"/>
              </a:lnTo>
              <a:lnTo>
                <a:pt x="265447" y="1497262"/>
              </a:lnTo>
              <a:lnTo>
                <a:pt x="271903" y="1495853"/>
              </a:lnTo>
              <a:lnTo>
                <a:pt x="300080" y="1510732"/>
              </a:lnTo>
              <a:lnTo>
                <a:pt x="309188" y="1508593"/>
              </a:lnTo>
              <a:lnTo>
                <a:pt x="316445" y="1515837"/>
              </a:lnTo>
              <a:lnTo>
                <a:pt x="340317" y="1517783"/>
              </a:lnTo>
              <a:lnTo>
                <a:pt x="350527" y="1510780"/>
              </a:lnTo>
              <a:lnTo>
                <a:pt x="358534" y="1516129"/>
              </a:lnTo>
              <a:lnTo>
                <a:pt x="376851" y="1513163"/>
              </a:lnTo>
              <a:lnTo>
                <a:pt x="366541" y="1526001"/>
              </a:lnTo>
              <a:lnTo>
                <a:pt x="366842" y="1539714"/>
              </a:lnTo>
              <a:lnTo>
                <a:pt x="381856" y="1564903"/>
              </a:lnTo>
              <a:lnTo>
                <a:pt x="380254" y="1568647"/>
              </a:lnTo>
              <a:lnTo>
                <a:pt x="384758" y="1574043"/>
              </a:lnTo>
              <a:lnTo>
                <a:pt x="382757" y="1590334"/>
              </a:lnTo>
              <a:lnTo>
                <a:pt x="387161" y="1591549"/>
              </a:lnTo>
              <a:lnTo>
                <a:pt x="388262" y="1599670"/>
              </a:lnTo>
              <a:lnTo>
                <a:pt x="400173" y="1602539"/>
              </a:lnTo>
              <a:lnTo>
                <a:pt x="400874" y="1607499"/>
              </a:lnTo>
              <a:lnTo>
                <a:pt x="409532" y="1604485"/>
              </a:lnTo>
              <a:lnTo>
                <a:pt x="412685" y="1611292"/>
              </a:lnTo>
              <a:lnTo>
                <a:pt x="422994" y="1609638"/>
              </a:lnTo>
              <a:lnTo>
                <a:pt x="438559" y="1626122"/>
              </a:lnTo>
              <a:lnTo>
                <a:pt x="443363" y="1623059"/>
              </a:lnTo>
              <a:lnTo>
                <a:pt x="449919" y="1628116"/>
              </a:lnTo>
              <a:lnTo>
                <a:pt x="449869" y="1619558"/>
              </a:lnTo>
              <a:lnTo>
                <a:pt x="511827" y="1613918"/>
              </a:lnTo>
              <a:lnTo>
                <a:pt x="516682" y="1609055"/>
              </a:lnTo>
              <a:lnTo>
                <a:pt x="521987" y="1577302"/>
              </a:lnTo>
              <a:lnTo>
                <a:pt x="530745" y="1572099"/>
              </a:lnTo>
              <a:lnTo>
                <a:pt x="530494" y="1558970"/>
              </a:lnTo>
              <a:lnTo>
                <a:pt x="548912" y="1542194"/>
              </a:lnTo>
              <a:lnTo>
                <a:pt x="557420" y="1541659"/>
              </a:lnTo>
              <a:lnTo>
                <a:pt x="549712" y="1533002"/>
              </a:lnTo>
              <a:lnTo>
                <a:pt x="554066" y="1523910"/>
              </a:lnTo>
              <a:lnTo>
                <a:pt x="563125" y="1517685"/>
              </a:lnTo>
              <a:lnTo>
                <a:pt x="569781" y="1523423"/>
              </a:lnTo>
              <a:lnTo>
                <a:pt x="581292" y="1523229"/>
              </a:lnTo>
              <a:lnTo>
                <a:pt x="583944" y="1528675"/>
              </a:lnTo>
              <a:lnTo>
                <a:pt x="606265" y="1531495"/>
              </a:lnTo>
              <a:lnTo>
                <a:pt x="611320" y="1531447"/>
              </a:lnTo>
              <a:lnTo>
                <a:pt x="611770" y="1524542"/>
              </a:lnTo>
              <a:lnTo>
                <a:pt x="617276" y="1521868"/>
              </a:lnTo>
              <a:lnTo>
                <a:pt x="627035" y="1530669"/>
              </a:lnTo>
              <a:lnTo>
                <a:pt x="638746" y="1527119"/>
              </a:lnTo>
              <a:lnTo>
                <a:pt x="645051" y="1529258"/>
              </a:lnTo>
              <a:lnTo>
                <a:pt x="650907" y="1539033"/>
              </a:lnTo>
              <a:lnTo>
                <a:pt x="664970" y="1538983"/>
              </a:lnTo>
              <a:lnTo>
                <a:pt x="692896" y="1530426"/>
              </a:lnTo>
              <a:lnTo>
                <a:pt x="693246" y="1517442"/>
              </a:lnTo>
              <a:lnTo>
                <a:pt x="717119" y="1506695"/>
              </a:lnTo>
              <a:lnTo>
                <a:pt x="717769" y="1497505"/>
              </a:lnTo>
              <a:lnTo>
                <a:pt x="728529" y="1490892"/>
              </a:lnTo>
              <a:lnTo>
                <a:pt x="749899" y="1498866"/>
              </a:lnTo>
              <a:lnTo>
                <a:pt x="755054" y="1493809"/>
              </a:lnTo>
              <a:lnTo>
                <a:pt x="769067" y="1495901"/>
              </a:lnTo>
              <a:lnTo>
                <a:pt x="771619" y="1514185"/>
              </a:lnTo>
              <a:lnTo>
                <a:pt x="782029" y="1522742"/>
              </a:lnTo>
              <a:lnTo>
                <a:pt x="792139" y="1520846"/>
              </a:lnTo>
              <a:lnTo>
                <a:pt x="822267" y="1529065"/>
              </a:lnTo>
              <a:lnTo>
                <a:pt x="853446" y="1520360"/>
              </a:lnTo>
              <a:lnTo>
                <a:pt x="866008" y="1526632"/>
              </a:lnTo>
              <a:lnTo>
                <a:pt x="889780" y="1515303"/>
              </a:lnTo>
              <a:lnTo>
                <a:pt x="889429" y="1507619"/>
              </a:lnTo>
              <a:lnTo>
                <a:pt x="938525" y="1487439"/>
              </a:lnTo>
              <a:lnTo>
                <a:pt x="956242" y="1483745"/>
              </a:lnTo>
              <a:lnTo>
                <a:pt x="964600" y="1492642"/>
              </a:lnTo>
              <a:lnTo>
                <a:pt x="980214" y="1498625"/>
              </a:lnTo>
              <a:lnTo>
                <a:pt x="990374" y="1487537"/>
              </a:lnTo>
              <a:lnTo>
                <a:pt x="1011343" y="1484765"/>
              </a:lnTo>
              <a:lnTo>
                <a:pt x="1022804" y="1474942"/>
              </a:lnTo>
              <a:lnTo>
                <a:pt x="1031712" y="1457777"/>
              </a:lnTo>
              <a:lnTo>
                <a:pt x="1030711" y="1449414"/>
              </a:lnTo>
              <a:lnTo>
                <a:pt x="1047377" y="1441780"/>
              </a:lnTo>
              <a:lnTo>
                <a:pt x="1072300" y="1437986"/>
              </a:lnTo>
              <a:lnTo>
                <a:pt x="1076104" y="1433221"/>
              </a:lnTo>
              <a:lnTo>
                <a:pt x="1085612" y="1432394"/>
              </a:lnTo>
              <a:lnTo>
                <a:pt x="1087564" y="1436138"/>
              </a:lnTo>
              <a:lnTo>
                <a:pt x="1096423" y="1431519"/>
              </a:lnTo>
              <a:lnTo>
                <a:pt x="1108834" y="1432638"/>
              </a:lnTo>
              <a:lnTo>
                <a:pt x="1126250" y="1420237"/>
              </a:lnTo>
              <a:lnTo>
                <a:pt x="1143066" y="1428116"/>
              </a:lnTo>
              <a:lnTo>
                <a:pt x="1206976" y="1414499"/>
              </a:lnTo>
              <a:lnTo>
                <a:pt x="1224542" y="1416104"/>
              </a:lnTo>
              <a:lnTo>
                <a:pt x="1240257" y="1433173"/>
              </a:lnTo>
              <a:lnTo>
                <a:pt x="1253219" y="1425879"/>
              </a:lnTo>
              <a:lnTo>
                <a:pt x="1269534" y="1436965"/>
              </a:lnTo>
              <a:lnTo>
                <a:pt x="1278092" y="1432832"/>
              </a:lnTo>
              <a:lnTo>
                <a:pt x="1282997" y="1439299"/>
              </a:lnTo>
              <a:lnTo>
                <a:pt x="1321532" y="1455151"/>
              </a:lnTo>
              <a:lnTo>
                <a:pt x="1335696" y="1455784"/>
              </a:lnTo>
              <a:lnTo>
                <a:pt x="1335996" y="1448442"/>
              </a:lnTo>
              <a:lnTo>
                <a:pt x="1342102" y="1441098"/>
              </a:lnTo>
              <a:lnTo>
                <a:pt x="1340750" y="1434534"/>
              </a:lnTo>
              <a:lnTo>
                <a:pt x="1359718" y="1446448"/>
              </a:lnTo>
              <a:lnTo>
                <a:pt x="1394050" y="1449024"/>
              </a:lnTo>
              <a:lnTo>
                <a:pt x="1409565" y="1460889"/>
              </a:lnTo>
              <a:lnTo>
                <a:pt x="1415470" y="1459673"/>
              </a:lnTo>
              <a:lnTo>
                <a:pt x="1420024" y="1451844"/>
              </a:lnTo>
              <a:lnTo>
                <a:pt x="1431885" y="1450970"/>
              </a:lnTo>
              <a:lnTo>
                <a:pt x="1425930" y="1438619"/>
              </a:lnTo>
              <a:lnTo>
                <a:pt x="1427632" y="1432492"/>
              </a:lnTo>
              <a:lnTo>
                <a:pt x="1423878" y="1430012"/>
              </a:lnTo>
              <a:lnTo>
                <a:pt x="1424629" y="1409199"/>
              </a:lnTo>
              <a:lnTo>
                <a:pt x="1400706" y="1403509"/>
              </a:lnTo>
              <a:lnTo>
                <a:pt x="1397854" y="1396119"/>
              </a:lnTo>
              <a:lnTo>
                <a:pt x="1401807" y="1389797"/>
              </a:lnTo>
              <a:lnTo>
                <a:pt x="1399956" y="1379196"/>
              </a:lnTo>
              <a:lnTo>
                <a:pt x="1409865" y="1370104"/>
              </a:lnTo>
              <a:lnTo>
                <a:pt x="1424729" y="1368645"/>
              </a:lnTo>
              <a:lnTo>
                <a:pt x="1436440" y="1358920"/>
              </a:lnTo>
              <a:lnTo>
                <a:pt x="1446399" y="1360233"/>
              </a:lnTo>
              <a:lnTo>
                <a:pt x="1444497" y="1344818"/>
              </a:lnTo>
              <a:lnTo>
                <a:pt x="1437240" y="1340538"/>
              </a:lnTo>
              <a:lnTo>
                <a:pt x="1437541" y="1333585"/>
              </a:lnTo>
              <a:lnTo>
                <a:pt x="1427682" y="1312918"/>
              </a:lnTo>
              <a:lnTo>
                <a:pt x="1418323" y="1312724"/>
              </a:lnTo>
              <a:lnTo>
                <a:pt x="1403659" y="1295218"/>
              </a:lnTo>
              <a:lnTo>
                <a:pt x="1382690" y="1286806"/>
              </a:lnTo>
              <a:lnTo>
                <a:pt x="1383640" y="1226023"/>
              </a:lnTo>
              <a:lnTo>
                <a:pt x="1369878" y="1228066"/>
              </a:lnTo>
              <a:lnTo>
                <a:pt x="1369127" y="1234971"/>
              </a:lnTo>
              <a:lnTo>
                <a:pt x="1363272" y="1234484"/>
              </a:lnTo>
              <a:lnTo>
                <a:pt x="1351661" y="1223883"/>
              </a:lnTo>
              <a:lnTo>
                <a:pt x="1355064" y="1218048"/>
              </a:lnTo>
              <a:lnTo>
                <a:pt x="1349559" y="1215763"/>
              </a:lnTo>
              <a:lnTo>
                <a:pt x="1349559" y="1209636"/>
              </a:lnTo>
              <a:lnTo>
                <a:pt x="1375183" y="1207982"/>
              </a:lnTo>
              <a:lnTo>
                <a:pt x="1378135" y="1201466"/>
              </a:lnTo>
              <a:lnTo>
                <a:pt x="1389946" y="1197528"/>
              </a:lnTo>
              <a:lnTo>
                <a:pt x="1394100" y="1189212"/>
              </a:lnTo>
              <a:lnTo>
                <a:pt x="1445999" y="1181725"/>
              </a:lnTo>
              <a:lnTo>
                <a:pt x="1458010" y="1174722"/>
              </a:lnTo>
              <a:lnTo>
                <a:pt x="1536783" y="1154153"/>
              </a:lnTo>
              <a:lnTo>
                <a:pt x="1532780" y="1149047"/>
              </a:lnTo>
              <a:lnTo>
                <a:pt x="1530528" y="1130472"/>
              </a:lnTo>
              <a:lnTo>
                <a:pt x="1554950" y="1101295"/>
              </a:lnTo>
              <a:lnTo>
                <a:pt x="1567712" y="1033608"/>
              </a:lnTo>
              <a:lnTo>
                <a:pt x="1576671" y="1016928"/>
              </a:lnTo>
              <a:lnTo>
                <a:pt x="1578422" y="988967"/>
              </a:lnTo>
              <a:lnTo>
                <a:pt x="1646035" y="979097"/>
              </a:lnTo>
              <a:lnTo>
                <a:pt x="1650940" y="965287"/>
              </a:lnTo>
              <a:lnTo>
                <a:pt x="1650039" y="956048"/>
              </a:lnTo>
              <a:lnTo>
                <a:pt x="1666354" y="930713"/>
              </a:lnTo>
              <a:lnTo>
                <a:pt x="1708894" y="888408"/>
              </a:lnTo>
              <a:lnTo>
                <a:pt x="1726460" y="884907"/>
              </a:lnTo>
              <a:lnTo>
                <a:pt x="1735519" y="870756"/>
              </a:lnTo>
              <a:lnTo>
                <a:pt x="1757790" y="859378"/>
              </a:lnTo>
              <a:lnTo>
                <a:pt x="1771102" y="881892"/>
              </a:lnTo>
              <a:lnTo>
                <a:pt x="1774005" y="873382"/>
              </a:lnTo>
              <a:lnTo>
                <a:pt x="1793173" y="856850"/>
              </a:lnTo>
              <a:lnTo>
                <a:pt x="1832459" y="841581"/>
              </a:lnTo>
              <a:lnTo>
                <a:pt x="1839166" y="832439"/>
              </a:lnTo>
              <a:lnTo>
                <a:pt x="1834261" y="818240"/>
              </a:lnTo>
              <a:lnTo>
                <a:pt x="1842469" y="810752"/>
              </a:lnTo>
              <a:lnTo>
                <a:pt x="1831308" y="798790"/>
              </a:lnTo>
              <a:lnTo>
                <a:pt x="1833360" y="789113"/>
              </a:lnTo>
              <a:lnTo>
                <a:pt x="1826253" y="786682"/>
              </a:lnTo>
              <a:lnTo>
                <a:pt x="1829907" y="775011"/>
              </a:lnTo>
              <a:lnTo>
                <a:pt x="1841518" y="766113"/>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1208887</xdr:colOff>
      <xdr:row>103</xdr:row>
      <xdr:rowOff>179188</xdr:rowOff>
    </xdr:from>
    <xdr:to>
      <xdr:col>4</xdr:col>
      <xdr:colOff>1370889</xdr:colOff>
      <xdr:row>104</xdr:row>
      <xdr:rowOff>230188</xdr:rowOff>
    </xdr:to>
    <xdr:sp macro="MapShapeClick" textlink="">
      <xdr:nvSpPr>
        <xdr:cNvPr id="57" name="台湾省">
          <a:extLst>
            <a:ext uri="{FF2B5EF4-FFF2-40B4-BE49-F238E27FC236}">
              <a16:creationId xmlns:a16="http://schemas.microsoft.com/office/drawing/2014/main" id="{6C495F88-8FD5-C2CE-46EA-F5D041FFE325}"/>
            </a:ext>
          </a:extLst>
        </xdr:cNvPr>
        <xdr:cNvSpPr/>
      </xdr:nvSpPr>
      <xdr:spPr>
        <a:xfrm>
          <a:off x="4363567" y="19762588"/>
          <a:ext cx="162002" cy="302460"/>
        </a:xfrm>
        <a:custGeom>
          <a:avLst/>
          <a:gdLst/>
          <a:ahLst/>
          <a:cxnLst/>
          <a:rect l="0" t="0" r="0" b="0"/>
          <a:pathLst>
            <a:path w="162002" h="302460">
              <a:moveTo>
                <a:pt x="34532" y="254706"/>
              </a:moveTo>
              <a:lnTo>
                <a:pt x="44791" y="261709"/>
              </a:lnTo>
              <a:lnTo>
                <a:pt x="50547" y="272260"/>
              </a:lnTo>
              <a:lnTo>
                <a:pt x="55502" y="299832"/>
              </a:lnTo>
              <a:lnTo>
                <a:pt x="69415" y="302459"/>
              </a:lnTo>
              <a:lnTo>
                <a:pt x="78223" y="247073"/>
              </a:lnTo>
              <a:lnTo>
                <a:pt x="82427" y="236277"/>
              </a:lnTo>
              <a:lnTo>
                <a:pt x="96840" y="225725"/>
              </a:lnTo>
              <a:lnTo>
                <a:pt x="114707" y="193388"/>
              </a:lnTo>
              <a:lnTo>
                <a:pt x="133324" y="116267"/>
              </a:lnTo>
              <a:lnTo>
                <a:pt x="132023" y="108194"/>
              </a:lnTo>
              <a:lnTo>
                <a:pt x="151692" y="69682"/>
              </a:lnTo>
              <a:lnTo>
                <a:pt x="148388" y="42257"/>
              </a:lnTo>
              <a:lnTo>
                <a:pt x="162001" y="27474"/>
              </a:lnTo>
              <a:lnTo>
                <a:pt x="156696" y="24751"/>
              </a:lnTo>
              <a:lnTo>
                <a:pt x="154244" y="15220"/>
              </a:lnTo>
              <a:lnTo>
                <a:pt x="140281" y="13081"/>
              </a:lnTo>
              <a:lnTo>
                <a:pt x="130371" y="1167"/>
              </a:lnTo>
              <a:lnTo>
                <a:pt x="123215" y="0"/>
              </a:lnTo>
              <a:lnTo>
                <a:pt x="115858" y="3306"/>
              </a:lnTo>
              <a:lnTo>
                <a:pt x="109952" y="13275"/>
              </a:lnTo>
              <a:lnTo>
                <a:pt x="81726" y="23973"/>
              </a:lnTo>
              <a:lnTo>
                <a:pt x="70966" y="48432"/>
              </a:lnTo>
              <a:lnTo>
                <a:pt x="54451" y="63360"/>
              </a:lnTo>
              <a:lnTo>
                <a:pt x="18467" y="131097"/>
              </a:lnTo>
              <a:lnTo>
                <a:pt x="6806" y="143448"/>
              </a:lnTo>
              <a:lnTo>
                <a:pt x="7257" y="175348"/>
              </a:lnTo>
              <a:lnTo>
                <a:pt x="0" y="199029"/>
              </a:lnTo>
              <a:lnTo>
                <a:pt x="9308" y="205447"/>
              </a:lnTo>
              <a:lnTo>
                <a:pt x="22621" y="246780"/>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1172152</xdr:colOff>
      <xdr:row>104</xdr:row>
      <xdr:rowOff>80124</xdr:rowOff>
    </xdr:from>
    <xdr:to>
      <xdr:col>4</xdr:col>
      <xdr:colOff>1182263</xdr:colOff>
      <xdr:row>104</xdr:row>
      <xdr:rowOff>88683</xdr:rowOff>
    </xdr:to>
    <xdr:sp macro="MapShapeClick" textlink="">
      <xdr:nvSpPr>
        <xdr:cNvPr id="58" name="台湾省">
          <a:extLst>
            <a:ext uri="{FF2B5EF4-FFF2-40B4-BE49-F238E27FC236}">
              <a16:creationId xmlns:a16="http://schemas.microsoft.com/office/drawing/2014/main" id="{A3148058-D3EF-3FA6-4038-B706C963A093}"/>
            </a:ext>
          </a:extLst>
        </xdr:cNvPr>
        <xdr:cNvSpPr/>
      </xdr:nvSpPr>
      <xdr:spPr>
        <a:xfrm>
          <a:off x="4326832" y="19914984"/>
          <a:ext cx="10111" cy="8559"/>
        </a:xfrm>
        <a:custGeom>
          <a:avLst/>
          <a:gdLst/>
          <a:ahLst/>
          <a:cxnLst/>
          <a:rect l="0" t="0" r="0" b="0"/>
          <a:pathLst>
            <a:path w="10111" h="8559">
              <a:moveTo>
                <a:pt x="6457" y="4377"/>
              </a:moveTo>
              <a:lnTo>
                <a:pt x="10110" y="4716"/>
              </a:lnTo>
              <a:lnTo>
                <a:pt x="9059" y="0"/>
              </a:lnTo>
              <a:lnTo>
                <a:pt x="0" y="1362"/>
              </a:lnTo>
              <a:lnTo>
                <a:pt x="3454" y="8558"/>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4</xdr:col>
      <xdr:colOff>707619</xdr:colOff>
      <xdr:row>104</xdr:row>
      <xdr:rowOff>173099</xdr:rowOff>
    </xdr:from>
    <xdr:to>
      <xdr:col>4</xdr:col>
      <xdr:colOff>752862</xdr:colOff>
      <xdr:row>104</xdr:row>
      <xdr:rowOff>204415</xdr:rowOff>
    </xdr:to>
    <xdr:sp macro="MapShapeClick" textlink="">
      <xdr:nvSpPr>
        <xdr:cNvPr id="59" name="香港特别行政区">
          <a:extLst>
            <a:ext uri="{FF2B5EF4-FFF2-40B4-BE49-F238E27FC236}">
              <a16:creationId xmlns:a16="http://schemas.microsoft.com/office/drawing/2014/main" id="{80705AD2-F57C-F4D4-16E7-DC99E170D23A}"/>
            </a:ext>
          </a:extLst>
        </xdr:cNvPr>
        <xdr:cNvSpPr/>
      </xdr:nvSpPr>
      <xdr:spPr>
        <a:xfrm>
          <a:off x="3862299" y="20007959"/>
          <a:ext cx="45243" cy="31316"/>
        </a:xfrm>
        <a:custGeom>
          <a:avLst/>
          <a:gdLst/>
          <a:ahLst/>
          <a:cxnLst/>
          <a:rect l="0" t="0" r="0" b="0"/>
          <a:pathLst>
            <a:path w="45243" h="31316">
              <a:moveTo>
                <a:pt x="14814" y="3841"/>
              </a:moveTo>
              <a:lnTo>
                <a:pt x="5605" y="11377"/>
              </a:lnTo>
              <a:lnTo>
                <a:pt x="5756" y="15803"/>
              </a:lnTo>
              <a:lnTo>
                <a:pt x="14364" y="17554"/>
              </a:lnTo>
              <a:lnTo>
                <a:pt x="3954" y="21006"/>
              </a:lnTo>
              <a:lnTo>
                <a:pt x="0" y="31315"/>
              </a:lnTo>
              <a:lnTo>
                <a:pt x="11961" y="30002"/>
              </a:lnTo>
              <a:lnTo>
                <a:pt x="17917" y="19401"/>
              </a:lnTo>
              <a:lnTo>
                <a:pt x="24073" y="21687"/>
              </a:lnTo>
              <a:lnTo>
                <a:pt x="22021" y="24215"/>
              </a:lnTo>
              <a:lnTo>
                <a:pt x="25624" y="28203"/>
              </a:lnTo>
              <a:lnTo>
                <a:pt x="33832" y="30488"/>
              </a:lnTo>
              <a:lnTo>
                <a:pt x="33531" y="22221"/>
              </a:lnTo>
              <a:lnTo>
                <a:pt x="37685" y="24896"/>
              </a:lnTo>
              <a:lnTo>
                <a:pt x="35233" y="14149"/>
              </a:lnTo>
              <a:lnTo>
                <a:pt x="41239" y="18234"/>
              </a:lnTo>
              <a:lnTo>
                <a:pt x="45242" y="10016"/>
              </a:lnTo>
              <a:lnTo>
                <a:pt x="38686" y="6029"/>
              </a:lnTo>
              <a:lnTo>
                <a:pt x="30128" y="10551"/>
              </a:lnTo>
              <a:lnTo>
                <a:pt x="39937" y="3889"/>
              </a:lnTo>
              <a:lnTo>
                <a:pt x="33381" y="0"/>
              </a:lnTo>
              <a:lnTo>
                <a:pt x="18918" y="3111"/>
              </a:lnTo>
            </a:path>
          </a:pathLst>
        </a:custGeom>
        <a:solidFill>
          <a:srgbClr val="F2F2F2"/>
        </a:solidFill>
        <a:ln w="9525">
          <a:solidFill>
            <a:srgbClr val="FFFF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E79"/>
  </sheetPr>
  <dimension ref="A1:AZ111"/>
  <sheetViews>
    <sheetView showGridLines="0" topLeftCell="A88" workbookViewId="0"/>
  </sheetViews>
  <sheetFormatPr defaultRowHeight="14.35" x14ac:dyDescent="0.4"/>
  <cols>
    <col min="1" max="1" width="8" customWidth="1"/>
    <col min="2" max="2" width="14" customWidth="1"/>
    <col min="3" max="4" width="12" customWidth="1"/>
    <col min="5" max="5" width="30" customWidth="1"/>
    <col min="6" max="6" width="14" customWidth="1"/>
    <col min="7" max="7" width="12" customWidth="1"/>
    <col min="8" max="8" width="14" customWidth="1"/>
    <col min="9" max="13" width="13.234375" customWidth="1"/>
    <col min="14" max="14" width="13.41015625" customWidth="1"/>
    <col min="51" max="52" width="13" hidden="1" customWidth="1"/>
  </cols>
  <sheetData>
    <row r="1" spans="1:52" ht="20" x14ac:dyDescent="0.75">
      <c r="A1" s="1" t="s">
        <v>0</v>
      </c>
      <c r="AY1" s="2" t="s">
        <v>1</v>
      </c>
    </row>
    <row r="2" spans="1:52" ht="15.35" x14ac:dyDescent="0.55000000000000004">
      <c r="AY2" s="2" t="s">
        <v>2</v>
      </c>
    </row>
    <row r="3" spans="1:52" ht="13.95" customHeight="1" x14ac:dyDescent="0.55000000000000004">
      <c r="A3" s="3" t="s">
        <v>3</v>
      </c>
      <c r="D3" s="3" t="s">
        <v>4</v>
      </c>
      <c r="H3" s="3" t="s">
        <v>5</v>
      </c>
      <c r="I3" s="65" t="s">
        <v>6</v>
      </c>
      <c r="J3" s="62"/>
      <c r="K3" s="66" t="s">
        <v>7</v>
      </c>
      <c r="L3" s="62"/>
      <c r="AY3" s="2" t="s">
        <v>8</v>
      </c>
      <c r="AZ3" s="5">
        <f>VALUE(LEFT($I$3,FIND("年",$I$3)-1))</f>
        <v>2026</v>
      </c>
    </row>
    <row r="4" spans="1:52" ht="13.95" customHeight="1" x14ac:dyDescent="0.55000000000000004">
      <c r="A4" s="72">
        <v>1</v>
      </c>
      <c r="B4" s="71" t="s">
        <v>9</v>
      </c>
      <c r="D4" s="68" t="s">
        <v>10</v>
      </c>
      <c r="E4" s="68" t="s">
        <v>11</v>
      </c>
      <c r="F4" s="68" t="s">
        <v>12</v>
      </c>
      <c r="H4" s="73" t="str">
        <f>$I$3</f>
        <v>2026年10月</v>
      </c>
      <c r="I4" s="74"/>
      <c r="J4" s="74"/>
      <c r="K4" s="74"/>
      <c r="L4" s="74"/>
      <c r="M4" s="74"/>
      <c r="N4" s="74"/>
      <c r="AY4" s="2" t="s">
        <v>13</v>
      </c>
      <c r="AZ4" s="5">
        <f>VALUE(MID($I$3,FIND("年",$I$3)+1,FIND("月",$I$3)-FIND("年",$I$3)-1))</f>
        <v>10</v>
      </c>
    </row>
    <row r="5" spans="1:52" ht="13.95" customHeight="1" x14ac:dyDescent="0.55000000000000004">
      <c r="A5" s="64"/>
      <c r="B5" s="64"/>
      <c r="D5" s="64"/>
      <c r="E5" s="64"/>
      <c r="F5" s="64"/>
      <c r="H5" s="76" t="s">
        <v>14</v>
      </c>
      <c r="I5" s="76" t="s">
        <v>15</v>
      </c>
      <c r="J5" s="76" t="s">
        <v>16</v>
      </c>
      <c r="K5" s="76" t="s">
        <v>17</v>
      </c>
      <c r="L5" s="76" t="s">
        <v>18</v>
      </c>
      <c r="M5" s="76" t="s">
        <v>19</v>
      </c>
      <c r="N5" s="76" t="s">
        <v>20</v>
      </c>
      <c r="AY5" s="2" t="s">
        <v>21</v>
      </c>
      <c r="AZ5" s="5">
        <f>DATE($AZ$3,$AZ$4,1)-(WEEKDAY(DATE($AZ$3,$AZ$4,1),2)-1)</f>
        <v>46293</v>
      </c>
    </row>
    <row r="6" spans="1:52" ht="13.95" customHeight="1" x14ac:dyDescent="0.55000000000000004">
      <c r="A6" s="72">
        <v>2</v>
      </c>
      <c r="B6" s="71" t="s">
        <v>22</v>
      </c>
      <c r="D6" s="77" t="s">
        <v>23</v>
      </c>
      <c r="E6" s="70">
        <v>17</v>
      </c>
      <c r="F6" s="78">
        <v>534.20500000000004</v>
      </c>
      <c r="H6" s="64"/>
      <c r="I6" s="64"/>
      <c r="J6" s="64"/>
      <c r="K6" s="64"/>
      <c r="L6" s="64"/>
      <c r="M6" s="64"/>
      <c r="N6" s="64"/>
      <c r="AY6" s="2" t="s">
        <v>24</v>
      </c>
    </row>
    <row r="7" spans="1:52" ht="13.95" customHeight="1" x14ac:dyDescent="0.55000000000000004">
      <c r="A7" s="64"/>
      <c r="B7" s="64"/>
      <c r="D7" s="64"/>
      <c r="E7" s="64"/>
      <c r="F7" s="64"/>
      <c r="H7" s="7" t="str">
        <f>IF(MONTH($AZ$5+0)=$AZ$4,DAY($AZ$5+0),"")</f>
        <v/>
      </c>
      <c r="I7" s="7" t="str">
        <f>IF(MONTH($AZ$5+1)=$AZ$4,DAY($AZ$5+1),"")</f>
        <v/>
      </c>
      <c r="J7" s="7" t="str">
        <f>IF(MONTH($AZ$5+2)=$AZ$4,DAY($AZ$5+2),"")</f>
        <v/>
      </c>
      <c r="K7" s="7">
        <f>IF(MONTH($AZ$5+3)=$AZ$4,DAY($AZ$5+3),"")</f>
        <v>1</v>
      </c>
      <c r="L7" s="7">
        <f>IF(MONTH($AZ$5+4)=$AZ$4,DAY($AZ$5+4),"")</f>
        <v>2</v>
      </c>
      <c r="M7" s="7">
        <f>IF(MONTH($AZ$5+5)=$AZ$4,DAY($AZ$5+5),"")</f>
        <v>3</v>
      </c>
      <c r="N7" s="7">
        <f>IF(MONTH($AZ$5+6)=$AZ$4,DAY($AZ$5+6),"")</f>
        <v>4</v>
      </c>
      <c r="AY7" s="2" t="s">
        <v>25</v>
      </c>
    </row>
    <row r="8" spans="1:52" ht="13.95" customHeight="1" x14ac:dyDescent="0.55000000000000004">
      <c r="A8" s="72">
        <v>3</v>
      </c>
      <c r="B8" s="71" t="s">
        <v>26</v>
      </c>
      <c r="D8" s="87" t="s">
        <v>27</v>
      </c>
      <c r="E8" s="70">
        <v>3</v>
      </c>
      <c r="F8" s="78">
        <v>63.969000000000001</v>
      </c>
      <c r="H8" s="8" t="str">
        <f>IF(MONTH($AZ$5+0)&lt;&gt;$AZ$4,"",IFERROR(INDEX(_calc!$BB$1:$BB$300,MATCH(($AZ$5+0)&amp;"|1",_calc!$BA$1:$BA$300,0)),""))</f>
        <v/>
      </c>
      <c r="I8" s="8" t="str">
        <f>IF(MONTH($AZ$5+1)&lt;&gt;$AZ$4,"",IFERROR(INDEX(_calc!$BB$1:$BB$300,MATCH(($AZ$5+1)&amp;"|1",_calc!$BA$1:$BA$300,0)),""))</f>
        <v/>
      </c>
      <c r="J8" s="8" t="str">
        <f>IF(MONTH($AZ$5+2)&lt;&gt;$AZ$4,"",IFERROR(INDEX(_calc!$BB$1:$BB$300,MATCH(($AZ$5+2)&amp;"|1",_calc!$BA$1:$BA$300,0)),""))</f>
        <v/>
      </c>
      <c r="K8" s="8" t="str">
        <f>IF(MONTH($AZ$5+3)&lt;&gt;$AZ$4,"",IFERROR(INDEX(_calc!$BB$1:$BB$300,MATCH(($AZ$5+3)&amp;"|1",_calc!$BA$1:$BA$300,0)),""))</f>
        <v/>
      </c>
      <c r="L8" s="8" t="str">
        <f>IF(MONTH($AZ$5+4)&lt;&gt;$AZ$4,"",IFERROR(INDEX(_calc!$BB$1:$BB$300,MATCH(($AZ$5+4)&amp;"|1",_calc!$BA$1:$BA$300,0)),""))</f>
        <v/>
      </c>
      <c r="M8" s="8" t="str">
        <f>IF(MONTH($AZ$5+5)&lt;&gt;$AZ$4,"",IFERROR(INDEX(_calc!$BB$1:$BB$300,MATCH(($AZ$5+5)&amp;"|1",_calc!$BA$1:$BA$300,0)),""))</f>
        <v/>
      </c>
      <c r="N8" s="8" t="str">
        <f>IF(MONTH($AZ$5+6)&lt;&gt;$AZ$4,"",IFERROR(INDEX(_calc!$BB$1:$BB$300,MATCH(($AZ$5+6)&amp;"|1",_calc!$BA$1:$BA$300,0)),""))</f>
        <v/>
      </c>
      <c r="AY8" s="2" t="s">
        <v>28</v>
      </c>
    </row>
    <row r="9" spans="1:52" ht="13.95" customHeight="1" x14ac:dyDescent="0.55000000000000004">
      <c r="A9" s="64"/>
      <c r="B9" s="64"/>
      <c r="D9" s="64"/>
      <c r="E9" s="64"/>
      <c r="F9" s="64"/>
      <c r="H9" s="9" t="str">
        <f>IF(MONTH($AZ$5+0)&lt;&gt;$AZ$4,"",IFERROR(INDEX(_calc!$BB$1:$BB$300,MATCH(($AZ$5+0)&amp;"|2",_calc!$BA$1:$BA$300,0)),""))</f>
        <v/>
      </c>
      <c r="I9" s="9" t="str">
        <f>IF(MONTH($AZ$5+1)&lt;&gt;$AZ$4,"",IFERROR(INDEX(_calc!$BB$1:$BB$300,MATCH(($AZ$5+1)&amp;"|2",_calc!$BA$1:$BA$300,0)),""))</f>
        <v/>
      </c>
      <c r="J9" s="9" t="str">
        <f>IF(MONTH($AZ$5+2)&lt;&gt;$AZ$4,"",IFERROR(INDEX(_calc!$BB$1:$BB$300,MATCH(($AZ$5+2)&amp;"|2",_calc!$BA$1:$BA$300,0)),""))</f>
        <v/>
      </c>
      <c r="K9" s="9" t="str">
        <f>IF(MONTH($AZ$5+3)&lt;&gt;$AZ$4,"",IFERROR(INDEX(_calc!$BB$1:$BB$300,MATCH(($AZ$5+3)&amp;"|2",_calc!$BA$1:$BA$300,0)),""))</f>
        <v/>
      </c>
      <c r="L9" s="9" t="str">
        <f>IF(MONTH($AZ$5+4)&lt;&gt;$AZ$4,"",IFERROR(INDEX(_calc!$BB$1:$BB$300,MATCH(($AZ$5+4)&amp;"|2",_calc!$BA$1:$BA$300,0)),""))</f>
        <v/>
      </c>
      <c r="M9" s="9" t="str">
        <f>IF(MONTH($AZ$5+5)&lt;&gt;$AZ$4,"",IFERROR(INDEX(_calc!$BB$1:$BB$300,MATCH(($AZ$5+5)&amp;"|2",_calc!$BA$1:$BA$300,0)),""))</f>
        <v/>
      </c>
      <c r="N9" s="9" t="str">
        <f>IF(MONTH($AZ$5+6)&lt;&gt;$AZ$4,"",IFERROR(INDEX(_calc!$BB$1:$BB$300,MATCH(($AZ$5+6)&amp;"|2",_calc!$BA$1:$BA$300,0)),""))</f>
        <v/>
      </c>
      <c r="AY9" s="2" t="s">
        <v>29</v>
      </c>
    </row>
    <row r="10" spans="1:52" ht="13.95" customHeight="1" x14ac:dyDescent="0.55000000000000004">
      <c r="A10" s="72">
        <v>4</v>
      </c>
      <c r="B10" s="71" t="s">
        <v>30</v>
      </c>
      <c r="D10" s="88" t="s">
        <v>31</v>
      </c>
      <c r="E10" s="70">
        <v>3</v>
      </c>
      <c r="F10" s="78">
        <v>59.697000000000003</v>
      </c>
      <c r="H10" s="7">
        <f>IF(MONTH($AZ$5+7)=$AZ$4,DAY($AZ$5+7),"")</f>
        <v>5</v>
      </c>
      <c r="I10" s="7">
        <f>IF(MONTH($AZ$5+8)=$AZ$4,DAY($AZ$5+8),"")</f>
        <v>6</v>
      </c>
      <c r="J10" s="7">
        <f>IF(MONTH($AZ$5+9)=$AZ$4,DAY($AZ$5+9),"")</f>
        <v>7</v>
      </c>
      <c r="K10" s="7">
        <f>IF(MONTH($AZ$5+10)=$AZ$4,DAY($AZ$5+10),"")</f>
        <v>8</v>
      </c>
      <c r="L10" s="7">
        <f>IF(MONTH($AZ$5+11)=$AZ$4,DAY($AZ$5+11),"")</f>
        <v>9</v>
      </c>
      <c r="M10" s="7">
        <f>IF(MONTH($AZ$5+12)=$AZ$4,DAY($AZ$5+12),"")</f>
        <v>10</v>
      </c>
      <c r="N10" s="7">
        <f>IF(MONTH($AZ$5+13)=$AZ$4,DAY($AZ$5+13),"")</f>
        <v>11</v>
      </c>
      <c r="AY10" s="2" t="s">
        <v>32</v>
      </c>
    </row>
    <row r="11" spans="1:52" ht="13.95" customHeight="1" x14ac:dyDescent="0.55000000000000004">
      <c r="A11" s="64"/>
      <c r="B11" s="64"/>
      <c r="D11" s="64"/>
      <c r="E11" s="64"/>
      <c r="F11" s="64"/>
      <c r="H11" s="8" t="str">
        <f>IF(MONTH($AZ$5+7)&lt;&gt;$AZ$4,"",IFERROR(INDEX(_calc!$BB$1:$BB$300,MATCH(($AZ$5+7)&amp;"|1",_calc!$BA$1:$BA$300,0)),""))</f>
        <v/>
      </c>
      <c r="I11" s="8" t="str">
        <f>IF(MONTH($AZ$5+8)&lt;&gt;$AZ$4,"",IFERROR(INDEX(_calc!$BB$1:$BB$300,MATCH(($AZ$5+8)&amp;"|1",_calc!$BA$1:$BA$300,0)),""))</f>
        <v/>
      </c>
      <c r="J11" s="8" t="str">
        <f>IF(MONTH($AZ$5+9)&lt;&gt;$AZ$4,"",IFERROR(INDEX(_calc!$BB$1:$BB$300,MATCH(($AZ$5+9)&amp;"|1",_calc!$BA$1:$BA$300,0)),""))</f>
        <v/>
      </c>
      <c r="K11" s="8" t="str">
        <f>IF(MONTH($AZ$5+10)&lt;&gt;$AZ$4,"",IFERROR(INDEX(_calc!$BB$1:$BB$300,MATCH(($AZ$5+10)&amp;"|1",_calc!$BA$1:$BA$300,0)),""))</f>
        <v>发售 银华粤海</v>
      </c>
      <c r="L11" s="8" t="str">
        <f>IF(MONTH($AZ$5+11)&lt;&gt;$AZ$4,"",IFERROR(INDEX(_calc!$BB$1:$BB$300,MATCH(($AZ$5+11)&amp;"|1",_calc!$BA$1:$BA$300,0)),""))</f>
        <v/>
      </c>
      <c r="M11" s="8" t="str">
        <f>IF(MONTH($AZ$5+12)&lt;&gt;$AZ$4,"",IFERROR(INDEX(_calc!$BB$1:$BB$300,MATCH(($AZ$5+12)&amp;"|1",_calc!$BA$1:$BA$300,0)),""))</f>
        <v/>
      </c>
      <c r="N11" s="8" t="str">
        <f>IF(MONTH($AZ$5+13)&lt;&gt;$AZ$4,"",IFERROR(INDEX(_calc!$BB$1:$BB$300,MATCH(($AZ$5+13)&amp;"|1",_calc!$BA$1:$BA$300,0)),""))</f>
        <v/>
      </c>
      <c r="AY11" s="2" t="s">
        <v>33</v>
      </c>
    </row>
    <row r="12" spans="1:52" ht="13.95" customHeight="1" x14ac:dyDescent="0.55000000000000004">
      <c r="A12" s="72">
        <v>5</v>
      </c>
      <c r="B12" s="71" t="s">
        <v>34</v>
      </c>
      <c r="D12" s="84" t="s">
        <v>35</v>
      </c>
      <c r="E12" s="70">
        <v>3</v>
      </c>
      <c r="F12" s="78">
        <v>89.896000000000001</v>
      </c>
      <c r="H12" s="9" t="str">
        <f>IF(MONTH($AZ$5+7)&lt;&gt;$AZ$4,"",IFERROR(INDEX(_calc!$BB$1:$BB$300,MATCH(($AZ$5+7)&amp;"|2",_calc!$BA$1:$BA$300,0)),""))</f>
        <v/>
      </c>
      <c r="I12" s="9" t="str">
        <f>IF(MONTH($AZ$5+8)&lt;&gt;$AZ$4,"",IFERROR(INDEX(_calc!$BB$1:$BB$300,MATCH(($AZ$5+8)&amp;"|2",_calc!$BA$1:$BA$300,0)),""))</f>
        <v/>
      </c>
      <c r="J12" s="9" t="str">
        <f>IF(MONTH($AZ$5+9)&lt;&gt;$AZ$4,"",IFERROR(INDEX(_calc!$BB$1:$BB$300,MATCH(($AZ$5+9)&amp;"|2",_calc!$BA$1:$BA$300,0)),""))</f>
        <v/>
      </c>
      <c r="K12" s="9" t="str">
        <f>IF(MONTH($AZ$5+10)&lt;&gt;$AZ$4,"",IFERROR(INDEX(_calc!$BB$1:$BB$300,MATCH(($AZ$5+10)&amp;"|2",_calc!$BA$1:$BA$300,0)),""))</f>
        <v/>
      </c>
      <c r="L12" s="9" t="str">
        <f>IF(MONTH($AZ$5+11)&lt;&gt;$AZ$4,"",IFERROR(INDEX(_calc!$BB$1:$BB$300,MATCH(($AZ$5+11)&amp;"|2",_calc!$BA$1:$BA$300,0)),""))</f>
        <v/>
      </c>
      <c r="M12" s="9" t="str">
        <f>IF(MONTH($AZ$5+12)&lt;&gt;$AZ$4,"",IFERROR(INDEX(_calc!$BB$1:$BB$300,MATCH(($AZ$5+12)&amp;"|2",_calc!$BA$1:$BA$300,0)),""))</f>
        <v/>
      </c>
      <c r="N12" s="9" t="str">
        <f>IF(MONTH($AZ$5+13)&lt;&gt;$AZ$4,"",IFERROR(INDEX(_calc!$BB$1:$BB$300,MATCH(($AZ$5+13)&amp;"|2",_calc!$BA$1:$BA$300,0)),""))</f>
        <v/>
      </c>
      <c r="AY12" s="2" t="s">
        <v>36</v>
      </c>
    </row>
    <row r="13" spans="1:52" ht="13.95" customHeight="1" x14ac:dyDescent="0.55000000000000004">
      <c r="A13" s="64"/>
      <c r="B13" s="64"/>
      <c r="D13" s="64"/>
      <c r="E13" s="64"/>
      <c r="F13" s="64"/>
      <c r="H13" s="7">
        <f>IF(MONTH($AZ$5+14)=$AZ$4,DAY($AZ$5+14),"")</f>
        <v>12</v>
      </c>
      <c r="I13" s="7">
        <f>IF(MONTH($AZ$5+15)=$AZ$4,DAY($AZ$5+15),"")</f>
        <v>13</v>
      </c>
      <c r="J13" s="7">
        <f>IF(MONTH($AZ$5+16)=$AZ$4,DAY($AZ$5+16),"")</f>
        <v>14</v>
      </c>
      <c r="K13" s="7">
        <f>IF(MONTH($AZ$5+17)=$AZ$4,DAY($AZ$5+17),"")</f>
        <v>15</v>
      </c>
      <c r="L13" s="7">
        <f>IF(MONTH($AZ$5+18)=$AZ$4,DAY($AZ$5+18),"")</f>
        <v>16</v>
      </c>
      <c r="M13" s="7">
        <f>IF(MONTH($AZ$5+19)=$AZ$4,DAY($AZ$5+19),"")</f>
        <v>17</v>
      </c>
      <c r="N13" s="7">
        <f>IF(MONTH($AZ$5+20)=$AZ$4,DAY($AZ$5+20),"")</f>
        <v>18</v>
      </c>
      <c r="AY13" s="2" t="s">
        <v>37</v>
      </c>
    </row>
    <row r="14" spans="1:52" ht="13.95" customHeight="1" x14ac:dyDescent="0.55000000000000004">
      <c r="A14" s="72">
        <v>6</v>
      </c>
      <c r="B14" s="71" t="s">
        <v>38</v>
      </c>
      <c r="D14" s="80" t="s">
        <v>39</v>
      </c>
      <c r="E14" s="70">
        <v>20</v>
      </c>
      <c r="F14" s="78">
        <v>582.46600000000001</v>
      </c>
      <c r="H14" s="8" t="str">
        <f>IF(MONTH($AZ$5+14)&lt;&gt;$AZ$4,"",IFERROR(INDEX(_calc!$BB$1:$BB$300,MATCH(($AZ$5+14)&amp;"|1",_calc!$BA$1:$BA$300,0)),""))</f>
        <v>发售 长城华能</v>
      </c>
      <c r="I14" s="8" t="str">
        <f>IF(MONTH($AZ$5+15)&lt;&gt;$AZ$4,"",IFERROR(INDEX(_calc!$BB$1:$BB$300,MATCH(($AZ$5+15)&amp;"|1",_calc!$BA$1:$BA$300,0)),""))</f>
        <v/>
      </c>
      <c r="J14" s="8" t="str">
        <f>IF(MONTH($AZ$5+16)&lt;&gt;$AZ$4,"",IFERROR(INDEX(_calc!$BB$1:$BB$300,MATCH(($AZ$5+16)&amp;"|1",_calc!$BA$1:$BA$300,0)),""))</f>
        <v>发售 平安西安</v>
      </c>
      <c r="K14" s="8" t="str">
        <f>IF(MONTH($AZ$5+17)&lt;&gt;$AZ$4,"",IFERROR(INDEX(_calc!$BB$1:$BB$300,MATCH(($AZ$5+17)&amp;"|1",_calc!$BA$1:$BA$300,0)),""))</f>
        <v/>
      </c>
      <c r="L14" s="8" t="str">
        <f>IF(MONTH($AZ$5+18)&lt;&gt;$AZ$4,"",IFERROR(INDEX(_calc!$BB$1:$BB$300,MATCH(($AZ$5+18)&amp;"|1",_calc!$BA$1:$BA$300,0)),""))</f>
        <v/>
      </c>
      <c r="M14" s="8" t="str">
        <f>IF(MONTH($AZ$5+19)&lt;&gt;$AZ$4,"",IFERROR(INDEX(_calc!$BB$1:$BB$300,MATCH(($AZ$5+19)&amp;"|1",_calc!$BA$1:$BA$300,0)),""))</f>
        <v/>
      </c>
      <c r="N14" s="8" t="str">
        <f>IF(MONTH($AZ$5+20)&lt;&gt;$AZ$4,"",IFERROR(INDEX(_calc!$BB$1:$BB$300,MATCH(($AZ$5+20)&amp;"|1",_calc!$BA$1:$BA$300,0)),""))</f>
        <v/>
      </c>
      <c r="AY14" s="2" t="s">
        <v>40</v>
      </c>
    </row>
    <row r="15" spans="1:52" ht="13.95" customHeight="1" x14ac:dyDescent="0.55000000000000004">
      <c r="A15" s="64"/>
      <c r="B15" s="64"/>
      <c r="D15" s="64"/>
      <c r="E15" s="64"/>
      <c r="F15" s="64"/>
      <c r="H15" s="9" t="str">
        <f>IF(MONTH($AZ$5+14)&lt;&gt;$AZ$4,"",IFERROR(INDEX(_calc!$BB$1:$BB$300,MATCH(($AZ$5+14)&amp;"|2",_calc!$BA$1:$BA$300,0)),""))</f>
        <v/>
      </c>
      <c r="I15" s="9" t="str">
        <f>IF(MONTH($AZ$5+15)&lt;&gt;$AZ$4,"",IFERROR(INDEX(_calc!$BB$1:$BB$300,MATCH(($AZ$5+15)&amp;"|2",_calc!$BA$1:$BA$300,0)),""))</f>
        <v/>
      </c>
      <c r="J15" s="9" t="str">
        <f>IF(MONTH($AZ$5+16)&lt;&gt;$AZ$4,"",IFERROR(INDEX(_calc!$BB$1:$BB$300,MATCH(($AZ$5+16)&amp;"|2",_calc!$BA$1:$BA$300,0)),""))</f>
        <v/>
      </c>
      <c r="K15" s="9" t="str">
        <f>IF(MONTH($AZ$5+17)&lt;&gt;$AZ$4,"",IFERROR(INDEX(_calc!$BB$1:$BB$300,MATCH(($AZ$5+17)&amp;"|2",_calc!$BA$1:$BA$300,0)),""))</f>
        <v/>
      </c>
      <c r="L15" s="9" t="str">
        <f>IF(MONTH($AZ$5+18)&lt;&gt;$AZ$4,"",IFERROR(INDEX(_calc!$BB$1:$BB$300,MATCH(($AZ$5+18)&amp;"|2",_calc!$BA$1:$BA$300,0)),""))</f>
        <v/>
      </c>
      <c r="M15" s="9" t="str">
        <f>IF(MONTH($AZ$5+19)&lt;&gt;$AZ$4,"",IFERROR(INDEX(_calc!$BB$1:$BB$300,MATCH(($AZ$5+19)&amp;"|2",_calc!$BA$1:$BA$300,0)),""))</f>
        <v/>
      </c>
      <c r="N15" s="9" t="str">
        <f>IF(MONTH($AZ$5+20)&lt;&gt;$AZ$4,"",IFERROR(INDEX(_calc!$BB$1:$BB$300,MATCH(($AZ$5+20)&amp;"|2",_calc!$BA$1:$BA$300,0)),""))</f>
        <v/>
      </c>
      <c r="AY15" s="2" t="s">
        <v>41</v>
      </c>
    </row>
    <row r="16" spans="1:52" ht="13.95" customHeight="1" x14ac:dyDescent="0.55000000000000004">
      <c r="A16" s="72">
        <v>7</v>
      </c>
      <c r="B16" s="71" t="s">
        <v>42</v>
      </c>
      <c r="D16" s="90" t="s">
        <v>43</v>
      </c>
      <c r="E16" s="70">
        <v>0</v>
      </c>
      <c r="F16" s="78">
        <v>0</v>
      </c>
      <c r="H16" s="7">
        <f>IF(MONTH($AZ$5+21)=$AZ$4,DAY($AZ$5+21),"")</f>
        <v>19</v>
      </c>
      <c r="I16" s="7">
        <f>IF(MONTH($AZ$5+22)=$AZ$4,DAY($AZ$5+22),"")</f>
        <v>20</v>
      </c>
      <c r="J16" s="7">
        <f>IF(MONTH($AZ$5+23)=$AZ$4,DAY($AZ$5+23),"")</f>
        <v>21</v>
      </c>
      <c r="K16" s="7">
        <f>IF(MONTH($AZ$5+24)=$AZ$4,DAY($AZ$5+24),"")</f>
        <v>22</v>
      </c>
      <c r="L16" s="7">
        <f>IF(MONTH($AZ$5+25)=$AZ$4,DAY($AZ$5+25),"")</f>
        <v>23</v>
      </c>
      <c r="M16" s="7">
        <f>IF(MONTH($AZ$5+26)=$AZ$4,DAY($AZ$5+26),"")</f>
        <v>24</v>
      </c>
      <c r="N16" s="7">
        <f>IF(MONTH($AZ$5+27)=$AZ$4,DAY($AZ$5+27),"")</f>
        <v>25</v>
      </c>
      <c r="AY16" s="2" t="s">
        <v>44</v>
      </c>
    </row>
    <row r="17" spans="1:51" ht="13.95" customHeight="1" x14ac:dyDescent="0.55000000000000004">
      <c r="A17" s="64"/>
      <c r="B17" s="64"/>
      <c r="D17" s="64"/>
      <c r="E17" s="64"/>
      <c r="F17" s="64"/>
      <c r="H17" s="8" t="str">
        <f>IF(MONTH($AZ$5+21)&lt;&gt;$AZ$4,"",IFERROR(INDEX(_calc!$BB$1:$BB$300,MATCH(($AZ$5+21)&amp;"|1",_calc!$BA$1:$BA$300,0)),""))</f>
        <v>发售 华泰华住</v>
      </c>
      <c r="I17" s="8" t="str">
        <f>IF(MONTH($AZ$5+22)&lt;&gt;$AZ$4,"",IFERROR(INDEX(_calc!$BB$1:$BB$300,MATCH(($AZ$5+22)&amp;"|1",_calc!$BA$1:$BA$300,0)),""))</f>
        <v/>
      </c>
      <c r="J17" s="8" t="str">
        <f>IF(MONTH($AZ$5+23)&lt;&gt;$AZ$4,"",IFERROR(INDEX(_calc!$BB$1:$BB$300,MATCH(($AZ$5+23)&amp;"|1",_calc!$BA$1:$BA$300,0)),""))</f>
        <v/>
      </c>
      <c r="K17" s="8" t="str">
        <f>IF(MONTH($AZ$5+24)&lt;&gt;$AZ$4,"",IFERROR(INDEX(_calc!$BB$1:$BB$300,MATCH(($AZ$5+24)&amp;"|1",_calc!$BA$1:$BA$300,0)),""))</f>
        <v>发售 广发新城</v>
      </c>
      <c r="L17" s="8" t="str">
        <f>IF(MONTH($AZ$5+25)&lt;&gt;$AZ$4,"",IFERROR(INDEX(_calc!$BB$1:$BB$300,MATCH(($AZ$5+25)&amp;"|1",_calc!$BA$1:$BA$300,0)),""))</f>
        <v/>
      </c>
      <c r="M17" s="8" t="str">
        <f>IF(MONTH($AZ$5+26)&lt;&gt;$AZ$4,"",IFERROR(INDEX(_calc!$BB$1:$BB$300,MATCH(($AZ$5+26)&amp;"|1",_calc!$BA$1:$BA$300,0)),""))</f>
        <v/>
      </c>
      <c r="N17" s="8" t="str">
        <f>IF(MONTH($AZ$5+27)&lt;&gt;$AZ$4,"",IFERROR(INDEX(_calc!$BB$1:$BB$300,MATCH(($AZ$5+27)&amp;"|1",_calc!$BA$1:$BA$300,0)),""))</f>
        <v/>
      </c>
      <c r="AY17" s="2" t="s">
        <v>45</v>
      </c>
    </row>
    <row r="18" spans="1:51" ht="13.95" customHeight="1" x14ac:dyDescent="0.55000000000000004">
      <c r="A18" s="72">
        <v>8</v>
      </c>
      <c r="B18" s="71" t="s">
        <v>46</v>
      </c>
      <c r="D18" s="91" t="s">
        <v>47</v>
      </c>
      <c r="E18" s="70">
        <v>2</v>
      </c>
      <c r="F18" s="78">
        <v>80.7</v>
      </c>
      <c r="H18" s="9" t="str">
        <f>IF(MONTH($AZ$5+21)&lt;&gt;$AZ$4,"",IFERROR(INDEX(_calc!$BB$1:$BB$300,MATCH(($AZ$5+21)&amp;"|2",_calc!$BA$1:$BA$300,0)),""))</f>
        <v/>
      </c>
      <c r="I18" s="9" t="str">
        <f>IF(MONTH($AZ$5+22)&lt;&gt;$AZ$4,"",IFERROR(INDEX(_calc!$BB$1:$BB$300,MATCH(($AZ$5+22)&amp;"|2",_calc!$BA$1:$BA$300,0)),""))</f>
        <v/>
      </c>
      <c r="J18" s="9" t="str">
        <f>IF(MONTH($AZ$5+23)&lt;&gt;$AZ$4,"",IFERROR(INDEX(_calc!$BB$1:$BB$300,MATCH(($AZ$5+23)&amp;"|2",_calc!$BA$1:$BA$300,0)),""))</f>
        <v/>
      </c>
      <c r="K18" s="9" t="str">
        <f>IF(MONTH($AZ$5+24)&lt;&gt;$AZ$4,"",IFERROR(INDEX(_calc!$BB$1:$BB$300,MATCH(($AZ$5+24)&amp;"|2",_calc!$BA$1:$BA$300,0)),""))</f>
        <v/>
      </c>
      <c r="L18" s="9" t="str">
        <f>IF(MONTH($AZ$5+25)&lt;&gt;$AZ$4,"",IFERROR(INDEX(_calc!$BB$1:$BB$300,MATCH(($AZ$5+25)&amp;"|2",_calc!$BA$1:$BA$300,0)),""))</f>
        <v/>
      </c>
      <c r="M18" s="9" t="str">
        <f>IF(MONTH($AZ$5+26)&lt;&gt;$AZ$4,"",IFERROR(INDEX(_calc!$BB$1:$BB$300,MATCH(($AZ$5+26)&amp;"|2",_calc!$BA$1:$BA$300,0)),""))</f>
        <v/>
      </c>
      <c r="N18" s="9" t="str">
        <f>IF(MONTH($AZ$5+27)&lt;&gt;$AZ$4,"",IFERROR(INDEX(_calc!$BB$1:$BB$300,MATCH(($AZ$5+27)&amp;"|2",_calc!$BA$1:$BA$300,0)),""))</f>
        <v/>
      </c>
      <c r="AY18" s="2" t="s">
        <v>48</v>
      </c>
    </row>
    <row r="19" spans="1:51" ht="13.95" customHeight="1" x14ac:dyDescent="0.55000000000000004">
      <c r="A19" s="64"/>
      <c r="B19" s="64"/>
      <c r="D19" s="64"/>
      <c r="E19" s="64"/>
      <c r="F19" s="64"/>
      <c r="H19" s="7">
        <f>IF(MONTH($AZ$5+28)=$AZ$4,DAY($AZ$5+28),"")</f>
        <v>26</v>
      </c>
      <c r="I19" s="7">
        <f>IF(MONTH($AZ$5+29)=$AZ$4,DAY($AZ$5+29),"")</f>
        <v>27</v>
      </c>
      <c r="J19" s="7">
        <f>IF(MONTH($AZ$5+30)=$AZ$4,DAY($AZ$5+30),"")</f>
        <v>28</v>
      </c>
      <c r="K19" s="7">
        <f>IF(MONTH($AZ$5+31)=$AZ$4,DAY($AZ$5+31),"")</f>
        <v>29</v>
      </c>
      <c r="L19" s="7">
        <f>IF(MONTH($AZ$5+32)=$AZ$4,DAY($AZ$5+32),"")</f>
        <v>30</v>
      </c>
      <c r="M19" s="7">
        <f>IF(MONTH($AZ$5+33)=$AZ$4,DAY($AZ$5+33),"")</f>
        <v>31</v>
      </c>
      <c r="N19" s="7" t="str">
        <f>IF(MONTH($AZ$5+34)=$AZ$4,DAY($AZ$5+34),"")</f>
        <v/>
      </c>
      <c r="AY19" s="2" t="s">
        <v>49</v>
      </c>
    </row>
    <row r="20" spans="1:51" ht="13.95" customHeight="1" x14ac:dyDescent="0.55000000000000004">
      <c r="A20" s="72">
        <v>9</v>
      </c>
      <c r="B20" s="71" t="s">
        <v>50</v>
      </c>
      <c r="D20" s="86" t="s">
        <v>51</v>
      </c>
      <c r="E20" s="82">
        <v>48</v>
      </c>
      <c r="F20" s="89">
        <v>1410.933</v>
      </c>
      <c r="H20" s="8" t="str">
        <f>IF(MONTH($AZ$5+28)&lt;&gt;$AZ$4,"",IFERROR(INDEX(_calc!$BB$1:$BB$300,MATCH(($AZ$5+28)&amp;"|1",_calc!$BA$1:$BA$300,0)),""))</f>
        <v>发售 国金嘉泽</v>
      </c>
      <c r="I20" s="8" t="str">
        <f>IF(MONTH($AZ$5+29)&lt;&gt;$AZ$4,"",IFERROR(INDEX(_calc!$BB$1:$BB$300,MATCH(($AZ$5+29)&amp;"|1",_calc!$BA$1:$BA$300,0)),""))</f>
        <v/>
      </c>
      <c r="J20" s="8" t="str">
        <f>IF(MONTH($AZ$5+30)&lt;&gt;$AZ$4,"",IFERROR(INDEX(_calc!$BB$1:$BB$300,MATCH(($AZ$5+30)&amp;"|1",_calc!$BA$1:$BA$300,0)),""))</f>
        <v/>
      </c>
      <c r="K20" s="8" t="str">
        <f>IF(MONTH($AZ$5+31)&lt;&gt;$AZ$4,"",IFERROR(INDEX(_calc!$BB$1:$BB$300,MATCH(($AZ$5+31)&amp;"|1",_calc!$BA$1:$BA$300,0)),""))</f>
        <v/>
      </c>
      <c r="L20" s="8" t="str">
        <f>IF(MONTH($AZ$5+32)&lt;&gt;$AZ$4,"",IFERROR(INDEX(_calc!$BB$1:$BB$300,MATCH(($AZ$5+32)&amp;"|1",_calc!$BA$1:$BA$300,0)),""))</f>
        <v/>
      </c>
      <c r="M20" s="8" t="str">
        <f>IF(MONTH($AZ$5+33)&lt;&gt;$AZ$4,"",IFERROR(INDEX(_calc!$BB$1:$BB$300,MATCH(($AZ$5+33)&amp;"|1",_calc!$BA$1:$BA$300,0)),""))</f>
        <v/>
      </c>
      <c r="N20" s="8" t="str">
        <f>IF(MONTH($AZ$5+34)&lt;&gt;$AZ$4,"",IFERROR(INDEX(_calc!$BB$1:$BB$300,MATCH(($AZ$5+34)&amp;"|1",_calc!$BA$1:$BA$300,0)),""))</f>
        <v/>
      </c>
      <c r="AY20" s="2" t="s">
        <v>52</v>
      </c>
    </row>
    <row r="21" spans="1:51" ht="13.95" customHeight="1" x14ac:dyDescent="0.55000000000000004">
      <c r="A21" s="64"/>
      <c r="B21" s="64"/>
      <c r="D21" s="64"/>
      <c r="E21" s="64"/>
      <c r="F21" s="64"/>
      <c r="H21" s="9" t="str">
        <f>IF(MONTH($AZ$5+28)&lt;&gt;$AZ$4,"",IFERROR(INDEX(_calc!$BB$1:$BB$300,MATCH(($AZ$5+28)&amp;"|2",_calc!$BA$1:$BA$300,0)),""))</f>
        <v/>
      </c>
      <c r="I21" s="9" t="str">
        <f>IF(MONTH($AZ$5+29)&lt;&gt;$AZ$4,"",IFERROR(INDEX(_calc!$BB$1:$BB$300,MATCH(($AZ$5+29)&amp;"|2",_calc!$BA$1:$BA$300,0)),""))</f>
        <v/>
      </c>
      <c r="J21" s="9" t="str">
        <f>IF(MONTH($AZ$5+30)&lt;&gt;$AZ$4,"",IFERROR(INDEX(_calc!$BB$1:$BB$300,MATCH(($AZ$5+30)&amp;"|2",_calc!$BA$1:$BA$300,0)),""))</f>
        <v/>
      </c>
      <c r="K21" s="9" t="str">
        <f>IF(MONTH($AZ$5+31)&lt;&gt;$AZ$4,"",IFERROR(INDEX(_calc!$BB$1:$BB$300,MATCH(($AZ$5+31)&amp;"|2",_calc!$BA$1:$BA$300,0)),""))</f>
        <v/>
      </c>
      <c r="L21" s="9" t="str">
        <f>IF(MONTH($AZ$5+32)&lt;&gt;$AZ$4,"",IFERROR(INDEX(_calc!$BB$1:$BB$300,MATCH(($AZ$5+32)&amp;"|2",_calc!$BA$1:$BA$300,0)),""))</f>
        <v/>
      </c>
      <c r="M21" s="9" t="str">
        <f>IF(MONTH($AZ$5+33)&lt;&gt;$AZ$4,"",IFERROR(INDEX(_calc!$BB$1:$BB$300,MATCH(($AZ$5+33)&amp;"|2",_calc!$BA$1:$BA$300,0)),""))</f>
        <v/>
      </c>
      <c r="N21" s="9" t="str">
        <f>IF(MONTH($AZ$5+34)&lt;&gt;$AZ$4,"",IFERROR(INDEX(_calc!$BB$1:$BB$300,MATCH(($AZ$5+34)&amp;"|2",_calc!$BA$1:$BA$300,0)),""))</f>
        <v/>
      </c>
      <c r="AY21" s="2" t="s">
        <v>53</v>
      </c>
    </row>
    <row r="22" spans="1:51" ht="13.95" customHeight="1" x14ac:dyDescent="0.4">
      <c r="H22" s="7" t="str">
        <f>IF(MONTH($AZ$5+35)=$AZ$4,DAY($AZ$5+35),"")</f>
        <v/>
      </c>
      <c r="I22" s="7" t="str">
        <f>IF(MONTH($AZ$5+36)=$AZ$4,DAY($AZ$5+36),"")</f>
        <v/>
      </c>
      <c r="J22" s="7" t="str">
        <f>IF(MONTH($AZ$5+37)=$AZ$4,DAY($AZ$5+37),"")</f>
        <v/>
      </c>
      <c r="K22" s="7" t="str">
        <f>IF(MONTH($AZ$5+38)=$AZ$4,DAY($AZ$5+38),"")</f>
        <v/>
      </c>
      <c r="L22" s="7" t="str">
        <f>IF(MONTH($AZ$5+39)=$AZ$4,DAY($AZ$5+39),"")</f>
        <v/>
      </c>
      <c r="M22" s="7" t="str">
        <f>IF(MONTH($AZ$5+40)=$AZ$4,DAY($AZ$5+40),"")</f>
        <v/>
      </c>
      <c r="N22" s="7" t="str">
        <f>IF(MONTH($AZ$5+41)=$AZ$4,DAY($AZ$5+41),"")</f>
        <v/>
      </c>
    </row>
    <row r="23" spans="1:51" ht="13.95" customHeight="1" x14ac:dyDescent="0.4">
      <c r="H23" s="8" t="str">
        <f>IF(MONTH($AZ$5+35)&lt;&gt;$AZ$4,"",IFERROR(INDEX(_calc!$BB$1:$BB$300,MATCH(($AZ$5+35)&amp;"|1",_calc!$BA$1:$BA$300,0)),""))</f>
        <v/>
      </c>
      <c r="I23" s="8" t="str">
        <f>IF(MONTH($AZ$5+36)&lt;&gt;$AZ$4,"",IFERROR(INDEX(_calc!$BB$1:$BB$300,MATCH(($AZ$5+36)&amp;"|1",_calc!$BA$1:$BA$300,0)),""))</f>
        <v/>
      </c>
      <c r="J23" s="8" t="str">
        <f>IF(MONTH($AZ$5+37)&lt;&gt;$AZ$4,"",IFERROR(INDEX(_calc!$BB$1:$BB$300,MATCH(($AZ$5+37)&amp;"|1",_calc!$BA$1:$BA$300,0)),""))</f>
        <v/>
      </c>
      <c r="K23" s="8" t="str">
        <f>IF(MONTH($AZ$5+38)&lt;&gt;$AZ$4,"",IFERROR(INDEX(_calc!$BB$1:$BB$300,MATCH(($AZ$5+38)&amp;"|1",_calc!$BA$1:$BA$300,0)),""))</f>
        <v/>
      </c>
      <c r="L23" s="8" t="str">
        <f>IF(MONTH($AZ$5+39)&lt;&gt;$AZ$4,"",IFERROR(INDEX(_calc!$BB$1:$BB$300,MATCH(($AZ$5+39)&amp;"|1",_calc!$BA$1:$BA$300,0)),""))</f>
        <v/>
      </c>
      <c r="M23" s="8" t="str">
        <f>IF(MONTH($AZ$5+40)&lt;&gt;$AZ$4,"",IFERROR(INDEX(_calc!$BB$1:$BB$300,MATCH(($AZ$5+40)&amp;"|1",_calc!$BA$1:$BA$300,0)),""))</f>
        <v/>
      </c>
      <c r="N23" s="8" t="str">
        <f>IF(MONTH($AZ$5+41)&lt;&gt;$AZ$4,"",IFERROR(INDEX(_calc!$BB$1:$BB$300,MATCH(($AZ$5+41)&amp;"|1",_calc!$BA$1:$BA$300,0)),""))</f>
        <v/>
      </c>
    </row>
    <row r="24" spans="1:51" ht="13.95" customHeight="1" x14ac:dyDescent="0.4">
      <c r="H24" s="9" t="str">
        <f>IF(MONTH($AZ$5+35)&lt;&gt;$AZ$4,"",IFERROR(INDEX(_calc!$BB$1:$BB$300,MATCH(($AZ$5+35)&amp;"|2",_calc!$BA$1:$BA$300,0)),""))</f>
        <v/>
      </c>
      <c r="I24" s="9" t="str">
        <f>IF(MONTH($AZ$5+36)&lt;&gt;$AZ$4,"",IFERROR(INDEX(_calc!$BB$1:$BB$300,MATCH(($AZ$5+36)&amp;"|2",_calc!$BA$1:$BA$300,0)),""))</f>
        <v/>
      </c>
      <c r="J24" s="9" t="str">
        <f>IF(MONTH($AZ$5+37)&lt;&gt;$AZ$4,"",IFERROR(INDEX(_calc!$BB$1:$BB$300,MATCH(($AZ$5+37)&amp;"|2",_calc!$BA$1:$BA$300,0)),""))</f>
        <v/>
      </c>
      <c r="K24" s="9" t="str">
        <f>IF(MONTH($AZ$5+38)&lt;&gt;$AZ$4,"",IFERROR(INDEX(_calc!$BB$1:$BB$300,MATCH(($AZ$5+38)&amp;"|2",_calc!$BA$1:$BA$300,0)),""))</f>
        <v/>
      </c>
      <c r="L24" s="9" t="str">
        <f>IF(MONTH($AZ$5+39)&lt;&gt;$AZ$4,"",IFERROR(INDEX(_calc!$BB$1:$BB$300,MATCH(($AZ$5+39)&amp;"|2",_calc!$BA$1:$BA$300,0)),""))</f>
        <v/>
      </c>
      <c r="M24" s="9" t="str">
        <f>IF(MONTH($AZ$5+40)&lt;&gt;$AZ$4,"",IFERROR(INDEX(_calc!$BB$1:$BB$300,MATCH(($AZ$5+40)&amp;"|2",_calc!$BA$1:$BA$300,0)),""))</f>
        <v/>
      </c>
      <c r="N24" s="9" t="str">
        <f>IF(MONTH($AZ$5+41)&lt;&gt;$AZ$4,"",IFERROR(INDEX(_calc!$BB$1:$BB$300,MATCH(($AZ$5+41)&amp;"|2",_calc!$BA$1:$BA$300,0)),""))</f>
        <v/>
      </c>
    </row>
    <row r="25" spans="1:51" ht="13.95" customHeight="1" x14ac:dyDescent="0.4"/>
    <row r="26" spans="1:51" ht="13.95" customHeight="1" x14ac:dyDescent="0.55000000000000004">
      <c r="A26" s="69" t="s">
        <v>54</v>
      </c>
      <c r="B26" s="62"/>
    </row>
    <row r="27" spans="1:51" ht="13.95" customHeight="1" x14ac:dyDescent="0.4"/>
    <row r="28" spans="1:51" ht="13.95" customHeight="1" x14ac:dyDescent="0.4"/>
    <row r="29" spans="1:51" ht="13.95" customHeight="1" x14ac:dyDescent="0.4"/>
    <row r="30" spans="1:51" ht="13.95" customHeight="1" x14ac:dyDescent="0.4"/>
    <row r="31" spans="1:51" ht="13.95" customHeight="1" x14ac:dyDescent="0.4"/>
    <row r="32" spans="1:51" ht="13.95" customHeight="1" x14ac:dyDescent="0.4"/>
    <row r="33" spans="1:14" ht="13.95" customHeight="1" x14ac:dyDescent="0.4"/>
    <row r="34" spans="1:14" ht="13.95" customHeight="1" x14ac:dyDescent="0.4"/>
    <row r="35" spans="1:14" ht="13.95" customHeight="1" x14ac:dyDescent="0.4"/>
    <row r="36" spans="1:14" ht="13.95" customHeight="1" x14ac:dyDescent="0.4"/>
    <row r="37" spans="1:14" ht="13.95" customHeight="1" x14ac:dyDescent="0.4"/>
    <row r="38" spans="1:14" ht="13.95" customHeight="1" x14ac:dyDescent="0.4"/>
    <row r="39" spans="1:14" ht="13.95" customHeight="1" x14ac:dyDescent="0.4"/>
    <row r="40" spans="1:14" ht="13.95" customHeight="1" x14ac:dyDescent="0.4"/>
    <row r="41" spans="1:14" ht="13.95" customHeight="1" x14ac:dyDescent="0.4"/>
    <row r="42" spans="1:14" ht="13.95" customHeight="1" x14ac:dyDescent="0.4"/>
    <row r="43" spans="1:14" ht="13.95" customHeight="1" x14ac:dyDescent="0.4"/>
    <row r="44" spans="1:14" ht="13.95" customHeight="1" x14ac:dyDescent="0.4"/>
    <row r="45" spans="1:14" ht="13.95" customHeight="1" x14ac:dyDescent="0.4"/>
    <row r="46" spans="1:14" ht="13.95" customHeight="1" x14ac:dyDescent="0.55000000000000004">
      <c r="A46" s="69" t="s">
        <v>55</v>
      </c>
      <c r="B46" s="62"/>
      <c r="C46" s="75" t="s">
        <v>56</v>
      </c>
      <c r="D46" s="62"/>
      <c r="E46" s="4" t="s">
        <v>57</v>
      </c>
      <c r="F46" s="83" t="s">
        <v>58</v>
      </c>
      <c r="G46" s="62"/>
      <c r="H46" s="62"/>
      <c r="I46" s="62"/>
      <c r="J46" s="62"/>
      <c r="K46" s="62"/>
      <c r="L46" s="62"/>
      <c r="M46" s="62"/>
      <c r="N46" s="62"/>
    </row>
    <row r="47" spans="1:14" ht="13.95" customHeight="1" x14ac:dyDescent="0.4"/>
    <row r="48" spans="1:14" ht="13.95" customHeight="1" x14ac:dyDescent="0.4"/>
    <row r="49" ht="13.95" customHeight="1" x14ac:dyDescent="0.4"/>
    <row r="50" ht="13.95" customHeight="1" x14ac:dyDescent="0.4"/>
    <row r="51" ht="13.95" customHeight="1" x14ac:dyDescent="0.4"/>
    <row r="52" ht="13.95" customHeight="1" x14ac:dyDescent="0.4"/>
    <row r="53" ht="13.95" customHeight="1" x14ac:dyDescent="0.4"/>
    <row r="54" ht="13.95" customHeight="1" x14ac:dyDescent="0.4"/>
    <row r="55" ht="13.95" customHeight="1" x14ac:dyDescent="0.4"/>
    <row r="56" ht="13.95" customHeight="1" x14ac:dyDescent="0.4"/>
    <row r="57" ht="13.95" customHeight="1" x14ac:dyDescent="0.4"/>
    <row r="58" ht="13.95" customHeight="1" x14ac:dyDescent="0.4"/>
    <row r="59" ht="13.95" customHeight="1" x14ac:dyDescent="0.4"/>
    <row r="60" ht="13.95" customHeight="1" x14ac:dyDescent="0.4"/>
    <row r="61" ht="13.95" customHeight="1" x14ac:dyDescent="0.4"/>
    <row r="62" ht="13.95" customHeight="1" x14ac:dyDescent="0.4"/>
    <row r="63" ht="13.95" customHeight="1" x14ac:dyDescent="0.4"/>
    <row r="64" ht="13.95" customHeight="1" x14ac:dyDescent="0.4"/>
    <row r="65" spans="1:14" ht="13.95" customHeight="1" x14ac:dyDescent="0.4"/>
    <row r="66" spans="1:14" ht="13.95" customHeight="1" x14ac:dyDescent="0.55000000000000004">
      <c r="A66" s="69" t="s">
        <v>59</v>
      </c>
      <c r="B66" s="62"/>
      <c r="H66" s="69" t="s">
        <v>60</v>
      </c>
      <c r="I66" s="62"/>
      <c r="J66" s="62"/>
    </row>
    <row r="67" spans="1:14" ht="13.95" customHeight="1" x14ac:dyDescent="0.4">
      <c r="A67" s="75" t="s">
        <v>61</v>
      </c>
      <c r="B67" s="62"/>
      <c r="C67" s="66" t="s">
        <v>62</v>
      </c>
      <c r="D67" s="62"/>
      <c r="E67" s="10" t="s">
        <v>63</v>
      </c>
      <c r="F67" s="4" t="s">
        <v>64</v>
      </c>
      <c r="H67" s="10" t="s">
        <v>65</v>
      </c>
      <c r="I67" s="66" t="s">
        <v>66</v>
      </c>
      <c r="J67" s="62"/>
    </row>
    <row r="68" spans="1:14" ht="13.95" customHeight="1" x14ac:dyDescent="0.4">
      <c r="A68" s="11" t="s">
        <v>67</v>
      </c>
      <c r="B68" s="67" t="s">
        <v>68</v>
      </c>
      <c r="C68" s="64"/>
      <c r="D68" s="11" t="s">
        <v>69</v>
      </c>
      <c r="E68" s="11" t="s">
        <v>68</v>
      </c>
      <c r="F68" s="11" t="s">
        <v>70</v>
      </c>
      <c r="H68" s="11" t="s">
        <v>71</v>
      </c>
      <c r="I68" s="11" t="s">
        <v>72</v>
      </c>
      <c r="J68" s="11" t="s">
        <v>73</v>
      </c>
      <c r="K68" s="67" t="s">
        <v>74</v>
      </c>
      <c r="L68" s="64"/>
      <c r="M68" s="11" t="s">
        <v>72</v>
      </c>
      <c r="N68" s="11" t="s">
        <v>73</v>
      </c>
    </row>
    <row r="69" spans="1:14" ht="13.95" customHeight="1" x14ac:dyDescent="0.4">
      <c r="A69" s="12">
        <f>IFERROR(IF(INDEX(_calc!$CF$3100:$CF$3179,IF($A$67="近一年",40,0)+IF($E$67="网下",20,0)+ROW()-68)="","",INDEX(_calc!$CF$3100:$CF$3179,IF($A$67="近一年",40,0)+IF($E$67="网下",20,0)+ROW()-68)),"")</f>
        <v>1</v>
      </c>
      <c r="B69" s="63" t="str">
        <f>IFERROR(IF(INDEX(_calc!$CG$3100:$CG$3179,IF($A$67="近一年",40,0)+IF($E$67="网下",20,0)+ROW()-68)="","",INDEX(_calc!$CG$3100:$CG$3179,IF($A$67="近一年",40,0)+IF($E$67="网下",20,0)+ROW()-68)),"")</f>
        <v>中信证券股份有限公司</v>
      </c>
      <c r="C69" s="64"/>
      <c r="D69" s="12">
        <f>IFERROR(IF(INDEX(_calc!$CH$3100:$CH$3179,IF($A$67="近一年",40,0)+IF($E$67="网下",20,0)+ROW()-68)="","",INDEX(_calc!$CH$3100:$CH$3179,IF($A$67="近一年",40,0)+IF($E$67="网下",20,0)+ROW()-68)),"")</f>
        <v>18</v>
      </c>
      <c r="E69" s="13" t="str">
        <f>IFERROR(IF(INDEX(_calc!$CI$3100:$CI$3179,IF($A$67="近一年",40,0)+IF($E$67="网下",20,0)+ROW()-68)="","",INDEX(_calc!$CI$3100:$CI$3179,IF($A$67="近一年",40,0)+IF($E$67="网下",20,0)+ROW()-68)),"")</f>
        <v>中信证券股份有限公司</v>
      </c>
      <c r="F69" s="14">
        <f>IFERROR(IF(INDEX(_calc!$CJ$3100:$CJ$3179,IF($A$67="近一年",40,0)+IF($E$67="网下",20,0)+ROW()-68)="","",INDEX(_calc!$CJ$3100:$CJ$3179,IF($A$67="近一年",40,0)+IF($E$67="网下",20,0)+ROW()-68)),"")</f>
        <v>15.703267309999999</v>
      </c>
      <c r="H69" s="13" t="str">
        <f>IFERROR(IF(INDEX(_calc!$CK$3200:$CK$3399,(MATCH($H$67,_calc!$CR$3200:$CR$3209,0)-1)*20+ROW()-68)="","",INDEX(_calc!$CK$3200:$CK$3399,(MATCH($H$67,_calc!$CR$3200:$CR$3209,0)-1)*20+ROW()-68)),"")</f>
        <v>券商自营</v>
      </c>
      <c r="I69" s="15">
        <f>IFERROR(IF(INDEX(_calc!$CL$3200:$CL$3399,(MATCH($H$67,_calc!$CR$3200:$CR$3209,0)-1)*20+ROW()-68)="","",INDEX(_calc!$CL$3200:$CL$3399,(MATCH($H$67,_calc!$CR$3200:$CR$3209,0)-1)*20+ROW()-68)),"")</f>
        <v>0.1441976662744581</v>
      </c>
      <c r="J69" s="16">
        <f>IFERROR(IF(INDEX(_calc!$CM$3200:$CM$3399,(MATCH($H$67,_calc!$CR$3200:$CR$3209,0)-1)*20+ROW()-68)="","-",INDEX(_calc!$CM$3200:$CM$3399,(MATCH($H$67,_calc!$CR$3200:$CR$3209,0)-1)*20+ROW()-68)),"")</f>
        <v>1.4049948641458841E-2</v>
      </c>
      <c r="K69" s="63" t="str">
        <f>IFERROR(IF(INDEX(_calc!$CN$3200:$CN$3399,(MATCH($H$67,_calc!$CR$3200:$CR$3209,0)-1)*20+ROW()-68)="","",INDEX(_calc!$CN$3200:$CN$3399,(MATCH($H$67,_calc!$CR$3200:$CR$3209,0)-1)*20+ROW()-68)),"")</f>
        <v>原始权益人及其关联方</v>
      </c>
      <c r="L69" s="64"/>
      <c r="M69" s="15">
        <f>IFERROR(IF(INDEX(_calc!$CO$3200:$CO$3399,(MATCH($H$67,_calc!$CR$3200:$CR$3209,0)-1)*20+ROW()-68)="","",INDEX(_calc!$CO$3200:$CO$3399,(MATCH($H$67,_calc!$CR$3200:$CR$3209,0)-1)*20+ROW()-68)),"")</f>
        <v>0.33691931999147962</v>
      </c>
      <c r="N69" s="16">
        <f>IFERROR(IF(INDEX(_calc!$CP$3200:$CP$3399,(MATCH($H$67,_calc!$CR$3200:$CR$3209,0)-1)*20+ROW()-68)="","-",INDEX(_calc!$CP$3200:$CP$3399,(MATCH($H$67,_calc!$CR$3200:$CR$3209,0)-1)*20+ROW()-68)),"")</f>
        <v>-9.3444452283819035E-3</v>
      </c>
    </row>
    <row r="70" spans="1:14" ht="13.95" customHeight="1" x14ac:dyDescent="0.4">
      <c r="A70" s="12">
        <f>IFERROR(IF(INDEX(_calc!$CF$3100:$CF$3179,IF($A$67="近一年",40,0)+IF($E$67="网下",20,0)+ROW()-68)="","",INDEX(_calc!$CF$3100:$CF$3179,IF($A$67="近一年",40,0)+IF($E$67="网下",20,0)+ROW()-68)),"")</f>
        <v>2</v>
      </c>
      <c r="B70" s="63" t="str">
        <f>IFERROR(IF(INDEX(_calc!$CG$3100:$CG$3179,IF($A$67="近一年",40,0)+IF($E$67="网下",20,0)+ROW()-68)="","",INDEX(_calc!$CG$3100:$CG$3179,IF($A$67="近一年",40,0)+IF($E$67="网下",20,0)+ROW()-68)),"")</f>
        <v>国泰海通证券股份有限公司</v>
      </c>
      <c r="C70" s="64"/>
      <c r="D70" s="12">
        <f>IFERROR(IF(INDEX(_calc!$CH$3100:$CH$3179,IF($A$67="近一年",40,0)+IF($E$67="网下",20,0)+ROW()-68)="","",INDEX(_calc!$CH$3100:$CH$3179,IF($A$67="近一年",40,0)+IF($E$67="网下",20,0)+ROW()-68)),"")</f>
        <v>12</v>
      </c>
      <c r="E70" s="13" t="str">
        <f>IFERROR(IF(INDEX(_calc!$CI$3100:$CI$3179,IF($A$67="近一年",40,0)+IF($E$67="网下",20,0)+ROW()-68)="","",INDEX(_calc!$CI$3100:$CI$3179,IF($A$67="近一年",40,0)+IF($E$67="网下",20,0)+ROW()-68)),"")</f>
        <v>中国人寿保险股份有限公司</v>
      </c>
      <c r="F70" s="14">
        <f>IFERROR(IF(INDEX(_calc!$CJ$3100:$CJ$3179,IF($A$67="近一年",40,0)+IF($E$67="网下",20,0)+ROW()-68)="","",INDEX(_calc!$CJ$3100:$CJ$3179,IF($A$67="近一年",40,0)+IF($E$67="网下",20,0)+ROW()-68)),"")</f>
        <v>11.868076</v>
      </c>
      <c r="H70" s="13" t="str">
        <f>IFERROR(IF(INDEX(_calc!$CK$3200:$CK$3399,(MATCH($H$67,_calc!$CR$3200:$CR$3209,0)-1)*20+ROW()-68)="","",INDEX(_calc!$CK$3200:$CK$3399,(MATCH($H$67,_calc!$CR$3200:$CR$3209,0)-1)*20+ROW()-68)),"")</f>
        <v>保险</v>
      </c>
      <c r="I70" s="15">
        <f>IFERROR(IF(INDEX(_calc!$CL$3200:$CL$3399,(MATCH($H$67,_calc!$CR$3200:$CR$3209,0)-1)*20+ROW()-68)="","",INDEX(_calc!$CL$3200:$CL$3399,(MATCH($H$67,_calc!$CR$3200:$CR$3209,0)-1)*20+ROW()-68)),"")</f>
        <v>7.7817512197348518E-2</v>
      </c>
      <c r="J70" s="16">
        <f>IFERROR(IF(INDEX(_calc!$CM$3200:$CM$3399,(MATCH($H$67,_calc!$CR$3200:$CR$3209,0)-1)*20+ROW()-68)="","-",INDEX(_calc!$CM$3200:$CM$3399,(MATCH($H$67,_calc!$CR$3200:$CR$3209,0)-1)*20+ROW()-68)),"")</f>
        <v>4.6763531859170954E-3</v>
      </c>
      <c r="K70" s="63" t="str">
        <f>IFERROR(IF(INDEX(_calc!$CN$3200:$CN$3399,(MATCH($H$67,_calc!$CR$3200:$CR$3209,0)-1)*20+ROW()-68)="","",INDEX(_calc!$CN$3200:$CN$3399,(MATCH($H$67,_calc!$CR$3200:$CR$3209,0)-1)*20+ROW()-68)),"")</f>
        <v>信托</v>
      </c>
      <c r="L70" s="64"/>
      <c r="M70" s="15">
        <f>IFERROR(IF(INDEX(_calc!$CO$3200:$CO$3399,(MATCH($H$67,_calc!$CR$3200:$CR$3209,0)-1)*20+ROW()-68)="","",INDEX(_calc!$CO$3200:$CO$3399,(MATCH($H$67,_calc!$CR$3200:$CR$3209,0)-1)*20+ROW()-68)),"")</f>
        <v>3.0433173998600221E-2</v>
      </c>
      <c r="N70" s="16">
        <f>IFERROR(IF(INDEX(_calc!$CP$3200:$CP$3399,(MATCH($H$67,_calc!$CR$3200:$CR$3209,0)-1)*20+ROW()-68)="","-",INDEX(_calc!$CP$3200:$CP$3399,(MATCH($H$67,_calc!$CR$3200:$CR$3209,0)-1)*20+ROW()-68)),"")</f>
        <v>2.3454916727840971E-2</v>
      </c>
    </row>
    <row r="71" spans="1:14" ht="13.95" customHeight="1" x14ac:dyDescent="0.4">
      <c r="A71" s="12">
        <f>IFERROR(IF(INDEX(_calc!$CF$3100:$CF$3179,IF($A$67="近一年",40,0)+IF($E$67="网下",20,0)+ROW()-68)="","",INDEX(_calc!$CF$3100:$CF$3179,IF($A$67="近一年",40,0)+IF($E$67="网下",20,0)+ROW()-68)),"")</f>
        <v>3</v>
      </c>
      <c r="B71" s="63" t="str">
        <f>IFERROR(IF(INDEX(_calc!$CG$3100:$CG$3179,IF($A$67="近一年",40,0)+IF($E$67="网下",20,0)+ROW()-68)="","",INDEX(_calc!$CG$3100:$CG$3179,IF($A$67="近一年",40,0)+IF($E$67="网下",20,0)+ROW()-68)),"")</f>
        <v>申万宏源证券有限公司</v>
      </c>
      <c r="C71" s="64"/>
      <c r="D71" s="12">
        <f>IFERROR(IF(INDEX(_calc!$CH$3100:$CH$3179,IF($A$67="近一年",40,0)+IF($E$67="网下",20,0)+ROW()-68)="","",INDEX(_calc!$CH$3100:$CH$3179,IF($A$67="近一年",40,0)+IF($E$67="网下",20,0)+ROW()-68)),"")</f>
        <v>11</v>
      </c>
      <c r="E71" s="13" t="str">
        <f>IFERROR(IF(INDEX(_calc!$CI$3100:$CI$3179,IF($A$67="近一年",40,0)+IF($E$67="网下",20,0)+ROW()-68)="","",INDEX(_calc!$CI$3100:$CI$3179,IF($A$67="近一年",40,0)+IF($E$67="网下",20,0)+ROW()-68)),"")</f>
        <v>国泰海通证券股份有限公司</v>
      </c>
      <c r="F71" s="14">
        <f>IFERROR(IF(INDEX(_calc!$CJ$3100:$CJ$3179,IF($A$67="近一年",40,0)+IF($E$67="网下",20,0)+ROW()-68)="","",INDEX(_calc!$CJ$3100:$CJ$3179,IF($A$67="近一年",40,0)+IF($E$67="网下",20,0)+ROW()-68)),"")</f>
        <v>11.22375971</v>
      </c>
      <c r="H71" s="13" t="str">
        <f>IFERROR(IF(INDEX(_calc!$CK$3200:$CK$3399,(MATCH($H$67,_calc!$CR$3200:$CR$3209,0)-1)*20+ROW()-68)="","",INDEX(_calc!$CK$3200:$CK$3399,(MATCH($H$67,_calc!$CR$3200:$CR$3209,0)-1)*20+ROW()-68)),"")</f>
        <v>其他</v>
      </c>
      <c r="I71" s="15">
        <f>IFERROR(IF(INDEX(_calc!$CL$3200:$CL$3399,(MATCH($H$67,_calc!$CR$3200:$CR$3209,0)-1)*20+ROW()-68)="","",INDEX(_calc!$CL$3200:$CL$3399,(MATCH($H$67,_calc!$CR$3200:$CR$3209,0)-1)*20+ROW()-68)),"")</f>
        <v>2.9806541430411719E-2</v>
      </c>
      <c r="J71" s="16">
        <f>IFERROR(IF(INDEX(_calc!$CM$3200:$CM$3399,(MATCH($H$67,_calc!$CR$3200:$CR$3209,0)-1)*20+ROW()-68)="","-",INDEX(_calc!$CM$3200:$CM$3399,(MATCH($H$67,_calc!$CR$3200:$CR$3209,0)-1)*20+ROW()-68)),"")</f>
        <v>-2.3169292367643118E-3</v>
      </c>
      <c r="K71" s="63" t="str">
        <f>IFERROR(IF(INDEX(_calc!$CN$3200:$CN$3399,(MATCH($H$67,_calc!$CR$3200:$CR$3209,0)-1)*20+ROW()-68)="","",INDEX(_calc!$CN$3200:$CN$3399,(MATCH($H$67,_calc!$CR$3200:$CR$3209,0)-1)*20+ROW()-68)),"")</f>
        <v>券商自营</v>
      </c>
      <c r="L71" s="64"/>
      <c r="M71" s="15">
        <f>IFERROR(IF(INDEX(_calc!$CO$3200:$CO$3399,(MATCH($H$67,_calc!$CR$3200:$CR$3209,0)-1)*20+ROW()-68)="","",INDEX(_calc!$CO$3200:$CO$3399,(MATCH($H$67,_calc!$CR$3200:$CR$3209,0)-1)*20+ROW()-68)),"")</f>
        <v>1.7370462383478551E-2</v>
      </c>
      <c r="N71" s="16">
        <f>IFERROR(IF(INDEX(_calc!$CP$3200:$CP$3399,(MATCH($H$67,_calc!$CR$3200:$CR$3209,0)-1)*20+ROW()-68)="","-",INDEX(_calc!$CP$3200:$CP$3399,(MATCH($H$67,_calc!$CR$3200:$CR$3209,0)-1)*20+ROW()-68)),"")</f>
        <v>-5.8196240134182134E-3</v>
      </c>
    </row>
    <row r="72" spans="1:14" ht="13.95" customHeight="1" x14ac:dyDescent="0.4">
      <c r="A72" s="12">
        <f>IFERROR(IF(INDEX(_calc!$CF$3100:$CF$3179,IF($A$67="近一年",40,0)+IF($E$67="网下",20,0)+ROW()-68)="","",INDEX(_calc!$CF$3100:$CF$3179,IF($A$67="近一年",40,0)+IF($E$67="网下",20,0)+ROW()-68)),"")</f>
        <v>4</v>
      </c>
      <c r="B72" s="63" t="str">
        <f>IFERROR(IF(INDEX(_calc!$CG$3100:$CG$3179,IF($A$67="近一年",40,0)+IF($E$67="网下",20,0)+ROW()-68)="","",INDEX(_calc!$CG$3100:$CG$3179,IF($A$67="近一年",40,0)+IF($E$67="网下",20,0)+ROW()-68)),"")</f>
        <v>中信建投证券股份有限公司</v>
      </c>
      <c r="C72" s="64"/>
      <c r="D72" s="12">
        <f>IFERROR(IF(INDEX(_calc!$CH$3100:$CH$3179,IF($A$67="近一年",40,0)+IF($E$67="网下",20,0)+ROW()-68)="","",INDEX(_calc!$CH$3100:$CH$3179,IF($A$67="近一年",40,0)+IF($E$67="网下",20,0)+ROW()-68)),"")</f>
        <v>10</v>
      </c>
      <c r="E72" s="13" t="str">
        <f>IFERROR(IF(INDEX(_calc!$CI$3100:$CI$3179,IF($A$67="近一年",40,0)+IF($E$67="网下",20,0)+ROW()-68)="","",INDEX(_calc!$CI$3100:$CI$3179,IF($A$67="近一年",40,0)+IF($E$67="网下",20,0)+ROW()-68)),"")</f>
        <v>深圳市地铁集团有限公司</v>
      </c>
      <c r="F72" s="14">
        <f>IFERROR(IF(INDEX(_calc!$CJ$3100:$CJ$3179,IF($A$67="近一年",40,0)+IF($E$67="网下",20,0)+ROW()-68)="","",INDEX(_calc!$CJ$3100:$CJ$3179,IF($A$67="近一年",40,0)+IF($E$67="网下",20,0)+ROW()-68)),"")</f>
        <v>9.6984999999999992</v>
      </c>
      <c r="H72" s="13" t="str">
        <f>IFERROR(IF(INDEX(_calc!$CK$3200:$CK$3399,(MATCH($H$67,_calc!$CR$3200:$CR$3209,0)-1)*20+ROW()-68)="","",INDEX(_calc!$CK$3200:$CK$3399,(MATCH($H$67,_calc!$CR$3200:$CR$3209,0)-1)*20+ROW()-68)),"")</f>
        <v>信托</v>
      </c>
      <c r="I72" s="15">
        <f>IFERROR(IF(INDEX(_calc!$CL$3200:$CL$3399,(MATCH($H$67,_calc!$CR$3200:$CR$3209,0)-1)*20+ROW()-68)="","",INDEX(_calc!$CL$3200:$CL$3399,(MATCH($H$67,_calc!$CR$3200:$CR$3209,0)-1)*20+ROW()-68)),"")</f>
        <v>1.389356710316776E-2</v>
      </c>
      <c r="J72" s="16">
        <f>IFERROR(IF(INDEX(_calc!$CM$3200:$CM$3399,(MATCH($H$67,_calc!$CR$3200:$CR$3209,0)-1)*20+ROW()-68)="","-",INDEX(_calc!$CM$3200:$CM$3399,(MATCH($H$67,_calc!$CR$3200:$CR$3209,0)-1)*20+ROW()-68)),"")</f>
        <v>-8.7975026339213828E-4</v>
      </c>
      <c r="K72" s="63" t="str">
        <f>IFERROR(IF(INDEX(_calc!$CN$3200:$CN$3399,(MATCH($H$67,_calc!$CR$3200:$CR$3209,0)-1)*20+ROW()-68)="","",INDEX(_calc!$CN$3200:$CN$3399,(MATCH($H$67,_calc!$CR$3200:$CR$3209,0)-1)*20+ROW()-68)),"")</f>
        <v>公募基金与基金子</v>
      </c>
      <c r="L72" s="64"/>
      <c r="M72" s="15">
        <f>IFERROR(IF(INDEX(_calc!$CO$3200:$CO$3399,(MATCH($H$67,_calc!$CR$3200:$CR$3209,0)-1)*20+ROW()-68)="","",INDEX(_calc!$CO$3200:$CO$3399,(MATCH($H$67,_calc!$CR$3200:$CR$3209,0)-1)*20+ROW()-68)),"")</f>
        <v>5.6810824449471031E-3</v>
      </c>
      <c r="N72" s="16">
        <f>IFERROR(IF(INDEX(_calc!$CP$3200:$CP$3399,(MATCH($H$67,_calc!$CR$3200:$CR$3209,0)-1)*20+ROW()-68)="","-",INDEX(_calc!$CP$3200:$CP$3399,(MATCH($H$67,_calc!$CR$3200:$CR$3209,0)-1)*20+ROW()-68)),"")</f>
        <v>-2.6911444594008172E-4</v>
      </c>
    </row>
    <row r="73" spans="1:14" ht="13.95" customHeight="1" x14ac:dyDescent="0.4">
      <c r="A73" s="12">
        <f>IFERROR(IF(INDEX(_calc!$CF$3100:$CF$3179,IF($A$67="近一年",40,0)+IF($E$67="网下",20,0)+ROW()-68)="","",INDEX(_calc!$CF$3100:$CF$3179,IF($A$67="近一年",40,0)+IF($E$67="网下",20,0)+ROW()-68)),"")</f>
        <v>5</v>
      </c>
      <c r="B73" s="63" t="str">
        <f>IFERROR(IF(INDEX(_calc!$CG$3100:$CG$3179,IF($A$67="近一年",40,0)+IF($E$67="网下",20,0)+ROW()-68)="","",INDEX(_calc!$CG$3100:$CG$3179,IF($A$67="近一年",40,0)+IF($E$67="网下",20,0)+ROW()-68)),"")</f>
        <v>中国中金财富证券有限公司</v>
      </c>
      <c r="C73" s="64"/>
      <c r="D73" s="12">
        <f>IFERROR(IF(INDEX(_calc!$CH$3100:$CH$3179,IF($A$67="近一年",40,0)+IF($E$67="网下",20,0)+ROW()-68)="","",INDEX(_calc!$CH$3100:$CH$3179,IF($A$67="近一年",40,0)+IF($E$67="网下",20,0)+ROW()-68)),"")</f>
        <v>10</v>
      </c>
      <c r="E73" s="13" t="str">
        <f>IFERROR(IF(INDEX(_calc!$CI$3100:$CI$3179,IF($A$67="近一年",40,0)+IF($E$67="网下",20,0)+ROW()-68)="","",INDEX(_calc!$CI$3100:$CI$3179,IF($A$67="近一年",40,0)+IF($E$67="网下",20,0)+ROW()-68)),"")</f>
        <v>中信建投证券股份有限公司</v>
      </c>
      <c r="F73" s="14">
        <f>IFERROR(IF(INDEX(_calc!$CJ$3100:$CJ$3179,IF($A$67="近一年",40,0)+IF($E$67="网下",20,0)+ROW()-68)="","",INDEX(_calc!$CJ$3100:$CJ$3179,IF($A$67="近一年",40,0)+IF($E$67="网下",20,0)+ROW()-68)),"")</f>
        <v>6.8282436799999999</v>
      </c>
      <c r="H73" s="13" t="str">
        <f>IFERROR(IF(INDEX(_calc!$CK$3200:$CK$3399,(MATCH($H$67,_calc!$CR$3200:$CR$3209,0)-1)*20+ROW()-68)="","",INDEX(_calc!$CK$3200:$CK$3399,(MATCH($H$67,_calc!$CR$3200:$CR$3209,0)-1)*20+ROW()-68)),"")</f>
        <v>私募基金</v>
      </c>
      <c r="I73" s="15">
        <f>IFERROR(IF(INDEX(_calc!$CL$3200:$CL$3399,(MATCH($H$67,_calc!$CR$3200:$CR$3209,0)-1)*20+ROW()-68)="","",INDEX(_calc!$CL$3200:$CL$3399,(MATCH($H$67,_calc!$CR$3200:$CR$3209,0)-1)*20+ROW()-68)),"")</f>
        <v>5.6913685374339416E-3</v>
      </c>
      <c r="J73" s="16">
        <f>IFERROR(IF(INDEX(_calc!$CM$3200:$CM$3399,(MATCH($H$67,_calc!$CR$3200:$CR$3209,0)-1)*20+ROW()-68)="","-",INDEX(_calc!$CM$3200:$CM$3399,(MATCH($H$67,_calc!$CR$3200:$CR$3209,0)-1)*20+ROW()-68)),"")</f>
        <v>3.1139110746815839E-3</v>
      </c>
      <c r="K73" s="63" t="str">
        <f>IFERROR(IF(INDEX(_calc!$CN$3200:$CN$3399,(MATCH($H$67,_calc!$CR$3200:$CR$3209,0)-1)*20+ROW()-68)="","",INDEX(_calc!$CN$3200:$CN$3399,(MATCH($H$67,_calc!$CR$3200:$CR$3209,0)-1)*20+ROW()-68)),"")</f>
        <v>保险</v>
      </c>
      <c r="L73" s="64"/>
      <c r="M73" s="15">
        <f>IFERROR(IF(INDEX(_calc!$CO$3200:$CO$3399,(MATCH($H$67,_calc!$CR$3200:$CR$3209,0)-1)*20+ROW()-68)="","",INDEX(_calc!$CO$3200:$CO$3399,(MATCH($H$67,_calc!$CR$3200:$CR$3209,0)-1)*20+ROW()-68)),"")</f>
        <v>5.2730646535547286E-3</v>
      </c>
      <c r="N73" s="16">
        <f>IFERROR(IF(INDEX(_calc!$CP$3200:$CP$3399,(MATCH($H$67,_calc!$CR$3200:$CR$3209,0)-1)*20+ROW()-68)="","-",INDEX(_calc!$CP$3200:$CP$3399,(MATCH($H$67,_calc!$CR$3200:$CR$3209,0)-1)*20+ROW()-68)),"")</f>
        <v>-2.721102576357012E-3</v>
      </c>
    </row>
    <row r="74" spans="1:14" ht="13.95" customHeight="1" x14ac:dyDescent="0.4">
      <c r="A74" s="12">
        <f>IFERROR(IF(INDEX(_calc!$CF$3100:$CF$3179,IF($A$67="近一年",40,0)+IF($E$67="网下",20,0)+ROW()-68)="","",INDEX(_calc!$CF$3100:$CF$3179,IF($A$67="近一年",40,0)+IF($E$67="网下",20,0)+ROW()-68)),"")</f>
        <v>6</v>
      </c>
      <c r="B74" s="63" t="str">
        <f>IFERROR(IF(INDEX(_calc!$CG$3100:$CG$3179,IF($A$67="近一年",40,0)+IF($E$67="网下",20,0)+ROW()-68)="","",INDEX(_calc!$CG$3100:$CG$3179,IF($A$67="近一年",40,0)+IF($E$67="网下",20,0)+ROW()-68)),"")</f>
        <v>中国国际金融股份有限公司</v>
      </c>
      <c r="C74" s="64"/>
      <c r="D74" s="12">
        <f>IFERROR(IF(INDEX(_calc!$CH$3100:$CH$3179,IF($A$67="近一年",40,0)+IF($E$67="网下",20,0)+ROW()-68)="","",INDEX(_calc!$CH$3100:$CH$3179,IF($A$67="近一年",40,0)+IF($E$67="网下",20,0)+ROW()-68)),"")</f>
        <v>8</v>
      </c>
      <c r="E74" s="13" t="str">
        <f>IFERROR(IF(INDEX(_calc!$CI$3100:$CI$3179,IF($A$67="近一年",40,0)+IF($E$67="网下",20,0)+ROW()-68)="","",INDEX(_calc!$CI$3100:$CI$3179,IF($A$67="近一年",40,0)+IF($E$67="网下",20,0)+ROW()-68)),"")</f>
        <v>厦门源峰基础设施股权投资基金合伙企业（有限合伙）</v>
      </c>
      <c r="F74" s="14">
        <f>IFERROR(IF(INDEX(_calc!$CJ$3100:$CJ$3179,IF($A$67="近一年",40,0)+IF($E$67="网下",20,0)+ROW()-68)="","",INDEX(_calc!$CJ$3100:$CJ$3179,IF($A$67="近一年",40,0)+IF($E$67="网下",20,0)+ROW()-68)),"")</f>
        <v>4.3598507</v>
      </c>
      <c r="H74" s="13" t="str">
        <f>IFERROR(IF(INDEX(_calc!$CK$3200:$CK$3399,(MATCH($H$67,_calc!$CR$3200:$CR$3209,0)-1)*20+ROW()-68)="","",INDEX(_calc!$CK$3200:$CK$3399,(MATCH($H$67,_calc!$CR$3200:$CR$3209,0)-1)*20+ROW()-68)),"")</f>
        <v>券商资管</v>
      </c>
      <c r="I74" s="15">
        <f>IFERROR(IF(INDEX(_calc!$CL$3200:$CL$3399,(MATCH($H$67,_calc!$CR$3200:$CR$3209,0)-1)*20+ROW()-68)="","",INDEX(_calc!$CL$3200:$CL$3399,(MATCH($H$67,_calc!$CR$3200:$CR$3209,0)-1)*20+ROW()-68)),"")</f>
        <v>3.2987123048677821E-3</v>
      </c>
      <c r="J74" s="16">
        <f>IFERROR(IF(INDEX(_calc!$CM$3200:$CM$3399,(MATCH($H$67,_calc!$CR$3200:$CR$3209,0)-1)*20+ROW()-68)="","-",INDEX(_calc!$CM$3200:$CM$3399,(MATCH($H$67,_calc!$CR$3200:$CR$3209,0)-1)*20+ROW()-68)),"")</f>
        <v>-2.7574275562310849E-3</v>
      </c>
      <c r="K74" s="63" t="str">
        <f>IFERROR(IF(INDEX(_calc!$CN$3200:$CN$3399,(MATCH($H$67,_calc!$CR$3200:$CR$3209,0)-1)*20+ROW()-68)="","",INDEX(_calc!$CN$3200:$CN$3399,(MATCH($H$67,_calc!$CR$3200:$CR$3209,0)-1)*20+ROW()-68)),"")</f>
        <v>其他</v>
      </c>
      <c r="L74" s="64"/>
      <c r="M74" s="15">
        <f>IFERROR(IF(INDEX(_calc!$CO$3200:$CO$3399,(MATCH($H$67,_calc!$CR$3200:$CR$3209,0)-1)*20+ROW()-68)="","",INDEX(_calc!$CO$3200:$CO$3399,(MATCH($H$67,_calc!$CR$3200:$CR$3209,0)-1)*20+ROW()-68)),"")</f>
        <v>4.2643223751610256E-3</v>
      </c>
      <c r="N74" s="16">
        <f>IFERROR(IF(INDEX(_calc!$CP$3200:$CP$3399,(MATCH($H$67,_calc!$CR$3200:$CR$3209,0)-1)*20+ROW()-68)="","-",INDEX(_calc!$CP$3200:$CP$3399,(MATCH($H$67,_calc!$CR$3200:$CR$3209,0)-1)*20+ROW()-68)),"")</f>
        <v>-2.0709455825613089E-3</v>
      </c>
    </row>
    <row r="75" spans="1:14" ht="13.95" customHeight="1" x14ac:dyDescent="0.4">
      <c r="A75" s="12">
        <f>IFERROR(IF(INDEX(_calc!$CF$3100:$CF$3179,IF($A$67="近一年",40,0)+IF($E$67="网下",20,0)+ROW()-68)="","",INDEX(_calc!$CF$3100:$CF$3179,IF($A$67="近一年",40,0)+IF($E$67="网下",20,0)+ROW()-68)),"")</f>
        <v>7</v>
      </c>
      <c r="B75" s="63" t="str">
        <f>IFERROR(IF(INDEX(_calc!$CG$3100:$CG$3179,IF($A$67="近一年",40,0)+IF($E$67="网下",20,0)+ROW()-68)="","",INDEX(_calc!$CG$3100:$CG$3179,IF($A$67="近一年",40,0)+IF($E$67="网下",20,0)+ROW()-68)),"")</f>
        <v>华夏基金管理有限公司</v>
      </c>
      <c r="C75" s="64"/>
      <c r="D75" s="12">
        <f>IFERROR(IF(INDEX(_calc!$CH$3100:$CH$3179,IF($A$67="近一年",40,0)+IF($E$67="网下",20,0)+ROW()-68)="","",INDEX(_calc!$CH$3100:$CH$3179,IF($A$67="近一年",40,0)+IF($E$67="网下",20,0)+ROW()-68)),"")</f>
        <v>7</v>
      </c>
      <c r="E75" s="13" t="str">
        <f>IFERROR(IF(INDEX(_calc!$CI$3100:$CI$3179,IF($A$67="近一年",40,0)+IF($E$67="网下",20,0)+ROW()-68)="","",INDEX(_calc!$CI$3100:$CI$3179,IF($A$67="近一年",40,0)+IF($E$67="网下",20,0)+ROW()-68)),"")</f>
        <v>陕西省国际信托股份有限公司</v>
      </c>
      <c r="F75" s="14">
        <f>IFERROR(IF(INDEX(_calc!$CJ$3100:$CJ$3179,IF($A$67="近一年",40,0)+IF($E$67="网下",20,0)+ROW()-68)="","",INDEX(_calc!$CJ$3100:$CJ$3179,IF($A$67="近一年",40,0)+IF($E$67="网下",20,0)+ROW()-68)),"")</f>
        <v>4.1490594999999999</v>
      </c>
      <c r="H75" s="13" t="str">
        <f>IFERROR(IF(INDEX(_calc!$CK$3200:$CK$3399,(MATCH($H$67,_calc!$CR$3200:$CR$3209,0)-1)*20+ROW()-68)="","",INDEX(_calc!$CK$3200:$CK$3399,(MATCH($H$67,_calc!$CR$3200:$CR$3209,0)-1)*20+ROW()-68)),"")</f>
        <v>公募基金与基金子</v>
      </c>
      <c r="I75" s="15">
        <f>IFERROR(IF(INDEX(_calc!$CL$3200:$CL$3399,(MATCH($H$67,_calc!$CR$3200:$CR$3209,0)-1)*20+ROW()-68)="","",INDEX(_calc!$CL$3200:$CL$3399,(MATCH($H$67,_calc!$CR$3200:$CR$3209,0)-1)*20+ROW()-68)),"")</f>
        <v>2.612145617576354E-3</v>
      </c>
      <c r="J75" s="16">
        <f>IFERROR(IF(INDEX(_calc!$CM$3200:$CM$3399,(MATCH($H$67,_calc!$CR$3200:$CR$3209,0)-1)*20+ROW()-68)="","-",INDEX(_calc!$CM$3200:$CM$3399,(MATCH($H$67,_calc!$CR$3200:$CR$3209,0)-1)*20+ROW()-68)),"")</f>
        <v>-2.4046243923171681E-3</v>
      </c>
      <c r="K75" s="63" t="str">
        <f>IFERROR(IF(INDEX(_calc!$CN$3200:$CN$3399,(MATCH($H$67,_calc!$CR$3200:$CR$3209,0)-1)*20+ROW()-68)="","",INDEX(_calc!$CN$3200:$CN$3399,(MATCH($H$67,_calc!$CR$3200:$CR$3209,0)-1)*20+ROW()-68)),"")</f>
        <v>产业投资者</v>
      </c>
      <c r="L75" s="64"/>
      <c r="M75" s="15">
        <f>IFERROR(IF(INDEX(_calc!$CO$3200:$CO$3399,(MATCH($H$67,_calc!$CR$3200:$CR$3209,0)-1)*20+ROW()-68)="","",INDEX(_calc!$CO$3200:$CO$3399,(MATCH($H$67,_calc!$CR$3200:$CR$3209,0)-1)*20+ROW()-68)),"")</f>
        <v>3.1513921713816218E-3</v>
      </c>
      <c r="N75" s="16">
        <f>IFERROR(IF(INDEX(_calc!$CP$3200:$CP$3399,(MATCH($H$67,_calc!$CR$3200:$CR$3209,0)-1)*20+ROW()-68)="","-",INDEX(_calc!$CP$3200:$CP$3399,(MATCH($H$67,_calc!$CR$3200:$CR$3209,0)-1)*20+ROW()-68)),"")</f>
        <v>-1.249413024186863E-3</v>
      </c>
    </row>
    <row r="76" spans="1:14" ht="13.95" customHeight="1" x14ac:dyDescent="0.4">
      <c r="A76" s="12">
        <f>IFERROR(IF(INDEX(_calc!$CF$3100:$CF$3179,IF($A$67="近一年",40,0)+IF($E$67="网下",20,0)+ROW()-68)="","",INDEX(_calc!$CF$3100:$CF$3179,IF($A$67="近一年",40,0)+IF($E$67="网下",20,0)+ROW()-68)),"")</f>
        <v>8</v>
      </c>
      <c r="B76" s="63" t="str">
        <f>IFERROR(IF(INDEX(_calc!$CG$3100:$CG$3179,IF($A$67="近一年",40,0)+IF($E$67="网下",20,0)+ROW()-68)="","",INDEX(_calc!$CG$3100:$CG$3179,IF($A$67="近一年",40,0)+IF($E$67="网下",20,0)+ROW()-68)),"")</f>
        <v>上海国际信托有限公司</v>
      </c>
      <c r="C76" s="64"/>
      <c r="D76" s="12">
        <f>IFERROR(IF(INDEX(_calc!$CH$3100:$CH$3179,IF($A$67="近一年",40,0)+IF($E$67="网下",20,0)+ROW()-68)="","",INDEX(_calc!$CH$3100:$CH$3179,IF($A$67="近一年",40,0)+IF($E$67="网下",20,0)+ROW()-68)),"")</f>
        <v>7</v>
      </c>
      <c r="E76" s="13" t="str">
        <f>IFERROR(IF(INDEX(_calc!$CI$3100:$CI$3179,IF($A$67="近一年",40,0)+IF($E$67="网下",20,0)+ROW()-68)="","",INDEX(_calc!$CI$3100:$CI$3179,IF($A$67="近一年",40,0)+IF($E$67="网下",20,0)+ROW()-68)),"")</f>
        <v>上海国有存量资产盘活私募投资基金合伙企业(有限合伙)</v>
      </c>
      <c r="F76" s="14">
        <f>IFERROR(IF(INDEX(_calc!$CJ$3100:$CJ$3179,IF($A$67="近一年",40,0)+IF($E$67="网下",20,0)+ROW()-68)="","",INDEX(_calc!$CJ$3100:$CJ$3179,IF($A$67="近一年",40,0)+IF($E$67="网下",20,0)+ROW()-68)),"")</f>
        <v>4.0299680000000002</v>
      </c>
      <c r="H76" s="13" t="str">
        <f>IFERROR(IF(INDEX(_calc!$CK$3200:$CK$3399,(MATCH($H$67,_calc!$CR$3200:$CR$3209,0)-1)*20+ROW()-68)="","",INDEX(_calc!$CK$3200:$CK$3399,(MATCH($H$67,_calc!$CR$3200:$CR$3209,0)-1)*20+ROW()-68)),"")</f>
        <v/>
      </c>
      <c r="I76" s="15" t="str">
        <f>IFERROR(IF(INDEX(_calc!$CL$3200:$CL$3399,(MATCH($H$67,_calc!$CR$3200:$CR$3209,0)-1)*20+ROW()-68)="","",INDEX(_calc!$CL$3200:$CL$3399,(MATCH($H$67,_calc!$CR$3200:$CR$3209,0)-1)*20+ROW()-68)),"")</f>
        <v/>
      </c>
      <c r="J76" s="16" t="str">
        <f>IFERROR(IF(INDEX(_calc!$CM$3200:$CM$3399,(MATCH($H$67,_calc!$CR$3200:$CR$3209,0)-1)*20+ROW()-68)="","-",INDEX(_calc!$CM$3200:$CM$3399,(MATCH($H$67,_calc!$CR$3200:$CR$3209,0)-1)*20+ROW()-68)),"")</f>
        <v>-</v>
      </c>
      <c r="K76" s="63" t="str">
        <f>IFERROR(IF(INDEX(_calc!$CN$3200:$CN$3399,(MATCH($H$67,_calc!$CR$3200:$CR$3209,0)-1)*20+ROW()-68)="","",INDEX(_calc!$CN$3200:$CN$3399,(MATCH($H$67,_calc!$CR$3200:$CR$3209,0)-1)*20+ROW()-68)),"")</f>
        <v>私募基金</v>
      </c>
      <c r="L76" s="64"/>
      <c r="M76" s="15">
        <f>IFERROR(IF(INDEX(_calc!$CO$3200:$CO$3399,(MATCH($H$67,_calc!$CR$3200:$CR$3209,0)-1)*20+ROW()-68)="","",INDEX(_calc!$CO$3200:$CO$3399,(MATCH($H$67,_calc!$CR$3200:$CR$3209,0)-1)*20+ROW()-68)),"")</f>
        <v>2.4780934605982529E-3</v>
      </c>
      <c r="N76" s="16">
        <f>IFERROR(IF(INDEX(_calc!$CP$3200:$CP$3399,(MATCH($H$67,_calc!$CR$3200:$CR$3209,0)-1)*20+ROW()-68)="","-",INDEX(_calc!$CP$3200:$CP$3399,(MATCH($H$67,_calc!$CR$3200:$CR$3209,0)-1)*20+ROW()-68)),"")</f>
        <v>-1.950834806468072E-3</v>
      </c>
    </row>
    <row r="77" spans="1:14" ht="13.95" customHeight="1" x14ac:dyDescent="0.4">
      <c r="A77" s="12">
        <f>IFERROR(IF(INDEX(_calc!$CF$3100:$CF$3179,IF($A$67="近一年",40,0)+IF($E$67="网下",20,0)+ROW()-68)="","",INDEX(_calc!$CF$3100:$CF$3179,IF($A$67="近一年",40,0)+IF($E$67="网下",20,0)+ROW()-68)),"")</f>
        <v>9</v>
      </c>
      <c r="B77" s="63" t="str">
        <f>IFERROR(IF(INDEX(_calc!$CG$3100:$CG$3179,IF($A$67="近一年",40,0)+IF($E$67="网下",20,0)+ROW()-68)="","",INDEX(_calc!$CG$3100:$CG$3179,IF($A$67="近一年",40,0)+IF($E$67="网下",20,0)+ROW()-68)),"")</f>
        <v>中国银河证券股份有限公司</v>
      </c>
      <c r="C77" s="64"/>
      <c r="D77" s="12">
        <f>IFERROR(IF(INDEX(_calc!$CH$3100:$CH$3179,IF($A$67="近一年",40,0)+IF($E$67="网下",20,0)+ROW()-68)="","",INDEX(_calc!$CH$3100:$CH$3179,IF($A$67="近一年",40,0)+IF($E$67="网下",20,0)+ROW()-68)),"")</f>
        <v>7</v>
      </c>
      <c r="E77" s="13" t="str">
        <f>IFERROR(IF(INDEX(_calc!$CI$3100:$CI$3179,IF($A$67="近一年",40,0)+IF($E$67="网下",20,0)+ROW()-68)="","",INDEX(_calc!$CI$3100:$CI$3179,IF($A$67="近一年",40,0)+IF($E$67="网下",20,0)+ROW()-68)),"")</f>
        <v>华能贵诚信托有限公司</v>
      </c>
      <c r="F77" s="14">
        <f>IFERROR(IF(INDEX(_calc!$CJ$3100:$CJ$3179,IF($A$67="近一年",40,0)+IF($E$67="网下",20,0)+ROW()-68)="","",INDEX(_calc!$CJ$3100:$CJ$3179,IF($A$67="近一年",40,0)+IF($E$67="网下",20,0)+ROW()-68)),"")</f>
        <v>3.84110274372</v>
      </c>
      <c r="H77" s="13" t="str">
        <f>IFERROR(IF(INDEX(_calc!$CK$3200:$CK$3399,(MATCH($H$67,_calc!$CR$3200:$CR$3209,0)-1)*20+ROW()-68)="","",INDEX(_calc!$CK$3200:$CK$3399,(MATCH($H$67,_calc!$CR$3200:$CR$3209,0)-1)*20+ROW()-68)),"")</f>
        <v/>
      </c>
      <c r="I77" s="15" t="str">
        <f>IFERROR(IF(INDEX(_calc!$CL$3200:$CL$3399,(MATCH($H$67,_calc!$CR$3200:$CR$3209,0)-1)*20+ROW()-68)="","",INDEX(_calc!$CL$3200:$CL$3399,(MATCH($H$67,_calc!$CR$3200:$CR$3209,0)-1)*20+ROW()-68)),"")</f>
        <v/>
      </c>
      <c r="J77" s="16" t="str">
        <f>IFERROR(IF(INDEX(_calc!$CM$3200:$CM$3399,(MATCH($H$67,_calc!$CR$3200:$CR$3209,0)-1)*20+ROW()-68)="","-",INDEX(_calc!$CM$3200:$CM$3399,(MATCH($H$67,_calc!$CR$3200:$CR$3209,0)-1)*20+ROW()-68)),"")</f>
        <v>-</v>
      </c>
      <c r="K77" s="63" t="str">
        <f>IFERROR(IF(INDEX(_calc!$CN$3200:$CN$3399,(MATCH($H$67,_calc!$CR$3200:$CR$3209,0)-1)*20+ROW()-68)="","",INDEX(_calc!$CN$3200:$CN$3399,(MATCH($H$67,_calc!$CR$3200:$CR$3209,0)-1)*20+ROW()-68)),"")</f>
        <v>券商资管</v>
      </c>
      <c r="L77" s="64"/>
      <c r="M77" s="15">
        <f>IFERROR(IF(INDEX(_calc!$CO$3200:$CO$3399,(MATCH($H$67,_calc!$CR$3200:$CR$3209,0)-1)*20+ROW()-68)="","",INDEX(_calc!$CO$3200:$CO$3399,(MATCH($H$67,_calc!$CR$3200:$CR$3209,0)-1)*20+ROW()-68)),"")</f>
        <v>1.3937765628328281E-3</v>
      </c>
      <c r="N77" s="16">
        <f>IFERROR(IF(INDEX(_calc!$CP$3200:$CP$3399,(MATCH($H$67,_calc!$CR$3200:$CR$3209,0)-1)*20+ROW()-68)="","-",INDEX(_calc!$CP$3200:$CP$3399,(MATCH($H$67,_calc!$CR$3200:$CR$3209,0)-1)*20+ROW()-68)),"")</f>
        <v>-1.0016977705373951E-4</v>
      </c>
    </row>
    <row r="78" spans="1:14" ht="13.95" customHeight="1" x14ac:dyDescent="0.4">
      <c r="A78" s="12">
        <f>IFERROR(IF(INDEX(_calc!$CF$3100:$CF$3179,IF($A$67="近一年",40,0)+IF($E$67="网下",20,0)+ROW()-68)="","",INDEX(_calc!$CF$3100:$CF$3179,IF($A$67="近一年",40,0)+IF($E$67="网下",20,0)+ROW()-68)),"")</f>
        <v>10</v>
      </c>
      <c r="B78" s="63" t="str">
        <f>IFERROR(IF(INDEX(_calc!$CG$3100:$CG$3179,IF($A$67="近一年",40,0)+IF($E$67="网下",20,0)+ROW()-68)="","",INDEX(_calc!$CG$3100:$CG$3179,IF($A$67="近一年",40,0)+IF($E$67="网下",20,0)+ROW()-68)),"")</f>
        <v>嘉实基金管理有限公司</v>
      </c>
      <c r="C78" s="64"/>
      <c r="D78" s="12">
        <f>IFERROR(IF(INDEX(_calc!$CH$3100:$CH$3179,IF($A$67="近一年",40,0)+IF($E$67="网下",20,0)+ROW()-68)="","",INDEX(_calc!$CH$3100:$CH$3179,IF($A$67="近一年",40,0)+IF($E$67="网下",20,0)+ROW()-68)),"")</f>
        <v>7</v>
      </c>
      <c r="E78" s="13" t="str">
        <f>IFERROR(IF(INDEX(_calc!$CI$3100:$CI$3179,IF($A$67="近一年",40,0)+IF($E$67="网下",20,0)+ROW()-68)="","",INDEX(_calc!$CI$3100:$CI$3179,IF($A$67="近一年",40,0)+IF($E$67="网下",20,0)+ROW()-68)),"")</f>
        <v>申万宏源证券有限公司</v>
      </c>
      <c r="F78" s="14">
        <f>IFERROR(IF(INDEX(_calc!$CJ$3100:$CJ$3179,IF($A$67="近一年",40,0)+IF($E$67="网下",20,0)+ROW()-68)="","",INDEX(_calc!$CJ$3100:$CJ$3179,IF($A$67="近一年",40,0)+IF($E$67="网下",20,0)+ROW()-68)),"")</f>
        <v>3.7569792999999998</v>
      </c>
      <c r="H78" s="13" t="str">
        <f>IFERROR(IF(INDEX(_calc!$CK$3200:$CK$3399,(MATCH($H$67,_calc!$CR$3200:$CR$3209,0)-1)*20+ROW()-68)="","",INDEX(_calc!$CK$3200:$CK$3399,(MATCH($H$67,_calc!$CR$3200:$CR$3209,0)-1)*20+ROW()-68)),"")</f>
        <v/>
      </c>
      <c r="I78" s="15" t="str">
        <f>IFERROR(IF(INDEX(_calc!$CL$3200:$CL$3399,(MATCH($H$67,_calc!$CR$3200:$CR$3209,0)-1)*20+ROW()-68)="","",INDEX(_calc!$CL$3200:$CL$3399,(MATCH($H$67,_calc!$CR$3200:$CR$3209,0)-1)*20+ROW()-68)),"")</f>
        <v/>
      </c>
      <c r="J78" s="16" t="str">
        <f>IFERROR(IF(INDEX(_calc!$CM$3200:$CM$3399,(MATCH($H$67,_calc!$CR$3200:$CR$3209,0)-1)*20+ROW()-68)="","-",INDEX(_calc!$CM$3200:$CM$3399,(MATCH($H$67,_calc!$CR$3200:$CR$3209,0)-1)*20+ROW()-68)),"")</f>
        <v>-</v>
      </c>
      <c r="K78" s="63" t="str">
        <f>IFERROR(IF(INDEX(_calc!$CN$3200:$CN$3399,(MATCH($H$67,_calc!$CR$3200:$CR$3209,0)-1)*20+ROW()-68)="","",INDEX(_calc!$CN$3200:$CN$3399,(MATCH($H$67,_calc!$CR$3200:$CR$3209,0)-1)*20+ROW()-68)),"")</f>
        <v/>
      </c>
      <c r="L78" s="64"/>
      <c r="M78" s="15" t="str">
        <f>IFERROR(IF(INDEX(_calc!$CO$3200:$CO$3399,(MATCH($H$67,_calc!$CR$3200:$CR$3209,0)-1)*20+ROW()-68)="","",INDEX(_calc!$CO$3200:$CO$3399,(MATCH($H$67,_calc!$CR$3200:$CR$3209,0)-1)*20+ROW()-68)),"")</f>
        <v/>
      </c>
      <c r="N78" s="16" t="str">
        <f>IFERROR(IF(INDEX(_calc!$CP$3200:$CP$3399,(MATCH($H$67,_calc!$CR$3200:$CR$3209,0)-1)*20+ROW()-68)="","-",INDEX(_calc!$CP$3200:$CP$3399,(MATCH($H$67,_calc!$CR$3200:$CR$3209,0)-1)*20+ROW()-68)),"")</f>
        <v>-</v>
      </c>
    </row>
    <row r="79" spans="1:14" ht="13.95" customHeight="1" x14ac:dyDescent="0.4">
      <c r="A79" s="12">
        <f>IFERROR(IF(INDEX(_calc!$CF$3100:$CF$3179,IF($A$67="近一年",40,0)+IF($E$67="网下",20,0)+ROW()-68)="","",INDEX(_calc!$CF$3100:$CF$3179,IF($A$67="近一年",40,0)+IF($E$67="网下",20,0)+ROW()-68)),"")</f>
        <v>11</v>
      </c>
      <c r="B79" s="63" t="str">
        <f>IFERROR(IF(INDEX(_calc!$CG$3100:$CG$3179,IF($A$67="近一年",40,0)+IF($E$67="网下",20,0)+ROW()-68)="","",INDEX(_calc!$CG$3100:$CG$3179,IF($A$67="近一年",40,0)+IF($E$67="网下",20,0)+ROW()-68)),"")</f>
        <v>中国人寿保险股份有限公司</v>
      </c>
      <c r="C79" s="64"/>
      <c r="D79" s="12">
        <f>IFERROR(IF(INDEX(_calc!$CH$3100:$CH$3179,IF($A$67="近一年",40,0)+IF($E$67="网下",20,0)+ROW()-68)="","",INDEX(_calc!$CH$3100:$CH$3179,IF($A$67="近一年",40,0)+IF($E$67="网下",20,0)+ROW()-68)),"")</f>
        <v>6</v>
      </c>
      <c r="E79" s="13" t="str">
        <f>IFERROR(IF(INDEX(_calc!$CI$3100:$CI$3179,IF($A$67="近一年",40,0)+IF($E$67="网下",20,0)+ROW()-68)="","",INDEX(_calc!$CI$3100:$CI$3179,IF($A$67="近一年",40,0)+IF($E$67="网下",20,0)+ROW()-68)),"")</f>
        <v>新华人寿保险股份有限公司</v>
      </c>
      <c r="F79" s="14">
        <f>IFERROR(IF(INDEX(_calc!$CJ$3100:$CJ$3179,IF($A$67="近一年",40,0)+IF($E$67="网下",20,0)+ROW()-68)="","",INDEX(_calc!$CJ$3100:$CJ$3179,IF($A$67="近一年",40,0)+IF($E$67="网下",20,0)+ROW()-68)),"")</f>
        <v>3.3708770000000001</v>
      </c>
      <c r="H79" s="13" t="str">
        <f>IFERROR(IF(INDEX(_calc!$CK$3200:$CK$3399,(MATCH($H$67,_calc!$CR$3200:$CR$3209,0)-1)*20+ROW()-68)="","",INDEX(_calc!$CK$3200:$CK$3399,(MATCH($H$67,_calc!$CR$3200:$CR$3209,0)-1)*20+ROW()-68)),"")</f>
        <v/>
      </c>
      <c r="I79" s="15" t="str">
        <f>IFERROR(IF(INDEX(_calc!$CL$3200:$CL$3399,(MATCH($H$67,_calc!$CR$3200:$CR$3209,0)-1)*20+ROW()-68)="","",INDEX(_calc!$CL$3200:$CL$3399,(MATCH($H$67,_calc!$CR$3200:$CR$3209,0)-1)*20+ROW()-68)),"")</f>
        <v/>
      </c>
      <c r="J79" s="16" t="str">
        <f>IFERROR(IF(INDEX(_calc!$CM$3200:$CM$3399,(MATCH($H$67,_calc!$CR$3200:$CR$3209,0)-1)*20+ROW()-68)="","-",INDEX(_calc!$CM$3200:$CM$3399,(MATCH($H$67,_calc!$CR$3200:$CR$3209,0)-1)*20+ROW()-68)),"")</f>
        <v>-</v>
      </c>
      <c r="K79" s="63" t="str">
        <f>IFERROR(IF(INDEX(_calc!$CN$3200:$CN$3399,(MATCH($H$67,_calc!$CR$3200:$CR$3209,0)-1)*20+ROW()-68)="","",INDEX(_calc!$CN$3200:$CN$3399,(MATCH($H$67,_calc!$CR$3200:$CR$3209,0)-1)*20+ROW()-68)),"")</f>
        <v/>
      </c>
      <c r="L79" s="64"/>
      <c r="M79" s="15" t="str">
        <f>IFERROR(IF(INDEX(_calc!$CO$3200:$CO$3399,(MATCH($H$67,_calc!$CR$3200:$CR$3209,0)-1)*20+ROW()-68)="","",INDEX(_calc!$CO$3200:$CO$3399,(MATCH($H$67,_calc!$CR$3200:$CR$3209,0)-1)*20+ROW()-68)),"")</f>
        <v/>
      </c>
      <c r="N79" s="16" t="str">
        <f>IFERROR(IF(INDEX(_calc!$CP$3200:$CP$3399,(MATCH($H$67,_calc!$CR$3200:$CR$3209,0)-1)*20+ROW()-68)="","-",INDEX(_calc!$CP$3200:$CP$3399,(MATCH($H$67,_calc!$CR$3200:$CR$3209,0)-1)*20+ROW()-68)),"")</f>
        <v>-</v>
      </c>
    </row>
    <row r="80" spans="1:14" ht="13.95" customHeight="1" x14ac:dyDescent="0.4">
      <c r="A80" s="12">
        <f>IFERROR(IF(INDEX(_calc!$CF$3100:$CF$3179,IF($A$67="近一年",40,0)+IF($E$67="网下",20,0)+ROW()-68)="","",INDEX(_calc!$CF$3100:$CF$3179,IF($A$67="近一年",40,0)+IF($E$67="网下",20,0)+ROW()-68)),"")</f>
        <v>12</v>
      </c>
      <c r="B80" s="63" t="str">
        <f>IFERROR(IF(INDEX(_calc!$CG$3100:$CG$3179,IF($A$67="近一年",40,0)+IF($E$67="网下",20,0)+ROW()-68)="","",INDEX(_calc!$CG$3100:$CG$3179,IF($A$67="近一年",40,0)+IF($E$67="网下",20,0)+ROW()-68)),"")</f>
        <v>华能贵诚信托有限公司</v>
      </c>
      <c r="C80" s="64"/>
      <c r="D80" s="12">
        <f>IFERROR(IF(INDEX(_calc!$CH$3100:$CH$3179,IF($A$67="近一年",40,0)+IF($E$67="网下",20,0)+ROW()-68)="","",INDEX(_calc!$CH$3100:$CH$3179,IF($A$67="近一年",40,0)+IF($E$67="网下",20,0)+ROW()-68)),"")</f>
        <v>6</v>
      </c>
      <c r="E80" s="13" t="str">
        <f>IFERROR(IF(INDEX(_calc!$CI$3100:$CI$3179,IF($A$67="近一年",40,0)+IF($E$67="网下",20,0)+ROW()-68)="","",INDEX(_calc!$CI$3100:$CI$3179,IF($A$67="近一年",40,0)+IF($E$67="网下",20,0)+ROW()-68)),"")</f>
        <v>华夏基金管理有限公司</v>
      </c>
      <c r="F80" s="14">
        <f>IFERROR(IF(INDEX(_calc!$CJ$3100:$CJ$3179,IF($A$67="近一年",40,0)+IF($E$67="网下",20,0)+ROW()-68)="","",INDEX(_calc!$CJ$3100:$CJ$3179,IF($A$67="近一年",40,0)+IF($E$67="网下",20,0)+ROW()-68)),"")</f>
        <v>3.2732459899999999</v>
      </c>
      <c r="H80" s="13" t="str">
        <f>IFERROR(IF(INDEX(_calc!$CK$3200:$CK$3399,(MATCH($H$67,_calc!$CR$3200:$CR$3209,0)-1)*20+ROW()-68)="","",INDEX(_calc!$CK$3200:$CK$3399,(MATCH($H$67,_calc!$CR$3200:$CR$3209,0)-1)*20+ROW()-68)),"")</f>
        <v/>
      </c>
      <c r="I80" s="15" t="str">
        <f>IFERROR(IF(INDEX(_calc!$CL$3200:$CL$3399,(MATCH($H$67,_calc!$CR$3200:$CR$3209,0)-1)*20+ROW()-68)="","",INDEX(_calc!$CL$3200:$CL$3399,(MATCH($H$67,_calc!$CR$3200:$CR$3209,0)-1)*20+ROW()-68)),"")</f>
        <v/>
      </c>
      <c r="J80" s="16" t="str">
        <f>IFERROR(IF(INDEX(_calc!$CM$3200:$CM$3399,(MATCH($H$67,_calc!$CR$3200:$CR$3209,0)-1)*20+ROW()-68)="","-",INDEX(_calc!$CM$3200:$CM$3399,(MATCH($H$67,_calc!$CR$3200:$CR$3209,0)-1)*20+ROW()-68)),"")</f>
        <v>-</v>
      </c>
      <c r="K80" s="63" t="str">
        <f>IFERROR(IF(INDEX(_calc!$CN$3200:$CN$3399,(MATCH($H$67,_calc!$CR$3200:$CR$3209,0)-1)*20+ROW()-68)="","",INDEX(_calc!$CN$3200:$CN$3399,(MATCH($H$67,_calc!$CR$3200:$CR$3209,0)-1)*20+ROW()-68)),"")</f>
        <v/>
      </c>
      <c r="L80" s="64"/>
      <c r="M80" s="15" t="str">
        <f>IFERROR(IF(INDEX(_calc!$CO$3200:$CO$3399,(MATCH($H$67,_calc!$CR$3200:$CR$3209,0)-1)*20+ROW()-68)="","",INDEX(_calc!$CO$3200:$CO$3399,(MATCH($H$67,_calc!$CR$3200:$CR$3209,0)-1)*20+ROW()-68)),"")</f>
        <v/>
      </c>
      <c r="N80" s="16" t="str">
        <f>IFERROR(IF(INDEX(_calc!$CP$3200:$CP$3399,(MATCH($H$67,_calc!$CR$3200:$CR$3209,0)-1)*20+ROW()-68)="","-",INDEX(_calc!$CP$3200:$CP$3399,(MATCH($H$67,_calc!$CR$3200:$CR$3209,0)-1)*20+ROW()-68)),"")</f>
        <v>-</v>
      </c>
    </row>
    <row r="81" spans="1:14" ht="13.95" customHeight="1" x14ac:dyDescent="0.4">
      <c r="A81" s="12">
        <f>IFERROR(IF(INDEX(_calc!$CF$3100:$CF$3179,IF($A$67="近一年",40,0)+IF($E$67="网下",20,0)+ROW()-68)="","",INDEX(_calc!$CF$3100:$CF$3179,IF($A$67="近一年",40,0)+IF($E$67="网下",20,0)+ROW()-68)),"")</f>
        <v>13</v>
      </c>
      <c r="B81" s="63" t="str">
        <f>IFERROR(IF(INDEX(_calc!$CG$3100:$CG$3179,IF($A$67="近一年",40,0)+IF($E$67="网下",20,0)+ROW()-68)="","",INDEX(_calc!$CG$3100:$CG$3179,IF($A$67="近一年",40,0)+IF($E$67="网下",20,0)+ROW()-68)),"")</f>
        <v>国信证券股份有限公司</v>
      </c>
      <c r="C81" s="64"/>
      <c r="D81" s="12">
        <f>IFERROR(IF(INDEX(_calc!$CH$3100:$CH$3179,IF($A$67="近一年",40,0)+IF($E$67="网下",20,0)+ROW()-68)="","",INDEX(_calc!$CH$3100:$CH$3179,IF($A$67="近一年",40,0)+IF($E$67="网下",20,0)+ROW()-68)),"")</f>
        <v>6</v>
      </c>
      <c r="E81" s="13" t="str">
        <f>IFERROR(IF(INDEX(_calc!$CI$3100:$CI$3179,IF($A$67="近一年",40,0)+IF($E$67="网下",20,0)+ROW()-68)="","",INDEX(_calc!$CI$3100:$CI$3179,IF($A$67="近一年",40,0)+IF($E$67="网下",20,0)+ROW()-68)),"")</f>
        <v>东方证券股份有限公司</v>
      </c>
      <c r="F81" s="14">
        <f>IFERROR(IF(INDEX(_calc!$CJ$3100:$CJ$3179,IF($A$67="近一年",40,0)+IF($E$67="网下",20,0)+ROW()-68)="","",INDEX(_calc!$CJ$3100:$CJ$3179,IF($A$67="近一年",40,0)+IF($E$67="网下",20,0)+ROW()-68)),"")</f>
        <v>3.2567865999999999</v>
      </c>
      <c r="H81" s="13" t="str">
        <f>IFERROR(IF(INDEX(_calc!$CK$3200:$CK$3399,(MATCH($H$67,_calc!$CR$3200:$CR$3209,0)-1)*20+ROW()-68)="","",INDEX(_calc!$CK$3200:$CK$3399,(MATCH($H$67,_calc!$CR$3200:$CR$3209,0)-1)*20+ROW()-68)),"")</f>
        <v/>
      </c>
      <c r="I81" s="15" t="str">
        <f>IFERROR(IF(INDEX(_calc!$CL$3200:$CL$3399,(MATCH($H$67,_calc!$CR$3200:$CR$3209,0)-1)*20+ROW()-68)="","",INDEX(_calc!$CL$3200:$CL$3399,(MATCH($H$67,_calc!$CR$3200:$CR$3209,0)-1)*20+ROW()-68)),"")</f>
        <v/>
      </c>
      <c r="J81" s="16" t="str">
        <f>IFERROR(IF(INDEX(_calc!$CM$3200:$CM$3399,(MATCH($H$67,_calc!$CR$3200:$CR$3209,0)-1)*20+ROW()-68)="","-",INDEX(_calc!$CM$3200:$CM$3399,(MATCH($H$67,_calc!$CR$3200:$CR$3209,0)-1)*20+ROW()-68)),"")</f>
        <v>-</v>
      </c>
      <c r="K81" s="63" t="str">
        <f>IFERROR(IF(INDEX(_calc!$CN$3200:$CN$3399,(MATCH($H$67,_calc!$CR$3200:$CR$3209,0)-1)*20+ROW()-68)="","",INDEX(_calc!$CN$3200:$CN$3399,(MATCH($H$67,_calc!$CR$3200:$CR$3209,0)-1)*20+ROW()-68)),"")</f>
        <v/>
      </c>
      <c r="L81" s="64"/>
      <c r="M81" s="15" t="str">
        <f>IFERROR(IF(INDEX(_calc!$CO$3200:$CO$3399,(MATCH($H$67,_calc!$CR$3200:$CR$3209,0)-1)*20+ROW()-68)="","",INDEX(_calc!$CO$3200:$CO$3399,(MATCH($H$67,_calc!$CR$3200:$CR$3209,0)-1)*20+ROW()-68)),"")</f>
        <v/>
      </c>
      <c r="N81" s="16" t="str">
        <f>IFERROR(IF(INDEX(_calc!$CP$3200:$CP$3399,(MATCH($H$67,_calc!$CR$3200:$CR$3209,0)-1)*20+ROW()-68)="","-",INDEX(_calc!$CP$3200:$CP$3399,(MATCH($H$67,_calc!$CR$3200:$CR$3209,0)-1)*20+ROW()-68)),"")</f>
        <v>-</v>
      </c>
    </row>
    <row r="82" spans="1:14" ht="13.95" customHeight="1" x14ac:dyDescent="0.4">
      <c r="A82" s="12">
        <f>IFERROR(IF(INDEX(_calc!$CF$3100:$CF$3179,IF($A$67="近一年",40,0)+IF($E$67="网下",20,0)+ROW()-68)="","",INDEX(_calc!$CF$3100:$CF$3179,IF($A$67="近一年",40,0)+IF($E$67="网下",20,0)+ROW()-68)),"")</f>
        <v>14</v>
      </c>
      <c r="B82" s="63" t="str">
        <f>IFERROR(IF(INDEX(_calc!$CG$3100:$CG$3179,IF($A$67="近一年",40,0)+IF($E$67="网下",20,0)+ROW()-68)="","",INDEX(_calc!$CG$3100:$CG$3179,IF($A$67="近一年",40,0)+IF($E$67="网下",20,0)+ROW()-68)),"")</f>
        <v>宏源汇智投资有限公司</v>
      </c>
      <c r="C82" s="64"/>
      <c r="D82" s="12">
        <f>IFERROR(IF(INDEX(_calc!$CH$3100:$CH$3179,IF($A$67="近一年",40,0)+IF($E$67="网下",20,0)+ROW()-68)="","",INDEX(_calc!$CH$3100:$CH$3179,IF($A$67="近一年",40,0)+IF($E$67="网下",20,0)+ROW()-68)),"")</f>
        <v>6</v>
      </c>
      <c r="E82" s="13" t="str">
        <f>IFERROR(IF(INDEX(_calc!$CI$3100:$CI$3179,IF($A$67="近一年",40,0)+IF($E$67="网下",20,0)+ROW()-68)="","",INDEX(_calc!$CI$3100:$CI$3179,IF($A$67="近一年",40,0)+IF($E$67="网下",20,0)+ROW()-68)),"")</f>
        <v>中国中金财富证券有限公司</v>
      </c>
      <c r="F82" s="14">
        <f>IFERROR(IF(INDEX(_calc!$CJ$3100:$CJ$3179,IF($A$67="近一年",40,0)+IF($E$67="网下",20,0)+ROW()-68)="","",INDEX(_calc!$CJ$3100:$CJ$3179,IF($A$67="近一年",40,0)+IF($E$67="网下",20,0)+ROW()-68)),"")</f>
        <v>3.2101001</v>
      </c>
      <c r="H82" s="13" t="str">
        <f>IFERROR(IF(INDEX(_calc!$CK$3200:$CK$3399,(MATCH($H$67,_calc!$CR$3200:$CR$3209,0)-1)*20+ROW()-68)="","",INDEX(_calc!$CK$3200:$CK$3399,(MATCH($H$67,_calc!$CR$3200:$CR$3209,0)-1)*20+ROW()-68)),"")</f>
        <v/>
      </c>
      <c r="I82" s="15" t="str">
        <f>IFERROR(IF(INDEX(_calc!$CL$3200:$CL$3399,(MATCH($H$67,_calc!$CR$3200:$CR$3209,0)-1)*20+ROW()-68)="","",INDEX(_calc!$CL$3200:$CL$3399,(MATCH($H$67,_calc!$CR$3200:$CR$3209,0)-1)*20+ROW()-68)),"")</f>
        <v/>
      </c>
      <c r="J82" s="16" t="str">
        <f>IFERROR(IF(INDEX(_calc!$CM$3200:$CM$3399,(MATCH($H$67,_calc!$CR$3200:$CR$3209,0)-1)*20+ROW()-68)="","-",INDEX(_calc!$CM$3200:$CM$3399,(MATCH($H$67,_calc!$CR$3200:$CR$3209,0)-1)*20+ROW()-68)),"")</f>
        <v>-</v>
      </c>
      <c r="K82" s="63" t="str">
        <f>IFERROR(IF(INDEX(_calc!$CN$3200:$CN$3399,(MATCH($H$67,_calc!$CR$3200:$CR$3209,0)-1)*20+ROW()-68)="","",INDEX(_calc!$CN$3200:$CN$3399,(MATCH($H$67,_calc!$CR$3200:$CR$3209,0)-1)*20+ROW()-68)),"")</f>
        <v/>
      </c>
      <c r="L82" s="64"/>
      <c r="M82" s="15" t="str">
        <f>IFERROR(IF(INDEX(_calc!$CO$3200:$CO$3399,(MATCH($H$67,_calc!$CR$3200:$CR$3209,0)-1)*20+ROW()-68)="","",INDEX(_calc!$CO$3200:$CO$3399,(MATCH($H$67,_calc!$CR$3200:$CR$3209,0)-1)*20+ROW()-68)),"")</f>
        <v/>
      </c>
      <c r="N82" s="16" t="str">
        <f>IFERROR(IF(INDEX(_calc!$CP$3200:$CP$3399,(MATCH($H$67,_calc!$CR$3200:$CR$3209,0)-1)*20+ROW()-68)="","-",INDEX(_calc!$CP$3200:$CP$3399,(MATCH($H$67,_calc!$CR$3200:$CR$3209,0)-1)*20+ROW()-68)),"")</f>
        <v>-</v>
      </c>
    </row>
    <row r="83" spans="1:14" ht="13.95" customHeight="1" x14ac:dyDescent="0.4">
      <c r="A83" s="12">
        <f>IFERROR(IF(INDEX(_calc!$CF$3100:$CF$3179,IF($A$67="近一年",40,0)+IF($E$67="网下",20,0)+ROW()-68)="","",INDEX(_calc!$CF$3100:$CF$3179,IF($A$67="近一年",40,0)+IF($E$67="网下",20,0)+ROW()-68)),"")</f>
        <v>15</v>
      </c>
      <c r="B83" s="63" t="str">
        <f>IFERROR(IF(INDEX(_calc!$CG$3100:$CG$3179,IF($A$67="近一年",40,0)+IF($E$67="网下",20,0)+ROW()-68)="","",INDEX(_calc!$CG$3100:$CG$3179,IF($A$67="近一年",40,0)+IF($E$67="网下",20,0)+ROW()-68)),"")</f>
        <v>中国国新资产管理有限公司</v>
      </c>
      <c r="C83" s="64"/>
      <c r="D83" s="12">
        <f>IFERROR(IF(INDEX(_calc!$CH$3100:$CH$3179,IF($A$67="近一年",40,0)+IF($E$67="网下",20,0)+ROW()-68)="","",INDEX(_calc!$CH$3100:$CH$3179,IF($A$67="近一年",40,0)+IF($E$67="网下",20,0)+ROW()-68)),"")</f>
        <v>5</v>
      </c>
      <c r="E83" s="13" t="str">
        <f>IFERROR(IF(INDEX(_calc!$CI$3100:$CI$3179,IF($A$67="近一年",40,0)+IF($E$67="网下",20,0)+ROW()-68)="","",INDEX(_calc!$CI$3100:$CI$3179,IF($A$67="近一年",40,0)+IF($E$67="网下",20,0)+ROW()-68)),"")</f>
        <v>中国国新资产管理有限公司</v>
      </c>
      <c r="F83" s="14">
        <f>IFERROR(IF(INDEX(_calc!$CJ$3100:$CJ$3179,IF($A$67="近一年",40,0)+IF($E$67="网下",20,0)+ROW()-68)="","",INDEX(_calc!$CJ$3100:$CJ$3179,IF($A$67="近一年",40,0)+IF($E$67="网下",20,0)+ROW()-68)),"")</f>
        <v>3.1053756099999998</v>
      </c>
      <c r="H83" s="13" t="str">
        <f>IFERROR(IF(INDEX(_calc!$CK$3200:$CK$3399,(MATCH($H$67,_calc!$CR$3200:$CR$3209,0)-1)*20+ROW()-68)="","",INDEX(_calc!$CK$3200:$CK$3399,(MATCH($H$67,_calc!$CR$3200:$CR$3209,0)-1)*20+ROW()-68)),"")</f>
        <v/>
      </c>
      <c r="I83" s="15" t="str">
        <f>IFERROR(IF(INDEX(_calc!$CL$3200:$CL$3399,(MATCH($H$67,_calc!$CR$3200:$CR$3209,0)-1)*20+ROW()-68)="","",INDEX(_calc!$CL$3200:$CL$3399,(MATCH($H$67,_calc!$CR$3200:$CR$3209,0)-1)*20+ROW()-68)),"")</f>
        <v/>
      </c>
      <c r="J83" s="16" t="str">
        <f>IFERROR(IF(INDEX(_calc!$CM$3200:$CM$3399,(MATCH($H$67,_calc!$CR$3200:$CR$3209,0)-1)*20+ROW()-68)="","-",INDEX(_calc!$CM$3200:$CM$3399,(MATCH($H$67,_calc!$CR$3200:$CR$3209,0)-1)*20+ROW()-68)),"")</f>
        <v>-</v>
      </c>
      <c r="K83" s="63" t="str">
        <f>IFERROR(IF(INDEX(_calc!$CN$3200:$CN$3399,(MATCH($H$67,_calc!$CR$3200:$CR$3209,0)-1)*20+ROW()-68)="","",INDEX(_calc!$CN$3200:$CN$3399,(MATCH($H$67,_calc!$CR$3200:$CR$3209,0)-1)*20+ROW()-68)),"")</f>
        <v/>
      </c>
      <c r="L83" s="64"/>
      <c r="M83" s="15" t="str">
        <f>IFERROR(IF(INDEX(_calc!$CO$3200:$CO$3399,(MATCH($H$67,_calc!$CR$3200:$CR$3209,0)-1)*20+ROW()-68)="","",INDEX(_calc!$CO$3200:$CO$3399,(MATCH($H$67,_calc!$CR$3200:$CR$3209,0)-1)*20+ROW()-68)),"")</f>
        <v/>
      </c>
      <c r="N83" s="16" t="str">
        <f>IFERROR(IF(INDEX(_calc!$CP$3200:$CP$3399,(MATCH($H$67,_calc!$CR$3200:$CR$3209,0)-1)*20+ROW()-68)="","-",INDEX(_calc!$CP$3200:$CP$3399,(MATCH($H$67,_calc!$CR$3200:$CR$3209,0)-1)*20+ROW()-68)),"")</f>
        <v>-</v>
      </c>
    </row>
    <row r="84" spans="1:14" ht="13.95" customHeight="1" x14ac:dyDescent="0.4">
      <c r="A84" s="12">
        <f>IFERROR(IF(INDEX(_calc!$CF$3100:$CF$3179,IF($A$67="近一年",40,0)+IF($E$67="网下",20,0)+ROW()-68)="","",INDEX(_calc!$CF$3100:$CF$3179,IF($A$67="近一年",40,0)+IF($E$67="网下",20,0)+ROW()-68)),"")</f>
        <v>16</v>
      </c>
      <c r="B84" s="63" t="str">
        <f>IFERROR(IF(INDEX(_calc!$CG$3100:$CG$3179,IF($A$67="近一年",40,0)+IF($E$67="网下",20,0)+ROW()-68)="","",INDEX(_calc!$CG$3100:$CG$3179,IF($A$67="近一年",40,0)+IF($E$67="网下",20,0)+ROW()-68)),"")</f>
        <v>华润深国投信托有限公司</v>
      </c>
      <c r="C84" s="64"/>
      <c r="D84" s="12">
        <f>IFERROR(IF(INDEX(_calc!$CH$3100:$CH$3179,IF($A$67="近一年",40,0)+IF($E$67="网下",20,0)+ROW()-68)="","",INDEX(_calc!$CH$3100:$CH$3179,IF($A$67="近一年",40,0)+IF($E$67="网下",20,0)+ROW()-68)),"")</f>
        <v>5</v>
      </c>
      <c r="E84" s="13" t="str">
        <f>IFERROR(IF(INDEX(_calc!$CI$3100:$CI$3179,IF($A$67="近一年",40,0)+IF($E$67="网下",20,0)+ROW()-68)="","",INDEX(_calc!$CI$3100:$CI$3179,IF($A$67="近一年",40,0)+IF($E$67="网下",20,0)+ROW()-68)),"")</f>
        <v>华润深国投信托有限公司</v>
      </c>
      <c r="F84" s="14">
        <f>IFERROR(IF(INDEX(_calc!$CJ$3100:$CJ$3179,IF($A$67="近一年",40,0)+IF($E$67="网下",20,0)+ROW()-68)="","",INDEX(_calc!$CJ$3100:$CJ$3179,IF($A$67="近一年",40,0)+IF($E$67="网下",20,0)+ROW()-68)),"")</f>
        <v>3.0259377000000001</v>
      </c>
      <c r="H84" s="13" t="str">
        <f>IFERROR(IF(INDEX(_calc!$CK$3200:$CK$3399,(MATCH($H$67,_calc!$CR$3200:$CR$3209,0)-1)*20+ROW()-68)="","",INDEX(_calc!$CK$3200:$CK$3399,(MATCH($H$67,_calc!$CR$3200:$CR$3209,0)-1)*20+ROW()-68)),"")</f>
        <v/>
      </c>
      <c r="I84" s="15" t="str">
        <f>IFERROR(IF(INDEX(_calc!$CL$3200:$CL$3399,(MATCH($H$67,_calc!$CR$3200:$CR$3209,0)-1)*20+ROW()-68)="","",INDEX(_calc!$CL$3200:$CL$3399,(MATCH($H$67,_calc!$CR$3200:$CR$3209,0)-1)*20+ROW()-68)),"")</f>
        <v/>
      </c>
      <c r="J84" s="16" t="str">
        <f>IFERROR(IF(INDEX(_calc!$CM$3200:$CM$3399,(MATCH($H$67,_calc!$CR$3200:$CR$3209,0)-1)*20+ROW()-68)="","-",INDEX(_calc!$CM$3200:$CM$3399,(MATCH($H$67,_calc!$CR$3200:$CR$3209,0)-1)*20+ROW()-68)),"")</f>
        <v>-</v>
      </c>
      <c r="K84" s="63" t="str">
        <f>IFERROR(IF(INDEX(_calc!$CN$3200:$CN$3399,(MATCH($H$67,_calc!$CR$3200:$CR$3209,0)-1)*20+ROW()-68)="","",INDEX(_calc!$CN$3200:$CN$3399,(MATCH($H$67,_calc!$CR$3200:$CR$3209,0)-1)*20+ROW()-68)),"")</f>
        <v/>
      </c>
      <c r="L84" s="64"/>
      <c r="M84" s="15" t="str">
        <f>IFERROR(IF(INDEX(_calc!$CO$3200:$CO$3399,(MATCH($H$67,_calc!$CR$3200:$CR$3209,0)-1)*20+ROW()-68)="","",INDEX(_calc!$CO$3200:$CO$3399,(MATCH($H$67,_calc!$CR$3200:$CR$3209,0)-1)*20+ROW()-68)),"")</f>
        <v/>
      </c>
      <c r="N84" s="16" t="str">
        <f>IFERROR(IF(INDEX(_calc!$CP$3200:$CP$3399,(MATCH($H$67,_calc!$CR$3200:$CR$3209,0)-1)*20+ROW()-68)="","-",INDEX(_calc!$CP$3200:$CP$3399,(MATCH($H$67,_calc!$CR$3200:$CR$3209,0)-1)*20+ROW()-68)),"")</f>
        <v>-</v>
      </c>
    </row>
    <row r="85" spans="1:14" ht="13.95" customHeight="1" x14ac:dyDescent="0.4">
      <c r="A85" s="12">
        <f>IFERROR(IF(INDEX(_calc!$CF$3100:$CF$3179,IF($A$67="近一年",40,0)+IF($E$67="网下",20,0)+ROW()-68)="","",INDEX(_calc!$CF$3100:$CF$3179,IF($A$67="近一年",40,0)+IF($E$67="网下",20,0)+ROW()-68)),"")</f>
        <v>17</v>
      </c>
      <c r="B85" s="63" t="str">
        <f>IFERROR(IF(INDEX(_calc!$CG$3100:$CG$3179,IF($A$67="近一年",40,0)+IF($E$67="网下",20,0)+ROW()-68)="","",INDEX(_calc!$CG$3100:$CG$3179,IF($A$67="近一年",40,0)+IF($E$67="网下",20,0)+ROW()-68)),"")</f>
        <v>信达澳亚基金管理有限公司</v>
      </c>
      <c r="C85" s="64"/>
      <c r="D85" s="12">
        <f>IFERROR(IF(INDEX(_calc!$CH$3100:$CH$3179,IF($A$67="近一年",40,0)+IF($E$67="网下",20,0)+ROW()-68)="","",INDEX(_calc!$CH$3100:$CH$3179,IF($A$67="近一年",40,0)+IF($E$67="网下",20,0)+ROW()-68)),"")</f>
        <v>5</v>
      </c>
      <c r="E85" s="13" t="str">
        <f>IFERROR(IF(INDEX(_calc!$CI$3100:$CI$3179,IF($A$67="近一年",40,0)+IF($E$67="网下",20,0)+ROW()-68)="","",INDEX(_calc!$CI$3100:$CI$3179,IF($A$67="近一年",40,0)+IF($E$67="网下",20,0)+ROW()-68)),"")</f>
        <v>中邮人寿保险股份有限公司</v>
      </c>
      <c r="F85" s="14">
        <f>IFERROR(IF(INDEX(_calc!$CJ$3100:$CJ$3179,IF($A$67="近一年",40,0)+IF($E$67="网下",20,0)+ROW()-68)="","",INDEX(_calc!$CJ$3100:$CJ$3179,IF($A$67="近一年",40,0)+IF($E$67="网下",20,0)+ROW()-68)),"")</f>
        <v>2.9873769999999999</v>
      </c>
      <c r="H85" s="13" t="str">
        <f>IFERROR(IF(INDEX(_calc!$CK$3200:$CK$3399,(MATCH($H$67,_calc!$CR$3200:$CR$3209,0)-1)*20+ROW()-68)="","",INDEX(_calc!$CK$3200:$CK$3399,(MATCH($H$67,_calc!$CR$3200:$CR$3209,0)-1)*20+ROW()-68)),"")</f>
        <v/>
      </c>
      <c r="I85" s="15" t="str">
        <f>IFERROR(IF(INDEX(_calc!$CL$3200:$CL$3399,(MATCH($H$67,_calc!$CR$3200:$CR$3209,0)-1)*20+ROW()-68)="","",INDEX(_calc!$CL$3200:$CL$3399,(MATCH($H$67,_calc!$CR$3200:$CR$3209,0)-1)*20+ROW()-68)),"")</f>
        <v/>
      </c>
      <c r="J85" s="16" t="str">
        <f>IFERROR(IF(INDEX(_calc!$CM$3200:$CM$3399,(MATCH($H$67,_calc!$CR$3200:$CR$3209,0)-1)*20+ROW()-68)="","-",INDEX(_calc!$CM$3200:$CM$3399,(MATCH($H$67,_calc!$CR$3200:$CR$3209,0)-1)*20+ROW()-68)),"")</f>
        <v>-</v>
      </c>
      <c r="K85" s="63" t="str">
        <f>IFERROR(IF(INDEX(_calc!$CN$3200:$CN$3399,(MATCH($H$67,_calc!$CR$3200:$CR$3209,0)-1)*20+ROW()-68)="","",INDEX(_calc!$CN$3200:$CN$3399,(MATCH($H$67,_calc!$CR$3200:$CR$3209,0)-1)*20+ROW()-68)),"")</f>
        <v/>
      </c>
      <c r="L85" s="64"/>
      <c r="M85" s="15" t="str">
        <f>IFERROR(IF(INDEX(_calc!$CO$3200:$CO$3399,(MATCH($H$67,_calc!$CR$3200:$CR$3209,0)-1)*20+ROW()-68)="","",INDEX(_calc!$CO$3200:$CO$3399,(MATCH($H$67,_calc!$CR$3200:$CR$3209,0)-1)*20+ROW()-68)),"")</f>
        <v/>
      </c>
      <c r="N85" s="16" t="str">
        <f>IFERROR(IF(INDEX(_calc!$CP$3200:$CP$3399,(MATCH($H$67,_calc!$CR$3200:$CR$3209,0)-1)*20+ROW()-68)="","-",INDEX(_calc!$CP$3200:$CP$3399,(MATCH($H$67,_calc!$CR$3200:$CR$3209,0)-1)*20+ROW()-68)),"")</f>
        <v>-</v>
      </c>
    </row>
    <row r="86" spans="1:14" ht="13.95" customHeight="1" x14ac:dyDescent="0.4">
      <c r="A86" s="12">
        <f>IFERROR(IF(INDEX(_calc!$CF$3100:$CF$3179,IF($A$67="近一年",40,0)+IF($E$67="网下",20,0)+ROW()-68)="","",INDEX(_calc!$CF$3100:$CF$3179,IF($A$67="近一年",40,0)+IF($E$67="网下",20,0)+ROW()-68)),"")</f>
        <v>18</v>
      </c>
      <c r="B86" s="63" t="str">
        <f>IFERROR(IF(INDEX(_calc!$CG$3100:$CG$3179,IF($A$67="近一年",40,0)+IF($E$67="网下",20,0)+ROW()-68)="","",INDEX(_calc!$CG$3100:$CG$3179,IF($A$67="近一年",40,0)+IF($E$67="网下",20,0)+ROW()-68)),"")</f>
        <v>芜湖元康私募基金管理有限公司</v>
      </c>
      <c r="C86" s="64"/>
      <c r="D86" s="12">
        <f>IFERROR(IF(INDEX(_calc!$CH$3100:$CH$3179,IF($A$67="近一年",40,0)+IF($E$67="网下",20,0)+ROW()-68)="","",INDEX(_calc!$CH$3100:$CH$3179,IF($A$67="近一年",40,0)+IF($E$67="网下",20,0)+ROW()-68)),"")</f>
        <v>5</v>
      </c>
      <c r="E86" s="13" t="str">
        <f>IFERROR(IF(INDEX(_calc!$CI$3100:$CI$3179,IF($A$67="近一年",40,0)+IF($E$67="网下",20,0)+ROW()-68)="","",INDEX(_calc!$CI$3100:$CI$3179,IF($A$67="近一年",40,0)+IF($E$67="网下",20,0)+ROW()-68)),"")</f>
        <v>国信证券股份有限公司</v>
      </c>
      <c r="F86" s="14">
        <f>IFERROR(IF(INDEX(_calc!$CJ$3100:$CJ$3179,IF($A$67="近一年",40,0)+IF($E$67="网下",20,0)+ROW()-68)="","",INDEX(_calc!$CJ$3100:$CJ$3179,IF($A$67="近一年",40,0)+IF($E$67="网下",20,0)+ROW()-68)),"")</f>
        <v>2.9417854000000001</v>
      </c>
      <c r="H86" s="13" t="str">
        <f>IFERROR(IF(INDEX(_calc!$CK$3200:$CK$3399,(MATCH($H$67,_calc!$CR$3200:$CR$3209,0)-1)*20+ROW()-68)="","",INDEX(_calc!$CK$3200:$CK$3399,(MATCH($H$67,_calc!$CR$3200:$CR$3209,0)-1)*20+ROW()-68)),"")</f>
        <v/>
      </c>
      <c r="I86" s="15" t="str">
        <f>IFERROR(IF(INDEX(_calc!$CL$3200:$CL$3399,(MATCH($H$67,_calc!$CR$3200:$CR$3209,0)-1)*20+ROW()-68)="","",INDEX(_calc!$CL$3200:$CL$3399,(MATCH($H$67,_calc!$CR$3200:$CR$3209,0)-1)*20+ROW()-68)),"")</f>
        <v/>
      </c>
      <c r="J86" s="16" t="str">
        <f>IFERROR(IF(INDEX(_calc!$CM$3200:$CM$3399,(MATCH($H$67,_calc!$CR$3200:$CR$3209,0)-1)*20+ROW()-68)="","-",INDEX(_calc!$CM$3200:$CM$3399,(MATCH($H$67,_calc!$CR$3200:$CR$3209,0)-1)*20+ROW()-68)),"")</f>
        <v>-</v>
      </c>
      <c r="K86" s="63" t="str">
        <f>IFERROR(IF(INDEX(_calc!$CN$3200:$CN$3399,(MATCH($H$67,_calc!$CR$3200:$CR$3209,0)-1)*20+ROW()-68)="","",INDEX(_calc!$CN$3200:$CN$3399,(MATCH($H$67,_calc!$CR$3200:$CR$3209,0)-1)*20+ROW()-68)),"")</f>
        <v/>
      </c>
      <c r="L86" s="64"/>
      <c r="M86" s="15" t="str">
        <f>IFERROR(IF(INDEX(_calc!$CO$3200:$CO$3399,(MATCH($H$67,_calc!$CR$3200:$CR$3209,0)-1)*20+ROW()-68)="","",INDEX(_calc!$CO$3200:$CO$3399,(MATCH($H$67,_calc!$CR$3200:$CR$3209,0)-1)*20+ROW()-68)),"")</f>
        <v/>
      </c>
      <c r="N86" s="16" t="str">
        <f>IFERROR(IF(INDEX(_calc!$CP$3200:$CP$3399,(MATCH($H$67,_calc!$CR$3200:$CR$3209,0)-1)*20+ROW()-68)="","-",INDEX(_calc!$CP$3200:$CP$3399,(MATCH($H$67,_calc!$CR$3200:$CR$3209,0)-1)*20+ROW()-68)),"")</f>
        <v>-</v>
      </c>
    </row>
    <row r="87" spans="1:14" ht="13.95" customHeight="1" x14ac:dyDescent="0.4">
      <c r="A87" s="12">
        <f>IFERROR(IF(INDEX(_calc!$CF$3100:$CF$3179,IF($A$67="近一年",40,0)+IF($E$67="网下",20,0)+ROW()-68)="","",INDEX(_calc!$CF$3100:$CF$3179,IF($A$67="近一年",40,0)+IF($E$67="网下",20,0)+ROW()-68)),"")</f>
        <v>19</v>
      </c>
      <c r="B87" s="63" t="str">
        <f>IFERROR(IF(INDEX(_calc!$CG$3100:$CG$3179,IF($A$67="近一年",40,0)+IF($E$67="网下",20,0)+ROW()-68)="","",INDEX(_calc!$CG$3100:$CG$3179,IF($A$67="近一年",40,0)+IF($E$67="网下",20,0)+ROW()-68)),"")</f>
        <v>建信信托有限责任公司</v>
      </c>
      <c r="C87" s="64"/>
      <c r="D87" s="12">
        <f>IFERROR(IF(INDEX(_calc!$CH$3100:$CH$3179,IF($A$67="近一年",40,0)+IF($E$67="网下",20,0)+ROW()-68)="","",INDEX(_calc!$CH$3100:$CH$3179,IF($A$67="近一年",40,0)+IF($E$67="网下",20,0)+ROW()-68)),"")</f>
        <v>5</v>
      </c>
      <c r="E87" s="13" t="str">
        <f>IFERROR(IF(INDEX(_calc!$CI$3100:$CI$3179,IF($A$67="近一年",40,0)+IF($E$67="网下",20,0)+ROW()-68)="","",INDEX(_calc!$CI$3100:$CI$3179,IF($A$67="近一年",40,0)+IF($E$67="网下",20,0)+ROW()-68)),"")</f>
        <v>上海国际信托有限公司</v>
      </c>
      <c r="F87" s="14">
        <f>IFERROR(IF(INDEX(_calc!$CJ$3100:$CJ$3179,IF($A$67="近一年",40,0)+IF($E$67="网下",20,0)+ROW()-68)="","",INDEX(_calc!$CJ$3100:$CJ$3179,IF($A$67="近一年",40,0)+IF($E$67="网下",20,0)+ROW()-68)),"")</f>
        <v>2.877990249999999</v>
      </c>
      <c r="H87" s="13" t="str">
        <f>IFERROR(IF(INDEX(_calc!$CK$3200:$CK$3399,(MATCH($H$67,_calc!$CR$3200:$CR$3209,0)-1)*20+ROW()-68)="","",INDEX(_calc!$CK$3200:$CK$3399,(MATCH($H$67,_calc!$CR$3200:$CR$3209,0)-1)*20+ROW()-68)),"")</f>
        <v/>
      </c>
      <c r="I87" s="15" t="str">
        <f>IFERROR(IF(INDEX(_calc!$CL$3200:$CL$3399,(MATCH($H$67,_calc!$CR$3200:$CR$3209,0)-1)*20+ROW()-68)="","",INDEX(_calc!$CL$3200:$CL$3399,(MATCH($H$67,_calc!$CR$3200:$CR$3209,0)-1)*20+ROW()-68)),"")</f>
        <v/>
      </c>
      <c r="J87" s="16" t="str">
        <f>IFERROR(IF(INDEX(_calc!$CM$3200:$CM$3399,(MATCH($H$67,_calc!$CR$3200:$CR$3209,0)-1)*20+ROW()-68)="","-",INDEX(_calc!$CM$3200:$CM$3399,(MATCH($H$67,_calc!$CR$3200:$CR$3209,0)-1)*20+ROW()-68)),"")</f>
        <v>-</v>
      </c>
      <c r="K87" s="63" t="str">
        <f>IFERROR(IF(INDEX(_calc!$CN$3200:$CN$3399,(MATCH($H$67,_calc!$CR$3200:$CR$3209,0)-1)*20+ROW()-68)="","",INDEX(_calc!$CN$3200:$CN$3399,(MATCH($H$67,_calc!$CR$3200:$CR$3209,0)-1)*20+ROW()-68)),"")</f>
        <v/>
      </c>
      <c r="L87" s="64"/>
      <c r="M87" s="15" t="str">
        <f>IFERROR(IF(INDEX(_calc!$CO$3200:$CO$3399,(MATCH($H$67,_calc!$CR$3200:$CR$3209,0)-1)*20+ROW()-68)="","",INDEX(_calc!$CO$3200:$CO$3399,(MATCH($H$67,_calc!$CR$3200:$CR$3209,0)-1)*20+ROW()-68)),"")</f>
        <v/>
      </c>
      <c r="N87" s="16" t="str">
        <f>IFERROR(IF(INDEX(_calc!$CP$3200:$CP$3399,(MATCH($H$67,_calc!$CR$3200:$CR$3209,0)-1)*20+ROW()-68)="","-",INDEX(_calc!$CP$3200:$CP$3399,(MATCH($H$67,_calc!$CR$3200:$CR$3209,0)-1)*20+ROW()-68)),"")</f>
        <v>-</v>
      </c>
    </row>
    <row r="88" spans="1:14" ht="19.95" customHeight="1" x14ac:dyDescent="0.4">
      <c r="A88" s="12">
        <f>IFERROR(IF(INDEX(_calc!$CF$3100:$CF$3179,IF($A$67="近一年",40,0)+IF($E$67="网下",20,0)+ROW()-68)="","",INDEX(_calc!$CF$3100:$CF$3179,IF($A$67="近一年",40,0)+IF($E$67="网下",20,0)+ROW()-68)),"")</f>
        <v>20</v>
      </c>
      <c r="B88" s="63" t="str">
        <f>IFERROR(IF(INDEX(_calc!$CG$3100:$CG$3179,IF($A$67="近一年",40,0)+IF($E$67="网下",20,0)+ROW()-68)="","",INDEX(_calc!$CG$3100:$CG$3179,IF($A$67="近一年",40,0)+IF($E$67="网下",20,0)+ROW()-68)),"")</f>
        <v>厦门源峰基础设施股权投资基金合伙企业（有限合伙）</v>
      </c>
      <c r="C88" s="64"/>
      <c r="D88" s="12">
        <f>IFERROR(IF(INDEX(_calc!$CH$3100:$CH$3179,IF($A$67="近一年",40,0)+IF($E$67="网下",20,0)+ROW()-68)="","",INDEX(_calc!$CH$3100:$CH$3179,IF($A$67="近一年",40,0)+IF($E$67="网下",20,0)+ROW()-68)),"")</f>
        <v>4</v>
      </c>
      <c r="E88" s="13" t="str">
        <f>IFERROR(IF(INDEX(_calc!$CI$3100:$CI$3179,IF($A$67="近一年",40,0)+IF($E$67="网下",20,0)+ROW()-68)="","",INDEX(_calc!$CI$3100:$CI$3179,IF($A$67="近一年",40,0)+IF($E$67="网下",20,0)+ROW()-68)),"")</f>
        <v>上海国泰海通证券资产管理有限公司</v>
      </c>
      <c r="F88" s="14">
        <f>IFERROR(IF(INDEX(_calc!$CJ$3100:$CJ$3179,IF($A$67="近一年",40,0)+IF($E$67="网下",20,0)+ROW()-68)="","",INDEX(_calc!$CJ$3100:$CJ$3179,IF($A$67="近一年",40,0)+IF($E$67="网下",20,0)+ROW()-68)),"")</f>
        <v>2.8247399999999998</v>
      </c>
      <c r="H88" s="13" t="str">
        <f>IFERROR(IF(INDEX(_calc!$CK$3200:$CK$3399,(MATCH($H$67,_calc!$CR$3200:$CR$3209,0)-1)*20+ROW()-68)="","",INDEX(_calc!$CK$3200:$CK$3399,(MATCH($H$67,_calc!$CR$3200:$CR$3209,0)-1)*20+ROW()-68)),"")</f>
        <v/>
      </c>
      <c r="I88" s="15" t="str">
        <f>IFERROR(IF(INDEX(_calc!$CL$3200:$CL$3399,(MATCH($H$67,_calc!$CR$3200:$CR$3209,0)-1)*20+ROW()-68)="","",INDEX(_calc!$CL$3200:$CL$3399,(MATCH($H$67,_calc!$CR$3200:$CR$3209,0)-1)*20+ROW()-68)),"")</f>
        <v/>
      </c>
      <c r="J88" s="16" t="str">
        <f>IFERROR(IF(INDEX(_calc!$CM$3200:$CM$3399,(MATCH($H$67,_calc!$CR$3200:$CR$3209,0)-1)*20+ROW()-68)="","-",INDEX(_calc!$CM$3200:$CM$3399,(MATCH($H$67,_calc!$CR$3200:$CR$3209,0)-1)*20+ROW()-68)),"")</f>
        <v>-</v>
      </c>
      <c r="K88" s="63" t="str">
        <f>IFERROR(IF(INDEX(_calc!$CN$3200:$CN$3399,(MATCH($H$67,_calc!$CR$3200:$CR$3209,0)-1)*20+ROW()-68)="","",INDEX(_calc!$CN$3200:$CN$3399,(MATCH($H$67,_calc!$CR$3200:$CR$3209,0)-1)*20+ROW()-68)),"")</f>
        <v/>
      </c>
      <c r="L88" s="64"/>
      <c r="M88" s="15" t="str">
        <f>IFERROR(IF(INDEX(_calc!$CO$3200:$CO$3399,(MATCH($H$67,_calc!$CR$3200:$CR$3209,0)-1)*20+ROW()-68)="","",INDEX(_calc!$CO$3200:$CO$3399,(MATCH($H$67,_calc!$CR$3200:$CR$3209,0)-1)*20+ROW()-68)),"")</f>
        <v/>
      </c>
      <c r="N88" s="16" t="str">
        <f>IFERROR(IF(INDEX(_calc!$CP$3200:$CP$3399,(MATCH($H$67,_calc!$CR$3200:$CR$3209,0)-1)*20+ROW()-68)="","-",INDEX(_calc!$CP$3200:$CP$3399,(MATCH($H$67,_calc!$CR$3200:$CR$3209,0)-1)*20+ROW()-68)),"")</f>
        <v>-</v>
      </c>
    </row>
    <row r="89" spans="1:14" ht="24" customHeight="1" x14ac:dyDescent="0.4">
      <c r="A89" s="81" t="s">
        <v>75</v>
      </c>
      <c r="B89" s="62"/>
      <c r="C89" s="62"/>
      <c r="D89" s="62"/>
      <c r="E89" s="62"/>
      <c r="F89" s="62"/>
      <c r="G89" s="62"/>
      <c r="H89" s="81" t="s">
        <v>76</v>
      </c>
      <c r="I89" s="62"/>
      <c r="J89" s="62"/>
      <c r="K89" s="62"/>
      <c r="L89" s="62"/>
      <c r="M89" s="62"/>
      <c r="N89" s="62"/>
    </row>
    <row r="90" spans="1:14" ht="19.95" customHeight="1" x14ac:dyDescent="0.4"/>
    <row r="91" spans="1:14" ht="19.95" customHeight="1" x14ac:dyDescent="0.4"/>
    <row r="92" spans="1:14" ht="19.95" customHeight="1" x14ac:dyDescent="0.55000000000000004">
      <c r="A92" s="69" t="s">
        <v>77</v>
      </c>
      <c r="B92" s="62"/>
      <c r="C92" s="75" t="s">
        <v>78</v>
      </c>
      <c r="D92" s="62"/>
      <c r="E92" s="4" t="s">
        <v>79</v>
      </c>
      <c r="F92" s="83" t="s">
        <v>80</v>
      </c>
      <c r="G92" s="62"/>
      <c r="H92" s="62"/>
      <c r="I92" s="62"/>
      <c r="J92" s="62"/>
      <c r="K92" s="62"/>
      <c r="L92" s="62"/>
      <c r="M92" s="62"/>
      <c r="N92" s="62"/>
    </row>
    <row r="93" spans="1:14" ht="19.95" customHeight="1" x14ac:dyDescent="0.4"/>
    <row r="94" spans="1:14" ht="19.95" customHeight="1" x14ac:dyDescent="0.4">
      <c r="G94" s="85" t="str">
        <f>IF(数据概览!$C$92="","在标题后下拉选择省份查看明细",IF(COUNTIF(_calc!$BT$3:$BT$73,数据概览!$C$92)=0,数据概览!$C$92&amp;"：暂无项目",数据概览!$C$92&amp;"："&amp;COUNTIF(_calc!$BT$3:$BT$73,数据概览!$C$92)&amp;"个项目 · "&amp;SUM(_calc!$CA$3:$CA$73)&amp;"只基金"))</f>
        <v>北京市：10个项目 · 4只基金</v>
      </c>
      <c r="H94" s="64"/>
      <c r="I94" s="64"/>
      <c r="J94" s="64"/>
      <c r="K94" s="64"/>
      <c r="L94" s="64"/>
      <c r="M94" s="64"/>
      <c r="N94" s="64"/>
    </row>
    <row r="95" spans="1:14" ht="31.95" customHeight="1" x14ac:dyDescent="0.4">
      <c r="G95" s="79" t="s">
        <v>81</v>
      </c>
      <c r="H95" s="64"/>
      <c r="I95" s="79" t="s">
        <v>82</v>
      </c>
      <c r="J95" s="64"/>
      <c r="K95" s="17" t="s">
        <v>83</v>
      </c>
      <c r="L95" s="17" t="s">
        <v>84</v>
      </c>
      <c r="M95" s="17" t="s">
        <v>85</v>
      </c>
      <c r="N95" s="17" t="s">
        <v>86</v>
      </c>
    </row>
    <row r="96" spans="1:14" ht="19.95" customHeight="1" x14ac:dyDescent="0.4">
      <c r="G96" s="63" t="str">
        <f>IFERROR(IF(INDEX(_calc!$BU$3:$BU$73,MATCH(ROW()-95,_calc!$BZ$3:$BZ$73,0))="","",INDEX(_calc!$BU$3:$BU$73,MATCH(ROW()-95,_calc!$BZ$3:$BZ$73,0))),"")</f>
        <v>嘉实物美消费REIT</v>
      </c>
      <c r="H96" s="64"/>
      <c r="I96" s="63" t="str">
        <f>IFERROR(IF(INDEX(_calc!$BV$3:$BV$73,MATCH(ROW()-95,_calc!$BZ$3:$BZ$73,0))="","",INDEX(_calc!$BV$3:$BV$73,MATCH(ROW()-95,_calc!$BZ$3:$BZ$73,0))),"")</f>
        <v>华天项目</v>
      </c>
      <c r="J96" s="63"/>
      <c r="K96" s="13" t="str">
        <f>IFERROR(IF(INDEX(_calc!$BW$3:$BW$73,MATCH(ROW()-95,_calc!$BZ$3:$BZ$73,0))="","",INDEX(_calc!$BW$3:$BW$73,MATCH(ROW()-95,_calc!$BZ$3:$BZ$73,0))),"")</f>
        <v>北京市</v>
      </c>
      <c r="L96" s="13" t="str">
        <f>IFERROR(IF(INDEX(_calc!$BX$3:$BX$73,MATCH(ROW()-95,_calc!$BZ$3:$BZ$73,0))="","",INDEX(_calc!$BX$3:$BX$73,MATCH(ROW()-95,_calc!$BZ$3:$BZ$73,0))),"")</f>
        <v>消费基础设施</v>
      </c>
      <c r="M96" s="18">
        <f>IFERROR(IF(INDEX(_calc!$BY$3:$BY$73,MATCH(ROW()-95,_calc!$BZ$3:$BZ$73,0))="","",INDEX(_calc!$BY$3:$BY$73,MATCH(ROW()-95,_calc!$BZ$3:$BZ$73,0))),"")</f>
        <v>1.67</v>
      </c>
      <c r="N96" s="19">
        <f>IFERROR(IF(INDEX(_calc!$CB$3:$CB$73,MATCH(ROW()-95,_calc!$BZ$3:$BZ$73,0))="","",INDEX(_calc!$CB$3:$CB$73,MATCH(ROW()-95,_calc!$BZ$3:$BZ$73,0))),"")</f>
        <v>16.11</v>
      </c>
    </row>
    <row r="97" spans="7:14" ht="19.95" customHeight="1" x14ac:dyDescent="0.4">
      <c r="G97" s="63" t="str">
        <f>IFERROR(IF(INDEX(_calc!$BU$3:$BU$73,MATCH(ROW()-95,_calc!$BZ$3:$BZ$73,0))="","",INDEX(_calc!$BU$3:$BU$73,MATCH(ROW()-95,_calc!$BZ$3:$BZ$73,0))),"")</f>
        <v>嘉实物美消费REIT</v>
      </c>
      <c r="H97" s="64"/>
      <c r="I97" s="63" t="str">
        <f>IFERROR(IF(INDEX(_calc!$BV$3:$BV$73,MATCH(ROW()-95,_calc!$BZ$3:$BZ$73,0))="","",INDEX(_calc!$BV$3:$BV$73,MATCH(ROW()-95,_calc!$BZ$3:$BZ$73,0))),"")</f>
        <v>大成路项目</v>
      </c>
      <c r="J97" s="63"/>
      <c r="K97" s="13" t="str">
        <f>IFERROR(IF(INDEX(_calc!$BW$3:$BW$73,MATCH(ROW()-95,_calc!$BZ$3:$BZ$73,0))="","",INDEX(_calc!$BW$3:$BW$73,MATCH(ROW()-95,_calc!$BZ$3:$BZ$73,0))),"")</f>
        <v>北京市</v>
      </c>
      <c r="L97" s="13" t="str">
        <f>IFERROR(IF(INDEX(_calc!$BX$3:$BX$73,MATCH(ROW()-95,_calc!$BZ$3:$BZ$73,0))="","",INDEX(_calc!$BX$3:$BX$73,MATCH(ROW()-95,_calc!$BZ$3:$BZ$73,0))),"")</f>
        <v>消费基础设施</v>
      </c>
      <c r="M97" s="18">
        <f>IFERROR(IF(INDEX(_calc!$BY$3:$BY$73,MATCH(ROW()-95,_calc!$BZ$3:$BZ$73,0))="","",INDEX(_calc!$BY$3:$BY$73,MATCH(ROW()-95,_calc!$BZ$3:$BZ$73,0))),"")</f>
        <v>2.87</v>
      </c>
      <c r="N97" s="19">
        <f>IFERROR(IF(INDEX(_calc!$CB$3:$CB$73,MATCH(ROW()-95,_calc!$BZ$3:$BZ$73,0))="","",INDEX(_calc!$CB$3:$CB$73,MATCH(ROW()-95,_calc!$BZ$3:$BZ$73,0))),"")</f>
        <v>17.89</v>
      </c>
    </row>
    <row r="98" spans="7:14" ht="19.95" customHeight="1" x14ac:dyDescent="0.4">
      <c r="G98" s="63" t="str">
        <f>IFERROR(IF(INDEX(_calc!$BU$3:$BU$73,MATCH(ROW()-95,_calc!$BZ$3:$BZ$73,0))="","",INDEX(_calc!$BU$3:$BU$73,MATCH(ROW()-95,_calc!$BZ$3:$BZ$73,0))),"")</f>
        <v>嘉实物美消费REIT</v>
      </c>
      <c r="H98" s="64"/>
      <c r="I98" s="63" t="str">
        <f>IFERROR(IF(INDEX(_calc!$BV$3:$BV$73,MATCH(ROW()-95,_calc!$BZ$3:$BZ$73,0))="","",INDEX(_calc!$BV$3:$BV$73,MATCH(ROW()-95,_calc!$BZ$3:$BZ$73,0))),"")</f>
        <v>德胜门项目</v>
      </c>
      <c r="J98" s="63"/>
      <c r="K98" s="13" t="str">
        <f>IFERROR(IF(INDEX(_calc!$BW$3:$BW$73,MATCH(ROW()-95,_calc!$BZ$3:$BZ$73,0))="","",INDEX(_calc!$BW$3:$BW$73,MATCH(ROW()-95,_calc!$BZ$3:$BZ$73,0))),"")</f>
        <v>北京市</v>
      </c>
      <c r="L98" s="13" t="str">
        <f>IFERROR(IF(INDEX(_calc!$BX$3:$BX$73,MATCH(ROW()-95,_calc!$BZ$3:$BZ$73,0))="","",INDEX(_calc!$BX$3:$BX$73,MATCH(ROW()-95,_calc!$BZ$3:$BZ$73,0))),"")</f>
        <v>消费基础设施</v>
      </c>
      <c r="M98" s="18">
        <f>IFERROR(IF(INDEX(_calc!$BY$3:$BY$73,MATCH(ROW()-95,_calc!$BZ$3:$BZ$73,0))="","",INDEX(_calc!$BY$3:$BY$73,MATCH(ROW()-95,_calc!$BZ$3:$BZ$73,0))),"")</f>
        <v>1.39</v>
      </c>
      <c r="N98" s="19">
        <f>IFERROR(IF(INDEX(_calc!$CB$3:$CB$73,MATCH(ROW()-95,_calc!$BZ$3:$BZ$73,0))="","",INDEX(_calc!$CB$3:$CB$73,MATCH(ROW()-95,_calc!$BZ$3:$BZ$73,0))),"")</f>
        <v>15.84</v>
      </c>
    </row>
    <row r="99" spans="7:14" ht="19.95" customHeight="1" x14ac:dyDescent="0.4">
      <c r="G99" s="63" t="str">
        <f>IFERROR(IF(INDEX(_calc!$BU$3:$BU$73,MATCH(ROW()-95,_calc!$BZ$3:$BZ$73,0))="","",INDEX(_calc!$BU$3:$BU$73,MATCH(ROW()-95,_calc!$BZ$3:$BZ$73,0))),"")</f>
        <v>嘉实物美消费REIT</v>
      </c>
      <c r="H99" s="64"/>
      <c r="I99" s="63" t="str">
        <f>IFERROR(IF(INDEX(_calc!$BV$3:$BV$73,MATCH(ROW()-95,_calc!$BZ$3:$BZ$73,0))="","",INDEX(_calc!$BV$3:$BV$73,MATCH(ROW()-95,_calc!$BZ$3:$BZ$73,0))),"")</f>
        <v>玉蜓桥项目</v>
      </c>
      <c r="J99" s="63"/>
      <c r="K99" s="13" t="str">
        <f>IFERROR(IF(INDEX(_calc!$BW$3:$BW$73,MATCH(ROW()-95,_calc!$BZ$3:$BZ$73,0))="","",INDEX(_calc!$BW$3:$BW$73,MATCH(ROW()-95,_calc!$BZ$3:$BZ$73,0))),"")</f>
        <v>北京市</v>
      </c>
      <c r="L99" s="13" t="str">
        <f>IFERROR(IF(INDEX(_calc!$BX$3:$BX$73,MATCH(ROW()-95,_calc!$BZ$3:$BZ$73,0))="","",INDEX(_calc!$BX$3:$BX$73,MATCH(ROW()-95,_calc!$BZ$3:$BZ$73,0))),"")</f>
        <v>消费基础设施</v>
      </c>
      <c r="M99" s="18">
        <f>IFERROR(IF(INDEX(_calc!$BY$3:$BY$73,MATCH(ROW()-95,_calc!$BZ$3:$BZ$73,0))="","",INDEX(_calc!$BY$3:$BY$73,MATCH(ROW()-95,_calc!$BZ$3:$BZ$73,0))),"")</f>
        <v>4.08</v>
      </c>
      <c r="N99" s="19">
        <f>IFERROR(IF(INDEX(_calc!$CB$3:$CB$73,MATCH(ROW()-95,_calc!$BZ$3:$BZ$73,0))="","",INDEX(_calc!$CB$3:$CB$73,MATCH(ROW()-95,_calc!$BZ$3:$BZ$73,0))),"")</f>
        <v>16.489999999999998</v>
      </c>
    </row>
    <row r="100" spans="7:14" ht="19.95" customHeight="1" x14ac:dyDescent="0.4">
      <c r="G100" s="63" t="str">
        <f>IFERROR(IF(INDEX(_calc!$BU$3:$BU$73,MATCH(ROW()-95,_calc!$BZ$3:$BZ$73,0))="","",INDEX(_calc!$BU$3:$BU$73,MATCH(ROW()-95,_calc!$BZ$3:$BZ$73,0))),"")</f>
        <v>中信建投首农商业REIT</v>
      </c>
      <c r="H100" s="64"/>
      <c r="I100" s="63" t="str">
        <f>IFERROR(IF(INDEX(_calc!$BV$3:$BV$73,MATCH(ROW()-95,_calc!$BZ$3:$BZ$73,0))="","",INDEX(_calc!$BV$3:$BV$73,MATCH(ROW()-95,_calc!$BZ$3:$BZ$73,0))),"")</f>
        <v>龙德广场</v>
      </c>
      <c r="J100" s="63"/>
      <c r="K100" s="13" t="str">
        <f>IFERROR(IF(INDEX(_calc!$BW$3:$BW$73,MATCH(ROW()-95,_calc!$BZ$3:$BZ$73,0))="","",INDEX(_calc!$BW$3:$BW$73,MATCH(ROW()-95,_calc!$BZ$3:$BZ$73,0))),"")</f>
        <v>北京市</v>
      </c>
      <c r="L100" s="13" t="str">
        <f>IFERROR(IF(INDEX(_calc!$BX$3:$BX$73,MATCH(ROW()-95,_calc!$BZ$3:$BZ$73,0))="","",INDEX(_calc!$BX$3:$BX$73,MATCH(ROW()-95,_calc!$BZ$3:$BZ$73,0))),"")</f>
        <v>购物中心</v>
      </c>
      <c r="M100" s="18">
        <f>IFERROR(IF(INDEX(_calc!$BY$3:$BY$73,MATCH(ROW()-95,_calc!$BZ$3:$BZ$73,0))="","",INDEX(_calc!$BY$3:$BY$73,MATCH(ROW()-95,_calc!$BZ$3:$BZ$73,0))),"")</f>
        <v>27.03</v>
      </c>
      <c r="N100" s="19">
        <f>IFERROR(IF(INDEX(_calc!$CB$3:$CB$73,MATCH(ROW()-95,_calc!$BZ$3:$BZ$73,0))="","",INDEX(_calc!$CB$3:$CB$73,MATCH(ROW()-95,_calc!$BZ$3:$BZ$73,0))),"")</f>
        <v>28.47</v>
      </c>
    </row>
    <row r="101" spans="7:14" ht="19.95" customHeight="1" x14ac:dyDescent="0.4">
      <c r="G101" s="63" t="str">
        <f>IFERROR(IF(INDEX(_calc!$BU$3:$BU$73,MATCH(ROW()-95,_calc!$BZ$3:$BZ$73,0))="","",INDEX(_calc!$BU$3:$BU$73,MATCH(ROW()-95,_calc!$BZ$3:$BZ$73,0))),"")</f>
        <v>创金合信北京国资公司REIT</v>
      </c>
      <c r="H101" s="64"/>
      <c r="I101" s="63" t="str">
        <f>IFERROR(IF(INDEX(_calc!$BV$3:$BV$73,MATCH(ROW()-95,_calc!$BZ$3:$BZ$73,0))="","",INDEX(_calc!$BV$3:$BV$73,MATCH(ROW()-95,_calc!$BZ$3:$BZ$73,0))),"")</f>
        <v>隆福寺一期项目</v>
      </c>
      <c r="J101" s="63"/>
      <c r="K101" s="13" t="str">
        <f>IFERROR(IF(INDEX(_calc!$BW$3:$BW$73,MATCH(ROW()-95,_calc!$BZ$3:$BZ$73,0))="","",INDEX(_calc!$BW$3:$BW$73,MATCH(ROW()-95,_calc!$BZ$3:$BZ$73,0))),"")</f>
        <v>北京市</v>
      </c>
      <c r="L101" s="13" t="str">
        <f>IFERROR(IF(INDEX(_calc!$BX$3:$BX$73,MATCH(ROW()-95,_calc!$BZ$3:$BZ$73,0))="","",INDEX(_calc!$BX$3:$BX$73,MATCH(ROW()-95,_calc!$BZ$3:$BZ$73,0))),"")</f>
        <v>办公、配套商业</v>
      </c>
      <c r="M101" s="18">
        <f>IFERROR(IF(INDEX(_calc!$BY$3:$BY$73,MATCH(ROW()-95,_calc!$BZ$3:$BZ$73,0))="","",INDEX(_calc!$BY$3:$BY$73,MATCH(ROW()-95,_calc!$BZ$3:$BZ$73,0))),"")</f>
        <v>14.64</v>
      </c>
      <c r="N101" s="19">
        <f>IFERROR(IF(INDEX(_calc!$CB$3:$CB$73,MATCH(ROW()-95,_calc!$BZ$3:$BZ$73,0))="","",INDEX(_calc!$CB$3:$CB$73,MATCH(ROW()-95,_calc!$BZ$3:$BZ$73,0))),"")</f>
        <v>38.64</v>
      </c>
    </row>
    <row r="102" spans="7:14" ht="19.95" customHeight="1" x14ac:dyDescent="0.4">
      <c r="G102" s="63" t="str">
        <f>IFERROR(IF(INDEX(_calc!$BU$3:$BU$73,MATCH(ROW()-95,_calc!$BZ$3:$BZ$73,0))="","",INDEX(_calc!$BU$3:$BU$73,MATCH(ROW()-95,_calc!$BZ$3:$BZ$73,0))),"")</f>
        <v>创金合信北京国资公司REIT</v>
      </c>
      <c r="H102" s="64"/>
      <c r="I102" s="63" t="str">
        <f>IFERROR(IF(INDEX(_calc!$BV$3:$BV$73,MATCH(ROW()-95,_calc!$BZ$3:$BZ$73,0))="","",INDEX(_calc!$BV$3:$BV$73,MATCH(ROW()-95,_calc!$BZ$3:$BZ$73,0))),"")</f>
        <v>集智未来项目</v>
      </c>
      <c r="J102" s="63"/>
      <c r="K102" s="13" t="str">
        <f>IFERROR(IF(INDEX(_calc!$BW$3:$BW$73,MATCH(ROW()-95,_calc!$BZ$3:$BZ$73,0))="","",INDEX(_calc!$BW$3:$BW$73,MATCH(ROW()-95,_calc!$BZ$3:$BZ$73,0))),"")</f>
        <v>北京市</v>
      </c>
      <c r="L102" s="13" t="str">
        <f>IFERROR(IF(INDEX(_calc!$BX$3:$BX$73,MATCH(ROW()-95,_calc!$BZ$3:$BZ$73,0))="","",INDEX(_calc!$BX$3:$BX$73,MATCH(ROW()-95,_calc!$BZ$3:$BZ$73,0))),"")</f>
        <v>办公</v>
      </c>
      <c r="M102" s="18">
        <f>IFERROR(IF(INDEX(_calc!$BY$3:$BY$73,MATCH(ROW()-95,_calc!$BZ$3:$BZ$73,0))="","",INDEX(_calc!$BY$3:$BY$73,MATCH(ROW()-95,_calc!$BZ$3:$BZ$73,0))),"")</f>
        <v>11.05</v>
      </c>
      <c r="N102" s="19">
        <f>IFERROR(IF(INDEX(_calc!$CB$3:$CB$73,MATCH(ROW()-95,_calc!$BZ$3:$BZ$73,0))="","",INDEX(_calc!$CB$3:$CB$73,MATCH(ROW()-95,_calc!$BZ$3:$BZ$73,0))),"")</f>
        <v>26.36</v>
      </c>
    </row>
    <row r="103" spans="7:14" ht="19.95" customHeight="1" x14ac:dyDescent="0.4">
      <c r="G103" s="63" t="str">
        <f>IFERROR(IF(INDEX(_calc!$BU$3:$BU$73,MATCH(ROW()-95,_calc!$BZ$3:$BZ$73,0))="","",INDEX(_calc!$BU$3:$BU$73,MATCH(ROW()-95,_calc!$BZ$3:$BZ$73,0))),"")</f>
        <v>嘉实首开商业</v>
      </c>
      <c r="H103" s="64"/>
      <c r="I103" s="63" t="str">
        <f>IFERROR(IF(INDEX(_calc!$BV$3:$BV$73,MATCH(ROW()-95,_calc!$BZ$3:$BZ$73,0))="","",INDEX(_calc!$BV$3:$BV$73,MATCH(ROW()-95,_calc!$BZ$3:$BZ$73,0))),"")</f>
        <v>华侨村商街项目</v>
      </c>
      <c r="J103" s="63"/>
      <c r="K103" s="13" t="str">
        <f>IFERROR(IF(INDEX(_calc!$BW$3:$BW$73,MATCH(ROW()-95,_calc!$BZ$3:$BZ$73,0))="","",INDEX(_calc!$BW$3:$BW$73,MATCH(ROW()-95,_calc!$BZ$3:$BZ$73,0))),"")</f>
        <v>北京市</v>
      </c>
      <c r="L103" s="13" t="str">
        <f>IFERROR(IF(INDEX(_calc!$BX$3:$BX$73,MATCH(ROW()-95,_calc!$BZ$3:$BZ$73,0))="","",INDEX(_calc!$BX$3:$BX$73,MATCH(ROW()-95,_calc!$BZ$3:$BZ$73,0))),"")</f>
        <v>社区商业</v>
      </c>
      <c r="M103" s="18">
        <f>IFERROR(IF(INDEX(_calc!$BY$3:$BY$73,MATCH(ROW()-95,_calc!$BZ$3:$BZ$73,0))="","",INDEX(_calc!$BY$3:$BY$73,MATCH(ROW()-95,_calc!$BZ$3:$BZ$73,0))),"")</f>
        <v>3.6</v>
      </c>
      <c r="N103" s="19">
        <f>IFERROR(IF(INDEX(_calc!$CB$3:$CB$73,MATCH(ROW()-95,_calc!$BZ$3:$BZ$73,0))="","",INDEX(_calc!$CB$3:$CB$73,MATCH(ROW()-95,_calc!$BZ$3:$BZ$73,0))),"")</f>
        <v>31.01</v>
      </c>
    </row>
    <row r="104" spans="7:14" ht="19.95" customHeight="1" x14ac:dyDescent="0.4">
      <c r="G104" s="63" t="str">
        <f>IFERROR(IF(INDEX(_calc!$BU$3:$BU$73,MATCH(ROW()-95,_calc!$BZ$3:$BZ$73,0))="","",INDEX(_calc!$BU$3:$BU$73,MATCH(ROW()-95,_calc!$BZ$3:$BZ$73,0))),"")</f>
        <v>嘉实首开商业</v>
      </c>
      <c r="H104" s="64"/>
      <c r="I104" s="63" t="str">
        <f>IFERROR(IF(INDEX(_calc!$BV$3:$BV$73,MATCH(ROW()-95,_calc!$BZ$3:$BZ$73,0))="","",INDEX(_calc!$BV$3:$BV$73,MATCH(ROW()-95,_calc!$BZ$3:$BZ$73,0))),"")</f>
        <v>宋家庄福茂项目</v>
      </c>
      <c r="J104" s="63"/>
      <c r="K104" s="13" t="str">
        <f>IFERROR(IF(INDEX(_calc!$BW$3:$BW$73,MATCH(ROW()-95,_calc!$BZ$3:$BZ$73,0))="","",INDEX(_calc!$BW$3:$BW$73,MATCH(ROW()-95,_calc!$BZ$3:$BZ$73,0))),"")</f>
        <v>北京市</v>
      </c>
      <c r="L104" s="13" t="str">
        <f>IFERROR(IF(INDEX(_calc!$BX$3:$BX$73,MATCH(ROW()-95,_calc!$BZ$3:$BZ$73,0))="","",INDEX(_calc!$BX$3:$BX$73,MATCH(ROW()-95,_calc!$BZ$3:$BZ$73,0))),"")</f>
        <v>购物中心</v>
      </c>
      <c r="M104" s="18">
        <f>IFERROR(IF(INDEX(_calc!$BY$3:$BY$73,MATCH(ROW()-95,_calc!$BZ$3:$BZ$73,0))="","",INDEX(_calc!$BY$3:$BY$73,MATCH(ROW()-95,_calc!$BZ$3:$BZ$73,0))),"")</f>
        <v>3.96</v>
      </c>
      <c r="N104" s="19">
        <f>IFERROR(IF(INDEX(_calc!$CB$3:$CB$73,MATCH(ROW()-95,_calc!$BZ$3:$BZ$73,0))="","",INDEX(_calc!$CB$3:$CB$73,MATCH(ROW()-95,_calc!$BZ$3:$BZ$73,0))),"")</f>
        <v>31.15</v>
      </c>
    </row>
    <row r="105" spans="7:14" ht="19.95" customHeight="1" x14ac:dyDescent="0.4">
      <c r="G105" s="63" t="str">
        <f>IFERROR(IF(INDEX(_calc!$BU$3:$BU$73,MATCH(ROW()-95,_calc!$BZ$3:$BZ$73,0))="","",INDEX(_calc!$BU$3:$BU$73,MATCH(ROW()-95,_calc!$BZ$3:$BZ$73,0))),"")</f>
        <v>嘉实首开商业</v>
      </c>
      <c r="H105" s="64"/>
      <c r="I105" s="63" t="str">
        <f>IFERROR(IF(INDEX(_calc!$BV$3:$BV$73,MATCH(ROW()-95,_calc!$BZ$3:$BZ$73,0))="","",INDEX(_calc!$BV$3:$BV$73,MATCH(ROW()-95,_calc!$BZ$3:$BZ$73,0))),"")</f>
        <v>璞瑅商街项目</v>
      </c>
      <c r="J105" s="63"/>
      <c r="K105" s="13" t="str">
        <f>IFERROR(IF(INDEX(_calc!$BW$3:$BW$73,MATCH(ROW()-95,_calc!$BZ$3:$BZ$73,0))="","",INDEX(_calc!$BW$3:$BW$73,MATCH(ROW()-95,_calc!$BZ$3:$BZ$73,0))),"")</f>
        <v>北京市</v>
      </c>
      <c r="L105" s="13" t="str">
        <f>IFERROR(IF(INDEX(_calc!$BX$3:$BX$73,MATCH(ROW()-95,_calc!$BZ$3:$BZ$73,0))="","",INDEX(_calc!$BX$3:$BX$73,MATCH(ROW()-95,_calc!$BZ$3:$BZ$73,0))),"")</f>
        <v>社区商业</v>
      </c>
      <c r="M105" s="18">
        <f>IFERROR(IF(INDEX(_calc!$BY$3:$BY$73,MATCH(ROW()-95,_calc!$BZ$3:$BZ$73,0))="","",INDEX(_calc!$BY$3:$BY$73,MATCH(ROW()-95,_calc!$BZ$3:$BZ$73,0))),"")</f>
        <v>2.83</v>
      </c>
      <c r="N105" s="19">
        <f>IFERROR(IF(INDEX(_calc!$CB$3:$CB$73,MATCH(ROW()-95,_calc!$BZ$3:$BZ$73,0))="","",INDEX(_calc!$CB$3:$CB$73,MATCH(ROW()-95,_calc!$BZ$3:$BZ$73,0))),"")</f>
        <v>17.89</v>
      </c>
    </row>
    <row r="106" spans="7:14" ht="19.95" customHeight="1" x14ac:dyDescent="0.4">
      <c r="G106" s="63" t="str">
        <f>IFERROR(IF(INDEX(_calc!$BU$3:$BU$73,MATCH(ROW()-95,_calc!$BZ$3:$BZ$73,0))="","",INDEX(_calc!$BU$3:$BU$73,MATCH(ROW()-95,_calc!$BZ$3:$BZ$73,0))),"")</f>
        <v/>
      </c>
      <c r="H106" s="64"/>
      <c r="I106" s="63" t="str">
        <f>IFERROR(IF(INDEX(_calc!$BV$3:$BV$73,MATCH(ROW()-95,_calc!$BZ$3:$BZ$73,0))="","",INDEX(_calc!$BV$3:$BV$73,MATCH(ROW()-95,_calc!$BZ$3:$BZ$73,0))),"")</f>
        <v/>
      </c>
      <c r="J106" s="63"/>
      <c r="K106" s="13" t="str">
        <f>IFERROR(IF(INDEX(_calc!$BW$3:$BW$73,MATCH(ROW()-95,_calc!$BZ$3:$BZ$73,0))="","",INDEX(_calc!$BW$3:$BW$73,MATCH(ROW()-95,_calc!$BZ$3:$BZ$73,0))),"")</f>
        <v/>
      </c>
      <c r="L106" s="13" t="str">
        <f>IFERROR(IF(INDEX(_calc!$BX$3:$BX$73,MATCH(ROW()-95,_calc!$BZ$3:$BZ$73,0))="","",INDEX(_calc!$BX$3:$BX$73,MATCH(ROW()-95,_calc!$BZ$3:$BZ$73,0))),"")</f>
        <v/>
      </c>
      <c r="M106" s="18" t="str">
        <f>IFERROR(IF(INDEX(_calc!$BY$3:$BY$73,MATCH(ROW()-95,_calc!$BZ$3:$BZ$73,0))="","",INDEX(_calc!$BY$3:$BY$73,MATCH(ROW()-95,_calc!$BZ$3:$BZ$73,0))),"")</f>
        <v/>
      </c>
      <c r="N106" s="19" t="str">
        <f>IFERROR(IF(INDEX(_calc!$CB$3:$CB$73,MATCH(ROW()-95,_calc!$BZ$3:$BZ$73,0))="","",INDEX(_calc!$CB$3:$CB$73,MATCH(ROW()-95,_calc!$BZ$3:$BZ$73,0))),"")</f>
        <v/>
      </c>
    </row>
    <row r="107" spans="7:14" ht="19.95" customHeight="1" x14ac:dyDescent="0.4">
      <c r="G107" s="63" t="str">
        <f>IFERROR(IF(INDEX(_calc!$BU$3:$BU$73,MATCH(ROW()-95,_calc!$BZ$3:$BZ$73,0))="","",INDEX(_calc!$BU$3:$BU$73,MATCH(ROW()-95,_calc!$BZ$3:$BZ$73,0))),"")</f>
        <v/>
      </c>
      <c r="H107" s="64"/>
      <c r="I107" s="63" t="str">
        <f>IFERROR(IF(INDEX(_calc!$BV$3:$BV$73,MATCH(ROW()-95,_calc!$BZ$3:$BZ$73,0))="","",INDEX(_calc!$BV$3:$BV$73,MATCH(ROW()-95,_calc!$BZ$3:$BZ$73,0))),"")</f>
        <v/>
      </c>
      <c r="J107" s="63"/>
      <c r="K107" s="13" t="str">
        <f>IFERROR(IF(INDEX(_calc!$BW$3:$BW$73,MATCH(ROW()-95,_calc!$BZ$3:$BZ$73,0))="","",INDEX(_calc!$BW$3:$BW$73,MATCH(ROW()-95,_calc!$BZ$3:$BZ$73,0))),"")</f>
        <v/>
      </c>
      <c r="L107" s="13" t="str">
        <f>IFERROR(IF(INDEX(_calc!$BX$3:$BX$73,MATCH(ROW()-95,_calc!$BZ$3:$BZ$73,0))="","",INDEX(_calc!$BX$3:$BX$73,MATCH(ROW()-95,_calc!$BZ$3:$BZ$73,0))),"")</f>
        <v/>
      </c>
      <c r="M107" s="18" t="str">
        <f>IFERROR(IF(INDEX(_calc!$BY$3:$BY$73,MATCH(ROW()-95,_calc!$BZ$3:$BZ$73,0))="","",INDEX(_calc!$BY$3:$BY$73,MATCH(ROW()-95,_calc!$BZ$3:$BZ$73,0))),"")</f>
        <v/>
      </c>
      <c r="N107" s="19" t="str">
        <f>IFERROR(IF(INDEX(_calc!$CB$3:$CB$73,MATCH(ROW()-95,_calc!$BZ$3:$BZ$73,0))="","",INDEX(_calc!$CB$3:$CB$73,MATCH(ROW()-95,_calc!$BZ$3:$BZ$73,0))),"")</f>
        <v/>
      </c>
    </row>
    <row r="108" spans="7:14" ht="19.95" customHeight="1" x14ac:dyDescent="0.4">
      <c r="G108" s="63" t="str">
        <f>IFERROR(IF(INDEX(_calc!$BU$3:$BU$73,MATCH(ROW()-95,_calc!$BZ$3:$BZ$73,0))="","",INDEX(_calc!$BU$3:$BU$73,MATCH(ROW()-95,_calc!$BZ$3:$BZ$73,0))),"")</f>
        <v/>
      </c>
      <c r="H108" s="64"/>
      <c r="I108" s="63" t="str">
        <f>IFERROR(IF(INDEX(_calc!$BV$3:$BV$73,MATCH(ROW()-95,_calc!$BZ$3:$BZ$73,0))="","",INDEX(_calc!$BV$3:$BV$73,MATCH(ROW()-95,_calc!$BZ$3:$BZ$73,0))),"")</f>
        <v/>
      </c>
      <c r="J108" s="63"/>
      <c r="K108" s="13" t="str">
        <f>IFERROR(IF(INDEX(_calc!$BW$3:$BW$73,MATCH(ROW()-95,_calc!$BZ$3:$BZ$73,0))="","",INDEX(_calc!$BW$3:$BW$73,MATCH(ROW()-95,_calc!$BZ$3:$BZ$73,0))),"")</f>
        <v/>
      </c>
      <c r="L108" s="13" t="str">
        <f>IFERROR(IF(INDEX(_calc!$BX$3:$BX$73,MATCH(ROW()-95,_calc!$BZ$3:$BZ$73,0))="","",INDEX(_calc!$BX$3:$BX$73,MATCH(ROW()-95,_calc!$BZ$3:$BZ$73,0))),"")</f>
        <v/>
      </c>
      <c r="M108" s="18" t="str">
        <f>IFERROR(IF(INDEX(_calc!$BY$3:$BY$73,MATCH(ROW()-95,_calc!$BZ$3:$BZ$73,0))="","",INDEX(_calc!$BY$3:$BY$73,MATCH(ROW()-95,_calc!$BZ$3:$BZ$73,0))),"")</f>
        <v/>
      </c>
      <c r="N108" s="19" t="str">
        <f>IFERROR(IF(INDEX(_calc!$CB$3:$CB$73,MATCH(ROW()-95,_calc!$BZ$3:$BZ$73,0))="","",INDEX(_calc!$CB$3:$CB$73,MATCH(ROW()-95,_calc!$BZ$3:$BZ$73,0))),"")</f>
        <v/>
      </c>
    </row>
    <row r="109" spans="7:14" ht="19.95" customHeight="1" x14ac:dyDescent="0.4">
      <c r="G109" s="63" t="str">
        <f>IFERROR(IF(INDEX(_calc!$BU$3:$BU$73,MATCH(ROW()-95,_calc!$BZ$3:$BZ$73,0))="","",INDEX(_calc!$BU$3:$BU$73,MATCH(ROW()-95,_calc!$BZ$3:$BZ$73,0))),"")</f>
        <v/>
      </c>
      <c r="H109" s="64"/>
      <c r="I109" s="63" t="str">
        <f>IFERROR(IF(INDEX(_calc!$BV$3:$BV$73,MATCH(ROW()-95,_calc!$BZ$3:$BZ$73,0))="","",INDEX(_calc!$BV$3:$BV$73,MATCH(ROW()-95,_calc!$BZ$3:$BZ$73,0))),"")</f>
        <v/>
      </c>
      <c r="J109" s="63"/>
      <c r="K109" s="13" t="str">
        <f>IFERROR(IF(INDEX(_calc!$BW$3:$BW$73,MATCH(ROW()-95,_calc!$BZ$3:$BZ$73,0))="","",INDEX(_calc!$BW$3:$BW$73,MATCH(ROW()-95,_calc!$BZ$3:$BZ$73,0))),"")</f>
        <v/>
      </c>
      <c r="L109" s="13" t="str">
        <f>IFERROR(IF(INDEX(_calc!$BX$3:$BX$73,MATCH(ROW()-95,_calc!$BZ$3:$BZ$73,0))="","",INDEX(_calc!$BX$3:$BX$73,MATCH(ROW()-95,_calc!$BZ$3:$BZ$73,0))),"")</f>
        <v/>
      </c>
      <c r="M109" s="18" t="str">
        <f>IFERROR(IF(INDEX(_calc!$BY$3:$BY$73,MATCH(ROW()-95,_calc!$BZ$3:$BZ$73,0))="","",INDEX(_calc!$BY$3:$BY$73,MATCH(ROW()-95,_calc!$BZ$3:$BZ$73,0))),"")</f>
        <v/>
      </c>
      <c r="N109" s="19" t="str">
        <f>IFERROR(IF(INDEX(_calc!$CB$3:$CB$73,MATCH(ROW()-95,_calc!$BZ$3:$BZ$73,0))="","",INDEX(_calc!$CB$3:$CB$73,MATCH(ROW()-95,_calc!$BZ$3:$BZ$73,0))),"")</f>
        <v/>
      </c>
    </row>
    <row r="110" spans="7:14" ht="19.95" customHeight="1" x14ac:dyDescent="0.4">
      <c r="G110" s="63" t="str">
        <f>IFERROR(IF(INDEX(_calc!$BU$3:$BU$73,MATCH(ROW()-95,_calc!$BZ$3:$BZ$73,0))="","",INDEX(_calc!$BU$3:$BU$73,MATCH(ROW()-95,_calc!$BZ$3:$BZ$73,0))),"")</f>
        <v/>
      </c>
      <c r="H110" s="64"/>
      <c r="I110" s="63" t="str">
        <f>IFERROR(IF(INDEX(_calc!$BV$3:$BV$73,MATCH(ROW()-95,_calc!$BZ$3:$BZ$73,0))="","",INDEX(_calc!$BV$3:$BV$73,MATCH(ROW()-95,_calc!$BZ$3:$BZ$73,0))),"")</f>
        <v/>
      </c>
      <c r="J110" s="63"/>
      <c r="K110" s="13" t="str">
        <f>IFERROR(IF(INDEX(_calc!$BW$3:$BW$73,MATCH(ROW()-95,_calc!$BZ$3:$BZ$73,0))="","",INDEX(_calc!$BW$3:$BW$73,MATCH(ROW()-95,_calc!$BZ$3:$BZ$73,0))),"")</f>
        <v/>
      </c>
      <c r="L110" s="13" t="str">
        <f>IFERROR(IF(INDEX(_calc!$BX$3:$BX$73,MATCH(ROW()-95,_calc!$BZ$3:$BZ$73,0))="","",INDEX(_calc!$BX$3:$BX$73,MATCH(ROW()-95,_calc!$BZ$3:$BZ$73,0))),"")</f>
        <v/>
      </c>
      <c r="M110" s="18" t="str">
        <f>IFERROR(IF(INDEX(_calc!$BY$3:$BY$73,MATCH(ROW()-95,_calc!$BZ$3:$BZ$73,0))="","",INDEX(_calc!$BY$3:$BY$73,MATCH(ROW()-95,_calc!$BZ$3:$BZ$73,0))),"")</f>
        <v/>
      </c>
      <c r="N110" s="19" t="str">
        <f>IFERROR(IF(INDEX(_calc!$CB$3:$CB$73,MATCH(ROW()-95,_calc!$BZ$3:$BZ$73,0))="","",INDEX(_calc!$CB$3:$CB$73,MATCH(ROW()-95,_calc!$BZ$3:$BZ$73,0))),"")</f>
        <v/>
      </c>
    </row>
    <row r="111" spans="7:14" ht="19.95" customHeight="1" x14ac:dyDescent="0.4"/>
  </sheetData>
  <mergeCells count="144">
    <mergeCell ref="K88:L88"/>
    <mergeCell ref="B14:B15"/>
    <mergeCell ref="F18:F19"/>
    <mergeCell ref="B76:C76"/>
    <mergeCell ref="B85:C85"/>
    <mergeCell ref="L5:L6"/>
    <mergeCell ref="B77:C77"/>
    <mergeCell ref="N5:N6"/>
    <mergeCell ref="I106:J106"/>
    <mergeCell ref="B86:C86"/>
    <mergeCell ref="H66:J66"/>
    <mergeCell ref="K81:L81"/>
    <mergeCell ref="K76:L76"/>
    <mergeCell ref="D16:D17"/>
    <mergeCell ref="B6:B7"/>
    <mergeCell ref="B69:C69"/>
    <mergeCell ref="B78:C78"/>
    <mergeCell ref="D18:D19"/>
    <mergeCell ref="K69:L69"/>
    <mergeCell ref="K78:L78"/>
    <mergeCell ref="E4:E5"/>
    <mergeCell ref="K80:L80"/>
    <mergeCell ref="K79:L79"/>
    <mergeCell ref="I98:J98"/>
    <mergeCell ref="B84:C84"/>
    <mergeCell ref="B4:B5"/>
    <mergeCell ref="J5:J6"/>
    <mergeCell ref="K73:L73"/>
    <mergeCell ref="E18:E19"/>
    <mergeCell ref="G108:H108"/>
    <mergeCell ref="D8:D9"/>
    <mergeCell ref="A20:A21"/>
    <mergeCell ref="G110:H110"/>
    <mergeCell ref="I110:J110"/>
    <mergeCell ref="A89:G89"/>
    <mergeCell ref="D10:D11"/>
    <mergeCell ref="C67:D67"/>
    <mergeCell ref="G100:H100"/>
    <mergeCell ref="E12:E13"/>
    <mergeCell ref="F16:F17"/>
    <mergeCell ref="G102:H102"/>
    <mergeCell ref="E14:E15"/>
    <mergeCell ref="C92:D92"/>
    <mergeCell ref="I108:J108"/>
    <mergeCell ref="F20:F21"/>
    <mergeCell ref="F46:N46"/>
    <mergeCell ref="K72:L72"/>
    <mergeCell ref="A46:B46"/>
    <mergeCell ref="D12:D13"/>
    <mergeCell ref="I96:J96"/>
    <mergeCell ref="A26:B26"/>
    <mergeCell ref="A8:A9"/>
    <mergeCell ref="G104:H104"/>
    <mergeCell ref="I107:J107"/>
    <mergeCell ref="A10:A11"/>
    <mergeCell ref="K82:L82"/>
    <mergeCell ref="F4:F5"/>
    <mergeCell ref="B80:C80"/>
    <mergeCell ref="G94:N94"/>
    <mergeCell ref="G99:H99"/>
    <mergeCell ref="B16:B17"/>
    <mergeCell ref="I99:J99"/>
    <mergeCell ref="B79:C79"/>
    <mergeCell ref="F10:F11"/>
    <mergeCell ref="K5:K6"/>
    <mergeCell ref="G101:H101"/>
    <mergeCell ref="G103:H103"/>
    <mergeCell ref="I103:J103"/>
    <mergeCell ref="I97:J97"/>
    <mergeCell ref="G95:H95"/>
    <mergeCell ref="E16:E17"/>
    <mergeCell ref="D20:D21"/>
    <mergeCell ref="D14:D15"/>
    <mergeCell ref="B83:C83"/>
    <mergeCell ref="H89:N89"/>
    <mergeCell ref="F14:F15"/>
    <mergeCell ref="H5:H6"/>
    <mergeCell ref="K3:L3"/>
    <mergeCell ref="M5:M6"/>
    <mergeCell ref="K74:L74"/>
    <mergeCell ref="A92:B92"/>
    <mergeCell ref="K68:L68"/>
    <mergeCell ref="K83:L83"/>
    <mergeCell ref="B72:C72"/>
    <mergeCell ref="B18:B19"/>
    <mergeCell ref="B81:C81"/>
    <mergeCell ref="E20:E21"/>
    <mergeCell ref="B8:B9"/>
    <mergeCell ref="A6:A7"/>
    <mergeCell ref="B71:C71"/>
    <mergeCell ref="A12:A13"/>
    <mergeCell ref="F8:F9"/>
    <mergeCell ref="B88:C88"/>
    <mergeCell ref="B82:C82"/>
    <mergeCell ref="A14:A15"/>
    <mergeCell ref="F92:N92"/>
    <mergeCell ref="H4:N4"/>
    <mergeCell ref="C46:D46"/>
    <mergeCell ref="A4:A5"/>
    <mergeCell ref="K71:L71"/>
    <mergeCell ref="B20:B21"/>
    <mergeCell ref="I102:J102"/>
    <mergeCell ref="I5:I6"/>
    <mergeCell ref="G106:H106"/>
    <mergeCell ref="A67:B67"/>
    <mergeCell ref="D6:D7"/>
    <mergeCell ref="F6:F7"/>
    <mergeCell ref="G96:H96"/>
    <mergeCell ref="B75:C75"/>
    <mergeCell ref="G105:H105"/>
    <mergeCell ref="I105:J105"/>
    <mergeCell ref="F12:F13"/>
    <mergeCell ref="G98:H98"/>
    <mergeCell ref="E8:E9"/>
    <mergeCell ref="B12:B13"/>
    <mergeCell ref="I95:J95"/>
    <mergeCell ref="I104:J104"/>
    <mergeCell ref="A16:A17"/>
    <mergeCell ref="E10:E11"/>
    <mergeCell ref="G97:H97"/>
    <mergeCell ref="G109:H109"/>
    <mergeCell ref="I109:J109"/>
    <mergeCell ref="K87:L87"/>
    <mergeCell ref="I3:J3"/>
    <mergeCell ref="B73:C73"/>
    <mergeCell ref="B87:C87"/>
    <mergeCell ref="K77:L77"/>
    <mergeCell ref="K86:L86"/>
    <mergeCell ref="I67:J67"/>
    <mergeCell ref="K70:L70"/>
    <mergeCell ref="B74:C74"/>
    <mergeCell ref="B68:C68"/>
    <mergeCell ref="G107:H107"/>
    <mergeCell ref="I101:J101"/>
    <mergeCell ref="B70:C70"/>
    <mergeCell ref="I100:J100"/>
    <mergeCell ref="K85:L85"/>
    <mergeCell ref="D4:D5"/>
    <mergeCell ref="A66:B66"/>
    <mergeCell ref="E6:E7"/>
    <mergeCell ref="K75:L75"/>
    <mergeCell ref="B10:B11"/>
    <mergeCell ref="K84:L84"/>
    <mergeCell ref="A18:A19"/>
  </mergeCells>
  <phoneticPr fontId="17" type="noConversion"/>
  <conditionalFormatting sqref="H7:N24">
    <cfRule type="expression" dxfId="16" priority="1">
      <formula>($AZ$5+INT((ROW()-7)/3)*7+COLUMN()-8)=TODAY()</formula>
    </cfRule>
    <cfRule type="expression" dxfId="15" priority="2">
      <formula>LEFT(H7,2)="询价"</formula>
    </cfRule>
    <cfRule type="expression" dxfId="14" priority="3">
      <formula>LEFT(H7,2)="发售"</formula>
    </cfRule>
    <cfRule type="expression" dxfId="13" priority="4">
      <formula>LEFT(H7,2)="上市"</formula>
    </cfRule>
    <cfRule type="expression" dxfId="12" priority="5">
      <formula>COUNTIF($AY$1:$AY$60,MID(H7,4,4))&gt;0</formula>
    </cfRule>
  </conditionalFormatting>
  <dataValidations count="6">
    <dataValidation type="list" allowBlank="1" errorTitle="月份" error="请选择当前或未来月份" sqref="I3:J3" xr:uid="{00000000-0002-0000-0000-000000000000}">
      <formula1>月份列表</formula1>
    </dataValidation>
    <dataValidation type="list" sqref="C46:D46" xr:uid="{00000000-0002-0000-0000-000001000000}">
      <formula1>"近20个交易日,近60个交易日,近120个交易日,近252个交易日,全部交易日"</formula1>
    </dataValidation>
    <dataValidation type="list" sqref="A67:B67" xr:uid="{00000000-0002-0000-0000-000002000000}">
      <formula1>"全部时间,近一年"</formula1>
    </dataValidation>
    <dataValidation type="list" sqref="E67" xr:uid="{00000000-0002-0000-0000-000003000000}">
      <formula1>"战配,网下"</formula1>
    </dataValidation>
    <dataValidation type="list" sqref="H67" xr:uid="{00000000-0002-0000-0000-000004000000}">
      <formula1>PeriodList</formula1>
    </dataValidation>
    <dataValidation type="list" allowBlank="1" sqref="C92" xr:uid="{00000000-0002-0000-0000-000005000000}">
      <formula1>ProvList</formula1>
    </dataValidation>
  </dataValidations>
  <hyperlinks>
    <hyperlink ref="B4" location="'产品信息'!A1" tooltip="打开「产品信息」" display="产品信息" xr:uid="{00000000-0004-0000-0000-000000000000}"/>
    <hyperlink ref="B6" location="'项目基本信息'!A1" tooltip="打开「项目基本信息」" display="项目基本信息" xr:uid="{00000000-0004-0000-0000-000001000000}"/>
    <hyperlink ref="D6" location="'产品信息'!A1" tooltip="点击跳转到产品信息表" display="已上市" xr:uid="{00000000-0004-0000-0000-000002000000}"/>
    <hyperlink ref="B8" location="'估值信息'!A1" tooltip="打开「估值信息」" display="估值信息" xr:uid="{00000000-0004-0000-0000-000003000000}"/>
    <hyperlink ref="D8" location="'产品信息'!A1" tooltip="点击跳转到产品信息表" display="已成立" xr:uid="{00000000-0004-0000-0000-000004000000}"/>
    <hyperlink ref="B10" location="'发售及分派'!A1" tooltip="打开「发售及分派」" display="发售及分派" xr:uid="{00000000-0004-0000-0000-000005000000}"/>
    <hyperlink ref="D10" location="'产品信息'!A1" tooltip="点击跳转到产品信息表" display="已询价" xr:uid="{00000000-0004-0000-0000-000006000000}"/>
    <hyperlink ref="B12" location="'分派率预测'!A1" tooltip="打开「分派率预测」" display="分派率预测" xr:uid="{00000000-0004-0000-0000-000007000000}"/>
    <hyperlink ref="D12" location="'产品信息'!A1" tooltip="点击跳转到产品信息表" display="已通过" xr:uid="{00000000-0004-0000-0000-000008000000}"/>
    <hyperlink ref="B14" location="'二级分派率'!A1" tooltip="打开「二级分派率」" display="二级分派率" xr:uid="{00000000-0004-0000-0000-000009000000}"/>
    <hyperlink ref="D14" location="'产品信息'!A1" tooltip="点击跳转到产品信息表" display="已受理" xr:uid="{00000000-0004-0000-0000-00000A000000}"/>
    <hyperlink ref="B16" location="'发售持有人'!A1" tooltip="打开「发售持有人」" display="发售持有人" xr:uid="{00000000-0004-0000-0000-00000B000000}"/>
    <hyperlink ref="D16" location="'产品信息'!A1" tooltip="点击跳转到产品信息表" display="已申报" xr:uid="{00000000-0004-0000-0000-00000C000000}"/>
    <hyperlink ref="B18" location="'前十大持有人'!A1" tooltip="打开「前十大持有人」" display="前十大持有人" xr:uid="{00000000-0004-0000-0000-00000D000000}"/>
    <hyperlink ref="D18" location="'产品信息'!A1" tooltip="点击跳转到产品信息表" display="已终止" xr:uid="{00000000-0004-0000-0000-00000E000000}"/>
    <hyperlink ref="B20" location="'经营数据'!A1" tooltip="打开「经营数据」" display="经营数据" xr:uid="{00000000-0004-0000-0000-00000F000000}"/>
    <hyperlink ref="D20" location="'产品信息'!A1" tooltip="点击跳转到产品信息表" display="合计" xr:uid="{00000000-0004-0000-0000-000010000000}"/>
  </hyperlink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O50"/>
  <sheetViews>
    <sheetView workbookViewId="0">
      <pane xSplit="4" ySplit="2" topLeftCell="E33" activePane="bottomRight" state="frozen"/>
      <selection pane="topRight"/>
      <selection pane="bottomLeft"/>
      <selection pane="bottomRight" activeCell="E31" sqref="E31:K50"/>
    </sheetView>
  </sheetViews>
  <sheetFormatPr defaultRowHeight="14.35" x14ac:dyDescent="0.4"/>
  <cols>
    <col min="1" max="1" width="5" hidden="1" customWidth="1"/>
    <col min="2" max="2" width="8" customWidth="1"/>
    <col min="3" max="3" width="26" customWidth="1"/>
    <col min="4" max="4" width="8" customWidth="1"/>
    <col min="5" max="5" width="50" customWidth="1"/>
    <col min="6" max="6" width="6" customWidth="1"/>
    <col min="7" max="7" width="8" customWidth="1"/>
    <col min="8" max="9" width="14" customWidth="1"/>
    <col min="10" max="10" width="6" customWidth="1"/>
    <col min="11" max="12" width="8" customWidth="1"/>
    <col min="13" max="13" width="9" customWidth="1"/>
    <col min="14" max="14" width="7" customWidth="1"/>
    <col min="15" max="16" width="8" customWidth="1"/>
    <col min="17" max="18" width="7" customWidth="1"/>
    <col min="19" max="20" width="9" customWidth="1"/>
    <col min="21" max="21" width="8" customWidth="1"/>
    <col min="22" max="22" width="9" customWidth="1"/>
    <col min="23" max="23" width="11" customWidth="1"/>
    <col min="24" max="24" width="15" customWidth="1"/>
    <col min="25" max="25" width="9" customWidth="1"/>
    <col min="26" max="26" width="14" customWidth="1"/>
    <col min="27" max="27" width="9" customWidth="1"/>
    <col min="28" max="29" width="8" customWidth="1"/>
    <col min="30" max="31" width="12" customWidth="1"/>
    <col min="32" max="34" width="9" customWidth="1"/>
    <col min="35" max="35" width="11" customWidth="1"/>
    <col min="36" max="41" width="12" customWidth="1"/>
  </cols>
  <sheetData>
    <row r="1" spans="1:41" ht="15.35" x14ac:dyDescent="0.55000000000000004">
      <c r="B1" s="61" t="s">
        <v>87</v>
      </c>
      <c r="C1" s="62"/>
    </row>
    <row r="2" spans="1:41" ht="45" customHeight="1" x14ac:dyDescent="0.4">
      <c r="A2" s="6" t="s">
        <v>88</v>
      </c>
      <c r="B2" s="6" t="s">
        <v>89</v>
      </c>
      <c r="C2" s="6" t="s">
        <v>90</v>
      </c>
      <c r="D2" s="6" t="s">
        <v>10</v>
      </c>
      <c r="E2" s="6" t="s">
        <v>91</v>
      </c>
      <c r="F2" s="6" t="s">
        <v>92</v>
      </c>
      <c r="G2" s="6" t="s">
        <v>93</v>
      </c>
      <c r="H2" s="6" t="s">
        <v>94</v>
      </c>
      <c r="I2" s="6" t="s">
        <v>95</v>
      </c>
      <c r="J2" s="6" t="s">
        <v>96</v>
      </c>
      <c r="K2" s="6" t="s">
        <v>97</v>
      </c>
      <c r="L2" s="6" t="s">
        <v>98</v>
      </c>
      <c r="M2" s="6" t="s">
        <v>99</v>
      </c>
      <c r="N2" s="6" t="s">
        <v>100</v>
      </c>
      <c r="O2" s="6" t="s">
        <v>101</v>
      </c>
      <c r="P2" s="6" t="s">
        <v>102</v>
      </c>
      <c r="Q2" s="6" t="s">
        <v>103</v>
      </c>
      <c r="R2" s="6" t="s">
        <v>104</v>
      </c>
      <c r="S2" s="6" t="s">
        <v>105</v>
      </c>
      <c r="T2" s="6" t="s">
        <v>106</v>
      </c>
      <c r="U2" s="6" t="s">
        <v>107</v>
      </c>
      <c r="V2" s="6" t="s">
        <v>108</v>
      </c>
      <c r="W2" s="6" t="s">
        <v>109</v>
      </c>
      <c r="X2" s="6" t="s">
        <v>110</v>
      </c>
      <c r="Y2" s="6" t="s">
        <v>111</v>
      </c>
      <c r="Z2" s="6" t="s">
        <v>112</v>
      </c>
      <c r="AA2" s="6" t="s">
        <v>113</v>
      </c>
      <c r="AB2" s="6" t="s">
        <v>114</v>
      </c>
      <c r="AC2" s="6" t="s">
        <v>115</v>
      </c>
      <c r="AD2" s="6" t="s">
        <v>116</v>
      </c>
      <c r="AE2" s="6" t="s">
        <v>117</v>
      </c>
      <c r="AF2" s="6" t="s">
        <v>118</v>
      </c>
      <c r="AG2" s="6" t="s">
        <v>119</v>
      </c>
      <c r="AH2" s="6" t="s">
        <v>120</v>
      </c>
      <c r="AI2" s="6" t="s">
        <v>121</v>
      </c>
      <c r="AJ2" s="6" t="s">
        <v>122</v>
      </c>
      <c r="AK2" s="6" t="s">
        <v>123</v>
      </c>
      <c r="AL2" s="6" t="s">
        <v>124</v>
      </c>
      <c r="AM2" s="6" t="s">
        <v>125</v>
      </c>
      <c r="AN2" s="6" t="s">
        <v>126</v>
      </c>
      <c r="AO2" s="6" t="s">
        <v>127</v>
      </c>
    </row>
    <row r="3" spans="1:41" ht="15.35" x14ac:dyDescent="0.55000000000000004">
      <c r="A3" s="20">
        <v>474</v>
      </c>
      <c r="B3" s="2" t="s">
        <v>128</v>
      </c>
      <c r="C3" s="2" t="s">
        <v>129</v>
      </c>
      <c r="D3" s="2" t="s">
        <v>23</v>
      </c>
      <c r="E3" s="2" t="s">
        <v>130</v>
      </c>
      <c r="F3" s="20">
        <v>0</v>
      </c>
      <c r="G3" s="2" t="s">
        <v>131</v>
      </c>
      <c r="H3" s="2" t="s">
        <v>132</v>
      </c>
      <c r="I3" s="2" t="s">
        <v>133</v>
      </c>
      <c r="J3" s="2" t="s">
        <v>134</v>
      </c>
      <c r="K3" s="21">
        <v>10</v>
      </c>
      <c r="L3" s="22">
        <v>2.3319999999999999</v>
      </c>
      <c r="M3" s="22">
        <v>23.32</v>
      </c>
      <c r="N3" s="22">
        <v>2.3319999999999999</v>
      </c>
      <c r="O3" s="22">
        <v>23.32</v>
      </c>
      <c r="P3" s="23">
        <v>0</v>
      </c>
      <c r="Q3" s="22">
        <v>2.3319999999999999</v>
      </c>
      <c r="R3" s="22">
        <v>2.4489999999999998</v>
      </c>
      <c r="S3" s="23">
        <v>0</v>
      </c>
      <c r="T3" s="23">
        <v>5.0172000000000001E-2</v>
      </c>
      <c r="U3" s="22">
        <v>2.3319999999999999</v>
      </c>
      <c r="V3" s="22">
        <v>2.3388</v>
      </c>
      <c r="W3" s="24">
        <v>17</v>
      </c>
      <c r="X3" s="24">
        <v>25</v>
      </c>
      <c r="Y3" s="24">
        <v>17</v>
      </c>
      <c r="Z3" s="24">
        <v>25</v>
      </c>
      <c r="AA3" s="23">
        <v>1</v>
      </c>
      <c r="AB3" s="21">
        <v>1.476</v>
      </c>
      <c r="AC3" s="21">
        <v>1.0831999999999999</v>
      </c>
      <c r="AD3" s="25">
        <v>45475</v>
      </c>
      <c r="AE3" s="25">
        <v>45481</v>
      </c>
      <c r="AF3" s="23">
        <v>0.73280000000000001</v>
      </c>
      <c r="AG3" s="23">
        <v>0.18709999999999999</v>
      </c>
      <c r="AH3" s="23">
        <v>8.0199999999999994E-2</v>
      </c>
      <c r="AI3" s="23">
        <v>0.33860000000000001</v>
      </c>
      <c r="AJ3" s="25">
        <v>45289</v>
      </c>
      <c r="AK3" s="25">
        <v>45436</v>
      </c>
      <c r="AL3" s="25">
        <v>45468</v>
      </c>
      <c r="AM3" s="25">
        <v>45470</v>
      </c>
      <c r="AN3" s="25">
        <v>45484</v>
      </c>
      <c r="AO3" s="25">
        <v>45520</v>
      </c>
    </row>
    <row r="4" spans="1:41" ht="15.35" x14ac:dyDescent="0.55000000000000004">
      <c r="A4" s="20">
        <v>476</v>
      </c>
      <c r="B4" s="2" t="s">
        <v>135</v>
      </c>
      <c r="C4" s="2" t="s">
        <v>136</v>
      </c>
      <c r="D4" s="2" t="s">
        <v>23</v>
      </c>
      <c r="E4" s="2" t="s">
        <v>137</v>
      </c>
      <c r="F4" s="20">
        <v>0</v>
      </c>
      <c r="G4" s="2" t="s">
        <v>131</v>
      </c>
      <c r="H4" s="2" t="s">
        <v>132</v>
      </c>
      <c r="I4" s="2" t="s">
        <v>138</v>
      </c>
      <c r="J4" s="2" t="s">
        <v>139</v>
      </c>
      <c r="K4" s="21">
        <v>8</v>
      </c>
      <c r="L4" s="22">
        <v>2.4678</v>
      </c>
      <c r="M4" s="22">
        <v>19.742000000000001</v>
      </c>
      <c r="N4" s="22">
        <v>2.468</v>
      </c>
      <c r="O4" s="22">
        <v>19.739999999999998</v>
      </c>
      <c r="P4" s="23">
        <v>8.1000000000000004E-5</v>
      </c>
      <c r="Q4" s="22">
        <v>2.464</v>
      </c>
      <c r="R4" s="22">
        <v>2.5910000000000002</v>
      </c>
      <c r="S4" s="23">
        <v>-1.5399999999999999E-3</v>
      </c>
      <c r="T4" s="23">
        <v>4.9923000000000002E-2</v>
      </c>
      <c r="U4" s="22">
        <v>2.52</v>
      </c>
      <c r="V4" s="22">
        <v>2.5345</v>
      </c>
      <c r="W4" s="24">
        <v>33</v>
      </c>
      <c r="X4" s="24">
        <v>51</v>
      </c>
      <c r="Y4" s="24">
        <v>31</v>
      </c>
      <c r="Z4" s="24">
        <v>49</v>
      </c>
      <c r="AA4" s="23">
        <v>1</v>
      </c>
      <c r="AB4" s="21">
        <v>6.2286000000000001</v>
      </c>
      <c r="AC4" s="21">
        <v>23.268799999999999</v>
      </c>
      <c r="AD4" s="25">
        <v>45510</v>
      </c>
      <c r="AE4" s="25">
        <v>45513</v>
      </c>
      <c r="AF4" s="23">
        <v>0.75</v>
      </c>
      <c r="AG4" s="23">
        <v>0.17499999999999999</v>
      </c>
      <c r="AH4" s="23">
        <v>7.4999999999999997E-2</v>
      </c>
      <c r="AI4" s="23">
        <v>0.34</v>
      </c>
      <c r="AJ4" s="25">
        <v>45289</v>
      </c>
      <c r="AK4" s="25">
        <v>45471</v>
      </c>
      <c r="AL4" s="25">
        <v>45506</v>
      </c>
      <c r="AM4" s="25">
        <v>45507</v>
      </c>
      <c r="AN4" s="25">
        <v>45518</v>
      </c>
      <c r="AO4" s="25">
        <v>45532</v>
      </c>
    </row>
    <row r="5" spans="1:41" ht="15.35" x14ac:dyDescent="0.55000000000000004">
      <c r="A5" s="20">
        <v>482</v>
      </c>
      <c r="B5" s="2" t="s">
        <v>140</v>
      </c>
      <c r="C5" s="2" t="s">
        <v>141</v>
      </c>
      <c r="D5" s="2" t="s">
        <v>23</v>
      </c>
      <c r="E5" s="2" t="s">
        <v>142</v>
      </c>
      <c r="F5" s="20">
        <v>0</v>
      </c>
      <c r="G5" s="2" t="s">
        <v>131</v>
      </c>
      <c r="H5" s="2" t="s">
        <v>132</v>
      </c>
      <c r="I5" s="2" t="s">
        <v>143</v>
      </c>
      <c r="J5" s="2" t="s">
        <v>134</v>
      </c>
      <c r="K5" s="21">
        <v>4</v>
      </c>
      <c r="L5" s="22">
        <v>2.5074999999999998</v>
      </c>
      <c r="M5" s="22">
        <v>10.029999999999999</v>
      </c>
      <c r="N5" s="22">
        <v>2.383</v>
      </c>
      <c r="O5" s="22">
        <v>9.5299999999999994</v>
      </c>
      <c r="P5" s="23">
        <v>-4.9651000000000001E-2</v>
      </c>
      <c r="Q5" s="22">
        <v>2.383</v>
      </c>
      <c r="R5" s="22">
        <v>2.633</v>
      </c>
      <c r="S5" s="23">
        <v>-4.9651000000000001E-2</v>
      </c>
      <c r="T5" s="23">
        <v>5.0049999999999997E-2</v>
      </c>
      <c r="U5" s="22">
        <v>2.5099999999999998</v>
      </c>
      <c r="V5" s="22">
        <v>2.4723999999999999</v>
      </c>
      <c r="W5" s="24">
        <v>7</v>
      </c>
      <c r="X5" s="24">
        <v>14</v>
      </c>
      <c r="Y5" s="24">
        <v>7</v>
      </c>
      <c r="Z5" s="24">
        <v>14</v>
      </c>
      <c r="AA5" s="23">
        <v>1</v>
      </c>
      <c r="AB5" s="21">
        <v>1.3167</v>
      </c>
      <c r="AC5" s="21">
        <v>1.3959999999999999</v>
      </c>
      <c r="AD5" s="25">
        <v>45315</v>
      </c>
      <c r="AE5" s="25">
        <v>45316</v>
      </c>
      <c r="AF5" s="23">
        <v>0.7</v>
      </c>
      <c r="AG5" s="23">
        <v>0.21</v>
      </c>
      <c r="AH5" s="23">
        <v>0.09</v>
      </c>
      <c r="AI5" s="23">
        <v>0.51</v>
      </c>
      <c r="AJ5" s="25">
        <v>45225</v>
      </c>
      <c r="AK5" s="25">
        <v>45275</v>
      </c>
      <c r="AL5" s="25">
        <v>45288</v>
      </c>
      <c r="AM5" s="25">
        <v>45290</v>
      </c>
      <c r="AN5" s="25">
        <v>45322</v>
      </c>
      <c r="AO5" s="25">
        <v>45363</v>
      </c>
    </row>
    <row r="6" spans="1:41" ht="15.35" x14ac:dyDescent="0.55000000000000004">
      <c r="A6" s="20">
        <v>485</v>
      </c>
      <c r="B6" s="2" t="s">
        <v>144</v>
      </c>
      <c r="C6" s="2" t="s">
        <v>145</v>
      </c>
      <c r="D6" s="2" t="s">
        <v>23</v>
      </c>
      <c r="E6" s="2" t="s">
        <v>146</v>
      </c>
      <c r="F6" s="20">
        <v>0</v>
      </c>
      <c r="G6" s="2" t="s">
        <v>131</v>
      </c>
      <c r="H6" s="2" t="s">
        <v>132</v>
      </c>
      <c r="I6" s="2" t="s">
        <v>133</v>
      </c>
      <c r="J6" s="2" t="s">
        <v>147</v>
      </c>
      <c r="K6" s="21">
        <v>4</v>
      </c>
      <c r="L6" s="22">
        <v>2.7206000000000001</v>
      </c>
      <c r="M6" s="22">
        <v>10.882199999999999</v>
      </c>
      <c r="N6" s="22">
        <v>2.67</v>
      </c>
      <c r="O6" s="22">
        <v>10.68</v>
      </c>
      <c r="P6" s="23">
        <v>-1.8599000000000001E-2</v>
      </c>
      <c r="Q6" s="22">
        <v>2.6659999999999999</v>
      </c>
      <c r="R6" s="22">
        <v>2.8839999999999999</v>
      </c>
      <c r="S6" s="23">
        <v>-2.0069E-2</v>
      </c>
      <c r="T6" s="23">
        <v>6.0060000000000002E-2</v>
      </c>
      <c r="U6" s="22">
        <v>2.7210000000000001</v>
      </c>
      <c r="V6" s="22">
        <v>2.7368000000000001</v>
      </c>
      <c r="W6" s="24">
        <v>13</v>
      </c>
      <c r="X6" s="24">
        <v>23</v>
      </c>
      <c r="Y6" s="24">
        <v>12</v>
      </c>
      <c r="Z6" s="24">
        <v>22</v>
      </c>
      <c r="AA6" s="23">
        <v>1</v>
      </c>
      <c r="AB6" s="21">
        <v>2.0392000000000001</v>
      </c>
      <c r="AC6" s="21">
        <v>1.0591999999999999</v>
      </c>
      <c r="AD6" s="25">
        <v>45313</v>
      </c>
      <c r="AE6" s="25">
        <v>45317</v>
      </c>
      <c r="AF6" s="23">
        <v>0.75480000000000003</v>
      </c>
      <c r="AG6" s="23">
        <v>0.1716</v>
      </c>
      <c r="AH6" s="23">
        <v>7.3599999999999999E-2</v>
      </c>
      <c r="AI6" s="23">
        <v>0.628</v>
      </c>
      <c r="AJ6" s="25">
        <v>45225</v>
      </c>
      <c r="AK6" s="25">
        <v>45256</v>
      </c>
      <c r="AL6" s="25">
        <v>45285</v>
      </c>
      <c r="AM6" s="25">
        <v>45290</v>
      </c>
      <c r="AN6" s="25">
        <v>45322</v>
      </c>
      <c r="AO6" s="25">
        <v>45363</v>
      </c>
    </row>
    <row r="7" spans="1:41" ht="15.35" x14ac:dyDescent="0.55000000000000004">
      <c r="A7" s="20">
        <v>512</v>
      </c>
      <c r="B7" s="2" t="s">
        <v>148</v>
      </c>
      <c r="C7" s="2" t="s">
        <v>149</v>
      </c>
      <c r="D7" s="2" t="s">
        <v>23</v>
      </c>
      <c r="E7" s="2" t="s">
        <v>150</v>
      </c>
      <c r="F7" s="20">
        <v>0</v>
      </c>
      <c r="G7" s="2" t="s">
        <v>151</v>
      </c>
      <c r="H7" s="2" t="s">
        <v>132</v>
      </c>
      <c r="I7" s="2" t="s">
        <v>133</v>
      </c>
      <c r="J7" s="2" t="s">
        <v>152</v>
      </c>
      <c r="K7" s="21">
        <v>10</v>
      </c>
      <c r="L7" s="22">
        <v>6.9226999999999999</v>
      </c>
      <c r="M7" s="22">
        <v>69.227000000000004</v>
      </c>
      <c r="N7" s="22">
        <v>6.9020000000000001</v>
      </c>
      <c r="O7" s="22">
        <v>69.02</v>
      </c>
      <c r="P7" s="23">
        <v>-2.99E-3</v>
      </c>
      <c r="Q7" s="22">
        <v>6.7839999999999998</v>
      </c>
      <c r="R7" s="22">
        <v>7.2690000000000001</v>
      </c>
      <c r="S7" s="23">
        <v>-2.0036000000000002E-2</v>
      </c>
      <c r="T7" s="23">
        <v>5.0023999999999999E-2</v>
      </c>
      <c r="U7" s="22">
        <v>6.923</v>
      </c>
      <c r="V7" s="22">
        <v>6.9827000000000004</v>
      </c>
      <c r="W7" s="24">
        <v>11</v>
      </c>
      <c r="X7" s="24">
        <v>17</v>
      </c>
      <c r="Y7" s="24">
        <v>11</v>
      </c>
      <c r="Z7" s="24">
        <v>17</v>
      </c>
      <c r="AA7" s="23">
        <v>1</v>
      </c>
      <c r="AB7" s="21">
        <v>1.0889</v>
      </c>
      <c r="AC7" s="21">
        <v>1.5667</v>
      </c>
      <c r="AD7" s="25">
        <v>45321</v>
      </c>
      <c r="AE7" s="25">
        <v>45324</v>
      </c>
      <c r="AF7" s="23">
        <v>0.8</v>
      </c>
      <c r="AG7" s="23">
        <v>0.14000000000000001</v>
      </c>
      <c r="AH7" s="23">
        <v>0.06</v>
      </c>
      <c r="AI7" s="23">
        <v>0.36499999999999999</v>
      </c>
      <c r="AJ7" s="25">
        <v>45225</v>
      </c>
      <c r="AK7" s="25">
        <v>45257</v>
      </c>
      <c r="AL7" s="25">
        <v>45315</v>
      </c>
      <c r="AM7" s="25">
        <v>45317</v>
      </c>
      <c r="AN7" s="25">
        <v>45329</v>
      </c>
      <c r="AO7" s="25">
        <v>45365</v>
      </c>
    </row>
    <row r="8" spans="1:41" ht="15.35" x14ac:dyDescent="0.55000000000000004">
      <c r="A8" s="20">
        <v>513</v>
      </c>
      <c r="B8" s="2" t="s">
        <v>153</v>
      </c>
      <c r="C8" s="2" t="s">
        <v>154</v>
      </c>
      <c r="D8" s="2" t="s">
        <v>23</v>
      </c>
      <c r="E8" s="2" t="s">
        <v>155</v>
      </c>
      <c r="F8" s="20">
        <v>0</v>
      </c>
      <c r="G8" s="2" t="s">
        <v>151</v>
      </c>
      <c r="H8" s="2" t="s">
        <v>132</v>
      </c>
      <c r="I8" s="2" t="s">
        <v>133</v>
      </c>
      <c r="J8" s="2" t="s">
        <v>156</v>
      </c>
      <c r="K8" s="21">
        <v>10</v>
      </c>
      <c r="L8" s="22">
        <v>3.3610000000000002</v>
      </c>
      <c r="M8" s="22">
        <v>33.61</v>
      </c>
      <c r="N8" s="22">
        <v>3.26</v>
      </c>
      <c r="O8" s="22">
        <v>32.6</v>
      </c>
      <c r="P8" s="23">
        <v>-3.0051000000000001E-2</v>
      </c>
      <c r="Q8" s="22">
        <v>3.26</v>
      </c>
      <c r="R8" s="22">
        <v>3.5289999999999999</v>
      </c>
      <c r="S8" s="23">
        <v>-3.0051000000000001E-2</v>
      </c>
      <c r="T8" s="23">
        <v>4.9985000000000002E-2</v>
      </c>
      <c r="U8" s="22">
        <v>3.27</v>
      </c>
      <c r="V8" s="22">
        <v>3.3029999999999999</v>
      </c>
      <c r="W8" s="24">
        <v>11</v>
      </c>
      <c r="X8" s="24">
        <v>12</v>
      </c>
      <c r="Y8" s="24">
        <v>11</v>
      </c>
      <c r="Z8" s="24">
        <v>12</v>
      </c>
      <c r="AA8" s="23">
        <v>1</v>
      </c>
      <c r="AB8" s="21">
        <v>1.1597</v>
      </c>
      <c r="AC8" s="21">
        <v>1.2793000000000001</v>
      </c>
      <c r="AD8" s="25">
        <v>45390</v>
      </c>
      <c r="AE8" s="25">
        <v>45394</v>
      </c>
      <c r="AF8" s="23">
        <v>0.83560000000000001</v>
      </c>
      <c r="AG8" s="23">
        <v>0.11509999999999999</v>
      </c>
      <c r="AH8" s="23">
        <v>4.9299999999999997E-2</v>
      </c>
      <c r="AI8" s="23">
        <v>0.33</v>
      </c>
      <c r="AJ8" s="25">
        <v>45225</v>
      </c>
      <c r="AK8" s="25">
        <v>45257</v>
      </c>
      <c r="AL8" s="25">
        <v>45376</v>
      </c>
      <c r="AM8" s="25">
        <v>45378</v>
      </c>
      <c r="AN8" s="25">
        <v>45398</v>
      </c>
      <c r="AO8" s="25">
        <v>45412</v>
      </c>
    </row>
    <row r="9" spans="1:41" ht="15.35" x14ac:dyDescent="0.55000000000000004">
      <c r="A9" s="20">
        <v>514</v>
      </c>
      <c r="B9" s="2" t="s">
        <v>157</v>
      </c>
      <c r="C9" s="2" t="s">
        <v>158</v>
      </c>
      <c r="D9" s="2" t="s">
        <v>23</v>
      </c>
      <c r="E9" s="2" t="s">
        <v>159</v>
      </c>
      <c r="F9" s="20">
        <v>0</v>
      </c>
      <c r="G9" s="2" t="s">
        <v>151</v>
      </c>
      <c r="H9" s="2" t="s">
        <v>132</v>
      </c>
      <c r="I9" s="2" t="s">
        <v>133</v>
      </c>
      <c r="J9" s="2" t="s">
        <v>160</v>
      </c>
      <c r="K9" s="21">
        <v>10</v>
      </c>
      <c r="L9" s="22">
        <v>3.3039999999999998</v>
      </c>
      <c r="M9" s="22">
        <v>33.04</v>
      </c>
      <c r="N9" s="22">
        <v>3.323</v>
      </c>
      <c r="O9" s="22">
        <v>33.229999999999997</v>
      </c>
      <c r="P9" s="23">
        <v>5.751E-3</v>
      </c>
      <c r="Q9" s="22">
        <v>3.2709999999999999</v>
      </c>
      <c r="R9" s="22">
        <v>3.5019999999999998</v>
      </c>
      <c r="S9" s="23">
        <v>-9.9880000000000004E-3</v>
      </c>
      <c r="T9" s="23">
        <v>5.9927000000000001E-2</v>
      </c>
      <c r="U9" s="22">
        <v>3.3580000000000001</v>
      </c>
      <c r="V9" s="22">
        <v>3.4108000000000001</v>
      </c>
      <c r="W9" s="24">
        <v>37</v>
      </c>
      <c r="X9" s="24">
        <v>55</v>
      </c>
      <c r="Y9" s="24">
        <v>29</v>
      </c>
      <c r="Z9" s="24">
        <v>44</v>
      </c>
      <c r="AA9" s="23">
        <v>1</v>
      </c>
      <c r="AB9" s="21">
        <v>2.7334000000000001</v>
      </c>
      <c r="AC9" s="21">
        <v>2.6962000000000002</v>
      </c>
      <c r="AD9" s="25">
        <v>45531</v>
      </c>
      <c r="AE9" s="25">
        <v>45533</v>
      </c>
      <c r="AF9" s="23">
        <v>0.73980000000000001</v>
      </c>
      <c r="AG9" s="23">
        <v>0.18210000000000001</v>
      </c>
      <c r="AH9" s="23">
        <v>7.8100000000000003E-2</v>
      </c>
      <c r="AI9" s="23">
        <v>0.4</v>
      </c>
      <c r="AJ9" s="25">
        <v>45436</v>
      </c>
      <c r="AK9" s="25">
        <v>45506</v>
      </c>
      <c r="AL9" s="25">
        <v>45527</v>
      </c>
      <c r="AM9" s="25">
        <v>45528</v>
      </c>
      <c r="AN9" s="25">
        <v>45538</v>
      </c>
      <c r="AO9" s="25">
        <v>45555</v>
      </c>
    </row>
    <row r="10" spans="1:41" ht="15.35" x14ac:dyDescent="0.55000000000000004">
      <c r="A10" s="20">
        <v>515</v>
      </c>
      <c r="B10" s="2" t="s">
        <v>161</v>
      </c>
      <c r="C10" s="2" t="s">
        <v>162</v>
      </c>
      <c r="D10" s="2" t="s">
        <v>23</v>
      </c>
      <c r="E10" s="2" t="s">
        <v>163</v>
      </c>
      <c r="F10" s="20">
        <v>0</v>
      </c>
      <c r="G10" s="2" t="s">
        <v>151</v>
      </c>
      <c r="H10" s="2" t="s">
        <v>132</v>
      </c>
      <c r="I10" s="2" t="s">
        <v>164</v>
      </c>
      <c r="J10" s="2" t="s">
        <v>165</v>
      </c>
      <c r="K10" s="21">
        <v>5</v>
      </c>
      <c r="L10" s="22">
        <v>2.9681999999999999</v>
      </c>
      <c r="M10" s="22">
        <v>14.840999999999999</v>
      </c>
      <c r="N10" s="22">
        <v>3.0270000000000001</v>
      </c>
      <c r="O10" s="22">
        <v>15.14</v>
      </c>
      <c r="P10" s="23">
        <v>1.9810000000000001E-2</v>
      </c>
      <c r="Q10" s="22">
        <v>2.82</v>
      </c>
      <c r="R10" s="22">
        <v>3.117</v>
      </c>
      <c r="S10" s="23">
        <v>-4.9929000000000001E-2</v>
      </c>
      <c r="T10" s="23">
        <v>5.0131000000000002E-2</v>
      </c>
      <c r="U10" s="22">
        <v>3.1120000000000001</v>
      </c>
      <c r="V10" s="22">
        <v>3.101</v>
      </c>
      <c r="W10" s="24">
        <v>59</v>
      </c>
      <c r="X10" s="24">
        <v>170</v>
      </c>
      <c r="Y10" s="24">
        <v>57</v>
      </c>
      <c r="Z10" s="24">
        <v>160</v>
      </c>
      <c r="AA10" s="23">
        <v>1</v>
      </c>
      <c r="AB10" s="21">
        <v>78.718100000000007</v>
      </c>
      <c r="AC10" s="21">
        <v>407.02539999999999</v>
      </c>
      <c r="AD10" s="25">
        <v>45663</v>
      </c>
      <c r="AE10" s="25">
        <v>45664</v>
      </c>
      <c r="AF10" s="23">
        <v>0.75319999999999998</v>
      </c>
      <c r="AG10" s="23">
        <v>0.17280000000000001</v>
      </c>
      <c r="AH10" s="23">
        <v>7.3999999999999996E-2</v>
      </c>
      <c r="AI10" s="23">
        <v>0.34</v>
      </c>
      <c r="AJ10" s="25">
        <v>45561</v>
      </c>
      <c r="AK10" s="25">
        <v>45646</v>
      </c>
      <c r="AL10" s="25">
        <v>45656</v>
      </c>
      <c r="AM10" s="25">
        <v>45657</v>
      </c>
      <c r="AN10" s="25">
        <v>45670</v>
      </c>
      <c r="AO10" s="25">
        <v>45681</v>
      </c>
    </row>
    <row r="11" spans="1:41" ht="15.35" x14ac:dyDescent="0.55000000000000004">
      <c r="A11" s="20">
        <v>516</v>
      </c>
      <c r="B11" s="2" t="s">
        <v>166</v>
      </c>
      <c r="C11" s="2" t="s">
        <v>167</v>
      </c>
      <c r="D11" s="2" t="s">
        <v>23</v>
      </c>
      <c r="E11" s="2" t="s">
        <v>168</v>
      </c>
      <c r="F11" s="20">
        <v>0</v>
      </c>
      <c r="G11" s="2" t="s">
        <v>151</v>
      </c>
      <c r="H11" s="2" t="s">
        <v>132</v>
      </c>
      <c r="I11" s="2" t="s">
        <v>133</v>
      </c>
      <c r="J11" s="2" t="s">
        <v>147</v>
      </c>
      <c r="K11" s="21">
        <v>5</v>
      </c>
      <c r="L11" s="22">
        <v>3.06</v>
      </c>
      <c r="M11" s="22">
        <v>15.3</v>
      </c>
      <c r="N11" s="22">
        <v>3.16</v>
      </c>
      <c r="O11" s="22">
        <v>15.8</v>
      </c>
      <c r="P11" s="23">
        <v>3.2680000000000001E-2</v>
      </c>
      <c r="Q11" s="22">
        <v>2.754</v>
      </c>
      <c r="R11" s="22">
        <v>3.3660000000000001</v>
      </c>
      <c r="S11" s="23">
        <v>-0.1</v>
      </c>
      <c r="T11" s="23">
        <v>0.1</v>
      </c>
      <c r="U11" s="22">
        <v>3.3660000000000001</v>
      </c>
      <c r="V11" s="22">
        <v>3.3649</v>
      </c>
      <c r="W11" s="24">
        <v>123</v>
      </c>
      <c r="X11" s="24">
        <v>580</v>
      </c>
      <c r="Y11" s="24">
        <v>123</v>
      </c>
      <c r="Z11" s="24">
        <v>580</v>
      </c>
      <c r="AA11" s="23">
        <v>1</v>
      </c>
      <c r="AB11" s="21">
        <v>249.72</v>
      </c>
      <c r="AC11" s="21">
        <v>683.35</v>
      </c>
      <c r="AD11" s="25">
        <v>45821</v>
      </c>
      <c r="AE11" s="25">
        <v>45824</v>
      </c>
      <c r="AF11" s="23">
        <v>0.7</v>
      </c>
      <c r="AG11" s="23">
        <v>0.21</v>
      </c>
      <c r="AH11" s="23">
        <v>0.09</v>
      </c>
      <c r="AI11" s="23">
        <v>0.2</v>
      </c>
      <c r="AJ11" s="25">
        <v>45720</v>
      </c>
      <c r="AK11" s="25">
        <v>45796</v>
      </c>
      <c r="AL11" s="25">
        <v>45817</v>
      </c>
      <c r="AM11" s="25">
        <v>45818</v>
      </c>
      <c r="AN11" s="25">
        <v>45827</v>
      </c>
      <c r="AO11" s="25">
        <v>45835</v>
      </c>
    </row>
    <row r="12" spans="1:41" ht="15.35" x14ac:dyDescent="0.55000000000000004">
      <c r="A12" s="20">
        <v>569</v>
      </c>
      <c r="B12" s="2" t="s">
        <v>169</v>
      </c>
      <c r="C12" s="2" t="s">
        <v>170</v>
      </c>
      <c r="D12" s="2" t="s">
        <v>23</v>
      </c>
      <c r="E12" s="2" t="s">
        <v>171</v>
      </c>
      <c r="F12" s="20">
        <v>0</v>
      </c>
      <c r="G12" s="2" t="s">
        <v>131</v>
      </c>
      <c r="H12" s="2" t="s">
        <v>132</v>
      </c>
      <c r="I12" s="2" t="s">
        <v>133</v>
      </c>
      <c r="J12" s="2" t="s">
        <v>172</v>
      </c>
      <c r="K12" s="21">
        <v>4</v>
      </c>
      <c r="L12" s="22">
        <v>5.3437999999999999</v>
      </c>
      <c r="M12" s="22">
        <v>21.375</v>
      </c>
      <c r="N12" s="22">
        <v>5.718</v>
      </c>
      <c r="O12" s="22">
        <v>22.872</v>
      </c>
      <c r="P12" s="23">
        <v>7.0025000000000004E-2</v>
      </c>
      <c r="Q12" s="22">
        <v>4.7560000000000002</v>
      </c>
      <c r="R12" s="22">
        <v>5.9320000000000004</v>
      </c>
      <c r="S12" s="23">
        <v>-0.109997</v>
      </c>
      <c r="T12" s="23">
        <v>0.110071</v>
      </c>
      <c r="U12" s="22">
        <v>5.9320000000000004</v>
      </c>
      <c r="V12" s="22">
        <v>5.9282000000000004</v>
      </c>
      <c r="W12" s="24">
        <v>144</v>
      </c>
      <c r="X12" s="24">
        <v>938</v>
      </c>
      <c r="Y12" s="24">
        <v>142</v>
      </c>
      <c r="Z12" s="24">
        <v>930</v>
      </c>
      <c r="AA12" s="23">
        <v>0.998336</v>
      </c>
      <c r="AB12" s="21">
        <v>252.57</v>
      </c>
      <c r="AC12" s="21">
        <v>535.22</v>
      </c>
      <c r="AD12" s="25">
        <v>45909</v>
      </c>
      <c r="AE12" s="25">
        <v>45910</v>
      </c>
      <c r="AF12" s="23">
        <v>0.60109999999999997</v>
      </c>
      <c r="AG12" s="23">
        <v>0.2792</v>
      </c>
      <c r="AH12" s="23">
        <v>0.1197</v>
      </c>
      <c r="AI12" s="23">
        <v>0.2</v>
      </c>
      <c r="AJ12" s="25">
        <v>45765</v>
      </c>
      <c r="AK12" s="25">
        <v>45896</v>
      </c>
      <c r="AL12" s="25">
        <v>45904</v>
      </c>
      <c r="AM12" s="25">
        <v>45906</v>
      </c>
      <c r="AN12" s="25">
        <v>45916</v>
      </c>
      <c r="AO12" s="25">
        <v>45929</v>
      </c>
    </row>
    <row r="13" spans="1:41" ht="15.35" x14ac:dyDescent="0.55000000000000004">
      <c r="A13" s="20">
        <v>582</v>
      </c>
      <c r="B13" s="2" t="s">
        <v>173</v>
      </c>
      <c r="C13" s="2" t="s">
        <v>174</v>
      </c>
      <c r="D13" s="2" t="s">
        <v>23</v>
      </c>
      <c r="E13" s="2" t="s">
        <v>175</v>
      </c>
      <c r="F13" s="20">
        <v>0</v>
      </c>
      <c r="G13" s="2" t="s">
        <v>151</v>
      </c>
      <c r="H13" s="2" t="s">
        <v>132</v>
      </c>
      <c r="I13" s="2" t="s">
        <v>133</v>
      </c>
      <c r="J13" s="2" t="s">
        <v>160</v>
      </c>
      <c r="K13" s="21">
        <v>3</v>
      </c>
      <c r="L13" s="22">
        <v>4.4333</v>
      </c>
      <c r="M13" s="22">
        <v>13.3</v>
      </c>
      <c r="N13" s="22">
        <v>5.2809999999999997</v>
      </c>
      <c r="O13" s="22">
        <v>15.843</v>
      </c>
      <c r="P13" s="23">
        <v>0.19121199999999999</v>
      </c>
      <c r="Q13" s="22">
        <v>3.548</v>
      </c>
      <c r="R13" s="22">
        <v>5.3220000000000001</v>
      </c>
      <c r="S13" s="23">
        <v>-0.19969300000000001</v>
      </c>
      <c r="T13" s="23">
        <v>0.20046</v>
      </c>
      <c r="U13" s="22">
        <v>5.3220000000000001</v>
      </c>
      <c r="V13" s="22">
        <v>5.2817999999999996</v>
      </c>
      <c r="W13" s="24">
        <v>149</v>
      </c>
      <c r="X13" s="24">
        <v>1014</v>
      </c>
      <c r="Y13" s="24">
        <v>135</v>
      </c>
      <c r="Z13" s="24">
        <v>933</v>
      </c>
      <c r="AA13" s="23">
        <v>1</v>
      </c>
      <c r="AB13" s="21">
        <v>320.46820000000002</v>
      </c>
      <c r="AC13" s="21">
        <v>361.90219999999999</v>
      </c>
      <c r="AD13" s="25">
        <v>45943</v>
      </c>
      <c r="AE13" s="25">
        <v>45944</v>
      </c>
      <c r="AF13" s="23">
        <v>0.7</v>
      </c>
      <c r="AG13" s="23">
        <v>0.21</v>
      </c>
      <c r="AH13" s="23">
        <v>0.09</v>
      </c>
      <c r="AI13" s="23">
        <v>0.2</v>
      </c>
      <c r="AJ13" s="25">
        <v>45834</v>
      </c>
      <c r="AK13" s="25">
        <v>45922</v>
      </c>
      <c r="AL13" s="25">
        <v>45926</v>
      </c>
      <c r="AM13" s="25">
        <v>45930</v>
      </c>
      <c r="AN13" s="25">
        <v>45950</v>
      </c>
      <c r="AO13" s="25">
        <v>45961</v>
      </c>
    </row>
    <row r="14" spans="1:41" ht="15.35" x14ac:dyDescent="0.55000000000000004">
      <c r="A14" s="20">
        <v>585</v>
      </c>
      <c r="B14" s="2" t="s">
        <v>176</v>
      </c>
      <c r="C14" s="2" t="s">
        <v>177</v>
      </c>
      <c r="D14" s="2" t="s">
        <v>23</v>
      </c>
      <c r="E14" s="2" t="s">
        <v>178</v>
      </c>
      <c r="F14" s="20">
        <v>0</v>
      </c>
      <c r="G14" s="2" t="s">
        <v>131</v>
      </c>
      <c r="H14" s="2" t="s">
        <v>132</v>
      </c>
      <c r="I14" s="2" t="s">
        <v>138</v>
      </c>
      <c r="J14" s="2" t="s">
        <v>179</v>
      </c>
      <c r="K14" s="21">
        <v>10</v>
      </c>
      <c r="L14" s="22">
        <v>2.9009999999999998</v>
      </c>
      <c r="M14" s="22">
        <v>29.01</v>
      </c>
      <c r="N14" s="22">
        <v>3.48</v>
      </c>
      <c r="O14" s="22">
        <v>34.799999999999997</v>
      </c>
      <c r="P14" s="23">
        <v>0.19958600000000001</v>
      </c>
      <c r="Q14" s="22">
        <v>2.3210000000000002</v>
      </c>
      <c r="R14" s="22">
        <v>3.4809999999999999</v>
      </c>
      <c r="S14" s="23">
        <v>-0.199931</v>
      </c>
      <c r="T14" s="23">
        <v>0.199931</v>
      </c>
      <c r="U14" s="22">
        <v>3.4809999999999999</v>
      </c>
      <c r="V14" s="22">
        <v>3.4809999999999999</v>
      </c>
      <c r="W14" s="24">
        <v>152</v>
      </c>
      <c r="X14" s="24">
        <v>886</v>
      </c>
      <c r="Y14" s="24">
        <v>150</v>
      </c>
      <c r="Z14" s="24">
        <v>882</v>
      </c>
      <c r="AA14" s="23">
        <v>0.996332</v>
      </c>
      <c r="AB14" s="21">
        <v>252.78290000000001</v>
      </c>
      <c r="AC14" s="21">
        <v>355.5093</v>
      </c>
      <c r="AD14" s="25">
        <v>45889</v>
      </c>
      <c r="AE14" s="25">
        <v>45890</v>
      </c>
      <c r="AF14" s="23">
        <v>0.7</v>
      </c>
      <c r="AG14" s="23">
        <v>0.21</v>
      </c>
      <c r="AH14" s="23">
        <v>0.09</v>
      </c>
      <c r="AI14" s="23">
        <v>0.51</v>
      </c>
      <c r="AJ14" s="25">
        <v>45786</v>
      </c>
      <c r="AK14" s="25">
        <v>45870</v>
      </c>
      <c r="AL14" s="25">
        <v>45882</v>
      </c>
      <c r="AM14" s="25">
        <v>45884</v>
      </c>
      <c r="AN14" s="25">
        <v>45896</v>
      </c>
      <c r="AO14" s="25">
        <v>45912</v>
      </c>
    </row>
    <row r="15" spans="1:41" ht="15.35" x14ac:dyDescent="0.55000000000000004">
      <c r="A15" s="20">
        <v>603</v>
      </c>
      <c r="B15" s="2" t="s">
        <v>180</v>
      </c>
      <c r="C15" s="2" t="s">
        <v>181</v>
      </c>
      <c r="D15" s="2" t="s">
        <v>23</v>
      </c>
      <c r="E15" s="2" t="s">
        <v>182</v>
      </c>
      <c r="F15" s="20">
        <v>0</v>
      </c>
      <c r="G15" s="2" t="s">
        <v>131</v>
      </c>
      <c r="H15" s="2" t="s">
        <v>183</v>
      </c>
      <c r="I15" s="2" t="s">
        <v>138</v>
      </c>
      <c r="J15" s="2" t="s">
        <v>147</v>
      </c>
      <c r="K15" s="21">
        <v>10</v>
      </c>
      <c r="L15" s="22">
        <v>5.0279999999999996</v>
      </c>
      <c r="M15" s="22">
        <v>50.28</v>
      </c>
      <c r="N15" s="22">
        <v>5.5309999999999997</v>
      </c>
      <c r="O15" s="22">
        <v>55.31</v>
      </c>
      <c r="P15" s="23">
        <v>0.10004</v>
      </c>
      <c r="Q15" s="22">
        <v>4.5250000000000004</v>
      </c>
      <c r="R15" s="22">
        <v>5.5309999999999997</v>
      </c>
      <c r="S15" s="23">
        <v>-0.10004</v>
      </c>
      <c r="T15" s="23">
        <v>0.10004</v>
      </c>
      <c r="U15" s="22">
        <v>5.5309999999999997</v>
      </c>
      <c r="V15" s="22">
        <v>5.5309999999999997</v>
      </c>
      <c r="W15" s="24">
        <v>99</v>
      </c>
      <c r="X15" s="24">
        <v>437</v>
      </c>
      <c r="Y15" s="24">
        <v>98</v>
      </c>
      <c r="Z15" s="24">
        <v>435</v>
      </c>
      <c r="AA15" s="23">
        <v>1</v>
      </c>
      <c r="AB15" s="21">
        <v>103.1944</v>
      </c>
      <c r="AC15" s="21">
        <v>330.19580000000002</v>
      </c>
      <c r="AD15" s="25">
        <v>46167</v>
      </c>
      <c r="AE15" s="25">
        <v>46168</v>
      </c>
      <c r="AF15" s="23">
        <v>0.75</v>
      </c>
      <c r="AG15" s="23">
        <v>0.17499999999999999</v>
      </c>
      <c r="AH15" s="23">
        <v>7.4999999999999997E-2</v>
      </c>
      <c r="AI15" s="23">
        <v>0.41</v>
      </c>
      <c r="AJ15" s="25">
        <v>46052</v>
      </c>
      <c r="AK15" s="25">
        <v>46135</v>
      </c>
      <c r="AL15" s="25">
        <v>46162</v>
      </c>
      <c r="AM15" s="25">
        <v>46164</v>
      </c>
      <c r="AN15" s="25">
        <v>46174</v>
      </c>
      <c r="AO15" s="25">
        <v>46191</v>
      </c>
    </row>
    <row r="16" spans="1:41" ht="15.35" x14ac:dyDescent="0.55000000000000004">
      <c r="A16" s="20">
        <v>605</v>
      </c>
      <c r="B16" s="2" t="s">
        <v>184</v>
      </c>
      <c r="C16" s="2" t="s">
        <v>185</v>
      </c>
      <c r="D16" s="2" t="s">
        <v>23</v>
      </c>
      <c r="E16" s="2" t="s">
        <v>186</v>
      </c>
      <c r="F16" s="20">
        <v>0</v>
      </c>
      <c r="G16" s="2" t="s">
        <v>131</v>
      </c>
      <c r="H16" s="2" t="s">
        <v>183</v>
      </c>
      <c r="I16" s="2" t="s">
        <v>138</v>
      </c>
      <c r="J16" s="2" t="s">
        <v>187</v>
      </c>
      <c r="K16" s="21">
        <v>20</v>
      </c>
      <c r="L16" s="22">
        <v>3.4994999999999998</v>
      </c>
      <c r="M16" s="22">
        <v>69.989999999999995</v>
      </c>
      <c r="N16" s="22">
        <v>3.8479999999999999</v>
      </c>
      <c r="O16" s="22">
        <v>76.959999999999994</v>
      </c>
      <c r="P16" s="23">
        <v>9.9585999999999994E-2</v>
      </c>
      <c r="Q16" s="22">
        <v>3.15</v>
      </c>
      <c r="R16" s="22">
        <v>3.8490000000000002</v>
      </c>
      <c r="S16" s="23">
        <v>-9.9871000000000001E-2</v>
      </c>
      <c r="T16" s="23">
        <v>9.9871000000000001E-2</v>
      </c>
      <c r="U16" s="22">
        <v>3.8490000000000002</v>
      </c>
      <c r="V16" s="22">
        <v>3.8489</v>
      </c>
      <c r="W16" s="24">
        <v>90</v>
      </c>
      <c r="X16" s="24">
        <v>297</v>
      </c>
      <c r="Y16" s="24">
        <v>88</v>
      </c>
      <c r="Z16" s="24">
        <v>290</v>
      </c>
      <c r="AA16" s="23">
        <v>0.99624199999999996</v>
      </c>
      <c r="AB16" s="21">
        <v>68.025400000000005</v>
      </c>
      <c r="AC16" s="21">
        <v>90.064400000000006</v>
      </c>
      <c r="AD16" s="25">
        <v>46167</v>
      </c>
      <c r="AE16" s="25">
        <v>46168</v>
      </c>
      <c r="AF16" s="23">
        <v>0.75</v>
      </c>
      <c r="AG16" s="23">
        <v>0.17499999999999999</v>
      </c>
      <c r="AH16" s="23">
        <v>7.4999999999999997E-2</v>
      </c>
      <c r="AI16" s="23">
        <v>0.26</v>
      </c>
      <c r="AJ16" s="25">
        <v>46051</v>
      </c>
      <c r="AK16" s="25">
        <v>46135</v>
      </c>
      <c r="AL16" s="25">
        <v>46161</v>
      </c>
      <c r="AM16" s="25">
        <v>46163</v>
      </c>
      <c r="AN16" s="25">
        <v>46174</v>
      </c>
      <c r="AO16" s="25">
        <v>46191</v>
      </c>
    </row>
    <row r="17" spans="1:41" ht="15.35" x14ac:dyDescent="0.55000000000000004">
      <c r="A17" s="20">
        <v>607</v>
      </c>
      <c r="B17" s="2" t="s">
        <v>188</v>
      </c>
      <c r="C17" s="2" t="s">
        <v>189</v>
      </c>
      <c r="D17" s="2" t="s">
        <v>23</v>
      </c>
      <c r="E17" s="2" t="s">
        <v>190</v>
      </c>
      <c r="F17" s="20">
        <v>0</v>
      </c>
      <c r="G17" s="2" t="s">
        <v>131</v>
      </c>
      <c r="H17" s="2" t="s">
        <v>183</v>
      </c>
      <c r="I17" s="2" t="s">
        <v>191</v>
      </c>
      <c r="J17" s="2" t="s">
        <v>192</v>
      </c>
      <c r="K17" s="21">
        <v>10</v>
      </c>
      <c r="L17" s="22">
        <v>3.8490000000000002</v>
      </c>
      <c r="M17" s="22">
        <v>38.49</v>
      </c>
      <c r="N17" s="22">
        <v>4.0919999999999996</v>
      </c>
      <c r="O17" s="22">
        <v>40.92</v>
      </c>
      <c r="P17" s="23">
        <v>6.3132999999999995E-2</v>
      </c>
      <c r="Q17" s="22">
        <v>3.464</v>
      </c>
      <c r="R17" s="22">
        <v>4.234</v>
      </c>
      <c r="S17" s="23">
        <v>-0.100026</v>
      </c>
      <c r="T17" s="23">
        <v>0.100026</v>
      </c>
      <c r="U17" s="22">
        <v>4.234</v>
      </c>
      <c r="V17" s="22">
        <v>4.0922999999999998</v>
      </c>
      <c r="W17" s="24">
        <v>45</v>
      </c>
      <c r="X17" s="24">
        <v>149</v>
      </c>
      <c r="Y17" s="24">
        <v>37</v>
      </c>
      <c r="Z17" s="24">
        <v>114</v>
      </c>
      <c r="AA17" s="23">
        <v>0.99974099999999999</v>
      </c>
      <c r="AB17" s="21">
        <v>22.2743</v>
      </c>
      <c r="AC17" s="21">
        <v>14.5222</v>
      </c>
      <c r="AD17" s="25">
        <v>46169</v>
      </c>
      <c r="AE17" s="25">
        <v>46170</v>
      </c>
      <c r="AF17" s="23">
        <v>0.7</v>
      </c>
      <c r="AG17" s="23">
        <v>0.21</v>
      </c>
      <c r="AH17" s="23">
        <v>0.09</v>
      </c>
      <c r="AI17" s="23">
        <v>0.34</v>
      </c>
      <c r="AJ17" s="25">
        <v>46051</v>
      </c>
      <c r="AK17" s="25">
        <v>46135</v>
      </c>
      <c r="AL17" s="25">
        <v>46163</v>
      </c>
      <c r="AM17" s="25">
        <v>46165</v>
      </c>
      <c r="AN17" s="25">
        <v>46175</v>
      </c>
      <c r="AO17" s="25">
        <v>46191</v>
      </c>
    </row>
    <row r="18" spans="1:41" ht="15.35" x14ac:dyDescent="0.55000000000000004">
      <c r="A18" s="20">
        <v>611</v>
      </c>
      <c r="B18" s="2" t="s">
        <v>193</v>
      </c>
      <c r="C18" s="2" t="s">
        <v>194</v>
      </c>
      <c r="D18" s="2" t="s">
        <v>23</v>
      </c>
      <c r="E18" s="2" t="s">
        <v>195</v>
      </c>
      <c r="F18" s="20">
        <v>0</v>
      </c>
      <c r="G18" s="2" t="s">
        <v>131</v>
      </c>
      <c r="H18" s="2" t="s">
        <v>183</v>
      </c>
      <c r="I18" s="2" t="s">
        <v>133</v>
      </c>
      <c r="J18" s="2" t="s">
        <v>196</v>
      </c>
      <c r="K18" s="21">
        <v>10</v>
      </c>
      <c r="L18" s="22">
        <v>2.74</v>
      </c>
      <c r="M18" s="22">
        <v>27.4</v>
      </c>
      <c r="N18" s="22">
        <v>3.0129999999999999</v>
      </c>
      <c r="O18" s="22">
        <v>30.13</v>
      </c>
      <c r="P18" s="23">
        <v>9.9635000000000001E-2</v>
      </c>
      <c r="Q18" s="22">
        <v>2.4660000000000002</v>
      </c>
      <c r="R18" s="22">
        <v>3.0139999999999998</v>
      </c>
      <c r="S18" s="23">
        <v>-0.1</v>
      </c>
      <c r="T18" s="23">
        <v>0.1</v>
      </c>
      <c r="U18" s="22">
        <v>3.0139999999999998</v>
      </c>
      <c r="V18" s="22">
        <v>3.0131999999999999</v>
      </c>
      <c r="W18" s="24">
        <v>63</v>
      </c>
      <c r="X18" s="24">
        <v>338</v>
      </c>
      <c r="Y18" s="24">
        <v>61</v>
      </c>
      <c r="Z18" s="24">
        <v>330</v>
      </c>
      <c r="AA18" s="23">
        <v>1</v>
      </c>
      <c r="AB18" s="21">
        <v>80.163300000000007</v>
      </c>
      <c r="AC18" s="21">
        <v>101.44029999999999</v>
      </c>
      <c r="AD18" s="25">
        <v>46167</v>
      </c>
      <c r="AE18" s="25">
        <v>46168</v>
      </c>
      <c r="AF18" s="23">
        <v>0.7</v>
      </c>
      <c r="AG18" s="23">
        <v>0.21</v>
      </c>
      <c r="AH18" s="23">
        <v>0.09</v>
      </c>
      <c r="AI18" s="23">
        <v>0.34</v>
      </c>
      <c r="AJ18" s="25">
        <v>46065</v>
      </c>
      <c r="AK18" s="25">
        <v>46135</v>
      </c>
      <c r="AL18" s="25">
        <v>46162</v>
      </c>
      <c r="AM18" s="25">
        <v>46164</v>
      </c>
      <c r="AN18" s="25">
        <v>46174</v>
      </c>
      <c r="AO18" s="25">
        <v>46191</v>
      </c>
    </row>
    <row r="19" spans="1:41" ht="15.35" x14ac:dyDescent="0.55000000000000004">
      <c r="A19" s="20">
        <v>618</v>
      </c>
      <c r="B19" s="2" t="s">
        <v>197</v>
      </c>
      <c r="C19" s="2" t="s">
        <v>198</v>
      </c>
      <c r="D19" s="2" t="s">
        <v>23</v>
      </c>
      <c r="E19" s="2" t="s">
        <v>199</v>
      </c>
      <c r="F19" s="20">
        <v>0</v>
      </c>
      <c r="G19" s="2" t="s">
        <v>151</v>
      </c>
      <c r="H19" s="2" t="s">
        <v>183</v>
      </c>
      <c r="I19" s="2" t="s">
        <v>191</v>
      </c>
      <c r="J19" s="2" t="s">
        <v>200</v>
      </c>
      <c r="K19" s="21">
        <v>10</v>
      </c>
      <c r="L19" s="22">
        <v>2.5750000000000002</v>
      </c>
      <c r="M19" s="22">
        <v>25.75</v>
      </c>
      <c r="N19" s="22">
        <v>2.831</v>
      </c>
      <c r="O19" s="22">
        <v>28.31</v>
      </c>
      <c r="P19" s="23">
        <v>9.9417000000000005E-2</v>
      </c>
      <c r="Q19" s="22">
        <v>2.3180000000000001</v>
      </c>
      <c r="R19" s="22">
        <v>2.8319999999999999</v>
      </c>
      <c r="S19" s="23">
        <v>-9.9806000000000006E-2</v>
      </c>
      <c r="T19" s="23">
        <v>9.9806000000000006E-2</v>
      </c>
      <c r="U19" s="22">
        <v>2.8319999999999999</v>
      </c>
      <c r="V19" s="22">
        <v>2.831</v>
      </c>
      <c r="W19" s="24">
        <v>8</v>
      </c>
      <c r="X19" s="24">
        <v>9</v>
      </c>
      <c r="Y19" s="24">
        <v>8</v>
      </c>
      <c r="Z19" s="24">
        <v>9</v>
      </c>
      <c r="AA19" s="23">
        <v>1</v>
      </c>
      <c r="AB19" s="21">
        <v>1.3785000000000001</v>
      </c>
      <c r="AC19" s="21">
        <v>1.2423</v>
      </c>
      <c r="AD19" s="25">
        <v>46206</v>
      </c>
      <c r="AE19" s="25">
        <v>46212</v>
      </c>
      <c r="AF19" s="23">
        <v>0.7</v>
      </c>
      <c r="AG19" s="23">
        <v>0.21</v>
      </c>
      <c r="AH19" s="23">
        <v>0.09</v>
      </c>
      <c r="AI19" s="23">
        <v>0.39</v>
      </c>
      <c r="AJ19" s="25">
        <v>46114</v>
      </c>
      <c r="AK19" s="25">
        <v>46195</v>
      </c>
      <c r="AL19" s="25">
        <v>46199</v>
      </c>
      <c r="AM19" s="25">
        <v>46203</v>
      </c>
      <c r="AN19" s="25">
        <v>46216</v>
      </c>
      <c r="AO19" s="25">
        <v>46268</v>
      </c>
    </row>
    <row r="20" spans="1:41" ht="15.35" x14ac:dyDescent="0.55000000000000004">
      <c r="A20" s="20">
        <v>600</v>
      </c>
      <c r="B20" s="2" t="s">
        <v>201</v>
      </c>
      <c r="C20" s="2" t="s">
        <v>202</v>
      </c>
      <c r="D20" s="2" t="s">
        <v>27</v>
      </c>
      <c r="E20" s="2" t="s">
        <v>203</v>
      </c>
      <c r="F20" s="20">
        <v>0</v>
      </c>
      <c r="G20" s="2" t="s">
        <v>131</v>
      </c>
      <c r="H20" s="2" t="s">
        <v>183</v>
      </c>
      <c r="I20" s="2" t="s">
        <v>204</v>
      </c>
      <c r="J20" s="2" t="s">
        <v>165</v>
      </c>
      <c r="K20" s="21">
        <v>5</v>
      </c>
      <c r="L20" s="22">
        <v>3.992</v>
      </c>
      <c r="M20" s="22">
        <v>19.96</v>
      </c>
      <c r="N20" s="22">
        <v>3.593</v>
      </c>
      <c r="O20" s="22">
        <v>17.965</v>
      </c>
      <c r="P20" s="23">
        <v>-9.9949999999999997E-2</v>
      </c>
      <c r="Q20" s="22">
        <v>3.593</v>
      </c>
      <c r="R20" s="22">
        <v>4.3920000000000003</v>
      </c>
      <c r="S20" s="23">
        <v>-9.9949999999999997E-2</v>
      </c>
      <c r="T20" s="23">
        <v>0.1002</v>
      </c>
      <c r="U20" s="22">
        <v>3.673</v>
      </c>
      <c r="V20" s="22">
        <v>3.7757000000000001</v>
      </c>
      <c r="W20" s="24">
        <v>6</v>
      </c>
      <c r="X20" s="24">
        <v>13</v>
      </c>
      <c r="Y20" s="24">
        <v>6</v>
      </c>
      <c r="Z20" s="24">
        <v>13</v>
      </c>
      <c r="AA20" s="23">
        <v>1</v>
      </c>
      <c r="AB20" s="21">
        <v>1</v>
      </c>
      <c r="AC20" s="21">
        <v>2.8582000000000001</v>
      </c>
      <c r="AD20" s="25">
        <v>46218</v>
      </c>
      <c r="AE20" s="25">
        <v>46224</v>
      </c>
      <c r="AF20" s="23">
        <v>0.7</v>
      </c>
      <c r="AG20" s="23">
        <v>0.21</v>
      </c>
      <c r="AH20" s="23">
        <v>0.09</v>
      </c>
      <c r="AI20" s="23">
        <v>0.3</v>
      </c>
      <c r="AJ20" s="25">
        <v>46052</v>
      </c>
      <c r="AK20" s="25">
        <v>46156</v>
      </c>
      <c r="AL20" s="25">
        <v>46199</v>
      </c>
      <c r="AM20" s="25">
        <v>46203</v>
      </c>
      <c r="AN20" s="25">
        <v>46231</v>
      </c>
      <c r="AO20" s="26"/>
    </row>
    <row r="21" spans="1:41" ht="15.35" x14ac:dyDescent="0.55000000000000004">
      <c r="A21" s="20">
        <v>604</v>
      </c>
      <c r="B21" s="2" t="s">
        <v>205</v>
      </c>
      <c r="C21" s="2" t="s">
        <v>206</v>
      </c>
      <c r="D21" s="2" t="s">
        <v>27</v>
      </c>
      <c r="E21" s="2" t="s">
        <v>207</v>
      </c>
      <c r="F21" s="20">
        <v>0</v>
      </c>
      <c r="G21" s="2" t="s">
        <v>131</v>
      </c>
      <c r="H21" s="2" t="s">
        <v>183</v>
      </c>
      <c r="I21" s="2" t="s">
        <v>208</v>
      </c>
      <c r="J21" s="2" t="s">
        <v>156</v>
      </c>
      <c r="K21" s="21">
        <v>7</v>
      </c>
      <c r="L21" s="22">
        <v>2.4285999999999999</v>
      </c>
      <c r="M21" s="22">
        <v>17</v>
      </c>
      <c r="N21" s="22">
        <v>2.6720000000000002</v>
      </c>
      <c r="O21" s="22">
        <v>18.704000000000001</v>
      </c>
      <c r="P21" s="23">
        <v>0.10022200000000001</v>
      </c>
      <c r="Q21" s="22">
        <v>2.1859999999999999</v>
      </c>
      <c r="R21" s="22">
        <v>2.6720000000000002</v>
      </c>
      <c r="S21" s="23">
        <v>-9.9892999999999996E-2</v>
      </c>
      <c r="T21" s="23">
        <v>0.10022200000000001</v>
      </c>
      <c r="U21" s="22">
        <v>2.6720000000000002</v>
      </c>
      <c r="V21" s="22">
        <v>2.6720000000000002</v>
      </c>
      <c r="W21" s="24">
        <v>18</v>
      </c>
      <c r="X21" s="24">
        <v>20</v>
      </c>
      <c r="Y21" s="24">
        <v>18</v>
      </c>
      <c r="Z21" s="24">
        <v>20</v>
      </c>
      <c r="AA21" s="23">
        <v>1</v>
      </c>
      <c r="AB21" s="21">
        <v>2.3073000000000001</v>
      </c>
      <c r="AC21" s="21">
        <v>1.5525</v>
      </c>
      <c r="AD21" s="25">
        <v>46233</v>
      </c>
      <c r="AE21" s="25">
        <v>46239</v>
      </c>
      <c r="AF21" s="23">
        <v>0.7</v>
      </c>
      <c r="AG21" s="23">
        <v>0.21</v>
      </c>
      <c r="AH21" s="23">
        <v>0.09</v>
      </c>
      <c r="AI21" s="23">
        <v>0.2</v>
      </c>
      <c r="AJ21" s="25">
        <v>46051</v>
      </c>
      <c r="AK21" s="25">
        <v>46156</v>
      </c>
      <c r="AL21" s="25">
        <v>46202</v>
      </c>
      <c r="AM21" s="25">
        <v>46203</v>
      </c>
      <c r="AN21" s="25">
        <v>46244</v>
      </c>
      <c r="AO21" s="26"/>
    </row>
    <row r="22" spans="1:41" ht="15.35" x14ac:dyDescent="0.55000000000000004">
      <c r="A22" s="20">
        <v>606</v>
      </c>
      <c r="B22" s="2" t="s">
        <v>209</v>
      </c>
      <c r="C22" s="2" t="s">
        <v>210</v>
      </c>
      <c r="D22" s="2" t="s">
        <v>27</v>
      </c>
      <c r="E22" s="2" t="s">
        <v>211</v>
      </c>
      <c r="F22" s="20">
        <v>0</v>
      </c>
      <c r="G22" s="2" t="s">
        <v>131</v>
      </c>
      <c r="H22" s="2" t="s">
        <v>183</v>
      </c>
      <c r="I22" s="2" t="s">
        <v>212</v>
      </c>
      <c r="J22" s="2" t="s">
        <v>213</v>
      </c>
      <c r="K22" s="21">
        <v>10</v>
      </c>
      <c r="L22" s="22">
        <v>2.5739999999999998</v>
      </c>
      <c r="M22" s="22">
        <v>25.74</v>
      </c>
      <c r="N22" s="22">
        <v>2.73</v>
      </c>
      <c r="O22" s="22">
        <v>27.3</v>
      </c>
      <c r="P22" s="23">
        <v>6.0606E-2</v>
      </c>
      <c r="Q22" s="22">
        <v>2.3170000000000002</v>
      </c>
      <c r="R22" s="22">
        <v>2.831</v>
      </c>
      <c r="S22" s="23">
        <v>-9.9845000000000003E-2</v>
      </c>
      <c r="T22" s="23">
        <v>9.9845000000000003E-2</v>
      </c>
      <c r="U22" s="22">
        <v>2.754</v>
      </c>
      <c r="V22" s="22">
        <v>2.7410000000000001</v>
      </c>
      <c r="W22" s="24">
        <v>16</v>
      </c>
      <c r="X22" s="24">
        <v>22</v>
      </c>
      <c r="Y22" s="24">
        <v>16</v>
      </c>
      <c r="Z22" s="24">
        <v>22</v>
      </c>
      <c r="AA22" s="23">
        <v>1</v>
      </c>
      <c r="AB22" s="21">
        <v>1.2672000000000001</v>
      </c>
      <c r="AC22" s="21">
        <v>2.1787000000000001</v>
      </c>
      <c r="AD22" s="25">
        <v>46224</v>
      </c>
      <c r="AE22" s="25">
        <v>46230</v>
      </c>
      <c r="AF22" s="23">
        <v>0.7</v>
      </c>
      <c r="AG22" s="23">
        <v>0.21</v>
      </c>
      <c r="AH22" s="23">
        <v>0.09</v>
      </c>
      <c r="AI22" s="23">
        <v>0.6</v>
      </c>
      <c r="AJ22" s="25">
        <v>46052</v>
      </c>
      <c r="AK22" s="25">
        <v>46156</v>
      </c>
      <c r="AL22" s="25">
        <v>46199</v>
      </c>
      <c r="AM22" s="25">
        <v>46202</v>
      </c>
      <c r="AN22" s="25">
        <v>46234</v>
      </c>
      <c r="AO22" s="26"/>
    </row>
    <row r="23" spans="1:41" ht="15.35" x14ac:dyDescent="0.55000000000000004">
      <c r="A23" s="20">
        <v>602</v>
      </c>
      <c r="B23" s="2" t="s">
        <v>214</v>
      </c>
      <c r="C23" s="2" t="s">
        <v>215</v>
      </c>
      <c r="D23" s="2" t="s">
        <v>31</v>
      </c>
      <c r="E23" s="2" t="s">
        <v>216</v>
      </c>
      <c r="F23" s="20">
        <v>0</v>
      </c>
      <c r="G23" s="2" t="s">
        <v>131</v>
      </c>
      <c r="H23" s="2" t="s">
        <v>183</v>
      </c>
      <c r="I23" s="2" t="s">
        <v>212</v>
      </c>
      <c r="J23" s="2" t="s">
        <v>165</v>
      </c>
      <c r="K23" s="21">
        <v>7</v>
      </c>
      <c r="L23" s="22">
        <v>5.1614000000000004</v>
      </c>
      <c r="M23" s="22">
        <v>36.130000000000003</v>
      </c>
      <c r="N23" s="22">
        <v>4.6459999999999999</v>
      </c>
      <c r="O23" s="22">
        <v>32.521999999999998</v>
      </c>
      <c r="P23" s="23">
        <v>-9.9857000000000001E-2</v>
      </c>
      <c r="Q23" s="22">
        <v>4.6459999999999999</v>
      </c>
      <c r="R23" s="22">
        <v>5.6769999999999996</v>
      </c>
      <c r="S23" s="23">
        <v>-9.9857000000000001E-2</v>
      </c>
      <c r="T23" s="23">
        <v>9.9894999999999998E-2</v>
      </c>
      <c r="U23" s="22">
        <v>4.6459999999999999</v>
      </c>
      <c r="V23" s="22">
        <v>4.6466000000000003</v>
      </c>
      <c r="W23" s="24">
        <v>11</v>
      </c>
      <c r="X23" s="24">
        <v>27</v>
      </c>
      <c r="Y23" s="24">
        <v>11</v>
      </c>
      <c r="Z23" s="24">
        <v>27</v>
      </c>
      <c r="AA23" s="23">
        <v>1</v>
      </c>
      <c r="AB23" s="27"/>
      <c r="AC23" s="27"/>
      <c r="AD23" s="25">
        <v>46329</v>
      </c>
      <c r="AE23" s="25">
        <v>46335</v>
      </c>
      <c r="AF23" s="23">
        <v>0.622</v>
      </c>
      <c r="AG23" s="23">
        <v>0.2646</v>
      </c>
      <c r="AH23" s="23">
        <v>0.1134</v>
      </c>
      <c r="AI23" s="23">
        <v>0.2</v>
      </c>
      <c r="AJ23" s="25">
        <v>46052</v>
      </c>
      <c r="AK23" s="25">
        <v>46156</v>
      </c>
      <c r="AL23" s="25">
        <v>46289</v>
      </c>
      <c r="AM23" s="25">
        <v>46294</v>
      </c>
      <c r="AN23" s="26"/>
      <c r="AO23" s="26"/>
    </row>
    <row r="24" spans="1:41" ht="15.35" x14ac:dyDescent="0.55000000000000004">
      <c r="A24" s="20">
        <v>608</v>
      </c>
      <c r="B24" s="2" t="s">
        <v>217</v>
      </c>
      <c r="C24" s="2" t="s">
        <v>218</v>
      </c>
      <c r="D24" s="2" t="s">
        <v>31</v>
      </c>
      <c r="E24" s="2" t="s">
        <v>219</v>
      </c>
      <c r="F24" s="20">
        <v>0</v>
      </c>
      <c r="G24" s="2" t="s">
        <v>151</v>
      </c>
      <c r="H24" s="2" t="s">
        <v>183</v>
      </c>
      <c r="I24" s="2" t="s">
        <v>208</v>
      </c>
      <c r="J24" s="2" t="s">
        <v>165</v>
      </c>
      <c r="K24" s="21">
        <v>5</v>
      </c>
      <c r="L24" s="22">
        <v>2.4780000000000002</v>
      </c>
      <c r="M24" s="22">
        <v>12.39</v>
      </c>
      <c r="N24" s="22">
        <v>2.3290000000000002</v>
      </c>
      <c r="O24" s="22">
        <v>11.645</v>
      </c>
      <c r="P24" s="23">
        <v>-6.0129000000000002E-2</v>
      </c>
      <c r="Q24" s="22">
        <v>2.2309999999999999</v>
      </c>
      <c r="R24" s="22">
        <v>2.7250000000000001</v>
      </c>
      <c r="S24" s="23">
        <v>-9.9677000000000002E-2</v>
      </c>
      <c r="T24" s="23">
        <v>9.9677000000000002E-2</v>
      </c>
      <c r="U24" s="22">
        <v>2.3540000000000001</v>
      </c>
      <c r="V24" s="22">
        <v>2.3809999999999998</v>
      </c>
      <c r="W24" s="24">
        <v>13</v>
      </c>
      <c r="X24" s="24">
        <v>25</v>
      </c>
      <c r="Y24" s="24">
        <v>11</v>
      </c>
      <c r="Z24" s="24">
        <v>21</v>
      </c>
      <c r="AA24" s="23">
        <v>1</v>
      </c>
      <c r="AB24" s="27"/>
      <c r="AC24" s="27"/>
      <c r="AD24" s="25">
        <v>46314</v>
      </c>
      <c r="AE24" s="25">
        <v>46315</v>
      </c>
      <c r="AF24" s="23">
        <v>0.72</v>
      </c>
      <c r="AG24" s="23">
        <v>0.19600000000000001</v>
      </c>
      <c r="AH24" s="23">
        <v>8.4000000000000005E-2</v>
      </c>
      <c r="AI24" s="23">
        <v>0.2</v>
      </c>
      <c r="AJ24" s="25">
        <v>46058</v>
      </c>
      <c r="AK24" s="25">
        <v>46226</v>
      </c>
      <c r="AL24" s="25">
        <v>46288</v>
      </c>
      <c r="AM24" s="25">
        <v>46294</v>
      </c>
      <c r="AN24" s="26"/>
      <c r="AO24" s="26"/>
    </row>
    <row r="25" spans="1:41" ht="15.35" x14ac:dyDescent="0.55000000000000004">
      <c r="A25" s="20">
        <v>615</v>
      </c>
      <c r="B25" s="2" t="s">
        <v>220</v>
      </c>
      <c r="C25" s="2" t="s">
        <v>221</v>
      </c>
      <c r="D25" s="2" t="s">
        <v>31</v>
      </c>
      <c r="E25" s="2" t="s">
        <v>222</v>
      </c>
      <c r="F25" s="20">
        <v>0</v>
      </c>
      <c r="G25" s="2" t="s">
        <v>131</v>
      </c>
      <c r="H25" s="2" t="s">
        <v>183</v>
      </c>
      <c r="I25" s="2" t="s">
        <v>133</v>
      </c>
      <c r="J25" s="2" t="s">
        <v>165</v>
      </c>
      <c r="K25" s="21">
        <v>5</v>
      </c>
      <c r="L25" s="22">
        <v>3.0819999999999999</v>
      </c>
      <c r="M25" s="22">
        <v>15.41</v>
      </c>
      <c r="N25" s="22">
        <v>3.1059999999999999</v>
      </c>
      <c r="O25" s="22">
        <v>15.53</v>
      </c>
      <c r="P25" s="23">
        <v>7.7869999999999997E-3</v>
      </c>
      <c r="Q25" s="22">
        <v>2.774</v>
      </c>
      <c r="R25" s="22">
        <v>3.39</v>
      </c>
      <c r="S25" s="23">
        <v>-9.9934999999999996E-2</v>
      </c>
      <c r="T25" s="23">
        <v>9.9934999999999996E-2</v>
      </c>
      <c r="U25" s="22">
        <v>3.1065</v>
      </c>
      <c r="V25" s="22">
        <v>3.1259000000000001</v>
      </c>
      <c r="W25" s="24">
        <v>22</v>
      </c>
      <c r="X25" s="24">
        <v>42</v>
      </c>
      <c r="Y25" s="24">
        <v>12</v>
      </c>
      <c r="Z25" s="24">
        <v>21</v>
      </c>
      <c r="AA25" s="23">
        <v>1</v>
      </c>
      <c r="AB25" s="27"/>
      <c r="AC25" s="27"/>
      <c r="AD25" s="25">
        <v>46317</v>
      </c>
      <c r="AE25" s="25">
        <v>46322</v>
      </c>
      <c r="AF25" s="23">
        <v>0.7</v>
      </c>
      <c r="AG25" s="23">
        <v>0.21</v>
      </c>
      <c r="AH25" s="23">
        <v>0.09</v>
      </c>
      <c r="AI25" s="23">
        <v>0.34</v>
      </c>
      <c r="AJ25" s="25">
        <v>46087</v>
      </c>
      <c r="AK25" s="25">
        <v>46268</v>
      </c>
      <c r="AL25" s="25">
        <v>46288</v>
      </c>
      <c r="AM25" s="25">
        <v>46293</v>
      </c>
      <c r="AN25" s="26"/>
      <c r="AO25" s="26"/>
    </row>
    <row r="26" spans="1:41" ht="15.35" x14ac:dyDescent="0.55000000000000004">
      <c r="A26" s="20">
        <v>610</v>
      </c>
      <c r="C26" s="2" t="s">
        <v>223</v>
      </c>
      <c r="D26" s="2" t="s">
        <v>35</v>
      </c>
      <c r="E26" s="2" t="s">
        <v>224</v>
      </c>
      <c r="F26" s="20">
        <v>0</v>
      </c>
      <c r="G26" s="2" t="s">
        <v>131</v>
      </c>
      <c r="H26" s="2" t="s">
        <v>183</v>
      </c>
      <c r="I26" s="2" t="s">
        <v>133</v>
      </c>
      <c r="J26" s="2" t="s">
        <v>152</v>
      </c>
      <c r="K26" s="27"/>
      <c r="L26" s="28"/>
      <c r="M26" s="22">
        <v>45.79</v>
      </c>
      <c r="N26" s="28"/>
      <c r="O26" s="28"/>
      <c r="P26" s="29"/>
      <c r="Q26" s="28"/>
      <c r="R26" s="28"/>
      <c r="S26" s="29"/>
      <c r="T26" s="29"/>
      <c r="U26" s="28"/>
      <c r="V26" s="28"/>
      <c r="W26" s="30"/>
      <c r="X26" s="30"/>
      <c r="Y26" s="30"/>
      <c r="Z26" s="30"/>
      <c r="AA26" s="29"/>
      <c r="AB26" s="27"/>
      <c r="AC26" s="27"/>
      <c r="AD26" s="26"/>
      <c r="AE26" s="26"/>
      <c r="AF26" s="29"/>
      <c r="AG26" s="29"/>
      <c r="AH26" s="29"/>
      <c r="AI26" s="29"/>
      <c r="AJ26" s="25">
        <v>46058</v>
      </c>
      <c r="AK26" s="26"/>
      <c r="AL26" s="26"/>
      <c r="AM26" s="26"/>
      <c r="AN26" s="26"/>
      <c r="AO26" s="26"/>
    </row>
    <row r="27" spans="1:41" ht="15.35" x14ac:dyDescent="0.55000000000000004">
      <c r="A27" s="20">
        <v>623</v>
      </c>
      <c r="C27" s="2" t="s">
        <v>225</v>
      </c>
      <c r="D27" s="2" t="s">
        <v>35</v>
      </c>
      <c r="E27" s="2" t="s">
        <v>226</v>
      </c>
      <c r="F27" s="20">
        <v>0</v>
      </c>
      <c r="G27" s="2" t="s">
        <v>131</v>
      </c>
      <c r="H27" s="2" t="s">
        <v>183</v>
      </c>
      <c r="I27" s="2" t="s">
        <v>208</v>
      </c>
      <c r="J27" s="2" t="s">
        <v>139</v>
      </c>
      <c r="K27" s="27"/>
      <c r="L27" s="28"/>
      <c r="M27" s="22">
        <v>15.430999999999999</v>
      </c>
      <c r="N27" s="28"/>
      <c r="O27" s="28"/>
      <c r="P27" s="29"/>
      <c r="Q27" s="28"/>
      <c r="R27" s="28"/>
      <c r="S27" s="29"/>
      <c r="T27" s="29"/>
      <c r="U27" s="28"/>
      <c r="V27" s="28"/>
      <c r="W27" s="30"/>
      <c r="X27" s="30"/>
      <c r="Y27" s="30"/>
      <c r="Z27" s="30"/>
      <c r="AA27" s="29"/>
      <c r="AB27" s="27"/>
      <c r="AC27" s="27"/>
      <c r="AD27" s="26"/>
      <c r="AE27" s="26"/>
      <c r="AF27" s="29"/>
      <c r="AG27" s="29"/>
      <c r="AH27" s="29"/>
      <c r="AI27" s="29"/>
      <c r="AJ27" s="25">
        <v>46142</v>
      </c>
      <c r="AK27" s="25">
        <v>46295</v>
      </c>
      <c r="AL27" s="26"/>
      <c r="AM27" s="26"/>
      <c r="AN27" s="26"/>
      <c r="AO27" s="26"/>
    </row>
    <row r="28" spans="1:41" ht="15.35" x14ac:dyDescent="0.55000000000000004">
      <c r="A28" s="20">
        <v>631</v>
      </c>
      <c r="C28" s="2" t="s">
        <v>227</v>
      </c>
      <c r="D28" s="2" t="s">
        <v>35</v>
      </c>
      <c r="E28" s="2" t="s">
        <v>228</v>
      </c>
      <c r="F28" s="20">
        <v>0</v>
      </c>
      <c r="G28" s="2" t="s">
        <v>151</v>
      </c>
      <c r="H28" s="2" t="s">
        <v>183</v>
      </c>
      <c r="I28" s="2" t="s">
        <v>229</v>
      </c>
      <c r="J28" s="2" t="s">
        <v>152</v>
      </c>
      <c r="K28" s="27"/>
      <c r="L28" s="28"/>
      <c r="M28" s="22">
        <v>28.675000000000001</v>
      </c>
      <c r="N28" s="28"/>
      <c r="O28" s="28"/>
      <c r="P28" s="29"/>
      <c r="Q28" s="28"/>
      <c r="R28" s="28"/>
      <c r="S28" s="29"/>
      <c r="T28" s="29"/>
      <c r="U28" s="28"/>
      <c r="V28" s="28"/>
      <c r="W28" s="30"/>
      <c r="X28" s="30"/>
      <c r="Y28" s="30"/>
      <c r="Z28" s="30"/>
      <c r="AA28" s="29"/>
      <c r="AB28" s="27"/>
      <c r="AC28" s="27"/>
      <c r="AD28" s="26"/>
      <c r="AE28" s="26"/>
      <c r="AF28" s="29"/>
      <c r="AG28" s="29"/>
      <c r="AH28" s="29"/>
      <c r="AI28" s="29"/>
      <c r="AJ28" s="25">
        <v>46190</v>
      </c>
      <c r="AK28" s="25">
        <v>46285</v>
      </c>
      <c r="AL28" s="26"/>
      <c r="AM28" s="26"/>
      <c r="AN28" s="26"/>
      <c r="AO28" s="26"/>
    </row>
    <row r="29" spans="1:41" ht="15.35" x14ac:dyDescent="0.55000000000000004">
      <c r="A29" s="20">
        <v>601</v>
      </c>
      <c r="C29" s="2" t="s">
        <v>230</v>
      </c>
      <c r="D29" s="2" t="s">
        <v>39</v>
      </c>
      <c r="E29" s="2" t="s">
        <v>231</v>
      </c>
      <c r="F29" s="20">
        <v>0</v>
      </c>
      <c r="G29" s="2" t="s">
        <v>131</v>
      </c>
      <c r="H29" s="2" t="s">
        <v>183</v>
      </c>
      <c r="I29" s="2" t="s">
        <v>133</v>
      </c>
      <c r="J29" s="2" t="s">
        <v>232</v>
      </c>
      <c r="K29" s="27"/>
      <c r="L29" s="28"/>
      <c r="M29" s="22">
        <v>42.204999999999998</v>
      </c>
      <c r="N29" s="28"/>
      <c r="O29" s="28"/>
      <c r="P29" s="29"/>
      <c r="Q29" s="28"/>
      <c r="R29" s="28"/>
      <c r="S29" s="29"/>
      <c r="T29" s="29"/>
      <c r="U29" s="28"/>
      <c r="V29" s="28"/>
      <c r="W29" s="30"/>
      <c r="X29" s="30"/>
      <c r="Y29" s="30"/>
      <c r="Z29" s="30"/>
      <c r="AA29" s="29"/>
      <c r="AB29" s="27"/>
      <c r="AC29" s="27"/>
      <c r="AD29" s="26"/>
      <c r="AE29" s="26"/>
      <c r="AF29" s="29"/>
      <c r="AG29" s="29"/>
      <c r="AH29" s="29"/>
      <c r="AI29" s="29"/>
      <c r="AJ29" s="25">
        <v>46052</v>
      </c>
      <c r="AK29" s="26"/>
      <c r="AL29" s="26"/>
      <c r="AM29" s="26"/>
      <c r="AN29" s="26"/>
      <c r="AO29" s="26"/>
    </row>
    <row r="30" spans="1:41" ht="15.35" x14ac:dyDescent="0.55000000000000004">
      <c r="A30" s="20">
        <v>609</v>
      </c>
      <c r="C30" s="2" t="s">
        <v>233</v>
      </c>
      <c r="D30" s="2" t="s">
        <v>39</v>
      </c>
      <c r="E30" s="2" t="s">
        <v>234</v>
      </c>
      <c r="F30" s="20">
        <v>0</v>
      </c>
      <c r="G30" s="2" t="s">
        <v>131</v>
      </c>
      <c r="H30" s="2" t="s">
        <v>183</v>
      </c>
      <c r="I30" s="2" t="s">
        <v>235</v>
      </c>
      <c r="J30" s="2" t="s">
        <v>134</v>
      </c>
      <c r="K30" s="27"/>
      <c r="L30" s="28"/>
      <c r="M30" s="22">
        <v>11.03</v>
      </c>
      <c r="N30" s="28"/>
      <c r="O30" s="28"/>
      <c r="P30" s="29"/>
      <c r="Q30" s="28"/>
      <c r="R30" s="28"/>
      <c r="S30" s="29"/>
      <c r="T30" s="29"/>
      <c r="U30" s="28"/>
      <c r="V30" s="28"/>
      <c r="W30" s="30"/>
      <c r="X30" s="30"/>
      <c r="Y30" s="30"/>
      <c r="Z30" s="30"/>
      <c r="AA30" s="29"/>
      <c r="AB30" s="27"/>
      <c r="AC30" s="27"/>
      <c r="AD30" s="26"/>
      <c r="AE30" s="26"/>
      <c r="AF30" s="29"/>
      <c r="AG30" s="29"/>
      <c r="AH30" s="29"/>
      <c r="AI30" s="29"/>
      <c r="AJ30" s="25">
        <v>46065</v>
      </c>
      <c r="AK30" s="26"/>
      <c r="AL30" s="26"/>
      <c r="AM30" s="26"/>
      <c r="AN30" s="26"/>
      <c r="AO30" s="26"/>
    </row>
    <row r="31" spans="1:41" ht="15.35" x14ac:dyDescent="0.55000000000000004">
      <c r="A31" s="20">
        <v>613</v>
      </c>
      <c r="C31" s="2" t="s">
        <v>236</v>
      </c>
      <c r="D31" s="2" t="s">
        <v>39</v>
      </c>
      <c r="E31" s="2" t="s">
        <v>237</v>
      </c>
      <c r="F31" s="20">
        <v>0</v>
      </c>
      <c r="G31" s="2" t="s">
        <v>131</v>
      </c>
      <c r="H31" s="2" t="s">
        <v>183</v>
      </c>
      <c r="I31" s="2" t="s">
        <v>238</v>
      </c>
      <c r="J31" s="2" t="s">
        <v>232</v>
      </c>
      <c r="K31" s="27"/>
      <c r="L31" s="28"/>
      <c r="M31" s="22">
        <v>10.42</v>
      </c>
      <c r="N31" s="28"/>
      <c r="O31" s="28"/>
      <c r="P31" s="29"/>
      <c r="Q31" s="28"/>
      <c r="R31" s="28"/>
      <c r="S31" s="29"/>
      <c r="T31" s="29"/>
      <c r="U31" s="28"/>
      <c r="V31" s="28"/>
      <c r="W31" s="30"/>
      <c r="X31" s="30"/>
      <c r="Y31" s="30"/>
      <c r="Z31" s="30"/>
      <c r="AA31" s="29"/>
      <c r="AB31" s="27"/>
      <c r="AC31" s="27"/>
      <c r="AD31" s="26"/>
      <c r="AE31" s="26"/>
      <c r="AF31" s="29"/>
      <c r="AG31" s="29"/>
      <c r="AH31" s="29"/>
      <c r="AI31" s="29"/>
      <c r="AJ31" s="25">
        <v>46083</v>
      </c>
      <c r="AK31" s="26"/>
      <c r="AL31" s="26"/>
      <c r="AM31" s="26"/>
      <c r="AN31" s="26"/>
      <c r="AO31" s="26"/>
    </row>
    <row r="32" spans="1:41" ht="15.35" x14ac:dyDescent="0.55000000000000004">
      <c r="A32" s="20">
        <v>616</v>
      </c>
      <c r="C32" s="2" t="s">
        <v>239</v>
      </c>
      <c r="D32" s="2" t="s">
        <v>39</v>
      </c>
      <c r="E32" s="2" t="s">
        <v>240</v>
      </c>
      <c r="F32" s="20">
        <v>0</v>
      </c>
      <c r="G32" s="2" t="s">
        <v>151</v>
      </c>
      <c r="H32" s="2" t="s">
        <v>183</v>
      </c>
      <c r="I32" s="2" t="s">
        <v>133</v>
      </c>
      <c r="J32" s="2" t="s">
        <v>241</v>
      </c>
      <c r="K32" s="27"/>
      <c r="L32" s="28"/>
      <c r="M32" s="22">
        <v>16.86</v>
      </c>
      <c r="N32" s="28"/>
      <c r="O32" s="28"/>
      <c r="P32" s="29"/>
      <c r="Q32" s="28"/>
      <c r="R32" s="28"/>
      <c r="S32" s="29"/>
      <c r="T32" s="29"/>
      <c r="U32" s="28"/>
      <c r="V32" s="28"/>
      <c r="W32" s="30"/>
      <c r="X32" s="30"/>
      <c r="Y32" s="30"/>
      <c r="Z32" s="30"/>
      <c r="AA32" s="29"/>
      <c r="AB32" s="27"/>
      <c r="AC32" s="27"/>
      <c r="AD32" s="26"/>
      <c r="AE32" s="26"/>
      <c r="AF32" s="29"/>
      <c r="AG32" s="29"/>
      <c r="AH32" s="29"/>
      <c r="AI32" s="29"/>
      <c r="AJ32" s="25">
        <v>46094</v>
      </c>
      <c r="AK32" s="26"/>
      <c r="AL32" s="26"/>
      <c r="AM32" s="26"/>
      <c r="AN32" s="26"/>
      <c r="AO32" s="26"/>
    </row>
    <row r="33" spans="1:41" ht="15.35" x14ac:dyDescent="0.55000000000000004">
      <c r="A33" s="20">
        <v>617</v>
      </c>
      <c r="C33" s="2" t="s">
        <v>242</v>
      </c>
      <c r="D33" s="2" t="s">
        <v>39</v>
      </c>
      <c r="E33" s="2" t="s">
        <v>243</v>
      </c>
      <c r="F33" s="20">
        <v>0</v>
      </c>
      <c r="G33" s="2" t="s">
        <v>131</v>
      </c>
      <c r="H33" s="2" t="s">
        <v>183</v>
      </c>
      <c r="I33" s="2" t="s">
        <v>183</v>
      </c>
      <c r="J33" s="2" t="s">
        <v>244</v>
      </c>
      <c r="K33" s="27"/>
      <c r="L33" s="28"/>
      <c r="M33" s="22">
        <v>139.28</v>
      </c>
      <c r="N33" s="28"/>
      <c r="O33" s="28"/>
      <c r="P33" s="29"/>
      <c r="Q33" s="28"/>
      <c r="R33" s="28"/>
      <c r="S33" s="29"/>
      <c r="T33" s="29"/>
      <c r="U33" s="28"/>
      <c r="V33" s="28"/>
      <c r="W33" s="30"/>
      <c r="X33" s="30"/>
      <c r="Y33" s="30"/>
      <c r="Z33" s="30"/>
      <c r="AA33" s="29"/>
      <c r="AB33" s="27"/>
      <c r="AC33" s="27"/>
      <c r="AD33" s="26"/>
      <c r="AE33" s="26"/>
      <c r="AF33" s="29"/>
      <c r="AG33" s="29"/>
      <c r="AH33" s="29"/>
      <c r="AI33" s="29"/>
      <c r="AJ33" s="25">
        <v>46111</v>
      </c>
      <c r="AK33" s="26"/>
      <c r="AL33" s="26"/>
      <c r="AM33" s="26"/>
      <c r="AN33" s="26"/>
      <c r="AO33" s="26"/>
    </row>
    <row r="34" spans="1:41" ht="15.35" x14ac:dyDescent="0.55000000000000004">
      <c r="A34" s="20">
        <v>622</v>
      </c>
      <c r="C34" s="2" t="s">
        <v>245</v>
      </c>
      <c r="D34" s="2" t="s">
        <v>39</v>
      </c>
      <c r="E34" s="2" t="s">
        <v>246</v>
      </c>
      <c r="F34" s="20">
        <v>0</v>
      </c>
      <c r="G34" s="2" t="s">
        <v>151</v>
      </c>
      <c r="H34" s="2" t="s">
        <v>183</v>
      </c>
      <c r="I34" s="2" t="s">
        <v>133</v>
      </c>
      <c r="J34" s="2" t="s">
        <v>152</v>
      </c>
      <c r="K34" s="27"/>
      <c r="L34" s="28"/>
      <c r="M34" s="22">
        <v>54.05</v>
      </c>
      <c r="N34" s="28"/>
      <c r="O34" s="28"/>
      <c r="P34" s="29"/>
      <c r="Q34" s="28"/>
      <c r="R34" s="28"/>
      <c r="S34" s="29"/>
      <c r="T34" s="29"/>
      <c r="U34" s="28"/>
      <c r="V34" s="28"/>
      <c r="W34" s="30"/>
      <c r="X34" s="30"/>
      <c r="Y34" s="30"/>
      <c r="Z34" s="30"/>
      <c r="AA34" s="29"/>
      <c r="AB34" s="27"/>
      <c r="AC34" s="27"/>
      <c r="AD34" s="26"/>
      <c r="AE34" s="26"/>
      <c r="AF34" s="29"/>
      <c r="AG34" s="29"/>
      <c r="AH34" s="29"/>
      <c r="AI34" s="29"/>
      <c r="AJ34" s="25">
        <v>46142</v>
      </c>
      <c r="AK34" s="26"/>
      <c r="AL34" s="26"/>
      <c r="AM34" s="26"/>
      <c r="AN34" s="26"/>
      <c r="AO34" s="26"/>
    </row>
    <row r="35" spans="1:41" ht="15.35" x14ac:dyDescent="0.55000000000000004">
      <c r="A35" s="20">
        <v>627</v>
      </c>
      <c r="C35" s="2" t="s">
        <v>247</v>
      </c>
      <c r="D35" s="2" t="s">
        <v>39</v>
      </c>
      <c r="E35" s="2" t="s">
        <v>248</v>
      </c>
      <c r="F35" s="20">
        <v>0</v>
      </c>
      <c r="G35" s="2" t="s">
        <v>131</v>
      </c>
      <c r="H35" s="2" t="s">
        <v>183</v>
      </c>
      <c r="I35" s="2" t="s">
        <v>249</v>
      </c>
      <c r="J35" s="2" t="s">
        <v>134</v>
      </c>
      <c r="K35" s="27"/>
      <c r="L35" s="28"/>
      <c r="M35" s="22">
        <v>11.01</v>
      </c>
      <c r="N35" s="28"/>
      <c r="O35" s="28"/>
      <c r="P35" s="29"/>
      <c r="Q35" s="28"/>
      <c r="R35" s="28"/>
      <c r="S35" s="29"/>
      <c r="T35" s="29"/>
      <c r="U35" s="28"/>
      <c r="V35" s="28"/>
      <c r="W35" s="30"/>
      <c r="X35" s="30"/>
      <c r="Y35" s="30"/>
      <c r="Z35" s="30"/>
      <c r="AA35" s="29"/>
      <c r="AB35" s="27"/>
      <c r="AC35" s="27"/>
      <c r="AD35" s="26"/>
      <c r="AE35" s="26"/>
      <c r="AF35" s="29"/>
      <c r="AG35" s="29"/>
      <c r="AH35" s="29"/>
      <c r="AI35" s="29"/>
      <c r="AJ35" s="25">
        <v>46148</v>
      </c>
      <c r="AK35" s="26"/>
      <c r="AL35" s="26"/>
      <c r="AM35" s="26"/>
      <c r="AN35" s="26"/>
      <c r="AO35" s="26"/>
    </row>
    <row r="36" spans="1:41" ht="15.35" x14ac:dyDescent="0.55000000000000004">
      <c r="A36" s="20">
        <v>633</v>
      </c>
      <c r="C36" s="2" t="s">
        <v>250</v>
      </c>
      <c r="D36" s="2" t="s">
        <v>39</v>
      </c>
      <c r="E36" s="2" t="s">
        <v>251</v>
      </c>
      <c r="F36" s="20">
        <v>0</v>
      </c>
      <c r="G36" s="2" t="s">
        <v>151</v>
      </c>
      <c r="H36" s="2" t="s">
        <v>183</v>
      </c>
      <c r="I36" s="2" t="s">
        <v>208</v>
      </c>
      <c r="J36" s="2" t="s">
        <v>252</v>
      </c>
      <c r="K36" s="27"/>
      <c r="L36" s="28"/>
      <c r="M36" s="22">
        <v>14.25</v>
      </c>
      <c r="N36" s="28"/>
      <c r="O36" s="28"/>
      <c r="P36" s="29"/>
      <c r="Q36" s="28"/>
      <c r="R36" s="28"/>
      <c r="S36" s="29"/>
      <c r="T36" s="29"/>
      <c r="U36" s="28"/>
      <c r="V36" s="28"/>
      <c r="W36" s="30"/>
      <c r="X36" s="30"/>
      <c r="Y36" s="30"/>
      <c r="Z36" s="30"/>
      <c r="AA36" s="29"/>
      <c r="AB36" s="27"/>
      <c r="AC36" s="27"/>
      <c r="AD36" s="26"/>
      <c r="AE36" s="26"/>
      <c r="AF36" s="29"/>
      <c r="AG36" s="29"/>
      <c r="AH36" s="29"/>
      <c r="AI36" s="29"/>
      <c r="AJ36" s="25">
        <v>46199</v>
      </c>
      <c r="AK36" s="26"/>
      <c r="AL36" s="26"/>
      <c r="AM36" s="26"/>
      <c r="AN36" s="26"/>
      <c r="AO36" s="26"/>
    </row>
    <row r="37" spans="1:41" ht="15.35" x14ac:dyDescent="0.55000000000000004">
      <c r="A37" s="20">
        <v>637</v>
      </c>
      <c r="C37" s="2" t="s">
        <v>253</v>
      </c>
      <c r="D37" s="2" t="s">
        <v>39</v>
      </c>
      <c r="E37" s="2" t="s">
        <v>254</v>
      </c>
      <c r="F37" s="20">
        <v>0</v>
      </c>
      <c r="G37" s="2" t="s">
        <v>131</v>
      </c>
      <c r="H37" s="2" t="s">
        <v>183</v>
      </c>
      <c r="I37" s="2" t="s">
        <v>133</v>
      </c>
      <c r="J37" s="2" t="s">
        <v>196</v>
      </c>
      <c r="K37" s="27"/>
      <c r="L37" s="28"/>
      <c r="M37" s="22">
        <v>11.03</v>
      </c>
      <c r="N37" s="28"/>
      <c r="O37" s="28"/>
      <c r="P37" s="29"/>
      <c r="Q37" s="28"/>
      <c r="R37" s="28"/>
      <c r="S37" s="29"/>
      <c r="T37" s="29"/>
      <c r="U37" s="28"/>
      <c r="V37" s="28"/>
      <c r="W37" s="30"/>
      <c r="X37" s="30"/>
      <c r="Y37" s="30"/>
      <c r="Z37" s="30"/>
      <c r="AA37" s="29"/>
      <c r="AB37" s="27"/>
      <c r="AC37" s="27"/>
      <c r="AD37" s="26"/>
      <c r="AE37" s="26"/>
      <c r="AF37" s="29"/>
      <c r="AG37" s="29"/>
      <c r="AH37" s="29"/>
      <c r="AI37" s="29"/>
      <c r="AJ37" s="25">
        <v>46241</v>
      </c>
      <c r="AK37" s="26"/>
      <c r="AL37" s="26"/>
      <c r="AM37" s="26"/>
      <c r="AN37" s="26"/>
      <c r="AO37" s="26"/>
    </row>
    <row r="38" spans="1:41" ht="15.35" x14ac:dyDescent="0.55000000000000004">
      <c r="A38" s="20">
        <v>638</v>
      </c>
      <c r="C38" s="2" t="s">
        <v>255</v>
      </c>
      <c r="D38" s="2" t="s">
        <v>39</v>
      </c>
      <c r="E38" s="2" t="s">
        <v>256</v>
      </c>
      <c r="F38" s="20">
        <v>0</v>
      </c>
      <c r="G38" s="2" t="s">
        <v>131</v>
      </c>
      <c r="H38" s="2" t="s">
        <v>183</v>
      </c>
      <c r="I38" s="2" t="s">
        <v>235</v>
      </c>
      <c r="J38" s="2" t="s">
        <v>147</v>
      </c>
      <c r="K38" s="27"/>
      <c r="L38" s="28"/>
      <c r="M38" s="22">
        <v>32.07</v>
      </c>
      <c r="N38" s="28"/>
      <c r="O38" s="28"/>
      <c r="P38" s="29"/>
      <c r="Q38" s="28"/>
      <c r="R38" s="28"/>
      <c r="S38" s="29"/>
      <c r="T38" s="29"/>
      <c r="U38" s="28"/>
      <c r="V38" s="28"/>
      <c r="W38" s="30"/>
      <c r="X38" s="30"/>
      <c r="Y38" s="30"/>
      <c r="Z38" s="30"/>
      <c r="AA38" s="29"/>
      <c r="AB38" s="27"/>
      <c r="AC38" s="27"/>
      <c r="AD38" s="26"/>
      <c r="AE38" s="26"/>
      <c r="AF38" s="29"/>
      <c r="AG38" s="29"/>
      <c r="AH38" s="29"/>
      <c r="AI38" s="29"/>
      <c r="AJ38" s="25">
        <v>46240</v>
      </c>
      <c r="AK38" s="26"/>
      <c r="AL38" s="26"/>
      <c r="AM38" s="26"/>
      <c r="AN38" s="26"/>
      <c r="AO38" s="26"/>
    </row>
    <row r="39" spans="1:41" ht="15.35" x14ac:dyDescent="0.55000000000000004">
      <c r="A39" s="20">
        <v>639</v>
      </c>
      <c r="C39" s="2" t="s">
        <v>257</v>
      </c>
      <c r="D39" s="2" t="s">
        <v>39</v>
      </c>
      <c r="E39" s="2" t="s">
        <v>258</v>
      </c>
      <c r="F39" s="20">
        <v>0</v>
      </c>
      <c r="G39" s="2" t="s">
        <v>151</v>
      </c>
      <c r="H39" s="2" t="s">
        <v>183</v>
      </c>
      <c r="I39" s="2" t="s">
        <v>133</v>
      </c>
      <c r="J39" s="2" t="s">
        <v>200</v>
      </c>
      <c r="K39" s="27"/>
      <c r="L39" s="28"/>
      <c r="M39" s="22">
        <v>55.55</v>
      </c>
      <c r="N39" s="28"/>
      <c r="O39" s="28"/>
      <c r="P39" s="29"/>
      <c r="Q39" s="28"/>
      <c r="R39" s="28"/>
      <c r="S39" s="29"/>
      <c r="T39" s="29"/>
      <c r="U39" s="28"/>
      <c r="V39" s="28"/>
      <c r="W39" s="30"/>
      <c r="X39" s="30"/>
      <c r="Y39" s="30"/>
      <c r="Z39" s="30"/>
      <c r="AA39" s="29"/>
      <c r="AB39" s="27"/>
      <c r="AC39" s="27"/>
      <c r="AD39" s="26"/>
      <c r="AE39" s="26"/>
      <c r="AF39" s="29"/>
      <c r="AG39" s="29"/>
      <c r="AH39" s="29"/>
      <c r="AI39" s="29"/>
      <c r="AJ39" s="25">
        <v>46233</v>
      </c>
      <c r="AK39" s="26"/>
      <c r="AL39" s="26"/>
      <c r="AM39" s="26"/>
      <c r="AN39" s="26"/>
      <c r="AO39" s="26"/>
    </row>
    <row r="40" spans="1:41" ht="15.35" x14ac:dyDescent="0.55000000000000004">
      <c r="A40" s="20">
        <v>641</v>
      </c>
      <c r="C40" s="2" t="s">
        <v>259</v>
      </c>
      <c r="D40" s="2" t="s">
        <v>39</v>
      </c>
      <c r="E40" s="2" t="s">
        <v>260</v>
      </c>
      <c r="F40" s="20">
        <v>0</v>
      </c>
      <c r="G40" s="2" t="s">
        <v>151</v>
      </c>
      <c r="H40" s="2" t="s">
        <v>183</v>
      </c>
      <c r="I40" s="2" t="s">
        <v>261</v>
      </c>
      <c r="J40" s="2" t="s">
        <v>200</v>
      </c>
      <c r="K40" s="27"/>
      <c r="L40" s="28"/>
      <c r="M40" s="22">
        <v>29.228999999999999</v>
      </c>
      <c r="N40" s="28"/>
      <c r="O40" s="28"/>
      <c r="P40" s="29"/>
      <c r="Q40" s="28"/>
      <c r="R40" s="28"/>
      <c r="S40" s="29"/>
      <c r="T40" s="29"/>
      <c r="U40" s="28"/>
      <c r="V40" s="28"/>
      <c r="W40" s="30"/>
      <c r="X40" s="30"/>
      <c r="Y40" s="30"/>
      <c r="Z40" s="30"/>
      <c r="AA40" s="29"/>
      <c r="AB40" s="27"/>
      <c r="AC40" s="27"/>
      <c r="AD40" s="26"/>
      <c r="AE40" s="26"/>
      <c r="AF40" s="29"/>
      <c r="AG40" s="29"/>
      <c r="AH40" s="29"/>
      <c r="AI40" s="29"/>
      <c r="AJ40" s="25">
        <v>46259</v>
      </c>
      <c r="AK40" s="26"/>
      <c r="AL40" s="26"/>
      <c r="AM40" s="26"/>
      <c r="AN40" s="26"/>
      <c r="AO40" s="26"/>
    </row>
    <row r="41" spans="1:41" ht="15.35" x14ac:dyDescent="0.55000000000000004">
      <c r="A41" s="20">
        <v>642</v>
      </c>
      <c r="C41" s="2" t="s">
        <v>262</v>
      </c>
      <c r="D41" s="2" t="s">
        <v>39</v>
      </c>
      <c r="E41" s="2" t="s">
        <v>263</v>
      </c>
      <c r="F41" s="20">
        <v>0</v>
      </c>
      <c r="G41" s="2" t="s">
        <v>131</v>
      </c>
      <c r="H41" s="2" t="s">
        <v>132</v>
      </c>
      <c r="I41" s="2" t="s">
        <v>264</v>
      </c>
      <c r="J41" s="2" t="s">
        <v>213</v>
      </c>
      <c r="K41" s="27"/>
      <c r="L41" s="28"/>
      <c r="M41" s="22">
        <v>13.2515</v>
      </c>
      <c r="N41" s="28"/>
      <c r="O41" s="28"/>
      <c r="P41" s="29"/>
      <c r="Q41" s="28"/>
      <c r="R41" s="28"/>
      <c r="S41" s="29"/>
      <c r="T41" s="29"/>
      <c r="U41" s="28"/>
      <c r="V41" s="28"/>
      <c r="W41" s="30"/>
      <c r="X41" s="30"/>
      <c r="Y41" s="30"/>
      <c r="Z41" s="30"/>
      <c r="AA41" s="29"/>
      <c r="AB41" s="27"/>
      <c r="AC41" s="27"/>
      <c r="AD41" s="26"/>
      <c r="AE41" s="26"/>
      <c r="AF41" s="29"/>
      <c r="AG41" s="29"/>
      <c r="AH41" s="29"/>
      <c r="AI41" s="29"/>
      <c r="AJ41" s="25">
        <v>46259</v>
      </c>
      <c r="AK41" s="26"/>
      <c r="AL41" s="26"/>
      <c r="AM41" s="26"/>
      <c r="AN41" s="26"/>
      <c r="AO41" s="26"/>
    </row>
    <row r="42" spans="1:41" ht="15.35" x14ac:dyDescent="0.55000000000000004">
      <c r="A42" s="20">
        <v>643</v>
      </c>
      <c r="C42" s="2" t="s">
        <v>265</v>
      </c>
      <c r="D42" s="2" t="s">
        <v>39</v>
      </c>
      <c r="E42" s="2" t="s">
        <v>266</v>
      </c>
      <c r="F42" s="20">
        <v>0</v>
      </c>
      <c r="G42" s="2" t="s">
        <v>151</v>
      </c>
      <c r="H42" s="2" t="s">
        <v>183</v>
      </c>
      <c r="I42" s="2" t="s">
        <v>133</v>
      </c>
      <c r="J42" s="2" t="s">
        <v>172</v>
      </c>
      <c r="K42" s="27"/>
      <c r="L42" s="28"/>
      <c r="M42" s="22">
        <v>15.34</v>
      </c>
      <c r="N42" s="28"/>
      <c r="O42" s="28"/>
      <c r="P42" s="29"/>
      <c r="Q42" s="28"/>
      <c r="R42" s="28"/>
      <c r="S42" s="29"/>
      <c r="T42" s="29"/>
      <c r="U42" s="28"/>
      <c r="V42" s="28"/>
      <c r="W42" s="30"/>
      <c r="X42" s="30"/>
      <c r="Y42" s="30"/>
      <c r="Z42" s="30"/>
      <c r="AA42" s="29"/>
      <c r="AB42" s="27"/>
      <c r="AC42" s="27"/>
      <c r="AD42" s="26"/>
      <c r="AE42" s="26"/>
      <c r="AF42" s="29"/>
      <c r="AG42" s="29"/>
      <c r="AH42" s="29"/>
      <c r="AI42" s="29"/>
      <c r="AJ42" s="25">
        <v>46276</v>
      </c>
      <c r="AK42" s="26"/>
      <c r="AL42" s="26"/>
      <c r="AM42" s="26"/>
      <c r="AN42" s="26"/>
      <c r="AO42" s="26"/>
    </row>
    <row r="43" spans="1:41" ht="15.35" x14ac:dyDescent="0.55000000000000004">
      <c r="A43" s="20">
        <v>650</v>
      </c>
      <c r="C43" s="2" t="s">
        <v>267</v>
      </c>
      <c r="D43" s="2" t="s">
        <v>39</v>
      </c>
      <c r="E43" s="2" t="s">
        <v>268</v>
      </c>
      <c r="F43" s="20">
        <v>0</v>
      </c>
      <c r="G43" s="2" t="s">
        <v>131</v>
      </c>
      <c r="H43" s="2" t="s">
        <v>183</v>
      </c>
      <c r="I43" s="2" t="s">
        <v>133</v>
      </c>
      <c r="J43" s="2" t="s">
        <v>172</v>
      </c>
      <c r="K43" s="27"/>
      <c r="L43" s="28"/>
      <c r="M43" s="22">
        <v>20.45</v>
      </c>
      <c r="N43" s="28"/>
      <c r="O43" s="28"/>
      <c r="P43" s="29"/>
      <c r="Q43" s="28"/>
      <c r="R43" s="28"/>
      <c r="S43" s="29"/>
      <c r="T43" s="29"/>
      <c r="U43" s="28"/>
      <c r="V43" s="28"/>
      <c r="W43" s="30"/>
      <c r="X43" s="30"/>
      <c r="Y43" s="30"/>
      <c r="Z43" s="30"/>
      <c r="AA43" s="29"/>
      <c r="AB43" s="27"/>
      <c r="AC43" s="27"/>
      <c r="AD43" s="26"/>
      <c r="AE43" s="26"/>
      <c r="AF43" s="29"/>
      <c r="AG43" s="29"/>
      <c r="AH43" s="29"/>
      <c r="AI43" s="29"/>
      <c r="AJ43" s="25">
        <v>46281</v>
      </c>
      <c r="AK43" s="26"/>
      <c r="AL43" s="26"/>
      <c r="AM43" s="26"/>
      <c r="AN43" s="26"/>
      <c r="AO43" s="26"/>
    </row>
    <row r="44" spans="1:41" ht="15.35" x14ac:dyDescent="0.55000000000000004">
      <c r="A44" s="20">
        <v>651</v>
      </c>
      <c r="C44" s="2" t="s">
        <v>269</v>
      </c>
      <c r="D44" s="2" t="s">
        <v>39</v>
      </c>
      <c r="E44" s="2" t="s">
        <v>270</v>
      </c>
      <c r="F44" s="20">
        <v>0</v>
      </c>
      <c r="G44" s="2" t="s">
        <v>151</v>
      </c>
      <c r="H44" s="2" t="s">
        <v>183</v>
      </c>
      <c r="I44" s="2" t="s">
        <v>235</v>
      </c>
      <c r="J44" s="2" t="s">
        <v>160</v>
      </c>
      <c r="K44" s="27"/>
      <c r="L44" s="28"/>
      <c r="M44" s="22">
        <v>13.41</v>
      </c>
      <c r="N44" s="28"/>
      <c r="O44" s="28"/>
      <c r="P44" s="29"/>
      <c r="Q44" s="28"/>
      <c r="R44" s="28"/>
      <c r="S44" s="29"/>
      <c r="T44" s="29"/>
      <c r="U44" s="28"/>
      <c r="V44" s="28"/>
      <c r="W44" s="30"/>
      <c r="X44" s="30"/>
      <c r="Y44" s="30"/>
      <c r="Z44" s="30"/>
      <c r="AA44" s="29"/>
      <c r="AB44" s="27"/>
      <c r="AC44" s="27"/>
      <c r="AD44" s="26"/>
      <c r="AE44" s="26"/>
      <c r="AF44" s="29"/>
      <c r="AG44" s="29"/>
      <c r="AH44" s="29"/>
      <c r="AI44" s="29"/>
      <c r="AJ44" s="25">
        <v>46283</v>
      </c>
      <c r="AK44" s="26"/>
      <c r="AL44" s="26"/>
      <c r="AM44" s="26"/>
      <c r="AN44" s="26"/>
      <c r="AO44" s="26"/>
    </row>
    <row r="45" spans="1:41" ht="15.35" x14ac:dyDescent="0.55000000000000004">
      <c r="A45" s="20">
        <v>652</v>
      </c>
      <c r="C45" s="2" t="s">
        <v>271</v>
      </c>
      <c r="D45" s="2" t="s">
        <v>39</v>
      </c>
      <c r="E45" s="2" t="s">
        <v>272</v>
      </c>
      <c r="F45" s="20">
        <v>0</v>
      </c>
      <c r="G45" s="2" t="s">
        <v>131</v>
      </c>
      <c r="H45" s="2" t="s">
        <v>183</v>
      </c>
      <c r="I45" s="2" t="s">
        <v>273</v>
      </c>
      <c r="J45" s="2" t="s">
        <v>200</v>
      </c>
      <c r="K45" s="27"/>
      <c r="L45" s="28"/>
      <c r="M45" s="22">
        <v>38.18</v>
      </c>
      <c r="N45" s="28"/>
      <c r="O45" s="28"/>
      <c r="P45" s="29"/>
      <c r="Q45" s="28"/>
      <c r="R45" s="28"/>
      <c r="S45" s="29"/>
      <c r="T45" s="29"/>
      <c r="U45" s="28"/>
      <c r="V45" s="28"/>
      <c r="W45" s="30"/>
      <c r="X45" s="30"/>
      <c r="Y45" s="30"/>
      <c r="Z45" s="30"/>
      <c r="AA45" s="29"/>
      <c r="AB45" s="27"/>
      <c r="AC45" s="27"/>
      <c r="AD45" s="26"/>
      <c r="AE45" s="26"/>
      <c r="AF45" s="29"/>
      <c r="AG45" s="29"/>
      <c r="AH45" s="29"/>
      <c r="AI45" s="29"/>
      <c r="AJ45" s="25">
        <v>46284</v>
      </c>
      <c r="AK45" s="26"/>
      <c r="AL45" s="26"/>
      <c r="AM45" s="26"/>
      <c r="AN45" s="26"/>
      <c r="AO45" s="26"/>
    </row>
    <row r="46" spans="1:41" ht="15.35" x14ac:dyDescent="0.55000000000000004">
      <c r="A46" s="20">
        <v>653</v>
      </c>
      <c r="C46" s="2" t="s">
        <v>274</v>
      </c>
      <c r="D46" s="2" t="s">
        <v>39</v>
      </c>
      <c r="E46" s="2" t="s">
        <v>275</v>
      </c>
      <c r="F46" s="20">
        <v>0</v>
      </c>
      <c r="G46" s="2" t="s">
        <v>151</v>
      </c>
      <c r="H46" s="2" t="s">
        <v>183</v>
      </c>
      <c r="I46" s="2" t="s">
        <v>133</v>
      </c>
      <c r="J46" s="2" t="s">
        <v>252</v>
      </c>
      <c r="K46" s="27"/>
      <c r="L46" s="28"/>
      <c r="M46" s="22">
        <v>24.19</v>
      </c>
      <c r="N46" s="28"/>
      <c r="O46" s="28"/>
      <c r="P46" s="29"/>
      <c r="Q46" s="28"/>
      <c r="R46" s="28"/>
      <c r="S46" s="29"/>
      <c r="T46" s="29"/>
      <c r="U46" s="28"/>
      <c r="V46" s="28"/>
      <c r="W46" s="30"/>
      <c r="X46" s="30"/>
      <c r="Y46" s="30"/>
      <c r="Z46" s="30"/>
      <c r="AA46" s="29"/>
      <c r="AB46" s="27"/>
      <c r="AC46" s="27"/>
      <c r="AD46" s="26"/>
      <c r="AE46" s="26"/>
      <c r="AF46" s="29"/>
      <c r="AG46" s="29"/>
      <c r="AH46" s="29"/>
      <c r="AI46" s="29"/>
      <c r="AJ46" s="25">
        <v>46289</v>
      </c>
      <c r="AK46" s="26"/>
      <c r="AL46" s="26"/>
      <c r="AM46" s="26"/>
      <c r="AN46" s="26"/>
      <c r="AO46" s="26"/>
    </row>
    <row r="47" spans="1:41" ht="15.35" x14ac:dyDescent="0.55000000000000004">
      <c r="A47" s="20">
        <v>655</v>
      </c>
      <c r="C47" s="2" t="s">
        <v>276</v>
      </c>
      <c r="D47" s="2" t="s">
        <v>39</v>
      </c>
      <c r="E47" s="2" t="s">
        <v>277</v>
      </c>
      <c r="F47" s="20">
        <v>0</v>
      </c>
      <c r="G47" s="2" t="s">
        <v>151</v>
      </c>
      <c r="H47" s="2" t="s">
        <v>183</v>
      </c>
      <c r="I47" s="2" t="s">
        <v>278</v>
      </c>
      <c r="J47" s="2" t="s">
        <v>152</v>
      </c>
      <c r="K47" s="27"/>
      <c r="L47" s="28"/>
      <c r="M47" s="22">
        <v>12.52</v>
      </c>
      <c r="N47" s="28"/>
      <c r="O47" s="28"/>
      <c r="P47" s="29"/>
      <c r="Q47" s="28"/>
      <c r="R47" s="28"/>
      <c r="S47" s="29"/>
      <c r="T47" s="29"/>
      <c r="U47" s="28"/>
      <c r="V47" s="28"/>
      <c r="W47" s="30"/>
      <c r="X47" s="30"/>
      <c r="Y47" s="30"/>
      <c r="Z47" s="30"/>
      <c r="AA47" s="29"/>
      <c r="AB47" s="27"/>
      <c r="AC47" s="27"/>
      <c r="AD47" s="26"/>
      <c r="AE47" s="26"/>
      <c r="AF47" s="29"/>
      <c r="AG47" s="29"/>
      <c r="AH47" s="29"/>
      <c r="AI47" s="29"/>
      <c r="AJ47" s="25">
        <v>46289</v>
      </c>
      <c r="AK47" s="26"/>
      <c r="AL47" s="26"/>
      <c r="AM47" s="26"/>
      <c r="AN47" s="26"/>
      <c r="AO47" s="26"/>
    </row>
    <row r="48" spans="1:41" ht="15.35" x14ac:dyDescent="0.55000000000000004">
      <c r="A48" s="20">
        <v>656</v>
      </c>
      <c r="C48" s="2" t="s">
        <v>279</v>
      </c>
      <c r="D48" s="2" t="s">
        <v>39</v>
      </c>
      <c r="E48" s="2" t="s">
        <v>280</v>
      </c>
      <c r="F48" s="20">
        <v>0</v>
      </c>
      <c r="G48" s="2" t="s">
        <v>151</v>
      </c>
      <c r="H48" s="2" t="s">
        <v>183</v>
      </c>
      <c r="I48" s="2" t="s">
        <v>281</v>
      </c>
      <c r="J48" s="2" t="s">
        <v>282</v>
      </c>
      <c r="K48" s="27"/>
      <c r="L48" s="28"/>
      <c r="M48" s="22">
        <v>18.14</v>
      </c>
      <c r="N48" s="28"/>
      <c r="O48" s="28"/>
      <c r="P48" s="29"/>
      <c r="Q48" s="28"/>
      <c r="R48" s="28"/>
      <c r="S48" s="29"/>
      <c r="T48" s="29"/>
      <c r="U48" s="28"/>
      <c r="V48" s="28"/>
      <c r="W48" s="30"/>
      <c r="X48" s="30"/>
      <c r="Y48" s="30"/>
      <c r="Z48" s="30"/>
      <c r="AA48" s="29"/>
      <c r="AB48" s="27"/>
      <c r="AC48" s="27"/>
      <c r="AD48" s="26"/>
      <c r="AE48" s="26"/>
      <c r="AF48" s="29"/>
      <c r="AG48" s="29"/>
      <c r="AH48" s="29"/>
      <c r="AI48" s="29"/>
      <c r="AJ48" s="25">
        <v>46289</v>
      </c>
      <c r="AK48" s="26"/>
      <c r="AL48" s="26"/>
      <c r="AM48" s="26"/>
      <c r="AN48" s="26"/>
      <c r="AO48" s="26"/>
    </row>
    <row r="49" spans="1:41" ht="15.35" x14ac:dyDescent="0.55000000000000004">
      <c r="A49" s="20">
        <v>588</v>
      </c>
      <c r="C49" s="2" t="s">
        <v>283</v>
      </c>
      <c r="D49" s="2" t="s">
        <v>47</v>
      </c>
      <c r="E49" s="2" t="s">
        <v>284</v>
      </c>
      <c r="F49" s="20">
        <v>0</v>
      </c>
      <c r="G49" s="2" t="s">
        <v>151</v>
      </c>
      <c r="H49" s="2" t="s">
        <v>132</v>
      </c>
      <c r="I49" s="2" t="s">
        <v>133</v>
      </c>
      <c r="J49" s="2" t="s">
        <v>147</v>
      </c>
      <c r="K49" s="27"/>
      <c r="L49" s="28"/>
      <c r="M49" s="22">
        <v>11.473000000000001</v>
      </c>
      <c r="N49" s="28"/>
      <c r="O49" s="28"/>
      <c r="P49" s="29"/>
      <c r="Q49" s="28"/>
      <c r="R49" s="28"/>
      <c r="S49" s="29"/>
      <c r="T49" s="29"/>
      <c r="U49" s="28"/>
      <c r="V49" s="28"/>
      <c r="W49" s="30"/>
      <c r="X49" s="30"/>
      <c r="Y49" s="30"/>
      <c r="Z49" s="30"/>
      <c r="AA49" s="29"/>
      <c r="AB49" s="27"/>
      <c r="AC49" s="27"/>
      <c r="AD49" s="26"/>
      <c r="AE49" s="26"/>
      <c r="AF49" s="29"/>
      <c r="AG49" s="29"/>
      <c r="AH49" s="29"/>
      <c r="AI49" s="29"/>
      <c r="AJ49" s="25">
        <v>45867</v>
      </c>
      <c r="AK49" s="26"/>
      <c r="AL49" s="26"/>
      <c r="AM49" s="26"/>
      <c r="AN49" s="26"/>
      <c r="AO49" s="26"/>
    </row>
    <row r="50" spans="1:41" ht="15.35" x14ac:dyDescent="0.55000000000000004">
      <c r="A50" s="20">
        <v>591</v>
      </c>
      <c r="B50" s="2" t="s">
        <v>148</v>
      </c>
      <c r="C50" s="2" t="s">
        <v>285</v>
      </c>
      <c r="D50" s="2" t="s">
        <v>47</v>
      </c>
      <c r="E50" s="2" t="s">
        <v>150</v>
      </c>
      <c r="F50" s="20">
        <v>1</v>
      </c>
      <c r="G50" s="2" t="s">
        <v>151</v>
      </c>
      <c r="H50" s="2" t="s">
        <v>132</v>
      </c>
      <c r="I50" s="2" t="s">
        <v>133</v>
      </c>
      <c r="J50" s="2" t="s">
        <v>152</v>
      </c>
      <c r="K50" s="27"/>
      <c r="L50" s="28"/>
      <c r="M50" s="22">
        <v>69.227000000000004</v>
      </c>
      <c r="N50" s="28"/>
      <c r="O50" s="28"/>
      <c r="P50" s="29"/>
      <c r="Q50" s="28"/>
      <c r="R50" s="28"/>
      <c r="S50" s="29"/>
      <c r="T50" s="29"/>
      <c r="U50" s="28"/>
      <c r="V50" s="28"/>
      <c r="W50" s="30"/>
      <c r="X50" s="30"/>
      <c r="Y50" s="30"/>
      <c r="Z50" s="30"/>
      <c r="AA50" s="23">
        <v>1</v>
      </c>
      <c r="AB50" s="27"/>
      <c r="AC50" s="27"/>
      <c r="AD50" s="26"/>
      <c r="AE50" s="26"/>
      <c r="AF50" s="29"/>
      <c r="AG50" s="29"/>
      <c r="AH50" s="29"/>
      <c r="AI50" s="29"/>
      <c r="AJ50" s="25">
        <v>45943</v>
      </c>
      <c r="AK50" s="26"/>
      <c r="AL50" s="26"/>
      <c r="AM50" s="26"/>
      <c r="AN50" s="26"/>
      <c r="AO50" s="26"/>
    </row>
  </sheetData>
  <autoFilter ref="A2:AO50" xr:uid="{00000000-0009-0000-0000-000001000000}"/>
  <mergeCells count="1">
    <mergeCell ref="B1:C1"/>
  </mergeCells>
  <phoneticPr fontId="17" type="noConversion"/>
  <conditionalFormatting sqref="D3:D3000">
    <cfRule type="expression" dxfId="11" priority="1" stopIfTrue="1">
      <formula>$D3="已上市"</formula>
    </cfRule>
    <cfRule type="expression" dxfId="10" priority="2" stopIfTrue="1">
      <formula>$D3="已成立"</formula>
    </cfRule>
    <cfRule type="expression" dxfId="9" priority="3" stopIfTrue="1">
      <formula>$D3="已询价"</formula>
    </cfRule>
    <cfRule type="expression" dxfId="8" priority="4" stopIfTrue="1">
      <formula>$D3="已通过"</formula>
    </cfRule>
    <cfRule type="expression" dxfId="7" priority="5" stopIfTrue="1">
      <formula>$D3="已受理"</formula>
    </cfRule>
    <cfRule type="expression" dxfId="6" priority="6" stopIfTrue="1">
      <formula>$D3="已申报"</formula>
    </cfRule>
    <cfRule type="expression" dxfId="5" priority="7" stopIfTrue="1">
      <formula>$D3="已终止"</formula>
    </cfRule>
  </conditionalFormatting>
  <hyperlinks>
    <hyperlink ref="B1" location="'数据概览'!A1" tooltip="返回数据概览" display="⬅ 返回数据概览" xr:uid="{00000000-0004-0000-0100-000000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73"/>
  <sheetViews>
    <sheetView tabSelected="1" workbookViewId="0">
      <pane xSplit="3" ySplit="2" topLeftCell="D61" activePane="bottomRight" state="frozen"/>
      <selection pane="topRight"/>
      <selection pane="bottomLeft"/>
      <selection pane="bottomRight"/>
    </sheetView>
  </sheetViews>
  <sheetFormatPr defaultRowHeight="14.35" x14ac:dyDescent="0.4"/>
  <cols>
    <col min="1" max="1" width="6" hidden="1" customWidth="1"/>
    <col min="2" max="2" width="8" customWidth="1"/>
    <col min="3" max="3" width="26" customWidth="1"/>
    <col min="4" max="5" width="14" customWidth="1"/>
    <col min="6" max="7" width="10" customWidth="1"/>
    <col min="8" max="9" width="14" customWidth="1"/>
    <col min="10" max="10" width="10" customWidth="1"/>
    <col min="11" max="14" width="14" customWidth="1"/>
    <col min="15" max="15" width="11" customWidth="1"/>
    <col min="16" max="22" width="14" customWidth="1"/>
  </cols>
  <sheetData>
    <row r="1" spans="1:22" ht="15.35" x14ac:dyDescent="0.55000000000000004">
      <c r="B1" s="61" t="s">
        <v>87</v>
      </c>
      <c r="C1" s="62"/>
    </row>
    <row r="2" spans="1:22" ht="45" customHeight="1" x14ac:dyDescent="0.4">
      <c r="A2" s="6" t="s">
        <v>88</v>
      </c>
      <c r="B2" s="6" t="s">
        <v>89</v>
      </c>
      <c r="C2" s="6" t="s">
        <v>90</v>
      </c>
      <c r="D2" s="6" t="s">
        <v>286</v>
      </c>
      <c r="E2" s="6" t="s">
        <v>287</v>
      </c>
      <c r="F2" s="6" t="s">
        <v>288</v>
      </c>
      <c r="G2" s="6" t="s">
        <v>289</v>
      </c>
      <c r="H2" s="6" t="s">
        <v>290</v>
      </c>
      <c r="I2" s="6" t="s">
        <v>291</v>
      </c>
      <c r="J2" s="6" t="s">
        <v>292</v>
      </c>
      <c r="K2" s="6" t="s">
        <v>293</v>
      </c>
      <c r="L2" s="6" t="s">
        <v>294</v>
      </c>
      <c r="M2" s="6" t="s">
        <v>295</v>
      </c>
      <c r="N2" s="6" t="s">
        <v>296</v>
      </c>
      <c r="O2" s="6" t="s">
        <v>297</v>
      </c>
      <c r="P2" s="6" t="s">
        <v>298</v>
      </c>
      <c r="Q2" s="6" t="s">
        <v>299</v>
      </c>
      <c r="R2" s="6" t="s">
        <v>300</v>
      </c>
      <c r="S2" s="6" t="s">
        <v>301</v>
      </c>
      <c r="T2" s="6" t="s">
        <v>302</v>
      </c>
      <c r="U2" s="6" t="s">
        <v>303</v>
      </c>
      <c r="V2" s="6" t="s">
        <v>304</v>
      </c>
    </row>
    <row r="3" spans="1:22" ht="15.35" x14ac:dyDescent="0.55000000000000004">
      <c r="A3" s="20">
        <v>5178</v>
      </c>
      <c r="B3" s="2" t="s">
        <v>148</v>
      </c>
      <c r="C3" s="2" t="s">
        <v>149</v>
      </c>
      <c r="D3" s="2" t="s">
        <v>305</v>
      </c>
      <c r="E3" s="2" t="s">
        <v>133</v>
      </c>
      <c r="F3" s="2" t="s">
        <v>306</v>
      </c>
      <c r="G3" s="2" t="s">
        <v>307</v>
      </c>
      <c r="H3" s="2" t="s">
        <v>308</v>
      </c>
      <c r="I3" s="2" t="s">
        <v>309</v>
      </c>
      <c r="J3" s="2" t="s">
        <v>310</v>
      </c>
      <c r="L3" s="25">
        <v>41325</v>
      </c>
      <c r="M3" s="25">
        <v>55934</v>
      </c>
      <c r="R3" s="25">
        <v>43466</v>
      </c>
      <c r="T3" s="21">
        <v>42208</v>
      </c>
      <c r="U3" s="21">
        <v>181737.67</v>
      </c>
      <c r="V3" s="27"/>
    </row>
    <row r="4" spans="1:22" ht="15.35" x14ac:dyDescent="0.55000000000000004">
      <c r="A4" s="20">
        <v>5207</v>
      </c>
      <c r="B4" s="2" t="s">
        <v>148</v>
      </c>
      <c r="C4" s="2" t="s">
        <v>149</v>
      </c>
      <c r="D4" s="2" t="s">
        <v>311</v>
      </c>
      <c r="E4" s="2" t="s">
        <v>133</v>
      </c>
      <c r="F4" s="2" t="s">
        <v>312</v>
      </c>
      <c r="G4" s="2" t="s">
        <v>313</v>
      </c>
      <c r="H4" s="2" t="s">
        <v>314</v>
      </c>
      <c r="I4" s="2" t="s">
        <v>315</v>
      </c>
      <c r="J4" s="2" t="s">
        <v>310</v>
      </c>
      <c r="K4" s="2" t="s">
        <v>316</v>
      </c>
      <c r="L4" s="2" t="s">
        <v>317</v>
      </c>
      <c r="M4" s="2" t="s">
        <v>318</v>
      </c>
      <c r="N4" s="2" t="s">
        <v>319</v>
      </c>
      <c r="R4" s="2" t="s">
        <v>320</v>
      </c>
      <c r="S4" s="2" t="s">
        <v>321</v>
      </c>
      <c r="T4" s="21">
        <v>50958.29</v>
      </c>
      <c r="U4" s="31" t="s">
        <v>322</v>
      </c>
      <c r="V4" s="21">
        <v>1319</v>
      </c>
    </row>
    <row r="5" spans="1:22" ht="15.35" x14ac:dyDescent="0.55000000000000004">
      <c r="A5" s="20">
        <v>2566</v>
      </c>
      <c r="B5" s="2" t="s">
        <v>153</v>
      </c>
      <c r="C5" s="2" t="s">
        <v>154</v>
      </c>
      <c r="D5" s="2" t="s">
        <v>323</v>
      </c>
      <c r="E5" s="2" t="s">
        <v>133</v>
      </c>
      <c r="F5" s="2" t="s">
        <v>324</v>
      </c>
      <c r="G5" s="2" t="s">
        <v>325</v>
      </c>
      <c r="H5" s="2" t="s">
        <v>326</v>
      </c>
      <c r="I5" s="2" t="s">
        <v>327</v>
      </c>
      <c r="J5" s="2" t="s">
        <v>310</v>
      </c>
      <c r="K5" s="2" t="s">
        <v>328</v>
      </c>
      <c r="L5" s="25">
        <v>45182</v>
      </c>
      <c r="M5" s="25">
        <v>54238</v>
      </c>
      <c r="Q5" s="2" t="s">
        <v>329</v>
      </c>
      <c r="R5" s="2" t="s">
        <v>330</v>
      </c>
      <c r="S5" s="2" t="s">
        <v>133</v>
      </c>
      <c r="T5" s="21">
        <v>88123.5</v>
      </c>
      <c r="U5" s="21">
        <v>249701.38</v>
      </c>
      <c r="V5" s="21">
        <v>2510</v>
      </c>
    </row>
    <row r="6" spans="1:22" ht="15.35" x14ac:dyDescent="0.55000000000000004">
      <c r="A6" s="20">
        <v>2558</v>
      </c>
      <c r="B6" s="2" t="s">
        <v>157</v>
      </c>
      <c r="C6" s="2" t="s">
        <v>158</v>
      </c>
      <c r="D6" s="2" t="s">
        <v>331</v>
      </c>
      <c r="E6" s="2" t="s">
        <v>133</v>
      </c>
      <c r="F6" s="2" t="s">
        <v>332</v>
      </c>
      <c r="G6" s="2" t="s">
        <v>333</v>
      </c>
      <c r="H6" s="2" t="s">
        <v>334</v>
      </c>
      <c r="I6" s="2" t="s">
        <v>335</v>
      </c>
      <c r="K6" s="2" t="s">
        <v>336</v>
      </c>
      <c r="M6" s="25">
        <v>53938</v>
      </c>
      <c r="N6" s="2" t="s">
        <v>337</v>
      </c>
      <c r="O6" s="2" t="s">
        <v>338</v>
      </c>
      <c r="Q6" s="25">
        <v>42339</v>
      </c>
      <c r="R6" s="25">
        <v>42339</v>
      </c>
      <c r="T6" s="27"/>
      <c r="U6" s="21">
        <v>172540.69</v>
      </c>
      <c r="V6" s="21">
        <v>633</v>
      </c>
    </row>
    <row r="7" spans="1:22" ht="15.35" x14ac:dyDescent="0.55000000000000004">
      <c r="A7" s="20">
        <v>2603</v>
      </c>
      <c r="B7" s="2" t="s">
        <v>161</v>
      </c>
      <c r="C7" s="2" t="s">
        <v>162</v>
      </c>
      <c r="D7" s="2" t="s">
        <v>339</v>
      </c>
      <c r="E7" s="2" t="s">
        <v>164</v>
      </c>
      <c r="F7" s="2" t="s">
        <v>340</v>
      </c>
      <c r="G7" s="2" t="s">
        <v>341</v>
      </c>
      <c r="H7" s="2" t="s">
        <v>342</v>
      </c>
      <c r="I7" s="2" t="s">
        <v>343</v>
      </c>
      <c r="J7" s="2" t="s">
        <v>310</v>
      </c>
      <c r="K7" s="2" t="s">
        <v>344</v>
      </c>
      <c r="L7" s="25">
        <v>38561</v>
      </c>
      <c r="M7" s="25">
        <v>56822</v>
      </c>
      <c r="N7" s="2" t="s">
        <v>345</v>
      </c>
      <c r="P7" s="2" t="s">
        <v>346</v>
      </c>
      <c r="Q7" s="2" t="s">
        <v>347</v>
      </c>
      <c r="R7" s="25">
        <v>41609</v>
      </c>
      <c r="T7" s="27"/>
      <c r="U7" s="21">
        <v>98925.84</v>
      </c>
      <c r="V7" s="27"/>
    </row>
    <row r="8" spans="1:22" ht="15.35" x14ac:dyDescent="0.55000000000000004">
      <c r="A8" s="20">
        <v>4311</v>
      </c>
      <c r="B8" s="2" t="s">
        <v>166</v>
      </c>
      <c r="C8" s="2" t="s">
        <v>167</v>
      </c>
      <c r="D8" s="2" t="s">
        <v>348</v>
      </c>
      <c r="E8" s="2" t="s">
        <v>133</v>
      </c>
      <c r="F8" s="2" t="s">
        <v>312</v>
      </c>
      <c r="G8" s="2" t="s">
        <v>349</v>
      </c>
      <c r="H8" s="2" t="s">
        <v>350</v>
      </c>
      <c r="I8" s="2" t="s">
        <v>351</v>
      </c>
      <c r="J8" s="2" t="s">
        <v>352</v>
      </c>
      <c r="K8" s="2" t="s">
        <v>353</v>
      </c>
      <c r="L8" s="25">
        <v>38225</v>
      </c>
      <c r="M8" s="25">
        <v>56486</v>
      </c>
      <c r="P8" s="25">
        <v>41033</v>
      </c>
      <c r="Q8" s="25">
        <v>42577</v>
      </c>
      <c r="R8" s="25">
        <v>45654</v>
      </c>
      <c r="S8" s="2" t="s">
        <v>354</v>
      </c>
      <c r="T8" s="21">
        <v>2155549</v>
      </c>
      <c r="U8" s="21">
        <v>200940.98</v>
      </c>
      <c r="V8" s="21">
        <v>787</v>
      </c>
    </row>
    <row r="9" spans="1:22" ht="15.35" x14ac:dyDescent="0.55000000000000004">
      <c r="A9" s="20">
        <v>4306</v>
      </c>
      <c r="B9" s="2" t="s">
        <v>128</v>
      </c>
      <c r="C9" s="2" t="s">
        <v>129</v>
      </c>
      <c r="D9" s="2" t="s">
        <v>355</v>
      </c>
      <c r="E9" s="2" t="s">
        <v>356</v>
      </c>
      <c r="F9" s="2" t="s">
        <v>357</v>
      </c>
      <c r="G9" s="2" t="s">
        <v>357</v>
      </c>
      <c r="H9" s="2" t="s">
        <v>358</v>
      </c>
      <c r="I9" s="2" t="s">
        <v>359</v>
      </c>
      <c r="J9" s="2" t="s">
        <v>310</v>
      </c>
      <c r="K9" s="2" t="s">
        <v>328</v>
      </c>
      <c r="L9" s="25">
        <v>38023</v>
      </c>
      <c r="M9" s="25">
        <v>52632</v>
      </c>
      <c r="N9" s="2" t="s">
        <v>360</v>
      </c>
      <c r="O9" s="2" t="s">
        <v>361</v>
      </c>
      <c r="R9" s="25">
        <v>39083</v>
      </c>
      <c r="T9" s="21">
        <v>14741</v>
      </c>
      <c r="U9" s="21">
        <v>124980.29</v>
      </c>
      <c r="V9" s="31" t="s">
        <v>362</v>
      </c>
    </row>
    <row r="10" spans="1:22" ht="15.35" x14ac:dyDescent="0.55000000000000004">
      <c r="A10" s="20">
        <v>5131</v>
      </c>
      <c r="B10" s="2" t="s">
        <v>135</v>
      </c>
      <c r="C10" s="2" t="s">
        <v>136</v>
      </c>
      <c r="D10" s="2" t="s">
        <v>363</v>
      </c>
      <c r="E10" s="2" t="s">
        <v>364</v>
      </c>
      <c r="F10" s="2" t="s">
        <v>365</v>
      </c>
      <c r="G10" s="2" t="s">
        <v>366</v>
      </c>
      <c r="H10" s="2" t="s">
        <v>367</v>
      </c>
      <c r="I10" s="2" t="s">
        <v>368</v>
      </c>
      <c r="L10" s="25">
        <v>42382</v>
      </c>
      <c r="M10" s="25">
        <v>56991</v>
      </c>
      <c r="N10" s="2" t="s">
        <v>369</v>
      </c>
      <c r="O10" s="2" t="s">
        <v>370</v>
      </c>
      <c r="P10" s="25">
        <v>42552</v>
      </c>
      <c r="Q10" s="25">
        <v>43217</v>
      </c>
      <c r="R10" s="25">
        <v>43219</v>
      </c>
      <c r="S10" s="2" t="s">
        <v>371</v>
      </c>
      <c r="T10" s="21">
        <v>88453.46</v>
      </c>
      <c r="U10" s="21">
        <v>87397.55</v>
      </c>
      <c r="V10" s="27"/>
    </row>
    <row r="11" spans="1:22" ht="15.35" x14ac:dyDescent="0.55000000000000004">
      <c r="A11" s="20">
        <v>3656</v>
      </c>
      <c r="B11" s="2" t="s">
        <v>135</v>
      </c>
      <c r="C11" s="2" t="s">
        <v>136</v>
      </c>
      <c r="D11" s="2" t="s">
        <v>372</v>
      </c>
      <c r="E11" s="2" t="s">
        <v>183</v>
      </c>
      <c r="F11" s="2" t="s">
        <v>312</v>
      </c>
      <c r="G11" s="2" t="s">
        <v>349</v>
      </c>
      <c r="H11" s="2" t="s">
        <v>373</v>
      </c>
      <c r="I11" s="2" t="s">
        <v>374</v>
      </c>
      <c r="J11" s="2" t="s">
        <v>310</v>
      </c>
      <c r="K11" s="2" t="s">
        <v>375</v>
      </c>
      <c r="L11" s="25">
        <v>42751</v>
      </c>
      <c r="M11" s="25">
        <v>57360</v>
      </c>
      <c r="N11" s="2" t="s">
        <v>376</v>
      </c>
      <c r="O11" s="2" t="s">
        <v>377</v>
      </c>
      <c r="P11" s="25">
        <v>42886</v>
      </c>
      <c r="Q11" s="25">
        <v>43339</v>
      </c>
      <c r="R11" s="25">
        <v>43483</v>
      </c>
      <c r="S11" s="2" t="s">
        <v>371</v>
      </c>
      <c r="T11" s="21">
        <v>114929</v>
      </c>
      <c r="U11" s="21">
        <v>116236.76</v>
      </c>
      <c r="V11" s="21">
        <v>856</v>
      </c>
    </row>
    <row r="12" spans="1:22" ht="15.35" x14ac:dyDescent="0.55000000000000004">
      <c r="A12" s="20">
        <v>5398</v>
      </c>
      <c r="B12" s="2" t="s">
        <v>140</v>
      </c>
      <c r="C12" s="2" t="s">
        <v>141</v>
      </c>
      <c r="D12" s="2" t="s">
        <v>378</v>
      </c>
      <c r="E12" s="2" t="s">
        <v>132</v>
      </c>
      <c r="F12" s="2" t="s">
        <v>78</v>
      </c>
      <c r="G12" s="2" t="s">
        <v>78</v>
      </c>
      <c r="H12" s="2" t="s">
        <v>379</v>
      </c>
      <c r="I12" s="2" t="s">
        <v>380</v>
      </c>
      <c r="J12" s="2" t="s">
        <v>381</v>
      </c>
      <c r="K12" s="2" t="s">
        <v>344</v>
      </c>
      <c r="L12" s="25">
        <v>37578</v>
      </c>
      <c r="M12" s="25">
        <v>52187</v>
      </c>
      <c r="N12" s="2" t="s">
        <v>382</v>
      </c>
      <c r="O12" s="2" t="s">
        <v>383</v>
      </c>
      <c r="P12" s="25">
        <v>37427</v>
      </c>
      <c r="Q12" s="25">
        <v>38132</v>
      </c>
      <c r="R12" s="25">
        <v>38490</v>
      </c>
      <c r="S12" s="2" t="s">
        <v>384</v>
      </c>
      <c r="T12" s="27"/>
      <c r="U12" s="21">
        <v>15280.73</v>
      </c>
      <c r="V12" s="27"/>
    </row>
    <row r="13" spans="1:22" ht="15.35" x14ac:dyDescent="0.55000000000000004">
      <c r="A13" s="20">
        <v>5440</v>
      </c>
      <c r="B13" s="2" t="s">
        <v>140</v>
      </c>
      <c r="C13" s="2" t="s">
        <v>141</v>
      </c>
      <c r="D13" s="2" t="s">
        <v>385</v>
      </c>
      <c r="E13" s="2" t="s">
        <v>132</v>
      </c>
      <c r="F13" s="2" t="s">
        <v>78</v>
      </c>
      <c r="G13" s="2" t="s">
        <v>78</v>
      </c>
      <c r="H13" s="2" t="s">
        <v>386</v>
      </c>
      <c r="I13" s="2" t="s">
        <v>387</v>
      </c>
      <c r="J13" s="2" t="s">
        <v>381</v>
      </c>
      <c r="K13" s="2" t="s">
        <v>344</v>
      </c>
      <c r="L13" s="25">
        <v>38230</v>
      </c>
      <c r="M13" s="25">
        <v>52839</v>
      </c>
      <c r="N13" s="2" t="s">
        <v>388</v>
      </c>
      <c r="O13" s="2" t="s">
        <v>389</v>
      </c>
      <c r="P13" s="25">
        <v>39355</v>
      </c>
      <c r="Q13" s="25">
        <v>40381</v>
      </c>
      <c r="R13" s="25">
        <v>41079</v>
      </c>
      <c r="S13" s="2" t="s">
        <v>384</v>
      </c>
      <c r="T13" s="27"/>
      <c r="U13" s="21">
        <v>29043.4</v>
      </c>
      <c r="V13" s="27"/>
    </row>
    <row r="14" spans="1:22" ht="15.35" x14ac:dyDescent="0.55000000000000004">
      <c r="A14" s="20">
        <v>5395</v>
      </c>
      <c r="B14" s="2" t="s">
        <v>140</v>
      </c>
      <c r="C14" s="2" t="s">
        <v>141</v>
      </c>
      <c r="D14" s="2" t="s">
        <v>390</v>
      </c>
      <c r="E14" s="2" t="s">
        <v>132</v>
      </c>
      <c r="F14" s="2" t="s">
        <v>78</v>
      </c>
      <c r="G14" s="2" t="s">
        <v>78</v>
      </c>
      <c r="H14" s="2" t="s">
        <v>391</v>
      </c>
      <c r="I14" s="2" t="s">
        <v>392</v>
      </c>
      <c r="J14" s="2" t="s">
        <v>381</v>
      </c>
      <c r="K14" s="2" t="s">
        <v>344</v>
      </c>
      <c r="L14" s="25">
        <v>37480</v>
      </c>
      <c r="M14" s="25">
        <v>52089</v>
      </c>
      <c r="N14" s="2" t="s">
        <v>393</v>
      </c>
      <c r="O14" s="2" t="s">
        <v>394</v>
      </c>
      <c r="P14" s="25">
        <v>37221</v>
      </c>
      <c r="Q14" s="25">
        <v>37638</v>
      </c>
      <c r="R14" s="25">
        <v>37923</v>
      </c>
      <c r="S14" s="2" t="s">
        <v>384</v>
      </c>
      <c r="T14" s="27"/>
      <c r="U14" s="21">
        <v>8729.74</v>
      </c>
      <c r="V14" s="27"/>
    </row>
    <row r="15" spans="1:22" ht="15.35" x14ac:dyDescent="0.55000000000000004">
      <c r="A15" s="20">
        <v>5448</v>
      </c>
      <c r="B15" s="2" t="s">
        <v>140</v>
      </c>
      <c r="C15" s="2" t="s">
        <v>141</v>
      </c>
      <c r="D15" s="2" t="s">
        <v>395</v>
      </c>
      <c r="E15" s="2" t="s">
        <v>132</v>
      </c>
      <c r="F15" s="2" t="s">
        <v>78</v>
      </c>
      <c r="G15" s="2" t="s">
        <v>78</v>
      </c>
      <c r="H15" s="2" t="s">
        <v>386</v>
      </c>
      <c r="I15" s="2" t="s">
        <v>396</v>
      </c>
      <c r="J15" s="2" t="s">
        <v>381</v>
      </c>
      <c r="K15" s="2" t="s">
        <v>344</v>
      </c>
      <c r="L15" s="25">
        <v>37719</v>
      </c>
      <c r="M15" s="25">
        <v>52328</v>
      </c>
      <c r="N15" s="2" t="s">
        <v>397</v>
      </c>
      <c r="O15" s="2" t="s">
        <v>398</v>
      </c>
      <c r="P15" s="25">
        <v>37712</v>
      </c>
      <c r="Q15" s="25">
        <v>38502</v>
      </c>
      <c r="R15" s="25">
        <v>38573</v>
      </c>
      <c r="S15" s="2" t="s">
        <v>399</v>
      </c>
      <c r="T15" s="27"/>
      <c r="U15" s="21">
        <v>24840.41</v>
      </c>
      <c r="V15" s="27"/>
    </row>
    <row r="16" spans="1:22" ht="15.35" x14ac:dyDescent="0.55000000000000004">
      <c r="A16" s="20">
        <v>1596</v>
      </c>
      <c r="B16" s="2" t="s">
        <v>144</v>
      </c>
      <c r="C16" s="2" t="s">
        <v>145</v>
      </c>
      <c r="D16" s="2" t="s">
        <v>400</v>
      </c>
      <c r="E16" s="2" t="s">
        <v>132</v>
      </c>
      <c r="F16" s="2" t="s">
        <v>401</v>
      </c>
      <c r="G16" s="2" t="s">
        <v>402</v>
      </c>
      <c r="H16" s="2" t="s">
        <v>403</v>
      </c>
      <c r="I16" s="2" t="s">
        <v>404</v>
      </c>
      <c r="J16" s="2" t="s">
        <v>310</v>
      </c>
      <c r="K16" s="2" t="s">
        <v>328</v>
      </c>
      <c r="L16" s="25">
        <v>41275</v>
      </c>
      <c r="M16" s="25">
        <v>55746</v>
      </c>
      <c r="N16" s="2" t="s">
        <v>405</v>
      </c>
      <c r="P16" s="25">
        <v>41964</v>
      </c>
      <c r="Q16" s="25">
        <v>42671</v>
      </c>
      <c r="R16" s="25">
        <v>42675</v>
      </c>
      <c r="S16" s="2" t="s">
        <v>406</v>
      </c>
      <c r="T16" s="21">
        <v>99633.67</v>
      </c>
      <c r="U16" s="21">
        <v>102741.61</v>
      </c>
      <c r="V16" s="27"/>
    </row>
    <row r="17" spans="1:22" ht="15.35" x14ac:dyDescent="0.55000000000000004">
      <c r="A17" s="20">
        <v>4931</v>
      </c>
      <c r="B17" s="2" t="s">
        <v>169</v>
      </c>
      <c r="C17" s="2" t="s">
        <v>170</v>
      </c>
      <c r="D17" s="2" t="s">
        <v>407</v>
      </c>
      <c r="E17" s="2" t="s">
        <v>133</v>
      </c>
      <c r="F17" s="2" t="s">
        <v>408</v>
      </c>
      <c r="G17" s="2" t="s">
        <v>409</v>
      </c>
      <c r="H17" s="2" t="s">
        <v>410</v>
      </c>
      <c r="I17" s="2" t="s">
        <v>411</v>
      </c>
      <c r="J17" s="2" t="s">
        <v>310</v>
      </c>
      <c r="K17" s="2" t="s">
        <v>384</v>
      </c>
      <c r="L17" s="25">
        <v>40633</v>
      </c>
      <c r="M17" s="25">
        <v>58895</v>
      </c>
      <c r="N17" s="2" t="s">
        <v>412</v>
      </c>
      <c r="P17" s="25">
        <v>41110</v>
      </c>
      <c r="Q17" s="25">
        <v>41887</v>
      </c>
      <c r="R17" s="25">
        <v>42339</v>
      </c>
      <c r="T17" s="21">
        <v>18091.96</v>
      </c>
      <c r="U17" s="21">
        <v>92974.39</v>
      </c>
      <c r="V17" s="21">
        <v>1118</v>
      </c>
    </row>
    <row r="18" spans="1:22" ht="15.35" x14ac:dyDescent="0.55000000000000004">
      <c r="A18" s="20">
        <v>4933</v>
      </c>
      <c r="B18" s="2" t="s">
        <v>169</v>
      </c>
      <c r="C18" s="2" t="s">
        <v>170</v>
      </c>
      <c r="D18" s="2" t="s">
        <v>413</v>
      </c>
      <c r="E18" s="2" t="s">
        <v>133</v>
      </c>
      <c r="F18" s="2" t="s">
        <v>401</v>
      </c>
      <c r="G18" s="2" t="s">
        <v>402</v>
      </c>
      <c r="H18" s="2" t="s">
        <v>414</v>
      </c>
      <c r="I18" s="2" t="s">
        <v>415</v>
      </c>
      <c r="J18" s="2" t="s">
        <v>310</v>
      </c>
      <c r="K18" s="2" t="s">
        <v>384</v>
      </c>
      <c r="M18" s="25">
        <v>52659</v>
      </c>
      <c r="N18" s="2" t="s">
        <v>416</v>
      </c>
      <c r="P18" s="25">
        <v>38153</v>
      </c>
      <c r="Q18" s="25">
        <v>38656</v>
      </c>
      <c r="R18" s="25">
        <v>38657</v>
      </c>
      <c r="T18" s="21">
        <v>26522.03</v>
      </c>
      <c r="U18" s="21">
        <v>75430.600000000006</v>
      </c>
      <c r="V18" s="21">
        <v>336</v>
      </c>
    </row>
    <row r="19" spans="1:22" ht="15.35" x14ac:dyDescent="0.55000000000000004">
      <c r="A19" s="20">
        <v>4745</v>
      </c>
      <c r="B19" s="2" t="s">
        <v>176</v>
      </c>
      <c r="C19" s="2" t="s">
        <v>177</v>
      </c>
      <c r="D19" s="2" t="s">
        <v>417</v>
      </c>
      <c r="E19" s="2" t="s">
        <v>138</v>
      </c>
      <c r="F19" s="2" t="s">
        <v>324</v>
      </c>
      <c r="G19" s="2" t="s">
        <v>418</v>
      </c>
      <c r="H19" s="2" t="s">
        <v>419</v>
      </c>
      <c r="I19" s="2" t="s">
        <v>420</v>
      </c>
      <c r="J19" s="2" t="s">
        <v>310</v>
      </c>
      <c r="K19" s="2" t="s">
        <v>328</v>
      </c>
      <c r="M19" s="25">
        <v>54728</v>
      </c>
      <c r="R19" s="2" t="s">
        <v>421</v>
      </c>
      <c r="T19" s="27"/>
      <c r="U19" s="21">
        <v>104262.75</v>
      </c>
      <c r="V19" s="27"/>
    </row>
    <row r="20" spans="1:22" ht="15.35" x14ac:dyDescent="0.55000000000000004">
      <c r="A20" s="20">
        <v>4891</v>
      </c>
      <c r="B20" s="2" t="s">
        <v>173</v>
      </c>
      <c r="C20" s="2" t="s">
        <v>174</v>
      </c>
      <c r="D20" s="2" t="s">
        <v>422</v>
      </c>
      <c r="E20" s="2" t="s">
        <v>133</v>
      </c>
      <c r="F20" s="2" t="s">
        <v>408</v>
      </c>
      <c r="G20" s="2" t="s">
        <v>423</v>
      </c>
      <c r="H20" s="2" t="s">
        <v>424</v>
      </c>
      <c r="I20" s="2" t="s">
        <v>425</v>
      </c>
      <c r="J20" s="2" t="s">
        <v>310</v>
      </c>
      <c r="K20" s="2" t="s">
        <v>328</v>
      </c>
      <c r="M20" s="25">
        <v>54403</v>
      </c>
      <c r="N20" s="2" t="s">
        <v>426</v>
      </c>
      <c r="O20" s="2" t="s">
        <v>427</v>
      </c>
      <c r="P20" s="25">
        <v>41061</v>
      </c>
      <c r="Q20" s="25">
        <v>41579</v>
      </c>
      <c r="R20" s="25">
        <v>41760</v>
      </c>
      <c r="S20" s="2" t="s">
        <v>428</v>
      </c>
      <c r="T20" s="21">
        <v>35339.120000000003</v>
      </c>
      <c r="U20" s="21">
        <v>153478.85</v>
      </c>
      <c r="V20" s="21">
        <v>994</v>
      </c>
    </row>
    <row r="21" spans="1:22" ht="15.35" x14ac:dyDescent="0.55000000000000004">
      <c r="A21" s="20">
        <v>7341</v>
      </c>
      <c r="B21" s="2" t="s">
        <v>188</v>
      </c>
      <c r="C21" s="2" t="s">
        <v>189</v>
      </c>
      <c r="D21" s="2" t="s">
        <v>429</v>
      </c>
      <c r="E21" s="2" t="s">
        <v>191</v>
      </c>
      <c r="F21" s="2" t="s">
        <v>357</v>
      </c>
      <c r="G21" s="2" t="s">
        <v>357</v>
      </c>
      <c r="H21" s="2" t="s">
        <v>430</v>
      </c>
      <c r="I21" s="2" t="s">
        <v>431</v>
      </c>
      <c r="J21" s="2" t="s">
        <v>310</v>
      </c>
      <c r="K21" s="2" t="s">
        <v>432</v>
      </c>
      <c r="L21" s="25">
        <v>42107</v>
      </c>
      <c r="M21" s="25">
        <v>60369</v>
      </c>
      <c r="N21" s="2" t="s">
        <v>433</v>
      </c>
      <c r="P21" s="25">
        <v>42644</v>
      </c>
      <c r="Q21" s="25">
        <v>43800</v>
      </c>
      <c r="R21" s="25">
        <v>43800</v>
      </c>
      <c r="T21" s="21">
        <v>11378</v>
      </c>
      <c r="U21" s="21">
        <v>74570.42</v>
      </c>
      <c r="V21" s="27"/>
    </row>
    <row r="22" spans="1:22" ht="15.35" x14ac:dyDescent="0.55000000000000004">
      <c r="A22" s="20">
        <v>7318</v>
      </c>
      <c r="B22" s="2" t="s">
        <v>188</v>
      </c>
      <c r="C22" s="2" t="s">
        <v>189</v>
      </c>
      <c r="D22" s="2" t="s">
        <v>434</v>
      </c>
      <c r="E22" s="2" t="s">
        <v>191</v>
      </c>
      <c r="F22" s="2" t="s">
        <v>357</v>
      </c>
      <c r="G22" s="2" t="s">
        <v>357</v>
      </c>
      <c r="H22" s="2" t="s">
        <v>430</v>
      </c>
      <c r="I22" s="2" t="s">
        <v>435</v>
      </c>
      <c r="J22" s="2" t="s">
        <v>310</v>
      </c>
      <c r="K22" s="2" t="s">
        <v>432</v>
      </c>
      <c r="L22" s="25">
        <v>42103</v>
      </c>
      <c r="M22" s="25">
        <v>60365</v>
      </c>
      <c r="N22" s="2" t="s">
        <v>436</v>
      </c>
      <c r="P22" s="25">
        <v>43344</v>
      </c>
      <c r="Q22" s="25">
        <v>44896</v>
      </c>
      <c r="R22" s="25">
        <v>44896</v>
      </c>
      <c r="T22" s="21">
        <v>16190</v>
      </c>
      <c r="U22" s="21">
        <v>98756.56</v>
      </c>
      <c r="V22" s="27"/>
    </row>
    <row r="23" spans="1:22" ht="15.35" x14ac:dyDescent="0.55000000000000004">
      <c r="A23" s="20">
        <v>6643</v>
      </c>
      <c r="B23" s="2" t="s">
        <v>184</v>
      </c>
      <c r="C23" s="2" t="s">
        <v>185</v>
      </c>
      <c r="D23" s="2" t="s">
        <v>437</v>
      </c>
      <c r="E23" s="2" t="s">
        <v>138</v>
      </c>
      <c r="F23" s="2" t="s">
        <v>438</v>
      </c>
      <c r="G23" s="2" t="s">
        <v>439</v>
      </c>
      <c r="H23" s="2" t="s">
        <v>440</v>
      </c>
      <c r="I23" s="2" t="s">
        <v>441</v>
      </c>
      <c r="J23" s="2" t="s">
        <v>310</v>
      </c>
      <c r="K23" s="2" t="s">
        <v>328</v>
      </c>
      <c r="M23" s="25">
        <v>55935</v>
      </c>
      <c r="N23" s="2" t="s">
        <v>442</v>
      </c>
      <c r="Q23" s="25">
        <v>42248</v>
      </c>
      <c r="R23" s="25">
        <v>42248</v>
      </c>
      <c r="T23" s="27"/>
      <c r="U23" s="21">
        <v>130635.62</v>
      </c>
      <c r="V23" s="27"/>
    </row>
    <row r="24" spans="1:22" ht="15.35" x14ac:dyDescent="0.55000000000000004">
      <c r="A24" s="20">
        <v>6937</v>
      </c>
      <c r="B24" s="2" t="s">
        <v>184</v>
      </c>
      <c r="C24" s="2" t="s">
        <v>185</v>
      </c>
      <c r="D24" s="2" t="s">
        <v>443</v>
      </c>
      <c r="E24" s="2" t="s">
        <v>138</v>
      </c>
      <c r="F24" s="2" t="s">
        <v>444</v>
      </c>
      <c r="G24" s="2" t="s">
        <v>445</v>
      </c>
      <c r="H24" s="2" t="s">
        <v>446</v>
      </c>
      <c r="I24" s="2" t="s">
        <v>447</v>
      </c>
      <c r="J24" s="2" t="s">
        <v>310</v>
      </c>
      <c r="K24" s="2" t="s">
        <v>328</v>
      </c>
      <c r="M24" s="25">
        <v>57229</v>
      </c>
      <c r="N24" s="2" t="s">
        <v>448</v>
      </c>
      <c r="Q24" s="2" t="s">
        <v>449</v>
      </c>
      <c r="R24" s="25">
        <v>42614</v>
      </c>
      <c r="T24" s="21">
        <v>120229.54</v>
      </c>
      <c r="U24" s="21">
        <v>111962.8</v>
      </c>
      <c r="V24" s="27"/>
    </row>
    <row r="25" spans="1:22" ht="15.35" x14ac:dyDescent="0.55000000000000004">
      <c r="A25" s="20">
        <v>6777</v>
      </c>
      <c r="B25" s="2" t="s">
        <v>180</v>
      </c>
      <c r="C25" s="2" t="s">
        <v>181</v>
      </c>
      <c r="D25" s="2" t="s">
        <v>450</v>
      </c>
      <c r="E25" s="2" t="s">
        <v>138</v>
      </c>
      <c r="F25" s="2" t="s">
        <v>451</v>
      </c>
      <c r="G25" s="2" t="s">
        <v>452</v>
      </c>
      <c r="H25" s="2" t="s">
        <v>453</v>
      </c>
      <c r="I25" s="2" t="s">
        <v>454</v>
      </c>
      <c r="J25" s="2" t="s">
        <v>310</v>
      </c>
      <c r="K25" s="2" t="s">
        <v>455</v>
      </c>
      <c r="L25" s="25">
        <v>42052</v>
      </c>
      <c r="M25" s="25">
        <v>56661</v>
      </c>
      <c r="N25" s="2" t="s">
        <v>456</v>
      </c>
      <c r="P25" s="2" t="s">
        <v>457</v>
      </c>
      <c r="Q25" s="25">
        <v>43003</v>
      </c>
      <c r="R25" s="25">
        <v>42979</v>
      </c>
      <c r="T25" s="21">
        <v>52937.13</v>
      </c>
      <c r="U25" s="21">
        <v>141267.67000000001</v>
      </c>
      <c r="V25" s="27"/>
    </row>
    <row r="26" spans="1:22" ht="15.35" x14ac:dyDescent="0.55000000000000004">
      <c r="A26" s="20">
        <v>7177</v>
      </c>
      <c r="B26" s="2" t="s">
        <v>193</v>
      </c>
      <c r="C26" s="2" t="s">
        <v>194</v>
      </c>
      <c r="D26" s="2" t="s">
        <v>458</v>
      </c>
      <c r="E26" s="2" t="s">
        <v>133</v>
      </c>
      <c r="F26" s="2" t="s">
        <v>78</v>
      </c>
      <c r="G26" s="2" t="s">
        <v>78</v>
      </c>
      <c r="H26" s="2" t="s">
        <v>459</v>
      </c>
      <c r="I26" s="2" t="s">
        <v>460</v>
      </c>
      <c r="J26" s="2" t="s">
        <v>310</v>
      </c>
      <c r="K26" s="2" t="s">
        <v>461</v>
      </c>
      <c r="L26" s="25">
        <v>38441</v>
      </c>
      <c r="M26" s="25">
        <v>56702</v>
      </c>
      <c r="N26" s="2" t="s">
        <v>462</v>
      </c>
      <c r="P26" s="25">
        <v>38758</v>
      </c>
      <c r="Q26" s="25">
        <v>39925</v>
      </c>
      <c r="R26" s="25">
        <v>39648</v>
      </c>
      <c r="T26" s="21">
        <v>62972.3</v>
      </c>
      <c r="U26" s="21">
        <v>222681.57</v>
      </c>
      <c r="V26" s="27"/>
    </row>
    <row r="27" spans="1:22" ht="15.35" x14ac:dyDescent="0.55000000000000004">
      <c r="A27" s="20">
        <v>7483</v>
      </c>
      <c r="B27" s="2" t="s">
        <v>197</v>
      </c>
      <c r="C27" s="2" t="s">
        <v>198</v>
      </c>
      <c r="D27" s="2" t="s">
        <v>463</v>
      </c>
      <c r="E27" s="2" t="s">
        <v>191</v>
      </c>
      <c r="F27" s="2" t="s">
        <v>78</v>
      </c>
      <c r="G27" s="2" t="s">
        <v>78</v>
      </c>
      <c r="H27" s="2" t="s">
        <v>464</v>
      </c>
      <c r="I27" s="2" t="s">
        <v>465</v>
      </c>
      <c r="J27" s="2" t="s">
        <v>310</v>
      </c>
      <c r="K27" s="2" t="s">
        <v>466</v>
      </c>
      <c r="L27" s="2" t="s">
        <v>467</v>
      </c>
      <c r="M27" s="25">
        <v>60418</v>
      </c>
      <c r="N27" s="2" t="s">
        <v>468</v>
      </c>
      <c r="P27" s="2" t="s">
        <v>469</v>
      </c>
      <c r="Q27" s="2" t="s">
        <v>470</v>
      </c>
      <c r="R27" s="25">
        <v>43678</v>
      </c>
      <c r="T27" s="21">
        <v>16835.669999999998</v>
      </c>
      <c r="U27" s="21">
        <v>74877.83</v>
      </c>
      <c r="V27" s="27"/>
    </row>
    <row r="28" spans="1:22" ht="15.35" x14ac:dyDescent="0.55000000000000004">
      <c r="A28" s="20">
        <v>7486</v>
      </c>
      <c r="B28" s="2" t="s">
        <v>197</v>
      </c>
      <c r="C28" s="2" t="s">
        <v>198</v>
      </c>
      <c r="D28" s="2" t="s">
        <v>471</v>
      </c>
      <c r="E28" s="2" t="s">
        <v>249</v>
      </c>
      <c r="F28" s="2" t="s">
        <v>78</v>
      </c>
      <c r="G28" s="2" t="s">
        <v>78</v>
      </c>
      <c r="H28" s="2" t="s">
        <v>379</v>
      </c>
      <c r="I28" s="2" t="s">
        <v>472</v>
      </c>
      <c r="J28" s="2" t="s">
        <v>310</v>
      </c>
      <c r="K28" s="2" t="s">
        <v>473</v>
      </c>
      <c r="L28" s="2" t="s">
        <v>474</v>
      </c>
      <c r="M28" s="25">
        <v>55931</v>
      </c>
      <c r="N28" s="2" t="s">
        <v>475</v>
      </c>
      <c r="P28" s="2" t="s">
        <v>476</v>
      </c>
      <c r="Q28" s="2" t="s">
        <v>477</v>
      </c>
      <c r="R28" s="2" t="s">
        <v>478</v>
      </c>
      <c r="T28" s="27"/>
      <c r="U28" s="21">
        <v>50805.3</v>
      </c>
      <c r="V28" s="27"/>
    </row>
    <row r="29" spans="1:22" ht="15.35" x14ac:dyDescent="0.55000000000000004">
      <c r="A29" s="20">
        <v>6637</v>
      </c>
      <c r="B29" s="2" t="s">
        <v>205</v>
      </c>
      <c r="C29" s="2" t="s">
        <v>206</v>
      </c>
      <c r="D29" s="2" t="s">
        <v>479</v>
      </c>
      <c r="E29" s="2" t="s">
        <v>208</v>
      </c>
      <c r="F29" s="2" t="s">
        <v>480</v>
      </c>
      <c r="G29" s="2" t="s">
        <v>481</v>
      </c>
      <c r="H29" s="2" t="s">
        <v>482</v>
      </c>
      <c r="I29" s="2" t="s">
        <v>483</v>
      </c>
      <c r="J29" s="2" t="s">
        <v>310</v>
      </c>
      <c r="K29" s="2" t="s">
        <v>328</v>
      </c>
      <c r="M29" s="25">
        <v>55090</v>
      </c>
      <c r="N29" s="2" t="s">
        <v>484</v>
      </c>
      <c r="P29" s="25">
        <v>40544</v>
      </c>
      <c r="Q29" s="25">
        <v>40909</v>
      </c>
      <c r="R29" s="25">
        <v>40909</v>
      </c>
      <c r="T29" s="27"/>
      <c r="U29" s="21">
        <v>7626.74</v>
      </c>
      <c r="V29" s="27"/>
    </row>
    <row r="30" spans="1:22" ht="15.35" x14ac:dyDescent="0.55000000000000004">
      <c r="A30" s="20">
        <v>6881</v>
      </c>
      <c r="B30" s="2" t="s">
        <v>205</v>
      </c>
      <c r="C30" s="2" t="s">
        <v>206</v>
      </c>
      <c r="D30" s="2" t="s">
        <v>485</v>
      </c>
      <c r="E30" s="2" t="s">
        <v>208</v>
      </c>
      <c r="F30" s="2" t="s">
        <v>486</v>
      </c>
      <c r="G30" s="2" t="s">
        <v>487</v>
      </c>
      <c r="H30" s="2" t="s">
        <v>488</v>
      </c>
      <c r="I30" s="2" t="s">
        <v>489</v>
      </c>
      <c r="J30" s="2" t="s">
        <v>310</v>
      </c>
      <c r="K30" s="2" t="s">
        <v>328</v>
      </c>
      <c r="M30" s="25">
        <v>54597</v>
      </c>
      <c r="N30" s="2" t="s">
        <v>490</v>
      </c>
      <c r="P30" s="25">
        <v>39814</v>
      </c>
      <c r="Q30" s="25">
        <v>40544</v>
      </c>
      <c r="R30" s="25">
        <v>40544</v>
      </c>
      <c r="T30" s="27"/>
      <c r="U30" s="21">
        <v>6666.33</v>
      </c>
      <c r="V30" s="27"/>
    </row>
    <row r="31" spans="1:22" ht="15.35" x14ac:dyDescent="0.55000000000000004">
      <c r="A31" s="20">
        <v>7002</v>
      </c>
      <c r="B31" s="2" t="s">
        <v>205</v>
      </c>
      <c r="C31" s="2" t="s">
        <v>206</v>
      </c>
      <c r="D31" s="2" t="s">
        <v>491</v>
      </c>
      <c r="E31" s="2" t="s">
        <v>208</v>
      </c>
      <c r="F31" s="2" t="s">
        <v>486</v>
      </c>
      <c r="G31" s="2" t="s">
        <v>487</v>
      </c>
      <c r="H31" s="2" t="s">
        <v>492</v>
      </c>
      <c r="I31" s="2" t="s">
        <v>493</v>
      </c>
      <c r="J31" s="2" t="s">
        <v>310</v>
      </c>
      <c r="K31" s="2" t="s">
        <v>328</v>
      </c>
      <c r="M31" s="25">
        <v>55051</v>
      </c>
      <c r="N31" s="2" t="s">
        <v>494</v>
      </c>
      <c r="P31" s="25">
        <v>40544</v>
      </c>
      <c r="Q31" s="25">
        <v>40909</v>
      </c>
      <c r="R31" s="25">
        <v>40909</v>
      </c>
      <c r="T31" s="27"/>
      <c r="U31" s="21">
        <v>7594.15</v>
      </c>
      <c r="V31" s="27"/>
    </row>
    <row r="32" spans="1:22" ht="15.35" x14ac:dyDescent="0.55000000000000004">
      <c r="A32" s="20">
        <v>6698</v>
      </c>
      <c r="B32" s="2" t="s">
        <v>205</v>
      </c>
      <c r="C32" s="2" t="s">
        <v>206</v>
      </c>
      <c r="D32" s="2" t="s">
        <v>495</v>
      </c>
      <c r="E32" s="2" t="s">
        <v>208</v>
      </c>
      <c r="F32" s="2" t="s">
        <v>340</v>
      </c>
      <c r="G32" s="2" t="s">
        <v>496</v>
      </c>
      <c r="H32" s="2" t="s">
        <v>497</v>
      </c>
      <c r="I32" s="2" t="s">
        <v>498</v>
      </c>
      <c r="J32" s="2" t="s">
        <v>310</v>
      </c>
      <c r="K32" s="2" t="s">
        <v>499</v>
      </c>
      <c r="M32" s="25">
        <v>55156</v>
      </c>
      <c r="N32" s="2" t="s">
        <v>500</v>
      </c>
      <c r="P32" s="25">
        <v>40544</v>
      </c>
      <c r="Q32" s="25">
        <v>40909</v>
      </c>
      <c r="R32" s="25">
        <v>40909</v>
      </c>
      <c r="T32" s="27"/>
      <c r="U32" s="21">
        <v>7448.79</v>
      </c>
      <c r="V32" s="27"/>
    </row>
    <row r="33" spans="1:22" ht="15.35" x14ac:dyDescent="0.55000000000000004">
      <c r="A33" s="20">
        <v>6631</v>
      </c>
      <c r="B33" s="2" t="s">
        <v>205</v>
      </c>
      <c r="C33" s="2" t="s">
        <v>206</v>
      </c>
      <c r="D33" s="2" t="s">
        <v>501</v>
      </c>
      <c r="E33" s="2" t="s">
        <v>208</v>
      </c>
      <c r="F33" s="2" t="s">
        <v>306</v>
      </c>
      <c r="G33" s="2" t="s">
        <v>502</v>
      </c>
      <c r="H33" s="2" t="s">
        <v>503</v>
      </c>
      <c r="I33" s="2" t="s">
        <v>504</v>
      </c>
      <c r="J33" s="2" t="s">
        <v>310</v>
      </c>
      <c r="K33" s="2" t="s">
        <v>384</v>
      </c>
      <c r="M33" s="25">
        <v>54968</v>
      </c>
      <c r="N33" s="2" t="s">
        <v>505</v>
      </c>
      <c r="P33" s="25">
        <v>40179</v>
      </c>
      <c r="Q33" s="25">
        <v>40544</v>
      </c>
      <c r="R33" s="25">
        <v>40909</v>
      </c>
      <c r="T33" s="27"/>
      <c r="U33" s="21">
        <v>6921.43</v>
      </c>
      <c r="V33" s="27"/>
    </row>
    <row r="34" spans="1:22" ht="15.35" x14ac:dyDescent="0.55000000000000004">
      <c r="A34" s="20">
        <v>6828</v>
      </c>
      <c r="B34" s="2" t="s">
        <v>205</v>
      </c>
      <c r="C34" s="2" t="s">
        <v>206</v>
      </c>
      <c r="D34" s="2" t="s">
        <v>506</v>
      </c>
      <c r="E34" s="2" t="s">
        <v>208</v>
      </c>
      <c r="F34" s="2" t="s">
        <v>408</v>
      </c>
      <c r="G34" s="2" t="s">
        <v>409</v>
      </c>
      <c r="H34" s="2" t="s">
        <v>410</v>
      </c>
      <c r="I34" s="2" t="s">
        <v>507</v>
      </c>
      <c r="J34" s="2" t="s">
        <v>310</v>
      </c>
      <c r="K34" s="2" t="s">
        <v>508</v>
      </c>
      <c r="M34" s="25">
        <v>54755</v>
      </c>
      <c r="N34" s="2" t="s">
        <v>509</v>
      </c>
      <c r="P34" s="25">
        <v>40179</v>
      </c>
      <c r="Q34" s="25">
        <v>40179</v>
      </c>
      <c r="R34" s="25">
        <v>40544</v>
      </c>
      <c r="T34" s="27"/>
      <c r="U34" s="21">
        <v>7459</v>
      </c>
      <c r="V34" s="27"/>
    </row>
    <row r="35" spans="1:22" ht="15.35" x14ac:dyDescent="0.55000000000000004">
      <c r="A35" s="20">
        <v>6987</v>
      </c>
      <c r="B35" s="2" t="s">
        <v>205</v>
      </c>
      <c r="C35" s="2" t="s">
        <v>206</v>
      </c>
      <c r="D35" s="2" t="s">
        <v>510</v>
      </c>
      <c r="E35" s="2" t="s">
        <v>208</v>
      </c>
      <c r="F35" s="2" t="s">
        <v>511</v>
      </c>
      <c r="G35" s="2" t="s">
        <v>512</v>
      </c>
      <c r="H35" s="2" t="s">
        <v>513</v>
      </c>
      <c r="I35" s="2" t="s">
        <v>514</v>
      </c>
      <c r="J35" s="2" t="s">
        <v>310</v>
      </c>
      <c r="K35" s="2" t="s">
        <v>515</v>
      </c>
      <c r="M35" s="25">
        <v>54963</v>
      </c>
      <c r="N35" s="2" t="s">
        <v>516</v>
      </c>
      <c r="P35" s="25">
        <v>40179</v>
      </c>
      <c r="Q35" s="2" t="s">
        <v>517</v>
      </c>
      <c r="R35" s="25">
        <v>40909</v>
      </c>
      <c r="T35" s="27"/>
      <c r="U35" s="21">
        <v>7875.9</v>
      </c>
      <c r="V35" s="27"/>
    </row>
    <row r="36" spans="1:22" ht="15.35" x14ac:dyDescent="0.55000000000000004">
      <c r="A36" s="20">
        <v>6636</v>
      </c>
      <c r="B36" s="2" t="s">
        <v>205</v>
      </c>
      <c r="C36" s="2" t="s">
        <v>206</v>
      </c>
      <c r="D36" s="2" t="s">
        <v>518</v>
      </c>
      <c r="E36" s="2" t="s">
        <v>208</v>
      </c>
      <c r="F36" s="2" t="s">
        <v>340</v>
      </c>
      <c r="G36" s="2" t="s">
        <v>519</v>
      </c>
      <c r="H36" s="2" t="s">
        <v>519</v>
      </c>
      <c r="I36" s="2" t="s">
        <v>520</v>
      </c>
      <c r="J36" s="2" t="s">
        <v>310</v>
      </c>
      <c r="K36" s="2" t="s">
        <v>208</v>
      </c>
      <c r="M36" s="25">
        <v>55103</v>
      </c>
      <c r="N36" s="2" t="s">
        <v>521</v>
      </c>
      <c r="P36" s="25">
        <v>40544</v>
      </c>
      <c r="Q36" s="25">
        <v>40909</v>
      </c>
      <c r="R36" s="25">
        <v>41275</v>
      </c>
      <c r="T36" s="27"/>
      <c r="U36" s="21">
        <v>7481.79</v>
      </c>
      <c r="V36" s="27"/>
    </row>
    <row r="37" spans="1:22" ht="15.35" x14ac:dyDescent="0.55000000000000004">
      <c r="A37" s="20">
        <v>7086</v>
      </c>
      <c r="B37" s="2" t="s">
        <v>205</v>
      </c>
      <c r="C37" s="2" t="s">
        <v>206</v>
      </c>
      <c r="D37" s="2" t="s">
        <v>522</v>
      </c>
      <c r="E37" s="2" t="s">
        <v>208</v>
      </c>
      <c r="F37" s="2" t="s">
        <v>365</v>
      </c>
      <c r="G37" s="2" t="s">
        <v>366</v>
      </c>
      <c r="H37" s="2" t="s">
        <v>523</v>
      </c>
      <c r="I37" s="2" t="s">
        <v>524</v>
      </c>
      <c r="J37" s="2" t="s">
        <v>310</v>
      </c>
      <c r="K37" s="2" t="s">
        <v>364</v>
      </c>
      <c r="M37" s="25">
        <v>54942</v>
      </c>
      <c r="N37" s="2" t="s">
        <v>525</v>
      </c>
      <c r="P37" s="25">
        <v>40179</v>
      </c>
      <c r="Q37" s="25">
        <v>40544</v>
      </c>
      <c r="R37" s="25">
        <v>40544</v>
      </c>
      <c r="T37" s="27"/>
      <c r="U37" s="21">
        <v>7164.24</v>
      </c>
      <c r="V37" s="27"/>
    </row>
    <row r="38" spans="1:22" ht="15.35" x14ac:dyDescent="0.55000000000000004">
      <c r="A38" s="20">
        <v>6887</v>
      </c>
      <c r="B38" s="2" t="s">
        <v>205</v>
      </c>
      <c r="C38" s="2" t="s">
        <v>206</v>
      </c>
      <c r="D38" s="2" t="s">
        <v>526</v>
      </c>
      <c r="E38" s="2" t="s">
        <v>208</v>
      </c>
      <c r="F38" s="2" t="s">
        <v>365</v>
      </c>
      <c r="G38" s="2" t="s">
        <v>366</v>
      </c>
      <c r="H38" s="2" t="s">
        <v>527</v>
      </c>
      <c r="I38" s="2" t="s">
        <v>528</v>
      </c>
      <c r="J38" s="2" t="s">
        <v>310</v>
      </c>
      <c r="K38" s="2" t="s">
        <v>529</v>
      </c>
      <c r="M38" s="25">
        <v>54997</v>
      </c>
      <c r="N38" s="2" t="s">
        <v>530</v>
      </c>
      <c r="P38" s="25">
        <v>40179</v>
      </c>
      <c r="Q38" s="25">
        <v>40909</v>
      </c>
      <c r="R38" s="25">
        <v>41275</v>
      </c>
      <c r="T38" s="27"/>
      <c r="U38" s="21">
        <v>7610.11</v>
      </c>
      <c r="V38" s="27"/>
    </row>
    <row r="39" spans="1:22" ht="15.35" x14ac:dyDescent="0.55000000000000004">
      <c r="A39" s="20">
        <v>6688</v>
      </c>
      <c r="B39" s="2" t="s">
        <v>205</v>
      </c>
      <c r="C39" s="2" t="s">
        <v>206</v>
      </c>
      <c r="D39" s="2" t="s">
        <v>531</v>
      </c>
      <c r="E39" s="2" t="s">
        <v>208</v>
      </c>
      <c r="F39" s="2" t="s">
        <v>306</v>
      </c>
      <c r="G39" s="2" t="s">
        <v>532</v>
      </c>
      <c r="H39" s="2" t="s">
        <v>532</v>
      </c>
      <c r="I39" s="2" t="s">
        <v>533</v>
      </c>
      <c r="J39" s="2" t="s">
        <v>310</v>
      </c>
      <c r="K39" s="2" t="s">
        <v>515</v>
      </c>
      <c r="M39" s="25">
        <v>55141</v>
      </c>
      <c r="N39" s="2" t="s">
        <v>534</v>
      </c>
      <c r="P39" s="25">
        <v>40544</v>
      </c>
      <c r="Q39" s="25">
        <v>40909</v>
      </c>
      <c r="R39" s="25">
        <v>41640</v>
      </c>
      <c r="T39" s="27"/>
      <c r="U39" s="21">
        <v>7805.53</v>
      </c>
      <c r="V39" s="27"/>
    </row>
    <row r="40" spans="1:22" ht="15.35" x14ac:dyDescent="0.55000000000000004">
      <c r="A40" s="20">
        <v>6878</v>
      </c>
      <c r="B40" s="2" t="s">
        <v>205</v>
      </c>
      <c r="C40" s="2" t="s">
        <v>206</v>
      </c>
      <c r="D40" s="2" t="s">
        <v>535</v>
      </c>
      <c r="E40" s="2" t="s">
        <v>208</v>
      </c>
      <c r="F40" s="2" t="s">
        <v>536</v>
      </c>
      <c r="G40" s="2" t="s">
        <v>537</v>
      </c>
      <c r="H40" s="2" t="s">
        <v>538</v>
      </c>
      <c r="I40" s="2" t="s">
        <v>539</v>
      </c>
      <c r="J40" s="2" t="s">
        <v>310</v>
      </c>
      <c r="K40" s="2" t="s">
        <v>540</v>
      </c>
      <c r="M40" s="25">
        <v>54952</v>
      </c>
      <c r="N40" s="2" t="s">
        <v>541</v>
      </c>
      <c r="P40" s="25">
        <v>40179</v>
      </c>
      <c r="Q40" s="25">
        <v>40909</v>
      </c>
      <c r="R40" s="25">
        <v>40909</v>
      </c>
      <c r="T40" s="27"/>
      <c r="U40" s="21">
        <v>8799.9699999999993</v>
      </c>
      <c r="V40" s="27"/>
    </row>
    <row r="41" spans="1:22" ht="15.35" x14ac:dyDescent="0.55000000000000004">
      <c r="A41" s="20">
        <v>7022</v>
      </c>
      <c r="B41" s="2" t="s">
        <v>205</v>
      </c>
      <c r="C41" s="2" t="s">
        <v>206</v>
      </c>
      <c r="D41" s="2" t="s">
        <v>542</v>
      </c>
      <c r="E41" s="2" t="s">
        <v>208</v>
      </c>
      <c r="F41" s="2" t="s">
        <v>306</v>
      </c>
      <c r="G41" s="2" t="s">
        <v>543</v>
      </c>
      <c r="H41" s="2" t="s">
        <v>544</v>
      </c>
      <c r="I41" s="2" t="s">
        <v>545</v>
      </c>
      <c r="J41" s="2" t="s">
        <v>310</v>
      </c>
      <c r="K41" s="2" t="s">
        <v>515</v>
      </c>
      <c r="M41" s="25">
        <v>54878</v>
      </c>
      <c r="N41" s="2" t="s">
        <v>546</v>
      </c>
      <c r="P41" s="25">
        <v>40179</v>
      </c>
      <c r="Q41" s="25">
        <v>40909</v>
      </c>
      <c r="R41" s="25">
        <v>40909</v>
      </c>
      <c r="T41" s="27"/>
      <c r="U41" s="21">
        <v>7673.57</v>
      </c>
      <c r="V41" s="27"/>
    </row>
    <row r="42" spans="1:22" ht="15.35" x14ac:dyDescent="0.55000000000000004">
      <c r="A42" s="20">
        <v>6901</v>
      </c>
      <c r="B42" s="2" t="s">
        <v>205</v>
      </c>
      <c r="C42" s="2" t="s">
        <v>206</v>
      </c>
      <c r="D42" s="2" t="s">
        <v>547</v>
      </c>
      <c r="E42" s="2" t="s">
        <v>208</v>
      </c>
      <c r="F42" s="2" t="s">
        <v>511</v>
      </c>
      <c r="G42" s="2" t="s">
        <v>548</v>
      </c>
      <c r="H42" s="2" t="s">
        <v>549</v>
      </c>
      <c r="I42" s="2" t="s">
        <v>550</v>
      </c>
      <c r="J42" s="2" t="s">
        <v>310</v>
      </c>
      <c r="K42" s="2" t="s">
        <v>551</v>
      </c>
      <c r="M42" s="25">
        <v>54422</v>
      </c>
      <c r="N42" s="2" t="s">
        <v>552</v>
      </c>
      <c r="P42" s="25">
        <v>39814</v>
      </c>
      <c r="Q42" s="25">
        <v>40909</v>
      </c>
      <c r="R42" s="25">
        <v>40909</v>
      </c>
      <c r="T42" s="27"/>
      <c r="U42" s="21">
        <v>7618.23</v>
      </c>
      <c r="V42" s="27"/>
    </row>
    <row r="43" spans="1:22" ht="15.35" x14ac:dyDescent="0.55000000000000004">
      <c r="A43" s="20">
        <v>6866</v>
      </c>
      <c r="B43" s="2" t="s">
        <v>205</v>
      </c>
      <c r="C43" s="2" t="s">
        <v>206</v>
      </c>
      <c r="D43" s="2" t="s">
        <v>553</v>
      </c>
      <c r="E43" s="2" t="s">
        <v>208</v>
      </c>
      <c r="F43" s="2" t="s">
        <v>340</v>
      </c>
      <c r="G43" s="2" t="s">
        <v>341</v>
      </c>
      <c r="H43" s="2" t="s">
        <v>342</v>
      </c>
      <c r="I43" s="2" t="s">
        <v>554</v>
      </c>
      <c r="J43" s="2" t="s">
        <v>310</v>
      </c>
      <c r="K43" s="2" t="s">
        <v>364</v>
      </c>
      <c r="M43" s="25">
        <v>54996</v>
      </c>
      <c r="N43" s="2" t="s">
        <v>555</v>
      </c>
      <c r="P43" s="25">
        <v>40179</v>
      </c>
      <c r="Q43" s="25">
        <v>40544</v>
      </c>
      <c r="R43" s="25">
        <v>40909</v>
      </c>
      <c r="T43" s="27"/>
      <c r="U43" s="21">
        <v>7743.5</v>
      </c>
      <c r="V43" s="27"/>
    </row>
    <row r="44" spans="1:22" ht="15.35" x14ac:dyDescent="0.55000000000000004">
      <c r="A44" s="20">
        <v>6649</v>
      </c>
      <c r="B44" s="2" t="s">
        <v>205</v>
      </c>
      <c r="C44" s="2" t="s">
        <v>206</v>
      </c>
      <c r="D44" s="2" t="s">
        <v>556</v>
      </c>
      <c r="E44" s="2" t="s">
        <v>208</v>
      </c>
      <c r="F44" s="2" t="s">
        <v>340</v>
      </c>
      <c r="G44" s="2" t="s">
        <v>341</v>
      </c>
      <c r="H44" s="2" t="s">
        <v>557</v>
      </c>
      <c r="I44" s="2" t="s">
        <v>558</v>
      </c>
      <c r="J44" s="2" t="s">
        <v>310</v>
      </c>
      <c r="K44" s="2" t="s">
        <v>384</v>
      </c>
      <c r="M44" s="25">
        <v>54626</v>
      </c>
      <c r="N44" s="2" t="s">
        <v>559</v>
      </c>
      <c r="P44" s="25">
        <v>39814</v>
      </c>
      <c r="Q44" s="25">
        <v>40179</v>
      </c>
      <c r="R44" s="25">
        <v>40909</v>
      </c>
      <c r="T44" s="27"/>
      <c r="U44" s="21">
        <v>6167.67</v>
      </c>
      <c r="V44" s="27"/>
    </row>
    <row r="45" spans="1:22" ht="15.35" x14ac:dyDescent="0.55000000000000004">
      <c r="A45" s="20">
        <v>6633</v>
      </c>
      <c r="B45" s="2" t="s">
        <v>205</v>
      </c>
      <c r="C45" s="2" t="s">
        <v>206</v>
      </c>
      <c r="D45" s="2" t="s">
        <v>560</v>
      </c>
      <c r="E45" s="2" t="s">
        <v>208</v>
      </c>
      <c r="F45" s="2" t="s">
        <v>324</v>
      </c>
      <c r="G45" s="2" t="s">
        <v>561</v>
      </c>
      <c r="H45" s="2" t="s">
        <v>562</v>
      </c>
      <c r="I45" s="2" t="s">
        <v>563</v>
      </c>
      <c r="J45" s="2" t="s">
        <v>310</v>
      </c>
      <c r="K45" s="2" t="s">
        <v>328</v>
      </c>
      <c r="M45" s="25">
        <v>54695</v>
      </c>
      <c r="N45" s="2" t="s">
        <v>564</v>
      </c>
      <c r="P45" s="25">
        <v>39814</v>
      </c>
      <c r="Q45" s="25">
        <v>40179</v>
      </c>
      <c r="R45" s="25">
        <v>40544</v>
      </c>
      <c r="T45" s="27"/>
      <c r="U45" s="21">
        <v>8073.91</v>
      </c>
      <c r="V45" s="27"/>
    </row>
    <row r="46" spans="1:22" ht="15.35" x14ac:dyDescent="0.55000000000000004">
      <c r="A46" s="20">
        <v>6690</v>
      </c>
      <c r="B46" s="2" t="s">
        <v>205</v>
      </c>
      <c r="C46" s="2" t="s">
        <v>206</v>
      </c>
      <c r="D46" s="2" t="s">
        <v>565</v>
      </c>
      <c r="E46" s="2" t="s">
        <v>208</v>
      </c>
      <c r="F46" s="2" t="s">
        <v>486</v>
      </c>
      <c r="G46" s="2" t="s">
        <v>566</v>
      </c>
      <c r="H46" s="2" t="s">
        <v>567</v>
      </c>
      <c r="I46" s="2" t="s">
        <v>568</v>
      </c>
      <c r="J46" s="2" t="s">
        <v>310</v>
      </c>
      <c r="K46" s="2" t="s">
        <v>515</v>
      </c>
      <c r="M46" s="25">
        <v>55236</v>
      </c>
      <c r="N46" s="2" t="s">
        <v>569</v>
      </c>
      <c r="P46" s="25">
        <v>40544</v>
      </c>
      <c r="Q46" s="25">
        <v>41275</v>
      </c>
      <c r="R46" s="25">
        <v>41275</v>
      </c>
      <c r="T46" s="27"/>
      <c r="U46" s="21">
        <v>8086.04</v>
      </c>
      <c r="V46" s="27"/>
    </row>
    <row r="47" spans="1:22" ht="15.35" x14ac:dyDescent="0.55000000000000004">
      <c r="A47" s="20">
        <v>6894</v>
      </c>
      <c r="B47" s="2" t="s">
        <v>205</v>
      </c>
      <c r="C47" s="2" t="s">
        <v>206</v>
      </c>
      <c r="D47" s="2" t="s">
        <v>570</v>
      </c>
      <c r="E47" s="2" t="s">
        <v>208</v>
      </c>
      <c r="F47" s="2" t="s">
        <v>444</v>
      </c>
      <c r="G47" s="2" t="s">
        <v>445</v>
      </c>
      <c r="H47" s="2" t="s">
        <v>571</v>
      </c>
      <c r="I47" s="2" t="s">
        <v>572</v>
      </c>
      <c r="J47" s="2" t="s">
        <v>310</v>
      </c>
      <c r="K47" s="2" t="s">
        <v>364</v>
      </c>
      <c r="M47" s="25">
        <v>55219</v>
      </c>
      <c r="N47" s="2" t="s">
        <v>573</v>
      </c>
      <c r="P47" s="25">
        <v>40544</v>
      </c>
      <c r="Q47" s="25">
        <v>40909</v>
      </c>
      <c r="R47" s="25">
        <v>41275</v>
      </c>
      <c r="T47" s="27"/>
      <c r="U47" s="21">
        <v>6601.07</v>
      </c>
      <c r="V47" s="27"/>
    </row>
    <row r="48" spans="1:22" ht="15.35" x14ac:dyDescent="0.55000000000000004">
      <c r="A48" s="20">
        <v>6702</v>
      </c>
      <c r="B48" s="2" t="s">
        <v>205</v>
      </c>
      <c r="C48" s="2" t="s">
        <v>206</v>
      </c>
      <c r="D48" s="2" t="s">
        <v>574</v>
      </c>
      <c r="E48" s="2" t="s">
        <v>208</v>
      </c>
      <c r="F48" s="2" t="s">
        <v>306</v>
      </c>
      <c r="G48" s="2" t="s">
        <v>575</v>
      </c>
      <c r="H48" s="2" t="s">
        <v>576</v>
      </c>
      <c r="I48" s="2" t="s">
        <v>577</v>
      </c>
      <c r="J48" s="2" t="s">
        <v>310</v>
      </c>
      <c r="K48" s="2" t="s">
        <v>551</v>
      </c>
      <c r="M48" s="25">
        <v>54777</v>
      </c>
      <c r="N48" s="2" t="s">
        <v>578</v>
      </c>
      <c r="P48" s="25">
        <v>39814</v>
      </c>
      <c r="Q48" s="25">
        <v>40544</v>
      </c>
      <c r="R48" s="25">
        <v>40909</v>
      </c>
      <c r="T48" s="27"/>
      <c r="U48" s="21">
        <v>7148.08</v>
      </c>
      <c r="V48" s="27"/>
    </row>
    <row r="49" spans="1:22" ht="15.35" x14ac:dyDescent="0.55000000000000004">
      <c r="A49" s="20">
        <v>7015</v>
      </c>
      <c r="B49" s="2" t="s">
        <v>205</v>
      </c>
      <c r="C49" s="2" t="s">
        <v>206</v>
      </c>
      <c r="D49" s="2" t="s">
        <v>579</v>
      </c>
      <c r="E49" s="2" t="s">
        <v>208</v>
      </c>
      <c r="F49" s="2" t="s">
        <v>401</v>
      </c>
      <c r="G49" s="2" t="s">
        <v>402</v>
      </c>
      <c r="H49" s="2" t="s">
        <v>580</v>
      </c>
      <c r="I49" s="2" t="s">
        <v>581</v>
      </c>
      <c r="J49" s="2" t="s">
        <v>310</v>
      </c>
      <c r="K49" s="2" t="s">
        <v>328</v>
      </c>
      <c r="M49" s="25">
        <v>54998</v>
      </c>
      <c r="N49" s="2" t="s">
        <v>582</v>
      </c>
      <c r="P49" s="25">
        <v>40179</v>
      </c>
      <c r="Q49" s="25">
        <v>40909</v>
      </c>
      <c r="R49" s="25">
        <v>43101</v>
      </c>
      <c r="T49" s="27"/>
      <c r="U49" s="21">
        <v>7765.78</v>
      </c>
      <c r="V49" s="27"/>
    </row>
    <row r="50" spans="1:22" ht="15.35" x14ac:dyDescent="0.55000000000000004">
      <c r="A50" s="20">
        <v>6812</v>
      </c>
      <c r="B50" s="2" t="s">
        <v>201</v>
      </c>
      <c r="C50" s="2" t="s">
        <v>202</v>
      </c>
      <c r="D50" s="2" t="s">
        <v>583</v>
      </c>
      <c r="E50" s="2" t="s">
        <v>235</v>
      </c>
      <c r="F50" s="2" t="s">
        <v>408</v>
      </c>
      <c r="G50" s="2" t="s">
        <v>423</v>
      </c>
      <c r="H50" s="2" t="s">
        <v>424</v>
      </c>
      <c r="I50" s="2" t="s">
        <v>584</v>
      </c>
      <c r="J50" s="2" t="s">
        <v>310</v>
      </c>
      <c r="K50" s="2" t="s">
        <v>585</v>
      </c>
      <c r="L50" s="25">
        <v>38589</v>
      </c>
      <c r="M50" s="25">
        <v>53198</v>
      </c>
      <c r="N50" s="2" t="s">
        <v>586</v>
      </c>
      <c r="P50" s="25">
        <v>39083</v>
      </c>
      <c r="Q50" s="25">
        <v>39448</v>
      </c>
      <c r="R50" s="25">
        <v>39814</v>
      </c>
      <c r="T50" s="27"/>
      <c r="U50" s="21">
        <v>153062.62</v>
      </c>
      <c r="V50" s="27"/>
    </row>
    <row r="51" spans="1:22" ht="15.35" x14ac:dyDescent="0.55000000000000004">
      <c r="A51" s="20">
        <v>6806</v>
      </c>
      <c r="B51" s="2" t="s">
        <v>201</v>
      </c>
      <c r="C51" s="2" t="s">
        <v>202</v>
      </c>
      <c r="D51" s="2" t="s">
        <v>587</v>
      </c>
      <c r="E51" s="2" t="s">
        <v>588</v>
      </c>
      <c r="F51" s="2" t="s">
        <v>408</v>
      </c>
      <c r="G51" s="2" t="s">
        <v>409</v>
      </c>
      <c r="H51" s="2" t="s">
        <v>589</v>
      </c>
      <c r="I51" s="2" t="s">
        <v>590</v>
      </c>
      <c r="J51" s="2" t="s">
        <v>310</v>
      </c>
      <c r="K51" s="2" t="s">
        <v>364</v>
      </c>
      <c r="M51" s="25">
        <v>57462</v>
      </c>
      <c r="N51" s="2" t="s">
        <v>591</v>
      </c>
      <c r="P51" s="25">
        <v>39083</v>
      </c>
      <c r="Q51" s="25">
        <v>40179</v>
      </c>
      <c r="R51" s="25">
        <v>40179</v>
      </c>
      <c r="T51" s="27"/>
      <c r="U51" s="21">
        <v>79382.84</v>
      </c>
      <c r="V51" s="27"/>
    </row>
    <row r="52" spans="1:22" ht="15.35" x14ac:dyDescent="0.55000000000000004">
      <c r="A52" s="20">
        <v>6746</v>
      </c>
      <c r="B52" s="2" t="s">
        <v>209</v>
      </c>
      <c r="C52" s="2" t="s">
        <v>210</v>
      </c>
      <c r="D52" s="2" t="s">
        <v>592</v>
      </c>
      <c r="E52" s="2" t="s">
        <v>212</v>
      </c>
      <c r="F52" s="2" t="s">
        <v>357</v>
      </c>
      <c r="G52" s="2" t="s">
        <v>357</v>
      </c>
      <c r="H52" s="2" t="s">
        <v>593</v>
      </c>
      <c r="I52" s="2" t="s">
        <v>594</v>
      </c>
      <c r="J52" s="2" t="s">
        <v>310</v>
      </c>
      <c r="K52" s="2" t="s">
        <v>595</v>
      </c>
      <c r="L52" s="25">
        <v>41351</v>
      </c>
      <c r="M52" s="25">
        <v>59612</v>
      </c>
      <c r="N52" s="2" t="s">
        <v>596</v>
      </c>
      <c r="P52" s="2" t="s">
        <v>597</v>
      </c>
      <c r="Q52" s="2" t="s">
        <v>598</v>
      </c>
      <c r="R52" s="25">
        <v>43709</v>
      </c>
      <c r="T52" s="27"/>
      <c r="U52" s="21">
        <v>128074.6</v>
      </c>
      <c r="V52" s="27"/>
    </row>
    <row r="53" spans="1:22" ht="15.35" x14ac:dyDescent="0.55000000000000004">
      <c r="A53" s="20">
        <v>6750</v>
      </c>
      <c r="B53" s="2" t="s">
        <v>214</v>
      </c>
      <c r="C53" s="2" t="s">
        <v>215</v>
      </c>
      <c r="D53" s="2" t="s">
        <v>599</v>
      </c>
      <c r="E53" s="2" t="s">
        <v>212</v>
      </c>
      <c r="F53" s="2" t="s">
        <v>408</v>
      </c>
      <c r="G53" s="2" t="s">
        <v>600</v>
      </c>
      <c r="H53" s="2" t="s">
        <v>601</v>
      </c>
      <c r="I53" s="2" t="s">
        <v>602</v>
      </c>
      <c r="J53" s="2" t="s">
        <v>310</v>
      </c>
      <c r="K53" s="2" t="s">
        <v>603</v>
      </c>
      <c r="L53" s="25">
        <v>39072</v>
      </c>
      <c r="M53" s="25">
        <v>57334</v>
      </c>
      <c r="N53" s="2" t="s">
        <v>604</v>
      </c>
      <c r="P53" s="25">
        <v>41791</v>
      </c>
      <c r="Q53" s="25">
        <v>42887</v>
      </c>
      <c r="R53" s="25">
        <v>42887</v>
      </c>
      <c r="T53" s="27"/>
      <c r="U53" s="21">
        <v>209903.29</v>
      </c>
      <c r="V53" s="21">
        <v>900</v>
      </c>
    </row>
    <row r="54" spans="1:22" ht="15.35" x14ac:dyDescent="0.55000000000000004">
      <c r="A54" s="20">
        <v>6748</v>
      </c>
      <c r="B54" s="2" t="s">
        <v>214</v>
      </c>
      <c r="C54" s="2" t="s">
        <v>215</v>
      </c>
      <c r="D54" s="2" t="s">
        <v>605</v>
      </c>
      <c r="E54" s="2" t="s">
        <v>133</v>
      </c>
      <c r="F54" s="2" t="s">
        <v>332</v>
      </c>
      <c r="G54" s="2" t="s">
        <v>606</v>
      </c>
      <c r="H54" s="2" t="s">
        <v>607</v>
      </c>
      <c r="I54" s="2" t="s">
        <v>608</v>
      </c>
      <c r="J54" s="2" t="s">
        <v>310</v>
      </c>
      <c r="K54" s="2" t="s">
        <v>609</v>
      </c>
      <c r="M54" s="25">
        <v>53873</v>
      </c>
      <c r="N54" s="2" t="s">
        <v>610</v>
      </c>
      <c r="O54" s="2" t="s">
        <v>611</v>
      </c>
      <c r="P54" s="2" t="s">
        <v>612</v>
      </c>
      <c r="Q54" s="2" t="s">
        <v>613</v>
      </c>
      <c r="R54" s="2" t="s">
        <v>614</v>
      </c>
      <c r="T54" s="27"/>
      <c r="U54" s="21">
        <v>130142.92</v>
      </c>
      <c r="V54" s="27"/>
    </row>
    <row r="55" spans="1:22" ht="15.35" x14ac:dyDescent="0.55000000000000004">
      <c r="A55" s="20">
        <v>7305</v>
      </c>
      <c r="B55" s="2" t="s">
        <v>217</v>
      </c>
      <c r="C55" s="2" t="s">
        <v>218</v>
      </c>
      <c r="D55" s="2" t="s">
        <v>615</v>
      </c>
      <c r="E55" s="2" t="s">
        <v>208</v>
      </c>
      <c r="F55" s="2" t="s">
        <v>357</v>
      </c>
      <c r="G55" s="2" t="s">
        <v>357</v>
      </c>
      <c r="H55" s="2" t="s">
        <v>616</v>
      </c>
      <c r="I55" s="2" t="s">
        <v>617</v>
      </c>
      <c r="J55" s="2" t="s">
        <v>310</v>
      </c>
      <c r="K55" s="2" t="s">
        <v>473</v>
      </c>
      <c r="L55" s="25">
        <v>38974</v>
      </c>
      <c r="M55" s="25">
        <v>57236</v>
      </c>
      <c r="N55" s="2" t="s">
        <v>618</v>
      </c>
      <c r="P55" s="25">
        <v>43405</v>
      </c>
      <c r="Q55" s="25">
        <v>44501</v>
      </c>
      <c r="R55" s="25">
        <v>44621</v>
      </c>
      <c r="T55" s="27"/>
      <c r="U55" s="21">
        <v>13295.65</v>
      </c>
      <c r="V55" s="27"/>
    </row>
    <row r="56" spans="1:22" ht="15.35" x14ac:dyDescent="0.55000000000000004">
      <c r="A56" s="20">
        <v>7306</v>
      </c>
      <c r="B56" s="2" t="s">
        <v>217</v>
      </c>
      <c r="C56" s="2" t="s">
        <v>218</v>
      </c>
      <c r="D56" s="2" t="s">
        <v>619</v>
      </c>
      <c r="E56" s="2" t="s">
        <v>208</v>
      </c>
      <c r="F56" s="2" t="s">
        <v>408</v>
      </c>
      <c r="G56" s="2" t="s">
        <v>409</v>
      </c>
      <c r="H56" s="2" t="s">
        <v>589</v>
      </c>
      <c r="I56" s="2" t="s">
        <v>620</v>
      </c>
      <c r="J56" s="2" t="s">
        <v>310</v>
      </c>
      <c r="K56" s="2" t="s">
        <v>364</v>
      </c>
      <c r="L56" s="25">
        <v>38454</v>
      </c>
      <c r="M56" s="25">
        <v>53063</v>
      </c>
      <c r="N56" s="2" t="s">
        <v>621</v>
      </c>
      <c r="P56" s="25">
        <v>40330</v>
      </c>
      <c r="Q56" s="25">
        <v>42430</v>
      </c>
      <c r="R56" s="2" t="s">
        <v>622</v>
      </c>
      <c r="T56" s="27"/>
      <c r="U56" s="21">
        <v>42774.94</v>
      </c>
      <c r="V56" s="27"/>
    </row>
    <row r="57" spans="1:22" ht="15.35" x14ac:dyDescent="0.55000000000000004">
      <c r="A57" s="20">
        <v>7383</v>
      </c>
      <c r="B57" s="2" t="s">
        <v>220</v>
      </c>
      <c r="C57" s="2" t="s">
        <v>221</v>
      </c>
      <c r="D57" s="2" t="s">
        <v>623</v>
      </c>
      <c r="E57" s="2" t="s">
        <v>133</v>
      </c>
      <c r="F57" s="2" t="s">
        <v>306</v>
      </c>
      <c r="G57" s="2" t="s">
        <v>624</v>
      </c>
      <c r="H57" s="2" t="s">
        <v>625</v>
      </c>
      <c r="I57" s="2" t="s">
        <v>626</v>
      </c>
      <c r="J57" s="2" t="s">
        <v>310</v>
      </c>
      <c r="K57" s="2" t="s">
        <v>336</v>
      </c>
      <c r="L57" s="25">
        <v>42808</v>
      </c>
      <c r="M57" s="25">
        <v>57417</v>
      </c>
      <c r="N57" s="2" t="s">
        <v>627</v>
      </c>
      <c r="O57" s="20">
        <v>54035.8</v>
      </c>
      <c r="P57" s="25">
        <v>42947</v>
      </c>
      <c r="Q57" s="25">
        <v>43455</v>
      </c>
      <c r="R57" s="25">
        <v>43435</v>
      </c>
      <c r="T57" s="27"/>
      <c r="U57" s="21">
        <v>120270.51</v>
      </c>
      <c r="V57" s="27"/>
    </row>
    <row r="58" spans="1:22" ht="15.35" x14ac:dyDescent="0.55000000000000004">
      <c r="A58" s="20">
        <v>7397</v>
      </c>
      <c r="B58" s="2" t="s">
        <v>220</v>
      </c>
      <c r="C58" s="2" t="s">
        <v>221</v>
      </c>
      <c r="D58" s="2" t="s">
        <v>628</v>
      </c>
      <c r="E58" s="2" t="s">
        <v>133</v>
      </c>
      <c r="F58" s="2" t="s">
        <v>306</v>
      </c>
      <c r="G58" s="2" t="s">
        <v>502</v>
      </c>
      <c r="H58" s="2" t="s">
        <v>629</v>
      </c>
      <c r="I58" s="2" t="s">
        <v>630</v>
      </c>
      <c r="J58" s="2" t="s">
        <v>310</v>
      </c>
      <c r="K58" s="2" t="s">
        <v>529</v>
      </c>
      <c r="L58" s="25">
        <v>43075</v>
      </c>
      <c r="M58" s="25">
        <v>57684</v>
      </c>
      <c r="N58" s="2" t="s">
        <v>631</v>
      </c>
      <c r="O58" s="20">
        <v>126336</v>
      </c>
      <c r="P58" s="25">
        <v>43210</v>
      </c>
      <c r="Q58" s="25">
        <v>43754</v>
      </c>
      <c r="R58" s="25">
        <v>43739</v>
      </c>
      <c r="T58" s="27"/>
      <c r="U58" s="21">
        <v>173774.76</v>
      </c>
      <c r="V58" s="27"/>
    </row>
    <row r="59" spans="1:22" ht="15.35" x14ac:dyDescent="0.55000000000000004">
      <c r="A59" s="20">
        <v>7671</v>
      </c>
      <c r="C59" s="2" t="s">
        <v>227</v>
      </c>
      <c r="D59" s="2" t="s">
        <v>632</v>
      </c>
      <c r="E59" s="2" t="s">
        <v>235</v>
      </c>
      <c r="F59" s="2" t="s">
        <v>306</v>
      </c>
      <c r="G59" s="2" t="s">
        <v>307</v>
      </c>
      <c r="H59" s="2" t="s">
        <v>633</v>
      </c>
      <c r="I59" s="2" t="s">
        <v>634</v>
      </c>
      <c r="J59" s="2" t="s">
        <v>310</v>
      </c>
      <c r="K59" s="2" t="s">
        <v>635</v>
      </c>
      <c r="M59" s="25">
        <v>55870</v>
      </c>
      <c r="N59" s="2" t="s">
        <v>636</v>
      </c>
      <c r="P59" s="25">
        <v>41671</v>
      </c>
      <c r="Q59" s="25">
        <v>42278</v>
      </c>
      <c r="R59" s="25">
        <v>42278</v>
      </c>
      <c r="T59" s="21">
        <v>21474.799999999999</v>
      </c>
      <c r="U59" s="21">
        <v>183679.77</v>
      </c>
      <c r="V59" s="27"/>
    </row>
    <row r="60" spans="1:22" ht="15.35" x14ac:dyDescent="0.55000000000000004">
      <c r="A60" s="20">
        <v>7665</v>
      </c>
      <c r="C60" s="2" t="s">
        <v>227</v>
      </c>
      <c r="D60" s="2" t="s">
        <v>637</v>
      </c>
      <c r="E60" s="2" t="s">
        <v>249</v>
      </c>
      <c r="F60" s="2" t="s">
        <v>408</v>
      </c>
      <c r="G60" s="2" t="s">
        <v>600</v>
      </c>
      <c r="H60" s="2" t="s">
        <v>601</v>
      </c>
      <c r="I60" s="2" t="s">
        <v>638</v>
      </c>
      <c r="J60" s="2" t="s">
        <v>310</v>
      </c>
      <c r="K60" s="2" t="s">
        <v>639</v>
      </c>
      <c r="M60" s="25">
        <v>52839</v>
      </c>
      <c r="N60" s="2" t="s">
        <v>640</v>
      </c>
      <c r="P60" s="25">
        <v>42125</v>
      </c>
      <c r="Q60" s="25">
        <v>43709</v>
      </c>
      <c r="R60" s="25">
        <v>44044</v>
      </c>
      <c r="T60" s="27"/>
      <c r="U60" s="21">
        <v>63738.27</v>
      </c>
      <c r="V60" s="21">
        <v>472</v>
      </c>
    </row>
    <row r="61" spans="1:22" ht="15.35" x14ac:dyDescent="0.55000000000000004">
      <c r="A61" s="20">
        <v>4598</v>
      </c>
      <c r="C61" s="2" t="s">
        <v>283</v>
      </c>
      <c r="D61" s="2" t="s">
        <v>641</v>
      </c>
      <c r="E61" s="2" t="s">
        <v>133</v>
      </c>
      <c r="F61" s="2" t="s">
        <v>306</v>
      </c>
      <c r="G61" s="2" t="s">
        <v>307</v>
      </c>
      <c r="H61" s="2" t="s">
        <v>642</v>
      </c>
      <c r="I61" s="2" t="s">
        <v>643</v>
      </c>
      <c r="J61" s="2" t="s">
        <v>310</v>
      </c>
      <c r="K61" s="2" t="s">
        <v>364</v>
      </c>
      <c r="L61" s="25">
        <v>41730</v>
      </c>
      <c r="M61" s="25">
        <v>56261</v>
      </c>
      <c r="N61" s="2" t="s">
        <v>644</v>
      </c>
      <c r="O61" s="2" t="s">
        <v>645</v>
      </c>
      <c r="P61" s="25">
        <v>41974</v>
      </c>
      <c r="Q61" s="25">
        <v>43040</v>
      </c>
      <c r="R61" s="25">
        <v>43070</v>
      </c>
      <c r="T61" s="21">
        <v>14185.69</v>
      </c>
      <c r="U61" s="21">
        <v>197821.36</v>
      </c>
      <c r="V61" s="21">
        <v>1358</v>
      </c>
    </row>
    <row r="62" spans="1:22" ht="15.35" x14ac:dyDescent="0.55000000000000004">
      <c r="A62" s="20">
        <v>6768</v>
      </c>
      <c r="C62" s="2" t="s">
        <v>230</v>
      </c>
      <c r="D62" s="2" t="s">
        <v>646</v>
      </c>
      <c r="E62" s="2" t="s">
        <v>133</v>
      </c>
      <c r="F62" s="2" t="s">
        <v>486</v>
      </c>
      <c r="G62" s="2" t="s">
        <v>487</v>
      </c>
      <c r="H62" s="2" t="s">
        <v>647</v>
      </c>
      <c r="I62" s="2" t="s">
        <v>648</v>
      </c>
      <c r="J62" s="2" t="s">
        <v>310</v>
      </c>
      <c r="K62" s="2" t="s">
        <v>649</v>
      </c>
      <c r="L62" s="2" t="s">
        <v>650</v>
      </c>
      <c r="M62" s="25">
        <v>57820</v>
      </c>
      <c r="N62" s="2" t="s">
        <v>651</v>
      </c>
      <c r="P62" s="2" t="s">
        <v>652</v>
      </c>
      <c r="Q62" s="2" t="s">
        <v>653</v>
      </c>
      <c r="R62" s="2" t="s">
        <v>654</v>
      </c>
      <c r="T62" s="21">
        <v>29324.6</v>
      </c>
      <c r="U62" s="21">
        <v>185323.41</v>
      </c>
      <c r="V62" s="27"/>
    </row>
    <row r="63" spans="1:22" ht="15.35" x14ac:dyDescent="0.55000000000000004">
      <c r="A63" s="20">
        <v>7147</v>
      </c>
      <c r="C63" s="2" t="s">
        <v>223</v>
      </c>
      <c r="D63" s="2" t="s">
        <v>655</v>
      </c>
      <c r="E63" s="2" t="s">
        <v>133</v>
      </c>
      <c r="F63" s="2" t="s">
        <v>408</v>
      </c>
      <c r="G63" s="2" t="s">
        <v>656</v>
      </c>
      <c r="H63" s="2" t="s">
        <v>657</v>
      </c>
      <c r="I63" s="2" t="s">
        <v>658</v>
      </c>
      <c r="J63" s="2" t="s">
        <v>310</v>
      </c>
      <c r="K63" s="2" t="s">
        <v>551</v>
      </c>
      <c r="M63" s="25">
        <v>55036</v>
      </c>
      <c r="N63" s="2" t="s">
        <v>659</v>
      </c>
      <c r="P63" s="25">
        <v>41215</v>
      </c>
      <c r="Q63" s="25">
        <v>41831</v>
      </c>
      <c r="R63" s="25">
        <v>41883</v>
      </c>
      <c r="T63" s="27"/>
      <c r="U63" s="21">
        <v>119651.78</v>
      </c>
      <c r="V63" s="27"/>
    </row>
    <row r="64" spans="1:22" ht="15.35" x14ac:dyDescent="0.55000000000000004">
      <c r="A64" s="20">
        <v>7153</v>
      </c>
      <c r="C64" s="2" t="s">
        <v>223</v>
      </c>
      <c r="D64" s="2" t="s">
        <v>660</v>
      </c>
      <c r="E64" s="2" t="s">
        <v>133</v>
      </c>
      <c r="F64" s="2" t="s">
        <v>357</v>
      </c>
      <c r="G64" s="2" t="s">
        <v>357</v>
      </c>
      <c r="H64" s="2" t="s">
        <v>661</v>
      </c>
      <c r="I64" s="2" t="s">
        <v>662</v>
      </c>
      <c r="J64" s="2" t="s">
        <v>310</v>
      </c>
      <c r="K64" s="2" t="s">
        <v>663</v>
      </c>
      <c r="L64" s="25">
        <v>41546</v>
      </c>
      <c r="M64" s="25">
        <v>56155</v>
      </c>
      <c r="N64" s="2" t="s">
        <v>664</v>
      </c>
      <c r="P64" s="25">
        <v>41913</v>
      </c>
      <c r="Q64" s="25">
        <v>42819</v>
      </c>
      <c r="R64" s="25">
        <v>43282</v>
      </c>
      <c r="T64" s="27"/>
      <c r="U64" s="21">
        <v>188687.63</v>
      </c>
      <c r="V64" s="27"/>
    </row>
    <row r="65" spans="1:22" ht="15.35" x14ac:dyDescent="0.55000000000000004">
      <c r="A65" s="20">
        <v>7314</v>
      </c>
      <c r="C65" s="2" t="s">
        <v>233</v>
      </c>
      <c r="D65" s="2" t="s">
        <v>665</v>
      </c>
      <c r="E65" s="2" t="s">
        <v>666</v>
      </c>
      <c r="F65" s="2" t="s">
        <v>357</v>
      </c>
      <c r="G65" s="2" t="s">
        <v>357</v>
      </c>
      <c r="H65" s="2" t="s">
        <v>616</v>
      </c>
      <c r="I65" s="2" t="s">
        <v>667</v>
      </c>
      <c r="J65" s="2" t="s">
        <v>310</v>
      </c>
      <c r="K65" s="2" t="s">
        <v>668</v>
      </c>
      <c r="L65" s="25">
        <v>39202</v>
      </c>
      <c r="M65" s="25">
        <v>53811</v>
      </c>
      <c r="N65" s="2" t="s">
        <v>669</v>
      </c>
      <c r="P65" s="25">
        <v>40238</v>
      </c>
      <c r="Q65" s="25">
        <v>41000</v>
      </c>
      <c r="R65" s="25">
        <v>41153</v>
      </c>
      <c r="T65" s="21">
        <v>52546</v>
      </c>
      <c r="U65" s="21">
        <v>110471.1</v>
      </c>
      <c r="V65" s="27"/>
    </row>
    <row r="66" spans="1:22" ht="15.35" x14ac:dyDescent="0.55000000000000004">
      <c r="A66" s="20">
        <v>7227</v>
      </c>
      <c r="C66" s="2" t="s">
        <v>236</v>
      </c>
      <c r="D66" s="2" t="s">
        <v>670</v>
      </c>
      <c r="E66" s="2" t="s">
        <v>143</v>
      </c>
      <c r="F66" s="2" t="s">
        <v>78</v>
      </c>
      <c r="G66" s="2" t="s">
        <v>78</v>
      </c>
      <c r="H66" s="2" t="s">
        <v>671</v>
      </c>
      <c r="I66" s="2" t="s">
        <v>672</v>
      </c>
      <c r="J66" s="2" t="s">
        <v>310</v>
      </c>
      <c r="K66" s="2" t="s">
        <v>673</v>
      </c>
      <c r="M66" s="25">
        <v>57632</v>
      </c>
      <c r="N66" s="2" t="s">
        <v>674</v>
      </c>
      <c r="P66" s="2" t="s">
        <v>675</v>
      </c>
      <c r="Q66" s="2" t="s">
        <v>676</v>
      </c>
      <c r="R66" s="2" t="s">
        <v>677</v>
      </c>
      <c r="T66" s="27"/>
      <c r="U66" s="21">
        <v>16320.84</v>
      </c>
      <c r="V66" s="27"/>
    </row>
    <row r="67" spans="1:22" ht="15.35" x14ac:dyDescent="0.55000000000000004">
      <c r="A67" s="20">
        <v>7228</v>
      </c>
      <c r="C67" s="2" t="s">
        <v>236</v>
      </c>
      <c r="D67" s="2" t="s">
        <v>678</v>
      </c>
      <c r="E67" s="2" t="s">
        <v>133</v>
      </c>
      <c r="F67" s="2" t="s">
        <v>78</v>
      </c>
      <c r="G67" s="2" t="s">
        <v>78</v>
      </c>
      <c r="H67" s="2" t="s">
        <v>386</v>
      </c>
      <c r="I67" s="2" t="s">
        <v>679</v>
      </c>
      <c r="J67" s="2" t="s">
        <v>310</v>
      </c>
      <c r="K67" s="2" t="s">
        <v>680</v>
      </c>
      <c r="M67" s="25">
        <v>57682</v>
      </c>
      <c r="N67" s="2" t="s">
        <v>681</v>
      </c>
      <c r="P67" s="25">
        <v>40238</v>
      </c>
      <c r="Q67" s="25">
        <v>41579</v>
      </c>
      <c r="R67" s="25">
        <v>42217</v>
      </c>
      <c r="T67" s="21">
        <v>11567.73</v>
      </c>
      <c r="U67" s="21">
        <v>25481.759999999998</v>
      </c>
      <c r="V67" s="27"/>
    </row>
    <row r="68" spans="1:22" ht="15.35" x14ac:dyDescent="0.55000000000000004">
      <c r="A68" s="20">
        <v>7225</v>
      </c>
      <c r="C68" s="2" t="s">
        <v>236</v>
      </c>
      <c r="D68" s="2" t="s">
        <v>682</v>
      </c>
      <c r="E68" s="2" t="s">
        <v>143</v>
      </c>
      <c r="F68" s="2" t="s">
        <v>78</v>
      </c>
      <c r="G68" s="2" t="s">
        <v>78</v>
      </c>
      <c r="H68" s="2" t="s">
        <v>386</v>
      </c>
      <c r="I68" s="2" t="s">
        <v>683</v>
      </c>
      <c r="J68" s="2" t="s">
        <v>310</v>
      </c>
      <c r="K68" s="2" t="s">
        <v>684</v>
      </c>
      <c r="M68" s="25">
        <v>52839</v>
      </c>
      <c r="N68" s="2" t="s">
        <v>685</v>
      </c>
      <c r="P68" s="2" t="s">
        <v>686</v>
      </c>
      <c r="Q68" s="2" t="s">
        <v>687</v>
      </c>
      <c r="R68" s="2" t="s">
        <v>688</v>
      </c>
      <c r="T68" s="27"/>
      <c r="U68" s="21">
        <v>11731.66</v>
      </c>
      <c r="V68" s="27"/>
    </row>
    <row r="69" spans="1:22" ht="15.35" x14ac:dyDescent="0.55000000000000004">
      <c r="A69" s="20">
        <v>7413</v>
      </c>
      <c r="C69" s="2" t="s">
        <v>239</v>
      </c>
      <c r="D69" s="2" t="s">
        <v>689</v>
      </c>
      <c r="E69" s="2" t="s">
        <v>133</v>
      </c>
      <c r="F69" s="2" t="s">
        <v>408</v>
      </c>
      <c r="G69" s="2" t="s">
        <v>600</v>
      </c>
      <c r="H69" s="2" t="s">
        <v>690</v>
      </c>
      <c r="I69" s="2" t="s">
        <v>691</v>
      </c>
      <c r="J69" s="2" t="s">
        <v>310</v>
      </c>
      <c r="K69" s="2" t="s">
        <v>692</v>
      </c>
      <c r="L69" s="25">
        <v>37330</v>
      </c>
      <c r="M69" s="25">
        <v>62897</v>
      </c>
      <c r="N69" s="2" t="s">
        <v>693</v>
      </c>
      <c r="P69" s="25">
        <v>40452</v>
      </c>
      <c r="Q69" s="25">
        <v>41127</v>
      </c>
      <c r="R69" s="25">
        <v>41153</v>
      </c>
      <c r="T69" s="27"/>
      <c r="U69" s="31" t="s">
        <v>694</v>
      </c>
      <c r="V69" s="21">
        <v>1476</v>
      </c>
    </row>
    <row r="70" spans="1:22" ht="15.35" x14ac:dyDescent="0.55000000000000004">
      <c r="A70" s="20">
        <v>7742</v>
      </c>
      <c r="C70" s="2" t="s">
        <v>257</v>
      </c>
      <c r="D70" s="2" t="s">
        <v>695</v>
      </c>
      <c r="E70" s="2" t="s">
        <v>133</v>
      </c>
      <c r="F70" s="2" t="s">
        <v>696</v>
      </c>
      <c r="G70" s="2" t="s">
        <v>696</v>
      </c>
      <c r="H70" s="2" t="s">
        <v>697</v>
      </c>
      <c r="I70" s="2" t="s">
        <v>698</v>
      </c>
      <c r="J70" s="2" t="s">
        <v>310</v>
      </c>
      <c r="K70" s="2" t="s">
        <v>328</v>
      </c>
      <c r="L70" s="25">
        <v>36882</v>
      </c>
      <c r="M70" s="25">
        <v>60806</v>
      </c>
      <c r="N70" s="2" t="s">
        <v>699</v>
      </c>
      <c r="P70" s="25">
        <v>40148</v>
      </c>
      <c r="Q70" s="25">
        <v>40878</v>
      </c>
      <c r="R70" s="25">
        <v>40878</v>
      </c>
      <c r="T70" s="27"/>
      <c r="U70" s="21">
        <v>311561.15000000002</v>
      </c>
      <c r="V70" s="27"/>
    </row>
    <row r="71" spans="1:22" ht="15.35" x14ac:dyDescent="0.55000000000000004">
      <c r="A71" s="20">
        <v>7772</v>
      </c>
      <c r="C71" s="2" t="s">
        <v>253</v>
      </c>
      <c r="D71" s="2" t="s">
        <v>700</v>
      </c>
      <c r="E71" s="2" t="s">
        <v>133</v>
      </c>
      <c r="F71" s="2" t="s">
        <v>357</v>
      </c>
      <c r="G71" s="2" t="s">
        <v>357</v>
      </c>
      <c r="H71" s="2" t="s">
        <v>593</v>
      </c>
      <c r="I71" s="2" t="s">
        <v>701</v>
      </c>
      <c r="J71" s="2" t="s">
        <v>310</v>
      </c>
      <c r="K71" s="2" t="s">
        <v>702</v>
      </c>
      <c r="L71" s="25">
        <v>38718</v>
      </c>
      <c r="M71" s="25">
        <v>53326</v>
      </c>
      <c r="N71" s="2" t="s">
        <v>703</v>
      </c>
      <c r="P71" s="25">
        <v>40787</v>
      </c>
      <c r="Q71" s="25">
        <v>41907</v>
      </c>
      <c r="R71" s="25">
        <v>41974</v>
      </c>
      <c r="T71" s="21">
        <v>55365</v>
      </c>
      <c r="U71" s="21">
        <v>88530.9</v>
      </c>
      <c r="V71" s="27"/>
    </row>
    <row r="72" spans="1:22" ht="15.35" x14ac:dyDescent="0.55000000000000004">
      <c r="A72" s="20">
        <v>7828</v>
      </c>
      <c r="C72" s="2" t="s">
        <v>259</v>
      </c>
      <c r="D72" s="2" t="s">
        <v>704</v>
      </c>
      <c r="E72" s="2" t="s">
        <v>208</v>
      </c>
      <c r="F72" s="2" t="s">
        <v>357</v>
      </c>
      <c r="G72" s="2" t="s">
        <v>357</v>
      </c>
      <c r="H72" s="2" t="s">
        <v>430</v>
      </c>
      <c r="I72" s="2" t="s">
        <v>705</v>
      </c>
      <c r="J72" s="2" t="s">
        <v>381</v>
      </c>
      <c r="K72" s="2" t="s">
        <v>384</v>
      </c>
      <c r="L72" s="25">
        <v>41639</v>
      </c>
      <c r="M72" s="25">
        <v>56248</v>
      </c>
      <c r="N72" s="2" t="s">
        <v>706</v>
      </c>
      <c r="Q72" s="25">
        <v>43097</v>
      </c>
      <c r="T72" s="27"/>
      <c r="U72" s="21">
        <v>21554.959999999999</v>
      </c>
      <c r="V72" s="27"/>
    </row>
    <row r="73" spans="1:22" ht="15.35" x14ac:dyDescent="0.55000000000000004">
      <c r="A73" s="20">
        <v>7842</v>
      </c>
      <c r="C73" s="2" t="s">
        <v>259</v>
      </c>
      <c r="D73" s="2" t="s">
        <v>707</v>
      </c>
      <c r="E73" s="2" t="s">
        <v>212</v>
      </c>
      <c r="F73" s="2" t="s">
        <v>312</v>
      </c>
      <c r="G73" s="2" t="s">
        <v>349</v>
      </c>
      <c r="H73" s="2" t="s">
        <v>708</v>
      </c>
      <c r="I73" s="2" t="s">
        <v>709</v>
      </c>
      <c r="J73" s="2" t="s">
        <v>310</v>
      </c>
      <c r="K73" s="2" t="s">
        <v>384</v>
      </c>
      <c r="L73" s="25">
        <v>43110</v>
      </c>
      <c r="M73" s="25">
        <v>60785</v>
      </c>
      <c r="N73" s="2" t="s">
        <v>710</v>
      </c>
      <c r="Q73" s="2" t="s">
        <v>711</v>
      </c>
      <c r="R73" s="2" t="s">
        <v>712</v>
      </c>
      <c r="T73" s="27"/>
      <c r="U73" s="21">
        <v>138442.89000000001</v>
      </c>
      <c r="V73" s="27"/>
    </row>
  </sheetData>
  <autoFilter ref="A2:V73" xr:uid="{00000000-0009-0000-0000-000002000000}"/>
  <mergeCells count="1">
    <mergeCell ref="B1:C1"/>
  </mergeCells>
  <phoneticPr fontId="17" type="noConversion"/>
  <hyperlinks>
    <hyperlink ref="B1" location="'数据概览'!A1" tooltip="返回数据概览" display="⬅ 返回数据概览" xr:uid="{00000000-0004-0000-0200-000000000000}"/>
  </hyperlink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104"/>
  <sheetViews>
    <sheetView workbookViewId="0">
      <pane xSplit="3" ySplit="2" topLeftCell="D16" activePane="bottomRight" state="frozen"/>
      <selection pane="topRight"/>
      <selection pane="bottomLeft"/>
      <selection pane="bottomRight" activeCell="E59" sqref="E59"/>
    </sheetView>
  </sheetViews>
  <sheetFormatPr defaultRowHeight="14.35" x14ac:dyDescent="0.4"/>
  <cols>
    <col min="1" max="1" width="8" hidden="1" customWidth="1"/>
    <col min="2" max="2" width="8" customWidth="1"/>
    <col min="3" max="3" width="26" customWidth="1"/>
    <col min="4" max="4" width="30" customWidth="1"/>
    <col min="5" max="7" width="12" customWidth="1"/>
    <col min="8" max="8" width="7" customWidth="1"/>
    <col min="9" max="9" width="12" customWidth="1"/>
    <col min="10" max="10" width="35" customWidth="1"/>
  </cols>
  <sheetData>
    <row r="1" spans="1:10" ht="15.35" x14ac:dyDescent="0.55000000000000004">
      <c r="B1" s="61" t="s">
        <v>87</v>
      </c>
      <c r="C1" s="62"/>
    </row>
    <row r="2" spans="1:10" ht="45" customHeight="1" x14ac:dyDescent="0.4">
      <c r="A2" s="6" t="s">
        <v>88</v>
      </c>
      <c r="B2" s="6" t="s">
        <v>89</v>
      </c>
      <c r="C2" s="6" t="s">
        <v>90</v>
      </c>
      <c r="D2" s="6" t="s">
        <v>286</v>
      </c>
      <c r="E2" s="6" t="s">
        <v>713</v>
      </c>
      <c r="F2" s="6" t="s">
        <v>714</v>
      </c>
      <c r="G2" s="6" t="s">
        <v>715</v>
      </c>
      <c r="H2" s="6" t="s">
        <v>716</v>
      </c>
      <c r="I2" s="6" t="s">
        <v>717</v>
      </c>
      <c r="J2" s="6" t="s">
        <v>718</v>
      </c>
    </row>
    <row r="3" spans="1:10" ht="15.35" x14ac:dyDescent="0.55000000000000004">
      <c r="A3" s="20">
        <v>1415</v>
      </c>
      <c r="B3" s="2" t="s">
        <v>148</v>
      </c>
      <c r="C3" s="2" t="s">
        <v>149</v>
      </c>
      <c r="D3" s="2" t="s">
        <v>305</v>
      </c>
      <c r="E3" s="2" t="s">
        <v>719</v>
      </c>
      <c r="F3" s="25">
        <v>45838</v>
      </c>
      <c r="G3" s="21">
        <v>244400</v>
      </c>
      <c r="H3" s="23">
        <v>7.2499999999999995E-2</v>
      </c>
      <c r="I3" s="25">
        <v>45943</v>
      </c>
      <c r="J3" s="2" t="s">
        <v>720</v>
      </c>
    </row>
    <row r="4" spans="1:10" ht="15.35" x14ac:dyDescent="0.55000000000000004">
      <c r="A4" s="20">
        <v>910</v>
      </c>
      <c r="B4" s="2" t="s">
        <v>148</v>
      </c>
      <c r="C4" s="2" t="s">
        <v>149</v>
      </c>
      <c r="D4" s="2" t="s">
        <v>311</v>
      </c>
      <c r="E4" s="2" t="s">
        <v>721</v>
      </c>
      <c r="F4" s="25">
        <v>45199</v>
      </c>
      <c r="G4" s="21">
        <v>814700</v>
      </c>
      <c r="H4" s="23">
        <v>7.0000000000000007E-2</v>
      </c>
      <c r="I4" s="25">
        <v>45310</v>
      </c>
      <c r="J4" s="2" t="s">
        <v>720</v>
      </c>
    </row>
    <row r="5" spans="1:10" ht="15.35" x14ac:dyDescent="0.55000000000000004">
      <c r="A5" s="20">
        <v>1416</v>
      </c>
      <c r="B5" s="2" t="s">
        <v>148</v>
      </c>
      <c r="C5" s="2" t="s">
        <v>149</v>
      </c>
      <c r="D5" s="2" t="s">
        <v>311</v>
      </c>
      <c r="E5" s="2" t="s">
        <v>719</v>
      </c>
      <c r="F5" s="25">
        <v>45657</v>
      </c>
      <c r="G5" s="21">
        <v>815000</v>
      </c>
      <c r="H5" s="23">
        <v>7.0000000000000007E-2</v>
      </c>
      <c r="I5" s="25">
        <v>45747</v>
      </c>
      <c r="J5" s="2" t="s">
        <v>720</v>
      </c>
    </row>
    <row r="6" spans="1:10" ht="15.35" x14ac:dyDescent="0.55000000000000004">
      <c r="A6" s="20">
        <v>1611</v>
      </c>
      <c r="B6" s="2" t="s">
        <v>148</v>
      </c>
      <c r="C6" s="2" t="s">
        <v>149</v>
      </c>
      <c r="D6" s="2" t="s">
        <v>311</v>
      </c>
      <c r="E6" s="2" t="s">
        <v>719</v>
      </c>
      <c r="F6" s="25">
        <v>46022</v>
      </c>
      <c r="G6" s="21">
        <v>836000</v>
      </c>
      <c r="H6" s="23">
        <v>7.0000000000000007E-2</v>
      </c>
      <c r="I6" s="25">
        <v>46112</v>
      </c>
      <c r="J6" s="2" t="s">
        <v>720</v>
      </c>
    </row>
    <row r="7" spans="1:10" ht="15.35" x14ac:dyDescent="0.55000000000000004">
      <c r="A7" s="20">
        <v>900003</v>
      </c>
      <c r="B7" s="2" t="s">
        <v>153</v>
      </c>
      <c r="C7" s="2" t="s">
        <v>154</v>
      </c>
      <c r="D7" s="2" t="s">
        <v>323</v>
      </c>
      <c r="E7" s="2" t="s">
        <v>722</v>
      </c>
      <c r="F7" s="25">
        <v>45107</v>
      </c>
      <c r="G7" s="21">
        <v>395900</v>
      </c>
      <c r="H7" s="23">
        <v>7.0000000000000007E-2</v>
      </c>
      <c r="I7" s="25">
        <v>45256</v>
      </c>
      <c r="J7" s="2" t="s">
        <v>720</v>
      </c>
    </row>
    <row r="8" spans="1:10" ht="15.35" x14ac:dyDescent="0.55000000000000004">
      <c r="A8" s="20">
        <v>912</v>
      </c>
      <c r="B8" s="2" t="s">
        <v>153</v>
      </c>
      <c r="C8" s="2" t="s">
        <v>154</v>
      </c>
      <c r="D8" s="2" t="s">
        <v>323</v>
      </c>
      <c r="E8" s="2" t="s">
        <v>721</v>
      </c>
      <c r="F8" s="25">
        <v>45199</v>
      </c>
      <c r="G8" s="21">
        <v>395900</v>
      </c>
      <c r="H8" s="23">
        <v>7.0000000000000007E-2</v>
      </c>
      <c r="I8" s="25">
        <v>45371</v>
      </c>
      <c r="J8" s="2" t="s">
        <v>720</v>
      </c>
    </row>
    <row r="9" spans="1:10" ht="15.35" x14ac:dyDescent="0.55000000000000004">
      <c r="A9" s="20">
        <v>1417</v>
      </c>
      <c r="B9" s="2" t="s">
        <v>153</v>
      </c>
      <c r="C9" s="2" t="s">
        <v>154</v>
      </c>
      <c r="D9" s="2" t="s">
        <v>323</v>
      </c>
      <c r="E9" s="2" t="s">
        <v>719</v>
      </c>
      <c r="F9" s="25">
        <v>45657</v>
      </c>
      <c r="G9" s="21">
        <v>395900</v>
      </c>
      <c r="H9" s="23">
        <v>7.0000000000000007E-2</v>
      </c>
      <c r="I9" s="25">
        <v>45744</v>
      </c>
      <c r="J9" s="2" t="s">
        <v>720</v>
      </c>
    </row>
    <row r="10" spans="1:10" ht="15.35" x14ac:dyDescent="0.55000000000000004">
      <c r="A10" s="20">
        <v>1684</v>
      </c>
      <c r="B10" s="2" t="s">
        <v>153</v>
      </c>
      <c r="C10" s="2" t="s">
        <v>154</v>
      </c>
      <c r="D10" s="2" t="s">
        <v>323</v>
      </c>
      <c r="E10" s="2" t="s">
        <v>719</v>
      </c>
      <c r="F10" s="25">
        <v>46022</v>
      </c>
      <c r="G10" s="21">
        <v>395900</v>
      </c>
      <c r="H10" s="23">
        <v>6.5000000000000002E-2</v>
      </c>
      <c r="I10" s="25">
        <v>46112</v>
      </c>
      <c r="J10" s="2" t="s">
        <v>720</v>
      </c>
    </row>
    <row r="11" spans="1:10" ht="15.35" x14ac:dyDescent="0.55000000000000004">
      <c r="A11" s="20">
        <v>919</v>
      </c>
      <c r="B11" s="2" t="s">
        <v>157</v>
      </c>
      <c r="C11" s="2" t="s">
        <v>158</v>
      </c>
      <c r="D11" s="2" t="s">
        <v>331</v>
      </c>
      <c r="E11" s="2" t="s">
        <v>721</v>
      </c>
      <c r="F11" s="25">
        <v>45382</v>
      </c>
      <c r="G11" s="21">
        <v>324300</v>
      </c>
      <c r="H11" s="23">
        <v>7.0000000000000007E-2</v>
      </c>
      <c r="I11" s="25">
        <v>45528</v>
      </c>
      <c r="J11" s="2" t="s">
        <v>720</v>
      </c>
    </row>
    <row r="12" spans="1:10" ht="15.35" x14ac:dyDescent="0.55000000000000004">
      <c r="A12" s="20">
        <v>1316</v>
      </c>
      <c r="B12" s="2" t="s">
        <v>157</v>
      </c>
      <c r="C12" s="2" t="s">
        <v>158</v>
      </c>
      <c r="D12" s="2" t="s">
        <v>331</v>
      </c>
      <c r="E12" s="2" t="s">
        <v>719</v>
      </c>
      <c r="F12" s="25">
        <v>45657</v>
      </c>
      <c r="G12" s="21">
        <v>324700</v>
      </c>
      <c r="H12" s="23">
        <v>7.0000000000000007E-2</v>
      </c>
      <c r="I12" s="25">
        <v>45747</v>
      </c>
      <c r="J12" s="2" t="s">
        <v>720</v>
      </c>
    </row>
    <row r="13" spans="1:10" ht="15.35" x14ac:dyDescent="0.55000000000000004">
      <c r="A13" s="20">
        <v>1685</v>
      </c>
      <c r="B13" s="2" t="s">
        <v>157</v>
      </c>
      <c r="C13" s="2" t="s">
        <v>158</v>
      </c>
      <c r="D13" s="2" t="s">
        <v>331</v>
      </c>
      <c r="E13" s="2" t="s">
        <v>719</v>
      </c>
      <c r="F13" s="25">
        <v>46022</v>
      </c>
      <c r="G13" s="21">
        <v>324800</v>
      </c>
      <c r="H13" s="23">
        <v>6.7500000000000004E-2</v>
      </c>
      <c r="I13" s="25">
        <v>46112</v>
      </c>
      <c r="J13" s="2" t="s">
        <v>720</v>
      </c>
    </row>
    <row r="14" spans="1:10" ht="15.35" x14ac:dyDescent="0.55000000000000004">
      <c r="A14" s="20">
        <v>425</v>
      </c>
      <c r="B14" s="2" t="s">
        <v>161</v>
      </c>
      <c r="C14" s="2" t="s">
        <v>162</v>
      </c>
      <c r="D14" s="2" t="s">
        <v>339</v>
      </c>
      <c r="E14" s="2" t="s">
        <v>721</v>
      </c>
      <c r="F14" s="25">
        <v>45473</v>
      </c>
      <c r="G14" s="21">
        <v>148200</v>
      </c>
      <c r="H14" s="23">
        <v>7.2499999999999995E-2</v>
      </c>
      <c r="I14" s="25">
        <v>45650</v>
      </c>
      <c r="J14" s="2" t="s">
        <v>723</v>
      </c>
    </row>
    <row r="15" spans="1:10" ht="15.35" x14ac:dyDescent="0.55000000000000004">
      <c r="A15" s="20">
        <v>1686</v>
      </c>
      <c r="B15" s="2" t="s">
        <v>161</v>
      </c>
      <c r="C15" s="2" t="s">
        <v>162</v>
      </c>
      <c r="D15" s="2" t="s">
        <v>339</v>
      </c>
      <c r="E15" s="2" t="s">
        <v>719</v>
      </c>
      <c r="F15" s="25">
        <v>46022</v>
      </c>
      <c r="G15" s="21">
        <v>146100</v>
      </c>
      <c r="H15" s="23">
        <v>7.2499999999999995E-2</v>
      </c>
      <c r="I15" s="25">
        <v>46112</v>
      </c>
      <c r="J15" s="2" t="s">
        <v>720</v>
      </c>
    </row>
    <row r="16" spans="1:10" ht="15.35" x14ac:dyDescent="0.55000000000000004">
      <c r="A16" s="20">
        <v>900001</v>
      </c>
      <c r="B16" s="2" t="s">
        <v>166</v>
      </c>
      <c r="C16" s="2" t="s">
        <v>167</v>
      </c>
      <c r="D16" s="2" t="s">
        <v>348</v>
      </c>
      <c r="E16" s="2" t="s">
        <v>724</v>
      </c>
      <c r="F16" s="25">
        <v>45565</v>
      </c>
      <c r="G16" s="21">
        <v>156540</v>
      </c>
      <c r="H16" s="23">
        <v>7.2499999999999995E-2</v>
      </c>
      <c r="I16" s="25">
        <v>45720</v>
      </c>
      <c r="J16" s="2" t="s">
        <v>720</v>
      </c>
    </row>
    <row r="17" spans="1:10" ht="15.35" x14ac:dyDescent="0.55000000000000004">
      <c r="A17" s="20">
        <v>426</v>
      </c>
      <c r="B17" s="2" t="s">
        <v>166</v>
      </c>
      <c r="C17" s="2" t="s">
        <v>167</v>
      </c>
      <c r="D17" s="2" t="s">
        <v>348</v>
      </c>
      <c r="E17" s="2" t="s">
        <v>722</v>
      </c>
      <c r="F17" s="25">
        <v>45657</v>
      </c>
      <c r="G17" s="21">
        <v>153000</v>
      </c>
      <c r="H17" s="23">
        <v>7.0000000000000007E-2</v>
      </c>
      <c r="I17" s="25">
        <v>45807</v>
      </c>
      <c r="J17" s="2" t="s">
        <v>725</v>
      </c>
    </row>
    <row r="18" spans="1:10" ht="15.35" x14ac:dyDescent="0.55000000000000004">
      <c r="A18" s="20">
        <v>1687</v>
      </c>
      <c r="B18" s="2" t="s">
        <v>166</v>
      </c>
      <c r="C18" s="2" t="s">
        <v>167</v>
      </c>
      <c r="D18" s="2" t="s">
        <v>348</v>
      </c>
      <c r="E18" s="2" t="s">
        <v>719</v>
      </c>
      <c r="F18" s="25">
        <v>46022</v>
      </c>
      <c r="G18" s="21">
        <v>153000</v>
      </c>
      <c r="H18" s="23">
        <v>7.0000000000000007E-2</v>
      </c>
      <c r="I18" s="25">
        <v>46112</v>
      </c>
      <c r="J18" s="2" t="s">
        <v>725</v>
      </c>
    </row>
    <row r="19" spans="1:10" ht="15.35" x14ac:dyDescent="0.55000000000000004">
      <c r="A19" s="20">
        <v>374</v>
      </c>
      <c r="B19" s="2" t="s">
        <v>128</v>
      </c>
      <c r="C19" s="2" t="s">
        <v>129</v>
      </c>
      <c r="D19" s="2" t="s">
        <v>355</v>
      </c>
      <c r="E19" s="2" t="s">
        <v>721</v>
      </c>
      <c r="F19" s="25">
        <v>45291</v>
      </c>
      <c r="G19" s="21">
        <v>233200</v>
      </c>
      <c r="H19" s="23">
        <v>6.9000000000000006E-2</v>
      </c>
      <c r="I19" s="25">
        <v>45463</v>
      </c>
      <c r="J19" s="2" t="s">
        <v>720</v>
      </c>
    </row>
    <row r="20" spans="1:10" ht="15.35" x14ac:dyDescent="0.55000000000000004">
      <c r="A20" s="20">
        <v>1372</v>
      </c>
      <c r="B20" s="2" t="s">
        <v>128</v>
      </c>
      <c r="C20" s="2" t="s">
        <v>129</v>
      </c>
      <c r="D20" s="2" t="s">
        <v>355</v>
      </c>
      <c r="E20" s="2" t="s">
        <v>719</v>
      </c>
      <c r="F20" s="25">
        <v>45657</v>
      </c>
      <c r="G20" s="21">
        <v>224100</v>
      </c>
      <c r="H20" s="23">
        <v>6.5000000000000002E-2</v>
      </c>
      <c r="I20" s="25">
        <v>45747</v>
      </c>
      <c r="J20" s="2" t="s">
        <v>720</v>
      </c>
    </row>
    <row r="21" spans="1:10" ht="15.35" x14ac:dyDescent="0.55000000000000004">
      <c r="A21" s="20">
        <v>1608</v>
      </c>
      <c r="B21" s="2" t="s">
        <v>128</v>
      </c>
      <c r="C21" s="2" t="s">
        <v>129</v>
      </c>
      <c r="D21" s="2" t="s">
        <v>355</v>
      </c>
      <c r="E21" s="2" t="s">
        <v>719</v>
      </c>
      <c r="F21" s="25">
        <v>46022</v>
      </c>
      <c r="G21" s="21">
        <v>212500</v>
      </c>
      <c r="H21" s="23">
        <v>0.06</v>
      </c>
      <c r="I21" s="25">
        <v>46112</v>
      </c>
      <c r="J21" s="2" t="s">
        <v>720</v>
      </c>
    </row>
    <row r="22" spans="1:10" ht="15.35" x14ac:dyDescent="0.55000000000000004">
      <c r="A22" s="20">
        <v>790</v>
      </c>
      <c r="B22" s="2" t="s">
        <v>135</v>
      </c>
      <c r="C22" s="2" t="s">
        <v>136</v>
      </c>
      <c r="D22" s="2" t="s">
        <v>363</v>
      </c>
      <c r="E22" s="2" t="s">
        <v>721</v>
      </c>
      <c r="F22" s="25">
        <v>45382</v>
      </c>
      <c r="G22" s="21">
        <v>101100</v>
      </c>
      <c r="H22" s="23">
        <v>0.08</v>
      </c>
      <c r="I22" s="25">
        <v>45503</v>
      </c>
      <c r="J22" s="2" t="s">
        <v>720</v>
      </c>
    </row>
    <row r="23" spans="1:10" ht="15.35" x14ac:dyDescent="0.55000000000000004">
      <c r="A23" s="20">
        <v>1514</v>
      </c>
      <c r="B23" s="2" t="s">
        <v>135</v>
      </c>
      <c r="C23" s="2" t="s">
        <v>136</v>
      </c>
      <c r="D23" s="2" t="s">
        <v>363</v>
      </c>
      <c r="E23" s="2" t="s">
        <v>719</v>
      </c>
      <c r="F23" s="25">
        <v>45657</v>
      </c>
      <c r="G23" s="21">
        <v>101100</v>
      </c>
      <c r="H23" s="23">
        <v>0.08</v>
      </c>
      <c r="I23" s="25">
        <v>45747</v>
      </c>
      <c r="J23" s="2" t="s">
        <v>720</v>
      </c>
    </row>
    <row r="24" spans="1:10" ht="15.35" x14ac:dyDescent="0.55000000000000004">
      <c r="A24" s="20">
        <v>1512</v>
      </c>
      <c r="B24" s="2" t="s">
        <v>135</v>
      </c>
      <c r="C24" s="2" t="s">
        <v>136</v>
      </c>
      <c r="D24" s="2" t="s">
        <v>363</v>
      </c>
      <c r="E24" s="2" t="s">
        <v>719</v>
      </c>
      <c r="F24" s="25">
        <v>46022</v>
      </c>
      <c r="G24" s="21">
        <v>101800</v>
      </c>
      <c r="H24" s="23">
        <v>0.08</v>
      </c>
      <c r="I24" s="25">
        <v>46108</v>
      </c>
      <c r="J24" s="2" t="s">
        <v>720</v>
      </c>
    </row>
    <row r="25" spans="1:10" ht="15.35" x14ac:dyDescent="0.55000000000000004">
      <c r="A25" s="20">
        <v>791</v>
      </c>
      <c r="B25" s="2" t="s">
        <v>135</v>
      </c>
      <c r="C25" s="2" t="s">
        <v>136</v>
      </c>
      <c r="D25" s="2" t="s">
        <v>372</v>
      </c>
      <c r="E25" s="2" t="s">
        <v>721</v>
      </c>
      <c r="F25" s="25">
        <v>45382</v>
      </c>
      <c r="G25" s="21">
        <v>96200</v>
      </c>
      <c r="H25" s="23">
        <v>8.2500000000000004E-2</v>
      </c>
      <c r="I25" s="25">
        <v>45503</v>
      </c>
      <c r="J25" s="2" t="s">
        <v>720</v>
      </c>
    </row>
    <row r="26" spans="1:10" ht="15.35" x14ac:dyDescent="0.55000000000000004">
      <c r="A26" s="20">
        <v>1515</v>
      </c>
      <c r="B26" s="2" t="s">
        <v>135</v>
      </c>
      <c r="C26" s="2" t="s">
        <v>136</v>
      </c>
      <c r="D26" s="2" t="s">
        <v>372</v>
      </c>
      <c r="E26" s="2" t="s">
        <v>719</v>
      </c>
      <c r="F26" s="25">
        <v>45657</v>
      </c>
      <c r="G26" s="21">
        <v>102100</v>
      </c>
      <c r="H26" s="23">
        <v>8.2500000000000004E-2</v>
      </c>
      <c r="I26" s="25">
        <v>45747</v>
      </c>
      <c r="J26" s="2" t="s">
        <v>720</v>
      </c>
    </row>
    <row r="27" spans="1:10" ht="15.35" x14ac:dyDescent="0.55000000000000004">
      <c r="A27" s="20">
        <v>1513</v>
      </c>
      <c r="B27" s="2" t="s">
        <v>135</v>
      </c>
      <c r="C27" s="2" t="s">
        <v>136</v>
      </c>
      <c r="D27" s="2" t="s">
        <v>372</v>
      </c>
      <c r="E27" s="2" t="s">
        <v>719</v>
      </c>
      <c r="F27" s="25">
        <v>46022</v>
      </c>
      <c r="G27" s="21">
        <v>111500</v>
      </c>
      <c r="H27" s="23">
        <v>8.2500000000000004E-2</v>
      </c>
      <c r="I27" s="25">
        <v>46108</v>
      </c>
      <c r="J27" s="2" t="s">
        <v>720</v>
      </c>
    </row>
    <row r="28" spans="1:10" ht="15.35" x14ac:dyDescent="0.55000000000000004">
      <c r="A28" s="20">
        <v>404</v>
      </c>
      <c r="B28" s="2" t="s">
        <v>140</v>
      </c>
      <c r="C28" s="2" t="s">
        <v>141</v>
      </c>
      <c r="D28" s="2" t="s">
        <v>378</v>
      </c>
      <c r="E28" s="2" t="s">
        <v>721</v>
      </c>
      <c r="F28" s="25">
        <v>45107</v>
      </c>
      <c r="G28" s="21">
        <v>17026</v>
      </c>
      <c r="H28" s="23">
        <v>7.0000000000000007E-2</v>
      </c>
      <c r="I28" s="25">
        <v>45285</v>
      </c>
      <c r="J28" s="2" t="s">
        <v>726</v>
      </c>
    </row>
    <row r="29" spans="1:10" ht="15.35" x14ac:dyDescent="0.55000000000000004">
      <c r="A29" s="20">
        <v>1333</v>
      </c>
      <c r="B29" s="2" t="s">
        <v>140</v>
      </c>
      <c r="C29" s="2" t="s">
        <v>141</v>
      </c>
      <c r="D29" s="2" t="s">
        <v>378</v>
      </c>
      <c r="E29" s="2" t="s">
        <v>719</v>
      </c>
      <c r="F29" s="25">
        <v>45657</v>
      </c>
      <c r="G29" s="21">
        <v>15956.37</v>
      </c>
      <c r="H29" s="23">
        <v>7.0000000000000007E-2</v>
      </c>
      <c r="I29" s="25">
        <v>45744</v>
      </c>
      <c r="J29" s="2" t="s">
        <v>726</v>
      </c>
    </row>
    <row r="30" spans="1:10" ht="15.35" x14ac:dyDescent="0.55000000000000004">
      <c r="A30" s="20">
        <v>1329</v>
      </c>
      <c r="B30" s="2" t="s">
        <v>140</v>
      </c>
      <c r="C30" s="2" t="s">
        <v>141</v>
      </c>
      <c r="D30" s="2" t="s">
        <v>378</v>
      </c>
      <c r="E30" s="2" t="s">
        <v>719</v>
      </c>
      <c r="F30" s="25">
        <v>46022</v>
      </c>
      <c r="G30" s="21">
        <v>16689</v>
      </c>
      <c r="H30" s="23">
        <v>7.0000000000000007E-2</v>
      </c>
      <c r="I30" s="25">
        <v>46111</v>
      </c>
      <c r="J30" s="2" t="s">
        <v>727</v>
      </c>
    </row>
    <row r="31" spans="1:10" ht="15.35" x14ac:dyDescent="0.55000000000000004">
      <c r="A31" s="20">
        <v>834</v>
      </c>
      <c r="B31" s="2" t="s">
        <v>140</v>
      </c>
      <c r="C31" s="2" t="s">
        <v>141</v>
      </c>
      <c r="D31" s="2" t="s">
        <v>385</v>
      </c>
      <c r="E31" s="2" t="s">
        <v>721</v>
      </c>
      <c r="F31" s="25">
        <v>45107</v>
      </c>
      <c r="G31" s="21">
        <v>26636</v>
      </c>
      <c r="H31" s="23">
        <v>7.0000000000000007E-2</v>
      </c>
      <c r="I31" s="25">
        <v>45285</v>
      </c>
      <c r="J31" s="2" t="s">
        <v>726</v>
      </c>
    </row>
    <row r="32" spans="1:10" ht="15.35" x14ac:dyDescent="0.55000000000000004">
      <c r="A32" s="20">
        <v>1334</v>
      </c>
      <c r="B32" s="2" t="s">
        <v>140</v>
      </c>
      <c r="C32" s="2" t="s">
        <v>141</v>
      </c>
      <c r="D32" s="2" t="s">
        <v>385</v>
      </c>
      <c r="E32" s="2" t="s">
        <v>719</v>
      </c>
      <c r="F32" s="25">
        <v>45657</v>
      </c>
      <c r="G32" s="21">
        <v>31717.71</v>
      </c>
      <c r="H32" s="23">
        <v>7.0000000000000007E-2</v>
      </c>
      <c r="I32" s="25">
        <v>45744</v>
      </c>
      <c r="J32" s="2" t="s">
        <v>726</v>
      </c>
    </row>
    <row r="33" spans="1:10" ht="15.35" x14ac:dyDescent="0.55000000000000004">
      <c r="A33" s="20">
        <v>1331</v>
      </c>
      <c r="B33" s="2" t="s">
        <v>140</v>
      </c>
      <c r="C33" s="2" t="s">
        <v>141</v>
      </c>
      <c r="D33" s="2" t="s">
        <v>385</v>
      </c>
      <c r="E33" s="2" t="s">
        <v>719</v>
      </c>
      <c r="F33" s="25">
        <v>46022</v>
      </c>
      <c r="G33" s="21">
        <v>28666</v>
      </c>
      <c r="H33" s="23">
        <v>7.0000000000000007E-2</v>
      </c>
      <c r="I33" s="25">
        <v>46111</v>
      </c>
      <c r="J33" s="2" t="s">
        <v>727</v>
      </c>
    </row>
    <row r="34" spans="1:10" ht="15.35" x14ac:dyDescent="0.55000000000000004">
      <c r="A34" s="20">
        <v>403</v>
      </c>
      <c r="B34" s="2" t="s">
        <v>140</v>
      </c>
      <c r="C34" s="2" t="s">
        <v>141</v>
      </c>
      <c r="D34" s="2" t="s">
        <v>390</v>
      </c>
      <c r="E34" s="2" t="s">
        <v>721</v>
      </c>
      <c r="F34" s="25">
        <v>45107</v>
      </c>
      <c r="G34" s="21">
        <v>13963</v>
      </c>
      <c r="H34" s="23">
        <v>7.0000000000000007E-2</v>
      </c>
      <c r="I34" s="25">
        <v>45285</v>
      </c>
      <c r="J34" s="2" t="s">
        <v>726</v>
      </c>
    </row>
    <row r="35" spans="1:10" ht="15.35" x14ac:dyDescent="0.55000000000000004">
      <c r="A35" s="20">
        <v>1332</v>
      </c>
      <c r="B35" s="2" t="s">
        <v>140</v>
      </c>
      <c r="C35" s="2" t="s">
        <v>141</v>
      </c>
      <c r="D35" s="2" t="s">
        <v>390</v>
      </c>
      <c r="E35" s="2" t="s">
        <v>719</v>
      </c>
      <c r="F35" s="25">
        <v>45657</v>
      </c>
      <c r="G35" s="21">
        <v>13748.46</v>
      </c>
      <c r="H35" s="23">
        <v>7.0000000000000007E-2</v>
      </c>
      <c r="I35" s="25">
        <v>45744</v>
      </c>
      <c r="J35" s="2" t="s">
        <v>726</v>
      </c>
    </row>
    <row r="36" spans="1:10" ht="15.35" x14ac:dyDescent="0.55000000000000004">
      <c r="A36" s="20">
        <v>1328</v>
      </c>
      <c r="B36" s="2" t="s">
        <v>140</v>
      </c>
      <c r="C36" s="2" t="s">
        <v>141</v>
      </c>
      <c r="D36" s="2" t="s">
        <v>390</v>
      </c>
      <c r="E36" s="2" t="s">
        <v>719</v>
      </c>
      <c r="F36" s="25">
        <v>46022</v>
      </c>
      <c r="G36" s="21">
        <v>13916</v>
      </c>
      <c r="H36" s="23">
        <v>7.0000000000000007E-2</v>
      </c>
      <c r="I36" s="25">
        <v>46111</v>
      </c>
      <c r="J36" s="2" t="s">
        <v>727</v>
      </c>
    </row>
    <row r="37" spans="1:10" ht="15.35" x14ac:dyDescent="0.55000000000000004">
      <c r="A37" s="20">
        <v>405</v>
      </c>
      <c r="B37" s="2" t="s">
        <v>140</v>
      </c>
      <c r="C37" s="2" t="s">
        <v>141</v>
      </c>
      <c r="D37" s="2" t="s">
        <v>395</v>
      </c>
      <c r="E37" s="2" t="s">
        <v>721</v>
      </c>
      <c r="F37" s="25">
        <v>45107</v>
      </c>
      <c r="G37" s="21">
        <v>42597</v>
      </c>
      <c r="H37" s="23">
        <v>7.0000000000000007E-2</v>
      </c>
      <c r="I37" s="25">
        <v>45285</v>
      </c>
      <c r="J37" s="2" t="s">
        <v>726</v>
      </c>
    </row>
    <row r="38" spans="1:10" ht="15.35" x14ac:dyDescent="0.55000000000000004">
      <c r="A38" s="20">
        <v>1318</v>
      </c>
      <c r="B38" s="2" t="s">
        <v>140</v>
      </c>
      <c r="C38" s="2" t="s">
        <v>141</v>
      </c>
      <c r="D38" s="2" t="s">
        <v>395</v>
      </c>
      <c r="E38" s="2" t="s">
        <v>719</v>
      </c>
      <c r="F38" s="25">
        <v>45657</v>
      </c>
      <c r="G38" s="21">
        <v>41590.49</v>
      </c>
      <c r="H38" s="23">
        <v>7.0000000000000007E-2</v>
      </c>
      <c r="I38" s="25">
        <v>45744</v>
      </c>
      <c r="J38" s="2" t="s">
        <v>726</v>
      </c>
    </row>
    <row r="39" spans="1:10" ht="15.35" x14ac:dyDescent="0.55000000000000004">
      <c r="A39" s="20">
        <v>1330</v>
      </c>
      <c r="B39" s="2" t="s">
        <v>140</v>
      </c>
      <c r="C39" s="2" t="s">
        <v>141</v>
      </c>
      <c r="D39" s="2" t="s">
        <v>395</v>
      </c>
      <c r="E39" s="2" t="s">
        <v>719</v>
      </c>
      <c r="F39" s="25">
        <v>46022</v>
      </c>
      <c r="G39" s="21">
        <v>40824</v>
      </c>
      <c r="H39" s="23">
        <v>7.0000000000000007E-2</v>
      </c>
      <c r="I39" s="25">
        <v>46111</v>
      </c>
      <c r="J39" s="2" t="s">
        <v>727</v>
      </c>
    </row>
    <row r="40" spans="1:10" ht="15.35" x14ac:dyDescent="0.55000000000000004">
      <c r="A40" s="20">
        <v>415</v>
      </c>
      <c r="B40" s="2" t="s">
        <v>144</v>
      </c>
      <c r="C40" s="2" t="s">
        <v>145</v>
      </c>
      <c r="D40" s="2" t="s">
        <v>400</v>
      </c>
      <c r="E40" s="2" t="s">
        <v>721</v>
      </c>
      <c r="F40" s="25">
        <v>45107</v>
      </c>
      <c r="G40" s="21">
        <v>106500</v>
      </c>
      <c r="H40" s="23">
        <v>7.2499999999999995E-2</v>
      </c>
      <c r="I40" s="25">
        <v>45327</v>
      </c>
      <c r="J40" s="2" t="s">
        <v>720</v>
      </c>
    </row>
    <row r="41" spans="1:10" ht="15.35" x14ac:dyDescent="0.55000000000000004">
      <c r="A41" s="20">
        <v>1312</v>
      </c>
      <c r="B41" s="2" t="s">
        <v>144</v>
      </c>
      <c r="C41" s="2" t="s">
        <v>145</v>
      </c>
      <c r="D41" s="2" t="s">
        <v>400</v>
      </c>
      <c r="E41" s="2" t="s">
        <v>719</v>
      </c>
      <c r="F41" s="25">
        <v>45657</v>
      </c>
      <c r="G41" s="21">
        <v>106500</v>
      </c>
      <c r="H41" s="23">
        <v>7.2499999999999995E-2</v>
      </c>
      <c r="I41" s="25">
        <v>45747</v>
      </c>
      <c r="J41" s="2" t="s">
        <v>720</v>
      </c>
    </row>
    <row r="42" spans="1:10" ht="15.35" x14ac:dyDescent="0.55000000000000004">
      <c r="A42" s="20">
        <v>1313</v>
      </c>
      <c r="B42" s="2" t="s">
        <v>144</v>
      </c>
      <c r="C42" s="2" t="s">
        <v>145</v>
      </c>
      <c r="D42" s="2" t="s">
        <v>400</v>
      </c>
      <c r="E42" s="2" t="s">
        <v>719</v>
      </c>
      <c r="F42" s="25">
        <v>46022</v>
      </c>
      <c r="G42" s="21">
        <v>106500</v>
      </c>
      <c r="H42" s="23">
        <v>7.0000000000000007E-2</v>
      </c>
      <c r="I42" s="25">
        <v>46108</v>
      </c>
      <c r="J42" s="2" t="s">
        <v>720</v>
      </c>
    </row>
    <row r="43" spans="1:10" ht="15.35" x14ac:dyDescent="0.55000000000000004">
      <c r="A43" s="20">
        <v>740</v>
      </c>
      <c r="B43" s="2" t="s">
        <v>169</v>
      </c>
      <c r="C43" s="2" t="s">
        <v>170</v>
      </c>
      <c r="D43" s="2" t="s">
        <v>407</v>
      </c>
      <c r="E43" s="2" t="s">
        <v>721</v>
      </c>
      <c r="F43" s="25">
        <v>45747</v>
      </c>
      <c r="G43" s="21">
        <v>180000</v>
      </c>
      <c r="H43" s="23">
        <v>0.06</v>
      </c>
      <c r="I43" s="25">
        <v>45896</v>
      </c>
      <c r="J43" s="2" t="s">
        <v>720</v>
      </c>
    </row>
    <row r="44" spans="1:10" ht="15.35" x14ac:dyDescent="0.55000000000000004">
      <c r="A44" s="20">
        <v>1501</v>
      </c>
      <c r="B44" s="2" t="s">
        <v>169</v>
      </c>
      <c r="C44" s="2" t="s">
        <v>170</v>
      </c>
      <c r="D44" s="2" t="s">
        <v>407</v>
      </c>
      <c r="E44" s="2" t="s">
        <v>719</v>
      </c>
      <c r="F44" s="25">
        <v>46022</v>
      </c>
      <c r="G44" s="21">
        <v>180100</v>
      </c>
      <c r="H44" s="23">
        <v>0.06</v>
      </c>
      <c r="I44" s="25">
        <v>46108</v>
      </c>
      <c r="J44" s="2" t="s">
        <v>720</v>
      </c>
    </row>
    <row r="45" spans="1:10" ht="15.35" x14ac:dyDescent="0.55000000000000004">
      <c r="A45" s="20">
        <v>739</v>
      </c>
      <c r="B45" s="2" t="s">
        <v>169</v>
      </c>
      <c r="C45" s="2" t="s">
        <v>170</v>
      </c>
      <c r="D45" s="2" t="s">
        <v>413</v>
      </c>
      <c r="E45" s="2" t="s">
        <v>721</v>
      </c>
      <c r="F45" s="25">
        <v>45747</v>
      </c>
      <c r="G45" s="21">
        <v>76900</v>
      </c>
      <c r="H45" s="23">
        <v>6.7500000000000004E-2</v>
      </c>
      <c r="I45" s="25">
        <v>45901</v>
      </c>
      <c r="J45" s="2" t="s">
        <v>720</v>
      </c>
    </row>
    <row r="46" spans="1:10" ht="15.35" x14ac:dyDescent="0.55000000000000004">
      <c r="A46" s="20">
        <v>1502</v>
      </c>
      <c r="B46" s="2" t="s">
        <v>169</v>
      </c>
      <c r="C46" s="2" t="s">
        <v>170</v>
      </c>
      <c r="D46" s="2" t="s">
        <v>413</v>
      </c>
      <c r="E46" s="2" t="s">
        <v>719</v>
      </c>
      <c r="F46" s="25">
        <v>46022</v>
      </c>
      <c r="G46" s="21">
        <v>75600</v>
      </c>
      <c r="H46" s="23">
        <v>6.7500000000000004E-2</v>
      </c>
      <c r="I46" s="25">
        <v>46108</v>
      </c>
      <c r="J46" s="2" t="s">
        <v>720</v>
      </c>
    </row>
    <row r="47" spans="1:10" ht="15.35" x14ac:dyDescent="0.55000000000000004">
      <c r="A47" s="20">
        <v>737</v>
      </c>
      <c r="B47" s="2" t="s">
        <v>176</v>
      </c>
      <c r="C47" s="2" t="s">
        <v>177</v>
      </c>
      <c r="D47" s="2" t="s">
        <v>417</v>
      </c>
      <c r="E47" s="2" t="s">
        <v>728</v>
      </c>
      <c r="F47" s="25">
        <v>45747</v>
      </c>
      <c r="G47" s="21">
        <v>290100</v>
      </c>
      <c r="H47" s="23">
        <v>7.7499999999999999E-2</v>
      </c>
      <c r="I47" s="25">
        <v>45877</v>
      </c>
      <c r="J47" s="2" t="s">
        <v>720</v>
      </c>
    </row>
    <row r="48" spans="1:10" ht="15.35" x14ac:dyDescent="0.55000000000000004">
      <c r="A48" s="20">
        <v>1500</v>
      </c>
      <c r="B48" s="2" t="s">
        <v>176</v>
      </c>
      <c r="C48" s="2" t="s">
        <v>177</v>
      </c>
      <c r="D48" s="2" t="s">
        <v>417</v>
      </c>
      <c r="E48" s="2" t="s">
        <v>719</v>
      </c>
      <c r="F48" s="25">
        <v>46022</v>
      </c>
      <c r="G48" s="21">
        <v>297000</v>
      </c>
      <c r="H48" s="23">
        <v>7.4999999999999997E-2</v>
      </c>
      <c r="I48" s="25">
        <v>46112</v>
      </c>
      <c r="J48" s="2" t="s">
        <v>720</v>
      </c>
    </row>
    <row r="49" spans="1:10" s="58" customFormat="1" ht="15.35" x14ac:dyDescent="0.55000000000000004">
      <c r="A49" s="53">
        <v>743</v>
      </c>
      <c r="B49" s="54" t="s">
        <v>173</v>
      </c>
      <c r="C49" s="54" t="s">
        <v>174</v>
      </c>
      <c r="D49" s="54" t="s">
        <v>422</v>
      </c>
      <c r="E49" s="54" t="s">
        <v>722</v>
      </c>
      <c r="F49" s="55">
        <v>45747</v>
      </c>
      <c r="G49" s="56">
        <v>129000</v>
      </c>
      <c r="H49" s="57">
        <v>6.7500000000000004E-2</v>
      </c>
      <c r="I49" s="55">
        <v>45922</v>
      </c>
      <c r="J49" s="54" t="s">
        <v>720</v>
      </c>
    </row>
    <row r="50" spans="1:10" s="58" customFormat="1" ht="15.35" x14ac:dyDescent="0.55000000000000004">
      <c r="A50" s="53">
        <v>900002</v>
      </c>
      <c r="B50" s="54" t="s">
        <v>173</v>
      </c>
      <c r="C50" s="54" t="s">
        <v>174</v>
      </c>
      <c r="D50" s="54" t="s">
        <v>422</v>
      </c>
      <c r="E50" s="54" t="s">
        <v>724</v>
      </c>
      <c r="F50" s="55">
        <v>45747</v>
      </c>
      <c r="G50" s="56">
        <v>131500</v>
      </c>
      <c r="H50" s="57">
        <v>7.2499999999999995E-2</v>
      </c>
      <c r="I50" s="55">
        <v>45834</v>
      </c>
      <c r="J50" s="54" t="s">
        <v>720</v>
      </c>
    </row>
    <row r="51" spans="1:10" ht="15.35" x14ac:dyDescent="0.55000000000000004">
      <c r="A51" s="20">
        <v>1677</v>
      </c>
      <c r="B51" s="2" t="s">
        <v>173</v>
      </c>
      <c r="C51" s="2" t="s">
        <v>174</v>
      </c>
      <c r="D51" s="2" t="s">
        <v>422</v>
      </c>
      <c r="E51" s="2" t="s">
        <v>719</v>
      </c>
      <c r="F51" s="25">
        <v>46022</v>
      </c>
      <c r="G51" s="21">
        <v>129000</v>
      </c>
      <c r="H51" s="23">
        <v>6.7500000000000004E-2</v>
      </c>
      <c r="I51" s="25">
        <v>46112</v>
      </c>
      <c r="J51" s="2" t="s">
        <v>720</v>
      </c>
    </row>
    <row r="52" spans="1:10" ht="15.35" x14ac:dyDescent="0.55000000000000004">
      <c r="A52" s="20">
        <v>972</v>
      </c>
      <c r="B52" s="2" t="s">
        <v>188</v>
      </c>
      <c r="C52" s="2" t="s">
        <v>189</v>
      </c>
      <c r="D52" s="2" t="s">
        <v>429</v>
      </c>
      <c r="E52" s="2" t="s">
        <v>728</v>
      </c>
      <c r="F52" s="25">
        <v>46022</v>
      </c>
      <c r="G52" s="21">
        <v>177200</v>
      </c>
      <c r="H52" s="23">
        <v>0.05</v>
      </c>
      <c r="I52" s="25">
        <v>46157</v>
      </c>
      <c r="J52" s="2" t="s">
        <v>720</v>
      </c>
    </row>
    <row r="53" spans="1:10" ht="15.35" x14ac:dyDescent="0.55000000000000004">
      <c r="A53" s="20">
        <v>987</v>
      </c>
      <c r="B53" s="2" t="s">
        <v>188</v>
      </c>
      <c r="C53" s="2" t="s">
        <v>189</v>
      </c>
      <c r="D53" s="2" t="s">
        <v>434</v>
      </c>
      <c r="E53" s="2" t="s">
        <v>728</v>
      </c>
      <c r="F53" s="25">
        <v>46022</v>
      </c>
      <c r="G53" s="21">
        <v>191700</v>
      </c>
      <c r="H53" s="23">
        <v>0.05</v>
      </c>
      <c r="I53" s="25">
        <v>46157</v>
      </c>
      <c r="J53" s="2" t="s">
        <v>720</v>
      </c>
    </row>
    <row r="54" spans="1:10" ht="15.35" x14ac:dyDescent="0.55000000000000004">
      <c r="A54" s="20">
        <v>973</v>
      </c>
      <c r="B54" s="2" t="s">
        <v>184</v>
      </c>
      <c r="C54" s="2" t="s">
        <v>185</v>
      </c>
      <c r="D54" s="2" t="s">
        <v>437</v>
      </c>
      <c r="E54" s="2" t="s">
        <v>728</v>
      </c>
      <c r="F54" s="25">
        <v>46022</v>
      </c>
      <c r="G54" s="21">
        <v>269000</v>
      </c>
      <c r="H54" s="23">
        <v>7.4999999999999997E-2</v>
      </c>
      <c r="I54" s="25">
        <v>46156</v>
      </c>
      <c r="J54" s="2" t="s">
        <v>720</v>
      </c>
    </row>
    <row r="55" spans="1:10" ht="15.35" x14ac:dyDescent="0.55000000000000004">
      <c r="A55" s="20">
        <v>974</v>
      </c>
      <c r="B55" s="2" t="s">
        <v>184</v>
      </c>
      <c r="C55" s="2" t="s">
        <v>185</v>
      </c>
      <c r="D55" s="2" t="s">
        <v>443</v>
      </c>
      <c r="E55" s="2" t="s">
        <v>728</v>
      </c>
      <c r="F55" s="25">
        <v>46022</v>
      </c>
      <c r="G55" s="21">
        <v>430900</v>
      </c>
      <c r="H55" s="23">
        <v>7.2499999999999995E-2</v>
      </c>
      <c r="I55" s="25">
        <v>46156</v>
      </c>
      <c r="J55" s="2" t="s">
        <v>720</v>
      </c>
    </row>
    <row r="56" spans="1:10" ht="15.35" x14ac:dyDescent="0.55000000000000004">
      <c r="A56" s="20">
        <v>956</v>
      </c>
      <c r="B56" s="2" t="s">
        <v>180</v>
      </c>
      <c r="C56" s="2" t="s">
        <v>181</v>
      </c>
      <c r="D56" s="2" t="s">
        <v>450</v>
      </c>
      <c r="E56" s="2" t="s">
        <v>728</v>
      </c>
      <c r="F56" s="25">
        <v>46022</v>
      </c>
      <c r="G56" s="21">
        <v>502800</v>
      </c>
      <c r="H56" s="23">
        <v>7.2499999999999995E-2</v>
      </c>
      <c r="I56" s="25">
        <v>46157</v>
      </c>
      <c r="J56" s="2" t="s">
        <v>720</v>
      </c>
    </row>
    <row r="57" spans="1:10" ht="15.35" x14ac:dyDescent="0.55000000000000004">
      <c r="A57" s="20">
        <v>966</v>
      </c>
      <c r="B57" s="2" t="s">
        <v>193</v>
      </c>
      <c r="C57" s="2" t="s">
        <v>194</v>
      </c>
      <c r="D57" s="2" t="s">
        <v>458</v>
      </c>
      <c r="E57" s="2" t="s">
        <v>721</v>
      </c>
      <c r="F57" s="25">
        <v>46022</v>
      </c>
      <c r="G57" s="21">
        <v>270300</v>
      </c>
      <c r="H57" s="23">
        <v>0.05</v>
      </c>
      <c r="I57" s="25">
        <v>46164</v>
      </c>
      <c r="J57" s="2" t="s">
        <v>729</v>
      </c>
    </row>
    <row r="58" spans="1:10" ht="15.35" x14ac:dyDescent="0.55000000000000004">
      <c r="A58" s="20">
        <v>1693</v>
      </c>
      <c r="B58" s="2" t="s">
        <v>197</v>
      </c>
      <c r="C58" s="2" t="s">
        <v>198</v>
      </c>
      <c r="D58" s="2" t="s">
        <v>463</v>
      </c>
      <c r="E58" s="2" t="s">
        <v>724</v>
      </c>
      <c r="F58" s="25">
        <v>46022</v>
      </c>
      <c r="G58" s="21">
        <v>146400</v>
      </c>
      <c r="H58" s="23">
        <v>0.05</v>
      </c>
      <c r="I58" s="25">
        <v>46160</v>
      </c>
      <c r="J58" s="2" t="s">
        <v>720</v>
      </c>
    </row>
    <row r="59" spans="1:10" ht="15.35" x14ac:dyDescent="0.55000000000000004">
      <c r="A59" s="20">
        <v>1692</v>
      </c>
      <c r="B59" s="2" t="s">
        <v>197</v>
      </c>
      <c r="C59" s="2" t="s">
        <v>198</v>
      </c>
      <c r="D59" s="2" t="s">
        <v>471</v>
      </c>
      <c r="E59" s="2" t="s">
        <v>724</v>
      </c>
      <c r="F59" s="25">
        <v>46022</v>
      </c>
      <c r="G59" s="21">
        <v>110500</v>
      </c>
      <c r="H59" s="23">
        <v>0.05</v>
      </c>
      <c r="I59" s="25">
        <v>46160</v>
      </c>
      <c r="J59" s="2" t="s">
        <v>720</v>
      </c>
    </row>
    <row r="60" spans="1:10" ht="15.35" x14ac:dyDescent="0.55000000000000004">
      <c r="A60" s="20">
        <v>959</v>
      </c>
      <c r="B60" s="2" t="s">
        <v>205</v>
      </c>
      <c r="C60" s="2" t="s">
        <v>206</v>
      </c>
      <c r="D60" s="2" t="s">
        <v>479</v>
      </c>
      <c r="E60" s="2" t="s">
        <v>721</v>
      </c>
      <c r="F60" s="25">
        <v>46022</v>
      </c>
      <c r="G60" s="21">
        <v>7500</v>
      </c>
      <c r="H60" s="23">
        <v>6.5000000000000002E-2</v>
      </c>
      <c r="I60" s="25">
        <v>46197</v>
      </c>
      <c r="J60" s="2" t="s">
        <v>720</v>
      </c>
    </row>
    <row r="61" spans="1:10" ht="15.35" x14ac:dyDescent="0.55000000000000004">
      <c r="A61" s="20">
        <v>945</v>
      </c>
      <c r="B61" s="2" t="s">
        <v>205</v>
      </c>
      <c r="C61" s="2" t="s">
        <v>206</v>
      </c>
      <c r="D61" s="2" t="s">
        <v>485</v>
      </c>
      <c r="E61" s="2" t="s">
        <v>721</v>
      </c>
      <c r="F61" s="25">
        <v>46022</v>
      </c>
      <c r="G61" s="21">
        <v>5100</v>
      </c>
      <c r="H61" s="23">
        <v>6.25E-2</v>
      </c>
      <c r="I61" s="25">
        <v>46197</v>
      </c>
      <c r="J61" s="2" t="s">
        <v>720</v>
      </c>
    </row>
    <row r="62" spans="1:10" ht="15.35" x14ac:dyDescent="0.55000000000000004">
      <c r="A62" s="20">
        <v>948</v>
      </c>
      <c r="B62" s="2" t="s">
        <v>205</v>
      </c>
      <c r="C62" s="2" t="s">
        <v>206</v>
      </c>
      <c r="D62" s="2" t="s">
        <v>491</v>
      </c>
      <c r="E62" s="2" t="s">
        <v>721</v>
      </c>
      <c r="F62" s="25">
        <v>46022</v>
      </c>
      <c r="G62" s="21">
        <v>6900</v>
      </c>
      <c r="H62" s="23">
        <v>6.25E-2</v>
      </c>
      <c r="I62" s="25">
        <v>46197</v>
      </c>
      <c r="J62" s="2" t="s">
        <v>720</v>
      </c>
    </row>
    <row r="63" spans="1:10" ht="15.35" x14ac:dyDescent="0.55000000000000004">
      <c r="A63" s="20">
        <v>964</v>
      </c>
      <c r="B63" s="2" t="s">
        <v>205</v>
      </c>
      <c r="C63" s="2" t="s">
        <v>206</v>
      </c>
      <c r="D63" s="2" t="s">
        <v>495</v>
      </c>
      <c r="E63" s="2" t="s">
        <v>721</v>
      </c>
      <c r="F63" s="25">
        <v>46022</v>
      </c>
      <c r="G63" s="21">
        <v>11900</v>
      </c>
      <c r="H63" s="23">
        <v>6.7500000000000004E-2</v>
      </c>
      <c r="I63" s="25">
        <v>46197</v>
      </c>
      <c r="J63" s="2" t="s">
        <v>720</v>
      </c>
    </row>
    <row r="64" spans="1:10" ht="15.35" x14ac:dyDescent="0.55000000000000004">
      <c r="A64" s="20">
        <v>957</v>
      </c>
      <c r="B64" s="2" t="s">
        <v>205</v>
      </c>
      <c r="C64" s="2" t="s">
        <v>206</v>
      </c>
      <c r="D64" s="2" t="s">
        <v>501</v>
      </c>
      <c r="E64" s="2" t="s">
        <v>721</v>
      </c>
      <c r="F64" s="25">
        <v>46022</v>
      </c>
      <c r="G64" s="21">
        <v>6100</v>
      </c>
      <c r="H64" s="23">
        <v>6.5000000000000002E-2</v>
      </c>
      <c r="I64" s="25">
        <v>46197</v>
      </c>
      <c r="J64" s="2" t="s">
        <v>720</v>
      </c>
    </row>
    <row r="65" spans="1:10" ht="15.35" x14ac:dyDescent="0.55000000000000004">
      <c r="A65" s="20">
        <v>963</v>
      </c>
      <c r="B65" s="2" t="s">
        <v>205</v>
      </c>
      <c r="C65" s="2" t="s">
        <v>206</v>
      </c>
      <c r="D65" s="2" t="s">
        <v>506</v>
      </c>
      <c r="E65" s="2" t="s">
        <v>721</v>
      </c>
      <c r="F65" s="25">
        <v>46022</v>
      </c>
      <c r="G65" s="21">
        <v>18700</v>
      </c>
      <c r="H65" s="23">
        <v>5.5E-2</v>
      </c>
      <c r="I65" s="25">
        <v>46197</v>
      </c>
      <c r="J65" s="2" t="s">
        <v>720</v>
      </c>
    </row>
    <row r="66" spans="1:10" ht="15.35" x14ac:dyDescent="0.55000000000000004">
      <c r="A66" s="20">
        <v>955</v>
      </c>
      <c r="B66" s="2" t="s">
        <v>205</v>
      </c>
      <c r="C66" s="2" t="s">
        <v>206</v>
      </c>
      <c r="D66" s="2" t="s">
        <v>510</v>
      </c>
      <c r="E66" s="2" t="s">
        <v>721</v>
      </c>
      <c r="F66" s="25">
        <v>46022</v>
      </c>
      <c r="G66" s="21">
        <v>5200</v>
      </c>
      <c r="H66" s="23">
        <v>6.7500000000000004E-2</v>
      </c>
      <c r="I66" s="25">
        <v>46197</v>
      </c>
      <c r="J66" s="2" t="s">
        <v>720</v>
      </c>
    </row>
    <row r="67" spans="1:10" ht="15.35" x14ac:dyDescent="0.55000000000000004">
      <c r="A67" s="20">
        <v>961</v>
      </c>
      <c r="B67" s="2" t="s">
        <v>205</v>
      </c>
      <c r="C67" s="2" t="s">
        <v>206</v>
      </c>
      <c r="D67" s="2" t="s">
        <v>518</v>
      </c>
      <c r="E67" s="2" t="s">
        <v>721</v>
      </c>
      <c r="F67" s="25">
        <v>46022</v>
      </c>
      <c r="G67" s="21">
        <v>8000</v>
      </c>
      <c r="H67" s="23">
        <v>6.7500000000000004E-2</v>
      </c>
      <c r="I67" s="25">
        <v>46197</v>
      </c>
      <c r="J67" s="2" t="s">
        <v>720</v>
      </c>
    </row>
    <row r="68" spans="1:10" ht="15.35" x14ac:dyDescent="0.55000000000000004">
      <c r="A68" s="20">
        <v>947</v>
      </c>
      <c r="B68" s="2" t="s">
        <v>205</v>
      </c>
      <c r="C68" s="2" t="s">
        <v>206</v>
      </c>
      <c r="D68" s="2" t="s">
        <v>522</v>
      </c>
      <c r="E68" s="2" t="s">
        <v>721</v>
      </c>
      <c r="F68" s="25">
        <v>46022</v>
      </c>
      <c r="G68" s="21">
        <v>10700</v>
      </c>
      <c r="H68" s="23">
        <v>0.06</v>
      </c>
      <c r="I68" s="25">
        <v>46197</v>
      </c>
      <c r="J68" s="2" t="s">
        <v>720</v>
      </c>
    </row>
    <row r="69" spans="1:10" ht="15.35" x14ac:dyDescent="0.55000000000000004">
      <c r="A69" s="20">
        <v>946</v>
      </c>
      <c r="B69" s="2" t="s">
        <v>205</v>
      </c>
      <c r="C69" s="2" t="s">
        <v>206</v>
      </c>
      <c r="D69" s="2" t="s">
        <v>526</v>
      </c>
      <c r="E69" s="2" t="s">
        <v>721</v>
      </c>
      <c r="F69" s="25">
        <v>46022</v>
      </c>
      <c r="G69" s="21">
        <v>11000</v>
      </c>
      <c r="H69" s="23">
        <v>0.06</v>
      </c>
      <c r="I69" s="25">
        <v>46197</v>
      </c>
      <c r="J69" s="2" t="s">
        <v>720</v>
      </c>
    </row>
    <row r="70" spans="1:10" ht="15.35" x14ac:dyDescent="0.55000000000000004">
      <c r="A70" s="20">
        <v>958</v>
      </c>
      <c r="B70" s="2" t="s">
        <v>205</v>
      </c>
      <c r="C70" s="2" t="s">
        <v>206</v>
      </c>
      <c r="D70" s="2" t="s">
        <v>531</v>
      </c>
      <c r="E70" s="2" t="s">
        <v>721</v>
      </c>
      <c r="F70" s="25">
        <v>46022</v>
      </c>
      <c r="G70" s="21">
        <v>3000</v>
      </c>
      <c r="H70" s="23">
        <v>6.5000000000000002E-2</v>
      </c>
      <c r="I70" s="25">
        <v>46197</v>
      </c>
      <c r="J70" s="2" t="s">
        <v>720</v>
      </c>
    </row>
    <row r="71" spans="1:10" ht="15.35" x14ac:dyDescent="0.55000000000000004">
      <c r="A71" s="20">
        <v>944</v>
      </c>
      <c r="B71" s="2" t="s">
        <v>205</v>
      </c>
      <c r="C71" s="2" t="s">
        <v>206</v>
      </c>
      <c r="D71" s="2" t="s">
        <v>535</v>
      </c>
      <c r="E71" s="2" t="s">
        <v>721</v>
      </c>
      <c r="F71" s="25">
        <v>46022</v>
      </c>
      <c r="G71" s="21">
        <v>5400</v>
      </c>
      <c r="H71" s="23">
        <v>6.25E-2</v>
      </c>
      <c r="I71" s="25">
        <v>46197</v>
      </c>
      <c r="J71" s="2" t="s">
        <v>720</v>
      </c>
    </row>
    <row r="72" spans="1:10" ht="15.35" x14ac:dyDescent="0.55000000000000004">
      <c r="A72" s="20">
        <v>962</v>
      </c>
      <c r="B72" s="2" t="s">
        <v>205</v>
      </c>
      <c r="C72" s="2" t="s">
        <v>206</v>
      </c>
      <c r="D72" s="2" t="s">
        <v>542</v>
      </c>
      <c r="E72" s="2" t="s">
        <v>721</v>
      </c>
      <c r="F72" s="25">
        <v>46022</v>
      </c>
      <c r="G72" s="21">
        <v>4400</v>
      </c>
      <c r="H72" s="23">
        <v>6.7500000000000004E-2</v>
      </c>
      <c r="I72" s="25">
        <v>46197</v>
      </c>
      <c r="J72" s="2" t="s">
        <v>720</v>
      </c>
    </row>
    <row r="73" spans="1:10" ht="15.35" x14ac:dyDescent="0.55000000000000004">
      <c r="A73" s="20">
        <v>949</v>
      </c>
      <c r="B73" s="2" t="s">
        <v>205</v>
      </c>
      <c r="C73" s="2" t="s">
        <v>206</v>
      </c>
      <c r="D73" s="2" t="s">
        <v>547</v>
      </c>
      <c r="E73" s="2" t="s">
        <v>721</v>
      </c>
      <c r="F73" s="25">
        <v>46022</v>
      </c>
      <c r="G73" s="21">
        <v>10000</v>
      </c>
      <c r="H73" s="23">
        <v>6.5000000000000002E-2</v>
      </c>
      <c r="I73" s="25">
        <v>46197</v>
      </c>
      <c r="J73" s="2" t="s">
        <v>720</v>
      </c>
    </row>
    <row r="74" spans="1:10" ht="15.35" x14ac:dyDescent="0.55000000000000004">
      <c r="A74" s="20">
        <v>952</v>
      </c>
      <c r="B74" s="2" t="s">
        <v>205</v>
      </c>
      <c r="C74" s="2" t="s">
        <v>206</v>
      </c>
      <c r="D74" s="2" t="s">
        <v>553</v>
      </c>
      <c r="E74" s="2" t="s">
        <v>721</v>
      </c>
      <c r="F74" s="25">
        <v>46022</v>
      </c>
      <c r="G74" s="21">
        <v>12100</v>
      </c>
      <c r="H74" s="23">
        <v>6.5000000000000002E-2</v>
      </c>
      <c r="I74" s="25">
        <v>46197</v>
      </c>
      <c r="J74" s="2" t="s">
        <v>720</v>
      </c>
    </row>
    <row r="75" spans="1:10" ht="15.35" x14ac:dyDescent="0.55000000000000004">
      <c r="A75" s="20">
        <v>953</v>
      </c>
      <c r="B75" s="2" t="s">
        <v>205</v>
      </c>
      <c r="C75" s="2" t="s">
        <v>206</v>
      </c>
      <c r="D75" s="2" t="s">
        <v>556</v>
      </c>
      <c r="E75" s="2" t="s">
        <v>721</v>
      </c>
      <c r="F75" s="25">
        <v>46022</v>
      </c>
      <c r="G75" s="21">
        <v>10900</v>
      </c>
      <c r="H75" s="23">
        <v>6.5000000000000002E-2</v>
      </c>
      <c r="I75" s="25">
        <v>46197</v>
      </c>
      <c r="J75" s="2" t="s">
        <v>720</v>
      </c>
    </row>
    <row r="76" spans="1:10" ht="15.35" x14ac:dyDescent="0.55000000000000004">
      <c r="A76" s="20">
        <v>960</v>
      </c>
      <c r="B76" s="2" t="s">
        <v>205</v>
      </c>
      <c r="C76" s="2" t="s">
        <v>206</v>
      </c>
      <c r="D76" s="2" t="s">
        <v>560</v>
      </c>
      <c r="E76" s="2" t="s">
        <v>721</v>
      </c>
      <c r="F76" s="25">
        <v>46022</v>
      </c>
      <c r="G76" s="21">
        <v>6000</v>
      </c>
      <c r="H76" s="23">
        <v>6.5000000000000002E-2</v>
      </c>
      <c r="I76" s="25">
        <v>46197</v>
      </c>
      <c r="J76" s="2" t="s">
        <v>720</v>
      </c>
    </row>
    <row r="77" spans="1:10" ht="15.35" x14ac:dyDescent="0.55000000000000004">
      <c r="A77" s="20">
        <v>954</v>
      </c>
      <c r="B77" s="2" t="s">
        <v>205</v>
      </c>
      <c r="C77" s="2" t="s">
        <v>206</v>
      </c>
      <c r="D77" s="2" t="s">
        <v>565</v>
      </c>
      <c r="E77" s="2" t="s">
        <v>721</v>
      </c>
      <c r="F77" s="25">
        <v>46022</v>
      </c>
      <c r="G77" s="21">
        <v>5500</v>
      </c>
      <c r="H77" s="23">
        <v>6.7500000000000004E-2</v>
      </c>
      <c r="I77" s="25">
        <v>46197</v>
      </c>
      <c r="J77" s="2" t="s">
        <v>720</v>
      </c>
    </row>
    <row r="78" spans="1:10" ht="15.35" x14ac:dyDescent="0.55000000000000004">
      <c r="A78" s="20">
        <v>951</v>
      </c>
      <c r="B78" s="2" t="s">
        <v>205</v>
      </c>
      <c r="C78" s="2" t="s">
        <v>206</v>
      </c>
      <c r="D78" s="2" t="s">
        <v>570</v>
      </c>
      <c r="E78" s="2" t="s">
        <v>721</v>
      </c>
      <c r="F78" s="25">
        <v>46022</v>
      </c>
      <c r="G78" s="21">
        <v>6000</v>
      </c>
      <c r="H78" s="23">
        <v>0.06</v>
      </c>
      <c r="I78" s="25">
        <v>46197</v>
      </c>
      <c r="J78" s="2" t="s">
        <v>720</v>
      </c>
    </row>
    <row r="79" spans="1:10" ht="15.35" x14ac:dyDescent="0.55000000000000004">
      <c r="A79" s="20">
        <v>965</v>
      </c>
      <c r="B79" s="2" t="s">
        <v>205</v>
      </c>
      <c r="C79" s="2" t="s">
        <v>206</v>
      </c>
      <c r="D79" s="2" t="s">
        <v>574</v>
      </c>
      <c r="E79" s="2" t="s">
        <v>721</v>
      </c>
      <c r="F79" s="25">
        <v>46022</v>
      </c>
      <c r="G79" s="21">
        <v>5200</v>
      </c>
      <c r="H79" s="23">
        <v>6.7500000000000004E-2</v>
      </c>
      <c r="I79" s="25">
        <v>46197</v>
      </c>
      <c r="J79" s="2" t="s">
        <v>720</v>
      </c>
    </row>
    <row r="80" spans="1:10" ht="15.35" x14ac:dyDescent="0.55000000000000004">
      <c r="A80" s="20">
        <v>950</v>
      </c>
      <c r="B80" s="2" t="s">
        <v>205</v>
      </c>
      <c r="C80" s="2" t="s">
        <v>206</v>
      </c>
      <c r="D80" s="2" t="s">
        <v>579</v>
      </c>
      <c r="E80" s="2" t="s">
        <v>721</v>
      </c>
      <c r="F80" s="25">
        <v>46022</v>
      </c>
      <c r="G80" s="21">
        <v>8800</v>
      </c>
      <c r="H80" s="23">
        <v>0.06</v>
      </c>
      <c r="I80" s="25">
        <v>46197</v>
      </c>
      <c r="J80" s="2" t="s">
        <v>720</v>
      </c>
    </row>
    <row r="81" spans="1:10" ht="15.35" x14ac:dyDescent="0.55000000000000004">
      <c r="A81" s="20">
        <v>978</v>
      </c>
      <c r="B81" s="2" t="s">
        <v>201</v>
      </c>
      <c r="C81" s="2" t="s">
        <v>202</v>
      </c>
      <c r="D81" s="2" t="s">
        <v>583</v>
      </c>
      <c r="E81" s="2" t="s">
        <v>722</v>
      </c>
      <c r="F81" s="25">
        <v>46022</v>
      </c>
      <c r="G81" s="21">
        <v>91800</v>
      </c>
      <c r="H81" s="23">
        <v>6.25E-2</v>
      </c>
      <c r="I81" s="25">
        <v>46195</v>
      </c>
      <c r="J81" s="2" t="s">
        <v>720</v>
      </c>
    </row>
    <row r="82" spans="1:10" ht="15.35" x14ac:dyDescent="0.55000000000000004">
      <c r="A82" s="20">
        <v>979</v>
      </c>
      <c r="B82" s="2" t="s">
        <v>201</v>
      </c>
      <c r="C82" s="2" t="s">
        <v>202</v>
      </c>
      <c r="D82" s="2" t="s">
        <v>587</v>
      </c>
      <c r="E82" s="2" t="s">
        <v>722</v>
      </c>
      <c r="F82" s="25">
        <v>46022</v>
      </c>
      <c r="G82" s="21">
        <v>101200</v>
      </c>
      <c r="H82" s="23">
        <v>5.2499999999999998E-2</v>
      </c>
      <c r="I82" s="25">
        <v>46195</v>
      </c>
      <c r="J82" s="2" t="s">
        <v>720</v>
      </c>
    </row>
    <row r="83" spans="1:10" ht="15.35" x14ac:dyDescent="0.55000000000000004">
      <c r="A83" s="20">
        <v>985</v>
      </c>
      <c r="B83" s="2" t="s">
        <v>209</v>
      </c>
      <c r="C83" s="2" t="s">
        <v>210</v>
      </c>
      <c r="D83" s="2" t="s">
        <v>592</v>
      </c>
      <c r="E83" s="2" t="s">
        <v>721</v>
      </c>
      <c r="F83" s="25">
        <v>46022</v>
      </c>
      <c r="G83" s="21">
        <v>267400</v>
      </c>
      <c r="H83" s="23">
        <v>5.7500000000000002E-2</v>
      </c>
      <c r="I83" s="25">
        <v>46196</v>
      </c>
      <c r="J83" s="2" t="s">
        <v>720</v>
      </c>
    </row>
    <row r="84" spans="1:10" ht="15.35" x14ac:dyDescent="0.55000000000000004">
      <c r="A84" s="20">
        <v>981</v>
      </c>
      <c r="B84" s="2" t="s">
        <v>214</v>
      </c>
      <c r="C84" s="2" t="s">
        <v>215</v>
      </c>
      <c r="D84" s="2" t="s">
        <v>599</v>
      </c>
      <c r="E84" s="2" t="s">
        <v>721</v>
      </c>
      <c r="F84" s="25">
        <v>46112</v>
      </c>
      <c r="G84" s="21">
        <v>334100</v>
      </c>
      <c r="H84" s="23">
        <v>5.5E-2</v>
      </c>
      <c r="I84" s="25">
        <v>46286</v>
      </c>
      <c r="J84" s="2" t="s">
        <v>720</v>
      </c>
    </row>
    <row r="85" spans="1:10" ht="15.35" x14ac:dyDescent="0.55000000000000004">
      <c r="A85" s="20">
        <v>980</v>
      </c>
      <c r="B85" s="2" t="s">
        <v>214</v>
      </c>
      <c r="C85" s="2" t="s">
        <v>215</v>
      </c>
      <c r="D85" s="2" t="s">
        <v>605</v>
      </c>
      <c r="E85" s="2" t="s">
        <v>721</v>
      </c>
      <c r="F85" s="25">
        <v>46112</v>
      </c>
      <c r="G85" s="21">
        <v>114800</v>
      </c>
      <c r="H85" s="23">
        <v>6.7500000000000004E-2</v>
      </c>
      <c r="I85" s="25">
        <v>46286</v>
      </c>
      <c r="J85" s="2" t="s">
        <v>720</v>
      </c>
    </row>
    <row r="86" spans="1:10" ht="15.35" x14ac:dyDescent="0.55000000000000004">
      <c r="A86" s="20">
        <v>975</v>
      </c>
      <c r="B86" s="2" t="s">
        <v>217</v>
      </c>
      <c r="C86" s="2" t="s">
        <v>218</v>
      </c>
      <c r="D86" s="2" t="s">
        <v>615</v>
      </c>
      <c r="E86" s="2" t="s">
        <v>722</v>
      </c>
      <c r="F86" s="25">
        <v>46112</v>
      </c>
      <c r="G86" s="21">
        <v>33000</v>
      </c>
      <c r="H86" s="23">
        <v>5.5E-2</v>
      </c>
      <c r="I86" s="25">
        <v>46247</v>
      </c>
      <c r="J86" s="2" t="s">
        <v>723</v>
      </c>
    </row>
    <row r="87" spans="1:10" ht="15.35" x14ac:dyDescent="0.55000000000000004">
      <c r="A87" s="20">
        <v>976</v>
      </c>
      <c r="B87" s="2" t="s">
        <v>217</v>
      </c>
      <c r="C87" s="2" t="s">
        <v>218</v>
      </c>
      <c r="D87" s="2" t="s">
        <v>619</v>
      </c>
      <c r="E87" s="2" t="s">
        <v>722</v>
      </c>
      <c r="F87" s="25">
        <v>46112</v>
      </c>
      <c r="G87" s="21">
        <v>116400</v>
      </c>
      <c r="H87" s="23">
        <v>5.5E-2</v>
      </c>
      <c r="I87" s="25">
        <v>46247</v>
      </c>
      <c r="J87" s="2" t="s">
        <v>723</v>
      </c>
    </row>
    <row r="88" spans="1:10" ht="15.35" x14ac:dyDescent="0.55000000000000004">
      <c r="A88" s="20">
        <v>989</v>
      </c>
      <c r="B88" s="2" t="s">
        <v>220</v>
      </c>
      <c r="C88" s="2" t="s">
        <v>221</v>
      </c>
      <c r="D88" s="2" t="s">
        <v>623</v>
      </c>
      <c r="E88" s="2" t="s">
        <v>728</v>
      </c>
      <c r="F88" s="25">
        <v>46112</v>
      </c>
      <c r="G88" s="21">
        <v>99000</v>
      </c>
      <c r="H88" s="23">
        <v>7.2499999999999995E-2</v>
      </c>
      <c r="I88" s="25">
        <v>46269</v>
      </c>
      <c r="J88" s="2" t="s">
        <v>720</v>
      </c>
    </row>
    <row r="89" spans="1:10" ht="15.35" x14ac:dyDescent="0.55000000000000004">
      <c r="A89" s="20">
        <v>988</v>
      </c>
      <c r="B89" s="2" t="s">
        <v>220</v>
      </c>
      <c r="C89" s="2" t="s">
        <v>221</v>
      </c>
      <c r="D89" s="2" t="s">
        <v>628</v>
      </c>
      <c r="E89" s="2" t="s">
        <v>728</v>
      </c>
      <c r="F89" s="25">
        <v>46112</v>
      </c>
      <c r="G89" s="21">
        <v>103900</v>
      </c>
      <c r="H89" s="23">
        <v>6.7500000000000004E-2</v>
      </c>
      <c r="I89" s="25">
        <v>46269</v>
      </c>
      <c r="J89" s="2" t="s">
        <v>720</v>
      </c>
    </row>
    <row r="90" spans="1:10" ht="15.35" x14ac:dyDescent="0.55000000000000004">
      <c r="A90" s="20">
        <v>1703</v>
      </c>
      <c r="C90" s="2" t="s">
        <v>227</v>
      </c>
      <c r="D90" s="2" t="s">
        <v>632</v>
      </c>
      <c r="E90" s="2" t="s">
        <v>728</v>
      </c>
      <c r="F90" s="25">
        <v>46112</v>
      </c>
      <c r="G90" s="21">
        <v>152900</v>
      </c>
      <c r="H90" s="23">
        <v>6.5000000000000002E-2</v>
      </c>
      <c r="I90" s="25">
        <v>46267</v>
      </c>
      <c r="J90" s="2" t="s">
        <v>720</v>
      </c>
    </row>
    <row r="91" spans="1:10" ht="15.35" x14ac:dyDescent="0.55000000000000004">
      <c r="A91" s="20">
        <v>1704</v>
      </c>
      <c r="C91" s="2" t="s">
        <v>227</v>
      </c>
      <c r="D91" s="2" t="s">
        <v>637</v>
      </c>
      <c r="E91" s="2" t="s">
        <v>728</v>
      </c>
      <c r="F91" s="25">
        <v>46112</v>
      </c>
      <c r="G91" s="21">
        <v>146300</v>
      </c>
      <c r="H91" s="23">
        <v>5.2499999999999998E-2</v>
      </c>
      <c r="I91" s="25">
        <v>46267</v>
      </c>
      <c r="J91" s="2" t="s">
        <v>720</v>
      </c>
    </row>
    <row r="92" spans="1:10" ht="15.35" x14ac:dyDescent="0.55000000000000004">
      <c r="A92" s="20">
        <v>804</v>
      </c>
      <c r="C92" s="2" t="s">
        <v>283</v>
      </c>
      <c r="D92" s="2" t="s">
        <v>641</v>
      </c>
      <c r="E92" s="2" t="s">
        <v>724</v>
      </c>
      <c r="F92" s="25">
        <v>45747</v>
      </c>
      <c r="G92" s="21">
        <v>114700</v>
      </c>
      <c r="H92" s="23">
        <v>7.0000000000000007E-2</v>
      </c>
      <c r="I92" s="25">
        <v>45866</v>
      </c>
      <c r="J92" s="2" t="s">
        <v>720</v>
      </c>
    </row>
    <row r="93" spans="1:10" ht="15.35" x14ac:dyDescent="0.55000000000000004">
      <c r="A93" s="20">
        <v>982</v>
      </c>
      <c r="C93" s="2" t="s">
        <v>230</v>
      </c>
      <c r="D93" s="2" t="s">
        <v>646</v>
      </c>
      <c r="E93" s="2" t="s">
        <v>728</v>
      </c>
      <c r="F93" s="25">
        <v>46022</v>
      </c>
      <c r="G93" s="21">
        <v>427300</v>
      </c>
      <c r="H93" s="23">
        <v>6.7500000000000004E-2</v>
      </c>
      <c r="I93" s="25">
        <v>46283</v>
      </c>
      <c r="J93" s="2" t="s">
        <v>720</v>
      </c>
    </row>
    <row r="94" spans="1:10" ht="15.35" x14ac:dyDescent="0.55000000000000004">
      <c r="A94" s="20">
        <v>986</v>
      </c>
      <c r="C94" s="2" t="s">
        <v>223</v>
      </c>
      <c r="D94" s="2" t="s">
        <v>655</v>
      </c>
      <c r="E94" s="2" t="s">
        <v>730</v>
      </c>
      <c r="F94" s="25">
        <v>46022</v>
      </c>
      <c r="G94" s="21">
        <v>220500</v>
      </c>
      <c r="H94" s="23">
        <v>6.25E-2</v>
      </c>
      <c r="I94" s="25">
        <v>46196</v>
      </c>
      <c r="J94" s="2" t="s">
        <v>723</v>
      </c>
    </row>
    <row r="95" spans="1:10" ht="15.35" x14ac:dyDescent="0.55000000000000004">
      <c r="A95" s="20">
        <v>971</v>
      </c>
      <c r="C95" s="2" t="s">
        <v>223</v>
      </c>
      <c r="D95" s="2" t="s">
        <v>660</v>
      </c>
      <c r="E95" s="2" t="s">
        <v>730</v>
      </c>
      <c r="F95" s="25">
        <v>46022</v>
      </c>
      <c r="G95" s="21">
        <v>390000</v>
      </c>
      <c r="H95" s="23">
        <v>5.2499999999999998E-2</v>
      </c>
      <c r="I95" s="25">
        <v>46196</v>
      </c>
      <c r="J95" s="2" t="s">
        <v>723</v>
      </c>
    </row>
    <row r="96" spans="1:10" ht="15.35" x14ac:dyDescent="0.55000000000000004">
      <c r="A96" s="20">
        <v>977</v>
      </c>
      <c r="C96" s="2" t="s">
        <v>233</v>
      </c>
      <c r="D96" s="2" t="s">
        <v>665</v>
      </c>
      <c r="E96" s="2" t="s">
        <v>728</v>
      </c>
      <c r="F96" s="25">
        <v>45930</v>
      </c>
      <c r="G96" s="21">
        <v>126000</v>
      </c>
      <c r="H96" s="23">
        <v>5.2499999999999998E-2</v>
      </c>
      <c r="I96" s="25">
        <v>46199</v>
      </c>
      <c r="J96" s="2" t="s">
        <v>720</v>
      </c>
    </row>
    <row r="97" spans="1:10" ht="15.35" x14ac:dyDescent="0.55000000000000004">
      <c r="A97" s="20">
        <v>969</v>
      </c>
      <c r="C97" s="2" t="s">
        <v>236</v>
      </c>
      <c r="D97" s="2" t="s">
        <v>670</v>
      </c>
      <c r="E97" s="2" t="s">
        <v>724</v>
      </c>
      <c r="F97" s="25">
        <v>45930</v>
      </c>
      <c r="G97" s="21">
        <v>36000</v>
      </c>
      <c r="H97" s="23">
        <v>5.7500000000000002E-2</v>
      </c>
      <c r="I97" s="25">
        <v>46079</v>
      </c>
      <c r="J97" s="2" t="s">
        <v>720</v>
      </c>
    </row>
    <row r="98" spans="1:10" ht="15.35" x14ac:dyDescent="0.55000000000000004">
      <c r="A98" s="20">
        <v>968</v>
      </c>
      <c r="C98" s="2" t="s">
        <v>236</v>
      </c>
      <c r="D98" s="2" t="s">
        <v>678</v>
      </c>
      <c r="E98" s="2" t="s">
        <v>724</v>
      </c>
      <c r="F98" s="25">
        <v>45930</v>
      </c>
      <c r="G98" s="21">
        <v>39600</v>
      </c>
      <c r="H98" s="23">
        <v>0.06</v>
      </c>
      <c r="I98" s="25">
        <v>46079</v>
      </c>
      <c r="J98" s="2" t="s">
        <v>720</v>
      </c>
    </row>
    <row r="99" spans="1:10" ht="15.35" x14ac:dyDescent="0.55000000000000004">
      <c r="A99" s="20">
        <v>970</v>
      </c>
      <c r="C99" s="2" t="s">
        <v>236</v>
      </c>
      <c r="D99" s="2" t="s">
        <v>682</v>
      </c>
      <c r="E99" s="2" t="s">
        <v>724</v>
      </c>
      <c r="F99" s="25">
        <v>45930</v>
      </c>
      <c r="G99" s="21">
        <v>28300</v>
      </c>
      <c r="H99" s="23">
        <v>5.7500000000000002E-2</v>
      </c>
      <c r="I99" s="25">
        <v>46079</v>
      </c>
      <c r="J99" s="2" t="s">
        <v>720</v>
      </c>
    </row>
    <row r="100" spans="1:10" ht="15.35" x14ac:dyDescent="0.55000000000000004">
      <c r="A100" s="20">
        <v>993</v>
      </c>
      <c r="C100" s="2" t="s">
        <v>239</v>
      </c>
      <c r="D100" s="2" t="s">
        <v>689</v>
      </c>
      <c r="E100" s="2" t="s">
        <v>724</v>
      </c>
      <c r="F100" s="25">
        <v>46022</v>
      </c>
      <c r="G100" s="21">
        <v>223500</v>
      </c>
      <c r="H100" s="23">
        <v>6.25E-2</v>
      </c>
      <c r="I100" s="25">
        <v>46094</v>
      </c>
      <c r="J100" s="2" t="s">
        <v>720</v>
      </c>
    </row>
    <row r="101" spans="1:10" ht="15.35" x14ac:dyDescent="0.55000000000000004">
      <c r="A101" s="20">
        <v>1707</v>
      </c>
      <c r="C101" s="2" t="s">
        <v>257</v>
      </c>
      <c r="D101" s="2" t="s">
        <v>695</v>
      </c>
      <c r="E101" s="2" t="s">
        <v>724</v>
      </c>
      <c r="F101" s="25">
        <v>46112</v>
      </c>
      <c r="G101" s="21">
        <v>650100</v>
      </c>
      <c r="H101" s="23">
        <v>6.25E-2</v>
      </c>
      <c r="I101" s="25">
        <v>46232</v>
      </c>
      <c r="J101" s="2" t="s">
        <v>720</v>
      </c>
    </row>
    <row r="102" spans="1:10" ht="15.35" x14ac:dyDescent="0.55000000000000004">
      <c r="A102" s="20">
        <v>1709</v>
      </c>
      <c r="C102" s="2" t="s">
        <v>253</v>
      </c>
      <c r="D102" s="2" t="s">
        <v>700</v>
      </c>
      <c r="E102" s="2" t="s">
        <v>724</v>
      </c>
      <c r="F102" s="25">
        <v>46203</v>
      </c>
      <c r="G102" s="21">
        <v>110300</v>
      </c>
      <c r="H102" s="23">
        <v>5.2499999999999998E-2</v>
      </c>
      <c r="I102" s="25">
        <v>46232</v>
      </c>
      <c r="J102" s="2" t="s">
        <v>720</v>
      </c>
    </row>
    <row r="103" spans="1:10" ht="15.35" x14ac:dyDescent="0.55000000000000004">
      <c r="A103" s="20">
        <v>1714</v>
      </c>
      <c r="C103" s="2" t="s">
        <v>259</v>
      </c>
      <c r="D103" s="2" t="s">
        <v>704</v>
      </c>
      <c r="E103" s="2" t="s">
        <v>724</v>
      </c>
      <c r="F103" s="25">
        <v>46112</v>
      </c>
      <c r="G103" s="21">
        <v>100200</v>
      </c>
      <c r="H103" s="23">
        <v>5.2499999999999998E-2</v>
      </c>
      <c r="I103" s="25">
        <v>46259</v>
      </c>
      <c r="J103" s="2" t="s">
        <v>720</v>
      </c>
    </row>
    <row r="104" spans="1:10" ht="15.35" x14ac:dyDescent="0.55000000000000004">
      <c r="A104" s="20">
        <v>1713</v>
      </c>
      <c r="C104" s="2" t="s">
        <v>259</v>
      </c>
      <c r="D104" s="2" t="s">
        <v>707</v>
      </c>
      <c r="E104" s="2" t="s">
        <v>724</v>
      </c>
      <c r="F104" s="25">
        <v>46112</v>
      </c>
      <c r="G104" s="21">
        <v>188600</v>
      </c>
      <c r="H104" s="23">
        <v>6.25E-2</v>
      </c>
      <c r="I104" s="25">
        <v>46259</v>
      </c>
      <c r="J104" s="2" t="s">
        <v>720</v>
      </c>
    </row>
  </sheetData>
  <autoFilter ref="A2:J104" xr:uid="{00000000-0009-0000-0000-000003000000}"/>
  <mergeCells count="1">
    <mergeCell ref="B1:C1"/>
  </mergeCells>
  <phoneticPr fontId="17" type="noConversion"/>
  <hyperlinks>
    <hyperlink ref="B1" location="'数据概览'!A1" tooltip="返回数据概览" display="⬅ 返回数据概览" xr:uid="{00000000-0004-0000-0300-000000000000}"/>
  </hyperlink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48"/>
  <sheetViews>
    <sheetView workbookViewId="0">
      <pane xSplit="3" ySplit="2" topLeftCell="E45" activePane="bottomRight" state="frozen"/>
      <selection pane="topRight"/>
      <selection pane="bottomLeft"/>
      <selection pane="bottomRight" activeCell="L1" sqref="L1:O1048576"/>
    </sheetView>
  </sheetViews>
  <sheetFormatPr defaultRowHeight="14.35" x14ac:dyDescent="0.4"/>
  <cols>
    <col min="1" max="1" width="5" hidden="1" customWidth="1"/>
    <col min="2" max="2" width="8" customWidth="1"/>
    <col min="3" max="3" width="26" customWidth="1"/>
    <col min="4" max="4" width="6" customWidth="1"/>
    <col min="5" max="6" width="12" customWidth="1"/>
    <col min="7" max="11" width="8" customWidth="1"/>
    <col min="12" max="15" width="13" customWidth="1"/>
    <col min="16" max="17" width="9" customWidth="1"/>
    <col min="18" max="22" width="10" customWidth="1"/>
  </cols>
  <sheetData>
    <row r="1" spans="1:22" ht="15.35" x14ac:dyDescent="0.55000000000000004">
      <c r="B1" s="61" t="s">
        <v>87</v>
      </c>
      <c r="C1" s="62"/>
    </row>
    <row r="2" spans="1:22" ht="45" customHeight="1" x14ac:dyDescent="0.4">
      <c r="A2" s="6" t="s">
        <v>88</v>
      </c>
      <c r="B2" s="6" t="s">
        <v>89</v>
      </c>
      <c r="C2" s="6" t="s">
        <v>90</v>
      </c>
      <c r="D2" s="6" t="s">
        <v>92</v>
      </c>
      <c r="E2" s="6" t="s">
        <v>124</v>
      </c>
      <c r="F2" s="6" t="s">
        <v>127</v>
      </c>
      <c r="G2" s="6" t="s">
        <v>102</v>
      </c>
      <c r="H2" s="6" t="s">
        <v>114</v>
      </c>
      <c r="I2" s="6" t="s">
        <v>115</v>
      </c>
      <c r="J2" s="6" t="s">
        <v>731</v>
      </c>
      <c r="K2" s="6" t="s">
        <v>732</v>
      </c>
      <c r="L2" s="6" t="s">
        <v>733</v>
      </c>
      <c r="M2" s="6" t="s">
        <v>734</v>
      </c>
      <c r="N2" s="6" t="s">
        <v>735</v>
      </c>
      <c r="O2" s="6" t="s">
        <v>736</v>
      </c>
      <c r="P2" s="6" t="s">
        <v>737</v>
      </c>
      <c r="Q2" s="6" t="s">
        <v>738</v>
      </c>
      <c r="R2" s="6" t="s">
        <v>739</v>
      </c>
      <c r="S2" s="6" t="s">
        <v>740</v>
      </c>
      <c r="T2" s="6" t="s">
        <v>741</v>
      </c>
      <c r="U2" s="6" t="s">
        <v>742</v>
      </c>
      <c r="V2" s="6" t="s">
        <v>743</v>
      </c>
    </row>
    <row r="3" spans="1:22" ht="15.35" x14ac:dyDescent="0.55000000000000004">
      <c r="A3" s="20">
        <v>485</v>
      </c>
      <c r="B3" s="2" t="s">
        <v>144</v>
      </c>
      <c r="C3" s="2" t="s">
        <v>145</v>
      </c>
      <c r="D3" s="20">
        <v>0</v>
      </c>
      <c r="E3" s="25">
        <v>45285</v>
      </c>
      <c r="F3" s="25">
        <v>45363</v>
      </c>
      <c r="G3" s="23">
        <v>-1.8599000000000001E-2</v>
      </c>
      <c r="H3" s="21">
        <v>2.0392000000000001</v>
      </c>
      <c r="I3" s="21">
        <v>1.0591999999999999</v>
      </c>
      <c r="J3" s="23">
        <v>4.7500000000000001E-2</v>
      </c>
      <c r="K3" s="23">
        <v>4.9200000000000001E-2</v>
      </c>
      <c r="L3" s="23">
        <v>4.4809000000000002E-2</v>
      </c>
      <c r="M3" s="23">
        <v>4.6412000000000002E-2</v>
      </c>
      <c r="N3" s="23">
        <v>4.8473000000000002E-2</v>
      </c>
      <c r="O3" s="23">
        <v>5.0208000000000003E-2</v>
      </c>
      <c r="P3" s="23">
        <v>4.8399999999999999E-2</v>
      </c>
      <c r="Q3" s="23">
        <v>5.0132000000000003E-2</v>
      </c>
      <c r="R3" s="23">
        <v>-3.7079000000000001E-2</v>
      </c>
      <c r="S3" s="23">
        <v>5.6179999999999997E-3</v>
      </c>
      <c r="T3" s="23">
        <v>0</v>
      </c>
      <c r="U3" s="23">
        <v>4.8690000000000001E-3</v>
      </c>
      <c r="V3" s="23">
        <v>-3.7079000000000001E-2</v>
      </c>
    </row>
    <row r="4" spans="1:22" ht="15.35" x14ac:dyDescent="0.55000000000000004">
      <c r="A4" s="20">
        <v>482</v>
      </c>
      <c r="B4" s="2" t="s">
        <v>140</v>
      </c>
      <c r="C4" s="2" t="s">
        <v>141</v>
      </c>
      <c r="D4" s="20">
        <v>0</v>
      </c>
      <c r="E4" s="25">
        <v>45288</v>
      </c>
      <c r="F4" s="25">
        <v>45363</v>
      </c>
      <c r="G4" s="23">
        <v>-4.9651000000000001E-2</v>
      </c>
      <c r="H4" s="21">
        <v>1.3167</v>
      </c>
      <c r="I4" s="21">
        <v>1.3959999999999999</v>
      </c>
      <c r="J4" s="23">
        <v>5.5399999999999998E-2</v>
      </c>
      <c r="K4" s="23">
        <v>6.6799999999999998E-2</v>
      </c>
      <c r="L4" s="23">
        <v>5.2759E-2</v>
      </c>
      <c r="M4" s="23">
        <v>6.3616000000000006E-2</v>
      </c>
      <c r="N4" s="23">
        <v>5.8293999999999999E-2</v>
      </c>
      <c r="O4" s="23">
        <v>7.0290000000000005E-2</v>
      </c>
      <c r="P4" s="23">
        <v>5.8293999999999999E-2</v>
      </c>
      <c r="Q4" s="23">
        <v>7.0290000000000005E-2</v>
      </c>
      <c r="R4" s="23">
        <v>-2.8955000000000002E-2</v>
      </c>
      <c r="S4" s="23">
        <v>6.7140000000000003E-3</v>
      </c>
      <c r="T4" s="23">
        <v>5.4549999999999998E-3</v>
      </c>
      <c r="U4" s="23">
        <v>1.4687E-2</v>
      </c>
      <c r="V4" s="23">
        <v>-2.8955000000000002E-2</v>
      </c>
    </row>
    <row r="5" spans="1:22" ht="15.35" x14ac:dyDescent="0.55000000000000004">
      <c r="A5" s="20">
        <v>512</v>
      </c>
      <c r="B5" s="2" t="s">
        <v>148</v>
      </c>
      <c r="C5" s="2" t="s">
        <v>149</v>
      </c>
      <c r="D5" s="20">
        <v>0</v>
      </c>
      <c r="E5" s="25">
        <v>45315</v>
      </c>
      <c r="F5" s="25">
        <v>45365</v>
      </c>
      <c r="G5" s="23">
        <v>-2.99E-3</v>
      </c>
      <c r="H5" s="21">
        <v>1.0889</v>
      </c>
      <c r="I5" s="21">
        <v>1.5667</v>
      </c>
      <c r="J5" s="23">
        <v>4.9299999999999997E-2</v>
      </c>
      <c r="K5" s="23">
        <v>5.2699999999999997E-2</v>
      </c>
      <c r="L5" s="23">
        <v>4.6951E-2</v>
      </c>
      <c r="M5" s="23">
        <v>5.0188999999999998E-2</v>
      </c>
      <c r="N5" s="23">
        <v>5.0307999999999999E-2</v>
      </c>
      <c r="O5" s="23">
        <v>5.3776999999999998E-2</v>
      </c>
      <c r="P5" s="23">
        <v>4.9447999999999999E-2</v>
      </c>
      <c r="Q5" s="23">
        <v>5.2858000000000002E-2</v>
      </c>
      <c r="R5" s="23">
        <v>-1.4633E-2</v>
      </c>
      <c r="S5" s="23">
        <v>4.35E-4</v>
      </c>
      <c r="T5" s="23">
        <v>-1.4054000000000001E-2</v>
      </c>
      <c r="U5" s="23">
        <v>-7.6790000000000001E-3</v>
      </c>
      <c r="V5" s="23">
        <v>-1.4633E-2</v>
      </c>
    </row>
    <row r="6" spans="1:22" ht="15.35" x14ac:dyDescent="0.55000000000000004">
      <c r="A6" s="20">
        <v>513</v>
      </c>
      <c r="B6" s="2" t="s">
        <v>153</v>
      </c>
      <c r="C6" s="2" t="s">
        <v>154</v>
      </c>
      <c r="D6" s="20">
        <v>0</v>
      </c>
      <c r="E6" s="25">
        <v>45376</v>
      </c>
      <c r="F6" s="25">
        <v>45412</v>
      </c>
      <c r="G6" s="23">
        <v>-3.0051000000000001E-2</v>
      </c>
      <c r="H6" s="21">
        <v>1.1597</v>
      </c>
      <c r="I6" s="21">
        <v>1.2793000000000001</v>
      </c>
      <c r="J6" s="23">
        <v>4.2500000000000003E-2</v>
      </c>
      <c r="K6" s="23">
        <v>5.0500000000000003E-2</v>
      </c>
      <c r="L6" s="23">
        <v>4.0476999999999999E-2</v>
      </c>
      <c r="M6" s="23">
        <v>4.8096E-2</v>
      </c>
      <c r="N6" s="23">
        <v>4.3817000000000002E-2</v>
      </c>
      <c r="O6" s="23">
        <v>5.2065E-2</v>
      </c>
      <c r="P6" s="23">
        <v>4.3817000000000002E-2</v>
      </c>
      <c r="Q6" s="23">
        <v>5.2065E-2</v>
      </c>
      <c r="R6" s="23">
        <v>-3.0061000000000001E-2</v>
      </c>
      <c r="S6" s="23">
        <v>0</v>
      </c>
      <c r="T6" s="23">
        <v>-2.7607E-2</v>
      </c>
      <c r="U6" s="23">
        <v>-2.6074E-2</v>
      </c>
      <c r="V6" s="23">
        <v>-3.0061000000000001E-2</v>
      </c>
    </row>
    <row r="7" spans="1:22" ht="15.35" x14ac:dyDescent="0.55000000000000004">
      <c r="A7" s="20">
        <v>474</v>
      </c>
      <c r="B7" s="2" t="s">
        <v>128</v>
      </c>
      <c r="C7" s="2" t="s">
        <v>129</v>
      </c>
      <c r="D7" s="20">
        <v>0</v>
      </c>
      <c r="E7" s="25">
        <v>45468</v>
      </c>
      <c r="F7" s="25">
        <v>45520</v>
      </c>
      <c r="G7" s="23">
        <v>0</v>
      </c>
      <c r="H7" s="21">
        <v>1.476</v>
      </c>
      <c r="I7" s="21">
        <v>1.0831999999999999</v>
      </c>
      <c r="J7" s="23">
        <v>5.6500000000000002E-2</v>
      </c>
      <c r="K7" s="23">
        <v>6.2199999999999998E-2</v>
      </c>
      <c r="L7" s="23">
        <v>5.3801000000000002E-2</v>
      </c>
      <c r="M7" s="23">
        <v>5.9228000000000003E-2</v>
      </c>
      <c r="N7" s="23">
        <v>5.6500000000000002E-2</v>
      </c>
      <c r="O7" s="23">
        <v>6.2199999999999998E-2</v>
      </c>
      <c r="P7" s="23">
        <v>5.6500000000000002E-2</v>
      </c>
      <c r="Q7" s="23">
        <v>6.2199999999999998E-2</v>
      </c>
      <c r="R7" s="23">
        <v>8.5760000000000003E-3</v>
      </c>
      <c r="S7" s="23">
        <v>3.3447999999999999E-2</v>
      </c>
      <c r="T7" s="23">
        <v>-3.431E-3</v>
      </c>
      <c r="U7" s="23">
        <v>3.0019999999999999E-3</v>
      </c>
      <c r="V7" s="23">
        <v>-3.859E-3</v>
      </c>
    </row>
    <row r="8" spans="1:22" ht="15.35" x14ac:dyDescent="0.55000000000000004">
      <c r="A8" s="20">
        <v>476</v>
      </c>
      <c r="B8" s="2" t="s">
        <v>135</v>
      </c>
      <c r="C8" s="2" t="s">
        <v>136</v>
      </c>
      <c r="D8" s="20">
        <v>0</v>
      </c>
      <c r="E8" s="25">
        <v>45506</v>
      </c>
      <c r="F8" s="25">
        <v>45532</v>
      </c>
      <c r="G8" s="23">
        <v>8.1000000000000004E-5</v>
      </c>
      <c r="H8" s="21">
        <v>6.2286000000000001</v>
      </c>
      <c r="I8" s="21">
        <v>23.268799999999999</v>
      </c>
      <c r="J8" s="23">
        <v>5.4600000000000003E-2</v>
      </c>
      <c r="K8" s="23">
        <v>5.8400000000000001E-2</v>
      </c>
      <c r="L8" s="23">
        <v>5.2004000000000002E-2</v>
      </c>
      <c r="M8" s="23">
        <v>5.5622999999999999E-2</v>
      </c>
      <c r="N8" s="23">
        <v>5.4684000000000003E-2</v>
      </c>
      <c r="O8" s="23">
        <v>5.849E-2</v>
      </c>
      <c r="P8" s="23">
        <v>5.4595999999999999E-2</v>
      </c>
      <c r="Q8" s="23">
        <v>5.8395000000000002E-2</v>
      </c>
      <c r="R8" s="23">
        <v>3.7276999999999998E-2</v>
      </c>
      <c r="S8" s="23">
        <v>5.7942E-2</v>
      </c>
      <c r="T8" s="23">
        <v>1.2966E-2</v>
      </c>
      <c r="U8" s="23">
        <v>5.3484999999999998E-2</v>
      </c>
      <c r="V8" s="23">
        <v>1.2966E-2</v>
      </c>
    </row>
    <row r="9" spans="1:22" ht="15.35" x14ac:dyDescent="0.55000000000000004">
      <c r="A9" s="20">
        <v>514</v>
      </c>
      <c r="B9" s="2" t="s">
        <v>157</v>
      </c>
      <c r="C9" s="2" t="s">
        <v>158</v>
      </c>
      <c r="D9" s="20">
        <v>0</v>
      </c>
      <c r="E9" s="25">
        <v>45527</v>
      </c>
      <c r="F9" s="25">
        <v>45555</v>
      </c>
      <c r="G9" s="23">
        <v>5.751E-3</v>
      </c>
      <c r="H9" s="21">
        <v>2.7334000000000001</v>
      </c>
      <c r="I9" s="21">
        <v>2.6962000000000002</v>
      </c>
      <c r="J9" s="23">
        <v>5.2499999999999998E-2</v>
      </c>
      <c r="K9" s="23">
        <v>5.3600000000000002E-2</v>
      </c>
      <c r="L9" s="23">
        <v>4.9532E-2</v>
      </c>
      <c r="M9" s="23">
        <v>5.0569999999999997E-2</v>
      </c>
      <c r="N9" s="23">
        <v>5.3030000000000001E-2</v>
      </c>
      <c r="O9" s="23">
        <v>5.4141000000000002E-2</v>
      </c>
      <c r="P9" s="23">
        <v>5.2200000000000003E-2</v>
      </c>
      <c r="Q9" s="23">
        <v>5.3294000000000001E-2</v>
      </c>
      <c r="R9" s="23">
        <v>-3.0695E-2</v>
      </c>
      <c r="S9" s="23">
        <v>2.1069999999999999E-3</v>
      </c>
      <c r="T9" s="23">
        <v>-9.3288999999999997E-2</v>
      </c>
      <c r="U9" s="23">
        <v>1.8060000000000001E-3</v>
      </c>
      <c r="V9" s="23">
        <v>-9.3288999999999997E-2</v>
      </c>
    </row>
    <row r="10" spans="1:22" ht="15.35" x14ac:dyDescent="0.55000000000000004">
      <c r="A10" s="20">
        <v>515</v>
      </c>
      <c r="B10" s="2" t="s">
        <v>161</v>
      </c>
      <c r="C10" s="2" t="s">
        <v>162</v>
      </c>
      <c r="D10" s="20">
        <v>0</v>
      </c>
      <c r="E10" s="25">
        <v>45656</v>
      </c>
      <c r="F10" s="25">
        <v>45681</v>
      </c>
      <c r="G10" s="23">
        <v>1.9810000000000001E-2</v>
      </c>
      <c r="H10" s="21">
        <v>78.718100000000007</v>
      </c>
      <c r="I10" s="21">
        <v>407.02539999999999</v>
      </c>
      <c r="J10" s="23">
        <v>6.6100000000000006E-2</v>
      </c>
      <c r="K10" s="23">
        <v>6.25E-2</v>
      </c>
      <c r="L10" s="23">
        <v>6.2945000000000001E-2</v>
      </c>
      <c r="M10" s="23">
        <v>5.9515999999999999E-2</v>
      </c>
      <c r="N10" s="23">
        <v>6.9573999999999997E-2</v>
      </c>
      <c r="O10" s="23">
        <v>6.5784999999999996E-2</v>
      </c>
      <c r="P10" s="23">
        <v>6.4815999999999999E-2</v>
      </c>
      <c r="Q10" s="23">
        <v>6.1286E-2</v>
      </c>
      <c r="R10" s="23">
        <v>0.29996699999999998</v>
      </c>
      <c r="S10" s="23">
        <v>0.29996699999999998</v>
      </c>
      <c r="T10" s="23">
        <v>0.38619100000000001</v>
      </c>
      <c r="U10" s="23">
        <v>0.41658400000000001</v>
      </c>
      <c r="V10" s="23">
        <v>0.29996699999999998</v>
      </c>
    </row>
    <row r="11" spans="1:22" ht="15.35" x14ac:dyDescent="0.55000000000000004">
      <c r="A11" s="20">
        <v>516</v>
      </c>
      <c r="B11" s="2" t="s">
        <v>166</v>
      </c>
      <c r="C11" s="2" t="s">
        <v>167</v>
      </c>
      <c r="D11" s="20">
        <v>0</v>
      </c>
      <c r="E11" s="25">
        <v>45817</v>
      </c>
      <c r="F11" s="25">
        <v>45835</v>
      </c>
      <c r="G11" s="23">
        <v>3.2680000000000001E-2</v>
      </c>
      <c r="H11" s="21">
        <v>249.72</v>
      </c>
      <c r="I11" s="21">
        <v>683.35</v>
      </c>
      <c r="J11" s="23">
        <v>4.9500000000000002E-2</v>
      </c>
      <c r="K11" s="23">
        <v>0.05</v>
      </c>
      <c r="L11" s="23">
        <v>4.4999999999999998E-2</v>
      </c>
      <c r="M11" s="23">
        <v>4.5455000000000002E-2</v>
      </c>
      <c r="N11" s="23">
        <v>5.5E-2</v>
      </c>
      <c r="O11" s="23">
        <v>5.5556000000000001E-2</v>
      </c>
      <c r="P11" s="23">
        <v>4.7933999999999997E-2</v>
      </c>
      <c r="Q11" s="23">
        <v>4.8418000000000003E-2</v>
      </c>
      <c r="R11" s="23">
        <v>0.3</v>
      </c>
      <c r="S11" s="23">
        <v>0.3</v>
      </c>
      <c r="T11" s="23">
        <v>0.33860800000000002</v>
      </c>
      <c r="U11" s="23">
        <v>0.36582300000000001</v>
      </c>
      <c r="V11" s="23">
        <v>0.3</v>
      </c>
    </row>
    <row r="12" spans="1:22" ht="15.35" x14ac:dyDescent="0.55000000000000004">
      <c r="A12" s="20">
        <v>585</v>
      </c>
      <c r="B12" s="2" t="s">
        <v>176</v>
      </c>
      <c r="C12" s="2" t="s">
        <v>177</v>
      </c>
      <c r="D12" s="20">
        <v>0</v>
      </c>
      <c r="E12" s="25">
        <v>45882</v>
      </c>
      <c r="F12" s="25">
        <v>45912</v>
      </c>
      <c r="G12" s="23">
        <v>0.19958600000000001</v>
      </c>
      <c r="H12" s="21">
        <v>252.78290000000001</v>
      </c>
      <c r="I12" s="21">
        <v>355.5093</v>
      </c>
      <c r="J12" s="23">
        <v>5.21E-2</v>
      </c>
      <c r="K12" s="23">
        <v>5.6500000000000002E-2</v>
      </c>
      <c r="L12" s="23">
        <v>4.3418999999999999E-2</v>
      </c>
      <c r="M12" s="23">
        <v>4.7086000000000003E-2</v>
      </c>
      <c r="N12" s="23">
        <v>6.5118999999999996E-2</v>
      </c>
      <c r="O12" s="23">
        <v>7.0619000000000001E-2</v>
      </c>
      <c r="P12" s="23">
        <v>4.3431999999999998E-2</v>
      </c>
      <c r="Q12" s="23">
        <v>4.7100000000000003E-2</v>
      </c>
      <c r="R12" s="23">
        <v>0.221552</v>
      </c>
      <c r="S12" s="23">
        <v>0.26810299999999998</v>
      </c>
      <c r="T12" s="23">
        <v>0.255747</v>
      </c>
      <c r="U12" s="23">
        <v>0.26091999999999999</v>
      </c>
      <c r="V12" s="23">
        <v>0.221552</v>
      </c>
    </row>
    <row r="13" spans="1:22" ht="15.35" x14ac:dyDescent="0.55000000000000004">
      <c r="A13" s="20">
        <v>569</v>
      </c>
      <c r="B13" s="2" t="s">
        <v>169</v>
      </c>
      <c r="C13" s="2" t="s">
        <v>170</v>
      </c>
      <c r="D13" s="20">
        <v>0</v>
      </c>
      <c r="E13" s="25">
        <v>45904</v>
      </c>
      <c r="F13" s="25">
        <v>45929</v>
      </c>
      <c r="G13" s="23">
        <v>7.0025000000000004E-2</v>
      </c>
      <c r="H13" s="21">
        <v>252.57</v>
      </c>
      <c r="I13" s="21">
        <v>535.22</v>
      </c>
      <c r="J13" s="23">
        <v>4.7100000000000003E-2</v>
      </c>
      <c r="K13" s="23">
        <v>4.8399999999999999E-2</v>
      </c>
      <c r="L13" s="23">
        <v>4.2430000000000002E-2</v>
      </c>
      <c r="M13" s="23">
        <v>4.3601000000000001E-2</v>
      </c>
      <c r="N13" s="23">
        <v>5.2921000000000003E-2</v>
      </c>
      <c r="O13" s="23">
        <v>5.4382E-2</v>
      </c>
      <c r="P13" s="23">
        <v>4.4018000000000002E-2</v>
      </c>
      <c r="Q13" s="23">
        <v>4.5233000000000002E-2</v>
      </c>
      <c r="R13" s="23">
        <v>0.116299</v>
      </c>
      <c r="S13" s="23">
        <v>0.12626799999999999</v>
      </c>
      <c r="T13" s="23">
        <v>0.111577</v>
      </c>
      <c r="U13" s="23">
        <v>0.118923</v>
      </c>
      <c r="V13" s="23">
        <v>0.110878</v>
      </c>
    </row>
    <row r="14" spans="1:22" ht="15.35" x14ac:dyDescent="0.55000000000000004">
      <c r="A14" s="20">
        <v>582</v>
      </c>
      <c r="B14" s="2" t="s">
        <v>173</v>
      </c>
      <c r="C14" s="2" t="s">
        <v>174</v>
      </c>
      <c r="D14" s="20">
        <v>0</v>
      </c>
      <c r="E14" s="25">
        <v>45926</v>
      </c>
      <c r="F14" s="25">
        <v>45961</v>
      </c>
      <c r="G14" s="23">
        <v>0.19121199999999999</v>
      </c>
      <c r="H14" s="21">
        <v>320.46820000000002</v>
      </c>
      <c r="I14" s="21">
        <v>361.90219999999999</v>
      </c>
      <c r="J14" s="23">
        <v>4.7699999999999999E-2</v>
      </c>
      <c r="K14" s="23">
        <v>5.0200000000000002E-2</v>
      </c>
      <c r="L14" s="23">
        <v>3.9734999999999999E-2</v>
      </c>
      <c r="M14" s="23">
        <v>4.1817E-2</v>
      </c>
      <c r="N14" s="23">
        <v>5.9602000000000002E-2</v>
      </c>
      <c r="O14" s="23">
        <v>6.2726000000000004E-2</v>
      </c>
      <c r="P14" s="23">
        <v>4.0043000000000002E-2</v>
      </c>
      <c r="Q14" s="23">
        <v>4.2141999999999999E-2</v>
      </c>
      <c r="R14" s="23">
        <v>1.3254999999999999E-2</v>
      </c>
      <c r="S14" s="23">
        <v>3.2947999999999998E-2</v>
      </c>
      <c r="T14" s="23">
        <v>1.5716999999999998E-2</v>
      </c>
      <c r="U14" s="23">
        <v>2.5942E-2</v>
      </c>
      <c r="V14" s="23">
        <v>1.3254999999999999E-2</v>
      </c>
    </row>
    <row r="15" spans="1:22" ht="15.35" x14ac:dyDescent="0.55000000000000004">
      <c r="A15" s="20">
        <v>605</v>
      </c>
      <c r="B15" s="2" t="s">
        <v>184</v>
      </c>
      <c r="C15" s="2" t="s">
        <v>185</v>
      </c>
      <c r="D15" s="20">
        <v>0</v>
      </c>
      <c r="E15" s="25">
        <v>46161</v>
      </c>
      <c r="F15" s="25">
        <v>46191</v>
      </c>
      <c r="G15" s="23">
        <v>9.9585999999999994E-2</v>
      </c>
      <c r="H15" s="21">
        <v>68.025400000000005</v>
      </c>
      <c r="I15" s="21">
        <v>90.064400000000006</v>
      </c>
      <c r="J15" s="23">
        <v>4.8399999999999999E-2</v>
      </c>
      <c r="K15" s="23">
        <v>5.1200000000000002E-2</v>
      </c>
      <c r="L15" s="23">
        <v>4.4005000000000002E-2</v>
      </c>
      <c r="M15" s="23">
        <v>4.6551000000000002E-2</v>
      </c>
      <c r="N15" s="23">
        <v>5.3769999999999998E-2</v>
      </c>
      <c r="O15" s="23">
        <v>5.6881000000000001E-2</v>
      </c>
      <c r="P15" s="23">
        <v>4.4017000000000001E-2</v>
      </c>
      <c r="Q15" s="23">
        <v>4.6563E-2</v>
      </c>
      <c r="R15" s="23">
        <v>5.1999999999999995E-4</v>
      </c>
      <c r="S15" s="23">
        <v>1.0395E-2</v>
      </c>
      <c r="T15" s="23">
        <v>-9.0437000000000003E-2</v>
      </c>
      <c r="U15" s="23">
        <v>-8.5760000000000003E-3</v>
      </c>
      <c r="V15" s="23">
        <v>-9.0437000000000003E-2</v>
      </c>
    </row>
    <row r="16" spans="1:22" ht="15.35" x14ac:dyDescent="0.55000000000000004">
      <c r="A16" s="20">
        <v>603</v>
      </c>
      <c r="B16" s="2" t="s">
        <v>180</v>
      </c>
      <c r="C16" s="2" t="s">
        <v>181</v>
      </c>
      <c r="D16" s="20">
        <v>0</v>
      </c>
      <c r="E16" s="25">
        <v>46162</v>
      </c>
      <c r="F16" s="25">
        <v>46191</v>
      </c>
      <c r="G16" s="23">
        <v>0.10004</v>
      </c>
      <c r="H16" s="21">
        <v>103.1944</v>
      </c>
      <c r="I16" s="21">
        <v>330.19580000000002</v>
      </c>
      <c r="J16" s="23">
        <v>5.4600000000000003E-2</v>
      </c>
      <c r="K16" s="23">
        <v>5.8000000000000003E-2</v>
      </c>
      <c r="L16" s="23">
        <v>4.9634999999999999E-2</v>
      </c>
      <c r="M16" s="23">
        <v>5.2725000000000001E-2</v>
      </c>
      <c r="N16" s="23">
        <v>6.0669000000000001E-2</v>
      </c>
      <c r="O16" s="23">
        <v>6.4447000000000004E-2</v>
      </c>
      <c r="P16" s="23">
        <v>4.9634999999999999E-2</v>
      </c>
      <c r="Q16" s="23">
        <v>5.2725000000000001E-2</v>
      </c>
      <c r="R16" s="23">
        <v>8.1721000000000002E-2</v>
      </c>
      <c r="S16" s="23">
        <v>0.11083</v>
      </c>
      <c r="T16" s="23">
        <v>7.5936000000000003E-2</v>
      </c>
      <c r="U16" s="23">
        <v>9.8173999999999997E-2</v>
      </c>
      <c r="V16" s="23">
        <v>7.3946999999999999E-2</v>
      </c>
    </row>
    <row r="17" spans="1:22" ht="15.35" x14ac:dyDescent="0.55000000000000004">
      <c r="A17" s="20">
        <v>611</v>
      </c>
      <c r="B17" s="2" t="s">
        <v>193</v>
      </c>
      <c r="C17" s="2" t="s">
        <v>194</v>
      </c>
      <c r="D17" s="20">
        <v>0</v>
      </c>
      <c r="E17" s="25">
        <v>46162</v>
      </c>
      <c r="F17" s="25">
        <v>46191</v>
      </c>
      <c r="G17" s="23">
        <v>9.9635000000000001E-2</v>
      </c>
      <c r="H17" s="21">
        <v>80.163300000000007</v>
      </c>
      <c r="I17" s="21">
        <v>101.44029999999999</v>
      </c>
      <c r="J17" s="23">
        <v>6.2199999999999998E-2</v>
      </c>
      <c r="K17" s="23">
        <v>5.6000000000000001E-2</v>
      </c>
      <c r="L17" s="23">
        <v>5.6544999999999998E-2</v>
      </c>
      <c r="M17" s="23">
        <v>5.0909000000000003E-2</v>
      </c>
      <c r="N17" s="23">
        <v>6.9111000000000006E-2</v>
      </c>
      <c r="O17" s="23">
        <v>6.2222E-2</v>
      </c>
      <c r="P17" s="23">
        <v>5.6564000000000003E-2</v>
      </c>
      <c r="Q17" s="23">
        <v>5.0925999999999999E-2</v>
      </c>
      <c r="R17" s="23">
        <v>2.323E-3</v>
      </c>
      <c r="S17" s="23">
        <v>1.4271000000000001E-2</v>
      </c>
      <c r="T17" s="23">
        <v>-6.1400999999999997E-2</v>
      </c>
      <c r="U17" s="23">
        <v>-4.9779999999999998E-3</v>
      </c>
      <c r="V17" s="23">
        <v>-6.1400999999999997E-2</v>
      </c>
    </row>
    <row r="18" spans="1:22" ht="15.35" x14ac:dyDescent="0.55000000000000004">
      <c r="A18" s="20">
        <v>607</v>
      </c>
      <c r="B18" s="2" t="s">
        <v>188</v>
      </c>
      <c r="C18" s="2" t="s">
        <v>189</v>
      </c>
      <c r="D18" s="20">
        <v>0</v>
      </c>
      <c r="E18" s="25">
        <v>46163</v>
      </c>
      <c r="F18" s="25">
        <v>46191</v>
      </c>
      <c r="G18" s="23">
        <v>6.3132999999999995E-2</v>
      </c>
      <c r="H18" s="21">
        <v>22.2743</v>
      </c>
      <c r="I18" s="21">
        <v>14.5222</v>
      </c>
      <c r="J18" s="23">
        <v>5.0700000000000002E-2</v>
      </c>
      <c r="K18" s="23">
        <v>5.0200000000000002E-2</v>
      </c>
      <c r="L18" s="23">
        <v>4.6089999999999999E-2</v>
      </c>
      <c r="M18" s="23">
        <v>4.5635000000000002E-2</v>
      </c>
      <c r="N18" s="23">
        <v>5.6335000000000003E-2</v>
      </c>
      <c r="O18" s="23">
        <v>5.5779000000000002E-2</v>
      </c>
      <c r="P18" s="23">
        <v>4.7689000000000002E-2</v>
      </c>
      <c r="Q18" s="23">
        <v>4.7218999999999997E-2</v>
      </c>
      <c r="R18" s="23">
        <v>-3.4701999999999997E-2</v>
      </c>
      <c r="S18" s="23">
        <v>2.4399999999999999E-4</v>
      </c>
      <c r="T18" s="23">
        <v>-6.7936999999999997E-2</v>
      </c>
      <c r="U18" s="23">
        <v>-5.5230000000000001E-2</v>
      </c>
      <c r="V18" s="23">
        <v>-9.1152999999999998E-2</v>
      </c>
    </row>
    <row r="19" spans="1:22" ht="15.35" x14ac:dyDescent="0.55000000000000004">
      <c r="A19" s="20">
        <v>618</v>
      </c>
      <c r="B19" s="2" t="s">
        <v>197</v>
      </c>
      <c r="C19" s="2" t="s">
        <v>198</v>
      </c>
      <c r="D19" s="20">
        <v>0</v>
      </c>
      <c r="E19" s="25">
        <v>46199</v>
      </c>
      <c r="F19" s="25">
        <v>46268</v>
      </c>
      <c r="G19" s="23">
        <v>9.9417000000000005E-2</v>
      </c>
      <c r="H19" s="21">
        <v>1.3785000000000001</v>
      </c>
      <c r="I19" s="21">
        <v>1.2423</v>
      </c>
      <c r="J19" s="23">
        <v>4.6399999999999997E-2</v>
      </c>
      <c r="K19" s="23">
        <v>4.7699999999999999E-2</v>
      </c>
      <c r="L19" s="23">
        <v>4.2188999999999997E-2</v>
      </c>
      <c r="M19" s="23">
        <v>4.3371E-2</v>
      </c>
      <c r="N19" s="23">
        <v>5.1544E-2</v>
      </c>
      <c r="O19" s="23">
        <v>5.2989000000000001E-2</v>
      </c>
      <c r="P19" s="23">
        <v>4.2203999999999998E-2</v>
      </c>
      <c r="Q19" s="23">
        <v>4.3387000000000002E-2</v>
      </c>
      <c r="R19" s="23">
        <v>-0.25008799999999998</v>
      </c>
      <c r="S19" s="23">
        <v>-0.10985499999999999</v>
      </c>
      <c r="T19" s="23">
        <v>-0.16813800000000001</v>
      </c>
      <c r="U19" s="23">
        <v>-0.140233</v>
      </c>
      <c r="V19" s="23">
        <v>-0.25008799999999998</v>
      </c>
    </row>
    <row r="20" spans="1:22" ht="15.35" x14ac:dyDescent="0.55000000000000004">
      <c r="A20" s="20">
        <v>600</v>
      </c>
      <c r="B20" s="2" t="s">
        <v>201</v>
      </c>
      <c r="C20" s="2" t="s">
        <v>202</v>
      </c>
      <c r="D20" s="20">
        <v>0</v>
      </c>
      <c r="E20" s="25">
        <v>46199</v>
      </c>
      <c r="F20" s="26"/>
      <c r="G20" s="23">
        <v>-9.9949999999999997E-2</v>
      </c>
      <c r="H20" s="21">
        <v>1</v>
      </c>
      <c r="I20" s="21">
        <v>2.8582000000000001</v>
      </c>
      <c r="J20" s="23">
        <v>5.3900000000000003E-2</v>
      </c>
      <c r="K20" s="23">
        <v>5.4100000000000002E-2</v>
      </c>
      <c r="L20" s="23">
        <v>4.8991E-2</v>
      </c>
      <c r="M20" s="23">
        <v>4.9173000000000001E-2</v>
      </c>
      <c r="N20" s="23">
        <v>5.9886000000000002E-2</v>
      </c>
      <c r="O20" s="23">
        <v>6.0108000000000002E-2</v>
      </c>
      <c r="P20" s="23">
        <v>5.9886000000000002E-2</v>
      </c>
      <c r="Q20" s="23">
        <v>6.0108000000000002E-2</v>
      </c>
      <c r="R20" s="29"/>
      <c r="S20" s="29"/>
      <c r="T20" s="29"/>
      <c r="U20" s="29"/>
      <c r="V20" s="29"/>
    </row>
    <row r="21" spans="1:22" ht="15.35" x14ac:dyDescent="0.55000000000000004">
      <c r="A21" s="20">
        <v>606</v>
      </c>
      <c r="B21" s="2" t="s">
        <v>209</v>
      </c>
      <c r="C21" s="2" t="s">
        <v>210</v>
      </c>
      <c r="D21" s="20">
        <v>0</v>
      </c>
      <c r="E21" s="25">
        <v>46199</v>
      </c>
      <c r="F21" s="26"/>
      <c r="G21" s="23">
        <v>6.0606E-2</v>
      </c>
      <c r="H21" s="21">
        <v>1.2672000000000001</v>
      </c>
      <c r="I21" s="21">
        <v>2.1787000000000001</v>
      </c>
      <c r="J21" s="23">
        <v>4.5400000000000003E-2</v>
      </c>
      <c r="K21" s="23">
        <v>4.8300000000000003E-2</v>
      </c>
      <c r="L21" s="23">
        <v>4.1279000000000003E-2</v>
      </c>
      <c r="M21" s="23">
        <v>4.3915000000000003E-2</v>
      </c>
      <c r="N21" s="23">
        <v>5.0436000000000002E-2</v>
      </c>
      <c r="O21" s="23">
        <v>5.3657000000000003E-2</v>
      </c>
      <c r="P21" s="23">
        <v>4.2805999999999997E-2</v>
      </c>
      <c r="Q21" s="23">
        <v>4.5539999999999997E-2</v>
      </c>
      <c r="R21" s="29"/>
      <c r="S21" s="29"/>
      <c r="T21" s="29"/>
      <c r="U21" s="29"/>
      <c r="V21" s="29"/>
    </row>
    <row r="22" spans="1:22" ht="15.35" x14ac:dyDescent="0.55000000000000004">
      <c r="A22" s="20">
        <v>604</v>
      </c>
      <c r="B22" s="2" t="s">
        <v>205</v>
      </c>
      <c r="C22" s="2" t="s">
        <v>206</v>
      </c>
      <c r="D22" s="20">
        <v>0</v>
      </c>
      <c r="E22" s="25">
        <v>46202</v>
      </c>
      <c r="F22" s="26"/>
      <c r="G22" s="23">
        <v>0.10022200000000001</v>
      </c>
      <c r="H22" s="21">
        <v>2.3073000000000001</v>
      </c>
      <c r="I22" s="21">
        <v>1.5525</v>
      </c>
      <c r="J22" s="23">
        <v>4.5600000000000002E-2</v>
      </c>
      <c r="K22" s="23">
        <v>4.3200000000000002E-2</v>
      </c>
      <c r="L22" s="23">
        <v>4.1445999999999997E-2</v>
      </c>
      <c r="M22" s="23">
        <v>3.9265000000000001E-2</v>
      </c>
      <c r="N22" s="23">
        <v>5.0660999999999998E-2</v>
      </c>
      <c r="O22" s="23">
        <v>4.7994000000000002E-2</v>
      </c>
      <c r="P22" s="23">
        <v>4.1445999999999997E-2</v>
      </c>
      <c r="Q22" s="23">
        <v>3.9265000000000001E-2</v>
      </c>
      <c r="R22" s="29"/>
      <c r="S22" s="29"/>
      <c r="T22" s="29"/>
      <c r="U22" s="29"/>
      <c r="V22" s="29"/>
    </row>
    <row r="23" spans="1:22" ht="15.35" x14ac:dyDescent="0.55000000000000004">
      <c r="A23" s="20">
        <v>608</v>
      </c>
      <c r="B23" s="2" t="s">
        <v>217</v>
      </c>
      <c r="C23" s="2" t="s">
        <v>218</v>
      </c>
      <c r="D23" s="20">
        <v>0</v>
      </c>
      <c r="E23" s="25">
        <v>46288</v>
      </c>
      <c r="F23" s="26"/>
      <c r="G23" s="23">
        <v>-6.0129000000000002E-2</v>
      </c>
      <c r="H23" s="27"/>
      <c r="I23" s="27"/>
      <c r="J23" s="23">
        <v>5.5100000000000003E-2</v>
      </c>
      <c r="K23" s="23">
        <v>5.6399999999999999E-2</v>
      </c>
      <c r="L23" s="23">
        <v>5.0105999999999998E-2</v>
      </c>
      <c r="M23" s="23">
        <v>5.1288E-2</v>
      </c>
      <c r="N23" s="23">
        <v>6.1199999999999997E-2</v>
      </c>
      <c r="O23" s="23">
        <v>6.2644000000000005E-2</v>
      </c>
      <c r="P23" s="23">
        <v>5.8624999999999997E-2</v>
      </c>
      <c r="Q23" s="23">
        <v>6.0007999999999999E-2</v>
      </c>
      <c r="R23" s="29"/>
      <c r="S23" s="29"/>
      <c r="T23" s="29"/>
      <c r="U23" s="29"/>
      <c r="V23" s="29"/>
    </row>
    <row r="24" spans="1:22" ht="15.35" x14ac:dyDescent="0.55000000000000004">
      <c r="A24" s="20">
        <v>615</v>
      </c>
      <c r="B24" s="2" t="s">
        <v>220</v>
      </c>
      <c r="C24" s="2" t="s">
        <v>221</v>
      </c>
      <c r="D24" s="20">
        <v>0</v>
      </c>
      <c r="E24" s="25">
        <v>46288</v>
      </c>
      <c r="F24" s="26"/>
      <c r="G24" s="23">
        <v>7.7869999999999997E-3</v>
      </c>
      <c r="H24" s="27"/>
      <c r="I24" s="27"/>
      <c r="J24" s="23">
        <v>5.6500000000000002E-2</v>
      </c>
      <c r="K24" s="23">
        <v>5.7700000000000001E-2</v>
      </c>
      <c r="L24" s="23">
        <v>5.1367000000000003E-2</v>
      </c>
      <c r="M24" s="23">
        <v>5.2457999999999998E-2</v>
      </c>
      <c r="N24" s="23">
        <v>6.2772999999999995E-2</v>
      </c>
      <c r="O24" s="23">
        <v>6.4105999999999996E-2</v>
      </c>
      <c r="P24" s="23">
        <v>5.6063000000000002E-2</v>
      </c>
      <c r="Q24" s="23">
        <v>5.7253999999999999E-2</v>
      </c>
      <c r="R24" s="29"/>
      <c r="S24" s="29"/>
      <c r="T24" s="29"/>
      <c r="U24" s="29"/>
      <c r="V24" s="29"/>
    </row>
    <row r="25" spans="1:22" ht="15.35" x14ac:dyDescent="0.55000000000000004">
      <c r="A25" s="20">
        <v>602</v>
      </c>
      <c r="B25" s="2" t="s">
        <v>214</v>
      </c>
      <c r="C25" s="2" t="s">
        <v>215</v>
      </c>
      <c r="D25" s="20">
        <v>0</v>
      </c>
      <c r="E25" s="25">
        <v>46289</v>
      </c>
      <c r="F25" s="26"/>
      <c r="G25" s="23">
        <v>-9.9857000000000001E-2</v>
      </c>
      <c r="H25" s="27"/>
      <c r="I25" s="27"/>
      <c r="J25" s="23">
        <v>4.7E-2</v>
      </c>
      <c r="K25" s="23">
        <v>4.7300000000000002E-2</v>
      </c>
      <c r="L25" s="23">
        <v>4.2730999999999998E-2</v>
      </c>
      <c r="M25" s="23">
        <v>4.3004000000000001E-2</v>
      </c>
      <c r="N25" s="23">
        <v>5.2214000000000003E-2</v>
      </c>
      <c r="O25" s="23">
        <v>5.2547000000000003E-2</v>
      </c>
      <c r="P25" s="23">
        <v>5.2214000000000003E-2</v>
      </c>
      <c r="Q25" s="23">
        <v>5.2547000000000003E-2</v>
      </c>
      <c r="R25" s="29"/>
      <c r="S25" s="29"/>
      <c r="T25" s="29"/>
      <c r="U25" s="29"/>
      <c r="V25" s="29"/>
    </row>
    <row r="26" spans="1:22" ht="15.35" x14ac:dyDescent="0.55000000000000004">
      <c r="A26" s="20">
        <v>623</v>
      </c>
      <c r="C26" s="2" t="s">
        <v>225</v>
      </c>
      <c r="D26" s="20">
        <v>0</v>
      </c>
      <c r="E26" s="26"/>
      <c r="F26" s="26"/>
      <c r="G26" s="29"/>
      <c r="H26" s="27"/>
      <c r="I26" s="27"/>
      <c r="J26" s="23">
        <v>5.0099999999999999E-2</v>
      </c>
      <c r="K26" s="23">
        <v>5.28E-2</v>
      </c>
      <c r="L26" s="29"/>
      <c r="M26" s="29"/>
      <c r="N26" s="29"/>
      <c r="O26" s="29"/>
      <c r="P26" s="29"/>
      <c r="Q26" s="29"/>
      <c r="R26" s="29"/>
      <c r="S26" s="29"/>
      <c r="T26" s="29"/>
      <c r="U26" s="29"/>
      <c r="V26" s="29"/>
    </row>
    <row r="27" spans="1:22" ht="15.35" x14ac:dyDescent="0.55000000000000004">
      <c r="A27" s="20">
        <v>631</v>
      </c>
      <c r="C27" s="2" t="s">
        <v>227</v>
      </c>
      <c r="D27" s="20">
        <v>0</v>
      </c>
      <c r="E27" s="26"/>
      <c r="F27" s="26"/>
      <c r="G27" s="29"/>
      <c r="H27" s="27"/>
      <c r="I27" s="27"/>
      <c r="J27" s="23">
        <v>4.99E-2</v>
      </c>
      <c r="K27" s="23">
        <v>5.1900000000000002E-2</v>
      </c>
      <c r="L27" s="29"/>
      <c r="M27" s="29"/>
      <c r="N27" s="29"/>
      <c r="O27" s="29"/>
      <c r="P27" s="29"/>
      <c r="Q27" s="29"/>
      <c r="R27" s="29"/>
      <c r="S27" s="29"/>
      <c r="T27" s="29"/>
      <c r="U27" s="29"/>
      <c r="V27" s="29"/>
    </row>
    <row r="28" spans="1:22" ht="15.35" x14ac:dyDescent="0.55000000000000004">
      <c r="A28" s="20">
        <v>601</v>
      </c>
      <c r="C28" s="2" t="s">
        <v>230</v>
      </c>
      <c r="D28" s="20">
        <v>0</v>
      </c>
      <c r="E28" s="26"/>
      <c r="F28" s="26"/>
      <c r="G28" s="29"/>
      <c r="H28" s="27"/>
      <c r="I28" s="27"/>
      <c r="J28" s="23">
        <v>4.6399999999999997E-2</v>
      </c>
      <c r="K28" s="23">
        <v>5.1900000000000002E-2</v>
      </c>
      <c r="L28" s="29"/>
      <c r="M28" s="29"/>
      <c r="N28" s="29"/>
      <c r="O28" s="29"/>
      <c r="P28" s="29"/>
      <c r="Q28" s="29"/>
      <c r="R28" s="29"/>
      <c r="S28" s="29"/>
      <c r="T28" s="29"/>
      <c r="U28" s="29"/>
      <c r="V28" s="29"/>
    </row>
    <row r="29" spans="1:22" ht="15.35" x14ac:dyDescent="0.55000000000000004">
      <c r="A29" s="20">
        <v>610</v>
      </c>
      <c r="C29" s="2" t="s">
        <v>223</v>
      </c>
      <c r="D29" s="20">
        <v>0</v>
      </c>
      <c r="E29" s="26"/>
      <c r="F29" s="26"/>
      <c r="G29" s="29"/>
      <c r="H29" s="27"/>
      <c r="I29" s="27"/>
      <c r="J29" s="23">
        <v>4.5999999999999999E-2</v>
      </c>
      <c r="K29" s="23">
        <v>4.6399999999999997E-2</v>
      </c>
      <c r="L29" s="29"/>
      <c r="M29" s="29"/>
      <c r="N29" s="29"/>
      <c r="O29" s="29"/>
      <c r="P29" s="29"/>
      <c r="Q29" s="29"/>
      <c r="R29" s="29"/>
      <c r="S29" s="29"/>
      <c r="T29" s="29"/>
      <c r="U29" s="29"/>
      <c r="V29" s="29"/>
    </row>
    <row r="30" spans="1:22" ht="15.35" x14ac:dyDescent="0.55000000000000004">
      <c r="A30" s="20">
        <v>609</v>
      </c>
      <c r="C30" s="2" t="s">
        <v>233</v>
      </c>
      <c r="D30" s="20">
        <v>0</v>
      </c>
      <c r="E30" s="26"/>
      <c r="F30" s="26"/>
      <c r="G30" s="29"/>
      <c r="H30" s="27"/>
      <c r="I30" s="27"/>
      <c r="J30" s="23">
        <v>5.2600000000000001E-2</v>
      </c>
      <c r="K30" s="23">
        <v>5.2499999999999998E-2</v>
      </c>
      <c r="L30" s="29"/>
      <c r="M30" s="29"/>
      <c r="N30" s="29"/>
      <c r="O30" s="29"/>
      <c r="P30" s="29"/>
      <c r="Q30" s="29"/>
      <c r="R30" s="29"/>
      <c r="S30" s="29"/>
      <c r="T30" s="29"/>
      <c r="U30" s="29"/>
      <c r="V30" s="29"/>
    </row>
    <row r="31" spans="1:22" ht="15.35" x14ac:dyDescent="0.55000000000000004">
      <c r="A31" s="20">
        <v>613</v>
      </c>
      <c r="C31" s="2" t="s">
        <v>236</v>
      </c>
      <c r="D31" s="20">
        <v>0</v>
      </c>
      <c r="E31" s="26"/>
      <c r="F31" s="26"/>
      <c r="G31" s="29"/>
      <c r="H31" s="27"/>
      <c r="I31" s="27"/>
      <c r="J31" s="23">
        <v>5.4600000000000003E-2</v>
      </c>
      <c r="K31" s="23">
        <v>5.7200000000000001E-2</v>
      </c>
      <c r="L31" s="29"/>
      <c r="M31" s="29"/>
      <c r="N31" s="29"/>
      <c r="O31" s="29"/>
      <c r="P31" s="29"/>
      <c r="Q31" s="29"/>
      <c r="R31" s="29"/>
      <c r="S31" s="29"/>
      <c r="T31" s="29"/>
      <c r="U31" s="29"/>
      <c r="V31" s="29"/>
    </row>
    <row r="32" spans="1:22" ht="15.35" x14ac:dyDescent="0.55000000000000004">
      <c r="A32" s="20">
        <v>616</v>
      </c>
      <c r="C32" s="2" t="s">
        <v>239</v>
      </c>
      <c r="D32" s="20">
        <v>0</v>
      </c>
      <c r="E32" s="26"/>
      <c r="F32" s="26"/>
      <c r="G32" s="29"/>
      <c r="H32" s="27"/>
      <c r="I32" s="27"/>
      <c r="J32" s="23">
        <v>4.2299999999999997E-2</v>
      </c>
      <c r="K32" s="23">
        <v>4.19E-2</v>
      </c>
      <c r="L32" s="29"/>
      <c r="M32" s="29"/>
      <c r="N32" s="29"/>
      <c r="O32" s="29"/>
      <c r="P32" s="29"/>
      <c r="Q32" s="29"/>
      <c r="R32" s="29"/>
      <c r="S32" s="29"/>
      <c r="T32" s="29"/>
      <c r="U32" s="29"/>
      <c r="V32" s="29"/>
    </row>
    <row r="33" spans="1:22" ht="15.35" x14ac:dyDescent="0.55000000000000004">
      <c r="A33" s="20">
        <v>617</v>
      </c>
      <c r="C33" s="2" t="s">
        <v>242</v>
      </c>
      <c r="D33" s="20">
        <v>0</v>
      </c>
      <c r="E33" s="26"/>
      <c r="F33" s="26"/>
      <c r="G33" s="29"/>
      <c r="H33" s="27"/>
      <c r="I33" s="27"/>
      <c r="J33" s="23">
        <v>4.5600000000000002E-2</v>
      </c>
      <c r="K33" s="23">
        <v>4.1200000000000001E-2</v>
      </c>
      <c r="L33" s="29"/>
      <c r="M33" s="29"/>
      <c r="N33" s="29"/>
      <c r="O33" s="29"/>
      <c r="P33" s="29"/>
      <c r="Q33" s="29"/>
      <c r="R33" s="29"/>
      <c r="S33" s="29"/>
      <c r="T33" s="29"/>
      <c r="U33" s="29"/>
      <c r="V33" s="29"/>
    </row>
    <row r="34" spans="1:22" ht="15.35" x14ac:dyDescent="0.55000000000000004">
      <c r="A34" s="20">
        <v>622</v>
      </c>
      <c r="C34" s="2" t="s">
        <v>245</v>
      </c>
      <c r="D34" s="20">
        <v>0</v>
      </c>
      <c r="E34" s="26"/>
      <c r="F34" s="26"/>
      <c r="G34" s="29"/>
      <c r="H34" s="27"/>
      <c r="I34" s="27"/>
      <c r="J34" s="23">
        <v>4.4900000000000002E-2</v>
      </c>
      <c r="K34" s="23">
        <v>4.7100000000000003E-2</v>
      </c>
      <c r="L34" s="29"/>
      <c r="M34" s="29"/>
      <c r="N34" s="29"/>
      <c r="O34" s="29"/>
      <c r="P34" s="29"/>
      <c r="Q34" s="29"/>
      <c r="R34" s="29"/>
      <c r="S34" s="29"/>
      <c r="T34" s="29"/>
      <c r="U34" s="29"/>
      <c r="V34" s="29"/>
    </row>
    <row r="35" spans="1:22" ht="15.35" x14ac:dyDescent="0.55000000000000004">
      <c r="A35" s="20">
        <v>627</v>
      </c>
      <c r="C35" s="2" t="s">
        <v>247</v>
      </c>
      <c r="D35" s="20">
        <v>0</v>
      </c>
      <c r="E35" s="26"/>
      <c r="F35" s="26"/>
      <c r="G35" s="29"/>
      <c r="H35" s="27"/>
      <c r="I35" s="27"/>
      <c r="J35" s="23">
        <v>5.3199999999999997E-2</v>
      </c>
      <c r="K35" s="23">
        <v>0.06</v>
      </c>
      <c r="L35" s="29"/>
      <c r="M35" s="29"/>
      <c r="N35" s="29"/>
      <c r="O35" s="29"/>
      <c r="P35" s="29"/>
      <c r="Q35" s="29"/>
      <c r="R35" s="29"/>
      <c r="S35" s="29"/>
      <c r="T35" s="29"/>
      <c r="U35" s="29"/>
      <c r="V35" s="29"/>
    </row>
    <row r="36" spans="1:22" ht="15.35" x14ac:dyDescent="0.55000000000000004">
      <c r="A36" s="20">
        <v>633</v>
      </c>
      <c r="C36" s="2" t="s">
        <v>250</v>
      </c>
      <c r="D36" s="20">
        <v>0</v>
      </c>
      <c r="E36" s="26"/>
      <c r="F36" s="26"/>
      <c r="G36" s="29"/>
      <c r="H36" s="27"/>
      <c r="I36" s="27"/>
      <c r="J36" s="23">
        <v>4.7699999999999999E-2</v>
      </c>
      <c r="K36" s="23">
        <v>4.8399999999999999E-2</v>
      </c>
      <c r="L36" s="29"/>
      <c r="M36" s="29"/>
      <c r="N36" s="29"/>
      <c r="O36" s="29"/>
      <c r="P36" s="29"/>
      <c r="Q36" s="29"/>
      <c r="R36" s="29"/>
      <c r="S36" s="29"/>
      <c r="T36" s="29"/>
      <c r="U36" s="29"/>
      <c r="V36" s="29"/>
    </row>
    <row r="37" spans="1:22" ht="15.35" x14ac:dyDescent="0.55000000000000004">
      <c r="A37" s="20">
        <v>639</v>
      </c>
      <c r="C37" s="2" t="s">
        <v>257</v>
      </c>
      <c r="D37" s="20">
        <v>0</v>
      </c>
      <c r="E37" s="26"/>
      <c r="F37" s="26"/>
      <c r="G37" s="29"/>
      <c r="H37" s="27"/>
      <c r="I37" s="27"/>
      <c r="J37" s="23">
        <v>4.4299999999999999E-2</v>
      </c>
      <c r="K37" s="23">
        <v>4.4999999999999998E-2</v>
      </c>
      <c r="L37" s="29"/>
      <c r="M37" s="29"/>
      <c r="N37" s="29"/>
      <c r="O37" s="29"/>
      <c r="P37" s="29"/>
      <c r="Q37" s="29"/>
      <c r="R37" s="29"/>
      <c r="S37" s="29"/>
      <c r="T37" s="29"/>
      <c r="U37" s="29"/>
      <c r="V37" s="29"/>
    </row>
    <row r="38" spans="1:22" ht="15.35" x14ac:dyDescent="0.55000000000000004">
      <c r="A38" s="20">
        <v>637</v>
      </c>
      <c r="C38" s="2" t="s">
        <v>253</v>
      </c>
      <c r="D38" s="20">
        <v>0</v>
      </c>
      <c r="E38" s="26"/>
      <c r="F38" s="26"/>
      <c r="G38" s="29"/>
      <c r="H38" s="27"/>
      <c r="I38" s="27"/>
      <c r="J38" s="23">
        <v>5.9799999999999999E-2</v>
      </c>
      <c r="K38" s="23">
        <v>6.0699999999999997E-2</v>
      </c>
      <c r="L38" s="29"/>
      <c r="M38" s="29"/>
      <c r="N38" s="29"/>
      <c r="O38" s="29"/>
      <c r="P38" s="29"/>
      <c r="Q38" s="29"/>
      <c r="R38" s="29"/>
      <c r="S38" s="29"/>
      <c r="T38" s="29"/>
      <c r="U38" s="29"/>
      <c r="V38" s="29"/>
    </row>
    <row r="39" spans="1:22" ht="15.35" x14ac:dyDescent="0.55000000000000004">
      <c r="A39" s="20">
        <v>638</v>
      </c>
      <c r="C39" s="2" t="s">
        <v>255</v>
      </c>
      <c r="D39" s="20">
        <v>0</v>
      </c>
      <c r="E39" s="26"/>
      <c r="F39" s="26"/>
      <c r="G39" s="29"/>
      <c r="H39" s="27"/>
      <c r="I39" s="27"/>
      <c r="J39" s="23">
        <v>4.9500000000000002E-2</v>
      </c>
      <c r="K39" s="23">
        <v>5.04E-2</v>
      </c>
      <c r="L39" s="29"/>
      <c r="M39" s="29"/>
      <c r="N39" s="29"/>
      <c r="O39" s="29"/>
      <c r="P39" s="29"/>
      <c r="Q39" s="29"/>
      <c r="R39" s="29"/>
      <c r="S39" s="29"/>
      <c r="T39" s="29"/>
      <c r="U39" s="29"/>
      <c r="V39" s="29"/>
    </row>
    <row r="40" spans="1:22" ht="15.35" x14ac:dyDescent="0.55000000000000004">
      <c r="A40" s="20">
        <v>642</v>
      </c>
      <c r="C40" s="2" t="s">
        <v>262</v>
      </c>
      <c r="D40" s="20">
        <v>0</v>
      </c>
      <c r="E40" s="26"/>
      <c r="F40" s="26"/>
      <c r="G40" s="29"/>
      <c r="H40" s="27"/>
      <c r="I40" s="27"/>
      <c r="J40" s="23">
        <v>5.2299999999999999E-2</v>
      </c>
      <c r="K40" s="23">
        <v>5.4800000000000001E-2</v>
      </c>
      <c r="L40" s="29"/>
      <c r="M40" s="29"/>
      <c r="N40" s="29"/>
      <c r="O40" s="29"/>
      <c r="P40" s="29"/>
      <c r="Q40" s="29"/>
      <c r="R40" s="29"/>
      <c r="S40" s="29"/>
      <c r="T40" s="29"/>
      <c r="U40" s="29"/>
      <c r="V40" s="29"/>
    </row>
    <row r="41" spans="1:22" ht="15.35" x14ac:dyDescent="0.55000000000000004">
      <c r="A41" s="20">
        <v>641</v>
      </c>
      <c r="C41" s="2" t="s">
        <v>259</v>
      </c>
      <c r="D41" s="20">
        <v>0</v>
      </c>
      <c r="E41" s="26"/>
      <c r="F41" s="26"/>
      <c r="G41" s="29"/>
      <c r="H41" s="27"/>
      <c r="I41" s="27"/>
      <c r="J41" s="23">
        <v>4.5699999999999998E-2</v>
      </c>
      <c r="K41" s="23">
        <v>4.6399999999999997E-2</v>
      </c>
      <c r="L41" s="29"/>
      <c r="M41" s="29"/>
      <c r="N41" s="29"/>
      <c r="O41" s="29"/>
      <c r="P41" s="29"/>
      <c r="Q41" s="29"/>
      <c r="R41" s="29"/>
      <c r="S41" s="29"/>
      <c r="T41" s="29"/>
      <c r="U41" s="29"/>
      <c r="V41" s="29"/>
    </row>
    <row r="42" spans="1:22" ht="15.35" x14ac:dyDescent="0.55000000000000004">
      <c r="A42" s="20">
        <v>643</v>
      </c>
      <c r="C42" s="2" t="s">
        <v>265</v>
      </c>
      <c r="D42" s="20">
        <v>0</v>
      </c>
      <c r="E42" s="26"/>
      <c r="F42" s="26"/>
      <c r="G42" s="29"/>
      <c r="H42" s="27"/>
      <c r="I42" s="27"/>
      <c r="J42" s="23">
        <v>4.6100000000000002E-2</v>
      </c>
      <c r="K42" s="23">
        <v>4.6899999999999997E-2</v>
      </c>
      <c r="L42" s="29"/>
      <c r="M42" s="29"/>
      <c r="N42" s="29"/>
      <c r="O42" s="29"/>
      <c r="P42" s="29"/>
      <c r="Q42" s="29"/>
      <c r="R42" s="29"/>
      <c r="S42" s="29"/>
      <c r="T42" s="29"/>
      <c r="U42" s="29"/>
      <c r="V42" s="29"/>
    </row>
    <row r="43" spans="1:22" ht="15.35" x14ac:dyDescent="0.55000000000000004">
      <c r="A43" s="20">
        <v>651</v>
      </c>
      <c r="C43" s="2" t="s">
        <v>269</v>
      </c>
      <c r="D43" s="20">
        <v>0</v>
      </c>
      <c r="E43" s="26"/>
      <c r="F43" s="26"/>
      <c r="G43" s="29"/>
      <c r="H43" s="27"/>
      <c r="I43" s="27"/>
      <c r="J43" s="23">
        <v>5.5500000000000001E-2</v>
      </c>
      <c r="K43" s="23">
        <v>4.82E-2</v>
      </c>
      <c r="L43" s="29"/>
      <c r="M43" s="29"/>
      <c r="N43" s="29"/>
      <c r="O43" s="29"/>
      <c r="P43" s="29"/>
      <c r="Q43" s="29"/>
      <c r="R43" s="29"/>
      <c r="S43" s="29"/>
      <c r="T43" s="29"/>
      <c r="U43" s="29"/>
      <c r="V43" s="29"/>
    </row>
    <row r="44" spans="1:22" ht="15.35" x14ac:dyDescent="0.55000000000000004">
      <c r="A44" s="20">
        <v>650</v>
      </c>
      <c r="C44" s="2" t="s">
        <v>267</v>
      </c>
      <c r="D44" s="20">
        <v>0</v>
      </c>
      <c r="E44" s="26"/>
      <c r="F44" s="26"/>
      <c r="G44" s="29"/>
      <c r="H44" s="27"/>
      <c r="I44" s="27"/>
      <c r="J44" s="23">
        <v>4.6399999999999997E-2</v>
      </c>
      <c r="K44" s="23">
        <v>5.3999999999999999E-2</v>
      </c>
      <c r="L44" s="29"/>
      <c r="M44" s="29"/>
      <c r="N44" s="29"/>
      <c r="O44" s="29"/>
      <c r="P44" s="29"/>
      <c r="Q44" s="29"/>
      <c r="R44" s="29"/>
      <c r="S44" s="29"/>
      <c r="T44" s="29"/>
      <c r="U44" s="29"/>
      <c r="V44" s="29"/>
    </row>
    <row r="45" spans="1:22" ht="15.35" x14ac:dyDescent="0.55000000000000004">
      <c r="A45" s="20">
        <v>652</v>
      </c>
      <c r="C45" s="2" t="s">
        <v>271</v>
      </c>
      <c r="D45" s="20">
        <v>0</v>
      </c>
      <c r="E45" s="26"/>
      <c r="F45" s="26"/>
      <c r="G45" s="29"/>
      <c r="H45" s="27"/>
      <c r="I45" s="27"/>
      <c r="J45" s="23">
        <v>4.7899999999999998E-2</v>
      </c>
      <c r="K45" s="23">
        <v>4.7500000000000001E-2</v>
      </c>
      <c r="L45" s="29"/>
      <c r="M45" s="29"/>
      <c r="N45" s="29"/>
      <c r="O45" s="29"/>
      <c r="P45" s="29"/>
      <c r="Q45" s="29"/>
      <c r="R45" s="29"/>
      <c r="S45" s="29"/>
      <c r="T45" s="29"/>
      <c r="U45" s="29"/>
      <c r="V45" s="29"/>
    </row>
    <row r="46" spans="1:22" ht="15.35" x14ac:dyDescent="0.55000000000000004">
      <c r="A46" s="20">
        <v>653</v>
      </c>
      <c r="C46" s="2" t="s">
        <v>274</v>
      </c>
      <c r="D46" s="20">
        <v>0</v>
      </c>
      <c r="E46" s="26"/>
      <c r="F46" s="26"/>
      <c r="G46" s="29"/>
      <c r="H46" s="27"/>
      <c r="I46" s="27"/>
      <c r="J46" s="23">
        <v>0.04</v>
      </c>
      <c r="K46" s="23">
        <v>5.3600000000000002E-2</v>
      </c>
      <c r="L46" s="29"/>
      <c r="M46" s="29"/>
      <c r="N46" s="29"/>
      <c r="O46" s="29"/>
      <c r="P46" s="29"/>
      <c r="Q46" s="29"/>
      <c r="R46" s="29"/>
      <c r="S46" s="29"/>
      <c r="T46" s="29"/>
      <c r="U46" s="29"/>
      <c r="V46" s="29"/>
    </row>
    <row r="47" spans="1:22" ht="15.35" x14ac:dyDescent="0.55000000000000004">
      <c r="A47" s="20">
        <v>655</v>
      </c>
      <c r="C47" s="2" t="s">
        <v>276</v>
      </c>
      <c r="D47" s="20">
        <v>0</v>
      </c>
      <c r="E47" s="26"/>
      <c r="F47" s="26"/>
      <c r="G47" s="29"/>
      <c r="H47" s="27"/>
      <c r="I47" s="27"/>
      <c r="J47" s="23">
        <v>5.7799999999999997E-2</v>
      </c>
      <c r="K47" s="23">
        <v>5.8099999999999999E-2</v>
      </c>
      <c r="L47" s="29"/>
      <c r="M47" s="29"/>
      <c r="N47" s="29"/>
      <c r="O47" s="29"/>
      <c r="P47" s="29"/>
      <c r="Q47" s="29"/>
      <c r="R47" s="29"/>
      <c r="S47" s="29"/>
      <c r="T47" s="29"/>
      <c r="U47" s="29"/>
      <c r="V47" s="29"/>
    </row>
    <row r="48" spans="1:22" ht="15.35" x14ac:dyDescent="0.55000000000000004">
      <c r="A48" s="20">
        <v>656</v>
      </c>
      <c r="C48" s="2" t="s">
        <v>279</v>
      </c>
      <c r="D48" s="20">
        <v>0</v>
      </c>
      <c r="E48" s="26"/>
      <c r="F48" s="26"/>
      <c r="G48" s="29"/>
      <c r="H48" s="27"/>
      <c r="I48" s="27"/>
      <c r="J48" s="23">
        <v>5.0700000000000002E-2</v>
      </c>
      <c r="K48" s="23">
        <v>5.0200000000000002E-2</v>
      </c>
      <c r="L48" s="29"/>
      <c r="M48" s="29"/>
      <c r="N48" s="29"/>
      <c r="O48" s="29"/>
      <c r="P48" s="29"/>
      <c r="Q48" s="29"/>
      <c r="R48" s="29"/>
      <c r="S48" s="29"/>
      <c r="T48" s="29"/>
      <c r="U48" s="29"/>
      <c r="V48" s="29"/>
    </row>
  </sheetData>
  <autoFilter ref="A2:V48" xr:uid="{00000000-0009-0000-0000-000004000000}"/>
  <mergeCells count="1">
    <mergeCell ref="B1:C1"/>
  </mergeCells>
  <phoneticPr fontId="17" type="noConversion"/>
  <hyperlinks>
    <hyperlink ref="B1" location="'数据概览'!A1" tooltip="返回数据概览" display="⬅ 返回数据概览" xr:uid="{00000000-0004-0000-0400-000000000000}"/>
  </hyperlink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dimension ref="A1:L94"/>
  <sheetViews>
    <sheetView workbookViewId="0">
      <pane xSplit="3" ySplit="2" topLeftCell="D11" activePane="bottomRight" state="frozen"/>
      <selection pane="topRight"/>
      <selection pane="bottomLeft"/>
      <selection pane="bottomRight" activeCell="A11" sqref="A11:XFD12"/>
    </sheetView>
  </sheetViews>
  <sheetFormatPr defaultRowHeight="14.35" x14ac:dyDescent="0.4"/>
  <cols>
    <col min="1" max="1" width="5" hidden="1" customWidth="1"/>
    <col min="2" max="2" width="8" customWidth="1"/>
    <col min="3" max="3" width="26" customWidth="1"/>
    <col min="4" max="4" width="6" customWidth="1"/>
    <col min="5" max="5" width="24.05859375" customWidth="1"/>
    <col min="6" max="6" width="6" customWidth="1"/>
    <col min="7" max="7" width="9" customWidth="1"/>
    <col min="8" max="9" width="11" customWidth="1"/>
    <col min="10" max="10" width="7" customWidth="1"/>
    <col min="11" max="12" width="12" customWidth="1"/>
  </cols>
  <sheetData>
    <row r="1" spans="1:12" ht="15.35" x14ac:dyDescent="0.55000000000000004">
      <c r="B1" s="61" t="s">
        <v>87</v>
      </c>
      <c r="C1" s="62"/>
    </row>
    <row r="2" spans="1:12" ht="45" customHeight="1" x14ac:dyDescent="0.4">
      <c r="A2" s="6" t="s">
        <v>88</v>
      </c>
      <c r="B2" s="6" t="s">
        <v>89</v>
      </c>
      <c r="C2" s="6" t="s">
        <v>90</v>
      </c>
      <c r="D2" s="6" t="s">
        <v>92</v>
      </c>
      <c r="E2" s="6" t="s">
        <v>91</v>
      </c>
      <c r="F2" s="6" t="s">
        <v>744</v>
      </c>
      <c r="G2" s="6" t="s">
        <v>745</v>
      </c>
      <c r="H2" s="6" t="s">
        <v>746</v>
      </c>
      <c r="I2" s="6" t="s">
        <v>747</v>
      </c>
      <c r="J2" s="6" t="s">
        <v>748</v>
      </c>
      <c r="K2" s="6" t="s">
        <v>749</v>
      </c>
      <c r="L2" s="6" t="s">
        <v>750</v>
      </c>
    </row>
    <row r="3" spans="1:12" ht="15.35" hidden="1" x14ac:dyDescent="0.55000000000000004">
      <c r="A3" s="20">
        <v>474</v>
      </c>
      <c r="B3" s="2" t="s">
        <v>128</v>
      </c>
      <c r="C3" s="2" t="s">
        <v>129</v>
      </c>
      <c r="D3" s="20">
        <v>0</v>
      </c>
      <c r="E3" s="2" t="s">
        <v>130</v>
      </c>
      <c r="F3" s="20">
        <v>2024</v>
      </c>
      <c r="G3" s="2" t="s">
        <v>751</v>
      </c>
      <c r="H3" s="21">
        <v>13172.46</v>
      </c>
      <c r="I3" s="21">
        <v>13172.46</v>
      </c>
      <c r="J3" s="23">
        <v>5.6500000000000002E-2</v>
      </c>
      <c r="K3" s="2" t="s">
        <v>721</v>
      </c>
      <c r="L3" s="25">
        <v>45463</v>
      </c>
    </row>
    <row r="4" spans="1:12" ht="15.35" hidden="1" x14ac:dyDescent="0.55000000000000004">
      <c r="A4" s="20">
        <v>474</v>
      </c>
      <c r="B4" s="2" t="s">
        <v>128</v>
      </c>
      <c r="C4" s="2" t="s">
        <v>129</v>
      </c>
      <c r="D4" s="20">
        <v>0</v>
      </c>
      <c r="E4" s="2" t="s">
        <v>130</v>
      </c>
      <c r="F4" s="20">
        <v>2025</v>
      </c>
      <c r="G4" s="2" t="s">
        <v>751</v>
      </c>
      <c r="H4" s="21">
        <v>14503.06</v>
      </c>
      <c r="I4" s="21">
        <v>14503.06</v>
      </c>
      <c r="J4" s="23">
        <v>6.2199999999999998E-2</v>
      </c>
      <c r="K4" s="2" t="s">
        <v>721</v>
      </c>
      <c r="L4" s="25">
        <v>45463</v>
      </c>
    </row>
    <row r="5" spans="1:12" ht="15.35" hidden="1" x14ac:dyDescent="0.55000000000000004">
      <c r="A5" s="20">
        <v>476</v>
      </c>
      <c r="B5" s="2" t="s">
        <v>135</v>
      </c>
      <c r="C5" s="2" t="s">
        <v>136</v>
      </c>
      <c r="D5" s="20">
        <v>0</v>
      </c>
      <c r="E5" s="2" t="s">
        <v>137</v>
      </c>
      <c r="F5" s="20">
        <v>2024</v>
      </c>
      <c r="G5" s="2" t="s">
        <v>752</v>
      </c>
      <c r="H5" s="21">
        <v>8085.69</v>
      </c>
      <c r="I5" s="21">
        <v>10780.92</v>
      </c>
      <c r="J5" s="23">
        <v>5.4600000000000003E-2</v>
      </c>
      <c r="K5" s="2" t="s">
        <v>721</v>
      </c>
      <c r="L5" s="25">
        <v>45503</v>
      </c>
    </row>
    <row r="6" spans="1:12" ht="15.35" hidden="1" x14ac:dyDescent="0.55000000000000004">
      <c r="A6" s="20">
        <v>476</v>
      </c>
      <c r="B6" s="2" t="s">
        <v>135</v>
      </c>
      <c r="C6" s="2" t="s">
        <v>136</v>
      </c>
      <c r="D6" s="20">
        <v>0</v>
      </c>
      <c r="E6" s="2" t="s">
        <v>137</v>
      </c>
      <c r="F6" s="20">
        <v>2025</v>
      </c>
      <c r="G6" s="2" t="s">
        <v>751</v>
      </c>
      <c r="H6" s="21">
        <v>11529.42</v>
      </c>
      <c r="I6" s="21">
        <v>11529.42</v>
      </c>
      <c r="J6" s="23">
        <v>5.8400000000000001E-2</v>
      </c>
      <c r="K6" s="2" t="s">
        <v>721</v>
      </c>
      <c r="L6" s="25">
        <v>45503</v>
      </c>
    </row>
    <row r="7" spans="1:12" ht="15.35" hidden="1" x14ac:dyDescent="0.55000000000000004">
      <c r="A7" s="20">
        <v>482</v>
      </c>
      <c r="B7" s="2" t="s">
        <v>140</v>
      </c>
      <c r="C7" s="2" t="s">
        <v>141</v>
      </c>
      <c r="D7" s="20">
        <v>0</v>
      </c>
      <c r="E7" s="2" t="s">
        <v>142</v>
      </c>
      <c r="F7" s="20">
        <v>2023</v>
      </c>
      <c r="G7" s="2" t="s">
        <v>753</v>
      </c>
      <c r="H7" s="21">
        <v>2780.34</v>
      </c>
      <c r="I7" s="21">
        <v>5560.68</v>
      </c>
      <c r="J7" s="23">
        <v>5.5399999999999998E-2</v>
      </c>
      <c r="K7" s="2" t="s">
        <v>721</v>
      </c>
      <c r="L7" s="25">
        <v>45285</v>
      </c>
    </row>
    <row r="8" spans="1:12" ht="15.35" hidden="1" x14ac:dyDescent="0.55000000000000004">
      <c r="A8" s="20">
        <v>482</v>
      </c>
      <c r="B8" s="2" t="s">
        <v>140</v>
      </c>
      <c r="C8" s="2" t="s">
        <v>141</v>
      </c>
      <c r="D8" s="20">
        <v>0</v>
      </c>
      <c r="E8" s="2" t="s">
        <v>142</v>
      </c>
      <c r="F8" s="20">
        <v>2024</v>
      </c>
      <c r="G8" s="2" t="s">
        <v>751</v>
      </c>
      <c r="H8" s="21">
        <v>6699.55</v>
      </c>
      <c r="I8" s="21">
        <v>6699.55</v>
      </c>
      <c r="J8" s="23">
        <v>6.6799999999999998E-2</v>
      </c>
      <c r="K8" s="2" t="s">
        <v>721</v>
      </c>
      <c r="L8" s="25">
        <v>45285</v>
      </c>
    </row>
    <row r="9" spans="1:12" ht="15.35" hidden="1" x14ac:dyDescent="0.55000000000000004">
      <c r="A9" s="20">
        <v>485</v>
      </c>
      <c r="B9" s="2" t="s">
        <v>144</v>
      </c>
      <c r="C9" s="2" t="s">
        <v>145</v>
      </c>
      <c r="D9" s="20">
        <v>0</v>
      </c>
      <c r="E9" s="2" t="s">
        <v>146</v>
      </c>
      <c r="F9" s="20">
        <v>2023</v>
      </c>
      <c r="G9" s="2" t="s">
        <v>754</v>
      </c>
      <c r="H9" s="21">
        <v>847.49</v>
      </c>
      <c r="I9" s="21">
        <v>5084.92</v>
      </c>
      <c r="J9" s="23">
        <v>4.7500000000000001E-2</v>
      </c>
      <c r="K9" s="2" t="s">
        <v>721</v>
      </c>
      <c r="L9" s="25">
        <v>45327</v>
      </c>
    </row>
    <row r="10" spans="1:12" ht="15.35" hidden="1" x14ac:dyDescent="0.55000000000000004">
      <c r="A10" s="20">
        <v>485</v>
      </c>
      <c r="B10" s="2" t="s">
        <v>144</v>
      </c>
      <c r="C10" s="2" t="s">
        <v>145</v>
      </c>
      <c r="D10" s="20">
        <v>0</v>
      </c>
      <c r="E10" s="2" t="s">
        <v>146</v>
      </c>
      <c r="F10" s="20">
        <v>2024</v>
      </c>
      <c r="G10" s="2" t="s">
        <v>751</v>
      </c>
      <c r="H10" s="21">
        <v>5254.29</v>
      </c>
      <c r="I10" s="21">
        <v>5254.29</v>
      </c>
      <c r="J10" s="23">
        <v>4.9200000000000001E-2</v>
      </c>
      <c r="K10" s="2" t="s">
        <v>721</v>
      </c>
      <c r="L10" s="25">
        <v>45327</v>
      </c>
    </row>
    <row r="11" spans="1:12" s="58" customFormat="1" ht="15.35" x14ac:dyDescent="0.55000000000000004">
      <c r="A11" s="20">
        <v>512</v>
      </c>
      <c r="B11" s="54" t="s">
        <v>148</v>
      </c>
      <c r="C11" s="54" t="s">
        <v>149</v>
      </c>
      <c r="D11" s="53">
        <v>0</v>
      </c>
      <c r="E11" s="54" t="s">
        <v>150</v>
      </c>
      <c r="F11" s="53">
        <v>2024</v>
      </c>
      <c r="G11" s="54" t="s">
        <v>751</v>
      </c>
      <c r="H11" s="56">
        <v>34112.400000000001</v>
      </c>
      <c r="I11" s="56">
        <v>34112.400000000001</v>
      </c>
      <c r="J11" s="57">
        <v>4.9299999999999997E-2</v>
      </c>
      <c r="K11" s="54" t="s">
        <v>721</v>
      </c>
      <c r="L11" s="55">
        <v>45310</v>
      </c>
    </row>
    <row r="12" spans="1:12" s="58" customFormat="1" ht="15.35" x14ac:dyDescent="0.55000000000000004">
      <c r="A12" s="20">
        <v>512</v>
      </c>
      <c r="B12" s="54" t="s">
        <v>148</v>
      </c>
      <c r="C12" s="54" t="s">
        <v>149</v>
      </c>
      <c r="D12" s="53">
        <v>0</v>
      </c>
      <c r="E12" s="54" t="s">
        <v>150</v>
      </c>
      <c r="F12" s="53">
        <v>2025</v>
      </c>
      <c r="G12" s="54" t="s">
        <v>751</v>
      </c>
      <c r="H12" s="56">
        <v>36489.760000000002</v>
      </c>
      <c r="I12" s="56">
        <v>36489.760000000002</v>
      </c>
      <c r="J12" s="57">
        <v>5.2699999999999997E-2</v>
      </c>
      <c r="K12" s="54" t="s">
        <v>721</v>
      </c>
      <c r="L12" s="55">
        <v>45310</v>
      </c>
    </row>
    <row r="13" spans="1:12" ht="15.35" hidden="1" x14ac:dyDescent="0.55000000000000004">
      <c r="A13" s="20">
        <v>513</v>
      </c>
      <c r="B13" s="2" t="s">
        <v>153</v>
      </c>
      <c r="C13" s="2" t="s">
        <v>154</v>
      </c>
      <c r="D13" s="20">
        <v>0</v>
      </c>
      <c r="E13" s="2" t="s">
        <v>155</v>
      </c>
      <c r="F13" s="20">
        <v>2023</v>
      </c>
      <c r="G13" s="2" t="s">
        <v>755</v>
      </c>
      <c r="H13" s="21">
        <v>3601.06</v>
      </c>
      <c r="I13" s="21">
        <v>14404.22</v>
      </c>
      <c r="J13" s="23">
        <v>4.2500000000000003E-2</v>
      </c>
      <c r="K13" s="2" t="s">
        <v>721</v>
      </c>
      <c r="L13" s="25">
        <v>45371</v>
      </c>
    </row>
    <row r="14" spans="1:12" ht="15.35" hidden="1" x14ac:dyDescent="0.55000000000000004">
      <c r="A14" s="20">
        <v>513</v>
      </c>
      <c r="B14" s="2" t="s">
        <v>153</v>
      </c>
      <c r="C14" s="2" t="s">
        <v>154</v>
      </c>
      <c r="D14" s="20">
        <v>0</v>
      </c>
      <c r="E14" s="2" t="s">
        <v>155</v>
      </c>
      <c r="F14" s="20">
        <v>2024</v>
      </c>
      <c r="G14" s="2" t="s">
        <v>751</v>
      </c>
      <c r="H14" s="21">
        <v>16982.259999999998</v>
      </c>
      <c r="I14" s="21">
        <v>16982.259999999998</v>
      </c>
      <c r="J14" s="23">
        <v>5.0500000000000003E-2</v>
      </c>
      <c r="K14" s="2" t="s">
        <v>721</v>
      </c>
      <c r="L14" s="25">
        <v>45371</v>
      </c>
    </row>
    <row r="15" spans="1:12" ht="15.35" hidden="1" x14ac:dyDescent="0.55000000000000004">
      <c r="A15" s="20">
        <v>514</v>
      </c>
      <c r="B15" s="2" t="s">
        <v>157</v>
      </c>
      <c r="C15" s="2" t="s">
        <v>158</v>
      </c>
      <c r="D15" s="20">
        <v>0</v>
      </c>
      <c r="E15" s="2" t="s">
        <v>159</v>
      </c>
      <c r="F15" s="20">
        <v>2024</v>
      </c>
      <c r="G15" s="2" t="s">
        <v>753</v>
      </c>
      <c r="H15" s="21">
        <v>8720.77</v>
      </c>
      <c r="I15" s="21">
        <v>17441.55</v>
      </c>
      <c r="J15" s="23">
        <v>5.2499999999999998E-2</v>
      </c>
      <c r="K15" s="2" t="s">
        <v>721</v>
      </c>
      <c r="L15" s="25">
        <v>45528</v>
      </c>
    </row>
    <row r="16" spans="1:12" ht="15.35" hidden="1" x14ac:dyDescent="0.55000000000000004">
      <c r="A16" s="20">
        <v>514</v>
      </c>
      <c r="B16" s="2" t="s">
        <v>157</v>
      </c>
      <c r="C16" s="2" t="s">
        <v>158</v>
      </c>
      <c r="D16" s="20">
        <v>0</v>
      </c>
      <c r="E16" s="2" t="s">
        <v>159</v>
      </c>
      <c r="F16" s="20">
        <v>2025</v>
      </c>
      <c r="G16" s="2" t="s">
        <v>751</v>
      </c>
      <c r="H16" s="21">
        <v>17698.02</v>
      </c>
      <c r="I16" s="21">
        <v>17698.02</v>
      </c>
      <c r="J16" s="23">
        <v>5.3600000000000002E-2</v>
      </c>
      <c r="K16" s="2" t="s">
        <v>721</v>
      </c>
      <c r="L16" s="25">
        <v>45528</v>
      </c>
    </row>
    <row r="17" spans="1:12" ht="15.35" hidden="1" x14ac:dyDescent="0.55000000000000004">
      <c r="A17" s="20">
        <v>515</v>
      </c>
      <c r="B17" s="2" t="s">
        <v>161</v>
      </c>
      <c r="C17" s="2" t="s">
        <v>162</v>
      </c>
      <c r="D17" s="20">
        <v>0</v>
      </c>
      <c r="E17" s="2" t="s">
        <v>163</v>
      </c>
      <c r="F17" s="20">
        <v>2024</v>
      </c>
      <c r="G17" s="2" t="s">
        <v>753</v>
      </c>
      <c r="H17" s="21">
        <v>4906.5600000000004</v>
      </c>
      <c r="I17" s="21">
        <v>9813.1200000000008</v>
      </c>
      <c r="J17" s="23">
        <v>6.6100000000000006E-2</v>
      </c>
      <c r="K17" s="2" t="s">
        <v>721</v>
      </c>
      <c r="L17" s="25">
        <v>45651</v>
      </c>
    </row>
    <row r="18" spans="1:12" ht="15.35" hidden="1" x14ac:dyDescent="0.55000000000000004">
      <c r="A18" s="20">
        <v>515</v>
      </c>
      <c r="B18" s="2" t="s">
        <v>161</v>
      </c>
      <c r="C18" s="2" t="s">
        <v>162</v>
      </c>
      <c r="D18" s="20">
        <v>0</v>
      </c>
      <c r="E18" s="2" t="s">
        <v>163</v>
      </c>
      <c r="F18" s="20">
        <v>2025</v>
      </c>
      <c r="G18" s="2" t="s">
        <v>751</v>
      </c>
      <c r="H18" s="21">
        <v>9270.99</v>
      </c>
      <c r="I18" s="21">
        <v>9270.99</v>
      </c>
      <c r="J18" s="23">
        <v>6.25E-2</v>
      </c>
      <c r="K18" s="2" t="s">
        <v>721</v>
      </c>
      <c r="L18" s="25">
        <v>45651</v>
      </c>
    </row>
    <row r="19" spans="1:12" ht="15.35" hidden="1" x14ac:dyDescent="0.55000000000000004">
      <c r="A19" s="20">
        <v>516</v>
      </c>
      <c r="B19" s="2" t="s">
        <v>166</v>
      </c>
      <c r="C19" s="2" t="s">
        <v>167</v>
      </c>
      <c r="D19" s="20">
        <v>0</v>
      </c>
      <c r="E19" s="2" t="s">
        <v>168</v>
      </c>
      <c r="F19" s="20">
        <v>2025</v>
      </c>
      <c r="G19" s="2" t="s">
        <v>751</v>
      </c>
      <c r="H19" s="21">
        <v>7573.04</v>
      </c>
      <c r="I19" s="21">
        <v>7573.04</v>
      </c>
      <c r="J19" s="23">
        <v>4.9500000000000002E-2</v>
      </c>
      <c r="K19" s="2" t="s">
        <v>721</v>
      </c>
      <c r="L19" s="25">
        <v>45812</v>
      </c>
    </row>
    <row r="20" spans="1:12" ht="15.35" hidden="1" x14ac:dyDescent="0.55000000000000004">
      <c r="A20" s="20">
        <v>516</v>
      </c>
      <c r="B20" s="2" t="s">
        <v>166</v>
      </c>
      <c r="C20" s="2" t="s">
        <v>167</v>
      </c>
      <c r="D20" s="20">
        <v>0</v>
      </c>
      <c r="E20" s="2" t="s">
        <v>168</v>
      </c>
      <c r="F20" s="20">
        <v>2026</v>
      </c>
      <c r="G20" s="2" t="s">
        <v>751</v>
      </c>
      <c r="H20" s="21">
        <v>7642.68</v>
      </c>
      <c r="I20" s="21">
        <v>7642.68</v>
      </c>
      <c r="J20" s="23">
        <v>0.05</v>
      </c>
      <c r="K20" s="2" t="s">
        <v>721</v>
      </c>
      <c r="L20" s="25">
        <v>45812</v>
      </c>
    </row>
    <row r="21" spans="1:12" ht="15.35" hidden="1" x14ac:dyDescent="0.55000000000000004">
      <c r="A21" s="20">
        <v>569</v>
      </c>
      <c r="B21" s="2" t="s">
        <v>169</v>
      </c>
      <c r="C21" s="2" t="s">
        <v>170</v>
      </c>
      <c r="D21" s="20">
        <v>0</v>
      </c>
      <c r="E21" s="2" t="s">
        <v>171</v>
      </c>
      <c r="F21" s="20">
        <v>2025</v>
      </c>
      <c r="G21" s="2" t="s">
        <v>752</v>
      </c>
      <c r="H21" s="21">
        <v>7585.16</v>
      </c>
      <c r="I21" s="21">
        <v>10113.540000000001</v>
      </c>
      <c r="J21" s="23">
        <v>4.7100000000000003E-2</v>
      </c>
      <c r="K21" s="2" t="s">
        <v>721</v>
      </c>
      <c r="L21" s="25">
        <v>45901</v>
      </c>
    </row>
    <row r="22" spans="1:12" ht="15.35" hidden="1" x14ac:dyDescent="0.55000000000000004">
      <c r="A22" s="20">
        <v>569</v>
      </c>
      <c r="B22" s="2" t="s">
        <v>169</v>
      </c>
      <c r="C22" s="2" t="s">
        <v>170</v>
      </c>
      <c r="D22" s="20">
        <v>0</v>
      </c>
      <c r="E22" s="2" t="s">
        <v>171</v>
      </c>
      <c r="F22" s="20">
        <v>2026</v>
      </c>
      <c r="G22" s="2" t="s">
        <v>751</v>
      </c>
      <c r="H22" s="21">
        <v>10350.58</v>
      </c>
      <c r="I22" s="21">
        <v>10350.58</v>
      </c>
      <c r="J22" s="23">
        <v>4.8399999999999999E-2</v>
      </c>
      <c r="K22" s="2" t="s">
        <v>721</v>
      </c>
      <c r="L22" s="25">
        <v>45901</v>
      </c>
    </row>
    <row r="23" spans="1:12" ht="15.35" hidden="1" x14ac:dyDescent="0.55000000000000004">
      <c r="A23" s="20">
        <v>582</v>
      </c>
      <c r="B23" s="2" t="s">
        <v>173</v>
      </c>
      <c r="C23" s="2" t="s">
        <v>174</v>
      </c>
      <c r="D23" s="20">
        <v>0</v>
      </c>
      <c r="E23" s="2" t="s">
        <v>175</v>
      </c>
      <c r="F23" s="20">
        <v>2025</v>
      </c>
      <c r="G23" s="2" t="s">
        <v>752</v>
      </c>
      <c r="H23" s="21">
        <v>4780.43</v>
      </c>
      <c r="I23" s="21">
        <v>6373.91</v>
      </c>
      <c r="J23" s="23">
        <v>4.7699999999999999E-2</v>
      </c>
      <c r="K23" s="2" t="s">
        <v>721</v>
      </c>
      <c r="L23" s="25">
        <v>45930</v>
      </c>
    </row>
    <row r="24" spans="1:12" ht="15.35" hidden="1" x14ac:dyDescent="0.55000000000000004">
      <c r="A24" s="20">
        <v>582</v>
      </c>
      <c r="B24" s="2" t="s">
        <v>173</v>
      </c>
      <c r="C24" s="2" t="s">
        <v>174</v>
      </c>
      <c r="D24" s="20">
        <v>0</v>
      </c>
      <c r="E24" s="2" t="s">
        <v>175</v>
      </c>
      <c r="F24" s="20">
        <v>2026</v>
      </c>
      <c r="G24" s="2" t="s">
        <v>751</v>
      </c>
      <c r="H24" s="21">
        <v>6673.82</v>
      </c>
      <c r="I24" s="21">
        <v>6673.82</v>
      </c>
      <c r="J24" s="23">
        <v>5.0200000000000002E-2</v>
      </c>
      <c r="K24" s="2" t="s">
        <v>721</v>
      </c>
      <c r="L24" s="25">
        <v>45930</v>
      </c>
    </row>
    <row r="25" spans="1:12" ht="15.35" hidden="1" x14ac:dyDescent="0.55000000000000004">
      <c r="A25" s="20">
        <v>585</v>
      </c>
      <c r="B25" s="2" t="s">
        <v>176</v>
      </c>
      <c r="C25" s="2" t="s">
        <v>177</v>
      </c>
      <c r="D25" s="20">
        <v>0</v>
      </c>
      <c r="E25" s="2" t="s">
        <v>178</v>
      </c>
      <c r="F25" s="20">
        <v>2025</v>
      </c>
      <c r="G25" s="2" t="s">
        <v>752</v>
      </c>
      <c r="H25" s="21">
        <v>11328.64</v>
      </c>
      <c r="I25" s="21">
        <v>15104.85</v>
      </c>
      <c r="J25" s="23">
        <v>5.21E-2</v>
      </c>
      <c r="K25" s="2" t="s">
        <v>721</v>
      </c>
      <c r="L25" s="25">
        <v>45877</v>
      </c>
    </row>
    <row r="26" spans="1:12" ht="15.35" hidden="1" x14ac:dyDescent="0.55000000000000004">
      <c r="A26" s="20">
        <v>585</v>
      </c>
      <c r="B26" s="2" t="s">
        <v>176</v>
      </c>
      <c r="C26" s="2" t="s">
        <v>177</v>
      </c>
      <c r="D26" s="20">
        <v>0</v>
      </c>
      <c r="E26" s="2" t="s">
        <v>178</v>
      </c>
      <c r="F26" s="20">
        <v>2026</v>
      </c>
      <c r="G26" s="2" t="s">
        <v>751</v>
      </c>
      <c r="H26" s="21">
        <v>16382.2</v>
      </c>
      <c r="I26" s="21">
        <v>16382.2</v>
      </c>
      <c r="J26" s="23">
        <v>5.6500000000000002E-2</v>
      </c>
      <c r="K26" s="2" t="s">
        <v>721</v>
      </c>
      <c r="L26" s="25">
        <v>45877</v>
      </c>
    </row>
    <row r="27" spans="1:12" ht="15.35" hidden="1" x14ac:dyDescent="0.55000000000000004">
      <c r="A27" s="20">
        <v>603</v>
      </c>
      <c r="B27" s="2" t="s">
        <v>180</v>
      </c>
      <c r="C27" s="2" t="s">
        <v>181</v>
      </c>
      <c r="D27" s="20">
        <v>0</v>
      </c>
      <c r="E27" s="2" t="s">
        <v>182</v>
      </c>
      <c r="F27" s="20">
        <v>2026</v>
      </c>
      <c r="G27" s="2" t="s">
        <v>751</v>
      </c>
      <c r="H27" s="21">
        <v>27454.11</v>
      </c>
      <c r="I27" s="21">
        <v>27454.11</v>
      </c>
      <c r="J27" s="23">
        <v>5.4600000000000003E-2</v>
      </c>
      <c r="K27" s="2" t="s">
        <v>721</v>
      </c>
      <c r="L27" s="25">
        <v>46157</v>
      </c>
    </row>
    <row r="28" spans="1:12" ht="15.35" hidden="1" x14ac:dyDescent="0.55000000000000004">
      <c r="A28" s="20">
        <v>603</v>
      </c>
      <c r="B28" s="2" t="s">
        <v>180</v>
      </c>
      <c r="C28" s="2" t="s">
        <v>181</v>
      </c>
      <c r="D28" s="20">
        <v>0</v>
      </c>
      <c r="E28" s="2" t="s">
        <v>182</v>
      </c>
      <c r="F28" s="20">
        <v>2027</v>
      </c>
      <c r="G28" s="2" t="s">
        <v>751</v>
      </c>
      <c r="H28" s="21">
        <v>29175.29</v>
      </c>
      <c r="I28" s="21">
        <v>29175.29</v>
      </c>
      <c r="J28" s="23">
        <v>5.8000000000000003E-2</v>
      </c>
      <c r="K28" s="2" t="s">
        <v>721</v>
      </c>
      <c r="L28" s="25">
        <v>46157</v>
      </c>
    </row>
    <row r="29" spans="1:12" ht="15.35" hidden="1" x14ac:dyDescent="0.55000000000000004">
      <c r="A29" s="20">
        <v>605</v>
      </c>
      <c r="B29" s="2" t="s">
        <v>184</v>
      </c>
      <c r="C29" s="2" t="s">
        <v>185</v>
      </c>
      <c r="D29" s="20">
        <v>0</v>
      </c>
      <c r="E29" s="2" t="s">
        <v>186</v>
      </c>
      <c r="F29" s="20">
        <v>2026</v>
      </c>
      <c r="G29" s="2" t="s">
        <v>751</v>
      </c>
      <c r="H29" s="21">
        <v>33867.81</v>
      </c>
      <c r="I29" s="21">
        <v>33867.81</v>
      </c>
      <c r="J29" s="23">
        <v>4.8399999999999999E-2</v>
      </c>
      <c r="K29" s="2" t="s">
        <v>721</v>
      </c>
      <c r="L29" s="25">
        <v>46156</v>
      </c>
    </row>
    <row r="30" spans="1:12" ht="15.35" hidden="1" x14ac:dyDescent="0.55000000000000004">
      <c r="A30" s="20">
        <v>605</v>
      </c>
      <c r="B30" s="2" t="s">
        <v>184</v>
      </c>
      <c r="C30" s="2" t="s">
        <v>185</v>
      </c>
      <c r="D30" s="20">
        <v>0</v>
      </c>
      <c r="E30" s="2" t="s">
        <v>186</v>
      </c>
      <c r="F30" s="20">
        <v>2027</v>
      </c>
      <c r="G30" s="2" t="s">
        <v>751</v>
      </c>
      <c r="H30" s="21">
        <v>35825.53</v>
      </c>
      <c r="I30" s="21">
        <v>35825.53</v>
      </c>
      <c r="J30" s="23">
        <v>5.1200000000000002E-2</v>
      </c>
      <c r="K30" s="2" t="s">
        <v>721</v>
      </c>
      <c r="L30" s="25">
        <v>46156</v>
      </c>
    </row>
    <row r="31" spans="1:12" ht="15.35" hidden="1" x14ac:dyDescent="0.55000000000000004">
      <c r="A31" s="20">
        <v>607</v>
      </c>
      <c r="B31" s="2" t="s">
        <v>188</v>
      </c>
      <c r="C31" s="2" t="s">
        <v>189</v>
      </c>
      <c r="D31" s="20">
        <v>0</v>
      </c>
      <c r="E31" s="2" t="s">
        <v>190</v>
      </c>
      <c r="F31" s="20">
        <v>2026</v>
      </c>
      <c r="G31" s="2" t="s">
        <v>752</v>
      </c>
      <c r="H31" s="21">
        <v>6890.44</v>
      </c>
      <c r="I31" s="21">
        <v>9187.26</v>
      </c>
      <c r="J31" s="23">
        <v>5.0700000000000002E-2</v>
      </c>
      <c r="K31" s="2" t="s">
        <v>724</v>
      </c>
      <c r="L31" s="25">
        <v>46289</v>
      </c>
    </row>
    <row r="32" spans="1:12" ht="15.35" hidden="1" x14ac:dyDescent="0.55000000000000004">
      <c r="A32" s="20">
        <v>607</v>
      </c>
      <c r="B32" s="2" t="s">
        <v>188</v>
      </c>
      <c r="C32" s="2" t="s">
        <v>189</v>
      </c>
      <c r="D32" s="20">
        <v>0</v>
      </c>
      <c r="E32" s="2" t="s">
        <v>190</v>
      </c>
      <c r="F32" s="20">
        <v>2027</v>
      </c>
      <c r="G32" s="2" t="s">
        <v>751</v>
      </c>
      <c r="H32" s="21">
        <v>9104.5499999999993</v>
      </c>
      <c r="I32" s="21">
        <v>9104.5499999999993</v>
      </c>
      <c r="J32" s="23">
        <v>5.0200000000000002E-2</v>
      </c>
      <c r="K32" s="2" t="s">
        <v>724</v>
      </c>
      <c r="L32" s="25">
        <v>46289</v>
      </c>
    </row>
    <row r="33" spans="1:12" ht="15.35" hidden="1" x14ac:dyDescent="0.55000000000000004">
      <c r="A33" s="20">
        <v>611</v>
      </c>
      <c r="B33" s="2" t="s">
        <v>193</v>
      </c>
      <c r="C33" s="2" t="s">
        <v>194</v>
      </c>
      <c r="D33" s="20">
        <v>0</v>
      </c>
      <c r="E33" s="2" t="s">
        <v>195</v>
      </c>
      <c r="F33" s="20">
        <v>2026</v>
      </c>
      <c r="G33" s="2" t="s">
        <v>751</v>
      </c>
      <c r="H33" s="21">
        <v>17038.400000000001</v>
      </c>
      <c r="I33" s="21">
        <v>17038.400000000001</v>
      </c>
      <c r="J33" s="23">
        <v>6.2199999999999998E-2</v>
      </c>
      <c r="K33" s="2" t="s">
        <v>721</v>
      </c>
      <c r="L33" s="25">
        <v>46164</v>
      </c>
    </row>
    <row r="34" spans="1:12" ht="15.35" hidden="1" x14ac:dyDescent="0.55000000000000004">
      <c r="A34" s="20">
        <v>611</v>
      </c>
      <c r="B34" s="2" t="s">
        <v>193</v>
      </c>
      <c r="C34" s="2" t="s">
        <v>194</v>
      </c>
      <c r="D34" s="20">
        <v>0</v>
      </c>
      <c r="E34" s="2" t="s">
        <v>195</v>
      </c>
      <c r="F34" s="20">
        <v>2027</v>
      </c>
      <c r="G34" s="2" t="s">
        <v>751</v>
      </c>
      <c r="H34" s="21">
        <v>15330.44</v>
      </c>
      <c r="I34" s="21">
        <v>15330.44</v>
      </c>
      <c r="J34" s="23">
        <v>5.6000000000000001E-2</v>
      </c>
      <c r="K34" s="2" t="s">
        <v>721</v>
      </c>
      <c r="L34" s="25">
        <v>46164</v>
      </c>
    </row>
    <row r="35" spans="1:12" ht="15.35" hidden="1" x14ac:dyDescent="0.55000000000000004">
      <c r="A35" s="20">
        <v>618</v>
      </c>
      <c r="B35" s="2" t="s">
        <v>197</v>
      </c>
      <c r="C35" s="2" t="s">
        <v>198</v>
      </c>
      <c r="D35" s="20">
        <v>0</v>
      </c>
      <c r="E35" s="2" t="s">
        <v>199</v>
      </c>
      <c r="F35" s="20">
        <v>2026</v>
      </c>
      <c r="G35" s="2" t="s">
        <v>751</v>
      </c>
      <c r="H35" s="21">
        <v>11958.68</v>
      </c>
      <c r="I35" s="21">
        <v>11958.68</v>
      </c>
      <c r="J35" s="23">
        <v>4.6399999999999997E-2</v>
      </c>
      <c r="K35" s="2" t="s">
        <v>721</v>
      </c>
      <c r="L35" s="25">
        <v>46196</v>
      </c>
    </row>
    <row r="36" spans="1:12" ht="15.35" hidden="1" x14ac:dyDescent="0.55000000000000004">
      <c r="A36" s="20">
        <v>618</v>
      </c>
      <c r="B36" s="2" t="s">
        <v>197</v>
      </c>
      <c r="C36" s="2" t="s">
        <v>198</v>
      </c>
      <c r="D36" s="20">
        <v>0</v>
      </c>
      <c r="E36" s="2" t="s">
        <v>199</v>
      </c>
      <c r="F36" s="20">
        <v>2027</v>
      </c>
      <c r="G36" s="2" t="s">
        <v>751</v>
      </c>
      <c r="H36" s="21">
        <v>12291.67</v>
      </c>
      <c r="I36" s="21">
        <v>12291.67</v>
      </c>
      <c r="J36" s="23">
        <v>4.7699999999999999E-2</v>
      </c>
      <c r="K36" s="2" t="s">
        <v>721</v>
      </c>
      <c r="L36" s="25">
        <v>46196</v>
      </c>
    </row>
    <row r="37" spans="1:12" ht="15.35" hidden="1" x14ac:dyDescent="0.55000000000000004">
      <c r="A37" s="20">
        <v>600</v>
      </c>
      <c r="B37" s="2" t="s">
        <v>201</v>
      </c>
      <c r="C37" s="2" t="s">
        <v>202</v>
      </c>
      <c r="D37" s="20">
        <v>0</v>
      </c>
      <c r="E37" s="2" t="s">
        <v>203</v>
      </c>
      <c r="F37" s="20">
        <v>2026</v>
      </c>
      <c r="G37" s="2" t="s">
        <v>751</v>
      </c>
      <c r="H37" s="21">
        <v>10759.84</v>
      </c>
      <c r="I37" s="21">
        <v>10759.84</v>
      </c>
      <c r="J37" s="23">
        <v>5.3900000000000003E-2</v>
      </c>
      <c r="K37" s="2" t="s">
        <v>721</v>
      </c>
      <c r="L37" s="25">
        <v>46196</v>
      </c>
    </row>
    <row r="38" spans="1:12" ht="15.35" hidden="1" x14ac:dyDescent="0.55000000000000004">
      <c r="A38" s="20">
        <v>600</v>
      </c>
      <c r="B38" s="2" t="s">
        <v>201</v>
      </c>
      <c r="C38" s="2" t="s">
        <v>202</v>
      </c>
      <c r="D38" s="20">
        <v>0</v>
      </c>
      <c r="E38" s="2" t="s">
        <v>203</v>
      </c>
      <c r="F38" s="20">
        <v>2027</v>
      </c>
      <c r="G38" s="2" t="s">
        <v>751</v>
      </c>
      <c r="H38" s="21">
        <v>10799.76</v>
      </c>
      <c r="I38" s="21">
        <v>10799.76</v>
      </c>
      <c r="J38" s="23">
        <v>5.4100000000000002E-2</v>
      </c>
      <c r="K38" s="2" t="s">
        <v>721</v>
      </c>
      <c r="L38" s="25">
        <v>46196</v>
      </c>
    </row>
    <row r="39" spans="1:12" ht="15.35" hidden="1" x14ac:dyDescent="0.55000000000000004">
      <c r="A39" s="20">
        <v>604</v>
      </c>
      <c r="B39" s="2" t="s">
        <v>205</v>
      </c>
      <c r="C39" s="2" t="s">
        <v>206</v>
      </c>
      <c r="D39" s="20">
        <v>0</v>
      </c>
      <c r="E39" s="2" t="s">
        <v>207</v>
      </c>
      <c r="F39" s="20">
        <v>2026</v>
      </c>
      <c r="G39" s="2" t="s">
        <v>751</v>
      </c>
      <c r="H39" s="21">
        <v>7761.49</v>
      </c>
      <c r="I39" s="21">
        <v>7761.49</v>
      </c>
      <c r="J39" s="23">
        <v>4.5600000000000002E-2</v>
      </c>
      <c r="K39" s="2" t="s">
        <v>721</v>
      </c>
      <c r="L39" s="25">
        <v>46197</v>
      </c>
    </row>
    <row r="40" spans="1:12" ht="15.35" hidden="1" x14ac:dyDescent="0.55000000000000004">
      <c r="A40" s="20">
        <v>604</v>
      </c>
      <c r="B40" s="2" t="s">
        <v>205</v>
      </c>
      <c r="C40" s="2" t="s">
        <v>206</v>
      </c>
      <c r="D40" s="20">
        <v>0</v>
      </c>
      <c r="E40" s="2" t="s">
        <v>207</v>
      </c>
      <c r="F40" s="20">
        <v>2027</v>
      </c>
      <c r="G40" s="2" t="s">
        <v>751</v>
      </c>
      <c r="H40" s="21">
        <v>7348.45</v>
      </c>
      <c r="I40" s="21">
        <v>7348.45</v>
      </c>
      <c r="J40" s="23">
        <v>4.3200000000000002E-2</v>
      </c>
      <c r="K40" s="2" t="s">
        <v>721</v>
      </c>
      <c r="L40" s="25">
        <v>46197</v>
      </c>
    </row>
    <row r="41" spans="1:12" ht="15.35" hidden="1" x14ac:dyDescent="0.55000000000000004">
      <c r="A41" s="20">
        <v>606</v>
      </c>
      <c r="B41" s="2" t="s">
        <v>209</v>
      </c>
      <c r="C41" s="2" t="s">
        <v>210</v>
      </c>
      <c r="D41" s="20">
        <v>0</v>
      </c>
      <c r="E41" s="2" t="s">
        <v>211</v>
      </c>
      <c r="F41" s="20">
        <v>2026</v>
      </c>
      <c r="G41" s="2" t="s">
        <v>751</v>
      </c>
      <c r="H41" s="21">
        <v>11687.61</v>
      </c>
      <c r="I41" s="21">
        <v>11687.61</v>
      </c>
      <c r="J41" s="23">
        <v>4.5400000000000003E-2</v>
      </c>
      <c r="K41" s="2" t="s">
        <v>721</v>
      </c>
      <c r="L41" s="25">
        <v>46196</v>
      </c>
    </row>
    <row r="42" spans="1:12" ht="15.35" hidden="1" x14ac:dyDescent="0.55000000000000004">
      <c r="A42" s="20">
        <v>606</v>
      </c>
      <c r="B42" s="2" t="s">
        <v>209</v>
      </c>
      <c r="C42" s="2" t="s">
        <v>210</v>
      </c>
      <c r="D42" s="20">
        <v>0</v>
      </c>
      <c r="E42" s="2" t="s">
        <v>211</v>
      </c>
      <c r="F42" s="20">
        <v>2027</v>
      </c>
      <c r="G42" s="2" t="s">
        <v>751</v>
      </c>
      <c r="H42" s="21">
        <v>12437.47</v>
      </c>
      <c r="I42" s="21">
        <v>12437.47</v>
      </c>
      <c r="J42" s="23">
        <v>4.8300000000000003E-2</v>
      </c>
      <c r="K42" s="2" t="s">
        <v>721</v>
      </c>
      <c r="L42" s="25">
        <v>46196</v>
      </c>
    </row>
    <row r="43" spans="1:12" ht="15.35" hidden="1" x14ac:dyDescent="0.55000000000000004">
      <c r="A43" s="20">
        <v>602</v>
      </c>
      <c r="B43" s="2" t="s">
        <v>214</v>
      </c>
      <c r="C43" s="2" t="s">
        <v>215</v>
      </c>
      <c r="D43" s="20">
        <v>0</v>
      </c>
      <c r="E43" s="2" t="s">
        <v>216</v>
      </c>
      <c r="F43" s="20">
        <v>2026</v>
      </c>
      <c r="G43" s="2" t="s">
        <v>752</v>
      </c>
      <c r="H43" s="21">
        <v>12785.58</v>
      </c>
      <c r="I43" s="21">
        <v>17047.43</v>
      </c>
      <c r="J43" s="23">
        <v>4.7E-2</v>
      </c>
      <c r="K43" s="2" t="s">
        <v>721</v>
      </c>
      <c r="L43" s="25">
        <v>46286</v>
      </c>
    </row>
    <row r="44" spans="1:12" ht="15.35" hidden="1" x14ac:dyDescent="0.55000000000000004">
      <c r="A44" s="20">
        <v>602</v>
      </c>
      <c r="B44" s="2" t="s">
        <v>214</v>
      </c>
      <c r="C44" s="2" t="s">
        <v>215</v>
      </c>
      <c r="D44" s="20">
        <v>0</v>
      </c>
      <c r="E44" s="2" t="s">
        <v>216</v>
      </c>
      <c r="F44" s="20">
        <v>2027</v>
      </c>
      <c r="G44" s="2" t="s">
        <v>751</v>
      </c>
      <c r="H44" s="21">
        <v>17082.37</v>
      </c>
      <c r="I44" s="21">
        <v>17082.37</v>
      </c>
      <c r="J44" s="23">
        <v>4.7300000000000002E-2</v>
      </c>
      <c r="K44" s="2" t="s">
        <v>721</v>
      </c>
      <c r="L44" s="25">
        <v>46286</v>
      </c>
    </row>
    <row r="45" spans="1:12" ht="15.35" hidden="1" x14ac:dyDescent="0.55000000000000004">
      <c r="A45" s="20">
        <v>608</v>
      </c>
      <c r="B45" s="2" t="s">
        <v>217</v>
      </c>
      <c r="C45" s="2" t="s">
        <v>218</v>
      </c>
      <c r="D45" s="20">
        <v>0</v>
      </c>
      <c r="E45" s="2" t="s">
        <v>219</v>
      </c>
      <c r="F45" s="20">
        <v>2026</v>
      </c>
      <c r="G45" s="2" t="s">
        <v>752</v>
      </c>
      <c r="H45" s="21">
        <v>5141.91</v>
      </c>
      <c r="I45" s="21">
        <v>6855.88</v>
      </c>
      <c r="J45" s="23">
        <v>5.5100000000000003E-2</v>
      </c>
      <c r="K45" s="2" t="s">
        <v>721</v>
      </c>
      <c r="L45" s="25">
        <v>46283</v>
      </c>
    </row>
    <row r="46" spans="1:12" ht="15.35" hidden="1" x14ac:dyDescent="0.55000000000000004">
      <c r="A46" s="20">
        <v>608</v>
      </c>
      <c r="B46" s="2" t="s">
        <v>217</v>
      </c>
      <c r="C46" s="2" t="s">
        <v>218</v>
      </c>
      <c r="D46" s="20">
        <v>0</v>
      </c>
      <c r="E46" s="2" t="s">
        <v>219</v>
      </c>
      <c r="F46" s="20">
        <v>2027</v>
      </c>
      <c r="G46" s="2" t="s">
        <v>751</v>
      </c>
      <c r="H46" s="21">
        <v>6986.67</v>
      </c>
      <c r="I46" s="21">
        <v>6986.67</v>
      </c>
      <c r="J46" s="23">
        <v>5.6399999999999999E-2</v>
      </c>
      <c r="K46" s="2" t="s">
        <v>721</v>
      </c>
      <c r="L46" s="25">
        <v>46283</v>
      </c>
    </row>
    <row r="47" spans="1:12" ht="15.35" hidden="1" x14ac:dyDescent="0.55000000000000004">
      <c r="A47" s="20">
        <v>615</v>
      </c>
      <c r="B47" s="2" t="s">
        <v>220</v>
      </c>
      <c r="C47" s="2" t="s">
        <v>221</v>
      </c>
      <c r="D47" s="20">
        <v>0</v>
      </c>
      <c r="E47" s="2" t="s">
        <v>222</v>
      </c>
      <c r="F47" s="20">
        <v>2026</v>
      </c>
      <c r="G47" s="2" t="s">
        <v>752</v>
      </c>
      <c r="H47" s="21">
        <v>6529.16</v>
      </c>
      <c r="I47" s="21">
        <v>8705.5499999999993</v>
      </c>
      <c r="J47" s="23">
        <v>5.6500000000000002E-2</v>
      </c>
      <c r="K47" s="2" t="s">
        <v>721</v>
      </c>
      <c r="L47" s="25">
        <v>46283</v>
      </c>
    </row>
    <row r="48" spans="1:12" ht="15.35" hidden="1" x14ac:dyDescent="0.55000000000000004">
      <c r="A48" s="20">
        <v>615</v>
      </c>
      <c r="B48" s="2" t="s">
        <v>220</v>
      </c>
      <c r="C48" s="2" t="s">
        <v>221</v>
      </c>
      <c r="D48" s="20">
        <v>0</v>
      </c>
      <c r="E48" s="2" t="s">
        <v>222</v>
      </c>
      <c r="F48" s="20">
        <v>2027</v>
      </c>
      <c r="G48" s="2" t="s">
        <v>751</v>
      </c>
      <c r="H48" s="21">
        <v>8889.4500000000007</v>
      </c>
      <c r="I48" s="21">
        <v>8889.4500000000007</v>
      </c>
      <c r="J48" s="23">
        <v>5.7700000000000001E-2</v>
      </c>
      <c r="K48" s="2" t="s">
        <v>721</v>
      </c>
      <c r="L48" s="25">
        <v>46283</v>
      </c>
    </row>
    <row r="49" spans="1:12" ht="15.35" hidden="1" x14ac:dyDescent="0.55000000000000004">
      <c r="A49" s="20">
        <v>623</v>
      </c>
      <c r="B49" s="2"/>
      <c r="C49" s="2" t="s">
        <v>225</v>
      </c>
      <c r="D49" s="20">
        <v>0</v>
      </c>
      <c r="E49" s="2" t="s">
        <v>226</v>
      </c>
      <c r="F49" s="20">
        <v>2026</v>
      </c>
      <c r="G49" s="2" t="s">
        <v>752</v>
      </c>
      <c r="H49" s="21">
        <v>6208.1</v>
      </c>
      <c r="I49" s="21">
        <v>8277.4599999999991</v>
      </c>
      <c r="J49" s="23">
        <v>5.0099999999999999E-2</v>
      </c>
      <c r="K49" s="2" t="s">
        <v>728</v>
      </c>
      <c r="L49" s="25">
        <v>46271</v>
      </c>
    </row>
    <row r="50" spans="1:12" ht="15.35" hidden="1" x14ac:dyDescent="0.55000000000000004">
      <c r="A50" s="20">
        <v>623</v>
      </c>
      <c r="B50" s="2"/>
      <c r="C50" s="2" t="s">
        <v>225</v>
      </c>
      <c r="D50" s="20">
        <v>0</v>
      </c>
      <c r="E50" s="2" t="s">
        <v>226</v>
      </c>
      <c r="F50" s="20">
        <v>2027</v>
      </c>
      <c r="G50" s="2" t="s">
        <v>751</v>
      </c>
      <c r="H50" s="21">
        <v>8723.7999999999993</v>
      </c>
      <c r="I50" s="21">
        <v>8723.7999999999993</v>
      </c>
      <c r="J50" s="23">
        <v>5.28E-2</v>
      </c>
      <c r="K50" s="2" t="s">
        <v>728</v>
      </c>
      <c r="L50" s="25">
        <v>46271</v>
      </c>
    </row>
    <row r="51" spans="1:12" ht="15.35" hidden="1" x14ac:dyDescent="0.55000000000000004">
      <c r="A51" s="20">
        <v>631</v>
      </c>
      <c r="B51" s="2"/>
      <c r="C51" s="2" t="s">
        <v>227</v>
      </c>
      <c r="D51" s="20">
        <v>0</v>
      </c>
      <c r="E51" s="2" t="s">
        <v>228</v>
      </c>
      <c r="F51" s="20">
        <v>2026</v>
      </c>
      <c r="G51" s="2" t="s">
        <v>752</v>
      </c>
      <c r="H51" s="21">
        <v>10791.37</v>
      </c>
      <c r="I51" s="21">
        <v>14388.49</v>
      </c>
      <c r="J51" s="23">
        <v>4.99E-2</v>
      </c>
      <c r="K51" s="2" t="s">
        <v>722</v>
      </c>
      <c r="L51" s="25">
        <v>46285</v>
      </c>
    </row>
    <row r="52" spans="1:12" ht="15.35" hidden="1" x14ac:dyDescent="0.55000000000000004">
      <c r="A52" s="20">
        <v>631</v>
      </c>
      <c r="B52" s="2"/>
      <c r="C52" s="2" t="s">
        <v>227</v>
      </c>
      <c r="D52" s="20">
        <v>0</v>
      </c>
      <c r="E52" s="2" t="s">
        <v>228</v>
      </c>
      <c r="F52" s="20">
        <v>2027</v>
      </c>
      <c r="G52" s="2" t="s">
        <v>751</v>
      </c>
      <c r="H52" s="21">
        <v>14894.99</v>
      </c>
      <c r="I52" s="21">
        <v>14894.99</v>
      </c>
      <c r="J52" s="23">
        <v>5.1900000000000002E-2</v>
      </c>
      <c r="K52" s="2" t="s">
        <v>722</v>
      </c>
      <c r="L52" s="25">
        <v>46285</v>
      </c>
    </row>
    <row r="53" spans="1:12" ht="15.35" hidden="1" x14ac:dyDescent="0.55000000000000004">
      <c r="A53" s="20">
        <v>601</v>
      </c>
      <c r="B53" s="2"/>
      <c r="C53" s="2" t="s">
        <v>230</v>
      </c>
      <c r="D53" s="20">
        <v>0</v>
      </c>
      <c r="E53" s="2" t="s">
        <v>231</v>
      </c>
      <c r="F53" s="20">
        <v>2026</v>
      </c>
      <c r="G53" s="2" t="s">
        <v>753</v>
      </c>
      <c r="H53" s="21">
        <v>9871.69</v>
      </c>
      <c r="I53" s="21">
        <v>19743.37</v>
      </c>
      <c r="J53" s="23">
        <v>4.6399999999999997E-2</v>
      </c>
      <c r="K53" s="2" t="s">
        <v>728</v>
      </c>
      <c r="L53" s="25">
        <v>46283</v>
      </c>
    </row>
    <row r="54" spans="1:12" ht="15.35" hidden="1" x14ac:dyDescent="0.55000000000000004">
      <c r="A54" s="20">
        <v>601</v>
      </c>
      <c r="B54" s="2"/>
      <c r="C54" s="2" t="s">
        <v>230</v>
      </c>
      <c r="D54" s="20">
        <v>0</v>
      </c>
      <c r="E54" s="2" t="s">
        <v>231</v>
      </c>
      <c r="F54" s="20">
        <v>2027</v>
      </c>
      <c r="G54" s="2" t="s">
        <v>751</v>
      </c>
      <c r="H54" s="21">
        <v>21899.75</v>
      </c>
      <c r="I54" s="21">
        <v>21899.75</v>
      </c>
      <c r="J54" s="23">
        <v>5.1900000000000002E-2</v>
      </c>
      <c r="K54" s="2" t="s">
        <v>728</v>
      </c>
      <c r="L54" s="25">
        <v>46283</v>
      </c>
    </row>
    <row r="55" spans="1:12" ht="15.35" hidden="1" x14ac:dyDescent="0.55000000000000004">
      <c r="A55" s="20">
        <v>609</v>
      </c>
      <c r="B55" s="2"/>
      <c r="C55" s="2" t="s">
        <v>233</v>
      </c>
      <c r="D55" s="20">
        <v>0</v>
      </c>
      <c r="E55" s="2" t="s">
        <v>234</v>
      </c>
      <c r="F55" s="20">
        <v>2026</v>
      </c>
      <c r="G55" s="2" t="s">
        <v>752</v>
      </c>
      <c r="H55" s="21">
        <v>4352.16</v>
      </c>
      <c r="I55" s="21">
        <v>5802.88</v>
      </c>
      <c r="J55" s="23">
        <v>5.2600000000000001E-2</v>
      </c>
      <c r="K55" s="2" t="s">
        <v>728</v>
      </c>
      <c r="L55" s="25">
        <v>46199</v>
      </c>
    </row>
    <row r="56" spans="1:12" ht="15.35" hidden="1" x14ac:dyDescent="0.55000000000000004">
      <c r="A56" s="20">
        <v>609</v>
      </c>
      <c r="B56" s="2"/>
      <c r="C56" s="2" t="s">
        <v>233</v>
      </c>
      <c r="D56" s="20">
        <v>0</v>
      </c>
      <c r="E56" s="2" t="s">
        <v>234</v>
      </c>
      <c r="F56" s="20">
        <v>2027</v>
      </c>
      <c r="G56" s="2" t="s">
        <v>751</v>
      </c>
      <c r="H56" s="21">
        <v>5794.09</v>
      </c>
      <c r="I56" s="21">
        <v>5794.09</v>
      </c>
      <c r="J56" s="23">
        <v>5.2499999999999998E-2</v>
      </c>
      <c r="K56" s="2" t="s">
        <v>728</v>
      </c>
      <c r="L56" s="25">
        <v>46199</v>
      </c>
    </row>
    <row r="57" spans="1:12" ht="15.35" hidden="1" x14ac:dyDescent="0.55000000000000004">
      <c r="A57" s="20">
        <v>610</v>
      </c>
      <c r="B57" s="2"/>
      <c r="C57" s="2" t="s">
        <v>223</v>
      </c>
      <c r="D57" s="20">
        <v>0</v>
      </c>
      <c r="E57" s="2" t="s">
        <v>224</v>
      </c>
      <c r="F57" s="20">
        <v>2026</v>
      </c>
      <c r="G57" s="2" t="s">
        <v>751</v>
      </c>
      <c r="H57" s="21">
        <v>21083.759999999998</v>
      </c>
      <c r="I57" s="21">
        <v>21083.759999999998</v>
      </c>
      <c r="J57" s="23">
        <v>4.5999999999999999E-2</v>
      </c>
      <c r="K57" s="2" t="s">
        <v>730</v>
      </c>
      <c r="L57" s="25">
        <v>46196</v>
      </c>
    </row>
    <row r="58" spans="1:12" ht="15.35" hidden="1" x14ac:dyDescent="0.55000000000000004">
      <c r="A58" s="20">
        <v>610</v>
      </c>
      <c r="B58" s="2"/>
      <c r="C58" s="2" t="s">
        <v>223</v>
      </c>
      <c r="D58" s="20">
        <v>0</v>
      </c>
      <c r="E58" s="2" t="s">
        <v>224</v>
      </c>
      <c r="F58" s="20">
        <v>2027</v>
      </c>
      <c r="G58" s="2" t="s">
        <v>751</v>
      </c>
      <c r="H58" s="21">
        <v>21244.52</v>
      </c>
      <c r="I58" s="21">
        <v>21244.52</v>
      </c>
      <c r="J58" s="23">
        <v>4.6399999999999997E-2</v>
      </c>
      <c r="K58" s="2" t="s">
        <v>730</v>
      </c>
      <c r="L58" s="25">
        <v>46196</v>
      </c>
    </row>
    <row r="59" spans="1:12" ht="15.35" hidden="1" x14ac:dyDescent="0.55000000000000004">
      <c r="A59" s="20">
        <v>613</v>
      </c>
      <c r="B59" s="2"/>
      <c r="C59" s="2" t="s">
        <v>236</v>
      </c>
      <c r="D59" s="20">
        <v>0</v>
      </c>
      <c r="E59" s="2" t="s">
        <v>237</v>
      </c>
      <c r="F59" s="20">
        <v>2025</v>
      </c>
      <c r="G59" s="2" t="s">
        <v>755</v>
      </c>
      <c r="H59" s="21">
        <v>1423.64</v>
      </c>
      <c r="I59" s="21">
        <v>5694.58</v>
      </c>
      <c r="J59" s="23">
        <v>5.4600000000000003E-2</v>
      </c>
      <c r="K59" s="2" t="s">
        <v>724</v>
      </c>
      <c r="L59" s="25">
        <v>46079</v>
      </c>
    </row>
    <row r="60" spans="1:12" ht="15.35" hidden="1" x14ac:dyDescent="0.55000000000000004">
      <c r="A60" s="20">
        <v>613</v>
      </c>
      <c r="B60" s="2"/>
      <c r="C60" s="2" t="s">
        <v>236</v>
      </c>
      <c r="D60" s="20">
        <v>0</v>
      </c>
      <c r="E60" s="2" t="s">
        <v>237</v>
      </c>
      <c r="F60" s="20">
        <v>2026</v>
      </c>
      <c r="G60" s="2" t="s">
        <v>751</v>
      </c>
      <c r="H60" s="21">
        <v>5955.87</v>
      </c>
      <c r="I60" s="21">
        <v>5955.87</v>
      </c>
      <c r="J60" s="23">
        <v>5.7200000000000001E-2</v>
      </c>
      <c r="K60" s="2" t="s">
        <v>724</v>
      </c>
      <c r="L60" s="25">
        <v>46079</v>
      </c>
    </row>
    <row r="61" spans="1:12" ht="15.35" hidden="1" x14ac:dyDescent="0.55000000000000004">
      <c r="A61" s="20">
        <v>616</v>
      </c>
      <c r="B61" s="2"/>
      <c r="C61" s="2" t="s">
        <v>239</v>
      </c>
      <c r="D61" s="20">
        <v>0</v>
      </c>
      <c r="E61" s="2" t="s">
        <v>240</v>
      </c>
      <c r="F61" s="20">
        <v>2026</v>
      </c>
      <c r="G61" s="2" t="s">
        <v>751</v>
      </c>
      <c r="H61" s="21">
        <v>7064.17</v>
      </c>
      <c r="I61" s="21">
        <v>7064.17</v>
      </c>
      <c r="J61" s="23">
        <v>4.2299999999999997E-2</v>
      </c>
      <c r="K61" s="2" t="s">
        <v>724</v>
      </c>
      <c r="L61" s="25">
        <v>46094</v>
      </c>
    </row>
    <row r="62" spans="1:12" ht="15.35" hidden="1" x14ac:dyDescent="0.55000000000000004">
      <c r="A62" s="20">
        <v>616</v>
      </c>
      <c r="B62" s="2"/>
      <c r="C62" s="2" t="s">
        <v>239</v>
      </c>
      <c r="D62" s="20">
        <v>0</v>
      </c>
      <c r="E62" s="2" t="s">
        <v>240</v>
      </c>
      <c r="F62" s="20">
        <v>2027</v>
      </c>
      <c r="G62" s="2" t="s">
        <v>751</v>
      </c>
      <c r="H62" s="21">
        <v>7064.17</v>
      </c>
      <c r="I62" s="21">
        <v>7064.17</v>
      </c>
      <c r="J62" s="23">
        <v>4.19E-2</v>
      </c>
      <c r="K62" s="2" t="s">
        <v>724</v>
      </c>
      <c r="L62" s="25">
        <v>46094</v>
      </c>
    </row>
    <row r="63" spans="1:12" ht="15.35" hidden="1" x14ac:dyDescent="0.55000000000000004">
      <c r="A63" s="20">
        <v>617</v>
      </c>
      <c r="B63" s="2"/>
      <c r="C63" s="2" t="s">
        <v>242</v>
      </c>
      <c r="D63" s="20">
        <v>0</v>
      </c>
      <c r="E63" s="2" t="s">
        <v>243</v>
      </c>
      <c r="F63" s="20">
        <v>2025</v>
      </c>
      <c r="G63" s="2" t="s">
        <v>755</v>
      </c>
      <c r="H63" s="21">
        <v>15875.19</v>
      </c>
      <c r="I63" s="21">
        <v>63500.77</v>
      </c>
      <c r="J63" s="23">
        <v>4.5600000000000002E-2</v>
      </c>
      <c r="K63" s="2" t="s">
        <v>724</v>
      </c>
      <c r="L63" s="25">
        <v>46107</v>
      </c>
    </row>
    <row r="64" spans="1:12" ht="15.35" hidden="1" x14ac:dyDescent="0.55000000000000004">
      <c r="A64" s="20">
        <v>617</v>
      </c>
      <c r="B64" s="2"/>
      <c r="C64" s="2" t="s">
        <v>242</v>
      </c>
      <c r="D64" s="20">
        <v>0</v>
      </c>
      <c r="E64" s="2" t="s">
        <v>243</v>
      </c>
      <c r="F64" s="20">
        <v>2026</v>
      </c>
      <c r="G64" s="2" t="s">
        <v>751</v>
      </c>
      <c r="H64" s="21">
        <v>57385.49</v>
      </c>
      <c r="I64" s="21">
        <v>57385.49</v>
      </c>
      <c r="J64" s="23">
        <v>4.1200000000000001E-2</v>
      </c>
      <c r="K64" s="2" t="s">
        <v>724</v>
      </c>
      <c r="L64" s="25">
        <v>46107</v>
      </c>
    </row>
    <row r="65" spans="1:12" ht="15.35" x14ac:dyDescent="0.55000000000000004">
      <c r="A65" s="20">
        <v>622</v>
      </c>
      <c r="B65" s="2"/>
      <c r="C65" s="2" t="s">
        <v>245</v>
      </c>
      <c r="D65" s="20">
        <v>0</v>
      </c>
      <c r="E65" s="2" t="s">
        <v>246</v>
      </c>
      <c r="F65" s="20">
        <v>2026</v>
      </c>
      <c r="G65" s="2" t="s">
        <v>751</v>
      </c>
      <c r="H65" s="21">
        <v>24248.01</v>
      </c>
      <c r="I65" s="21">
        <v>24248.01</v>
      </c>
      <c r="J65" s="23">
        <v>4.4900000000000002E-2</v>
      </c>
      <c r="K65" s="2" t="s">
        <v>724</v>
      </c>
      <c r="L65" s="25">
        <v>46142</v>
      </c>
    </row>
    <row r="66" spans="1:12" ht="15.35" x14ac:dyDescent="0.55000000000000004">
      <c r="A66" s="20">
        <v>622</v>
      </c>
      <c r="B66" s="2"/>
      <c r="C66" s="2" t="s">
        <v>245</v>
      </c>
      <c r="D66" s="20">
        <v>0</v>
      </c>
      <c r="E66" s="2" t="s">
        <v>246</v>
      </c>
      <c r="F66" s="20">
        <v>2027</v>
      </c>
      <c r="G66" s="2" t="s">
        <v>751</v>
      </c>
      <c r="H66" s="21">
        <v>25468.49</v>
      </c>
      <c r="I66" s="21">
        <v>25468.49</v>
      </c>
      <c r="J66" s="23">
        <v>4.7100000000000003E-2</v>
      </c>
      <c r="K66" s="2" t="s">
        <v>724</v>
      </c>
      <c r="L66" s="25">
        <v>46142</v>
      </c>
    </row>
    <row r="67" spans="1:12" ht="15.35" hidden="1" x14ac:dyDescent="0.55000000000000004">
      <c r="A67" s="20">
        <v>627</v>
      </c>
      <c r="B67" s="2"/>
      <c r="C67" s="2" t="s">
        <v>247</v>
      </c>
      <c r="D67" s="20">
        <v>0</v>
      </c>
      <c r="E67" s="2" t="s">
        <v>248</v>
      </c>
      <c r="F67" s="20">
        <v>2026</v>
      </c>
      <c r="G67" s="2" t="s">
        <v>751</v>
      </c>
      <c r="H67" s="21">
        <v>5854.72</v>
      </c>
      <c r="I67" s="21">
        <v>5854.72</v>
      </c>
      <c r="J67" s="23">
        <v>5.3199999999999997E-2</v>
      </c>
      <c r="K67" s="2" t="s">
        <v>724</v>
      </c>
      <c r="L67" s="25">
        <v>46142</v>
      </c>
    </row>
    <row r="68" spans="1:12" ht="15.35" hidden="1" x14ac:dyDescent="0.55000000000000004">
      <c r="A68" s="20">
        <v>627</v>
      </c>
      <c r="B68" s="2"/>
      <c r="C68" s="2" t="s">
        <v>247</v>
      </c>
      <c r="D68" s="20">
        <v>0</v>
      </c>
      <c r="E68" s="2" t="s">
        <v>248</v>
      </c>
      <c r="F68" s="20">
        <v>2027</v>
      </c>
      <c r="G68" s="2" t="s">
        <v>751</v>
      </c>
      <c r="H68" s="21">
        <v>6601.47</v>
      </c>
      <c r="I68" s="21">
        <v>6601.47</v>
      </c>
      <c r="J68" s="23">
        <v>0.06</v>
      </c>
      <c r="K68" s="2" t="s">
        <v>724</v>
      </c>
      <c r="L68" s="25">
        <v>46142</v>
      </c>
    </row>
    <row r="69" spans="1:12" ht="15.35" hidden="1" x14ac:dyDescent="0.55000000000000004">
      <c r="A69" s="20">
        <v>633</v>
      </c>
      <c r="B69" s="2"/>
      <c r="C69" s="2" t="s">
        <v>250</v>
      </c>
      <c r="D69" s="20">
        <v>0</v>
      </c>
      <c r="E69" s="2" t="s">
        <v>251</v>
      </c>
      <c r="F69" s="20">
        <v>2026</v>
      </c>
      <c r="G69" s="2" t="s">
        <v>751</v>
      </c>
      <c r="H69" s="21">
        <v>6798.56</v>
      </c>
      <c r="I69" s="21">
        <v>6798.56</v>
      </c>
      <c r="J69" s="23">
        <v>4.7699999999999999E-2</v>
      </c>
      <c r="K69" s="2" t="s">
        <v>724</v>
      </c>
      <c r="L69" s="25">
        <v>46199</v>
      </c>
    </row>
    <row r="70" spans="1:12" ht="15.35" hidden="1" x14ac:dyDescent="0.55000000000000004">
      <c r="A70" s="20">
        <v>633</v>
      </c>
      <c r="B70" s="2"/>
      <c r="C70" s="2" t="s">
        <v>250</v>
      </c>
      <c r="D70" s="20">
        <v>0</v>
      </c>
      <c r="E70" s="2" t="s">
        <v>251</v>
      </c>
      <c r="F70" s="20">
        <v>2027</v>
      </c>
      <c r="G70" s="2" t="s">
        <v>751</v>
      </c>
      <c r="H70" s="21">
        <v>6899.15</v>
      </c>
      <c r="I70" s="21">
        <v>6899.15</v>
      </c>
      <c r="J70" s="23">
        <v>4.8399999999999999E-2</v>
      </c>
      <c r="K70" s="2" t="s">
        <v>724</v>
      </c>
      <c r="L70" s="25">
        <v>46199</v>
      </c>
    </row>
    <row r="71" spans="1:12" ht="15.35" hidden="1" x14ac:dyDescent="0.55000000000000004">
      <c r="A71" s="20">
        <v>637</v>
      </c>
      <c r="B71" s="2"/>
      <c r="C71" s="2" t="s">
        <v>253</v>
      </c>
      <c r="D71" s="20">
        <v>0</v>
      </c>
      <c r="E71" s="2" t="s">
        <v>254</v>
      </c>
      <c r="F71" s="20">
        <v>2026</v>
      </c>
      <c r="G71" s="2" t="s">
        <v>753</v>
      </c>
      <c r="H71" s="21">
        <v>3295.94</v>
      </c>
      <c r="I71" s="21">
        <v>6591.88</v>
      </c>
      <c r="J71" s="23">
        <v>5.9799999999999999E-2</v>
      </c>
      <c r="K71" s="2" t="s">
        <v>724</v>
      </c>
      <c r="L71" s="25">
        <v>46232</v>
      </c>
    </row>
    <row r="72" spans="1:12" ht="15.35" hidden="1" x14ac:dyDescent="0.55000000000000004">
      <c r="A72" s="20">
        <v>637</v>
      </c>
      <c r="B72" s="2"/>
      <c r="C72" s="2" t="s">
        <v>253</v>
      </c>
      <c r="D72" s="20">
        <v>0</v>
      </c>
      <c r="E72" s="2" t="s">
        <v>254</v>
      </c>
      <c r="F72" s="20">
        <v>2027</v>
      </c>
      <c r="G72" s="2" t="s">
        <v>751</v>
      </c>
      <c r="H72" s="21">
        <v>6695.8</v>
      </c>
      <c r="I72" s="21">
        <v>6695.8</v>
      </c>
      <c r="J72" s="23">
        <v>6.0699999999999997E-2</v>
      </c>
      <c r="K72" s="2" t="s">
        <v>724</v>
      </c>
      <c r="L72" s="25">
        <v>46232</v>
      </c>
    </row>
    <row r="73" spans="1:12" ht="15.35" hidden="1" x14ac:dyDescent="0.55000000000000004">
      <c r="A73" s="20">
        <v>638</v>
      </c>
      <c r="B73" s="2"/>
      <c r="C73" s="2" t="s">
        <v>255</v>
      </c>
      <c r="D73" s="20">
        <v>0</v>
      </c>
      <c r="E73" s="2" t="s">
        <v>256</v>
      </c>
      <c r="F73" s="20">
        <v>2026</v>
      </c>
      <c r="G73" s="2" t="s">
        <v>752</v>
      </c>
      <c r="H73" s="21">
        <v>11907.97</v>
      </c>
      <c r="I73" s="21">
        <v>15877.29</v>
      </c>
      <c r="J73" s="23">
        <v>4.9500000000000002E-2</v>
      </c>
      <c r="K73" s="2" t="s">
        <v>724</v>
      </c>
      <c r="L73" s="25">
        <v>46234</v>
      </c>
    </row>
    <row r="74" spans="1:12" ht="15.35" hidden="1" x14ac:dyDescent="0.55000000000000004">
      <c r="A74" s="20">
        <v>638</v>
      </c>
      <c r="B74" s="2"/>
      <c r="C74" s="2" t="s">
        <v>255</v>
      </c>
      <c r="D74" s="20">
        <v>0</v>
      </c>
      <c r="E74" s="2" t="s">
        <v>256</v>
      </c>
      <c r="F74" s="20">
        <v>2027</v>
      </c>
      <c r="G74" s="2" t="s">
        <v>751</v>
      </c>
      <c r="H74" s="21">
        <v>16153.64</v>
      </c>
      <c r="I74" s="21">
        <v>16153.64</v>
      </c>
      <c r="J74" s="23">
        <v>5.04E-2</v>
      </c>
      <c r="K74" s="2" t="s">
        <v>724</v>
      </c>
      <c r="L74" s="25">
        <v>46234</v>
      </c>
    </row>
    <row r="75" spans="1:12" ht="15.35" hidden="1" x14ac:dyDescent="0.55000000000000004">
      <c r="A75" s="20">
        <v>639</v>
      </c>
      <c r="B75" s="2"/>
      <c r="C75" s="2" t="s">
        <v>257</v>
      </c>
      <c r="D75" s="20">
        <v>0</v>
      </c>
      <c r="E75" s="2" t="s">
        <v>258</v>
      </c>
      <c r="F75" s="20">
        <v>2026</v>
      </c>
      <c r="G75" s="2" t="s">
        <v>752</v>
      </c>
      <c r="H75" s="21">
        <v>18543.48</v>
      </c>
      <c r="I75" s="21">
        <v>24724.639999999999</v>
      </c>
      <c r="J75" s="23">
        <v>4.4299999999999999E-2</v>
      </c>
      <c r="K75" s="2" t="s">
        <v>724</v>
      </c>
      <c r="L75" s="25">
        <v>46232</v>
      </c>
    </row>
    <row r="76" spans="1:12" ht="15.35" hidden="1" x14ac:dyDescent="0.55000000000000004">
      <c r="A76" s="20">
        <v>639</v>
      </c>
      <c r="B76" s="2"/>
      <c r="C76" s="2" t="s">
        <v>257</v>
      </c>
      <c r="D76" s="20">
        <v>0</v>
      </c>
      <c r="E76" s="2" t="s">
        <v>258</v>
      </c>
      <c r="F76" s="20">
        <v>2027</v>
      </c>
      <c r="G76" s="2" t="s">
        <v>751</v>
      </c>
      <c r="H76" s="21">
        <v>25009.43</v>
      </c>
      <c r="I76" s="21">
        <v>25009.43</v>
      </c>
      <c r="J76" s="23">
        <v>4.4999999999999998E-2</v>
      </c>
      <c r="K76" s="2" t="s">
        <v>724</v>
      </c>
      <c r="L76" s="25">
        <v>46232</v>
      </c>
    </row>
    <row r="77" spans="1:12" ht="15.35" hidden="1" x14ac:dyDescent="0.55000000000000004">
      <c r="A77" s="20">
        <v>641</v>
      </c>
      <c r="B77" s="2"/>
      <c r="C77" s="2" t="s">
        <v>259</v>
      </c>
      <c r="D77" s="20">
        <v>0</v>
      </c>
      <c r="E77" s="2" t="s">
        <v>260</v>
      </c>
      <c r="F77" s="20">
        <v>2026</v>
      </c>
      <c r="G77" s="2" t="s">
        <v>752</v>
      </c>
      <c r="H77" s="21">
        <v>10057.35</v>
      </c>
      <c r="I77" s="21">
        <v>13409.8</v>
      </c>
      <c r="J77" s="23">
        <v>4.5699999999999998E-2</v>
      </c>
      <c r="K77" s="2" t="s">
        <v>724</v>
      </c>
      <c r="L77" s="25">
        <v>46259</v>
      </c>
    </row>
    <row r="78" spans="1:12" ht="15.35" hidden="1" x14ac:dyDescent="0.55000000000000004">
      <c r="A78" s="20">
        <v>641</v>
      </c>
      <c r="B78" s="2"/>
      <c r="C78" s="2" t="s">
        <v>259</v>
      </c>
      <c r="D78" s="20">
        <v>0</v>
      </c>
      <c r="E78" s="2" t="s">
        <v>260</v>
      </c>
      <c r="F78" s="20">
        <v>2027</v>
      </c>
      <c r="G78" s="2" t="s">
        <v>751</v>
      </c>
      <c r="H78" s="21">
        <v>13551.73</v>
      </c>
      <c r="I78" s="21">
        <v>13551.73</v>
      </c>
      <c r="J78" s="23">
        <v>4.6399999999999997E-2</v>
      </c>
      <c r="K78" s="2" t="s">
        <v>724</v>
      </c>
      <c r="L78" s="25">
        <v>46259</v>
      </c>
    </row>
    <row r="79" spans="1:12" ht="15.35" hidden="1" x14ac:dyDescent="0.55000000000000004">
      <c r="A79" s="20">
        <v>642</v>
      </c>
      <c r="B79" s="2"/>
      <c r="C79" s="2" t="s">
        <v>262</v>
      </c>
      <c r="D79" s="20">
        <v>0</v>
      </c>
      <c r="E79" s="2" t="s">
        <v>263</v>
      </c>
      <c r="F79" s="20">
        <v>2026</v>
      </c>
      <c r="G79" s="2" t="s">
        <v>753</v>
      </c>
      <c r="H79" s="21">
        <v>3464.92</v>
      </c>
      <c r="I79" s="21">
        <v>6929.83</v>
      </c>
      <c r="J79" s="23">
        <v>5.2299999999999999E-2</v>
      </c>
      <c r="K79" s="2" t="s">
        <v>724</v>
      </c>
      <c r="L79" s="25">
        <v>46254</v>
      </c>
    </row>
    <row r="80" spans="1:12" ht="15.35" hidden="1" x14ac:dyDescent="0.55000000000000004">
      <c r="A80" s="20">
        <v>642</v>
      </c>
      <c r="B80" s="2"/>
      <c r="C80" s="2" t="s">
        <v>262</v>
      </c>
      <c r="D80" s="20">
        <v>0</v>
      </c>
      <c r="E80" s="2" t="s">
        <v>263</v>
      </c>
      <c r="F80" s="20">
        <v>2027</v>
      </c>
      <c r="G80" s="2" t="s">
        <v>751</v>
      </c>
      <c r="H80" s="21">
        <v>7261.31</v>
      </c>
      <c r="I80" s="21">
        <v>7261.31</v>
      </c>
      <c r="J80" s="23">
        <v>5.4800000000000001E-2</v>
      </c>
      <c r="K80" s="2" t="s">
        <v>724</v>
      </c>
      <c r="L80" s="25">
        <v>46254</v>
      </c>
    </row>
    <row r="81" spans="1:12" ht="15.35" hidden="1" x14ac:dyDescent="0.55000000000000004">
      <c r="A81" s="20">
        <v>643</v>
      </c>
      <c r="B81" s="2"/>
      <c r="C81" s="2" t="s">
        <v>265</v>
      </c>
      <c r="D81" s="20">
        <v>0</v>
      </c>
      <c r="E81" s="2" t="s">
        <v>266</v>
      </c>
      <c r="F81" s="20">
        <v>2026</v>
      </c>
      <c r="G81" s="2" t="s">
        <v>752</v>
      </c>
      <c r="H81" s="21">
        <v>5323.75</v>
      </c>
      <c r="I81" s="21">
        <v>7098.33</v>
      </c>
      <c r="J81" s="23">
        <v>4.6100000000000002E-2</v>
      </c>
      <c r="K81" s="2" t="s">
        <v>724</v>
      </c>
      <c r="L81" s="25">
        <v>46275</v>
      </c>
    </row>
    <row r="82" spans="1:12" ht="15.35" hidden="1" x14ac:dyDescent="0.55000000000000004">
      <c r="A82" s="20">
        <v>643</v>
      </c>
      <c r="B82" s="2"/>
      <c r="C82" s="2" t="s">
        <v>265</v>
      </c>
      <c r="D82" s="20">
        <v>0</v>
      </c>
      <c r="E82" s="2" t="s">
        <v>266</v>
      </c>
      <c r="F82" s="20">
        <v>2027</v>
      </c>
      <c r="G82" s="2" t="s">
        <v>751</v>
      </c>
      <c r="H82" s="21">
        <v>7192.43</v>
      </c>
      <c r="I82" s="21">
        <v>7192.43</v>
      </c>
      <c r="J82" s="23">
        <v>4.6899999999999997E-2</v>
      </c>
      <c r="K82" s="2" t="s">
        <v>724</v>
      </c>
      <c r="L82" s="25">
        <v>46275</v>
      </c>
    </row>
    <row r="83" spans="1:12" ht="15.35" hidden="1" x14ac:dyDescent="0.55000000000000004">
      <c r="A83" s="20">
        <v>650</v>
      </c>
      <c r="B83" s="2"/>
      <c r="C83" s="2" t="s">
        <v>267</v>
      </c>
      <c r="D83" s="20">
        <v>0</v>
      </c>
      <c r="E83" s="2" t="s">
        <v>268</v>
      </c>
      <c r="F83" s="20">
        <v>2026</v>
      </c>
      <c r="G83" s="2" t="s">
        <v>752</v>
      </c>
      <c r="H83" s="21">
        <v>7116.67</v>
      </c>
      <c r="I83" s="21">
        <v>9488.89</v>
      </c>
      <c r="J83" s="23">
        <v>4.6399999999999997E-2</v>
      </c>
      <c r="K83" s="2" t="s">
        <v>724</v>
      </c>
      <c r="L83" s="25">
        <v>46281</v>
      </c>
    </row>
    <row r="84" spans="1:12" ht="15.35" hidden="1" x14ac:dyDescent="0.55000000000000004">
      <c r="A84" s="20">
        <v>650</v>
      </c>
      <c r="B84" s="2"/>
      <c r="C84" s="2" t="s">
        <v>267</v>
      </c>
      <c r="D84" s="20">
        <v>0</v>
      </c>
      <c r="E84" s="2" t="s">
        <v>268</v>
      </c>
      <c r="F84" s="20">
        <v>2027</v>
      </c>
      <c r="G84" s="2" t="s">
        <v>751</v>
      </c>
      <c r="H84" s="21">
        <v>11035.63</v>
      </c>
      <c r="I84" s="21">
        <v>11035.63</v>
      </c>
      <c r="J84" s="23">
        <v>5.3999999999999999E-2</v>
      </c>
      <c r="K84" s="2" t="s">
        <v>724</v>
      </c>
      <c r="L84" s="25">
        <v>46281</v>
      </c>
    </row>
    <row r="85" spans="1:12" ht="15.35" hidden="1" x14ac:dyDescent="0.55000000000000004">
      <c r="A85" s="20">
        <v>651</v>
      </c>
      <c r="B85" s="2"/>
      <c r="C85" s="2" t="s">
        <v>269</v>
      </c>
      <c r="D85" s="20">
        <v>0</v>
      </c>
      <c r="E85" s="2" t="s">
        <v>270</v>
      </c>
      <c r="F85" s="20">
        <v>2026</v>
      </c>
      <c r="G85" s="2" t="s">
        <v>752</v>
      </c>
      <c r="H85" s="21">
        <v>5610.6</v>
      </c>
      <c r="I85" s="21">
        <v>7480.81</v>
      </c>
      <c r="J85" s="23">
        <v>5.5500000000000001E-2</v>
      </c>
      <c r="K85" s="2" t="s">
        <v>724</v>
      </c>
      <c r="L85" s="25">
        <v>46281</v>
      </c>
    </row>
    <row r="86" spans="1:12" ht="15.35" hidden="1" x14ac:dyDescent="0.55000000000000004">
      <c r="A86" s="20">
        <v>651</v>
      </c>
      <c r="B86" s="2"/>
      <c r="C86" s="2" t="s">
        <v>269</v>
      </c>
      <c r="D86" s="20">
        <v>0</v>
      </c>
      <c r="E86" s="2" t="s">
        <v>270</v>
      </c>
      <c r="F86" s="20">
        <v>2027</v>
      </c>
      <c r="G86" s="2" t="s">
        <v>751</v>
      </c>
      <c r="H86" s="21">
        <v>6464.11</v>
      </c>
      <c r="I86" s="21">
        <v>6464.11</v>
      </c>
      <c r="J86" s="23">
        <v>4.82E-2</v>
      </c>
      <c r="K86" s="2" t="s">
        <v>724</v>
      </c>
      <c r="L86" s="25">
        <v>46281</v>
      </c>
    </row>
    <row r="87" spans="1:12" ht="15.35" hidden="1" x14ac:dyDescent="0.55000000000000004">
      <c r="A87" s="20">
        <v>652</v>
      </c>
      <c r="B87" s="2"/>
      <c r="C87" s="2" t="s">
        <v>271</v>
      </c>
      <c r="D87" s="20">
        <v>0</v>
      </c>
      <c r="E87" s="2" t="s">
        <v>272</v>
      </c>
      <c r="F87" s="20">
        <v>2026</v>
      </c>
      <c r="G87" s="2" t="s">
        <v>752</v>
      </c>
      <c r="H87" s="21">
        <v>13773.43</v>
      </c>
      <c r="I87" s="21">
        <v>18364.57</v>
      </c>
      <c r="J87" s="23">
        <v>4.7899999999999998E-2</v>
      </c>
      <c r="K87" s="2" t="s">
        <v>724</v>
      </c>
      <c r="L87" s="25">
        <v>46284</v>
      </c>
    </row>
    <row r="88" spans="1:12" ht="15.35" hidden="1" x14ac:dyDescent="0.55000000000000004">
      <c r="A88" s="20">
        <v>652</v>
      </c>
      <c r="B88" s="2"/>
      <c r="C88" s="2" t="s">
        <v>271</v>
      </c>
      <c r="D88" s="20">
        <v>0</v>
      </c>
      <c r="E88" s="2" t="s">
        <v>272</v>
      </c>
      <c r="F88" s="20">
        <v>2027</v>
      </c>
      <c r="G88" s="2" t="s">
        <v>751</v>
      </c>
      <c r="H88" s="21">
        <v>18143.86</v>
      </c>
      <c r="I88" s="21">
        <v>18143.86</v>
      </c>
      <c r="J88" s="23">
        <v>4.7500000000000001E-2</v>
      </c>
      <c r="K88" s="2" t="s">
        <v>724</v>
      </c>
      <c r="L88" s="25">
        <v>46284</v>
      </c>
    </row>
    <row r="89" spans="1:12" ht="15.35" hidden="1" x14ac:dyDescent="0.55000000000000004">
      <c r="A89" s="20">
        <v>653</v>
      </c>
      <c r="B89" s="2"/>
      <c r="C89" s="2" t="s">
        <v>274</v>
      </c>
      <c r="D89" s="20">
        <v>0</v>
      </c>
      <c r="E89" s="2" t="s">
        <v>275</v>
      </c>
      <c r="F89" s="20">
        <v>2026</v>
      </c>
      <c r="G89" s="2" t="s">
        <v>752</v>
      </c>
      <c r="H89" s="21">
        <v>7307.62</v>
      </c>
      <c r="I89" s="21">
        <v>9743.5</v>
      </c>
      <c r="J89" s="23">
        <v>0.04</v>
      </c>
      <c r="K89" s="2" t="s">
        <v>724</v>
      </c>
      <c r="L89" s="25">
        <v>46289</v>
      </c>
    </row>
    <row r="90" spans="1:12" ht="15.35" hidden="1" x14ac:dyDescent="0.55000000000000004">
      <c r="A90" s="20">
        <v>653</v>
      </c>
      <c r="B90" s="2"/>
      <c r="C90" s="2" t="s">
        <v>274</v>
      </c>
      <c r="D90" s="20">
        <v>0</v>
      </c>
      <c r="E90" s="2" t="s">
        <v>275</v>
      </c>
      <c r="F90" s="20">
        <v>2027</v>
      </c>
      <c r="G90" s="2" t="s">
        <v>751</v>
      </c>
      <c r="H90" s="21">
        <v>12958.69</v>
      </c>
      <c r="I90" s="21">
        <v>12958.69</v>
      </c>
      <c r="J90" s="23">
        <v>5.3600000000000002E-2</v>
      </c>
      <c r="K90" s="2" t="s">
        <v>724</v>
      </c>
      <c r="L90" s="25">
        <v>46289</v>
      </c>
    </row>
    <row r="91" spans="1:12" ht="15.35" hidden="1" x14ac:dyDescent="0.55000000000000004">
      <c r="A91" s="20">
        <v>655</v>
      </c>
      <c r="B91" s="2"/>
      <c r="C91" s="2" t="s">
        <v>276</v>
      </c>
      <c r="D91" s="20">
        <v>0</v>
      </c>
      <c r="E91" s="2" t="s">
        <v>277</v>
      </c>
      <c r="F91" s="20">
        <v>2026</v>
      </c>
      <c r="G91" s="2" t="s">
        <v>752</v>
      </c>
      <c r="H91" s="21">
        <v>5426.78</v>
      </c>
      <c r="I91" s="21">
        <v>7235.71</v>
      </c>
      <c r="J91" s="23">
        <v>5.7799999999999997E-2</v>
      </c>
      <c r="K91" s="2" t="s">
        <v>724</v>
      </c>
      <c r="L91" s="25">
        <v>46289</v>
      </c>
    </row>
    <row r="92" spans="1:12" ht="15.35" hidden="1" x14ac:dyDescent="0.55000000000000004">
      <c r="A92" s="20">
        <v>655</v>
      </c>
      <c r="B92" s="2"/>
      <c r="C92" s="2" t="s">
        <v>276</v>
      </c>
      <c r="D92" s="20">
        <v>0</v>
      </c>
      <c r="E92" s="2" t="s">
        <v>277</v>
      </c>
      <c r="F92" s="20">
        <v>2027</v>
      </c>
      <c r="G92" s="2" t="s">
        <v>751</v>
      </c>
      <c r="H92" s="21">
        <v>7268.3</v>
      </c>
      <c r="I92" s="21">
        <v>7268.3</v>
      </c>
      <c r="J92" s="23">
        <v>5.8099999999999999E-2</v>
      </c>
      <c r="K92" s="2" t="s">
        <v>724</v>
      </c>
      <c r="L92" s="25">
        <v>46289</v>
      </c>
    </row>
    <row r="93" spans="1:12" ht="15.35" hidden="1" x14ac:dyDescent="0.55000000000000004">
      <c r="A93" s="20">
        <v>656</v>
      </c>
      <c r="B93" s="2"/>
      <c r="C93" s="2" t="s">
        <v>279</v>
      </c>
      <c r="D93" s="20">
        <v>0</v>
      </c>
      <c r="E93" s="2" t="s">
        <v>280</v>
      </c>
      <c r="F93" s="20">
        <v>2026</v>
      </c>
      <c r="G93" s="2" t="s">
        <v>752</v>
      </c>
      <c r="H93" s="21">
        <v>6890.44</v>
      </c>
      <c r="I93" s="21">
        <v>9187.25</v>
      </c>
      <c r="J93" s="23">
        <v>5.0700000000000002E-2</v>
      </c>
      <c r="K93" s="2" t="s">
        <v>724</v>
      </c>
      <c r="L93" s="25">
        <v>46289</v>
      </c>
    </row>
    <row r="94" spans="1:12" ht="15.35" hidden="1" x14ac:dyDescent="0.55000000000000004">
      <c r="A94" s="20">
        <v>656</v>
      </c>
      <c r="B94" s="2"/>
      <c r="C94" s="2" t="s">
        <v>279</v>
      </c>
      <c r="D94" s="20">
        <v>0</v>
      </c>
      <c r="E94" s="2" t="s">
        <v>280</v>
      </c>
      <c r="F94" s="20">
        <v>2027</v>
      </c>
      <c r="G94" s="2" t="s">
        <v>751</v>
      </c>
      <c r="H94" s="21">
        <v>9104.5499999999993</v>
      </c>
      <c r="I94" s="21">
        <v>9104.5499999999993</v>
      </c>
      <c r="J94" s="23">
        <v>5.0200000000000002E-2</v>
      </c>
      <c r="K94" s="2" t="s">
        <v>724</v>
      </c>
      <c r="L94" s="25">
        <v>46289</v>
      </c>
    </row>
  </sheetData>
  <autoFilter ref="A2:L94" xr:uid="{00000000-0009-0000-0000-000005000000}">
    <filterColumn colId="2">
      <filters>
        <filter val="华夏华润消费REIT"/>
        <filter val="华夏华润置地"/>
      </filters>
    </filterColumn>
  </autoFilter>
  <mergeCells count="1">
    <mergeCell ref="B1:C1"/>
  </mergeCells>
  <phoneticPr fontId="17" type="noConversion"/>
  <hyperlinks>
    <hyperlink ref="B1" location="'数据概览'!A1" tooltip="返回数据概览" display="⬅ 返回数据概览" xr:uid="{00000000-0004-0000-0500-000000000000}"/>
  </hyperlink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S19"/>
  <sheetViews>
    <sheetView workbookViewId="0">
      <pane xSplit="3" ySplit="2" topLeftCell="D3" activePane="bottomRight" state="frozen"/>
      <selection pane="topRight"/>
      <selection pane="bottomLeft"/>
      <selection pane="bottomRight" activeCell="A3" sqref="A3:XFD17"/>
    </sheetView>
  </sheetViews>
  <sheetFormatPr defaultRowHeight="14.35" x14ac:dyDescent="0.4"/>
  <cols>
    <col min="1" max="1" width="5" hidden="1" customWidth="1"/>
    <col min="2" max="2" width="8" customWidth="1"/>
    <col min="3" max="3" width="26" customWidth="1"/>
    <col min="4" max="4" width="6" customWidth="1"/>
    <col min="5" max="5" width="8" customWidth="1"/>
    <col min="6" max="6" width="7" customWidth="1"/>
    <col min="7" max="7" width="10" customWidth="1"/>
    <col min="8" max="8" width="11" customWidth="1"/>
    <col min="9" max="9" width="16" customWidth="1"/>
    <col min="10" max="10" width="7" customWidth="1"/>
    <col min="11" max="11" width="13" customWidth="1"/>
    <col min="12" max="13" width="11" customWidth="1"/>
    <col min="14" max="15" width="10" customWidth="1"/>
    <col min="16" max="16" width="9" customWidth="1"/>
    <col min="17" max="17" width="13" customWidth="1"/>
    <col min="18" max="18" width="10" customWidth="1"/>
    <col min="19" max="19" width="11" customWidth="1"/>
    <col min="20" max="20" width="13" customWidth="1"/>
  </cols>
  <sheetData>
    <row r="1" spans="1:19" ht="15.35" x14ac:dyDescent="0.55000000000000004">
      <c r="A1" s="32"/>
      <c r="B1" s="61" t="s">
        <v>87</v>
      </c>
      <c r="C1" s="62"/>
      <c r="D1" s="32"/>
      <c r="E1" s="32"/>
      <c r="F1" s="32"/>
      <c r="G1" s="32"/>
      <c r="H1" s="32"/>
      <c r="I1" s="32" t="s">
        <v>756</v>
      </c>
      <c r="J1" s="33">
        <f ca="1">IFERROR(SUMPRODUCT(SUBTOTAL(9,OFFSET(J$3,ROW(J$3:J$19)-3,0,1)),SUBTOTAL(9,OFFSET(K$3,ROW(K$3:K$19)-3,0,1)))/SUBTOTAL(9,K$3:K$19),"")</f>
        <v>4.5723662895980337E-2</v>
      </c>
      <c r="K1" s="34" t="s">
        <v>757</v>
      </c>
      <c r="L1" s="35">
        <v>46303</v>
      </c>
      <c r="M1" s="32"/>
      <c r="N1" s="32"/>
      <c r="O1" s="32"/>
      <c r="P1" s="32"/>
      <c r="Q1" s="32"/>
      <c r="R1" s="32"/>
      <c r="S1" s="32"/>
    </row>
    <row r="2" spans="1:19" ht="45" customHeight="1" x14ac:dyDescent="0.4">
      <c r="A2" s="6" t="s">
        <v>88</v>
      </c>
      <c r="B2" s="6" t="s">
        <v>89</v>
      </c>
      <c r="C2" s="6" t="s">
        <v>90</v>
      </c>
      <c r="D2" s="6" t="s">
        <v>758</v>
      </c>
      <c r="E2" s="6" t="s">
        <v>759</v>
      </c>
      <c r="F2" s="6" t="s">
        <v>760</v>
      </c>
      <c r="G2" s="6" t="s">
        <v>761</v>
      </c>
      <c r="H2" s="6" t="s">
        <v>762</v>
      </c>
      <c r="I2" s="6" t="s">
        <v>763</v>
      </c>
      <c r="J2" s="6" t="s">
        <v>764</v>
      </c>
      <c r="K2" s="6" t="s">
        <v>765</v>
      </c>
      <c r="L2" s="6" t="s">
        <v>766</v>
      </c>
      <c r="M2" s="6" t="s">
        <v>767</v>
      </c>
      <c r="N2" s="6" t="s">
        <v>768</v>
      </c>
      <c r="O2" s="6" t="s">
        <v>769</v>
      </c>
      <c r="P2" s="6" t="s">
        <v>770</v>
      </c>
      <c r="Q2" s="6" t="s">
        <v>771</v>
      </c>
      <c r="R2" s="6" t="s">
        <v>772</v>
      </c>
      <c r="S2" s="6" t="s">
        <v>773</v>
      </c>
    </row>
    <row r="3" spans="1:19" s="58" customFormat="1" ht="15.35" x14ac:dyDescent="0.55000000000000004">
      <c r="A3" s="53">
        <v>512</v>
      </c>
      <c r="B3" s="54" t="s">
        <v>148</v>
      </c>
      <c r="C3" s="54" t="s">
        <v>149</v>
      </c>
      <c r="D3" s="53">
        <v>2026</v>
      </c>
      <c r="E3" s="54" t="s">
        <v>774</v>
      </c>
      <c r="F3" s="59">
        <v>10</v>
      </c>
      <c r="G3" s="56">
        <v>9213.5499999999993</v>
      </c>
      <c r="H3" s="56">
        <v>36790.269999999997</v>
      </c>
      <c r="I3" s="56">
        <v>36790.269999999997</v>
      </c>
      <c r="J3" s="57">
        <v>3.9558999999999997E-2</v>
      </c>
      <c r="K3" s="56">
        <v>930000</v>
      </c>
      <c r="L3" s="56">
        <v>19994.8</v>
      </c>
      <c r="M3" s="56">
        <v>1831.02</v>
      </c>
      <c r="N3" s="56">
        <v>8358.26</v>
      </c>
      <c r="O3" s="56">
        <v>1001.64</v>
      </c>
      <c r="P3" s="60"/>
      <c r="Q3" s="56">
        <v>11190.92</v>
      </c>
      <c r="R3" s="56">
        <v>2211.6999999999998</v>
      </c>
      <c r="S3" s="56">
        <v>-4189.07</v>
      </c>
    </row>
    <row r="4" spans="1:19" ht="15.35" x14ac:dyDescent="0.55000000000000004">
      <c r="A4" s="20">
        <v>513</v>
      </c>
      <c r="B4" s="2" t="s">
        <v>153</v>
      </c>
      <c r="C4" s="2" t="s">
        <v>154</v>
      </c>
      <c r="D4" s="20">
        <v>2026</v>
      </c>
      <c r="E4" s="2" t="s">
        <v>774</v>
      </c>
      <c r="F4" s="59">
        <v>10</v>
      </c>
      <c r="G4" s="21">
        <v>4346.7</v>
      </c>
      <c r="H4" s="21">
        <v>17367.009999999998</v>
      </c>
      <c r="I4" s="21">
        <v>17367.009999999998</v>
      </c>
      <c r="J4" s="23">
        <v>4.5345000000000003E-2</v>
      </c>
      <c r="K4" s="21">
        <v>383000</v>
      </c>
      <c r="L4" s="21">
        <v>8819.7999999999993</v>
      </c>
      <c r="M4" s="21">
        <v>630.39</v>
      </c>
      <c r="N4" s="21">
        <v>4238.09</v>
      </c>
      <c r="O4" s="21">
        <v>526.29</v>
      </c>
      <c r="P4" s="21">
        <v>176.18</v>
      </c>
      <c r="Q4" s="21">
        <v>5570.95</v>
      </c>
      <c r="R4" s="21">
        <v>3742.2</v>
      </c>
      <c r="S4" s="21">
        <v>-4966.46</v>
      </c>
    </row>
    <row r="5" spans="1:19" ht="15.35" x14ac:dyDescent="0.55000000000000004">
      <c r="A5" s="20">
        <v>514</v>
      </c>
      <c r="B5" s="2" t="s">
        <v>157</v>
      </c>
      <c r="C5" s="2" t="s">
        <v>158</v>
      </c>
      <c r="D5" s="20">
        <v>2026</v>
      </c>
      <c r="E5" s="2" t="s">
        <v>774</v>
      </c>
      <c r="F5" s="59">
        <v>10</v>
      </c>
      <c r="G5" s="21">
        <v>4598.03</v>
      </c>
      <c r="H5" s="21">
        <v>18417.11</v>
      </c>
      <c r="I5" s="21">
        <v>18417.11</v>
      </c>
      <c r="J5" s="23">
        <v>4.283E-2</v>
      </c>
      <c r="K5" s="21">
        <v>430000</v>
      </c>
      <c r="L5" s="21">
        <v>8838.9699999999993</v>
      </c>
      <c r="M5" s="21">
        <v>1259.73</v>
      </c>
      <c r="N5" s="21">
        <v>3486.74</v>
      </c>
      <c r="O5" s="27"/>
      <c r="P5" s="21">
        <v>27.57</v>
      </c>
      <c r="Q5" s="21">
        <v>4774.05</v>
      </c>
      <c r="R5" s="21">
        <v>625.72</v>
      </c>
      <c r="S5" s="21">
        <v>-801.74</v>
      </c>
    </row>
    <row r="6" spans="1:19" ht="15.35" x14ac:dyDescent="0.55000000000000004">
      <c r="A6" s="20">
        <v>515</v>
      </c>
      <c r="B6" s="2" t="s">
        <v>161</v>
      </c>
      <c r="C6" s="2" t="s">
        <v>162</v>
      </c>
      <c r="D6" s="20">
        <v>2026</v>
      </c>
      <c r="E6" s="2" t="s">
        <v>774</v>
      </c>
      <c r="F6" s="59">
        <v>6</v>
      </c>
      <c r="G6" s="21">
        <v>2290.27</v>
      </c>
      <c r="H6" s="21">
        <v>8241.0300000000007</v>
      </c>
      <c r="I6" s="21">
        <v>8241.0300000000007</v>
      </c>
      <c r="J6" s="23">
        <v>3.9716000000000001E-2</v>
      </c>
      <c r="K6" s="21">
        <v>207500</v>
      </c>
      <c r="L6" s="21">
        <v>2735</v>
      </c>
      <c r="M6" s="21">
        <v>770.88</v>
      </c>
      <c r="N6" s="21">
        <v>1282.02</v>
      </c>
      <c r="O6" s="27"/>
      <c r="P6" s="21">
        <v>245.58</v>
      </c>
      <c r="Q6" s="21">
        <v>2298.48</v>
      </c>
      <c r="R6" s="21">
        <v>1502.96</v>
      </c>
      <c r="S6" s="21">
        <v>-1511.17</v>
      </c>
    </row>
    <row r="7" spans="1:19" ht="15.35" x14ac:dyDescent="0.55000000000000004">
      <c r="A7" s="20">
        <v>516</v>
      </c>
      <c r="B7" s="2" t="s">
        <v>166</v>
      </c>
      <c r="C7" s="2" t="s">
        <v>167</v>
      </c>
      <c r="D7" s="20">
        <v>2026</v>
      </c>
      <c r="E7" s="2" t="s">
        <v>774</v>
      </c>
      <c r="F7" s="59">
        <v>4</v>
      </c>
      <c r="G7" s="21">
        <v>2003.84</v>
      </c>
      <c r="H7" s="21">
        <v>8122.37</v>
      </c>
      <c r="I7" s="21">
        <v>8122.37</v>
      </c>
      <c r="J7" s="23">
        <v>4.4727000000000003E-2</v>
      </c>
      <c r="K7" s="21">
        <v>181600</v>
      </c>
      <c r="L7" s="21">
        <v>4196.6499999999996</v>
      </c>
      <c r="M7" s="21">
        <v>435.88</v>
      </c>
      <c r="N7" s="21">
        <v>1913.55</v>
      </c>
      <c r="O7" s="21">
        <v>64.3</v>
      </c>
      <c r="P7" s="27"/>
      <c r="Q7" s="21">
        <v>2413.73</v>
      </c>
      <c r="R7" s="21">
        <v>4026.82</v>
      </c>
      <c r="S7" s="21">
        <v>-4436.71</v>
      </c>
    </row>
    <row r="8" spans="1:19" ht="15.35" x14ac:dyDescent="0.55000000000000004">
      <c r="A8" s="20">
        <v>474</v>
      </c>
      <c r="B8" s="2" t="s">
        <v>128</v>
      </c>
      <c r="C8" s="2" t="s">
        <v>129</v>
      </c>
      <c r="D8" s="20">
        <v>2026</v>
      </c>
      <c r="E8" s="2" t="s">
        <v>774</v>
      </c>
      <c r="F8" s="59">
        <v>10</v>
      </c>
      <c r="G8" s="21">
        <v>3223.91</v>
      </c>
      <c r="H8" s="21">
        <v>14175.61</v>
      </c>
      <c r="I8" s="21">
        <v>14175.61</v>
      </c>
      <c r="J8" s="23">
        <v>5.5546999999999999E-2</v>
      </c>
      <c r="K8" s="21">
        <v>255200</v>
      </c>
      <c r="L8" s="21">
        <v>5350.55</v>
      </c>
      <c r="M8" s="21">
        <v>300.95</v>
      </c>
      <c r="N8" s="21">
        <v>3100.17</v>
      </c>
      <c r="O8" s="27"/>
      <c r="P8" s="27"/>
      <c r="Q8" s="21">
        <v>3401.12</v>
      </c>
      <c r="R8" s="21">
        <v>371.52</v>
      </c>
      <c r="S8" s="21">
        <v>-548.73</v>
      </c>
    </row>
    <row r="9" spans="1:19" ht="15.35" x14ac:dyDescent="0.55000000000000004">
      <c r="A9" s="20">
        <v>476</v>
      </c>
      <c r="B9" s="2" t="s">
        <v>135</v>
      </c>
      <c r="C9" s="2" t="s">
        <v>136</v>
      </c>
      <c r="D9" s="20">
        <v>2026</v>
      </c>
      <c r="E9" s="2" t="s">
        <v>774</v>
      </c>
      <c r="F9" s="59">
        <v>10</v>
      </c>
      <c r="G9" s="21">
        <v>2971.6</v>
      </c>
      <c r="H9" s="21">
        <v>13682.72</v>
      </c>
      <c r="I9" s="21">
        <v>13682.72</v>
      </c>
      <c r="J9" s="23">
        <v>4.2084999999999997E-2</v>
      </c>
      <c r="K9" s="21">
        <v>325120</v>
      </c>
      <c r="L9" s="21">
        <v>6066.21</v>
      </c>
      <c r="M9" s="21">
        <v>1447.11</v>
      </c>
      <c r="N9" s="21">
        <v>1632.55</v>
      </c>
      <c r="O9" s="27"/>
      <c r="P9" s="21">
        <v>278.38</v>
      </c>
      <c r="Q9" s="21">
        <v>3358.04</v>
      </c>
      <c r="R9" s="21">
        <v>1435.53</v>
      </c>
      <c r="S9" s="21">
        <v>-1821.97</v>
      </c>
    </row>
    <row r="10" spans="1:19" ht="15.35" x14ac:dyDescent="0.55000000000000004">
      <c r="A10" s="20">
        <v>482</v>
      </c>
      <c r="B10" s="2" t="s">
        <v>140</v>
      </c>
      <c r="C10" s="2" t="s">
        <v>141</v>
      </c>
      <c r="D10" s="20">
        <v>2026</v>
      </c>
      <c r="E10" s="2" t="s">
        <v>774</v>
      </c>
      <c r="F10" s="59">
        <v>10</v>
      </c>
      <c r="G10" s="21">
        <v>1811.4</v>
      </c>
      <c r="H10" s="21">
        <v>7067.35</v>
      </c>
      <c r="I10" s="21">
        <v>7067.35</v>
      </c>
      <c r="J10" s="23">
        <v>5.6071999999999997E-2</v>
      </c>
      <c r="K10" s="21">
        <v>126040</v>
      </c>
      <c r="L10" s="21">
        <v>2742.37</v>
      </c>
      <c r="M10" s="21">
        <v>659.19</v>
      </c>
      <c r="N10" s="21">
        <v>1104.49</v>
      </c>
      <c r="O10" s="27"/>
      <c r="P10" s="21">
        <v>255.31</v>
      </c>
      <c r="Q10" s="21">
        <v>2018.99</v>
      </c>
      <c r="R10" s="21">
        <v>869.59</v>
      </c>
      <c r="S10" s="21">
        <v>-1077.17</v>
      </c>
    </row>
    <row r="11" spans="1:19" ht="15.35" x14ac:dyDescent="0.55000000000000004">
      <c r="A11" s="20">
        <v>485</v>
      </c>
      <c r="B11" s="2" t="s">
        <v>144</v>
      </c>
      <c r="C11" s="2" t="s">
        <v>145</v>
      </c>
      <c r="D11" s="20">
        <v>2026</v>
      </c>
      <c r="E11" s="2" t="s">
        <v>774</v>
      </c>
      <c r="F11" s="59">
        <v>10</v>
      </c>
      <c r="G11" s="21">
        <v>1494.93</v>
      </c>
      <c r="H11" s="21">
        <v>5964.6</v>
      </c>
      <c r="I11" s="21">
        <v>5964.6</v>
      </c>
      <c r="J11" s="23">
        <v>4.1897999999999998E-2</v>
      </c>
      <c r="K11" s="21">
        <v>142360</v>
      </c>
      <c r="L11" s="21">
        <v>2580.02</v>
      </c>
      <c r="M11" s="21">
        <v>503.65</v>
      </c>
      <c r="N11" s="21">
        <v>944.84</v>
      </c>
      <c r="O11" s="27"/>
      <c r="P11" s="27"/>
      <c r="Q11" s="21">
        <v>1448.49</v>
      </c>
      <c r="R11" s="21">
        <v>972.66</v>
      </c>
      <c r="S11" s="21">
        <v>-926.22</v>
      </c>
    </row>
    <row r="12" spans="1:19" ht="15.35" x14ac:dyDescent="0.55000000000000004">
      <c r="A12" s="20">
        <v>569</v>
      </c>
      <c r="B12" s="2" t="s">
        <v>169</v>
      </c>
      <c r="C12" s="2" t="s">
        <v>170</v>
      </c>
      <c r="D12" s="20">
        <v>2026</v>
      </c>
      <c r="E12" s="2" t="s">
        <v>774</v>
      </c>
      <c r="F12" s="59">
        <v>3</v>
      </c>
      <c r="G12" s="21">
        <v>2617.6799999999998</v>
      </c>
      <c r="H12" s="27"/>
      <c r="I12" s="56">
        <v>10350.58</v>
      </c>
      <c r="J12" s="23">
        <v>4.9523999999999999E-2</v>
      </c>
      <c r="K12" s="21">
        <v>209000</v>
      </c>
      <c r="L12" s="21">
        <v>6078.78</v>
      </c>
      <c r="M12" s="21">
        <v>65.489999999999995</v>
      </c>
      <c r="N12" s="21">
        <v>2890.13</v>
      </c>
      <c r="O12" s="21">
        <v>296.29000000000002</v>
      </c>
      <c r="P12" s="21">
        <v>-33.25</v>
      </c>
      <c r="Q12" s="21">
        <v>3218.66</v>
      </c>
      <c r="R12" s="21">
        <v>724.05</v>
      </c>
      <c r="S12" s="21">
        <v>-1325.02</v>
      </c>
    </row>
    <row r="13" spans="1:19" ht="15.35" x14ac:dyDescent="0.55000000000000004">
      <c r="A13" s="20">
        <v>585</v>
      </c>
      <c r="B13" s="2" t="s">
        <v>176</v>
      </c>
      <c r="C13" s="2" t="s">
        <v>177</v>
      </c>
      <c r="D13" s="20">
        <v>2026</v>
      </c>
      <c r="E13" s="2" t="s">
        <v>774</v>
      </c>
      <c r="F13" s="59">
        <v>3</v>
      </c>
      <c r="G13" s="21">
        <v>4098.3</v>
      </c>
      <c r="H13" s="27"/>
      <c r="I13" s="21">
        <v>16382.2</v>
      </c>
      <c r="J13" s="23">
        <v>4.1265000000000003E-2</v>
      </c>
      <c r="K13" s="21">
        <v>397000</v>
      </c>
      <c r="L13" s="21">
        <v>6743.95</v>
      </c>
      <c r="M13" s="21">
        <v>-1450.89</v>
      </c>
      <c r="N13" s="21">
        <v>5496.94</v>
      </c>
      <c r="O13" s="21">
        <v>134.77000000000001</v>
      </c>
      <c r="P13" s="21">
        <v>463.83</v>
      </c>
      <c r="Q13" s="21">
        <v>4644.6499999999996</v>
      </c>
      <c r="R13" s="21">
        <v>7658.3</v>
      </c>
      <c r="S13" s="21">
        <v>-7601.58</v>
      </c>
    </row>
    <row r="14" spans="1:19" ht="15.35" x14ac:dyDescent="0.55000000000000004">
      <c r="A14" s="20">
        <v>582</v>
      </c>
      <c r="B14" s="2" t="s">
        <v>173</v>
      </c>
      <c r="C14" s="2" t="s">
        <v>174</v>
      </c>
      <c r="D14" s="20">
        <v>2026</v>
      </c>
      <c r="E14" s="2" t="s">
        <v>774</v>
      </c>
      <c r="F14" s="59">
        <v>3</v>
      </c>
      <c r="G14" s="21">
        <v>1701.84</v>
      </c>
      <c r="H14" s="27"/>
      <c r="I14" s="21">
        <v>6673.82</v>
      </c>
      <c r="J14" s="23">
        <v>4.2681999999999998E-2</v>
      </c>
      <c r="K14" s="21">
        <v>156360</v>
      </c>
      <c r="L14" s="21">
        <v>3280.68</v>
      </c>
      <c r="M14" s="21">
        <v>-51.93</v>
      </c>
      <c r="N14" s="21">
        <v>1668.72</v>
      </c>
      <c r="O14" s="21">
        <v>42.42</v>
      </c>
      <c r="P14" s="21">
        <v>119.42</v>
      </c>
      <c r="Q14" s="21">
        <v>1778.63</v>
      </c>
      <c r="R14" s="21">
        <v>147.16999999999999</v>
      </c>
      <c r="S14" s="21">
        <v>-223.96</v>
      </c>
    </row>
    <row r="15" spans="1:19" ht="15.35" x14ac:dyDescent="0.55000000000000004">
      <c r="A15" s="20">
        <v>607</v>
      </c>
      <c r="B15" s="2" t="s">
        <v>188</v>
      </c>
      <c r="C15" s="2" t="s">
        <v>189</v>
      </c>
      <c r="F15" s="30"/>
      <c r="G15" s="27"/>
      <c r="H15" s="27"/>
      <c r="I15" s="56">
        <v>18758.7</v>
      </c>
      <c r="J15" s="23">
        <v>5.3827E-2</v>
      </c>
      <c r="K15" s="21">
        <v>348500</v>
      </c>
      <c r="L15" s="27"/>
      <c r="M15" s="27"/>
      <c r="N15" s="27"/>
      <c r="O15" s="27"/>
      <c r="P15" s="27"/>
      <c r="Q15" s="27"/>
      <c r="R15" s="27"/>
      <c r="S15" s="27"/>
    </row>
    <row r="16" spans="1:19" ht="15.35" x14ac:dyDescent="0.55000000000000004">
      <c r="A16" s="20">
        <v>605</v>
      </c>
      <c r="B16" s="2" t="s">
        <v>184</v>
      </c>
      <c r="C16" s="2" t="s">
        <v>185</v>
      </c>
      <c r="F16" s="30"/>
      <c r="G16" s="27"/>
      <c r="H16" s="27"/>
      <c r="I16" s="21">
        <v>35825.53</v>
      </c>
      <c r="J16" s="23">
        <v>4.6794000000000002E-2</v>
      </c>
      <c r="K16" s="21">
        <v>765600</v>
      </c>
      <c r="L16" s="27"/>
      <c r="M16" s="27"/>
      <c r="N16" s="27"/>
      <c r="O16" s="27"/>
      <c r="P16" s="27"/>
      <c r="Q16" s="27"/>
      <c r="R16" s="27"/>
      <c r="S16" s="27"/>
    </row>
    <row r="17" spans="1:19" ht="15.35" x14ac:dyDescent="0.55000000000000004">
      <c r="A17" s="20">
        <v>603</v>
      </c>
      <c r="B17" s="2" t="s">
        <v>180</v>
      </c>
      <c r="C17" s="2" t="s">
        <v>181</v>
      </c>
      <c r="F17" s="30"/>
      <c r="G17" s="27"/>
      <c r="H17" s="27"/>
      <c r="I17" s="21">
        <v>29175.29</v>
      </c>
      <c r="J17" s="23">
        <v>4.6206999999999998E-2</v>
      </c>
      <c r="K17" s="21">
        <v>631400</v>
      </c>
      <c r="L17" s="27"/>
      <c r="M17" s="27"/>
      <c r="N17" s="27"/>
      <c r="O17" s="27"/>
      <c r="P17" s="27"/>
      <c r="Q17" s="27"/>
      <c r="R17" s="27"/>
      <c r="S17" s="27"/>
    </row>
    <row r="18" spans="1:19" ht="15.35" x14ac:dyDescent="0.55000000000000004">
      <c r="A18" s="20">
        <v>611</v>
      </c>
      <c r="B18" s="2" t="s">
        <v>193</v>
      </c>
      <c r="C18" s="2" t="s">
        <v>194</v>
      </c>
      <c r="F18" s="30"/>
      <c r="G18" s="27"/>
      <c r="H18" s="27"/>
      <c r="I18" s="21">
        <v>15330.44</v>
      </c>
      <c r="J18" s="23">
        <v>5.2809000000000002E-2</v>
      </c>
      <c r="K18" s="21">
        <v>290300</v>
      </c>
      <c r="L18" s="27"/>
      <c r="M18" s="27"/>
      <c r="N18" s="27"/>
      <c r="O18" s="27"/>
      <c r="P18" s="27"/>
      <c r="Q18" s="27"/>
      <c r="R18" s="27"/>
      <c r="S18" s="27"/>
    </row>
    <row r="19" spans="1:19" ht="15.35" x14ac:dyDescent="0.55000000000000004">
      <c r="A19" s="20">
        <v>618</v>
      </c>
      <c r="B19" s="2" t="s">
        <v>197</v>
      </c>
      <c r="C19" s="2" t="s">
        <v>198</v>
      </c>
      <c r="F19" s="30"/>
      <c r="G19" s="27"/>
      <c r="H19" s="27"/>
      <c r="I19" s="21">
        <v>12291.67</v>
      </c>
      <c r="J19" s="23">
        <v>5.4148000000000002E-2</v>
      </c>
      <c r="K19" s="21">
        <v>227000</v>
      </c>
      <c r="L19" s="27"/>
      <c r="M19" s="27"/>
      <c r="N19" s="27"/>
      <c r="O19" s="27"/>
      <c r="P19" s="27"/>
      <c r="Q19" s="27"/>
      <c r="R19" s="27"/>
      <c r="S19" s="27"/>
    </row>
  </sheetData>
  <autoFilter ref="A2:S19" xr:uid="{00000000-0009-0000-0000-000006000000}"/>
  <mergeCells count="1">
    <mergeCell ref="B1:C1"/>
  </mergeCells>
  <phoneticPr fontId="17" type="noConversion"/>
  <hyperlinks>
    <hyperlink ref="B1" location="'数据概览'!A1" tooltip="返回数据概览" display="⬅ 返回数据概览" xr:uid="{00000000-0004-0000-0600-000000000000}"/>
  </hyperlinks>
  <pageMargins left="0.75" right="0.75" top="1" bottom="1" header="0.5" footer="0.5"/>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dimension ref="A1:L5537"/>
  <sheetViews>
    <sheetView workbookViewId="0">
      <pane xSplit="3" ySplit="2" topLeftCell="D3934" activePane="bottomRight" state="frozen"/>
      <selection pane="topRight"/>
      <selection pane="bottomLeft"/>
      <selection pane="bottomRight" activeCell="G1" sqref="G1:G1048576"/>
    </sheetView>
  </sheetViews>
  <sheetFormatPr defaultRowHeight="14.35" x14ac:dyDescent="0.4"/>
  <cols>
    <col min="1" max="1" width="7" hidden="1" customWidth="1"/>
    <col min="2" max="2" width="8" customWidth="1"/>
    <col min="3" max="3" width="26" customWidth="1"/>
    <col min="4" max="4" width="6" hidden="1" customWidth="1"/>
    <col min="5" max="5" width="6" customWidth="1"/>
    <col min="6" max="6" width="14" customWidth="1"/>
    <col min="7" max="7" width="27.8203125" customWidth="1"/>
    <col min="8" max="8" width="67.64453125" customWidth="1"/>
    <col min="9" max="9" width="10" customWidth="1"/>
    <col min="10" max="10" width="12" customWidth="1"/>
    <col min="11" max="11" width="9" customWidth="1"/>
    <col min="12" max="12" width="8" customWidth="1"/>
  </cols>
  <sheetData>
    <row r="1" spans="1:12" ht="15.35" x14ac:dyDescent="0.55000000000000004">
      <c r="B1" s="61" t="s">
        <v>87</v>
      </c>
      <c r="C1" s="62"/>
    </row>
    <row r="2" spans="1:12" ht="45" customHeight="1" x14ac:dyDescent="0.4">
      <c r="A2" s="6" t="s">
        <v>88</v>
      </c>
      <c r="B2" s="6" t="s">
        <v>89</v>
      </c>
      <c r="C2" s="6" t="s">
        <v>90</v>
      </c>
      <c r="D2" s="6" t="s">
        <v>92</v>
      </c>
      <c r="E2" s="6" t="s">
        <v>775</v>
      </c>
      <c r="F2" s="6" t="s">
        <v>776</v>
      </c>
      <c r="G2" s="6" t="s">
        <v>777</v>
      </c>
      <c r="H2" s="6" t="s">
        <v>778</v>
      </c>
      <c r="I2" s="6" t="s">
        <v>779</v>
      </c>
      <c r="J2" s="6" t="s">
        <v>780</v>
      </c>
      <c r="K2" s="6" t="s">
        <v>781</v>
      </c>
      <c r="L2" s="6" t="s">
        <v>782</v>
      </c>
    </row>
    <row r="3" spans="1:12" ht="15.35" hidden="1" x14ac:dyDescent="0.55000000000000004">
      <c r="A3" s="20">
        <v>1324</v>
      </c>
      <c r="B3" s="2" t="s">
        <v>148</v>
      </c>
      <c r="C3" s="2" t="s">
        <v>149</v>
      </c>
      <c r="D3" s="20">
        <v>0</v>
      </c>
      <c r="E3" s="2" t="s">
        <v>63</v>
      </c>
      <c r="F3" s="2" t="s">
        <v>783</v>
      </c>
      <c r="G3" s="2" t="s">
        <v>784</v>
      </c>
      <c r="H3" s="2" t="s">
        <v>784</v>
      </c>
      <c r="I3" s="2" t="s">
        <v>785</v>
      </c>
      <c r="J3" s="25">
        <v>45730</v>
      </c>
      <c r="K3" s="36">
        <v>0.14499999999999999</v>
      </c>
      <c r="L3" s="23">
        <v>1.4500000000000001E-2</v>
      </c>
    </row>
    <row r="4" spans="1:12" ht="15.35" hidden="1" x14ac:dyDescent="0.55000000000000004">
      <c r="A4" s="20">
        <v>1323</v>
      </c>
      <c r="B4" s="2" t="s">
        <v>148</v>
      </c>
      <c r="C4" s="2" t="s">
        <v>149</v>
      </c>
      <c r="D4" s="20">
        <v>0</v>
      </c>
      <c r="E4" s="2" t="s">
        <v>63</v>
      </c>
      <c r="F4" s="2" t="s">
        <v>783</v>
      </c>
      <c r="G4" s="2" t="s">
        <v>786</v>
      </c>
      <c r="H4" s="2" t="s">
        <v>786</v>
      </c>
      <c r="I4" s="2" t="s">
        <v>785</v>
      </c>
      <c r="J4" s="25">
        <v>45730</v>
      </c>
      <c r="K4" s="36">
        <v>0.14199999999999999</v>
      </c>
      <c r="L4" s="23">
        <v>1.4200000000000001E-2</v>
      </c>
    </row>
    <row r="5" spans="1:12" ht="15.35" hidden="1" x14ac:dyDescent="0.55000000000000004">
      <c r="A5" s="20">
        <v>1311</v>
      </c>
      <c r="B5" s="2" t="s">
        <v>148</v>
      </c>
      <c r="C5" s="2" t="s">
        <v>149</v>
      </c>
      <c r="D5" s="20">
        <v>0</v>
      </c>
      <c r="E5" s="2" t="s">
        <v>63</v>
      </c>
      <c r="F5" s="2" t="s">
        <v>787</v>
      </c>
      <c r="G5" s="2" t="s">
        <v>788</v>
      </c>
      <c r="H5" s="2" t="s">
        <v>788</v>
      </c>
      <c r="I5" s="2" t="s">
        <v>785</v>
      </c>
      <c r="J5" s="25">
        <v>45730</v>
      </c>
      <c r="K5" s="36">
        <v>0.70440000000000003</v>
      </c>
      <c r="L5" s="23">
        <v>7.0440000000000003E-2</v>
      </c>
    </row>
    <row r="6" spans="1:12" ht="15.35" hidden="1" x14ac:dyDescent="0.55000000000000004">
      <c r="A6" s="20">
        <v>1326</v>
      </c>
      <c r="B6" s="2" t="s">
        <v>148</v>
      </c>
      <c r="C6" s="2" t="s">
        <v>149</v>
      </c>
      <c r="D6" s="20">
        <v>0</v>
      </c>
      <c r="E6" s="2" t="s">
        <v>63</v>
      </c>
      <c r="F6" s="2" t="s">
        <v>789</v>
      </c>
      <c r="G6" s="2" t="s">
        <v>790</v>
      </c>
      <c r="H6" s="2" t="s">
        <v>791</v>
      </c>
      <c r="I6" s="2" t="s">
        <v>785</v>
      </c>
      <c r="J6" s="25">
        <v>45730</v>
      </c>
      <c r="K6" s="36">
        <v>0.57750000000000001</v>
      </c>
      <c r="L6" s="23">
        <v>5.7750000000000003E-2</v>
      </c>
    </row>
    <row r="7" spans="1:12" ht="15.35" hidden="1" x14ac:dyDescent="0.55000000000000004">
      <c r="A7" s="20">
        <v>1319</v>
      </c>
      <c r="B7" s="2" t="s">
        <v>148</v>
      </c>
      <c r="C7" s="2" t="s">
        <v>149</v>
      </c>
      <c r="D7" s="20">
        <v>0</v>
      </c>
      <c r="E7" s="2" t="s">
        <v>63</v>
      </c>
      <c r="F7" s="2" t="s">
        <v>789</v>
      </c>
      <c r="G7" s="2" t="s">
        <v>792</v>
      </c>
      <c r="H7" s="2" t="s">
        <v>791</v>
      </c>
      <c r="I7" s="2" t="s">
        <v>785</v>
      </c>
      <c r="J7" s="25">
        <v>45730</v>
      </c>
      <c r="K7" s="36">
        <v>0.28849999999999998</v>
      </c>
      <c r="L7" s="23">
        <v>2.8850000000000001E-2</v>
      </c>
    </row>
    <row r="8" spans="1:12" ht="15.35" hidden="1" x14ac:dyDescent="0.55000000000000004">
      <c r="A8" s="20">
        <v>1298</v>
      </c>
      <c r="B8" s="2" t="s">
        <v>148</v>
      </c>
      <c r="C8" s="2" t="s">
        <v>149</v>
      </c>
      <c r="D8" s="20">
        <v>0</v>
      </c>
      <c r="E8" s="2" t="s">
        <v>63</v>
      </c>
      <c r="F8" s="2" t="s">
        <v>793</v>
      </c>
      <c r="G8" s="2" t="s">
        <v>794</v>
      </c>
      <c r="H8" s="2" t="s">
        <v>795</v>
      </c>
      <c r="I8" s="2" t="s">
        <v>785</v>
      </c>
      <c r="J8" s="25">
        <v>45730</v>
      </c>
      <c r="K8" s="36">
        <v>4.2599999999999999E-2</v>
      </c>
      <c r="L8" s="23">
        <v>4.2599999999999999E-3</v>
      </c>
    </row>
    <row r="9" spans="1:12" ht="15.35" hidden="1" x14ac:dyDescent="0.55000000000000004">
      <c r="A9" s="20">
        <v>1299</v>
      </c>
      <c r="B9" s="2" t="s">
        <v>148</v>
      </c>
      <c r="C9" s="2" t="s">
        <v>149</v>
      </c>
      <c r="D9" s="20">
        <v>0</v>
      </c>
      <c r="E9" s="2" t="s">
        <v>63</v>
      </c>
      <c r="F9" s="2" t="s">
        <v>793</v>
      </c>
      <c r="G9" s="2" t="s">
        <v>796</v>
      </c>
      <c r="H9" s="2" t="s">
        <v>795</v>
      </c>
      <c r="I9" s="2" t="s">
        <v>785</v>
      </c>
      <c r="J9" s="25">
        <v>45730</v>
      </c>
      <c r="K9" s="36">
        <v>7.0999999999999994E-2</v>
      </c>
      <c r="L9" s="23">
        <v>7.1000000000000004E-3</v>
      </c>
    </row>
    <row r="10" spans="1:12" ht="15.35" hidden="1" x14ac:dyDescent="0.55000000000000004">
      <c r="A10" s="20">
        <v>1320</v>
      </c>
      <c r="B10" s="2" t="s">
        <v>148</v>
      </c>
      <c r="C10" s="2" t="s">
        <v>149</v>
      </c>
      <c r="D10" s="20">
        <v>0</v>
      </c>
      <c r="E10" s="2" t="s">
        <v>63</v>
      </c>
      <c r="F10" s="2" t="s">
        <v>783</v>
      </c>
      <c r="G10" s="2" t="s">
        <v>797</v>
      </c>
      <c r="H10" s="2" t="s">
        <v>797</v>
      </c>
      <c r="I10" s="2" t="s">
        <v>785</v>
      </c>
      <c r="J10" s="25">
        <v>45730</v>
      </c>
      <c r="K10" s="36">
        <v>0.06</v>
      </c>
      <c r="L10" s="23">
        <v>6.0000000000000001E-3</v>
      </c>
    </row>
    <row r="11" spans="1:12" ht="15.35" hidden="1" x14ac:dyDescent="0.55000000000000004">
      <c r="A11" s="20">
        <v>1306</v>
      </c>
      <c r="B11" s="2" t="s">
        <v>148</v>
      </c>
      <c r="C11" s="2" t="s">
        <v>149</v>
      </c>
      <c r="D11" s="20">
        <v>0</v>
      </c>
      <c r="E11" s="2" t="s">
        <v>63</v>
      </c>
      <c r="F11" s="2" t="s">
        <v>798</v>
      </c>
      <c r="G11" s="2" t="s">
        <v>799</v>
      </c>
      <c r="H11" s="2" t="s">
        <v>800</v>
      </c>
      <c r="I11" s="2" t="s">
        <v>785</v>
      </c>
      <c r="J11" s="25">
        <v>45730</v>
      </c>
      <c r="K11" s="36">
        <v>0.153</v>
      </c>
      <c r="L11" s="23">
        <v>1.5299999999999999E-2</v>
      </c>
    </row>
    <row r="12" spans="1:12" ht="15.35" hidden="1" x14ac:dyDescent="0.55000000000000004">
      <c r="A12" s="20">
        <v>1297</v>
      </c>
      <c r="B12" s="2" t="s">
        <v>148</v>
      </c>
      <c r="C12" s="2" t="s">
        <v>149</v>
      </c>
      <c r="D12" s="20">
        <v>0</v>
      </c>
      <c r="E12" s="2" t="s">
        <v>63</v>
      </c>
      <c r="F12" s="2" t="s">
        <v>798</v>
      </c>
      <c r="G12" s="2" t="s">
        <v>801</v>
      </c>
      <c r="H12" s="2" t="s">
        <v>802</v>
      </c>
      <c r="I12" s="2" t="s">
        <v>785</v>
      </c>
      <c r="J12" s="25">
        <v>45730</v>
      </c>
      <c r="K12" s="36">
        <v>7.0999999999999994E-2</v>
      </c>
      <c r="L12" s="23">
        <v>7.1000000000000004E-3</v>
      </c>
    </row>
    <row r="13" spans="1:12" ht="15.35" hidden="1" x14ac:dyDescent="0.55000000000000004">
      <c r="A13" s="20">
        <v>1315</v>
      </c>
      <c r="B13" s="2" t="s">
        <v>148</v>
      </c>
      <c r="C13" s="2" t="s">
        <v>149</v>
      </c>
      <c r="D13" s="20">
        <v>0</v>
      </c>
      <c r="E13" s="2" t="s">
        <v>63</v>
      </c>
      <c r="F13" s="2" t="s">
        <v>798</v>
      </c>
      <c r="G13" s="2" t="s">
        <v>803</v>
      </c>
      <c r="H13" s="2" t="s">
        <v>804</v>
      </c>
      <c r="I13" s="2" t="s">
        <v>785</v>
      </c>
      <c r="J13" s="25">
        <v>45730</v>
      </c>
      <c r="K13" s="36">
        <v>2.1299999999999999E-2</v>
      </c>
      <c r="L13" s="23">
        <v>2.1299999999999999E-3</v>
      </c>
    </row>
    <row r="14" spans="1:12" ht="15.35" hidden="1" x14ac:dyDescent="0.55000000000000004">
      <c r="A14" s="20">
        <v>1318</v>
      </c>
      <c r="B14" s="2" t="s">
        <v>148</v>
      </c>
      <c r="C14" s="2" t="s">
        <v>149</v>
      </c>
      <c r="D14" s="20">
        <v>0</v>
      </c>
      <c r="E14" s="2" t="s">
        <v>63</v>
      </c>
      <c r="F14" s="2" t="s">
        <v>798</v>
      </c>
      <c r="G14" s="2" t="s">
        <v>805</v>
      </c>
      <c r="H14" s="2" t="s">
        <v>804</v>
      </c>
      <c r="I14" s="2" t="s">
        <v>785</v>
      </c>
      <c r="J14" s="25">
        <v>45730</v>
      </c>
      <c r="K14" s="36">
        <v>2.1299999999999999E-2</v>
      </c>
      <c r="L14" s="23">
        <v>2.1299999999999999E-3</v>
      </c>
    </row>
    <row r="15" spans="1:12" ht="15.35" hidden="1" x14ac:dyDescent="0.55000000000000004">
      <c r="A15" s="20">
        <v>1314</v>
      </c>
      <c r="B15" s="2" t="s">
        <v>148</v>
      </c>
      <c r="C15" s="2" t="s">
        <v>149</v>
      </c>
      <c r="D15" s="20">
        <v>0</v>
      </c>
      <c r="E15" s="2" t="s">
        <v>63</v>
      </c>
      <c r="F15" s="2" t="s">
        <v>798</v>
      </c>
      <c r="G15" s="2" t="s">
        <v>806</v>
      </c>
      <c r="H15" s="2" t="s">
        <v>804</v>
      </c>
      <c r="I15" s="2" t="s">
        <v>785</v>
      </c>
      <c r="J15" s="25">
        <v>45730</v>
      </c>
      <c r="K15" s="36">
        <v>7.0999999999999994E-2</v>
      </c>
      <c r="L15" s="23">
        <v>7.1000000000000004E-3</v>
      </c>
    </row>
    <row r="16" spans="1:12" ht="15.35" hidden="1" x14ac:dyDescent="0.55000000000000004">
      <c r="A16" s="20">
        <v>1302</v>
      </c>
      <c r="B16" s="2" t="s">
        <v>148</v>
      </c>
      <c r="C16" s="2" t="s">
        <v>149</v>
      </c>
      <c r="D16" s="20">
        <v>0</v>
      </c>
      <c r="E16" s="2" t="s">
        <v>63</v>
      </c>
      <c r="F16" s="2" t="s">
        <v>807</v>
      </c>
      <c r="G16" s="2" t="s">
        <v>808</v>
      </c>
      <c r="H16" s="2" t="s">
        <v>808</v>
      </c>
      <c r="I16" s="2" t="s">
        <v>809</v>
      </c>
      <c r="J16" s="25">
        <v>46460</v>
      </c>
      <c r="K16" s="36">
        <v>1</v>
      </c>
      <c r="L16" s="23">
        <v>0.1</v>
      </c>
    </row>
    <row r="17" spans="1:12" ht="15.35" hidden="1" x14ac:dyDescent="0.55000000000000004">
      <c r="A17" s="20">
        <v>1312</v>
      </c>
      <c r="B17" s="2" t="s">
        <v>148</v>
      </c>
      <c r="C17" s="2" t="s">
        <v>149</v>
      </c>
      <c r="D17" s="20">
        <v>0</v>
      </c>
      <c r="E17" s="2" t="s">
        <v>63</v>
      </c>
      <c r="F17" s="2" t="s">
        <v>807</v>
      </c>
      <c r="G17" s="2" t="s">
        <v>808</v>
      </c>
      <c r="H17" s="2" t="s">
        <v>808</v>
      </c>
      <c r="I17" s="2" t="s">
        <v>809</v>
      </c>
      <c r="J17" s="25">
        <v>47191</v>
      </c>
      <c r="K17" s="36">
        <v>2</v>
      </c>
      <c r="L17" s="23">
        <v>0.2</v>
      </c>
    </row>
    <row r="18" spans="1:12" ht="15.35" hidden="1" x14ac:dyDescent="0.55000000000000004">
      <c r="A18" s="20">
        <v>1307</v>
      </c>
      <c r="B18" s="2" t="s">
        <v>148</v>
      </c>
      <c r="C18" s="2" t="s">
        <v>149</v>
      </c>
      <c r="D18" s="20">
        <v>0</v>
      </c>
      <c r="E18" s="2" t="s">
        <v>63</v>
      </c>
      <c r="F18" s="2" t="s">
        <v>807</v>
      </c>
      <c r="G18" s="2" t="s">
        <v>810</v>
      </c>
      <c r="H18" s="2" t="s">
        <v>810</v>
      </c>
      <c r="I18" s="2" t="s">
        <v>809</v>
      </c>
      <c r="J18" s="25">
        <v>46460</v>
      </c>
      <c r="K18" s="36">
        <v>0.65</v>
      </c>
      <c r="L18" s="23">
        <v>6.5000000000000002E-2</v>
      </c>
    </row>
    <row r="19" spans="1:12" ht="15.35" hidden="1" x14ac:dyDescent="0.55000000000000004">
      <c r="A19" s="20">
        <v>1327</v>
      </c>
      <c r="B19" s="2" t="s">
        <v>148</v>
      </c>
      <c r="C19" s="2" t="s">
        <v>149</v>
      </c>
      <c r="D19" s="20">
        <v>0</v>
      </c>
      <c r="E19" s="2" t="s">
        <v>63</v>
      </c>
      <c r="F19" s="2" t="s">
        <v>811</v>
      </c>
      <c r="G19" s="2" t="s">
        <v>812</v>
      </c>
      <c r="H19" s="2" t="s">
        <v>812</v>
      </c>
      <c r="I19" s="2" t="s">
        <v>785</v>
      </c>
      <c r="J19" s="25">
        <v>45730</v>
      </c>
      <c r="K19" s="36">
        <v>0.127</v>
      </c>
      <c r="L19" s="23">
        <v>1.2699999999999999E-2</v>
      </c>
    </row>
    <row r="20" spans="1:12" ht="15.35" hidden="1" x14ac:dyDescent="0.55000000000000004">
      <c r="A20" s="20">
        <v>1313</v>
      </c>
      <c r="B20" s="2" t="s">
        <v>148</v>
      </c>
      <c r="C20" s="2" t="s">
        <v>149</v>
      </c>
      <c r="D20" s="20">
        <v>0</v>
      </c>
      <c r="E20" s="2" t="s">
        <v>63</v>
      </c>
      <c r="F20" s="2" t="s">
        <v>813</v>
      </c>
      <c r="G20" s="2" t="s">
        <v>814</v>
      </c>
      <c r="H20" s="2" t="s">
        <v>814</v>
      </c>
      <c r="I20" s="2" t="s">
        <v>785</v>
      </c>
      <c r="J20" s="25">
        <v>45730</v>
      </c>
      <c r="K20" s="36">
        <v>0.28299999999999997</v>
      </c>
      <c r="L20" s="23">
        <v>2.8299999999999999E-2</v>
      </c>
    </row>
    <row r="21" spans="1:12" ht="15.35" hidden="1" x14ac:dyDescent="0.55000000000000004">
      <c r="A21" s="20">
        <v>1300</v>
      </c>
      <c r="B21" s="2" t="s">
        <v>148</v>
      </c>
      <c r="C21" s="2" t="s">
        <v>149</v>
      </c>
      <c r="D21" s="20">
        <v>0</v>
      </c>
      <c r="E21" s="2" t="s">
        <v>63</v>
      </c>
      <c r="F21" s="2" t="s">
        <v>813</v>
      </c>
      <c r="G21" s="2" t="s">
        <v>815</v>
      </c>
      <c r="H21" s="2" t="s">
        <v>815</v>
      </c>
      <c r="I21" s="2" t="s">
        <v>785</v>
      </c>
      <c r="J21" s="25">
        <v>45730</v>
      </c>
      <c r="K21" s="36">
        <v>0.14199999999999999</v>
      </c>
      <c r="L21" s="23">
        <v>1.4200000000000001E-2</v>
      </c>
    </row>
    <row r="22" spans="1:12" ht="15.35" hidden="1" x14ac:dyDescent="0.55000000000000004">
      <c r="A22" s="20">
        <v>1316</v>
      </c>
      <c r="B22" s="2" t="s">
        <v>148</v>
      </c>
      <c r="C22" s="2" t="s">
        <v>149</v>
      </c>
      <c r="D22" s="20">
        <v>0</v>
      </c>
      <c r="E22" s="2" t="s">
        <v>63</v>
      </c>
      <c r="F22" s="2" t="s">
        <v>813</v>
      </c>
      <c r="G22" s="2" t="s">
        <v>816</v>
      </c>
      <c r="H22" s="2" t="s">
        <v>816</v>
      </c>
      <c r="I22" s="2" t="s">
        <v>785</v>
      </c>
      <c r="J22" s="25">
        <v>45730</v>
      </c>
      <c r="K22" s="36">
        <v>5.5E-2</v>
      </c>
      <c r="L22" s="23">
        <v>5.4999999999999997E-3</v>
      </c>
    </row>
    <row r="23" spans="1:12" ht="15.35" hidden="1" x14ac:dyDescent="0.55000000000000004">
      <c r="A23" s="20">
        <v>1308</v>
      </c>
      <c r="B23" s="2" t="s">
        <v>148</v>
      </c>
      <c r="C23" s="2" t="s">
        <v>149</v>
      </c>
      <c r="D23" s="20">
        <v>0</v>
      </c>
      <c r="E23" s="2" t="s">
        <v>63</v>
      </c>
      <c r="F23" s="2" t="s">
        <v>817</v>
      </c>
      <c r="G23" s="2" t="s">
        <v>818</v>
      </c>
      <c r="H23" s="2" t="s">
        <v>819</v>
      </c>
      <c r="I23" s="2" t="s">
        <v>785</v>
      </c>
      <c r="J23" s="25">
        <v>45730</v>
      </c>
      <c r="K23" s="36">
        <v>1.2999999999999999E-2</v>
      </c>
      <c r="L23" s="23">
        <v>1.2999999999999999E-3</v>
      </c>
    </row>
    <row r="24" spans="1:12" ht="15.35" hidden="1" x14ac:dyDescent="0.55000000000000004">
      <c r="A24" s="20">
        <v>1301</v>
      </c>
      <c r="B24" s="2" t="s">
        <v>148</v>
      </c>
      <c r="C24" s="2" t="s">
        <v>149</v>
      </c>
      <c r="D24" s="20">
        <v>0</v>
      </c>
      <c r="E24" s="2" t="s">
        <v>63</v>
      </c>
      <c r="F24" s="2" t="s">
        <v>798</v>
      </c>
      <c r="G24" s="2" t="s">
        <v>820</v>
      </c>
      <c r="H24" s="2" t="s">
        <v>821</v>
      </c>
      <c r="I24" s="2" t="s">
        <v>785</v>
      </c>
      <c r="J24" s="25">
        <v>45730</v>
      </c>
      <c r="K24" s="36">
        <v>2.8400000000000002E-2</v>
      </c>
      <c r="L24" s="23">
        <v>2.8400000000000001E-3</v>
      </c>
    </row>
    <row r="25" spans="1:12" ht="15.35" hidden="1" x14ac:dyDescent="0.55000000000000004">
      <c r="A25" s="20">
        <v>1303</v>
      </c>
      <c r="B25" s="2" t="s">
        <v>148</v>
      </c>
      <c r="C25" s="2" t="s">
        <v>149</v>
      </c>
      <c r="D25" s="20">
        <v>0</v>
      </c>
      <c r="E25" s="2" t="s">
        <v>63</v>
      </c>
      <c r="F25" s="2" t="s">
        <v>798</v>
      </c>
      <c r="G25" s="2" t="s">
        <v>822</v>
      </c>
      <c r="H25" s="2" t="s">
        <v>821</v>
      </c>
      <c r="I25" s="2" t="s">
        <v>785</v>
      </c>
      <c r="J25" s="25">
        <v>45730</v>
      </c>
      <c r="K25" s="36">
        <v>7.0999999999999994E-2</v>
      </c>
      <c r="L25" s="23">
        <v>7.1000000000000004E-3</v>
      </c>
    </row>
    <row r="26" spans="1:12" ht="15.35" hidden="1" x14ac:dyDescent="0.55000000000000004">
      <c r="A26" s="20">
        <v>1317</v>
      </c>
      <c r="B26" s="2" t="s">
        <v>148</v>
      </c>
      <c r="C26" s="2" t="s">
        <v>149</v>
      </c>
      <c r="D26" s="20">
        <v>0</v>
      </c>
      <c r="E26" s="2" t="s">
        <v>63</v>
      </c>
      <c r="F26" s="2" t="s">
        <v>798</v>
      </c>
      <c r="G26" s="2" t="s">
        <v>823</v>
      </c>
      <c r="H26" s="2" t="s">
        <v>824</v>
      </c>
      <c r="I26" s="2" t="s">
        <v>785</v>
      </c>
      <c r="J26" s="25">
        <v>45730</v>
      </c>
      <c r="K26" s="36">
        <v>4.2599999999999999E-2</v>
      </c>
      <c r="L26" s="23">
        <v>4.2599999999999999E-3</v>
      </c>
    </row>
    <row r="27" spans="1:12" ht="15.35" hidden="1" x14ac:dyDescent="0.55000000000000004">
      <c r="A27" s="20">
        <v>1304</v>
      </c>
      <c r="B27" s="2" t="s">
        <v>148</v>
      </c>
      <c r="C27" s="2" t="s">
        <v>149</v>
      </c>
      <c r="D27" s="20">
        <v>0</v>
      </c>
      <c r="E27" s="2" t="s">
        <v>63</v>
      </c>
      <c r="F27" s="2" t="s">
        <v>789</v>
      </c>
      <c r="G27" s="2" t="s">
        <v>825</v>
      </c>
      <c r="H27" s="2" t="s">
        <v>826</v>
      </c>
      <c r="I27" s="2" t="s">
        <v>785</v>
      </c>
      <c r="J27" s="25">
        <v>45730</v>
      </c>
      <c r="K27" s="36">
        <v>9.9400000000000002E-2</v>
      </c>
      <c r="L27" s="23">
        <v>9.9399999999999992E-3</v>
      </c>
    </row>
    <row r="28" spans="1:12" ht="15.35" hidden="1" x14ac:dyDescent="0.55000000000000004">
      <c r="A28" s="20">
        <v>1305</v>
      </c>
      <c r="B28" s="2" t="s">
        <v>148</v>
      </c>
      <c r="C28" s="2" t="s">
        <v>149</v>
      </c>
      <c r="D28" s="20">
        <v>0</v>
      </c>
      <c r="E28" s="2" t="s">
        <v>63</v>
      </c>
      <c r="F28" s="2" t="s">
        <v>789</v>
      </c>
      <c r="G28" s="2" t="s">
        <v>827</v>
      </c>
      <c r="H28" s="2" t="s">
        <v>826</v>
      </c>
      <c r="I28" s="2" t="s">
        <v>785</v>
      </c>
      <c r="J28" s="25">
        <v>45730</v>
      </c>
      <c r="K28" s="36">
        <v>4.2599999999999999E-2</v>
      </c>
      <c r="L28" s="23">
        <v>4.2599999999999999E-3</v>
      </c>
    </row>
    <row r="29" spans="1:12" ht="15.35" hidden="1" x14ac:dyDescent="0.55000000000000004">
      <c r="A29" s="20">
        <v>1321</v>
      </c>
      <c r="B29" s="2" t="s">
        <v>148</v>
      </c>
      <c r="C29" s="2" t="s">
        <v>149</v>
      </c>
      <c r="D29" s="20">
        <v>0</v>
      </c>
      <c r="E29" s="2" t="s">
        <v>63</v>
      </c>
      <c r="F29" s="2" t="s">
        <v>798</v>
      </c>
      <c r="G29" s="2" t="s">
        <v>828</v>
      </c>
      <c r="H29" s="2" t="s">
        <v>829</v>
      </c>
      <c r="I29" s="2" t="s">
        <v>785</v>
      </c>
      <c r="J29" s="25">
        <v>45730</v>
      </c>
      <c r="K29" s="36">
        <v>2.8400000000000002E-2</v>
      </c>
      <c r="L29" s="23">
        <v>2.8400000000000001E-3</v>
      </c>
    </row>
    <row r="30" spans="1:12" ht="15.35" hidden="1" x14ac:dyDescent="0.55000000000000004">
      <c r="A30" s="20">
        <v>1322</v>
      </c>
      <c r="B30" s="2" t="s">
        <v>148</v>
      </c>
      <c r="C30" s="2" t="s">
        <v>149</v>
      </c>
      <c r="D30" s="20">
        <v>0</v>
      </c>
      <c r="E30" s="2" t="s">
        <v>63</v>
      </c>
      <c r="F30" s="2" t="s">
        <v>798</v>
      </c>
      <c r="G30" s="2" t="s">
        <v>830</v>
      </c>
      <c r="H30" s="2" t="s">
        <v>829</v>
      </c>
      <c r="I30" s="2" t="s">
        <v>785</v>
      </c>
      <c r="J30" s="25">
        <v>45730</v>
      </c>
      <c r="K30" s="36">
        <v>0.21199999999999999</v>
      </c>
      <c r="L30" s="23">
        <v>2.12E-2</v>
      </c>
    </row>
    <row r="31" spans="1:12" ht="15.35" hidden="1" x14ac:dyDescent="0.55000000000000004">
      <c r="A31" s="20">
        <v>1309</v>
      </c>
      <c r="B31" s="2" t="s">
        <v>148</v>
      </c>
      <c r="C31" s="2" t="s">
        <v>149</v>
      </c>
      <c r="D31" s="20">
        <v>0</v>
      </c>
      <c r="E31" s="2" t="s">
        <v>63</v>
      </c>
      <c r="F31" s="2" t="s">
        <v>789</v>
      </c>
      <c r="G31" s="2" t="s">
        <v>831</v>
      </c>
      <c r="H31" s="2" t="s">
        <v>832</v>
      </c>
      <c r="I31" s="2" t="s">
        <v>785</v>
      </c>
      <c r="J31" s="25">
        <v>45730</v>
      </c>
      <c r="K31" s="36">
        <v>0.2</v>
      </c>
      <c r="L31" s="23">
        <v>0.02</v>
      </c>
    </row>
    <row r="32" spans="1:12" ht="15.35" hidden="1" x14ac:dyDescent="0.55000000000000004">
      <c r="A32" s="20">
        <v>1310</v>
      </c>
      <c r="B32" s="2" t="s">
        <v>148</v>
      </c>
      <c r="C32" s="2" t="s">
        <v>149</v>
      </c>
      <c r="D32" s="20">
        <v>0</v>
      </c>
      <c r="E32" s="2" t="s">
        <v>63</v>
      </c>
      <c r="F32" s="2" t="s">
        <v>833</v>
      </c>
      <c r="G32" s="2" t="s">
        <v>834</v>
      </c>
      <c r="H32" s="2" t="s">
        <v>835</v>
      </c>
      <c r="I32" s="2" t="s">
        <v>785</v>
      </c>
      <c r="J32" s="25">
        <v>45730</v>
      </c>
      <c r="K32" s="36">
        <v>7.0999999999999994E-2</v>
      </c>
      <c r="L32" s="23">
        <v>7.1000000000000004E-3</v>
      </c>
    </row>
    <row r="33" spans="1:12" ht="15.35" hidden="1" x14ac:dyDescent="0.55000000000000004">
      <c r="A33" s="20">
        <v>1325</v>
      </c>
      <c r="B33" s="2" t="s">
        <v>148</v>
      </c>
      <c r="C33" s="2" t="s">
        <v>149</v>
      </c>
      <c r="D33" s="20">
        <v>0</v>
      </c>
      <c r="E33" s="2" t="s">
        <v>63</v>
      </c>
      <c r="F33" s="2" t="s">
        <v>817</v>
      </c>
      <c r="G33" s="2" t="s">
        <v>836</v>
      </c>
      <c r="H33" s="2" t="s">
        <v>837</v>
      </c>
      <c r="I33" s="2" t="s">
        <v>785</v>
      </c>
      <c r="J33" s="25">
        <v>45730</v>
      </c>
      <c r="K33" s="36">
        <v>0.56599999999999995</v>
      </c>
      <c r="L33" s="23">
        <v>5.6599999999999998E-2</v>
      </c>
    </row>
    <row r="34" spans="1:12" ht="15.35" hidden="1" x14ac:dyDescent="0.55000000000000004">
      <c r="A34" s="20">
        <v>8212</v>
      </c>
      <c r="B34" s="2" t="s">
        <v>148</v>
      </c>
      <c r="C34" s="2" t="s">
        <v>149</v>
      </c>
      <c r="D34" s="20">
        <v>0</v>
      </c>
      <c r="E34" s="2" t="s">
        <v>838</v>
      </c>
      <c r="F34" s="2" t="s">
        <v>789</v>
      </c>
      <c r="G34" s="2" t="s">
        <v>839</v>
      </c>
      <c r="H34" s="2" t="s">
        <v>840</v>
      </c>
      <c r="J34" s="26"/>
      <c r="K34" s="36">
        <v>0.22958345999999999</v>
      </c>
      <c r="L34" s="23">
        <v>2.2958349999999999E-2</v>
      </c>
    </row>
    <row r="35" spans="1:12" ht="15.35" hidden="1" x14ac:dyDescent="0.55000000000000004">
      <c r="A35" s="20">
        <v>8208</v>
      </c>
      <c r="B35" s="2" t="s">
        <v>148</v>
      </c>
      <c r="C35" s="2" t="s">
        <v>149</v>
      </c>
      <c r="D35" s="20">
        <v>0</v>
      </c>
      <c r="E35" s="2" t="s">
        <v>838</v>
      </c>
      <c r="F35" s="2" t="s">
        <v>793</v>
      </c>
      <c r="G35" s="2" t="s">
        <v>841</v>
      </c>
      <c r="H35" s="2" t="s">
        <v>842</v>
      </c>
      <c r="J35" s="26"/>
      <c r="K35" s="36">
        <v>9.18333E-3</v>
      </c>
      <c r="L35" s="23">
        <v>9.1832999999999997E-4</v>
      </c>
    </row>
    <row r="36" spans="1:12" ht="15.35" hidden="1" x14ac:dyDescent="0.55000000000000004">
      <c r="A36" s="20">
        <v>8209</v>
      </c>
      <c r="B36" s="2" t="s">
        <v>148</v>
      </c>
      <c r="C36" s="2" t="s">
        <v>149</v>
      </c>
      <c r="D36" s="20">
        <v>0</v>
      </c>
      <c r="E36" s="2" t="s">
        <v>838</v>
      </c>
      <c r="F36" s="2" t="s">
        <v>793</v>
      </c>
      <c r="G36" s="2" t="s">
        <v>843</v>
      </c>
      <c r="H36" s="2" t="s">
        <v>842</v>
      </c>
      <c r="J36" s="26"/>
      <c r="K36" s="36">
        <v>3.3059999999999999E-3</v>
      </c>
      <c r="L36" s="23">
        <v>3.3060000000000001E-4</v>
      </c>
    </row>
    <row r="37" spans="1:12" ht="15.35" hidden="1" x14ac:dyDescent="0.55000000000000004">
      <c r="A37" s="20">
        <v>8210</v>
      </c>
      <c r="B37" s="2" t="s">
        <v>148</v>
      </c>
      <c r="C37" s="2" t="s">
        <v>149</v>
      </c>
      <c r="D37" s="20">
        <v>0</v>
      </c>
      <c r="E37" s="2" t="s">
        <v>838</v>
      </c>
      <c r="F37" s="2" t="s">
        <v>793</v>
      </c>
      <c r="G37" s="2" t="s">
        <v>844</v>
      </c>
      <c r="H37" s="2" t="s">
        <v>842</v>
      </c>
      <c r="J37" s="26"/>
      <c r="K37" s="36">
        <v>1.653E-2</v>
      </c>
      <c r="L37" s="23">
        <v>1.653E-3</v>
      </c>
    </row>
    <row r="38" spans="1:12" ht="15.35" hidden="1" x14ac:dyDescent="0.55000000000000004">
      <c r="A38" s="20">
        <v>8222</v>
      </c>
      <c r="B38" s="2" t="s">
        <v>148</v>
      </c>
      <c r="C38" s="2" t="s">
        <v>149</v>
      </c>
      <c r="D38" s="20">
        <v>0</v>
      </c>
      <c r="E38" s="2" t="s">
        <v>838</v>
      </c>
      <c r="F38" s="2" t="s">
        <v>798</v>
      </c>
      <c r="G38" s="2" t="s">
        <v>845</v>
      </c>
      <c r="H38" s="2" t="s">
        <v>802</v>
      </c>
      <c r="J38" s="26"/>
      <c r="K38" s="36">
        <v>1.3499499999999999E-2</v>
      </c>
      <c r="L38" s="23">
        <v>1.3499499999999999E-3</v>
      </c>
    </row>
    <row r="39" spans="1:12" ht="15.35" hidden="1" x14ac:dyDescent="0.55000000000000004">
      <c r="A39" s="20">
        <v>8220</v>
      </c>
      <c r="B39" s="2" t="s">
        <v>148</v>
      </c>
      <c r="C39" s="2" t="s">
        <v>149</v>
      </c>
      <c r="D39" s="20">
        <v>0</v>
      </c>
      <c r="E39" s="2" t="s">
        <v>838</v>
      </c>
      <c r="F39" s="2" t="s">
        <v>793</v>
      </c>
      <c r="G39" s="2" t="s">
        <v>846</v>
      </c>
      <c r="H39" s="2" t="s">
        <v>802</v>
      </c>
      <c r="J39" s="26"/>
      <c r="K39" s="36">
        <v>9.2751699999999992E-3</v>
      </c>
      <c r="L39" s="23">
        <v>9.2752000000000004E-4</v>
      </c>
    </row>
    <row r="40" spans="1:12" ht="15.35" hidden="1" x14ac:dyDescent="0.55000000000000004">
      <c r="A40" s="20">
        <v>8221</v>
      </c>
      <c r="B40" s="2" t="s">
        <v>148</v>
      </c>
      <c r="C40" s="2" t="s">
        <v>149</v>
      </c>
      <c r="D40" s="20">
        <v>0</v>
      </c>
      <c r="E40" s="2" t="s">
        <v>838</v>
      </c>
      <c r="F40" s="2" t="s">
        <v>793</v>
      </c>
      <c r="G40" s="2" t="s">
        <v>847</v>
      </c>
      <c r="H40" s="2" t="s">
        <v>802</v>
      </c>
      <c r="J40" s="26"/>
      <c r="K40" s="36">
        <v>9.2751699999999992E-3</v>
      </c>
      <c r="L40" s="23">
        <v>9.2752000000000004E-4</v>
      </c>
    </row>
    <row r="41" spans="1:12" ht="15.35" hidden="1" x14ac:dyDescent="0.55000000000000004">
      <c r="A41" s="20">
        <v>8206</v>
      </c>
      <c r="B41" s="2" t="s">
        <v>148</v>
      </c>
      <c r="C41" s="2" t="s">
        <v>149</v>
      </c>
      <c r="D41" s="20">
        <v>0</v>
      </c>
      <c r="E41" s="2" t="s">
        <v>838</v>
      </c>
      <c r="F41" s="2" t="s">
        <v>848</v>
      </c>
      <c r="G41" s="2" t="s">
        <v>849</v>
      </c>
      <c r="H41" s="2" t="s">
        <v>850</v>
      </c>
      <c r="J41" s="26"/>
      <c r="K41" s="36">
        <v>6.6303699999999993E-2</v>
      </c>
      <c r="L41" s="23">
        <v>6.63037E-3</v>
      </c>
    </row>
    <row r="42" spans="1:12" ht="15.35" hidden="1" x14ac:dyDescent="0.55000000000000004">
      <c r="A42" s="20">
        <v>8218</v>
      </c>
      <c r="B42" s="2" t="s">
        <v>148</v>
      </c>
      <c r="C42" s="2" t="s">
        <v>149</v>
      </c>
      <c r="D42" s="20">
        <v>0</v>
      </c>
      <c r="E42" s="2" t="s">
        <v>838</v>
      </c>
      <c r="F42" s="2" t="s">
        <v>817</v>
      </c>
      <c r="G42" s="2" t="s">
        <v>851</v>
      </c>
      <c r="H42" s="2" t="s">
        <v>852</v>
      </c>
      <c r="J42" s="26"/>
      <c r="K42" s="36">
        <v>2.4795009999999999E-2</v>
      </c>
      <c r="L42" s="23">
        <v>2.4794999999999999E-3</v>
      </c>
    </row>
    <row r="43" spans="1:12" ht="15.35" hidden="1" x14ac:dyDescent="0.55000000000000004">
      <c r="A43" s="20">
        <v>8214</v>
      </c>
      <c r="B43" s="2" t="s">
        <v>148</v>
      </c>
      <c r="C43" s="2" t="s">
        <v>149</v>
      </c>
      <c r="D43" s="20">
        <v>0</v>
      </c>
      <c r="E43" s="2" t="s">
        <v>838</v>
      </c>
      <c r="F43" s="2" t="s">
        <v>789</v>
      </c>
      <c r="G43" s="2" t="s">
        <v>853</v>
      </c>
      <c r="H43" s="2" t="s">
        <v>854</v>
      </c>
      <c r="J43" s="26"/>
      <c r="K43" s="36">
        <v>0.22958345999999999</v>
      </c>
      <c r="L43" s="23">
        <v>2.2958349999999999E-2</v>
      </c>
    </row>
    <row r="44" spans="1:12" ht="15.35" hidden="1" x14ac:dyDescent="0.55000000000000004">
      <c r="A44" s="20">
        <v>8213</v>
      </c>
      <c r="B44" s="2" t="s">
        <v>148</v>
      </c>
      <c r="C44" s="2" t="s">
        <v>149</v>
      </c>
      <c r="D44" s="20">
        <v>0</v>
      </c>
      <c r="E44" s="2" t="s">
        <v>838</v>
      </c>
      <c r="F44" s="2" t="s">
        <v>789</v>
      </c>
      <c r="G44" s="2" t="s">
        <v>855</v>
      </c>
      <c r="H44" s="2" t="s">
        <v>856</v>
      </c>
      <c r="J44" s="26"/>
      <c r="K44" s="36">
        <v>9.1833380000000006E-2</v>
      </c>
      <c r="L44" s="23">
        <v>9.1833399999999999E-3</v>
      </c>
    </row>
    <row r="45" spans="1:12" ht="15.35" hidden="1" x14ac:dyDescent="0.55000000000000004">
      <c r="A45" s="20">
        <v>8211</v>
      </c>
      <c r="B45" s="2" t="s">
        <v>148</v>
      </c>
      <c r="C45" s="2" t="s">
        <v>149</v>
      </c>
      <c r="D45" s="20">
        <v>0</v>
      </c>
      <c r="E45" s="2" t="s">
        <v>838</v>
      </c>
      <c r="F45" s="2" t="s">
        <v>789</v>
      </c>
      <c r="G45" s="2" t="s">
        <v>857</v>
      </c>
      <c r="H45" s="2" t="s">
        <v>858</v>
      </c>
      <c r="J45" s="26"/>
      <c r="K45" s="36">
        <v>0.12856674000000001</v>
      </c>
      <c r="L45" s="23">
        <v>1.2856670000000001E-2</v>
      </c>
    </row>
    <row r="46" spans="1:12" ht="15.35" hidden="1" x14ac:dyDescent="0.55000000000000004">
      <c r="A46" s="20">
        <v>8219</v>
      </c>
      <c r="B46" s="2" t="s">
        <v>148</v>
      </c>
      <c r="C46" s="2" t="s">
        <v>149</v>
      </c>
      <c r="D46" s="20">
        <v>0</v>
      </c>
      <c r="E46" s="2" t="s">
        <v>838</v>
      </c>
      <c r="F46" s="2" t="s">
        <v>798</v>
      </c>
      <c r="G46" s="2" t="s">
        <v>859</v>
      </c>
      <c r="H46" s="2" t="s">
        <v>860</v>
      </c>
      <c r="J46" s="26"/>
      <c r="K46" s="36">
        <v>3.9763850000000003E-2</v>
      </c>
      <c r="L46" s="23">
        <v>3.9763899999999998E-3</v>
      </c>
    </row>
    <row r="47" spans="1:12" ht="15.35" hidden="1" x14ac:dyDescent="0.55000000000000004">
      <c r="A47" s="20">
        <v>8216</v>
      </c>
      <c r="B47" s="2" t="s">
        <v>148</v>
      </c>
      <c r="C47" s="2" t="s">
        <v>149</v>
      </c>
      <c r="D47" s="20">
        <v>0</v>
      </c>
      <c r="E47" s="2" t="s">
        <v>838</v>
      </c>
      <c r="F47" s="2" t="s">
        <v>817</v>
      </c>
      <c r="G47" s="2" t="s">
        <v>861</v>
      </c>
      <c r="H47" s="2" t="s">
        <v>862</v>
      </c>
      <c r="J47" s="26"/>
      <c r="K47" s="36">
        <v>5.3079689999999999E-2</v>
      </c>
      <c r="L47" s="23">
        <v>5.3079700000000004E-3</v>
      </c>
    </row>
    <row r="48" spans="1:12" ht="15.35" hidden="1" x14ac:dyDescent="0.55000000000000004">
      <c r="A48" s="20">
        <v>8207</v>
      </c>
      <c r="B48" s="2" t="s">
        <v>148</v>
      </c>
      <c r="C48" s="2" t="s">
        <v>149</v>
      </c>
      <c r="D48" s="20">
        <v>0</v>
      </c>
      <c r="E48" s="2" t="s">
        <v>838</v>
      </c>
      <c r="F48" s="2" t="s">
        <v>848</v>
      </c>
      <c r="G48" s="2" t="s">
        <v>863</v>
      </c>
      <c r="H48" s="2" t="s">
        <v>864</v>
      </c>
      <c r="J48" s="26"/>
      <c r="K48" s="36">
        <v>0.10505739</v>
      </c>
      <c r="L48" s="23">
        <v>1.050574E-2</v>
      </c>
    </row>
    <row r="49" spans="1:12" ht="15.35" hidden="1" x14ac:dyDescent="0.55000000000000004">
      <c r="A49" s="20">
        <v>8215</v>
      </c>
      <c r="B49" s="2" t="s">
        <v>148</v>
      </c>
      <c r="C49" s="2" t="s">
        <v>149</v>
      </c>
      <c r="D49" s="20">
        <v>0</v>
      </c>
      <c r="E49" s="2" t="s">
        <v>838</v>
      </c>
      <c r="F49" s="2" t="s">
        <v>793</v>
      </c>
      <c r="G49" s="2" t="s">
        <v>865</v>
      </c>
      <c r="H49" s="2" t="s">
        <v>866</v>
      </c>
      <c r="J49" s="26"/>
      <c r="K49" s="36">
        <v>2.617251E-2</v>
      </c>
      <c r="L49" s="23">
        <v>2.6172499999999998E-3</v>
      </c>
    </row>
    <row r="50" spans="1:12" ht="15.35" hidden="1" x14ac:dyDescent="0.55000000000000004">
      <c r="A50" s="20">
        <v>8217</v>
      </c>
      <c r="B50" s="2" t="s">
        <v>148</v>
      </c>
      <c r="C50" s="2" t="s">
        <v>149</v>
      </c>
      <c r="D50" s="20">
        <v>0</v>
      </c>
      <c r="E50" s="2" t="s">
        <v>838</v>
      </c>
      <c r="F50" s="2" t="s">
        <v>817</v>
      </c>
      <c r="G50" s="2" t="s">
        <v>867</v>
      </c>
      <c r="H50" s="2" t="s">
        <v>868</v>
      </c>
      <c r="J50" s="26"/>
      <c r="K50" s="36">
        <v>0.33096764000000001</v>
      </c>
      <c r="L50" s="23">
        <v>3.3096760000000003E-2</v>
      </c>
    </row>
    <row r="51" spans="1:12" ht="15.35" hidden="1" x14ac:dyDescent="0.55000000000000004">
      <c r="A51" s="20">
        <v>1331</v>
      </c>
      <c r="B51" s="2" t="s">
        <v>153</v>
      </c>
      <c r="C51" s="2" t="s">
        <v>154</v>
      </c>
      <c r="D51" s="20">
        <v>0</v>
      </c>
      <c r="E51" s="2" t="s">
        <v>63</v>
      </c>
      <c r="F51" s="2" t="s">
        <v>787</v>
      </c>
      <c r="G51" s="2" t="s">
        <v>788</v>
      </c>
      <c r="H51" s="2" t="s">
        <v>788</v>
      </c>
      <c r="I51" s="2" t="s">
        <v>785</v>
      </c>
      <c r="J51" s="25">
        <v>45777</v>
      </c>
      <c r="K51" s="36">
        <v>0.29799999999999999</v>
      </c>
      <c r="L51" s="23">
        <v>2.98E-2</v>
      </c>
    </row>
    <row r="52" spans="1:12" ht="15.35" hidden="1" x14ac:dyDescent="0.55000000000000004">
      <c r="A52" s="20">
        <v>1328</v>
      </c>
      <c r="B52" s="2" t="s">
        <v>153</v>
      </c>
      <c r="C52" s="2" t="s">
        <v>154</v>
      </c>
      <c r="D52" s="20">
        <v>0</v>
      </c>
      <c r="E52" s="2" t="s">
        <v>63</v>
      </c>
      <c r="F52" s="2" t="s">
        <v>787</v>
      </c>
      <c r="G52" s="2" t="s">
        <v>869</v>
      </c>
      <c r="H52" s="2" t="s">
        <v>869</v>
      </c>
      <c r="I52" s="2" t="s">
        <v>785</v>
      </c>
      <c r="J52" s="25">
        <v>45777</v>
      </c>
      <c r="K52" s="36">
        <v>8.8999999999999996E-2</v>
      </c>
      <c r="L52" s="23">
        <v>8.8999999999999999E-3</v>
      </c>
    </row>
    <row r="53" spans="1:12" ht="15.35" hidden="1" x14ac:dyDescent="0.55000000000000004">
      <c r="A53" s="20">
        <v>1332</v>
      </c>
      <c r="B53" s="2" t="s">
        <v>153</v>
      </c>
      <c r="C53" s="2" t="s">
        <v>154</v>
      </c>
      <c r="D53" s="20">
        <v>0</v>
      </c>
      <c r="E53" s="2" t="s">
        <v>63</v>
      </c>
      <c r="F53" s="2" t="s">
        <v>789</v>
      </c>
      <c r="G53" s="2" t="s">
        <v>791</v>
      </c>
      <c r="H53" s="2" t="s">
        <v>791</v>
      </c>
      <c r="I53" s="2" t="s">
        <v>785</v>
      </c>
      <c r="J53" s="25">
        <v>45777</v>
      </c>
      <c r="K53" s="36">
        <v>0.95</v>
      </c>
      <c r="L53" s="23">
        <v>9.5000000000000001E-2</v>
      </c>
    </row>
    <row r="54" spans="1:12" ht="15.35" hidden="1" x14ac:dyDescent="0.55000000000000004">
      <c r="A54" s="20">
        <v>1330</v>
      </c>
      <c r="B54" s="2" t="s">
        <v>153</v>
      </c>
      <c r="C54" s="2" t="s">
        <v>154</v>
      </c>
      <c r="D54" s="20">
        <v>0</v>
      </c>
      <c r="E54" s="2" t="s">
        <v>63</v>
      </c>
      <c r="F54" s="2" t="s">
        <v>813</v>
      </c>
      <c r="G54" s="2" t="s">
        <v>870</v>
      </c>
      <c r="H54" s="2" t="s">
        <v>870</v>
      </c>
      <c r="I54" s="2" t="s">
        <v>785</v>
      </c>
      <c r="J54" s="25">
        <v>45777</v>
      </c>
      <c r="K54" s="36">
        <v>0.29749999999999999</v>
      </c>
      <c r="L54" s="23">
        <v>2.9749999999999999E-2</v>
      </c>
    </row>
    <row r="55" spans="1:12" ht="15.35" hidden="1" x14ac:dyDescent="0.55000000000000004">
      <c r="A55" s="20">
        <v>1333</v>
      </c>
      <c r="B55" s="2" t="s">
        <v>153</v>
      </c>
      <c r="C55" s="2" t="s">
        <v>154</v>
      </c>
      <c r="D55" s="20">
        <v>0</v>
      </c>
      <c r="E55" s="2" t="s">
        <v>63</v>
      </c>
      <c r="F55" s="2" t="s">
        <v>807</v>
      </c>
      <c r="G55" s="2" t="s">
        <v>871</v>
      </c>
      <c r="H55" s="2" t="s">
        <v>871</v>
      </c>
      <c r="I55" s="2" t="s">
        <v>809</v>
      </c>
      <c r="J55" s="25">
        <v>46507</v>
      </c>
      <c r="K55" s="36">
        <v>1.3</v>
      </c>
      <c r="L55" s="23">
        <v>0.13</v>
      </c>
    </row>
    <row r="56" spans="1:12" ht="15.35" hidden="1" x14ac:dyDescent="0.55000000000000004">
      <c r="A56" s="20">
        <v>1334</v>
      </c>
      <c r="B56" s="2" t="s">
        <v>153</v>
      </c>
      <c r="C56" s="2" t="s">
        <v>154</v>
      </c>
      <c r="D56" s="20">
        <v>0</v>
      </c>
      <c r="E56" s="2" t="s">
        <v>63</v>
      </c>
      <c r="F56" s="2" t="s">
        <v>807</v>
      </c>
      <c r="G56" s="2" t="s">
        <v>871</v>
      </c>
      <c r="H56" s="2" t="s">
        <v>871</v>
      </c>
      <c r="I56" s="2" t="s">
        <v>809</v>
      </c>
      <c r="J56" s="25">
        <v>47238</v>
      </c>
      <c r="K56" s="36">
        <v>2</v>
      </c>
      <c r="L56" s="23">
        <v>0.2</v>
      </c>
    </row>
    <row r="57" spans="1:12" ht="15.35" hidden="1" x14ac:dyDescent="0.55000000000000004">
      <c r="A57" s="20">
        <v>1329</v>
      </c>
      <c r="B57" s="2" t="s">
        <v>153</v>
      </c>
      <c r="C57" s="2" t="s">
        <v>154</v>
      </c>
      <c r="D57" s="20">
        <v>0</v>
      </c>
      <c r="E57" s="2" t="s">
        <v>63</v>
      </c>
      <c r="F57" s="2" t="s">
        <v>789</v>
      </c>
      <c r="G57" s="2" t="s">
        <v>872</v>
      </c>
      <c r="H57" s="2" t="s">
        <v>873</v>
      </c>
      <c r="I57" s="2" t="s">
        <v>785</v>
      </c>
      <c r="J57" s="25">
        <v>45777</v>
      </c>
      <c r="K57" s="36">
        <v>0.29749999999999999</v>
      </c>
      <c r="L57" s="23">
        <v>2.9749999999999999E-2</v>
      </c>
    </row>
    <row r="58" spans="1:12" ht="15.35" hidden="1" x14ac:dyDescent="0.55000000000000004">
      <c r="A58" s="20">
        <v>1335</v>
      </c>
      <c r="B58" s="2" t="s">
        <v>153</v>
      </c>
      <c r="C58" s="2" t="s">
        <v>154</v>
      </c>
      <c r="D58" s="20">
        <v>0</v>
      </c>
      <c r="E58" s="2" t="s">
        <v>63</v>
      </c>
      <c r="F58" s="2" t="s">
        <v>783</v>
      </c>
      <c r="G58" s="2" t="s">
        <v>874</v>
      </c>
      <c r="H58" s="2" t="s">
        <v>874</v>
      </c>
      <c r="I58" s="2" t="s">
        <v>785</v>
      </c>
      <c r="J58" s="25">
        <v>45777</v>
      </c>
      <c r="K58" s="36">
        <v>2.9750000000000001</v>
      </c>
      <c r="L58" s="23">
        <v>0.29749999999999999</v>
      </c>
    </row>
    <row r="59" spans="1:12" ht="15.35" hidden="1" x14ac:dyDescent="0.55000000000000004">
      <c r="A59" s="20">
        <v>1336</v>
      </c>
      <c r="B59" s="2" t="s">
        <v>153</v>
      </c>
      <c r="C59" s="2" t="s">
        <v>154</v>
      </c>
      <c r="D59" s="20">
        <v>0</v>
      </c>
      <c r="E59" s="2" t="s">
        <v>63</v>
      </c>
      <c r="F59" s="2" t="s">
        <v>813</v>
      </c>
      <c r="G59" s="2" t="s">
        <v>875</v>
      </c>
      <c r="H59" s="2" t="s">
        <v>875</v>
      </c>
      <c r="I59" s="2" t="s">
        <v>785</v>
      </c>
      <c r="J59" s="25">
        <v>45777</v>
      </c>
      <c r="K59" s="36">
        <v>0.1487</v>
      </c>
      <c r="L59" s="23">
        <v>1.487E-2</v>
      </c>
    </row>
    <row r="60" spans="1:12" ht="15.35" hidden="1" x14ac:dyDescent="0.55000000000000004">
      <c r="A60" s="20">
        <v>8232</v>
      </c>
      <c r="B60" s="2" t="s">
        <v>153</v>
      </c>
      <c r="C60" s="2" t="s">
        <v>154</v>
      </c>
      <c r="D60" s="20">
        <v>0</v>
      </c>
      <c r="E60" s="2" t="s">
        <v>838</v>
      </c>
      <c r="F60" s="2" t="s">
        <v>817</v>
      </c>
      <c r="G60" s="2" t="s">
        <v>876</v>
      </c>
      <c r="H60" s="2" t="s">
        <v>877</v>
      </c>
      <c r="J60" s="26"/>
      <c r="K60" s="36">
        <v>5.2859530000000002E-2</v>
      </c>
      <c r="L60" s="23">
        <v>5.2859500000000002E-3</v>
      </c>
    </row>
    <row r="61" spans="1:12" ht="15.35" hidden="1" x14ac:dyDescent="0.55000000000000004">
      <c r="A61" s="20">
        <v>8234</v>
      </c>
      <c r="B61" s="2" t="s">
        <v>153</v>
      </c>
      <c r="C61" s="2" t="s">
        <v>154</v>
      </c>
      <c r="D61" s="20">
        <v>0</v>
      </c>
      <c r="E61" s="2" t="s">
        <v>838</v>
      </c>
      <c r="F61" s="2" t="s">
        <v>793</v>
      </c>
      <c r="G61" s="2" t="s">
        <v>878</v>
      </c>
      <c r="H61" s="2" t="s">
        <v>802</v>
      </c>
      <c r="J61" s="26"/>
      <c r="K61" s="36">
        <v>3.966621E-2</v>
      </c>
      <c r="L61" s="23">
        <v>3.9666199999999997E-3</v>
      </c>
    </row>
    <row r="62" spans="1:12" ht="15.35" hidden="1" x14ac:dyDescent="0.55000000000000004">
      <c r="A62" s="20">
        <v>8223</v>
      </c>
      <c r="B62" s="2" t="s">
        <v>153</v>
      </c>
      <c r="C62" s="2" t="s">
        <v>154</v>
      </c>
      <c r="D62" s="20">
        <v>0</v>
      </c>
      <c r="E62" s="2" t="s">
        <v>838</v>
      </c>
      <c r="F62" s="2" t="s">
        <v>817</v>
      </c>
      <c r="G62" s="2" t="s">
        <v>879</v>
      </c>
      <c r="H62" s="2" t="s">
        <v>880</v>
      </c>
      <c r="J62" s="26"/>
      <c r="K62" s="36">
        <v>2.5869260000000002E-2</v>
      </c>
      <c r="L62" s="23">
        <v>2.5869299999999999E-3</v>
      </c>
    </row>
    <row r="63" spans="1:12" ht="15.35" hidden="1" x14ac:dyDescent="0.55000000000000004">
      <c r="A63" s="20">
        <v>8226</v>
      </c>
      <c r="B63" s="2" t="s">
        <v>153</v>
      </c>
      <c r="C63" s="2" t="s">
        <v>154</v>
      </c>
      <c r="D63" s="20">
        <v>0</v>
      </c>
      <c r="E63" s="2" t="s">
        <v>838</v>
      </c>
      <c r="F63" s="2" t="s">
        <v>789</v>
      </c>
      <c r="G63" s="2" t="s">
        <v>881</v>
      </c>
      <c r="H63" s="2" t="s">
        <v>873</v>
      </c>
      <c r="J63" s="26"/>
      <c r="K63" s="36">
        <v>8.6230890000000004E-2</v>
      </c>
      <c r="L63" s="23">
        <v>8.6230899999999999E-3</v>
      </c>
    </row>
    <row r="64" spans="1:12" ht="15.35" x14ac:dyDescent="0.55000000000000004">
      <c r="A64" s="20">
        <v>8228</v>
      </c>
      <c r="B64" s="2" t="s">
        <v>153</v>
      </c>
      <c r="C64" s="2" t="s">
        <v>154</v>
      </c>
      <c r="D64" s="20">
        <v>0</v>
      </c>
      <c r="E64" s="2" t="s">
        <v>838</v>
      </c>
      <c r="F64" s="2" t="s">
        <v>817</v>
      </c>
      <c r="G64" s="2" t="s">
        <v>882</v>
      </c>
      <c r="J64" s="26"/>
      <c r="K64" s="36">
        <v>0.16901255000000001</v>
      </c>
      <c r="L64" s="23">
        <v>1.690125E-2</v>
      </c>
    </row>
    <row r="65" spans="1:12" ht="15.35" hidden="1" x14ac:dyDescent="0.55000000000000004">
      <c r="A65" s="20">
        <v>8230</v>
      </c>
      <c r="B65" s="2" t="s">
        <v>153</v>
      </c>
      <c r="C65" s="2" t="s">
        <v>154</v>
      </c>
      <c r="D65" s="20">
        <v>0</v>
      </c>
      <c r="E65" s="2" t="s">
        <v>838</v>
      </c>
      <c r="F65" s="2" t="s">
        <v>817</v>
      </c>
      <c r="G65" s="2" t="s">
        <v>883</v>
      </c>
      <c r="H65" s="2" t="s">
        <v>819</v>
      </c>
      <c r="J65" s="26"/>
      <c r="K65" s="36">
        <v>0.25869268000000001</v>
      </c>
      <c r="L65" s="23">
        <v>2.586927E-2</v>
      </c>
    </row>
    <row r="66" spans="1:12" ht="15.35" hidden="1" x14ac:dyDescent="0.55000000000000004">
      <c r="A66" s="20">
        <v>8231</v>
      </c>
      <c r="B66" s="2" t="s">
        <v>153</v>
      </c>
      <c r="C66" s="2" t="s">
        <v>154</v>
      </c>
      <c r="D66" s="20">
        <v>0</v>
      </c>
      <c r="E66" s="2" t="s">
        <v>838</v>
      </c>
      <c r="F66" s="2" t="s">
        <v>793</v>
      </c>
      <c r="G66" s="2" t="s">
        <v>884</v>
      </c>
      <c r="H66" s="2" t="s">
        <v>824</v>
      </c>
      <c r="J66" s="26"/>
      <c r="K66" s="36">
        <v>5.3032000000000003E-2</v>
      </c>
      <c r="L66" s="23">
        <v>5.3032000000000001E-3</v>
      </c>
    </row>
    <row r="67" spans="1:12" ht="15.35" hidden="1" x14ac:dyDescent="0.55000000000000004">
      <c r="A67" s="20">
        <v>8229</v>
      </c>
      <c r="B67" s="2" t="s">
        <v>153</v>
      </c>
      <c r="C67" s="2" t="s">
        <v>154</v>
      </c>
      <c r="D67" s="20">
        <v>0</v>
      </c>
      <c r="E67" s="2" t="s">
        <v>838</v>
      </c>
      <c r="F67" s="2" t="s">
        <v>793</v>
      </c>
      <c r="G67" s="2" t="s">
        <v>885</v>
      </c>
      <c r="H67" s="2" t="s">
        <v>885</v>
      </c>
      <c r="J67" s="26"/>
      <c r="K67" s="36">
        <v>2.6386650000000001E-2</v>
      </c>
      <c r="L67" s="23">
        <v>2.6386700000000001E-3</v>
      </c>
    </row>
    <row r="68" spans="1:12" ht="15.35" hidden="1" x14ac:dyDescent="0.55000000000000004">
      <c r="A68" s="20">
        <v>8225</v>
      </c>
      <c r="B68" s="2" t="s">
        <v>153</v>
      </c>
      <c r="C68" s="2" t="s">
        <v>154</v>
      </c>
      <c r="D68" s="20">
        <v>0</v>
      </c>
      <c r="E68" s="2" t="s">
        <v>838</v>
      </c>
      <c r="F68" s="2" t="s">
        <v>793</v>
      </c>
      <c r="G68" s="2" t="s">
        <v>886</v>
      </c>
      <c r="H68" s="2" t="s">
        <v>829</v>
      </c>
      <c r="J68" s="26"/>
      <c r="K68" s="36">
        <v>0.12822533999999999</v>
      </c>
      <c r="L68" s="23">
        <v>1.282253E-2</v>
      </c>
    </row>
    <row r="69" spans="1:12" ht="15.35" hidden="1" x14ac:dyDescent="0.55000000000000004">
      <c r="A69" s="20">
        <v>8233</v>
      </c>
      <c r="B69" s="2" t="s">
        <v>153</v>
      </c>
      <c r="C69" s="2" t="s">
        <v>154</v>
      </c>
      <c r="D69" s="20">
        <v>0</v>
      </c>
      <c r="E69" s="2" t="s">
        <v>838</v>
      </c>
      <c r="F69" s="2" t="s">
        <v>789</v>
      </c>
      <c r="G69" s="2" t="s">
        <v>887</v>
      </c>
      <c r="H69" s="2" t="s">
        <v>888</v>
      </c>
      <c r="J69" s="26"/>
      <c r="K69" s="36">
        <v>4.3719059999999997E-2</v>
      </c>
      <c r="L69" s="23">
        <v>4.3719099999999997E-3</v>
      </c>
    </row>
    <row r="70" spans="1:12" ht="15.35" hidden="1" x14ac:dyDescent="0.55000000000000004">
      <c r="A70" s="20">
        <v>8224</v>
      </c>
      <c r="B70" s="2" t="s">
        <v>153</v>
      </c>
      <c r="C70" s="2" t="s">
        <v>154</v>
      </c>
      <c r="D70" s="20">
        <v>0</v>
      </c>
      <c r="E70" s="2" t="s">
        <v>838</v>
      </c>
      <c r="F70" s="2" t="s">
        <v>789</v>
      </c>
      <c r="G70" s="2" t="s">
        <v>889</v>
      </c>
      <c r="H70" s="2" t="s">
        <v>888</v>
      </c>
      <c r="J70" s="26"/>
      <c r="K70" s="36">
        <v>8.62308E-3</v>
      </c>
      <c r="L70" s="23">
        <v>8.6231000000000003E-4</v>
      </c>
    </row>
    <row r="71" spans="1:12" ht="15.35" hidden="1" x14ac:dyDescent="0.55000000000000004">
      <c r="A71" s="20">
        <v>8227</v>
      </c>
      <c r="B71" s="2" t="s">
        <v>153</v>
      </c>
      <c r="C71" s="2" t="s">
        <v>154</v>
      </c>
      <c r="D71" s="20">
        <v>0</v>
      </c>
      <c r="E71" s="2" t="s">
        <v>838</v>
      </c>
      <c r="F71" s="2" t="s">
        <v>793</v>
      </c>
      <c r="G71" s="2" t="s">
        <v>890</v>
      </c>
      <c r="H71" s="2" t="s">
        <v>891</v>
      </c>
      <c r="J71" s="26"/>
      <c r="K71" s="36">
        <v>0.25869275000000003</v>
      </c>
      <c r="L71" s="23">
        <v>2.5869280000000001E-2</v>
      </c>
    </row>
    <row r="72" spans="1:12" ht="15.35" hidden="1" x14ac:dyDescent="0.55000000000000004">
      <c r="A72" s="20">
        <v>1340</v>
      </c>
      <c r="B72" s="2" t="s">
        <v>157</v>
      </c>
      <c r="C72" s="2" t="s">
        <v>158</v>
      </c>
      <c r="D72" s="20">
        <v>0</v>
      </c>
      <c r="E72" s="2" t="s">
        <v>63</v>
      </c>
      <c r="F72" s="2" t="s">
        <v>787</v>
      </c>
      <c r="G72" s="2" t="s">
        <v>788</v>
      </c>
      <c r="H72" s="2" t="s">
        <v>788</v>
      </c>
      <c r="I72" s="2" t="s">
        <v>785</v>
      </c>
      <c r="J72" s="25">
        <v>45920</v>
      </c>
      <c r="K72" s="36">
        <v>0.59899999999999998</v>
      </c>
      <c r="L72" s="23">
        <v>5.9900000000000002E-2</v>
      </c>
    </row>
    <row r="73" spans="1:12" ht="15.35" hidden="1" x14ac:dyDescent="0.55000000000000004">
      <c r="A73" s="20">
        <v>1338</v>
      </c>
      <c r="B73" s="2" t="s">
        <v>157</v>
      </c>
      <c r="C73" s="2" t="s">
        <v>158</v>
      </c>
      <c r="D73" s="20">
        <v>0</v>
      </c>
      <c r="E73" s="2" t="s">
        <v>63</v>
      </c>
      <c r="F73" s="2" t="s">
        <v>789</v>
      </c>
      <c r="G73" s="2" t="s">
        <v>791</v>
      </c>
      <c r="H73" s="2" t="s">
        <v>791</v>
      </c>
      <c r="I73" s="2" t="s">
        <v>785</v>
      </c>
      <c r="J73" s="25">
        <v>45920</v>
      </c>
      <c r="K73" s="36">
        <v>0.33</v>
      </c>
      <c r="L73" s="23">
        <v>3.3000000000000002E-2</v>
      </c>
    </row>
    <row r="74" spans="1:12" ht="15.35" hidden="1" x14ac:dyDescent="0.55000000000000004">
      <c r="A74" s="20">
        <v>1346</v>
      </c>
      <c r="B74" s="2" t="s">
        <v>157</v>
      </c>
      <c r="C74" s="2" t="s">
        <v>158</v>
      </c>
      <c r="D74" s="20">
        <v>0</v>
      </c>
      <c r="E74" s="2" t="s">
        <v>63</v>
      </c>
      <c r="F74" s="2" t="s">
        <v>787</v>
      </c>
      <c r="G74" s="2" t="s">
        <v>892</v>
      </c>
      <c r="H74" s="2" t="s">
        <v>892</v>
      </c>
      <c r="I74" s="2" t="s">
        <v>785</v>
      </c>
      <c r="J74" s="25">
        <v>45920</v>
      </c>
      <c r="K74" s="36">
        <v>8.8999999999999996E-2</v>
      </c>
      <c r="L74" s="23">
        <v>8.8999999999999999E-3</v>
      </c>
    </row>
    <row r="75" spans="1:12" ht="15.35" hidden="1" x14ac:dyDescent="0.55000000000000004">
      <c r="A75" s="20">
        <v>1342</v>
      </c>
      <c r="B75" s="2" t="s">
        <v>157</v>
      </c>
      <c r="C75" s="2" t="s">
        <v>158</v>
      </c>
      <c r="D75" s="20">
        <v>0</v>
      </c>
      <c r="E75" s="2" t="s">
        <v>63</v>
      </c>
      <c r="F75" s="2" t="s">
        <v>789</v>
      </c>
      <c r="G75" s="2" t="s">
        <v>893</v>
      </c>
      <c r="H75" s="2" t="s">
        <v>893</v>
      </c>
      <c r="I75" s="2" t="s">
        <v>785</v>
      </c>
      <c r="J75" s="25">
        <v>45920</v>
      </c>
      <c r="K75" s="36">
        <v>0.89900000000000002</v>
      </c>
      <c r="L75" s="23">
        <v>8.9899999999999994E-2</v>
      </c>
    </row>
    <row r="76" spans="1:12" ht="15.35" hidden="1" x14ac:dyDescent="0.55000000000000004">
      <c r="A76" s="20">
        <v>1339</v>
      </c>
      <c r="B76" s="2" t="s">
        <v>157</v>
      </c>
      <c r="C76" s="2" t="s">
        <v>158</v>
      </c>
      <c r="D76" s="20">
        <v>0</v>
      </c>
      <c r="E76" s="2" t="s">
        <v>63</v>
      </c>
      <c r="F76" s="2" t="s">
        <v>817</v>
      </c>
      <c r="G76" s="2" t="s">
        <v>894</v>
      </c>
      <c r="H76" s="2" t="s">
        <v>810</v>
      </c>
      <c r="I76" s="2" t="s">
        <v>785</v>
      </c>
      <c r="J76" s="25">
        <v>45920</v>
      </c>
      <c r="K76" s="36">
        <v>0.44900000000000001</v>
      </c>
      <c r="L76" s="23">
        <v>4.4900000000000002E-2</v>
      </c>
    </row>
    <row r="77" spans="1:12" ht="15.35" hidden="1" x14ac:dyDescent="0.55000000000000004">
      <c r="A77" s="20">
        <v>1343</v>
      </c>
      <c r="B77" s="2" t="s">
        <v>157</v>
      </c>
      <c r="C77" s="2" t="s">
        <v>158</v>
      </c>
      <c r="D77" s="20">
        <v>0</v>
      </c>
      <c r="E77" s="2" t="s">
        <v>63</v>
      </c>
      <c r="F77" s="2" t="s">
        <v>807</v>
      </c>
      <c r="G77" s="2" t="s">
        <v>895</v>
      </c>
      <c r="H77" s="2" t="s">
        <v>895</v>
      </c>
      <c r="I77" s="2" t="s">
        <v>809</v>
      </c>
      <c r="J77" s="25">
        <v>46650</v>
      </c>
      <c r="K77" s="36">
        <v>2</v>
      </c>
      <c r="L77" s="23">
        <v>0.2</v>
      </c>
    </row>
    <row r="78" spans="1:12" ht="15.35" hidden="1" x14ac:dyDescent="0.55000000000000004">
      <c r="A78" s="20">
        <v>1344</v>
      </c>
      <c r="B78" s="2" t="s">
        <v>157</v>
      </c>
      <c r="C78" s="2" t="s">
        <v>158</v>
      </c>
      <c r="D78" s="20">
        <v>0</v>
      </c>
      <c r="E78" s="2" t="s">
        <v>63</v>
      </c>
      <c r="F78" s="2" t="s">
        <v>807</v>
      </c>
      <c r="G78" s="2" t="s">
        <v>895</v>
      </c>
      <c r="H78" s="2" t="s">
        <v>895</v>
      </c>
      <c r="I78" s="2" t="s">
        <v>809</v>
      </c>
      <c r="J78" s="25">
        <v>47381</v>
      </c>
      <c r="K78" s="36">
        <v>2</v>
      </c>
      <c r="L78" s="23">
        <v>0.2</v>
      </c>
    </row>
    <row r="79" spans="1:12" ht="15.35" hidden="1" x14ac:dyDescent="0.55000000000000004">
      <c r="A79" s="20">
        <v>1337</v>
      </c>
      <c r="B79" s="2" t="s">
        <v>157</v>
      </c>
      <c r="C79" s="2" t="s">
        <v>158</v>
      </c>
      <c r="D79" s="20">
        <v>0</v>
      </c>
      <c r="E79" s="2" t="s">
        <v>63</v>
      </c>
      <c r="F79" s="2" t="s">
        <v>789</v>
      </c>
      <c r="G79" s="2" t="s">
        <v>896</v>
      </c>
      <c r="H79" s="2" t="s">
        <v>896</v>
      </c>
      <c r="I79" s="2" t="s">
        <v>785</v>
      </c>
      <c r="J79" s="25">
        <v>45920</v>
      </c>
      <c r="K79" s="36">
        <v>0.26900000000000002</v>
      </c>
      <c r="L79" s="23">
        <v>2.69E-2</v>
      </c>
    </row>
    <row r="80" spans="1:12" ht="15.35" hidden="1" x14ac:dyDescent="0.55000000000000004">
      <c r="A80" s="20">
        <v>1347</v>
      </c>
      <c r="B80" s="2" t="s">
        <v>157</v>
      </c>
      <c r="C80" s="2" t="s">
        <v>158</v>
      </c>
      <c r="D80" s="20">
        <v>0</v>
      </c>
      <c r="E80" s="2" t="s">
        <v>63</v>
      </c>
      <c r="F80" s="2" t="s">
        <v>798</v>
      </c>
      <c r="G80" s="2" t="s">
        <v>897</v>
      </c>
      <c r="H80" s="2" t="s">
        <v>898</v>
      </c>
      <c r="I80" s="2" t="s">
        <v>785</v>
      </c>
      <c r="J80" s="25">
        <v>45920</v>
      </c>
      <c r="K80" s="36">
        <v>0.06</v>
      </c>
      <c r="L80" s="23">
        <v>6.0000000000000001E-3</v>
      </c>
    </row>
    <row r="81" spans="1:12" ht="15.35" hidden="1" x14ac:dyDescent="0.55000000000000004">
      <c r="A81" s="20">
        <v>1341</v>
      </c>
      <c r="B81" s="2" t="s">
        <v>157</v>
      </c>
      <c r="C81" s="2" t="s">
        <v>158</v>
      </c>
      <c r="D81" s="20">
        <v>0</v>
      </c>
      <c r="E81" s="2" t="s">
        <v>63</v>
      </c>
      <c r="F81" s="2" t="s">
        <v>789</v>
      </c>
      <c r="G81" s="2" t="s">
        <v>832</v>
      </c>
      <c r="H81" s="2" t="s">
        <v>832</v>
      </c>
      <c r="I81" s="2" t="s">
        <v>785</v>
      </c>
      <c r="J81" s="25">
        <v>45920</v>
      </c>
      <c r="K81" s="36">
        <v>0.59899999999999998</v>
      </c>
      <c r="L81" s="23">
        <v>5.9900000000000002E-2</v>
      </c>
    </row>
    <row r="82" spans="1:12" ht="15.35" hidden="1" x14ac:dyDescent="0.55000000000000004">
      <c r="A82" s="20">
        <v>1345</v>
      </c>
      <c r="B82" s="2" t="s">
        <v>157</v>
      </c>
      <c r="C82" s="2" t="s">
        <v>158</v>
      </c>
      <c r="D82" s="20">
        <v>0</v>
      </c>
      <c r="E82" s="2" t="s">
        <v>63</v>
      </c>
      <c r="F82" s="2" t="s">
        <v>817</v>
      </c>
      <c r="G82" s="2" t="s">
        <v>899</v>
      </c>
      <c r="H82" s="2" t="s">
        <v>899</v>
      </c>
      <c r="I82" s="2" t="s">
        <v>785</v>
      </c>
      <c r="J82" s="25">
        <v>45920</v>
      </c>
      <c r="K82" s="36">
        <v>0.104</v>
      </c>
      <c r="L82" s="23">
        <v>1.04E-2</v>
      </c>
    </row>
    <row r="83" spans="1:12" ht="15.35" hidden="1" x14ac:dyDescent="0.55000000000000004">
      <c r="A83" s="20">
        <v>14604</v>
      </c>
      <c r="B83" s="2" t="s">
        <v>157</v>
      </c>
      <c r="C83" s="2" t="s">
        <v>158</v>
      </c>
      <c r="D83" s="20">
        <v>0</v>
      </c>
      <c r="E83" s="2" t="s">
        <v>838</v>
      </c>
      <c r="F83" s="2" t="s">
        <v>793</v>
      </c>
      <c r="G83" s="2" t="s">
        <v>900</v>
      </c>
      <c r="H83" s="2" t="s">
        <v>901</v>
      </c>
      <c r="J83" s="26"/>
      <c r="K83" s="36">
        <v>2.195074E-2</v>
      </c>
      <c r="L83" s="23">
        <v>2.1950699999999999E-3</v>
      </c>
    </row>
    <row r="84" spans="1:12" ht="15.35" hidden="1" x14ac:dyDescent="0.55000000000000004">
      <c r="A84" s="20">
        <v>14605</v>
      </c>
      <c r="B84" s="2" t="s">
        <v>157</v>
      </c>
      <c r="C84" s="2" t="s">
        <v>158</v>
      </c>
      <c r="D84" s="20">
        <v>0</v>
      </c>
      <c r="E84" s="2" t="s">
        <v>838</v>
      </c>
      <c r="F84" s="2" t="s">
        <v>793</v>
      </c>
      <c r="G84" s="2" t="s">
        <v>902</v>
      </c>
      <c r="H84" s="2" t="s">
        <v>901</v>
      </c>
      <c r="J84" s="26"/>
      <c r="K84" s="36">
        <v>2.195074E-2</v>
      </c>
      <c r="L84" s="23">
        <v>2.1950699999999999E-3</v>
      </c>
    </row>
    <row r="85" spans="1:12" ht="15.35" hidden="1" x14ac:dyDescent="0.55000000000000004">
      <c r="A85" s="20">
        <v>14599</v>
      </c>
      <c r="B85" s="2" t="s">
        <v>157</v>
      </c>
      <c r="C85" s="2" t="s">
        <v>158</v>
      </c>
      <c r="D85" s="20">
        <v>0</v>
      </c>
      <c r="E85" s="2" t="s">
        <v>838</v>
      </c>
      <c r="F85" s="2" t="s">
        <v>787</v>
      </c>
      <c r="G85" s="2" t="s">
        <v>903</v>
      </c>
      <c r="H85" s="2" t="s">
        <v>904</v>
      </c>
      <c r="J85" s="26"/>
      <c r="K85" s="36">
        <v>4.3901399999999998E-3</v>
      </c>
      <c r="L85" s="23">
        <v>4.3900999999999999E-4</v>
      </c>
    </row>
    <row r="86" spans="1:12" ht="15.35" hidden="1" x14ac:dyDescent="0.55000000000000004">
      <c r="A86" s="20">
        <v>14614</v>
      </c>
      <c r="B86" s="2" t="s">
        <v>157</v>
      </c>
      <c r="C86" s="2" t="s">
        <v>158</v>
      </c>
      <c r="D86" s="20">
        <v>0</v>
      </c>
      <c r="E86" s="2" t="s">
        <v>838</v>
      </c>
      <c r="F86" s="2" t="s">
        <v>848</v>
      </c>
      <c r="G86" s="2" t="s">
        <v>905</v>
      </c>
      <c r="H86" s="2" t="s">
        <v>906</v>
      </c>
      <c r="J86" s="26"/>
      <c r="K86" s="36">
        <v>2.195074E-2</v>
      </c>
      <c r="L86" s="23">
        <v>2.1950699999999999E-3</v>
      </c>
    </row>
    <row r="87" spans="1:12" ht="15.35" hidden="1" x14ac:dyDescent="0.55000000000000004">
      <c r="A87" s="20">
        <v>14629</v>
      </c>
      <c r="B87" s="2" t="s">
        <v>157</v>
      </c>
      <c r="C87" s="2" t="s">
        <v>158</v>
      </c>
      <c r="D87" s="20">
        <v>0</v>
      </c>
      <c r="E87" s="2" t="s">
        <v>838</v>
      </c>
      <c r="F87" s="2" t="s">
        <v>798</v>
      </c>
      <c r="G87" s="2" t="s">
        <v>907</v>
      </c>
      <c r="H87" s="2" t="s">
        <v>800</v>
      </c>
      <c r="J87" s="26"/>
      <c r="K87" s="36">
        <v>5.451102E-2</v>
      </c>
      <c r="L87" s="23">
        <v>5.4511000000000004E-3</v>
      </c>
    </row>
    <row r="88" spans="1:12" ht="15.35" hidden="1" x14ac:dyDescent="0.55000000000000004">
      <c r="A88" s="20">
        <v>14597</v>
      </c>
      <c r="B88" s="2" t="s">
        <v>157</v>
      </c>
      <c r="C88" s="2" t="s">
        <v>158</v>
      </c>
      <c r="D88" s="20">
        <v>0</v>
      </c>
      <c r="E88" s="2" t="s">
        <v>838</v>
      </c>
      <c r="F88" s="2" t="s">
        <v>793</v>
      </c>
      <c r="G88" s="2" t="s">
        <v>908</v>
      </c>
      <c r="H88" s="2" t="s">
        <v>802</v>
      </c>
      <c r="J88" s="26"/>
      <c r="K88" s="36">
        <v>2.0853199999999999E-3</v>
      </c>
      <c r="L88" s="23">
        <v>2.0853000000000001E-4</v>
      </c>
    </row>
    <row r="89" spans="1:12" ht="15.35" hidden="1" x14ac:dyDescent="0.55000000000000004">
      <c r="A89" s="20">
        <v>14593</v>
      </c>
      <c r="B89" s="2" t="s">
        <v>157</v>
      </c>
      <c r="C89" s="2" t="s">
        <v>158</v>
      </c>
      <c r="D89" s="20">
        <v>0</v>
      </c>
      <c r="E89" s="2" t="s">
        <v>838</v>
      </c>
      <c r="F89" s="2" t="s">
        <v>793</v>
      </c>
      <c r="G89" s="2" t="s">
        <v>909</v>
      </c>
      <c r="H89" s="2" t="s">
        <v>802</v>
      </c>
      <c r="J89" s="26"/>
      <c r="K89" s="36">
        <v>5.4876870000000001E-2</v>
      </c>
      <c r="L89" s="23">
        <v>5.4876899999999999E-3</v>
      </c>
    </row>
    <row r="90" spans="1:12" ht="15.35" hidden="1" x14ac:dyDescent="0.55000000000000004">
      <c r="A90" s="20">
        <v>14594</v>
      </c>
      <c r="B90" s="2" t="s">
        <v>157</v>
      </c>
      <c r="C90" s="2" t="s">
        <v>158</v>
      </c>
      <c r="D90" s="20">
        <v>0</v>
      </c>
      <c r="E90" s="2" t="s">
        <v>838</v>
      </c>
      <c r="F90" s="2" t="s">
        <v>793</v>
      </c>
      <c r="G90" s="2" t="s">
        <v>910</v>
      </c>
      <c r="H90" s="2" t="s">
        <v>802</v>
      </c>
      <c r="J90" s="26"/>
      <c r="K90" s="36">
        <v>1.8292289999999999E-2</v>
      </c>
      <c r="L90" s="23">
        <v>1.82923E-3</v>
      </c>
    </row>
    <row r="91" spans="1:12" ht="15.35" hidden="1" x14ac:dyDescent="0.55000000000000004">
      <c r="A91" s="20">
        <v>14596</v>
      </c>
      <c r="B91" s="2" t="s">
        <v>157</v>
      </c>
      <c r="C91" s="2" t="s">
        <v>158</v>
      </c>
      <c r="D91" s="20">
        <v>0</v>
      </c>
      <c r="E91" s="2" t="s">
        <v>838</v>
      </c>
      <c r="F91" s="2" t="s">
        <v>793</v>
      </c>
      <c r="G91" s="2" t="s">
        <v>911</v>
      </c>
      <c r="H91" s="2" t="s">
        <v>802</v>
      </c>
      <c r="J91" s="26"/>
      <c r="K91" s="36">
        <v>3.1316400000000001E-2</v>
      </c>
      <c r="L91" s="23">
        <v>3.1316400000000002E-3</v>
      </c>
    </row>
    <row r="92" spans="1:12" ht="15.35" hidden="1" x14ac:dyDescent="0.55000000000000004">
      <c r="A92" s="20">
        <v>14595</v>
      </c>
      <c r="B92" s="2" t="s">
        <v>157</v>
      </c>
      <c r="C92" s="2" t="s">
        <v>158</v>
      </c>
      <c r="D92" s="20">
        <v>0</v>
      </c>
      <c r="E92" s="2" t="s">
        <v>838</v>
      </c>
      <c r="F92" s="2" t="s">
        <v>793</v>
      </c>
      <c r="G92" s="2" t="s">
        <v>847</v>
      </c>
      <c r="H92" s="2" t="s">
        <v>802</v>
      </c>
      <c r="J92" s="26"/>
      <c r="K92" s="36">
        <v>5.4876870000000001E-2</v>
      </c>
      <c r="L92" s="23">
        <v>5.4876899999999999E-3</v>
      </c>
    </row>
    <row r="93" spans="1:12" ht="15.35" hidden="1" x14ac:dyDescent="0.55000000000000004">
      <c r="A93" s="20">
        <v>14598</v>
      </c>
      <c r="B93" s="2" t="s">
        <v>157</v>
      </c>
      <c r="C93" s="2" t="s">
        <v>158</v>
      </c>
      <c r="D93" s="20">
        <v>0</v>
      </c>
      <c r="E93" s="2" t="s">
        <v>838</v>
      </c>
      <c r="F93" s="2" t="s">
        <v>793</v>
      </c>
      <c r="G93" s="2" t="s">
        <v>912</v>
      </c>
      <c r="H93" s="2" t="s">
        <v>913</v>
      </c>
      <c r="J93" s="26"/>
      <c r="K93" s="36">
        <v>7.3169100000000003E-3</v>
      </c>
      <c r="L93" s="23">
        <v>7.3169000000000001E-4</v>
      </c>
    </row>
    <row r="94" spans="1:12" ht="15.35" hidden="1" x14ac:dyDescent="0.55000000000000004">
      <c r="A94" s="20">
        <v>14626</v>
      </c>
      <c r="B94" s="2" t="s">
        <v>157</v>
      </c>
      <c r="C94" s="2" t="s">
        <v>158</v>
      </c>
      <c r="D94" s="20">
        <v>0</v>
      </c>
      <c r="E94" s="2" t="s">
        <v>838</v>
      </c>
      <c r="F94" s="2" t="s">
        <v>817</v>
      </c>
      <c r="G94" s="2" t="s">
        <v>914</v>
      </c>
      <c r="H94" s="2" t="s">
        <v>810</v>
      </c>
      <c r="J94" s="26"/>
      <c r="K94" s="36">
        <v>2.0889789999999998E-2</v>
      </c>
      <c r="L94" s="23">
        <v>2.0889799999999998E-3</v>
      </c>
    </row>
    <row r="95" spans="1:12" ht="15.35" hidden="1" x14ac:dyDescent="0.55000000000000004">
      <c r="A95" s="20">
        <v>14617</v>
      </c>
      <c r="B95" s="2" t="s">
        <v>157</v>
      </c>
      <c r="C95" s="2" t="s">
        <v>158</v>
      </c>
      <c r="D95" s="20">
        <v>0</v>
      </c>
      <c r="E95" s="2" t="s">
        <v>838</v>
      </c>
      <c r="F95" s="2" t="s">
        <v>817</v>
      </c>
      <c r="G95" s="2" t="s">
        <v>851</v>
      </c>
      <c r="H95" s="2" t="s">
        <v>852</v>
      </c>
      <c r="J95" s="26"/>
      <c r="K95" s="36">
        <v>5.451102E-2</v>
      </c>
      <c r="L95" s="23">
        <v>5.4511000000000004E-3</v>
      </c>
    </row>
    <row r="96" spans="1:12" ht="15.35" hidden="1" x14ac:dyDescent="0.55000000000000004">
      <c r="A96" s="20">
        <v>14613</v>
      </c>
      <c r="B96" s="2" t="s">
        <v>157</v>
      </c>
      <c r="C96" s="2" t="s">
        <v>158</v>
      </c>
      <c r="D96" s="20">
        <v>0</v>
      </c>
      <c r="E96" s="2" t="s">
        <v>838</v>
      </c>
      <c r="F96" s="2" t="s">
        <v>848</v>
      </c>
      <c r="G96" s="2" t="s">
        <v>915</v>
      </c>
      <c r="H96" s="2" t="s">
        <v>916</v>
      </c>
      <c r="J96" s="26"/>
      <c r="K96" s="36">
        <v>1.097537E-2</v>
      </c>
      <c r="L96" s="23">
        <v>1.0975399999999999E-3</v>
      </c>
    </row>
    <row r="97" spans="1:12" ht="15.35" hidden="1" x14ac:dyDescent="0.55000000000000004">
      <c r="A97" s="20">
        <v>14616</v>
      </c>
      <c r="B97" s="2" t="s">
        <v>157</v>
      </c>
      <c r="C97" s="2" t="s">
        <v>158</v>
      </c>
      <c r="D97" s="20">
        <v>0</v>
      </c>
      <c r="E97" s="2" t="s">
        <v>838</v>
      </c>
      <c r="F97" s="2" t="s">
        <v>789</v>
      </c>
      <c r="G97" s="2" t="s">
        <v>917</v>
      </c>
      <c r="H97" s="2" t="s">
        <v>918</v>
      </c>
      <c r="J97" s="26"/>
      <c r="K97" s="36">
        <v>6.4388800000000001E-3</v>
      </c>
      <c r="L97" s="23">
        <v>6.4389000000000004E-4</v>
      </c>
    </row>
    <row r="98" spans="1:12" ht="15.35" hidden="1" x14ac:dyDescent="0.55000000000000004">
      <c r="A98" s="20">
        <v>14615</v>
      </c>
      <c r="B98" s="2" t="s">
        <v>157</v>
      </c>
      <c r="C98" s="2" t="s">
        <v>158</v>
      </c>
      <c r="D98" s="20">
        <v>0</v>
      </c>
      <c r="E98" s="2" t="s">
        <v>838</v>
      </c>
      <c r="F98" s="2" t="s">
        <v>789</v>
      </c>
      <c r="G98" s="2" t="s">
        <v>919</v>
      </c>
      <c r="H98" s="2" t="s">
        <v>920</v>
      </c>
      <c r="J98" s="26"/>
      <c r="K98" s="36">
        <v>5.304764E-2</v>
      </c>
      <c r="L98" s="23">
        <v>5.3047600000000004E-3</v>
      </c>
    </row>
    <row r="99" spans="1:12" ht="15.35" hidden="1" x14ac:dyDescent="0.55000000000000004">
      <c r="A99" s="20">
        <v>14627</v>
      </c>
      <c r="B99" s="2" t="s">
        <v>157</v>
      </c>
      <c r="C99" s="2" t="s">
        <v>158</v>
      </c>
      <c r="D99" s="20">
        <v>0</v>
      </c>
      <c r="E99" s="2" t="s">
        <v>838</v>
      </c>
      <c r="F99" s="2" t="s">
        <v>848</v>
      </c>
      <c r="G99" s="2" t="s">
        <v>921</v>
      </c>
      <c r="H99" s="2" t="s">
        <v>922</v>
      </c>
      <c r="J99" s="26"/>
      <c r="K99" s="36">
        <v>0.13170449000000001</v>
      </c>
      <c r="L99" s="23">
        <v>1.317045E-2</v>
      </c>
    </row>
    <row r="100" spans="1:12" ht="15.35" hidden="1" x14ac:dyDescent="0.55000000000000004">
      <c r="A100" s="20">
        <v>14619</v>
      </c>
      <c r="B100" s="2" t="s">
        <v>157</v>
      </c>
      <c r="C100" s="2" t="s">
        <v>158</v>
      </c>
      <c r="D100" s="20">
        <v>0</v>
      </c>
      <c r="E100" s="2" t="s">
        <v>838</v>
      </c>
      <c r="F100" s="2" t="s">
        <v>848</v>
      </c>
      <c r="G100" s="2" t="s">
        <v>923</v>
      </c>
      <c r="H100" s="2" t="s">
        <v>924</v>
      </c>
      <c r="J100" s="26"/>
      <c r="K100" s="36">
        <v>5.2315900000000004E-3</v>
      </c>
      <c r="L100" s="23">
        <v>5.2316000000000005E-4</v>
      </c>
    </row>
    <row r="101" spans="1:12" ht="15.35" hidden="1" x14ac:dyDescent="0.55000000000000004">
      <c r="A101" s="20">
        <v>14631</v>
      </c>
      <c r="B101" s="2" t="s">
        <v>157</v>
      </c>
      <c r="C101" s="2" t="s">
        <v>158</v>
      </c>
      <c r="D101" s="20">
        <v>0</v>
      </c>
      <c r="E101" s="2" t="s">
        <v>838</v>
      </c>
      <c r="F101" s="2" t="s">
        <v>787</v>
      </c>
      <c r="G101" s="2" t="s">
        <v>925</v>
      </c>
      <c r="H101" s="2" t="s">
        <v>926</v>
      </c>
      <c r="J101" s="26"/>
      <c r="K101" s="36">
        <v>0.54876897000000002</v>
      </c>
      <c r="L101" s="23">
        <v>5.4876899999999999E-2</v>
      </c>
    </row>
    <row r="102" spans="1:12" ht="15.35" hidden="1" x14ac:dyDescent="0.55000000000000004">
      <c r="A102" s="20">
        <v>14618</v>
      </c>
      <c r="B102" s="2" t="s">
        <v>157</v>
      </c>
      <c r="C102" s="2" t="s">
        <v>158</v>
      </c>
      <c r="D102" s="20">
        <v>0</v>
      </c>
      <c r="E102" s="2" t="s">
        <v>838</v>
      </c>
      <c r="F102" s="2" t="s">
        <v>793</v>
      </c>
      <c r="G102" s="2" t="s">
        <v>927</v>
      </c>
      <c r="H102" s="2" t="s">
        <v>928</v>
      </c>
      <c r="J102" s="26"/>
      <c r="K102" s="36">
        <v>1.0426599999999999E-2</v>
      </c>
      <c r="L102" s="23">
        <v>1.0426599999999999E-3</v>
      </c>
    </row>
    <row r="103" spans="1:12" ht="15.35" hidden="1" x14ac:dyDescent="0.55000000000000004">
      <c r="A103" s="20">
        <v>14630</v>
      </c>
      <c r="B103" s="2" t="s">
        <v>157</v>
      </c>
      <c r="C103" s="2" t="s">
        <v>158</v>
      </c>
      <c r="D103" s="20">
        <v>0</v>
      </c>
      <c r="E103" s="2" t="s">
        <v>838</v>
      </c>
      <c r="F103" s="2" t="s">
        <v>848</v>
      </c>
      <c r="G103" s="2" t="s">
        <v>929</v>
      </c>
      <c r="H103" s="2" t="s">
        <v>930</v>
      </c>
      <c r="J103" s="26"/>
      <c r="K103" s="36">
        <v>4.3535650000000002E-2</v>
      </c>
      <c r="L103" s="23">
        <v>4.3535700000000002E-3</v>
      </c>
    </row>
    <row r="104" spans="1:12" ht="15.35" hidden="1" x14ac:dyDescent="0.55000000000000004">
      <c r="A104" s="20">
        <v>14628</v>
      </c>
      <c r="B104" s="2" t="s">
        <v>157</v>
      </c>
      <c r="C104" s="2" t="s">
        <v>158</v>
      </c>
      <c r="D104" s="20">
        <v>0</v>
      </c>
      <c r="E104" s="2" t="s">
        <v>838</v>
      </c>
      <c r="F104" s="2" t="s">
        <v>817</v>
      </c>
      <c r="G104" s="2" t="s">
        <v>931</v>
      </c>
      <c r="H104" s="2" t="s">
        <v>898</v>
      </c>
      <c r="J104" s="26"/>
      <c r="K104" s="36">
        <v>7.3169100000000003E-3</v>
      </c>
      <c r="L104" s="23">
        <v>7.3169000000000001E-4</v>
      </c>
    </row>
    <row r="105" spans="1:12" ht="15.35" hidden="1" x14ac:dyDescent="0.55000000000000004">
      <c r="A105" s="20">
        <v>14601</v>
      </c>
      <c r="B105" s="2" t="s">
        <v>157</v>
      </c>
      <c r="C105" s="2" t="s">
        <v>158</v>
      </c>
      <c r="D105" s="20">
        <v>0</v>
      </c>
      <c r="E105" s="2" t="s">
        <v>838</v>
      </c>
      <c r="F105" s="2" t="s">
        <v>848</v>
      </c>
      <c r="G105" s="2" t="s">
        <v>932</v>
      </c>
      <c r="H105" s="2" t="s">
        <v>933</v>
      </c>
      <c r="J105" s="26"/>
      <c r="K105" s="36">
        <v>1.0902200000000001E-2</v>
      </c>
      <c r="L105" s="23">
        <v>1.09022E-3</v>
      </c>
    </row>
    <row r="106" spans="1:12" ht="15.35" hidden="1" x14ac:dyDescent="0.55000000000000004">
      <c r="A106" s="20">
        <v>14603</v>
      </c>
      <c r="B106" s="2" t="s">
        <v>157</v>
      </c>
      <c r="C106" s="2" t="s">
        <v>158</v>
      </c>
      <c r="D106" s="20">
        <v>0</v>
      </c>
      <c r="E106" s="2" t="s">
        <v>838</v>
      </c>
      <c r="F106" s="2" t="s">
        <v>793</v>
      </c>
      <c r="G106" s="2" t="s">
        <v>934</v>
      </c>
      <c r="H106" s="2" t="s">
        <v>935</v>
      </c>
      <c r="J106" s="26"/>
      <c r="K106" s="36">
        <v>9.1461400000000005E-3</v>
      </c>
      <c r="L106" s="23">
        <v>9.1461000000000005E-4</v>
      </c>
    </row>
    <row r="107" spans="1:12" ht="15.35" hidden="1" x14ac:dyDescent="0.55000000000000004">
      <c r="A107" s="20">
        <v>14612</v>
      </c>
      <c r="B107" s="2" t="s">
        <v>157</v>
      </c>
      <c r="C107" s="2" t="s">
        <v>158</v>
      </c>
      <c r="D107" s="20">
        <v>0</v>
      </c>
      <c r="E107" s="2" t="s">
        <v>838</v>
      </c>
      <c r="F107" s="2" t="s">
        <v>798</v>
      </c>
      <c r="G107" s="2" t="s">
        <v>936</v>
      </c>
      <c r="H107" s="2" t="s">
        <v>824</v>
      </c>
      <c r="J107" s="26"/>
      <c r="K107" s="36">
        <v>2.121905E-2</v>
      </c>
      <c r="L107" s="23">
        <v>2.1218999999999999E-3</v>
      </c>
    </row>
    <row r="108" spans="1:12" ht="15.35" hidden="1" x14ac:dyDescent="0.55000000000000004">
      <c r="A108" s="20">
        <v>14606</v>
      </c>
      <c r="B108" s="2" t="s">
        <v>157</v>
      </c>
      <c r="C108" s="2" t="s">
        <v>158</v>
      </c>
      <c r="D108" s="20">
        <v>0</v>
      </c>
      <c r="E108" s="2" t="s">
        <v>838</v>
      </c>
      <c r="F108" s="2" t="s">
        <v>789</v>
      </c>
      <c r="G108" s="2" t="s">
        <v>937</v>
      </c>
      <c r="H108" s="2" t="s">
        <v>826</v>
      </c>
      <c r="J108" s="26"/>
      <c r="K108" s="36">
        <v>1.053635E-2</v>
      </c>
      <c r="L108" s="23">
        <v>1.0536300000000001E-3</v>
      </c>
    </row>
    <row r="109" spans="1:12" ht="15.35" hidden="1" x14ac:dyDescent="0.55000000000000004">
      <c r="A109" s="20">
        <v>14602</v>
      </c>
      <c r="B109" s="2" t="s">
        <v>157</v>
      </c>
      <c r="C109" s="2" t="s">
        <v>158</v>
      </c>
      <c r="D109" s="20">
        <v>0</v>
      </c>
      <c r="E109" s="2" t="s">
        <v>838</v>
      </c>
      <c r="F109" s="2" t="s">
        <v>848</v>
      </c>
      <c r="G109" s="2" t="s">
        <v>938</v>
      </c>
      <c r="H109" s="2" t="s">
        <v>939</v>
      </c>
      <c r="J109" s="26"/>
      <c r="K109" s="36">
        <v>5.4876870000000001E-2</v>
      </c>
      <c r="L109" s="23">
        <v>5.4876899999999999E-3</v>
      </c>
    </row>
    <row r="110" spans="1:12" ht="15.35" hidden="1" x14ac:dyDescent="0.55000000000000004">
      <c r="A110" s="20">
        <v>14624</v>
      </c>
      <c r="B110" s="2" t="s">
        <v>157</v>
      </c>
      <c r="C110" s="2" t="s">
        <v>158</v>
      </c>
      <c r="D110" s="20">
        <v>0</v>
      </c>
      <c r="E110" s="2" t="s">
        <v>838</v>
      </c>
      <c r="F110" s="2" t="s">
        <v>793</v>
      </c>
      <c r="G110" s="2" t="s">
        <v>940</v>
      </c>
      <c r="H110" s="2" t="s">
        <v>829</v>
      </c>
      <c r="J110" s="26"/>
      <c r="K110" s="36">
        <v>5.451102E-2</v>
      </c>
      <c r="L110" s="23">
        <v>5.4511000000000004E-3</v>
      </c>
    </row>
    <row r="111" spans="1:12" ht="15.35" hidden="1" x14ac:dyDescent="0.55000000000000004">
      <c r="A111" s="20">
        <v>14625</v>
      </c>
      <c r="B111" s="2" t="s">
        <v>157</v>
      </c>
      <c r="C111" s="2" t="s">
        <v>158</v>
      </c>
      <c r="D111" s="20">
        <v>0</v>
      </c>
      <c r="E111" s="2" t="s">
        <v>838</v>
      </c>
      <c r="F111" s="2" t="s">
        <v>793</v>
      </c>
      <c r="G111" s="2" t="s">
        <v>941</v>
      </c>
      <c r="H111" s="2" t="s">
        <v>942</v>
      </c>
      <c r="J111" s="26"/>
      <c r="K111" s="36">
        <v>7.3169100000000003E-3</v>
      </c>
      <c r="L111" s="23">
        <v>7.3169000000000001E-4</v>
      </c>
    </row>
    <row r="112" spans="1:12" ht="15.35" hidden="1" x14ac:dyDescent="0.55000000000000004">
      <c r="A112" s="20">
        <v>14607</v>
      </c>
      <c r="B112" s="2" t="s">
        <v>157</v>
      </c>
      <c r="C112" s="2" t="s">
        <v>158</v>
      </c>
      <c r="D112" s="20">
        <v>0</v>
      </c>
      <c r="E112" s="2" t="s">
        <v>838</v>
      </c>
      <c r="F112" s="2" t="s">
        <v>789</v>
      </c>
      <c r="G112" s="2" t="s">
        <v>943</v>
      </c>
      <c r="H112" s="2" t="s">
        <v>944</v>
      </c>
      <c r="J112" s="26"/>
      <c r="K112" s="36">
        <v>9.146145E-2</v>
      </c>
      <c r="L112" s="23">
        <v>9.1461400000000005E-3</v>
      </c>
    </row>
    <row r="113" spans="1:12" ht="15.35" hidden="1" x14ac:dyDescent="0.55000000000000004">
      <c r="A113" s="20">
        <v>14610</v>
      </c>
      <c r="B113" s="2" t="s">
        <v>157</v>
      </c>
      <c r="C113" s="2" t="s">
        <v>158</v>
      </c>
      <c r="D113" s="20">
        <v>0</v>
      </c>
      <c r="E113" s="2" t="s">
        <v>838</v>
      </c>
      <c r="F113" s="2" t="s">
        <v>789</v>
      </c>
      <c r="G113" s="2" t="s">
        <v>945</v>
      </c>
      <c r="H113" s="2" t="s">
        <v>946</v>
      </c>
      <c r="J113" s="26"/>
      <c r="K113" s="36">
        <v>3.6584500000000002E-3</v>
      </c>
      <c r="L113" s="23">
        <v>3.6583999999999998E-4</v>
      </c>
    </row>
    <row r="114" spans="1:12" ht="15.35" hidden="1" x14ac:dyDescent="0.55000000000000004">
      <c r="A114" s="20">
        <v>14609</v>
      </c>
      <c r="B114" s="2" t="s">
        <v>157</v>
      </c>
      <c r="C114" s="2" t="s">
        <v>158</v>
      </c>
      <c r="D114" s="20">
        <v>0</v>
      </c>
      <c r="E114" s="2" t="s">
        <v>838</v>
      </c>
      <c r="F114" s="2" t="s">
        <v>789</v>
      </c>
      <c r="G114" s="2" t="s">
        <v>947</v>
      </c>
      <c r="H114" s="2" t="s">
        <v>946</v>
      </c>
      <c r="J114" s="26"/>
      <c r="K114" s="36">
        <v>7.3169100000000003E-3</v>
      </c>
      <c r="L114" s="23">
        <v>7.3169000000000001E-4</v>
      </c>
    </row>
    <row r="115" spans="1:12" ht="15.35" hidden="1" x14ac:dyDescent="0.55000000000000004">
      <c r="A115" s="20">
        <v>14608</v>
      </c>
      <c r="B115" s="2" t="s">
        <v>157</v>
      </c>
      <c r="C115" s="2" t="s">
        <v>158</v>
      </c>
      <c r="D115" s="20">
        <v>0</v>
      </c>
      <c r="E115" s="2" t="s">
        <v>838</v>
      </c>
      <c r="F115" s="2" t="s">
        <v>789</v>
      </c>
      <c r="G115" s="2" t="s">
        <v>948</v>
      </c>
      <c r="H115" s="2" t="s">
        <v>946</v>
      </c>
      <c r="J115" s="26"/>
      <c r="K115" s="36">
        <v>1.8292289999999999E-2</v>
      </c>
      <c r="L115" s="23">
        <v>1.82923E-3</v>
      </c>
    </row>
    <row r="116" spans="1:12" ht="15.35" hidden="1" x14ac:dyDescent="0.55000000000000004">
      <c r="A116" s="20">
        <v>14611</v>
      </c>
      <c r="B116" s="2" t="s">
        <v>157</v>
      </c>
      <c r="C116" s="2" t="s">
        <v>158</v>
      </c>
      <c r="D116" s="20">
        <v>0</v>
      </c>
      <c r="E116" s="2" t="s">
        <v>838</v>
      </c>
      <c r="F116" s="2" t="s">
        <v>793</v>
      </c>
      <c r="G116" s="2" t="s">
        <v>949</v>
      </c>
      <c r="H116" s="2" t="s">
        <v>950</v>
      </c>
      <c r="J116" s="26"/>
      <c r="K116" s="36">
        <v>6.5852200000000001E-3</v>
      </c>
      <c r="L116" s="23">
        <v>6.5852E-4</v>
      </c>
    </row>
    <row r="117" spans="1:12" ht="15.35" hidden="1" x14ac:dyDescent="0.55000000000000004">
      <c r="A117" s="20">
        <v>14635</v>
      </c>
      <c r="B117" s="2" t="s">
        <v>157</v>
      </c>
      <c r="C117" s="2" t="s">
        <v>158</v>
      </c>
      <c r="D117" s="20">
        <v>0</v>
      </c>
      <c r="E117" s="2" t="s">
        <v>838</v>
      </c>
      <c r="F117" s="2" t="s">
        <v>848</v>
      </c>
      <c r="G117" s="2" t="s">
        <v>951</v>
      </c>
      <c r="H117" s="2" t="s">
        <v>952</v>
      </c>
      <c r="J117" s="26"/>
      <c r="K117" s="36">
        <v>1.097537E-2</v>
      </c>
      <c r="L117" s="23">
        <v>1.0975399999999999E-3</v>
      </c>
    </row>
    <row r="118" spans="1:12" ht="15.35" x14ac:dyDescent="0.55000000000000004">
      <c r="A118" s="20">
        <v>14634</v>
      </c>
      <c r="B118" s="2" t="s">
        <v>157</v>
      </c>
      <c r="C118" s="2" t="s">
        <v>158</v>
      </c>
      <c r="D118" s="20">
        <v>0</v>
      </c>
      <c r="E118" s="2" t="s">
        <v>838</v>
      </c>
      <c r="F118" s="2" t="s">
        <v>833</v>
      </c>
      <c r="G118" s="2" t="s">
        <v>953</v>
      </c>
      <c r="J118" s="26"/>
      <c r="K118" s="36">
        <v>4.338931E-2</v>
      </c>
      <c r="L118" s="23">
        <v>4.3389300000000004E-3</v>
      </c>
    </row>
    <row r="119" spans="1:12" ht="15.35" x14ac:dyDescent="0.55000000000000004">
      <c r="A119" s="20">
        <v>14633</v>
      </c>
      <c r="B119" s="2" t="s">
        <v>157</v>
      </c>
      <c r="C119" s="2" t="s">
        <v>158</v>
      </c>
      <c r="D119" s="20">
        <v>0</v>
      </c>
      <c r="E119" s="2" t="s">
        <v>838</v>
      </c>
      <c r="F119" s="2" t="s">
        <v>833</v>
      </c>
      <c r="G119" s="2" t="s">
        <v>954</v>
      </c>
      <c r="J119" s="26"/>
      <c r="K119" s="36">
        <v>1.082903E-2</v>
      </c>
      <c r="L119" s="23">
        <v>1.0828999999999999E-3</v>
      </c>
    </row>
    <row r="120" spans="1:12" ht="15.35" x14ac:dyDescent="0.55000000000000004">
      <c r="A120" s="20">
        <v>14632</v>
      </c>
      <c r="B120" s="2" t="s">
        <v>157</v>
      </c>
      <c r="C120" s="2" t="s">
        <v>158</v>
      </c>
      <c r="D120" s="20">
        <v>0</v>
      </c>
      <c r="E120" s="2" t="s">
        <v>838</v>
      </c>
      <c r="F120" s="2" t="s">
        <v>833</v>
      </c>
      <c r="G120" s="2" t="s">
        <v>955</v>
      </c>
      <c r="J120" s="26"/>
      <c r="K120" s="36">
        <v>1.082903E-2</v>
      </c>
      <c r="L120" s="23">
        <v>1.0828999999999999E-3</v>
      </c>
    </row>
    <row r="121" spans="1:12" ht="15.35" hidden="1" x14ac:dyDescent="0.55000000000000004">
      <c r="A121" s="20">
        <v>14636</v>
      </c>
      <c r="B121" s="2" t="s">
        <v>157</v>
      </c>
      <c r="C121" s="2" t="s">
        <v>158</v>
      </c>
      <c r="D121" s="20">
        <v>0</v>
      </c>
      <c r="E121" s="2" t="s">
        <v>838</v>
      </c>
      <c r="F121" s="2" t="s">
        <v>789</v>
      </c>
      <c r="G121" s="2" t="s">
        <v>956</v>
      </c>
      <c r="H121" s="2" t="s">
        <v>956</v>
      </c>
      <c r="J121" s="26"/>
      <c r="K121" s="36">
        <v>3.2560270000000002E-2</v>
      </c>
      <c r="L121" s="23">
        <v>3.25603E-3</v>
      </c>
    </row>
    <row r="122" spans="1:12" ht="15.35" x14ac:dyDescent="0.55000000000000004">
      <c r="A122" s="20">
        <v>14623</v>
      </c>
      <c r="B122" s="2" t="s">
        <v>157</v>
      </c>
      <c r="C122" s="2" t="s">
        <v>158</v>
      </c>
      <c r="D122" s="20">
        <v>0</v>
      </c>
      <c r="E122" s="2" t="s">
        <v>838</v>
      </c>
      <c r="F122" s="2" t="s">
        <v>811</v>
      </c>
      <c r="G122" s="2" t="s">
        <v>957</v>
      </c>
      <c r="J122" s="26"/>
      <c r="K122" s="36">
        <v>1.097537E-2</v>
      </c>
      <c r="L122" s="23">
        <v>1.0975399999999999E-3</v>
      </c>
    </row>
    <row r="123" spans="1:12" ht="15.35" x14ac:dyDescent="0.55000000000000004">
      <c r="A123" s="20">
        <v>14620</v>
      </c>
      <c r="B123" s="2" t="s">
        <v>157</v>
      </c>
      <c r="C123" s="2" t="s">
        <v>158</v>
      </c>
      <c r="D123" s="20">
        <v>0</v>
      </c>
      <c r="E123" s="2" t="s">
        <v>838</v>
      </c>
      <c r="F123" s="2" t="s">
        <v>811</v>
      </c>
      <c r="G123" s="2" t="s">
        <v>958</v>
      </c>
      <c r="J123" s="26"/>
      <c r="K123" s="36">
        <v>1.097537E-2</v>
      </c>
      <c r="L123" s="23">
        <v>1.0975399999999999E-3</v>
      </c>
    </row>
    <row r="124" spans="1:12" ht="15.35" x14ac:dyDescent="0.55000000000000004">
      <c r="A124" s="20">
        <v>14622</v>
      </c>
      <c r="B124" s="2" t="s">
        <v>157</v>
      </c>
      <c r="C124" s="2" t="s">
        <v>158</v>
      </c>
      <c r="D124" s="20">
        <v>0</v>
      </c>
      <c r="E124" s="2" t="s">
        <v>838</v>
      </c>
      <c r="F124" s="2" t="s">
        <v>811</v>
      </c>
      <c r="G124" s="2" t="s">
        <v>959</v>
      </c>
      <c r="J124" s="26"/>
      <c r="K124" s="36">
        <v>1.097537E-2</v>
      </c>
      <c r="L124" s="23">
        <v>1.0975399999999999E-3</v>
      </c>
    </row>
    <row r="125" spans="1:12" ht="15.35" x14ac:dyDescent="0.55000000000000004">
      <c r="A125" s="20">
        <v>14621</v>
      </c>
      <c r="B125" s="2" t="s">
        <v>157</v>
      </c>
      <c r="C125" s="2" t="s">
        <v>158</v>
      </c>
      <c r="D125" s="20">
        <v>0</v>
      </c>
      <c r="E125" s="2" t="s">
        <v>838</v>
      </c>
      <c r="F125" s="2" t="s">
        <v>811</v>
      </c>
      <c r="G125" s="2" t="s">
        <v>960</v>
      </c>
      <c r="J125" s="26"/>
      <c r="K125" s="36">
        <v>1.097537E-2</v>
      </c>
      <c r="L125" s="23">
        <v>1.0975399999999999E-3</v>
      </c>
    </row>
    <row r="126" spans="1:12" ht="15.35" hidden="1" x14ac:dyDescent="0.55000000000000004">
      <c r="A126" s="20">
        <v>14600</v>
      </c>
      <c r="B126" s="2" t="s">
        <v>157</v>
      </c>
      <c r="C126" s="2" t="s">
        <v>158</v>
      </c>
      <c r="D126" s="20">
        <v>0</v>
      </c>
      <c r="E126" s="2" t="s">
        <v>838</v>
      </c>
      <c r="F126" s="2" t="s">
        <v>848</v>
      </c>
      <c r="G126" s="2" t="s">
        <v>961</v>
      </c>
      <c r="H126" s="2" t="s">
        <v>962</v>
      </c>
      <c r="J126" s="26"/>
      <c r="K126" s="36">
        <v>9.146145E-2</v>
      </c>
      <c r="L126" s="23">
        <v>9.1461400000000005E-3</v>
      </c>
    </row>
    <row r="127" spans="1:12" ht="15.35" hidden="1" x14ac:dyDescent="0.55000000000000004">
      <c r="A127" s="20">
        <v>1355</v>
      </c>
      <c r="B127" s="2" t="s">
        <v>161</v>
      </c>
      <c r="C127" s="2" t="s">
        <v>162</v>
      </c>
      <c r="D127" s="20">
        <v>0</v>
      </c>
      <c r="E127" s="2" t="s">
        <v>63</v>
      </c>
      <c r="F127" s="2" t="s">
        <v>811</v>
      </c>
      <c r="G127" s="2" t="s">
        <v>963</v>
      </c>
      <c r="H127" s="2" t="s">
        <v>964</v>
      </c>
      <c r="I127" s="2" t="s">
        <v>785</v>
      </c>
      <c r="J127" s="25">
        <v>46046</v>
      </c>
      <c r="K127" s="36">
        <v>1.7000000000000001E-2</v>
      </c>
      <c r="L127" s="23">
        <v>3.3999999999999998E-3</v>
      </c>
    </row>
    <row r="128" spans="1:12" ht="15.35" hidden="1" x14ac:dyDescent="0.55000000000000004">
      <c r="A128" s="20">
        <v>1362</v>
      </c>
      <c r="B128" s="2" t="s">
        <v>161</v>
      </c>
      <c r="C128" s="2" t="s">
        <v>162</v>
      </c>
      <c r="D128" s="20">
        <v>0</v>
      </c>
      <c r="E128" s="2" t="s">
        <v>63</v>
      </c>
      <c r="F128" s="2" t="s">
        <v>811</v>
      </c>
      <c r="G128" s="2" t="s">
        <v>965</v>
      </c>
      <c r="H128" s="2" t="s">
        <v>964</v>
      </c>
      <c r="I128" s="2" t="s">
        <v>785</v>
      </c>
      <c r="J128" s="25">
        <v>46046</v>
      </c>
      <c r="K128" s="36">
        <v>1.4999999999999999E-2</v>
      </c>
      <c r="L128" s="23">
        <v>3.0000000000000001E-3</v>
      </c>
    </row>
    <row r="129" spans="1:12" ht="15.35" hidden="1" x14ac:dyDescent="0.55000000000000004">
      <c r="A129" s="20">
        <v>1358</v>
      </c>
      <c r="B129" s="2" t="s">
        <v>161</v>
      </c>
      <c r="C129" s="2" t="s">
        <v>162</v>
      </c>
      <c r="D129" s="20">
        <v>0</v>
      </c>
      <c r="E129" s="2" t="s">
        <v>63</v>
      </c>
      <c r="F129" s="2" t="s">
        <v>787</v>
      </c>
      <c r="G129" s="2" t="s">
        <v>904</v>
      </c>
      <c r="H129" s="2" t="s">
        <v>904</v>
      </c>
      <c r="I129" s="2" t="s">
        <v>785</v>
      </c>
      <c r="J129" s="25">
        <v>46046</v>
      </c>
      <c r="K129" s="36">
        <v>9.6199999999999994E-2</v>
      </c>
      <c r="L129" s="23">
        <v>1.924E-2</v>
      </c>
    </row>
    <row r="130" spans="1:12" ht="15.35" hidden="1" x14ac:dyDescent="0.55000000000000004">
      <c r="A130" s="20">
        <v>1361</v>
      </c>
      <c r="B130" s="2" t="s">
        <v>161</v>
      </c>
      <c r="C130" s="2" t="s">
        <v>162</v>
      </c>
      <c r="D130" s="20">
        <v>0</v>
      </c>
      <c r="E130" s="2" t="s">
        <v>63</v>
      </c>
      <c r="F130" s="2" t="s">
        <v>793</v>
      </c>
      <c r="G130" s="2" t="s">
        <v>966</v>
      </c>
      <c r="H130" s="2" t="s">
        <v>967</v>
      </c>
      <c r="I130" s="2" t="s">
        <v>785</v>
      </c>
      <c r="J130" s="25">
        <v>46046</v>
      </c>
      <c r="K130" s="36">
        <v>6.4100000000000004E-2</v>
      </c>
      <c r="L130" s="23">
        <v>1.282E-2</v>
      </c>
    </row>
    <row r="131" spans="1:12" ht="15.35" hidden="1" x14ac:dyDescent="0.55000000000000004">
      <c r="A131" s="20">
        <v>1359</v>
      </c>
      <c r="B131" s="2" t="s">
        <v>161</v>
      </c>
      <c r="C131" s="2" t="s">
        <v>162</v>
      </c>
      <c r="D131" s="20">
        <v>0</v>
      </c>
      <c r="E131" s="2" t="s">
        <v>63</v>
      </c>
      <c r="F131" s="2" t="s">
        <v>787</v>
      </c>
      <c r="G131" s="2" t="s">
        <v>788</v>
      </c>
      <c r="H131" s="2" t="s">
        <v>788</v>
      </c>
      <c r="I131" s="2" t="s">
        <v>785</v>
      </c>
      <c r="J131" s="25">
        <v>46046</v>
      </c>
      <c r="K131" s="36">
        <v>9.6199999999999994E-2</v>
      </c>
      <c r="L131" s="23">
        <v>1.924E-2</v>
      </c>
    </row>
    <row r="132" spans="1:12" ht="15.35" hidden="1" x14ac:dyDescent="0.55000000000000004">
      <c r="A132" s="20">
        <v>1349</v>
      </c>
      <c r="B132" s="2" t="s">
        <v>161</v>
      </c>
      <c r="C132" s="2" t="s">
        <v>162</v>
      </c>
      <c r="D132" s="20">
        <v>0</v>
      </c>
      <c r="E132" s="2" t="s">
        <v>63</v>
      </c>
      <c r="F132" s="2" t="s">
        <v>787</v>
      </c>
      <c r="G132" s="2" t="s">
        <v>968</v>
      </c>
      <c r="H132" s="2" t="s">
        <v>968</v>
      </c>
      <c r="I132" s="2" t="s">
        <v>785</v>
      </c>
      <c r="J132" s="25">
        <v>46046</v>
      </c>
      <c r="K132" s="36">
        <v>6.4100000000000004E-2</v>
      </c>
      <c r="L132" s="23">
        <v>1.282E-2</v>
      </c>
    </row>
    <row r="133" spans="1:12" ht="15.35" hidden="1" x14ac:dyDescent="0.55000000000000004">
      <c r="A133" s="20">
        <v>1369</v>
      </c>
      <c r="B133" s="2" t="s">
        <v>161</v>
      </c>
      <c r="C133" s="2" t="s">
        <v>162</v>
      </c>
      <c r="D133" s="20">
        <v>0</v>
      </c>
      <c r="E133" s="2" t="s">
        <v>63</v>
      </c>
      <c r="F133" s="2" t="s">
        <v>789</v>
      </c>
      <c r="G133" s="2" t="s">
        <v>969</v>
      </c>
      <c r="H133" s="2" t="s">
        <v>791</v>
      </c>
      <c r="I133" s="2" t="s">
        <v>785</v>
      </c>
      <c r="J133" s="25">
        <v>46046</v>
      </c>
      <c r="K133" s="36">
        <v>6.4100000000000004E-2</v>
      </c>
      <c r="L133" s="23">
        <v>1.282E-2</v>
      </c>
    </row>
    <row r="134" spans="1:12" ht="15.35" hidden="1" x14ac:dyDescent="0.55000000000000004">
      <c r="A134" s="20">
        <v>1368</v>
      </c>
      <c r="B134" s="2" t="s">
        <v>161</v>
      </c>
      <c r="C134" s="2" t="s">
        <v>162</v>
      </c>
      <c r="D134" s="20">
        <v>0</v>
      </c>
      <c r="E134" s="2" t="s">
        <v>63</v>
      </c>
      <c r="F134" s="2" t="s">
        <v>789</v>
      </c>
      <c r="G134" s="2" t="s">
        <v>970</v>
      </c>
      <c r="H134" s="2" t="s">
        <v>971</v>
      </c>
      <c r="I134" s="2" t="s">
        <v>785</v>
      </c>
      <c r="J134" s="25">
        <v>46046</v>
      </c>
      <c r="K134" s="36">
        <v>9.6199999999999994E-2</v>
      </c>
      <c r="L134" s="23">
        <v>1.924E-2</v>
      </c>
    </row>
    <row r="135" spans="1:12" ht="15.35" hidden="1" x14ac:dyDescent="0.55000000000000004">
      <c r="A135" s="20">
        <v>1360</v>
      </c>
      <c r="B135" s="2" t="s">
        <v>161</v>
      </c>
      <c r="C135" s="2" t="s">
        <v>162</v>
      </c>
      <c r="D135" s="20">
        <v>0</v>
      </c>
      <c r="E135" s="2" t="s">
        <v>63</v>
      </c>
      <c r="F135" s="2" t="s">
        <v>787</v>
      </c>
      <c r="G135" s="2" t="s">
        <v>892</v>
      </c>
      <c r="H135" s="2" t="s">
        <v>892</v>
      </c>
      <c r="I135" s="2" t="s">
        <v>785</v>
      </c>
      <c r="J135" s="25">
        <v>46046</v>
      </c>
      <c r="K135" s="36">
        <v>0.16039999999999999</v>
      </c>
      <c r="L135" s="23">
        <v>3.2079999999999997E-2</v>
      </c>
    </row>
    <row r="136" spans="1:12" ht="15.35" hidden="1" x14ac:dyDescent="0.55000000000000004">
      <c r="A136" s="20">
        <v>1348</v>
      </c>
      <c r="B136" s="2" t="s">
        <v>161</v>
      </c>
      <c r="C136" s="2" t="s">
        <v>162</v>
      </c>
      <c r="D136" s="20">
        <v>0</v>
      </c>
      <c r="E136" s="2" t="s">
        <v>63</v>
      </c>
      <c r="F136" s="2" t="s">
        <v>787</v>
      </c>
      <c r="G136" s="2" t="s">
        <v>972</v>
      </c>
      <c r="H136" s="2" t="s">
        <v>972</v>
      </c>
      <c r="I136" s="2" t="s">
        <v>785</v>
      </c>
      <c r="J136" s="25">
        <v>46046</v>
      </c>
      <c r="K136" s="36">
        <v>6.4100000000000004E-2</v>
      </c>
      <c r="L136" s="23">
        <v>1.282E-2</v>
      </c>
    </row>
    <row r="137" spans="1:12" ht="15.35" hidden="1" x14ac:dyDescent="0.55000000000000004">
      <c r="A137" s="20">
        <v>1353</v>
      </c>
      <c r="B137" s="2" t="s">
        <v>161</v>
      </c>
      <c r="C137" s="2" t="s">
        <v>162</v>
      </c>
      <c r="D137" s="20">
        <v>0</v>
      </c>
      <c r="E137" s="2" t="s">
        <v>63</v>
      </c>
      <c r="F137" s="2" t="s">
        <v>817</v>
      </c>
      <c r="G137" s="2" t="s">
        <v>973</v>
      </c>
      <c r="H137" s="2" t="s">
        <v>974</v>
      </c>
      <c r="I137" s="2" t="s">
        <v>785</v>
      </c>
      <c r="J137" s="25">
        <v>46046</v>
      </c>
      <c r="K137" s="36">
        <v>1.6E-2</v>
      </c>
      <c r="L137" s="23">
        <v>3.2000000000000002E-3</v>
      </c>
    </row>
    <row r="138" spans="1:12" ht="15.35" hidden="1" x14ac:dyDescent="0.55000000000000004">
      <c r="A138" s="20">
        <v>1351</v>
      </c>
      <c r="B138" s="2" t="s">
        <v>161</v>
      </c>
      <c r="C138" s="2" t="s">
        <v>162</v>
      </c>
      <c r="D138" s="20">
        <v>0</v>
      </c>
      <c r="E138" s="2" t="s">
        <v>63</v>
      </c>
      <c r="F138" s="2" t="s">
        <v>787</v>
      </c>
      <c r="G138" s="2" t="s">
        <v>975</v>
      </c>
      <c r="H138" s="2" t="s">
        <v>975</v>
      </c>
      <c r="I138" s="2" t="s">
        <v>785</v>
      </c>
      <c r="J138" s="25">
        <v>46046</v>
      </c>
      <c r="K138" s="36">
        <v>9.6199999999999994E-2</v>
      </c>
      <c r="L138" s="23">
        <v>1.924E-2</v>
      </c>
    </row>
    <row r="139" spans="1:12" ht="15.35" hidden="1" x14ac:dyDescent="0.55000000000000004">
      <c r="A139" s="20">
        <v>1377</v>
      </c>
      <c r="B139" s="2" t="s">
        <v>161</v>
      </c>
      <c r="C139" s="2" t="s">
        <v>162</v>
      </c>
      <c r="D139" s="20">
        <v>0</v>
      </c>
      <c r="E139" s="2" t="s">
        <v>63</v>
      </c>
      <c r="F139" s="2" t="s">
        <v>783</v>
      </c>
      <c r="G139" s="2" t="s">
        <v>797</v>
      </c>
      <c r="H139" s="2" t="s">
        <v>797</v>
      </c>
      <c r="I139" s="2" t="s">
        <v>785</v>
      </c>
      <c r="J139" s="25">
        <v>46046</v>
      </c>
      <c r="K139" s="36">
        <v>0.16039999999999999</v>
      </c>
      <c r="L139" s="23">
        <v>3.2079999999999997E-2</v>
      </c>
    </row>
    <row r="140" spans="1:12" ht="15.35" hidden="1" x14ac:dyDescent="0.55000000000000004">
      <c r="A140" s="20">
        <v>1364</v>
      </c>
      <c r="B140" s="2" t="s">
        <v>161</v>
      </c>
      <c r="C140" s="2" t="s">
        <v>162</v>
      </c>
      <c r="D140" s="20">
        <v>0</v>
      </c>
      <c r="E140" s="2" t="s">
        <v>63</v>
      </c>
      <c r="F140" s="2" t="s">
        <v>817</v>
      </c>
      <c r="G140" s="2" t="s">
        <v>976</v>
      </c>
      <c r="H140" s="2" t="s">
        <v>977</v>
      </c>
      <c r="I140" s="2" t="s">
        <v>785</v>
      </c>
      <c r="J140" s="25">
        <v>46046</v>
      </c>
      <c r="K140" s="36">
        <v>3.2000000000000001E-2</v>
      </c>
      <c r="L140" s="23">
        <v>6.4000000000000003E-3</v>
      </c>
    </row>
    <row r="141" spans="1:12" ht="15.35" hidden="1" x14ac:dyDescent="0.55000000000000004">
      <c r="A141" s="20">
        <v>1374</v>
      </c>
      <c r="B141" s="2" t="s">
        <v>161</v>
      </c>
      <c r="C141" s="2" t="s">
        <v>162</v>
      </c>
      <c r="D141" s="20">
        <v>0</v>
      </c>
      <c r="E141" s="2" t="s">
        <v>63</v>
      </c>
      <c r="F141" s="2" t="s">
        <v>793</v>
      </c>
      <c r="G141" s="2" t="s">
        <v>978</v>
      </c>
      <c r="H141" s="2" t="s">
        <v>979</v>
      </c>
      <c r="I141" s="2" t="s">
        <v>785</v>
      </c>
      <c r="J141" s="25">
        <v>46046</v>
      </c>
      <c r="K141" s="36">
        <v>6.4100000000000004E-2</v>
      </c>
      <c r="L141" s="23">
        <v>1.282E-2</v>
      </c>
    </row>
    <row r="142" spans="1:12" ht="15.35" hidden="1" x14ac:dyDescent="0.55000000000000004">
      <c r="A142" s="20">
        <v>1376</v>
      </c>
      <c r="B142" s="2" t="s">
        <v>161</v>
      </c>
      <c r="C142" s="2" t="s">
        <v>162</v>
      </c>
      <c r="D142" s="20">
        <v>0</v>
      </c>
      <c r="E142" s="2" t="s">
        <v>63</v>
      </c>
      <c r="F142" s="2" t="s">
        <v>798</v>
      </c>
      <c r="G142" s="2" t="s">
        <v>980</v>
      </c>
      <c r="H142" s="2" t="s">
        <v>981</v>
      </c>
      <c r="I142" s="2" t="s">
        <v>785</v>
      </c>
      <c r="J142" s="25">
        <v>46046</v>
      </c>
      <c r="K142" s="36">
        <v>1.6E-2</v>
      </c>
      <c r="L142" s="23">
        <v>3.2000000000000002E-3</v>
      </c>
    </row>
    <row r="143" spans="1:12" ht="15.35" hidden="1" x14ac:dyDescent="0.55000000000000004">
      <c r="A143" s="20">
        <v>1365</v>
      </c>
      <c r="B143" s="2" t="s">
        <v>161</v>
      </c>
      <c r="C143" s="2" t="s">
        <v>162</v>
      </c>
      <c r="D143" s="20">
        <v>0</v>
      </c>
      <c r="E143" s="2" t="s">
        <v>63</v>
      </c>
      <c r="F143" s="2" t="s">
        <v>817</v>
      </c>
      <c r="G143" s="2" t="s">
        <v>982</v>
      </c>
      <c r="H143" s="2" t="s">
        <v>983</v>
      </c>
      <c r="I143" s="2" t="s">
        <v>785</v>
      </c>
      <c r="J143" s="25">
        <v>46046</v>
      </c>
      <c r="K143" s="36">
        <v>0.27089999999999997</v>
      </c>
      <c r="L143" s="23">
        <v>5.4179999999999999E-2</v>
      </c>
    </row>
    <row r="144" spans="1:12" ht="15.35" hidden="1" x14ac:dyDescent="0.55000000000000004">
      <c r="A144" s="20">
        <v>1370</v>
      </c>
      <c r="B144" s="2" t="s">
        <v>161</v>
      </c>
      <c r="C144" s="2" t="s">
        <v>162</v>
      </c>
      <c r="D144" s="20">
        <v>0</v>
      </c>
      <c r="E144" s="2" t="s">
        <v>63</v>
      </c>
      <c r="F144" s="2" t="s">
        <v>789</v>
      </c>
      <c r="G144" s="2" t="s">
        <v>984</v>
      </c>
      <c r="H144" s="2" t="s">
        <v>985</v>
      </c>
      <c r="I144" s="2" t="s">
        <v>785</v>
      </c>
      <c r="J144" s="25">
        <v>46046</v>
      </c>
      <c r="K144" s="36">
        <v>0.1283</v>
      </c>
      <c r="L144" s="23">
        <v>2.5659999999999999E-2</v>
      </c>
    </row>
    <row r="145" spans="1:12" ht="15.35" hidden="1" x14ac:dyDescent="0.55000000000000004">
      <c r="A145" s="20">
        <v>1371</v>
      </c>
      <c r="B145" s="2" t="s">
        <v>161</v>
      </c>
      <c r="C145" s="2" t="s">
        <v>162</v>
      </c>
      <c r="D145" s="20">
        <v>0</v>
      </c>
      <c r="E145" s="2" t="s">
        <v>63</v>
      </c>
      <c r="F145" s="2" t="s">
        <v>789</v>
      </c>
      <c r="G145" s="2" t="s">
        <v>986</v>
      </c>
      <c r="H145" s="2" t="s">
        <v>987</v>
      </c>
      <c r="I145" s="2" t="s">
        <v>785</v>
      </c>
      <c r="J145" s="25">
        <v>46046</v>
      </c>
      <c r="K145" s="36">
        <v>3.2000000000000001E-2</v>
      </c>
      <c r="L145" s="23">
        <v>6.4000000000000003E-3</v>
      </c>
    </row>
    <row r="146" spans="1:12" ht="15.35" hidden="1" x14ac:dyDescent="0.55000000000000004">
      <c r="A146" s="20">
        <v>1372</v>
      </c>
      <c r="B146" s="2" t="s">
        <v>161</v>
      </c>
      <c r="C146" s="2" t="s">
        <v>162</v>
      </c>
      <c r="D146" s="20">
        <v>0</v>
      </c>
      <c r="E146" s="2" t="s">
        <v>63</v>
      </c>
      <c r="F146" s="2" t="s">
        <v>789</v>
      </c>
      <c r="G146" s="2" t="s">
        <v>988</v>
      </c>
      <c r="H146" s="2" t="s">
        <v>989</v>
      </c>
      <c r="I146" s="2" t="s">
        <v>785</v>
      </c>
      <c r="J146" s="25">
        <v>46046</v>
      </c>
      <c r="K146" s="36">
        <v>1.6E-2</v>
      </c>
      <c r="L146" s="23">
        <v>3.2000000000000002E-3</v>
      </c>
    </row>
    <row r="147" spans="1:12" ht="15.35" hidden="1" x14ac:dyDescent="0.55000000000000004">
      <c r="A147" s="20">
        <v>1375</v>
      </c>
      <c r="B147" s="2" t="s">
        <v>161</v>
      </c>
      <c r="C147" s="2" t="s">
        <v>162</v>
      </c>
      <c r="D147" s="20">
        <v>0</v>
      </c>
      <c r="E147" s="2" t="s">
        <v>63</v>
      </c>
      <c r="F147" s="2" t="s">
        <v>798</v>
      </c>
      <c r="G147" s="2" t="s">
        <v>990</v>
      </c>
      <c r="H147" s="2" t="s">
        <v>860</v>
      </c>
      <c r="I147" s="2" t="s">
        <v>785</v>
      </c>
      <c r="J147" s="25">
        <v>46046</v>
      </c>
      <c r="K147" s="36">
        <v>3.2000000000000001E-2</v>
      </c>
      <c r="L147" s="23">
        <v>6.4000000000000003E-3</v>
      </c>
    </row>
    <row r="148" spans="1:12" ht="15.35" hidden="1" x14ac:dyDescent="0.55000000000000004">
      <c r="A148" s="20">
        <v>1352</v>
      </c>
      <c r="B148" s="2" t="s">
        <v>161</v>
      </c>
      <c r="C148" s="2" t="s">
        <v>162</v>
      </c>
      <c r="D148" s="20">
        <v>0</v>
      </c>
      <c r="E148" s="2" t="s">
        <v>63</v>
      </c>
      <c r="F148" s="2" t="s">
        <v>798</v>
      </c>
      <c r="G148" s="2" t="s">
        <v>991</v>
      </c>
      <c r="H148" s="2" t="s">
        <v>991</v>
      </c>
      <c r="I148" s="2" t="s">
        <v>785</v>
      </c>
      <c r="J148" s="25">
        <v>46046</v>
      </c>
      <c r="K148" s="36">
        <v>1.6E-2</v>
      </c>
      <c r="L148" s="23">
        <v>3.2000000000000002E-3</v>
      </c>
    </row>
    <row r="149" spans="1:12" ht="15.35" hidden="1" x14ac:dyDescent="0.55000000000000004">
      <c r="A149" s="20">
        <v>1354</v>
      </c>
      <c r="B149" s="2" t="s">
        <v>161</v>
      </c>
      <c r="C149" s="2" t="s">
        <v>162</v>
      </c>
      <c r="D149" s="20">
        <v>0</v>
      </c>
      <c r="E149" s="2" t="s">
        <v>63</v>
      </c>
      <c r="F149" s="2" t="s">
        <v>798</v>
      </c>
      <c r="G149" s="2" t="s">
        <v>992</v>
      </c>
      <c r="H149" s="2" t="s">
        <v>993</v>
      </c>
      <c r="I149" s="2" t="s">
        <v>785</v>
      </c>
      <c r="J149" s="25">
        <v>46046</v>
      </c>
      <c r="K149" s="36">
        <v>6.4100000000000004E-2</v>
      </c>
      <c r="L149" s="23">
        <v>1.282E-2</v>
      </c>
    </row>
    <row r="150" spans="1:12" ht="15.35" hidden="1" x14ac:dyDescent="0.55000000000000004">
      <c r="A150" s="20">
        <v>1366</v>
      </c>
      <c r="B150" s="2" t="s">
        <v>161</v>
      </c>
      <c r="C150" s="2" t="s">
        <v>162</v>
      </c>
      <c r="D150" s="20">
        <v>0</v>
      </c>
      <c r="E150" s="2" t="s">
        <v>63</v>
      </c>
      <c r="F150" s="2" t="s">
        <v>817</v>
      </c>
      <c r="G150" s="2" t="s">
        <v>994</v>
      </c>
      <c r="H150" s="2" t="s">
        <v>862</v>
      </c>
      <c r="I150" s="2" t="s">
        <v>785</v>
      </c>
      <c r="J150" s="25">
        <v>46046</v>
      </c>
      <c r="K150" s="36">
        <v>3.2000000000000001E-2</v>
      </c>
      <c r="L150" s="23">
        <v>6.4000000000000003E-3</v>
      </c>
    </row>
    <row r="151" spans="1:12" ht="15.35" hidden="1" x14ac:dyDescent="0.55000000000000004">
      <c r="A151" s="20">
        <v>1367</v>
      </c>
      <c r="B151" s="2" t="s">
        <v>161</v>
      </c>
      <c r="C151" s="2" t="s">
        <v>162</v>
      </c>
      <c r="D151" s="20">
        <v>0</v>
      </c>
      <c r="E151" s="2" t="s">
        <v>63</v>
      </c>
      <c r="F151" s="2" t="s">
        <v>817</v>
      </c>
      <c r="G151" s="2" t="s">
        <v>995</v>
      </c>
      <c r="H151" s="2" t="s">
        <v>862</v>
      </c>
      <c r="I151" s="2" t="s">
        <v>785</v>
      </c>
      <c r="J151" s="25">
        <v>46046</v>
      </c>
      <c r="K151" s="36">
        <v>3.2000000000000001E-2</v>
      </c>
      <c r="L151" s="23">
        <v>6.4000000000000003E-3</v>
      </c>
    </row>
    <row r="152" spans="1:12" ht="15.35" hidden="1" x14ac:dyDescent="0.55000000000000004">
      <c r="A152" s="20">
        <v>1373</v>
      </c>
      <c r="B152" s="2" t="s">
        <v>161</v>
      </c>
      <c r="C152" s="2" t="s">
        <v>162</v>
      </c>
      <c r="D152" s="20">
        <v>0</v>
      </c>
      <c r="E152" s="2" t="s">
        <v>63</v>
      </c>
      <c r="F152" s="2" t="s">
        <v>789</v>
      </c>
      <c r="G152" s="2" t="s">
        <v>996</v>
      </c>
      <c r="H152" s="2" t="s">
        <v>997</v>
      </c>
      <c r="I152" s="2" t="s">
        <v>785</v>
      </c>
      <c r="J152" s="25">
        <v>46046</v>
      </c>
      <c r="K152" s="36">
        <v>3.2000000000000001E-2</v>
      </c>
      <c r="L152" s="23">
        <v>6.4000000000000003E-3</v>
      </c>
    </row>
    <row r="153" spans="1:12" ht="15.35" hidden="1" x14ac:dyDescent="0.55000000000000004">
      <c r="A153" s="20">
        <v>1350</v>
      </c>
      <c r="B153" s="2" t="s">
        <v>161</v>
      </c>
      <c r="C153" s="2" t="s">
        <v>162</v>
      </c>
      <c r="D153" s="20">
        <v>0</v>
      </c>
      <c r="E153" s="2" t="s">
        <v>63</v>
      </c>
      <c r="F153" s="2" t="s">
        <v>787</v>
      </c>
      <c r="G153" s="2" t="s">
        <v>864</v>
      </c>
      <c r="H153" s="2" t="s">
        <v>864</v>
      </c>
      <c r="I153" s="2" t="s">
        <v>785</v>
      </c>
      <c r="J153" s="25">
        <v>46046</v>
      </c>
      <c r="K153" s="36">
        <v>3.2000000000000001E-2</v>
      </c>
      <c r="L153" s="23">
        <v>6.4000000000000003E-3</v>
      </c>
    </row>
    <row r="154" spans="1:12" ht="15.35" hidden="1" x14ac:dyDescent="0.55000000000000004">
      <c r="A154" s="20">
        <v>1363</v>
      </c>
      <c r="B154" s="2" t="s">
        <v>161</v>
      </c>
      <c r="C154" s="2" t="s">
        <v>162</v>
      </c>
      <c r="D154" s="20">
        <v>0</v>
      </c>
      <c r="E154" s="2" t="s">
        <v>63</v>
      </c>
      <c r="F154" s="2" t="s">
        <v>813</v>
      </c>
      <c r="G154" s="2" t="s">
        <v>998</v>
      </c>
      <c r="H154" s="2" t="s">
        <v>998</v>
      </c>
      <c r="I154" s="2" t="s">
        <v>785</v>
      </c>
      <c r="J154" s="25">
        <v>46046</v>
      </c>
      <c r="K154" s="36">
        <v>9.6199999999999994E-2</v>
      </c>
      <c r="L154" s="23">
        <v>1.924E-2</v>
      </c>
    </row>
    <row r="155" spans="1:12" ht="15.35" hidden="1" x14ac:dyDescent="0.55000000000000004">
      <c r="A155" s="20">
        <v>1357</v>
      </c>
      <c r="B155" s="2" t="s">
        <v>161</v>
      </c>
      <c r="C155" s="2" t="s">
        <v>162</v>
      </c>
      <c r="D155" s="20">
        <v>0</v>
      </c>
      <c r="E155" s="2" t="s">
        <v>63</v>
      </c>
      <c r="F155" s="2" t="s">
        <v>807</v>
      </c>
      <c r="G155" s="2" t="s">
        <v>999</v>
      </c>
      <c r="H155" s="2" t="s">
        <v>999</v>
      </c>
      <c r="I155" s="2" t="s">
        <v>809</v>
      </c>
      <c r="J155" s="25">
        <v>47507</v>
      </c>
      <c r="K155" s="36">
        <v>1.7</v>
      </c>
      <c r="L155" s="23">
        <v>0.34</v>
      </c>
    </row>
    <row r="156" spans="1:12" ht="15.35" hidden="1" x14ac:dyDescent="0.55000000000000004">
      <c r="A156" s="20">
        <v>1356</v>
      </c>
      <c r="B156" s="2" t="s">
        <v>161</v>
      </c>
      <c r="C156" s="2" t="s">
        <v>162</v>
      </c>
      <c r="D156" s="20">
        <v>0</v>
      </c>
      <c r="E156" s="2" t="s">
        <v>63</v>
      </c>
      <c r="F156" s="2" t="s">
        <v>811</v>
      </c>
      <c r="G156" s="2" t="s">
        <v>1000</v>
      </c>
      <c r="H156" s="2" t="s">
        <v>1001</v>
      </c>
      <c r="I156" s="2" t="s">
        <v>785</v>
      </c>
      <c r="J156" s="25">
        <v>46046</v>
      </c>
      <c r="K156" s="36">
        <v>0.16039999999999999</v>
      </c>
      <c r="L156" s="23">
        <v>3.2079999999999997E-2</v>
      </c>
    </row>
    <row r="157" spans="1:12" ht="15.35" hidden="1" x14ac:dyDescent="0.55000000000000004">
      <c r="A157" s="20">
        <v>14817</v>
      </c>
      <c r="B157" s="2" t="s">
        <v>161</v>
      </c>
      <c r="C157" s="2" t="s">
        <v>162</v>
      </c>
      <c r="D157" s="20">
        <v>0</v>
      </c>
      <c r="E157" s="2" t="s">
        <v>838</v>
      </c>
      <c r="F157" s="2" t="s">
        <v>793</v>
      </c>
      <c r="G157" s="2" t="s">
        <v>1002</v>
      </c>
      <c r="H157" s="2" t="s">
        <v>1003</v>
      </c>
      <c r="J157" s="26"/>
      <c r="K157" s="36">
        <v>6.3517699999999996E-3</v>
      </c>
      <c r="L157" s="23">
        <v>1.27035E-3</v>
      </c>
    </row>
    <row r="158" spans="1:12" ht="15.35" hidden="1" x14ac:dyDescent="0.55000000000000004">
      <c r="A158" s="20">
        <v>14816</v>
      </c>
      <c r="B158" s="2" t="s">
        <v>161</v>
      </c>
      <c r="C158" s="2" t="s">
        <v>162</v>
      </c>
      <c r="D158" s="20">
        <v>0</v>
      </c>
      <c r="E158" s="2" t="s">
        <v>838</v>
      </c>
      <c r="F158" s="2" t="s">
        <v>848</v>
      </c>
      <c r="G158" s="2" t="s">
        <v>1004</v>
      </c>
      <c r="H158" s="2" t="s">
        <v>1004</v>
      </c>
      <c r="J158" s="26"/>
      <c r="K158" s="36">
        <v>1.097332E-2</v>
      </c>
      <c r="L158" s="23">
        <v>2.1946600000000002E-3</v>
      </c>
    </row>
    <row r="159" spans="1:12" ht="15.35" hidden="1" x14ac:dyDescent="0.55000000000000004">
      <c r="A159" s="20">
        <v>14668</v>
      </c>
      <c r="B159" s="2" t="s">
        <v>161</v>
      </c>
      <c r="C159" s="2" t="s">
        <v>162</v>
      </c>
      <c r="D159" s="20">
        <v>0</v>
      </c>
      <c r="E159" s="2" t="s">
        <v>838</v>
      </c>
      <c r="F159" s="2" t="s">
        <v>793</v>
      </c>
      <c r="G159" s="2" t="s">
        <v>1005</v>
      </c>
      <c r="H159" s="2" t="s">
        <v>1006</v>
      </c>
      <c r="J159" s="26"/>
      <c r="K159" s="36">
        <v>2.0376499999999998E-3</v>
      </c>
      <c r="L159" s="23">
        <v>4.0753000000000002E-4</v>
      </c>
    </row>
    <row r="160" spans="1:12" ht="15.35" hidden="1" x14ac:dyDescent="0.55000000000000004">
      <c r="A160" s="20">
        <v>14667</v>
      </c>
      <c r="B160" s="2" t="s">
        <v>161</v>
      </c>
      <c r="C160" s="2" t="s">
        <v>162</v>
      </c>
      <c r="D160" s="20">
        <v>0</v>
      </c>
      <c r="E160" s="2" t="s">
        <v>838</v>
      </c>
      <c r="F160" s="2" t="s">
        <v>787</v>
      </c>
      <c r="G160" s="2" t="s">
        <v>1007</v>
      </c>
      <c r="H160" s="2" t="s">
        <v>1007</v>
      </c>
      <c r="J160" s="26"/>
      <c r="K160" s="36">
        <v>1.0974340000000001E-2</v>
      </c>
      <c r="L160" s="23">
        <v>2.1948699999999998E-3</v>
      </c>
    </row>
    <row r="161" spans="1:12" ht="15.35" hidden="1" x14ac:dyDescent="0.55000000000000004">
      <c r="A161" s="20">
        <v>14695</v>
      </c>
      <c r="B161" s="2" t="s">
        <v>161</v>
      </c>
      <c r="C161" s="2" t="s">
        <v>162</v>
      </c>
      <c r="D161" s="20">
        <v>0</v>
      </c>
      <c r="E161" s="2" t="s">
        <v>838</v>
      </c>
      <c r="F161" s="2" t="s">
        <v>793</v>
      </c>
      <c r="G161" s="2" t="s">
        <v>1008</v>
      </c>
      <c r="H161" s="2" t="s">
        <v>1007</v>
      </c>
      <c r="J161" s="26"/>
      <c r="K161" s="36">
        <v>5.0814199999999997E-3</v>
      </c>
      <c r="L161" s="23">
        <v>1.01628E-3</v>
      </c>
    </row>
    <row r="162" spans="1:12" ht="15.35" hidden="1" x14ac:dyDescent="0.55000000000000004">
      <c r="A162" s="20">
        <v>14696</v>
      </c>
      <c r="B162" s="2" t="s">
        <v>161</v>
      </c>
      <c r="C162" s="2" t="s">
        <v>162</v>
      </c>
      <c r="D162" s="20">
        <v>0</v>
      </c>
      <c r="E162" s="2" t="s">
        <v>838</v>
      </c>
      <c r="F162" s="2" t="s">
        <v>793</v>
      </c>
      <c r="G162" s="2" t="s">
        <v>1009</v>
      </c>
      <c r="H162" s="2" t="s">
        <v>1007</v>
      </c>
      <c r="J162" s="26"/>
      <c r="K162" s="36">
        <v>5.0814199999999997E-3</v>
      </c>
      <c r="L162" s="23">
        <v>1.01628E-3</v>
      </c>
    </row>
    <row r="163" spans="1:12" ht="15.35" hidden="1" x14ac:dyDescent="0.55000000000000004">
      <c r="A163" s="20">
        <v>14751</v>
      </c>
      <c r="B163" s="2" t="s">
        <v>161</v>
      </c>
      <c r="C163" s="2" t="s">
        <v>162</v>
      </c>
      <c r="D163" s="20">
        <v>0</v>
      </c>
      <c r="E163" s="2" t="s">
        <v>838</v>
      </c>
      <c r="F163" s="2" t="s">
        <v>817</v>
      </c>
      <c r="G163" s="2" t="s">
        <v>1010</v>
      </c>
      <c r="H163" s="2" t="s">
        <v>1011</v>
      </c>
      <c r="J163" s="26"/>
      <c r="K163" s="36">
        <v>1.092505E-2</v>
      </c>
      <c r="L163" s="23">
        <v>2.1850099999999998E-3</v>
      </c>
    </row>
    <row r="164" spans="1:12" ht="15.35" hidden="1" x14ac:dyDescent="0.55000000000000004">
      <c r="A164" s="20">
        <v>14736</v>
      </c>
      <c r="B164" s="2" t="s">
        <v>161</v>
      </c>
      <c r="C164" s="2" t="s">
        <v>162</v>
      </c>
      <c r="D164" s="20">
        <v>0</v>
      </c>
      <c r="E164" s="2" t="s">
        <v>838</v>
      </c>
      <c r="F164" s="2" t="s">
        <v>793</v>
      </c>
      <c r="G164" s="2" t="s">
        <v>1012</v>
      </c>
      <c r="H164" s="2" t="s">
        <v>1013</v>
      </c>
      <c r="J164" s="26"/>
      <c r="K164" s="36">
        <v>2.5407099999999998E-3</v>
      </c>
      <c r="L164" s="23">
        <v>5.0814000000000002E-4</v>
      </c>
    </row>
    <row r="165" spans="1:12" ht="15.35" hidden="1" x14ac:dyDescent="0.55000000000000004">
      <c r="A165" s="20">
        <v>14746</v>
      </c>
      <c r="B165" s="2" t="s">
        <v>161</v>
      </c>
      <c r="C165" s="2" t="s">
        <v>162</v>
      </c>
      <c r="D165" s="20">
        <v>0</v>
      </c>
      <c r="E165" s="2" t="s">
        <v>838</v>
      </c>
      <c r="F165" s="2" t="s">
        <v>789</v>
      </c>
      <c r="G165" s="2" t="s">
        <v>1014</v>
      </c>
      <c r="H165" s="2" t="s">
        <v>1015</v>
      </c>
      <c r="J165" s="26"/>
      <c r="K165" s="36">
        <v>1.097332E-2</v>
      </c>
      <c r="L165" s="23">
        <v>2.1946600000000002E-3</v>
      </c>
    </row>
    <row r="166" spans="1:12" ht="15.35" hidden="1" x14ac:dyDescent="0.55000000000000004">
      <c r="A166" s="20">
        <v>14742</v>
      </c>
      <c r="B166" s="2" t="s">
        <v>161</v>
      </c>
      <c r="C166" s="2" t="s">
        <v>162</v>
      </c>
      <c r="D166" s="20">
        <v>0</v>
      </c>
      <c r="E166" s="2" t="s">
        <v>838</v>
      </c>
      <c r="F166" s="2" t="s">
        <v>789</v>
      </c>
      <c r="G166" s="2" t="s">
        <v>1016</v>
      </c>
      <c r="H166" s="2" t="s">
        <v>1015</v>
      </c>
      <c r="J166" s="26"/>
      <c r="K166" s="36">
        <v>1.097332E-2</v>
      </c>
      <c r="L166" s="23">
        <v>2.1946600000000002E-3</v>
      </c>
    </row>
    <row r="167" spans="1:12" ht="15.35" hidden="1" x14ac:dyDescent="0.55000000000000004">
      <c r="A167" s="20">
        <v>14739</v>
      </c>
      <c r="B167" s="2" t="s">
        <v>161</v>
      </c>
      <c r="C167" s="2" t="s">
        <v>162</v>
      </c>
      <c r="D167" s="20">
        <v>0</v>
      </c>
      <c r="E167" s="2" t="s">
        <v>838</v>
      </c>
      <c r="F167" s="2" t="s">
        <v>789</v>
      </c>
      <c r="G167" s="2" t="s">
        <v>1017</v>
      </c>
      <c r="H167" s="2" t="s">
        <v>1015</v>
      </c>
      <c r="J167" s="26"/>
      <c r="K167" s="36">
        <v>1.097332E-2</v>
      </c>
      <c r="L167" s="23">
        <v>2.1946600000000002E-3</v>
      </c>
    </row>
    <row r="168" spans="1:12" ht="15.35" hidden="1" x14ac:dyDescent="0.55000000000000004">
      <c r="A168" s="20">
        <v>14740</v>
      </c>
      <c r="B168" s="2" t="s">
        <v>161</v>
      </c>
      <c r="C168" s="2" t="s">
        <v>162</v>
      </c>
      <c r="D168" s="20">
        <v>0</v>
      </c>
      <c r="E168" s="2" t="s">
        <v>838</v>
      </c>
      <c r="F168" s="2" t="s">
        <v>789</v>
      </c>
      <c r="G168" s="2" t="s">
        <v>1018</v>
      </c>
      <c r="H168" s="2" t="s">
        <v>1015</v>
      </c>
      <c r="J168" s="26"/>
      <c r="K168" s="36">
        <v>1.097332E-2</v>
      </c>
      <c r="L168" s="23">
        <v>2.1946600000000002E-3</v>
      </c>
    </row>
    <row r="169" spans="1:12" ht="15.35" hidden="1" x14ac:dyDescent="0.55000000000000004">
      <c r="A169" s="20">
        <v>14741</v>
      </c>
      <c r="B169" s="2" t="s">
        <v>161</v>
      </c>
      <c r="C169" s="2" t="s">
        <v>162</v>
      </c>
      <c r="D169" s="20">
        <v>0</v>
      </c>
      <c r="E169" s="2" t="s">
        <v>838</v>
      </c>
      <c r="F169" s="2" t="s">
        <v>789</v>
      </c>
      <c r="G169" s="2" t="s">
        <v>1019</v>
      </c>
      <c r="H169" s="2" t="s">
        <v>1015</v>
      </c>
      <c r="J169" s="26"/>
      <c r="K169" s="36">
        <v>1.097332E-2</v>
      </c>
      <c r="L169" s="23">
        <v>2.1946600000000002E-3</v>
      </c>
    </row>
    <row r="170" spans="1:12" ht="15.35" hidden="1" x14ac:dyDescent="0.55000000000000004">
      <c r="A170" s="20">
        <v>14745</v>
      </c>
      <c r="B170" s="2" t="s">
        <v>161</v>
      </c>
      <c r="C170" s="2" t="s">
        <v>162</v>
      </c>
      <c r="D170" s="20">
        <v>0</v>
      </c>
      <c r="E170" s="2" t="s">
        <v>838</v>
      </c>
      <c r="F170" s="2" t="s">
        <v>789</v>
      </c>
      <c r="G170" s="2" t="s">
        <v>1020</v>
      </c>
      <c r="H170" s="2" t="s">
        <v>1021</v>
      </c>
      <c r="J170" s="26"/>
      <c r="K170" s="36">
        <v>1.097332E-2</v>
      </c>
      <c r="L170" s="23">
        <v>2.1946600000000002E-3</v>
      </c>
    </row>
    <row r="171" spans="1:12" ht="15.35" hidden="1" x14ac:dyDescent="0.55000000000000004">
      <c r="A171" s="20">
        <v>14747</v>
      </c>
      <c r="B171" s="2" t="s">
        <v>161</v>
      </c>
      <c r="C171" s="2" t="s">
        <v>162</v>
      </c>
      <c r="D171" s="20">
        <v>0</v>
      </c>
      <c r="E171" s="2" t="s">
        <v>838</v>
      </c>
      <c r="F171" s="2" t="s">
        <v>789</v>
      </c>
      <c r="G171" s="2" t="s">
        <v>1022</v>
      </c>
      <c r="H171" s="2" t="s">
        <v>1021</v>
      </c>
      <c r="J171" s="26"/>
      <c r="K171" s="36">
        <v>1.097332E-2</v>
      </c>
      <c r="L171" s="23">
        <v>2.1946600000000002E-3</v>
      </c>
    </row>
    <row r="172" spans="1:12" ht="15.35" hidden="1" x14ac:dyDescent="0.55000000000000004">
      <c r="A172" s="20">
        <v>14738</v>
      </c>
      <c r="B172" s="2" t="s">
        <v>161</v>
      </c>
      <c r="C172" s="2" t="s">
        <v>162</v>
      </c>
      <c r="D172" s="20">
        <v>0</v>
      </c>
      <c r="E172" s="2" t="s">
        <v>838</v>
      </c>
      <c r="F172" s="2" t="s">
        <v>789</v>
      </c>
      <c r="G172" s="2" t="s">
        <v>1023</v>
      </c>
      <c r="H172" s="2" t="s">
        <v>1021</v>
      </c>
      <c r="J172" s="26"/>
      <c r="K172" s="36">
        <v>1.097332E-2</v>
      </c>
      <c r="L172" s="23">
        <v>2.1946600000000002E-3</v>
      </c>
    </row>
    <row r="173" spans="1:12" ht="15.35" hidden="1" x14ac:dyDescent="0.55000000000000004">
      <c r="A173" s="20">
        <v>14748</v>
      </c>
      <c r="B173" s="2" t="s">
        <v>161</v>
      </c>
      <c r="C173" s="2" t="s">
        <v>162</v>
      </c>
      <c r="D173" s="20">
        <v>0</v>
      </c>
      <c r="E173" s="2" t="s">
        <v>838</v>
      </c>
      <c r="F173" s="2" t="s">
        <v>789</v>
      </c>
      <c r="G173" s="2" t="s">
        <v>1024</v>
      </c>
      <c r="H173" s="2" t="s">
        <v>1021</v>
      </c>
      <c r="J173" s="26"/>
      <c r="K173" s="36">
        <v>1.097332E-2</v>
      </c>
      <c r="L173" s="23">
        <v>2.1946600000000002E-3</v>
      </c>
    </row>
    <row r="174" spans="1:12" ht="15.35" hidden="1" x14ac:dyDescent="0.55000000000000004">
      <c r="A174" s="20">
        <v>14743</v>
      </c>
      <c r="B174" s="2" t="s">
        <v>161</v>
      </c>
      <c r="C174" s="2" t="s">
        <v>162</v>
      </c>
      <c r="D174" s="20">
        <v>0</v>
      </c>
      <c r="E174" s="2" t="s">
        <v>838</v>
      </c>
      <c r="F174" s="2" t="s">
        <v>789</v>
      </c>
      <c r="G174" s="2" t="s">
        <v>1025</v>
      </c>
      <c r="H174" s="2" t="s">
        <v>840</v>
      </c>
      <c r="J174" s="26"/>
      <c r="K174" s="36">
        <v>1.097332E-2</v>
      </c>
      <c r="L174" s="23">
        <v>2.1946600000000002E-3</v>
      </c>
    </row>
    <row r="175" spans="1:12" ht="15.35" hidden="1" x14ac:dyDescent="0.55000000000000004">
      <c r="A175" s="20">
        <v>14744</v>
      </c>
      <c r="B175" s="2" t="s">
        <v>161</v>
      </c>
      <c r="C175" s="2" t="s">
        <v>162</v>
      </c>
      <c r="D175" s="20">
        <v>0</v>
      </c>
      <c r="E175" s="2" t="s">
        <v>838</v>
      </c>
      <c r="F175" s="2" t="s">
        <v>789</v>
      </c>
      <c r="G175" s="2" t="s">
        <v>1026</v>
      </c>
      <c r="H175" s="2" t="s">
        <v>840</v>
      </c>
      <c r="J175" s="26"/>
      <c r="K175" s="36">
        <v>1.097332E-2</v>
      </c>
      <c r="L175" s="23">
        <v>2.1946600000000002E-3</v>
      </c>
    </row>
    <row r="176" spans="1:12" ht="15.35" hidden="1" x14ac:dyDescent="0.55000000000000004">
      <c r="A176" s="20">
        <v>14737</v>
      </c>
      <c r="B176" s="2" t="s">
        <v>161</v>
      </c>
      <c r="C176" s="2" t="s">
        <v>162</v>
      </c>
      <c r="D176" s="20">
        <v>0</v>
      </c>
      <c r="E176" s="2" t="s">
        <v>838</v>
      </c>
      <c r="F176" s="2" t="s">
        <v>789</v>
      </c>
      <c r="G176" s="2" t="s">
        <v>1027</v>
      </c>
      <c r="H176" s="2" t="s">
        <v>840</v>
      </c>
      <c r="J176" s="26"/>
      <c r="K176" s="36">
        <v>1.097332E-2</v>
      </c>
      <c r="L176" s="23">
        <v>2.1946600000000002E-3</v>
      </c>
    </row>
    <row r="177" spans="1:12" ht="15.35" hidden="1" x14ac:dyDescent="0.55000000000000004">
      <c r="A177" s="20">
        <v>14717</v>
      </c>
      <c r="B177" s="2" t="s">
        <v>161</v>
      </c>
      <c r="C177" s="2" t="s">
        <v>162</v>
      </c>
      <c r="D177" s="20">
        <v>0</v>
      </c>
      <c r="E177" s="2" t="s">
        <v>838</v>
      </c>
      <c r="F177" s="2" t="s">
        <v>789</v>
      </c>
      <c r="G177" s="2" t="s">
        <v>1028</v>
      </c>
      <c r="H177" s="2" t="s">
        <v>1029</v>
      </c>
      <c r="J177" s="26"/>
      <c r="K177" s="36">
        <v>6.1866300000000003E-3</v>
      </c>
      <c r="L177" s="23">
        <v>1.23733E-3</v>
      </c>
    </row>
    <row r="178" spans="1:12" ht="15.35" hidden="1" x14ac:dyDescent="0.55000000000000004">
      <c r="A178" s="20">
        <v>14790</v>
      </c>
      <c r="B178" s="2" t="s">
        <v>161</v>
      </c>
      <c r="C178" s="2" t="s">
        <v>162</v>
      </c>
      <c r="D178" s="20">
        <v>0</v>
      </c>
      <c r="E178" s="2" t="s">
        <v>838</v>
      </c>
      <c r="F178" s="2" t="s">
        <v>817</v>
      </c>
      <c r="G178" s="2" t="s">
        <v>1030</v>
      </c>
      <c r="H178" s="2" t="s">
        <v>1031</v>
      </c>
      <c r="J178" s="26"/>
      <c r="K178" s="36">
        <v>2.8582899999999999E-3</v>
      </c>
      <c r="L178" s="23">
        <v>5.7165999999999998E-4</v>
      </c>
    </row>
    <row r="179" spans="1:12" ht="15.35" hidden="1" x14ac:dyDescent="0.55000000000000004">
      <c r="A179" s="20">
        <v>14791</v>
      </c>
      <c r="B179" s="2" t="s">
        <v>161</v>
      </c>
      <c r="C179" s="2" t="s">
        <v>162</v>
      </c>
      <c r="D179" s="20">
        <v>0</v>
      </c>
      <c r="E179" s="2" t="s">
        <v>838</v>
      </c>
      <c r="F179" s="2" t="s">
        <v>817</v>
      </c>
      <c r="G179" s="2" t="s">
        <v>1032</v>
      </c>
      <c r="H179" s="2" t="s">
        <v>1031</v>
      </c>
      <c r="J179" s="26"/>
      <c r="K179" s="36">
        <v>1.097332E-2</v>
      </c>
      <c r="L179" s="23">
        <v>2.1946600000000002E-3</v>
      </c>
    </row>
    <row r="180" spans="1:12" ht="15.35" hidden="1" x14ac:dyDescent="0.55000000000000004">
      <c r="A180" s="20">
        <v>14772</v>
      </c>
      <c r="B180" s="2" t="s">
        <v>161</v>
      </c>
      <c r="C180" s="2" t="s">
        <v>162</v>
      </c>
      <c r="D180" s="20">
        <v>0</v>
      </c>
      <c r="E180" s="2" t="s">
        <v>838</v>
      </c>
      <c r="F180" s="2" t="s">
        <v>789</v>
      </c>
      <c r="G180" s="2" t="s">
        <v>1033</v>
      </c>
      <c r="H180" s="2" t="s">
        <v>1033</v>
      </c>
      <c r="J180" s="26"/>
      <c r="K180" s="36">
        <v>1.0162839999999999E-2</v>
      </c>
      <c r="L180" s="23">
        <v>2.03257E-3</v>
      </c>
    </row>
    <row r="181" spans="1:12" ht="15.35" hidden="1" x14ac:dyDescent="0.55000000000000004">
      <c r="A181" s="20">
        <v>14776</v>
      </c>
      <c r="B181" s="2" t="s">
        <v>161</v>
      </c>
      <c r="C181" s="2" t="s">
        <v>162</v>
      </c>
      <c r="D181" s="20">
        <v>0</v>
      </c>
      <c r="E181" s="2" t="s">
        <v>838</v>
      </c>
      <c r="F181" s="2" t="s">
        <v>789</v>
      </c>
      <c r="G181" s="2" t="s">
        <v>1034</v>
      </c>
      <c r="H181" s="2" t="s">
        <v>1033</v>
      </c>
      <c r="J181" s="26"/>
      <c r="K181" s="36">
        <v>1.0162839999999999E-2</v>
      </c>
      <c r="L181" s="23">
        <v>2.03257E-3</v>
      </c>
    </row>
    <row r="182" spans="1:12" ht="15.35" hidden="1" x14ac:dyDescent="0.55000000000000004">
      <c r="A182" s="20">
        <v>14774</v>
      </c>
      <c r="B182" s="2" t="s">
        <v>161</v>
      </c>
      <c r="C182" s="2" t="s">
        <v>162</v>
      </c>
      <c r="D182" s="20">
        <v>0</v>
      </c>
      <c r="E182" s="2" t="s">
        <v>838</v>
      </c>
      <c r="F182" s="2" t="s">
        <v>789</v>
      </c>
      <c r="G182" s="2" t="s">
        <v>1035</v>
      </c>
      <c r="H182" s="2" t="s">
        <v>1033</v>
      </c>
      <c r="J182" s="26"/>
      <c r="K182" s="36">
        <v>1.0162839999999999E-2</v>
      </c>
      <c r="L182" s="23">
        <v>2.03257E-3</v>
      </c>
    </row>
    <row r="183" spans="1:12" ht="15.35" hidden="1" x14ac:dyDescent="0.55000000000000004">
      <c r="A183" s="20">
        <v>14775</v>
      </c>
      <c r="B183" s="2" t="s">
        <v>161</v>
      </c>
      <c r="C183" s="2" t="s">
        <v>162</v>
      </c>
      <c r="D183" s="20">
        <v>0</v>
      </c>
      <c r="E183" s="2" t="s">
        <v>838</v>
      </c>
      <c r="F183" s="2" t="s">
        <v>789</v>
      </c>
      <c r="G183" s="2" t="s">
        <v>1036</v>
      </c>
      <c r="H183" s="2" t="s">
        <v>1033</v>
      </c>
      <c r="J183" s="26"/>
      <c r="K183" s="36">
        <v>1.0162839999999999E-2</v>
      </c>
      <c r="L183" s="23">
        <v>2.03257E-3</v>
      </c>
    </row>
    <row r="184" spans="1:12" ht="15.35" hidden="1" x14ac:dyDescent="0.55000000000000004">
      <c r="A184" s="20">
        <v>14773</v>
      </c>
      <c r="B184" s="2" t="s">
        <v>161</v>
      </c>
      <c r="C184" s="2" t="s">
        <v>162</v>
      </c>
      <c r="D184" s="20">
        <v>0</v>
      </c>
      <c r="E184" s="2" t="s">
        <v>838</v>
      </c>
      <c r="F184" s="2" t="s">
        <v>789</v>
      </c>
      <c r="G184" s="2" t="s">
        <v>1037</v>
      </c>
      <c r="H184" s="2" t="s">
        <v>1033</v>
      </c>
      <c r="J184" s="26"/>
      <c r="K184" s="36">
        <v>1.0162839999999999E-2</v>
      </c>
      <c r="L184" s="23">
        <v>2.03257E-3</v>
      </c>
    </row>
    <row r="185" spans="1:12" ht="15.35" hidden="1" x14ac:dyDescent="0.55000000000000004">
      <c r="A185" s="20">
        <v>14708</v>
      </c>
      <c r="B185" s="2" t="s">
        <v>161</v>
      </c>
      <c r="C185" s="2" t="s">
        <v>162</v>
      </c>
      <c r="D185" s="20">
        <v>0</v>
      </c>
      <c r="E185" s="2" t="s">
        <v>838</v>
      </c>
      <c r="F185" s="2" t="s">
        <v>789</v>
      </c>
      <c r="G185" s="2" t="s">
        <v>1038</v>
      </c>
      <c r="H185" s="2" t="s">
        <v>1039</v>
      </c>
      <c r="J185" s="26"/>
      <c r="K185" s="36">
        <v>8.2484099999999994E-3</v>
      </c>
      <c r="L185" s="23">
        <v>1.6496799999999999E-3</v>
      </c>
    </row>
    <row r="186" spans="1:12" ht="15.35" hidden="1" x14ac:dyDescent="0.55000000000000004">
      <c r="A186" s="20">
        <v>14693</v>
      </c>
      <c r="B186" s="2" t="s">
        <v>161</v>
      </c>
      <c r="C186" s="2" t="s">
        <v>162</v>
      </c>
      <c r="D186" s="20">
        <v>0</v>
      </c>
      <c r="E186" s="2" t="s">
        <v>838</v>
      </c>
      <c r="F186" s="2" t="s">
        <v>793</v>
      </c>
      <c r="G186" s="2" t="s">
        <v>1040</v>
      </c>
      <c r="H186" s="2" t="s">
        <v>1041</v>
      </c>
      <c r="J186" s="26"/>
      <c r="K186" s="36">
        <v>1.7759500000000001E-3</v>
      </c>
      <c r="L186" s="23">
        <v>3.5519000000000002E-4</v>
      </c>
    </row>
    <row r="187" spans="1:12" ht="15.35" hidden="1" x14ac:dyDescent="0.55000000000000004">
      <c r="A187" s="20">
        <v>14669</v>
      </c>
      <c r="B187" s="2" t="s">
        <v>161</v>
      </c>
      <c r="C187" s="2" t="s">
        <v>162</v>
      </c>
      <c r="D187" s="20">
        <v>0</v>
      </c>
      <c r="E187" s="2" t="s">
        <v>838</v>
      </c>
      <c r="F187" s="2" t="s">
        <v>848</v>
      </c>
      <c r="G187" s="2" t="s">
        <v>1042</v>
      </c>
      <c r="H187" s="2" t="s">
        <v>1042</v>
      </c>
      <c r="J187" s="26"/>
      <c r="K187" s="36">
        <v>1.0162839999999999E-2</v>
      </c>
      <c r="L187" s="23">
        <v>2.03257E-3</v>
      </c>
    </row>
    <row r="188" spans="1:12" ht="15.35" hidden="1" x14ac:dyDescent="0.55000000000000004">
      <c r="A188" s="20">
        <v>14784</v>
      </c>
      <c r="B188" s="2" t="s">
        <v>161</v>
      </c>
      <c r="C188" s="2" t="s">
        <v>162</v>
      </c>
      <c r="D188" s="20">
        <v>0</v>
      </c>
      <c r="E188" s="2" t="s">
        <v>838</v>
      </c>
      <c r="F188" s="2" t="s">
        <v>793</v>
      </c>
      <c r="G188" s="2" t="s">
        <v>1043</v>
      </c>
      <c r="H188" s="2" t="s">
        <v>1044</v>
      </c>
      <c r="J188" s="26"/>
      <c r="K188" s="36">
        <v>4.0752999999999996E-3</v>
      </c>
      <c r="L188" s="23">
        <v>8.1506000000000005E-4</v>
      </c>
    </row>
    <row r="189" spans="1:12" ht="15.35" hidden="1" x14ac:dyDescent="0.55000000000000004">
      <c r="A189" s="20">
        <v>14786</v>
      </c>
      <c r="B189" s="2" t="s">
        <v>161</v>
      </c>
      <c r="C189" s="2" t="s">
        <v>162</v>
      </c>
      <c r="D189" s="20">
        <v>0</v>
      </c>
      <c r="E189" s="2" t="s">
        <v>838</v>
      </c>
      <c r="F189" s="2" t="s">
        <v>793</v>
      </c>
      <c r="G189" s="2" t="s">
        <v>1045</v>
      </c>
      <c r="H189" s="2" t="s">
        <v>1044</v>
      </c>
      <c r="J189" s="26"/>
      <c r="K189" s="36">
        <v>1.22208E-3</v>
      </c>
      <c r="L189" s="23">
        <v>2.4442000000000002E-4</v>
      </c>
    </row>
    <row r="190" spans="1:12" ht="15.35" hidden="1" x14ac:dyDescent="0.55000000000000004">
      <c r="A190" s="20">
        <v>14788</v>
      </c>
      <c r="B190" s="2" t="s">
        <v>161</v>
      </c>
      <c r="C190" s="2" t="s">
        <v>162</v>
      </c>
      <c r="D190" s="20">
        <v>0</v>
      </c>
      <c r="E190" s="2" t="s">
        <v>838</v>
      </c>
      <c r="F190" s="2" t="s">
        <v>793</v>
      </c>
      <c r="G190" s="2" t="s">
        <v>1046</v>
      </c>
      <c r="H190" s="2" t="s">
        <v>1044</v>
      </c>
      <c r="J190" s="26"/>
      <c r="K190" s="36">
        <v>4.0651000000000001E-4</v>
      </c>
      <c r="L190" s="23">
        <v>8.1299999999999997E-5</v>
      </c>
    </row>
    <row r="191" spans="1:12" ht="15.35" hidden="1" x14ac:dyDescent="0.55000000000000004">
      <c r="A191" s="20">
        <v>14785</v>
      </c>
      <c r="B191" s="2" t="s">
        <v>161</v>
      </c>
      <c r="C191" s="2" t="s">
        <v>162</v>
      </c>
      <c r="D191" s="20">
        <v>0</v>
      </c>
      <c r="E191" s="2" t="s">
        <v>838</v>
      </c>
      <c r="F191" s="2" t="s">
        <v>793</v>
      </c>
      <c r="G191" s="2" t="s">
        <v>1047</v>
      </c>
      <c r="H191" s="2" t="s">
        <v>1044</v>
      </c>
      <c r="J191" s="26"/>
      <c r="K191" s="36">
        <v>1.22208E-3</v>
      </c>
      <c r="L191" s="23">
        <v>2.4442000000000002E-4</v>
      </c>
    </row>
    <row r="192" spans="1:12" ht="15.35" hidden="1" x14ac:dyDescent="0.55000000000000004">
      <c r="A192" s="20">
        <v>14787</v>
      </c>
      <c r="B192" s="2" t="s">
        <v>161</v>
      </c>
      <c r="C192" s="2" t="s">
        <v>162</v>
      </c>
      <c r="D192" s="20">
        <v>0</v>
      </c>
      <c r="E192" s="2" t="s">
        <v>838</v>
      </c>
      <c r="F192" s="2" t="s">
        <v>793</v>
      </c>
      <c r="G192" s="2" t="s">
        <v>1048</v>
      </c>
      <c r="H192" s="2" t="s">
        <v>1044</v>
      </c>
      <c r="J192" s="26"/>
      <c r="K192" s="36">
        <v>4.0651000000000001E-4</v>
      </c>
      <c r="L192" s="23">
        <v>8.1299999999999997E-5</v>
      </c>
    </row>
    <row r="193" spans="1:12" ht="15.35" hidden="1" x14ac:dyDescent="0.55000000000000004">
      <c r="A193" s="20">
        <v>14674</v>
      </c>
      <c r="B193" s="2" t="s">
        <v>161</v>
      </c>
      <c r="C193" s="2" t="s">
        <v>162</v>
      </c>
      <c r="D193" s="20">
        <v>0</v>
      </c>
      <c r="E193" s="2" t="s">
        <v>838</v>
      </c>
      <c r="F193" s="2" t="s">
        <v>787</v>
      </c>
      <c r="G193" s="2" t="s">
        <v>1049</v>
      </c>
      <c r="H193" s="2" t="s">
        <v>1049</v>
      </c>
      <c r="J193" s="26"/>
      <c r="K193" s="36">
        <v>1.097332E-2</v>
      </c>
      <c r="L193" s="23">
        <v>2.1946600000000002E-3</v>
      </c>
    </row>
    <row r="194" spans="1:12" ht="15.35" hidden="1" x14ac:dyDescent="0.55000000000000004">
      <c r="A194" s="20">
        <v>14690</v>
      </c>
      <c r="B194" s="2" t="s">
        <v>161</v>
      </c>
      <c r="C194" s="2" t="s">
        <v>162</v>
      </c>
      <c r="D194" s="20">
        <v>0</v>
      </c>
      <c r="E194" s="2" t="s">
        <v>838</v>
      </c>
      <c r="F194" s="2" t="s">
        <v>848</v>
      </c>
      <c r="G194" s="2" t="s">
        <v>1050</v>
      </c>
      <c r="H194" s="2" t="s">
        <v>1050</v>
      </c>
      <c r="J194" s="26"/>
      <c r="K194" s="36">
        <v>1.097332E-2</v>
      </c>
      <c r="L194" s="23">
        <v>2.1946600000000002E-3</v>
      </c>
    </row>
    <row r="195" spans="1:12" ht="15.35" hidden="1" x14ac:dyDescent="0.55000000000000004">
      <c r="A195" s="20">
        <v>14778</v>
      </c>
      <c r="B195" s="2" t="s">
        <v>161</v>
      </c>
      <c r="C195" s="2" t="s">
        <v>162</v>
      </c>
      <c r="D195" s="20">
        <v>0</v>
      </c>
      <c r="E195" s="2" t="s">
        <v>838</v>
      </c>
      <c r="F195" s="2" t="s">
        <v>793</v>
      </c>
      <c r="G195" s="2" t="s">
        <v>1051</v>
      </c>
      <c r="H195" s="2" t="s">
        <v>850</v>
      </c>
      <c r="J195" s="26"/>
      <c r="K195" s="36">
        <v>8.3029100000000002E-3</v>
      </c>
      <c r="L195" s="23">
        <v>1.66058E-3</v>
      </c>
    </row>
    <row r="196" spans="1:12" ht="15.35" hidden="1" x14ac:dyDescent="0.55000000000000004">
      <c r="A196" s="20">
        <v>14777</v>
      </c>
      <c r="B196" s="2" t="s">
        <v>161</v>
      </c>
      <c r="C196" s="2" t="s">
        <v>162</v>
      </c>
      <c r="D196" s="20">
        <v>0</v>
      </c>
      <c r="E196" s="2" t="s">
        <v>838</v>
      </c>
      <c r="F196" s="2" t="s">
        <v>793</v>
      </c>
      <c r="G196" s="2" t="s">
        <v>1052</v>
      </c>
      <c r="H196" s="2" t="s">
        <v>850</v>
      </c>
      <c r="J196" s="26"/>
      <c r="K196" s="36">
        <v>8.3016999999999997E-4</v>
      </c>
      <c r="L196" s="23">
        <v>1.6603000000000001E-4</v>
      </c>
    </row>
    <row r="197" spans="1:12" ht="15.35" hidden="1" x14ac:dyDescent="0.55000000000000004">
      <c r="A197" s="20">
        <v>14760</v>
      </c>
      <c r="B197" s="2" t="s">
        <v>161</v>
      </c>
      <c r="C197" s="2" t="s">
        <v>162</v>
      </c>
      <c r="D197" s="20">
        <v>0</v>
      </c>
      <c r="E197" s="2" t="s">
        <v>838</v>
      </c>
      <c r="F197" s="2" t="s">
        <v>817</v>
      </c>
      <c r="G197" s="2" t="s">
        <v>1053</v>
      </c>
      <c r="H197" s="2" t="s">
        <v>852</v>
      </c>
      <c r="J197" s="26"/>
      <c r="K197" s="36">
        <v>2.4453000000000001E-3</v>
      </c>
      <c r="L197" s="23">
        <v>4.8906000000000004E-4</v>
      </c>
    </row>
    <row r="198" spans="1:12" ht="15.35" hidden="1" x14ac:dyDescent="0.55000000000000004">
      <c r="A198" s="20">
        <v>14675</v>
      </c>
      <c r="B198" s="2" t="s">
        <v>161</v>
      </c>
      <c r="C198" s="2" t="s">
        <v>162</v>
      </c>
      <c r="D198" s="20">
        <v>0</v>
      </c>
      <c r="E198" s="2" t="s">
        <v>838</v>
      </c>
      <c r="F198" s="2" t="s">
        <v>787</v>
      </c>
      <c r="G198" s="2" t="s">
        <v>916</v>
      </c>
      <c r="H198" s="2" t="s">
        <v>916</v>
      </c>
      <c r="J198" s="26"/>
      <c r="K198" s="36">
        <v>1.097332E-2</v>
      </c>
      <c r="L198" s="23">
        <v>2.1946600000000002E-3</v>
      </c>
    </row>
    <row r="199" spans="1:12" ht="15.35" hidden="1" x14ac:dyDescent="0.55000000000000004">
      <c r="A199" s="20">
        <v>14694</v>
      </c>
      <c r="B199" s="2" t="s">
        <v>161</v>
      </c>
      <c r="C199" s="2" t="s">
        <v>162</v>
      </c>
      <c r="D199" s="20">
        <v>0</v>
      </c>
      <c r="E199" s="2" t="s">
        <v>838</v>
      </c>
      <c r="F199" s="2" t="s">
        <v>793</v>
      </c>
      <c r="G199" s="2" t="s">
        <v>1054</v>
      </c>
      <c r="H199" s="2" t="s">
        <v>979</v>
      </c>
      <c r="J199" s="26"/>
      <c r="K199" s="36">
        <v>2.66139E-3</v>
      </c>
      <c r="L199" s="23">
        <v>5.3227999999999999E-4</v>
      </c>
    </row>
    <row r="200" spans="1:12" ht="15.35" hidden="1" x14ac:dyDescent="0.55000000000000004">
      <c r="A200" s="20">
        <v>14762</v>
      </c>
      <c r="B200" s="2" t="s">
        <v>161</v>
      </c>
      <c r="C200" s="2" t="s">
        <v>162</v>
      </c>
      <c r="D200" s="20">
        <v>0</v>
      </c>
      <c r="E200" s="2" t="s">
        <v>838</v>
      </c>
      <c r="F200" s="2" t="s">
        <v>817</v>
      </c>
      <c r="G200" s="2" t="s">
        <v>1055</v>
      </c>
      <c r="H200" s="2" t="s">
        <v>1056</v>
      </c>
      <c r="J200" s="26"/>
      <c r="K200" s="36">
        <v>2.5407000000000001E-4</v>
      </c>
      <c r="L200" s="23">
        <v>5.0810000000000003E-5</v>
      </c>
    </row>
    <row r="201" spans="1:12" ht="15.35" hidden="1" x14ac:dyDescent="0.55000000000000004">
      <c r="A201" s="20">
        <v>14763</v>
      </c>
      <c r="B201" s="2" t="s">
        <v>161</v>
      </c>
      <c r="C201" s="2" t="s">
        <v>162</v>
      </c>
      <c r="D201" s="20">
        <v>0</v>
      </c>
      <c r="E201" s="2" t="s">
        <v>838</v>
      </c>
      <c r="F201" s="2" t="s">
        <v>817</v>
      </c>
      <c r="G201" s="2" t="s">
        <v>1057</v>
      </c>
      <c r="H201" s="2" t="s">
        <v>1056</v>
      </c>
      <c r="J201" s="26"/>
      <c r="K201" s="36">
        <v>2.0325000000000001E-4</v>
      </c>
      <c r="L201" s="23">
        <v>4.0649999999999999E-5</v>
      </c>
    </row>
    <row r="202" spans="1:12" ht="15.35" hidden="1" x14ac:dyDescent="0.55000000000000004">
      <c r="A202" s="20">
        <v>14761</v>
      </c>
      <c r="B202" s="2" t="s">
        <v>161</v>
      </c>
      <c r="C202" s="2" t="s">
        <v>162</v>
      </c>
      <c r="D202" s="20">
        <v>0</v>
      </c>
      <c r="E202" s="2" t="s">
        <v>838</v>
      </c>
      <c r="F202" s="2" t="s">
        <v>817</v>
      </c>
      <c r="G202" s="2" t="s">
        <v>1058</v>
      </c>
      <c r="H202" s="2" t="s">
        <v>1056</v>
      </c>
      <c r="J202" s="26"/>
      <c r="K202" s="36">
        <v>1.7149699999999999E-3</v>
      </c>
      <c r="L202" s="23">
        <v>3.4298999999999999E-4</v>
      </c>
    </row>
    <row r="203" spans="1:12" ht="15.35" hidden="1" x14ac:dyDescent="0.55000000000000004">
      <c r="A203" s="20">
        <v>14764</v>
      </c>
      <c r="B203" s="2" t="s">
        <v>161</v>
      </c>
      <c r="C203" s="2" t="s">
        <v>162</v>
      </c>
      <c r="D203" s="20">
        <v>0</v>
      </c>
      <c r="E203" s="2" t="s">
        <v>838</v>
      </c>
      <c r="F203" s="2" t="s">
        <v>817</v>
      </c>
      <c r="G203" s="2" t="s">
        <v>1059</v>
      </c>
      <c r="H203" s="2" t="s">
        <v>1056</v>
      </c>
      <c r="J203" s="26"/>
      <c r="K203" s="36">
        <v>3.8109999999999999E-4</v>
      </c>
      <c r="L203" s="23">
        <v>7.6219999999999999E-5</v>
      </c>
    </row>
    <row r="204" spans="1:12" ht="15.35" hidden="1" x14ac:dyDescent="0.55000000000000004">
      <c r="A204" s="20">
        <v>14686</v>
      </c>
      <c r="B204" s="2" t="s">
        <v>161</v>
      </c>
      <c r="C204" s="2" t="s">
        <v>162</v>
      </c>
      <c r="D204" s="20">
        <v>0</v>
      </c>
      <c r="E204" s="2" t="s">
        <v>838</v>
      </c>
      <c r="F204" s="2" t="s">
        <v>848</v>
      </c>
      <c r="G204" s="2" t="s">
        <v>1060</v>
      </c>
      <c r="H204" s="2" t="s">
        <v>1060</v>
      </c>
      <c r="J204" s="26"/>
      <c r="K204" s="36">
        <v>1.097332E-2</v>
      </c>
      <c r="L204" s="23">
        <v>2.1946600000000002E-3</v>
      </c>
    </row>
    <row r="205" spans="1:12" ht="15.35" hidden="1" x14ac:dyDescent="0.55000000000000004">
      <c r="A205" s="20">
        <v>14793</v>
      </c>
      <c r="B205" s="2" t="s">
        <v>161</v>
      </c>
      <c r="C205" s="2" t="s">
        <v>162</v>
      </c>
      <c r="D205" s="20">
        <v>0</v>
      </c>
      <c r="E205" s="2" t="s">
        <v>838</v>
      </c>
      <c r="F205" s="2" t="s">
        <v>783</v>
      </c>
      <c r="G205" s="2" t="s">
        <v>1061</v>
      </c>
      <c r="H205" s="2" t="s">
        <v>1062</v>
      </c>
      <c r="J205" s="26"/>
      <c r="K205" s="36">
        <v>2.5407099999999998E-3</v>
      </c>
      <c r="L205" s="23">
        <v>5.0814000000000002E-4</v>
      </c>
    </row>
    <row r="206" spans="1:12" ht="15.35" hidden="1" x14ac:dyDescent="0.55000000000000004">
      <c r="A206" s="20">
        <v>14813</v>
      </c>
      <c r="B206" s="2" t="s">
        <v>161</v>
      </c>
      <c r="C206" s="2" t="s">
        <v>162</v>
      </c>
      <c r="D206" s="20">
        <v>0</v>
      </c>
      <c r="E206" s="2" t="s">
        <v>838</v>
      </c>
      <c r="F206" s="2" t="s">
        <v>811</v>
      </c>
      <c r="G206" s="2" t="s">
        <v>1063</v>
      </c>
      <c r="H206" s="2" t="s">
        <v>1062</v>
      </c>
      <c r="J206" s="26"/>
      <c r="K206" s="36">
        <v>1.27035E-3</v>
      </c>
      <c r="L206" s="23">
        <v>2.5407000000000001E-4</v>
      </c>
    </row>
    <row r="207" spans="1:12" ht="15.35" hidden="1" x14ac:dyDescent="0.55000000000000004">
      <c r="A207" s="20">
        <v>14806</v>
      </c>
      <c r="B207" s="2" t="s">
        <v>161</v>
      </c>
      <c r="C207" s="2" t="s">
        <v>162</v>
      </c>
      <c r="D207" s="20">
        <v>0</v>
      </c>
      <c r="E207" s="2" t="s">
        <v>838</v>
      </c>
      <c r="F207" s="2" t="s">
        <v>783</v>
      </c>
      <c r="G207" s="2" t="s">
        <v>1064</v>
      </c>
      <c r="H207" s="2" t="s">
        <v>1062</v>
      </c>
      <c r="J207" s="26"/>
      <c r="K207" s="36">
        <v>1.01628E-3</v>
      </c>
      <c r="L207" s="23">
        <v>2.0326E-4</v>
      </c>
    </row>
    <row r="208" spans="1:12" ht="15.35" hidden="1" x14ac:dyDescent="0.55000000000000004">
      <c r="A208" s="20">
        <v>14815</v>
      </c>
      <c r="B208" s="2" t="s">
        <v>161</v>
      </c>
      <c r="C208" s="2" t="s">
        <v>162</v>
      </c>
      <c r="D208" s="20">
        <v>0</v>
      </c>
      <c r="E208" s="2" t="s">
        <v>838</v>
      </c>
      <c r="F208" s="2" t="s">
        <v>811</v>
      </c>
      <c r="G208" s="2" t="s">
        <v>1065</v>
      </c>
      <c r="H208" s="2" t="s">
        <v>1062</v>
      </c>
      <c r="J208" s="26"/>
      <c r="K208" s="36">
        <v>1.9055299999999999E-3</v>
      </c>
      <c r="L208" s="23">
        <v>3.8110999999999999E-4</v>
      </c>
    </row>
    <row r="209" spans="1:12" ht="15.35" hidden="1" x14ac:dyDescent="0.55000000000000004">
      <c r="A209" s="20">
        <v>14808</v>
      </c>
      <c r="B209" s="2" t="s">
        <v>161</v>
      </c>
      <c r="C209" s="2" t="s">
        <v>162</v>
      </c>
      <c r="D209" s="20">
        <v>0</v>
      </c>
      <c r="E209" s="2" t="s">
        <v>838</v>
      </c>
      <c r="F209" s="2" t="s">
        <v>811</v>
      </c>
      <c r="G209" s="2" t="s">
        <v>1066</v>
      </c>
      <c r="H209" s="2" t="s">
        <v>1062</v>
      </c>
      <c r="J209" s="26"/>
      <c r="K209" s="36">
        <v>1.01628E-3</v>
      </c>
      <c r="L209" s="23">
        <v>2.0326E-4</v>
      </c>
    </row>
    <row r="210" spans="1:12" ht="15.35" hidden="1" x14ac:dyDescent="0.55000000000000004">
      <c r="A210" s="20">
        <v>14795</v>
      </c>
      <c r="B210" s="2" t="s">
        <v>161</v>
      </c>
      <c r="C210" s="2" t="s">
        <v>162</v>
      </c>
      <c r="D210" s="20">
        <v>0</v>
      </c>
      <c r="E210" s="2" t="s">
        <v>838</v>
      </c>
      <c r="F210" s="2" t="s">
        <v>811</v>
      </c>
      <c r="G210" s="2" t="s">
        <v>1067</v>
      </c>
      <c r="H210" s="2" t="s">
        <v>1062</v>
      </c>
      <c r="J210" s="26"/>
      <c r="K210" s="36">
        <v>1.01628E-3</v>
      </c>
      <c r="L210" s="23">
        <v>2.0326E-4</v>
      </c>
    </row>
    <row r="211" spans="1:12" ht="15.35" hidden="1" x14ac:dyDescent="0.55000000000000004">
      <c r="A211" s="20">
        <v>14810</v>
      </c>
      <c r="B211" s="2" t="s">
        <v>161</v>
      </c>
      <c r="C211" s="2" t="s">
        <v>162</v>
      </c>
      <c r="D211" s="20">
        <v>0</v>
      </c>
      <c r="E211" s="2" t="s">
        <v>838</v>
      </c>
      <c r="F211" s="2" t="s">
        <v>811</v>
      </c>
      <c r="G211" s="2" t="s">
        <v>1068</v>
      </c>
      <c r="H211" s="2" t="s">
        <v>1062</v>
      </c>
      <c r="J211" s="26"/>
      <c r="K211" s="36">
        <v>1.5244200000000001E-3</v>
      </c>
      <c r="L211" s="23">
        <v>3.0487999999999999E-4</v>
      </c>
    </row>
    <row r="212" spans="1:12" ht="15.35" hidden="1" x14ac:dyDescent="0.55000000000000004">
      <c r="A212" s="20">
        <v>14794</v>
      </c>
      <c r="B212" s="2" t="s">
        <v>161</v>
      </c>
      <c r="C212" s="2" t="s">
        <v>162</v>
      </c>
      <c r="D212" s="20">
        <v>0</v>
      </c>
      <c r="E212" s="2" t="s">
        <v>838</v>
      </c>
      <c r="F212" s="2" t="s">
        <v>811</v>
      </c>
      <c r="G212" s="2" t="s">
        <v>1069</v>
      </c>
      <c r="H212" s="2" t="s">
        <v>1062</v>
      </c>
      <c r="J212" s="26"/>
      <c r="K212" s="36">
        <v>5.7165000000000004E-4</v>
      </c>
      <c r="L212" s="23">
        <v>1.1433E-4</v>
      </c>
    </row>
    <row r="213" spans="1:12" ht="15.35" hidden="1" x14ac:dyDescent="0.55000000000000004">
      <c r="A213" s="20">
        <v>14805</v>
      </c>
      <c r="B213" s="2" t="s">
        <v>161</v>
      </c>
      <c r="C213" s="2" t="s">
        <v>162</v>
      </c>
      <c r="D213" s="20">
        <v>0</v>
      </c>
      <c r="E213" s="2" t="s">
        <v>838</v>
      </c>
      <c r="F213" s="2" t="s">
        <v>811</v>
      </c>
      <c r="G213" s="2" t="s">
        <v>1070</v>
      </c>
      <c r="H213" s="2" t="s">
        <v>1062</v>
      </c>
      <c r="J213" s="26"/>
      <c r="K213" s="36">
        <v>6.3517000000000001E-4</v>
      </c>
      <c r="L213" s="23">
        <v>1.2703000000000001E-4</v>
      </c>
    </row>
    <row r="214" spans="1:12" ht="15.35" hidden="1" x14ac:dyDescent="0.55000000000000004">
      <c r="A214" s="20">
        <v>14804</v>
      </c>
      <c r="B214" s="2" t="s">
        <v>161</v>
      </c>
      <c r="C214" s="2" t="s">
        <v>162</v>
      </c>
      <c r="D214" s="20">
        <v>0</v>
      </c>
      <c r="E214" s="2" t="s">
        <v>838</v>
      </c>
      <c r="F214" s="2" t="s">
        <v>811</v>
      </c>
      <c r="G214" s="2" t="s">
        <v>1071</v>
      </c>
      <c r="H214" s="2" t="s">
        <v>1062</v>
      </c>
      <c r="J214" s="26"/>
      <c r="K214" s="36">
        <v>6.3517000000000001E-4</v>
      </c>
      <c r="L214" s="23">
        <v>1.2703000000000001E-4</v>
      </c>
    </row>
    <row r="215" spans="1:12" ht="15.35" hidden="1" x14ac:dyDescent="0.55000000000000004">
      <c r="A215" s="20">
        <v>14799</v>
      </c>
      <c r="B215" s="2" t="s">
        <v>161</v>
      </c>
      <c r="C215" s="2" t="s">
        <v>162</v>
      </c>
      <c r="D215" s="20">
        <v>0</v>
      </c>
      <c r="E215" s="2" t="s">
        <v>838</v>
      </c>
      <c r="F215" s="2" t="s">
        <v>811</v>
      </c>
      <c r="G215" s="2" t="s">
        <v>1072</v>
      </c>
      <c r="H215" s="2" t="s">
        <v>1062</v>
      </c>
      <c r="J215" s="26"/>
      <c r="K215" s="36">
        <v>1.77849E-3</v>
      </c>
      <c r="L215" s="23">
        <v>3.5570000000000003E-4</v>
      </c>
    </row>
    <row r="216" spans="1:12" ht="15.35" hidden="1" x14ac:dyDescent="0.55000000000000004">
      <c r="A216" s="20">
        <v>14798</v>
      </c>
      <c r="B216" s="2" t="s">
        <v>161</v>
      </c>
      <c r="C216" s="2" t="s">
        <v>162</v>
      </c>
      <c r="D216" s="20">
        <v>0</v>
      </c>
      <c r="E216" s="2" t="s">
        <v>838</v>
      </c>
      <c r="F216" s="2" t="s">
        <v>811</v>
      </c>
      <c r="G216" s="2" t="s">
        <v>1073</v>
      </c>
      <c r="H216" s="2" t="s">
        <v>1062</v>
      </c>
      <c r="J216" s="26"/>
      <c r="K216" s="36">
        <v>1.9055299999999999E-3</v>
      </c>
      <c r="L216" s="23">
        <v>3.8110999999999999E-4</v>
      </c>
    </row>
    <row r="217" spans="1:12" ht="15.35" hidden="1" x14ac:dyDescent="0.55000000000000004">
      <c r="A217" s="20">
        <v>14802</v>
      </c>
      <c r="B217" s="2" t="s">
        <v>161</v>
      </c>
      <c r="C217" s="2" t="s">
        <v>162</v>
      </c>
      <c r="D217" s="20">
        <v>0</v>
      </c>
      <c r="E217" s="2" t="s">
        <v>838</v>
      </c>
      <c r="F217" s="2" t="s">
        <v>811</v>
      </c>
      <c r="G217" s="2" t="s">
        <v>1074</v>
      </c>
      <c r="H217" s="2" t="s">
        <v>1062</v>
      </c>
      <c r="J217" s="26"/>
      <c r="K217" s="36">
        <v>7.6221000000000004E-4</v>
      </c>
      <c r="L217" s="23">
        <v>1.5244E-4</v>
      </c>
    </row>
    <row r="218" spans="1:12" ht="15.35" hidden="1" x14ac:dyDescent="0.55000000000000004">
      <c r="A218" s="20">
        <v>14800</v>
      </c>
      <c r="B218" s="2" t="s">
        <v>161</v>
      </c>
      <c r="C218" s="2" t="s">
        <v>162</v>
      </c>
      <c r="D218" s="20">
        <v>0</v>
      </c>
      <c r="E218" s="2" t="s">
        <v>838</v>
      </c>
      <c r="F218" s="2" t="s">
        <v>811</v>
      </c>
      <c r="G218" s="2" t="s">
        <v>1075</v>
      </c>
      <c r="H218" s="2" t="s">
        <v>1062</v>
      </c>
      <c r="J218" s="26"/>
      <c r="K218" s="36">
        <v>1.3973900000000001E-3</v>
      </c>
      <c r="L218" s="23">
        <v>2.7947999999999997E-4</v>
      </c>
    </row>
    <row r="219" spans="1:12" ht="15.35" hidden="1" x14ac:dyDescent="0.55000000000000004">
      <c r="A219" s="20">
        <v>14811</v>
      </c>
      <c r="B219" s="2" t="s">
        <v>161</v>
      </c>
      <c r="C219" s="2" t="s">
        <v>162</v>
      </c>
      <c r="D219" s="20">
        <v>0</v>
      </c>
      <c r="E219" s="2" t="s">
        <v>838</v>
      </c>
      <c r="F219" s="2" t="s">
        <v>811</v>
      </c>
      <c r="G219" s="2" t="s">
        <v>1076</v>
      </c>
      <c r="H219" s="2" t="s">
        <v>1062</v>
      </c>
      <c r="J219" s="26"/>
      <c r="K219" s="36">
        <v>6.3517000000000001E-4</v>
      </c>
      <c r="L219" s="23">
        <v>1.2703000000000001E-4</v>
      </c>
    </row>
    <row r="220" spans="1:12" ht="15.35" hidden="1" x14ac:dyDescent="0.55000000000000004">
      <c r="A220" s="20">
        <v>14801</v>
      </c>
      <c r="B220" s="2" t="s">
        <v>161</v>
      </c>
      <c r="C220" s="2" t="s">
        <v>162</v>
      </c>
      <c r="D220" s="20">
        <v>0</v>
      </c>
      <c r="E220" s="2" t="s">
        <v>838</v>
      </c>
      <c r="F220" s="2" t="s">
        <v>811</v>
      </c>
      <c r="G220" s="2" t="s">
        <v>1077</v>
      </c>
      <c r="H220" s="2" t="s">
        <v>1062</v>
      </c>
      <c r="J220" s="26"/>
      <c r="K220" s="36">
        <v>1.14331E-3</v>
      </c>
      <c r="L220" s="23">
        <v>2.2866E-4</v>
      </c>
    </row>
    <row r="221" spans="1:12" ht="15.35" hidden="1" x14ac:dyDescent="0.55000000000000004">
      <c r="A221" s="20">
        <v>14796</v>
      </c>
      <c r="B221" s="2" t="s">
        <v>161</v>
      </c>
      <c r="C221" s="2" t="s">
        <v>162</v>
      </c>
      <c r="D221" s="20">
        <v>0</v>
      </c>
      <c r="E221" s="2" t="s">
        <v>838</v>
      </c>
      <c r="F221" s="2" t="s">
        <v>811</v>
      </c>
      <c r="G221" s="2" t="s">
        <v>1078</v>
      </c>
      <c r="H221" s="2" t="s">
        <v>1062</v>
      </c>
      <c r="J221" s="26"/>
      <c r="K221" s="36">
        <v>3.8109999999999999E-4</v>
      </c>
      <c r="L221" s="23">
        <v>7.6219999999999999E-5</v>
      </c>
    </row>
    <row r="222" spans="1:12" ht="15.35" hidden="1" x14ac:dyDescent="0.55000000000000004">
      <c r="A222" s="20">
        <v>14803</v>
      </c>
      <c r="B222" s="2" t="s">
        <v>161</v>
      </c>
      <c r="C222" s="2" t="s">
        <v>162</v>
      </c>
      <c r="D222" s="20">
        <v>0</v>
      </c>
      <c r="E222" s="2" t="s">
        <v>838</v>
      </c>
      <c r="F222" s="2" t="s">
        <v>811</v>
      </c>
      <c r="G222" s="2" t="s">
        <v>1079</v>
      </c>
      <c r="H222" s="2" t="s">
        <v>1062</v>
      </c>
      <c r="J222" s="26"/>
      <c r="K222" s="36">
        <v>6.3517000000000001E-4</v>
      </c>
      <c r="L222" s="23">
        <v>1.2703000000000001E-4</v>
      </c>
    </row>
    <row r="223" spans="1:12" ht="15.35" hidden="1" x14ac:dyDescent="0.55000000000000004">
      <c r="A223" s="20">
        <v>14807</v>
      </c>
      <c r="B223" s="2" t="s">
        <v>161</v>
      </c>
      <c r="C223" s="2" t="s">
        <v>162</v>
      </c>
      <c r="D223" s="20">
        <v>0</v>
      </c>
      <c r="E223" s="2" t="s">
        <v>838</v>
      </c>
      <c r="F223" s="2" t="s">
        <v>811</v>
      </c>
      <c r="G223" s="2" t="s">
        <v>1080</v>
      </c>
      <c r="H223" s="2" t="s">
        <v>1062</v>
      </c>
      <c r="J223" s="26"/>
      <c r="K223" s="36">
        <v>6.3517000000000001E-4</v>
      </c>
      <c r="L223" s="23">
        <v>1.2703000000000001E-4</v>
      </c>
    </row>
    <row r="224" spans="1:12" ht="15.35" hidden="1" x14ac:dyDescent="0.55000000000000004">
      <c r="A224" s="20">
        <v>14809</v>
      </c>
      <c r="B224" s="2" t="s">
        <v>161</v>
      </c>
      <c r="C224" s="2" t="s">
        <v>162</v>
      </c>
      <c r="D224" s="20">
        <v>0</v>
      </c>
      <c r="E224" s="2" t="s">
        <v>838</v>
      </c>
      <c r="F224" s="2" t="s">
        <v>811</v>
      </c>
      <c r="G224" s="2" t="s">
        <v>1081</v>
      </c>
      <c r="H224" s="2" t="s">
        <v>1062</v>
      </c>
      <c r="J224" s="26"/>
      <c r="K224" s="36">
        <v>6.3517000000000001E-4</v>
      </c>
      <c r="L224" s="23">
        <v>1.2703000000000001E-4</v>
      </c>
    </row>
    <row r="225" spans="1:12" ht="15.35" hidden="1" x14ac:dyDescent="0.55000000000000004">
      <c r="A225" s="20">
        <v>14814</v>
      </c>
      <c r="B225" s="2" t="s">
        <v>161</v>
      </c>
      <c r="C225" s="2" t="s">
        <v>162</v>
      </c>
      <c r="D225" s="20">
        <v>0</v>
      </c>
      <c r="E225" s="2" t="s">
        <v>838</v>
      </c>
      <c r="F225" s="2" t="s">
        <v>811</v>
      </c>
      <c r="G225" s="2" t="s">
        <v>1082</v>
      </c>
      <c r="H225" s="2" t="s">
        <v>1062</v>
      </c>
      <c r="J225" s="26"/>
      <c r="K225" s="36">
        <v>5.0814000000000002E-4</v>
      </c>
      <c r="L225" s="23">
        <v>1.0163E-4</v>
      </c>
    </row>
    <row r="226" spans="1:12" ht="15.35" hidden="1" x14ac:dyDescent="0.55000000000000004">
      <c r="A226" s="20">
        <v>14812</v>
      </c>
      <c r="B226" s="2" t="s">
        <v>161</v>
      </c>
      <c r="C226" s="2" t="s">
        <v>162</v>
      </c>
      <c r="D226" s="20">
        <v>0</v>
      </c>
      <c r="E226" s="2" t="s">
        <v>838</v>
      </c>
      <c r="F226" s="2" t="s">
        <v>811</v>
      </c>
      <c r="G226" s="2" t="s">
        <v>1083</v>
      </c>
      <c r="H226" s="2" t="s">
        <v>1062</v>
      </c>
      <c r="J226" s="26"/>
      <c r="K226" s="36">
        <v>3.8109999999999999E-4</v>
      </c>
      <c r="L226" s="23">
        <v>7.6219999999999999E-5</v>
      </c>
    </row>
    <row r="227" spans="1:12" ht="15.35" hidden="1" x14ac:dyDescent="0.55000000000000004">
      <c r="A227" s="20">
        <v>14797</v>
      </c>
      <c r="B227" s="2" t="s">
        <v>161</v>
      </c>
      <c r="C227" s="2" t="s">
        <v>162</v>
      </c>
      <c r="D227" s="20">
        <v>0</v>
      </c>
      <c r="E227" s="2" t="s">
        <v>838</v>
      </c>
      <c r="F227" s="2" t="s">
        <v>811</v>
      </c>
      <c r="G227" s="2" t="s">
        <v>1084</v>
      </c>
      <c r="H227" s="2" t="s">
        <v>1062</v>
      </c>
      <c r="J227" s="26"/>
      <c r="K227" s="36">
        <v>2.5407000000000001E-4</v>
      </c>
      <c r="L227" s="23">
        <v>5.0810000000000003E-5</v>
      </c>
    </row>
    <row r="228" spans="1:12" ht="15.35" hidden="1" x14ac:dyDescent="0.55000000000000004">
      <c r="A228" s="20">
        <v>14749</v>
      </c>
      <c r="B228" s="2" t="s">
        <v>161</v>
      </c>
      <c r="C228" s="2" t="s">
        <v>162</v>
      </c>
      <c r="D228" s="20">
        <v>0</v>
      </c>
      <c r="E228" s="2" t="s">
        <v>838</v>
      </c>
      <c r="F228" s="2" t="s">
        <v>793</v>
      </c>
      <c r="G228" s="2" t="s">
        <v>1085</v>
      </c>
      <c r="H228" s="2" t="s">
        <v>1086</v>
      </c>
      <c r="J228" s="26"/>
      <c r="K228" s="36">
        <v>1.23415E-3</v>
      </c>
      <c r="L228" s="23">
        <v>2.4683000000000002E-4</v>
      </c>
    </row>
    <row r="229" spans="1:12" ht="15.35" hidden="1" x14ac:dyDescent="0.55000000000000004">
      <c r="A229" s="20">
        <v>14734</v>
      </c>
      <c r="B229" s="2" t="s">
        <v>161</v>
      </c>
      <c r="C229" s="2" t="s">
        <v>162</v>
      </c>
      <c r="D229" s="20">
        <v>0</v>
      </c>
      <c r="E229" s="2" t="s">
        <v>838</v>
      </c>
      <c r="F229" s="2" t="s">
        <v>789</v>
      </c>
      <c r="G229" s="2" t="s">
        <v>1087</v>
      </c>
      <c r="H229" s="2" t="s">
        <v>1088</v>
      </c>
      <c r="J229" s="26"/>
      <c r="K229" s="36">
        <v>8.2230099999999993E-3</v>
      </c>
      <c r="L229" s="23">
        <v>1.6446E-3</v>
      </c>
    </row>
    <row r="230" spans="1:12" ht="15.35" hidden="1" x14ac:dyDescent="0.55000000000000004">
      <c r="A230" s="20">
        <v>14735</v>
      </c>
      <c r="B230" s="2" t="s">
        <v>161</v>
      </c>
      <c r="C230" s="2" t="s">
        <v>162</v>
      </c>
      <c r="D230" s="20">
        <v>0</v>
      </c>
      <c r="E230" s="2" t="s">
        <v>838</v>
      </c>
      <c r="F230" s="2" t="s">
        <v>789</v>
      </c>
      <c r="G230" s="2" t="s">
        <v>1089</v>
      </c>
      <c r="H230" s="2" t="s">
        <v>1088</v>
      </c>
      <c r="J230" s="26"/>
      <c r="K230" s="36">
        <v>8.2230099999999993E-3</v>
      </c>
      <c r="L230" s="23">
        <v>1.6446E-3</v>
      </c>
    </row>
    <row r="231" spans="1:12" ht="15.35" hidden="1" x14ac:dyDescent="0.55000000000000004">
      <c r="A231" s="20">
        <v>14684</v>
      </c>
      <c r="B231" s="2" t="s">
        <v>161</v>
      </c>
      <c r="C231" s="2" t="s">
        <v>162</v>
      </c>
      <c r="D231" s="20">
        <v>0</v>
      </c>
      <c r="E231" s="2" t="s">
        <v>838</v>
      </c>
      <c r="F231" s="2" t="s">
        <v>787</v>
      </c>
      <c r="G231" s="2" t="s">
        <v>1090</v>
      </c>
      <c r="H231" s="2" t="s">
        <v>1090</v>
      </c>
      <c r="J231" s="26"/>
      <c r="K231" s="36">
        <v>1.097332E-2</v>
      </c>
      <c r="L231" s="23">
        <v>2.1946600000000002E-3</v>
      </c>
    </row>
    <row r="232" spans="1:12" ht="15.35" hidden="1" x14ac:dyDescent="0.55000000000000004">
      <c r="A232" s="20">
        <v>14689</v>
      </c>
      <c r="B232" s="2" t="s">
        <v>161</v>
      </c>
      <c r="C232" s="2" t="s">
        <v>162</v>
      </c>
      <c r="D232" s="20">
        <v>0</v>
      </c>
      <c r="E232" s="2" t="s">
        <v>838</v>
      </c>
      <c r="F232" s="2" t="s">
        <v>848</v>
      </c>
      <c r="G232" s="2" t="s">
        <v>924</v>
      </c>
      <c r="H232" s="2" t="s">
        <v>924</v>
      </c>
      <c r="J232" s="26"/>
      <c r="K232" s="36">
        <v>6.3517699999999996E-3</v>
      </c>
      <c r="L232" s="23">
        <v>1.27035E-3</v>
      </c>
    </row>
    <row r="233" spans="1:12" ht="15.35" hidden="1" x14ac:dyDescent="0.55000000000000004">
      <c r="A233" s="20">
        <v>14731</v>
      </c>
      <c r="B233" s="2" t="s">
        <v>161</v>
      </c>
      <c r="C233" s="2" t="s">
        <v>162</v>
      </c>
      <c r="D233" s="20">
        <v>0</v>
      </c>
      <c r="E233" s="2" t="s">
        <v>838</v>
      </c>
      <c r="F233" s="2" t="s">
        <v>789</v>
      </c>
      <c r="G233" s="2" t="s">
        <v>1091</v>
      </c>
      <c r="H233" s="2" t="s">
        <v>1092</v>
      </c>
      <c r="J233" s="26"/>
      <c r="K233" s="36">
        <v>1.8127E-4</v>
      </c>
      <c r="L233" s="23">
        <v>3.625E-5</v>
      </c>
    </row>
    <row r="234" spans="1:12" ht="15.35" hidden="1" x14ac:dyDescent="0.55000000000000004">
      <c r="A234" s="20">
        <v>14730</v>
      </c>
      <c r="B234" s="2" t="s">
        <v>161</v>
      </c>
      <c r="C234" s="2" t="s">
        <v>162</v>
      </c>
      <c r="D234" s="20">
        <v>0</v>
      </c>
      <c r="E234" s="2" t="s">
        <v>838</v>
      </c>
      <c r="F234" s="2" t="s">
        <v>789</v>
      </c>
      <c r="G234" s="2" t="s">
        <v>1093</v>
      </c>
      <c r="H234" s="2" t="s">
        <v>1092</v>
      </c>
      <c r="J234" s="26"/>
      <c r="K234" s="36">
        <v>4.5219999999999997E-5</v>
      </c>
      <c r="L234" s="23">
        <v>9.0399999999999998E-6</v>
      </c>
    </row>
    <row r="235" spans="1:12" ht="15.35" hidden="1" x14ac:dyDescent="0.55000000000000004">
      <c r="A235" s="20">
        <v>14671</v>
      </c>
      <c r="B235" s="2" t="s">
        <v>161</v>
      </c>
      <c r="C235" s="2" t="s">
        <v>162</v>
      </c>
      <c r="D235" s="20">
        <v>0</v>
      </c>
      <c r="E235" s="2" t="s">
        <v>838</v>
      </c>
      <c r="F235" s="2" t="s">
        <v>848</v>
      </c>
      <c r="G235" s="2" t="s">
        <v>1094</v>
      </c>
      <c r="H235" s="2" t="s">
        <v>1094</v>
      </c>
      <c r="J235" s="26"/>
      <c r="K235" s="36">
        <v>1.097332E-2</v>
      </c>
      <c r="L235" s="23">
        <v>2.1946600000000002E-3</v>
      </c>
    </row>
    <row r="236" spans="1:12" ht="15.35" hidden="1" x14ac:dyDescent="0.55000000000000004">
      <c r="A236" s="20">
        <v>14672</v>
      </c>
      <c r="B236" s="2" t="s">
        <v>161</v>
      </c>
      <c r="C236" s="2" t="s">
        <v>162</v>
      </c>
      <c r="D236" s="20">
        <v>0</v>
      </c>
      <c r="E236" s="2" t="s">
        <v>838</v>
      </c>
      <c r="F236" s="2" t="s">
        <v>848</v>
      </c>
      <c r="G236" s="2" t="s">
        <v>1095</v>
      </c>
      <c r="H236" s="2" t="s">
        <v>1095</v>
      </c>
      <c r="J236" s="26"/>
      <c r="K236" s="36">
        <v>1.097332E-2</v>
      </c>
      <c r="L236" s="23">
        <v>2.1946600000000002E-3</v>
      </c>
    </row>
    <row r="237" spans="1:12" ht="15.35" hidden="1" x14ac:dyDescent="0.55000000000000004">
      <c r="A237" s="20">
        <v>14687</v>
      </c>
      <c r="B237" s="2" t="s">
        <v>161</v>
      </c>
      <c r="C237" s="2" t="s">
        <v>162</v>
      </c>
      <c r="D237" s="20">
        <v>0</v>
      </c>
      <c r="E237" s="2" t="s">
        <v>838</v>
      </c>
      <c r="F237" s="2" t="s">
        <v>848</v>
      </c>
      <c r="G237" s="2" t="s">
        <v>1096</v>
      </c>
      <c r="H237" s="2" t="s">
        <v>1096</v>
      </c>
      <c r="J237" s="26"/>
      <c r="K237" s="36">
        <v>1.097332E-2</v>
      </c>
      <c r="L237" s="23">
        <v>2.1946600000000002E-3</v>
      </c>
    </row>
    <row r="238" spans="1:12" ht="15.35" hidden="1" x14ac:dyDescent="0.55000000000000004">
      <c r="A238" s="20">
        <v>14680</v>
      </c>
      <c r="B238" s="2" t="s">
        <v>161</v>
      </c>
      <c r="C238" s="2" t="s">
        <v>162</v>
      </c>
      <c r="D238" s="20">
        <v>0</v>
      </c>
      <c r="E238" s="2" t="s">
        <v>838</v>
      </c>
      <c r="F238" s="2" t="s">
        <v>848</v>
      </c>
      <c r="G238" s="2" t="s">
        <v>1097</v>
      </c>
      <c r="H238" s="2" t="s">
        <v>1097</v>
      </c>
      <c r="J238" s="26"/>
      <c r="K238" s="36">
        <v>9.5276600000000003E-3</v>
      </c>
      <c r="L238" s="23">
        <v>1.9055299999999999E-3</v>
      </c>
    </row>
    <row r="239" spans="1:12" ht="15.35" hidden="1" x14ac:dyDescent="0.55000000000000004">
      <c r="A239" s="20">
        <v>14682</v>
      </c>
      <c r="B239" s="2" t="s">
        <v>161</v>
      </c>
      <c r="C239" s="2" t="s">
        <v>162</v>
      </c>
      <c r="D239" s="20">
        <v>0</v>
      </c>
      <c r="E239" s="2" t="s">
        <v>838</v>
      </c>
      <c r="F239" s="2" t="s">
        <v>787</v>
      </c>
      <c r="G239" s="2" t="s">
        <v>1098</v>
      </c>
      <c r="H239" s="2" t="s">
        <v>1098</v>
      </c>
      <c r="J239" s="26"/>
      <c r="K239" s="36">
        <v>1.097332E-2</v>
      </c>
      <c r="L239" s="23">
        <v>2.1946600000000002E-3</v>
      </c>
    </row>
    <row r="240" spans="1:12" ht="15.35" hidden="1" x14ac:dyDescent="0.55000000000000004">
      <c r="A240" s="20">
        <v>14685</v>
      </c>
      <c r="B240" s="2" t="s">
        <v>161</v>
      </c>
      <c r="C240" s="2" t="s">
        <v>162</v>
      </c>
      <c r="D240" s="20">
        <v>0</v>
      </c>
      <c r="E240" s="2" t="s">
        <v>838</v>
      </c>
      <c r="F240" s="2" t="s">
        <v>848</v>
      </c>
      <c r="G240" s="2" t="s">
        <v>930</v>
      </c>
      <c r="H240" s="2" t="s">
        <v>930</v>
      </c>
      <c r="J240" s="26"/>
      <c r="K240" s="36">
        <v>4.0651300000000001E-3</v>
      </c>
      <c r="L240" s="23">
        <v>8.1302999999999996E-4</v>
      </c>
    </row>
    <row r="241" spans="1:12" ht="15.35" hidden="1" x14ac:dyDescent="0.55000000000000004">
      <c r="A241" s="20">
        <v>14782</v>
      </c>
      <c r="B241" s="2" t="s">
        <v>161</v>
      </c>
      <c r="C241" s="2" t="s">
        <v>162</v>
      </c>
      <c r="D241" s="20">
        <v>0</v>
      </c>
      <c r="E241" s="2" t="s">
        <v>838</v>
      </c>
      <c r="F241" s="2" t="s">
        <v>793</v>
      </c>
      <c r="G241" s="2" t="s">
        <v>1099</v>
      </c>
      <c r="H241" s="2" t="s">
        <v>1099</v>
      </c>
      <c r="J241" s="26"/>
      <c r="K241" s="36">
        <v>5.4625200000000002E-3</v>
      </c>
      <c r="L241" s="23">
        <v>1.0924999999999999E-3</v>
      </c>
    </row>
    <row r="242" spans="1:12" ht="15.35" hidden="1" x14ac:dyDescent="0.55000000000000004">
      <c r="A242" s="20">
        <v>14781</v>
      </c>
      <c r="B242" s="2" t="s">
        <v>161</v>
      </c>
      <c r="C242" s="2" t="s">
        <v>162</v>
      </c>
      <c r="D242" s="20">
        <v>0</v>
      </c>
      <c r="E242" s="2" t="s">
        <v>838</v>
      </c>
      <c r="F242" s="2" t="s">
        <v>793</v>
      </c>
      <c r="G242" s="2" t="s">
        <v>1100</v>
      </c>
      <c r="H242" s="2" t="s">
        <v>1100</v>
      </c>
      <c r="J242" s="26"/>
      <c r="K242" s="36">
        <v>4.2302000000000003E-4</v>
      </c>
      <c r="L242" s="23">
        <v>8.4599999999999996E-5</v>
      </c>
    </row>
    <row r="243" spans="1:12" ht="15.35" hidden="1" x14ac:dyDescent="0.55000000000000004">
      <c r="A243" s="20">
        <v>14783</v>
      </c>
      <c r="B243" s="2" t="s">
        <v>161</v>
      </c>
      <c r="C243" s="2" t="s">
        <v>162</v>
      </c>
      <c r="D243" s="20">
        <v>0</v>
      </c>
      <c r="E243" s="2" t="s">
        <v>838</v>
      </c>
      <c r="F243" s="2" t="s">
        <v>793</v>
      </c>
      <c r="G243" s="2" t="s">
        <v>1101</v>
      </c>
      <c r="H243" s="2" t="s">
        <v>1101</v>
      </c>
      <c r="J243" s="26"/>
      <c r="K243" s="36">
        <v>6.7748000000000001E-3</v>
      </c>
      <c r="L243" s="23">
        <v>1.3549600000000001E-3</v>
      </c>
    </row>
    <row r="244" spans="1:12" ht="15.35" hidden="1" x14ac:dyDescent="0.55000000000000004">
      <c r="A244" s="20">
        <v>14780</v>
      </c>
      <c r="B244" s="2" t="s">
        <v>161</v>
      </c>
      <c r="C244" s="2" t="s">
        <v>162</v>
      </c>
      <c r="D244" s="20">
        <v>0</v>
      </c>
      <c r="E244" s="2" t="s">
        <v>838</v>
      </c>
      <c r="F244" s="2" t="s">
        <v>793</v>
      </c>
      <c r="G244" s="2" t="s">
        <v>1102</v>
      </c>
      <c r="H244" s="2" t="s">
        <v>1102</v>
      </c>
      <c r="J244" s="26"/>
      <c r="K244" s="36">
        <v>5.9197999999999998E-4</v>
      </c>
      <c r="L244" s="23">
        <v>1.184E-4</v>
      </c>
    </row>
    <row r="245" spans="1:12" ht="15.35" hidden="1" x14ac:dyDescent="0.55000000000000004">
      <c r="A245" s="20">
        <v>14779</v>
      </c>
      <c r="B245" s="2" t="s">
        <v>161</v>
      </c>
      <c r="C245" s="2" t="s">
        <v>162</v>
      </c>
      <c r="D245" s="20">
        <v>0</v>
      </c>
      <c r="E245" s="2" t="s">
        <v>838</v>
      </c>
      <c r="F245" s="2" t="s">
        <v>793</v>
      </c>
      <c r="G245" s="2" t="s">
        <v>1103</v>
      </c>
      <c r="H245" s="2" t="s">
        <v>1103</v>
      </c>
      <c r="J245" s="26"/>
      <c r="K245" s="36">
        <v>3.3867599999999999E-3</v>
      </c>
      <c r="L245" s="23">
        <v>6.7734999999999996E-4</v>
      </c>
    </row>
    <row r="246" spans="1:12" ht="15.35" hidden="1" x14ac:dyDescent="0.55000000000000004">
      <c r="A246" s="20">
        <v>14819</v>
      </c>
      <c r="B246" s="2" t="s">
        <v>161</v>
      </c>
      <c r="C246" s="2" t="s">
        <v>162</v>
      </c>
      <c r="D246" s="20">
        <v>0</v>
      </c>
      <c r="E246" s="2" t="s">
        <v>838</v>
      </c>
      <c r="F246" s="2" t="s">
        <v>793</v>
      </c>
      <c r="G246" s="2" t="s">
        <v>1104</v>
      </c>
      <c r="H246" s="2" t="s">
        <v>1105</v>
      </c>
      <c r="J246" s="26"/>
      <c r="K246" s="36">
        <v>1.2703000000000001E-4</v>
      </c>
      <c r="L246" s="23">
        <v>2.5409999999999999E-5</v>
      </c>
    </row>
    <row r="247" spans="1:12" ht="15.35" hidden="1" x14ac:dyDescent="0.55000000000000004">
      <c r="A247" s="20">
        <v>14820</v>
      </c>
      <c r="B247" s="2" t="s">
        <v>161</v>
      </c>
      <c r="C247" s="2" t="s">
        <v>162</v>
      </c>
      <c r="D247" s="20">
        <v>0</v>
      </c>
      <c r="E247" s="2" t="s">
        <v>838</v>
      </c>
      <c r="F247" s="2" t="s">
        <v>793</v>
      </c>
      <c r="G247" s="2" t="s">
        <v>1106</v>
      </c>
      <c r="H247" s="2" t="s">
        <v>1105</v>
      </c>
      <c r="J247" s="26"/>
      <c r="K247" s="36">
        <v>1.2703000000000001E-4</v>
      </c>
      <c r="L247" s="23">
        <v>2.5409999999999999E-5</v>
      </c>
    </row>
    <row r="248" spans="1:12" ht="15.35" hidden="1" x14ac:dyDescent="0.55000000000000004">
      <c r="A248" s="20">
        <v>14767</v>
      </c>
      <c r="B248" s="2" t="s">
        <v>161</v>
      </c>
      <c r="C248" s="2" t="s">
        <v>162</v>
      </c>
      <c r="D248" s="20">
        <v>0</v>
      </c>
      <c r="E248" s="2" t="s">
        <v>838</v>
      </c>
      <c r="F248" s="2" t="s">
        <v>789</v>
      </c>
      <c r="G248" s="2" t="s">
        <v>1107</v>
      </c>
      <c r="H248" s="2" t="s">
        <v>1108</v>
      </c>
      <c r="J248" s="26"/>
      <c r="K248" s="36">
        <v>2.0976100000000002E-3</v>
      </c>
      <c r="L248" s="23">
        <v>4.1951999999999999E-4</v>
      </c>
    </row>
    <row r="249" spans="1:12" ht="15.35" hidden="1" x14ac:dyDescent="0.55000000000000004">
      <c r="A249" s="20">
        <v>14677</v>
      </c>
      <c r="B249" s="2" t="s">
        <v>161</v>
      </c>
      <c r="C249" s="2" t="s">
        <v>162</v>
      </c>
      <c r="D249" s="20">
        <v>0</v>
      </c>
      <c r="E249" s="2" t="s">
        <v>838</v>
      </c>
      <c r="F249" s="2" t="s">
        <v>787</v>
      </c>
      <c r="G249" s="2" t="s">
        <v>1109</v>
      </c>
      <c r="H249" s="2" t="s">
        <v>1109</v>
      </c>
      <c r="J249" s="26"/>
      <c r="K249" s="36">
        <v>1.0162839999999999E-2</v>
      </c>
      <c r="L249" s="23">
        <v>2.03257E-3</v>
      </c>
    </row>
    <row r="250" spans="1:12" ht="15.35" hidden="1" x14ac:dyDescent="0.55000000000000004">
      <c r="A250" s="20">
        <v>14670</v>
      </c>
      <c r="B250" s="2" t="s">
        <v>161</v>
      </c>
      <c r="C250" s="2" t="s">
        <v>162</v>
      </c>
      <c r="D250" s="20">
        <v>0</v>
      </c>
      <c r="E250" s="2" t="s">
        <v>838</v>
      </c>
      <c r="F250" s="2" t="s">
        <v>787</v>
      </c>
      <c r="G250" s="2" t="s">
        <v>933</v>
      </c>
      <c r="H250" s="2" t="s">
        <v>933</v>
      </c>
      <c r="J250" s="26"/>
      <c r="K250" s="36">
        <v>1.097332E-2</v>
      </c>
      <c r="L250" s="23">
        <v>2.1946600000000002E-3</v>
      </c>
    </row>
    <row r="251" spans="1:12" ht="15.35" hidden="1" x14ac:dyDescent="0.55000000000000004">
      <c r="A251" s="20">
        <v>14662</v>
      </c>
      <c r="B251" s="2" t="s">
        <v>161</v>
      </c>
      <c r="C251" s="2" t="s">
        <v>162</v>
      </c>
      <c r="D251" s="20">
        <v>0</v>
      </c>
      <c r="E251" s="2" t="s">
        <v>838</v>
      </c>
      <c r="F251" s="2" t="s">
        <v>848</v>
      </c>
      <c r="G251" s="2" t="s">
        <v>1110</v>
      </c>
      <c r="H251" s="2" t="s">
        <v>1110</v>
      </c>
      <c r="J251" s="26"/>
      <c r="K251" s="36">
        <v>1.009932E-2</v>
      </c>
      <c r="L251" s="23">
        <v>2.0198600000000001E-3</v>
      </c>
    </row>
    <row r="252" spans="1:12" ht="15.35" hidden="1" x14ac:dyDescent="0.55000000000000004">
      <c r="A252" s="20">
        <v>14664</v>
      </c>
      <c r="B252" s="2" t="s">
        <v>161</v>
      </c>
      <c r="C252" s="2" t="s">
        <v>162</v>
      </c>
      <c r="D252" s="20">
        <v>0</v>
      </c>
      <c r="E252" s="2" t="s">
        <v>838</v>
      </c>
      <c r="F252" s="2" t="s">
        <v>848</v>
      </c>
      <c r="G252" s="2" t="s">
        <v>1111</v>
      </c>
      <c r="H252" s="2" t="s">
        <v>1111</v>
      </c>
      <c r="J252" s="26"/>
      <c r="K252" s="36">
        <v>6.2475999999999999E-3</v>
      </c>
      <c r="L252" s="23">
        <v>1.2495200000000001E-3</v>
      </c>
    </row>
    <row r="253" spans="1:12" ht="15.35" hidden="1" x14ac:dyDescent="0.55000000000000004">
      <c r="A253" s="20">
        <v>14821</v>
      </c>
      <c r="B253" s="2" t="s">
        <v>161</v>
      </c>
      <c r="C253" s="2" t="s">
        <v>162</v>
      </c>
      <c r="D253" s="20">
        <v>0</v>
      </c>
      <c r="E253" s="2" t="s">
        <v>838</v>
      </c>
      <c r="F253" s="2" t="s">
        <v>793</v>
      </c>
      <c r="G253" s="2" t="s">
        <v>1112</v>
      </c>
      <c r="H253" s="2" t="s">
        <v>1111</v>
      </c>
      <c r="J253" s="26"/>
      <c r="K253" s="36">
        <v>4.0880000000000002E-4</v>
      </c>
      <c r="L253" s="23">
        <v>8.1760000000000003E-5</v>
      </c>
    </row>
    <row r="254" spans="1:12" ht="15.35" hidden="1" x14ac:dyDescent="0.55000000000000004">
      <c r="A254" s="20">
        <v>14703</v>
      </c>
      <c r="B254" s="2" t="s">
        <v>161</v>
      </c>
      <c r="C254" s="2" t="s">
        <v>162</v>
      </c>
      <c r="D254" s="20">
        <v>0</v>
      </c>
      <c r="E254" s="2" t="s">
        <v>838</v>
      </c>
      <c r="F254" s="2" t="s">
        <v>789</v>
      </c>
      <c r="G254" s="2" t="s">
        <v>1113</v>
      </c>
      <c r="H254" s="2" t="s">
        <v>1114</v>
      </c>
      <c r="J254" s="26"/>
      <c r="K254" s="36">
        <v>6.1866300000000003E-3</v>
      </c>
      <c r="L254" s="23">
        <v>1.23733E-3</v>
      </c>
    </row>
    <row r="255" spans="1:12" ht="15.35" hidden="1" x14ac:dyDescent="0.55000000000000004">
      <c r="A255" s="20">
        <v>14707</v>
      </c>
      <c r="B255" s="2" t="s">
        <v>161</v>
      </c>
      <c r="C255" s="2" t="s">
        <v>162</v>
      </c>
      <c r="D255" s="20">
        <v>0</v>
      </c>
      <c r="E255" s="2" t="s">
        <v>838</v>
      </c>
      <c r="F255" s="2" t="s">
        <v>789</v>
      </c>
      <c r="G255" s="2" t="s">
        <v>1115</v>
      </c>
      <c r="H255" s="2" t="s">
        <v>1114</v>
      </c>
      <c r="J255" s="26"/>
      <c r="K255" s="36">
        <v>4.9416800000000004E-3</v>
      </c>
      <c r="L255" s="23">
        <v>9.883400000000001E-4</v>
      </c>
    </row>
    <row r="256" spans="1:12" ht="15.35" hidden="1" x14ac:dyDescent="0.55000000000000004">
      <c r="A256" s="20">
        <v>14678</v>
      </c>
      <c r="B256" s="2" t="s">
        <v>161</v>
      </c>
      <c r="C256" s="2" t="s">
        <v>162</v>
      </c>
      <c r="D256" s="20">
        <v>0</v>
      </c>
      <c r="E256" s="2" t="s">
        <v>838</v>
      </c>
      <c r="F256" s="2" t="s">
        <v>787</v>
      </c>
      <c r="G256" s="2" t="s">
        <v>939</v>
      </c>
      <c r="H256" s="2" t="s">
        <v>939</v>
      </c>
      <c r="J256" s="26"/>
      <c r="K256" s="36">
        <v>1.097332E-2</v>
      </c>
      <c r="L256" s="23">
        <v>2.1946600000000002E-3</v>
      </c>
    </row>
    <row r="257" spans="1:12" ht="15.35" hidden="1" x14ac:dyDescent="0.55000000000000004">
      <c r="A257" s="20">
        <v>14691</v>
      </c>
      <c r="B257" s="2" t="s">
        <v>161</v>
      </c>
      <c r="C257" s="2" t="s">
        <v>162</v>
      </c>
      <c r="D257" s="20">
        <v>0</v>
      </c>
      <c r="E257" s="2" t="s">
        <v>838</v>
      </c>
      <c r="F257" s="2" t="s">
        <v>848</v>
      </c>
      <c r="G257" s="2" t="s">
        <v>1116</v>
      </c>
      <c r="H257" s="2" t="s">
        <v>1116</v>
      </c>
      <c r="J257" s="26"/>
      <c r="K257" s="36">
        <v>1.097332E-2</v>
      </c>
      <c r="L257" s="23">
        <v>2.1946600000000002E-3</v>
      </c>
    </row>
    <row r="258" spans="1:12" ht="15.35" hidden="1" x14ac:dyDescent="0.55000000000000004">
      <c r="A258" s="20">
        <v>14750</v>
      </c>
      <c r="B258" s="2" t="s">
        <v>161</v>
      </c>
      <c r="C258" s="2" t="s">
        <v>162</v>
      </c>
      <c r="D258" s="20">
        <v>0</v>
      </c>
      <c r="E258" s="2" t="s">
        <v>838</v>
      </c>
      <c r="F258" s="2" t="s">
        <v>817</v>
      </c>
      <c r="G258" s="2" t="s">
        <v>1117</v>
      </c>
      <c r="H258" s="2" t="s">
        <v>942</v>
      </c>
      <c r="J258" s="26"/>
      <c r="K258" s="36">
        <v>1.092505E-2</v>
      </c>
      <c r="L258" s="23">
        <v>2.1850099999999998E-3</v>
      </c>
    </row>
    <row r="259" spans="1:12" ht="15.35" hidden="1" x14ac:dyDescent="0.55000000000000004">
      <c r="A259" s="20">
        <v>14699</v>
      </c>
      <c r="B259" s="2" t="s">
        <v>161</v>
      </c>
      <c r="C259" s="2" t="s">
        <v>162</v>
      </c>
      <c r="D259" s="20">
        <v>0</v>
      </c>
      <c r="E259" s="2" t="s">
        <v>838</v>
      </c>
      <c r="F259" s="2" t="s">
        <v>789</v>
      </c>
      <c r="G259" s="2" t="s">
        <v>1118</v>
      </c>
      <c r="H259" s="2" t="s">
        <v>944</v>
      </c>
      <c r="J259" s="26"/>
      <c r="K259" s="36">
        <v>1.097332E-2</v>
      </c>
      <c r="L259" s="23">
        <v>2.1946600000000002E-3</v>
      </c>
    </row>
    <row r="260" spans="1:12" ht="15.35" hidden="1" x14ac:dyDescent="0.55000000000000004">
      <c r="A260" s="20">
        <v>14700</v>
      </c>
      <c r="B260" s="2" t="s">
        <v>161</v>
      </c>
      <c r="C260" s="2" t="s">
        <v>162</v>
      </c>
      <c r="D260" s="20">
        <v>0</v>
      </c>
      <c r="E260" s="2" t="s">
        <v>838</v>
      </c>
      <c r="F260" s="2" t="s">
        <v>789</v>
      </c>
      <c r="G260" s="2" t="s">
        <v>1119</v>
      </c>
      <c r="H260" s="2" t="s">
        <v>944</v>
      </c>
      <c r="J260" s="26"/>
      <c r="K260" s="36">
        <v>4.12357E-3</v>
      </c>
      <c r="L260" s="23">
        <v>8.2470999999999998E-4</v>
      </c>
    </row>
    <row r="261" spans="1:12" ht="15.35" hidden="1" x14ac:dyDescent="0.55000000000000004">
      <c r="A261" s="20">
        <v>14721</v>
      </c>
      <c r="B261" s="2" t="s">
        <v>161</v>
      </c>
      <c r="C261" s="2" t="s">
        <v>162</v>
      </c>
      <c r="D261" s="20">
        <v>0</v>
      </c>
      <c r="E261" s="2" t="s">
        <v>838</v>
      </c>
      <c r="F261" s="2" t="s">
        <v>789</v>
      </c>
      <c r="G261" s="2" t="s">
        <v>1120</v>
      </c>
      <c r="H261" s="2" t="s">
        <v>944</v>
      </c>
      <c r="J261" s="26"/>
      <c r="K261" s="36">
        <v>1.097332E-2</v>
      </c>
      <c r="L261" s="23">
        <v>2.1946600000000002E-3</v>
      </c>
    </row>
    <row r="262" spans="1:12" ht="15.35" hidden="1" x14ac:dyDescent="0.55000000000000004">
      <c r="A262" s="20">
        <v>14705</v>
      </c>
      <c r="B262" s="2" t="s">
        <v>161</v>
      </c>
      <c r="C262" s="2" t="s">
        <v>162</v>
      </c>
      <c r="D262" s="20">
        <v>0</v>
      </c>
      <c r="E262" s="2" t="s">
        <v>838</v>
      </c>
      <c r="F262" s="2" t="s">
        <v>789</v>
      </c>
      <c r="G262" s="2" t="s">
        <v>1121</v>
      </c>
      <c r="H262" s="2" t="s">
        <v>944</v>
      </c>
      <c r="J262" s="26"/>
      <c r="K262" s="36">
        <v>1.097332E-2</v>
      </c>
      <c r="L262" s="23">
        <v>2.1946600000000002E-3</v>
      </c>
    </row>
    <row r="263" spans="1:12" ht="15.35" hidden="1" x14ac:dyDescent="0.55000000000000004">
      <c r="A263" s="20">
        <v>14720</v>
      </c>
      <c r="B263" s="2" t="s">
        <v>161</v>
      </c>
      <c r="C263" s="2" t="s">
        <v>162</v>
      </c>
      <c r="D263" s="20">
        <v>0</v>
      </c>
      <c r="E263" s="2" t="s">
        <v>838</v>
      </c>
      <c r="F263" s="2" t="s">
        <v>789</v>
      </c>
      <c r="G263" s="2" t="s">
        <v>1122</v>
      </c>
      <c r="H263" s="2" t="s">
        <v>944</v>
      </c>
      <c r="J263" s="26"/>
      <c r="K263" s="36">
        <v>1.097332E-2</v>
      </c>
      <c r="L263" s="23">
        <v>2.1946600000000002E-3</v>
      </c>
    </row>
    <row r="264" spans="1:12" ht="15.35" hidden="1" x14ac:dyDescent="0.55000000000000004">
      <c r="A264" s="20">
        <v>14702</v>
      </c>
      <c r="B264" s="2" t="s">
        <v>161</v>
      </c>
      <c r="C264" s="2" t="s">
        <v>162</v>
      </c>
      <c r="D264" s="20">
        <v>0</v>
      </c>
      <c r="E264" s="2" t="s">
        <v>838</v>
      </c>
      <c r="F264" s="2" t="s">
        <v>789</v>
      </c>
      <c r="G264" s="2" t="s">
        <v>1123</v>
      </c>
      <c r="H264" s="2" t="s">
        <v>944</v>
      </c>
      <c r="J264" s="26"/>
      <c r="K264" s="36">
        <v>1.097332E-2</v>
      </c>
      <c r="L264" s="23">
        <v>2.1946600000000002E-3</v>
      </c>
    </row>
    <row r="265" spans="1:12" ht="15.35" hidden="1" x14ac:dyDescent="0.55000000000000004">
      <c r="A265" s="20">
        <v>14733</v>
      </c>
      <c r="B265" s="2" t="s">
        <v>161</v>
      </c>
      <c r="C265" s="2" t="s">
        <v>162</v>
      </c>
      <c r="D265" s="20">
        <v>0</v>
      </c>
      <c r="E265" s="2" t="s">
        <v>838</v>
      </c>
      <c r="F265" s="2" t="s">
        <v>789</v>
      </c>
      <c r="G265" s="2" t="s">
        <v>1124</v>
      </c>
      <c r="H265" s="2" t="s">
        <v>944</v>
      </c>
      <c r="J265" s="26"/>
      <c r="K265" s="36">
        <v>5.48666E-3</v>
      </c>
      <c r="L265" s="23">
        <v>1.0973300000000001E-3</v>
      </c>
    </row>
    <row r="266" spans="1:12" ht="15.35" hidden="1" x14ac:dyDescent="0.55000000000000004">
      <c r="A266" s="20">
        <v>14697</v>
      </c>
      <c r="B266" s="2" t="s">
        <v>161</v>
      </c>
      <c r="C266" s="2" t="s">
        <v>162</v>
      </c>
      <c r="D266" s="20">
        <v>0</v>
      </c>
      <c r="E266" s="2" t="s">
        <v>838</v>
      </c>
      <c r="F266" s="2" t="s">
        <v>789</v>
      </c>
      <c r="G266" s="2" t="s">
        <v>1125</v>
      </c>
      <c r="H266" s="2" t="s">
        <v>944</v>
      </c>
      <c r="J266" s="26"/>
      <c r="K266" s="36">
        <v>1.097332E-2</v>
      </c>
      <c r="L266" s="23">
        <v>2.1946600000000002E-3</v>
      </c>
    </row>
    <row r="267" spans="1:12" ht="15.35" hidden="1" x14ac:dyDescent="0.55000000000000004">
      <c r="A267" s="20">
        <v>14698</v>
      </c>
      <c r="B267" s="2" t="s">
        <v>161</v>
      </c>
      <c r="C267" s="2" t="s">
        <v>162</v>
      </c>
      <c r="D267" s="20">
        <v>0</v>
      </c>
      <c r="E267" s="2" t="s">
        <v>838</v>
      </c>
      <c r="F267" s="2" t="s">
        <v>789</v>
      </c>
      <c r="G267" s="2" t="s">
        <v>943</v>
      </c>
      <c r="H267" s="2" t="s">
        <v>944</v>
      </c>
      <c r="J267" s="26"/>
      <c r="K267" s="36">
        <v>1.097332E-2</v>
      </c>
      <c r="L267" s="23">
        <v>2.1946600000000002E-3</v>
      </c>
    </row>
    <row r="268" spans="1:12" ht="15.35" hidden="1" x14ac:dyDescent="0.55000000000000004">
      <c r="A268" s="20">
        <v>14723</v>
      </c>
      <c r="B268" s="2" t="s">
        <v>161</v>
      </c>
      <c r="C268" s="2" t="s">
        <v>162</v>
      </c>
      <c r="D268" s="20">
        <v>0</v>
      </c>
      <c r="E268" s="2" t="s">
        <v>838</v>
      </c>
      <c r="F268" s="2" t="s">
        <v>789</v>
      </c>
      <c r="G268" s="2" t="s">
        <v>1126</v>
      </c>
      <c r="H268" s="2" t="s">
        <v>944</v>
      </c>
      <c r="J268" s="26"/>
      <c r="K268" s="36">
        <v>8.2440000000000004E-5</v>
      </c>
      <c r="L268" s="23">
        <v>1.649E-5</v>
      </c>
    </row>
    <row r="269" spans="1:12" ht="15.35" hidden="1" x14ac:dyDescent="0.55000000000000004">
      <c r="A269" s="20">
        <v>14701</v>
      </c>
      <c r="B269" s="2" t="s">
        <v>161</v>
      </c>
      <c r="C269" s="2" t="s">
        <v>162</v>
      </c>
      <c r="D269" s="20">
        <v>0</v>
      </c>
      <c r="E269" s="2" t="s">
        <v>838</v>
      </c>
      <c r="F269" s="2" t="s">
        <v>789</v>
      </c>
      <c r="G269" s="2" t="s">
        <v>1127</v>
      </c>
      <c r="H269" s="2" t="s">
        <v>944</v>
      </c>
      <c r="J269" s="26"/>
      <c r="K269" s="36">
        <v>1.097332E-2</v>
      </c>
      <c r="L269" s="23">
        <v>2.1946600000000002E-3</v>
      </c>
    </row>
    <row r="270" spans="1:12" ht="15.35" hidden="1" x14ac:dyDescent="0.55000000000000004">
      <c r="A270" s="20">
        <v>14719</v>
      </c>
      <c r="B270" s="2" t="s">
        <v>161</v>
      </c>
      <c r="C270" s="2" t="s">
        <v>162</v>
      </c>
      <c r="D270" s="20">
        <v>0</v>
      </c>
      <c r="E270" s="2" t="s">
        <v>838</v>
      </c>
      <c r="F270" s="2" t="s">
        <v>789</v>
      </c>
      <c r="G270" s="2" t="s">
        <v>1128</v>
      </c>
      <c r="H270" s="2" t="s">
        <v>944</v>
      </c>
      <c r="J270" s="26"/>
      <c r="K270" s="36">
        <v>1.3973900000000001E-3</v>
      </c>
      <c r="L270" s="23">
        <v>2.7947999999999997E-4</v>
      </c>
    </row>
    <row r="271" spans="1:12" ht="15.35" hidden="1" x14ac:dyDescent="0.55000000000000004">
      <c r="A271" s="20">
        <v>14722</v>
      </c>
      <c r="B271" s="2" t="s">
        <v>161</v>
      </c>
      <c r="C271" s="2" t="s">
        <v>162</v>
      </c>
      <c r="D271" s="20">
        <v>0</v>
      </c>
      <c r="E271" s="2" t="s">
        <v>838</v>
      </c>
      <c r="F271" s="2" t="s">
        <v>789</v>
      </c>
      <c r="G271" s="2" t="s">
        <v>1129</v>
      </c>
      <c r="H271" s="2" t="s">
        <v>946</v>
      </c>
      <c r="J271" s="26"/>
      <c r="K271" s="36">
        <v>2.8328000000000001E-4</v>
      </c>
      <c r="L271" s="23">
        <v>5.6660000000000003E-5</v>
      </c>
    </row>
    <row r="272" spans="1:12" ht="15.35" hidden="1" x14ac:dyDescent="0.55000000000000004">
      <c r="A272" s="20">
        <v>14716</v>
      </c>
      <c r="B272" s="2" t="s">
        <v>161</v>
      </c>
      <c r="C272" s="2" t="s">
        <v>162</v>
      </c>
      <c r="D272" s="20">
        <v>0</v>
      </c>
      <c r="E272" s="2" t="s">
        <v>838</v>
      </c>
      <c r="F272" s="2" t="s">
        <v>789</v>
      </c>
      <c r="G272" s="2" t="s">
        <v>1130</v>
      </c>
      <c r="H272" s="2" t="s">
        <v>946</v>
      </c>
      <c r="J272" s="26"/>
      <c r="K272" s="36">
        <v>5.0279999999999997E-4</v>
      </c>
      <c r="L272" s="23">
        <v>1.0056E-4</v>
      </c>
    </row>
    <row r="273" spans="1:12" ht="15.35" hidden="1" x14ac:dyDescent="0.55000000000000004">
      <c r="A273" s="20">
        <v>14715</v>
      </c>
      <c r="B273" s="2" t="s">
        <v>161</v>
      </c>
      <c r="C273" s="2" t="s">
        <v>162</v>
      </c>
      <c r="D273" s="20">
        <v>0</v>
      </c>
      <c r="E273" s="2" t="s">
        <v>838</v>
      </c>
      <c r="F273" s="2" t="s">
        <v>789</v>
      </c>
      <c r="G273" s="2" t="s">
        <v>1131</v>
      </c>
      <c r="H273" s="2" t="s">
        <v>946</v>
      </c>
      <c r="J273" s="26"/>
      <c r="K273" s="36">
        <v>2.3501500000000001E-3</v>
      </c>
      <c r="L273" s="23">
        <v>4.7003000000000002E-4</v>
      </c>
    </row>
    <row r="274" spans="1:12" ht="15.35" hidden="1" x14ac:dyDescent="0.55000000000000004">
      <c r="A274" s="20">
        <v>14706</v>
      </c>
      <c r="B274" s="2" t="s">
        <v>161</v>
      </c>
      <c r="C274" s="2" t="s">
        <v>162</v>
      </c>
      <c r="D274" s="20">
        <v>0</v>
      </c>
      <c r="E274" s="2" t="s">
        <v>838</v>
      </c>
      <c r="F274" s="2" t="s">
        <v>793</v>
      </c>
      <c r="G274" s="2" t="s">
        <v>1132</v>
      </c>
      <c r="H274" s="2" t="s">
        <v>950</v>
      </c>
      <c r="J274" s="26"/>
      <c r="K274" s="36">
        <v>1.63875E-3</v>
      </c>
      <c r="L274" s="23">
        <v>3.2775000000000002E-4</v>
      </c>
    </row>
    <row r="275" spans="1:12" ht="15.35" hidden="1" x14ac:dyDescent="0.55000000000000004">
      <c r="A275" s="20">
        <v>14704</v>
      </c>
      <c r="B275" s="2" t="s">
        <v>161</v>
      </c>
      <c r="C275" s="2" t="s">
        <v>162</v>
      </c>
      <c r="D275" s="20">
        <v>0</v>
      </c>
      <c r="E275" s="2" t="s">
        <v>838</v>
      </c>
      <c r="F275" s="2" t="s">
        <v>793</v>
      </c>
      <c r="G275" s="2" t="s">
        <v>1133</v>
      </c>
      <c r="H275" s="2" t="s">
        <v>950</v>
      </c>
      <c r="J275" s="26"/>
      <c r="K275" s="36">
        <v>8.2484099999999994E-3</v>
      </c>
      <c r="L275" s="23">
        <v>1.6496799999999999E-3</v>
      </c>
    </row>
    <row r="276" spans="1:12" ht="15.35" hidden="1" x14ac:dyDescent="0.55000000000000004">
      <c r="A276" s="20">
        <v>14728</v>
      </c>
      <c r="B276" s="2" t="s">
        <v>161</v>
      </c>
      <c r="C276" s="2" t="s">
        <v>162</v>
      </c>
      <c r="D276" s="20">
        <v>0</v>
      </c>
      <c r="E276" s="2" t="s">
        <v>838</v>
      </c>
      <c r="F276" s="2" t="s">
        <v>793</v>
      </c>
      <c r="G276" s="2" t="s">
        <v>1134</v>
      </c>
      <c r="H276" s="2" t="s">
        <v>950</v>
      </c>
      <c r="J276" s="26"/>
      <c r="K276" s="36">
        <v>8.2484099999999994E-3</v>
      </c>
      <c r="L276" s="23">
        <v>1.6496799999999999E-3</v>
      </c>
    </row>
    <row r="277" spans="1:12" ht="15.35" hidden="1" x14ac:dyDescent="0.55000000000000004">
      <c r="A277" s="20">
        <v>14727</v>
      </c>
      <c r="B277" s="2" t="s">
        <v>161</v>
      </c>
      <c r="C277" s="2" t="s">
        <v>162</v>
      </c>
      <c r="D277" s="20">
        <v>0</v>
      </c>
      <c r="E277" s="2" t="s">
        <v>838</v>
      </c>
      <c r="F277" s="2" t="s">
        <v>793</v>
      </c>
      <c r="G277" s="2" t="s">
        <v>1135</v>
      </c>
      <c r="H277" s="2" t="s">
        <v>950</v>
      </c>
      <c r="J277" s="26"/>
      <c r="K277" s="36">
        <v>4.1159500000000002E-3</v>
      </c>
      <c r="L277" s="23">
        <v>8.2319000000000001E-4</v>
      </c>
    </row>
    <row r="278" spans="1:12" ht="15.35" hidden="1" x14ac:dyDescent="0.55000000000000004">
      <c r="A278" s="20">
        <v>14725</v>
      </c>
      <c r="B278" s="2" t="s">
        <v>161</v>
      </c>
      <c r="C278" s="2" t="s">
        <v>162</v>
      </c>
      <c r="D278" s="20">
        <v>0</v>
      </c>
      <c r="E278" s="2" t="s">
        <v>838</v>
      </c>
      <c r="F278" s="2" t="s">
        <v>793</v>
      </c>
      <c r="G278" s="2" t="s">
        <v>1136</v>
      </c>
      <c r="H278" s="2" t="s">
        <v>950</v>
      </c>
      <c r="J278" s="26"/>
      <c r="K278" s="36">
        <v>4.1158999999999998E-4</v>
      </c>
      <c r="L278" s="23">
        <v>8.2319999999999998E-5</v>
      </c>
    </row>
    <row r="279" spans="1:12" ht="15.35" hidden="1" x14ac:dyDescent="0.55000000000000004">
      <c r="A279" s="20">
        <v>14712</v>
      </c>
      <c r="B279" s="2" t="s">
        <v>161</v>
      </c>
      <c r="C279" s="2" t="s">
        <v>162</v>
      </c>
      <c r="D279" s="20">
        <v>0</v>
      </c>
      <c r="E279" s="2" t="s">
        <v>838</v>
      </c>
      <c r="F279" s="2" t="s">
        <v>793</v>
      </c>
      <c r="G279" s="2" t="s">
        <v>1137</v>
      </c>
      <c r="H279" s="2" t="s">
        <v>950</v>
      </c>
      <c r="J279" s="26"/>
      <c r="K279" s="36">
        <v>8.2484099999999994E-3</v>
      </c>
      <c r="L279" s="23">
        <v>1.6496799999999999E-3</v>
      </c>
    </row>
    <row r="280" spans="1:12" ht="15.35" hidden="1" x14ac:dyDescent="0.55000000000000004">
      <c r="A280" s="20">
        <v>14713</v>
      </c>
      <c r="B280" s="2" t="s">
        <v>161</v>
      </c>
      <c r="C280" s="2" t="s">
        <v>162</v>
      </c>
      <c r="D280" s="20">
        <v>0</v>
      </c>
      <c r="E280" s="2" t="s">
        <v>838</v>
      </c>
      <c r="F280" s="2" t="s">
        <v>793</v>
      </c>
      <c r="G280" s="2" t="s">
        <v>1138</v>
      </c>
      <c r="H280" s="2" t="s">
        <v>950</v>
      </c>
      <c r="J280" s="26"/>
      <c r="K280" s="36">
        <v>8.2484099999999994E-3</v>
      </c>
      <c r="L280" s="23">
        <v>1.6496799999999999E-3</v>
      </c>
    </row>
    <row r="281" spans="1:12" ht="15.35" hidden="1" x14ac:dyDescent="0.55000000000000004">
      <c r="A281" s="20">
        <v>14714</v>
      </c>
      <c r="B281" s="2" t="s">
        <v>161</v>
      </c>
      <c r="C281" s="2" t="s">
        <v>162</v>
      </c>
      <c r="D281" s="20">
        <v>0</v>
      </c>
      <c r="E281" s="2" t="s">
        <v>838</v>
      </c>
      <c r="F281" s="2" t="s">
        <v>793</v>
      </c>
      <c r="G281" s="2" t="s">
        <v>1139</v>
      </c>
      <c r="H281" s="2" t="s">
        <v>950</v>
      </c>
      <c r="J281" s="26"/>
      <c r="K281" s="36">
        <v>8.2445999999999995E-3</v>
      </c>
      <c r="L281" s="23">
        <v>1.6489199999999999E-3</v>
      </c>
    </row>
    <row r="282" spans="1:12" ht="15.35" hidden="1" x14ac:dyDescent="0.55000000000000004">
      <c r="A282" s="20">
        <v>14710</v>
      </c>
      <c r="B282" s="2" t="s">
        <v>161</v>
      </c>
      <c r="C282" s="2" t="s">
        <v>162</v>
      </c>
      <c r="D282" s="20">
        <v>0</v>
      </c>
      <c r="E282" s="2" t="s">
        <v>838</v>
      </c>
      <c r="F282" s="2" t="s">
        <v>793</v>
      </c>
      <c r="G282" s="2" t="s">
        <v>1140</v>
      </c>
      <c r="H282" s="2" t="s">
        <v>950</v>
      </c>
      <c r="J282" s="26"/>
      <c r="K282" s="36">
        <v>8.2484099999999994E-3</v>
      </c>
      <c r="L282" s="23">
        <v>1.6496799999999999E-3</v>
      </c>
    </row>
    <row r="283" spans="1:12" ht="15.35" hidden="1" x14ac:dyDescent="0.55000000000000004">
      <c r="A283" s="20">
        <v>14711</v>
      </c>
      <c r="B283" s="2" t="s">
        <v>161</v>
      </c>
      <c r="C283" s="2" t="s">
        <v>162</v>
      </c>
      <c r="D283" s="20">
        <v>0</v>
      </c>
      <c r="E283" s="2" t="s">
        <v>838</v>
      </c>
      <c r="F283" s="2" t="s">
        <v>793</v>
      </c>
      <c r="G283" s="2" t="s">
        <v>1141</v>
      </c>
      <c r="H283" s="2" t="s">
        <v>950</v>
      </c>
      <c r="J283" s="26"/>
      <c r="K283" s="36">
        <v>8.2484099999999994E-3</v>
      </c>
      <c r="L283" s="23">
        <v>1.6496799999999999E-3</v>
      </c>
    </row>
    <row r="284" spans="1:12" ht="15.35" hidden="1" x14ac:dyDescent="0.55000000000000004">
      <c r="A284" s="20">
        <v>14724</v>
      </c>
      <c r="B284" s="2" t="s">
        <v>161</v>
      </c>
      <c r="C284" s="2" t="s">
        <v>162</v>
      </c>
      <c r="D284" s="20">
        <v>0</v>
      </c>
      <c r="E284" s="2" t="s">
        <v>838</v>
      </c>
      <c r="F284" s="2" t="s">
        <v>793</v>
      </c>
      <c r="G284" s="2" t="s">
        <v>1142</v>
      </c>
      <c r="H284" s="2" t="s">
        <v>950</v>
      </c>
      <c r="J284" s="26"/>
      <c r="K284" s="36">
        <v>8.2484099999999994E-3</v>
      </c>
      <c r="L284" s="23">
        <v>1.6496799999999999E-3</v>
      </c>
    </row>
    <row r="285" spans="1:12" ht="15.35" hidden="1" x14ac:dyDescent="0.55000000000000004">
      <c r="A285" s="20">
        <v>14726</v>
      </c>
      <c r="B285" s="2" t="s">
        <v>161</v>
      </c>
      <c r="C285" s="2" t="s">
        <v>162</v>
      </c>
      <c r="D285" s="20">
        <v>0</v>
      </c>
      <c r="E285" s="2" t="s">
        <v>838</v>
      </c>
      <c r="F285" s="2" t="s">
        <v>793</v>
      </c>
      <c r="G285" s="2" t="s">
        <v>1143</v>
      </c>
      <c r="H285" s="2" t="s">
        <v>950</v>
      </c>
      <c r="J285" s="26"/>
      <c r="K285" s="36">
        <v>8.2484099999999994E-3</v>
      </c>
      <c r="L285" s="23">
        <v>1.6496799999999999E-3</v>
      </c>
    </row>
    <row r="286" spans="1:12" ht="15.35" hidden="1" x14ac:dyDescent="0.55000000000000004">
      <c r="A286" s="20">
        <v>14729</v>
      </c>
      <c r="B286" s="2" t="s">
        <v>161</v>
      </c>
      <c r="C286" s="2" t="s">
        <v>162</v>
      </c>
      <c r="D286" s="20">
        <v>0</v>
      </c>
      <c r="E286" s="2" t="s">
        <v>838</v>
      </c>
      <c r="F286" s="2" t="s">
        <v>793</v>
      </c>
      <c r="G286" s="2" t="s">
        <v>1144</v>
      </c>
      <c r="H286" s="2" t="s">
        <v>950</v>
      </c>
      <c r="J286" s="26"/>
      <c r="K286" s="36">
        <v>1.6514000000000001E-4</v>
      </c>
      <c r="L286" s="23">
        <v>3.3030000000000001E-5</v>
      </c>
    </row>
    <row r="287" spans="1:12" ht="15.35" hidden="1" x14ac:dyDescent="0.55000000000000004">
      <c r="A287" s="20">
        <v>14709</v>
      </c>
      <c r="B287" s="2" t="s">
        <v>161</v>
      </c>
      <c r="C287" s="2" t="s">
        <v>162</v>
      </c>
      <c r="D287" s="20">
        <v>0</v>
      </c>
      <c r="E287" s="2" t="s">
        <v>838</v>
      </c>
      <c r="F287" s="2" t="s">
        <v>793</v>
      </c>
      <c r="G287" s="2" t="s">
        <v>1145</v>
      </c>
      <c r="H287" s="2" t="s">
        <v>950</v>
      </c>
      <c r="J287" s="26"/>
      <c r="K287" s="36">
        <v>2.06178E-3</v>
      </c>
      <c r="L287" s="23">
        <v>4.1236000000000002E-4</v>
      </c>
    </row>
    <row r="288" spans="1:12" ht="15.35" hidden="1" x14ac:dyDescent="0.55000000000000004">
      <c r="A288" s="20">
        <v>14732</v>
      </c>
      <c r="B288" s="2" t="s">
        <v>161</v>
      </c>
      <c r="C288" s="2" t="s">
        <v>162</v>
      </c>
      <c r="D288" s="20">
        <v>0</v>
      </c>
      <c r="E288" s="2" t="s">
        <v>838</v>
      </c>
      <c r="F288" s="2" t="s">
        <v>793</v>
      </c>
      <c r="G288" s="2" t="s">
        <v>1146</v>
      </c>
      <c r="H288" s="2" t="s">
        <v>950</v>
      </c>
      <c r="J288" s="26"/>
      <c r="K288" s="36">
        <v>3.2393999999999999E-4</v>
      </c>
      <c r="L288" s="23">
        <v>6.4789999999999995E-5</v>
      </c>
    </row>
    <row r="289" spans="1:12" ht="15.35" hidden="1" x14ac:dyDescent="0.55000000000000004">
      <c r="A289" s="20">
        <v>14718</v>
      </c>
      <c r="B289" s="2" t="s">
        <v>161</v>
      </c>
      <c r="C289" s="2" t="s">
        <v>162</v>
      </c>
      <c r="D289" s="20">
        <v>0</v>
      </c>
      <c r="E289" s="2" t="s">
        <v>838</v>
      </c>
      <c r="F289" s="2" t="s">
        <v>793</v>
      </c>
      <c r="G289" s="2" t="s">
        <v>1147</v>
      </c>
      <c r="H289" s="2" t="s">
        <v>950</v>
      </c>
      <c r="J289" s="26"/>
      <c r="K289" s="36">
        <v>2.06178E-3</v>
      </c>
      <c r="L289" s="23">
        <v>4.1236000000000002E-4</v>
      </c>
    </row>
    <row r="290" spans="1:12" ht="15.35" hidden="1" x14ac:dyDescent="0.55000000000000004">
      <c r="A290" s="20">
        <v>14676</v>
      </c>
      <c r="B290" s="2" t="s">
        <v>161</v>
      </c>
      <c r="C290" s="2" t="s">
        <v>162</v>
      </c>
      <c r="D290" s="20">
        <v>0</v>
      </c>
      <c r="E290" s="2" t="s">
        <v>838</v>
      </c>
      <c r="F290" s="2" t="s">
        <v>787</v>
      </c>
      <c r="G290" s="2" t="s">
        <v>952</v>
      </c>
      <c r="H290" s="2" t="s">
        <v>952</v>
      </c>
      <c r="J290" s="26"/>
      <c r="K290" s="36">
        <v>1.097332E-2</v>
      </c>
      <c r="L290" s="23">
        <v>2.1946600000000002E-3</v>
      </c>
    </row>
    <row r="291" spans="1:12" ht="15.35" hidden="1" x14ac:dyDescent="0.55000000000000004">
      <c r="A291" s="20">
        <v>14770</v>
      </c>
      <c r="B291" s="2" t="s">
        <v>161</v>
      </c>
      <c r="C291" s="2" t="s">
        <v>162</v>
      </c>
      <c r="D291" s="20">
        <v>0</v>
      </c>
      <c r="E291" s="2" t="s">
        <v>838</v>
      </c>
      <c r="F291" s="2" t="s">
        <v>793</v>
      </c>
      <c r="G291" s="2" t="s">
        <v>1148</v>
      </c>
      <c r="H291" s="2" t="s">
        <v>1149</v>
      </c>
      <c r="J291" s="26"/>
      <c r="K291" s="36">
        <v>1.8877E-4</v>
      </c>
      <c r="L291" s="23">
        <v>3.7750000000000003E-5</v>
      </c>
    </row>
    <row r="292" spans="1:12" ht="15.35" hidden="1" x14ac:dyDescent="0.55000000000000004">
      <c r="A292" s="20">
        <v>14771</v>
      </c>
      <c r="B292" s="2" t="s">
        <v>161</v>
      </c>
      <c r="C292" s="2" t="s">
        <v>162</v>
      </c>
      <c r="D292" s="20">
        <v>0</v>
      </c>
      <c r="E292" s="2" t="s">
        <v>838</v>
      </c>
      <c r="F292" s="2" t="s">
        <v>793</v>
      </c>
      <c r="G292" s="2" t="s">
        <v>1150</v>
      </c>
      <c r="H292" s="2" t="s">
        <v>1149</v>
      </c>
      <c r="J292" s="26"/>
      <c r="K292" s="36">
        <v>1.8877E-4</v>
      </c>
      <c r="L292" s="23">
        <v>3.7750000000000003E-5</v>
      </c>
    </row>
    <row r="293" spans="1:12" ht="15.35" hidden="1" x14ac:dyDescent="0.55000000000000004">
      <c r="A293" s="20">
        <v>14769</v>
      </c>
      <c r="B293" s="2" t="s">
        <v>161</v>
      </c>
      <c r="C293" s="2" t="s">
        <v>162</v>
      </c>
      <c r="D293" s="20">
        <v>0</v>
      </c>
      <c r="E293" s="2" t="s">
        <v>838</v>
      </c>
      <c r="F293" s="2" t="s">
        <v>793</v>
      </c>
      <c r="G293" s="2" t="s">
        <v>1151</v>
      </c>
      <c r="H293" s="2" t="s">
        <v>997</v>
      </c>
      <c r="J293" s="26"/>
      <c r="K293" s="36">
        <v>2.0973000000000001E-4</v>
      </c>
      <c r="L293" s="23">
        <v>4.1950000000000003E-5</v>
      </c>
    </row>
    <row r="294" spans="1:12" ht="15.35" hidden="1" x14ac:dyDescent="0.55000000000000004">
      <c r="A294" s="20">
        <v>14768</v>
      </c>
      <c r="B294" s="2" t="s">
        <v>161</v>
      </c>
      <c r="C294" s="2" t="s">
        <v>162</v>
      </c>
      <c r="D294" s="20">
        <v>0</v>
      </c>
      <c r="E294" s="2" t="s">
        <v>838</v>
      </c>
      <c r="F294" s="2" t="s">
        <v>793</v>
      </c>
      <c r="G294" s="2" t="s">
        <v>1152</v>
      </c>
      <c r="H294" s="2" t="s">
        <v>997</v>
      </c>
      <c r="J294" s="26"/>
      <c r="K294" s="36">
        <v>1.6781299999999999E-3</v>
      </c>
      <c r="L294" s="23">
        <v>3.3563000000000001E-4</v>
      </c>
    </row>
    <row r="295" spans="1:12" ht="15.35" hidden="1" x14ac:dyDescent="0.55000000000000004">
      <c r="A295" s="20">
        <v>14792</v>
      </c>
      <c r="B295" s="2" t="s">
        <v>161</v>
      </c>
      <c r="C295" s="2" t="s">
        <v>162</v>
      </c>
      <c r="D295" s="20">
        <v>0</v>
      </c>
      <c r="E295" s="2" t="s">
        <v>838</v>
      </c>
      <c r="F295" s="2" t="s">
        <v>848</v>
      </c>
      <c r="G295" s="2" t="s">
        <v>1153</v>
      </c>
      <c r="H295" s="2" t="s">
        <v>1153</v>
      </c>
      <c r="J295" s="26"/>
      <c r="K295" s="36">
        <v>1.096316E-2</v>
      </c>
      <c r="L295" s="23">
        <v>2.1926300000000001E-3</v>
      </c>
    </row>
    <row r="296" spans="1:12" ht="15.35" hidden="1" x14ac:dyDescent="0.55000000000000004">
      <c r="A296" s="20">
        <v>14665</v>
      </c>
      <c r="B296" s="2" t="s">
        <v>161</v>
      </c>
      <c r="C296" s="2" t="s">
        <v>162</v>
      </c>
      <c r="D296" s="20">
        <v>0</v>
      </c>
      <c r="E296" s="2" t="s">
        <v>838</v>
      </c>
      <c r="F296" s="2" t="s">
        <v>793</v>
      </c>
      <c r="G296" s="2" t="s">
        <v>1154</v>
      </c>
      <c r="H296" s="2" t="s">
        <v>1155</v>
      </c>
      <c r="J296" s="26"/>
      <c r="K296" s="36">
        <v>2.2358E-4</v>
      </c>
      <c r="L296" s="23">
        <v>4.4719999999999999E-5</v>
      </c>
    </row>
    <row r="297" spans="1:12" ht="15.35" hidden="1" x14ac:dyDescent="0.55000000000000004">
      <c r="A297" s="20">
        <v>14666</v>
      </c>
      <c r="B297" s="2" t="s">
        <v>161</v>
      </c>
      <c r="C297" s="2" t="s">
        <v>162</v>
      </c>
      <c r="D297" s="20">
        <v>0</v>
      </c>
      <c r="E297" s="2" t="s">
        <v>838</v>
      </c>
      <c r="F297" s="2" t="s">
        <v>793</v>
      </c>
      <c r="G297" s="2" t="s">
        <v>1156</v>
      </c>
      <c r="H297" s="2" t="s">
        <v>1155</v>
      </c>
      <c r="J297" s="26"/>
      <c r="K297" s="36">
        <v>4.5729999999999998E-5</v>
      </c>
      <c r="L297" s="23">
        <v>9.1500000000000005E-6</v>
      </c>
    </row>
    <row r="298" spans="1:12" ht="15.35" hidden="1" x14ac:dyDescent="0.55000000000000004">
      <c r="A298" s="20">
        <v>14766</v>
      </c>
      <c r="B298" s="2" t="s">
        <v>161</v>
      </c>
      <c r="C298" s="2" t="s">
        <v>162</v>
      </c>
      <c r="D298" s="20">
        <v>0</v>
      </c>
      <c r="E298" s="2" t="s">
        <v>838</v>
      </c>
      <c r="F298" s="2" t="s">
        <v>793</v>
      </c>
      <c r="G298" s="2" t="s">
        <v>1157</v>
      </c>
      <c r="H298" s="2" t="s">
        <v>1158</v>
      </c>
      <c r="J298" s="26"/>
      <c r="K298" s="36">
        <v>1.9055E-4</v>
      </c>
      <c r="L298" s="23">
        <v>3.8109999999999999E-5</v>
      </c>
    </row>
    <row r="299" spans="1:12" ht="15.35" hidden="1" x14ac:dyDescent="0.55000000000000004">
      <c r="A299" s="20">
        <v>14765</v>
      </c>
      <c r="B299" s="2" t="s">
        <v>161</v>
      </c>
      <c r="C299" s="2" t="s">
        <v>162</v>
      </c>
      <c r="D299" s="20">
        <v>0</v>
      </c>
      <c r="E299" s="2" t="s">
        <v>838</v>
      </c>
      <c r="F299" s="2" t="s">
        <v>793</v>
      </c>
      <c r="G299" s="2" t="s">
        <v>1159</v>
      </c>
      <c r="H299" s="2" t="s">
        <v>1158</v>
      </c>
      <c r="J299" s="26"/>
      <c r="K299" s="36">
        <v>2.0325000000000001E-4</v>
      </c>
      <c r="L299" s="23">
        <v>4.0649999999999999E-5</v>
      </c>
    </row>
    <row r="300" spans="1:12" ht="15.35" hidden="1" x14ac:dyDescent="0.55000000000000004">
      <c r="A300" s="20">
        <v>14673</v>
      </c>
      <c r="B300" s="2" t="s">
        <v>161</v>
      </c>
      <c r="C300" s="2" t="s">
        <v>162</v>
      </c>
      <c r="D300" s="20">
        <v>0</v>
      </c>
      <c r="E300" s="2" t="s">
        <v>838</v>
      </c>
      <c r="F300" s="2" t="s">
        <v>787</v>
      </c>
      <c r="G300" s="2" t="s">
        <v>1160</v>
      </c>
      <c r="H300" s="2" t="s">
        <v>1160</v>
      </c>
      <c r="J300" s="26"/>
      <c r="K300" s="36">
        <v>6.6807899999999998E-3</v>
      </c>
      <c r="L300" s="23">
        <v>1.3361600000000001E-3</v>
      </c>
    </row>
    <row r="301" spans="1:12" ht="15.35" hidden="1" x14ac:dyDescent="0.55000000000000004">
      <c r="A301" s="20">
        <v>14688</v>
      </c>
      <c r="B301" s="2" t="s">
        <v>161</v>
      </c>
      <c r="C301" s="2" t="s">
        <v>162</v>
      </c>
      <c r="D301" s="20">
        <v>0</v>
      </c>
      <c r="E301" s="2" t="s">
        <v>838</v>
      </c>
      <c r="F301" s="2" t="s">
        <v>793</v>
      </c>
      <c r="G301" s="2" t="s">
        <v>1161</v>
      </c>
      <c r="H301" s="2" t="s">
        <v>1161</v>
      </c>
      <c r="J301" s="26"/>
      <c r="K301" s="36">
        <v>1.097332E-2</v>
      </c>
      <c r="L301" s="23">
        <v>2.1946600000000002E-3</v>
      </c>
    </row>
    <row r="302" spans="1:12" ht="15.35" hidden="1" x14ac:dyDescent="0.55000000000000004">
      <c r="A302" s="20">
        <v>14789</v>
      </c>
      <c r="B302" s="2" t="s">
        <v>161</v>
      </c>
      <c r="C302" s="2" t="s">
        <v>162</v>
      </c>
      <c r="D302" s="20">
        <v>0</v>
      </c>
      <c r="E302" s="2" t="s">
        <v>838</v>
      </c>
      <c r="F302" s="2" t="s">
        <v>817</v>
      </c>
      <c r="G302" s="2" t="s">
        <v>1162</v>
      </c>
      <c r="H302" s="2" t="s">
        <v>1163</v>
      </c>
      <c r="J302" s="26"/>
      <c r="K302" s="36">
        <v>5.2972999999999996E-4</v>
      </c>
      <c r="L302" s="23">
        <v>1.0595E-4</v>
      </c>
    </row>
    <row r="303" spans="1:12" ht="15.35" hidden="1" x14ac:dyDescent="0.55000000000000004">
      <c r="A303" s="20">
        <v>14681</v>
      </c>
      <c r="B303" s="2" t="s">
        <v>161</v>
      </c>
      <c r="C303" s="2" t="s">
        <v>162</v>
      </c>
      <c r="D303" s="20">
        <v>0</v>
      </c>
      <c r="E303" s="2" t="s">
        <v>838</v>
      </c>
      <c r="F303" s="2" t="s">
        <v>787</v>
      </c>
      <c r="G303" s="2" t="s">
        <v>1164</v>
      </c>
      <c r="H303" s="2" t="s">
        <v>1164</v>
      </c>
      <c r="J303" s="26"/>
      <c r="K303" s="36">
        <v>1.097332E-2</v>
      </c>
      <c r="L303" s="23">
        <v>2.1946600000000002E-3</v>
      </c>
    </row>
    <row r="304" spans="1:12" ht="15.35" hidden="1" x14ac:dyDescent="0.55000000000000004">
      <c r="A304" s="20">
        <v>14754</v>
      </c>
      <c r="B304" s="2" t="s">
        <v>161</v>
      </c>
      <c r="C304" s="2" t="s">
        <v>162</v>
      </c>
      <c r="D304" s="20">
        <v>0</v>
      </c>
      <c r="E304" s="2" t="s">
        <v>838</v>
      </c>
      <c r="F304" s="2" t="s">
        <v>793</v>
      </c>
      <c r="G304" s="2" t="s">
        <v>1165</v>
      </c>
      <c r="H304" s="2" t="s">
        <v>1166</v>
      </c>
      <c r="J304" s="26"/>
      <c r="K304" s="36">
        <v>1.035466E-2</v>
      </c>
      <c r="L304" s="23">
        <v>2.0709299999999999E-3</v>
      </c>
    </row>
    <row r="305" spans="1:12" ht="15.35" hidden="1" x14ac:dyDescent="0.55000000000000004">
      <c r="A305" s="20">
        <v>14753</v>
      </c>
      <c r="B305" s="2" t="s">
        <v>161</v>
      </c>
      <c r="C305" s="2" t="s">
        <v>162</v>
      </c>
      <c r="D305" s="20">
        <v>0</v>
      </c>
      <c r="E305" s="2" t="s">
        <v>838</v>
      </c>
      <c r="F305" s="2" t="s">
        <v>793</v>
      </c>
      <c r="G305" s="2" t="s">
        <v>1167</v>
      </c>
      <c r="H305" s="2" t="s">
        <v>1166</v>
      </c>
      <c r="J305" s="26"/>
      <c r="K305" s="36">
        <v>8.1420000000000003E-5</v>
      </c>
      <c r="L305" s="23">
        <v>1.628E-5</v>
      </c>
    </row>
    <row r="306" spans="1:12" ht="15.35" hidden="1" x14ac:dyDescent="0.55000000000000004">
      <c r="A306" s="20">
        <v>14752</v>
      </c>
      <c r="B306" s="2" t="s">
        <v>161</v>
      </c>
      <c r="C306" s="2" t="s">
        <v>162</v>
      </c>
      <c r="D306" s="20">
        <v>0</v>
      </c>
      <c r="E306" s="2" t="s">
        <v>838</v>
      </c>
      <c r="F306" s="2" t="s">
        <v>793</v>
      </c>
      <c r="G306" s="2" t="s">
        <v>1168</v>
      </c>
      <c r="H306" s="2" t="s">
        <v>1166</v>
      </c>
      <c r="J306" s="26"/>
      <c r="K306" s="36">
        <v>1.097332E-2</v>
      </c>
      <c r="L306" s="23">
        <v>2.1946600000000002E-3</v>
      </c>
    </row>
    <row r="307" spans="1:12" ht="15.35" hidden="1" x14ac:dyDescent="0.55000000000000004">
      <c r="A307" s="20">
        <v>14683</v>
      </c>
      <c r="B307" s="2" t="s">
        <v>161</v>
      </c>
      <c r="C307" s="2" t="s">
        <v>162</v>
      </c>
      <c r="D307" s="20">
        <v>0</v>
      </c>
      <c r="E307" s="2" t="s">
        <v>838</v>
      </c>
      <c r="F307" s="2" t="s">
        <v>848</v>
      </c>
      <c r="G307" s="2" t="s">
        <v>1169</v>
      </c>
      <c r="H307" s="2" t="s">
        <v>1169</v>
      </c>
      <c r="J307" s="26"/>
      <c r="K307" s="36">
        <v>1.0162839999999999E-2</v>
      </c>
      <c r="L307" s="23">
        <v>2.03257E-3</v>
      </c>
    </row>
    <row r="308" spans="1:12" ht="15.35" hidden="1" x14ac:dyDescent="0.55000000000000004">
      <c r="A308" s="20">
        <v>14692</v>
      </c>
      <c r="B308" s="2" t="s">
        <v>161</v>
      </c>
      <c r="C308" s="2" t="s">
        <v>162</v>
      </c>
      <c r="D308" s="20">
        <v>0</v>
      </c>
      <c r="E308" s="2" t="s">
        <v>838</v>
      </c>
      <c r="F308" s="2" t="s">
        <v>848</v>
      </c>
      <c r="G308" s="2" t="s">
        <v>1170</v>
      </c>
      <c r="H308" s="2" t="s">
        <v>1171</v>
      </c>
      <c r="J308" s="26"/>
      <c r="K308" s="36">
        <v>4.0651300000000001E-3</v>
      </c>
      <c r="L308" s="23">
        <v>8.1302999999999996E-4</v>
      </c>
    </row>
    <row r="309" spans="1:12" ht="15.35" hidden="1" x14ac:dyDescent="0.55000000000000004">
      <c r="A309" s="20">
        <v>14818</v>
      </c>
      <c r="B309" s="2" t="s">
        <v>161</v>
      </c>
      <c r="C309" s="2" t="s">
        <v>162</v>
      </c>
      <c r="D309" s="20">
        <v>0</v>
      </c>
      <c r="E309" s="2" t="s">
        <v>838</v>
      </c>
      <c r="F309" s="2" t="s">
        <v>848</v>
      </c>
      <c r="G309" s="2" t="s">
        <v>1172</v>
      </c>
      <c r="H309" s="2" t="s">
        <v>1172</v>
      </c>
      <c r="J309" s="26"/>
      <c r="K309" s="36">
        <v>1.9055299999999999E-3</v>
      </c>
      <c r="L309" s="23">
        <v>3.8110999999999999E-4</v>
      </c>
    </row>
    <row r="310" spans="1:12" ht="15.35" hidden="1" x14ac:dyDescent="0.55000000000000004">
      <c r="A310" s="20">
        <v>14663</v>
      </c>
      <c r="B310" s="2" t="s">
        <v>161</v>
      </c>
      <c r="C310" s="2" t="s">
        <v>162</v>
      </c>
      <c r="D310" s="20">
        <v>0</v>
      </c>
      <c r="E310" s="2" t="s">
        <v>838</v>
      </c>
      <c r="F310" s="2" t="s">
        <v>787</v>
      </c>
      <c r="G310" s="2" t="s">
        <v>962</v>
      </c>
      <c r="H310" s="2" t="s">
        <v>962</v>
      </c>
      <c r="J310" s="26"/>
      <c r="K310" s="36">
        <v>1.097332E-2</v>
      </c>
      <c r="L310" s="23">
        <v>2.1946600000000002E-3</v>
      </c>
    </row>
    <row r="311" spans="1:12" ht="15.35" hidden="1" x14ac:dyDescent="0.55000000000000004">
      <c r="A311" s="20">
        <v>14759</v>
      </c>
      <c r="B311" s="2" t="s">
        <v>161</v>
      </c>
      <c r="C311" s="2" t="s">
        <v>162</v>
      </c>
      <c r="D311" s="20">
        <v>0</v>
      </c>
      <c r="E311" s="2" t="s">
        <v>838</v>
      </c>
      <c r="F311" s="2" t="s">
        <v>811</v>
      </c>
      <c r="G311" s="2" t="s">
        <v>1173</v>
      </c>
      <c r="H311" s="2" t="s">
        <v>1174</v>
      </c>
      <c r="J311" s="26"/>
      <c r="K311" s="36">
        <v>7.3426000000000003E-4</v>
      </c>
      <c r="L311" s="23">
        <v>1.4684999999999999E-4</v>
      </c>
    </row>
    <row r="312" spans="1:12" ht="15.35" hidden="1" x14ac:dyDescent="0.55000000000000004">
      <c r="A312" s="20">
        <v>14756</v>
      </c>
      <c r="B312" s="2" t="s">
        <v>161</v>
      </c>
      <c r="C312" s="2" t="s">
        <v>162</v>
      </c>
      <c r="D312" s="20">
        <v>0</v>
      </c>
      <c r="E312" s="2" t="s">
        <v>838</v>
      </c>
      <c r="F312" s="2" t="s">
        <v>811</v>
      </c>
      <c r="G312" s="2" t="s">
        <v>1175</v>
      </c>
      <c r="H312" s="2" t="s">
        <v>1174</v>
      </c>
      <c r="J312" s="26"/>
      <c r="K312" s="36">
        <v>2.655E-4</v>
      </c>
      <c r="L312" s="23">
        <v>5.3100000000000003E-5</v>
      </c>
    </row>
    <row r="313" spans="1:12" ht="15.35" hidden="1" x14ac:dyDescent="0.55000000000000004">
      <c r="A313" s="20">
        <v>14755</v>
      </c>
      <c r="B313" s="2" t="s">
        <v>161</v>
      </c>
      <c r="C313" s="2" t="s">
        <v>162</v>
      </c>
      <c r="D313" s="20">
        <v>0</v>
      </c>
      <c r="E313" s="2" t="s">
        <v>838</v>
      </c>
      <c r="F313" s="2" t="s">
        <v>811</v>
      </c>
      <c r="G313" s="2" t="s">
        <v>1176</v>
      </c>
      <c r="H313" s="2" t="s">
        <v>1174</v>
      </c>
      <c r="J313" s="26"/>
      <c r="K313" s="36">
        <v>2.655E-4</v>
      </c>
      <c r="L313" s="23">
        <v>5.3100000000000003E-5</v>
      </c>
    </row>
    <row r="314" spans="1:12" ht="15.35" hidden="1" x14ac:dyDescent="0.55000000000000004">
      <c r="A314" s="20">
        <v>14757</v>
      </c>
      <c r="B314" s="2" t="s">
        <v>161</v>
      </c>
      <c r="C314" s="2" t="s">
        <v>162</v>
      </c>
      <c r="D314" s="20">
        <v>0</v>
      </c>
      <c r="E314" s="2" t="s">
        <v>838</v>
      </c>
      <c r="F314" s="2" t="s">
        <v>811</v>
      </c>
      <c r="G314" s="2" t="s">
        <v>1177</v>
      </c>
      <c r="H314" s="2" t="s">
        <v>1174</v>
      </c>
      <c r="J314" s="26"/>
      <c r="K314" s="36">
        <v>2.655E-4</v>
      </c>
      <c r="L314" s="23">
        <v>5.3100000000000003E-5</v>
      </c>
    </row>
    <row r="315" spans="1:12" ht="15.35" hidden="1" x14ac:dyDescent="0.55000000000000004">
      <c r="A315" s="20">
        <v>14758</v>
      </c>
      <c r="B315" s="2" t="s">
        <v>161</v>
      </c>
      <c r="C315" s="2" t="s">
        <v>162</v>
      </c>
      <c r="D315" s="20">
        <v>0</v>
      </c>
      <c r="E315" s="2" t="s">
        <v>838</v>
      </c>
      <c r="F315" s="2" t="s">
        <v>811</v>
      </c>
      <c r="G315" s="2" t="s">
        <v>1178</v>
      </c>
      <c r="H315" s="2" t="s">
        <v>1174</v>
      </c>
      <c r="J315" s="26"/>
      <c r="K315" s="36">
        <v>2.655E-4</v>
      </c>
      <c r="L315" s="23">
        <v>5.3100000000000003E-5</v>
      </c>
    </row>
    <row r="316" spans="1:12" ht="15.35" hidden="1" x14ac:dyDescent="0.55000000000000004">
      <c r="A316" s="20">
        <v>14679</v>
      </c>
      <c r="B316" s="2" t="s">
        <v>161</v>
      </c>
      <c r="C316" s="2" t="s">
        <v>162</v>
      </c>
      <c r="D316" s="20">
        <v>0</v>
      </c>
      <c r="E316" s="2" t="s">
        <v>838</v>
      </c>
      <c r="F316" s="2" t="s">
        <v>787</v>
      </c>
      <c r="G316" s="2" t="s">
        <v>1179</v>
      </c>
      <c r="H316" s="2" t="s">
        <v>1179</v>
      </c>
      <c r="J316" s="26"/>
      <c r="K316" s="36">
        <v>1.097332E-2</v>
      </c>
      <c r="L316" s="23">
        <v>2.1946600000000002E-3</v>
      </c>
    </row>
    <row r="317" spans="1:12" ht="15.35" hidden="1" x14ac:dyDescent="0.55000000000000004">
      <c r="A317" s="20">
        <v>1380</v>
      </c>
      <c r="B317" s="2" t="s">
        <v>166</v>
      </c>
      <c r="C317" s="2" t="s">
        <v>167</v>
      </c>
      <c r="D317" s="20">
        <v>0</v>
      </c>
      <c r="E317" s="2" t="s">
        <v>63</v>
      </c>
      <c r="F317" s="2" t="s">
        <v>787</v>
      </c>
      <c r="G317" s="2" t="s">
        <v>904</v>
      </c>
      <c r="H317" s="2" t="s">
        <v>904</v>
      </c>
      <c r="I317" s="2" t="s">
        <v>785</v>
      </c>
      <c r="J317" s="25">
        <v>46931</v>
      </c>
      <c r="K317" s="36">
        <v>0.16350000000000001</v>
      </c>
      <c r="L317" s="23">
        <v>3.27E-2</v>
      </c>
    </row>
    <row r="318" spans="1:12" ht="15.35" hidden="1" x14ac:dyDescent="0.55000000000000004">
      <c r="A318" s="20">
        <v>1381</v>
      </c>
      <c r="B318" s="2" t="s">
        <v>166</v>
      </c>
      <c r="C318" s="2" t="s">
        <v>167</v>
      </c>
      <c r="D318" s="20">
        <v>0</v>
      </c>
      <c r="E318" s="2" t="s">
        <v>63</v>
      </c>
      <c r="F318" s="2" t="s">
        <v>787</v>
      </c>
      <c r="G318" s="2" t="s">
        <v>788</v>
      </c>
      <c r="H318" s="2" t="s">
        <v>788</v>
      </c>
      <c r="I318" s="2" t="s">
        <v>785</v>
      </c>
      <c r="J318" s="25">
        <v>46931</v>
      </c>
      <c r="K318" s="36">
        <v>0.17974999999999999</v>
      </c>
      <c r="L318" s="23">
        <v>3.5950000000000003E-2</v>
      </c>
    </row>
    <row r="319" spans="1:12" ht="15.35" hidden="1" x14ac:dyDescent="0.55000000000000004">
      <c r="A319" s="20">
        <v>1378</v>
      </c>
      <c r="B319" s="2" t="s">
        <v>166</v>
      </c>
      <c r="C319" s="2" t="s">
        <v>167</v>
      </c>
      <c r="D319" s="20">
        <v>0</v>
      </c>
      <c r="E319" s="2" t="s">
        <v>63</v>
      </c>
      <c r="F319" s="2" t="s">
        <v>787</v>
      </c>
      <c r="G319" s="2" t="s">
        <v>968</v>
      </c>
      <c r="H319" s="2" t="s">
        <v>968</v>
      </c>
      <c r="I319" s="2" t="s">
        <v>785</v>
      </c>
      <c r="J319" s="25">
        <v>46565</v>
      </c>
      <c r="K319" s="36">
        <v>6.5500000000000003E-2</v>
      </c>
      <c r="L319" s="23">
        <v>1.3100000000000001E-2</v>
      </c>
    </row>
    <row r="320" spans="1:12" ht="15.35" hidden="1" x14ac:dyDescent="0.55000000000000004">
      <c r="A320" s="20">
        <v>1388</v>
      </c>
      <c r="B320" s="2" t="s">
        <v>166</v>
      </c>
      <c r="C320" s="2" t="s">
        <v>167</v>
      </c>
      <c r="D320" s="20">
        <v>0</v>
      </c>
      <c r="E320" s="2" t="s">
        <v>63</v>
      </c>
      <c r="F320" s="2" t="s">
        <v>783</v>
      </c>
      <c r="G320" s="2" t="s">
        <v>1180</v>
      </c>
      <c r="H320" s="2" t="s">
        <v>1180</v>
      </c>
      <c r="I320" s="2" t="s">
        <v>785</v>
      </c>
      <c r="J320" s="25">
        <v>46931</v>
      </c>
      <c r="K320" s="36">
        <v>0.22900000000000001</v>
      </c>
      <c r="L320" s="23">
        <v>4.58E-2</v>
      </c>
    </row>
    <row r="321" spans="1:12" ht="15.35" hidden="1" x14ac:dyDescent="0.55000000000000004">
      <c r="A321" s="20">
        <v>1392</v>
      </c>
      <c r="B321" s="2" t="s">
        <v>166</v>
      </c>
      <c r="C321" s="2" t="s">
        <v>167</v>
      </c>
      <c r="D321" s="20">
        <v>0</v>
      </c>
      <c r="E321" s="2" t="s">
        <v>63</v>
      </c>
      <c r="F321" s="2" t="s">
        <v>787</v>
      </c>
      <c r="G321" s="2" t="s">
        <v>892</v>
      </c>
      <c r="H321" s="2" t="s">
        <v>892</v>
      </c>
      <c r="I321" s="2" t="s">
        <v>785</v>
      </c>
      <c r="J321" s="25">
        <v>46565</v>
      </c>
      <c r="K321" s="36">
        <v>6.5500000000000003E-2</v>
      </c>
      <c r="L321" s="23">
        <v>1.3100000000000001E-2</v>
      </c>
    </row>
    <row r="322" spans="1:12" ht="15.35" hidden="1" x14ac:dyDescent="0.55000000000000004">
      <c r="A322" s="20">
        <v>1395</v>
      </c>
      <c r="B322" s="2" t="s">
        <v>166</v>
      </c>
      <c r="C322" s="2" t="s">
        <v>167</v>
      </c>
      <c r="D322" s="20">
        <v>0</v>
      </c>
      <c r="E322" s="2" t="s">
        <v>63</v>
      </c>
      <c r="F322" s="2" t="s">
        <v>787</v>
      </c>
      <c r="G322" s="2" t="s">
        <v>972</v>
      </c>
      <c r="H322" s="2" t="s">
        <v>972</v>
      </c>
      <c r="I322" s="2" t="s">
        <v>785</v>
      </c>
      <c r="J322" s="25">
        <v>46931</v>
      </c>
      <c r="K322" s="36">
        <v>0.17974999999999999</v>
      </c>
      <c r="L322" s="23">
        <v>3.5950000000000003E-2</v>
      </c>
    </row>
    <row r="323" spans="1:12" ht="15.35" hidden="1" x14ac:dyDescent="0.55000000000000004">
      <c r="A323" s="20">
        <v>1391</v>
      </c>
      <c r="B323" s="2" t="s">
        <v>166</v>
      </c>
      <c r="C323" s="2" t="s">
        <v>167</v>
      </c>
      <c r="D323" s="20">
        <v>0</v>
      </c>
      <c r="E323" s="2" t="s">
        <v>63</v>
      </c>
      <c r="F323" s="2" t="s">
        <v>793</v>
      </c>
      <c r="G323" s="2" t="s">
        <v>1181</v>
      </c>
      <c r="H323" s="2" t="s">
        <v>1182</v>
      </c>
      <c r="I323" s="2" t="s">
        <v>785</v>
      </c>
      <c r="J323" s="25">
        <v>46565</v>
      </c>
      <c r="K323" s="36">
        <v>3.2500000000000001E-2</v>
      </c>
      <c r="L323" s="23">
        <v>6.4999999999999997E-3</v>
      </c>
    </row>
    <row r="324" spans="1:12" ht="15.35" hidden="1" x14ac:dyDescent="0.55000000000000004">
      <c r="A324" s="20">
        <v>1396</v>
      </c>
      <c r="B324" s="2" t="s">
        <v>166</v>
      </c>
      <c r="C324" s="2" t="s">
        <v>167</v>
      </c>
      <c r="D324" s="20">
        <v>0</v>
      </c>
      <c r="E324" s="2" t="s">
        <v>63</v>
      </c>
      <c r="F324" s="2" t="s">
        <v>798</v>
      </c>
      <c r="G324" s="2" t="s">
        <v>1183</v>
      </c>
      <c r="H324" s="2" t="s">
        <v>1184</v>
      </c>
      <c r="I324" s="2" t="s">
        <v>785</v>
      </c>
      <c r="J324" s="25">
        <v>46931</v>
      </c>
      <c r="K324" s="36">
        <v>0.14699999999999999</v>
      </c>
      <c r="L324" s="23">
        <v>2.9399999999999999E-2</v>
      </c>
    </row>
    <row r="325" spans="1:12" ht="15.35" hidden="1" x14ac:dyDescent="0.55000000000000004">
      <c r="A325" s="20">
        <v>1384</v>
      </c>
      <c r="B325" s="2" t="s">
        <v>166</v>
      </c>
      <c r="C325" s="2" t="s">
        <v>167</v>
      </c>
      <c r="D325" s="20">
        <v>0</v>
      </c>
      <c r="E325" s="2" t="s">
        <v>63</v>
      </c>
      <c r="F325" s="2" t="s">
        <v>798</v>
      </c>
      <c r="G325" s="2" t="s">
        <v>1185</v>
      </c>
      <c r="H325" s="2" t="s">
        <v>804</v>
      </c>
      <c r="I325" s="2" t="s">
        <v>785</v>
      </c>
      <c r="J325" s="25">
        <v>46931</v>
      </c>
      <c r="K325" s="36">
        <v>0.16350000000000001</v>
      </c>
      <c r="L325" s="23">
        <v>3.27E-2</v>
      </c>
    </row>
    <row r="326" spans="1:12" ht="15.35" hidden="1" x14ac:dyDescent="0.55000000000000004">
      <c r="A326" s="20">
        <v>1382</v>
      </c>
      <c r="B326" s="2" t="s">
        <v>166</v>
      </c>
      <c r="C326" s="2" t="s">
        <v>167</v>
      </c>
      <c r="D326" s="20">
        <v>0</v>
      </c>
      <c r="E326" s="2" t="s">
        <v>63</v>
      </c>
      <c r="F326" s="2" t="s">
        <v>817</v>
      </c>
      <c r="G326" s="2" t="s">
        <v>1186</v>
      </c>
      <c r="H326" s="2" t="s">
        <v>852</v>
      </c>
      <c r="I326" s="2" t="s">
        <v>785</v>
      </c>
      <c r="J326" s="25">
        <v>46565</v>
      </c>
      <c r="K326" s="36">
        <v>0.1305</v>
      </c>
      <c r="L326" s="23">
        <v>2.6100000000000002E-2</v>
      </c>
    </row>
    <row r="327" spans="1:12" ht="15.35" hidden="1" x14ac:dyDescent="0.55000000000000004">
      <c r="A327" s="20">
        <v>1389</v>
      </c>
      <c r="B327" s="2" t="s">
        <v>166</v>
      </c>
      <c r="C327" s="2" t="s">
        <v>167</v>
      </c>
      <c r="D327" s="20">
        <v>0</v>
      </c>
      <c r="E327" s="2" t="s">
        <v>63</v>
      </c>
      <c r="F327" s="2" t="s">
        <v>811</v>
      </c>
      <c r="G327" s="2" t="s">
        <v>1187</v>
      </c>
      <c r="H327" s="2" t="s">
        <v>1187</v>
      </c>
      <c r="I327" s="2" t="s">
        <v>785</v>
      </c>
      <c r="J327" s="25">
        <v>46200</v>
      </c>
      <c r="K327" s="36">
        <v>9.8000000000000004E-2</v>
      </c>
      <c r="L327" s="23">
        <v>1.9599999999999999E-2</v>
      </c>
    </row>
    <row r="328" spans="1:12" ht="15.35" hidden="1" x14ac:dyDescent="0.55000000000000004">
      <c r="A328" s="20">
        <v>1397</v>
      </c>
      <c r="B328" s="2" t="s">
        <v>166</v>
      </c>
      <c r="C328" s="2" t="s">
        <v>167</v>
      </c>
      <c r="D328" s="20">
        <v>0</v>
      </c>
      <c r="E328" s="2" t="s">
        <v>63</v>
      </c>
      <c r="F328" s="2" t="s">
        <v>813</v>
      </c>
      <c r="G328" s="2" t="s">
        <v>1188</v>
      </c>
      <c r="H328" s="2" t="s">
        <v>1188</v>
      </c>
      <c r="I328" s="2" t="s">
        <v>785</v>
      </c>
      <c r="J328" s="25">
        <v>46200</v>
      </c>
      <c r="K328" s="36">
        <v>9.8000000000000004E-2</v>
      </c>
      <c r="L328" s="23">
        <v>1.9599999999999999E-2</v>
      </c>
    </row>
    <row r="329" spans="1:12" ht="15.35" hidden="1" x14ac:dyDescent="0.55000000000000004">
      <c r="A329" s="20">
        <v>1387</v>
      </c>
      <c r="B329" s="2" t="s">
        <v>166</v>
      </c>
      <c r="C329" s="2" t="s">
        <v>167</v>
      </c>
      <c r="D329" s="20">
        <v>0</v>
      </c>
      <c r="E329" s="2" t="s">
        <v>63</v>
      </c>
      <c r="F329" s="2" t="s">
        <v>789</v>
      </c>
      <c r="G329" s="2" t="s">
        <v>1189</v>
      </c>
      <c r="H329" s="2" t="s">
        <v>1190</v>
      </c>
      <c r="I329" s="2" t="s">
        <v>785</v>
      </c>
      <c r="J329" s="25">
        <v>46200</v>
      </c>
      <c r="K329" s="36">
        <v>9.8000000000000004E-2</v>
      </c>
      <c r="L329" s="23">
        <v>1.9599999999999999E-2</v>
      </c>
    </row>
    <row r="330" spans="1:12" ht="15.35" hidden="1" x14ac:dyDescent="0.55000000000000004">
      <c r="A330" s="20">
        <v>1386</v>
      </c>
      <c r="B330" s="2" t="s">
        <v>166</v>
      </c>
      <c r="C330" s="2" t="s">
        <v>167</v>
      </c>
      <c r="D330" s="20">
        <v>0</v>
      </c>
      <c r="E330" s="2" t="s">
        <v>63</v>
      </c>
      <c r="F330" s="2" t="s">
        <v>787</v>
      </c>
      <c r="G330" s="2" t="s">
        <v>1191</v>
      </c>
      <c r="H330" s="2" t="s">
        <v>1191</v>
      </c>
      <c r="I330" s="2" t="s">
        <v>785</v>
      </c>
      <c r="J330" s="25">
        <v>46931</v>
      </c>
      <c r="K330" s="36">
        <v>0.17974999999999999</v>
      </c>
      <c r="L330" s="23">
        <v>3.5950000000000003E-2</v>
      </c>
    </row>
    <row r="331" spans="1:12" ht="15.35" hidden="1" x14ac:dyDescent="0.55000000000000004">
      <c r="A331" s="20">
        <v>1383</v>
      </c>
      <c r="B331" s="2" t="s">
        <v>166</v>
      </c>
      <c r="C331" s="2" t="s">
        <v>167</v>
      </c>
      <c r="D331" s="20">
        <v>0</v>
      </c>
      <c r="E331" s="2" t="s">
        <v>63</v>
      </c>
      <c r="F331" s="2" t="s">
        <v>793</v>
      </c>
      <c r="G331" s="2" t="s">
        <v>1192</v>
      </c>
      <c r="H331" s="2" t="s">
        <v>928</v>
      </c>
      <c r="I331" s="2" t="s">
        <v>785</v>
      </c>
      <c r="J331" s="25">
        <v>46931</v>
      </c>
      <c r="K331" s="36">
        <v>0.14699999999999999</v>
      </c>
      <c r="L331" s="23">
        <v>2.9399999999999999E-2</v>
      </c>
    </row>
    <row r="332" spans="1:12" ht="15.35" hidden="1" x14ac:dyDescent="0.55000000000000004">
      <c r="A332" s="20">
        <v>1379</v>
      </c>
      <c r="B332" s="2" t="s">
        <v>166</v>
      </c>
      <c r="C332" s="2" t="s">
        <v>167</v>
      </c>
      <c r="D332" s="20">
        <v>0</v>
      </c>
      <c r="E332" s="2" t="s">
        <v>63</v>
      </c>
      <c r="F332" s="2" t="s">
        <v>807</v>
      </c>
      <c r="G332" s="2" t="s">
        <v>1193</v>
      </c>
      <c r="H332" s="2" t="s">
        <v>1193</v>
      </c>
      <c r="I332" s="2" t="s">
        <v>809</v>
      </c>
      <c r="J332" s="25">
        <v>47661</v>
      </c>
      <c r="K332" s="36">
        <v>1</v>
      </c>
      <c r="L332" s="23">
        <v>0.2</v>
      </c>
    </row>
    <row r="333" spans="1:12" ht="15.35" x14ac:dyDescent="0.55000000000000004">
      <c r="A333" s="20">
        <v>1393</v>
      </c>
      <c r="B333" s="2" t="s">
        <v>166</v>
      </c>
      <c r="C333" s="2" t="s">
        <v>167</v>
      </c>
      <c r="D333" s="20">
        <v>0</v>
      </c>
      <c r="E333" s="2" t="s">
        <v>63</v>
      </c>
      <c r="F333" s="2" t="s">
        <v>811</v>
      </c>
      <c r="G333" s="2" t="s">
        <v>1194</v>
      </c>
      <c r="I333" s="2" t="s">
        <v>785</v>
      </c>
      <c r="J333" s="25">
        <v>46565</v>
      </c>
      <c r="K333" s="36">
        <v>9.8000000000000004E-2</v>
      </c>
      <c r="L333" s="23">
        <v>1.9599999999999999E-2</v>
      </c>
    </row>
    <row r="334" spans="1:12" ht="15.35" hidden="1" x14ac:dyDescent="0.55000000000000004">
      <c r="A334" s="20">
        <v>1394</v>
      </c>
      <c r="B334" s="2" t="s">
        <v>166</v>
      </c>
      <c r="C334" s="2" t="s">
        <v>167</v>
      </c>
      <c r="D334" s="20">
        <v>0</v>
      </c>
      <c r="E334" s="2" t="s">
        <v>63</v>
      </c>
      <c r="F334" s="2" t="s">
        <v>798</v>
      </c>
      <c r="G334" s="2" t="s">
        <v>1195</v>
      </c>
      <c r="H334" s="2" t="s">
        <v>1196</v>
      </c>
      <c r="I334" s="2" t="s">
        <v>785</v>
      </c>
      <c r="J334" s="25">
        <v>46931</v>
      </c>
      <c r="K334" s="36">
        <v>0.14699999999999999</v>
      </c>
      <c r="L334" s="23">
        <v>2.9399999999999999E-2</v>
      </c>
    </row>
    <row r="335" spans="1:12" ht="15.35" hidden="1" x14ac:dyDescent="0.55000000000000004">
      <c r="A335" s="20">
        <v>1385</v>
      </c>
      <c r="B335" s="2" t="s">
        <v>166</v>
      </c>
      <c r="C335" s="2" t="s">
        <v>167</v>
      </c>
      <c r="D335" s="20">
        <v>0</v>
      </c>
      <c r="E335" s="2" t="s">
        <v>63</v>
      </c>
      <c r="F335" s="2" t="s">
        <v>787</v>
      </c>
      <c r="G335" s="2" t="s">
        <v>864</v>
      </c>
      <c r="H335" s="2" t="s">
        <v>864</v>
      </c>
      <c r="I335" s="2" t="s">
        <v>785</v>
      </c>
      <c r="J335" s="25">
        <v>46931</v>
      </c>
      <c r="K335" s="36">
        <v>0.17974999999999999</v>
      </c>
      <c r="L335" s="23">
        <v>3.5950000000000003E-2</v>
      </c>
    </row>
    <row r="336" spans="1:12" ht="15.35" hidden="1" x14ac:dyDescent="0.55000000000000004">
      <c r="A336" s="20">
        <v>1390</v>
      </c>
      <c r="B336" s="2" t="s">
        <v>166</v>
      </c>
      <c r="C336" s="2" t="s">
        <v>167</v>
      </c>
      <c r="D336" s="20">
        <v>0</v>
      </c>
      <c r="E336" s="2" t="s">
        <v>63</v>
      </c>
      <c r="F336" s="2" t="s">
        <v>787</v>
      </c>
      <c r="G336" s="2" t="s">
        <v>962</v>
      </c>
      <c r="H336" s="2" t="s">
        <v>962</v>
      </c>
      <c r="I336" s="2" t="s">
        <v>785</v>
      </c>
      <c r="J336" s="25">
        <v>46200</v>
      </c>
      <c r="K336" s="36">
        <v>9.8000000000000004E-2</v>
      </c>
      <c r="L336" s="23">
        <v>1.9599999999999999E-2</v>
      </c>
    </row>
    <row r="337" spans="1:12" ht="15.35" hidden="1" x14ac:dyDescent="0.55000000000000004">
      <c r="A337" s="20">
        <v>15334</v>
      </c>
      <c r="B337" s="2" t="s">
        <v>166</v>
      </c>
      <c r="C337" s="2" t="s">
        <v>167</v>
      </c>
      <c r="D337" s="20">
        <v>0</v>
      </c>
      <c r="E337" s="2" t="s">
        <v>838</v>
      </c>
      <c r="F337" s="2" t="s">
        <v>817</v>
      </c>
      <c r="G337" s="2" t="s">
        <v>1197</v>
      </c>
      <c r="H337" s="2" t="s">
        <v>1198</v>
      </c>
      <c r="J337" s="26"/>
      <c r="K337" s="36">
        <v>2.8832E-4</v>
      </c>
      <c r="L337" s="23">
        <v>5.766E-5</v>
      </c>
    </row>
    <row r="338" spans="1:12" ht="15.35" hidden="1" x14ac:dyDescent="0.55000000000000004">
      <c r="A338" s="20">
        <v>15400</v>
      </c>
      <c r="B338" s="2" t="s">
        <v>166</v>
      </c>
      <c r="C338" s="2" t="s">
        <v>167</v>
      </c>
      <c r="D338" s="20">
        <v>0</v>
      </c>
      <c r="E338" s="2" t="s">
        <v>838</v>
      </c>
      <c r="F338" s="2" t="s">
        <v>817</v>
      </c>
      <c r="G338" s="2" t="s">
        <v>1199</v>
      </c>
      <c r="H338" s="2" t="s">
        <v>1198</v>
      </c>
      <c r="J338" s="26"/>
      <c r="K338" s="36">
        <v>2.3826899999999998E-3</v>
      </c>
      <c r="L338" s="23">
        <v>4.7654000000000001E-4</v>
      </c>
    </row>
    <row r="339" spans="1:12" ht="15.35" hidden="1" x14ac:dyDescent="0.55000000000000004">
      <c r="A339" s="20">
        <v>14855</v>
      </c>
      <c r="B339" s="2" t="s">
        <v>166</v>
      </c>
      <c r="C339" s="2" t="s">
        <v>167</v>
      </c>
      <c r="D339" s="20">
        <v>0</v>
      </c>
      <c r="E339" s="2" t="s">
        <v>838</v>
      </c>
      <c r="F339" s="2" t="s">
        <v>848</v>
      </c>
      <c r="G339" s="2" t="s">
        <v>1004</v>
      </c>
      <c r="H339" s="2" t="s">
        <v>1004</v>
      </c>
      <c r="J339" s="26"/>
      <c r="K339" s="36">
        <v>1.1893400000000001E-3</v>
      </c>
      <c r="L339" s="23">
        <v>2.3787E-4</v>
      </c>
    </row>
    <row r="340" spans="1:12" ht="15.35" hidden="1" x14ac:dyDescent="0.55000000000000004">
      <c r="A340" s="20">
        <v>15260</v>
      </c>
      <c r="B340" s="2" t="s">
        <v>166</v>
      </c>
      <c r="C340" s="2" t="s">
        <v>167</v>
      </c>
      <c r="D340" s="20">
        <v>0</v>
      </c>
      <c r="E340" s="2" t="s">
        <v>838</v>
      </c>
      <c r="F340" s="2" t="s">
        <v>848</v>
      </c>
      <c r="G340" s="2" t="s">
        <v>1200</v>
      </c>
      <c r="H340" s="2" t="s">
        <v>1201</v>
      </c>
      <c r="J340" s="26"/>
      <c r="K340" s="36">
        <v>4.2047500000000002E-3</v>
      </c>
      <c r="L340" s="23">
        <v>8.4095000000000003E-4</v>
      </c>
    </row>
    <row r="341" spans="1:12" ht="15.35" hidden="1" x14ac:dyDescent="0.55000000000000004">
      <c r="A341" s="20">
        <v>15391</v>
      </c>
      <c r="B341" s="2" t="s">
        <v>166</v>
      </c>
      <c r="C341" s="2" t="s">
        <v>167</v>
      </c>
      <c r="D341" s="20">
        <v>0</v>
      </c>
      <c r="E341" s="2" t="s">
        <v>838</v>
      </c>
      <c r="F341" s="2" t="s">
        <v>848</v>
      </c>
      <c r="G341" s="2" t="s">
        <v>1202</v>
      </c>
      <c r="H341" s="2" t="s">
        <v>1203</v>
      </c>
      <c r="J341" s="26"/>
      <c r="K341" s="36">
        <v>4.2047500000000002E-3</v>
      </c>
      <c r="L341" s="23">
        <v>8.4095000000000003E-4</v>
      </c>
    </row>
    <row r="342" spans="1:12" ht="15.35" hidden="1" x14ac:dyDescent="0.55000000000000004">
      <c r="A342" s="20">
        <v>14856</v>
      </c>
      <c r="B342" s="2" t="s">
        <v>166</v>
      </c>
      <c r="C342" s="2" t="s">
        <v>167</v>
      </c>
      <c r="D342" s="20">
        <v>0</v>
      </c>
      <c r="E342" s="2" t="s">
        <v>838</v>
      </c>
      <c r="F342" s="2" t="s">
        <v>793</v>
      </c>
      <c r="G342" s="2" t="s">
        <v>900</v>
      </c>
      <c r="H342" s="2" t="s">
        <v>901</v>
      </c>
      <c r="J342" s="26"/>
      <c r="K342" s="36">
        <v>4.2047500000000002E-3</v>
      </c>
      <c r="L342" s="23">
        <v>8.4095000000000003E-4</v>
      </c>
    </row>
    <row r="343" spans="1:12" ht="15.35" hidden="1" x14ac:dyDescent="0.55000000000000004">
      <c r="A343" s="20">
        <v>14857</v>
      </c>
      <c r="B343" s="2" t="s">
        <v>166</v>
      </c>
      <c r="C343" s="2" t="s">
        <v>167</v>
      </c>
      <c r="D343" s="20">
        <v>0</v>
      </c>
      <c r="E343" s="2" t="s">
        <v>838</v>
      </c>
      <c r="F343" s="2" t="s">
        <v>793</v>
      </c>
      <c r="G343" s="2" t="s">
        <v>902</v>
      </c>
      <c r="H343" s="2" t="s">
        <v>901</v>
      </c>
      <c r="J343" s="26"/>
      <c r="K343" s="36">
        <v>4.2047500000000002E-3</v>
      </c>
      <c r="L343" s="23">
        <v>8.4095000000000003E-4</v>
      </c>
    </row>
    <row r="344" spans="1:12" ht="15.35" hidden="1" x14ac:dyDescent="0.55000000000000004">
      <c r="A344" s="20">
        <v>14858</v>
      </c>
      <c r="B344" s="2" t="s">
        <v>166</v>
      </c>
      <c r="C344" s="2" t="s">
        <v>167</v>
      </c>
      <c r="D344" s="20">
        <v>0</v>
      </c>
      <c r="E344" s="2" t="s">
        <v>838</v>
      </c>
      <c r="F344" s="2" t="s">
        <v>793</v>
      </c>
      <c r="G344" s="2" t="s">
        <v>1204</v>
      </c>
      <c r="H344" s="2" t="s">
        <v>901</v>
      </c>
      <c r="J344" s="26"/>
      <c r="K344" s="36">
        <v>4.0846199999999997E-3</v>
      </c>
      <c r="L344" s="23">
        <v>8.1691999999999995E-4</v>
      </c>
    </row>
    <row r="345" spans="1:12" ht="15.35" hidden="1" x14ac:dyDescent="0.55000000000000004">
      <c r="A345" s="20">
        <v>15341</v>
      </c>
      <c r="B345" s="2" t="s">
        <v>166</v>
      </c>
      <c r="C345" s="2" t="s">
        <v>167</v>
      </c>
      <c r="D345" s="20">
        <v>0</v>
      </c>
      <c r="E345" s="2" t="s">
        <v>838</v>
      </c>
      <c r="F345" s="2" t="s">
        <v>848</v>
      </c>
      <c r="G345" s="2" t="s">
        <v>1205</v>
      </c>
      <c r="H345" s="2" t="s">
        <v>1007</v>
      </c>
      <c r="J345" s="26"/>
      <c r="K345" s="36">
        <v>4.2047500000000002E-3</v>
      </c>
      <c r="L345" s="23">
        <v>8.4095000000000003E-4</v>
      </c>
    </row>
    <row r="346" spans="1:12" ht="15.35" hidden="1" x14ac:dyDescent="0.55000000000000004">
      <c r="A346" s="20">
        <v>14852</v>
      </c>
      <c r="B346" s="2" t="s">
        <v>166</v>
      </c>
      <c r="C346" s="2" t="s">
        <v>167</v>
      </c>
      <c r="D346" s="20">
        <v>0</v>
      </c>
      <c r="E346" s="2" t="s">
        <v>838</v>
      </c>
      <c r="F346" s="2" t="s">
        <v>793</v>
      </c>
      <c r="G346" s="2" t="s">
        <v>1206</v>
      </c>
      <c r="H346" s="2" t="s">
        <v>1207</v>
      </c>
      <c r="J346" s="26"/>
      <c r="K346" s="36">
        <v>6.0059999999999998E-5</v>
      </c>
      <c r="L346" s="23">
        <v>1.201E-5</v>
      </c>
    </row>
    <row r="347" spans="1:12" ht="15.35" hidden="1" x14ac:dyDescent="0.55000000000000004">
      <c r="A347" s="20">
        <v>15144</v>
      </c>
      <c r="B347" s="2" t="s">
        <v>166</v>
      </c>
      <c r="C347" s="2" t="s">
        <v>167</v>
      </c>
      <c r="D347" s="20">
        <v>0</v>
      </c>
      <c r="E347" s="2" t="s">
        <v>838</v>
      </c>
      <c r="F347" s="2" t="s">
        <v>793</v>
      </c>
      <c r="G347" s="2" t="s">
        <v>1208</v>
      </c>
      <c r="H347" s="2" t="s">
        <v>1207</v>
      </c>
      <c r="J347" s="26"/>
      <c r="K347" s="36">
        <v>4.0045E-4</v>
      </c>
      <c r="L347" s="23">
        <v>8.0090000000000001E-5</v>
      </c>
    </row>
    <row r="348" spans="1:12" ht="15.35" hidden="1" x14ac:dyDescent="0.55000000000000004">
      <c r="A348" s="20">
        <v>15148</v>
      </c>
      <c r="B348" s="2" t="s">
        <v>166</v>
      </c>
      <c r="C348" s="2" t="s">
        <v>167</v>
      </c>
      <c r="D348" s="20">
        <v>0</v>
      </c>
      <c r="E348" s="2" t="s">
        <v>838</v>
      </c>
      <c r="F348" s="2" t="s">
        <v>793</v>
      </c>
      <c r="G348" s="2" t="s">
        <v>1209</v>
      </c>
      <c r="H348" s="2" t="s">
        <v>1207</v>
      </c>
      <c r="J348" s="26"/>
      <c r="K348" s="36">
        <v>6.0066999999999998E-4</v>
      </c>
      <c r="L348" s="23">
        <v>1.2013E-4</v>
      </c>
    </row>
    <row r="349" spans="1:12" ht="15.35" hidden="1" x14ac:dyDescent="0.55000000000000004">
      <c r="A349" s="20">
        <v>15146</v>
      </c>
      <c r="B349" s="2" t="s">
        <v>166</v>
      </c>
      <c r="C349" s="2" t="s">
        <v>167</v>
      </c>
      <c r="D349" s="20">
        <v>0</v>
      </c>
      <c r="E349" s="2" t="s">
        <v>838</v>
      </c>
      <c r="F349" s="2" t="s">
        <v>793</v>
      </c>
      <c r="G349" s="2" t="s">
        <v>1210</v>
      </c>
      <c r="H349" s="2" t="s">
        <v>1207</v>
      </c>
      <c r="J349" s="26"/>
      <c r="K349" s="36">
        <v>6.0066999999999998E-4</v>
      </c>
      <c r="L349" s="23">
        <v>1.2013E-4</v>
      </c>
    </row>
    <row r="350" spans="1:12" ht="15.35" hidden="1" x14ac:dyDescent="0.55000000000000004">
      <c r="A350" s="20">
        <v>15133</v>
      </c>
      <c r="B350" s="2" t="s">
        <v>166</v>
      </c>
      <c r="C350" s="2" t="s">
        <v>167</v>
      </c>
      <c r="D350" s="20">
        <v>0</v>
      </c>
      <c r="E350" s="2" t="s">
        <v>838</v>
      </c>
      <c r="F350" s="2" t="s">
        <v>793</v>
      </c>
      <c r="G350" s="2" t="s">
        <v>1211</v>
      </c>
      <c r="H350" s="2" t="s">
        <v>1207</v>
      </c>
      <c r="J350" s="26"/>
      <c r="K350" s="36">
        <v>1.2013E-4</v>
      </c>
      <c r="L350" s="23">
        <v>2.4029999999999999E-5</v>
      </c>
    </row>
    <row r="351" spans="1:12" ht="15.35" hidden="1" x14ac:dyDescent="0.55000000000000004">
      <c r="A351" s="20">
        <v>15121</v>
      </c>
      <c r="B351" s="2" t="s">
        <v>166</v>
      </c>
      <c r="C351" s="2" t="s">
        <v>167</v>
      </c>
      <c r="D351" s="20">
        <v>0</v>
      </c>
      <c r="E351" s="2" t="s">
        <v>838</v>
      </c>
      <c r="F351" s="2" t="s">
        <v>793</v>
      </c>
      <c r="G351" s="2" t="s">
        <v>1212</v>
      </c>
      <c r="H351" s="2" t="s">
        <v>1207</v>
      </c>
      <c r="J351" s="26"/>
      <c r="K351" s="36">
        <v>1.2013E-4</v>
      </c>
      <c r="L351" s="23">
        <v>2.4029999999999999E-5</v>
      </c>
    </row>
    <row r="352" spans="1:12" ht="15.35" hidden="1" x14ac:dyDescent="0.55000000000000004">
      <c r="A352" s="20">
        <v>15028</v>
      </c>
      <c r="B352" s="2" t="s">
        <v>166</v>
      </c>
      <c r="C352" s="2" t="s">
        <v>167</v>
      </c>
      <c r="D352" s="20">
        <v>0</v>
      </c>
      <c r="E352" s="2" t="s">
        <v>838</v>
      </c>
      <c r="F352" s="2" t="s">
        <v>793</v>
      </c>
      <c r="G352" s="2" t="s">
        <v>1213</v>
      </c>
      <c r="H352" s="2" t="s">
        <v>1207</v>
      </c>
      <c r="J352" s="26"/>
      <c r="K352" s="36">
        <v>1.2013E-4</v>
      </c>
      <c r="L352" s="23">
        <v>2.4029999999999999E-5</v>
      </c>
    </row>
    <row r="353" spans="1:12" ht="15.35" hidden="1" x14ac:dyDescent="0.55000000000000004">
      <c r="A353" s="20">
        <v>15136</v>
      </c>
      <c r="B353" s="2" t="s">
        <v>166</v>
      </c>
      <c r="C353" s="2" t="s">
        <v>167</v>
      </c>
      <c r="D353" s="20">
        <v>0</v>
      </c>
      <c r="E353" s="2" t="s">
        <v>838</v>
      </c>
      <c r="F353" s="2" t="s">
        <v>793</v>
      </c>
      <c r="G353" s="2" t="s">
        <v>1214</v>
      </c>
      <c r="H353" s="2" t="s">
        <v>1207</v>
      </c>
      <c r="J353" s="26"/>
      <c r="K353" s="36">
        <v>1.2013499999999999E-3</v>
      </c>
      <c r="L353" s="23">
        <v>2.4027E-4</v>
      </c>
    </row>
    <row r="354" spans="1:12" ht="15.35" hidden="1" x14ac:dyDescent="0.55000000000000004">
      <c r="A354" s="20">
        <v>15139</v>
      </c>
      <c r="B354" s="2" t="s">
        <v>166</v>
      </c>
      <c r="C354" s="2" t="s">
        <v>167</v>
      </c>
      <c r="D354" s="20">
        <v>0</v>
      </c>
      <c r="E354" s="2" t="s">
        <v>838</v>
      </c>
      <c r="F354" s="2" t="s">
        <v>848</v>
      </c>
      <c r="G354" s="2" t="s">
        <v>1215</v>
      </c>
      <c r="H354" s="2" t="s">
        <v>1216</v>
      </c>
      <c r="J354" s="26"/>
      <c r="K354" s="36">
        <v>3.5640300000000001E-3</v>
      </c>
      <c r="L354" s="23">
        <v>7.1281000000000003E-4</v>
      </c>
    </row>
    <row r="355" spans="1:12" ht="15.35" hidden="1" x14ac:dyDescent="0.55000000000000004">
      <c r="A355" s="20">
        <v>15303</v>
      </c>
      <c r="B355" s="2" t="s">
        <v>166</v>
      </c>
      <c r="C355" s="2" t="s">
        <v>167</v>
      </c>
      <c r="D355" s="20">
        <v>0</v>
      </c>
      <c r="E355" s="2" t="s">
        <v>838</v>
      </c>
      <c r="F355" s="2" t="s">
        <v>793</v>
      </c>
      <c r="G355" s="2" t="s">
        <v>1217</v>
      </c>
      <c r="H355" s="2" t="s">
        <v>1218</v>
      </c>
      <c r="J355" s="26"/>
      <c r="K355" s="36">
        <v>4.2047500000000002E-3</v>
      </c>
      <c r="L355" s="23">
        <v>8.4095000000000003E-4</v>
      </c>
    </row>
    <row r="356" spans="1:12" ht="15.35" hidden="1" x14ac:dyDescent="0.55000000000000004">
      <c r="A356" s="20">
        <v>15019</v>
      </c>
      <c r="B356" s="2" t="s">
        <v>166</v>
      </c>
      <c r="C356" s="2" t="s">
        <v>167</v>
      </c>
      <c r="D356" s="20">
        <v>0</v>
      </c>
      <c r="E356" s="2" t="s">
        <v>838</v>
      </c>
      <c r="F356" s="2" t="s">
        <v>793</v>
      </c>
      <c r="G356" s="2" t="s">
        <v>1219</v>
      </c>
      <c r="H356" s="2" t="s">
        <v>1220</v>
      </c>
      <c r="J356" s="26"/>
      <c r="K356" s="36">
        <v>4.2047500000000002E-3</v>
      </c>
      <c r="L356" s="23">
        <v>8.4095000000000003E-4</v>
      </c>
    </row>
    <row r="357" spans="1:12" ht="15.35" hidden="1" x14ac:dyDescent="0.55000000000000004">
      <c r="A357" s="20">
        <v>15020</v>
      </c>
      <c r="B357" s="2" t="s">
        <v>166</v>
      </c>
      <c r="C357" s="2" t="s">
        <v>167</v>
      </c>
      <c r="D357" s="20">
        <v>0</v>
      </c>
      <c r="E357" s="2" t="s">
        <v>838</v>
      </c>
      <c r="F357" s="2" t="s">
        <v>793</v>
      </c>
      <c r="G357" s="2" t="s">
        <v>1221</v>
      </c>
      <c r="H357" s="2" t="s">
        <v>1220</v>
      </c>
      <c r="J357" s="26"/>
      <c r="K357" s="36">
        <v>4.2047500000000002E-3</v>
      </c>
      <c r="L357" s="23">
        <v>8.4095000000000003E-4</v>
      </c>
    </row>
    <row r="358" spans="1:12" ht="15.35" hidden="1" x14ac:dyDescent="0.55000000000000004">
      <c r="A358" s="20">
        <v>15021</v>
      </c>
      <c r="B358" s="2" t="s">
        <v>166</v>
      </c>
      <c r="C358" s="2" t="s">
        <v>167</v>
      </c>
      <c r="D358" s="20">
        <v>0</v>
      </c>
      <c r="E358" s="2" t="s">
        <v>838</v>
      </c>
      <c r="F358" s="2" t="s">
        <v>793</v>
      </c>
      <c r="G358" s="2" t="s">
        <v>1222</v>
      </c>
      <c r="H358" s="2" t="s">
        <v>1220</v>
      </c>
      <c r="J358" s="26"/>
      <c r="K358" s="36">
        <v>7.5684999999999999E-4</v>
      </c>
      <c r="L358" s="23">
        <v>1.5137000000000001E-4</v>
      </c>
    </row>
    <row r="359" spans="1:12" ht="15.35" hidden="1" x14ac:dyDescent="0.55000000000000004">
      <c r="A359" s="20">
        <v>15022</v>
      </c>
      <c r="B359" s="2" t="s">
        <v>166</v>
      </c>
      <c r="C359" s="2" t="s">
        <v>167</v>
      </c>
      <c r="D359" s="20">
        <v>0</v>
      </c>
      <c r="E359" s="2" t="s">
        <v>838</v>
      </c>
      <c r="F359" s="2" t="s">
        <v>793</v>
      </c>
      <c r="G359" s="2" t="s">
        <v>1223</v>
      </c>
      <c r="H359" s="2" t="s">
        <v>1220</v>
      </c>
      <c r="J359" s="26"/>
      <c r="K359" s="36">
        <v>4.6852999999999999E-4</v>
      </c>
      <c r="L359" s="23">
        <v>9.3709999999999996E-5</v>
      </c>
    </row>
    <row r="360" spans="1:12" ht="15.35" hidden="1" x14ac:dyDescent="0.55000000000000004">
      <c r="A360" s="20">
        <v>14827</v>
      </c>
      <c r="B360" s="2" t="s">
        <v>166</v>
      </c>
      <c r="C360" s="2" t="s">
        <v>167</v>
      </c>
      <c r="D360" s="20">
        <v>0</v>
      </c>
      <c r="E360" s="2" t="s">
        <v>838</v>
      </c>
      <c r="F360" s="2" t="s">
        <v>793</v>
      </c>
      <c r="G360" s="2" t="s">
        <v>1224</v>
      </c>
      <c r="H360" s="2" t="s">
        <v>788</v>
      </c>
      <c r="J360" s="26"/>
      <c r="K360" s="36">
        <v>7.4883999999999997E-4</v>
      </c>
      <c r="L360" s="23">
        <v>1.4977E-4</v>
      </c>
    </row>
    <row r="361" spans="1:12" ht="15.35" hidden="1" x14ac:dyDescent="0.55000000000000004">
      <c r="A361" s="20">
        <v>14829</v>
      </c>
      <c r="B361" s="2" t="s">
        <v>166</v>
      </c>
      <c r="C361" s="2" t="s">
        <v>167</v>
      </c>
      <c r="D361" s="20">
        <v>0</v>
      </c>
      <c r="E361" s="2" t="s">
        <v>838</v>
      </c>
      <c r="F361" s="2" t="s">
        <v>793</v>
      </c>
      <c r="G361" s="2" t="s">
        <v>1225</v>
      </c>
      <c r="H361" s="2" t="s">
        <v>1226</v>
      </c>
      <c r="J361" s="26"/>
      <c r="K361" s="36">
        <v>2.9632999999999998E-4</v>
      </c>
      <c r="L361" s="23">
        <v>5.927E-5</v>
      </c>
    </row>
    <row r="362" spans="1:12" ht="15.35" hidden="1" x14ac:dyDescent="0.55000000000000004">
      <c r="A362" s="20">
        <v>14830</v>
      </c>
      <c r="B362" s="2" t="s">
        <v>166</v>
      </c>
      <c r="C362" s="2" t="s">
        <v>167</v>
      </c>
      <c r="D362" s="20">
        <v>0</v>
      </c>
      <c r="E362" s="2" t="s">
        <v>838</v>
      </c>
      <c r="F362" s="2" t="s">
        <v>793</v>
      </c>
      <c r="G362" s="2" t="s">
        <v>1227</v>
      </c>
      <c r="H362" s="2" t="s">
        <v>1226</v>
      </c>
      <c r="J362" s="26"/>
      <c r="K362" s="36">
        <v>2.7230000000000001E-4</v>
      </c>
      <c r="L362" s="23">
        <v>5.4459999999999997E-5</v>
      </c>
    </row>
    <row r="363" spans="1:12" ht="15.35" hidden="1" x14ac:dyDescent="0.55000000000000004">
      <c r="A363" s="20">
        <v>14828</v>
      </c>
      <c r="B363" s="2" t="s">
        <v>166</v>
      </c>
      <c r="C363" s="2" t="s">
        <v>167</v>
      </c>
      <c r="D363" s="20">
        <v>0</v>
      </c>
      <c r="E363" s="2" t="s">
        <v>838</v>
      </c>
      <c r="F363" s="2" t="s">
        <v>793</v>
      </c>
      <c r="G363" s="2" t="s">
        <v>1228</v>
      </c>
      <c r="H363" s="2" t="s">
        <v>1226</v>
      </c>
      <c r="J363" s="26"/>
      <c r="K363" s="36">
        <v>3.6921699999999998E-3</v>
      </c>
      <c r="L363" s="23">
        <v>7.3842999999999999E-4</v>
      </c>
    </row>
    <row r="364" spans="1:12" ht="15.35" hidden="1" x14ac:dyDescent="0.55000000000000004">
      <c r="A364" s="20">
        <v>14826</v>
      </c>
      <c r="B364" s="2" t="s">
        <v>166</v>
      </c>
      <c r="C364" s="2" t="s">
        <v>167</v>
      </c>
      <c r="D364" s="20">
        <v>0</v>
      </c>
      <c r="E364" s="2" t="s">
        <v>838</v>
      </c>
      <c r="F364" s="2" t="s">
        <v>793</v>
      </c>
      <c r="G364" s="2" t="s">
        <v>1229</v>
      </c>
      <c r="H364" s="2" t="s">
        <v>788</v>
      </c>
      <c r="J364" s="26"/>
      <c r="K364" s="36">
        <v>9.2904999999999995E-4</v>
      </c>
      <c r="L364" s="23">
        <v>1.8581000000000001E-4</v>
      </c>
    </row>
    <row r="365" spans="1:12" ht="15.35" hidden="1" x14ac:dyDescent="0.55000000000000004">
      <c r="A365" s="20">
        <v>14842</v>
      </c>
      <c r="B365" s="2" t="s">
        <v>166</v>
      </c>
      <c r="C365" s="2" t="s">
        <v>167</v>
      </c>
      <c r="D365" s="20">
        <v>0</v>
      </c>
      <c r="E365" s="2" t="s">
        <v>838</v>
      </c>
      <c r="F365" s="2" t="s">
        <v>793</v>
      </c>
      <c r="G365" s="2" t="s">
        <v>1230</v>
      </c>
      <c r="H365" s="2" t="s">
        <v>1013</v>
      </c>
      <c r="J365" s="26"/>
      <c r="K365" s="36">
        <v>1.54174E-3</v>
      </c>
      <c r="L365" s="23">
        <v>3.0834999999999999E-4</v>
      </c>
    </row>
    <row r="366" spans="1:12" ht="15.35" hidden="1" x14ac:dyDescent="0.55000000000000004">
      <c r="A366" s="20">
        <v>14841</v>
      </c>
      <c r="B366" s="2" t="s">
        <v>166</v>
      </c>
      <c r="C366" s="2" t="s">
        <v>167</v>
      </c>
      <c r="D366" s="20">
        <v>0</v>
      </c>
      <c r="E366" s="2" t="s">
        <v>838</v>
      </c>
      <c r="F366" s="2" t="s">
        <v>793</v>
      </c>
      <c r="G366" s="2" t="s">
        <v>1231</v>
      </c>
      <c r="H366" s="2" t="s">
        <v>1013</v>
      </c>
      <c r="J366" s="26"/>
      <c r="K366" s="36">
        <v>7.8087999999999996E-4</v>
      </c>
      <c r="L366" s="23">
        <v>1.5618000000000001E-4</v>
      </c>
    </row>
    <row r="367" spans="1:12" ht="15.35" hidden="1" x14ac:dyDescent="0.55000000000000004">
      <c r="A367" s="20">
        <v>15383</v>
      </c>
      <c r="B367" s="2" t="s">
        <v>166</v>
      </c>
      <c r="C367" s="2" t="s">
        <v>167</v>
      </c>
      <c r="D367" s="20">
        <v>0</v>
      </c>
      <c r="E367" s="2" t="s">
        <v>838</v>
      </c>
      <c r="F367" s="2" t="s">
        <v>793</v>
      </c>
      <c r="G367" s="2" t="s">
        <v>1232</v>
      </c>
      <c r="H367" s="2" t="s">
        <v>1233</v>
      </c>
      <c r="J367" s="26"/>
      <c r="K367" s="36">
        <v>2.3626699999999999E-3</v>
      </c>
      <c r="L367" s="23">
        <v>4.7252999999999998E-4</v>
      </c>
    </row>
    <row r="368" spans="1:12" ht="15.35" hidden="1" x14ac:dyDescent="0.55000000000000004">
      <c r="A368" s="20">
        <v>15380</v>
      </c>
      <c r="B368" s="2" t="s">
        <v>166</v>
      </c>
      <c r="C368" s="2" t="s">
        <v>167</v>
      </c>
      <c r="D368" s="20">
        <v>0</v>
      </c>
      <c r="E368" s="2" t="s">
        <v>838</v>
      </c>
      <c r="F368" s="2" t="s">
        <v>789</v>
      </c>
      <c r="G368" s="2" t="s">
        <v>1234</v>
      </c>
      <c r="H368" s="2" t="s">
        <v>1015</v>
      </c>
      <c r="J368" s="26"/>
      <c r="K368" s="36">
        <v>4.2047500000000002E-3</v>
      </c>
      <c r="L368" s="23">
        <v>8.4095000000000003E-4</v>
      </c>
    </row>
    <row r="369" spans="1:12" ht="15.35" hidden="1" x14ac:dyDescent="0.55000000000000004">
      <c r="A369" s="20">
        <v>15376</v>
      </c>
      <c r="B369" s="2" t="s">
        <v>166</v>
      </c>
      <c r="C369" s="2" t="s">
        <v>167</v>
      </c>
      <c r="D369" s="20">
        <v>0</v>
      </c>
      <c r="E369" s="2" t="s">
        <v>838</v>
      </c>
      <c r="F369" s="2" t="s">
        <v>789</v>
      </c>
      <c r="G369" s="2" t="s">
        <v>1235</v>
      </c>
      <c r="H369" s="2" t="s">
        <v>1015</v>
      </c>
      <c r="J369" s="26"/>
      <c r="K369" s="36">
        <v>4.2047500000000002E-3</v>
      </c>
      <c r="L369" s="23">
        <v>8.4095000000000003E-4</v>
      </c>
    </row>
    <row r="370" spans="1:12" ht="15.35" hidden="1" x14ac:dyDescent="0.55000000000000004">
      <c r="A370" s="20">
        <v>15377</v>
      </c>
      <c r="B370" s="2" t="s">
        <v>166</v>
      </c>
      <c r="C370" s="2" t="s">
        <v>167</v>
      </c>
      <c r="D370" s="20">
        <v>0</v>
      </c>
      <c r="E370" s="2" t="s">
        <v>838</v>
      </c>
      <c r="F370" s="2" t="s">
        <v>789</v>
      </c>
      <c r="G370" s="2" t="s">
        <v>1236</v>
      </c>
      <c r="H370" s="2" t="s">
        <v>1021</v>
      </c>
      <c r="J370" s="26"/>
      <c r="K370" s="36">
        <v>4.2047500000000002E-3</v>
      </c>
      <c r="L370" s="23">
        <v>8.4095000000000003E-4</v>
      </c>
    </row>
    <row r="371" spans="1:12" ht="15.35" hidden="1" x14ac:dyDescent="0.55000000000000004">
      <c r="A371" s="20">
        <v>15378</v>
      </c>
      <c r="B371" s="2" t="s">
        <v>166</v>
      </c>
      <c r="C371" s="2" t="s">
        <v>167</v>
      </c>
      <c r="D371" s="20">
        <v>0</v>
      </c>
      <c r="E371" s="2" t="s">
        <v>838</v>
      </c>
      <c r="F371" s="2" t="s">
        <v>789</v>
      </c>
      <c r="G371" s="2" t="s">
        <v>1237</v>
      </c>
      <c r="H371" s="2" t="s">
        <v>1021</v>
      </c>
      <c r="J371" s="26"/>
      <c r="K371" s="36">
        <v>4.2047500000000002E-3</v>
      </c>
      <c r="L371" s="23">
        <v>8.4095000000000003E-4</v>
      </c>
    </row>
    <row r="372" spans="1:12" ht="15.35" hidden="1" x14ac:dyDescent="0.55000000000000004">
      <c r="A372" s="20">
        <v>15382</v>
      </c>
      <c r="B372" s="2" t="s">
        <v>166</v>
      </c>
      <c r="C372" s="2" t="s">
        <v>167</v>
      </c>
      <c r="D372" s="20">
        <v>0</v>
      </c>
      <c r="E372" s="2" t="s">
        <v>838</v>
      </c>
      <c r="F372" s="2" t="s">
        <v>789</v>
      </c>
      <c r="G372" s="2" t="s">
        <v>1238</v>
      </c>
      <c r="H372" s="2" t="s">
        <v>1021</v>
      </c>
      <c r="J372" s="26"/>
      <c r="K372" s="36">
        <v>4.2047500000000002E-3</v>
      </c>
      <c r="L372" s="23">
        <v>8.4095000000000003E-4</v>
      </c>
    </row>
    <row r="373" spans="1:12" ht="15.35" hidden="1" x14ac:dyDescent="0.55000000000000004">
      <c r="A373" s="20">
        <v>15375</v>
      </c>
      <c r="B373" s="2" t="s">
        <v>166</v>
      </c>
      <c r="C373" s="2" t="s">
        <v>167</v>
      </c>
      <c r="D373" s="20">
        <v>0</v>
      </c>
      <c r="E373" s="2" t="s">
        <v>838</v>
      </c>
      <c r="F373" s="2" t="s">
        <v>789</v>
      </c>
      <c r="G373" s="2" t="s">
        <v>1239</v>
      </c>
      <c r="H373" s="2" t="s">
        <v>1021</v>
      </c>
      <c r="J373" s="26"/>
      <c r="K373" s="36">
        <v>4.2047500000000002E-3</v>
      </c>
      <c r="L373" s="23">
        <v>8.4095000000000003E-4</v>
      </c>
    </row>
    <row r="374" spans="1:12" ht="15.35" hidden="1" x14ac:dyDescent="0.55000000000000004">
      <c r="A374" s="20">
        <v>15379</v>
      </c>
      <c r="B374" s="2" t="s">
        <v>166</v>
      </c>
      <c r="C374" s="2" t="s">
        <v>167</v>
      </c>
      <c r="D374" s="20">
        <v>0</v>
      </c>
      <c r="E374" s="2" t="s">
        <v>838</v>
      </c>
      <c r="F374" s="2" t="s">
        <v>789</v>
      </c>
      <c r="G374" s="2" t="s">
        <v>1240</v>
      </c>
      <c r="H374" s="2" t="s">
        <v>1241</v>
      </c>
      <c r="J374" s="26"/>
      <c r="K374" s="36">
        <v>2.3786900000000001E-3</v>
      </c>
      <c r="L374" s="23">
        <v>4.7574E-4</v>
      </c>
    </row>
    <row r="375" spans="1:12" ht="15.35" hidden="1" x14ac:dyDescent="0.55000000000000004">
      <c r="A375" s="20">
        <v>15374</v>
      </c>
      <c r="B375" s="2" t="s">
        <v>166</v>
      </c>
      <c r="C375" s="2" t="s">
        <v>167</v>
      </c>
      <c r="D375" s="20">
        <v>0</v>
      </c>
      <c r="E375" s="2" t="s">
        <v>838</v>
      </c>
      <c r="F375" s="2" t="s">
        <v>789</v>
      </c>
      <c r="G375" s="2" t="s">
        <v>1242</v>
      </c>
      <c r="H375" s="2" t="s">
        <v>840</v>
      </c>
      <c r="J375" s="26"/>
      <c r="K375" s="36">
        <v>4.2047500000000002E-3</v>
      </c>
      <c r="L375" s="23">
        <v>8.4095000000000003E-4</v>
      </c>
    </row>
    <row r="376" spans="1:12" ht="15.35" hidden="1" x14ac:dyDescent="0.55000000000000004">
      <c r="A376" s="20">
        <v>15367</v>
      </c>
      <c r="B376" s="2" t="s">
        <v>166</v>
      </c>
      <c r="C376" s="2" t="s">
        <v>167</v>
      </c>
      <c r="D376" s="20">
        <v>0</v>
      </c>
      <c r="E376" s="2" t="s">
        <v>838</v>
      </c>
      <c r="F376" s="2" t="s">
        <v>789</v>
      </c>
      <c r="G376" s="2" t="s">
        <v>839</v>
      </c>
      <c r="H376" s="2" t="s">
        <v>840</v>
      </c>
      <c r="J376" s="26"/>
      <c r="K376" s="36">
        <v>4.2047500000000002E-3</v>
      </c>
      <c r="L376" s="23">
        <v>8.4095000000000003E-4</v>
      </c>
    </row>
    <row r="377" spans="1:12" ht="15.35" hidden="1" x14ac:dyDescent="0.55000000000000004">
      <c r="A377" s="20">
        <v>15373</v>
      </c>
      <c r="B377" s="2" t="s">
        <v>166</v>
      </c>
      <c r="C377" s="2" t="s">
        <v>167</v>
      </c>
      <c r="D377" s="20">
        <v>0</v>
      </c>
      <c r="E377" s="2" t="s">
        <v>838</v>
      </c>
      <c r="F377" s="2" t="s">
        <v>789</v>
      </c>
      <c r="G377" s="2" t="s">
        <v>1025</v>
      </c>
      <c r="H377" s="2" t="s">
        <v>840</v>
      </c>
      <c r="J377" s="26"/>
      <c r="K377" s="36">
        <v>4.2047500000000002E-3</v>
      </c>
      <c r="L377" s="23">
        <v>8.4095000000000003E-4</v>
      </c>
    </row>
    <row r="378" spans="1:12" ht="15.35" hidden="1" x14ac:dyDescent="0.55000000000000004">
      <c r="A378" s="20">
        <v>15381</v>
      </c>
      <c r="B378" s="2" t="s">
        <v>166</v>
      </c>
      <c r="C378" s="2" t="s">
        <v>167</v>
      </c>
      <c r="D378" s="20">
        <v>0</v>
      </c>
      <c r="E378" s="2" t="s">
        <v>838</v>
      </c>
      <c r="F378" s="2" t="s">
        <v>789</v>
      </c>
      <c r="G378" s="2" t="s">
        <v>1243</v>
      </c>
      <c r="H378" s="2" t="s">
        <v>971</v>
      </c>
      <c r="J378" s="26"/>
      <c r="K378" s="36">
        <v>3.5680299999999998E-3</v>
      </c>
      <c r="L378" s="23">
        <v>7.1361000000000005E-4</v>
      </c>
    </row>
    <row r="379" spans="1:12" ht="15.35" hidden="1" x14ac:dyDescent="0.55000000000000004">
      <c r="A379" s="20">
        <v>15289</v>
      </c>
      <c r="B379" s="2" t="s">
        <v>166</v>
      </c>
      <c r="C379" s="2" t="s">
        <v>167</v>
      </c>
      <c r="D379" s="20">
        <v>0</v>
      </c>
      <c r="E379" s="2" t="s">
        <v>838</v>
      </c>
      <c r="F379" s="2" t="s">
        <v>789</v>
      </c>
      <c r="G379" s="2" t="s">
        <v>1244</v>
      </c>
      <c r="H379" s="2" t="s">
        <v>1245</v>
      </c>
      <c r="J379" s="26"/>
      <c r="K379" s="36">
        <v>4.2047500000000002E-3</v>
      </c>
      <c r="L379" s="23">
        <v>8.4095000000000003E-4</v>
      </c>
    </row>
    <row r="380" spans="1:12" ht="15.35" hidden="1" x14ac:dyDescent="0.55000000000000004">
      <c r="A380" s="20">
        <v>15290</v>
      </c>
      <c r="B380" s="2" t="s">
        <v>166</v>
      </c>
      <c r="C380" s="2" t="s">
        <v>167</v>
      </c>
      <c r="D380" s="20">
        <v>0</v>
      </c>
      <c r="E380" s="2" t="s">
        <v>838</v>
      </c>
      <c r="F380" s="2" t="s">
        <v>789</v>
      </c>
      <c r="G380" s="2" t="s">
        <v>1246</v>
      </c>
      <c r="H380" s="2" t="s">
        <v>1245</v>
      </c>
      <c r="J380" s="26"/>
      <c r="K380" s="36">
        <v>4.2047500000000002E-3</v>
      </c>
      <c r="L380" s="23">
        <v>8.4095000000000003E-4</v>
      </c>
    </row>
    <row r="381" spans="1:12" ht="15.35" hidden="1" x14ac:dyDescent="0.55000000000000004">
      <c r="A381" s="20">
        <v>15287</v>
      </c>
      <c r="B381" s="2" t="s">
        <v>166</v>
      </c>
      <c r="C381" s="2" t="s">
        <v>167</v>
      </c>
      <c r="D381" s="20">
        <v>0</v>
      </c>
      <c r="E381" s="2" t="s">
        <v>838</v>
      </c>
      <c r="F381" s="2" t="s">
        <v>789</v>
      </c>
      <c r="G381" s="2" t="s">
        <v>1247</v>
      </c>
      <c r="H381" s="2" t="s">
        <v>1245</v>
      </c>
      <c r="J381" s="26"/>
      <c r="K381" s="36">
        <v>4.2047500000000002E-3</v>
      </c>
      <c r="L381" s="23">
        <v>8.4095000000000003E-4</v>
      </c>
    </row>
    <row r="382" spans="1:12" ht="15.35" hidden="1" x14ac:dyDescent="0.55000000000000004">
      <c r="A382" s="20">
        <v>15288</v>
      </c>
      <c r="B382" s="2" t="s">
        <v>166</v>
      </c>
      <c r="C382" s="2" t="s">
        <v>167</v>
      </c>
      <c r="D382" s="20">
        <v>0</v>
      </c>
      <c r="E382" s="2" t="s">
        <v>838</v>
      </c>
      <c r="F382" s="2" t="s">
        <v>789</v>
      </c>
      <c r="G382" s="2" t="s">
        <v>1248</v>
      </c>
      <c r="H382" s="2" t="s">
        <v>1245</v>
      </c>
      <c r="J382" s="26"/>
      <c r="K382" s="36">
        <v>4.2047500000000002E-3</v>
      </c>
      <c r="L382" s="23">
        <v>8.4095000000000003E-4</v>
      </c>
    </row>
    <row r="383" spans="1:12" ht="15.35" hidden="1" x14ac:dyDescent="0.55000000000000004">
      <c r="A383" s="20">
        <v>15292</v>
      </c>
      <c r="B383" s="2" t="s">
        <v>166</v>
      </c>
      <c r="C383" s="2" t="s">
        <v>167</v>
      </c>
      <c r="D383" s="20">
        <v>0</v>
      </c>
      <c r="E383" s="2" t="s">
        <v>838</v>
      </c>
      <c r="F383" s="2" t="s">
        <v>783</v>
      </c>
      <c r="G383" s="2" t="s">
        <v>1249</v>
      </c>
      <c r="H383" s="2" t="s">
        <v>1250</v>
      </c>
      <c r="J383" s="26"/>
      <c r="K383" s="36">
        <v>4.2047500000000002E-3</v>
      </c>
      <c r="L383" s="23">
        <v>8.4095000000000003E-4</v>
      </c>
    </row>
    <row r="384" spans="1:12" ht="15.35" hidden="1" x14ac:dyDescent="0.55000000000000004">
      <c r="A384" s="20">
        <v>15286</v>
      </c>
      <c r="B384" s="2" t="s">
        <v>166</v>
      </c>
      <c r="C384" s="2" t="s">
        <v>167</v>
      </c>
      <c r="D384" s="20">
        <v>0</v>
      </c>
      <c r="E384" s="2" t="s">
        <v>838</v>
      </c>
      <c r="F384" s="2" t="s">
        <v>789</v>
      </c>
      <c r="G384" s="2" t="s">
        <v>1251</v>
      </c>
      <c r="H384" s="2" t="s">
        <v>1252</v>
      </c>
      <c r="J384" s="26"/>
      <c r="K384" s="36">
        <v>4.2047500000000002E-3</v>
      </c>
      <c r="L384" s="23">
        <v>8.4095000000000003E-4</v>
      </c>
    </row>
    <row r="385" spans="1:12" ht="15.35" hidden="1" x14ac:dyDescent="0.55000000000000004">
      <c r="A385" s="20">
        <v>14935</v>
      </c>
      <c r="B385" s="2" t="s">
        <v>166</v>
      </c>
      <c r="C385" s="2" t="s">
        <v>167</v>
      </c>
      <c r="D385" s="20">
        <v>0</v>
      </c>
      <c r="E385" s="2" t="s">
        <v>838</v>
      </c>
      <c r="F385" s="2" t="s">
        <v>807</v>
      </c>
      <c r="G385" s="2" t="s">
        <v>1253</v>
      </c>
      <c r="H385" s="2" t="s">
        <v>1254</v>
      </c>
      <c r="J385" s="26"/>
      <c r="K385" s="36">
        <v>1.80203E-3</v>
      </c>
      <c r="L385" s="23">
        <v>3.6040999999999997E-4</v>
      </c>
    </row>
    <row r="386" spans="1:12" ht="15.35" hidden="1" x14ac:dyDescent="0.55000000000000004">
      <c r="A386" s="20">
        <v>15355</v>
      </c>
      <c r="B386" s="2" t="s">
        <v>166</v>
      </c>
      <c r="C386" s="2" t="s">
        <v>167</v>
      </c>
      <c r="D386" s="20">
        <v>0</v>
      </c>
      <c r="E386" s="2" t="s">
        <v>838</v>
      </c>
      <c r="F386" s="2" t="s">
        <v>789</v>
      </c>
      <c r="G386" s="2" t="s">
        <v>1255</v>
      </c>
      <c r="H386" s="2" t="s">
        <v>1256</v>
      </c>
      <c r="J386" s="26"/>
      <c r="K386" s="36">
        <v>4.2047500000000002E-3</v>
      </c>
      <c r="L386" s="23">
        <v>8.4095000000000003E-4</v>
      </c>
    </row>
    <row r="387" spans="1:12" ht="15.35" hidden="1" x14ac:dyDescent="0.55000000000000004">
      <c r="A387" s="20">
        <v>15356</v>
      </c>
      <c r="B387" s="2" t="s">
        <v>166</v>
      </c>
      <c r="C387" s="2" t="s">
        <v>167</v>
      </c>
      <c r="D387" s="20">
        <v>0</v>
      </c>
      <c r="E387" s="2" t="s">
        <v>838</v>
      </c>
      <c r="F387" s="2" t="s">
        <v>789</v>
      </c>
      <c r="G387" s="2" t="s">
        <v>1257</v>
      </c>
      <c r="H387" s="2" t="s">
        <v>1256</v>
      </c>
      <c r="J387" s="26"/>
      <c r="K387" s="36">
        <v>2.8031699999999998E-3</v>
      </c>
      <c r="L387" s="23">
        <v>5.6063E-4</v>
      </c>
    </row>
    <row r="388" spans="1:12" ht="15.35" hidden="1" x14ac:dyDescent="0.55000000000000004">
      <c r="A388" s="20">
        <v>15357</v>
      </c>
      <c r="B388" s="2" t="s">
        <v>166</v>
      </c>
      <c r="C388" s="2" t="s">
        <v>167</v>
      </c>
      <c r="D388" s="20">
        <v>0</v>
      </c>
      <c r="E388" s="2" t="s">
        <v>838</v>
      </c>
      <c r="F388" s="2" t="s">
        <v>789</v>
      </c>
      <c r="G388" s="2" t="s">
        <v>1258</v>
      </c>
      <c r="H388" s="2" t="s">
        <v>1256</v>
      </c>
      <c r="J388" s="26"/>
      <c r="K388" s="36">
        <v>4.2047500000000002E-3</v>
      </c>
      <c r="L388" s="23">
        <v>8.4095000000000003E-4</v>
      </c>
    </row>
    <row r="389" spans="1:12" ht="15.35" hidden="1" x14ac:dyDescent="0.55000000000000004">
      <c r="A389" s="20">
        <v>15354</v>
      </c>
      <c r="B389" s="2" t="s">
        <v>166</v>
      </c>
      <c r="C389" s="2" t="s">
        <v>167</v>
      </c>
      <c r="D389" s="20">
        <v>0</v>
      </c>
      <c r="E389" s="2" t="s">
        <v>838</v>
      </c>
      <c r="F389" s="2" t="s">
        <v>789</v>
      </c>
      <c r="G389" s="2" t="s">
        <v>1259</v>
      </c>
      <c r="H389" s="2" t="s">
        <v>1256</v>
      </c>
      <c r="J389" s="26"/>
      <c r="K389" s="36">
        <v>4.2047500000000002E-3</v>
      </c>
      <c r="L389" s="23">
        <v>8.4095000000000003E-4</v>
      </c>
    </row>
    <row r="390" spans="1:12" ht="15.35" hidden="1" x14ac:dyDescent="0.55000000000000004">
      <c r="A390" s="20">
        <v>15352</v>
      </c>
      <c r="B390" s="2" t="s">
        <v>166</v>
      </c>
      <c r="C390" s="2" t="s">
        <v>167</v>
      </c>
      <c r="D390" s="20">
        <v>0</v>
      </c>
      <c r="E390" s="2" t="s">
        <v>838</v>
      </c>
      <c r="F390" s="2" t="s">
        <v>789</v>
      </c>
      <c r="G390" s="2" t="s">
        <v>1260</v>
      </c>
      <c r="H390" s="2" t="s">
        <v>1256</v>
      </c>
      <c r="J390" s="26"/>
      <c r="K390" s="36">
        <v>4.2047500000000002E-3</v>
      </c>
      <c r="L390" s="23">
        <v>8.4095000000000003E-4</v>
      </c>
    </row>
    <row r="391" spans="1:12" ht="15.35" hidden="1" x14ac:dyDescent="0.55000000000000004">
      <c r="A391" s="20">
        <v>15353</v>
      </c>
      <c r="B391" s="2" t="s">
        <v>166</v>
      </c>
      <c r="C391" s="2" t="s">
        <v>167</v>
      </c>
      <c r="D391" s="20">
        <v>0</v>
      </c>
      <c r="E391" s="2" t="s">
        <v>838</v>
      </c>
      <c r="F391" s="2" t="s">
        <v>789</v>
      </c>
      <c r="G391" s="2" t="s">
        <v>1261</v>
      </c>
      <c r="H391" s="2" t="s">
        <v>1256</v>
      </c>
      <c r="J391" s="26"/>
      <c r="K391" s="36">
        <v>2.8031699999999998E-3</v>
      </c>
      <c r="L391" s="23">
        <v>5.6063E-4</v>
      </c>
    </row>
    <row r="392" spans="1:12" ht="15.35" hidden="1" x14ac:dyDescent="0.55000000000000004">
      <c r="A392" s="20">
        <v>15360</v>
      </c>
      <c r="B392" s="2" t="s">
        <v>166</v>
      </c>
      <c r="C392" s="2" t="s">
        <v>167</v>
      </c>
      <c r="D392" s="20">
        <v>0</v>
      </c>
      <c r="E392" s="2" t="s">
        <v>838</v>
      </c>
      <c r="F392" s="2" t="s">
        <v>789</v>
      </c>
      <c r="G392" s="2" t="s">
        <v>1262</v>
      </c>
      <c r="H392" s="2" t="s">
        <v>1256</v>
      </c>
      <c r="J392" s="26"/>
      <c r="K392" s="36">
        <v>4.2047500000000002E-3</v>
      </c>
      <c r="L392" s="23">
        <v>8.4095000000000003E-4</v>
      </c>
    </row>
    <row r="393" spans="1:12" ht="15.35" hidden="1" x14ac:dyDescent="0.55000000000000004">
      <c r="A393" s="20">
        <v>15361</v>
      </c>
      <c r="B393" s="2" t="s">
        <v>166</v>
      </c>
      <c r="C393" s="2" t="s">
        <v>167</v>
      </c>
      <c r="D393" s="20">
        <v>0</v>
      </c>
      <c r="E393" s="2" t="s">
        <v>838</v>
      </c>
      <c r="F393" s="2" t="s">
        <v>833</v>
      </c>
      <c r="G393" s="2" t="s">
        <v>1263</v>
      </c>
      <c r="H393" s="2" t="s">
        <v>1256</v>
      </c>
      <c r="J393" s="26"/>
      <c r="K393" s="36">
        <v>2.8031699999999998E-3</v>
      </c>
      <c r="L393" s="23">
        <v>5.6063E-4</v>
      </c>
    </row>
    <row r="394" spans="1:12" ht="15.35" hidden="1" x14ac:dyDescent="0.55000000000000004">
      <c r="A394" s="20">
        <v>15359</v>
      </c>
      <c r="B394" s="2" t="s">
        <v>166</v>
      </c>
      <c r="C394" s="2" t="s">
        <v>167</v>
      </c>
      <c r="D394" s="20">
        <v>0</v>
      </c>
      <c r="E394" s="2" t="s">
        <v>838</v>
      </c>
      <c r="F394" s="2" t="s">
        <v>793</v>
      </c>
      <c r="G394" s="2" t="s">
        <v>1264</v>
      </c>
      <c r="H394" s="2" t="s">
        <v>1265</v>
      </c>
      <c r="J394" s="26"/>
      <c r="K394" s="36">
        <v>2.3786900000000001E-3</v>
      </c>
      <c r="L394" s="23">
        <v>4.7574E-4</v>
      </c>
    </row>
    <row r="395" spans="1:12" ht="15.35" hidden="1" x14ac:dyDescent="0.55000000000000004">
      <c r="A395" s="20">
        <v>15358</v>
      </c>
      <c r="B395" s="2" t="s">
        <v>166</v>
      </c>
      <c r="C395" s="2" t="s">
        <v>167</v>
      </c>
      <c r="D395" s="20">
        <v>0</v>
      </c>
      <c r="E395" s="2" t="s">
        <v>838</v>
      </c>
      <c r="F395" s="2" t="s">
        <v>793</v>
      </c>
      <c r="G395" s="2" t="s">
        <v>1266</v>
      </c>
      <c r="H395" s="2" t="s">
        <v>1265</v>
      </c>
      <c r="J395" s="26"/>
      <c r="K395" s="36">
        <v>7.6086000000000003E-4</v>
      </c>
      <c r="L395" s="23">
        <v>1.5217E-4</v>
      </c>
    </row>
    <row r="396" spans="1:12" ht="15.35" hidden="1" x14ac:dyDescent="0.55000000000000004">
      <c r="A396" s="20">
        <v>14931</v>
      </c>
      <c r="B396" s="2" t="s">
        <v>166</v>
      </c>
      <c r="C396" s="2" t="s">
        <v>167</v>
      </c>
      <c r="D396" s="20">
        <v>0</v>
      </c>
      <c r="E396" s="2" t="s">
        <v>838</v>
      </c>
      <c r="F396" s="2" t="s">
        <v>789</v>
      </c>
      <c r="G396" s="2" t="s">
        <v>1267</v>
      </c>
      <c r="H396" s="2" t="s">
        <v>1029</v>
      </c>
      <c r="J396" s="26"/>
      <c r="K396" s="36">
        <v>4.0040000000000003E-5</v>
      </c>
      <c r="L396" s="23">
        <v>8.0099999999999995E-6</v>
      </c>
    </row>
    <row r="397" spans="1:12" ht="15.35" hidden="1" x14ac:dyDescent="0.55000000000000004">
      <c r="A397" s="20">
        <v>14910</v>
      </c>
      <c r="B397" s="2" t="s">
        <v>166</v>
      </c>
      <c r="C397" s="2" t="s">
        <v>167</v>
      </c>
      <c r="D397" s="20">
        <v>0</v>
      </c>
      <c r="E397" s="2" t="s">
        <v>838</v>
      </c>
      <c r="F397" s="2" t="s">
        <v>789</v>
      </c>
      <c r="G397" s="2" t="s">
        <v>1268</v>
      </c>
      <c r="H397" s="2" t="s">
        <v>1029</v>
      </c>
      <c r="J397" s="26"/>
      <c r="K397" s="36">
        <v>4.2047500000000002E-3</v>
      </c>
      <c r="L397" s="23">
        <v>8.4095000000000003E-4</v>
      </c>
    </row>
    <row r="398" spans="1:12" ht="15.35" hidden="1" x14ac:dyDescent="0.55000000000000004">
      <c r="A398" s="20">
        <v>15155</v>
      </c>
      <c r="B398" s="2" t="s">
        <v>166</v>
      </c>
      <c r="C398" s="2" t="s">
        <v>167</v>
      </c>
      <c r="D398" s="20">
        <v>0</v>
      </c>
      <c r="E398" s="2" t="s">
        <v>838</v>
      </c>
      <c r="F398" s="2" t="s">
        <v>848</v>
      </c>
      <c r="G398" s="2" t="s">
        <v>1269</v>
      </c>
      <c r="H398" s="2" t="s">
        <v>1270</v>
      </c>
      <c r="J398" s="26"/>
      <c r="K398" s="36">
        <v>4.2047500000000002E-3</v>
      </c>
      <c r="L398" s="23">
        <v>8.4095000000000003E-4</v>
      </c>
    </row>
    <row r="399" spans="1:12" ht="15.35" hidden="1" x14ac:dyDescent="0.55000000000000004">
      <c r="A399" s="20">
        <v>15226</v>
      </c>
      <c r="B399" s="2" t="s">
        <v>166</v>
      </c>
      <c r="C399" s="2" t="s">
        <v>167</v>
      </c>
      <c r="D399" s="20">
        <v>0</v>
      </c>
      <c r="E399" s="2" t="s">
        <v>838</v>
      </c>
      <c r="F399" s="2" t="s">
        <v>817</v>
      </c>
      <c r="G399" s="2" t="s">
        <v>1271</v>
      </c>
      <c r="H399" s="2" t="s">
        <v>1031</v>
      </c>
      <c r="J399" s="26"/>
      <c r="K399" s="36">
        <v>3.2436600000000002E-3</v>
      </c>
      <c r="L399" s="23">
        <v>6.4873000000000003E-4</v>
      </c>
    </row>
    <row r="400" spans="1:12" ht="15.35" hidden="1" x14ac:dyDescent="0.55000000000000004">
      <c r="A400" s="20">
        <v>15225</v>
      </c>
      <c r="B400" s="2" t="s">
        <v>166</v>
      </c>
      <c r="C400" s="2" t="s">
        <v>167</v>
      </c>
      <c r="D400" s="20">
        <v>0</v>
      </c>
      <c r="E400" s="2" t="s">
        <v>838</v>
      </c>
      <c r="F400" s="2" t="s">
        <v>817</v>
      </c>
      <c r="G400" s="2" t="s">
        <v>1272</v>
      </c>
      <c r="H400" s="2" t="s">
        <v>1031</v>
      </c>
      <c r="J400" s="26"/>
      <c r="K400" s="36">
        <v>2.4027E-4</v>
      </c>
      <c r="L400" s="23">
        <v>4.8050000000000002E-5</v>
      </c>
    </row>
    <row r="401" spans="1:12" ht="15.35" hidden="1" x14ac:dyDescent="0.55000000000000004">
      <c r="A401" s="20">
        <v>15141</v>
      </c>
      <c r="B401" s="2" t="s">
        <v>166</v>
      </c>
      <c r="C401" s="2" t="s">
        <v>167</v>
      </c>
      <c r="D401" s="20">
        <v>0</v>
      </c>
      <c r="E401" s="2" t="s">
        <v>838</v>
      </c>
      <c r="F401" s="2" t="s">
        <v>817</v>
      </c>
      <c r="G401" s="2" t="s">
        <v>1273</v>
      </c>
      <c r="H401" s="2" t="s">
        <v>1031</v>
      </c>
      <c r="J401" s="26"/>
      <c r="K401" s="36">
        <v>2.56289E-3</v>
      </c>
      <c r="L401" s="23">
        <v>5.1258E-4</v>
      </c>
    </row>
    <row r="402" spans="1:12" ht="15.35" hidden="1" x14ac:dyDescent="0.55000000000000004">
      <c r="A402" s="20">
        <v>15159</v>
      </c>
      <c r="B402" s="2" t="s">
        <v>166</v>
      </c>
      <c r="C402" s="2" t="s">
        <v>167</v>
      </c>
      <c r="D402" s="20">
        <v>0</v>
      </c>
      <c r="E402" s="2" t="s">
        <v>838</v>
      </c>
      <c r="F402" s="2" t="s">
        <v>817</v>
      </c>
      <c r="G402" s="2" t="s">
        <v>1274</v>
      </c>
      <c r="H402" s="2" t="s">
        <v>1031</v>
      </c>
      <c r="J402" s="26"/>
      <c r="K402" s="36">
        <v>1.8420800000000001E-3</v>
      </c>
      <c r="L402" s="23">
        <v>3.6842E-4</v>
      </c>
    </row>
    <row r="403" spans="1:12" ht="15.35" hidden="1" x14ac:dyDescent="0.55000000000000004">
      <c r="A403" s="20">
        <v>15224</v>
      </c>
      <c r="B403" s="2" t="s">
        <v>166</v>
      </c>
      <c r="C403" s="2" t="s">
        <v>167</v>
      </c>
      <c r="D403" s="20">
        <v>0</v>
      </c>
      <c r="E403" s="2" t="s">
        <v>838</v>
      </c>
      <c r="F403" s="2" t="s">
        <v>793</v>
      </c>
      <c r="G403" s="2" t="s">
        <v>1275</v>
      </c>
      <c r="H403" s="2" t="s">
        <v>1276</v>
      </c>
      <c r="J403" s="26"/>
      <c r="K403" s="36">
        <v>1.1893400000000001E-3</v>
      </c>
      <c r="L403" s="23">
        <v>2.3787E-4</v>
      </c>
    </row>
    <row r="404" spans="1:12" ht="15.35" hidden="1" x14ac:dyDescent="0.55000000000000004">
      <c r="A404" s="20">
        <v>15315</v>
      </c>
      <c r="B404" s="2" t="s">
        <v>166</v>
      </c>
      <c r="C404" s="2" t="s">
        <v>167</v>
      </c>
      <c r="D404" s="20">
        <v>0</v>
      </c>
      <c r="E404" s="2" t="s">
        <v>838</v>
      </c>
      <c r="F404" s="2" t="s">
        <v>848</v>
      </c>
      <c r="G404" s="2" t="s">
        <v>1277</v>
      </c>
      <c r="H404" s="2" t="s">
        <v>1278</v>
      </c>
      <c r="J404" s="26"/>
      <c r="K404" s="36">
        <v>4.2047500000000002E-3</v>
      </c>
      <c r="L404" s="23">
        <v>8.4095000000000003E-4</v>
      </c>
    </row>
    <row r="405" spans="1:12" ht="15.35" hidden="1" x14ac:dyDescent="0.55000000000000004">
      <c r="A405" s="20">
        <v>15265</v>
      </c>
      <c r="B405" s="2" t="s">
        <v>166</v>
      </c>
      <c r="C405" s="2" t="s">
        <v>167</v>
      </c>
      <c r="D405" s="20">
        <v>0</v>
      </c>
      <c r="E405" s="2" t="s">
        <v>838</v>
      </c>
      <c r="F405" s="2" t="s">
        <v>789</v>
      </c>
      <c r="G405" s="2" t="s">
        <v>1033</v>
      </c>
      <c r="H405" s="2" t="s">
        <v>1033</v>
      </c>
      <c r="J405" s="26"/>
      <c r="K405" s="36">
        <v>4.2047500000000002E-3</v>
      </c>
      <c r="L405" s="23">
        <v>8.4095000000000003E-4</v>
      </c>
    </row>
    <row r="406" spans="1:12" ht="15.35" hidden="1" x14ac:dyDescent="0.55000000000000004">
      <c r="A406" s="20">
        <v>15269</v>
      </c>
      <c r="B406" s="2" t="s">
        <v>166</v>
      </c>
      <c r="C406" s="2" t="s">
        <v>167</v>
      </c>
      <c r="D406" s="20">
        <v>0</v>
      </c>
      <c r="E406" s="2" t="s">
        <v>838</v>
      </c>
      <c r="F406" s="2" t="s">
        <v>789</v>
      </c>
      <c r="G406" s="2" t="s">
        <v>1279</v>
      </c>
      <c r="H406" s="2" t="s">
        <v>1033</v>
      </c>
      <c r="J406" s="26"/>
      <c r="K406" s="36">
        <v>4.2047500000000002E-3</v>
      </c>
      <c r="L406" s="23">
        <v>8.4095000000000003E-4</v>
      </c>
    </row>
    <row r="407" spans="1:12" ht="15.35" hidden="1" x14ac:dyDescent="0.55000000000000004">
      <c r="A407" s="20">
        <v>15267</v>
      </c>
      <c r="B407" s="2" t="s">
        <v>166</v>
      </c>
      <c r="C407" s="2" t="s">
        <v>167</v>
      </c>
      <c r="D407" s="20">
        <v>0</v>
      </c>
      <c r="E407" s="2" t="s">
        <v>838</v>
      </c>
      <c r="F407" s="2" t="s">
        <v>789</v>
      </c>
      <c r="G407" s="2" t="s">
        <v>1280</v>
      </c>
      <c r="H407" s="2" t="s">
        <v>1033</v>
      </c>
      <c r="J407" s="26"/>
      <c r="K407" s="36">
        <v>4.2047500000000002E-3</v>
      </c>
      <c r="L407" s="23">
        <v>8.4095000000000003E-4</v>
      </c>
    </row>
    <row r="408" spans="1:12" ht="15.35" hidden="1" x14ac:dyDescent="0.55000000000000004">
      <c r="A408" s="20">
        <v>15268</v>
      </c>
      <c r="B408" s="2" t="s">
        <v>166</v>
      </c>
      <c r="C408" s="2" t="s">
        <v>167</v>
      </c>
      <c r="D408" s="20">
        <v>0</v>
      </c>
      <c r="E408" s="2" t="s">
        <v>838</v>
      </c>
      <c r="F408" s="2" t="s">
        <v>789</v>
      </c>
      <c r="G408" s="2" t="s">
        <v>1281</v>
      </c>
      <c r="H408" s="2" t="s">
        <v>1033</v>
      </c>
      <c r="J408" s="26"/>
      <c r="K408" s="36">
        <v>4.2047500000000002E-3</v>
      </c>
      <c r="L408" s="23">
        <v>8.4095000000000003E-4</v>
      </c>
    </row>
    <row r="409" spans="1:12" ht="15.35" hidden="1" x14ac:dyDescent="0.55000000000000004">
      <c r="A409" s="20">
        <v>15266</v>
      </c>
      <c r="B409" s="2" t="s">
        <v>166</v>
      </c>
      <c r="C409" s="2" t="s">
        <v>167</v>
      </c>
      <c r="D409" s="20">
        <v>0</v>
      </c>
      <c r="E409" s="2" t="s">
        <v>838</v>
      </c>
      <c r="F409" s="2" t="s">
        <v>789</v>
      </c>
      <c r="G409" s="2" t="s">
        <v>1282</v>
      </c>
      <c r="H409" s="2" t="s">
        <v>1033</v>
      </c>
      <c r="J409" s="26"/>
      <c r="K409" s="36">
        <v>4.2047500000000002E-3</v>
      </c>
      <c r="L409" s="23">
        <v>8.4095000000000003E-4</v>
      </c>
    </row>
    <row r="410" spans="1:12" ht="15.35" hidden="1" x14ac:dyDescent="0.55000000000000004">
      <c r="A410" s="20">
        <v>15272</v>
      </c>
      <c r="B410" s="2" t="s">
        <v>166</v>
      </c>
      <c r="C410" s="2" t="s">
        <v>167</v>
      </c>
      <c r="D410" s="20">
        <v>0</v>
      </c>
      <c r="E410" s="2" t="s">
        <v>838</v>
      </c>
      <c r="F410" s="2" t="s">
        <v>817</v>
      </c>
      <c r="G410" s="2" t="s">
        <v>1283</v>
      </c>
      <c r="H410" s="2" t="s">
        <v>1284</v>
      </c>
      <c r="J410" s="26"/>
      <c r="K410" s="36">
        <v>4.2047500000000002E-3</v>
      </c>
      <c r="L410" s="23">
        <v>8.4095000000000003E-4</v>
      </c>
    </row>
    <row r="411" spans="1:12" ht="15.35" hidden="1" x14ac:dyDescent="0.55000000000000004">
      <c r="A411" s="20">
        <v>15271</v>
      </c>
      <c r="B411" s="2" t="s">
        <v>166</v>
      </c>
      <c r="C411" s="2" t="s">
        <v>167</v>
      </c>
      <c r="D411" s="20">
        <v>0</v>
      </c>
      <c r="E411" s="2" t="s">
        <v>838</v>
      </c>
      <c r="F411" s="2" t="s">
        <v>817</v>
      </c>
      <c r="G411" s="2" t="s">
        <v>1285</v>
      </c>
      <c r="H411" s="2" t="s">
        <v>1284</v>
      </c>
      <c r="J411" s="26"/>
      <c r="K411" s="36">
        <v>2.6029400000000002E-3</v>
      </c>
      <c r="L411" s="23">
        <v>5.2059000000000003E-4</v>
      </c>
    </row>
    <row r="412" spans="1:12" ht="15.35" hidden="1" x14ac:dyDescent="0.55000000000000004">
      <c r="A412" s="20">
        <v>15363</v>
      </c>
      <c r="B412" s="2" t="s">
        <v>166</v>
      </c>
      <c r="C412" s="2" t="s">
        <v>167</v>
      </c>
      <c r="D412" s="20">
        <v>0</v>
      </c>
      <c r="E412" s="2" t="s">
        <v>838</v>
      </c>
      <c r="F412" s="2" t="s">
        <v>848</v>
      </c>
      <c r="G412" s="2" t="s">
        <v>905</v>
      </c>
      <c r="H412" s="2" t="s">
        <v>906</v>
      </c>
      <c r="J412" s="26"/>
      <c r="K412" s="36">
        <v>4.2047500000000002E-3</v>
      </c>
      <c r="L412" s="23">
        <v>8.4095000000000003E-4</v>
      </c>
    </row>
    <row r="413" spans="1:12" ht="15.35" hidden="1" x14ac:dyDescent="0.55000000000000004">
      <c r="A413" s="20">
        <v>15387</v>
      </c>
      <c r="B413" s="2" t="s">
        <v>166</v>
      </c>
      <c r="C413" s="2" t="s">
        <v>167</v>
      </c>
      <c r="D413" s="20">
        <v>0</v>
      </c>
      <c r="E413" s="2" t="s">
        <v>838</v>
      </c>
      <c r="F413" s="2" t="s">
        <v>793</v>
      </c>
      <c r="G413" s="2" t="s">
        <v>1286</v>
      </c>
      <c r="H413" s="2" t="s">
        <v>842</v>
      </c>
      <c r="J413" s="26"/>
      <c r="K413" s="36">
        <v>4.2047500000000002E-3</v>
      </c>
      <c r="L413" s="23">
        <v>8.4095000000000003E-4</v>
      </c>
    </row>
    <row r="414" spans="1:12" ht="15.35" hidden="1" x14ac:dyDescent="0.55000000000000004">
      <c r="A414" s="20">
        <v>15393</v>
      </c>
      <c r="B414" s="2" t="s">
        <v>166</v>
      </c>
      <c r="C414" s="2" t="s">
        <v>167</v>
      </c>
      <c r="D414" s="20">
        <v>0</v>
      </c>
      <c r="E414" s="2" t="s">
        <v>838</v>
      </c>
      <c r="F414" s="2" t="s">
        <v>793</v>
      </c>
      <c r="G414" s="2" t="s">
        <v>843</v>
      </c>
      <c r="H414" s="2" t="s">
        <v>842</v>
      </c>
      <c r="J414" s="26"/>
      <c r="K414" s="36">
        <v>4.2047500000000002E-3</v>
      </c>
      <c r="L414" s="23">
        <v>8.4095000000000003E-4</v>
      </c>
    </row>
    <row r="415" spans="1:12" ht="15.35" hidden="1" x14ac:dyDescent="0.55000000000000004">
      <c r="A415" s="20">
        <v>15234</v>
      </c>
      <c r="B415" s="2" t="s">
        <v>166</v>
      </c>
      <c r="C415" s="2" t="s">
        <v>167</v>
      </c>
      <c r="D415" s="20">
        <v>0</v>
      </c>
      <c r="E415" s="2" t="s">
        <v>838</v>
      </c>
      <c r="F415" s="2" t="s">
        <v>783</v>
      </c>
      <c r="G415" s="2" t="s">
        <v>1287</v>
      </c>
      <c r="H415" s="2" t="s">
        <v>1044</v>
      </c>
      <c r="J415" s="26"/>
      <c r="K415" s="36">
        <v>5.9267E-4</v>
      </c>
      <c r="L415" s="23">
        <v>1.1853000000000001E-4</v>
      </c>
    </row>
    <row r="416" spans="1:12" ht="15.35" hidden="1" x14ac:dyDescent="0.55000000000000004">
      <c r="A416" s="20">
        <v>15227</v>
      </c>
      <c r="B416" s="2" t="s">
        <v>166</v>
      </c>
      <c r="C416" s="2" t="s">
        <v>167</v>
      </c>
      <c r="D416" s="20">
        <v>0</v>
      </c>
      <c r="E416" s="2" t="s">
        <v>838</v>
      </c>
      <c r="F416" s="2" t="s">
        <v>811</v>
      </c>
      <c r="G416" s="2" t="s">
        <v>1288</v>
      </c>
      <c r="H416" s="2" t="s">
        <v>1044</v>
      </c>
      <c r="J416" s="26"/>
      <c r="K416" s="36">
        <v>1.1893400000000001E-3</v>
      </c>
      <c r="L416" s="23">
        <v>2.3787E-4</v>
      </c>
    </row>
    <row r="417" spans="1:12" ht="15.35" hidden="1" x14ac:dyDescent="0.55000000000000004">
      <c r="A417" s="20">
        <v>15229</v>
      </c>
      <c r="B417" s="2" t="s">
        <v>166</v>
      </c>
      <c r="C417" s="2" t="s">
        <v>167</v>
      </c>
      <c r="D417" s="20">
        <v>0</v>
      </c>
      <c r="E417" s="2" t="s">
        <v>838</v>
      </c>
      <c r="F417" s="2" t="s">
        <v>811</v>
      </c>
      <c r="G417" s="2" t="s">
        <v>1289</v>
      </c>
      <c r="H417" s="2" t="s">
        <v>1044</v>
      </c>
      <c r="J417" s="26"/>
      <c r="K417" s="36">
        <v>5.9267E-4</v>
      </c>
      <c r="L417" s="23">
        <v>1.1853000000000001E-4</v>
      </c>
    </row>
    <row r="418" spans="1:12" ht="15.35" hidden="1" x14ac:dyDescent="0.55000000000000004">
      <c r="A418" s="20">
        <v>15329</v>
      </c>
      <c r="B418" s="2" t="s">
        <v>166</v>
      </c>
      <c r="C418" s="2" t="s">
        <v>167</v>
      </c>
      <c r="D418" s="20">
        <v>0</v>
      </c>
      <c r="E418" s="2" t="s">
        <v>838</v>
      </c>
      <c r="F418" s="2" t="s">
        <v>811</v>
      </c>
      <c r="G418" s="2" t="s">
        <v>1290</v>
      </c>
      <c r="H418" s="2" t="s">
        <v>1291</v>
      </c>
      <c r="J418" s="26"/>
      <c r="K418" s="36">
        <v>9.2100000000000003E-5</v>
      </c>
      <c r="L418" s="23">
        <v>1.842E-5</v>
      </c>
    </row>
    <row r="419" spans="1:12" ht="15.35" hidden="1" x14ac:dyDescent="0.55000000000000004">
      <c r="A419" s="20">
        <v>15328</v>
      </c>
      <c r="B419" s="2" t="s">
        <v>166</v>
      </c>
      <c r="C419" s="2" t="s">
        <v>167</v>
      </c>
      <c r="D419" s="20">
        <v>0</v>
      </c>
      <c r="E419" s="2" t="s">
        <v>838</v>
      </c>
      <c r="F419" s="2" t="s">
        <v>811</v>
      </c>
      <c r="G419" s="2" t="s">
        <v>1292</v>
      </c>
      <c r="H419" s="2" t="s">
        <v>1291</v>
      </c>
      <c r="J419" s="26"/>
      <c r="K419" s="36">
        <v>8.0090000000000001E-5</v>
      </c>
      <c r="L419" s="23">
        <v>1.6019999999999999E-5</v>
      </c>
    </row>
    <row r="420" spans="1:12" ht="15.35" hidden="1" x14ac:dyDescent="0.55000000000000004">
      <c r="A420" s="20">
        <v>14906</v>
      </c>
      <c r="B420" s="2" t="s">
        <v>166</v>
      </c>
      <c r="C420" s="2" t="s">
        <v>167</v>
      </c>
      <c r="D420" s="20">
        <v>0</v>
      </c>
      <c r="E420" s="2" t="s">
        <v>838</v>
      </c>
      <c r="F420" s="2" t="s">
        <v>789</v>
      </c>
      <c r="G420" s="2" t="s">
        <v>1293</v>
      </c>
      <c r="H420" s="2" t="s">
        <v>1039</v>
      </c>
      <c r="J420" s="26"/>
      <c r="K420" s="36">
        <v>1.7820100000000001E-3</v>
      </c>
      <c r="L420" s="23">
        <v>3.5639999999999999E-4</v>
      </c>
    </row>
    <row r="421" spans="1:12" ht="15.35" hidden="1" x14ac:dyDescent="0.55000000000000004">
      <c r="A421" s="20">
        <v>14928</v>
      </c>
      <c r="B421" s="2" t="s">
        <v>166</v>
      </c>
      <c r="C421" s="2" t="s">
        <v>167</v>
      </c>
      <c r="D421" s="20">
        <v>0</v>
      </c>
      <c r="E421" s="2" t="s">
        <v>838</v>
      </c>
      <c r="F421" s="2" t="s">
        <v>789</v>
      </c>
      <c r="G421" s="2" t="s">
        <v>1294</v>
      </c>
      <c r="H421" s="2" t="s">
        <v>1295</v>
      </c>
      <c r="J421" s="26"/>
      <c r="K421" s="36">
        <v>3.5680299999999998E-3</v>
      </c>
      <c r="L421" s="23">
        <v>7.1361000000000005E-4</v>
      </c>
    </row>
    <row r="422" spans="1:12" ht="15.35" hidden="1" x14ac:dyDescent="0.55000000000000004">
      <c r="A422" s="20">
        <v>15125</v>
      </c>
      <c r="B422" s="2" t="s">
        <v>166</v>
      </c>
      <c r="C422" s="2" t="s">
        <v>167</v>
      </c>
      <c r="D422" s="20">
        <v>0</v>
      </c>
      <c r="E422" s="2" t="s">
        <v>838</v>
      </c>
      <c r="F422" s="2" t="s">
        <v>793</v>
      </c>
      <c r="G422" s="2" t="s">
        <v>1296</v>
      </c>
      <c r="H422" s="2" t="s">
        <v>1184</v>
      </c>
      <c r="J422" s="26"/>
      <c r="K422" s="36">
        <v>3.2036199999999999E-3</v>
      </c>
      <c r="L422" s="23">
        <v>6.4072E-4</v>
      </c>
    </row>
    <row r="423" spans="1:12" ht="15.35" hidden="1" x14ac:dyDescent="0.55000000000000004">
      <c r="A423" s="20">
        <v>15390</v>
      </c>
      <c r="B423" s="2" t="s">
        <v>166</v>
      </c>
      <c r="C423" s="2" t="s">
        <v>167</v>
      </c>
      <c r="D423" s="20">
        <v>0</v>
      </c>
      <c r="E423" s="2" t="s">
        <v>838</v>
      </c>
      <c r="F423" s="2" t="s">
        <v>848</v>
      </c>
      <c r="G423" s="2" t="s">
        <v>1297</v>
      </c>
      <c r="H423" s="2" t="s">
        <v>975</v>
      </c>
      <c r="J423" s="26"/>
      <c r="K423" s="36">
        <v>4.2047500000000002E-3</v>
      </c>
      <c r="L423" s="23">
        <v>8.4095000000000003E-4</v>
      </c>
    </row>
    <row r="424" spans="1:12" ht="15.35" hidden="1" x14ac:dyDescent="0.55000000000000004">
      <c r="A424" s="20">
        <v>15347</v>
      </c>
      <c r="B424" s="2" t="s">
        <v>166</v>
      </c>
      <c r="C424" s="2" t="s">
        <v>167</v>
      </c>
      <c r="D424" s="20">
        <v>0</v>
      </c>
      <c r="E424" s="2" t="s">
        <v>838</v>
      </c>
      <c r="F424" s="2" t="s">
        <v>793</v>
      </c>
      <c r="G424" s="2" t="s">
        <v>1298</v>
      </c>
      <c r="H424" s="2" t="s">
        <v>1299</v>
      </c>
      <c r="J424" s="26"/>
      <c r="K424" s="36">
        <v>1.0531900000000001E-3</v>
      </c>
      <c r="L424" s="23">
        <v>2.1064E-4</v>
      </c>
    </row>
    <row r="425" spans="1:12" ht="15.35" hidden="1" x14ac:dyDescent="0.55000000000000004">
      <c r="A425" s="20">
        <v>15255</v>
      </c>
      <c r="B425" s="2" t="s">
        <v>166</v>
      </c>
      <c r="C425" s="2" t="s">
        <v>167</v>
      </c>
      <c r="D425" s="20">
        <v>0</v>
      </c>
      <c r="E425" s="2" t="s">
        <v>838</v>
      </c>
      <c r="F425" s="2" t="s">
        <v>848</v>
      </c>
      <c r="G425" s="2" t="s">
        <v>1042</v>
      </c>
      <c r="H425" s="2" t="s">
        <v>1042</v>
      </c>
      <c r="J425" s="26"/>
      <c r="K425" s="36">
        <v>3.2036199999999999E-3</v>
      </c>
      <c r="L425" s="23">
        <v>6.4072E-4</v>
      </c>
    </row>
    <row r="426" spans="1:12" ht="15.35" hidden="1" x14ac:dyDescent="0.55000000000000004">
      <c r="A426" s="20">
        <v>15162</v>
      </c>
      <c r="B426" s="2" t="s">
        <v>166</v>
      </c>
      <c r="C426" s="2" t="s">
        <v>167</v>
      </c>
      <c r="D426" s="20">
        <v>0</v>
      </c>
      <c r="E426" s="2" t="s">
        <v>838</v>
      </c>
      <c r="F426" s="2" t="s">
        <v>798</v>
      </c>
      <c r="G426" s="2" t="s">
        <v>907</v>
      </c>
      <c r="H426" s="2" t="s">
        <v>800</v>
      </c>
      <c r="J426" s="26"/>
      <c r="K426" s="36">
        <v>1.81405E-3</v>
      </c>
      <c r="L426" s="23">
        <v>3.6280999999999998E-4</v>
      </c>
    </row>
    <row r="427" spans="1:12" ht="15.35" hidden="1" x14ac:dyDescent="0.55000000000000004">
      <c r="A427" s="20">
        <v>14831</v>
      </c>
      <c r="B427" s="2" t="s">
        <v>166</v>
      </c>
      <c r="C427" s="2" t="s">
        <v>167</v>
      </c>
      <c r="D427" s="20">
        <v>0</v>
      </c>
      <c r="E427" s="2" t="s">
        <v>838</v>
      </c>
      <c r="F427" s="2" t="s">
        <v>811</v>
      </c>
      <c r="G427" s="2" t="s">
        <v>1300</v>
      </c>
      <c r="H427" s="2" t="s">
        <v>1301</v>
      </c>
      <c r="J427" s="26"/>
      <c r="K427" s="36">
        <v>8.0090000000000001E-5</v>
      </c>
      <c r="L427" s="23">
        <v>1.6019999999999999E-5</v>
      </c>
    </row>
    <row r="428" spans="1:12" ht="15.35" hidden="1" x14ac:dyDescent="0.55000000000000004">
      <c r="A428" s="20">
        <v>14837</v>
      </c>
      <c r="B428" s="2" t="s">
        <v>166</v>
      </c>
      <c r="C428" s="2" t="s">
        <v>167</v>
      </c>
      <c r="D428" s="20">
        <v>0</v>
      </c>
      <c r="E428" s="2" t="s">
        <v>838</v>
      </c>
      <c r="F428" s="2" t="s">
        <v>811</v>
      </c>
      <c r="G428" s="2" t="s">
        <v>1302</v>
      </c>
      <c r="H428" s="2" t="s">
        <v>1301</v>
      </c>
      <c r="J428" s="26"/>
      <c r="K428" s="36">
        <v>1.1613E-4</v>
      </c>
      <c r="L428" s="23">
        <v>2.323E-5</v>
      </c>
    </row>
    <row r="429" spans="1:12" ht="15.35" hidden="1" x14ac:dyDescent="0.55000000000000004">
      <c r="A429" s="20">
        <v>14838</v>
      </c>
      <c r="B429" s="2" t="s">
        <v>166</v>
      </c>
      <c r="C429" s="2" t="s">
        <v>167</v>
      </c>
      <c r="D429" s="20">
        <v>0</v>
      </c>
      <c r="E429" s="2" t="s">
        <v>838</v>
      </c>
      <c r="F429" s="2" t="s">
        <v>811</v>
      </c>
      <c r="G429" s="2" t="s">
        <v>1303</v>
      </c>
      <c r="H429" s="2" t="s">
        <v>1301</v>
      </c>
      <c r="J429" s="26"/>
      <c r="K429" s="36">
        <v>1.1613E-4</v>
      </c>
      <c r="L429" s="23">
        <v>2.323E-5</v>
      </c>
    </row>
    <row r="430" spans="1:12" ht="15.35" hidden="1" x14ac:dyDescent="0.55000000000000004">
      <c r="A430" s="20">
        <v>14834</v>
      </c>
      <c r="B430" s="2" t="s">
        <v>166</v>
      </c>
      <c r="C430" s="2" t="s">
        <v>167</v>
      </c>
      <c r="D430" s="20">
        <v>0</v>
      </c>
      <c r="E430" s="2" t="s">
        <v>838</v>
      </c>
      <c r="F430" s="2" t="s">
        <v>811</v>
      </c>
      <c r="G430" s="2" t="s">
        <v>1304</v>
      </c>
      <c r="H430" s="2" t="s">
        <v>1301</v>
      </c>
      <c r="J430" s="26"/>
      <c r="K430" s="36">
        <v>5.8065000000000005E-4</v>
      </c>
      <c r="L430" s="23">
        <v>1.1613E-4</v>
      </c>
    </row>
    <row r="431" spans="1:12" ht="15.35" hidden="1" x14ac:dyDescent="0.55000000000000004">
      <c r="A431" s="20">
        <v>14833</v>
      </c>
      <c r="B431" s="2" t="s">
        <v>166</v>
      </c>
      <c r="C431" s="2" t="s">
        <v>167</v>
      </c>
      <c r="D431" s="20">
        <v>0</v>
      </c>
      <c r="E431" s="2" t="s">
        <v>838</v>
      </c>
      <c r="F431" s="2" t="s">
        <v>811</v>
      </c>
      <c r="G431" s="2" t="s">
        <v>1305</v>
      </c>
      <c r="H431" s="2" t="s">
        <v>1301</v>
      </c>
      <c r="J431" s="26"/>
      <c r="K431" s="36">
        <v>5.6060000000000002E-5</v>
      </c>
      <c r="L431" s="23">
        <v>1.1209999999999999E-5</v>
      </c>
    </row>
    <row r="432" spans="1:12" ht="15.35" hidden="1" x14ac:dyDescent="0.55000000000000004">
      <c r="A432" s="20">
        <v>14832</v>
      </c>
      <c r="B432" s="2" t="s">
        <v>166</v>
      </c>
      <c r="C432" s="2" t="s">
        <v>167</v>
      </c>
      <c r="D432" s="20">
        <v>0</v>
      </c>
      <c r="E432" s="2" t="s">
        <v>838</v>
      </c>
      <c r="F432" s="2" t="s">
        <v>811</v>
      </c>
      <c r="G432" s="2" t="s">
        <v>1306</v>
      </c>
      <c r="H432" s="2" t="s">
        <v>1301</v>
      </c>
      <c r="J432" s="26"/>
      <c r="K432" s="36">
        <v>4.4039999999999998E-5</v>
      </c>
      <c r="L432" s="23">
        <v>8.8100000000000004E-6</v>
      </c>
    </row>
    <row r="433" spans="1:12" ht="15.35" hidden="1" x14ac:dyDescent="0.55000000000000004">
      <c r="A433" s="20">
        <v>14835</v>
      </c>
      <c r="B433" s="2" t="s">
        <v>166</v>
      </c>
      <c r="C433" s="2" t="s">
        <v>167</v>
      </c>
      <c r="D433" s="20">
        <v>0</v>
      </c>
      <c r="E433" s="2" t="s">
        <v>838</v>
      </c>
      <c r="F433" s="2" t="s">
        <v>811</v>
      </c>
      <c r="G433" s="2" t="s">
        <v>1307</v>
      </c>
      <c r="H433" s="2" t="s">
        <v>1301</v>
      </c>
      <c r="J433" s="26"/>
      <c r="K433" s="36">
        <v>1.1613E-4</v>
      </c>
      <c r="L433" s="23">
        <v>2.323E-5</v>
      </c>
    </row>
    <row r="434" spans="1:12" ht="15.35" hidden="1" x14ac:dyDescent="0.55000000000000004">
      <c r="A434" s="20">
        <v>14839</v>
      </c>
      <c r="B434" s="2" t="s">
        <v>166</v>
      </c>
      <c r="C434" s="2" t="s">
        <v>167</v>
      </c>
      <c r="D434" s="20">
        <v>0</v>
      </c>
      <c r="E434" s="2" t="s">
        <v>838</v>
      </c>
      <c r="F434" s="2" t="s">
        <v>811</v>
      </c>
      <c r="G434" s="2" t="s">
        <v>1308</v>
      </c>
      <c r="H434" s="2" t="s">
        <v>1301</v>
      </c>
      <c r="J434" s="26"/>
      <c r="K434" s="36">
        <v>6.5273000000000002E-4</v>
      </c>
      <c r="L434" s="23">
        <v>1.3055E-4</v>
      </c>
    </row>
    <row r="435" spans="1:12" ht="15.35" hidden="1" x14ac:dyDescent="0.55000000000000004">
      <c r="A435" s="20">
        <v>14836</v>
      </c>
      <c r="B435" s="2" t="s">
        <v>166</v>
      </c>
      <c r="C435" s="2" t="s">
        <v>167</v>
      </c>
      <c r="D435" s="20">
        <v>0</v>
      </c>
      <c r="E435" s="2" t="s">
        <v>838</v>
      </c>
      <c r="F435" s="2" t="s">
        <v>811</v>
      </c>
      <c r="G435" s="2" t="s">
        <v>1309</v>
      </c>
      <c r="H435" s="2" t="s">
        <v>1301</v>
      </c>
      <c r="J435" s="26"/>
      <c r="K435" s="36">
        <v>1.0411E-4</v>
      </c>
      <c r="L435" s="23">
        <v>2.0820000000000001E-5</v>
      </c>
    </row>
    <row r="436" spans="1:12" ht="15.35" hidden="1" x14ac:dyDescent="0.55000000000000004">
      <c r="A436" s="20">
        <v>14890</v>
      </c>
      <c r="B436" s="2" t="s">
        <v>166</v>
      </c>
      <c r="C436" s="2" t="s">
        <v>167</v>
      </c>
      <c r="D436" s="20">
        <v>0</v>
      </c>
      <c r="E436" s="2" t="s">
        <v>838</v>
      </c>
      <c r="F436" s="2" t="s">
        <v>793</v>
      </c>
      <c r="G436" s="2" t="s">
        <v>1310</v>
      </c>
      <c r="H436" s="2" t="s">
        <v>802</v>
      </c>
      <c r="J436" s="26"/>
      <c r="K436" s="36">
        <v>4.2047500000000002E-3</v>
      </c>
      <c r="L436" s="23">
        <v>8.4095000000000003E-4</v>
      </c>
    </row>
    <row r="437" spans="1:12" ht="15.35" hidden="1" x14ac:dyDescent="0.55000000000000004">
      <c r="A437" s="20">
        <v>14888</v>
      </c>
      <c r="B437" s="2" t="s">
        <v>166</v>
      </c>
      <c r="C437" s="2" t="s">
        <v>167</v>
      </c>
      <c r="D437" s="20">
        <v>0</v>
      </c>
      <c r="E437" s="2" t="s">
        <v>838</v>
      </c>
      <c r="F437" s="2" t="s">
        <v>793</v>
      </c>
      <c r="G437" s="2" t="s">
        <v>908</v>
      </c>
      <c r="H437" s="2" t="s">
        <v>802</v>
      </c>
      <c r="J437" s="26"/>
      <c r="K437" s="36">
        <v>4.2047500000000002E-3</v>
      </c>
      <c r="L437" s="23">
        <v>8.4095000000000003E-4</v>
      </c>
    </row>
    <row r="438" spans="1:12" ht="15.35" hidden="1" x14ac:dyDescent="0.55000000000000004">
      <c r="A438" s="20">
        <v>14889</v>
      </c>
      <c r="B438" s="2" t="s">
        <v>166</v>
      </c>
      <c r="C438" s="2" t="s">
        <v>167</v>
      </c>
      <c r="D438" s="20">
        <v>0</v>
      </c>
      <c r="E438" s="2" t="s">
        <v>838</v>
      </c>
      <c r="F438" s="2" t="s">
        <v>793</v>
      </c>
      <c r="G438" s="2" t="s">
        <v>1311</v>
      </c>
      <c r="H438" s="2" t="s">
        <v>802</v>
      </c>
      <c r="J438" s="26"/>
      <c r="K438" s="36">
        <v>1.4256099999999999E-3</v>
      </c>
      <c r="L438" s="23">
        <v>2.8511999999999998E-4</v>
      </c>
    </row>
    <row r="439" spans="1:12" ht="15.35" hidden="1" x14ac:dyDescent="0.55000000000000004">
      <c r="A439" s="20">
        <v>14887</v>
      </c>
      <c r="B439" s="2" t="s">
        <v>166</v>
      </c>
      <c r="C439" s="2" t="s">
        <v>167</v>
      </c>
      <c r="D439" s="20">
        <v>0</v>
      </c>
      <c r="E439" s="2" t="s">
        <v>838</v>
      </c>
      <c r="F439" s="2" t="s">
        <v>793</v>
      </c>
      <c r="G439" s="2" t="s">
        <v>1312</v>
      </c>
      <c r="H439" s="2" t="s">
        <v>802</v>
      </c>
      <c r="J439" s="26"/>
      <c r="K439" s="36">
        <v>4.2047500000000002E-3</v>
      </c>
      <c r="L439" s="23">
        <v>8.4095000000000003E-4</v>
      </c>
    </row>
    <row r="440" spans="1:12" ht="15.35" hidden="1" x14ac:dyDescent="0.55000000000000004">
      <c r="A440" s="20">
        <v>14883</v>
      </c>
      <c r="B440" s="2" t="s">
        <v>166</v>
      </c>
      <c r="C440" s="2" t="s">
        <v>167</v>
      </c>
      <c r="D440" s="20">
        <v>0</v>
      </c>
      <c r="E440" s="2" t="s">
        <v>838</v>
      </c>
      <c r="F440" s="2" t="s">
        <v>793</v>
      </c>
      <c r="G440" s="2" t="s">
        <v>909</v>
      </c>
      <c r="H440" s="2" t="s">
        <v>802</v>
      </c>
      <c r="J440" s="26"/>
      <c r="K440" s="36">
        <v>4.2047500000000002E-3</v>
      </c>
      <c r="L440" s="23">
        <v>8.4095000000000003E-4</v>
      </c>
    </row>
    <row r="441" spans="1:12" ht="15.35" hidden="1" x14ac:dyDescent="0.55000000000000004">
      <c r="A441" s="20">
        <v>14884</v>
      </c>
      <c r="B441" s="2" t="s">
        <v>166</v>
      </c>
      <c r="C441" s="2" t="s">
        <v>167</v>
      </c>
      <c r="D441" s="20">
        <v>0</v>
      </c>
      <c r="E441" s="2" t="s">
        <v>838</v>
      </c>
      <c r="F441" s="2" t="s">
        <v>793</v>
      </c>
      <c r="G441" s="2" t="s">
        <v>910</v>
      </c>
      <c r="H441" s="2" t="s">
        <v>802</v>
      </c>
      <c r="J441" s="26"/>
      <c r="K441" s="36">
        <v>4.2047500000000002E-3</v>
      </c>
      <c r="L441" s="23">
        <v>8.4095000000000003E-4</v>
      </c>
    </row>
    <row r="442" spans="1:12" ht="15.35" hidden="1" x14ac:dyDescent="0.55000000000000004">
      <c r="A442" s="20">
        <v>14886</v>
      </c>
      <c r="B442" s="2" t="s">
        <v>166</v>
      </c>
      <c r="C442" s="2" t="s">
        <v>167</v>
      </c>
      <c r="D442" s="20">
        <v>0</v>
      </c>
      <c r="E442" s="2" t="s">
        <v>838</v>
      </c>
      <c r="F442" s="2" t="s">
        <v>793</v>
      </c>
      <c r="G442" s="2" t="s">
        <v>1313</v>
      </c>
      <c r="H442" s="2" t="s">
        <v>802</v>
      </c>
      <c r="J442" s="26"/>
      <c r="K442" s="36">
        <v>4.2047500000000002E-3</v>
      </c>
      <c r="L442" s="23">
        <v>8.4095000000000003E-4</v>
      </c>
    </row>
    <row r="443" spans="1:12" ht="15.35" hidden="1" x14ac:dyDescent="0.55000000000000004">
      <c r="A443" s="20">
        <v>14885</v>
      </c>
      <c r="B443" s="2" t="s">
        <v>166</v>
      </c>
      <c r="C443" s="2" t="s">
        <v>167</v>
      </c>
      <c r="D443" s="20">
        <v>0</v>
      </c>
      <c r="E443" s="2" t="s">
        <v>838</v>
      </c>
      <c r="F443" s="2" t="s">
        <v>793</v>
      </c>
      <c r="G443" s="2" t="s">
        <v>847</v>
      </c>
      <c r="H443" s="2" t="s">
        <v>802</v>
      </c>
      <c r="J443" s="26"/>
      <c r="K443" s="36">
        <v>4.2047500000000002E-3</v>
      </c>
      <c r="L443" s="23">
        <v>8.4095000000000003E-4</v>
      </c>
    </row>
    <row r="444" spans="1:12" ht="15.35" hidden="1" x14ac:dyDescent="0.55000000000000004">
      <c r="A444" s="20">
        <v>15124</v>
      </c>
      <c r="B444" s="2" t="s">
        <v>166</v>
      </c>
      <c r="C444" s="2" t="s">
        <v>167</v>
      </c>
      <c r="D444" s="20">
        <v>0</v>
      </c>
      <c r="E444" s="2" t="s">
        <v>838</v>
      </c>
      <c r="F444" s="2" t="s">
        <v>789</v>
      </c>
      <c r="G444" s="2" t="s">
        <v>1314</v>
      </c>
      <c r="H444" s="2" t="s">
        <v>1315</v>
      </c>
      <c r="J444" s="26"/>
      <c r="K444" s="36">
        <v>1.16131E-3</v>
      </c>
      <c r="L444" s="23">
        <v>2.3226E-4</v>
      </c>
    </row>
    <row r="445" spans="1:12" ht="15.35" hidden="1" x14ac:dyDescent="0.55000000000000004">
      <c r="A445" s="20">
        <v>15153</v>
      </c>
      <c r="B445" s="2" t="s">
        <v>166</v>
      </c>
      <c r="C445" s="2" t="s">
        <v>167</v>
      </c>
      <c r="D445" s="20">
        <v>0</v>
      </c>
      <c r="E445" s="2" t="s">
        <v>838</v>
      </c>
      <c r="F445" s="2" t="s">
        <v>789</v>
      </c>
      <c r="G445" s="2" t="s">
        <v>1316</v>
      </c>
      <c r="H445" s="2" t="s">
        <v>1315</v>
      </c>
      <c r="J445" s="26"/>
      <c r="K445" s="36">
        <v>4.0045E-4</v>
      </c>
      <c r="L445" s="23">
        <v>8.0090000000000001E-5</v>
      </c>
    </row>
    <row r="446" spans="1:12" ht="15.35" hidden="1" x14ac:dyDescent="0.55000000000000004">
      <c r="A446" s="20">
        <v>15154</v>
      </c>
      <c r="B446" s="2" t="s">
        <v>166</v>
      </c>
      <c r="C446" s="2" t="s">
        <v>167</v>
      </c>
      <c r="D446" s="20">
        <v>0</v>
      </c>
      <c r="E446" s="2" t="s">
        <v>838</v>
      </c>
      <c r="F446" s="2" t="s">
        <v>789</v>
      </c>
      <c r="G446" s="2" t="s">
        <v>1317</v>
      </c>
      <c r="H446" s="2" t="s">
        <v>1315</v>
      </c>
      <c r="J446" s="26"/>
      <c r="K446" s="36">
        <v>2.0022E-4</v>
      </c>
      <c r="L446" s="23">
        <v>4.0040000000000003E-5</v>
      </c>
    </row>
    <row r="447" spans="1:12" ht="15.35" hidden="1" x14ac:dyDescent="0.55000000000000004">
      <c r="A447" s="20">
        <v>15123</v>
      </c>
      <c r="B447" s="2" t="s">
        <v>166</v>
      </c>
      <c r="C447" s="2" t="s">
        <v>167</v>
      </c>
      <c r="D447" s="20">
        <v>0</v>
      </c>
      <c r="E447" s="2" t="s">
        <v>838</v>
      </c>
      <c r="F447" s="2" t="s">
        <v>789</v>
      </c>
      <c r="G447" s="2" t="s">
        <v>1318</v>
      </c>
      <c r="H447" s="2" t="s">
        <v>1315</v>
      </c>
      <c r="J447" s="26"/>
      <c r="K447" s="36">
        <v>4.2047500000000002E-3</v>
      </c>
      <c r="L447" s="23">
        <v>8.4095000000000003E-4</v>
      </c>
    </row>
    <row r="448" spans="1:12" ht="15.35" hidden="1" x14ac:dyDescent="0.55000000000000004">
      <c r="A448" s="20">
        <v>15024</v>
      </c>
      <c r="B448" s="2" t="s">
        <v>166</v>
      </c>
      <c r="C448" s="2" t="s">
        <v>167</v>
      </c>
      <c r="D448" s="20">
        <v>0</v>
      </c>
      <c r="E448" s="2" t="s">
        <v>838</v>
      </c>
      <c r="F448" s="2" t="s">
        <v>789</v>
      </c>
      <c r="G448" s="2" t="s">
        <v>1319</v>
      </c>
      <c r="H448" s="2" t="s">
        <v>1315</v>
      </c>
      <c r="J448" s="26"/>
      <c r="K448" s="36">
        <v>4.2047500000000002E-3</v>
      </c>
      <c r="L448" s="23">
        <v>8.4095000000000003E-4</v>
      </c>
    </row>
    <row r="449" spans="1:12" ht="15.35" hidden="1" x14ac:dyDescent="0.55000000000000004">
      <c r="A449" s="20">
        <v>15026</v>
      </c>
      <c r="B449" s="2" t="s">
        <v>166</v>
      </c>
      <c r="C449" s="2" t="s">
        <v>167</v>
      </c>
      <c r="D449" s="20">
        <v>0</v>
      </c>
      <c r="E449" s="2" t="s">
        <v>838</v>
      </c>
      <c r="F449" s="2" t="s">
        <v>789</v>
      </c>
      <c r="G449" s="2" t="s">
        <v>1320</v>
      </c>
      <c r="H449" s="2" t="s">
        <v>1315</v>
      </c>
      <c r="J449" s="26"/>
      <c r="K449" s="36">
        <v>4.2047500000000002E-3</v>
      </c>
      <c r="L449" s="23">
        <v>8.4095000000000003E-4</v>
      </c>
    </row>
    <row r="450" spans="1:12" ht="15.35" hidden="1" x14ac:dyDescent="0.55000000000000004">
      <c r="A450" s="20">
        <v>15122</v>
      </c>
      <c r="B450" s="2" t="s">
        <v>166</v>
      </c>
      <c r="C450" s="2" t="s">
        <v>167</v>
      </c>
      <c r="D450" s="20">
        <v>0</v>
      </c>
      <c r="E450" s="2" t="s">
        <v>838</v>
      </c>
      <c r="F450" s="2" t="s">
        <v>789</v>
      </c>
      <c r="G450" s="2" t="s">
        <v>1321</v>
      </c>
      <c r="H450" s="2" t="s">
        <v>1315</v>
      </c>
      <c r="J450" s="26"/>
      <c r="K450" s="36">
        <v>4.2047500000000002E-3</v>
      </c>
      <c r="L450" s="23">
        <v>8.4095000000000003E-4</v>
      </c>
    </row>
    <row r="451" spans="1:12" ht="15.35" hidden="1" x14ac:dyDescent="0.55000000000000004">
      <c r="A451" s="20">
        <v>15156</v>
      </c>
      <c r="B451" s="2" t="s">
        <v>166</v>
      </c>
      <c r="C451" s="2" t="s">
        <v>167</v>
      </c>
      <c r="D451" s="20">
        <v>0</v>
      </c>
      <c r="E451" s="2" t="s">
        <v>838</v>
      </c>
      <c r="F451" s="2" t="s">
        <v>789</v>
      </c>
      <c r="G451" s="2" t="s">
        <v>1322</v>
      </c>
      <c r="H451" s="2" t="s">
        <v>1315</v>
      </c>
      <c r="J451" s="26"/>
      <c r="K451" s="36">
        <v>1.00113E-3</v>
      </c>
      <c r="L451" s="23">
        <v>2.0023E-4</v>
      </c>
    </row>
    <row r="452" spans="1:12" ht="15.35" hidden="1" x14ac:dyDescent="0.55000000000000004">
      <c r="A452" s="20">
        <v>15160</v>
      </c>
      <c r="B452" s="2" t="s">
        <v>166</v>
      </c>
      <c r="C452" s="2" t="s">
        <v>167</v>
      </c>
      <c r="D452" s="20">
        <v>0</v>
      </c>
      <c r="E452" s="2" t="s">
        <v>838</v>
      </c>
      <c r="F452" s="2" t="s">
        <v>789</v>
      </c>
      <c r="G452" s="2" t="s">
        <v>1323</v>
      </c>
      <c r="H452" s="2" t="s">
        <v>1315</v>
      </c>
      <c r="J452" s="26"/>
      <c r="K452" s="36">
        <v>4.2047500000000002E-3</v>
      </c>
      <c r="L452" s="23">
        <v>8.4095000000000003E-4</v>
      </c>
    </row>
    <row r="453" spans="1:12" ht="15.35" hidden="1" x14ac:dyDescent="0.55000000000000004">
      <c r="A453" s="20">
        <v>14904</v>
      </c>
      <c r="B453" s="2" t="s">
        <v>166</v>
      </c>
      <c r="C453" s="2" t="s">
        <v>167</v>
      </c>
      <c r="D453" s="20">
        <v>0</v>
      </c>
      <c r="E453" s="2" t="s">
        <v>838</v>
      </c>
      <c r="F453" s="2" t="s">
        <v>789</v>
      </c>
      <c r="G453" s="2" t="s">
        <v>1324</v>
      </c>
      <c r="H453" s="2" t="s">
        <v>1325</v>
      </c>
      <c r="J453" s="26"/>
      <c r="K453" s="36">
        <v>9.4906999999999999E-4</v>
      </c>
      <c r="L453" s="23">
        <v>1.8981E-4</v>
      </c>
    </row>
    <row r="454" spans="1:12" ht="15.35" hidden="1" x14ac:dyDescent="0.55000000000000004">
      <c r="A454" s="20">
        <v>15233</v>
      </c>
      <c r="B454" s="2" t="s">
        <v>166</v>
      </c>
      <c r="C454" s="2" t="s">
        <v>167</v>
      </c>
      <c r="D454" s="20">
        <v>0</v>
      </c>
      <c r="E454" s="2" t="s">
        <v>838</v>
      </c>
      <c r="F454" s="2" t="s">
        <v>793</v>
      </c>
      <c r="G454" s="2" t="s">
        <v>1326</v>
      </c>
      <c r="H454" s="2" t="s">
        <v>1044</v>
      </c>
      <c r="J454" s="26"/>
      <c r="K454" s="36">
        <v>5.9267E-4</v>
      </c>
      <c r="L454" s="23">
        <v>1.1853000000000001E-4</v>
      </c>
    </row>
    <row r="455" spans="1:12" ht="15.35" hidden="1" x14ac:dyDescent="0.55000000000000004">
      <c r="A455" s="20">
        <v>15149</v>
      </c>
      <c r="B455" s="2" t="s">
        <v>166</v>
      </c>
      <c r="C455" s="2" t="s">
        <v>167</v>
      </c>
      <c r="D455" s="20">
        <v>0</v>
      </c>
      <c r="E455" s="2" t="s">
        <v>838</v>
      </c>
      <c r="F455" s="2" t="s">
        <v>793</v>
      </c>
      <c r="G455" s="2" t="s">
        <v>1327</v>
      </c>
      <c r="H455" s="2" t="s">
        <v>804</v>
      </c>
      <c r="J455" s="26"/>
      <c r="K455" s="36">
        <v>4.0045E-4</v>
      </c>
      <c r="L455" s="23">
        <v>8.0090000000000001E-5</v>
      </c>
    </row>
    <row r="456" spans="1:12" ht="15.35" hidden="1" x14ac:dyDescent="0.55000000000000004">
      <c r="A456" s="20">
        <v>15150</v>
      </c>
      <c r="B456" s="2" t="s">
        <v>166</v>
      </c>
      <c r="C456" s="2" t="s">
        <v>167</v>
      </c>
      <c r="D456" s="20">
        <v>0</v>
      </c>
      <c r="E456" s="2" t="s">
        <v>838</v>
      </c>
      <c r="F456" s="2" t="s">
        <v>793</v>
      </c>
      <c r="G456" s="2" t="s">
        <v>1328</v>
      </c>
      <c r="H456" s="2" t="s">
        <v>804</v>
      </c>
      <c r="J456" s="26"/>
      <c r="K456" s="36">
        <v>8.0090000000000001E-4</v>
      </c>
      <c r="L456" s="23">
        <v>1.6018E-4</v>
      </c>
    </row>
    <row r="457" spans="1:12" ht="15.35" hidden="1" x14ac:dyDescent="0.55000000000000004">
      <c r="A457" s="20">
        <v>15126</v>
      </c>
      <c r="B457" s="2" t="s">
        <v>166</v>
      </c>
      <c r="C457" s="2" t="s">
        <v>167</v>
      </c>
      <c r="D457" s="20">
        <v>0</v>
      </c>
      <c r="E457" s="2" t="s">
        <v>838</v>
      </c>
      <c r="F457" s="2" t="s">
        <v>848</v>
      </c>
      <c r="G457" s="2" t="s">
        <v>1329</v>
      </c>
      <c r="H457" s="2" t="s">
        <v>1049</v>
      </c>
      <c r="J457" s="26"/>
      <c r="K457" s="36">
        <v>4.2047500000000002E-3</v>
      </c>
      <c r="L457" s="23">
        <v>8.4095000000000003E-4</v>
      </c>
    </row>
    <row r="458" spans="1:12" ht="15.35" hidden="1" x14ac:dyDescent="0.55000000000000004">
      <c r="A458" s="20">
        <v>15228</v>
      </c>
      <c r="B458" s="2" t="s">
        <v>166</v>
      </c>
      <c r="C458" s="2" t="s">
        <v>167</v>
      </c>
      <c r="D458" s="20">
        <v>0</v>
      </c>
      <c r="E458" s="2" t="s">
        <v>838</v>
      </c>
      <c r="F458" s="2" t="s">
        <v>793</v>
      </c>
      <c r="G458" s="2" t="s">
        <v>1330</v>
      </c>
      <c r="H458" s="2" t="s">
        <v>1331</v>
      </c>
      <c r="J458" s="26"/>
      <c r="K458" s="36">
        <v>1.0812E-4</v>
      </c>
      <c r="L458" s="23">
        <v>2.162E-5</v>
      </c>
    </row>
    <row r="459" spans="1:12" ht="15.35" hidden="1" x14ac:dyDescent="0.55000000000000004">
      <c r="A459" s="20">
        <v>15331</v>
      </c>
      <c r="B459" s="2" t="s">
        <v>166</v>
      </c>
      <c r="C459" s="2" t="s">
        <v>167</v>
      </c>
      <c r="D459" s="20">
        <v>0</v>
      </c>
      <c r="E459" s="2" t="s">
        <v>838</v>
      </c>
      <c r="F459" s="2" t="s">
        <v>848</v>
      </c>
      <c r="G459" s="2" t="s">
        <v>1332</v>
      </c>
      <c r="H459" s="2" t="s">
        <v>1050</v>
      </c>
      <c r="J459" s="26"/>
      <c r="K459" s="36">
        <v>4.2047500000000002E-3</v>
      </c>
      <c r="L459" s="23">
        <v>8.4095000000000003E-4</v>
      </c>
    </row>
    <row r="460" spans="1:12" ht="15.35" hidden="1" x14ac:dyDescent="0.55000000000000004">
      <c r="A460" s="20">
        <v>15231</v>
      </c>
      <c r="B460" s="2" t="s">
        <v>166</v>
      </c>
      <c r="C460" s="2" t="s">
        <v>167</v>
      </c>
      <c r="D460" s="20">
        <v>0</v>
      </c>
      <c r="E460" s="2" t="s">
        <v>838</v>
      </c>
      <c r="F460" s="2" t="s">
        <v>793</v>
      </c>
      <c r="G460" s="2" t="s">
        <v>1333</v>
      </c>
      <c r="H460" s="2" t="s">
        <v>1334</v>
      </c>
      <c r="J460" s="26"/>
      <c r="K460" s="36">
        <v>2.5348599999999999E-3</v>
      </c>
      <c r="L460" s="23">
        <v>5.0697000000000003E-4</v>
      </c>
    </row>
    <row r="461" spans="1:12" ht="15.35" hidden="1" x14ac:dyDescent="0.55000000000000004">
      <c r="A461" s="20">
        <v>15232</v>
      </c>
      <c r="B461" s="2" t="s">
        <v>166</v>
      </c>
      <c r="C461" s="2" t="s">
        <v>167</v>
      </c>
      <c r="D461" s="20">
        <v>0</v>
      </c>
      <c r="E461" s="2" t="s">
        <v>838</v>
      </c>
      <c r="F461" s="2" t="s">
        <v>793</v>
      </c>
      <c r="G461" s="2" t="s">
        <v>1335</v>
      </c>
      <c r="H461" s="2" t="s">
        <v>1334</v>
      </c>
      <c r="J461" s="26"/>
      <c r="K461" s="36">
        <v>4.6452E-4</v>
      </c>
      <c r="L461" s="23">
        <v>9.2899999999999995E-5</v>
      </c>
    </row>
    <row r="462" spans="1:12" ht="15.35" hidden="1" x14ac:dyDescent="0.55000000000000004">
      <c r="A462" s="20">
        <v>15230</v>
      </c>
      <c r="B462" s="2" t="s">
        <v>166</v>
      </c>
      <c r="C462" s="2" t="s">
        <v>167</v>
      </c>
      <c r="D462" s="20">
        <v>0</v>
      </c>
      <c r="E462" s="2" t="s">
        <v>838</v>
      </c>
      <c r="F462" s="2" t="s">
        <v>793</v>
      </c>
      <c r="G462" s="2" t="s">
        <v>1336</v>
      </c>
      <c r="H462" s="2" t="s">
        <v>1334</v>
      </c>
      <c r="J462" s="26"/>
      <c r="K462" s="36">
        <v>4.2047500000000002E-3</v>
      </c>
      <c r="L462" s="23">
        <v>8.4095000000000003E-4</v>
      </c>
    </row>
    <row r="463" spans="1:12" ht="15.35" hidden="1" x14ac:dyDescent="0.55000000000000004">
      <c r="A463" s="20">
        <v>15365</v>
      </c>
      <c r="B463" s="2" t="s">
        <v>166</v>
      </c>
      <c r="C463" s="2" t="s">
        <v>167</v>
      </c>
      <c r="D463" s="20">
        <v>0</v>
      </c>
      <c r="E463" s="2" t="s">
        <v>838</v>
      </c>
      <c r="F463" s="2" t="s">
        <v>848</v>
      </c>
      <c r="G463" s="2" t="s">
        <v>1337</v>
      </c>
      <c r="H463" s="2" t="s">
        <v>850</v>
      </c>
      <c r="J463" s="26"/>
      <c r="K463" s="36">
        <v>4.0005199999999996E-3</v>
      </c>
      <c r="L463" s="23">
        <v>8.0009999999999999E-4</v>
      </c>
    </row>
    <row r="464" spans="1:12" ht="15.35" hidden="1" x14ac:dyDescent="0.55000000000000004">
      <c r="A464" s="20">
        <v>15142</v>
      </c>
      <c r="B464" s="2" t="s">
        <v>166</v>
      </c>
      <c r="C464" s="2" t="s">
        <v>167</v>
      </c>
      <c r="D464" s="20">
        <v>0</v>
      </c>
      <c r="E464" s="2" t="s">
        <v>838</v>
      </c>
      <c r="F464" s="2" t="s">
        <v>817</v>
      </c>
      <c r="G464" s="2" t="s">
        <v>1338</v>
      </c>
      <c r="H464" s="2" t="s">
        <v>810</v>
      </c>
      <c r="J464" s="26"/>
      <c r="K464" s="36">
        <v>4.2047500000000002E-3</v>
      </c>
      <c r="L464" s="23">
        <v>8.4095000000000003E-4</v>
      </c>
    </row>
    <row r="465" spans="1:12" ht="15.35" hidden="1" x14ac:dyDescent="0.55000000000000004">
      <c r="A465" s="20">
        <v>14854</v>
      </c>
      <c r="B465" s="2" t="s">
        <v>166</v>
      </c>
      <c r="C465" s="2" t="s">
        <v>167</v>
      </c>
      <c r="D465" s="20">
        <v>0</v>
      </c>
      <c r="E465" s="2" t="s">
        <v>838</v>
      </c>
      <c r="F465" s="2" t="s">
        <v>817</v>
      </c>
      <c r="G465" s="2" t="s">
        <v>1339</v>
      </c>
      <c r="H465" s="2" t="s">
        <v>810</v>
      </c>
      <c r="J465" s="26"/>
      <c r="K465" s="36">
        <v>1.7820100000000001E-3</v>
      </c>
      <c r="L465" s="23">
        <v>3.5639999999999999E-4</v>
      </c>
    </row>
    <row r="466" spans="1:12" ht="15.35" hidden="1" x14ac:dyDescent="0.55000000000000004">
      <c r="A466" s="20">
        <v>15388</v>
      </c>
      <c r="B466" s="2" t="s">
        <v>166</v>
      </c>
      <c r="C466" s="2" t="s">
        <v>167</v>
      </c>
      <c r="D466" s="20">
        <v>0</v>
      </c>
      <c r="E466" s="2" t="s">
        <v>838</v>
      </c>
      <c r="F466" s="2" t="s">
        <v>848</v>
      </c>
      <c r="G466" s="2" t="s">
        <v>1340</v>
      </c>
      <c r="H466" s="2" t="s">
        <v>1341</v>
      </c>
      <c r="J466" s="26"/>
      <c r="K466" s="36">
        <v>4.2047500000000002E-3</v>
      </c>
      <c r="L466" s="23">
        <v>8.4095000000000003E-4</v>
      </c>
    </row>
    <row r="467" spans="1:12" ht="15.35" hidden="1" x14ac:dyDescent="0.55000000000000004">
      <c r="A467" s="20">
        <v>15304</v>
      </c>
      <c r="B467" s="2" t="s">
        <v>166</v>
      </c>
      <c r="C467" s="2" t="s">
        <v>167</v>
      </c>
      <c r="D467" s="20">
        <v>0</v>
      </c>
      <c r="E467" s="2" t="s">
        <v>838</v>
      </c>
      <c r="F467" s="2" t="s">
        <v>817</v>
      </c>
      <c r="G467" s="2" t="s">
        <v>1342</v>
      </c>
      <c r="H467" s="2" t="s">
        <v>852</v>
      </c>
      <c r="J467" s="26"/>
      <c r="K467" s="36">
        <v>1.44163E-3</v>
      </c>
      <c r="L467" s="23">
        <v>2.8833E-4</v>
      </c>
    </row>
    <row r="468" spans="1:12" ht="15.35" hidden="1" x14ac:dyDescent="0.55000000000000004">
      <c r="A468" s="20">
        <v>15305</v>
      </c>
      <c r="B468" s="2" t="s">
        <v>166</v>
      </c>
      <c r="C468" s="2" t="s">
        <v>167</v>
      </c>
      <c r="D468" s="20">
        <v>0</v>
      </c>
      <c r="E468" s="2" t="s">
        <v>838</v>
      </c>
      <c r="F468" s="2" t="s">
        <v>817</v>
      </c>
      <c r="G468" s="2" t="s">
        <v>1343</v>
      </c>
      <c r="H468" s="2" t="s">
        <v>852</v>
      </c>
      <c r="J468" s="26"/>
      <c r="K468" s="36">
        <v>1.48167E-3</v>
      </c>
      <c r="L468" s="23">
        <v>2.9632999999999998E-4</v>
      </c>
    </row>
    <row r="469" spans="1:12" ht="15.35" hidden="1" x14ac:dyDescent="0.55000000000000004">
      <c r="A469" s="20">
        <v>15273</v>
      </c>
      <c r="B469" s="2" t="s">
        <v>166</v>
      </c>
      <c r="C469" s="2" t="s">
        <v>167</v>
      </c>
      <c r="D469" s="20">
        <v>0</v>
      </c>
      <c r="E469" s="2" t="s">
        <v>838</v>
      </c>
      <c r="F469" s="2" t="s">
        <v>848</v>
      </c>
      <c r="G469" s="2" t="s">
        <v>915</v>
      </c>
      <c r="H469" s="2" t="s">
        <v>916</v>
      </c>
      <c r="J469" s="26"/>
      <c r="K469" s="36">
        <v>4.2047500000000002E-3</v>
      </c>
      <c r="L469" s="23">
        <v>8.4095000000000003E-4</v>
      </c>
    </row>
    <row r="470" spans="1:12" ht="15.35" hidden="1" x14ac:dyDescent="0.55000000000000004">
      <c r="A470" s="20">
        <v>14932</v>
      </c>
      <c r="B470" s="2" t="s">
        <v>166</v>
      </c>
      <c r="C470" s="2" t="s">
        <v>167</v>
      </c>
      <c r="D470" s="20">
        <v>0</v>
      </c>
      <c r="E470" s="2" t="s">
        <v>838</v>
      </c>
      <c r="F470" s="2" t="s">
        <v>789</v>
      </c>
      <c r="G470" s="2" t="s">
        <v>1344</v>
      </c>
      <c r="H470" s="2" t="s">
        <v>1345</v>
      </c>
      <c r="J470" s="26"/>
      <c r="K470" s="36">
        <v>4.2047500000000002E-3</v>
      </c>
      <c r="L470" s="23">
        <v>8.4095000000000003E-4</v>
      </c>
    </row>
    <row r="471" spans="1:12" ht="15.35" hidden="1" x14ac:dyDescent="0.55000000000000004">
      <c r="A471" s="20">
        <v>14933</v>
      </c>
      <c r="B471" s="2" t="s">
        <v>166</v>
      </c>
      <c r="C471" s="2" t="s">
        <v>167</v>
      </c>
      <c r="D471" s="20">
        <v>0</v>
      </c>
      <c r="E471" s="2" t="s">
        <v>838</v>
      </c>
      <c r="F471" s="2" t="s">
        <v>789</v>
      </c>
      <c r="G471" s="2" t="s">
        <v>1346</v>
      </c>
      <c r="H471" s="2" t="s">
        <v>1345</v>
      </c>
      <c r="J471" s="26"/>
      <c r="K471" s="36">
        <v>4.2047500000000002E-3</v>
      </c>
      <c r="L471" s="23">
        <v>8.4095000000000003E-4</v>
      </c>
    </row>
    <row r="472" spans="1:12" ht="15.35" hidden="1" x14ac:dyDescent="0.55000000000000004">
      <c r="A472" s="20">
        <v>15332</v>
      </c>
      <c r="B472" s="2" t="s">
        <v>166</v>
      </c>
      <c r="C472" s="2" t="s">
        <v>167</v>
      </c>
      <c r="D472" s="20">
        <v>0</v>
      </c>
      <c r="E472" s="2" t="s">
        <v>838</v>
      </c>
      <c r="F472" s="2" t="s">
        <v>793</v>
      </c>
      <c r="G472" s="2" t="s">
        <v>1347</v>
      </c>
      <c r="H472" s="2" t="s">
        <v>979</v>
      </c>
      <c r="J472" s="26"/>
      <c r="K472" s="36">
        <v>6.2870999999999999E-4</v>
      </c>
      <c r="L472" s="23">
        <v>1.2574E-4</v>
      </c>
    </row>
    <row r="473" spans="1:12" ht="15.35" hidden="1" x14ac:dyDescent="0.55000000000000004">
      <c r="A473" s="20">
        <v>15338</v>
      </c>
      <c r="B473" s="2" t="s">
        <v>166</v>
      </c>
      <c r="C473" s="2" t="s">
        <v>167</v>
      </c>
      <c r="D473" s="20">
        <v>0</v>
      </c>
      <c r="E473" s="2" t="s">
        <v>838</v>
      </c>
      <c r="F473" s="2" t="s">
        <v>793</v>
      </c>
      <c r="G473" s="2" t="s">
        <v>1348</v>
      </c>
      <c r="H473" s="2" t="s">
        <v>979</v>
      </c>
      <c r="J473" s="26"/>
      <c r="K473" s="36">
        <v>8.8900000000000003E-4</v>
      </c>
      <c r="L473" s="23">
        <v>1.7780000000000001E-4</v>
      </c>
    </row>
    <row r="474" spans="1:12" ht="15.35" hidden="1" x14ac:dyDescent="0.55000000000000004">
      <c r="A474" s="20">
        <v>15323</v>
      </c>
      <c r="B474" s="2" t="s">
        <v>166</v>
      </c>
      <c r="C474" s="2" t="s">
        <v>167</v>
      </c>
      <c r="D474" s="20">
        <v>0</v>
      </c>
      <c r="E474" s="2" t="s">
        <v>838</v>
      </c>
      <c r="F474" s="2" t="s">
        <v>793</v>
      </c>
      <c r="G474" s="2" t="s">
        <v>1349</v>
      </c>
      <c r="H474" s="2" t="s">
        <v>979</v>
      </c>
      <c r="J474" s="26"/>
      <c r="K474" s="36">
        <v>5.6864000000000003E-4</v>
      </c>
      <c r="L474" s="23">
        <v>1.1373E-4</v>
      </c>
    </row>
    <row r="475" spans="1:12" ht="15.35" hidden="1" x14ac:dyDescent="0.55000000000000004">
      <c r="A475" s="20">
        <v>15330</v>
      </c>
      <c r="B475" s="2" t="s">
        <v>166</v>
      </c>
      <c r="C475" s="2" t="s">
        <v>167</v>
      </c>
      <c r="D475" s="20">
        <v>0</v>
      </c>
      <c r="E475" s="2" t="s">
        <v>838</v>
      </c>
      <c r="F475" s="2" t="s">
        <v>793</v>
      </c>
      <c r="G475" s="2" t="s">
        <v>1350</v>
      </c>
      <c r="H475" s="2" t="s">
        <v>979</v>
      </c>
      <c r="J475" s="26"/>
      <c r="K475" s="36">
        <v>4.4850000000000001E-4</v>
      </c>
      <c r="L475" s="23">
        <v>8.9699999999999998E-5</v>
      </c>
    </row>
    <row r="476" spans="1:12" ht="15.35" hidden="1" x14ac:dyDescent="0.55000000000000004">
      <c r="A476" s="20">
        <v>15135</v>
      </c>
      <c r="B476" s="2" t="s">
        <v>166</v>
      </c>
      <c r="C476" s="2" t="s">
        <v>167</v>
      </c>
      <c r="D476" s="20">
        <v>0</v>
      </c>
      <c r="E476" s="2" t="s">
        <v>838</v>
      </c>
      <c r="F476" s="2" t="s">
        <v>817</v>
      </c>
      <c r="G476" s="2" t="s">
        <v>1351</v>
      </c>
      <c r="H476" s="2" t="s">
        <v>1056</v>
      </c>
      <c r="J476" s="26"/>
      <c r="K476" s="36">
        <v>1.2013499999999999E-3</v>
      </c>
      <c r="L476" s="23">
        <v>2.4027E-4</v>
      </c>
    </row>
    <row r="477" spans="1:12" ht="15.35" hidden="1" x14ac:dyDescent="0.55000000000000004">
      <c r="A477" s="20">
        <v>15143</v>
      </c>
      <c r="B477" s="2" t="s">
        <v>166</v>
      </c>
      <c r="C477" s="2" t="s">
        <v>167</v>
      </c>
      <c r="D477" s="20">
        <v>0</v>
      </c>
      <c r="E477" s="2" t="s">
        <v>838</v>
      </c>
      <c r="F477" s="2" t="s">
        <v>817</v>
      </c>
      <c r="G477" s="2" t="s">
        <v>1352</v>
      </c>
      <c r="H477" s="2" t="s">
        <v>1056</v>
      </c>
      <c r="J477" s="26"/>
      <c r="K477" s="36">
        <v>2.3826899999999998E-3</v>
      </c>
      <c r="L477" s="23">
        <v>4.7654000000000001E-4</v>
      </c>
    </row>
    <row r="478" spans="1:12" ht="15.35" hidden="1" x14ac:dyDescent="0.55000000000000004">
      <c r="A478" s="20">
        <v>15027</v>
      </c>
      <c r="B478" s="2" t="s">
        <v>166</v>
      </c>
      <c r="C478" s="2" t="s">
        <v>167</v>
      </c>
      <c r="D478" s="20">
        <v>0</v>
      </c>
      <c r="E478" s="2" t="s">
        <v>838</v>
      </c>
      <c r="F478" s="2" t="s">
        <v>817</v>
      </c>
      <c r="G478" s="2" t="s">
        <v>1353</v>
      </c>
      <c r="H478" s="2" t="s">
        <v>1056</v>
      </c>
      <c r="J478" s="26"/>
      <c r="K478" s="36">
        <v>5.0456999999999998E-4</v>
      </c>
      <c r="L478" s="23">
        <v>1.0090999999999999E-4</v>
      </c>
    </row>
    <row r="479" spans="1:12" ht="15.35" hidden="1" x14ac:dyDescent="0.55000000000000004">
      <c r="A479" s="20">
        <v>15025</v>
      </c>
      <c r="B479" s="2" t="s">
        <v>166</v>
      </c>
      <c r="C479" s="2" t="s">
        <v>167</v>
      </c>
      <c r="D479" s="20">
        <v>0</v>
      </c>
      <c r="E479" s="2" t="s">
        <v>838</v>
      </c>
      <c r="F479" s="2" t="s">
        <v>817</v>
      </c>
      <c r="G479" s="2" t="s">
        <v>1354</v>
      </c>
      <c r="H479" s="2" t="s">
        <v>1056</v>
      </c>
      <c r="J479" s="26"/>
      <c r="K479" s="36">
        <v>4.4039999999999998E-5</v>
      </c>
      <c r="L479" s="23">
        <v>8.8100000000000004E-6</v>
      </c>
    </row>
    <row r="480" spans="1:12" ht="15.35" hidden="1" x14ac:dyDescent="0.55000000000000004">
      <c r="A480" s="20">
        <v>15023</v>
      </c>
      <c r="B480" s="2" t="s">
        <v>166</v>
      </c>
      <c r="C480" s="2" t="s">
        <v>167</v>
      </c>
      <c r="D480" s="20">
        <v>0</v>
      </c>
      <c r="E480" s="2" t="s">
        <v>838</v>
      </c>
      <c r="F480" s="2" t="s">
        <v>817</v>
      </c>
      <c r="G480" s="2" t="s">
        <v>1355</v>
      </c>
      <c r="H480" s="2" t="s">
        <v>1056</v>
      </c>
      <c r="J480" s="26"/>
      <c r="K480" s="36">
        <v>6.0059999999999998E-5</v>
      </c>
      <c r="L480" s="23">
        <v>1.201E-5</v>
      </c>
    </row>
    <row r="481" spans="1:12" ht="15.35" hidden="1" x14ac:dyDescent="0.55000000000000004">
      <c r="A481" s="20">
        <v>15016</v>
      </c>
      <c r="B481" s="2" t="s">
        <v>166</v>
      </c>
      <c r="C481" s="2" t="s">
        <v>167</v>
      </c>
      <c r="D481" s="20">
        <v>0</v>
      </c>
      <c r="E481" s="2" t="s">
        <v>838</v>
      </c>
      <c r="F481" s="2" t="s">
        <v>817</v>
      </c>
      <c r="G481" s="2" t="s">
        <v>1356</v>
      </c>
      <c r="H481" s="2" t="s">
        <v>1056</v>
      </c>
      <c r="J481" s="26"/>
      <c r="K481" s="36">
        <v>5.1256999999999995E-4</v>
      </c>
      <c r="L481" s="23">
        <v>1.0251000000000001E-4</v>
      </c>
    </row>
    <row r="482" spans="1:12" ht="15.35" hidden="1" x14ac:dyDescent="0.55000000000000004">
      <c r="A482" s="20">
        <v>15333</v>
      </c>
      <c r="B482" s="2" t="s">
        <v>166</v>
      </c>
      <c r="C482" s="2" t="s">
        <v>167</v>
      </c>
      <c r="D482" s="20">
        <v>0</v>
      </c>
      <c r="E482" s="2" t="s">
        <v>838</v>
      </c>
      <c r="F482" s="2" t="s">
        <v>848</v>
      </c>
      <c r="G482" s="2" t="s">
        <v>1357</v>
      </c>
      <c r="H482" s="2" t="s">
        <v>1060</v>
      </c>
      <c r="J482" s="26"/>
      <c r="K482" s="36">
        <v>4.2047500000000002E-3</v>
      </c>
      <c r="L482" s="23">
        <v>8.4095000000000003E-4</v>
      </c>
    </row>
    <row r="483" spans="1:12" ht="15.35" hidden="1" x14ac:dyDescent="0.55000000000000004">
      <c r="A483" s="20">
        <v>14859</v>
      </c>
      <c r="B483" s="2" t="s">
        <v>166</v>
      </c>
      <c r="C483" s="2" t="s">
        <v>167</v>
      </c>
      <c r="D483" s="20">
        <v>0</v>
      </c>
      <c r="E483" s="2" t="s">
        <v>838</v>
      </c>
      <c r="F483" s="2" t="s">
        <v>783</v>
      </c>
      <c r="G483" s="2" t="s">
        <v>1061</v>
      </c>
      <c r="H483" s="2" t="s">
        <v>1062</v>
      </c>
      <c r="J483" s="26"/>
      <c r="K483" s="36">
        <v>4.0045E-4</v>
      </c>
      <c r="L483" s="23">
        <v>8.0090000000000001E-5</v>
      </c>
    </row>
    <row r="484" spans="1:12" ht="15.35" hidden="1" x14ac:dyDescent="0.55000000000000004">
      <c r="A484" s="20">
        <v>14861</v>
      </c>
      <c r="B484" s="2" t="s">
        <v>166</v>
      </c>
      <c r="C484" s="2" t="s">
        <v>167</v>
      </c>
      <c r="D484" s="20">
        <v>0</v>
      </c>
      <c r="E484" s="2" t="s">
        <v>838</v>
      </c>
      <c r="F484" s="2" t="s">
        <v>811</v>
      </c>
      <c r="G484" s="2" t="s">
        <v>1067</v>
      </c>
      <c r="H484" s="2" t="s">
        <v>1062</v>
      </c>
      <c r="J484" s="26"/>
      <c r="K484" s="36">
        <v>5.6063E-4</v>
      </c>
      <c r="L484" s="23">
        <v>1.1213E-4</v>
      </c>
    </row>
    <row r="485" spans="1:12" ht="15.35" hidden="1" x14ac:dyDescent="0.55000000000000004">
      <c r="A485" s="20">
        <v>15372</v>
      </c>
      <c r="B485" s="2" t="s">
        <v>166</v>
      </c>
      <c r="C485" s="2" t="s">
        <v>167</v>
      </c>
      <c r="D485" s="20">
        <v>0</v>
      </c>
      <c r="E485" s="2" t="s">
        <v>838</v>
      </c>
      <c r="F485" s="2" t="s">
        <v>789</v>
      </c>
      <c r="G485" s="2" t="s">
        <v>1358</v>
      </c>
      <c r="H485" s="2" t="s">
        <v>854</v>
      </c>
      <c r="J485" s="26"/>
      <c r="K485" s="36">
        <v>4.2047500000000002E-3</v>
      </c>
      <c r="L485" s="23">
        <v>8.4095000000000003E-4</v>
      </c>
    </row>
    <row r="486" spans="1:12" ht="15.35" hidden="1" x14ac:dyDescent="0.55000000000000004">
      <c r="A486" s="20">
        <v>15370</v>
      </c>
      <c r="B486" s="2" t="s">
        <v>166</v>
      </c>
      <c r="C486" s="2" t="s">
        <v>167</v>
      </c>
      <c r="D486" s="20">
        <v>0</v>
      </c>
      <c r="E486" s="2" t="s">
        <v>838</v>
      </c>
      <c r="F486" s="2" t="s">
        <v>789</v>
      </c>
      <c r="G486" s="2" t="s">
        <v>1359</v>
      </c>
      <c r="H486" s="2" t="s">
        <v>854</v>
      </c>
      <c r="J486" s="26"/>
      <c r="K486" s="36">
        <v>4.2047500000000002E-3</v>
      </c>
      <c r="L486" s="23">
        <v>8.4095000000000003E-4</v>
      </c>
    </row>
    <row r="487" spans="1:12" ht="15.35" hidden="1" x14ac:dyDescent="0.55000000000000004">
      <c r="A487" s="20">
        <v>15371</v>
      </c>
      <c r="B487" s="2" t="s">
        <v>166</v>
      </c>
      <c r="C487" s="2" t="s">
        <v>167</v>
      </c>
      <c r="D487" s="20">
        <v>0</v>
      </c>
      <c r="E487" s="2" t="s">
        <v>838</v>
      </c>
      <c r="F487" s="2" t="s">
        <v>789</v>
      </c>
      <c r="G487" s="2" t="s">
        <v>1360</v>
      </c>
      <c r="H487" s="2" t="s">
        <v>854</v>
      </c>
      <c r="J487" s="26"/>
      <c r="K487" s="36">
        <v>4.2047500000000002E-3</v>
      </c>
      <c r="L487" s="23">
        <v>8.4095000000000003E-4</v>
      </c>
    </row>
    <row r="488" spans="1:12" ht="15.35" hidden="1" x14ac:dyDescent="0.55000000000000004">
      <c r="A488" s="20">
        <v>15369</v>
      </c>
      <c r="B488" s="2" t="s">
        <v>166</v>
      </c>
      <c r="C488" s="2" t="s">
        <v>167</v>
      </c>
      <c r="D488" s="20">
        <v>0</v>
      </c>
      <c r="E488" s="2" t="s">
        <v>838</v>
      </c>
      <c r="F488" s="2" t="s">
        <v>789</v>
      </c>
      <c r="G488" s="2" t="s">
        <v>853</v>
      </c>
      <c r="H488" s="2" t="s">
        <v>854</v>
      </c>
      <c r="J488" s="26"/>
      <c r="K488" s="36">
        <v>4.2047500000000002E-3</v>
      </c>
      <c r="L488" s="23">
        <v>8.4095000000000003E-4</v>
      </c>
    </row>
    <row r="489" spans="1:12" ht="15.35" hidden="1" x14ac:dyDescent="0.55000000000000004">
      <c r="A489" s="20">
        <v>15368</v>
      </c>
      <c r="B489" s="2" t="s">
        <v>166</v>
      </c>
      <c r="C489" s="2" t="s">
        <v>167</v>
      </c>
      <c r="D489" s="20">
        <v>0</v>
      </c>
      <c r="E489" s="2" t="s">
        <v>838</v>
      </c>
      <c r="F489" s="2" t="s">
        <v>789</v>
      </c>
      <c r="G489" s="2" t="s">
        <v>855</v>
      </c>
      <c r="H489" s="2" t="s">
        <v>856</v>
      </c>
      <c r="J489" s="26"/>
      <c r="K489" s="36">
        <v>4.2047500000000002E-3</v>
      </c>
      <c r="L489" s="23">
        <v>8.4095000000000003E-4</v>
      </c>
    </row>
    <row r="490" spans="1:12" ht="15.35" hidden="1" x14ac:dyDescent="0.55000000000000004">
      <c r="A490" s="20">
        <v>15285</v>
      </c>
      <c r="B490" s="2" t="s">
        <v>166</v>
      </c>
      <c r="C490" s="2" t="s">
        <v>167</v>
      </c>
      <c r="D490" s="20">
        <v>0</v>
      </c>
      <c r="E490" s="2" t="s">
        <v>838</v>
      </c>
      <c r="F490" s="2" t="s">
        <v>789</v>
      </c>
      <c r="G490" s="2" t="s">
        <v>1361</v>
      </c>
      <c r="H490" s="2" t="s">
        <v>1362</v>
      </c>
      <c r="J490" s="26"/>
      <c r="K490" s="36">
        <v>4.2047500000000002E-3</v>
      </c>
      <c r="L490" s="23">
        <v>8.4095000000000003E-4</v>
      </c>
    </row>
    <row r="491" spans="1:12" ht="15.35" hidden="1" x14ac:dyDescent="0.55000000000000004">
      <c r="A491" s="20">
        <v>15017</v>
      </c>
      <c r="B491" s="2" t="s">
        <v>166</v>
      </c>
      <c r="C491" s="2" t="s">
        <v>167</v>
      </c>
      <c r="D491" s="20">
        <v>0</v>
      </c>
      <c r="E491" s="2" t="s">
        <v>838</v>
      </c>
      <c r="F491" s="2" t="s">
        <v>789</v>
      </c>
      <c r="G491" s="2" t="s">
        <v>917</v>
      </c>
      <c r="H491" s="2" t="s">
        <v>918</v>
      </c>
      <c r="J491" s="26"/>
      <c r="K491" s="36">
        <v>4.2047500000000002E-3</v>
      </c>
      <c r="L491" s="23">
        <v>8.4095000000000003E-4</v>
      </c>
    </row>
    <row r="492" spans="1:12" ht="15.35" hidden="1" x14ac:dyDescent="0.55000000000000004">
      <c r="A492" s="20">
        <v>15018</v>
      </c>
      <c r="B492" s="2" t="s">
        <v>166</v>
      </c>
      <c r="C492" s="2" t="s">
        <v>167</v>
      </c>
      <c r="D492" s="20">
        <v>0</v>
      </c>
      <c r="E492" s="2" t="s">
        <v>838</v>
      </c>
      <c r="F492" s="2" t="s">
        <v>789</v>
      </c>
      <c r="G492" s="2" t="s">
        <v>919</v>
      </c>
      <c r="H492" s="2" t="s">
        <v>920</v>
      </c>
      <c r="J492" s="26"/>
      <c r="K492" s="36">
        <v>4.2047500000000002E-3</v>
      </c>
      <c r="L492" s="23">
        <v>8.4095000000000003E-4</v>
      </c>
    </row>
    <row r="493" spans="1:12" ht="15.35" hidden="1" x14ac:dyDescent="0.55000000000000004">
      <c r="A493" s="20">
        <v>15313</v>
      </c>
      <c r="B493" s="2" t="s">
        <v>166</v>
      </c>
      <c r="C493" s="2" t="s">
        <v>167</v>
      </c>
      <c r="D493" s="20">
        <v>0</v>
      </c>
      <c r="E493" s="2" t="s">
        <v>838</v>
      </c>
      <c r="F493" s="2" t="s">
        <v>811</v>
      </c>
      <c r="G493" s="2" t="s">
        <v>1363</v>
      </c>
      <c r="H493" s="2" t="s">
        <v>1003</v>
      </c>
      <c r="J493" s="26"/>
      <c r="K493" s="36">
        <v>4.2047500000000002E-3</v>
      </c>
      <c r="L493" s="23">
        <v>8.4095000000000003E-4</v>
      </c>
    </row>
    <row r="494" spans="1:12" ht="15.35" hidden="1" x14ac:dyDescent="0.55000000000000004">
      <c r="A494" s="20">
        <v>15318</v>
      </c>
      <c r="B494" s="2" t="s">
        <v>166</v>
      </c>
      <c r="C494" s="2" t="s">
        <v>167</v>
      </c>
      <c r="D494" s="20">
        <v>0</v>
      </c>
      <c r="E494" s="2" t="s">
        <v>838</v>
      </c>
      <c r="F494" s="2" t="s">
        <v>783</v>
      </c>
      <c r="G494" s="2" t="s">
        <v>1364</v>
      </c>
      <c r="H494" s="2" t="s">
        <v>1003</v>
      </c>
      <c r="J494" s="26"/>
      <c r="K494" s="36">
        <v>4.2047500000000002E-3</v>
      </c>
      <c r="L494" s="23">
        <v>8.4095000000000003E-4</v>
      </c>
    </row>
    <row r="495" spans="1:12" ht="15.35" hidden="1" x14ac:dyDescent="0.55000000000000004">
      <c r="A495" s="20">
        <v>15311</v>
      </c>
      <c r="B495" s="2" t="s">
        <v>166</v>
      </c>
      <c r="C495" s="2" t="s">
        <v>167</v>
      </c>
      <c r="D495" s="20">
        <v>0</v>
      </c>
      <c r="E495" s="2" t="s">
        <v>838</v>
      </c>
      <c r="F495" s="2" t="s">
        <v>811</v>
      </c>
      <c r="G495" s="2" t="s">
        <v>1365</v>
      </c>
      <c r="H495" s="2" t="s">
        <v>1003</v>
      </c>
      <c r="J495" s="26"/>
      <c r="K495" s="36">
        <v>4.2047500000000002E-3</v>
      </c>
      <c r="L495" s="23">
        <v>8.4095000000000003E-4</v>
      </c>
    </row>
    <row r="496" spans="1:12" ht="15.35" hidden="1" x14ac:dyDescent="0.55000000000000004">
      <c r="A496" s="20">
        <v>15384</v>
      </c>
      <c r="B496" s="2" t="s">
        <v>166</v>
      </c>
      <c r="C496" s="2" t="s">
        <v>167</v>
      </c>
      <c r="D496" s="20">
        <v>0</v>
      </c>
      <c r="E496" s="2" t="s">
        <v>838</v>
      </c>
      <c r="F496" s="2" t="s">
        <v>798</v>
      </c>
      <c r="G496" s="2" t="s">
        <v>1366</v>
      </c>
      <c r="H496" s="2" t="s">
        <v>1086</v>
      </c>
      <c r="J496" s="26"/>
      <c r="K496" s="36">
        <v>4.1647E-4</v>
      </c>
      <c r="L496" s="23">
        <v>8.3289999999999997E-5</v>
      </c>
    </row>
    <row r="497" spans="1:12" ht="15.35" hidden="1" x14ac:dyDescent="0.55000000000000004">
      <c r="A497" s="20">
        <v>15385</v>
      </c>
      <c r="B497" s="2" t="s">
        <v>166</v>
      </c>
      <c r="C497" s="2" t="s">
        <v>167</v>
      </c>
      <c r="D497" s="20">
        <v>0</v>
      </c>
      <c r="E497" s="2" t="s">
        <v>838</v>
      </c>
      <c r="F497" s="2" t="s">
        <v>798</v>
      </c>
      <c r="G497" s="2" t="s">
        <v>1367</v>
      </c>
      <c r="H497" s="2" t="s">
        <v>1086</v>
      </c>
      <c r="J497" s="26"/>
      <c r="K497" s="36">
        <v>8.6096999999999996E-4</v>
      </c>
      <c r="L497" s="23">
        <v>1.7218999999999999E-4</v>
      </c>
    </row>
    <row r="498" spans="1:12" ht="15.35" hidden="1" x14ac:dyDescent="0.55000000000000004">
      <c r="A498" s="20">
        <v>14927</v>
      </c>
      <c r="B498" s="2" t="s">
        <v>166</v>
      </c>
      <c r="C498" s="2" t="s">
        <v>167</v>
      </c>
      <c r="D498" s="20">
        <v>0</v>
      </c>
      <c r="E498" s="2" t="s">
        <v>838</v>
      </c>
      <c r="F498" s="2" t="s">
        <v>789</v>
      </c>
      <c r="G498" s="2" t="s">
        <v>1089</v>
      </c>
      <c r="H498" s="2" t="s">
        <v>1088</v>
      </c>
      <c r="J498" s="26"/>
      <c r="K498" s="36">
        <v>2.8552299999999998E-3</v>
      </c>
      <c r="L498" s="23">
        <v>5.7105000000000003E-4</v>
      </c>
    </row>
    <row r="499" spans="1:12" ht="15.35" hidden="1" x14ac:dyDescent="0.55000000000000004">
      <c r="A499" s="20">
        <v>15137</v>
      </c>
      <c r="B499" s="2" t="s">
        <v>166</v>
      </c>
      <c r="C499" s="2" t="s">
        <v>167</v>
      </c>
      <c r="D499" s="20">
        <v>0</v>
      </c>
      <c r="E499" s="2" t="s">
        <v>838</v>
      </c>
      <c r="F499" s="2" t="s">
        <v>793</v>
      </c>
      <c r="G499" s="2" t="s">
        <v>1368</v>
      </c>
      <c r="H499" s="2" t="s">
        <v>1369</v>
      </c>
      <c r="J499" s="26"/>
      <c r="K499" s="36">
        <v>3.8083000000000001E-3</v>
      </c>
      <c r="L499" s="23">
        <v>7.6166000000000005E-4</v>
      </c>
    </row>
    <row r="500" spans="1:12" ht="15.35" hidden="1" x14ac:dyDescent="0.55000000000000004">
      <c r="A500" s="20">
        <v>15134</v>
      </c>
      <c r="B500" s="2" t="s">
        <v>166</v>
      </c>
      <c r="C500" s="2" t="s">
        <v>167</v>
      </c>
      <c r="D500" s="20">
        <v>0</v>
      </c>
      <c r="E500" s="2" t="s">
        <v>838</v>
      </c>
      <c r="F500" s="2" t="s">
        <v>793</v>
      </c>
      <c r="G500" s="2" t="s">
        <v>1370</v>
      </c>
      <c r="H500" s="2" t="s">
        <v>1369</v>
      </c>
      <c r="J500" s="26"/>
      <c r="K500" s="36">
        <v>3.8043E-3</v>
      </c>
      <c r="L500" s="23">
        <v>7.6086000000000003E-4</v>
      </c>
    </row>
    <row r="501" spans="1:12" ht="15.35" hidden="1" x14ac:dyDescent="0.55000000000000004">
      <c r="A501" s="20">
        <v>15127</v>
      </c>
      <c r="B501" s="2" t="s">
        <v>166</v>
      </c>
      <c r="C501" s="2" t="s">
        <v>167</v>
      </c>
      <c r="D501" s="20">
        <v>0</v>
      </c>
      <c r="E501" s="2" t="s">
        <v>838</v>
      </c>
      <c r="F501" s="2" t="s">
        <v>848</v>
      </c>
      <c r="G501" s="2" t="s">
        <v>923</v>
      </c>
      <c r="H501" s="2" t="s">
        <v>924</v>
      </c>
      <c r="J501" s="26"/>
      <c r="K501" s="36">
        <v>2.0022600000000001E-3</v>
      </c>
      <c r="L501" s="23">
        <v>4.0045E-4</v>
      </c>
    </row>
    <row r="502" spans="1:12" ht="15.35" hidden="1" x14ac:dyDescent="0.55000000000000004">
      <c r="A502" s="20">
        <v>15392</v>
      </c>
      <c r="B502" s="2" t="s">
        <v>166</v>
      </c>
      <c r="C502" s="2" t="s">
        <v>167</v>
      </c>
      <c r="D502" s="20">
        <v>0</v>
      </c>
      <c r="E502" s="2" t="s">
        <v>838</v>
      </c>
      <c r="F502" s="2" t="s">
        <v>848</v>
      </c>
      <c r="G502" s="2" t="s">
        <v>1371</v>
      </c>
      <c r="H502" s="2" t="s">
        <v>1094</v>
      </c>
      <c r="J502" s="26"/>
      <c r="K502" s="36">
        <v>4.2047500000000002E-3</v>
      </c>
      <c r="L502" s="23">
        <v>8.4095000000000003E-4</v>
      </c>
    </row>
    <row r="503" spans="1:12" ht="15.35" hidden="1" x14ac:dyDescent="0.55000000000000004">
      <c r="A503" s="20">
        <v>15396</v>
      </c>
      <c r="B503" s="2" t="s">
        <v>166</v>
      </c>
      <c r="C503" s="2" t="s">
        <v>167</v>
      </c>
      <c r="D503" s="20">
        <v>0</v>
      </c>
      <c r="E503" s="2" t="s">
        <v>838</v>
      </c>
      <c r="F503" s="2" t="s">
        <v>848</v>
      </c>
      <c r="G503" s="2" t="s">
        <v>1372</v>
      </c>
      <c r="H503" s="2" t="s">
        <v>1095</v>
      </c>
      <c r="J503" s="26"/>
      <c r="K503" s="36">
        <v>4.2047500000000002E-3</v>
      </c>
      <c r="L503" s="23">
        <v>8.4095000000000003E-4</v>
      </c>
    </row>
    <row r="504" spans="1:12" ht="15.35" hidden="1" x14ac:dyDescent="0.55000000000000004">
      <c r="A504" s="20">
        <v>15009</v>
      </c>
      <c r="B504" s="2" t="s">
        <v>166</v>
      </c>
      <c r="C504" s="2" t="s">
        <v>167</v>
      </c>
      <c r="D504" s="20">
        <v>0</v>
      </c>
      <c r="E504" s="2" t="s">
        <v>838</v>
      </c>
      <c r="F504" s="2" t="s">
        <v>793</v>
      </c>
      <c r="G504" s="2" t="s">
        <v>1373</v>
      </c>
      <c r="H504" s="2" t="s">
        <v>1374</v>
      </c>
      <c r="J504" s="26"/>
      <c r="K504" s="36">
        <v>2.7230000000000001E-4</v>
      </c>
      <c r="L504" s="23">
        <v>5.4459999999999997E-5</v>
      </c>
    </row>
    <row r="505" spans="1:12" ht="15.35" hidden="1" x14ac:dyDescent="0.55000000000000004">
      <c r="A505" s="20">
        <v>15399</v>
      </c>
      <c r="B505" s="2" t="s">
        <v>166</v>
      </c>
      <c r="C505" s="2" t="s">
        <v>167</v>
      </c>
      <c r="D505" s="20">
        <v>0</v>
      </c>
      <c r="E505" s="2" t="s">
        <v>838</v>
      </c>
      <c r="F505" s="2" t="s">
        <v>848</v>
      </c>
      <c r="G505" s="2" t="s">
        <v>1375</v>
      </c>
      <c r="H505" s="2" t="s">
        <v>1096</v>
      </c>
      <c r="J505" s="26"/>
      <c r="K505" s="36">
        <v>4.2047500000000002E-3</v>
      </c>
      <c r="L505" s="23">
        <v>8.4095000000000003E-4</v>
      </c>
    </row>
    <row r="506" spans="1:12" ht="15.35" hidden="1" x14ac:dyDescent="0.55000000000000004">
      <c r="A506" s="20">
        <v>15244</v>
      </c>
      <c r="B506" s="2" t="s">
        <v>166</v>
      </c>
      <c r="C506" s="2" t="s">
        <v>167</v>
      </c>
      <c r="D506" s="20">
        <v>0</v>
      </c>
      <c r="E506" s="2" t="s">
        <v>838</v>
      </c>
      <c r="F506" s="2" t="s">
        <v>793</v>
      </c>
      <c r="G506" s="2" t="s">
        <v>1376</v>
      </c>
      <c r="H506" s="2" t="s">
        <v>1377</v>
      </c>
      <c r="J506" s="26"/>
      <c r="K506" s="36">
        <v>3.6641400000000002E-3</v>
      </c>
      <c r="L506" s="23">
        <v>7.3282999999999996E-4</v>
      </c>
    </row>
    <row r="507" spans="1:12" ht="15.35" hidden="1" x14ac:dyDescent="0.55000000000000004">
      <c r="A507" s="20">
        <v>15163</v>
      </c>
      <c r="B507" s="2" t="s">
        <v>166</v>
      </c>
      <c r="C507" s="2" t="s">
        <v>167</v>
      </c>
      <c r="D507" s="20">
        <v>0</v>
      </c>
      <c r="E507" s="2" t="s">
        <v>838</v>
      </c>
      <c r="F507" s="2" t="s">
        <v>848</v>
      </c>
      <c r="G507" s="2" t="s">
        <v>1378</v>
      </c>
      <c r="H507" s="2" t="s">
        <v>1097</v>
      </c>
      <c r="J507" s="26"/>
      <c r="K507" s="36">
        <v>3.0033899999999999E-3</v>
      </c>
      <c r="L507" s="23">
        <v>6.0068000000000003E-4</v>
      </c>
    </row>
    <row r="508" spans="1:12" ht="15.35" hidden="1" x14ac:dyDescent="0.55000000000000004">
      <c r="A508" s="20">
        <v>15389</v>
      </c>
      <c r="B508" s="2" t="s">
        <v>166</v>
      </c>
      <c r="C508" s="2" t="s">
        <v>167</v>
      </c>
      <c r="D508" s="20">
        <v>0</v>
      </c>
      <c r="E508" s="2" t="s">
        <v>838</v>
      </c>
      <c r="F508" s="2" t="s">
        <v>848</v>
      </c>
      <c r="G508" s="2" t="s">
        <v>1379</v>
      </c>
      <c r="H508" s="2" t="s">
        <v>1098</v>
      </c>
      <c r="J508" s="26"/>
      <c r="K508" s="36">
        <v>4.2047500000000002E-3</v>
      </c>
      <c r="L508" s="23">
        <v>8.4095000000000003E-4</v>
      </c>
    </row>
    <row r="509" spans="1:12" ht="15.35" hidden="1" x14ac:dyDescent="0.55000000000000004">
      <c r="A509" s="20">
        <v>14937</v>
      </c>
      <c r="B509" s="2" t="s">
        <v>166</v>
      </c>
      <c r="C509" s="2" t="s">
        <v>167</v>
      </c>
      <c r="D509" s="20">
        <v>0</v>
      </c>
      <c r="E509" s="2" t="s">
        <v>838</v>
      </c>
      <c r="F509" s="2" t="s">
        <v>817</v>
      </c>
      <c r="G509" s="2" t="s">
        <v>1380</v>
      </c>
      <c r="H509" s="2" t="s">
        <v>1254</v>
      </c>
      <c r="J509" s="26"/>
      <c r="K509" s="36">
        <v>3.60407E-3</v>
      </c>
      <c r="L509" s="23">
        <v>7.2081000000000001E-4</v>
      </c>
    </row>
    <row r="510" spans="1:12" ht="15.35" hidden="1" x14ac:dyDescent="0.55000000000000004">
      <c r="A510" s="20">
        <v>14941</v>
      </c>
      <c r="B510" s="2" t="s">
        <v>166</v>
      </c>
      <c r="C510" s="2" t="s">
        <v>167</v>
      </c>
      <c r="D510" s="20">
        <v>0</v>
      </c>
      <c r="E510" s="2" t="s">
        <v>838</v>
      </c>
      <c r="F510" s="2" t="s">
        <v>817</v>
      </c>
      <c r="G510" s="2" t="s">
        <v>1381</v>
      </c>
      <c r="H510" s="2" t="s">
        <v>1254</v>
      </c>
      <c r="J510" s="26"/>
      <c r="K510" s="36">
        <v>4.2047500000000002E-3</v>
      </c>
      <c r="L510" s="23">
        <v>8.4095000000000003E-4</v>
      </c>
    </row>
    <row r="511" spans="1:12" ht="15.35" hidden="1" x14ac:dyDescent="0.55000000000000004">
      <c r="A511" s="20">
        <v>14942</v>
      </c>
      <c r="B511" s="2" t="s">
        <v>166</v>
      </c>
      <c r="C511" s="2" t="s">
        <v>167</v>
      </c>
      <c r="D511" s="20">
        <v>0</v>
      </c>
      <c r="E511" s="2" t="s">
        <v>838</v>
      </c>
      <c r="F511" s="2" t="s">
        <v>817</v>
      </c>
      <c r="G511" s="2" t="s">
        <v>1382</v>
      </c>
      <c r="H511" s="2" t="s">
        <v>1254</v>
      </c>
      <c r="J511" s="26"/>
      <c r="K511" s="36">
        <v>4.2047500000000002E-3</v>
      </c>
      <c r="L511" s="23">
        <v>8.4095000000000003E-4</v>
      </c>
    </row>
    <row r="512" spans="1:12" ht="15.35" hidden="1" x14ac:dyDescent="0.55000000000000004">
      <c r="A512" s="20">
        <v>14943</v>
      </c>
      <c r="B512" s="2" t="s">
        <v>166</v>
      </c>
      <c r="C512" s="2" t="s">
        <v>167</v>
      </c>
      <c r="D512" s="20">
        <v>0</v>
      </c>
      <c r="E512" s="2" t="s">
        <v>838</v>
      </c>
      <c r="F512" s="2" t="s">
        <v>817</v>
      </c>
      <c r="G512" s="2" t="s">
        <v>1383</v>
      </c>
      <c r="H512" s="2" t="s">
        <v>1254</v>
      </c>
      <c r="J512" s="26"/>
      <c r="K512" s="36">
        <v>4.2047500000000002E-3</v>
      </c>
      <c r="L512" s="23">
        <v>8.4095000000000003E-4</v>
      </c>
    </row>
    <row r="513" spans="1:12" ht="15.35" hidden="1" x14ac:dyDescent="0.55000000000000004">
      <c r="A513" s="20">
        <v>14950</v>
      </c>
      <c r="B513" s="2" t="s">
        <v>166</v>
      </c>
      <c r="C513" s="2" t="s">
        <v>167</v>
      </c>
      <c r="D513" s="20">
        <v>0</v>
      </c>
      <c r="E513" s="2" t="s">
        <v>838</v>
      </c>
      <c r="F513" s="2" t="s">
        <v>817</v>
      </c>
      <c r="G513" s="2" t="s">
        <v>1384</v>
      </c>
      <c r="H513" s="2" t="s">
        <v>1254</v>
      </c>
      <c r="J513" s="26"/>
      <c r="K513" s="36">
        <v>4.0045E-4</v>
      </c>
      <c r="L513" s="23">
        <v>8.0090000000000001E-5</v>
      </c>
    </row>
    <row r="514" spans="1:12" ht="15.35" hidden="1" x14ac:dyDescent="0.55000000000000004">
      <c r="A514" s="20">
        <v>14949</v>
      </c>
      <c r="B514" s="2" t="s">
        <v>166</v>
      </c>
      <c r="C514" s="2" t="s">
        <v>167</v>
      </c>
      <c r="D514" s="20">
        <v>0</v>
      </c>
      <c r="E514" s="2" t="s">
        <v>838</v>
      </c>
      <c r="F514" s="2" t="s">
        <v>817</v>
      </c>
      <c r="G514" s="2" t="s">
        <v>1385</v>
      </c>
      <c r="H514" s="2" t="s">
        <v>1254</v>
      </c>
      <c r="J514" s="26"/>
      <c r="K514" s="36">
        <v>1.30547E-3</v>
      </c>
      <c r="L514" s="23">
        <v>2.6109000000000001E-4</v>
      </c>
    </row>
    <row r="515" spans="1:12" ht="15.35" hidden="1" x14ac:dyDescent="0.55000000000000004">
      <c r="A515" s="20">
        <v>14948</v>
      </c>
      <c r="B515" s="2" t="s">
        <v>166</v>
      </c>
      <c r="C515" s="2" t="s">
        <v>167</v>
      </c>
      <c r="D515" s="20">
        <v>0</v>
      </c>
      <c r="E515" s="2" t="s">
        <v>838</v>
      </c>
      <c r="F515" s="2" t="s">
        <v>817</v>
      </c>
      <c r="G515" s="2" t="s">
        <v>1386</v>
      </c>
      <c r="H515" s="2" t="s">
        <v>1254</v>
      </c>
      <c r="J515" s="26"/>
      <c r="K515" s="36">
        <v>6.0066999999999998E-4</v>
      </c>
      <c r="L515" s="23">
        <v>1.2013E-4</v>
      </c>
    </row>
    <row r="516" spans="1:12" ht="15.35" hidden="1" x14ac:dyDescent="0.55000000000000004">
      <c r="A516" s="20">
        <v>14946</v>
      </c>
      <c r="B516" s="2" t="s">
        <v>166</v>
      </c>
      <c r="C516" s="2" t="s">
        <v>167</v>
      </c>
      <c r="D516" s="20">
        <v>0</v>
      </c>
      <c r="E516" s="2" t="s">
        <v>838</v>
      </c>
      <c r="F516" s="2" t="s">
        <v>817</v>
      </c>
      <c r="G516" s="2" t="s">
        <v>1387</v>
      </c>
      <c r="H516" s="2" t="s">
        <v>1254</v>
      </c>
      <c r="J516" s="26"/>
      <c r="K516" s="36">
        <v>4.2047500000000002E-3</v>
      </c>
      <c r="L516" s="23">
        <v>8.4095000000000003E-4</v>
      </c>
    </row>
    <row r="517" spans="1:12" ht="15.35" hidden="1" x14ac:dyDescent="0.55000000000000004">
      <c r="A517" s="20">
        <v>14947</v>
      </c>
      <c r="B517" s="2" t="s">
        <v>166</v>
      </c>
      <c r="C517" s="2" t="s">
        <v>167</v>
      </c>
      <c r="D517" s="20">
        <v>0</v>
      </c>
      <c r="E517" s="2" t="s">
        <v>838</v>
      </c>
      <c r="F517" s="2" t="s">
        <v>817</v>
      </c>
      <c r="G517" s="2" t="s">
        <v>1388</v>
      </c>
      <c r="H517" s="2" t="s">
        <v>1254</v>
      </c>
      <c r="J517" s="26"/>
      <c r="K517" s="36">
        <v>2.0022600000000001E-3</v>
      </c>
      <c r="L517" s="23">
        <v>4.0045E-4</v>
      </c>
    </row>
    <row r="518" spans="1:12" ht="15.35" hidden="1" x14ac:dyDescent="0.55000000000000004">
      <c r="A518" s="20">
        <v>14945</v>
      </c>
      <c r="B518" s="2" t="s">
        <v>166</v>
      </c>
      <c r="C518" s="2" t="s">
        <v>167</v>
      </c>
      <c r="D518" s="20">
        <v>0</v>
      </c>
      <c r="E518" s="2" t="s">
        <v>838</v>
      </c>
      <c r="F518" s="2" t="s">
        <v>817</v>
      </c>
      <c r="G518" s="2" t="s">
        <v>1389</v>
      </c>
      <c r="H518" s="2" t="s">
        <v>1254</v>
      </c>
      <c r="J518" s="26"/>
      <c r="K518" s="36">
        <v>4.2047500000000002E-3</v>
      </c>
      <c r="L518" s="23">
        <v>8.4095000000000003E-4</v>
      </c>
    </row>
    <row r="519" spans="1:12" ht="15.35" hidden="1" x14ac:dyDescent="0.55000000000000004">
      <c r="A519" s="20">
        <v>14936</v>
      </c>
      <c r="B519" s="2" t="s">
        <v>166</v>
      </c>
      <c r="C519" s="2" t="s">
        <v>167</v>
      </c>
      <c r="D519" s="20">
        <v>0</v>
      </c>
      <c r="E519" s="2" t="s">
        <v>838</v>
      </c>
      <c r="F519" s="2" t="s">
        <v>817</v>
      </c>
      <c r="G519" s="2" t="s">
        <v>1390</v>
      </c>
      <c r="H519" s="2" t="s">
        <v>1254</v>
      </c>
      <c r="J519" s="26"/>
      <c r="K519" s="36">
        <v>1.6018E-4</v>
      </c>
      <c r="L519" s="23">
        <v>3.2039999999999998E-5</v>
      </c>
    </row>
    <row r="520" spans="1:12" ht="15.35" hidden="1" x14ac:dyDescent="0.55000000000000004">
      <c r="A520" s="20">
        <v>14953</v>
      </c>
      <c r="B520" s="2" t="s">
        <v>166</v>
      </c>
      <c r="C520" s="2" t="s">
        <v>167</v>
      </c>
      <c r="D520" s="20">
        <v>0</v>
      </c>
      <c r="E520" s="2" t="s">
        <v>838</v>
      </c>
      <c r="F520" s="2" t="s">
        <v>817</v>
      </c>
      <c r="G520" s="2" t="s">
        <v>1391</v>
      </c>
      <c r="H520" s="2" t="s">
        <v>1254</v>
      </c>
      <c r="J520" s="26"/>
      <c r="K520" s="36">
        <v>5.3260000000000004E-4</v>
      </c>
      <c r="L520" s="23">
        <v>1.0652E-4</v>
      </c>
    </row>
    <row r="521" spans="1:12" ht="15.35" hidden="1" x14ac:dyDescent="0.55000000000000004">
      <c r="A521" s="20">
        <v>14944</v>
      </c>
      <c r="B521" s="2" t="s">
        <v>166</v>
      </c>
      <c r="C521" s="2" t="s">
        <v>167</v>
      </c>
      <c r="D521" s="20">
        <v>0</v>
      </c>
      <c r="E521" s="2" t="s">
        <v>838</v>
      </c>
      <c r="F521" s="2" t="s">
        <v>817</v>
      </c>
      <c r="G521" s="2" t="s">
        <v>1392</v>
      </c>
      <c r="H521" s="2" t="s">
        <v>1254</v>
      </c>
      <c r="J521" s="26"/>
      <c r="K521" s="36">
        <v>4.2047500000000002E-3</v>
      </c>
      <c r="L521" s="23">
        <v>8.4095000000000003E-4</v>
      </c>
    </row>
    <row r="522" spans="1:12" ht="15.35" hidden="1" x14ac:dyDescent="0.55000000000000004">
      <c r="A522" s="20">
        <v>14939</v>
      </c>
      <c r="B522" s="2" t="s">
        <v>166</v>
      </c>
      <c r="C522" s="2" t="s">
        <v>167</v>
      </c>
      <c r="D522" s="20">
        <v>0</v>
      </c>
      <c r="E522" s="2" t="s">
        <v>838</v>
      </c>
      <c r="F522" s="2" t="s">
        <v>817</v>
      </c>
      <c r="G522" s="2" t="s">
        <v>1393</v>
      </c>
      <c r="H522" s="2" t="s">
        <v>1254</v>
      </c>
      <c r="J522" s="26"/>
      <c r="K522" s="36">
        <v>4.2047500000000002E-3</v>
      </c>
      <c r="L522" s="23">
        <v>8.4095000000000003E-4</v>
      </c>
    </row>
    <row r="523" spans="1:12" ht="15.35" hidden="1" x14ac:dyDescent="0.55000000000000004">
      <c r="A523" s="20">
        <v>14940</v>
      </c>
      <c r="B523" s="2" t="s">
        <v>166</v>
      </c>
      <c r="C523" s="2" t="s">
        <v>167</v>
      </c>
      <c r="D523" s="20">
        <v>0</v>
      </c>
      <c r="E523" s="2" t="s">
        <v>838</v>
      </c>
      <c r="F523" s="2" t="s">
        <v>817</v>
      </c>
      <c r="G523" s="2" t="s">
        <v>1394</v>
      </c>
      <c r="H523" s="2" t="s">
        <v>1254</v>
      </c>
      <c r="J523" s="26"/>
      <c r="K523" s="36">
        <v>4.2047500000000002E-3</v>
      </c>
      <c r="L523" s="23">
        <v>8.4095000000000003E-4</v>
      </c>
    </row>
    <row r="524" spans="1:12" ht="15.35" hidden="1" x14ac:dyDescent="0.55000000000000004">
      <c r="A524" s="20">
        <v>14938</v>
      </c>
      <c r="B524" s="2" t="s">
        <v>166</v>
      </c>
      <c r="C524" s="2" t="s">
        <v>167</v>
      </c>
      <c r="D524" s="20">
        <v>0</v>
      </c>
      <c r="E524" s="2" t="s">
        <v>838</v>
      </c>
      <c r="F524" s="2" t="s">
        <v>817</v>
      </c>
      <c r="G524" s="2" t="s">
        <v>1395</v>
      </c>
      <c r="H524" s="2" t="s">
        <v>1254</v>
      </c>
      <c r="J524" s="26"/>
      <c r="K524" s="36">
        <v>4.2047500000000002E-3</v>
      </c>
      <c r="L524" s="23">
        <v>8.4095000000000003E-4</v>
      </c>
    </row>
    <row r="525" spans="1:12" ht="15.35" hidden="1" x14ac:dyDescent="0.55000000000000004">
      <c r="A525" s="20">
        <v>14954</v>
      </c>
      <c r="B525" s="2" t="s">
        <v>166</v>
      </c>
      <c r="C525" s="2" t="s">
        <v>167</v>
      </c>
      <c r="D525" s="20">
        <v>0</v>
      </c>
      <c r="E525" s="2" t="s">
        <v>838</v>
      </c>
      <c r="F525" s="2" t="s">
        <v>817</v>
      </c>
      <c r="G525" s="2" t="s">
        <v>1396</v>
      </c>
      <c r="H525" s="2" t="s">
        <v>1254</v>
      </c>
      <c r="J525" s="26"/>
      <c r="K525" s="36">
        <v>2.4027100000000002E-3</v>
      </c>
      <c r="L525" s="23">
        <v>4.8054E-4</v>
      </c>
    </row>
    <row r="526" spans="1:12" ht="15.35" hidden="1" x14ac:dyDescent="0.55000000000000004">
      <c r="A526" s="20">
        <v>14951</v>
      </c>
      <c r="B526" s="2" t="s">
        <v>166</v>
      </c>
      <c r="C526" s="2" t="s">
        <v>167</v>
      </c>
      <c r="D526" s="20">
        <v>0</v>
      </c>
      <c r="E526" s="2" t="s">
        <v>838</v>
      </c>
      <c r="F526" s="2" t="s">
        <v>817</v>
      </c>
      <c r="G526" s="2" t="s">
        <v>1397</v>
      </c>
      <c r="H526" s="2" t="s">
        <v>1254</v>
      </c>
      <c r="J526" s="26"/>
      <c r="K526" s="36">
        <v>2.6950400000000001E-3</v>
      </c>
      <c r="L526" s="23">
        <v>5.3901000000000003E-4</v>
      </c>
    </row>
    <row r="527" spans="1:12" ht="15.35" hidden="1" x14ac:dyDescent="0.55000000000000004">
      <c r="A527" s="20">
        <v>14952</v>
      </c>
      <c r="B527" s="2" t="s">
        <v>166</v>
      </c>
      <c r="C527" s="2" t="s">
        <v>167</v>
      </c>
      <c r="D527" s="20">
        <v>0</v>
      </c>
      <c r="E527" s="2" t="s">
        <v>838</v>
      </c>
      <c r="F527" s="2" t="s">
        <v>817</v>
      </c>
      <c r="G527" s="2" t="s">
        <v>1398</v>
      </c>
      <c r="H527" s="2" t="s">
        <v>1254</v>
      </c>
      <c r="J527" s="26"/>
      <c r="K527" s="36">
        <v>2.6950400000000001E-3</v>
      </c>
      <c r="L527" s="23">
        <v>5.3901000000000003E-4</v>
      </c>
    </row>
    <row r="528" spans="1:12" ht="15.35" hidden="1" x14ac:dyDescent="0.55000000000000004">
      <c r="A528" s="20">
        <v>15132</v>
      </c>
      <c r="B528" s="2" t="s">
        <v>166</v>
      </c>
      <c r="C528" s="2" t="s">
        <v>167</v>
      </c>
      <c r="D528" s="20">
        <v>0</v>
      </c>
      <c r="E528" s="2" t="s">
        <v>838</v>
      </c>
      <c r="F528" s="2" t="s">
        <v>789</v>
      </c>
      <c r="G528" s="2" t="s">
        <v>1399</v>
      </c>
      <c r="H528" s="2" t="s">
        <v>985</v>
      </c>
      <c r="J528" s="26"/>
      <c r="K528" s="36">
        <v>4.2047500000000002E-3</v>
      </c>
      <c r="L528" s="23">
        <v>8.4095000000000003E-4</v>
      </c>
    </row>
    <row r="529" spans="1:12" ht="15.35" hidden="1" x14ac:dyDescent="0.55000000000000004">
      <c r="A529" s="20">
        <v>15130</v>
      </c>
      <c r="B529" s="2" t="s">
        <v>166</v>
      </c>
      <c r="C529" s="2" t="s">
        <v>167</v>
      </c>
      <c r="D529" s="20">
        <v>0</v>
      </c>
      <c r="E529" s="2" t="s">
        <v>838</v>
      </c>
      <c r="F529" s="2" t="s">
        <v>789</v>
      </c>
      <c r="G529" s="2" t="s">
        <v>1400</v>
      </c>
      <c r="H529" s="2" t="s">
        <v>985</v>
      </c>
      <c r="J529" s="26"/>
      <c r="K529" s="36">
        <v>4.2047500000000002E-3</v>
      </c>
      <c r="L529" s="23">
        <v>8.4095000000000003E-4</v>
      </c>
    </row>
    <row r="530" spans="1:12" ht="15.35" hidden="1" x14ac:dyDescent="0.55000000000000004">
      <c r="A530" s="20">
        <v>15129</v>
      </c>
      <c r="B530" s="2" t="s">
        <v>166</v>
      </c>
      <c r="C530" s="2" t="s">
        <v>167</v>
      </c>
      <c r="D530" s="20">
        <v>0</v>
      </c>
      <c r="E530" s="2" t="s">
        <v>838</v>
      </c>
      <c r="F530" s="2" t="s">
        <v>789</v>
      </c>
      <c r="G530" s="2" t="s">
        <v>1401</v>
      </c>
      <c r="H530" s="2" t="s">
        <v>985</v>
      </c>
      <c r="J530" s="26"/>
      <c r="K530" s="36">
        <v>4.2047500000000002E-3</v>
      </c>
      <c r="L530" s="23">
        <v>8.4095000000000003E-4</v>
      </c>
    </row>
    <row r="531" spans="1:12" ht="15.35" hidden="1" x14ac:dyDescent="0.55000000000000004">
      <c r="A531" s="20">
        <v>15128</v>
      </c>
      <c r="B531" s="2" t="s">
        <v>166</v>
      </c>
      <c r="C531" s="2" t="s">
        <v>167</v>
      </c>
      <c r="D531" s="20">
        <v>0</v>
      </c>
      <c r="E531" s="2" t="s">
        <v>838</v>
      </c>
      <c r="F531" s="2" t="s">
        <v>789</v>
      </c>
      <c r="G531" s="2" t="s">
        <v>1402</v>
      </c>
      <c r="H531" s="2" t="s">
        <v>1403</v>
      </c>
      <c r="J531" s="26"/>
      <c r="K531" s="36">
        <v>4.2047500000000002E-3</v>
      </c>
      <c r="L531" s="23">
        <v>8.4095000000000003E-4</v>
      </c>
    </row>
    <row r="532" spans="1:12" ht="15.35" hidden="1" x14ac:dyDescent="0.55000000000000004">
      <c r="A532" s="20">
        <v>15131</v>
      </c>
      <c r="B532" s="2" t="s">
        <v>166</v>
      </c>
      <c r="C532" s="2" t="s">
        <v>167</v>
      </c>
      <c r="D532" s="20">
        <v>0</v>
      </c>
      <c r="E532" s="2" t="s">
        <v>838</v>
      </c>
      <c r="F532" s="2" t="s">
        <v>789</v>
      </c>
      <c r="G532" s="2" t="s">
        <v>1404</v>
      </c>
      <c r="H532" s="2" t="s">
        <v>1405</v>
      </c>
      <c r="J532" s="26"/>
      <c r="K532" s="36">
        <v>4.2047500000000002E-3</v>
      </c>
      <c r="L532" s="23">
        <v>8.4095000000000003E-4</v>
      </c>
    </row>
    <row r="533" spans="1:12" ht="15.35" hidden="1" x14ac:dyDescent="0.55000000000000004">
      <c r="A533" s="20">
        <v>14985</v>
      </c>
      <c r="B533" s="2" t="s">
        <v>166</v>
      </c>
      <c r="C533" s="2" t="s">
        <v>167</v>
      </c>
      <c r="D533" s="20">
        <v>0</v>
      </c>
      <c r="E533" s="2" t="s">
        <v>838</v>
      </c>
      <c r="F533" s="2" t="s">
        <v>793</v>
      </c>
      <c r="G533" s="2" t="s">
        <v>1406</v>
      </c>
      <c r="H533" s="2" t="s">
        <v>873</v>
      </c>
      <c r="J533" s="26"/>
      <c r="K533" s="36">
        <v>2.1103799999999998E-3</v>
      </c>
      <c r="L533" s="23">
        <v>4.2208000000000002E-4</v>
      </c>
    </row>
    <row r="534" spans="1:12" ht="15.35" hidden="1" x14ac:dyDescent="0.55000000000000004">
      <c r="A534" s="20">
        <v>15237</v>
      </c>
      <c r="B534" s="2" t="s">
        <v>166</v>
      </c>
      <c r="C534" s="2" t="s">
        <v>167</v>
      </c>
      <c r="D534" s="20">
        <v>0</v>
      </c>
      <c r="E534" s="2" t="s">
        <v>838</v>
      </c>
      <c r="F534" s="2" t="s">
        <v>848</v>
      </c>
      <c r="G534" s="2" t="s">
        <v>1407</v>
      </c>
      <c r="H534" s="2" t="s">
        <v>1407</v>
      </c>
      <c r="J534" s="26"/>
      <c r="K534" s="36">
        <v>4.2047500000000002E-3</v>
      </c>
      <c r="L534" s="23">
        <v>8.4095000000000003E-4</v>
      </c>
    </row>
    <row r="535" spans="1:12" ht="15.35" hidden="1" x14ac:dyDescent="0.55000000000000004">
      <c r="A535" s="20">
        <v>15293</v>
      </c>
      <c r="B535" s="2" t="s">
        <v>166</v>
      </c>
      <c r="C535" s="2" t="s">
        <v>167</v>
      </c>
      <c r="D535" s="20">
        <v>0</v>
      </c>
      <c r="E535" s="2" t="s">
        <v>838</v>
      </c>
      <c r="F535" s="2" t="s">
        <v>789</v>
      </c>
      <c r="G535" s="2" t="s">
        <v>1408</v>
      </c>
      <c r="H535" s="2" t="s">
        <v>1409</v>
      </c>
      <c r="J535" s="26"/>
      <c r="K535" s="36">
        <v>4.2047500000000002E-3</v>
      </c>
      <c r="L535" s="23">
        <v>8.4095000000000003E-4</v>
      </c>
    </row>
    <row r="536" spans="1:12" ht="15.35" hidden="1" x14ac:dyDescent="0.55000000000000004">
      <c r="A536" s="20">
        <v>15257</v>
      </c>
      <c r="B536" s="2" t="s">
        <v>166</v>
      </c>
      <c r="C536" s="2" t="s">
        <v>167</v>
      </c>
      <c r="D536" s="20">
        <v>0</v>
      </c>
      <c r="E536" s="2" t="s">
        <v>838</v>
      </c>
      <c r="F536" s="2" t="s">
        <v>848</v>
      </c>
      <c r="G536" s="2" t="s">
        <v>929</v>
      </c>
      <c r="H536" s="2" t="s">
        <v>930</v>
      </c>
      <c r="J536" s="26"/>
      <c r="K536" s="36">
        <v>4.2047500000000002E-3</v>
      </c>
      <c r="L536" s="23">
        <v>8.4095000000000003E-4</v>
      </c>
    </row>
    <row r="537" spans="1:12" ht="15.35" hidden="1" x14ac:dyDescent="0.55000000000000004">
      <c r="A537" s="20">
        <v>15291</v>
      </c>
      <c r="B537" s="2" t="s">
        <v>166</v>
      </c>
      <c r="C537" s="2" t="s">
        <v>167</v>
      </c>
      <c r="D537" s="20">
        <v>0</v>
      </c>
      <c r="E537" s="2" t="s">
        <v>838</v>
      </c>
      <c r="F537" s="2" t="s">
        <v>793</v>
      </c>
      <c r="G537" s="2" t="s">
        <v>1250</v>
      </c>
      <c r="H537" s="2" t="s">
        <v>1250</v>
      </c>
      <c r="J537" s="26"/>
      <c r="K537" s="36">
        <v>4.2047500000000002E-3</v>
      </c>
      <c r="L537" s="23">
        <v>8.4095000000000003E-4</v>
      </c>
    </row>
    <row r="538" spans="1:12" ht="15.35" hidden="1" x14ac:dyDescent="0.55000000000000004">
      <c r="A538" s="20">
        <v>15254</v>
      </c>
      <c r="B538" s="2" t="s">
        <v>166</v>
      </c>
      <c r="C538" s="2" t="s">
        <v>167</v>
      </c>
      <c r="D538" s="20">
        <v>0</v>
      </c>
      <c r="E538" s="2" t="s">
        <v>838</v>
      </c>
      <c r="F538" s="2" t="s">
        <v>811</v>
      </c>
      <c r="G538" s="2" t="s">
        <v>1410</v>
      </c>
      <c r="H538" s="2" t="s">
        <v>1411</v>
      </c>
      <c r="J538" s="26"/>
      <c r="K538" s="36">
        <v>7.0879999999999999E-4</v>
      </c>
      <c r="L538" s="23">
        <v>1.4176E-4</v>
      </c>
    </row>
    <row r="539" spans="1:12" ht="15.35" hidden="1" x14ac:dyDescent="0.55000000000000004">
      <c r="A539" s="20">
        <v>15252</v>
      </c>
      <c r="B539" s="2" t="s">
        <v>166</v>
      </c>
      <c r="C539" s="2" t="s">
        <v>167</v>
      </c>
      <c r="D539" s="20">
        <v>0</v>
      </c>
      <c r="E539" s="2" t="s">
        <v>838</v>
      </c>
      <c r="F539" s="2" t="s">
        <v>811</v>
      </c>
      <c r="G539" s="2" t="s">
        <v>1412</v>
      </c>
      <c r="H539" s="2" t="s">
        <v>1411</v>
      </c>
      <c r="J539" s="26"/>
      <c r="K539" s="36">
        <v>9.6108000000000001E-4</v>
      </c>
      <c r="L539" s="23">
        <v>1.9222E-4</v>
      </c>
    </row>
    <row r="540" spans="1:12" ht="15.35" hidden="1" x14ac:dyDescent="0.55000000000000004">
      <c r="A540" s="20">
        <v>15253</v>
      </c>
      <c r="B540" s="2" t="s">
        <v>166</v>
      </c>
      <c r="C540" s="2" t="s">
        <v>167</v>
      </c>
      <c r="D540" s="20">
        <v>0</v>
      </c>
      <c r="E540" s="2" t="s">
        <v>838</v>
      </c>
      <c r="F540" s="2" t="s">
        <v>811</v>
      </c>
      <c r="G540" s="2" t="s">
        <v>1413</v>
      </c>
      <c r="H540" s="2" t="s">
        <v>1411</v>
      </c>
      <c r="J540" s="26"/>
      <c r="K540" s="36">
        <v>4.0040000000000003E-5</v>
      </c>
      <c r="L540" s="23">
        <v>8.0099999999999995E-6</v>
      </c>
    </row>
    <row r="541" spans="1:12" ht="15.35" hidden="1" x14ac:dyDescent="0.55000000000000004">
      <c r="A541" s="20">
        <v>15013</v>
      </c>
      <c r="B541" s="2" t="s">
        <v>166</v>
      </c>
      <c r="C541" s="2" t="s">
        <v>167</v>
      </c>
      <c r="D541" s="20">
        <v>0</v>
      </c>
      <c r="E541" s="2" t="s">
        <v>838</v>
      </c>
      <c r="F541" s="2" t="s">
        <v>793</v>
      </c>
      <c r="G541" s="2" t="s">
        <v>1414</v>
      </c>
      <c r="H541" s="2" t="s">
        <v>1414</v>
      </c>
      <c r="J541" s="26"/>
      <c r="K541" s="36">
        <v>3.60407E-3</v>
      </c>
      <c r="L541" s="23">
        <v>7.2081000000000001E-4</v>
      </c>
    </row>
    <row r="542" spans="1:12" ht="15.35" hidden="1" x14ac:dyDescent="0.55000000000000004">
      <c r="A542" s="20">
        <v>15012</v>
      </c>
      <c r="B542" s="2" t="s">
        <v>166</v>
      </c>
      <c r="C542" s="2" t="s">
        <v>167</v>
      </c>
      <c r="D542" s="20">
        <v>0</v>
      </c>
      <c r="E542" s="2" t="s">
        <v>838</v>
      </c>
      <c r="F542" s="2" t="s">
        <v>793</v>
      </c>
      <c r="G542" s="2" t="s">
        <v>1415</v>
      </c>
      <c r="H542" s="2" t="s">
        <v>1415</v>
      </c>
      <c r="J542" s="26"/>
      <c r="K542" s="36">
        <v>2.2425E-4</v>
      </c>
      <c r="L542" s="23">
        <v>4.4849999999999999E-5</v>
      </c>
    </row>
    <row r="543" spans="1:12" ht="15.35" hidden="1" x14ac:dyDescent="0.55000000000000004">
      <c r="A543" s="20">
        <v>15014</v>
      </c>
      <c r="B543" s="2" t="s">
        <v>166</v>
      </c>
      <c r="C543" s="2" t="s">
        <v>167</v>
      </c>
      <c r="D543" s="20">
        <v>0</v>
      </c>
      <c r="E543" s="2" t="s">
        <v>838</v>
      </c>
      <c r="F543" s="2" t="s">
        <v>793</v>
      </c>
      <c r="G543" s="2" t="s">
        <v>1416</v>
      </c>
      <c r="H543" s="2" t="s">
        <v>1416</v>
      </c>
      <c r="J543" s="26"/>
      <c r="K543" s="36">
        <v>2.4027100000000002E-3</v>
      </c>
      <c r="L543" s="23">
        <v>4.8054E-4</v>
      </c>
    </row>
    <row r="544" spans="1:12" ht="15.35" hidden="1" x14ac:dyDescent="0.55000000000000004">
      <c r="A544" s="20">
        <v>15011</v>
      </c>
      <c r="B544" s="2" t="s">
        <v>166</v>
      </c>
      <c r="C544" s="2" t="s">
        <v>167</v>
      </c>
      <c r="D544" s="20">
        <v>0</v>
      </c>
      <c r="E544" s="2" t="s">
        <v>838</v>
      </c>
      <c r="F544" s="2" t="s">
        <v>793</v>
      </c>
      <c r="G544" s="2" t="s">
        <v>1417</v>
      </c>
      <c r="H544" s="2" t="s">
        <v>1417</v>
      </c>
      <c r="J544" s="26"/>
      <c r="K544" s="36">
        <v>3.6039999999999998E-4</v>
      </c>
      <c r="L544" s="23">
        <v>7.2080000000000001E-5</v>
      </c>
    </row>
    <row r="545" spans="1:12" ht="15.35" hidden="1" x14ac:dyDescent="0.55000000000000004">
      <c r="A545" s="20">
        <v>15010</v>
      </c>
      <c r="B545" s="2" t="s">
        <v>166</v>
      </c>
      <c r="C545" s="2" t="s">
        <v>167</v>
      </c>
      <c r="D545" s="20">
        <v>0</v>
      </c>
      <c r="E545" s="2" t="s">
        <v>838</v>
      </c>
      <c r="F545" s="2" t="s">
        <v>793</v>
      </c>
      <c r="G545" s="2" t="s">
        <v>1418</v>
      </c>
      <c r="H545" s="2" t="s">
        <v>1418</v>
      </c>
      <c r="J545" s="26"/>
      <c r="K545" s="36">
        <v>1.2013499999999999E-3</v>
      </c>
      <c r="L545" s="23">
        <v>2.4027E-4</v>
      </c>
    </row>
    <row r="546" spans="1:12" ht="15.35" hidden="1" x14ac:dyDescent="0.55000000000000004">
      <c r="A546" s="20">
        <v>15015</v>
      </c>
      <c r="B546" s="2" t="s">
        <v>166</v>
      </c>
      <c r="C546" s="2" t="s">
        <v>167</v>
      </c>
      <c r="D546" s="20">
        <v>0</v>
      </c>
      <c r="E546" s="2" t="s">
        <v>838</v>
      </c>
      <c r="F546" s="2" t="s">
        <v>811</v>
      </c>
      <c r="G546" s="2" t="s">
        <v>1419</v>
      </c>
      <c r="H546" s="2" t="s">
        <v>1420</v>
      </c>
      <c r="J546" s="26"/>
      <c r="K546" s="36">
        <v>2.4027100000000002E-3</v>
      </c>
      <c r="L546" s="23">
        <v>4.8054E-4</v>
      </c>
    </row>
    <row r="547" spans="1:12" ht="15.35" hidden="1" x14ac:dyDescent="0.55000000000000004">
      <c r="A547" s="20">
        <v>15294</v>
      </c>
      <c r="B547" s="2" t="s">
        <v>166</v>
      </c>
      <c r="C547" s="2" t="s">
        <v>167</v>
      </c>
      <c r="D547" s="20">
        <v>0</v>
      </c>
      <c r="E547" s="2" t="s">
        <v>838</v>
      </c>
      <c r="F547" s="2" t="s">
        <v>789</v>
      </c>
      <c r="G547" s="2" t="s">
        <v>1421</v>
      </c>
      <c r="H547" s="2" t="s">
        <v>1422</v>
      </c>
      <c r="J547" s="26"/>
      <c r="K547" s="36">
        <v>4.2047500000000002E-3</v>
      </c>
      <c r="L547" s="23">
        <v>8.4095000000000003E-4</v>
      </c>
    </row>
    <row r="548" spans="1:12" ht="15.35" hidden="1" x14ac:dyDescent="0.55000000000000004">
      <c r="A548" s="20">
        <v>15314</v>
      </c>
      <c r="B548" s="2" t="s">
        <v>166</v>
      </c>
      <c r="C548" s="2" t="s">
        <v>167</v>
      </c>
      <c r="D548" s="20">
        <v>0</v>
      </c>
      <c r="E548" s="2" t="s">
        <v>838</v>
      </c>
      <c r="F548" s="2" t="s">
        <v>811</v>
      </c>
      <c r="G548" s="2" t="s">
        <v>1423</v>
      </c>
      <c r="H548" s="2" t="s">
        <v>1424</v>
      </c>
      <c r="J548" s="26"/>
      <c r="K548" s="36">
        <v>6.8070000000000004E-5</v>
      </c>
      <c r="L548" s="23">
        <v>1.361E-5</v>
      </c>
    </row>
    <row r="549" spans="1:12" ht="15.35" hidden="1" x14ac:dyDescent="0.55000000000000004">
      <c r="A549" s="20">
        <v>15310</v>
      </c>
      <c r="B549" s="2" t="s">
        <v>166</v>
      </c>
      <c r="C549" s="2" t="s">
        <v>167</v>
      </c>
      <c r="D549" s="20">
        <v>0</v>
      </c>
      <c r="E549" s="2" t="s">
        <v>838</v>
      </c>
      <c r="F549" s="2" t="s">
        <v>811</v>
      </c>
      <c r="G549" s="2" t="s">
        <v>1425</v>
      </c>
      <c r="H549" s="2" t="s">
        <v>1424</v>
      </c>
      <c r="J549" s="26"/>
      <c r="K549" s="36">
        <v>8.8500000000000004E-4</v>
      </c>
      <c r="L549" s="23">
        <v>1.7699999999999999E-4</v>
      </c>
    </row>
    <row r="550" spans="1:12" ht="15.35" hidden="1" x14ac:dyDescent="0.55000000000000004">
      <c r="A550" s="20">
        <v>15312</v>
      </c>
      <c r="B550" s="2" t="s">
        <v>166</v>
      </c>
      <c r="C550" s="2" t="s">
        <v>167</v>
      </c>
      <c r="D550" s="20">
        <v>0</v>
      </c>
      <c r="E550" s="2" t="s">
        <v>838</v>
      </c>
      <c r="F550" s="2" t="s">
        <v>811</v>
      </c>
      <c r="G550" s="2" t="s">
        <v>1426</v>
      </c>
      <c r="H550" s="2" t="s">
        <v>1424</v>
      </c>
      <c r="J550" s="26"/>
      <c r="K550" s="36">
        <v>4.8050000000000002E-5</v>
      </c>
      <c r="L550" s="23">
        <v>9.6099999999999995E-6</v>
      </c>
    </row>
    <row r="551" spans="1:12" ht="15.35" hidden="1" x14ac:dyDescent="0.55000000000000004">
      <c r="A551" s="20">
        <v>14955</v>
      </c>
      <c r="B551" s="2" t="s">
        <v>166</v>
      </c>
      <c r="C551" s="2" t="s">
        <v>167</v>
      </c>
      <c r="D551" s="20">
        <v>0</v>
      </c>
      <c r="E551" s="2" t="s">
        <v>838</v>
      </c>
      <c r="F551" s="2" t="s">
        <v>817</v>
      </c>
      <c r="G551" s="2" t="s">
        <v>1427</v>
      </c>
      <c r="H551" s="2" t="s">
        <v>898</v>
      </c>
      <c r="J551" s="26"/>
      <c r="K551" s="36">
        <v>4.2047500000000002E-3</v>
      </c>
      <c r="L551" s="23">
        <v>8.4095000000000003E-4</v>
      </c>
    </row>
    <row r="552" spans="1:12" ht="15.35" hidden="1" x14ac:dyDescent="0.55000000000000004">
      <c r="A552" s="20">
        <v>14956</v>
      </c>
      <c r="B552" s="2" t="s">
        <v>166</v>
      </c>
      <c r="C552" s="2" t="s">
        <v>167</v>
      </c>
      <c r="D552" s="20">
        <v>0</v>
      </c>
      <c r="E552" s="2" t="s">
        <v>838</v>
      </c>
      <c r="F552" s="2" t="s">
        <v>817</v>
      </c>
      <c r="G552" s="2" t="s">
        <v>1428</v>
      </c>
      <c r="H552" s="2" t="s">
        <v>898</v>
      </c>
      <c r="J552" s="26"/>
      <c r="K552" s="36">
        <v>1.0612E-3</v>
      </c>
      <c r="L552" s="23">
        <v>2.1223999999999999E-4</v>
      </c>
    </row>
    <row r="553" spans="1:12" ht="15.35" hidden="1" x14ac:dyDescent="0.55000000000000004">
      <c r="A553" s="20">
        <v>14957</v>
      </c>
      <c r="B553" s="2" t="s">
        <v>166</v>
      </c>
      <c r="C553" s="2" t="s">
        <v>167</v>
      </c>
      <c r="D553" s="20">
        <v>0</v>
      </c>
      <c r="E553" s="2" t="s">
        <v>838</v>
      </c>
      <c r="F553" s="2" t="s">
        <v>793</v>
      </c>
      <c r="G553" s="2" t="s">
        <v>1429</v>
      </c>
      <c r="H553" s="2" t="s">
        <v>898</v>
      </c>
      <c r="J553" s="26"/>
      <c r="K553" s="36">
        <v>2.0022600000000001E-3</v>
      </c>
      <c r="L553" s="23">
        <v>4.0045E-4</v>
      </c>
    </row>
    <row r="554" spans="1:12" ht="15.35" hidden="1" x14ac:dyDescent="0.55000000000000004">
      <c r="A554" s="20">
        <v>15366</v>
      </c>
      <c r="B554" s="2" t="s">
        <v>166</v>
      </c>
      <c r="C554" s="2" t="s">
        <v>167</v>
      </c>
      <c r="D554" s="20">
        <v>0</v>
      </c>
      <c r="E554" s="2" t="s">
        <v>838</v>
      </c>
      <c r="F554" s="2" t="s">
        <v>811</v>
      </c>
      <c r="G554" s="2" t="s">
        <v>1430</v>
      </c>
      <c r="H554" s="2" t="s">
        <v>1431</v>
      </c>
      <c r="J554" s="26"/>
      <c r="K554" s="36">
        <v>8.0090000000000001E-5</v>
      </c>
      <c r="L554" s="23">
        <v>1.6019999999999999E-5</v>
      </c>
    </row>
    <row r="555" spans="1:12" ht="15.35" hidden="1" x14ac:dyDescent="0.55000000000000004">
      <c r="A555" s="20">
        <v>15239</v>
      </c>
      <c r="B555" s="2" t="s">
        <v>166</v>
      </c>
      <c r="C555" s="2" t="s">
        <v>167</v>
      </c>
      <c r="D555" s="20">
        <v>0</v>
      </c>
      <c r="E555" s="2" t="s">
        <v>838</v>
      </c>
      <c r="F555" s="2" t="s">
        <v>811</v>
      </c>
      <c r="G555" s="2" t="s">
        <v>1432</v>
      </c>
      <c r="H555" s="2" t="s">
        <v>1433</v>
      </c>
      <c r="J555" s="26"/>
      <c r="K555" s="36">
        <v>2.3625999999999999E-4</v>
      </c>
      <c r="L555" s="23">
        <v>4.7250000000000003E-5</v>
      </c>
    </row>
    <row r="556" spans="1:12" ht="15.35" hidden="1" x14ac:dyDescent="0.55000000000000004">
      <c r="A556" s="20">
        <v>15240</v>
      </c>
      <c r="B556" s="2" t="s">
        <v>166</v>
      </c>
      <c r="C556" s="2" t="s">
        <v>167</v>
      </c>
      <c r="D556" s="20">
        <v>0</v>
      </c>
      <c r="E556" s="2" t="s">
        <v>838</v>
      </c>
      <c r="F556" s="2" t="s">
        <v>811</v>
      </c>
      <c r="G556" s="2" t="s">
        <v>1434</v>
      </c>
      <c r="H556" s="2" t="s">
        <v>1433</v>
      </c>
      <c r="J556" s="26"/>
      <c r="K556" s="36">
        <v>2.3625999999999999E-4</v>
      </c>
      <c r="L556" s="23">
        <v>4.7250000000000003E-5</v>
      </c>
    </row>
    <row r="557" spans="1:12" ht="15.35" hidden="1" x14ac:dyDescent="0.55000000000000004">
      <c r="A557" s="20">
        <v>15242</v>
      </c>
      <c r="B557" s="2" t="s">
        <v>166</v>
      </c>
      <c r="C557" s="2" t="s">
        <v>167</v>
      </c>
      <c r="D557" s="20">
        <v>0</v>
      </c>
      <c r="E557" s="2" t="s">
        <v>838</v>
      </c>
      <c r="F557" s="2" t="s">
        <v>811</v>
      </c>
      <c r="G557" s="2" t="s">
        <v>1435</v>
      </c>
      <c r="H557" s="2" t="s">
        <v>1433</v>
      </c>
      <c r="J557" s="26"/>
      <c r="K557" s="36">
        <v>2.3625999999999999E-4</v>
      </c>
      <c r="L557" s="23">
        <v>4.7250000000000003E-5</v>
      </c>
    </row>
    <row r="558" spans="1:12" ht="15.35" hidden="1" x14ac:dyDescent="0.55000000000000004">
      <c r="A558" s="20">
        <v>15241</v>
      </c>
      <c r="B558" s="2" t="s">
        <v>166</v>
      </c>
      <c r="C558" s="2" t="s">
        <v>167</v>
      </c>
      <c r="D558" s="20">
        <v>0</v>
      </c>
      <c r="E558" s="2" t="s">
        <v>838</v>
      </c>
      <c r="F558" s="2" t="s">
        <v>811</v>
      </c>
      <c r="G558" s="2" t="s">
        <v>1436</v>
      </c>
      <c r="H558" s="2" t="s">
        <v>1433</v>
      </c>
      <c r="J558" s="26"/>
      <c r="K558" s="36">
        <v>2.3625999999999999E-4</v>
      </c>
      <c r="L558" s="23">
        <v>4.7250000000000003E-5</v>
      </c>
    </row>
    <row r="559" spans="1:12" ht="15.35" hidden="1" x14ac:dyDescent="0.55000000000000004">
      <c r="A559" s="20">
        <v>15238</v>
      </c>
      <c r="B559" s="2" t="s">
        <v>166</v>
      </c>
      <c r="C559" s="2" t="s">
        <v>167</v>
      </c>
      <c r="D559" s="20">
        <v>0</v>
      </c>
      <c r="E559" s="2" t="s">
        <v>838</v>
      </c>
      <c r="F559" s="2" t="s">
        <v>811</v>
      </c>
      <c r="G559" s="2" t="s">
        <v>1437</v>
      </c>
      <c r="H559" s="2" t="s">
        <v>1433</v>
      </c>
      <c r="J559" s="26"/>
      <c r="K559" s="36">
        <v>2.3625999999999999E-4</v>
      </c>
      <c r="L559" s="23">
        <v>4.7250000000000003E-5</v>
      </c>
    </row>
    <row r="560" spans="1:12" ht="15.35" hidden="1" x14ac:dyDescent="0.55000000000000004">
      <c r="A560" s="20">
        <v>15151</v>
      </c>
      <c r="B560" s="2" t="s">
        <v>166</v>
      </c>
      <c r="C560" s="2" t="s">
        <v>167</v>
      </c>
      <c r="D560" s="20">
        <v>0</v>
      </c>
      <c r="E560" s="2" t="s">
        <v>838</v>
      </c>
      <c r="F560" s="2" t="s">
        <v>848</v>
      </c>
      <c r="G560" s="2" t="s">
        <v>1438</v>
      </c>
      <c r="H560" s="2" t="s">
        <v>1439</v>
      </c>
      <c r="J560" s="26"/>
      <c r="K560" s="36">
        <v>4.2047500000000002E-3</v>
      </c>
      <c r="L560" s="23">
        <v>8.4095000000000003E-4</v>
      </c>
    </row>
    <row r="561" spans="1:12" ht="15.35" hidden="1" x14ac:dyDescent="0.55000000000000004">
      <c r="A561" s="20">
        <v>15262</v>
      </c>
      <c r="B561" s="2" t="s">
        <v>166</v>
      </c>
      <c r="C561" s="2" t="s">
        <v>167</v>
      </c>
      <c r="D561" s="20">
        <v>0</v>
      </c>
      <c r="E561" s="2" t="s">
        <v>838</v>
      </c>
      <c r="F561" s="2" t="s">
        <v>789</v>
      </c>
      <c r="G561" s="2" t="s">
        <v>1440</v>
      </c>
      <c r="H561" s="2" t="s">
        <v>1441</v>
      </c>
      <c r="J561" s="26"/>
      <c r="K561" s="36">
        <v>4.2047500000000002E-3</v>
      </c>
      <c r="L561" s="23">
        <v>8.4095000000000003E-4</v>
      </c>
    </row>
    <row r="562" spans="1:12" ht="15.35" hidden="1" x14ac:dyDescent="0.55000000000000004">
      <c r="A562" s="20">
        <v>15263</v>
      </c>
      <c r="B562" s="2" t="s">
        <v>166</v>
      </c>
      <c r="C562" s="2" t="s">
        <v>167</v>
      </c>
      <c r="D562" s="20">
        <v>0</v>
      </c>
      <c r="E562" s="2" t="s">
        <v>838</v>
      </c>
      <c r="F562" s="2" t="s">
        <v>789</v>
      </c>
      <c r="G562" s="2" t="s">
        <v>1442</v>
      </c>
      <c r="H562" s="2" t="s">
        <v>1441</v>
      </c>
      <c r="J562" s="26"/>
      <c r="K562" s="36">
        <v>4.2047500000000002E-3</v>
      </c>
      <c r="L562" s="23">
        <v>8.4095000000000003E-4</v>
      </c>
    </row>
    <row r="563" spans="1:12" ht="15.35" hidden="1" x14ac:dyDescent="0.55000000000000004">
      <c r="A563" s="20">
        <v>15342</v>
      </c>
      <c r="B563" s="2" t="s">
        <v>166</v>
      </c>
      <c r="C563" s="2" t="s">
        <v>167</v>
      </c>
      <c r="D563" s="20">
        <v>0</v>
      </c>
      <c r="E563" s="2" t="s">
        <v>838</v>
      </c>
      <c r="F563" s="2" t="s">
        <v>798</v>
      </c>
      <c r="G563" s="2" t="s">
        <v>859</v>
      </c>
      <c r="H563" s="2" t="s">
        <v>860</v>
      </c>
      <c r="J563" s="26"/>
      <c r="K563" s="36">
        <v>8.3693999999999999E-4</v>
      </c>
      <c r="L563" s="23">
        <v>1.6739000000000001E-4</v>
      </c>
    </row>
    <row r="564" spans="1:12" ht="15.35" hidden="1" x14ac:dyDescent="0.55000000000000004">
      <c r="A564" s="20">
        <v>15140</v>
      </c>
      <c r="B564" s="2" t="s">
        <v>166</v>
      </c>
      <c r="C564" s="2" t="s">
        <v>167</v>
      </c>
      <c r="D564" s="20">
        <v>0</v>
      </c>
      <c r="E564" s="2" t="s">
        <v>838</v>
      </c>
      <c r="F564" s="2" t="s">
        <v>848</v>
      </c>
      <c r="G564" s="2" t="s">
        <v>1443</v>
      </c>
      <c r="H564" s="2" t="s">
        <v>1109</v>
      </c>
      <c r="J564" s="26"/>
      <c r="K564" s="36">
        <v>4.2047500000000002E-3</v>
      </c>
      <c r="L564" s="23">
        <v>8.4095000000000003E-4</v>
      </c>
    </row>
    <row r="565" spans="1:12" ht="15.35" hidden="1" x14ac:dyDescent="0.55000000000000004">
      <c r="A565" s="20">
        <v>15138</v>
      </c>
      <c r="B565" s="2" t="s">
        <v>166</v>
      </c>
      <c r="C565" s="2" t="s">
        <v>167</v>
      </c>
      <c r="D565" s="20">
        <v>0</v>
      </c>
      <c r="E565" s="2" t="s">
        <v>838</v>
      </c>
      <c r="F565" s="2" t="s">
        <v>848</v>
      </c>
      <c r="G565" s="2" t="s">
        <v>932</v>
      </c>
      <c r="H565" s="2" t="s">
        <v>933</v>
      </c>
      <c r="J565" s="26"/>
      <c r="K565" s="36">
        <v>4.2047500000000002E-3</v>
      </c>
      <c r="L565" s="23">
        <v>8.4095000000000003E-4</v>
      </c>
    </row>
    <row r="566" spans="1:12" ht="15.35" hidden="1" x14ac:dyDescent="0.55000000000000004">
      <c r="A566" s="20">
        <v>15223</v>
      </c>
      <c r="B566" s="2" t="s">
        <v>166</v>
      </c>
      <c r="C566" s="2" t="s">
        <v>167</v>
      </c>
      <c r="D566" s="20">
        <v>0</v>
      </c>
      <c r="E566" s="2" t="s">
        <v>838</v>
      </c>
      <c r="F566" s="2" t="s">
        <v>793</v>
      </c>
      <c r="G566" s="2" t="s">
        <v>1444</v>
      </c>
      <c r="H566" s="2" t="s">
        <v>935</v>
      </c>
      <c r="J566" s="26"/>
      <c r="K566" s="36">
        <v>1.5217200000000001E-3</v>
      </c>
      <c r="L566" s="23">
        <v>3.0434E-4</v>
      </c>
    </row>
    <row r="567" spans="1:12" ht="15.35" hidden="1" x14ac:dyDescent="0.55000000000000004">
      <c r="A567" s="20">
        <v>15222</v>
      </c>
      <c r="B567" s="2" t="s">
        <v>166</v>
      </c>
      <c r="C567" s="2" t="s">
        <v>167</v>
      </c>
      <c r="D567" s="20">
        <v>0</v>
      </c>
      <c r="E567" s="2" t="s">
        <v>838</v>
      </c>
      <c r="F567" s="2" t="s">
        <v>793</v>
      </c>
      <c r="G567" s="2" t="s">
        <v>934</v>
      </c>
      <c r="H567" s="2" t="s">
        <v>935</v>
      </c>
      <c r="J567" s="26"/>
      <c r="K567" s="36">
        <v>5.0056000000000005E-4</v>
      </c>
      <c r="L567" s="23">
        <v>1.0011E-4</v>
      </c>
    </row>
    <row r="568" spans="1:12" ht="15.35" hidden="1" x14ac:dyDescent="0.55000000000000004">
      <c r="A568" s="20">
        <v>15258</v>
      </c>
      <c r="B568" s="2" t="s">
        <v>166</v>
      </c>
      <c r="C568" s="2" t="s">
        <v>167</v>
      </c>
      <c r="D568" s="20">
        <v>0</v>
      </c>
      <c r="E568" s="2" t="s">
        <v>838</v>
      </c>
      <c r="F568" s="2" t="s">
        <v>811</v>
      </c>
      <c r="G568" s="2" t="s">
        <v>1445</v>
      </c>
      <c r="H568" s="2" t="s">
        <v>1446</v>
      </c>
      <c r="J568" s="26"/>
      <c r="K568" s="36">
        <v>1.4815999999999999E-4</v>
      </c>
      <c r="L568" s="23">
        <v>2.9629999999999999E-5</v>
      </c>
    </row>
    <row r="569" spans="1:12" ht="15.35" hidden="1" x14ac:dyDescent="0.55000000000000004">
      <c r="A569" s="20">
        <v>14958</v>
      </c>
      <c r="B569" s="2" t="s">
        <v>166</v>
      </c>
      <c r="C569" s="2" t="s">
        <v>167</v>
      </c>
      <c r="D569" s="20">
        <v>0</v>
      </c>
      <c r="E569" s="2" t="s">
        <v>838</v>
      </c>
      <c r="F569" s="2" t="s">
        <v>811</v>
      </c>
      <c r="G569" s="2" t="s">
        <v>1447</v>
      </c>
      <c r="H569" s="2" t="s">
        <v>1448</v>
      </c>
      <c r="J569" s="26"/>
      <c r="K569" s="36">
        <v>2.4027E-4</v>
      </c>
      <c r="L569" s="23">
        <v>4.8050000000000002E-5</v>
      </c>
    </row>
    <row r="570" spans="1:12" ht="15.35" hidden="1" x14ac:dyDescent="0.55000000000000004">
      <c r="A570" s="20">
        <v>14822</v>
      </c>
      <c r="B570" s="2" t="s">
        <v>166</v>
      </c>
      <c r="C570" s="2" t="s">
        <v>167</v>
      </c>
      <c r="D570" s="20">
        <v>0</v>
      </c>
      <c r="E570" s="2" t="s">
        <v>838</v>
      </c>
      <c r="F570" s="2" t="s">
        <v>798</v>
      </c>
      <c r="G570" s="2" t="s">
        <v>936</v>
      </c>
      <c r="H570" s="2" t="s">
        <v>824</v>
      </c>
      <c r="J570" s="26"/>
      <c r="K570" s="36">
        <v>4.2047500000000002E-3</v>
      </c>
      <c r="L570" s="23">
        <v>8.4095000000000003E-4</v>
      </c>
    </row>
    <row r="571" spans="1:12" ht="15.35" hidden="1" x14ac:dyDescent="0.55000000000000004">
      <c r="A571" s="20">
        <v>15007</v>
      </c>
      <c r="B571" s="2" t="s">
        <v>166</v>
      </c>
      <c r="C571" s="2" t="s">
        <v>167</v>
      </c>
      <c r="D571" s="20">
        <v>0</v>
      </c>
      <c r="E571" s="2" t="s">
        <v>838</v>
      </c>
      <c r="F571" s="2" t="s">
        <v>848</v>
      </c>
      <c r="G571" s="2" t="s">
        <v>1110</v>
      </c>
      <c r="H571" s="2" t="s">
        <v>1110</v>
      </c>
      <c r="J571" s="26"/>
      <c r="K571" s="36">
        <v>4.2047500000000002E-3</v>
      </c>
      <c r="L571" s="23">
        <v>8.4095000000000003E-4</v>
      </c>
    </row>
    <row r="572" spans="1:12" ht="15.35" hidden="1" x14ac:dyDescent="0.55000000000000004">
      <c r="A572" s="20">
        <v>15221</v>
      </c>
      <c r="B572" s="2" t="s">
        <v>166</v>
      </c>
      <c r="C572" s="2" t="s">
        <v>167</v>
      </c>
      <c r="D572" s="20">
        <v>0</v>
      </c>
      <c r="E572" s="2" t="s">
        <v>838</v>
      </c>
      <c r="F572" s="2" t="s">
        <v>848</v>
      </c>
      <c r="G572" s="2" t="s">
        <v>1449</v>
      </c>
      <c r="H572" s="2" t="s">
        <v>1111</v>
      </c>
      <c r="J572" s="26"/>
      <c r="K572" s="36">
        <v>4.2047500000000002E-3</v>
      </c>
      <c r="L572" s="23">
        <v>8.4095000000000003E-4</v>
      </c>
    </row>
    <row r="573" spans="1:12" ht="15.35" hidden="1" x14ac:dyDescent="0.55000000000000004">
      <c r="A573" s="20">
        <v>15236</v>
      </c>
      <c r="B573" s="2" t="s">
        <v>166</v>
      </c>
      <c r="C573" s="2" t="s">
        <v>167</v>
      </c>
      <c r="D573" s="20">
        <v>0</v>
      </c>
      <c r="E573" s="2" t="s">
        <v>838</v>
      </c>
      <c r="F573" s="2" t="s">
        <v>793</v>
      </c>
      <c r="G573" s="2" t="s">
        <v>1450</v>
      </c>
      <c r="H573" s="2" t="s">
        <v>1451</v>
      </c>
      <c r="J573" s="26"/>
      <c r="K573" s="36">
        <v>1.0692E-3</v>
      </c>
      <c r="L573" s="23">
        <v>2.1384E-4</v>
      </c>
    </row>
    <row r="574" spans="1:12" ht="15.35" hidden="1" x14ac:dyDescent="0.55000000000000004">
      <c r="A574" s="20">
        <v>15235</v>
      </c>
      <c r="B574" s="2" t="s">
        <v>166</v>
      </c>
      <c r="C574" s="2" t="s">
        <v>167</v>
      </c>
      <c r="D574" s="20">
        <v>0</v>
      </c>
      <c r="E574" s="2" t="s">
        <v>838</v>
      </c>
      <c r="F574" s="2" t="s">
        <v>793</v>
      </c>
      <c r="G574" s="2" t="s">
        <v>1452</v>
      </c>
      <c r="H574" s="2" t="s">
        <v>1451</v>
      </c>
      <c r="J574" s="26"/>
      <c r="K574" s="36">
        <v>1.5457400000000001E-3</v>
      </c>
      <c r="L574" s="23">
        <v>3.0915000000000001E-4</v>
      </c>
    </row>
    <row r="575" spans="1:12" ht="15.35" hidden="1" x14ac:dyDescent="0.55000000000000004">
      <c r="A575" s="20">
        <v>14900</v>
      </c>
      <c r="B575" s="2" t="s">
        <v>166</v>
      </c>
      <c r="C575" s="2" t="s">
        <v>167</v>
      </c>
      <c r="D575" s="20">
        <v>0</v>
      </c>
      <c r="E575" s="2" t="s">
        <v>838</v>
      </c>
      <c r="F575" s="2" t="s">
        <v>789</v>
      </c>
      <c r="G575" s="2" t="s">
        <v>1453</v>
      </c>
      <c r="H575" s="2" t="s">
        <v>1114</v>
      </c>
      <c r="J575" s="26"/>
      <c r="K575" s="36">
        <v>4.2047500000000002E-3</v>
      </c>
      <c r="L575" s="23">
        <v>8.4095000000000003E-4</v>
      </c>
    </row>
    <row r="576" spans="1:12" ht="15.35" hidden="1" x14ac:dyDescent="0.55000000000000004">
      <c r="A576" s="20">
        <v>14902</v>
      </c>
      <c r="B576" s="2" t="s">
        <v>166</v>
      </c>
      <c r="C576" s="2" t="s">
        <v>167</v>
      </c>
      <c r="D576" s="20">
        <v>0</v>
      </c>
      <c r="E576" s="2" t="s">
        <v>838</v>
      </c>
      <c r="F576" s="2" t="s">
        <v>789</v>
      </c>
      <c r="G576" s="2" t="s">
        <v>1454</v>
      </c>
      <c r="H576" s="2" t="s">
        <v>1114</v>
      </c>
      <c r="J576" s="26"/>
      <c r="K576" s="36">
        <v>4.2047500000000002E-3</v>
      </c>
      <c r="L576" s="23">
        <v>8.4095000000000003E-4</v>
      </c>
    </row>
    <row r="577" spans="1:12" ht="15.35" hidden="1" x14ac:dyDescent="0.55000000000000004">
      <c r="A577" s="20">
        <v>14824</v>
      </c>
      <c r="B577" s="2" t="s">
        <v>166</v>
      </c>
      <c r="C577" s="2" t="s">
        <v>167</v>
      </c>
      <c r="D577" s="20">
        <v>0</v>
      </c>
      <c r="E577" s="2" t="s">
        <v>838</v>
      </c>
      <c r="F577" s="2" t="s">
        <v>789</v>
      </c>
      <c r="G577" s="2" t="s">
        <v>1455</v>
      </c>
      <c r="H577" s="2" t="s">
        <v>826</v>
      </c>
      <c r="J577" s="26"/>
      <c r="K577" s="36">
        <v>4.2047500000000002E-3</v>
      </c>
      <c r="L577" s="23">
        <v>8.4095000000000003E-4</v>
      </c>
    </row>
    <row r="578" spans="1:12" ht="15.35" hidden="1" x14ac:dyDescent="0.55000000000000004">
      <c r="A578" s="20">
        <v>14823</v>
      </c>
      <c r="B578" s="2" t="s">
        <v>166</v>
      </c>
      <c r="C578" s="2" t="s">
        <v>167</v>
      </c>
      <c r="D578" s="20">
        <v>0</v>
      </c>
      <c r="E578" s="2" t="s">
        <v>838</v>
      </c>
      <c r="F578" s="2" t="s">
        <v>789</v>
      </c>
      <c r="G578" s="2" t="s">
        <v>1455</v>
      </c>
      <c r="H578" s="2" t="s">
        <v>826</v>
      </c>
      <c r="J578" s="26"/>
      <c r="K578" s="36">
        <v>4.2047500000000002E-3</v>
      </c>
      <c r="L578" s="23">
        <v>8.4095000000000003E-4</v>
      </c>
    </row>
    <row r="579" spans="1:12" ht="15.35" hidden="1" x14ac:dyDescent="0.55000000000000004">
      <c r="A579" s="20">
        <v>14840</v>
      </c>
      <c r="B579" s="2" t="s">
        <v>166</v>
      </c>
      <c r="C579" s="2" t="s">
        <v>167</v>
      </c>
      <c r="D579" s="20">
        <v>0</v>
      </c>
      <c r="E579" s="2" t="s">
        <v>838</v>
      </c>
      <c r="F579" s="2" t="s">
        <v>789</v>
      </c>
      <c r="G579" s="2" t="s">
        <v>937</v>
      </c>
      <c r="H579" s="2" t="s">
        <v>826</v>
      </c>
      <c r="J579" s="26"/>
      <c r="K579" s="36">
        <v>2.3626699999999999E-3</v>
      </c>
      <c r="L579" s="23">
        <v>4.7252999999999998E-4</v>
      </c>
    </row>
    <row r="580" spans="1:12" ht="15.35" hidden="1" x14ac:dyDescent="0.55000000000000004">
      <c r="A580" s="20">
        <v>14825</v>
      </c>
      <c r="B580" s="2" t="s">
        <v>166</v>
      </c>
      <c r="C580" s="2" t="s">
        <v>167</v>
      </c>
      <c r="D580" s="20">
        <v>0</v>
      </c>
      <c r="E580" s="2" t="s">
        <v>838</v>
      </c>
      <c r="F580" s="2" t="s">
        <v>789</v>
      </c>
      <c r="G580" s="2" t="s">
        <v>937</v>
      </c>
      <c r="H580" s="2" t="s">
        <v>826</v>
      </c>
      <c r="J580" s="26"/>
      <c r="K580" s="36">
        <v>4.2047500000000002E-3</v>
      </c>
      <c r="L580" s="23">
        <v>8.4095000000000003E-4</v>
      </c>
    </row>
    <row r="581" spans="1:12" ht="15.35" hidden="1" x14ac:dyDescent="0.55000000000000004">
      <c r="A581" s="20">
        <v>15147</v>
      </c>
      <c r="B581" s="2" t="s">
        <v>166</v>
      </c>
      <c r="C581" s="2" t="s">
        <v>167</v>
      </c>
      <c r="D581" s="20">
        <v>0</v>
      </c>
      <c r="E581" s="2" t="s">
        <v>838</v>
      </c>
      <c r="F581" s="2" t="s">
        <v>848</v>
      </c>
      <c r="G581" s="2" t="s">
        <v>938</v>
      </c>
      <c r="H581" s="2" t="s">
        <v>939</v>
      </c>
      <c r="J581" s="26"/>
      <c r="K581" s="36">
        <v>4.2047500000000002E-3</v>
      </c>
      <c r="L581" s="23">
        <v>8.4095000000000003E-4</v>
      </c>
    </row>
    <row r="582" spans="1:12" ht="15.35" hidden="1" x14ac:dyDescent="0.55000000000000004">
      <c r="A582" s="20">
        <v>14981</v>
      </c>
      <c r="B582" s="2" t="s">
        <v>166</v>
      </c>
      <c r="C582" s="2" t="s">
        <v>167</v>
      </c>
      <c r="D582" s="20">
        <v>0</v>
      </c>
      <c r="E582" s="2" t="s">
        <v>838</v>
      </c>
      <c r="F582" s="2" t="s">
        <v>789</v>
      </c>
      <c r="G582" s="2" t="s">
        <v>832</v>
      </c>
      <c r="H582" s="2" t="s">
        <v>832</v>
      </c>
      <c r="J582" s="26"/>
      <c r="K582" s="36">
        <v>4.2047500000000002E-3</v>
      </c>
      <c r="L582" s="23">
        <v>8.4095000000000003E-4</v>
      </c>
    </row>
    <row r="583" spans="1:12" ht="15.35" hidden="1" x14ac:dyDescent="0.55000000000000004">
      <c r="A583" s="20">
        <v>14962</v>
      </c>
      <c r="B583" s="2" t="s">
        <v>166</v>
      </c>
      <c r="C583" s="2" t="s">
        <v>167</v>
      </c>
      <c r="D583" s="20">
        <v>0</v>
      </c>
      <c r="E583" s="2" t="s">
        <v>838</v>
      </c>
      <c r="F583" s="2" t="s">
        <v>789</v>
      </c>
      <c r="G583" s="2" t="s">
        <v>1456</v>
      </c>
      <c r="H583" s="2" t="s">
        <v>832</v>
      </c>
      <c r="J583" s="26"/>
      <c r="K583" s="36">
        <v>4.2047500000000002E-3</v>
      </c>
      <c r="L583" s="23">
        <v>8.4095000000000003E-4</v>
      </c>
    </row>
    <row r="584" spans="1:12" ht="15.35" hidden="1" x14ac:dyDescent="0.55000000000000004">
      <c r="A584" s="20">
        <v>14973</v>
      </c>
      <c r="B584" s="2" t="s">
        <v>166</v>
      </c>
      <c r="C584" s="2" t="s">
        <v>167</v>
      </c>
      <c r="D584" s="20">
        <v>0</v>
      </c>
      <c r="E584" s="2" t="s">
        <v>838</v>
      </c>
      <c r="F584" s="2" t="s">
        <v>789</v>
      </c>
      <c r="G584" s="2" t="s">
        <v>1457</v>
      </c>
      <c r="H584" s="2" t="s">
        <v>832</v>
      </c>
      <c r="J584" s="26"/>
      <c r="K584" s="36">
        <v>2.0022E-4</v>
      </c>
      <c r="L584" s="23">
        <v>4.0040000000000003E-5</v>
      </c>
    </row>
    <row r="585" spans="1:12" ht="15.35" hidden="1" x14ac:dyDescent="0.55000000000000004">
      <c r="A585" s="20">
        <v>14974</v>
      </c>
      <c r="B585" s="2" t="s">
        <v>166</v>
      </c>
      <c r="C585" s="2" t="s">
        <v>167</v>
      </c>
      <c r="D585" s="20">
        <v>0</v>
      </c>
      <c r="E585" s="2" t="s">
        <v>838</v>
      </c>
      <c r="F585" s="2" t="s">
        <v>789</v>
      </c>
      <c r="G585" s="2" t="s">
        <v>1458</v>
      </c>
      <c r="H585" s="2" t="s">
        <v>832</v>
      </c>
      <c r="J585" s="26"/>
      <c r="K585" s="36">
        <v>2.0022E-4</v>
      </c>
      <c r="L585" s="23">
        <v>4.0040000000000003E-5</v>
      </c>
    </row>
    <row r="586" spans="1:12" ht="15.35" hidden="1" x14ac:dyDescent="0.55000000000000004">
      <c r="A586" s="20">
        <v>14975</v>
      </c>
      <c r="B586" s="2" t="s">
        <v>166</v>
      </c>
      <c r="C586" s="2" t="s">
        <v>167</v>
      </c>
      <c r="D586" s="20">
        <v>0</v>
      </c>
      <c r="E586" s="2" t="s">
        <v>838</v>
      </c>
      <c r="F586" s="2" t="s">
        <v>789</v>
      </c>
      <c r="G586" s="2" t="s">
        <v>1459</v>
      </c>
      <c r="H586" s="2" t="s">
        <v>832</v>
      </c>
      <c r="J586" s="26"/>
      <c r="K586" s="36">
        <v>2.0022E-4</v>
      </c>
      <c r="L586" s="23">
        <v>4.0040000000000003E-5</v>
      </c>
    </row>
    <row r="587" spans="1:12" ht="15.35" hidden="1" x14ac:dyDescent="0.55000000000000004">
      <c r="A587" s="20">
        <v>14959</v>
      </c>
      <c r="B587" s="2" t="s">
        <v>166</v>
      </c>
      <c r="C587" s="2" t="s">
        <v>167</v>
      </c>
      <c r="D587" s="20">
        <v>0</v>
      </c>
      <c r="E587" s="2" t="s">
        <v>838</v>
      </c>
      <c r="F587" s="2" t="s">
        <v>789</v>
      </c>
      <c r="G587" s="2" t="s">
        <v>1460</v>
      </c>
      <c r="H587" s="2" t="s">
        <v>832</v>
      </c>
      <c r="J587" s="26"/>
      <c r="K587" s="36">
        <v>4.2047500000000002E-3</v>
      </c>
      <c r="L587" s="23">
        <v>8.4095000000000003E-4</v>
      </c>
    </row>
    <row r="588" spans="1:12" ht="15.35" hidden="1" x14ac:dyDescent="0.55000000000000004">
      <c r="A588" s="20">
        <v>14976</v>
      </c>
      <c r="B588" s="2" t="s">
        <v>166</v>
      </c>
      <c r="C588" s="2" t="s">
        <v>167</v>
      </c>
      <c r="D588" s="20">
        <v>0</v>
      </c>
      <c r="E588" s="2" t="s">
        <v>838</v>
      </c>
      <c r="F588" s="2" t="s">
        <v>789</v>
      </c>
      <c r="G588" s="2" t="s">
        <v>1461</v>
      </c>
      <c r="H588" s="2" t="s">
        <v>832</v>
      </c>
      <c r="J588" s="26"/>
      <c r="K588" s="36">
        <v>4.2047500000000002E-3</v>
      </c>
      <c r="L588" s="23">
        <v>8.4095000000000003E-4</v>
      </c>
    </row>
    <row r="589" spans="1:12" ht="15.35" hidden="1" x14ac:dyDescent="0.55000000000000004">
      <c r="A589" s="20">
        <v>14961</v>
      </c>
      <c r="B589" s="2" t="s">
        <v>166</v>
      </c>
      <c r="C589" s="2" t="s">
        <v>167</v>
      </c>
      <c r="D589" s="20">
        <v>0</v>
      </c>
      <c r="E589" s="2" t="s">
        <v>838</v>
      </c>
      <c r="F589" s="2" t="s">
        <v>789</v>
      </c>
      <c r="G589" s="2" t="s">
        <v>1462</v>
      </c>
      <c r="H589" s="2" t="s">
        <v>832</v>
      </c>
      <c r="J589" s="26"/>
      <c r="K589" s="36">
        <v>4.2047500000000002E-3</v>
      </c>
      <c r="L589" s="23">
        <v>8.4095000000000003E-4</v>
      </c>
    </row>
    <row r="590" spans="1:12" ht="15.35" hidden="1" x14ac:dyDescent="0.55000000000000004">
      <c r="A590" s="20">
        <v>14960</v>
      </c>
      <c r="B590" s="2" t="s">
        <v>166</v>
      </c>
      <c r="C590" s="2" t="s">
        <v>167</v>
      </c>
      <c r="D590" s="20">
        <v>0</v>
      </c>
      <c r="E590" s="2" t="s">
        <v>838</v>
      </c>
      <c r="F590" s="2" t="s">
        <v>789</v>
      </c>
      <c r="G590" s="2" t="s">
        <v>1463</v>
      </c>
      <c r="H590" s="2" t="s">
        <v>832</v>
      </c>
      <c r="J590" s="26"/>
      <c r="K590" s="36">
        <v>4.2047500000000002E-3</v>
      </c>
      <c r="L590" s="23">
        <v>8.4095000000000003E-4</v>
      </c>
    </row>
    <row r="591" spans="1:12" ht="15.35" hidden="1" x14ac:dyDescent="0.55000000000000004">
      <c r="A591" s="20">
        <v>14977</v>
      </c>
      <c r="B591" s="2" t="s">
        <v>166</v>
      </c>
      <c r="C591" s="2" t="s">
        <v>167</v>
      </c>
      <c r="D591" s="20">
        <v>0</v>
      </c>
      <c r="E591" s="2" t="s">
        <v>838</v>
      </c>
      <c r="F591" s="2" t="s">
        <v>789</v>
      </c>
      <c r="G591" s="2" t="s">
        <v>1464</v>
      </c>
      <c r="H591" s="2" t="s">
        <v>832</v>
      </c>
      <c r="J591" s="26"/>
      <c r="K591" s="36">
        <v>4.2047500000000002E-3</v>
      </c>
      <c r="L591" s="23">
        <v>8.4095000000000003E-4</v>
      </c>
    </row>
    <row r="592" spans="1:12" ht="15.35" hidden="1" x14ac:dyDescent="0.55000000000000004">
      <c r="A592" s="20">
        <v>14979</v>
      </c>
      <c r="B592" s="2" t="s">
        <v>166</v>
      </c>
      <c r="C592" s="2" t="s">
        <v>167</v>
      </c>
      <c r="D592" s="20">
        <v>0</v>
      </c>
      <c r="E592" s="2" t="s">
        <v>838</v>
      </c>
      <c r="F592" s="2" t="s">
        <v>789</v>
      </c>
      <c r="G592" s="2" t="s">
        <v>1465</v>
      </c>
      <c r="H592" s="2" t="s">
        <v>832</v>
      </c>
      <c r="J592" s="26"/>
      <c r="K592" s="36">
        <v>4.2047500000000002E-3</v>
      </c>
      <c r="L592" s="23">
        <v>8.4095000000000003E-4</v>
      </c>
    </row>
    <row r="593" spans="1:12" ht="15.35" hidden="1" x14ac:dyDescent="0.55000000000000004">
      <c r="A593" s="20">
        <v>14963</v>
      </c>
      <c r="B593" s="2" t="s">
        <v>166</v>
      </c>
      <c r="C593" s="2" t="s">
        <v>167</v>
      </c>
      <c r="D593" s="20">
        <v>0</v>
      </c>
      <c r="E593" s="2" t="s">
        <v>838</v>
      </c>
      <c r="F593" s="2" t="s">
        <v>789</v>
      </c>
      <c r="G593" s="2" t="s">
        <v>1465</v>
      </c>
      <c r="H593" s="2" t="s">
        <v>832</v>
      </c>
      <c r="J593" s="26"/>
      <c r="K593" s="36">
        <v>4.2047500000000002E-3</v>
      </c>
      <c r="L593" s="23">
        <v>8.4095000000000003E-4</v>
      </c>
    </row>
    <row r="594" spans="1:12" ht="15.35" hidden="1" x14ac:dyDescent="0.55000000000000004">
      <c r="A594" s="20">
        <v>14965</v>
      </c>
      <c r="B594" s="2" t="s">
        <v>166</v>
      </c>
      <c r="C594" s="2" t="s">
        <v>167</v>
      </c>
      <c r="D594" s="20">
        <v>0</v>
      </c>
      <c r="E594" s="2" t="s">
        <v>838</v>
      </c>
      <c r="F594" s="2" t="s">
        <v>789</v>
      </c>
      <c r="G594" s="2" t="s">
        <v>1466</v>
      </c>
      <c r="H594" s="2" t="s">
        <v>832</v>
      </c>
      <c r="J594" s="26"/>
      <c r="K594" s="36">
        <v>4.2047500000000002E-3</v>
      </c>
      <c r="L594" s="23">
        <v>8.4095000000000003E-4</v>
      </c>
    </row>
    <row r="595" spans="1:12" ht="15.35" hidden="1" x14ac:dyDescent="0.55000000000000004">
      <c r="A595" s="20">
        <v>14967</v>
      </c>
      <c r="B595" s="2" t="s">
        <v>166</v>
      </c>
      <c r="C595" s="2" t="s">
        <v>167</v>
      </c>
      <c r="D595" s="20">
        <v>0</v>
      </c>
      <c r="E595" s="2" t="s">
        <v>838</v>
      </c>
      <c r="F595" s="2" t="s">
        <v>789</v>
      </c>
      <c r="G595" s="2" t="s">
        <v>1467</v>
      </c>
      <c r="H595" s="2" t="s">
        <v>832</v>
      </c>
      <c r="J595" s="26"/>
      <c r="K595" s="36">
        <v>4.2047500000000002E-3</v>
      </c>
      <c r="L595" s="23">
        <v>8.4095000000000003E-4</v>
      </c>
    </row>
    <row r="596" spans="1:12" ht="15.35" hidden="1" x14ac:dyDescent="0.55000000000000004">
      <c r="A596" s="20">
        <v>14972</v>
      </c>
      <c r="B596" s="2" t="s">
        <v>166</v>
      </c>
      <c r="C596" s="2" t="s">
        <v>167</v>
      </c>
      <c r="D596" s="20">
        <v>0</v>
      </c>
      <c r="E596" s="2" t="s">
        <v>838</v>
      </c>
      <c r="F596" s="2" t="s">
        <v>789</v>
      </c>
      <c r="G596" s="2" t="s">
        <v>1468</v>
      </c>
      <c r="H596" s="2" t="s">
        <v>832</v>
      </c>
      <c r="J596" s="26"/>
      <c r="K596" s="36">
        <v>1.6618799999999999E-3</v>
      </c>
      <c r="L596" s="23">
        <v>3.3238000000000001E-4</v>
      </c>
    </row>
    <row r="597" spans="1:12" ht="15.35" hidden="1" x14ac:dyDescent="0.55000000000000004">
      <c r="A597" s="20">
        <v>14971</v>
      </c>
      <c r="B597" s="2" t="s">
        <v>166</v>
      </c>
      <c r="C597" s="2" t="s">
        <v>167</v>
      </c>
      <c r="D597" s="20">
        <v>0</v>
      </c>
      <c r="E597" s="2" t="s">
        <v>838</v>
      </c>
      <c r="F597" s="2" t="s">
        <v>789</v>
      </c>
      <c r="G597" s="2" t="s">
        <v>1469</v>
      </c>
      <c r="H597" s="2" t="s">
        <v>832</v>
      </c>
      <c r="J597" s="26"/>
      <c r="K597" s="36">
        <v>3.7802700000000001E-3</v>
      </c>
      <c r="L597" s="23">
        <v>7.5604999999999997E-4</v>
      </c>
    </row>
    <row r="598" spans="1:12" ht="15.35" hidden="1" x14ac:dyDescent="0.55000000000000004">
      <c r="A598" s="20">
        <v>14969</v>
      </c>
      <c r="B598" s="2" t="s">
        <v>166</v>
      </c>
      <c r="C598" s="2" t="s">
        <v>167</v>
      </c>
      <c r="D598" s="20">
        <v>0</v>
      </c>
      <c r="E598" s="2" t="s">
        <v>838</v>
      </c>
      <c r="F598" s="2" t="s">
        <v>789</v>
      </c>
      <c r="G598" s="2" t="s">
        <v>1470</v>
      </c>
      <c r="H598" s="2" t="s">
        <v>832</v>
      </c>
      <c r="J598" s="26"/>
      <c r="K598" s="36">
        <v>3.6841600000000001E-3</v>
      </c>
      <c r="L598" s="23">
        <v>7.3682999999999995E-4</v>
      </c>
    </row>
    <row r="599" spans="1:12" ht="15.35" hidden="1" x14ac:dyDescent="0.55000000000000004">
      <c r="A599" s="20">
        <v>14968</v>
      </c>
      <c r="B599" s="2" t="s">
        <v>166</v>
      </c>
      <c r="C599" s="2" t="s">
        <v>167</v>
      </c>
      <c r="D599" s="20">
        <v>0</v>
      </c>
      <c r="E599" s="2" t="s">
        <v>838</v>
      </c>
      <c r="F599" s="2" t="s">
        <v>789</v>
      </c>
      <c r="G599" s="2" t="s">
        <v>1471</v>
      </c>
      <c r="H599" s="2" t="s">
        <v>832</v>
      </c>
      <c r="J599" s="26"/>
      <c r="K599" s="36">
        <v>4.2047500000000002E-3</v>
      </c>
      <c r="L599" s="23">
        <v>8.4095000000000003E-4</v>
      </c>
    </row>
    <row r="600" spans="1:12" ht="15.35" hidden="1" x14ac:dyDescent="0.55000000000000004">
      <c r="A600" s="20">
        <v>14978</v>
      </c>
      <c r="B600" s="2" t="s">
        <v>166</v>
      </c>
      <c r="C600" s="2" t="s">
        <v>167</v>
      </c>
      <c r="D600" s="20">
        <v>0</v>
      </c>
      <c r="E600" s="2" t="s">
        <v>838</v>
      </c>
      <c r="F600" s="2" t="s">
        <v>789</v>
      </c>
      <c r="G600" s="2" t="s">
        <v>1472</v>
      </c>
      <c r="H600" s="2" t="s">
        <v>832</v>
      </c>
      <c r="J600" s="26"/>
      <c r="K600" s="36">
        <v>4.2047500000000002E-3</v>
      </c>
      <c r="L600" s="23">
        <v>8.4095000000000003E-4</v>
      </c>
    </row>
    <row r="601" spans="1:12" ht="15.35" hidden="1" x14ac:dyDescent="0.55000000000000004">
      <c r="A601" s="20">
        <v>14964</v>
      </c>
      <c r="B601" s="2" t="s">
        <v>166</v>
      </c>
      <c r="C601" s="2" t="s">
        <v>167</v>
      </c>
      <c r="D601" s="20">
        <v>0</v>
      </c>
      <c r="E601" s="2" t="s">
        <v>838</v>
      </c>
      <c r="F601" s="2" t="s">
        <v>789</v>
      </c>
      <c r="G601" s="2" t="s">
        <v>1472</v>
      </c>
      <c r="H601" s="2" t="s">
        <v>832</v>
      </c>
      <c r="J601" s="26"/>
      <c r="K601" s="36">
        <v>4.2047500000000002E-3</v>
      </c>
      <c r="L601" s="23">
        <v>8.4095000000000003E-4</v>
      </c>
    </row>
    <row r="602" spans="1:12" ht="15.35" hidden="1" x14ac:dyDescent="0.55000000000000004">
      <c r="A602" s="20">
        <v>14966</v>
      </c>
      <c r="B602" s="2" t="s">
        <v>166</v>
      </c>
      <c r="C602" s="2" t="s">
        <v>167</v>
      </c>
      <c r="D602" s="20">
        <v>0</v>
      </c>
      <c r="E602" s="2" t="s">
        <v>838</v>
      </c>
      <c r="F602" s="2" t="s">
        <v>789</v>
      </c>
      <c r="G602" s="2" t="s">
        <v>1473</v>
      </c>
      <c r="H602" s="2" t="s">
        <v>832</v>
      </c>
      <c r="J602" s="26"/>
      <c r="K602" s="36">
        <v>4.2047500000000002E-3</v>
      </c>
      <c r="L602" s="23">
        <v>8.4095000000000003E-4</v>
      </c>
    </row>
    <row r="603" spans="1:12" ht="15.35" hidden="1" x14ac:dyDescent="0.55000000000000004">
      <c r="A603" s="20">
        <v>14983</v>
      </c>
      <c r="B603" s="2" t="s">
        <v>166</v>
      </c>
      <c r="C603" s="2" t="s">
        <v>167</v>
      </c>
      <c r="D603" s="20">
        <v>0</v>
      </c>
      <c r="E603" s="2" t="s">
        <v>838</v>
      </c>
      <c r="F603" s="2" t="s">
        <v>789</v>
      </c>
      <c r="G603" s="2" t="s">
        <v>1474</v>
      </c>
      <c r="H603" s="2" t="s">
        <v>832</v>
      </c>
      <c r="J603" s="26"/>
      <c r="K603" s="36">
        <v>4.2047500000000002E-3</v>
      </c>
      <c r="L603" s="23">
        <v>8.4095000000000003E-4</v>
      </c>
    </row>
    <row r="604" spans="1:12" ht="15.35" hidden="1" x14ac:dyDescent="0.55000000000000004">
      <c r="A604" s="20">
        <v>14980</v>
      </c>
      <c r="B604" s="2" t="s">
        <v>166</v>
      </c>
      <c r="C604" s="2" t="s">
        <v>167</v>
      </c>
      <c r="D604" s="20">
        <v>0</v>
      </c>
      <c r="E604" s="2" t="s">
        <v>838</v>
      </c>
      <c r="F604" s="2" t="s">
        <v>789</v>
      </c>
      <c r="G604" s="2" t="s">
        <v>1475</v>
      </c>
      <c r="H604" s="2" t="s">
        <v>832</v>
      </c>
      <c r="J604" s="26"/>
      <c r="K604" s="36">
        <v>4.2047500000000002E-3</v>
      </c>
      <c r="L604" s="23">
        <v>8.4095000000000003E-4</v>
      </c>
    </row>
    <row r="605" spans="1:12" ht="15.35" hidden="1" x14ac:dyDescent="0.55000000000000004">
      <c r="A605" s="20">
        <v>14982</v>
      </c>
      <c r="B605" s="2" t="s">
        <v>166</v>
      </c>
      <c r="C605" s="2" t="s">
        <v>167</v>
      </c>
      <c r="D605" s="20">
        <v>0</v>
      </c>
      <c r="E605" s="2" t="s">
        <v>838</v>
      </c>
      <c r="F605" s="2" t="s">
        <v>789</v>
      </c>
      <c r="G605" s="2" t="s">
        <v>1476</v>
      </c>
      <c r="H605" s="2" t="s">
        <v>832</v>
      </c>
      <c r="J605" s="26"/>
      <c r="K605" s="36">
        <v>4.2047500000000002E-3</v>
      </c>
      <c r="L605" s="23">
        <v>8.4095000000000003E-4</v>
      </c>
    </row>
    <row r="606" spans="1:12" ht="15.35" hidden="1" x14ac:dyDescent="0.55000000000000004">
      <c r="A606" s="20">
        <v>14984</v>
      </c>
      <c r="B606" s="2" t="s">
        <v>166</v>
      </c>
      <c r="C606" s="2" t="s">
        <v>167</v>
      </c>
      <c r="D606" s="20">
        <v>0</v>
      </c>
      <c r="E606" s="2" t="s">
        <v>838</v>
      </c>
      <c r="F606" s="2" t="s">
        <v>793</v>
      </c>
      <c r="G606" s="2" t="s">
        <v>1477</v>
      </c>
      <c r="H606" s="2" t="s">
        <v>1478</v>
      </c>
      <c r="J606" s="26"/>
      <c r="K606" s="36">
        <v>3.60407E-3</v>
      </c>
      <c r="L606" s="23">
        <v>7.2081000000000001E-4</v>
      </c>
    </row>
    <row r="607" spans="1:12" ht="15.35" hidden="1" x14ac:dyDescent="0.55000000000000004">
      <c r="A607" s="20">
        <v>14970</v>
      </c>
      <c r="B607" s="2" t="s">
        <v>166</v>
      </c>
      <c r="C607" s="2" t="s">
        <v>167</v>
      </c>
      <c r="D607" s="20">
        <v>0</v>
      </c>
      <c r="E607" s="2" t="s">
        <v>838</v>
      </c>
      <c r="F607" s="2" t="s">
        <v>793</v>
      </c>
      <c r="G607" s="2" t="s">
        <v>1478</v>
      </c>
      <c r="H607" s="2" t="s">
        <v>1478</v>
      </c>
      <c r="J607" s="26"/>
      <c r="K607" s="36">
        <v>4.2047500000000002E-3</v>
      </c>
      <c r="L607" s="23">
        <v>8.4095000000000003E-4</v>
      </c>
    </row>
    <row r="608" spans="1:12" ht="15.35" hidden="1" x14ac:dyDescent="0.55000000000000004">
      <c r="A608" s="20">
        <v>15364</v>
      </c>
      <c r="B608" s="2" t="s">
        <v>166</v>
      </c>
      <c r="C608" s="2" t="s">
        <v>167</v>
      </c>
      <c r="D608" s="20">
        <v>0</v>
      </c>
      <c r="E608" s="2" t="s">
        <v>838</v>
      </c>
      <c r="F608" s="2" t="s">
        <v>848</v>
      </c>
      <c r="G608" s="2" t="s">
        <v>1479</v>
      </c>
      <c r="H608" s="2" t="s">
        <v>1480</v>
      </c>
      <c r="J608" s="26"/>
      <c r="K608" s="36">
        <v>4.2081699999999998E-3</v>
      </c>
      <c r="L608" s="23">
        <v>8.4163E-4</v>
      </c>
    </row>
    <row r="609" spans="1:12" ht="15.35" hidden="1" x14ac:dyDescent="0.55000000000000004">
      <c r="A609" s="20">
        <v>15321</v>
      </c>
      <c r="B609" s="2" t="s">
        <v>166</v>
      </c>
      <c r="C609" s="2" t="s">
        <v>167</v>
      </c>
      <c r="D609" s="20">
        <v>0</v>
      </c>
      <c r="E609" s="2" t="s">
        <v>838</v>
      </c>
      <c r="F609" s="2" t="s">
        <v>811</v>
      </c>
      <c r="G609" s="2" t="s">
        <v>1481</v>
      </c>
      <c r="H609" s="2" t="s">
        <v>1482</v>
      </c>
      <c r="J609" s="26"/>
      <c r="K609" s="36">
        <v>2.7230800000000001E-3</v>
      </c>
      <c r="L609" s="23">
        <v>5.4462E-4</v>
      </c>
    </row>
    <row r="610" spans="1:12" ht="15.35" hidden="1" x14ac:dyDescent="0.55000000000000004">
      <c r="A610" s="20">
        <v>15320</v>
      </c>
      <c r="B610" s="2" t="s">
        <v>166</v>
      </c>
      <c r="C610" s="2" t="s">
        <v>167</v>
      </c>
      <c r="D610" s="20">
        <v>0</v>
      </c>
      <c r="E610" s="2" t="s">
        <v>838</v>
      </c>
      <c r="F610" s="2" t="s">
        <v>811</v>
      </c>
      <c r="G610" s="2" t="s">
        <v>1483</v>
      </c>
      <c r="H610" s="2" t="s">
        <v>1482</v>
      </c>
      <c r="J610" s="26"/>
      <c r="K610" s="36">
        <v>1.32149E-3</v>
      </c>
      <c r="L610" s="23">
        <v>2.6429999999999997E-4</v>
      </c>
    </row>
    <row r="611" spans="1:12" ht="15.35" hidden="1" x14ac:dyDescent="0.55000000000000004">
      <c r="A611" s="20">
        <v>15319</v>
      </c>
      <c r="B611" s="2" t="s">
        <v>166</v>
      </c>
      <c r="C611" s="2" t="s">
        <v>167</v>
      </c>
      <c r="D611" s="20">
        <v>0</v>
      </c>
      <c r="E611" s="2" t="s">
        <v>838</v>
      </c>
      <c r="F611" s="2" t="s">
        <v>811</v>
      </c>
      <c r="G611" s="2" t="s">
        <v>1484</v>
      </c>
      <c r="H611" s="2" t="s">
        <v>1482</v>
      </c>
      <c r="J611" s="26"/>
      <c r="K611" s="36">
        <v>2.2825800000000002E-3</v>
      </c>
      <c r="L611" s="23">
        <v>4.5652000000000003E-4</v>
      </c>
    </row>
    <row r="612" spans="1:12" ht="15.35" hidden="1" x14ac:dyDescent="0.55000000000000004">
      <c r="A612" s="20">
        <v>15327</v>
      </c>
      <c r="B612" s="2" t="s">
        <v>166</v>
      </c>
      <c r="C612" s="2" t="s">
        <v>167</v>
      </c>
      <c r="D612" s="20">
        <v>0</v>
      </c>
      <c r="E612" s="2" t="s">
        <v>838</v>
      </c>
      <c r="F612" s="2" t="s">
        <v>811</v>
      </c>
      <c r="G612" s="2" t="s">
        <v>1485</v>
      </c>
      <c r="H612" s="2" t="s">
        <v>1482</v>
      </c>
      <c r="J612" s="26"/>
      <c r="K612" s="36">
        <v>2.6830299999999999E-3</v>
      </c>
      <c r="L612" s="23">
        <v>5.3660999999999997E-4</v>
      </c>
    </row>
    <row r="613" spans="1:12" ht="15.35" hidden="1" x14ac:dyDescent="0.55000000000000004">
      <c r="A613" s="20">
        <v>15326</v>
      </c>
      <c r="B613" s="2" t="s">
        <v>166</v>
      </c>
      <c r="C613" s="2" t="s">
        <v>167</v>
      </c>
      <c r="D613" s="20">
        <v>0</v>
      </c>
      <c r="E613" s="2" t="s">
        <v>838</v>
      </c>
      <c r="F613" s="2" t="s">
        <v>811</v>
      </c>
      <c r="G613" s="2" t="s">
        <v>1486</v>
      </c>
      <c r="H613" s="2" t="s">
        <v>1482</v>
      </c>
      <c r="J613" s="26"/>
      <c r="K613" s="36">
        <v>1.12126E-3</v>
      </c>
      <c r="L613" s="23">
        <v>2.2425E-4</v>
      </c>
    </row>
    <row r="614" spans="1:12" ht="15.35" hidden="1" x14ac:dyDescent="0.55000000000000004">
      <c r="A614" s="20">
        <v>15325</v>
      </c>
      <c r="B614" s="2" t="s">
        <v>166</v>
      </c>
      <c r="C614" s="2" t="s">
        <v>167</v>
      </c>
      <c r="D614" s="20">
        <v>0</v>
      </c>
      <c r="E614" s="2" t="s">
        <v>838</v>
      </c>
      <c r="F614" s="2" t="s">
        <v>811</v>
      </c>
      <c r="G614" s="2" t="s">
        <v>1487</v>
      </c>
      <c r="H614" s="2" t="s">
        <v>1482</v>
      </c>
      <c r="J614" s="26"/>
      <c r="K614" s="36">
        <v>1.80203E-3</v>
      </c>
      <c r="L614" s="23">
        <v>3.6040999999999997E-4</v>
      </c>
    </row>
    <row r="615" spans="1:12" ht="15.35" hidden="1" x14ac:dyDescent="0.55000000000000004">
      <c r="A615" s="20">
        <v>15322</v>
      </c>
      <c r="B615" s="2" t="s">
        <v>166</v>
      </c>
      <c r="C615" s="2" t="s">
        <v>167</v>
      </c>
      <c r="D615" s="20">
        <v>0</v>
      </c>
      <c r="E615" s="2" t="s">
        <v>838</v>
      </c>
      <c r="F615" s="2" t="s">
        <v>811</v>
      </c>
      <c r="G615" s="2" t="s">
        <v>1488</v>
      </c>
      <c r="H615" s="2" t="s">
        <v>1482</v>
      </c>
      <c r="J615" s="26"/>
      <c r="K615" s="36">
        <v>2.8031699999999998E-3</v>
      </c>
      <c r="L615" s="23">
        <v>5.6063E-4</v>
      </c>
    </row>
    <row r="616" spans="1:12" ht="15.35" hidden="1" x14ac:dyDescent="0.55000000000000004">
      <c r="A616" s="20">
        <v>14843</v>
      </c>
      <c r="B616" s="2" t="s">
        <v>166</v>
      </c>
      <c r="C616" s="2" t="s">
        <v>167</v>
      </c>
      <c r="D616" s="20">
        <v>0</v>
      </c>
      <c r="E616" s="2" t="s">
        <v>838</v>
      </c>
      <c r="F616" s="2" t="s">
        <v>811</v>
      </c>
      <c r="G616" s="2" t="s">
        <v>1489</v>
      </c>
      <c r="H616" s="2" t="s">
        <v>1490</v>
      </c>
      <c r="J616" s="26"/>
      <c r="K616" s="36">
        <v>5.9267E-4</v>
      </c>
      <c r="L616" s="23">
        <v>1.1853000000000001E-4</v>
      </c>
    </row>
    <row r="617" spans="1:12" ht="15.35" hidden="1" x14ac:dyDescent="0.55000000000000004">
      <c r="A617" s="20">
        <v>14844</v>
      </c>
      <c r="B617" s="2" t="s">
        <v>166</v>
      </c>
      <c r="C617" s="2" t="s">
        <v>167</v>
      </c>
      <c r="D617" s="20">
        <v>0</v>
      </c>
      <c r="E617" s="2" t="s">
        <v>838</v>
      </c>
      <c r="F617" s="2" t="s">
        <v>811</v>
      </c>
      <c r="G617" s="2" t="s">
        <v>1491</v>
      </c>
      <c r="H617" s="2" t="s">
        <v>1490</v>
      </c>
      <c r="J617" s="26"/>
      <c r="K617" s="36">
        <v>2.7230800000000001E-3</v>
      </c>
      <c r="L617" s="23">
        <v>5.4462E-4</v>
      </c>
    </row>
    <row r="618" spans="1:12" ht="15.35" hidden="1" x14ac:dyDescent="0.55000000000000004">
      <c r="A618" s="20">
        <v>14849</v>
      </c>
      <c r="B618" s="2" t="s">
        <v>166</v>
      </c>
      <c r="C618" s="2" t="s">
        <v>167</v>
      </c>
      <c r="D618" s="20">
        <v>0</v>
      </c>
      <c r="E618" s="2" t="s">
        <v>838</v>
      </c>
      <c r="F618" s="2" t="s">
        <v>811</v>
      </c>
      <c r="G618" s="2" t="s">
        <v>1492</v>
      </c>
      <c r="H618" s="2" t="s">
        <v>1490</v>
      </c>
      <c r="J618" s="26"/>
      <c r="K618" s="36">
        <v>2.4027E-4</v>
      </c>
      <c r="L618" s="23">
        <v>4.8050000000000002E-5</v>
      </c>
    </row>
    <row r="619" spans="1:12" ht="15.35" hidden="1" x14ac:dyDescent="0.55000000000000004">
      <c r="A619" s="20">
        <v>14845</v>
      </c>
      <c r="B619" s="2" t="s">
        <v>166</v>
      </c>
      <c r="C619" s="2" t="s">
        <v>167</v>
      </c>
      <c r="D619" s="20">
        <v>0</v>
      </c>
      <c r="E619" s="2" t="s">
        <v>838</v>
      </c>
      <c r="F619" s="2" t="s">
        <v>811</v>
      </c>
      <c r="G619" s="2" t="s">
        <v>1493</v>
      </c>
      <c r="H619" s="2" t="s">
        <v>1490</v>
      </c>
      <c r="J619" s="26"/>
      <c r="K619" s="36">
        <v>2.4027E-4</v>
      </c>
      <c r="L619" s="23">
        <v>4.8050000000000002E-5</v>
      </c>
    </row>
    <row r="620" spans="1:12" ht="15.35" hidden="1" x14ac:dyDescent="0.55000000000000004">
      <c r="A620" s="20">
        <v>14848</v>
      </c>
      <c r="B620" s="2" t="s">
        <v>166</v>
      </c>
      <c r="C620" s="2" t="s">
        <v>167</v>
      </c>
      <c r="D620" s="20">
        <v>0</v>
      </c>
      <c r="E620" s="2" t="s">
        <v>838</v>
      </c>
      <c r="F620" s="2" t="s">
        <v>811</v>
      </c>
      <c r="G620" s="2" t="s">
        <v>1494</v>
      </c>
      <c r="H620" s="2" t="s">
        <v>1490</v>
      </c>
      <c r="J620" s="26"/>
      <c r="K620" s="36">
        <v>3.0033000000000002E-4</v>
      </c>
      <c r="L620" s="23">
        <v>6.0069999999999999E-5</v>
      </c>
    </row>
    <row r="621" spans="1:12" ht="15.35" hidden="1" x14ac:dyDescent="0.55000000000000004">
      <c r="A621" s="20">
        <v>14847</v>
      </c>
      <c r="B621" s="2" t="s">
        <v>166</v>
      </c>
      <c r="C621" s="2" t="s">
        <v>167</v>
      </c>
      <c r="D621" s="20">
        <v>0</v>
      </c>
      <c r="E621" s="2" t="s">
        <v>838</v>
      </c>
      <c r="F621" s="2" t="s">
        <v>811</v>
      </c>
      <c r="G621" s="2" t="s">
        <v>1495</v>
      </c>
      <c r="H621" s="2" t="s">
        <v>1490</v>
      </c>
      <c r="J621" s="26"/>
      <c r="K621" s="36">
        <v>5.9267E-4</v>
      </c>
      <c r="L621" s="23">
        <v>1.1853000000000001E-4</v>
      </c>
    </row>
    <row r="622" spans="1:12" ht="15.35" hidden="1" x14ac:dyDescent="0.55000000000000004">
      <c r="A622" s="20">
        <v>14850</v>
      </c>
      <c r="B622" s="2" t="s">
        <v>166</v>
      </c>
      <c r="C622" s="2" t="s">
        <v>167</v>
      </c>
      <c r="D622" s="20">
        <v>0</v>
      </c>
      <c r="E622" s="2" t="s">
        <v>838</v>
      </c>
      <c r="F622" s="2" t="s">
        <v>811</v>
      </c>
      <c r="G622" s="2" t="s">
        <v>1496</v>
      </c>
      <c r="H622" s="2" t="s">
        <v>1490</v>
      </c>
      <c r="J622" s="26"/>
      <c r="K622" s="36">
        <v>2.6028999999999999E-4</v>
      </c>
      <c r="L622" s="23">
        <v>5.206E-5</v>
      </c>
    </row>
    <row r="623" spans="1:12" ht="15.35" hidden="1" x14ac:dyDescent="0.55000000000000004">
      <c r="A623" s="20">
        <v>14846</v>
      </c>
      <c r="B623" s="2" t="s">
        <v>166</v>
      </c>
      <c r="C623" s="2" t="s">
        <v>167</v>
      </c>
      <c r="D623" s="20">
        <v>0</v>
      </c>
      <c r="E623" s="2" t="s">
        <v>838</v>
      </c>
      <c r="F623" s="2" t="s">
        <v>811</v>
      </c>
      <c r="G623" s="2" t="s">
        <v>1497</v>
      </c>
      <c r="H623" s="2" t="s">
        <v>1490</v>
      </c>
      <c r="J623" s="26"/>
      <c r="K623" s="36">
        <v>4.4048999999999998E-4</v>
      </c>
      <c r="L623" s="23">
        <v>8.81E-5</v>
      </c>
    </row>
    <row r="624" spans="1:12" ht="15.35" hidden="1" x14ac:dyDescent="0.55000000000000004">
      <c r="A624" s="20">
        <v>14851</v>
      </c>
      <c r="B624" s="2" t="s">
        <v>166</v>
      </c>
      <c r="C624" s="2" t="s">
        <v>167</v>
      </c>
      <c r="D624" s="20">
        <v>0</v>
      </c>
      <c r="E624" s="2" t="s">
        <v>838</v>
      </c>
      <c r="F624" s="2" t="s">
        <v>811</v>
      </c>
      <c r="G624" s="2" t="s">
        <v>1498</v>
      </c>
      <c r="H624" s="2" t="s">
        <v>1490</v>
      </c>
      <c r="J624" s="26"/>
      <c r="K624" s="36">
        <v>1.1613E-4</v>
      </c>
      <c r="L624" s="23">
        <v>2.323E-5</v>
      </c>
    </row>
    <row r="625" spans="1:12" ht="15.35" hidden="1" x14ac:dyDescent="0.55000000000000004">
      <c r="A625" s="20">
        <v>15261</v>
      </c>
      <c r="B625" s="2" t="s">
        <v>166</v>
      </c>
      <c r="C625" s="2" t="s">
        <v>167</v>
      </c>
      <c r="D625" s="20">
        <v>0</v>
      </c>
      <c r="E625" s="2" t="s">
        <v>838</v>
      </c>
      <c r="F625" s="2" t="s">
        <v>783</v>
      </c>
      <c r="G625" s="2" t="s">
        <v>1499</v>
      </c>
      <c r="H625" s="2" t="s">
        <v>1499</v>
      </c>
      <c r="J625" s="26"/>
      <c r="K625" s="36">
        <v>2.4827999999999999E-3</v>
      </c>
      <c r="L625" s="23">
        <v>4.9655999999999995E-4</v>
      </c>
    </row>
    <row r="626" spans="1:12" ht="15.35" hidden="1" x14ac:dyDescent="0.55000000000000004">
      <c r="A626" s="20">
        <v>15316</v>
      </c>
      <c r="B626" s="2" t="s">
        <v>166</v>
      </c>
      <c r="C626" s="2" t="s">
        <v>167</v>
      </c>
      <c r="D626" s="20">
        <v>0</v>
      </c>
      <c r="E626" s="2" t="s">
        <v>838</v>
      </c>
      <c r="F626" s="2" t="s">
        <v>789</v>
      </c>
      <c r="G626" s="2" t="s">
        <v>1500</v>
      </c>
      <c r="H626" s="2" t="s">
        <v>1501</v>
      </c>
      <c r="J626" s="26"/>
      <c r="K626" s="36">
        <v>2.3626699999999999E-3</v>
      </c>
      <c r="L626" s="23">
        <v>4.7252999999999998E-4</v>
      </c>
    </row>
    <row r="627" spans="1:12" ht="15.35" hidden="1" x14ac:dyDescent="0.55000000000000004">
      <c r="A627" s="20">
        <v>15339</v>
      </c>
      <c r="B627" s="2" t="s">
        <v>166</v>
      </c>
      <c r="C627" s="2" t="s">
        <v>167</v>
      </c>
      <c r="D627" s="20">
        <v>0</v>
      </c>
      <c r="E627" s="2" t="s">
        <v>838</v>
      </c>
      <c r="F627" s="2" t="s">
        <v>793</v>
      </c>
      <c r="G627" s="2" t="s">
        <v>1502</v>
      </c>
      <c r="H627" s="2" t="s">
        <v>1503</v>
      </c>
      <c r="J627" s="26"/>
      <c r="K627" s="36">
        <v>8.0090000000000001E-5</v>
      </c>
      <c r="L627" s="23">
        <v>1.6019999999999999E-5</v>
      </c>
    </row>
    <row r="628" spans="1:12" ht="15.35" hidden="1" x14ac:dyDescent="0.55000000000000004">
      <c r="A628" s="20">
        <v>15340</v>
      </c>
      <c r="B628" s="2" t="s">
        <v>166</v>
      </c>
      <c r="C628" s="2" t="s">
        <v>167</v>
      </c>
      <c r="D628" s="20">
        <v>0</v>
      </c>
      <c r="E628" s="2" t="s">
        <v>838</v>
      </c>
      <c r="F628" s="2" t="s">
        <v>793</v>
      </c>
      <c r="G628" s="2" t="s">
        <v>1504</v>
      </c>
      <c r="H628" s="2" t="s">
        <v>1503</v>
      </c>
      <c r="J628" s="26"/>
      <c r="K628" s="36">
        <v>1.0812E-4</v>
      </c>
      <c r="L628" s="23">
        <v>2.162E-5</v>
      </c>
    </row>
    <row r="629" spans="1:12" ht="15.35" hidden="1" x14ac:dyDescent="0.55000000000000004">
      <c r="A629" s="20">
        <v>15088</v>
      </c>
      <c r="B629" s="2" t="s">
        <v>166</v>
      </c>
      <c r="C629" s="2" t="s">
        <v>167</v>
      </c>
      <c r="D629" s="20">
        <v>0</v>
      </c>
      <c r="E629" s="2" t="s">
        <v>838</v>
      </c>
      <c r="F629" s="2" t="s">
        <v>793</v>
      </c>
      <c r="G629" s="2" t="s">
        <v>1505</v>
      </c>
      <c r="H629" s="2" t="s">
        <v>1506</v>
      </c>
      <c r="J629" s="26"/>
      <c r="K629" s="36">
        <v>1.1212E-4</v>
      </c>
      <c r="L629" s="23">
        <v>2.2419999999999999E-5</v>
      </c>
    </row>
    <row r="630" spans="1:12" ht="15.35" hidden="1" x14ac:dyDescent="0.55000000000000004">
      <c r="A630" s="20">
        <v>15037</v>
      </c>
      <c r="B630" s="2" t="s">
        <v>166</v>
      </c>
      <c r="C630" s="2" t="s">
        <v>167</v>
      </c>
      <c r="D630" s="20">
        <v>0</v>
      </c>
      <c r="E630" s="2" t="s">
        <v>838</v>
      </c>
      <c r="F630" s="2" t="s">
        <v>793</v>
      </c>
      <c r="G630" s="2" t="s">
        <v>1507</v>
      </c>
      <c r="H630" s="2" t="s">
        <v>1506</v>
      </c>
      <c r="J630" s="26"/>
      <c r="K630" s="36">
        <v>1.1212E-4</v>
      </c>
      <c r="L630" s="23">
        <v>2.2419999999999999E-5</v>
      </c>
    </row>
    <row r="631" spans="1:12" ht="15.35" hidden="1" x14ac:dyDescent="0.55000000000000004">
      <c r="A631" s="20">
        <v>15054</v>
      </c>
      <c r="B631" s="2" t="s">
        <v>166</v>
      </c>
      <c r="C631" s="2" t="s">
        <v>167</v>
      </c>
      <c r="D631" s="20">
        <v>0</v>
      </c>
      <c r="E631" s="2" t="s">
        <v>838</v>
      </c>
      <c r="F631" s="2" t="s">
        <v>793</v>
      </c>
      <c r="G631" s="2" t="s">
        <v>1508</v>
      </c>
      <c r="H631" s="2" t="s">
        <v>1506</v>
      </c>
      <c r="J631" s="26"/>
      <c r="K631" s="36">
        <v>8.4090000000000003E-5</v>
      </c>
      <c r="L631" s="23">
        <v>1.6820000000000002E-5</v>
      </c>
    </row>
    <row r="632" spans="1:12" ht="15.35" hidden="1" x14ac:dyDescent="0.55000000000000004">
      <c r="A632" s="20">
        <v>15049</v>
      </c>
      <c r="B632" s="2" t="s">
        <v>166</v>
      </c>
      <c r="C632" s="2" t="s">
        <v>167</v>
      </c>
      <c r="D632" s="20">
        <v>0</v>
      </c>
      <c r="E632" s="2" t="s">
        <v>838</v>
      </c>
      <c r="F632" s="2" t="s">
        <v>793</v>
      </c>
      <c r="G632" s="2" t="s">
        <v>1509</v>
      </c>
      <c r="H632" s="2" t="s">
        <v>1506</v>
      </c>
      <c r="J632" s="26"/>
      <c r="K632" s="36">
        <v>9.2100000000000003E-5</v>
      </c>
      <c r="L632" s="23">
        <v>1.842E-5</v>
      </c>
    </row>
    <row r="633" spans="1:12" ht="15.35" hidden="1" x14ac:dyDescent="0.55000000000000004">
      <c r="A633" s="20">
        <v>15050</v>
      </c>
      <c r="B633" s="2" t="s">
        <v>166</v>
      </c>
      <c r="C633" s="2" t="s">
        <v>167</v>
      </c>
      <c r="D633" s="20">
        <v>0</v>
      </c>
      <c r="E633" s="2" t="s">
        <v>838</v>
      </c>
      <c r="F633" s="2" t="s">
        <v>793</v>
      </c>
      <c r="G633" s="2" t="s">
        <v>1510</v>
      </c>
      <c r="H633" s="2" t="s">
        <v>1506</v>
      </c>
      <c r="J633" s="26"/>
      <c r="K633" s="36">
        <v>9.2100000000000003E-5</v>
      </c>
      <c r="L633" s="23">
        <v>1.842E-5</v>
      </c>
    </row>
    <row r="634" spans="1:12" ht="15.35" hidden="1" x14ac:dyDescent="0.55000000000000004">
      <c r="A634" s="20">
        <v>15051</v>
      </c>
      <c r="B634" s="2" t="s">
        <v>166</v>
      </c>
      <c r="C634" s="2" t="s">
        <v>167</v>
      </c>
      <c r="D634" s="20">
        <v>0</v>
      </c>
      <c r="E634" s="2" t="s">
        <v>838</v>
      </c>
      <c r="F634" s="2" t="s">
        <v>793</v>
      </c>
      <c r="G634" s="2" t="s">
        <v>1511</v>
      </c>
      <c r="H634" s="2" t="s">
        <v>1506</v>
      </c>
      <c r="J634" s="26"/>
      <c r="K634" s="36">
        <v>1.4416E-4</v>
      </c>
      <c r="L634" s="23">
        <v>2.883E-5</v>
      </c>
    </row>
    <row r="635" spans="1:12" ht="15.35" hidden="1" x14ac:dyDescent="0.55000000000000004">
      <c r="A635" s="20">
        <v>15052</v>
      </c>
      <c r="B635" s="2" t="s">
        <v>166</v>
      </c>
      <c r="C635" s="2" t="s">
        <v>167</v>
      </c>
      <c r="D635" s="20">
        <v>0</v>
      </c>
      <c r="E635" s="2" t="s">
        <v>838</v>
      </c>
      <c r="F635" s="2" t="s">
        <v>793</v>
      </c>
      <c r="G635" s="2" t="s">
        <v>1512</v>
      </c>
      <c r="H635" s="2" t="s">
        <v>1506</v>
      </c>
      <c r="J635" s="26"/>
      <c r="K635" s="36">
        <v>1.4416E-4</v>
      </c>
      <c r="L635" s="23">
        <v>2.883E-5</v>
      </c>
    </row>
    <row r="636" spans="1:12" ht="15.35" hidden="1" x14ac:dyDescent="0.55000000000000004">
      <c r="A636" s="20">
        <v>15053</v>
      </c>
      <c r="B636" s="2" t="s">
        <v>166</v>
      </c>
      <c r="C636" s="2" t="s">
        <v>167</v>
      </c>
      <c r="D636" s="20">
        <v>0</v>
      </c>
      <c r="E636" s="2" t="s">
        <v>838</v>
      </c>
      <c r="F636" s="2" t="s">
        <v>793</v>
      </c>
      <c r="G636" s="2" t="s">
        <v>1513</v>
      </c>
      <c r="H636" s="2" t="s">
        <v>1506</v>
      </c>
      <c r="J636" s="26"/>
      <c r="K636" s="36">
        <v>1.4416E-4</v>
      </c>
      <c r="L636" s="23">
        <v>2.883E-5</v>
      </c>
    </row>
    <row r="637" spans="1:12" ht="15.35" hidden="1" x14ac:dyDescent="0.55000000000000004">
      <c r="A637" s="20">
        <v>15055</v>
      </c>
      <c r="B637" s="2" t="s">
        <v>166</v>
      </c>
      <c r="C637" s="2" t="s">
        <v>167</v>
      </c>
      <c r="D637" s="20">
        <v>0</v>
      </c>
      <c r="E637" s="2" t="s">
        <v>838</v>
      </c>
      <c r="F637" s="2" t="s">
        <v>793</v>
      </c>
      <c r="G637" s="2" t="s">
        <v>1514</v>
      </c>
      <c r="H637" s="2" t="s">
        <v>1506</v>
      </c>
      <c r="J637" s="26"/>
      <c r="K637" s="36">
        <v>1.4416E-4</v>
      </c>
      <c r="L637" s="23">
        <v>2.883E-5</v>
      </c>
    </row>
    <row r="638" spans="1:12" ht="15.35" hidden="1" x14ac:dyDescent="0.55000000000000004">
      <c r="A638" s="20">
        <v>15056</v>
      </c>
      <c r="B638" s="2" t="s">
        <v>166</v>
      </c>
      <c r="C638" s="2" t="s">
        <v>167</v>
      </c>
      <c r="D638" s="20">
        <v>0</v>
      </c>
      <c r="E638" s="2" t="s">
        <v>838</v>
      </c>
      <c r="F638" s="2" t="s">
        <v>793</v>
      </c>
      <c r="G638" s="2" t="s">
        <v>1515</v>
      </c>
      <c r="H638" s="2" t="s">
        <v>1506</v>
      </c>
      <c r="J638" s="26"/>
      <c r="K638" s="36">
        <v>1.6018E-4</v>
      </c>
      <c r="L638" s="23">
        <v>3.2039999999999998E-5</v>
      </c>
    </row>
    <row r="639" spans="1:12" ht="15.35" hidden="1" x14ac:dyDescent="0.55000000000000004">
      <c r="A639" s="20">
        <v>15057</v>
      </c>
      <c r="B639" s="2" t="s">
        <v>166</v>
      </c>
      <c r="C639" s="2" t="s">
        <v>167</v>
      </c>
      <c r="D639" s="20">
        <v>0</v>
      </c>
      <c r="E639" s="2" t="s">
        <v>838</v>
      </c>
      <c r="F639" s="2" t="s">
        <v>793</v>
      </c>
      <c r="G639" s="2" t="s">
        <v>1516</v>
      </c>
      <c r="H639" s="2" t="s">
        <v>1506</v>
      </c>
      <c r="J639" s="26"/>
      <c r="K639" s="36">
        <v>1.7619000000000001E-4</v>
      </c>
      <c r="L639" s="23">
        <v>3.5240000000000001E-5</v>
      </c>
    </row>
    <row r="640" spans="1:12" ht="15.35" hidden="1" x14ac:dyDescent="0.55000000000000004">
      <c r="A640" s="20">
        <v>15058</v>
      </c>
      <c r="B640" s="2" t="s">
        <v>166</v>
      </c>
      <c r="C640" s="2" t="s">
        <v>167</v>
      </c>
      <c r="D640" s="20">
        <v>0</v>
      </c>
      <c r="E640" s="2" t="s">
        <v>838</v>
      </c>
      <c r="F640" s="2" t="s">
        <v>793</v>
      </c>
      <c r="G640" s="2" t="s">
        <v>1517</v>
      </c>
      <c r="H640" s="2" t="s">
        <v>1506</v>
      </c>
      <c r="J640" s="26"/>
      <c r="K640" s="36">
        <v>1.0812E-4</v>
      </c>
      <c r="L640" s="23">
        <v>2.162E-5</v>
      </c>
    </row>
    <row r="641" spans="1:12" ht="15.35" hidden="1" x14ac:dyDescent="0.55000000000000004">
      <c r="A641" s="20">
        <v>15059</v>
      </c>
      <c r="B641" s="2" t="s">
        <v>166</v>
      </c>
      <c r="C641" s="2" t="s">
        <v>167</v>
      </c>
      <c r="D641" s="20">
        <v>0</v>
      </c>
      <c r="E641" s="2" t="s">
        <v>838</v>
      </c>
      <c r="F641" s="2" t="s">
        <v>793</v>
      </c>
      <c r="G641" s="2" t="s">
        <v>1518</v>
      </c>
      <c r="H641" s="2" t="s">
        <v>1506</v>
      </c>
      <c r="J641" s="26"/>
      <c r="K641" s="36">
        <v>6.0059999999999998E-5</v>
      </c>
      <c r="L641" s="23">
        <v>1.201E-5</v>
      </c>
    </row>
    <row r="642" spans="1:12" ht="15.35" hidden="1" x14ac:dyDescent="0.55000000000000004">
      <c r="A642" s="20">
        <v>15060</v>
      </c>
      <c r="B642" s="2" t="s">
        <v>166</v>
      </c>
      <c r="C642" s="2" t="s">
        <v>167</v>
      </c>
      <c r="D642" s="20">
        <v>0</v>
      </c>
      <c r="E642" s="2" t="s">
        <v>838</v>
      </c>
      <c r="F642" s="2" t="s">
        <v>793</v>
      </c>
      <c r="G642" s="2" t="s">
        <v>1519</v>
      </c>
      <c r="H642" s="2" t="s">
        <v>1506</v>
      </c>
      <c r="J642" s="26"/>
      <c r="K642" s="36">
        <v>6.0059999999999998E-5</v>
      </c>
      <c r="L642" s="23">
        <v>1.201E-5</v>
      </c>
    </row>
    <row r="643" spans="1:12" ht="15.35" hidden="1" x14ac:dyDescent="0.55000000000000004">
      <c r="A643" s="20">
        <v>15061</v>
      </c>
      <c r="B643" s="2" t="s">
        <v>166</v>
      </c>
      <c r="C643" s="2" t="s">
        <v>167</v>
      </c>
      <c r="D643" s="20">
        <v>0</v>
      </c>
      <c r="E643" s="2" t="s">
        <v>838</v>
      </c>
      <c r="F643" s="2" t="s">
        <v>793</v>
      </c>
      <c r="G643" s="2" t="s">
        <v>1520</v>
      </c>
      <c r="H643" s="2" t="s">
        <v>1506</v>
      </c>
      <c r="J643" s="26"/>
      <c r="K643" s="36">
        <v>1.1212E-4</v>
      </c>
      <c r="L643" s="23">
        <v>2.2419999999999999E-5</v>
      </c>
    </row>
    <row r="644" spans="1:12" ht="15.35" hidden="1" x14ac:dyDescent="0.55000000000000004">
      <c r="A644" s="20">
        <v>15062</v>
      </c>
      <c r="B644" s="2" t="s">
        <v>166</v>
      </c>
      <c r="C644" s="2" t="s">
        <v>167</v>
      </c>
      <c r="D644" s="20">
        <v>0</v>
      </c>
      <c r="E644" s="2" t="s">
        <v>838</v>
      </c>
      <c r="F644" s="2" t="s">
        <v>793</v>
      </c>
      <c r="G644" s="2" t="s">
        <v>1521</v>
      </c>
      <c r="H644" s="2" t="s">
        <v>1506</v>
      </c>
      <c r="J644" s="26"/>
      <c r="K644" s="36">
        <v>1.1212E-4</v>
      </c>
      <c r="L644" s="23">
        <v>2.2419999999999999E-5</v>
      </c>
    </row>
    <row r="645" spans="1:12" ht="15.35" hidden="1" x14ac:dyDescent="0.55000000000000004">
      <c r="A645" s="20">
        <v>15063</v>
      </c>
      <c r="B645" s="2" t="s">
        <v>166</v>
      </c>
      <c r="C645" s="2" t="s">
        <v>167</v>
      </c>
      <c r="D645" s="20">
        <v>0</v>
      </c>
      <c r="E645" s="2" t="s">
        <v>838</v>
      </c>
      <c r="F645" s="2" t="s">
        <v>793</v>
      </c>
      <c r="G645" s="2" t="s">
        <v>1522</v>
      </c>
      <c r="H645" s="2" t="s">
        <v>1506</v>
      </c>
      <c r="J645" s="26"/>
      <c r="K645" s="36">
        <v>9.2100000000000003E-5</v>
      </c>
      <c r="L645" s="23">
        <v>1.842E-5</v>
      </c>
    </row>
    <row r="646" spans="1:12" ht="15.35" hidden="1" x14ac:dyDescent="0.55000000000000004">
      <c r="A646" s="20">
        <v>15064</v>
      </c>
      <c r="B646" s="2" t="s">
        <v>166</v>
      </c>
      <c r="C646" s="2" t="s">
        <v>167</v>
      </c>
      <c r="D646" s="20">
        <v>0</v>
      </c>
      <c r="E646" s="2" t="s">
        <v>838</v>
      </c>
      <c r="F646" s="2" t="s">
        <v>793</v>
      </c>
      <c r="G646" s="2" t="s">
        <v>1523</v>
      </c>
      <c r="H646" s="2" t="s">
        <v>1506</v>
      </c>
      <c r="J646" s="26"/>
      <c r="K646" s="36">
        <v>9.2100000000000003E-5</v>
      </c>
      <c r="L646" s="23">
        <v>1.842E-5</v>
      </c>
    </row>
    <row r="647" spans="1:12" ht="15.35" hidden="1" x14ac:dyDescent="0.55000000000000004">
      <c r="A647" s="20">
        <v>15065</v>
      </c>
      <c r="B647" s="2" t="s">
        <v>166</v>
      </c>
      <c r="C647" s="2" t="s">
        <v>167</v>
      </c>
      <c r="D647" s="20">
        <v>0</v>
      </c>
      <c r="E647" s="2" t="s">
        <v>838</v>
      </c>
      <c r="F647" s="2" t="s">
        <v>793</v>
      </c>
      <c r="G647" s="2" t="s">
        <v>1524</v>
      </c>
      <c r="H647" s="2" t="s">
        <v>1506</v>
      </c>
      <c r="J647" s="26"/>
      <c r="K647" s="36">
        <v>9.2100000000000003E-5</v>
      </c>
      <c r="L647" s="23">
        <v>1.842E-5</v>
      </c>
    </row>
    <row r="648" spans="1:12" ht="15.35" hidden="1" x14ac:dyDescent="0.55000000000000004">
      <c r="A648" s="20">
        <v>15066</v>
      </c>
      <c r="B648" s="2" t="s">
        <v>166</v>
      </c>
      <c r="C648" s="2" t="s">
        <v>167</v>
      </c>
      <c r="D648" s="20">
        <v>0</v>
      </c>
      <c r="E648" s="2" t="s">
        <v>838</v>
      </c>
      <c r="F648" s="2" t="s">
        <v>793</v>
      </c>
      <c r="G648" s="2" t="s">
        <v>1525</v>
      </c>
      <c r="H648" s="2" t="s">
        <v>1506</v>
      </c>
      <c r="J648" s="26"/>
      <c r="K648" s="36">
        <v>1.0411E-4</v>
      </c>
      <c r="L648" s="23">
        <v>2.0820000000000001E-5</v>
      </c>
    </row>
    <row r="649" spans="1:12" ht="15.35" hidden="1" x14ac:dyDescent="0.55000000000000004">
      <c r="A649" s="20">
        <v>15067</v>
      </c>
      <c r="B649" s="2" t="s">
        <v>166</v>
      </c>
      <c r="C649" s="2" t="s">
        <v>167</v>
      </c>
      <c r="D649" s="20">
        <v>0</v>
      </c>
      <c r="E649" s="2" t="s">
        <v>838</v>
      </c>
      <c r="F649" s="2" t="s">
        <v>793</v>
      </c>
      <c r="G649" s="2" t="s">
        <v>1526</v>
      </c>
      <c r="H649" s="2" t="s">
        <v>1506</v>
      </c>
      <c r="J649" s="26"/>
      <c r="K649" s="36">
        <v>1.0411E-4</v>
      </c>
      <c r="L649" s="23">
        <v>2.0820000000000001E-5</v>
      </c>
    </row>
    <row r="650" spans="1:12" ht="15.35" hidden="1" x14ac:dyDescent="0.55000000000000004">
      <c r="A650" s="20">
        <v>15068</v>
      </c>
      <c r="B650" s="2" t="s">
        <v>166</v>
      </c>
      <c r="C650" s="2" t="s">
        <v>167</v>
      </c>
      <c r="D650" s="20">
        <v>0</v>
      </c>
      <c r="E650" s="2" t="s">
        <v>838</v>
      </c>
      <c r="F650" s="2" t="s">
        <v>793</v>
      </c>
      <c r="G650" s="2" t="s">
        <v>1527</v>
      </c>
      <c r="H650" s="2" t="s">
        <v>1506</v>
      </c>
      <c r="J650" s="26"/>
      <c r="K650" s="36">
        <v>9.6100000000000005E-5</v>
      </c>
      <c r="L650" s="23">
        <v>1.9219999999999999E-5</v>
      </c>
    </row>
    <row r="651" spans="1:12" ht="15.35" hidden="1" x14ac:dyDescent="0.55000000000000004">
      <c r="A651" s="20">
        <v>15069</v>
      </c>
      <c r="B651" s="2" t="s">
        <v>166</v>
      </c>
      <c r="C651" s="2" t="s">
        <v>167</v>
      </c>
      <c r="D651" s="20">
        <v>0</v>
      </c>
      <c r="E651" s="2" t="s">
        <v>838</v>
      </c>
      <c r="F651" s="2" t="s">
        <v>793</v>
      </c>
      <c r="G651" s="2" t="s">
        <v>1528</v>
      </c>
      <c r="H651" s="2" t="s">
        <v>1506</v>
      </c>
      <c r="J651" s="26"/>
      <c r="K651" s="36">
        <v>9.2100000000000003E-5</v>
      </c>
      <c r="L651" s="23">
        <v>1.842E-5</v>
      </c>
    </row>
    <row r="652" spans="1:12" ht="15.35" hidden="1" x14ac:dyDescent="0.55000000000000004">
      <c r="A652" s="20">
        <v>15070</v>
      </c>
      <c r="B652" s="2" t="s">
        <v>166</v>
      </c>
      <c r="C652" s="2" t="s">
        <v>167</v>
      </c>
      <c r="D652" s="20">
        <v>0</v>
      </c>
      <c r="E652" s="2" t="s">
        <v>838</v>
      </c>
      <c r="F652" s="2" t="s">
        <v>793</v>
      </c>
      <c r="G652" s="2" t="s">
        <v>1529</v>
      </c>
      <c r="H652" s="2" t="s">
        <v>1506</v>
      </c>
      <c r="J652" s="26"/>
      <c r="K652" s="36">
        <v>9.2100000000000003E-5</v>
      </c>
      <c r="L652" s="23">
        <v>1.842E-5</v>
      </c>
    </row>
    <row r="653" spans="1:12" ht="15.35" hidden="1" x14ac:dyDescent="0.55000000000000004">
      <c r="A653" s="20">
        <v>15071</v>
      </c>
      <c r="B653" s="2" t="s">
        <v>166</v>
      </c>
      <c r="C653" s="2" t="s">
        <v>167</v>
      </c>
      <c r="D653" s="20">
        <v>0</v>
      </c>
      <c r="E653" s="2" t="s">
        <v>838</v>
      </c>
      <c r="F653" s="2" t="s">
        <v>793</v>
      </c>
      <c r="G653" s="2" t="s">
        <v>1530</v>
      </c>
      <c r="H653" s="2" t="s">
        <v>1506</v>
      </c>
      <c r="J653" s="26"/>
      <c r="K653" s="36">
        <v>9.2100000000000003E-5</v>
      </c>
      <c r="L653" s="23">
        <v>1.842E-5</v>
      </c>
    </row>
    <row r="654" spans="1:12" ht="15.35" hidden="1" x14ac:dyDescent="0.55000000000000004">
      <c r="A654" s="20">
        <v>15072</v>
      </c>
      <c r="B654" s="2" t="s">
        <v>166</v>
      </c>
      <c r="C654" s="2" t="s">
        <v>167</v>
      </c>
      <c r="D654" s="20">
        <v>0</v>
      </c>
      <c r="E654" s="2" t="s">
        <v>838</v>
      </c>
      <c r="F654" s="2" t="s">
        <v>793</v>
      </c>
      <c r="G654" s="2" t="s">
        <v>1531</v>
      </c>
      <c r="H654" s="2" t="s">
        <v>1506</v>
      </c>
      <c r="J654" s="26"/>
      <c r="K654" s="36">
        <v>9.2100000000000003E-5</v>
      </c>
      <c r="L654" s="23">
        <v>1.842E-5</v>
      </c>
    </row>
    <row r="655" spans="1:12" ht="15.35" hidden="1" x14ac:dyDescent="0.55000000000000004">
      <c r="A655" s="20">
        <v>15073</v>
      </c>
      <c r="B655" s="2" t="s">
        <v>166</v>
      </c>
      <c r="C655" s="2" t="s">
        <v>167</v>
      </c>
      <c r="D655" s="20">
        <v>0</v>
      </c>
      <c r="E655" s="2" t="s">
        <v>838</v>
      </c>
      <c r="F655" s="2" t="s">
        <v>793</v>
      </c>
      <c r="G655" s="2" t="s">
        <v>1532</v>
      </c>
      <c r="H655" s="2" t="s">
        <v>1506</v>
      </c>
      <c r="J655" s="26"/>
      <c r="K655" s="36">
        <v>9.2100000000000003E-5</v>
      </c>
      <c r="L655" s="23">
        <v>1.842E-5</v>
      </c>
    </row>
    <row r="656" spans="1:12" ht="15.35" hidden="1" x14ac:dyDescent="0.55000000000000004">
      <c r="A656" s="20">
        <v>15074</v>
      </c>
      <c r="B656" s="2" t="s">
        <v>166</v>
      </c>
      <c r="C656" s="2" t="s">
        <v>167</v>
      </c>
      <c r="D656" s="20">
        <v>0</v>
      </c>
      <c r="E656" s="2" t="s">
        <v>838</v>
      </c>
      <c r="F656" s="2" t="s">
        <v>793</v>
      </c>
      <c r="G656" s="2" t="s">
        <v>1533</v>
      </c>
      <c r="H656" s="2" t="s">
        <v>1506</v>
      </c>
      <c r="J656" s="26"/>
      <c r="K656" s="36">
        <v>1.1212E-4</v>
      </c>
      <c r="L656" s="23">
        <v>2.2419999999999999E-5</v>
      </c>
    </row>
    <row r="657" spans="1:12" ht="15.35" hidden="1" x14ac:dyDescent="0.55000000000000004">
      <c r="A657" s="20">
        <v>15075</v>
      </c>
      <c r="B657" s="2" t="s">
        <v>166</v>
      </c>
      <c r="C657" s="2" t="s">
        <v>167</v>
      </c>
      <c r="D657" s="20">
        <v>0</v>
      </c>
      <c r="E657" s="2" t="s">
        <v>838</v>
      </c>
      <c r="F657" s="2" t="s">
        <v>793</v>
      </c>
      <c r="G657" s="2" t="s">
        <v>1534</v>
      </c>
      <c r="H657" s="2" t="s">
        <v>1506</v>
      </c>
      <c r="J657" s="26"/>
      <c r="K657" s="36">
        <v>9.2100000000000003E-5</v>
      </c>
      <c r="L657" s="23">
        <v>1.842E-5</v>
      </c>
    </row>
    <row r="658" spans="1:12" ht="15.35" hidden="1" x14ac:dyDescent="0.55000000000000004">
      <c r="A658" s="20">
        <v>15076</v>
      </c>
      <c r="B658" s="2" t="s">
        <v>166</v>
      </c>
      <c r="C658" s="2" t="s">
        <v>167</v>
      </c>
      <c r="D658" s="20">
        <v>0</v>
      </c>
      <c r="E658" s="2" t="s">
        <v>838</v>
      </c>
      <c r="F658" s="2" t="s">
        <v>793</v>
      </c>
      <c r="G658" s="2" t="s">
        <v>1535</v>
      </c>
      <c r="H658" s="2" t="s">
        <v>1506</v>
      </c>
      <c r="J658" s="26"/>
      <c r="K658" s="36">
        <v>9.2100000000000003E-5</v>
      </c>
      <c r="L658" s="23">
        <v>1.842E-5</v>
      </c>
    </row>
    <row r="659" spans="1:12" ht="15.35" hidden="1" x14ac:dyDescent="0.55000000000000004">
      <c r="A659" s="20">
        <v>15090</v>
      </c>
      <c r="B659" s="2" t="s">
        <v>166</v>
      </c>
      <c r="C659" s="2" t="s">
        <v>167</v>
      </c>
      <c r="D659" s="20">
        <v>0</v>
      </c>
      <c r="E659" s="2" t="s">
        <v>838</v>
      </c>
      <c r="F659" s="2" t="s">
        <v>793</v>
      </c>
      <c r="G659" s="2" t="s">
        <v>1536</v>
      </c>
      <c r="H659" s="2" t="s">
        <v>1506</v>
      </c>
      <c r="J659" s="26"/>
      <c r="K659" s="36">
        <v>1.1212E-4</v>
      </c>
      <c r="L659" s="23">
        <v>2.2419999999999999E-5</v>
      </c>
    </row>
    <row r="660" spans="1:12" ht="15.35" hidden="1" x14ac:dyDescent="0.55000000000000004">
      <c r="A660" s="20">
        <v>15077</v>
      </c>
      <c r="B660" s="2" t="s">
        <v>166</v>
      </c>
      <c r="C660" s="2" t="s">
        <v>167</v>
      </c>
      <c r="D660" s="20">
        <v>0</v>
      </c>
      <c r="E660" s="2" t="s">
        <v>838</v>
      </c>
      <c r="F660" s="2" t="s">
        <v>793</v>
      </c>
      <c r="G660" s="2" t="s">
        <v>1537</v>
      </c>
      <c r="H660" s="2" t="s">
        <v>1506</v>
      </c>
      <c r="J660" s="26"/>
      <c r="K660" s="36">
        <v>9.6100000000000005E-5</v>
      </c>
      <c r="L660" s="23">
        <v>1.9219999999999999E-5</v>
      </c>
    </row>
    <row r="661" spans="1:12" ht="15.35" hidden="1" x14ac:dyDescent="0.55000000000000004">
      <c r="A661" s="20">
        <v>15091</v>
      </c>
      <c r="B661" s="2" t="s">
        <v>166</v>
      </c>
      <c r="C661" s="2" t="s">
        <v>167</v>
      </c>
      <c r="D661" s="20">
        <v>0</v>
      </c>
      <c r="E661" s="2" t="s">
        <v>838</v>
      </c>
      <c r="F661" s="2" t="s">
        <v>793</v>
      </c>
      <c r="G661" s="2" t="s">
        <v>1538</v>
      </c>
      <c r="H661" s="2" t="s">
        <v>1506</v>
      </c>
      <c r="J661" s="26"/>
      <c r="K661" s="36">
        <v>1.1212E-4</v>
      </c>
      <c r="L661" s="23">
        <v>2.2419999999999999E-5</v>
      </c>
    </row>
    <row r="662" spans="1:12" ht="15.35" hidden="1" x14ac:dyDescent="0.55000000000000004">
      <c r="A662" s="20">
        <v>15092</v>
      </c>
      <c r="B662" s="2" t="s">
        <v>166</v>
      </c>
      <c r="C662" s="2" t="s">
        <v>167</v>
      </c>
      <c r="D662" s="20">
        <v>0</v>
      </c>
      <c r="E662" s="2" t="s">
        <v>838</v>
      </c>
      <c r="F662" s="2" t="s">
        <v>793</v>
      </c>
      <c r="G662" s="2" t="s">
        <v>1539</v>
      </c>
      <c r="H662" s="2" t="s">
        <v>1506</v>
      </c>
      <c r="J662" s="26"/>
      <c r="K662" s="36">
        <v>1.1212E-4</v>
      </c>
      <c r="L662" s="23">
        <v>2.2419999999999999E-5</v>
      </c>
    </row>
    <row r="663" spans="1:12" ht="15.35" hidden="1" x14ac:dyDescent="0.55000000000000004">
      <c r="A663" s="20">
        <v>15113</v>
      </c>
      <c r="B663" s="2" t="s">
        <v>166</v>
      </c>
      <c r="C663" s="2" t="s">
        <v>167</v>
      </c>
      <c r="D663" s="20">
        <v>0</v>
      </c>
      <c r="E663" s="2" t="s">
        <v>838</v>
      </c>
      <c r="F663" s="2" t="s">
        <v>793</v>
      </c>
      <c r="G663" s="2" t="s">
        <v>1540</v>
      </c>
      <c r="H663" s="2" t="s">
        <v>1506</v>
      </c>
      <c r="J663" s="26"/>
      <c r="K663" s="36">
        <v>1.1212E-4</v>
      </c>
      <c r="L663" s="23">
        <v>2.2419999999999999E-5</v>
      </c>
    </row>
    <row r="664" spans="1:12" ht="15.35" hidden="1" x14ac:dyDescent="0.55000000000000004">
      <c r="A664" s="20">
        <v>15114</v>
      </c>
      <c r="B664" s="2" t="s">
        <v>166</v>
      </c>
      <c r="C664" s="2" t="s">
        <v>167</v>
      </c>
      <c r="D664" s="20">
        <v>0</v>
      </c>
      <c r="E664" s="2" t="s">
        <v>838</v>
      </c>
      <c r="F664" s="2" t="s">
        <v>793</v>
      </c>
      <c r="G664" s="2" t="s">
        <v>1541</v>
      </c>
      <c r="H664" s="2" t="s">
        <v>1506</v>
      </c>
      <c r="J664" s="26"/>
      <c r="K664" s="36">
        <v>1.1212E-4</v>
      </c>
      <c r="L664" s="23">
        <v>2.2419999999999999E-5</v>
      </c>
    </row>
    <row r="665" spans="1:12" ht="15.35" hidden="1" x14ac:dyDescent="0.55000000000000004">
      <c r="A665" s="20">
        <v>15115</v>
      </c>
      <c r="B665" s="2" t="s">
        <v>166</v>
      </c>
      <c r="C665" s="2" t="s">
        <v>167</v>
      </c>
      <c r="D665" s="20">
        <v>0</v>
      </c>
      <c r="E665" s="2" t="s">
        <v>838</v>
      </c>
      <c r="F665" s="2" t="s">
        <v>793</v>
      </c>
      <c r="G665" s="2" t="s">
        <v>1542</v>
      </c>
      <c r="H665" s="2" t="s">
        <v>1506</v>
      </c>
      <c r="J665" s="26"/>
      <c r="K665" s="36">
        <v>1.1212E-4</v>
      </c>
      <c r="L665" s="23">
        <v>2.2419999999999999E-5</v>
      </c>
    </row>
    <row r="666" spans="1:12" ht="15.35" hidden="1" x14ac:dyDescent="0.55000000000000004">
      <c r="A666" s="20">
        <v>15116</v>
      </c>
      <c r="B666" s="2" t="s">
        <v>166</v>
      </c>
      <c r="C666" s="2" t="s">
        <v>167</v>
      </c>
      <c r="D666" s="20">
        <v>0</v>
      </c>
      <c r="E666" s="2" t="s">
        <v>838</v>
      </c>
      <c r="F666" s="2" t="s">
        <v>793</v>
      </c>
      <c r="G666" s="2" t="s">
        <v>1543</v>
      </c>
      <c r="H666" s="2" t="s">
        <v>1506</v>
      </c>
      <c r="J666" s="26"/>
      <c r="K666" s="36">
        <v>1.1212E-4</v>
      </c>
      <c r="L666" s="23">
        <v>2.2419999999999999E-5</v>
      </c>
    </row>
    <row r="667" spans="1:12" ht="15.35" hidden="1" x14ac:dyDescent="0.55000000000000004">
      <c r="A667" s="20">
        <v>15117</v>
      </c>
      <c r="B667" s="2" t="s">
        <v>166</v>
      </c>
      <c r="C667" s="2" t="s">
        <v>167</v>
      </c>
      <c r="D667" s="20">
        <v>0</v>
      </c>
      <c r="E667" s="2" t="s">
        <v>838</v>
      </c>
      <c r="F667" s="2" t="s">
        <v>793</v>
      </c>
      <c r="G667" s="2" t="s">
        <v>1544</v>
      </c>
      <c r="H667" s="2" t="s">
        <v>1506</v>
      </c>
      <c r="J667" s="26"/>
      <c r="K667" s="36">
        <v>1.1212E-4</v>
      </c>
      <c r="L667" s="23">
        <v>2.2419999999999999E-5</v>
      </c>
    </row>
    <row r="668" spans="1:12" ht="15.35" hidden="1" x14ac:dyDescent="0.55000000000000004">
      <c r="A668" s="20">
        <v>15078</v>
      </c>
      <c r="B668" s="2" t="s">
        <v>166</v>
      </c>
      <c r="C668" s="2" t="s">
        <v>167</v>
      </c>
      <c r="D668" s="20">
        <v>0</v>
      </c>
      <c r="E668" s="2" t="s">
        <v>838</v>
      </c>
      <c r="F668" s="2" t="s">
        <v>793</v>
      </c>
      <c r="G668" s="2" t="s">
        <v>1545</v>
      </c>
      <c r="H668" s="2" t="s">
        <v>1506</v>
      </c>
      <c r="J668" s="26"/>
      <c r="K668" s="36">
        <v>9.6100000000000005E-5</v>
      </c>
      <c r="L668" s="23">
        <v>1.9219999999999999E-5</v>
      </c>
    </row>
    <row r="669" spans="1:12" ht="15.35" hidden="1" x14ac:dyDescent="0.55000000000000004">
      <c r="A669" s="20">
        <v>15079</v>
      </c>
      <c r="B669" s="2" t="s">
        <v>166</v>
      </c>
      <c r="C669" s="2" t="s">
        <v>167</v>
      </c>
      <c r="D669" s="20">
        <v>0</v>
      </c>
      <c r="E669" s="2" t="s">
        <v>838</v>
      </c>
      <c r="F669" s="2" t="s">
        <v>793</v>
      </c>
      <c r="G669" s="2" t="s">
        <v>1546</v>
      </c>
      <c r="H669" s="2" t="s">
        <v>1506</v>
      </c>
      <c r="J669" s="26"/>
      <c r="K669" s="36">
        <v>9.6100000000000005E-5</v>
      </c>
      <c r="L669" s="23">
        <v>1.9219999999999999E-5</v>
      </c>
    </row>
    <row r="670" spans="1:12" ht="15.35" hidden="1" x14ac:dyDescent="0.55000000000000004">
      <c r="A670" s="20">
        <v>15080</v>
      </c>
      <c r="B670" s="2" t="s">
        <v>166</v>
      </c>
      <c r="C670" s="2" t="s">
        <v>167</v>
      </c>
      <c r="D670" s="20">
        <v>0</v>
      </c>
      <c r="E670" s="2" t="s">
        <v>838</v>
      </c>
      <c r="F670" s="2" t="s">
        <v>793</v>
      </c>
      <c r="G670" s="2" t="s">
        <v>1547</v>
      </c>
      <c r="H670" s="2" t="s">
        <v>1506</v>
      </c>
      <c r="J670" s="26"/>
      <c r="K670" s="36">
        <v>9.6100000000000005E-5</v>
      </c>
      <c r="L670" s="23">
        <v>1.9219999999999999E-5</v>
      </c>
    </row>
    <row r="671" spans="1:12" ht="15.35" hidden="1" x14ac:dyDescent="0.55000000000000004">
      <c r="A671" s="20">
        <v>15081</v>
      </c>
      <c r="B671" s="2" t="s">
        <v>166</v>
      </c>
      <c r="C671" s="2" t="s">
        <v>167</v>
      </c>
      <c r="D671" s="20">
        <v>0</v>
      </c>
      <c r="E671" s="2" t="s">
        <v>838</v>
      </c>
      <c r="F671" s="2" t="s">
        <v>793</v>
      </c>
      <c r="G671" s="2" t="s">
        <v>1548</v>
      </c>
      <c r="H671" s="2" t="s">
        <v>1506</v>
      </c>
      <c r="J671" s="26"/>
      <c r="K671" s="36">
        <v>9.6100000000000005E-5</v>
      </c>
      <c r="L671" s="23">
        <v>1.9219999999999999E-5</v>
      </c>
    </row>
    <row r="672" spans="1:12" ht="15.35" hidden="1" x14ac:dyDescent="0.55000000000000004">
      <c r="A672" s="20">
        <v>15082</v>
      </c>
      <c r="B672" s="2" t="s">
        <v>166</v>
      </c>
      <c r="C672" s="2" t="s">
        <v>167</v>
      </c>
      <c r="D672" s="20">
        <v>0</v>
      </c>
      <c r="E672" s="2" t="s">
        <v>838</v>
      </c>
      <c r="F672" s="2" t="s">
        <v>793</v>
      </c>
      <c r="G672" s="2" t="s">
        <v>1549</v>
      </c>
      <c r="H672" s="2" t="s">
        <v>1506</v>
      </c>
      <c r="J672" s="26"/>
      <c r="K672" s="36">
        <v>9.6100000000000005E-5</v>
      </c>
      <c r="L672" s="23">
        <v>1.9219999999999999E-5</v>
      </c>
    </row>
    <row r="673" spans="1:12" ht="15.35" hidden="1" x14ac:dyDescent="0.55000000000000004">
      <c r="A673" s="20">
        <v>15083</v>
      </c>
      <c r="B673" s="2" t="s">
        <v>166</v>
      </c>
      <c r="C673" s="2" t="s">
        <v>167</v>
      </c>
      <c r="D673" s="20">
        <v>0</v>
      </c>
      <c r="E673" s="2" t="s">
        <v>838</v>
      </c>
      <c r="F673" s="2" t="s">
        <v>793</v>
      </c>
      <c r="G673" s="2" t="s">
        <v>1550</v>
      </c>
      <c r="H673" s="2" t="s">
        <v>1506</v>
      </c>
      <c r="J673" s="26"/>
      <c r="K673" s="36">
        <v>8.8090000000000005E-5</v>
      </c>
      <c r="L673" s="23">
        <v>1.7620000000000001E-5</v>
      </c>
    </row>
    <row r="674" spans="1:12" ht="15.35" hidden="1" x14ac:dyDescent="0.55000000000000004">
      <c r="A674" s="20">
        <v>15038</v>
      </c>
      <c r="B674" s="2" t="s">
        <v>166</v>
      </c>
      <c r="C674" s="2" t="s">
        <v>167</v>
      </c>
      <c r="D674" s="20">
        <v>0</v>
      </c>
      <c r="E674" s="2" t="s">
        <v>838</v>
      </c>
      <c r="F674" s="2" t="s">
        <v>793</v>
      </c>
      <c r="G674" s="2" t="s">
        <v>1551</v>
      </c>
      <c r="H674" s="2" t="s">
        <v>1506</v>
      </c>
      <c r="J674" s="26"/>
      <c r="K674" s="36">
        <v>1.4416E-4</v>
      </c>
      <c r="L674" s="23">
        <v>2.883E-5</v>
      </c>
    </row>
    <row r="675" spans="1:12" ht="15.35" hidden="1" x14ac:dyDescent="0.55000000000000004">
      <c r="A675" s="20">
        <v>15008</v>
      </c>
      <c r="B675" s="2" t="s">
        <v>166</v>
      </c>
      <c r="C675" s="2" t="s">
        <v>167</v>
      </c>
      <c r="D675" s="20">
        <v>0</v>
      </c>
      <c r="E675" s="2" t="s">
        <v>838</v>
      </c>
      <c r="F675" s="2" t="s">
        <v>793</v>
      </c>
      <c r="G675" s="2" t="s">
        <v>1552</v>
      </c>
      <c r="H675" s="2" t="s">
        <v>1506</v>
      </c>
      <c r="J675" s="26"/>
      <c r="K675" s="36">
        <v>1.1212E-4</v>
      </c>
      <c r="L675" s="23">
        <v>2.2419999999999999E-5</v>
      </c>
    </row>
    <row r="676" spans="1:12" ht="15.35" hidden="1" x14ac:dyDescent="0.55000000000000004">
      <c r="A676" s="20">
        <v>15112</v>
      </c>
      <c r="B676" s="2" t="s">
        <v>166</v>
      </c>
      <c r="C676" s="2" t="s">
        <v>167</v>
      </c>
      <c r="D676" s="20">
        <v>0</v>
      </c>
      <c r="E676" s="2" t="s">
        <v>838</v>
      </c>
      <c r="F676" s="2" t="s">
        <v>793</v>
      </c>
      <c r="G676" s="2" t="s">
        <v>1553</v>
      </c>
      <c r="H676" s="2" t="s">
        <v>1506</v>
      </c>
      <c r="J676" s="26"/>
      <c r="K676" s="36">
        <v>1.1212E-4</v>
      </c>
      <c r="L676" s="23">
        <v>2.2419999999999999E-5</v>
      </c>
    </row>
    <row r="677" spans="1:12" ht="15.35" hidden="1" x14ac:dyDescent="0.55000000000000004">
      <c r="A677" s="20">
        <v>15034</v>
      </c>
      <c r="B677" s="2" t="s">
        <v>166</v>
      </c>
      <c r="C677" s="2" t="s">
        <v>167</v>
      </c>
      <c r="D677" s="20">
        <v>0</v>
      </c>
      <c r="E677" s="2" t="s">
        <v>838</v>
      </c>
      <c r="F677" s="2" t="s">
        <v>793</v>
      </c>
      <c r="G677" s="2" t="s">
        <v>1554</v>
      </c>
      <c r="H677" s="2" t="s">
        <v>1506</v>
      </c>
      <c r="J677" s="26"/>
      <c r="K677" s="36">
        <v>1.0812E-4</v>
      </c>
      <c r="L677" s="23">
        <v>2.162E-5</v>
      </c>
    </row>
    <row r="678" spans="1:12" ht="15.35" hidden="1" x14ac:dyDescent="0.55000000000000004">
      <c r="A678" s="20">
        <v>15035</v>
      </c>
      <c r="B678" s="2" t="s">
        <v>166</v>
      </c>
      <c r="C678" s="2" t="s">
        <v>167</v>
      </c>
      <c r="D678" s="20">
        <v>0</v>
      </c>
      <c r="E678" s="2" t="s">
        <v>838</v>
      </c>
      <c r="F678" s="2" t="s">
        <v>793</v>
      </c>
      <c r="G678" s="2" t="s">
        <v>1555</v>
      </c>
      <c r="H678" s="2" t="s">
        <v>1506</v>
      </c>
      <c r="J678" s="26"/>
      <c r="K678" s="36">
        <v>1.1613E-4</v>
      </c>
      <c r="L678" s="23">
        <v>2.323E-5</v>
      </c>
    </row>
    <row r="679" spans="1:12" ht="15.35" hidden="1" x14ac:dyDescent="0.55000000000000004">
      <c r="A679" s="20">
        <v>15036</v>
      </c>
      <c r="B679" s="2" t="s">
        <v>166</v>
      </c>
      <c r="C679" s="2" t="s">
        <v>167</v>
      </c>
      <c r="D679" s="20">
        <v>0</v>
      </c>
      <c r="E679" s="2" t="s">
        <v>838</v>
      </c>
      <c r="F679" s="2" t="s">
        <v>793</v>
      </c>
      <c r="G679" s="2" t="s">
        <v>1556</v>
      </c>
      <c r="H679" s="2" t="s">
        <v>1506</v>
      </c>
      <c r="J679" s="26"/>
      <c r="K679" s="36">
        <v>1.1613E-4</v>
      </c>
      <c r="L679" s="23">
        <v>2.323E-5</v>
      </c>
    </row>
    <row r="680" spans="1:12" ht="15.35" hidden="1" x14ac:dyDescent="0.55000000000000004">
      <c r="A680" s="20">
        <v>15120</v>
      </c>
      <c r="B680" s="2" t="s">
        <v>166</v>
      </c>
      <c r="C680" s="2" t="s">
        <v>167</v>
      </c>
      <c r="D680" s="20">
        <v>0</v>
      </c>
      <c r="E680" s="2" t="s">
        <v>838</v>
      </c>
      <c r="F680" s="2" t="s">
        <v>793</v>
      </c>
      <c r="G680" s="2" t="s">
        <v>1557</v>
      </c>
      <c r="H680" s="2" t="s">
        <v>1506</v>
      </c>
      <c r="J680" s="26"/>
      <c r="K680" s="36">
        <v>1.1212E-4</v>
      </c>
      <c r="L680" s="23">
        <v>2.2419999999999999E-5</v>
      </c>
    </row>
    <row r="681" spans="1:12" ht="15.35" hidden="1" x14ac:dyDescent="0.55000000000000004">
      <c r="A681" s="20">
        <v>15093</v>
      </c>
      <c r="B681" s="2" t="s">
        <v>166</v>
      </c>
      <c r="C681" s="2" t="s">
        <v>167</v>
      </c>
      <c r="D681" s="20">
        <v>0</v>
      </c>
      <c r="E681" s="2" t="s">
        <v>838</v>
      </c>
      <c r="F681" s="2" t="s">
        <v>793</v>
      </c>
      <c r="G681" s="2" t="s">
        <v>1558</v>
      </c>
      <c r="H681" s="2" t="s">
        <v>1506</v>
      </c>
      <c r="J681" s="26"/>
      <c r="K681" s="36">
        <v>5.2049999999999998E-5</v>
      </c>
      <c r="L681" s="23">
        <v>1.041E-5</v>
      </c>
    </row>
    <row r="682" spans="1:12" ht="15.35" hidden="1" x14ac:dyDescent="0.55000000000000004">
      <c r="A682" s="20">
        <v>15094</v>
      </c>
      <c r="B682" s="2" t="s">
        <v>166</v>
      </c>
      <c r="C682" s="2" t="s">
        <v>167</v>
      </c>
      <c r="D682" s="20">
        <v>0</v>
      </c>
      <c r="E682" s="2" t="s">
        <v>838</v>
      </c>
      <c r="F682" s="2" t="s">
        <v>793</v>
      </c>
      <c r="G682" s="2" t="s">
        <v>1559</v>
      </c>
      <c r="H682" s="2" t="s">
        <v>1506</v>
      </c>
      <c r="J682" s="26"/>
      <c r="K682" s="36">
        <v>6.4070000000000002E-5</v>
      </c>
      <c r="L682" s="23">
        <v>1.2809999999999999E-5</v>
      </c>
    </row>
    <row r="683" spans="1:12" ht="15.35" hidden="1" x14ac:dyDescent="0.55000000000000004">
      <c r="A683" s="20">
        <v>15095</v>
      </c>
      <c r="B683" s="2" t="s">
        <v>166</v>
      </c>
      <c r="C683" s="2" t="s">
        <v>167</v>
      </c>
      <c r="D683" s="20">
        <v>0</v>
      </c>
      <c r="E683" s="2" t="s">
        <v>838</v>
      </c>
      <c r="F683" s="2" t="s">
        <v>793</v>
      </c>
      <c r="G683" s="2" t="s">
        <v>1560</v>
      </c>
      <c r="H683" s="2" t="s">
        <v>1506</v>
      </c>
      <c r="J683" s="26"/>
      <c r="K683" s="36">
        <v>6.4070000000000002E-5</v>
      </c>
      <c r="L683" s="23">
        <v>1.2809999999999999E-5</v>
      </c>
    </row>
    <row r="684" spans="1:12" ht="15.35" hidden="1" x14ac:dyDescent="0.55000000000000004">
      <c r="A684" s="20">
        <v>15096</v>
      </c>
      <c r="B684" s="2" t="s">
        <v>166</v>
      </c>
      <c r="C684" s="2" t="s">
        <v>167</v>
      </c>
      <c r="D684" s="20">
        <v>0</v>
      </c>
      <c r="E684" s="2" t="s">
        <v>838</v>
      </c>
      <c r="F684" s="2" t="s">
        <v>793</v>
      </c>
      <c r="G684" s="2" t="s">
        <v>1561</v>
      </c>
      <c r="H684" s="2" t="s">
        <v>1506</v>
      </c>
      <c r="J684" s="26"/>
      <c r="K684" s="36">
        <v>6.4070000000000002E-5</v>
      </c>
      <c r="L684" s="23">
        <v>1.2809999999999999E-5</v>
      </c>
    </row>
    <row r="685" spans="1:12" ht="15.35" hidden="1" x14ac:dyDescent="0.55000000000000004">
      <c r="A685" s="20">
        <v>15097</v>
      </c>
      <c r="B685" s="2" t="s">
        <v>166</v>
      </c>
      <c r="C685" s="2" t="s">
        <v>167</v>
      </c>
      <c r="D685" s="20">
        <v>0</v>
      </c>
      <c r="E685" s="2" t="s">
        <v>838</v>
      </c>
      <c r="F685" s="2" t="s">
        <v>793</v>
      </c>
      <c r="G685" s="2" t="s">
        <v>1562</v>
      </c>
      <c r="H685" s="2" t="s">
        <v>1506</v>
      </c>
      <c r="J685" s="26"/>
      <c r="K685" s="36">
        <v>6.4070000000000002E-5</v>
      </c>
      <c r="L685" s="23">
        <v>1.2809999999999999E-5</v>
      </c>
    </row>
    <row r="686" spans="1:12" ht="15.35" hidden="1" x14ac:dyDescent="0.55000000000000004">
      <c r="A686" s="20">
        <v>15098</v>
      </c>
      <c r="B686" s="2" t="s">
        <v>166</v>
      </c>
      <c r="C686" s="2" t="s">
        <v>167</v>
      </c>
      <c r="D686" s="20">
        <v>0</v>
      </c>
      <c r="E686" s="2" t="s">
        <v>838</v>
      </c>
      <c r="F686" s="2" t="s">
        <v>793</v>
      </c>
      <c r="G686" s="2" t="s">
        <v>1563</v>
      </c>
      <c r="H686" s="2" t="s">
        <v>1506</v>
      </c>
      <c r="J686" s="26"/>
      <c r="K686" s="36">
        <v>6.4070000000000002E-5</v>
      </c>
      <c r="L686" s="23">
        <v>1.2809999999999999E-5</v>
      </c>
    </row>
    <row r="687" spans="1:12" ht="15.35" hidden="1" x14ac:dyDescent="0.55000000000000004">
      <c r="A687" s="20">
        <v>15099</v>
      </c>
      <c r="B687" s="2" t="s">
        <v>166</v>
      </c>
      <c r="C687" s="2" t="s">
        <v>167</v>
      </c>
      <c r="D687" s="20">
        <v>0</v>
      </c>
      <c r="E687" s="2" t="s">
        <v>838</v>
      </c>
      <c r="F687" s="2" t="s">
        <v>793</v>
      </c>
      <c r="G687" s="2" t="s">
        <v>1564</v>
      </c>
      <c r="H687" s="2" t="s">
        <v>1506</v>
      </c>
      <c r="J687" s="26"/>
      <c r="K687" s="36">
        <v>6.4070000000000002E-5</v>
      </c>
      <c r="L687" s="23">
        <v>1.2809999999999999E-5</v>
      </c>
    </row>
    <row r="688" spans="1:12" ht="15.35" hidden="1" x14ac:dyDescent="0.55000000000000004">
      <c r="A688" s="20">
        <v>15100</v>
      </c>
      <c r="B688" s="2" t="s">
        <v>166</v>
      </c>
      <c r="C688" s="2" t="s">
        <v>167</v>
      </c>
      <c r="D688" s="20">
        <v>0</v>
      </c>
      <c r="E688" s="2" t="s">
        <v>838</v>
      </c>
      <c r="F688" s="2" t="s">
        <v>793</v>
      </c>
      <c r="G688" s="2" t="s">
        <v>1565</v>
      </c>
      <c r="H688" s="2" t="s">
        <v>1506</v>
      </c>
      <c r="J688" s="26"/>
      <c r="K688" s="36">
        <v>5.2049999999999998E-5</v>
      </c>
      <c r="L688" s="23">
        <v>1.041E-5</v>
      </c>
    </row>
    <row r="689" spans="1:12" ht="15.35" hidden="1" x14ac:dyDescent="0.55000000000000004">
      <c r="A689" s="20">
        <v>15101</v>
      </c>
      <c r="B689" s="2" t="s">
        <v>166</v>
      </c>
      <c r="C689" s="2" t="s">
        <v>167</v>
      </c>
      <c r="D689" s="20">
        <v>0</v>
      </c>
      <c r="E689" s="2" t="s">
        <v>838</v>
      </c>
      <c r="F689" s="2" t="s">
        <v>793</v>
      </c>
      <c r="G689" s="2" t="s">
        <v>1566</v>
      </c>
      <c r="H689" s="2" t="s">
        <v>1506</v>
      </c>
      <c r="J689" s="26"/>
      <c r="K689" s="36">
        <v>5.2049999999999998E-5</v>
      </c>
      <c r="L689" s="23">
        <v>1.041E-5</v>
      </c>
    </row>
    <row r="690" spans="1:12" ht="15.35" hidden="1" x14ac:dyDescent="0.55000000000000004">
      <c r="A690" s="20">
        <v>15102</v>
      </c>
      <c r="B690" s="2" t="s">
        <v>166</v>
      </c>
      <c r="C690" s="2" t="s">
        <v>167</v>
      </c>
      <c r="D690" s="20">
        <v>0</v>
      </c>
      <c r="E690" s="2" t="s">
        <v>838</v>
      </c>
      <c r="F690" s="2" t="s">
        <v>793</v>
      </c>
      <c r="G690" s="2" t="s">
        <v>1567</v>
      </c>
      <c r="H690" s="2" t="s">
        <v>1506</v>
      </c>
      <c r="J690" s="26"/>
      <c r="K690" s="36">
        <v>6.4070000000000002E-5</v>
      </c>
      <c r="L690" s="23">
        <v>1.2809999999999999E-5</v>
      </c>
    </row>
    <row r="691" spans="1:12" ht="15.35" hidden="1" x14ac:dyDescent="0.55000000000000004">
      <c r="A691" s="20">
        <v>15089</v>
      </c>
      <c r="B691" s="2" t="s">
        <v>166</v>
      </c>
      <c r="C691" s="2" t="s">
        <v>167</v>
      </c>
      <c r="D691" s="20">
        <v>0</v>
      </c>
      <c r="E691" s="2" t="s">
        <v>838</v>
      </c>
      <c r="F691" s="2" t="s">
        <v>793</v>
      </c>
      <c r="G691" s="2" t="s">
        <v>1568</v>
      </c>
      <c r="H691" s="2" t="s">
        <v>1506</v>
      </c>
      <c r="J691" s="26"/>
      <c r="K691" s="36">
        <v>1.1212E-4</v>
      </c>
      <c r="L691" s="23">
        <v>2.2419999999999999E-5</v>
      </c>
    </row>
    <row r="692" spans="1:12" ht="15.35" hidden="1" x14ac:dyDescent="0.55000000000000004">
      <c r="A692" s="20">
        <v>15103</v>
      </c>
      <c r="B692" s="2" t="s">
        <v>166</v>
      </c>
      <c r="C692" s="2" t="s">
        <v>167</v>
      </c>
      <c r="D692" s="20">
        <v>0</v>
      </c>
      <c r="E692" s="2" t="s">
        <v>838</v>
      </c>
      <c r="F692" s="2" t="s">
        <v>793</v>
      </c>
      <c r="G692" s="2" t="s">
        <v>1569</v>
      </c>
      <c r="H692" s="2" t="s">
        <v>1506</v>
      </c>
      <c r="J692" s="26"/>
      <c r="K692" s="36">
        <v>6.4070000000000002E-5</v>
      </c>
      <c r="L692" s="23">
        <v>1.2809999999999999E-5</v>
      </c>
    </row>
    <row r="693" spans="1:12" ht="15.35" hidden="1" x14ac:dyDescent="0.55000000000000004">
      <c r="A693" s="20">
        <v>15118</v>
      </c>
      <c r="B693" s="2" t="s">
        <v>166</v>
      </c>
      <c r="C693" s="2" t="s">
        <v>167</v>
      </c>
      <c r="D693" s="20">
        <v>0</v>
      </c>
      <c r="E693" s="2" t="s">
        <v>838</v>
      </c>
      <c r="F693" s="2" t="s">
        <v>793</v>
      </c>
      <c r="G693" s="2" t="s">
        <v>1570</v>
      </c>
      <c r="H693" s="2" t="s">
        <v>1506</v>
      </c>
      <c r="J693" s="26"/>
      <c r="K693" s="36">
        <v>1.1212E-4</v>
      </c>
      <c r="L693" s="23">
        <v>2.2419999999999999E-5</v>
      </c>
    </row>
    <row r="694" spans="1:12" ht="15.35" hidden="1" x14ac:dyDescent="0.55000000000000004">
      <c r="A694" s="20">
        <v>15119</v>
      </c>
      <c r="B694" s="2" t="s">
        <v>166</v>
      </c>
      <c r="C694" s="2" t="s">
        <v>167</v>
      </c>
      <c r="D694" s="20">
        <v>0</v>
      </c>
      <c r="E694" s="2" t="s">
        <v>838</v>
      </c>
      <c r="F694" s="2" t="s">
        <v>793</v>
      </c>
      <c r="G694" s="2" t="s">
        <v>1571</v>
      </c>
      <c r="H694" s="2" t="s">
        <v>1506</v>
      </c>
      <c r="J694" s="26"/>
      <c r="K694" s="36">
        <v>1.1212E-4</v>
      </c>
      <c r="L694" s="23">
        <v>2.2419999999999999E-5</v>
      </c>
    </row>
    <row r="695" spans="1:12" ht="15.35" hidden="1" x14ac:dyDescent="0.55000000000000004">
      <c r="A695" s="20">
        <v>15104</v>
      </c>
      <c r="B695" s="2" t="s">
        <v>166</v>
      </c>
      <c r="C695" s="2" t="s">
        <v>167</v>
      </c>
      <c r="D695" s="20">
        <v>0</v>
      </c>
      <c r="E695" s="2" t="s">
        <v>838</v>
      </c>
      <c r="F695" s="2" t="s">
        <v>793</v>
      </c>
      <c r="G695" s="2" t="s">
        <v>1572</v>
      </c>
      <c r="H695" s="2" t="s">
        <v>1506</v>
      </c>
      <c r="J695" s="26"/>
      <c r="K695" s="36">
        <v>1.1212E-4</v>
      </c>
      <c r="L695" s="23">
        <v>2.2419999999999999E-5</v>
      </c>
    </row>
    <row r="696" spans="1:12" ht="15.35" hidden="1" x14ac:dyDescent="0.55000000000000004">
      <c r="A696" s="20">
        <v>15105</v>
      </c>
      <c r="B696" s="2" t="s">
        <v>166</v>
      </c>
      <c r="C696" s="2" t="s">
        <v>167</v>
      </c>
      <c r="D696" s="20">
        <v>0</v>
      </c>
      <c r="E696" s="2" t="s">
        <v>838</v>
      </c>
      <c r="F696" s="2" t="s">
        <v>793</v>
      </c>
      <c r="G696" s="2" t="s">
        <v>1573</v>
      </c>
      <c r="H696" s="2" t="s">
        <v>1506</v>
      </c>
      <c r="J696" s="26"/>
      <c r="K696" s="36">
        <v>1.1212E-4</v>
      </c>
      <c r="L696" s="23">
        <v>2.2419999999999999E-5</v>
      </c>
    </row>
    <row r="697" spans="1:12" ht="15.35" hidden="1" x14ac:dyDescent="0.55000000000000004">
      <c r="A697" s="20">
        <v>15106</v>
      </c>
      <c r="B697" s="2" t="s">
        <v>166</v>
      </c>
      <c r="C697" s="2" t="s">
        <v>167</v>
      </c>
      <c r="D697" s="20">
        <v>0</v>
      </c>
      <c r="E697" s="2" t="s">
        <v>838</v>
      </c>
      <c r="F697" s="2" t="s">
        <v>793</v>
      </c>
      <c r="G697" s="2" t="s">
        <v>1574</v>
      </c>
      <c r="H697" s="2" t="s">
        <v>1506</v>
      </c>
      <c r="J697" s="26"/>
      <c r="K697" s="36">
        <v>1.1212E-4</v>
      </c>
      <c r="L697" s="23">
        <v>2.2419999999999999E-5</v>
      </c>
    </row>
    <row r="698" spans="1:12" ht="15.35" hidden="1" x14ac:dyDescent="0.55000000000000004">
      <c r="A698" s="20">
        <v>15107</v>
      </c>
      <c r="B698" s="2" t="s">
        <v>166</v>
      </c>
      <c r="C698" s="2" t="s">
        <v>167</v>
      </c>
      <c r="D698" s="20">
        <v>0</v>
      </c>
      <c r="E698" s="2" t="s">
        <v>838</v>
      </c>
      <c r="F698" s="2" t="s">
        <v>793</v>
      </c>
      <c r="G698" s="2" t="s">
        <v>1575</v>
      </c>
      <c r="H698" s="2" t="s">
        <v>1506</v>
      </c>
      <c r="J698" s="26"/>
      <c r="K698" s="36">
        <v>1.1212E-4</v>
      </c>
      <c r="L698" s="23">
        <v>2.2419999999999999E-5</v>
      </c>
    </row>
    <row r="699" spans="1:12" ht="15.35" hidden="1" x14ac:dyDescent="0.55000000000000004">
      <c r="A699" s="20">
        <v>15108</v>
      </c>
      <c r="B699" s="2" t="s">
        <v>166</v>
      </c>
      <c r="C699" s="2" t="s">
        <v>167</v>
      </c>
      <c r="D699" s="20">
        <v>0</v>
      </c>
      <c r="E699" s="2" t="s">
        <v>838</v>
      </c>
      <c r="F699" s="2" t="s">
        <v>793</v>
      </c>
      <c r="G699" s="2" t="s">
        <v>1576</v>
      </c>
      <c r="H699" s="2" t="s">
        <v>1506</v>
      </c>
      <c r="J699" s="26"/>
      <c r="K699" s="36">
        <v>1.1212E-4</v>
      </c>
      <c r="L699" s="23">
        <v>2.2419999999999999E-5</v>
      </c>
    </row>
    <row r="700" spans="1:12" ht="15.35" hidden="1" x14ac:dyDescent="0.55000000000000004">
      <c r="A700" s="20">
        <v>15109</v>
      </c>
      <c r="B700" s="2" t="s">
        <v>166</v>
      </c>
      <c r="C700" s="2" t="s">
        <v>167</v>
      </c>
      <c r="D700" s="20">
        <v>0</v>
      </c>
      <c r="E700" s="2" t="s">
        <v>838</v>
      </c>
      <c r="F700" s="2" t="s">
        <v>793</v>
      </c>
      <c r="G700" s="2" t="s">
        <v>1577</v>
      </c>
      <c r="H700" s="2" t="s">
        <v>1506</v>
      </c>
      <c r="J700" s="26"/>
      <c r="K700" s="36">
        <v>1.1212E-4</v>
      </c>
      <c r="L700" s="23">
        <v>2.2419999999999999E-5</v>
      </c>
    </row>
    <row r="701" spans="1:12" ht="15.35" hidden="1" x14ac:dyDescent="0.55000000000000004">
      <c r="A701" s="20">
        <v>15110</v>
      </c>
      <c r="B701" s="2" t="s">
        <v>166</v>
      </c>
      <c r="C701" s="2" t="s">
        <v>167</v>
      </c>
      <c r="D701" s="20">
        <v>0</v>
      </c>
      <c r="E701" s="2" t="s">
        <v>838</v>
      </c>
      <c r="F701" s="2" t="s">
        <v>793</v>
      </c>
      <c r="G701" s="2" t="s">
        <v>1578</v>
      </c>
      <c r="H701" s="2" t="s">
        <v>1506</v>
      </c>
      <c r="J701" s="26"/>
      <c r="K701" s="36">
        <v>1.1212E-4</v>
      </c>
      <c r="L701" s="23">
        <v>2.2419999999999999E-5</v>
      </c>
    </row>
    <row r="702" spans="1:12" ht="15.35" hidden="1" x14ac:dyDescent="0.55000000000000004">
      <c r="A702" s="20">
        <v>15111</v>
      </c>
      <c r="B702" s="2" t="s">
        <v>166</v>
      </c>
      <c r="C702" s="2" t="s">
        <v>167</v>
      </c>
      <c r="D702" s="20">
        <v>0</v>
      </c>
      <c r="E702" s="2" t="s">
        <v>838</v>
      </c>
      <c r="F702" s="2" t="s">
        <v>793</v>
      </c>
      <c r="G702" s="2" t="s">
        <v>1579</v>
      </c>
      <c r="H702" s="2" t="s">
        <v>1506</v>
      </c>
      <c r="J702" s="26"/>
      <c r="K702" s="36">
        <v>5.2049999999999998E-5</v>
      </c>
      <c r="L702" s="23">
        <v>1.041E-5</v>
      </c>
    </row>
    <row r="703" spans="1:12" ht="15.35" hidden="1" x14ac:dyDescent="0.55000000000000004">
      <c r="A703" s="20">
        <v>15048</v>
      </c>
      <c r="B703" s="2" t="s">
        <v>166</v>
      </c>
      <c r="C703" s="2" t="s">
        <v>167</v>
      </c>
      <c r="D703" s="20">
        <v>0</v>
      </c>
      <c r="E703" s="2" t="s">
        <v>838</v>
      </c>
      <c r="F703" s="2" t="s">
        <v>793</v>
      </c>
      <c r="G703" s="2" t="s">
        <v>1580</v>
      </c>
      <c r="H703" s="2" t="s">
        <v>1506</v>
      </c>
      <c r="J703" s="26"/>
      <c r="K703" s="36">
        <v>1.1212E-4</v>
      </c>
      <c r="L703" s="23">
        <v>2.2419999999999999E-5</v>
      </c>
    </row>
    <row r="704" spans="1:12" ht="15.35" hidden="1" x14ac:dyDescent="0.55000000000000004">
      <c r="A704" s="20">
        <v>15087</v>
      </c>
      <c r="B704" s="2" t="s">
        <v>166</v>
      </c>
      <c r="C704" s="2" t="s">
        <v>167</v>
      </c>
      <c r="D704" s="20">
        <v>0</v>
      </c>
      <c r="E704" s="2" t="s">
        <v>838</v>
      </c>
      <c r="F704" s="2" t="s">
        <v>793</v>
      </c>
      <c r="G704" s="2" t="s">
        <v>1581</v>
      </c>
      <c r="H704" s="2" t="s">
        <v>1506</v>
      </c>
      <c r="J704" s="26"/>
      <c r="K704" s="36">
        <v>1.1212E-4</v>
      </c>
      <c r="L704" s="23">
        <v>2.2419999999999999E-5</v>
      </c>
    </row>
    <row r="705" spans="1:12" ht="15.35" hidden="1" x14ac:dyDescent="0.55000000000000004">
      <c r="A705" s="20">
        <v>15030</v>
      </c>
      <c r="B705" s="2" t="s">
        <v>166</v>
      </c>
      <c r="C705" s="2" t="s">
        <v>167</v>
      </c>
      <c r="D705" s="20">
        <v>0</v>
      </c>
      <c r="E705" s="2" t="s">
        <v>838</v>
      </c>
      <c r="F705" s="2" t="s">
        <v>793</v>
      </c>
      <c r="G705" s="2" t="s">
        <v>1582</v>
      </c>
      <c r="H705" s="2" t="s">
        <v>1506</v>
      </c>
      <c r="J705" s="26"/>
      <c r="K705" s="36">
        <v>1.1212E-4</v>
      </c>
      <c r="L705" s="23">
        <v>2.2419999999999999E-5</v>
      </c>
    </row>
    <row r="706" spans="1:12" ht="15.35" hidden="1" x14ac:dyDescent="0.55000000000000004">
      <c r="A706" s="20">
        <v>15029</v>
      </c>
      <c r="B706" s="2" t="s">
        <v>166</v>
      </c>
      <c r="C706" s="2" t="s">
        <v>167</v>
      </c>
      <c r="D706" s="20">
        <v>0</v>
      </c>
      <c r="E706" s="2" t="s">
        <v>838</v>
      </c>
      <c r="F706" s="2" t="s">
        <v>793</v>
      </c>
      <c r="G706" s="2" t="s">
        <v>1583</v>
      </c>
      <c r="H706" s="2" t="s">
        <v>1506</v>
      </c>
      <c r="J706" s="26"/>
      <c r="K706" s="36">
        <v>1.1613E-4</v>
      </c>
      <c r="L706" s="23">
        <v>2.323E-5</v>
      </c>
    </row>
    <row r="707" spans="1:12" ht="15.35" hidden="1" x14ac:dyDescent="0.55000000000000004">
      <c r="A707" s="20">
        <v>15031</v>
      </c>
      <c r="B707" s="2" t="s">
        <v>166</v>
      </c>
      <c r="C707" s="2" t="s">
        <v>167</v>
      </c>
      <c r="D707" s="20">
        <v>0</v>
      </c>
      <c r="E707" s="2" t="s">
        <v>838</v>
      </c>
      <c r="F707" s="2" t="s">
        <v>793</v>
      </c>
      <c r="G707" s="2" t="s">
        <v>1584</v>
      </c>
      <c r="H707" s="2" t="s">
        <v>1506</v>
      </c>
      <c r="J707" s="26"/>
      <c r="K707" s="36">
        <v>1.3213999999999999E-4</v>
      </c>
      <c r="L707" s="23">
        <v>2.6429999999999999E-5</v>
      </c>
    </row>
    <row r="708" spans="1:12" ht="15.35" hidden="1" x14ac:dyDescent="0.55000000000000004">
      <c r="A708" s="20">
        <v>15032</v>
      </c>
      <c r="B708" s="2" t="s">
        <v>166</v>
      </c>
      <c r="C708" s="2" t="s">
        <v>167</v>
      </c>
      <c r="D708" s="20">
        <v>0</v>
      </c>
      <c r="E708" s="2" t="s">
        <v>838</v>
      </c>
      <c r="F708" s="2" t="s">
        <v>793</v>
      </c>
      <c r="G708" s="2" t="s">
        <v>1585</v>
      </c>
      <c r="H708" s="2" t="s">
        <v>1506</v>
      </c>
      <c r="J708" s="26"/>
      <c r="K708" s="36">
        <v>1.2814E-4</v>
      </c>
      <c r="L708" s="23">
        <v>2.563E-5</v>
      </c>
    </row>
    <row r="709" spans="1:12" ht="15.35" hidden="1" x14ac:dyDescent="0.55000000000000004">
      <c r="A709" s="20">
        <v>15033</v>
      </c>
      <c r="B709" s="2" t="s">
        <v>166</v>
      </c>
      <c r="C709" s="2" t="s">
        <v>167</v>
      </c>
      <c r="D709" s="20">
        <v>0</v>
      </c>
      <c r="E709" s="2" t="s">
        <v>838</v>
      </c>
      <c r="F709" s="2" t="s">
        <v>793</v>
      </c>
      <c r="G709" s="2" t="s">
        <v>1586</v>
      </c>
      <c r="H709" s="2" t="s">
        <v>1506</v>
      </c>
      <c r="J709" s="26"/>
      <c r="K709" s="36">
        <v>1.3213999999999999E-4</v>
      </c>
      <c r="L709" s="23">
        <v>2.6429999999999999E-5</v>
      </c>
    </row>
    <row r="710" spans="1:12" ht="15.35" hidden="1" x14ac:dyDescent="0.55000000000000004">
      <c r="A710" s="20">
        <v>15085</v>
      </c>
      <c r="B710" s="2" t="s">
        <v>166</v>
      </c>
      <c r="C710" s="2" t="s">
        <v>167</v>
      </c>
      <c r="D710" s="20">
        <v>0</v>
      </c>
      <c r="E710" s="2" t="s">
        <v>838</v>
      </c>
      <c r="F710" s="2" t="s">
        <v>793</v>
      </c>
      <c r="G710" s="2" t="s">
        <v>1587</v>
      </c>
      <c r="H710" s="2" t="s">
        <v>1506</v>
      </c>
      <c r="J710" s="26"/>
      <c r="K710" s="36">
        <v>1.0812E-4</v>
      </c>
      <c r="L710" s="23">
        <v>2.162E-5</v>
      </c>
    </row>
    <row r="711" spans="1:12" ht="15.35" hidden="1" x14ac:dyDescent="0.55000000000000004">
      <c r="A711" s="20">
        <v>15039</v>
      </c>
      <c r="B711" s="2" t="s">
        <v>166</v>
      </c>
      <c r="C711" s="2" t="s">
        <v>167</v>
      </c>
      <c r="D711" s="20">
        <v>0</v>
      </c>
      <c r="E711" s="2" t="s">
        <v>838</v>
      </c>
      <c r="F711" s="2" t="s">
        <v>793</v>
      </c>
      <c r="G711" s="2" t="s">
        <v>1588</v>
      </c>
      <c r="H711" s="2" t="s">
        <v>1506</v>
      </c>
      <c r="J711" s="26"/>
      <c r="K711" s="36">
        <v>1.1212E-4</v>
      </c>
      <c r="L711" s="23">
        <v>2.2419999999999999E-5</v>
      </c>
    </row>
    <row r="712" spans="1:12" ht="15.35" hidden="1" x14ac:dyDescent="0.55000000000000004">
      <c r="A712" s="20">
        <v>15040</v>
      </c>
      <c r="B712" s="2" t="s">
        <v>166</v>
      </c>
      <c r="C712" s="2" t="s">
        <v>167</v>
      </c>
      <c r="D712" s="20">
        <v>0</v>
      </c>
      <c r="E712" s="2" t="s">
        <v>838</v>
      </c>
      <c r="F712" s="2" t="s">
        <v>793</v>
      </c>
      <c r="G712" s="2" t="s">
        <v>1589</v>
      </c>
      <c r="H712" s="2" t="s">
        <v>1506</v>
      </c>
      <c r="J712" s="26"/>
      <c r="K712" s="36">
        <v>1.1212E-4</v>
      </c>
      <c r="L712" s="23">
        <v>2.2419999999999999E-5</v>
      </c>
    </row>
    <row r="713" spans="1:12" ht="15.35" hidden="1" x14ac:dyDescent="0.55000000000000004">
      <c r="A713" s="20">
        <v>15041</v>
      </c>
      <c r="B713" s="2" t="s">
        <v>166</v>
      </c>
      <c r="C713" s="2" t="s">
        <v>167</v>
      </c>
      <c r="D713" s="20">
        <v>0</v>
      </c>
      <c r="E713" s="2" t="s">
        <v>838</v>
      </c>
      <c r="F713" s="2" t="s">
        <v>793</v>
      </c>
      <c r="G713" s="2" t="s">
        <v>1590</v>
      </c>
      <c r="H713" s="2" t="s">
        <v>1506</v>
      </c>
      <c r="J713" s="26"/>
      <c r="K713" s="36">
        <v>1.1212E-4</v>
      </c>
      <c r="L713" s="23">
        <v>2.2419999999999999E-5</v>
      </c>
    </row>
    <row r="714" spans="1:12" ht="15.35" hidden="1" x14ac:dyDescent="0.55000000000000004">
      <c r="A714" s="20">
        <v>15042</v>
      </c>
      <c r="B714" s="2" t="s">
        <v>166</v>
      </c>
      <c r="C714" s="2" t="s">
        <v>167</v>
      </c>
      <c r="D714" s="20">
        <v>0</v>
      </c>
      <c r="E714" s="2" t="s">
        <v>838</v>
      </c>
      <c r="F714" s="2" t="s">
        <v>793</v>
      </c>
      <c r="G714" s="2" t="s">
        <v>1591</v>
      </c>
      <c r="H714" s="2" t="s">
        <v>1506</v>
      </c>
      <c r="J714" s="26"/>
      <c r="K714" s="36">
        <v>1.1212E-4</v>
      </c>
      <c r="L714" s="23">
        <v>2.2419999999999999E-5</v>
      </c>
    </row>
    <row r="715" spans="1:12" ht="15.35" hidden="1" x14ac:dyDescent="0.55000000000000004">
      <c r="A715" s="20">
        <v>15043</v>
      </c>
      <c r="B715" s="2" t="s">
        <v>166</v>
      </c>
      <c r="C715" s="2" t="s">
        <v>167</v>
      </c>
      <c r="D715" s="20">
        <v>0</v>
      </c>
      <c r="E715" s="2" t="s">
        <v>838</v>
      </c>
      <c r="F715" s="2" t="s">
        <v>793</v>
      </c>
      <c r="G715" s="2" t="s">
        <v>1592</v>
      </c>
      <c r="H715" s="2" t="s">
        <v>1506</v>
      </c>
      <c r="J715" s="26"/>
      <c r="K715" s="36">
        <v>1.1212E-4</v>
      </c>
      <c r="L715" s="23">
        <v>2.2419999999999999E-5</v>
      </c>
    </row>
    <row r="716" spans="1:12" ht="15.35" hidden="1" x14ac:dyDescent="0.55000000000000004">
      <c r="A716" s="20">
        <v>15044</v>
      </c>
      <c r="B716" s="2" t="s">
        <v>166</v>
      </c>
      <c r="C716" s="2" t="s">
        <v>167</v>
      </c>
      <c r="D716" s="20">
        <v>0</v>
      </c>
      <c r="E716" s="2" t="s">
        <v>838</v>
      </c>
      <c r="F716" s="2" t="s">
        <v>793</v>
      </c>
      <c r="G716" s="2" t="s">
        <v>1593</v>
      </c>
      <c r="H716" s="2" t="s">
        <v>1506</v>
      </c>
      <c r="J716" s="26"/>
      <c r="K716" s="36">
        <v>1.1212E-4</v>
      </c>
      <c r="L716" s="23">
        <v>2.2419999999999999E-5</v>
      </c>
    </row>
    <row r="717" spans="1:12" ht="15.35" hidden="1" x14ac:dyDescent="0.55000000000000004">
      <c r="A717" s="20">
        <v>15045</v>
      </c>
      <c r="B717" s="2" t="s">
        <v>166</v>
      </c>
      <c r="C717" s="2" t="s">
        <v>167</v>
      </c>
      <c r="D717" s="20">
        <v>0</v>
      </c>
      <c r="E717" s="2" t="s">
        <v>838</v>
      </c>
      <c r="F717" s="2" t="s">
        <v>793</v>
      </c>
      <c r="G717" s="2" t="s">
        <v>1594</v>
      </c>
      <c r="H717" s="2" t="s">
        <v>1506</v>
      </c>
      <c r="J717" s="26"/>
      <c r="K717" s="36">
        <v>1.1212E-4</v>
      </c>
      <c r="L717" s="23">
        <v>2.2419999999999999E-5</v>
      </c>
    </row>
    <row r="718" spans="1:12" ht="15.35" hidden="1" x14ac:dyDescent="0.55000000000000004">
      <c r="A718" s="20">
        <v>15046</v>
      </c>
      <c r="B718" s="2" t="s">
        <v>166</v>
      </c>
      <c r="C718" s="2" t="s">
        <v>167</v>
      </c>
      <c r="D718" s="20">
        <v>0</v>
      </c>
      <c r="E718" s="2" t="s">
        <v>838</v>
      </c>
      <c r="F718" s="2" t="s">
        <v>793</v>
      </c>
      <c r="G718" s="2" t="s">
        <v>1595</v>
      </c>
      <c r="H718" s="2" t="s">
        <v>1506</v>
      </c>
      <c r="J718" s="26"/>
      <c r="K718" s="36">
        <v>1.1212E-4</v>
      </c>
      <c r="L718" s="23">
        <v>2.2419999999999999E-5</v>
      </c>
    </row>
    <row r="719" spans="1:12" ht="15.35" hidden="1" x14ac:dyDescent="0.55000000000000004">
      <c r="A719" s="20">
        <v>15084</v>
      </c>
      <c r="B719" s="2" t="s">
        <v>166</v>
      </c>
      <c r="C719" s="2" t="s">
        <v>167</v>
      </c>
      <c r="D719" s="20">
        <v>0</v>
      </c>
      <c r="E719" s="2" t="s">
        <v>838</v>
      </c>
      <c r="F719" s="2" t="s">
        <v>793</v>
      </c>
      <c r="G719" s="2" t="s">
        <v>1596</v>
      </c>
      <c r="H719" s="2" t="s">
        <v>1506</v>
      </c>
      <c r="J719" s="26"/>
      <c r="K719" s="36">
        <v>1.1212E-4</v>
      </c>
      <c r="L719" s="23">
        <v>2.2419999999999999E-5</v>
      </c>
    </row>
    <row r="720" spans="1:12" ht="15.35" hidden="1" x14ac:dyDescent="0.55000000000000004">
      <c r="A720" s="20">
        <v>15047</v>
      </c>
      <c r="B720" s="2" t="s">
        <v>166</v>
      </c>
      <c r="C720" s="2" t="s">
        <v>167</v>
      </c>
      <c r="D720" s="20">
        <v>0</v>
      </c>
      <c r="E720" s="2" t="s">
        <v>838</v>
      </c>
      <c r="F720" s="2" t="s">
        <v>793</v>
      </c>
      <c r="G720" s="2" t="s">
        <v>1597</v>
      </c>
      <c r="H720" s="2" t="s">
        <v>1506</v>
      </c>
      <c r="J720" s="26"/>
      <c r="K720" s="36">
        <v>1.1212E-4</v>
      </c>
      <c r="L720" s="23">
        <v>2.2419999999999999E-5</v>
      </c>
    </row>
    <row r="721" spans="1:12" ht="15.35" hidden="1" x14ac:dyDescent="0.55000000000000004">
      <c r="A721" s="20">
        <v>15086</v>
      </c>
      <c r="B721" s="2" t="s">
        <v>166</v>
      </c>
      <c r="C721" s="2" t="s">
        <v>167</v>
      </c>
      <c r="D721" s="20">
        <v>0</v>
      </c>
      <c r="E721" s="2" t="s">
        <v>838</v>
      </c>
      <c r="F721" s="2" t="s">
        <v>793</v>
      </c>
      <c r="G721" s="2" t="s">
        <v>1598</v>
      </c>
      <c r="H721" s="2" t="s">
        <v>1506</v>
      </c>
      <c r="J721" s="26"/>
      <c r="K721" s="36">
        <v>2.8432000000000002E-4</v>
      </c>
      <c r="L721" s="23">
        <v>5.6860000000000001E-5</v>
      </c>
    </row>
    <row r="722" spans="1:12" ht="15.35" hidden="1" x14ac:dyDescent="0.55000000000000004">
      <c r="A722" s="20">
        <v>15152</v>
      </c>
      <c r="B722" s="2" t="s">
        <v>166</v>
      </c>
      <c r="C722" s="2" t="s">
        <v>167</v>
      </c>
      <c r="D722" s="20">
        <v>0</v>
      </c>
      <c r="E722" s="2" t="s">
        <v>838</v>
      </c>
      <c r="F722" s="2" t="s">
        <v>783</v>
      </c>
      <c r="G722" s="2" t="s">
        <v>1599</v>
      </c>
      <c r="H722" s="2" t="s">
        <v>1116</v>
      </c>
      <c r="J722" s="26"/>
      <c r="K722" s="36">
        <v>4.2047500000000002E-3</v>
      </c>
      <c r="L722" s="23">
        <v>8.4095000000000003E-4</v>
      </c>
    </row>
    <row r="723" spans="1:12" ht="15.35" hidden="1" x14ac:dyDescent="0.55000000000000004">
      <c r="A723" s="20">
        <v>15362</v>
      </c>
      <c r="B723" s="2" t="s">
        <v>166</v>
      </c>
      <c r="C723" s="2" t="s">
        <v>167</v>
      </c>
      <c r="D723" s="20">
        <v>0</v>
      </c>
      <c r="E723" s="2" t="s">
        <v>838</v>
      </c>
      <c r="F723" s="2" t="s">
        <v>817</v>
      </c>
      <c r="G723" s="2" t="s">
        <v>1600</v>
      </c>
      <c r="H723" s="2" t="s">
        <v>862</v>
      </c>
      <c r="J723" s="26"/>
      <c r="K723" s="36">
        <v>3.2036E-4</v>
      </c>
      <c r="L723" s="23">
        <v>6.4070000000000002E-5</v>
      </c>
    </row>
    <row r="724" spans="1:12" ht="15.35" hidden="1" x14ac:dyDescent="0.55000000000000004">
      <c r="A724" s="20">
        <v>15306</v>
      </c>
      <c r="B724" s="2" t="s">
        <v>166</v>
      </c>
      <c r="C724" s="2" t="s">
        <v>167</v>
      </c>
      <c r="D724" s="20">
        <v>0</v>
      </c>
      <c r="E724" s="2" t="s">
        <v>838</v>
      </c>
      <c r="F724" s="2" t="s">
        <v>817</v>
      </c>
      <c r="G724" s="2" t="s">
        <v>1601</v>
      </c>
      <c r="H724" s="2" t="s">
        <v>862</v>
      </c>
      <c r="J724" s="26"/>
      <c r="K724" s="36">
        <v>8.4095000000000003E-4</v>
      </c>
      <c r="L724" s="23">
        <v>1.6819E-4</v>
      </c>
    </row>
    <row r="725" spans="1:12" ht="15.35" hidden="1" x14ac:dyDescent="0.55000000000000004">
      <c r="A725" s="20">
        <v>15295</v>
      </c>
      <c r="B725" s="2" t="s">
        <v>166</v>
      </c>
      <c r="C725" s="2" t="s">
        <v>167</v>
      </c>
      <c r="D725" s="20">
        <v>0</v>
      </c>
      <c r="E725" s="2" t="s">
        <v>838</v>
      </c>
      <c r="F725" s="2" t="s">
        <v>817</v>
      </c>
      <c r="G725" s="2" t="s">
        <v>1602</v>
      </c>
      <c r="H725" s="2" t="s">
        <v>862</v>
      </c>
      <c r="J725" s="26"/>
      <c r="K725" s="36">
        <v>2.4827999999999999E-3</v>
      </c>
      <c r="L725" s="23">
        <v>4.9655999999999995E-4</v>
      </c>
    </row>
    <row r="726" spans="1:12" ht="15.35" hidden="1" x14ac:dyDescent="0.55000000000000004">
      <c r="A726" s="20">
        <v>14853</v>
      </c>
      <c r="B726" s="2" t="s">
        <v>166</v>
      </c>
      <c r="C726" s="2" t="s">
        <v>167</v>
      </c>
      <c r="D726" s="20">
        <v>0</v>
      </c>
      <c r="E726" s="2" t="s">
        <v>838</v>
      </c>
      <c r="F726" s="2" t="s">
        <v>817</v>
      </c>
      <c r="G726" s="2" t="s">
        <v>1603</v>
      </c>
      <c r="H726" s="2" t="s">
        <v>862</v>
      </c>
      <c r="J726" s="26"/>
      <c r="K726" s="36">
        <v>3.6841600000000001E-3</v>
      </c>
      <c r="L726" s="23">
        <v>7.3682999999999995E-4</v>
      </c>
    </row>
    <row r="727" spans="1:12" ht="15.35" hidden="1" x14ac:dyDescent="0.55000000000000004">
      <c r="A727" s="20">
        <v>15343</v>
      </c>
      <c r="B727" s="2" t="s">
        <v>166</v>
      </c>
      <c r="C727" s="2" t="s">
        <v>167</v>
      </c>
      <c r="D727" s="20">
        <v>0</v>
      </c>
      <c r="E727" s="2" t="s">
        <v>838</v>
      </c>
      <c r="F727" s="2" t="s">
        <v>793</v>
      </c>
      <c r="G727" s="2" t="s">
        <v>941</v>
      </c>
      <c r="H727" s="2" t="s">
        <v>942</v>
      </c>
      <c r="J727" s="26"/>
      <c r="K727" s="36">
        <v>4.2047500000000002E-3</v>
      </c>
      <c r="L727" s="23">
        <v>8.4095000000000003E-4</v>
      </c>
    </row>
    <row r="728" spans="1:12" ht="15.35" hidden="1" x14ac:dyDescent="0.55000000000000004">
      <c r="A728" s="20">
        <v>14915</v>
      </c>
      <c r="B728" s="2" t="s">
        <v>166</v>
      </c>
      <c r="C728" s="2" t="s">
        <v>167</v>
      </c>
      <c r="D728" s="20">
        <v>0</v>
      </c>
      <c r="E728" s="2" t="s">
        <v>838</v>
      </c>
      <c r="F728" s="2" t="s">
        <v>789</v>
      </c>
      <c r="G728" s="2" t="s">
        <v>1604</v>
      </c>
      <c r="H728" s="2" t="s">
        <v>944</v>
      </c>
      <c r="J728" s="26"/>
      <c r="K728" s="36">
        <v>4.2047500000000002E-3</v>
      </c>
      <c r="L728" s="23">
        <v>8.4095000000000003E-4</v>
      </c>
    </row>
    <row r="729" spans="1:12" ht="15.35" hidden="1" x14ac:dyDescent="0.55000000000000004">
      <c r="A729" s="20">
        <v>14901</v>
      </c>
      <c r="B729" s="2" t="s">
        <v>166</v>
      </c>
      <c r="C729" s="2" t="s">
        <v>167</v>
      </c>
      <c r="D729" s="20">
        <v>0</v>
      </c>
      <c r="E729" s="2" t="s">
        <v>838</v>
      </c>
      <c r="F729" s="2" t="s">
        <v>789</v>
      </c>
      <c r="G729" s="2" t="s">
        <v>1605</v>
      </c>
      <c r="H729" s="2" t="s">
        <v>944</v>
      </c>
      <c r="J729" s="26"/>
      <c r="K729" s="36">
        <v>4.2047500000000002E-3</v>
      </c>
      <c r="L729" s="23">
        <v>8.4095000000000003E-4</v>
      </c>
    </row>
    <row r="730" spans="1:12" ht="15.35" hidden="1" x14ac:dyDescent="0.55000000000000004">
      <c r="A730" s="20">
        <v>14914</v>
      </c>
      <c r="B730" s="2" t="s">
        <v>166</v>
      </c>
      <c r="C730" s="2" t="s">
        <v>167</v>
      </c>
      <c r="D730" s="20">
        <v>0</v>
      </c>
      <c r="E730" s="2" t="s">
        <v>838</v>
      </c>
      <c r="F730" s="2" t="s">
        <v>789</v>
      </c>
      <c r="G730" s="2" t="s">
        <v>1606</v>
      </c>
      <c r="H730" s="2" t="s">
        <v>944</v>
      </c>
      <c r="J730" s="26"/>
      <c r="K730" s="36">
        <v>4.2047500000000002E-3</v>
      </c>
      <c r="L730" s="23">
        <v>8.4095000000000003E-4</v>
      </c>
    </row>
    <row r="731" spans="1:12" ht="15.35" hidden="1" x14ac:dyDescent="0.55000000000000004">
      <c r="A731" s="20">
        <v>14899</v>
      </c>
      <c r="B731" s="2" t="s">
        <v>166</v>
      </c>
      <c r="C731" s="2" t="s">
        <v>167</v>
      </c>
      <c r="D731" s="20">
        <v>0</v>
      </c>
      <c r="E731" s="2" t="s">
        <v>838</v>
      </c>
      <c r="F731" s="2" t="s">
        <v>789</v>
      </c>
      <c r="G731" s="2" t="s">
        <v>1607</v>
      </c>
      <c r="H731" s="2" t="s">
        <v>944</v>
      </c>
      <c r="J731" s="26"/>
      <c r="K731" s="36">
        <v>4.2047500000000002E-3</v>
      </c>
      <c r="L731" s="23">
        <v>8.4095000000000003E-4</v>
      </c>
    </row>
    <row r="732" spans="1:12" ht="15.35" hidden="1" x14ac:dyDescent="0.55000000000000004">
      <c r="A732" s="20">
        <v>14916</v>
      </c>
      <c r="B732" s="2" t="s">
        <v>166</v>
      </c>
      <c r="C732" s="2" t="s">
        <v>167</v>
      </c>
      <c r="D732" s="20">
        <v>0</v>
      </c>
      <c r="E732" s="2" t="s">
        <v>838</v>
      </c>
      <c r="F732" s="2" t="s">
        <v>789</v>
      </c>
      <c r="G732" s="2" t="s">
        <v>1608</v>
      </c>
      <c r="H732" s="2" t="s">
        <v>944</v>
      </c>
      <c r="J732" s="26"/>
      <c r="K732" s="36">
        <v>3.6039999999999998E-4</v>
      </c>
      <c r="L732" s="23">
        <v>7.2080000000000001E-5</v>
      </c>
    </row>
    <row r="733" spans="1:12" ht="15.35" hidden="1" x14ac:dyDescent="0.55000000000000004">
      <c r="A733" s="20">
        <v>14918</v>
      </c>
      <c r="B733" s="2" t="s">
        <v>166</v>
      </c>
      <c r="C733" s="2" t="s">
        <v>167</v>
      </c>
      <c r="D733" s="20">
        <v>0</v>
      </c>
      <c r="E733" s="2" t="s">
        <v>838</v>
      </c>
      <c r="F733" s="2" t="s">
        <v>789</v>
      </c>
      <c r="G733" s="2" t="s">
        <v>1609</v>
      </c>
      <c r="H733" s="2" t="s">
        <v>944</v>
      </c>
      <c r="J733" s="26"/>
      <c r="K733" s="36">
        <v>1.0411699999999999E-3</v>
      </c>
      <c r="L733" s="23">
        <v>2.0823E-4</v>
      </c>
    </row>
    <row r="734" spans="1:12" ht="15.35" hidden="1" x14ac:dyDescent="0.55000000000000004">
      <c r="A734" s="20">
        <v>14894</v>
      </c>
      <c r="B734" s="2" t="s">
        <v>166</v>
      </c>
      <c r="C734" s="2" t="s">
        <v>167</v>
      </c>
      <c r="D734" s="20">
        <v>0</v>
      </c>
      <c r="E734" s="2" t="s">
        <v>838</v>
      </c>
      <c r="F734" s="2" t="s">
        <v>789</v>
      </c>
      <c r="G734" s="2" t="s">
        <v>1123</v>
      </c>
      <c r="H734" s="2" t="s">
        <v>944</v>
      </c>
      <c r="J734" s="26"/>
      <c r="K734" s="36">
        <v>4.2047500000000002E-3</v>
      </c>
      <c r="L734" s="23">
        <v>8.4095000000000003E-4</v>
      </c>
    </row>
    <row r="735" spans="1:12" ht="15.35" hidden="1" x14ac:dyDescent="0.55000000000000004">
      <c r="A735" s="20">
        <v>14895</v>
      </c>
      <c r="B735" s="2" t="s">
        <v>166</v>
      </c>
      <c r="C735" s="2" t="s">
        <v>167</v>
      </c>
      <c r="D735" s="20">
        <v>0</v>
      </c>
      <c r="E735" s="2" t="s">
        <v>838</v>
      </c>
      <c r="F735" s="2" t="s">
        <v>789</v>
      </c>
      <c r="G735" s="2" t="s">
        <v>1610</v>
      </c>
      <c r="H735" s="2" t="s">
        <v>944</v>
      </c>
      <c r="J735" s="26"/>
      <c r="K735" s="36">
        <v>4.2047500000000002E-3</v>
      </c>
      <c r="L735" s="23">
        <v>8.4095000000000003E-4</v>
      </c>
    </row>
    <row r="736" spans="1:12" ht="15.35" hidden="1" x14ac:dyDescent="0.55000000000000004">
      <c r="A736" s="20">
        <v>14926</v>
      </c>
      <c r="B736" s="2" t="s">
        <v>166</v>
      </c>
      <c r="C736" s="2" t="s">
        <v>167</v>
      </c>
      <c r="D736" s="20">
        <v>0</v>
      </c>
      <c r="E736" s="2" t="s">
        <v>838</v>
      </c>
      <c r="F736" s="2" t="s">
        <v>789</v>
      </c>
      <c r="G736" s="2" t="s">
        <v>1124</v>
      </c>
      <c r="H736" s="2" t="s">
        <v>944</v>
      </c>
      <c r="J736" s="26"/>
      <c r="K736" s="36">
        <v>4.2047500000000002E-3</v>
      </c>
      <c r="L736" s="23">
        <v>8.4095000000000003E-4</v>
      </c>
    </row>
    <row r="737" spans="1:12" ht="15.35" hidden="1" x14ac:dyDescent="0.55000000000000004">
      <c r="A737" s="20">
        <v>14891</v>
      </c>
      <c r="B737" s="2" t="s">
        <v>166</v>
      </c>
      <c r="C737" s="2" t="s">
        <v>167</v>
      </c>
      <c r="D737" s="20">
        <v>0</v>
      </c>
      <c r="E737" s="2" t="s">
        <v>838</v>
      </c>
      <c r="F737" s="2" t="s">
        <v>789</v>
      </c>
      <c r="G737" s="2" t="s">
        <v>1611</v>
      </c>
      <c r="H737" s="2" t="s">
        <v>944</v>
      </c>
      <c r="J737" s="26"/>
      <c r="K737" s="36">
        <v>4.2047500000000002E-3</v>
      </c>
      <c r="L737" s="23">
        <v>8.4095000000000003E-4</v>
      </c>
    </row>
    <row r="738" spans="1:12" ht="15.35" hidden="1" x14ac:dyDescent="0.55000000000000004">
      <c r="A738" s="20">
        <v>14893</v>
      </c>
      <c r="B738" s="2" t="s">
        <v>166</v>
      </c>
      <c r="C738" s="2" t="s">
        <v>167</v>
      </c>
      <c r="D738" s="20">
        <v>0</v>
      </c>
      <c r="E738" s="2" t="s">
        <v>838</v>
      </c>
      <c r="F738" s="2" t="s">
        <v>789</v>
      </c>
      <c r="G738" s="2" t="s">
        <v>943</v>
      </c>
      <c r="H738" s="2" t="s">
        <v>944</v>
      </c>
      <c r="J738" s="26"/>
      <c r="K738" s="36">
        <v>4.2047500000000002E-3</v>
      </c>
      <c r="L738" s="23">
        <v>8.4095000000000003E-4</v>
      </c>
    </row>
    <row r="739" spans="1:12" ht="15.35" hidden="1" x14ac:dyDescent="0.55000000000000004">
      <c r="A739" s="20">
        <v>14917</v>
      </c>
      <c r="B739" s="2" t="s">
        <v>166</v>
      </c>
      <c r="C739" s="2" t="s">
        <v>167</v>
      </c>
      <c r="D739" s="20">
        <v>0</v>
      </c>
      <c r="E739" s="2" t="s">
        <v>838</v>
      </c>
      <c r="F739" s="2" t="s">
        <v>789</v>
      </c>
      <c r="G739" s="2" t="s">
        <v>1126</v>
      </c>
      <c r="H739" s="2" t="s">
        <v>944</v>
      </c>
      <c r="J739" s="26"/>
      <c r="K739" s="36">
        <v>8.0090000000000001E-5</v>
      </c>
      <c r="L739" s="23">
        <v>1.6019999999999999E-5</v>
      </c>
    </row>
    <row r="740" spans="1:12" ht="15.35" hidden="1" x14ac:dyDescent="0.55000000000000004">
      <c r="A740" s="20">
        <v>14892</v>
      </c>
      <c r="B740" s="2" t="s">
        <v>166</v>
      </c>
      <c r="C740" s="2" t="s">
        <v>167</v>
      </c>
      <c r="D740" s="20">
        <v>0</v>
      </c>
      <c r="E740" s="2" t="s">
        <v>838</v>
      </c>
      <c r="F740" s="2" t="s">
        <v>789</v>
      </c>
      <c r="G740" s="2" t="s">
        <v>1612</v>
      </c>
      <c r="H740" s="2" t="s">
        <v>944</v>
      </c>
      <c r="J740" s="26"/>
      <c r="K740" s="36">
        <v>4.2047500000000002E-3</v>
      </c>
      <c r="L740" s="23">
        <v>8.4095000000000003E-4</v>
      </c>
    </row>
    <row r="741" spans="1:12" ht="15.35" hidden="1" x14ac:dyDescent="0.55000000000000004">
      <c r="A741" s="20">
        <v>14898</v>
      </c>
      <c r="B741" s="2" t="s">
        <v>166</v>
      </c>
      <c r="C741" s="2" t="s">
        <v>167</v>
      </c>
      <c r="D741" s="20">
        <v>0</v>
      </c>
      <c r="E741" s="2" t="s">
        <v>838</v>
      </c>
      <c r="F741" s="2" t="s">
        <v>789</v>
      </c>
      <c r="G741" s="2" t="s">
        <v>1613</v>
      </c>
      <c r="H741" s="2" t="s">
        <v>944</v>
      </c>
      <c r="J741" s="26"/>
      <c r="K741" s="36">
        <v>1.8420800000000001E-3</v>
      </c>
      <c r="L741" s="23">
        <v>3.6842E-4</v>
      </c>
    </row>
    <row r="742" spans="1:12" ht="15.35" hidden="1" x14ac:dyDescent="0.55000000000000004">
      <c r="A742" s="20">
        <v>14896</v>
      </c>
      <c r="B742" s="2" t="s">
        <v>166</v>
      </c>
      <c r="C742" s="2" t="s">
        <v>167</v>
      </c>
      <c r="D742" s="20">
        <v>0</v>
      </c>
      <c r="E742" s="2" t="s">
        <v>838</v>
      </c>
      <c r="F742" s="2" t="s">
        <v>789</v>
      </c>
      <c r="G742" s="2" t="s">
        <v>1614</v>
      </c>
      <c r="H742" s="2" t="s">
        <v>944</v>
      </c>
      <c r="J742" s="26"/>
      <c r="K742" s="36">
        <v>3.0033000000000002E-4</v>
      </c>
      <c r="L742" s="23">
        <v>6.0069999999999999E-5</v>
      </c>
    </row>
    <row r="743" spans="1:12" ht="15.35" hidden="1" x14ac:dyDescent="0.55000000000000004">
      <c r="A743" s="20">
        <v>14912</v>
      </c>
      <c r="B743" s="2" t="s">
        <v>166</v>
      </c>
      <c r="C743" s="2" t="s">
        <v>167</v>
      </c>
      <c r="D743" s="20">
        <v>0</v>
      </c>
      <c r="E743" s="2" t="s">
        <v>838</v>
      </c>
      <c r="F743" s="2" t="s">
        <v>789</v>
      </c>
      <c r="G743" s="2" t="s">
        <v>1615</v>
      </c>
      <c r="H743" s="2" t="s">
        <v>944</v>
      </c>
      <c r="J743" s="26"/>
      <c r="K743" s="36">
        <v>4.4048999999999998E-4</v>
      </c>
      <c r="L743" s="23">
        <v>8.81E-5</v>
      </c>
    </row>
    <row r="744" spans="1:12" ht="15.35" hidden="1" x14ac:dyDescent="0.55000000000000004">
      <c r="A744" s="20">
        <v>14897</v>
      </c>
      <c r="B744" s="2" t="s">
        <v>166</v>
      </c>
      <c r="C744" s="2" t="s">
        <v>167</v>
      </c>
      <c r="D744" s="20">
        <v>0</v>
      </c>
      <c r="E744" s="2" t="s">
        <v>838</v>
      </c>
      <c r="F744" s="2" t="s">
        <v>789</v>
      </c>
      <c r="G744" s="2" t="s">
        <v>1615</v>
      </c>
      <c r="H744" s="2" t="s">
        <v>944</v>
      </c>
      <c r="J744" s="26"/>
      <c r="K744" s="36">
        <v>4.2047500000000002E-3</v>
      </c>
      <c r="L744" s="23">
        <v>8.4095000000000003E-4</v>
      </c>
    </row>
    <row r="745" spans="1:12" ht="15.35" hidden="1" x14ac:dyDescent="0.55000000000000004">
      <c r="A745" s="20">
        <v>14913</v>
      </c>
      <c r="B745" s="2" t="s">
        <v>166</v>
      </c>
      <c r="C745" s="2" t="s">
        <v>167</v>
      </c>
      <c r="D745" s="20">
        <v>0</v>
      </c>
      <c r="E745" s="2" t="s">
        <v>838</v>
      </c>
      <c r="F745" s="2" t="s">
        <v>789</v>
      </c>
      <c r="G745" s="2" t="s">
        <v>1616</v>
      </c>
      <c r="H745" s="2" t="s">
        <v>1617</v>
      </c>
      <c r="J745" s="26"/>
      <c r="K745" s="36">
        <v>4.2047500000000002E-3</v>
      </c>
      <c r="L745" s="23">
        <v>8.4095000000000003E-4</v>
      </c>
    </row>
    <row r="746" spans="1:12" ht="15.35" hidden="1" x14ac:dyDescent="0.55000000000000004">
      <c r="A746" s="20">
        <v>14920</v>
      </c>
      <c r="B746" s="2" t="s">
        <v>166</v>
      </c>
      <c r="C746" s="2" t="s">
        <v>167</v>
      </c>
      <c r="D746" s="20">
        <v>0</v>
      </c>
      <c r="E746" s="2" t="s">
        <v>838</v>
      </c>
      <c r="F746" s="2" t="s">
        <v>789</v>
      </c>
      <c r="G746" s="2" t="s">
        <v>1618</v>
      </c>
      <c r="H746" s="2" t="s">
        <v>946</v>
      </c>
      <c r="J746" s="26"/>
      <c r="K746" s="36">
        <v>4.1999999999999996E-6</v>
      </c>
      <c r="L746" s="23">
        <v>8.4E-7</v>
      </c>
    </row>
    <row r="747" spans="1:12" ht="15.35" hidden="1" x14ac:dyDescent="0.55000000000000004">
      <c r="A747" s="20">
        <v>14909</v>
      </c>
      <c r="B747" s="2" t="s">
        <v>166</v>
      </c>
      <c r="C747" s="2" t="s">
        <v>167</v>
      </c>
      <c r="D747" s="20">
        <v>0</v>
      </c>
      <c r="E747" s="2" t="s">
        <v>838</v>
      </c>
      <c r="F747" s="2" t="s">
        <v>789</v>
      </c>
      <c r="G747" s="2" t="s">
        <v>947</v>
      </c>
      <c r="H747" s="2" t="s">
        <v>946</v>
      </c>
      <c r="J747" s="26"/>
      <c r="K747" s="36">
        <v>1.2013499999999999E-3</v>
      </c>
      <c r="L747" s="23">
        <v>2.4027E-4</v>
      </c>
    </row>
    <row r="748" spans="1:12" ht="15.35" hidden="1" x14ac:dyDescent="0.55000000000000004">
      <c r="A748" s="20">
        <v>14908</v>
      </c>
      <c r="B748" s="2" t="s">
        <v>166</v>
      </c>
      <c r="C748" s="2" t="s">
        <v>167</v>
      </c>
      <c r="D748" s="20">
        <v>0</v>
      </c>
      <c r="E748" s="2" t="s">
        <v>838</v>
      </c>
      <c r="F748" s="2" t="s">
        <v>789</v>
      </c>
      <c r="G748" s="2" t="s">
        <v>948</v>
      </c>
      <c r="H748" s="2" t="s">
        <v>946</v>
      </c>
      <c r="J748" s="26"/>
      <c r="K748" s="36">
        <v>4.2047500000000002E-3</v>
      </c>
      <c r="L748" s="23">
        <v>8.4095000000000003E-4</v>
      </c>
    </row>
    <row r="749" spans="1:12" ht="15.35" hidden="1" x14ac:dyDescent="0.55000000000000004">
      <c r="A749" s="20">
        <v>14907</v>
      </c>
      <c r="B749" s="2" t="s">
        <v>166</v>
      </c>
      <c r="C749" s="2" t="s">
        <v>167</v>
      </c>
      <c r="D749" s="20">
        <v>0</v>
      </c>
      <c r="E749" s="2" t="s">
        <v>838</v>
      </c>
      <c r="F749" s="2" t="s">
        <v>789</v>
      </c>
      <c r="G749" s="2" t="s">
        <v>1619</v>
      </c>
      <c r="H749" s="2" t="s">
        <v>1620</v>
      </c>
      <c r="J749" s="26"/>
      <c r="K749" s="36">
        <v>3.9244400000000004E-3</v>
      </c>
      <c r="L749" s="23">
        <v>7.8489E-4</v>
      </c>
    </row>
    <row r="750" spans="1:12" ht="15.35" hidden="1" x14ac:dyDescent="0.55000000000000004">
      <c r="A750" s="20">
        <v>14911</v>
      </c>
      <c r="B750" s="2" t="s">
        <v>166</v>
      </c>
      <c r="C750" s="2" t="s">
        <v>167</v>
      </c>
      <c r="D750" s="20">
        <v>0</v>
      </c>
      <c r="E750" s="2" t="s">
        <v>838</v>
      </c>
      <c r="F750" s="2" t="s">
        <v>793</v>
      </c>
      <c r="G750" s="2" t="s">
        <v>1621</v>
      </c>
      <c r="H750" s="2" t="s">
        <v>950</v>
      </c>
      <c r="J750" s="26"/>
      <c r="K750" s="36">
        <v>1.4256099999999999E-3</v>
      </c>
      <c r="L750" s="23">
        <v>2.8511999999999998E-4</v>
      </c>
    </row>
    <row r="751" spans="1:12" ht="15.35" hidden="1" x14ac:dyDescent="0.55000000000000004">
      <c r="A751" s="20">
        <v>14923</v>
      </c>
      <c r="B751" s="2" t="s">
        <v>166</v>
      </c>
      <c r="C751" s="2" t="s">
        <v>167</v>
      </c>
      <c r="D751" s="20">
        <v>0</v>
      </c>
      <c r="E751" s="2" t="s">
        <v>838</v>
      </c>
      <c r="F751" s="2" t="s">
        <v>793</v>
      </c>
      <c r="G751" s="2" t="s">
        <v>1622</v>
      </c>
      <c r="H751" s="2" t="s">
        <v>950</v>
      </c>
      <c r="J751" s="26"/>
      <c r="K751" s="36">
        <v>2.96335E-3</v>
      </c>
      <c r="L751" s="23">
        <v>5.9267E-4</v>
      </c>
    </row>
    <row r="752" spans="1:12" ht="15.35" hidden="1" x14ac:dyDescent="0.55000000000000004">
      <c r="A752" s="20">
        <v>14921</v>
      </c>
      <c r="B752" s="2" t="s">
        <v>166</v>
      </c>
      <c r="C752" s="2" t="s">
        <v>167</v>
      </c>
      <c r="D752" s="20">
        <v>0</v>
      </c>
      <c r="E752" s="2" t="s">
        <v>838</v>
      </c>
      <c r="F752" s="2" t="s">
        <v>793</v>
      </c>
      <c r="G752" s="2" t="s">
        <v>1623</v>
      </c>
      <c r="H752" s="2" t="s">
        <v>950</v>
      </c>
      <c r="J752" s="26"/>
      <c r="K752" s="36">
        <v>4.2047500000000002E-3</v>
      </c>
      <c r="L752" s="23">
        <v>8.4095000000000003E-4</v>
      </c>
    </row>
    <row r="753" spans="1:12" ht="15.35" hidden="1" x14ac:dyDescent="0.55000000000000004">
      <c r="A753" s="20">
        <v>14919</v>
      </c>
      <c r="B753" s="2" t="s">
        <v>166</v>
      </c>
      <c r="C753" s="2" t="s">
        <v>167</v>
      </c>
      <c r="D753" s="20">
        <v>0</v>
      </c>
      <c r="E753" s="2" t="s">
        <v>838</v>
      </c>
      <c r="F753" s="2" t="s">
        <v>793</v>
      </c>
      <c r="G753" s="2" t="s">
        <v>1624</v>
      </c>
      <c r="H753" s="2" t="s">
        <v>950</v>
      </c>
      <c r="J753" s="26"/>
      <c r="K753" s="36">
        <v>4.2047500000000002E-3</v>
      </c>
      <c r="L753" s="23">
        <v>8.4095000000000003E-4</v>
      </c>
    </row>
    <row r="754" spans="1:12" ht="15.35" hidden="1" x14ac:dyDescent="0.55000000000000004">
      <c r="A754" s="20">
        <v>14922</v>
      </c>
      <c r="B754" s="2" t="s">
        <v>166</v>
      </c>
      <c r="C754" s="2" t="s">
        <v>167</v>
      </c>
      <c r="D754" s="20">
        <v>0</v>
      </c>
      <c r="E754" s="2" t="s">
        <v>838</v>
      </c>
      <c r="F754" s="2" t="s">
        <v>793</v>
      </c>
      <c r="G754" s="2" t="s">
        <v>1625</v>
      </c>
      <c r="H754" s="2" t="s">
        <v>950</v>
      </c>
      <c r="J754" s="26"/>
      <c r="K754" s="36">
        <v>4.2047500000000002E-3</v>
      </c>
      <c r="L754" s="23">
        <v>8.4095000000000003E-4</v>
      </c>
    </row>
    <row r="755" spans="1:12" ht="15.35" hidden="1" x14ac:dyDescent="0.55000000000000004">
      <c r="A755" s="20">
        <v>14929</v>
      </c>
      <c r="B755" s="2" t="s">
        <v>166</v>
      </c>
      <c r="C755" s="2" t="s">
        <v>167</v>
      </c>
      <c r="D755" s="20">
        <v>0</v>
      </c>
      <c r="E755" s="2" t="s">
        <v>838</v>
      </c>
      <c r="F755" s="2" t="s">
        <v>793</v>
      </c>
      <c r="G755" s="2" t="s">
        <v>1626</v>
      </c>
      <c r="H755" s="2" t="s">
        <v>950</v>
      </c>
      <c r="J755" s="26"/>
      <c r="K755" s="36">
        <v>1.7619000000000001E-4</v>
      </c>
      <c r="L755" s="23">
        <v>3.5240000000000001E-5</v>
      </c>
    </row>
    <row r="756" spans="1:12" ht="15.35" hidden="1" x14ac:dyDescent="0.55000000000000004">
      <c r="A756" s="20">
        <v>14924</v>
      </c>
      <c r="B756" s="2" t="s">
        <v>166</v>
      </c>
      <c r="C756" s="2" t="s">
        <v>167</v>
      </c>
      <c r="D756" s="20">
        <v>0</v>
      </c>
      <c r="E756" s="2" t="s">
        <v>838</v>
      </c>
      <c r="F756" s="2" t="s">
        <v>793</v>
      </c>
      <c r="G756" s="2" t="s">
        <v>1627</v>
      </c>
      <c r="H756" s="2" t="s">
        <v>950</v>
      </c>
      <c r="J756" s="26"/>
      <c r="K756" s="36">
        <v>4.0040000000000003E-5</v>
      </c>
      <c r="L756" s="23">
        <v>8.0099999999999995E-6</v>
      </c>
    </row>
    <row r="757" spans="1:12" ht="15.35" hidden="1" x14ac:dyDescent="0.55000000000000004">
      <c r="A757" s="20">
        <v>14930</v>
      </c>
      <c r="B757" s="2" t="s">
        <v>166</v>
      </c>
      <c r="C757" s="2" t="s">
        <v>167</v>
      </c>
      <c r="D757" s="20">
        <v>0</v>
      </c>
      <c r="E757" s="2" t="s">
        <v>838</v>
      </c>
      <c r="F757" s="2" t="s">
        <v>793</v>
      </c>
      <c r="G757" s="2" t="s">
        <v>1628</v>
      </c>
      <c r="H757" s="2" t="s">
        <v>950</v>
      </c>
      <c r="J757" s="26"/>
      <c r="K757" s="36">
        <v>1.1773300000000001E-3</v>
      </c>
      <c r="L757" s="23">
        <v>2.3546999999999999E-4</v>
      </c>
    </row>
    <row r="758" spans="1:12" ht="15.35" hidden="1" x14ac:dyDescent="0.55000000000000004">
      <c r="A758" s="20">
        <v>14925</v>
      </c>
      <c r="B758" s="2" t="s">
        <v>166</v>
      </c>
      <c r="C758" s="2" t="s">
        <v>167</v>
      </c>
      <c r="D758" s="20">
        <v>0</v>
      </c>
      <c r="E758" s="2" t="s">
        <v>838</v>
      </c>
      <c r="F758" s="2" t="s">
        <v>793</v>
      </c>
      <c r="G758" s="2" t="s">
        <v>949</v>
      </c>
      <c r="H758" s="2" t="s">
        <v>950</v>
      </c>
      <c r="J758" s="26"/>
      <c r="K758" s="36">
        <v>4.0040000000000003E-5</v>
      </c>
      <c r="L758" s="23">
        <v>8.0099999999999995E-6</v>
      </c>
    </row>
    <row r="759" spans="1:12" ht="15.35" hidden="1" x14ac:dyDescent="0.55000000000000004">
      <c r="A759" s="20">
        <v>15264</v>
      </c>
      <c r="B759" s="2" t="s">
        <v>166</v>
      </c>
      <c r="C759" s="2" t="s">
        <v>167</v>
      </c>
      <c r="D759" s="20">
        <v>0</v>
      </c>
      <c r="E759" s="2" t="s">
        <v>838</v>
      </c>
      <c r="F759" s="2" t="s">
        <v>811</v>
      </c>
      <c r="G759" s="2" t="s">
        <v>1629</v>
      </c>
      <c r="H759" s="2" t="s">
        <v>1630</v>
      </c>
      <c r="J759" s="26"/>
      <c r="K759" s="36">
        <v>5.2057999999999998E-4</v>
      </c>
      <c r="L759" s="23">
        <v>1.0412E-4</v>
      </c>
    </row>
    <row r="760" spans="1:12" ht="15.35" hidden="1" x14ac:dyDescent="0.55000000000000004">
      <c r="A760" s="20">
        <v>15218</v>
      </c>
      <c r="B760" s="2" t="s">
        <v>166</v>
      </c>
      <c r="C760" s="2" t="s">
        <v>167</v>
      </c>
      <c r="D760" s="20">
        <v>0</v>
      </c>
      <c r="E760" s="2" t="s">
        <v>838</v>
      </c>
      <c r="F760" s="2" t="s">
        <v>793</v>
      </c>
      <c r="G760" s="2" t="s">
        <v>1631</v>
      </c>
      <c r="H760" s="2" t="s">
        <v>1632</v>
      </c>
      <c r="J760" s="26"/>
      <c r="K760" s="36">
        <v>2.9632999999999998E-4</v>
      </c>
      <c r="L760" s="23">
        <v>5.927E-5</v>
      </c>
    </row>
    <row r="761" spans="1:12" ht="15.35" hidden="1" x14ac:dyDescent="0.55000000000000004">
      <c r="A761" s="20">
        <v>15219</v>
      </c>
      <c r="B761" s="2" t="s">
        <v>166</v>
      </c>
      <c r="C761" s="2" t="s">
        <v>167</v>
      </c>
      <c r="D761" s="20">
        <v>0</v>
      </c>
      <c r="E761" s="2" t="s">
        <v>838</v>
      </c>
      <c r="F761" s="2" t="s">
        <v>793</v>
      </c>
      <c r="G761" s="2" t="s">
        <v>1633</v>
      </c>
      <c r="H761" s="2" t="s">
        <v>1632</v>
      </c>
      <c r="J761" s="26"/>
      <c r="K761" s="36">
        <v>9.6100000000000005E-5</v>
      </c>
      <c r="L761" s="23">
        <v>1.9219999999999999E-5</v>
      </c>
    </row>
    <row r="762" spans="1:12" ht="15.35" hidden="1" x14ac:dyDescent="0.55000000000000004">
      <c r="A762" s="20">
        <v>15214</v>
      </c>
      <c r="B762" s="2" t="s">
        <v>166</v>
      </c>
      <c r="C762" s="2" t="s">
        <v>167</v>
      </c>
      <c r="D762" s="20">
        <v>0</v>
      </c>
      <c r="E762" s="2" t="s">
        <v>838</v>
      </c>
      <c r="F762" s="2" t="s">
        <v>793</v>
      </c>
      <c r="G762" s="2" t="s">
        <v>1634</v>
      </c>
      <c r="H762" s="2" t="s">
        <v>1632</v>
      </c>
      <c r="J762" s="26"/>
      <c r="K762" s="36">
        <v>1.2814E-4</v>
      </c>
      <c r="L762" s="23">
        <v>2.563E-5</v>
      </c>
    </row>
    <row r="763" spans="1:12" ht="15.35" hidden="1" x14ac:dyDescent="0.55000000000000004">
      <c r="A763" s="20">
        <v>15215</v>
      </c>
      <c r="B763" s="2" t="s">
        <v>166</v>
      </c>
      <c r="C763" s="2" t="s">
        <v>167</v>
      </c>
      <c r="D763" s="20">
        <v>0</v>
      </c>
      <c r="E763" s="2" t="s">
        <v>838</v>
      </c>
      <c r="F763" s="2" t="s">
        <v>793</v>
      </c>
      <c r="G763" s="2" t="s">
        <v>1635</v>
      </c>
      <c r="H763" s="2" t="s">
        <v>1632</v>
      </c>
      <c r="J763" s="26"/>
      <c r="K763" s="36">
        <v>2.6028999999999999E-4</v>
      </c>
      <c r="L763" s="23">
        <v>5.206E-5</v>
      </c>
    </row>
    <row r="764" spans="1:12" ht="15.35" hidden="1" x14ac:dyDescent="0.55000000000000004">
      <c r="A764" s="20">
        <v>15216</v>
      </c>
      <c r="B764" s="2" t="s">
        <v>166</v>
      </c>
      <c r="C764" s="2" t="s">
        <v>167</v>
      </c>
      <c r="D764" s="20">
        <v>0</v>
      </c>
      <c r="E764" s="2" t="s">
        <v>838</v>
      </c>
      <c r="F764" s="2" t="s">
        <v>793</v>
      </c>
      <c r="G764" s="2" t="s">
        <v>1636</v>
      </c>
      <c r="H764" s="2" t="s">
        <v>1632</v>
      </c>
      <c r="J764" s="26"/>
      <c r="K764" s="36">
        <v>9.6100000000000005E-5</v>
      </c>
      <c r="L764" s="23">
        <v>1.9219999999999999E-5</v>
      </c>
    </row>
    <row r="765" spans="1:12" ht="15.35" hidden="1" x14ac:dyDescent="0.55000000000000004">
      <c r="A765" s="20">
        <v>15217</v>
      </c>
      <c r="B765" s="2" t="s">
        <v>166</v>
      </c>
      <c r="C765" s="2" t="s">
        <v>167</v>
      </c>
      <c r="D765" s="20">
        <v>0</v>
      </c>
      <c r="E765" s="2" t="s">
        <v>838</v>
      </c>
      <c r="F765" s="2" t="s">
        <v>793</v>
      </c>
      <c r="G765" s="2" t="s">
        <v>1637</v>
      </c>
      <c r="H765" s="2" t="s">
        <v>1632</v>
      </c>
      <c r="J765" s="26"/>
      <c r="K765" s="36">
        <v>9.6100000000000005E-5</v>
      </c>
      <c r="L765" s="23">
        <v>1.9219999999999999E-5</v>
      </c>
    </row>
    <row r="766" spans="1:12" ht="15.35" hidden="1" x14ac:dyDescent="0.55000000000000004">
      <c r="A766" s="20">
        <v>15220</v>
      </c>
      <c r="B766" s="2" t="s">
        <v>166</v>
      </c>
      <c r="C766" s="2" t="s">
        <v>167</v>
      </c>
      <c r="D766" s="20">
        <v>0</v>
      </c>
      <c r="E766" s="2" t="s">
        <v>838</v>
      </c>
      <c r="F766" s="2" t="s">
        <v>793</v>
      </c>
      <c r="G766" s="2" t="s">
        <v>1638</v>
      </c>
      <c r="H766" s="2" t="s">
        <v>1632</v>
      </c>
      <c r="J766" s="26"/>
      <c r="K766" s="36">
        <v>1.2013E-4</v>
      </c>
      <c r="L766" s="23">
        <v>2.4029999999999999E-5</v>
      </c>
    </row>
    <row r="767" spans="1:12" ht="15.35" hidden="1" x14ac:dyDescent="0.55000000000000004">
      <c r="A767" s="20">
        <v>15401</v>
      </c>
      <c r="B767" s="2" t="s">
        <v>166</v>
      </c>
      <c r="C767" s="2" t="s">
        <v>167</v>
      </c>
      <c r="D767" s="20">
        <v>0</v>
      </c>
      <c r="E767" s="2" t="s">
        <v>838</v>
      </c>
      <c r="F767" s="2" t="s">
        <v>848</v>
      </c>
      <c r="G767" s="2" t="s">
        <v>951</v>
      </c>
      <c r="H767" s="2" t="s">
        <v>952</v>
      </c>
      <c r="J767" s="26"/>
      <c r="K767" s="36">
        <v>4.2047500000000002E-3</v>
      </c>
      <c r="L767" s="23">
        <v>8.4095000000000003E-4</v>
      </c>
    </row>
    <row r="768" spans="1:12" ht="15.35" hidden="1" x14ac:dyDescent="0.55000000000000004">
      <c r="A768" s="20">
        <v>15189</v>
      </c>
      <c r="B768" s="2" t="s">
        <v>166</v>
      </c>
      <c r="C768" s="2" t="s">
        <v>167</v>
      </c>
      <c r="D768" s="20">
        <v>0</v>
      </c>
      <c r="E768" s="2" t="s">
        <v>838</v>
      </c>
      <c r="F768" s="2" t="s">
        <v>793</v>
      </c>
      <c r="G768" s="2" t="s">
        <v>1639</v>
      </c>
      <c r="H768" s="2" t="s">
        <v>1632</v>
      </c>
      <c r="J768" s="26"/>
      <c r="K768" s="36">
        <v>4.2047500000000002E-3</v>
      </c>
      <c r="L768" s="23">
        <v>8.4095000000000003E-4</v>
      </c>
    </row>
    <row r="769" spans="1:12" ht="15.35" hidden="1" x14ac:dyDescent="0.55000000000000004">
      <c r="A769" s="20">
        <v>15168</v>
      </c>
      <c r="B769" s="2" t="s">
        <v>166</v>
      </c>
      <c r="C769" s="2" t="s">
        <v>167</v>
      </c>
      <c r="D769" s="20">
        <v>0</v>
      </c>
      <c r="E769" s="2" t="s">
        <v>838</v>
      </c>
      <c r="F769" s="2" t="s">
        <v>793</v>
      </c>
      <c r="G769" s="2" t="s">
        <v>1640</v>
      </c>
      <c r="H769" s="2" t="s">
        <v>1632</v>
      </c>
      <c r="J769" s="26"/>
      <c r="K769" s="36">
        <v>4.2047500000000002E-3</v>
      </c>
      <c r="L769" s="23">
        <v>8.4095000000000003E-4</v>
      </c>
    </row>
    <row r="770" spans="1:12" ht="15.35" hidden="1" x14ac:dyDescent="0.55000000000000004">
      <c r="A770" s="20">
        <v>15190</v>
      </c>
      <c r="B770" s="2" t="s">
        <v>166</v>
      </c>
      <c r="C770" s="2" t="s">
        <v>167</v>
      </c>
      <c r="D770" s="20">
        <v>0</v>
      </c>
      <c r="E770" s="2" t="s">
        <v>838</v>
      </c>
      <c r="F770" s="2" t="s">
        <v>793</v>
      </c>
      <c r="G770" s="2" t="s">
        <v>1641</v>
      </c>
      <c r="H770" s="2" t="s">
        <v>1632</v>
      </c>
      <c r="J770" s="26"/>
      <c r="K770" s="36">
        <v>8.0090000000000001E-5</v>
      </c>
      <c r="L770" s="23">
        <v>1.6019999999999999E-5</v>
      </c>
    </row>
    <row r="771" spans="1:12" ht="15.35" hidden="1" x14ac:dyDescent="0.55000000000000004">
      <c r="A771" s="20">
        <v>15191</v>
      </c>
      <c r="B771" s="2" t="s">
        <v>166</v>
      </c>
      <c r="C771" s="2" t="s">
        <v>167</v>
      </c>
      <c r="D771" s="20">
        <v>0</v>
      </c>
      <c r="E771" s="2" t="s">
        <v>838</v>
      </c>
      <c r="F771" s="2" t="s">
        <v>793</v>
      </c>
      <c r="G771" s="2" t="s">
        <v>1642</v>
      </c>
      <c r="H771" s="2" t="s">
        <v>1632</v>
      </c>
      <c r="J771" s="26"/>
      <c r="K771" s="36">
        <v>2.8432000000000002E-4</v>
      </c>
      <c r="L771" s="23">
        <v>5.6860000000000001E-5</v>
      </c>
    </row>
    <row r="772" spans="1:12" ht="15.35" hidden="1" x14ac:dyDescent="0.55000000000000004">
      <c r="A772" s="20">
        <v>15192</v>
      </c>
      <c r="B772" s="2" t="s">
        <v>166</v>
      </c>
      <c r="C772" s="2" t="s">
        <v>167</v>
      </c>
      <c r="D772" s="20">
        <v>0</v>
      </c>
      <c r="E772" s="2" t="s">
        <v>838</v>
      </c>
      <c r="F772" s="2" t="s">
        <v>793</v>
      </c>
      <c r="G772" s="2" t="s">
        <v>1643</v>
      </c>
      <c r="H772" s="2" t="s">
        <v>1632</v>
      </c>
      <c r="J772" s="26"/>
      <c r="K772" s="36">
        <v>3.6841E-4</v>
      </c>
      <c r="L772" s="23">
        <v>7.3679999999999999E-5</v>
      </c>
    </row>
    <row r="773" spans="1:12" ht="15.35" hidden="1" x14ac:dyDescent="0.55000000000000004">
      <c r="A773" s="20">
        <v>15178</v>
      </c>
      <c r="B773" s="2" t="s">
        <v>166</v>
      </c>
      <c r="C773" s="2" t="s">
        <v>167</v>
      </c>
      <c r="D773" s="20">
        <v>0</v>
      </c>
      <c r="E773" s="2" t="s">
        <v>838</v>
      </c>
      <c r="F773" s="2" t="s">
        <v>793</v>
      </c>
      <c r="G773" s="2" t="s">
        <v>1644</v>
      </c>
      <c r="H773" s="2" t="s">
        <v>1632</v>
      </c>
      <c r="J773" s="26"/>
      <c r="K773" s="36">
        <v>3.5639999999999999E-4</v>
      </c>
      <c r="L773" s="23">
        <v>7.1279999999999995E-5</v>
      </c>
    </row>
    <row r="774" spans="1:12" ht="15.35" hidden="1" x14ac:dyDescent="0.55000000000000004">
      <c r="A774" s="20">
        <v>15193</v>
      </c>
      <c r="B774" s="2" t="s">
        <v>166</v>
      </c>
      <c r="C774" s="2" t="s">
        <v>167</v>
      </c>
      <c r="D774" s="20">
        <v>0</v>
      </c>
      <c r="E774" s="2" t="s">
        <v>838</v>
      </c>
      <c r="F774" s="2" t="s">
        <v>793</v>
      </c>
      <c r="G774" s="2" t="s">
        <v>1645</v>
      </c>
      <c r="H774" s="2" t="s">
        <v>1632</v>
      </c>
      <c r="J774" s="26"/>
      <c r="K774" s="36">
        <v>2.3625999999999999E-4</v>
      </c>
      <c r="L774" s="23">
        <v>4.7250000000000003E-5</v>
      </c>
    </row>
    <row r="775" spans="1:12" ht="15.35" hidden="1" x14ac:dyDescent="0.55000000000000004">
      <c r="A775" s="20">
        <v>15194</v>
      </c>
      <c r="B775" s="2" t="s">
        <v>166</v>
      </c>
      <c r="C775" s="2" t="s">
        <v>167</v>
      </c>
      <c r="D775" s="20">
        <v>0</v>
      </c>
      <c r="E775" s="2" t="s">
        <v>838</v>
      </c>
      <c r="F775" s="2" t="s">
        <v>793</v>
      </c>
      <c r="G775" s="2" t="s">
        <v>1646</v>
      </c>
      <c r="H775" s="2" t="s">
        <v>1632</v>
      </c>
      <c r="J775" s="26"/>
      <c r="K775" s="36">
        <v>1.1893400000000001E-3</v>
      </c>
      <c r="L775" s="23">
        <v>2.3787E-4</v>
      </c>
    </row>
    <row r="776" spans="1:12" ht="15.35" hidden="1" x14ac:dyDescent="0.55000000000000004">
      <c r="A776" s="20">
        <v>15195</v>
      </c>
      <c r="B776" s="2" t="s">
        <v>166</v>
      </c>
      <c r="C776" s="2" t="s">
        <v>167</v>
      </c>
      <c r="D776" s="20">
        <v>0</v>
      </c>
      <c r="E776" s="2" t="s">
        <v>838</v>
      </c>
      <c r="F776" s="2" t="s">
        <v>793</v>
      </c>
      <c r="G776" s="2" t="s">
        <v>1647</v>
      </c>
      <c r="H776" s="2" t="s">
        <v>1632</v>
      </c>
      <c r="J776" s="26"/>
      <c r="K776" s="36">
        <v>2.3625999999999999E-4</v>
      </c>
      <c r="L776" s="23">
        <v>4.7250000000000003E-5</v>
      </c>
    </row>
    <row r="777" spans="1:12" ht="15.35" hidden="1" x14ac:dyDescent="0.55000000000000004">
      <c r="A777" s="20">
        <v>15196</v>
      </c>
      <c r="B777" s="2" t="s">
        <v>166</v>
      </c>
      <c r="C777" s="2" t="s">
        <v>167</v>
      </c>
      <c r="D777" s="20">
        <v>0</v>
      </c>
      <c r="E777" s="2" t="s">
        <v>838</v>
      </c>
      <c r="F777" s="2" t="s">
        <v>793</v>
      </c>
      <c r="G777" s="2" t="s">
        <v>1648</v>
      </c>
      <c r="H777" s="2" t="s">
        <v>1632</v>
      </c>
      <c r="J777" s="26"/>
      <c r="K777" s="36">
        <v>1.1292699999999999E-3</v>
      </c>
      <c r="L777" s="23">
        <v>2.2584999999999999E-4</v>
      </c>
    </row>
    <row r="778" spans="1:12" ht="15.35" hidden="1" x14ac:dyDescent="0.55000000000000004">
      <c r="A778" s="20">
        <v>15197</v>
      </c>
      <c r="B778" s="2" t="s">
        <v>166</v>
      </c>
      <c r="C778" s="2" t="s">
        <v>167</v>
      </c>
      <c r="D778" s="20">
        <v>0</v>
      </c>
      <c r="E778" s="2" t="s">
        <v>838</v>
      </c>
      <c r="F778" s="2" t="s">
        <v>793</v>
      </c>
      <c r="G778" s="2" t="s">
        <v>1649</v>
      </c>
      <c r="H778" s="2" t="s">
        <v>1632</v>
      </c>
      <c r="J778" s="26"/>
      <c r="K778" s="36">
        <v>3.5639999999999999E-4</v>
      </c>
      <c r="L778" s="23">
        <v>7.1279999999999995E-5</v>
      </c>
    </row>
    <row r="779" spans="1:12" ht="15.35" hidden="1" x14ac:dyDescent="0.55000000000000004">
      <c r="A779" s="20">
        <v>15167</v>
      </c>
      <c r="B779" s="2" t="s">
        <v>166</v>
      </c>
      <c r="C779" s="2" t="s">
        <v>167</v>
      </c>
      <c r="D779" s="20">
        <v>0</v>
      </c>
      <c r="E779" s="2" t="s">
        <v>838</v>
      </c>
      <c r="F779" s="2" t="s">
        <v>793</v>
      </c>
      <c r="G779" s="2" t="s">
        <v>1650</v>
      </c>
      <c r="H779" s="2" t="s">
        <v>1632</v>
      </c>
      <c r="J779" s="26"/>
      <c r="K779" s="36">
        <v>4.2047500000000002E-3</v>
      </c>
      <c r="L779" s="23">
        <v>8.4095000000000003E-4</v>
      </c>
    </row>
    <row r="780" spans="1:12" ht="15.35" hidden="1" x14ac:dyDescent="0.55000000000000004">
      <c r="A780" s="20">
        <v>15169</v>
      </c>
      <c r="B780" s="2" t="s">
        <v>166</v>
      </c>
      <c r="C780" s="2" t="s">
        <v>167</v>
      </c>
      <c r="D780" s="20">
        <v>0</v>
      </c>
      <c r="E780" s="2" t="s">
        <v>838</v>
      </c>
      <c r="F780" s="2" t="s">
        <v>793</v>
      </c>
      <c r="G780" s="2" t="s">
        <v>1651</v>
      </c>
      <c r="H780" s="2" t="s">
        <v>1632</v>
      </c>
      <c r="J780" s="26"/>
      <c r="K780" s="36">
        <v>8.4090000000000003E-5</v>
      </c>
      <c r="L780" s="23">
        <v>1.6820000000000002E-5</v>
      </c>
    </row>
    <row r="781" spans="1:12" ht="15.35" hidden="1" x14ac:dyDescent="0.55000000000000004">
      <c r="A781" s="20">
        <v>15170</v>
      </c>
      <c r="B781" s="2" t="s">
        <v>166</v>
      </c>
      <c r="C781" s="2" t="s">
        <v>167</v>
      </c>
      <c r="D781" s="20">
        <v>0</v>
      </c>
      <c r="E781" s="2" t="s">
        <v>838</v>
      </c>
      <c r="F781" s="2" t="s">
        <v>793</v>
      </c>
      <c r="G781" s="2" t="s">
        <v>1652</v>
      </c>
      <c r="H781" s="2" t="s">
        <v>1632</v>
      </c>
      <c r="J781" s="26"/>
      <c r="K781" s="36">
        <v>8.4090000000000003E-5</v>
      </c>
      <c r="L781" s="23">
        <v>1.6820000000000002E-5</v>
      </c>
    </row>
    <row r="782" spans="1:12" ht="15.35" hidden="1" x14ac:dyDescent="0.55000000000000004">
      <c r="A782" s="20">
        <v>15181</v>
      </c>
      <c r="B782" s="2" t="s">
        <v>166</v>
      </c>
      <c r="C782" s="2" t="s">
        <v>167</v>
      </c>
      <c r="D782" s="20">
        <v>0</v>
      </c>
      <c r="E782" s="2" t="s">
        <v>838</v>
      </c>
      <c r="F782" s="2" t="s">
        <v>793</v>
      </c>
      <c r="G782" s="2" t="s">
        <v>1653</v>
      </c>
      <c r="H782" s="2" t="s">
        <v>1632</v>
      </c>
      <c r="J782" s="26"/>
      <c r="K782" s="36">
        <v>8.4090000000000003E-5</v>
      </c>
      <c r="L782" s="23">
        <v>1.6820000000000002E-5</v>
      </c>
    </row>
    <row r="783" spans="1:12" ht="15.35" hidden="1" x14ac:dyDescent="0.55000000000000004">
      <c r="A783" s="20">
        <v>15182</v>
      </c>
      <c r="B783" s="2" t="s">
        <v>166</v>
      </c>
      <c r="C783" s="2" t="s">
        <v>167</v>
      </c>
      <c r="D783" s="20">
        <v>0</v>
      </c>
      <c r="E783" s="2" t="s">
        <v>838</v>
      </c>
      <c r="F783" s="2" t="s">
        <v>793</v>
      </c>
      <c r="G783" s="2" t="s">
        <v>1654</v>
      </c>
      <c r="H783" s="2" t="s">
        <v>1632</v>
      </c>
      <c r="J783" s="26"/>
      <c r="K783" s="36">
        <v>8.4090000000000003E-5</v>
      </c>
      <c r="L783" s="23">
        <v>1.6820000000000002E-5</v>
      </c>
    </row>
    <row r="784" spans="1:12" ht="15.35" hidden="1" x14ac:dyDescent="0.55000000000000004">
      <c r="A784" s="20">
        <v>15183</v>
      </c>
      <c r="B784" s="2" t="s">
        <v>166</v>
      </c>
      <c r="C784" s="2" t="s">
        <v>167</v>
      </c>
      <c r="D784" s="20">
        <v>0</v>
      </c>
      <c r="E784" s="2" t="s">
        <v>838</v>
      </c>
      <c r="F784" s="2" t="s">
        <v>793</v>
      </c>
      <c r="G784" s="2" t="s">
        <v>1655</v>
      </c>
      <c r="H784" s="2" t="s">
        <v>1632</v>
      </c>
      <c r="J784" s="26"/>
      <c r="K784" s="36">
        <v>8.4090000000000003E-5</v>
      </c>
      <c r="L784" s="23">
        <v>1.6820000000000002E-5</v>
      </c>
    </row>
    <row r="785" spans="1:12" ht="15.35" hidden="1" x14ac:dyDescent="0.55000000000000004">
      <c r="A785" s="20">
        <v>15184</v>
      </c>
      <c r="B785" s="2" t="s">
        <v>166</v>
      </c>
      <c r="C785" s="2" t="s">
        <v>167</v>
      </c>
      <c r="D785" s="20">
        <v>0</v>
      </c>
      <c r="E785" s="2" t="s">
        <v>838</v>
      </c>
      <c r="F785" s="2" t="s">
        <v>793</v>
      </c>
      <c r="G785" s="2" t="s">
        <v>1656</v>
      </c>
      <c r="H785" s="2" t="s">
        <v>1632</v>
      </c>
      <c r="J785" s="26"/>
      <c r="K785" s="36">
        <v>8.4090000000000003E-5</v>
      </c>
      <c r="L785" s="23">
        <v>1.6820000000000002E-5</v>
      </c>
    </row>
    <row r="786" spans="1:12" ht="15.35" hidden="1" x14ac:dyDescent="0.55000000000000004">
      <c r="A786" s="20">
        <v>15185</v>
      </c>
      <c r="B786" s="2" t="s">
        <v>166</v>
      </c>
      <c r="C786" s="2" t="s">
        <v>167</v>
      </c>
      <c r="D786" s="20">
        <v>0</v>
      </c>
      <c r="E786" s="2" t="s">
        <v>838</v>
      </c>
      <c r="F786" s="2" t="s">
        <v>793</v>
      </c>
      <c r="G786" s="2" t="s">
        <v>1657</v>
      </c>
      <c r="H786" s="2" t="s">
        <v>1632</v>
      </c>
      <c r="J786" s="26"/>
      <c r="K786" s="36">
        <v>8.4090000000000003E-5</v>
      </c>
      <c r="L786" s="23">
        <v>1.6820000000000002E-5</v>
      </c>
    </row>
    <row r="787" spans="1:12" ht="15.35" hidden="1" x14ac:dyDescent="0.55000000000000004">
      <c r="A787" s="20">
        <v>15186</v>
      </c>
      <c r="B787" s="2" t="s">
        <v>166</v>
      </c>
      <c r="C787" s="2" t="s">
        <v>167</v>
      </c>
      <c r="D787" s="20">
        <v>0</v>
      </c>
      <c r="E787" s="2" t="s">
        <v>838</v>
      </c>
      <c r="F787" s="2" t="s">
        <v>793</v>
      </c>
      <c r="G787" s="2" t="s">
        <v>1658</v>
      </c>
      <c r="H787" s="2" t="s">
        <v>1632</v>
      </c>
      <c r="J787" s="26"/>
      <c r="K787" s="36">
        <v>8.4090000000000003E-5</v>
      </c>
      <c r="L787" s="23">
        <v>1.6820000000000002E-5</v>
      </c>
    </row>
    <row r="788" spans="1:12" ht="15.35" hidden="1" x14ac:dyDescent="0.55000000000000004">
      <c r="A788" s="20">
        <v>15198</v>
      </c>
      <c r="B788" s="2" t="s">
        <v>166</v>
      </c>
      <c r="C788" s="2" t="s">
        <v>167</v>
      </c>
      <c r="D788" s="20">
        <v>0</v>
      </c>
      <c r="E788" s="2" t="s">
        <v>838</v>
      </c>
      <c r="F788" s="2" t="s">
        <v>793</v>
      </c>
      <c r="G788" s="2" t="s">
        <v>1659</v>
      </c>
      <c r="H788" s="2" t="s">
        <v>1632</v>
      </c>
      <c r="J788" s="26"/>
      <c r="K788" s="36">
        <v>1.4014999999999999E-4</v>
      </c>
      <c r="L788" s="23">
        <v>2.8030000000000001E-5</v>
      </c>
    </row>
    <row r="789" spans="1:12" ht="15.35" hidden="1" x14ac:dyDescent="0.55000000000000004">
      <c r="A789" s="20">
        <v>15171</v>
      </c>
      <c r="B789" s="2" t="s">
        <v>166</v>
      </c>
      <c r="C789" s="2" t="s">
        <v>167</v>
      </c>
      <c r="D789" s="20">
        <v>0</v>
      </c>
      <c r="E789" s="2" t="s">
        <v>838</v>
      </c>
      <c r="F789" s="2" t="s">
        <v>793</v>
      </c>
      <c r="G789" s="2" t="s">
        <v>1660</v>
      </c>
      <c r="H789" s="2" t="s">
        <v>1632</v>
      </c>
      <c r="J789" s="26"/>
      <c r="K789" s="36">
        <v>2.2824999999999999E-4</v>
      </c>
      <c r="L789" s="23">
        <v>4.5649999999999998E-5</v>
      </c>
    </row>
    <row r="790" spans="1:12" ht="15.35" hidden="1" x14ac:dyDescent="0.55000000000000004">
      <c r="A790" s="20">
        <v>15172</v>
      </c>
      <c r="B790" s="2" t="s">
        <v>166</v>
      </c>
      <c r="C790" s="2" t="s">
        <v>167</v>
      </c>
      <c r="D790" s="20">
        <v>0</v>
      </c>
      <c r="E790" s="2" t="s">
        <v>838</v>
      </c>
      <c r="F790" s="2" t="s">
        <v>793</v>
      </c>
      <c r="G790" s="2" t="s">
        <v>1661</v>
      </c>
      <c r="H790" s="2" t="s">
        <v>1632</v>
      </c>
      <c r="J790" s="26"/>
      <c r="K790" s="36">
        <v>2.6028999999999999E-4</v>
      </c>
      <c r="L790" s="23">
        <v>5.206E-5</v>
      </c>
    </row>
    <row r="791" spans="1:12" ht="15.35" hidden="1" x14ac:dyDescent="0.55000000000000004">
      <c r="A791" s="20">
        <v>15173</v>
      </c>
      <c r="B791" s="2" t="s">
        <v>166</v>
      </c>
      <c r="C791" s="2" t="s">
        <v>167</v>
      </c>
      <c r="D791" s="20">
        <v>0</v>
      </c>
      <c r="E791" s="2" t="s">
        <v>838</v>
      </c>
      <c r="F791" s="2" t="s">
        <v>793</v>
      </c>
      <c r="G791" s="2" t="s">
        <v>1662</v>
      </c>
      <c r="H791" s="2" t="s">
        <v>1632</v>
      </c>
      <c r="J791" s="26"/>
      <c r="K791" s="36">
        <v>4.2047500000000002E-3</v>
      </c>
      <c r="L791" s="23">
        <v>8.4095000000000003E-4</v>
      </c>
    </row>
    <row r="792" spans="1:12" ht="15.35" hidden="1" x14ac:dyDescent="0.55000000000000004">
      <c r="A792" s="20">
        <v>15199</v>
      </c>
      <c r="B792" s="2" t="s">
        <v>166</v>
      </c>
      <c r="C792" s="2" t="s">
        <v>167</v>
      </c>
      <c r="D792" s="20">
        <v>0</v>
      </c>
      <c r="E792" s="2" t="s">
        <v>838</v>
      </c>
      <c r="F792" s="2" t="s">
        <v>793</v>
      </c>
      <c r="G792" s="2" t="s">
        <v>1663</v>
      </c>
      <c r="H792" s="2" t="s">
        <v>1632</v>
      </c>
      <c r="J792" s="26"/>
      <c r="K792" s="36">
        <v>1.1613E-4</v>
      </c>
      <c r="L792" s="23">
        <v>2.323E-5</v>
      </c>
    </row>
    <row r="793" spans="1:12" ht="15.35" hidden="1" x14ac:dyDescent="0.55000000000000004">
      <c r="A793" s="20">
        <v>15174</v>
      </c>
      <c r="B793" s="2" t="s">
        <v>166</v>
      </c>
      <c r="C793" s="2" t="s">
        <v>167</v>
      </c>
      <c r="D793" s="20">
        <v>0</v>
      </c>
      <c r="E793" s="2" t="s">
        <v>838</v>
      </c>
      <c r="F793" s="2" t="s">
        <v>793</v>
      </c>
      <c r="G793" s="2" t="s">
        <v>1664</v>
      </c>
      <c r="H793" s="2" t="s">
        <v>1632</v>
      </c>
      <c r="J793" s="26"/>
      <c r="K793" s="36">
        <v>4.1246000000000002E-4</v>
      </c>
      <c r="L793" s="23">
        <v>8.2490000000000005E-5</v>
      </c>
    </row>
    <row r="794" spans="1:12" ht="15.35" hidden="1" x14ac:dyDescent="0.55000000000000004">
      <c r="A794" s="20">
        <v>15175</v>
      </c>
      <c r="B794" s="2" t="s">
        <v>166</v>
      </c>
      <c r="C794" s="2" t="s">
        <v>167</v>
      </c>
      <c r="D794" s="20">
        <v>0</v>
      </c>
      <c r="E794" s="2" t="s">
        <v>838</v>
      </c>
      <c r="F794" s="2" t="s">
        <v>793</v>
      </c>
      <c r="G794" s="2" t="s">
        <v>1665</v>
      </c>
      <c r="H794" s="2" t="s">
        <v>1632</v>
      </c>
      <c r="J794" s="26"/>
      <c r="K794" s="36">
        <v>3.5639999999999999E-4</v>
      </c>
      <c r="L794" s="23">
        <v>7.1279999999999995E-5</v>
      </c>
    </row>
    <row r="795" spans="1:12" ht="15.35" hidden="1" x14ac:dyDescent="0.55000000000000004">
      <c r="A795" s="20">
        <v>15176</v>
      </c>
      <c r="B795" s="2" t="s">
        <v>166</v>
      </c>
      <c r="C795" s="2" t="s">
        <v>167</v>
      </c>
      <c r="D795" s="20">
        <v>0</v>
      </c>
      <c r="E795" s="2" t="s">
        <v>838</v>
      </c>
      <c r="F795" s="2" t="s">
        <v>793</v>
      </c>
      <c r="G795" s="2" t="s">
        <v>1666</v>
      </c>
      <c r="H795" s="2" t="s">
        <v>1632</v>
      </c>
      <c r="J795" s="26"/>
      <c r="K795" s="36">
        <v>1.1893400000000001E-3</v>
      </c>
      <c r="L795" s="23">
        <v>2.3787E-4</v>
      </c>
    </row>
    <row r="796" spans="1:12" ht="15.35" hidden="1" x14ac:dyDescent="0.55000000000000004">
      <c r="A796" s="20">
        <v>15200</v>
      </c>
      <c r="B796" s="2" t="s">
        <v>166</v>
      </c>
      <c r="C796" s="2" t="s">
        <v>167</v>
      </c>
      <c r="D796" s="20">
        <v>0</v>
      </c>
      <c r="E796" s="2" t="s">
        <v>838</v>
      </c>
      <c r="F796" s="2" t="s">
        <v>793</v>
      </c>
      <c r="G796" s="2" t="s">
        <v>1667</v>
      </c>
      <c r="H796" s="2" t="s">
        <v>1632</v>
      </c>
      <c r="J796" s="26"/>
      <c r="K796" s="36">
        <v>3.2036E-4</v>
      </c>
      <c r="L796" s="23">
        <v>6.4070000000000002E-5</v>
      </c>
    </row>
    <row r="797" spans="1:12" ht="15.35" hidden="1" x14ac:dyDescent="0.55000000000000004">
      <c r="A797" s="20">
        <v>15201</v>
      </c>
      <c r="B797" s="2" t="s">
        <v>166</v>
      </c>
      <c r="C797" s="2" t="s">
        <v>167</v>
      </c>
      <c r="D797" s="20">
        <v>0</v>
      </c>
      <c r="E797" s="2" t="s">
        <v>838</v>
      </c>
      <c r="F797" s="2" t="s">
        <v>793</v>
      </c>
      <c r="G797" s="2" t="s">
        <v>1668</v>
      </c>
      <c r="H797" s="2" t="s">
        <v>1632</v>
      </c>
      <c r="J797" s="26"/>
      <c r="K797" s="36">
        <v>5.6864000000000003E-4</v>
      </c>
      <c r="L797" s="23">
        <v>1.1373E-4</v>
      </c>
    </row>
    <row r="798" spans="1:12" ht="15.35" hidden="1" x14ac:dyDescent="0.55000000000000004">
      <c r="A798" s="20">
        <v>15202</v>
      </c>
      <c r="B798" s="2" t="s">
        <v>166</v>
      </c>
      <c r="C798" s="2" t="s">
        <v>167</v>
      </c>
      <c r="D798" s="20">
        <v>0</v>
      </c>
      <c r="E798" s="2" t="s">
        <v>838</v>
      </c>
      <c r="F798" s="2" t="s">
        <v>793</v>
      </c>
      <c r="G798" s="2" t="s">
        <v>1669</v>
      </c>
      <c r="H798" s="2" t="s">
        <v>1632</v>
      </c>
      <c r="J798" s="26"/>
      <c r="K798" s="36">
        <v>3.5639999999999999E-4</v>
      </c>
      <c r="L798" s="23">
        <v>7.1279999999999995E-5</v>
      </c>
    </row>
    <row r="799" spans="1:12" ht="15.35" hidden="1" x14ac:dyDescent="0.55000000000000004">
      <c r="A799" s="20">
        <v>15203</v>
      </c>
      <c r="B799" s="2" t="s">
        <v>166</v>
      </c>
      <c r="C799" s="2" t="s">
        <v>167</v>
      </c>
      <c r="D799" s="20">
        <v>0</v>
      </c>
      <c r="E799" s="2" t="s">
        <v>838</v>
      </c>
      <c r="F799" s="2" t="s">
        <v>793</v>
      </c>
      <c r="G799" s="2" t="s">
        <v>1670</v>
      </c>
      <c r="H799" s="2" t="s">
        <v>1632</v>
      </c>
      <c r="J799" s="26"/>
      <c r="K799" s="36">
        <v>1.30547E-3</v>
      </c>
      <c r="L799" s="23">
        <v>2.6109000000000001E-4</v>
      </c>
    </row>
    <row r="800" spans="1:12" ht="15.35" hidden="1" x14ac:dyDescent="0.55000000000000004">
      <c r="A800" s="20">
        <v>15204</v>
      </c>
      <c r="B800" s="2" t="s">
        <v>166</v>
      </c>
      <c r="C800" s="2" t="s">
        <v>167</v>
      </c>
      <c r="D800" s="20">
        <v>0</v>
      </c>
      <c r="E800" s="2" t="s">
        <v>838</v>
      </c>
      <c r="F800" s="2" t="s">
        <v>793</v>
      </c>
      <c r="G800" s="2" t="s">
        <v>1671</v>
      </c>
      <c r="H800" s="2" t="s">
        <v>1632</v>
      </c>
      <c r="J800" s="26"/>
      <c r="K800" s="36">
        <v>1.30547E-3</v>
      </c>
      <c r="L800" s="23">
        <v>2.6109000000000001E-4</v>
      </c>
    </row>
    <row r="801" spans="1:12" ht="15.35" hidden="1" x14ac:dyDescent="0.55000000000000004">
      <c r="A801" s="20">
        <v>15179</v>
      </c>
      <c r="B801" s="2" t="s">
        <v>166</v>
      </c>
      <c r="C801" s="2" t="s">
        <v>167</v>
      </c>
      <c r="D801" s="20">
        <v>0</v>
      </c>
      <c r="E801" s="2" t="s">
        <v>838</v>
      </c>
      <c r="F801" s="2" t="s">
        <v>793</v>
      </c>
      <c r="G801" s="2" t="s">
        <v>1672</v>
      </c>
      <c r="H801" s="2" t="s">
        <v>1632</v>
      </c>
      <c r="J801" s="26"/>
      <c r="K801" s="36">
        <v>1.4256099999999999E-3</v>
      </c>
      <c r="L801" s="23">
        <v>2.8511999999999998E-4</v>
      </c>
    </row>
    <row r="802" spans="1:12" ht="15.35" hidden="1" x14ac:dyDescent="0.55000000000000004">
      <c r="A802" s="20">
        <v>15205</v>
      </c>
      <c r="B802" s="2" t="s">
        <v>166</v>
      </c>
      <c r="C802" s="2" t="s">
        <v>167</v>
      </c>
      <c r="D802" s="20">
        <v>0</v>
      </c>
      <c r="E802" s="2" t="s">
        <v>838</v>
      </c>
      <c r="F802" s="2" t="s">
        <v>793</v>
      </c>
      <c r="G802" s="2" t="s">
        <v>1673</v>
      </c>
      <c r="H802" s="2" t="s">
        <v>1632</v>
      </c>
      <c r="J802" s="26"/>
      <c r="K802" s="36">
        <v>2.8432000000000002E-4</v>
      </c>
      <c r="L802" s="23">
        <v>5.6860000000000001E-5</v>
      </c>
    </row>
    <row r="803" spans="1:12" ht="15.35" hidden="1" x14ac:dyDescent="0.55000000000000004">
      <c r="A803" s="20">
        <v>15180</v>
      </c>
      <c r="B803" s="2" t="s">
        <v>166</v>
      </c>
      <c r="C803" s="2" t="s">
        <v>167</v>
      </c>
      <c r="D803" s="20">
        <v>0</v>
      </c>
      <c r="E803" s="2" t="s">
        <v>838</v>
      </c>
      <c r="F803" s="2" t="s">
        <v>793</v>
      </c>
      <c r="G803" s="2" t="s">
        <v>1674</v>
      </c>
      <c r="H803" s="2" t="s">
        <v>1632</v>
      </c>
      <c r="J803" s="26"/>
      <c r="K803" s="36">
        <v>1.30547E-3</v>
      </c>
      <c r="L803" s="23">
        <v>2.6109000000000001E-4</v>
      </c>
    </row>
    <row r="804" spans="1:12" ht="15.35" hidden="1" x14ac:dyDescent="0.55000000000000004">
      <c r="A804" s="20">
        <v>15206</v>
      </c>
      <c r="B804" s="2" t="s">
        <v>166</v>
      </c>
      <c r="C804" s="2" t="s">
        <v>167</v>
      </c>
      <c r="D804" s="20">
        <v>0</v>
      </c>
      <c r="E804" s="2" t="s">
        <v>838</v>
      </c>
      <c r="F804" s="2" t="s">
        <v>793</v>
      </c>
      <c r="G804" s="2" t="s">
        <v>1675</v>
      </c>
      <c r="H804" s="2" t="s">
        <v>1632</v>
      </c>
      <c r="J804" s="26"/>
      <c r="K804" s="36">
        <v>8.2892999999999997E-4</v>
      </c>
      <c r="L804" s="23">
        <v>1.6579E-4</v>
      </c>
    </row>
    <row r="805" spans="1:12" ht="15.35" hidden="1" x14ac:dyDescent="0.55000000000000004">
      <c r="A805" s="20">
        <v>15207</v>
      </c>
      <c r="B805" s="2" t="s">
        <v>166</v>
      </c>
      <c r="C805" s="2" t="s">
        <v>167</v>
      </c>
      <c r="D805" s="20">
        <v>0</v>
      </c>
      <c r="E805" s="2" t="s">
        <v>838</v>
      </c>
      <c r="F805" s="2" t="s">
        <v>793</v>
      </c>
      <c r="G805" s="2" t="s">
        <v>1676</v>
      </c>
      <c r="H805" s="2" t="s">
        <v>1632</v>
      </c>
      <c r="J805" s="26"/>
      <c r="K805" s="36">
        <v>1.1613E-4</v>
      </c>
      <c r="L805" s="23">
        <v>2.323E-5</v>
      </c>
    </row>
    <row r="806" spans="1:12" ht="15.35" hidden="1" x14ac:dyDescent="0.55000000000000004">
      <c r="A806" s="20">
        <v>15208</v>
      </c>
      <c r="B806" s="2" t="s">
        <v>166</v>
      </c>
      <c r="C806" s="2" t="s">
        <v>167</v>
      </c>
      <c r="D806" s="20">
        <v>0</v>
      </c>
      <c r="E806" s="2" t="s">
        <v>838</v>
      </c>
      <c r="F806" s="2" t="s">
        <v>793</v>
      </c>
      <c r="G806" s="2" t="s">
        <v>1677</v>
      </c>
      <c r="H806" s="2" t="s">
        <v>1632</v>
      </c>
      <c r="J806" s="26"/>
      <c r="K806" s="36">
        <v>5.2049999999999998E-5</v>
      </c>
      <c r="L806" s="23">
        <v>1.041E-5</v>
      </c>
    </row>
    <row r="807" spans="1:12" ht="15.35" hidden="1" x14ac:dyDescent="0.55000000000000004">
      <c r="A807" s="20">
        <v>15209</v>
      </c>
      <c r="B807" s="2" t="s">
        <v>166</v>
      </c>
      <c r="C807" s="2" t="s">
        <v>167</v>
      </c>
      <c r="D807" s="20">
        <v>0</v>
      </c>
      <c r="E807" s="2" t="s">
        <v>838</v>
      </c>
      <c r="F807" s="2" t="s">
        <v>793</v>
      </c>
      <c r="G807" s="2" t="s">
        <v>1678</v>
      </c>
      <c r="H807" s="2" t="s">
        <v>1632</v>
      </c>
      <c r="J807" s="26"/>
      <c r="K807" s="36">
        <v>2.3625999999999999E-4</v>
      </c>
      <c r="L807" s="23">
        <v>4.7250000000000003E-5</v>
      </c>
    </row>
    <row r="808" spans="1:12" ht="15.35" hidden="1" x14ac:dyDescent="0.55000000000000004">
      <c r="A808" s="20">
        <v>15210</v>
      </c>
      <c r="B808" s="2" t="s">
        <v>166</v>
      </c>
      <c r="C808" s="2" t="s">
        <v>167</v>
      </c>
      <c r="D808" s="20">
        <v>0</v>
      </c>
      <c r="E808" s="2" t="s">
        <v>838</v>
      </c>
      <c r="F808" s="2" t="s">
        <v>793</v>
      </c>
      <c r="G808" s="2" t="s">
        <v>1679</v>
      </c>
      <c r="H808" s="2" t="s">
        <v>1632</v>
      </c>
      <c r="J808" s="26"/>
      <c r="K808" s="36">
        <v>6.8070000000000004E-5</v>
      </c>
      <c r="L808" s="23">
        <v>1.361E-5</v>
      </c>
    </row>
    <row r="809" spans="1:12" ht="15.35" hidden="1" x14ac:dyDescent="0.55000000000000004">
      <c r="A809" s="20">
        <v>15211</v>
      </c>
      <c r="B809" s="2" t="s">
        <v>166</v>
      </c>
      <c r="C809" s="2" t="s">
        <v>167</v>
      </c>
      <c r="D809" s="20">
        <v>0</v>
      </c>
      <c r="E809" s="2" t="s">
        <v>838</v>
      </c>
      <c r="F809" s="2" t="s">
        <v>793</v>
      </c>
      <c r="G809" s="2" t="s">
        <v>1680</v>
      </c>
      <c r="H809" s="2" t="s">
        <v>1632</v>
      </c>
      <c r="J809" s="26"/>
      <c r="K809" s="36">
        <v>2.3625999999999999E-4</v>
      </c>
      <c r="L809" s="23">
        <v>4.7250000000000003E-5</v>
      </c>
    </row>
    <row r="810" spans="1:12" ht="15.35" hidden="1" x14ac:dyDescent="0.55000000000000004">
      <c r="A810" s="20">
        <v>15212</v>
      </c>
      <c r="B810" s="2" t="s">
        <v>166</v>
      </c>
      <c r="C810" s="2" t="s">
        <v>167</v>
      </c>
      <c r="D810" s="20">
        <v>0</v>
      </c>
      <c r="E810" s="2" t="s">
        <v>838</v>
      </c>
      <c r="F810" s="2" t="s">
        <v>793</v>
      </c>
      <c r="G810" s="2" t="s">
        <v>1681</v>
      </c>
      <c r="H810" s="2" t="s">
        <v>1632</v>
      </c>
      <c r="J810" s="26"/>
      <c r="K810" s="36">
        <v>1.3615E-4</v>
      </c>
      <c r="L810" s="23">
        <v>2.7229999999999998E-5</v>
      </c>
    </row>
    <row r="811" spans="1:12" ht="15.35" hidden="1" x14ac:dyDescent="0.55000000000000004">
      <c r="A811" s="20">
        <v>15213</v>
      </c>
      <c r="B811" s="2" t="s">
        <v>166</v>
      </c>
      <c r="C811" s="2" t="s">
        <v>167</v>
      </c>
      <c r="D811" s="20">
        <v>0</v>
      </c>
      <c r="E811" s="2" t="s">
        <v>838</v>
      </c>
      <c r="F811" s="2" t="s">
        <v>793</v>
      </c>
      <c r="G811" s="2" t="s">
        <v>1682</v>
      </c>
      <c r="H811" s="2" t="s">
        <v>1632</v>
      </c>
      <c r="J811" s="26"/>
      <c r="K811" s="36">
        <v>5.9267E-4</v>
      </c>
      <c r="L811" s="23">
        <v>1.1853000000000001E-4</v>
      </c>
    </row>
    <row r="812" spans="1:12" ht="15.35" hidden="1" x14ac:dyDescent="0.55000000000000004">
      <c r="A812" s="20">
        <v>15164</v>
      </c>
      <c r="B812" s="2" t="s">
        <v>166</v>
      </c>
      <c r="C812" s="2" t="s">
        <v>167</v>
      </c>
      <c r="D812" s="20">
        <v>0</v>
      </c>
      <c r="E812" s="2" t="s">
        <v>838</v>
      </c>
      <c r="F812" s="2" t="s">
        <v>793</v>
      </c>
      <c r="G812" s="2" t="s">
        <v>1683</v>
      </c>
      <c r="H812" s="2" t="s">
        <v>1632</v>
      </c>
      <c r="J812" s="26"/>
      <c r="K812" s="36">
        <v>2.9632999999999998E-4</v>
      </c>
      <c r="L812" s="23">
        <v>5.927E-5</v>
      </c>
    </row>
    <row r="813" spans="1:12" ht="15.35" hidden="1" x14ac:dyDescent="0.55000000000000004">
      <c r="A813" s="20">
        <v>15165</v>
      </c>
      <c r="B813" s="2" t="s">
        <v>166</v>
      </c>
      <c r="C813" s="2" t="s">
        <v>167</v>
      </c>
      <c r="D813" s="20">
        <v>0</v>
      </c>
      <c r="E813" s="2" t="s">
        <v>838</v>
      </c>
      <c r="F813" s="2" t="s">
        <v>793</v>
      </c>
      <c r="G813" s="2" t="s">
        <v>1684</v>
      </c>
      <c r="H813" s="2" t="s">
        <v>1632</v>
      </c>
      <c r="J813" s="26"/>
      <c r="K813" s="36">
        <v>1.4014999999999999E-4</v>
      </c>
      <c r="L813" s="23">
        <v>2.8030000000000001E-5</v>
      </c>
    </row>
    <row r="814" spans="1:12" ht="15.35" hidden="1" x14ac:dyDescent="0.55000000000000004">
      <c r="A814" s="20">
        <v>15166</v>
      </c>
      <c r="B814" s="2" t="s">
        <v>166</v>
      </c>
      <c r="C814" s="2" t="s">
        <v>167</v>
      </c>
      <c r="D814" s="20">
        <v>0</v>
      </c>
      <c r="E814" s="2" t="s">
        <v>838</v>
      </c>
      <c r="F814" s="2" t="s">
        <v>793</v>
      </c>
      <c r="G814" s="2" t="s">
        <v>1685</v>
      </c>
      <c r="H814" s="2" t="s">
        <v>1632</v>
      </c>
      <c r="J814" s="26"/>
      <c r="K814" s="36">
        <v>3.3237000000000002E-4</v>
      </c>
      <c r="L814" s="23">
        <v>6.6470000000000006E-5</v>
      </c>
    </row>
    <row r="815" spans="1:12" ht="15.35" hidden="1" x14ac:dyDescent="0.55000000000000004">
      <c r="A815" s="20">
        <v>15187</v>
      </c>
      <c r="B815" s="2" t="s">
        <v>166</v>
      </c>
      <c r="C815" s="2" t="s">
        <v>167</v>
      </c>
      <c r="D815" s="20">
        <v>0</v>
      </c>
      <c r="E815" s="2" t="s">
        <v>838</v>
      </c>
      <c r="F815" s="2" t="s">
        <v>793</v>
      </c>
      <c r="G815" s="2" t="s">
        <v>1686</v>
      </c>
      <c r="H815" s="2" t="s">
        <v>1632</v>
      </c>
      <c r="J815" s="26"/>
      <c r="K815" s="36">
        <v>5.3260000000000004E-4</v>
      </c>
      <c r="L815" s="23">
        <v>1.0652E-4</v>
      </c>
    </row>
    <row r="816" spans="1:12" ht="15.35" hidden="1" x14ac:dyDescent="0.55000000000000004">
      <c r="A816" s="20">
        <v>15188</v>
      </c>
      <c r="B816" s="2" t="s">
        <v>166</v>
      </c>
      <c r="C816" s="2" t="s">
        <v>167</v>
      </c>
      <c r="D816" s="20">
        <v>0</v>
      </c>
      <c r="E816" s="2" t="s">
        <v>838</v>
      </c>
      <c r="F816" s="2" t="s">
        <v>793</v>
      </c>
      <c r="G816" s="2" t="s">
        <v>1687</v>
      </c>
      <c r="H816" s="2" t="s">
        <v>1632</v>
      </c>
      <c r="J816" s="26"/>
      <c r="K816" s="36">
        <v>6.4072E-4</v>
      </c>
      <c r="L816" s="23">
        <v>1.2814E-4</v>
      </c>
    </row>
    <row r="817" spans="1:12" ht="15.35" hidden="1" x14ac:dyDescent="0.55000000000000004">
      <c r="A817" s="20">
        <v>15177</v>
      </c>
      <c r="B817" s="2" t="s">
        <v>166</v>
      </c>
      <c r="C817" s="2" t="s">
        <v>167</v>
      </c>
      <c r="D817" s="20">
        <v>0</v>
      </c>
      <c r="E817" s="2" t="s">
        <v>838</v>
      </c>
      <c r="F817" s="2" t="s">
        <v>793</v>
      </c>
      <c r="G817" s="2" t="s">
        <v>1688</v>
      </c>
      <c r="H817" s="2" t="s">
        <v>1632</v>
      </c>
      <c r="J817" s="26"/>
      <c r="K817" s="36">
        <v>2.3625999999999999E-4</v>
      </c>
      <c r="L817" s="23">
        <v>4.7250000000000003E-5</v>
      </c>
    </row>
    <row r="818" spans="1:12" ht="15.35" hidden="1" x14ac:dyDescent="0.55000000000000004">
      <c r="A818" s="20">
        <v>15346</v>
      </c>
      <c r="B818" s="2" t="s">
        <v>166</v>
      </c>
      <c r="C818" s="2" t="s">
        <v>167</v>
      </c>
      <c r="D818" s="20">
        <v>0</v>
      </c>
      <c r="E818" s="2" t="s">
        <v>838</v>
      </c>
      <c r="F818" s="2" t="s">
        <v>789</v>
      </c>
      <c r="G818" s="2" t="s">
        <v>1689</v>
      </c>
      <c r="H818" s="2" t="s">
        <v>1690</v>
      </c>
      <c r="J818" s="26"/>
      <c r="K818" s="36">
        <v>1.1893400000000001E-3</v>
      </c>
      <c r="L818" s="23">
        <v>2.3787E-4</v>
      </c>
    </row>
    <row r="819" spans="1:12" ht="15.35" hidden="1" x14ac:dyDescent="0.55000000000000004">
      <c r="A819" s="20">
        <v>15345</v>
      </c>
      <c r="B819" s="2" t="s">
        <v>166</v>
      </c>
      <c r="C819" s="2" t="s">
        <v>167</v>
      </c>
      <c r="D819" s="20">
        <v>0</v>
      </c>
      <c r="E819" s="2" t="s">
        <v>838</v>
      </c>
      <c r="F819" s="2" t="s">
        <v>789</v>
      </c>
      <c r="G819" s="2" t="s">
        <v>1691</v>
      </c>
      <c r="H819" s="2" t="s">
        <v>1690</v>
      </c>
      <c r="J819" s="26"/>
      <c r="K819" s="36">
        <v>1.1893400000000001E-3</v>
      </c>
      <c r="L819" s="23">
        <v>2.3787E-4</v>
      </c>
    </row>
    <row r="820" spans="1:12" ht="15.35" hidden="1" x14ac:dyDescent="0.55000000000000004">
      <c r="A820" s="20">
        <v>14903</v>
      </c>
      <c r="B820" s="2" t="s">
        <v>166</v>
      </c>
      <c r="C820" s="2" t="s">
        <v>167</v>
      </c>
      <c r="D820" s="20">
        <v>0</v>
      </c>
      <c r="E820" s="2" t="s">
        <v>838</v>
      </c>
      <c r="F820" s="2" t="s">
        <v>789</v>
      </c>
      <c r="G820" s="2" t="s">
        <v>1692</v>
      </c>
      <c r="H820" s="2" t="s">
        <v>1693</v>
      </c>
      <c r="J820" s="26"/>
      <c r="K820" s="36">
        <v>5.9267E-4</v>
      </c>
      <c r="L820" s="23">
        <v>1.1853000000000001E-4</v>
      </c>
    </row>
    <row r="821" spans="1:12" ht="15.35" hidden="1" x14ac:dyDescent="0.55000000000000004">
      <c r="A821" s="20">
        <v>15336</v>
      </c>
      <c r="B821" s="2" t="s">
        <v>166</v>
      </c>
      <c r="C821" s="2" t="s">
        <v>167</v>
      </c>
      <c r="D821" s="20">
        <v>0</v>
      </c>
      <c r="E821" s="2" t="s">
        <v>838</v>
      </c>
      <c r="F821" s="2" t="s">
        <v>793</v>
      </c>
      <c r="G821" s="2" t="s">
        <v>1694</v>
      </c>
      <c r="H821" s="2" t="s">
        <v>1695</v>
      </c>
      <c r="J821" s="26"/>
      <c r="K821" s="36">
        <v>3.5639999999999999E-4</v>
      </c>
      <c r="L821" s="23">
        <v>7.1279999999999995E-5</v>
      </c>
    </row>
    <row r="822" spans="1:12" ht="15.35" hidden="1" x14ac:dyDescent="0.55000000000000004">
      <c r="A822" s="20">
        <v>15337</v>
      </c>
      <c r="B822" s="2" t="s">
        <v>166</v>
      </c>
      <c r="C822" s="2" t="s">
        <v>167</v>
      </c>
      <c r="D822" s="20">
        <v>0</v>
      </c>
      <c r="E822" s="2" t="s">
        <v>838</v>
      </c>
      <c r="F822" s="2" t="s">
        <v>793</v>
      </c>
      <c r="G822" s="2" t="s">
        <v>1696</v>
      </c>
      <c r="H822" s="2" t="s">
        <v>1695</v>
      </c>
      <c r="J822" s="26"/>
      <c r="K822" s="36">
        <v>2.6830000000000002E-4</v>
      </c>
      <c r="L822" s="23">
        <v>5.3659999999999998E-5</v>
      </c>
    </row>
    <row r="823" spans="1:12" ht="15.35" hidden="1" x14ac:dyDescent="0.55000000000000004">
      <c r="A823" s="20">
        <v>15335</v>
      </c>
      <c r="B823" s="2" t="s">
        <v>166</v>
      </c>
      <c r="C823" s="2" t="s">
        <v>167</v>
      </c>
      <c r="D823" s="20">
        <v>0</v>
      </c>
      <c r="E823" s="2" t="s">
        <v>838</v>
      </c>
      <c r="F823" s="2" t="s">
        <v>793</v>
      </c>
      <c r="G823" s="2" t="s">
        <v>1697</v>
      </c>
      <c r="H823" s="2" t="s">
        <v>1695</v>
      </c>
      <c r="J823" s="26"/>
      <c r="K823" s="36">
        <v>1.0011E-4</v>
      </c>
      <c r="L823" s="23">
        <v>2.0020000000000001E-5</v>
      </c>
    </row>
    <row r="824" spans="1:12" ht="15.35" hidden="1" x14ac:dyDescent="0.55000000000000004">
      <c r="A824" s="20">
        <v>15279</v>
      </c>
      <c r="B824" s="2" t="s">
        <v>166</v>
      </c>
      <c r="C824" s="2" t="s">
        <v>167</v>
      </c>
      <c r="D824" s="20">
        <v>0</v>
      </c>
      <c r="E824" s="2" t="s">
        <v>838</v>
      </c>
      <c r="F824" s="2" t="s">
        <v>848</v>
      </c>
      <c r="G824" s="2" t="s">
        <v>1698</v>
      </c>
      <c r="H824" s="2" t="s">
        <v>1698</v>
      </c>
      <c r="J824" s="26"/>
      <c r="K824" s="36">
        <v>2.3786900000000001E-3</v>
      </c>
      <c r="L824" s="23">
        <v>4.7574E-4</v>
      </c>
    </row>
    <row r="825" spans="1:12" ht="15.35" hidden="1" x14ac:dyDescent="0.55000000000000004">
      <c r="A825" s="20">
        <v>15302</v>
      </c>
      <c r="B825" s="2" t="s">
        <v>166</v>
      </c>
      <c r="C825" s="2" t="s">
        <v>167</v>
      </c>
      <c r="D825" s="20">
        <v>0</v>
      </c>
      <c r="E825" s="2" t="s">
        <v>838</v>
      </c>
      <c r="F825" s="2" t="s">
        <v>789</v>
      </c>
      <c r="G825" s="2" t="s">
        <v>1699</v>
      </c>
      <c r="H825" s="2" t="s">
        <v>997</v>
      </c>
      <c r="J825" s="26"/>
      <c r="K825" s="36">
        <v>9.7710000000000006E-4</v>
      </c>
      <c r="L825" s="23">
        <v>1.9542E-4</v>
      </c>
    </row>
    <row r="826" spans="1:12" ht="15.35" hidden="1" x14ac:dyDescent="0.55000000000000004">
      <c r="A826" s="20">
        <v>15297</v>
      </c>
      <c r="B826" s="2" t="s">
        <v>166</v>
      </c>
      <c r="C826" s="2" t="s">
        <v>167</v>
      </c>
      <c r="D826" s="20">
        <v>0</v>
      </c>
      <c r="E826" s="2" t="s">
        <v>838</v>
      </c>
      <c r="F826" s="2" t="s">
        <v>789</v>
      </c>
      <c r="G826" s="2" t="s">
        <v>1700</v>
      </c>
      <c r="H826" s="2" t="s">
        <v>997</v>
      </c>
      <c r="J826" s="26"/>
      <c r="K826" s="36">
        <v>1.5938E-3</v>
      </c>
      <c r="L826" s="23">
        <v>3.1876000000000002E-4</v>
      </c>
    </row>
    <row r="827" spans="1:12" ht="15.35" hidden="1" x14ac:dyDescent="0.55000000000000004">
      <c r="A827" s="20">
        <v>15300</v>
      </c>
      <c r="B827" s="2" t="s">
        <v>166</v>
      </c>
      <c r="C827" s="2" t="s">
        <v>167</v>
      </c>
      <c r="D827" s="20">
        <v>0</v>
      </c>
      <c r="E827" s="2" t="s">
        <v>838</v>
      </c>
      <c r="F827" s="2" t="s">
        <v>789</v>
      </c>
      <c r="G827" s="2" t="s">
        <v>1701</v>
      </c>
      <c r="H827" s="2" t="s">
        <v>997</v>
      </c>
      <c r="J827" s="26"/>
      <c r="K827" s="36">
        <v>8.8090000000000005E-5</v>
      </c>
      <c r="L827" s="23">
        <v>1.7620000000000001E-5</v>
      </c>
    </row>
    <row r="828" spans="1:12" ht="15.35" hidden="1" x14ac:dyDescent="0.55000000000000004">
      <c r="A828" s="20">
        <v>15301</v>
      </c>
      <c r="B828" s="2" t="s">
        <v>166</v>
      </c>
      <c r="C828" s="2" t="s">
        <v>167</v>
      </c>
      <c r="D828" s="20">
        <v>0</v>
      </c>
      <c r="E828" s="2" t="s">
        <v>838</v>
      </c>
      <c r="F828" s="2" t="s">
        <v>789</v>
      </c>
      <c r="G828" s="2" t="s">
        <v>1702</v>
      </c>
      <c r="H828" s="2" t="s">
        <v>997</v>
      </c>
      <c r="J828" s="26"/>
      <c r="K828" s="36">
        <v>2.6029400000000002E-3</v>
      </c>
      <c r="L828" s="23">
        <v>5.2059000000000003E-4</v>
      </c>
    </row>
    <row r="829" spans="1:12" ht="15.35" hidden="1" x14ac:dyDescent="0.55000000000000004">
      <c r="A829" s="20">
        <v>15298</v>
      </c>
      <c r="B829" s="2" t="s">
        <v>166</v>
      </c>
      <c r="C829" s="2" t="s">
        <v>167</v>
      </c>
      <c r="D829" s="20">
        <v>0</v>
      </c>
      <c r="E829" s="2" t="s">
        <v>838</v>
      </c>
      <c r="F829" s="2" t="s">
        <v>793</v>
      </c>
      <c r="G829" s="2" t="s">
        <v>1703</v>
      </c>
      <c r="H829" s="2" t="s">
        <v>997</v>
      </c>
      <c r="J829" s="26"/>
      <c r="K829" s="36">
        <v>7.6086000000000003E-4</v>
      </c>
      <c r="L829" s="23">
        <v>1.5217E-4</v>
      </c>
    </row>
    <row r="830" spans="1:12" ht="15.35" hidden="1" x14ac:dyDescent="0.55000000000000004">
      <c r="A830" s="20">
        <v>15299</v>
      </c>
      <c r="B830" s="2" t="s">
        <v>166</v>
      </c>
      <c r="C830" s="2" t="s">
        <v>167</v>
      </c>
      <c r="D830" s="20">
        <v>0</v>
      </c>
      <c r="E830" s="2" t="s">
        <v>838</v>
      </c>
      <c r="F830" s="2" t="s">
        <v>793</v>
      </c>
      <c r="G830" s="2" t="s">
        <v>1704</v>
      </c>
      <c r="H830" s="2" t="s">
        <v>997</v>
      </c>
      <c r="J830" s="26"/>
      <c r="K830" s="36">
        <v>2.6029400000000002E-3</v>
      </c>
      <c r="L830" s="23">
        <v>5.2059000000000003E-4</v>
      </c>
    </row>
    <row r="831" spans="1:12" ht="15.35" hidden="1" x14ac:dyDescent="0.55000000000000004">
      <c r="A831" s="20">
        <v>15296</v>
      </c>
      <c r="B831" s="2" t="s">
        <v>166</v>
      </c>
      <c r="C831" s="2" t="s">
        <v>167</v>
      </c>
      <c r="D831" s="20">
        <v>0</v>
      </c>
      <c r="E831" s="2" t="s">
        <v>838</v>
      </c>
      <c r="F831" s="2" t="s">
        <v>793</v>
      </c>
      <c r="G831" s="2" t="s">
        <v>1705</v>
      </c>
      <c r="H831" s="2" t="s">
        <v>997</v>
      </c>
      <c r="J831" s="26"/>
      <c r="K831" s="36">
        <v>8.8099000000000001E-4</v>
      </c>
      <c r="L831" s="23">
        <v>1.762E-4</v>
      </c>
    </row>
    <row r="832" spans="1:12" ht="15.35" hidden="1" x14ac:dyDescent="0.55000000000000004">
      <c r="A832" s="20">
        <v>15243</v>
      </c>
      <c r="B832" s="2" t="s">
        <v>166</v>
      </c>
      <c r="C832" s="2" t="s">
        <v>167</v>
      </c>
      <c r="D832" s="20">
        <v>0</v>
      </c>
      <c r="E832" s="2" t="s">
        <v>838</v>
      </c>
      <c r="F832" s="2" t="s">
        <v>848</v>
      </c>
      <c r="G832" s="2" t="s">
        <v>1706</v>
      </c>
      <c r="H832" s="2" t="s">
        <v>1707</v>
      </c>
      <c r="J832" s="26"/>
      <c r="K832" s="36">
        <v>4.2047500000000002E-3</v>
      </c>
      <c r="L832" s="23">
        <v>8.4095000000000003E-4</v>
      </c>
    </row>
    <row r="833" spans="1:12" ht="15.35" hidden="1" x14ac:dyDescent="0.55000000000000004">
      <c r="A833" s="20">
        <v>15317</v>
      </c>
      <c r="B833" s="2" t="s">
        <v>166</v>
      </c>
      <c r="C833" s="2" t="s">
        <v>167</v>
      </c>
      <c r="D833" s="20">
        <v>0</v>
      </c>
      <c r="E833" s="2" t="s">
        <v>838</v>
      </c>
      <c r="F833" s="2" t="s">
        <v>793</v>
      </c>
      <c r="G833" s="2" t="s">
        <v>1708</v>
      </c>
      <c r="H833" s="2" t="s">
        <v>866</v>
      </c>
      <c r="J833" s="26"/>
      <c r="K833" s="36">
        <v>4.2047500000000002E-3</v>
      </c>
      <c r="L833" s="23">
        <v>8.4095000000000003E-4</v>
      </c>
    </row>
    <row r="834" spans="1:12" ht="15.35" hidden="1" x14ac:dyDescent="0.55000000000000004">
      <c r="A834" s="20">
        <v>14986</v>
      </c>
      <c r="B834" s="2" t="s">
        <v>166</v>
      </c>
      <c r="C834" s="2" t="s">
        <v>167</v>
      </c>
      <c r="D834" s="20">
        <v>0</v>
      </c>
      <c r="E834" s="2" t="s">
        <v>838</v>
      </c>
      <c r="F834" s="2" t="s">
        <v>848</v>
      </c>
      <c r="G834" s="2" t="s">
        <v>1709</v>
      </c>
      <c r="H834" s="2" t="s">
        <v>1153</v>
      </c>
      <c r="J834" s="26"/>
      <c r="K834" s="36">
        <v>4.2047500000000002E-3</v>
      </c>
      <c r="L834" s="23">
        <v>8.4095000000000003E-4</v>
      </c>
    </row>
    <row r="835" spans="1:12" ht="15.35" hidden="1" x14ac:dyDescent="0.55000000000000004">
      <c r="A835" s="20">
        <v>14870</v>
      </c>
      <c r="B835" s="2" t="s">
        <v>166</v>
      </c>
      <c r="C835" s="2" t="s">
        <v>167</v>
      </c>
      <c r="D835" s="20">
        <v>0</v>
      </c>
      <c r="E835" s="2" t="s">
        <v>838</v>
      </c>
      <c r="F835" s="2" t="s">
        <v>811</v>
      </c>
      <c r="G835" s="2" t="s">
        <v>1710</v>
      </c>
      <c r="H835" s="2" t="s">
        <v>1062</v>
      </c>
      <c r="J835" s="26"/>
      <c r="K835" s="36">
        <v>1.9221E-4</v>
      </c>
      <c r="L835" s="23">
        <v>3.8439999999999998E-5</v>
      </c>
    </row>
    <row r="836" spans="1:12" ht="15.35" hidden="1" x14ac:dyDescent="0.55000000000000004">
      <c r="A836" s="20">
        <v>14880</v>
      </c>
      <c r="B836" s="2" t="s">
        <v>166</v>
      </c>
      <c r="C836" s="2" t="s">
        <v>167</v>
      </c>
      <c r="D836" s="20">
        <v>0</v>
      </c>
      <c r="E836" s="2" t="s">
        <v>838</v>
      </c>
      <c r="F836" s="2" t="s">
        <v>811</v>
      </c>
      <c r="G836" s="2" t="s">
        <v>1711</v>
      </c>
      <c r="H836" s="2" t="s">
        <v>1062</v>
      </c>
      <c r="J836" s="26"/>
      <c r="K836" s="36">
        <v>2.8432000000000002E-4</v>
      </c>
      <c r="L836" s="23">
        <v>5.6860000000000001E-5</v>
      </c>
    </row>
    <row r="837" spans="1:12" ht="15.35" hidden="1" x14ac:dyDescent="0.55000000000000004">
      <c r="A837" s="20">
        <v>14882</v>
      </c>
      <c r="B837" s="2" t="s">
        <v>166</v>
      </c>
      <c r="C837" s="2" t="s">
        <v>167</v>
      </c>
      <c r="D837" s="20">
        <v>0</v>
      </c>
      <c r="E837" s="2" t="s">
        <v>838</v>
      </c>
      <c r="F837" s="2" t="s">
        <v>811</v>
      </c>
      <c r="G837" s="2" t="s">
        <v>1712</v>
      </c>
      <c r="H837" s="2" t="s">
        <v>1062</v>
      </c>
      <c r="J837" s="26"/>
      <c r="K837" s="36">
        <v>5.6063E-4</v>
      </c>
      <c r="L837" s="23">
        <v>1.1213E-4</v>
      </c>
    </row>
    <row r="838" spans="1:12" ht="15.35" hidden="1" x14ac:dyDescent="0.55000000000000004">
      <c r="A838" s="20">
        <v>14875</v>
      </c>
      <c r="B838" s="2" t="s">
        <v>166</v>
      </c>
      <c r="C838" s="2" t="s">
        <v>167</v>
      </c>
      <c r="D838" s="20">
        <v>0</v>
      </c>
      <c r="E838" s="2" t="s">
        <v>838</v>
      </c>
      <c r="F838" s="2" t="s">
        <v>811</v>
      </c>
      <c r="G838" s="2" t="s">
        <v>1713</v>
      </c>
      <c r="H838" s="2" t="s">
        <v>1062</v>
      </c>
      <c r="J838" s="26"/>
      <c r="K838" s="36">
        <v>4.4048999999999998E-4</v>
      </c>
      <c r="L838" s="23">
        <v>8.81E-5</v>
      </c>
    </row>
    <row r="839" spans="1:12" ht="15.35" hidden="1" x14ac:dyDescent="0.55000000000000004">
      <c r="A839" s="20">
        <v>14862</v>
      </c>
      <c r="B839" s="2" t="s">
        <v>166</v>
      </c>
      <c r="C839" s="2" t="s">
        <v>167</v>
      </c>
      <c r="D839" s="20">
        <v>0</v>
      </c>
      <c r="E839" s="2" t="s">
        <v>838</v>
      </c>
      <c r="F839" s="2" t="s">
        <v>811</v>
      </c>
      <c r="G839" s="2" t="s">
        <v>1714</v>
      </c>
      <c r="H839" s="2" t="s">
        <v>1062</v>
      </c>
      <c r="J839" s="26"/>
      <c r="K839" s="36">
        <v>3.0033000000000002E-4</v>
      </c>
      <c r="L839" s="23">
        <v>6.0069999999999999E-5</v>
      </c>
    </row>
    <row r="840" spans="1:12" ht="15.35" hidden="1" x14ac:dyDescent="0.55000000000000004">
      <c r="A840" s="20">
        <v>14877</v>
      </c>
      <c r="B840" s="2" t="s">
        <v>166</v>
      </c>
      <c r="C840" s="2" t="s">
        <v>167</v>
      </c>
      <c r="D840" s="20">
        <v>0</v>
      </c>
      <c r="E840" s="2" t="s">
        <v>838</v>
      </c>
      <c r="F840" s="2" t="s">
        <v>811</v>
      </c>
      <c r="G840" s="2" t="s">
        <v>1715</v>
      </c>
      <c r="H840" s="2" t="s">
        <v>1062</v>
      </c>
      <c r="J840" s="26"/>
      <c r="K840" s="36">
        <v>3.6039999999999998E-4</v>
      </c>
      <c r="L840" s="23">
        <v>7.2080000000000001E-5</v>
      </c>
    </row>
    <row r="841" spans="1:12" ht="15.35" hidden="1" x14ac:dyDescent="0.55000000000000004">
      <c r="A841" s="20">
        <v>14878</v>
      </c>
      <c r="B841" s="2" t="s">
        <v>166</v>
      </c>
      <c r="C841" s="2" t="s">
        <v>167</v>
      </c>
      <c r="D841" s="20">
        <v>0</v>
      </c>
      <c r="E841" s="2" t="s">
        <v>838</v>
      </c>
      <c r="F841" s="2" t="s">
        <v>811</v>
      </c>
      <c r="G841" s="2" t="s">
        <v>1716</v>
      </c>
      <c r="H841" s="2" t="s">
        <v>1062</v>
      </c>
      <c r="J841" s="26"/>
      <c r="K841" s="36">
        <v>5.2057999999999998E-4</v>
      </c>
      <c r="L841" s="23">
        <v>1.0412E-4</v>
      </c>
    </row>
    <row r="842" spans="1:12" ht="15.35" hidden="1" x14ac:dyDescent="0.55000000000000004">
      <c r="A842" s="20">
        <v>14873</v>
      </c>
      <c r="B842" s="2" t="s">
        <v>166</v>
      </c>
      <c r="C842" s="2" t="s">
        <v>167</v>
      </c>
      <c r="D842" s="20">
        <v>0</v>
      </c>
      <c r="E842" s="2" t="s">
        <v>838</v>
      </c>
      <c r="F842" s="2" t="s">
        <v>811</v>
      </c>
      <c r="G842" s="2" t="s">
        <v>1717</v>
      </c>
      <c r="H842" s="2" t="s">
        <v>1062</v>
      </c>
      <c r="J842" s="26"/>
      <c r="K842" s="36">
        <v>7.2081000000000001E-4</v>
      </c>
      <c r="L842" s="23">
        <v>1.4416E-4</v>
      </c>
    </row>
    <row r="843" spans="1:12" ht="15.35" hidden="1" x14ac:dyDescent="0.55000000000000004">
      <c r="A843" s="20">
        <v>14863</v>
      </c>
      <c r="B843" s="2" t="s">
        <v>166</v>
      </c>
      <c r="C843" s="2" t="s">
        <v>167</v>
      </c>
      <c r="D843" s="20">
        <v>0</v>
      </c>
      <c r="E843" s="2" t="s">
        <v>838</v>
      </c>
      <c r="F843" s="2" t="s">
        <v>811</v>
      </c>
      <c r="G843" s="2" t="s">
        <v>1718</v>
      </c>
      <c r="H843" s="2" t="s">
        <v>1062</v>
      </c>
      <c r="J843" s="26"/>
      <c r="K843" s="36">
        <v>1.2013E-4</v>
      </c>
      <c r="L843" s="23">
        <v>2.4029999999999999E-5</v>
      </c>
    </row>
    <row r="844" spans="1:12" ht="15.35" hidden="1" x14ac:dyDescent="0.55000000000000004">
      <c r="A844" s="20">
        <v>14860</v>
      </c>
      <c r="B844" s="2" t="s">
        <v>166</v>
      </c>
      <c r="C844" s="2" t="s">
        <v>167</v>
      </c>
      <c r="D844" s="20">
        <v>0</v>
      </c>
      <c r="E844" s="2" t="s">
        <v>838</v>
      </c>
      <c r="F844" s="2" t="s">
        <v>811</v>
      </c>
      <c r="G844" s="2" t="s">
        <v>1719</v>
      </c>
      <c r="H844" s="2" t="s">
        <v>1062</v>
      </c>
      <c r="J844" s="26"/>
      <c r="K844" s="36">
        <v>7.2081000000000001E-4</v>
      </c>
      <c r="L844" s="23">
        <v>1.4416E-4</v>
      </c>
    </row>
    <row r="845" spans="1:12" ht="15.35" hidden="1" x14ac:dyDescent="0.55000000000000004">
      <c r="A845" s="20">
        <v>14869</v>
      </c>
      <c r="B845" s="2" t="s">
        <v>166</v>
      </c>
      <c r="C845" s="2" t="s">
        <v>167</v>
      </c>
      <c r="D845" s="20">
        <v>0</v>
      </c>
      <c r="E845" s="2" t="s">
        <v>838</v>
      </c>
      <c r="F845" s="2" t="s">
        <v>811</v>
      </c>
      <c r="G845" s="2" t="s">
        <v>1720</v>
      </c>
      <c r="H845" s="2" t="s">
        <v>1062</v>
      </c>
      <c r="J845" s="26"/>
      <c r="K845" s="36">
        <v>3.6039999999999998E-4</v>
      </c>
      <c r="L845" s="23">
        <v>7.2080000000000001E-5</v>
      </c>
    </row>
    <row r="846" spans="1:12" ht="15.35" hidden="1" x14ac:dyDescent="0.55000000000000004">
      <c r="A846" s="20">
        <v>14876</v>
      </c>
      <c r="B846" s="2" t="s">
        <v>166</v>
      </c>
      <c r="C846" s="2" t="s">
        <v>167</v>
      </c>
      <c r="D846" s="20">
        <v>0</v>
      </c>
      <c r="E846" s="2" t="s">
        <v>838</v>
      </c>
      <c r="F846" s="2" t="s">
        <v>811</v>
      </c>
      <c r="G846" s="2" t="s">
        <v>1721</v>
      </c>
      <c r="H846" s="2" t="s">
        <v>1062</v>
      </c>
      <c r="J846" s="26"/>
      <c r="K846" s="36">
        <v>2.4027E-4</v>
      </c>
      <c r="L846" s="23">
        <v>4.8050000000000002E-5</v>
      </c>
    </row>
    <row r="847" spans="1:12" ht="15.35" hidden="1" x14ac:dyDescent="0.55000000000000004">
      <c r="A847" s="20">
        <v>14872</v>
      </c>
      <c r="B847" s="2" t="s">
        <v>166</v>
      </c>
      <c r="C847" s="2" t="s">
        <v>167</v>
      </c>
      <c r="D847" s="20">
        <v>0</v>
      </c>
      <c r="E847" s="2" t="s">
        <v>838</v>
      </c>
      <c r="F847" s="2" t="s">
        <v>811</v>
      </c>
      <c r="G847" s="2" t="s">
        <v>1722</v>
      </c>
      <c r="H847" s="2" t="s">
        <v>1062</v>
      </c>
      <c r="J847" s="26"/>
      <c r="K847" s="36">
        <v>2.4027E-4</v>
      </c>
      <c r="L847" s="23">
        <v>4.8050000000000002E-5</v>
      </c>
    </row>
    <row r="848" spans="1:12" ht="15.35" hidden="1" x14ac:dyDescent="0.55000000000000004">
      <c r="A848" s="20">
        <v>14871</v>
      </c>
      <c r="B848" s="2" t="s">
        <v>166</v>
      </c>
      <c r="C848" s="2" t="s">
        <v>167</v>
      </c>
      <c r="D848" s="20">
        <v>0</v>
      </c>
      <c r="E848" s="2" t="s">
        <v>838</v>
      </c>
      <c r="F848" s="2" t="s">
        <v>811</v>
      </c>
      <c r="G848" s="2" t="s">
        <v>1723</v>
      </c>
      <c r="H848" s="2" t="s">
        <v>1062</v>
      </c>
      <c r="J848" s="26"/>
      <c r="K848" s="36">
        <v>2.0022E-4</v>
      </c>
      <c r="L848" s="23">
        <v>4.0040000000000003E-5</v>
      </c>
    </row>
    <row r="849" spans="1:12" ht="15.35" hidden="1" x14ac:dyDescent="0.55000000000000004">
      <c r="A849" s="20">
        <v>14868</v>
      </c>
      <c r="B849" s="2" t="s">
        <v>166</v>
      </c>
      <c r="C849" s="2" t="s">
        <v>167</v>
      </c>
      <c r="D849" s="20">
        <v>0</v>
      </c>
      <c r="E849" s="2" t="s">
        <v>838</v>
      </c>
      <c r="F849" s="2" t="s">
        <v>811</v>
      </c>
      <c r="G849" s="2" t="s">
        <v>1724</v>
      </c>
      <c r="H849" s="2" t="s">
        <v>1062</v>
      </c>
      <c r="J849" s="26"/>
      <c r="K849" s="36">
        <v>3.6039999999999998E-4</v>
      </c>
      <c r="L849" s="23">
        <v>7.2080000000000001E-5</v>
      </c>
    </row>
    <row r="850" spans="1:12" ht="15.35" hidden="1" x14ac:dyDescent="0.55000000000000004">
      <c r="A850" s="20">
        <v>14865</v>
      </c>
      <c r="B850" s="2" t="s">
        <v>166</v>
      </c>
      <c r="C850" s="2" t="s">
        <v>167</v>
      </c>
      <c r="D850" s="20">
        <v>0</v>
      </c>
      <c r="E850" s="2" t="s">
        <v>838</v>
      </c>
      <c r="F850" s="2" t="s">
        <v>811</v>
      </c>
      <c r="G850" s="2" t="s">
        <v>1725</v>
      </c>
      <c r="H850" s="2" t="s">
        <v>1062</v>
      </c>
      <c r="J850" s="26"/>
      <c r="K850" s="36">
        <v>2.7230000000000001E-4</v>
      </c>
      <c r="L850" s="23">
        <v>5.4459999999999997E-5</v>
      </c>
    </row>
    <row r="851" spans="1:12" ht="15.35" hidden="1" x14ac:dyDescent="0.55000000000000004">
      <c r="A851" s="20">
        <v>14866</v>
      </c>
      <c r="B851" s="2" t="s">
        <v>166</v>
      </c>
      <c r="C851" s="2" t="s">
        <v>167</v>
      </c>
      <c r="D851" s="20">
        <v>0</v>
      </c>
      <c r="E851" s="2" t="s">
        <v>838</v>
      </c>
      <c r="F851" s="2" t="s">
        <v>811</v>
      </c>
      <c r="G851" s="2" t="s">
        <v>1726</v>
      </c>
      <c r="H851" s="2" t="s">
        <v>1062</v>
      </c>
      <c r="J851" s="26"/>
      <c r="K851" s="36">
        <v>2.4027E-4</v>
      </c>
      <c r="L851" s="23">
        <v>4.8050000000000002E-5</v>
      </c>
    </row>
    <row r="852" spans="1:12" ht="15.35" hidden="1" x14ac:dyDescent="0.55000000000000004">
      <c r="A852" s="20">
        <v>14874</v>
      </c>
      <c r="B852" s="2" t="s">
        <v>166</v>
      </c>
      <c r="C852" s="2" t="s">
        <v>167</v>
      </c>
      <c r="D852" s="20">
        <v>0</v>
      </c>
      <c r="E852" s="2" t="s">
        <v>838</v>
      </c>
      <c r="F852" s="2" t="s">
        <v>811</v>
      </c>
      <c r="G852" s="2" t="s">
        <v>1727</v>
      </c>
      <c r="H852" s="2" t="s">
        <v>1062</v>
      </c>
      <c r="J852" s="26"/>
      <c r="K852" s="36">
        <v>8.0090000000000001E-4</v>
      </c>
      <c r="L852" s="23">
        <v>1.6018E-4</v>
      </c>
    </row>
    <row r="853" spans="1:12" ht="15.35" hidden="1" x14ac:dyDescent="0.55000000000000004">
      <c r="A853" s="20">
        <v>14879</v>
      </c>
      <c r="B853" s="2" t="s">
        <v>166</v>
      </c>
      <c r="C853" s="2" t="s">
        <v>167</v>
      </c>
      <c r="D853" s="20">
        <v>0</v>
      </c>
      <c r="E853" s="2" t="s">
        <v>838</v>
      </c>
      <c r="F853" s="2" t="s">
        <v>811</v>
      </c>
      <c r="G853" s="2" t="s">
        <v>1728</v>
      </c>
      <c r="H853" s="2" t="s">
        <v>1062</v>
      </c>
      <c r="J853" s="26"/>
      <c r="K853" s="36">
        <v>8.0090000000000001E-4</v>
      </c>
      <c r="L853" s="23">
        <v>1.6018E-4</v>
      </c>
    </row>
    <row r="854" spans="1:12" ht="15.35" hidden="1" x14ac:dyDescent="0.55000000000000004">
      <c r="A854" s="20">
        <v>14867</v>
      </c>
      <c r="B854" s="2" t="s">
        <v>166</v>
      </c>
      <c r="C854" s="2" t="s">
        <v>167</v>
      </c>
      <c r="D854" s="20">
        <v>0</v>
      </c>
      <c r="E854" s="2" t="s">
        <v>838</v>
      </c>
      <c r="F854" s="2" t="s">
        <v>811</v>
      </c>
      <c r="G854" s="2" t="s">
        <v>1729</v>
      </c>
      <c r="H854" s="2" t="s">
        <v>1062</v>
      </c>
      <c r="J854" s="26"/>
      <c r="K854" s="36">
        <v>3.6441000000000002E-4</v>
      </c>
      <c r="L854" s="23">
        <v>7.2879999999999993E-5</v>
      </c>
    </row>
    <row r="855" spans="1:12" ht="15.35" hidden="1" x14ac:dyDescent="0.55000000000000004">
      <c r="A855" s="20">
        <v>14864</v>
      </c>
      <c r="B855" s="2" t="s">
        <v>166</v>
      </c>
      <c r="C855" s="2" t="s">
        <v>167</v>
      </c>
      <c r="D855" s="20">
        <v>0</v>
      </c>
      <c r="E855" s="2" t="s">
        <v>838</v>
      </c>
      <c r="F855" s="2" t="s">
        <v>811</v>
      </c>
      <c r="G855" s="2" t="s">
        <v>1730</v>
      </c>
      <c r="H855" s="2" t="s">
        <v>1062</v>
      </c>
      <c r="J855" s="26"/>
      <c r="K855" s="36">
        <v>5.2057999999999998E-4</v>
      </c>
      <c r="L855" s="23">
        <v>1.0412E-4</v>
      </c>
    </row>
    <row r="856" spans="1:12" ht="15.35" hidden="1" x14ac:dyDescent="0.55000000000000004">
      <c r="A856" s="20">
        <v>14881</v>
      </c>
      <c r="B856" s="2" t="s">
        <v>166</v>
      </c>
      <c r="C856" s="2" t="s">
        <v>167</v>
      </c>
      <c r="D856" s="20">
        <v>0</v>
      </c>
      <c r="E856" s="2" t="s">
        <v>838</v>
      </c>
      <c r="F856" s="2" t="s">
        <v>811</v>
      </c>
      <c r="G856" s="2" t="s">
        <v>1731</v>
      </c>
      <c r="H856" s="2" t="s">
        <v>1062</v>
      </c>
      <c r="J856" s="26"/>
      <c r="K856" s="36">
        <v>3.6039999999999998E-4</v>
      </c>
      <c r="L856" s="23">
        <v>7.2080000000000001E-5</v>
      </c>
    </row>
    <row r="857" spans="1:12" ht="15.35" hidden="1" x14ac:dyDescent="0.55000000000000004">
      <c r="A857" s="20">
        <v>15275</v>
      </c>
      <c r="B857" s="2" t="s">
        <v>166</v>
      </c>
      <c r="C857" s="2" t="s">
        <v>167</v>
      </c>
      <c r="D857" s="20">
        <v>0</v>
      </c>
      <c r="E857" s="2" t="s">
        <v>838</v>
      </c>
      <c r="F857" s="2" t="s">
        <v>793</v>
      </c>
      <c r="G857" s="2" t="s">
        <v>1732</v>
      </c>
      <c r="H857" s="2" t="s">
        <v>1155</v>
      </c>
      <c r="J857" s="26"/>
      <c r="K857" s="36">
        <v>9.3305000000000005E-4</v>
      </c>
      <c r="L857" s="23">
        <v>1.8661E-4</v>
      </c>
    </row>
    <row r="858" spans="1:12" ht="15.35" hidden="1" x14ac:dyDescent="0.55000000000000004">
      <c r="A858" s="20">
        <v>15276</v>
      </c>
      <c r="B858" s="2" t="s">
        <v>166</v>
      </c>
      <c r="C858" s="2" t="s">
        <v>167</v>
      </c>
      <c r="D858" s="20">
        <v>0</v>
      </c>
      <c r="E858" s="2" t="s">
        <v>838</v>
      </c>
      <c r="F858" s="2" t="s">
        <v>793</v>
      </c>
      <c r="G858" s="2" t="s">
        <v>1733</v>
      </c>
      <c r="H858" s="2" t="s">
        <v>1155</v>
      </c>
      <c r="J858" s="26"/>
      <c r="K858" s="36">
        <v>1.6417999999999999E-4</v>
      </c>
      <c r="L858" s="23">
        <v>3.2839999999999997E-5</v>
      </c>
    </row>
    <row r="859" spans="1:12" ht="15.35" hidden="1" x14ac:dyDescent="0.55000000000000004">
      <c r="A859" s="20">
        <v>15277</v>
      </c>
      <c r="B859" s="2" t="s">
        <v>166</v>
      </c>
      <c r="C859" s="2" t="s">
        <v>167</v>
      </c>
      <c r="D859" s="20">
        <v>0</v>
      </c>
      <c r="E859" s="2" t="s">
        <v>838</v>
      </c>
      <c r="F859" s="2" t="s">
        <v>793</v>
      </c>
      <c r="G859" s="2" t="s">
        <v>1734</v>
      </c>
      <c r="H859" s="2" t="s">
        <v>1155</v>
      </c>
      <c r="J859" s="26"/>
      <c r="K859" s="36">
        <v>9.6100000000000005E-5</v>
      </c>
      <c r="L859" s="23">
        <v>1.9219999999999999E-5</v>
      </c>
    </row>
    <row r="860" spans="1:12" ht="15.35" hidden="1" x14ac:dyDescent="0.55000000000000004">
      <c r="A860" s="20">
        <v>15274</v>
      </c>
      <c r="B860" s="2" t="s">
        <v>166</v>
      </c>
      <c r="C860" s="2" t="s">
        <v>167</v>
      </c>
      <c r="D860" s="20">
        <v>0</v>
      </c>
      <c r="E860" s="2" t="s">
        <v>838</v>
      </c>
      <c r="F860" s="2" t="s">
        <v>787</v>
      </c>
      <c r="G860" s="2" t="s">
        <v>1735</v>
      </c>
      <c r="H860" s="2" t="s">
        <v>1155</v>
      </c>
      <c r="J860" s="26"/>
      <c r="K860" s="36">
        <v>4.2047500000000002E-3</v>
      </c>
      <c r="L860" s="23">
        <v>8.4095000000000003E-4</v>
      </c>
    </row>
    <row r="861" spans="1:12" ht="15.35" hidden="1" x14ac:dyDescent="0.55000000000000004">
      <c r="A861" s="20">
        <v>15278</v>
      </c>
      <c r="B861" s="2" t="s">
        <v>166</v>
      </c>
      <c r="C861" s="2" t="s">
        <v>167</v>
      </c>
      <c r="D861" s="20">
        <v>0</v>
      </c>
      <c r="E861" s="2" t="s">
        <v>838</v>
      </c>
      <c r="F861" s="2" t="s">
        <v>848</v>
      </c>
      <c r="G861" s="2" t="s">
        <v>1736</v>
      </c>
      <c r="H861" s="2" t="s">
        <v>1158</v>
      </c>
      <c r="J861" s="26"/>
      <c r="K861" s="36">
        <v>4.2047500000000002E-3</v>
      </c>
      <c r="L861" s="23">
        <v>8.4095000000000003E-4</v>
      </c>
    </row>
    <row r="862" spans="1:12" ht="15.35" hidden="1" x14ac:dyDescent="0.55000000000000004">
      <c r="A862" s="20">
        <v>15256</v>
      </c>
      <c r="B862" s="2" t="s">
        <v>166</v>
      </c>
      <c r="C862" s="2" t="s">
        <v>167</v>
      </c>
      <c r="D862" s="20">
        <v>0</v>
      </c>
      <c r="E862" s="2" t="s">
        <v>838</v>
      </c>
      <c r="F862" s="2" t="s">
        <v>848</v>
      </c>
      <c r="G862" s="2" t="s">
        <v>1737</v>
      </c>
      <c r="H862" s="2" t="s">
        <v>1160</v>
      </c>
      <c r="J862" s="26"/>
      <c r="K862" s="36">
        <v>3.2036199999999999E-3</v>
      </c>
      <c r="L862" s="23">
        <v>6.4072E-4</v>
      </c>
    </row>
    <row r="863" spans="1:12" ht="15.35" hidden="1" x14ac:dyDescent="0.55000000000000004">
      <c r="A863" s="20">
        <v>15324</v>
      </c>
      <c r="B863" s="2" t="s">
        <v>166</v>
      </c>
      <c r="C863" s="2" t="s">
        <v>167</v>
      </c>
      <c r="D863" s="20">
        <v>0</v>
      </c>
      <c r="E863" s="2" t="s">
        <v>838</v>
      </c>
      <c r="F863" s="2" t="s">
        <v>848</v>
      </c>
      <c r="G863" s="2" t="s">
        <v>1738</v>
      </c>
      <c r="H863" s="2" t="s">
        <v>1739</v>
      </c>
      <c r="J863" s="26"/>
      <c r="K863" s="36">
        <v>4.2047500000000002E-3</v>
      </c>
      <c r="L863" s="23">
        <v>8.4095000000000003E-4</v>
      </c>
    </row>
    <row r="864" spans="1:12" ht="15.35" hidden="1" x14ac:dyDescent="0.55000000000000004">
      <c r="A864" s="20">
        <v>15397</v>
      </c>
      <c r="B864" s="2" t="s">
        <v>166</v>
      </c>
      <c r="C864" s="2" t="s">
        <v>167</v>
      </c>
      <c r="D864" s="20">
        <v>0</v>
      </c>
      <c r="E864" s="2" t="s">
        <v>838</v>
      </c>
      <c r="F864" s="2" t="s">
        <v>811</v>
      </c>
      <c r="G864" s="2" t="s">
        <v>1740</v>
      </c>
      <c r="H864" s="2" t="s">
        <v>1741</v>
      </c>
      <c r="J864" s="26"/>
      <c r="K864" s="36">
        <v>5.9267E-4</v>
      </c>
      <c r="L864" s="23">
        <v>1.1853000000000001E-4</v>
      </c>
    </row>
    <row r="865" spans="1:12" ht="15.35" hidden="1" x14ac:dyDescent="0.55000000000000004">
      <c r="A865" s="20">
        <v>15344</v>
      </c>
      <c r="B865" s="2" t="s">
        <v>166</v>
      </c>
      <c r="C865" s="2" t="s">
        <v>167</v>
      </c>
      <c r="D865" s="20">
        <v>0</v>
      </c>
      <c r="E865" s="2" t="s">
        <v>838</v>
      </c>
      <c r="F865" s="2" t="s">
        <v>793</v>
      </c>
      <c r="G865" s="2" t="s">
        <v>1742</v>
      </c>
      <c r="H865" s="2" t="s">
        <v>1161</v>
      </c>
      <c r="J865" s="26"/>
      <c r="K865" s="36">
        <v>1.0812E-4</v>
      </c>
      <c r="L865" s="23">
        <v>2.162E-5</v>
      </c>
    </row>
    <row r="866" spans="1:12" ht="15.35" hidden="1" x14ac:dyDescent="0.55000000000000004">
      <c r="A866" s="20">
        <v>15395</v>
      </c>
      <c r="B866" s="2" t="s">
        <v>166</v>
      </c>
      <c r="C866" s="2" t="s">
        <v>167</v>
      </c>
      <c r="D866" s="20">
        <v>0</v>
      </c>
      <c r="E866" s="2" t="s">
        <v>838</v>
      </c>
      <c r="F866" s="2" t="s">
        <v>817</v>
      </c>
      <c r="G866" s="2" t="s">
        <v>1743</v>
      </c>
      <c r="H866" s="2" t="s">
        <v>1163</v>
      </c>
      <c r="J866" s="26"/>
      <c r="K866" s="36">
        <v>4.1647100000000003E-3</v>
      </c>
      <c r="L866" s="23">
        <v>8.3294E-4</v>
      </c>
    </row>
    <row r="867" spans="1:12" ht="15.35" hidden="1" x14ac:dyDescent="0.55000000000000004">
      <c r="A867" s="20">
        <v>15394</v>
      </c>
      <c r="B867" s="2" t="s">
        <v>166</v>
      </c>
      <c r="C867" s="2" t="s">
        <v>167</v>
      </c>
      <c r="D867" s="20">
        <v>0</v>
      </c>
      <c r="E867" s="2" t="s">
        <v>838</v>
      </c>
      <c r="F867" s="2" t="s">
        <v>848</v>
      </c>
      <c r="G867" s="2" t="s">
        <v>1744</v>
      </c>
      <c r="H867" s="2" t="s">
        <v>1164</v>
      </c>
      <c r="J867" s="26"/>
      <c r="K867" s="36">
        <v>4.2047500000000002E-3</v>
      </c>
      <c r="L867" s="23">
        <v>8.4095000000000003E-4</v>
      </c>
    </row>
    <row r="868" spans="1:12" ht="15.35" hidden="1" x14ac:dyDescent="0.55000000000000004">
      <c r="A868" s="20">
        <v>14905</v>
      </c>
      <c r="B868" s="2" t="s">
        <v>166</v>
      </c>
      <c r="C868" s="2" t="s">
        <v>167</v>
      </c>
      <c r="D868" s="20">
        <v>0</v>
      </c>
      <c r="E868" s="2" t="s">
        <v>838</v>
      </c>
      <c r="F868" s="2" t="s">
        <v>789</v>
      </c>
      <c r="G868" s="2" t="s">
        <v>1745</v>
      </c>
      <c r="H868" s="2" t="s">
        <v>1746</v>
      </c>
      <c r="J868" s="26"/>
      <c r="K868" s="36">
        <v>9.4906999999999999E-4</v>
      </c>
      <c r="L868" s="23">
        <v>1.8981E-4</v>
      </c>
    </row>
    <row r="869" spans="1:12" ht="15.35" hidden="1" x14ac:dyDescent="0.55000000000000004">
      <c r="A869" s="20">
        <v>15308</v>
      </c>
      <c r="B869" s="2" t="s">
        <v>166</v>
      </c>
      <c r="C869" s="2" t="s">
        <v>167</v>
      </c>
      <c r="D869" s="20">
        <v>0</v>
      </c>
      <c r="E869" s="2" t="s">
        <v>838</v>
      </c>
      <c r="F869" s="2" t="s">
        <v>793</v>
      </c>
      <c r="G869" s="2" t="s">
        <v>1747</v>
      </c>
      <c r="H869" s="2" t="s">
        <v>1166</v>
      </c>
      <c r="J869" s="26"/>
      <c r="K869" s="36">
        <v>1.1613E-4</v>
      </c>
      <c r="L869" s="23">
        <v>2.323E-5</v>
      </c>
    </row>
    <row r="870" spans="1:12" ht="15.35" hidden="1" x14ac:dyDescent="0.55000000000000004">
      <c r="A870" s="20">
        <v>15309</v>
      </c>
      <c r="B870" s="2" t="s">
        <v>166</v>
      </c>
      <c r="C870" s="2" t="s">
        <v>167</v>
      </c>
      <c r="D870" s="20">
        <v>0</v>
      </c>
      <c r="E870" s="2" t="s">
        <v>838</v>
      </c>
      <c r="F870" s="2" t="s">
        <v>793</v>
      </c>
      <c r="G870" s="2" t="s">
        <v>1748</v>
      </c>
      <c r="H870" s="2" t="s">
        <v>1166</v>
      </c>
      <c r="J870" s="26"/>
      <c r="K870" s="36">
        <v>2.8352E-3</v>
      </c>
      <c r="L870" s="23">
        <v>5.6703999999999999E-4</v>
      </c>
    </row>
    <row r="871" spans="1:12" ht="15.35" hidden="1" x14ac:dyDescent="0.55000000000000004">
      <c r="A871" s="20">
        <v>15307</v>
      </c>
      <c r="B871" s="2" t="s">
        <v>166</v>
      </c>
      <c r="C871" s="2" t="s">
        <v>167</v>
      </c>
      <c r="D871" s="20">
        <v>0</v>
      </c>
      <c r="E871" s="2" t="s">
        <v>838</v>
      </c>
      <c r="F871" s="2" t="s">
        <v>793</v>
      </c>
      <c r="G871" s="2" t="s">
        <v>1749</v>
      </c>
      <c r="H871" s="2" t="s">
        <v>1166</v>
      </c>
      <c r="J871" s="26"/>
      <c r="K871" s="36">
        <v>1.18133E-3</v>
      </c>
      <c r="L871" s="23">
        <v>2.3627000000000001E-4</v>
      </c>
    </row>
    <row r="872" spans="1:12" ht="15.35" hidden="1" x14ac:dyDescent="0.55000000000000004">
      <c r="A872" s="20">
        <v>15386</v>
      </c>
      <c r="B872" s="2" t="s">
        <v>166</v>
      </c>
      <c r="C872" s="2" t="s">
        <v>167</v>
      </c>
      <c r="D872" s="20">
        <v>0</v>
      </c>
      <c r="E872" s="2" t="s">
        <v>838</v>
      </c>
      <c r="F872" s="2" t="s">
        <v>848</v>
      </c>
      <c r="G872" s="2" t="s">
        <v>1750</v>
      </c>
      <c r="H872" s="2" t="s">
        <v>1171</v>
      </c>
      <c r="J872" s="26"/>
      <c r="K872" s="36">
        <v>4.0045300000000001E-3</v>
      </c>
      <c r="L872" s="23">
        <v>8.0090999999999995E-4</v>
      </c>
    </row>
    <row r="873" spans="1:12" ht="15.35" hidden="1" x14ac:dyDescent="0.55000000000000004">
      <c r="A873" s="20">
        <v>15270</v>
      </c>
      <c r="B873" s="2" t="s">
        <v>166</v>
      </c>
      <c r="C873" s="2" t="s">
        <v>167</v>
      </c>
      <c r="D873" s="20">
        <v>0</v>
      </c>
      <c r="E873" s="2" t="s">
        <v>838</v>
      </c>
      <c r="F873" s="2" t="s">
        <v>848</v>
      </c>
      <c r="G873" s="2" t="s">
        <v>1172</v>
      </c>
      <c r="H873" s="2" t="s">
        <v>1172</v>
      </c>
      <c r="J873" s="26"/>
      <c r="K873" s="36">
        <v>9.2104000000000003E-4</v>
      </c>
      <c r="L873" s="23">
        <v>1.8421E-4</v>
      </c>
    </row>
    <row r="874" spans="1:12" ht="15.35" hidden="1" x14ac:dyDescent="0.55000000000000004">
      <c r="A874" s="20">
        <v>14990</v>
      </c>
      <c r="B874" s="2" t="s">
        <v>166</v>
      </c>
      <c r="C874" s="2" t="s">
        <v>167</v>
      </c>
      <c r="D874" s="20">
        <v>0</v>
      </c>
      <c r="E874" s="2" t="s">
        <v>838</v>
      </c>
      <c r="F874" s="2" t="s">
        <v>811</v>
      </c>
      <c r="G874" s="2" t="s">
        <v>1751</v>
      </c>
      <c r="H874" s="2" t="s">
        <v>1752</v>
      </c>
      <c r="J874" s="26"/>
      <c r="K874" s="36">
        <v>1.13328E-3</v>
      </c>
      <c r="L874" s="23">
        <v>2.2666E-4</v>
      </c>
    </row>
    <row r="875" spans="1:12" ht="15.35" hidden="1" x14ac:dyDescent="0.55000000000000004">
      <c r="A875" s="20">
        <v>14992</v>
      </c>
      <c r="B875" s="2" t="s">
        <v>166</v>
      </c>
      <c r="C875" s="2" t="s">
        <v>167</v>
      </c>
      <c r="D875" s="20">
        <v>0</v>
      </c>
      <c r="E875" s="2" t="s">
        <v>838</v>
      </c>
      <c r="F875" s="2" t="s">
        <v>811</v>
      </c>
      <c r="G875" s="2" t="s">
        <v>1753</v>
      </c>
      <c r="H875" s="2" t="s">
        <v>1752</v>
      </c>
      <c r="J875" s="26"/>
      <c r="K875" s="36">
        <v>8.3693999999999999E-4</v>
      </c>
      <c r="L875" s="23">
        <v>1.6739000000000001E-4</v>
      </c>
    </row>
    <row r="876" spans="1:12" ht="15.35" hidden="1" x14ac:dyDescent="0.55000000000000004">
      <c r="A876" s="20">
        <v>14997</v>
      </c>
      <c r="B876" s="2" t="s">
        <v>166</v>
      </c>
      <c r="C876" s="2" t="s">
        <v>167</v>
      </c>
      <c r="D876" s="20">
        <v>0</v>
      </c>
      <c r="E876" s="2" t="s">
        <v>838</v>
      </c>
      <c r="F876" s="2" t="s">
        <v>811</v>
      </c>
      <c r="G876" s="2" t="s">
        <v>1754</v>
      </c>
      <c r="H876" s="2" t="s">
        <v>1752</v>
      </c>
      <c r="J876" s="26"/>
      <c r="K876" s="36">
        <v>9.4906999999999999E-4</v>
      </c>
      <c r="L876" s="23">
        <v>1.8981E-4</v>
      </c>
    </row>
    <row r="877" spans="1:12" ht="15.35" hidden="1" x14ac:dyDescent="0.55000000000000004">
      <c r="A877" s="20">
        <v>15003</v>
      </c>
      <c r="B877" s="2" t="s">
        <v>166</v>
      </c>
      <c r="C877" s="2" t="s">
        <v>167</v>
      </c>
      <c r="D877" s="20">
        <v>0</v>
      </c>
      <c r="E877" s="2" t="s">
        <v>838</v>
      </c>
      <c r="F877" s="2" t="s">
        <v>811</v>
      </c>
      <c r="G877" s="2" t="s">
        <v>1755</v>
      </c>
      <c r="H877" s="2" t="s">
        <v>1752</v>
      </c>
      <c r="J877" s="26"/>
      <c r="K877" s="36">
        <v>3.8443E-4</v>
      </c>
      <c r="L877" s="23">
        <v>7.6890000000000004E-5</v>
      </c>
    </row>
    <row r="878" spans="1:12" ht="15.35" hidden="1" x14ac:dyDescent="0.55000000000000004">
      <c r="A878" s="20">
        <v>15004</v>
      </c>
      <c r="B878" s="2" t="s">
        <v>166</v>
      </c>
      <c r="C878" s="2" t="s">
        <v>167</v>
      </c>
      <c r="D878" s="20">
        <v>0</v>
      </c>
      <c r="E878" s="2" t="s">
        <v>838</v>
      </c>
      <c r="F878" s="2" t="s">
        <v>811</v>
      </c>
      <c r="G878" s="2" t="s">
        <v>1756</v>
      </c>
      <c r="H878" s="2" t="s">
        <v>1752</v>
      </c>
      <c r="J878" s="26"/>
      <c r="K878" s="36">
        <v>6.4072E-4</v>
      </c>
      <c r="L878" s="23">
        <v>1.2814E-4</v>
      </c>
    </row>
    <row r="879" spans="1:12" ht="15.35" hidden="1" x14ac:dyDescent="0.55000000000000004">
      <c r="A879" s="20">
        <v>14996</v>
      </c>
      <c r="B879" s="2" t="s">
        <v>166</v>
      </c>
      <c r="C879" s="2" t="s">
        <v>167</v>
      </c>
      <c r="D879" s="20">
        <v>0</v>
      </c>
      <c r="E879" s="2" t="s">
        <v>838</v>
      </c>
      <c r="F879" s="2" t="s">
        <v>811</v>
      </c>
      <c r="G879" s="2" t="s">
        <v>1757</v>
      </c>
      <c r="H879" s="2" t="s">
        <v>1752</v>
      </c>
      <c r="J879" s="26"/>
      <c r="K879" s="36">
        <v>9.0501999999999998E-4</v>
      </c>
      <c r="L879" s="23">
        <v>1.8100000000000001E-4</v>
      </c>
    </row>
    <row r="880" spans="1:12" ht="15.35" hidden="1" x14ac:dyDescent="0.55000000000000004">
      <c r="A880" s="20">
        <v>15005</v>
      </c>
      <c r="B880" s="2" t="s">
        <v>166</v>
      </c>
      <c r="C880" s="2" t="s">
        <v>167</v>
      </c>
      <c r="D880" s="20">
        <v>0</v>
      </c>
      <c r="E880" s="2" t="s">
        <v>838</v>
      </c>
      <c r="F880" s="2" t="s">
        <v>811</v>
      </c>
      <c r="G880" s="2" t="s">
        <v>1758</v>
      </c>
      <c r="H880" s="2" t="s">
        <v>1752</v>
      </c>
      <c r="J880" s="26"/>
      <c r="K880" s="36">
        <v>3.0434E-4</v>
      </c>
      <c r="L880" s="23">
        <v>6.0869999999999998E-5</v>
      </c>
    </row>
    <row r="881" spans="1:12" ht="15.35" hidden="1" x14ac:dyDescent="0.55000000000000004">
      <c r="A881" s="20">
        <v>14995</v>
      </c>
      <c r="B881" s="2" t="s">
        <v>166</v>
      </c>
      <c r="C881" s="2" t="s">
        <v>167</v>
      </c>
      <c r="D881" s="20">
        <v>0</v>
      </c>
      <c r="E881" s="2" t="s">
        <v>838</v>
      </c>
      <c r="F881" s="2" t="s">
        <v>811</v>
      </c>
      <c r="G881" s="2" t="s">
        <v>1759</v>
      </c>
      <c r="H881" s="2" t="s">
        <v>1752</v>
      </c>
      <c r="J881" s="26"/>
      <c r="K881" s="36">
        <v>9.3705999999999998E-4</v>
      </c>
      <c r="L881" s="23">
        <v>1.8741E-4</v>
      </c>
    </row>
    <row r="882" spans="1:12" ht="15.35" hidden="1" x14ac:dyDescent="0.55000000000000004">
      <c r="A882" s="20">
        <v>15002</v>
      </c>
      <c r="B882" s="2" t="s">
        <v>166</v>
      </c>
      <c r="C882" s="2" t="s">
        <v>167</v>
      </c>
      <c r="D882" s="20">
        <v>0</v>
      </c>
      <c r="E882" s="2" t="s">
        <v>838</v>
      </c>
      <c r="F882" s="2" t="s">
        <v>811</v>
      </c>
      <c r="G882" s="2" t="s">
        <v>1760</v>
      </c>
      <c r="H882" s="2" t="s">
        <v>1752</v>
      </c>
      <c r="J882" s="26"/>
      <c r="K882" s="36">
        <v>7.9288999999999998E-4</v>
      </c>
      <c r="L882" s="23">
        <v>1.5857999999999999E-4</v>
      </c>
    </row>
    <row r="883" spans="1:12" ht="15.35" hidden="1" x14ac:dyDescent="0.55000000000000004">
      <c r="A883" s="20">
        <v>14991</v>
      </c>
      <c r="B883" s="2" t="s">
        <v>166</v>
      </c>
      <c r="C883" s="2" t="s">
        <v>167</v>
      </c>
      <c r="D883" s="20">
        <v>0</v>
      </c>
      <c r="E883" s="2" t="s">
        <v>838</v>
      </c>
      <c r="F883" s="2" t="s">
        <v>811</v>
      </c>
      <c r="G883" s="2" t="s">
        <v>1761</v>
      </c>
      <c r="H883" s="2" t="s">
        <v>1752</v>
      </c>
      <c r="J883" s="26"/>
      <c r="K883" s="36">
        <v>3.2276499999999999E-3</v>
      </c>
      <c r="L883" s="23">
        <v>6.4552999999999995E-4</v>
      </c>
    </row>
    <row r="884" spans="1:12" ht="15.35" hidden="1" x14ac:dyDescent="0.55000000000000004">
      <c r="A884" s="20">
        <v>14994</v>
      </c>
      <c r="B884" s="2" t="s">
        <v>166</v>
      </c>
      <c r="C884" s="2" t="s">
        <v>167</v>
      </c>
      <c r="D884" s="20">
        <v>0</v>
      </c>
      <c r="E884" s="2" t="s">
        <v>838</v>
      </c>
      <c r="F884" s="2" t="s">
        <v>811</v>
      </c>
      <c r="G884" s="2" t="s">
        <v>1762</v>
      </c>
      <c r="H884" s="2" t="s">
        <v>1752</v>
      </c>
      <c r="J884" s="26"/>
      <c r="K884" s="36">
        <v>1.3254899999999999E-3</v>
      </c>
      <c r="L884" s="23">
        <v>2.6509999999999999E-4</v>
      </c>
    </row>
    <row r="885" spans="1:12" ht="15.35" hidden="1" x14ac:dyDescent="0.55000000000000004">
      <c r="A885" s="20">
        <v>14989</v>
      </c>
      <c r="B885" s="2" t="s">
        <v>166</v>
      </c>
      <c r="C885" s="2" t="s">
        <v>167</v>
      </c>
      <c r="D885" s="20">
        <v>0</v>
      </c>
      <c r="E885" s="2" t="s">
        <v>838</v>
      </c>
      <c r="F885" s="2" t="s">
        <v>811</v>
      </c>
      <c r="G885" s="2" t="s">
        <v>1763</v>
      </c>
      <c r="H885" s="2" t="s">
        <v>1752</v>
      </c>
      <c r="J885" s="26"/>
      <c r="K885" s="36">
        <v>4.1647100000000003E-3</v>
      </c>
      <c r="L885" s="23">
        <v>8.3294E-4</v>
      </c>
    </row>
    <row r="886" spans="1:12" ht="15.35" hidden="1" x14ac:dyDescent="0.55000000000000004">
      <c r="A886" s="20">
        <v>15000</v>
      </c>
      <c r="B886" s="2" t="s">
        <v>166</v>
      </c>
      <c r="C886" s="2" t="s">
        <v>167</v>
      </c>
      <c r="D886" s="20">
        <v>0</v>
      </c>
      <c r="E886" s="2" t="s">
        <v>838</v>
      </c>
      <c r="F886" s="2" t="s">
        <v>811</v>
      </c>
      <c r="G886" s="2" t="s">
        <v>1764</v>
      </c>
      <c r="H886" s="2" t="s">
        <v>1752</v>
      </c>
      <c r="J886" s="26"/>
      <c r="K886" s="36">
        <v>9.2104000000000003E-4</v>
      </c>
      <c r="L886" s="23">
        <v>1.8421E-4</v>
      </c>
    </row>
    <row r="887" spans="1:12" ht="15.35" hidden="1" x14ac:dyDescent="0.55000000000000004">
      <c r="A887" s="20">
        <v>14998</v>
      </c>
      <c r="B887" s="2" t="s">
        <v>166</v>
      </c>
      <c r="C887" s="2" t="s">
        <v>167</v>
      </c>
      <c r="D887" s="20">
        <v>0</v>
      </c>
      <c r="E887" s="2" t="s">
        <v>838</v>
      </c>
      <c r="F887" s="2" t="s">
        <v>811</v>
      </c>
      <c r="G887" s="2" t="s">
        <v>1765</v>
      </c>
      <c r="H887" s="2" t="s">
        <v>1752</v>
      </c>
      <c r="J887" s="26"/>
      <c r="K887" s="36">
        <v>5.5661999999999997E-4</v>
      </c>
      <c r="L887" s="23">
        <v>1.1132E-4</v>
      </c>
    </row>
    <row r="888" spans="1:12" ht="15.35" hidden="1" x14ac:dyDescent="0.55000000000000004">
      <c r="A888" s="20">
        <v>14988</v>
      </c>
      <c r="B888" s="2" t="s">
        <v>166</v>
      </c>
      <c r="C888" s="2" t="s">
        <v>167</v>
      </c>
      <c r="D888" s="20">
        <v>0</v>
      </c>
      <c r="E888" s="2" t="s">
        <v>838</v>
      </c>
      <c r="F888" s="2" t="s">
        <v>811</v>
      </c>
      <c r="G888" s="2" t="s">
        <v>1766</v>
      </c>
      <c r="H888" s="2" t="s">
        <v>1752</v>
      </c>
      <c r="J888" s="26"/>
      <c r="K888" s="36">
        <v>1.77801E-3</v>
      </c>
      <c r="L888" s="23">
        <v>3.5560000000000002E-4</v>
      </c>
    </row>
    <row r="889" spans="1:12" ht="15.35" hidden="1" x14ac:dyDescent="0.55000000000000004">
      <c r="A889" s="20">
        <v>14993</v>
      </c>
      <c r="B889" s="2" t="s">
        <v>166</v>
      </c>
      <c r="C889" s="2" t="s">
        <v>167</v>
      </c>
      <c r="D889" s="20">
        <v>0</v>
      </c>
      <c r="E889" s="2" t="s">
        <v>838</v>
      </c>
      <c r="F889" s="2" t="s">
        <v>811</v>
      </c>
      <c r="G889" s="2" t="s">
        <v>1767</v>
      </c>
      <c r="H889" s="2" t="s">
        <v>1752</v>
      </c>
      <c r="J889" s="26"/>
      <c r="K889" s="36">
        <v>2.24654E-3</v>
      </c>
      <c r="L889" s="23">
        <v>4.4931000000000002E-4</v>
      </c>
    </row>
    <row r="890" spans="1:12" ht="15.35" hidden="1" x14ac:dyDescent="0.55000000000000004">
      <c r="A890" s="20">
        <v>14987</v>
      </c>
      <c r="B890" s="2" t="s">
        <v>166</v>
      </c>
      <c r="C890" s="2" t="s">
        <v>167</v>
      </c>
      <c r="D890" s="20">
        <v>0</v>
      </c>
      <c r="E890" s="2" t="s">
        <v>838</v>
      </c>
      <c r="F890" s="2" t="s">
        <v>811</v>
      </c>
      <c r="G890" s="2" t="s">
        <v>1768</v>
      </c>
      <c r="H890" s="2" t="s">
        <v>1752</v>
      </c>
      <c r="J890" s="26"/>
      <c r="K890" s="36">
        <v>3.9925100000000003E-3</v>
      </c>
      <c r="L890" s="23">
        <v>7.9849999999999995E-4</v>
      </c>
    </row>
    <row r="891" spans="1:12" ht="15.35" hidden="1" x14ac:dyDescent="0.55000000000000004">
      <c r="A891" s="20">
        <v>14999</v>
      </c>
      <c r="B891" s="2" t="s">
        <v>166</v>
      </c>
      <c r="C891" s="2" t="s">
        <v>167</v>
      </c>
      <c r="D891" s="20">
        <v>0</v>
      </c>
      <c r="E891" s="2" t="s">
        <v>838</v>
      </c>
      <c r="F891" s="2" t="s">
        <v>811</v>
      </c>
      <c r="G891" s="2" t="s">
        <v>1769</v>
      </c>
      <c r="H891" s="2" t="s">
        <v>1752</v>
      </c>
      <c r="J891" s="26"/>
      <c r="K891" s="36">
        <v>6.4072E-4</v>
      </c>
      <c r="L891" s="23">
        <v>1.2814E-4</v>
      </c>
    </row>
    <row r="892" spans="1:12" ht="15.35" hidden="1" x14ac:dyDescent="0.55000000000000004">
      <c r="A892" s="20">
        <v>15001</v>
      </c>
      <c r="B892" s="2" t="s">
        <v>166</v>
      </c>
      <c r="C892" s="2" t="s">
        <v>167</v>
      </c>
      <c r="D892" s="20">
        <v>0</v>
      </c>
      <c r="E892" s="2" t="s">
        <v>838</v>
      </c>
      <c r="F892" s="2" t="s">
        <v>811</v>
      </c>
      <c r="G892" s="2" t="s">
        <v>1770</v>
      </c>
      <c r="H892" s="2" t="s">
        <v>1752</v>
      </c>
      <c r="J892" s="26"/>
      <c r="K892" s="36">
        <v>8.1291000000000002E-4</v>
      </c>
      <c r="L892" s="23">
        <v>1.6258000000000001E-4</v>
      </c>
    </row>
    <row r="893" spans="1:12" ht="15.35" hidden="1" x14ac:dyDescent="0.55000000000000004">
      <c r="A893" s="20">
        <v>15006</v>
      </c>
      <c r="B893" s="2" t="s">
        <v>166</v>
      </c>
      <c r="C893" s="2" t="s">
        <v>167</v>
      </c>
      <c r="D893" s="20">
        <v>0</v>
      </c>
      <c r="E893" s="2" t="s">
        <v>838</v>
      </c>
      <c r="F893" s="2" t="s">
        <v>811</v>
      </c>
      <c r="G893" s="2" t="s">
        <v>1771</v>
      </c>
      <c r="H893" s="2" t="s">
        <v>1752</v>
      </c>
      <c r="J893" s="26"/>
      <c r="K893" s="36">
        <v>1.0411699999999999E-3</v>
      </c>
      <c r="L893" s="23">
        <v>2.0823E-4</v>
      </c>
    </row>
    <row r="894" spans="1:12" ht="15.35" hidden="1" x14ac:dyDescent="0.55000000000000004">
      <c r="A894" s="20">
        <v>15350</v>
      </c>
      <c r="B894" s="2" t="s">
        <v>166</v>
      </c>
      <c r="C894" s="2" t="s">
        <v>167</v>
      </c>
      <c r="D894" s="20">
        <v>0</v>
      </c>
      <c r="E894" s="2" t="s">
        <v>838</v>
      </c>
      <c r="F894" s="2" t="s">
        <v>811</v>
      </c>
      <c r="G894" s="2" t="s">
        <v>1772</v>
      </c>
      <c r="H894" s="2" t="s">
        <v>1773</v>
      </c>
      <c r="J894" s="26"/>
      <c r="K894" s="36">
        <v>8.0090000000000001E-4</v>
      </c>
      <c r="L894" s="23">
        <v>1.6018E-4</v>
      </c>
    </row>
    <row r="895" spans="1:12" ht="15.35" hidden="1" x14ac:dyDescent="0.55000000000000004">
      <c r="A895" s="20">
        <v>15349</v>
      </c>
      <c r="B895" s="2" t="s">
        <v>166</v>
      </c>
      <c r="C895" s="2" t="s">
        <v>167</v>
      </c>
      <c r="D895" s="20">
        <v>0</v>
      </c>
      <c r="E895" s="2" t="s">
        <v>838</v>
      </c>
      <c r="F895" s="2" t="s">
        <v>811</v>
      </c>
      <c r="G895" s="2" t="s">
        <v>1774</v>
      </c>
      <c r="H895" s="2" t="s">
        <v>1773</v>
      </c>
      <c r="J895" s="26"/>
      <c r="K895" s="36">
        <v>4.0045E-4</v>
      </c>
      <c r="L895" s="23">
        <v>8.0090000000000001E-5</v>
      </c>
    </row>
    <row r="896" spans="1:12" ht="15.35" hidden="1" x14ac:dyDescent="0.55000000000000004">
      <c r="A896" s="20">
        <v>15351</v>
      </c>
      <c r="B896" s="2" t="s">
        <v>166</v>
      </c>
      <c r="C896" s="2" t="s">
        <v>167</v>
      </c>
      <c r="D896" s="20">
        <v>0</v>
      </c>
      <c r="E896" s="2" t="s">
        <v>838</v>
      </c>
      <c r="F896" s="2" t="s">
        <v>811</v>
      </c>
      <c r="G896" s="2" t="s">
        <v>1775</v>
      </c>
      <c r="H896" s="2" t="s">
        <v>1773</v>
      </c>
      <c r="J896" s="26"/>
      <c r="K896" s="36">
        <v>8.0090000000000001E-4</v>
      </c>
      <c r="L896" s="23">
        <v>1.6018E-4</v>
      </c>
    </row>
    <row r="897" spans="1:12" ht="15.35" hidden="1" x14ac:dyDescent="0.55000000000000004">
      <c r="A897" s="20">
        <v>15348</v>
      </c>
      <c r="B897" s="2" t="s">
        <v>166</v>
      </c>
      <c r="C897" s="2" t="s">
        <v>167</v>
      </c>
      <c r="D897" s="20">
        <v>0</v>
      </c>
      <c r="E897" s="2" t="s">
        <v>838</v>
      </c>
      <c r="F897" s="2" t="s">
        <v>811</v>
      </c>
      <c r="G897" s="2" t="s">
        <v>1776</v>
      </c>
      <c r="H897" s="2" t="s">
        <v>1773</v>
      </c>
      <c r="J897" s="26"/>
      <c r="K897" s="36">
        <v>4.0045E-4</v>
      </c>
      <c r="L897" s="23">
        <v>8.0090000000000001E-5</v>
      </c>
    </row>
    <row r="898" spans="1:12" ht="15.35" hidden="1" x14ac:dyDescent="0.55000000000000004">
      <c r="A898" s="20">
        <v>15282</v>
      </c>
      <c r="B898" s="2" t="s">
        <v>166</v>
      </c>
      <c r="C898" s="2" t="s">
        <v>167</v>
      </c>
      <c r="D898" s="20">
        <v>0</v>
      </c>
      <c r="E898" s="2" t="s">
        <v>838</v>
      </c>
      <c r="F898" s="2" t="s">
        <v>811</v>
      </c>
      <c r="G898" s="2" t="s">
        <v>1777</v>
      </c>
      <c r="H898" s="2" t="s">
        <v>1778</v>
      </c>
      <c r="J898" s="26"/>
      <c r="K898" s="36">
        <v>4.2047500000000002E-3</v>
      </c>
      <c r="L898" s="23">
        <v>8.4095000000000003E-4</v>
      </c>
    </row>
    <row r="899" spans="1:12" ht="15.35" hidden="1" x14ac:dyDescent="0.55000000000000004">
      <c r="A899" s="20">
        <v>15280</v>
      </c>
      <c r="B899" s="2" t="s">
        <v>166</v>
      </c>
      <c r="C899" s="2" t="s">
        <v>167</v>
      </c>
      <c r="D899" s="20">
        <v>0</v>
      </c>
      <c r="E899" s="2" t="s">
        <v>838</v>
      </c>
      <c r="F899" s="2" t="s">
        <v>811</v>
      </c>
      <c r="G899" s="2" t="s">
        <v>1779</v>
      </c>
      <c r="H899" s="2" t="s">
        <v>1778</v>
      </c>
      <c r="J899" s="26"/>
      <c r="K899" s="36">
        <v>4.2047500000000002E-3</v>
      </c>
      <c r="L899" s="23">
        <v>8.4095000000000003E-4</v>
      </c>
    </row>
    <row r="900" spans="1:12" ht="15.35" hidden="1" x14ac:dyDescent="0.55000000000000004">
      <c r="A900" s="20">
        <v>15281</v>
      </c>
      <c r="B900" s="2" t="s">
        <v>166</v>
      </c>
      <c r="C900" s="2" t="s">
        <v>167</v>
      </c>
      <c r="D900" s="20">
        <v>0</v>
      </c>
      <c r="E900" s="2" t="s">
        <v>838</v>
      </c>
      <c r="F900" s="2" t="s">
        <v>811</v>
      </c>
      <c r="G900" s="2" t="s">
        <v>1780</v>
      </c>
      <c r="H900" s="2" t="s">
        <v>1778</v>
      </c>
      <c r="J900" s="26"/>
      <c r="K900" s="36">
        <v>4.2047500000000002E-3</v>
      </c>
      <c r="L900" s="23">
        <v>8.4095000000000003E-4</v>
      </c>
    </row>
    <row r="901" spans="1:12" ht="15.35" hidden="1" x14ac:dyDescent="0.55000000000000004">
      <c r="A901" s="20">
        <v>15284</v>
      </c>
      <c r="B901" s="2" t="s">
        <v>166</v>
      </c>
      <c r="C901" s="2" t="s">
        <v>167</v>
      </c>
      <c r="D901" s="20">
        <v>0</v>
      </c>
      <c r="E901" s="2" t="s">
        <v>838</v>
      </c>
      <c r="F901" s="2" t="s">
        <v>811</v>
      </c>
      <c r="G901" s="2" t="s">
        <v>1781</v>
      </c>
      <c r="H901" s="2" t="s">
        <v>1778</v>
      </c>
      <c r="J901" s="26"/>
      <c r="K901" s="36">
        <v>2.3625999999999999E-4</v>
      </c>
      <c r="L901" s="23">
        <v>4.7250000000000003E-5</v>
      </c>
    </row>
    <row r="902" spans="1:12" ht="15.35" hidden="1" x14ac:dyDescent="0.55000000000000004">
      <c r="A902" s="20">
        <v>15283</v>
      </c>
      <c r="B902" s="2" t="s">
        <v>166</v>
      </c>
      <c r="C902" s="2" t="s">
        <v>167</v>
      </c>
      <c r="D902" s="20">
        <v>0</v>
      </c>
      <c r="E902" s="2" t="s">
        <v>838</v>
      </c>
      <c r="F902" s="2" t="s">
        <v>811</v>
      </c>
      <c r="G902" s="2" t="s">
        <v>1782</v>
      </c>
      <c r="H902" s="2" t="s">
        <v>1778</v>
      </c>
      <c r="J902" s="26"/>
      <c r="K902" s="36">
        <v>1.1613E-4</v>
      </c>
      <c r="L902" s="23">
        <v>2.323E-5</v>
      </c>
    </row>
    <row r="903" spans="1:12" ht="15.35" hidden="1" x14ac:dyDescent="0.55000000000000004">
      <c r="A903" s="20">
        <v>15161</v>
      </c>
      <c r="B903" s="2" t="s">
        <v>166</v>
      </c>
      <c r="C903" s="2" t="s">
        <v>167</v>
      </c>
      <c r="D903" s="20">
        <v>0</v>
      </c>
      <c r="E903" s="2" t="s">
        <v>838</v>
      </c>
      <c r="F903" s="2" t="s">
        <v>789</v>
      </c>
      <c r="G903" s="2" t="s">
        <v>1783</v>
      </c>
      <c r="H903" s="2" t="s">
        <v>1784</v>
      </c>
      <c r="J903" s="26"/>
      <c r="K903" s="36">
        <v>4.2047500000000002E-3</v>
      </c>
      <c r="L903" s="23">
        <v>8.4095000000000003E-4</v>
      </c>
    </row>
    <row r="904" spans="1:12" ht="15.35" hidden="1" x14ac:dyDescent="0.55000000000000004">
      <c r="A904" s="20">
        <v>15158</v>
      </c>
      <c r="B904" s="2" t="s">
        <v>166</v>
      </c>
      <c r="C904" s="2" t="s">
        <v>167</v>
      </c>
      <c r="D904" s="20">
        <v>0</v>
      </c>
      <c r="E904" s="2" t="s">
        <v>838</v>
      </c>
      <c r="F904" s="2" t="s">
        <v>789</v>
      </c>
      <c r="G904" s="2" t="s">
        <v>1785</v>
      </c>
      <c r="H904" s="2" t="s">
        <v>1784</v>
      </c>
      <c r="J904" s="26"/>
      <c r="K904" s="36">
        <v>4.2047500000000002E-3</v>
      </c>
      <c r="L904" s="23">
        <v>8.4095000000000003E-4</v>
      </c>
    </row>
    <row r="905" spans="1:12" ht="15.35" hidden="1" x14ac:dyDescent="0.55000000000000004">
      <c r="A905" s="20">
        <v>15157</v>
      </c>
      <c r="B905" s="2" t="s">
        <v>166</v>
      </c>
      <c r="C905" s="2" t="s">
        <v>167</v>
      </c>
      <c r="D905" s="20">
        <v>0</v>
      </c>
      <c r="E905" s="2" t="s">
        <v>838</v>
      </c>
      <c r="F905" s="2" t="s">
        <v>789</v>
      </c>
      <c r="G905" s="2" t="s">
        <v>1786</v>
      </c>
      <c r="H905" s="2" t="s">
        <v>1784</v>
      </c>
      <c r="J905" s="26"/>
      <c r="K905" s="36">
        <v>4.2047500000000002E-3</v>
      </c>
      <c r="L905" s="23">
        <v>8.4095000000000003E-4</v>
      </c>
    </row>
    <row r="906" spans="1:12" ht="15.35" hidden="1" x14ac:dyDescent="0.55000000000000004">
      <c r="A906" s="20">
        <v>14934</v>
      </c>
      <c r="B906" s="2" t="s">
        <v>166</v>
      </c>
      <c r="C906" s="2" t="s">
        <v>167</v>
      </c>
      <c r="D906" s="20">
        <v>0</v>
      </c>
      <c r="E906" s="2" t="s">
        <v>838</v>
      </c>
      <c r="F906" s="2" t="s">
        <v>789</v>
      </c>
      <c r="G906" s="2" t="s">
        <v>1787</v>
      </c>
      <c r="H906" s="2" t="s">
        <v>1788</v>
      </c>
      <c r="J906" s="26"/>
      <c r="K906" s="36">
        <v>1.6417999999999999E-4</v>
      </c>
      <c r="L906" s="23">
        <v>3.2839999999999997E-5</v>
      </c>
    </row>
    <row r="907" spans="1:12" ht="15.35" hidden="1" x14ac:dyDescent="0.55000000000000004">
      <c r="A907" s="20">
        <v>15145</v>
      </c>
      <c r="B907" s="2" t="s">
        <v>166</v>
      </c>
      <c r="C907" s="2" t="s">
        <v>167</v>
      </c>
      <c r="D907" s="20">
        <v>0</v>
      </c>
      <c r="E907" s="2" t="s">
        <v>838</v>
      </c>
      <c r="F907" s="2" t="s">
        <v>817</v>
      </c>
      <c r="G907" s="2" t="s">
        <v>899</v>
      </c>
      <c r="H907" s="2" t="s">
        <v>899</v>
      </c>
      <c r="J907" s="26"/>
      <c r="K907" s="36">
        <v>2.7350899999999999E-3</v>
      </c>
      <c r="L907" s="23">
        <v>5.4701999999999995E-4</v>
      </c>
    </row>
    <row r="908" spans="1:12" ht="15.35" hidden="1" x14ac:dyDescent="0.55000000000000004">
      <c r="A908" s="20">
        <v>15246</v>
      </c>
      <c r="B908" s="2" t="s">
        <v>166</v>
      </c>
      <c r="C908" s="2" t="s">
        <v>167</v>
      </c>
      <c r="D908" s="20">
        <v>0</v>
      </c>
      <c r="E908" s="2" t="s">
        <v>838</v>
      </c>
      <c r="F908" s="2" t="s">
        <v>811</v>
      </c>
      <c r="G908" s="2" t="s">
        <v>1789</v>
      </c>
      <c r="H908" s="2" t="s">
        <v>1105</v>
      </c>
      <c r="J908" s="26"/>
      <c r="K908" s="36">
        <v>1.9221E-4</v>
      </c>
      <c r="L908" s="23">
        <v>3.8439999999999998E-5</v>
      </c>
    </row>
    <row r="909" spans="1:12" ht="15.35" hidden="1" x14ac:dyDescent="0.55000000000000004">
      <c r="A909" s="20">
        <v>15248</v>
      </c>
      <c r="B909" s="2" t="s">
        <v>166</v>
      </c>
      <c r="C909" s="2" t="s">
        <v>167</v>
      </c>
      <c r="D909" s="20">
        <v>0</v>
      </c>
      <c r="E909" s="2" t="s">
        <v>838</v>
      </c>
      <c r="F909" s="2" t="s">
        <v>811</v>
      </c>
      <c r="G909" s="2" t="s">
        <v>1790</v>
      </c>
      <c r="H909" s="2" t="s">
        <v>1105</v>
      </c>
      <c r="J909" s="26"/>
      <c r="K909" s="36">
        <v>4.4039999999999998E-5</v>
      </c>
      <c r="L909" s="23">
        <v>8.8100000000000004E-6</v>
      </c>
    </row>
    <row r="910" spans="1:12" ht="15.35" hidden="1" x14ac:dyDescent="0.55000000000000004">
      <c r="A910" s="20">
        <v>15247</v>
      </c>
      <c r="B910" s="2" t="s">
        <v>166</v>
      </c>
      <c r="C910" s="2" t="s">
        <v>167</v>
      </c>
      <c r="D910" s="20">
        <v>0</v>
      </c>
      <c r="E910" s="2" t="s">
        <v>838</v>
      </c>
      <c r="F910" s="2" t="s">
        <v>811</v>
      </c>
      <c r="G910" s="2" t="s">
        <v>1791</v>
      </c>
      <c r="H910" s="2" t="s">
        <v>1105</v>
      </c>
      <c r="J910" s="26"/>
      <c r="K910" s="36">
        <v>2.7630999999999999E-4</v>
      </c>
      <c r="L910" s="23">
        <v>5.5260000000000003E-5</v>
      </c>
    </row>
    <row r="911" spans="1:12" ht="15.35" hidden="1" x14ac:dyDescent="0.55000000000000004">
      <c r="A911" s="20">
        <v>15249</v>
      </c>
      <c r="B911" s="2" t="s">
        <v>166</v>
      </c>
      <c r="C911" s="2" t="s">
        <v>167</v>
      </c>
      <c r="D911" s="20">
        <v>0</v>
      </c>
      <c r="E911" s="2" t="s">
        <v>838</v>
      </c>
      <c r="F911" s="2" t="s">
        <v>811</v>
      </c>
      <c r="G911" s="2" t="s">
        <v>1792</v>
      </c>
      <c r="H911" s="2" t="s">
        <v>1105</v>
      </c>
      <c r="J911" s="26"/>
      <c r="K911" s="36">
        <v>7.6086000000000003E-4</v>
      </c>
      <c r="L911" s="23">
        <v>1.5217E-4</v>
      </c>
    </row>
    <row r="912" spans="1:12" ht="15.35" hidden="1" x14ac:dyDescent="0.55000000000000004">
      <c r="A912" s="20">
        <v>15251</v>
      </c>
      <c r="B912" s="2" t="s">
        <v>166</v>
      </c>
      <c r="C912" s="2" t="s">
        <v>167</v>
      </c>
      <c r="D912" s="20">
        <v>0</v>
      </c>
      <c r="E912" s="2" t="s">
        <v>838</v>
      </c>
      <c r="F912" s="2" t="s">
        <v>811</v>
      </c>
      <c r="G912" s="2" t="s">
        <v>1793</v>
      </c>
      <c r="H912" s="2" t="s">
        <v>1105</v>
      </c>
      <c r="J912" s="26"/>
      <c r="K912" s="36">
        <v>1.7619000000000001E-4</v>
      </c>
      <c r="L912" s="23">
        <v>3.5240000000000001E-5</v>
      </c>
    </row>
    <row r="913" spans="1:12" ht="15.35" hidden="1" x14ac:dyDescent="0.55000000000000004">
      <c r="A913" s="20">
        <v>15245</v>
      </c>
      <c r="B913" s="2" t="s">
        <v>166</v>
      </c>
      <c r="C913" s="2" t="s">
        <v>167</v>
      </c>
      <c r="D913" s="20">
        <v>0</v>
      </c>
      <c r="E913" s="2" t="s">
        <v>838</v>
      </c>
      <c r="F913" s="2" t="s">
        <v>811</v>
      </c>
      <c r="G913" s="2" t="s">
        <v>1794</v>
      </c>
      <c r="H913" s="2" t="s">
        <v>1105</v>
      </c>
      <c r="J913" s="26"/>
      <c r="K913" s="36">
        <v>3.8443E-4</v>
      </c>
      <c r="L913" s="23">
        <v>7.6890000000000004E-5</v>
      </c>
    </row>
    <row r="914" spans="1:12" ht="15.35" hidden="1" x14ac:dyDescent="0.55000000000000004">
      <c r="A914" s="20">
        <v>15250</v>
      </c>
      <c r="B914" s="2" t="s">
        <v>166</v>
      </c>
      <c r="C914" s="2" t="s">
        <v>167</v>
      </c>
      <c r="D914" s="20">
        <v>0</v>
      </c>
      <c r="E914" s="2" t="s">
        <v>838</v>
      </c>
      <c r="F914" s="2" t="s">
        <v>811</v>
      </c>
      <c r="G914" s="2" t="s">
        <v>1795</v>
      </c>
      <c r="H914" s="2" t="s">
        <v>1105</v>
      </c>
      <c r="J914" s="26"/>
      <c r="K914" s="36">
        <v>7.2080000000000001E-5</v>
      </c>
      <c r="L914" s="23">
        <v>1.4419999999999999E-5</v>
      </c>
    </row>
    <row r="915" spans="1:12" ht="15.35" hidden="1" x14ac:dyDescent="0.55000000000000004">
      <c r="A915" s="20">
        <v>15259</v>
      </c>
      <c r="B915" s="2" t="s">
        <v>166</v>
      </c>
      <c r="C915" s="2" t="s">
        <v>167</v>
      </c>
      <c r="D915" s="20">
        <v>0</v>
      </c>
      <c r="E915" s="2" t="s">
        <v>838</v>
      </c>
      <c r="F915" s="2" t="s">
        <v>783</v>
      </c>
      <c r="G915" s="2" t="s">
        <v>1796</v>
      </c>
      <c r="H915" s="2" t="s">
        <v>1796</v>
      </c>
      <c r="J915" s="26"/>
      <c r="K915" s="36">
        <v>9.0101000000000005E-4</v>
      </c>
      <c r="L915" s="23">
        <v>1.8019999999999999E-4</v>
      </c>
    </row>
    <row r="916" spans="1:12" ht="15.35" hidden="1" x14ac:dyDescent="0.55000000000000004">
      <c r="A916" s="20">
        <v>15398</v>
      </c>
      <c r="B916" s="2" t="s">
        <v>166</v>
      </c>
      <c r="C916" s="2" t="s">
        <v>167</v>
      </c>
      <c r="D916" s="20">
        <v>0</v>
      </c>
      <c r="E916" s="2" t="s">
        <v>838</v>
      </c>
      <c r="F916" s="2" t="s">
        <v>848</v>
      </c>
      <c r="G916" s="2" t="s">
        <v>1797</v>
      </c>
      <c r="H916" s="2" t="s">
        <v>1179</v>
      </c>
      <c r="J916" s="26"/>
      <c r="K916" s="36">
        <v>4.2047500000000002E-3</v>
      </c>
      <c r="L916" s="23">
        <v>8.4095000000000003E-4</v>
      </c>
    </row>
    <row r="917" spans="1:12" ht="15.35" hidden="1" x14ac:dyDescent="0.55000000000000004">
      <c r="A917" s="20">
        <v>1413</v>
      </c>
      <c r="B917" s="2" t="s">
        <v>173</v>
      </c>
      <c r="C917" s="2" t="s">
        <v>174</v>
      </c>
      <c r="D917" s="20">
        <v>0</v>
      </c>
      <c r="E917" s="2" t="s">
        <v>63</v>
      </c>
      <c r="F917" s="2" t="s">
        <v>789</v>
      </c>
      <c r="G917" s="2" t="s">
        <v>1798</v>
      </c>
      <c r="H917" s="2" t="s">
        <v>1798</v>
      </c>
      <c r="I917" s="2" t="s">
        <v>785</v>
      </c>
      <c r="J917" s="25">
        <v>47057</v>
      </c>
      <c r="K917" s="36">
        <v>5.67E-2</v>
      </c>
      <c r="L917" s="23">
        <v>1.89E-2</v>
      </c>
    </row>
    <row r="918" spans="1:12" ht="15.35" hidden="1" x14ac:dyDescent="0.55000000000000004">
      <c r="A918" s="20">
        <v>1421</v>
      </c>
      <c r="B918" s="2" t="s">
        <v>173</v>
      </c>
      <c r="C918" s="2" t="s">
        <v>174</v>
      </c>
      <c r="D918" s="20">
        <v>0</v>
      </c>
      <c r="E918" s="2" t="s">
        <v>63</v>
      </c>
      <c r="F918" s="2" t="s">
        <v>787</v>
      </c>
      <c r="G918" s="2" t="s">
        <v>904</v>
      </c>
      <c r="H918" s="2" t="s">
        <v>904</v>
      </c>
      <c r="I918" s="2" t="s">
        <v>785</v>
      </c>
      <c r="J918" s="25">
        <v>47057</v>
      </c>
      <c r="K918" s="36">
        <v>0.10310999999999999</v>
      </c>
      <c r="L918" s="23">
        <v>3.4369999999999998E-2</v>
      </c>
    </row>
    <row r="919" spans="1:12" ht="15.35" hidden="1" x14ac:dyDescent="0.55000000000000004">
      <c r="A919" s="20">
        <v>1415</v>
      </c>
      <c r="B919" s="2" t="s">
        <v>173</v>
      </c>
      <c r="C919" s="2" t="s">
        <v>174</v>
      </c>
      <c r="D919" s="20">
        <v>0</v>
      </c>
      <c r="E919" s="2" t="s">
        <v>63</v>
      </c>
      <c r="F919" s="2" t="s">
        <v>793</v>
      </c>
      <c r="G919" s="2" t="s">
        <v>1799</v>
      </c>
      <c r="H919" s="2" t="s">
        <v>904</v>
      </c>
      <c r="I919" s="2" t="s">
        <v>785</v>
      </c>
      <c r="J919" s="25">
        <v>47057</v>
      </c>
      <c r="K919" s="36">
        <v>7.2270000000000001E-2</v>
      </c>
      <c r="L919" s="23">
        <v>2.409E-2</v>
      </c>
    </row>
    <row r="920" spans="1:12" ht="15.35" hidden="1" x14ac:dyDescent="0.55000000000000004">
      <c r="A920" s="20">
        <v>1412</v>
      </c>
      <c r="B920" s="2" t="s">
        <v>173</v>
      </c>
      <c r="C920" s="2" t="s">
        <v>174</v>
      </c>
      <c r="D920" s="20">
        <v>0</v>
      </c>
      <c r="E920" s="2" t="s">
        <v>63</v>
      </c>
      <c r="F920" s="2" t="s">
        <v>787</v>
      </c>
      <c r="G920" s="2" t="s">
        <v>788</v>
      </c>
      <c r="H920" s="2" t="s">
        <v>788</v>
      </c>
      <c r="I920" s="2" t="s">
        <v>785</v>
      </c>
      <c r="J920" s="25">
        <v>47057</v>
      </c>
      <c r="K920" s="36">
        <v>0.12141</v>
      </c>
      <c r="L920" s="23">
        <v>4.0469999999999999E-2</v>
      </c>
    </row>
    <row r="921" spans="1:12" ht="15.35" hidden="1" x14ac:dyDescent="0.55000000000000004">
      <c r="A921" s="20">
        <v>1417</v>
      </c>
      <c r="B921" s="2" t="s">
        <v>173</v>
      </c>
      <c r="C921" s="2" t="s">
        <v>174</v>
      </c>
      <c r="D921" s="20">
        <v>0</v>
      </c>
      <c r="E921" s="2" t="s">
        <v>63</v>
      </c>
      <c r="F921" s="2" t="s">
        <v>789</v>
      </c>
      <c r="G921" s="2" t="s">
        <v>791</v>
      </c>
      <c r="H921" s="2" t="s">
        <v>791</v>
      </c>
      <c r="I921" s="2" t="s">
        <v>785</v>
      </c>
      <c r="J921" s="25">
        <v>47057</v>
      </c>
      <c r="K921" s="36">
        <v>7.5300000000000006E-2</v>
      </c>
      <c r="L921" s="23">
        <v>2.5100000000000001E-2</v>
      </c>
    </row>
    <row r="922" spans="1:12" ht="15.35" hidden="1" x14ac:dyDescent="0.55000000000000004">
      <c r="A922" s="20">
        <v>1411</v>
      </c>
      <c r="B922" s="2" t="s">
        <v>173</v>
      </c>
      <c r="C922" s="2" t="s">
        <v>174</v>
      </c>
      <c r="D922" s="20">
        <v>0</v>
      </c>
      <c r="E922" s="2" t="s">
        <v>63</v>
      </c>
      <c r="F922" s="2" t="s">
        <v>789</v>
      </c>
      <c r="G922" s="2" t="s">
        <v>1800</v>
      </c>
      <c r="H922" s="2" t="s">
        <v>1800</v>
      </c>
      <c r="I922" s="2" t="s">
        <v>785</v>
      </c>
      <c r="J922" s="25">
        <v>46691</v>
      </c>
      <c r="K922" s="36">
        <v>5.3609999999999998E-2</v>
      </c>
      <c r="L922" s="23">
        <v>1.787E-2</v>
      </c>
    </row>
    <row r="923" spans="1:12" ht="15.35" hidden="1" x14ac:dyDescent="0.55000000000000004">
      <c r="A923" s="20">
        <v>1418</v>
      </c>
      <c r="B923" s="2" t="s">
        <v>173</v>
      </c>
      <c r="C923" s="2" t="s">
        <v>174</v>
      </c>
      <c r="D923" s="20">
        <v>0</v>
      </c>
      <c r="E923" s="2" t="s">
        <v>63</v>
      </c>
      <c r="F923" s="2" t="s">
        <v>783</v>
      </c>
      <c r="G923" s="2" t="s">
        <v>1180</v>
      </c>
      <c r="H923" s="2" t="s">
        <v>1180</v>
      </c>
      <c r="I923" s="2" t="s">
        <v>785</v>
      </c>
      <c r="J923" s="25">
        <v>47057</v>
      </c>
      <c r="K923" s="36">
        <v>8.0610000000000001E-2</v>
      </c>
      <c r="L923" s="23">
        <v>2.6870000000000002E-2</v>
      </c>
    </row>
    <row r="924" spans="1:12" ht="15.35" hidden="1" x14ac:dyDescent="0.55000000000000004">
      <c r="A924" s="20">
        <v>1409</v>
      </c>
      <c r="B924" s="2" t="s">
        <v>173</v>
      </c>
      <c r="C924" s="2" t="s">
        <v>174</v>
      </c>
      <c r="D924" s="20">
        <v>0</v>
      </c>
      <c r="E924" s="2" t="s">
        <v>63</v>
      </c>
      <c r="F924" s="2" t="s">
        <v>787</v>
      </c>
      <c r="G924" s="2" t="s">
        <v>892</v>
      </c>
      <c r="H924" s="2" t="s">
        <v>892</v>
      </c>
      <c r="I924" s="2" t="s">
        <v>785</v>
      </c>
      <c r="J924" s="25">
        <v>46691</v>
      </c>
      <c r="K924" s="36">
        <v>4.7039999999999998E-2</v>
      </c>
      <c r="L924" s="23">
        <v>1.5679999999999999E-2</v>
      </c>
    </row>
    <row r="925" spans="1:12" ht="15.35" hidden="1" x14ac:dyDescent="0.55000000000000004">
      <c r="A925" s="20">
        <v>1399</v>
      </c>
      <c r="B925" s="2" t="s">
        <v>173</v>
      </c>
      <c r="C925" s="2" t="s">
        <v>174</v>
      </c>
      <c r="D925" s="20">
        <v>0</v>
      </c>
      <c r="E925" s="2" t="s">
        <v>63</v>
      </c>
      <c r="F925" s="2" t="s">
        <v>793</v>
      </c>
      <c r="G925" s="2" t="s">
        <v>1801</v>
      </c>
      <c r="H925" s="2" t="s">
        <v>1801</v>
      </c>
      <c r="I925" s="2" t="s">
        <v>785</v>
      </c>
      <c r="J925" s="25">
        <v>46691</v>
      </c>
      <c r="K925" s="36">
        <v>5.4989999999999997E-2</v>
      </c>
      <c r="L925" s="23">
        <v>1.8329999999999999E-2</v>
      </c>
    </row>
    <row r="926" spans="1:12" ht="15.35" hidden="1" x14ac:dyDescent="0.55000000000000004">
      <c r="A926" s="20">
        <v>1424</v>
      </c>
      <c r="B926" s="2" t="s">
        <v>173</v>
      </c>
      <c r="C926" s="2" t="s">
        <v>174</v>
      </c>
      <c r="D926" s="20">
        <v>0</v>
      </c>
      <c r="E926" s="2" t="s">
        <v>63</v>
      </c>
      <c r="F926" s="2" t="s">
        <v>807</v>
      </c>
      <c r="G926" s="2" t="s">
        <v>1802</v>
      </c>
      <c r="H926" s="2" t="s">
        <v>1802</v>
      </c>
      <c r="I926" s="2" t="s">
        <v>809</v>
      </c>
      <c r="J926" s="25">
        <v>47787</v>
      </c>
      <c r="K926" s="36">
        <v>0.6</v>
      </c>
      <c r="L926" s="23">
        <v>0.2</v>
      </c>
    </row>
    <row r="927" spans="1:12" ht="15.35" hidden="1" x14ac:dyDescent="0.55000000000000004">
      <c r="A927" s="20">
        <v>1414</v>
      </c>
      <c r="B927" s="2" t="s">
        <v>173</v>
      </c>
      <c r="C927" s="2" t="s">
        <v>174</v>
      </c>
      <c r="D927" s="20">
        <v>0</v>
      </c>
      <c r="E927" s="2" t="s">
        <v>63</v>
      </c>
      <c r="F927" s="2" t="s">
        <v>798</v>
      </c>
      <c r="G927" s="2" t="s">
        <v>1803</v>
      </c>
      <c r="H927" s="2" t="s">
        <v>1184</v>
      </c>
      <c r="I927" s="2" t="s">
        <v>785</v>
      </c>
      <c r="J927" s="25">
        <v>47057</v>
      </c>
      <c r="K927" s="36">
        <v>6.2700000000000006E-2</v>
      </c>
      <c r="L927" s="23">
        <v>2.0899999999999998E-2</v>
      </c>
    </row>
    <row r="928" spans="1:12" ht="15.35" hidden="1" x14ac:dyDescent="0.55000000000000004">
      <c r="A928" s="20">
        <v>1404</v>
      </c>
      <c r="B928" s="2" t="s">
        <v>173</v>
      </c>
      <c r="C928" s="2" t="s">
        <v>174</v>
      </c>
      <c r="D928" s="20">
        <v>0</v>
      </c>
      <c r="E928" s="2" t="s">
        <v>63</v>
      </c>
      <c r="F928" s="2" t="s">
        <v>789</v>
      </c>
      <c r="G928" s="2" t="s">
        <v>1315</v>
      </c>
      <c r="H928" s="2" t="s">
        <v>1315</v>
      </c>
      <c r="I928" s="2" t="s">
        <v>785</v>
      </c>
      <c r="J928" s="25">
        <v>46691</v>
      </c>
      <c r="K928" s="36">
        <v>2.3939999999999999E-2</v>
      </c>
      <c r="L928" s="23">
        <v>7.9799999999999992E-3</v>
      </c>
    </row>
    <row r="929" spans="1:12" ht="15.35" hidden="1" x14ac:dyDescent="0.55000000000000004">
      <c r="A929" s="20">
        <v>1403</v>
      </c>
      <c r="B929" s="2" t="s">
        <v>173</v>
      </c>
      <c r="C929" s="2" t="s">
        <v>174</v>
      </c>
      <c r="D929" s="20">
        <v>0</v>
      </c>
      <c r="E929" s="2" t="s">
        <v>63</v>
      </c>
      <c r="F929" s="2" t="s">
        <v>798</v>
      </c>
      <c r="G929" s="2" t="s">
        <v>1804</v>
      </c>
      <c r="H929" s="2" t="s">
        <v>804</v>
      </c>
      <c r="I929" s="2" t="s">
        <v>785</v>
      </c>
      <c r="J929" s="25">
        <v>47057</v>
      </c>
      <c r="K929" s="36">
        <v>2.196E-2</v>
      </c>
      <c r="L929" s="23">
        <v>7.3200000000000001E-3</v>
      </c>
    </row>
    <row r="930" spans="1:12" ht="15.35" hidden="1" x14ac:dyDescent="0.55000000000000004">
      <c r="A930" s="20">
        <v>1407</v>
      </c>
      <c r="B930" s="2" t="s">
        <v>173</v>
      </c>
      <c r="C930" s="2" t="s">
        <v>174</v>
      </c>
      <c r="D930" s="20">
        <v>0</v>
      </c>
      <c r="E930" s="2" t="s">
        <v>63</v>
      </c>
      <c r="F930" s="2" t="s">
        <v>798</v>
      </c>
      <c r="G930" s="2" t="s">
        <v>1805</v>
      </c>
      <c r="H930" s="2" t="s">
        <v>804</v>
      </c>
      <c r="I930" s="2" t="s">
        <v>785</v>
      </c>
      <c r="J930" s="25">
        <v>46691</v>
      </c>
      <c r="K930" s="36">
        <v>3.5400000000000001E-2</v>
      </c>
      <c r="L930" s="23">
        <v>1.18E-2</v>
      </c>
    </row>
    <row r="931" spans="1:12" ht="15.35" hidden="1" x14ac:dyDescent="0.55000000000000004">
      <c r="A931" s="20">
        <v>1419</v>
      </c>
      <c r="B931" s="2" t="s">
        <v>173</v>
      </c>
      <c r="C931" s="2" t="s">
        <v>174</v>
      </c>
      <c r="D931" s="20">
        <v>0</v>
      </c>
      <c r="E931" s="2" t="s">
        <v>63</v>
      </c>
      <c r="F931" s="2" t="s">
        <v>798</v>
      </c>
      <c r="G931" s="2" t="s">
        <v>1806</v>
      </c>
      <c r="H931" s="2" t="s">
        <v>804</v>
      </c>
      <c r="I931" s="2" t="s">
        <v>785</v>
      </c>
      <c r="J931" s="25">
        <v>47057</v>
      </c>
      <c r="K931" s="36">
        <v>8.7929999999999994E-2</v>
      </c>
      <c r="L931" s="23">
        <v>2.9309999999999999E-2</v>
      </c>
    </row>
    <row r="932" spans="1:12" ht="15.35" hidden="1" x14ac:dyDescent="0.55000000000000004">
      <c r="A932" s="20">
        <v>1422</v>
      </c>
      <c r="B932" s="2" t="s">
        <v>173</v>
      </c>
      <c r="C932" s="2" t="s">
        <v>174</v>
      </c>
      <c r="D932" s="20">
        <v>0</v>
      </c>
      <c r="E932" s="2" t="s">
        <v>63</v>
      </c>
      <c r="F932" s="2" t="s">
        <v>817</v>
      </c>
      <c r="G932" s="2" t="s">
        <v>1807</v>
      </c>
      <c r="H932" s="2" t="s">
        <v>852</v>
      </c>
      <c r="I932" s="2" t="s">
        <v>785</v>
      </c>
      <c r="J932" s="25">
        <v>47057</v>
      </c>
      <c r="K932" s="36">
        <v>0.1071</v>
      </c>
      <c r="L932" s="23">
        <v>3.5700000000000003E-2</v>
      </c>
    </row>
    <row r="933" spans="1:12" ht="15.35" hidden="1" x14ac:dyDescent="0.55000000000000004">
      <c r="A933" s="20">
        <v>1402</v>
      </c>
      <c r="B933" s="2" t="s">
        <v>173</v>
      </c>
      <c r="C933" s="2" t="s">
        <v>174</v>
      </c>
      <c r="D933" s="20">
        <v>0</v>
      </c>
      <c r="E933" s="2" t="s">
        <v>63</v>
      </c>
      <c r="F933" s="2" t="s">
        <v>811</v>
      </c>
      <c r="G933" s="2" t="s">
        <v>1808</v>
      </c>
      <c r="H933" s="2" t="s">
        <v>1808</v>
      </c>
      <c r="I933" s="2" t="s">
        <v>785</v>
      </c>
      <c r="J933" s="25">
        <v>46691</v>
      </c>
      <c r="K933" s="36">
        <v>2.1899999999999999E-2</v>
      </c>
      <c r="L933" s="23">
        <v>7.3000000000000001E-3</v>
      </c>
    </row>
    <row r="934" spans="1:12" ht="15.35" hidden="1" x14ac:dyDescent="0.55000000000000004">
      <c r="A934" s="20">
        <v>1408</v>
      </c>
      <c r="B934" s="2" t="s">
        <v>173</v>
      </c>
      <c r="C934" s="2" t="s">
        <v>174</v>
      </c>
      <c r="D934" s="20">
        <v>0</v>
      </c>
      <c r="E934" s="2" t="s">
        <v>63</v>
      </c>
      <c r="F934" s="2" t="s">
        <v>798</v>
      </c>
      <c r="G934" s="2" t="s">
        <v>1809</v>
      </c>
      <c r="H934" s="2" t="s">
        <v>1086</v>
      </c>
      <c r="I934" s="2" t="s">
        <v>785</v>
      </c>
      <c r="J934" s="25">
        <v>46691</v>
      </c>
      <c r="K934" s="36">
        <v>3.8760000000000003E-2</v>
      </c>
      <c r="L934" s="23">
        <v>1.2919999999999999E-2</v>
      </c>
    </row>
    <row r="935" spans="1:12" ht="15.35" hidden="1" x14ac:dyDescent="0.55000000000000004">
      <c r="A935" s="20">
        <v>1420</v>
      </c>
      <c r="B935" s="2" t="s">
        <v>173</v>
      </c>
      <c r="C935" s="2" t="s">
        <v>174</v>
      </c>
      <c r="D935" s="20">
        <v>0</v>
      </c>
      <c r="E935" s="2" t="s">
        <v>63</v>
      </c>
      <c r="F935" s="2" t="s">
        <v>787</v>
      </c>
      <c r="G935" s="2" t="s">
        <v>1191</v>
      </c>
      <c r="H935" s="2" t="s">
        <v>1191</v>
      </c>
      <c r="I935" s="2" t="s">
        <v>785</v>
      </c>
      <c r="J935" s="25">
        <v>47057</v>
      </c>
      <c r="K935" s="36">
        <v>8.7959999999999997E-2</v>
      </c>
      <c r="L935" s="23">
        <v>2.9319999999999999E-2</v>
      </c>
    </row>
    <row r="936" spans="1:12" ht="15.35" hidden="1" x14ac:dyDescent="0.55000000000000004">
      <c r="A936" s="20">
        <v>1406</v>
      </c>
      <c r="B936" s="2" t="s">
        <v>173</v>
      </c>
      <c r="C936" s="2" t="s">
        <v>174</v>
      </c>
      <c r="D936" s="20">
        <v>0</v>
      </c>
      <c r="E936" s="2" t="s">
        <v>63</v>
      </c>
      <c r="F936" s="2" t="s">
        <v>798</v>
      </c>
      <c r="G936" s="2" t="s">
        <v>1810</v>
      </c>
      <c r="H936" s="2" t="s">
        <v>1811</v>
      </c>
      <c r="I936" s="2" t="s">
        <v>785</v>
      </c>
      <c r="J936" s="25">
        <v>46691</v>
      </c>
      <c r="K936" s="36">
        <v>2.6040000000000001E-2</v>
      </c>
      <c r="L936" s="23">
        <v>8.6800000000000002E-3</v>
      </c>
    </row>
    <row r="937" spans="1:12" ht="15.35" hidden="1" x14ac:dyDescent="0.55000000000000004">
      <c r="A937" s="20">
        <v>1423</v>
      </c>
      <c r="B937" s="2" t="s">
        <v>173</v>
      </c>
      <c r="C937" s="2" t="s">
        <v>174</v>
      </c>
      <c r="D937" s="20">
        <v>0</v>
      </c>
      <c r="E937" s="2" t="s">
        <v>63</v>
      </c>
      <c r="F937" s="2" t="s">
        <v>789</v>
      </c>
      <c r="G937" s="2" t="s">
        <v>1441</v>
      </c>
      <c r="H937" s="2" t="s">
        <v>1441</v>
      </c>
      <c r="I937" s="2" t="s">
        <v>785</v>
      </c>
      <c r="J937" s="25">
        <v>47057</v>
      </c>
      <c r="K937" s="36">
        <v>5.6610000000000001E-2</v>
      </c>
      <c r="L937" s="23">
        <v>1.8870000000000001E-2</v>
      </c>
    </row>
    <row r="938" spans="1:12" ht="15.35" hidden="1" x14ac:dyDescent="0.55000000000000004">
      <c r="A938" s="20">
        <v>1398</v>
      </c>
      <c r="B938" s="2" t="s">
        <v>173</v>
      </c>
      <c r="C938" s="2" t="s">
        <v>174</v>
      </c>
      <c r="D938" s="20">
        <v>0</v>
      </c>
      <c r="E938" s="2" t="s">
        <v>63</v>
      </c>
      <c r="F938" s="2" t="s">
        <v>798</v>
      </c>
      <c r="G938" s="2" t="s">
        <v>1812</v>
      </c>
      <c r="H938" s="2" t="s">
        <v>1196</v>
      </c>
      <c r="I938" s="2" t="s">
        <v>785</v>
      </c>
      <c r="J938" s="25">
        <v>47057</v>
      </c>
      <c r="K938" s="36">
        <v>0.11609999999999999</v>
      </c>
      <c r="L938" s="23">
        <v>3.8699999999999998E-2</v>
      </c>
    </row>
    <row r="939" spans="1:12" ht="15.35" hidden="1" x14ac:dyDescent="0.55000000000000004">
      <c r="A939" s="20">
        <v>1400</v>
      </c>
      <c r="B939" s="2" t="s">
        <v>173</v>
      </c>
      <c r="C939" s="2" t="s">
        <v>174</v>
      </c>
      <c r="D939" s="20">
        <v>0</v>
      </c>
      <c r="E939" s="2" t="s">
        <v>63</v>
      </c>
      <c r="F939" s="2" t="s">
        <v>798</v>
      </c>
      <c r="G939" s="2" t="s">
        <v>1813</v>
      </c>
      <c r="H939" s="2" t="s">
        <v>829</v>
      </c>
      <c r="I939" s="2" t="s">
        <v>785</v>
      </c>
      <c r="J939" s="25">
        <v>46691</v>
      </c>
      <c r="K939" s="36">
        <v>1.7999999999999999E-2</v>
      </c>
      <c r="L939" s="23">
        <v>6.0000000000000001E-3</v>
      </c>
    </row>
    <row r="940" spans="1:12" ht="15.35" hidden="1" x14ac:dyDescent="0.55000000000000004">
      <c r="A940" s="20">
        <v>1401</v>
      </c>
      <c r="B940" s="2" t="s">
        <v>173</v>
      </c>
      <c r="C940" s="2" t="s">
        <v>174</v>
      </c>
      <c r="D940" s="20">
        <v>0</v>
      </c>
      <c r="E940" s="2" t="s">
        <v>63</v>
      </c>
      <c r="F940" s="2" t="s">
        <v>798</v>
      </c>
      <c r="G940" s="2" t="s">
        <v>1814</v>
      </c>
      <c r="H940" s="2" t="s">
        <v>829</v>
      </c>
      <c r="I940" s="2" t="s">
        <v>785</v>
      </c>
      <c r="J940" s="25">
        <v>46691</v>
      </c>
      <c r="K940" s="36">
        <v>2.1360000000000001E-2</v>
      </c>
      <c r="L940" s="23">
        <v>7.1199999999999996E-3</v>
      </c>
    </row>
    <row r="941" spans="1:12" ht="15.35" hidden="1" x14ac:dyDescent="0.55000000000000004">
      <c r="A941" s="20">
        <v>1410</v>
      </c>
      <c r="B941" s="2" t="s">
        <v>173</v>
      </c>
      <c r="C941" s="2" t="s">
        <v>174</v>
      </c>
      <c r="D941" s="20">
        <v>0</v>
      </c>
      <c r="E941" s="2" t="s">
        <v>63</v>
      </c>
      <c r="F941" s="2" t="s">
        <v>798</v>
      </c>
      <c r="G941" s="2" t="s">
        <v>1815</v>
      </c>
      <c r="H941" s="2" t="s">
        <v>829</v>
      </c>
      <c r="I941" s="2" t="s">
        <v>785</v>
      </c>
      <c r="J941" s="25">
        <v>46691</v>
      </c>
      <c r="K941" s="36">
        <v>8.4899999999999993E-3</v>
      </c>
      <c r="L941" s="23">
        <v>2.8300000000000001E-3</v>
      </c>
    </row>
    <row r="942" spans="1:12" ht="15.35" hidden="1" x14ac:dyDescent="0.55000000000000004">
      <c r="A942" s="20">
        <v>1416</v>
      </c>
      <c r="B942" s="2" t="s">
        <v>173</v>
      </c>
      <c r="C942" s="2" t="s">
        <v>174</v>
      </c>
      <c r="D942" s="20">
        <v>0</v>
      </c>
      <c r="E942" s="2" t="s">
        <v>63</v>
      </c>
      <c r="F942" s="2" t="s">
        <v>783</v>
      </c>
      <c r="G942" s="2" t="s">
        <v>1816</v>
      </c>
      <c r="H942" s="2" t="s">
        <v>1816</v>
      </c>
      <c r="I942" s="2" t="s">
        <v>785</v>
      </c>
      <c r="J942" s="25">
        <v>47057</v>
      </c>
      <c r="K942" s="36">
        <v>7.5240000000000001E-2</v>
      </c>
      <c r="L942" s="23">
        <v>2.5080000000000002E-2</v>
      </c>
    </row>
    <row r="943" spans="1:12" ht="15.35" hidden="1" x14ac:dyDescent="0.55000000000000004">
      <c r="A943" s="20">
        <v>1405</v>
      </c>
      <c r="B943" s="2" t="s">
        <v>173</v>
      </c>
      <c r="C943" s="2" t="s">
        <v>174</v>
      </c>
      <c r="D943" s="20">
        <v>0</v>
      </c>
      <c r="E943" s="2" t="s">
        <v>63</v>
      </c>
      <c r="F943" s="2" t="s">
        <v>811</v>
      </c>
      <c r="G943" s="2" t="s">
        <v>1817</v>
      </c>
      <c r="H943" s="2" t="s">
        <v>1818</v>
      </c>
      <c r="I943" s="2" t="s">
        <v>785</v>
      </c>
      <c r="J943" s="25">
        <v>46691</v>
      </c>
      <c r="K943" s="36">
        <v>2.547E-2</v>
      </c>
      <c r="L943" s="23">
        <v>8.4899999999999993E-3</v>
      </c>
    </row>
    <row r="944" spans="1:12" ht="15.35" hidden="1" x14ac:dyDescent="0.55000000000000004">
      <c r="A944" s="20">
        <v>9051</v>
      </c>
      <c r="B944" s="2" t="s">
        <v>173</v>
      </c>
      <c r="C944" s="2" t="s">
        <v>174</v>
      </c>
      <c r="D944" s="20">
        <v>0</v>
      </c>
      <c r="E944" s="2" t="s">
        <v>838</v>
      </c>
      <c r="F944" s="2" t="s">
        <v>848</v>
      </c>
      <c r="G944" s="2" t="s">
        <v>1819</v>
      </c>
      <c r="H944" s="2" t="s">
        <v>1820</v>
      </c>
      <c r="J944" s="26"/>
      <c r="K944" s="36">
        <v>6.2407999999999995E-4</v>
      </c>
      <c r="L944" s="23">
        <v>2.0803E-4</v>
      </c>
    </row>
    <row r="945" spans="1:12" ht="15.35" hidden="1" x14ac:dyDescent="0.55000000000000004">
      <c r="A945" s="20">
        <v>9107</v>
      </c>
      <c r="B945" s="2" t="s">
        <v>173</v>
      </c>
      <c r="C945" s="2" t="s">
        <v>174</v>
      </c>
      <c r="D945" s="20">
        <v>0</v>
      </c>
      <c r="E945" s="2" t="s">
        <v>838</v>
      </c>
      <c r="F945" s="2" t="s">
        <v>783</v>
      </c>
      <c r="G945" s="2" t="s">
        <v>1821</v>
      </c>
      <c r="H945" s="2" t="s">
        <v>1822</v>
      </c>
      <c r="J945" s="26"/>
      <c r="K945" s="36">
        <v>6.4592000000000002E-4</v>
      </c>
      <c r="L945" s="23">
        <v>2.1531E-4</v>
      </c>
    </row>
    <row r="946" spans="1:12" ht="15.35" x14ac:dyDescent="0.55000000000000004">
      <c r="A946" s="20">
        <v>9632</v>
      </c>
      <c r="B946" s="2" t="s">
        <v>173</v>
      </c>
      <c r="C946" s="2" t="s">
        <v>174</v>
      </c>
      <c r="D946" s="20">
        <v>0</v>
      </c>
      <c r="E946" s="2" t="s">
        <v>838</v>
      </c>
      <c r="F946" s="2" t="s">
        <v>783</v>
      </c>
      <c r="G946" s="2" t="s">
        <v>1823</v>
      </c>
      <c r="J946" s="26"/>
      <c r="K946" s="36">
        <v>7.2393999999999996E-4</v>
      </c>
      <c r="L946" s="23">
        <v>2.4131000000000001E-4</v>
      </c>
    </row>
    <row r="947" spans="1:12" ht="15.35" hidden="1" x14ac:dyDescent="0.55000000000000004">
      <c r="A947" s="20">
        <v>9378</v>
      </c>
      <c r="B947" s="2" t="s">
        <v>173</v>
      </c>
      <c r="C947" s="2" t="s">
        <v>174</v>
      </c>
      <c r="D947" s="20">
        <v>0</v>
      </c>
      <c r="E947" s="2" t="s">
        <v>838</v>
      </c>
      <c r="F947" s="2" t="s">
        <v>817</v>
      </c>
      <c r="G947" s="2" t="s">
        <v>1824</v>
      </c>
      <c r="H947" s="2" t="s">
        <v>1198</v>
      </c>
      <c r="J947" s="26"/>
      <c r="K947" s="36">
        <v>1.64134E-3</v>
      </c>
      <c r="L947" s="23">
        <v>5.4710999999999996E-4</v>
      </c>
    </row>
    <row r="948" spans="1:12" ht="15.35" hidden="1" x14ac:dyDescent="0.55000000000000004">
      <c r="A948" s="20">
        <v>9428</v>
      </c>
      <c r="B948" s="2" t="s">
        <v>173</v>
      </c>
      <c r="C948" s="2" t="s">
        <v>174</v>
      </c>
      <c r="D948" s="20">
        <v>0</v>
      </c>
      <c r="E948" s="2" t="s">
        <v>838</v>
      </c>
      <c r="F948" s="2" t="s">
        <v>817</v>
      </c>
      <c r="G948" s="2" t="s">
        <v>1825</v>
      </c>
      <c r="H948" s="2" t="s">
        <v>1826</v>
      </c>
      <c r="J948" s="26"/>
      <c r="K948" s="36">
        <v>9.3612999999999997E-4</v>
      </c>
      <c r="L948" s="23">
        <v>3.1203999999999997E-4</v>
      </c>
    </row>
    <row r="949" spans="1:12" ht="15.35" hidden="1" x14ac:dyDescent="0.55000000000000004">
      <c r="A949" s="20">
        <v>9617</v>
      </c>
      <c r="B949" s="2" t="s">
        <v>173</v>
      </c>
      <c r="C949" s="2" t="s">
        <v>174</v>
      </c>
      <c r="D949" s="20">
        <v>0</v>
      </c>
      <c r="E949" s="2" t="s">
        <v>838</v>
      </c>
      <c r="F949" s="2" t="s">
        <v>793</v>
      </c>
      <c r="G949" s="2" t="s">
        <v>1827</v>
      </c>
      <c r="H949" s="2" t="s">
        <v>1828</v>
      </c>
      <c r="J949" s="26"/>
      <c r="K949" s="36">
        <v>7.4889999999999996E-5</v>
      </c>
      <c r="L949" s="23">
        <v>2.4960000000000002E-5</v>
      </c>
    </row>
    <row r="950" spans="1:12" ht="15.35" hidden="1" x14ac:dyDescent="0.55000000000000004">
      <c r="A950" s="20">
        <v>9618</v>
      </c>
      <c r="B950" s="2" t="s">
        <v>173</v>
      </c>
      <c r="C950" s="2" t="s">
        <v>174</v>
      </c>
      <c r="D950" s="20">
        <v>0</v>
      </c>
      <c r="E950" s="2" t="s">
        <v>838</v>
      </c>
      <c r="F950" s="2" t="s">
        <v>793</v>
      </c>
      <c r="G950" s="2" t="s">
        <v>1829</v>
      </c>
      <c r="H950" s="2" t="s">
        <v>1828</v>
      </c>
      <c r="J950" s="26"/>
      <c r="K950" s="36">
        <v>9.3610000000000007E-5</v>
      </c>
      <c r="L950" s="23">
        <v>3.1199999999999999E-5</v>
      </c>
    </row>
    <row r="951" spans="1:12" ht="15.35" hidden="1" x14ac:dyDescent="0.55000000000000004">
      <c r="A951" s="20">
        <v>9616</v>
      </c>
      <c r="B951" s="2" t="s">
        <v>173</v>
      </c>
      <c r="C951" s="2" t="s">
        <v>174</v>
      </c>
      <c r="D951" s="20">
        <v>0</v>
      </c>
      <c r="E951" s="2" t="s">
        <v>838</v>
      </c>
      <c r="F951" s="2" t="s">
        <v>793</v>
      </c>
      <c r="G951" s="2" t="s">
        <v>1830</v>
      </c>
      <c r="H951" s="2" t="s">
        <v>1828</v>
      </c>
      <c r="J951" s="26"/>
      <c r="K951" s="36">
        <v>1.5601999999999999E-4</v>
      </c>
      <c r="L951" s="23">
        <v>5.2009999999999998E-5</v>
      </c>
    </row>
    <row r="952" spans="1:12" ht="15.35" hidden="1" x14ac:dyDescent="0.55000000000000004">
      <c r="A952" s="20">
        <v>9615</v>
      </c>
      <c r="B952" s="2" t="s">
        <v>173</v>
      </c>
      <c r="C952" s="2" t="s">
        <v>174</v>
      </c>
      <c r="D952" s="20">
        <v>0</v>
      </c>
      <c r="E952" s="2" t="s">
        <v>838</v>
      </c>
      <c r="F952" s="2" t="s">
        <v>793</v>
      </c>
      <c r="G952" s="2" t="s">
        <v>1831</v>
      </c>
      <c r="H952" s="2" t="s">
        <v>1828</v>
      </c>
      <c r="J952" s="26"/>
      <c r="K952" s="36">
        <v>1.4977999999999999E-4</v>
      </c>
      <c r="L952" s="23">
        <v>4.9929999999999998E-5</v>
      </c>
    </row>
    <row r="953" spans="1:12" ht="15.35" hidden="1" x14ac:dyDescent="0.55000000000000004">
      <c r="A953" s="20">
        <v>9624</v>
      </c>
      <c r="B953" s="2" t="s">
        <v>173</v>
      </c>
      <c r="C953" s="2" t="s">
        <v>174</v>
      </c>
      <c r="D953" s="20">
        <v>0</v>
      </c>
      <c r="E953" s="2" t="s">
        <v>838</v>
      </c>
      <c r="F953" s="2" t="s">
        <v>848</v>
      </c>
      <c r="G953" s="2" t="s">
        <v>1004</v>
      </c>
      <c r="H953" s="2" t="s">
        <v>1004</v>
      </c>
      <c r="J953" s="26"/>
      <c r="K953" s="36">
        <v>8.9556E-4</v>
      </c>
      <c r="L953" s="23">
        <v>2.9851999999999998E-4</v>
      </c>
    </row>
    <row r="954" spans="1:12" ht="15.35" hidden="1" x14ac:dyDescent="0.55000000000000004">
      <c r="A954" s="20">
        <v>9085</v>
      </c>
      <c r="B954" s="2" t="s">
        <v>173</v>
      </c>
      <c r="C954" s="2" t="s">
        <v>174</v>
      </c>
      <c r="D954" s="20">
        <v>0</v>
      </c>
      <c r="E954" s="2" t="s">
        <v>838</v>
      </c>
      <c r="F954" s="2" t="s">
        <v>848</v>
      </c>
      <c r="G954" s="2" t="s">
        <v>1200</v>
      </c>
      <c r="H954" s="2" t="s">
        <v>1201</v>
      </c>
      <c r="J954" s="26"/>
      <c r="K954" s="36">
        <v>1.9658700000000002E-3</v>
      </c>
      <c r="L954" s="23">
        <v>6.5529E-4</v>
      </c>
    </row>
    <row r="955" spans="1:12" ht="15.35" hidden="1" x14ac:dyDescent="0.55000000000000004">
      <c r="A955" s="20">
        <v>9031</v>
      </c>
      <c r="B955" s="2" t="s">
        <v>173</v>
      </c>
      <c r="C955" s="2" t="s">
        <v>174</v>
      </c>
      <c r="D955" s="20">
        <v>0</v>
      </c>
      <c r="E955" s="2" t="s">
        <v>838</v>
      </c>
      <c r="F955" s="2" t="s">
        <v>848</v>
      </c>
      <c r="G955" s="2" t="s">
        <v>1202</v>
      </c>
      <c r="H955" s="2" t="s">
        <v>1203</v>
      </c>
      <c r="J955" s="26"/>
      <c r="K955" s="36">
        <v>1.9658700000000002E-3</v>
      </c>
      <c r="L955" s="23">
        <v>6.5529E-4</v>
      </c>
    </row>
    <row r="956" spans="1:12" ht="15.35" hidden="1" x14ac:dyDescent="0.55000000000000004">
      <c r="A956" s="20">
        <v>9034</v>
      </c>
      <c r="B956" s="2" t="s">
        <v>173</v>
      </c>
      <c r="C956" s="2" t="s">
        <v>174</v>
      </c>
      <c r="D956" s="20">
        <v>0</v>
      </c>
      <c r="E956" s="2" t="s">
        <v>838</v>
      </c>
      <c r="F956" s="2" t="s">
        <v>793</v>
      </c>
      <c r="G956" s="2" t="s">
        <v>1832</v>
      </c>
      <c r="H956" s="2" t="s">
        <v>1006</v>
      </c>
      <c r="J956" s="26"/>
      <c r="K956" s="36">
        <v>1.3417E-4</v>
      </c>
      <c r="L956" s="23">
        <v>4.4719999999999999E-5</v>
      </c>
    </row>
    <row r="957" spans="1:12" ht="15.35" hidden="1" x14ac:dyDescent="0.55000000000000004">
      <c r="A957" s="20">
        <v>9098</v>
      </c>
      <c r="B957" s="2" t="s">
        <v>173</v>
      </c>
      <c r="C957" s="2" t="s">
        <v>174</v>
      </c>
      <c r="D957" s="20">
        <v>0</v>
      </c>
      <c r="E957" s="2" t="s">
        <v>838</v>
      </c>
      <c r="F957" s="2" t="s">
        <v>793</v>
      </c>
      <c r="G957" s="2" t="s">
        <v>900</v>
      </c>
      <c r="H957" s="2" t="s">
        <v>901</v>
      </c>
      <c r="J957" s="26"/>
      <c r="K957" s="36">
        <v>1.9658700000000002E-3</v>
      </c>
      <c r="L957" s="23">
        <v>6.5529E-4</v>
      </c>
    </row>
    <row r="958" spans="1:12" ht="15.35" hidden="1" x14ac:dyDescent="0.55000000000000004">
      <c r="A958" s="20">
        <v>9099</v>
      </c>
      <c r="B958" s="2" t="s">
        <v>173</v>
      </c>
      <c r="C958" s="2" t="s">
        <v>174</v>
      </c>
      <c r="D958" s="20">
        <v>0</v>
      </c>
      <c r="E958" s="2" t="s">
        <v>838</v>
      </c>
      <c r="F958" s="2" t="s">
        <v>793</v>
      </c>
      <c r="G958" s="2" t="s">
        <v>902</v>
      </c>
      <c r="H958" s="2" t="s">
        <v>901</v>
      </c>
      <c r="J958" s="26"/>
      <c r="K958" s="36">
        <v>1.9658700000000002E-3</v>
      </c>
      <c r="L958" s="23">
        <v>6.5529E-4</v>
      </c>
    </row>
    <row r="959" spans="1:12" ht="15.35" hidden="1" x14ac:dyDescent="0.55000000000000004">
      <c r="A959" s="20">
        <v>9104</v>
      </c>
      <c r="B959" s="2" t="s">
        <v>173</v>
      </c>
      <c r="C959" s="2" t="s">
        <v>174</v>
      </c>
      <c r="D959" s="20">
        <v>0</v>
      </c>
      <c r="E959" s="2" t="s">
        <v>838</v>
      </c>
      <c r="F959" s="2" t="s">
        <v>793</v>
      </c>
      <c r="G959" s="2" t="s">
        <v>1833</v>
      </c>
      <c r="H959" s="2" t="s">
        <v>901</v>
      </c>
      <c r="J959" s="26"/>
      <c r="K959" s="36">
        <v>1.8722000000000001E-4</v>
      </c>
      <c r="L959" s="23">
        <v>6.2409999999999994E-5</v>
      </c>
    </row>
    <row r="960" spans="1:12" ht="15.35" hidden="1" x14ac:dyDescent="0.55000000000000004">
      <c r="A960" s="20">
        <v>9102</v>
      </c>
      <c r="B960" s="2" t="s">
        <v>173</v>
      </c>
      <c r="C960" s="2" t="s">
        <v>174</v>
      </c>
      <c r="D960" s="20">
        <v>0</v>
      </c>
      <c r="E960" s="2" t="s">
        <v>838</v>
      </c>
      <c r="F960" s="2" t="s">
        <v>793</v>
      </c>
      <c r="G960" s="2" t="s">
        <v>1834</v>
      </c>
      <c r="H960" s="2" t="s">
        <v>901</v>
      </c>
      <c r="J960" s="26"/>
      <c r="K960" s="36">
        <v>1.9658700000000002E-3</v>
      </c>
      <c r="L960" s="23">
        <v>6.5529E-4</v>
      </c>
    </row>
    <row r="961" spans="1:12" ht="15.35" hidden="1" x14ac:dyDescent="0.55000000000000004">
      <c r="A961" s="20">
        <v>9101</v>
      </c>
      <c r="B961" s="2" t="s">
        <v>173</v>
      </c>
      <c r="C961" s="2" t="s">
        <v>174</v>
      </c>
      <c r="D961" s="20">
        <v>0</v>
      </c>
      <c r="E961" s="2" t="s">
        <v>838</v>
      </c>
      <c r="F961" s="2" t="s">
        <v>793</v>
      </c>
      <c r="G961" s="2" t="s">
        <v>1835</v>
      </c>
      <c r="H961" s="2" t="s">
        <v>901</v>
      </c>
      <c r="J961" s="26"/>
      <c r="K961" s="36">
        <v>1.5601999999999999E-4</v>
      </c>
      <c r="L961" s="23">
        <v>5.2009999999999998E-5</v>
      </c>
    </row>
    <row r="962" spans="1:12" ht="15.35" hidden="1" x14ac:dyDescent="0.55000000000000004">
      <c r="A962" s="20">
        <v>9100</v>
      </c>
      <c r="B962" s="2" t="s">
        <v>173</v>
      </c>
      <c r="C962" s="2" t="s">
        <v>174</v>
      </c>
      <c r="D962" s="20">
        <v>0</v>
      </c>
      <c r="E962" s="2" t="s">
        <v>838</v>
      </c>
      <c r="F962" s="2" t="s">
        <v>793</v>
      </c>
      <c r="G962" s="2" t="s">
        <v>1204</v>
      </c>
      <c r="H962" s="2" t="s">
        <v>901</v>
      </c>
      <c r="J962" s="26"/>
      <c r="K962" s="36">
        <v>1.8722599999999999E-3</v>
      </c>
      <c r="L962" s="23">
        <v>6.2409E-4</v>
      </c>
    </row>
    <row r="963" spans="1:12" ht="15.35" hidden="1" x14ac:dyDescent="0.55000000000000004">
      <c r="A963" s="20">
        <v>9103</v>
      </c>
      <c r="B963" s="2" t="s">
        <v>173</v>
      </c>
      <c r="C963" s="2" t="s">
        <v>174</v>
      </c>
      <c r="D963" s="20">
        <v>0</v>
      </c>
      <c r="E963" s="2" t="s">
        <v>838</v>
      </c>
      <c r="F963" s="2" t="s">
        <v>793</v>
      </c>
      <c r="G963" s="2" t="s">
        <v>1836</v>
      </c>
      <c r="H963" s="2" t="s">
        <v>901</v>
      </c>
      <c r="J963" s="26"/>
      <c r="K963" s="36">
        <v>1.95027E-3</v>
      </c>
      <c r="L963" s="23">
        <v>6.5008999999999998E-4</v>
      </c>
    </row>
    <row r="964" spans="1:12" ht="15.35" hidden="1" x14ac:dyDescent="0.55000000000000004">
      <c r="A964" s="20">
        <v>9032</v>
      </c>
      <c r="B964" s="2" t="s">
        <v>173</v>
      </c>
      <c r="C964" s="2" t="s">
        <v>174</v>
      </c>
      <c r="D964" s="20">
        <v>0</v>
      </c>
      <c r="E964" s="2" t="s">
        <v>838</v>
      </c>
      <c r="F964" s="2" t="s">
        <v>848</v>
      </c>
      <c r="G964" s="2" t="s">
        <v>1205</v>
      </c>
      <c r="H964" s="2" t="s">
        <v>1007</v>
      </c>
      <c r="J964" s="26"/>
      <c r="K964" s="36">
        <v>1.9658700000000002E-3</v>
      </c>
      <c r="L964" s="23">
        <v>6.5529E-4</v>
      </c>
    </row>
    <row r="965" spans="1:12" ht="15.35" hidden="1" x14ac:dyDescent="0.55000000000000004">
      <c r="A965" s="20">
        <v>9091</v>
      </c>
      <c r="B965" s="2" t="s">
        <v>173</v>
      </c>
      <c r="C965" s="2" t="s">
        <v>174</v>
      </c>
      <c r="D965" s="20">
        <v>0</v>
      </c>
      <c r="E965" s="2" t="s">
        <v>838</v>
      </c>
      <c r="F965" s="2" t="s">
        <v>793</v>
      </c>
      <c r="G965" s="2" t="s">
        <v>1837</v>
      </c>
      <c r="H965" s="2" t="s">
        <v>1207</v>
      </c>
      <c r="J965" s="26"/>
      <c r="K965" s="36">
        <v>6.2399999999999999E-5</v>
      </c>
      <c r="L965" s="23">
        <v>2.0800000000000001E-5</v>
      </c>
    </row>
    <row r="966" spans="1:12" ht="15.35" hidden="1" x14ac:dyDescent="0.55000000000000004">
      <c r="A966" s="20">
        <v>9097</v>
      </c>
      <c r="B966" s="2" t="s">
        <v>173</v>
      </c>
      <c r="C966" s="2" t="s">
        <v>174</v>
      </c>
      <c r="D966" s="20">
        <v>0</v>
      </c>
      <c r="E966" s="2" t="s">
        <v>838</v>
      </c>
      <c r="F966" s="2" t="s">
        <v>793</v>
      </c>
      <c r="G966" s="2" t="s">
        <v>1838</v>
      </c>
      <c r="H966" s="2" t="s">
        <v>1207</v>
      </c>
      <c r="J966" s="26"/>
      <c r="K966" s="36">
        <v>6.2399999999999999E-5</v>
      </c>
      <c r="L966" s="23">
        <v>2.0800000000000001E-5</v>
      </c>
    </row>
    <row r="967" spans="1:12" ht="15.35" hidden="1" x14ac:dyDescent="0.55000000000000004">
      <c r="A967" s="20">
        <v>9086</v>
      </c>
      <c r="B967" s="2" t="s">
        <v>173</v>
      </c>
      <c r="C967" s="2" t="s">
        <v>174</v>
      </c>
      <c r="D967" s="20">
        <v>0</v>
      </c>
      <c r="E967" s="2" t="s">
        <v>838</v>
      </c>
      <c r="F967" s="2" t="s">
        <v>793</v>
      </c>
      <c r="G967" s="2" t="s">
        <v>1209</v>
      </c>
      <c r="H967" s="2" t="s">
        <v>1207</v>
      </c>
      <c r="J967" s="26"/>
      <c r="K967" s="36">
        <v>1.5601999999999999E-4</v>
      </c>
      <c r="L967" s="23">
        <v>5.2009999999999998E-5</v>
      </c>
    </row>
    <row r="968" spans="1:12" ht="15.35" hidden="1" x14ac:dyDescent="0.55000000000000004">
      <c r="A968" s="20">
        <v>9090</v>
      </c>
      <c r="B968" s="2" t="s">
        <v>173</v>
      </c>
      <c r="C968" s="2" t="s">
        <v>174</v>
      </c>
      <c r="D968" s="20">
        <v>0</v>
      </c>
      <c r="E968" s="2" t="s">
        <v>838</v>
      </c>
      <c r="F968" s="2" t="s">
        <v>793</v>
      </c>
      <c r="G968" s="2" t="s">
        <v>1210</v>
      </c>
      <c r="H968" s="2" t="s">
        <v>1207</v>
      </c>
      <c r="J968" s="26"/>
      <c r="K968" s="36">
        <v>1.5601999999999999E-4</v>
      </c>
      <c r="L968" s="23">
        <v>5.2009999999999998E-5</v>
      </c>
    </row>
    <row r="969" spans="1:12" ht="15.35" hidden="1" x14ac:dyDescent="0.55000000000000004">
      <c r="A969" s="20">
        <v>9089</v>
      </c>
      <c r="B969" s="2" t="s">
        <v>173</v>
      </c>
      <c r="C969" s="2" t="s">
        <v>174</v>
      </c>
      <c r="D969" s="20">
        <v>0</v>
      </c>
      <c r="E969" s="2" t="s">
        <v>838</v>
      </c>
      <c r="F969" s="2" t="s">
        <v>793</v>
      </c>
      <c r="G969" s="2" t="s">
        <v>1839</v>
      </c>
      <c r="H969" s="2" t="s">
        <v>1207</v>
      </c>
      <c r="J969" s="26"/>
      <c r="K969" s="36">
        <v>9.3610000000000007E-5</v>
      </c>
      <c r="L969" s="23">
        <v>3.1199999999999999E-5</v>
      </c>
    </row>
    <row r="970" spans="1:12" ht="15.35" hidden="1" x14ac:dyDescent="0.55000000000000004">
      <c r="A970" s="20">
        <v>9096</v>
      </c>
      <c r="B970" s="2" t="s">
        <v>173</v>
      </c>
      <c r="C970" s="2" t="s">
        <v>174</v>
      </c>
      <c r="D970" s="20">
        <v>0</v>
      </c>
      <c r="E970" s="2" t="s">
        <v>838</v>
      </c>
      <c r="F970" s="2" t="s">
        <v>793</v>
      </c>
      <c r="G970" s="2" t="s">
        <v>1840</v>
      </c>
      <c r="H970" s="2" t="s">
        <v>1207</v>
      </c>
      <c r="J970" s="26"/>
      <c r="K970" s="36">
        <v>6.2399999999999999E-5</v>
      </c>
      <c r="L970" s="23">
        <v>2.0800000000000001E-5</v>
      </c>
    </row>
    <row r="971" spans="1:12" ht="15.35" hidden="1" x14ac:dyDescent="0.55000000000000004">
      <c r="A971" s="20">
        <v>9087</v>
      </c>
      <c r="B971" s="2" t="s">
        <v>173</v>
      </c>
      <c r="C971" s="2" t="s">
        <v>174</v>
      </c>
      <c r="D971" s="20">
        <v>0</v>
      </c>
      <c r="E971" s="2" t="s">
        <v>838</v>
      </c>
      <c r="F971" s="2" t="s">
        <v>793</v>
      </c>
      <c r="G971" s="2" t="s">
        <v>1841</v>
      </c>
      <c r="H971" s="2" t="s">
        <v>1207</v>
      </c>
      <c r="J971" s="26"/>
      <c r="K971" s="36">
        <v>1.8722000000000001E-4</v>
      </c>
      <c r="L971" s="23">
        <v>6.2409999999999994E-5</v>
      </c>
    </row>
    <row r="972" spans="1:12" ht="15.35" hidden="1" x14ac:dyDescent="0.55000000000000004">
      <c r="A972" s="20">
        <v>9088</v>
      </c>
      <c r="B972" s="2" t="s">
        <v>173</v>
      </c>
      <c r="C972" s="2" t="s">
        <v>174</v>
      </c>
      <c r="D972" s="20">
        <v>0</v>
      </c>
      <c r="E972" s="2" t="s">
        <v>838</v>
      </c>
      <c r="F972" s="2" t="s">
        <v>793</v>
      </c>
      <c r="G972" s="2" t="s">
        <v>1842</v>
      </c>
      <c r="H972" s="2" t="s">
        <v>1207</v>
      </c>
      <c r="J972" s="26"/>
      <c r="K972" s="36">
        <v>9.3610000000000007E-5</v>
      </c>
      <c r="L972" s="23">
        <v>3.1199999999999999E-5</v>
      </c>
    </row>
    <row r="973" spans="1:12" ht="15.35" hidden="1" x14ac:dyDescent="0.55000000000000004">
      <c r="A973" s="20">
        <v>9092</v>
      </c>
      <c r="B973" s="2" t="s">
        <v>173</v>
      </c>
      <c r="C973" s="2" t="s">
        <v>174</v>
      </c>
      <c r="D973" s="20">
        <v>0</v>
      </c>
      <c r="E973" s="2" t="s">
        <v>838</v>
      </c>
      <c r="F973" s="2" t="s">
        <v>793</v>
      </c>
      <c r="G973" s="2" t="s">
        <v>1843</v>
      </c>
      <c r="H973" s="2" t="s">
        <v>1207</v>
      </c>
      <c r="J973" s="26"/>
      <c r="K973" s="36">
        <v>4.6806000000000001E-4</v>
      </c>
      <c r="L973" s="23">
        <v>1.5601999999999999E-4</v>
      </c>
    </row>
    <row r="974" spans="1:12" ht="15.35" hidden="1" x14ac:dyDescent="0.55000000000000004">
      <c r="A974" s="20">
        <v>9093</v>
      </c>
      <c r="B974" s="2" t="s">
        <v>173</v>
      </c>
      <c r="C974" s="2" t="s">
        <v>174</v>
      </c>
      <c r="D974" s="20">
        <v>0</v>
      </c>
      <c r="E974" s="2" t="s">
        <v>838</v>
      </c>
      <c r="F974" s="2" t="s">
        <v>793</v>
      </c>
      <c r="G974" s="2" t="s">
        <v>1844</v>
      </c>
      <c r="H974" s="2" t="s">
        <v>1207</v>
      </c>
      <c r="J974" s="26"/>
      <c r="K974" s="36">
        <v>4.6806000000000001E-4</v>
      </c>
      <c r="L974" s="23">
        <v>1.5601999999999999E-4</v>
      </c>
    </row>
    <row r="975" spans="1:12" ht="15.35" hidden="1" x14ac:dyDescent="0.55000000000000004">
      <c r="A975" s="20">
        <v>9094</v>
      </c>
      <c r="B975" s="2" t="s">
        <v>173</v>
      </c>
      <c r="C975" s="2" t="s">
        <v>174</v>
      </c>
      <c r="D975" s="20">
        <v>0</v>
      </c>
      <c r="E975" s="2" t="s">
        <v>838</v>
      </c>
      <c r="F975" s="2" t="s">
        <v>793</v>
      </c>
      <c r="G975" s="2" t="s">
        <v>1845</v>
      </c>
      <c r="H975" s="2" t="s">
        <v>1207</v>
      </c>
      <c r="J975" s="26"/>
      <c r="K975" s="36">
        <v>4.6806000000000001E-4</v>
      </c>
      <c r="L975" s="23">
        <v>1.5601999999999999E-4</v>
      </c>
    </row>
    <row r="976" spans="1:12" ht="15.35" hidden="1" x14ac:dyDescent="0.55000000000000004">
      <c r="A976" s="20">
        <v>9095</v>
      </c>
      <c r="B976" s="2" t="s">
        <v>173</v>
      </c>
      <c r="C976" s="2" t="s">
        <v>174</v>
      </c>
      <c r="D976" s="20">
        <v>0</v>
      </c>
      <c r="E976" s="2" t="s">
        <v>838</v>
      </c>
      <c r="F976" s="2" t="s">
        <v>793</v>
      </c>
      <c r="G976" s="2" t="s">
        <v>1846</v>
      </c>
      <c r="H976" s="2" t="s">
        <v>1207</v>
      </c>
      <c r="J976" s="26"/>
      <c r="K976" s="36">
        <v>4.6806000000000001E-4</v>
      </c>
      <c r="L976" s="23">
        <v>1.5601999999999999E-4</v>
      </c>
    </row>
    <row r="977" spans="1:12" ht="15.35" hidden="1" x14ac:dyDescent="0.55000000000000004">
      <c r="A977" s="20">
        <v>9033</v>
      </c>
      <c r="B977" s="2" t="s">
        <v>173</v>
      </c>
      <c r="C977" s="2" t="s">
        <v>174</v>
      </c>
      <c r="D977" s="20">
        <v>0</v>
      </c>
      <c r="E977" s="2" t="s">
        <v>838</v>
      </c>
      <c r="F977" s="2" t="s">
        <v>848</v>
      </c>
      <c r="G977" s="2" t="s">
        <v>1215</v>
      </c>
      <c r="H977" s="2" t="s">
        <v>1216</v>
      </c>
      <c r="J977" s="26"/>
      <c r="K977" s="36">
        <v>1.9658700000000002E-3</v>
      </c>
      <c r="L977" s="23">
        <v>6.5529E-4</v>
      </c>
    </row>
    <row r="978" spans="1:12" ht="15.35" hidden="1" x14ac:dyDescent="0.55000000000000004">
      <c r="A978" s="20">
        <v>9569</v>
      </c>
      <c r="B978" s="2" t="s">
        <v>173</v>
      </c>
      <c r="C978" s="2" t="s">
        <v>174</v>
      </c>
      <c r="D978" s="20">
        <v>0</v>
      </c>
      <c r="E978" s="2" t="s">
        <v>838</v>
      </c>
      <c r="F978" s="2" t="s">
        <v>793</v>
      </c>
      <c r="G978" s="2" t="s">
        <v>1847</v>
      </c>
      <c r="H978" s="2" t="s">
        <v>1848</v>
      </c>
      <c r="J978" s="26"/>
      <c r="K978" s="36">
        <v>1.9658700000000002E-3</v>
      </c>
      <c r="L978" s="23">
        <v>6.5529E-4</v>
      </c>
    </row>
    <row r="979" spans="1:12" ht="15.35" hidden="1" x14ac:dyDescent="0.55000000000000004">
      <c r="A979" s="20">
        <v>9570</v>
      </c>
      <c r="B979" s="2" t="s">
        <v>173</v>
      </c>
      <c r="C979" s="2" t="s">
        <v>174</v>
      </c>
      <c r="D979" s="20">
        <v>0</v>
      </c>
      <c r="E979" s="2" t="s">
        <v>838</v>
      </c>
      <c r="F979" s="2" t="s">
        <v>793</v>
      </c>
      <c r="G979" s="2" t="s">
        <v>1849</v>
      </c>
      <c r="H979" s="2" t="s">
        <v>1848</v>
      </c>
      <c r="J979" s="26"/>
      <c r="K979" s="36">
        <v>1.9658700000000002E-3</v>
      </c>
      <c r="L979" s="23">
        <v>6.5529E-4</v>
      </c>
    </row>
    <row r="980" spans="1:12" ht="15.35" hidden="1" x14ac:dyDescent="0.55000000000000004">
      <c r="A980" s="20">
        <v>9323</v>
      </c>
      <c r="B980" s="2" t="s">
        <v>173</v>
      </c>
      <c r="C980" s="2" t="s">
        <v>174</v>
      </c>
      <c r="D980" s="20">
        <v>0</v>
      </c>
      <c r="E980" s="2" t="s">
        <v>838</v>
      </c>
      <c r="F980" s="2" t="s">
        <v>793</v>
      </c>
      <c r="G980" s="2" t="s">
        <v>1850</v>
      </c>
      <c r="H980" s="2" t="s">
        <v>1218</v>
      </c>
      <c r="J980" s="26"/>
      <c r="K980" s="36">
        <v>1.9658700000000002E-3</v>
      </c>
      <c r="L980" s="23">
        <v>6.5529E-4</v>
      </c>
    </row>
    <row r="981" spans="1:12" ht="15.35" hidden="1" x14ac:dyDescent="0.55000000000000004">
      <c r="A981" s="20">
        <v>9396</v>
      </c>
      <c r="B981" s="2" t="s">
        <v>173</v>
      </c>
      <c r="C981" s="2" t="s">
        <v>174</v>
      </c>
      <c r="D981" s="20">
        <v>0</v>
      </c>
      <c r="E981" s="2" t="s">
        <v>838</v>
      </c>
      <c r="F981" s="2" t="s">
        <v>817</v>
      </c>
      <c r="G981" s="2" t="s">
        <v>1851</v>
      </c>
      <c r="H981" s="2" t="s">
        <v>1852</v>
      </c>
      <c r="J981" s="26"/>
      <c r="K981" s="36">
        <v>2.9020000000000001E-4</v>
      </c>
      <c r="L981" s="23">
        <v>9.6730000000000004E-5</v>
      </c>
    </row>
    <row r="982" spans="1:12" ht="15.35" hidden="1" x14ac:dyDescent="0.55000000000000004">
      <c r="A982" s="20">
        <v>9397</v>
      </c>
      <c r="B982" s="2" t="s">
        <v>173</v>
      </c>
      <c r="C982" s="2" t="s">
        <v>174</v>
      </c>
      <c r="D982" s="20">
        <v>0</v>
      </c>
      <c r="E982" s="2" t="s">
        <v>838</v>
      </c>
      <c r="F982" s="2" t="s">
        <v>817</v>
      </c>
      <c r="G982" s="2" t="s">
        <v>1853</v>
      </c>
      <c r="H982" s="2" t="s">
        <v>1852</v>
      </c>
      <c r="J982" s="26"/>
      <c r="K982" s="36">
        <v>1.9658700000000002E-3</v>
      </c>
      <c r="L982" s="23">
        <v>6.5529E-4</v>
      </c>
    </row>
    <row r="983" spans="1:12" ht="15.35" hidden="1" x14ac:dyDescent="0.55000000000000004">
      <c r="A983" s="20">
        <v>9067</v>
      </c>
      <c r="B983" s="2" t="s">
        <v>173</v>
      </c>
      <c r="C983" s="2" t="s">
        <v>174</v>
      </c>
      <c r="D983" s="20">
        <v>0</v>
      </c>
      <c r="E983" s="2" t="s">
        <v>838</v>
      </c>
      <c r="F983" s="2" t="s">
        <v>793</v>
      </c>
      <c r="G983" s="2" t="s">
        <v>1854</v>
      </c>
      <c r="H983" s="2" t="s">
        <v>904</v>
      </c>
      <c r="J983" s="26"/>
      <c r="K983" s="36">
        <v>1.2793E-4</v>
      </c>
      <c r="L983" s="23">
        <v>4.2639999999999998E-5</v>
      </c>
    </row>
    <row r="984" spans="1:12" ht="15.35" hidden="1" x14ac:dyDescent="0.55000000000000004">
      <c r="A984" s="20">
        <v>9060</v>
      </c>
      <c r="B984" s="2" t="s">
        <v>173</v>
      </c>
      <c r="C984" s="2" t="s">
        <v>174</v>
      </c>
      <c r="D984" s="20">
        <v>0</v>
      </c>
      <c r="E984" s="2" t="s">
        <v>838</v>
      </c>
      <c r="F984" s="2" t="s">
        <v>793</v>
      </c>
      <c r="G984" s="2" t="s">
        <v>1855</v>
      </c>
      <c r="H984" s="2" t="s">
        <v>904</v>
      </c>
      <c r="J984" s="26"/>
      <c r="K984" s="36">
        <v>4.0565000000000002E-4</v>
      </c>
      <c r="L984" s="23">
        <v>1.3522E-4</v>
      </c>
    </row>
    <row r="985" spans="1:12" ht="15.35" hidden="1" x14ac:dyDescent="0.55000000000000004">
      <c r="A985" s="20">
        <v>9065</v>
      </c>
      <c r="B985" s="2" t="s">
        <v>173</v>
      </c>
      <c r="C985" s="2" t="s">
        <v>174</v>
      </c>
      <c r="D985" s="20">
        <v>0</v>
      </c>
      <c r="E985" s="2" t="s">
        <v>838</v>
      </c>
      <c r="F985" s="2" t="s">
        <v>793</v>
      </c>
      <c r="G985" s="2" t="s">
        <v>1856</v>
      </c>
      <c r="H985" s="2" t="s">
        <v>904</v>
      </c>
      <c r="J985" s="26"/>
      <c r="K985" s="36">
        <v>2.153E-4</v>
      </c>
      <c r="L985" s="23">
        <v>7.1769999999999999E-5</v>
      </c>
    </row>
    <row r="986" spans="1:12" ht="15.35" hidden="1" x14ac:dyDescent="0.55000000000000004">
      <c r="A986" s="20">
        <v>9061</v>
      </c>
      <c r="B986" s="2" t="s">
        <v>173</v>
      </c>
      <c r="C986" s="2" t="s">
        <v>174</v>
      </c>
      <c r="D986" s="20">
        <v>0</v>
      </c>
      <c r="E986" s="2" t="s">
        <v>838</v>
      </c>
      <c r="F986" s="2" t="s">
        <v>793</v>
      </c>
      <c r="G986" s="2" t="s">
        <v>1857</v>
      </c>
      <c r="H986" s="2" t="s">
        <v>904</v>
      </c>
      <c r="J986" s="26"/>
      <c r="K986" s="36">
        <v>1.9658700000000002E-3</v>
      </c>
      <c r="L986" s="23">
        <v>6.5529E-4</v>
      </c>
    </row>
    <row r="987" spans="1:12" ht="15.35" hidden="1" x14ac:dyDescent="0.55000000000000004">
      <c r="A987" s="20">
        <v>9064</v>
      </c>
      <c r="B987" s="2" t="s">
        <v>173</v>
      </c>
      <c r="C987" s="2" t="s">
        <v>174</v>
      </c>
      <c r="D987" s="20">
        <v>0</v>
      </c>
      <c r="E987" s="2" t="s">
        <v>838</v>
      </c>
      <c r="F987" s="2" t="s">
        <v>793</v>
      </c>
      <c r="G987" s="2" t="s">
        <v>1858</v>
      </c>
      <c r="H987" s="2" t="s">
        <v>904</v>
      </c>
      <c r="J987" s="26"/>
      <c r="K987" s="36">
        <v>4.3061E-4</v>
      </c>
      <c r="L987" s="23">
        <v>1.4354E-4</v>
      </c>
    </row>
    <row r="988" spans="1:12" ht="15.35" hidden="1" x14ac:dyDescent="0.55000000000000004">
      <c r="A988" s="20">
        <v>9062</v>
      </c>
      <c r="B988" s="2" t="s">
        <v>173</v>
      </c>
      <c r="C988" s="2" t="s">
        <v>174</v>
      </c>
      <c r="D988" s="20">
        <v>0</v>
      </c>
      <c r="E988" s="2" t="s">
        <v>838</v>
      </c>
      <c r="F988" s="2" t="s">
        <v>793</v>
      </c>
      <c r="G988" s="2" t="s">
        <v>1859</v>
      </c>
      <c r="H988" s="2" t="s">
        <v>904</v>
      </c>
      <c r="J988" s="26"/>
      <c r="K988" s="36">
        <v>8.7369999999999999E-5</v>
      </c>
      <c r="L988" s="23">
        <v>2.9119999999999999E-5</v>
      </c>
    </row>
    <row r="989" spans="1:12" ht="15.35" hidden="1" x14ac:dyDescent="0.55000000000000004">
      <c r="A989" s="20">
        <v>9066</v>
      </c>
      <c r="B989" s="2" t="s">
        <v>173</v>
      </c>
      <c r="C989" s="2" t="s">
        <v>174</v>
      </c>
      <c r="D989" s="20">
        <v>0</v>
      </c>
      <c r="E989" s="2" t="s">
        <v>838</v>
      </c>
      <c r="F989" s="2" t="s">
        <v>793</v>
      </c>
      <c r="G989" s="2" t="s">
        <v>1860</v>
      </c>
      <c r="H989" s="2" t="s">
        <v>904</v>
      </c>
      <c r="J989" s="26"/>
      <c r="K989" s="36">
        <v>8.4250000000000001E-5</v>
      </c>
      <c r="L989" s="23">
        <v>2.8079999999999999E-5</v>
      </c>
    </row>
    <row r="990" spans="1:12" ht="15.35" hidden="1" x14ac:dyDescent="0.55000000000000004">
      <c r="A990" s="20">
        <v>9063</v>
      </c>
      <c r="B990" s="2" t="s">
        <v>173</v>
      </c>
      <c r="C990" s="2" t="s">
        <v>174</v>
      </c>
      <c r="D990" s="20">
        <v>0</v>
      </c>
      <c r="E990" s="2" t="s">
        <v>838</v>
      </c>
      <c r="F990" s="2" t="s">
        <v>793</v>
      </c>
      <c r="G990" s="2" t="s">
        <v>1861</v>
      </c>
      <c r="H990" s="2" t="s">
        <v>904</v>
      </c>
      <c r="J990" s="26"/>
      <c r="K990" s="36">
        <v>1.3417E-4</v>
      </c>
      <c r="L990" s="23">
        <v>4.4719999999999999E-5</v>
      </c>
    </row>
    <row r="991" spans="1:12" ht="15.35" hidden="1" x14ac:dyDescent="0.55000000000000004">
      <c r="A991" s="20">
        <v>9585</v>
      </c>
      <c r="B991" s="2" t="s">
        <v>173</v>
      </c>
      <c r="C991" s="2" t="s">
        <v>174</v>
      </c>
      <c r="D991" s="20">
        <v>0</v>
      </c>
      <c r="E991" s="2" t="s">
        <v>838</v>
      </c>
      <c r="F991" s="2" t="s">
        <v>793</v>
      </c>
      <c r="G991" s="2" t="s">
        <v>1862</v>
      </c>
      <c r="H991" s="2" t="s">
        <v>1220</v>
      </c>
      <c r="J991" s="26"/>
      <c r="K991" s="36">
        <v>8.7372000000000003E-4</v>
      </c>
      <c r="L991" s="23">
        <v>2.9124000000000001E-4</v>
      </c>
    </row>
    <row r="992" spans="1:12" ht="15.35" hidden="1" x14ac:dyDescent="0.55000000000000004">
      <c r="A992" s="20">
        <v>9582</v>
      </c>
      <c r="B992" s="2" t="s">
        <v>173</v>
      </c>
      <c r="C992" s="2" t="s">
        <v>174</v>
      </c>
      <c r="D992" s="20">
        <v>0</v>
      </c>
      <c r="E992" s="2" t="s">
        <v>838</v>
      </c>
      <c r="F992" s="2" t="s">
        <v>793</v>
      </c>
      <c r="G992" s="2" t="s">
        <v>1221</v>
      </c>
      <c r="H992" s="2" t="s">
        <v>1220</v>
      </c>
      <c r="J992" s="26"/>
      <c r="K992" s="36">
        <v>9.3612999999999997E-4</v>
      </c>
      <c r="L992" s="23">
        <v>3.1203999999999997E-4</v>
      </c>
    </row>
    <row r="993" spans="1:12" ht="15.35" hidden="1" x14ac:dyDescent="0.55000000000000004">
      <c r="A993" s="20">
        <v>9584</v>
      </c>
      <c r="B993" s="2" t="s">
        <v>173</v>
      </c>
      <c r="C993" s="2" t="s">
        <v>174</v>
      </c>
      <c r="D993" s="20">
        <v>0</v>
      </c>
      <c r="E993" s="2" t="s">
        <v>838</v>
      </c>
      <c r="F993" s="2" t="s">
        <v>793</v>
      </c>
      <c r="G993" s="2" t="s">
        <v>1223</v>
      </c>
      <c r="H993" s="2" t="s">
        <v>1220</v>
      </c>
      <c r="J993" s="26"/>
      <c r="K993" s="36">
        <v>3.1203999999999997E-4</v>
      </c>
      <c r="L993" s="23">
        <v>1.0401E-4</v>
      </c>
    </row>
    <row r="994" spans="1:12" ht="15.35" hidden="1" x14ac:dyDescent="0.55000000000000004">
      <c r="A994" s="20">
        <v>9583</v>
      </c>
      <c r="B994" s="2" t="s">
        <v>173</v>
      </c>
      <c r="C994" s="2" t="s">
        <v>174</v>
      </c>
      <c r="D994" s="20">
        <v>0</v>
      </c>
      <c r="E994" s="2" t="s">
        <v>838</v>
      </c>
      <c r="F994" s="2" t="s">
        <v>793</v>
      </c>
      <c r="G994" s="2" t="s">
        <v>1863</v>
      </c>
      <c r="H994" s="2" t="s">
        <v>1220</v>
      </c>
      <c r="J994" s="26"/>
      <c r="K994" s="36">
        <v>4.3686000000000002E-4</v>
      </c>
      <c r="L994" s="23">
        <v>1.4562000000000001E-4</v>
      </c>
    </row>
    <row r="995" spans="1:12" ht="15.35" hidden="1" x14ac:dyDescent="0.55000000000000004">
      <c r="A995" s="20">
        <v>9253</v>
      </c>
      <c r="B995" s="2" t="s">
        <v>173</v>
      </c>
      <c r="C995" s="2" t="s">
        <v>174</v>
      </c>
      <c r="D995" s="20">
        <v>0</v>
      </c>
      <c r="E995" s="2" t="s">
        <v>838</v>
      </c>
      <c r="F995" s="2" t="s">
        <v>789</v>
      </c>
      <c r="G995" s="2" t="s">
        <v>1864</v>
      </c>
      <c r="H995" s="2" t="s">
        <v>1013</v>
      </c>
      <c r="J995" s="26"/>
      <c r="K995" s="36">
        <v>4.3686000000000002E-4</v>
      </c>
      <c r="L995" s="23">
        <v>1.4562000000000001E-4</v>
      </c>
    </row>
    <row r="996" spans="1:12" ht="15.35" hidden="1" x14ac:dyDescent="0.55000000000000004">
      <c r="A996" s="20">
        <v>9251</v>
      </c>
      <c r="B996" s="2" t="s">
        <v>173</v>
      </c>
      <c r="C996" s="2" t="s">
        <v>174</v>
      </c>
      <c r="D996" s="20">
        <v>0</v>
      </c>
      <c r="E996" s="2" t="s">
        <v>838</v>
      </c>
      <c r="F996" s="2" t="s">
        <v>793</v>
      </c>
      <c r="G996" s="2" t="s">
        <v>1230</v>
      </c>
      <c r="H996" s="2" t="s">
        <v>1013</v>
      </c>
      <c r="J996" s="26"/>
      <c r="K996" s="36">
        <v>6.2407999999999995E-4</v>
      </c>
      <c r="L996" s="23">
        <v>2.0803E-4</v>
      </c>
    </row>
    <row r="997" spans="1:12" ht="15.35" hidden="1" x14ac:dyDescent="0.55000000000000004">
      <c r="A997" s="20">
        <v>9250</v>
      </c>
      <c r="B997" s="2" t="s">
        <v>173</v>
      </c>
      <c r="C997" s="2" t="s">
        <v>174</v>
      </c>
      <c r="D997" s="20">
        <v>0</v>
      </c>
      <c r="E997" s="2" t="s">
        <v>838</v>
      </c>
      <c r="F997" s="2" t="s">
        <v>789</v>
      </c>
      <c r="G997" s="2" t="s">
        <v>1865</v>
      </c>
      <c r="H997" s="2" t="s">
        <v>1013</v>
      </c>
      <c r="J997" s="26"/>
      <c r="K997" s="36">
        <v>2.9643999999999997E-4</v>
      </c>
      <c r="L997" s="23">
        <v>9.8809999999999998E-5</v>
      </c>
    </row>
    <row r="998" spans="1:12" ht="15.35" hidden="1" x14ac:dyDescent="0.55000000000000004">
      <c r="A998" s="20">
        <v>9249</v>
      </c>
      <c r="B998" s="2" t="s">
        <v>173</v>
      </c>
      <c r="C998" s="2" t="s">
        <v>174</v>
      </c>
      <c r="D998" s="20">
        <v>0</v>
      </c>
      <c r="E998" s="2" t="s">
        <v>838</v>
      </c>
      <c r="F998" s="2" t="s">
        <v>793</v>
      </c>
      <c r="G998" s="2" t="s">
        <v>1866</v>
      </c>
      <c r="H998" s="2" t="s">
        <v>1013</v>
      </c>
      <c r="J998" s="26"/>
      <c r="K998" s="36">
        <v>1.71623E-3</v>
      </c>
      <c r="L998" s="23">
        <v>5.7207999999999998E-4</v>
      </c>
    </row>
    <row r="999" spans="1:12" ht="15.35" hidden="1" x14ac:dyDescent="0.55000000000000004">
      <c r="A999" s="20">
        <v>9398</v>
      </c>
      <c r="B999" s="2" t="s">
        <v>173</v>
      </c>
      <c r="C999" s="2" t="s">
        <v>174</v>
      </c>
      <c r="D999" s="20">
        <v>0</v>
      </c>
      <c r="E999" s="2" t="s">
        <v>838</v>
      </c>
      <c r="F999" s="2" t="s">
        <v>817</v>
      </c>
      <c r="G999" s="2" t="s">
        <v>1867</v>
      </c>
      <c r="H999" s="2" t="s">
        <v>1868</v>
      </c>
      <c r="J999" s="26"/>
      <c r="K999" s="36">
        <v>3.1199999999999999E-5</v>
      </c>
      <c r="L999" s="23">
        <v>1.04E-5</v>
      </c>
    </row>
    <row r="1000" spans="1:12" ht="15.35" hidden="1" x14ac:dyDescent="0.55000000000000004">
      <c r="A1000" s="20">
        <v>9052</v>
      </c>
      <c r="B1000" s="2" t="s">
        <v>173</v>
      </c>
      <c r="C1000" s="2" t="s">
        <v>174</v>
      </c>
      <c r="D1000" s="20">
        <v>0</v>
      </c>
      <c r="E1000" s="2" t="s">
        <v>838</v>
      </c>
      <c r="F1000" s="2" t="s">
        <v>787</v>
      </c>
      <c r="G1000" s="2" t="s">
        <v>968</v>
      </c>
      <c r="H1000" s="2" t="s">
        <v>968</v>
      </c>
      <c r="J1000" s="26"/>
      <c r="K1000" s="36">
        <v>1.9658700000000002E-3</v>
      </c>
      <c r="L1000" s="23">
        <v>6.5529E-4</v>
      </c>
    </row>
    <row r="1001" spans="1:12" ht="15.35" hidden="1" x14ac:dyDescent="0.55000000000000004">
      <c r="A1001" s="20">
        <v>9273</v>
      </c>
      <c r="B1001" s="2" t="s">
        <v>173</v>
      </c>
      <c r="C1001" s="2" t="s">
        <v>174</v>
      </c>
      <c r="D1001" s="20">
        <v>0</v>
      </c>
      <c r="E1001" s="2" t="s">
        <v>838</v>
      </c>
      <c r="F1001" s="2" t="s">
        <v>793</v>
      </c>
      <c r="G1001" s="2" t="s">
        <v>1869</v>
      </c>
      <c r="H1001" s="2" t="s">
        <v>1233</v>
      </c>
      <c r="J1001" s="26"/>
      <c r="K1001" s="36">
        <v>9.4236999999999999E-4</v>
      </c>
      <c r="L1001" s="23">
        <v>3.1411999999999998E-4</v>
      </c>
    </row>
    <row r="1002" spans="1:12" ht="15.35" hidden="1" x14ac:dyDescent="0.55000000000000004">
      <c r="A1002" s="20">
        <v>9283</v>
      </c>
      <c r="B1002" s="2" t="s">
        <v>173</v>
      </c>
      <c r="C1002" s="2" t="s">
        <v>174</v>
      </c>
      <c r="D1002" s="20">
        <v>0</v>
      </c>
      <c r="E1002" s="2" t="s">
        <v>838</v>
      </c>
      <c r="F1002" s="2" t="s">
        <v>793</v>
      </c>
      <c r="G1002" s="2" t="s">
        <v>1870</v>
      </c>
      <c r="H1002" s="2" t="s">
        <v>1233</v>
      </c>
      <c r="J1002" s="26"/>
      <c r="K1002" s="36">
        <v>9.7668999999999989E-4</v>
      </c>
      <c r="L1002" s="23">
        <v>3.2556000000000002E-4</v>
      </c>
    </row>
    <row r="1003" spans="1:12" ht="15.35" hidden="1" x14ac:dyDescent="0.55000000000000004">
      <c r="A1003" s="20">
        <v>9272</v>
      </c>
      <c r="B1003" s="2" t="s">
        <v>173</v>
      </c>
      <c r="C1003" s="2" t="s">
        <v>174</v>
      </c>
      <c r="D1003" s="20">
        <v>0</v>
      </c>
      <c r="E1003" s="2" t="s">
        <v>838</v>
      </c>
      <c r="F1003" s="2" t="s">
        <v>793</v>
      </c>
      <c r="G1003" s="2" t="s">
        <v>1232</v>
      </c>
      <c r="H1003" s="2" t="s">
        <v>1233</v>
      </c>
      <c r="J1003" s="26"/>
      <c r="K1003" s="36">
        <v>1.68815E-3</v>
      </c>
      <c r="L1003" s="23">
        <v>5.6271999999999995E-4</v>
      </c>
    </row>
    <row r="1004" spans="1:12" ht="15.35" hidden="1" x14ac:dyDescent="0.55000000000000004">
      <c r="A1004" s="20">
        <v>9282</v>
      </c>
      <c r="B1004" s="2" t="s">
        <v>173</v>
      </c>
      <c r="C1004" s="2" t="s">
        <v>174</v>
      </c>
      <c r="D1004" s="20">
        <v>0</v>
      </c>
      <c r="E1004" s="2" t="s">
        <v>838</v>
      </c>
      <c r="F1004" s="2" t="s">
        <v>793</v>
      </c>
      <c r="G1004" s="2" t="s">
        <v>1871</v>
      </c>
      <c r="H1004" s="2" t="s">
        <v>1871</v>
      </c>
      <c r="J1004" s="26"/>
      <c r="K1004" s="36">
        <v>5.8352000000000002E-4</v>
      </c>
      <c r="L1004" s="23">
        <v>1.9451000000000001E-4</v>
      </c>
    </row>
    <row r="1005" spans="1:12" ht="15.35" hidden="1" x14ac:dyDescent="0.55000000000000004">
      <c r="A1005" s="20">
        <v>9247</v>
      </c>
      <c r="B1005" s="2" t="s">
        <v>173</v>
      </c>
      <c r="C1005" s="2" t="s">
        <v>174</v>
      </c>
      <c r="D1005" s="20">
        <v>0</v>
      </c>
      <c r="E1005" s="2" t="s">
        <v>838</v>
      </c>
      <c r="F1005" s="2" t="s">
        <v>789</v>
      </c>
      <c r="G1005" s="2" t="s">
        <v>1872</v>
      </c>
      <c r="H1005" s="2" t="s">
        <v>1872</v>
      </c>
      <c r="J1005" s="26"/>
      <c r="K1005" s="36">
        <v>1.9658700000000002E-3</v>
      </c>
      <c r="L1005" s="23">
        <v>6.5529E-4</v>
      </c>
    </row>
    <row r="1006" spans="1:12" ht="15.35" hidden="1" x14ac:dyDescent="0.55000000000000004">
      <c r="A1006" s="20">
        <v>9269</v>
      </c>
      <c r="B1006" s="2" t="s">
        <v>173</v>
      </c>
      <c r="C1006" s="2" t="s">
        <v>174</v>
      </c>
      <c r="D1006" s="20">
        <v>0</v>
      </c>
      <c r="E1006" s="2" t="s">
        <v>838</v>
      </c>
      <c r="F1006" s="2" t="s">
        <v>789</v>
      </c>
      <c r="G1006" s="2" t="s">
        <v>1234</v>
      </c>
      <c r="H1006" s="2" t="s">
        <v>1015</v>
      </c>
      <c r="J1006" s="26"/>
      <c r="K1006" s="36">
        <v>1.9658700000000002E-3</v>
      </c>
      <c r="L1006" s="23">
        <v>6.5529E-4</v>
      </c>
    </row>
    <row r="1007" spans="1:12" ht="15.35" hidden="1" x14ac:dyDescent="0.55000000000000004">
      <c r="A1007" s="20">
        <v>9264</v>
      </c>
      <c r="B1007" s="2" t="s">
        <v>173</v>
      </c>
      <c r="C1007" s="2" t="s">
        <v>174</v>
      </c>
      <c r="D1007" s="20">
        <v>0</v>
      </c>
      <c r="E1007" s="2" t="s">
        <v>838</v>
      </c>
      <c r="F1007" s="2" t="s">
        <v>789</v>
      </c>
      <c r="G1007" s="2" t="s">
        <v>1873</v>
      </c>
      <c r="H1007" s="2" t="s">
        <v>1015</v>
      </c>
      <c r="J1007" s="26"/>
      <c r="K1007" s="36">
        <v>1.9658700000000002E-3</v>
      </c>
      <c r="L1007" s="23">
        <v>6.5529E-4</v>
      </c>
    </row>
    <row r="1008" spans="1:12" ht="15.35" hidden="1" x14ac:dyDescent="0.55000000000000004">
      <c r="A1008" s="20">
        <v>9265</v>
      </c>
      <c r="B1008" s="2" t="s">
        <v>173</v>
      </c>
      <c r="C1008" s="2" t="s">
        <v>174</v>
      </c>
      <c r="D1008" s="20">
        <v>0</v>
      </c>
      <c r="E1008" s="2" t="s">
        <v>838</v>
      </c>
      <c r="F1008" s="2" t="s">
        <v>789</v>
      </c>
      <c r="G1008" s="2" t="s">
        <v>1236</v>
      </c>
      <c r="H1008" s="2" t="s">
        <v>1021</v>
      </c>
      <c r="J1008" s="26"/>
      <c r="K1008" s="36">
        <v>1.9658700000000002E-3</v>
      </c>
      <c r="L1008" s="23">
        <v>6.5529E-4</v>
      </c>
    </row>
    <row r="1009" spans="1:12" ht="15.35" hidden="1" x14ac:dyDescent="0.55000000000000004">
      <c r="A1009" s="20">
        <v>9266</v>
      </c>
      <c r="B1009" s="2" t="s">
        <v>173</v>
      </c>
      <c r="C1009" s="2" t="s">
        <v>174</v>
      </c>
      <c r="D1009" s="20">
        <v>0</v>
      </c>
      <c r="E1009" s="2" t="s">
        <v>838</v>
      </c>
      <c r="F1009" s="2" t="s">
        <v>789</v>
      </c>
      <c r="G1009" s="2" t="s">
        <v>1237</v>
      </c>
      <c r="H1009" s="2" t="s">
        <v>1021</v>
      </c>
      <c r="J1009" s="26"/>
      <c r="K1009" s="36">
        <v>1.9658700000000002E-3</v>
      </c>
      <c r="L1009" s="23">
        <v>6.5529E-4</v>
      </c>
    </row>
    <row r="1010" spans="1:12" ht="15.35" hidden="1" x14ac:dyDescent="0.55000000000000004">
      <c r="A1010" s="20">
        <v>9271</v>
      </c>
      <c r="B1010" s="2" t="s">
        <v>173</v>
      </c>
      <c r="C1010" s="2" t="s">
        <v>174</v>
      </c>
      <c r="D1010" s="20">
        <v>0</v>
      </c>
      <c r="E1010" s="2" t="s">
        <v>838</v>
      </c>
      <c r="F1010" s="2" t="s">
        <v>789</v>
      </c>
      <c r="G1010" s="2" t="s">
        <v>1238</v>
      </c>
      <c r="H1010" s="2" t="s">
        <v>1021</v>
      </c>
      <c r="J1010" s="26"/>
      <c r="K1010" s="36">
        <v>1.9658700000000002E-3</v>
      </c>
      <c r="L1010" s="23">
        <v>6.5529E-4</v>
      </c>
    </row>
    <row r="1011" spans="1:12" ht="15.35" hidden="1" x14ac:dyDescent="0.55000000000000004">
      <c r="A1011" s="20">
        <v>9263</v>
      </c>
      <c r="B1011" s="2" t="s">
        <v>173</v>
      </c>
      <c r="C1011" s="2" t="s">
        <v>174</v>
      </c>
      <c r="D1011" s="20">
        <v>0</v>
      </c>
      <c r="E1011" s="2" t="s">
        <v>838</v>
      </c>
      <c r="F1011" s="2" t="s">
        <v>789</v>
      </c>
      <c r="G1011" s="2" t="s">
        <v>1874</v>
      </c>
      <c r="H1011" s="2" t="s">
        <v>1021</v>
      </c>
      <c r="J1011" s="26"/>
      <c r="K1011" s="36">
        <v>1.9658700000000002E-3</v>
      </c>
      <c r="L1011" s="23">
        <v>6.5529E-4</v>
      </c>
    </row>
    <row r="1012" spans="1:12" ht="15.35" hidden="1" x14ac:dyDescent="0.55000000000000004">
      <c r="A1012" s="20">
        <v>9268</v>
      </c>
      <c r="B1012" s="2" t="s">
        <v>173</v>
      </c>
      <c r="C1012" s="2" t="s">
        <v>174</v>
      </c>
      <c r="D1012" s="20">
        <v>0</v>
      </c>
      <c r="E1012" s="2" t="s">
        <v>838</v>
      </c>
      <c r="F1012" s="2" t="s">
        <v>789</v>
      </c>
      <c r="G1012" s="2" t="s">
        <v>1240</v>
      </c>
      <c r="H1012" s="2" t="s">
        <v>1241</v>
      </c>
      <c r="J1012" s="26"/>
      <c r="K1012" s="36">
        <v>1.9658700000000002E-3</v>
      </c>
      <c r="L1012" s="23">
        <v>6.5529E-4</v>
      </c>
    </row>
    <row r="1013" spans="1:12" ht="15.35" hidden="1" x14ac:dyDescent="0.55000000000000004">
      <c r="A1013" s="20">
        <v>9262</v>
      </c>
      <c r="B1013" s="2" t="s">
        <v>173</v>
      </c>
      <c r="C1013" s="2" t="s">
        <v>174</v>
      </c>
      <c r="D1013" s="20">
        <v>0</v>
      </c>
      <c r="E1013" s="2" t="s">
        <v>838</v>
      </c>
      <c r="F1013" s="2" t="s">
        <v>789</v>
      </c>
      <c r="G1013" s="2" t="s">
        <v>1242</v>
      </c>
      <c r="H1013" s="2" t="s">
        <v>840</v>
      </c>
      <c r="J1013" s="26"/>
      <c r="K1013" s="36">
        <v>1.9658700000000002E-3</v>
      </c>
      <c r="L1013" s="23">
        <v>6.5529E-4</v>
      </c>
    </row>
    <row r="1014" spans="1:12" ht="15.35" hidden="1" x14ac:dyDescent="0.55000000000000004">
      <c r="A1014" s="20">
        <v>9255</v>
      </c>
      <c r="B1014" s="2" t="s">
        <v>173</v>
      </c>
      <c r="C1014" s="2" t="s">
        <v>174</v>
      </c>
      <c r="D1014" s="20">
        <v>0</v>
      </c>
      <c r="E1014" s="2" t="s">
        <v>838</v>
      </c>
      <c r="F1014" s="2" t="s">
        <v>789</v>
      </c>
      <c r="G1014" s="2" t="s">
        <v>839</v>
      </c>
      <c r="H1014" s="2" t="s">
        <v>840</v>
      </c>
      <c r="J1014" s="26"/>
      <c r="K1014" s="36">
        <v>1.9658700000000002E-3</v>
      </c>
      <c r="L1014" s="23">
        <v>6.5529E-4</v>
      </c>
    </row>
    <row r="1015" spans="1:12" ht="15.35" hidden="1" x14ac:dyDescent="0.55000000000000004">
      <c r="A1015" s="20">
        <v>9261</v>
      </c>
      <c r="B1015" s="2" t="s">
        <v>173</v>
      </c>
      <c r="C1015" s="2" t="s">
        <v>174</v>
      </c>
      <c r="D1015" s="20">
        <v>0</v>
      </c>
      <c r="E1015" s="2" t="s">
        <v>838</v>
      </c>
      <c r="F1015" s="2" t="s">
        <v>789</v>
      </c>
      <c r="G1015" s="2" t="s">
        <v>1025</v>
      </c>
      <c r="H1015" s="2" t="s">
        <v>840</v>
      </c>
      <c r="J1015" s="26"/>
      <c r="K1015" s="36">
        <v>1.9658700000000002E-3</v>
      </c>
      <c r="L1015" s="23">
        <v>6.5529E-4</v>
      </c>
    </row>
    <row r="1016" spans="1:12" ht="15.35" hidden="1" x14ac:dyDescent="0.55000000000000004">
      <c r="A1016" s="20">
        <v>9274</v>
      </c>
      <c r="B1016" s="2" t="s">
        <v>173</v>
      </c>
      <c r="C1016" s="2" t="s">
        <v>174</v>
      </c>
      <c r="D1016" s="20">
        <v>0</v>
      </c>
      <c r="E1016" s="2" t="s">
        <v>838</v>
      </c>
      <c r="F1016" s="2" t="s">
        <v>789</v>
      </c>
      <c r="G1016" s="2" t="s">
        <v>1875</v>
      </c>
      <c r="H1016" s="2" t="s">
        <v>840</v>
      </c>
      <c r="J1016" s="26"/>
      <c r="K1016" s="36">
        <v>1.9658700000000002E-3</v>
      </c>
      <c r="L1016" s="23">
        <v>6.5529E-4</v>
      </c>
    </row>
    <row r="1017" spans="1:12" ht="15.35" hidden="1" x14ac:dyDescent="0.55000000000000004">
      <c r="A1017" s="20">
        <v>9275</v>
      </c>
      <c r="B1017" s="2" t="s">
        <v>173</v>
      </c>
      <c r="C1017" s="2" t="s">
        <v>174</v>
      </c>
      <c r="D1017" s="20">
        <v>0</v>
      </c>
      <c r="E1017" s="2" t="s">
        <v>838</v>
      </c>
      <c r="F1017" s="2" t="s">
        <v>789</v>
      </c>
      <c r="G1017" s="2" t="s">
        <v>1876</v>
      </c>
      <c r="H1017" s="2" t="s">
        <v>840</v>
      </c>
      <c r="J1017" s="26"/>
      <c r="K1017" s="36">
        <v>1.9658700000000002E-3</v>
      </c>
      <c r="L1017" s="23">
        <v>6.5529E-4</v>
      </c>
    </row>
    <row r="1018" spans="1:12" ht="15.35" hidden="1" x14ac:dyDescent="0.55000000000000004">
      <c r="A1018" s="20">
        <v>9276</v>
      </c>
      <c r="B1018" s="2" t="s">
        <v>173</v>
      </c>
      <c r="C1018" s="2" t="s">
        <v>174</v>
      </c>
      <c r="D1018" s="20">
        <v>0</v>
      </c>
      <c r="E1018" s="2" t="s">
        <v>838</v>
      </c>
      <c r="F1018" s="2" t="s">
        <v>789</v>
      </c>
      <c r="G1018" s="2" t="s">
        <v>1877</v>
      </c>
      <c r="H1018" s="2" t="s">
        <v>840</v>
      </c>
      <c r="J1018" s="26"/>
      <c r="K1018" s="36">
        <v>1.9658700000000002E-3</v>
      </c>
      <c r="L1018" s="23">
        <v>6.5529E-4</v>
      </c>
    </row>
    <row r="1019" spans="1:12" ht="15.35" hidden="1" x14ac:dyDescent="0.55000000000000004">
      <c r="A1019" s="20">
        <v>9277</v>
      </c>
      <c r="B1019" s="2" t="s">
        <v>173</v>
      </c>
      <c r="C1019" s="2" t="s">
        <v>174</v>
      </c>
      <c r="D1019" s="20">
        <v>0</v>
      </c>
      <c r="E1019" s="2" t="s">
        <v>838</v>
      </c>
      <c r="F1019" s="2" t="s">
        <v>789</v>
      </c>
      <c r="G1019" s="2" t="s">
        <v>1878</v>
      </c>
      <c r="H1019" s="2" t="s">
        <v>840</v>
      </c>
      <c r="J1019" s="26"/>
      <c r="K1019" s="36">
        <v>1.9658700000000002E-3</v>
      </c>
      <c r="L1019" s="23">
        <v>6.5529E-4</v>
      </c>
    </row>
    <row r="1020" spans="1:12" ht="15.35" hidden="1" x14ac:dyDescent="0.55000000000000004">
      <c r="A1020" s="20">
        <v>9278</v>
      </c>
      <c r="B1020" s="2" t="s">
        <v>173</v>
      </c>
      <c r="C1020" s="2" t="s">
        <v>174</v>
      </c>
      <c r="D1020" s="20">
        <v>0</v>
      </c>
      <c r="E1020" s="2" t="s">
        <v>838</v>
      </c>
      <c r="F1020" s="2" t="s">
        <v>789</v>
      </c>
      <c r="G1020" s="2" t="s">
        <v>1879</v>
      </c>
      <c r="H1020" s="2" t="s">
        <v>840</v>
      </c>
      <c r="J1020" s="26"/>
      <c r="K1020" s="36">
        <v>1.9658700000000002E-3</v>
      </c>
      <c r="L1020" s="23">
        <v>6.5529E-4</v>
      </c>
    </row>
    <row r="1021" spans="1:12" ht="15.35" hidden="1" x14ac:dyDescent="0.55000000000000004">
      <c r="A1021" s="20">
        <v>9270</v>
      </c>
      <c r="B1021" s="2" t="s">
        <v>173</v>
      </c>
      <c r="C1021" s="2" t="s">
        <v>174</v>
      </c>
      <c r="D1021" s="20">
        <v>0</v>
      </c>
      <c r="E1021" s="2" t="s">
        <v>838</v>
      </c>
      <c r="F1021" s="2" t="s">
        <v>789</v>
      </c>
      <c r="G1021" s="2" t="s">
        <v>1880</v>
      </c>
      <c r="H1021" s="2" t="s">
        <v>971</v>
      </c>
      <c r="J1021" s="26"/>
      <c r="K1021" s="36">
        <v>1.9658700000000002E-3</v>
      </c>
      <c r="L1021" s="23">
        <v>6.5529E-4</v>
      </c>
    </row>
    <row r="1022" spans="1:12" ht="15.35" hidden="1" x14ac:dyDescent="0.55000000000000004">
      <c r="A1022" s="20">
        <v>9122</v>
      </c>
      <c r="B1022" s="2" t="s">
        <v>173</v>
      </c>
      <c r="C1022" s="2" t="s">
        <v>174</v>
      </c>
      <c r="D1022" s="20">
        <v>0</v>
      </c>
      <c r="E1022" s="2" t="s">
        <v>838</v>
      </c>
      <c r="F1022" s="2" t="s">
        <v>789</v>
      </c>
      <c r="G1022" s="2" t="s">
        <v>1881</v>
      </c>
      <c r="H1022" s="2" t="s">
        <v>971</v>
      </c>
      <c r="J1022" s="26"/>
      <c r="K1022" s="36">
        <v>1.40419E-3</v>
      </c>
      <c r="L1022" s="23">
        <v>4.6806000000000001E-4</v>
      </c>
    </row>
    <row r="1023" spans="1:12" ht="15.35" hidden="1" x14ac:dyDescent="0.55000000000000004">
      <c r="A1023" s="20">
        <v>9248</v>
      </c>
      <c r="B1023" s="2" t="s">
        <v>173</v>
      </c>
      <c r="C1023" s="2" t="s">
        <v>174</v>
      </c>
      <c r="D1023" s="20">
        <v>0</v>
      </c>
      <c r="E1023" s="2" t="s">
        <v>838</v>
      </c>
      <c r="F1023" s="2" t="s">
        <v>789</v>
      </c>
      <c r="G1023" s="2" t="s">
        <v>1882</v>
      </c>
      <c r="H1023" s="2" t="s">
        <v>1882</v>
      </c>
      <c r="J1023" s="26"/>
      <c r="K1023" s="36">
        <v>1.9658700000000002E-3</v>
      </c>
      <c r="L1023" s="23">
        <v>6.5529E-4</v>
      </c>
    </row>
    <row r="1024" spans="1:12" ht="15.35" hidden="1" x14ac:dyDescent="0.55000000000000004">
      <c r="A1024" s="20">
        <v>9117</v>
      </c>
      <c r="B1024" s="2" t="s">
        <v>173</v>
      </c>
      <c r="C1024" s="2" t="s">
        <v>174</v>
      </c>
      <c r="D1024" s="20">
        <v>0</v>
      </c>
      <c r="E1024" s="2" t="s">
        <v>838</v>
      </c>
      <c r="F1024" s="2" t="s">
        <v>789</v>
      </c>
      <c r="G1024" s="2" t="s">
        <v>1251</v>
      </c>
      <c r="H1024" s="2" t="s">
        <v>1252</v>
      </c>
      <c r="J1024" s="26"/>
      <c r="K1024" s="36">
        <v>1.9658700000000002E-3</v>
      </c>
      <c r="L1024" s="23">
        <v>6.5529E-4</v>
      </c>
    </row>
    <row r="1025" spans="1:12" ht="15.35" hidden="1" x14ac:dyDescent="0.55000000000000004">
      <c r="A1025" s="20">
        <v>9386</v>
      </c>
      <c r="B1025" s="2" t="s">
        <v>173</v>
      </c>
      <c r="C1025" s="2" t="s">
        <v>174</v>
      </c>
      <c r="D1025" s="20">
        <v>0</v>
      </c>
      <c r="E1025" s="2" t="s">
        <v>838</v>
      </c>
      <c r="F1025" s="2" t="s">
        <v>807</v>
      </c>
      <c r="G1025" s="2" t="s">
        <v>1883</v>
      </c>
      <c r="H1025" s="2" t="s">
        <v>1254</v>
      </c>
      <c r="J1025" s="26"/>
      <c r="K1025" s="36">
        <v>6.5529E-4</v>
      </c>
      <c r="L1025" s="23">
        <v>2.1843000000000001E-4</v>
      </c>
    </row>
    <row r="1026" spans="1:12" ht="15.35" hidden="1" x14ac:dyDescent="0.55000000000000004">
      <c r="A1026" s="20">
        <v>9216</v>
      </c>
      <c r="B1026" s="2" t="s">
        <v>173</v>
      </c>
      <c r="C1026" s="2" t="s">
        <v>174</v>
      </c>
      <c r="D1026" s="20">
        <v>0</v>
      </c>
      <c r="E1026" s="2" t="s">
        <v>838</v>
      </c>
      <c r="F1026" s="2" t="s">
        <v>789</v>
      </c>
      <c r="G1026" s="2" t="s">
        <v>1884</v>
      </c>
      <c r="H1026" s="2" t="s">
        <v>1885</v>
      </c>
      <c r="J1026" s="26"/>
      <c r="K1026" s="36">
        <v>3.8068999999999999E-4</v>
      </c>
      <c r="L1026" s="23">
        <v>1.2689999999999999E-4</v>
      </c>
    </row>
    <row r="1027" spans="1:12" ht="15.35" hidden="1" x14ac:dyDescent="0.55000000000000004">
      <c r="A1027" s="20">
        <v>9246</v>
      </c>
      <c r="B1027" s="2" t="s">
        <v>173</v>
      </c>
      <c r="C1027" s="2" t="s">
        <v>174</v>
      </c>
      <c r="D1027" s="20">
        <v>0</v>
      </c>
      <c r="E1027" s="2" t="s">
        <v>838</v>
      </c>
      <c r="F1027" s="2" t="s">
        <v>789</v>
      </c>
      <c r="G1027" s="2" t="s">
        <v>1886</v>
      </c>
      <c r="H1027" s="2" t="s">
        <v>1887</v>
      </c>
      <c r="J1027" s="26"/>
      <c r="K1027" s="36">
        <v>1.9658700000000002E-3</v>
      </c>
      <c r="L1027" s="23">
        <v>6.5529E-4</v>
      </c>
    </row>
    <row r="1028" spans="1:12" ht="15.35" hidden="1" x14ac:dyDescent="0.55000000000000004">
      <c r="A1028" s="20">
        <v>9552</v>
      </c>
      <c r="B1028" s="2" t="s">
        <v>173</v>
      </c>
      <c r="C1028" s="2" t="s">
        <v>174</v>
      </c>
      <c r="D1028" s="20">
        <v>0</v>
      </c>
      <c r="E1028" s="2" t="s">
        <v>838</v>
      </c>
      <c r="F1028" s="2" t="s">
        <v>789</v>
      </c>
      <c r="G1028" s="2" t="s">
        <v>1255</v>
      </c>
      <c r="H1028" s="2" t="s">
        <v>1256</v>
      </c>
      <c r="J1028" s="26"/>
      <c r="K1028" s="36">
        <v>1.9658700000000002E-3</v>
      </c>
      <c r="L1028" s="23">
        <v>6.5529E-4</v>
      </c>
    </row>
    <row r="1029" spans="1:12" ht="15.35" hidden="1" x14ac:dyDescent="0.55000000000000004">
      <c r="A1029" s="20">
        <v>9553</v>
      </c>
      <c r="B1029" s="2" t="s">
        <v>173</v>
      </c>
      <c r="C1029" s="2" t="s">
        <v>174</v>
      </c>
      <c r="D1029" s="20">
        <v>0</v>
      </c>
      <c r="E1029" s="2" t="s">
        <v>838</v>
      </c>
      <c r="F1029" s="2" t="s">
        <v>789</v>
      </c>
      <c r="G1029" s="2" t="s">
        <v>1257</v>
      </c>
      <c r="H1029" s="2" t="s">
        <v>1256</v>
      </c>
      <c r="J1029" s="26"/>
      <c r="K1029" s="36">
        <v>1.6850299999999999E-3</v>
      </c>
      <c r="L1029" s="23">
        <v>5.6167999999999995E-4</v>
      </c>
    </row>
    <row r="1030" spans="1:12" ht="15.35" hidden="1" x14ac:dyDescent="0.55000000000000004">
      <c r="A1030" s="20">
        <v>9554</v>
      </c>
      <c r="B1030" s="2" t="s">
        <v>173</v>
      </c>
      <c r="C1030" s="2" t="s">
        <v>174</v>
      </c>
      <c r="D1030" s="20">
        <v>0</v>
      </c>
      <c r="E1030" s="2" t="s">
        <v>838</v>
      </c>
      <c r="F1030" s="2" t="s">
        <v>789</v>
      </c>
      <c r="G1030" s="2" t="s">
        <v>1258</v>
      </c>
      <c r="H1030" s="2" t="s">
        <v>1256</v>
      </c>
      <c r="J1030" s="26"/>
      <c r="K1030" s="36">
        <v>1.9658700000000002E-3</v>
      </c>
      <c r="L1030" s="23">
        <v>6.5529E-4</v>
      </c>
    </row>
    <row r="1031" spans="1:12" ht="15.35" hidden="1" x14ac:dyDescent="0.55000000000000004">
      <c r="A1031" s="20">
        <v>9560</v>
      </c>
      <c r="B1031" s="2" t="s">
        <v>173</v>
      </c>
      <c r="C1031" s="2" t="s">
        <v>174</v>
      </c>
      <c r="D1031" s="20">
        <v>0</v>
      </c>
      <c r="E1031" s="2" t="s">
        <v>838</v>
      </c>
      <c r="F1031" s="2" t="s">
        <v>789</v>
      </c>
      <c r="G1031" s="2" t="s">
        <v>1888</v>
      </c>
      <c r="H1031" s="2" t="s">
        <v>1256</v>
      </c>
      <c r="J1031" s="26"/>
      <c r="K1031" s="36">
        <v>1.4978000000000001E-3</v>
      </c>
      <c r="L1031" s="23">
        <v>4.9927000000000001E-4</v>
      </c>
    </row>
    <row r="1032" spans="1:12" ht="15.35" hidden="1" x14ac:dyDescent="0.55000000000000004">
      <c r="A1032" s="20">
        <v>9551</v>
      </c>
      <c r="B1032" s="2" t="s">
        <v>173</v>
      </c>
      <c r="C1032" s="2" t="s">
        <v>174</v>
      </c>
      <c r="D1032" s="20">
        <v>0</v>
      </c>
      <c r="E1032" s="2" t="s">
        <v>838</v>
      </c>
      <c r="F1032" s="2" t="s">
        <v>789</v>
      </c>
      <c r="G1032" s="2" t="s">
        <v>1259</v>
      </c>
      <c r="H1032" s="2" t="s">
        <v>1256</v>
      </c>
      <c r="J1032" s="26"/>
      <c r="K1032" s="36">
        <v>1.9658700000000002E-3</v>
      </c>
      <c r="L1032" s="23">
        <v>6.5529E-4</v>
      </c>
    </row>
    <row r="1033" spans="1:12" ht="15.35" hidden="1" x14ac:dyDescent="0.55000000000000004">
      <c r="A1033" s="20">
        <v>9549</v>
      </c>
      <c r="B1033" s="2" t="s">
        <v>173</v>
      </c>
      <c r="C1033" s="2" t="s">
        <v>174</v>
      </c>
      <c r="D1033" s="20">
        <v>0</v>
      </c>
      <c r="E1033" s="2" t="s">
        <v>838</v>
      </c>
      <c r="F1033" s="2" t="s">
        <v>789</v>
      </c>
      <c r="G1033" s="2" t="s">
        <v>1260</v>
      </c>
      <c r="H1033" s="2" t="s">
        <v>1256</v>
      </c>
      <c r="J1033" s="26"/>
      <c r="K1033" s="36">
        <v>1.9658700000000002E-3</v>
      </c>
      <c r="L1033" s="23">
        <v>6.5529E-4</v>
      </c>
    </row>
    <row r="1034" spans="1:12" ht="15.35" hidden="1" x14ac:dyDescent="0.55000000000000004">
      <c r="A1034" s="20">
        <v>9550</v>
      </c>
      <c r="B1034" s="2" t="s">
        <v>173</v>
      </c>
      <c r="C1034" s="2" t="s">
        <v>174</v>
      </c>
      <c r="D1034" s="20">
        <v>0</v>
      </c>
      <c r="E1034" s="2" t="s">
        <v>838</v>
      </c>
      <c r="F1034" s="2" t="s">
        <v>789</v>
      </c>
      <c r="G1034" s="2" t="s">
        <v>1261</v>
      </c>
      <c r="H1034" s="2" t="s">
        <v>1256</v>
      </c>
      <c r="J1034" s="26"/>
      <c r="K1034" s="36">
        <v>1.9658700000000002E-3</v>
      </c>
      <c r="L1034" s="23">
        <v>6.5529E-4</v>
      </c>
    </row>
    <row r="1035" spans="1:12" ht="15.35" hidden="1" x14ac:dyDescent="0.55000000000000004">
      <c r="A1035" s="20">
        <v>9558</v>
      </c>
      <c r="B1035" s="2" t="s">
        <v>173</v>
      </c>
      <c r="C1035" s="2" t="s">
        <v>174</v>
      </c>
      <c r="D1035" s="20">
        <v>0</v>
      </c>
      <c r="E1035" s="2" t="s">
        <v>838</v>
      </c>
      <c r="F1035" s="2" t="s">
        <v>789</v>
      </c>
      <c r="G1035" s="2" t="s">
        <v>1889</v>
      </c>
      <c r="H1035" s="2" t="s">
        <v>1256</v>
      </c>
      <c r="J1035" s="26"/>
      <c r="K1035" s="36">
        <v>1.9658700000000002E-3</v>
      </c>
      <c r="L1035" s="23">
        <v>6.5529E-4</v>
      </c>
    </row>
    <row r="1036" spans="1:12" ht="15.35" hidden="1" x14ac:dyDescent="0.55000000000000004">
      <c r="A1036" s="20">
        <v>9559</v>
      </c>
      <c r="B1036" s="2" t="s">
        <v>173</v>
      </c>
      <c r="C1036" s="2" t="s">
        <v>174</v>
      </c>
      <c r="D1036" s="20">
        <v>0</v>
      </c>
      <c r="E1036" s="2" t="s">
        <v>838</v>
      </c>
      <c r="F1036" s="2" t="s">
        <v>833</v>
      </c>
      <c r="G1036" s="2" t="s">
        <v>1263</v>
      </c>
      <c r="H1036" s="2" t="s">
        <v>1256</v>
      </c>
      <c r="J1036" s="26"/>
      <c r="K1036" s="36">
        <v>1.9658700000000002E-3</v>
      </c>
      <c r="L1036" s="23">
        <v>6.5529E-4</v>
      </c>
    </row>
    <row r="1037" spans="1:12" ht="15.35" hidden="1" x14ac:dyDescent="0.55000000000000004">
      <c r="A1037" s="20">
        <v>9561</v>
      </c>
      <c r="B1037" s="2" t="s">
        <v>173</v>
      </c>
      <c r="C1037" s="2" t="s">
        <v>174</v>
      </c>
      <c r="D1037" s="20">
        <v>0</v>
      </c>
      <c r="E1037" s="2" t="s">
        <v>838</v>
      </c>
      <c r="F1037" s="2" t="s">
        <v>793</v>
      </c>
      <c r="G1037" s="2" t="s">
        <v>1890</v>
      </c>
      <c r="H1037" s="2" t="s">
        <v>1265</v>
      </c>
      <c r="J1037" s="26"/>
      <c r="K1037" s="36">
        <v>1.7474400000000001E-3</v>
      </c>
      <c r="L1037" s="23">
        <v>5.8248000000000002E-4</v>
      </c>
    </row>
    <row r="1038" spans="1:12" ht="15.35" hidden="1" x14ac:dyDescent="0.55000000000000004">
      <c r="A1038" s="20">
        <v>9562</v>
      </c>
      <c r="B1038" s="2" t="s">
        <v>173</v>
      </c>
      <c r="C1038" s="2" t="s">
        <v>174</v>
      </c>
      <c r="D1038" s="20">
        <v>0</v>
      </c>
      <c r="E1038" s="2" t="s">
        <v>838</v>
      </c>
      <c r="F1038" s="2" t="s">
        <v>793</v>
      </c>
      <c r="G1038" s="2" t="s">
        <v>1891</v>
      </c>
      <c r="H1038" s="2" t="s">
        <v>1265</v>
      </c>
      <c r="J1038" s="26"/>
      <c r="K1038" s="36">
        <v>1.9658700000000002E-3</v>
      </c>
      <c r="L1038" s="23">
        <v>6.5529E-4</v>
      </c>
    </row>
    <row r="1039" spans="1:12" ht="15.35" hidden="1" x14ac:dyDescent="0.55000000000000004">
      <c r="A1039" s="20">
        <v>9563</v>
      </c>
      <c r="B1039" s="2" t="s">
        <v>173</v>
      </c>
      <c r="C1039" s="2" t="s">
        <v>174</v>
      </c>
      <c r="D1039" s="20">
        <v>0</v>
      </c>
      <c r="E1039" s="2" t="s">
        <v>838</v>
      </c>
      <c r="F1039" s="2" t="s">
        <v>793</v>
      </c>
      <c r="G1039" s="2" t="s">
        <v>1892</v>
      </c>
      <c r="H1039" s="2" t="s">
        <v>1265</v>
      </c>
      <c r="J1039" s="26"/>
      <c r="K1039" s="36">
        <v>5.2735E-4</v>
      </c>
      <c r="L1039" s="23">
        <v>1.7578E-4</v>
      </c>
    </row>
    <row r="1040" spans="1:12" ht="15.35" hidden="1" x14ac:dyDescent="0.55000000000000004">
      <c r="A1040" s="20">
        <v>9564</v>
      </c>
      <c r="B1040" s="2" t="s">
        <v>173</v>
      </c>
      <c r="C1040" s="2" t="s">
        <v>174</v>
      </c>
      <c r="D1040" s="20">
        <v>0</v>
      </c>
      <c r="E1040" s="2" t="s">
        <v>838</v>
      </c>
      <c r="F1040" s="2" t="s">
        <v>793</v>
      </c>
      <c r="G1040" s="2" t="s">
        <v>1893</v>
      </c>
      <c r="H1040" s="2" t="s">
        <v>1265</v>
      </c>
      <c r="J1040" s="26"/>
      <c r="K1040" s="36">
        <v>5.2735E-4</v>
      </c>
      <c r="L1040" s="23">
        <v>1.7578E-4</v>
      </c>
    </row>
    <row r="1041" spans="1:12" ht="15.35" hidden="1" x14ac:dyDescent="0.55000000000000004">
      <c r="A1041" s="20">
        <v>9565</v>
      </c>
      <c r="B1041" s="2" t="s">
        <v>173</v>
      </c>
      <c r="C1041" s="2" t="s">
        <v>174</v>
      </c>
      <c r="D1041" s="20">
        <v>0</v>
      </c>
      <c r="E1041" s="2" t="s">
        <v>838</v>
      </c>
      <c r="F1041" s="2" t="s">
        <v>793</v>
      </c>
      <c r="G1041" s="2" t="s">
        <v>1894</v>
      </c>
      <c r="H1041" s="2" t="s">
        <v>1265</v>
      </c>
      <c r="J1041" s="26"/>
      <c r="K1041" s="36">
        <v>5.2735E-4</v>
      </c>
      <c r="L1041" s="23">
        <v>1.7578E-4</v>
      </c>
    </row>
    <row r="1042" spans="1:12" ht="15.35" hidden="1" x14ac:dyDescent="0.55000000000000004">
      <c r="A1042" s="20">
        <v>9566</v>
      </c>
      <c r="B1042" s="2" t="s">
        <v>173</v>
      </c>
      <c r="C1042" s="2" t="s">
        <v>174</v>
      </c>
      <c r="D1042" s="20">
        <v>0</v>
      </c>
      <c r="E1042" s="2" t="s">
        <v>838</v>
      </c>
      <c r="F1042" s="2" t="s">
        <v>793</v>
      </c>
      <c r="G1042" s="2" t="s">
        <v>1895</v>
      </c>
      <c r="H1042" s="2" t="s">
        <v>1265</v>
      </c>
      <c r="J1042" s="26"/>
      <c r="K1042" s="36">
        <v>5.2735E-4</v>
      </c>
      <c r="L1042" s="23">
        <v>1.7578E-4</v>
      </c>
    </row>
    <row r="1043" spans="1:12" ht="15.35" hidden="1" x14ac:dyDescent="0.55000000000000004">
      <c r="A1043" s="20">
        <v>9557</v>
      </c>
      <c r="B1043" s="2" t="s">
        <v>173</v>
      </c>
      <c r="C1043" s="2" t="s">
        <v>174</v>
      </c>
      <c r="D1043" s="20">
        <v>0</v>
      </c>
      <c r="E1043" s="2" t="s">
        <v>838</v>
      </c>
      <c r="F1043" s="2" t="s">
        <v>793</v>
      </c>
      <c r="G1043" s="2" t="s">
        <v>1264</v>
      </c>
      <c r="H1043" s="2" t="s">
        <v>1265</v>
      </c>
      <c r="J1043" s="26"/>
      <c r="K1043" s="36">
        <v>1.1732800000000001E-3</v>
      </c>
      <c r="L1043" s="23">
        <v>3.9109000000000002E-4</v>
      </c>
    </row>
    <row r="1044" spans="1:12" ht="15.35" hidden="1" x14ac:dyDescent="0.55000000000000004">
      <c r="A1044" s="20">
        <v>9555</v>
      </c>
      <c r="B1044" s="2" t="s">
        <v>173</v>
      </c>
      <c r="C1044" s="2" t="s">
        <v>174</v>
      </c>
      <c r="D1044" s="20">
        <v>0</v>
      </c>
      <c r="E1044" s="2" t="s">
        <v>838</v>
      </c>
      <c r="F1044" s="2" t="s">
        <v>793</v>
      </c>
      <c r="G1044" s="2" t="s">
        <v>1896</v>
      </c>
      <c r="H1044" s="2" t="s">
        <v>1265</v>
      </c>
      <c r="J1044" s="26"/>
      <c r="K1044" s="36">
        <v>7.4890000000000004E-4</v>
      </c>
      <c r="L1044" s="23">
        <v>2.4962999999999998E-4</v>
      </c>
    </row>
    <row r="1045" spans="1:12" ht="15.35" hidden="1" x14ac:dyDescent="0.55000000000000004">
      <c r="A1045" s="20">
        <v>9556</v>
      </c>
      <c r="B1045" s="2" t="s">
        <v>173</v>
      </c>
      <c r="C1045" s="2" t="s">
        <v>174</v>
      </c>
      <c r="D1045" s="20">
        <v>0</v>
      </c>
      <c r="E1045" s="2" t="s">
        <v>838</v>
      </c>
      <c r="F1045" s="2" t="s">
        <v>793</v>
      </c>
      <c r="G1045" s="2" t="s">
        <v>1266</v>
      </c>
      <c r="H1045" s="2" t="s">
        <v>1265</v>
      </c>
      <c r="J1045" s="26"/>
      <c r="K1045" s="36">
        <v>4.6806000000000001E-4</v>
      </c>
      <c r="L1045" s="23">
        <v>1.5601999999999999E-4</v>
      </c>
    </row>
    <row r="1046" spans="1:12" ht="15.35" hidden="1" x14ac:dyDescent="0.55000000000000004">
      <c r="A1046" s="20">
        <v>9211</v>
      </c>
      <c r="B1046" s="2" t="s">
        <v>173</v>
      </c>
      <c r="C1046" s="2" t="s">
        <v>174</v>
      </c>
      <c r="D1046" s="20">
        <v>0</v>
      </c>
      <c r="E1046" s="2" t="s">
        <v>838</v>
      </c>
      <c r="F1046" s="2" t="s">
        <v>789</v>
      </c>
      <c r="G1046" s="2" t="s">
        <v>1897</v>
      </c>
      <c r="H1046" s="2" t="s">
        <v>1029</v>
      </c>
      <c r="J1046" s="26"/>
      <c r="K1046" s="36">
        <v>2.3403000000000001E-4</v>
      </c>
      <c r="L1046" s="23">
        <v>7.8009999999999993E-5</v>
      </c>
    </row>
    <row r="1047" spans="1:12" ht="15.35" hidden="1" x14ac:dyDescent="0.55000000000000004">
      <c r="A1047" s="20">
        <v>9054</v>
      </c>
      <c r="B1047" s="2" t="s">
        <v>173</v>
      </c>
      <c r="C1047" s="2" t="s">
        <v>174</v>
      </c>
      <c r="D1047" s="20">
        <v>0</v>
      </c>
      <c r="E1047" s="2" t="s">
        <v>838</v>
      </c>
      <c r="F1047" s="2" t="s">
        <v>848</v>
      </c>
      <c r="G1047" s="2" t="s">
        <v>1269</v>
      </c>
      <c r="H1047" s="2" t="s">
        <v>1270</v>
      </c>
      <c r="J1047" s="26"/>
      <c r="K1047" s="36">
        <v>1.9658700000000002E-3</v>
      </c>
      <c r="L1047" s="23">
        <v>6.5529E-4</v>
      </c>
    </row>
    <row r="1048" spans="1:12" ht="15.35" x14ac:dyDescent="0.55000000000000004">
      <c r="A1048" s="20">
        <v>9442</v>
      </c>
      <c r="B1048" s="2" t="s">
        <v>173</v>
      </c>
      <c r="C1048" s="2" t="s">
        <v>174</v>
      </c>
      <c r="D1048" s="20">
        <v>0</v>
      </c>
      <c r="E1048" s="2" t="s">
        <v>838</v>
      </c>
      <c r="F1048" s="2" t="s">
        <v>793</v>
      </c>
      <c r="G1048" s="2" t="s">
        <v>1898</v>
      </c>
      <c r="J1048" s="26"/>
      <c r="K1048" s="36">
        <v>9.3610000000000007E-5</v>
      </c>
      <c r="L1048" s="23">
        <v>3.1199999999999999E-5</v>
      </c>
    </row>
    <row r="1049" spans="1:12" ht="15.35" hidden="1" x14ac:dyDescent="0.55000000000000004">
      <c r="A1049" s="20">
        <v>9590</v>
      </c>
      <c r="B1049" s="2" t="s">
        <v>173</v>
      </c>
      <c r="C1049" s="2" t="s">
        <v>174</v>
      </c>
      <c r="D1049" s="20">
        <v>0</v>
      </c>
      <c r="E1049" s="2" t="s">
        <v>838</v>
      </c>
      <c r="F1049" s="2" t="s">
        <v>817</v>
      </c>
      <c r="G1049" s="2" t="s">
        <v>1899</v>
      </c>
      <c r="H1049" s="2" t="s">
        <v>1031</v>
      </c>
      <c r="J1049" s="26"/>
      <c r="K1049" s="36">
        <v>2.9020000000000001E-4</v>
      </c>
      <c r="L1049" s="23">
        <v>9.6730000000000004E-5</v>
      </c>
    </row>
    <row r="1050" spans="1:12" ht="15.35" hidden="1" x14ac:dyDescent="0.55000000000000004">
      <c r="A1050" s="20">
        <v>9589</v>
      </c>
      <c r="B1050" s="2" t="s">
        <v>173</v>
      </c>
      <c r="C1050" s="2" t="s">
        <v>174</v>
      </c>
      <c r="D1050" s="20">
        <v>0</v>
      </c>
      <c r="E1050" s="2" t="s">
        <v>838</v>
      </c>
      <c r="F1050" s="2" t="s">
        <v>817</v>
      </c>
      <c r="G1050" s="2" t="s">
        <v>1900</v>
      </c>
      <c r="H1050" s="2" t="s">
        <v>1031</v>
      </c>
      <c r="J1050" s="26"/>
      <c r="K1050" s="36">
        <v>5.8352000000000002E-4</v>
      </c>
      <c r="L1050" s="23">
        <v>1.9451000000000001E-4</v>
      </c>
    </row>
    <row r="1051" spans="1:12" ht="15.35" hidden="1" x14ac:dyDescent="0.55000000000000004">
      <c r="A1051" s="20">
        <v>9588</v>
      </c>
      <c r="B1051" s="2" t="s">
        <v>173</v>
      </c>
      <c r="C1051" s="2" t="s">
        <v>174</v>
      </c>
      <c r="D1051" s="20">
        <v>0</v>
      </c>
      <c r="E1051" s="2" t="s">
        <v>838</v>
      </c>
      <c r="F1051" s="2" t="s">
        <v>817</v>
      </c>
      <c r="G1051" s="2" t="s">
        <v>1274</v>
      </c>
      <c r="H1051" s="2" t="s">
        <v>1031</v>
      </c>
      <c r="J1051" s="26"/>
      <c r="K1051" s="36">
        <v>2.9020000000000001E-4</v>
      </c>
      <c r="L1051" s="23">
        <v>9.6730000000000004E-5</v>
      </c>
    </row>
    <row r="1052" spans="1:12" ht="15.35" hidden="1" x14ac:dyDescent="0.55000000000000004">
      <c r="A1052" s="20">
        <v>9587</v>
      </c>
      <c r="B1052" s="2" t="s">
        <v>173</v>
      </c>
      <c r="C1052" s="2" t="s">
        <v>174</v>
      </c>
      <c r="D1052" s="20">
        <v>0</v>
      </c>
      <c r="E1052" s="2" t="s">
        <v>838</v>
      </c>
      <c r="F1052" s="2" t="s">
        <v>793</v>
      </c>
      <c r="G1052" s="2" t="s">
        <v>1901</v>
      </c>
      <c r="H1052" s="2" t="s">
        <v>1276</v>
      </c>
      <c r="J1052" s="26"/>
      <c r="K1052" s="36">
        <v>6.2407999999999995E-4</v>
      </c>
      <c r="L1052" s="23">
        <v>2.0803E-4</v>
      </c>
    </row>
    <row r="1053" spans="1:12" ht="15.35" hidden="1" x14ac:dyDescent="0.55000000000000004">
      <c r="A1053" s="20">
        <v>9913</v>
      </c>
      <c r="B1053" s="2" t="s">
        <v>173</v>
      </c>
      <c r="C1053" s="2" t="s">
        <v>174</v>
      </c>
      <c r="D1053" s="20">
        <v>0</v>
      </c>
      <c r="E1053" s="2" t="s">
        <v>838</v>
      </c>
      <c r="F1053" s="2" t="s">
        <v>817</v>
      </c>
      <c r="G1053" s="2" t="s">
        <v>1902</v>
      </c>
      <c r="H1053" s="2" t="s">
        <v>1903</v>
      </c>
      <c r="J1053" s="26"/>
      <c r="K1053" s="36">
        <v>3.5572000000000002E-4</v>
      </c>
      <c r="L1053" s="23">
        <v>1.1857E-4</v>
      </c>
    </row>
    <row r="1054" spans="1:12" ht="15.35" hidden="1" x14ac:dyDescent="0.55000000000000004">
      <c r="A1054" s="20">
        <v>9586</v>
      </c>
      <c r="B1054" s="2" t="s">
        <v>173</v>
      </c>
      <c r="C1054" s="2" t="s">
        <v>174</v>
      </c>
      <c r="D1054" s="20">
        <v>0</v>
      </c>
      <c r="E1054" s="2" t="s">
        <v>838</v>
      </c>
      <c r="F1054" s="2" t="s">
        <v>798</v>
      </c>
      <c r="G1054" s="2" t="s">
        <v>1904</v>
      </c>
      <c r="H1054" s="2" t="s">
        <v>1905</v>
      </c>
      <c r="J1054" s="26"/>
      <c r="K1054" s="36">
        <v>2.8707E-4</v>
      </c>
      <c r="L1054" s="23">
        <v>9.569E-5</v>
      </c>
    </row>
    <row r="1055" spans="1:12" ht="15.35" hidden="1" x14ac:dyDescent="0.55000000000000004">
      <c r="A1055" s="20">
        <v>9056</v>
      </c>
      <c r="B1055" s="2" t="s">
        <v>173</v>
      </c>
      <c r="C1055" s="2" t="s">
        <v>174</v>
      </c>
      <c r="D1055" s="20">
        <v>0</v>
      </c>
      <c r="E1055" s="2" t="s">
        <v>838</v>
      </c>
      <c r="F1055" s="2" t="s">
        <v>848</v>
      </c>
      <c r="G1055" s="2" t="s">
        <v>1277</v>
      </c>
      <c r="H1055" s="2" t="s">
        <v>1278</v>
      </c>
      <c r="J1055" s="26"/>
      <c r="K1055" s="36">
        <v>1.9658700000000002E-3</v>
      </c>
      <c r="L1055" s="23">
        <v>6.5529E-4</v>
      </c>
    </row>
    <row r="1056" spans="1:12" ht="15.35" hidden="1" x14ac:dyDescent="0.55000000000000004">
      <c r="A1056" s="20">
        <v>9383</v>
      </c>
      <c r="B1056" s="2" t="s">
        <v>173</v>
      </c>
      <c r="C1056" s="2" t="s">
        <v>174</v>
      </c>
      <c r="D1056" s="20">
        <v>0</v>
      </c>
      <c r="E1056" s="2" t="s">
        <v>838</v>
      </c>
      <c r="F1056" s="2" t="s">
        <v>817</v>
      </c>
      <c r="G1056" s="2" t="s">
        <v>1283</v>
      </c>
      <c r="H1056" s="2" t="s">
        <v>1284</v>
      </c>
      <c r="J1056" s="26"/>
      <c r="K1056" s="36">
        <v>1.9658700000000002E-3</v>
      </c>
      <c r="L1056" s="23">
        <v>6.5529E-4</v>
      </c>
    </row>
    <row r="1057" spans="1:12" ht="15.35" hidden="1" x14ac:dyDescent="0.55000000000000004">
      <c r="A1057" s="20">
        <v>9384</v>
      </c>
      <c r="B1057" s="2" t="s">
        <v>173</v>
      </c>
      <c r="C1057" s="2" t="s">
        <v>174</v>
      </c>
      <c r="D1057" s="20">
        <v>0</v>
      </c>
      <c r="E1057" s="2" t="s">
        <v>838</v>
      </c>
      <c r="F1057" s="2" t="s">
        <v>817</v>
      </c>
      <c r="G1057" s="2" t="s">
        <v>1906</v>
      </c>
      <c r="H1057" s="2" t="s">
        <v>1284</v>
      </c>
      <c r="J1057" s="26"/>
      <c r="K1057" s="36">
        <v>3.7445000000000002E-4</v>
      </c>
      <c r="L1057" s="23">
        <v>1.2481999999999999E-4</v>
      </c>
    </row>
    <row r="1058" spans="1:12" ht="15.35" hidden="1" x14ac:dyDescent="0.55000000000000004">
      <c r="A1058" s="20">
        <v>9385</v>
      </c>
      <c r="B1058" s="2" t="s">
        <v>173</v>
      </c>
      <c r="C1058" s="2" t="s">
        <v>174</v>
      </c>
      <c r="D1058" s="20">
        <v>0</v>
      </c>
      <c r="E1058" s="2" t="s">
        <v>838</v>
      </c>
      <c r="F1058" s="2" t="s">
        <v>817</v>
      </c>
      <c r="G1058" s="2" t="s">
        <v>1907</v>
      </c>
      <c r="H1058" s="2" t="s">
        <v>1284</v>
      </c>
      <c r="J1058" s="26"/>
      <c r="K1058" s="36">
        <v>1.21696E-3</v>
      </c>
      <c r="L1058" s="23">
        <v>4.0565000000000002E-4</v>
      </c>
    </row>
    <row r="1059" spans="1:12" ht="15.35" hidden="1" x14ac:dyDescent="0.55000000000000004">
      <c r="A1059" s="20">
        <v>9179</v>
      </c>
      <c r="B1059" s="2" t="s">
        <v>173</v>
      </c>
      <c r="C1059" s="2" t="s">
        <v>174</v>
      </c>
      <c r="D1059" s="20">
        <v>0</v>
      </c>
      <c r="E1059" s="2" t="s">
        <v>838</v>
      </c>
      <c r="F1059" s="2" t="s">
        <v>789</v>
      </c>
      <c r="G1059" s="2" t="s">
        <v>1908</v>
      </c>
      <c r="H1059" s="2" t="s">
        <v>1909</v>
      </c>
      <c r="J1059" s="26"/>
      <c r="K1059" s="36">
        <v>7.3642E-4</v>
      </c>
      <c r="L1059" s="23">
        <v>2.4547000000000002E-4</v>
      </c>
    </row>
    <row r="1060" spans="1:12" ht="15.35" hidden="1" x14ac:dyDescent="0.55000000000000004">
      <c r="A1060" s="20">
        <v>9079</v>
      </c>
      <c r="B1060" s="2" t="s">
        <v>173</v>
      </c>
      <c r="C1060" s="2" t="s">
        <v>174</v>
      </c>
      <c r="D1060" s="20">
        <v>0</v>
      </c>
      <c r="E1060" s="2" t="s">
        <v>838</v>
      </c>
      <c r="F1060" s="2" t="s">
        <v>848</v>
      </c>
      <c r="G1060" s="2" t="s">
        <v>905</v>
      </c>
      <c r="H1060" s="2" t="s">
        <v>906</v>
      </c>
      <c r="J1060" s="26"/>
      <c r="K1060" s="36">
        <v>1.9658700000000002E-3</v>
      </c>
      <c r="L1060" s="23">
        <v>6.5529E-4</v>
      </c>
    </row>
    <row r="1061" spans="1:12" ht="15.35" hidden="1" x14ac:dyDescent="0.55000000000000004">
      <c r="A1061" s="20">
        <v>9042</v>
      </c>
      <c r="B1061" s="2" t="s">
        <v>173</v>
      </c>
      <c r="C1061" s="2" t="s">
        <v>174</v>
      </c>
      <c r="D1061" s="20">
        <v>0</v>
      </c>
      <c r="E1061" s="2" t="s">
        <v>838</v>
      </c>
      <c r="F1061" s="2" t="s">
        <v>793</v>
      </c>
      <c r="G1061" s="2" t="s">
        <v>1910</v>
      </c>
      <c r="H1061" s="2" t="s">
        <v>892</v>
      </c>
      <c r="J1061" s="26"/>
      <c r="K1061" s="36">
        <v>1.7474E-4</v>
      </c>
      <c r="L1061" s="23">
        <v>5.825E-5</v>
      </c>
    </row>
    <row r="1062" spans="1:12" ht="15.35" hidden="1" x14ac:dyDescent="0.55000000000000004">
      <c r="A1062" s="20">
        <v>9045</v>
      </c>
      <c r="B1062" s="2" t="s">
        <v>173</v>
      </c>
      <c r="C1062" s="2" t="s">
        <v>174</v>
      </c>
      <c r="D1062" s="20">
        <v>0</v>
      </c>
      <c r="E1062" s="2" t="s">
        <v>838</v>
      </c>
      <c r="F1062" s="2" t="s">
        <v>793</v>
      </c>
      <c r="G1062" s="2" t="s">
        <v>1911</v>
      </c>
      <c r="H1062" s="2" t="s">
        <v>892</v>
      </c>
      <c r="J1062" s="26"/>
      <c r="K1062" s="36">
        <v>5.6159999999999998E-5</v>
      </c>
      <c r="L1062" s="23">
        <v>1.872E-5</v>
      </c>
    </row>
    <row r="1063" spans="1:12" ht="15.35" hidden="1" x14ac:dyDescent="0.55000000000000004">
      <c r="A1063" s="20">
        <v>9046</v>
      </c>
      <c r="B1063" s="2" t="s">
        <v>173</v>
      </c>
      <c r="C1063" s="2" t="s">
        <v>174</v>
      </c>
      <c r="D1063" s="20">
        <v>0</v>
      </c>
      <c r="E1063" s="2" t="s">
        <v>838</v>
      </c>
      <c r="F1063" s="2" t="s">
        <v>793</v>
      </c>
      <c r="G1063" s="2" t="s">
        <v>1912</v>
      </c>
      <c r="H1063" s="2" t="s">
        <v>892</v>
      </c>
      <c r="J1063" s="26"/>
      <c r="K1063" s="36">
        <v>2.9020000000000001E-4</v>
      </c>
      <c r="L1063" s="23">
        <v>9.6730000000000004E-5</v>
      </c>
    </row>
    <row r="1064" spans="1:12" ht="15.35" hidden="1" x14ac:dyDescent="0.55000000000000004">
      <c r="A1064" s="20">
        <v>9047</v>
      </c>
      <c r="B1064" s="2" t="s">
        <v>173</v>
      </c>
      <c r="C1064" s="2" t="s">
        <v>174</v>
      </c>
      <c r="D1064" s="20">
        <v>0</v>
      </c>
      <c r="E1064" s="2" t="s">
        <v>838</v>
      </c>
      <c r="F1064" s="2" t="s">
        <v>793</v>
      </c>
      <c r="G1064" s="2" t="s">
        <v>1913</v>
      </c>
      <c r="H1064" s="2" t="s">
        <v>892</v>
      </c>
      <c r="J1064" s="26"/>
      <c r="K1064" s="36">
        <v>2.3403000000000001E-4</v>
      </c>
      <c r="L1064" s="23">
        <v>7.8009999999999993E-5</v>
      </c>
    </row>
    <row r="1065" spans="1:12" ht="15.35" hidden="1" x14ac:dyDescent="0.55000000000000004">
      <c r="A1065" s="20">
        <v>9044</v>
      </c>
      <c r="B1065" s="2" t="s">
        <v>173</v>
      </c>
      <c r="C1065" s="2" t="s">
        <v>174</v>
      </c>
      <c r="D1065" s="20">
        <v>0</v>
      </c>
      <c r="E1065" s="2" t="s">
        <v>838</v>
      </c>
      <c r="F1065" s="2" t="s">
        <v>793</v>
      </c>
      <c r="G1065" s="2" t="s">
        <v>1914</v>
      </c>
      <c r="H1065" s="2" t="s">
        <v>892</v>
      </c>
      <c r="J1065" s="26"/>
      <c r="K1065" s="36">
        <v>2.9332000000000002E-4</v>
      </c>
      <c r="L1065" s="23">
        <v>9.7769999999999994E-5</v>
      </c>
    </row>
    <row r="1066" spans="1:12" ht="15.35" hidden="1" x14ac:dyDescent="0.55000000000000004">
      <c r="A1066" s="20">
        <v>9043</v>
      </c>
      <c r="B1066" s="2" t="s">
        <v>173</v>
      </c>
      <c r="C1066" s="2" t="s">
        <v>174</v>
      </c>
      <c r="D1066" s="20">
        <v>0</v>
      </c>
      <c r="E1066" s="2" t="s">
        <v>838</v>
      </c>
      <c r="F1066" s="2" t="s">
        <v>793</v>
      </c>
      <c r="G1066" s="2" t="s">
        <v>1915</v>
      </c>
      <c r="H1066" s="2" t="s">
        <v>892</v>
      </c>
      <c r="J1066" s="26"/>
      <c r="K1066" s="36">
        <v>1.7474E-4</v>
      </c>
      <c r="L1066" s="23">
        <v>5.825E-5</v>
      </c>
    </row>
    <row r="1067" spans="1:12" ht="15.35" hidden="1" x14ac:dyDescent="0.55000000000000004">
      <c r="A1067" s="20">
        <v>9068</v>
      </c>
      <c r="B1067" s="2" t="s">
        <v>173</v>
      </c>
      <c r="C1067" s="2" t="s">
        <v>174</v>
      </c>
      <c r="D1067" s="20">
        <v>0</v>
      </c>
      <c r="E1067" s="2" t="s">
        <v>838</v>
      </c>
      <c r="F1067" s="2" t="s">
        <v>793</v>
      </c>
      <c r="G1067" s="2" t="s">
        <v>1916</v>
      </c>
      <c r="H1067" s="2" t="s">
        <v>842</v>
      </c>
      <c r="J1067" s="26"/>
      <c r="K1067" s="36">
        <v>1.9658700000000002E-3</v>
      </c>
      <c r="L1067" s="23">
        <v>6.5529E-4</v>
      </c>
    </row>
    <row r="1068" spans="1:12" ht="15.35" hidden="1" x14ac:dyDescent="0.55000000000000004">
      <c r="A1068" s="20">
        <v>9069</v>
      </c>
      <c r="B1068" s="2" t="s">
        <v>173</v>
      </c>
      <c r="C1068" s="2" t="s">
        <v>174</v>
      </c>
      <c r="D1068" s="20">
        <v>0</v>
      </c>
      <c r="E1068" s="2" t="s">
        <v>838</v>
      </c>
      <c r="F1068" s="2" t="s">
        <v>793</v>
      </c>
      <c r="G1068" s="2" t="s">
        <v>843</v>
      </c>
      <c r="H1068" s="2" t="s">
        <v>842</v>
      </c>
      <c r="J1068" s="26"/>
      <c r="K1068" s="36">
        <v>1.2481700000000001E-3</v>
      </c>
      <c r="L1068" s="23">
        <v>4.1606E-4</v>
      </c>
    </row>
    <row r="1069" spans="1:12" ht="15.35" x14ac:dyDescent="0.55000000000000004">
      <c r="A1069" s="20">
        <v>9499</v>
      </c>
      <c r="B1069" s="2" t="s">
        <v>173</v>
      </c>
      <c r="C1069" s="2" t="s">
        <v>174</v>
      </c>
      <c r="D1069" s="20">
        <v>0</v>
      </c>
      <c r="E1069" s="2" t="s">
        <v>838</v>
      </c>
      <c r="F1069" s="2" t="s">
        <v>811</v>
      </c>
      <c r="G1069" s="2" t="s">
        <v>1917</v>
      </c>
      <c r="J1069" s="26"/>
      <c r="K1069" s="36">
        <v>8.7684000000000004E-4</v>
      </c>
      <c r="L1069" s="23">
        <v>2.9228000000000001E-4</v>
      </c>
    </row>
    <row r="1070" spans="1:12" ht="15.35" hidden="1" x14ac:dyDescent="0.55000000000000004">
      <c r="A1070" s="20">
        <v>9382</v>
      </c>
      <c r="B1070" s="2" t="s">
        <v>173</v>
      </c>
      <c r="C1070" s="2" t="s">
        <v>174</v>
      </c>
      <c r="D1070" s="20">
        <v>0</v>
      </c>
      <c r="E1070" s="2" t="s">
        <v>838</v>
      </c>
      <c r="F1070" s="2" t="s">
        <v>817</v>
      </c>
      <c r="G1070" s="2" t="s">
        <v>1918</v>
      </c>
      <c r="H1070" s="2" t="s">
        <v>1919</v>
      </c>
      <c r="J1070" s="26"/>
      <c r="K1070" s="36">
        <v>1.9658700000000002E-3</v>
      </c>
      <c r="L1070" s="23">
        <v>6.5529E-4</v>
      </c>
    </row>
    <row r="1071" spans="1:12" ht="15.35" hidden="1" x14ac:dyDescent="0.55000000000000004">
      <c r="A1071" s="20">
        <v>9381</v>
      </c>
      <c r="B1071" s="2" t="s">
        <v>173</v>
      </c>
      <c r="C1071" s="2" t="s">
        <v>174</v>
      </c>
      <c r="D1071" s="20">
        <v>0</v>
      </c>
      <c r="E1071" s="2" t="s">
        <v>838</v>
      </c>
      <c r="F1071" s="2" t="s">
        <v>817</v>
      </c>
      <c r="G1071" s="2" t="s">
        <v>1920</v>
      </c>
      <c r="H1071" s="2" t="s">
        <v>1921</v>
      </c>
      <c r="J1071" s="26"/>
      <c r="K1071" s="36">
        <v>9.9540999999999996E-4</v>
      </c>
      <c r="L1071" s="23">
        <v>3.3179999999999999E-4</v>
      </c>
    </row>
    <row r="1072" spans="1:12" ht="15.35" hidden="1" x14ac:dyDescent="0.55000000000000004">
      <c r="A1072" s="20">
        <v>9267</v>
      </c>
      <c r="B1072" s="2" t="s">
        <v>173</v>
      </c>
      <c r="C1072" s="2" t="s">
        <v>174</v>
      </c>
      <c r="D1072" s="20">
        <v>0</v>
      </c>
      <c r="E1072" s="2" t="s">
        <v>838</v>
      </c>
      <c r="F1072" s="2" t="s">
        <v>789</v>
      </c>
      <c r="G1072" s="2" t="s">
        <v>1922</v>
      </c>
      <c r="H1072" s="2" t="s">
        <v>1923</v>
      </c>
      <c r="J1072" s="26"/>
      <c r="K1072" s="36">
        <v>1.9658700000000002E-3</v>
      </c>
      <c r="L1072" s="23">
        <v>6.5529E-4</v>
      </c>
    </row>
    <row r="1073" spans="1:12" ht="15.35" hidden="1" x14ac:dyDescent="0.55000000000000004">
      <c r="A1073" s="20">
        <v>9279</v>
      </c>
      <c r="B1073" s="2" t="s">
        <v>173</v>
      </c>
      <c r="C1073" s="2" t="s">
        <v>174</v>
      </c>
      <c r="D1073" s="20">
        <v>0</v>
      </c>
      <c r="E1073" s="2" t="s">
        <v>838</v>
      </c>
      <c r="F1073" s="2" t="s">
        <v>793</v>
      </c>
      <c r="G1073" s="2" t="s">
        <v>1924</v>
      </c>
      <c r="H1073" s="2" t="s">
        <v>1924</v>
      </c>
      <c r="J1073" s="26"/>
      <c r="K1073" s="36">
        <v>5.6167000000000001E-4</v>
      </c>
      <c r="L1073" s="23">
        <v>1.8722000000000001E-4</v>
      </c>
    </row>
    <row r="1074" spans="1:12" ht="15.35" hidden="1" x14ac:dyDescent="0.55000000000000004">
      <c r="A1074" s="20">
        <v>9178</v>
      </c>
      <c r="B1074" s="2" t="s">
        <v>173</v>
      </c>
      <c r="C1074" s="2" t="s">
        <v>174</v>
      </c>
      <c r="D1074" s="20">
        <v>0</v>
      </c>
      <c r="E1074" s="2" t="s">
        <v>838</v>
      </c>
      <c r="F1074" s="2" t="s">
        <v>789</v>
      </c>
      <c r="G1074" s="2" t="s">
        <v>1925</v>
      </c>
      <c r="H1074" s="2" t="s">
        <v>1039</v>
      </c>
      <c r="J1074" s="26"/>
      <c r="K1074" s="36">
        <v>1.1795200000000001E-3</v>
      </c>
      <c r="L1074" s="23">
        <v>3.9316999999999998E-4</v>
      </c>
    </row>
    <row r="1075" spans="1:12" ht="15.35" hidden="1" x14ac:dyDescent="0.55000000000000004">
      <c r="A1075" s="20">
        <v>9281</v>
      </c>
      <c r="B1075" s="2" t="s">
        <v>173</v>
      </c>
      <c r="C1075" s="2" t="s">
        <v>174</v>
      </c>
      <c r="D1075" s="20">
        <v>0</v>
      </c>
      <c r="E1075" s="2" t="s">
        <v>838</v>
      </c>
      <c r="F1075" s="2" t="s">
        <v>789</v>
      </c>
      <c r="G1075" s="2" t="s">
        <v>1295</v>
      </c>
      <c r="H1075" s="2" t="s">
        <v>1295</v>
      </c>
      <c r="J1075" s="26"/>
      <c r="K1075" s="36">
        <v>8.7684000000000004E-4</v>
      </c>
      <c r="L1075" s="23">
        <v>2.9228000000000001E-4</v>
      </c>
    </row>
    <row r="1076" spans="1:12" ht="15.35" hidden="1" x14ac:dyDescent="0.55000000000000004">
      <c r="A1076" s="20">
        <v>9206</v>
      </c>
      <c r="B1076" s="2" t="s">
        <v>173</v>
      </c>
      <c r="C1076" s="2" t="s">
        <v>174</v>
      </c>
      <c r="D1076" s="20">
        <v>0</v>
      </c>
      <c r="E1076" s="2" t="s">
        <v>838</v>
      </c>
      <c r="F1076" s="2" t="s">
        <v>789</v>
      </c>
      <c r="G1076" s="2" t="s">
        <v>1294</v>
      </c>
      <c r="H1076" s="2" t="s">
        <v>1295</v>
      </c>
      <c r="J1076" s="26"/>
      <c r="K1076" s="36">
        <v>1.6507E-3</v>
      </c>
      <c r="L1076" s="23">
        <v>5.5022999999999997E-4</v>
      </c>
    </row>
    <row r="1077" spans="1:12" ht="15.35" x14ac:dyDescent="0.55000000000000004">
      <c r="A1077" s="20">
        <v>9657</v>
      </c>
      <c r="B1077" s="2" t="s">
        <v>173</v>
      </c>
      <c r="C1077" s="2" t="s">
        <v>174</v>
      </c>
      <c r="D1077" s="20">
        <v>0</v>
      </c>
      <c r="E1077" s="2" t="s">
        <v>838</v>
      </c>
      <c r="F1077" s="2" t="s">
        <v>811</v>
      </c>
      <c r="G1077" s="2" t="s">
        <v>1926</v>
      </c>
      <c r="J1077" s="26"/>
      <c r="K1077" s="36">
        <v>1.1545E-4</v>
      </c>
      <c r="L1077" s="23">
        <v>3.8479999999999997E-5</v>
      </c>
    </row>
    <row r="1078" spans="1:12" ht="15.35" x14ac:dyDescent="0.55000000000000004">
      <c r="A1078" s="20">
        <v>9243</v>
      </c>
      <c r="B1078" s="2" t="s">
        <v>173</v>
      </c>
      <c r="C1078" s="2" t="s">
        <v>174</v>
      </c>
      <c r="D1078" s="20">
        <v>0</v>
      </c>
      <c r="E1078" s="2" t="s">
        <v>838</v>
      </c>
      <c r="F1078" s="2" t="s">
        <v>789</v>
      </c>
      <c r="G1078" s="2" t="s">
        <v>1927</v>
      </c>
      <c r="J1078" s="26"/>
      <c r="K1078" s="36">
        <v>1.9658700000000002E-3</v>
      </c>
      <c r="L1078" s="23">
        <v>6.5529E-4</v>
      </c>
    </row>
    <row r="1079" spans="1:12" ht="15.35" hidden="1" x14ac:dyDescent="0.55000000000000004">
      <c r="A1079" s="20">
        <v>9229</v>
      </c>
      <c r="B1079" s="2" t="s">
        <v>173</v>
      </c>
      <c r="C1079" s="2" t="s">
        <v>174</v>
      </c>
      <c r="D1079" s="20">
        <v>0</v>
      </c>
      <c r="E1079" s="2" t="s">
        <v>838</v>
      </c>
      <c r="F1079" s="2" t="s">
        <v>789</v>
      </c>
      <c r="G1079" s="2" t="s">
        <v>1928</v>
      </c>
      <c r="H1079" s="2" t="s">
        <v>1929</v>
      </c>
      <c r="J1079" s="26"/>
      <c r="K1079" s="36">
        <v>1.9658700000000002E-3</v>
      </c>
      <c r="L1079" s="23">
        <v>6.5529E-4</v>
      </c>
    </row>
    <row r="1080" spans="1:12" ht="15.35" hidden="1" x14ac:dyDescent="0.55000000000000004">
      <c r="A1080" s="20">
        <v>9337</v>
      </c>
      <c r="B1080" s="2" t="s">
        <v>173</v>
      </c>
      <c r="C1080" s="2" t="s">
        <v>174</v>
      </c>
      <c r="D1080" s="20">
        <v>0</v>
      </c>
      <c r="E1080" s="2" t="s">
        <v>838</v>
      </c>
      <c r="F1080" s="2" t="s">
        <v>798</v>
      </c>
      <c r="G1080" s="2" t="s">
        <v>1183</v>
      </c>
      <c r="H1080" s="2" t="s">
        <v>1184</v>
      </c>
      <c r="J1080" s="26"/>
      <c r="K1080" s="36">
        <v>1.9658700000000002E-3</v>
      </c>
      <c r="L1080" s="23">
        <v>6.5529E-4</v>
      </c>
    </row>
    <row r="1081" spans="1:12" ht="15.35" hidden="1" x14ac:dyDescent="0.55000000000000004">
      <c r="A1081" s="20">
        <v>9336</v>
      </c>
      <c r="B1081" s="2" t="s">
        <v>173</v>
      </c>
      <c r="C1081" s="2" t="s">
        <v>174</v>
      </c>
      <c r="D1081" s="20">
        <v>0</v>
      </c>
      <c r="E1081" s="2" t="s">
        <v>838</v>
      </c>
      <c r="F1081" s="2" t="s">
        <v>793</v>
      </c>
      <c r="G1081" s="2" t="s">
        <v>1930</v>
      </c>
      <c r="H1081" s="2" t="s">
        <v>1184</v>
      </c>
      <c r="J1081" s="26"/>
      <c r="K1081" s="36">
        <v>1.9658700000000002E-3</v>
      </c>
      <c r="L1081" s="23">
        <v>6.5529E-4</v>
      </c>
    </row>
    <row r="1082" spans="1:12" ht="15.35" hidden="1" x14ac:dyDescent="0.55000000000000004">
      <c r="A1082" s="20">
        <v>9070</v>
      </c>
      <c r="B1082" s="2" t="s">
        <v>173</v>
      </c>
      <c r="C1082" s="2" t="s">
        <v>174</v>
      </c>
      <c r="D1082" s="20">
        <v>0</v>
      </c>
      <c r="E1082" s="2" t="s">
        <v>838</v>
      </c>
      <c r="F1082" s="2" t="s">
        <v>793</v>
      </c>
      <c r="G1082" s="2" t="s">
        <v>1931</v>
      </c>
      <c r="H1082" s="2" t="s">
        <v>975</v>
      </c>
      <c r="J1082" s="26"/>
      <c r="K1082" s="36">
        <v>1.9658700000000002E-3</v>
      </c>
      <c r="L1082" s="23">
        <v>6.5529E-4</v>
      </c>
    </row>
    <row r="1083" spans="1:12" ht="15.35" hidden="1" x14ac:dyDescent="0.55000000000000004">
      <c r="A1083" s="20">
        <v>9035</v>
      </c>
      <c r="B1083" s="2" t="s">
        <v>173</v>
      </c>
      <c r="C1083" s="2" t="s">
        <v>174</v>
      </c>
      <c r="D1083" s="20">
        <v>0</v>
      </c>
      <c r="E1083" s="2" t="s">
        <v>838</v>
      </c>
      <c r="F1083" s="2" t="s">
        <v>848</v>
      </c>
      <c r="G1083" s="2" t="s">
        <v>1042</v>
      </c>
      <c r="H1083" s="2" t="s">
        <v>1042</v>
      </c>
      <c r="J1083" s="26"/>
      <c r="K1083" s="36">
        <v>1.4978000000000001E-3</v>
      </c>
      <c r="L1083" s="23">
        <v>4.9927000000000001E-4</v>
      </c>
    </row>
    <row r="1084" spans="1:12" ht="15.35" hidden="1" x14ac:dyDescent="0.55000000000000004">
      <c r="A1084" s="20">
        <v>9567</v>
      </c>
      <c r="B1084" s="2" t="s">
        <v>173</v>
      </c>
      <c r="C1084" s="2" t="s">
        <v>174</v>
      </c>
      <c r="D1084" s="20">
        <v>0</v>
      </c>
      <c r="E1084" s="2" t="s">
        <v>838</v>
      </c>
      <c r="F1084" s="2" t="s">
        <v>798</v>
      </c>
      <c r="G1084" s="2" t="s">
        <v>907</v>
      </c>
      <c r="H1084" s="2" t="s">
        <v>800</v>
      </c>
      <c r="J1084" s="26"/>
      <c r="K1084" s="36">
        <v>1.1545E-4</v>
      </c>
      <c r="L1084" s="23">
        <v>3.8479999999999997E-5</v>
      </c>
    </row>
    <row r="1085" spans="1:12" ht="15.35" x14ac:dyDescent="0.55000000000000004">
      <c r="A1085" s="20">
        <v>9547</v>
      </c>
      <c r="B1085" s="2" t="s">
        <v>173</v>
      </c>
      <c r="C1085" s="2" t="s">
        <v>174</v>
      </c>
      <c r="D1085" s="20">
        <v>0</v>
      </c>
      <c r="E1085" s="2" t="s">
        <v>838</v>
      </c>
      <c r="F1085" s="2" t="s">
        <v>793</v>
      </c>
      <c r="G1085" s="2" t="s">
        <v>1932</v>
      </c>
      <c r="J1085" s="26"/>
      <c r="K1085" s="36">
        <v>3.1203999999999997E-4</v>
      </c>
      <c r="L1085" s="23">
        <v>1.0401E-4</v>
      </c>
    </row>
    <row r="1086" spans="1:12" ht="15.35" x14ac:dyDescent="0.55000000000000004">
      <c r="A1086" s="20">
        <v>9545</v>
      </c>
      <c r="B1086" s="2" t="s">
        <v>173</v>
      </c>
      <c r="C1086" s="2" t="s">
        <v>174</v>
      </c>
      <c r="D1086" s="20">
        <v>0</v>
      </c>
      <c r="E1086" s="2" t="s">
        <v>838</v>
      </c>
      <c r="F1086" s="2" t="s">
        <v>793</v>
      </c>
      <c r="G1086" s="2" t="s">
        <v>1933</v>
      </c>
      <c r="J1086" s="26"/>
      <c r="K1086" s="36">
        <v>1.5601999999999999E-4</v>
      </c>
      <c r="L1086" s="23">
        <v>5.2009999999999998E-5</v>
      </c>
    </row>
    <row r="1087" spans="1:12" ht="15.35" x14ac:dyDescent="0.55000000000000004">
      <c r="A1087" s="20">
        <v>9546</v>
      </c>
      <c r="B1087" s="2" t="s">
        <v>173</v>
      </c>
      <c r="C1087" s="2" t="s">
        <v>174</v>
      </c>
      <c r="D1087" s="20">
        <v>0</v>
      </c>
      <c r="E1087" s="2" t="s">
        <v>838</v>
      </c>
      <c r="F1087" s="2" t="s">
        <v>793</v>
      </c>
      <c r="G1087" s="2" t="s">
        <v>1934</v>
      </c>
      <c r="J1087" s="26"/>
      <c r="K1087" s="36">
        <v>5.6159999999999998E-5</v>
      </c>
      <c r="L1087" s="23">
        <v>1.872E-5</v>
      </c>
    </row>
    <row r="1088" spans="1:12" ht="15.35" hidden="1" x14ac:dyDescent="0.55000000000000004">
      <c r="A1088" s="20">
        <v>9648</v>
      </c>
      <c r="B1088" s="2" t="s">
        <v>173</v>
      </c>
      <c r="C1088" s="2" t="s">
        <v>174</v>
      </c>
      <c r="D1088" s="20">
        <v>0</v>
      </c>
      <c r="E1088" s="2" t="s">
        <v>838</v>
      </c>
      <c r="F1088" s="2" t="s">
        <v>811</v>
      </c>
      <c r="G1088" s="2" t="s">
        <v>1303</v>
      </c>
      <c r="H1088" s="2" t="s">
        <v>1301</v>
      </c>
      <c r="J1088" s="26"/>
      <c r="K1088" s="36">
        <v>3.1199999999999999E-5</v>
      </c>
      <c r="L1088" s="23">
        <v>1.04E-5</v>
      </c>
    </row>
    <row r="1089" spans="1:12" ht="15.35" hidden="1" x14ac:dyDescent="0.55000000000000004">
      <c r="A1089" s="20">
        <v>9646</v>
      </c>
      <c r="B1089" s="2" t="s">
        <v>173</v>
      </c>
      <c r="C1089" s="2" t="s">
        <v>174</v>
      </c>
      <c r="D1089" s="20">
        <v>0</v>
      </c>
      <c r="E1089" s="2" t="s">
        <v>838</v>
      </c>
      <c r="F1089" s="2" t="s">
        <v>811</v>
      </c>
      <c r="G1089" s="2" t="s">
        <v>1305</v>
      </c>
      <c r="H1089" s="2" t="s">
        <v>1301</v>
      </c>
      <c r="J1089" s="26"/>
      <c r="K1089" s="36">
        <v>5.6159999999999998E-5</v>
      </c>
      <c r="L1089" s="23">
        <v>1.872E-5</v>
      </c>
    </row>
    <row r="1090" spans="1:12" ht="15.35" hidden="1" x14ac:dyDescent="0.55000000000000004">
      <c r="A1090" s="20">
        <v>9647</v>
      </c>
      <c r="B1090" s="2" t="s">
        <v>173</v>
      </c>
      <c r="C1090" s="2" t="s">
        <v>174</v>
      </c>
      <c r="D1090" s="20">
        <v>0</v>
      </c>
      <c r="E1090" s="2" t="s">
        <v>838</v>
      </c>
      <c r="F1090" s="2" t="s">
        <v>811</v>
      </c>
      <c r="G1090" s="2" t="s">
        <v>1307</v>
      </c>
      <c r="H1090" s="2" t="s">
        <v>1301</v>
      </c>
      <c r="J1090" s="26"/>
      <c r="K1090" s="36">
        <v>5.6159999999999998E-5</v>
      </c>
      <c r="L1090" s="23">
        <v>1.872E-5</v>
      </c>
    </row>
    <row r="1091" spans="1:12" ht="15.35" hidden="1" x14ac:dyDescent="0.55000000000000004">
      <c r="A1091" s="20">
        <v>9649</v>
      </c>
      <c r="B1091" s="2" t="s">
        <v>173</v>
      </c>
      <c r="C1091" s="2" t="s">
        <v>174</v>
      </c>
      <c r="D1091" s="20">
        <v>0</v>
      </c>
      <c r="E1091" s="2" t="s">
        <v>838</v>
      </c>
      <c r="F1091" s="2" t="s">
        <v>811</v>
      </c>
      <c r="G1091" s="2" t="s">
        <v>1308</v>
      </c>
      <c r="H1091" s="2" t="s">
        <v>1301</v>
      </c>
      <c r="J1091" s="26"/>
      <c r="K1091" s="36">
        <v>1.0921000000000001E-4</v>
      </c>
      <c r="L1091" s="23">
        <v>3.6399999999999997E-5</v>
      </c>
    </row>
    <row r="1092" spans="1:12" ht="15.35" hidden="1" x14ac:dyDescent="0.55000000000000004">
      <c r="A1092" s="20">
        <v>9467</v>
      </c>
      <c r="B1092" s="2" t="s">
        <v>173</v>
      </c>
      <c r="C1092" s="2" t="s">
        <v>174</v>
      </c>
      <c r="D1092" s="20">
        <v>0</v>
      </c>
      <c r="E1092" s="2" t="s">
        <v>838</v>
      </c>
      <c r="F1092" s="2" t="s">
        <v>793</v>
      </c>
      <c r="G1092" s="2" t="s">
        <v>1310</v>
      </c>
      <c r="H1092" s="2" t="s">
        <v>802</v>
      </c>
      <c r="J1092" s="26"/>
      <c r="K1092" s="36">
        <v>5.8352000000000002E-4</v>
      </c>
      <c r="L1092" s="23">
        <v>1.9451000000000001E-4</v>
      </c>
    </row>
    <row r="1093" spans="1:12" ht="15.35" hidden="1" x14ac:dyDescent="0.55000000000000004">
      <c r="A1093" s="20">
        <v>9465</v>
      </c>
      <c r="B1093" s="2" t="s">
        <v>173</v>
      </c>
      <c r="C1093" s="2" t="s">
        <v>174</v>
      </c>
      <c r="D1093" s="20">
        <v>0</v>
      </c>
      <c r="E1093" s="2" t="s">
        <v>838</v>
      </c>
      <c r="F1093" s="2" t="s">
        <v>793</v>
      </c>
      <c r="G1093" s="2" t="s">
        <v>1935</v>
      </c>
      <c r="H1093" s="2" t="s">
        <v>802</v>
      </c>
      <c r="J1093" s="26"/>
      <c r="K1093" s="36">
        <v>2.7459000000000001E-4</v>
      </c>
      <c r="L1093" s="23">
        <v>9.1529999999999999E-5</v>
      </c>
    </row>
    <row r="1094" spans="1:12" ht="15.35" hidden="1" x14ac:dyDescent="0.55000000000000004">
      <c r="A1094" s="20">
        <v>9468</v>
      </c>
      <c r="B1094" s="2" t="s">
        <v>173</v>
      </c>
      <c r="C1094" s="2" t="s">
        <v>174</v>
      </c>
      <c r="D1094" s="20">
        <v>0</v>
      </c>
      <c r="E1094" s="2" t="s">
        <v>838</v>
      </c>
      <c r="F1094" s="2" t="s">
        <v>793</v>
      </c>
      <c r="G1094" s="2" t="s">
        <v>1936</v>
      </c>
      <c r="H1094" s="2" t="s">
        <v>802</v>
      </c>
      <c r="J1094" s="26"/>
      <c r="K1094" s="36">
        <v>6.2399999999999999E-5</v>
      </c>
      <c r="L1094" s="23">
        <v>2.0800000000000001E-5</v>
      </c>
    </row>
    <row r="1095" spans="1:12" ht="15.35" hidden="1" x14ac:dyDescent="0.55000000000000004">
      <c r="A1095" s="20">
        <v>9461</v>
      </c>
      <c r="B1095" s="2" t="s">
        <v>173</v>
      </c>
      <c r="C1095" s="2" t="s">
        <v>174</v>
      </c>
      <c r="D1095" s="20">
        <v>0</v>
      </c>
      <c r="E1095" s="2" t="s">
        <v>838</v>
      </c>
      <c r="F1095" s="2" t="s">
        <v>798</v>
      </c>
      <c r="G1095" s="2" t="s">
        <v>1937</v>
      </c>
      <c r="H1095" s="2" t="s">
        <v>802</v>
      </c>
      <c r="J1095" s="26"/>
      <c r="K1095" s="36">
        <v>5.8352000000000002E-4</v>
      </c>
      <c r="L1095" s="23">
        <v>1.9451000000000001E-4</v>
      </c>
    </row>
    <row r="1096" spans="1:12" ht="15.35" hidden="1" x14ac:dyDescent="0.55000000000000004">
      <c r="A1096" s="20">
        <v>9464</v>
      </c>
      <c r="B1096" s="2" t="s">
        <v>173</v>
      </c>
      <c r="C1096" s="2" t="s">
        <v>174</v>
      </c>
      <c r="D1096" s="20">
        <v>0</v>
      </c>
      <c r="E1096" s="2" t="s">
        <v>838</v>
      </c>
      <c r="F1096" s="2" t="s">
        <v>793</v>
      </c>
      <c r="G1096" s="2" t="s">
        <v>908</v>
      </c>
      <c r="H1096" s="2" t="s">
        <v>802</v>
      </c>
      <c r="J1096" s="26"/>
      <c r="K1096" s="36">
        <v>7.8010000000000004E-4</v>
      </c>
      <c r="L1096" s="23">
        <v>2.6003000000000002E-4</v>
      </c>
    </row>
    <row r="1097" spans="1:12" ht="15.35" hidden="1" x14ac:dyDescent="0.55000000000000004">
      <c r="A1097" s="20">
        <v>9466</v>
      </c>
      <c r="B1097" s="2" t="s">
        <v>173</v>
      </c>
      <c r="C1097" s="2" t="s">
        <v>174</v>
      </c>
      <c r="D1097" s="20">
        <v>0</v>
      </c>
      <c r="E1097" s="2" t="s">
        <v>838</v>
      </c>
      <c r="F1097" s="2" t="s">
        <v>793</v>
      </c>
      <c r="G1097" s="2" t="s">
        <v>1311</v>
      </c>
      <c r="H1097" s="2" t="s">
        <v>802</v>
      </c>
      <c r="J1097" s="26"/>
      <c r="K1097" s="36">
        <v>8.7684000000000004E-4</v>
      </c>
      <c r="L1097" s="23">
        <v>2.9228000000000001E-4</v>
      </c>
    </row>
    <row r="1098" spans="1:12" ht="15.35" hidden="1" x14ac:dyDescent="0.55000000000000004">
      <c r="A1098" s="20">
        <v>9463</v>
      </c>
      <c r="B1098" s="2" t="s">
        <v>173</v>
      </c>
      <c r="C1098" s="2" t="s">
        <v>174</v>
      </c>
      <c r="D1098" s="20">
        <v>0</v>
      </c>
      <c r="E1098" s="2" t="s">
        <v>838</v>
      </c>
      <c r="F1098" s="2" t="s">
        <v>793</v>
      </c>
      <c r="G1098" s="2" t="s">
        <v>1312</v>
      </c>
      <c r="H1098" s="2" t="s">
        <v>802</v>
      </c>
      <c r="J1098" s="26"/>
      <c r="K1098" s="36">
        <v>1.9658700000000002E-3</v>
      </c>
      <c r="L1098" s="23">
        <v>6.5529E-4</v>
      </c>
    </row>
    <row r="1099" spans="1:12" ht="15.35" hidden="1" x14ac:dyDescent="0.55000000000000004">
      <c r="A1099" s="20">
        <v>9462</v>
      </c>
      <c r="B1099" s="2" t="s">
        <v>173</v>
      </c>
      <c r="C1099" s="2" t="s">
        <v>174</v>
      </c>
      <c r="D1099" s="20">
        <v>0</v>
      </c>
      <c r="E1099" s="2" t="s">
        <v>838</v>
      </c>
      <c r="F1099" s="2" t="s">
        <v>793</v>
      </c>
      <c r="G1099" s="2" t="s">
        <v>1313</v>
      </c>
      <c r="H1099" s="2" t="s">
        <v>802</v>
      </c>
      <c r="J1099" s="26"/>
      <c r="K1099" s="36">
        <v>1.9658700000000002E-3</v>
      </c>
      <c r="L1099" s="23">
        <v>6.5529E-4</v>
      </c>
    </row>
    <row r="1100" spans="1:12" ht="15.35" hidden="1" x14ac:dyDescent="0.55000000000000004">
      <c r="A1100" s="20">
        <v>9176</v>
      </c>
      <c r="B1100" s="2" t="s">
        <v>173</v>
      </c>
      <c r="C1100" s="2" t="s">
        <v>174</v>
      </c>
      <c r="D1100" s="20">
        <v>0</v>
      </c>
      <c r="E1100" s="2" t="s">
        <v>838</v>
      </c>
      <c r="F1100" s="2" t="s">
        <v>789</v>
      </c>
      <c r="G1100" s="2" t="s">
        <v>1938</v>
      </c>
      <c r="H1100" s="2" t="s">
        <v>1325</v>
      </c>
      <c r="J1100" s="26"/>
      <c r="K1100" s="36">
        <v>4.7118000000000003E-4</v>
      </c>
      <c r="L1100" s="23">
        <v>1.5705999999999999E-4</v>
      </c>
    </row>
    <row r="1101" spans="1:12" ht="15.35" hidden="1" x14ac:dyDescent="0.55000000000000004">
      <c r="A1101" s="20">
        <v>9345</v>
      </c>
      <c r="B1101" s="2" t="s">
        <v>173</v>
      </c>
      <c r="C1101" s="2" t="s">
        <v>174</v>
      </c>
      <c r="D1101" s="20">
        <v>0</v>
      </c>
      <c r="E1101" s="2" t="s">
        <v>838</v>
      </c>
      <c r="F1101" s="2" t="s">
        <v>793</v>
      </c>
      <c r="G1101" s="2" t="s">
        <v>1939</v>
      </c>
      <c r="H1101" s="2" t="s">
        <v>1940</v>
      </c>
      <c r="J1101" s="26"/>
      <c r="K1101" s="36">
        <v>5.9280000000000002E-5</v>
      </c>
      <c r="L1101" s="23">
        <v>1.9760000000000001E-5</v>
      </c>
    </row>
    <row r="1102" spans="1:12" ht="15.35" hidden="1" x14ac:dyDescent="0.55000000000000004">
      <c r="A1102" s="20">
        <v>9355</v>
      </c>
      <c r="B1102" s="2" t="s">
        <v>173</v>
      </c>
      <c r="C1102" s="2" t="s">
        <v>174</v>
      </c>
      <c r="D1102" s="20">
        <v>0</v>
      </c>
      <c r="E1102" s="2" t="s">
        <v>838</v>
      </c>
      <c r="F1102" s="2" t="s">
        <v>793</v>
      </c>
      <c r="G1102" s="2" t="s">
        <v>1941</v>
      </c>
      <c r="H1102" s="2" t="s">
        <v>1940</v>
      </c>
      <c r="J1102" s="26"/>
      <c r="K1102" s="36">
        <v>5.9280000000000002E-5</v>
      </c>
      <c r="L1102" s="23">
        <v>1.9760000000000001E-5</v>
      </c>
    </row>
    <row r="1103" spans="1:12" ht="15.35" hidden="1" x14ac:dyDescent="0.55000000000000004">
      <c r="A1103" s="20">
        <v>9356</v>
      </c>
      <c r="B1103" s="2" t="s">
        <v>173</v>
      </c>
      <c r="C1103" s="2" t="s">
        <v>174</v>
      </c>
      <c r="D1103" s="20">
        <v>0</v>
      </c>
      <c r="E1103" s="2" t="s">
        <v>838</v>
      </c>
      <c r="F1103" s="2" t="s">
        <v>793</v>
      </c>
      <c r="G1103" s="2" t="s">
        <v>1942</v>
      </c>
      <c r="H1103" s="2" t="s">
        <v>1940</v>
      </c>
      <c r="J1103" s="26"/>
      <c r="K1103" s="36">
        <v>5.9280000000000002E-5</v>
      </c>
      <c r="L1103" s="23">
        <v>1.9760000000000001E-5</v>
      </c>
    </row>
    <row r="1104" spans="1:12" ht="15.35" hidden="1" x14ac:dyDescent="0.55000000000000004">
      <c r="A1104" s="20">
        <v>9357</v>
      </c>
      <c r="B1104" s="2" t="s">
        <v>173</v>
      </c>
      <c r="C1104" s="2" t="s">
        <v>174</v>
      </c>
      <c r="D1104" s="20">
        <v>0</v>
      </c>
      <c r="E1104" s="2" t="s">
        <v>838</v>
      </c>
      <c r="F1104" s="2" t="s">
        <v>793</v>
      </c>
      <c r="G1104" s="2" t="s">
        <v>1943</v>
      </c>
      <c r="H1104" s="2" t="s">
        <v>1940</v>
      </c>
      <c r="J1104" s="26"/>
      <c r="K1104" s="36">
        <v>5.9280000000000002E-5</v>
      </c>
      <c r="L1104" s="23">
        <v>1.9760000000000001E-5</v>
      </c>
    </row>
    <row r="1105" spans="1:12" ht="15.35" hidden="1" x14ac:dyDescent="0.55000000000000004">
      <c r="A1105" s="20">
        <v>9358</v>
      </c>
      <c r="B1105" s="2" t="s">
        <v>173</v>
      </c>
      <c r="C1105" s="2" t="s">
        <v>174</v>
      </c>
      <c r="D1105" s="20">
        <v>0</v>
      </c>
      <c r="E1105" s="2" t="s">
        <v>838</v>
      </c>
      <c r="F1105" s="2" t="s">
        <v>793</v>
      </c>
      <c r="G1105" s="2" t="s">
        <v>1944</v>
      </c>
      <c r="H1105" s="2" t="s">
        <v>1940</v>
      </c>
      <c r="J1105" s="26"/>
      <c r="K1105" s="36">
        <v>5.9280000000000002E-5</v>
      </c>
      <c r="L1105" s="23">
        <v>1.9760000000000001E-5</v>
      </c>
    </row>
    <row r="1106" spans="1:12" ht="15.35" hidden="1" x14ac:dyDescent="0.55000000000000004">
      <c r="A1106" s="20">
        <v>9359</v>
      </c>
      <c r="B1106" s="2" t="s">
        <v>173</v>
      </c>
      <c r="C1106" s="2" t="s">
        <v>174</v>
      </c>
      <c r="D1106" s="20">
        <v>0</v>
      </c>
      <c r="E1106" s="2" t="s">
        <v>838</v>
      </c>
      <c r="F1106" s="2" t="s">
        <v>793</v>
      </c>
      <c r="G1106" s="2" t="s">
        <v>1945</v>
      </c>
      <c r="H1106" s="2" t="s">
        <v>1940</v>
      </c>
      <c r="J1106" s="26"/>
      <c r="K1106" s="36">
        <v>5.9280000000000002E-5</v>
      </c>
      <c r="L1106" s="23">
        <v>1.9760000000000001E-5</v>
      </c>
    </row>
    <row r="1107" spans="1:12" ht="15.35" hidden="1" x14ac:dyDescent="0.55000000000000004">
      <c r="A1107" s="20">
        <v>9362</v>
      </c>
      <c r="B1107" s="2" t="s">
        <v>173</v>
      </c>
      <c r="C1107" s="2" t="s">
        <v>174</v>
      </c>
      <c r="D1107" s="20">
        <v>0</v>
      </c>
      <c r="E1107" s="2" t="s">
        <v>838</v>
      </c>
      <c r="F1107" s="2" t="s">
        <v>793</v>
      </c>
      <c r="G1107" s="2" t="s">
        <v>1946</v>
      </c>
      <c r="H1107" s="2" t="s">
        <v>1940</v>
      </c>
      <c r="J1107" s="26"/>
      <c r="K1107" s="36">
        <v>5.9280000000000002E-5</v>
      </c>
      <c r="L1107" s="23">
        <v>1.9760000000000001E-5</v>
      </c>
    </row>
    <row r="1108" spans="1:12" ht="15.35" hidden="1" x14ac:dyDescent="0.55000000000000004">
      <c r="A1108" s="20">
        <v>9363</v>
      </c>
      <c r="B1108" s="2" t="s">
        <v>173</v>
      </c>
      <c r="C1108" s="2" t="s">
        <v>174</v>
      </c>
      <c r="D1108" s="20">
        <v>0</v>
      </c>
      <c r="E1108" s="2" t="s">
        <v>838</v>
      </c>
      <c r="F1108" s="2" t="s">
        <v>793</v>
      </c>
      <c r="G1108" s="2" t="s">
        <v>1947</v>
      </c>
      <c r="H1108" s="2" t="s">
        <v>1940</v>
      </c>
      <c r="J1108" s="26"/>
      <c r="K1108" s="36">
        <v>5.9280000000000002E-5</v>
      </c>
      <c r="L1108" s="23">
        <v>1.9760000000000001E-5</v>
      </c>
    </row>
    <row r="1109" spans="1:12" ht="15.35" hidden="1" x14ac:dyDescent="0.55000000000000004">
      <c r="A1109" s="20">
        <v>9364</v>
      </c>
      <c r="B1109" s="2" t="s">
        <v>173</v>
      </c>
      <c r="C1109" s="2" t="s">
        <v>174</v>
      </c>
      <c r="D1109" s="20">
        <v>0</v>
      </c>
      <c r="E1109" s="2" t="s">
        <v>838</v>
      </c>
      <c r="F1109" s="2" t="s">
        <v>793</v>
      </c>
      <c r="G1109" s="2" t="s">
        <v>1948</v>
      </c>
      <c r="H1109" s="2" t="s">
        <v>1940</v>
      </c>
      <c r="J1109" s="26"/>
      <c r="K1109" s="36">
        <v>5.9280000000000002E-5</v>
      </c>
      <c r="L1109" s="23">
        <v>1.9760000000000001E-5</v>
      </c>
    </row>
    <row r="1110" spans="1:12" ht="15.35" hidden="1" x14ac:dyDescent="0.55000000000000004">
      <c r="A1110" s="20">
        <v>9365</v>
      </c>
      <c r="B1110" s="2" t="s">
        <v>173</v>
      </c>
      <c r="C1110" s="2" t="s">
        <v>174</v>
      </c>
      <c r="D1110" s="20">
        <v>0</v>
      </c>
      <c r="E1110" s="2" t="s">
        <v>838</v>
      </c>
      <c r="F1110" s="2" t="s">
        <v>793</v>
      </c>
      <c r="G1110" s="2" t="s">
        <v>1949</v>
      </c>
      <c r="H1110" s="2" t="s">
        <v>1940</v>
      </c>
      <c r="J1110" s="26"/>
      <c r="K1110" s="36">
        <v>5.9280000000000002E-5</v>
      </c>
      <c r="L1110" s="23">
        <v>1.9760000000000001E-5</v>
      </c>
    </row>
    <row r="1111" spans="1:12" ht="15.35" hidden="1" x14ac:dyDescent="0.55000000000000004">
      <c r="A1111" s="20">
        <v>9346</v>
      </c>
      <c r="B1111" s="2" t="s">
        <v>173</v>
      </c>
      <c r="C1111" s="2" t="s">
        <v>174</v>
      </c>
      <c r="D1111" s="20">
        <v>0</v>
      </c>
      <c r="E1111" s="2" t="s">
        <v>838</v>
      </c>
      <c r="F1111" s="2" t="s">
        <v>793</v>
      </c>
      <c r="G1111" s="2" t="s">
        <v>1950</v>
      </c>
      <c r="H1111" s="2" t="s">
        <v>1940</v>
      </c>
      <c r="J1111" s="26"/>
      <c r="K1111" s="36">
        <v>1.2200799999999999E-3</v>
      </c>
      <c r="L1111" s="23">
        <v>4.0669000000000002E-4</v>
      </c>
    </row>
    <row r="1112" spans="1:12" ht="15.35" hidden="1" x14ac:dyDescent="0.55000000000000004">
      <c r="A1112" s="20">
        <v>9366</v>
      </c>
      <c r="B1112" s="2" t="s">
        <v>173</v>
      </c>
      <c r="C1112" s="2" t="s">
        <v>174</v>
      </c>
      <c r="D1112" s="20">
        <v>0</v>
      </c>
      <c r="E1112" s="2" t="s">
        <v>838</v>
      </c>
      <c r="F1112" s="2" t="s">
        <v>793</v>
      </c>
      <c r="G1112" s="2" t="s">
        <v>1951</v>
      </c>
      <c r="H1112" s="2" t="s">
        <v>1940</v>
      </c>
      <c r="J1112" s="26"/>
      <c r="K1112" s="36">
        <v>5.9280000000000002E-5</v>
      </c>
      <c r="L1112" s="23">
        <v>1.9760000000000001E-5</v>
      </c>
    </row>
    <row r="1113" spans="1:12" ht="15.35" hidden="1" x14ac:dyDescent="0.55000000000000004">
      <c r="A1113" s="20">
        <v>9347</v>
      </c>
      <c r="B1113" s="2" t="s">
        <v>173</v>
      </c>
      <c r="C1113" s="2" t="s">
        <v>174</v>
      </c>
      <c r="D1113" s="20">
        <v>0</v>
      </c>
      <c r="E1113" s="2" t="s">
        <v>838</v>
      </c>
      <c r="F1113" s="2" t="s">
        <v>793</v>
      </c>
      <c r="G1113" s="2" t="s">
        <v>1952</v>
      </c>
      <c r="H1113" s="2" t="s">
        <v>1940</v>
      </c>
      <c r="J1113" s="26"/>
      <c r="K1113" s="36">
        <v>1.2200799999999999E-3</v>
      </c>
      <c r="L1113" s="23">
        <v>4.0669000000000002E-4</v>
      </c>
    </row>
    <row r="1114" spans="1:12" ht="15.35" hidden="1" x14ac:dyDescent="0.55000000000000004">
      <c r="A1114" s="20">
        <v>9348</v>
      </c>
      <c r="B1114" s="2" t="s">
        <v>173</v>
      </c>
      <c r="C1114" s="2" t="s">
        <v>174</v>
      </c>
      <c r="D1114" s="20">
        <v>0</v>
      </c>
      <c r="E1114" s="2" t="s">
        <v>838</v>
      </c>
      <c r="F1114" s="2" t="s">
        <v>793</v>
      </c>
      <c r="G1114" s="2" t="s">
        <v>1953</v>
      </c>
      <c r="H1114" s="2" t="s">
        <v>1940</v>
      </c>
      <c r="J1114" s="26"/>
      <c r="K1114" s="36">
        <v>5.9280000000000002E-5</v>
      </c>
      <c r="L1114" s="23">
        <v>1.9760000000000001E-5</v>
      </c>
    </row>
    <row r="1115" spans="1:12" ht="15.35" hidden="1" x14ac:dyDescent="0.55000000000000004">
      <c r="A1115" s="20">
        <v>9349</v>
      </c>
      <c r="B1115" s="2" t="s">
        <v>173</v>
      </c>
      <c r="C1115" s="2" t="s">
        <v>174</v>
      </c>
      <c r="D1115" s="20">
        <v>0</v>
      </c>
      <c r="E1115" s="2" t="s">
        <v>838</v>
      </c>
      <c r="F1115" s="2" t="s">
        <v>793</v>
      </c>
      <c r="G1115" s="2" t="s">
        <v>1954</v>
      </c>
      <c r="H1115" s="2" t="s">
        <v>1940</v>
      </c>
      <c r="J1115" s="26"/>
      <c r="K1115" s="36">
        <v>5.9280000000000002E-5</v>
      </c>
      <c r="L1115" s="23">
        <v>1.9760000000000001E-5</v>
      </c>
    </row>
    <row r="1116" spans="1:12" ht="15.35" hidden="1" x14ac:dyDescent="0.55000000000000004">
      <c r="A1116" s="20">
        <v>9354</v>
      </c>
      <c r="B1116" s="2" t="s">
        <v>173</v>
      </c>
      <c r="C1116" s="2" t="s">
        <v>174</v>
      </c>
      <c r="D1116" s="20">
        <v>0</v>
      </c>
      <c r="E1116" s="2" t="s">
        <v>838</v>
      </c>
      <c r="F1116" s="2" t="s">
        <v>793</v>
      </c>
      <c r="G1116" s="2" t="s">
        <v>1955</v>
      </c>
      <c r="H1116" s="2" t="s">
        <v>1940</v>
      </c>
      <c r="J1116" s="26"/>
      <c r="K1116" s="36">
        <v>5.9280000000000002E-5</v>
      </c>
      <c r="L1116" s="23">
        <v>1.9760000000000001E-5</v>
      </c>
    </row>
    <row r="1117" spans="1:12" ht="15.35" hidden="1" x14ac:dyDescent="0.55000000000000004">
      <c r="A1117" s="20">
        <v>9350</v>
      </c>
      <c r="B1117" s="2" t="s">
        <v>173</v>
      </c>
      <c r="C1117" s="2" t="s">
        <v>174</v>
      </c>
      <c r="D1117" s="20">
        <v>0</v>
      </c>
      <c r="E1117" s="2" t="s">
        <v>838</v>
      </c>
      <c r="F1117" s="2" t="s">
        <v>793</v>
      </c>
      <c r="G1117" s="2" t="s">
        <v>1956</v>
      </c>
      <c r="H1117" s="2" t="s">
        <v>1940</v>
      </c>
      <c r="J1117" s="26"/>
      <c r="K1117" s="36">
        <v>5.9280000000000002E-5</v>
      </c>
      <c r="L1117" s="23">
        <v>1.9760000000000001E-5</v>
      </c>
    </row>
    <row r="1118" spans="1:12" ht="15.35" hidden="1" x14ac:dyDescent="0.55000000000000004">
      <c r="A1118" s="20">
        <v>9351</v>
      </c>
      <c r="B1118" s="2" t="s">
        <v>173</v>
      </c>
      <c r="C1118" s="2" t="s">
        <v>174</v>
      </c>
      <c r="D1118" s="20">
        <v>0</v>
      </c>
      <c r="E1118" s="2" t="s">
        <v>838</v>
      </c>
      <c r="F1118" s="2" t="s">
        <v>793</v>
      </c>
      <c r="G1118" s="2" t="s">
        <v>1957</v>
      </c>
      <c r="H1118" s="2" t="s">
        <v>1940</v>
      </c>
      <c r="J1118" s="26"/>
      <c r="K1118" s="36">
        <v>5.9280000000000002E-5</v>
      </c>
      <c r="L1118" s="23">
        <v>1.9760000000000001E-5</v>
      </c>
    </row>
    <row r="1119" spans="1:12" ht="15.35" hidden="1" x14ac:dyDescent="0.55000000000000004">
      <c r="A1119" s="20">
        <v>9352</v>
      </c>
      <c r="B1119" s="2" t="s">
        <v>173</v>
      </c>
      <c r="C1119" s="2" t="s">
        <v>174</v>
      </c>
      <c r="D1119" s="20">
        <v>0</v>
      </c>
      <c r="E1119" s="2" t="s">
        <v>838</v>
      </c>
      <c r="F1119" s="2" t="s">
        <v>793</v>
      </c>
      <c r="G1119" s="2" t="s">
        <v>1958</v>
      </c>
      <c r="H1119" s="2" t="s">
        <v>1940</v>
      </c>
      <c r="J1119" s="26"/>
      <c r="K1119" s="36">
        <v>5.9280000000000002E-5</v>
      </c>
      <c r="L1119" s="23">
        <v>1.9760000000000001E-5</v>
      </c>
    </row>
    <row r="1120" spans="1:12" ht="15.35" hidden="1" x14ac:dyDescent="0.55000000000000004">
      <c r="A1120" s="20">
        <v>9353</v>
      </c>
      <c r="B1120" s="2" t="s">
        <v>173</v>
      </c>
      <c r="C1120" s="2" t="s">
        <v>174</v>
      </c>
      <c r="D1120" s="20">
        <v>0</v>
      </c>
      <c r="E1120" s="2" t="s">
        <v>838</v>
      </c>
      <c r="F1120" s="2" t="s">
        <v>793</v>
      </c>
      <c r="G1120" s="2" t="s">
        <v>1959</v>
      </c>
      <c r="H1120" s="2" t="s">
        <v>1940</v>
      </c>
      <c r="J1120" s="26"/>
      <c r="K1120" s="36">
        <v>5.9280000000000002E-5</v>
      </c>
      <c r="L1120" s="23">
        <v>1.9760000000000001E-5</v>
      </c>
    </row>
    <row r="1121" spans="1:12" ht="15.35" hidden="1" x14ac:dyDescent="0.55000000000000004">
      <c r="A1121" s="20">
        <v>9360</v>
      </c>
      <c r="B1121" s="2" t="s">
        <v>173</v>
      </c>
      <c r="C1121" s="2" t="s">
        <v>174</v>
      </c>
      <c r="D1121" s="20">
        <v>0</v>
      </c>
      <c r="E1121" s="2" t="s">
        <v>838</v>
      </c>
      <c r="F1121" s="2" t="s">
        <v>793</v>
      </c>
      <c r="G1121" s="2" t="s">
        <v>1960</v>
      </c>
      <c r="H1121" s="2" t="s">
        <v>1940</v>
      </c>
      <c r="J1121" s="26"/>
      <c r="K1121" s="36">
        <v>1.1233E-4</v>
      </c>
      <c r="L1121" s="23">
        <v>3.7440000000000001E-5</v>
      </c>
    </row>
    <row r="1122" spans="1:12" ht="15.35" hidden="1" x14ac:dyDescent="0.55000000000000004">
      <c r="A1122" s="20">
        <v>9361</v>
      </c>
      <c r="B1122" s="2" t="s">
        <v>173</v>
      </c>
      <c r="C1122" s="2" t="s">
        <v>174</v>
      </c>
      <c r="D1122" s="20">
        <v>0</v>
      </c>
      <c r="E1122" s="2" t="s">
        <v>838</v>
      </c>
      <c r="F1122" s="2" t="s">
        <v>793</v>
      </c>
      <c r="G1122" s="2" t="s">
        <v>1961</v>
      </c>
      <c r="H1122" s="2" t="s">
        <v>1940</v>
      </c>
      <c r="J1122" s="26"/>
      <c r="K1122" s="36">
        <v>5.6159999999999998E-5</v>
      </c>
      <c r="L1122" s="23">
        <v>1.872E-5</v>
      </c>
    </row>
    <row r="1123" spans="1:12" ht="15.35" hidden="1" x14ac:dyDescent="0.55000000000000004">
      <c r="A1123" s="20">
        <v>9367</v>
      </c>
      <c r="B1123" s="2" t="s">
        <v>173</v>
      </c>
      <c r="C1123" s="2" t="s">
        <v>174</v>
      </c>
      <c r="D1123" s="20">
        <v>0</v>
      </c>
      <c r="E1123" s="2" t="s">
        <v>838</v>
      </c>
      <c r="F1123" s="2" t="s">
        <v>793</v>
      </c>
      <c r="G1123" s="2" t="s">
        <v>1962</v>
      </c>
      <c r="H1123" s="2" t="s">
        <v>1940</v>
      </c>
      <c r="J1123" s="26"/>
      <c r="K1123" s="36">
        <v>5.6159999999999998E-5</v>
      </c>
      <c r="L1123" s="23">
        <v>1.872E-5</v>
      </c>
    </row>
    <row r="1124" spans="1:12" ht="15.35" hidden="1" x14ac:dyDescent="0.55000000000000004">
      <c r="A1124" s="20">
        <v>9369</v>
      </c>
      <c r="B1124" s="2" t="s">
        <v>173</v>
      </c>
      <c r="C1124" s="2" t="s">
        <v>174</v>
      </c>
      <c r="D1124" s="20">
        <v>0</v>
      </c>
      <c r="E1124" s="2" t="s">
        <v>838</v>
      </c>
      <c r="F1124" s="2" t="s">
        <v>793</v>
      </c>
      <c r="G1124" s="2" t="s">
        <v>1963</v>
      </c>
      <c r="H1124" s="2" t="s">
        <v>1940</v>
      </c>
      <c r="J1124" s="26"/>
      <c r="K1124" s="36">
        <v>5.6159999999999998E-5</v>
      </c>
      <c r="L1124" s="23">
        <v>1.872E-5</v>
      </c>
    </row>
    <row r="1125" spans="1:12" ht="15.35" hidden="1" x14ac:dyDescent="0.55000000000000004">
      <c r="A1125" s="20">
        <v>9368</v>
      </c>
      <c r="B1125" s="2" t="s">
        <v>173</v>
      </c>
      <c r="C1125" s="2" t="s">
        <v>174</v>
      </c>
      <c r="D1125" s="20">
        <v>0</v>
      </c>
      <c r="E1125" s="2" t="s">
        <v>838</v>
      </c>
      <c r="F1125" s="2" t="s">
        <v>793</v>
      </c>
      <c r="G1125" s="2" t="s">
        <v>1964</v>
      </c>
      <c r="H1125" s="2" t="s">
        <v>1940</v>
      </c>
      <c r="J1125" s="26"/>
      <c r="K1125" s="36">
        <v>5.6159999999999998E-5</v>
      </c>
      <c r="L1125" s="23">
        <v>1.872E-5</v>
      </c>
    </row>
    <row r="1126" spans="1:12" ht="15.35" hidden="1" x14ac:dyDescent="0.55000000000000004">
      <c r="A1126" s="20">
        <v>9372</v>
      </c>
      <c r="B1126" s="2" t="s">
        <v>173</v>
      </c>
      <c r="C1126" s="2" t="s">
        <v>174</v>
      </c>
      <c r="D1126" s="20">
        <v>0</v>
      </c>
      <c r="E1126" s="2" t="s">
        <v>838</v>
      </c>
      <c r="F1126" s="2" t="s">
        <v>793</v>
      </c>
      <c r="G1126" s="2" t="s">
        <v>1965</v>
      </c>
      <c r="H1126" s="2" t="s">
        <v>1940</v>
      </c>
      <c r="J1126" s="26"/>
      <c r="K1126" s="36">
        <v>7.8009999999999993E-5</v>
      </c>
      <c r="L1126" s="23">
        <v>2.5999999999999998E-5</v>
      </c>
    </row>
    <row r="1127" spans="1:12" ht="15.35" hidden="1" x14ac:dyDescent="0.55000000000000004">
      <c r="A1127" s="20">
        <v>9373</v>
      </c>
      <c r="B1127" s="2" t="s">
        <v>173</v>
      </c>
      <c r="C1127" s="2" t="s">
        <v>174</v>
      </c>
      <c r="D1127" s="20">
        <v>0</v>
      </c>
      <c r="E1127" s="2" t="s">
        <v>838</v>
      </c>
      <c r="F1127" s="2" t="s">
        <v>793</v>
      </c>
      <c r="G1127" s="2" t="s">
        <v>1966</v>
      </c>
      <c r="H1127" s="2" t="s">
        <v>1940</v>
      </c>
      <c r="J1127" s="26"/>
      <c r="K1127" s="36">
        <v>5.6159999999999998E-5</v>
      </c>
      <c r="L1127" s="23">
        <v>1.872E-5</v>
      </c>
    </row>
    <row r="1128" spans="1:12" ht="15.35" hidden="1" x14ac:dyDescent="0.55000000000000004">
      <c r="A1128" s="20">
        <v>9371</v>
      </c>
      <c r="B1128" s="2" t="s">
        <v>173</v>
      </c>
      <c r="C1128" s="2" t="s">
        <v>174</v>
      </c>
      <c r="D1128" s="20">
        <v>0</v>
      </c>
      <c r="E1128" s="2" t="s">
        <v>838</v>
      </c>
      <c r="F1128" s="2" t="s">
        <v>793</v>
      </c>
      <c r="G1128" s="2" t="s">
        <v>1967</v>
      </c>
      <c r="H1128" s="2" t="s">
        <v>1940</v>
      </c>
      <c r="J1128" s="26"/>
      <c r="K1128" s="36">
        <v>5.6159999999999998E-5</v>
      </c>
      <c r="L1128" s="23">
        <v>1.872E-5</v>
      </c>
    </row>
    <row r="1129" spans="1:12" ht="15.35" hidden="1" x14ac:dyDescent="0.55000000000000004">
      <c r="A1129" s="20">
        <v>9370</v>
      </c>
      <c r="B1129" s="2" t="s">
        <v>173</v>
      </c>
      <c r="C1129" s="2" t="s">
        <v>174</v>
      </c>
      <c r="D1129" s="20">
        <v>0</v>
      </c>
      <c r="E1129" s="2" t="s">
        <v>838</v>
      </c>
      <c r="F1129" s="2" t="s">
        <v>793</v>
      </c>
      <c r="G1129" s="2" t="s">
        <v>1968</v>
      </c>
      <c r="H1129" s="2" t="s">
        <v>1940</v>
      </c>
      <c r="J1129" s="26"/>
      <c r="K1129" s="36">
        <v>5.6159999999999998E-5</v>
      </c>
      <c r="L1129" s="23">
        <v>1.872E-5</v>
      </c>
    </row>
    <row r="1130" spans="1:12" ht="15.35" hidden="1" x14ac:dyDescent="0.55000000000000004">
      <c r="A1130" s="20">
        <v>9375</v>
      </c>
      <c r="B1130" s="2" t="s">
        <v>173</v>
      </c>
      <c r="C1130" s="2" t="s">
        <v>174</v>
      </c>
      <c r="D1130" s="20">
        <v>0</v>
      </c>
      <c r="E1130" s="2" t="s">
        <v>838</v>
      </c>
      <c r="F1130" s="2" t="s">
        <v>793</v>
      </c>
      <c r="G1130" s="2" t="s">
        <v>1969</v>
      </c>
      <c r="H1130" s="2" t="s">
        <v>1940</v>
      </c>
      <c r="J1130" s="26"/>
      <c r="K1130" s="36">
        <v>5.6159999999999998E-5</v>
      </c>
      <c r="L1130" s="23">
        <v>1.872E-5</v>
      </c>
    </row>
    <row r="1131" spans="1:12" ht="15.35" hidden="1" x14ac:dyDescent="0.55000000000000004">
      <c r="A1131" s="20">
        <v>9374</v>
      </c>
      <c r="B1131" s="2" t="s">
        <v>173</v>
      </c>
      <c r="C1131" s="2" t="s">
        <v>174</v>
      </c>
      <c r="D1131" s="20">
        <v>0</v>
      </c>
      <c r="E1131" s="2" t="s">
        <v>838</v>
      </c>
      <c r="F1131" s="2" t="s">
        <v>793</v>
      </c>
      <c r="G1131" s="2" t="s">
        <v>1970</v>
      </c>
      <c r="H1131" s="2" t="s">
        <v>1940</v>
      </c>
      <c r="J1131" s="26"/>
      <c r="K1131" s="36">
        <v>5.6159999999999998E-5</v>
      </c>
      <c r="L1131" s="23">
        <v>1.872E-5</v>
      </c>
    </row>
    <row r="1132" spans="1:12" ht="15.35" hidden="1" x14ac:dyDescent="0.55000000000000004">
      <c r="A1132" s="20">
        <v>9039</v>
      </c>
      <c r="B1132" s="2" t="s">
        <v>173</v>
      </c>
      <c r="C1132" s="2" t="s">
        <v>174</v>
      </c>
      <c r="D1132" s="20">
        <v>0</v>
      </c>
      <c r="E1132" s="2" t="s">
        <v>838</v>
      </c>
      <c r="F1132" s="2" t="s">
        <v>848</v>
      </c>
      <c r="G1132" s="2" t="s">
        <v>1329</v>
      </c>
      <c r="H1132" s="2" t="s">
        <v>1049</v>
      </c>
      <c r="J1132" s="26"/>
      <c r="K1132" s="36">
        <v>1.9658700000000002E-3</v>
      </c>
      <c r="L1132" s="23">
        <v>6.5529E-4</v>
      </c>
    </row>
    <row r="1133" spans="1:12" ht="15.35" hidden="1" x14ac:dyDescent="0.55000000000000004">
      <c r="A1133" s="20">
        <v>9498</v>
      </c>
      <c r="B1133" s="2" t="s">
        <v>173</v>
      </c>
      <c r="C1133" s="2" t="s">
        <v>174</v>
      </c>
      <c r="D1133" s="20">
        <v>0</v>
      </c>
      <c r="E1133" s="2" t="s">
        <v>838</v>
      </c>
      <c r="F1133" s="2" t="s">
        <v>793</v>
      </c>
      <c r="G1133" s="2" t="s">
        <v>1971</v>
      </c>
      <c r="H1133" s="2" t="s">
        <v>1331</v>
      </c>
      <c r="J1133" s="26"/>
      <c r="K1133" s="36">
        <v>6.2399999999999999E-5</v>
      </c>
      <c r="L1133" s="23">
        <v>2.0800000000000001E-5</v>
      </c>
    </row>
    <row r="1134" spans="1:12" ht="15.35" hidden="1" x14ac:dyDescent="0.55000000000000004">
      <c r="A1134" s="20">
        <v>9377</v>
      </c>
      <c r="B1134" s="2" t="s">
        <v>173</v>
      </c>
      <c r="C1134" s="2" t="s">
        <v>174</v>
      </c>
      <c r="D1134" s="20">
        <v>0</v>
      </c>
      <c r="E1134" s="2" t="s">
        <v>838</v>
      </c>
      <c r="F1134" s="2" t="s">
        <v>817</v>
      </c>
      <c r="G1134" s="2" t="s">
        <v>1972</v>
      </c>
      <c r="H1134" s="2" t="s">
        <v>1973</v>
      </c>
      <c r="J1134" s="26"/>
      <c r="K1134" s="36">
        <v>1.7474E-4</v>
      </c>
      <c r="L1134" s="23">
        <v>5.825E-5</v>
      </c>
    </row>
    <row r="1135" spans="1:12" ht="15.35" hidden="1" x14ac:dyDescent="0.55000000000000004">
      <c r="A1135" s="20">
        <v>9081</v>
      </c>
      <c r="B1135" s="2" t="s">
        <v>173</v>
      </c>
      <c r="C1135" s="2" t="s">
        <v>174</v>
      </c>
      <c r="D1135" s="20">
        <v>0</v>
      </c>
      <c r="E1135" s="2" t="s">
        <v>838</v>
      </c>
      <c r="F1135" s="2" t="s">
        <v>793</v>
      </c>
      <c r="G1135" s="2" t="s">
        <v>1974</v>
      </c>
      <c r="H1135" s="2" t="s">
        <v>1050</v>
      </c>
      <c r="J1135" s="26"/>
      <c r="K1135" s="36">
        <v>3.1199999999999999E-5</v>
      </c>
      <c r="L1135" s="23">
        <v>1.04E-5</v>
      </c>
    </row>
    <row r="1136" spans="1:12" ht="15.35" hidden="1" x14ac:dyDescent="0.55000000000000004">
      <c r="A1136" s="20">
        <v>9083</v>
      </c>
      <c r="B1136" s="2" t="s">
        <v>173</v>
      </c>
      <c r="C1136" s="2" t="s">
        <v>174</v>
      </c>
      <c r="D1136" s="20">
        <v>0</v>
      </c>
      <c r="E1136" s="2" t="s">
        <v>838</v>
      </c>
      <c r="F1136" s="2" t="s">
        <v>793</v>
      </c>
      <c r="G1136" s="2" t="s">
        <v>1975</v>
      </c>
      <c r="H1136" s="2" t="s">
        <v>1050</v>
      </c>
      <c r="J1136" s="26"/>
      <c r="K1136" s="36">
        <v>4.6799999999999999E-5</v>
      </c>
      <c r="L1136" s="23">
        <v>1.56E-5</v>
      </c>
    </row>
    <row r="1137" spans="1:12" ht="15.35" hidden="1" x14ac:dyDescent="0.55000000000000004">
      <c r="A1137" s="20">
        <v>9082</v>
      </c>
      <c r="B1137" s="2" t="s">
        <v>173</v>
      </c>
      <c r="C1137" s="2" t="s">
        <v>174</v>
      </c>
      <c r="D1137" s="20">
        <v>0</v>
      </c>
      <c r="E1137" s="2" t="s">
        <v>838</v>
      </c>
      <c r="F1137" s="2" t="s">
        <v>793</v>
      </c>
      <c r="G1137" s="2" t="s">
        <v>1976</v>
      </c>
      <c r="H1137" s="2" t="s">
        <v>1050</v>
      </c>
      <c r="J1137" s="26"/>
      <c r="K1137" s="36">
        <v>4.6799999999999999E-5</v>
      </c>
      <c r="L1137" s="23">
        <v>1.56E-5</v>
      </c>
    </row>
    <row r="1138" spans="1:12" ht="15.35" hidden="1" x14ac:dyDescent="0.55000000000000004">
      <c r="A1138" s="20">
        <v>9080</v>
      </c>
      <c r="B1138" s="2" t="s">
        <v>173</v>
      </c>
      <c r="C1138" s="2" t="s">
        <v>174</v>
      </c>
      <c r="D1138" s="20">
        <v>0</v>
      </c>
      <c r="E1138" s="2" t="s">
        <v>838</v>
      </c>
      <c r="F1138" s="2" t="s">
        <v>848</v>
      </c>
      <c r="G1138" s="2" t="s">
        <v>1332</v>
      </c>
      <c r="H1138" s="2" t="s">
        <v>1050</v>
      </c>
      <c r="J1138" s="26"/>
      <c r="K1138" s="36">
        <v>1.9658700000000002E-3</v>
      </c>
      <c r="L1138" s="23">
        <v>6.5529E-4</v>
      </c>
    </row>
    <row r="1139" spans="1:12" ht="15.35" hidden="1" x14ac:dyDescent="0.55000000000000004">
      <c r="A1139" s="20">
        <v>9445</v>
      </c>
      <c r="B1139" s="2" t="s">
        <v>173</v>
      </c>
      <c r="C1139" s="2" t="s">
        <v>174</v>
      </c>
      <c r="D1139" s="20">
        <v>0</v>
      </c>
      <c r="E1139" s="2" t="s">
        <v>838</v>
      </c>
      <c r="F1139" s="2" t="s">
        <v>793</v>
      </c>
      <c r="G1139" s="2" t="s">
        <v>1333</v>
      </c>
      <c r="H1139" s="2" t="s">
        <v>1334</v>
      </c>
      <c r="J1139" s="26"/>
      <c r="K1139" s="36">
        <v>1.2169E-4</v>
      </c>
      <c r="L1139" s="23">
        <v>4.0559999999999998E-5</v>
      </c>
    </row>
    <row r="1140" spans="1:12" ht="15.35" hidden="1" x14ac:dyDescent="0.55000000000000004">
      <c r="A1140" s="20">
        <v>9446</v>
      </c>
      <c r="B1140" s="2" t="s">
        <v>173</v>
      </c>
      <c r="C1140" s="2" t="s">
        <v>174</v>
      </c>
      <c r="D1140" s="20">
        <v>0</v>
      </c>
      <c r="E1140" s="2" t="s">
        <v>838</v>
      </c>
      <c r="F1140" s="2" t="s">
        <v>793</v>
      </c>
      <c r="G1140" s="2" t="s">
        <v>1335</v>
      </c>
      <c r="H1140" s="2" t="s">
        <v>1334</v>
      </c>
      <c r="J1140" s="26"/>
      <c r="K1140" s="36">
        <v>8.7369999999999999E-5</v>
      </c>
      <c r="L1140" s="23">
        <v>2.9119999999999999E-5</v>
      </c>
    </row>
    <row r="1141" spans="1:12" ht="15.35" hidden="1" x14ac:dyDescent="0.55000000000000004">
      <c r="A1141" s="20">
        <v>9443</v>
      </c>
      <c r="B1141" s="2" t="s">
        <v>173</v>
      </c>
      <c r="C1141" s="2" t="s">
        <v>174</v>
      </c>
      <c r="D1141" s="20">
        <v>0</v>
      </c>
      <c r="E1141" s="2" t="s">
        <v>838</v>
      </c>
      <c r="F1141" s="2" t="s">
        <v>793</v>
      </c>
      <c r="G1141" s="2" t="s">
        <v>1336</v>
      </c>
      <c r="H1141" s="2" t="s">
        <v>1334</v>
      </c>
      <c r="J1141" s="26"/>
      <c r="K1141" s="36">
        <v>1.9658700000000002E-3</v>
      </c>
      <c r="L1141" s="23">
        <v>6.5529E-4</v>
      </c>
    </row>
    <row r="1142" spans="1:12" ht="15.35" hidden="1" x14ac:dyDescent="0.55000000000000004">
      <c r="A1142" s="20">
        <v>9040</v>
      </c>
      <c r="B1142" s="2" t="s">
        <v>173</v>
      </c>
      <c r="C1142" s="2" t="s">
        <v>174</v>
      </c>
      <c r="D1142" s="20">
        <v>0</v>
      </c>
      <c r="E1142" s="2" t="s">
        <v>838</v>
      </c>
      <c r="F1142" s="2" t="s">
        <v>848</v>
      </c>
      <c r="G1142" s="2" t="s">
        <v>1337</v>
      </c>
      <c r="H1142" s="2" t="s">
        <v>850</v>
      </c>
      <c r="J1142" s="26"/>
      <c r="K1142" s="36">
        <v>1.9708099999999999E-3</v>
      </c>
      <c r="L1142" s="23">
        <v>6.5693999999999995E-4</v>
      </c>
    </row>
    <row r="1143" spans="1:12" ht="15.35" hidden="1" x14ac:dyDescent="0.55000000000000004">
      <c r="A1143" s="20">
        <v>9109</v>
      </c>
      <c r="B1143" s="2" t="s">
        <v>173</v>
      </c>
      <c r="C1143" s="2" t="s">
        <v>174</v>
      </c>
      <c r="D1143" s="20">
        <v>0</v>
      </c>
      <c r="E1143" s="2" t="s">
        <v>838</v>
      </c>
      <c r="F1143" s="2" t="s">
        <v>793</v>
      </c>
      <c r="G1143" s="2" t="s">
        <v>1977</v>
      </c>
      <c r="H1143" s="2" t="s">
        <v>913</v>
      </c>
      <c r="J1143" s="26"/>
      <c r="K1143" s="36">
        <v>4.3998000000000003E-4</v>
      </c>
      <c r="L1143" s="23">
        <v>1.4666000000000001E-4</v>
      </c>
    </row>
    <row r="1144" spans="1:12" ht="15.35" hidden="1" x14ac:dyDescent="0.55000000000000004">
      <c r="A1144" s="20">
        <v>9112</v>
      </c>
      <c r="B1144" s="2" t="s">
        <v>173</v>
      </c>
      <c r="C1144" s="2" t="s">
        <v>174</v>
      </c>
      <c r="D1144" s="20">
        <v>0</v>
      </c>
      <c r="E1144" s="2" t="s">
        <v>838</v>
      </c>
      <c r="F1144" s="2" t="s">
        <v>793</v>
      </c>
      <c r="G1144" s="2" t="s">
        <v>1978</v>
      </c>
      <c r="H1144" s="2" t="s">
        <v>913</v>
      </c>
      <c r="J1144" s="26"/>
      <c r="K1144" s="36">
        <v>4.3998000000000003E-4</v>
      </c>
      <c r="L1144" s="23">
        <v>1.4666000000000001E-4</v>
      </c>
    </row>
    <row r="1145" spans="1:12" ht="15.35" hidden="1" x14ac:dyDescent="0.55000000000000004">
      <c r="A1145" s="20">
        <v>9115</v>
      </c>
      <c r="B1145" s="2" t="s">
        <v>173</v>
      </c>
      <c r="C1145" s="2" t="s">
        <v>174</v>
      </c>
      <c r="D1145" s="20">
        <v>0</v>
      </c>
      <c r="E1145" s="2" t="s">
        <v>838</v>
      </c>
      <c r="F1145" s="2" t="s">
        <v>793</v>
      </c>
      <c r="G1145" s="2" t="s">
        <v>1979</v>
      </c>
      <c r="H1145" s="2" t="s">
        <v>913</v>
      </c>
      <c r="J1145" s="26"/>
      <c r="K1145" s="36">
        <v>4.3998000000000003E-4</v>
      </c>
      <c r="L1145" s="23">
        <v>1.4666000000000001E-4</v>
      </c>
    </row>
    <row r="1146" spans="1:12" ht="15.35" hidden="1" x14ac:dyDescent="0.55000000000000004">
      <c r="A1146" s="20">
        <v>9114</v>
      </c>
      <c r="B1146" s="2" t="s">
        <v>173</v>
      </c>
      <c r="C1146" s="2" t="s">
        <v>174</v>
      </c>
      <c r="D1146" s="20">
        <v>0</v>
      </c>
      <c r="E1146" s="2" t="s">
        <v>838</v>
      </c>
      <c r="F1146" s="2" t="s">
        <v>793</v>
      </c>
      <c r="G1146" s="2" t="s">
        <v>1980</v>
      </c>
      <c r="H1146" s="2" t="s">
        <v>913</v>
      </c>
      <c r="J1146" s="26"/>
      <c r="K1146" s="36">
        <v>4.3998000000000003E-4</v>
      </c>
      <c r="L1146" s="23">
        <v>1.4666000000000001E-4</v>
      </c>
    </row>
    <row r="1147" spans="1:12" ht="15.35" hidden="1" x14ac:dyDescent="0.55000000000000004">
      <c r="A1147" s="20">
        <v>9113</v>
      </c>
      <c r="B1147" s="2" t="s">
        <v>173</v>
      </c>
      <c r="C1147" s="2" t="s">
        <v>174</v>
      </c>
      <c r="D1147" s="20">
        <v>0</v>
      </c>
      <c r="E1147" s="2" t="s">
        <v>838</v>
      </c>
      <c r="F1147" s="2" t="s">
        <v>793</v>
      </c>
      <c r="G1147" s="2" t="s">
        <v>1981</v>
      </c>
      <c r="H1147" s="2" t="s">
        <v>913</v>
      </c>
      <c r="J1147" s="26"/>
      <c r="K1147" s="36">
        <v>4.3998000000000003E-4</v>
      </c>
      <c r="L1147" s="23">
        <v>1.4666000000000001E-4</v>
      </c>
    </row>
    <row r="1148" spans="1:12" ht="15.35" hidden="1" x14ac:dyDescent="0.55000000000000004">
      <c r="A1148" s="20">
        <v>9108</v>
      </c>
      <c r="B1148" s="2" t="s">
        <v>173</v>
      </c>
      <c r="C1148" s="2" t="s">
        <v>174</v>
      </c>
      <c r="D1148" s="20">
        <v>0</v>
      </c>
      <c r="E1148" s="2" t="s">
        <v>838</v>
      </c>
      <c r="F1148" s="2" t="s">
        <v>793</v>
      </c>
      <c r="G1148" s="2" t="s">
        <v>1982</v>
      </c>
      <c r="H1148" s="2" t="s">
        <v>913</v>
      </c>
      <c r="J1148" s="26"/>
      <c r="K1148" s="36">
        <v>4.3998000000000003E-4</v>
      </c>
      <c r="L1148" s="23">
        <v>1.4666000000000001E-4</v>
      </c>
    </row>
    <row r="1149" spans="1:12" ht="15.35" hidden="1" x14ac:dyDescent="0.55000000000000004">
      <c r="A1149" s="20">
        <v>9110</v>
      </c>
      <c r="B1149" s="2" t="s">
        <v>173</v>
      </c>
      <c r="C1149" s="2" t="s">
        <v>174</v>
      </c>
      <c r="D1149" s="20">
        <v>0</v>
      </c>
      <c r="E1149" s="2" t="s">
        <v>838</v>
      </c>
      <c r="F1149" s="2" t="s">
        <v>793</v>
      </c>
      <c r="G1149" s="2" t="s">
        <v>1983</v>
      </c>
      <c r="H1149" s="2" t="s">
        <v>913</v>
      </c>
      <c r="J1149" s="26"/>
      <c r="K1149" s="36">
        <v>4.3998000000000003E-4</v>
      </c>
      <c r="L1149" s="23">
        <v>1.4666000000000001E-4</v>
      </c>
    </row>
    <row r="1150" spans="1:12" ht="15.35" hidden="1" x14ac:dyDescent="0.55000000000000004">
      <c r="A1150" s="20">
        <v>9111</v>
      </c>
      <c r="B1150" s="2" t="s">
        <v>173</v>
      </c>
      <c r="C1150" s="2" t="s">
        <v>174</v>
      </c>
      <c r="D1150" s="20">
        <v>0</v>
      </c>
      <c r="E1150" s="2" t="s">
        <v>838</v>
      </c>
      <c r="F1150" s="2" t="s">
        <v>793</v>
      </c>
      <c r="G1150" s="2" t="s">
        <v>1984</v>
      </c>
      <c r="H1150" s="2" t="s">
        <v>913</v>
      </c>
      <c r="J1150" s="26"/>
      <c r="K1150" s="36">
        <v>4.3998000000000003E-4</v>
      </c>
      <c r="L1150" s="23">
        <v>1.4666000000000001E-4</v>
      </c>
    </row>
    <row r="1151" spans="1:12" ht="15.35" hidden="1" x14ac:dyDescent="0.55000000000000004">
      <c r="A1151" s="20">
        <v>9106</v>
      </c>
      <c r="B1151" s="2" t="s">
        <v>173</v>
      </c>
      <c r="C1151" s="2" t="s">
        <v>174</v>
      </c>
      <c r="D1151" s="20">
        <v>0</v>
      </c>
      <c r="E1151" s="2" t="s">
        <v>838</v>
      </c>
      <c r="F1151" s="2" t="s">
        <v>793</v>
      </c>
      <c r="G1151" s="2" t="s">
        <v>1985</v>
      </c>
      <c r="H1151" s="2" t="s">
        <v>913</v>
      </c>
      <c r="J1151" s="26"/>
      <c r="K1151" s="36">
        <v>8.7996000000000005E-4</v>
      </c>
      <c r="L1151" s="23">
        <v>2.9332000000000002E-4</v>
      </c>
    </row>
    <row r="1152" spans="1:12" ht="15.35" hidden="1" x14ac:dyDescent="0.55000000000000004">
      <c r="A1152" s="20">
        <v>9449</v>
      </c>
      <c r="B1152" s="2" t="s">
        <v>173</v>
      </c>
      <c r="C1152" s="2" t="s">
        <v>174</v>
      </c>
      <c r="D1152" s="20">
        <v>0</v>
      </c>
      <c r="E1152" s="2" t="s">
        <v>838</v>
      </c>
      <c r="F1152" s="2" t="s">
        <v>793</v>
      </c>
      <c r="G1152" s="2" t="s">
        <v>1986</v>
      </c>
      <c r="H1152" s="2" t="s">
        <v>913</v>
      </c>
      <c r="J1152" s="26"/>
      <c r="K1152" s="36">
        <v>5.6159999999999998E-5</v>
      </c>
      <c r="L1152" s="23">
        <v>1.872E-5</v>
      </c>
    </row>
    <row r="1153" spans="1:12" ht="15.35" hidden="1" x14ac:dyDescent="0.55000000000000004">
      <c r="A1153" s="20">
        <v>9459</v>
      </c>
      <c r="B1153" s="2" t="s">
        <v>173</v>
      </c>
      <c r="C1153" s="2" t="s">
        <v>174</v>
      </c>
      <c r="D1153" s="20">
        <v>0</v>
      </c>
      <c r="E1153" s="2" t="s">
        <v>838</v>
      </c>
      <c r="F1153" s="2" t="s">
        <v>793</v>
      </c>
      <c r="G1153" s="2" t="s">
        <v>1987</v>
      </c>
      <c r="H1153" s="2" t="s">
        <v>913</v>
      </c>
      <c r="J1153" s="26"/>
      <c r="K1153" s="36">
        <v>5.6159999999999998E-5</v>
      </c>
      <c r="L1153" s="23">
        <v>1.872E-5</v>
      </c>
    </row>
    <row r="1154" spans="1:12" ht="15.35" hidden="1" x14ac:dyDescent="0.55000000000000004">
      <c r="A1154" s="20">
        <v>9457</v>
      </c>
      <c r="B1154" s="2" t="s">
        <v>173</v>
      </c>
      <c r="C1154" s="2" t="s">
        <v>174</v>
      </c>
      <c r="D1154" s="20">
        <v>0</v>
      </c>
      <c r="E1154" s="2" t="s">
        <v>838</v>
      </c>
      <c r="F1154" s="2" t="s">
        <v>793</v>
      </c>
      <c r="G1154" s="2" t="s">
        <v>1988</v>
      </c>
      <c r="H1154" s="2" t="s">
        <v>913</v>
      </c>
      <c r="J1154" s="26"/>
      <c r="K1154" s="36">
        <v>1.7474E-4</v>
      </c>
      <c r="L1154" s="23">
        <v>5.825E-5</v>
      </c>
    </row>
    <row r="1155" spans="1:12" ht="15.35" hidden="1" x14ac:dyDescent="0.55000000000000004">
      <c r="A1155" s="20">
        <v>9458</v>
      </c>
      <c r="B1155" s="2" t="s">
        <v>173</v>
      </c>
      <c r="C1155" s="2" t="s">
        <v>174</v>
      </c>
      <c r="D1155" s="20">
        <v>0</v>
      </c>
      <c r="E1155" s="2" t="s">
        <v>838</v>
      </c>
      <c r="F1155" s="2" t="s">
        <v>793</v>
      </c>
      <c r="G1155" s="2" t="s">
        <v>1989</v>
      </c>
      <c r="H1155" s="2" t="s">
        <v>913</v>
      </c>
      <c r="J1155" s="26"/>
      <c r="K1155" s="36">
        <v>1.7474E-4</v>
      </c>
      <c r="L1155" s="23">
        <v>5.825E-5</v>
      </c>
    </row>
    <row r="1156" spans="1:12" ht="15.35" hidden="1" x14ac:dyDescent="0.55000000000000004">
      <c r="A1156" s="20">
        <v>9448</v>
      </c>
      <c r="B1156" s="2" t="s">
        <v>173</v>
      </c>
      <c r="C1156" s="2" t="s">
        <v>174</v>
      </c>
      <c r="D1156" s="20">
        <v>0</v>
      </c>
      <c r="E1156" s="2" t="s">
        <v>838</v>
      </c>
      <c r="F1156" s="2" t="s">
        <v>793</v>
      </c>
      <c r="G1156" s="2" t="s">
        <v>1990</v>
      </c>
      <c r="H1156" s="2" t="s">
        <v>913</v>
      </c>
      <c r="J1156" s="26"/>
      <c r="K1156" s="36">
        <v>6.2399999999999999E-5</v>
      </c>
      <c r="L1156" s="23">
        <v>2.0800000000000001E-5</v>
      </c>
    </row>
    <row r="1157" spans="1:12" ht="15.35" hidden="1" x14ac:dyDescent="0.55000000000000004">
      <c r="A1157" s="20">
        <v>9460</v>
      </c>
      <c r="B1157" s="2" t="s">
        <v>173</v>
      </c>
      <c r="C1157" s="2" t="s">
        <v>174</v>
      </c>
      <c r="D1157" s="20">
        <v>0</v>
      </c>
      <c r="E1157" s="2" t="s">
        <v>838</v>
      </c>
      <c r="F1157" s="2" t="s">
        <v>793</v>
      </c>
      <c r="G1157" s="2" t="s">
        <v>1991</v>
      </c>
      <c r="H1157" s="2" t="s">
        <v>913</v>
      </c>
      <c r="J1157" s="26"/>
      <c r="K1157" s="36">
        <v>5.6159999999999998E-5</v>
      </c>
      <c r="L1157" s="23">
        <v>1.872E-5</v>
      </c>
    </row>
    <row r="1158" spans="1:12" ht="15.35" hidden="1" x14ac:dyDescent="0.55000000000000004">
      <c r="A1158" s="20">
        <v>9447</v>
      </c>
      <c r="B1158" s="2" t="s">
        <v>173</v>
      </c>
      <c r="C1158" s="2" t="s">
        <v>174</v>
      </c>
      <c r="D1158" s="20">
        <v>0</v>
      </c>
      <c r="E1158" s="2" t="s">
        <v>838</v>
      </c>
      <c r="F1158" s="2" t="s">
        <v>793</v>
      </c>
      <c r="G1158" s="2" t="s">
        <v>1992</v>
      </c>
      <c r="H1158" s="2" t="s">
        <v>913</v>
      </c>
      <c r="J1158" s="26"/>
      <c r="K1158" s="36">
        <v>1.7474E-4</v>
      </c>
      <c r="L1158" s="23">
        <v>5.825E-5</v>
      </c>
    </row>
    <row r="1159" spans="1:12" ht="15.35" hidden="1" x14ac:dyDescent="0.55000000000000004">
      <c r="A1159" s="20">
        <v>9450</v>
      </c>
      <c r="B1159" s="2" t="s">
        <v>173</v>
      </c>
      <c r="C1159" s="2" t="s">
        <v>174</v>
      </c>
      <c r="D1159" s="20">
        <v>0</v>
      </c>
      <c r="E1159" s="2" t="s">
        <v>838</v>
      </c>
      <c r="F1159" s="2" t="s">
        <v>793</v>
      </c>
      <c r="G1159" s="2" t="s">
        <v>1993</v>
      </c>
      <c r="H1159" s="2" t="s">
        <v>913</v>
      </c>
      <c r="J1159" s="26"/>
      <c r="K1159" s="36">
        <v>5.6159999999999998E-5</v>
      </c>
      <c r="L1159" s="23">
        <v>1.872E-5</v>
      </c>
    </row>
    <row r="1160" spans="1:12" ht="15.35" hidden="1" x14ac:dyDescent="0.55000000000000004">
      <c r="A1160" s="20">
        <v>9451</v>
      </c>
      <c r="B1160" s="2" t="s">
        <v>173</v>
      </c>
      <c r="C1160" s="2" t="s">
        <v>174</v>
      </c>
      <c r="D1160" s="20">
        <v>0</v>
      </c>
      <c r="E1160" s="2" t="s">
        <v>838</v>
      </c>
      <c r="F1160" s="2" t="s">
        <v>793</v>
      </c>
      <c r="G1160" s="2" t="s">
        <v>1994</v>
      </c>
      <c r="H1160" s="2" t="s">
        <v>913</v>
      </c>
      <c r="J1160" s="26"/>
      <c r="K1160" s="36">
        <v>5.6159999999999998E-5</v>
      </c>
      <c r="L1160" s="23">
        <v>1.872E-5</v>
      </c>
    </row>
    <row r="1161" spans="1:12" ht="15.35" hidden="1" x14ac:dyDescent="0.55000000000000004">
      <c r="A1161" s="20">
        <v>9453</v>
      </c>
      <c r="B1161" s="2" t="s">
        <v>173</v>
      </c>
      <c r="C1161" s="2" t="s">
        <v>174</v>
      </c>
      <c r="D1161" s="20">
        <v>0</v>
      </c>
      <c r="E1161" s="2" t="s">
        <v>838</v>
      </c>
      <c r="F1161" s="2" t="s">
        <v>793</v>
      </c>
      <c r="G1161" s="2" t="s">
        <v>1995</v>
      </c>
      <c r="H1161" s="2" t="s">
        <v>913</v>
      </c>
      <c r="J1161" s="26"/>
      <c r="K1161" s="36">
        <v>5.6159999999999998E-5</v>
      </c>
      <c r="L1161" s="23">
        <v>1.872E-5</v>
      </c>
    </row>
    <row r="1162" spans="1:12" ht="15.35" hidden="1" x14ac:dyDescent="0.55000000000000004">
      <c r="A1162" s="20">
        <v>9454</v>
      </c>
      <c r="B1162" s="2" t="s">
        <v>173</v>
      </c>
      <c r="C1162" s="2" t="s">
        <v>174</v>
      </c>
      <c r="D1162" s="20">
        <v>0</v>
      </c>
      <c r="E1162" s="2" t="s">
        <v>838</v>
      </c>
      <c r="F1162" s="2" t="s">
        <v>793</v>
      </c>
      <c r="G1162" s="2" t="s">
        <v>1996</v>
      </c>
      <c r="H1162" s="2" t="s">
        <v>913</v>
      </c>
      <c r="J1162" s="26"/>
      <c r="K1162" s="36">
        <v>5.6159999999999998E-5</v>
      </c>
      <c r="L1162" s="23">
        <v>1.872E-5</v>
      </c>
    </row>
    <row r="1163" spans="1:12" ht="15.35" hidden="1" x14ac:dyDescent="0.55000000000000004">
      <c r="A1163" s="20">
        <v>9455</v>
      </c>
      <c r="B1163" s="2" t="s">
        <v>173</v>
      </c>
      <c r="C1163" s="2" t="s">
        <v>174</v>
      </c>
      <c r="D1163" s="20">
        <v>0</v>
      </c>
      <c r="E1163" s="2" t="s">
        <v>838</v>
      </c>
      <c r="F1163" s="2" t="s">
        <v>793</v>
      </c>
      <c r="G1163" s="2" t="s">
        <v>1997</v>
      </c>
      <c r="H1163" s="2" t="s">
        <v>913</v>
      </c>
      <c r="J1163" s="26"/>
      <c r="K1163" s="36">
        <v>5.6159999999999998E-5</v>
      </c>
      <c r="L1163" s="23">
        <v>1.872E-5</v>
      </c>
    </row>
    <row r="1164" spans="1:12" ht="15.35" hidden="1" x14ac:dyDescent="0.55000000000000004">
      <c r="A1164" s="20">
        <v>9456</v>
      </c>
      <c r="B1164" s="2" t="s">
        <v>173</v>
      </c>
      <c r="C1164" s="2" t="s">
        <v>174</v>
      </c>
      <c r="D1164" s="20">
        <v>0</v>
      </c>
      <c r="E1164" s="2" t="s">
        <v>838</v>
      </c>
      <c r="F1164" s="2" t="s">
        <v>793</v>
      </c>
      <c r="G1164" s="2" t="s">
        <v>1998</v>
      </c>
      <c r="H1164" s="2" t="s">
        <v>913</v>
      </c>
      <c r="J1164" s="26"/>
      <c r="K1164" s="36">
        <v>5.6159999999999998E-5</v>
      </c>
      <c r="L1164" s="23">
        <v>1.872E-5</v>
      </c>
    </row>
    <row r="1165" spans="1:12" ht="15.35" hidden="1" x14ac:dyDescent="0.55000000000000004">
      <c r="A1165" s="20">
        <v>9452</v>
      </c>
      <c r="B1165" s="2" t="s">
        <v>173</v>
      </c>
      <c r="C1165" s="2" t="s">
        <v>174</v>
      </c>
      <c r="D1165" s="20">
        <v>0</v>
      </c>
      <c r="E1165" s="2" t="s">
        <v>838</v>
      </c>
      <c r="F1165" s="2" t="s">
        <v>793</v>
      </c>
      <c r="G1165" s="2" t="s">
        <v>1999</v>
      </c>
      <c r="H1165" s="2" t="s">
        <v>913</v>
      </c>
      <c r="J1165" s="26"/>
      <c r="K1165" s="36">
        <v>5.6159999999999998E-5</v>
      </c>
      <c r="L1165" s="23">
        <v>1.872E-5</v>
      </c>
    </row>
    <row r="1166" spans="1:12" ht="15.35" hidden="1" x14ac:dyDescent="0.55000000000000004">
      <c r="A1166" s="20">
        <v>9444</v>
      </c>
      <c r="B1166" s="2" t="s">
        <v>173</v>
      </c>
      <c r="C1166" s="2" t="s">
        <v>174</v>
      </c>
      <c r="D1166" s="20">
        <v>0</v>
      </c>
      <c r="E1166" s="2" t="s">
        <v>838</v>
      </c>
      <c r="F1166" s="2" t="s">
        <v>793</v>
      </c>
      <c r="G1166" s="2" t="s">
        <v>912</v>
      </c>
      <c r="H1166" s="2" t="s">
        <v>913</v>
      </c>
      <c r="J1166" s="26"/>
      <c r="K1166" s="36">
        <v>1.4666000000000001E-4</v>
      </c>
      <c r="L1166" s="23">
        <v>4.8890000000000001E-5</v>
      </c>
    </row>
    <row r="1167" spans="1:12" ht="15.35" hidden="1" x14ac:dyDescent="0.55000000000000004">
      <c r="A1167" s="20">
        <v>9422</v>
      </c>
      <c r="B1167" s="2" t="s">
        <v>173</v>
      </c>
      <c r="C1167" s="2" t="s">
        <v>174</v>
      </c>
      <c r="D1167" s="20">
        <v>0</v>
      </c>
      <c r="E1167" s="2" t="s">
        <v>838</v>
      </c>
      <c r="F1167" s="2" t="s">
        <v>793</v>
      </c>
      <c r="G1167" s="2" t="s">
        <v>2000</v>
      </c>
      <c r="H1167" s="2" t="s">
        <v>2001</v>
      </c>
      <c r="J1167" s="26"/>
      <c r="K1167" s="36">
        <v>3.4319999999999997E-5</v>
      </c>
      <c r="L1167" s="23">
        <v>1.1440000000000001E-5</v>
      </c>
    </row>
    <row r="1168" spans="1:12" ht="15.35" hidden="1" x14ac:dyDescent="0.55000000000000004">
      <c r="A1168" s="20">
        <v>9420</v>
      </c>
      <c r="B1168" s="2" t="s">
        <v>173</v>
      </c>
      <c r="C1168" s="2" t="s">
        <v>174</v>
      </c>
      <c r="D1168" s="20">
        <v>0</v>
      </c>
      <c r="E1168" s="2" t="s">
        <v>838</v>
      </c>
      <c r="F1168" s="2" t="s">
        <v>793</v>
      </c>
      <c r="G1168" s="2" t="s">
        <v>2002</v>
      </c>
      <c r="H1168" s="2" t="s">
        <v>2001</v>
      </c>
      <c r="J1168" s="26"/>
      <c r="K1168" s="36">
        <v>3.4319999999999997E-5</v>
      </c>
      <c r="L1168" s="23">
        <v>1.1440000000000001E-5</v>
      </c>
    </row>
    <row r="1169" spans="1:12" ht="15.35" hidden="1" x14ac:dyDescent="0.55000000000000004">
      <c r="A1169" s="20">
        <v>9421</v>
      </c>
      <c r="B1169" s="2" t="s">
        <v>173</v>
      </c>
      <c r="C1169" s="2" t="s">
        <v>174</v>
      </c>
      <c r="D1169" s="20">
        <v>0</v>
      </c>
      <c r="E1169" s="2" t="s">
        <v>838</v>
      </c>
      <c r="F1169" s="2" t="s">
        <v>793</v>
      </c>
      <c r="G1169" s="2" t="s">
        <v>2003</v>
      </c>
      <c r="H1169" s="2" t="s">
        <v>2001</v>
      </c>
      <c r="J1169" s="26"/>
      <c r="K1169" s="36">
        <v>6.2399999999999999E-5</v>
      </c>
      <c r="L1169" s="23">
        <v>2.0800000000000001E-5</v>
      </c>
    </row>
    <row r="1170" spans="1:12" ht="15.35" hidden="1" x14ac:dyDescent="0.55000000000000004">
      <c r="A1170" s="20">
        <v>9441</v>
      </c>
      <c r="B1170" s="2" t="s">
        <v>173</v>
      </c>
      <c r="C1170" s="2" t="s">
        <v>174</v>
      </c>
      <c r="D1170" s="20">
        <v>0</v>
      </c>
      <c r="E1170" s="2" t="s">
        <v>838</v>
      </c>
      <c r="F1170" s="2" t="s">
        <v>848</v>
      </c>
      <c r="G1170" s="2" t="s">
        <v>2004</v>
      </c>
      <c r="H1170" s="2" t="s">
        <v>2004</v>
      </c>
      <c r="J1170" s="26"/>
      <c r="K1170" s="36">
        <v>1.9658700000000002E-3</v>
      </c>
      <c r="L1170" s="23">
        <v>6.5529E-4</v>
      </c>
    </row>
    <row r="1171" spans="1:12" ht="15.35" hidden="1" x14ac:dyDescent="0.55000000000000004">
      <c r="A1171" s="20">
        <v>9055</v>
      </c>
      <c r="B1171" s="2" t="s">
        <v>173</v>
      </c>
      <c r="C1171" s="2" t="s">
        <v>174</v>
      </c>
      <c r="D1171" s="20">
        <v>0</v>
      </c>
      <c r="E1171" s="2" t="s">
        <v>838</v>
      </c>
      <c r="F1171" s="2" t="s">
        <v>848</v>
      </c>
      <c r="G1171" s="2" t="s">
        <v>1340</v>
      </c>
      <c r="H1171" s="2" t="s">
        <v>1341</v>
      </c>
      <c r="J1171" s="26"/>
      <c r="K1171" s="36">
        <v>1.9658700000000002E-3</v>
      </c>
      <c r="L1171" s="23">
        <v>6.5529E-4</v>
      </c>
    </row>
    <row r="1172" spans="1:12" ht="15.35" hidden="1" x14ac:dyDescent="0.55000000000000004">
      <c r="A1172" s="20">
        <v>9405</v>
      </c>
      <c r="B1172" s="2" t="s">
        <v>173</v>
      </c>
      <c r="C1172" s="2" t="s">
        <v>174</v>
      </c>
      <c r="D1172" s="20">
        <v>0</v>
      </c>
      <c r="E1172" s="2" t="s">
        <v>838</v>
      </c>
      <c r="F1172" s="2" t="s">
        <v>817</v>
      </c>
      <c r="G1172" s="2" t="s">
        <v>1342</v>
      </c>
      <c r="H1172" s="2" t="s">
        <v>852</v>
      </c>
      <c r="J1172" s="26"/>
      <c r="K1172" s="36">
        <v>3.1203999999999997E-4</v>
      </c>
      <c r="L1172" s="23">
        <v>1.0401E-4</v>
      </c>
    </row>
    <row r="1173" spans="1:12" ht="15.35" hidden="1" x14ac:dyDescent="0.55000000000000004">
      <c r="A1173" s="20">
        <v>9406</v>
      </c>
      <c r="B1173" s="2" t="s">
        <v>173</v>
      </c>
      <c r="C1173" s="2" t="s">
        <v>174</v>
      </c>
      <c r="D1173" s="20">
        <v>0</v>
      </c>
      <c r="E1173" s="2" t="s">
        <v>838</v>
      </c>
      <c r="F1173" s="2" t="s">
        <v>817</v>
      </c>
      <c r="G1173" s="2" t="s">
        <v>1343</v>
      </c>
      <c r="H1173" s="2" t="s">
        <v>852</v>
      </c>
      <c r="J1173" s="26"/>
      <c r="K1173" s="36">
        <v>1.15456E-3</v>
      </c>
      <c r="L1173" s="23">
        <v>3.8485E-4</v>
      </c>
    </row>
    <row r="1174" spans="1:12" ht="15.35" hidden="1" x14ac:dyDescent="0.55000000000000004">
      <c r="A1174" s="20">
        <v>9252</v>
      </c>
      <c r="B1174" s="2" t="s">
        <v>173</v>
      </c>
      <c r="C1174" s="2" t="s">
        <v>174</v>
      </c>
      <c r="D1174" s="20">
        <v>0</v>
      </c>
      <c r="E1174" s="2" t="s">
        <v>838</v>
      </c>
      <c r="F1174" s="2" t="s">
        <v>789</v>
      </c>
      <c r="G1174" s="2" t="s">
        <v>1344</v>
      </c>
      <c r="H1174" s="2" t="s">
        <v>1345</v>
      </c>
      <c r="J1174" s="26"/>
      <c r="K1174" s="36">
        <v>1.9658700000000002E-3</v>
      </c>
      <c r="L1174" s="23">
        <v>6.5529E-4</v>
      </c>
    </row>
    <row r="1175" spans="1:12" ht="15.35" hidden="1" x14ac:dyDescent="0.55000000000000004">
      <c r="A1175" s="20">
        <v>9212</v>
      </c>
      <c r="B1175" s="2" t="s">
        <v>173</v>
      </c>
      <c r="C1175" s="2" t="s">
        <v>174</v>
      </c>
      <c r="D1175" s="20">
        <v>0</v>
      </c>
      <c r="E1175" s="2" t="s">
        <v>838</v>
      </c>
      <c r="F1175" s="2" t="s">
        <v>789</v>
      </c>
      <c r="G1175" s="2" t="s">
        <v>1344</v>
      </c>
      <c r="H1175" s="2" t="s">
        <v>1345</v>
      </c>
      <c r="J1175" s="26"/>
      <c r="K1175" s="36">
        <v>1.9658700000000002E-3</v>
      </c>
      <c r="L1175" s="23">
        <v>6.5529E-4</v>
      </c>
    </row>
    <row r="1176" spans="1:12" ht="15.35" hidden="1" x14ac:dyDescent="0.55000000000000004">
      <c r="A1176" s="20">
        <v>9213</v>
      </c>
      <c r="B1176" s="2" t="s">
        <v>173</v>
      </c>
      <c r="C1176" s="2" t="s">
        <v>174</v>
      </c>
      <c r="D1176" s="20">
        <v>0</v>
      </c>
      <c r="E1176" s="2" t="s">
        <v>838</v>
      </c>
      <c r="F1176" s="2" t="s">
        <v>789</v>
      </c>
      <c r="G1176" s="2" t="s">
        <v>1346</v>
      </c>
      <c r="H1176" s="2" t="s">
        <v>1345</v>
      </c>
      <c r="J1176" s="26"/>
      <c r="K1176" s="36">
        <v>1.9658700000000002E-3</v>
      </c>
      <c r="L1176" s="23">
        <v>6.5529E-4</v>
      </c>
    </row>
    <row r="1177" spans="1:12" ht="15.35" hidden="1" x14ac:dyDescent="0.55000000000000004">
      <c r="A1177" s="20">
        <v>9254</v>
      </c>
      <c r="B1177" s="2" t="s">
        <v>173</v>
      </c>
      <c r="C1177" s="2" t="s">
        <v>174</v>
      </c>
      <c r="D1177" s="20">
        <v>0</v>
      </c>
      <c r="E1177" s="2" t="s">
        <v>838</v>
      </c>
      <c r="F1177" s="2" t="s">
        <v>789</v>
      </c>
      <c r="G1177" s="2" t="s">
        <v>1346</v>
      </c>
      <c r="H1177" s="2" t="s">
        <v>1345</v>
      </c>
      <c r="J1177" s="26"/>
      <c r="K1177" s="36">
        <v>1.9658700000000002E-3</v>
      </c>
      <c r="L1177" s="23">
        <v>6.5529E-4</v>
      </c>
    </row>
    <row r="1178" spans="1:12" ht="15.35" hidden="1" x14ac:dyDescent="0.55000000000000004">
      <c r="A1178" s="20">
        <v>9407</v>
      </c>
      <c r="B1178" s="2" t="s">
        <v>173</v>
      </c>
      <c r="C1178" s="2" t="s">
        <v>174</v>
      </c>
      <c r="D1178" s="20">
        <v>0</v>
      </c>
      <c r="E1178" s="2" t="s">
        <v>838</v>
      </c>
      <c r="F1178" s="2" t="s">
        <v>817</v>
      </c>
      <c r="G1178" s="2" t="s">
        <v>1353</v>
      </c>
      <c r="H1178" s="2" t="s">
        <v>1056</v>
      </c>
      <c r="J1178" s="26"/>
      <c r="K1178" s="36">
        <v>3.7445000000000002E-4</v>
      </c>
      <c r="L1178" s="23">
        <v>1.2481999999999999E-4</v>
      </c>
    </row>
    <row r="1179" spans="1:12" ht="15.35" hidden="1" x14ac:dyDescent="0.55000000000000004">
      <c r="A1179" s="20">
        <v>9408</v>
      </c>
      <c r="B1179" s="2" t="s">
        <v>173</v>
      </c>
      <c r="C1179" s="2" t="s">
        <v>174</v>
      </c>
      <c r="D1179" s="20">
        <v>0</v>
      </c>
      <c r="E1179" s="2" t="s">
        <v>838</v>
      </c>
      <c r="F1179" s="2" t="s">
        <v>817</v>
      </c>
      <c r="G1179" s="2" t="s">
        <v>1355</v>
      </c>
      <c r="H1179" s="2" t="s">
        <v>1056</v>
      </c>
      <c r="J1179" s="26"/>
      <c r="K1179" s="36">
        <v>3.7440000000000001E-5</v>
      </c>
      <c r="L1179" s="23">
        <v>1.2480000000000001E-5</v>
      </c>
    </row>
    <row r="1180" spans="1:12" ht="15.35" hidden="1" x14ac:dyDescent="0.55000000000000004">
      <c r="A1180" s="20">
        <v>9409</v>
      </c>
      <c r="B1180" s="2" t="s">
        <v>173</v>
      </c>
      <c r="C1180" s="2" t="s">
        <v>174</v>
      </c>
      <c r="D1180" s="20">
        <v>0</v>
      </c>
      <c r="E1180" s="2" t="s">
        <v>838</v>
      </c>
      <c r="F1180" s="2" t="s">
        <v>817</v>
      </c>
      <c r="G1180" s="2" t="s">
        <v>1356</v>
      </c>
      <c r="H1180" s="2" t="s">
        <v>1056</v>
      </c>
      <c r="J1180" s="26"/>
      <c r="K1180" s="36">
        <v>2.8394999999999999E-4</v>
      </c>
      <c r="L1180" s="23">
        <v>9.4649999999999997E-5</v>
      </c>
    </row>
    <row r="1181" spans="1:12" ht="15.35" hidden="1" x14ac:dyDescent="0.55000000000000004">
      <c r="A1181" s="20">
        <v>9057</v>
      </c>
      <c r="B1181" s="2" t="s">
        <v>173</v>
      </c>
      <c r="C1181" s="2" t="s">
        <v>174</v>
      </c>
      <c r="D1181" s="20">
        <v>0</v>
      </c>
      <c r="E1181" s="2" t="s">
        <v>838</v>
      </c>
      <c r="F1181" s="2" t="s">
        <v>848</v>
      </c>
      <c r="G1181" s="2" t="s">
        <v>1357</v>
      </c>
      <c r="H1181" s="2" t="s">
        <v>1060</v>
      </c>
      <c r="J1181" s="26"/>
      <c r="K1181" s="36">
        <v>1.9658700000000002E-3</v>
      </c>
      <c r="L1181" s="23">
        <v>6.5529E-4</v>
      </c>
    </row>
    <row r="1182" spans="1:12" ht="15.35" hidden="1" x14ac:dyDescent="0.55000000000000004">
      <c r="A1182" s="20">
        <v>9058</v>
      </c>
      <c r="B1182" s="2" t="s">
        <v>173</v>
      </c>
      <c r="C1182" s="2" t="s">
        <v>174</v>
      </c>
      <c r="D1182" s="20">
        <v>0</v>
      </c>
      <c r="E1182" s="2" t="s">
        <v>838</v>
      </c>
      <c r="F1182" s="2" t="s">
        <v>793</v>
      </c>
      <c r="G1182" s="2" t="s">
        <v>2005</v>
      </c>
      <c r="H1182" s="2" t="s">
        <v>1060</v>
      </c>
      <c r="J1182" s="26"/>
      <c r="K1182" s="36">
        <v>5.9280000000000002E-5</v>
      </c>
      <c r="L1182" s="23">
        <v>1.9760000000000001E-5</v>
      </c>
    </row>
    <row r="1183" spans="1:12" ht="15.35" x14ac:dyDescent="0.55000000000000004">
      <c r="A1183" s="20">
        <v>9232</v>
      </c>
      <c r="B1183" s="2" t="s">
        <v>173</v>
      </c>
      <c r="C1183" s="2" t="s">
        <v>174</v>
      </c>
      <c r="D1183" s="20">
        <v>0</v>
      </c>
      <c r="E1183" s="2" t="s">
        <v>838</v>
      </c>
      <c r="F1183" s="2" t="s">
        <v>789</v>
      </c>
      <c r="G1183" s="2" t="s">
        <v>2006</v>
      </c>
      <c r="J1183" s="26"/>
      <c r="K1183" s="36">
        <v>4.3686000000000002E-4</v>
      </c>
      <c r="L1183" s="23">
        <v>1.4562000000000001E-4</v>
      </c>
    </row>
    <row r="1184" spans="1:12" ht="15.35" hidden="1" x14ac:dyDescent="0.55000000000000004">
      <c r="A1184" s="20">
        <v>9591</v>
      </c>
      <c r="B1184" s="2" t="s">
        <v>173</v>
      </c>
      <c r="C1184" s="2" t="s">
        <v>174</v>
      </c>
      <c r="D1184" s="20">
        <v>0</v>
      </c>
      <c r="E1184" s="2" t="s">
        <v>838</v>
      </c>
      <c r="F1184" s="2" t="s">
        <v>783</v>
      </c>
      <c r="G1184" s="2" t="s">
        <v>1061</v>
      </c>
      <c r="H1184" s="2" t="s">
        <v>1062</v>
      </c>
      <c r="J1184" s="26"/>
      <c r="K1184" s="36">
        <v>3.7445000000000002E-4</v>
      </c>
      <c r="L1184" s="23">
        <v>1.2481999999999999E-4</v>
      </c>
    </row>
    <row r="1185" spans="1:12" ht="15.35" hidden="1" x14ac:dyDescent="0.55000000000000004">
      <c r="A1185" s="20">
        <v>9593</v>
      </c>
      <c r="B1185" s="2" t="s">
        <v>173</v>
      </c>
      <c r="C1185" s="2" t="s">
        <v>174</v>
      </c>
      <c r="D1185" s="20">
        <v>0</v>
      </c>
      <c r="E1185" s="2" t="s">
        <v>838</v>
      </c>
      <c r="F1185" s="2" t="s">
        <v>811</v>
      </c>
      <c r="G1185" s="2" t="s">
        <v>1067</v>
      </c>
      <c r="H1185" s="2" t="s">
        <v>1062</v>
      </c>
      <c r="J1185" s="26"/>
      <c r="K1185" s="36">
        <v>2.0282000000000001E-4</v>
      </c>
      <c r="L1185" s="23">
        <v>6.7609999999999998E-5</v>
      </c>
    </row>
    <row r="1186" spans="1:12" ht="15.35" hidden="1" x14ac:dyDescent="0.55000000000000004">
      <c r="A1186" s="20">
        <v>9317</v>
      </c>
      <c r="B1186" s="2" t="s">
        <v>173</v>
      </c>
      <c r="C1186" s="2" t="s">
        <v>174</v>
      </c>
      <c r="D1186" s="20">
        <v>0</v>
      </c>
      <c r="E1186" s="2" t="s">
        <v>838</v>
      </c>
      <c r="F1186" s="2" t="s">
        <v>793</v>
      </c>
      <c r="G1186" s="2" t="s">
        <v>2007</v>
      </c>
      <c r="H1186" s="2" t="s">
        <v>2008</v>
      </c>
      <c r="J1186" s="26"/>
      <c r="K1186" s="36">
        <v>1.529E-4</v>
      </c>
      <c r="L1186" s="23">
        <v>5.0970000000000002E-5</v>
      </c>
    </row>
    <row r="1187" spans="1:12" ht="15.35" hidden="1" x14ac:dyDescent="0.55000000000000004">
      <c r="A1187" s="20">
        <v>9380</v>
      </c>
      <c r="B1187" s="2" t="s">
        <v>173</v>
      </c>
      <c r="C1187" s="2" t="s">
        <v>174</v>
      </c>
      <c r="D1187" s="20">
        <v>0</v>
      </c>
      <c r="E1187" s="2" t="s">
        <v>838</v>
      </c>
      <c r="F1187" s="2" t="s">
        <v>817</v>
      </c>
      <c r="G1187" s="2" t="s">
        <v>2009</v>
      </c>
      <c r="H1187" s="2" t="s">
        <v>2010</v>
      </c>
      <c r="J1187" s="26"/>
      <c r="K1187" s="36">
        <v>1.6444599999999999E-3</v>
      </c>
      <c r="L1187" s="23">
        <v>5.4814999999999996E-4</v>
      </c>
    </row>
    <row r="1188" spans="1:12" ht="15.35" hidden="1" x14ac:dyDescent="0.55000000000000004">
      <c r="A1188" s="20">
        <v>9379</v>
      </c>
      <c r="B1188" s="2" t="s">
        <v>173</v>
      </c>
      <c r="C1188" s="2" t="s">
        <v>174</v>
      </c>
      <c r="D1188" s="20">
        <v>0</v>
      </c>
      <c r="E1188" s="2" t="s">
        <v>838</v>
      </c>
      <c r="F1188" s="2" t="s">
        <v>817</v>
      </c>
      <c r="G1188" s="2" t="s">
        <v>2011</v>
      </c>
      <c r="H1188" s="2" t="s">
        <v>2010</v>
      </c>
      <c r="J1188" s="26"/>
      <c r="K1188" s="36">
        <v>4.6799999999999999E-5</v>
      </c>
      <c r="L1188" s="23">
        <v>1.56E-5</v>
      </c>
    </row>
    <row r="1189" spans="1:12" ht="15.35" hidden="1" x14ac:dyDescent="0.55000000000000004">
      <c r="A1189" s="20">
        <v>9260</v>
      </c>
      <c r="B1189" s="2" t="s">
        <v>173</v>
      </c>
      <c r="C1189" s="2" t="s">
        <v>174</v>
      </c>
      <c r="D1189" s="20">
        <v>0</v>
      </c>
      <c r="E1189" s="2" t="s">
        <v>838</v>
      </c>
      <c r="F1189" s="2" t="s">
        <v>789</v>
      </c>
      <c r="G1189" s="2" t="s">
        <v>1358</v>
      </c>
      <c r="H1189" s="2" t="s">
        <v>854</v>
      </c>
      <c r="J1189" s="26"/>
      <c r="K1189" s="36">
        <v>1.9658700000000002E-3</v>
      </c>
      <c r="L1189" s="23">
        <v>6.5529E-4</v>
      </c>
    </row>
    <row r="1190" spans="1:12" ht="15.35" hidden="1" x14ac:dyDescent="0.55000000000000004">
      <c r="A1190" s="20">
        <v>9258</v>
      </c>
      <c r="B1190" s="2" t="s">
        <v>173</v>
      </c>
      <c r="C1190" s="2" t="s">
        <v>174</v>
      </c>
      <c r="D1190" s="20">
        <v>0</v>
      </c>
      <c r="E1190" s="2" t="s">
        <v>838</v>
      </c>
      <c r="F1190" s="2" t="s">
        <v>789</v>
      </c>
      <c r="G1190" s="2" t="s">
        <v>1359</v>
      </c>
      <c r="H1190" s="2" t="s">
        <v>854</v>
      </c>
      <c r="J1190" s="26"/>
      <c r="K1190" s="36">
        <v>1.9658700000000002E-3</v>
      </c>
      <c r="L1190" s="23">
        <v>6.5529E-4</v>
      </c>
    </row>
    <row r="1191" spans="1:12" ht="15.35" hidden="1" x14ac:dyDescent="0.55000000000000004">
      <c r="A1191" s="20">
        <v>9259</v>
      </c>
      <c r="B1191" s="2" t="s">
        <v>173</v>
      </c>
      <c r="C1191" s="2" t="s">
        <v>174</v>
      </c>
      <c r="D1191" s="20">
        <v>0</v>
      </c>
      <c r="E1191" s="2" t="s">
        <v>838</v>
      </c>
      <c r="F1191" s="2" t="s">
        <v>789</v>
      </c>
      <c r="G1191" s="2" t="s">
        <v>1360</v>
      </c>
      <c r="H1191" s="2" t="s">
        <v>854</v>
      </c>
      <c r="J1191" s="26"/>
      <c r="K1191" s="36">
        <v>1.9658700000000002E-3</v>
      </c>
      <c r="L1191" s="23">
        <v>6.5529E-4</v>
      </c>
    </row>
    <row r="1192" spans="1:12" ht="15.35" hidden="1" x14ac:dyDescent="0.55000000000000004">
      <c r="A1192" s="20">
        <v>9257</v>
      </c>
      <c r="B1192" s="2" t="s">
        <v>173</v>
      </c>
      <c r="C1192" s="2" t="s">
        <v>174</v>
      </c>
      <c r="D1192" s="20">
        <v>0</v>
      </c>
      <c r="E1192" s="2" t="s">
        <v>838</v>
      </c>
      <c r="F1192" s="2" t="s">
        <v>789</v>
      </c>
      <c r="G1192" s="2" t="s">
        <v>853</v>
      </c>
      <c r="H1192" s="2" t="s">
        <v>854</v>
      </c>
      <c r="J1192" s="26"/>
      <c r="K1192" s="36">
        <v>1.9658700000000002E-3</v>
      </c>
      <c r="L1192" s="23">
        <v>6.5529E-4</v>
      </c>
    </row>
    <row r="1193" spans="1:12" ht="15.35" hidden="1" x14ac:dyDescent="0.55000000000000004">
      <c r="A1193" s="20">
        <v>9256</v>
      </c>
      <c r="B1193" s="2" t="s">
        <v>173</v>
      </c>
      <c r="C1193" s="2" t="s">
        <v>174</v>
      </c>
      <c r="D1193" s="20">
        <v>0</v>
      </c>
      <c r="E1193" s="2" t="s">
        <v>838</v>
      </c>
      <c r="F1193" s="2" t="s">
        <v>789</v>
      </c>
      <c r="G1193" s="2" t="s">
        <v>855</v>
      </c>
      <c r="H1193" s="2" t="s">
        <v>856</v>
      </c>
      <c r="J1193" s="26"/>
      <c r="K1193" s="36">
        <v>1.9658700000000002E-3</v>
      </c>
      <c r="L1193" s="23">
        <v>6.5529E-4</v>
      </c>
    </row>
    <row r="1194" spans="1:12" ht="15.35" hidden="1" x14ac:dyDescent="0.55000000000000004">
      <c r="A1194" s="20">
        <v>9116</v>
      </c>
      <c r="B1194" s="2" t="s">
        <v>173</v>
      </c>
      <c r="C1194" s="2" t="s">
        <v>174</v>
      </c>
      <c r="D1194" s="20">
        <v>0</v>
      </c>
      <c r="E1194" s="2" t="s">
        <v>838</v>
      </c>
      <c r="F1194" s="2" t="s">
        <v>789</v>
      </c>
      <c r="G1194" s="2" t="s">
        <v>1361</v>
      </c>
      <c r="H1194" s="2" t="s">
        <v>1362</v>
      </c>
      <c r="J1194" s="26"/>
      <c r="K1194" s="36">
        <v>1.9658700000000002E-3</v>
      </c>
      <c r="L1194" s="23">
        <v>6.5529E-4</v>
      </c>
    </row>
    <row r="1195" spans="1:12" ht="15.35" hidden="1" x14ac:dyDescent="0.55000000000000004">
      <c r="A1195" s="20">
        <v>9642</v>
      </c>
      <c r="B1195" s="2" t="s">
        <v>173</v>
      </c>
      <c r="C1195" s="2" t="s">
        <v>174</v>
      </c>
      <c r="D1195" s="20">
        <v>0</v>
      </c>
      <c r="E1195" s="2" t="s">
        <v>838</v>
      </c>
      <c r="F1195" s="2" t="s">
        <v>811</v>
      </c>
      <c r="G1195" s="2" t="s">
        <v>1363</v>
      </c>
      <c r="H1195" s="2" t="s">
        <v>1003</v>
      </c>
      <c r="J1195" s="26"/>
      <c r="K1195" s="36">
        <v>3.1203999999999997E-4</v>
      </c>
      <c r="L1195" s="23">
        <v>1.0401E-4</v>
      </c>
    </row>
    <row r="1196" spans="1:12" ht="15.35" hidden="1" x14ac:dyDescent="0.55000000000000004">
      <c r="A1196" s="20">
        <v>9641</v>
      </c>
      <c r="B1196" s="2" t="s">
        <v>173</v>
      </c>
      <c r="C1196" s="2" t="s">
        <v>174</v>
      </c>
      <c r="D1196" s="20">
        <v>0</v>
      </c>
      <c r="E1196" s="2" t="s">
        <v>838</v>
      </c>
      <c r="F1196" s="2" t="s">
        <v>783</v>
      </c>
      <c r="G1196" s="2" t="s">
        <v>1364</v>
      </c>
      <c r="H1196" s="2" t="s">
        <v>1003</v>
      </c>
      <c r="J1196" s="26"/>
      <c r="K1196" s="36">
        <v>1.17016E-3</v>
      </c>
      <c r="L1196" s="23">
        <v>3.9005000000000002E-4</v>
      </c>
    </row>
    <row r="1197" spans="1:12" ht="15.35" hidden="1" x14ac:dyDescent="0.55000000000000004">
      <c r="A1197" s="20">
        <v>9643</v>
      </c>
      <c r="B1197" s="2" t="s">
        <v>173</v>
      </c>
      <c r="C1197" s="2" t="s">
        <v>174</v>
      </c>
      <c r="D1197" s="20">
        <v>0</v>
      </c>
      <c r="E1197" s="2" t="s">
        <v>838</v>
      </c>
      <c r="F1197" s="2" t="s">
        <v>811</v>
      </c>
      <c r="G1197" s="2" t="s">
        <v>1365</v>
      </c>
      <c r="H1197" s="2" t="s">
        <v>1003</v>
      </c>
      <c r="J1197" s="26"/>
      <c r="K1197" s="36">
        <v>1.17016E-3</v>
      </c>
      <c r="L1197" s="23">
        <v>3.9005000000000002E-4</v>
      </c>
    </row>
    <row r="1198" spans="1:12" ht="15.35" hidden="1" x14ac:dyDescent="0.55000000000000004">
      <c r="A1198" s="20">
        <v>9315</v>
      </c>
      <c r="B1198" s="2" t="s">
        <v>173</v>
      </c>
      <c r="C1198" s="2" t="s">
        <v>174</v>
      </c>
      <c r="D1198" s="20">
        <v>0</v>
      </c>
      <c r="E1198" s="2" t="s">
        <v>838</v>
      </c>
      <c r="F1198" s="2" t="s">
        <v>793</v>
      </c>
      <c r="G1198" s="2" t="s">
        <v>2012</v>
      </c>
      <c r="H1198" s="2" t="s">
        <v>1086</v>
      </c>
      <c r="J1198" s="26"/>
      <c r="K1198" s="36">
        <v>1.0297E-4</v>
      </c>
      <c r="L1198" s="23">
        <v>3.4319999999999997E-5</v>
      </c>
    </row>
    <row r="1199" spans="1:12" ht="15.35" hidden="1" x14ac:dyDescent="0.55000000000000004">
      <c r="A1199" s="20">
        <v>9313</v>
      </c>
      <c r="B1199" s="2" t="s">
        <v>173</v>
      </c>
      <c r="C1199" s="2" t="s">
        <v>174</v>
      </c>
      <c r="D1199" s="20">
        <v>0</v>
      </c>
      <c r="E1199" s="2" t="s">
        <v>838</v>
      </c>
      <c r="F1199" s="2" t="s">
        <v>798</v>
      </c>
      <c r="G1199" s="2" t="s">
        <v>1366</v>
      </c>
      <c r="H1199" s="2" t="s">
        <v>1086</v>
      </c>
      <c r="J1199" s="26"/>
      <c r="K1199" s="36">
        <v>4.3686000000000002E-4</v>
      </c>
      <c r="L1199" s="23">
        <v>1.4562000000000001E-4</v>
      </c>
    </row>
    <row r="1200" spans="1:12" ht="15.35" hidden="1" x14ac:dyDescent="0.55000000000000004">
      <c r="A1200" s="20">
        <v>9314</v>
      </c>
      <c r="B1200" s="2" t="s">
        <v>173</v>
      </c>
      <c r="C1200" s="2" t="s">
        <v>174</v>
      </c>
      <c r="D1200" s="20">
        <v>0</v>
      </c>
      <c r="E1200" s="2" t="s">
        <v>838</v>
      </c>
      <c r="F1200" s="2" t="s">
        <v>798</v>
      </c>
      <c r="G1200" s="2" t="s">
        <v>1367</v>
      </c>
      <c r="H1200" s="2" t="s">
        <v>1086</v>
      </c>
      <c r="J1200" s="26"/>
      <c r="K1200" s="36">
        <v>9.3612999999999997E-4</v>
      </c>
      <c r="L1200" s="23">
        <v>3.1203999999999997E-4</v>
      </c>
    </row>
    <row r="1201" spans="1:12" ht="15.35" hidden="1" x14ac:dyDescent="0.55000000000000004">
      <c r="A1201" s="20">
        <v>9316</v>
      </c>
      <c r="B1201" s="2" t="s">
        <v>173</v>
      </c>
      <c r="C1201" s="2" t="s">
        <v>174</v>
      </c>
      <c r="D1201" s="20">
        <v>0</v>
      </c>
      <c r="E1201" s="2" t="s">
        <v>838</v>
      </c>
      <c r="F1201" s="2" t="s">
        <v>798</v>
      </c>
      <c r="G1201" s="2" t="s">
        <v>2013</v>
      </c>
      <c r="H1201" s="2" t="s">
        <v>1086</v>
      </c>
      <c r="J1201" s="26"/>
      <c r="K1201" s="36">
        <v>2.0282000000000001E-4</v>
      </c>
      <c r="L1201" s="23">
        <v>6.7609999999999998E-5</v>
      </c>
    </row>
    <row r="1202" spans="1:12" ht="15.35" hidden="1" x14ac:dyDescent="0.55000000000000004">
      <c r="A1202" s="20">
        <v>9205</v>
      </c>
      <c r="B1202" s="2" t="s">
        <v>173</v>
      </c>
      <c r="C1202" s="2" t="s">
        <v>174</v>
      </c>
      <c r="D1202" s="20">
        <v>0</v>
      </c>
      <c r="E1202" s="2" t="s">
        <v>838</v>
      </c>
      <c r="F1202" s="2" t="s">
        <v>789</v>
      </c>
      <c r="G1202" s="2" t="s">
        <v>2014</v>
      </c>
      <c r="H1202" s="2" t="s">
        <v>1088</v>
      </c>
      <c r="J1202" s="26"/>
      <c r="K1202" s="36">
        <v>1.9658700000000002E-3</v>
      </c>
      <c r="L1202" s="23">
        <v>6.5529E-4</v>
      </c>
    </row>
    <row r="1203" spans="1:12" ht="15.35" hidden="1" x14ac:dyDescent="0.55000000000000004">
      <c r="A1203" s="20">
        <v>9078</v>
      </c>
      <c r="B1203" s="2" t="s">
        <v>173</v>
      </c>
      <c r="C1203" s="2" t="s">
        <v>174</v>
      </c>
      <c r="D1203" s="20">
        <v>0</v>
      </c>
      <c r="E1203" s="2" t="s">
        <v>838</v>
      </c>
      <c r="F1203" s="2" t="s">
        <v>848</v>
      </c>
      <c r="G1203" s="2" t="s">
        <v>923</v>
      </c>
      <c r="H1203" s="2" t="s">
        <v>924</v>
      </c>
      <c r="J1203" s="26"/>
      <c r="K1203" s="36">
        <v>1.40419E-3</v>
      </c>
      <c r="L1203" s="23">
        <v>4.6806000000000001E-4</v>
      </c>
    </row>
    <row r="1204" spans="1:12" ht="15.35" hidden="1" x14ac:dyDescent="0.55000000000000004">
      <c r="A1204" s="20">
        <v>9208</v>
      </c>
      <c r="B1204" s="2" t="s">
        <v>173</v>
      </c>
      <c r="C1204" s="2" t="s">
        <v>174</v>
      </c>
      <c r="D1204" s="20">
        <v>0</v>
      </c>
      <c r="E1204" s="2" t="s">
        <v>838</v>
      </c>
      <c r="F1204" s="2" t="s">
        <v>789</v>
      </c>
      <c r="G1204" s="2" t="s">
        <v>2015</v>
      </c>
      <c r="H1204" s="2" t="s">
        <v>1092</v>
      </c>
      <c r="J1204" s="26"/>
      <c r="K1204" s="36">
        <v>1.9658700000000002E-3</v>
      </c>
      <c r="L1204" s="23">
        <v>6.5529E-4</v>
      </c>
    </row>
    <row r="1205" spans="1:12" ht="15.35" hidden="1" x14ac:dyDescent="0.55000000000000004">
      <c r="A1205" s="20">
        <v>9105</v>
      </c>
      <c r="B1205" s="2" t="s">
        <v>173</v>
      </c>
      <c r="C1205" s="2" t="s">
        <v>174</v>
      </c>
      <c r="D1205" s="20">
        <v>0</v>
      </c>
      <c r="E1205" s="2" t="s">
        <v>838</v>
      </c>
      <c r="F1205" s="2" t="s">
        <v>793</v>
      </c>
      <c r="G1205" s="2" t="s">
        <v>2016</v>
      </c>
      <c r="H1205" s="2" t="s">
        <v>2017</v>
      </c>
      <c r="J1205" s="26"/>
      <c r="K1205" s="36">
        <v>3.1199999999999999E-5</v>
      </c>
      <c r="L1205" s="23">
        <v>1.04E-5</v>
      </c>
    </row>
    <row r="1206" spans="1:12" ht="15.35" hidden="1" x14ac:dyDescent="0.55000000000000004">
      <c r="A1206" s="20">
        <v>9036</v>
      </c>
      <c r="B1206" s="2" t="s">
        <v>173</v>
      </c>
      <c r="C1206" s="2" t="s">
        <v>174</v>
      </c>
      <c r="D1206" s="20">
        <v>0</v>
      </c>
      <c r="E1206" s="2" t="s">
        <v>838</v>
      </c>
      <c r="F1206" s="2" t="s">
        <v>848</v>
      </c>
      <c r="G1206" s="2" t="s">
        <v>1371</v>
      </c>
      <c r="H1206" s="2" t="s">
        <v>1094</v>
      </c>
      <c r="J1206" s="26"/>
      <c r="K1206" s="36">
        <v>1.9658700000000002E-3</v>
      </c>
      <c r="L1206" s="23">
        <v>6.5529E-4</v>
      </c>
    </row>
    <row r="1207" spans="1:12" ht="15.35" hidden="1" x14ac:dyDescent="0.55000000000000004">
      <c r="A1207" s="20">
        <v>9037</v>
      </c>
      <c r="B1207" s="2" t="s">
        <v>173</v>
      </c>
      <c r="C1207" s="2" t="s">
        <v>174</v>
      </c>
      <c r="D1207" s="20">
        <v>0</v>
      </c>
      <c r="E1207" s="2" t="s">
        <v>838</v>
      </c>
      <c r="F1207" s="2" t="s">
        <v>848</v>
      </c>
      <c r="G1207" s="2" t="s">
        <v>1372</v>
      </c>
      <c r="H1207" s="2" t="s">
        <v>1095</v>
      </c>
      <c r="J1207" s="26"/>
      <c r="K1207" s="36">
        <v>1.9658700000000002E-3</v>
      </c>
      <c r="L1207" s="23">
        <v>6.5529E-4</v>
      </c>
    </row>
    <row r="1208" spans="1:12" ht="15.35" x14ac:dyDescent="0.55000000000000004">
      <c r="A1208" s="20">
        <v>9874</v>
      </c>
      <c r="B1208" s="2" t="s">
        <v>173</v>
      </c>
      <c r="C1208" s="2" t="s">
        <v>174</v>
      </c>
      <c r="D1208" s="20">
        <v>0</v>
      </c>
      <c r="E1208" s="2" t="s">
        <v>838</v>
      </c>
      <c r="F1208" s="2" t="s">
        <v>793</v>
      </c>
      <c r="G1208" s="2" t="s">
        <v>2018</v>
      </c>
      <c r="J1208" s="26"/>
      <c r="K1208" s="36">
        <v>1.9658700000000002E-3</v>
      </c>
      <c r="L1208" s="23">
        <v>6.5529E-4</v>
      </c>
    </row>
    <row r="1209" spans="1:12" ht="15.35" x14ac:dyDescent="0.55000000000000004">
      <c r="A1209" s="20">
        <v>9873</v>
      </c>
      <c r="B1209" s="2" t="s">
        <v>173</v>
      </c>
      <c r="C1209" s="2" t="s">
        <v>174</v>
      </c>
      <c r="D1209" s="20">
        <v>0</v>
      </c>
      <c r="E1209" s="2" t="s">
        <v>838</v>
      </c>
      <c r="F1209" s="2" t="s">
        <v>793</v>
      </c>
      <c r="G1209" s="2" t="s">
        <v>2019</v>
      </c>
      <c r="J1209" s="26"/>
      <c r="K1209" s="36">
        <v>1.9658700000000002E-3</v>
      </c>
      <c r="L1209" s="23">
        <v>6.5529E-4</v>
      </c>
    </row>
    <row r="1210" spans="1:12" ht="15.35" x14ac:dyDescent="0.55000000000000004">
      <c r="A1210" s="20">
        <v>9875</v>
      </c>
      <c r="B1210" s="2" t="s">
        <v>173</v>
      </c>
      <c r="C1210" s="2" t="s">
        <v>174</v>
      </c>
      <c r="D1210" s="20">
        <v>0</v>
      </c>
      <c r="E1210" s="2" t="s">
        <v>838</v>
      </c>
      <c r="F1210" s="2" t="s">
        <v>793</v>
      </c>
      <c r="G1210" s="2" t="s">
        <v>2020</v>
      </c>
      <c r="J1210" s="26"/>
      <c r="K1210" s="36">
        <v>1.9658700000000002E-3</v>
      </c>
      <c r="L1210" s="23">
        <v>6.5529E-4</v>
      </c>
    </row>
    <row r="1211" spans="1:12" ht="15.35" hidden="1" x14ac:dyDescent="0.55000000000000004">
      <c r="A1211" s="20">
        <v>9306</v>
      </c>
      <c r="B1211" s="2" t="s">
        <v>173</v>
      </c>
      <c r="C1211" s="2" t="s">
        <v>174</v>
      </c>
      <c r="D1211" s="20">
        <v>0</v>
      </c>
      <c r="E1211" s="2" t="s">
        <v>838</v>
      </c>
      <c r="F1211" s="2" t="s">
        <v>793</v>
      </c>
      <c r="G1211" s="2" t="s">
        <v>2021</v>
      </c>
      <c r="H1211" s="2" t="s">
        <v>2022</v>
      </c>
      <c r="J1211" s="26"/>
      <c r="K1211" s="36">
        <v>5.6159999999999998E-5</v>
      </c>
      <c r="L1211" s="23">
        <v>1.872E-5</v>
      </c>
    </row>
    <row r="1212" spans="1:12" ht="15.35" x14ac:dyDescent="0.55000000000000004">
      <c r="A1212" s="20">
        <v>9869</v>
      </c>
      <c r="B1212" s="2" t="s">
        <v>173</v>
      </c>
      <c r="C1212" s="2" t="s">
        <v>174</v>
      </c>
      <c r="D1212" s="20">
        <v>0</v>
      </c>
      <c r="E1212" s="2" t="s">
        <v>838</v>
      </c>
      <c r="F1212" s="2" t="s">
        <v>793</v>
      </c>
      <c r="G1212" s="2" t="s">
        <v>2023</v>
      </c>
      <c r="J1212" s="26"/>
      <c r="K1212" s="36">
        <v>5.8352000000000002E-4</v>
      </c>
      <c r="L1212" s="23">
        <v>1.9451000000000001E-4</v>
      </c>
    </row>
    <row r="1213" spans="1:12" ht="15.35" x14ac:dyDescent="0.55000000000000004">
      <c r="A1213" s="20">
        <v>9877</v>
      </c>
      <c r="B1213" s="2" t="s">
        <v>173</v>
      </c>
      <c r="C1213" s="2" t="s">
        <v>174</v>
      </c>
      <c r="D1213" s="20">
        <v>0</v>
      </c>
      <c r="E1213" s="2" t="s">
        <v>838</v>
      </c>
      <c r="F1213" s="2" t="s">
        <v>793</v>
      </c>
      <c r="G1213" s="2" t="s">
        <v>2024</v>
      </c>
      <c r="J1213" s="26"/>
      <c r="K1213" s="36">
        <v>1.2793E-4</v>
      </c>
      <c r="L1213" s="23">
        <v>4.2639999999999998E-5</v>
      </c>
    </row>
    <row r="1214" spans="1:12" ht="15.35" x14ac:dyDescent="0.55000000000000004">
      <c r="A1214" s="20">
        <v>9878</v>
      </c>
      <c r="B1214" s="2" t="s">
        <v>173</v>
      </c>
      <c r="C1214" s="2" t="s">
        <v>174</v>
      </c>
      <c r="D1214" s="20">
        <v>0</v>
      </c>
      <c r="E1214" s="2" t="s">
        <v>838</v>
      </c>
      <c r="F1214" s="2" t="s">
        <v>793</v>
      </c>
      <c r="G1214" s="2" t="s">
        <v>2025</v>
      </c>
      <c r="J1214" s="26"/>
      <c r="K1214" s="36">
        <v>6.8639999999999993E-5</v>
      </c>
      <c r="L1214" s="23">
        <v>2.2880000000000001E-5</v>
      </c>
    </row>
    <row r="1215" spans="1:12" ht="15.35" x14ac:dyDescent="0.55000000000000004">
      <c r="A1215" s="20">
        <v>9879</v>
      </c>
      <c r="B1215" s="2" t="s">
        <v>173</v>
      </c>
      <c r="C1215" s="2" t="s">
        <v>174</v>
      </c>
      <c r="D1215" s="20">
        <v>0</v>
      </c>
      <c r="E1215" s="2" t="s">
        <v>838</v>
      </c>
      <c r="F1215" s="2" t="s">
        <v>793</v>
      </c>
      <c r="G1215" s="2" t="s">
        <v>2026</v>
      </c>
      <c r="J1215" s="26"/>
      <c r="K1215" s="36">
        <v>5.6159999999999998E-5</v>
      </c>
      <c r="L1215" s="23">
        <v>1.872E-5</v>
      </c>
    </row>
    <row r="1216" spans="1:12" ht="15.35" x14ac:dyDescent="0.55000000000000004">
      <c r="A1216" s="20">
        <v>9892</v>
      </c>
      <c r="B1216" s="2" t="s">
        <v>173</v>
      </c>
      <c r="C1216" s="2" t="s">
        <v>174</v>
      </c>
      <c r="D1216" s="20">
        <v>0</v>
      </c>
      <c r="E1216" s="2" t="s">
        <v>838</v>
      </c>
      <c r="F1216" s="2" t="s">
        <v>793</v>
      </c>
      <c r="G1216" s="2" t="s">
        <v>2027</v>
      </c>
      <c r="J1216" s="26"/>
      <c r="K1216" s="36">
        <v>5.6159999999999998E-5</v>
      </c>
      <c r="L1216" s="23">
        <v>1.872E-5</v>
      </c>
    </row>
    <row r="1217" spans="1:12" ht="15.35" x14ac:dyDescent="0.55000000000000004">
      <c r="A1217" s="20">
        <v>9847</v>
      </c>
      <c r="B1217" s="2" t="s">
        <v>173</v>
      </c>
      <c r="C1217" s="2" t="s">
        <v>174</v>
      </c>
      <c r="D1217" s="20">
        <v>0</v>
      </c>
      <c r="E1217" s="2" t="s">
        <v>838</v>
      </c>
      <c r="F1217" s="2" t="s">
        <v>793</v>
      </c>
      <c r="G1217" s="2" t="s">
        <v>2028</v>
      </c>
      <c r="J1217" s="26"/>
      <c r="K1217" s="36">
        <v>6.8639999999999993E-5</v>
      </c>
      <c r="L1217" s="23">
        <v>2.2880000000000001E-5</v>
      </c>
    </row>
    <row r="1218" spans="1:12" ht="15.35" x14ac:dyDescent="0.55000000000000004">
      <c r="A1218" s="20">
        <v>9848</v>
      </c>
      <c r="B1218" s="2" t="s">
        <v>173</v>
      </c>
      <c r="C1218" s="2" t="s">
        <v>174</v>
      </c>
      <c r="D1218" s="20">
        <v>0</v>
      </c>
      <c r="E1218" s="2" t="s">
        <v>838</v>
      </c>
      <c r="F1218" s="2" t="s">
        <v>793</v>
      </c>
      <c r="G1218" s="2" t="s">
        <v>2029</v>
      </c>
      <c r="J1218" s="26"/>
      <c r="K1218" s="36">
        <v>6.8639999999999993E-5</v>
      </c>
      <c r="L1218" s="23">
        <v>2.2880000000000001E-5</v>
      </c>
    </row>
    <row r="1219" spans="1:12" ht="15.35" x14ac:dyDescent="0.55000000000000004">
      <c r="A1219" s="20">
        <v>9849</v>
      </c>
      <c r="B1219" s="2" t="s">
        <v>173</v>
      </c>
      <c r="C1219" s="2" t="s">
        <v>174</v>
      </c>
      <c r="D1219" s="20">
        <v>0</v>
      </c>
      <c r="E1219" s="2" t="s">
        <v>838</v>
      </c>
      <c r="F1219" s="2" t="s">
        <v>793</v>
      </c>
      <c r="G1219" s="2" t="s">
        <v>2030</v>
      </c>
      <c r="J1219" s="26"/>
      <c r="K1219" s="36">
        <v>7.1760000000000004E-5</v>
      </c>
      <c r="L1219" s="23">
        <v>2.3920000000000001E-5</v>
      </c>
    </row>
    <row r="1220" spans="1:12" ht="15.35" x14ac:dyDescent="0.55000000000000004">
      <c r="A1220" s="20">
        <v>9850</v>
      </c>
      <c r="B1220" s="2" t="s">
        <v>173</v>
      </c>
      <c r="C1220" s="2" t="s">
        <v>174</v>
      </c>
      <c r="D1220" s="20">
        <v>0</v>
      </c>
      <c r="E1220" s="2" t="s">
        <v>838</v>
      </c>
      <c r="F1220" s="2" t="s">
        <v>793</v>
      </c>
      <c r="G1220" s="2" t="s">
        <v>2031</v>
      </c>
      <c r="J1220" s="26"/>
      <c r="K1220" s="36">
        <v>7.1760000000000004E-5</v>
      </c>
      <c r="L1220" s="23">
        <v>2.3920000000000001E-5</v>
      </c>
    </row>
    <row r="1221" spans="1:12" ht="15.35" x14ac:dyDescent="0.55000000000000004">
      <c r="A1221" s="20">
        <v>9851</v>
      </c>
      <c r="B1221" s="2" t="s">
        <v>173</v>
      </c>
      <c r="C1221" s="2" t="s">
        <v>174</v>
      </c>
      <c r="D1221" s="20">
        <v>0</v>
      </c>
      <c r="E1221" s="2" t="s">
        <v>838</v>
      </c>
      <c r="F1221" s="2" t="s">
        <v>793</v>
      </c>
      <c r="G1221" s="2" t="s">
        <v>2032</v>
      </c>
      <c r="J1221" s="26"/>
      <c r="K1221" s="36">
        <v>6.8639999999999993E-5</v>
      </c>
      <c r="L1221" s="23">
        <v>2.2880000000000001E-5</v>
      </c>
    </row>
    <row r="1222" spans="1:12" ht="15.35" x14ac:dyDescent="0.55000000000000004">
      <c r="A1222" s="20">
        <v>9852</v>
      </c>
      <c r="B1222" s="2" t="s">
        <v>173</v>
      </c>
      <c r="C1222" s="2" t="s">
        <v>174</v>
      </c>
      <c r="D1222" s="20">
        <v>0</v>
      </c>
      <c r="E1222" s="2" t="s">
        <v>838</v>
      </c>
      <c r="F1222" s="2" t="s">
        <v>793</v>
      </c>
      <c r="G1222" s="2" t="s">
        <v>2033</v>
      </c>
      <c r="J1222" s="26"/>
      <c r="K1222" s="36">
        <v>6.8639999999999993E-5</v>
      </c>
      <c r="L1222" s="23">
        <v>2.2880000000000001E-5</v>
      </c>
    </row>
    <row r="1223" spans="1:12" ht="15.35" x14ac:dyDescent="0.55000000000000004">
      <c r="A1223" s="20">
        <v>9853</v>
      </c>
      <c r="B1223" s="2" t="s">
        <v>173</v>
      </c>
      <c r="C1223" s="2" t="s">
        <v>174</v>
      </c>
      <c r="D1223" s="20">
        <v>0</v>
      </c>
      <c r="E1223" s="2" t="s">
        <v>838</v>
      </c>
      <c r="F1223" s="2" t="s">
        <v>793</v>
      </c>
      <c r="G1223" s="2" t="s">
        <v>2034</v>
      </c>
      <c r="J1223" s="26"/>
      <c r="K1223" s="36">
        <v>6.8639999999999993E-5</v>
      </c>
      <c r="L1223" s="23">
        <v>2.2880000000000001E-5</v>
      </c>
    </row>
    <row r="1224" spans="1:12" ht="15.35" x14ac:dyDescent="0.55000000000000004">
      <c r="A1224" s="20">
        <v>9854</v>
      </c>
      <c r="B1224" s="2" t="s">
        <v>173</v>
      </c>
      <c r="C1224" s="2" t="s">
        <v>174</v>
      </c>
      <c r="D1224" s="20">
        <v>0</v>
      </c>
      <c r="E1224" s="2" t="s">
        <v>838</v>
      </c>
      <c r="F1224" s="2" t="s">
        <v>793</v>
      </c>
      <c r="G1224" s="2" t="s">
        <v>2035</v>
      </c>
      <c r="J1224" s="26"/>
      <c r="K1224" s="36">
        <v>6.5519999999999996E-5</v>
      </c>
      <c r="L1224" s="23">
        <v>2.1840000000000001E-5</v>
      </c>
    </row>
    <row r="1225" spans="1:12" ht="15.35" x14ac:dyDescent="0.55000000000000004">
      <c r="A1225" s="20">
        <v>9855</v>
      </c>
      <c r="B1225" s="2" t="s">
        <v>173</v>
      </c>
      <c r="C1225" s="2" t="s">
        <v>174</v>
      </c>
      <c r="D1225" s="20">
        <v>0</v>
      </c>
      <c r="E1225" s="2" t="s">
        <v>838</v>
      </c>
      <c r="F1225" s="2" t="s">
        <v>793</v>
      </c>
      <c r="G1225" s="2" t="s">
        <v>2036</v>
      </c>
      <c r="J1225" s="26"/>
      <c r="K1225" s="36">
        <v>6.5519999999999996E-5</v>
      </c>
      <c r="L1225" s="23">
        <v>2.1840000000000001E-5</v>
      </c>
    </row>
    <row r="1226" spans="1:12" ht="15.35" x14ac:dyDescent="0.55000000000000004">
      <c r="A1226" s="20">
        <v>9862</v>
      </c>
      <c r="B1226" s="2" t="s">
        <v>173</v>
      </c>
      <c r="C1226" s="2" t="s">
        <v>174</v>
      </c>
      <c r="D1226" s="20">
        <v>0</v>
      </c>
      <c r="E1226" s="2" t="s">
        <v>838</v>
      </c>
      <c r="F1226" s="2" t="s">
        <v>793</v>
      </c>
      <c r="G1226" s="2" t="s">
        <v>2037</v>
      </c>
      <c r="J1226" s="26"/>
      <c r="K1226" s="36">
        <v>6.5519999999999996E-5</v>
      </c>
      <c r="L1226" s="23">
        <v>2.1840000000000001E-5</v>
      </c>
    </row>
    <row r="1227" spans="1:12" ht="15.35" x14ac:dyDescent="0.55000000000000004">
      <c r="A1227" s="20">
        <v>9857</v>
      </c>
      <c r="B1227" s="2" t="s">
        <v>173</v>
      </c>
      <c r="C1227" s="2" t="s">
        <v>174</v>
      </c>
      <c r="D1227" s="20">
        <v>0</v>
      </c>
      <c r="E1227" s="2" t="s">
        <v>838</v>
      </c>
      <c r="F1227" s="2" t="s">
        <v>793</v>
      </c>
      <c r="G1227" s="2" t="s">
        <v>2038</v>
      </c>
      <c r="J1227" s="26"/>
      <c r="K1227" s="36">
        <v>7.4889999999999996E-5</v>
      </c>
      <c r="L1227" s="23">
        <v>2.4960000000000002E-5</v>
      </c>
    </row>
    <row r="1228" spans="1:12" ht="15.35" x14ac:dyDescent="0.55000000000000004">
      <c r="A1228" s="20">
        <v>9856</v>
      </c>
      <c r="B1228" s="2" t="s">
        <v>173</v>
      </c>
      <c r="C1228" s="2" t="s">
        <v>174</v>
      </c>
      <c r="D1228" s="20">
        <v>0</v>
      </c>
      <c r="E1228" s="2" t="s">
        <v>838</v>
      </c>
      <c r="F1228" s="2" t="s">
        <v>793</v>
      </c>
      <c r="G1228" s="2" t="s">
        <v>2039</v>
      </c>
      <c r="J1228" s="26"/>
      <c r="K1228" s="36">
        <v>3.9316999999999998E-4</v>
      </c>
      <c r="L1228" s="23">
        <v>1.3106000000000001E-4</v>
      </c>
    </row>
    <row r="1229" spans="1:12" ht="15.35" x14ac:dyDescent="0.55000000000000004">
      <c r="A1229" s="20">
        <v>9858</v>
      </c>
      <c r="B1229" s="2" t="s">
        <v>173</v>
      </c>
      <c r="C1229" s="2" t="s">
        <v>174</v>
      </c>
      <c r="D1229" s="20">
        <v>0</v>
      </c>
      <c r="E1229" s="2" t="s">
        <v>838</v>
      </c>
      <c r="F1229" s="2" t="s">
        <v>793</v>
      </c>
      <c r="G1229" s="2" t="s">
        <v>2040</v>
      </c>
      <c r="J1229" s="26"/>
      <c r="K1229" s="36">
        <v>6.5519999999999996E-5</v>
      </c>
      <c r="L1229" s="23">
        <v>2.1840000000000001E-5</v>
      </c>
    </row>
    <row r="1230" spans="1:12" ht="15.35" x14ac:dyDescent="0.55000000000000004">
      <c r="A1230" s="20">
        <v>9859</v>
      </c>
      <c r="B1230" s="2" t="s">
        <v>173</v>
      </c>
      <c r="C1230" s="2" t="s">
        <v>174</v>
      </c>
      <c r="D1230" s="20">
        <v>0</v>
      </c>
      <c r="E1230" s="2" t="s">
        <v>838</v>
      </c>
      <c r="F1230" s="2" t="s">
        <v>793</v>
      </c>
      <c r="G1230" s="2" t="s">
        <v>2041</v>
      </c>
      <c r="J1230" s="26"/>
      <c r="K1230" s="36">
        <v>6.5519999999999996E-5</v>
      </c>
      <c r="L1230" s="23">
        <v>2.1840000000000001E-5</v>
      </c>
    </row>
    <row r="1231" spans="1:12" ht="15.35" x14ac:dyDescent="0.55000000000000004">
      <c r="A1231" s="20">
        <v>9860</v>
      </c>
      <c r="B1231" s="2" t="s">
        <v>173</v>
      </c>
      <c r="C1231" s="2" t="s">
        <v>174</v>
      </c>
      <c r="D1231" s="20">
        <v>0</v>
      </c>
      <c r="E1231" s="2" t="s">
        <v>838</v>
      </c>
      <c r="F1231" s="2" t="s">
        <v>793</v>
      </c>
      <c r="G1231" s="2" t="s">
        <v>2042</v>
      </c>
      <c r="J1231" s="26"/>
      <c r="K1231" s="36">
        <v>6.8639999999999993E-5</v>
      </c>
      <c r="L1231" s="23">
        <v>2.2880000000000001E-5</v>
      </c>
    </row>
    <row r="1232" spans="1:12" ht="15.35" x14ac:dyDescent="0.55000000000000004">
      <c r="A1232" s="20">
        <v>9861</v>
      </c>
      <c r="B1232" s="2" t="s">
        <v>173</v>
      </c>
      <c r="C1232" s="2" t="s">
        <v>174</v>
      </c>
      <c r="D1232" s="20">
        <v>0</v>
      </c>
      <c r="E1232" s="2" t="s">
        <v>838</v>
      </c>
      <c r="F1232" s="2" t="s">
        <v>793</v>
      </c>
      <c r="G1232" s="2" t="s">
        <v>2043</v>
      </c>
      <c r="J1232" s="26"/>
      <c r="K1232" s="36">
        <v>6.8639999999999993E-5</v>
      </c>
      <c r="L1232" s="23">
        <v>2.2880000000000001E-5</v>
      </c>
    </row>
    <row r="1233" spans="1:12" ht="15.35" x14ac:dyDescent="0.55000000000000004">
      <c r="A1233" s="20">
        <v>9863</v>
      </c>
      <c r="B1233" s="2" t="s">
        <v>173</v>
      </c>
      <c r="C1233" s="2" t="s">
        <v>174</v>
      </c>
      <c r="D1233" s="20">
        <v>0</v>
      </c>
      <c r="E1233" s="2" t="s">
        <v>838</v>
      </c>
      <c r="F1233" s="2" t="s">
        <v>793</v>
      </c>
      <c r="G1233" s="2" t="s">
        <v>2044</v>
      </c>
      <c r="J1233" s="26"/>
      <c r="K1233" s="36">
        <v>7.1760000000000004E-5</v>
      </c>
      <c r="L1233" s="23">
        <v>2.3920000000000001E-5</v>
      </c>
    </row>
    <row r="1234" spans="1:12" ht="15.35" x14ac:dyDescent="0.55000000000000004">
      <c r="A1234" s="20">
        <v>9865</v>
      </c>
      <c r="B1234" s="2" t="s">
        <v>173</v>
      </c>
      <c r="C1234" s="2" t="s">
        <v>174</v>
      </c>
      <c r="D1234" s="20">
        <v>0</v>
      </c>
      <c r="E1234" s="2" t="s">
        <v>838</v>
      </c>
      <c r="F1234" s="2" t="s">
        <v>793</v>
      </c>
      <c r="G1234" s="2" t="s">
        <v>2045</v>
      </c>
      <c r="J1234" s="26"/>
      <c r="K1234" s="36">
        <v>6.5519999999999996E-5</v>
      </c>
      <c r="L1234" s="23">
        <v>2.1840000000000001E-5</v>
      </c>
    </row>
    <row r="1235" spans="1:12" ht="15.35" x14ac:dyDescent="0.55000000000000004">
      <c r="A1235" s="20">
        <v>9866</v>
      </c>
      <c r="B1235" s="2" t="s">
        <v>173</v>
      </c>
      <c r="C1235" s="2" t="s">
        <v>174</v>
      </c>
      <c r="D1235" s="20">
        <v>0</v>
      </c>
      <c r="E1235" s="2" t="s">
        <v>838</v>
      </c>
      <c r="F1235" s="2" t="s">
        <v>793</v>
      </c>
      <c r="G1235" s="2" t="s">
        <v>2046</v>
      </c>
      <c r="J1235" s="26"/>
      <c r="K1235" s="36">
        <v>6.8639999999999993E-5</v>
      </c>
      <c r="L1235" s="23">
        <v>2.2880000000000001E-5</v>
      </c>
    </row>
    <row r="1236" spans="1:12" ht="15.35" x14ac:dyDescent="0.55000000000000004">
      <c r="A1236" s="20">
        <v>9867</v>
      </c>
      <c r="B1236" s="2" t="s">
        <v>173</v>
      </c>
      <c r="C1236" s="2" t="s">
        <v>174</v>
      </c>
      <c r="D1236" s="20">
        <v>0</v>
      </c>
      <c r="E1236" s="2" t="s">
        <v>838</v>
      </c>
      <c r="F1236" s="2" t="s">
        <v>793</v>
      </c>
      <c r="G1236" s="2" t="s">
        <v>2047</v>
      </c>
      <c r="J1236" s="26"/>
      <c r="K1236" s="36">
        <v>5.9280000000000002E-5</v>
      </c>
      <c r="L1236" s="23">
        <v>1.9760000000000001E-5</v>
      </c>
    </row>
    <row r="1237" spans="1:12" ht="15.35" x14ac:dyDescent="0.55000000000000004">
      <c r="A1237" s="20">
        <v>9870</v>
      </c>
      <c r="B1237" s="2" t="s">
        <v>173</v>
      </c>
      <c r="C1237" s="2" t="s">
        <v>174</v>
      </c>
      <c r="D1237" s="20">
        <v>0</v>
      </c>
      <c r="E1237" s="2" t="s">
        <v>838</v>
      </c>
      <c r="F1237" s="2" t="s">
        <v>793</v>
      </c>
      <c r="G1237" s="2" t="s">
        <v>2048</v>
      </c>
      <c r="J1237" s="26"/>
      <c r="K1237" s="36">
        <v>5.9280000000000002E-5</v>
      </c>
      <c r="L1237" s="23">
        <v>1.9760000000000001E-5</v>
      </c>
    </row>
    <row r="1238" spans="1:12" ht="15.35" x14ac:dyDescent="0.55000000000000004">
      <c r="A1238" s="20">
        <v>9871</v>
      </c>
      <c r="B1238" s="2" t="s">
        <v>173</v>
      </c>
      <c r="C1238" s="2" t="s">
        <v>174</v>
      </c>
      <c r="D1238" s="20">
        <v>0</v>
      </c>
      <c r="E1238" s="2" t="s">
        <v>838</v>
      </c>
      <c r="F1238" s="2" t="s">
        <v>793</v>
      </c>
      <c r="G1238" s="2" t="s">
        <v>2049</v>
      </c>
      <c r="J1238" s="26"/>
      <c r="K1238" s="36">
        <v>5.6159999999999998E-5</v>
      </c>
      <c r="L1238" s="23">
        <v>1.872E-5</v>
      </c>
    </row>
    <row r="1239" spans="1:12" ht="15.35" x14ac:dyDescent="0.55000000000000004">
      <c r="A1239" s="20">
        <v>9872</v>
      </c>
      <c r="B1239" s="2" t="s">
        <v>173</v>
      </c>
      <c r="C1239" s="2" t="s">
        <v>174</v>
      </c>
      <c r="D1239" s="20">
        <v>0</v>
      </c>
      <c r="E1239" s="2" t="s">
        <v>838</v>
      </c>
      <c r="F1239" s="2" t="s">
        <v>793</v>
      </c>
      <c r="G1239" s="2" t="s">
        <v>2050</v>
      </c>
      <c r="J1239" s="26"/>
      <c r="K1239" s="36">
        <v>5.6159999999999998E-5</v>
      </c>
      <c r="L1239" s="23">
        <v>1.872E-5</v>
      </c>
    </row>
    <row r="1240" spans="1:12" ht="15.35" x14ac:dyDescent="0.55000000000000004">
      <c r="A1240" s="20">
        <v>9880</v>
      </c>
      <c r="B1240" s="2" t="s">
        <v>173</v>
      </c>
      <c r="C1240" s="2" t="s">
        <v>174</v>
      </c>
      <c r="D1240" s="20">
        <v>0</v>
      </c>
      <c r="E1240" s="2" t="s">
        <v>838</v>
      </c>
      <c r="F1240" s="2" t="s">
        <v>793</v>
      </c>
      <c r="G1240" s="2" t="s">
        <v>2051</v>
      </c>
      <c r="J1240" s="26"/>
      <c r="K1240" s="36">
        <v>6.5519999999999996E-5</v>
      </c>
      <c r="L1240" s="23">
        <v>2.1840000000000001E-5</v>
      </c>
    </row>
    <row r="1241" spans="1:12" ht="15.35" x14ac:dyDescent="0.55000000000000004">
      <c r="A1241" s="20">
        <v>9881</v>
      </c>
      <c r="B1241" s="2" t="s">
        <v>173</v>
      </c>
      <c r="C1241" s="2" t="s">
        <v>174</v>
      </c>
      <c r="D1241" s="20">
        <v>0</v>
      </c>
      <c r="E1241" s="2" t="s">
        <v>838</v>
      </c>
      <c r="F1241" s="2" t="s">
        <v>793</v>
      </c>
      <c r="G1241" s="2" t="s">
        <v>2052</v>
      </c>
      <c r="J1241" s="26"/>
      <c r="K1241" s="36">
        <v>6.5519999999999996E-5</v>
      </c>
      <c r="L1241" s="23">
        <v>2.1840000000000001E-5</v>
      </c>
    </row>
    <row r="1242" spans="1:12" ht="15.35" x14ac:dyDescent="0.55000000000000004">
      <c r="A1242" s="20">
        <v>9882</v>
      </c>
      <c r="B1242" s="2" t="s">
        <v>173</v>
      </c>
      <c r="C1242" s="2" t="s">
        <v>174</v>
      </c>
      <c r="D1242" s="20">
        <v>0</v>
      </c>
      <c r="E1242" s="2" t="s">
        <v>838</v>
      </c>
      <c r="F1242" s="2" t="s">
        <v>793</v>
      </c>
      <c r="G1242" s="2" t="s">
        <v>2053</v>
      </c>
      <c r="J1242" s="26"/>
      <c r="K1242" s="36">
        <v>6.5519999999999996E-5</v>
      </c>
      <c r="L1242" s="23">
        <v>2.1840000000000001E-5</v>
      </c>
    </row>
    <row r="1243" spans="1:12" ht="15.35" x14ac:dyDescent="0.55000000000000004">
      <c r="A1243" s="20">
        <v>9883</v>
      </c>
      <c r="B1243" s="2" t="s">
        <v>173</v>
      </c>
      <c r="C1243" s="2" t="s">
        <v>174</v>
      </c>
      <c r="D1243" s="20">
        <v>0</v>
      </c>
      <c r="E1243" s="2" t="s">
        <v>838</v>
      </c>
      <c r="F1243" s="2" t="s">
        <v>793</v>
      </c>
      <c r="G1243" s="2" t="s">
        <v>2054</v>
      </c>
      <c r="J1243" s="26"/>
      <c r="K1243" s="36">
        <v>6.5519999999999996E-5</v>
      </c>
      <c r="L1243" s="23">
        <v>2.1840000000000001E-5</v>
      </c>
    </row>
    <row r="1244" spans="1:12" ht="15.35" x14ac:dyDescent="0.55000000000000004">
      <c r="A1244" s="20">
        <v>9884</v>
      </c>
      <c r="B1244" s="2" t="s">
        <v>173</v>
      </c>
      <c r="C1244" s="2" t="s">
        <v>174</v>
      </c>
      <c r="D1244" s="20">
        <v>0</v>
      </c>
      <c r="E1244" s="2" t="s">
        <v>838</v>
      </c>
      <c r="F1244" s="2" t="s">
        <v>793</v>
      </c>
      <c r="G1244" s="2" t="s">
        <v>2055</v>
      </c>
      <c r="J1244" s="26"/>
      <c r="K1244" s="36">
        <v>6.8639999999999993E-5</v>
      </c>
      <c r="L1244" s="23">
        <v>2.2880000000000001E-5</v>
      </c>
    </row>
    <row r="1245" spans="1:12" ht="15.35" x14ac:dyDescent="0.55000000000000004">
      <c r="A1245" s="20">
        <v>9885</v>
      </c>
      <c r="B1245" s="2" t="s">
        <v>173</v>
      </c>
      <c r="C1245" s="2" t="s">
        <v>174</v>
      </c>
      <c r="D1245" s="20">
        <v>0</v>
      </c>
      <c r="E1245" s="2" t="s">
        <v>838</v>
      </c>
      <c r="F1245" s="2" t="s">
        <v>793</v>
      </c>
      <c r="G1245" s="2" t="s">
        <v>2056</v>
      </c>
      <c r="J1245" s="26"/>
      <c r="K1245" s="36">
        <v>6.8639999999999993E-5</v>
      </c>
      <c r="L1245" s="23">
        <v>2.2880000000000001E-5</v>
      </c>
    </row>
    <row r="1246" spans="1:12" ht="15.35" x14ac:dyDescent="0.55000000000000004">
      <c r="A1246" s="20">
        <v>9886</v>
      </c>
      <c r="B1246" s="2" t="s">
        <v>173</v>
      </c>
      <c r="C1246" s="2" t="s">
        <v>174</v>
      </c>
      <c r="D1246" s="20">
        <v>0</v>
      </c>
      <c r="E1246" s="2" t="s">
        <v>838</v>
      </c>
      <c r="F1246" s="2" t="s">
        <v>793</v>
      </c>
      <c r="G1246" s="2" t="s">
        <v>2057</v>
      </c>
      <c r="J1246" s="26"/>
      <c r="K1246" s="36">
        <v>6.5519999999999996E-5</v>
      </c>
      <c r="L1246" s="23">
        <v>2.1840000000000001E-5</v>
      </c>
    </row>
    <row r="1247" spans="1:12" ht="15.35" x14ac:dyDescent="0.55000000000000004">
      <c r="A1247" s="20">
        <v>9887</v>
      </c>
      <c r="B1247" s="2" t="s">
        <v>173</v>
      </c>
      <c r="C1247" s="2" t="s">
        <v>174</v>
      </c>
      <c r="D1247" s="20">
        <v>0</v>
      </c>
      <c r="E1247" s="2" t="s">
        <v>838</v>
      </c>
      <c r="F1247" s="2" t="s">
        <v>793</v>
      </c>
      <c r="G1247" s="2" t="s">
        <v>2058</v>
      </c>
      <c r="J1247" s="26"/>
      <c r="K1247" s="36">
        <v>6.2399999999999999E-5</v>
      </c>
      <c r="L1247" s="23">
        <v>2.0800000000000001E-5</v>
      </c>
    </row>
    <row r="1248" spans="1:12" ht="15.35" x14ac:dyDescent="0.55000000000000004">
      <c r="A1248" s="20">
        <v>9893</v>
      </c>
      <c r="B1248" s="2" t="s">
        <v>173</v>
      </c>
      <c r="C1248" s="2" t="s">
        <v>174</v>
      </c>
      <c r="D1248" s="20">
        <v>0</v>
      </c>
      <c r="E1248" s="2" t="s">
        <v>838</v>
      </c>
      <c r="F1248" s="2" t="s">
        <v>793</v>
      </c>
      <c r="G1248" s="2" t="s">
        <v>2059</v>
      </c>
      <c r="J1248" s="26"/>
      <c r="K1248" s="36">
        <v>6.2399999999999999E-5</v>
      </c>
      <c r="L1248" s="23">
        <v>2.0800000000000001E-5</v>
      </c>
    </row>
    <row r="1249" spans="1:12" ht="15.35" x14ac:dyDescent="0.55000000000000004">
      <c r="A1249" s="20">
        <v>9894</v>
      </c>
      <c r="B1249" s="2" t="s">
        <v>173</v>
      </c>
      <c r="C1249" s="2" t="s">
        <v>174</v>
      </c>
      <c r="D1249" s="20">
        <v>0</v>
      </c>
      <c r="E1249" s="2" t="s">
        <v>838</v>
      </c>
      <c r="F1249" s="2" t="s">
        <v>793</v>
      </c>
      <c r="G1249" s="2" t="s">
        <v>2060</v>
      </c>
      <c r="J1249" s="26"/>
      <c r="K1249" s="36">
        <v>6.8639999999999993E-5</v>
      </c>
      <c r="L1249" s="23">
        <v>2.2880000000000001E-5</v>
      </c>
    </row>
    <row r="1250" spans="1:12" ht="15.35" x14ac:dyDescent="0.55000000000000004">
      <c r="A1250" s="20">
        <v>9895</v>
      </c>
      <c r="B1250" s="2" t="s">
        <v>173</v>
      </c>
      <c r="C1250" s="2" t="s">
        <v>174</v>
      </c>
      <c r="D1250" s="20">
        <v>0</v>
      </c>
      <c r="E1250" s="2" t="s">
        <v>838</v>
      </c>
      <c r="F1250" s="2" t="s">
        <v>793</v>
      </c>
      <c r="G1250" s="2" t="s">
        <v>2061</v>
      </c>
      <c r="J1250" s="26"/>
      <c r="K1250" s="36">
        <v>6.2399999999999999E-5</v>
      </c>
      <c r="L1250" s="23">
        <v>2.0800000000000001E-5</v>
      </c>
    </row>
    <row r="1251" spans="1:12" ht="15.35" x14ac:dyDescent="0.55000000000000004">
      <c r="A1251" s="20">
        <v>9889</v>
      </c>
      <c r="B1251" s="2" t="s">
        <v>173</v>
      </c>
      <c r="C1251" s="2" t="s">
        <v>174</v>
      </c>
      <c r="D1251" s="20">
        <v>0</v>
      </c>
      <c r="E1251" s="2" t="s">
        <v>838</v>
      </c>
      <c r="F1251" s="2" t="s">
        <v>793</v>
      </c>
      <c r="G1251" s="2" t="s">
        <v>2062</v>
      </c>
      <c r="J1251" s="26"/>
      <c r="K1251" s="36">
        <v>6.8639999999999993E-5</v>
      </c>
      <c r="L1251" s="23">
        <v>2.2880000000000001E-5</v>
      </c>
    </row>
    <row r="1252" spans="1:12" ht="15.35" x14ac:dyDescent="0.55000000000000004">
      <c r="A1252" s="20">
        <v>9896</v>
      </c>
      <c r="B1252" s="2" t="s">
        <v>173</v>
      </c>
      <c r="C1252" s="2" t="s">
        <v>174</v>
      </c>
      <c r="D1252" s="20">
        <v>0</v>
      </c>
      <c r="E1252" s="2" t="s">
        <v>838</v>
      </c>
      <c r="F1252" s="2" t="s">
        <v>793</v>
      </c>
      <c r="G1252" s="2" t="s">
        <v>2063</v>
      </c>
      <c r="J1252" s="26"/>
      <c r="K1252" s="36">
        <v>6.8639999999999993E-5</v>
      </c>
      <c r="L1252" s="23">
        <v>2.2880000000000001E-5</v>
      </c>
    </row>
    <row r="1253" spans="1:12" ht="15.35" x14ac:dyDescent="0.55000000000000004">
      <c r="A1253" s="20">
        <v>9897</v>
      </c>
      <c r="B1253" s="2" t="s">
        <v>173</v>
      </c>
      <c r="C1253" s="2" t="s">
        <v>174</v>
      </c>
      <c r="D1253" s="20">
        <v>0</v>
      </c>
      <c r="E1253" s="2" t="s">
        <v>838</v>
      </c>
      <c r="F1253" s="2" t="s">
        <v>793</v>
      </c>
      <c r="G1253" s="2" t="s">
        <v>2064</v>
      </c>
      <c r="J1253" s="26"/>
      <c r="K1253" s="36">
        <v>5.6159999999999998E-5</v>
      </c>
      <c r="L1253" s="23">
        <v>1.872E-5</v>
      </c>
    </row>
    <row r="1254" spans="1:12" ht="15.35" x14ac:dyDescent="0.55000000000000004">
      <c r="A1254" s="20">
        <v>9890</v>
      </c>
      <c r="B1254" s="2" t="s">
        <v>173</v>
      </c>
      <c r="C1254" s="2" t="s">
        <v>174</v>
      </c>
      <c r="D1254" s="20">
        <v>0</v>
      </c>
      <c r="E1254" s="2" t="s">
        <v>838</v>
      </c>
      <c r="F1254" s="2" t="s">
        <v>793</v>
      </c>
      <c r="G1254" s="2" t="s">
        <v>2065</v>
      </c>
      <c r="J1254" s="26"/>
      <c r="K1254" s="36">
        <v>6.5519999999999996E-5</v>
      </c>
      <c r="L1254" s="23">
        <v>2.1840000000000001E-5</v>
      </c>
    </row>
    <row r="1255" spans="1:12" ht="15.35" x14ac:dyDescent="0.55000000000000004">
      <c r="A1255" s="20">
        <v>9891</v>
      </c>
      <c r="B1255" s="2" t="s">
        <v>173</v>
      </c>
      <c r="C1255" s="2" t="s">
        <v>174</v>
      </c>
      <c r="D1255" s="20">
        <v>0</v>
      </c>
      <c r="E1255" s="2" t="s">
        <v>838</v>
      </c>
      <c r="F1255" s="2" t="s">
        <v>793</v>
      </c>
      <c r="G1255" s="2" t="s">
        <v>2066</v>
      </c>
      <c r="J1255" s="26"/>
      <c r="K1255" s="36">
        <v>6.5519999999999996E-5</v>
      </c>
      <c r="L1255" s="23">
        <v>2.1840000000000001E-5</v>
      </c>
    </row>
    <row r="1256" spans="1:12" ht="15.35" x14ac:dyDescent="0.55000000000000004">
      <c r="A1256" s="20">
        <v>9898</v>
      </c>
      <c r="B1256" s="2" t="s">
        <v>173</v>
      </c>
      <c r="C1256" s="2" t="s">
        <v>174</v>
      </c>
      <c r="D1256" s="20">
        <v>0</v>
      </c>
      <c r="E1256" s="2" t="s">
        <v>838</v>
      </c>
      <c r="F1256" s="2" t="s">
        <v>793</v>
      </c>
      <c r="G1256" s="2" t="s">
        <v>2067</v>
      </c>
      <c r="J1256" s="26"/>
      <c r="K1256" s="36">
        <v>6.2399999999999999E-5</v>
      </c>
      <c r="L1256" s="23">
        <v>2.0800000000000001E-5</v>
      </c>
    </row>
    <row r="1257" spans="1:12" ht="15.35" x14ac:dyDescent="0.55000000000000004">
      <c r="A1257" s="20">
        <v>9899</v>
      </c>
      <c r="B1257" s="2" t="s">
        <v>173</v>
      </c>
      <c r="C1257" s="2" t="s">
        <v>174</v>
      </c>
      <c r="D1257" s="20">
        <v>0</v>
      </c>
      <c r="E1257" s="2" t="s">
        <v>838</v>
      </c>
      <c r="F1257" s="2" t="s">
        <v>793</v>
      </c>
      <c r="G1257" s="2" t="s">
        <v>2068</v>
      </c>
      <c r="J1257" s="26"/>
      <c r="K1257" s="36">
        <v>6.5519999999999996E-5</v>
      </c>
      <c r="L1257" s="23">
        <v>2.1840000000000001E-5</v>
      </c>
    </row>
    <row r="1258" spans="1:12" ht="15.35" x14ac:dyDescent="0.55000000000000004">
      <c r="A1258" s="20">
        <v>9900</v>
      </c>
      <c r="B1258" s="2" t="s">
        <v>173</v>
      </c>
      <c r="C1258" s="2" t="s">
        <v>174</v>
      </c>
      <c r="D1258" s="20">
        <v>0</v>
      </c>
      <c r="E1258" s="2" t="s">
        <v>838</v>
      </c>
      <c r="F1258" s="2" t="s">
        <v>793</v>
      </c>
      <c r="G1258" s="2" t="s">
        <v>2069</v>
      </c>
      <c r="J1258" s="26"/>
      <c r="K1258" s="36">
        <v>6.5519999999999996E-5</v>
      </c>
      <c r="L1258" s="23">
        <v>2.1840000000000001E-5</v>
      </c>
    </row>
    <row r="1259" spans="1:12" ht="15.35" x14ac:dyDescent="0.55000000000000004">
      <c r="A1259" s="20">
        <v>9901</v>
      </c>
      <c r="B1259" s="2" t="s">
        <v>173</v>
      </c>
      <c r="C1259" s="2" t="s">
        <v>174</v>
      </c>
      <c r="D1259" s="20">
        <v>0</v>
      </c>
      <c r="E1259" s="2" t="s">
        <v>838</v>
      </c>
      <c r="F1259" s="2" t="s">
        <v>793</v>
      </c>
      <c r="G1259" s="2" t="s">
        <v>2070</v>
      </c>
      <c r="J1259" s="26"/>
      <c r="K1259" s="36">
        <v>6.8639999999999993E-5</v>
      </c>
      <c r="L1259" s="23">
        <v>2.2880000000000001E-5</v>
      </c>
    </row>
    <row r="1260" spans="1:12" ht="15.35" x14ac:dyDescent="0.55000000000000004">
      <c r="A1260" s="20">
        <v>9904</v>
      </c>
      <c r="B1260" s="2" t="s">
        <v>173</v>
      </c>
      <c r="C1260" s="2" t="s">
        <v>174</v>
      </c>
      <c r="D1260" s="20">
        <v>0</v>
      </c>
      <c r="E1260" s="2" t="s">
        <v>838</v>
      </c>
      <c r="F1260" s="2" t="s">
        <v>793</v>
      </c>
      <c r="G1260" s="2" t="s">
        <v>2071</v>
      </c>
      <c r="J1260" s="26"/>
      <c r="K1260" s="36">
        <v>6.5519999999999996E-5</v>
      </c>
      <c r="L1260" s="23">
        <v>2.1840000000000001E-5</v>
      </c>
    </row>
    <row r="1261" spans="1:12" ht="15.35" x14ac:dyDescent="0.55000000000000004">
      <c r="A1261" s="20">
        <v>9905</v>
      </c>
      <c r="B1261" s="2" t="s">
        <v>173</v>
      </c>
      <c r="C1261" s="2" t="s">
        <v>174</v>
      </c>
      <c r="D1261" s="20">
        <v>0</v>
      </c>
      <c r="E1261" s="2" t="s">
        <v>838</v>
      </c>
      <c r="F1261" s="2" t="s">
        <v>793</v>
      </c>
      <c r="G1261" s="2" t="s">
        <v>2072</v>
      </c>
      <c r="J1261" s="26"/>
      <c r="K1261" s="36">
        <v>6.5519999999999996E-5</v>
      </c>
      <c r="L1261" s="23">
        <v>2.1840000000000001E-5</v>
      </c>
    </row>
    <row r="1262" spans="1:12" ht="15.35" x14ac:dyDescent="0.55000000000000004">
      <c r="A1262" s="20">
        <v>9906</v>
      </c>
      <c r="B1262" s="2" t="s">
        <v>173</v>
      </c>
      <c r="C1262" s="2" t="s">
        <v>174</v>
      </c>
      <c r="D1262" s="20">
        <v>0</v>
      </c>
      <c r="E1262" s="2" t="s">
        <v>838</v>
      </c>
      <c r="F1262" s="2" t="s">
        <v>793</v>
      </c>
      <c r="G1262" s="2" t="s">
        <v>2073</v>
      </c>
      <c r="J1262" s="26"/>
      <c r="K1262" s="36">
        <v>6.8639999999999993E-5</v>
      </c>
      <c r="L1262" s="23">
        <v>2.2880000000000001E-5</v>
      </c>
    </row>
    <row r="1263" spans="1:12" ht="15.35" x14ac:dyDescent="0.55000000000000004">
      <c r="A1263" s="20">
        <v>9907</v>
      </c>
      <c r="B1263" s="2" t="s">
        <v>173</v>
      </c>
      <c r="C1263" s="2" t="s">
        <v>174</v>
      </c>
      <c r="D1263" s="20">
        <v>0</v>
      </c>
      <c r="E1263" s="2" t="s">
        <v>838</v>
      </c>
      <c r="F1263" s="2" t="s">
        <v>793</v>
      </c>
      <c r="G1263" s="2" t="s">
        <v>2074</v>
      </c>
      <c r="J1263" s="26"/>
      <c r="K1263" s="36">
        <v>6.8639999999999993E-5</v>
      </c>
      <c r="L1263" s="23">
        <v>2.2880000000000001E-5</v>
      </c>
    </row>
    <row r="1264" spans="1:12" ht="15.35" x14ac:dyDescent="0.55000000000000004">
      <c r="A1264" s="20">
        <v>9908</v>
      </c>
      <c r="B1264" s="2" t="s">
        <v>173</v>
      </c>
      <c r="C1264" s="2" t="s">
        <v>174</v>
      </c>
      <c r="D1264" s="20">
        <v>0</v>
      </c>
      <c r="E1264" s="2" t="s">
        <v>838</v>
      </c>
      <c r="F1264" s="2" t="s">
        <v>793</v>
      </c>
      <c r="G1264" s="2" t="s">
        <v>2075</v>
      </c>
      <c r="J1264" s="26"/>
      <c r="K1264" s="36">
        <v>6.8639999999999993E-5</v>
      </c>
      <c r="L1264" s="23">
        <v>2.2880000000000001E-5</v>
      </c>
    </row>
    <row r="1265" spans="1:12" ht="15.35" x14ac:dyDescent="0.55000000000000004">
      <c r="A1265" s="20">
        <v>9909</v>
      </c>
      <c r="B1265" s="2" t="s">
        <v>173</v>
      </c>
      <c r="C1265" s="2" t="s">
        <v>174</v>
      </c>
      <c r="D1265" s="20">
        <v>0</v>
      </c>
      <c r="E1265" s="2" t="s">
        <v>838</v>
      </c>
      <c r="F1265" s="2" t="s">
        <v>793</v>
      </c>
      <c r="G1265" s="2" t="s">
        <v>2076</v>
      </c>
      <c r="J1265" s="26"/>
      <c r="K1265" s="36">
        <v>6.5519999999999996E-5</v>
      </c>
      <c r="L1265" s="23">
        <v>2.1840000000000001E-5</v>
      </c>
    </row>
    <row r="1266" spans="1:12" ht="15.35" x14ac:dyDescent="0.55000000000000004">
      <c r="A1266" s="20">
        <v>9902</v>
      </c>
      <c r="B1266" s="2" t="s">
        <v>173</v>
      </c>
      <c r="C1266" s="2" t="s">
        <v>174</v>
      </c>
      <c r="D1266" s="20">
        <v>0</v>
      </c>
      <c r="E1266" s="2" t="s">
        <v>838</v>
      </c>
      <c r="F1266" s="2" t="s">
        <v>793</v>
      </c>
      <c r="G1266" s="2" t="s">
        <v>2077</v>
      </c>
      <c r="J1266" s="26"/>
      <c r="K1266" s="36">
        <v>5.9280000000000002E-5</v>
      </c>
      <c r="L1266" s="23">
        <v>1.9760000000000001E-5</v>
      </c>
    </row>
    <row r="1267" spans="1:12" ht="15.35" x14ac:dyDescent="0.55000000000000004">
      <c r="A1267" s="20">
        <v>9903</v>
      </c>
      <c r="B1267" s="2" t="s">
        <v>173</v>
      </c>
      <c r="C1267" s="2" t="s">
        <v>174</v>
      </c>
      <c r="D1267" s="20">
        <v>0</v>
      </c>
      <c r="E1267" s="2" t="s">
        <v>838</v>
      </c>
      <c r="F1267" s="2" t="s">
        <v>793</v>
      </c>
      <c r="G1267" s="2" t="s">
        <v>2078</v>
      </c>
      <c r="J1267" s="26"/>
      <c r="K1267" s="36">
        <v>7.1760000000000004E-5</v>
      </c>
      <c r="L1267" s="23">
        <v>2.3920000000000001E-5</v>
      </c>
    </row>
    <row r="1268" spans="1:12" ht="15.35" x14ac:dyDescent="0.55000000000000004">
      <c r="A1268" s="20">
        <v>9910</v>
      </c>
      <c r="B1268" s="2" t="s">
        <v>173</v>
      </c>
      <c r="C1268" s="2" t="s">
        <v>174</v>
      </c>
      <c r="D1268" s="20">
        <v>0</v>
      </c>
      <c r="E1268" s="2" t="s">
        <v>838</v>
      </c>
      <c r="F1268" s="2" t="s">
        <v>793</v>
      </c>
      <c r="G1268" s="2" t="s">
        <v>2079</v>
      </c>
      <c r="J1268" s="26"/>
      <c r="K1268" s="36">
        <v>6.8639999999999993E-5</v>
      </c>
      <c r="L1268" s="23">
        <v>2.2880000000000001E-5</v>
      </c>
    </row>
    <row r="1269" spans="1:12" ht="15.35" x14ac:dyDescent="0.55000000000000004">
      <c r="A1269" s="20">
        <v>9911</v>
      </c>
      <c r="B1269" s="2" t="s">
        <v>173</v>
      </c>
      <c r="C1269" s="2" t="s">
        <v>174</v>
      </c>
      <c r="D1269" s="20">
        <v>0</v>
      </c>
      <c r="E1269" s="2" t="s">
        <v>838</v>
      </c>
      <c r="F1269" s="2" t="s">
        <v>793</v>
      </c>
      <c r="G1269" s="2" t="s">
        <v>2080</v>
      </c>
      <c r="J1269" s="26"/>
      <c r="K1269" s="36">
        <v>8.7369999999999999E-5</v>
      </c>
      <c r="L1269" s="23">
        <v>2.9119999999999999E-5</v>
      </c>
    </row>
    <row r="1270" spans="1:12" ht="15.35" hidden="1" x14ac:dyDescent="0.55000000000000004">
      <c r="A1270" s="20">
        <v>9831</v>
      </c>
      <c r="B1270" s="2" t="s">
        <v>173</v>
      </c>
      <c r="C1270" s="2" t="s">
        <v>174</v>
      </c>
      <c r="D1270" s="20">
        <v>0</v>
      </c>
      <c r="E1270" s="2" t="s">
        <v>838</v>
      </c>
      <c r="F1270" s="2" t="s">
        <v>793</v>
      </c>
      <c r="G1270" s="2" t="s">
        <v>1373</v>
      </c>
      <c r="H1270" s="2" t="s">
        <v>1374</v>
      </c>
      <c r="J1270" s="26"/>
      <c r="K1270" s="36">
        <v>7.1760000000000004E-5</v>
      </c>
      <c r="L1270" s="23">
        <v>2.3920000000000001E-5</v>
      </c>
    </row>
    <row r="1271" spans="1:12" ht="15.35" x14ac:dyDescent="0.55000000000000004">
      <c r="A1271" s="20">
        <v>9876</v>
      </c>
      <c r="B1271" s="2" t="s">
        <v>173</v>
      </c>
      <c r="C1271" s="2" t="s">
        <v>174</v>
      </c>
      <c r="D1271" s="20">
        <v>0</v>
      </c>
      <c r="E1271" s="2" t="s">
        <v>838</v>
      </c>
      <c r="F1271" s="2" t="s">
        <v>793</v>
      </c>
      <c r="G1271" s="2" t="s">
        <v>2081</v>
      </c>
      <c r="J1271" s="26"/>
      <c r="K1271" s="36">
        <v>1.9657999999999999E-4</v>
      </c>
      <c r="L1271" s="23">
        <v>6.5530000000000004E-5</v>
      </c>
    </row>
    <row r="1272" spans="1:12" ht="15.35" x14ac:dyDescent="0.55000000000000004">
      <c r="A1272" s="20">
        <v>9836</v>
      </c>
      <c r="B1272" s="2" t="s">
        <v>173</v>
      </c>
      <c r="C1272" s="2" t="s">
        <v>174</v>
      </c>
      <c r="D1272" s="20">
        <v>0</v>
      </c>
      <c r="E1272" s="2" t="s">
        <v>838</v>
      </c>
      <c r="F1272" s="2" t="s">
        <v>793</v>
      </c>
      <c r="G1272" s="2" t="s">
        <v>2082</v>
      </c>
      <c r="J1272" s="26"/>
      <c r="K1272" s="36">
        <v>2.5587E-4</v>
      </c>
      <c r="L1272" s="23">
        <v>8.5290000000000005E-5</v>
      </c>
    </row>
    <row r="1273" spans="1:12" ht="15.35" x14ac:dyDescent="0.55000000000000004">
      <c r="A1273" s="20">
        <v>9837</v>
      </c>
      <c r="B1273" s="2" t="s">
        <v>173</v>
      </c>
      <c r="C1273" s="2" t="s">
        <v>174</v>
      </c>
      <c r="D1273" s="20">
        <v>0</v>
      </c>
      <c r="E1273" s="2" t="s">
        <v>838</v>
      </c>
      <c r="F1273" s="2" t="s">
        <v>793</v>
      </c>
      <c r="G1273" s="2" t="s">
        <v>2083</v>
      </c>
      <c r="J1273" s="26"/>
      <c r="K1273" s="36">
        <v>2.3403000000000001E-4</v>
      </c>
      <c r="L1273" s="23">
        <v>7.8009999999999993E-5</v>
      </c>
    </row>
    <row r="1274" spans="1:12" ht="15.35" x14ac:dyDescent="0.55000000000000004">
      <c r="A1274" s="20">
        <v>9838</v>
      </c>
      <c r="B1274" s="2" t="s">
        <v>173</v>
      </c>
      <c r="C1274" s="2" t="s">
        <v>174</v>
      </c>
      <c r="D1274" s="20">
        <v>0</v>
      </c>
      <c r="E1274" s="2" t="s">
        <v>838</v>
      </c>
      <c r="F1274" s="2" t="s">
        <v>793</v>
      </c>
      <c r="G1274" s="2" t="s">
        <v>2084</v>
      </c>
      <c r="J1274" s="26"/>
      <c r="K1274" s="36">
        <v>2.3403000000000001E-4</v>
      </c>
      <c r="L1274" s="23">
        <v>7.8009999999999993E-5</v>
      </c>
    </row>
    <row r="1275" spans="1:12" ht="15.35" x14ac:dyDescent="0.55000000000000004">
      <c r="A1275" s="20">
        <v>9839</v>
      </c>
      <c r="B1275" s="2" t="s">
        <v>173</v>
      </c>
      <c r="C1275" s="2" t="s">
        <v>174</v>
      </c>
      <c r="D1275" s="20">
        <v>0</v>
      </c>
      <c r="E1275" s="2" t="s">
        <v>838</v>
      </c>
      <c r="F1275" s="2" t="s">
        <v>793</v>
      </c>
      <c r="G1275" s="2" t="s">
        <v>2085</v>
      </c>
      <c r="J1275" s="26"/>
      <c r="K1275" s="36">
        <v>4.1813000000000001E-4</v>
      </c>
      <c r="L1275" s="23">
        <v>1.3938000000000001E-4</v>
      </c>
    </row>
    <row r="1276" spans="1:12" ht="15.35" x14ac:dyDescent="0.55000000000000004">
      <c r="A1276" s="20">
        <v>9840</v>
      </c>
      <c r="B1276" s="2" t="s">
        <v>173</v>
      </c>
      <c r="C1276" s="2" t="s">
        <v>174</v>
      </c>
      <c r="D1276" s="20">
        <v>0</v>
      </c>
      <c r="E1276" s="2" t="s">
        <v>838</v>
      </c>
      <c r="F1276" s="2" t="s">
        <v>793</v>
      </c>
      <c r="G1276" s="2" t="s">
        <v>2086</v>
      </c>
      <c r="J1276" s="26"/>
      <c r="K1276" s="36">
        <v>2.7147E-4</v>
      </c>
      <c r="L1276" s="23">
        <v>9.0489999999999996E-5</v>
      </c>
    </row>
    <row r="1277" spans="1:12" ht="15.35" x14ac:dyDescent="0.55000000000000004">
      <c r="A1277" s="20">
        <v>9833</v>
      </c>
      <c r="B1277" s="2" t="s">
        <v>173</v>
      </c>
      <c r="C1277" s="2" t="s">
        <v>174</v>
      </c>
      <c r="D1277" s="20">
        <v>0</v>
      </c>
      <c r="E1277" s="2" t="s">
        <v>838</v>
      </c>
      <c r="F1277" s="2" t="s">
        <v>793</v>
      </c>
      <c r="G1277" s="2" t="s">
        <v>2087</v>
      </c>
      <c r="J1277" s="26"/>
      <c r="K1277" s="36">
        <v>1.997E-4</v>
      </c>
      <c r="L1277" s="23">
        <v>6.6569999999999995E-5</v>
      </c>
    </row>
    <row r="1278" spans="1:12" ht="15.35" x14ac:dyDescent="0.55000000000000004">
      <c r="A1278" s="20">
        <v>9841</v>
      </c>
      <c r="B1278" s="2" t="s">
        <v>173</v>
      </c>
      <c r="C1278" s="2" t="s">
        <v>174</v>
      </c>
      <c r="D1278" s="20">
        <v>0</v>
      </c>
      <c r="E1278" s="2" t="s">
        <v>838</v>
      </c>
      <c r="F1278" s="2" t="s">
        <v>793</v>
      </c>
      <c r="G1278" s="2" t="s">
        <v>2088</v>
      </c>
      <c r="J1278" s="26"/>
      <c r="K1278" s="36">
        <v>1.7786000000000001E-4</v>
      </c>
      <c r="L1278" s="23">
        <v>5.9290000000000003E-5</v>
      </c>
    </row>
    <row r="1279" spans="1:12" ht="15.35" x14ac:dyDescent="0.55000000000000004">
      <c r="A1279" s="20">
        <v>9834</v>
      </c>
      <c r="B1279" s="2" t="s">
        <v>173</v>
      </c>
      <c r="C1279" s="2" t="s">
        <v>174</v>
      </c>
      <c r="D1279" s="20">
        <v>0</v>
      </c>
      <c r="E1279" s="2" t="s">
        <v>838</v>
      </c>
      <c r="F1279" s="2" t="s">
        <v>793</v>
      </c>
      <c r="G1279" s="2" t="s">
        <v>2089</v>
      </c>
      <c r="J1279" s="26"/>
      <c r="K1279" s="36">
        <v>3.5572000000000002E-4</v>
      </c>
      <c r="L1279" s="23">
        <v>1.1857E-4</v>
      </c>
    </row>
    <row r="1280" spans="1:12" ht="15.35" x14ac:dyDescent="0.55000000000000004">
      <c r="A1280" s="20">
        <v>9842</v>
      </c>
      <c r="B1280" s="2" t="s">
        <v>173</v>
      </c>
      <c r="C1280" s="2" t="s">
        <v>174</v>
      </c>
      <c r="D1280" s="20">
        <v>0</v>
      </c>
      <c r="E1280" s="2" t="s">
        <v>838</v>
      </c>
      <c r="F1280" s="2" t="s">
        <v>793</v>
      </c>
      <c r="G1280" s="2" t="s">
        <v>2090</v>
      </c>
      <c r="J1280" s="26"/>
      <c r="K1280" s="36">
        <v>4.4934E-4</v>
      </c>
      <c r="L1280" s="23">
        <v>1.4977999999999999E-4</v>
      </c>
    </row>
    <row r="1281" spans="1:12" ht="15.35" x14ac:dyDescent="0.55000000000000004">
      <c r="A1281" s="20">
        <v>9843</v>
      </c>
      <c r="B1281" s="2" t="s">
        <v>173</v>
      </c>
      <c r="C1281" s="2" t="s">
        <v>174</v>
      </c>
      <c r="D1281" s="20">
        <v>0</v>
      </c>
      <c r="E1281" s="2" t="s">
        <v>838</v>
      </c>
      <c r="F1281" s="2" t="s">
        <v>793</v>
      </c>
      <c r="G1281" s="2" t="s">
        <v>2091</v>
      </c>
      <c r="J1281" s="26"/>
      <c r="K1281" s="36">
        <v>3.6821E-4</v>
      </c>
      <c r="L1281" s="23">
        <v>1.2274000000000001E-4</v>
      </c>
    </row>
    <row r="1282" spans="1:12" ht="15.35" x14ac:dyDescent="0.55000000000000004">
      <c r="A1282" s="20">
        <v>9844</v>
      </c>
      <c r="B1282" s="2" t="s">
        <v>173</v>
      </c>
      <c r="C1282" s="2" t="s">
        <v>174</v>
      </c>
      <c r="D1282" s="20">
        <v>0</v>
      </c>
      <c r="E1282" s="2" t="s">
        <v>838</v>
      </c>
      <c r="F1282" s="2" t="s">
        <v>793</v>
      </c>
      <c r="G1282" s="2" t="s">
        <v>2092</v>
      </c>
      <c r="J1282" s="26"/>
      <c r="K1282" s="36">
        <v>3.1515999999999998E-4</v>
      </c>
      <c r="L1282" s="23">
        <v>1.0505000000000001E-4</v>
      </c>
    </row>
    <row r="1283" spans="1:12" ht="15.35" x14ac:dyDescent="0.55000000000000004">
      <c r="A1283" s="20">
        <v>9845</v>
      </c>
      <c r="B1283" s="2" t="s">
        <v>173</v>
      </c>
      <c r="C1283" s="2" t="s">
        <v>174</v>
      </c>
      <c r="D1283" s="20">
        <v>0</v>
      </c>
      <c r="E1283" s="2" t="s">
        <v>838</v>
      </c>
      <c r="F1283" s="2" t="s">
        <v>793</v>
      </c>
      <c r="G1283" s="2" t="s">
        <v>2093</v>
      </c>
      <c r="J1283" s="26"/>
      <c r="K1283" s="36">
        <v>2.9643999999999997E-4</v>
      </c>
      <c r="L1283" s="23">
        <v>9.8809999999999998E-5</v>
      </c>
    </row>
    <row r="1284" spans="1:12" ht="15.35" x14ac:dyDescent="0.55000000000000004">
      <c r="A1284" s="20">
        <v>9846</v>
      </c>
      <c r="B1284" s="2" t="s">
        <v>173</v>
      </c>
      <c r="C1284" s="2" t="s">
        <v>174</v>
      </c>
      <c r="D1284" s="20">
        <v>0</v>
      </c>
      <c r="E1284" s="2" t="s">
        <v>838</v>
      </c>
      <c r="F1284" s="2" t="s">
        <v>793</v>
      </c>
      <c r="G1284" s="2" t="s">
        <v>2094</v>
      </c>
      <c r="J1284" s="26"/>
      <c r="K1284" s="36">
        <v>3.0268E-4</v>
      </c>
      <c r="L1284" s="23">
        <v>1.0089E-4</v>
      </c>
    </row>
    <row r="1285" spans="1:12" ht="15.35" x14ac:dyDescent="0.55000000000000004">
      <c r="A1285" s="20">
        <v>9835</v>
      </c>
      <c r="B1285" s="2" t="s">
        <v>173</v>
      </c>
      <c r="C1285" s="2" t="s">
        <v>174</v>
      </c>
      <c r="D1285" s="20">
        <v>0</v>
      </c>
      <c r="E1285" s="2" t="s">
        <v>838</v>
      </c>
      <c r="F1285" s="2" t="s">
        <v>793</v>
      </c>
      <c r="G1285" s="2" t="s">
        <v>2095</v>
      </c>
      <c r="J1285" s="26"/>
      <c r="K1285" s="36">
        <v>2.4651000000000002E-4</v>
      </c>
      <c r="L1285" s="23">
        <v>8.2169999999999994E-5</v>
      </c>
    </row>
    <row r="1286" spans="1:12" ht="15.35" x14ac:dyDescent="0.55000000000000004">
      <c r="A1286" s="20">
        <v>9832</v>
      </c>
      <c r="B1286" s="2" t="s">
        <v>173</v>
      </c>
      <c r="C1286" s="2" t="s">
        <v>174</v>
      </c>
      <c r="D1286" s="20">
        <v>0</v>
      </c>
      <c r="E1286" s="2" t="s">
        <v>838</v>
      </c>
      <c r="F1286" s="2" t="s">
        <v>793</v>
      </c>
      <c r="G1286" s="2" t="s">
        <v>2096</v>
      </c>
      <c r="J1286" s="26"/>
      <c r="K1286" s="36">
        <v>2.153E-4</v>
      </c>
      <c r="L1286" s="23">
        <v>7.1769999999999999E-5</v>
      </c>
    </row>
    <row r="1287" spans="1:12" ht="15.35" x14ac:dyDescent="0.55000000000000004">
      <c r="A1287" s="20">
        <v>9864</v>
      </c>
      <c r="B1287" s="2" t="s">
        <v>173</v>
      </c>
      <c r="C1287" s="2" t="s">
        <v>174</v>
      </c>
      <c r="D1287" s="20">
        <v>0</v>
      </c>
      <c r="E1287" s="2" t="s">
        <v>838</v>
      </c>
      <c r="F1287" s="2" t="s">
        <v>793</v>
      </c>
      <c r="G1287" s="2" t="s">
        <v>2097</v>
      </c>
      <c r="J1287" s="26"/>
      <c r="K1287" s="36">
        <v>1.5914E-4</v>
      </c>
      <c r="L1287" s="23">
        <v>5.3050000000000002E-5</v>
      </c>
    </row>
    <row r="1288" spans="1:12" ht="15.35" x14ac:dyDescent="0.55000000000000004">
      <c r="A1288" s="20">
        <v>9868</v>
      </c>
      <c r="B1288" s="2" t="s">
        <v>173</v>
      </c>
      <c r="C1288" s="2" t="s">
        <v>174</v>
      </c>
      <c r="D1288" s="20">
        <v>0</v>
      </c>
      <c r="E1288" s="2" t="s">
        <v>838</v>
      </c>
      <c r="F1288" s="2" t="s">
        <v>793</v>
      </c>
      <c r="G1288" s="2" t="s">
        <v>2098</v>
      </c>
      <c r="J1288" s="26"/>
      <c r="K1288" s="36">
        <v>8.7369999999999999E-5</v>
      </c>
      <c r="L1288" s="23">
        <v>2.9119999999999999E-5</v>
      </c>
    </row>
    <row r="1289" spans="1:12" ht="15.35" hidden="1" x14ac:dyDescent="0.55000000000000004">
      <c r="A1289" s="20">
        <v>9888</v>
      </c>
      <c r="B1289" s="2" t="s">
        <v>173</v>
      </c>
      <c r="C1289" s="2" t="s">
        <v>174</v>
      </c>
      <c r="D1289" s="20">
        <v>0</v>
      </c>
      <c r="E1289" s="2" t="s">
        <v>838</v>
      </c>
      <c r="F1289" s="2" t="s">
        <v>793</v>
      </c>
      <c r="G1289" s="2" t="s">
        <v>2099</v>
      </c>
      <c r="H1289" s="2" t="s">
        <v>2100</v>
      </c>
      <c r="J1289" s="26"/>
      <c r="K1289" s="36">
        <v>1.997E-4</v>
      </c>
      <c r="L1289" s="23">
        <v>6.6569999999999995E-5</v>
      </c>
    </row>
    <row r="1290" spans="1:12" ht="15.35" x14ac:dyDescent="0.55000000000000004">
      <c r="A1290" s="20">
        <v>9656</v>
      </c>
      <c r="B1290" s="2" t="s">
        <v>173</v>
      </c>
      <c r="C1290" s="2" t="s">
        <v>174</v>
      </c>
      <c r="D1290" s="20">
        <v>0</v>
      </c>
      <c r="E1290" s="2" t="s">
        <v>838</v>
      </c>
      <c r="F1290" s="2" t="s">
        <v>793</v>
      </c>
      <c r="G1290" s="2" t="s">
        <v>2101</v>
      </c>
      <c r="J1290" s="26"/>
      <c r="K1290" s="36">
        <v>5.6159999999999998E-5</v>
      </c>
      <c r="L1290" s="23">
        <v>1.872E-5</v>
      </c>
    </row>
    <row r="1291" spans="1:12" ht="15.35" hidden="1" x14ac:dyDescent="0.55000000000000004">
      <c r="A1291" s="20">
        <v>9049</v>
      </c>
      <c r="B1291" s="2" t="s">
        <v>173</v>
      </c>
      <c r="C1291" s="2" t="s">
        <v>174</v>
      </c>
      <c r="D1291" s="20">
        <v>0</v>
      </c>
      <c r="E1291" s="2" t="s">
        <v>838</v>
      </c>
      <c r="F1291" s="2" t="s">
        <v>848</v>
      </c>
      <c r="G1291" s="2" t="s">
        <v>1378</v>
      </c>
      <c r="H1291" s="2" t="s">
        <v>1097</v>
      </c>
      <c r="J1291" s="26"/>
      <c r="K1291" s="36">
        <v>1.40419E-3</v>
      </c>
      <c r="L1291" s="23">
        <v>4.6806000000000001E-4</v>
      </c>
    </row>
    <row r="1292" spans="1:12" ht="15.35" hidden="1" x14ac:dyDescent="0.55000000000000004">
      <c r="A1292" s="20">
        <v>9053</v>
      </c>
      <c r="B1292" s="2" t="s">
        <v>173</v>
      </c>
      <c r="C1292" s="2" t="s">
        <v>174</v>
      </c>
      <c r="D1292" s="20">
        <v>0</v>
      </c>
      <c r="E1292" s="2" t="s">
        <v>838</v>
      </c>
      <c r="F1292" s="2" t="s">
        <v>848</v>
      </c>
      <c r="G1292" s="2" t="s">
        <v>1379</v>
      </c>
      <c r="H1292" s="2" t="s">
        <v>1098</v>
      </c>
      <c r="J1292" s="26"/>
      <c r="K1292" s="36">
        <v>1.9658700000000002E-3</v>
      </c>
      <c r="L1292" s="23">
        <v>6.5529E-4</v>
      </c>
    </row>
    <row r="1293" spans="1:12" ht="15.35" hidden="1" x14ac:dyDescent="0.55000000000000004">
      <c r="A1293" s="20">
        <v>9680</v>
      </c>
      <c r="B1293" s="2" t="s">
        <v>173</v>
      </c>
      <c r="C1293" s="2" t="s">
        <v>174</v>
      </c>
      <c r="D1293" s="20">
        <v>0</v>
      </c>
      <c r="E1293" s="2" t="s">
        <v>838</v>
      </c>
      <c r="F1293" s="2" t="s">
        <v>793</v>
      </c>
      <c r="G1293" s="2" t="s">
        <v>2102</v>
      </c>
      <c r="H1293" s="2" t="s">
        <v>1098</v>
      </c>
      <c r="J1293" s="26"/>
      <c r="K1293" s="36">
        <v>1.9658700000000002E-3</v>
      </c>
      <c r="L1293" s="23">
        <v>6.5529E-4</v>
      </c>
    </row>
    <row r="1294" spans="1:12" ht="15.35" hidden="1" x14ac:dyDescent="0.55000000000000004">
      <c r="A1294" s="20">
        <v>9678</v>
      </c>
      <c r="B1294" s="2" t="s">
        <v>173</v>
      </c>
      <c r="C1294" s="2" t="s">
        <v>174</v>
      </c>
      <c r="D1294" s="20">
        <v>0</v>
      </c>
      <c r="E1294" s="2" t="s">
        <v>838</v>
      </c>
      <c r="F1294" s="2" t="s">
        <v>793</v>
      </c>
      <c r="G1294" s="2" t="s">
        <v>2103</v>
      </c>
      <c r="H1294" s="2" t="s">
        <v>928</v>
      </c>
      <c r="J1294" s="26"/>
      <c r="K1294" s="36">
        <v>1.77864E-3</v>
      </c>
      <c r="L1294" s="23">
        <v>5.9287999999999995E-4</v>
      </c>
    </row>
    <row r="1295" spans="1:12" ht="15.35" hidden="1" x14ac:dyDescent="0.55000000000000004">
      <c r="A1295" s="20">
        <v>9679</v>
      </c>
      <c r="B1295" s="2" t="s">
        <v>173</v>
      </c>
      <c r="C1295" s="2" t="s">
        <v>174</v>
      </c>
      <c r="D1295" s="20">
        <v>0</v>
      </c>
      <c r="E1295" s="2" t="s">
        <v>838</v>
      </c>
      <c r="F1295" s="2" t="s">
        <v>793</v>
      </c>
      <c r="G1295" s="2" t="s">
        <v>2104</v>
      </c>
      <c r="H1295" s="2" t="s">
        <v>928</v>
      </c>
      <c r="J1295" s="26"/>
      <c r="K1295" s="36">
        <v>3.1203999999999997E-4</v>
      </c>
      <c r="L1295" s="23">
        <v>1.0401E-4</v>
      </c>
    </row>
    <row r="1296" spans="1:12" ht="15.35" hidden="1" x14ac:dyDescent="0.55000000000000004">
      <c r="A1296" s="20">
        <v>9681</v>
      </c>
      <c r="B1296" s="2" t="s">
        <v>173</v>
      </c>
      <c r="C1296" s="2" t="s">
        <v>174</v>
      </c>
      <c r="D1296" s="20">
        <v>0</v>
      </c>
      <c r="E1296" s="2" t="s">
        <v>838</v>
      </c>
      <c r="F1296" s="2" t="s">
        <v>793</v>
      </c>
      <c r="G1296" s="2" t="s">
        <v>2105</v>
      </c>
      <c r="H1296" s="2" t="s">
        <v>928</v>
      </c>
      <c r="J1296" s="26"/>
      <c r="K1296" s="36">
        <v>1.3136999999999999E-3</v>
      </c>
      <c r="L1296" s="23">
        <v>4.3790000000000002E-4</v>
      </c>
    </row>
    <row r="1297" spans="1:12" ht="15.35" hidden="1" x14ac:dyDescent="0.55000000000000004">
      <c r="A1297" s="20">
        <v>9682</v>
      </c>
      <c r="B1297" s="2" t="s">
        <v>173</v>
      </c>
      <c r="C1297" s="2" t="s">
        <v>174</v>
      </c>
      <c r="D1297" s="20">
        <v>0</v>
      </c>
      <c r="E1297" s="2" t="s">
        <v>838</v>
      </c>
      <c r="F1297" s="2" t="s">
        <v>793</v>
      </c>
      <c r="G1297" s="2" t="s">
        <v>2106</v>
      </c>
      <c r="H1297" s="2" t="s">
        <v>928</v>
      </c>
      <c r="J1297" s="26"/>
      <c r="K1297" s="36">
        <v>1.10775E-3</v>
      </c>
      <c r="L1297" s="23">
        <v>3.6925E-4</v>
      </c>
    </row>
    <row r="1298" spans="1:12" ht="15.35" hidden="1" x14ac:dyDescent="0.55000000000000004">
      <c r="A1298" s="20">
        <v>9683</v>
      </c>
      <c r="B1298" s="2" t="s">
        <v>173</v>
      </c>
      <c r="C1298" s="2" t="s">
        <v>174</v>
      </c>
      <c r="D1298" s="20">
        <v>0</v>
      </c>
      <c r="E1298" s="2" t="s">
        <v>838</v>
      </c>
      <c r="F1298" s="2" t="s">
        <v>793</v>
      </c>
      <c r="G1298" s="2" t="s">
        <v>2107</v>
      </c>
      <c r="H1298" s="2" t="s">
        <v>928</v>
      </c>
      <c r="J1298" s="26"/>
      <c r="K1298" s="36">
        <v>5.6159999999999998E-5</v>
      </c>
      <c r="L1298" s="23">
        <v>1.872E-5</v>
      </c>
    </row>
    <row r="1299" spans="1:12" ht="15.35" hidden="1" x14ac:dyDescent="0.55000000000000004">
      <c r="A1299" s="20">
        <v>9684</v>
      </c>
      <c r="B1299" s="2" t="s">
        <v>173</v>
      </c>
      <c r="C1299" s="2" t="s">
        <v>174</v>
      </c>
      <c r="D1299" s="20">
        <v>0</v>
      </c>
      <c r="E1299" s="2" t="s">
        <v>838</v>
      </c>
      <c r="F1299" s="2" t="s">
        <v>793</v>
      </c>
      <c r="G1299" s="2" t="s">
        <v>2108</v>
      </c>
      <c r="H1299" s="2" t="s">
        <v>928</v>
      </c>
      <c r="J1299" s="26"/>
      <c r="K1299" s="36">
        <v>5.6159999999999998E-5</v>
      </c>
      <c r="L1299" s="23">
        <v>1.872E-5</v>
      </c>
    </row>
    <row r="1300" spans="1:12" ht="15.35" hidden="1" x14ac:dyDescent="0.55000000000000004">
      <c r="A1300" s="20">
        <v>9675</v>
      </c>
      <c r="B1300" s="2" t="s">
        <v>173</v>
      </c>
      <c r="C1300" s="2" t="s">
        <v>174</v>
      </c>
      <c r="D1300" s="20">
        <v>0</v>
      </c>
      <c r="E1300" s="2" t="s">
        <v>838</v>
      </c>
      <c r="F1300" s="2" t="s">
        <v>793</v>
      </c>
      <c r="G1300" s="2" t="s">
        <v>927</v>
      </c>
      <c r="H1300" s="2" t="s">
        <v>928</v>
      </c>
      <c r="J1300" s="26"/>
      <c r="K1300" s="36">
        <v>1.56021E-3</v>
      </c>
      <c r="L1300" s="23">
        <v>5.2006999999999997E-4</v>
      </c>
    </row>
    <row r="1301" spans="1:12" ht="15.35" hidden="1" x14ac:dyDescent="0.55000000000000004">
      <c r="A1301" s="20">
        <v>9676</v>
      </c>
      <c r="B1301" s="2" t="s">
        <v>173</v>
      </c>
      <c r="C1301" s="2" t="s">
        <v>174</v>
      </c>
      <c r="D1301" s="20">
        <v>0</v>
      </c>
      <c r="E1301" s="2" t="s">
        <v>838</v>
      </c>
      <c r="F1301" s="2" t="s">
        <v>793</v>
      </c>
      <c r="G1301" s="2" t="s">
        <v>1192</v>
      </c>
      <c r="H1301" s="2" t="s">
        <v>928</v>
      </c>
      <c r="J1301" s="26"/>
      <c r="K1301" s="36">
        <v>1.56021E-3</v>
      </c>
      <c r="L1301" s="23">
        <v>5.2006999999999997E-4</v>
      </c>
    </row>
    <row r="1302" spans="1:12" ht="15.35" hidden="1" x14ac:dyDescent="0.55000000000000004">
      <c r="A1302" s="20">
        <v>9677</v>
      </c>
      <c r="B1302" s="2" t="s">
        <v>173</v>
      </c>
      <c r="C1302" s="2" t="s">
        <v>174</v>
      </c>
      <c r="D1302" s="20">
        <v>0</v>
      </c>
      <c r="E1302" s="2" t="s">
        <v>838</v>
      </c>
      <c r="F1302" s="2" t="s">
        <v>793</v>
      </c>
      <c r="G1302" s="2" t="s">
        <v>2109</v>
      </c>
      <c r="H1302" s="2" t="s">
        <v>928</v>
      </c>
      <c r="J1302" s="26"/>
      <c r="K1302" s="36">
        <v>1.9658700000000002E-3</v>
      </c>
      <c r="L1302" s="23">
        <v>6.5529E-4</v>
      </c>
    </row>
    <row r="1303" spans="1:12" ht="15.35" x14ac:dyDescent="0.55000000000000004">
      <c r="A1303" s="20">
        <v>9435</v>
      </c>
      <c r="B1303" s="2" t="s">
        <v>173</v>
      </c>
      <c r="C1303" s="2" t="s">
        <v>174</v>
      </c>
      <c r="D1303" s="20">
        <v>0</v>
      </c>
      <c r="E1303" s="2" t="s">
        <v>838</v>
      </c>
      <c r="F1303" s="2" t="s">
        <v>793</v>
      </c>
      <c r="G1303" s="2" t="s">
        <v>2110</v>
      </c>
      <c r="J1303" s="26"/>
      <c r="K1303" s="36">
        <v>3.1199999999999999E-5</v>
      </c>
      <c r="L1303" s="23">
        <v>1.04E-5</v>
      </c>
    </row>
    <row r="1304" spans="1:12" ht="15.35" x14ac:dyDescent="0.55000000000000004">
      <c r="A1304" s="20">
        <v>9436</v>
      </c>
      <c r="B1304" s="2" t="s">
        <v>173</v>
      </c>
      <c r="C1304" s="2" t="s">
        <v>174</v>
      </c>
      <c r="D1304" s="20">
        <v>0</v>
      </c>
      <c r="E1304" s="2" t="s">
        <v>838</v>
      </c>
      <c r="F1304" s="2" t="s">
        <v>793</v>
      </c>
      <c r="G1304" s="2" t="s">
        <v>2111</v>
      </c>
      <c r="J1304" s="26"/>
      <c r="K1304" s="36">
        <v>3.1199999999999999E-5</v>
      </c>
      <c r="L1304" s="23">
        <v>1.04E-5</v>
      </c>
    </row>
    <row r="1305" spans="1:12" ht="15.35" x14ac:dyDescent="0.55000000000000004">
      <c r="A1305" s="20">
        <v>9438</v>
      </c>
      <c r="B1305" s="2" t="s">
        <v>173</v>
      </c>
      <c r="C1305" s="2" t="s">
        <v>174</v>
      </c>
      <c r="D1305" s="20">
        <v>0</v>
      </c>
      <c r="E1305" s="2" t="s">
        <v>838</v>
      </c>
      <c r="F1305" s="2" t="s">
        <v>793</v>
      </c>
      <c r="G1305" s="2" t="s">
        <v>2112</v>
      </c>
      <c r="J1305" s="26"/>
      <c r="K1305" s="36">
        <v>3.1199999999999999E-5</v>
      </c>
      <c r="L1305" s="23">
        <v>1.04E-5</v>
      </c>
    </row>
    <row r="1306" spans="1:12" ht="15.35" x14ac:dyDescent="0.55000000000000004">
      <c r="A1306" s="20">
        <v>9439</v>
      </c>
      <c r="B1306" s="2" t="s">
        <v>173</v>
      </c>
      <c r="C1306" s="2" t="s">
        <v>174</v>
      </c>
      <c r="D1306" s="20">
        <v>0</v>
      </c>
      <c r="E1306" s="2" t="s">
        <v>838</v>
      </c>
      <c r="F1306" s="2" t="s">
        <v>793</v>
      </c>
      <c r="G1306" s="2" t="s">
        <v>2113</v>
      </c>
      <c r="J1306" s="26"/>
      <c r="K1306" s="36">
        <v>2.4962999999999998E-4</v>
      </c>
      <c r="L1306" s="23">
        <v>8.3209999999999998E-5</v>
      </c>
    </row>
    <row r="1307" spans="1:12" ht="15.35" x14ac:dyDescent="0.55000000000000004">
      <c r="A1307" s="20">
        <v>9437</v>
      </c>
      <c r="B1307" s="2" t="s">
        <v>173</v>
      </c>
      <c r="C1307" s="2" t="s">
        <v>174</v>
      </c>
      <c r="D1307" s="20">
        <v>0</v>
      </c>
      <c r="E1307" s="2" t="s">
        <v>838</v>
      </c>
      <c r="F1307" s="2" t="s">
        <v>793</v>
      </c>
      <c r="G1307" s="2" t="s">
        <v>2114</v>
      </c>
      <c r="J1307" s="26"/>
      <c r="K1307" s="36">
        <v>6.2399999999999999E-5</v>
      </c>
      <c r="L1307" s="23">
        <v>2.0800000000000001E-5</v>
      </c>
    </row>
    <row r="1308" spans="1:12" ht="15.35" x14ac:dyDescent="0.55000000000000004">
      <c r="A1308" s="20">
        <v>9433</v>
      </c>
      <c r="B1308" s="2" t="s">
        <v>173</v>
      </c>
      <c r="C1308" s="2" t="s">
        <v>174</v>
      </c>
      <c r="D1308" s="20">
        <v>0</v>
      </c>
      <c r="E1308" s="2" t="s">
        <v>838</v>
      </c>
      <c r="F1308" s="2" t="s">
        <v>793</v>
      </c>
      <c r="G1308" s="2" t="s">
        <v>2115</v>
      </c>
      <c r="J1308" s="26"/>
      <c r="K1308" s="36">
        <v>4.3686000000000002E-4</v>
      </c>
      <c r="L1308" s="23">
        <v>1.4562000000000001E-4</v>
      </c>
    </row>
    <row r="1309" spans="1:12" ht="15.35" x14ac:dyDescent="0.55000000000000004">
      <c r="A1309" s="20">
        <v>9434</v>
      </c>
      <c r="B1309" s="2" t="s">
        <v>173</v>
      </c>
      <c r="C1309" s="2" t="s">
        <v>174</v>
      </c>
      <c r="D1309" s="20">
        <v>0</v>
      </c>
      <c r="E1309" s="2" t="s">
        <v>838</v>
      </c>
      <c r="F1309" s="2" t="s">
        <v>793</v>
      </c>
      <c r="G1309" s="2" t="s">
        <v>2116</v>
      </c>
      <c r="J1309" s="26"/>
      <c r="K1309" s="36">
        <v>4.3686000000000002E-4</v>
      </c>
      <c r="L1309" s="23">
        <v>1.4562000000000001E-4</v>
      </c>
    </row>
    <row r="1310" spans="1:12" ht="15.35" hidden="1" x14ac:dyDescent="0.55000000000000004">
      <c r="A1310" s="20">
        <v>9388</v>
      </c>
      <c r="B1310" s="2" t="s">
        <v>173</v>
      </c>
      <c r="C1310" s="2" t="s">
        <v>174</v>
      </c>
      <c r="D1310" s="20">
        <v>0</v>
      </c>
      <c r="E1310" s="2" t="s">
        <v>838</v>
      </c>
      <c r="F1310" s="2" t="s">
        <v>817</v>
      </c>
      <c r="G1310" s="2" t="s">
        <v>2117</v>
      </c>
      <c r="H1310" s="2" t="s">
        <v>1254</v>
      </c>
      <c r="J1310" s="26"/>
      <c r="K1310" s="36">
        <v>1.8722599999999999E-3</v>
      </c>
      <c r="L1310" s="23">
        <v>6.2409E-4</v>
      </c>
    </row>
    <row r="1311" spans="1:12" ht="15.35" hidden="1" x14ac:dyDescent="0.55000000000000004">
      <c r="A1311" s="20">
        <v>9394</v>
      </c>
      <c r="B1311" s="2" t="s">
        <v>173</v>
      </c>
      <c r="C1311" s="2" t="s">
        <v>174</v>
      </c>
      <c r="D1311" s="20">
        <v>0</v>
      </c>
      <c r="E1311" s="2" t="s">
        <v>838</v>
      </c>
      <c r="F1311" s="2" t="s">
        <v>817</v>
      </c>
      <c r="G1311" s="2" t="s">
        <v>2118</v>
      </c>
      <c r="H1311" s="2" t="s">
        <v>1254</v>
      </c>
      <c r="J1311" s="26"/>
      <c r="K1311" s="36">
        <v>1.9658700000000002E-3</v>
      </c>
      <c r="L1311" s="23">
        <v>6.5529E-4</v>
      </c>
    </row>
    <row r="1312" spans="1:12" ht="15.35" hidden="1" x14ac:dyDescent="0.55000000000000004">
      <c r="A1312" s="20">
        <v>9389</v>
      </c>
      <c r="B1312" s="2" t="s">
        <v>173</v>
      </c>
      <c r="C1312" s="2" t="s">
        <v>174</v>
      </c>
      <c r="D1312" s="20">
        <v>0</v>
      </c>
      <c r="E1312" s="2" t="s">
        <v>838</v>
      </c>
      <c r="F1312" s="2" t="s">
        <v>817</v>
      </c>
      <c r="G1312" s="2" t="s">
        <v>1385</v>
      </c>
      <c r="H1312" s="2" t="s">
        <v>1254</v>
      </c>
      <c r="J1312" s="26"/>
      <c r="K1312" s="36">
        <v>1.9658700000000002E-3</v>
      </c>
      <c r="L1312" s="23">
        <v>6.5529E-4</v>
      </c>
    </row>
    <row r="1313" spans="1:12" ht="15.35" hidden="1" x14ac:dyDescent="0.55000000000000004">
      <c r="A1313" s="20">
        <v>9392</v>
      </c>
      <c r="B1313" s="2" t="s">
        <v>173</v>
      </c>
      <c r="C1313" s="2" t="s">
        <v>174</v>
      </c>
      <c r="D1313" s="20">
        <v>0</v>
      </c>
      <c r="E1313" s="2" t="s">
        <v>838</v>
      </c>
      <c r="F1313" s="2" t="s">
        <v>817</v>
      </c>
      <c r="G1313" s="2" t="s">
        <v>1391</v>
      </c>
      <c r="H1313" s="2" t="s">
        <v>1254</v>
      </c>
      <c r="J1313" s="26"/>
      <c r="K1313" s="36">
        <v>3.5260000000000001E-4</v>
      </c>
      <c r="L1313" s="23">
        <v>1.1752999999999999E-4</v>
      </c>
    </row>
    <row r="1314" spans="1:12" ht="15.35" hidden="1" x14ac:dyDescent="0.55000000000000004">
      <c r="A1314" s="20">
        <v>9395</v>
      </c>
      <c r="B1314" s="2" t="s">
        <v>173</v>
      </c>
      <c r="C1314" s="2" t="s">
        <v>174</v>
      </c>
      <c r="D1314" s="20">
        <v>0</v>
      </c>
      <c r="E1314" s="2" t="s">
        <v>838</v>
      </c>
      <c r="F1314" s="2" t="s">
        <v>817</v>
      </c>
      <c r="G1314" s="2" t="s">
        <v>2119</v>
      </c>
      <c r="H1314" s="2" t="s">
        <v>1254</v>
      </c>
      <c r="J1314" s="26"/>
      <c r="K1314" s="36">
        <v>1.9658700000000002E-3</v>
      </c>
      <c r="L1314" s="23">
        <v>6.5529E-4</v>
      </c>
    </row>
    <row r="1315" spans="1:12" ht="15.35" hidden="1" x14ac:dyDescent="0.55000000000000004">
      <c r="A1315" s="20">
        <v>9387</v>
      </c>
      <c r="B1315" s="2" t="s">
        <v>173</v>
      </c>
      <c r="C1315" s="2" t="s">
        <v>174</v>
      </c>
      <c r="D1315" s="20">
        <v>0</v>
      </c>
      <c r="E1315" s="2" t="s">
        <v>838</v>
      </c>
      <c r="F1315" s="2" t="s">
        <v>817</v>
      </c>
      <c r="G1315" s="2" t="s">
        <v>1393</v>
      </c>
      <c r="H1315" s="2" t="s">
        <v>1254</v>
      </c>
      <c r="J1315" s="26"/>
      <c r="K1315" s="36">
        <v>1.9658700000000002E-3</v>
      </c>
      <c r="L1315" s="23">
        <v>6.5529E-4</v>
      </c>
    </row>
    <row r="1316" spans="1:12" ht="15.35" hidden="1" x14ac:dyDescent="0.55000000000000004">
      <c r="A1316" s="20">
        <v>9393</v>
      </c>
      <c r="B1316" s="2" t="s">
        <v>173</v>
      </c>
      <c r="C1316" s="2" t="s">
        <v>174</v>
      </c>
      <c r="D1316" s="20">
        <v>0</v>
      </c>
      <c r="E1316" s="2" t="s">
        <v>838</v>
      </c>
      <c r="F1316" s="2" t="s">
        <v>817</v>
      </c>
      <c r="G1316" s="2" t="s">
        <v>2120</v>
      </c>
      <c r="H1316" s="2" t="s">
        <v>1254</v>
      </c>
      <c r="J1316" s="26"/>
      <c r="K1316" s="36">
        <v>3.7445000000000002E-4</v>
      </c>
      <c r="L1316" s="23">
        <v>1.2481999999999999E-4</v>
      </c>
    </row>
    <row r="1317" spans="1:12" ht="15.35" hidden="1" x14ac:dyDescent="0.55000000000000004">
      <c r="A1317" s="20">
        <v>9390</v>
      </c>
      <c r="B1317" s="2" t="s">
        <v>173</v>
      </c>
      <c r="C1317" s="2" t="s">
        <v>174</v>
      </c>
      <c r="D1317" s="20">
        <v>0</v>
      </c>
      <c r="E1317" s="2" t="s">
        <v>838</v>
      </c>
      <c r="F1317" s="2" t="s">
        <v>817</v>
      </c>
      <c r="G1317" s="2" t="s">
        <v>1397</v>
      </c>
      <c r="H1317" s="2" t="s">
        <v>1254</v>
      </c>
      <c r="J1317" s="26"/>
      <c r="K1317" s="36">
        <v>1.9658700000000002E-3</v>
      </c>
      <c r="L1317" s="23">
        <v>6.5529E-4</v>
      </c>
    </row>
    <row r="1318" spans="1:12" ht="15.35" hidden="1" x14ac:dyDescent="0.55000000000000004">
      <c r="A1318" s="20">
        <v>9391</v>
      </c>
      <c r="B1318" s="2" t="s">
        <v>173</v>
      </c>
      <c r="C1318" s="2" t="s">
        <v>174</v>
      </c>
      <c r="D1318" s="20">
        <v>0</v>
      </c>
      <c r="E1318" s="2" t="s">
        <v>838</v>
      </c>
      <c r="F1318" s="2" t="s">
        <v>817</v>
      </c>
      <c r="G1318" s="2" t="s">
        <v>1398</v>
      </c>
      <c r="H1318" s="2" t="s">
        <v>1254</v>
      </c>
      <c r="J1318" s="26"/>
      <c r="K1318" s="36">
        <v>1.9658700000000002E-3</v>
      </c>
      <c r="L1318" s="23">
        <v>6.5529E-4</v>
      </c>
    </row>
    <row r="1319" spans="1:12" ht="15.35" hidden="1" x14ac:dyDescent="0.55000000000000004">
      <c r="A1319" s="20">
        <v>9304</v>
      </c>
      <c r="B1319" s="2" t="s">
        <v>173</v>
      </c>
      <c r="C1319" s="2" t="s">
        <v>174</v>
      </c>
      <c r="D1319" s="20">
        <v>0</v>
      </c>
      <c r="E1319" s="2" t="s">
        <v>838</v>
      </c>
      <c r="F1319" s="2" t="s">
        <v>789</v>
      </c>
      <c r="G1319" s="2" t="s">
        <v>1402</v>
      </c>
      <c r="H1319" s="2" t="s">
        <v>1403</v>
      </c>
      <c r="J1319" s="26"/>
      <c r="K1319" s="36">
        <v>1.9658700000000002E-3</v>
      </c>
      <c r="L1319" s="23">
        <v>6.5529E-4</v>
      </c>
    </row>
    <row r="1320" spans="1:12" ht="15.35" hidden="1" x14ac:dyDescent="0.55000000000000004">
      <c r="A1320" s="20">
        <v>9301</v>
      </c>
      <c r="B1320" s="2" t="s">
        <v>173</v>
      </c>
      <c r="C1320" s="2" t="s">
        <v>174</v>
      </c>
      <c r="D1320" s="20">
        <v>0</v>
      </c>
      <c r="E1320" s="2" t="s">
        <v>838</v>
      </c>
      <c r="F1320" s="2" t="s">
        <v>789</v>
      </c>
      <c r="G1320" s="2" t="s">
        <v>1404</v>
      </c>
      <c r="H1320" s="2" t="s">
        <v>1405</v>
      </c>
      <c r="J1320" s="26"/>
      <c r="K1320" s="36">
        <v>1.9658700000000002E-3</v>
      </c>
      <c r="L1320" s="23">
        <v>6.5529E-4</v>
      </c>
    </row>
    <row r="1321" spans="1:12" ht="15.35" hidden="1" x14ac:dyDescent="0.55000000000000004">
      <c r="A1321" s="20">
        <v>9302</v>
      </c>
      <c r="B1321" s="2" t="s">
        <v>173</v>
      </c>
      <c r="C1321" s="2" t="s">
        <v>174</v>
      </c>
      <c r="D1321" s="20">
        <v>0</v>
      </c>
      <c r="E1321" s="2" t="s">
        <v>838</v>
      </c>
      <c r="F1321" s="2" t="s">
        <v>793</v>
      </c>
      <c r="G1321" s="2" t="s">
        <v>2121</v>
      </c>
      <c r="H1321" s="2" t="s">
        <v>873</v>
      </c>
      <c r="J1321" s="26"/>
      <c r="K1321" s="36">
        <v>1.9658700000000002E-3</v>
      </c>
      <c r="L1321" s="23">
        <v>6.5529E-4</v>
      </c>
    </row>
    <row r="1322" spans="1:12" ht="15.35" hidden="1" x14ac:dyDescent="0.55000000000000004">
      <c r="A1322" s="20">
        <v>9303</v>
      </c>
      <c r="B1322" s="2" t="s">
        <v>173</v>
      </c>
      <c r="C1322" s="2" t="s">
        <v>174</v>
      </c>
      <c r="D1322" s="20">
        <v>0</v>
      </c>
      <c r="E1322" s="2" t="s">
        <v>838</v>
      </c>
      <c r="F1322" s="2" t="s">
        <v>793</v>
      </c>
      <c r="G1322" s="2" t="s">
        <v>2122</v>
      </c>
      <c r="H1322" s="2" t="s">
        <v>873</v>
      </c>
      <c r="J1322" s="26"/>
      <c r="K1322" s="36">
        <v>1.9658700000000002E-3</v>
      </c>
      <c r="L1322" s="23">
        <v>6.5529E-4</v>
      </c>
    </row>
    <row r="1323" spans="1:12" ht="15.35" hidden="1" x14ac:dyDescent="0.55000000000000004">
      <c r="A1323" s="20">
        <v>9305</v>
      </c>
      <c r="B1323" s="2" t="s">
        <v>173</v>
      </c>
      <c r="C1323" s="2" t="s">
        <v>174</v>
      </c>
      <c r="D1323" s="20">
        <v>0</v>
      </c>
      <c r="E1323" s="2" t="s">
        <v>838</v>
      </c>
      <c r="F1323" s="2" t="s">
        <v>793</v>
      </c>
      <c r="G1323" s="2" t="s">
        <v>2123</v>
      </c>
      <c r="H1323" s="2" t="s">
        <v>873</v>
      </c>
      <c r="J1323" s="26"/>
      <c r="K1323" s="36">
        <v>1.40419E-3</v>
      </c>
      <c r="L1323" s="23">
        <v>4.6806000000000001E-4</v>
      </c>
    </row>
    <row r="1324" spans="1:12" ht="15.35" hidden="1" x14ac:dyDescent="0.55000000000000004">
      <c r="A1324" s="20">
        <v>9022</v>
      </c>
      <c r="B1324" s="2" t="s">
        <v>173</v>
      </c>
      <c r="C1324" s="2" t="s">
        <v>174</v>
      </c>
      <c r="D1324" s="20">
        <v>0</v>
      </c>
      <c r="E1324" s="2" t="s">
        <v>838</v>
      </c>
      <c r="F1324" s="2" t="s">
        <v>848</v>
      </c>
      <c r="G1324" s="2" t="s">
        <v>1407</v>
      </c>
      <c r="H1324" s="2" t="s">
        <v>1407</v>
      </c>
      <c r="J1324" s="26"/>
      <c r="K1324" s="36">
        <v>1.9658700000000002E-3</v>
      </c>
      <c r="L1324" s="23">
        <v>6.5529E-4</v>
      </c>
    </row>
    <row r="1325" spans="1:12" ht="15.35" hidden="1" x14ac:dyDescent="0.55000000000000004">
      <c r="A1325" s="20">
        <v>9118</v>
      </c>
      <c r="B1325" s="2" t="s">
        <v>173</v>
      </c>
      <c r="C1325" s="2" t="s">
        <v>174</v>
      </c>
      <c r="D1325" s="20">
        <v>0</v>
      </c>
      <c r="E1325" s="2" t="s">
        <v>838</v>
      </c>
      <c r="F1325" s="2" t="s">
        <v>789</v>
      </c>
      <c r="G1325" s="2" t="s">
        <v>1408</v>
      </c>
      <c r="H1325" s="2" t="s">
        <v>1409</v>
      </c>
      <c r="J1325" s="26"/>
      <c r="K1325" s="36">
        <v>1.9658700000000002E-3</v>
      </c>
      <c r="L1325" s="23">
        <v>6.5529E-4</v>
      </c>
    </row>
    <row r="1326" spans="1:12" ht="15.35" hidden="1" x14ac:dyDescent="0.55000000000000004">
      <c r="A1326" s="20">
        <v>9934</v>
      </c>
      <c r="B1326" s="2" t="s">
        <v>173</v>
      </c>
      <c r="C1326" s="2" t="s">
        <v>174</v>
      </c>
      <c r="D1326" s="20">
        <v>0</v>
      </c>
      <c r="E1326" s="2" t="s">
        <v>838</v>
      </c>
      <c r="F1326" s="2" t="s">
        <v>833</v>
      </c>
      <c r="G1326" s="2" t="s">
        <v>2124</v>
      </c>
      <c r="H1326" s="2" t="s">
        <v>2125</v>
      </c>
      <c r="J1326" s="26"/>
      <c r="K1326" s="36">
        <v>1.9658700000000002E-3</v>
      </c>
      <c r="L1326" s="23">
        <v>6.5529E-4</v>
      </c>
    </row>
    <row r="1327" spans="1:12" ht="15.35" hidden="1" x14ac:dyDescent="0.55000000000000004">
      <c r="A1327" s="20">
        <v>9922</v>
      </c>
      <c r="B1327" s="2" t="s">
        <v>173</v>
      </c>
      <c r="C1327" s="2" t="s">
        <v>174</v>
      </c>
      <c r="D1327" s="20">
        <v>0</v>
      </c>
      <c r="E1327" s="2" t="s">
        <v>838</v>
      </c>
      <c r="F1327" s="2" t="s">
        <v>833</v>
      </c>
      <c r="G1327" s="2" t="s">
        <v>2126</v>
      </c>
      <c r="H1327" s="2" t="s">
        <v>2125</v>
      </c>
      <c r="J1327" s="26"/>
      <c r="K1327" s="36">
        <v>1.9658700000000002E-3</v>
      </c>
      <c r="L1327" s="23">
        <v>6.5529E-4</v>
      </c>
    </row>
    <row r="1328" spans="1:12" ht="15.35" hidden="1" x14ac:dyDescent="0.55000000000000004">
      <c r="A1328" s="20">
        <v>9935</v>
      </c>
      <c r="B1328" s="2" t="s">
        <v>173</v>
      </c>
      <c r="C1328" s="2" t="s">
        <v>174</v>
      </c>
      <c r="D1328" s="20">
        <v>0</v>
      </c>
      <c r="E1328" s="2" t="s">
        <v>838</v>
      </c>
      <c r="F1328" s="2" t="s">
        <v>833</v>
      </c>
      <c r="G1328" s="2" t="s">
        <v>2127</v>
      </c>
      <c r="H1328" s="2" t="s">
        <v>2125</v>
      </c>
      <c r="J1328" s="26"/>
      <c r="K1328" s="36">
        <v>1.9658700000000002E-3</v>
      </c>
      <c r="L1328" s="23">
        <v>6.5529E-4</v>
      </c>
    </row>
    <row r="1329" spans="1:12" ht="15.35" hidden="1" x14ac:dyDescent="0.55000000000000004">
      <c r="A1329" s="20">
        <v>9936</v>
      </c>
      <c r="B1329" s="2" t="s">
        <v>173</v>
      </c>
      <c r="C1329" s="2" t="s">
        <v>174</v>
      </c>
      <c r="D1329" s="20">
        <v>0</v>
      </c>
      <c r="E1329" s="2" t="s">
        <v>838</v>
      </c>
      <c r="F1329" s="2" t="s">
        <v>833</v>
      </c>
      <c r="G1329" s="2" t="s">
        <v>2128</v>
      </c>
      <c r="H1329" s="2" t="s">
        <v>2125</v>
      </c>
      <c r="J1329" s="26"/>
      <c r="K1329" s="36">
        <v>1.9658700000000002E-3</v>
      </c>
      <c r="L1329" s="23">
        <v>6.5529E-4</v>
      </c>
    </row>
    <row r="1330" spans="1:12" ht="15.35" hidden="1" x14ac:dyDescent="0.55000000000000004">
      <c r="A1330" s="20">
        <v>9923</v>
      </c>
      <c r="B1330" s="2" t="s">
        <v>173</v>
      </c>
      <c r="C1330" s="2" t="s">
        <v>174</v>
      </c>
      <c r="D1330" s="20">
        <v>0</v>
      </c>
      <c r="E1330" s="2" t="s">
        <v>838</v>
      </c>
      <c r="F1330" s="2" t="s">
        <v>833</v>
      </c>
      <c r="G1330" s="2" t="s">
        <v>2129</v>
      </c>
      <c r="H1330" s="2" t="s">
        <v>2125</v>
      </c>
      <c r="J1330" s="26"/>
      <c r="K1330" s="36">
        <v>1.9658700000000002E-3</v>
      </c>
      <c r="L1330" s="23">
        <v>6.5529E-4</v>
      </c>
    </row>
    <row r="1331" spans="1:12" ht="15.35" hidden="1" x14ac:dyDescent="0.55000000000000004">
      <c r="A1331" s="20">
        <v>9924</v>
      </c>
      <c r="B1331" s="2" t="s">
        <v>173</v>
      </c>
      <c r="C1331" s="2" t="s">
        <v>174</v>
      </c>
      <c r="D1331" s="20">
        <v>0</v>
      </c>
      <c r="E1331" s="2" t="s">
        <v>838</v>
      </c>
      <c r="F1331" s="2" t="s">
        <v>833</v>
      </c>
      <c r="G1331" s="2" t="s">
        <v>2130</v>
      </c>
      <c r="H1331" s="2" t="s">
        <v>2125</v>
      </c>
      <c r="J1331" s="26"/>
      <c r="K1331" s="36">
        <v>1.9658700000000002E-3</v>
      </c>
      <c r="L1331" s="23">
        <v>6.5529E-4</v>
      </c>
    </row>
    <row r="1332" spans="1:12" ht="15.35" hidden="1" x14ac:dyDescent="0.55000000000000004">
      <c r="A1332" s="20">
        <v>9925</v>
      </c>
      <c r="B1332" s="2" t="s">
        <v>173</v>
      </c>
      <c r="C1332" s="2" t="s">
        <v>174</v>
      </c>
      <c r="D1332" s="20">
        <v>0</v>
      </c>
      <c r="E1332" s="2" t="s">
        <v>838</v>
      </c>
      <c r="F1332" s="2" t="s">
        <v>833</v>
      </c>
      <c r="G1332" s="2" t="s">
        <v>2131</v>
      </c>
      <c r="H1332" s="2" t="s">
        <v>2125</v>
      </c>
      <c r="J1332" s="26"/>
      <c r="K1332" s="36">
        <v>1.9658700000000002E-3</v>
      </c>
      <c r="L1332" s="23">
        <v>6.5529E-4</v>
      </c>
    </row>
    <row r="1333" spans="1:12" ht="15.35" hidden="1" x14ac:dyDescent="0.55000000000000004">
      <c r="A1333" s="20">
        <v>9926</v>
      </c>
      <c r="B1333" s="2" t="s">
        <v>173</v>
      </c>
      <c r="C1333" s="2" t="s">
        <v>174</v>
      </c>
      <c r="D1333" s="20">
        <v>0</v>
      </c>
      <c r="E1333" s="2" t="s">
        <v>838</v>
      </c>
      <c r="F1333" s="2" t="s">
        <v>833</v>
      </c>
      <c r="G1333" s="2" t="s">
        <v>2132</v>
      </c>
      <c r="H1333" s="2" t="s">
        <v>2125</v>
      </c>
      <c r="J1333" s="26"/>
      <c r="K1333" s="36">
        <v>1.9658700000000002E-3</v>
      </c>
      <c r="L1333" s="23">
        <v>6.5529E-4</v>
      </c>
    </row>
    <row r="1334" spans="1:12" ht="15.35" hidden="1" x14ac:dyDescent="0.55000000000000004">
      <c r="A1334" s="20">
        <v>9927</v>
      </c>
      <c r="B1334" s="2" t="s">
        <v>173</v>
      </c>
      <c r="C1334" s="2" t="s">
        <v>174</v>
      </c>
      <c r="D1334" s="20">
        <v>0</v>
      </c>
      <c r="E1334" s="2" t="s">
        <v>838</v>
      </c>
      <c r="F1334" s="2" t="s">
        <v>833</v>
      </c>
      <c r="G1334" s="2" t="s">
        <v>2133</v>
      </c>
      <c r="H1334" s="2" t="s">
        <v>2125</v>
      </c>
      <c r="J1334" s="26"/>
      <c r="K1334" s="36">
        <v>1.9658700000000002E-3</v>
      </c>
      <c r="L1334" s="23">
        <v>6.5529E-4</v>
      </c>
    </row>
    <row r="1335" spans="1:12" ht="15.35" hidden="1" x14ac:dyDescent="0.55000000000000004">
      <c r="A1335" s="20">
        <v>9928</v>
      </c>
      <c r="B1335" s="2" t="s">
        <v>173</v>
      </c>
      <c r="C1335" s="2" t="s">
        <v>174</v>
      </c>
      <c r="D1335" s="20">
        <v>0</v>
      </c>
      <c r="E1335" s="2" t="s">
        <v>838</v>
      </c>
      <c r="F1335" s="2" t="s">
        <v>833</v>
      </c>
      <c r="G1335" s="2" t="s">
        <v>2134</v>
      </c>
      <c r="H1335" s="2" t="s">
        <v>2125</v>
      </c>
      <c r="J1335" s="26"/>
      <c r="K1335" s="36">
        <v>1.9658700000000002E-3</v>
      </c>
      <c r="L1335" s="23">
        <v>6.5529E-4</v>
      </c>
    </row>
    <row r="1336" spans="1:12" ht="15.35" hidden="1" x14ac:dyDescent="0.55000000000000004">
      <c r="A1336" s="20">
        <v>9929</v>
      </c>
      <c r="B1336" s="2" t="s">
        <v>173</v>
      </c>
      <c r="C1336" s="2" t="s">
        <v>174</v>
      </c>
      <c r="D1336" s="20">
        <v>0</v>
      </c>
      <c r="E1336" s="2" t="s">
        <v>838</v>
      </c>
      <c r="F1336" s="2" t="s">
        <v>833</v>
      </c>
      <c r="G1336" s="2" t="s">
        <v>2135</v>
      </c>
      <c r="H1336" s="2" t="s">
        <v>2125</v>
      </c>
      <c r="J1336" s="26"/>
      <c r="K1336" s="36">
        <v>9.6732999999999997E-4</v>
      </c>
      <c r="L1336" s="23">
        <v>3.2244000000000001E-4</v>
      </c>
    </row>
    <row r="1337" spans="1:12" ht="15.35" hidden="1" x14ac:dyDescent="0.55000000000000004">
      <c r="A1337" s="20">
        <v>9930</v>
      </c>
      <c r="B1337" s="2" t="s">
        <v>173</v>
      </c>
      <c r="C1337" s="2" t="s">
        <v>174</v>
      </c>
      <c r="D1337" s="20">
        <v>0</v>
      </c>
      <c r="E1337" s="2" t="s">
        <v>838</v>
      </c>
      <c r="F1337" s="2" t="s">
        <v>833</v>
      </c>
      <c r="G1337" s="2" t="s">
        <v>2136</v>
      </c>
      <c r="H1337" s="2" t="s">
        <v>2125</v>
      </c>
      <c r="J1337" s="26"/>
      <c r="K1337" s="36">
        <v>1.9658700000000002E-3</v>
      </c>
      <c r="L1337" s="23">
        <v>6.5529E-4</v>
      </c>
    </row>
    <row r="1338" spans="1:12" ht="15.35" hidden="1" x14ac:dyDescent="0.55000000000000004">
      <c r="A1338" s="20">
        <v>9931</v>
      </c>
      <c r="B1338" s="2" t="s">
        <v>173</v>
      </c>
      <c r="C1338" s="2" t="s">
        <v>174</v>
      </c>
      <c r="D1338" s="20">
        <v>0</v>
      </c>
      <c r="E1338" s="2" t="s">
        <v>838</v>
      </c>
      <c r="F1338" s="2" t="s">
        <v>833</v>
      </c>
      <c r="G1338" s="2" t="s">
        <v>2137</v>
      </c>
      <c r="H1338" s="2" t="s">
        <v>2125</v>
      </c>
      <c r="J1338" s="26"/>
      <c r="K1338" s="36">
        <v>1.9658700000000002E-3</v>
      </c>
      <c r="L1338" s="23">
        <v>6.5529E-4</v>
      </c>
    </row>
    <row r="1339" spans="1:12" ht="15.35" hidden="1" x14ac:dyDescent="0.55000000000000004">
      <c r="A1339" s="20">
        <v>9932</v>
      </c>
      <c r="B1339" s="2" t="s">
        <v>173</v>
      </c>
      <c r="C1339" s="2" t="s">
        <v>174</v>
      </c>
      <c r="D1339" s="20">
        <v>0</v>
      </c>
      <c r="E1339" s="2" t="s">
        <v>838</v>
      </c>
      <c r="F1339" s="2" t="s">
        <v>833</v>
      </c>
      <c r="G1339" s="2" t="s">
        <v>2138</v>
      </c>
      <c r="H1339" s="2" t="s">
        <v>2125</v>
      </c>
      <c r="J1339" s="26"/>
      <c r="K1339" s="36">
        <v>1.9658700000000002E-3</v>
      </c>
      <c r="L1339" s="23">
        <v>6.5529E-4</v>
      </c>
    </row>
    <row r="1340" spans="1:12" ht="15.35" hidden="1" x14ac:dyDescent="0.55000000000000004">
      <c r="A1340" s="20">
        <v>9937</v>
      </c>
      <c r="B1340" s="2" t="s">
        <v>173</v>
      </c>
      <c r="C1340" s="2" t="s">
        <v>174</v>
      </c>
      <c r="D1340" s="20">
        <v>0</v>
      </c>
      <c r="E1340" s="2" t="s">
        <v>838</v>
      </c>
      <c r="F1340" s="2" t="s">
        <v>833</v>
      </c>
      <c r="G1340" s="2" t="s">
        <v>2139</v>
      </c>
      <c r="H1340" s="2" t="s">
        <v>2125</v>
      </c>
      <c r="J1340" s="26"/>
      <c r="K1340" s="36">
        <v>1.9658700000000002E-3</v>
      </c>
      <c r="L1340" s="23">
        <v>6.5529E-4</v>
      </c>
    </row>
    <row r="1341" spans="1:12" ht="15.35" hidden="1" x14ac:dyDescent="0.55000000000000004">
      <c r="A1341" s="20">
        <v>9938</v>
      </c>
      <c r="B1341" s="2" t="s">
        <v>173</v>
      </c>
      <c r="C1341" s="2" t="s">
        <v>174</v>
      </c>
      <c r="D1341" s="20">
        <v>0</v>
      </c>
      <c r="E1341" s="2" t="s">
        <v>838</v>
      </c>
      <c r="F1341" s="2" t="s">
        <v>833</v>
      </c>
      <c r="G1341" s="2" t="s">
        <v>2140</v>
      </c>
      <c r="H1341" s="2" t="s">
        <v>2125</v>
      </c>
      <c r="J1341" s="26"/>
      <c r="K1341" s="36">
        <v>1.9658700000000002E-3</v>
      </c>
      <c r="L1341" s="23">
        <v>6.5529E-4</v>
      </c>
    </row>
    <row r="1342" spans="1:12" ht="15.35" hidden="1" x14ac:dyDescent="0.55000000000000004">
      <c r="A1342" s="20">
        <v>9939</v>
      </c>
      <c r="B1342" s="2" t="s">
        <v>173</v>
      </c>
      <c r="C1342" s="2" t="s">
        <v>174</v>
      </c>
      <c r="D1342" s="20">
        <v>0</v>
      </c>
      <c r="E1342" s="2" t="s">
        <v>838</v>
      </c>
      <c r="F1342" s="2" t="s">
        <v>833</v>
      </c>
      <c r="G1342" s="2" t="s">
        <v>2141</v>
      </c>
      <c r="H1342" s="2" t="s">
        <v>2125</v>
      </c>
      <c r="J1342" s="26"/>
      <c r="K1342" s="36">
        <v>1.9658700000000002E-3</v>
      </c>
      <c r="L1342" s="23">
        <v>6.5529E-4</v>
      </c>
    </row>
    <row r="1343" spans="1:12" ht="15.35" hidden="1" x14ac:dyDescent="0.55000000000000004">
      <c r="A1343" s="20">
        <v>9940</v>
      </c>
      <c r="B1343" s="2" t="s">
        <v>173</v>
      </c>
      <c r="C1343" s="2" t="s">
        <v>174</v>
      </c>
      <c r="D1343" s="20">
        <v>0</v>
      </c>
      <c r="E1343" s="2" t="s">
        <v>838</v>
      </c>
      <c r="F1343" s="2" t="s">
        <v>833</v>
      </c>
      <c r="G1343" s="2" t="s">
        <v>2142</v>
      </c>
      <c r="H1343" s="2" t="s">
        <v>2125</v>
      </c>
      <c r="J1343" s="26"/>
      <c r="K1343" s="36">
        <v>1.9658700000000002E-3</v>
      </c>
      <c r="L1343" s="23">
        <v>6.5529E-4</v>
      </c>
    </row>
    <row r="1344" spans="1:12" ht="15.35" hidden="1" x14ac:dyDescent="0.55000000000000004">
      <c r="A1344" s="20">
        <v>9941</v>
      </c>
      <c r="B1344" s="2" t="s">
        <v>173</v>
      </c>
      <c r="C1344" s="2" t="s">
        <v>174</v>
      </c>
      <c r="D1344" s="20">
        <v>0</v>
      </c>
      <c r="E1344" s="2" t="s">
        <v>838</v>
      </c>
      <c r="F1344" s="2" t="s">
        <v>833</v>
      </c>
      <c r="G1344" s="2" t="s">
        <v>2143</v>
      </c>
      <c r="H1344" s="2" t="s">
        <v>2125</v>
      </c>
      <c r="J1344" s="26"/>
      <c r="K1344" s="36">
        <v>1.9658700000000002E-3</v>
      </c>
      <c r="L1344" s="23">
        <v>6.5529E-4</v>
      </c>
    </row>
    <row r="1345" spans="1:12" ht="15.35" hidden="1" x14ac:dyDescent="0.55000000000000004">
      <c r="A1345" s="20">
        <v>9942</v>
      </c>
      <c r="B1345" s="2" t="s">
        <v>173</v>
      </c>
      <c r="C1345" s="2" t="s">
        <v>174</v>
      </c>
      <c r="D1345" s="20">
        <v>0</v>
      </c>
      <c r="E1345" s="2" t="s">
        <v>838</v>
      </c>
      <c r="F1345" s="2" t="s">
        <v>833</v>
      </c>
      <c r="G1345" s="2" t="s">
        <v>2144</v>
      </c>
      <c r="H1345" s="2" t="s">
        <v>2125</v>
      </c>
      <c r="J1345" s="26"/>
      <c r="K1345" s="36">
        <v>1.9658700000000002E-3</v>
      </c>
      <c r="L1345" s="23">
        <v>6.5529E-4</v>
      </c>
    </row>
    <row r="1346" spans="1:12" ht="15.35" hidden="1" x14ac:dyDescent="0.55000000000000004">
      <c r="A1346" s="20">
        <v>9943</v>
      </c>
      <c r="B1346" s="2" t="s">
        <v>173</v>
      </c>
      <c r="C1346" s="2" t="s">
        <v>174</v>
      </c>
      <c r="D1346" s="20">
        <v>0</v>
      </c>
      <c r="E1346" s="2" t="s">
        <v>838</v>
      </c>
      <c r="F1346" s="2" t="s">
        <v>833</v>
      </c>
      <c r="G1346" s="2" t="s">
        <v>2145</v>
      </c>
      <c r="H1346" s="2" t="s">
        <v>2125</v>
      </c>
      <c r="J1346" s="26"/>
      <c r="K1346" s="36">
        <v>1.9658700000000002E-3</v>
      </c>
      <c r="L1346" s="23">
        <v>6.5529E-4</v>
      </c>
    </row>
    <row r="1347" spans="1:12" ht="15.35" hidden="1" x14ac:dyDescent="0.55000000000000004">
      <c r="A1347" s="20">
        <v>9944</v>
      </c>
      <c r="B1347" s="2" t="s">
        <v>173</v>
      </c>
      <c r="C1347" s="2" t="s">
        <v>174</v>
      </c>
      <c r="D1347" s="20">
        <v>0</v>
      </c>
      <c r="E1347" s="2" t="s">
        <v>838</v>
      </c>
      <c r="F1347" s="2" t="s">
        <v>833</v>
      </c>
      <c r="G1347" s="2" t="s">
        <v>2146</v>
      </c>
      <c r="H1347" s="2" t="s">
        <v>2125</v>
      </c>
      <c r="J1347" s="26"/>
      <c r="K1347" s="36">
        <v>1.9658700000000002E-3</v>
      </c>
      <c r="L1347" s="23">
        <v>6.5529E-4</v>
      </c>
    </row>
    <row r="1348" spans="1:12" ht="15.35" hidden="1" x14ac:dyDescent="0.55000000000000004">
      <c r="A1348" s="20">
        <v>9947</v>
      </c>
      <c r="B1348" s="2" t="s">
        <v>173</v>
      </c>
      <c r="C1348" s="2" t="s">
        <v>174</v>
      </c>
      <c r="D1348" s="20">
        <v>0</v>
      </c>
      <c r="E1348" s="2" t="s">
        <v>838</v>
      </c>
      <c r="F1348" s="2" t="s">
        <v>833</v>
      </c>
      <c r="G1348" s="2" t="s">
        <v>2147</v>
      </c>
      <c r="H1348" s="2" t="s">
        <v>2125</v>
      </c>
      <c r="J1348" s="26"/>
      <c r="K1348" s="36">
        <v>1.9658700000000002E-3</v>
      </c>
      <c r="L1348" s="23">
        <v>6.5529E-4</v>
      </c>
    </row>
    <row r="1349" spans="1:12" ht="15.35" hidden="1" x14ac:dyDescent="0.55000000000000004">
      <c r="A1349" s="20">
        <v>9948</v>
      </c>
      <c r="B1349" s="2" t="s">
        <v>173</v>
      </c>
      <c r="C1349" s="2" t="s">
        <v>174</v>
      </c>
      <c r="D1349" s="20">
        <v>0</v>
      </c>
      <c r="E1349" s="2" t="s">
        <v>838</v>
      </c>
      <c r="F1349" s="2" t="s">
        <v>833</v>
      </c>
      <c r="G1349" s="2" t="s">
        <v>2148</v>
      </c>
      <c r="H1349" s="2" t="s">
        <v>2125</v>
      </c>
      <c r="J1349" s="26"/>
      <c r="K1349" s="36">
        <v>1.9658700000000002E-3</v>
      </c>
      <c r="L1349" s="23">
        <v>6.5529E-4</v>
      </c>
    </row>
    <row r="1350" spans="1:12" ht="15.35" hidden="1" x14ac:dyDescent="0.55000000000000004">
      <c r="A1350" s="20">
        <v>9945</v>
      </c>
      <c r="B1350" s="2" t="s">
        <v>173</v>
      </c>
      <c r="C1350" s="2" t="s">
        <v>174</v>
      </c>
      <c r="D1350" s="20">
        <v>0</v>
      </c>
      <c r="E1350" s="2" t="s">
        <v>838</v>
      </c>
      <c r="F1350" s="2" t="s">
        <v>833</v>
      </c>
      <c r="G1350" s="2" t="s">
        <v>2149</v>
      </c>
      <c r="H1350" s="2" t="s">
        <v>2125</v>
      </c>
      <c r="J1350" s="26"/>
      <c r="K1350" s="36">
        <v>8.4250999999999998E-4</v>
      </c>
      <c r="L1350" s="23">
        <v>2.8083999999999997E-4</v>
      </c>
    </row>
    <row r="1351" spans="1:12" ht="15.35" hidden="1" x14ac:dyDescent="0.55000000000000004">
      <c r="A1351" s="20">
        <v>9946</v>
      </c>
      <c r="B1351" s="2" t="s">
        <v>173</v>
      </c>
      <c r="C1351" s="2" t="s">
        <v>174</v>
      </c>
      <c r="D1351" s="20">
        <v>0</v>
      </c>
      <c r="E1351" s="2" t="s">
        <v>838</v>
      </c>
      <c r="F1351" s="2" t="s">
        <v>833</v>
      </c>
      <c r="G1351" s="2" t="s">
        <v>2150</v>
      </c>
      <c r="H1351" s="2" t="s">
        <v>2125</v>
      </c>
      <c r="J1351" s="26"/>
      <c r="K1351" s="36">
        <v>1.8722599999999999E-3</v>
      </c>
      <c r="L1351" s="23">
        <v>6.2409E-4</v>
      </c>
    </row>
    <row r="1352" spans="1:12" ht="15.35" hidden="1" x14ac:dyDescent="0.55000000000000004">
      <c r="A1352" s="20">
        <v>9949</v>
      </c>
      <c r="B1352" s="2" t="s">
        <v>173</v>
      </c>
      <c r="C1352" s="2" t="s">
        <v>174</v>
      </c>
      <c r="D1352" s="20">
        <v>0</v>
      </c>
      <c r="E1352" s="2" t="s">
        <v>838</v>
      </c>
      <c r="F1352" s="2" t="s">
        <v>833</v>
      </c>
      <c r="G1352" s="2" t="s">
        <v>2151</v>
      </c>
      <c r="H1352" s="2" t="s">
        <v>2125</v>
      </c>
      <c r="J1352" s="26"/>
      <c r="K1352" s="36">
        <v>1.0921500000000001E-3</v>
      </c>
      <c r="L1352" s="23">
        <v>3.6404999999999999E-4</v>
      </c>
    </row>
    <row r="1353" spans="1:12" ht="15.35" hidden="1" x14ac:dyDescent="0.55000000000000004">
      <c r="A1353" s="20">
        <v>9950</v>
      </c>
      <c r="B1353" s="2" t="s">
        <v>173</v>
      </c>
      <c r="C1353" s="2" t="s">
        <v>174</v>
      </c>
      <c r="D1353" s="20">
        <v>0</v>
      </c>
      <c r="E1353" s="2" t="s">
        <v>838</v>
      </c>
      <c r="F1353" s="2" t="s">
        <v>833</v>
      </c>
      <c r="G1353" s="2" t="s">
        <v>2152</v>
      </c>
      <c r="H1353" s="2" t="s">
        <v>2125</v>
      </c>
      <c r="J1353" s="26"/>
      <c r="K1353" s="36">
        <v>5.6167000000000001E-4</v>
      </c>
      <c r="L1353" s="23">
        <v>1.8722000000000001E-4</v>
      </c>
    </row>
    <row r="1354" spans="1:12" ht="15.35" hidden="1" x14ac:dyDescent="0.55000000000000004">
      <c r="A1354" s="20">
        <v>9951</v>
      </c>
      <c r="B1354" s="2" t="s">
        <v>173</v>
      </c>
      <c r="C1354" s="2" t="s">
        <v>174</v>
      </c>
      <c r="D1354" s="20">
        <v>0</v>
      </c>
      <c r="E1354" s="2" t="s">
        <v>838</v>
      </c>
      <c r="F1354" s="2" t="s">
        <v>833</v>
      </c>
      <c r="G1354" s="2" t="s">
        <v>2153</v>
      </c>
      <c r="H1354" s="2" t="s">
        <v>2125</v>
      </c>
      <c r="J1354" s="26"/>
      <c r="K1354" s="36">
        <v>1.9658700000000002E-3</v>
      </c>
      <c r="L1354" s="23">
        <v>6.5529E-4</v>
      </c>
    </row>
    <row r="1355" spans="1:12" ht="15.35" hidden="1" x14ac:dyDescent="0.55000000000000004">
      <c r="A1355" s="20">
        <v>9933</v>
      </c>
      <c r="B1355" s="2" t="s">
        <v>173</v>
      </c>
      <c r="C1355" s="2" t="s">
        <v>174</v>
      </c>
      <c r="D1355" s="20">
        <v>0</v>
      </c>
      <c r="E1355" s="2" t="s">
        <v>838</v>
      </c>
      <c r="F1355" s="2" t="s">
        <v>833</v>
      </c>
      <c r="G1355" s="2" t="s">
        <v>2154</v>
      </c>
      <c r="H1355" s="2" t="s">
        <v>2125</v>
      </c>
      <c r="J1355" s="26"/>
      <c r="K1355" s="36">
        <v>1.9658700000000002E-3</v>
      </c>
      <c r="L1355" s="23">
        <v>6.5529E-4</v>
      </c>
    </row>
    <row r="1356" spans="1:12" ht="15.35" hidden="1" x14ac:dyDescent="0.55000000000000004">
      <c r="A1356" s="20">
        <v>9915</v>
      </c>
      <c r="B1356" s="2" t="s">
        <v>173</v>
      </c>
      <c r="C1356" s="2" t="s">
        <v>174</v>
      </c>
      <c r="D1356" s="20">
        <v>0</v>
      </c>
      <c r="E1356" s="2" t="s">
        <v>838</v>
      </c>
      <c r="F1356" s="2" t="s">
        <v>833</v>
      </c>
      <c r="G1356" s="2" t="s">
        <v>2155</v>
      </c>
      <c r="H1356" s="2" t="s">
        <v>2125</v>
      </c>
      <c r="J1356" s="26"/>
      <c r="K1356" s="36">
        <v>6.2407999999999995E-4</v>
      </c>
      <c r="L1356" s="23">
        <v>2.0803E-4</v>
      </c>
    </row>
    <row r="1357" spans="1:12" ht="15.35" hidden="1" x14ac:dyDescent="0.55000000000000004">
      <c r="A1357" s="20">
        <v>9916</v>
      </c>
      <c r="B1357" s="2" t="s">
        <v>173</v>
      </c>
      <c r="C1357" s="2" t="s">
        <v>174</v>
      </c>
      <c r="D1357" s="20">
        <v>0</v>
      </c>
      <c r="E1357" s="2" t="s">
        <v>838</v>
      </c>
      <c r="F1357" s="2" t="s">
        <v>833</v>
      </c>
      <c r="G1357" s="2" t="s">
        <v>2156</v>
      </c>
      <c r="H1357" s="2" t="s">
        <v>2125</v>
      </c>
      <c r="J1357" s="26"/>
      <c r="K1357" s="36">
        <v>1.9658700000000002E-3</v>
      </c>
      <c r="L1357" s="23">
        <v>6.5529E-4</v>
      </c>
    </row>
    <row r="1358" spans="1:12" ht="15.35" hidden="1" x14ac:dyDescent="0.55000000000000004">
      <c r="A1358" s="20">
        <v>9917</v>
      </c>
      <c r="B1358" s="2" t="s">
        <v>173</v>
      </c>
      <c r="C1358" s="2" t="s">
        <v>174</v>
      </c>
      <c r="D1358" s="20">
        <v>0</v>
      </c>
      <c r="E1358" s="2" t="s">
        <v>838</v>
      </c>
      <c r="F1358" s="2" t="s">
        <v>833</v>
      </c>
      <c r="G1358" s="2" t="s">
        <v>2157</v>
      </c>
      <c r="H1358" s="2" t="s">
        <v>2125</v>
      </c>
      <c r="J1358" s="26"/>
      <c r="K1358" s="36">
        <v>1.9658700000000002E-3</v>
      </c>
      <c r="L1358" s="23">
        <v>6.5529E-4</v>
      </c>
    </row>
    <row r="1359" spans="1:12" ht="15.35" hidden="1" x14ac:dyDescent="0.55000000000000004">
      <c r="A1359" s="20">
        <v>9918</v>
      </c>
      <c r="B1359" s="2" t="s">
        <v>173</v>
      </c>
      <c r="C1359" s="2" t="s">
        <v>174</v>
      </c>
      <c r="D1359" s="20">
        <v>0</v>
      </c>
      <c r="E1359" s="2" t="s">
        <v>838</v>
      </c>
      <c r="F1359" s="2" t="s">
        <v>833</v>
      </c>
      <c r="G1359" s="2" t="s">
        <v>2158</v>
      </c>
      <c r="H1359" s="2" t="s">
        <v>2125</v>
      </c>
      <c r="J1359" s="26"/>
      <c r="K1359" s="36">
        <v>1.9658700000000002E-3</v>
      </c>
      <c r="L1359" s="23">
        <v>6.5529E-4</v>
      </c>
    </row>
    <row r="1360" spans="1:12" ht="15.35" hidden="1" x14ac:dyDescent="0.55000000000000004">
      <c r="A1360" s="20">
        <v>9919</v>
      </c>
      <c r="B1360" s="2" t="s">
        <v>173</v>
      </c>
      <c r="C1360" s="2" t="s">
        <v>174</v>
      </c>
      <c r="D1360" s="20">
        <v>0</v>
      </c>
      <c r="E1360" s="2" t="s">
        <v>838</v>
      </c>
      <c r="F1360" s="2" t="s">
        <v>833</v>
      </c>
      <c r="G1360" s="2" t="s">
        <v>2159</v>
      </c>
      <c r="H1360" s="2" t="s">
        <v>2125</v>
      </c>
      <c r="J1360" s="26"/>
      <c r="K1360" s="36">
        <v>1.9658700000000002E-3</v>
      </c>
      <c r="L1360" s="23">
        <v>6.5529E-4</v>
      </c>
    </row>
    <row r="1361" spans="1:12" ht="15.35" hidden="1" x14ac:dyDescent="0.55000000000000004">
      <c r="A1361" s="20">
        <v>9920</v>
      </c>
      <c r="B1361" s="2" t="s">
        <v>173</v>
      </c>
      <c r="C1361" s="2" t="s">
        <v>174</v>
      </c>
      <c r="D1361" s="20">
        <v>0</v>
      </c>
      <c r="E1361" s="2" t="s">
        <v>838</v>
      </c>
      <c r="F1361" s="2" t="s">
        <v>833</v>
      </c>
      <c r="G1361" s="2" t="s">
        <v>2160</v>
      </c>
      <c r="H1361" s="2" t="s">
        <v>2125</v>
      </c>
      <c r="J1361" s="26"/>
      <c r="K1361" s="36">
        <v>1.9658700000000002E-3</v>
      </c>
      <c r="L1361" s="23">
        <v>6.5529E-4</v>
      </c>
    </row>
    <row r="1362" spans="1:12" ht="15.35" hidden="1" x14ac:dyDescent="0.55000000000000004">
      <c r="A1362" s="20">
        <v>9921</v>
      </c>
      <c r="B1362" s="2" t="s">
        <v>173</v>
      </c>
      <c r="C1362" s="2" t="s">
        <v>174</v>
      </c>
      <c r="D1362" s="20">
        <v>0</v>
      </c>
      <c r="E1362" s="2" t="s">
        <v>838</v>
      </c>
      <c r="F1362" s="2" t="s">
        <v>833</v>
      </c>
      <c r="G1362" s="2" t="s">
        <v>2161</v>
      </c>
      <c r="H1362" s="2" t="s">
        <v>2125</v>
      </c>
      <c r="J1362" s="26"/>
      <c r="K1362" s="36">
        <v>1.9658700000000002E-3</v>
      </c>
      <c r="L1362" s="23">
        <v>6.5529E-4</v>
      </c>
    </row>
    <row r="1363" spans="1:12" ht="15.35" x14ac:dyDescent="0.55000000000000004">
      <c r="A1363" s="20">
        <v>9674</v>
      </c>
      <c r="B1363" s="2" t="s">
        <v>173</v>
      </c>
      <c r="C1363" s="2" t="s">
        <v>174</v>
      </c>
      <c r="D1363" s="20">
        <v>0</v>
      </c>
      <c r="E1363" s="2" t="s">
        <v>838</v>
      </c>
      <c r="F1363" s="2" t="s">
        <v>793</v>
      </c>
      <c r="G1363" s="2" t="s">
        <v>2162</v>
      </c>
      <c r="J1363" s="26"/>
      <c r="K1363" s="36">
        <v>8.7996000000000005E-4</v>
      </c>
      <c r="L1363" s="23">
        <v>2.9332000000000002E-4</v>
      </c>
    </row>
    <row r="1364" spans="1:12" ht="15.35" hidden="1" x14ac:dyDescent="0.55000000000000004">
      <c r="A1364" s="20">
        <v>9635</v>
      </c>
      <c r="B1364" s="2" t="s">
        <v>173</v>
      </c>
      <c r="C1364" s="2" t="s">
        <v>174</v>
      </c>
      <c r="D1364" s="20">
        <v>0</v>
      </c>
      <c r="E1364" s="2" t="s">
        <v>838</v>
      </c>
      <c r="F1364" s="2" t="s">
        <v>811</v>
      </c>
      <c r="G1364" s="2" t="s">
        <v>1423</v>
      </c>
      <c r="H1364" s="2" t="s">
        <v>1424</v>
      </c>
      <c r="J1364" s="26"/>
      <c r="K1364" s="36">
        <v>4.6799999999999999E-5</v>
      </c>
      <c r="L1364" s="23">
        <v>1.56E-5</v>
      </c>
    </row>
    <row r="1365" spans="1:12" ht="15.35" x14ac:dyDescent="0.55000000000000004">
      <c r="A1365" s="20">
        <v>9633</v>
      </c>
      <c r="B1365" s="2" t="s">
        <v>173</v>
      </c>
      <c r="C1365" s="2" t="s">
        <v>174</v>
      </c>
      <c r="D1365" s="20">
        <v>0</v>
      </c>
      <c r="E1365" s="2" t="s">
        <v>838</v>
      </c>
      <c r="F1365" s="2" t="s">
        <v>811</v>
      </c>
      <c r="G1365" s="2" t="s">
        <v>2163</v>
      </c>
      <c r="J1365" s="26"/>
      <c r="K1365" s="36">
        <v>4.6799999999999999E-5</v>
      </c>
      <c r="L1365" s="23">
        <v>1.56E-5</v>
      </c>
    </row>
    <row r="1366" spans="1:12" ht="15.35" x14ac:dyDescent="0.55000000000000004">
      <c r="A1366" s="20">
        <v>9634</v>
      </c>
      <c r="B1366" s="2" t="s">
        <v>173</v>
      </c>
      <c r="C1366" s="2" t="s">
        <v>174</v>
      </c>
      <c r="D1366" s="20">
        <v>0</v>
      </c>
      <c r="E1366" s="2" t="s">
        <v>838</v>
      </c>
      <c r="F1366" s="2" t="s">
        <v>811</v>
      </c>
      <c r="G1366" s="2" t="s">
        <v>2164</v>
      </c>
      <c r="J1366" s="26"/>
      <c r="K1366" s="36">
        <v>5.304E-5</v>
      </c>
      <c r="L1366" s="23">
        <v>1.768E-5</v>
      </c>
    </row>
    <row r="1367" spans="1:12" ht="15.35" hidden="1" x14ac:dyDescent="0.55000000000000004">
      <c r="A1367" s="20">
        <v>9636</v>
      </c>
      <c r="B1367" s="2" t="s">
        <v>173</v>
      </c>
      <c r="C1367" s="2" t="s">
        <v>174</v>
      </c>
      <c r="D1367" s="20">
        <v>0</v>
      </c>
      <c r="E1367" s="2" t="s">
        <v>838</v>
      </c>
      <c r="F1367" s="2" t="s">
        <v>811</v>
      </c>
      <c r="G1367" s="2" t="s">
        <v>1425</v>
      </c>
      <c r="H1367" s="2" t="s">
        <v>1424</v>
      </c>
      <c r="J1367" s="26"/>
      <c r="K1367" s="36">
        <v>4.5869999999999998E-4</v>
      </c>
      <c r="L1367" s="23">
        <v>1.529E-4</v>
      </c>
    </row>
    <row r="1368" spans="1:12" ht="15.35" x14ac:dyDescent="0.55000000000000004">
      <c r="A1368" s="20">
        <v>9639</v>
      </c>
      <c r="B1368" s="2" t="s">
        <v>173</v>
      </c>
      <c r="C1368" s="2" t="s">
        <v>174</v>
      </c>
      <c r="D1368" s="20">
        <v>0</v>
      </c>
      <c r="E1368" s="2" t="s">
        <v>838</v>
      </c>
      <c r="F1368" s="2" t="s">
        <v>811</v>
      </c>
      <c r="G1368" s="2" t="s">
        <v>2165</v>
      </c>
      <c r="J1368" s="26"/>
      <c r="K1368" s="36">
        <v>1.7474E-4</v>
      </c>
      <c r="L1368" s="23">
        <v>5.825E-5</v>
      </c>
    </row>
    <row r="1369" spans="1:12" ht="15.35" x14ac:dyDescent="0.55000000000000004">
      <c r="A1369" s="20">
        <v>9637</v>
      </c>
      <c r="B1369" s="2" t="s">
        <v>173</v>
      </c>
      <c r="C1369" s="2" t="s">
        <v>174</v>
      </c>
      <c r="D1369" s="20">
        <v>0</v>
      </c>
      <c r="E1369" s="2" t="s">
        <v>838</v>
      </c>
      <c r="F1369" s="2" t="s">
        <v>811</v>
      </c>
      <c r="G1369" s="2" t="s">
        <v>2166</v>
      </c>
      <c r="J1369" s="26"/>
      <c r="K1369" s="36">
        <v>5.6159999999999998E-5</v>
      </c>
      <c r="L1369" s="23">
        <v>1.872E-5</v>
      </c>
    </row>
    <row r="1370" spans="1:12" ht="15.35" x14ac:dyDescent="0.55000000000000004">
      <c r="A1370" s="20">
        <v>9638</v>
      </c>
      <c r="B1370" s="2" t="s">
        <v>173</v>
      </c>
      <c r="C1370" s="2" t="s">
        <v>174</v>
      </c>
      <c r="D1370" s="20">
        <v>0</v>
      </c>
      <c r="E1370" s="2" t="s">
        <v>838</v>
      </c>
      <c r="F1370" s="2" t="s">
        <v>811</v>
      </c>
      <c r="G1370" s="2" t="s">
        <v>2167</v>
      </c>
      <c r="J1370" s="26"/>
      <c r="K1370" s="36">
        <v>4.3680000000000002E-5</v>
      </c>
      <c r="L1370" s="23">
        <v>1.456E-5</v>
      </c>
    </row>
    <row r="1371" spans="1:12" ht="15.35" hidden="1" x14ac:dyDescent="0.55000000000000004">
      <c r="A1371" s="20">
        <v>9548</v>
      </c>
      <c r="B1371" s="2" t="s">
        <v>173</v>
      </c>
      <c r="C1371" s="2" t="s">
        <v>174</v>
      </c>
      <c r="D1371" s="20">
        <v>0</v>
      </c>
      <c r="E1371" s="2" t="s">
        <v>838</v>
      </c>
      <c r="F1371" s="2" t="s">
        <v>817</v>
      </c>
      <c r="G1371" s="2" t="s">
        <v>1427</v>
      </c>
      <c r="H1371" s="2" t="s">
        <v>898</v>
      </c>
      <c r="J1371" s="26"/>
      <c r="K1371" s="36">
        <v>1.9658700000000002E-3</v>
      </c>
      <c r="L1371" s="23">
        <v>6.5529E-4</v>
      </c>
    </row>
    <row r="1372" spans="1:12" ht="15.35" x14ac:dyDescent="0.55000000000000004">
      <c r="A1372" s="20">
        <v>9525</v>
      </c>
      <c r="B1372" s="2" t="s">
        <v>173</v>
      </c>
      <c r="C1372" s="2" t="s">
        <v>174</v>
      </c>
      <c r="D1372" s="20">
        <v>0</v>
      </c>
      <c r="E1372" s="2" t="s">
        <v>838</v>
      </c>
      <c r="F1372" s="2" t="s">
        <v>811</v>
      </c>
      <c r="G1372" s="2" t="s">
        <v>2168</v>
      </c>
      <c r="J1372" s="26"/>
      <c r="K1372" s="36">
        <v>3.1199999999999999E-5</v>
      </c>
      <c r="L1372" s="23">
        <v>1.04E-5</v>
      </c>
    </row>
    <row r="1373" spans="1:12" ht="15.35" x14ac:dyDescent="0.55000000000000004">
      <c r="A1373" s="20">
        <v>9526</v>
      </c>
      <c r="B1373" s="2" t="s">
        <v>173</v>
      </c>
      <c r="C1373" s="2" t="s">
        <v>174</v>
      </c>
      <c r="D1373" s="20">
        <v>0</v>
      </c>
      <c r="E1373" s="2" t="s">
        <v>838</v>
      </c>
      <c r="F1373" s="2" t="s">
        <v>811</v>
      </c>
      <c r="G1373" s="2" t="s">
        <v>2169</v>
      </c>
      <c r="J1373" s="26"/>
      <c r="K1373" s="36">
        <v>7.4889999999999996E-5</v>
      </c>
      <c r="L1373" s="23">
        <v>2.4960000000000002E-5</v>
      </c>
    </row>
    <row r="1374" spans="1:12" ht="15.35" x14ac:dyDescent="0.55000000000000004">
      <c r="A1374" s="20">
        <v>9513</v>
      </c>
      <c r="B1374" s="2" t="s">
        <v>173</v>
      </c>
      <c r="C1374" s="2" t="s">
        <v>174</v>
      </c>
      <c r="D1374" s="20">
        <v>0</v>
      </c>
      <c r="E1374" s="2" t="s">
        <v>838</v>
      </c>
      <c r="F1374" s="2" t="s">
        <v>783</v>
      </c>
      <c r="G1374" s="2" t="s">
        <v>2170</v>
      </c>
      <c r="J1374" s="26"/>
      <c r="K1374" s="36">
        <v>5.6159999999999998E-5</v>
      </c>
      <c r="L1374" s="23">
        <v>1.872E-5</v>
      </c>
    </row>
    <row r="1375" spans="1:12" ht="15.35" x14ac:dyDescent="0.55000000000000004">
      <c r="A1375" s="20">
        <v>9524</v>
      </c>
      <c r="B1375" s="2" t="s">
        <v>173</v>
      </c>
      <c r="C1375" s="2" t="s">
        <v>174</v>
      </c>
      <c r="D1375" s="20">
        <v>0</v>
      </c>
      <c r="E1375" s="2" t="s">
        <v>838</v>
      </c>
      <c r="F1375" s="2" t="s">
        <v>783</v>
      </c>
      <c r="G1375" s="2" t="s">
        <v>2171</v>
      </c>
      <c r="J1375" s="26"/>
      <c r="K1375" s="36">
        <v>4.0559999999999998E-5</v>
      </c>
      <c r="L1375" s="23">
        <v>1.3519999999999999E-5</v>
      </c>
    </row>
    <row r="1376" spans="1:12" ht="15.35" x14ac:dyDescent="0.55000000000000004">
      <c r="A1376" s="20">
        <v>9523</v>
      </c>
      <c r="B1376" s="2" t="s">
        <v>173</v>
      </c>
      <c r="C1376" s="2" t="s">
        <v>174</v>
      </c>
      <c r="D1376" s="20">
        <v>0</v>
      </c>
      <c r="E1376" s="2" t="s">
        <v>838</v>
      </c>
      <c r="F1376" s="2" t="s">
        <v>783</v>
      </c>
      <c r="G1376" s="2" t="s">
        <v>2172</v>
      </c>
      <c r="J1376" s="26"/>
      <c r="K1376" s="36">
        <v>3.7440000000000001E-5</v>
      </c>
      <c r="L1376" s="23">
        <v>1.2480000000000001E-5</v>
      </c>
    </row>
    <row r="1377" spans="1:12" ht="15.35" x14ac:dyDescent="0.55000000000000004">
      <c r="A1377" s="20">
        <v>9522</v>
      </c>
      <c r="B1377" s="2" t="s">
        <v>173</v>
      </c>
      <c r="C1377" s="2" t="s">
        <v>174</v>
      </c>
      <c r="D1377" s="20">
        <v>0</v>
      </c>
      <c r="E1377" s="2" t="s">
        <v>838</v>
      </c>
      <c r="F1377" s="2" t="s">
        <v>811</v>
      </c>
      <c r="G1377" s="2" t="s">
        <v>2173</v>
      </c>
      <c r="J1377" s="26"/>
      <c r="K1377" s="36">
        <v>3.1199999999999999E-5</v>
      </c>
      <c r="L1377" s="23">
        <v>1.04E-5</v>
      </c>
    </row>
    <row r="1378" spans="1:12" ht="15.35" x14ac:dyDescent="0.55000000000000004">
      <c r="A1378" s="20">
        <v>9541</v>
      </c>
      <c r="B1378" s="2" t="s">
        <v>173</v>
      </c>
      <c r="C1378" s="2" t="s">
        <v>174</v>
      </c>
      <c r="D1378" s="20">
        <v>0</v>
      </c>
      <c r="E1378" s="2" t="s">
        <v>838</v>
      </c>
      <c r="F1378" s="2" t="s">
        <v>811</v>
      </c>
      <c r="G1378" s="2" t="s">
        <v>2174</v>
      </c>
      <c r="J1378" s="26"/>
      <c r="K1378" s="36">
        <v>3.1199999999999999E-5</v>
      </c>
      <c r="L1378" s="23">
        <v>1.04E-5</v>
      </c>
    </row>
    <row r="1379" spans="1:12" ht="15.35" x14ac:dyDescent="0.55000000000000004">
      <c r="A1379" s="20">
        <v>9543</v>
      </c>
      <c r="B1379" s="2" t="s">
        <v>173</v>
      </c>
      <c r="C1379" s="2" t="s">
        <v>174</v>
      </c>
      <c r="D1379" s="20">
        <v>0</v>
      </c>
      <c r="E1379" s="2" t="s">
        <v>838</v>
      </c>
      <c r="F1379" s="2" t="s">
        <v>811</v>
      </c>
      <c r="G1379" s="2" t="s">
        <v>2175</v>
      </c>
      <c r="J1379" s="26"/>
      <c r="K1379" s="36">
        <v>3.1199999999999999E-5</v>
      </c>
      <c r="L1379" s="23">
        <v>1.04E-5</v>
      </c>
    </row>
    <row r="1380" spans="1:12" ht="15.35" x14ac:dyDescent="0.55000000000000004">
      <c r="A1380" s="20">
        <v>9533</v>
      </c>
      <c r="B1380" s="2" t="s">
        <v>173</v>
      </c>
      <c r="C1380" s="2" t="s">
        <v>174</v>
      </c>
      <c r="D1380" s="20">
        <v>0</v>
      </c>
      <c r="E1380" s="2" t="s">
        <v>838</v>
      </c>
      <c r="F1380" s="2" t="s">
        <v>811</v>
      </c>
      <c r="G1380" s="2" t="s">
        <v>2176</v>
      </c>
      <c r="J1380" s="26"/>
      <c r="K1380" s="36">
        <v>4.3680000000000002E-5</v>
      </c>
      <c r="L1380" s="23">
        <v>1.456E-5</v>
      </c>
    </row>
    <row r="1381" spans="1:12" ht="15.35" x14ac:dyDescent="0.55000000000000004">
      <c r="A1381" s="20">
        <v>9534</v>
      </c>
      <c r="B1381" s="2" t="s">
        <v>173</v>
      </c>
      <c r="C1381" s="2" t="s">
        <v>174</v>
      </c>
      <c r="D1381" s="20">
        <v>0</v>
      </c>
      <c r="E1381" s="2" t="s">
        <v>838</v>
      </c>
      <c r="F1381" s="2" t="s">
        <v>811</v>
      </c>
      <c r="G1381" s="2" t="s">
        <v>2177</v>
      </c>
      <c r="J1381" s="26"/>
      <c r="K1381" s="36">
        <v>4.3680000000000002E-5</v>
      </c>
      <c r="L1381" s="23">
        <v>1.456E-5</v>
      </c>
    </row>
    <row r="1382" spans="1:12" ht="15.35" x14ac:dyDescent="0.55000000000000004">
      <c r="A1382" s="20">
        <v>9512</v>
      </c>
      <c r="B1382" s="2" t="s">
        <v>173</v>
      </c>
      <c r="C1382" s="2" t="s">
        <v>174</v>
      </c>
      <c r="D1382" s="20">
        <v>0</v>
      </c>
      <c r="E1382" s="2" t="s">
        <v>838</v>
      </c>
      <c r="F1382" s="2" t="s">
        <v>783</v>
      </c>
      <c r="G1382" s="2" t="s">
        <v>2178</v>
      </c>
      <c r="J1382" s="26"/>
      <c r="K1382" s="36">
        <v>4.6799999999999999E-5</v>
      </c>
      <c r="L1382" s="23">
        <v>1.56E-5</v>
      </c>
    </row>
    <row r="1383" spans="1:12" ht="15.35" x14ac:dyDescent="0.55000000000000004">
      <c r="A1383" s="20">
        <v>9519</v>
      </c>
      <c r="B1383" s="2" t="s">
        <v>173</v>
      </c>
      <c r="C1383" s="2" t="s">
        <v>174</v>
      </c>
      <c r="D1383" s="20">
        <v>0</v>
      </c>
      <c r="E1383" s="2" t="s">
        <v>838</v>
      </c>
      <c r="F1383" s="2" t="s">
        <v>783</v>
      </c>
      <c r="G1383" s="2" t="s">
        <v>2179</v>
      </c>
      <c r="J1383" s="26"/>
      <c r="K1383" s="36">
        <v>3.1199999999999999E-5</v>
      </c>
      <c r="L1383" s="23">
        <v>1.04E-5</v>
      </c>
    </row>
    <row r="1384" spans="1:12" ht="15.35" hidden="1" x14ac:dyDescent="0.55000000000000004">
      <c r="A1384" s="20">
        <v>9544</v>
      </c>
      <c r="B1384" s="2" t="s">
        <v>173</v>
      </c>
      <c r="C1384" s="2" t="s">
        <v>174</v>
      </c>
      <c r="D1384" s="20">
        <v>0</v>
      </c>
      <c r="E1384" s="2" t="s">
        <v>838</v>
      </c>
      <c r="F1384" s="2" t="s">
        <v>811</v>
      </c>
      <c r="G1384" s="2" t="s">
        <v>1430</v>
      </c>
      <c r="H1384" s="2" t="s">
        <v>1431</v>
      </c>
      <c r="J1384" s="26"/>
      <c r="K1384" s="36">
        <v>4.3680000000000002E-5</v>
      </c>
      <c r="L1384" s="23">
        <v>1.456E-5</v>
      </c>
    </row>
    <row r="1385" spans="1:12" ht="15.35" x14ac:dyDescent="0.55000000000000004">
      <c r="A1385" s="20">
        <v>9537</v>
      </c>
      <c r="B1385" s="2" t="s">
        <v>173</v>
      </c>
      <c r="C1385" s="2" t="s">
        <v>174</v>
      </c>
      <c r="D1385" s="20">
        <v>0</v>
      </c>
      <c r="E1385" s="2" t="s">
        <v>838</v>
      </c>
      <c r="F1385" s="2" t="s">
        <v>811</v>
      </c>
      <c r="G1385" s="2" t="s">
        <v>2180</v>
      </c>
      <c r="J1385" s="26"/>
      <c r="K1385" s="36">
        <v>6.5519999999999996E-5</v>
      </c>
      <c r="L1385" s="23">
        <v>2.1840000000000001E-5</v>
      </c>
    </row>
    <row r="1386" spans="1:12" ht="15.35" x14ac:dyDescent="0.55000000000000004">
      <c r="A1386" s="20">
        <v>9539</v>
      </c>
      <c r="B1386" s="2" t="s">
        <v>173</v>
      </c>
      <c r="C1386" s="2" t="s">
        <v>174</v>
      </c>
      <c r="D1386" s="20">
        <v>0</v>
      </c>
      <c r="E1386" s="2" t="s">
        <v>838</v>
      </c>
      <c r="F1386" s="2" t="s">
        <v>811</v>
      </c>
      <c r="G1386" s="2" t="s">
        <v>2181</v>
      </c>
      <c r="J1386" s="26"/>
      <c r="K1386" s="36">
        <v>4.0559999999999998E-5</v>
      </c>
      <c r="L1386" s="23">
        <v>1.3519999999999999E-5</v>
      </c>
    </row>
    <row r="1387" spans="1:12" ht="15.35" x14ac:dyDescent="0.55000000000000004">
      <c r="A1387" s="20">
        <v>9538</v>
      </c>
      <c r="B1387" s="2" t="s">
        <v>173</v>
      </c>
      <c r="C1387" s="2" t="s">
        <v>174</v>
      </c>
      <c r="D1387" s="20">
        <v>0</v>
      </c>
      <c r="E1387" s="2" t="s">
        <v>838</v>
      </c>
      <c r="F1387" s="2" t="s">
        <v>811</v>
      </c>
      <c r="G1387" s="2" t="s">
        <v>2182</v>
      </c>
      <c r="J1387" s="26"/>
      <c r="K1387" s="36">
        <v>4.3680000000000002E-5</v>
      </c>
      <c r="L1387" s="23">
        <v>1.456E-5</v>
      </c>
    </row>
    <row r="1388" spans="1:12" ht="15.35" x14ac:dyDescent="0.55000000000000004">
      <c r="A1388" s="20">
        <v>9540</v>
      </c>
      <c r="B1388" s="2" t="s">
        <v>173</v>
      </c>
      <c r="C1388" s="2" t="s">
        <v>174</v>
      </c>
      <c r="D1388" s="20">
        <v>0</v>
      </c>
      <c r="E1388" s="2" t="s">
        <v>838</v>
      </c>
      <c r="F1388" s="2" t="s">
        <v>811</v>
      </c>
      <c r="G1388" s="2" t="s">
        <v>2183</v>
      </c>
      <c r="J1388" s="26"/>
      <c r="K1388" s="36">
        <v>3.1199999999999999E-5</v>
      </c>
      <c r="L1388" s="23">
        <v>1.04E-5</v>
      </c>
    </row>
    <row r="1389" spans="1:12" ht="15.35" x14ac:dyDescent="0.55000000000000004">
      <c r="A1389" s="20">
        <v>9535</v>
      </c>
      <c r="B1389" s="2" t="s">
        <v>173</v>
      </c>
      <c r="C1389" s="2" t="s">
        <v>174</v>
      </c>
      <c r="D1389" s="20">
        <v>0</v>
      </c>
      <c r="E1389" s="2" t="s">
        <v>838</v>
      </c>
      <c r="F1389" s="2" t="s">
        <v>811</v>
      </c>
      <c r="G1389" s="2" t="s">
        <v>2184</v>
      </c>
      <c r="J1389" s="26"/>
      <c r="K1389" s="36">
        <v>8.4250000000000001E-5</v>
      </c>
      <c r="L1389" s="23">
        <v>2.8079999999999999E-5</v>
      </c>
    </row>
    <row r="1390" spans="1:12" ht="15.35" x14ac:dyDescent="0.55000000000000004">
      <c r="A1390" s="20">
        <v>9536</v>
      </c>
      <c r="B1390" s="2" t="s">
        <v>173</v>
      </c>
      <c r="C1390" s="2" t="s">
        <v>174</v>
      </c>
      <c r="D1390" s="20">
        <v>0</v>
      </c>
      <c r="E1390" s="2" t="s">
        <v>838</v>
      </c>
      <c r="F1390" s="2" t="s">
        <v>811</v>
      </c>
      <c r="G1390" s="2" t="s">
        <v>2185</v>
      </c>
      <c r="J1390" s="26"/>
      <c r="K1390" s="36">
        <v>4.0559999999999998E-5</v>
      </c>
      <c r="L1390" s="23">
        <v>1.3519999999999999E-5</v>
      </c>
    </row>
    <row r="1391" spans="1:12" ht="15.35" x14ac:dyDescent="0.55000000000000004">
      <c r="A1391" s="20">
        <v>9530</v>
      </c>
      <c r="B1391" s="2" t="s">
        <v>173</v>
      </c>
      <c r="C1391" s="2" t="s">
        <v>174</v>
      </c>
      <c r="D1391" s="20">
        <v>0</v>
      </c>
      <c r="E1391" s="2" t="s">
        <v>838</v>
      </c>
      <c r="F1391" s="2" t="s">
        <v>811</v>
      </c>
      <c r="G1391" s="2" t="s">
        <v>2186</v>
      </c>
      <c r="J1391" s="26"/>
      <c r="K1391" s="36">
        <v>3.1199999999999999E-5</v>
      </c>
      <c r="L1391" s="23">
        <v>1.04E-5</v>
      </c>
    </row>
    <row r="1392" spans="1:12" ht="15.35" x14ac:dyDescent="0.55000000000000004">
      <c r="A1392" s="20">
        <v>9528</v>
      </c>
      <c r="B1392" s="2" t="s">
        <v>173</v>
      </c>
      <c r="C1392" s="2" t="s">
        <v>174</v>
      </c>
      <c r="D1392" s="20">
        <v>0</v>
      </c>
      <c r="E1392" s="2" t="s">
        <v>838</v>
      </c>
      <c r="F1392" s="2" t="s">
        <v>811</v>
      </c>
      <c r="G1392" s="2" t="s">
        <v>2187</v>
      </c>
      <c r="J1392" s="26"/>
      <c r="K1392" s="36">
        <v>3.1199999999999999E-5</v>
      </c>
      <c r="L1392" s="23">
        <v>1.04E-5</v>
      </c>
    </row>
    <row r="1393" spans="1:12" ht="15.35" x14ac:dyDescent="0.55000000000000004">
      <c r="A1393" s="20">
        <v>9529</v>
      </c>
      <c r="B1393" s="2" t="s">
        <v>173</v>
      </c>
      <c r="C1393" s="2" t="s">
        <v>174</v>
      </c>
      <c r="D1393" s="20">
        <v>0</v>
      </c>
      <c r="E1393" s="2" t="s">
        <v>838</v>
      </c>
      <c r="F1393" s="2" t="s">
        <v>811</v>
      </c>
      <c r="G1393" s="2" t="s">
        <v>2188</v>
      </c>
      <c r="J1393" s="26"/>
      <c r="K1393" s="36">
        <v>4.0559999999999998E-5</v>
      </c>
      <c r="L1393" s="23">
        <v>1.3519999999999999E-5</v>
      </c>
    </row>
    <row r="1394" spans="1:12" ht="15.35" x14ac:dyDescent="0.55000000000000004">
      <c r="A1394" s="20">
        <v>9531</v>
      </c>
      <c r="B1394" s="2" t="s">
        <v>173</v>
      </c>
      <c r="C1394" s="2" t="s">
        <v>174</v>
      </c>
      <c r="D1394" s="20">
        <v>0</v>
      </c>
      <c r="E1394" s="2" t="s">
        <v>838</v>
      </c>
      <c r="F1394" s="2" t="s">
        <v>811</v>
      </c>
      <c r="G1394" s="2" t="s">
        <v>2189</v>
      </c>
      <c r="J1394" s="26"/>
      <c r="K1394" s="36">
        <v>4.0559999999999998E-5</v>
      </c>
      <c r="L1394" s="23">
        <v>1.3519999999999999E-5</v>
      </c>
    </row>
    <row r="1395" spans="1:12" ht="15.35" x14ac:dyDescent="0.55000000000000004">
      <c r="A1395" s="20">
        <v>9532</v>
      </c>
      <c r="B1395" s="2" t="s">
        <v>173</v>
      </c>
      <c r="C1395" s="2" t="s">
        <v>174</v>
      </c>
      <c r="D1395" s="20">
        <v>0</v>
      </c>
      <c r="E1395" s="2" t="s">
        <v>838</v>
      </c>
      <c r="F1395" s="2" t="s">
        <v>811</v>
      </c>
      <c r="G1395" s="2" t="s">
        <v>2190</v>
      </c>
      <c r="J1395" s="26"/>
      <c r="K1395" s="36">
        <v>4.0559999999999998E-5</v>
      </c>
      <c r="L1395" s="23">
        <v>1.3519999999999999E-5</v>
      </c>
    </row>
    <row r="1396" spans="1:12" ht="15.35" x14ac:dyDescent="0.55000000000000004">
      <c r="A1396" s="20">
        <v>9542</v>
      </c>
      <c r="B1396" s="2" t="s">
        <v>173</v>
      </c>
      <c r="C1396" s="2" t="s">
        <v>174</v>
      </c>
      <c r="D1396" s="20">
        <v>0</v>
      </c>
      <c r="E1396" s="2" t="s">
        <v>838</v>
      </c>
      <c r="F1396" s="2" t="s">
        <v>811</v>
      </c>
      <c r="G1396" s="2" t="s">
        <v>2191</v>
      </c>
      <c r="J1396" s="26"/>
      <c r="K1396" s="36">
        <v>4.6799999999999999E-5</v>
      </c>
      <c r="L1396" s="23">
        <v>1.56E-5</v>
      </c>
    </row>
    <row r="1397" spans="1:12" ht="15.35" hidden="1" x14ac:dyDescent="0.55000000000000004">
      <c r="A1397" s="20">
        <v>9440</v>
      </c>
      <c r="B1397" s="2" t="s">
        <v>173</v>
      </c>
      <c r="C1397" s="2" t="s">
        <v>174</v>
      </c>
      <c r="D1397" s="20">
        <v>0</v>
      </c>
      <c r="E1397" s="2" t="s">
        <v>838</v>
      </c>
      <c r="F1397" s="2" t="s">
        <v>798</v>
      </c>
      <c r="G1397" s="2" t="s">
        <v>859</v>
      </c>
      <c r="H1397" s="2" t="s">
        <v>860</v>
      </c>
      <c r="J1397" s="26"/>
      <c r="K1397" s="36">
        <v>4.0565000000000002E-4</v>
      </c>
      <c r="L1397" s="23">
        <v>1.3522E-4</v>
      </c>
    </row>
    <row r="1398" spans="1:12" ht="15.35" hidden="1" x14ac:dyDescent="0.55000000000000004">
      <c r="A1398" s="20">
        <v>9376</v>
      </c>
      <c r="B1398" s="2" t="s">
        <v>173</v>
      </c>
      <c r="C1398" s="2" t="s">
        <v>174</v>
      </c>
      <c r="D1398" s="20">
        <v>0</v>
      </c>
      <c r="E1398" s="2" t="s">
        <v>838</v>
      </c>
      <c r="F1398" s="2" t="s">
        <v>793</v>
      </c>
      <c r="G1398" s="2" t="s">
        <v>2192</v>
      </c>
      <c r="H1398" s="2" t="s">
        <v>991</v>
      </c>
      <c r="J1398" s="26"/>
      <c r="K1398" s="36">
        <v>9.3612999999999997E-4</v>
      </c>
      <c r="L1398" s="23">
        <v>3.1203999999999997E-4</v>
      </c>
    </row>
    <row r="1399" spans="1:12" ht="15.35" x14ac:dyDescent="0.55000000000000004">
      <c r="A1399" s="20">
        <v>9496</v>
      </c>
      <c r="B1399" s="2" t="s">
        <v>173</v>
      </c>
      <c r="C1399" s="2" t="s">
        <v>174</v>
      </c>
      <c r="D1399" s="20">
        <v>0</v>
      </c>
      <c r="E1399" s="2" t="s">
        <v>838</v>
      </c>
      <c r="F1399" s="2" t="s">
        <v>793</v>
      </c>
      <c r="G1399" s="2" t="s">
        <v>2193</v>
      </c>
      <c r="J1399" s="26"/>
      <c r="K1399" s="36">
        <v>3.5260000000000001E-4</v>
      </c>
      <c r="L1399" s="23">
        <v>1.1752999999999999E-4</v>
      </c>
    </row>
    <row r="1400" spans="1:12" ht="15.35" x14ac:dyDescent="0.55000000000000004">
      <c r="A1400" s="20">
        <v>9497</v>
      </c>
      <c r="B1400" s="2" t="s">
        <v>173</v>
      </c>
      <c r="C1400" s="2" t="s">
        <v>174</v>
      </c>
      <c r="D1400" s="20">
        <v>0</v>
      </c>
      <c r="E1400" s="2" t="s">
        <v>838</v>
      </c>
      <c r="F1400" s="2" t="s">
        <v>793</v>
      </c>
      <c r="G1400" s="2" t="s">
        <v>2194</v>
      </c>
      <c r="J1400" s="26"/>
      <c r="K1400" s="36">
        <v>1.7786000000000001E-4</v>
      </c>
      <c r="L1400" s="23">
        <v>5.9290000000000003E-5</v>
      </c>
    </row>
    <row r="1401" spans="1:12" ht="15.35" hidden="1" x14ac:dyDescent="0.55000000000000004">
      <c r="A1401" s="20">
        <v>9136</v>
      </c>
      <c r="B1401" s="2" t="s">
        <v>173</v>
      </c>
      <c r="C1401" s="2" t="s">
        <v>174</v>
      </c>
      <c r="D1401" s="20">
        <v>0</v>
      </c>
      <c r="E1401" s="2" t="s">
        <v>838</v>
      </c>
      <c r="F1401" s="2" t="s">
        <v>793</v>
      </c>
      <c r="G1401" s="2" t="s">
        <v>2195</v>
      </c>
      <c r="H1401" s="2" t="s">
        <v>2196</v>
      </c>
      <c r="J1401" s="26"/>
      <c r="K1401" s="36">
        <v>1.2325700000000001E-3</v>
      </c>
      <c r="L1401" s="23">
        <v>4.1085999999999998E-4</v>
      </c>
    </row>
    <row r="1402" spans="1:12" ht="15.35" hidden="1" x14ac:dyDescent="0.55000000000000004">
      <c r="A1402" s="20">
        <v>9137</v>
      </c>
      <c r="B1402" s="2" t="s">
        <v>173</v>
      </c>
      <c r="C1402" s="2" t="s">
        <v>174</v>
      </c>
      <c r="D1402" s="20">
        <v>0</v>
      </c>
      <c r="E1402" s="2" t="s">
        <v>838</v>
      </c>
      <c r="F1402" s="2" t="s">
        <v>793</v>
      </c>
      <c r="G1402" s="2" t="s">
        <v>2197</v>
      </c>
      <c r="H1402" s="2" t="s">
        <v>2196</v>
      </c>
      <c r="J1402" s="26"/>
      <c r="K1402" s="36">
        <v>1.2325700000000001E-3</v>
      </c>
      <c r="L1402" s="23">
        <v>4.1085999999999998E-4</v>
      </c>
    </row>
    <row r="1403" spans="1:12" ht="15.35" hidden="1" x14ac:dyDescent="0.55000000000000004">
      <c r="A1403" s="20">
        <v>9138</v>
      </c>
      <c r="B1403" s="2" t="s">
        <v>173</v>
      </c>
      <c r="C1403" s="2" t="s">
        <v>174</v>
      </c>
      <c r="D1403" s="20">
        <v>0</v>
      </c>
      <c r="E1403" s="2" t="s">
        <v>838</v>
      </c>
      <c r="F1403" s="2" t="s">
        <v>793</v>
      </c>
      <c r="G1403" s="2" t="s">
        <v>2198</v>
      </c>
      <c r="H1403" s="2" t="s">
        <v>2196</v>
      </c>
      <c r="J1403" s="26"/>
      <c r="K1403" s="36">
        <v>1.2325700000000001E-3</v>
      </c>
      <c r="L1403" s="23">
        <v>4.1085999999999998E-4</v>
      </c>
    </row>
    <row r="1404" spans="1:12" ht="15.35" hidden="1" x14ac:dyDescent="0.55000000000000004">
      <c r="A1404" s="20">
        <v>9139</v>
      </c>
      <c r="B1404" s="2" t="s">
        <v>173</v>
      </c>
      <c r="C1404" s="2" t="s">
        <v>174</v>
      </c>
      <c r="D1404" s="20">
        <v>0</v>
      </c>
      <c r="E1404" s="2" t="s">
        <v>838</v>
      </c>
      <c r="F1404" s="2" t="s">
        <v>793</v>
      </c>
      <c r="G1404" s="2" t="s">
        <v>2199</v>
      </c>
      <c r="H1404" s="2" t="s">
        <v>2196</v>
      </c>
      <c r="J1404" s="26"/>
      <c r="K1404" s="36">
        <v>1.2325700000000001E-3</v>
      </c>
      <c r="L1404" s="23">
        <v>4.1085999999999998E-4</v>
      </c>
    </row>
    <row r="1405" spans="1:12" ht="15.35" hidden="1" x14ac:dyDescent="0.55000000000000004">
      <c r="A1405" s="20">
        <v>9140</v>
      </c>
      <c r="B1405" s="2" t="s">
        <v>173</v>
      </c>
      <c r="C1405" s="2" t="s">
        <v>174</v>
      </c>
      <c r="D1405" s="20">
        <v>0</v>
      </c>
      <c r="E1405" s="2" t="s">
        <v>838</v>
      </c>
      <c r="F1405" s="2" t="s">
        <v>793</v>
      </c>
      <c r="G1405" s="2" t="s">
        <v>2200</v>
      </c>
      <c r="H1405" s="2" t="s">
        <v>2196</v>
      </c>
      <c r="J1405" s="26"/>
      <c r="K1405" s="36">
        <v>1.91906E-3</v>
      </c>
      <c r="L1405" s="23">
        <v>6.3969000000000005E-4</v>
      </c>
    </row>
    <row r="1406" spans="1:12" ht="15.35" hidden="1" x14ac:dyDescent="0.55000000000000004">
      <c r="A1406" s="20">
        <v>9141</v>
      </c>
      <c r="B1406" s="2" t="s">
        <v>173</v>
      </c>
      <c r="C1406" s="2" t="s">
        <v>174</v>
      </c>
      <c r="D1406" s="20">
        <v>0</v>
      </c>
      <c r="E1406" s="2" t="s">
        <v>838</v>
      </c>
      <c r="F1406" s="2" t="s">
        <v>793</v>
      </c>
      <c r="G1406" s="2" t="s">
        <v>2201</v>
      </c>
      <c r="H1406" s="2" t="s">
        <v>2196</v>
      </c>
      <c r="J1406" s="26"/>
      <c r="K1406" s="36">
        <v>1.2325700000000001E-3</v>
      </c>
      <c r="L1406" s="23">
        <v>4.1085999999999998E-4</v>
      </c>
    </row>
    <row r="1407" spans="1:12" ht="15.35" hidden="1" x14ac:dyDescent="0.55000000000000004">
      <c r="A1407" s="20">
        <v>9151</v>
      </c>
      <c r="B1407" s="2" t="s">
        <v>173</v>
      </c>
      <c r="C1407" s="2" t="s">
        <v>174</v>
      </c>
      <c r="D1407" s="20">
        <v>0</v>
      </c>
      <c r="E1407" s="2" t="s">
        <v>838</v>
      </c>
      <c r="F1407" s="2" t="s">
        <v>793</v>
      </c>
      <c r="G1407" s="2" t="s">
        <v>2202</v>
      </c>
      <c r="H1407" s="2" t="s">
        <v>2196</v>
      </c>
      <c r="J1407" s="26"/>
      <c r="K1407" s="36">
        <v>1.17016E-3</v>
      </c>
      <c r="L1407" s="23">
        <v>3.9005000000000002E-4</v>
      </c>
    </row>
    <row r="1408" spans="1:12" ht="15.35" hidden="1" x14ac:dyDescent="0.55000000000000004">
      <c r="A1408" s="20">
        <v>9121</v>
      </c>
      <c r="B1408" s="2" t="s">
        <v>173</v>
      </c>
      <c r="C1408" s="2" t="s">
        <v>174</v>
      </c>
      <c r="D1408" s="20">
        <v>0</v>
      </c>
      <c r="E1408" s="2" t="s">
        <v>838</v>
      </c>
      <c r="F1408" s="2" t="s">
        <v>793</v>
      </c>
      <c r="G1408" s="2" t="s">
        <v>2203</v>
      </c>
      <c r="H1408" s="2" t="s">
        <v>2196</v>
      </c>
      <c r="J1408" s="26"/>
      <c r="K1408" s="36">
        <v>1.9658700000000002E-3</v>
      </c>
      <c r="L1408" s="23">
        <v>6.5529E-4</v>
      </c>
    </row>
    <row r="1409" spans="1:12" ht="15.35" hidden="1" x14ac:dyDescent="0.55000000000000004">
      <c r="A1409" s="20">
        <v>9123</v>
      </c>
      <c r="B1409" s="2" t="s">
        <v>173</v>
      </c>
      <c r="C1409" s="2" t="s">
        <v>174</v>
      </c>
      <c r="D1409" s="20">
        <v>0</v>
      </c>
      <c r="E1409" s="2" t="s">
        <v>838</v>
      </c>
      <c r="F1409" s="2" t="s">
        <v>793</v>
      </c>
      <c r="G1409" s="2" t="s">
        <v>2204</v>
      </c>
      <c r="H1409" s="2" t="s">
        <v>2196</v>
      </c>
      <c r="J1409" s="26"/>
      <c r="K1409" s="36">
        <v>3.1203999999999997E-4</v>
      </c>
      <c r="L1409" s="23">
        <v>1.0401E-4</v>
      </c>
    </row>
    <row r="1410" spans="1:12" ht="15.35" hidden="1" x14ac:dyDescent="0.55000000000000004">
      <c r="A1410" s="20">
        <v>9124</v>
      </c>
      <c r="B1410" s="2" t="s">
        <v>173</v>
      </c>
      <c r="C1410" s="2" t="s">
        <v>174</v>
      </c>
      <c r="D1410" s="20">
        <v>0</v>
      </c>
      <c r="E1410" s="2" t="s">
        <v>838</v>
      </c>
      <c r="F1410" s="2" t="s">
        <v>793</v>
      </c>
      <c r="G1410" s="2" t="s">
        <v>2205</v>
      </c>
      <c r="H1410" s="2" t="s">
        <v>2196</v>
      </c>
      <c r="J1410" s="26"/>
      <c r="K1410" s="36">
        <v>1.9658700000000002E-3</v>
      </c>
      <c r="L1410" s="23">
        <v>6.5529E-4</v>
      </c>
    </row>
    <row r="1411" spans="1:12" ht="15.35" hidden="1" x14ac:dyDescent="0.55000000000000004">
      <c r="A1411" s="20">
        <v>9119</v>
      </c>
      <c r="B1411" s="2" t="s">
        <v>173</v>
      </c>
      <c r="C1411" s="2" t="s">
        <v>174</v>
      </c>
      <c r="D1411" s="20">
        <v>0</v>
      </c>
      <c r="E1411" s="2" t="s">
        <v>838</v>
      </c>
      <c r="F1411" s="2" t="s">
        <v>793</v>
      </c>
      <c r="G1411" s="2" t="s">
        <v>2206</v>
      </c>
      <c r="H1411" s="2" t="s">
        <v>2196</v>
      </c>
      <c r="J1411" s="26"/>
      <c r="K1411" s="36">
        <v>1.2481700000000001E-3</v>
      </c>
      <c r="L1411" s="23">
        <v>4.1606E-4</v>
      </c>
    </row>
    <row r="1412" spans="1:12" ht="15.35" hidden="1" x14ac:dyDescent="0.55000000000000004">
      <c r="A1412" s="20">
        <v>9150</v>
      </c>
      <c r="B1412" s="2" t="s">
        <v>173</v>
      </c>
      <c r="C1412" s="2" t="s">
        <v>174</v>
      </c>
      <c r="D1412" s="20">
        <v>0</v>
      </c>
      <c r="E1412" s="2" t="s">
        <v>838</v>
      </c>
      <c r="F1412" s="2" t="s">
        <v>793</v>
      </c>
      <c r="G1412" s="2" t="s">
        <v>2207</v>
      </c>
      <c r="H1412" s="2" t="s">
        <v>2196</v>
      </c>
      <c r="J1412" s="26"/>
      <c r="K1412" s="36">
        <v>1.40419E-3</v>
      </c>
      <c r="L1412" s="23">
        <v>4.6806000000000001E-4</v>
      </c>
    </row>
    <row r="1413" spans="1:12" ht="15.35" hidden="1" x14ac:dyDescent="0.55000000000000004">
      <c r="A1413" s="20">
        <v>9162</v>
      </c>
      <c r="B1413" s="2" t="s">
        <v>173</v>
      </c>
      <c r="C1413" s="2" t="s">
        <v>174</v>
      </c>
      <c r="D1413" s="20">
        <v>0</v>
      </c>
      <c r="E1413" s="2" t="s">
        <v>838</v>
      </c>
      <c r="F1413" s="2" t="s">
        <v>793</v>
      </c>
      <c r="G1413" s="2" t="s">
        <v>2208</v>
      </c>
      <c r="H1413" s="2" t="s">
        <v>2196</v>
      </c>
      <c r="J1413" s="26"/>
      <c r="K1413" s="36">
        <v>1.9658700000000002E-3</v>
      </c>
      <c r="L1413" s="23">
        <v>6.5529E-4</v>
      </c>
    </row>
    <row r="1414" spans="1:12" ht="15.35" hidden="1" x14ac:dyDescent="0.55000000000000004">
      <c r="A1414" s="20">
        <v>9163</v>
      </c>
      <c r="B1414" s="2" t="s">
        <v>173</v>
      </c>
      <c r="C1414" s="2" t="s">
        <v>174</v>
      </c>
      <c r="D1414" s="20">
        <v>0</v>
      </c>
      <c r="E1414" s="2" t="s">
        <v>838</v>
      </c>
      <c r="F1414" s="2" t="s">
        <v>793</v>
      </c>
      <c r="G1414" s="2" t="s">
        <v>2209</v>
      </c>
      <c r="H1414" s="2" t="s">
        <v>2196</v>
      </c>
      <c r="J1414" s="26"/>
      <c r="K1414" s="36">
        <v>1.9658700000000002E-3</v>
      </c>
      <c r="L1414" s="23">
        <v>6.5529E-4</v>
      </c>
    </row>
    <row r="1415" spans="1:12" ht="15.35" hidden="1" x14ac:dyDescent="0.55000000000000004">
      <c r="A1415" s="20">
        <v>9153</v>
      </c>
      <c r="B1415" s="2" t="s">
        <v>173</v>
      </c>
      <c r="C1415" s="2" t="s">
        <v>174</v>
      </c>
      <c r="D1415" s="20">
        <v>0</v>
      </c>
      <c r="E1415" s="2" t="s">
        <v>838</v>
      </c>
      <c r="F1415" s="2" t="s">
        <v>793</v>
      </c>
      <c r="G1415" s="2" t="s">
        <v>2210</v>
      </c>
      <c r="H1415" s="2" t="s">
        <v>2196</v>
      </c>
      <c r="J1415" s="26"/>
      <c r="K1415" s="36">
        <v>5.304E-5</v>
      </c>
      <c r="L1415" s="23">
        <v>1.768E-5</v>
      </c>
    </row>
    <row r="1416" spans="1:12" ht="15.35" hidden="1" x14ac:dyDescent="0.55000000000000004">
      <c r="A1416" s="20">
        <v>9154</v>
      </c>
      <c r="B1416" s="2" t="s">
        <v>173</v>
      </c>
      <c r="C1416" s="2" t="s">
        <v>174</v>
      </c>
      <c r="D1416" s="20">
        <v>0</v>
      </c>
      <c r="E1416" s="2" t="s">
        <v>838</v>
      </c>
      <c r="F1416" s="2" t="s">
        <v>793</v>
      </c>
      <c r="G1416" s="2" t="s">
        <v>2211</v>
      </c>
      <c r="H1416" s="2" t="s">
        <v>2196</v>
      </c>
      <c r="J1416" s="26"/>
      <c r="K1416" s="36">
        <v>5.304E-5</v>
      </c>
      <c r="L1416" s="23">
        <v>1.768E-5</v>
      </c>
    </row>
    <row r="1417" spans="1:12" ht="15.35" hidden="1" x14ac:dyDescent="0.55000000000000004">
      <c r="A1417" s="20">
        <v>9127</v>
      </c>
      <c r="B1417" s="2" t="s">
        <v>173</v>
      </c>
      <c r="C1417" s="2" t="s">
        <v>174</v>
      </c>
      <c r="D1417" s="20">
        <v>0</v>
      </c>
      <c r="E1417" s="2" t="s">
        <v>838</v>
      </c>
      <c r="F1417" s="2" t="s">
        <v>793</v>
      </c>
      <c r="G1417" s="2" t="s">
        <v>2212</v>
      </c>
      <c r="H1417" s="2" t="s">
        <v>2196</v>
      </c>
      <c r="J1417" s="26"/>
      <c r="K1417" s="36">
        <v>1.2325700000000001E-3</v>
      </c>
      <c r="L1417" s="23">
        <v>4.1085999999999998E-4</v>
      </c>
    </row>
    <row r="1418" spans="1:12" ht="15.35" hidden="1" x14ac:dyDescent="0.55000000000000004">
      <c r="A1418" s="20">
        <v>9155</v>
      </c>
      <c r="B1418" s="2" t="s">
        <v>173</v>
      </c>
      <c r="C1418" s="2" t="s">
        <v>174</v>
      </c>
      <c r="D1418" s="20">
        <v>0</v>
      </c>
      <c r="E1418" s="2" t="s">
        <v>838</v>
      </c>
      <c r="F1418" s="2" t="s">
        <v>793</v>
      </c>
      <c r="G1418" s="2" t="s">
        <v>2213</v>
      </c>
      <c r="H1418" s="2" t="s">
        <v>2196</v>
      </c>
      <c r="J1418" s="26"/>
      <c r="K1418" s="36">
        <v>5.304E-5</v>
      </c>
      <c r="L1418" s="23">
        <v>1.768E-5</v>
      </c>
    </row>
    <row r="1419" spans="1:12" ht="15.35" hidden="1" x14ac:dyDescent="0.55000000000000004">
      <c r="A1419" s="20">
        <v>9156</v>
      </c>
      <c r="B1419" s="2" t="s">
        <v>173</v>
      </c>
      <c r="C1419" s="2" t="s">
        <v>174</v>
      </c>
      <c r="D1419" s="20">
        <v>0</v>
      </c>
      <c r="E1419" s="2" t="s">
        <v>838</v>
      </c>
      <c r="F1419" s="2" t="s">
        <v>793</v>
      </c>
      <c r="G1419" s="2" t="s">
        <v>2214</v>
      </c>
      <c r="H1419" s="2" t="s">
        <v>2196</v>
      </c>
      <c r="J1419" s="26"/>
      <c r="K1419" s="36">
        <v>5.304E-5</v>
      </c>
      <c r="L1419" s="23">
        <v>1.768E-5</v>
      </c>
    </row>
    <row r="1420" spans="1:12" ht="15.35" hidden="1" x14ac:dyDescent="0.55000000000000004">
      <c r="A1420" s="20">
        <v>9157</v>
      </c>
      <c r="B1420" s="2" t="s">
        <v>173</v>
      </c>
      <c r="C1420" s="2" t="s">
        <v>174</v>
      </c>
      <c r="D1420" s="20">
        <v>0</v>
      </c>
      <c r="E1420" s="2" t="s">
        <v>838</v>
      </c>
      <c r="F1420" s="2" t="s">
        <v>793</v>
      </c>
      <c r="G1420" s="2" t="s">
        <v>2215</v>
      </c>
      <c r="H1420" s="2" t="s">
        <v>2196</v>
      </c>
      <c r="J1420" s="26"/>
      <c r="K1420" s="36">
        <v>5.304E-5</v>
      </c>
      <c r="L1420" s="23">
        <v>1.768E-5</v>
      </c>
    </row>
    <row r="1421" spans="1:12" ht="15.35" hidden="1" x14ac:dyDescent="0.55000000000000004">
      <c r="A1421" s="20">
        <v>9158</v>
      </c>
      <c r="B1421" s="2" t="s">
        <v>173</v>
      </c>
      <c r="C1421" s="2" t="s">
        <v>174</v>
      </c>
      <c r="D1421" s="20">
        <v>0</v>
      </c>
      <c r="E1421" s="2" t="s">
        <v>838</v>
      </c>
      <c r="F1421" s="2" t="s">
        <v>793</v>
      </c>
      <c r="G1421" s="2" t="s">
        <v>2216</v>
      </c>
      <c r="H1421" s="2" t="s">
        <v>2196</v>
      </c>
      <c r="J1421" s="26"/>
      <c r="K1421" s="36">
        <v>5.304E-5</v>
      </c>
      <c r="L1421" s="23">
        <v>1.768E-5</v>
      </c>
    </row>
    <row r="1422" spans="1:12" ht="15.35" hidden="1" x14ac:dyDescent="0.55000000000000004">
      <c r="A1422" s="20">
        <v>9159</v>
      </c>
      <c r="B1422" s="2" t="s">
        <v>173</v>
      </c>
      <c r="C1422" s="2" t="s">
        <v>174</v>
      </c>
      <c r="D1422" s="20">
        <v>0</v>
      </c>
      <c r="E1422" s="2" t="s">
        <v>838</v>
      </c>
      <c r="F1422" s="2" t="s">
        <v>793</v>
      </c>
      <c r="G1422" s="2" t="s">
        <v>2217</v>
      </c>
      <c r="H1422" s="2" t="s">
        <v>2196</v>
      </c>
      <c r="J1422" s="26"/>
      <c r="K1422" s="36">
        <v>5.304E-5</v>
      </c>
      <c r="L1422" s="23">
        <v>1.768E-5</v>
      </c>
    </row>
    <row r="1423" spans="1:12" ht="15.35" hidden="1" x14ac:dyDescent="0.55000000000000004">
      <c r="A1423" s="20">
        <v>9160</v>
      </c>
      <c r="B1423" s="2" t="s">
        <v>173</v>
      </c>
      <c r="C1423" s="2" t="s">
        <v>174</v>
      </c>
      <c r="D1423" s="20">
        <v>0</v>
      </c>
      <c r="E1423" s="2" t="s">
        <v>838</v>
      </c>
      <c r="F1423" s="2" t="s">
        <v>793</v>
      </c>
      <c r="G1423" s="2" t="s">
        <v>2218</v>
      </c>
      <c r="H1423" s="2" t="s">
        <v>2196</v>
      </c>
      <c r="J1423" s="26"/>
      <c r="K1423" s="36">
        <v>5.304E-5</v>
      </c>
      <c r="L1423" s="23">
        <v>1.768E-5</v>
      </c>
    </row>
    <row r="1424" spans="1:12" ht="15.35" hidden="1" x14ac:dyDescent="0.55000000000000004">
      <c r="A1424" s="20">
        <v>9128</v>
      </c>
      <c r="B1424" s="2" t="s">
        <v>173</v>
      </c>
      <c r="C1424" s="2" t="s">
        <v>174</v>
      </c>
      <c r="D1424" s="20">
        <v>0</v>
      </c>
      <c r="E1424" s="2" t="s">
        <v>838</v>
      </c>
      <c r="F1424" s="2" t="s">
        <v>793</v>
      </c>
      <c r="G1424" s="2" t="s">
        <v>2219</v>
      </c>
      <c r="H1424" s="2" t="s">
        <v>2196</v>
      </c>
      <c r="J1424" s="26"/>
      <c r="K1424" s="36">
        <v>1.2325700000000001E-3</v>
      </c>
      <c r="L1424" s="23">
        <v>4.1085999999999998E-4</v>
      </c>
    </row>
    <row r="1425" spans="1:12" ht="15.35" hidden="1" x14ac:dyDescent="0.55000000000000004">
      <c r="A1425" s="20">
        <v>9129</v>
      </c>
      <c r="B1425" s="2" t="s">
        <v>173</v>
      </c>
      <c r="C1425" s="2" t="s">
        <v>174</v>
      </c>
      <c r="D1425" s="20">
        <v>0</v>
      </c>
      <c r="E1425" s="2" t="s">
        <v>838</v>
      </c>
      <c r="F1425" s="2" t="s">
        <v>793</v>
      </c>
      <c r="G1425" s="2" t="s">
        <v>2220</v>
      </c>
      <c r="H1425" s="2" t="s">
        <v>2196</v>
      </c>
      <c r="J1425" s="26"/>
      <c r="K1425" s="36">
        <v>1.22945E-3</v>
      </c>
      <c r="L1425" s="23">
        <v>4.0981999999999998E-4</v>
      </c>
    </row>
    <row r="1426" spans="1:12" ht="15.35" hidden="1" x14ac:dyDescent="0.55000000000000004">
      <c r="A1426" s="20">
        <v>9130</v>
      </c>
      <c r="B1426" s="2" t="s">
        <v>173</v>
      </c>
      <c r="C1426" s="2" t="s">
        <v>174</v>
      </c>
      <c r="D1426" s="20">
        <v>0</v>
      </c>
      <c r="E1426" s="2" t="s">
        <v>838</v>
      </c>
      <c r="F1426" s="2" t="s">
        <v>793</v>
      </c>
      <c r="G1426" s="2" t="s">
        <v>2221</v>
      </c>
      <c r="H1426" s="2" t="s">
        <v>2196</v>
      </c>
      <c r="J1426" s="26"/>
      <c r="K1426" s="36">
        <v>1.2325700000000001E-3</v>
      </c>
      <c r="L1426" s="23">
        <v>4.1085999999999998E-4</v>
      </c>
    </row>
    <row r="1427" spans="1:12" ht="15.35" hidden="1" x14ac:dyDescent="0.55000000000000004">
      <c r="A1427" s="20">
        <v>9131</v>
      </c>
      <c r="B1427" s="2" t="s">
        <v>173</v>
      </c>
      <c r="C1427" s="2" t="s">
        <v>174</v>
      </c>
      <c r="D1427" s="20">
        <v>0</v>
      </c>
      <c r="E1427" s="2" t="s">
        <v>838</v>
      </c>
      <c r="F1427" s="2" t="s">
        <v>793</v>
      </c>
      <c r="G1427" s="2" t="s">
        <v>2222</v>
      </c>
      <c r="H1427" s="2" t="s">
        <v>2196</v>
      </c>
      <c r="J1427" s="26"/>
      <c r="K1427" s="36">
        <v>1.2325700000000001E-3</v>
      </c>
      <c r="L1427" s="23">
        <v>4.1085999999999998E-4</v>
      </c>
    </row>
    <row r="1428" spans="1:12" ht="15.35" hidden="1" x14ac:dyDescent="0.55000000000000004">
      <c r="A1428" s="20">
        <v>9132</v>
      </c>
      <c r="B1428" s="2" t="s">
        <v>173</v>
      </c>
      <c r="C1428" s="2" t="s">
        <v>174</v>
      </c>
      <c r="D1428" s="20">
        <v>0</v>
      </c>
      <c r="E1428" s="2" t="s">
        <v>838</v>
      </c>
      <c r="F1428" s="2" t="s">
        <v>793</v>
      </c>
      <c r="G1428" s="2" t="s">
        <v>2223</v>
      </c>
      <c r="H1428" s="2" t="s">
        <v>2196</v>
      </c>
      <c r="J1428" s="26"/>
      <c r="K1428" s="36">
        <v>1.2325700000000001E-3</v>
      </c>
      <c r="L1428" s="23">
        <v>4.1085999999999998E-4</v>
      </c>
    </row>
    <row r="1429" spans="1:12" ht="15.35" hidden="1" x14ac:dyDescent="0.55000000000000004">
      <c r="A1429" s="20">
        <v>9133</v>
      </c>
      <c r="B1429" s="2" t="s">
        <v>173</v>
      </c>
      <c r="C1429" s="2" t="s">
        <v>174</v>
      </c>
      <c r="D1429" s="20">
        <v>0</v>
      </c>
      <c r="E1429" s="2" t="s">
        <v>838</v>
      </c>
      <c r="F1429" s="2" t="s">
        <v>793</v>
      </c>
      <c r="G1429" s="2" t="s">
        <v>2224</v>
      </c>
      <c r="H1429" s="2" t="s">
        <v>2196</v>
      </c>
      <c r="J1429" s="26"/>
      <c r="K1429" s="36">
        <v>1.6663100000000001E-3</v>
      </c>
      <c r="L1429" s="23">
        <v>5.5544000000000004E-4</v>
      </c>
    </row>
    <row r="1430" spans="1:12" ht="15.35" hidden="1" x14ac:dyDescent="0.55000000000000004">
      <c r="A1430" s="20">
        <v>9134</v>
      </c>
      <c r="B1430" s="2" t="s">
        <v>173</v>
      </c>
      <c r="C1430" s="2" t="s">
        <v>174</v>
      </c>
      <c r="D1430" s="20">
        <v>0</v>
      </c>
      <c r="E1430" s="2" t="s">
        <v>838</v>
      </c>
      <c r="F1430" s="2" t="s">
        <v>793</v>
      </c>
      <c r="G1430" s="2" t="s">
        <v>2225</v>
      </c>
      <c r="H1430" s="2" t="s">
        <v>2196</v>
      </c>
      <c r="J1430" s="26"/>
      <c r="K1430" s="36">
        <v>1.72872E-3</v>
      </c>
      <c r="L1430" s="23">
        <v>5.7624E-4</v>
      </c>
    </row>
    <row r="1431" spans="1:12" ht="15.35" hidden="1" x14ac:dyDescent="0.55000000000000004">
      <c r="A1431" s="20">
        <v>9135</v>
      </c>
      <c r="B1431" s="2" t="s">
        <v>173</v>
      </c>
      <c r="C1431" s="2" t="s">
        <v>174</v>
      </c>
      <c r="D1431" s="20">
        <v>0</v>
      </c>
      <c r="E1431" s="2" t="s">
        <v>838</v>
      </c>
      <c r="F1431" s="2" t="s">
        <v>793</v>
      </c>
      <c r="G1431" s="2" t="s">
        <v>2226</v>
      </c>
      <c r="H1431" s="2" t="s">
        <v>2196</v>
      </c>
      <c r="J1431" s="26"/>
      <c r="K1431" s="36">
        <v>1.72872E-3</v>
      </c>
      <c r="L1431" s="23">
        <v>5.7624E-4</v>
      </c>
    </row>
    <row r="1432" spans="1:12" ht="15.35" hidden="1" x14ac:dyDescent="0.55000000000000004">
      <c r="A1432" s="20">
        <v>9125</v>
      </c>
      <c r="B1432" s="2" t="s">
        <v>173</v>
      </c>
      <c r="C1432" s="2" t="s">
        <v>174</v>
      </c>
      <c r="D1432" s="20">
        <v>0</v>
      </c>
      <c r="E1432" s="2" t="s">
        <v>838</v>
      </c>
      <c r="F1432" s="2" t="s">
        <v>793</v>
      </c>
      <c r="G1432" s="2" t="s">
        <v>2227</v>
      </c>
      <c r="H1432" s="2" t="s">
        <v>2196</v>
      </c>
      <c r="J1432" s="26"/>
      <c r="K1432" s="36">
        <v>1.40419E-3</v>
      </c>
      <c r="L1432" s="23">
        <v>4.6806000000000001E-4</v>
      </c>
    </row>
    <row r="1433" spans="1:12" ht="15.35" hidden="1" x14ac:dyDescent="0.55000000000000004">
      <c r="A1433" s="20">
        <v>9126</v>
      </c>
      <c r="B1433" s="2" t="s">
        <v>173</v>
      </c>
      <c r="C1433" s="2" t="s">
        <v>174</v>
      </c>
      <c r="D1433" s="20">
        <v>0</v>
      </c>
      <c r="E1433" s="2" t="s">
        <v>838</v>
      </c>
      <c r="F1433" s="2" t="s">
        <v>793</v>
      </c>
      <c r="G1433" s="2" t="s">
        <v>2228</v>
      </c>
      <c r="H1433" s="2" t="s">
        <v>2196</v>
      </c>
      <c r="J1433" s="26"/>
      <c r="K1433" s="36">
        <v>1.40419E-3</v>
      </c>
      <c r="L1433" s="23">
        <v>4.6806000000000001E-4</v>
      </c>
    </row>
    <row r="1434" spans="1:12" ht="15.35" hidden="1" x14ac:dyDescent="0.55000000000000004">
      <c r="A1434" s="20">
        <v>9161</v>
      </c>
      <c r="B1434" s="2" t="s">
        <v>173</v>
      </c>
      <c r="C1434" s="2" t="s">
        <v>174</v>
      </c>
      <c r="D1434" s="20">
        <v>0</v>
      </c>
      <c r="E1434" s="2" t="s">
        <v>838</v>
      </c>
      <c r="F1434" s="2" t="s">
        <v>793</v>
      </c>
      <c r="G1434" s="2" t="s">
        <v>2229</v>
      </c>
      <c r="H1434" s="2" t="s">
        <v>2196</v>
      </c>
      <c r="J1434" s="26"/>
      <c r="K1434" s="36">
        <v>1.9658700000000002E-3</v>
      </c>
      <c r="L1434" s="23">
        <v>6.5529E-4</v>
      </c>
    </row>
    <row r="1435" spans="1:12" ht="15.35" hidden="1" x14ac:dyDescent="0.55000000000000004">
      <c r="A1435" s="20">
        <v>9152</v>
      </c>
      <c r="B1435" s="2" t="s">
        <v>173</v>
      </c>
      <c r="C1435" s="2" t="s">
        <v>174</v>
      </c>
      <c r="D1435" s="20">
        <v>0</v>
      </c>
      <c r="E1435" s="2" t="s">
        <v>838</v>
      </c>
      <c r="F1435" s="2" t="s">
        <v>793</v>
      </c>
      <c r="G1435" s="2" t="s">
        <v>2230</v>
      </c>
      <c r="H1435" s="2" t="s">
        <v>2196</v>
      </c>
      <c r="J1435" s="26"/>
      <c r="K1435" s="36">
        <v>2.0282000000000001E-4</v>
      </c>
      <c r="L1435" s="23">
        <v>6.7609999999999998E-5</v>
      </c>
    </row>
    <row r="1436" spans="1:12" ht="15.35" hidden="1" x14ac:dyDescent="0.55000000000000004">
      <c r="A1436" s="20">
        <v>9145</v>
      </c>
      <c r="B1436" s="2" t="s">
        <v>173</v>
      </c>
      <c r="C1436" s="2" t="s">
        <v>174</v>
      </c>
      <c r="D1436" s="20">
        <v>0</v>
      </c>
      <c r="E1436" s="2" t="s">
        <v>838</v>
      </c>
      <c r="F1436" s="2" t="s">
        <v>793</v>
      </c>
      <c r="G1436" s="2" t="s">
        <v>2231</v>
      </c>
      <c r="H1436" s="2" t="s">
        <v>2196</v>
      </c>
      <c r="J1436" s="26"/>
      <c r="K1436" s="36">
        <v>1.3729899999999999E-3</v>
      </c>
      <c r="L1436" s="23">
        <v>4.5765999999999998E-4</v>
      </c>
    </row>
    <row r="1437" spans="1:12" ht="15.35" hidden="1" x14ac:dyDescent="0.55000000000000004">
      <c r="A1437" s="20">
        <v>9146</v>
      </c>
      <c r="B1437" s="2" t="s">
        <v>173</v>
      </c>
      <c r="C1437" s="2" t="s">
        <v>174</v>
      </c>
      <c r="D1437" s="20">
        <v>0</v>
      </c>
      <c r="E1437" s="2" t="s">
        <v>838</v>
      </c>
      <c r="F1437" s="2" t="s">
        <v>793</v>
      </c>
      <c r="G1437" s="2" t="s">
        <v>2232</v>
      </c>
      <c r="H1437" s="2" t="s">
        <v>2196</v>
      </c>
      <c r="J1437" s="26"/>
      <c r="K1437" s="36">
        <v>5.8664000000000003E-4</v>
      </c>
      <c r="L1437" s="23">
        <v>1.9555000000000001E-4</v>
      </c>
    </row>
    <row r="1438" spans="1:12" ht="15.35" hidden="1" x14ac:dyDescent="0.55000000000000004">
      <c r="A1438" s="20">
        <v>9147</v>
      </c>
      <c r="B1438" s="2" t="s">
        <v>173</v>
      </c>
      <c r="C1438" s="2" t="s">
        <v>174</v>
      </c>
      <c r="D1438" s="20">
        <v>0</v>
      </c>
      <c r="E1438" s="2" t="s">
        <v>838</v>
      </c>
      <c r="F1438" s="2" t="s">
        <v>793</v>
      </c>
      <c r="G1438" s="2" t="s">
        <v>2233</v>
      </c>
      <c r="H1438" s="2" t="s">
        <v>2196</v>
      </c>
      <c r="J1438" s="26"/>
      <c r="K1438" s="36">
        <v>4.9302000000000005E-4</v>
      </c>
      <c r="L1438" s="23">
        <v>1.6433999999999999E-4</v>
      </c>
    </row>
    <row r="1439" spans="1:12" ht="15.35" hidden="1" x14ac:dyDescent="0.55000000000000004">
      <c r="A1439" s="20">
        <v>9148</v>
      </c>
      <c r="B1439" s="2" t="s">
        <v>173</v>
      </c>
      <c r="C1439" s="2" t="s">
        <v>174</v>
      </c>
      <c r="D1439" s="20">
        <v>0</v>
      </c>
      <c r="E1439" s="2" t="s">
        <v>838</v>
      </c>
      <c r="F1439" s="2" t="s">
        <v>793</v>
      </c>
      <c r="G1439" s="2" t="s">
        <v>2234</v>
      </c>
      <c r="H1439" s="2" t="s">
        <v>2196</v>
      </c>
      <c r="J1439" s="26"/>
      <c r="K1439" s="36">
        <v>1.9658700000000002E-3</v>
      </c>
      <c r="L1439" s="23">
        <v>6.5529E-4</v>
      </c>
    </row>
    <row r="1440" spans="1:12" ht="15.35" hidden="1" x14ac:dyDescent="0.55000000000000004">
      <c r="A1440" s="20">
        <v>9149</v>
      </c>
      <c r="B1440" s="2" t="s">
        <v>173</v>
      </c>
      <c r="C1440" s="2" t="s">
        <v>174</v>
      </c>
      <c r="D1440" s="20">
        <v>0</v>
      </c>
      <c r="E1440" s="2" t="s">
        <v>838</v>
      </c>
      <c r="F1440" s="2" t="s">
        <v>793</v>
      </c>
      <c r="G1440" s="2" t="s">
        <v>2235</v>
      </c>
      <c r="H1440" s="2" t="s">
        <v>2196</v>
      </c>
      <c r="J1440" s="26"/>
      <c r="K1440" s="36">
        <v>1.40419E-3</v>
      </c>
      <c r="L1440" s="23">
        <v>4.6806000000000001E-4</v>
      </c>
    </row>
    <row r="1441" spans="1:12" ht="15.35" hidden="1" x14ac:dyDescent="0.55000000000000004">
      <c r="A1441" s="20">
        <v>9164</v>
      </c>
      <c r="B1441" s="2" t="s">
        <v>173</v>
      </c>
      <c r="C1441" s="2" t="s">
        <v>174</v>
      </c>
      <c r="D1441" s="20">
        <v>0</v>
      </c>
      <c r="E1441" s="2" t="s">
        <v>838</v>
      </c>
      <c r="F1441" s="2" t="s">
        <v>793</v>
      </c>
      <c r="G1441" s="2" t="s">
        <v>2236</v>
      </c>
      <c r="H1441" s="2" t="s">
        <v>2196</v>
      </c>
      <c r="J1441" s="26"/>
      <c r="K1441" s="36">
        <v>1.9658700000000002E-3</v>
      </c>
      <c r="L1441" s="23">
        <v>6.5529E-4</v>
      </c>
    </row>
    <row r="1442" spans="1:12" ht="15.35" hidden="1" x14ac:dyDescent="0.55000000000000004">
      <c r="A1442" s="20">
        <v>9165</v>
      </c>
      <c r="B1442" s="2" t="s">
        <v>173</v>
      </c>
      <c r="C1442" s="2" t="s">
        <v>174</v>
      </c>
      <c r="D1442" s="20">
        <v>0</v>
      </c>
      <c r="E1442" s="2" t="s">
        <v>838</v>
      </c>
      <c r="F1442" s="2" t="s">
        <v>793</v>
      </c>
      <c r="G1442" s="2" t="s">
        <v>2237</v>
      </c>
      <c r="H1442" s="2" t="s">
        <v>2196</v>
      </c>
      <c r="J1442" s="26"/>
      <c r="K1442" s="36">
        <v>1.9658700000000002E-3</v>
      </c>
      <c r="L1442" s="23">
        <v>6.5529E-4</v>
      </c>
    </row>
    <row r="1443" spans="1:12" ht="15.35" hidden="1" x14ac:dyDescent="0.55000000000000004">
      <c r="A1443" s="20">
        <v>9120</v>
      </c>
      <c r="B1443" s="2" t="s">
        <v>173</v>
      </c>
      <c r="C1443" s="2" t="s">
        <v>174</v>
      </c>
      <c r="D1443" s="20">
        <v>0</v>
      </c>
      <c r="E1443" s="2" t="s">
        <v>838</v>
      </c>
      <c r="F1443" s="2" t="s">
        <v>793</v>
      </c>
      <c r="G1443" s="2" t="s">
        <v>2238</v>
      </c>
      <c r="H1443" s="2" t="s">
        <v>2196</v>
      </c>
      <c r="J1443" s="26"/>
      <c r="K1443" s="36">
        <v>1.9658700000000002E-3</v>
      </c>
      <c r="L1443" s="23">
        <v>6.5529E-4</v>
      </c>
    </row>
    <row r="1444" spans="1:12" ht="15.35" hidden="1" x14ac:dyDescent="0.55000000000000004">
      <c r="A1444" s="20">
        <v>9142</v>
      </c>
      <c r="B1444" s="2" t="s">
        <v>173</v>
      </c>
      <c r="C1444" s="2" t="s">
        <v>174</v>
      </c>
      <c r="D1444" s="20">
        <v>0</v>
      </c>
      <c r="E1444" s="2" t="s">
        <v>838</v>
      </c>
      <c r="F1444" s="2" t="s">
        <v>793</v>
      </c>
      <c r="G1444" s="2" t="s">
        <v>2239</v>
      </c>
      <c r="H1444" s="2" t="s">
        <v>2196</v>
      </c>
      <c r="J1444" s="26"/>
      <c r="K1444" s="36">
        <v>1.2325700000000001E-3</v>
      </c>
      <c r="L1444" s="23">
        <v>4.1085999999999998E-4</v>
      </c>
    </row>
    <row r="1445" spans="1:12" ht="15.35" hidden="1" x14ac:dyDescent="0.55000000000000004">
      <c r="A1445" s="20">
        <v>9143</v>
      </c>
      <c r="B1445" s="2" t="s">
        <v>173</v>
      </c>
      <c r="C1445" s="2" t="s">
        <v>174</v>
      </c>
      <c r="D1445" s="20">
        <v>0</v>
      </c>
      <c r="E1445" s="2" t="s">
        <v>838</v>
      </c>
      <c r="F1445" s="2" t="s">
        <v>793</v>
      </c>
      <c r="G1445" s="2" t="s">
        <v>2240</v>
      </c>
      <c r="H1445" s="2" t="s">
        <v>2196</v>
      </c>
      <c r="J1445" s="26"/>
      <c r="K1445" s="36">
        <v>1.2325700000000001E-3</v>
      </c>
      <c r="L1445" s="23">
        <v>4.1085999999999998E-4</v>
      </c>
    </row>
    <row r="1446" spans="1:12" ht="15.35" hidden="1" x14ac:dyDescent="0.55000000000000004">
      <c r="A1446" s="20">
        <v>9144</v>
      </c>
      <c r="B1446" s="2" t="s">
        <v>173</v>
      </c>
      <c r="C1446" s="2" t="s">
        <v>174</v>
      </c>
      <c r="D1446" s="20">
        <v>0</v>
      </c>
      <c r="E1446" s="2" t="s">
        <v>838</v>
      </c>
      <c r="F1446" s="2" t="s">
        <v>793</v>
      </c>
      <c r="G1446" s="2" t="s">
        <v>2241</v>
      </c>
      <c r="H1446" s="2" t="s">
        <v>2196</v>
      </c>
      <c r="J1446" s="26"/>
      <c r="K1446" s="36">
        <v>1.2325700000000001E-3</v>
      </c>
      <c r="L1446" s="23">
        <v>4.1085999999999998E-4</v>
      </c>
    </row>
    <row r="1447" spans="1:12" ht="15.35" x14ac:dyDescent="0.55000000000000004">
      <c r="A1447" s="20">
        <v>9487</v>
      </c>
      <c r="B1447" s="2" t="s">
        <v>173</v>
      </c>
      <c r="C1447" s="2" t="s">
        <v>174</v>
      </c>
      <c r="D1447" s="20">
        <v>0</v>
      </c>
      <c r="E1447" s="2" t="s">
        <v>838</v>
      </c>
      <c r="F1447" s="2" t="s">
        <v>793</v>
      </c>
      <c r="G1447" s="2" t="s">
        <v>2242</v>
      </c>
      <c r="J1447" s="26"/>
      <c r="K1447" s="36">
        <v>1.2793E-4</v>
      </c>
      <c r="L1447" s="23">
        <v>4.2639999999999998E-5</v>
      </c>
    </row>
    <row r="1448" spans="1:12" ht="15.35" x14ac:dyDescent="0.55000000000000004">
      <c r="A1448" s="20">
        <v>9489</v>
      </c>
      <c r="B1448" s="2" t="s">
        <v>173</v>
      </c>
      <c r="C1448" s="2" t="s">
        <v>174</v>
      </c>
      <c r="D1448" s="20">
        <v>0</v>
      </c>
      <c r="E1448" s="2" t="s">
        <v>838</v>
      </c>
      <c r="F1448" s="2" t="s">
        <v>793</v>
      </c>
      <c r="G1448" s="2" t="s">
        <v>2243</v>
      </c>
      <c r="J1448" s="26"/>
      <c r="K1448" s="36">
        <v>3.4319999999999997E-5</v>
      </c>
      <c r="L1448" s="23">
        <v>1.1440000000000001E-5</v>
      </c>
    </row>
    <row r="1449" spans="1:12" ht="15.35" x14ac:dyDescent="0.55000000000000004">
      <c r="A1449" s="20">
        <v>9472</v>
      </c>
      <c r="B1449" s="2" t="s">
        <v>173</v>
      </c>
      <c r="C1449" s="2" t="s">
        <v>174</v>
      </c>
      <c r="D1449" s="20">
        <v>0</v>
      </c>
      <c r="E1449" s="2" t="s">
        <v>838</v>
      </c>
      <c r="F1449" s="2" t="s">
        <v>793</v>
      </c>
      <c r="G1449" s="2" t="s">
        <v>2244</v>
      </c>
      <c r="J1449" s="26"/>
      <c r="K1449" s="36">
        <v>4.3680000000000002E-5</v>
      </c>
      <c r="L1449" s="23">
        <v>1.456E-5</v>
      </c>
    </row>
    <row r="1450" spans="1:12" ht="15.35" x14ac:dyDescent="0.55000000000000004">
      <c r="A1450" s="20">
        <v>9473</v>
      </c>
      <c r="B1450" s="2" t="s">
        <v>173</v>
      </c>
      <c r="C1450" s="2" t="s">
        <v>174</v>
      </c>
      <c r="D1450" s="20">
        <v>0</v>
      </c>
      <c r="E1450" s="2" t="s">
        <v>838</v>
      </c>
      <c r="F1450" s="2" t="s">
        <v>793</v>
      </c>
      <c r="G1450" s="2" t="s">
        <v>2245</v>
      </c>
      <c r="J1450" s="26"/>
      <c r="K1450" s="36">
        <v>3.4319999999999997E-5</v>
      </c>
      <c r="L1450" s="23">
        <v>1.1440000000000001E-5</v>
      </c>
    </row>
    <row r="1451" spans="1:12" ht="15.35" x14ac:dyDescent="0.55000000000000004">
      <c r="A1451" s="20">
        <v>9474</v>
      </c>
      <c r="B1451" s="2" t="s">
        <v>173</v>
      </c>
      <c r="C1451" s="2" t="s">
        <v>174</v>
      </c>
      <c r="D1451" s="20">
        <v>0</v>
      </c>
      <c r="E1451" s="2" t="s">
        <v>838</v>
      </c>
      <c r="F1451" s="2" t="s">
        <v>793</v>
      </c>
      <c r="G1451" s="2" t="s">
        <v>2246</v>
      </c>
      <c r="J1451" s="26"/>
      <c r="K1451" s="36">
        <v>3.1199999999999999E-5</v>
      </c>
      <c r="L1451" s="23">
        <v>1.04E-5</v>
      </c>
    </row>
    <row r="1452" spans="1:12" ht="15.35" x14ac:dyDescent="0.55000000000000004">
      <c r="A1452" s="20">
        <v>9475</v>
      </c>
      <c r="B1452" s="2" t="s">
        <v>173</v>
      </c>
      <c r="C1452" s="2" t="s">
        <v>174</v>
      </c>
      <c r="D1452" s="20">
        <v>0</v>
      </c>
      <c r="E1452" s="2" t="s">
        <v>838</v>
      </c>
      <c r="F1452" s="2" t="s">
        <v>793</v>
      </c>
      <c r="G1452" s="2" t="s">
        <v>2247</v>
      </c>
      <c r="J1452" s="26"/>
      <c r="K1452" s="36">
        <v>3.4319999999999997E-5</v>
      </c>
      <c r="L1452" s="23">
        <v>1.1440000000000001E-5</v>
      </c>
    </row>
    <row r="1453" spans="1:12" ht="15.35" x14ac:dyDescent="0.55000000000000004">
      <c r="A1453" s="20">
        <v>9478</v>
      </c>
      <c r="B1453" s="2" t="s">
        <v>173</v>
      </c>
      <c r="C1453" s="2" t="s">
        <v>174</v>
      </c>
      <c r="D1453" s="20">
        <v>0</v>
      </c>
      <c r="E1453" s="2" t="s">
        <v>838</v>
      </c>
      <c r="F1453" s="2" t="s">
        <v>793</v>
      </c>
      <c r="G1453" s="2" t="s">
        <v>2248</v>
      </c>
      <c r="J1453" s="26"/>
      <c r="K1453" s="36">
        <v>3.4319999999999997E-5</v>
      </c>
      <c r="L1453" s="23">
        <v>1.1440000000000001E-5</v>
      </c>
    </row>
    <row r="1454" spans="1:12" ht="15.35" x14ac:dyDescent="0.55000000000000004">
      <c r="A1454" s="20">
        <v>9479</v>
      </c>
      <c r="B1454" s="2" t="s">
        <v>173</v>
      </c>
      <c r="C1454" s="2" t="s">
        <v>174</v>
      </c>
      <c r="D1454" s="20">
        <v>0</v>
      </c>
      <c r="E1454" s="2" t="s">
        <v>838</v>
      </c>
      <c r="F1454" s="2" t="s">
        <v>793</v>
      </c>
      <c r="G1454" s="2" t="s">
        <v>2249</v>
      </c>
      <c r="J1454" s="26"/>
      <c r="K1454" s="36">
        <v>1.3104999999999999E-4</v>
      </c>
      <c r="L1454" s="23">
        <v>4.3680000000000002E-5</v>
      </c>
    </row>
    <row r="1455" spans="1:12" ht="15.35" x14ac:dyDescent="0.55000000000000004">
      <c r="A1455" s="20">
        <v>9471</v>
      </c>
      <c r="B1455" s="2" t="s">
        <v>173</v>
      </c>
      <c r="C1455" s="2" t="s">
        <v>174</v>
      </c>
      <c r="D1455" s="20">
        <v>0</v>
      </c>
      <c r="E1455" s="2" t="s">
        <v>838</v>
      </c>
      <c r="F1455" s="2" t="s">
        <v>793</v>
      </c>
      <c r="G1455" s="2" t="s">
        <v>2250</v>
      </c>
      <c r="J1455" s="26"/>
      <c r="K1455" s="36">
        <v>2.5274999999999999E-4</v>
      </c>
      <c r="L1455" s="23">
        <v>8.4250000000000001E-5</v>
      </c>
    </row>
    <row r="1456" spans="1:12" ht="15.35" x14ac:dyDescent="0.55000000000000004">
      <c r="A1456" s="20">
        <v>9480</v>
      </c>
      <c r="B1456" s="2" t="s">
        <v>173</v>
      </c>
      <c r="C1456" s="2" t="s">
        <v>174</v>
      </c>
      <c r="D1456" s="20">
        <v>0</v>
      </c>
      <c r="E1456" s="2" t="s">
        <v>838</v>
      </c>
      <c r="F1456" s="2" t="s">
        <v>793</v>
      </c>
      <c r="G1456" s="2" t="s">
        <v>2251</v>
      </c>
      <c r="J1456" s="26"/>
      <c r="K1456" s="36">
        <v>9.9850000000000001E-5</v>
      </c>
      <c r="L1456" s="23">
        <v>3.328E-5</v>
      </c>
    </row>
    <row r="1457" spans="1:12" ht="15.35" x14ac:dyDescent="0.55000000000000004">
      <c r="A1457" s="20">
        <v>9493</v>
      </c>
      <c r="B1457" s="2" t="s">
        <v>173</v>
      </c>
      <c r="C1457" s="2" t="s">
        <v>174</v>
      </c>
      <c r="D1457" s="20">
        <v>0</v>
      </c>
      <c r="E1457" s="2" t="s">
        <v>838</v>
      </c>
      <c r="F1457" s="2" t="s">
        <v>793</v>
      </c>
      <c r="G1457" s="2" t="s">
        <v>2252</v>
      </c>
      <c r="J1457" s="26"/>
      <c r="K1457" s="36">
        <v>1.7161999999999999E-4</v>
      </c>
      <c r="L1457" s="23">
        <v>5.7210000000000003E-5</v>
      </c>
    </row>
    <row r="1458" spans="1:12" ht="15.35" x14ac:dyDescent="0.55000000000000004">
      <c r="A1458" s="20">
        <v>9481</v>
      </c>
      <c r="B1458" s="2" t="s">
        <v>173</v>
      </c>
      <c r="C1458" s="2" t="s">
        <v>174</v>
      </c>
      <c r="D1458" s="20">
        <v>0</v>
      </c>
      <c r="E1458" s="2" t="s">
        <v>838</v>
      </c>
      <c r="F1458" s="2" t="s">
        <v>793</v>
      </c>
      <c r="G1458" s="2" t="s">
        <v>2253</v>
      </c>
      <c r="J1458" s="26"/>
      <c r="K1458" s="36">
        <v>1.1545E-4</v>
      </c>
      <c r="L1458" s="23">
        <v>3.8479999999999997E-5</v>
      </c>
    </row>
    <row r="1459" spans="1:12" ht="15.35" x14ac:dyDescent="0.55000000000000004">
      <c r="A1459" s="20">
        <v>9482</v>
      </c>
      <c r="B1459" s="2" t="s">
        <v>173</v>
      </c>
      <c r="C1459" s="2" t="s">
        <v>174</v>
      </c>
      <c r="D1459" s="20">
        <v>0</v>
      </c>
      <c r="E1459" s="2" t="s">
        <v>838</v>
      </c>
      <c r="F1459" s="2" t="s">
        <v>793</v>
      </c>
      <c r="G1459" s="2" t="s">
        <v>2254</v>
      </c>
      <c r="J1459" s="26"/>
      <c r="K1459" s="36">
        <v>1.7474E-4</v>
      </c>
      <c r="L1459" s="23">
        <v>5.825E-5</v>
      </c>
    </row>
    <row r="1460" spans="1:12" ht="15.35" x14ac:dyDescent="0.55000000000000004">
      <c r="A1460" s="20">
        <v>9488</v>
      </c>
      <c r="B1460" s="2" t="s">
        <v>173</v>
      </c>
      <c r="C1460" s="2" t="s">
        <v>174</v>
      </c>
      <c r="D1460" s="20">
        <v>0</v>
      </c>
      <c r="E1460" s="2" t="s">
        <v>838</v>
      </c>
      <c r="F1460" s="2" t="s">
        <v>793</v>
      </c>
      <c r="G1460" s="2" t="s">
        <v>2255</v>
      </c>
      <c r="J1460" s="26"/>
      <c r="K1460" s="36">
        <v>1.7474E-4</v>
      </c>
      <c r="L1460" s="23">
        <v>5.825E-5</v>
      </c>
    </row>
    <row r="1461" spans="1:12" ht="15.35" x14ac:dyDescent="0.55000000000000004">
      <c r="A1461" s="20">
        <v>9476</v>
      </c>
      <c r="B1461" s="2" t="s">
        <v>173</v>
      </c>
      <c r="C1461" s="2" t="s">
        <v>174</v>
      </c>
      <c r="D1461" s="20">
        <v>0</v>
      </c>
      <c r="E1461" s="2" t="s">
        <v>838</v>
      </c>
      <c r="F1461" s="2" t="s">
        <v>793</v>
      </c>
      <c r="G1461" s="2" t="s">
        <v>2256</v>
      </c>
      <c r="J1461" s="26"/>
      <c r="K1461" s="36">
        <v>5.6159999999999998E-5</v>
      </c>
      <c r="L1461" s="23">
        <v>1.872E-5</v>
      </c>
    </row>
    <row r="1462" spans="1:12" ht="15.35" x14ac:dyDescent="0.55000000000000004">
      <c r="A1462" s="20">
        <v>9483</v>
      </c>
      <c r="B1462" s="2" t="s">
        <v>173</v>
      </c>
      <c r="C1462" s="2" t="s">
        <v>174</v>
      </c>
      <c r="D1462" s="20">
        <v>0</v>
      </c>
      <c r="E1462" s="2" t="s">
        <v>838</v>
      </c>
      <c r="F1462" s="2" t="s">
        <v>793</v>
      </c>
      <c r="G1462" s="2" t="s">
        <v>2257</v>
      </c>
      <c r="J1462" s="26"/>
      <c r="K1462" s="36">
        <v>1.1545E-4</v>
      </c>
      <c r="L1462" s="23">
        <v>3.8479999999999997E-5</v>
      </c>
    </row>
    <row r="1463" spans="1:12" ht="15.35" x14ac:dyDescent="0.55000000000000004">
      <c r="A1463" s="20">
        <v>9494</v>
      </c>
      <c r="B1463" s="2" t="s">
        <v>173</v>
      </c>
      <c r="C1463" s="2" t="s">
        <v>174</v>
      </c>
      <c r="D1463" s="20">
        <v>0</v>
      </c>
      <c r="E1463" s="2" t="s">
        <v>838</v>
      </c>
      <c r="F1463" s="2" t="s">
        <v>793</v>
      </c>
      <c r="G1463" s="2" t="s">
        <v>2258</v>
      </c>
      <c r="J1463" s="26"/>
      <c r="K1463" s="36">
        <v>5.6159999999999998E-5</v>
      </c>
      <c r="L1463" s="23">
        <v>1.872E-5</v>
      </c>
    </row>
    <row r="1464" spans="1:12" ht="15.35" x14ac:dyDescent="0.55000000000000004">
      <c r="A1464" s="20">
        <v>9495</v>
      </c>
      <c r="B1464" s="2" t="s">
        <v>173</v>
      </c>
      <c r="C1464" s="2" t="s">
        <v>174</v>
      </c>
      <c r="D1464" s="20">
        <v>0</v>
      </c>
      <c r="E1464" s="2" t="s">
        <v>838</v>
      </c>
      <c r="F1464" s="2" t="s">
        <v>793</v>
      </c>
      <c r="G1464" s="2" t="s">
        <v>2259</v>
      </c>
      <c r="J1464" s="26"/>
      <c r="K1464" s="36">
        <v>1.1545E-4</v>
      </c>
      <c r="L1464" s="23">
        <v>3.8479999999999997E-5</v>
      </c>
    </row>
    <row r="1465" spans="1:12" ht="15.35" x14ac:dyDescent="0.55000000000000004">
      <c r="A1465" s="20">
        <v>9484</v>
      </c>
      <c r="B1465" s="2" t="s">
        <v>173</v>
      </c>
      <c r="C1465" s="2" t="s">
        <v>174</v>
      </c>
      <c r="D1465" s="20">
        <v>0</v>
      </c>
      <c r="E1465" s="2" t="s">
        <v>838</v>
      </c>
      <c r="F1465" s="2" t="s">
        <v>793</v>
      </c>
      <c r="G1465" s="2" t="s">
        <v>2260</v>
      </c>
      <c r="J1465" s="26"/>
      <c r="K1465" s="36">
        <v>5.6159999999999998E-5</v>
      </c>
      <c r="L1465" s="23">
        <v>1.872E-5</v>
      </c>
    </row>
    <row r="1466" spans="1:12" ht="15.35" x14ac:dyDescent="0.55000000000000004">
      <c r="A1466" s="20">
        <v>9486</v>
      </c>
      <c r="B1466" s="2" t="s">
        <v>173</v>
      </c>
      <c r="C1466" s="2" t="s">
        <v>174</v>
      </c>
      <c r="D1466" s="20">
        <v>0</v>
      </c>
      <c r="E1466" s="2" t="s">
        <v>838</v>
      </c>
      <c r="F1466" s="2" t="s">
        <v>793</v>
      </c>
      <c r="G1466" s="2" t="s">
        <v>2261</v>
      </c>
      <c r="J1466" s="26"/>
      <c r="K1466" s="36">
        <v>1.1545E-4</v>
      </c>
      <c r="L1466" s="23">
        <v>3.8479999999999997E-5</v>
      </c>
    </row>
    <row r="1467" spans="1:12" ht="15.35" x14ac:dyDescent="0.55000000000000004">
      <c r="A1467" s="20">
        <v>9485</v>
      </c>
      <c r="B1467" s="2" t="s">
        <v>173</v>
      </c>
      <c r="C1467" s="2" t="s">
        <v>174</v>
      </c>
      <c r="D1467" s="20">
        <v>0</v>
      </c>
      <c r="E1467" s="2" t="s">
        <v>838</v>
      </c>
      <c r="F1467" s="2" t="s">
        <v>793</v>
      </c>
      <c r="G1467" s="2" t="s">
        <v>2262</v>
      </c>
      <c r="J1467" s="26"/>
      <c r="K1467" s="36">
        <v>1.1545E-4</v>
      </c>
      <c r="L1467" s="23">
        <v>3.8479999999999997E-5</v>
      </c>
    </row>
    <row r="1468" spans="1:12" ht="15.35" x14ac:dyDescent="0.55000000000000004">
      <c r="A1468" s="20">
        <v>9490</v>
      </c>
      <c r="B1468" s="2" t="s">
        <v>173</v>
      </c>
      <c r="C1468" s="2" t="s">
        <v>174</v>
      </c>
      <c r="D1468" s="20">
        <v>0</v>
      </c>
      <c r="E1468" s="2" t="s">
        <v>838</v>
      </c>
      <c r="F1468" s="2" t="s">
        <v>793</v>
      </c>
      <c r="G1468" s="2" t="s">
        <v>2263</v>
      </c>
      <c r="J1468" s="26"/>
      <c r="K1468" s="36">
        <v>4.3686000000000002E-4</v>
      </c>
      <c r="L1468" s="23">
        <v>1.4562000000000001E-4</v>
      </c>
    </row>
    <row r="1469" spans="1:12" ht="15.35" x14ac:dyDescent="0.55000000000000004">
      <c r="A1469" s="20">
        <v>9491</v>
      </c>
      <c r="B1469" s="2" t="s">
        <v>173</v>
      </c>
      <c r="C1469" s="2" t="s">
        <v>174</v>
      </c>
      <c r="D1469" s="20">
        <v>0</v>
      </c>
      <c r="E1469" s="2" t="s">
        <v>838</v>
      </c>
      <c r="F1469" s="2" t="s">
        <v>793</v>
      </c>
      <c r="G1469" s="2" t="s">
        <v>2264</v>
      </c>
      <c r="J1469" s="26"/>
      <c r="K1469" s="36">
        <v>5.6159999999999998E-5</v>
      </c>
      <c r="L1469" s="23">
        <v>1.872E-5</v>
      </c>
    </row>
    <row r="1470" spans="1:12" ht="15.35" x14ac:dyDescent="0.55000000000000004">
      <c r="A1470" s="20">
        <v>9492</v>
      </c>
      <c r="B1470" s="2" t="s">
        <v>173</v>
      </c>
      <c r="C1470" s="2" t="s">
        <v>174</v>
      </c>
      <c r="D1470" s="20">
        <v>0</v>
      </c>
      <c r="E1470" s="2" t="s">
        <v>838</v>
      </c>
      <c r="F1470" s="2" t="s">
        <v>793</v>
      </c>
      <c r="G1470" s="2" t="s">
        <v>2265</v>
      </c>
      <c r="J1470" s="26"/>
      <c r="K1470" s="36">
        <v>5.6159999999999998E-5</v>
      </c>
      <c r="L1470" s="23">
        <v>1.872E-5</v>
      </c>
    </row>
    <row r="1471" spans="1:12" ht="15.35" hidden="1" x14ac:dyDescent="0.55000000000000004">
      <c r="A1471" s="20">
        <v>9470</v>
      </c>
      <c r="B1471" s="2" t="s">
        <v>173</v>
      </c>
      <c r="C1471" s="2" t="s">
        <v>174</v>
      </c>
      <c r="D1471" s="20">
        <v>0</v>
      </c>
      <c r="E1471" s="2" t="s">
        <v>838</v>
      </c>
      <c r="F1471" s="2" t="s">
        <v>793</v>
      </c>
      <c r="G1471" s="2" t="s">
        <v>1444</v>
      </c>
      <c r="H1471" s="2" t="s">
        <v>935</v>
      </c>
      <c r="J1471" s="26"/>
      <c r="K1471" s="36">
        <v>7.1768999999999999E-4</v>
      </c>
      <c r="L1471" s="23">
        <v>2.3923E-4</v>
      </c>
    </row>
    <row r="1472" spans="1:12" ht="15.35" x14ac:dyDescent="0.55000000000000004">
      <c r="A1472" s="20">
        <v>9477</v>
      </c>
      <c r="B1472" s="2" t="s">
        <v>173</v>
      </c>
      <c r="C1472" s="2" t="s">
        <v>174</v>
      </c>
      <c r="D1472" s="20">
        <v>0</v>
      </c>
      <c r="E1472" s="2" t="s">
        <v>838</v>
      </c>
      <c r="F1472" s="2" t="s">
        <v>793</v>
      </c>
      <c r="G1472" s="2" t="s">
        <v>2266</v>
      </c>
      <c r="J1472" s="26"/>
      <c r="K1472" s="36">
        <v>4.4934E-4</v>
      </c>
      <c r="L1472" s="23">
        <v>1.4977999999999999E-4</v>
      </c>
    </row>
    <row r="1473" spans="1:12" ht="15.35" hidden="1" x14ac:dyDescent="0.55000000000000004">
      <c r="A1473" s="20">
        <v>9469</v>
      </c>
      <c r="B1473" s="2" t="s">
        <v>173</v>
      </c>
      <c r="C1473" s="2" t="s">
        <v>174</v>
      </c>
      <c r="D1473" s="20">
        <v>0</v>
      </c>
      <c r="E1473" s="2" t="s">
        <v>838</v>
      </c>
      <c r="F1473" s="2" t="s">
        <v>793</v>
      </c>
      <c r="G1473" s="2" t="s">
        <v>934</v>
      </c>
      <c r="H1473" s="2" t="s">
        <v>935</v>
      </c>
      <c r="J1473" s="26"/>
      <c r="K1473" s="36">
        <v>2.9020000000000001E-4</v>
      </c>
      <c r="L1473" s="23">
        <v>9.6730000000000004E-5</v>
      </c>
    </row>
    <row r="1474" spans="1:12" ht="15.35" x14ac:dyDescent="0.55000000000000004">
      <c r="A1474" s="20">
        <v>9640</v>
      </c>
      <c r="B1474" s="2" t="s">
        <v>173</v>
      </c>
      <c r="C1474" s="2" t="s">
        <v>174</v>
      </c>
      <c r="D1474" s="20">
        <v>0</v>
      </c>
      <c r="E1474" s="2" t="s">
        <v>838</v>
      </c>
      <c r="F1474" s="2" t="s">
        <v>811</v>
      </c>
      <c r="G1474" s="2" t="s">
        <v>2267</v>
      </c>
      <c r="J1474" s="26"/>
      <c r="K1474" s="36">
        <v>5.9280000000000002E-5</v>
      </c>
      <c r="L1474" s="23">
        <v>1.9760000000000001E-5</v>
      </c>
    </row>
    <row r="1475" spans="1:12" ht="15.35" hidden="1" x14ac:dyDescent="0.55000000000000004">
      <c r="A1475" s="20">
        <v>9673</v>
      </c>
      <c r="B1475" s="2" t="s">
        <v>173</v>
      </c>
      <c r="C1475" s="2" t="s">
        <v>174</v>
      </c>
      <c r="D1475" s="20">
        <v>0</v>
      </c>
      <c r="E1475" s="2" t="s">
        <v>838</v>
      </c>
      <c r="F1475" s="2" t="s">
        <v>793</v>
      </c>
      <c r="G1475" s="2" t="s">
        <v>2268</v>
      </c>
      <c r="H1475" s="2" t="s">
        <v>824</v>
      </c>
      <c r="J1475" s="26"/>
      <c r="K1475" s="36">
        <v>1.3417800000000001E-3</v>
      </c>
      <c r="L1475" s="23">
        <v>4.4726E-4</v>
      </c>
    </row>
    <row r="1476" spans="1:12" ht="15.35" hidden="1" x14ac:dyDescent="0.55000000000000004">
      <c r="A1476" s="20">
        <v>9019</v>
      </c>
      <c r="B1476" s="2" t="s">
        <v>173</v>
      </c>
      <c r="C1476" s="2" t="s">
        <v>174</v>
      </c>
      <c r="D1476" s="20">
        <v>0</v>
      </c>
      <c r="E1476" s="2" t="s">
        <v>838</v>
      </c>
      <c r="F1476" s="2" t="s">
        <v>848</v>
      </c>
      <c r="G1476" s="2" t="s">
        <v>1110</v>
      </c>
      <c r="H1476" s="2" t="s">
        <v>1110</v>
      </c>
      <c r="J1476" s="26"/>
      <c r="K1476" s="36">
        <v>1.9658700000000002E-3</v>
      </c>
      <c r="L1476" s="23">
        <v>6.5529E-4</v>
      </c>
    </row>
    <row r="1477" spans="1:12" ht="15.35" x14ac:dyDescent="0.55000000000000004">
      <c r="A1477" s="20">
        <v>9659</v>
      </c>
      <c r="B1477" s="2" t="s">
        <v>173</v>
      </c>
      <c r="C1477" s="2" t="s">
        <v>174</v>
      </c>
      <c r="D1477" s="20">
        <v>0</v>
      </c>
      <c r="E1477" s="2" t="s">
        <v>838</v>
      </c>
      <c r="F1477" s="2" t="s">
        <v>793</v>
      </c>
      <c r="G1477" s="2" t="s">
        <v>2269</v>
      </c>
      <c r="J1477" s="26"/>
      <c r="K1477" s="36">
        <v>5.6159999999999998E-5</v>
      </c>
      <c r="L1477" s="23">
        <v>1.872E-5</v>
      </c>
    </row>
    <row r="1478" spans="1:12" ht="15.35" x14ac:dyDescent="0.55000000000000004">
      <c r="A1478" s="20">
        <v>9663</v>
      </c>
      <c r="B1478" s="2" t="s">
        <v>173</v>
      </c>
      <c r="C1478" s="2" t="s">
        <v>174</v>
      </c>
      <c r="D1478" s="20">
        <v>0</v>
      </c>
      <c r="E1478" s="2" t="s">
        <v>838</v>
      </c>
      <c r="F1478" s="2" t="s">
        <v>793</v>
      </c>
      <c r="G1478" s="2" t="s">
        <v>2270</v>
      </c>
      <c r="J1478" s="26"/>
      <c r="K1478" s="36">
        <v>1.1545E-4</v>
      </c>
      <c r="L1478" s="23">
        <v>3.8479999999999997E-5</v>
      </c>
    </row>
    <row r="1479" spans="1:12" ht="15.35" hidden="1" x14ac:dyDescent="0.55000000000000004">
      <c r="A1479" s="20">
        <v>9664</v>
      </c>
      <c r="B1479" s="2" t="s">
        <v>173</v>
      </c>
      <c r="C1479" s="2" t="s">
        <v>174</v>
      </c>
      <c r="D1479" s="20">
        <v>0</v>
      </c>
      <c r="E1479" s="2" t="s">
        <v>838</v>
      </c>
      <c r="F1479" s="2" t="s">
        <v>793</v>
      </c>
      <c r="G1479" s="2" t="s">
        <v>2271</v>
      </c>
      <c r="H1479" s="2" t="s">
        <v>1111</v>
      </c>
      <c r="J1479" s="26"/>
      <c r="K1479" s="36">
        <v>2.8082999999999998E-4</v>
      </c>
      <c r="L1479" s="23">
        <v>9.3610000000000007E-5</v>
      </c>
    </row>
    <row r="1480" spans="1:12" ht="15.35" hidden="1" x14ac:dyDescent="0.55000000000000004">
      <c r="A1480" s="20">
        <v>9023</v>
      </c>
      <c r="B1480" s="2" t="s">
        <v>173</v>
      </c>
      <c r="C1480" s="2" t="s">
        <v>174</v>
      </c>
      <c r="D1480" s="20">
        <v>0</v>
      </c>
      <c r="E1480" s="2" t="s">
        <v>838</v>
      </c>
      <c r="F1480" s="2" t="s">
        <v>848</v>
      </c>
      <c r="G1480" s="2" t="s">
        <v>1449</v>
      </c>
      <c r="H1480" s="2" t="s">
        <v>1111</v>
      </c>
      <c r="J1480" s="26"/>
      <c r="K1480" s="36">
        <v>1.9658700000000002E-3</v>
      </c>
      <c r="L1480" s="23">
        <v>6.5529E-4</v>
      </c>
    </row>
    <row r="1481" spans="1:12" ht="15.35" hidden="1" x14ac:dyDescent="0.55000000000000004">
      <c r="A1481" s="20">
        <v>9661</v>
      </c>
      <c r="B1481" s="2" t="s">
        <v>173</v>
      </c>
      <c r="C1481" s="2" t="s">
        <v>174</v>
      </c>
      <c r="D1481" s="20">
        <v>0</v>
      </c>
      <c r="E1481" s="2" t="s">
        <v>838</v>
      </c>
      <c r="F1481" s="2" t="s">
        <v>793</v>
      </c>
      <c r="G1481" s="2" t="s">
        <v>1450</v>
      </c>
      <c r="H1481" s="2" t="s">
        <v>1451</v>
      </c>
      <c r="J1481" s="26"/>
      <c r="K1481" s="36">
        <v>1.6226000000000001E-4</v>
      </c>
      <c r="L1481" s="23">
        <v>5.4089999999999999E-5</v>
      </c>
    </row>
    <row r="1482" spans="1:12" ht="15.35" x14ac:dyDescent="0.55000000000000004">
      <c r="A1482" s="20">
        <v>9662</v>
      </c>
      <c r="B1482" s="2" t="s">
        <v>173</v>
      </c>
      <c r="C1482" s="2" t="s">
        <v>174</v>
      </c>
      <c r="D1482" s="20">
        <v>0</v>
      </c>
      <c r="E1482" s="2" t="s">
        <v>838</v>
      </c>
      <c r="F1482" s="2" t="s">
        <v>793</v>
      </c>
      <c r="G1482" s="2" t="s">
        <v>2272</v>
      </c>
      <c r="J1482" s="26"/>
      <c r="K1482" s="36">
        <v>2.3403000000000001E-4</v>
      </c>
      <c r="L1482" s="23">
        <v>7.8009999999999993E-5</v>
      </c>
    </row>
    <row r="1483" spans="1:12" ht="15.35" x14ac:dyDescent="0.55000000000000004">
      <c r="A1483" s="20">
        <v>9667</v>
      </c>
      <c r="B1483" s="2" t="s">
        <v>173</v>
      </c>
      <c r="C1483" s="2" t="s">
        <v>174</v>
      </c>
      <c r="D1483" s="20">
        <v>0</v>
      </c>
      <c r="E1483" s="2" t="s">
        <v>838</v>
      </c>
      <c r="F1483" s="2" t="s">
        <v>793</v>
      </c>
      <c r="G1483" s="2" t="s">
        <v>2273</v>
      </c>
      <c r="J1483" s="26"/>
      <c r="K1483" s="36">
        <v>8.7369999999999999E-5</v>
      </c>
      <c r="L1483" s="23">
        <v>2.9119999999999999E-5</v>
      </c>
    </row>
    <row r="1484" spans="1:12" ht="15.35" x14ac:dyDescent="0.55000000000000004">
      <c r="A1484" s="20">
        <v>9668</v>
      </c>
      <c r="B1484" s="2" t="s">
        <v>173</v>
      </c>
      <c r="C1484" s="2" t="s">
        <v>174</v>
      </c>
      <c r="D1484" s="20">
        <v>0</v>
      </c>
      <c r="E1484" s="2" t="s">
        <v>838</v>
      </c>
      <c r="F1484" s="2" t="s">
        <v>793</v>
      </c>
      <c r="G1484" s="2" t="s">
        <v>2274</v>
      </c>
      <c r="J1484" s="26"/>
      <c r="K1484" s="36">
        <v>3.4323999999999997E-4</v>
      </c>
      <c r="L1484" s="23">
        <v>1.1441E-4</v>
      </c>
    </row>
    <row r="1485" spans="1:12" ht="15.35" x14ac:dyDescent="0.55000000000000004">
      <c r="A1485" s="20">
        <v>9666</v>
      </c>
      <c r="B1485" s="2" t="s">
        <v>173</v>
      </c>
      <c r="C1485" s="2" t="s">
        <v>174</v>
      </c>
      <c r="D1485" s="20">
        <v>0</v>
      </c>
      <c r="E1485" s="2" t="s">
        <v>838</v>
      </c>
      <c r="F1485" s="2" t="s">
        <v>793</v>
      </c>
      <c r="G1485" s="2" t="s">
        <v>2275</v>
      </c>
      <c r="J1485" s="26"/>
      <c r="K1485" s="36">
        <v>1.7474E-4</v>
      </c>
      <c r="L1485" s="23">
        <v>5.825E-5</v>
      </c>
    </row>
    <row r="1486" spans="1:12" ht="15.35" x14ac:dyDescent="0.55000000000000004">
      <c r="A1486" s="20">
        <v>9665</v>
      </c>
      <c r="B1486" s="2" t="s">
        <v>173</v>
      </c>
      <c r="C1486" s="2" t="s">
        <v>174</v>
      </c>
      <c r="D1486" s="20">
        <v>0</v>
      </c>
      <c r="E1486" s="2" t="s">
        <v>838</v>
      </c>
      <c r="F1486" s="2" t="s">
        <v>793</v>
      </c>
      <c r="G1486" s="2" t="s">
        <v>2276</v>
      </c>
      <c r="J1486" s="26"/>
      <c r="K1486" s="36">
        <v>1.1545E-4</v>
      </c>
      <c r="L1486" s="23">
        <v>3.8479999999999997E-5</v>
      </c>
    </row>
    <row r="1487" spans="1:12" ht="15.35" x14ac:dyDescent="0.55000000000000004">
      <c r="A1487" s="20">
        <v>9658</v>
      </c>
      <c r="B1487" s="2" t="s">
        <v>173</v>
      </c>
      <c r="C1487" s="2" t="s">
        <v>174</v>
      </c>
      <c r="D1487" s="20">
        <v>0</v>
      </c>
      <c r="E1487" s="2" t="s">
        <v>838</v>
      </c>
      <c r="F1487" s="2" t="s">
        <v>793</v>
      </c>
      <c r="G1487" s="2" t="s">
        <v>2277</v>
      </c>
      <c r="J1487" s="26"/>
      <c r="K1487" s="36">
        <v>5.6167000000000001E-4</v>
      </c>
      <c r="L1487" s="23">
        <v>1.8722000000000001E-4</v>
      </c>
    </row>
    <row r="1488" spans="1:12" ht="15.35" hidden="1" x14ac:dyDescent="0.55000000000000004">
      <c r="A1488" s="20">
        <v>9660</v>
      </c>
      <c r="B1488" s="2" t="s">
        <v>173</v>
      </c>
      <c r="C1488" s="2" t="s">
        <v>174</v>
      </c>
      <c r="D1488" s="20">
        <v>0</v>
      </c>
      <c r="E1488" s="2" t="s">
        <v>838</v>
      </c>
      <c r="F1488" s="2" t="s">
        <v>793</v>
      </c>
      <c r="G1488" s="2" t="s">
        <v>1452</v>
      </c>
      <c r="H1488" s="2" t="s">
        <v>1451</v>
      </c>
      <c r="J1488" s="26"/>
      <c r="K1488" s="36">
        <v>1.0547E-3</v>
      </c>
      <c r="L1488" s="23">
        <v>3.5157E-4</v>
      </c>
    </row>
    <row r="1489" spans="1:12" ht="15.35" hidden="1" x14ac:dyDescent="0.55000000000000004">
      <c r="A1489" s="20">
        <v>9170</v>
      </c>
      <c r="B1489" s="2" t="s">
        <v>173</v>
      </c>
      <c r="C1489" s="2" t="s">
        <v>174</v>
      </c>
      <c r="D1489" s="20">
        <v>0</v>
      </c>
      <c r="E1489" s="2" t="s">
        <v>838</v>
      </c>
      <c r="F1489" s="2" t="s">
        <v>789</v>
      </c>
      <c r="G1489" s="2" t="s">
        <v>1453</v>
      </c>
      <c r="H1489" s="2" t="s">
        <v>1114</v>
      </c>
      <c r="J1489" s="26"/>
      <c r="K1489" s="36">
        <v>1.5633299999999999E-3</v>
      </c>
      <c r="L1489" s="23">
        <v>5.2110999999999998E-4</v>
      </c>
    </row>
    <row r="1490" spans="1:12" ht="15.35" hidden="1" x14ac:dyDescent="0.55000000000000004">
      <c r="A1490" s="20">
        <v>9174</v>
      </c>
      <c r="B1490" s="2" t="s">
        <v>173</v>
      </c>
      <c r="C1490" s="2" t="s">
        <v>174</v>
      </c>
      <c r="D1490" s="20">
        <v>0</v>
      </c>
      <c r="E1490" s="2" t="s">
        <v>838</v>
      </c>
      <c r="F1490" s="2" t="s">
        <v>789</v>
      </c>
      <c r="G1490" s="2" t="s">
        <v>1454</v>
      </c>
      <c r="H1490" s="2" t="s">
        <v>1114</v>
      </c>
      <c r="J1490" s="26"/>
      <c r="K1490" s="36">
        <v>1.2076000000000001E-3</v>
      </c>
      <c r="L1490" s="23">
        <v>4.0253000000000001E-4</v>
      </c>
    </row>
    <row r="1491" spans="1:12" ht="15.35" x14ac:dyDescent="0.55000000000000004">
      <c r="A1491" s="20">
        <v>9623</v>
      </c>
      <c r="B1491" s="2" t="s">
        <v>173</v>
      </c>
      <c r="C1491" s="2" t="s">
        <v>174</v>
      </c>
      <c r="D1491" s="20">
        <v>0</v>
      </c>
      <c r="E1491" s="2" t="s">
        <v>838</v>
      </c>
      <c r="F1491" s="2" t="s">
        <v>793</v>
      </c>
      <c r="G1491" s="2" t="s">
        <v>2278</v>
      </c>
      <c r="J1491" s="26"/>
      <c r="K1491" s="36">
        <v>5.2735E-4</v>
      </c>
      <c r="L1491" s="23">
        <v>1.7578E-4</v>
      </c>
    </row>
    <row r="1492" spans="1:12" ht="15.35" hidden="1" x14ac:dyDescent="0.55000000000000004">
      <c r="A1492" s="20">
        <v>9280</v>
      </c>
      <c r="B1492" s="2" t="s">
        <v>173</v>
      </c>
      <c r="C1492" s="2" t="s">
        <v>174</v>
      </c>
      <c r="D1492" s="20">
        <v>0</v>
      </c>
      <c r="E1492" s="2" t="s">
        <v>838</v>
      </c>
      <c r="F1492" s="2" t="s">
        <v>789</v>
      </c>
      <c r="G1492" s="2" t="s">
        <v>2279</v>
      </c>
      <c r="H1492" s="2" t="s">
        <v>2279</v>
      </c>
      <c r="J1492" s="26"/>
      <c r="K1492" s="36">
        <v>3.4947999999999999E-4</v>
      </c>
      <c r="L1492" s="23">
        <v>1.1649E-4</v>
      </c>
    </row>
    <row r="1493" spans="1:12" ht="15.35" x14ac:dyDescent="0.55000000000000004">
      <c r="A1493" s="20">
        <v>9580</v>
      </c>
      <c r="B1493" s="2" t="s">
        <v>173</v>
      </c>
      <c r="C1493" s="2" t="s">
        <v>174</v>
      </c>
      <c r="D1493" s="20">
        <v>0</v>
      </c>
      <c r="E1493" s="2" t="s">
        <v>838</v>
      </c>
      <c r="F1493" s="2" t="s">
        <v>811</v>
      </c>
      <c r="G1493" s="2" t="s">
        <v>2280</v>
      </c>
      <c r="J1493" s="26"/>
      <c r="K1493" s="36">
        <v>3.4319999999999997E-5</v>
      </c>
      <c r="L1493" s="23">
        <v>1.1440000000000001E-5</v>
      </c>
    </row>
    <row r="1494" spans="1:12" ht="15.35" x14ac:dyDescent="0.55000000000000004">
      <c r="A1494" s="20">
        <v>9579</v>
      </c>
      <c r="B1494" s="2" t="s">
        <v>173</v>
      </c>
      <c r="C1494" s="2" t="s">
        <v>174</v>
      </c>
      <c r="D1494" s="20">
        <v>0</v>
      </c>
      <c r="E1494" s="2" t="s">
        <v>838</v>
      </c>
      <c r="F1494" s="2" t="s">
        <v>811</v>
      </c>
      <c r="G1494" s="2" t="s">
        <v>2281</v>
      </c>
      <c r="J1494" s="26"/>
      <c r="K1494" s="36">
        <v>2.9020000000000001E-4</v>
      </c>
      <c r="L1494" s="23">
        <v>9.6730000000000004E-5</v>
      </c>
    </row>
    <row r="1495" spans="1:12" ht="15.35" x14ac:dyDescent="0.55000000000000004">
      <c r="A1495" s="20">
        <v>9581</v>
      </c>
      <c r="B1495" s="2" t="s">
        <v>173</v>
      </c>
      <c r="C1495" s="2" t="s">
        <v>174</v>
      </c>
      <c r="D1495" s="20">
        <v>0</v>
      </c>
      <c r="E1495" s="2" t="s">
        <v>838</v>
      </c>
      <c r="F1495" s="2" t="s">
        <v>811</v>
      </c>
      <c r="G1495" s="2" t="s">
        <v>2282</v>
      </c>
      <c r="J1495" s="26"/>
      <c r="K1495" s="36">
        <v>3.4319999999999997E-5</v>
      </c>
      <c r="L1495" s="23">
        <v>1.1440000000000001E-5</v>
      </c>
    </row>
    <row r="1496" spans="1:12" ht="15.35" x14ac:dyDescent="0.55000000000000004">
      <c r="A1496" s="20">
        <v>9399</v>
      </c>
      <c r="B1496" s="2" t="s">
        <v>173</v>
      </c>
      <c r="C1496" s="2" t="s">
        <v>174</v>
      </c>
      <c r="D1496" s="20">
        <v>0</v>
      </c>
      <c r="E1496" s="2" t="s">
        <v>838</v>
      </c>
      <c r="F1496" s="2" t="s">
        <v>817</v>
      </c>
      <c r="G1496" s="2" t="s">
        <v>2283</v>
      </c>
      <c r="J1496" s="26"/>
      <c r="K1496" s="36">
        <v>1.9658700000000002E-3</v>
      </c>
      <c r="L1496" s="23">
        <v>6.5529E-4</v>
      </c>
    </row>
    <row r="1497" spans="1:12" ht="15.35" hidden="1" x14ac:dyDescent="0.55000000000000004">
      <c r="A1497" s="20">
        <v>9400</v>
      </c>
      <c r="B1497" s="2" t="s">
        <v>173</v>
      </c>
      <c r="C1497" s="2" t="s">
        <v>174</v>
      </c>
      <c r="D1497" s="20">
        <v>0</v>
      </c>
      <c r="E1497" s="2" t="s">
        <v>838</v>
      </c>
      <c r="F1497" s="2" t="s">
        <v>817</v>
      </c>
      <c r="G1497" s="2" t="s">
        <v>2284</v>
      </c>
      <c r="H1497" s="2" t="s">
        <v>2285</v>
      </c>
      <c r="J1497" s="26"/>
      <c r="K1497" s="36">
        <v>4.6806000000000001E-4</v>
      </c>
      <c r="L1497" s="23">
        <v>1.5601999999999999E-4</v>
      </c>
    </row>
    <row r="1498" spans="1:12" ht="15.35" x14ac:dyDescent="0.55000000000000004">
      <c r="A1498" s="20">
        <v>9401</v>
      </c>
      <c r="B1498" s="2" t="s">
        <v>173</v>
      </c>
      <c r="C1498" s="2" t="s">
        <v>174</v>
      </c>
      <c r="D1498" s="20">
        <v>0</v>
      </c>
      <c r="E1498" s="2" t="s">
        <v>838</v>
      </c>
      <c r="F1498" s="2" t="s">
        <v>817</v>
      </c>
      <c r="G1498" s="2" t="s">
        <v>2286</v>
      </c>
      <c r="J1498" s="26"/>
      <c r="K1498" s="36">
        <v>1.9658700000000002E-3</v>
      </c>
      <c r="L1498" s="23">
        <v>6.5529E-4</v>
      </c>
    </row>
    <row r="1499" spans="1:12" ht="15.35" x14ac:dyDescent="0.55000000000000004">
      <c r="A1499" s="20">
        <v>9914</v>
      </c>
      <c r="B1499" s="2" t="s">
        <v>173</v>
      </c>
      <c r="C1499" s="2" t="s">
        <v>174</v>
      </c>
      <c r="D1499" s="20">
        <v>0</v>
      </c>
      <c r="E1499" s="2" t="s">
        <v>838</v>
      </c>
      <c r="F1499" s="2" t="s">
        <v>817</v>
      </c>
      <c r="G1499" s="2" t="s">
        <v>2287</v>
      </c>
      <c r="J1499" s="26"/>
      <c r="K1499" s="36">
        <v>1.9658700000000002E-3</v>
      </c>
      <c r="L1499" s="23">
        <v>6.5529E-4</v>
      </c>
    </row>
    <row r="1500" spans="1:12" ht="15.35" hidden="1" x14ac:dyDescent="0.55000000000000004">
      <c r="A1500" s="20">
        <v>9670</v>
      </c>
      <c r="B1500" s="2" t="s">
        <v>173</v>
      </c>
      <c r="C1500" s="2" t="s">
        <v>174</v>
      </c>
      <c r="D1500" s="20">
        <v>0</v>
      </c>
      <c r="E1500" s="2" t="s">
        <v>838</v>
      </c>
      <c r="F1500" s="2" t="s">
        <v>789</v>
      </c>
      <c r="G1500" s="2" t="s">
        <v>2288</v>
      </c>
      <c r="H1500" s="2" t="s">
        <v>826</v>
      </c>
      <c r="J1500" s="26"/>
      <c r="K1500" s="36">
        <v>1.9658700000000002E-3</v>
      </c>
      <c r="L1500" s="23">
        <v>6.5529E-4</v>
      </c>
    </row>
    <row r="1501" spans="1:12" ht="15.35" hidden="1" x14ac:dyDescent="0.55000000000000004">
      <c r="A1501" s="20">
        <v>9669</v>
      </c>
      <c r="B1501" s="2" t="s">
        <v>173</v>
      </c>
      <c r="C1501" s="2" t="s">
        <v>174</v>
      </c>
      <c r="D1501" s="20">
        <v>0</v>
      </c>
      <c r="E1501" s="2" t="s">
        <v>838</v>
      </c>
      <c r="F1501" s="2" t="s">
        <v>789</v>
      </c>
      <c r="G1501" s="2" t="s">
        <v>1455</v>
      </c>
      <c r="H1501" s="2" t="s">
        <v>826</v>
      </c>
      <c r="J1501" s="26"/>
      <c r="K1501" s="36">
        <v>1.9658700000000002E-3</v>
      </c>
      <c r="L1501" s="23">
        <v>6.5529E-4</v>
      </c>
    </row>
    <row r="1502" spans="1:12" ht="15.35" hidden="1" x14ac:dyDescent="0.55000000000000004">
      <c r="A1502" s="20">
        <v>9671</v>
      </c>
      <c r="B1502" s="2" t="s">
        <v>173</v>
      </c>
      <c r="C1502" s="2" t="s">
        <v>174</v>
      </c>
      <c r="D1502" s="20">
        <v>0</v>
      </c>
      <c r="E1502" s="2" t="s">
        <v>838</v>
      </c>
      <c r="F1502" s="2" t="s">
        <v>789</v>
      </c>
      <c r="G1502" s="2" t="s">
        <v>937</v>
      </c>
      <c r="H1502" s="2" t="s">
        <v>826</v>
      </c>
      <c r="J1502" s="26"/>
      <c r="K1502" s="36">
        <v>1.17016E-3</v>
      </c>
      <c r="L1502" s="23">
        <v>3.9005000000000002E-4</v>
      </c>
    </row>
    <row r="1503" spans="1:12" ht="15.35" hidden="1" x14ac:dyDescent="0.55000000000000004">
      <c r="A1503" s="20">
        <v>9672</v>
      </c>
      <c r="B1503" s="2" t="s">
        <v>173</v>
      </c>
      <c r="C1503" s="2" t="s">
        <v>174</v>
      </c>
      <c r="D1503" s="20">
        <v>0</v>
      </c>
      <c r="E1503" s="2" t="s">
        <v>838</v>
      </c>
      <c r="F1503" s="2" t="s">
        <v>789</v>
      </c>
      <c r="G1503" s="2" t="s">
        <v>2289</v>
      </c>
      <c r="H1503" s="2" t="s">
        <v>826</v>
      </c>
      <c r="J1503" s="26"/>
      <c r="K1503" s="36">
        <v>1.9658700000000002E-3</v>
      </c>
      <c r="L1503" s="23">
        <v>6.5529E-4</v>
      </c>
    </row>
    <row r="1504" spans="1:12" ht="15.35" hidden="1" x14ac:dyDescent="0.55000000000000004">
      <c r="A1504" s="20">
        <v>9322</v>
      </c>
      <c r="B1504" s="2" t="s">
        <v>173</v>
      </c>
      <c r="C1504" s="2" t="s">
        <v>174</v>
      </c>
      <c r="D1504" s="20">
        <v>0</v>
      </c>
      <c r="E1504" s="2" t="s">
        <v>838</v>
      </c>
      <c r="F1504" s="2" t="s">
        <v>793</v>
      </c>
      <c r="G1504" s="2" t="s">
        <v>2290</v>
      </c>
      <c r="H1504" s="2" t="s">
        <v>1196</v>
      </c>
      <c r="J1504" s="26"/>
      <c r="K1504" s="36">
        <v>7.4889999999999996E-5</v>
      </c>
      <c r="L1504" s="23">
        <v>2.4960000000000002E-5</v>
      </c>
    </row>
    <row r="1505" spans="1:12" ht="15.35" hidden="1" x14ac:dyDescent="0.55000000000000004">
      <c r="A1505" s="20">
        <v>9431</v>
      </c>
      <c r="B1505" s="2" t="s">
        <v>173</v>
      </c>
      <c r="C1505" s="2" t="s">
        <v>174</v>
      </c>
      <c r="D1505" s="20">
        <v>0</v>
      </c>
      <c r="E1505" s="2" t="s">
        <v>838</v>
      </c>
      <c r="F1505" s="2" t="s">
        <v>798</v>
      </c>
      <c r="G1505" s="2" t="s">
        <v>2291</v>
      </c>
      <c r="H1505" s="2" t="s">
        <v>829</v>
      </c>
      <c r="J1505" s="26"/>
      <c r="K1505" s="36">
        <v>1.0921000000000001E-4</v>
      </c>
      <c r="L1505" s="23">
        <v>3.6399999999999997E-5</v>
      </c>
    </row>
    <row r="1506" spans="1:12" ht="15.35" hidden="1" x14ac:dyDescent="0.55000000000000004">
      <c r="A1506" s="20">
        <v>9430</v>
      </c>
      <c r="B1506" s="2" t="s">
        <v>173</v>
      </c>
      <c r="C1506" s="2" t="s">
        <v>174</v>
      </c>
      <c r="D1506" s="20">
        <v>0</v>
      </c>
      <c r="E1506" s="2" t="s">
        <v>838</v>
      </c>
      <c r="F1506" s="2" t="s">
        <v>793</v>
      </c>
      <c r="G1506" s="2" t="s">
        <v>2292</v>
      </c>
      <c r="H1506" s="2" t="s">
        <v>829</v>
      </c>
      <c r="J1506" s="26"/>
      <c r="K1506" s="36">
        <v>1.9658700000000002E-3</v>
      </c>
      <c r="L1506" s="23">
        <v>6.5529E-4</v>
      </c>
    </row>
    <row r="1507" spans="1:12" ht="15.35" hidden="1" x14ac:dyDescent="0.55000000000000004">
      <c r="A1507" s="20">
        <v>9224</v>
      </c>
      <c r="B1507" s="2" t="s">
        <v>173</v>
      </c>
      <c r="C1507" s="2" t="s">
        <v>174</v>
      </c>
      <c r="D1507" s="20">
        <v>0</v>
      </c>
      <c r="E1507" s="2" t="s">
        <v>838</v>
      </c>
      <c r="F1507" s="2" t="s">
        <v>789</v>
      </c>
      <c r="G1507" s="2" t="s">
        <v>1456</v>
      </c>
      <c r="H1507" s="2" t="s">
        <v>832</v>
      </c>
      <c r="J1507" s="26"/>
      <c r="K1507" s="36">
        <v>1.9658700000000002E-3</v>
      </c>
      <c r="L1507" s="23">
        <v>6.5529E-4</v>
      </c>
    </row>
    <row r="1508" spans="1:12" ht="15.35" hidden="1" x14ac:dyDescent="0.55000000000000004">
      <c r="A1508" s="20">
        <v>9238</v>
      </c>
      <c r="B1508" s="2" t="s">
        <v>173</v>
      </c>
      <c r="C1508" s="2" t="s">
        <v>174</v>
      </c>
      <c r="D1508" s="20">
        <v>0</v>
      </c>
      <c r="E1508" s="2" t="s">
        <v>838</v>
      </c>
      <c r="F1508" s="2" t="s">
        <v>789</v>
      </c>
      <c r="G1508" s="2" t="s">
        <v>2293</v>
      </c>
      <c r="H1508" s="2" t="s">
        <v>832</v>
      </c>
      <c r="J1508" s="26"/>
      <c r="K1508" s="36">
        <v>1.9658700000000002E-3</v>
      </c>
      <c r="L1508" s="23">
        <v>6.5529E-4</v>
      </c>
    </row>
    <row r="1509" spans="1:12" ht="15.35" hidden="1" x14ac:dyDescent="0.55000000000000004">
      <c r="A1509" s="20">
        <v>9233</v>
      </c>
      <c r="B1509" s="2" t="s">
        <v>173</v>
      </c>
      <c r="C1509" s="2" t="s">
        <v>174</v>
      </c>
      <c r="D1509" s="20">
        <v>0</v>
      </c>
      <c r="E1509" s="2" t="s">
        <v>838</v>
      </c>
      <c r="F1509" s="2" t="s">
        <v>789</v>
      </c>
      <c r="G1509" s="2" t="s">
        <v>1457</v>
      </c>
      <c r="H1509" s="2" t="s">
        <v>832</v>
      </c>
      <c r="J1509" s="26"/>
      <c r="K1509" s="36">
        <v>7.4889999999999996E-5</v>
      </c>
      <c r="L1509" s="23">
        <v>2.4960000000000002E-5</v>
      </c>
    </row>
    <row r="1510" spans="1:12" ht="15.35" hidden="1" x14ac:dyDescent="0.55000000000000004">
      <c r="A1510" s="20">
        <v>9234</v>
      </c>
      <c r="B1510" s="2" t="s">
        <v>173</v>
      </c>
      <c r="C1510" s="2" t="s">
        <v>174</v>
      </c>
      <c r="D1510" s="20">
        <v>0</v>
      </c>
      <c r="E1510" s="2" t="s">
        <v>838</v>
      </c>
      <c r="F1510" s="2" t="s">
        <v>789</v>
      </c>
      <c r="G1510" s="2" t="s">
        <v>1458</v>
      </c>
      <c r="H1510" s="2" t="s">
        <v>832</v>
      </c>
      <c r="J1510" s="26"/>
      <c r="K1510" s="36">
        <v>7.4889999999999996E-5</v>
      </c>
      <c r="L1510" s="23">
        <v>2.4960000000000002E-5</v>
      </c>
    </row>
    <row r="1511" spans="1:12" ht="15.35" hidden="1" x14ac:dyDescent="0.55000000000000004">
      <c r="A1511" s="20">
        <v>9235</v>
      </c>
      <c r="B1511" s="2" t="s">
        <v>173</v>
      </c>
      <c r="C1511" s="2" t="s">
        <v>174</v>
      </c>
      <c r="D1511" s="20">
        <v>0</v>
      </c>
      <c r="E1511" s="2" t="s">
        <v>838</v>
      </c>
      <c r="F1511" s="2" t="s">
        <v>789</v>
      </c>
      <c r="G1511" s="2" t="s">
        <v>1459</v>
      </c>
      <c r="H1511" s="2" t="s">
        <v>832</v>
      </c>
      <c r="J1511" s="26"/>
      <c r="K1511" s="36">
        <v>7.4889999999999996E-5</v>
      </c>
      <c r="L1511" s="23">
        <v>2.4960000000000002E-5</v>
      </c>
    </row>
    <row r="1512" spans="1:12" ht="15.35" hidden="1" x14ac:dyDescent="0.55000000000000004">
      <c r="A1512" s="20">
        <v>9221</v>
      </c>
      <c r="B1512" s="2" t="s">
        <v>173</v>
      </c>
      <c r="C1512" s="2" t="s">
        <v>174</v>
      </c>
      <c r="D1512" s="20">
        <v>0</v>
      </c>
      <c r="E1512" s="2" t="s">
        <v>838</v>
      </c>
      <c r="F1512" s="2" t="s">
        <v>789</v>
      </c>
      <c r="G1512" s="2" t="s">
        <v>1460</v>
      </c>
      <c r="H1512" s="2" t="s">
        <v>832</v>
      </c>
      <c r="J1512" s="26"/>
      <c r="K1512" s="36">
        <v>1.9658700000000002E-3</v>
      </c>
      <c r="L1512" s="23">
        <v>6.5529E-4</v>
      </c>
    </row>
    <row r="1513" spans="1:12" ht="15.35" hidden="1" x14ac:dyDescent="0.55000000000000004">
      <c r="A1513" s="20">
        <v>9236</v>
      </c>
      <c r="B1513" s="2" t="s">
        <v>173</v>
      </c>
      <c r="C1513" s="2" t="s">
        <v>174</v>
      </c>
      <c r="D1513" s="20">
        <v>0</v>
      </c>
      <c r="E1513" s="2" t="s">
        <v>838</v>
      </c>
      <c r="F1513" s="2" t="s">
        <v>789</v>
      </c>
      <c r="G1513" s="2" t="s">
        <v>1461</v>
      </c>
      <c r="H1513" s="2" t="s">
        <v>832</v>
      </c>
      <c r="J1513" s="26"/>
      <c r="K1513" s="36">
        <v>1.9658700000000002E-3</v>
      </c>
      <c r="L1513" s="23">
        <v>6.5529E-4</v>
      </c>
    </row>
    <row r="1514" spans="1:12" ht="15.35" hidden="1" x14ac:dyDescent="0.55000000000000004">
      <c r="A1514" s="20">
        <v>9223</v>
      </c>
      <c r="B1514" s="2" t="s">
        <v>173</v>
      </c>
      <c r="C1514" s="2" t="s">
        <v>174</v>
      </c>
      <c r="D1514" s="20">
        <v>0</v>
      </c>
      <c r="E1514" s="2" t="s">
        <v>838</v>
      </c>
      <c r="F1514" s="2" t="s">
        <v>789</v>
      </c>
      <c r="G1514" s="2" t="s">
        <v>2294</v>
      </c>
      <c r="H1514" s="2" t="s">
        <v>832</v>
      </c>
      <c r="J1514" s="26"/>
      <c r="K1514" s="36">
        <v>1.9658700000000002E-3</v>
      </c>
      <c r="L1514" s="23">
        <v>6.5529E-4</v>
      </c>
    </row>
    <row r="1515" spans="1:12" ht="15.35" hidden="1" x14ac:dyDescent="0.55000000000000004">
      <c r="A1515" s="20">
        <v>9222</v>
      </c>
      <c r="B1515" s="2" t="s">
        <v>173</v>
      </c>
      <c r="C1515" s="2" t="s">
        <v>174</v>
      </c>
      <c r="D1515" s="20">
        <v>0</v>
      </c>
      <c r="E1515" s="2" t="s">
        <v>838</v>
      </c>
      <c r="F1515" s="2" t="s">
        <v>789</v>
      </c>
      <c r="G1515" s="2" t="s">
        <v>1463</v>
      </c>
      <c r="H1515" s="2" t="s">
        <v>832</v>
      </c>
      <c r="J1515" s="26"/>
      <c r="K1515" s="36">
        <v>1.9658700000000002E-3</v>
      </c>
      <c r="L1515" s="23">
        <v>6.5529E-4</v>
      </c>
    </row>
    <row r="1516" spans="1:12" ht="15.35" hidden="1" x14ac:dyDescent="0.55000000000000004">
      <c r="A1516" s="20">
        <v>9237</v>
      </c>
      <c r="B1516" s="2" t="s">
        <v>173</v>
      </c>
      <c r="C1516" s="2" t="s">
        <v>174</v>
      </c>
      <c r="D1516" s="20">
        <v>0</v>
      </c>
      <c r="E1516" s="2" t="s">
        <v>838</v>
      </c>
      <c r="F1516" s="2" t="s">
        <v>789</v>
      </c>
      <c r="G1516" s="2" t="s">
        <v>1464</v>
      </c>
      <c r="H1516" s="2" t="s">
        <v>832</v>
      </c>
      <c r="J1516" s="26"/>
      <c r="K1516" s="36">
        <v>1.9658700000000002E-3</v>
      </c>
      <c r="L1516" s="23">
        <v>6.5529E-4</v>
      </c>
    </row>
    <row r="1517" spans="1:12" ht="15.35" hidden="1" x14ac:dyDescent="0.55000000000000004">
      <c r="A1517" s="20">
        <v>9240</v>
      </c>
      <c r="B1517" s="2" t="s">
        <v>173</v>
      </c>
      <c r="C1517" s="2" t="s">
        <v>174</v>
      </c>
      <c r="D1517" s="20">
        <v>0</v>
      </c>
      <c r="E1517" s="2" t="s">
        <v>838</v>
      </c>
      <c r="F1517" s="2" t="s">
        <v>789</v>
      </c>
      <c r="G1517" s="2" t="s">
        <v>2295</v>
      </c>
      <c r="H1517" s="2" t="s">
        <v>832</v>
      </c>
      <c r="J1517" s="26"/>
      <c r="K1517" s="36">
        <v>1.9658700000000002E-3</v>
      </c>
      <c r="L1517" s="23">
        <v>6.5529E-4</v>
      </c>
    </row>
    <row r="1518" spans="1:12" ht="15.35" hidden="1" x14ac:dyDescent="0.55000000000000004">
      <c r="A1518" s="20">
        <v>9225</v>
      </c>
      <c r="B1518" s="2" t="s">
        <v>173</v>
      </c>
      <c r="C1518" s="2" t="s">
        <v>174</v>
      </c>
      <c r="D1518" s="20">
        <v>0</v>
      </c>
      <c r="E1518" s="2" t="s">
        <v>838</v>
      </c>
      <c r="F1518" s="2" t="s">
        <v>789</v>
      </c>
      <c r="G1518" s="2" t="s">
        <v>1465</v>
      </c>
      <c r="H1518" s="2" t="s">
        <v>832</v>
      </c>
      <c r="J1518" s="26"/>
      <c r="K1518" s="36">
        <v>1.9658700000000002E-3</v>
      </c>
      <c r="L1518" s="23">
        <v>6.5529E-4</v>
      </c>
    </row>
    <row r="1519" spans="1:12" ht="15.35" hidden="1" x14ac:dyDescent="0.55000000000000004">
      <c r="A1519" s="20">
        <v>9227</v>
      </c>
      <c r="B1519" s="2" t="s">
        <v>173</v>
      </c>
      <c r="C1519" s="2" t="s">
        <v>174</v>
      </c>
      <c r="D1519" s="20">
        <v>0</v>
      </c>
      <c r="E1519" s="2" t="s">
        <v>838</v>
      </c>
      <c r="F1519" s="2" t="s">
        <v>789</v>
      </c>
      <c r="G1519" s="2" t="s">
        <v>2296</v>
      </c>
      <c r="H1519" s="2" t="s">
        <v>832</v>
      </c>
      <c r="J1519" s="26"/>
      <c r="K1519" s="36">
        <v>1.9658700000000002E-3</v>
      </c>
      <c r="L1519" s="23">
        <v>6.5529E-4</v>
      </c>
    </row>
    <row r="1520" spans="1:12" ht="15.35" hidden="1" x14ac:dyDescent="0.55000000000000004">
      <c r="A1520" s="20">
        <v>9231</v>
      </c>
      <c r="B1520" s="2" t="s">
        <v>173</v>
      </c>
      <c r="C1520" s="2" t="s">
        <v>174</v>
      </c>
      <c r="D1520" s="20">
        <v>0</v>
      </c>
      <c r="E1520" s="2" t="s">
        <v>838</v>
      </c>
      <c r="F1520" s="2" t="s">
        <v>789</v>
      </c>
      <c r="G1520" s="2" t="s">
        <v>2297</v>
      </c>
      <c r="H1520" s="2" t="s">
        <v>832</v>
      </c>
      <c r="J1520" s="26"/>
      <c r="K1520" s="36">
        <v>1.58205E-3</v>
      </c>
      <c r="L1520" s="23">
        <v>5.2735E-4</v>
      </c>
    </row>
    <row r="1521" spans="1:12" ht="15.35" hidden="1" x14ac:dyDescent="0.55000000000000004">
      <c r="A1521" s="20">
        <v>9239</v>
      </c>
      <c r="B1521" s="2" t="s">
        <v>173</v>
      </c>
      <c r="C1521" s="2" t="s">
        <v>174</v>
      </c>
      <c r="D1521" s="20">
        <v>0</v>
      </c>
      <c r="E1521" s="2" t="s">
        <v>838</v>
      </c>
      <c r="F1521" s="2" t="s">
        <v>789</v>
      </c>
      <c r="G1521" s="2" t="s">
        <v>1472</v>
      </c>
      <c r="H1521" s="2" t="s">
        <v>832</v>
      </c>
      <c r="J1521" s="26"/>
      <c r="K1521" s="36">
        <v>1.9658700000000002E-3</v>
      </c>
      <c r="L1521" s="23">
        <v>6.5529E-4</v>
      </c>
    </row>
    <row r="1522" spans="1:12" ht="15.35" hidden="1" x14ac:dyDescent="0.55000000000000004">
      <c r="A1522" s="20">
        <v>9226</v>
      </c>
      <c r="B1522" s="2" t="s">
        <v>173</v>
      </c>
      <c r="C1522" s="2" t="s">
        <v>174</v>
      </c>
      <c r="D1522" s="20">
        <v>0</v>
      </c>
      <c r="E1522" s="2" t="s">
        <v>838</v>
      </c>
      <c r="F1522" s="2" t="s">
        <v>789</v>
      </c>
      <c r="G1522" s="2" t="s">
        <v>1472</v>
      </c>
      <c r="H1522" s="2" t="s">
        <v>832</v>
      </c>
      <c r="J1522" s="26"/>
      <c r="K1522" s="36">
        <v>1.9658700000000002E-3</v>
      </c>
      <c r="L1522" s="23">
        <v>6.5529E-4</v>
      </c>
    </row>
    <row r="1523" spans="1:12" ht="15.35" hidden="1" x14ac:dyDescent="0.55000000000000004">
      <c r="A1523" s="20">
        <v>9228</v>
      </c>
      <c r="B1523" s="2" t="s">
        <v>173</v>
      </c>
      <c r="C1523" s="2" t="s">
        <v>174</v>
      </c>
      <c r="D1523" s="20">
        <v>0</v>
      </c>
      <c r="E1523" s="2" t="s">
        <v>838</v>
      </c>
      <c r="F1523" s="2" t="s">
        <v>789</v>
      </c>
      <c r="G1523" s="2" t="s">
        <v>2298</v>
      </c>
      <c r="H1523" s="2" t="s">
        <v>832</v>
      </c>
      <c r="J1523" s="26"/>
      <c r="K1523" s="36">
        <v>1.9658700000000002E-3</v>
      </c>
      <c r="L1523" s="23">
        <v>6.5529E-4</v>
      </c>
    </row>
    <row r="1524" spans="1:12" ht="15.35" hidden="1" x14ac:dyDescent="0.55000000000000004">
      <c r="A1524" s="20">
        <v>9244</v>
      </c>
      <c r="B1524" s="2" t="s">
        <v>173</v>
      </c>
      <c r="C1524" s="2" t="s">
        <v>174</v>
      </c>
      <c r="D1524" s="20">
        <v>0</v>
      </c>
      <c r="E1524" s="2" t="s">
        <v>838</v>
      </c>
      <c r="F1524" s="2" t="s">
        <v>789</v>
      </c>
      <c r="G1524" s="2" t="s">
        <v>1474</v>
      </c>
      <c r="H1524" s="2" t="s">
        <v>832</v>
      </c>
      <c r="J1524" s="26"/>
      <c r="K1524" s="36">
        <v>1.9658700000000002E-3</v>
      </c>
      <c r="L1524" s="23">
        <v>6.5529E-4</v>
      </c>
    </row>
    <row r="1525" spans="1:12" ht="15.35" hidden="1" x14ac:dyDescent="0.55000000000000004">
      <c r="A1525" s="20">
        <v>9241</v>
      </c>
      <c r="B1525" s="2" t="s">
        <v>173</v>
      </c>
      <c r="C1525" s="2" t="s">
        <v>174</v>
      </c>
      <c r="D1525" s="20">
        <v>0</v>
      </c>
      <c r="E1525" s="2" t="s">
        <v>838</v>
      </c>
      <c r="F1525" s="2" t="s">
        <v>789</v>
      </c>
      <c r="G1525" s="2" t="s">
        <v>2299</v>
      </c>
      <c r="H1525" s="2" t="s">
        <v>832</v>
      </c>
      <c r="J1525" s="26"/>
      <c r="K1525" s="36">
        <v>1.9658700000000002E-3</v>
      </c>
      <c r="L1525" s="23">
        <v>6.5529E-4</v>
      </c>
    </row>
    <row r="1526" spans="1:12" ht="15.35" hidden="1" x14ac:dyDescent="0.55000000000000004">
      <c r="A1526" s="20">
        <v>9245</v>
      </c>
      <c r="B1526" s="2" t="s">
        <v>173</v>
      </c>
      <c r="C1526" s="2" t="s">
        <v>174</v>
      </c>
      <c r="D1526" s="20">
        <v>0</v>
      </c>
      <c r="E1526" s="2" t="s">
        <v>838</v>
      </c>
      <c r="F1526" s="2" t="s">
        <v>789</v>
      </c>
      <c r="G1526" s="2" t="s">
        <v>2300</v>
      </c>
      <c r="H1526" s="2" t="s">
        <v>832</v>
      </c>
      <c r="J1526" s="26"/>
      <c r="K1526" s="36">
        <v>1.9658700000000002E-3</v>
      </c>
      <c r="L1526" s="23">
        <v>6.5529E-4</v>
      </c>
    </row>
    <row r="1527" spans="1:12" ht="15.35" hidden="1" x14ac:dyDescent="0.55000000000000004">
      <c r="A1527" s="20">
        <v>9242</v>
      </c>
      <c r="B1527" s="2" t="s">
        <v>173</v>
      </c>
      <c r="C1527" s="2" t="s">
        <v>174</v>
      </c>
      <c r="D1527" s="20">
        <v>0</v>
      </c>
      <c r="E1527" s="2" t="s">
        <v>838</v>
      </c>
      <c r="F1527" s="2" t="s">
        <v>789</v>
      </c>
      <c r="G1527" s="2" t="s">
        <v>2301</v>
      </c>
      <c r="H1527" s="2" t="s">
        <v>832</v>
      </c>
      <c r="J1527" s="26"/>
      <c r="K1527" s="36">
        <v>1.9658700000000002E-3</v>
      </c>
      <c r="L1527" s="23">
        <v>6.5529E-4</v>
      </c>
    </row>
    <row r="1528" spans="1:12" ht="15.35" hidden="1" x14ac:dyDescent="0.55000000000000004">
      <c r="A1528" s="20">
        <v>9651</v>
      </c>
      <c r="B1528" s="2" t="s">
        <v>173</v>
      </c>
      <c r="C1528" s="2" t="s">
        <v>174</v>
      </c>
      <c r="D1528" s="20">
        <v>0</v>
      </c>
      <c r="E1528" s="2" t="s">
        <v>838</v>
      </c>
      <c r="F1528" s="2" t="s">
        <v>811</v>
      </c>
      <c r="G1528" s="2" t="s">
        <v>1494</v>
      </c>
      <c r="H1528" s="2" t="s">
        <v>1490</v>
      </c>
      <c r="J1528" s="26"/>
      <c r="K1528" s="36">
        <v>3.4323999999999997E-4</v>
      </c>
      <c r="L1528" s="23">
        <v>1.1441E-4</v>
      </c>
    </row>
    <row r="1529" spans="1:12" ht="15.35" x14ac:dyDescent="0.55000000000000004">
      <c r="A1529" s="20">
        <v>9652</v>
      </c>
      <c r="B1529" s="2" t="s">
        <v>173</v>
      </c>
      <c r="C1529" s="2" t="s">
        <v>174</v>
      </c>
      <c r="D1529" s="20">
        <v>0</v>
      </c>
      <c r="E1529" s="2" t="s">
        <v>838</v>
      </c>
      <c r="F1529" s="2" t="s">
        <v>811</v>
      </c>
      <c r="G1529" s="2" t="s">
        <v>2302</v>
      </c>
      <c r="J1529" s="26"/>
      <c r="K1529" s="36">
        <v>2.9332000000000002E-4</v>
      </c>
      <c r="L1529" s="23">
        <v>9.7769999999999994E-5</v>
      </c>
    </row>
    <row r="1530" spans="1:12" ht="15.35" hidden="1" x14ac:dyDescent="0.55000000000000004">
      <c r="A1530" s="20">
        <v>9650</v>
      </c>
      <c r="B1530" s="2" t="s">
        <v>173</v>
      </c>
      <c r="C1530" s="2" t="s">
        <v>174</v>
      </c>
      <c r="D1530" s="20">
        <v>0</v>
      </c>
      <c r="E1530" s="2" t="s">
        <v>838</v>
      </c>
      <c r="F1530" s="2" t="s">
        <v>811</v>
      </c>
      <c r="G1530" s="2" t="s">
        <v>1495</v>
      </c>
      <c r="H1530" s="2" t="s">
        <v>1490</v>
      </c>
      <c r="J1530" s="26"/>
      <c r="K1530" s="36">
        <v>1.1732800000000001E-3</v>
      </c>
      <c r="L1530" s="23">
        <v>3.9109000000000002E-4</v>
      </c>
    </row>
    <row r="1531" spans="1:12" ht="15.35" hidden="1" x14ac:dyDescent="0.55000000000000004">
      <c r="A1531" s="20">
        <v>9629</v>
      </c>
      <c r="B1531" s="2" t="s">
        <v>173</v>
      </c>
      <c r="C1531" s="2" t="s">
        <v>174</v>
      </c>
      <c r="D1531" s="20">
        <v>0</v>
      </c>
      <c r="E1531" s="2" t="s">
        <v>838</v>
      </c>
      <c r="F1531" s="2" t="s">
        <v>793</v>
      </c>
      <c r="G1531" s="2" t="s">
        <v>2303</v>
      </c>
      <c r="H1531" s="2" t="s">
        <v>2304</v>
      </c>
      <c r="J1531" s="26"/>
      <c r="K1531" s="36">
        <v>6.5519999999999996E-5</v>
      </c>
      <c r="L1531" s="23">
        <v>2.1840000000000001E-5</v>
      </c>
    </row>
    <row r="1532" spans="1:12" ht="15.35" hidden="1" x14ac:dyDescent="0.55000000000000004">
      <c r="A1532" s="20">
        <v>9630</v>
      </c>
      <c r="B1532" s="2" t="s">
        <v>173</v>
      </c>
      <c r="C1532" s="2" t="s">
        <v>174</v>
      </c>
      <c r="D1532" s="20">
        <v>0</v>
      </c>
      <c r="E1532" s="2" t="s">
        <v>838</v>
      </c>
      <c r="F1532" s="2" t="s">
        <v>793</v>
      </c>
      <c r="G1532" s="2" t="s">
        <v>2305</v>
      </c>
      <c r="H1532" s="2" t="s">
        <v>2304</v>
      </c>
      <c r="J1532" s="26"/>
      <c r="K1532" s="36">
        <v>5.8352000000000002E-4</v>
      </c>
      <c r="L1532" s="23">
        <v>1.9451000000000001E-4</v>
      </c>
    </row>
    <row r="1533" spans="1:12" ht="15.35" hidden="1" x14ac:dyDescent="0.55000000000000004">
      <c r="A1533" s="20">
        <v>9631</v>
      </c>
      <c r="B1533" s="2" t="s">
        <v>173</v>
      </c>
      <c r="C1533" s="2" t="s">
        <v>174</v>
      </c>
      <c r="D1533" s="20">
        <v>0</v>
      </c>
      <c r="E1533" s="2" t="s">
        <v>838</v>
      </c>
      <c r="F1533" s="2" t="s">
        <v>793</v>
      </c>
      <c r="G1533" s="2" t="s">
        <v>2306</v>
      </c>
      <c r="H1533" s="2" t="s">
        <v>2304</v>
      </c>
      <c r="J1533" s="26"/>
      <c r="K1533" s="36">
        <v>5.6159999999999998E-5</v>
      </c>
      <c r="L1533" s="23">
        <v>1.872E-5</v>
      </c>
    </row>
    <row r="1534" spans="1:12" ht="15.35" hidden="1" x14ac:dyDescent="0.55000000000000004">
      <c r="A1534" s="20">
        <v>9628</v>
      </c>
      <c r="B1534" s="2" t="s">
        <v>173</v>
      </c>
      <c r="C1534" s="2" t="s">
        <v>174</v>
      </c>
      <c r="D1534" s="20">
        <v>0</v>
      </c>
      <c r="E1534" s="2" t="s">
        <v>838</v>
      </c>
      <c r="F1534" s="2" t="s">
        <v>793</v>
      </c>
      <c r="G1534" s="2" t="s">
        <v>2307</v>
      </c>
      <c r="H1534" s="2" t="s">
        <v>2304</v>
      </c>
      <c r="J1534" s="26"/>
      <c r="K1534" s="36">
        <v>5.9280000000000002E-5</v>
      </c>
      <c r="L1534" s="23">
        <v>1.9760000000000001E-5</v>
      </c>
    </row>
    <row r="1535" spans="1:12" ht="15.35" hidden="1" x14ac:dyDescent="0.55000000000000004">
      <c r="A1535" s="20">
        <v>9626</v>
      </c>
      <c r="B1535" s="2" t="s">
        <v>173</v>
      </c>
      <c r="C1535" s="2" t="s">
        <v>174</v>
      </c>
      <c r="D1535" s="20">
        <v>0</v>
      </c>
      <c r="E1535" s="2" t="s">
        <v>838</v>
      </c>
      <c r="F1535" s="2" t="s">
        <v>793</v>
      </c>
      <c r="G1535" s="2" t="s">
        <v>2308</v>
      </c>
      <c r="H1535" s="2" t="s">
        <v>2304</v>
      </c>
      <c r="J1535" s="26"/>
      <c r="K1535" s="36">
        <v>5.6159999999999998E-5</v>
      </c>
      <c r="L1535" s="23">
        <v>1.872E-5</v>
      </c>
    </row>
    <row r="1536" spans="1:12" ht="15.35" hidden="1" x14ac:dyDescent="0.55000000000000004">
      <c r="A1536" s="20">
        <v>9625</v>
      </c>
      <c r="B1536" s="2" t="s">
        <v>173</v>
      </c>
      <c r="C1536" s="2" t="s">
        <v>174</v>
      </c>
      <c r="D1536" s="20">
        <v>0</v>
      </c>
      <c r="E1536" s="2" t="s">
        <v>838</v>
      </c>
      <c r="F1536" s="2" t="s">
        <v>793</v>
      </c>
      <c r="G1536" s="2" t="s">
        <v>2309</v>
      </c>
      <c r="H1536" s="2" t="s">
        <v>2304</v>
      </c>
      <c r="J1536" s="26"/>
      <c r="K1536" s="36">
        <v>5.6159999999999998E-5</v>
      </c>
      <c r="L1536" s="23">
        <v>1.872E-5</v>
      </c>
    </row>
    <row r="1537" spans="1:12" ht="15.35" hidden="1" x14ac:dyDescent="0.55000000000000004">
      <c r="A1537" s="20">
        <v>9627</v>
      </c>
      <c r="B1537" s="2" t="s">
        <v>173</v>
      </c>
      <c r="C1537" s="2" t="s">
        <v>174</v>
      </c>
      <c r="D1537" s="20">
        <v>0</v>
      </c>
      <c r="E1537" s="2" t="s">
        <v>838</v>
      </c>
      <c r="F1537" s="2" t="s">
        <v>793</v>
      </c>
      <c r="G1537" s="2" t="s">
        <v>2310</v>
      </c>
      <c r="H1537" s="2" t="s">
        <v>2304</v>
      </c>
      <c r="J1537" s="26"/>
      <c r="K1537" s="36">
        <v>5.6159999999999998E-5</v>
      </c>
      <c r="L1537" s="23">
        <v>1.872E-5</v>
      </c>
    </row>
    <row r="1538" spans="1:12" ht="15.35" hidden="1" x14ac:dyDescent="0.55000000000000004">
      <c r="A1538" s="20">
        <v>9289</v>
      </c>
      <c r="B1538" s="2" t="s">
        <v>173</v>
      </c>
      <c r="C1538" s="2" t="s">
        <v>174</v>
      </c>
      <c r="D1538" s="20">
        <v>0</v>
      </c>
      <c r="E1538" s="2" t="s">
        <v>838</v>
      </c>
      <c r="F1538" s="2" t="s">
        <v>789</v>
      </c>
      <c r="G1538" s="2" t="s">
        <v>1500</v>
      </c>
      <c r="H1538" s="2" t="s">
        <v>1501</v>
      </c>
      <c r="J1538" s="26"/>
      <c r="K1538" s="36">
        <v>1.0702999999999999E-3</v>
      </c>
      <c r="L1538" s="23">
        <v>3.5677000000000001E-4</v>
      </c>
    </row>
    <row r="1539" spans="1:12" ht="15.35" hidden="1" x14ac:dyDescent="0.55000000000000004">
      <c r="A1539" s="20">
        <v>9294</v>
      </c>
      <c r="B1539" s="2" t="s">
        <v>173</v>
      </c>
      <c r="C1539" s="2" t="s">
        <v>174</v>
      </c>
      <c r="D1539" s="20">
        <v>0</v>
      </c>
      <c r="E1539" s="2" t="s">
        <v>838</v>
      </c>
      <c r="F1539" s="2" t="s">
        <v>793</v>
      </c>
      <c r="G1539" s="2" t="s">
        <v>2311</v>
      </c>
      <c r="H1539" s="2" t="s">
        <v>2312</v>
      </c>
      <c r="J1539" s="26"/>
      <c r="K1539" s="36">
        <v>7.5825999999999997E-4</v>
      </c>
      <c r="L1539" s="23">
        <v>2.5274999999999999E-4</v>
      </c>
    </row>
    <row r="1540" spans="1:12" ht="15.35" hidden="1" x14ac:dyDescent="0.55000000000000004">
      <c r="A1540" s="20">
        <v>9295</v>
      </c>
      <c r="B1540" s="2" t="s">
        <v>173</v>
      </c>
      <c r="C1540" s="2" t="s">
        <v>174</v>
      </c>
      <c r="D1540" s="20">
        <v>0</v>
      </c>
      <c r="E1540" s="2" t="s">
        <v>838</v>
      </c>
      <c r="F1540" s="2" t="s">
        <v>793</v>
      </c>
      <c r="G1540" s="2" t="s">
        <v>2313</v>
      </c>
      <c r="H1540" s="2" t="s">
        <v>2312</v>
      </c>
      <c r="J1540" s="26"/>
      <c r="K1540" s="36">
        <v>7.9259000000000003E-4</v>
      </c>
      <c r="L1540" s="23">
        <v>2.6420000000000003E-4</v>
      </c>
    </row>
    <row r="1541" spans="1:12" ht="15.35" hidden="1" x14ac:dyDescent="0.55000000000000004">
      <c r="A1541" s="20">
        <v>9296</v>
      </c>
      <c r="B1541" s="2" t="s">
        <v>173</v>
      </c>
      <c r="C1541" s="2" t="s">
        <v>174</v>
      </c>
      <c r="D1541" s="20">
        <v>0</v>
      </c>
      <c r="E1541" s="2" t="s">
        <v>838</v>
      </c>
      <c r="F1541" s="2" t="s">
        <v>793</v>
      </c>
      <c r="G1541" s="2" t="s">
        <v>2314</v>
      </c>
      <c r="H1541" s="2" t="s">
        <v>2312</v>
      </c>
      <c r="J1541" s="26"/>
      <c r="K1541" s="36">
        <v>6.1160000000000001E-4</v>
      </c>
      <c r="L1541" s="23">
        <v>2.0387000000000001E-4</v>
      </c>
    </row>
    <row r="1542" spans="1:12" ht="15.35" hidden="1" x14ac:dyDescent="0.55000000000000004">
      <c r="A1542" s="20">
        <v>9297</v>
      </c>
      <c r="B1542" s="2" t="s">
        <v>173</v>
      </c>
      <c r="C1542" s="2" t="s">
        <v>174</v>
      </c>
      <c r="D1542" s="20">
        <v>0</v>
      </c>
      <c r="E1542" s="2" t="s">
        <v>838</v>
      </c>
      <c r="F1542" s="2" t="s">
        <v>793</v>
      </c>
      <c r="G1542" s="2" t="s">
        <v>2315</v>
      </c>
      <c r="H1542" s="2" t="s">
        <v>2312</v>
      </c>
      <c r="J1542" s="26"/>
      <c r="K1542" s="36">
        <v>6.5529E-4</v>
      </c>
      <c r="L1542" s="23">
        <v>2.1843000000000001E-4</v>
      </c>
    </row>
    <row r="1543" spans="1:12" ht="15.35" hidden="1" x14ac:dyDescent="0.55000000000000004">
      <c r="A1543" s="20">
        <v>9293</v>
      </c>
      <c r="B1543" s="2" t="s">
        <v>173</v>
      </c>
      <c r="C1543" s="2" t="s">
        <v>174</v>
      </c>
      <c r="D1543" s="20">
        <v>0</v>
      </c>
      <c r="E1543" s="2" t="s">
        <v>838</v>
      </c>
      <c r="F1543" s="2" t="s">
        <v>793</v>
      </c>
      <c r="G1543" s="2" t="s">
        <v>2316</v>
      </c>
      <c r="H1543" s="2" t="s">
        <v>2312</v>
      </c>
      <c r="J1543" s="26"/>
      <c r="K1543" s="36">
        <v>1.5914200000000001E-3</v>
      </c>
      <c r="L1543" s="23">
        <v>5.3047000000000001E-4</v>
      </c>
    </row>
    <row r="1544" spans="1:12" ht="15.35" hidden="1" x14ac:dyDescent="0.55000000000000004">
      <c r="A1544" s="20">
        <v>9299</v>
      </c>
      <c r="B1544" s="2" t="s">
        <v>173</v>
      </c>
      <c r="C1544" s="2" t="s">
        <v>174</v>
      </c>
      <c r="D1544" s="20">
        <v>0</v>
      </c>
      <c r="E1544" s="2" t="s">
        <v>838</v>
      </c>
      <c r="F1544" s="2" t="s">
        <v>793</v>
      </c>
      <c r="G1544" s="2" t="s">
        <v>2317</v>
      </c>
      <c r="H1544" s="2" t="s">
        <v>2312</v>
      </c>
      <c r="J1544" s="26"/>
      <c r="K1544" s="36">
        <v>4.5246000000000001E-4</v>
      </c>
      <c r="L1544" s="23">
        <v>1.5082E-4</v>
      </c>
    </row>
    <row r="1545" spans="1:12" ht="15.35" hidden="1" x14ac:dyDescent="0.55000000000000004">
      <c r="A1545" s="20">
        <v>9300</v>
      </c>
      <c r="B1545" s="2" t="s">
        <v>173</v>
      </c>
      <c r="C1545" s="2" t="s">
        <v>174</v>
      </c>
      <c r="D1545" s="20">
        <v>0</v>
      </c>
      <c r="E1545" s="2" t="s">
        <v>838</v>
      </c>
      <c r="F1545" s="2" t="s">
        <v>793</v>
      </c>
      <c r="G1545" s="2" t="s">
        <v>2318</v>
      </c>
      <c r="H1545" s="2" t="s">
        <v>2312</v>
      </c>
      <c r="J1545" s="26"/>
      <c r="K1545" s="36">
        <v>2.9332000000000002E-4</v>
      </c>
      <c r="L1545" s="23">
        <v>9.7769999999999994E-5</v>
      </c>
    </row>
    <row r="1546" spans="1:12" ht="15.35" hidden="1" x14ac:dyDescent="0.55000000000000004">
      <c r="A1546" s="20">
        <v>9290</v>
      </c>
      <c r="B1546" s="2" t="s">
        <v>173</v>
      </c>
      <c r="C1546" s="2" t="s">
        <v>174</v>
      </c>
      <c r="D1546" s="20">
        <v>0</v>
      </c>
      <c r="E1546" s="2" t="s">
        <v>838</v>
      </c>
      <c r="F1546" s="2" t="s">
        <v>793</v>
      </c>
      <c r="G1546" s="2" t="s">
        <v>2319</v>
      </c>
      <c r="H1546" s="2" t="s">
        <v>2312</v>
      </c>
      <c r="J1546" s="26"/>
      <c r="K1546" s="36">
        <v>1.9658700000000002E-3</v>
      </c>
      <c r="L1546" s="23">
        <v>6.5529E-4</v>
      </c>
    </row>
    <row r="1547" spans="1:12" ht="15.35" hidden="1" x14ac:dyDescent="0.55000000000000004">
      <c r="A1547" s="20">
        <v>9291</v>
      </c>
      <c r="B1547" s="2" t="s">
        <v>173</v>
      </c>
      <c r="C1547" s="2" t="s">
        <v>174</v>
      </c>
      <c r="D1547" s="20">
        <v>0</v>
      </c>
      <c r="E1547" s="2" t="s">
        <v>838</v>
      </c>
      <c r="F1547" s="2" t="s">
        <v>793</v>
      </c>
      <c r="G1547" s="2" t="s">
        <v>2320</v>
      </c>
      <c r="H1547" s="2" t="s">
        <v>2312</v>
      </c>
      <c r="J1547" s="26"/>
      <c r="K1547" s="36">
        <v>1.6538200000000001E-3</v>
      </c>
      <c r="L1547" s="23">
        <v>5.5126999999999997E-4</v>
      </c>
    </row>
    <row r="1548" spans="1:12" ht="15.35" hidden="1" x14ac:dyDescent="0.55000000000000004">
      <c r="A1548" s="20">
        <v>9292</v>
      </c>
      <c r="B1548" s="2" t="s">
        <v>173</v>
      </c>
      <c r="C1548" s="2" t="s">
        <v>174</v>
      </c>
      <c r="D1548" s="20">
        <v>0</v>
      </c>
      <c r="E1548" s="2" t="s">
        <v>838</v>
      </c>
      <c r="F1548" s="2" t="s">
        <v>793</v>
      </c>
      <c r="G1548" s="2" t="s">
        <v>2321</v>
      </c>
      <c r="H1548" s="2" t="s">
        <v>2312</v>
      </c>
      <c r="J1548" s="26"/>
      <c r="K1548" s="36">
        <v>6.2407999999999995E-4</v>
      </c>
      <c r="L1548" s="23">
        <v>2.0803E-4</v>
      </c>
    </row>
    <row r="1549" spans="1:12" ht="15.35" hidden="1" x14ac:dyDescent="0.55000000000000004">
      <c r="A1549" s="20">
        <v>9298</v>
      </c>
      <c r="B1549" s="2" t="s">
        <v>173</v>
      </c>
      <c r="C1549" s="2" t="s">
        <v>174</v>
      </c>
      <c r="D1549" s="20">
        <v>0</v>
      </c>
      <c r="E1549" s="2" t="s">
        <v>838</v>
      </c>
      <c r="F1549" s="2" t="s">
        <v>793</v>
      </c>
      <c r="G1549" s="2" t="s">
        <v>2322</v>
      </c>
      <c r="H1549" s="2" t="s">
        <v>2312</v>
      </c>
      <c r="J1549" s="26"/>
      <c r="K1549" s="36">
        <v>4.9920000000000003E-5</v>
      </c>
      <c r="L1549" s="23">
        <v>1.664E-5</v>
      </c>
    </row>
    <row r="1550" spans="1:12" ht="15.35" x14ac:dyDescent="0.55000000000000004">
      <c r="A1550" s="20">
        <v>9410</v>
      </c>
      <c r="B1550" s="2" t="s">
        <v>173</v>
      </c>
      <c r="C1550" s="2" t="s">
        <v>174</v>
      </c>
      <c r="D1550" s="20">
        <v>0</v>
      </c>
      <c r="E1550" s="2" t="s">
        <v>838</v>
      </c>
      <c r="F1550" s="2" t="s">
        <v>793</v>
      </c>
      <c r="G1550" s="2" t="s">
        <v>2323</v>
      </c>
      <c r="J1550" s="26"/>
      <c r="K1550" s="36">
        <v>5.6159999999999998E-5</v>
      </c>
      <c r="L1550" s="23">
        <v>1.872E-5</v>
      </c>
    </row>
    <row r="1551" spans="1:12" ht="15.35" x14ac:dyDescent="0.55000000000000004">
      <c r="A1551" s="20">
        <v>9415</v>
      </c>
      <c r="B1551" s="2" t="s">
        <v>173</v>
      </c>
      <c r="C1551" s="2" t="s">
        <v>174</v>
      </c>
      <c r="D1551" s="20">
        <v>0</v>
      </c>
      <c r="E1551" s="2" t="s">
        <v>838</v>
      </c>
      <c r="F1551" s="2" t="s">
        <v>793</v>
      </c>
      <c r="G1551" s="2" t="s">
        <v>2324</v>
      </c>
      <c r="J1551" s="26"/>
      <c r="K1551" s="36">
        <v>5.6159999999999998E-5</v>
      </c>
      <c r="L1551" s="23">
        <v>1.872E-5</v>
      </c>
    </row>
    <row r="1552" spans="1:12" ht="15.35" x14ac:dyDescent="0.55000000000000004">
      <c r="A1552" s="20">
        <v>9416</v>
      </c>
      <c r="B1552" s="2" t="s">
        <v>173</v>
      </c>
      <c r="C1552" s="2" t="s">
        <v>174</v>
      </c>
      <c r="D1552" s="20">
        <v>0</v>
      </c>
      <c r="E1552" s="2" t="s">
        <v>838</v>
      </c>
      <c r="F1552" s="2" t="s">
        <v>793</v>
      </c>
      <c r="G1552" s="2" t="s">
        <v>2325</v>
      </c>
      <c r="J1552" s="26"/>
      <c r="K1552" s="36">
        <v>5.6159999999999998E-5</v>
      </c>
      <c r="L1552" s="23">
        <v>1.872E-5</v>
      </c>
    </row>
    <row r="1553" spans="1:12" ht="15.35" x14ac:dyDescent="0.55000000000000004">
      <c r="A1553" s="20">
        <v>9417</v>
      </c>
      <c r="B1553" s="2" t="s">
        <v>173</v>
      </c>
      <c r="C1553" s="2" t="s">
        <v>174</v>
      </c>
      <c r="D1553" s="20">
        <v>0</v>
      </c>
      <c r="E1553" s="2" t="s">
        <v>838</v>
      </c>
      <c r="F1553" s="2" t="s">
        <v>793</v>
      </c>
      <c r="G1553" s="2" t="s">
        <v>2326</v>
      </c>
      <c r="J1553" s="26"/>
      <c r="K1553" s="36">
        <v>5.6159999999999998E-5</v>
      </c>
      <c r="L1553" s="23">
        <v>1.872E-5</v>
      </c>
    </row>
    <row r="1554" spans="1:12" ht="15.35" x14ac:dyDescent="0.55000000000000004">
      <c r="A1554" s="20">
        <v>9418</v>
      </c>
      <c r="B1554" s="2" t="s">
        <v>173</v>
      </c>
      <c r="C1554" s="2" t="s">
        <v>174</v>
      </c>
      <c r="D1554" s="20">
        <v>0</v>
      </c>
      <c r="E1554" s="2" t="s">
        <v>838</v>
      </c>
      <c r="F1554" s="2" t="s">
        <v>793</v>
      </c>
      <c r="G1554" s="2" t="s">
        <v>2327</v>
      </c>
      <c r="J1554" s="26"/>
      <c r="K1554" s="36">
        <v>5.6159999999999998E-5</v>
      </c>
      <c r="L1554" s="23">
        <v>1.872E-5</v>
      </c>
    </row>
    <row r="1555" spans="1:12" ht="15.35" x14ac:dyDescent="0.55000000000000004">
      <c r="A1555" s="20">
        <v>9419</v>
      </c>
      <c r="B1555" s="2" t="s">
        <v>173</v>
      </c>
      <c r="C1555" s="2" t="s">
        <v>174</v>
      </c>
      <c r="D1555" s="20">
        <v>0</v>
      </c>
      <c r="E1555" s="2" t="s">
        <v>838</v>
      </c>
      <c r="F1555" s="2" t="s">
        <v>793</v>
      </c>
      <c r="G1555" s="2" t="s">
        <v>2328</v>
      </c>
      <c r="J1555" s="26"/>
      <c r="K1555" s="36">
        <v>5.6159999999999998E-5</v>
      </c>
      <c r="L1555" s="23">
        <v>1.872E-5</v>
      </c>
    </row>
    <row r="1556" spans="1:12" ht="15.35" x14ac:dyDescent="0.55000000000000004">
      <c r="A1556" s="20">
        <v>9411</v>
      </c>
      <c r="B1556" s="2" t="s">
        <v>173</v>
      </c>
      <c r="C1556" s="2" t="s">
        <v>174</v>
      </c>
      <c r="D1556" s="20">
        <v>0</v>
      </c>
      <c r="E1556" s="2" t="s">
        <v>838</v>
      </c>
      <c r="F1556" s="2" t="s">
        <v>793</v>
      </c>
      <c r="G1556" s="2" t="s">
        <v>2329</v>
      </c>
      <c r="J1556" s="26"/>
      <c r="K1556" s="36">
        <v>5.6159999999999998E-5</v>
      </c>
      <c r="L1556" s="23">
        <v>1.872E-5</v>
      </c>
    </row>
    <row r="1557" spans="1:12" ht="15.35" x14ac:dyDescent="0.55000000000000004">
      <c r="A1557" s="20">
        <v>9412</v>
      </c>
      <c r="B1557" s="2" t="s">
        <v>173</v>
      </c>
      <c r="C1557" s="2" t="s">
        <v>174</v>
      </c>
      <c r="D1557" s="20">
        <v>0</v>
      </c>
      <c r="E1557" s="2" t="s">
        <v>838</v>
      </c>
      <c r="F1557" s="2" t="s">
        <v>793</v>
      </c>
      <c r="G1557" s="2" t="s">
        <v>2330</v>
      </c>
      <c r="J1557" s="26"/>
      <c r="K1557" s="36">
        <v>5.6159999999999998E-5</v>
      </c>
      <c r="L1557" s="23">
        <v>1.872E-5</v>
      </c>
    </row>
    <row r="1558" spans="1:12" ht="15.35" x14ac:dyDescent="0.55000000000000004">
      <c r="A1558" s="20">
        <v>9413</v>
      </c>
      <c r="B1558" s="2" t="s">
        <v>173</v>
      </c>
      <c r="C1558" s="2" t="s">
        <v>174</v>
      </c>
      <c r="D1558" s="20">
        <v>0</v>
      </c>
      <c r="E1558" s="2" t="s">
        <v>838</v>
      </c>
      <c r="F1558" s="2" t="s">
        <v>793</v>
      </c>
      <c r="G1558" s="2" t="s">
        <v>2331</v>
      </c>
      <c r="J1558" s="26"/>
      <c r="K1558" s="36">
        <v>5.6159999999999998E-5</v>
      </c>
      <c r="L1558" s="23">
        <v>1.872E-5</v>
      </c>
    </row>
    <row r="1559" spans="1:12" ht="15.35" x14ac:dyDescent="0.55000000000000004">
      <c r="A1559" s="20">
        <v>9414</v>
      </c>
      <c r="B1559" s="2" t="s">
        <v>173</v>
      </c>
      <c r="C1559" s="2" t="s">
        <v>174</v>
      </c>
      <c r="D1559" s="20">
        <v>0</v>
      </c>
      <c r="E1559" s="2" t="s">
        <v>838</v>
      </c>
      <c r="F1559" s="2" t="s">
        <v>793</v>
      </c>
      <c r="G1559" s="2" t="s">
        <v>2332</v>
      </c>
      <c r="J1559" s="26"/>
      <c r="K1559" s="36">
        <v>5.6159999999999998E-5</v>
      </c>
      <c r="L1559" s="23">
        <v>1.872E-5</v>
      </c>
    </row>
    <row r="1560" spans="1:12" ht="15.35" hidden="1" x14ac:dyDescent="0.55000000000000004">
      <c r="A1560" s="20">
        <v>9328</v>
      </c>
      <c r="B1560" s="2" t="s">
        <v>173</v>
      </c>
      <c r="C1560" s="2" t="s">
        <v>174</v>
      </c>
      <c r="D1560" s="20">
        <v>0</v>
      </c>
      <c r="E1560" s="2" t="s">
        <v>838</v>
      </c>
      <c r="F1560" s="2" t="s">
        <v>793</v>
      </c>
      <c r="G1560" s="2" t="s">
        <v>2333</v>
      </c>
      <c r="H1560" s="2" t="s">
        <v>1503</v>
      </c>
      <c r="J1560" s="26"/>
      <c r="K1560" s="36">
        <v>4.9920000000000003E-5</v>
      </c>
      <c r="L1560" s="23">
        <v>1.664E-5</v>
      </c>
    </row>
    <row r="1561" spans="1:12" ht="15.35" hidden="1" x14ac:dyDescent="0.55000000000000004">
      <c r="A1561" s="20">
        <v>9329</v>
      </c>
      <c r="B1561" s="2" t="s">
        <v>173</v>
      </c>
      <c r="C1561" s="2" t="s">
        <v>174</v>
      </c>
      <c r="D1561" s="20">
        <v>0</v>
      </c>
      <c r="E1561" s="2" t="s">
        <v>838</v>
      </c>
      <c r="F1561" s="2" t="s">
        <v>793</v>
      </c>
      <c r="G1561" s="2" t="s">
        <v>2334</v>
      </c>
      <c r="H1561" s="2" t="s">
        <v>1503</v>
      </c>
      <c r="J1561" s="26"/>
      <c r="K1561" s="36">
        <v>7.1760000000000004E-5</v>
      </c>
      <c r="L1561" s="23">
        <v>2.3920000000000001E-5</v>
      </c>
    </row>
    <row r="1562" spans="1:12" ht="15.35" hidden="1" x14ac:dyDescent="0.55000000000000004">
      <c r="A1562" s="20">
        <v>9330</v>
      </c>
      <c r="B1562" s="2" t="s">
        <v>173</v>
      </c>
      <c r="C1562" s="2" t="s">
        <v>174</v>
      </c>
      <c r="D1562" s="20">
        <v>0</v>
      </c>
      <c r="E1562" s="2" t="s">
        <v>838</v>
      </c>
      <c r="F1562" s="2" t="s">
        <v>793</v>
      </c>
      <c r="G1562" s="2" t="s">
        <v>2335</v>
      </c>
      <c r="H1562" s="2" t="s">
        <v>1503</v>
      </c>
      <c r="J1562" s="26"/>
      <c r="K1562" s="36">
        <v>6.8639999999999993E-5</v>
      </c>
      <c r="L1562" s="23">
        <v>2.2880000000000001E-5</v>
      </c>
    </row>
    <row r="1563" spans="1:12" ht="15.35" hidden="1" x14ac:dyDescent="0.55000000000000004">
      <c r="A1563" s="20">
        <v>9331</v>
      </c>
      <c r="B1563" s="2" t="s">
        <v>173</v>
      </c>
      <c r="C1563" s="2" t="s">
        <v>174</v>
      </c>
      <c r="D1563" s="20">
        <v>0</v>
      </c>
      <c r="E1563" s="2" t="s">
        <v>838</v>
      </c>
      <c r="F1563" s="2" t="s">
        <v>793</v>
      </c>
      <c r="G1563" s="2" t="s">
        <v>2336</v>
      </c>
      <c r="H1563" s="2" t="s">
        <v>1503</v>
      </c>
      <c r="J1563" s="26"/>
      <c r="K1563" s="36">
        <v>6.8639999999999993E-5</v>
      </c>
      <c r="L1563" s="23">
        <v>2.2880000000000001E-5</v>
      </c>
    </row>
    <row r="1564" spans="1:12" ht="15.35" hidden="1" x14ac:dyDescent="0.55000000000000004">
      <c r="A1564" s="20">
        <v>9332</v>
      </c>
      <c r="B1564" s="2" t="s">
        <v>173</v>
      </c>
      <c r="C1564" s="2" t="s">
        <v>174</v>
      </c>
      <c r="D1564" s="20">
        <v>0</v>
      </c>
      <c r="E1564" s="2" t="s">
        <v>838</v>
      </c>
      <c r="F1564" s="2" t="s">
        <v>793</v>
      </c>
      <c r="G1564" s="2" t="s">
        <v>2337</v>
      </c>
      <c r="H1564" s="2" t="s">
        <v>1503</v>
      </c>
      <c r="J1564" s="26"/>
      <c r="K1564" s="36">
        <v>6.8639999999999993E-5</v>
      </c>
      <c r="L1564" s="23">
        <v>2.2880000000000001E-5</v>
      </c>
    </row>
    <row r="1565" spans="1:12" ht="15.35" hidden="1" x14ac:dyDescent="0.55000000000000004">
      <c r="A1565" s="20">
        <v>9333</v>
      </c>
      <c r="B1565" s="2" t="s">
        <v>173</v>
      </c>
      <c r="C1565" s="2" t="s">
        <v>174</v>
      </c>
      <c r="D1565" s="20">
        <v>0</v>
      </c>
      <c r="E1565" s="2" t="s">
        <v>838</v>
      </c>
      <c r="F1565" s="2" t="s">
        <v>793</v>
      </c>
      <c r="G1565" s="2" t="s">
        <v>2338</v>
      </c>
      <c r="H1565" s="2" t="s">
        <v>1503</v>
      </c>
      <c r="J1565" s="26"/>
      <c r="K1565" s="36">
        <v>6.8639999999999993E-5</v>
      </c>
      <c r="L1565" s="23">
        <v>2.2880000000000001E-5</v>
      </c>
    </row>
    <row r="1566" spans="1:12" ht="15.35" hidden="1" x14ac:dyDescent="0.55000000000000004">
      <c r="A1566" s="20">
        <v>9334</v>
      </c>
      <c r="B1566" s="2" t="s">
        <v>173</v>
      </c>
      <c r="C1566" s="2" t="s">
        <v>174</v>
      </c>
      <c r="D1566" s="20">
        <v>0</v>
      </c>
      <c r="E1566" s="2" t="s">
        <v>838</v>
      </c>
      <c r="F1566" s="2" t="s">
        <v>793</v>
      </c>
      <c r="G1566" s="2" t="s">
        <v>2339</v>
      </c>
      <c r="H1566" s="2" t="s">
        <v>1503</v>
      </c>
      <c r="J1566" s="26"/>
      <c r="K1566" s="36">
        <v>5.6159999999999998E-5</v>
      </c>
      <c r="L1566" s="23">
        <v>1.872E-5</v>
      </c>
    </row>
    <row r="1567" spans="1:12" ht="15.35" hidden="1" x14ac:dyDescent="0.55000000000000004">
      <c r="A1567" s="20">
        <v>9335</v>
      </c>
      <c r="B1567" s="2" t="s">
        <v>173</v>
      </c>
      <c r="C1567" s="2" t="s">
        <v>174</v>
      </c>
      <c r="D1567" s="20">
        <v>0</v>
      </c>
      <c r="E1567" s="2" t="s">
        <v>838</v>
      </c>
      <c r="F1567" s="2" t="s">
        <v>793</v>
      </c>
      <c r="G1567" s="2" t="s">
        <v>2340</v>
      </c>
      <c r="H1567" s="2" t="s">
        <v>1503</v>
      </c>
      <c r="J1567" s="26"/>
      <c r="K1567" s="36">
        <v>4.9920000000000003E-5</v>
      </c>
      <c r="L1567" s="23">
        <v>1.664E-5</v>
      </c>
    </row>
    <row r="1568" spans="1:12" ht="15.35" hidden="1" x14ac:dyDescent="0.55000000000000004">
      <c r="A1568" s="20">
        <v>9324</v>
      </c>
      <c r="B1568" s="2" t="s">
        <v>173</v>
      </c>
      <c r="C1568" s="2" t="s">
        <v>174</v>
      </c>
      <c r="D1568" s="20">
        <v>0</v>
      </c>
      <c r="E1568" s="2" t="s">
        <v>838</v>
      </c>
      <c r="F1568" s="2" t="s">
        <v>793</v>
      </c>
      <c r="G1568" s="2" t="s">
        <v>2341</v>
      </c>
      <c r="H1568" s="2" t="s">
        <v>1503</v>
      </c>
      <c r="J1568" s="26"/>
      <c r="K1568" s="36">
        <v>4.4309999999999998E-4</v>
      </c>
      <c r="L1568" s="23">
        <v>1.4770000000000001E-4</v>
      </c>
    </row>
    <row r="1569" spans="1:12" ht="15.35" hidden="1" x14ac:dyDescent="0.55000000000000004">
      <c r="A1569" s="20">
        <v>9325</v>
      </c>
      <c r="B1569" s="2" t="s">
        <v>173</v>
      </c>
      <c r="C1569" s="2" t="s">
        <v>174</v>
      </c>
      <c r="D1569" s="20">
        <v>0</v>
      </c>
      <c r="E1569" s="2" t="s">
        <v>838</v>
      </c>
      <c r="F1569" s="2" t="s">
        <v>793</v>
      </c>
      <c r="G1569" s="2" t="s">
        <v>2342</v>
      </c>
      <c r="H1569" s="2" t="s">
        <v>1503</v>
      </c>
      <c r="J1569" s="26"/>
      <c r="K1569" s="36">
        <v>4.4309999999999998E-4</v>
      </c>
      <c r="L1569" s="23">
        <v>1.4770000000000001E-4</v>
      </c>
    </row>
    <row r="1570" spans="1:12" ht="15.35" hidden="1" x14ac:dyDescent="0.55000000000000004">
      <c r="A1570" s="20">
        <v>9326</v>
      </c>
      <c r="B1570" s="2" t="s">
        <v>173</v>
      </c>
      <c r="C1570" s="2" t="s">
        <v>174</v>
      </c>
      <c r="D1570" s="20">
        <v>0</v>
      </c>
      <c r="E1570" s="2" t="s">
        <v>838</v>
      </c>
      <c r="F1570" s="2" t="s">
        <v>793</v>
      </c>
      <c r="G1570" s="2" t="s">
        <v>2343</v>
      </c>
      <c r="H1570" s="2" t="s">
        <v>1503</v>
      </c>
      <c r="J1570" s="26"/>
      <c r="K1570" s="36">
        <v>4.4309999999999998E-4</v>
      </c>
      <c r="L1570" s="23">
        <v>1.4770000000000001E-4</v>
      </c>
    </row>
    <row r="1571" spans="1:12" ht="15.35" hidden="1" x14ac:dyDescent="0.55000000000000004">
      <c r="A1571" s="20">
        <v>9327</v>
      </c>
      <c r="B1571" s="2" t="s">
        <v>173</v>
      </c>
      <c r="C1571" s="2" t="s">
        <v>174</v>
      </c>
      <c r="D1571" s="20">
        <v>0</v>
      </c>
      <c r="E1571" s="2" t="s">
        <v>838</v>
      </c>
      <c r="F1571" s="2" t="s">
        <v>793</v>
      </c>
      <c r="G1571" s="2" t="s">
        <v>2344</v>
      </c>
      <c r="H1571" s="2" t="s">
        <v>1503</v>
      </c>
      <c r="J1571" s="26"/>
      <c r="K1571" s="36">
        <v>4.4309999999999998E-4</v>
      </c>
      <c r="L1571" s="23">
        <v>1.4770000000000001E-4</v>
      </c>
    </row>
    <row r="1572" spans="1:12" ht="15.35" hidden="1" x14ac:dyDescent="0.55000000000000004">
      <c r="A1572" s="20">
        <v>9739</v>
      </c>
      <c r="B1572" s="2" t="s">
        <v>173</v>
      </c>
      <c r="C1572" s="2" t="s">
        <v>174</v>
      </c>
      <c r="D1572" s="20">
        <v>0</v>
      </c>
      <c r="E1572" s="2" t="s">
        <v>838</v>
      </c>
      <c r="F1572" s="2" t="s">
        <v>793</v>
      </c>
      <c r="G1572" s="2" t="s">
        <v>1505</v>
      </c>
      <c r="H1572" s="2" t="s">
        <v>1506</v>
      </c>
      <c r="J1572" s="26"/>
      <c r="K1572" s="36">
        <v>5.6159999999999998E-5</v>
      </c>
      <c r="L1572" s="23">
        <v>1.872E-5</v>
      </c>
    </row>
    <row r="1573" spans="1:12" ht="15.35" x14ac:dyDescent="0.55000000000000004">
      <c r="A1573" s="20">
        <v>9795</v>
      </c>
      <c r="B1573" s="2" t="s">
        <v>173</v>
      </c>
      <c r="C1573" s="2" t="s">
        <v>174</v>
      </c>
      <c r="D1573" s="20">
        <v>0</v>
      </c>
      <c r="E1573" s="2" t="s">
        <v>838</v>
      </c>
      <c r="F1573" s="2" t="s">
        <v>793</v>
      </c>
      <c r="G1573" s="2" t="s">
        <v>2345</v>
      </c>
      <c r="J1573" s="26"/>
      <c r="K1573" s="36">
        <v>5.6159999999999998E-5</v>
      </c>
      <c r="L1573" s="23">
        <v>1.872E-5</v>
      </c>
    </row>
    <row r="1574" spans="1:12" ht="15.35" x14ac:dyDescent="0.55000000000000004">
      <c r="A1574" s="20">
        <v>9796</v>
      </c>
      <c r="B1574" s="2" t="s">
        <v>173</v>
      </c>
      <c r="C1574" s="2" t="s">
        <v>174</v>
      </c>
      <c r="D1574" s="20">
        <v>0</v>
      </c>
      <c r="E1574" s="2" t="s">
        <v>838</v>
      </c>
      <c r="F1574" s="2" t="s">
        <v>793</v>
      </c>
      <c r="G1574" s="2" t="s">
        <v>2346</v>
      </c>
      <c r="J1574" s="26"/>
      <c r="K1574" s="36">
        <v>5.6159999999999998E-5</v>
      </c>
      <c r="L1574" s="23">
        <v>1.872E-5</v>
      </c>
    </row>
    <row r="1575" spans="1:12" ht="15.35" x14ac:dyDescent="0.55000000000000004">
      <c r="A1575" s="20">
        <v>9797</v>
      </c>
      <c r="B1575" s="2" t="s">
        <v>173</v>
      </c>
      <c r="C1575" s="2" t="s">
        <v>174</v>
      </c>
      <c r="D1575" s="20">
        <v>0</v>
      </c>
      <c r="E1575" s="2" t="s">
        <v>838</v>
      </c>
      <c r="F1575" s="2" t="s">
        <v>793</v>
      </c>
      <c r="G1575" s="2" t="s">
        <v>2347</v>
      </c>
      <c r="J1575" s="26"/>
      <c r="K1575" s="36">
        <v>5.6159999999999998E-5</v>
      </c>
      <c r="L1575" s="23">
        <v>1.872E-5</v>
      </c>
    </row>
    <row r="1576" spans="1:12" ht="15.35" x14ac:dyDescent="0.55000000000000004">
      <c r="A1576" s="20">
        <v>9798</v>
      </c>
      <c r="B1576" s="2" t="s">
        <v>173</v>
      </c>
      <c r="C1576" s="2" t="s">
        <v>174</v>
      </c>
      <c r="D1576" s="20">
        <v>0</v>
      </c>
      <c r="E1576" s="2" t="s">
        <v>838</v>
      </c>
      <c r="F1576" s="2" t="s">
        <v>793</v>
      </c>
      <c r="G1576" s="2" t="s">
        <v>2348</v>
      </c>
      <c r="J1576" s="26"/>
      <c r="K1576" s="36">
        <v>5.6159999999999998E-5</v>
      </c>
      <c r="L1576" s="23">
        <v>1.872E-5</v>
      </c>
    </row>
    <row r="1577" spans="1:12" ht="15.35" x14ac:dyDescent="0.55000000000000004">
      <c r="A1577" s="20">
        <v>9799</v>
      </c>
      <c r="B1577" s="2" t="s">
        <v>173</v>
      </c>
      <c r="C1577" s="2" t="s">
        <v>174</v>
      </c>
      <c r="D1577" s="20">
        <v>0</v>
      </c>
      <c r="E1577" s="2" t="s">
        <v>838</v>
      </c>
      <c r="F1577" s="2" t="s">
        <v>793</v>
      </c>
      <c r="G1577" s="2" t="s">
        <v>2349</v>
      </c>
      <c r="J1577" s="26"/>
      <c r="K1577" s="36">
        <v>5.6159999999999998E-5</v>
      </c>
      <c r="L1577" s="23">
        <v>1.872E-5</v>
      </c>
    </row>
    <row r="1578" spans="1:12" ht="15.35" x14ac:dyDescent="0.55000000000000004">
      <c r="A1578" s="20">
        <v>9800</v>
      </c>
      <c r="B1578" s="2" t="s">
        <v>173</v>
      </c>
      <c r="C1578" s="2" t="s">
        <v>174</v>
      </c>
      <c r="D1578" s="20">
        <v>0</v>
      </c>
      <c r="E1578" s="2" t="s">
        <v>838</v>
      </c>
      <c r="F1578" s="2" t="s">
        <v>793</v>
      </c>
      <c r="G1578" s="2" t="s">
        <v>2350</v>
      </c>
      <c r="J1578" s="26"/>
      <c r="K1578" s="36">
        <v>5.6159999999999998E-5</v>
      </c>
      <c r="L1578" s="23">
        <v>1.872E-5</v>
      </c>
    </row>
    <row r="1579" spans="1:12" ht="15.35" hidden="1" x14ac:dyDescent="0.55000000000000004">
      <c r="A1579" s="20">
        <v>9709</v>
      </c>
      <c r="B1579" s="2" t="s">
        <v>173</v>
      </c>
      <c r="C1579" s="2" t="s">
        <v>174</v>
      </c>
      <c r="D1579" s="20">
        <v>0</v>
      </c>
      <c r="E1579" s="2" t="s">
        <v>838</v>
      </c>
      <c r="F1579" s="2" t="s">
        <v>793</v>
      </c>
      <c r="G1579" s="2" t="s">
        <v>1508</v>
      </c>
      <c r="H1579" s="2" t="s">
        <v>1506</v>
      </c>
      <c r="J1579" s="26"/>
      <c r="K1579" s="36">
        <v>5.9280000000000002E-5</v>
      </c>
      <c r="L1579" s="23">
        <v>1.9760000000000001E-5</v>
      </c>
    </row>
    <row r="1580" spans="1:12" ht="15.35" hidden="1" x14ac:dyDescent="0.55000000000000004">
      <c r="A1580" s="20">
        <v>9704</v>
      </c>
      <c r="B1580" s="2" t="s">
        <v>173</v>
      </c>
      <c r="C1580" s="2" t="s">
        <v>174</v>
      </c>
      <c r="D1580" s="20">
        <v>0</v>
      </c>
      <c r="E1580" s="2" t="s">
        <v>838</v>
      </c>
      <c r="F1580" s="2" t="s">
        <v>793</v>
      </c>
      <c r="G1580" s="2" t="s">
        <v>1509</v>
      </c>
      <c r="H1580" s="2" t="s">
        <v>1506</v>
      </c>
      <c r="J1580" s="26"/>
      <c r="K1580" s="36">
        <v>5.9280000000000002E-5</v>
      </c>
      <c r="L1580" s="23">
        <v>1.9760000000000001E-5</v>
      </c>
    </row>
    <row r="1581" spans="1:12" ht="15.35" hidden="1" x14ac:dyDescent="0.55000000000000004">
      <c r="A1581" s="20">
        <v>9705</v>
      </c>
      <c r="B1581" s="2" t="s">
        <v>173</v>
      </c>
      <c r="C1581" s="2" t="s">
        <v>174</v>
      </c>
      <c r="D1581" s="20">
        <v>0</v>
      </c>
      <c r="E1581" s="2" t="s">
        <v>838</v>
      </c>
      <c r="F1581" s="2" t="s">
        <v>793</v>
      </c>
      <c r="G1581" s="2" t="s">
        <v>1510</v>
      </c>
      <c r="H1581" s="2" t="s">
        <v>1506</v>
      </c>
      <c r="J1581" s="26"/>
      <c r="K1581" s="36">
        <v>5.9280000000000002E-5</v>
      </c>
      <c r="L1581" s="23">
        <v>1.9760000000000001E-5</v>
      </c>
    </row>
    <row r="1582" spans="1:12" ht="15.35" hidden="1" x14ac:dyDescent="0.55000000000000004">
      <c r="A1582" s="20">
        <v>9706</v>
      </c>
      <c r="B1582" s="2" t="s">
        <v>173</v>
      </c>
      <c r="C1582" s="2" t="s">
        <v>174</v>
      </c>
      <c r="D1582" s="20">
        <v>0</v>
      </c>
      <c r="E1582" s="2" t="s">
        <v>838</v>
      </c>
      <c r="F1582" s="2" t="s">
        <v>793</v>
      </c>
      <c r="G1582" s="2" t="s">
        <v>1511</v>
      </c>
      <c r="H1582" s="2" t="s">
        <v>1506</v>
      </c>
      <c r="J1582" s="26"/>
      <c r="K1582" s="36">
        <v>7.1760000000000004E-5</v>
      </c>
      <c r="L1582" s="23">
        <v>2.3920000000000001E-5</v>
      </c>
    </row>
    <row r="1583" spans="1:12" ht="15.35" hidden="1" x14ac:dyDescent="0.55000000000000004">
      <c r="A1583" s="20">
        <v>9707</v>
      </c>
      <c r="B1583" s="2" t="s">
        <v>173</v>
      </c>
      <c r="C1583" s="2" t="s">
        <v>174</v>
      </c>
      <c r="D1583" s="20">
        <v>0</v>
      </c>
      <c r="E1583" s="2" t="s">
        <v>838</v>
      </c>
      <c r="F1583" s="2" t="s">
        <v>793</v>
      </c>
      <c r="G1583" s="2" t="s">
        <v>1512</v>
      </c>
      <c r="H1583" s="2" t="s">
        <v>1506</v>
      </c>
      <c r="J1583" s="26"/>
      <c r="K1583" s="36">
        <v>7.4889999999999996E-5</v>
      </c>
      <c r="L1583" s="23">
        <v>2.4960000000000002E-5</v>
      </c>
    </row>
    <row r="1584" spans="1:12" ht="15.35" hidden="1" x14ac:dyDescent="0.55000000000000004">
      <c r="A1584" s="20">
        <v>9708</v>
      </c>
      <c r="B1584" s="2" t="s">
        <v>173</v>
      </c>
      <c r="C1584" s="2" t="s">
        <v>174</v>
      </c>
      <c r="D1584" s="20">
        <v>0</v>
      </c>
      <c r="E1584" s="2" t="s">
        <v>838</v>
      </c>
      <c r="F1584" s="2" t="s">
        <v>793</v>
      </c>
      <c r="G1584" s="2" t="s">
        <v>1513</v>
      </c>
      <c r="H1584" s="2" t="s">
        <v>1506</v>
      </c>
      <c r="J1584" s="26"/>
      <c r="K1584" s="36">
        <v>7.4889999999999996E-5</v>
      </c>
      <c r="L1584" s="23">
        <v>2.4960000000000002E-5</v>
      </c>
    </row>
    <row r="1585" spans="1:12" ht="15.35" hidden="1" x14ac:dyDescent="0.55000000000000004">
      <c r="A1585" s="20">
        <v>9710</v>
      </c>
      <c r="B1585" s="2" t="s">
        <v>173</v>
      </c>
      <c r="C1585" s="2" t="s">
        <v>174</v>
      </c>
      <c r="D1585" s="20">
        <v>0</v>
      </c>
      <c r="E1585" s="2" t="s">
        <v>838</v>
      </c>
      <c r="F1585" s="2" t="s">
        <v>793</v>
      </c>
      <c r="G1585" s="2" t="s">
        <v>1514</v>
      </c>
      <c r="H1585" s="2" t="s">
        <v>1506</v>
      </c>
      <c r="J1585" s="26"/>
      <c r="K1585" s="36">
        <v>6.8639999999999993E-5</v>
      </c>
      <c r="L1585" s="23">
        <v>2.2880000000000001E-5</v>
      </c>
    </row>
    <row r="1586" spans="1:12" ht="15.35" hidden="1" x14ac:dyDescent="0.55000000000000004">
      <c r="A1586" s="20">
        <v>9711</v>
      </c>
      <c r="B1586" s="2" t="s">
        <v>173</v>
      </c>
      <c r="C1586" s="2" t="s">
        <v>174</v>
      </c>
      <c r="D1586" s="20">
        <v>0</v>
      </c>
      <c r="E1586" s="2" t="s">
        <v>838</v>
      </c>
      <c r="F1586" s="2" t="s">
        <v>793</v>
      </c>
      <c r="G1586" s="2" t="s">
        <v>1515</v>
      </c>
      <c r="H1586" s="2" t="s">
        <v>1506</v>
      </c>
      <c r="J1586" s="26"/>
      <c r="K1586" s="36">
        <v>7.1760000000000004E-5</v>
      </c>
      <c r="L1586" s="23">
        <v>2.3920000000000001E-5</v>
      </c>
    </row>
    <row r="1587" spans="1:12" ht="15.35" hidden="1" x14ac:dyDescent="0.55000000000000004">
      <c r="A1587" s="20">
        <v>9712</v>
      </c>
      <c r="B1587" s="2" t="s">
        <v>173</v>
      </c>
      <c r="C1587" s="2" t="s">
        <v>174</v>
      </c>
      <c r="D1587" s="20">
        <v>0</v>
      </c>
      <c r="E1587" s="2" t="s">
        <v>838</v>
      </c>
      <c r="F1587" s="2" t="s">
        <v>793</v>
      </c>
      <c r="G1587" s="2" t="s">
        <v>1516</v>
      </c>
      <c r="H1587" s="2" t="s">
        <v>1506</v>
      </c>
      <c r="J1587" s="26"/>
      <c r="K1587" s="36">
        <v>6.2399999999999999E-5</v>
      </c>
      <c r="L1587" s="23">
        <v>2.0800000000000001E-5</v>
      </c>
    </row>
    <row r="1588" spans="1:12" ht="15.35" x14ac:dyDescent="0.55000000000000004">
      <c r="A1588" s="20">
        <v>9801</v>
      </c>
      <c r="B1588" s="2" t="s">
        <v>173</v>
      </c>
      <c r="C1588" s="2" t="s">
        <v>174</v>
      </c>
      <c r="D1588" s="20">
        <v>0</v>
      </c>
      <c r="E1588" s="2" t="s">
        <v>838</v>
      </c>
      <c r="F1588" s="2" t="s">
        <v>793</v>
      </c>
      <c r="G1588" s="2" t="s">
        <v>2351</v>
      </c>
      <c r="J1588" s="26"/>
      <c r="K1588" s="36">
        <v>7.1760000000000004E-5</v>
      </c>
      <c r="L1588" s="23">
        <v>2.3920000000000001E-5</v>
      </c>
    </row>
    <row r="1589" spans="1:12" ht="15.35" hidden="1" x14ac:dyDescent="0.55000000000000004">
      <c r="A1589" s="20">
        <v>9713</v>
      </c>
      <c r="B1589" s="2" t="s">
        <v>173</v>
      </c>
      <c r="C1589" s="2" t="s">
        <v>174</v>
      </c>
      <c r="D1589" s="20">
        <v>0</v>
      </c>
      <c r="E1589" s="2" t="s">
        <v>838</v>
      </c>
      <c r="F1589" s="2" t="s">
        <v>793</v>
      </c>
      <c r="G1589" s="2" t="s">
        <v>1517</v>
      </c>
      <c r="H1589" s="2" t="s">
        <v>1506</v>
      </c>
      <c r="J1589" s="26"/>
      <c r="K1589" s="36">
        <v>6.2399999999999999E-5</v>
      </c>
      <c r="L1589" s="23">
        <v>2.0800000000000001E-5</v>
      </c>
    </row>
    <row r="1590" spans="1:12" ht="15.35" x14ac:dyDescent="0.55000000000000004">
      <c r="A1590" s="20">
        <v>9802</v>
      </c>
      <c r="B1590" s="2" t="s">
        <v>173</v>
      </c>
      <c r="C1590" s="2" t="s">
        <v>174</v>
      </c>
      <c r="D1590" s="20">
        <v>0</v>
      </c>
      <c r="E1590" s="2" t="s">
        <v>838</v>
      </c>
      <c r="F1590" s="2" t="s">
        <v>793</v>
      </c>
      <c r="G1590" s="2" t="s">
        <v>2352</v>
      </c>
      <c r="J1590" s="26"/>
      <c r="K1590" s="36">
        <v>7.8009999999999993E-5</v>
      </c>
      <c r="L1590" s="23">
        <v>2.5999999999999998E-5</v>
      </c>
    </row>
    <row r="1591" spans="1:12" ht="15.35" hidden="1" x14ac:dyDescent="0.55000000000000004">
      <c r="A1591" s="20">
        <v>9714</v>
      </c>
      <c r="B1591" s="2" t="s">
        <v>173</v>
      </c>
      <c r="C1591" s="2" t="s">
        <v>174</v>
      </c>
      <c r="D1591" s="20">
        <v>0</v>
      </c>
      <c r="E1591" s="2" t="s">
        <v>838</v>
      </c>
      <c r="F1591" s="2" t="s">
        <v>793</v>
      </c>
      <c r="G1591" s="2" t="s">
        <v>1518</v>
      </c>
      <c r="H1591" s="2" t="s">
        <v>1506</v>
      </c>
      <c r="J1591" s="26"/>
      <c r="K1591" s="36">
        <v>6.2399999999999999E-5</v>
      </c>
      <c r="L1591" s="23">
        <v>2.0800000000000001E-5</v>
      </c>
    </row>
    <row r="1592" spans="1:12" ht="15.35" hidden="1" x14ac:dyDescent="0.55000000000000004">
      <c r="A1592" s="20">
        <v>9715</v>
      </c>
      <c r="B1592" s="2" t="s">
        <v>173</v>
      </c>
      <c r="C1592" s="2" t="s">
        <v>174</v>
      </c>
      <c r="D1592" s="20">
        <v>0</v>
      </c>
      <c r="E1592" s="2" t="s">
        <v>838</v>
      </c>
      <c r="F1592" s="2" t="s">
        <v>793</v>
      </c>
      <c r="G1592" s="2" t="s">
        <v>1519</v>
      </c>
      <c r="H1592" s="2" t="s">
        <v>1506</v>
      </c>
      <c r="J1592" s="26"/>
      <c r="K1592" s="36">
        <v>6.2399999999999999E-5</v>
      </c>
      <c r="L1592" s="23">
        <v>2.0800000000000001E-5</v>
      </c>
    </row>
    <row r="1593" spans="1:12" ht="15.35" hidden="1" x14ac:dyDescent="0.55000000000000004">
      <c r="A1593" s="20">
        <v>9716</v>
      </c>
      <c r="B1593" s="2" t="s">
        <v>173</v>
      </c>
      <c r="C1593" s="2" t="s">
        <v>174</v>
      </c>
      <c r="D1593" s="20">
        <v>0</v>
      </c>
      <c r="E1593" s="2" t="s">
        <v>838</v>
      </c>
      <c r="F1593" s="2" t="s">
        <v>793</v>
      </c>
      <c r="G1593" s="2" t="s">
        <v>1520</v>
      </c>
      <c r="H1593" s="2" t="s">
        <v>1506</v>
      </c>
      <c r="J1593" s="26"/>
      <c r="K1593" s="36">
        <v>5.6159999999999998E-5</v>
      </c>
      <c r="L1593" s="23">
        <v>1.872E-5</v>
      </c>
    </row>
    <row r="1594" spans="1:12" ht="15.35" hidden="1" x14ac:dyDescent="0.55000000000000004">
      <c r="A1594" s="20">
        <v>9717</v>
      </c>
      <c r="B1594" s="2" t="s">
        <v>173</v>
      </c>
      <c r="C1594" s="2" t="s">
        <v>174</v>
      </c>
      <c r="D1594" s="20">
        <v>0</v>
      </c>
      <c r="E1594" s="2" t="s">
        <v>838</v>
      </c>
      <c r="F1594" s="2" t="s">
        <v>793</v>
      </c>
      <c r="G1594" s="2" t="s">
        <v>1521</v>
      </c>
      <c r="H1594" s="2" t="s">
        <v>1506</v>
      </c>
      <c r="J1594" s="26"/>
      <c r="K1594" s="36">
        <v>5.6159999999999998E-5</v>
      </c>
      <c r="L1594" s="23">
        <v>1.872E-5</v>
      </c>
    </row>
    <row r="1595" spans="1:12" ht="15.35" hidden="1" x14ac:dyDescent="0.55000000000000004">
      <c r="A1595" s="20">
        <v>9718</v>
      </c>
      <c r="B1595" s="2" t="s">
        <v>173</v>
      </c>
      <c r="C1595" s="2" t="s">
        <v>174</v>
      </c>
      <c r="D1595" s="20">
        <v>0</v>
      </c>
      <c r="E1595" s="2" t="s">
        <v>838</v>
      </c>
      <c r="F1595" s="2" t="s">
        <v>793</v>
      </c>
      <c r="G1595" s="2" t="s">
        <v>1522</v>
      </c>
      <c r="H1595" s="2" t="s">
        <v>1506</v>
      </c>
      <c r="J1595" s="26"/>
      <c r="K1595" s="36">
        <v>5.6159999999999998E-5</v>
      </c>
      <c r="L1595" s="23">
        <v>1.872E-5</v>
      </c>
    </row>
    <row r="1596" spans="1:12" ht="15.35" hidden="1" x14ac:dyDescent="0.55000000000000004">
      <c r="A1596" s="20">
        <v>9719</v>
      </c>
      <c r="B1596" s="2" t="s">
        <v>173</v>
      </c>
      <c r="C1596" s="2" t="s">
        <v>174</v>
      </c>
      <c r="D1596" s="20">
        <v>0</v>
      </c>
      <c r="E1596" s="2" t="s">
        <v>838</v>
      </c>
      <c r="F1596" s="2" t="s">
        <v>793</v>
      </c>
      <c r="G1596" s="2" t="s">
        <v>1523</v>
      </c>
      <c r="H1596" s="2" t="s">
        <v>1506</v>
      </c>
      <c r="J1596" s="26"/>
      <c r="K1596" s="36">
        <v>5.6159999999999998E-5</v>
      </c>
      <c r="L1596" s="23">
        <v>1.872E-5</v>
      </c>
    </row>
    <row r="1597" spans="1:12" ht="15.35" x14ac:dyDescent="0.55000000000000004">
      <c r="A1597" s="20">
        <v>9720</v>
      </c>
      <c r="B1597" s="2" t="s">
        <v>173</v>
      </c>
      <c r="C1597" s="2" t="s">
        <v>174</v>
      </c>
      <c r="D1597" s="20">
        <v>0</v>
      </c>
      <c r="E1597" s="2" t="s">
        <v>838</v>
      </c>
      <c r="F1597" s="2" t="s">
        <v>793</v>
      </c>
      <c r="G1597" s="2" t="s">
        <v>2353</v>
      </c>
      <c r="J1597" s="26"/>
      <c r="K1597" s="36">
        <v>5.9280000000000002E-5</v>
      </c>
      <c r="L1597" s="23">
        <v>1.9760000000000001E-5</v>
      </c>
    </row>
    <row r="1598" spans="1:12" ht="15.35" x14ac:dyDescent="0.55000000000000004">
      <c r="A1598" s="20">
        <v>9721</v>
      </c>
      <c r="B1598" s="2" t="s">
        <v>173</v>
      </c>
      <c r="C1598" s="2" t="s">
        <v>174</v>
      </c>
      <c r="D1598" s="20">
        <v>0</v>
      </c>
      <c r="E1598" s="2" t="s">
        <v>838</v>
      </c>
      <c r="F1598" s="2" t="s">
        <v>793</v>
      </c>
      <c r="G1598" s="2" t="s">
        <v>2354</v>
      </c>
      <c r="J1598" s="26"/>
      <c r="K1598" s="36">
        <v>5.9280000000000002E-5</v>
      </c>
      <c r="L1598" s="23">
        <v>1.9760000000000001E-5</v>
      </c>
    </row>
    <row r="1599" spans="1:12" ht="15.35" x14ac:dyDescent="0.55000000000000004">
      <c r="A1599" s="20">
        <v>9722</v>
      </c>
      <c r="B1599" s="2" t="s">
        <v>173</v>
      </c>
      <c r="C1599" s="2" t="s">
        <v>174</v>
      </c>
      <c r="D1599" s="20">
        <v>0</v>
      </c>
      <c r="E1599" s="2" t="s">
        <v>838</v>
      </c>
      <c r="F1599" s="2" t="s">
        <v>793</v>
      </c>
      <c r="G1599" s="2" t="s">
        <v>2355</v>
      </c>
      <c r="J1599" s="26"/>
      <c r="K1599" s="36">
        <v>6.5519999999999996E-5</v>
      </c>
      <c r="L1599" s="23">
        <v>2.1840000000000001E-5</v>
      </c>
    </row>
    <row r="1600" spans="1:12" ht="15.35" x14ac:dyDescent="0.55000000000000004">
      <c r="A1600" s="20">
        <v>9723</v>
      </c>
      <c r="B1600" s="2" t="s">
        <v>173</v>
      </c>
      <c r="C1600" s="2" t="s">
        <v>174</v>
      </c>
      <c r="D1600" s="20">
        <v>0</v>
      </c>
      <c r="E1600" s="2" t="s">
        <v>838</v>
      </c>
      <c r="F1600" s="2" t="s">
        <v>793</v>
      </c>
      <c r="G1600" s="2" t="s">
        <v>2356</v>
      </c>
      <c r="J1600" s="26"/>
      <c r="K1600" s="36">
        <v>6.2399999999999999E-5</v>
      </c>
      <c r="L1600" s="23">
        <v>2.0800000000000001E-5</v>
      </c>
    </row>
    <row r="1601" spans="1:12" ht="15.35" hidden="1" x14ac:dyDescent="0.55000000000000004">
      <c r="A1601" s="20">
        <v>9724</v>
      </c>
      <c r="B1601" s="2" t="s">
        <v>173</v>
      </c>
      <c r="C1601" s="2" t="s">
        <v>174</v>
      </c>
      <c r="D1601" s="20">
        <v>0</v>
      </c>
      <c r="E1601" s="2" t="s">
        <v>838</v>
      </c>
      <c r="F1601" s="2" t="s">
        <v>793</v>
      </c>
      <c r="G1601" s="2" t="s">
        <v>1528</v>
      </c>
      <c r="H1601" s="2" t="s">
        <v>1506</v>
      </c>
      <c r="J1601" s="26"/>
      <c r="K1601" s="36">
        <v>5.9280000000000002E-5</v>
      </c>
      <c r="L1601" s="23">
        <v>1.9760000000000001E-5</v>
      </c>
    </row>
    <row r="1602" spans="1:12" ht="15.35" hidden="1" x14ac:dyDescent="0.55000000000000004">
      <c r="A1602" s="20">
        <v>9725</v>
      </c>
      <c r="B1602" s="2" t="s">
        <v>173</v>
      </c>
      <c r="C1602" s="2" t="s">
        <v>174</v>
      </c>
      <c r="D1602" s="20">
        <v>0</v>
      </c>
      <c r="E1602" s="2" t="s">
        <v>838</v>
      </c>
      <c r="F1602" s="2" t="s">
        <v>793</v>
      </c>
      <c r="G1602" s="2" t="s">
        <v>1529</v>
      </c>
      <c r="H1602" s="2" t="s">
        <v>1506</v>
      </c>
      <c r="J1602" s="26"/>
      <c r="K1602" s="36">
        <v>5.9280000000000002E-5</v>
      </c>
      <c r="L1602" s="23">
        <v>1.9760000000000001E-5</v>
      </c>
    </row>
    <row r="1603" spans="1:12" ht="15.35" hidden="1" x14ac:dyDescent="0.55000000000000004">
      <c r="A1603" s="20">
        <v>9726</v>
      </c>
      <c r="B1603" s="2" t="s">
        <v>173</v>
      </c>
      <c r="C1603" s="2" t="s">
        <v>174</v>
      </c>
      <c r="D1603" s="20">
        <v>0</v>
      </c>
      <c r="E1603" s="2" t="s">
        <v>838</v>
      </c>
      <c r="F1603" s="2" t="s">
        <v>793</v>
      </c>
      <c r="G1603" s="2" t="s">
        <v>1530</v>
      </c>
      <c r="H1603" s="2" t="s">
        <v>1506</v>
      </c>
      <c r="J1603" s="26"/>
      <c r="K1603" s="36">
        <v>5.9280000000000002E-5</v>
      </c>
      <c r="L1603" s="23">
        <v>1.9760000000000001E-5</v>
      </c>
    </row>
    <row r="1604" spans="1:12" ht="15.35" hidden="1" x14ac:dyDescent="0.55000000000000004">
      <c r="A1604" s="20">
        <v>9727</v>
      </c>
      <c r="B1604" s="2" t="s">
        <v>173</v>
      </c>
      <c r="C1604" s="2" t="s">
        <v>174</v>
      </c>
      <c r="D1604" s="20">
        <v>0</v>
      </c>
      <c r="E1604" s="2" t="s">
        <v>838</v>
      </c>
      <c r="F1604" s="2" t="s">
        <v>793</v>
      </c>
      <c r="G1604" s="2" t="s">
        <v>1531</v>
      </c>
      <c r="H1604" s="2" t="s">
        <v>1506</v>
      </c>
      <c r="J1604" s="26"/>
      <c r="K1604" s="36">
        <v>5.9280000000000002E-5</v>
      </c>
      <c r="L1604" s="23">
        <v>1.9760000000000001E-5</v>
      </c>
    </row>
    <row r="1605" spans="1:12" ht="15.35" hidden="1" x14ac:dyDescent="0.55000000000000004">
      <c r="A1605" s="20">
        <v>9728</v>
      </c>
      <c r="B1605" s="2" t="s">
        <v>173</v>
      </c>
      <c r="C1605" s="2" t="s">
        <v>174</v>
      </c>
      <c r="D1605" s="20">
        <v>0</v>
      </c>
      <c r="E1605" s="2" t="s">
        <v>838</v>
      </c>
      <c r="F1605" s="2" t="s">
        <v>793</v>
      </c>
      <c r="G1605" s="2" t="s">
        <v>1532</v>
      </c>
      <c r="H1605" s="2" t="s">
        <v>1506</v>
      </c>
      <c r="J1605" s="26"/>
      <c r="K1605" s="36">
        <v>6.2399999999999999E-5</v>
      </c>
      <c r="L1605" s="23">
        <v>2.0800000000000001E-5</v>
      </c>
    </row>
    <row r="1606" spans="1:12" ht="15.35" x14ac:dyDescent="0.55000000000000004">
      <c r="A1606" s="20">
        <v>9729</v>
      </c>
      <c r="B1606" s="2" t="s">
        <v>173</v>
      </c>
      <c r="C1606" s="2" t="s">
        <v>174</v>
      </c>
      <c r="D1606" s="20">
        <v>0</v>
      </c>
      <c r="E1606" s="2" t="s">
        <v>838</v>
      </c>
      <c r="F1606" s="2" t="s">
        <v>793</v>
      </c>
      <c r="G1606" s="2" t="s">
        <v>2357</v>
      </c>
      <c r="J1606" s="26"/>
      <c r="K1606" s="36">
        <v>5.6159999999999998E-5</v>
      </c>
      <c r="L1606" s="23">
        <v>1.872E-5</v>
      </c>
    </row>
    <row r="1607" spans="1:12" ht="15.35" x14ac:dyDescent="0.55000000000000004">
      <c r="A1607" s="20">
        <v>9730</v>
      </c>
      <c r="B1607" s="2" t="s">
        <v>173</v>
      </c>
      <c r="C1607" s="2" t="s">
        <v>174</v>
      </c>
      <c r="D1607" s="20">
        <v>0</v>
      </c>
      <c r="E1607" s="2" t="s">
        <v>838</v>
      </c>
      <c r="F1607" s="2" t="s">
        <v>793</v>
      </c>
      <c r="G1607" s="2" t="s">
        <v>2358</v>
      </c>
      <c r="J1607" s="26"/>
      <c r="K1607" s="36">
        <v>6.2399999999999999E-5</v>
      </c>
      <c r="L1607" s="23">
        <v>2.0800000000000001E-5</v>
      </c>
    </row>
    <row r="1608" spans="1:12" ht="15.35" hidden="1" x14ac:dyDescent="0.55000000000000004">
      <c r="A1608" s="20">
        <v>9742</v>
      </c>
      <c r="B1608" s="2" t="s">
        <v>173</v>
      </c>
      <c r="C1608" s="2" t="s">
        <v>174</v>
      </c>
      <c r="D1608" s="20">
        <v>0</v>
      </c>
      <c r="E1608" s="2" t="s">
        <v>838</v>
      </c>
      <c r="F1608" s="2" t="s">
        <v>793</v>
      </c>
      <c r="G1608" s="2" t="s">
        <v>1536</v>
      </c>
      <c r="H1608" s="2" t="s">
        <v>1506</v>
      </c>
      <c r="J1608" s="26"/>
      <c r="K1608" s="36">
        <v>6.2399999999999999E-5</v>
      </c>
      <c r="L1608" s="23">
        <v>2.0800000000000001E-5</v>
      </c>
    </row>
    <row r="1609" spans="1:12" ht="15.35" hidden="1" x14ac:dyDescent="0.55000000000000004">
      <c r="A1609" s="20">
        <v>9743</v>
      </c>
      <c r="B1609" s="2" t="s">
        <v>173</v>
      </c>
      <c r="C1609" s="2" t="s">
        <v>174</v>
      </c>
      <c r="D1609" s="20">
        <v>0</v>
      </c>
      <c r="E1609" s="2" t="s">
        <v>838</v>
      </c>
      <c r="F1609" s="2" t="s">
        <v>793</v>
      </c>
      <c r="G1609" s="2" t="s">
        <v>1538</v>
      </c>
      <c r="H1609" s="2" t="s">
        <v>1506</v>
      </c>
      <c r="J1609" s="26"/>
      <c r="K1609" s="36">
        <v>6.2399999999999999E-5</v>
      </c>
      <c r="L1609" s="23">
        <v>2.0800000000000001E-5</v>
      </c>
    </row>
    <row r="1610" spans="1:12" ht="15.35" hidden="1" x14ac:dyDescent="0.55000000000000004">
      <c r="A1610" s="20">
        <v>9744</v>
      </c>
      <c r="B1610" s="2" t="s">
        <v>173</v>
      </c>
      <c r="C1610" s="2" t="s">
        <v>174</v>
      </c>
      <c r="D1610" s="20">
        <v>0</v>
      </c>
      <c r="E1610" s="2" t="s">
        <v>838</v>
      </c>
      <c r="F1610" s="2" t="s">
        <v>793</v>
      </c>
      <c r="G1610" s="2" t="s">
        <v>1539</v>
      </c>
      <c r="H1610" s="2" t="s">
        <v>1506</v>
      </c>
      <c r="J1610" s="26"/>
      <c r="K1610" s="36">
        <v>6.2399999999999999E-5</v>
      </c>
      <c r="L1610" s="23">
        <v>2.0800000000000001E-5</v>
      </c>
    </row>
    <row r="1611" spans="1:12" ht="15.35" hidden="1" x14ac:dyDescent="0.55000000000000004">
      <c r="A1611" s="20">
        <v>9755</v>
      </c>
      <c r="B1611" s="2" t="s">
        <v>173</v>
      </c>
      <c r="C1611" s="2" t="s">
        <v>174</v>
      </c>
      <c r="D1611" s="20">
        <v>0</v>
      </c>
      <c r="E1611" s="2" t="s">
        <v>838</v>
      </c>
      <c r="F1611" s="2" t="s">
        <v>793</v>
      </c>
      <c r="G1611" s="2" t="s">
        <v>1540</v>
      </c>
      <c r="H1611" s="2" t="s">
        <v>1506</v>
      </c>
      <c r="J1611" s="26"/>
      <c r="K1611" s="36">
        <v>6.2399999999999999E-5</v>
      </c>
      <c r="L1611" s="23">
        <v>2.0800000000000001E-5</v>
      </c>
    </row>
    <row r="1612" spans="1:12" ht="15.35" hidden="1" x14ac:dyDescent="0.55000000000000004">
      <c r="A1612" s="20">
        <v>9756</v>
      </c>
      <c r="B1612" s="2" t="s">
        <v>173</v>
      </c>
      <c r="C1612" s="2" t="s">
        <v>174</v>
      </c>
      <c r="D1612" s="20">
        <v>0</v>
      </c>
      <c r="E1612" s="2" t="s">
        <v>838</v>
      </c>
      <c r="F1612" s="2" t="s">
        <v>793</v>
      </c>
      <c r="G1612" s="2" t="s">
        <v>1541</v>
      </c>
      <c r="H1612" s="2" t="s">
        <v>1506</v>
      </c>
      <c r="J1612" s="26"/>
      <c r="K1612" s="36">
        <v>6.5519999999999996E-5</v>
      </c>
      <c r="L1612" s="23">
        <v>2.1840000000000001E-5</v>
      </c>
    </row>
    <row r="1613" spans="1:12" ht="15.35" hidden="1" x14ac:dyDescent="0.55000000000000004">
      <c r="A1613" s="20">
        <v>9757</v>
      </c>
      <c r="B1613" s="2" t="s">
        <v>173</v>
      </c>
      <c r="C1613" s="2" t="s">
        <v>174</v>
      </c>
      <c r="D1613" s="20">
        <v>0</v>
      </c>
      <c r="E1613" s="2" t="s">
        <v>838</v>
      </c>
      <c r="F1613" s="2" t="s">
        <v>793</v>
      </c>
      <c r="G1613" s="2" t="s">
        <v>1542</v>
      </c>
      <c r="H1613" s="2" t="s">
        <v>1506</v>
      </c>
      <c r="J1613" s="26"/>
      <c r="K1613" s="36">
        <v>6.5519999999999996E-5</v>
      </c>
      <c r="L1613" s="23">
        <v>2.1840000000000001E-5</v>
      </c>
    </row>
    <row r="1614" spans="1:12" ht="15.35" hidden="1" x14ac:dyDescent="0.55000000000000004">
      <c r="A1614" s="20">
        <v>9758</v>
      </c>
      <c r="B1614" s="2" t="s">
        <v>173</v>
      </c>
      <c r="C1614" s="2" t="s">
        <v>174</v>
      </c>
      <c r="D1614" s="20">
        <v>0</v>
      </c>
      <c r="E1614" s="2" t="s">
        <v>838</v>
      </c>
      <c r="F1614" s="2" t="s">
        <v>793</v>
      </c>
      <c r="G1614" s="2" t="s">
        <v>1543</v>
      </c>
      <c r="H1614" s="2" t="s">
        <v>1506</v>
      </c>
      <c r="J1614" s="26"/>
      <c r="K1614" s="36">
        <v>6.5519999999999996E-5</v>
      </c>
      <c r="L1614" s="23">
        <v>2.1840000000000001E-5</v>
      </c>
    </row>
    <row r="1615" spans="1:12" ht="15.35" hidden="1" x14ac:dyDescent="0.55000000000000004">
      <c r="A1615" s="20">
        <v>9759</v>
      </c>
      <c r="B1615" s="2" t="s">
        <v>173</v>
      </c>
      <c r="C1615" s="2" t="s">
        <v>174</v>
      </c>
      <c r="D1615" s="20">
        <v>0</v>
      </c>
      <c r="E1615" s="2" t="s">
        <v>838</v>
      </c>
      <c r="F1615" s="2" t="s">
        <v>793</v>
      </c>
      <c r="G1615" s="2" t="s">
        <v>1544</v>
      </c>
      <c r="H1615" s="2" t="s">
        <v>1506</v>
      </c>
      <c r="J1615" s="26"/>
      <c r="K1615" s="36">
        <v>6.5519999999999996E-5</v>
      </c>
      <c r="L1615" s="23">
        <v>2.1840000000000001E-5</v>
      </c>
    </row>
    <row r="1616" spans="1:12" ht="15.35" x14ac:dyDescent="0.55000000000000004">
      <c r="A1616" s="20">
        <v>9790</v>
      </c>
      <c r="B1616" s="2" t="s">
        <v>173</v>
      </c>
      <c r="C1616" s="2" t="s">
        <v>174</v>
      </c>
      <c r="D1616" s="20">
        <v>0</v>
      </c>
      <c r="E1616" s="2" t="s">
        <v>838</v>
      </c>
      <c r="F1616" s="2" t="s">
        <v>793</v>
      </c>
      <c r="G1616" s="2" t="s">
        <v>2359</v>
      </c>
      <c r="J1616" s="26"/>
      <c r="K1616" s="36">
        <v>5.6159999999999998E-5</v>
      </c>
      <c r="L1616" s="23">
        <v>1.872E-5</v>
      </c>
    </row>
    <row r="1617" spans="1:12" ht="15.35" x14ac:dyDescent="0.55000000000000004">
      <c r="A1617" s="20">
        <v>9817</v>
      </c>
      <c r="B1617" s="2" t="s">
        <v>173</v>
      </c>
      <c r="C1617" s="2" t="s">
        <v>174</v>
      </c>
      <c r="D1617" s="20">
        <v>0</v>
      </c>
      <c r="E1617" s="2" t="s">
        <v>838</v>
      </c>
      <c r="F1617" s="2" t="s">
        <v>793</v>
      </c>
      <c r="G1617" s="2" t="s">
        <v>2360</v>
      </c>
      <c r="J1617" s="26"/>
      <c r="K1617" s="36">
        <v>5.6159999999999998E-5</v>
      </c>
      <c r="L1617" s="23">
        <v>1.872E-5</v>
      </c>
    </row>
    <row r="1618" spans="1:12" ht="15.35" x14ac:dyDescent="0.55000000000000004">
      <c r="A1618" s="20">
        <v>9732</v>
      </c>
      <c r="B1618" s="2" t="s">
        <v>173</v>
      </c>
      <c r="C1618" s="2" t="s">
        <v>174</v>
      </c>
      <c r="D1618" s="20">
        <v>0</v>
      </c>
      <c r="E1618" s="2" t="s">
        <v>838</v>
      </c>
      <c r="F1618" s="2" t="s">
        <v>793</v>
      </c>
      <c r="G1618" s="2" t="s">
        <v>2361</v>
      </c>
      <c r="J1618" s="26"/>
      <c r="K1618" s="36">
        <v>6.2399999999999999E-5</v>
      </c>
      <c r="L1618" s="23">
        <v>2.0800000000000001E-5</v>
      </c>
    </row>
    <row r="1619" spans="1:12" ht="15.35" x14ac:dyDescent="0.55000000000000004">
      <c r="A1619" s="20">
        <v>9818</v>
      </c>
      <c r="B1619" s="2" t="s">
        <v>173</v>
      </c>
      <c r="C1619" s="2" t="s">
        <v>174</v>
      </c>
      <c r="D1619" s="20">
        <v>0</v>
      </c>
      <c r="E1619" s="2" t="s">
        <v>838</v>
      </c>
      <c r="F1619" s="2" t="s">
        <v>793</v>
      </c>
      <c r="G1619" s="2" t="s">
        <v>2362</v>
      </c>
      <c r="J1619" s="26"/>
      <c r="K1619" s="36">
        <v>7.4889999999999996E-5</v>
      </c>
      <c r="L1619" s="23">
        <v>2.4960000000000002E-5</v>
      </c>
    </row>
    <row r="1620" spans="1:12" ht="15.35" x14ac:dyDescent="0.55000000000000004">
      <c r="A1620" s="20">
        <v>9819</v>
      </c>
      <c r="B1620" s="2" t="s">
        <v>173</v>
      </c>
      <c r="C1620" s="2" t="s">
        <v>174</v>
      </c>
      <c r="D1620" s="20">
        <v>0</v>
      </c>
      <c r="E1620" s="2" t="s">
        <v>838</v>
      </c>
      <c r="F1620" s="2" t="s">
        <v>793</v>
      </c>
      <c r="G1620" s="2" t="s">
        <v>2363</v>
      </c>
      <c r="J1620" s="26"/>
      <c r="K1620" s="36">
        <v>6.8639999999999993E-5</v>
      </c>
      <c r="L1620" s="23">
        <v>2.2880000000000001E-5</v>
      </c>
    </row>
    <row r="1621" spans="1:12" ht="15.35" x14ac:dyDescent="0.55000000000000004">
      <c r="A1621" s="20">
        <v>9733</v>
      </c>
      <c r="B1621" s="2" t="s">
        <v>173</v>
      </c>
      <c r="C1621" s="2" t="s">
        <v>174</v>
      </c>
      <c r="D1621" s="20">
        <v>0</v>
      </c>
      <c r="E1621" s="2" t="s">
        <v>838</v>
      </c>
      <c r="F1621" s="2" t="s">
        <v>793</v>
      </c>
      <c r="G1621" s="2" t="s">
        <v>2364</v>
      </c>
      <c r="J1621" s="26"/>
      <c r="K1621" s="36">
        <v>5.9280000000000002E-5</v>
      </c>
      <c r="L1621" s="23">
        <v>1.9760000000000001E-5</v>
      </c>
    </row>
    <row r="1622" spans="1:12" ht="15.35" x14ac:dyDescent="0.55000000000000004">
      <c r="A1622" s="20">
        <v>9734</v>
      </c>
      <c r="B1622" s="2" t="s">
        <v>173</v>
      </c>
      <c r="C1622" s="2" t="s">
        <v>174</v>
      </c>
      <c r="D1622" s="20">
        <v>0</v>
      </c>
      <c r="E1622" s="2" t="s">
        <v>838</v>
      </c>
      <c r="F1622" s="2" t="s">
        <v>793</v>
      </c>
      <c r="G1622" s="2" t="s">
        <v>2365</v>
      </c>
      <c r="J1622" s="26"/>
      <c r="K1622" s="36">
        <v>5.9280000000000002E-5</v>
      </c>
      <c r="L1622" s="23">
        <v>1.9760000000000001E-5</v>
      </c>
    </row>
    <row r="1623" spans="1:12" ht="15.35" hidden="1" x14ac:dyDescent="0.55000000000000004">
      <c r="A1623" s="20">
        <v>9735</v>
      </c>
      <c r="B1623" s="2" t="s">
        <v>173</v>
      </c>
      <c r="C1623" s="2" t="s">
        <v>174</v>
      </c>
      <c r="D1623" s="20">
        <v>0</v>
      </c>
      <c r="E1623" s="2" t="s">
        <v>838</v>
      </c>
      <c r="F1623" s="2" t="s">
        <v>793</v>
      </c>
      <c r="G1623" s="2" t="s">
        <v>1548</v>
      </c>
      <c r="H1623" s="2" t="s">
        <v>1506</v>
      </c>
      <c r="J1623" s="26"/>
      <c r="K1623" s="36">
        <v>5.9280000000000002E-5</v>
      </c>
      <c r="L1623" s="23">
        <v>1.9760000000000001E-5</v>
      </c>
    </row>
    <row r="1624" spans="1:12" ht="15.35" hidden="1" x14ac:dyDescent="0.55000000000000004">
      <c r="A1624" s="20">
        <v>9736</v>
      </c>
      <c r="B1624" s="2" t="s">
        <v>173</v>
      </c>
      <c r="C1624" s="2" t="s">
        <v>174</v>
      </c>
      <c r="D1624" s="20">
        <v>0</v>
      </c>
      <c r="E1624" s="2" t="s">
        <v>838</v>
      </c>
      <c r="F1624" s="2" t="s">
        <v>793</v>
      </c>
      <c r="G1624" s="2" t="s">
        <v>1550</v>
      </c>
      <c r="H1624" s="2" t="s">
        <v>1506</v>
      </c>
      <c r="J1624" s="26"/>
      <c r="K1624" s="36">
        <v>3.4319999999999997E-5</v>
      </c>
      <c r="L1624" s="23">
        <v>1.1440000000000001E-5</v>
      </c>
    </row>
    <row r="1625" spans="1:12" ht="15.35" hidden="1" x14ac:dyDescent="0.55000000000000004">
      <c r="A1625" s="20">
        <v>9781</v>
      </c>
      <c r="B1625" s="2" t="s">
        <v>173</v>
      </c>
      <c r="C1625" s="2" t="s">
        <v>174</v>
      </c>
      <c r="D1625" s="20">
        <v>0</v>
      </c>
      <c r="E1625" s="2" t="s">
        <v>838</v>
      </c>
      <c r="F1625" s="2" t="s">
        <v>793</v>
      </c>
      <c r="G1625" s="2" t="s">
        <v>2366</v>
      </c>
      <c r="H1625" s="2" t="s">
        <v>1506</v>
      </c>
      <c r="J1625" s="26"/>
      <c r="K1625" s="36">
        <v>5.9280000000000002E-5</v>
      </c>
      <c r="L1625" s="23">
        <v>1.9760000000000001E-5</v>
      </c>
    </row>
    <row r="1626" spans="1:12" ht="15.35" hidden="1" x14ac:dyDescent="0.55000000000000004">
      <c r="A1626" s="20">
        <v>9768</v>
      </c>
      <c r="B1626" s="2" t="s">
        <v>173</v>
      </c>
      <c r="C1626" s="2" t="s">
        <v>174</v>
      </c>
      <c r="D1626" s="20">
        <v>0</v>
      </c>
      <c r="E1626" s="2" t="s">
        <v>838</v>
      </c>
      <c r="F1626" s="2" t="s">
        <v>793</v>
      </c>
      <c r="G1626" s="2" t="s">
        <v>2367</v>
      </c>
      <c r="H1626" s="2" t="s">
        <v>1506</v>
      </c>
      <c r="J1626" s="26"/>
      <c r="K1626" s="36">
        <v>5.6159999999999998E-5</v>
      </c>
      <c r="L1626" s="23">
        <v>1.872E-5</v>
      </c>
    </row>
    <row r="1627" spans="1:12" ht="15.35" hidden="1" x14ac:dyDescent="0.55000000000000004">
      <c r="A1627" s="20">
        <v>9769</v>
      </c>
      <c r="B1627" s="2" t="s">
        <v>173</v>
      </c>
      <c r="C1627" s="2" t="s">
        <v>174</v>
      </c>
      <c r="D1627" s="20">
        <v>0</v>
      </c>
      <c r="E1627" s="2" t="s">
        <v>838</v>
      </c>
      <c r="F1627" s="2" t="s">
        <v>793</v>
      </c>
      <c r="G1627" s="2" t="s">
        <v>2368</v>
      </c>
      <c r="H1627" s="2" t="s">
        <v>1506</v>
      </c>
      <c r="J1627" s="26"/>
      <c r="K1627" s="36">
        <v>5.6159999999999998E-5</v>
      </c>
      <c r="L1627" s="23">
        <v>1.872E-5</v>
      </c>
    </row>
    <row r="1628" spans="1:12" ht="15.35" hidden="1" x14ac:dyDescent="0.55000000000000004">
      <c r="A1628" s="20">
        <v>9770</v>
      </c>
      <c r="B1628" s="2" t="s">
        <v>173</v>
      </c>
      <c r="C1628" s="2" t="s">
        <v>174</v>
      </c>
      <c r="D1628" s="20">
        <v>0</v>
      </c>
      <c r="E1628" s="2" t="s">
        <v>838</v>
      </c>
      <c r="F1628" s="2" t="s">
        <v>793</v>
      </c>
      <c r="G1628" s="2" t="s">
        <v>2369</v>
      </c>
      <c r="H1628" s="2" t="s">
        <v>1506</v>
      </c>
      <c r="J1628" s="26"/>
      <c r="K1628" s="36">
        <v>5.6159999999999998E-5</v>
      </c>
      <c r="L1628" s="23">
        <v>1.872E-5</v>
      </c>
    </row>
    <row r="1629" spans="1:12" ht="15.35" hidden="1" x14ac:dyDescent="0.55000000000000004">
      <c r="A1629" s="20">
        <v>9771</v>
      </c>
      <c r="B1629" s="2" t="s">
        <v>173</v>
      </c>
      <c r="C1629" s="2" t="s">
        <v>174</v>
      </c>
      <c r="D1629" s="20">
        <v>0</v>
      </c>
      <c r="E1629" s="2" t="s">
        <v>838</v>
      </c>
      <c r="F1629" s="2" t="s">
        <v>793</v>
      </c>
      <c r="G1629" s="2" t="s">
        <v>2370</v>
      </c>
      <c r="H1629" s="2" t="s">
        <v>1506</v>
      </c>
      <c r="J1629" s="26"/>
      <c r="K1629" s="36">
        <v>5.6159999999999998E-5</v>
      </c>
      <c r="L1629" s="23">
        <v>1.872E-5</v>
      </c>
    </row>
    <row r="1630" spans="1:12" ht="15.35" hidden="1" x14ac:dyDescent="0.55000000000000004">
      <c r="A1630" s="20">
        <v>9777</v>
      </c>
      <c r="B1630" s="2" t="s">
        <v>173</v>
      </c>
      <c r="C1630" s="2" t="s">
        <v>174</v>
      </c>
      <c r="D1630" s="20">
        <v>0</v>
      </c>
      <c r="E1630" s="2" t="s">
        <v>838</v>
      </c>
      <c r="F1630" s="2" t="s">
        <v>793</v>
      </c>
      <c r="G1630" s="2" t="s">
        <v>2371</v>
      </c>
      <c r="H1630" s="2" t="s">
        <v>1506</v>
      </c>
      <c r="J1630" s="26"/>
      <c r="K1630" s="36">
        <v>5.6159999999999998E-5</v>
      </c>
      <c r="L1630" s="23">
        <v>1.872E-5</v>
      </c>
    </row>
    <row r="1631" spans="1:12" ht="15.35" hidden="1" x14ac:dyDescent="0.55000000000000004">
      <c r="A1631" s="20">
        <v>9778</v>
      </c>
      <c r="B1631" s="2" t="s">
        <v>173</v>
      </c>
      <c r="C1631" s="2" t="s">
        <v>174</v>
      </c>
      <c r="D1631" s="20">
        <v>0</v>
      </c>
      <c r="E1631" s="2" t="s">
        <v>838</v>
      </c>
      <c r="F1631" s="2" t="s">
        <v>793</v>
      </c>
      <c r="G1631" s="2" t="s">
        <v>2372</v>
      </c>
      <c r="H1631" s="2" t="s">
        <v>1506</v>
      </c>
      <c r="J1631" s="26"/>
      <c r="K1631" s="36">
        <v>5.6159999999999998E-5</v>
      </c>
      <c r="L1631" s="23">
        <v>1.872E-5</v>
      </c>
    </row>
    <row r="1632" spans="1:12" ht="15.35" hidden="1" x14ac:dyDescent="0.55000000000000004">
      <c r="A1632" s="20">
        <v>9821</v>
      </c>
      <c r="B1632" s="2" t="s">
        <v>173</v>
      </c>
      <c r="C1632" s="2" t="s">
        <v>174</v>
      </c>
      <c r="D1632" s="20">
        <v>0</v>
      </c>
      <c r="E1632" s="2" t="s">
        <v>838</v>
      </c>
      <c r="F1632" s="2" t="s">
        <v>793</v>
      </c>
      <c r="G1632" s="2" t="s">
        <v>2373</v>
      </c>
      <c r="H1632" s="2" t="s">
        <v>1506</v>
      </c>
      <c r="J1632" s="26"/>
      <c r="K1632" s="36">
        <v>5.6159999999999998E-5</v>
      </c>
      <c r="L1632" s="23">
        <v>1.872E-5</v>
      </c>
    </row>
    <row r="1633" spans="1:12" ht="15.35" hidden="1" x14ac:dyDescent="0.55000000000000004">
      <c r="A1633" s="20">
        <v>9779</v>
      </c>
      <c r="B1633" s="2" t="s">
        <v>173</v>
      </c>
      <c r="C1633" s="2" t="s">
        <v>174</v>
      </c>
      <c r="D1633" s="20">
        <v>0</v>
      </c>
      <c r="E1633" s="2" t="s">
        <v>838</v>
      </c>
      <c r="F1633" s="2" t="s">
        <v>793</v>
      </c>
      <c r="G1633" s="2" t="s">
        <v>2374</v>
      </c>
      <c r="H1633" s="2" t="s">
        <v>1506</v>
      </c>
      <c r="J1633" s="26"/>
      <c r="K1633" s="36">
        <v>5.6159999999999998E-5</v>
      </c>
      <c r="L1633" s="23">
        <v>1.872E-5</v>
      </c>
    </row>
    <row r="1634" spans="1:12" ht="15.35" hidden="1" x14ac:dyDescent="0.55000000000000004">
      <c r="A1634" s="20">
        <v>9780</v>
      </c>
      <c r="B1634" s="2" t="s">
        <v>173</v>
      </c>
      <c r="C1634" s="2" t="s">
        <v>174</v>
      </c>
      <c r="D1634" s="20">
        <v>0</v>
      </c>
      <c r="E1634" s="2" t="s">
        <v>838</v>
      </c>
      <c r="F1634" s="2" t="s">
        <v>793</v>
      </c>
      <c r="G1634" s="2" t="s">
        <v>2375</v>
      </c>
      <c r="H1634" s="2" t="s">
        <v>1506</v>
      </c>
      <c r="J1634" s="26"/>
      <c r="K1634" s="36">
        <v>6.5519999999999996E-5</v>
      </c>
      <c r="L1634" s="23">
        <v>2.1840000000000001E-5</v>
      </c>
    </row>
    <row r="1635" spans="1:12" ht="15.35" hidden="1" x14ac:dyDescent="0.55000000000000004">
      <c r="A1635" s="20">
        <v>9792</v>
      </c>
      <c r="B1635" s="2" t="s">
        <v>173</v>
      </c>
      <c r="C1635" s="2" t="s">
        <v>174</v>
      </c>
      <c r="D1635" s="20">
        <v>0</v>
      </c>
      <c r="E1635" s="2" t="s">
        <v>838</v>
      </c>
      <c r="F1635" s="2" t="s">
        <v>793</v>
      </c>
      <c r="G1635" s="2" t="s">
        <v>2376</v>
      </c>
      <c r="H1635" s="2" t="s">
        <v>1506</v>
      </c>
      <c r="J1635" s="26"/>
      <c r="K1635" s="36">
        <v>5.6159999999999998E-5</v>
      </c>
      <c r="L1635" s="23">
        <v>1.872E-5</v>
      </c>
    </row>
    <row r="1636" spans="1:12" ht="15.35" hidden="1" x14ac:dyDescent="0.55000000000000004">
      <c r="A1636" s="20">
        <v>9789</v>
      </c>
      <c r="B1636" s="2" t="s">
        <v>173</v>
      </c>
      <c r="C1636" s="2" t="s">
        <v>174</v>
      </c>
      <c r="D1636" s="20">
        <v>0</v>
      </c>
      <c r="E1636" s="2" t="s">
        <v>838</v>
      </c>
      <c r="F1636" s="2" t="s">
        <v>793</v>
      </c>
      <c r="G1636" s="2" t="s">
        <v>2377</v>
      </c>
      <c r="H1636" s="2" t="s">
        <v>1506</v>
      </c>
      <c r="J1636" s="26"/>
      <c r="K1636" s="36">
        <v>5.6159999999999998E-5</v>
      </c>
      <c r="L1636" s="23">
        <v>1.872E-5</v>
      </c>
    </row>
    <row r="1637" spans="1:12" ht="15.35" hidden="1" x14ac:dyDescent="0.55000000000000004">
      <c r="A1637" s="20">
        <v>9782</v>
      </c>
      <c r="B1637" s="2" t="s">
        <v>173</v>
      </c>
      <c r="C1637" s="2" t="s">
        <v>174</v>
      </c>
      <c r="D1637" s="20">
        <v>0</v>
      </c>
      <c r="E1637" s="2" t="s">
        <v>838</v>
      </c>
      <c r="F1637" s="2" t="s">
        <v>793</v>
      </c>
      <c r="G1637" s="2" t="s">
        <v>2378</v>
      </c>
      <c r="H1637" s="2" t="s">
        <v>1506</v>
      </c>
      <c r="J1637" s="26"/>
      <c r="K1637" s="36">
        <v>6.8639999999999993E-5</v>
      </c>
      <c r="L1637" s="23">
        <v>2.2880000000000001E-5</v>
      </c>
    </row>
    <row r="1638" spans="1:12" ht="15.35" hidden="1" x14ac:dyDescent="0.55000000000000004">
      <c r="A1638" s="20">
        <v>9783</v>
      </c>
      <c r="B1638" s="2" t="s">
        <v>173</v>
      </c>
      <c r="C1638" s="2" t="s">
        <v>174</v>
      </c>
      <c r="D1638" s="20">
        <v>0</v>
      </c>
      <c r="E1638" s="2" t="s">
        <v>838</v>
      </c>
      <c r="F1638" s="2" t="s">
        <v>793</v>
      </c>
      <c r="G1638" s="2" t="s">
        <v>2379</v>
      </c>
      <c r="H1638" s="2" t="s">
        <v>1506</v>
      </c>
      <c r="J1638" s="26"/>
      <c r="K1638" s="36">
        <v>6.8639999999999993E-5</v>
      </c>
      <c r="L1638" s="23">
        <v>2.2880000000000001E-5</v>
      </c>
    </row>
    <row r="1639" spans="1:12" ht="15.35" hidden="1" x14ac:dyDescent="0.55000000000000004">
      <c r="A1639" s="20">
        <v>9784</v>
      </c>
      <c r="B1639" s="2" t="s">
        <v>173</v>
      </c>
      <c r="C1639" s="2" t="s">
        <v>174</v>
      </c>
      <c r="D1639" s="20">
        <v>0</v>
      </c>
      <c r="E1639" s="2" t="s">
        <v>838</v>
      </c>
      <c r="F1639" s="2" t="s">
        <v>793</v>
      </c>
      <c r="G1639" s="2" t="s">
        <v>2380</v>
      </c>
      <c r="H1639" s="2" t="s">
        <v>1506</v>
      </c>
      <c r="J1639" s="26"/>
      <c r="K1639" s="36">
        <v>6.5519999999999996E-5</v>
      </c>
      <c r="L1639" s="23">
        <v>2.1840000000000001E-5</v>
      </c>
    </row>
    <row r="1640" spans="1:12" ht="15.35" hidden="1" x14ac:dyDescent="0.55000000000000004">
      <c r="A1640" s="20">
        <v>9785</v>
      </c>
      <c r="B1640" s="2" t="s">
        <v>173</v>
      </c>
      <c r="C1640" s="2" t="s">
        <v>174</v>
      </c>
      <c r="D1640" s="20">
        <v>0</v>
      </c>
      <c r="E1640" s="2" t="s">
        <v>838</v>
      </c>
      <c r="F1640" s="2" t="s">
        <v>793</v>
      </c>
      <c r="G1640" s="2" t="s">
        <v>2381</v>
      </c>
      <c r="H1640" s="2" t="s">
        <v>1506</v>
      </c>
      <c r="J1640" s="26"/>
      <c r="K1640" s="36">
        <v>7.4889999999999996E-5</v>
      </c>
      <c r="L1640" s="23">
        <v>2.4960000000000002E-5</v>
      </c>
    </row>
    <row r="1641" spans="1:12" ht="15.35" hidden="1" x14ac:dyDescent="0.55000000000000004">
      <c r="A1641" s="20">
        <v>9793</v>
      </c>
      <c r="B1641" s="2" t="s">
        <v>173</v>
      </c>
      <c r="C1641" s="2" t="s">
        <v>174</v>
      </c>
      <c r="D1641" s="20">
        <v>0</v>
      </c>
      <c r="E1641" s="2" t="s">
        <v>838</v>
      </c>
      <c r="F1641" s="2" t="s">
        <v>793</v>
      </c>
      <c r="G1641" s="2" t="s">
        <v>2382</v>
      </c>
      <c r="H1641" s="2" t="s">
        <v>1506</v>
      </c>
      <c r="J1641" s="26"/>
      <c r="K1641" s="36">
        <v>5.9280000000000002E-5</v>
      </c>
      <c r="L1641" s="23">
        <v>1.9760000000000001E-5</v>
      </c>
    </row>
    <row r="1642" spans="1:12" ht="15.35" hidden="1" x14ac:dyDescent="0.55000000000000004">
      <c r="A1642" s="20">
        <v>9786</v>
      </c>
      <c r="B1642" s="2" t="s">
        <v>173</v>
      </c>
      <c r="C1642" s="2" t="s">
        <v>174</v>
      </c>
      <c r="D1642" s="20">
        <v>0</v>
      </c>
      <c r="E1642" s="2" t="s">
        <v>838</v>
      </c>
      <c r="F1642" s="2" t="s">
        <v>793</v>
      </c>
      <c r="G1642" s="2" t="s">
        <v>2383</v>
      </c>
      <c r="H1642" s="2" t="s">
        <v>1506</v>
      </c>
      <c r="J1642" s="26"/>
      <c r="K1642" s="36">
        <v>6.5519999999999996E-5</v>
      </c>
      <c r="L1642" s="23">
        <v>2.1840000000000001E-5</v>
      </c>
    </row>
    <row r="1643" spans="1:12" ht="15.35" hidden="1" x14ac:dyDescent="0.55000000000000004">
      <c r="A1643" s="20">
        <v>9787</v>
      </c>
      <c r="B1643" s="2" t="s">
        <v>173</v>
      </c>
      <c r="C1643" s="2" t="s">
        <v>174</v>
      </c>
      <c r="D1643" s="20">
        <v>0</v>
      </c>
      <c r="E1643" s="2" t="s">
        <v>838</v>
      </c>
      <c r="F1643" s="2" t="s">
        <v>793</v>
      </c>
      <c r="G1643" s="2" t="s">
        <v>2384</v>
      </c>
      <c r="H1643" s="2" t="s">
        <v>1506</v>
      </c>
      <c r="J1643" s="26"/>
      <c r="K1643" s="36">
        <v>5.304E-5</v>
      </c>
      <c r="L1643" s="23">
        <v>1.768E-5</v>
      </c>
    </row>
    <row r="1644" spans="1:12" ht="15.35" hidden="1" x14ac:dyDescent="0.55000000000000004">
      <c r="A1644" s="20">
        <v>9788</v>
      </c>
      <c r="B1644" s="2" t="s">
        <v>173</v>
      </c>
      <c r="C1644" s="2" t="s">
        <v>174</v>
      </c>
      <c r="D1644" s="20">
        <v>0</v>
      </c>
      <c r="E1644" s="2" t="s">
        <v>838</v>
      </c>
      <c r="F1644" s="2" t="s">
        <v>793</v>
      </c>
      <c r="G1644" s="2" t="s">
        <v>2385</v>
      </c>
      <c r="H1644" s="2" t="s">
        <v>1506</v>
      </c>
      <c r="J1644" s="26"/>
      <c r="K1644" s="36">
        <v>6.5519999999999996E-5</v>
      </c>
      <c r="L1644" s="23">
        <v>2.1840000000000001E-5</v>
      </c>
    </row>
    <row r="1645" spans="1:12" ht="15.35" hidden="1" x14ac:dyDescent="0.55000000000000004">
      <c r="A1645" s="20">
        <v>9765</v>
      </c>
      <c r="B1645" s="2" t="s">
        <v>173</v>
      </c>
      <c r="C1645" s="2" t="s">
        <v>174</v>
      </c>
      <c r="D1645" s="20">
        <v>0</v>
      </c>
      <c r="E1645" s="2" t="s">
        <v>838</v>
      </c>
      <c r="F1645" s="2" t="s">
        <v>793</v>
      </c>
      <c r="G1645" s="2" t="s">
        <v>2386</v>
      </c>
      <c r="H1645" s="2" t="s">
        <v>1506</v>
      </c>
      <c r="J1645" s="26"/>
      <c r="K1645" s="36">
        <v>3.1199999999999999E-5</v>
      </c>
      <c r="L1645" s="23">
        <v>1.04E-5</v>
      </c>
    </row>
    <row r="1646" spans="1:12" ht="15.35" hidden="1" x14ac:dyDescent="0.55000000000000004">
      <c r="A1646" s="20">
        <v>9741</v>
      </c>
      <c r="B1646" s="2" t="s">
        <v>173</v>
      </c>
      <c r="C1646" s="2" t="s">
        <v>174</v>
      </c>
      <c r="D1646" s="20">
        <v>0</v>
      </c>
      <c r="E1646" s="2" t="s">
        <v>838</v>
      </c>
      <c r="F1646" s="2" t="s">
        <v>793</v>
      </c>
      <c r="G1646" s="2" t="s">
        <v>1552</v>
      </c>
      <c r="H1646" s="2" t="s">
        <v>1506</v>
      </c>
      <c r="J1646" s="26"/>
      <c r="K1646" s="36">
        <v>5.6159999999999998E-5</v>
      </c>
      <c r="L1646" s="23">
        <v>1.872E-5</v>
      </c>
    </row>
    <row r="1647" spans="1:12" ht="15.35" hidden="1" x14ac:dyDescent="0.55000000000000004">
      <c r="A1647" s="20">
        <v>9754</v>
      </c>
      <c r="B1647" s="2" t="s">
        <v>173</v>
      </c>
      <c r="C1647" s="2" t="s">
        <v>174</v>
      </c>
      <c r="D1647" s="20">
        <v>0</v>
      </c>
      <c r="E1647" s="2" t="s">
        <v>838</v>
      </c>
      <c r="F1647" s="2" t="s">
        <v>793</v>
      </c>
      <c r="G1647" s="2" t="s">
        <v>1553</v>
      </c>
      <c r="H1647" s="2" t="s">
        <v>1506</v>
      </c>
      <c r="J1647" s="26"/>
      <c r="K1647" s="36">
        <v>5.6159999999999998E-5</v>
      </c>
      <c r="L1647" s="23">
        <v>1.872E-5</v>
      </c>
    </row>
    <row r="1648" spans="1:12" ht="15.35" hidden="1" x14ac:dyDescent="0.55000000000000004">
      <c r="A1648" s="20">
        <v>9764</v>
      </c>
      <c r="B1648" s="2" t="s">
        <v>173</v>
      </c>
      <c r="C1648" s="2" t="s">
        <v>174</v>
      </c>
      <c r="D1648" s="20">
        <v>0</v>
      </c>
      <c r="E1648" s="2" t="s">
        <v>838</v>
      </c>
      <c r="F1648" s="2" t="s">
        <v>793</v>
      </c>
      <c r="G1648" s="2" t="s">
        <v>2387</v>
      </c>
      <c r="H1648" s="2" t="s">
        <v>1506</v>
      </c>
      <c r="J1648" s="26"/>
      <c r="K1648" s="36">
        <v>6.8639999999999993E-5</v>
      </c>
      <c r="L1648" s="23">
        <v>2.2880000000000001E-5</v>
      </c>
    </row>
    <row r="1649" spans="1:12" ht="15.35" hidden="1" x14ac:dyDescent="0.55000000000000004">
      <c r="A1649" s="20">
        <v>9694</v>
      </c>
      <c r="B1649" s="2" t="s">
        <v>173</v>
      </c>
      <c r="C1649" s="2" t="s">
        <v>174</v>
      </c>
      <c r="D1649" s="20">
        <v>0</v>
      </c>
      <c r="E1649" s="2" t="s">
        <v>838</v>
      </c>
      <c r="F1649" s="2" t="s">
        <v>793</v>
      </c>
      <c r="G1649" s="2" t="s">
        <v>1554</v>
      </c>
      <c r="H1649" s="2" t="s">
        <v>1506</v>
      </c>
      <c r="J1649" s="26"/>
      <c r="K1649" s="36">
        <v>5.6159999999999998E-5</v>
      </c>
      <c r="L1649" s="23">
        <v>1.872E-5</v>
      </c>
    </row>
    <row r="1650" spans="1:12" ht="15.35" hidden="1" x14ac:dyDescent="0.55000000000000004">
      <c r="A1650" s="20">
        <v>9695</v>
      </c>
      <c r="B1650" s="2" t="s">
        <v>173</v>
      </c>
      <c r="C1650" s="2" t="s">
        <v>174</v>
      </c>
      <c r="D1650" s="20">
        <v>0</v>
      </c>
      <c r="E1650" s="2" t="s">
        <v>838</v>
      </c>
      <c r="F1650" s="2" t="s">
        <v>793</v>
      </c>
      <c r="G1650" s="2" t="s">
        <v>1555</v>
      </c>
      <c r="H1650" s="2" t="s">
        <v>1506</v>
      </c>
      <c r="J1650" s="26"/>
      <c r="K1650" s="36">
        <v>5.9280000000000002E-5</v>
      </c>
      <c r="L1650" s="23">
        <v>1.9760000000000001E-5</v>
      </c>
    </row>
    <row r="1651" spans="1:12" ht="15.35" hidden="1" x14ac:dyDescent="0.55000000000000004">
      <c r="A1651" s="20">
        <v>9696</v>
      </c>
      <c r="B1651" s="2" t="s">
        <v>173</v>
      </c>
      <c r="C1651" s="2" t="s">
        <v>174</v>
      </c>
      <c r="D1651" s="20">
        <v>0</v>
      </c>
      <c r="E1651" s="2" t="s">
        <v>838</v>
      </c>
      <c r="F1651" s="2" t="s">
        <v>793</v>
      </c>
      <c r="G1651" s="2" t="s">
        <v>1556</v>
      </c>
      <c r="H1651" s="2" t="s">
        <v>1506</v>
      </c>
      <c r="J1651" s="26"/>
      <c r="K1651" s="36">
        <v>5.9280000000000002E-5</v>
      </c>
      <c r="L1651" s="23">
        <v>1.9760000000000001E-5</v>
      </c>
    </row>
    <row r="1652" spans="1:12" ht="15.35" x14ac:dyDescent="0.55000000000000004">
      <c r="A1652" s="20">
        <v>9820</v>
      </c>
      <c r="B1652" s="2" t="s">
        <v>173</v>
      </c>
      <c r="C1652" s="2" t="s">
        <v>174</v>
      </c>
      <c r="D1652" s="20">
        <v>0</v>
      </c>
      <c r="E1652" s="2" t="s">
        <v>838</v>
      </c>
      <c r="F1652" s="2" t="s">
        <v>793</v>
      </c>
      <c r="G1652" s="2" t="s">
        <v>2388</v>
      </c>
      <c r="J1652" s="26"/>
      <c r="K1652" s="36">
        <v>5.6159999999999998E-5</v>
      </c>
      <c r="L1652" s="23">
        <v>1.872E-5</v>
      </c>
    </row>
    <row r="1653" spans="1:12" ht="15.35" x14ac:dyDescent="0.55000000000000004">
      <c r="A1653" s="20">
        <v>9774</v>
      </c>
      <c r="B1653" s="2" t="s">
        <v>173</v>
      </c>
      <c r="C1653" s="2" t="s">
        <v>174</v>
      </c>
      <c r="D1653" s="20">
        <v>0</v>
      </c>
      <c r="E1653" s="2" t="s">
        <v>838</v>
      </c>
      <c r="F1653" s="2" t="s">
        <v>793</v>
      </c>
      <c r="G1653" s="2" t="s">
        <v>2389</v>
      </c>
      <c r="J1653" s="26"/>
      <c r="K1653" s="36">
        <v>5.6159999999999998E-5</v>
      </c>
      <c r="L1653" s="23">
        <v>1.872E-5</v>
      </c>
    </row>
    <row r="1654" spans="1:12" ht="15.35" x14ac:dyDescent="0.55000000000000004">
      <c r="A1654" s="20">
        <v>9775</v>
      </c>
      <c r="B1654" s="2" t="s">
        <v>173</v>
      </c>
      <c r="C1654" s="2" t="s">
        <v>174</v>
      </c>
      <c r="D1654" s="20">
        <v>0</v>
      </c>
      <c r="E1654" s="2" t="s">
        <v>838</v>
      </c>
      <c r="F1654" s="2" t="s">
        <v>793</v>
      </c>
      <c r="G1654" s="2" t="s">
        <v>2390</v>
      </c>
      <c r="J1654" s="26"/>
      <c r="K1654" s="36">
        <v>5.6159999999999998E-5</v>
      </c>
      <c r="L1654" s="23">
        <v>1.872E-5</v>
      </c>
    </row>
    <row r="1655" spans="1:12" ht="15.35" x14ac:dyDescent="0.55000000000000004">
      <c r="A1655" s="20">
        <v>9776</v>
      </c>
      <c r="B1655" s="2" t="s">
        <v>173</v>
      </c>
      <c r="C1655" s="2" t="s">
        <v>174</v>
      </c>
      <c r="D1655" s="20">
        <v>0</v>
      </c>
      <c r="E1655" s="2" t="s">
        <v>838</v>
      </c>
      <c r="F1655" s="2" t="s">
        <v>793</v>
      </c>
      <c r="G1655" s="2" t="s">
        <v>2391</v>
      </c>
      <c r="J1655" s="26"/>
      <c r="K1655" s="36">
        <v>5.6159999999999998E-5</v>
      </c>
      <c r="L1655" s="23">
        <v>1.872E-5</v>
      </c>
    </row>
    <row r="1656" spans="1:12" ht="15.35" x14ac:dyDescent="0.55000000000000004">
      <c r="A1656" s="20">
        <v>9807</v>
      </c>
      <c r="B1656" s="2" t="s">
        <v>173</v>
      </c>
      <c r="C1656" s="2" t="s">
        <v>174</v>
      </c>
      <c r="D1656" s="20">
        <v>0</v>
      </c>
      <c r="E1656" s="2" t="s">
        <v>838</v>
      </c>
      <c r="F1656" s="2" t="s">
        <v>793</v>
      </c>
      <c r="G1656" s="2" t="s">
        <v>2392</v>
      </c>
      <c r="J1656" s="26"/>
      <c r="K1656" s="36">
        <v>5.6159999999999998E-5</v>
      </c>
      <c r="L1656" s="23">
        <v>1.872E-5</v>
      </c>
    </row>
    <row r="1657" spans="1:12" ht="15.35" x14ac:dyDescent="0.55000000000000004">
      <c r="A1657" s="20">
        <v>9808</v>
      </c>
      <c r="B1657" s="2" t="s">
        <v>173</v>
      </c>
      <c r="C1657" s="2" t="s">
        <v>174</v>
      </c>
      <c r="D1657" s="20">
        <v>0</v>
      </c>
      <c r="E1657" s="2" t="s">
        <v>838</v>
      </c>
      <c r="F1657" s="2" t="s">
        <v>793</v>
      </c>
      <c r="G1657" s="2" t="s">
        <v>2393</v>
      </c>
      <c r="J1657" s="26"/>
      <c r="K1657" s="36">
        <v>5.6159999999999998E-5</v>
      </c>
      <c r="L1657" s="23">
        <v>1.872E-5</v>
      </c>
    </row>
    <row r="1658" spans="1:12" ht="15.35" x14ac:dyDescent="0.55000000000000004">
      <c r="A1658" s="20">
        <v>9809</v>
      </c>
      <c r="B1658" s="2" t="s">
        <v>173</v>
      </c>
      <c r="C1658" s="2" t="s">
        <v>174</v>
      </c>
      <c r="D1658" s="20">
        <v>0</v>
      </c>
      <c r="E1658" s="2" t="s">
        <v>838</v>
      </c>
      <c r="F1658" s="2" t="s">
        <v>793</v>
      </c>
      <c r="G1658" s="2" t="s">
        <v>2394</v>
      </c>
      <c r="J1658" s="26"/>
      <c r="K1658" s="36">
        <v>5.6159999999999998E-5</v>
      </c>
      <c r="L1658" s="23">
        <v>1.872E-5</v>
      </c>
    </row>
    <row r="1659" spans="1:12" ht="15.35" x14ac:dyDescent="0.55000000000000004">
      <c r="A1659" s="20">
        <v>9811</v>
      </c>
      <c r="B1659" s="2" t="s">
        <v>173</v>
      </c>
      <c r="C1659" s="2" t="s">
        <v>174</v>
      </c>
      <c r="D1659" s="20">
        <v>0</v>
      </c>
      <c r="E1659" s="2" t="s">
        <v>838</v>
      </c>
      <c r="F1659" s="2" t="s">
        <v>793</v>
      </c>
      <c r="G1659" s="2" t="s">
        <v>2395</v>
      </c>
      <c r="J1659" s="26"/>
      <c r="K1659" s="36">
        <v>5.6159999999999998E-5</v>
      </c>
      <c r="L1659" s="23">
        <v>1.872E-5</v>
      </c>
    </row>
    <row r="1660" spans="1:12" ht="15.35" x14ac:dyDescent="0.55000000000000004">
      <c r="A1660" s="20">
        <v>9812</v>
      </c>
      <c r="B1660" s="2" t="s">
        <v>173</v>
      </c>
      <c r="C1660" s="2" t="s">
        <v>174</v>
      </c>
      <c r="D1660" s="20">
        <v>0</v>
      </c>
      <c r="E1660" s="2" t="s">
        <v>838</v>
      </c>
      <c r="F1660" s="2" t="s">
        <v>793</v>
      </c>
      <c r="G1660" s="2" t="s">
        <v>2396</v>
      </c>
      <c r="J1660" s="26"/>
      <c r="K1660" s="36">
        <v>5.6159999999999998E-5</v>
      </c>
      <c r="L1660" s="23">
        <v>1.872E-5</v>
      </c>
    </row>
    <row r="1661" spans="1:12" ht="15.35" x14ac:dyDescent="0.55000000000000004">
      <c r="A1661" s="20">
        <v>9813</v>
      </c>
      <c r="B1661" s="2" t="s">
        <v>173</v>
      </c>
      <c r="C1661" s="2" t="s">
        <v>174</v>
      </c>
      <c r="D1661" s="20">
        <v>0</v>
      </c>
      <c r="E1661" s="2" t="s">
        <v>838</v>
      </c>
      <c r="F1661" s="2" t="s">
        <v>793</v>
      </c>
      <c r="G1661" s="2" t="s">
        <v>2397</v>
      </c>
      <c r="J1661" s="26"/>
      <c r="K1661" s="36">
        <v>5.6159999999999998E-5</v>
      </c>
      <c r="L1661" s="23">
        <v>1.872E-5</v>
      </c>
    </row>
    <row r="1662" spans="1:12" ht="15.35" x14ac:dyDescent="0.55000000000000004">
      <c r="A1662" s="20">
        <v>9814</v>
      </c>
      <c r="B1662" s="2" t="s">
        <v>173</v>
      </c>
      <c r="C1662" s="2" t="s">
        <v>174</v>
      </c>
      <c r="D1662" s="20">
        <v>0</v>
      </c>
      <c r="E1662" s="2" t="s">
        <v>838</v>
      </c>
      <c r="F1662" s="2" t="s">
        <v>793</v>
      </c>
      <c r="G1662" s="2" t="s">
        <v>2398</v>
      </c>
      <c r="J1662" s="26"/>
      <c r="K1662" s="36">
        <v>5.6159999999999998E-5</v>
      </c>
      <c r="L1662" s="23">
        <v>1.872E-5</v>
      </c>
    </row>
    <row r="1663" spans="1:12" ht="15.35" x14ac:dyDescent="0.55000000000000004">
      <c r="A1663" s="20">
        <v>9815</v>
      </c>
      <c r="B1663" s="2" t="s">
        <v>173</v>
      </c>
      <c r="C1663" s="2" t="s">
        <v>174</v>
      </c>
      <c r="D1663" s="20">
        <v>0</v>
      </c>
      <c r="E1663" s="2" t="s">
        <v>838</v>
      </c>
      <c r="F1663" s="2" t="s">
        <v>793</v>
      </c>
      <c r="G1663" s="2" t="s">
        <v>2399</v>
      </c>
      <c r="J1663" s="26"/>
      <c r="K1663" s="36">
        <v>5.6159999999999998E-5</v>
      </c>
      <c r="L1663" s="23">
        <v>1.872E-5</v>
      </c>
    </row>
    <row r="1664" spans="1:12" ht="15.35" x14ac:dyDescent="0.55000000000000004">
      <c r="A1664" s="20">
        <v>9816</v>
      </c>
      <c r="B1664" s="2" t="s">
        <v>173</v>
      </c>
      <c r="C1664" s="2" t="s">
        <v>174</v>
      </c>
      <c r="D1664" s="20">
        <v>0</v>
      </c>
      <c r="E1664" s="2" t="s">
        <v>838</v>
      </c>
      <c r="F1664" s="2" t="s">
        <v>793</v>
      </c>
      <c r="G1664" s="2" t="s">
        <v>2400</v>
      </c>
      <c r="J1664" s="26"/>
      <c r="K1664" s="36">
        <v>5.6159999999999998E-5</v>
      </c>
      <c r="L1664" s="23">
        <v>1.872E-5</v>
      </c>
    </row>
    <row r="1665" spans="1:12" ht="15.35" x14ac:dyDescent="0.55000000000000004">
      <c r="A1665" s="20">
        <v>9803</v>
      </c>
      <c r="B1665" s="2" t="s">
        <v>173</v>
      </c>
      <c r="C1665" s="2" t="s">
        <v>174</v>
      </c>
      <c r="D1665" s="20">
        <v>0</v>
      </c>
      <c r="E1665" s="2" t="s">
        <v>838</v>
      </c>
      <c r="F1665" s="2" t="s">
        <v>793</v>
      </c>
      <c r="G1665" s="2" t="s">
        <v>2401</v>
      </c>
      <c r="J1665" s="26"/>
      <c r="K1665" s="36">
        <v>5.6159999999999998E-5</v>
      </c>
      <c r="L1665" s="23">
        <v>1.872E-5</v>
      </c>
    </row>
    <row r="1666" spans="1:12" ht="15.35" x14ac:dyDescent="0.55000000000000004">
      <c r="A1666" s="20">
        <v>9804</v>
      </c>
      <c r="B1666" s="2" t="s">
        <v>173</v>
      </c>
      <c r="C1666" s="2" t="s">
        <v>174</v>
      </c>
      <c r="D1666" s="20">
        <v>0</v>
      </c>
      <c r="E1666" s="2" t="s">
        <v>838</v>
      </c>
      <c r="F1666" s="2" t="s">
        <v>793</v>
      </c>
      <c r="G1666" s="2" t="s">
        <v>2402</v>
      </c>
      <c r="J1666" s="26"/>
      <c r="K1666" s="36">
        <v>6.8639999999999993E-5</v>
      </c>
      <c r="L1666" s="23">
        <v>2.2880000000000001E-5</v>
      </c>
    </row>
    <row r="1667" spans="1:12" ht="15.35" hidden="1" x14ac:dyDescent="0.55000000000000004">
      <c r="A1667" s="20">
        <v>9762</v>
      </c>
      <c r="B1667" s="2" t="s">
        <v>173</v>
      </c>
      <c r="C1667" s="2" t="s">
        <v>174</v>
      </c>
      <c r="D1667" s="20">
        <v>0</v>
      </c>
      <c r="E1667" s="2" t="s">
        <v>838</v>
      </c>
      <c r="F1667" s="2" t="s">
        <v>793</v>
      </c>
      <c r="G1667" s="2" t="s">
        <v>1557</v>
      </c>
      <c r="H1667" s="2" t="s">
        <v>1506</v>
      </c>
      <c r="J1667" s="26"/>
      <c r="K1667" s="36">
        <v>4.0559999999999998E-5</v>
      </c>
      <c r="L1667" s="23">
        <v>1.3519999999999999E-5</v>
      </c>
    </row>
    <row r="1668" spans="1:12" ht="15.35" x14ac:dyDescent="0.55000000000000004">
      <c r="A1668" s="20">
        <v>9794</v>
      </c>
      <c r="B1668" s="2" t="s">
        <v>173</v>
      </c>
      <c r="C1668" s="2" t="s">
        <v>174</v>
      </c>
      <c r="D1668" s="20">
        <v>0</v>
      </c>
      <c r="E1668" s="2" t="s">
        <v>838</v>
      </c>
      <c r="F1668" s="2" t="s">
        <v>793</v>
      </c>
      <c r="G1668" s="2" t="s">
        <v>2403</v>
      </c>
      <c r="J1668" s="26"/>
      <c r="K1668" s="36">
        <v>4.0559999999999998E-5</v>
      </c>
      <c r="L1668" s="23">
        <v>1.3519999999999999E-5</v>
      </c>
    </row>
    <row r="1669" spans="1:12" ht="15.35" hidden="1" x14ac:dyDescent="0.55000000000000004">
      <c r="A1669" s="20">
        <v>9745</v>
      </c>
      <c r="B1669" s="2" t="s">
        <v>173</v>
      </c>
      <c r="C1669" s="2" t="s">
        <v>174</v>
      </c>
      <c r="D1669" s="20">
        <v>0</v>
      </c>
      <c r="E1669" s="2" t="s">
        <v>838</v>
      </c>
      <c r="F1669" s="2" t="s">
        <v>793</v>
      </c>
      <c r="G1669" s="2" t="s">
        <v>1561</v>
      </c>
      <c r="H1669" s="2" t="s">
        <v>1506</v>
      </c>
      <c r="J1669" s="26"/>
      <c r="K1669" s="36">
        <v>3.4319999999999997E-5</v>
      </c>
      <c r="L1669" s="23">
        <v>1.1440000000000001E-5</v>
      </c>
    </row>
    <row r="1670" spans="1:12" ht="15.35" hidden="1" x14ac:dyDescent="0.55000000000000004">
      <c r="A1670" s="20">
        <v>9746</v>
      </c>
      <c r="B1670" s="2" t="s">
        <v>173</v>
      </c>
      <c r="C1670" s="2" t="s">
        <v>174</v>
      </c>
      <c r="D1670" s="20">
        <v>0</v>
      </c>
      <c r="E1670" s="2" t="s">
        <v>838</v>
      </c>
      <c r="F1670" s="2" t="s">
        <v>793</v>
      </c>
      <c r="G1670" s="2" t="s">
        <v>1562</v>
      </c>
      <c r="H1670" s="2" t="s">
        <v>1506</v>
      </c>
      <c r="J1670" s="26"/>
      <c r="K1670" s="36">
        <v>3.4319999999999997E-5</v>
      </c>
      <c r="L1670" s="23">
        <v>1.1440000000000001E-5</v>
      </c>
    </row>
    <row r="1671" spans="1:12" ht="15.35" hidden="1" x14ac:dyDescent="0.55000000000000004">
      <c r="A1671" s="20">
        <v>9740</v>
      </c>
      <c r="B1671" s="2" t="s">
        <v>173</v>
      </c>
      <c r="C1671" s="2" t="s">
        <v>174</v>
      </c>
      <c r="D1671" s="20">
        <v>0</v>
      </c>
      <c r="E1671" s="2" t="s">
        <v>838</v>
      </c>
      <c r="F1671" s="2" t="s">
        <v>793</v>
      </c>
      <c r="G1671" s="2" t="s">
        <v>1568</v>
      </c>
      <c r="H1671" s="2" t="s">
        <v>1506</v>
      </c>
      <c r="J1671" s="26"/>
      <c r="K1671" s="36">
        <v>3.4319999999999997E-5</v>
      </c>
      <c r="L1671" s="23">
        <v>1.1440000000000001E-5</v>
      </c>
    </row>
    <row r="1672" spans="1:12" ht="15.35" hidden="1" x14ac:dyDescent="0.55000000000000004">
      <c r="A1672" s="20">
        <v>9760</v>
      </c>
      <c r="B1672" s="2" t="s">
        <v>173</v>
      </c>
      <c r="C1672" s="2" t="s">
        <v>174</v>
      </c>
      <c r="D1672" s="20">
        <v>0</v>
      </c>
      <c r="E1672" s="2" t="s">
        <v>838</v>
      </c>
      <c r="F1672" s="2" t="s">
        <v>793</v>
      </c>
      <c r="G1672" s="2" t="s">
        <v>1570</v>
      </c>
      <c r="H1672" s="2" t="s">
        <v>1506</v>
      </c>
      <c r="J1672" s="26"/>
      <c r="K1672" s="36">
        <v>5.6159999999999998E-5</v>
      </c>
      <c r="L1672" s="23">
        <v>1.872E-5</v>
      </c>
    </row>
    <row r="1673" spans="1:12" ht="15.35" hidden="1" x14ac:dyDescent="0.55000000000000004">
      <c r="A1673" s="20">
        <v>9761</v>
      </c>
      <c r="B1673" s="2" t="s">
        <v>173</v>
      </c>
      <c r="C1673" s="2" t="s">
        <v>174</v>
      </c>
      <c r="D1673" s="20">
        <v>0</v>
      </c>
      <c r="E1673" s="2" t="s">
        <v>838</v>
      </c>
      <c r="F1673" s="2" t="s">
        <v>793</v>
      </c>
      <c r="G1673" s="2" t="s">
        <v>1571</v>
      </c>
      <c r="H1673" s="2" t="s">
        <v>1506</v>
      </c>
      <c r="J1673" s="26"/>
      <c r="K1673" s="36">
        <v>5.6159999999999998E-5</v>
      </c>
      <c r="L1673" s="23">
        <v>1.872E-5</v>
      </c>
    </row>
    <row r="1674" spans="1:12" ht="15.35" x14ac:dyDescent="0.55000000000000004">
      <c r="A1674" s="20">
        <v>9791</v>
      </c>
      <c r="B1674" s="2" t="s">
        <v>173</v>
      </c>
      <c r="C1674" s="2" t="s">
        <v>174</v>
      </c>
      <c r="D1674" s="20">
        <v>0</v>
      </c>
      <c r="E1674" s="2" t="s">
        <v>838</v>
      </c>
      <c r="F1674" s="2" t="s">
        <v>793</v>
      </c>
      <c r="G1674" s="2" t="s">
        <v>2404</v>
      </c>
      <c r="J1674" s="26"/>
      <c r="K1674" s="36">
        <v>5.304E-5</v>
      </c>
      <c r="L1674" s="23">
        <v>1.768E-5</v>
      </c>
    </row>
    <row r="1675" spans="1:12" ht="15.35" hidden="1" x14ac:dyDescent="0.55000000000000004">
      <c r="A1675" s="20">
        <v>9747</v>
      </c>
      <c r="B1675" s="2" t="s">
        <v>173</v>
      </c>
      <c r="C1675" s="2" t="s">
        <v>174</v>
      </c>
      <c r="D1675" s="20">
        <v>0</v>
      </c>
      <c r="E1675" s="2" t="s">
        <v>838</v>
      </c>
      <c r="F1675" s="2" t="s">
        <v>793</v>
      </c>
      <c r="G1675" s="2" t="s">
        <v>1572</v>
      </c>
      <c r="H1675" s="2" t="s">
        <v>1506</v>
      </c>
      <c r="J1675" s="26"/>
      <c r="K1675" s="36">
        <v>3.4319999999999997E-5</v>
      </c>
      <c r="L1675" s="23">
        <v>1.1440000000000001E-5</v>
      </c>
    </row>
    <row r="1676" spans="1:12" ht="15.35" hidden="1" x14ac:dyDescent="0.55000000000000004">
      <c r="A1676" s="20">
        <v>9748</v>
      </c>
      <c r="B1676" s="2" t="s">
        <v>173</v>
      </c>
      <c r="C1676" s="2" t="s">
        <v>174</v>
      </c>
      <c r="D1676" s="20">
        <v>0</v>
      </c>
      <c r="E1676" s="2" t="s">
        <v>838</v>
      </c>
      <c r="F1676" s="2" t="s">
        <v>793</v>
      </c>
      <c r="G1676" s="2" t="s">
        <v>1573</v>
      </c>
      <c r="H1676" s="2" t="s">
        <v>1506</v>
      </c>
      <c r="J1676" s="26"/>
      <c r="K1676" s="36">
        <v>3.4319999999999997E-5</v>
      </c>
      <c r="L1676" s="23">
        <v>1.1440000000000001E-5</v>
      </c>
    </row>
    <row r="1677" spans="1:12" ht="15.35" hidden="1" x14ac:dyDescent="0.55000000000000004">
      <c r="A1677" s="20">
        <v>9749</v>
      </c>
      <c r="B1677" s="2" t="s">
        <v>173</v>
      </c>
      <c r="C1677" s="2" t="s">
        <v>174</v>
      </c>
      <c r="D1677" s="20">
        <v>0</v>
      </c>
      <c r="E1677" s="2" t="s">
        <v>838</v>
      </c>
      <c r="F1677" s="2" t="s">
        <v>793</v>
      </c>
      <c r="G1677" s="2" t="s">
        <v>1574</v>
      </c>
      <c r="H1677" s="2" t="s">
        <v>1506</v>
      </c>
      <c r="J1677" s="26"/>
      <c r="K1677" s="36">
        <v>3.4319999999999997E-5</v>
      </c>
      <c r="L1677" s="23">
        <v>1.1440000000000001E-5</v>
      </c>
    </row>
    <row r="1678" spans="1:12" ht="15.35" hidden="1" x14ac:dyDescent="0.55000000000000004">
      <c r="A1678" s="20">
        <v>9750</v>
      </c>
      <c r="B1678" s="2" t="s">
        <v>173</v>
      </c>
      <c r="C1678" s="2" t="s">
        <v>174</v>
      </c>
      <c r="D1678" s="20">
        <v>0</v>
      </c>
      <c r="E1678" s="2" t="s">
        <v>838</v>
      </c>
      <c r="F1678" s="2" t="s">
        <v>793</v>
      </c>
      <c r="G1678" s="2" t="s">
        <v>1575</v>
      </c>
      <c r="H1678" s="2" t="s">
        <v>1506</v>
      </c>
      <c r="J1678" s="26"/>
      <c r="K1678" s="36">
        <v>3.1199999999999999E-5</v>
      </c>
      <c r="L1678" s="23">
        <v>1.04E-5</v>
      </c>
    </row>
    <row r="1679" spans="1:12" ht="15.35" hidden="1" x14ac:dyDescent="0.55000000000000004">
      <c r="A1679" s="20">
        <v>9751</v>
      </c>
      <c r="B1679" s="2" t="s">
        <v>173</v>
      </c>
      <c r="C1679" s="2" t="s">
        <v>174</v>
      </c>
      <c r="D1679" s="20">
        <v>0</v>
      </c>
      <c r="E1679" s="2" t="s">
        <v>838</v>
      </c>
      <c r="F1679" s="2" t="s">
        <v>793</v>
      </c>
      <c r="G1679" s="2" t="s">
        <v>1576</v>
      </c>
      <c r="H1679" s="2" t="s">
        <v>1506</v>
      </c>
      <c r="J1679" s="26"/>
      <c r="K1679" s="36">
        <v>3.1199999999999999E-5</v>
      </c>
      <c r="L1679" s="23">
        <v>1.04E-5</v>
      </c>
    </row>
    <row r="1680" spans="1:12" ht="15.35" hidden="1" x14ac:dyDescent="0.55000000000000004">
      <c r="A1680" s="20">
        <v>9752</v>
      </c>
      <c r="B1680" s="2" t="s">
        <v>173</v>
      </c>
      <c r="C1680" s="2" t="s">
        <v>174</v>
      </c>
      <c r="D1680" s="20">
        <v>0</v>
      </c>
      <c r="E1680" s="2" t="s">
        <v>838</v>
      </c>
      <c r="F1680" s="2" t="s">
        <v>793</v>
      </c>
      <c r="G1680" s="2" t="s">
        <v>1577</v>
      </c>
      <c r="H1680" s="2" t="s">
        <v>1506</v>
      </c>
      <c r="J1680" s="26"/>
      <c r="K1680" s="36">
        <v>3.1199999999999999E-5</v>
      </c>
      <c r="L1680" s="23">
        <v>1.04E-5</v>
      </c>
    </row>
    <row r="1681" spans="1:12" ht="15.35" hidden="1" x14ac:dyDescent="0.55000000000000004">
      <c r="A1681" s="20">
        <v>9753</v>
      </c>
      <c r="B1681" s="2" t="s">
        <v>173</v>
      </c>
      <c r="C1681" s="2" t="s">
        <v>174</v>
      </c>
      <c r="D1681" s="20">
        <v>0</v>
      </c>
      <c r="E1681" s="2" t="s">
        <v>838</v>
      </c>
      <c r="F1681" s="2" t="s">
        <v>793</v>
      </c>
      <c r="G1681" s="2" t="s">
        <v>1578</v>
      </c>
      <c r="H1681" s="2" t="s">
        <v>1506</v>
      </c>
      <c r="J1681" s="26"/>
      <c r="K1681" s="36">
        <v>3.1199999999999999E-5</v>
      </c>
      <c r="L1681" s="23">
        <v>1.04E-5</v>
      </c>
    </row>
    <row r="1682" spans="1:12" ht="15.35" x14ac:dyDescent="0.55000000000000004">
      <c r="A1682" s="20">
        <v>9826</v>
      </c>
      <c r="B1682" s="2" t="s">
        <v>173</v>
      </c>
      <c r="C1682" s="2" t="s">
        <v>174</v>
      </c>
      <c r="D1682" s="20">
        <v>0</v>
      </c>
      <c r="E1682" s="2" t="s">
        <v>838</v>
      </c>
      <c r="F1682" s="2" t="s">
        <v>793</v>
      </c>
      <c r="G1682" s="2" t="s">
        <v>2405</v>
      </c>
      <c r="J1682" s="26"/>
      <c r="K1682" s="36">
        <v>6.2399999999999999E-5</v>
      </c>
      <c r="L1682" s="23">
        <v>2.0800000000000001E-5</v>
      </c>
    </row>
    <row r="1683" spans="1:12" ht="15.35" hidden="1" x14ac:dyDescent="0.55000000000000004">
      <c r="A1683" s="20">
        <v>9738</v>
      </c>
      <c r="B1683" s="2" t="s">
        <v>173</v>
      </c>
      <c r="C1683" s="2" t="s">
        <v>174</v>
      </c>
      <c r="D1683" s="20">
        <v>0</v>
      </c>
      <c r="E1683" s="2" t="s">
        <v>838</v>
      </c>
      <c r="F1683" s="2" t="s">
        <v>793</v>
      </c>
      <c r="G1683" s="2" t="s">
        <v>1581</v>
      </c>
      <c r="H1683" s="2" t="s">
        <v>1506</v>
      </c>
      <c r="J1683" s="26"/>
      <c r="K1683" s="36">
        <v>6.5519999999999996E-5</v>
      </c>
      <c r="L1683" s="23">
        <v>2.1840000000000001E-5</v>
      </c>
    </row>
    <row r="1684" spans="1:12" ht="15.35" hidden="1" x14ac:dyDescent="0.55000000000000004">
      <c r="A1684" s="20">
        <v>9690</v>
      </c>
      <c r="B1684" s="2" t="s">
        <v>173</v>
      </c>
      <c r="C1684" s="2" t="s">
        <v>174</v>
      </c>
      <c r="D1684" s="20">
        <v>0</v>
      </c>
      <c r="E1684" s="2" t="s">
        <v>838</v>
      </c>
      <c r="F1684" s="2" t="s">
        <v>793</v>
      </c>
      <c r="G1684" s="2" t="s">
        <v>1582</v>
      </c>
      <c r="H1684" s="2" t="s">
        <v>1506</v>
      </c>
      <c r="J1684" s="26"/>
      <c r="K1684" s="36">
        <v>6.2399999999999999E-5</v>
      </c>
      <c r="L1684" s="23">
        <v>2.0800000000000001E-5</v>
      </c>
    </row>
    <row r="1685" spans="1:12" ht="15.35" hidden="1" x14ac:dyDescent="0.55000000000000004">
      <c r="A1685" s="20">
        <v>9689</v>
      </c>
      <c r="B1685" s="2" t="s">
        <v>173</v>
      </c>
      <c r="C1685" s="2" t="s">
        <v>174</v>
      </c>
      <c r="D1685" s="20">
        <v>0</v>
      </c>
      <c r="E1685" s="2" t="s">
        <v>838</v>
      </c>
      <c r="F1685" s="2" t="s">
        <v>793</v>
      </c>
      <c r="G1685" s="2" t="s">
        <v>1583</v>
      </c>
      <c r="H1685" s="2" t="s">
        <v>1506</v>
      </c>
      <c r="J1685" s="26"/>
      <c r="K1685" s="36">
        <v>7.1760000000000004E-5</v>
      </c>
      <c r="L1685" s="23">
        <v>2.3920000000000001E-5</v>
      </c>
    </row>
    <row r="1686" spans="1:12" ht="15.35" hidden="1" x14ac:dyDescent="0.55000000000000004">
      <c r="A1686" s="20">
        <v>9691</v>
      </c>
      <c r="B1686" s="2" t="s">
        <v>173</v>
      </c>
      <c r="C1686" s="2" t="s">
        <v>174</v>
      </c>
      <c r="D1686" s="20">
        <v>0</v>
      </c>
      <c r="E1686" s="2" t="s">
        <v>838</v>
      </c>
      <c r="F1686" s="2" t="s">
        <v>793</v>
      </c>
      <c r="G1686" s="2" t="s">
        <v>1584</v>
      </c>
      <c r="H1686" s="2" t="s">
        <v>1506</v>
      </c>
      <c r="J1686" s="26"/>
      <c r="K1686" s="36">
        <v>5.6159999999999998E-5</v>
      </c>
      <c r="L1686" s="23">
        <v>1.872E-5</v>
      </c>
    </row>
    <row r="1687" spans="1:12" ht="15.35" hidden="1" x14ac:dyDescent="0.55000000000000004">
      <c r="A1687" s="20">
        <v>9692</v>
      </c>
      <c r="B1687" s="2" t="s">
        <v>173</v>
      </c>
      <c r="C1687" s="2" t="s">
        <v>174</v>
      </c>
      <c r="D1687" s="20">
        <v>0</v>
      </c>
      <c r="E1687" s="2" t="s">
        <v>838</v>
      </c>
      <c r="F1687" s="2" t="s">
        <v>793</v>
      </c>
      <c r="G1687" s="2" t="s">
        <v>1585</v>
      </c>
      <c r="H1687" s="2" t="s">
        <v>1506</v>
      </c>
      <c r="J1687" s="26"/>
      <c r="K1687" s="36">
        <v>7.1760000000000004E-5</v>
      </c>
      <c r="L1687" s="23">
        <v>2.3920000000000001E-5</v>
      </c>
    </row>
    <row r="1688" spans="1:12" ht="15.35" hidden="1" x14ac:dyDescent="0.55000000000000004">
      <c r="A1688" s="20">
        <v>9693</v>
      </c>
      <c r="B1688" s="2" t="s">
        <v>173</v>
      </c>
      <c r="C1688" s="2" t="s">
        <v>174</v>
      </c>
      <c r="D1688" s="20">
        <v>0</v>
      </c>
      <c r="E1688" s="2" t="s">
        <v>838</v>
      </c>
      <c r="F1688" s="2" t="s">
        <v>793</v>
      </c>
      <c r="G1688" s="2" t="s">
        <v>1586</v>
      </c>
      <c r="H1688" s="2" t="s">
        <v>1506</v>
      </c>
      <c r="J1688" s="26"/>
      <c r="K1688" s="36">
        <v>6.8639999999999993E-5</v>
      </c>
      <c r="L1688" s="23">
        <v>2.2880000000000001E-5</v>
      </c>
    </row>
    <row r="1689" spans="1:12" ht="15.35" x14ac:dyDescent="0.55000000000000004">
      <c r="A1689" s="20">
        <v>9767</v>
      </c>
      <c r="B1689" s="2" t="s">
        <v>173</v>
      </c>
      <c r="C1689" s="2" t="s">
        <v>174</v>
      </c>
      <c r="D1689" s="20">
        <v>0</v>
      </c>
      <c r="E1689" s="2" t="s">
        <v>838</v>
      </c>
      <c r="F1689" s="2" t="s">
        <v>793</v>
      </c>
      <c r="G1689" s="2" t="s">
        <v>2406</v>
      </c>
      <c r="J1689" s="26"/>
      <c r="K1689" s="36">
        <v>5.6159999999999998E-5</v>
      </c>
      <c r="L1689" s="23">
        <v>1.872E-5</v>
      </c>
    </row>
    <row r="1690" spans="1:12" ht="15.35" x14ac:dyDescent="0.55000000000000004">
      <c r="A1690" s="20">
        <v>9763</v>
      </c>
      <c r="B1690" s="2" t="s">
        <v>173</v>
      </c>
      <c r="C1690" s="2" t="s">
        <v>174</v>
      </c>
      <c r="D1690" s="20">
        <v>0</v>
      </c>
      <c r="E1690" s="2" t="s">
        <v>838</v>
      </c>
      <c r="F1690" s="2" t="s">
        <v>793</v>
      </c>
      <c r="G1690" s="2" t="s">
        <v>2407</v>
      </c>
      <c r="J1690" s="26"/>
      <c r="K1690" s="36">
        <v>7.1760000000000004E-5</v>
      </c>
      <c r="L1690" s="23">
        <v>2.3920000000000001E-5</v>
      </c>
    </row>
    <row r="1691" spans="1:12" ht="15.35" hidden="1" x14ac:dyDescent="0.55000000000000004">
      <c r="A1691" s="20">
        <v>9737</v>
      </c>
      <c r="B1691" s="2" t="s">
        <v>173</v>
      </c>
      <c r="C1691" s="2" t="s">
        <v>174</v>
      </c>
      <c r="D1691" s="20">
        <v>0</v>
      </c>
      <c r="E1691" s="2" t="s">
        <v>838</v>
      </c>
      <c r="F1691" s="2" t="s">
        <v>793</v>
      </c>
      <c r="G1691" s="2" t="s">
        <v>1587</v>
      </c>
      <c r="H1691" s="2" t="s">
        <v>1506</v>
      </c>
      <c r="J1691" s="26"/>
      <c r="K1691" s="36">
        <v>6.5519999999999996E-5</v>
      </c>
      <c r="L1691" s="23">
        <v>2.1840000000000001E-5</v>
      </c>
    </row>
    <row r="1692" spans="1:12" ht="15.35" hidden="1" x14ac:dyDescent="0.55000000000000004">
      <c r="A1692" s="20">
        <v>9697</v>
      </c>
      <c r="B1692" s="2" t="s">
        <v>173</v>
      </c>
      <c r="C1692" s="2" t="s">
        <v>174</v>
      </c>
      <c r="D1692" s="20">
        <v>0</v>
      </c>
      <c r="E1692" s="2" t="s">
        <v>838</v>
      </c>
      <c r="F1692" s="2" t="s">
        <v>793</v>
      </c>
      <c r="G1692" s="2" t="s">
        <v>1588</v>
      </c>
      <c r="H1692" s="2" t="s">
        <v>1506</v>
      </c>
      <c r="J1692" s="26"/>
      <c r="K1692" s="36">
        <v>5.6159999999999998E-5</v>
      </c>
      <c r="L1692" s="23">
        <v>1.872E-5</v>
      </c>
    </row>
    <row r="1693" spans="1:12" ht="15.35" hidden="1" x14ac:dyDescent="0.55000000000000004">
      <c r="A1693" s="20">
        <v>9698</v>
      </c>
      <c r="B1693" s="2" t="s">
        <v>173</v>
      </c>
      <c r="C1693" s="2" t="s">
        <v>174</v>
      </c>
      <c r="D1693" s="20">
        <v>0</v>
      </c>
      <c r="E1693" s="2" t="s">
        <v>838</v>
      </c>
      <c r="F1693" s="2" t="s">
        <v>793</v>
      </c>
      <c r="G1693" s="2" t="s">
        <v>1591</v>
      </c>
      <c r="H1693" s="2" t="s">
        <v>1506</v>
      </c>
      <c r="J1693" s="26"/>
      <c r="K1693" s="36">
        <v>5.6159999999999998E-5</v>
      </c>
      <c r="L1693" s="23">
        <v>1.872E-5</v>
      </c>
    </row>
    <row r="1694" spans="1:12" ht="15.35" hidden="1" x14ac:dyDescent="0.55000000000000004">
      <c r="A1694" s="20">
        <v>9699</v>
      </c>
      <c r="B1694" s="2" t="s">
        <v>173</v>
      </c>
      <c r="C1694" s="2" t="s">
        <v>174</v>
      </c>
      <c r="D1694" s="20">
        <v>0</v>
      </c>
      <c r="E1694" s="2" t="s">
        <v>838</v>
      </c>
      <c r="F1694" s="2" t="s">
        <v>793</v>
      </c>
      <c r="G1694" s="2" t="s">
        <v>1592</v>
      </c>
      <c r="H1694" s="2" t="s">
        <v>1506</v>
      </c>
      <c r="J1694" s="26"/>
      <c r="K1694" s="36">
        <v>5.6159999999999998E-5</v>
      </c>
      <c r="L1694" s="23">
        <v>1.872E-5</v>
      </c>
    </row>
    <row r="1695" spans="1:12" ht="15.35" hidden="1" x14ac:dyDescent="0.55000000000000004">
      <c r="A1695" s="20">
        <v>9700</v>
      </c>
      <c r="B1695" s="2" t="s">
        <v>173</v>
      </c>
      <c r="C1695" s="2" t="s">
        <v>174</v>
      </c>
      <c r="D1695" s="20">
        <v>0</v>
      </c>
      <c r="E1695" s="2" t="s">
        <v>838</v>
      </c>
      <c r="F1695" s="2" t="s">
        <v>793</v>
      </c>
      <c r="G1695" s="2" t="s">
        <v>1593</v>
      </c>
      <c r="H1695" s="2" t="s">
        <v>1506</v>
      </c>
      <c r="J1695" s="26"/>
      <c r="K1695" s="36">
        <v>5.6159999999999998E-5</v>
      </c>
      <c r="L1695" s="23">
        <v>1.872E-5</v>
      </c>
    </row>
    <row r="1696" spans="1:12" ht="15.35" hidden="1" x14ac:dyDescent="0.55000000000000004">
      <c r="A1696" s="20">
        <v>9701</v>
      </c>
      <c r="B1696" s="2" t="s">
        <v>173</v>
      </c>
      <c r="C1696" s="2" t="s">
        <v>174</v>
      </c>
      <c r="D1696" s="20">
        <v>0</v>
      </c>
      <c r="E1696" s="2" t="s">
        <v>838</v>
      </c>
      <c r="F1696" s="2" t="s">
        <v>793</v>
      </c>
      <c r="G1696" s="2" t="s">
        <v>1594</v>
      </c>
      <c r="H1696" s="2" t="s">
        <v>1506</v>
      </c>
      <c r="J1696" s="26"/>
      <c r="K1696" s="36">
        <v>5.6159999999999998E-5</v>
      </c>
      <c r="L1696" s="23">
        <v>1.872E-5</v>
      </c>
    </row>
    <row r="1697" spans="1:12" ht="15.35" hidden="1" x14ac:dyDescent="0.55000000000000004">
      <c r="A1697" s="20">
        <v>9702</v>
      </c>
      <c r="B1697" s="2" t="s">
        <v>173</v>
      </c>
      <c r="C1697" s="2" t="s">
        <v>174</v>
      </c>
      <c r="D1697" s="20">
        <v>0</v>
      </c>
      <c r="E1697" s="2" t="s">
        <v>838</v>
      </c>
      <c r="F1697" s="2" t="s">
        <v>793</v>
      </c>
      <c r="G1697" s="2" t="s">
        <v>1595</v>
      </c>
      <c r="H1697" s="2" t="s">
        <v>1506</v>
      </c>
      <c r="J1697" s="26"/>
      <c r="K1697" s="36">
        <v>5.6159999999999998E-5</v>
      </c>
      <c r="L1697" s="23">
        <v>1.872E-5</v>
      </c>
    </row>
    <row r="1698" spans="1:12" ht="15.35" x14ac:dyDescent="0.55000000000000004">
      <c r="A1698" s="20">
        <v>9766</v>
      </c>
      <c r="B1698" s="2" t="s">
        <v>173</v>
      </c>
      <c r="C1698" s="2" t="s">
        <v>174</v>
      </c>
      <c r="D1698" s="20">
        <v>0</v>
      </c>
      <c r="E1698" s="2" t="s">
        <v>838</v>
      </c>
      <c r="F1698" s="2" t="s">
        <v>793</v>
      </c>
      <c r="G1698" s="2" t="s">
        <v>2408</v>
      </c>
      <c r="J1698" s="26"/>
      <c r="K1698" s="36">
        <v>5.6159999999999998E-5</v>
      </c>
      <c r="L1698" s="23">
        <v>1.872E-5</v>
      </c>
    </row>
    <row r="1699" spans="1:12" ht="15.35" x14ac:dyDescent="0.55000000000000004">
      <c r="A1699" s="20">
        <v>9822</v>
      </c>
      <c r="B1699" s="2" t="s">
        <v>173</v>
      </c>
      <c r="C1699" s="2" t="s">
        <v>174</v>
      </c>
      <c r="D1699" s="20">
        <v>0</v>
      </c>
      <c r="E1699" s="2" t="s">
        <v>838</v>
      </c>
      <c r="F1699" s="2" t="s">
        <v>793</v>
      </c>
      <c r="G1699" s="2" t="s">
        <v>2409</v>
      </c>
      <c r="J1699" s="26"/>
      <c r="K1699" s="36">
        <v>5.6159999999999998E-5</v>
      </c>
      <c r="L1699" s="23">
        <v>1.872E-5</v>
      </c>
    </row>
    <row r="1700" spans="1:12" ht="15.35" x14ac:dyDescent="0.55000000000000004">
      <c r="A1700" s="20">
        <v>9823</v>
      </c>
      <c r="B1700" s="2" t="s">
        <v>173</v>
      </c>
      <c r="C1700" s="2" t="s">
        <v>174</v>
      </c>
      <c r="D1700" s="20">
        <v>0</v>
      </c>
      <c r="E1700" s="2" t="s">
        <v>838</v>
      </c>
      <c r="F1700" s="2" t="s">
        <v>793</v>
      </c>
      <c r="G1700" s="2" t="s">
        <v>2410</v>
      </c>
      <c r="J1700" s="26"/>
      <c r="K1700" s="36">
        <v>5.6159999999999998E-5</v>
      </c>
      <c r="L1700" s="23">
        <v>1.872E-5</v>
      </c>
    </row>
    <row r="1701" spans="1:12" ht="15.35" x14ac:dyDescent="0.55000000000000004">
      <c r="A1701" s="20">
        <v>9824</v>
      </c>
      <c r="B1701" s="2" t="s">
        <v>173</v>
      </c>
      <c r="C1701" s="2" t="s">
        <v>174</v>
      </c>
      <c r="D1701" s="20">
        <v>0</v>
      </c>
      <c r="E1701" s="2" t="s">
        <v>838</v>
      </c>
      <c r="F1701" s="2" t="s">
        <v>793</v>
      </c>
      <c r="G1701" s="2" t="s">
        <v>2411</v>
      </c>
      <c r="J1701" s="26"/>
      <c r="K1701" s="36">
        <v>5.6159999999999998E-5</v>
      </c>
      <c r="L1701" s="23">
        <v>1.872E-5</v>
      </c>
    </row>
    <row r="1702" spans="1:12" ht="15.35" x14ac:dyDescent="0.55000000000000004">
      <c r="A1702" s="20">
        <v>9825</v>
      </c>
      <c r="B1702" s="2" t="s">
        <v>173</v>
      </c>
      <c r="C1702" s="2" t="s">
        <v>174</v>
      </c>
      <c r="D1702" s="20">
        <v>0</v>
      </c>
      <c r="E1702" s="2" t="s">
        <v>838</v>
      </c>
      <c r="F1702" s="2" t="s">
        <v>793</v>
      </c>
      <c r="G1702" s="2" t="s">
        <v>2412</v>
      </c>
      <c r="J1702" s="26"/>
      <c r="K1702" s="36">
        <v>5.6159999999999998E-5</v>
      </c>
      <c r="L1702" s="23">
        <v>1.872E-5</v>
      </c>
    </row>
    <row r="1703" spans="1:12" ht="15.35" hidden="1" x14ac:dyDescent="0.55000000000000004">
      <c r="A1703" s="20">
        <v>9703</v>
      </c>
      <c r="B1703" s="2" t="s">
        <v>173</v>
      </c>
      <c r="C1703" s="2" t="s">
        <v>174</v>
      </c>
      <c r="D1703" s="20">
        <v>0</v>
      </c>
      <c r="E1703" s="2" t="s">
        <v>838</v>
      </c>
      <c r="F1703" s="2" t="s">
        <v>793</v>
      </c>
      <c r="G1703" s="2" t="s">
        <v>1597</v>
      </c>
      <c r="H1703" s="2" t="s">
        <v>1506</v>
      </c>
      <c r="J1703" s="26"/>
      <c r="K1703" s="36">
        <v>1.3104999999999999E-4</v>
      </c>
      <c r="L1703" s="23">
        <v>4.3680000000000002E-5</v>
      </c>
    </row>
    <row r="1704" spans="1:12" ht="15.35" x14ac:dyDescent="0.55000000000000004">
      <c r="A1704" s="20">
        <v>9772</v>
      </c>
      <c r="B1704" s="2" t="s">
        <v>173</v>
      </c>
      <c r="C1704" s="2" t="s">
        <v>174</v>
      </c>
      <c r="D1704" s="20">
        <v>0</v>
      </c>
      <c r="E1704" s="2" t="s">
        <v>838</v>
      </c>
      <c r="F1704" s="2" t="s">
        <v>793</v>
      </c>
      <c r="G1704" s="2" t="s">
        <v>2413</v>
      </c>
      <c r="J1704" s="26"/>
      <c r="K1704" s="36">
        <v>5.6159999999999998E-5</v>
      </c>
      <c r="L1704" s="23">
        <v>1.872E-5</v>
      </c>
    </row>
    <row r="1705" spans="1:12" ht="15.35" x14ac:dyDescent="0.55000000000000004">
      <c r="A1705" s="20">
        <v>9773</v>
      </c>
      <c r="B1705" s="2" t="s">
        <v>173</v>
      </c>
      <c r="C1705" s="2" t="s">
        <v>174</v>
      </c>
      <c r="D1705" s="20">
        <v>0</v>
      </c>
      <c r="E1705" s="2" t="s">
        <v>838</v>
      </c>
      <c r="F1705" s="2" t="s">
        <v>793</v>
      </c>
      <c r="G1705" s="2" t="s">
        <v>2414</v>
      </c>
      <c r="J1705" s="26"/>
      <c r="K1705" s="36">
        <v>5.6159999999999998E-5</v>
      </c>
      <c r="L1705" s="23">
        <v>1.872E-5</v>
      </c>
    </row>
    <row r="1706" spans="1:12" ht="15.35" x14ac:dyDescent="0.55000000000000004">
      <c r="A1706" s="20">
        <v>9805</v>
      </c>
      <c r="B1706" s="2" t="s">
        <v>173</v>
      </c>
      <c r="C1706" s="2" t="s">
        <v>174</v>
      </c>
      <c r="D1706" s="20">
        <v>0</v>
      </c>
      <c r="E1706" s="2" t="s">
        <v>838</v>
      </c>
      <c r="F1706" s="2" t="s">
        <v>793</v>
      </c>
      <c r="G1706" s="2" t="s">
        <v>2415</v>
      </c>
      <c r="J1706" s="26"/>
      <c r="K1706" s="36">
        <v>5.6159999999999998E-5</v>
      </c>
      <c r="L1706" s="23">
        <v>1.872E-5</v>
      </c>
    </row>
    <row r="1707" spans="1:12" ht="15.35" x14ac:dyDescent="0.55000000000000004">
      <c r="A1707" s="20">
        <v>9806</v>
      </c>
      <c r="B1707" s="2" t="s">
        <v>173</v>
      </c>
      <c r="C1707" s="2" t="s">
        <v>174</v>
      </c>
      <c r="D1707" s="20">
        <v>0</v>
      </c>
      <c r="E1707" s="2" t="s">
        <v>838</v>
      </c>
      <c r="F1707" s="2" t="s">
        <v>793</v>
      </c>
      <c r="G1707" s="2" t="s">
        <v>2416</v>
      </c>
      <c r="J1707" s="26"/>
      <c r="K1707" s="36">
        <v>5.6159999999999998E-5</v>
      </c>
      <c r="L1707" s="23">
        <v>1.872E-5</v>
      </c>
    </row>
    <row r="1708" spans="1:12" ht="15.35" x14ac:dyDescent="0.55000000000000004">
      <c r="A1708" s="20">
        <v>9827</v>
      </c>
      <c r="B1708" s="2" t="s">
        <v>173</v>
      </c>
      <c r="C1708" s="2" t="s">
        <v>174</v>
      </c>
      <c r="D1708" s="20">
        <v>0</v>
      </c>
      <c r="E1708" s="2" t="s">
        <v>838</v>
      </c>
      <c r="F1708" s="2" t="s">
        <v>793</v>
      </c>
      <c r="G1708" s="2" t="s">
        <v>2417</v>
      </c>
      <c r="J1708" s="26"/>
      <c r="K1708" s="36">
        <v>5.6159999999999998E-5</v>
      </c>
      <c r="L1708" s="23">
        <v>1.872E-5</v>
      </c>
    </row>
    <row r="1709" spans="1:12" ht="15.35" x14ac:dyDescent="0.55000000000000004">
      <c r="A1709" s="20">
        <v>9828</v>
      </c>
      <c r="B1709" s="2" t="s">
        <v>173</v>
      </c>
      <c r="C1709" s="2" t="s">
        <v>174</v>
      </c>
      <c r="D1709" s="20">
        <v>0</v>
      </c>
      <c r="E1709" s="2" t="s">
        <v>838</v>
      </c>
      <c r="F1709" s="2" t="s">
        <v>793</v>
      </c>
      <c r="G1709" s="2" t="s">
        <v>2418</v>
      </c>
      <c r="J1709" s="26"/>
      <c r="K1709" s="36">
        <v>5.6159999999999998E-5</v>
      </c>
      <c r="L1709" s="23">
        <v>1.872E-5</v>
      </c>
    </row>
    <row r="1710" spans="1:12" ht="15.35" x14ac:dyDescent="0.55000000000000004">
      <c r="A1710" s="20">
        <v>9829</v>
      </c>
      <c r="B1710" s="2" t="s">
        <v>173</v>
      </c>
      <c r="C1710" s="2" t="s">
        <v>174</v>
      </c>
      <c r="D1710" s="20">
        <v>0</v>
      </c>
      <c r="E1710" s="2" t="s">
        <v>838</v>
      </c>
      <c r="F1710" s="2" t="s">
        <v>793</v>
      </c>
      <c r="G1710" s="2" t="s">
        <v>2419</v>
      </c>
      <c r="J1710" s="26"/>
      <c r="K1710" s="36">
        <v>5.6159999999999998E-5</v>
      </c>
      <c r="L1710" s="23">
        <v>1.872E-5</v>
      </c>
    </row>
    <row r="1711" spans="1:12" ht="15.35" x14ac:dyDescent="0.55000000000000004">
      <c r="A1711" s="20">
        <v>9830</v>
      </c>
      <c r="B1711" s="2" t="s">
        <v>173</v>
      </c>
      <c r="C1711" s="2" t="s">
        <v>174</v>
      </c>
      <c r="D1711" s="20">
        <v>0</v>
      </c>
      <c r="E1711" s="2" t="s">
        <v>838</v>
      </c>
      <c r="F1711" s="2" t="s">
        <v>793</v>
      </c>
      <c r="G1711" s="2" t="s">
        <v>2420</v>
      </c>
      <c r="J1711" s="26"/>
      <c r="K1711" s="36">
        <v>5.6159999999999998E-5</v>
      </c>
      <c r="L1711" s="23">
        <v>1.872E-5</v>
      </c>
    </row>
    <row r="1712" spans="1:12" ht="15.35" hidden="1" x14ac:dyDescent="0.55000000000000004">
      <c r="A1712" s="20">
        <v>9084</v>
      </c>
      <c r="B1712" s="2" t="s">
        <v>173</v>
      </c>
      <c r="C1712" s="2" t="s">
        <v>174</v>
      </c>
      <c r="D1712" s="20">
        <v>0</v>
      </c>
      <c r="E1712" s="2" t="s">
        <v>838</v>
      </c>
      <c r="F1712" s="2" t="s">
        <v>783</v>
      </c>
      <c r="G1712" s="2" t="s">
        <v>1599</v>
      </c>
      <c r="H1712" s="2" t="s">
        <v>1116</v>
      </c>
      <c r="J1712" s="26"/>
      <c r="K1712" s="36">
        <v>1.9658700000000002E-3</v>
      </c>
      <c r="L1712" s="23">
        <v>6.5529E-4</v>
      </c>
    </row>
    <row r="1713" spans="1:12" ht="15.35" hidden="1" x14ac:dyDescent="0.55000000000000004">
      <c r="A1713" s="20">
        <v>9402</v>
      </c>
      <c r="B1713" s="2" t="s">
        <v>173</v>
      </c>
      <c r="C1713" s="2" t="s">
        <v>174</v>
      </c>
      <c r="D1713" s="20">
        <v>0</v>
      </c>
      <c r="E1713" s="2" t="s">
        <v>838</v>
      </c>
      <c r="F1713" s="2" t="s">
        <v>817</v>
      </c>
      <c r="G1713" s="2" t="s">
        <v>2421</v>
      </c>
      <c r="H1713" s="2" t="s">
        <v>862</v>
      </c>
      <c r="J1713" s="26"/>
      <c r="K1713" s="36">
        <v>1.9658700000000002E-3</v>
      </c>
      <c r="L1713" s="23">
        <v>6.5529E-4</v>
      </c>
    </row>
    <row r="1714" spans="1:12" ht="15.35" hidden="1" x14ac:dyDescent="0.55000000000000004">
      <c r="A1714" s="20">
        <v>9403</v>
      </c>
      <c r="B1714" s="2" t="s">
        <v>173</v>
      </c>
      <c r="C1714" s="2" t="s">
        <v>174</v>
      </c>
      <c r="D1714" s="20">
        <v>0</v>
      </c>
      <c r="E1714" s="2" t="s">
        <v>838</v>
      </c>
      <c r="F1714" s="2" t="s">
        <v>817</v>
      </c>
      <c r="G1714" s="2" t="s">
        <v>2422</v>
      </c>
      <c r="H1714" s="2" t="s">
        <v>862</v>
      </c>
      <c r="J1714" s="26"/>
      <c r="K1714" s="36">
        <v>1.5789300000000001E-3</v>
      </c>
      <c r="L1714" s="23">
        <v>5.2630999999999999E-4</v>
      </c>
    </row>
    <row r="1715" spans="1:12" ht="15.35" hidden="1" x14ac:dyDescent="0.55000000000000004">
      <c r="A1715" s="20">
        <v>9404</v>
      </c>
      <c r="B1715" s="2" t="s">
        <v>173</v>
      </c>
      <c r="C1715" s="2" t="s">
        <v>174</v>
      </c>
      <c r="D1715" s="20">
        <v>0</v>
      </c>
      <c r="E1715" s="2" t="s">
        <v>838</v>
      </c>
      <c r="F1715" s="2" t="s">
        <v>817</v>
      </c>
      <c r="G1715" s="2" t="s">
        <v>2423</v>
      </c>
      <c r="H1715" s="2" t="s">
        <v>862</v>
      </c>
      <c r="J1715" s="26"/>
      <c r="K1715" s="36">
        <v>1.5789300000000001E-3</v>
      </c>
      <c r="L1715" s="23">
        <v>5.2630999999999999E-4</v>
      </c>
    </row>
    <row r="1716" spans="1:12" ht="15.35" hidden="1" x14ac:dyDescent="0.55000000000000004">
      <c r="A1716" s="20">
        <v>9319</v>
      </c>
      <c r="B1716" s="2" t="s">
        <v>173</v>
      </c>
      <c r="C1716" s="2" t="s">
        <v>174</v>
      </c>
      <c r="D1716" s="20">
        <v>0</v>
      </c>
      <c r="E1716" s="2" t="s">
        <v>838</v>
      </c>
      <c r="F1716" s="2" t="s">
        <v>793</v>
      </c>
      <c r="G1716" s="2" t="s">
        <v>941</v>
      </c>
      <c r="H1716" s="2" t="s">
        <v>942</v>
      </c>
      <c r="J1716" s="26"/>
      <c r="K1716" s="36">
        <v>1.9658700000000002E-3</v>
      </c>
      <c r="L1716" s="23">
        <v>6.5529E-4</v>
      </c>
    </row>
    <row r="1717" spans="1:12" ht="15.35" hidden="1" x14ac:dyDescent="0.55000000000000004">
      <c r="A1717" s="20">
        <v>9320</v>
      </c>
      <c r="B1717" s="2" t="s">
        <v>173</v>
      </c>
      <c r="C1717" s="2" t="s">
        <v>174</v>
      </c>
      <c r="D1717" s="20">
        <v>0</v>
      </c>
      <c r="E1717" s="2" t="s">
        <v>838</v>
      </c>
      <c r="F1717" s="2" t="s">
        <v>793</v>
      </c>
      <c r="G1717" s="2" t="s">
        <v>2424</v>
      </c>
      <c r="H1717" s="2" t="s">
        <v>942</v>
      </c>
      <c r="J1717" s="26"/>
      <c r="K1717" s="36">
        <v>5.6159999999999998E-5</v>
      </c>
      <c r="L1717" s="23">
        <v>1.872E-5</v>
      </c>
    </row>
    <row r="1718" spans="1:12" ht="15.35" hidden="1" x14ac:dyDescent="0.55000000000000004">
      <c r="A1718" s="20">
        <v>9321</v>
      </c>
      <c r="B1718" s="2" t="s">
        <v>173</v>
      </c>
      <c r="C1718" s="2" t="s">
        <v>174</v>
      </c>
      <c r="D1718" s="20">
        <v>0</v>
      </c>
      <c r="E1718" s="2" t="s">
        <v>838</v>
      </c>
      <c r="F1718" s="2" t="s">
        <v>793</v>
      </c>
      <c r="G1718" s="2" t="s">
        <v>2425</v>
      </c>
      <c r="H1718" s="2" t="s">
        <v>942</v>
      </c>
      <c r="J1718" s="26"/>
      <c r="K1718" s="36">
        <v>1.1545E-4</v>
      </c>
      <c r="L1718" s="23">
        <v>3.8479999999999997E-5</v>
      </c>
    </row>
    <row r="1719" spans="1:12" ht="15.35" hidden="1" x14ac:dyDescent="0.55000000000000004">
      <c r="A1719" s="20">
        <v>9194</v>
      </c>
      <c r="B1719" s="2" t="s">
        <v>173</v>
      </c>
      <c r="C1719" s="2" t="s">
        <v>174</v>
      </c>
      <c r="D1719" s="20">
        <v>0</v>
      </c>
      <c r="E1719" s="2" t="s">
        <v>838</v>
      </c>
      <c r="F1719" s="2" t="s">
        <v>789</v>
      </c>
      <c r="G1719" s="2" t="s">
        <v>2426</v>
      </c>
      <c r="H1719" s="2" t="s">
        <v>944</v>
      </c>
      <c r="J1719" s="26"/>
      <c r="K1719" s="36">
        <v>1.9658700000000002E-3</v>
      </c>
      <c r="L1719" s="23">
        <v>6.5529E-4</v>
      </c>
    </row>
    <row r="1720" spans="1:12" ht="15.35" hidden="1" x14ac:dyDescent="0.55000000000000004">
      <c r="A1720" s="20">
        <v>9195</v>
      </c>
      <c r="B1720" s="2" t="s">
        <v>173</v>
      </c>
      <c r="C1720" s="2" t="s">
        <v>174</v>
      </c>
      <c r="D1720" s="20">
        <v>0</v>
      </c>
      <c r="E1720" s="2" t="s">
        <v>838</v>
      </c>
      <c r="F1720" s="2" t="s">
        <v>789</v>
      </c>
      <c r="G1720" s="2" t="s">
        <v>1604</v>
      </c>
      <c r="H1720" s="2" t="s">
        <v>944</v>
      </c>
      <c r="J1720" s="26"/>
      <c r="K1720" s="36">
        <v>1.9658700000000002E-3</v>
      </c>
      <c r="L1720" s="23">
        <v>6.5529E-4</v>
      </c>
    </row>
    <row r="1721" spans="1:12" ht="15.35" hidden="1" x14ac:dyDescent="0.55000000000000004">
      <c r="A1721" s="20">
        <v>9172</v>
      </c>
      <c r="B1721" s="2" t="s">
        <v>173</v>
      </c>
      <c r="C1721" s="2" t="s">
        <v>174</v>
      </c>
      <c r="D1721" s="20">
        <v>0</v>
      </c>
      <c r="E1721" s="2" t="s">
        <v>838</v>
      </c>
      <c r="F1721" s="2" t="s">
        <v>789</v>
      </c>
      <c r="G1721" s="2" t="s">
        <v>1605</v>
      </c>
      <c r="H1721" s="2" t="s">
        <v>944</v>
      </c>
      <c r="J1721" s="26"/>
      <c r="K1721" s="36">
        <v>1.9658700000000002E-3</v>
      </c>
      <c r="L1721" s="23">
        <v>6.5529E-4</v>
      </c>
    </row>
    <row r="1722" spans="1:12" ht="15.35" hidden="1" x14ac:dyDescent="0.55000000000000004">
      <c r="A1722" s="20">
        <v>9166</v>
      </c>
      <c r="B1722" s="2" t="s">
        <v>173</v>
      </c>
      <c r="C1722" s="2" t="s">
        <v>174</v>
      </c>
      <c r="D1722" s="20">
        <v>0</v>
      </c>
      <c r="E1722" s="2" t="s">
        <v>838</v>
      </c>
      <c r="F1722" s="2" t="s">
        <v>789</v>
      </c>
      <c r="G1722" s="2" t="s">
        <v>2427</v>
      </c>
      <c r="H1722" s="2" t="s">
        <v>944</v>
      </c>
      <c r="J1722" s="26"/>
      <c r="K1722" s="36">
        <v>1.9658700000000002E-3</v>
      </c>
      <c r="L1722" s="23">
        <v>6.5529E-4</v>
      </c>
    </row>
    <row r="1723" spans="1:12" ht="15.35" hidden="1" x14ac:dyDescent="0.55000000000000004">
      <c r="A1723" s="20">
        <v>9204</v>
      </c>
      <c r="B1723" s="2" t="s">
        <v>173</v>
      </c>
      <c r="C1723" s="2" t="s">
        <v>174</v>
      </c>
      <c r="D1723" s="20">
        <v>0</v>
      </c>
      <c r="E1723" s="2" t="s">
        <v>838</v>
      </c>
      <c r="F1723" s="2" t="s">
        <v>789</v>
      </c>
      <c r="G1723" s="2" t="s">
        <v>1124</v>
      </c>
      <c r="H1723" s="2" t="s">
        <v>944</v>
      </c>
      <c r="J1723" s="26"/>
      <c r="K1723" s="36">
        <v>1.9658700000000002E-3</v>
      </c>
      <c r="L1723" s="23">
        <v>6.5529E-4</v>
      </c>
    </row>
    <row r="1724" spans="1:12" ht="15.35" hidden="1" x14ac:dyDescent="0.55000000000000004">
      <c r="A1724" s="20">
        <v>9197</v>
      </c>
      <c r="B1724" s="2" t="s">
        <v>173</v>
      </c>
      <c r="C1724" s="2" t="s">
        <v>174</v>
      </c>
      <c r="D1724" s="20">
        <v>0</v>
      </c>
      <c r="E1724" s="2" t="s">
        <v>838</v>
      </c>
      <c r="F1724" s="2" t="s">
        <v>789</v>
      </c>
      <c r="G1724" s="2" t="s">
        <v>1126</v>
      </c>
      <c r="H1724" s="2" t="s">
        <v>944</v>
      </c>
      <c r="J1724" s="26"/>
      <c r="K1724" s="36">
        <v>4.3680000000000002E-5</v>
      </c>
      <c r="L1724" s="23">
        <v>1.456E-5</v>
      </c>
    </row>
    <row r="1725" spans="1:12" ht="15.35" hidden="1" x14ac:dyDescent="0.55000000000000004">
      <c r="A1725" s="20">
        <v>9169</v>
      </c>
      <c r="B1725" s="2" t="s">
        <v>173</v>
      </c>
      <c r="C1725" s="2" t="s">
        <v>174</v>
      </c>
      <c r="D1725" s="20">
        <v>0</v>
      </c>
      <c r="E1725" s="2" t="s">
        <v>838</v>
      </c>
      <c r="F1725" s="2" t="s">
        <v>789</v>
      </c>
      <c r="G1725" s="2" t="s">
        <v>1613</v>
      </c>
      <c r="H1725" s="2" t="s">
        <v>944</v>
      </c>
      <c r="J1725" s="26"/>
      <c r="K1725" s="36">
        <v>2.9332000000000002E-4</v>
      </c>
      <c r="L1725" s="23">
        <v>9.7769999999999994E-5</v>
      </c>
    </row>
    <row r="1726" spans="1:12" ht="15.35" hidden="1" x14ac:dyDescent="0.55000000000000004">
      <c r="A1726" s="20">
        <v>9167</v>
      </c>
      <c r="B1726" s="2" t="s">
        <v>173</v>
      </c>
      <c r="C1726" s="2" t="s">
        <v>174</v>
      </c>
      <c r="D1726" s="20">
        <v>0</v>
      </c>
      <c r="E1726" s="2" t="s">
        <v>838</v>
      </c>
      <c r="F1726" s="2" t="s">
        <v>789</v>
      </c>
      <c r="G1726" s="2" t="s">
        <v>1614</v>
      </c>
      <c r="H1726" s="2" t="s">
        <v>944</v>
      </c>
      <c r="J1726" s="26"/>
      <c r="K1726" s="36">
        <v>2.3403000000000001E-4</v>
      </c>
      <c r="L1726" s="23">
        <v>7.8009999999999993E-5</v>
      </c>
    </row>
    <row r="1727" spans="1:12" ht="15.35" hidden="1" x14ac:dyDescent="0.55000000000000004">
      <c r="A1727" s="20">
        <v>9168</v>
      </c>
      <c r="B1727" s="2" t="s">
        <v>173</v>
      </c>
      <c r="C1727" s="2" t="s">
        <v>174</v>
      </c>
      <c r="D1727" s="20">
        <v>0</v>
      </c>
      <c r="E1727" s="2" t="s">
        <v>838</v>
      </c>
      <c r="F1727" s="2" t="s">
        <v>789</v>
      </c>
      <c r="G1727" s="2" t="s">
        <v>1615</v>
      </c>
      <c r="H1727" s="2" t="s">
        <v>944</v>
      </c>
      <c r="J1727" s="26"/>
      <c r="K1727" s="36">
        <v>1.9658700000000002E-3</v>
      </c>
      <c r="L1727" s="23">
        <v>6.5529E-4</v>
      </c>
    </row>
    <row r="1728" spans="1:12" ht="15.35" hidden="1" x14ac:dyDescent="0.55000000000000004">
      <c r="A1728" s="20">
        <v>9193</v>
      </c>
      <c r="B1728" s="2" t="s">
        <v>173</v>
      </c>
      <c r="C1728" s="2" t="s">
        <v>174</v>
      </c>
      <c r="D1728" s="20">
        <v>0</v>
      </c>
      <c r="E1728" s="2" t="s">
        <v>838</v>
      </c>
      <c r="F1728" s="2" t="s">
        <v>789</v>
      </c>
      <c r="G1728" s="2" t="s">
        <v>2428</v>
      </c>
      <c r="H1728" s="2" t="s">
        <v>944</v>
      </c>
      <c r="J1728" s="26"/>
      <c r="K1728" s="36">
        <v>9.6730000000000004E-5</v>
      </c>
      <c r="L1728" s="23">
        <v>3.2240000000000003E-5</v>
      </c>
    </row>
    <row r="1729" spans="1:12" ht="15.35" hidden="1" x14ac:dyDescent="0.55000000000000004">
      <c r="A1729" s="20">
        <v>9198</v>
      </c>
      <c r="B1729" s="2" t="s">
        <v>173</v>
      </c>
      <c r="C1729" s="2" t="s">
        <v>174</v>
      </c>
      <c r="D1729" s="20">
        <v>0</v>
      </c>
      <c r="E1729" s="2" t="s">
        <v>838</v>
      </c>
      <c r="F1729" s="2" t="s">
        <v>789</v>
      </c>
      <c r="G1729" s="2" t="s">
        <v>2429</v>
      </c>
      <c r="H1729" s="2" t="s">
        <v>946</v>
      </c>
      <c r="J1729" s="26"/>
      <c r="K1729" s="36">
        <v>2.9020000000000001E-4</v>
      </c>
      <c r="L1729" s="23">
        <v>9.6730000000000004E-5</v>
      </c>
    </row>
    <row r="1730" spans="1:12" ht="15.35" hidden="1" x14ac:dyDescent="0.55000000000000004">
      <c r="A1730" s="20">
        <v>9196</v>
      </c>
      <c r="B1730" s="2" t="s">
        <v>173</v>
      </c>
      <c r="C1730" s="2" t="s">
        <v>174</v>
      </c>
      <c r="D1730" s="20">
        <v>0</v>
      </c>
      <c r="E1730" s="2" t="s">
        <v>838</v>
      </c>
      <c r="F1730" s="2" t="s">
        <v>789</v>
      </c>
      <c r="G1730" s="2" t="s">
        <v>945</v>
      </c>
      <c r="H1730" s="2" t="s">
        <v>946</v>
      </c>
      <c r="J1730" s="26"/>
      <c r="K1730" s="36">
        <v>5.8664000000000003E-4</v>
      </c>
      <c r="L1730" s="23">
        <v>1.9555000000000001E-4</v>
      </c>
    </row>
    <row r="1731" spans="1:12" ht="15.35" hidden="1" x14ac:dyDescent="0.55000000000000004">
      <c r="A1731" s="20">
        <v>9190</v>
      </c>
      <c r="B1731" s="2" t="s">
        <v>173</v>
      </c>
      <c r="C1731" s="2" t="s">
        <v>174</v>
      </c>
      <c r="D1731" s="20">
        <v>0</v>
      </c>
      <c r="E1731" s="2" t="s">
        <v>838</v>
      </c>
      <c r="F1731" s="2" t="s">
        <v>789</v>
      </c>
      <c r="G1731" s="2" t="s">
        <v>947</v>
      </c>
      <c r="H1731" s="2" t="s">
        <v>946</v>
      </c>
      <c r="J1731" s="26"/>
      <c r="K1731" s="36">
        <v>1.1732800000000001E-3</v>
      </c>
      <c r="L1731" s="23">
        <v>3.9109000000000002E-4</v>
      </c>
    </row>
    <row r="1732" spans="1:12" ht="15.35" hidden="1" x14ac:dyDescent="0.55000000000000004">
      <c r="A1732" s="20">
        <v>9189</v>
      </c>
      <c r="B1732" s="2" t="s">
        <v>173</v>
      </c>
      <c r="C1732" s="2" t="s">
        <v>174</v>
      </c>
      <c r="D1732" s="20">
        <v>0</v>
      </c>
      <c r="E1732" s="2" t="s">
        <v>838</v>
      </c>
      <c r="F1732" s="2" t="s">
        <v>789</v>
      </c>
      <c r="G1732" s="2" t="s">
        <v>948</v>
      </c>
      <c r="H1732" s="2" t="s">
        <v>946</v>
      </c>
      <c r="J1732" s="26"/>
      <c r="K1732" s="36">
        <v>1.1732800000000001E-3</v>
      </c>
      <c r="L1732" s="23">
        <v>3.9109000000000002E-4</v>
      </c>
    </row>
    <row r="1733" spans="1:12" ht="15.35" hidden="1" x14ac:dyDescent="0.55000000000000004">
      <c r="A1733" s="20">
        <v>9180</v>
      </c>
      <c r="B1733" s="2" t="s">
        <v>173</v>
      </c>
      <c r="C1733" s="2" t="s">
        <v>174</v>
      </c>
      <c r="D1733" s="20">
        <v>0</v>
      </c>
      <c r="E1733" s="2" t="s">
        <v>838</v>
      </c>
      <c r="F1733" s="2" t="s">
        <v>789</v>
      </c>
      <c r="G1733" s="2" t="s">
        <v>2430</v>
      </c>
      <c r="H1733" s="2" t="s">
        <v>1620</v>
      </c>
      <c r="J1733" s="26"/>
      <c r="K1733" s="36">
        <v>8.5499000000000003E-4</v>
      </c>
      <c r="L1733" s="23">
        <v>2.8499999999999999E-4</v>
      </c>
    </row>
    <row r="1734" spans="1:12" ht="15.35" hidden="1" x14ac:dyDescent="0.55000000000000004">
      <c r="A1734" s="20">
        <v>9191</v>
      </c>
      <c r="B1734" s="2" t="s">
        <v>173</v>
      </c>
      <c r="C1734" s="2" t="s">
        <v>174</v>
      </c>
      <c r="D1734" s="20">
        <v>0</v>
      </c>
      <c r="E1734" s="2" t="s">
        <v>838</v>
      </c>
      <c r="F1734" s="2" t="s">
        <v>793</v>
      </c>
      <c r="G1734" s="2" t="s">
        <v>2431</v>
      </c>
      <c r="H1734" s="2" t="s">
        <v>950</v>
      </c>
      <c r="J1734" s="26"/>
      <c r="K1734" s="36">
        <v>2.9332000000000002E-4</v>
      </c>
      <c r="L1734" s="23">
        <v>9.7769999999999994E-5</v>
      </c>
    </row>
    <row r="1735" spans="1:12" ht="15.35" hidden="1" x14ac:dyDescent="0.55000000000000004">
      <c r="A1735" s="20">
        <v>9200</v>
      </c>
      <c r="B1735" s="2" t="s">
        <v>173</v>
      </c>
      <c r="C1735" s="2" t="s">
        <v>174</v>
      </c>
      <c r="D1735" s="20">
        <v>0</v>
      </c>
      <c r="E1735" s="2" t="s">
        <v>838</v>
      </c>
      <c r="F1735" s="2" t="s">
        <v>793</v>
      </c>
      <c r="G1735" s="2" t="s">
        <v>2432</v>
      </c>
      <c r="H1735" s="2" t="s">
        <v>950</v>
      </c>
      <c r="J1735" s="26"/>
      <c r="K1735" s="36">
        <v>1.9658700000000002E-3</v>
      </c>
      <c r="L1735" s="23">
        <v>6.5529E-4</v>
      </c>
    </row>
    <row r="1736" spans="1:12" ht="15.35" hidden="1" x14ac:dyDescent="0.55000000000000004">
      <c r="A1736" s="20">
        <v>9192</v>
      </c>
      <c r="B1736" s="2" t="s">
        <v>173</v>
      </c>
      <c r="C1736" s="2" t="s">
        <v>174</v>
      </c>
      <c r="D1736" s="20">
        <v>0</v>
      </c>
      <c r="E1736" s="2" t="s">
        <v>838</v>
      </c>
      <c r="F1736" s="2" t="s">
        <v>793</v>
      </c>
      <c r="G1736" s="2" t="s">
        <v>2433</v>
      </c>
      <c r="H1736" s="2" t="s">
        <v>950</v>
      </c>
      <c r="J1736" s="26"/>
      <c r="K1736" s="36">
        <v>1.9658700000000002E-3</v>
      </c>
      <c r="L1736" s="23">
        <v>6.5529E-4</v>
      </c>
    </row>
    <row r="1737" spans="1:12" ht="15.35" hidden="1" x14ac:dyDescent="0.55000000000000004">
      <c r="A1737" s="20">
        <v>9185</v>
      </c>
      <c r="B1737" s="2" t="s">
        <v>173</v>
      </c>
      <c r="C1737" s="2" t="s">
        <v>174</v>
      </c>
      <c r="D1737" s="20">
        <v>0</v>
      </c>
      <c r="E1737" s="2" t="s">
        <v>838</v>
      </c>
      <c r="F1737" s="2" t="s">
        <v>793</v>
      </c>
      <c r="G1737" s="2" t="s">
        <v>2434</v>
      </c>
      <c r="H1737" s="2" t="s">
        <v>950</v>
      </c>
      <c r="J1737" s="26"/>
      <c r="K1737" s="36">
        <v>7.6449999999999999E-4</v>
      </c>
      <c r="L1737" s="23">
        <v>2.5483E-4</v>
      </c>
    </row>
    <row r="1738" spans="1:12" ht="15.35" hidden="1" x14ac:dyDescent="0.55000000000000004">
      <c r="A1738" s="20">
        <v>9183</v>
      </c>
      <c r="B1738" s="2" t="s">
        <v>173</v>
      </c>
      <c r="C1738" s="2" t="s">
        <v>174</v>
      </c>
      <c r="D1738" s="20">
        <v>0</v>
      </c>
      <c r="E1738" s="2" t="s">
        <v>838</v>
      </c>
      <c r="F1738" s="2" t="s">
        <v>793</v>
      </c>
      <c r="G1738" s="2" t="s">
        <v>2435</v>
      </c>
      <c r="H1738" s="2" t="s">
        <v>950</v>
      </c>
      <c r="J1738" s="26"/>
      <c r="K1738" s="36">
        <v>7.6449999999999999E-4</v>
      </c>
      <c r="L1738" s="23">
        <v>2.5483E-4</v>
      </c>
    </row>
    <row r="1739" spans="1:12" ht="15.35" hidden="1" x14ac:dyDescent="0.55000000000000004">
      <c r="A1739" s="20">
        <v>9186</v>
      </c>
      <c r="B1739" s="2" t="s">
        <v>173</v>
      </c>
      <c r="C1739" s="2" t="s">
        <v>174</v>
      </c>
      <c r="D1739" s="20">
        <v>0</v>
      </c>
      <c r="E1739" s="2" t="s">
        <v>838</v>
      </c>
      <c r="F1739" s="2" t="s">
        <v>793</v>
      </c>
      <c r="G1739" s="2" t="s">
        <v>2436</v>
      </c>
      <c r="H1739" s="2" t="s">
        <v>950</v>
      </c>
      <c r="J1739" s="26"/>
      <c r="K1739" s="36">
        <v>1.9658700000000002E-3</v>
      </c>
      <c r="L1739" s="23">
        <v>6.5529E-4</v>
      </c>
    </row>
    <row r="1740" spans="1:12" ht="15.35" hidden="1" x14ac:dyDescent="0.55000000000000004">
      <c r="A1740" s="20">
        <v>9184</v>
      </c>
      <c r="B1740" s="2" t="s">
        <v>173</v>
      </c>
      <c r="C1740" s="2" t="s">
        <v>174</v>
      </c>
      <c r="D1740" s="20">
        <v>0</v>
      </c>
      <c r="E1740" s="2" t="s">
        <v>838</v>
      </c>
      <c r="F1740" s="2" t="s">
        <v>793</v>
      </c>
      <c r="G1740" s="2" t="s">
        <v>2437</v>
      </c>
      <c r="H1740" s="2" t="s">
        <v>950</v>
      </c>
      <c r="J1740" s="26"/>
      <c r="K1740" s="36">
        <v>3.5260000000000001E-4</v>
      </c>
      <c r="L1740" s="23">
        <v>1.1752999999999999E-4</v>
      </c>
    </row>
    <row r="1741" spans="1:12" ht="15.35" hidden="1" x14ac:dyDescent="0.55000000000000004">
      <c r="A1741" s="20">
        <v>9187</v>
      </c>
      <c r="B1741" s="2" t="s">
        <v>173</v>
      </c>
      <c r="C1741" s="2" t="s">
        <v>174</v>
      </c>
      <c r="D1741" s="20">
        <v>0</v>
      </c>
      <c r="E1741" s="2" t="s">
        <v>838</v>
      </c>
      <c r="F1741" s="2" t="s">
        <v>793</v>
      </c>
      <c r="G1741" s="2" t="s">
        <v>2438</v>
      </c>
      <c r="H1741" s="2" t="s">
        <v>950</v>
      </c>
      <c r="J1741" s="26"/>
      <c r="K1741" s="36">
        <v>1.9658700000000002E-3</v>
      </c>
      <c r="L1741" s="23">
        <v>6.5529E-4</v>
      </c>
    </row>
    <row r="1742" spans="1:12" ht="15.35" hidden="1" x14ac:dyDescent="0.55000000000000004">
      <c r="A1742" s="20">
        <v>9188</v>
      </c>
      <c r="B1742" s="2" t="s">
        <v>173</v>
      </c>
      <c r="C1742" s="2" t="s">
        <v>174</v>
      </c>
      <c r="D1742" s="20">
        <v>0</v>
      </c>
      <c r="E1742" s="2" t="s">
        <v>838</v>
      </c>
      <c r="F1742" s="2" t="s">
        <v>793</v>
      </c>
      <c r="G1742" s="2" t="s">
        <v>2439</v>
      </c>
      <c r="H1742" s="2" t="s">
        <v>950</v>
      </c>
      <c r="J1742" s="26"/>
      <c r="K1742" s="36">
        <v>1.9658700000000002E-3</v>
      </c>
      <c r="L1742" s="23">
        <v>6.5529E-4</v>
      </c>
    </row>
    <row r="1743" spans="1:12" ht="15.35" hidden="1" x14ac:dyDescent="0.55000000000000004">
      <c r="A1743" s="20">
        <v>9181</v>
      </c>
      <c r="B1743" s="2" t="s">
        <v>173</v>
      </c>
      <c r="C1743" s="2" t="s">
        <v>174</v>
      </c>
      <c r="D1743" s="20">
        <v>0</v>
      </c>
      <c r="E1743" s="2" t="s">
        <v>838</v>
      </c>
      <c r="F1743" s="2" t="s">
        <v>793</v>
      </c>
      <c r="G1743" s="2" t="s">
        <v>2440</v>
      </c>
      <c r="H1743" s="2" t="s">
        <v>950</v>
      </c>
      <c r="J1743" s="26"/>
      <c r="K1743" s="36">
        <v>1.9658700000000002E-3</v>
      </c>
      <c r="L1743" s="23">
        <v>6.5529E-4</v>
      </c>
    </row>
    <row r="1744" spans="1:12" ht="15.35" hidden="1" x14ac:dyDescent="0.55000000000000004">
      <c r="A1744" s="20">
        <v>9182</v>
      </c>
      <c r="B1744" s="2" t="s">
        <v>173</v>
      </c>
      <c r="C1744" s="2" t="s">
        <v>174</v>
      </c>
      <c r="D1744" s="20">
        <v>0</v>
      </c>
      <c r="E1744" s="2" t="s">
        <v>838</v>
      </c>
      <c r="F1744" s="2" t="s">
        <v>793</v>
      </c>
      <c r="G1744" s="2" t="s">
        <v>2441</v>
      </c>
      <c r="H1744" s="2" t="s">
        <v>950</v>
      </c>
      <c r="J1744" s="26"/>
      <c r="K1744" s="36">
        <v>1.9658700000000002E-3</v>
      </c>
      <c r="L1744" s="23">
        <v>6.5529E-4</v>
      </c>
    </row>
    <row r="1745" spans="1:12" ht="15.35" hidden="1" x14ac:dyDescent="0.55000000000000004">
      <c r="A1745" s="20">
        <v>9217</v>
      </c>
      <c r="B1745" s="2" t="s">
        <v>173</v>
      </c>
      <c r="C1745" s="2" t="s">
        <v>174</v>
      </c>
      <c r="D1745" s="20">
        <v>0</v>
      </c>
      <c r="E1745" s="2" t="s">
        <v>838</v>
      </c>
      <c r="F1745" s="2" t="s">
        <v>793</v>
      </c>
      <c r="G1745" s="2" t="s">
        <v>2442</v>
      </c>
      <c r="H1745" s="2" t="s">
        <v>950</v>
      </c>
      <c r="J1745" s="26"/>
      <c r="K1745" s="36">
        <v>8.2379000000000003E-4</v>
      </c>
      <c r="L1745" s="23">
        <v>2.7460000000000001E-4</v>
      </c>
    </row>
    <row r="1746" spans="1:12" ht="15.35" hidden="1" x14ac:dyDescent="0.55000000000000004">
      <c r="A1746" s="20">
        <v>9218</v>
      </c>
      <c r="B1746" s="2" t="s">
        <v>173</v>
      </c>
      <c r="C1746" s="2" t="s">
        <v>174</v>
      </c>
      <c r="D1746" s="20">
        <v>0</v>
      </c>
      <c r="E1746" s="2" t="s">
        <v>838</v>
      </c>
      <c r="F1746" s="2" t="s">
        <v>793</v>
      </c>
      <c r="G1746" s="2" t="s">
        <v>2443</v>
      </c>
      <c r="H1746" s="2" t="s">
        <v>950</v>
      </c>
      <c r="J1746" s="26"/>
      <c r="K1746" s="36">
        <v>8.2379000000000003E-4</v>
      </c>
      <c r="L1746" s="23">
        <v>2.7460000000000001E-4</v>
      </c>
    </row>
    <row r="1747" spans="1:12" ht="15.35" hidden="1" x14ac:dyDescent="0.55000000000000004">
      <c r="A1747" s="20">
        <v>9219</v>
      </c>
      <c r="B1747" s="2" t="s">
        <v>173</v>
      </c>
      <c r="C1747" s="2" t="s">
        <v>174</v>
      </c>
      <c r="D1747" s="20">
        <v>0</v>
      </c>
      <c r="E1747" s="2" t="s">
        <v>838</v>
      </c>
      <c r="F1747" s="2" t="s">
        <v>793</v>
      </c>
      <c r="G1747" s="2" t="s">
        <v>2444</v>
      </c>
      <c r="H1747" s="2" t="s">
        <v>950</v>
      </c>
      <c r="J1747" s="26"/>
      <c r="K1747" s="36">
        <v>3.4319999999999997E-5</v>
      </c>
      <c r="L1747" s="23">
        <v>1.1440000000000001E-5</v>
      </c>
    </row>
    <row r="1748" spans="1:12" ht="15.35" hidden="1" x14ac:dyDescent="0.55000000000000004">
      <c r="A1748" s="20">
        <v>9220</v>
      </c>
      <c r="B1748" s="2" t="s">
        <v>173</v>
      </c>
      <c r="C1748" s="2" t="s">
        <v>174</v>
      </c>
      <c r="D1748" s="20">
        <v>0</v>
      </c>
      <c r="E1748" s="2" t="s">
        <v>838</v>
      </c>
      <c r="F1748" s="2" t="s">
        <v>793</v>
      </c>
      <c r="G1748" s="2" t="s">
        <v>2445</v>
      </c>
      <c r="H1748" s="2" t="s">
        <v>950</v>
      </c>
      <c r="J1748" s="26"/>
      <c r="K1748" s="36">
        <v>3.4319999999999997E-5</v>
      </c>
      <c r="L1748" s="23">
        <v>1.1440000000000001E-5</v>
      </c>
    </row>
    <row r="1749" spans="1:12" ht="15.35" hidden="1" x14ac:dyDescent="0.55000000000000004">
      <c r="A1749" s="20">
        <v>9202</v>
      </c>
      <c r="B1749" s="2" t="s">
        <v>173</v>
      </c>
      <c r="C1749" s="2" t="s">
        <v>174</v>
      </c>
      <c r="D1749" s="20">
        <v>0</v>
      </c>
      <c r="E1749" s="2" t="s">
        <v>838</v>
      </c>
      <c r="F1749" s="2" t="s">
        <v>793</v>
      </c>
      <c r="G1749" s="2" t="s">
        <v>2446</v>
      </c>
      <c r="H1749" s="2" t="s">
        <v>950</v>
      </c>
      <c r="J1749" s="26"/>
      <c r="K1749" s="36">
        <v>4.7118000000000003E-4</v>
      </c>
      <c r="L1749" s="23">
        <v>1.5705999999999999E-4</v>
      </c>
    </row>
    <row r="1750" spans="1:12" ht="15.35" hidden="1" x14ac:dyDescent="0.55000000000000004">
      <c r="A1750" s="20">
        <v>9171</v>
      </c>
      <c r="B1750" s="2" t="s">
        <v>173</v>
      </c>
      <c r="C1750" s="2" t="s">
        <v>174</v>
      </c>
      <c r="D1750" s="20">
        <v>0</v>
      </c>
      <c r="E1750" s="2" t="s">
        <v>838</v>
      </c>
      <c r="F1750" s="2" t="s">
        <v>793</v>
      </c>
      <c r="G1750" s="2" t="s">
        <v>2447</v>
      </c>
      <c r="H1750" s="2" t="s">
        <v>950</v>
      </c>
      <c r="J1750" s="26"/>
      <c r="K1750" s="36">
        <v>1.9658700000000002E-3</v>
      </c>
      <c r="L1750" s="23">
        <v>6.5529E-4</v>
      </c>
    </row>
    <row r="1751" spans="1:12" ht="15.35" hidden="1" x14ac:dyDescent="0.55000000000000004">
      <c r="A1751" s="20">
        <v>9173</v>
      </c>
      <c r="B1751" s="2" t="s">
        <v>173</v>
      </c>
      <c r="C1751" s="2" t="s">
        <v>174</v>
      </c>
      <c r="D1751" s="20">
        <v>0</v>
      </c>
      <c r="E1751" s="2" t="s">
        <v>838</v>
      </c>
      <c r="F1751" s="2" t="s">
        <v>793</v>
      </c>
      <c r="G1751" s="2" t="s">
        <v>2448</v>
      </c>
      <c r="H1751" s="2" t="s">
        <v>950</v>
      </c>
      <c r="J1751" s="26"/>
      <c r="K1751" s="36">
        <v>7.6449999999999999E-4</v>
      </c>
      <c r="L1751" s="23">
        <v>2.5483E-4</v>
      </c>
    </row>
    <row r="1752" spans="1:12" ht="15.35" hidden="1" x14ac:dyDescent="0.55000000000000004">
      <c r="A1752" s="20">
        <v>9203</v>
      </c>
      <c r="B1752" s="2" t="s">
        <v>173</v>
      </c>
      <c r="C1752" s="2" t="s">
        <v>174</v>
      </c>
      <c r="D1752" s="20">
        <v>0</v>
      </c>
      <c r="E1752" s="2" t="s">
        <v>838</v>
      </c>
      <c r="F1752" s="2" t="s">
        <v>793</v>
      </c>
      <c r="G1752" s="2" t="s">
        <v>2449</v>
      </c>
      <c r="H1752" s="2" t="s">
        <v>950</v>
      </c>
      <c r="J1752" s="26"/>
      <c r="K1752" s="36">
        <v>4.7118000000000003E-4</v>
      </c>
      <c r="L1752" s="23">
        <v>1.5705999999999999E-4</v>
      </c>
    </row>
    <row r="1753" spans="1:12" ht="15.35" hidden="1" x14ac:dyDescent="0.55000000000000004">
      <c r="A1753" s="20">
        <v>9199</v>
      </c>
      <c r="B1753" s="2" t="s">
        <v>173</v>
      </c>
      <c r="C1753" s="2" t="s">
        <v>174</v>
      </c>
      <c r="D1753" s="20">
        <v>0</v>
      </c>
      <c r="E1753" s="2" t="s">
        <v>838</v>
      </c>
      <c r="F1753" s="2" t="s">
        <v>793</v>
      </c>
      <c r="G1753" s="2" t="s">
        <v>1624</v>
      </c>
      <c r="H1753" s="2" t="s">
        <v>950</v>
      </c>
      <c r="J1753" s="26"/>
      <c r="K1753" s="36">
        <v>1.9658700000000002E-3</v>
      </c>
      <c r="L1753" s="23">
        <v>6.5529E-4</v>
      </c>
    </row>
    <row r="1754" spans="1:12" ht="15.35" hidden="1" x14ac:dyDescent="0.55000000000000004">
      <c r="A1754" s="20">
        <v>9201</v>
      </c>
      <c r="B1754" s="2" t="s">
        <v>173</v>
      </c>
      <c r="C1754" s="2" t="s">
        <v>174</v>
      </c>
      <c r="D1754" s="20">
        <v>0</v>
      </c>
      <c r="E1754" s="2" t="s">
        <v>838</v>
      </c>
      <c r="F1754" s="2" t="s">
        <v>793</v>
      </c>
      <c r="G1754" s="2" t="s">
        <v>1625</v>
      </c>
      <c r="H1754" s="2" t="s">
        <v>950</v>
      </c>
      <c r="J1754" s="26"/>
      <c r="K1754" s="36">
        <v>1.4666000000000001E-4</v>
      </c>
      <c r="L1754" s="23">
        <v>4.8890000000000001E-5</v>
      </c>
    </row>
    <row r="1755" spans="1:12" ht="15.35" hidden="1" x14ac:dyDescent="0.55000000000000004">
      <c r="A1755" s="20">
        <v>9209</v>
      </c>
      <c r="B1755" s="2" t="s">
        <v>173</v>
      </c>
      <c r="C1755" s="2" t="s">
        <v>174</v>
      </c>
      <c r="D1755" s="20">
        <v>0</v>
      </c>
      <c r="E1755" s="2" t="s">
        <v>838</v>
      </c>
      <c r="F1755" s="2" t="s">
        <v>793</v>
      </c>
      <c r="G1755" s="2" t="s">
        <v>1626</v>
      </c>
      <c r="H1755" s="2" t="s">
        <v>950</v>
      </c>
      <c r="J1755" s="26"/>
      <c r="K1755" s="36">
        <v>3.1199999999999999E-5</v>
      </c>
      <c r="L1755" s="23">
        <v>1.04E-5</v>
      </c>
    </row>
    <row r="1756" spans="1:12" ht="15.35" hidden="1" x14ac:dyDescent="0.55000000000000004">
      <c r="A1756" s="20">
        <v>9207</v>
      </c>
      <c r="B1756" s="2" t="s">
        <v>173</v>
      </c>
      <c r="C1756" s="2" t="s">
        <v>174</v>
      </c>
      <c r="D1756" s="20">
        <v>0</v>
      </c>
      <c r="E1756" s="2" t="s">
        <v>838</v>
      </c>
      <c r="F1756" s="2" t="s">
        <v>793</v>
      </c>
      <c r="G1756" s="2" t="s">
        <v>2450</v>
      </c>
      <c r="H1756" s="2" t="s">
        <v>950</v>
      </c>
      <c r="J1756" s="26"/>
      <c r="K1756" s="36">
        <v>2.9332000000000002E-4</v>
      </c>
      <c r="L1756" s="23">
        <v>9.7769999999999994E-5</v>
      </c>
    </row>
    <row r="1757" spans="1:12" ht="15.35" hidden="1" x14ac:dyDescent="0.55000000000000004">
      <c r="A1757" s="20">
        <v>9215</v>
      </c>
      <c r="B1757" s="2" t="s">
        <v>173</v>
      </c>
      <c r="C1757" s="2" t="s">
        <v>174</v>
      </c>
      <c r="D1757" s="20">
        <v>0</v>
      </c>
      <c r="E1757" s="2" t="s">
        <v>838</v>
      </c>
      <c r="F1757" s="2" t="s">
        <v>793</v>
      </c>
      <c r="G1757" s="2" t="s">
        <v>2451</v>
      </c>
      <c r="H1757" s="2" t="s">
        <v>950</v>
      </c>
      <c r="J1757" s="26"/>
      <c r="K1757" s="36">
        <v>1.2388099999999999E-3</v>
      </c>
      <c r="L1757" s="23">
        <v>4.1293999999999999E-4</v>
      </c>
    </row>
    <row r="1758" spans="1:12" ht="15.35" hidden="1" x14ac:dyDescent="0.55000000000000004">
      <c r="A1758" s="20">
        <v>9210</v>
      </c>
      <c r="B1758" s="2" t="s">
        <v>173</v>
      </c>
      <c r="C1758" s="2" t="s">
        <v>174</v>
      </c>
      <c r="D1758" s="20">
        <v>0</v>
      </c>
      <c r="E1758" s="2" t="s">
        <v>838</v>
      </c>
      <c r="F1758" s="2" t="s">
        <v>793</v>
      </c>
      <c r="G1758" s="2" t="s">
        <v>1628</v>
      </c>
      <c r="H1758" s="2" t="s">
        <v>950</v>
      </c>
      <c r="J1758" s="26"/>
      <c r="K1758" s="36">
        <v>1.4634800000000001E-3</v>
      </c>
      <c r="L1758" s="23">
        <v>4.8783000000000002E-4</v>
      </c>
    </row>
    <row r="1759" spans="1:12" ht="15.35" hidden="1" x14ac:dyDescent="0.55000000000000004">
      <c r="A1759" s="20">
        <v>9912</v>
      </c>
      <c r="B1759" s="2" t="s">
        <v>173</v>
      </c>
      <c r="C1759" s="2" t="s">
        <v>174</v>
      </c>
      <c r="D1759" s="20">
        <v>0</v>
      </c>
      <c r="E1759" s="2" t="s">
        <v>838</v>
      </c>
      <c r="F1759" s="2" t="s">
        <v>811</v>
      </c>
      <c r="G1759" s="2" t="s">
        <v>1629</v>
      </c>
      <c r="H1759" s="2" t="s">
        <v>1630</v>
      </c>
      <c r="J1759" s="26"/>
      <c r="K1759" s="36">
        <v>2.9332000000000002E-4</v>
      </c>
      <c r="L1759" s="23">
        <v>9.7769999999999994E-5</v>
      </c>
    </row>
    <row r="1760" spans="1:12" ht="15.35" x14ac:dyDescent="0.55000000000000004">
      <c r="A1760" s="20">
        <v>9575</v>
      </c>
      <c r="B1760" s="2" t="s">
        <v>173</v>
      </c>
      <c r="C1760" s="2" t="s">
        <v>174</v>
      </c>
      <c r="D1760" s="20">
        <v>0</v>
      </c>
      <c r="E1760" s="2" t="s">
        <v>838</v>
      </c>
      <c r="F1760" s="2" t="s">
        <v>793</v>
      </c>
      <c r="G1760" s="2" t="s">
        <v>2452</v>
      </c>
      <c r="J1760" s="26"/>
      <c r="K1760" s="36">
        <v>8.7369999999999999E-5</v>
      </c>
      <c r="L1760" s="23">
        <v>2.9119999999999999E-5</v>
      </c>
    </row>
    <row r="1761" spans="1:12" ht="15.35" hidden="1" x14ac:dyDescent="0.55000000000000004">
      <c r="A1761" s="20">
        <v>9041</v>
      </c>
      <c r="B1761" s="2" t="s">
        <v>173</v>
      </c>
      <c r="C1761" s="2" t="s">
        <v>174</v>
      </c>
      <c r="D1761" s="20">
        <v>0</v>
      </c>
      <c r="E1761" s="2" t="s">
        <v>838</v>
      </c>
      <c r="F1761" s="2" t="s">
        <v>848</v>
      </c>
      <c r="G1761" s="2" t="s">
        <v>951</v>
      </c>
      <c r="H1761" s="2" t="s">
        <v>952</v>
      </c>
      <c r="J1761" s="26"/>
      <c r="K1761" s="36">
        <v>1.9658700000000002E-3</v>
      </c>
      <c r="L1761" s="23">
        <v>6.5529E-4</v>
      </c>
    </row>
    <row r="1762" spans="1:12" ht="15.35" x14ac:dyDescent="0.55000000000000004">
      <c r="A1762" s="20">
        <v>9574</v>
      </c>
      <c r="B1762" s="2" t="s">
        <v>173</v>
      </c>
      <c r="C1762" s="2" t="s">
        <v>174</v>
      </c>
      <c r="D1762" s="20">
        <v>0</v>
      </c>
      <c r="E1762" s="2" t="s">
        <v>838</v>
      </c>
      <c r="F1762" s="2" t="s">
        <v>793</v>
      </c>
      <c r="G1762" s="2" t="s">
        <v>2453</v>
      </c>
      <c r="J1762" s="26"/>
      <c r="K1762" s="36">
        <v>1.0921500000000001E-3</v>
      </c>
      <c r="L1762" s="23">
        <v>3.6404999999999999E-4</v>
      </c>
    </row>
    <row r="1763" spans="1:12" ht="15.35" x14ac:dyDescent="0.55000000000000004">
      <c r="A1763" s="20">
        <v>9576</v>
      </c>
      <c r="B1763" s="2" t="s">
        <v>173</v>
      </c>
      <c r="C1763" s="2" t="s">
        <v>174</v>
      </c>
      <c r="D1763" s="20">
        <v>0</v>
      </c>
      <c r="E1763" s="2" t="s">
        <v>838</v>
      </c>
      <c r="F1763" s="2" t="s">
        <v>793</v>
      </c>
      <c r="G1763" s="2" t="s">
        <v>2454</v>
      </c>
      <c r="J1763" s="26"/>
      <c r="K1763" s="36">
        <v>1.1545E-4</v>
      </c>
      <c r="L1763" s="23">
        <v>3.8479999999999997E-5</v>
      </c>
    </row>
    <row r="1764" spans="1:12" ht="15.35" x14ac:dyDescent="0.55000000000000004">
      <c r="A1764" s="20">
        <v>9577</v>
      </c>
      <c r="B1764" s="2" t="s">
        <v>173</v>
      </c>
      <c r="C1764" s="2" t="s">
        <v>174</v>
      </c>
      <c r="D1764" s="20">
        <v>0</v>
      </c>
      <c r="E1764" s="2" t="s">
        <v>838</v>
      </c>
      <c r="F1764" s="2" t="s">
        <v>793</v>
      </c>
      <c r="G1764" s="2" t="s">
        <v>2455</v>
      </c>
      <c r="J1764" s="26"/>
      <c r="K1764" s="36">
        <v>8.7369999999999999E-5</v>
      </c>
      <c r="L1764" s="23">
        <v>2.9119999999999999E-5</v>
      </c>
    </row>
    <row r="1765" spans="1:12" ht="15.35" x14ac:dyDescent="0.55000000000000004">
      <c r="A1765" s="20">
        <v>9578</v>
      </c>
      <c r="B1765" s="2" t="s">
        <v>173</v>
      </c>
      <c r="C1765" s="2" t="s">
        <v>174</v>
      </c>
      <c r="D1765" s="20">
        <v>0</v>
      </c>
      <c r="E1765" s="2" t="s">
        <v>838</v>
      </c>
      <c r="F1765" s="2" t="s">
        <v>793</v>
      </c>
      <c r="G1765" s="2" t="s">
        <v>2456</v>
      </c>
      <c r="J1765" s="26"/>
      <c r="K1765" s="36">
        <v>1.1545E-4</v>
      </c>
      <c r="L1765" s="23">
        <v>3.8479999999999997E-5</v>
      </c>
    </row>
    <row r="1766" spans="1:12" ht="15.35" hidden="1" x14ac:dyDescent="0.55000000000000004">
      <c r="A1766" s="20">
        <v>9572</v>
      </c>
      <c r="B1766" s="2" t="s">
        <v>173</v>
      </c>
      <c r="C1766" s="2" t="s">
        <v>174</v>
      </c>
      <c r="D1766" s="20">
        <v>0</v>
      </c>
      <c r="E1766" s="2" t="s">
        <v>838</v>
      </c>
      <c r="F1766" s="2" t="s">
        <v>793</v>
      </c>
      <c r="G1766" s="2" t="s">
        <v>1640</v>
      </c>
      <c r="H1766" s="2" t="s">
        <v>1632</v>
      </c>
      <c r="J1766" s="26"/>
      <c r="K1766" s="36">
        <v>1.9658700000000002E-3</v>
      </c>
      <c r="L1766" s="23">
        <v>6.5529E-4</v>
      </c>
    </row>
    <row r="1767" spans="1:12" ht="15.35" hidden="1" x14ac:dyDescent="0.55000000000000004">
      <c r="A1767" s="20">
        <v>9571</v>
      </c>
      <c r="B1767" s="2" t="s">
        <v>173</v>
      </c>
      <c r="C1767" s="2" t="s">
        <v>174</v>
      </c>
      <c r="D1767" s="20">
        <v>0</v>
      </c>
      <c r="E1767" s="2" t="s">
        <v>838</v>
      </c>
      <c r="F1767" s="2" t="s">
        <v>793</v>
      </c>
      <c r="G1767" s="2" t="s">
        <v>1650</v>
      </c>
      <c r="H1767" s="2" t="s">
        <v>1632</v>
      </c>
      <c r="J1767" s="26"/>
      <c r="K1767" s="36">
        <v>1.9658700000000002E-3</v>
      </c>
      <c r="L1767" s="23">
        <v>6.5529E-4</v>
      </c>
    </row>
    <row r="1768" spans="1:12" ht="15.35" hidden="1" x14ac:dyDescent="0.55000000000000004">
      <c r="A1768" s="20">
        <v>9573</v>
      </c>
      <c r="B1768" s="2" t="s">
        <v>173</v>
      </c>
      <c r="C1768" s="2" t="s">
        <v>174</v>
      </c>
      <c r="D1768" s="20">
        <v>0</v>
      </c>
      <c r="E1768" s="2" t="s">
        <v>838</v>
      </c>
      <c r="F1768" s="2" t="s">
        <v>793</v>
      </c>
      <c r="G1768" s="2" t="s">
        <v>1662</v>
      </c>
      <c r="H1768" s="2" t="s">
        <v>1632</v>
      </c>
      <c r="J1768" s="26"/>
      <c r="K1768" s="36">
        <v>1.9658700000000002E-3</v>
      </c>
      <c r="L1768" s="23">
        <v>6.5529E-4</v>
      </c>
    </row>
    <row r="1769" spans="1:12" ht="15.35" hidden="1" x14ac:dyDescent="0.55000000000000004">
      <c r="A1769" s="20">
        <v>9308</v>
      </c>
      <c r="B1769" s="2" t="s">
        <v>173</v>
      </c>
      <c r="C1769" s="2" t="s">
        <v>174</v>
      </c>
      <c r="D1769" s="20">
        <v>0</v>
      </c>
      <c r="E1769" s="2" t="s">
        <v>838</v>
      </c>
      <c r="F1769" s="2" t="s">
        <v>793</v>
      </c>
      <c r="G1769" s="2" t="s">
        <v>2457</v>
      </c>
      <c r="H1769" s="2" t="s">
        <v>2458</v>
      </c>
      <c r="J1769" s="26"/>
      <c r="K1769" s="36">
        <v>8.3314999999999995E-4</v>
      </c>
      <c r="L1769" s="23">
        <v>2.7772000000000002E-4</v>
      </c>
    </row>
    <row r="1770" spans="1:12" ht="15.35" hidden="1" x14ac:dyDescent="0.55000000000000004">
      <c r="A1770" s="20">
        <v>9309</v>
      </c>
      <c r="B1770" s="2" t="s">
        <v>173</v>
      </c>
      <c r="C1770" s="2" t="s">
        <v>174</v>
      </c>
      <c r="D1770" s="20">
        <v>0</v>
      </c>
      <c r="E1770" s="2" t="s">
        <v>838</v>
      </c>
      <c r="F1770" s="2" t="s">
        <v>793</v>
      </c>
      <c r="G1770" s="2" t="s">
        <v>2459</v>
      </c>
      <c r="H1770" s="2" t="s">
        <v>2458</v>
      </c>
      <c r="J1770" s="26"/>
      <c r="K1770" s="36">
        <v>6.1160000000000001E-4</v>
      </c>
      <c r="L1770" s="23">
        <v>2.0387000000000001E-4</v>
      </c>
    </row>
    <row r="1771" spans="1:12" ht="15.35" hidden="1" x14ac:dyDescent="0.55000000000000004">
      <c r="A1771" s="20">
        <v>9312</v>
      </c>
      <c r="B1771" s="2" t="s">
        <v>173</v>
      </c>
      <c r="C1771" s="2" t="s">
        <v>174</v>
      </c>
      <c r="D1771" s="20">
        <v>0</v>
      </c>
      <c r="E1771" s="2" t="s">
        <v>838</v>
      </c>
      <c r="F1771" s="2" t="s">
        <v>793</v>
      </c>
      <c r="G1771" s="2" t="s">
        <v>2460</v>
      </c>
      <c r="H1771" s="2" t="s">
        <v>2458</v>
      </c>
      <c r="J1771" s="26"/>
      <c r="K1771" s="36">
        <v>6.1160000000000001E-4</v>
      </c>
      <c r="L1771" s="23">
        <v>2.0387000000000001E-4</v>
      </c>
    </row>
    <row r="1772" spans="1:12" ht="15.35" hidden="1" x14ac:dyDescent="0.55000000000000004">
      <c r="A1772" s="20">
        <v>9310</v>
      </c>
      <c r="B1772" s="2" t="s">
        <v>173</v>
      </c>
      <c r="C1772" s="2" t="s">
        <v>174</v>
      </c>
      <c r="D1772" s="20">
        <v>0</v>
      </c>
      <c r="E1772" s="2" t="s">
        <v>838</v>
      </c>
      <c r="F1772" s="2" t="s">
        <v>793</v>
      </c>
      <c r="G1772" s="2" t="s">
        <v>2461</v>
      </c>
      <c r="H1772" s="2" t="s">
        <v>2458</v>
      </c>
      <c r="J1772" s="26"/>
      <c r="K1772" s="36">
        <v>1.00165E-3</v>
      </c>
      <c r="L1772" s="23">
        <v>3.3387999999999999E-4</v>
      </c>
    </row>
    <row r="1773" spans="1:12" ht="15.35" hidden="1" x14ac:dyDescent="0.55000000000000004">
      <c r="A1773" s="20">
        <v>9311</v>
      </c>
      <c r="B1773" s="2" t="s">
        <v>173</v>
      </c>
      <c r="C1773" s="2" t="s">
        <v>174</v>
      </c>
      <c r="D1773" s="20">
        <v>0</v>
      </c>
      <c r="E1773" s="2" t="s">
        <v>838</v>
      </c>
      <c r="F1773" s="2" t="s">
        <v>793</v>
      </c>
      <c r="G1773" s="2" t="s">
        <v>2462</v>
      </c>
      <c r="H1773" s="2" t="s">
        <v>2458</v>
      </c>
      <c r="J1773" s="26"/>
      <c r="K1773" s="36">
        <v>1.0578199999999999E-3</v>
      </c>
      <c r="L1773" s="23">
        <v>3.5261E-4</v>
      </c>
    </row>
    <row r="1774" spans="1:12" ht="15.35" hidden="1" x14ac:dyDescent="0.55000000000000004">
      <c r="A1774" s="20">
        <v>9307</v>
      </c>
      <c r="B1774" s="2" t="s">
        <v>173</v>
      </c>
      <c r="C1774" s="2" t="s">
        <v>174</v>
      </c>
      <c r="D1774" s="20">
        <v>0</v>
      </c>
      <c r="E1774" s="2" t="s">
        <v>838</v>
      </c>
      <c r="F1774" s="2" t="s">
        <v>793</v>
      </c>
      <c r="G1774" s="2" t="s">
        <v>2463</v>
      </c>
      <c r="H1774" s="2" t="s">
        <v>2458</v>
      </c>
      <c r="J1774" s="26"/>
      <c r="K1774" s="36">
        <v>1.0609E-4</v>
      </c>
      <c r="L1774" s="23">
        <v>3.536E-5</v>
      </c>
    </row>
    <row r="1775" spans="1:12" ht="15.35" hidden="1" x14ac:dyDescent="0.55000000000000004">
      <c r="A1775" s="20">
        <v>9175</v>
      </c>
      <c r="B1775" s="2" t="s">
        <v>173</v>
      </c>
      <c r="C1775" s="2" t="s">
        <v>174</v>
      </c>
      <c r="D1775" s="20">
        <v>0</v>
      </c>
      <c r="E1775" s="2" t="s">
        <v>838</v>
      </c>
      <c r="F1775" s="2" t="s">
        <v>789</v>
      </c>
      <c r="G1775" s="2" t="s">
        <v>2464</v>
      </c>
      <c r="H1775" s="2" t="s">
        <v>1693</v>
      </c>
      <c r="J1775" s="26"/>
      <c r="K1775" s="36">
        <v>1.9657999999999999E-4</v>
      </c>
      <c r="L1775" s="23">
        <v>6.5530000000000004E-5</v>
      </c>
    </row>
    <row r="1776" spans="1:12" ht="15.35" x14ac:dyDescent="0.55000000000000004">
      <c r="A1776" s="20">
        <v>9424</v>
      </c>
      <c r="B1776" s="2" t="s">
        <v>173</v>
      </c>
      <c r="C1776" s="2" t="s">
        <v>174</v>
      </c>
      <c r="D1776" s="20">
        <v>0</v>
      </c>
      <c r="E1776" s="2" t="s">
        <v>838</v>
      </c>
      <c r="F1776" s="2" t="s">
        <v>793</v>
      </c>
      <c r="G1776" s="2" t="s">
        <v>2465</v>
      </c>
      <c r="J1776" s="26"/>
      <c r="K1776" s="36">
        <v>1.40419E-3</v>
      </c>
      <c r="L1776" s="23">
        <v>4.6806000000000001E-4</v>
      </c>
    </row>
    <row r="1777" spans="1:12" ht="15.35" x14ac:dyDescent="0.55000000000000004">
      <c r="A1777" s="20">
        <v>9425</v>
      </c>
      <c r="B1777" s="2" t="s">
        <v>173</v>
      </c>
      <c r="C1777" s="2" t="s">
        <v>174</v>
      </c>
      <c r="D1777" s="20">
        <v>0</v>
      </c>
      <c r="E1777" s="2" t="s">
        <v>838</v>
      </c>
      <c r="F1777" s="2" t="s">
        <v>793</v>
      </c>
      <c r="G1777" s="2" t="s">
        <v>2466</v>
      </c>
      <c r="J1777" s="26"/>
      <c r="K1777" s="36">
        <v>1.40419E-3</v>
      </c>
      <c r="L1777" s="23">
        <v>4.6806000000000001E-4</v>
      </c>
    </row>
    <row r="1778" spans="1:12" ht="15.35" x14ac:dyDescent="0.55000000000000004">
      <c r="A1778" s="20">
        <v>9426</v>
      </c>
      <c r="B1778" s="2" t="s">
        <v>173</v>
      </c>
      <c r="C1778" s="2" t="s">
        <v>174</v>
      </c>
      <c r="D1778" s="20">
        <v>0</v>
      </c>
      <c r="E1778" s="2" t="s">
        <v>838</v>
      </c>
      <c r="F1778" s="2" t="s">
        <v>793</v>
      </c>
      <c r="G1778" s="2" t="s">
        <v>2467</v>
      </c>
      <c r="J1778" s="26"/>
      <c r="K1778" s="36">
        <v>1.40419E-3</v>
      </c>
      <c r="L1778" s="23">
        <v>4.6806000000000001E-4</v>
      </c>
    </row>
    <row r="1779" spans="1:12" ht="15.35" hidden="1" x14ac:dyDescent="0.55000000000000004">
      <c r="A1779" s="20">
        <v>9423</v>
      </c>
      <c r="B1779" s="2" t="s">
        <v>173</v>
      </c>
      <c r="C1779" s="2" t="s">
        <v>174</v>
      </c>
      <c r="D1779" s="20">
        <v>0</v>
      </c>
      <c r="E1779" s="2" t="s">
        <v>838</v>
      </c>
      <c r="F1779" s="2" t="s">
        <v>793</v>
      </c>
      <c r="G1779" s="2" t="s">
        <v>1696</v>
      </c>
      <c r="H1779" s="2" t="s">
        <v>1695</v>
      </c>
      <c r="J1779" s="26"/>
      <c r="K1779" s="36">
        <v>1.6226000000000001E-4</v>
      </c>
      <c r="L1779" s="23">
        <v>5.4089999999999999E-5</v>
      </c>
    </row>
    <row r="1780" spans="1:12" ht="15.35" x14ac:dyDescent="0.55000000000000004">
      <c r="A1780" s="20">
        <v>9505</v>
      </c>
      <c r="B1780" s="2" t="s">
        <v>173</v>
      </c>
      <c r="C1780" s="2" t="s">
        <v>174</v>
      </c>
      <c r="D1780" s="20">
        <v>0</v>
      </c>
      <c r="E1780" s="2" t="s">
        <v>838</v>
      </c>
      <c r="F1780" s="2" t="s">
        <v>811</v>
      </c>
      <c r="G1780" s="2" t="s">
        <v>2468</v>
      </c>
      <c r="J1780" s="26"/>
      <c r="K1780" s="36">
        <v>1.6226000000000001E-4</v>
      </c>
      <c r="L1780" s="23">
        <v>5.4089999999999999E-5</v>
      </c>
    </row>
    <row r="1781" spans="1:12" ht="15.35" x14ac:dyDescent="0.55000000000000004">
      <c r="A1781" s="20">
        <v>9506</v>
      </c>
      <c r="B1781" s="2" t="s">
        <v>173</v>
      </c>
      <c r="C1781" s="2" t="s">
        <v>174</v>
      </c>
      <c r="D1781" s="20">
        <v>0</v>
      </c>
      <c r="E1781" s="2" t="s">
        <v>838</v>
      </c>
      <c r="F1781" s="2" t="s">
        <v>811</v>
      </c>
      <c r="G1781" s="2" t="s">
        <v>2469</v>
      </c>
      <c r="J1781" s="26"/>
      <c r="K1781" s="36">
        <v>3.2763999999999997E-4</v>
      </c>
      <c r="L1781" s="23">
        <v>1.0921000000000001E-4</v>
      </c>
    </row>
    <row r="1782" spans="1:12" ht="15.35" x14ac:dyDescent="0.55000000000000004">
      <c r="A1782" s="20">
        <v>9511</v>
      </c>
      <c r="B1782" s="2" t="s">
        <v>173</v>
      </c>
      <c r="C1782" s="2" t="s">
        <v>174</v>
      </c>
      <c r="D1782" s="20">
        <v>0</v>
      </c>
      <c r="E1782" s="2" t="s">
        <v>838</v>
      </c>
      <c r="F1782" s="2" t="s">
        <v>811</v>
      </c>
      <c r="G1782" s="2" t="s">
        <v>2470</v>
      </c>
      <c r="J1782" s="26"/>
      <c r="K1782" s="36">
        <v>2.9643999999999997E-4</v>
      </c>
      <c r="L1782" s="23">
        <v>9.8809999999999998E-5</v>
      </c>
    </row>
    <row r="1783" spans="1:12" ht="15.35" x14ac:dyDescent="0.55000000000000004">
      <c r="A1783" s="20">
        <v>9509</v>
      </c>
      <c r="B1783" s="2" t="s">
        <v>173</v>
      </c>
      <c r="C1783" s="2" t="s">
        <v>174</v>
      </c>
      <c r="D1783" s="20">
        <v>0</v>
      </c>
      <c r="E1783" s="2" t="s">
        <v>838</v>
      </c>
      <c r="F1783" s="2" t="s">
        <v>811</v>
      </c>
      <c r="G1783" s="2" t="s">
        <v>2471</v>
      </c>
      <c r="J1783" s="26"/>
      <c r="K1783" s="36">
        <v>6.2399999999999999E-5</v>
      </c>
      <c r="L1783" s="23">
        <v>2.0800000000000001E-5</v>
      </c>
    </row>
    <row r="1784" spans="1:12" ht="15.35" x14ac:dyDescent="0.55000000000000004">
      <c r="A1784" s="20">
        <v>9510</v>
      </c>
      <c r="B1784" s="2" t="s">
        <v>173</v>
      </c>
      <c r="C1784" s="2" t="s">
        <v>174</v>
      </c>
      <c r="D1784" s="20">
        <v>0</v>
      </c>
      <c r="E1784" s="2" t="s">
        <v>838</v>
      </c>
      <c r="F1784" s="2" t="s">
        <v>811</v>
      </c>
      <c r="G1784" s="2" t="s">
        <v>2472</v>
      </c>
      <c r="J1784" s="26"/>
      <c r="K1784" s="36">
        <v>2.3714999999999999E-4</v>
      </c>
      <c r="L1784" s="23">
        <v>7.9049999999999997E-5</v>
      </c>
    </row>
    <row r="1785" spans="1:12" ht="15.35" x14ac:dyDescent="0.55000000000000004">
      <c r="A1785" s="20">
        <v>9507</v>
      </c>
      <c r="B1785" s="2" t="s">
        <v>173</v>
      </c>
      <c r="C1785" s="2" t="s">
        <v>174</v>
      </c>
      <c r="D1785" s="20">
        <v>0</v>
      </c>
      <c r="E1785" s="2" t="s">
        <v>838</v>
      </c>
      <c r="F1785" s="2" t="s">
        <v>811</v>
      </c>
      <c r="G1785" s="2" t="s">
        <v>2473</v>
      </c>
      <c r="J1785" s="26"/>
      <c r="K1785" s="36">
        <v>1.22945E-3</v>
      </c>
      <c r="L1785" s="23">
        <v>4.0981999999999998E-4</v>
      </c>
    </row>
    <row r="1786" spans="1:12" ht="15.35" x14ac:dyDescent="0.55000000000000004">
      <c r="A1786" s="20">
        <v>9508</v>
      </c>
      <c r="B1786" s="2" t="s">
        <v>173</v>
      </c>
      <c r="C1786" s="2" t="s">
        <v>174</v>
      </c>
      <c r="D1786" s="20">
        <v>0</v>
      </c>
      <c r="E1786" s="2" t="s">
        <v>838</v>
      </c>
      <c r="F1786" s="2" t="s">
        <v>811</v>
      </c>
      <c r="G1786" s="2" t="s">
        <v>2474</v>
      </c>
      <c r="J1786" s="26"/>
      <c r="K1786" s="36">
        <v>9.3612999999999997E-4</v>
      </c>
      <c r="L1786" s="23">
        <v>3.1203999999999997E-4</v>
      </c>
    </row>
    <row r="1787" spans="1:12" ht="15.35" hidden="1" x14ac:dyDescent="0.55000000000000004">
      <c r="A1787" s="20">
        <v>9020</v>
      </c>
      <c r="B1787" s="2" t="s">
        <v>173</v>
      </c>
      <c r="C1787" s="2" t="s">
        <v>174</v>
      </c>
      <c r="D1787" s="20">
        <v>0</v>
      </c>
      <c r="E1787" s="2" t="s">
        <v>838</v>
      </c>
      <c r="F1787" s="2" t="s">
        <v>848</v>
      </c>
      <c r="G1787" s="2" t="s">
        <v>1698</v>
      </c>
      <c r="H1787" s="2" t="s">
        <v>1698</v>
      </c>
      <c r="J1787" s="26"/>
      <c r="K1787" s="36">
        <v>1.40419E-3</v>
      </c>
      <c r="L1787" s="23">
        <v>4.6806000000000001E-4</v>
      </c>
    </row>
    <row r="1788" spans="1:12" ht="15.35" x14ac:dyDescent="0.55000000000000004">
      <c r="A1788" s="20">
        <v>9427</v>
      </c>
      <c r="B1788" s="2" t="s">
        <v>173</v>
      </c>
      <c r="C1788" s="2" t="s">
        <v>174</v>
      </c>
      <c r="D1788" s="20">
        <v>0</v>
      </c>
      <c r="E1788" s="2" t="s">
        <v>838</v>
      </c>
      <c r="F1788" s="2" t="s">
        <v>817</v>
      </c>
      <c r="G1788" s="2" t="s">
        <v>2475</v>
      </c>
      <c r="J1788" s="26"/>
      <c r="K1788" s="36">
        <v>1.2481700000000001E-3</v>
      </c>
      <c r="L1788" s="23">
        <v>4.1606E-4</v>
      </c>
    </row>
    <row r="1789" spans="1:12" ht="15.35" x14ac:dyDescent="0.55000000000000004">
      <c r="A1789" s="20">
        <v>9429</v>
      </c>
      <c r="B1789" s="2" t="s">
        <v>173</v>
      </c>
      <c r="C1789" s="2" t="s">
        <v>174</v>
      </c>
      <c r="D1789" s="20">
        <v>0</v>
      </c>
      <c r="E1789" s="2" t="s">
        <v>838</v>
      </c>
      <c r="F1789" s="2" t="s">
        <v>817</v>
      </c>
      <c r="G1789" s="2" t="s">
        <v>2476</v>
      </c>
      <c r="J1789" s="26"/>
      <c r="K1789" s="36">
        <v>1.9658700000000002E-3</v>
      </c>
      <c r="L1789" s="23">
        <v>6.5529E-4</v>
      </c>
    </row>
    <row r="1790" spans="1:12" ht="15.35" x14ac:dyDescent="0.55000000000000004">
      <c r="A1790" s="20">
        <v>9685</v>
      </c>
      <c r="B1790" s="2" t="s">
        <v>173</v>
      </c>
      <c r="C1790" s="2" t="s">
        <v>174</v>
      </c>
      <c r="D1790" s="20">
        <v>0</v>
      </c>
      <c r="E1790" s="2" t="s">
        <v>838</v>
      </c>
      <c r="F1790" s="2" t="s">
        <v>793</v>
      </c>
      <c r="G1790" s="2" t="s">
        <v>2477</v>
      </c>
      <c r="J1790" s="26"/>
      <c r="K1790" s="36">
        <v>9.6108999999999995E-4</v>
      </c>
      <c r="L1790" s="23">
        <v>3.2036E-4</v>
      </c>
    </row>
    <row r="1791" spans="1:12" ht="15.35" x14ac:dyDescent="0.55000000000000004">
      <c r="A1791" s="20">
        <v>9686</v>
      </c>
      <c r="B1791" s="2" t="s">
        <v>173</v>
      </c>
      <c r="C1791" s="2" t="s">
        <v>174</v>
      </c>
      <c r="D1791" s="20">
        <v>0</v>
      </c>
      <c r="E1791" s="2" t="s">
        <v>838</v>
      </c>
      <c r="F1791" s="2" t="s">
        <v>793</v>
      </c>
      <c r="G1791" s="2" t="s">
        <v>2478</v>
      </c>
      <c r="J1791" s="26"/>
      <c r="K1791" s="36">
        <v>8.9243999999999999E-4</v>
      </c>
      <c r="L1791" s="23">
        <v>2.9747999999999998E-4</v>
      </c>
    </row>
    <row r="1792" spans="1:12" ht="15.35" x14ac:dyDescent="0.55000000000000004">
      <c r="A1792" s="20">
        <v>9687</v>
      </c>
      <c r="B1792" s="2" t="s">
        <v>173</v>
      </c>
      <c r="C1792" s="2" t="s">
        <v>174</v>
      </c>
      <c r="D1792" s="20">
        <v>0</v>
      </c>
      <c r="E1792" s="2" t="s">
        <v>838</v>
      </c>
      <c r="F1792" s="2" t="s">
        <v>793</v>
      </c>
      <c r="G1792" s="2" t="s">
        <v>2479</v>
      </c>
      <c r="J1792" s="26"/>
      <c r="K1792" s="36">
        <v>8.7369999999999999E-5</v>
      </c>
      <c r="L1792" s="23">
        <v>2.9119999999999999E-5</v>
      </c>
    </row>
    <row r="1793" spans="1:12" ht="15.35" x14ac:dyDescent="0.55000000000000004">
      <c r="A1793" s="20">
        <v>9688</v>
      </c>
      <c r="B1793" s="2" t="s">
        <v>173</v>
      </c>
      <c r="C1793" s="2" t="s">
        <v>174</v>
      </c>
      <c r="D1793" s="20">
        <v>0</v>
      </c>
      <c r="E1793" s="2" t="s">
        <v>838</v>
      </c>
      <c r="F1793" s="2" t="s">
        <v>793</v>
      </c>
      <c r="G1793" s="2" t="s">
        <v>2480</v>
      </c>
      <c r="J1793" s="26"/>
      <c r="K1793" s="36">
        <v>5.6159999999999998E-5</v>
      </c>
      <c r="L1793" s="23">
        <v>1.872E-5</v>
      </c>
    </row>
    <row r="1794" spans="1:12" ht="15.35" hidden="1" x14ac:dyDescent="0.55000000000000004">
      <c r="A1794" s="20">
        <v>9318</v>
      </c>
      <c r="B1794" s="2" t="s">
        <v>173</v>
      </c>
      <c r="C1794" s="2" t="s">
        <v>174</v>
      </c>
      <c r="D1794" s="20">
        <v>0</v>
      </c>
      <c r="E1794" s="2" t="s">
        <v>838</v>
      </c>
      <c r="F1794" s="2" t="s">
        <v>793</v>
      </c>
      <c r="G1794" s="2" t="s">
        <v>1708</v>
      </c>
      <c r="H1794" s="2" t="s">
        <v>866</v>
      </c>
      <c r="J1794" s="26"/>
      <c r="K1794" s="36">
        <v>1.9658700000000002E-3</v>
      </c>
      <c r="L1794" s="23">
        <v>6.5529E-4</v>
      </c>
    </row>
    <row r="1795" spans="1:12" ht="15.35" hidden="1" x14ac:dyDescent="0.55000000000000004">
      <c r="A1795" s="20">
        <v>9614</v>
      </c>
      <c r="B1795" s="2" t="s">
        <v>173</v>
      </c>
      <c r="C1795" s="2" t="s">
        <v>174</v>
      </c>
      <c r="D1795" s="20">
        <v>0</v>
      </c>
      <c r="E1795" s="2" t="s">
        <v>838</v>
      </c>
      <c r="F1795" s="2" t="s">
        <v>811</v>
      </c>
      <c r="G1795" s="2" t="s">
        <v>1712</v>
      </c>
      <c r="H1795" s="2" t="s">
        <v>1062</v>
      </c>
      <c r="J1795" s="26"/>
      <c r="K1795" s="36">
        <v>1.2480999999999999E-4</v>
      </c>
      <c r="L1795" s="23">
        <v>4.1600000000000002E-5</v>
      </c>
    </row>
    <row r="1796" spans="1:12" ht="15.35" hidden="1" x14ac:dyDescent="0.55000000000000004">
      <c r="A1796" s="20">
        <v>9606</v>
      </c>
      <c r="B1796" s="2" t="s">
        <v>173</v>
      </c>
      <c r="C1796" s="2" t="s">
        <v>174</v>
      </c>
      <c r="D1796" s="20">
        <v>0</v>
      </c>
      <c r="E1796" s="2" t="s">
        <v>838</v>
      </c>
      <c r="F1796" s="2" t="s">
        <v>811</v>
      </c>
      <c r="G1796" s="2" t="s">
        <v>1713</v>
      </c>
      <c r="H1796" s="2" t="s">
        <v>1062</v>
      </c>
      <c r="J1796" s="26"/>
      <c r="K1796" s="36">
        <v>7.8009999999999993E-5</v>
      </c>
      <c r="L1796" s="23">
        <v>2.5999999999999998E-5</v>
      </c>
    </row>
    <row r="1797" spans="1:12" ht="15.35" hidden="1" x14ac:dyDescent="0.55000000000000004">
      <c r="A1797" s="20">
        <v>9608</v>
      </c>
      <c r="B1797" s="2" t="s">
        <v>173</v>
      </c>
      <c r="C1797" s="2" t="s">
        <v>174</v>
      </c>
      <c r="D1797" s="20">
        <v>0</v>
      </c>
      <c r="E1797" s="2" t="s">
        <v>838</v>
      </c>
      <c r="F1797" s="2" t="s">
        <v>811</v>
      </c>
      <c r="G1797" s="2" t="s">
        <v>1715</v>
      </c>
      <c r="H1797" s="2" t="s">
        <v>1062</v>
      </c>
      <c r="J1797" s="26"/>
      <c r="K1797" s="36">
        <v>1.2480999999999999E-4</v>
      </c>
      <c r="L1797" s="23">
        <v>4.1600000000000002E-5</v>
      </c>
    </row>
    <row r="1798" spans="1:12" ht="15.35" x14ac:dyDescent="0.55000000000000004">
      <c r="A1798" s="20">
        <v>9597</v>
      </c>
      <c r="B1798" s="2" t="s">
        <v>173</v>
      </c>
      <c r="C1798" s="2" t="s">
        <v>174</v>
      </c>
      <c r="D1798" s="20">
        <v>0</v>
      </c>
      <c r="E1798" s="2" t="s">
        <v>838</v>
      </c>
      <c r="F1798" s="2" t="s">
        <v>811</v>
      </c>
      <c r="G1798" s="2" t="s">
        <v>2481</v>
      </c>
      <c r="J1798" s="26"/>
      <c r="K1798" s="36">
        <v>1.8722000000000001E-4</v>
      </c>
      <c r="L1798" s="23">
        <v>6.2409999999999994E-5</v>
      </c>
    </row>
    <row r="1799" spans="1:12" ht="15.35" hidden="1" x14ac:dyDescent="0.55000000000000004">
      <c r="A1799" s="20">
        <v>9610</v>
      </c>
      <c r="B1799" s="2" t="s">
        <v>173</v>
      </c>
      <c r="C1799" s="2" t="s">
        <v>174</v>
      </c>
      <c r="D1799" s="20">
        <v>0</v>
      </c>
      <c r="E1799" s="2" t="s">
        <v>838</v>
      </c>
      <c r="F1799" s="2" t="s">
        <v>811</v>
      </c>
      <c r="G1799" s="2" t="s">
        <v>1716</v>
      </c>
      <c r="H1799" s="2" t="s">
        <v>1062</v>
      </c>
      <c r="J1799" s="26"/>
      <c r="K1799" s="36">
        <v>9.3610000000000007E-5</v>
      </c>
      <c r="L1799" s="23">
        <v>3.1199999999999999E-5</v>
      </c>
    </row>
    <row r="1800" spans="1:12" ht="15.35" hidden="1" x14ac:dyDescent="0.55000000000000004">
      <c r="A1800" s="20">
        <v>9604</v>
      </c>
      <c r="B1800" s="2" t="s">
        <v>173</v>
      </c>
      <c r="C1800" s="2" t="s">
        <v>174</v>
      </c>
      <c r="D1800" s="20">
        <v>0</v>
      </c>
      <c r="E1800" s="2" t="s">
        <v>838</v>
      </c>
      <c r="F1800" s="2" t="s">
        <v>811</v>
      </c>
      <c r="G1800" s="2" t="s">
        <v>1717</v>
      </c>
      <c r="H1800" s="2" t="s">
        <v>1062</v>
      </c>
      <c r="J1800" s="26"/>
      <c r="K1800" s="36">
        <v>2.1843000000000001E-4</v>
      </c>
      <c r="L1800" s="23">
        <v>7.2810000000000003E-5</v>
      </c>
    </row>
    <row r="1801" spans="1:12" ht="15.35" x14ac:dyDescent="0.55000000000000004">
      <c r="A1801" s="20">
        <v>9609</v>
      </c>
      <c r="B1801" s="2" t="s">
        <v>173</v>
      </c>
      <c r="C1801" s="2" t="s">
        <v>174</v>
      </c>
      <c r="D1801" s="20">
        <v>0</v>
      </c>
      <c r="E1801" s="2" t="s">
        <v>838</v>
      </c>
      <c r="F1801" s="2" t="s">
        <v>811</v>
      </c>
      <c r="G1801" s="2" t="s">
        <v>2482</v>
      </c>
      <c r="J1801" s="26"/>
      <c r="K1801" s="36">
        <v>1.2480999999999999E-4</v>
      </c>
      <c r="L1801" s="23">
        <v>4.1600000000000002E-5</v>
      </c>
    </row>
    <row r="1802" spans="1:12" ht="15.35" hidden="1" x14ac:dyDescent="0.55000000000000004">
      <c r="A1802" s="20">
        <v>9594</v>
      </c>
      <c r="B1802" s="2" t="s">
        <v>173</v>
      </c>
      <c r="C1802" s="2" t="s">
        <v>174</v>
      </c>
      <c r="D1802" s="20">
        <v>0</v>
      </c>
      <c r="E1802" s="2" t="s">
        <v>838</v>
      </c>
      <c r="F1802" s="2" t="s">
        <v>811</v>
      </c>
      <c r="G1802" s="2" t="s">
        <v>1718</v>
      </c>
      <c r="H1802" s="2" t="s">
        <v>1062</v>
      </c>
      <c r="J1802" s="26"/>
      <c r="K1802" s="36">
        <v>1.2480999999999999E-4</v>
      </c>
      <c r="L1802" s="23">
        <v>4.1600000000000002E-5</v>
      </c>
    </row>
    <row r="1803" spans="1:12" ht="15.35" hidden="1" x14ac:dyDescent="0.55000000000000004">
      <c r="A1803" s="20">
        <v>9592</v>
      </c>
      <c r="B1803" s="2" t="s">
        <v>173</v>
      </c>
      <c r="C1803" s="2" t="s">
        <v>174</v>
      </c>
      <c r="D1803" s="20">
        <v>0</v>
      </c>
      <c r="E1803" s="2" t="s">
        <v>838</v>
      </c>
      <c r="F1803" s="2" t="s">
        <v>811</v>
      </c>
      <c r="G1803" s="2" t="s">
        <v>1719</v>
      </c>
      <c r="H1803" s="2" t="s">
        <v>1062</v>
      </c>
      <c r="J1803" s="26"/>
      <c r="K1803" s="36">
        <v>2.4962999999999998E-4</v>
      </c>
      <c r="L1803" s="23">
        <v>8.3209999999999998E-5</v>
      </c>
    </row>
    <row r="1804" spans="1:12" ht="15.35" hidden="1" x14ac:dyDescent="0.55000000000000004">
      <c r="A1804" s="20">
        <v>9602</v>
      </c>
      <c r="B1804" s="2" t="s">
        <v>173</v>
      </c>
      <c r="C1804" s="2" t="s">
        <v>174</v>
      </c>
      <c r="D1804" s="20">
        <v>0</v>
      </c>
      <c r="E1804" s="2" t="s">
        <v>838</v>
      </c>
      <c r="F1804" s="2" t="s">
        <v>811</v>
      </c>
      <c r="G1804" s="2" t="s">
        <v>1720</v>
      </c>
      <c r="H1804" s="2" t="s">
        <v>1062</v>
      </c>
      <c r="J1804" s="26"/>
      <c r="K1804" s="36">
        <v>1.2480999999999999E-4</v>
      </c>
      <c r="L1804" s="23">
        <v>4.1600000000000002E-5</v>
      </c>
    </row>
    <row r="1805" spans="1:12" ht="15.35" x14ac:dyDescent="0.55000000000000004">
      <c r="A1805" s="20">
        <v>9607</v>
      </c>
      <c r="B1805" s="2" t="s">
        <v>173</v>
      </c>
      <c r="C1805" s="2" t="s">
        <v>174</v>
      </c>
      <c r="D1805" s="20">
        <v>0</v>
      </c>
      <c r="E1805" s="2" t="s">
        <v>838</v>
      </c>
      <c r="F1805" s="2" t="s">
        <v>811</v>
      </c>
      <c r="G1805" s="2" t="s">
        <v>2483</v>
      </c>
      <c r="J1805" s="26"/>
      <c r="K1805" s="36">
        <v>1.2480999999999999E-4</v>
      </c>
      <c r="L1805" s="23">
        <v>4.1600000000000002E-5</v>
      </c>
    </row>
    <row r="1806" spans="1:12" ht="15.35" hidden="1" x14ac:dyDescent="0.55000000000000004">
      <c r="A1806" s="20">
        <v>9603</v>
      </c>
      <c r="B1806" s="2" t="s">
        <v>173</v>
      </c>
      <c r="C1806" s="2" t="s">
        <v>174</v>
      </c>
      <c r="D1806" s="20">
        <v>0</v>
      </c>
      <c r="E1806" s="2" t="s">
        <v>838</v>
      </c>
      <c r="F1806" s="2" t="s">
        <v>811</v>
      </c>
      <c r="G1806" s="2" t="s">
        <v>1722</v>
      </c>
      <c r="H1806" s="2" t="s">
        <v>1062</v>
      </c>
      <c r="J1806" s="26"/>
      <c r="K1806" s="36">
        <v>1.7474E-4</v>
      </c>
      <c r="L1806" s="23">
        <v>5.825E-5</v>
      </c>
    </row>
    <row r="1807" spans="1:12" ht="15.35" hidden="1" x14ac:dyDescent="0.55000000000000004">
      <c r="A1807" s="20">
        <v>9598</v>
      </c>
      <c r="B1807" s="2" t="s">
        <v>173</v>
      </c>
      <c r="C1807" s="2" t="s">
        <v>174</v>
      </c>
      <c r="D1807" s="20">
        <v>0</v>
      </c>
      <c r="E1807" s="2" t="s">
        <v>838</v>
      </c>
      <c r="F1807" s="2" t="s">
        <v>811</v>
      </c>
      <c r="G1807" s="2" t="s">
        <v>1725</v>
      </c>
      <c r="H1807" s="2" t="s">
        <v>1062</v>
      </c>
      <c r="J1807" s="26"/>
      <c r="K1807" s="36">
        <v>1.997E-4</v>
      </c>
      <c r="L1807" s="23">
        <v>6.6569999999999995E-5</v>
      </c>
    </row>
    <row r="1808" spans="1:12" ht="15.35" hidden="1" x14ac:dyDescent="0.55000000000000004">
      <c r="A1808" s="20">
        <v>9599</v>
      </c>
      <c r="B1808" s="2" t="s">
        <v>173</v>
      </c>
      <c r="C1808" s="2" t="s">
        <v>174</v>
      </c>
      <c r="D1808" s="20">
        <v>0</v>
      </c>
      <c r="E1808" s="2" t="s">
        <v>838</v>
      </c>
      <c r="F1808" s="2" t="s">
        <v>811</v>
      </c>
      <c r="G1808" s="2" t="s">
        <v>1726</v>
      </c>
      <c r="H1808" s="2" t="s">
        <v>1062</v>
      </c>
      <c r="J1808" s="26"/>
      <c r="K1808" s="36">
        <v>9.3610000000000007E-5</v>
      </c>
      <c r="L1808" s="23">
        <v>3.1199999999999999E-5</v>
      </c>
    </row>
    <row r="1809" spans="1:12" ht="15.35" x14ac:dyDescent="0.55000000000000004">
      <c r="A1809" s="20">
        <v>9601</v>
      </c>
      <c r="B1809" s="2" t="s">
        <v>173</v>
      </c>
      <c r="C1809" s="2" t="s">
        <v>174</v>
      </c>
      <c r="D1809" s="20">
        <v>0</v>
      </c>
      <c r="E1809" s="2" t="s">
        <v>838</v>
      </c>
      <c r="F1809" s="2" t="s">
        <v>811</v>
      </c>
      <c r="G1809" s="2" t="s">
        <v>2484</v>
      </c>
      <c r="J1809" s="26"/>
      <c r="K1809" s="36">
        <v>3.0580000000000001E-4</v>
      </c>
      <c r="L1809" s="23">
        <v>1.0192999999999999E-4</v>
      </c>
    </row>
    <row r="1810" spans="1:12" ht="15.35" x14ac:dyDescent="0.55000000000000004">
      <c r="A1810" s="20">
        <v>9600</v>
      </c>
      <c r="B1810" s="2" t="s">
        <v>173</v>
      </c>
      <c r="C1810" s="2" t="s">
        <v>174</v>
      </c>
      <c r="D1810" s="20">
        <v>0</v>
      </c>
      <c r="E1810" s="2" t="s">
        <v>838</v>
      </c>
      <c r="F1810" s="2" t="s">
        <v>811</v>
      </c>
      <c r="G1810" s="2" t="s">
        <v>2485</v>
      </c>
      <c r="J1810" s="26"/>
      <c r="K1810" s="36">
        <v>1.2480999999999999E-4</v>
      </c>
      <c r="L1810" s="23">
        <v>4.1600000000000002E-5</v>
      </c>
    </row>
    <row r="1811" spans="1:12" ht="15.35" hidden="1" x14ac:dyDescent="0.55000000000000004">
      <c r="A1811" s="20">
        <v>9605</v>
      </c>
      <c r="B1811" s="2" t="s">
        <v>173</v>
      </c>
      <c r="C1811" s="2" t="s">
        <v>174</v>
      </c>
      <c r="D1811" s="20">
        <v>0</v>
      </c>
      <c r="E1811" s="2" t="s">
        <v>838</v>
      </c>
      <c r="F1811" s="2" t="s">
        <v>811</v>
      </c>
      <c r="G1811" s="2" t="s">
        <v>1727</v>
      </c>
      <c r="H1811" s="2" t="s">
        <v>1062</v>
      </c>
      <c r="J1811" s="26"/>
      <c r="K1811" s="36">
        <v>4.6806000000000001E-4</v>
      </c>
      <c r="L1811" s="23">
        <v>1.5601999999999999E-4</v>
      </c>
    </row>
    <row r="1812" spans="1:12" ht="15.35" hidden="1" x14ac:dyDescent="0.55000000000000004">
      <c r="A1812" s="20">
        <v>9611</v>
      </c>
      <c r="B1812" s="2" t="s">
        <v>173</v>
      </c>
      <c r="C1812" s="2" t="s">
        <v>174</v>
      </c>
      <c r="D1812" s="20">
        <v>0</v>
      </c>
      <c r="E1812" s="2" t="s">
        <v>838</v>
      </c>
      <c r="F1812" s="2" t="s">
        <v>811</v>
      </c>
      <c r="G1812" s="2" t="s">
        <v>1728</v>
      </c>
      <c r="H1812" s="2" t="s">
        <v>1062</v>
      </c>
      <c r="J1812" s="26"/>
      <c r="K1812" s="36">
        <v>4.6806000000000001E-4</v>
      </c>
      <c r="L1812" s="23">
        <v>1.5601999999999999E-4</v>
      </c>
    </row>
    <row r="1813" spans="1:12" ht="15.35" hidden="1" x14ac:dyDescent="0.55000000000000004">
      <c r="A1813" s="20">
        <v>9595</v>
      </c>
      <c r="B1813" s="2" t="s">
        <v>173</v>
      </c>
      <c r="C1813" s="2" t="s">
        <v>174</v>
      </c>
      <c r="D1813" s="20">
        <v>0</v>
      </c>
      <c r="E1813" s="2" t="s">
        <v>838</v>
      </c>
      <c r="F1813" s="2" t="s">
        <v>811</v>
      </c>
      <c r="G1813" s="2" t="s">
        <v>1730</v>
      </c>
      <c r="H1813" s="2" t="s">
        <v>1062</v>
      </c>
      <c r="J1813" s="26"/>
      <c r="K1813" s="36">
        <v>1.5601999999999999E-4</v>
      </c>
      <c r="L1813" s="23">
        <v>5.2009999999999998E-5</v>
      </c>
    </row>
    <row r="1814" spans="1:12" ht="15.35" hidden="1" x14ac:dyDescent="0.55000000000000004">
      <c r="A1814" s="20">
        <v>9613</v>
      </c>
      <c r="B1814" s="2" t="s">
        <v>173</v>
      </c>
      <c r="C1814" s="2" t="s">
        <v>174</v>
      </c>
      <c r="D1814" s="20">
        <v>0</v>
      </c>
      <c r="E1814" s="2" t="s">
        <v>838</v>
      </c>
      <c r="F1814" s="2" t="s">
        <v>811</v>
      </c>
      <c r="G1814" s="2" t="s">
        <v>1731</v>
      </c>
      <c r="H1814" s="2" t="s">
        <v>1062</v>
      </c>
      <c r="J1814" s="26"/>
      <c r="K1814" s="36">
        <v>9.9850000000000001E-5</v>
      </c>
      <c r="L1814" s="23">
        <v>3.328E-5</v>
      </c>
    </row>
    <row r="1815" spans="1:12" ht="15.35" x14ac:dyDescent="0.55000000000000004">
      <c r="A1815" s="20">
        <v>9612</v>
      </c>
      <c r="B1815" s="2" t="s">
        <v>173</v>
      </c>
      <c r="C1815" s="2" t="s">
        <v>174</v>
      </c>
      <c r="D1815" s="20">
        <v>0</v>
      </c>
      <c r="E1815" s="2" t="s">
        <v>838</v>
      </c>
      <c r="F1815" s="2" t="s">
        <v>811</v>
      </c>
      <c r="G1815" s="2" t="s">
        <v>2486</v>
      </c>
      <c r="J1815" s="26"/>
      <c r="K1815" s="36">
        <v>8.7369999999999999E-5</v>
      </c>
      <c r="L1815" s="23">
        <v>2.9119999999999999E-5</v>
      </c>
    </row>
    <row r="1816" spans="1:12" ht="15.35" x14ac:dyDescent="0.55000000000000004">
      <c r="A1816" s="20">
        <v>9596</v>
      </c>
      <c r="B1816" s="2" t="s">
        <v>173</v>
      </c>
      <c r="C1816" s="2" t="s">
        <v>174</v>
      </c>
      <c r="D1816" s="20">
        <v>0</v>
      </c>
      <c r="E1816" s="2" t="s">
        <v>838</v>
      </c>
      <c r="F1816" s="2" t="s">
        <v>811</v>
      </c>
      <c r="G1816" s="2" t="s">
        <v>2487</v>
      </c>
      <c r="J1816" s="26"/>
      <c r="K1816" s="36">
        <v>8.7369999999999999E-5</v>
      </c>
      <c r="L1816" s="23">
        <v>2.9119999999999999E-5</v>
      </c>
    </row>
    <row r="1817" spans="1:12" ht="15.35" x14ac:dyDescent="0.55000000000000004">
      <c r="A1817" s="20">
        <v>9518</v>
      </c>
      <c r="B1817" s="2" t="s">
        <v>173</v>
      </c>
      <c r="C1817" s="2" t="s">
        <v>174</v>
      </c>
      <c r="D1817" s="20">
        <v>0</v>
      </c>
      <c r="E1817" s="2" t="s">
        <v>838</v>
      </c>
      <c r="F1817" s="2" t="s">
        <v>783</v>
      </c>
      <c r="G1817" s="2" t="s">
        <v>2488</v>
      </c>
      <c r="J1817" s="26"/>
      <c r="K1817" s="36">
        <v>4.6799999999999999E-5</v>
      </c>
      <c r="L1817" s="23">
        <v>1.56E-5</v>
      </c>
    </row>
    <row r="1818" spans="1:12" ht="15.35" x14ac:dyDescent="0.55000000000000004">
      <c r="A1818" s="20">
        <v>9517</v>
      </c>
      <c r="B1818" s="2" t="s">
        <v>173</v>
      </c>
      <c r="C1818" s="2" t="s">
        <v>174</v>
      </c>
      <c r="D1818" s="20">
        <v>0</v>
      </c>
      <c r="E1818" s="2" t="s">
        <v>838</v>
      </c>
      <c r="F1818" s="2" t="s">
        <v>783</v>
      </c>
      <c r="G1818" s="2" t="s">
        <v>2489</v>
      </c>
      <c r="J1818" s="26"/>
      <c r="K1818" s="36">
        <v>3.1199999999999999E-5</v>
      </c>
      <c r="L1818" s="23">
        <v>1.04E-5</v>
      </c>
    </row>
    <row r="1819" spans="1:12" ht="15.35" x14ac:dyDescent="0.55000000000000004">
      <c r="A1819" s="20">
        <v>9230</v>
      </c>
      <c r="B1819" s="2" t="s">
        <v>173</v>
      </c>
      <c r="C1819" s="2" t="s">
        <v>174</v>
      </c>
      <c r="D1819" s="20">
        <v>0</v>
      </c>
      <c r="E1819" s="2" t="s">
        <v>838</v>
      </c>
      <c r="F1819" s="2" t="s">
        <v>789</v>
      </c>
      <c r="G1819" s="2" t="s">
        <v>2490</v>
      </c>
      <c r="J1819" s="26"/>
      <c r="K1819" s="36">
        <v>1.9658700000000002E-3</v>
      </c>
      <c r="L1819" s="23">
        <v>6.5529E-4</v>
      </c>
    </row>
    <row r="1820" spans="1:12" ht="15.35" hidden="1" x14ac:dyDescent="0.55000000000000004">
      <c r="A1820" s="20">
        <v>9028</v>
      </c>
      <c r="B1820" s="2" t="s">
        <v>173</v>
      </c>
      <c r="C1820" s="2" t="s">
        <v>174</v>
      </c>
      <c r="D1820" s="20">
        <v>0</v>
      </c>
      <c r="E1820" s="2" t="s">
        <v>838</v>
      </c>
      <c r="F1820" s="2" t="s">
        <v>793</v>
      </c>
      <c r="G1820" s="2" t="s">
        <v>2491</v>
      </c>
      <c r="H1820" s="2" t="s">
        <v>1155</v>
      </c>
      <c r="J1820" s="26"/>
      <c r="K1820" s="36">
        <v>9.0489999999999996E-5</v>
      </c>
      <c r="L1820" s="23">
        <v>3.0159999999999999E-5</v>
      </c>
    </row>
    <row r="1821" spans="1:12" ht="15.35" hidden="1" x14ac:dyDescent="0.55000000000000004">
      <c r="A1821" s="20">
        <v>9029</v>
      </c>
      <c r="B1821" s="2" t="s">
        <v>173</v>
      </c>
      <c r="C1821" s="2" t="s">
        <v>174</v>
      </c>
      <c r="D1821" s="20">
        <v>0</v>
      </c>
      <c r="E1821" s="2" t="s">
        <v>838</v>
      </c>
      <c r="F1821" s="2" t="s">
        <v>793</v>
      </c>
      <c r="G1821" s="2" t="s">
        <v>2492</v>
      </c>
      <c r="H1821" s="2" t="s">
        <v>1155</v>
      </c>
      <c r="J1821" s="26"/>
      <c r="K1821" s="36">
        <v>5.6159999999999998E-5</v>
      </c>
      <c r="L1821" s="23">
        <v>1.872E-5</v>
      </c>
    </row>
    <row r="1822" spans="1:12" ht="15.35" hidden="1" x14ac:dyDescent="0.55000000000000004">
      <c r="A1822" s="20">
        <v>9030</v>
      </c>
      <c r="B1822" s="2" t="s">
        <v>173</v>
      </c>
      <c r="C1822" s="2" t="s">
        <v>174</v>
      </c>
      <c r="D1822" s="20">
        <v>0</v>
      </c>
      <c r="E1822" s="2" t="s">
        <v>838</v>
      </c>
      <c r="F1822" s="2" t="s">
        <v>793</v>
      </c>
      <c r="G1822" s="2" t="s">
        <v>2493</v>
      </c>
      <c r="H1822" s="2" t="s">
        <v>1155</v>
      </c>
      <c r="J1822" s="26"/>
      <c r="K1822" s="36">
        <v>1.6382199999999999E-3</v>
      </c>
      <c r="L1822" s="23">
        <v>5.4606999999999995E-4</v>
      </c>
    </row>
    <row r="1823" spans="1:12" ht="15.35" hidden="1" x14ac:dyDescent="0.55000000000000004">
      <c r="A1823" s="20">
        <v>9025</v>
      </c>
      <c r="B1823" s="2" t="s">
        <v>173</v>
      </c>
      <c r="C1823" s="2" t="s">
        <v>174</v>
      </c>
      <c r="D1823" s="20">
        <v>0</v>
      </c>
      <c r="E1823" s="2" t="s">
        <v>838</v>
      </c>
      <c r="F1823" s="2" t="s">
        <v>793</v>
      </c>
      <c r="G1823" s="2" t="s">
        <v>2494</v>
      </c>
      <c r="H1823" s="2" t="s">
        <v>1155</v>
      </c>
      <c r="J1823" s="26"/>
      <c r="K1823" s="36">
        <v>5.9911999999999997E-4</v>
      </c>
      <c r="L1823" s="23">
        <v>1.9971E-4</v>
      </c>
    </row>
    <row r="1824" spans="1:12" ht="15.35" hidden="1" x14ac:dyDescent="0.55000000000000004">
      <c r="A1824" s="20">
        <v>9026</v>
      </c>
      <c r="B1824" s="2" t="s">
        <v>173</v>
      </c>
      <c r="C1824" s="2" t="s">
        <v>174</v>
      </c>
      <c r="D1824" s="20">
        <v>0</v>
      </c>
      <c r="E1824" s="2" t="s">
        <v>838</v>
      </c>
      <c r="F1824" s="2" t="s">
        <v>793</v>
      </c>
      <c r="G1824" s="2" t="s">
        <v>2495</v>
      </c>
      <c r="H1824" s="2" t="s">
        <v>1155</v>
      </c>
      <c r="J1824" s="26"/>
      <c r="K1824" s="36">
        <v>2.7147E-4</v>
      </c>
      <c r="L1824" s="23">
        <v>9.0489999999999996E-5</v>
      </c>
    </row>
    <row r="1825" spans="1:12" ht="15.35" hidden="1" x14ac:dyDescent="0.55000000000000004">
      <c r="A1825" s="20">
        <v>9027</v>
      </c>
      <c r="B1825" s="2" t="s">
        <v>173</v>
      </c>
      <c r="C1825" s="2" t="s">
        <v>174</v>
      </c>
      <c r="D1825" s="20">
        <v>0</v>
      </c>
      <c r="E1825" s="2" t="s">
        <v>838</v>
      </c>
      <c r="F1825" s="2" t="s">
        <v>793</v>
      </c>
      <c r="G1825" s="2" t="s">
        <v>2496</v>
      </c>
      <c r="H1825" s="2" t="s">
        <v>1155</v>
      </c>
      <c r="J1825" s="26"/>
      <c r="K1825" s="36">
        <v>1.3417E-4</v>
      </c>
      <c r="L1825" s="23">
        <v>4.4719999999999999E-5</v>
      </c>
    </row>
    <row r="1826" spans="1:12" ht="15.35" hidden="1" x14ac:dyDescent="0.55000000000000004">
      <c r="A1826" s="20">
        <v>9024</v>
      </c>
      <c r="B1826" s="2" t="s">
        <v>173</v>
      </c>
      <c r="C1826" s="2" t="s">
        <v>174</v>
      </c>
      <c r="D1826" s="20">
        <v>0</v>
      </c>
      <c r="E1826" s="2" t="s">
        <v>838</v>
      </c>
      <c r="F1826" s="2" t="s">
        <v>787</v>
      </c>
      <c r="G1826" s="2" t="s">
        <v>1735</v>
      </c>
      <c r="H1826" s="2" t="s">
        <v>1155</v>
      </c>
      <c r="J1826" s="26"/>
      <c r="K1826" s="36">
        <v>1.9658700000000002E-3</v>
      </c>
      <c r="L1826" s="23">
        <v>6.5529E-4</v>
      </c>
    </row>
    <row r="1827" spans="1:12" ht="15.35" hidden="1" x14ac:dyDescent="0.55000000000000004">
      <c r="A1827" s="20">
        <v>9432</v>
      </c>
      <c r="B1827" s="2" t="s">
        <v>173</v>
      </c>
      <c r="C1827" s="2" t="s">
        <v>174</v>
      </c>
      <c r="D1827" s="20">
        <v>0</v>
      </c>
      <c r="E1827" s="2" t="s">
        <v>838</v>
      </c>
      <c r="F1827" s="2" t="s">
        <v>848</v>
      </c>
      <c r="G1827" s="2" t="s">
        <v>1736</v>
      </c>
      <c r="H1827" s="2" t="s">
        <v>1158</v>
      </c>
      <c r="J1827" s="26"/>
      <c r="K1827" s="36">
        <v>1.9658700000000002E-3</v>
      </c>
      <c r="L1827" s="23">
        <v>6.5529E-4</v>
      </c>
    </row>
    <row r="1828" spans="1:12" ht="15.35" hidden="1" x14ac:dyDescent="0.55000000000000004">
      <c r="A1828" s="20">
        <v>9038</v>
      </c>
      <c r="B1828" s="2" t="s">
        <v>173</v>
      </c>
      <c r="C1828" s="2" t="s">
        <v>174</v>
      </c>
      <c r="D1828" s="20">
        <v>0</v>
      </c>
      <c r="E1828" s="2" t="s">
        <v>838</v>
      </c>
      <c r="F1828" s="2" t="s">
        <v>848</v>
      </c>
      <c r="G1828" s="2" t="s">
        <v>1737</v>
      </c>
      <c r="H1828" s="2" t="s">
        <v>1160</v>
      </c>
      <c r="J1828" s="26"/>
      <c r="K1828" s="36">
        <v>1.4978000000000001E-3</v>
      </c>
      <c r="L1828" s="23">
        <v>4.9927000000000001E-4</v>
      </c>
    </row>
    <row r="1829" spans="1:12" ht="15.35" hidden="1" x14ac:dyDescent="0.55000000000000004">
      <c r="A1829" s="20">
        <v>9568</v>
      </c>
      <c r="B1829" s="2" t="s">
        <v>173</v>
      </c>
      <c r="C1829" s="2" t="s">
        <v>174</v>
      </c>
      <c r="D1829" s="20">
        <v>0</v>
      </c>
      <c r="E1829" s="2" t="s">
        <v>838</v>
      </c>
      <c r="F1829" s="2" t="s">
        <v>848</v>
      </c>
      <c r="G1829" s="2" t="s">
        <v>2497</v>
      </c>
      <c r="H1829" s="2" t="s">
        <v>2498</v>
      </c>
      <c r="J1829" s="26"/>
      <c r="K1829" s="36">
        <v>1.9658700000000002E-3</v>
      </c>
      <c r="L1829" s="23">
        <v>6.5529E-4</v>
      </c>
    </row>
    <row r="1830" spans="1:12" ht="15.35" hidden="1" x14ac:dyDescent="0.55000000000000004">
      <c r="A1830" s="20">
        <v>9059</v>
      </c>
      <c r="B1830" s="2" t="s">
        <v>173</v>
      </c>
      <c r="C1830" s="2" t="s">
        <v>174</v>
      </c>
      <c r="D1830" s="20">
        <v>0</v>
      </c>
      <c r="E1830" s="2" t="s">
        <v>838</v>
      </c>
      <c r="F1830" s="2" t="s">
        <v>848</v>
      </c>
      <c r="G1830" s="2" t="s">
        <v>1738</v>
      </c>
      <c r="H1830" s="2" t="s">
        <v>1739</v>
      </c>
      <c r="J1830" s="26"/>
      <c r="K1830" s="36">
        <v>1.9658700000000002E-3</v>
      </c>
      <c r="L1830" s="23">
        <v>6.5529E-4</v>
      </c>
    </row>
    <row r="1831" spans="1:12" ht="15.35" hidden="1" x14ac:dyDescent="0.55000000000000004">
      <c r="A1831" s="20">
        <v>9644</v>
      </c>
      <c r="B1831" s="2" t="s">
        <v>173</v>
      </c>
      <c r="C1831" s="2" t="s">
        <v>174</v>
      </c>
      <c r="D1831" s="20">
        <v>0</v>
      </c>
      <c r="E1831" s="2" t="s">
        <v>838</v>
      </c>
      <c r="F1831" s="2" t="s">
        <v>811</v>
      </c>
      <c r="G1831" s="2" t="s">
        <v>1740</v>
      </c>
      <c r="H1831" s="2" t="s">
        <v>1741</v>
      </c>
      <c r="J1831" s="26"/>
      <c r="K1831" s="36">
        <v>2.9020000000000001E-4</v>
      </c>
      <c r="L1831" s="23">
        <v>9.6730000000000004E-5</v>
      </c>
    </row>
    <row r="1832" spans="1:12" ht="15.35" hidden="1" x14ac:dyDescent="0.55000000000000004">
      <c r="A1832" s="20">
        <v>9076</v>
      </c>
      <c r="B1832" s="2" t="s">
        <v>173</v>
      </c>
      <c r="C1832" s="2" t="s">
        <v>174</v>
      </c>
      <c r="D1832" s="20">
        <v>0</v>
      </c>
      <c r="E1832" s="2" t="s">
        <v>838</v>
      </c>
      <c r="F1832" s="2" t="s">
        <v>793</v>
      </c>
      <c r="G1832" s="2" t="s">
        <v>2499</v>
      </c>
      <c r="H1832" s="2" t="s">
        <v>1161</v>
      </c>
      <c r="J1832" s="26"/>
      <c r="K1832" s="36">
        <v>3.1199999999999999E-5</v>
      </c>
      <c r="L1832" s="23">
        <v>1.04E-5</v>
      </c>
    </row>
    <row r="1833" spans="1:12" ht="15.35" hidden="1" x14ac:dyDescent="0.55000000000000004">
      <c r="A1833" s="20">
        <v>9073</v>
      </c>
      <c r="B1833" s="2" t="s">
        <v>173</v>
      </c>
      <c r="C1833" s="2" t="s">
        <v>174</v>
      </c>
      <c r="D1833" s="20">
        <v>0</v>
      </c>
      <c r="E1833" s="2" t="s">
        <v>838</v>
      </c>
      <c r="F1833" s="2" t="s">
        <v>793</v>
      </c>
      <c r="G1833" s="2" t="s">
        <v>2500</v>
      </c>
      <c r="H1833" s="2" t="s">
        <v>1161</v>
      </c>
      <c r="J1833" s="26"/>
      <c r="K1833" s="36">
        <v>3.7440000000000001E-5</v>
      </c>
      <c r="L1833" s="23">
        <v>1.2480000000000001E-5</v>
      </c>
    </row>
    <row r="1834" spans="1:12" ht="15.35" hidden="1" x14ac:dyDescent="0.55000000000000004">
      <c r="A1834" s="20">
        <v>9072</v>
      </c>
      <c r="B1834" s="2" t="s">
        <v>173</v>
      </c>
      <c r="C1834" s="2" t="s">
        <v>174</v>
      </c>
      <c r="D1834" s="20">
        <v>0</v>
      </c>
      <c r="E1834" s="2" t="s">
        <v>838</v>
      </c>
      <c r="F1834" s="2" t="s">
        <v>793</v>
      </c>
      <c r="G1834" s="2" t="s">
        <v>2501</v>
      </c>
      <c r="H1834" s="2" t="s">
        <v>1161</v>
      </c>
      <c r="J1834" s="26"/>
      <c r="K1834" s="36">
        <v>7.1760000000000004E-5</v>
      </c>
      <c r="L1834" s="23">
        <v>2.3920000000000001E-5</v>
      </c>
    </row>
    <row r="1835" spans="1:12" ht="15.35" hidden="1" x14ac:dyDescent="0.55000000000000004">
      <c r="A1835" s="20">
        <v>9071</v>
      </c>
      <c r="B1835" s="2" t="s">
        <v>173</v>
      </c>
      <c r="C1835" s="2" t="s">
        <v>174</v>
      </c>
      <c r="D1835" s="20">
        <v>0</v>
      </c>
      <c r="E1835" s="2" t="s">
        <v>838</v>
      </c>
      <c r="F1835" s="2" t="s">
        <v>848</v>
      </c>
      <c r="G1835" s="2" t="s">
        <v>2502</v>
      </c>
      <c r="H1835" s="2" t="s">
        <v>1161</v>
      </c>
      <c r="J1835" s="26"/>
      <c r="K1835" s="36">
        <v>1.9658700000000002E-3</v>
      </c>
      <c r="L1835" s="23">
        <v>6.5529E-4</v>
      </c>
    </row>
    <row r="1836" spans="1:12" ht="15.35" hidden="1" x14ac:dyDescent="0.55000000000000004">
      <c r="A1836" s="20">
        <v>9075</v>
      </c>
      <c r="B1836" s="2" t="s">
        <v>173</v>
      </c>
      <c r="C1836" s="2" t="s">
        <v>174</v>
      </c>
      <c r="D1836" s="20">
        <v>0</v>
      </c>
      <c r="E1836" s="2" t="s">
        <v>838</v>
      </c>
      <c r="F1836" s="2" t="s">
        <v>793</v>
      </c>
      <c r="G1836" s="2" t="s">
        <v>2503</v>
      </c>
      <c r="H1836" s="2" t="s">
        <v>1161</v>
      </c>
      <c r="J1836" s="26"/>
      <c r="K1836" s="36">
        <v>6.5519999999999996E-5</v>
      </c>
      <c r="L1836" s="23">
        <v>2.1840000000000001E-5</v>
      </c>
    </row>
    <row r="1837" spans="1:12" ht="15.35" hidden="1" x14ac:dyDescent="0.55000000000000004">
      <c r="A1837" s="20">
        <v>9074</v>
      </c>
      <c r="B1837" s="2" t="s">
        <v>173</v>
      </c>
      <c r="C1837" s="2" t="s">
        <v>174</v>
      </c>
      <c r="D1837" s="20">
        <v>0</v>
      </c>
      <c r="E1837" s="2" t="s">
        <v>838</v>
      </c>
      <c r="F1837" s="2" t="s">
        <v>793</v>
      </c>
      <c r="G1837" s="2" t="s">
        <v>2504</v>
      </c>
      <c r="H1837" s="2" t="s">
        <v>1161</v>
      </c>
      <c r="J1837" s="26"/>
      <c r="K1837" s="36">
        <v>4.6799999999999999E-5</v>
      </c>
      <c r="L1837" s="23">
        <v>1.56E-5</v>
      </c>
    </row>
    <row r="1838" spans="1:12" ht="15.35" hidden="1" x14ac:dyDescent="0.55000000000000004">
      <c r="A1838" s="20">
        <v>9050</v>
      </c>
      <c r="B1838" s="2" t="s">
        <v>173</v>
      </c>
      <c r="C1838" s="2" t="s">
        <v>174</v>
      </c>
      <c r="D1838" s="20">
        <v>0</v>
      </c>
      <c r="E1838" s="2" t="s">
        <v>838</v>
      </c>
      <c r="F1838" s="2" t="s">
        <v>848</v>
      </c>
      <c r="G1838" s="2" t="s">
        <v>1744</v>
      </c>
      <c r="H1838" s="2" t="s">
        <v>1164</v>
      </c>
      <c r="J1838" s="26"/>
      <c r="K1838" s="36">
        <v>1.9658700000000002E-3</v>
      </c>
      <c r="L1838" s="23">
        <v>6.5529E-4</v>
      </c>
    </row>
    <row r="1839" spans="1:12" ht="15.35" hidden="1" x14ac:dyDescent="0.55000000000000004">
      <c r="A1839" s="20">
        <v>9177</v>
      </c>
      <c r="B1839" s="2" t="s">
        <v>173</v>
      </c>
      <c r="C1839" s="2" t="s">
        <v>174</v>
      </c>
      <c r="D1839" s="20">
        <v>0</v>
      </c>
      <c r="E1839" s="2" t="s">
        <v>838</v>
      </c>
      <c r="F1839" s="2" t="s">
        <v>789</v>
      </c>
      <c r="G1839" s="2" t="s">
        <v>1745</v>
      </c>
      <c r="H1839" s="2" t="s">
        <v>1746</v>
      </c>
      <c r="J1839" s="26"/>
      <c r="K1839" s="36">
        <v>5.8976000000000005E-4</v>
      </c>
      <c r="L1839" s="23">
        <v>1.9659000000000001E-4</v>
      </c>
    </row>
    <row r="1840" spans="1:12" ht="15.35" hidden="1" x14ac:dyDescent="0.55000000000000004">
      <c r="A1840" s="20">
        <v>9339</v>
      </c>
      <c r="B1840" s="2" t="s">
        <v>173</v>
      </c>
      <c r="C1840" s="2" t="s">
        <v>174</v>
      </c>
      <c r="D1840" s="20">
        <v>0</v>
      </c>
      <c r="E1840" s="2" t="s">
        <v>838</v>
      </c>
      <c r="F1840" s="2" t="s">
        <v>793</v>
      </c>
      <c r="G1840" s="2" t="s">
        <v>2505</v>
      </c>
      <c r="H1840" s="2" t="s">
        <v>1166</v>
      </c>
      <c r="J1840" s="26"/>
      <c r="K1840" s="36">
        <v>5.6159999999999998E-5</v>
      </c>
      <c r="L1840" s="23">
        <v>1.872E-5</v>
      </c>
    </row>
    <row r="1841" spans="1:12" ht="15.35" hidden="1" x14ac:dyDescent="0.55000000000000004">
      <c r="A1841" s="20">
        <v>9341</v>
      </c>
      <c r="B1841" s="2" t="s">
        <v>173</v>
      </c>
      <c r="C1841" s="2" t="s">
        <v>174</v>
      </c>
      <c r="D1841" s="20">
        <v>0</v>
      </c>
      <c r="E1841" s="2" t="s">
        <v>838</v>
      </c>
      <c r="F1841" s="2" t="s">
        <v>793</v>
      </c>
      <c r="G1841" s="2" t="s">
        <v>2506</v>
      </c>
      <c r="H1841" s="2" t="s">
        <v>1166</v>
      </c>
      <c r="J1841" s="26"/>
      <c r="K1841" s="36">
        <v>5.6159999999999998E-5</v>
      </c>
      <c r="L1841" s="23">
        <v>1.872E-5</v>
      </c>
    </row>
    <row r="1842" spans="1:12" ht="15.35" hidden="1" x14ac:dyDescent="0.55000000000000004">
      <c r="A1842" s="20">
        <v>9340</v>
      </c>
      <c r="B1842" s="2" t="s">
        <v>173</v>
      </c>
      <c r="C1842" s="2" t="s">
        <v>174</v>
      </c>
      <c r="D1842" s="20">
        <v>0</v>
      </c>
      <c r="E1842" s="2" t="s">
        <v>838</v>
      </c>
      <c r="F1842" s="2" t="s">
        <v>793</v>
      </c>
      <c r="G1842" s="2" t="s">
        <v>2507</v>
      </c>
      <c r="H1842" s="2" t="s">
        <v>1166</v>
      </c>
      <c r="J1842" s="26"/>
      <c r="K1842" s="36">
        <v>8.1130000000000004E-5</v>
      </c>
      <c r="L1842" s="23">
        <v>2.7039999999999999E-5</v>
      </c>
    </row>
    <row r="1843" spans="1:12" ht="15.35" hidden="1" x14ac:dyDescent="0.55000000000000004">
      <c r="A1843" s="20">
        <v>9342</v>
      </c>
      <c r="B1843" s="2" t="s">
        <v>173</v>
      </c>
      <c r="C1843" s="2" t="s">
        <v>174</v>
      </c>
      <c r="D1843" s="20">
        <v>0</v>
      </c>
      <c r="E1843" s="2" t="s">
        <v>838</v>
      </c>
      <c r="F1843" s="2" t="s">
        <v>793</v>
      </c>
      <c r="G1843" s="2" t="s">
        <v>2508</v>
      </c>
      <c r="H1843" s="2" t="s">
        <v>1166</v>
      </c>
      <c r="J1843" s="26"/>
      <c r="K1843" s="36">
        <v>5.6159999999999998E-5</v>
      </c>
      <c r="L1843" s="23">
        <v>1.872E-5</v>
      </c>
    </row>
    <row r="1844" spans="1:12" ht="15.35" hidden="1" x14ac:dyDescent="0.55000000000000004">
      <c r="A1844" s="20">
        <v>9343</v>
      </c>
      <c r="B1844" s="2" t="s">
        <v>173</v>
      </c>
      <c r="C1844" s="2" t="s">
        <v>174</v>
      </c>
      <c r="D1844" s="20">
        <v>0</v>
      </c>
      <c r="E1844" s="2" t="s">
        <v>838</v>
      </c>
      <c r="F1844" s="2" t="s">
        <v>793</v>
      </c>
      <c r="G1844" s="2" t="s">
        <v>2509</v>
      </c>
      <c r="H1844" s="2" t="s">
        <v>1166</v>
      </c>
      <c r="J1844" s="26"/>
      <c r="K1844" s="36">
        <v>5.6159999999999998E-5</v>
      </c>
      <c r="L1844" s="23">
        <v>1.872E-5</v>
      </c>
    </row>
    <row r="1845" spans="1:12" ht="15.35" hidden="1" x14ac:dyDescent="0.55000000000000004">
      <c r="A1845" s="20">
        <v>9338</v>
      </c>
      <c r="B1845" s="2" t="s">
        <v>173</v>
      </c>
      <c r="C1845" s="2" t="s">
        <v>174</v>
      </c>
      <c r="D1845" s="20">
        <v>0</v>
      </c>
      <c r="E1845" s="2" t="s">
        <v>838</v>
      </c>
      <c r="F1845" s="2" t="s">
        <v>793</v>
      </c>
      <c r="G1845" s="2" t="s">
        <v>2510</v>
      </c>
      <c r="H1845" s="2" t="s">
        <v>1166</v>
      </c>
      <c r="J1845" s="26"/>
      <c r="K1845" s="36">
        <v>3.1199999999999999E-5</v>
      </c>
      <c r="L1845" s="23">
        <v>1.04E-5</v>
      </c>
    </row>
    <row r="1846" spans="1:12" ht="15.35" hidden="1" x14ac:dyDescent="0.55000000000000004">
      <c r="A1846" s="20">
        <v>9344</v>
      </c>
      <c r="B1846" s="2" t="s">
        <v>173</v>
      </c>
      <c r="C1846" s="2" t="s">
        <v>174</v>
      </c>
      <c r="D1846" s="20">
        <v>0</v>
      </c>
      <c r="E1846" s="2" t="s">
        <v>838</v>
      </c>
      <c r="F1846" s="2" t="s">
        <v>793</v>
      </c>
      <c r="G1846" s="2" t="s">
        <v>2511</v>
      </c>
      <c r="H1846" s="2" t="s">
        <v>1166</v>
      </c>
      <c r="J1846" s="26"/>
      <c r="K1846" s="36">
        <v>3.7440000000000001E-5</v>
      </c>
      <c r="L1846" s="23">
        <v>1.2480000000000001E-5</v>
      </c>
    </row>
    <row r="1847" spans="1:12" ht="15.35" hidden="1" x14ac:dyDescent="0.55000000000000004">
      <c r="A1847" s="20">
        <v>9077</v>
      </c>
      <c r="B1847" s="2" t="s">
        <v>173</v>
      </c>
      <c r="C1847" s="2" t="s">
        <v>174</v>
      </c>
      <c r="D1847" s="20">
        <v>0</v>
      </c>
      <c r="E1847" s="2" t="s">
        <v>838</v>
      </c>
      <c r="F1847" s="2" t="s">
        <v>848</v>
      </c>
      <c r="G1847" s="2" t="s">
        <v>2512</v>
      </c>
      <c r="H1847" s="2" t="s">
        <v>2513</v>
      </c>
      <c r="J1847" s="26"/>
      <c r="K1847" s="36">
        <v>1.40419E-3</v>
      </c>
      <c r="L1847" s="23">
        <v>4.6806000000000001E-4</v>
      </c>
    </row>
    <row r="1848" spans="1:12" ht="15.35" hidden="1" x14ac:dyDescent="0.55000000000000004">
      <c r="A1848" s="20">
        <v>9504</v>
      </c>
      <c r="B1848" s="2" t="s">
        <v>173</v>
      </c>
      <c r="C1848" s="2" t="s">
        <v>174</v>
      </c>
      <c r="D1848" s="20">
        <v>0</v>
      </c>
      <c r="E1848" s="2" t="s">
        <v>838</v>
      </c>
      <c r="F1848" s="2" t="s">
        <v>793</v>
      </c>
      <c r="G1848" s="2" t="s">
        <v>2514</v>
      </c>
      <c r="H1848" s="2" t="s">
        <v>2513</v>
      </c>
      <c r="J1848" s="26"/>
      <c r="K1848" s="36">
        <v>8.7369999999999999E-5</v>
      </c>
      <c r="L1848" s="23">
        <v>2.9119999999999999E-5</v>
      </c>
    </row>
    <row r="1849" spans="1:12" ht="15.35" hidden="1" x14ac:dyDescent="0.55000000000000004">
      <c r="A1849" s="20">
        <v>9503</v>
      </c>
      <c r="B1849" s="2" t="s">
        <v>173</v>
      </c>
      <c r="C1849" s="2" t="s">
        <v>174</v>
      </c>
      <c r="D1849" s="20">
        <v>0</v>
      </c>
      <c r="E1849" s="2" t="s">
        <v>838</v>
      </c>
      <c r="F1849" s="2" t="s">
        <v>793</v>
      </c>
      <c r="G1849" s="2" t="s">
        <v>2515</v>
      </c>
      <c r="H1849" s="2" t="s">
        <v>2513</v>
      </c>
      <c r="J1849" s="26"/>
      <c r="K1849" s="36">
        <v>3.1199999999999999E-5</v>
      </c>
      <c r="L1849" s="23">
        <v>1.04E-5</v>
      </c>
    </row>
    <row r="1850" spans="1:12" ht="15.35" hidden="1" x14ac:dyDescent="0.55000000000000004">
      <c r="A1850" s="20">
        <v>9501</v>
      </c>
      <c r="B1850" s="2" t="s">
        <v>173</v>
      </c>
      <c r="C1850" s="2" t="s">
        <v>174</v>
      </c>
      <c r="D1850" s="20">
        <v>0</v>
      </c>
      <c r="E1850" s="2" t="s">
        <v>838</v>
      </c>
      <c r="F1850" s="2" t="s">
        <v>793</v>
      </c>
      <c r="G1850" s="2" t="s">
        <v>2516</v>
      </c>
      <c r="H1850" s="2" t="s">
        <v>2513</v>
      </c>
      <c r="J1850" s="26"/>
      <c r="K1850" s="36">
        <v>3.1199999999999999E-5</v>
      </c>
      <c r="L1850" s="23">
        <v>1.04E-5</v>
      </c>
    </row>
    <row r="1851" spans="1:12" ht="15.35" hidden="1" x14ac:dyDescent="0.55000000000000004">
      <c r="A1851" s="20">
        <v>9502</v>
      </c>
      <c r="B1851" s="2" t="s">
        <v>173</v>
      </c>
      <c r="C1851" s="2" t="s">
        <v>174</v>
      </c>
      <c r="D1851" s="20">
        <v>0</v>
      </c>
      <c r="E1851" s="2" t="s">
        <v>838</v>
      </c>
      <c r="F1851" s="2" t="s">
        <v>793</v>
      </c>
      <c r="G1851" s="2" t="s">
        <v>2517</v>
      </c>
      <c r="H1851" s="2" t="s">
        <v>2513</v>
      </c>
      <c r="J1851" s="26"/>
      <c r="K1851" s="36">
        <v>3.1199999999999999E-5</v>
      </c>
      <c r="L1851" s="23">
        <v>1.04E-5</v>
      </c>
    </row>
    <row r="1852" spans="1:12" ht="15.35" hidden="1" x14ac:dyDescent="0.55000000000000004">
      <c r="A1852" s="20">
        <v>9500</v>
      </c>
      <c r="B1852" s="2" t="s">
        <v>173</v>
      </c>
      <c r="C1852" s="2" t="s">
        <v>174</v>
      </c>
      <c r="D1852" s="20">
        <v>0</v>
      </c>
      <c r="E1852" s="2" t="s">
        <v>838</v>
      </c>
      <c r="F1852" s="2" t="s">
        <v>793</v>
      </c>
      <c r="G1852" s="2" t="s">
        <v>2518</v>
      </c>
      <c r="H1852" s="2" t="s">
        <v>2513</v>
      </c>
      <c r="J1852" s="26"/>
      <c r="K1852" s="36">
        <v>1.4666E-3</v>
      </c>
      <c r="L1852" s="23">
        <v>4.8886999999999997E-4</v>
      </c>
    </row>
    <row r="1853" spans="1:12" ht="15.35" x14ac:dyDescent="0.55000000000000004">
      <c r="A1853" s="20">
        <v>9731</v>
      </c>
      <c r="B1853" s="2" t="s">
        <v>173</v>
      </c>
      <c r="C1853" s="2" t="s">
        <v>174</v>
      </c>
      <c r="D1853" s="20">
        <v>0</v>
      </c>
      <c r="E1853" s="2" t="s">
        <v>838</v>
      </c>
      <c r="F1853" s="2" t="s">
        <v>793</v>
      </c>
      <c r="G1853" s="2" t="s">
        <v>2519</v>
      </c>
      <c r="J1853" s="26"/>
      <c r="K1853" s="36">
        <v>6.2399999999999999E-5</v>
      </c>
      <c r="L1853" s="23">
        <v>2.0800000000000001E-5</v>
      </c>
    </row>
    <row r="1854" spans="1:12" ht="15.35" x14ac:dyDescent="0.55000000000000004">
      <c r="A1854" s="20">
        <v>9810</v>
      </c>
      <c r="B1854" s="2" t="s">
        <v>173</v>
      </c>
      <c r="C1854" s="2" t="s">
        <v>174</v>
      </c>
      <c r="D1854" s="20">
        <v>0</v>
      </c>
      <c r="E1854" s="2" t="s">
        <v>838</v>
      </c>
      <c r="F1854" s="2" t="s">
        <v>793</v>
      </c>
      <c r="G1854" s="2" t="s">
        <v>2520</v>
      </c>
      <c r="J1854" s="26"/>
      <c r="K1854" s="36">
        <v>5.6159999999999998E-5</v>
      </c>
      <c r="L1854" s="23">
        <v>1.872E-5</v>
      </c>
    </row>
    <row r="1855" spans="1:12" ht="15.35" x14ac:dyDescent="0.55000000000000004">
      <c r="A1855" s="20">
        <v>9621</v>
      </c>
      <c r="B1855" s="2" t="s">
        <v>173</v>
      </c>
      <c r="C1855" s="2" t="s">
        <v>174</v>
      </c>
      <c r="D1855" s="20">
        <v>0</v>
      </c>
      <c r="E1855" s="2" t="s">
        <v>838</v>
      </c>
      <c r="F1855" s="2" t="s">
        <v>811</v>
      </c>
      <c r="G1855" s="2" t="s">
        <v>2521</v>
      </c>
      <c r="J1855" s="26"/>
      <c r="K1855" s="36">
        <v>1.6537999999999999E-4</v>
      </c>
      <c r="L1855" s="23">
        <v>5.5130000000000002E-5</v>
      </c>
    </row>
    <row r="1856" spans="1:12" ht="15.35" x14ac:dyDescent="0.55000000000000004">
      <c r="A1856" s="20">
        <v>9622</v>
      </c>
      <c r="B1856" s="2" t="s">
        <v>173</v>
      </c>
      <c r="C1856" s="2" t="s">
        <v>174</v>
      </c>
      <c r="D1856" s="20">
        <v>0</v>
      </c>
      <c r="E1856" s="2" t="s">
        <v>838</v>
      </c>
      <c r="F1856" s="2" t="s">
        <v>811</v>
      </c>
      <c r="G1856" s="2" t="s">
        <v>2522</v>
      </c>
      <c r="J1856" s="26"/>
      <c r="K1856" s="36">
        <v>5.6159999999999998E-5</v>
      </c>
      <c r="L1856" s="23">
        <v>1.872E-5</v>
      </c>
    </row>
    <row r="1857" spans="1:12" ht="15.35" x14ac:dyDescent="0.55000000000000004">
      <c r="A1857" s="20">
        <v>9620</v>
      </c>
      <c r="B1857" s="2" t="s">
        <v>173</v>
      </c>
      <c r="C1857" s="2" t="s">
        <v>174</v>
      </c>
      <c r="D1857" s="20">
        <v>0</v>
      </c>
      <c r="E1857" s="2" t="s">
        <v>838</v>
      </c>
      <c r="F1857" s="2" t="s">
        <v>811</v>
      </c>
      <c r="G1857" s="2" t="s">
        <v>2523</v>
      </c>
      <c r="J1857" s="26"/>
      <c r="K1857" s="36">
        <v>8.7369999999999999E-5</v>
      </c>
      <c r="L1857" s="23">
        <v>2.9119999999999999E-5</v>
      </c>
    </row>
    <row r="1858" spans="1:12" ht="15.35" x14ac:dyDescent="0.55000000000000004">
      <c r="A1858" s="20">
        <v>9619</v>
      </c>
      <c r="B1858" s="2" t="s">
        <v>173</v>
      </c>
      <c r="C1858" s="2" t="s">
        <v>174</v>
      </c>
      <c r="D1858" s="20">
        <v>0</v>
      </c>
      <c r="E1858" s="2" t="s">
        <v>838</v>
      </c>
      <c r="F1858" s="2" t="s">
        <v>811</v>
      </c>
      <c r="G1858" s="2" t="s">
        <v>2524</v>
      </c>
      <c r="J1858" s="26"/>
      <c r="K1858" s="36">
        <v>3.9628999999999999E-4</v>
      </c>
      <c r="L1858" s="23">
        <v>1.3210000000000001E-4</v>
      </c>
    </row>
    <row r="1859" spans="1:12" ht="15.35" hidden="1" x14ac:dyDescent="0.55000000000000004">
      <c r="A1859" s="20">
        <v>9645</v>
      </c>
      <c r="B1859" s="2" t="s">
        <v>173</v>
      </c>
      <c r="C1859" s="2" t="s">
        <v>174</v>
      </c>
      <c r="D1859" s="20">
        <v>0</v>
      </c>
      <c r="E1859" s="2" t="s">
        <v>838</v>
      </c>
      <c r="F1859" s="2" t="s">
        <v>848</v>
      </c>
      <c r="G1859" s="2" t="s">
        <v>1172</v>
      </c>
      <c r="H1859" s="2" t="s">
        <v>1172</v>
      </c>
      <c r="J1859" s="26"/>
      <c r="K1859" s="36">
        <v>1.2480999999999999E-4</v>
      </c>
      <c r="L1859" s="23">
        <v>4.1600000000000002E-5</v>
      </c>
    </row>
    <row r="1860" spans="1:12" ht="15.35" x14ac:dyDescent="0.55000000000000004">
      <c r="A1860" s="20">
        <v>9520</v>
      </c>
      <c r="B1860" s="2" t="s">
        <v>173</v>
      </c>
      <c r="C1860" s="2" t="s">
        <v>174</v>
      </c>
      <c r="D1860" s="20">
        <v>0</v>
      </c>
      <c r="E1860" s="2" t="s">
        <v>838</v>
      </c>
      <c r="F1860" s="2" t="s">
        <v>783</v>
      </c>
      <c r="G1860" s="2" t="s">
        <v>2525</v>
      </c>
      <c r="J1860" s="26"/>
      <c r="K1860" s="36">
        <v>4.0559999999999998E-5</v>
      </c>
      <c r="L1860" s="23">
        <v>1.3519999999999999E-5</v>
      </c>
    </row>
    <row r="1861" spans="1:12" ht="15.35" x14ac:dyDescent="0.55000000000000004">
      <c r="A1861" s="20">
        <v>9521</v>
      </c>
      <c r="B1861" s="2" t="s">
        <v>173</v>
      </c>
      <c r="C1861" s="2" t="s">
        <v>174</v>
      </c>
      <c r="D1861" s="20">
        <v>0</v>
      </c>
      <c r="E1861" s="2" t="s">
        <v>838</v>
      </c>
      <c r="F1861" s="2" t="s">
        <v>783</v>
      </c>
      <c r="G1861" s="2" t="s">
        <v>2526</v>
      </c>
      <c r="J1861" s="26"/>
      <c r="K1861" s="36">
        <v>3.1199999999999999E-5</v>
      </c>
      <c r="L1861" s="23">
        <v>1.04E-5</v>
      </c>
    </row>
    <row r="1862" spans="1:12" ht="15.35" x14ac:dyDescent="0.55000000000000004">
      <c r="A1862" s="20">
        <v>9527</v>
      </c>
      <c r="B1862" s="2" t="s">
        <v>173</v>
      </c>
      <c r="C1862" s="2" t="s">
        <v>174</v>
      </c>
      <c r="D1862" s="20">
        <v>0</v>
      </c>
      <c r="E1862" s="2" t="s">
        <v>838</v>
      </c>
      <c r="F1862" s="2" t="s">
        <v>811</v>
      </c>
      <c r="G1862" s="2" t="s">
        <v>2527</v>
      </c>
      <c r="J1862" s="26"/>
      <c r="K1862" s="36">
        <v>4.0559999999999998E-5</v>
      </c>
      <c r="L1862" s="23">
        <v>1.3519999999999999E-5</v>
      </c>
    </row>
    <row r="1863" spans="1:12" ht="15.35" x14ac:dyDescent="0.55000000000000004">
      <c r="A1863" s="20">
        <v>9514</v>
      </c>
      <c r="B1863" s="2" t="s">
        <v>173</v>
      </c>
      <c r="C1863" s="2" t="s">
        <v>174</v>
      </c>
      <c r="D1863" s="20">
        <v>0</v>
      </c>
      <c r="E1863" s="2" t="s">
        <v>838</v>
      </c>
      <c r="F1863" s="2" t="s">
        <v>783</v>
      </c>
      <c r="G1863" s="2" t="s">
        <v>2528</v>
      </c>
      <c r="J1863" s="26"/>
      <c r="K1863" s="36">
        <v>3.1199999999999999E-5</v>
      </c>
      <c r="L1863" s="23">
        <v>1.04E-5</v>
      </c>
    </row>
    <row r="1864" spans="1:12" ht="15.35" x14ac:dyDescent="0.55000000000000004">
      <c r="A1864" s="20">
        <v>9515</v>
      </c>
      <c r="B1864" s="2" t="s">
        <v>173</v>
      </c>
      <c r="C1864" s="2" t="s">
        <v>174</v>
      </c>
      <c r="D1864" s="20">
        <v>0</v>
      </c>
      <c r="E1864" s="2" t="s">
        <v>838</v>
      </c>
      <c r="F1864" s="2" t="s">
        <v>783</v>
      </c>
      <c r="G1864" s="2" t="s">
        <v>2529</v>
      </c>
      <c r="J1864" s="26"/>
      <c r="K1864" s="36">
        <v>3.1199999999999999E-5</v>
      </c>
      <c r="L1864" s="23">
        <v>1.04E-5</v>
      </c>
    </row>
    <row r="1865" spans="1:12" ht="15.35" x14ac:dyDescent="0.55000000000000004">
      <c r="A1865" s="20">
        <v>9516</v>
      </c>
      <c r="B1865" s="2" t="s">
        <v>173</v>
      </c>
      <c r="C1865" s="2" t="s">
        <v>174</v>
      </c>
      <c r="D1865" s="20">
        <v>0</v>
      </c>
      <c r="E1865" s="2" t="s">
        <v>838</v>
      </c>
      <c r="F1865" s="2" t="s">
        <v>783</v>
      </c>
      <c r="G1865" s="2" t="s">
        <v>2530</v>
      </c>
      <c r="J1865" s="26"/>
      <c r="K1865" s="36">
        <v>3.1199999999999999E-5</v>
      </c>
      <c r="L1865" s="23">
        <v>1.04E-5</v>
      </c>
    </row>
    <row r="1866" spans="1:12" ht="15.35" hidden="1" x14ac:dyDescent="0.55000000000000004">
      <c r="A1866" s="20">
        <v>9021</v>
      </c>
      <c r="B1866" s="2" t="s">
        <v>173</v>
      </c>
      <c r="C1866" s="2" t="s">
        <v>174</v>
      </c>
      <c r="D1866" s="20">
        <v>0</v>
      </c>
      <c r="E1866" s="2" t="s">
        <v>838</v>
      </c>
      <c r="F1866" s="2" t="s">
        <v>848</v>
      </c>
      <c r="G1866" s="2" t="s">
        <v>2531</v>
      </c>
      <c r="H1866" s="2" t="s">
        <v>2532</v>
      </c>
      <c r="J1866" s="26"/>
      <c r="K1866" s="36">
        <v>1.9658700000000002E-3</v>
      </c>
      <c r="L1866" s="23">
        <v>6.5529E-4</v>
      </c>
    </row>
    <row r="1867" spans="1:12" ht="15.35" hidden="1" x14ac:dyDescent="0.55000000000000004">
      <c r="A1867" s="20">
        <v>9214</v>
      </c>
      <c r="B1867" s="2" t="s">
        <v>173</v>
      </c>
      <c r="C1867" s="2" t="s">
        <v>174</v>
      </c>
      <c r="D1867" s="20">
        <v>0</v>
      </c>
      <c r="E1867" s="2" t="s">
        <v>838</v>
      </c>
      <c r="F1867" s="2" t="s">
        <v>789</v>
      </c>
      <c r="G1867" s="2" t="s">
        <v>1787</v>
      </c>
      <c r="H1867" s="2" t="s">
        <v>1788</v>
      </c>
      <c r="J1867" s="26"/>
      <c r="K1867" s="36">
        <v>9.9850000000000001E-5</v>
      </c>
      <c r="L1867" s="23">
        <v>3.328E-5</v>
      </c>
    </row>
    <row r="1868" spans="1:12" ht="15.35" hidden="1" x14ac:dyDescent="0.55000000000000004">
      <c r="A1868" s="20">
        <v>9285</v>
      </c>
      <c r="B1868" s="2" t="s">
        <v>173</v>
      </c>
      <c r="C1868" s="2" t="s">
        <v>174</v>
      </c>
      <c r="D1868" s="20">
        <v>0</v>
      </c>
      <c r="E1868" s="2" t="s">
        <v>838</v>
      </c>
      <c r="F1868" s="2" t="s">
        <v>789</v>
      </c>
      <c r="G1868" s="2" t="s">
        <v>2533</v>
      </c>
      <c r="H1868" s="2" t="s">
        <v>2534</v>
      </c>
      <c r="J1868" s="26"/>
      <c r="K1868" s="36">
        <v>1.9658700000000002E-3</v>
      </c>
      <c r="L1868" s="23">
        <v>6.5529E-4</v>
      </c>
    </row>
    <row r="1869" spans="1:12" ht="15.35" hidden="1" x14ac:dyDescent="0.55000000000000004">
      <c r="A1869" s="20">
        <v>9287</v>
      </c>
      <c r="B1869" s="2" t="s">
        <v>173</v>
      </c>
      <c r="C1869" s="2" t="s">
        <v>174</v>
      </c>
      <c r="D1869" s="20">
        <v>0</v>
      </c>
      <c r="E1869" s="2" t="s">
        <v>838</v>
      </c>
      <c r="F1869" s="2" t="s">
        <v>789</v>
      </c>
      <c r="G1869" s="2" t="s">
        <v>2535</v>
      </c>
      <c r="H1869" s="2" t="s">
        <v>2534</v>
      </c>
      <c r="J1869" s="26"/>
      <c r="K1869" s="36">
        <v>1.9658700000000002E-3</v>
      </c>
      <c r="L1869" s="23">
        <v>6.5529E-4</v>
      </c>
    </row>
    <row r="1870" spans="1:12" ht="15.35" hidden="1" x14ac:dyDescent="0.55000000000000004">
      <c r="A1870" s="20">
        <v>9286</v>
      </c>
      <c r="B1870" s="2" t="s">
        <v>173</v>
      </c>
      <c r="C1870" s="2" t="s">
        <v>174</v>
      </c>
      <c r="D1870" s="20">
        <v>0</v>
      </c>
      <c r="E1870" s="2" t="s">
        <v>838</v>
      </c>
      <c r="F1870" s="2" t="s">
        <v>789</v>
      </c>
      <c r="G1870" s="2" t="s">
        <v>2536</v>
      </c>
      <c r="H1870" s="2" t="s">
        <v>2534</v>
      </c>
      <c r="J1870" s="26"/>
      <c r="K1870" s="36">
        <v>1.9658700000000002E-3</v>
      </c>
      <c r="L1870" s="23">
        <v>6.5529E-4</v>
      </c>
    </row>
    <row r="1871" spans="1:12" ht="15.35" hidden="1" x14ac:dyDescent="0.55000000000000004">
      <c r="A1871" s="20">
        <v>9288</v>
      </c>
      <c r="B1871" s="2" t="s">
        <v>173</v>
      </c>
      <c r="C1871" s="2" t="s">
        <v>174</v>
      </c>
      <c r="D1871" s="20">
        <v>0</v>
      </c>
      <c r="E1871" s="2" t="s">
        <v>838</v>
      </c>
      <c r="F1871" s="2" t="s">
        <v>789</v>
      </c>
      <c r="G1871" s="2" t="s">
        <v>2537</v>
      </c>
      <c r="H1871" s="2" t="s">
        <v>2534</v>
      </c>
      <c r="J1871" s="26"/>
      <c r="K1871" s="36">
        <v>1.9658700000000002E-3</v>
      </c>
      <c r="L1871" s="23">
        <v>6.5529E-4</v>
      </c>
    </row>
    <row r="1872" spans="1:12" ht="15.35" hidden="1" x14ac:dyDescent="0.55000000000000004">
      <c r="A1872" s="20">
        <v>9284</v>
      </c>
      <c r="B1872" s="2" t="s">
        <v>173</v>
      </c>
      <c r="C1872" s="2" t="s">
        <v>174</v>
      </c>
      <c r="D1872" s="20">
        <v>0</v>
      </c>
      <c r="E1872" s="2" t="s">
        <v>838</v>
      </c>
      <c r="F1872" s="2" t="s">
        <v>789</v>
      </c>
      <c r="G1872" s="2" t="s">
        <v>2538</v>
      </c>
      <c r="H1872" s="2" t="s">
        <v>2539</v>
      </c>
      <c r="J1872" s="26"/>
      <c r="K1872" s="36">
        <v>1.9658700000000002E-3</v>
      </c>
      <c r="L1872" s="23">
        <v>6.5529E-4</v>
      </c>
    </row>
    <row r="1873" spans="1:12" ht="15.35" x14ac:dyDescent="0.55000000000000004">
      <c r="A1873" s="20">
        <v>9653</v>
      </c>
      <c r="B1873" s="2" t="s">
        <v>173</v>
      </c>
      <c r="C1873" s="2" t="s">
        <v>174</v>
      </c>
      <c r="D1873" s="20">
        <v>0</v>
      </c>
      <c r="E1873" s="2" t="s">
        <v>838</v>
      </c>
      <c r="F1873" s="2" t="s">
        <v>811</v>
      </c>
      <c r="G1873" s="2" t="s">
        <v>2540</v>
      </c>
      <c r="J1873" s="26"/>
      <c r="K1873" s="36">
        <v>8.1130000000000004E-5</v>
      </c>
      <c r="L1873" s="23">
        <v>2.7039999999999999E-5</v>
      </c>
    </row>
    <row r="1874" spans="1:12" ht="15.35" x14ac:dyDescent="0.55000000000000004">
      <c r="A1874" s="20">
        <v>9654</v>
      </c>
      <c r="B1874" s="2" t="s">
        <v>173</v>
      </c>
      <c r="C1874" s="2" t="s">
        <v>174</v>
      </c>
      <c r="D1874" s="20">
        <v>0</v>
      </c>
      <c r="E1874" s="2" t="s">
        <v>838</v>
      </c>
      <c r="F1874" s="2" t="s">
        <v>811</v>
      </c>
      <c r="G1874" s="2" t="s">
        <v>2541</v>
      </c>
      <c r="J1874" s="26"/>
      <c r="K1874" s="36">
        <v>9.9850000000000001E-5</v>
      </c>
      <c r="L1874" s="23">
        <v>3.328E-5</v>
      </c>
    </row>
    <row r="1875" spans="1:12" ht="15.35" x14ac:dyDescent="0.55000000000000004">
      <c r="A1875" s="20">
        <v>9655</v>
      </c>
      <c r="B1875" s="2" t="s">
        <v>173</v>
      </c>
      <c r="C1875" s="2" t="s">
        <v>174</v>
      </c>
      <c r="D1875" s="20">
        <v>0</v>
      </c>
      <c r="E1875" s="2" t="s">
        <v>838</v>
      </c>
      <c r="F1875" s="2" t="s">
        <v>811</v>
      </c>
      <c r="G1875" s="2" t="s">
        <v>2542</v>
      </c>
      <c r="J1875" s="26"/>
      <c r="K1875" s="36">
        <v>1.8722000000000001E-4</v>
      </c>
      <c r="L1875" s="23">
        <v>6.2409999999999994E-5</v>
      </c>
    </row>
    <row r="1876" spans="1:12" ht="15.35" hidden="1" x14ac:dyDescent="0.55000000000000004">
      <c r="A1876" s="20">
        <v>9048</v>
      </c>
      <c r="B1876" s="2" t="s">
        <v>173</v>
      </c>
      <c r="C1876" s="2" t="s">
        <v>174</v>
      </c>
      <c r="D1876" s="20">
        <v>0</v>
      </c>
      <c r="E1876" s="2" t="s">
        <v>838</v>
      </c>
      <c r="F1876" s="2" t="s">
        <v>848</v>
      </c>
      <c r="G1876" s="2" t="s">
        <v>1797</v>
      </c>
      <c r="H1876" s="2" t="s">
        <v>1179</v>
      </c>
      <c r="J1876" s="26"/>
      <c r="K1876" s="36">
        <v>1.9658700000000002E-3</v>
      </c>
      <c r="L1876" s="23">
        <v>6.5529E-4</v>
      </c>
    </row>
    <row r="1877" spans="1:12" ht="15.35" hidden="1" x14ac:dyDescent="0.55000000000000004">
      <c r="A1877" s="20">
        <v>1425</v>
      </c>
      <c r="B1877" s="2" t="s">
        <v>197</v>
      </c>
      <c r="C1877" s="2" t="s">
        <v>198</v>
      </c>
      <c r="D1877" s="20">
        <v>0</v>
      </c>
      <c r="E1877" s="2" t="s">
        <v>63</v>
      </c>
      <c r="F1877" s="2" t="s">
        <v>793</v>
      </c>
      <c r="G1877" s="2" t="s">
        <v>2543</v>
      </c>
      <c r="H1877" s="2" t="s">
        <v>2544</v>
      </c>
      <c r="I1877" s="2" t="s">
        <v>785</v>
      </c>
      <c r="J1877" s="25">
        <v>46633</v>
      </c>
      <c r="K1877" s="36">
        <v>0.06</v>
      </c>
      <c r="L1877" s="23">
        <v>6.0000000000000001E-3</v>
      </c>
    </row>
    <row r="1878" spans="1:12" ht="15.35" hidden="1" x14ac:dyDescent="0.55000000000000004">
      <c r="A1878" s="20">
        <v>1437</v>
      </c>
      <c r="B1878" s="2" t="s">
        <v>197</v>
      </c>
      <c r="C1878" s="2" t="s">
        <v>198</v>
      </c>
      <c r="D1878" s="20">
        <v>0</v>
      </c>
      <c r="E1878" s="2" t="s">
        <v>63</v>
      </c>
      <c r="F1878" s="2" t="s">
        <v>793</v>
      </c>
      <c r="G1878" s="2" t="s">
        <v>2545</v>
      </c>
      <c r="H1878" s="2" t="s">
        <v>904</v>
      </c>
      <c r="I1878" s="2" t="s">
        <v>785</v>
      </c>
      <c r="J1878" s="25">
        <v>46633</v>
      </c>
      <c r="K1878" s="36">
        <v>0.04</v>
      </c>
      <c r="L1878" s="23">
        <v>4.0000000000000001E-3</v>
      </c>
    </row>
    <row r="1879" spans="1:12" ht="15.35" hidden="1" x14ac:dyDescent="0.55000000000000004">
      <c r="A1879" s="20">
        <v>1426</v>
      </c>
      <c r="B1879" s="2" t="s">
        <v>197</v>
      </c>
      <c r="C1879" s="2" t="s">
        <v>198</v>
      </c>
      <c r="D1879" s="20">
        <v>0</v>
      </c>
      <c r="E1879" s="2" t="s">
        <v>63</v>
      </c>
      <c r="F1879" s="2" t="s">
        <v>787</v>
      </c>
      <c r="G1879" s="2" t="s">
        <v>788</v>
      </c>
      <c r="H1879" s="2" t="s">
        <v>788</v>
      </c>
      <c r="I1879" s="2" t="s">
        <v>785</v>
      </c>
      <c r="J1879" s="25">
        <v>46633</v>
      </c>
      <c r="K1879" s="36">
        <v>7.0000000000000007E-2</v>
      </c>
      <c r="L1879" s="23">
        <v>7.0000000000000001E-3</v>
      </c>
    </row>
    <row r="1880" spans="1:12" ht="15.35" hidden="1" x14ac:dyDescent="0.55000000000000004">
      <c r="A1880" s="20">
        <v>1450</v>
      </c>
      <c r="B1880" s="2" t="s">
        <v>197</v>
      </c>
      <c r="C1880" s="2" t="s">
        <v>198</v>
      </c>
      <c r="D1880" s="20">
        <v>0</v>
      </c>
      <c r="E1880" s="2" t="s">
        <v>63</v>
      </c>
      <c r="F1880" s="2" t="s">
        <v>787</v>
      </c>
      <c r="G1880" s="2" t="s">
        <v>968</v>
      </c>
      <c r="H1880" s="2" t="s">
        <v>968</v>
      </c>
      <c r="I1880" s="2" t="s">
        <v>785</v>
      </c>
      <c r="J1880" s="25">
        <v>46633</v>
      </c>
      <c r="K1880" s="36">
        <v>0.17</v>
      </c>
      <c r="L1880" s="23">
        <v>1.7000000000000001E-2</v>
      </c>
    </row>
    <row r="1881" spans="1:12" ht="15.35" hidden="1" x14ac:dyDescent="0.55000000000000004">
      <c r="A1881" s="20">
        <v>1442</v>
      </c>
      <c r="B1881" s="2" t="s">
        <v>197</v>
      </c>
      <c r="C1881" s="2" t="s">
        <v>198</v>
      </c>
      <c r="D1881" s="20">
        <v>0</v>
      </c>
      <c r="E1881" s="2" t="s">
        <v>63</v>
      </c>
      <c r="F1881" s="2" t="s">
        <v>783</v>
      </c>
      <c r="G1881" s="2" t="s">
        <v>1180</v>
      </c>
      <c r="H1881" s="2" t="s">
        <v>1180</v>
      </c>
      <c r="I1881" s="2" t="s">
        <v>785</v>
      </c>
      <c r="J1881" s="25">
        <v>46633</v>
      </c>
      <c r="K1881" s="36">
        <v>0.25</v>
      </c>
      <c r="L1881" s="23">
        <v>2.5000000000000001E-2</v>
      </c>
    </row>
    <row r="1882" spans="1:12" ht="15.35" hidden="1" x14ac:dyDescent="0.55000000000000004">
      <c r="A1882" s="20">
        <v>1431</v>
      </c>
      <c r="B1882" s="2" t="s">
        <v>197</v>
      </c>
      <c r="C1882" s="2" t="s">
        <v>198</v>
      </c>
      <c r="D1882" s="20">
        <v>0</v>
      </c>
      <c r="E1882" s="2" t="s">
        <v>63</v>
      </c>
      <c r="F1882" s="2" t="s">
        <v>798</v>
      </c>
      <c r="G1882" s="2" t="s">
        <v>2546</v>
      </c>
      <c r="H1882" s="2" t="s">
        <v>802</v>
      </c>
      <c r="I1882" s="2" t="s">
        <v>785</v>
      </c>
      <c r="J1882" s="25">
        <v>46633</v>
      </c>
      <c r="K1882" s="36">
        <v>0.1</v>
      </c>
      <c r="L1882" s="23">
        <v>0.01</v>
      </c>
    </row>
    <row r="1883" spans="1:12" ht="15.35" hidden="1" x14ac:dyDescent="0.55000000000000004">
      <c r="A1883" s="20">
        <v>1453</v>
      </c>
      <c r="B1883" s="2" t="s">
        <v>197</v>
      </c>
      <c r="C1883" s="2" t="s">
        <v>198</v>
      </c>
      <c r="D1883" s="20">
        <v>0</v>
      </c>
      <c r="E1883" s="2" t="s">
        <v>63</v>
      </c>
      <c r="F1883" s="2" t="s">
        <v>798</v>
      </c>
      <c r="G1883" s="2" t="s">
        <v>2547</v>
      </c>
      <c r="H1883" s="2" t="s">
        <v>802</v>
      </c>
      <c r="I1883" s="2" t="s">
        <v>785</v>
      </c>
      <c r="J1883" s="25">
        <v>46633</v>
      </c>
      <c r="K1883" s="36">
        <v>0.12</v>
      </c>
      <c r="L1883" s="23">
        <v>1.2E-2</v>
      </c>
    </row>
    <row r="1884" spans="1:12" ht="15.35" hidden="1" x14ac:dyDescent="0.55000000000000004">
      <c r="A1884" s="20">
        <v>1447</v>
      </c>
      <c r="B1884" s="2" t="s">
        <v>197</v>
      </c>
      <c r="C1884" s="2" t="s">
        <v>198</v>
      </c>
      <c r="D1884" s="20">
        <v>0</v>
      </c>
      <c r="E1884" s="2" t="s">
        <v>63</v>
      </c>
      <c r="F1884" s="2" t="s">
        <v>807</v>
      </c>
      <c r="G1884" s="2" t="s">
        <v>2548</v>
      </c>
      <c r="H1884" s="2" t="s">
        <v>2548</v>
      </c>
      <c r="I1884" s="2" t="s">
        <v>809</v>
      </c>
      <c r="J1884" s="25">
        <v>47364</v>
      </c>
      <c r="K1884" s="36">
        <v>0.32</v>
      </c>
      <c r="L1884" s="23">
        <v>3.2000000000000001E-2</v>
      </c>
    </row>
    <row r="1885" spans="1:12" ht="15.35" hidden="1" x14ac:dyDescent="0.55000000000000004">
      <c r="A1885" s="20">
        <v>1432</v>
      </c>
      <c r="B1885" s="2" t="s">
        <v>197</v>
      </c>
      <c r="C1885" s="2" t="s">
        <v>198</v>
      </c>
      <c r="D1885" s="20">
        <v>0</v>
      </c>
      <c r="E1885" s="2" t="s">
        <v>63</v>
      </c>
      <c r="F1885" s="2" t="s">
        <v>807</v>
      </c>
      <c r="G1885" s="2" t="s">
        <v>2549</v>
      </c>
      <c r="H1885" s="2" t="s">
        <v>2549</v>
      </c>
      <c r="I1885" s="2" t="s">
        <v>785</v>
      </c>
      <c r="J1885" s="25">
        <v>46633</v>
      </c>
      <c r="K1885" s="36">
        <v>0.1</v>
      </c>
      <c r="L1885" s="23">
        <v>0.01</v>
      </c>
    </row>
    <row r="1886" spans="1:12" ht="15.35" hidden="1" x14ac:dyDescent="0.55000000000000004">
      <c r="A1886" s="20">
        <v>1433</v>
      </c>
      <c r="B1886" s="2" t="s">
        <v>197</v>
      </c>
      <c r="C1886" s="2" t="s">
        <v>198</v>
      </c>
      <c r="D1886" s="20">
        <v>0</v>
      </c>
      <c r="E1886" s="2" t="s">
        <v>63</v>
      </c>
      <c r="F1886" s="2" t="s">
        <v>798</v>
      </c>
      <c r="G1886" s="2" t="s">
        <v>2550</v>
      </c>
      <c r="H1886" s="2" t="s">
        <v>2551</v>
      </c>
      <c r="I1886" s="2" t="s">
        <v>785</v>
      </c>
      <c r="J1886" s="25">
        <v>46633</v>
      </c>
      <c r="K1886" s="36">
        <v>0.1</v>
      </c>
      <c r="L1886" s="23">
        <v>0.01</v>
      </c>
    </row>
    <row r="1887" spans="1:12" ht="15.35" hidden="1" x14ac:dyDescent="0.55000000000000004">
      <c r="A1887" s="20">
        <v>1443</v>
      </c>
      <c r="B1887" s="2" t="s">
        <v>197</v>
      </c>
      <c r="C1887" s="2" t="s">
        <v>198</v>
      </c>
      <c r="D1887" s="20">
        <v>0</v>
      </c>
      <c r="E1887" s="2" t="s">
        <v>63</v>
      </c>
      <c r="F1887" s="2" t="s">
        <v>811</v>
      </c>
      <c r="G1887" s="2" t="s">
        <v>2552</v>
      </c>
      <c r="H1887" s="2" t="s">
        <v>2552</v>
      </c>
      <c r="I1887" s="2" t="s">
        <v>785</v>
      </c>
      <c r="J1887" s="25">
        <v>46633</v>
      </c>
      <c r="K1887" s="36">
        <v>0.28000000000000003</v>
      </c>
      <c r="L1887" s="23">
        <v>2.8000000000000001E-2</v>
      </c>
    </row>
    <row r="1888" spans="1:12" ht="15.35" hidden="1" x14ac:dyDescent="0.55000000000000004">
      <c r="A1888" s="20">
        <v>1445</v>
      </c>
      <c r="B1888" s="2" t="s">
        <v>197</v>
      </c>
      <c r="C1888" s="2" t="s">
        <v>198</v>
      </c>
      <c r="D1888" s="20">
        <v>0</v>
      </c>
      <c r="E1888" s="2" t="s">
        <v>63</v>
      </c>
      <c r="F1888" s="2" t="s">
        <v>807</v>
      </c>
      <c r="G1888" s="2" t="s">
        <v>2553</v>
      </c>
      <c r="H1888" s="2" t="s">
        <v>2553</v>
      </c>
      <c r="I1888" s="2" t="s">
        <v>809</v>
      </c>
      <c r="J1888" s="25">
        <v>47364</v>
      </c>
      <c r="K1888" s="36">
        <v>0.2</v>
      </c>
      <c r="L1888" s="23">
        <v>0.02</v>
      </c>
    </row>
    <row r="1889" spans="1:12" ht="15.35" hidden="1" x14ac:dyDescent="0.55000000000000004">
      <c r="A1889" s="20">
        <v>1449</v>
      </c>
      <c r="B1889" s="2" t="s">
        <v>197</v>
      </c>
      <c r="C1889" s="2" t="s">
        <v>198</v>
      </c>
      <c r="D1889" s="20">
        <v>0</v>
      </c>
      <c r="E1889" s="2" t="s">
        <v>63</v>
      </c>
      <c r="F1889" s="2" t="s">
        <v>807</v>
      </c>
      <c r="G1889" s="2" t="s">
        <v>2554</v>
      </c>
      <c r="H1889" s="2" t="s">
        <v>2554</v>
      </c>
      <c r="I1889" s="2" t="s">
        <v>809</v>
      </c>
      <c r="J1889" s="25">
        <v>47364</v>
      </c>
      <c r="K1889" s="36">
        <v>0.81</v>
      </c>
      <c r="L1889" s="23">
        <v>8.1000000000000003E-2</v>
      </c>
    </row>
    <row r="1890" spans="1:12" ht="15.35" hidden="1" x14ac:dyDescent="0.55000000000000004">
      <c r="A1890" s="20">
        <v>1452</v>
      </c>
      <c r="B1890" s="2" t="s">
        <v>197</v>
      </c>
      <c r="C1890" s="2" t="s">
        <v>198</v>
      </c>
      <c r="D1890" s="20">
        <v>0</v>
      </c>
      <c r="E1890" s="2" t="s">
        <v>63</v>
      </c>
      <c r="F1890" s="2" t="s">
        <v>807</v>
      </c>
      <c r="G1890" s="2" t="s">
        <v>2555</v>
      </c>
      <c r="H1890" s="2" t="s">
        <v>2555</v>
      </c>
      <c r="I1890" s="2" t="s">
        <v>809</v>
      </c>
      <c r="J1890" s="25">
        <v>48094</v>
      </c>
      <c r="K1890" s="36">
        <v>2</v>
      </c>
      <c r="L1890" s="23">
        <v>0.2</v>
      </c>
    </row>
    <row r="1891" spans="1:12" ht="15.35" hidden="1" x14ac:dyDescent="0.55000000000000004">
      <c r="A1891" s="20">
        <v>1448</v>
      </c>
      <c r="B1891" s="2" t="s">
        <v>197</v>
      </c>
      <c r="C1891" s="2" t="s">
        <v>198</v>
      </c>
      <c r="D1891" s="20">
        <v>0</v>
      </c>
      <c r="E1891" s="2" t="s">
        <v>63</v>
      </c>
      <c r="F1891" s="2" t="s">
        <v>807</v>
      </c>
      <c r="G1891" s="2" t="s">
        <v>2556</v>
      </c>
      <c r="H1891" s="2" t="s">
        <v>2556</v>
      </c>
      <c r="I1891" s="2" t="s">
        <v>809</v>
      </c>
      <c r="J1891" s="25">
        <v>47364</v>
      </c>
      <c r="K1891" s="36">
        <v>0.32</v>
      </c>
      <c r="L1891" s="23">
        <v>3.2000000000000001E-2</v>
      </c>
    </row>
    <row r="1892" spans="1:12" ht="15.35" hidden="1" x14ac:dyDescent="0.55000000000000004">
      <c r="A1892" s="20">
        <v>1427</v>
      </c>
      <c r="B1892" s="2" t="s">
        <v>197</v>
      </c>
      <c r="C1892" s="2" t="s">
        <v>198</v>
      </c>
      <c r="D1892" s="20">
        <v>0</v>
      </c>
      <c r="E1892" s="2" t="s">
        <v>63</v>
      </c>
      <c r="F1892" s="2" t="s">
        <v>811</v>
      </c>
      <c r="G1892" s="2" t="s">
        <v>2557</v>
      </c>
      <c r="H1892" s="2" t="s">
        <v>2557</v>
      </c>
      <c r="I1892" s="2" t="s">
        <v>785</v>
      </c>
      <c r="J1892" s="25">
        <v>46633</v>
      </c>
      <c r="K1892" s="36">
        <v>7.0000000000000007E-2</v>
      </c>
      <c r="L1892" s="23">
        <v>7.0000000000000001E-3</v>
      </c>
    </row>
    <row r="1893" spans="1:12" ht="15.35" hidden="1" x14ac:dyDescent="0.55000000000000004">
      <c r="A1893" s="20">
        <v>1446</v>
      </c>
      <c r="B1893" s="2" t="s">
        <v>197</v>
      </c>
      <c r="C1893" s="2" t="s">
        <v>198</v>
      </c>
      <c r="D1893" s="20">
        <v>0</v>
      </c>
      <c r="E1893" s="2" t="s">
        <v>63</v>
      </c>
      <c r="F1893" s="2" t="s">
        <v>807</v>
      </c>
      <c r="G1893" s="2" t="s">
        <v>2558</v>
      </c>
      <c r="H1893" s="2" t="s">
        <v>2558</v>
      </c>
      <c r="I1893" s="2" t="s">
        <v>809</v>
      </c>
      <c r="J1893" s="25">
        <v>47364</v>
      </c>
      <c r="K1893" s="36">
        <v>0.25</v>
      </c>
      <c r="L1893" s="23">
        <v>2.5000000000000001E-2</v>
      </c>
    </row>
    <row r="1894" spans="1:12" ht="15.35" hidden="1" x14ac:dyDescent="0.55000000000000004">
      <c r="A1894" s="20">
        <v>1444</v>
      </c>
      <c r="B1894" s="2" t="s">
        <v>197</v>
      </c>
      <c r="C1894" s="2" t="s">
        <v>198</v>
      </c>
      <c r="D1894" s="20">
        <v>0</v>
      </c>
      <c r="E1894" s="2" t="s">
        <v>63</v>
      </c>
      <c r="F1894" s="2" t="s">
        <v>817</v>
      </c>
      <c r="G1894" s="2" t="s">
        <v>2559</v>
      </c>
      <c r="H1894" s="2" t="s">
        <v>810</v>
      </c>
      <c r="I1894" s="2" t="s">
        <v>785</v>
      </c>
      <c r="J1894" s="25">
        <v>46633</v>
      </c>
      <c r="K1894" s="36">
        <v>0.3</v>
      </c>
      <c r="L1894" s="23">
        <v>0.03</v>
      </c>
    </row>
    <row r="1895" spans="1:12" ht="15.35" hidden="1" x14ac:dyDescent="0.55000000000000004">
      <c r="A1895" s="20">
        <v>1440</v>
      </c>
      <c r="B1895" s="2" t="s">
        <v>197</v>
      </c>
      <c r="C1895" s="2" t="s">
        <v>198</v>
      </c>
      <c r="D1895" s="20">
        <v>0</v>
      </c>
      <c r="E1895" s="2" t="s">
        <v>63</v>
      </c>
      <c r="F1895" s="2" t="s">
        <v>817</v>
      </c>
      <c r="G1895" s="2" t="s">
        <v>2560</v>
      </c>
      <c r="H1895" s="2" t="s">
        <v>852</v>
      </c>
      <c r="I1895" s="2" t="s">
        <v>785</v>
      </c>
      <c r="J1895" s="25">
        <v>46633</v>
      </c>
      <c r="K1895" s="36">
        <v>0.2</v>
      </c>
      <c r="L1895" s="23">
        <v>0.02</v>
      </c>
    </row>
    <row r="1896" spans="1:12" ht="15.35" hidden="1" x14ac:dyDescent="0.55000000000000004">
      <c r="A1896" s="20">
        <v>1441</v>
      </c>
      <c r="B1896" s="2" t="s">
        <v>197</v>
      </c>
      <c r="C1896" s="2" t="s">
        <v>198</v>
      </c>
      <c r="D1896" s="20">
        <v>0</v>
      </c>
      <c r="E1896" s="2" t="s">
        <v>63</v>
      </c>
      <c r="F1896" s="2" t="s">
        <v>817</v>
      </c>
      <c r="G1896" s="2" t="s">
        <v>2561</v>
      </c>
      <c r="H1896" s="2" t="s">
        <v>852</v>
      </c>
      <c r="I1896" s="2" t="s">
        <v>785</v>
      </c>
      <c r="J1896" s="25">
        <v>46633</v>
      </c>
      <c r="K1896" s="36">
        <v>0.2</v>
      </c>
      <c r="L1896" s="23">
        <v>0.02</v>
      </c>
    </row>
    <row r="1897" spans="1:12" ht="15.35" hidden="1" x14ac:dyDescent="0.55000000000000004">
      <c r="A1897" s="20">
        <v>1436</v>
      </c>
      <c r="B1897" s="2" t="s">
        <v>197</v>
      </c>
      <c r="C1897" s="2" t="s">
        <v>198</v>
      </c>
      <c r="D1897" s="20">
        <v>0</v>
      </c>
      <c r="E1897" s="2" t="s">
        <v>63</v>
      </c>
      <c r="F1897" s="2" t="s">
        <v>787</v>
      </c>
      <c r="G1897" s="2" t="s">
        <v>922</v>
      </c>
      <c r="H1897" s="2" t="s">
        <v>922</v>
      </c>
      <c r="I1897" s="2" t="s">
        <v>785</v>
      </c>
      <c r="J1897" s="25">
        <v>46633</v>
      </c>
      <c r="K1897" s="36">
        <v>0.1</v>
      </c>
      <c r="L1897" s="23">
        <v>0.01</v>
      </c>
    </row>
    <row r="1898" spans="1:12" ht="15.35" hidden="1" x14ac:dyDescent="0.55000000000000004">
      <c r="A1898" s="20">
        <v>1438</v>
      </c>
      <c r="B1898" s="2" t="s">
        <v>197</v>
      </c>
      <c r="C1898" s="2" t="s">
        <v>198</v>
      </c>
      <c r="D1898" s="20">
        <v>0</v>
      </c>
      <c r="E1898" s="2" t="s">
        <v>63</v>
      </c>
      <c r="F1898" s="2" t="s">
        <v>787</v>
      </c>
      <c r="G1898" s="2" t="s">
        <v>1191</v>
      </c>
      <c r="H1898" s="2" t="s">
        <v>1191</v>
      </c>
      <c r="I1898" s="2" t="s">
        <v>785</v>
      </c>
      <c r="J1898" s="25">
        <v>46633</v>
      </c>
      <c r="K1898" s="36">
        <v>0.32</v>
      </c>
      <c r="L1898" s="23">
        <v>3.2000000000000001E-2</v>
      </c>
    </row>
    <row r="1899" spans="1:12" ht="15.35" hidden="1" x14ac:dyDescent="0.55000000000000004">
      <c r="A1899" s="20">
        <v>1439</v>
      </c>
      <c r="B1899" s="2" t="s">
        <v>197</v>
      </c>
      <c r="C1899" s="2" t="s">
        <v>198</v>
      </c>
      <c r="D1899" s="20">
        <v>0</v>
      </c>
      <c r="E1899" s="2" t="s">
        <v>63</v>
      </c>
      <c r="F1899" s="2" t="s">
        <v>811</v>
      </c>
      <c r="G1899" s="2" t="s">
        <v>2562</v>
      </c>
      <c r="H1899" s="2" t="s">
        <v>2562</v>
      </c>
      <c r="I1899" s="2" t="s">
        <v>785</v>
      </c>
      <c r="J1899" s="25">
        <v>46633</v>
      </c>
      <c r="K1899" s="36">
        <v>0.19</v>
      </c>
      <c r="L1899" s="23">
        <v>1.9E-2</v>
      </c>
    </row>
    <row r="1900" spans="1:12" ht="15.35" hidden="1" x14ac:dyDescent="0.55000000000000004">
      <c r="A1900" s="20">
        <v>1428</v>
      </c>
      <c r="B1900" s="2" t="s">
        <v>197</v>
      </c>
      <c r="C1900" s="2" t="s">
        <v>198</v>
      </c>
      <c r="D1900" s="20">
        <v>0</v>
      </c>
      <c r="E1900" s="2" t="s">
        <v>63</v>
      </c>
      <c r="F1900" s="2" t="s">
        <v>798</v>
      </c>
      <c r="G1900" s="2" t="s">
        <v>2563</v>
      </c>
      <c r="H1900" s="2" t="s">
        <v>2564</v>
      </c>
      <c r="I1900" s="2" t="s">
        <v>785</v>
      </c>
      <c r="J1900" s="25">
        <v>46633</v>
      </c>
      <c r="K1900" s="36">
        <v>0.1</v>
      </c>
      <c r="L1900" s="23">
        <v>0.01</v>
      </c>
    </row>
    <row r="1901" spans="1:12" ht="15.35" hidden="1" x14ac:dyDescent="0.55000000000000004">
      <c r="A1901" s="20">
        <v>1430</v>
      </c>
      <c r="B1901" s="2" t="s">
        <v>197</v>
      </c>
      <c r="C1901" s="2" t="s">
        <v>198</v>
      </c>
      <c r="D1901" s="20">
        <v>0</v>
      </c>
      <c r="E1901" s="2" t="s">
        <v>63</v>
      </c>
      <c r="F1901" s="2" t="s">
        <v>787</v>
      </c>
      <c r="G1901" s="2" t="s">
        <v>864</v>
      </c>
      <c r="H1901" s="2" t="s">
        <v>864</v>
      </c>
      <c r="I1901" s="2" t="s">
        <v>785</v>
      </c>
      <c r="J1901" s="25">
        <v>46633</v>
      </c>
      <c r="K1901" s="36">
        <v>0.1</v>
      </c>
      <c r="L1901" s="23">
        <v>0.01</v>
      </c>
    </row>
    <row r="1902" spans="1:12" ht="15.35" hidden="1" x14ac:dyDescent="0.55000000000000004">
      <c r="A1902" s="20">
        <v>1434</v>
      </c>
      <c r="B1902" s="2" t="s">
        <v>197</v>
      </c>
      <c r="C1902" s="2" t="s">
        <v>198</v>
      </c>
      <c r="D1902" s="20">
        <v>0</v>
      </c>
      <c r="E1902" s="2" t="s">
        <v>63</v>
      </c>
      <c r="F1902" s="2" t="s">
        <v>787</v>
      </c>
      <c r="G1902" s="2" t="s">
        <v>1155</v>
      </c>
      <c r="H1902" s="2" t="s">
        <v>1155</v>
      </c>
      <c r="I1902" s="2" t="s">
        <v>785</v>
      </c>
      <c r="J1902" s="25">
        <v>46633</v>
      </c>
      <c r="K1902" s="36">
        <v>0.05</v>
      </c>
      <c r="L1902" s="23">
        <v>5.0000000000000001E-3</v>
      </c>
    </row>
    <row r="1903" spans="1:12" ht="15.35" hidden="1" x14ac:dyDescent="0.55000000000000004">
      <c r="A1903" s="20">
        <v>1435</v>
      </c>
      <c r="B1903" s="2" t="s">
        <v>197</v>
      </c>
      <c r="C1903" s="2" t="s">
        <v>198</v>
      </c>
      <c r="D1903" s="20">
        <v>0</v>
      </c>
      <c r="E1903" s="2" t="s">
        <v>63</v>
      </c>
      <c r="F1903" s="2" t="s">
        <v>811</v>
      </c>
      <c r="G1903" s="2" t="s">
        <v>2565</v>
      </c>
      <c r="H1903" s="2" t="s">
        <v>2566</v>
      </c>
      <c r="I1903" s="2" t="s">
        <v>785</v>
      </c>
      <c r="J1903" s="25">
        <v>46633</v>
      </c>
      <c r="K1903" s="36">
        <v>3.5999999999999997E-2</v>
      </c>
      <c r="L1903" s="23">
        <v>3.5999999999999999E-3</v>
      </c>
    </row>
    <row r="1904" spans="1:12" ht="15.35" hidden="1" x14ac:dyDescent="0.55000000000000004">
      <c r="A1904" s="20">
        <v>1429</v>
      </c>
      <c r="B1904" s="2" t="s">
        <v>197</v>
      </c>
      <c r="C1904" s="2" t="s">
        <v>198</v>
      </c>
      <c r="D1904" s="20">
        <v>0</v>
      </c>
      <c r="E1904" s="2" t="s">
        <v>63</v>
      </c>
      <c r="F1904" s="2" t="s">
        <v>811</v>
      </c>
      <c r="G1904" s="2" t="s">
        <v>2567</v>
      </c>
      <c r="H1904" s="2" t="s">
        <v>2566</v>
      </c>
      <c r="I1904" s="2" t="s">
        <v>785</v>
      </c>
      <c r="J1904" s="25">
        <v>46633</v>
      </c>
      <c r="K1904" s="36">
        <v>0.108</v>
      </c>
      <c r="L1904" s="23">
        <v>1.0800000000000001E-2</v>
      </c>
    </row>
    <row r="1905" spans="1:12" ht="15.35" hidden="1" x14ac:dyDescent="0.55000000000000004">
      <c r="A1905" s="20">
        <v>1451</v>
      </c>
      <c r="B1905" s="2" t="s">
        <v>197</v>
      </c>
      <c r="C1905" s="2" t="s">
        <v>198</v>
      </c>
      <c r="D1905" s="20">
        <v>0</v>
      </c>
      <c r="E1905" s="2" t="s">
        <v>63</v>
      </c>
      <c r="F1905" s="2" t="s">
        <v>811</v>
      </c>
      <c r="G1905" s="2" t="s">
        <v>2568</v>
      </c>
      <c r="H1905" s="2" t="s">
        <v>2566</v>
      </c>
      <c r="I1905" s="2" t="s">
        <v>785</v>
      </c>
      <c r="J1905" s="25">
        <v>46633</v>
      </c>
      <c r="K1905" s="36">
        <v>3.5999999999999997E-2</v>
      </c>
      <c r="L1905" s="23">
        <v>3.5999999999999999E-3</v>
      </c>
    </row>
    <row r="1906" spans="1:12" ht="15.35" hidden="1" x14ac:dyDescent="0.55000000000000004">
      <c r="A1906" s="20">
        <v>9952</v>
      </c>
      <c r="B1906" s="2" t="s">
        <v>197</v>
      </c>
      <c r="C1906" s="2" t="s">
        <v>198</v>
      </c>
      <c r="D1906" s="20">
        <v>0</v>
      </c>
      <c r="E1906" s="2" t="s">
        <v>838</v>
      </c>
      <c r="F1906" s="2" t="s">
        <v>793</v>
      </c>
      <c r="G1906" s="2" t="s">
        <v>2569</v>
      </c>
      <c r="H1906" s="2" t="s">
        <v>901</v>
      </c>
      <c r="J1906" s="26"/>
      <c r="K1906" s="36">
        <v>1.28176169</v>
      </c>
      <c r="L1906" s="23">
        <v>0.12817617000000001</v>
      </c>
    </row>
    <row r="1907" spans="1:12" ht="15.35" hidden="1" x14ac:dyDescent="0.55000000000000004">
      <c r="A1907" s="20">
        <v>9955</v>
      </c>
      <c r="B1907" s="2" t="s">
        <v>197</v>
      </c>
      <c r="C1907" s="2" t="s">
        <v>198</v>
      </c>
      <c r="D1907" s="20">
        <v>0</v>
      </c>
      <c r="E1907" s="2" t="s">
        <v>838</v>
      </c>
      <c r="F1907" s="2" t="s">
        <v>798</v>
      </c>
      <c r="G1907" s="2" t="s">
        <v>1904</v>
      </c>
      <c r="H1907" s="2" t="s">
        <v>1905</v>
      </c>
      <c r="J1907" s="26"/>
      <c r="K1907" s="36">
        <v>7.6891189999999998E-2</v>
      </c>
      <c r="L1907" s="23">
        <v>7.6891199999999998E-3</v>
      </c>
    </row>
    <row r="1908" spans="1:12" ht="15.35" hidden="1" x14ac:dyDescent="0.55000000000000004">
      <c r="A1908" s="20">
        <v>9957</v>
      </c>
      <c r="B1908" s="2" t="s">
        <v>197</v>
      </c>
      <c r="C1908" s="2" t="s">
        <v>198</v>
      </c>
      <c r="D1908" s="20">
        <v>0</v>
      </c>
      <c r="E1908" s="2" t="s">
        <v>838</v>
      </c>
      <c r="F1908" s="2" t="s">
        <v>817</v>
      </c>
      <c r="G1908" s="2" t="s">
        <v>2570</v>
      </c>
      <c r="H1908" s="2" t="s">
        <v>2570</v>
      </c>
      <c r="J1908" s="26"/>
      <c r="K1908" s="36">
        <v>5.0777200000000002E-2</v>
      </c>
      <c r="L1908" s="23">
        <v>5.07772E-3</v>
      </c>
    </row>
    <row r="1909" spans="1:12" ht="15.35" hidden="1" x14ac:dyDescent="0.55000000000000004">
      <c r="A1909" s="20">
        <v>9960</v>
      </c>
      <c r="B1909" s="2" t="s">
        <v>197</v>
      </c>
      <c r="C1909" s="2" t="s">
        <v>198</v>
      </c>
      <c r="D1909" s="20">
        <v>0</v>
      </c>
      <c r="E1909" s="2" t="s">
        <v>838</v>
      </c>
      <c r="F1909" s="2" t="s">
        <v>811</v>
      </c>
      <c r="G1909" s="2" t="s">
        <v>1303</v>
      </c>
      <c r="H1909" s="2" t="s">
        <v>1301</v>
      </c>
      <c r="J1909" s="26"/>
      <c r="K1909" s="36">
        <v>1.23316E-2</v>
      </c>
      <c r="L1909" s="23">
        <v>1.2331600000000001E-3</v>
      </c>
    </row>
    <row r="1910" spans="1:12" ht="15.35" hidden="1" x14ac:dyDescent="0.55000000000000004">
      <c r="A1910" s="20">
        <v>9959</v>
      </c>
      <c r="B1910" s="2" t="s">
        <v>197</v>
      </c>
      <c r="C1910" s="2" t="s">
        <v>198</v>
      </c>
      <c r="D1910" s="20">
        <v>0</v>
      </c>
      <c r="E1910" s="2" t="s">
        <v>838</v>
      </c>
      <c r="F1910" s="2" t="s">
        <v>811</v>
      </c>
      <c r="G1910" s="2" t="s">
        <v>1307</v>
      </c>
      <c r="H1910" s="2" t="s">
        <v>1301</v>
      </c>
      <c r="J1910" s="26"/>
      <c r="K1910" s="36">
        <v>1.23316E-2</v>
      </c>
      <c r="L1910" s="23">
        <v>1.2331600000000001E-3</v>
      </c>
    </row>
    <row r="1911" spans="1:12" ht="15.35" hidden="1" x14ac:dyDescent="0.55000000000000004">
      <c r="A1911" s="20">
        <v>9958</v>
      </c>
      <c r="B1911" s="2" t="s">
        <v>197</v>
      </c>
      <c r="C1911" s="2" t="s">
        <v>198</v>
      </c>
      <c r="D1911" s="20">
        <v>0</v>
      </c>
      <c r="E1911" s="2" t="s">
        <v>838</v>
      </c>
      <c r="F1911" s="2" t="s">
        <v>811</v>
      </c>
      <c r="G1911" s="2" t="s">
        <v>1365</v>
      </c>
      <c r="H1911" s="2" t="s">
        <v>1003</v>
      </c>
      <c r="J1911" s="26"/>
      <c r="K1911" s="36">
        <v>2.6113979999999998E-2</v>
      </c>
      <c r="L1911" s="23">
        <v>2.6113999999999998E-3</v>
      </c>
    </row>
    <row r="1912" spans="1:12" ht="15.35" hidden="1" x14ac:dyDescent="0.55000000000000004">
      <c r="A1912" s="20">
        <v>9954</v>
      </c>
      <c r="B1912" s="2" t="s">
        <v>197</v>
      </c>
      <c r="C1912" s="2" t="s">
        <v>198</v>
      </c>
      <c r="D1912" s="20">
        <v>0</v>
      </c>
      <c r="E1912" s="2" t="s">
        <v>838</v>
      </c>
      <c r="F1912" s="2" t="s">
        <v>848</v>
      </c>
      <c r="G1912" s="2" t="s">
        <v>1479</v>
      </c>
      <c r="H1912" s="2" t="s">
        <v>1480</v>
      </c>
      <c r="J1912" s="26"/>
      <c r="K1912" s="36">
        <v>7.6891189999999998E-2</v>
      </c>
      <c r="L1912" s="23">
        <v>7.6891199999999998E-3</v>
      </c>
    </row>
    <row r="1913" spans="1:12" ht="15.35" hidden="1" x14ac:dyDescent="0.55000000000000004">
      <c r="A1913" s="20">
        <v>9956</v>
      </c>
      <c r="B1913" s="2" t="s">
        <v>197</v>
      </c>
      <c r="C1913" s="2" t="s">
        <v>198</v>
      </c>
      <c r="D1913" s="20">
        <v>0</v>
      </c>
      <c r="E1913" s="2" t="s">
        <v>838</v>
      </c>
      <c r="F1913" s="2" t="s">
        <v>793</v>
      </c>
      <c r="G1913" s="2" t="s">
        <v>2571</v>
      </c>
      <c r="H1913" s="2" t="s">
        <v>2572</v>
      </c>
      <c r="J1913" s="26"/>
      <c r="K1913" s="36">
        <v>5.0777200000000002E-2</v>
      </c>
      <c r="L1913" s="23">
        <v>5.07772E-3</v>
      </c>
    </row>
    <row r="1914" spans="1:12" ht="15.35" hidden="1" x14ac:dyDescent="0.55000000000000004">
      <c r="A1914" s="20">
        <v>9953</v>
      </c>
      <c r="B1914" s="2" t="s">
        <v>197</v>
      </c>
      <c r="C1914" s="2" t="s">
        <v>198</v>
      </c>
      <c r="D1914" s="20">
        <v>0</v>
      </c>
      <c r="E1914" s="2" t="s">
        <v>838</v>
      </c>
      <c r="F1914" s="2" t="s">
        <v>848</v>
      </c>
      <c r="G1914" s="2" t="s">
        <v>1797</v>
      </c>
      <c r="H1914" s="2" t="s">
        <v>1179</v>
      </c>
      <c r="J1914" s="26"/>
      <c r="K1914" s="36">
        <v>0.51212435000000001</v>
      </c>
      <c r="L1914" s="23">
        <v>5.1212439999999998E-2</v>
      </c>
    </row>
    <row r="1915" spans="1:12" ht="15.35" hidden="1" x14ac:dyDescent="0.55000000000000004">
      <c r="A1915" s="20">
        <v>1475</v>
      </c>
      <c r="B1915" s="2" t="s">
        <v>128</v>
      </c>
      <c r="C1915" s="2" t="s">
        <v>129</v>
      </c>
      <c r="D1915" s="20">
        <v>0</v>
      </c>
      <c r="E1915" s="2" t="s">
        <v>63</v>
      </c>
      <c r="F1915" s="2" t="s">
        <v>798</v>
      </c>
      <c r="G1915" s="2" t="s">
        <v>2573</v>
      </c>
      <c r="H1915" s="2" t="s">
        <v>800</v>
      </c>
      <c r="I1915" s="2" t="s">
        <v>785</v>
      </c>
      <c r="J1915" s="25">
        <v>45885</v>
      </c>
      <c r="K1915" s="36">
        <v>8.5800000000000001E-2</v>
      </c>
      <c r="L1915" s="23">
        <v>8.5800000000000008E-3</v>
      </c>
    </row>
    <row r="1916" spans="1:12" ht="15.35" hidden="1" x14ac:dyDescent="0.55000000000000004">
      <c r="A1916" s="20">
        <v>1454</v>
      </c>
      <c r="B1916" s="2" t="s">
        <v>128</v>
      </c>
      <c r="C1916" s="2" t="s">
        <v>129</v>
      </c>
      <c r="D1916" s="20">
        <v>0</v>
      </c>
      <c r="E1916" s="2" t="s">
        <v>63</v>
      </c>
      <c r="F1916" s="2" t="s">
        <v>807</v>
      </c>
      <c r="G1916" s="2" t="s">
        <v>2574</v>
      </c>
      <c r="H1916" s="2" t="s">
        <v>2574</v>
      </c>
      <c r="I1916" s="2" t="s">
        <v>809</v>
      </c>
      <c r="J1916" s="25">
        <v>47346</v>
      </c>
      <c r="K1916" s="36">
        <v>0.6</v>
      </c>
      <c r="L1916" s="23">
        <v>0.06</v>
      </c>
    </row>
    <row r="1917" spans="1:12" ht="15.35" hidden="1" x14ac:dyDescent="0.55000000000000004">
      <c r="A1917" s="20">
        <v>1471</v>
      </c>
      <c r="B1917" s="2" t="s">
        <v>128</v>
      </c>
      <c r="C1917" s="2" t="s">
        <v>129</v>
      </c>
      <c r="D1917" s="20">
        <v>0</v>
      </c>
      <c r="E1917" s="2" t="s">
        <v>63</v>
      </c>
      <c r="F1917" s="2" t="s">
        <v>807</v>
      </c>
      <c r="G1917" s="2" t="s">
        <v>2574</v>
      </c>
      <c r="H1917" s="2" t="s">
        <v>2574</v>
      </c>
      <c r="I1917" s="2" t="s">
        <v>809</v>
      </c>
      <c r="J1917" s="25">
        <v>46615</v>
      </c>
      <c r="K1917" s="36">
        <v>2.4</v>
      </c>
      <c r="L1917" s="23">
        <v>0.24</v>
      </c>
    </row>
    <row r="1918" spans="1:12" ht="15.35" hidden="1" x14ac:dyDescent="0.55000000000000004">
      <c r="A1918" s="20">
        <v>1457</v>
      </c>
      <c r="B1918" s="2" t="s">
        <v>128</v>
      </c>
      <c r="C1918" s="2" t="s">
        <v>129</v>
      </c>
      <c r="D1918" s="20">
        <v>0</v>
      </c>
      <c r="E1918" s="2" t="s">
        <v>63</v>
      </c>
      <c r="F1918" s="2" t="s">
        <v>807</v>
      </c>
      <c r="G1918" s="2" t="s">
        <v>2575</v>
      </c>
      <c r="H1918" s="2" t="s">
        <v>2575</v>
      </c>
      <c r="I1918" s="2" t="s">
        <v>809</v>
      </c>
      <c r="J1918" s="25">
        <v>46615</v>
      </c>
      <c r="K1918" s="36">
        <v>0.38600000000000001</v>
      </c>
      <c r="L1918" s="23">
        <v>3.8600000000000002E-2</v>
      </c>
    </row>
    <row r="1919" spans="1:12" ht="15.35" hidden="1" x14ac:dyDescent="0.55000000000000004">
      <c r="A1919" s="20">
        <v>1458</v>
      </c>
      <c r="B1919" s="2" t="s">
        <v>128</v>
      </c>
      <c r="C1919" s="2" t="s">
        <v>129</v>
      </c>
      <c r="D1919" s="20">
        <v>0</v>
      </c>
      <c r="E1919" s="2" t="s">
        <v>63</v>
      </c>
      <c r="F1919" s="2" t="s">
        <v>787</v>
      </c>
      <c r="G1919" s="2" t="s">
        <v>1007</v>
      </c>
      <c r="H1919" s="2" t="s">
        <v>1007</v>
      </c>
      <c r="I1919" s="2" t="s">
        <v>785</v>
      </c>
      <c r="J1919" s="25">
        <v>45885</v>
      </c>
      <c r="K1919" s="36">
        <v>0.85</v>
      </c>
      <c r="L1919" s="23">
        <v>8.5000000000000006E-2</v>
      </c>
    </row>
    <row r="1920" spans="1:12" ht="15.35" hidden="1" x14ac:dyDescent="0.55000000000000004">
      <c r="A1920" s="20">
        <v>1460</v>
      </c>
      <c r="B1920" s="2" t="s">
        <v>128</v>
      </c>
      <c r="C1920" s="2" t="s">
        <v>129</v>
      </c>
      <c r="D1920" s="20">
        <v>0</v>
      </c>
      <c r="E1920" s="2" t="s">
        <v>63</v>
      </c>
      <c r="F1920" s="2" t="s">
        <v>787</v>
      </c>
      <c r="G1920" s="2" t="s">
        <v>788</v>
      </c>
      <c r="H1920" s="2" t="s">
        <v>788</v>
      </c>
      <c r="I1920" s="2" t="s">
        <v>785</v>
      </c>
      <c r="J1920" s="25">
        <v>45885</v>
      </c>
      <c r="K1920" s="36">
        <v>0.42880000000000001</v>
      </c>
      <c r="L1920" s="23">
        <v>4.2880000000000001E-2</v>
      </c>
    </row>
    <row r="1921" spans="1:12" ht="15.35" hidden="1" x14ac:dyDescent="0.55000000000000004">
      <c r="A1921" s="20">
        <v>1464</v>
      </c>
      <c r="B1921" s="2" t="s">
        <v>128</v>
      </c>
      <c r="C1921" s="2" t="s">
        <v>129</v>
      </c>
      <c r="D1921" s="20">
        <v>0</v>
      </c>
      <c r="E1921" s="2" t="s">
        <v>63</v>
      </c>
      <c r="F1921" s="2" t="s">
        <v>789</v>
      </c>
      <c r="G1921" s="2" t="s">
        <v>1245</v>
      </c>
      <c r="H1921" s="2" t="s">
        <v>1245</v>
      </c>
      <c r="I1921" s="2" t="s">
        <v>785</v>
      </c>
      <c r="J1921" s="25">
        <v>45885</v>
      </c>
      <c r="K1921" s="36">
        <v>0.12</v>
      </c>
      <c r="L1921" s="23">
        <v>1.2E-2</v>
      </c>
    </row>
    <row r="1922" spans="1:12" ht="15.35" hidden="1" x14ac:dyDescent="0.55000000000000004">
      <c r="A1922" s="20">
        <v>1455</v>
      </c>
      <c r="B1922" s="2" t="s">
        <v>128</v>
      </c>
      <c r="C1922" s="2" t="s">
        <v>129</v>
      </c>
      <c r="D1922" s="20">
        <v>0</v>
      </c>
      <c r="E1922" s="2" t="s">
        <v>63</v>
      </c>
      <c r="F1922" s="2" t="s">
        <v>789</v>
      </c>
      <c r="G1922" s="2" t="s">
        <v>2576</v>
      </c>
      <c r="H1922" s="2" t="s">
        <v>2576</v>
      </c>
      <c r="I1922" s="2" t="s">
        <v>785</v>
      </c>
      <c r="J1922" s="25">
        <v>45885</v>
      </c>
      <c r="K1922" s="36">
        <v>0.1072</v>
      </c>
      <c r="L1922" s="23">
        <v>1.072E-2</v>
      </c>
    </row>
    <row r="1923" spans="1:12" ht="15.35" hidden="1" x14ac:dyDescent="0.55000000000000004">
      <c r="A1923" s="20">
        <v>1465</v>
      </c>
      <c r="B1923" s="2" t="s">
        <v>128</v>
      </c>
      <c r="C1923" s="2" t="s">
        <v>129</v>
      </c>
      <c r="D1923" s="20">
        <v>0</v>
      </c>
      <c r="E1923" s="2" t="s">
        <v>63</v>
      </c>
      <c r="F1923" s="2" t="s">
        <v>789</v>
      </c>
      <c r="G1923" s="2" t="s">
        <v>1252</v>
      </c>
      <c r="H1923" s="2" t="s">
        <v>1252</v>
      </c>
      <c r="I1923" s="2" t="s">
        <v>785</v>
      </c>
      <c r="J1923" s="25">
        <v>45885</v>
      </c>
      <c r="K1923" s="36">
        <v>0.1072</v>
      </c>
      <c r="L1923" s="23">
        <v>1.072E-2</v>
      </c>
    </row>
    <row r="1924" spans="1:12" ht="15.35" hidden="1" x14ac:dyDescent="0.55000000000000004">
      <c r="A1924" s="20">
        <v>1466</v>
      </c>
      <c r="B1924" s="2" t="s">
        <v>128</v>
      </c>
      <c r="C1924" s="2" t="s">
        <v>129</v>
      </c>
      <c r="D1924" s="20">
        <v>0</v>
      </c>
      <c r="E1924" s="2" t="s">
        <v>63</v>
      </c>
      <c r="F1924" s="2" t="s">
        <v>817</v>
      </c>
      <c r="G1924" s="2" t="s">
        <v>2577</v>
      </c>
      <c r="H1924" s="2" t="s">
        <v>1284</v>
      </c>
      <c r="I1924" s="2" t="s">
        <v>785</v>
      </c>
      <c r="J1924" s="25">
        <v>45885</v>
      </c>
      <c r="K1924" s="36">
        <v>8.1699999999999995E-2</v>
      </c>
      <c r="L1924" s="23">
        <v>8.1700000000000002E-3</v>
      </c>
    </row>
    <row r="1925" spans="1:12" ht="15.35" hidden="1" x14ac:dyDescent="0.55000000000000004">
      <c r="A1925" s="20">
        <v>1467</v>
      </c>
      <c r="B1925" s="2" t="s">
        <v>128</v>
      </c>
      <c r="C1925" s="2" t="s">
        <v>129</v>
      </c>
      <c r="D1925" s="20">
        <v>0</v>
      </c>
      <c r="E1925" s="2" t="s">
        <v>63</v>
      </c>
      <c r="F1925" s="2" t="s">
        <v>817</v>
      </c>
      <c r="G1925" s="2" t="s">
        <v>2578</v>
      </c>
      <c r="H1925" s="2" t="s">
        <v>1284</v>
      </c>
      <c r="I1925" s="2" t="s">
        <v>785</v>
      </c>
      <c r="J1925" s="25">
        <v>45885</v>
      </c>
      <c r="K1925" s="36">
        <v>4.2799999999999998E-2</v>
      </c>
      <c r="L1925" s="23">
        <v>4.28E-3</v>
      </c>
    </row>
    <row r="1926" spans="1:12" ht="15.35" hidden="1" x14ac:dyDescent="0.55000000000000004">
      <c r="A1926" s="20">
        <v>1468</v>
      </c>
      <c r="B1926" s="2" t="s">
        <v>128</v>
      </c>
      <c r="C1926" s="2" t="s">
        <v>129</v>
      </c>
      <c r="D1926" s="20">
        <v>0</v>
      </c>
      <c r="E1926" s="2" t="s">
        <v>63</v>
      </c>
      <c r="F1926" s="2" t="s">
        <v>817</v>
      </c>
      <c r="G1926" s="2" t="s">
        <v>2579</v>
      </c>
      <c r="H1926" s="2" t="s">
        <v>1284</v>
      </c>
      <c r="I1926" s="2" t="s">
        <v>785</v>
      </c>
      <c r="J1926" s="25">
        <v>45885</v>
      </c>
      <c r="K1926" s="36">
        <v>4.2799999999999998E-2</v>
      </c>
      <c r="L1926" s="23">
        <v>4.28E-3</v>
      </c>
    </row>
    <row r="1927" spans="1:12" ht="15.35" hidden="1" x14ac:dyDescent="0.55000000000000004">
      <c r="A1927" s="20">
        <v>1469</v>
      </c>
      <c r="B1927" s="2" t="s">
        <v>128</v>
      </c>
      <c r="C1927" s="2" t="s">
        <v>129</v>
      </c>
      <c r="D1927" s="20">
        <v>0</v>
      </c>
      <c r="E1927" s="2" t="s">
        <v>63</v>
      </c>
      <c r="F1927" s="2" t="s">
        <v>817</v>
      </c>
      <c r="G1927" s="2" t="s">
        <v>2580</v>
      </c>
      <c r="H1927" s="2" t="s">
        <v>1284</v>
      </c>
      <c r="I1927" s="2" t="s">
        <v>785</v>
      </c>
      <c r="J1927" s="25">
        <v>45885</v>
      </c>
      <c r="K1927" s="36">
        <v>4.2799999999999998E-2</v>
      </c>
      <c r="L1927" s="23">
        <v>4.28E-3</v>
      </c>
    </row>
    <row r="1928" spans="1:12" ht="15.35" hidden="1" x14ac:dyDescent="0.55000000000000004">
      <c r="A1928" s="20">
        <v>1462</v>
      </c>
      <c r="B1928" s="2" t="s">
        <v>128</v>
      </c>
      <c r="C1928" s="2" t="s">
        <v>129</v>
      </c>
      <c r="D1928" s="20">
        <v>0</v>
      </c>
      <c r="E1928" s="2" t="s">
        <v>63</v>
      </c>
      <c r="F1928" s="2" t="s">
        <v>798</v>
      </c>
      <c r="G1928" s="2" t="s">
        <v>2581</v>
      </c>
      <c r="H1928" s="2" t="s">
        <v>802</v>
      </c>
      <c r="I1928" s="2" t="s">
        <v>785</v>
      </c>
      <c r="J1928" s="25">
        <v>45885</v>
      </c>
      <c r="K1928" s="36">
        <v>0.20419999999999999</v>
      </c>
      <c r="L1928" s="23">
        <v>2.0420000000000001E-2</v>
      </c>
    </row>
    <row r="1929" spans="1:12" ht="15.35" hidden="1" x14ac:dyDescent="0.55000000000000004">
      <c r="A1929" s="20">
        <v>1463</v>
      </c>
      <c r="B1929" s="2" t="s">
        <v>128</v>
      </c>
      <c r="C1929" s="2" t="s">
        <v>129</v>
      </c>
      <c r="D1929" s="20">
        <v>0</v>
      </c>
      <c r="E1929" s="2" t="s">
        <v>63</v>
      </c>
      <c r="F1929" s="2" t="s">
        <v>798</v>
      </c>
      <c r="G1929" s="2" t="s">
        <v>2582</v>
      </c>
      <c r="H1929" s="2" t="s">
        <v>802</v>
      </c>
      <c r="I1929" s="2" t="s">
        <v>785</v>
      </c>
      <c r="J1929" s="25">
        <v>45885</v>
      </c>
      <c r="K1929" s="36">
        <v>0.1226</v>
      </c>
      <c r="L1929" s="23">
        <v>1.226E-2</v>
      </c>
    </row>
    <row r="1930" spans="1:12" ht="15.35" hidden="1" x14ac:dyDescent="0.55000000000000004">
      <c r="A1930" s="20">
        <v>1461</v>
      </c>
      <c r="B1930" s="2" t="s">
        <v>128</v>
      </c>
      <c r="C1930" s="2" t="s">
        <v>129</v>
      </c>
      <c r="D1930" s="20">
        <v>0</v>
      </c>
      <c r="E1930" s="2" t="s">
        <v>63</v>
      </c>
      <c r="F1930" s="2" t="s">
        <v>798</v>
      </c>
      <c r="G1930" s="2" t="s">
        <v>2583</v>
      </c>
      <c r="H1930" s="2" t="s">
        <v>802</v>
      </c>
      <c r="I1930" s="2" t="s">
        <v>785</v>
      </c>
      <c r="J1930" s="25">
        <v>45885</v>
      </c>
      <c r="K1930" s="36">
        <v>0.21440000000000001</v>
      </c>
      <c r="L1930" s="23">
        <v>2.1440000000000001E-2</v>
      </c>
    </row>
    <row r="1931" spans="1:12" ht="15.35" hidden="1" x14ac:dyDescent="0.55000000000000004">
      <c r="A1931" s="20">
        <v>1472</v>
      </c>
      <c r="B1931" s="2" t="s">
        <v>128</v>
      </c>
      <c r="C1931" s="2" t="s">
        <v>129</v>
      </c>
      <c r="D1931" s="20">
        <v>0</v>
      </c>
      <c r="E1931" s="2" t="s">
        <v>63</v>
      </c>
      <c r="F1931" s="2" t="s">
        <v>817</v>
      </c>
      <c r="G1931" s="2" t="s">
        <v>2584</v>
      </c>
      <c r="H1931" s="2" t="s">
        <v>810</v>
      </c>
      <c r="I1931" s="2" t="s">
        <v>785</v>
      </c>
      <c r="J1931" s="25">
        <v>45885</v>
      </c>
      <c r="K1931" s="36">
        <v>2.1499999999999998E-2</v>
      </c>
      <c r="L1931" s="23">
        <v>2.15E-3</v>
      </c>
    </row>
    <row r="1932" spans="1:12" ht="15.35" hidden="1" x14ac:dyDescent="0.55000000000000004">
      <c r="A1932" s="20">
        <v>1476</v>
      </c>
      <c r="B1932" s="2" t="s">
        <v>128</v>
      </c>
      <c r="C1932" s="2" t="s">
        <v>129</v>
      </c>
      <c r="D1932" s="20">
        <v>0</v>
      </c>
      <c r="E1932" s="2" t="s">
        <v>63</v>
      </c>
      <c r="F1932" s="2" t="s">
        <v>811</v>
      </c>
      <c r="G1932" s="2" t="s">
        <v>2585</v>
      </c>
      <c r="H1932" s="2" t="s">
        <v>2585</v>
      </c>
      <c r="I1932" s="2" t="s">
        <v>785</v>
      </c>
      <c r="J1932" s="25">
        <v>45885</v>
      </c>
      <c r="K1932" s="36">
        <v>2.1499999999999998E-2</v>
      </c>
      <c r="L1932" s="23">
        <v>2.15E-3</v>
      </c>
    </row>
    <row r="1933" spans="1:12" ht="15.35" hidden="1" x14ac:dyDescent="0.55000000000000004">
      <c r="A1933" s="20">
        <v>1473</v>
      </c>
      <c r="B1933" s="2" t="s">
        <v>128</v>
      </c>
      <c r="C1933" s="2" t="s">
        <v>129</v>
      </c>
      <c r="D1933" s="20">
        <v>0</v>
      </c>
      <c r="E1933" s="2" t="s">
        <v>63</v>
      </c>
      <c r="F1933" s="2" t="s">
        <v>813</v>
      </c>
      <c r="G1933" s="2" t="s">
        <v>2586</v>
      </c>
      <c r="H1933" s="2" t="s">
        <v>2586</v>
      </c>
      <c r="I1933" s="2" t="s">
        <v>785</v>
      </c>
      <c r="J1933" s="25">
        <v>45885</v>
      </c>
      <c r="K1933" s="36">
        <v>0.42880000000000001</v>
      </c>
      <c r="L1933" s="23">
        <v>4.2880000000000001E-2</v>
      </c>
    </row>
    <row r="1934" spans="1:12" ht="15.35" hidden="1" x14ac:dyDescent="0.55000000000000004">
      <c r="A1934" s="20">
        <v>1459</v>
      </c>
      <c r="B1934" s="2" t="s">
        <v>128</v>
      </c>
      <c r="C1934" s="2" t="s">
        <v>129</v>
      </c>
      <c r="D1934" s="20">
        <v>0</v>
      </c>
      <c r="E1934" s="2" t="s">
        <v>63</v>
      </c>
      <c r="F1934" s="2" t="s">
        <v>787</v>
      </c>
      <c r="G1934" s="2" t="s">
        <v>926</v>
      </c>
      <c r="H1934" s="2" t="s">
        <v>926</v>
      </c>
      <c r="I1934" s="2" t="s">
        <v>785</v>
      </c>
      <c r="J1934" s="25">
        <v>45885</v>
      </c>
      <c r="K1934" s="36">
        <v>0.85</v>
      </c>
      <c r="L1934" s="23">
        <v>8.5000000000000006E-2</v>
      </c>
    </row>
    <row r="1935" spans="1:12" ht="15.35" hidden="1" x14ac:dyDescent="0.55000000000000004">
      <c r="A1935" s="20">
        <v>1474</v>
      </c>
      <c r="B1935" s="2" t="s">
        <v>128</v>
      </c>
      <c r="C1935" s="2" t="s">
        <v>129</v>
      </c>
      <c r="D1935" s="20">
        <v>0</v>
      </c>
      <c r="E1935" s="2" t="s">
        <v>63</v>
      </c>
      <c r="F1935" s="2" t="s">
        <v>789</v>
      </c>
      <c r="G1935" s="2" t="s">
        <v>1441</v>
      </c>
      <c r="H1935" s="2" t="s">
        <v>1441</v>
      </c>
      <c r="I1935" s="2" t="s">
        <v>785</v>
      </c>
      <c r="J1935" s="25">
        <v>45885</v>
      </c>
      <c r="K1935" s="36">
        <v>8.5800000000000001E-2</v>
      </c>
      <c r="L1935" s="23">
        <v>8.5800000000000008E-3</v>
      </c>
    </row>
    <row r="1936" spans="1:12" ht="15.35" hidden="1" x14ac:dyDescent="0.55000000000000004">
      <c r="A1936" s="20">
        <v>1470</v>
      </c>
      <c r="B1936" s="2" t="s">
        <v>128</v>
      </c>
      <c r="C1936" s="2" t="s">
        <v>129</v>
      </c>
      <c r="D1936" s="20">
        <v>0</v>
      </c>
      <c r="E1936" s="2" t="s">
        <v>63</v>
      </c>
      <c r="F1936" s="2" t="s">
        <v>798</v>
      </c>
      <c r="G1936" s="2" t="s">
        <v>2587</v>
      </c>
      <c r="H1936" s="2" t="s">
        <v>860</v>
      </c>
      <c r="I1936" s="2" t="s">
        <v>785</v>
      </c>
      <c r="J1936" s="25">
        <v>45885</v>
      </c>
      <c r="K1936" s="36">
        <v>4.2799999999999998E-2</v>
      </c>
      <c r="L1936" s="23">
        <v>4.28E-3</v>
      </c>
    </row>
    <row r="1937" spans="1:12" ht="15.35" hidden="1" x14ac:dyDescent="0.55000000000000004">
      <c r="A1937" s="20">
        <v>1456</v>
      </c>
      <c r="B1937" s="2" t="s">
        <v>128</v>
      </c>
      <c r="C1937" s="2" t="s">
        <v>129</v>
      </c>
      <c r="D1937" s="20">
        <v>0</v>
      </c>
      <c r="E1937" s="2" t="s">
        <v>63</v>
      </c>
      <c r="F1937" s="2" t="s">
        <v>817</v>
      </c>
      <c r="G1937" s="2" t="s">
        <v>2588</v>
      </c>
      <c r="H1937" s="2" t="s">
        <v>862</v>
      </c>
      <c r="I1937" s="2" t="s">
        <v>785</v>
      </c>
      <c r="J1937" s="25">
        <v>45885</v>
      </c>
      <c r="K1937" s="36">
        <v>4.1000000000000002E-2</v>
      </c>
      <c r="L1937" s="23">
        <v>4.1000000000000003E-3</v>
      </c>
    </row>
    <row r="1938" spans="1:12" ht="15.35" hidden="1" x14ac:dyDescent="0.55000000000000004">
      <c r="A1938" s="20">
        <v>14642</v>
      </c>
      <c r="B1938" s="2" t="s">
        <v>128</v>
      </c>
      <c r="C1938" s="2" t="s">
        <v>129</v>
      </c>
      <c r="D1938" s="20">
        <v>0</v>
      </c>
      <c r="E1938" s="2" t="s">
        <v>838</v>
      </c>
      <c r="F1938" s="2" t="s">
        <v>817</v>
      </c>
      <c r="G1938" s="2" t="s">
        <v>1198</v>
      </c>
      <c r="H1938" s="2" t="s">
        <v>1198</v>
      </c>
      <c r="J1938" s="26"/>
      <c r="K1938" s="36">
        <v>0.14498923999999999</v>
      </c>
      <c r="L1938" s="23">
        <v>1.449892E-2</v>
      </c>
    </row>
    <row r="1939" spans="1:12" ht="15.35" hidden="1" x14ac:dyDescent="0.55000000000000004">
      <c r="A1939" s="20">
        <v>14638</v>
      </c>
      <c r="B1939" s="2" t="s">
        <v>128</v>
      </c>
      <c r="C1939" s="2" t="s">
        <v>129</v>
      </c>
      <c r="D1939" s="20">
        <v>0</v>
      </c>
      <c r="E1939" s="2" t="s">
        <v>838</v>
      </c>
      <c r="F1939" s="2" t="s">
        <v>787</v>
      </c>
      <c r="G1939" s="2" t="s">
        <v>904</v>
      </c>
      <c r="H1939" s="2" t="s">
        <v>904</v>
      </c>
      <c r="J1939" s="26"/>
      <c r="K1939" s="36">
        <v>0.15982692000000001</v>
      </c>
      <c r="L1939" s="23">
        <v>1.5982690000000001E-2</v>
      </c>
    </row>
    <row r="1940" spans="1:12" ht="15.35" hidden="1" x14ac:dyDescent="0.55000000000000004">
      <c r="A1940" s="20">
        <v>14652</v>
      </c>
      <c r="B1940" s="2" t="s">
        <v>128</v>
      </c>
      <c r="C1940" s="2" t="s">
        <v>129</v>
      </c>
      <c r="D1940" s="20">
        <v>0</v>
      </c>
      <c r="E1940" s="2" t="s">
        <v>838</v>
      </c>
      <c r="F1940" s="2" t="s">
        <v>793</v>
      </c>
      <c r="G1940" s="2" t="s">
        <v>2589</v>
      </c>
      <c r="H1940" s="2" t="s">
        <v>1220</v>
      </c>
      <c r="J1940" s="26"/>
      <c r="K1940" s="36">
        <v>1.3550390000000001E-2</v>
      </c>
      <c r="L1940" s="23">
        <v>1.3550400000000001E-3</v>
      </c>
    </row>
    <row r="1941" spans="1:12" ht="15.35" hidden="1" x14ac:dyDescent="0.55000000000000004">
      <c r="A1941" s="20">
        <v>14653</v>
      </c>
      <c r="B1941" s="2" t="s">
        <v>128</v>
      </c>
      <c r="C1941" s="2" t="s">
        <v>129</v>
      </c>
      <c r="D1941" s="20">
        <v>0</v>
      </c>
      <c r="E1941" s="2" t="s">
        <v>838</v>
      </c>
      <c r="F1941" s="2" t="s">
        <v>793</v>
      </c>
      <c r="G1941" s="2" t="s">
        <v>2590</v>
      </c>
      <c r="H1941" s="2" t="s">
        <v>1220</v>
      </c>
      <c r="J1941" s="26"/>
      <c r="K1941" s="36">
        <v>6.7751900000000004E-3</v>
      </c>
      <c r="L1941" s="23">
        <v>6.7752000000000003E-4</v>
      </c>
    </row>
    <row r="1942" spans="1:12" ht="15.35" x14ac:dyDescent="0.55000000000000004">
      <c r="A1942" s="20">
        <v>14637</v>
      </c>
      <c r="B1942" s="2" t="s">
        <v>128</v>
      </c>
      <c r="C1942" s="2" t="s">
        <v>129</v>
      </c>
      <c r="D1942" s="20">
        <v>0</v>
      </c>
      <c r="E1942" s="2" t="s">
        <v>838</v>
      </c>
      <c r="F1942" s="2" t="s">
        <v>793</v>
      </c>
      <c r="G1942" s="2" t="s">
        <v>2591</v>
      </c>
      <c r="J1942" s="26"/>
      <c r="K1942" s="36">
        <v>5.7589179999999997E-2</v>
      </c>
      <c r="L1942" s="23">
        <v>5.7589199999999998E-3</v>
      </c>
    </row>
    <row r="1943" spans="1:12" ht="15.35" hidden="1" x14ac:dyDescent="0.55000000000000004">
      <c r="A1943" s="20">
        <v>14645</v>
      </c>
      <c r="B1943" s="2" t="s">
        <v>128</v>
      </c>
      <c r="C1943" s="2" t="s">
        <v>129</v>
      </c>
      <c r="D1943" s="20">
        <v>0</v>
      </c>
      <c r="E1943" s="2" t="s">
        <v>838</v>
      </c>
      <c r="F1943" s="2" t="s">
        <v>789</v>
      </c>
      <c r="G1943" s="2" t="s">
        <v>2592</v>
      </c>
      <c r="H1943" s="2" t="s">
        <v>1015</v>
      </c>
      <c r="J1943" s="26"/>
      <c r="K1943" s="36">
        <v>0.11653341</v>
      </c>
      <c r="L1943" s="23">
        <v>1.165334E-2</v>
      </c>
    </row>
    <row r="1944" spans="1:12" ht="15.35" hidden="1" x14ac:dyDescent="0.55000000000000004">
      <c r="A1944" s="20">
        <v>14646</v>
      </c>
      <c r="B1944" s="2" t="s">
        <v>128</v>
      </c>
      <c r="C1944" s="2" t="s">
        <v>129</v>
      </c>
      <c r="D1944" s="20">
        <v>0</v>
      </c>
      <c r="E1944" s="2" t="s">
        <v>838</v>
      </c>
      <c r="F1944" s="2" t="s">
        <v>789</v>
      </c>
      <c r="G1944" s="2" t="s">
        <v>1023</v>
      </c>
      <c r="H1944" s="2" t="s">
        <v>1021</v>
      </c>
      <c r="J1944" s="26"/>
      <c r="K1944" s="36">
        <v>5.8266699999999998E-2</v>
      </c>
      <c r="L1944" s="23">
        <v>5.8266699999999999E-3</v>
      </c>
    </row>
    <row r="1945" spans="1:12" ht="15.35" hidden="1" x14ac:dyDescent="0.55000000000000004">
      <c r="A1945" s="20">
        <v>14644</v>
      </c>
      <c r="B1945" s="2" t="s">
        <v>128</v>
      </c>
      <c r="C1945" s="2" t="s">
        <v>129</v>
      </c>
      <c r="D1945" s="20">
        <v>0</v>
      </c>
      <c r="E1945" s="2" t="s">
        <v>838</v>
      </c>
      <c r="F1945" s="2" t="s">
        <v>789</v>
      </c>
      <c r="G1945" s="2" t="s">
        <v>2593</v>
      </c>
      <c r="H1945" s="2" t="s">
        <v>840</v>
      </c>
      <c r="J1945" s="26"/>
      <c r="K1945" s="36">
        <v>0.11653341</v>
      </c>
      <c r="L1945" s="23">
        <v>1.165334E-2</v>
      </c>
    </row>
    <row r="1946" spans="1:12" ht="15.35" hidden="1" x14ac:dyDescent="0.55000000000000004">
      <c r="A1946" s="20">
        <v>14661</v>
      </c>
      <c r="B1946" s="2" t="s">
        <v>128</v>
      </c>
      <c r="C1946" s="2" t="s">
        <v>129</v>
      </c>
      <c r="D1946" s="20">
        <v>0</v>
      </c>
      <c r="E1946" s="2" t="s">
        <v>838</v>
      </c>
      <c r="F1946" s="2" t="s">
        <v>787</v>
      </c>
      <c r="G1946" s="2" t="s">
        <v>892</v>
      </c>
      <c r="H1946" s="2" t="s">
        <v>892</v>
      </c>
      <c r="J1946" s="26"/>
      <c r="K1946" s="36">
        <v>8.3334930000000002E-2</v>
      </c>
      <c r="L1946" s="23">
        <v>8.3334900000000007E-3</v>
      </c>
    </row>
    <row r="1947" spans="1:12" ht="15.35" hidden="1" x14ac:dyDescent="0.55000000000000004">
      <c r="A1947" s="20">
        <v>14654</v>
      </c>
      <c r="B1947" s="2" t="s">
        <v>128</v>
      </c>
      <c r="C1947" s="2" t="s">
        <v>129</v>
      </c>
      <c r="D1947" s="20">
        <v>0</v>
      </c>
      <c r="E1947" s="2" t="s">
        <v>838</v>
      </c>
      <c r="F1947" s="2" t="s">
        <v>807</v>
      </c>
      <c r="G1947" s="2" t="s">
        <v>2594</v>
      </c>
      <c r="H1947" s="2" t="s">
        <v>1254</v>
      </c>
      <c r="J1947" s="26"/>
      <c r="K1947" s="36">
        <v>2.0325590000000001E-2</v>
      </c>
      <c r="L1947" s="23">
        <v>2.0325600000000001E-3</v>
      </c>
    </row>
    <row r="1948" spans="1:12" ht="15.35" hidden="1" x14ac:dyDescent="0.55000000000000004">
      <c r="A1948" s="20">
        <v>14655</v>
      </c>
      <c r="B1948" s="2" t="s">
        <v>128</v>
      </c>
      <c r="C1948" s="2" t="s">
        <v>129</v>
      </c>
      <c r="D1948" s="20">
        <v>0</v>
      </c>
      <c r="E1948" s="2" t="s">
        <v>838</v>
      </c>
      <c r="F1948" s="2" t="s">
        <v>807</v>
      </c>
      <c r="G1948" s="2" t="s">
        <v>2595</v>
      </c>
      <c r="H1948" s="2" t="s">
        <v>1254</v>
      </c>
      <c r="J1948" s="26"/>
      <c r="K1948" s="36">
        <v>2.0325590000000001E-2</v>
      </c>
      <c r="L1948" s="23">
        <v>2.0325600000000001E-3</v>
      </c>
    </row>
    <row r="1949" spans="1:12" ht="15.35" hidden="1" x14ac:dyDescent="0.55000000000000004">
      <c r="A1949" s="20">
        <v>14656</v>
      </c>
      <c r="B1949" s="2" t="s">
        <v>128</v>
      </c>
      <c r="C1949" s="2" t="s">
        <v>129</v>
      </c>
      <c r="D1949" s="20">
        <v>0</v>
      </c>
      <c r="E1949" s="2" t="s">
        <v>838</v>
      </c>
      <c r="F1949" s="2" t="s">
        <v>807</v>
      </c>
      <c r="G1949" s="2" t="s">
        <v>2596</v>
      </c>
      <c r="H1949" s="2" t="s">
        <v>1254</v>
      </c>
      <c r="J1949" s="26"/>
      <c r="K1949" s="36">
        <v>1.456667E-2</v>
      </c>
      <c r="L1949" s="23">
        <v>1.45667E-3</v>
      </c>
    </row>
    <row r="1950" spans="1:12" ht="15.35" hidden="1" x14ac:dyDescent="0.55000000000000004">
      <c r="A1950" s="20">
        <v>14657</v>
      </c>
      <c r="B1950" s="2" t="s">
        <v>128</v>
      </c>
      <c r="C1950" s="2" t="s">
        <v>129</v>
      </c>
      <c r="D1950" s="20">
        <v>0</v>
      </c>
      <c r="E1950" s="2" t="s">
        <v>838</v>
      </c>
      <c r="F1950" s="2" t="s">
        <v>807</v>
      </c>
      <c r="G1950" s="2" t="s">
        <v>2597</v>
      </c>
      <c r="H1950" s="2" t="s">
        <v>1254</v>
      </c>
      <c r="J1950" s="26"/>
      <c r="K1950" s="36">
        <v>0.10955495</v>
      </c>
      <c r="L1950" s="23">
        <v>1.09555E-2</v>
      </c>
    </row>
    <row r="1951" spans="1:12" ht="15.35" hidden="1" x14ac:dyDescent="0.55000000000000004">
      <c r="A1951" s="20">
        <v>14659</v>
      </c>
      <c r="B1951" s="2" t="s">
        <v>128</v>
      </c>
      <c r="C1951" s="2" t="s">
        <v>129</v>
      </c>
      <c r="D1951" s="20">
        <v>0</v>
      </c>
      <c r="E1951" s="2" t="s">
        <v>838</v>
      </c>
      <c r="F1951" s="2" t="s">
        <v>807</v>
      </c>
      <c r="G1951" s="2" t="s">
        <v>2598</v>
      </c>
      <c r="H1951" s="2" t="s">
        <v>1254</v>
      </c>
      <c r="J1951" s="26"/>
      <c r="K1951" s="36">
        <v>1.456667E-2</v>
      </c>
      <c r="L1951" s="23">
        <v>1.45667E-3</v>
      </c>
    </row>
    <row r="1952" spans="1:12" ht="15.35" hidden="1" x14ac:dyDescent="0.55000000000000004">
      <c r="A1952" s="20">
        <v>14658</v>
      </c>
      <c r="B1952" s="2" t="s">
        <v>128</v>
      </c>
      <c r="C1952" s="2" t="s">
        <v>129</v>
      </c>
      <c r="D1952" s="20">
        <v>0</v>
      </c>
      <c r="E1952" s="2" t="s">
        <v>838</v>
      </c>
      <c r="F1952" s="2" t="s">
        <v>807</v>
      </c>
      <c r="G1952" s="2" t="s">
        <v>2599</v>
      </c>
      <c r="H1952" s="2" t="s">
        <v>1254</v>
      </c>
      <c r="J1952" s="26"/>
      <c r="K1952" s="36">
        <v>1.7615510000000001E-2</v>
      </c>
      <c r="L1952" s="23">
        <v>1.76155E-3</v>
      </c>
    </row>
    <row r="1953" spans="1:12" ht="15.35" hidden="1" x14ac:dyDescent="0.55000000000000004">
      <c r="A1953" s="20">
        <v>14651</v>
      </c>
      <c r="B1953" s="2" t="s">
        <v>128</v>
      </c>
      <c r="C1953" s="2" t="s">
        <v>129</v>
      </c>
      <c r="D1953" s="20">
        <v>0</v>
      </c>
      <c r="E1953" s="2" t="s">
        <v>838</v>
      </c>
      <c r="F1953" s="2" t="s">
        <v>793</v>
      </c>
      <c r="G1953" s="2" t="s">
        <v>2600</v>
      </c>
      <c r="H1953" s="2" t="s">
        <v>1276</v>
      </c>
      <c r="J1953" s="26"/>
      <c r="K1953" s="36">
        <v>2.7642799999999999E-2</v>
      </c>
      <c r="L1953" s="23">
        <v>2.76428E-3</v>
      </c>
    </row>
    <row r="1954" spans="1:12" ht="15.35" hidden="1" x14ac:dyDescent="0.55000000000000004">
      <c r="A1954" s="20">
        <v>14647</v>
      </c>
      <c r="B1954" s="2" t="s">
        <v>128</v>
      </c>
      <c r="C1954" s="2" t="s">
        <v>129</v>
      </c>
      <c r="D1954" s="20">
        <v>0</v>
      </c>
      <c r="E1954" s="2" t="s">
        <v>838</v>
      </c>
      <c r="F1954" s="2" t="s">
        <v>787</v>
      </c>
      <c r="G1954" s="2" t="s">
        <v>916</v>
      </c>
      <c r="H1954" s="2" t="s">
        <v>916</v>
      </c>
      <c r="J1954" s="26"/>
      <c r="K1954" s="36">
        <v>5.8131200000000001E-2</v>
      </c>
      <c r="L1954" s="23">
        <v>5.8131199999999997E-3</v>
      </c>
    </row>
    <row r="1955" spans="1:12" ht="15.35" hidden="1" x14ac:dyDescent="0.55000000000000004">
      <c r="A1955" s="20">
        <v>14641</v>
      </c>
      <c r="B1955" s="2" t="s">
        <v>128</v>
      </c>
      <c r="C1955" s="2" t="s">
        <v>129</v>
      </c>
      <c r="D1955" s="20">
        <v>0</v>
      </c>
      <c r="E1955" s="2" t="s">
        <v>838</v>
      </c>
      <c r="F1955" s="2" t="s">
        <v>848</v>
      </c>
      <c r="G1955" s="2" t="s">
        <v>1060</v>
      </c>
      <c r="H1955" s="2" t="s">
        <v>1060</v>
      </c>
      <c r="J1955" s="26"/>
      <c r="K1955" s="36">
        <v>1.449892E-2</v>
      </c>
      <c r="L1955" s="23">
        <v>1.4498899999999999E-3</v>
      </c>
    </row>
    <row r="1956" spans="1:12" ht="15.35" hidden="1" x14ac:dyDescent="0.55000000000000004">
      <c r="A1956" s="20">
        <v>14639</v>
      </c>
      <c r="B1956" s="2" t="s">
        <v>128</v>
      </c>
      <c r="C1956" s="2" t="s">
        <v>129</v>
      </c>
      <c r="D1956" s="20">
        <v>0</v>
      </c>
      <c r="E1956" s="2" t="s">
        <v>838</v>
      </c>
      <c r="F1956" s="2" t="s">
        <v>848</v>
      </c>
      <c r="G1956" s="2" t="s">
        <v>2100</v>
      </c>
      <c r="H1956" s="2" t="s">
        <v>2100</v>
      </c>
      <c r="J1956" s="26"/>
      <c r="K1956" s="36">
        <v>2.8455830000000001E-2</v>
      </c>
      <c r="L1956" s="23">
        <v>2.8455799999999999E-3</v>
      </c>
    </row>
    <row r="1957" spans="1:12" ht="15.35" hidden="1" x14ac:dyDescent="0.55000000000000004">
      <c r="A1957" s="20">
        <v>14660</v>
      </c>
      <c r="B1957" s="2" t="s">
        <v>128</v>
      </c>
      <c r="C1957" s="2" t="s">
        <v>129</v>
      </c>
      <c r="D1957" s="20">
        <v>0</v>
      </c>
      <c r="E1957" s="2" t="s">
        <v>838</v>
      </c>
      <c r="F1957" s="2" t="s">
        <v>793</v>
      </c>
      <c r="G1957" s="2" t="s">
        <v>1416</v>
      </c>
      <c r="H1957" s="2" t="s">
        <v>1416</v>
      </c>
      <c r="J1957" s="26"/>
      <c r="K1957" s="36">
        <v>0.16937995</v>
      </c>
      <c r="L1957" s="23">
        <v>1.6938000000000002E-2</v>
      </c>
    </row>
    <row r="1958" spans="1:12" ht="15.35" hidden="1" x14ac:dyDescent="0.55000000000000004">
      <c r="A1958" s="20">
        <v>14649</v>
      </c>
      <c r="B1958" s="2" t="s">
        <v>128</v>
      </c>
      <c r="C1958" s="2" t="s">
        <v>129</v>
      </c>
      <c r="D1958" s="20">
        <v>0</v>
      </c>
      <c r="E1958" s="2" t="s">
        <v>838</v>
      </c>
      <c r="F1958" s="2" t="s">
        <v>848</v>
      </c>
      <c r="G1958" s="2" t="s">
        <v>1111</v>
      </c>
      <c r="H1958" s="2" t="s">
        <v>1111</v>
      </c>
      <c r="J1958" s="26"/>
      <c r="K1958" s="36">
        <v>0.10840316999999999</v>
      </c>
      <c r="L1958" s="23">
        <v>1.0840320000000001E-2</v>
      </c>
    </row>
    <row r="1959" spans="1:12" ht="15.35" hidden="1" x14ac:dyDescent="0.55000000000000004">
      <c r="A1959" s="20">
        <v>14643</v>
      </c>
      <c r="B1959" s="2" t="s">
        <v>128</v>
      </c>
      <c r="C1959" s="2" t="s">
        <v>129</v>
      </c>
      <c r="D1959" s="20">
        <v>0</v>
      </c>
      <c r="E1959" s="2" t="s">
        <v>838</v>
      </c>
      <c r="F1959" s="2" t="s">
        <v>848</v>
      </c>
      <c r="G1959" s="2" t="s">
        <v>1153</v>
      </c>
      <c r="H1959" s="2" t="s">
        <v>1153</v>
      </c>
      <c r="J1959" s="26"/>
      <c r="K1959" s="36">
        <v>2.7642799999999999E-2</v>
      </c>
      <c r="L1959" s="23">
        <v>2.76428E-3</v>
      </c>
    </row>
    <row r="1960" spans="1:12" ht="15.35" hidden="1" x14ac:dyDescent="0.55000000000000004">
      <c r="A1960" s="20">
        <v>14648</v>
      </c>
      <c r="B1960" s="2" t="s">
        <v>128</v>
      </c>
      <c r="C1960" s="2" t="s">
        <v>129</v>
      </c>
      <c r="D1960" s="20">
        <v>0</v>
      </c>
      <c r="E1960" s="2" t="s">
        <v>838</v>
      </c>
      <c r="F1960" s="2" t="s">
        <v>787</v>
      </c>
      <c r="G1960" s="2" t="s">
        <v>1164</v>
      </c>
      <c r="H1960" s="2" t="s">
        <v>1164</v>
      </c>
      <c r="J1960" s="26"/>
      <c r="K1960" s="36">
        <v>0.26152279</v>
      </c>
      <c r="L1960" s="23">
        <v>2.615228E-2</v>
      </c>
    </row>
    <row r="1961" spans="1:12" ht="15.35" hidden="1" x14ac:dyDescent="0.55000000000000004">
      <c r="A1961" s="20">
        <v>14650</v>
      </c>
      <c r="B1961" s="2" t="s">
        <v>128</v>
      </c>
      <c r="C1961" s="2" t="s">
        <v>129</v>
      </c>
      <c r="D1961" s="20">
        <v>0</v>
      </c>
      <c r="E1961" s="2" t="s">
        <v>838</v>
      </c>
      <c r="F1961" s="2" t="s">
        <v>793</v>
      </c>
      <c r="G1961" s="2" t="s">
        <v>2601</v>
      </c>
      <c r="H1961" s="2" t="s">
        <v>2572</v>
      </c>
      <c r="J1961" s="26"/>
      <c r="K1961" s="36">
        <v>0.20325594</v>
      </c>
      <c r="L1961" s="23">
        <v>2.0325590000000001E-2</v>
      </c>
    </row>
    <row r="1962" spans="1:12" ht="15.35" hidden="1" x14ac:dyDescent="0.55000000000000004">
      <c r="A1962" s="20">
        <v>14640</v>
      </c>
      <c r="B1962" s="2" t="s">
        <v>128</v>
      </c>
      <c r="C1962" s="2" t="s">
        <v>129</v>
      </c>
      <c r="D1962" s="20">
        <v>0</v>
      </c>
      <c r="E1962" s="2" t="s">
        <v>838</v>
      </c>
      <c r="F1962" s="2" t="s">
        <v>789</v>
      </c>
      <c r="G1962" s="2" t="s">
        <v>1786</v>
      </c>
      <c r="H1962" s="2" t="s">
        <v>1784</v>
      </c>
      <c r="J1962" s="26"/>
      <c r="K1962" s="36">
        <v>1.7412250000000001E-2</v>
      </c>
      <c r="L1962" s="23">
        <v>1.7412300000000001E-3</v>
      </c>
    </row>
    <row r="1963" spans="1:12" ht="15.35" hidden="1" x14ac:dyDescent="0.55000000000000004">
      <c r="A1963" s="20">
        <v>1483</v>
      </c>
      <c r="B1963" s="2" t="s">
        <v>135</v>
      </c>
      <c r="C1963" s="2" t="s">
        <v>136</v>
      </c>
      <c r="D1963" s="20">
        <v>0</v>
      </c>
      <c r="E1963" s="2" t="s">
        <v>63</v>
      </c>
      <c r="F1963" s="2" t="s">
        <v>787</v>
      </c>
      <c r="G1963" s="2" t="s">
        <v>904</v>
      </c>
      <c r="H1963" s="2" t="s">
        <v>904</v>
      </c>
      <c r="I1963" s="2" t="s">
        <v>785</v>
      </c>
      <c r="J1963" s="25">
        <v>45897</v>
      </c>
      <c r="K1963" s="36">
        <v>0.8</v>
      </c>
      <c r="L1963" s="23">
        <v>0.1</v>
      </c>
    </row>
    <row r="1964" spans="1:12" ht="15.35" hidden="1" x14ac:dyDescent="0.55000000000000004">
      <c r="A1964" s="20">
        <v>1484</v>
      </c>
      <c r="B1964" s="2" t="s">
        <v>135</v>
      </c>
      <c r="C1964" s="2" t="s">
        <v>136</v>
      </c>
      <c r="D1964" s="20">
        <v>0</v>
      </c>
      <c r="E1964" s="2" t="s">
        <v>63</v>
      </c>
      <c r="F1964" s="2" t="s">
        <v>787</v>
      </c>
      <c r="G1964" s="2" t="s">
        <v>788</v>
      </c>
      <c r="H1964" s="2" t="s">
        <v>788</v>
      </c>
      <c r="I1964" s="2" t="s">
        <v>785</v>
      </c>
      <c r="J1964" s="25">
        <v>45897</v>
      </c>
      <c r="K1964" s="36">
        <v>0.55679999999999996</v>
      </c>
      <c r="L1964" s="23">
        <v>6.9599999999999995E-2</v>
      </c>
    </row>
    <row r="1965" spans="1:12" ht="15.35" hidden="1" x14ac:dyDescent="0.55000000000000004">
      <c r="A1965" s="20">
        <v>1485</v>
      </c>
      <c r="B1965" s="2" t="s">
        <v>135</v>
      </c>
      <c r="C1965" s="2" t="s">
        <v>136</v>
      </c>
      <c r="D1965" s="20">
        <v>0</v>
      </c>
      <c r="E1965" s="2" t="s">
        <v>63</v>
      </c>
      <c r="F1965" s="2" t="s">
        <v>793</v>
      </c>
      <c r="G1965" s="2" t="s">
        <v>2602</v>
      </c>
      <c r="H1965" s="2" t="s">
        <v>788</v>
      </c>
      <c r="I1965" s="2" t="s">
        <v>785</v>
      </c>
      <c r="J1965" s="25">
        <v>45897</v>
      </c>
      <c r="K1965" s="36">
        <v>0.04</v>
      </c>
      <c r="L1965" s="23">
        <v>5.0000000000000001E-3</v>
      </c>
    </row>
    <row r="1966" spans="1:12" ht="15.35" hidden="1" x14ac:dyDescent="0.55000000000000004">
      <c r="A1966" s="20">
        <v>1480</v>
      </c>
      <c r="B1966" s="2" t="s">
        <v>135</v>
      </c>
      <c r="C1966" s="2" t="s">
        <v>136</v>
      </c>
      <c r="D1966" s="20">
        <v>0</v>
      </c>
      <c r="E1966" s="2" t="s">
        <v>63</v>
      </c>
      <c r="F1966" s="2" t="s">
        <v>787</v>
      </c>
      <c r="G1966" s="2" t="s">
        <v>968</v>
      </c>
      <c r="H1966" s="2" t="s">
        <v>968</v>
      </c>
      <c r="I1966" s="2" t="s">
        <v>785</v>
      </c>
      <c r="J1966" s="25">
        <v>45897</v>
      </c>
      <c r="K1966" s="36">
        <v>0.08</v>
      </c>
      <c r="L1966" s="23">
        <v>0.01</v>
      </c>
    </row>
    <row r="1967" spans="1:12" ht="15.35" hidden="1" x14ac:dyDescent="0.55000000000000004">
      <c r="A1967" s="20">
        <v>1486</v>
      </c>
      <c r="B1967" s="2" t="s">
        <v>135</v>
      </c>
      <c r="C1967" s="2" t="s">
        <v>136</v>
      </c>
      <c r="D1967" s="20">
        <v>0</v>
      </c>
      <c r="E1967" s="2" t="s">
        <v>63</v>
      </c>
      <c r="F1967" s="2" t="s">
        <v>789</v>
      </c>
      <c r="G1967" s="2" t="s">
        <v>791</v>
      </c>
      <c r="H1967" s="2" t="s">
        <v>791</v>
      </c>
      <c r="I1967" s="2" t="s">
        <v>785</v>
      </c>
      <c r="J1967" s="25">
        <v>45897</v>
      </c>
      <c r="K1967" s="36">
        <v>0.44800000000000001</v>
      </c>
      <c r="L1967" s="23">
        <v>5.6000000000000001E-2</v>
      </c>
    </row>
    <row r="1968" spans="1:12" ht="15.35" hidden="1" x14ac:dyDescent="0.55000000000000004">
      <c r="A1968" s="20">
        <v>1481</v>
      </c>
      <c r="B1968" s="2" t="s">
        <v>135</v>
      </c>
      <c r="C1968" s="2" t="s">
        <v>136</v>
      </c>
      <c r="D1968" s="20">
        <v>0</v>
      </c>
      <c r="E1968" s="2" t="s">
        <v>63</v>
      </c>
      <c r="F1968" s="2" t="s">
        <v>787</v>
      </c>
      <c r="G1968" s="2" t="s">
        <v>972</v>
      </c>
      <c r="H1968" s="2" t="s">
        <v>972</v>
      </c>
      <c r="I1968" s="2" t="s">
        <v>785</v>
      </c>
      <c r="J1968" s="25">
        <v>45897</v>
      </c>
      <c r="K1968" s="36">
        <v>0.2</v>
      </c>
      <c r="L1968" s="23">
        <v>2.5000000000000001E-2</v>
      </c>
    </row>
    <row r="1969" spans="1:12" ht="15.35" hidden="1" x14ac:dyDescent="0.55000000000000004">
      <c r="A1969" s="20">
        <v>1489</v>
      </c>
      <c r="B1969" s="2" t="s">
        <v>135</v>
      </c>
      <c r="C1969" s="2" t="s">
        <v>136</v>
      </c>
      <c r="D1969" s="20">
        <v>0</v>
      </c>
      <c r="E1969" s="2" t="s">
        <v>63</v>
      </c>
      <c r="F1969" s="2" t="s">
        <v>813</v>
      </c>
      <c r="G1969" s="2" t="s">
        <v>2603</v>
      </c>
      <c r="H1969" s="2" t="s">
        <v>2603</v>
      </c>
      <c r="I1969" s="2" t="s">
        <v>785</v>
      </c>
      <c r="J1969" s="25">
        <v>45897</v>
      </c>
      <c r="K1969" s="36">
        <v>0.32</v>
      </c>
      <c r="L1969" s="23">
        <v>0.04</v>
      </c>
    </row>
    <row r="1970" spans="1:12" ht="15.35" hidden="1" x14ac:dyDescent="0.55000000000000004">
      <c r="A1970" s="20">
        <v>1488</v>
      </c>
      <c r="B1970" s="2" t="s">
        <v>135</v>
      </c>
      <c r="C1970" s="2" t="s">
        <v>136</v>
      </c>
      <c r="D1970" s="20">
        <v>0</v>
      </c>
      <c r="E1970" s="2" t="s">
        <v>63</v>
      </c>
      <c r="F1970" s="2" t="s">
        <v>813</v>
      </c>
      <c r="G1970" s="2" t="s">
        <v>2604</v>
      </c>
      <c r="H1970" s="2" t="s">
        <v>2604</v>
      </c>
      <c r="I1970" s="2" t="s">
        <v>785</v>
      </c>
      <c r="J1970" s="25">
        <v>45897</v>
      </c>
      <c r="K1970" s="36">
        <v>0.08</v>
      </c>
      <c r="L1970" s="23">
        <v>0.01</v>
      </c>
    </row>
    <row r="1971" spans="1:12" ht="15.35" hidden="1" x14ac:dyDescent="0.55000000000000004">
      <c r="A1971" s="20">
        <v>1490</v>
      </c>
      <c r="B1971" s="2" t="s">
        <v>135</v>
      </c>
      <c r="C1971" s="2" t="s">
        <v>136</v>
      </c>
      <c r="D1971" s="20">
        <v>0</v>
      </c>
      <c r="E1971" s="2" t="s">
        <v>63</v>
      </c>
      <c r="F1971" s="2" t="s">
        <v>807</v>
      </c>
      <c r="G1971" s="2" t="s">
        <v>2605</v>
      </c>
      <c r="H1971" s="2" t="s">
        <v>2605</v>
      </c>
      <c r="I1971" s="2" t="s">
        <v>809</v>
      </c>
      <c r="J1971" s="25">
        <v>46627</v>
      </c>
      <c r="K1971" s="36">
        <v>1.1200000000000001</v>
      </c>
      <c r="L1971" s="23">
        <v>0.14000000000000001</v>
      </c>
    </row>
    <row r="1972" spans="1:12" ht="15.35" hidden="1" x14ac:dyDescent="0.55000000000000004">
      <c r="A1972" s="20">
        <v>1491</v>
      </c>
      <c r="B1972" s="2" t="s">
        <v>135</v>
      </c>
      <c r="C1972" s="2" t="s">
        <v>136</v>
      </c>
      <c r="D1972" s="20">
        <v>0</v>
      </c>
      <c r="E1972" s="2" t="s">
        <v>63</v>
      </c>
      <c r="F1972" s="2" t="s">
        <v>807</v>
      </c>
      <c r="G1972" s="2" t="s">
        <v>2605</v>
      </c>
      <c r="H1972" s="2" t="s">
        <v>2605</v>
      </c>
      <c r="I1972" s="2" t="s">
        <v>809</v>
      </c>
      <c r="J1972" s="25">
        <v>47358</v>
      </c>
      <c r="K1972" s="36">
        <v>1.6</v>
      </c>
      <c r="L1972" s="23">
        <v>0.2</v>
      </c>
    </row>
    <row r="1973" spans="1:12" ht="15.35" hidden="1" x14ac:dyDescent="0.55000000000000004">
      <c r="A1973" s="20">
        <v>1482</v>
      </c>
      <c r="B1973" s="2" t="s">
        <v>135</v>
      </c>
      <c r="C1973" s="2" t="s">
        <v>136</v>
      </c>
      <c r="D1973" s="20">
        <v>0</v>
      </c>
      <c r="E1973" s="2" t="s">
        <v>63</v>
      </c>
      <c r="F1973" s="2" t="s">
        <v>787</v>
      </c>
      <c r="G1973" s="2" t="s">
        <v>922</v>
      </c>
      <c r="H1973" s="2" t="s">
        <v>922</v>
      </c>
      <c r="I1973" s="2" t="s">
        <v>785</v>
      </c>
      <c r="J1973" s="25">
        <v>45897</v>
      </c>
      <c r="K1973" s="36">
        <v>0.32</v>
      </c>
      <c r="L1973" s="23">
        <v>0.04</v>
      </c>
    </row>
    <row r="1974" spans="1:12" ht="15.35" hidden="1" x14ac:dyDescent="0.55000000000000004">
      <c r="A1974" s="20">
        <v>1492</v>
      </c>
      <c r="B1974" s="2" t="s">
        <v>135</v>
      </c>
      <c r="C1974" s="2" t="s">
        <v>136</v>
      </c>
      <c r="D1974" s="20">
        <v>0</v>
      </c>
      <c r="E1974" s="2" t="s">
        <v>63</v>
      </c>
      <c r="F1974" s="2" t="s">
        <v>813</v>
      </c>
      <c r="G1974" s="2" t="s">
        <v>2606</v>
      </c>
      <c r="H1974" s="2" t="s">
        <v>2606</v>
      </c>
      <c r="I1974" s="2" t="s">
        <v>785</v>
      </c>
      <c r="J1974" s="25">
        <v>45897</v>
      </c>
      <c r="K1974" s="36">
        <v>0.1152</v>
      </c>
      <c r="L1974" s="23">
        <v>1.44E-2</v>
      </c>
    </row>
    <row r="1975" spans="1:12" ht="15.35" hidden="1" x14ac:dyDescent="0.55000000000000004">
      <c r="A1975" s="20">
        <v>1477</v>
      </c>
      <c r="B1975" s="2" t="s">
        <v>135</v>
      </c>
      <c r="C1975" s="2" t="s">
        <v>136</v>
      </c>
      <c r="D1975" s="20">
        <v>0</v>
      </c>
      <c r="E1975" s="2" t="s">
        <v>63</v>
      </c>
      <c r="F1975" s="2" t="s">
        <v>813</v>
      </c>
      <c r="G1975" s="2" t="s">
        <v>815</v>
      </c>
      <c r="H1975" s="2" t="s">
        <v>815</v>
      </c>
      <c r="I1975" s="2" t="s">
        <v>785</v>
      </c>
      <c r="J1975" s="25">
        <v>45897</v>
      </c>
      <c r="K1975" s="36">
        <v>0.2</v>
      </c>
      <c r="L1975" s="23">
        <v>2.5000000000000001E-2</v>
      </c>
    </row>
    <row r="1976" spans="1:12" ht="15.35" x14ac:dyDescent="0.55000000000000004">
      <c r="A1976" s="20">
        <v>1478</v>
      </c>
      <c r="B1976" s="2" t="s">
        <v>135</v>
      </c>
      <c r="C1976" s="2" t="s">
        <v>136</v>
      </c>
      <c r="D1976" s="20">
        <v>0</v>
      </c>
      <c r="E1976" s="2" t="s">
        <v>63</v>
      </c>
      <c r="F1976" s="2" t="s">
        <v>811</v>
      </c>
      <c r="G1976" s="2" t="s">
        <v>1712</v>
      </c>
      <c r="I1976" s="2" t="s">
        <v>785</v>
      </c>
      <c r="J1976" s="25">
        <v>45897</v>
      </c>
      <c r="K1976" s="36">
        <v>0.04</v>
      </c>
      <c r="L1976" s="23">
        <v>5.0000000000000001E-3</v>
      </c>
    </row>
    <row r="1977" spans="1:12" ht="15.35" x14ac:dyDescent="0.55000000000000004">
      <c r="A1977" s="20">
        <v>1479</v>
      </c>
      <c r="B1977" s="2" t="s">
        <v>135</v>
      </c>
      <c r="C1977" s="2" t="s">
        <v>136</v>
      </c>
      <c r="D1977" s="20">
        <v>0</v>
      </c>
      <c r="E1977" s="2" t="s">
        <v>63</v>
      </c>
      <c r="F1977" s="2" t="s">
        <v>811</v>
      </c>
      <c r="G1977" s="2" t="s">
        <v>1716</v>
      </c>
      <c r="I1977" s="2" t="s">
        <v>785</v>
      </c>
      <c r="J1977" s="25">
        <v>45897</v>
      </c>
      <c r="K1977" s="36">
        <v>0.04</v>
      </c>
      <c r="L1977" s="23">
        <v>5.0000000000000001E-3</v>
      </c>
    </row>
    <row r="1978" spans="1:12" ht="15.35" x14ac:dyDescent="0.55000000000000004">
      <c r="A1978" s="20">
        <v>1487</v>
      </c>
      <c r="B1978" s="2" t="s">
        <v>135</v>
      </c>
      <c r="C1978" s="2" t="s">
        <v>136</v>
      </c>
      <c r="D1978" s="20">
        <v>0</v>
      </c>
      <c r="E1978" s="2" t="s">
        <v>63</v>
      </c>
      <c r="F1978" s="2" t="s">
        <v>811</v>
      </c>
      <c r="G1978" s="2" t="s">
        <v>2607</v>
      </c>
      <c r="I1978" s="2" t="s">
        <v>785</v>
      </c>
      <c r="J1978" s="25">
        <v>45897</v>
      </c>
      <c r="K1978" s="36">
        <v>0.04</v>
      </c>
      <c r="L1978" s="23">
        <v>5.0000000000000001E-3</v>
      </c>
    </row>
    <row r="1979" spans="1:12" ht="15.35" hidden="1" x14ac:dyDescent="0.55000000000000004">
      <c r="A1979" s="20">
        <v>15421</v>
      </c>
      <c r="B1979" s="2" t="s">
        <v>135</v>
      </c>
      <c r="C1979" s="2" t="s">
        <v>136</v>
      </c>
      <c r="D1979" s="20">
        <v>0</v>
      </c>
      <c r="E1979" s="2" t="s">
        <v>838</v>
      </c>
      <c r="F1979" s="2" t="s">
        <v>811</v>
      </c>
      <c r="G1979" s="2" t="s">
        <v>2608</v>
      </c>
      <c r="H1979" s="2" t="s">
        <v>2609</v>
      </c>
      <c r="J1979" s="26"/>
      <c r="K1979" s="36">
        <v>1.5091739999999999E-2</v>
      </c>
      <c r="L1979" s="23">
        <v>1.8864699999999999E-3</v>
      </c>
    </row>
    <row r="1980" spans="1:12" ht="15.35" hidden="1" x14ac:dyDescent="0.55000000000000004">
      <c r="A1980" s="20">
        <v>15420</v>
      </c>
      <c r="B1980" s="2" t="s">
        <v>135</v>
      </c>
      <c r="C1980" s="2" t="s">
        <v>136</v>
      </c>
      <c r="D1980" s="20">
        <v>0</v>
      </c>
      <c r="E1980" s="2" t="s">
        <v>838</v>
      </c>
      <c r="F1980" s="2" t="s">
        <v>811</v>
      </c>
      <c r="G1980" s="2" t="s">
        <v>2610</v>
      </c>
      <c r="H1980" s="2" t="s">
        <v>2609</v>
      </c>
      <c r="J1980" s="26"/>
      <c r="K1980" s="36">
        <v>1.7821099999999999E-2</v>
      </c>
      <c r="L1980" s="23">
        <v>2.2276399999999999E-3</v>
      </c>
    </row>
    <row r="1981" spans="1:12" ht="15.35" hidden="1" x14ac:dyDescent="0.55000000000000004">
      <c r="A1981" s="20">
        <v>15435</v>
      </c>
      <c r="B1981" s="2" t="s">
        <v>135</v>
      </c>
      <c r="C1981" s="2" t="s">
        <v>136</v>
      </c>
      <c r="D1981" s="20">
        <v>0</v>
      </c>
      <c r="E1981" s="2" t="s">
        <v>838</v>
      </c>
      <c r="F1981" s="2" t="s">
        <v>793</v>
      </c>
      <c r="G1981" s="2" t="s">
        <v>1005</v>
      </c>
      <c r="H1981" s="2" t="s">
        <v>1006</v>
      </c>
      <c r="J1981" s="26"/>
      <c r="K1981" s="36">
        <v>1.043577E-2</v>
      </c>
      <c r="L1981" s="23">
        <v>1.3044700000000001E-3</v>
      </c>
    </row>
    <row r="1982" spans="1:12" ht="15.35" hidden="1" x14ac:dyDescent="0.55000000000000004">
      <c r="A1982" s="20">
        <v>15446</v>
      </c>
      <c r="B1982" s="2" t="s">
        <v>135</v>
      </c>
      <c r="C1982" s="2" t="s">
        <v>136</v>
      </c>
      <c r="D1982" s="20">
        <v>0</v>
      </c>
      <c r="E1982" s="2" t="s">
        <v>838</v>
      </c>
      <c r="F1982" s="2" t="s">
        <v>787</v>
      </c>
      <c r="G1982" s="2" t="s">
        <v>1007</v>
      </c>
      <c r="H1982" s="2" t="s">
        <v>1007</v>
      </c>
      <c r="J1982" s="26"/>
      <c r="K1982" s="36">
        <v>7.2247699999999998E-2</v>
      </c>
      <c r="L1982" s="23">
        <v>9.0309599999999993E-3</v>
      </c>
    </row>
    <row r="1983" spans="1:12" ht="15.35" hidden="1" x14ac:dyDescent="0.55000000000000004">
      <c r="A1983" s="20">
        <v>15402</v>
      </c>
      <c r="B1983" s="2" t="s">
        <v>135</v>
      </c>
      <c r="C1983" s="2" t="s">
        <v>136</v>
      </c>
      <c r="D1983" s="20">
        <v>0</v>
      </c>
      <c r="E1983" s="2" t="s">
        <v>838</v>
      </c>
      <c r="F1983" s="2" t="s">
        <v>793</v>
      </c>
      <c r="G1983" s="2" t="s">
        <v>1008</v>
      </c>
      <c r="H1983" s="2" t="s">
        <v>1007</v>
      </c>
      <c r="J1983" s="26"/>
      <c r="K1983" s="36">
        <v>9.6330200000000008E-3</v>
      </c>
      <c r="L1983" s="23">
        <v>1.2041300000000001E-3</v>
      </c>
    </row>
    <row r="1984" spans="1:12" ht="15.35" hidden="1" x14ac:dyDescent="0.55000000000000004">
      <c r="A1984" s="20">
        <v>15413</v>
      </c>
      <c r="B1984" s="2" t="s">
        <v>135</v>
      </c>
      <c r="C1984" s="2" t="s">
        <v>136</v>
      </c>
      <c r="D1984" s="20">
        <v>0</v>
      </c>
      <c r="E1984" s="2" t="s">
        <v>838</v>
      </c>
      <c r="F1984" s="2" t="s">
        <v>793</v>
      </c>
      <c r="G1984" s="2" t="s">
        <v>1009</v>
      </c>
      <c r="H1984" s="2" t="s">
        <v>1007</v>
      </c>
      <c r="J1984" s="26"/>
      <c r="K1984" s="36">
        <v>9.6330200000000008E-3</v>
      </c>
      <c r="L1984" s="23">
        <v>1.2041300000000001E-3</v>
      </c>
    </row>
    <row r="1985" spans="1:12" ht="15.35" hidden="1" x14ac:dyDescent="0.55000000000000004">
      <c r="A1985" s="20">
        <v>15424</v>
      </c>
      <c r="B1985" s="2" t="s">
        <v>135</v>
      </c>
      <c r="C1985" s="2" t="s">
        <v>136</v>
      </c>
      <c r="D1985" s="20">
        <v>0</v>
      </c>
      <c r="E1985" s="2" t="s">
        <v>838</v>
      </c>
      <c r="F1985" s="2" t="s">
        <v>817</v>
      </c>
      <c r="G1985" s="2" t="s">
        <v>1010</v>
      </c>
      <c r="H1985" s="2" t="s">
        <v>1011</v>
      </c>
      <c r="J1985" s="26"/>
      <c r="K1985" s="36">
        <v>6.4220099999999997E-3</v>
      </c>
      <c r="L1985" s="23">
        <v>8.0274999999999997E-4</v>
      </c>
    </row>
    <row r="1986" spans="1:12" ht="15.35" hidden="1" x14ac:dyDescent="0.55000000000000004">
      <c r="A1986" s="20">
        <v>15425</v>
      </c>
      <c r="B1986" s="2" t="s">
        <v>135</v>
      </c>
      <c r="C1986" s="2" t="s">
        <v>136</v>
      </c>
      <c r="D1986" s="20">
        <v>0</v>
      </c>
      <c r="E1986" s="2" t="s">
        <v>838</v>
      </c>
      <c r="F1986" s="2" t="s">
        <v>793</v>
      </c>
      <c r="G1986" s="2" t="s">
        <v>2589</v>
      </c>
      <c r="H1986" s="2" t="s">
        <v>1220</v>
      </c>
      <c r="J1986" s="26"/>
      <c r="K1986" s="36">
        <v>1.444954E-2</v>
      </c>
      <c r="L1986" s="23">
        <v>1.8061900000000001E-3</v>
      </c>
    </row>
    <row r="1987" spans="1:12" ht="15.35" hidden="1" x14ac:dyDescent="0.55000000000000004">
      <c r="A1987" s="20">
        <v>15415</v>
      </c>
      <c r="B1987" s="2" t="s">
        <v>135</v>
      </c>
      <c r="C1987" s="2" t="s">
        <v>136</v>
      </c>
      <c r="D1987" s="20">
        <v>0</v>
      </c>
      <c r="E1987" s="2" t="s">
        <v>838</v>
      </c>
      <c r="F1987" s="2" t="s">
        <v>807</v>
      </c>
      <c r="G1987" s="2" t="s">
        <v>2611</v>
      </c>
      <c r="H1987" s="2" t="s">
        <v>1254</v>
      </c>
      <c r="J1987" s="26"/>
      <c r="K1987" s="36">
        <v>1.444954E-2</v>
      </c>
      <c r="L1987" s="23">
        <v>1.8061900000000001E-3</v>
      </c>
    </row>
    <row r="1988" spans="1:12" ht="15.35" hidden="1" x14ac:dyDescent="0.55000000000000004">
      <c r="A1988" s="20">
        <v>15404</v>
      </c>
      <c r="B1988" s="2" t="s">
        <v>135</v>
      </c>
      <c r="C1988" s="2" t="s">
        <v>136</v>
      </c>
      <c r="D1988" s="20">
        <v>0</v>
      </c>
      <c r="E1988" s="2" t="s">
        <v>838</v>
      </c>
      <c r="F1988" s="2" t="s">
        <v>807</v>
      </c>
      <c r="G1988" s="2" t="s">
        <v>2612</v>
      </c>
      <c r="H1988" s="2" t="s">
        <v>1254</v>
      </c>
      <c r="J1988" s="26"/>
      <c r="K1988" s="36">
        <v>1.605504E-2</v>
      </c>
      <c r="L1988" s="23">
        <v>2.0068799999999999E-3</v>
      </c>
    </row>
    <row r="1989" spans="1:12" ht="15.35" hidden="1" x14ac:dyDescent="0.55000000000000004">
      <c r="A1989" s="20">
        <v>15441</v>
      </c>
      <c r="B1989" s="2" t="s">
        <v>135</v>
      </c>
      <c r="C1989" s="2" t="s">
        <v>136</v>
      </c>
      <c r="D1989" s="20">
        <v>0</v>
      </c>
      <c r="E1989" s="2" t="s">
        <v>838</v>
      </c>
      <c r="F1989" s="2" t="s">
        <v>817</v>
      </c>
      <c r="G1989" s="2" t="s">
        <v>1030</v>
      </c>
      <c r="H1989" s="2" t="s">
        <v>1031</v>
      </c>
      <c r="J1989" s="26"/>
      <c r="K1989" s="36">
        <v>3.8532110000000001E-2</v>
      </c>
      <c r="L1989" s="23">
        <v>4.8165100000000004E-3</v>
      </c>
    </row>
    <row r="1990" spans="1:12" ht="15.35" hidden="1" x14ac:dyDescent="0.55000000000000004">
      <c r="A1990" s="20">
        <v>15440</v>
      </c>
      <c r="B1990" s="2" t="s">
        <v>135</v>
      </c>
      <c r="C1990" s="2" t="s">
        <v>136</v>
      </c>
      <c r="D1990" s="20">
        <v>0</v>
      </c>
      <c r="E1990" s="2" t="s">
        <v>838</v>
      </c>
      <c r="F1990" s="2" t="s">
        <v>789</v>
      </c>
      <c r="G1990" s="2" t="s">
        <v>1033</v>
      </c>
      <c r="H1990" s="2" t="s">
        <v>1033</v>
      </c>
      <c r="J1990" s="26"/>
      <c r="K1990" s="36">
        <v>2.2477E-3</v>
      </c>
      <c r="L1990" s="23">
        <v>2.8096000000000002E-4</v>
      </c>
    </row>
    <row r="1991" spans="1:12" ht="15.35" hidden="1" x14ac:dyDescent="0.55000000000000004">
      <c r="A1991" s="20">
        <v>15433</v>
      </c>
      <c r="B1991" s="2" t="s">
        <v>135</v>
      </c>
      <c r="C1991" s="2" t="s">
        <v>136</v>
      </c>
      <c r="D1991" s="20">
        <v>0</v>
      </c>
      <c r="E1991" s="2" t="s">
        <v>838</v>
      </c>
      <c r="F1991" s="2" t="s">
        <v>789</v>
      </c>
      <c r="G1991" s="2" t="s">
        <v>1279</v>
      </c>
      <c r="H1991" s="2" t="s">
        <v>1033</v>
      </c>
      <c r="J1991" s="26"/>
      <c r="K1991" s="36">
        <v>2.2477E-3</v>
      </c>
      <c r="L1991" s="23">
        <v>2.8096000000000002E-4</v>
      </c>
    </row>
    <row r="1992" spans="1:12" ht="15.35" hidden="1" x14ac:dyDescent="0.55000000000000004">
      <c r="A1992" s="20">
        <v>15429</v>
      </c>
      <c r="B1992" s="2" t="s">
        <v>135</v>
      </c>
      <c r="C1992" s="2" t="s">
        <v>136</v>
      </c>
      <c r="D1992" s="20">
        <v>0</v>
      </c>
      <c r="E1992" s="2" t="s">
        <v>838</v>
      </c>
      <c r="F1992" s="2" t="s">
        <v>789</v>
      </c>
      <c r="G1992" s="2" t="s">
        <v>1280</v>
      </c>
      <c r="H1992" s="2" t="s">
        <v>1033</v>
      </c>
      <c r="J1992" s="26"/>
      <c r="K1992" s="36">
        <v>6.2614599999999999E-3</v>
      </c>
      <c r="L1992" s="23">
        <v>7.8268000000000001E-4</v>
      </c>
    </row>
    <row r="1993" spans="1:12" ht="15.35" hidden="1" x14ac:dyDescent="0.55000000000000004">
      <c r="A1993" s="20">
        <v>15405</v>
      </c>
      <c r="B1993" s="2" t="s">
        <v>135</v>
      </c>
      <c r="C1993" s="2" t="s">
        <v>136</v>
      </c>
      <c r="D1993" s="20">
        <v>0</v>
      </c>
      <c r="E1993" s="2" t="s">
        <v>838</v>
      </c>
      <c r="F1993" s="2" t="s">
        <v>789</v>
      </c>
      <c r="G1993" s="2" t="s">
        <v>1281</v>
      </c>
      <c r="H1993" s="2" t="s">
        <v>1033</v>
      </c>
      <c r="J1993" s="26"/>
      <c r="K1993" s="36">
        <v>6.2614599999999999E-3</v>
      </c>
      <c r="L1993" s="23">
        <v>7.8268000000000001E-4</v>
      </c>
    </row>
    <row r="1994" spans="1:12" ht="15.35" hidden="1" x14ac:dyDescent="0.55000000000000004">
      <c r="A1994" s="20">
        <v>15442</v>
      </c>
      <c r="B1994" s="2" t="s">
        <v>135</v>
      </c>
      <c r="C1994" s="2" t="s">
        <v>136</v>
      </c>
      <c r="D1994" s="20">
        <v>0</v>
      </c>
      <c r="E1994" s="2" t="s">
        <v>838</v>
      </c>
      <c r="F1994" s="2" t="s">
        <v>789</v>
      </c>
      <c r="G1994" s="2" t="s">
        <v>2613</v>
      </c>
      <c r="H1994" s="2" t="s">
        <v>1033</v>
      </c>
      <c r="J1994" s="26"/>
      <c r="K1994" s="36">
        <v>1.9266000000000001E-3</v>
      </c>
      <c r="L1994" s="23">
        <v>2.4081999999999999E-4</v>
      </c>
    </row>
    <row r="1995" spans="1:12" ht="15.35" hidden="1" x14ac:dyDescent="0.55000000000000004">
      <c r="A1995" s="20">
        <v>15411</v>
      </c>
      <c r="B1995" s="2" t="s">
        <v>135</v>
      </c>
      <c r="C1995" s="2" t="s">
        <v>136</v>
      </c>
      <c r="D1995" s="20">
        <v>0</v>
      </c>
      <c r="E1995" s="2" t="s">
        <v>838</v>
      </c>
      <c r="F1995" s="2" t="s">
        <v>787</v>
      </c>
      <c r="G1995" s="2" t="s">
        <v>975</v>
      </c>
      <c r="H1995" s="2" t="s">
        <v>975</v>
      </c>
      <c r="J1995" s="26"/>
      <c r="K1995" s="36">
        <v>4.8165100000000004E-3</v>
      </c>
      <c r="L1995" s="23">
        <v>6.0205999999999996E-4</v>
      </c>
    </row>
    <row r="1996" spans="1:12" ht="15.35" hidden="1" x14ac:dyDescent="0.55000000000000004">
      <c r="A1996" s="20">
        <v>15444</v>
      </c>
      <c r="B1996" s="2" t="s">
        <v>135</v>
      </c>
      <c r="C1996" s="2" t="s">
        <v>136</v>
      </c>
      <c r="D1996" s="20">
        <v>0</v>
      </c>
      <c r="E1996" s="2" t="s">
        <v>838</v>
      </c>
      <c r="F1996" s="2" t="s">
        <v>817</v>
      </c>
      <c r="G1996" s="2" t="s">
        <v>2614</v>
      </c>
      <c r="H1996" s="2" t="s">
        <v>802</v>
      </c>
      <c r="J1996" s="26"/>
      <c r="K1996" s="36">
        <v>1.2844029999999999E-2</v>
      </c>
      <c r="L1996" s="23">
        <v>1.6054999999999999E-3</v>
      </c>
    </row>
    <row r="1997" spans="1:12" ht="15.35" hidden="1" x14ac:dyDescent="0.55000000000000004">
      <c r="A1997" s="20">
        <v>15437</v>
      </c>
      <c r="B1997" s="2" t="s">
        <v>135</v>
      </c>
      <c r="C1997" s="2" t="s">
        <v>136</v>
      </c>
      <c r="D1997" s="20">
        <v>0</v>
      </c>
      <c r="E1997" s="2" t="s">
        <v>838</v>
      </c>
      <c r="F1997" s="2" t="s">
        <v>793</v>
      </c>
      <c r="G1997" s="2" t="s">
        <v>2615</v>
      </c>
      <c r="H1997" s="2" t="s">
        <v>802</v>
      </c>
      <c r="J1997" s="26"/>
      <c r="K1997" s="36">
        <v>3.2109999999999999E-3</v>
      </c>
      <c r="L1997" s="23">
        <v>4.0137000000000001E-4</v>
      </c>
    </row>
    <row r="1998" spans="1:12" ht="15.35" hidden="1" x14ac:dyDescent="0.55000000000000004">
      <c r="A1998" s="20">
        <v>15406</v>
      </c>
      <c r="B1998" s="2" t="s">
        <v>135</v>
      </c>
      <c r="C1998" s="2" t="s">
        <v>136</v>
      </c>
      <c r="D1998" s="20">
        <v>0</v>
      </c>
      <c r="E1998" s="2" t="s">
        <v>838</v>
      </c>
      <c r="F1998" s="2" t="s">
        <v>793</v>
      </c>
      <c r="G1998" s="2" t="s">
        <v>2616</v>
      </c>
      <c r="H1998" s="2" t="s">
        <v>802</v>
      </c>
      <c r="J1998" s="26"/>
      <c r="K1998" s="36">
        <v>3.2109999999999999E-3</v>
      </c>
      <c r="L1998" s="23">
        <v>4.0137000000000001E-4</v>
      </c>
    </row>
    <row r="1999" spans="1:12" ht="15.35" hidden="1" x14ac:dyDescent="0.55000000000000004">
      <c r="A1999" s="20">
        <v>15450</v>
      </c>
      <c r="B1999" s="2" t="s">
        <v>135</v>
      </c>
      <c r="C1999" s="2" t="s">
        <v>136</v>
      </c>
      <c r="D1999" s="20">
        <v>0</v>
      </c>
      <c r="E1999" s="2" t="s">
        <v>838</v>
      </c>
      <c r="F1999" s="2" t="s">
        <v>798</v>
      </c>
      <c r="G1999" s="2" t="s">
        <v>2617</v>
      </c>
      <c r="H1999" s="2" t="s">
        <v>802</v>
      </c>
      <c r="J1999" s="26"/>
      <c r="K1999" s="36">
        <v>2.0871549999999999E-2</v>
      </c>
      <c r="L1999" s="23">
        <v>2.6089400000000001E-3</v>
      </c>
    </row>
    <row r="2000" spans="1:12" ht="15.35" hidden="1" x14ac:dyDescent="0.55000000000000004">
      <c r="A2000" s="20">
        <v>15427</v>
      </c>
      <c r="B2000" s="2" t="s">
        <v>135</v>
      </c>
      <c r="C2000" s="2" t="s">
        <v>136</v>
      </c>
      <c r="D2000" s="20">
        <v>0</v>
      </c>
      <c r="E2000" s="2" t="s">
        <v>838</v>
      </c>
      <c r="F2000" s="2" t="s">
        <v>787</v>
      </c>
      <c r="G2000" s="2" t="s">
        <v>916</v>
      </c>
      <c r="H2000" s="2" t="s">
        <v>916</v>
      </c>
      <c r="J2000" s="26"/>
      <c r="K2000" s="36">
        <v>3.2110090000000001E-2</v>
      </c>
      <c r="L2000" s="23">
        <v>4.0137599999999999E-3</v>
      </c>
    </row>
    <row r="2001" spans="1:12" ht="15.35" hidden="1" x14ac:dyDescent="0.55000000000000004">
      <c r="A2001" s="20">
        <v>15428</v>
      </c>
      <c r="B2001" s="2" t="s">
        <v>135</v>
      </c>
      <c r="C2001" s="2" t="s">
        <v>136</v>
      </c>
      <c r="D2001" s="20">
        <v>0</v>
      </c>
      <c r="E2001" s="2" t="s">
        <v>838</v>
      </c>
      <c r="F2001" s="2" t="s">
        <v>793</v>
      </c>
      <c r="G2001" s="2" t="s">
        <v>2618</v>
      </c>
      <c r="H2001" s="2" t="s">
        <v>979</v>
      </c>
      <c r="J2001" s="26"/>
      <c r="K2001" s="36">
        <v>2.8899080000000001E-2</v>
      </c>
      <c r="L2001" s="23">
        <v>3.61239E-3</v>
      </c>
    </row>
    <row r="2002" spans="1:12" ht="15.35" hidden="1" x14ac:dyDescent="0.55000000000000004">
      <c r="A2002" s="20">
        <v>15403</v>
      </c>
      <c r="B2002" s="2" t="s">
        <v>135</v>
      </c>
      <c r="C2002" s="2" t="s">
        <v>136</v>
      </c>
      <c r="D2002" s="20">
        <v>0</v>
      </c>
      <c r="E2002" s="2" t="s">
        <v>838</v>
      </c>
      <c r="F2002" s="2" t="s">
        <v>793</v>
      </c>
      <c r="G2002" s="2" t="s">
        <v>2619</v>
      </c>
      <c r="H2002" s="2" t="s">
        <v>979</v>
      </c>
      <c r="J2002" s="26"/>
      <c r="K2002" s="36">
        <v>2.8899080000000001E-2</v>
      </c>
      <c r="L2002" s="23">
        <v>3.61239E-3</v>
      </c>
    </row>
    <row r="2003" spans="1:12" ht="15.35" hidden="1" x14ac:dyDescent="0.55000000000000004">
      <c r="A2003" s="20">
        <v>15431</v>
      </c>
      <c r="B2003" s="2" t="s">
        <v>135</v>
      </c>
      <c r="C2003" s="2" t="s">
        <v>136</v>
      </c>
      <c r="D2003" s="20">
        <v>0</v>
      </c>
      <c r="E2003" s="2" t="s">
        <v>838</v>
      </c>
      <c r="F2003" s="2" t="s">
        <v>848</v>
      </c>
      <c r="G2003" s="2" t="s">
        <v>924</v>
      </c>
      <c r="H2003" s="2" t="s">
        <v>924</v>
      </c>
      <c r="J2003" s="26"/>
      <c r="K2003" s="36">
        <v>7.3853210000000002E-2</v>
      </c>
      <c r="L2003" s="23">
        <v>9.2316499999999992E-3</v>
      </c>
    </row>
    <row r="2004" spans="1:12" ht="15.35" hidden="1" x14ac:dyDescent="0.55000000000000004">
      <c r="A2004" s="20">
        <v>15418</v>
      </c>
      <c r="B2004" s="2" t="s">
        <v>135</v>
      </c>
      <c r="C2004" s="2" t="s">
        <v>136</v>
      </c>
      <c r="D2004" s="20">
        <v>0</v>
      </c>
      <c r="E2004" s="2" t="s">
        <v>838</v>
      </c>
      <c r="F2004" s="2" t="s">
        <v>787</v>
      </c>
      <c r="G2004" s="2" t="s">
        <v>926</v>
      </c>
      <c r="H2004" s="2" t="s">
        <v>926</v>
      </c>
      <c r="J2004" s="26"/>
      <c r="K2004" s="36">
        <v>3.2110090000000001E-2</v>
      </c>
      <c r="L2004" s="23">
        <v>4.0137599999999999E-3</v>
      </c>
    </row>
    <row r="2005" spans="1:12" ht="15.35" hidden="1" x14ac:dyDescent="0.55000000000000004">
      <c r="A2005" s="20">
        <v>15445</v>
      </c>
      <c r="B2005" s="2" t="s">
        <v>135</v>
      </c>
      <c r="C2005" s="2" t="s">
        <v>136</v>
      </c>
      <c r="D2005" s="20">
        <v>0</v>
      </c>
      <c r="E2005" s="2" t="s">
        <v>838</v>
      </c>
      <c r="F2005" s="2" t="s">
        <v>848</v>
      </c>
      <c r="G2005" s="2" t="s">
        <v>1095</v>
      </c>
      <c r="H2005" s="2" t="s">
        <v>1095</v>
      </c>
      <c r="J2005" s="26"/>
      <c r="K2005" s="36">
        <v>8.0275219999999994E-2</v>
      </c>
      <c r="L2005" s="23">
        <v>1.0034400000000001E-2</v>
      </c>
    </row>
    <row r="2006" spans="1:12" ht="15.35" hidden="1" x14ac:dyDescent="0.55000000000000004">
      <c r="A2006" s="20">
        <v>15423</v>
      </c>
      <c r="B2006" s="2" t="s">
        <v>135</v>
      </c>
      <c r="C2006" s="2" t="s">
        <v>136</v>
      </c>
      <c r="D2006" s="20">
        <v>0</v>
      </c>
      <c r="E2006" s="2" t="s">
        <v>838</v>
      </c>
      <c r="F2006" s="2" t="s">
        <v>848</v>
      </c>
      <c r="G2006" s="2" t="s">
        <v>1097</v>
      </c>
      <c r="H2006" s="2" t="s">
        <v>1097</v>
      </c>
      <c r="J2006" s="26"/>
      <c r="K2006" s="36">
        <v>0.19266079999999999</v>
      </c>
      <c r="L2006" s="23">
        <v>2.4082599999999999E-2</v>
      </c>
    </row>
    <row r="2007" spans="1:12" ht="15.35" hidden="1" x14ac:dyDescent="0.55000000000000004">
      <c r="A2007" s="20">
        <v>15416</v>
      </c>
      <c r="B2007" s="2" t="s">
        <v>135</v>
      </c>
      <c r="C2007" s="2" t="s">
        <v>136</v>
      </c>
      <c r="D2007" s="20">
        <v>0</v>
      </c>
      <c r="E2007" s="2" t="s">
        <v>838</v>
      </c>
      <c r="F2007" s="2" t="s">
        <v>793</v>
      </c>
      <c r="G2007" s="2" t="s">
        <v>2620</v>
      </c>
      <c r="H2007" s="2" t="s">
        <v>873</v>
      </c>
      <c r="J2007" s="26"/>
      <c r="K2007" s="36">
        <v>6.1009100000000002E-3</v>
      </c>
      <c r="L2007" s="23">
        <v>7.6261000000000005E-4</v>
      </c>
    </row>
    <row r="2008" spans="1:12" ht="15.35" hidden="1" x14ac:dyDescent="0.55000000000000004">
      <c r="A2008" s="20">
        <v>15449</v>
      </c>
      <c r="B2008" s="2" t="s">
        <v>135</v>
      </c>
      <c r="C2008" s="2" t="s">
        <v>136</v>
      </c>
      <c r="D2008" s="20">
        <v>0</v>
      </c>
      <c r="E2008" s="2" t="s">
        <v>838</v>
      </c>
      <c r="F2008" s="2" t="s">
        <v>793</v>
      </c>
      <c r="G2008" s="2" t="s">
        <v>1414</v>
      </c>
      <c r="H2008" s="2" t="s">
        <v>1414</v>
      </c>
      <c r="J2008" s="26"/>
      <c r="K2008" s="36">
        <v>3.8853209999999999E-2</v>
      </c>
      <c r="L2008" s="23">
        <v>4.8566499999999997E-3</v>
      </c>
    </row>
    <row r="2009" spans="1:12" ht="15.35" hidden="1" x14ac:dyDescent="0.55000000000000004">
      <c r="A2009" s="20">
        <v>15422</v>
      </c>
      <c r="B2009" s="2" t="s">
        <v>135</v>
      </c>
      <c r="C2009" s="2" t="s">
        <v>136</v>
      </c>
      <c r="D2009" s="20">
        <v>0</v>
      </c>
      <c r="E2009" s="2" t="s">
        <v>838</v>
      </c>
      <c r="F2009" s="2" t="s">
        <v>848</v>
      </c>
      <c r="G2009" s="2" t="s">
        <v>1439</v>
      </c>
      <c r="H2009" s="2" t="s">
        <v>1439</v>
      </c>
      <c r="J2009" s="26"/>
      <c r="K2009" s="36">
        <v>9.6330200000000008E-3</v>
      </c>
      <c r="L2009" s="23">
        <v>1.2041300000000001E-3</v>
      </c>
    </row>
    <row r="2010" spans="1:12" ht="15.35" hidden="1" x14ac:dyDescent="0.55000000000000004">
      <c r="A2010" s="20">
        <v>15443</v>
      </c>
      <c r="B2010" s="2" t="s">
        <v>135</v>
      </c>
      <c r="C2010" s="2" t="s">
        <v>136</v>
      </c>
      <c r="D2010" s="20">
        <v>0</v>
      </c>
      <c r="E2010" s="2" t="s">
        <v>838</v>
      </c>
      <c r="F2010" s="2" t="s">
        <v>793</v>
      </c>
      <c r="G2010" s="2" t="s">
        <v>2621</v>
      </c>
      <c r="H2010" s="2" t="s">
        <v>933</v>
      </c>
      <c r="J2010" s="26"/>
      <c r="K2010" s="36">
        <v>4.0137599999999999E-3</v>
      </c>
      <c r="L2010" s="23">
        <v>5.0171999999999999E-4</v>
      </c>
    </row>
    <row r="2011" spans="1:12" ht="15.35" hidden="1" x14ac:dyDescent="0.55000000000000004">
      <c r="A2011" s="20">
        <v>15417</v>
      </c>
      <c r="B2011" s="2" t="s">
        <v>135</v>
      </c>
      <c r="C2011" s="2" t="s">
        <v>136</v>
      </c>
      <c r="D2011" s="20">
        <v>0</v>
      </c>
      <c r="E2011" s="2" t="s">
        <v>838</v>
      </c>
      <c r="F2011" s="2" t="s">
        <v>848</v>
      </c>
      <c r="G2011" s="2" t="s">
        <v>1111</v>
      </c>
      <c r="H2011" s="2" t="s">
        <v>1111</v>
      </c>
      <c r="J2011" s="26"/>
      <c r="K2011" s="36">
        <v>1.7660550000000001E-2</v>
      </c>
      <c r="L2011" s="23">
        <v>2.2075699999999998E-3</v>
      </c>
    </row>
    <row r="2012" spans="1:12" ht="15.35" hidden="1" x14ac:dyDescent="0.55000000000000004">
      <c r="A2012" s="20">
        <v>15430</v>
      </c>
      <c r="B2012" s="2" t="s">
        <v>135</v>
      </c>
      <c r="C2012" s="2" t="s">
        <v>136</v>
      </c>
      <c r="D2012" s="20">
        <v>0</v>
      </c>
      <c r="E2012" s="2" t="s">
        <v>838</v>
      </c>
      <c r="F2012" s="2" t="s">
        <v>787</v>
      </c>
      <c r="G2012" s="2" t="s">
        <v>939</v>
      </c>
      <c r="H2012" s="2" t="s">
        <v>939</v>
      </c>
      <c r="J2012" s="26"/>
      <c r="K2012" s="36">
        <v>0.11238532</v>
      </c>
      <c r="L2012" s="23">
        <v>1.4048160000000001E-2</v>
      </c>
    </row>
    <row r="2013" spans="1:12" ht="15.35" hidden="1" x14ac:dyDescent="0.55000000000000004">
      <c r="A2013" s="20">
        <v>15434</v>
      </c>
      <c r="B2013" s="2" t="s">
        <v>135</v>
      </c>
      <c r="C2013" s="2" t="s">
        <v>136</v>
      </c>
      <c r="D2013" s="20">
        <v>0</v>
      </c>
      <c r="E2013" s="2" t="s">
        <v>838</v>
      </c>
      <c r="F2013" s="2" t="s">
        <v>817</v>
      </c>
      <c r="G2013" s="2" t="s">
        <v>1117</v>
      </c>
      <c r="H2013" s="2" t="s">
        <v>942</v>
      </c>
      <c r="J2013" s="26"/>
      <c r="K2013" s="36">
        <v>6.4220099999999997E-3</v>
      </c>
      <c r="L2013" s="23">
        <v>8.0274999999999997E-4</v>
      </c>
    </row>
    <row r="2014" spans="1:12" ht="15.35" hidden="1" x14ac:dyDescent="0.55000000000000004">
      <c r="A2014" s="20">
        <v>15436</v>
      </c>
      <c r="B2014" s="2" t="s">
        <v>135</v>
      </c>
      <c r="C2014" s="2" t="s">
        <v>136</v>
      </c>
      <c r="D2014" s="20">
        <v>0</v>
      </c>
      <c r="E2014" s="2" t="s">
        <v>838</v>
      </c>
      <c r="F2014" s="2" t="s">
        <v>789</v>
      </c>
      <c r="G2014" s="2" t="s">
        <v>2622</v>
      </c>
      <c r="H2014" s="2" t="s">
        <v>944</v>
      </c>
      <c r="J2014" s="26"/>
      <c r="K2014" s="36">
        <v>2.568807E-2</v>
      </c>
      <c r="L2014" s="23">
        <v>3.2110099999999998E-3</v>
      </c>
    </row>
    <row r="2015" spans="1:12" ht="15.35" hidden="1" x14ac:dyDescent="0.55000000000000004">
      <c r="A2015" s="20">
        <v>15419</v>
      </c>
      <c r="B2015" s="2" t="s">
        <v>135</v>
      </c>
      <c r="C2015" s="2" t="s">
        <v>136</v>
      </c>
      <c r="D2015" s="20">
        <v>0</v>
      </c>
      <c r="E2015" s="2" t="s">
        <v>838</v>
      </c>
      <c r="F2015" s="2" t="s">
        <v>789</v>
      </c>
      <c r="G2015" s="2" t="s">
        <v>1130</v>
      </c>
      <c r="H2015" s="2" t="s">
        <v>946</v>
      </c>
      <c r="J2015" s="26"/>
      <c r="K2015" s="36">
        <v>1.6054999999999999E-3</v>
      </c>
      <c r="L2015" s="23">
        <v>2.0069E-4</v>
      </c>
    </row>
    <row r="2016" spans="1:12" ht="15.35" hidden="1" x14ac:dyDescent="0.55000000000000004">
      <c r="A2016" s="20">
        <v>15408</v>
      </c>
      <c r="B2016" s="2" t="s">
        <v>135</v>
      </c>
      <c r="C2016" s="2" t="s">
        <v>136</v>
      </c>
      <c r="D2016" s="20">
        <v>0</v>
      </c>
      <c r="E2016" s="2" t="s">
        <v>838</v>
      </c>
      <c r="F2016" s="2" t="s">
        <v>789</v>
      </c>
      <c r="G2016" s="2" t="s">
        <v>1131</v>
      </c>
      <c r="H2016" s="2" t="s">
        <v>946</v>
      </c>
      <c r="J2016" s="26"/>
      <c r="K2016" s="36">
        <v>3.2109999999999999E-3</v>
      </c>
      <c r="L2016" s="23">
        <v>4.0137000000000001E-4</v>
      </c>
    </row>
    <row r="2017" spans="1:12" ht="15.35" hidden="1" x14ac:dyDescent="0.55000000000000004">
      <c r="A2017" s="20">
        <v>15407</v>
      </c>
      <c r="B2017" s="2" t="s">
        <v>135</v>
      </c>
      <c r="C2017" s="2" t="s">
        <v>136</v>
      </c>
      <c r="D2017" s="20">
        <v>0</v>
      </c>
      <c r="E2017" s="2" t="s">
        <v>838</v>
      </c>
      <c r="F2017" s="2" t="s">
        <v>793</v>
      </c>
      <c r="G2017" s="2" t="s">
        <v>1146</v>
      </c>
      <c r="H2017" s="2" t="s">
        <v>950</v>
      </c>
      <c r="J2017" s="26"/>
      <c r="K2017" s="36">
        <v>1.6054999999999999E-3</v>
      </c>
      <c r="L2017" s="23">
        <v>2.0069E-4</v>
      </c>
    </row>
    <row r="2018" spans="1:12" ht="15.35" hidden="1" x14ac:dyDescent="0.55000000000000004">
      <c r="A2018" s="20">
        <v>15438</v>
      </c>
      <c r="B2018" s="2" t="s">
        <v>135</v>
      </c>
      <c r="C2018" s="2" t="s">
        <v>136</v>
      </c>
      <c r="D2018" s="20">
        <v>0</v>
      </c>
      <c r="E2018" s="2" t="s">
        <v>838</v>
      </c>
      <c r="F2018" s="2" t="s">
        <v>787</v>
      </c>
      <c r="G2018" s="2" t="s">
        <v>952</v>
      </c>
      <c r="H2018" s="2" t="s">
        <v>952</v>
      </c>
      <c r="J2018" s="26"/>
      <c r="K2018" s="36">
        <v>9.3119259999999995E-2</v>
      </c>
      <c r="L2018" s="23">
        <v>1.163991E-2</v>
      </c>
    </row>
    <row r="2019" spans="1:12" ht="15.35" x14ac:dyDescent="0.55000000000000004">
      <c r="A2019" s="20">
        <v>15447</v>
      </c>
      <c r="B2019" s="2" t="s">
        <v>135</v>
      </c>
      <c r="C2019" s="2" t="s">
        <v>136</v>
      </c>
      <c r="D2019" s="20">
        <v>0</v>
      </c>
      <c r="E2019" s="2" t="s">
        <v>838</v>
      </c>
      <c r="F2019" s="2" t="s">
        <v>793</v>
      </c>
      <c r="G2019" s="2" t="s">
        <v>2623</v>
      </c>
      <c r="J2019" s="26"/>
      <c r="K2019" s="36">
        <v>2.5688E-3</v>
      </c>
      <c r="L2019" s="23">
        <v>3.211E-4</v>
      </c>
    </row>
    <row r="2020" spans="1:12" ht="15.35" hidden="1" x14ac:dyDescent="0.55000000000000004">
      <c r="A2020" s="20">
        <v>15432</v>
      </c>
      <c r="B2020" s="2" t="s">
        <v>135</v>
      </c>
      <c r="C2020" s="2" t="s">
        <v>136</v>
      </c>
      <c r="D2020" s="20">
        <v>0</v>
      </c>
      <c r="E2020" s="2" t="s">
        <v>838</v>
      </c>
      <c r="F2020" s="2" t="s">
        <v>793</v>
      </c>
      <c r="G2020" s="2" t="s">
        <v>2624</v>
      </c>
      <c r="H2020" s="2" t="s">
        <v>2625</v>
      </c>
      <c r="J2020" s="26"/>
      <c r="K2020" s="36">
        <v>6.2614599999999999E-3</v>
      </c>
      <c r="L2020" s="23">
        <v>7.8268000000000001E-4</v>
      </c>
    </row>
    <row r="2021" spans="1:12" ht="15.35" hidden="1" x14ac:dyDescent="0.55000000000000004">
      <c r="A2021" s="20">
        <v>15412</v>
      </c>
      <c r="B2021" s="2" t="s">
        <v>135</v>
      </c>
      <c r="C2021" s="2" t="s">
        <v>136</v>
      </c>
      <c r="D2021" s="20">
        <v>0</v>
      </c>
      <c r="E2021" s="2" t="s">
        <v>838</v>
      </c>
      <c r="F2021" s="2" t="s">
        <v>793</v>
      </c>
      <c r="G2021" s="2" t="s">
        <v>1152</v>
      </c>
      <c r="H2021" s="2" t="s">
        <v>997</v>
      </c>
      <c r="J2021" s="26"/>
      <c r="K2021" s="36">
        <v>1.9266000000000001E-3</v>
      </c>
      <c r="L2021" s="23">
        <v>2.4081999999999999E-4</v>
      </c>
    </row>
    <row r="2022" spans="1:12" ht="15.35" hidden="1" x14ac:dyDescent="0.55000000000000004">
      <c r="A2022" s="20">
        <v>15448</v>
      </c>
      <c r="B2022" s="2" t="s">
        <v>135</v>
      </c>
      <c r="C2022" s="2" t="s">
        <v>136</v>
      </c>
      <c r="D2022" s="20">
        <v>0</v>
      </c>
      <c r="E2022" s="2" t="s">
        <v>838</v>
      </c>
      <c r="F2022" s="2" t="s">
        <v>793</v>
      </c>
      <c r="G2022" s="2" t="s">
        <v>2626</v>
      </c>
      <c r="H2022" s="2" t="s">
        <v>2627</v>
      </c>
      <c r="J2022" s="26"/>
      <c r="K2022" s="36">
        <v>6.1009100000000002E-3</v>
      </c>
      <c r="L2022" s="23">
        <v>7.6261000000000005E-4</v>
      </c>
    </row>
    <row r="2023" spans="1:12" ht="15.35" hidden="1" x14ac:dyDescent="0.55000000000000004">
      <c r="A2023" s="20">
        <v>15439</v>
      </c>
      <c r="B2023" s="2" t="s">
        <v>135</v>
      </c>
      <c r="C2023" s="2" t="s">
        <v>136</v>
      </c>
      <c r="D2023" s="20">
        <v>0</v>
      </c>
      <c r="E2023" s="2" t="s">
        <v>838</v>
      </c>
      <c r="F2023" s="2" t="s">
        <v>793</v>
      </c>
      <c r="G2023" s="2" t="s">
        <v>1161</v>
      </c>
      <c r="H2023" s="2" t="s">
        <v>1161</v>
      </c>
      <c r="J2023" s="26"/>
      <c r="K2023" s="36">
        <v>1.123853E-2</v>
      </c>
      <c r="L2023" s="23">
        <v>1.40482E-3</v>
      </c>
    </row>
    <row r="2024" spans="1:12" ht="15.35" hidden="1" x14ac:dyDescent="0.55000000000000004">
      <c r="A2024" s="20">
        <v>15414</v>
      </c>
      <c r="B2024" s="2" t="s">
        <v>135</v>
      </c>
      <c r="C2024" s="2" t="s">
        <v>136</v>
      </c>
      <c r="D2024" s="20">
        <v>0</v>
      </c>
      <c r="E2024" s="2" t="s">
        <v>838</v>
      </c>
      <c r="F2024" s="2" t="s">
        <v>848</v>
      </c>
      <c r="G2024" s="2" t="s">
        <v>1172</v>
      </c>
      <c r="H2024" s="2" t="s">
        <v>1172</v>
      </c>
      <c r="J2024" s="26"/>
      <c r="K2024" s="36">
        <v>5.1376099999999999E-3</v>
      </c>
      <c r="L2024" s="23">
        <v>6.422E-4</v>
      </c>
    </row>
    <row r="2025" spans="1:12" ht="15.35" hidden="1" x14ac:dyDescent="0.55000000000000004">
      <c r="A2025" s="20">
        <v>15426</v>
      </c>
      <c r="B2025" s="2" t="s">
        <v>135</v>
      </c>
      <c r="C2025" s="2" t="s">
        <v>136</v>
      </c>
      <c r="D2025" s="20">
        <v>0</v>
      </c>
      <c r="E2025" s="2" t="s">
        <v>838</v>
      </c>
      <c r="F2025" s="2" t="s">
        <v>789</v>
      </c>
      <c r="G2025" s="2" t="s">
        <v>1785</v>
      </c>
      <c r="H2025" s="2" t="s">
        <v>1784</v>
      </c>
      <c r="J2025" s="26"/>
      <c r="K2025" s="36">
        <v>9.6330269999999996E-2</v>
      </c>
      <c r="L2025" s="23">
        <v>1.204128E-2</v>
      </c>
    </row>
    <row r="2026" spans="1:12" ht="15.35" hidden="1" x14ac:dyDescent="0.55000000000000004">
      <c r="A2026" s="20">
        <v>15410</v>
      </c>
      <c r="B2026" s="2" t="s">
        <v>135</v>
      </c>
      <c r="C2026" s="2" t="s">
        <v>136</v>
      </c>
      <c r="D2026" s="20">
        <v>0</v>
      </c>
      <c r="E2026" s="2" t="s">
        <v>838</v>
      </c>
      <c r="F2026" s="2" t="s">
        <v>789</v>
      </c>
      <c r="G2026" s="2" t="s">
        <v>1786</v>
      </c>
      <c r="H2026" s="2" t="s">
        <v>1784</v>
      </c>
      <c r="J2026" s="26"/>
      <c r="K2026" s="36">
        <v>9.6330269999999996E-2</v>
      </c>
      <c r="L2026" s="23">
        <v>1.204128E-2</v>
      </c>
    </row>
    <row r="2027" spans="1:12" ht="15.35" hidden="1" x14ac:dyDescent="0.55000000000000004">
      <c r="A2027" s="20">
        <v>15409</v>
      </c>
      <c r="B2027" s="2" t="s">
        <v>135</v>
      </c>
      <c r="C2027" s="2" t="s">
        <v>136</v>
      </c>
      <c r="D2027" s="20">
        <v>0</v>
      </c>
      <c r="E2027" s="2" t="s">
        <v>838</v>
      </c>
      <c r="F2027" s="2" t="s">
        <v>787</v>
      </c>
      <c r="G2027" s="2" t="s">
        <v>962</v>
      </c>
      <c r="H2027" s="2" t="s">
        <v>962</v>
      </c>
      <c r="J2027" s="26"/>
      <c r="K2027" s="36">
        <v>9.6330269999999996E-2</v>
      </c>
      <c r="L2027" s="23">
        <v>1.204128E-2</v>
      </c>
    </row>
    <row r="2028" spans="1:12" ht="15.35" hidden="1" x14ac:dyDescent="0.55000000000000004">
      <c r="A2028" s="20">
        <v>1496</v>
      </c>
      <c r="B2028" s="2" t="s">
        <v>140</v>
      </c>
      <c r="C2028" s="2" t="s">
        <v>141</v>
      </c>
      <c r="D2028" s="20">
        <v>0</v>
      </c>
      <c r="E2028" s="2" t="s">
        <v>63</v>
      </c>
      <c r="F2028" s="2" t="s">
        <v>789</v>
      </c>
      <c r="G2028" s="2" t="s">
        <v>2628</v>
      </c>
      <c r="H2028" s="2" t="s">
        <v>2628</v>
      </c>
      <c r="I2028" s="2" t="s">
        <v>785</v>
      </c>
      <c r="J2028" s="25">
        <v>45728</v>
      </c>
      <c r="K2028" s="36">
        <v>3.9872400000000002E-2</v>
      </c>
      <c r="L2028" s="23">
        <v>9.9679999999999994E-3</v>
      </c>
    </row>
    <row r="2029" spans="1:12" ht="15.35" hidden="1" x14ac:dyDescent="0.55000000000000004">
      <c r="A2029" s="20">
        <v>1498</v>
      </c>
      <c r="B2029" s="2" t="s">
        <v>140</v>
      </c>
      <c r="C2029" s="2" t="s">
        <v>141</v>
      </c>
      <c r="D2029" s="20">
        <v>0</v>
      </c>
      <c r="E2029" s="2" t="s">
        <v>63</v>
      </c>
      <c r="F2029" s="2" t="s">
        <v>798</v>
      </c>
      <c r="G2029" s="2" t="s">
        <v>2629</v>
      </c>
      <c r="H2029" s="2" t="s">
        <v>2551</v>
      </c>
      <c r="I2029" s="2" t="s">
        <v>785</v>
      </c>
      <c r="J2029" s="25">
        <v>45728</v>
      </c>
      <c r="K2029" s="36">
        <v>7.9699999999999993E-2</v>
      </c>
      <c r="L2029" s="23">
        <v>1.9924999999999998E-2</v>
      </c>
    </row>
    <row r="2030" spans="1:12" ht="15.35" hidden="1" x14ac:dyDescent="0.55000000000000004">
      <c r="A2030" s="20">
        <v>1500</v>
      </c>
      <c r="B2030" s="2" t="s">
        <v>140</v>
      </c>
      <c r="C2030" s="2" t="s">
        <v>141</v>
      </c>
      <c r="D2030" s="20">
        <v>0</v>
      </c>
      <c r="E2030" s="2" t="s">
        <v>63</v>
      </c>
      <c r="F2030" s="2" t="s">
        <v>807</v>
      </c>
      <c r="G2030" s="2" t="s">
        <v>2630</v>
      </c>
      <c r="H2030" s="2" t="s">
        <v>2630</v>
      </c>
      <c r="I2030" s="2" t="s">
        <v>809</v>
      </c>
      <c r="J2030" s="25">
        <v>47189</v>
      </c>
      <c r="K2030" s="36">
        <v>2.04</v>
      </c>
      <c r="L2030" s="23">
        <v>0.51</v>
      </c>
    </row>
    <row r="2031" spans="1:12" ht="15.35" hidden="1" x14ac:dyDescent="0.55000000000000004">
      <c r="A2031" s="20">
        <v>1499</v>
      </c>
      <c r="B2031" s="2" t="s">
        <v>140</v>
      </c>
      <c r="C2031" s="2" t="s">
        <v>141</v>
      </c>
      <c r="D2031" s="20">
        <v>0</v>
      </c>
      <c r="E2031" s="2" t="s">
        <v>63</v>
      </c>
      <c r="F2031" s="2" t="s">
        <v>817</v>
      </c>
      <c r="G2031" s="2" t="s">
        <v>2631</v>
      </c>
      <c r="H2031" s="2" t="s">
        <v>852</v>
      </c>
      <c r="I2031" s="2" t="s">
        <v>785</v>
      </c>
      <c r="J2031" s="25">
        <v>45728</v>
      </c>
      <c r="K2031" s="36">
        <v>0.48107484</v>
      </c>
      <c r="L2031" s="23">
        <v>0.120269</v>
      </c>
    </row>
    <row r="2032" spans="1:12" ht="15.35" hidden="1" x14ac:dyDescent="0.55000000000000004">
      <c r="A2032" s="20">
        <v>1497</v>
      </c>
      <c r="B2032" s="2" t="s">
        <v>140</v>
      </c>
      <c r="C2032" s="2" t="s">
        <v>141</v>
      </c>
      <c r="D2032" s="20">
        <v>0</v>
      </c>
      <c r="E2032" s="2" t="s">
        <v>63</v>
      </c>
      <c r="F2032" s="2" t="s">
        <v>798</v>
      </c>
      <c r="G2032" s="2" t="s">
        <v>1086</v>
      </c>
      <c r="H2032" s="2" t="s">
        <v>1086</v>
      </c>
      <c r="I2032" s="2" t="s">
        <v>785</v>
      </c>
      <c r="J2032" s="25">
        <v>45728</v>
      </c>
      <c r="K2032" s="36">
        <v>3.9872400000000002E-2</v>
      </c>
      <c r="L2032" s="23">
        <v>9.9679999999999994E-3</v>
      </c>
    </row>
    <row r="2033" spans="1:12" ht="15.35" hidden="1" x14ac:dyDescent="0.55000000000000004">
      <c r="A2033" s="20">
        <v>1501</v>
      </c>
      <c r="B2033" s="2" t="s">
        <v>140</v>
      </c>
      <c r="C2033" s="2" t="s">
        <v>141</v>
      </c>
      <c r="D2033" s="20">
        <v>0</v>
      </c>
      <c r="E2033" s="2" t="s">
        <v>63</v>
      </c>
      <c r="F2033" s="2" t="s">
        <v>813</v>
      </c>
      <c r="G2033" s="2" t="s">
        <v>816</v>
      </c>
      <c r="H2033" s="2" t="s">
        <v>816</v>
      </c>
      <c r="I2033" s="2" t="s">
        <v>785</v>
      </c>
      <c r="J2033" s="25">
        <v>45728</v>
      </c>
      <c r="K2033" s="36">
        <v>3.9800000000000002E-2</v>
      </c>
      <c r="L2033" s="23">
        <v>9.9500000000000005E-3</v>
      </c>
    </row>
    <row r="2034" spans="1:12" ht="15.35" hidden="1" x14ac:dyDescent="0.55000000000000004">
      <c r="A2034" s="20">
        <v>1495</v>
      </c>
      <c r="B2034" s="2" t="s">
        <v>140</v>
      </c>
      <c r="C2034" s="2" t="s">
        <v>141</v>
      </c>
      <c r="D2034" s="20">
        <v>0</v>
      </c>
      <c r="E2034" s="2" t="s">
        <v>63</v>
      </c>
      <c r="F2034" s="2" t="s">
        <v>817</v>
      </c>
      <c r="G2034" s="2" t="s">
        <v>2632</v>
      </c>
      <c r="H2034" s="2" t="s">
        <v>819</v>
      </c>
      <c r="I2034" s="2" t="s">
        <v>785</v>
      </c>
      <c r="J2034" s="25">
        <v>45728</v>
      </c>
      <c r="K2034" s="36">
        <v>3.9800000000000002E-2</v>
      </c>
      <c r="L2034" s="23">
        <v>9.9500000000000005E-3</v>
      </c>
    </row>
    <row r="2035" spans="1:12" ht="15.35" hidden="1" x14ac:dyDescent="0.55000000000000004">
      <c r="A2035" s="20">
        <v>1493</v>
      </c>
      <c r="B2035" s="2" t="s">
        <v>140</v>
      </c>
      <c r="C2035" s="2" t="s">
        <v>141</v>
      </c>
      <c r="D2035" s="20">
        <v>0</v>
      </c>
      <c r="E2035" s="2" t="s">
        <v>63</v>
      </c>
      <c r="F2035" s="2" t="s">
        <v>833</v>
      </c>
      <c r="G2035" s="2" t="s">
        <v>2633</v>
      </c>
      <c r="H2035" s="2" t="s">
        <v>2634</v>
      </c>
      <c r="I2035" s="2" t="s">
        <v>785</v>
      </c>
      <c r="J2035" s="25">
        <v>45728</v>
      </c>
      <c r="K2035" s="36">
        <v>1.9940179999999998E-2</v>
      </c>
      <c r="L2035" s="23">
        <v>4.9849999999999998E-3</v>
      </c>
    </row>
    <row r="2036" spans="1:12" ht="15.35" hidden="1" x14ac:dyDescent="0.55000000000000004">
      <c r="A2036" s="20">
        <v>1494</v>
      </c>
      <c r="B2036" s="2" t="s">
        <v>140</v>
      </c>
      <c r="C2036" s="2" t="s">
        <v>141</v>
      </c>
      <c r="D2036" s="20">
        <v>0</v>
      </c>
      <c r="E2036" s="2" t="s">
        <v>63</v>
      </c>
      <c r="F2036" s="2" t="s">
        <v>833</v>
      </c>
      <c r="G2036" s="2" t="s">
        <v>2635</v>
      </c>
      <c r="H2036" s="2" t="s">
        <v>2634</v>
      </c>
      <c r="I2036" s="2" t="s">
        <v>785</v>
      </c>
      <c r="J2036" s="25">
        <v>45728</v>
      </c>
      <c r="K2036" s="36">
        <v>1.9940179999999998E-2</v>
      </c>
      <c r="L2036" s="23">
        <v>4.9849999999999998E-3</v>
      </c>
    </row>
    <row r="2037" spans="1:12" ht="15.35" hidden="1" x14ac:dyDescent="0.55000000000000004">
      <c r="A2037" s="20">
        <v>10039</v>
      </c>
      <c r="B2037" s="2" t="s">
        <v>140</v>
      </c>
      <c r="C2037" s="2" t="s">
        <v>141</v>
      </c>
      <c r="D2037" s="20">
        <v>0</v>
      </c>
      <c r="E2037" s="2" t="s">
        <v>838</v>
      </c>
      <c r="F2037" s="2" t="s">
        <v>787</v>
      </c>
      <c r="G2037" s="2" t="s">
        <v>904</v>
      </c>
      <c r="H2037" s="2" t="s">
        <v>904</v>
      </c>
      <c r="J2037" s="26"/>
      <c r="K2037" s="36">
        <v>7.5949370000000002E-2</v>
      </c>
      <c r="L2037" s="23">
        <v>1.9E-6</v>
      </c>
    </row>
    <row r="2038" spans="1:12" ht="15.35" hidden="1" x14ac:dyDescent="0.55000000000000004">
      <c r="A2038" s="20">
        <v>10037</v>
      </c>
      <c r="B2038" s="2" t="s">
        <v>140</v>
      </c>
      <c r="C2038" s="2" t="s">
        <v>141</v>
      </c>
      <c r="D2038" s="20">
        <v>0</v>
      </c>
      <c r="E2038" s="2" t="s">
        <v>838</v>
      </c>
      <c r="F2038" s="2" t="s">
        <v>787</v>
      </c>
      <c r="G2038" s="2" t="s">
        <v>972</v>
      </c>
      <c r="H2038" s="2" t="s">
        <v>972</v>
      </c>
      <c r="J2038" s="26"/>
      <c r="K2038" s="36">
        <v>9.1139250000000005E-2</v>
      </c>
      <c r="L2038" s="23">
        <v>2.2800000000000002E-6</v>
      </c>
    </row>
    <row r="2039" spans="1:12" ht="15.35" hidden="1" x14ac:dyDescent="0.55000000000000004">
      <c r="A2039" s="20">
        <v>10043</v>
      </c>
      <c r="B2039" s="2" t="s">
        <v>140</v>
      </c>
      <c r="C2039" s="2" t="s">
        <v>141</v>
      </c>
      <c r="D2039" s="20">
        <v>0</v>
      </c>
      <c r="E2039" s="2" t="s">
        <v>838</v>
      </c>
      <c r="F2039" s="2" t="s">
        <v>783</v>
      </c>
      <c r="G2039" s="2" t="s">
        <v>2636</v>
      </c>
      <c r="H2039" s="2" t="s">
        <v>1062</v>
      </c>
      <c r="J2039" s="26"/>
      <c r="K2039" s="36">
        <v>2.2025309999999999E-2</v>
      </c>
      <c r="L2039" s="23">
        <v>5.5000000000000003E-7</v>
      </c>
    </row>
    <row r="2040" spans="1:12" ht="15.35" hidden="1" x14ac:dyDescent="0.55000000000000004">
      <c r="A2040" s="20">
        <v>10041</v>
      </c>
      <c r="B2040" s="2" t="s">
        <v>140</v>
      </c>
      <c r="C2040" s="2" t="s">
        <v>141</v>
      </c>
      <c r="D2040" s="20">
        <v>0</v>
      </c>
      <c r="E2040" s="2" t="s">
        <v>838</v>
      </c>
      <c r="F2040" s="2" t="s">
        <v>783</v>
      </c>
      <c r="G2040" s="2" t="s">
        <v>1061</v>
      </c>
      <c r="H2040" s="2" t="s">
        <v>1062</v>
      </c>
      <c r="J2040" s="26"/>
      <c r="K2040" s="36">
        <v>3.721518E-2</v>
      </c>
      <c r="L2040" s="23">
        <v>9.2999999999999999E-7</v>
      </c>
    </row>
    <row r="2041" spans="1:12" ht="15.35" hidden="1" x14ac:dyDescent="0.55000000000000004">
      <c r="A2041" s="20">
        <v>10044</v>
      </c>
      <c r="B2041" s="2" t="s">
        <v>140</v>
      </c>
      <c r="C2041" s="2" t="s">
        <v>141</v>
      </c>
      <c r="D2041" s="20">
        <v>0</v>
      </c>
      <c r="E2041" s="2" t="s">
        <v>838</v>
      </c>
      <c r="F2041" s="2" t="s">
        <v>811</v>
      </c>
      <c r="G2041" s="2" t="s">
        <v>2637</v>
      </c>
      <c r="H2041" s="2" t="s">
        <v>1062</v>
      </c>
      <c r="J2041" s="26"/>
      <c r="K2041" s="36">
        <v>2.1265820000000001E-2</v>
      </c>
      <c r="L2041" s="23">
        <v>5.3000000000000001E-7</v>
      </c>
    </row>
    <row r="2042" spans="1:12" ht="15.35" hidden="1" x14ac:dyDescent="0.55000000000000004">
      <c r="A2042" s="20">
        <v>10042</v>
      </c>
      <c r="B2042" s="2" t="s">
        <v>140</v>
      </c>
      <c r="C2042" s="2" t="s">
        <v>141</v>
      </c>
      <c r="D2042" s="20">
        <v>0</v>
      </c>
      <c r="E2042" s="2" t="s">
        <v>838</v>
      </c>
      <c r="F2042" s="2" t="s">
        <v>811</v>
      </c>
      <c r="G2042" s="2" t="s">
        <v>1071</v>
      </c>
      <c r="H2042" s="2" t="s">
        <v>1062</v>
      </c>
      <c r="J2042" s="26"/>
      <c r="K2042" s="36">
        <v>3.417721E-2</v>
      </c>
      <c r="L2042" s="23">
        <v>8.5000000000000001E-7</v>
      </c>
    </row>
    <row r="2043" spans="1:12" ht="15.35" hidden="1" x14ac:dyDescent="0.55000000000000004">
      <c r="A2043" s="20">
        <v>10046</v>
      </c>
      <c r="B2043" s="2" t="s">
        <v>140</v>
      </c>
      <c r="C2043" s="2" t="s">
        <v>141</v>
      </c>
      <c r="D2043" s="20">
        <v>0</v>
      </c>
      <c r="E2043" s="2" t="s">
        <v>838</v>
      </c>
      <c r="F2043" s="2" t="s">
        <v>811</v>
      </c>
      <c r="G2043" s="2" t="s">
        <v>1072</v>
      </c>
      <c r="H2043" s="2" t="s">
        <v>1062</v>
      </c>
      <c r="J2043" s="26"/>
      <c r="K2043" s="36">
        <v>1.13924E-2</v>
      </c>
      <c r="L2043" s="23">
        <v>2.8000000000000002E-7</v>
      </c>
    </row>
    <row r="2044" spans="1:12" ht="15.35" hidden="1" x14ac:dyDescent="0.55000000000000004">
      <c r="A2044" s="20">
        <v>10047</v>
      </c>
      <c r="B2044" s="2" t="s">
        <v>140</v>
      </c>
      <c r="C2044" s="2" t="s">
        <v>141</v>
      </c>
      <c r="D2044" s="20">
        <v>0</v>
      </c>
      <c r="E2044" s="2" t="s">
        <v>838</v>
      </c>
      <c r="F2044" s="2" t="s">
        <v>811</v>
      </c>
      <c r="G2044" s="2" t="s">
        <v>2638</v>
      </c>
      <c r="H2044" s="2" t="s">
        <v>1062</v>
      </c>
      <c r="J2044" s="26"/>
      <c r="K2044" s="36">
        <v>9.1139199999999993E-3</v>
      </c>
      <c r="L2044" s="23">
        <v>2.2999999999999999E-7</v>
      </c>
    </row>
    <row r="2045" spans="1:12" ht="15.35" hidden="1" x14ac:dyDescent="0.55000000000000004">
      <c r="A2045" s="20">
        <v>10045</v>
      </c>
      <c r="B2045" s="2" t="s">
        <v>140</v>
      </c>
      <c r="C2045" s="2" t="s">
        <v>141</v>
      </c>
      <c r="D2045" s="20">
        <v>0</v>
      </c>
      <c r="E2045" s="2" t="s">
        <v>838</v>
      </c>
      <c r="F2045" s="2" t="s">
        <v>811</v>
      </c>
      <c r="G2045" s="2" t="s">
        <v>2639</v>
      </c>
      <c r="H2045" s="2" t="s">
        <v>1062</v>
      </c>
      <c r="J2045" s="26"/>
      <c r="K2045" s="36">
        <v>1.7468350000000001E-2</v>
      </c>
      <c r="L2045" s="23">
        <v>4.4000000000000002E-7</v>
      </c>
    </row>
    <row r="2046" spans="1:12" ht="15.35" hidden="1" x14ac:dyDescent="0.55000000000000004">
      <c r="A2046" s="20">
        <v>10048</v>
      </c>
      <c r="B2046" s="2" t="s">
        <v>140</v>
      </c>
      <c r="C2046" s="2" t="s">
        <v>141</v>
      </c>
      <c r="D2046" s="20">
        <v>0</v>
      </c>
      <c r="E2046" s="2" t="s">
        <v>838</v>
      </c>
      <c r="F2046" s="2" t="s">
        <v>811</v>
      </c>
      <c r="G2046" s="2" t="s">
        <v>1078</v>
      </c>
      <c r="H2046" s="2" t="s">
        <v>1062</v>
      </c>
      <c r="J2046" s="26"/>
      <c r="K2046" s="36">
        <v>7.5949299999999997E-3</v>
      </c>
      <c r="L2046" s="23">
        <v>1.9000000000000001E-7</v>
      </c>
    </row>
    <row r="2047" spans="1:12" ht="15.35" hidden="1" x14ac:dyDescent="0.55000000000000004">
      <c r="A2047" s="20">
        <v>10038</v>
      </c>
      <c r="B2047" s="2" t="s">
        <v>140</v>
      </c>
      <c r="C2047" s="2" t="s">
        <v>141</v>
      </c>
      <c r="D2047" s="20">
        <v>0</v>
      </c>
      <c r="E2047" s="2" t="s">
        <v>838</v>
      </c>
      <c r="F2047" s="2" t="s">
        <v>789</v>
      </c>
      <c r="G2047" s="2" t="s">
        <v>2640</v>
      </c>
      <c r="H2047" s="2" t="s">
        <v>1092</v>
      </c>
      <c r="J2047" s="26"/>
      <c r="K2047" s="36">
        <v>9.0379749999999995E-2</v>
      </c>
      <c r="L2047" s="23">
        <v>2.26E-6</v>
      </c>
    </row>
    <row r="2048" spans="1:12" ht="15.35" hidden="1" x14ac:dyDescent="0.55000000000000004">
      <c r="A2048" s="20">
        <v>10036</v>
      </c>
      <c r="B2048" s="2" t="s">
        <v>140</v>
      </c>
      <c r="C2048" s="2" t="s">
        <v>141</v>
      </c>
      <c r="D2048" s="20">
        <v>0</v>
      </c>
      <c r="E2048" s="2" t="s">
        <v>838</v>
      </c>
      <c r="F2048" s="2" t="s">
        <v>787</v>
      </c>
      <c r="G2048" s="2" t="s">
        <v>926</v>
      </c>
      <c r="H2048" s="2" t="s">
        <v>926</v>
      </c>
      <c r="J2048" s="26"/>
      <c r="K2048" s="36">
        <v>9.1139250000000005E-2</v>
      </c>
      <c r="L2048" s="23">
        <v>2.2800000000000002E-6</v>
      </c>
    </row>
    <row r="2049" spans="1:12" ht="15.35" hidden="1" x14ac:dyDescent="0.55000000000000004">
      <c r="A2049" s="20">
        <v>10040</v>
      </c>
      <c r="B2049" s="2" t="s">
        <v>140</v>
      </c>
      <c r="C2049" s="2" t="s">
        <v>141</v>
      </c>
      <c r="D2049" s="20">
        <v>0</v>
      </c>
      <c r="E2049" s="2" t="s">
        <v>838</v>
      </c>
      <c r="F2049" s="2" t="s">
        <v>848</v>
      </c>
      <c r="G2049" s="2" t="s">
        <v>1095</v>
      </c>
      <c r="H2049" s="2" t="s">
        <v>1095</v>
      </c>
      <c r="J2049" s="26"/>
      <c r="K2049" s="36">
        <v>6.0000009999999999E-2</v>
      </c>
      <c r="L2049" s="23">
        <v>1.5E-6</v>
      </c>
    </row>
    <row r="2050" spans="1:12" ht="15.35" hidden="1" x14ac:dyDescent="0.55000000000000004">
      <c r="A2050" s="20">
        <v>10035</v>
      </c>
      <c r="B2050" s="2" t="s">
        <v>140</v>
      </c>
      <c r="C2050" s="2" t="s">
        <v>141</v>
      </c>
      <c r="D2050" s="20">
        <v>0</v>
      </c>
      <c r="E2050" s="2" t="s">
        <v>838</v>
      </c>
      <c r="F2050" s="2" t="s">
        <v>789</v>
      </c>
      <c r="G2050" s="2" t="s">
        <v>2641</v>
      </c>
      <c r="H2050" s="2" t="s">
        <v>985</v>
      </c>
      <c r="J2050" s="26"/>
      <c r="K2050" s="36">
        <v>0.27113925</v>
      </c>
      <c r="L2050" s="23">
        <v>6.7800000000000003E-6</v>
      </c>
    </row>
    <row r="2051" spans="1:12" ht="15.35" hidden="1" x14ac:dyDescent="0.55000000000000004">
      <c r="A2051" s="20">
        <v>1502</v>
      </c>
      <c r="B2051" s="2" t="s">
        <v>144</v>
      </c>
      <c r="C2051" s="2" t="s">
        <v>145</v>
      </c>
      <c r="D2051" s="20">
        <v>0</v>
      </c>
      <c r="E2051" s="2" t="s">
        <v>63</v>
      </c>
      <c r="F2051" s="2" t="s">
        <v>807</v>
      </c>
      <c r="G2051" s="2" t="s">
        <v>2642</v>
      </c>
      <c r="H2051" s="2" t="s">
        <v>2642</v>
      </c>
      <c r="I2051" s="2" t="s">
        <v>809</v>
      </c>
      <c r="J2051" s="25">
        <v>47189</v>
      </c>
      <c r="K2051" s="36">
        <v>0.8</v>
      </c>
      <c r="L2051" s="23">
        <v>0.2</v>
      </c>
    </row>
    <row r="2052" spans="1:12" ht="15.35" hidden="1" x14ac:dyDescent="0.55000000000000004">
      <c r="A2052" s="20">
        <v>1503</v>
      </c>
      <c r="B2052" s="2" t="s">
        <v>144</v>
      </c>
      <c r="C2052" s="2" t="s">
        <v>145</v>
      </c>
      <c r="D2052" s="20">
        <v>0</v>
      </c>
      <c r="E2052" s="2" t="s">
        <v>63</v>
      </c>
      <c r="F2052" s="2" t="s">
        <v>807</v>
      </c>
      <c r="G2052" s="2" t="s">
        <v>2642</v>
      </c>
      <c r="H2052" s="2" t="s">
        <v>2642</v>
      </c>
      <c r="I2052" s="2" t="s">
        <v>809</v>
      </c>
      <c r="J2052" s="25">
        <v>46458</v>
      </c>
      <c r="K2052" s="36">
        <v>0.56000000000000005</v>
      </c>
      <c r="L2052" s="23">
        <v>0.14000000000000001</v>
      </c>
    </row>
    <row r="2053" spans="1:12" ht="15.35" hidden="1" x14ac:dyDescent="0.55000000000000004">
      <c r="A2053" s="20">
        <v>1508</v>
      </c>
      <c r="B2053" s="2" t="s">
        <v>144</v>
      </c>
      <c r="C2053" s="2" t="s">
        <v>145</v>
      </c>
      <c r="D2053" s="20">
        <v>0</v>
      </c>
      <c r="E2053" s="2" t="s">
        <v>63</v>
      </c>
      <c r="F2053" s="2" t="s">
        <v>783</v>
      </c>
      <c r="G2053" s="2" t="s">
        <v>2643</v>
      </c>
      <c r="H2053" s="2" t="s">
        <v>2643</v>
      </c>
      <c r="I2053" s="2" t="s">
        <v>785</v>
      </c>
      <c r="J2053" s="25">
        <v>45728</v>
      </c>
      <c r="K2053" s="36">
        <v>0.10199999999999999</v>
      </c>
      <c r="L2053" s="23">
        <v>2.5499999999999998E-2</v>
      </c>
    </row>
    <row r="2054" spans="1:12" ht="15.35" hidden="1" x14ac:dyDescent="0.55000000000000004">
      <c r="A2054" s="20">
        <v>1505</v>
      </c>
      <c r="B2054" s="2" t="s">
        <v>144</v>
      </c>
      <c r="C2054" s="2" t="s">
        <v>145</v>
      </c>
      <c r="D2054" s="20">
        <v>0</v>
      </c>
      <c r="E2054" s="2" t="s">
        <v>63</v>
      </c>
      <c r="F2054" s="2" t="s">
        <v>787</v>
      </c>
      <c r="G2054" s="2" t="s">
        <v>788</v>
      </c>
      <c r="H2054" s="2" t="s">
        <v>788</v>
      </c>
      <c r="I2054" s="2" t="s">
        <v>785</v>
      </c>
      <c r="J2054" s="25">
        <v>45728</v>
      </c>
      <c r="K2054" s="36">
        <v>0.18</v>
      </c>
      <c r="L2054" s="23">
        <v>4.4999999999999998E-2</v>
      </c>
    </row>
    <row r="2055" spans="1:12" ht="15.35" hidden="1" x14ac:dyDescent="0.55000000000000004">
      <c r="A2055" s="20">
        <v>1504</v>
      </c>
      <c r="B2055" s="2" t="s">
        <v>144</v>
      </c>
      <c r="C2055" s="2" t="s">
        <v>145</v>
      </c>
      <c r="D2055" s="20">
        <v>0</v>
      </c>
      <c r="E2055" s="2" t="s">
        <v>63</v>
      </c>
      <c r="F2055" s="2" t="s">
        <v>807</v>
      </c>
      <c r="G2055" s="2" t="s">
        <v>1254</v>
      </c>
      <c r="H2055" s="2" t="s">
        <v>1254</v>
      </c>
      <c r="I2055" s="2" t="s">
        <v>809</v>
      </c>
      <c r="J2055" s="25">
        <v>46458</v>
      </c>
      <c r="K2055" s="36">
        <v>1.1519999999999999</v>
      </c>
      <c r="L2055" s="23">
        <v>0.28799999999999998</v>
      </c>
    </row>
    <row r="2056" spans="1:12" ht="15.35" hidden="1" x14ac:dyDescent="0.55000000000000004">
      <c r="A2056" s="20">
        <v>1506</v>
      </c>
      <c r="B2056" s="2" t="s">
        <v>144</v>
      </c>
      <c r="C2056" s="2" t="s">
        <v>145</v>
      </c>
      <c r="D2056" s="20">
        <v>0</v>
      </c>
      <c r="E2056" s="2" t="s">
        <v>63</v>
      </c>
      <c r="F2056" s="2" t="s">
        <v>811</v>
      </c>
      <c r="G2056" s="2" t="s">
        <v>2644</v>
      </c>
      <c r="H2056" s="2" t="s">
        <v>2644</v>
      </c>
      <c r="I2056" s="2" t="s">
        <v>785</v>
      </c>
      <c r="J2056" s="25">
        <v>45728</v>
      </c>
      <c r="K2056" s="36">
        <v>0.1072</v>
      </c>
      <c r="L2056" s="23">
        <v>2.6800000000000001E-2</v>
      </c>
    </row>
    <row r="2057" spans="1:12" ht="15.35" hidden="1" x14ac:dyDescent="0.55000000000000004">
      <c r="A2057" s="20">
        <v>1507</v>
      </c>
      <c r="B2057" s="2" t="s">
        <v>144</v>
      </c>
      <c r="C2057" s="2" t="s">
        <v>145</v>
      </c>
      <c r="D2057" s="20">
        <v>0</v>
      </c>
      <c r="E2057" s="2" t="s">
        <v>63</v>
      </c>
      <c r="F2057" s="2" t="s">
        <v>783</v>
      </c>
      <c r="G2057" s="2" t="s">
        <v>2645</v>
      </c>
      <c r="H2057" s="2" t="s">
        <v>2645</v>
      </c>
      <c r="I2057" s="2" t="s">
        <v>785</v>
      </c>
      <c r="J2057" s="25">
        <v>45728</v>
      </c>
      <c r="K2057" s="36">
        <v>4.8000000000000001E-2</v>
      </c>
      <c r="L2057" s="23">
        <v>1.2E-2</v>
      </c>
    </row>
    <row r="2058" spans="1:12" ht="15.35" hidden="1" x14ac:dyDescent="0.55000000000000004">
      <c r="A2058" s="20">
        <v>1509</v>
      </c>
      <c r="B2058" s="2" t="s">
        <v>144</v>
      </c>
      <c r="C2058" s="2" t="s">
        <v>145</v>
      </c>
      <c r="D2058" s="20">
        <v>0</v>
      </c>
      <c r="E2058" s="2" t="s">
        <v>63</v>
      </c>
      <c r="F2058" s="2" t="s">
        <v>789</v>
      </c>
      <c r="G2058" s="2" t="s">
        <v>2646</v>
      </c>
      <c r="H2058" s="2" t="s">
        <v>2647</v>
      </c>
      <c r="I2058" s="2" t="s">
        <v>785</v>
      </c>
      <c r="J2058" s="25">
        <v>45728</v>
      </c>
      <c r="K2058" s="36">
        <v>7.0000000000000007E-2</v>
      </c>
      <c r="L2058" s="23">
        <v>1.7500000000000002E-2</v>
      </c>
    </row>
    <row r="2059" spans="1:12" ht="15.35" hidden="1" x14ac:dyDescent="0.55000000000000004">
      <c r="A2059" s="20">
        <v>10057</v>
      </c>
      <c r="B2059" s="2" t="s">
        <v>144</v>
      </c>
      <c r="C2059" s="2" t="s">
        <v>145</v>
      </c>
      <c r="D2059" s="20">
        <v>0</v>
      </c>
      <c r="E2059" s="2" t="s">
        <v>838</v>
      </c>
      <c r="F2059" s="2" t="s">
        <v>787</v>
      </c>
      <c r="G2059" s="2" t="s">
        <v>904</v>
      </c>
      <c r="H2059" s="2" t="s">
        <v>904</v>
      </c>
      <c r="J2059" s="26"/>
      <c r="K2059" s="36">
        <v>3.6289599999999998E-2</v>
      </c>
      <c r="L2059" s="23">
        <v>9.0723999999999996E-3</v>
      </c>
    </row>
    <row r="2060" spans="1:12" ht="15.35" hidden="1" x14ac:dyDescent="0.55000000000000004">
      <c r="A2060" s="20">
        <v>10055</v>
      </c>
      <c r="B2060" s="2" t="s">
        <v>144</v>
      </c>
      <c r="C2060" s="2" t="s">
        <v>145</v>
      </c>
      <c r="D2060" s="20">
        <v>0</v>
      </c>
      <c r="E2060" s="2" t="s">
        <v>838</v>
      </c>
      <c r="F2060" s="2" t="s">
        <v>789</v>
      </c>
      <c r="G2060" s="2" t="s">
        <v>2592</v>
      </c>
      <c r="H2060" s="2" t="s">
        <v>1015</v>
      </c>
      <c r="J2060" s="26"/>
      <c r="K2060" s="36">
        <v>3.5799200000000003E-2</v>
      </c>
      <c r="L2060" s="23">
        <v>8.9498000000000008E-3</v>
      </c>
    </row>
    <row r="2061" spans="1:12" ht="15.35" hidden="1" x14ac:dyDescent="0.55000000000000004">
      <c r="A2061" s="20">
        <v>10052</v>
      </c>
      <c r="B2061" s="2" t="s">
        <v>144</v>
      </c>
      <c r="C2061" s="2" t="s">
        <v>145</v>
      </c>
      <c r="D2061" s="20">
        <v>0</v>
      </c>
      <c r="E2061" s="2" t="s">
        <v>838</v>
      </c>
      <c r="F2061" s="2" t="s">
        <v>789</v>
      </c>
      <c r="G2061" s="2" t="s">
        <v>1023</v>
      </c>
      <c r="H2061" s="2" t="s">
        <v>1021</v>
      </c>
      <c r="J2061" s="26"/>
      <c r="K2061" s="36">
        <v>1.8144799999999999E-2</v>
      </c>
      <c r="L2061" s="23">
        <v>4.5361999999999998E-3</v>
      </c>
    </row>
    <row r="2062" spans="1:12" ht="15.35" hidden="1" x14ac:dyDescent="0.55000000000000004">
      <c r="A2062" s="20">
        <v>10062</v>
      </c>
      <c r="B2062" s="2" t="s">
        <v>144</v>
      </c>
      <c r="C2062" s="2" t="s">
        <v>145</v>
      </c>
      <c r="D2062" s="20">
        <v>0</v>
      </c>
      <c r="E2062" s="2" t="s">
        <v>838</v>
      </c>
      <c r="F2062" s="2" t="s">
        <v>789</v>
      </c>
      <c r="G2062" s="2" t="s">
        <v>2648</v>
      </c>
      <c r="H2062" s="2" t="s">
        <v>840</v>
      </c>
      <c r="J2062" s="26"/>
      <c r="K2062" s="36">
        <v>3.5799200000000003E-2</v>
      </c>
      <c r="L2062" s="23">
        <v>8.9498000000000008E-3</v>
      </c>
    </row>
    <row r="2063" spans="1:12" ht="15.35" hidden="1" x14ac:dyDescent="0.55000000000000004">
      <c r="A2063" s="20">
        <v>10053</v>
      </c>
      <c r="B2063" s="2" t="s">
        <v>144</v>
      </c>
      <c r="C2063" s="2" t="s">
        <v>145</v>
      </c>
      <c r="D2063" s="20">
        <v>0</v>
      </c>
      <c r="E2063" s="2" t="s">
        <v>838</v>
      </c>
      <c r="F2063" s="2" t="s">
        <v>793</v>
      </c>
      <c r="G2063" s="2" t="s">
        <v>2649</v>
      </c>
      <c r="H2063" s="2" t="s">
        <v>842</v>
      </c>
      <c r="J2063" s="26"/>
      <c r="K2063" s="36">
        <v>1.0788799999999999E-2</v>
      </c>
      <c r="L2063" s="23">
        <v>2.6971999999999999E-3</v>
      </c>
    </row>
    <row r="2064" spans="1:12" ht="15.35" hidden="1" x14ac:dyDescent="0.55000000000000004">
      <c r="A2064" s="20">
        <v>10063</v>
      </c>
      <c r="B2064" s="2" t="s">
        <v>144</v>
      </c>
      <c r="C2064" s="2" t="s">
        <v>145</v>
      </c>
      <c r="D2064" s="20">
        <v>0</v>
      </c>
      <c r="E2064" s="2" t="s">
        <v>838</v>
      </c>
      <c r="F2064" s="2" t="s">
        <v>793</v>
      </c>
      <c r="G2064" s="2" t="s">
        <v>2650</v>
      </c>
      <c r="H2064" s="2" t="s">
        <v>842</v>
      </c>
      <c r="J2064" s="26"/>
      <c r="K2064" s="36">
        <v>2.1577599999999999E-2</v>
      </c>
      <c r="L2064" s="23">
        <v>5.3943999999999997E-3</v>
      </c>
    </row>
    <row r="2065" spans="1:12" ht="15.35" hidden="1" x14ac:dyDescent="0.55000000000000004">
      <c r="A2065" s="20">
        <v>10068</v>
      </c>
      <c r="B2065" s="2" t="s">
        <v>144</v>
      </c>
      <c r="C2065" s="2" t="s">
        <v>145</v>
      </c>
      <c r="D2065" s="20">
        <v>0</v>
      </c>
      <c r="E2065" s="2" t="s">
        <v>838</v>
      </c>
      <c r="F2065" s="2" t="s">
        <v>793</v>
      </c>
      <c r="G2065" s="2" t="s">
        <v>2651</v>
      </c>
      <c r="H2065" s="2" t="s">
        <v>842</v>
      </c>
      <c r="J2065" s="26"/>
      <c r="K2065" s="36">
        <v>2.1577599999999999E-2</v>
      </c>
      <c r="L2065" s="23">
        <v>5.3943999999999997E-3</v>
      </c>
    </row>
    <row r="2066" spans="1:12" ht="15.35" hidden="1" x14ac:dyDescent="0.55000000000000004">
      <c r="A2066" s="20">
        <v>10059</v>
      </c>
      <c r="B2066" s="2" t="s">
        <v>144</v>
      </c>
      <c r="C2066" s="2" t="s">
        <v>145</v>
      </c>
      <c r="D2066" s="20">
        <v>0</v>
      </c>
      <c r="E2066" s="2" t="s">
        <v>838</v>
      </c>
      <c r="F2066" s="2" t="s">
        <v>793</v>
      </c>
      <c r="G2066" s="2" t="s">
        <v>2652</v>
      </c>
      <c r="H2066" s="2" t="s">
        <v>842</v>
      </c>
      <c r="J2066" s="26"/>
      <c r="K2066" s="36">
        <v>1.7654400000000001E-2</v>
      </c>
      <c r="L2066" s="23">
        <v>4.4136000000000002E-3</v>
      </c>
    </row>
    <row r="2067" spans="1:12" ht="15.35" hidden="1" x14ac:dyDescent="0.55000000000000004">
      <c r="A2067" s="20">
        <v>10054</v>
      </c>
      <c r="B2067" s="2" t="s">
        <v>144</v>
      </c>
      <c r="C2067" s="2" t="s">
        <v>145</v>
      </c>
      <c r="D2067" s="20">
        <v>0</v>
      </c>
      <c r="E2067" s="2" t="s">
        <v>838</v>
      </c>
      <c r="F2067" s="2" t="s">
        <v>793</v>
      </c>
      <c r="G2067" s="2" t="s">
        <v>842</v>
      </c>
      <c r="H2067" s="2" t="s">
        <v>842</v>
      </c>
      <c r="J2067" s="26"/>
      <c r="K2067" s="36">
        <v>3.4818399999999999E-2</v>
      </c>
      <c r="L2067" s="23">
        <v>8.7045999999999998E-3</v>
      </c>
    </row>
    <row r="2068" spans="1:12" ht="15.35" hidden="1" x14ac:dyDescent="0.55000000000000004">
      <c r="A2068" s="20">
        <v>10061</v>
      </c>
      <c r="B2068" s="2" t="s">
        <v>144</v>
      </c>
      <c r="C2068" s="2" t="s">
        <v>145</v>
      </c>
      <c r="D2068" s="20">
        <v>0</v>
      </c>
      <c r="E2068" s="2" t="s">
        <v>838</v>
      </c>
      <c r="F2068" s="2" t="s">
        <v>817</v>
      </c>
      <c r="G2068" s="2" t="s">
        <v>2614</v>
      </c>
      <c r="H2068" s="2" t="s">
        <v>802</v>
      </c>
      <c r="J2068" s="26"/>
      <c r="K2068" s="36">
        <v>4.9040000000000004E-3</v>
      </c>
      <c r="L2068" s="23">
        <v>1.2260000000000001E-3</v>
      </c>
    </row>
    <row r="2069" spans="1:12" ht="15.35" hidden="1" x14ac:dyDescent="0.55000000000000004">
      <c r="A2069" s="20">
        <v>10049</v>
      </c>
      <c r="B2069" s="2" t="s">
        <v>144</v>
      </c>
      <c r="C2069" s="2" t="s">
        <v>145</v>
      </c>
      <c r="D2069" s="20">
        <v>0</v>
      </c>
      <c r="E2069" s="2" t="s">
        <v>838</v>
      </c>
      <c r="F2069" s="2" t="s">
        <v>793</v>
      </c>
      <c r="G2069" s="2" t="s">
        <v>2653</v>
      </c>
      <c r="H2069" s="2" t="s">
        <v>802</v>
      </c>
      <c r="J2069" s="26"/>
      <c r="K2069" s="36">
        <v>1.0788799999999999E-2</v>
      </c>
      <c r="L2069" s="23">
        <v>2.6971999999999999E-3</v>
      </c>
    </row>
    <row r="2070" spans="1:12" ht="15.35" hidden="1" x14ac:dyDescent="0.55000000000000004">
      <c r="A2070" s="20">
        <v>10051</v>
      </c>
      <c r="B2070" s="2" t="s">
        <v>144</v>
      </c>
      <c r="C2070" s="2" t="s">
        <v>145</v>
      </c>
      <c r="D2070" s="20">
        <v>0</v>
      </c>
      <c r="E2070" s="2" t="s">
        <v>838</v>
      </c>
      <c r="F2070" s="2" t="s">
        <v>793</v>
      </c>
      <c r="G2070" s="2" t="s">
        <v>2654</v>
      </c>
      <c r="H2070" s="2" t="s">
        <v>802</v>
      </c>
      <c r="J2070" s="26"/>
      <c r="K2070" s="36">
        <v>6.8656000000000003E-3</v>
      </c>
      <c r="L2070" s="23">
        <v>1.7164000000000001E-3</v>
      </c>
    </row>
    <row r="2071" spans="1:12" ht="15.35" hidden="1" x14ac:dyDescent="0.55000000000000004">
      <c r="A2071" s="20">
        <v>10060</v>
      </c>
      <c r="B2071" s="2" t="s">
        <v>144</v>
      </c>
      <c r="C2071" s="2" t="s">
        <v>145</v>
      </c>
      <c r="D2071" s="20">
        <v>0</v>
      </c>
      <c r="E2071" s="2" t="s">
        <v>838</v>
      </c>
      <c r="F2071" s="2" t="s">
        <v>793</v>
      </c>
      <c r="G2071" s="2" t="s">
        <v>2655</v>
      </c>
      <c r="H2071" s="2" t="s">
        <v>802</v>
      </c>
      <c r="J2071" s="26"/>
      <c r="K2071" s="36">
        <v>6.8656000000000003E-3</v>
      </c>
      <c r="L2071" s="23">
        <v>1.7164000000000001E-3</v>
      </c>
    </row>
    <row r="2072" spans="1:12" ht="15.35" hidden="1" x14ac:dyDescent="0.55000000000000004">
      <c r="A2072" s="20">
        <v>10065</v>
      </c>
      <c r="B2072" s="2" t="s">
        <v>144</v>
      </c>
      <c r="C2072" s="2" t="s">
        <v>145</v>
      </c>
      <c r="D2072" s="20">
        <v>0</v>
      </c>
      <c r="E2072" s="2" t="s">
        <v>838</v>
      </c>
      <c r="F2072" s="2" t="s">
        <v>793</v>
      </c>
      <c r="G2072" s="2" t="s">
        <v>2656</v>
      </c>
      <c r="H2072" s="2" t="s">
        <v>802</v>
      </c>
      <c r="J2072" s="26"/>
      <c r="K2072" s="36">
        <v>7.8463999999999999E-3</v>
      </c>
      <c r="L2072" s="23">
        <v>1.9616E-3</v>
      </c>
    </row>
    <row r="2073" spans="1:12" ht="15.35" hidden="1" x14ac:dyDescent="0.55000000000000004">
      <c r="A2073" s="20">
        <v>10064</v>
      </c>
      <c r="B2073" s="2" t="s">
        <v>144</v>
      </c>
      <c r="C2073" s="2" t="s">
        <v>145</v>
      </c>
      <c r="D2073" s="20">
        <v>0</v>
      </c>
      <c r="E2073" s="2" t="s">
        <v>838</v>
      </c>
      <c r="F2073" s="2" t="s">
        <v>817</v>
      </c>
      <c r="G2073" s="2" t="s">
        <v>2657</v>
      </c>
      <c r="H2073" s="2" t="s">
        <v>810</v>
      </c>
      <c r="J2073" s="26"/>
      <c r="K2073" s="36">
        <v>0.17997679999999999</v>
      </c>
      <c r="L2073" s="23">
        <v>4.4994199999999998E-2</v>
      </c>
    </row>
    <row r="2074" spans="1:12" ht="15.35" hidden="1" x14ac:dyDescent="0.55000000000000004">
      <c r="A2074" s="20">
        <v>10069</v>
      </c>
      <c r="B2074" s="2" t="s">
        <v>144</v>
      </c>
      <c r="C2074" s="2" t="s">
        <v>145</v>
      </c>
      <c r="D2074" s="20">
        <v>0</v>
      </c>
      <c r="E2074" s="2" t="s">
        <v>838</v>
      </c>
      <c r="F2074" s="2" t="s">
        <v>787</v>
      </c>
      <c r="G2074" s="2" t="s">
        <v>1341</v>
      </c>
      <c r="H2074" s="2" t="s">
        <v>1341</v>
      </c>
      <c r="J2074" s="26"/>
      <c r="K2074" s="36">
        <v>3.5308800000000001E-2</v>
      </c>
      <c r="L2074" s="23">
        <v>8.8272000000000003E-3</v>
      </c>
    </row>
    <row r="2075" spans="1:12" ht="15.35" hidden="1" x14ac:dyDescent="0.55000000000000004">
      <c r="A2075" s="20">
        <v>10066</v>
      </c>
      <c r="B2075" s="2" t="s">
        <v>144</v>
      </c>
      <c r="C2075" s="2" t="s">
        <v>145</v>
      </c>
      <c r="D2075" s="20">
        <v>0</v>
      </c>
      <c r="E2075" s="2" t="s">
        <v>838</v>
      </c>
      <c r="F2075" s="2" t="s">
        <v>817</v>
      </c>
      <c r="G2075" s="2" t="s">
        <v>851</v>
      </c>
      <c r="H2075" s="2" t="s">
        <v>852</v>
      </c>
      <c r="J2075" s="26"/>
      <c r="K2075" s="36">
        <v>3.5308800000000001E-2</v>
      </c>
      <c r="L2075" s="23">
        <v>8.8272000000000003E-3</v>
      </c>
    </row>
    <row r="2076" spans="1:12" ht="15.35" hidden="1" x14ac:dyDescent="0.55000000000000004">
      <c r="A2076" s="20">
        <v>10056</v>
      </c>
      <c r="B2076" s="2" t="s">
        <v>144</v>
      </c>
      <c r="C2076" s="2" t="s">
        <v>145</v>
      </c>
      <c r="D2076" s="20">
        <v>0</v>
      </c>
      <c r="E2076" s="2" t="s">
        <v>838</v>
      </c>
      <c r="F2076" s="2" t="s">
        <v>793</v>
      </c>
      <c r="G2076" s="2" t="s">
        <v>2658</v>
      </c>
      <c r="H2076" s="2" t="s">
        <v>2659</v>
      </c>
      <c r="J2076" s="26"/>
      <c r="K2076" s="36">
        <v>1.7654400000000001E-2</v>
      </c>
      <c r="L2076" s="23">
        <v>4.4136000000000002E-3</v>
      </c>
    </row>
    <row r="2077" spans="1:12" ht="15.35" hidden="1" x14ac:dyDescent="0.55000000000000004">
      <c r="A2077" s="20">
        <v>10058</v>
      </c>
      <c r="B2077" s="2" t="s">
        <v>144</v>
      </c>
      <c r="C2077" s="2" t="s">
        <v>145</v>
      </c>
      <c r="D2077" s="20">
        <v>0</v>
      </c>
      <c r="E2077" s="2" t="s">
        <v>838</v>
      </c>
      <c r="F2077" s="2" t="s">
        <v>793</v>
      </c>
      <c r="G2077" s="2" t="s">
        <v>2660</v>
      </c>
      <c r="H2077" s="2" t="s">
        <v>829</v>
      </c>
      <c r="J2077" s="26"/>
      <c r="K2077" s="36">
        <v>5.3453599999999997E-2</v>
      </c>
      <c r="L2077" s="23">
        <v>1.3363399999999999E-2</v>
      </c>
    </row>
    <row r="2078" spans="1:12" ht="15.35" hidden="1" x14ac:dyDescent="0.55000000000000004">
      <c r="A2078" s="20">
        <v>10050</v>
      </c>
      <c r="B2078" s="2" t="s">
        <v>144</v>
      </c>
      <c r="C2078" s="2" t="s">
        <v>145</v>
      </c>
      <c r="D2078" s="20">
        <v>0</v>
      </c>
      <c r="E2078" s="2" t="s">
        <v>838</v>
      </c>
      <c r="F2078" s="2" t="s">
        <v>817</v>
      </c>
      <c r="G2078" s="2" t="s">
        <v>861</v>
      </c>
      <c r="H2078" s="2" t="s">
        <v>862</v>
      </c>
      <c r="J2078" s="26"/>
      <c r="K2078" s="36">
        <v>3.6289599999999998E-2</v>
      </c>
      <c r="L2078" s="23">
        <v>9.0723999999999996E-3</v>
      </c>
    </row>
    <row r="2079" spans="1:12" ht="15.35" hidden="1" x14ac:dyDescent="0.55000000000000004">
      <c r="A2079" s="20">
        <v>10070</v>
      </c>
      <c r="B2079" s="2" t="s">
        <v>144</v>
      </c>
      <c r="C2079" s="2" t="s">
        <v>145</v>
      </c>
      <c r="D2079" s="20">
        <v>0</v>
      </c>
      <c r="E2079" s="2" t="s">
        <v>838</v>
      </c>
      <c r="F2079" s="2" t="s">
        <v>793</v>
      </c>
      <c r="G2079" s="2" t="s">
        <v>2661</v>
      </c>
      <c r="H2079" s="2" t="s">
        <v>866</v>
      </c>
      <c r="J2079" s="26"/>
      <c r="K2079" s="36">
        <v>5.3943999999999999E-2</v>
      </c>
      <c r="L2079" s="23">
        <v>1.3486E-2</v>
      </c>
    </row>
    <row r="2080" spans="1:12" ht="15.35" hidden="1" x14ac:dyDescent="0.55000000000000004">
      <c r="A2080" s="20">
        <v>10067</v>
      </c>
      <c r="B2080" s="2" t="s">
        <v>144</v>
      </c>
      <c r="C2080" s="2" t="s">
        <v>145</v>
      </c>
      <c r="D2080" s="20">
        <v>0</v>
      </c>
      <c r="E2080" s="2" t="s">
        <v>838</v>
      </c>
      <c r="F2080" s="2" t="s">
        <v>848</v>
      </c>
      <c r="G2080" s="2" t="s">
        <v>1169</v>
      </c>
      <c r="H2080" s="2" t="s">
        <v>1169</v>
      </c>
      <c r="J2080" s="26"/>
      <c r="K2080" s="36">
        <v>4.9040000000000004E-3</v>
      </c>
      <c r="L2080" s="23">
        <v>1.2260000000000001E-3</v>
      </c>
    </row>
    <row r="2081" spans="1:12" ht="15.35" hidden="1" x14ac:dyDescent="0.55000000000000004">
      <c r="A2081" s="20">
        <v>1526</v>
      </c>
      <c r="B2081" s="2" t="s">
        <v>176</v>
      </c>
      <c r="C2081" s="2" t="s">
        <v>177</v>
      </c>
      <c r="D2081" s="20">
        <v>0</v>
      </c>
      <c r="E2081" s="2" t="s">
        <v>63</v>
      </c>
      <c r="F2081" s="2" t="s">
        <v>817</v>
      </c>
      <c r="G2081" s="2" t="s">
        <v>2662</v>
      </c>
      <c r="H2081" s="2" t="s">
        <v>1198</v>
      </c>
      <c r="I2081" s="2" t="s">
        <v>785</v>
      </c>
      <c r="J2081" s="25">
        <v>46277</v>
      </c>
      <c r="K2081" s="36">
        <v>4.4999999999999998E-2</v>
      </c>
      <c r="L2081" s="23">
        <v>4.4999999999999997E-3</v>
      </c>
    </row>
    <row r="2082" spans="1:12" ht="15.35" hidden="1" x14ac:dyDescent="0.55000000000000004">
      <c r="A2082" s="20">
        <v>1543</v>
      </c>
      <c r="B2082" s="2" t="s">
        <v>176</v>
      </c>
      <c r="C2082" s="2" t="s">
        <v>177</v>
      </c>
      <c r="D2082" s="20">
        <v>0</v>
      </c>
      <c r="E2082" s="2" t="s">
        <v>63</v>
      </c>
      <c r="F2082" s="2" t="s">
        <v>817</v>
      </c>
      <c r="G2082" s="2" t="s">
        <v>2663</v>
      </c>
      <c r="H2082" s="2" t="s">
        <v>1198</v>
      </c>
      <c r="I2082" s="2" t="s">
        <v>785</v>
      </c>
      <c r="J2082" s="25">
        <v>46277</v>
      </c>
      <c r="K2082" s="36">
        <v>4.4999999999999998E-2</v>
      </c>
      <c r="L2082" s="23">
        <v>4.4999999999999997E-3</v>
      </c>
    </row>
    <row r="2083" spans="1:12" ht="15.35" hidden="1" x14ac:dyDescent="0.55000000000000004">
      <c r="A2083" s="20">
        <v>1516</v>
      </c>
      <c r="B2083" s="2" t="s">
        <v>176</v>
      </c>
      <c r="C2083" s="2" t="s">
        <v>177</v>
      </c>
      <c r="D2083" s="20">
        <v>0</v>
      </c>
      <c r="E2083" s="2" t="s">
        <v>63</v>
      </c>
      <c r="F2083" s="2" t="s">
        <v>789</v>
      </c>
      <c r="G2083" s="2" t="s">
        <v>2664</v>
      </c>
      <c r="H2083" s="2" t="s">
        <v>2664</v>
      </c>
      <c r="I2083" s="2" t="s">
        <v>785</v>
      </c>
      <c r="J2083" s="25">
        <v>46642</v>
      </c>
      <c r="K2083" s="36">
        <v>4.4999999999999998E-2</v>
      </c>
      <c r="L2083" s="23">
        <v>4.4999999999999997E-3</v>
      </c>
    </row>
    <row r="2084" spans="1:12" ht="15.35" hidden="1" x14ac:dyDescent="0.55000000000000004">
      <c r="A2084" s="20">
        <v>1535</v>
      </c>
      <c r="B2084" s="2" t="s">
        <v>176</v>
      </c>
      <c r="C2084" s="2" t="s">
        <v>177</v>
      </c>
      <c r="D2084" s="20">
        <v>0</v>
      </c>
      <c r="E2084" s="2" t="s">
        <v>63</v>
      </c>
      <c r="F2084" s="2" t="s">
        <v>787</v>
      </c>
      <c r="G2084" s="2" t="s">
        <v>904</v>
      </c>
      <c r="H2084" s="2" t="s">
        <v>904</v>
      </c>
      <c r="I2084" s="2" t="s">
        <v>785</v>
      </c>
      <c r="J2084" s="25">
        <v>46277</v>
      </c>
      <c r="K2084" s="36">
        <v>4.4999999999999998E-2</v>
      </c>
      <c r="L2084" s="23">
        <v>4.4999999999999997E-3</v>
      </c>
    </row>
    <row r="2085" spans="1:12" ht="15.35" hidden="1" x14ac:dyDescent="0.55000000000000004">
      <c r="A2085" s="20">
        <v>1534</v>
      </c>
      <c r="B2085" s="2" t="s">
        <v>176</v>
      </c>
      <c r="C2085" s="2" t="s">
        <v>177</v>
      </c>
      <c r="D2085" s="20">
        <v>0</v>
      </c>
      <c r="E2085" s="2" t="s">
        <v>63</v>
      </c>
      <c r="F2085" s="2" t="s">
        <v>787</v>
      </c>
      <c r="G2085" s="2" t="s">
        <v>788</v>
      </c>
      <c r="H2085" s="2" t="s">
        <v>788</v>
      </c>
      <c r="I2085" s="2" t="s">
        <v>785</v>
      </c>
      <c r="J2085" s="25">
        <v>46277</v>
      </c>
      <c r="K2085" s="36">
        <v>4.4999999999999998E-2</v>
      </c>
      <c r="L2085" s="23">
        <v>4.4999999999999997E-3</v>
      </c>
    </row>
    <row r="2086" spans="1:12" ht="15.35" hidden="1" x14ac:dyDescent="0.55000000000000004">
      <c r="A2086" s="20">
        <v>1518</v>
      </c>
      <c r="B2086" s="2" t="s">
        <v>176</v>
      </c>
      <c r="C2086" s="2" t="s">
        <v>177</v>
      </c>
      <c r="D2086" s="20">
        <v>0</v>
      </c>
      <c r="E2086" s="2" t="s">
        <v>63</v>
      </c>
      <c r="F2086" s="2" t="s">
        <v>789</v>
      </c>
      <c r="G2086" s="2" t="s">
        <v>1864</v>
      </c>
      <c r="H2086" s="2" t="s">
        <v>1013</v>
      </c>
      <c r="I2086" s="2" t="s">
        <v>785</v>
      </c>
      <c r="J2086" s="25">
        <v>46642</v>
      </c>
      <c r="K2086" s="36">
        <v>4.4999999999999998E-2</v>
      </c>
      <c r="L2086" s="23">
        <v>4.4999999999999997E-3</v>
      </c>
    </row>
    <row r="2087" spans="1:12" ht="15.35" hidden="1" x14ac:dyDescent="0.55000000000000004">
      <c r="A2087" s="20">
        <v>1542</v>
      </c>
      <c r="B2087" s="2" t="s">
        <v>176</v>
      </c>
      <c r="C2087" s="2" t="s">
        <v>177</v>
      </c>
      <c r="D2087" s="20">
        <v>0</v>
      </c>
      <c r="E2087" s="2" t="s">
        <v>63</v>
      </c>
      <c r="F2087" s="2" t="s">
        <v>787</v>
      </c>
      <c r="G2087" s="2" t="s">
        <v>968</v>
      </c>
      <c r="H2087" s="2" t="s">
        <v>968</v>
      </c>
      <c r="I2087" s="2" t="s">
        <v>785</v>
      </c>
      <c r="J2087" s="25">
        <v>46642</v>
      </c>
      <c r="K2087" s="36">
        <v>4.4999999999999998E-2</v>
      </c>
      <c r="L2087" s="23">
        <v>4.4999999999999997E-3</v>
      </c>
    </row>
    <row r="2088" spans="1:12" ht="15.35" hidden="1" x14ac:dyDescent="0.55000000000000004">
      <c r="A2088" s="20">
        <v>1551</v>
      </c>
      <c r="B2088" s="2" t="s">
        <v>176</v>
      </c>
      <c r="C2088" s="2" t="s">
        <v>177</v>
      </c>
      <c r="D2088" s="20">
        <v>0</v>
      </c>
      <c r="E2088" s="2" t="s">
        <v>63</v>
      </c>
      <c r="F2088" s="2" t="s">
        <v>787</v>
      </c>
      <c r="G2088" s="2" t="s">
        <v>892</v>
      </c>
      <c r="H2088" s="2" t="s">
        <v>892</v>
      </c>
      <c r="I2088" s="2" t="s">
        <v>785</v>
      </c>
      <c r="J2088" s="25">
        <v>46642</v>
      </c>
      <c r="K2088" s="36">
        <v>4.4999999999999998E-2</v>
      </c>
      <c r="L2088" s="23">
        <v>4.4999999999999997E-3</v>
      </c>
    </row>
    <row r="2089" spans="1:12" ht="15.35" hidden="1" x14ac:dyDescent="0.55000000000000004">
      <c r="A2089" s="20">
        <v>1547</v>
      </c>
      <c r="B2089" s="2" t="s">
        <v>176</v>
      </c>
      <c r="C2089" s="2" t="s">
        <v>177</v>
      </c>
      <c r="D2089" s="20">
        <v>0</v>
      </c>
      <c r="E2089" s="2" t="s">
        <v>63</v>
      </c>
      <c r="F2089" s="2" t="s">
        <v>789</v>
      </c>
      <c r="G2089" s="2" t="s">
        <v>1245</v>
      </c>
      <c r="H2089" s="2" t="s">
        <v>1245</v>
      </c>
      <c r="I2089" s="2" t="s">
        <v>785</v>
      </c>
      <c r="J2089" s="25">
        <v>46277</v>
      </c>
      <c r="K2089" s="36">
        <v>0.04</v>
      </c>
      <c r="L2089" s="23">
        <v>4.0000000000000001E-3</v>
      </c>
    </row>
    <row r="2090" spans="1:12" ht="15.35" hidden="1" x14ac:dyDescent="0.55000000000000004">
      <c r="A2090" s="20">
        <v>1548</v>
      </c>
      <c r="B2090" s="2" t="s">
        <v>176</v>
      </c>
      <c r="C2090" s="2" t="s">
        <v>177</v>
      </c>
      <c r="D2090" s="20">
        <v>0</v>
      </c>
      <c r="E2090" s="2" t="s">
        <v>63</v>
      </c>
      <c r="F2090" s="2" t="s">
        <v>789</v>
      </c>
      <c r="G2090" s="2" t="s">
        <v>1252</v>
      </c>
      <c r="H2090" s="2" t="s">
        <v>1252</v>
      </c>
      <c r="I2090" s="2" t="s">
        <v>785</v>
      </c>
      <c r="J2090" s="25">
        <v>46277</v>
      </c>
      <c r="K2090" s="36">
        <v>3.4000000000000002E-2</v>
      </c>
      <c r="L2090" s="23">
        <v>3.3999999999999998E-3</v>
      </c>
    </row>
    <row r="2091" spans="1:12" ht="15.35" hidden="1" x14ac:dyDescent="0.55000000000000004">
      <c r="A2091" s="20">
        <v>1541</v>
      </c>
      <c r="B2091" s="2" t="s">
        <v>176</v>
      </c>
      <c r="C2091" s="2" t="s">
        <v>177</v>
      </c>
      <c r="D2091" s="20">
        <v>0</v>
      </c>
      <c r="E2091" s="2" t="s">
        <v>63</v>
      </c>
      <c r="F2091" s="2" t="s">
        <v>811</v>
      </c>
      <c r="G2091" s="2" t="s">
        <v>2665</v>
      </c>
      <c r="H2091" s="2" t="s">
        <v>2665</v>
      </c>
      <c r="I2091" s="2" t="s">
        <v>785</v>
      </c>
      <c r="J2091" s="25">
        <v>46277</v>
      </c>
      <c r="K2091" s="36">
        <v>4.4999999999999998E-2</v>
      </c>
      <c r="L2091" s="23">
        <v>4.4999999999999997E-3</v>
      </c>
    </row>
    <row r="2092" spans="1:12" ht="15.35" hidden="1" x14ac:dyDescent="0.55000000000000004">
      <c r="A2092" s="20">
        <v>1528</v>
      </c>
      <c r="B2092" s="2" t="s">
        <v>176</v>
      </c>
      <c r="C2092" s="2" t="s">
        <v>177</v>
      </c>
      <c r="D2092" s="20">
        <v>0</v>
      </c>
      <c r="E2092" s="2" t="s">
        <v>63</v>
      </c>
      <c r="F2092" s="2" t="s">
        <v>789</v>
      </c>
      <c r="G2092" s="2" t="s">
        <v>1033</v>
      </c>
      <c r="H2092" s="2" t="s">
        <v>1033</v>
      </c>
      <c r="I2092" s="2" t="s">
        <v>785</v>
      </c>
      <c r="J2092" s="25">
        <v>46642</v>
      </c>
      <c r="K2092" s="36">
        <v>4.4999999999999998E-2</v>
      </c>
      <c r="L2092" s="23">
        <v>4.4999999999999997E-3</v>
      </c>
    </row>
    <row r="2093" spans="1:12" ht="15.35" hidden="1" x14ac:dyDescent="0.55000000000000004">
      <c r="A2093" s="20">
        <v>1550</v>
      </c>
      <c r="B2093" s="2" t="s">
        <v>176</v>
      </c>
      <c r="C2093" s="2" t="s">
        <v>177</v>
      </c>
      <c r="D2093" s="20">
        <v>0</v>
      </c>
      <c r="E2093" s="2" t="s">
        <v>63</v>
      </c>
      <c r="F2093" s="2" t="s">
        <v>817</v>
      </c>
      <c r="G2093" s="2" t="s">
        <v>2666</v>
      </c>
      <c r="H2093" s="2" t="s">
        <v>1919</v>
      </c>
      <c r="I2093" s="2" t="s">
        <v>785</v>
      </c>
      <c r="J2093" s="25">
        <v>46642</v>
      </c>
      <c r="K2093" s="36">
        <v>2.2499999999999999E-2</v>
      </c>
      <c r="L2093" s="23">
        <v>2.2499999999999998E-3</v>
      </c>
    </row>
    <row r="2094" spans="1:12" ht="15.35" hidden="1" x14ac:dyDescent="0.55000000000000004">
      <c r="A2094" s="20">
        <v>1533</v>
      </c>
      <c r="B2094" s="2" t="s">
        <v>176</v>
      </c>
      <c r="C2094" s="2" t="s">
        <v>177</v>
      </c>
      <c r="D2094" s="20">
        <v>0</v>
      </c>
      <c r="E2094" s="2" t="s">
        <v>63</v>
      </c>
      <c r="F2094" s="2" t="s">
        <v>811</v>
      </c>
      <c r="G2094" s="2" t="s">
        <v>2667</v>
      </c>
      <c r="H2094" s="2" t="s">
        <v>1818</v>
      </c>
      <c r="I2094" s="2" t="s">
        <v>785</v>
      </c>
      <c r="J2094" s="25">
        <v>46277</v>
      </c>
      <c r="K2094" s="36">
        <v>4.4999999999999998E-2</v>
      </c>
      <c r="L2094" s="23">
        <v>4.4999999999999997E-3</v>
      </c>
    </row>
    <row r="2095" spans="1:12" ht="15.35" hidden="1" x14ac:dyDescent="0.55000000000000004">
      <c r="A2095" s="20">
        <v>1549</v>
      </c>
      <c r="B2095" s="2" t="s">
        <v>176</v>
      </c>
      <c r="C2095" s="2" t="s">
        <v>177</v>
      </c>
      <c r="D2095" s="20">
        <v>0</v>
      </c>
      <c r="E2095" s="2" t="s">
        <v>63</v>
      </c>
      <c r="F2095" s="2" t="s">
        <v>817</v>
      </c>
      <c r="G2095" s="2" t="s">
        <v>2668</v>
      </c>
      <c r="H2095" s="2" t="s">
        <v>977</v>
      </c>
      <c r="I2095" s="2" t="s">
        <v>785</v>
      </c>
      <c r="J2095" s="25">
        <v>46642</v>
      </c>
      <c r="K2095" s="36">
        <v>2.2499999999999999E-2</v>
      </c>
      <c r="L2095" s="23">
        <v>2.2499999999999998E-3</v>
      </c>
    </row>
    <row r="2096" spans="1:12" ht="15.35" hidden="1" x14ac:dyDescent="0.55000000000000004">
      <c r="A2096" s="20">
        <v>1511</v>
      </c>
      <c r="B2096" s="2" t="s">
        <v>176</v>
      </c>
      <c r="C2096" s="2" t="s">
        <v>177</v>
      </c>
      <c r="D2096" s="20">
        <v>0</v>
      </c>
      <c r="E2096" s="2" t="s">
        <v>63</v>
      </c>
      <c r="F2096" s="2" t="s">
        <v>811</v>
      </c>
      <c r="G2096" s="2" t="s">
        <v>2669</v>
      </c>
      <c r="H2096" s="2" t="s">
        <v>2669</v>
      </c>
      <c r="I2096" s="2" t="s">
        <v>785</v>
      </c>
      <c r="J2096" s="25">
        <v>46277</v>
      </c>
      <c r="K2096" s="36">
        <v>8.7999999999999995E-2</v>
      </c>
      <c r="L2096" s="23">
        <v>8.8000000000000005E-3</v>
      </c>
    </row>
    <row r="2097" spans="1:12" ht="15.35" hidden="1" x14ac:dyDescent="0.55000000000000004">
      <c r="A2097" s="20">
        <v>1522</v>
      </c>
      <c r="B2097" s="2" t="s">
        <v>176</v>
      </c>
      <c r="C2097" s="2" t="s">
        <v>177</v>
      </c>
      <c r="D2097" s="20">
        <v>0</v>
      </c>
      <c r="E2097" s="2" t="s">
        <v>63</v>
      </c>
      <c r="F2097" s="2" t="s">
        <v>798</v>
      </c>
      <c r="G2097" s="2" t="s">
        <v>2670</v>
      </c>
      <c r="H2097" s="2" t="s">
        <v>804</v>
      </c>
      <c r="I2097" s="2" t="s">
        <v>785</v>
      </c>
      <c r="J2097" s="25">
        <v>46642</v>
      </c>
      <c r="K2097" s="36">
        <v>4.4999999999999998E-2</v>
      </c>
      <c r="L2097" s="23">
        <v>4.4999999999999997E-3</v>
      </c>
    </row>
    <row r="2098" spans="1:12" ht="15.35" hidden="1" x14ac:dyDescent="0.55000000000000004">
      <c r="A2098" s="20">
        <v>1515</v>
      </c>
      <c r="B2098" s="2" t="s">
        <v>176</v>
      </c>
      <c r="C2098" s="2" t="s">
        <v>177</v>
      </c>
      <c r="D2098" s="20">
        <v>0</v>
      </c>
      <c r="E2098" s="2" t="s">
        <v>63</v>
      </c>
      <c r="F2098" s="2" t="s">
        <v>811</v>
      </c>
      <c r="G2098" s="2" t="s">
        <v>1808</v>
      </c>
      <c r="H2098" s="2" t="s">
        <v>1808</v>
      </c>
      <c r="I2098" s="2" t="s">
        <v>785</v>
      </c>
      <c r="J2098" s="25">
        <v>46642</v>
      </c>
      <c r="K2098" s="36">
        <v>0.09</v>
      </c>
      <c r="L2098" s="23">
        <v>8.9999999999999993E-3</v>
      </c>
    </row>
    <row r="2099" spans="1:12" ht="15.35" x14ac:dyDescent="0.55000000000000004">
      <c r="A2099" s="20">
        <v>1546</v>
      </c>
      <c r="B2099" s="2" t="s">
        <v>176</v>
      </c>
      <c r="C2099" s="2" t="s">
        <v>177</v>
      </c>
      <c r="D2099" s="20">
        <v>0</v>
      </c>
      <c r="E2099" s="2" t="s">
        <v>63</v>
      </c>
      <c r="F2099" s="2" t="s">
        <v>811</v>
      </c>
      <c r="G2099" s="2" t="s">
        <v>2671</v>
      </c>
      <c r="I2099" s="2" t="s">
        <v>785</v>
      </c>
      <c r="J2099" s="25">
        <v>46277</v>
      </c>
      <c r="K2099" s="36">
        <v>4.4999999999999998E-2</v>
      </c>
      <c r="L2099" s="23">
        <v>4.4999999999999997E-3</v>
      </c>
    </row>
    <row r="2100" spans="1:12" ht="15.35" hidden="1" x14ac:dyDescent="0.55000000000000004">
      <c r="A2100" s="20">
        <v>1521</v>
      </c>
      <c r="B2100" s="2" t="s">
        <v>176</v>
      </c>
      <c r="C2100" s="2" t="s">
        <v>177</v>
      </c>
      <c r="D2100" s="20">
        <v>0</v>
      </c>
      <c r="E2100" s="2" t="s">
        <v>63</v>
      </c>
      <c r="F2100" s="2" t="s">
        <v>798</v>
      </c>
      <c r="G2100" s="2" t="s">
        <v>2672</v>
      </c>
      <c r="H2100" s="2" t="s">
        <v>1086</v>
      </c>
      <c r="I2100" s="2" t="s">
        <v>785</v>
      </c>
      <c r="J2100" s="25">
        <v>46642</v>
      </c>
      <c r="K2100" s="36">
        <v>4.4999999999999998E-2</v>
      </c>
      <c r="L2100" s="23">
        <v>4.4999999999999997E-3</v>
      </c>
    </row>
    <row r="2101" spans="1:12" ht="15.35" hidden="1" x14ac:dyDescent="0.55000000000000004">
      <c r="A2101" s="20">
        <v>1537</v>
      </c>
      <c r="B2101" s="2" t="s">
        <v>176</v>
      </c>
      <c r="C2101" s="2" t="s">
        <v>177</v>
      </c>
      <c r="D2101" s="20">
        <v>0</v>
      </c>
      <c r="E2101" s="2" t="s">
        <v>63</v>
      </c>
      <c r="F2101" s="2" t="s">
        <v>787</v>
      </c>
      <c r="G2101" s="2" t="s">
        <v>922</v>
      </c>
      <c r="H2101" s="2" t="s">
        <v>922</v>
      </c>
      <c r="I2101" s="2" t="s">
        <v>785</v>
      </c>
      <c r="J2101" s="25">
        <v>46277</v>
      </c>
      <c r="K2101" s="36">
        <v>4.4999999999999998E-2</v>
      </c>
      <c r="L2101" s="23">
        <v>4.4999999999999997E-3</v>
      </c>
    </row>
    <row r="2102" spans="1:12" ht="15.35" hidden="1" x14ac:dyDescent="0.55000000000000004">
      <c r="A2102" s="20">
        <v>1513</v>
      </c>
      <c r="B2102" s="2" t="s">
        <v>176</v>
      </c>
      <c r="C2102" s="2" t="s">
        <v>177</v>
      </c>
      <c r="D2102" s="20">
        <v>0</v>
      </c>
      <c r="E2102" s="2" t="s">
        <v>63</v>
      </c>
      <c r="F2102" s="2" t="s">
        <v>789</v>
      </c>
      <c r="G2102" s="2" t="s">
        <v>2673</v>
      </c>
      <c r="H2102" s="2" t="s">
        <v>1190</v>
      </c>
      <c r="I2102" s="2" t="s">
        <v>785</v>
      </c>
      <c r="J2102" s="25">
        <v>46277</v>
      </c>
      <c r="K2102" s="36">
        <v>4.4999999999999998E-2</v>
      </c>
      <c r="L2102" s="23">
        <v>4.4999999999999997E-3</v>
      </c>
    </row>
    <row r="2103" spans="1:12" ht="15.35" hidden="1" x14ac:dyDescent="0.55000000000000004">
      <c r="A2103" s="20">
        <v>1514</v>
      </c>
      <c r="B2103" s="2" t="s">
        <v>176</v>
      </c>
      <c r="C2103" s="2" t="s">
        <v>177</v>
      </c>
      <c r="D2103" s="20">
        <v>0</v>
      </c>
      <c r="E2103" s="2" t="s">
        <v>63</v>
      </c>
      <c r="F2103" s="2" t="s">
        <v>793</v>
      </c>
      <c r="G2103" s="2" t="s">
        <v>2674</v>
      </c>
      <c r="H2103" s="2" t="s">
        <v>2017</v>
      </c>
      <c r="I2103" s="2" t="s">
        <v>785</v>
      </c>
      <c r="J2103" s="25">
        <v>46642</v>
      </c>
      <c r="K2103" s="36">
        <v>4.4999999999999998E-2</v>
      </c>
      <c r="L2103" s="23">
        <v>4.4999999999999997E-3</v>
      </c>
    </row>
    <row r="2104" spans="1:12" ht="15.35" hidden="1" x14ac:dyDescent="0.55000000000000004">
      <c r="A2104" s="20">
        <v>1531</v>
      </c>
      <c r="B2104" s="2" t="s">
        <v>176</v>
      </c>
      <c r="C2104" s="2" t="s">
        <v>177</v>
      </c>
      <c r="D2104" s="20">
        <v>0</v>
      </c>
      <c r="E2104" s="2" t="s">
        <v>63</v>
      </c>
      <c r="F2104" s="2" t="s">
        <v>787</v>
      </c>
      <c r="G2104" s="2" t="s">
        <v>1191</v>
      </c>
      <c r="H2104" s="2" t="s">
        <v>1191</v>
      </c>
      <c r="I2104" s="2" t="s">
        <v>785</v>
      </c>
      <c r="J2104" s="25">
        <v>46277</v>
      </c>
      <c r="K2104" s="36">
        <v>4.4999999999999998E-2</v>
      </c>
      <c r="L2104" s="23">
        <v>4.4999999999999997E-3</v>
      </c>
    </row>
    <row r="2105" spans="1:12" ht="15.35" hidden="1" x14ac:dyDescent="0.55000000000000004">
      <c r="A2105" s="20">
        <v>1517</v>
      </c>
      <c r="B2105" s="2" t="s">
        <v>176</v>
      </c>
      <c r="C2105" s="2" t="s">
        <v>177</v>
      </c>
      <c r="D2105" s="20">
        <v>0</v>
      </c>
      <c r="E2105" s="2" t="s">
        <v>63</v>
      </c>
      <c r="F2105" s="2" t="s">
        <v>789</v>
      </c>
      <c r="G2105" s="2" t="s">
        <v>2675</v>
      </c>
      <c r="H2105" s="2" t="s">
        <v>873</v>
      </c>
      <c r="I2105" s="2" t="s">
        <v>785</v>
      </c>
      <c r="J2105" s="25">
        <v>46277</v>
      </c>
      <c r="K2105" s="36">
        <v>7.3999999999999996E-2</v>
      </c>
      <c r="L2105" s="23">
        <v>7.4000000000000003E-3</v>
      </c>
    </row>
    <row r="2106" spans="1:12" ht="15.35" hidden="1" x14ac:dyDescent="0.55000000000000004">
      <c r="A2106" s="20">
        <v>1539</v>
      </c>
      <c r="B2106" s="2" t="s">
        <v>176</v>
      </c>
      <c r="C2106" s="2" t="s">
        <v>177</v>
      </c>
      <c r="D2106" s="20">
        <v>0</v>
      </c>
      <c r="E2106" s="2" t="s">
        <v>63</v>
      </c>
      <c r="F2106" s="2" t="s">
        <v>813</v>
      </c>
      <c r="G2106" s="2" t="s">
        <v>2676</v>
      </c>
      <c r="H2106" s="2" t="s">
        <v>2676</v>
      </c>
      <c r="I2106" s="2" t="s">
        <v>785</v>
      </c>
      <c r="J2106" s="25">
        <v>46642</v>
      </c>
      <c r="K2106" s="36">
        <v>4.4999999999999998E-2</v>
      </c>
      <c r="L2106" s="23">
        <v>4.4999999999999997E-3</v>
      </c>
    </row>
    <row r="2107" spans="1:12" ht="15.35" hidden="1" x14ac:dyDescent="0.55000000000000004">
      <c r="A2107" s="20">
        <v>1552</v>
      </c>
      <c r="B2107" s="2" t="s">
        <v>176</v>
      </c>
      <c r="C2107" s="2" t="s">
        <v>177</v>
      </c>
      <c r="D2107" s="20">
        <v>0</v>
      </c>
      <c r="E2107" s="2" t="s">
        <v>63</v>
      </c>
      <c r="F2107" s="2" t="s">
        <v>813</v>
      </c>
      <c r="G2107" s="2" t="s">
        <v>2677</v>
      </c>
      <c r="H2107" s="2" t="s">
        <v>2677</v>
      </c>
      <c r="I2107" s="2" t="s">
        <v>785</v>
      </c>
      <c r="J2107" s="25">
        <v>46277</v>
      </c>
      <c r="K2107" s="36">
        <v>1.4999999999999999E-2</v>
      </c>
      <c r="L2107" s="23">
        <v>1.5E-3</v>
      </c>
    </row>
    <row r="2108" spans="1:12" ht="15.35" hidden="1" x14ac:dyDescent="0.55000000000000004">
      <c r="A2108" s="20">
        <v>1545</v>
      </c>
      <c r="B2108" s="2" t="s">
        <v>176</v>
      </c>
      <c r="C2108" s="2" t="s">
        <v>177</v>
      </c>
      <c r="D2108" s="20">
        <v>0</v>
      </c>
      <c r="E2108" s="2" t="s">
        <v>63</v>
      </c>
      <c r="F2108" s="2" t="s">
        <v>798</v>
      </c>
      <c r="G2108" s="2" t="s">
        <v>2678</v>
      </c>
      <c r="H2108" s="2" t="s">
        <v>2679</v>
      </c>
      <c r="I2108" s="2" t="s">
        <v>785</v>
      </c>
      <c r="J2108" s="25">
        <v>46642</v>
      </c>
      <c r="K2108" s="36">
        <v>4.4999999999999998E-2</v>
      </c>
      <c r="L2108" s="23">
        <v>4.4999999999999997E-3</v>
      </c>
    </row>
    <row r="2109" spans="1:12" ht="15.35" hidden="1" x14ac:dyDescent="0.55000000000000004">
      <c r="A2109" s="20">
        <v>1523</v>
      </c>
      <c r="B2109" s="2" t="s">
        <v>176</v>
      </c>
      <c r="C2109" s="2" t="s">
        <v>177</v>
      </c>
      <c r="D2109" s="20">
        <v>0</v>
      </c>
      <c r="E2109" s="2" t="s">
        <v>63</v>
      </c>
      <c r="F2109" s="2" t="s">
        <v>813</v>
      </c>
      <c r="G2109" s="2" t="s">
        <v>815</v>
      </c>
      <c r="H2109" s="2" t="s">
        <v>815</v>
      </c>
      <c r="I2109" s="2" t="s">
        <v>785</v>
      </c>
      <c r="J2109" s="25">
        <v>46642</v>
      </c>
      <c r="K2109" s="36">
        <v>4.4999999999999998E-2</v>
      </c>
      <c r="L2109" s="23">
        <v>4.4999999999999997E-3</v>
      </c>
    </row>
    <row r="2110" spans="1:12" ht="15.35" hidden="1" x14ac:dyDescent="0.55000000000000004">
      <c r="A2110" s="20">
        <v>1510</v>
      </c>
      <c r="B2110" s="2" t="s">
        <v>176</v>
      </c>
      <c r="C2110" s="2" t="s">
        <v>177</v>
      </c>
      <c r="D2110" s="20">
        <v>0</v>
      </c>
      <c r="E2110" s="2" t="s">
        <v>63</v>
      </c>
      <c r="F2110" s="2" t="s">
        <v>789</v>
      </c>
      <c r="G2110" s="2" t="s">
        <v>2680</v>
      </c>
      <c r="H2110" s="2" t="s">
        <v>2680</v>
      </c>
      <c r="I2110" s="2" t="s">
        <v>785</v>
      </c>
      <c r="J2110" s="25">
        <v>46277</v>
      </c>
      <c r="K2110" s="36">
        <v>7.3999999999999996E-2</v>
      </c>
      <c r="L2110" s="23">
        <v>7.4000000000000003E-3</v>
      </c>
    </row>
    <row r="2111" spans="1:12" ht="15.35" hidden="1" x14ac:dyDescent="0.55000000000000004">
      <c r="A2111" s="20">
        <v>1530</v>
      </c>
      <c r="B2111" s="2" t="s">
        <v>176</v>
      </c>
      <c r="C2111" s="2" t="s">
        <v>177</v>
      </c>
      <c r="D2111" s="20">
        <v>0</v>
      </c>
      <c r="E2111" s="2" t="s">
        <v>63</v>
      </c>
      <c r="F2111" s="2" t="s">
        <v>811</v>
      </c>
      <c r="G2111" s="2" t="s">
        <v>2681</v>
      </c>
      <c r="H2111" s="2" t="s">
        <v>2681</v>
      </c>
      <c r="I2111" s="2" t="s">
        <v>785</v>
      </c>
      <c r="J2111" s="25">
        <v>46277</v>
      </c>
      <c r="K2111" s="36">
        <v>4.4999999999999998E-2</v>
      </c>
      <c r="L2111" s="23">
        <v>4.4999999999999997E-3</v>
      </c>
    </row>
    <row r="2112" spans="1:12" ht="15.35" hidden="1" x14ac:dyDescent="0.55000000000000004">
      <c r="A2112" s="20">
        <v>1524</v>
      </c>
      <c r="B2112" s="2" t="s">
        <v>176</v>
      </c>
      <c r="C2112" s="2" t="s">
        <v>177</v>
      </c>
      <c r="D2112" s="20">
        <v>0</v>
      </c>
      <c r="E2112" s="2" t="s">
        <v>63</v>
      </c>
      <c r="F2112" s="2" t="s">
        <v>813</v>
      </c>
      <c r="G2112" s="2" t="s">
        <v>2682</v>
      </c>
      <c r="H2112" s="2" t="s">
        <v>2682</v>
      </c>
      <c r="I2112" s="2" t="s">
        <v>785</v>
      </c>
      <c r="J2112" s="25">
        <v>46642</v>
      </c>
      <c r="K2112" s="36">
        <v>4.4999999999999998E-2</v>
      </c>
      <c r="L2112" s="23">
        <v>4.4999999999999997E-3</v>
      </c>
    </row>
    <row r="2113" spans="1:12" ht="15.35" hidden="1" x14ac:dyDescent="0.55000000000000004">
      <c r="A2113" s="20">
        <v>1519</v>
      </c>
      <c r="B2113" s="2" t="s">
        <v>176</v>
      </c>
      <c r="C2113" s="2" t="s">
        <v>177</v>
      </c>
      <c r="D2113" s="20">
        <v>0</v>
      </c>
      <c r="E2113" s="2" t="s">
        <v>63</v>
      </c>
      <c r="F2113" s="2" t="s">
        <v>817</v>
      </c>
      <c r="G2113" s="2" t="s">
        <v>2683</v>
      </c>
      <c r="H2113" s="2" t="s">
        <v>819</v>
      </c>
      <c r="I2113" s="2" t="s">
        <v>785</v>
      </c>
      <c r="J2113" s="25">
        <v>46642</v>
      </c>
      <c r="K2113" s="36">
        <v>4.4999999999999998E-2</v>
      </c>
      <c r="L2113" s="23">
        <v>4.4999999999999997E-3</v>
      </c>
    </row>
    <row r="2114" spans="1:12" ht="15.35" hidden="1" x14ac:dyDescent="0.55000000000000004">
      <c r="A2114" s="20">
        <v>1520</v>
      </c>
      <c r="B2114" s="2" t="s">
        <v>176</v>
      </c>
      <c r="C2114" s="2" t="s">
        <v>177</v>
      </c>
      <c r="D2114" s="20">
        <v>0</v>
      </c>
      <c r="E2114" s="2" t="s">
        <v>63</v>
      </c>
      <c r="F2114" s="2" t="s">
        <v>789</v>
      </c>
      <c r="G2114" s="2" t="s">
        <v>826</v>
      </c>
      <c r="H2114" s="2" t="s">
        <v>826</v>
      </c>
      <c r="I2114" s="2" t="s">
        <v>785</v>
      </c>
      <c r="J2114" s="25">
        <v>46642</v>
      </c>
      <c r="K2114" s="36">
        <v>4.4999999999999998E-2</v>
      </c>
      <c r="L2114" s="23">
        <v>4.4999999999999997E-3</v>
      </c>
    </row>
    <row r="2115" spans="1:12" ht="15.35" hidden="1" x14ac:dyDescent="0.55000000000000004">
      <c r="A2115" s="20">
        <v>1529</v>
      </c>
      <c r="B2115" s="2" t="s">
        <v>176</v>
      </c>
      <c r="C2115" s="2" t="s">
        <v>177</v>
      </c>
      <c r="D2115" s="20">
        <v>0</v>
      </c>
      <c r="E2115" s="2" t="s">
        <v>63</v>
      </c>
      <c r="F2115" s="2" t="s">
        <v>807</v>
      </c>
      <c r="G2115" s="2" t="s">
        <v>2684</v>
      </c>
      <c r="H2115" s="2" t="s">
        <v>2684</v>
      </c>
      <c r="I2115" s="2" t="s">
        <v>809</v>
      </c>
      <c r="J2115" s="25">
        <v>47008</v>
      </c>
      <c r="K2115" s="36">
        <v>3.1</v>
      </c>
      <c r="L2115" s="23">
        <v>0.31</v>
      </c>
    </row>
    <row r="2116" spans="1:12" ht="15.35" hidden="1" x14ac:dyDescent="0.55000000000000004">
      <c r="A2116" s="20">
        <v>1532</v>
      </c>
      <c r="B2116" s="2" t="s">
        <v>176</v>
      </c>
      <c r="C2116" s="2" t="s">
        <v>177</v>
      </c>
      <c r="D2116" s="20">
        <v>0</v>
      </c>
      <c r="E2116" s="2" t="s">
        <v>63</v>
      </c>
      <c r="F2116" s="2" t="s">
        <v>807</v>
      </c>
      <c r="G2116" s="2" t="s">
        <v>2684</v>
      </c>
      <c r="H2116" s="2" t="s">
        <v>2684</v>
      </c>
      <c r="I2116" s="2" t="s">
        <v>809</v>
      </c>
      <c r="J2116" s="25">
        <v>47738</v>
      </c>
      <c r="K2116" s="36">
        <v>2</v>
      </c>
      <c r="L2116" s="23">
        <v>0.2</v>
      </c>
    </row>
    <row r="2117" spans="1:12" ht="15.35" hidden="1" x14ac:dyDescent="0.55000000000000004">
      <c r="A2117" s="20">
        <v>1512</v>
      </c>
      <c r="B2117" s="2" t="s">
        <v>176</v>
      </c>
      <c r="C2117" s="2" t="s">
        <v>177</v>
      </c>
      <c r="D2117" s="20">
        <v>0</v>
      </c>
      <c r="E2117" s="2" t="s">
        <v>63</v>
      </c>
      <c r="F2117" s="2" t="s">
        <v>789</v>
      </c>
      <c r="G2117" s="2" t="s">
        <v>946</v>
      </c>
      <c r="H2117" s="2" t="s">
        <v>946</v>
      </c>
      <c r="I2117" s="2" t="s">
        <v>785</v>
      </c>
      <c r="J2117" s="25">
        <v>46277</v>
      </c>
      <c r="K2117" s="36">
        <v>4.4999999999999998E-2</v>
      </c>
      <c r="L2117" s="23">
        <v>4.4999999999999997E-3</v>
      </c>
    </row>
    <row r="2118" spans="1:12" ht="15.35" hidden="1" x14ac:dyDescent="0.55000000000000004">
      <c r="A2118" s="20">
        <v>1538</v>
      </c>
      <c r="B2118" s="2" t="s">
        <v>176</v>
      </c>
      <c r="C2118" s="2" t="s">
        <v>177</v>
      </c>
      <c r="D2118" s="20">
        <v>0</v>
      </c>
      <c r="E2118" s="2" t="s">
        <v>63</v>
      </c>
      <c r="F2118" s="2" t="s">
        <v>813</v>
      </c>
      <c r="G2118" s="2" t="s">
        <v>2685</v>
      </c>
      <c r="H2118" s="2" t="s">
        <v>2685</v>
      </c>
      <c r="I2118" s="2" t="s">
        <v>785</v>
      </c>
      <c r="J2118" s="25">
        <v>46642</v>
      </c>
      <c r="K2118" s="36">
        <v>4.4999999999999998E-2</v>
      </c>
      <c r="L2118" s="23">
        <v>4.4999999999999997E-3</v>
      </c>
    </row>
    <row r="2119" spans="1:12" ht="15.35" hidden="1" x14ac:dyDescent="0.55000000000000004">
      <c r="A2119" s="20">
        <v>1525</v>
      </c>
      <c r="B2119" s="2" t="s">
        <v>176</v>
      </c>
      <c r="C2119" s="2" t="s">
        <v>177</v>
      </c>
      <c r="D2119" s="20">
        <v>0</v>
      </c>
      <c r="E2119" s="2" t="s">
        <v>63</v>
      </c>
      <c r="F2119" s="2" t="s">
        <v>783</v>
      </c>
      <c r="G2119" s="2" t="s">
        <v>2686</v>
      </c>
      <c r="H2119" s="2" t="s">
        <v>2686</v>
      </c>
      <c r="I2119" s="2" t="s">
        <v>785</v>
      </c>
      <c r="J2119" s="25">
        <v>46642</v>
      </c>
      <c r="K2119" s="36">
        <v>4.4999999999999998E-2</v>
      </c>
      <c r="L2119" s="23">
        <v>4.4999999999999997E-3</v>
      </c>
    </row>
    <row r="2120" spans="1:12" ht="15.35" hidden="1" x14ac:dyDescent="0.55000000000000004">
      <c r="A2120" s="20">
        <v>1536</v>
      </c>
      <c r="B2120" s="2" t="s">
        <v>176</v>
      </c>
      <c r="C2120" s="2" t="s">
        <v>177</v>
      </c>
      <c r="D2120" s="20">
        <v>0</v>
      </c>
      <c r="E2120" s="2" t="s">
        <v>63</v>
      </c>
      <c r="F2120" s="2" t="s">
        <v>787</v>
      </c>
      <c r="G2120" s="2" t="s">
        <v>864</v>
      </c>
      <c r="H2120" s="2" t="s">
        <v>864</v>
      </c>
      <c r="I2120" s="2" t="s">
        <v>785</v>
      </c>
      <c r="J2120" s="25">
        <v>46277</v>
      </c>
      <c r="K2120" s="36">
        <v>4.4999999999999998E-2</v>
      </c>
      <c r="L2120" s="23">
        <v>4.4999999999999997E-3</v>
      </c>
    </row>
    <row r="2121" spans="1:12" ht="15.35" x14ac:dyDescent="0.55000000000000004">
      <c r="A2121" s="20">
        <v>1540</v>
      </c>
      <c r="B2121" s="2" t="s">
        <v>176</v>
      </c>
      <c r="C2121" s="2" t="s">
        <v>177</v>
      </c>
      <c r="D2121" s="20">
        <v>0</v>
      </c>
      <c r="E2121" s="2" t="s">
        <v>63</v>
      </c>
      <c r="F2121" s="2" t="s">
        <v>811</v>
      </c>
      <c r="G2121" s="2" t="s">
        <v>2687</v>
      </c>
      <c r="I2121" s="2" t="s">
        <v>785</v>
      </c>
      <c r="J2121" s="25">
        <v>46642</v>
      </c>
      <c r="K2121" s="36">
        <v>4.4999999999999998E-2</v>
      </c>
      <c r="L2121" s="23">
        <v>4.4999999999999997E-3</v>
      </c>
    </row>
    <row r="2122" spans="1:12" ht="15.35" hidden="1" x14ac:dyDescent="0.55000000000000004">
      <c r="A2122" s="20">
        <v>1527</v>
      </c>
      <c r="B2122" s="2" t="s">
        <v>176</v>
      </c>
      <c r="C2122" s="2" t="s">
        <v>177</v>
      </c>
      <c r="D2122" s="20">
        <v>0</v>
      </c>
      <c r="E2122" s="2" t="s">
        <v>63</v>
      </c>
      <c r="F2122" s="2" t="s">
        <v>789</v>
      </c>
      <c r="G2122" s="2" t="s">
        <v>2646</v>
      </c>
      <c r="H2122" s="2" t="s">
        <v>2647</v>
      </c>
      <c r="I2122" s="2" t="s">
        <v>785</v>
      </c>
      <c r="J2122" s="25">
        <v>46642</v>
      </c>
      <c r="K2122" s="36">
        <v>4.4999999999999998E-2</v>
      </c>
      <c r="L2122" s="23">
        <v>4.4999999999999997E-3</v>
      </c>
    </row>
    <row r="2123" spans="1:12" ht="15.35" hidden="1" x14ac:dyDescent="0.55000000000000004">
      <c r="A2123" s="20">
        <v>1544</v>
      </c>
      <c r="B2123" s="2" t="s">
        <v>176</v>
      </c>
      <c r="C2123" s="2" t="s">
        <v>177</v>
      </c>
      <c r="D2123" s="20">
        <v>0</v>
      </c>
      <c r="E2123" s="2" t="s">
        <v>63</v>
      </c>
      <c r="F2123" s="2" t="s">
        <v>813</v>
      </c>
      <c r="G2123" s="2" t="s">
        <v>2688</v>
      </c>
      <c r="H2123" s="2" t="s">
        <v>2688</v>
      </c>
      <c r="I2123" s="2" t="s">
        <v>785</v>
      </c>
      <c r="J2123" s="25">
        <v>46277</v>
      </c>
      <c r="K2123" s="36">
        <v>4.4999999999999998E-2</v>
      </c>
      <c r="L2123" s="23">
        <v>4.4999999999999997E-3</v>
      </c>
    </row>
    <row r="2124" spans="1:12" ht="15.35" hidden="1" x14ac:dyDescent="0.55000000000000004">
      <c r="A2124" s="20">
        <v>16045</v>
      </c>
      <c r="B2124" s="2" t="s">
        <v>176</v>
      </c>
      <c r="C2124" s="2" t="s">
        <v>177</v>
      </c>
      <c r="D2124" s="20">
        <v>0</v>
      </c>
      <c r="E2124" s="2" t="s">
        <v>838</v>
      </c>
      <c r="F2124" s="2" t="s">
        <v>848</v>
      </c>
      <c r="G2124" s="2" t="s">
        <v>2689</v>
      </c>
      <c r="H2124" s="2" t="s">
        <v>2689</v>
      </c>
      <c r="J2124" s="26"/>
      <c r="K2124" s="36">
        <v>8.3075200000000005E-3</v>
      </c>
      <c r="L2124" s="23">
        <v>8.3075E-4</v>
      </c>
    </row>
    <row r="2125" spans="1:12" ht="15.35" hidden="1" x14ac:dyDescent="0.55000000000000004">
      <c r="A2125" s="20">
        <v>16658</v>
      </c>
      <c r="B2125" s="2" t="s">
        <v>176</v>
      </c>
      <c r="C2125" s="2" t="s">
        <v>177</v>
      </c>
      <c r="D2125" s="20">
        <v>0</v>
      </c>
      <c r="E2125" s="2" t="s">
        <v>838</v>
      </c>
      <c r="F2125" s="2" t="s">
        <v>817</v>
      </c>
      <c r="G2125" s="2" t="s">
        <v>2690</v>
      </c>
      <c r="H2125" s="2" t="s">
        <v>2691</v>
      </c>
      <c r="J2125" s="26"/>
      <c r="K2125" s="36">
        <v>1.58238E-3</v>
      </c>
      <c r="L2125" s="23">
        <v>1.5824E-4</v>
      </c>
    </row>
    <row r="2126" spans="1:12" ht="15.35" hidden="1" x14ac:dyDescent="0.55000000000000004">
      <c r="A2126" s="20">
        <v>16663</v>
      </c>
      <c r="B2126" s="2" t="s">
        <v>176</v>
      </c>
      <c r="C2126" s="2" t="s">
        <v>177</v>
      </c>
      <c r="D2126" s="20">
        <v>0</v>
      </c>
      <c r="E2126" s="2" t="s">
        <v>838</v>
      </c>
      <c r="F2126" s="2" t="s">
        <v>793</v>
      </c>
      <c r="G2126" s="2" t="s">
        <v>2692</v>
      </c>
      <c r="H2126" s="2" t="s">
        <v>2693</v>
      </c>
      <c r="J2126" s="26"/>
      <c r="K2126" s="36">
        <v>8.3075200000000005E-3</v>
      </c>
      <c r="L2126" s="23">
        <v>8.3075E-4</v>
      </c>
    </row>
    <row r="2127" spans="1:12" ht="15.35" hidden="1" x14ac:dyDescent="0.55000000000000004">
      <c r="A2127" s="20">
        <v>16755</v>
      </c>
      <c r="B2127" s="2" t="s">
        <v>176</v>
      </c>
      <c r="C2127" s="2" t="s">
        <v>177</v>
      </c>
      <c r="D2127" s="20">
        <v>0</v>
      </c>
      <c r="E2127" s="2" t="s">
        <v>838</v>
      </c>
      <c r="F2127" s="2" t="s">
        <v>793</v>
      </c>
      <c r="G2127" s="2" t="s">
        <v>2694</v>
      </c>
      <c r="H2127" s="2" t="s">
        <v>2695</v>
      </c>
      <c r="J2127" s="26"/>
      <c r="K2127" s="36">
        <v>2.84038E-3</v>
      </c>
      <c r="L2127" s="23">
        <v>2.8404E-4</v>
      </c>
    </row>
    <row r="2128" spans="1:12" ht="15.35" hidden="1" x14ac:dyDescent="0.55000000000000004">
      <c r="A2128" s="20">
        <v>16595</v>
      </c>
      <c r="B2128" s="2" t="s">
        <v>176</v>
      </c>
      <c r="C2128" s="2" t="s">
        <v>177</v>
      </c>
      <c r="D2128" s="20">
        <v>0</v>
      </c>
      <c r="E2128" s="2" t="s">
        <v>838</v>
      </c>
      <c r="F2128" s="2" t="s">
        <v>793</v>
      </c>
      <c r="G2128" s="2" t="s">
        <v>2696</v>
      </c>
      <c r="H2128" s="2" t="s">
        <v>2697</v>
      </c>
      <c r="J2128" s="26"/>
      <c r="K2128" s="36">
        <v>4.5453999999999998E-3</v>
      </c>
      <c r="L2128" s="23">
        <v>4.5454000000000002E-4</v>
      </c>
    </row>
    <row r="2129" spans="1:12" ht="15.35" hidden="1" x14ac:dyDescent="0.55000000000000004">
      <c r="A2129" s="20">
        <v>16720</v>
      </c>
      <c r="B2129" s="2" t="s">
        <v>176</v>
      </c>
      <c r="C2129" s="2" t="s">
        <v>177</v>
      </c>
      <c r="D2129" s="20">
        <v>0</v>
      </c>
      <c r="E2129" s="2" t="s">
        <v>838</v>
      </c>
      <c r="F2129" s="2" t="s">
        <v>793</v>
      </c>
      <c r="G2129" s="2" t="s">
        <v>2698</v>
      </c>
      <c r="H2129" s="2" t="s">
        <v>2698</v>
      </c>
      <c r="J2129" s="26"/>
      <c r="K2129" s="36">
        <v>6.8161200000000002E-3</v>
      </c>
      <c r="L2129" s="23">
        <v>6.8161000000000003E-4</v>
      </c>
    </row>
    <row r="2130" spans="1:12" ht="15.35" hidden="1" x14ac:dyDescent="0.55000000000000004">
      <c r="A2130" s="20">
        <v>16656</v>
      </c>
      <c r="B2130" s="2" t="s">
        <v>176</v>
      </c>
      <c r="C2130" s="2" t="s">
        <v>177</v>
      </c>
      <c r="D2130" s="20">
        <v>0</v>
      </c>
      <c r="E2130" s="2" t="s">
        <v>838</v>
      </c>
      <c r="F2130" s="2" t="s">
        <v>793</v>
      </c>
      <c r="G2130" s="2" t="s">
        <v>2699</v>
      </c>
      <c r="H2130" s="2" t="s">
        <v>2700</v>
      </c>
      <c r="J2130" s="26"/>
      <c r="K2130" s="36">
        <v>2.0175E-4</v>
      </c>
      <c r="L2130" s="23">
        <v>2.0169999999999998E-5</v>
      </c>
    </row>
    <row r="2131" spans="1:12" ht="15.35" hidden="1" x14ac:dyDescent="0.55000000000000004">
      <c r="A2131" s="20">
        <v>16494</v>
      </c>
      <c r="B2131" s="2" t="s">
        <v>176</v>
      </c>
      <c r="C2131" s="2" t="s">
        <v>177</v>
      </c>
      <c r="D2131" s="20">
        <v>0</v>
      </c>
      <c r="E2131" s="2" t="s">
        <v>838</v>
      </c>
      <c r="F2131" s="2" t="s">
        <v>793</v>
      </c>
      <c r="G2131" s="2" t="s">
        <v>2701</v>
      </c>
      <c r="H2131" s="2" t="s">
        <v>1506</v>
      </c>
      <c r="J2131" s="26"/>
      <c r="K2131" s="36">
        <v>1.1076E-4</v>
      </c>
      <c r="L2131" s="23">
        <v>1.1080000000000001E-5</v>
      </c>
    </row>
    <row r="2132" spans="1:12" ht="15.35" hidden="1" x14ac:dyDescent="0.55000000000000004">
      <c r="A2132" s="20">
        <v>16525</v>
      </c>
      <c r="B2132" s="2" t="s">
        <v>176</v>
      </c>
      <c r="C2132" s="2" t="s">
        <v>177</v>
      </c>
      <c r="D2132" s="20">
        <v>0</v>
      </c>
      <c r="E2132" s="2" t="s">
        <v>838</v>
      </c>
      <c r="F2132" s="2" t="s">
        <v>793</v>
      </c>
      <c r="G2132" s="2" t="s">
        <v>2702</v>
      </c>
      <c r="H2132" s="2" t="s">
        <v>1632</v>
      </c>
      <c r="J2132" s="26"/>
      <c r="K2132" s="36">
        <v>1.7009999999999999E-4</v>
      </c>
      <c r="L2132" s="23">
        <v>1.7010000000000001E-5</v>
      </c>
    </row>
    <row r="2133" spans="1:12" ht="15.35" hidden="1" x14ac:dyDescent="0.55000000000000004">
      <c r="A2133" s="20">
        <v>15982</v>
      </c>
      <c r="B2133" s="2" t="s">
        <v>176</v>
      </c>
      <c r="C2133" s="2" t="s">
        <v>177</v>
      </c>
      <c r="D2133" s="20">
        <v>0</v>
      </c>
      <c r="E2133" s="2" t="s">
        <v>838</v>
      </c>
      <c r="F2133" s="2" t="s">
        <v>793</v>
      </c>
      <c r="G2133" s="2" t="s">
        <v>2703</v>
      </c>
      <c r="H2133" s="2" t="s">
        <v>1166</v>
      </c>
      <c r="J2133" s="26"/>
      <c r="K2133" s="36">
        <v>5.5380000000000002E-5</v>
      </c>
      <c r="L2133" s="23">
        <v>5.5400000000000003E-6</v>
      </c>
    </row>
    <row r="2134" spans="1:12" ht="15.35" hidden="1" x14ac:dyDescent="0.55000000000000004">
      <c r="A2134" s="20">
        <v>15978</v>
      </c>
      <c r="B2134" s="2" t="s">
        <v>176</v>
      </c>
      <c r="C2134" s="2" t="s">
        <v>177</v>
      </c>
      <c r="D2134" s="20">
        <v>0</v>
      </c>
      <c r="E2134" s="2" t="s">
        <v>838</v>
      </c>
      <c r="F2134" s="2" t="s">
        <v>793</v>
      </c>
      <c r="G2134" s="2" t="s">
        <v>2704</v>
      </c>
      <c r="H2134" s="2" t="s">
        <v>2705</v>
      </c>
      <c r="J2134" s="26"/>
      <c r="K2134" s="36">
        <v>8.3075200000000005E-3</v>
      </c>
      <c r="L2134" s="23">
        <v>8.3075E-4</v>
      </c>
    </row>
    <row r="2135" spans="1:12" ht="15.35" hidden="1" x14ac:dyDescent="0.55000000000000004">
      <c r="A2135" s="20">
        <v>16465</v>
      </c>
      <c r="B2135" s="2" t="s">
        <v>176</v>
      </c>
      <c r="C2135" s="2" t="s">
        <v>177</v>
      </c>
      <c r="D2135" s="20">
        <v>0</v>
      </c>
      <c r="E2135" s="2" t="s">
        <v>838</v>
      </c>
      <c r="F2135" s="2" t="s">
        <v>789</v>
      </c>
      <c r="G2135" s="2" t="s">
        <v>2706</v>
      </c>
      <c r="H2135" s="2" t="s">
        <v>1822</v>
      </c>
      <c r="J2135" s="26"/>
      <c r="K2135" s="36">
        <v>1.7010599999999999E-3</v>
      </c>
      <c r="L2135" s="23">
        <v>1.7011000000000001E-4</v>
      </c>
    </row>
    <row r="2136" spans="1:12" ht="15.35" hidden="1" x14ac:dyDescent="0.55000000000000004">
      <c r="A2136" s="20">
        <v>16486</v>
      </c>
      <c r="B2136" s="2" t="s">
        <v>176</v>
      </c>
      <c r="C2136" s="2" t="s">
        <v>177</v>
      </c>
      <c r="D2136" s="20">
        <v>0</v>
      </c>
      <c r="E2136" s="2" t="s">
        <v>838</v>
      </c>
      <c r="F2136" s="2" t="s">
        <v>789</v>
      </c>
      <c r="G2136" s="2" t="s">
        <v>2707</v>
      </c>
      <c r="H2136" s="2" t="s">
        <v>2708</v>
      </c>
      <c r="J2136" s="26"/>
      <c r="K2136" s="36">
        <v>1.13536E-3</v>
      </c>
      <c r="L2136" s="23">
        <v>1.1354E-4</v>
      </c>
    </row>
    <row r="2137" spans="1:12" ht="15.35" hidden="1" x14ac:dyDescent="0.55000000000000004">
      <c r="A2137" s="20">
        <v>16066</v>
      </c>
      <c r="B2137" s="2" t="s">
        <v>176</v>
      </c>
      <c r="C2137" s="2" t="s">
        <v>177</v>
      </c>
      <c r="D2137" s="20">
        <v>0</v>
      </c>
      <c r="E2137" s="2" t="s">
        <v>838</v>
      </c>
      <c r="F2137" s="2" t="s">
        <v>793</v>
      </c>
      <c r="G2137" s="2" t="s">
        <v>2709</v>
      </c>
      <c r="H2137" s="2" t="s">
        <v>2710</v>
      </c>
      <c r="J2137" s="26"/>
      <c r="K2137" s="36">
        <v>1.1472E-4</v>
      </c>
      <c r="L2137" s="23">
        <v>1.147E-5</v>
      </c>
    </row>
    <row r="2138" spans="1:12" ht="15.35" hidden="1" x14ac:dyDescent="0.55000000000000004">
      <c r="A2138" s="20">
        <v>15976</v>
      </c>
      <c r="B2138" s="2" t="s">
        <v>176</v>
      </c>
      <c r="C2138" s="2" t="s">
        <v>177</v>
      </c>
      <c r="D2138" s="20">
        <v>0</v>
      </c>
      <c r="E2138" s="2" t="s">
        <v>838</v>
      </c>
      <c r="F2138" s="2" t="s">
        <v>811</v>
      </c>
      <c r="G2138" s="2" t="s">
        <v>2711</v>
      </c>
      <c r="H2138" s="2" t="s">
        <v>1291</v>
      </c>
      <c r="J2138" s="26"/>
      <c r="K2138" s="36">
        <v>9.8889999999999997E-5</v>
      </c>
      <c r="L2138" s="23">
        <v>9.8900000000000002E-6</v>
      </c>
    </row>
    <row r="2139" spans="1:12" ht="15.35" hidden="1" x14ac:dyDescent="0.55000000000000004">
      <c r="A2139" s="20">
        <v>16299</v>
      </c>
      <c r="B2139" s="2" t="s">
        <v>176</v>
      </c>
      <c r="C2139" s="2" t="s">
        <v>177</v>
      </c>
      <c r="D2139" s="20">
        <v>0</v>
      </c>
      <c r="E2139" s="2" t="s">
        <v>838</v>
      </c>
      <c r="F2139" s="2" t="s">
        <v>793</v>
      </c>
      <c r="G2139" s="2" t="s">
        <v>1002</v>
      </c>
      <c r="H2139" s="2" t="s">
        <v>1003</v>
      </c>
      <c r="J2139" s="26"/>
      <c r="K2139" s="36">
        <v>8.3075200000000005E-3</v>
      </c>
      <c r="L2139" s="23">
        <v>8.3075E-4</v>
      </c>
    </row>
    <row r="2140" spans="1:12" ht="15.35" hidden="1" x14ac:dyDescent="0.55000000000000004">
      <c r="A2140" s="20">
        <v>16428</v>
      </c>
      <c r="B2140" s="2" t="s">
        <v>176</v>
      </c>
      <c r="C2140" s="2" t="s">
        <v>177</v>
      </c>
      <c r="D2140" s="20">
        <v>0</v>
      </c>
      <c r="E2140" s="2" t="s">
        <v>838</v>
      </c>
      <c r="F2140" s="2" t="s">
        <v>793</v>
      </c>
      <c r="G2140" s="2" t="s">
        <v>2712</v>
      </c>
      <c r="H2140" s="2" t="s">
        <v>1003</v>
      </c>
      <c r="J2140" s="26"/>
      <c r="K2140" s="36">
        <v>5.1031899999999996E-3</v>
      </c>
      <c r="L2140" s="23">
        <v>5.1031999999999998E-4</v>
      </c>
    </row>
    <row r="2141" spans="1:12" ht="15.35" hidden="1" x14ac:dyDescent="0.55000000000000004">
      <c r="A2141" s="20">
        <v>16674</v>
      </c>
      <c r="B2141" s="2" t="s">
        <v>176</v>
      </c>
      <c r="C2141" s="2" t="s">
        <v>177</v>
      </c>
      <c r="D2141" s="20">
        <v>0</v>
      </c>
      <c r="E2141" s="2" t="s">
        <v>838</v>
      </c>
      <c r="F2141" s="2" t="s">
        <v>793</v>
      </c>
      <c r="G2141" s="2" t="s">
        <v>2713</v>
      </c>
      <c r="H2141" s="2" t="s">
        <v>1003</v>
      </c>
      <c r="J2141" s="26"/>
      <c r="K2141" s="36">
        <v>5.6570199999999996E-3</v>
      </c>
      <c r="L2141" s="23">
        <v>5.6570000000000004E-4</v>
      </c>
    </row>
    <row r="2142" spans="1:12" ht="15.35" hidden="1" x14ac:dyDescent="0.55000000000000004">
      <c r="A2142" s="20">
        <v>15957</v>
      </c>
      <c r="B2142" s="2" t="s">
        <v>176</v>
      </c>
      <c r="C2142" s="2" t="s">
        <v>177</v>
      </c>
      <c r="D2142" s="20">
        <v>0</v>
      </c>
      <c r="E2142" s="2" t="s">
        <v>838</v>
      </c>
      <c r="F2142" s="2" t="s">
        <v>817</v>
      </c>
      <c r="G2142" s="2" t="s">
        <v>1198</v>
      </c>
      <c r="H2142" s="2" t="s">
        <v>1198</v>
      </c>
      <c r="J2142" s="26"/>
      <c r="K2142" s="36">
        <v>3.41004E-3</v>
      </c>
      <c r="L2142" s="23">
        <v>3.4099999999999999E-4</v>
      </c>
    </row>
    <row r="2143" spans="1:12" ht="15.35" hidden="1" x14ac:dyDescent="0.55000000000000004">
      <c r="A2143" s="20">
        <v>16096</v>
      </c>
      <c r="B2143" s="2" t="s">
        <v>176</v>
      </c>
      <c r="C2143" s="2" t="s">
        <v>177</v>
      </c>
      <c r="D2143" s="20">
        <v>0</v>
      </c>
      <c r="E2143" s="2" t="s">
        <v>838</v>
      </c>
      <c r="F2143" s="2" t="s">
        <v>817</v>
      </c>
      <c r="G2143" s="2" t="s">
        <v>2714</v>
      </c>
      <c r="H2143" s="2" t="s">
        <v>1198</v>
      </c>
      <c r="J2143" s="26"/>
      <c r="K2143" s="36">
        <v>4.5492999999999998E-4</v>
      </c>
      <c r="L2143" s="23">
        <v>4.549E-5</v>
      </c>
    </row>
    <row r="2144" spans="1:12" ht="15.35" hidden="1" x14ac:dyDescent="0.55000000000000004">
      <c r="A2144" s="20">
        <v>16184</v>
      </c>
      <c r="B2144" s="2" t="s">
        <v>176</v>
      </c>
      <c r="C2144" s="2" t="s">
        <v>177</v>
      </c>
      <c r="D2144" s="20">
        <v>0</v>
      </c>
      <c r="E2144" s="2" t="s">
        <v>838</v>
      </c>
      <c r="F2144" s="2" t="s">
        <v>793</v>
      </c>
      <c r="G2144" s="2" t="s">
        <v>2715</v>
      </c>
      <c r="H2144" s="2" t="s">
        <v>1411</v>
      </c>
      <c r="J2144" s="26"/>
      <c r="K2144" s="36">
        <v>6.7250999999999997E-4</v>
      </c>
      <c r="L2144" s="23">
        <v>6.7249999999999995E-5</v>
      </c>
    </row>
    <row r="2145" spans="1:12" ht="15.35" hidden="1" x14ac:dyDescent="0.55000000000000004">
      <c r="A2145" s="20">
        <v>16365</v>
      </c>
      <c r="B2145" s="2" t="s">
        <v>176</v>
      </c>
      <c r="C2145" s="2" t="s">
        <v>177</v>
      </c>
      <c r="D2145" s="20">
        <v>0</v>
      </c>
      <c r="E2145" s="2" t="s">
        <v>838</v>
      </c>
      <c r="F2145" s="2" t="s">
        <v>793</v>
      </c>
      <c r="G2145" s="2" t="s">
        <v>2716</v>
      </c>
      <c r="H2145" s="2" t="s">
        <v>1411</v>
      </c>
      <c r="J2145" s="26"/>
      <c r="K2145" s="36">
        <v>9.4939999999999996E-5</v>
      </c>
      <c r="L2145" s="23">
        <v>9.4900000000000006E-6</v>
      </c>
    </row>
    <row r="2146" spans="1:12" ht="15.35" hidden="1" x14ac:dyDescent="0.55000000000000004">
      <c r="A2146" s="20">
        <v>16438</v>
      </c>
      <c r="B2146" s="2" t="s">
        <v>176</v>
      </c>
      <c r="C2146" s="2" t="s">
        <v>177</v>
      </c>
      <c r="D2146" s="20">
        <v>0</v>
      </c>
      <c r="E2146" s="2" t="s">
        <v>838</v>
      </c>
      <c r="F2146" s="2" t="s">
        <v>793</v>
      </c>
      <c r="G2146" s="2" t="s">
        <v>2717</v>
      </c>
      <c r="H2146" s="2" t="s">
        <v>1411</v>
      </c>
      <c r="J2146" s="26"/>
      <c r="K2146" s="36">
        <v>1.2105200000000001E-3</v>
      </c>
      <c r="L2146" s="23">
        <v>1.2105E-4</v>
      </c>
    </row>
    <row r="2147" spans="1:12" ht="15.35" hidden="1" x14ac:dyDescent="0.55000000000000004">
      <c r="A2147" s="20">
        <v>15931</v>
      </c>
      <c r="B2147" s="2" t="s">
        <v>176</v>
      </c>
      <c r="C2147" s="2" t="s">
        <v>177</v>
      </c>
      <c r="D2147" s="20">
        <v>0</v>
      </c>
      <c r="E2147" s="2" t="s">
        <v>838</v>
      </c>
      <c r="F2147" s="2" t="s">
        <v>793</v>
      </c>
      <c r="G2147" s="2" t="s">
        <v>2718</v>
      </c>
      <c r="H2147" s="2" t="s">
        <v>1411</v>
      </c>
      <c r="J2147" s="26"/>
      <c r="K2147" s="36">
        <v>1.7801000000000001E-4</v>
      </c>
      <c r="L2147" s="23">
        <v>1.7799999999999999E-5</v>
      </c>
    </row>
    <row r="2148" spans="1:12" ht="15.35" hidden="1" x14ac:dyDescent="0.55000000000000004">
      <c r="A2148" s="20">
        <v>16376</v>
      </c>
      <c r="B2148" s="2" t="s">
        <v>176</v>
      </c>
      <c r="C2148" s="2" t="s">
        <v>177</v>
      </c>
      <c r="D2148" s="20">
        <v>0</v>
      </c>
      <c r="E2148" s="2" t="s">
        <v>838</v>
      </c>
      <c r="F2148" s="2" t="s">
        <v>793</v>
      </c>
      <c r="G2148" s="2" t="s">
        <v>2719</v>
      </c>
      <c r="H2148" s="2" t="s">
        <v>1424</v>
      </c>
      <c r="J2148" s="26"/>
      <c r="K2148" s="36">
        <v>8.7029999999999999E-5</v>
      </c>
      <c r="L2148" s="23">
        <v>8.6999999999999997E-6</v>
      </c>
    </row>
    <row r="2149" spans="1:12" ht="15.35" hidden="1" x14ac:dyDescent="0.55000000000000004">
      <c r="A2149" s="20">
        <v>16144</v>
      </c>
      <c r="B2149" s="2" t="s">
        <v>176</v>
      </c>
      <c r="C2149" s="2" t="s">
        <v>177</v>
      </c>
      <c r="D2149" s="20">
        <v>0</v>
      </c>
      <c r="E2149" s="2" t="s">
        <v>838</v>
      </c>
      <c r="F2149" s="2" t="s">
        <v>793</v>
      </c>
      <c r="G2149" s="2" t="s">
        <v>2720</v>
      </c>
      <c r="H2149" s="2" t="s">
        <v>1424</v>
      </c>
      <c r="J2149" s="26"/>
      <c r="K2149" s="36">
        <v>1.8196999999999999E-4</v>
      </c>
      <c r="L2149" s="23">
        <v>1.8199999999999999E-5</v>
      </c>
    </row>
    <row r="2150" spans="1:12" ht="15.35" hidden="1" x14ac:dyDescent="0.55000000000000004">
      <c r="A2150" s="20">
        <v>16714</v>
      </c>
      <c r="B2150" s="2" t="s">
        <v>176</v>
      </c>
      <c r="C2150" s="2" t="s">
        <v>177</v>
      </c>
      <c r="D2150" s="20">
        <v>0</v>
      </c>
      <c r="E2150" s="2" t="s">
        <v>838</v>
      </c>
      <c r="F2150" s="2" t="s">
        <v>793</v>
      </c>
      <c r="G2150" s="2" t="s">
        <v>2721</v>
      </c>
      <c r="H2150" s="2" t="s">
        <v>1424</v>
      </c>
      <c r="J2150" s="26"/>
      <c r="K2150" s="36">
        <v>1.4637E-4</v>
      </c>
      <c r="L2150" s="23">
        <v>1.464E-5</v>
      </c>
    </row>
    <row r="2151" spans="1:12" ht="15.35" hidden="1" x14ac:dyDescent="0.55000000000000004">
      <c r="A2151" s="20">
        <v>16635</v>
      </c>
      <c r="B2151" s="2" t="s">
        <v>176</v>
      </c>
      <c r="C2151" s="2" t="s">
        <v>177</v>
      </c>
      <c r="D2151" s="20">
        <v>0</v>
      </c>
      <c r="E2151" s="2" t="s">
        <v>838</v>
      </c>
      <c r="F2151" s="2" t="s">
        <v>793</v>
      </c>
      <c r="G2151" s="2" t="s">
        <v>2722</v>
      </c>
      <c r="H2151" s="2" t="s">
        <v>1424</v>
      </c>
      <c r="J2151" s="26"/>
      <c r="K2151" s="36">
        <v>1.9661100000000001E-3</v>
      </c>
      <c r="L2151" s="23">
        <v>1.9661E-4</v>
      </c>
    </row>
    <row r="2152" spans="1:12" ht="15.35" hidden="1" x14ac:dyDescent="0.55000000000000004">
      <c r="A2152" s="20">
        <v>16470</v>
      </c>
      <c r="B2152" s="2" t="s">
        <v>176</v>
      </c>
      <c r="C2152" s="2" t="s">
        <v>177</v>
      </c>
      <c r="D2152" s="20">
        <v>0</v>
      </c>
      <c r="E2152" s="2" t="s">
        <v>838</v>
      </c>
      <c r="F2152" s="2" t="s">
        <v>793</v>
      </c>
      <c r="G2152" s="2" t="s">
        <v>2723</v>
      </c>
      <c r="H2152" s="2" t="s">
        <v>1424</v>
      </c>
      <c r="J2152" s="26"/>
      <c r="K2152" s="36">
        <v>1.1076E-4</v>
      </c>
      <c r="L2152" s="23">
        <v>1.1080000000000001E-5</v>
      </c>
    </row>
    <row r="2153" spans="1:12" ht="15.35" hidden="1" x14ac:dyDescent="0.55000000000000004">
      <c r="A2153" s="20">
        <v>16297</v>
      </c>
      <c r="B2153" s="2" t="s">
        <v>176</v>
      </c>
      <c r="C2153" s="2" t="s">
        <v>177</v>
      </c>
      <c r="D2153" s="20">
        <v>0</v>
      </c>
      <c r="E2153" s="2" t="s">
        <v>838</v>
      </c>
      <c r="F2153" s="2" t="s">
        <v>793</v>
      </c>
      <c r="G2153" s="2" t="s">
        <v>2724</v>
      </c>
      <c r="H2153" s="2" t="s">
        <v>1431</v>
      </c>
      <c r="J2153" s="26"/>
      <c r="K2153" s="36">
        <v>1.7009999999999999E-4</v>
      </c>
      <c r="L2153" s="23">
        <v>1.7010000000000001E-5</v>
      </c>
    </row>
    <row r="2154" spans="1:12" ht="15.35" hidden="1" x14ac:dyDescent="0.55000000000000004">
      <c r="A2154" s="20">
        <v>16366</v>
      </c>
      <c r="B2154" s="2" t="s">
        <v>176</v>
      </c>
      <c r="C2154" s="2" t="s">
        <v>177</v>
      </c>
      <c r="D2154" s="20">
        <v>0</v>
      </c>
      <c r="E2154" s="2" t="s">
        <v>838</v>
      </c>
      <c r="F2154" s="2" t="s">
        <v>793</v>
      </c>
      <c r="G2154" s="2" t="s">
        <v>2725</v>
      </c>
      <c r="H2154" s="2" t="s">
        <v>1433</v>
      </c>
      <c r="J2154" s="26"/>
      <c r="K2154" s="36">
        <v>1.1472E-4</v>
      </c>
      <c r="L2154" s="23">
        <v>1.147E-5</v>
      </c>
    </row>
    <row r="2155" spans="1:12" ht="15.35" hidden="1" x14ac:dyDescent="0.55000000000000004">
      <c r="A2155" s="20">
        <v>16495</v>
      </c>
      <c r="B2155" s="2" t="s">
        <v>176</v>
      </c>
      <c r="C2155" s="2" t="s">
        <v>177</v>
      </c>
      <c r="D2155" s="20">
        <v>0</v>
      </c>
      <c r="E2155" s="2" t="s">
        <v>838</v>
      </c>
      <c r="F2155" s="2" t="s">
        <v>793</v>
      </c>
      <c r="G2155" s="2" t="s">
        <v>2726</v>
      </c>
      <c r="H2155" s="2" t="s">
        <v>1433</v>
      </c>
      <c r="J2155" s="26"/>
      <c r="K2155" s="36">
        <v>1.1472E-4</v>
      </c>
      <c r="L2155" s="23">
        <v>1.147E-5</v>
      </c>
    </row>
    <row r="2156" spans="1:12" ht="15.35" hidden="1" x14ac:dyDescent="0.55000000000000004">
      <c r="A2156" s="20">
        <v>15974</v>
      </c>
      <c r="B2156" s="2" t="s">
        <v>176</v>
      </c>
      <c r="C2156" s="2" t="s">
        <v>177</v>
      </c>
      <c r="D2156" s="20">
        <v>0</v>
      </c>
      <c r="E2156" s="2" t="s">
        <v>838</v>
      </c>
      <c r="F2156" s="2" t="s">
        <v>793</v>
      </c>
      <c r="G2156" s="2" t="s">
        <v>2727</v>
      </c>
      <c r="H2156" s="2" t="s">
        <v>1433</v>
      </c>
      <c r="J2156" s="26"/>
      <c r="K2156" s="36">
        <v>1.1472E-4</v>
      </c>
      <c r="L2156" s="23">
        <v>1.147E-5</v>
      </c>
    </row>
    <row r="2157" spans="1:12" ht="15.35" hidden="1" x14ac:dyDescent="0.55000000000000004">
      <c r="A2157" s="20">
        <v>16210</v>
      </c>
      <c r="B2157" s="2" t="s">
        <v>176</v>
      </c>
      <c r="C2157" s="2" t="s">
        <v>177</v>
      </c>
      <c r="D2157" s="20">
        <v>0</v>
      </c>
      <c r="E2157" s="2" t="s">
        <v>838</v>
      </c>
      <c r="F2157" s="2" t="s">
        <v>793</v>
      </c>
      <c r="G2157" s="2" t="s">
        <v>2728</v>
      </c>
      <c r="H2157" s="2" t="s">
        <v>1433</v>
      </c>
      <c r="J2157" s="26"/>
      <c r="K2157" s="36">
        <v>1.1472E-4</v>
      </c>
      <c r="L2157" s="23">
        <v>1.147E-5</v>
      </c>
    </row>
    <row r="2158" spans="1:12" ht="15.35" hidden="1" x14ac:dyDescent="0.55000000000000004">
      <c r="A2158" s="20">
        <v>15949</v>
      </c>
      <c r="B2158" s="2" t="s">
        <v>176</v>
      </c>
      <c r="C2158" s="2" t="s">
        <v>177</v>
      </c>
      <c r="D2158" s="20">
        <v>0</v>
      </c>
      <c r="E2158" s="2" t="s">
        <v>838</v>
      </c>
      <c r="F2158" s="2" t="s">
        <v>793</v>
      </c>
      <c r="G2158" s="2" t="s">
        <v>2729</v>
      </c>
      <c r="H2158" s="2" t="s">
        <v>2730</v>
      </c>
      <c r="J2158" s="26"/>
      <c r="K2158" s="36">
        <v>5.6570000000000004E-4</v>
      </c>
      <c r="L2158" s="23">
        <v>5.6570000000000002E-5</v>
      </c>
    </row>
    <row r="2159" spans="1:12" ht="15.35" hidden="1" x14ac:dyDescent="0.55000000000000004">
      <c r="A2159" s="20">
        <v>16351</v>
      </c>
      <c r="B2159" s="2" t="s">
        <v>176</v>
      </c>
      <c r="C2159" s="2" t="s">
        <v>177</v>
      </c>
      <c r="D2159" s="20">
        <v>0</v>
      </c>
      <c r="E2159" s="2" t="s">
        <v>838</v>
      </c>
      <c r="F2159" s="2" t="s">
        <v>793</v>
      </c>
      <c r="G2159" s="2" t="s">
        <v>2731</v>
      </c>
      <c r="H2159" s="2" t="s">
        <v>2730</v>
      </c>
      <c r="J2159" s="26"/>
      <c r="K2159" s="36">
        <v>5.6570000000000004E-4</v>
      </c>
      <c r="L2159" s="23">
        <v>5.6570000000000002E-5</v>
      </c>
    </row>
    <row r="2160" spans="1:12" ht="15.35" hidden="1" x14ac:dyDescent="0.55000000000000004">
      <c r="A2160" s="20">
        <v>16085</v>
      </c>
      <c r="B2160" s="2" t="s">
        <v>176</v>
      </c>
      <c r="C2160" s="2" t="s">
        <v>177</v>
      </c>
      <c r="D2160" s="20">
        <v>0</v>
      </c>
      <c r="E2160" s="2" t="s">
        <v>838</v>
      </c>
      <c r="F2160" s="2" t="s">
        <v>793</v>
      </c>
      <c r="G2160" s="2" t="s">
        <v>2732</v>
      </c>
      <c r="H2160" s="2" t="s">
        <v>2730</v>
      </c>
      <c r="J2160" s="26"/>
      <c r="K2160" s="36">
        <v>5.6570000000000004E-4</v>
      </c>
      <c r="L2160" s="23">
        <v>5.6570000000000002E-5</v>
      </c>
    </row>
    <row r="2161" spans="1:12" ht="15.35" hidden="1" x14ac:dyDescent="0.55000000000000004">
      <c r="A2161" s="20">
        <v>16507</v>
      </c>
      <c r="B2161" s="2" t="s">
        <v>176</v>
      </c>
      <c r="C2161" s="2" t="s">
        <v>177</v>
      </c>
      <c r="D2161" s="20">
        <v>0</v>
      </c>
      <c r="E2161" s="2" t="s">
        <v>838</v>
      </c>
      <c r="F2161" s="2" t="s">
        <v>793</v>
      </c>
      <c r="G2161" s="2" t="s">
        <v>2733</v>
      </c>
      <c r="H2161" s="2" t="s">
        <v>2730</v>
      </c>
      <c r="J2161" s="26"/>
      <c r="K2161" s="36">
        <v>5.6570000000000004E-4</v>
      </c>
      <c r="L2161" s="23">
        <v>5.6570000000000002E-5</v>
      </c>
    </row>
    <row r="2162" spans="1:12" ht="15.35" hidden="1" x14ac:dyDescent="0.55000000000000004">
      <c r="A2162" s="20">
        <v>16076</v>
      </c>
      <c r="B2162" s="2" t="s">
        <v>176</v>
      </c>
      <c r="C2162" s="2" t="s">
        <v>177</v>
      </c>
      <c r="D2162" s="20">
        <v>0</v>
      </c>
      <c r="E2162" s="2" t="s">
        <v>838</v>
      </c>
      <c r="F2162" s="2" t="s">
        <v>817</v>
      </c>
      <c r="G2162" s="2" t="s">
        <v>1825</v>
      </c>
      <c r="H2162" s="2" t="s">
        <v>1826</v>
      </c>
      <c r="J2162" s="26"/>
      <c r="K2162" s="36">
        <v>8.3075200000000005E-3</v>
      </c>
      <c r="L2162" s="23">
        <v>8.3075E-4</v>
      </c>
    </row>
    <row r="2163" spans="1:12" ht="15.35" hidden="1" x14ac:dyDescent="0.55000000000000004">
      <c r="A2163" s="20">
        <v>16454</v>
      </c>
      <c r="B2163" s="2" t="s">
        <v>176</v>
      </c>
      <c r="C2163" s="2" t="s">
        <v>177</v>
      </c>
      <c r="D2163" s="20">
        <v>0</v>
      </c>
      <c r="E2163" s="2" t="s">
        <v>838</v>
      </c>
      <c r="F2163" s="2" t="s">
        <v>817</v>
      </c>
      <c r="G2163" s="2" t="s">
        <v>2734</v>
      </c>
      <c r="H2163" s="2" t="s">
        <v>1826</v>
      </c>
      <c r="J2163" s="26"/>
      <c r="K2163" s="36">
        <v>3.9559599999999997E-3</v>
      </c>
      <c r="L2163" s="23">
        <v>3.9560000000000002E-4</v>
      </c>
    </row>
    <row r="2164" spans="1:12" ht="15.35" hidden="1" x14ac:dyDescent="0.55000000000000004">
      <c r="A2164" s="20">
        <v>16485</v>
      </c>
      <c r="B2164" s="2" t="s">
        <v>176</v>
      </c>
      <c r="C2164" s="2" t="s">
        <v>177</v>
      </c>
      <c r="D2164" s="20">
        <v>0</v>
      </c>
      <c r="E2164" s="2" t="s">
        <v>838</v>
      </c>
      <c r="F2164" s="2" t="s">
        <v>817</v>
      </c>
      <c r="G2164" s="2" t="s">
        <v>2735</v>
      </c>
      <c r="H2164" s="2" t="s">
        <v>1826</v>
      </c>
      <c r="J2164" s="26"/>
      <c r="K2164" s="36">
        <v>3.9559599999999997E-3</v>
      </c>
      <c r="L2164" s="23">
        <v>3.9560000000000002E-4</v>
      </c>
    </row>
    <row r="2165" spans="1:12" ht="15.35" hidden="1" x14ac:dyDescent="0.55000000000000004">
      <c r="A2165" s="20">
        <v>16116</v>
      </c>
      <c r="B2165" s="2" t="s">
        <v>176</v>
      </c>
      <c r="C2165" s="2" t="s">
        <v>177</v>
      </c>
      <c r="D2165" s="20">
        <v>0</v>
      </c>
      <c r="E2165" s="2" t="s">
        <v>838</v>
      </c>
      <c r="F2165" s="2" t="s">
        <v>793</v>
      </c>
      <c r="G2165" s="2" t="s">
        <v>2736</v>
      </c>
      <c r="H2165" s="2" t="s">
        <v>1741</v>
      </c>
      <c r="J2165" s="26"/>
      <c r="K2165" s="36">
        <v>5.6570000000000004E-4</v>
      </c>
      <c r="L2165" s="23">
        <v>5.6570000000000002E-5</v>
      </c>
    </row>
    <row r="2166" spans="1:12" ht="15.35" hidden="1" x14ac:dyDescent="0.55000000000000004">
      <c r="A2166" s="20">
        <v>16216</v>
      </c>
      <c r="B2166" s="2" t="s">
        <v>176</v>
      </c>
      <c r="C2166" s="2" t="s">
        <v>177</v>
      </c>
      <c r="D2166" s="20">
        <v>0</v>
      </c>
      <c r="E2166" s="2" t="s">
        <v>838</v>
      </c>
      <c r="F2166" s="2" t="s">
        <v>811</v>
      </c>
      <c r="G2166" s="2" t="s">
        <v>2737</v>
      </c>
      <c r="H2166" s="2" t="s">
        <v>2609</v>
      </c>
      <c r="J2166" s="26"/>
      <c r="K2166" s="36">
        <v>6.7250999999999997E-4</v>
      </c>
      <c r="L2166" s="23">
        <v>6.7249999999999995E-5</v>
      </c>
    </row>
    <row r="2167" spans="1:12" ht="15.35" hidden="1" x14ac:dyDescent="0.55000000000000004">
      <c r="A2167" s="20">
        <v>16408</v>
      </c>
      <c r="B2167" s="2" t="s">
        <v>176</v>
      </c>
      <c r="C2167" s="2" t="s">
        <v>177</v>
      </c>
      <c r="D2167" s="20">
        <v>0</v>
      </c>
      <c r="E2167" s="2" t="s">
        <v>838</v>
      </c>
      <c r="F2167" s="2" t="s">
        <v>811</v>
      </c>
      <c r="G2167" s="2" t="s">
        <v>2738</v>
      </c>
      <c r="H2167" s="2" t="s">
        <v>2609</v>
      </c>
      <c r="J2167" s="26"/>
      <c r="K2167" s="36">
        <v>9.0987000000000001E-4</v>
      </c>
      <c r="L2167" s="23">
        <v>9.0989999999999994E-5</v>
      </c>
    </row>
    <row r="2168" spans="1:12" ht="15.35" hidden="1" x14ac:dyDescent="0.55000000000000004">
      <c r="A2168" s="20">
        <v>16256</v>
      </c>
      <c r="B2168" s="2" t="s">
        <v>176</v>
      </c>
      <c r="C2168" s="2" t="s">
        <v>177</v>
      </c>
      <c r="D2168" s="20">
        <v>0</v>
      </c>
      <c r="E2168" s="2" t="s">
        <v>838</v>
      </c>
      <c r="F2168" s="2" t="s">
        <v>811</v>
      </c>
      <c r="G2168" s="2" t="s">
        <v>2608</v>
      </c>
      <c r="H2168" s="2" t="s">
        <v>2609</v>
      </c>
      <c r="J2168" s="26"/>
      <c r="K2168" s="36">
        <v>8.5052999999999995E-4</v>
      </c>
      <c r="L2168" s="23">
        <v>8.5049999999999994E-5</v>
      </c>
    </row>
    <row r="2169" spans="1:12" ht="15.35" hidden="1" x14ac:dyDescent="0.55000000000000004">
      <c r="A2169" s="20">
        <v>16517</v>
      </c>
      <c r="B2169" s="2" t="s">
        <v>176</v>
      </c>
      <c r="C2169" s="2" t="s">
        <v>177</v>
      </c>
      <c r="D2169" s="20">
        <v>0</v>
      </c>
      <c r="E2169" s="2" t="s">
        <v>838</v>
      </c>
      <c r="F2169" s="2" t="s">
        <v>811</v>
      </c>
      <c r="G2169" s="2" t="s">
        <v>2739</v>
      </c>
      <c r="H2169" s="2" t="s">
        <v>2609</v>
      </c>
      <c r="J2169" s="26"/>
      <c r="K2169" s="36">
        <v>4.5492999999999998E-4</v>
      </c>
      <c r="L2169" s="23">
        <v>4.549E-5</v>
      </c>
    </row>
    <row r="2170" spans="1:12" ht="15.35" hidden="1" x14ac:dyDescent="0.55000000000000004">
      <c r="A2170" s="20">
        <v>16301</v>
      </c>
      <c r="B2170" s="2" t="s">
        <v>176</v>
      </c>
      <c r="C2170" s="2" t="s">
        <v>177</v>
      </c>
      <c r="D2170" s="20">
        <v>0</v>
      </c>
      <c r="E2170" s="2" t="s">
        <v>838</v>
      </c>
      <c r="F2170" s="2" t="s">
        <v>811</v>
      </c>
      <c r="G2170" s="2" t="s">
        <v>2740</v>
      </c>
      <c r="H2170" s="2" t="s">
        <v>1778</v>
      </c>
      <c r="J2170" s="26"/>
      <c r="K2170" s="36">
        <v>8.3124400000000008E-3</v>
      </c>
      <c r="L2170" s="23">
        <v>8.3124000000000002E-4</v>
      </c>
    </row>
    <row r="2171" spans="1:12" ht="15.35" hidden="1" x14ac:dyDescent="0.55000000000000004">
      <c r="A2171" s="20">
        <v>16590</v>
      </c>
      <c r="B2171" s="2" t="s">
        <v>176</v>
      </c>
      <c r="C2171" s="2" t="s">
        <v>177</v>
      </c>
      <c r="D2171" s="20">
        <v>0</v>
      </c>
      <c r="E2171" s="2" t="s">
        <v>838</v>
      </c>
      <c r="F2171" s="2" t="s">
        <v>811</v>
      </c>
      <c r="G2171" s="2" t="s">
        <v>2741</v>
      </c>
      <c r="H2171" s="2" t="s">
        <v>1778</v>
      </c>
      <c r="J2171" s="26"/>
      <c r="K2171" s="36">
        <v>8.3075200000000005E-3</v>
      </c>
      <c r="L2171" s="23">
        <v>8.3075E-4</v>
      </c>
    </row>
    <row r="2172" spans="1:12" ht="15.35" hidden="1" x14ac:dyDescent="0.55000000000000004">
      <c r="A2172" s="20">
        <v>15917</v>
      </c>
      <c r="B2172" s="2" t="s">
        <v>176</v>
      </c>
      <c r="C2172" s="2" t="s">
        <v>177</v>
      </c>
      <c r="D2172" s="20">
        <v>0</v>
      </c>
      <c r="E2172" s="2" t="s">
        <v>838</v>
      </c>
      <c r="F2172" s="2" t="s">
        <v>811</v>
      </c>
      <c r="G2172" s="2" t="s">
        <v>2742</v>
      </c>
      <c r="H2172" s="2" t="s">
        <v>1778</v>
      </c>
      <c r="J2172" s="26"/>
      <c r="K2172" s="36">
        <v>2.29445E-3</v>
      </c>
      <c r="L2172" s="23">
        <v>2.2944E-4</v>
      </c>
    </row>
    <row r="2173" spans="1:12" ht="15.35" hidden="1" x14ac:dyDescent="0.55000000000000004">
      <c r="A2173" s="20">
        <v>16110</v>
      </c>
      <c r="B2173" s="2" t="s">
        <v>176</v>
      </c>
      <c r="C2173" s="2" t="s">
        <v>177</v>
      </c>
      <c r="D2173" s="20">
        <v>0</v>
      </c>
      <c r="E2173" s="2" t="s">
        <v>838</v>
      </c>
      <c r="F2173" s="2" t="s">
        <v>793</v>
      </c>
      <c r="G2173" s="2" t="s">
        <v>2743</v>
      </c>
      <c r="H2173" s="2" t="s">
        <v>2744</v>
      </c>
      <c r="J2173" s="26"/>
      <c r="K2173" s="36">
        <v>5.9330000000000003E-5</v>
      </c>
      <c r="L2173" s="23">
        <v>5.93E-6</v>
      </c>
    </row>
    <row r="2174" spans="1:12" ht="15.35" hidden="1" x14ac:dyDescent="0.55000000000000004">
      <c r="A2174" s="20">
        <v>16032</v>
      </c>
      <c r="B2174" s="2" t="s">
        <v>176</v>
      </c>
      <c r="C2174" s="2" t="s">
        <v>177</v>
      </c>
      <c r="D2174" s="20">
        <v>0</v>
      </c>
      <c r="E2174" s="2" t="s">
        <v>838</v>
      </c>
      <c r="F2174" s="2" t="s">
        <v>793</v>
      </c>
      <c r="G2174" s="2" t="s">
        <v>2745</v>
      </c>
      <c r="H2174" s="2" t="s">
        <v>2744</v>
      </c>
      <c r="J2174" s="26"/>
      <c r="K2174" s="36">
        <v>6.3289999999999999E-5</v>
      </c>
      <c r="L2174" s="23">
        <v>6.3300000000000004E-6</v>
      </c>
    </row>
    <row r="2175" spans="1:12" ht="15.35" hidden="1" x14ac:dyDescent="0.55000000000000004">
      <c r="A2175" s="20">
        <v>16253</v>
      </c>
      <c r="B2175" s="2" t="s">
        <v>176</v>
      </c>
      <c r="C2175" s="2" t="s">
        <v>177</v>
      </c>
      <c r="D2175" s="20">
        <v>0</v>
      </c>
      <c r="E2175" s="2" t="s">
        <v>838</v>
      </c>
      <c r="F2175" s="2" t="s">
        <v>848</v>
      </c>
      <c r="G2175" s="2" t="s">
        <v>1004</v>
      </c>
      <c r="H2175" s="2" t="s">
        <v>1004</v>
      </c>
      <c r="J2175" s="26"/>
      <c r="K2175" s="36">
        <v>2.2548899999999998E-3</v>
      </c>
      <c r="L2175" s="23">
        <v>2.2549000000000001E-4</v>
      </c>
    </row>
    <row r="2176" spans="1:12" ht="15.35" hidden="1" x14ac:dyDescent="0.55000000000000004">
      <c r="A2176" s="20">
        <v>16580</v>
      </c>
      <c r="B2176" s="2" t="s">
        <v>176</v>
      </c>
      <c r="C2176" s="2" t="s">
        <v>177</v>
      </c>
      <c r="D2176" s="20">
        <v>0</v>
      </c>
      <c r="E2176" s="2" t="s">
        <v>838</v>
      </c>
      <c r="F2176" s="2" t="s">
        <v>817</v>
      </c>
      <c r="G2176" s="2" t="s">
        <v>2746</v>
      </c>
      <c r="H2176" s="2" t="s">
        <v>1632</v>
      </c>
      <c r="J2176" s="26"/>
      <c r="K2176" s="36">
        <v>5.9330000000000003E-5</v>
      </c>
      <c r="L2176" s="23">
        <v>5.93E-6</v>
      </c>
    </row>
    <row r="2177" spans="1:12" ht="15.35" hidden="1" x14ac:dyDescent="0.55000000000000004">
      <c r="A2177" s="20">
        <v>16719</v>
      </c>
      <c r="B2177" s="2" t="s">
        <v>176</v>
      </c>
      <c r="C2177" s="2" t="s">
        <v>177</v>
      </c>
      <c r="D2177" s="20">
        <v>0</v>
      </c>
      <c r="E2177" s="2" t="s">
        <v>838</v>
      </c>
      <c r="F2177" s="2" t="s">
        <v>817</v>
      </c>
      <c r="G2177" s="2" t="s">
        <v>2747</v>
      </c>
      <c r="H2177" s="2" t="s">
        <v>1632</v>
      </c>
      <c r="J2177" s="26"/>
      <c r="K2177" s="36">
        <v>1.1076E-4</v>
      </c>
      <c r="L2177" s="23">
        <v>1.1080000000000001E-5</v>
      </c>
    </row>
    <row r="2178" spans="1:12" ht="15.35" hidden="1" x14ac:dyDescent="0.55000000000000004">
      <c r="A2178" s="20">
        <v>16655</v>
      </c>
      <c r="B2178" s="2" t="s">
        <v>176</v>
      </c>
      <c r="C2178" s="2" t="s">
        <v>177</v>
      </c>
      <c r="D2178" s="20">
        <v>0</v>
      </c>
      <c r="E2178" s="2" t="s">
        <v>838</v>
      </c>
      <c r="F2178" s="2" t="s">
        <v>817</v>
      </c>
      <c r="G2178" s="2" t="s">
        <v>2748</v>
      </c>
      <c r="H2178" s="2" t="s">
        <v>1632</v>
      </c>
      <c r="J2178" s="26"/>
      <c r="K2178" s="36">
        <v>5.5380000000000002E-5</v>
      </c>
      <c r="L2178" s="23">
        <v>5.5400000000000003E-6</v>
      </c>
    </row>
    <row r="2179" spans="1:12" ht="15.35" hidden="1" x14ac:dyDescent="0.55000000000000004">
      <c r="A2179" s="20">
        <v>15977</v>
      </c>
      <c r="B2179" s="2" t="s">
        <v>176</v>
      </c>
      <c r="C2179" s="2" t="s">
        <v>177</v>
      </c>
      <c r="D2179" s="20">
        <v>0</v>
      </c>
      <c r="E2179" s="2" t="s">
        <v>838</v>
      </c>
      <c r="F2179" s="2" t="s">
        <v>817</v>
      </c>
      <c r="G2179" s="2" t="s">
        <v>2749</v>
      </c>
      <c r="H2179" s="2" t="s">
        <v>1632</v>
      </c>
      <c r="J2179" s="26"/>
      <c r="K2179" s="36">
        <v>9.4939999999999996E-5</v>
      </c>
      <c r="L2179" s="23">
        <v>9.4900000000000006E-6</v>
      </c>
    </row>
    <row r="2180" spans="1:12" ht="15.35" hidden="1" x14ac:dyDescent="0.55000000000000004">
      <c r="A2180" s="20">
        <v>16493</v>
      </c>
      <c r="B2180" s="2" t="s">
        <v>176</v>
      </c>
      <c r="C2180" s="2" t="s">
        <v>177</v>
      </c>
      <c r="D2180" s="20">
        <v>0</v>
      </c>
      <c r="E2180" s="2" t="s">
        <v>838</v>
      </c>
      <c r="F2180" s="2" t="s">
        <v>817</v>
      </c>
      <c r="G2180" s="2" t="s">
        <v>2750</v>
      </c>
      <c r="H2180" s="2" t="s">
        <v>1632</v>
      </c>
      <c r="J2180" s="26"/>
      <c r="K2180" s="36">
        <v>8.7029999999999999E-5</v>
      </c>
      <c r="L2180" s="23">
        <v>8.6999999999999997E-6</v>
      </c>
    </row>
    <row r="2181" spans="1:12" ht="15.35" hidden="1" x14ac:dyDescent="0.55000000000000004">
      <c r="A2181" s="20">
        <v>16754</v>
      </c>
      <c r="B2181" s="2" t="s">
        <v>176</v>
      </c>
      <c r="C2181" s="2" t="s">
        <v>177</v>
      </c>
      <c r="D2181" s="20">
        <v>0</v>
      </c>
      <c r="E2181" s="2" t="s">
        <v>838</v>
      </c>
      <c r="F2181" s="2" t="s">
        <v>817</v>
      </c>
      <c r="G2181" s="2" t="s">
        <v>2751</v>
      </c>
      <c r="H2181" s="2" t="s">
        <v>1632</v>
      </c>
      <c r="J2181" s="26"/>
      <c r="K2181" s="36">
        <v>1.8987999999999999E-4</v>
      </c>
      <c r="L2181" s="23">
        <v>1.8989999999999999E-5</v>
      </c>
    </row>
    <row r="2182" spans="1:12" ht="15.35" hidden="1" x14ac:dyDescent="0.55000000000000004">
      <c r="A2182" s="20">
        <v>16662</v>
      </c>
      <c r="B2182" s="2" t="s">
        <v>176</v>
      </c>
      <c r="C2182" s="2" t="s">
        <v>177</v>
      </c>
      <c r="D2182" s="20">
        <v>0</v>
      </c>
      <c r="E2182" s="2" t="s">
        <v>838</v>
      </c>
      <c r="F2182" s="2" t="s">
        <v>817</v>
      </c>
      <c r="G2182" s="2" t="s">
        <v>2752</v>
      </c>
      <c r="H2182" s="2" t="s">
        <v>1632</v>
      </c>
      <c r="J2182" s="26"/>
      <c r="K2182" s="36">
        <v>2.4526000000000002E-4</v>
      </c>
      <c r="L2182" s="23">
        <v>2.4530000000000001E-5</v>
      </c>
    </row>
    <row r="2183" spans="1:12" ht="15.35" hidden="1" x14ac:dyDescent="0.55000000000000004">
      <c r="A2183" s="20">
        <v>15981</v>
      </c>
      <c r="B2183" s="2" t="s">
        <v>176</v>
      </c>
      <c r="C2183" s="2" t="s">
        <v>177</v>
      </c>
      <c r="D2183" s="20">
        <v>0</v>
      </c>
      <c r="E2183" s="2" t="s">
        <v>838</v>
      </c>
      <c r="F2183" s="2" t="s">
        <v>817</v>
      </c>
      <c r="G2183" s="2" t="s">
        <v>2753</v>
      </c>
      <c r="H2183" s="2" t="s">
        <v>1632</v>
      </c>
      <c r="J2183" s="26"/>
      <c r="K2183" s="36">
        <v>3.4811999999999999E-4</v>
      </c>
      <c r="L2183" s="23">
        <v>3.481E-5</v>
      </c>
    </row>
    <row r="2184" spans="1:12" ht="15.35" hidden="1" x14ac:dyDescent="0.55000000000000004">
      <c r="A2184" s="20">
        <v>16657</v>
      </c>
      <c r="B2184" s="2" t="s">
        <v>176</v>
      </c>
      <c r="C2184" s="2" t="s">
        <v>177</v>
      </c>
      <c r="D2184" s="20">
        <v>0</v>
      </c>
      <c r="E2184" s="2" t="s">
        <v>838</v>
      </c>
      <c r="F2184" s="2" t="s">
        <v>817</v>
      </c>
      <c r="G2184" s="2" t="s">
        <v>2754</v>
      </c>
      <c r="H2184" s="2" t="s">
        <v>1632</v>
      </c>
      <c r="J2184" s="26"/>
      <c r="K2184" s="36">
        <v>1.7801000000000001E-4</v>
      </c>
      <c r="L2184" s="23">
        <v>1.7799999999999999E-5</v>
      </c>
    </row>
    <row r="2185" spans="1:12" ht="15.35" hidden="1" x14ac:dyDescent="0.55000000000000004">
      <c r="A2185" s="20">
        <v>16524</v>
      </c>
      <c r="B2185" s="2" t="s">
        <v>176</v>
      </c>
      <c r="C2185" s="2" t="s">
        <v>177</v>
      </c>
      <c r="D2185" s="20">
        <v>0</v>
      </c>
      <c r="E2185" s="2" t="s">
        <v>838</v>
      </c>
      <c r="F2185" s="2" t="s">
        <v>817</v>
      </c>
      <c r="G2185" s="2" t="s">
        <v>2755</v>
      </c>
      <c r="H2185" s="2" t="s">
        <v>1632</v>
      </c>
      <c r="J2185" s="26"/>
      <c r="K2185" s="36">
        <v>2.0966E-4</v>
      </c>
      <c r="L2185" s="23">
        <v>2.0970000000000001E-5</v>
      </c>
    </row>
    <row r="2186" spans="1:12" ht="15.35" hidden="1" x14ac:dyDescent="0.55000000000000004">
      <c r="A2186" s="20">
        <v>16379</v>
      </c>
      <c r="B2186" s="2" t="s">
        <v>176</v>
      </c>
      <c r="C2186" s="2" t="s">
        <v>177</v>
      </c>
      <c r="D2186" s="20">
        <v>0</v>
      </c>
      <c r="E2186" s="2" t="s">
        <v>838</v>
      </c>
      <c r="F2186" s="2" t="s">
        <v>817</v>
      </c>
      <c r="G2186" s="2" t="s">
        <v>2756</v>
      </c>
      <c r="H2186" s="2" t="s">
        <v>1632</v>
      </c>
      <c r="J2186" s="26"/>
      <c r="K2186" s="36">
        <v>2.0966E-4</v>
      </c>
      <c r="L2186" s="23">
        <v>2.0970000000000001E-5</v>
      </c>
    </row>
    <row r="2187" spans="1:12" ht="15.35" hidden="1" x14ac:dyDescent="0.55000000000000004">
      <c r="A2187" s="20">
        <v>16419</v>
      </c>
      <c r="B2187" s="2" t="s">
        <v>176</v>
      </c>
      <c r="C2187" s="2" t="s">
        <v>177</v>
      </c>
      <c r="D2187" s="20">
        <v>0</v>
      </c>
      <c r="E2187" s="2" t="s">
        <v>838</v>
      </c>
      <c r="F2187" s="2" t="s">
        <v>817</v>
      </c>
      <c r="G2187" s="2" t="s">
        <v>2757</v>
      </c>
      <c r="H2187" s="2" t="s">
        <v>1632</v>
      </c>
      <c r="J2187" s="26"/>
      <c r="K2187" s="36">
        <v>7.5160000000000005E-5</v>
      </c>
      <c r="L2187" s="23">
        <v>7.52E-6</v>
      </c>
    </row>
    <row r="2188" spans="1:12" ht="15.35" hidden="1" x14ac:dyDescent="0.55000000000000004">
      <c r="A2188" s="20">
        <v>16418</v>
      </c>
      <c r="B2188" s="2" t="s">
        <v>176</v>
      </c>
      <c r="C2188" s="2" t="s">
        <v>177</v>
      </c>
      <c r="D2188" s="20">
        <v>0</v>
      </c>
      <c r="E2188" s="2" t="s">
        <v>838</v>
      </c>
      <c r="F2188" s="2" t="s">
        <v>793</v>
      </c>
      <c r="G2188" s="2" t="s">
        <v>2758</v>
      </c>
      <c r="H2188" s="2" t="s">
        <v>1201</v>
      </c>
      <c r="J2188" s="26"/>
      <c r="K2188" s="36">
        <v>8.3075200000000005E-3</v>
      </c>
      <c r="L2188" s="23">
        <v>8.3075E-4</v>
      </c>
    </row>
    <row r="2189" spans="1:12" ht="15.35" hidden="1" x14ac:dyDescent="0.55000000000000004">
      <c r="A2189" s="20">
        <v>16500</v>
      </c>
      <c r="B2189" s="2" t="s">
        <v>176</v>
      </c>
      <c r="C2189" s="2" t="s">
        <v>177</v>
      </c>
      <c r="D2189" s="20">
        <v>0</v>
      </c>
      <c r="E2189" s="2" t="s">
        <v>838</v>
      </c>
      <c r="F2189" s="2" t="s">
        <v>848</v>
      </c>
      <c r="G2189" s="2" t="s">
        <v>1203</v>
      </c>
      <c r="H2189" s="2" t="s">
        <v>1203</v>
      </c>
      <c r="J2189" s="26"/>
      <c r="K2189" s="36">
        <v>7.9514800000000004E-3</v>
      </c>
      <c r="L2189" s="23">
        <v>7.9515E-4</v>
      </c>
    </row>
    <row r="2190" spans="1:12" ht="15.35" hidden="1" x14ac:dyDescent="0.55000000000000004">
      <c r="A2190" s="20">
        <v>16439</v>
      </c>
      <c r="B2190" s="2" t="s">
        <v>176</v>
      </c>
      <c r="C2190" s="2" t="s">
        <v>177</v>
      </c>
      <c r="D2190" s="20">
        <v>0</v>
      </c>
      <c r="E2190" s="2" t="s">
        <v>838</v>
      </c>
      <c r="F2190" s="2" t="s">
        <v>787</v>
      </c>
      <c r="G2190" s="2" t="s">
        <v>1007</v>
      </c>
      <c r="H2190" s="2" t="s">
        <v>1007</v>
      </c>
      <c r="J2190" s="26"/>
      <c r="K2190" s="36">
        <v>8.3075200000000005E-3</v>
      </c>
      <c r="L2190" s="23">
        <v>8.3075E-4</v>
      </c>
    </row>
    <row r="2191" spans="1:12" ht="15.35" hidden="1" x14ac:dyDescent="0.55000000000000004">
      <c r="A2191" s="20">
        <v>16100</v>
      </c>
      <c r="B2191" s="2" t="s">
        <v>176</v>
      </c>
      <c r="C2191" s="2" t="s">
        <v>177</v>
      </c>
      <c r="D2191" s="20">
        <v>0</v>
      </c>
      <c r="E2191" s="2" t="s">
        <v>838</v>
      </c>
      <c r="F2191" s="2" t="s">
        <v>793</v>
      </c>
      <c r="G2191" s="2" t="s">
        <v>1009</v>
      </c>
      <c r="H2191" s="2" t="s">
        <v>1007</v>
      </c>
      <c r="J2191" s="26"/>
      <c r="K2191" s="36">
        <v>7.1207299999999996E-3</v>
      </c>
      <c r="L2191" s="23">
        <v>7.1206999999999998E-4</v>
      </c>
    </row>
    <row r="2192" spans="1:12" ht="15.35" hidden="1" x14ac:dyDescent="0.55000000000000004">
      <c r="A2192" s="20">
        <v>16577</v>
      </c>
      <c r="B2192" s="2" t="s">
        <v>176</v>
      </c>
      <c r="C2192" s="2" t="s">
        <v>177</v>
      </c>
      <c r="D2192" s="20">
        <v>0</v>
      </c>
      <c r="E2192" s="2" t="s">
        <v>838</v>
      </c>
      <c r="F2192" s="2" t="s">
        <v>793</v>
      </c>
      <c r="G2192" s="2" t="s">
        <v>2759</v>
      </c>
      <c r="H2192" s="2" t="s">
        <v>1007</v>
      </c>
      <c r="J2192" s="26"/>
      <c r="K2192" s="36">
        <v>1.02855E-3</v>
      </c>
      <c r="L2192" s="23">
        <v>1.0285000000000001E-4</v>
      </c>
    </row>
    <row r="2193" spans="1:12" ht="15.35" hidden="1" x14ac:dyDescent="0.55000000000000004">
      <c r="A2193" s="20">
        <v>16086</v>
      </c>
      <c r="B2193" s="2" t="s">
        <v>176</v>
      </c>
      <c r="C2193" s="2" t="s">
        <v>177</v>
      </c>
      <c r="D2193" s="20">
        <v>0</v>
      </c>
      <c r="E2193" s="2" t="s">
        <v>838</v>
      </c>
      <c r="F2193" s="2" t="s">
        <v>793</v>
      </c>
      <c r="G2193" s="2" t="s">
        <v>2760</v>
      </c>
      <c r="H2193" s="2" t="s">
        <v>1007</v>
      </c>
      <c r="J2193" s="26"/>
      <c r="K2193" s="36">
        <v>7.7536899999999997E-3</v>
      </c>
      <c r="L2193" s="23">
        <v>7.7537000000000005E-4</v>
      </c>
    </row>
    <row r="2194" spans="1:12" ht="15.35" hidden="1" x14ac:dyDescent="0.55000000000000004">
      <c r="A2194" s="20">
        <v>16729</v>
      </c>
      <c r="B2194" s="2" t="s">
        <v>176</v>
      </c>
      <c r="C2194" s="2" t="s">
        <v>177</v>
      </c>
      <c r="D2194" s="20">
        <v>0</v>
      </c>
      <c r="E2194" s="2" t="s">
        <v>838</v>
      </c>
      <c r="F2194" s="2" t="s">
        <v>793</v>
      </c>
      <c r="G2194" s="2" t="s">
        <v>2761</v>
      </c>
      <c r="H2194" s="2" t="s">
        <v>1207</v>
      </c>
      <c r="J2194" s="26"/>
      <c r="K2194" s="36">
        <v>1.1867E-4</v>
      </c>
      <c r="L2194" s="23">
        <v>1.187E-5</v>
      </c>
    </row>
    <row r="2195" spans="1:12" ht="15.35" hidden="1" x14ac:dyDescent="0.55000000000000004">
      <c r="A2195" s="20">
        <v>16463</v>
      </c>
      <c r="B2195" s="2" t="s">
        <v>176</v>
      </c>
      <c r="C2195" s="2" t="s">
        <v>177</v>
      </c>
      <c r="D2195" s="20">
        <v>0</v>
      </c>
      <c r="E2195" s="2" t="s">
        <v>838</v>
      </c>
      <c r="F2195" s="2" t="s">
        <v>793</v>
      </c>
      <c r="G2195" s="2" t="s">
        <v>2762</v>
      </c>
      <c r="H2195" s="2" t="s">
        <v>1207</v>
      </c>
      <c r="J2195" s="26"/>
      <c r="K2195" s="36">
        <v>1.1867799999999999E-3</v>
      </c>
      <c r="L2195" s="23">
        <v>1.1868E-4</v>
      </c>
    </row>
    <row r="2196" spans="1:12" ht="15.35" hidden="1" x14ac:dyDescent="0.55000000000000004">
      <c r="A2196" s="20">
        <v>15964</v>
      </c>
      <c r="B2196" s="2" t="s">
        <v>176</v>
      </c>
      <c r="C2196" s="2" t="s">
        <v>177</v>
      </c>
      <c r="D2196" s="20">
        <v>0</v>
      </c>
      <c r="E2196" s="2" t="s">
        <v>838</v>
      </c>
      <c r="F2196" s="2" t="s">
        <v>793</v>
      </c>
      <c r="G2196" s="2" t="s">
        <v>2763</v>
      </c>
      <c r="H2196" s="2" t="s">
        <v>1207</v>
      </c>
      <c r="J2196" s="26"/>
      <c r="K2196" s="36">
        <v>1.1867799999999999E-3</v>
      </c>
      <c r="L2196" s="23">
        <v>1.1868E-4</v>
      </c>
    </row>
    <row r="2197" spans="1:12" ht="15.35" hidden="1" x14ac:dyDescent="0.55000000000000004">
      <c r="A2197" s="20">
        <v>16308</v>
      </c>
      <c r="B2197" s="2" t="s">
        <v>176</v>
      </c>
      <c r="C2197" s="2" t="s">
        <v>177</v>
      </c>
      <c r="D2197" s="20">
        <v>0</v>
      </c>
      <c r="E2197" s="2" t="s">
        <v>838</v>
      </c>
      <c r="F2197" s="2" t="s">
        <v>793</v>
      </c>
      <c r="G2197" s="2" t="s">
        <v>2764</v>
      </c>
      <c r="H2197" s="2" t="s">
        <v>1207</v>
      </c>
      <c r="J2197" s="26"/>
      <c r="K2197" s="36">
        <v>1.1867E-4</v>
      </c>
      <c r="L2197" s="23">
        <v>1.187E-5</v>
      </c>
    </row>
    <row r="2198" spans="1:12" ht="15.35" hidden="1" x14ac:dyDescent="0.55000000000000004">
      <c r="A2198" s="20">
        <v>16540</v>
      </c>
      <c r="B2198" s="2" t="s">
        <v>176</v>
      </c>
      <c r="C2198" s="2" t="s">
        <v>177</v>
      </c>
      <c r="D2198" s="20">
        <v>0</v>
      </c>
      <c r="E2198" s="2" t="s">
        <v>838</v>
      </c>
      <c r="F2198" s="2" t="s">
        <v>793</v>
      </c>
      <c r="G2198" s="2" t="s">
        <v>2765</v>
      </c>
      <c r="H2198" s="2" t="s">
        <v>1207</v>
      </c>
      <c r="J2198" s="26"/>
      <c r="K2198" s="36">
        <v>1.58238E-3</v>
      </c>
      <c r="L2198" s="23">
        <v>1.5824E-4</v>
      </c>
    </row>
    <row r="2199" spans="1:12" ht="15.35" hidden="1" x14ac:dyDescent="0.55000000000000004">
      <c r="A2199" s="20">
        <v>16371</v>
      </c>
      <c r="B2199" s="2" t="s">
        <v>176</v>
      </c>
      <c r="C2199" s="2" t="s">
        <v>177</v>
      </c>
      <c r="D2199" s="20">
        <v>0</v>
      </c>
      <c r="E2199" s="2" t="s">
        <v>838</v>
      </c>
      <c r="F2199" s="2" t="s">
        <v>793</v>
      </c>
      <c r="G2199" s="2" t="s">
        <v>2766</v>
      </c>
      <c r="H2199" s="2" t="s">
        <v>1207</v>
      </c>
      <c r="J2199" s="26"/>
      <c r="K2199" s="36">
        <v>1.58238E-3</v>
      </c>
      <c r="L2199" s="23">
        <v>1.5824E-4</v>
      </c>
    </row>
    <row r="2200" spans="1:12" ht="15.35" hidden="1" x14ac:dyDescent="0.55000000000000004">
      <c r="A2200" s="20">
        <v>16246</v>
      </c>
      <c r="B2200" s="2" t="s">
        <v>176</v>
      </c>
      <c r="C2200" s="2" t="s">
        <v>177</v>
      </c>
      <c r="D2200" s="20">
        <v>0</v>
      </c>
      <c r="E2200" s="2" t="s">
        <v>838</v>
      </c>
      <c r="F2200" s="2" t="s">
        <v>793</v>
      </c>
      <c r="G2200" s="2" t="s">
        <v>2767</v>
      </c>
      <c r="H2200" s="2" t="s">
        <v>1207</v>
      </c>
      <c r="J2200" s="26"/>
      <c r="K2200" s="36">
        <v>9.8898999999999992E-4</v>
      </c>
      <c r="L2200" s="23">
        <v>9.8900000000000005E-5</v>
      </c>
    </row>
    <row r="2201" spans="1:12" ht="15.35" hidden="1" x14ac:dyDescent="0.55000000000000004">
      <c r="A2201" s="20">
        <v>16502</v>
      </c>
      <c r="B2201" s="2" t="s">
        <v>176</v>
      </c>
      <c r="C2201" s="2" t="s">
        <v>177</v>
      </c>
      <c r="D2201" s="20">
        <v>0</v>
      </c>
      <c r="E2201" s="2" t="s">
        <v>838</v>
      </c>
      <c r="F2201" s="2" t="s">
        <v>793</v>
      </c>
      <c r="G2201" s="2" t="s">
        <v>2768</v>
      </c>
      <c r="H2201" s="2" t="s">
        <v>1207</v>
      </c>
      <c r="J2201" s="26"/>
      <c r="K2201" s="36">
        <v>9.8898999999999992E-4</v>
      </c>
      <c r="L2201" s="23">
        <v>9.8900000000000005E-5</v>
      </c>
    </row>
    <row r="2202" spans="1:12" ht="15.35" hidden="1" x14ac:dyDescent="0.55000000000000004">
      <c r="A2202" s="20">
        <v>16642</v>
      </c>
      <c r="B2202" s="2" t="s">
        <v>176</v>
      </c>
      <c r="C2202" s="2" t="s">
        <v>177</v>
      </c>
      <c r="D2202" s="20">
        <v>0</v>
      </c>
      <c r="E2202" s="2" t="s">
        <v>838</v>
      </c>
      <c r="F2202" s="2" t="s">
        <v>793</v>
      </c>
      <c r="G2202" s="2" t="s">
        <v>2769</v>
      </c>
      <c r="H2202" s="2" t="s">
        <v>1207</v>
      </c>
      <c r="J2202" s="26"/>
      <c r="K2202" s="36">
        <v>2.3735700000000002E-3</v>
      </c>
      <c r="L2202" s="23">
        <v>2.3735999999999999E-4</v>
      </c>
    </row>
    <row r="2203" spans="1:12" ht="15.35" hidden="1" x14ac:dyDescent="0.55000000000000004">
      <c r="A2203" s="20">
        <v>16733</v>
      </c>
      <c r="B2203" s="2" t="s">
        <v>176</v>
      </c>
      <c r="C2203" s="2" t="s">
        <v>177</v>
      </c>
      <c r="D2203" s="20">
        <v>0</v>
      </c>
      <c r="E2203" s="2" t="s">
        <v>838</v>
      </c>
      <c r="F2203" s="2" t="s">
        <v>793</v>
      </c>
      <c r="G2203" s="2" t="s">
        <v>2770</v>
      </c>
      <c r="H2203" s="2" t="s">
        <v>1207</v>
      </c>
      <c r="J2203" s="26"/>
      <c r="K2203" s="36">
        <v>1.1867E-4</v>
      </c>
      <c r="L2203" s="23">
        <v>1.187E-5</v>
      </c>
    </row>
    <row r="2204" spans="1:12" ht="15.35" hidden="1" x14ac:dyDescent="0.55000000000000004">
      <c r="A2204" s="20">
        <v>16572</v>
      </c>
      <c r="B2204" s="2" t="s">
        <v>176</v>
      </c>
      <c r="C2204" s="2" t="s">
        <v>177</v>
      </c>
      <c r="D2204" s="20">
        <v>0</v>
      </c>
      <c r="E2204" s="2" t="s">
        <v>838</v>
      </c>
      <c r="F2204" s="2" t="s">
        <v>848</v>
      </c>
      <c r="G2204" s="2" t="s">
        <v>1216</v>
      </c>
      <c r="H2204" s="2" t="s">
        <v>1216</v>
      </c>
      <c r="J2204" s="26"/>
      <c r="K2204" s="36">
        <v>7.9119199999999994E-3</v>
      </c>
      <c r="L2204" s="23">
        <v>7.9118999999999999E-4</v>
      </c>
    </row>
    <row r="2205" spans="1:12" ht="15.35" hidden="1" x14ac:dyDescent="0.55000000000000004">
      <c r="A2205" s="20">
        <v>16643</v>
      </c>
      <c r="B2205" s="2" t="s">
        <v>176</v>
      </c>
      <c r="C2205" s="2" t="s">
        <v>177</v>
      </c>
      <c r="D2205" s="20">
        <v>0</v>
      </c>
      <c r="E2205" s="2" t="s">
        <v>838</v>
      </c>
      <c r="F2205" s="2" t="s">
        <v>793</v>
      </c>
      <c r="G2205" s="2" t="s">
        <v>2771</v>
      </c>
      <c r="H2205" s="2" t="s">
        <v>1848</v>
      </c>
      <c r="J2205" s="26"/>
      <c r="K2205" s="36">
        <v>6.3294999999999996E-4</v>
      </c>
      <c r="L2205" s="23">
        <v>6.3299999999999994E-5</v>
      </c>
    </row>
    <row r="2206" spans="1:12" ht="15.35" hidden="1" x14ac:dyDescent="0.55000000000000004">
      <c r="A2206" s="20">
        <v>15998</v>
      </c>
      <c r="B2206" s="2" t="s">
        <v>176</v>
      </c>
      <c r="C2206" s="2" t="s">
        <v>177</v>
      </c>
      <c r="D2206" s="20">
        <v>0</v>
      </c>
      <c r="E2206" s="2" t="s">
        <v>838</v>
      </c>
      <c r="F2206" s="2" t="s">
        <v>793</v>
      </c>
      <c r="G2206" s="2" t="s">
        <v>2772</v>
      </c>
      <c r="H2206" s="2" t="s">
        <v>1848</v>
      </c>
      <c r="J2206" s="26"/>
      <c r="K2206" s="36">
        <v>8.3075200000000005E-3</v>
      </c>
      <c r="L2206" s="23">
        <v>8.3075E-4</v>
      </c>
    </row>
    <row r="2207" spans="1:12" ht="15.35" hidden="1" x14ac:dyDescent="0.55000000000000004">
      <c r="A2207" s="20">
        <v>16541</v>
      </c>
      <c r="B2207" s="2" t="s">
        <v>176</v>
      </c>
      <c r="C2207" s="2" t="s">
        <v>177</v>
      </c>
      <c r="D2207" s="20">
        <v>0</v>
      </c>
      <c r="E2207" s="2" t="s">
        <v>838</v>
      </c>
      <c r="F2207" s="2" t="s">
        <v>793</v>
      </c>
      <c r="G2207" s="2" t="s">
        <v>2773</v>
      </c>
      <c r="H2207" s="2" t="s">
        <v>1848</v>
      </c>
      <c r="J2207" s="26"/>
      <c r="K2207" s="36">
        <v>8.3075200000000005E-3</v>
      </c>
      <c r="L2207" s="23">
        <v>8.3075E-4</v>
      </c>
    </row>
    <row r="2208" spans="1:12" ht="15.35" hidden="1" x14ac:dyDescent="0.55000000000000004">
      <c r="A2208" s="20">
        <v>16432</v>
      </c>
      <c r="B2208" s="2" t="s">
        <v>176</v>
      </c>
      <c r="C2208" s="2" t="s">
        <v>177</v>
      </c>
      <c r="D2208" s="20">
        <v>0</v>
      </c>
      <c r="E2208" s="2" t="s">
        <v>838</v>
      </c>
      <c r="F2208" s="2" t="s">
        <v>793</v>
      </c>
      <c r="G2208" s="2" t="s">
        <v>2774</v>
      </c>
      <c r="H2208" s="2" t="s">
        <v>1848</v>
      </c>
      <c r="J2208" s="26"/>
      <c r="K2208" s="36">
        <v>8.3075200000000005E-3</v>
      </c>
      <c r="L2208" s="23">
        <v>8.3075E-4</v>
      </c>
    </row>
    <row r="2209" spans="1:12" ht="15.35" hidden="1" x14ac:dyDescent="0.55000000000000004">
      <c r="A2209" s="20">
        <v>16666</v>
      </c>
      <c r="B2209" s="2" t="s">
        <v>176</v>
      </c>
      <c r="C2209" s="2" t="s">
        <v>177</v>
      </c>
      <c r="D2209" s="20">
        <v>0</v>
      </c>
      <c r="E2209" s="2" t="s">
        <v>838</v>
      </c>
      <c r="F2209" s="2" t="s">
        <v>793</v>
      </c>
      <c r="G2209" s="2" t="s">
        <v>2775</v>
      </c>
      <c r="H2209" s="2" t="s">
        <v>1848</v>
      </c>
      <c r="J2209" s="26"/>
      <c r="K2209" s="36">
        <v>8.9008999999999996E-4</v>
      </c>
      <c r="L2209" s="23">
        <v>8.9010000000000003E-5</v>
      </c>
    </row>
    <row r="2210" spans="1:12" ht="15.35" hidden="1" x14ac:dyDescent="0.55000000000000004">
      <c r="A2210" s="20">
        <v>15988</v>
      </c>
      <c r="B2210" s="2" t="s">
        <v>176</v>
      </c>
      <c r="C2210" s="2" t="s">
        <v>177</v>
      </c>
      <c r="D2210" s="20">
        <v>0</v>
      </c>
      <c r="E2210" s="2" t="s">
        <v>838</v>
      </c>
      <c r="F2210" s="2" t="s">
        <v>793</v>
      </c>
      <c r="G2210" s="2" t="s">
        <v>2776</v>
      </c>
      <c r="H2210" s="2" t="s">
        <v>1848</v>
      </c>
      <c r="J2210" s="26"/>
      <c r="K2210" s="36">
        <v>3.3625000000000001E-4</v>
      </c>
      <c r="L2210" s="23">
        <v>3.362E-5</v>
      </c>
    </row>
    <row r="2211" spans="1:12" ht="15.35" hidden="1" x14ac:dyDescent="0.55000000000000004">
      <c r="A2211" s="20">
        <v>16712</v>
      </c>
      <c r="B2211" s="2" t="s">
        <v>176</v>
      </c>
      <c r="C2211" s="2" t="s">
        <v>177</v>
      </c>
      <c r="D2211" s="20">
        <v>0</v>
      </c>
      <c r="E2211" s="2" t="s">
        <v>838</v>
      </c>
      <c r="F2211" s="2" t="s">
        <v>793</v>
      </c>
      <c r="G2211" s="2" t="s">
        <v>2777</v>
      </c>
      <c r="H2211" s="2" t="s">
        <v>1848</v>
      </c>
      <c r="J2211" s="26"/>
      <c r="K2211" s="36">
        <v>7.3462199999999997E-3</v>
      </c>
      <c r="L2211" s="23">
        <v>7.3461999999999996E-4</v>
      </c>
    </row>
    <row r="2212" spans="1:12" ht="15.35" hidden="1" x14ac:dyDescent="0.55000000000000004">
      <c r="A2212" s="20">
        <v>16327</v>
      </c>
      <c r="B2212" s="2" t="s">
        <v>176</v>
      </c>
      <c r="C2212" s="2" t="s">
        <v>177</v>
      </c>
      <c r="D2212" s="20">
        <v>0</v>
      </c>
      <c r="E2212" s="2" t="s">
        <v>838</v>
      </c>
      <c r="F2212" s="2" t="s">
        <v>793</v>
      </c>
      <c r="G2212" s="2" t="s">
        <v>2778</v>
      </c>
      <c r="H2212" s="2" t="s">
        <v>1848</v>
      </c>
      <c r="J2212" s="26"/>
      <c r="K2212" s="36">
        <v>5.6174000000000003E-4</v>
      </c>
      <c r="L2212" s="23">
        <v>5.6169999999999999E-5</v>
      </c>
    </row>
    <row r="2213" spans="1:12" ht="15.35" hidden="1" x14ac:dyDescent="0.55000000000000004">
      <c r="A2213" s="20">
        <v>16707</v>
      </c>
      <c r="B2213" s="2" t="s">
        <v>176</v>
      </c>
      <c r="C2213" s="2" t="s">
        <v>177</v>
      </c>
      <c r="D2213" s="20">
        <v>0</v>
      </c>
      <c r="E2213" s="2" t="s">
        <v>838</v>
      </c>
      <c r="F2213" s="2" t="s">
        <v>793</v>
      </c>
      <c r="G2213" s="2" t="s">
        <v>2779</v>
      </c>
      <c r="H2213" s="2" t="s">
        <v>1848</v>
      </c>
      <c r="J2213" s="26"/>
      <c r="K2213" s="36">
        <v>1.1076700000000001E-3</v>
      </c>
      <c r="L2213" s="23">
        <v>1.1077E-4</v>
      </c>
    </row>
    <row r="2214" spans="1:12" ht="15.35" hidden="1" x14ac:dyDescent="0.55000000000000004">
      <c r="A2214" s="20">
        <v>16573</v>
      </c>
      <c r="B2214" s="2" t="s">
        <v>176</v>
      </c>
      <c r="C2214" s="2" t="s">
        <v>177</v>
      </c>
      <c r="D2214" s="20">
        <v>0</v>
      </c>
      <c r="E2214" s="2" t="s">
        <v>838</v>
      </c>
      <c r="F2214" s="2" t="s">
        <v>793</v>
      </c>
      <c r="G2214" s="2" t="s">
        <v>2780</v>
      </c>
      <c r="H2214" s="2" t="s">
        <v>1848</v>
      </c>
      <c r="J2214" s="26"/>
      <c r="K2214" s="36">
        <v>9.0195E-4</v>
      </c>
      <c r="L2214" s="23">
        <v>9.0190000000000002E-5</v>
      </c>
    </row>
    <row r="2215" spans="1:12" ht="15.35" hidden="1" x14ac:dyDescent="0.55000000000000004">
      <c r="A2215" s="20">
        <v>16456</v>
      </c>
      <c r="B2215" s="2" t="s">
        <v>176</v>
      </c>
      <c r="C2215" s="2" t="s">
        <v>177</v>
      </c>
      <c r="D2215" s="20">
        <v>0</v>
      </c>
      <c r="E2215" s="2" t="s">
        <v>838</v>
      </c>
      <c r="F2215" s="2" t="s">
        <v>793</v>
      </c>
      <c r="G2215" s="2" t="s">
        <v>2781</v>
      </c>
      <c r="H2215" s="2" t="s">
        <v>1848</v>
      </c>
      <c r="J2215" s="26"/>
      <c r="K2215" s="36">
        <v>7.3462199999999997E-3</v>
      </c>
      <c r="L2215" s="23">
        <v>7.3461999999999996E-4</v>
      </c>
    </row>
    <row r="2216" spans="1:12" ht="15.35" hidden="1" x14ac:dyDescent="0.55000000000000004">
      <c r="A2216" s="20">
        <v>16504</v>
      </c>
      <c r="B2216" s="2" t="s">
        <v>176</v>
      </c>
      <c r="C2216" s="2" t="s">
        <v>177</v>
      </c>
      <c r="D2216" s="20">
        <v>0</v>
      </c>
      <c r="E2216" s="2" t="s">
        <v>838</v>
      </c>
      <c r="F2216" s="2" t="s">
        <v>793</v>
      </c>
      <c r="G2216" s="2" t="s">
        <v>2782</v>
      </c>
      <c r="H2216" s="2" t="s">
        <v>1848</v>
      </c>
      <c r="J2216" s="26"/>
      <c r="K2216" s="36">
        <v>2.2707199999999999E-3</v>
      </c>
      <c r="L2216" s="23">
        <v>2.2707000000000001E-4</v>
      </c>
    </row>
    <row r="2217" spans="1:12" ht="15.35" hidden="1" x14ac:dyDescent="0.55000000000000004">
      <c r="A2217" s="20">
        <v>16004</v>
      </c>
      <c r="B2217" s="2" t="s">
        <v>176</v>
      </c>
      <c r="C2217" s="2" t="s">
        <v>177</v>
      </c>
      <c r="D2217" s="20">
        <v>0</v>
      </c>
      <c r="E2217" s="2" t="s">
        <v>838</v>
      </c>
      <c r="F2217" s="2" t="s">
        <v>793</v>
      </c>
      <c r="G2217" s="2" t="s">
        <v>2783</v>
      </c>
      <c r="H2217" s="2" t="s">
        <v>1848</v>
      </c>
      <c r="J2217" s="26"/>
      <c r="K2217" s="36">
        <v>4.5097899999999996E-3</v>
      </c>
      <c r="L2217" s="23">
        <v>4.5098000000000002E-4</v>
      </c>
    </row>
    <row r="2218" spans="1:12" ht="15.35" hidden="1" x14ac:dyDescent="0.55000000000000004">
      <c r="A2218" s="20">
        <v>16654</v>
      </c>
      <c r="B2218" s="2" t="s">
        <v>176</v>
      </c>
      <c r="C2218" s="2" t="s">
        <v>177</v>
      </c>
      <c r="D2218" s="20">
        <v>0</v>
      </c>
      <c r="E2218" s="2" t="s">
        <v>838</v>
      </c>
      <c r="F2218" s="2" t="s">
        <v>793</v>
      </c>
      <c r="G2218" s="2" t="s">
        <v>2784</v>
      </c>
      <c r="H2218" s="2" t="s">
        <v>1848</v>
      </c>
      <c r="J2218" s="26"/>
      <c r="K2218" s="36">
        <v>4.5097899999999996E-3</v>
      </c>
      <c r="L2218" s="23">
        <v>4.5098000000000002E-4</v>
      </c>
    </row>
    <row r="2219" spans="1:12" ht="15.35" hidden="1" x14ac:dyDescent="0.55000000000000004">
      <c r="A2219" s="20">
        <v>16745</v>
      </c>
      <c r="B2219" s="2" t="s">
        <v>176</v>
      </c>
      <c r="C2219" s="2" t="s">
        <v>177</v>
      </c>
      <c r="D2219" s="20">
        <v>0</v>
      </c>
      <c r="E2219" s="2" t="s">
        <v>838</v>
      </c>
      <c r="F2219" s="2" t="s">
        <v>817</v>
      </c>
      <c r="G2219" s="2" t="s">
        <v>1010</v>
      </c>
      <c r="H2219" s="2" t="s">
        <v>1011</v>
      </c>
      <c r="J2219" s="26"/>
      <c r="K2219" s="36">
        <v>8.3075200000000005E-3</v>
      </c>
      <c r="L2219" s="23">
        <v>8.3075E-4</v>
      </c>
    </row>
    <row r="2220" spans="1:12" ht="15.35" hidden="1" x14ac:dyDescent="0.55000000000000004">
      <c r="A2220" s="20">
        <v>16250</v>
      </c>
      <c r="B2220" s="2" t="s">
        <v>176</v>
      </c>
      <c r="C2220" s="2" t="s">
        <v>177</v>
      </c>
      <c r="D2220" s="20">
        <v>0</v>
      </c>
      <c r="E2220" s="2" t="s">
        <v>838</v>
      </c>
      <c r="F2220" s="2" t="s">
        <v>817</v>
      </c>
      <c r="G2220" s="2" t="s">
        <v>2785</v>
      </c>
      <c r="H2220" s="2" t="s">
        <v>1852</v>
      </c>
      <c r="J2220" s="26"/>
      <c r="K2220" s="36">
        <v>2.68214E-3</v>
      </c>
      <c r="L2220" s="23">
        <v>2.6821000000000001E-4</v>
      </c>
    </row>
    <row r="2221" spans="1:12" ht="15.35" hidden="1" x14ac:dyDescent="0.55000000000000004">
      <c r="A2221" s="20">
        <v>16219</v>
      </c>
      <c r="B2221" s="2" t="s">
        <v>176</v>
      </c>
      <c r="C2221" s="2" t="s">
        <v>177</v>
      </c>
      <c r="D2221" s="20">
        <v>0</v>
      </c>
      <c r="E2221" s="2" t="s">
        <v>838</v>
      </c>
      <c r="F2221" s="2" t="s">
        <v>793</v>
      </c>
      <c r="G2221" s="2" t="s">
        <v>2786</v>
      </c>
      <c r="H2221" s="2" t="s">
        <v>904</v>
      </c>
      <c r="J2221" s="26"/>
      <c r="K2221" s="36">
        <v>5.6965E-4</v>
      </c>
      <c r="L2221" s="23">
        <v>5.6969999999999998E-5</v>
      </c>
    </row>
    <row r="2222" spans="1:12" ht="15.35" hidden="1" x14ac:dyDescent="0.55000000000000004">
      <c r="A2222" s="20">
        <v>16059</v>
      </c>
      <c r="B2222" s="2" t="s">
        <v>176</v>
      </c>
      <c r="C2222" s="2" t="s">
        <v>177</v>
      </c>
      <c r="D2222" s="20">
        <v>0</v>
      </c>
      <c r="E2222" s="2" t="s">
        <v>838</v>
      </c>
      <c r="F2222" s="2" t="s">
        <v>793</v>
      </c>
      <c r="G2222" s="2" t="s">
        <v>2787</v>
      </c>
      <c r="H2222" s="2" t="s">
        <v>904</v>
      </c>
      <c r="J2222" s="26"/>
      <c r="K2222" s="36">
        <v>5.1427499999999998E-3</v>
      </c>
      <c r="L2222" s="23">
        <v>5.1427999999999999E-4</v>
      </c>
    </row>
    <row r="2223" spans="1:12" ht="15.35" hidden="1" x14ac:dyDescent="0.55000000000000004">
      <c r="A2223" s="20">
        <v>15956</v>
      </c>
      <c r="B2223" s="2" t="s">
        <v>176</v>
      </c>
      <c r="C2223" s="2" t="s">
        <v>177</v>
      </c>
      <c r="D2223" s="20">
        <v>0</v>
      </c>
      <c r="E2223" s="2" t="s">
        <v>838</v>
      </c>
      <c r="F2223" s="2" t="s">
        <v>793</v>
      </c>
      <c r="G2223" s="2" t="s">
        <v>2788</v>
      </c>
      <c r="H2223" s="2" t="s">
        <v>904</v>
      </c>
      <c r="J2223" s="26"/>
      <c r="K2223" s="36">
        <v>4.3510000000000002E-5</v>
      </c>
      <c r="L2223" s="23">
        <v>4.3499999999999999E-6</v>
      </c>
    </row>
    <row r="2224" spans="1:12" ht="15.35" hidden="1" x14ac:dyDescent="0.55000000000000004">
      <c r="A2224" s="20">
        <v>16211</v>
      </c>
      <c r="B2224" s="2" t="s">
        <v>176</v>
      </c>
      <c r="C2224" s="2" t="s">
        <v>177</v>
      </c>
      <c r="D2224" s="20">
        <v>0</v>
      </c>
      <c r="E2224" s="2" t="s">
        <v>838</v>
      </c>
      <c r="F2224" s="2" t="s">
        <v>793</v>
      </c>
      <c r="G2224" s="2" t="s">
        <v>2789</v>
      </c>
      <c r="H2224" s="2" t="s">
        <v>904</v>
      </c>
      <c r="J2224" s="26"/>
      <c r="K2224" s="36">
        <v>3.9559000000000003E-4</v>
      </c>
      <c r="L2224" s="23">
        <v>3.9560000000000001E-5</v>
      </c>
    </row>
    <row r="2225" spans="1:12" ht="15.35" hidden="1" x14ac:dyDescent="0.55000000000000004">
      <c r="A2225" s="20">
        <v>16148</v>
      </c>
      <c r="B2225" s="2" t="s">
        <v>176</v>
      </c>
      <c r="C2225" s="2" t="s">
        <v>177</v>
      </c>
      <c r="D2225" s="20">
        <v>0</v>
      </c>
      <c r="E2225" s="2" t="s">
        <v>838</v>
      </c>
      <c r="F2225" s="2" t="s">
        <v>793</v>
      </c>
      <c r="G2225" s="2" t="s">
        <v>2589</v>
      </c>
      <c r="H2225" s="2" t="s">
        <v>1220</v>
      </c>
      <c r="J2225" s="26"/>
      <c r="K2225" s="36">
        <v>4.7471500000000003E-3</v>
      </c>
      <c r="L2225" s="23">
        <v>4.7470999999999999E-4</v>
      </c>
    </row>
    <row r="2226" spans="1:12" ht="15.35" hidden="1" x14ac:dyDescent="0.55000000000000004">
      <c r="A2226" s="20">
        <v>16150</v>
      </c>
      <c r="B2226" s="2" t="s">
        <v>176</v>
      </c>
      <c r="C2226" s="2" t="s">
        <v>177</v>
      </c>
      <c r="D2226" s="20">
        <v>0</v>
      </c>
      <c r="E2226" s="2" t="s">
        <v>838</v>
      </c>
      <c r="F2226" s="2" t="s">
        <v>793</v>
      </c>
      <c r="G2226" s="2" t="s">
        <v>2790</v>
      </c>
      <c r="H2226" s="2" t="s">
        <v>1220</v>
      </c>
      <c r="J2226" s="26"/>
      <c r="K2226" s="36">
        <v>4.5097899999999996E-3</v>
      </c>
      <c r="L2226" s="23">
        <v>4.5098000000000002E-4</v>
      </c>
    </row>
    <row r="2227" spans="1:12" ht="15.35" hidden="1" x14ac:dyDescent="0.55000000000000004">
      <c r="A2227" s="20">
        <v>15993</v>
      </c>
      <c r="B2227" s="2" t="s">
        <v>176</v>
      </c>
      <c r="C2227" s="2" t="s">
        <v>177</v>
      </c>
      <c r="D2227" s="20">
        <v>0</v>
      </c>
      <c r="E2227" s="2" t="s">
        <v>838</v>
      </c>
      <c r="F2227" s="2" t="s">
        <v>793</v>
      </c>
      <c r="G2227" s="2" t="s">
        <v>2791</v>
      </c>
      <c r="H2227" s="2" t="s">
        <v>1220</v>
      </c>
      <c r="J2227" s="26"/>
      <c r="K2227" s="36">
        <v>1.02855E-3</v>
      </c>
      <c r="L2227" s="23">
        <v>1.0285000000000001E-4</v>
      </c>
    </row>
    <row r="2228" spans="1:12" ht="15.35" hidden="1" x14ac:dyDescent="0.55000000000000004">
      <c r="A2228" s="20">
        <v>15939</v>
      </c>
      <c r="B2228" s="2" t="s">
        <v>176</v>
      </c>
      <c r="C2228" s="2" t="s">
        <v>177</v>
      </c>
      <c r="D2228" s="20">
        <v>0</v>
      </c>
      <c r="E2228" s="2" t="s">
        <v>838</v>
      </c>
      <c r="F2228" s="2" t="s">
        <v>793</v>
      </c>
      <c r="G2228" s="2" t="s">
        <v>2792</v>
      </c>
      <c r="H2228" s="2" t="s">
        <v>1220</v>
      </c>
      <c r="J2228" s="26"/>
      <c r="K2228" s="36">
        <v>1.1867799999999999E-3</v>
      </c>
      <c r="L2228" s="23">
        <v>1.1868E-4</v>
      </c>
    </row>
    <row r="2229" spans="1:12" ht="15.35" hidden="1" x14ac:dyDescent="0.55000000000000004">
      <c r="A2229" s="20">
        <v>16222</v>
      </c>
      <c r="B2229" s="2" t="s">
        <v>176</v>
      </c>
      <c r="C2229" s="2" t="s">
        <v>177</v>
      </c>
      <c r="D2229" s="20">
        <v>0</v>
      </c>
      <c r="E2229" s="2" t="s">
        <v>838</v>
      </c>
      <c r="F2229" s="2" t="s">
        <v>793</v>
      </c>
      <c r="G2229" s="2" t="s">
        <v>2793</v>
      </c>
      <c r="H2229" s="2" t="s">
        <v>1220</v>
      </c>
      <c r="J2229" s="26"/>
      <c r="K2229" s="36">
        <v>9.8898999999999992E-4</v>
      </c>
      <c r="L2229" s="23">
        <v>9.8900000000000005E-5</v>
      </c>
    </row>
    <row r="2230" spans="1:12" ht="15.35" hidden="1" x14ac:dyDescent="0.55000000000000004">
      <c r="A2230" s="20">
        <v>16194</v>
      </c>
      <c r="B2230" s="2" t="s">
        <v>176</v>
      </c>
      <c r="C2230" s="2" t="s">
        <v>177</v>
      </c>
      <c r="D2230" s="20">
        <v>0</v>
      </c>
      <c r="E2230" s="2" t="s">
        <v>838</v>
      </c>
      <c r="F2230" s="2" t="s">
        <v>793</v>
      </c>
      <c r="G2230" s="2" t="s">
        <v>2794</v>
      </c>
      <c r="H2230" s="2" t="s">
        <v>788</v>
      </c>
      <c r="J2230" s="26"/>
      <c r="K2230" s="36">
        <v>1.1076700000000001E-3</v>
      </c>
      <c r="L2230" s="23">
        <v>1.1077E-4</v>
      </c>
    </row>
    <row r="2231" spans="1:12" ht="15.35" hidden="1" x14ac:dyDescent="0.55000000000000004">
      <c r="A2231" s="20">
        <v>16518</v>
      </c>
      <c r="B2231" s="2" t="s">
        <v>176</v>
      </c>
      <c r="C2231" s="2" t="s">
        <v>177</v>
      </c>
      <c r="D2231" s="20">
        <v>0</v>
      </c>
      <c r="E2231" s="2" t="s">
        <v>838</v>
      </c>
      <c r="F2231" s="2" t="s">
        <v>793</v>
      </c>
      <c r="G2231" s="2" t="s">
        <v>2795</v>
      </c>
      <c r="H2231" s="2" t="s">
        <v>788</v>
      </c>
      <c r="J2231" s="26"/>
      <c r="K2231" s="36">
        <v>8.3075200000000005E-3</v>
      </c>
      <c r="L2231" s="23">
        <v>8.3075E-4</v>
      </c>
    </row>
    <row r="2232" spans="1:12" ht="15.35" hidden="1" x14ac:dyDescent="0.55000000000000004">
      <c r="A2232" s="20">
        <v>16106</v>
      </c>
      <c r="B2232" s="2" t="s">
        <v>176</v>
      </c>
      <c r="C2232" s="2" t="s">
        <v>177</v>
      </c>
      <c r="D2232" s="20">
        <v>0</v>
      </c>
      <c r="E2232" s="2" t="s">
        <v>838</v>
      </c>
      <c r="F2232" s="2" t="s">
        <v>793</v>
      </c>
      <c r="G2232" s="2" t="s">
        <v>2796</v>
      </c>
      <c r="H2232" s="2" t="s">
        <v>788</v>
      </c>
      <c r="J2232" s="26"/>
      <c r="K2232" s="36">
        <v>5.1031000000000004E-4</v>
      </c>
      <c r="L2232" s="23">
        <v>5.1029999999999998E-5</v>
      </c>
    </row>
    <row r="2233" spans="1:12" ht="15.35" hidden="1" x14ac:dyDescent="0.55000000000000004">
      <c r="A2233" s="20">
        <v>16703</v>
      </c>
      <c r="B2233" s="2" t="s">
        <v>176</v>
      </c>
      <c r="C2233" s="2" t="s">
        <v>177</v>
      </c>
      <c r="D2233" s="20">
        <v>0</v>
      </c>
      <c r="E2233" s="2" t="s">
        <v>838</v>
      </c>
      <c r="F2233" s="2" t="s">
        <v>793</v>
      </c>
      <c r="G2233" s="2" t="s">
        <v>2797</v>
      </c>
      <c r="H2233" s="2" t="s">
        <v>788</v>
      </c>
      <c r="J2233" s="26"/>
      <c r="K2233" s="36">
        <v>1.02063E-3</v>
      </c>
      <c r="L2233" s="23">
        <v>1.0206E-4</v>
      </c>
    </row>
    <row r="2234" spans="1:12" ht="15.35" hidden="1" x14ac:dyDescent="0.55000000000000004">
      <c r="A2234" s="20">
        <v>16731</v>
      </c>
      <c r="B2234" s="2" t="s">
        <v>176</v>
      </c>
      <c r="C2234" s="2" t="s">
        <v>177</v>
      </c>
      <c r="D2234" s="20">
        <v>0</v>
      </c>
      <c r="E2234" s="2" t="s">
        <v>838</v>
      </c>
      <c r="F2234" s="2" t="s">
        <v>793</v>
      </c>
      <c r="G2234" s="2" t="s">
        <v>2798</v>
      </c>
      <c r="H2234" s="2" t="s">
        <v>788</v>
      </c>
      <c r="J2234" s="26"/>
      <c r="K2234" s="36">
        <v>2.4922500000000001E-3</v>
      </c>
      <c r="L2234" s="23">
        <v>2.4923000000000002E-4</v>
      </c>
    </row>
    <row r="2235" spans="1:12" ht="15.35" hidden="1" x14ac:dyDescent="0.55000000000000004">
      <c r="A2235" s="20">
        <v>16247</v>
      </c>
      <c r="B2235" s="2" t="s">
        <v>176</v>
      </c>
      <c r="C2235" s="2" t="s">
        <v>177</v>
      </c>
      <c r="D2235" s="20">
        <v>0</v>
      </c>
      <c r="E2235" s="2" t="s">
        <v>838</v>
      </c>
      <c r="F2235" s="2" t="s">
        <v>793</v>
      </c>
      <c r="G2235" s="2" t="s">
        <v>2799</v>
      </c>
      <c r="H2235" s="2" t="s">
        <v>788</v>
      </c>
      <c r="J2235" s="26"/>
      <c r="K2235" s="36">
        <v>5.6570000000000004E-4</v>
      </c>
      <c r="L2235" s="23">
        <v>5.6570000000000002E-5</v>
      </c>
    </row>
    <row r="2236" spans="1:12" ht="15.35" hidden="1" x14ac:dyDescent="0.55000000000000004">
      <c r="A2236" s="20">
        <v>16023</v>
      </c>
      <c r="B2236" s="2" t="s">
        <v>176</v>
      </c>
      <c r="C2236" s="2" t="s">
        <v>177</v>
      </c>
      <c r="D2236" s="20">
        <v>0</v>
      </c>
      <c r="E2236" s="2" t="s">
        <v>838</v>
      </c>
      <c r="F2236" s="2" t="s">
        <v>793</v>
      </c>
      <c r="G2236" s="2" t="s">
        <v>2800</v>
      </c>
      <c r="H2236" s="2" t="s">
        <v>788</v>
      </c>
      <c r="J2236" s="26"/>
      <c r="K2236" s="36">
        <v>1.7604000000000001E-3</v>
      </c>
      <c r="L2236" s="23">
        <v>1.7604E-4</v>
      </c>
    </row>
    <row r="2237" spans="1:12" ht="15.35" hidden="1" x14ac:dyDescent="0.55000000000000004">
      <c r="A2237" s="20">
        <v>16275</v>
      </c>
      <c r="B2237" s="2" t="s">
        <v>176</v>
      </c>
      <c r="C2237" s="2" t="s">
        <v>177</v>
      </c>
      <c r="D2237" s="20">
        <v>0</v>
      </c>
      <c r="E2237" s="2" t="s">
        <v>838</v>
      </c>
      <c r="F2237" s="2" t="s">
        <v>793</v>
      </c>
      <c r="G2237" s="2" t="s">
        <v>2801</v>
      </c>
      <c r="H2237" s="2" t="s">
        <v>788</v>
      </c>
      <c r="J2237" s="26"/>
      <c r="K2237" s="36">
        <v>2.2547999999999999E-4</v>
      </c>
      <c r="L2237" s="23">
        <v>2.2549999999999999E-5</v>
      </c>
    </row>
    <row r="2238" spans="1:12" ht="15.35" hidden="1" x14ac:dyDescent="0.55000000000000004">
      <c r="A2238" s="20">
        <v>15992</v>
      </c>
      <c r="B2238" s="2" t="s">
        <v>176</v>
      </c>
      <c r="C2238" s="2" t="s">
        <v>177</v>
      </c>
      <c r="D2238" s="20">
        <v>0</v>
      </c>
      <c r="E2238" s="2" t="s">
        <v>838</v>
      </c>
      <c r="F2238" s="2" t="s">
        <v>793</v>
      </c>
      <c r="G2238" s="2" t="s">
        <v>2802</v>
      </c>
      <c r="H2238" s="2" t="s">
        <v>1226</v>
      </c>
      <c r="J2238" s="26"/>
      <c r="K2238" s="36">
        <v>5.5382999999999995E-4</v>
      </c>
      <c r="L2238" s="23">
        <v>5.5380000000000002E-5</v>
      </c>
    </row>
    <row r="2239" spans="1:12" ht="15.35" hidden="1" x14ac:dyDescent="0.55000000000000004">
      <c r="A2239" s="20">
        <v>16734</v>
      </c>
      <c r="B2239" s="2" t="s">
        <v>176</v>
      </c>
      <c r="C2239" s="2" t="s">
        <v>177</v>
      </c>
      <c r="D2239" s="20">
        <v>0</v>
      </c>
      <c r="E2239" s="2" t="s">
        <v>838</v>
      </c>
      <c r="F2239" s="2" t="s">
        <v>793</v>
      </c>
      <c r="G2239" s="2" t="s">
        <v>2803</v>
      </c>
      <c r="H2239" s="2" t="s">
        <v>2804</v>
      </c>
      <c r="J2239" s="26"/>
      <c r="K2239" s="36">
        <v>3.4021000000000002E-4</v>
      </c>
      <c r="L2239" s="23">
        <v>3.4020000000000003E-5</v>
      </c>
    </row>
    <row r="2240" spans="1:12" ht="15.35" hidden="1" x14ac:dyDescent="0.55000000000000004">
      <c r="A2240" s="20">
        <v>16021</v>
      </c>
      <c r="B2240" s="2" t="s">
        <v>176</v>
      </c>
      <c r="C2240" s="2" t="s">
        <v>177</v>
      </c>
      <c r="D2240" s="20">
        <v>0</v>
      </c>
      <c r="E2240" s="2" t="s">
        <v>838</v>
      </c>
      <c r="F2240" s="2" t="s">
        <v>793</v>
      </c>
      <c r="G2240" s="2" t="s">
        <v>2805</v>
      </c>
      <c r="H2240" s="2" t="s">
        <v>1226</v>
      </c>
      <c r="J2240" s="26"/>
      <c r="K2240" s="36">
        <v>1.5823000000000001E-4</v>
      </c>
      <c r="L2240" s="23">
        <v>1.5820000000000001E-5</v>
      </c>
    </row>
    <row r="2241" spans="1:12" ht="15.35" hidden="1" x14ac:dyDescent="0.55000000000000004">
      <c r="A2241" s="20">
        <v>16248</v>
      </c>
      <c r="B2241" s="2" t="s">
        <v>176</v>
      </c>
      <c r="C2241" s="2" t="s">
        <v>177</v>
      </c>
      <c r="D2241" s="20">
        <v>0</v>
      </c>
      <c r="E2241" s="2" t="s">
        <v>838</v>
      </c>
      <c r="F2241" s="2" t="s">
        <v>793</v>
      </c>
      <c r="G2241" s="2" t="s">
        <v>2806</v>
      </c>
      <c r="H2241" s="2" t="s">
        <v>1226</v>
      </c>
      <c r="J2241" s="26"/>
      <c r="K2241" s="36">
        <v>1.7009999999999999E-4</v>
      </c>
      <c r="L2241" s="23">
        <v>1.7010000000000001E-5</v>
      </c>
    </row>
    <row r="2242" spans="1:12" ht="15.35" hidden="1" x14ac:dyDescent="0.55000000000000004">
      <c r="A2242" s="20">
        <v>16551</v>
      </c>
      <c r="B2242" s="2" t="s">
        <v>176</v>
      </c>
      <c r="C2242" s="2" t="s">
        <v>177</v>
      </c>
      <c r="D2242" s="20">
        <v>0</v>
      </c>
      <c r="E2242" s="2" t="s">
        <v>838</v>
      </c>
      <c r="F2242" s="2" t="s">
        <v>793</v>
      </c>
      <c r="G2242" s="2" t="s">
        <v>2807</v>
      </c>
      <c r="H2242" s="2" t="s">
        <v>1226</v>
      </c>
      <c r="J2242" s="26"/>
      <c r="K2242" s="36">
        <v>5.5380000000000002E-5</v>
      </c>
      <c r="L2242" s="23">
        <v>5.5400000000000003E-6</v>
      </c>
    </row>
    <row r="2243" spans="1:12" ht="15.35" hidden="1" x14ac:dyDescent="0.55000000000000004">
      <c r="A2243" s="20">
        <v>16687</v>
      </c>
      <c r="B2243" s="2" t="s">
        <v>176</v>
      </c>
      <c r="C2243" s="2" t="s">
        <v>177</v>
      </c>
      <c r="D2243" s="20">
        <v>0</v>
      </c>
      <c r="E2243" s="2" t="s">
        <v>838</v>
      </c>
      <c r="F2243" s="2" t="s">
        <v>793</v>
      </c>
      <c r="G2243" s="2" t="s">
        <v>2808</v>
      </c>
      <c r="H2243" s="2" t="s">
        <v>1226</v>
      </c>
      <c r="J2243" s="26"/>
      <c r="K2243" s="36">
        <v>1.5823000000000001E-4</v>
      </c>
      <c r="L2243" s="23">
        <v>1.5820000000000001E-5</v>
      </c>
    </row>
    <row r="2244" spans="1:12" ht="15.35" hidden="1" x14ac:dyDescent="0.55000000000000004">
      <c r="A2244" s="20">
        <v>16699</v>
      </c>
      <c r="B2244" s="2" t="s">
        <v>176</v>
      </c>
      <c r="C2244" s="2" t="s">
        <v>177</v>
      </c>
      <c r="D2244" s="20">
        <v>0</v>
      </c>
      <c r="E2244" s="2" t="s">
        <v>838</v>
      </c>
      <c r="F2244" s="2" t="s">
        <v>793</v>
      </c>
      <c r="G2244" s="2" t="s">
        <v>2809</v>
      </c>
      <c r="H2244" s="2" t="s">
        <v>1013</v>
      </c>
      <c r="J2244" s="26"/>
      <c r="K2244" s="36">
        <v>7.9118999999999999E-4</v>
      </c>
      <c r="L2244" s="23">
        <v>7.9120000000000001E-5</v>
      </c>
    </row>
    <row r="2245" spans="1:12" ht="15.35" hidden="1" x14ac:dyDescent="0.55000000000000004">
      <c r="A2245" s="20">
        <v>16396</v>
      </c>
      <c r="B2245" s="2" t="s">
        <v>176</v>
      </c>
      <c r="C2245" s="2" t="s">
        <v>177</v>
      </c>
      <c r="D2245" s="20">
        <v>0</v>
      </c>
      <c r="E2245" s="2" t="s">
        <v>838</v>
      </c>
      <c r="F2245" s="2" t="s">
        <v>793</v>
      </c>
      <c r="G2245" s="2" t="s">
        <v>1012</v>
      </c>
      <c r="H2245" s="2" t="s">
        <v>1013</v>
      </c>
      <c r="J2245" s="26"/>
      <c r="K2245" s="36">
        <v>1.9779799999999998E-3</v>
      </c>
      <c r="L2245" s="23">
        <v>1.9780000000000001E-4</v>
      </c>
    </row>
    <row r="2246" spans="1:12" ht="15.35" hidden="1" x14ac:dyDescent="0.55000000000000004">
      <c r="A2246" s="20">
        <v>16646</v>
      </c>
      <c r="B2246" s="2" t="s">
        <v>176</v>
      </c>
      <c r="C2246" s="2" t="s">
        <v>177</v>
      </c>
      <c r="D2246" s="20">
        <v>0</v>
      </c>
      <c r="E2246" s="2" t="s">
        <v>838</v>
      </c>
      <c r="F2246" s="2" t="s">
        <v>793</v>
      </c>
      <c r="G2246" s="2" t="s">
        <v>2810</v>
      </c>
      <c r="H2246" s="2" t="s">
        <v>1233</v>
      </c>
      <c r="J2246" s="26"/>
      <c r="K2246" s="36">
        <v>3.2478400000000001E-3</v>
      </c>
      <c r="L2246" s="23">
        <v>3.2477999999999999E-4</v>
      </c>
    </row>
    <row r="2247" spans="1:12" ht="15.35" hidden="1" x14ac:dyDescent="0.55000000000000004">
      <c r="A2247" s="20">
        <v>16698</v>
      </c>
      <c r="B2247" s="2" t="s">
        <v>176</v>
      </c>
      <c r="C2247" s="2" t="s">
        <v>177</v>
      </c>
      <c r="D2247" s="20">
        <v>0</v>
      </c>
      <c r="E2247" s="2" t="s">
        <v>838</v>
      </c>
      <c r="F2247" s="2" t="s">
        <v>789</v>
      </c>
      <c r="G2247" s="2" t="s">
        <v>1872</v>
      </c>
      <c r="H2247" s="2" t="s">
        <v>1872</v>
      </c>
      <c r="J2247" s="26"/>
      <c r="K2247" s="36">
        <v>5.6570199999999996E-3</v>
      </c>
      <c r="L2247" s="23">
        <v>5.6570000000000004E-4</v>
      </c>
    </row>
    <row r="2248" spans="1:12" ht="15.35" hidden="1" x14ac:dyDescent="0.55000000000000004">
      <c r="A2248" s="20">
        <v>16400</v>
      </c>
      <c r="B2248" s="2" t="s">
        <v>176</v>
      </c>
      <c r="C2248" s="2" t="s">
        <v>177</v>
      </c>
      <c r="D2248" s="20">
        <v>0</v>
      </c>
      <c r="E2248" s="2" t="s">
        <v>838</v>
      </c>
      <c r="F2248" s="2" t="s">
        <v>789</v>
      </c>
      <c r="G2248" s="2" t="s">
        <v>2811</v>
      </c>
      <c r="H2248" s="2" t="s">
        <v>1015</v>
      </c>
      <c r="J2248" s="26"/>
      <c r="K2248" s="36">
        <v>8.3075200000000005E-3</v>
      </c>
      <c r="L2248" s="23">
        <v>8.3075E-4</v>
      </c>
    </row>
    <row r="2249" spans="1:12" ht="15.35" hidden="1" x14ac:dyDescent="0.55000000000000004">
      <c r="A2249" s="20">
        <v>16528</v>
      </c>
      <c r="B2249" s="2" t="s">
        <v>176</v>
      </c>
      <c r="C2249" s="2" t="s">
        <v>177</v>
      </c>
      <c r="D2249" s="20">
        <v>0</v>
      </c>
      <c r="E2249" s="2" t="s">
        <v>838</v>
      </c>
      <c r="F2249" s="2" t="s">
        <v>789</v>
      </c>
      <c r="G2249" s="2" t="s">
        <v>2592</v>
      </c>
      <c r="H2249" s="2" t="s">
        <v>1015</v>
      </c>
      <c r="J2249" s="26"/>
      <c r="K2249" s="36">
        <v>8.3075200000000005E-3</v>
      </c>
      <c r="L2249" s="23">
        <v>8.3075E-4</v>
      </c>
    </row>
    <row r="2250" spans="1:12" ht="15.35" hidden="1" x14ac:dyDescent="0.55000000000000004">
      <c r="A2250" s="20">
        <v>16183</v>
      </c>
      <c r="B2250" s="2" t="s">
        <v>176</v>
      </c>
      <c r="C2250" s="2" t="s">
        <v>177</v>
      </c>
      <c r="D2250" s="20">
        <v>0</v>
      </c>
      <c r="E2250" s="2" t="s">
        <v>838</v>
      </c>
      <c r="F2250" s="2" t="s">
        <v>789</v>
      </c>
      <c r="G2250" s="2" t="s">
        <v>2812</v>
      </c>
      <c r="H2250" s="2" t="s">
        <v>1015</v>
      </c>
      <c r="J2250" s="26"/>
      <c r="K2250" s="36">
        <v>8.3075200000000005E-3</v>
      </c>
      <c r="L2250" s="23">
        <v>8.3075E-4</v>
      </c>
    </row>
    <row r="2251" spans="1:12" ht="15.35" hidden="1" x14ac:dyDescent="0.55000000000000004">
      <c r="A2251" s="20">
        <v>16191</v>
      </c>
      <c r="B2251" s="2" t="s">
        <v>176</v>
      </c>
      <c r="C2251" s="2" t="s">
        <v>177</v>
      </c>
      <c r="D2251" s="20">
        <v>0</v>
      </c>
      <c r="E2251" s="2" t="s">
        <v>838</v>
      </c>
      <c r="F2251" s="2" t="s">
        <v>789</v>
      </c>
      <c r="G2251" s="2" t="s">
        <v>2813</v>
      </c>
      <c r="H2251" s="2" t="s">
        <v>1015</v>
      </c>
      <c r="J2251" s="26"/>
      <c r="K2251" s="36">
        <v>8.3075200000000005E-3</v>
      </c>
      <c r="L2251" s="23">
        <v>8.3075E-4</v>
      </c>
    </row>
    <row r="2252" spans="1:12" ht="15.35" hidden="1" x14ac:dyDescent="0.55000000000000004">
      <c r="A2252" s="20">
        <v>15936</v>
      </c>
      <c r="B2252" s="2" t="s">
        <v>176</v>
      </c>
      <c r="C2252" s="2" t="s">
        <v>177</v>
      </c>
      <c r="D2252" s="20">
        <v>0</v>
      </c>
      <c r="E2252" s="2" t="s">
        <v>838</v>
      </c>
      <c r="F2252" s="2" t="s">
        <v>789</v>
      </c>
      <c r="G2252" s="2" t="s">
        <v>1014</v>
      </c>
      <c r="H2252" s="2" t="s">
        <v>1015</v>
      </c>
      <c r="J2252" s="26"/>
      <c r="K2252" s="36">
        <v>8.3075200000000005E-3</v>
      </c>
      <c r="L2252" s="23">
        <v>8.3075E-4</v>
      </c>
    </row>
    <row r="2253" spans="1:12" ht="15.35" hidden="1" x14ac:dyDescent="0.55000000000000004">
      <c r="A2253" s="20">
        <v>16264</v>
      </c>
      <c r="B2253" s="2" t="s">
        <v>176</v>
      </c>
      <c r="C2253" s="2" t="s">
        <v>177</v>
      </c>
      <c r="D2253" s="20">
        <v>0</v>
      </c>
      <c r="E2253" s="2" t="s">
        <v>838</v>
      </c>
      <c r="F2253" s="2" t="s">
        <v>789</v>
      </c>
      <c r="G2253" s="2" t="s">
        <v>1234</v>
      </c>
      <c r="H2253" s="2" t="s">
        <v>1015</v>
      </c>
      <c r="J2253" s="26"/>
      <c r="K2253" s="36">
        <v>8.3075200000000005E-3</v>
      </c>
      <c r="L2253" s="23">
        <v>8.3075E-4</v>
      </c>
    </row>
    <row r="2254" spans="1:12" ht="15.35" hidden="1" x14ac:dyDescent="0.55000000000000004">
      <c r="A2254" s="20">
        <v>16649</v>
      </c>
      <c r="B2254" s="2" t="s">
        <v>176</v>
      </c>
      <c r="C2254" s="2" t="s">
        <v>177</v>
      </c>
      <c r="D2254" s="20">
        <v>0</v>
      </c>
      <c r="E2254" s="2" t="s">
        <v>838</v>
      </c>
      <c r="F2254" s="2" t="s">
        <v>789</v>
      </c>
      <c r="G2254" s="2" t="s">
        <v>1236</v>
      </c>
      <c r="H2254" s="2" t="s">
        <v>1021</v>
      </c>
      <c r="J2254" s="26"/>
      <c r="K2254" s="36">
        <v>8.3075200000000005E-3</v>
      </c>
      <c r="L2254" s="23">
        <v>8.3075E-4</v>
      </c>
    </row>
    <row r="2255" spans="1:12" ht="15.35" hidden="1" x14ac:dyDescent="0.55000000000000004">
      <c r="A2255" s="20">
        <v>16571</v>
      </c>
      <c r="B2255" s="2" t="s">
        <v>176</v>
      </c>
      <c r="C2255" s="2" t="s">
        <v>177</v>
      </c>
      <c r="D2255" s="20">
        <v>0</v>
      </c>
      <c r="E2255" s="2" t="s">
        <v>838</v>
      </c>
      <c r="F2255" s="2" t="s">
        <v>789</v>
      </c>
      <c r="G2255" s="2" t="s">
        <v>1237</v>
      </c>
      <c r="H2255" s="2" t="s">
        <v>1021</v>
      </c>
      <c r="J2255" s="26"/>
      <c r="K2255" s="36">
        <v>8.3075200000000005E-3</v>
      </c>
      <c r="L2255" s="23">
        <v>8.3075E-4</v>
      </c>
    </row>
    <row r="2256" spans="1:12" ht="15.35" hidden="1" x14ac:dyDescent="0.55000000000000004">
      <c r="A2256" s="20">
        <v>15962</v>
      </c>
      <c r="B2256" s="2" t="s">
        <v>176</v>
      </c>
      <c r="C2256" s="2" t="s">
        <v>177</v>
      </c>
      <c r="D2256" s="20">
        <v>0</v>
      </c>
      <c r="E2256" s="2" t="s">
        <v>838</v>
      </c>
      <c r="F2256" s="2" t="s">
        <v>789</v>
      </c>
      <c r="G2256" s="2" t="s">
        <v>1020</v>
      </c>
      <c r="H2256" s="2" t="s">
        <v>1021</v>
      </c>
      <c r="J2256" s="26"/>
      <c r="K2256" s="36">
        <v>8.3075200000000005E-3</v>
      </c>
      <c r="L2256" s="23">
        <v>8.3075E-4</v>
      </c>
    </row>
    <row r="2257" spans="1:12" ht="15.35" hidden="1" x14ac:dyDescent="0.55000000000000004">
      <c r="A2257" s="20">
        <v>16459</v>
      </c>
      <c r="B2257" s="2" t="s">
        <v>176</v>
      </c>
      <c r="C2257" s="2" t="s">
        <v>177</v>
      </c>
      <c r="D2257" s="20">
        <v>0</v>
      </c>
      <c r="E2257" s="2" t="s">
        <v>838</v>
      </c>
      <c r="F2257" s="2" t="s">
        <v>789</v>
      </c>
      <c r="G2257" s="2" t="s">
        <v>1023</v>
      </c>
      <c r="H2257" s="2" t="s">
        <v>1021</v>
      </c>
      <c r="J2257" s="26"/>
      <c r="K2257" s="36">
        <v>8.3075200000000005E-3</v>
      </c>
      <c r="L2257" s="23">
        <v>8.3075E-4</v>
      </c>
    </row>
    <row r="2258" spans="1:12" ht="15.35" hidden="1" x14ac:dyDescent="0.55000000000000004">
      <c r="A2258" s="20">
        <v>16692</v>
      </c>
      <c r="B2258" s="2" t="s">
        <v>176</v>
      </c>
      <c r="C2258" s="2" t="s">
        <v>177</v>
      </c>
      <c r="D2258" s="20">
        <v>0</v>
      </c>
      <c r="E2258" s="2" t="s">
        <v>838</v>
      </c>
      <c r="F2258" s="2" t="s">
        <v>789</v>
      </c>
      <c r="G2258" s="2" t="s">
        <v>1238</v>
      </c>
      <c r="H2258" s="2" t="s">
        <v>1021</v>
      </c>
      <c r="J2258" s="26"/>
      <c r="K2258" s="36">
        <v>8.3075200000000005E-3</v>
      </c>
      <c r="L2258" s="23">
        <v>8.3075E-4</v>
      </c>
    </row>
    <row r="2259" spans="1:12" ht="15.35" hidden="1" x14ac:dyDescent="0.55000000000000004">
      <c r="A2259" s="20">
        <v>16787</v>
      </c>
      <c r="B2259" s="2" t="s">
        <v>176</v>
      </c>
      <c r="C2259" s="2" t="s">
        <v>177</v>
      </c>
      <c r="D2259" s="20">
        <v>0</v>
      </c>
      <c r="E2259" s="2" t="s">
        <v>838</v>
      </c>
      <c r="F2259" s="2" t="s">
        <v>789</v>
      </c>
      <c r="G2259" s="2" t="s">
        <v>1240</v>
      </c>
      <c r="H2259" s="2" t="s">
        <v>1241</v>
      </c>
      <c r="J2259" s="26"/>
      <c r="K2259" s="36">
        <v>4.5097899999999996E-3</v>
      </c>
      <c r="L2259" s="23">
        <v>4.5098000000000002E-4</v>
      </c>
    </row>
    <row r="2260" spans="1:12" ht="15.35" hidden="1" x14ac:dyDescent="0.55000000000000004">
      <c r="A2260" s="20">
        <v>16233</v>
      </c>
      <c r="B2260" s="2" t="s">
        <v>176</v>
      </c>
      <c r="C2260" s="2" t="s">
        <v>177</v>
      </c>
      <c r="D2260" s="20">
        <v>0</v>
      </c>
      <c r="E2260" s="2" t="s">
        <v>838</v>
      </c>
      <c r="F2260" s="2" t="s">
        <v>789</v>
      </c>
      <c r="G2260" s="2" t="s">
        <v>1242</v>
      </c>
      <c r="H2260" s="2" t="s">
        <v>840</v>
      </c>
      <c r="J2260" s="26"/>
      <c r="K2260" s="36">
        <v>8.3075200000000005E-3</v>
      </c>
      <c r="L2260" s="23">
        <v>8.3075E-4</v>
      </c>
    </row>
    <row r="2261" spans="1:12" ht="15.35" hidden="1" x14ac:dyDescent="0.55000000000000004">
      <c r="A2261" s="20">
        <v>16599</v>
      </c>
      <c r="B2261" s="2" t="s">
        <v>176</v>
      </c>
      <c r="C2261" s="2" t="s">
        <v>177</v>
      </c>
      <c r="D2261" s="20">
        <v>0</v>
      </c>
      <c r="E2261" s="2" t="s">
        <v>838</v>
      </c>
      <c r="F2261" s="2" t="s">
        <v>789</v>
      </c>
      <c r="G2261" s="2" t="s">
        <v>1025</v>
      </c>
      <c r="H2261" s="2" t="s">
        <v>840</v>
      </c>
      <c r="J2261" s="26"/>
      <c r="K2261" s="36">
        <v>8.3075200000000005E-3</v>
      </c>
      <c r="L2261" s="23">
        <v>8.3075E-4</v>
      </c>
    </row>
    <row r="2262" spans="1:12" ht="15.35" hidden="1" x14ac:dyDescent="0.55000000000000004">
      <c r="A2262" s="20">
        <v>16709</v>
      </c>
      <c r="B2262" s="2" t="s">
        <v>176</v>
      </c>
      <c r="C2262" s="2" t="s">
        <v>177</v>
      </c>
      <c r="D2262" s="20">
        <v>0</v>
      </c>
      <c r="E2262" s="2" t="s">
        <v>838</v>
      </c>
      <c r="F2262" s="2" t="s">
        <v>789</v>
      </c>
      <c r="G2262" s="2" t="s">
        <v>1027</v>
      </c>
      <c r="H2262" s="2" t="s">
        <v>840</v>
      </c>
      <c r="J2262" s="26"/>
      <c r="K2262" s="36">
        <v>5.6570199999999996E-3</v>
      </c>
      <c r="L2262" s="23">
        <v>5.6570000000000004E-4</v>
      </c>
    </row>
    <row r="2263" spans="1:12" ht="15.35" hidden="1" x14ac:dyDescent="0.55000000000000004">
      <c r="A2263" s="20">
        <v>16240</v>
      </c>
      <c r="B2263" s="2" t="s">
        <v>176</v>
      </c>
      <c r="C2263" s="2" t="s">
        <v>177</v>
      </c>
      <c r="D2263" s="20">
        <v>0</v>
      </c>
      <c r="E2263" s="2" t="s">
        <v>838</v>
      </c>
      <c r="F2263" s="2" t="s">
        <v>789</v>
      </c>
      <c r="G2263" s="2" t="s">
        <v>1027</v>
      </c>
      <c r="H2263" s="2" t="s">
        <v>840</v>
      </c>
      <c r="J2263" s="26"/>
      <c r="K2263" s="36">
        <v>8.3075200000000005E-3</v>
      </c>
      <c r="L2263" s="23">
        <v>8.3075E-4</v>
      </c>
    </row>
    <row r="2264" spans="1:12" ht="15.35" hidden="1" x14ac:dyDescent="0.55000000000000004">
      <c r="A2264" s="20">
        <v>16098</v>
      </c>
      <c r="B2264" s="2" t="s">
        <v>176</v>
      </c>
      <c r="C2264" s="2" t="s">
        <v>177</v>
      </c>
      <c r="D2264" s="20">
        <v>0</v>
      </c>
      <c r="E2264" s="2" t="s">
        <v>838</v>
      </c>
      <c r="F2264" s="2" t="s">
        <v>789</v>
      </c>
      <c r="G2264" s="2" t="s">
        <v>1027</v>
      </c>
      <c r="H2264" s="2" t="s">
        <v>840</v>
      </c>
      <c r="J2264" s="26"/>
      <c r="K2264" s="36">
        <v>5.6570199999999996E-3</v>
      </c>
      <c r="L2264" s="23">
        <v>5.6570000000000004E-4</v>
      </c>
    </row>
    <row r="2265" spans="1:12" ht="15.35" hidden="1" x14ac:dyDescent="0.55000000000000004">
      <c r="A2265" s="20">
        <v>15955</v>
      </c>
      <c r="B2265" s="2" t="s">
        <v>176</v>
      </c>
      <c r="C2265" s="2" t="s">
        <v>177</v>
      </c>
      <c r="D2265" s="20">
        <v>0</v>
      </c>
      <c r="E2265" s="2" t="s">
        <v>838</v>
      </c>
      <c r="F2265" s="2" t="s">
        <v>789</v>
      </c>
      <c r="G2265" s="2" t="s">
        <v>1027</v>
      </c>
      <c r="H2265" s="2" t="s">
        <v>840</v>
      </c>
      <c r="J2265" s="26"/>
      <c r="K2265" s="36">
        <v>8.3075200000000005E-3</v>
      </c>
      <c r="L2265" s="23">
        <v>8.3075E-4</v>
      </c>
    </row>
    <row r="2266" spans="1:12" ht="15.35" hidden="1" x14ac:dyDescent="0.55000000000000004">
      <c r="A2266" s="20">
        <v>16161</v>
      </c>
      <c r="B2266" s="2" t="s">
        <v>176</v>
      </c>
      <c r="C2266" s="2" t="s">
        <v>177</v>
      </c>
      <c r="D2266" s="20">
        <v>0</v>
      </c>
      <c r="E2266" s="2" t="s">
        <v>838</v>
      </c>
      <c r="F2266" s="2" t="s">
        <v>789</v>
      </c>
      <c r="G2266" s="2" t="s">
        <v>2648</v>
      </c>
      <c r="H2266" s="2" t="s">
        <v>840</v>
      </c>
      <c r="J2266" s="26"/>
      <c r="K2266" s="36">
        <v>8.3075200000000005E-3</v>
      </c>
      <c r="L2266" s="23">
        <v>8.3075E-4</v>
      </c>
    </row>
    <row r="2267" spans="1:12" ht="15.35" hidden="1" x14ac:dyDescent="0.55000000000000004">
      <c r="A2267" s="20">
        <v>16526</v>
      </c>
      <c r="B2267" s="2" t="s">
        <v>176</v>
      </c>
      <c r="C2267" s="2" t="s">
        <v>177</v>
      </c>
      <c r="D2267" s="20">
        <v>0</v>
      </c>
      <c r="E2267" s="2" t="s">
        <v>838</v>
      </c>
      <c r="F2267" s="2" t="s">
        <v>789</v>
      </c>
      <c r="G2267" s="2" t="s">
        <v>2814</v>
      </c>
      <c r="H2267" s="2" t="s">
        <v>971</v>
      </c>
      <c r="J2267" s="26"/>
      <c r="K2267" s="36">
        <v>8.3075200000000005E-3</v>
      </c>
      <c r="L2267" s="23">
        <v>8.3075E-4</v>
      </c>
    </row>
    <row r="2268" spans="1:12" ht="15.35" hidden="1" x14ac:dyDescent="0.55000000000000004">
      <c r="A2268" s="20">
        <v>15963</v>
      </c>
      <c r="B2268" s="2" t="s">
        <v>176</v>
      </c>
      <c r="C2268" s="2" t="s">
        <v>177</v>
      </c>
      <c r="D2268" s="20">
        <v>0</v>
      </c>
      <c r="E2268" s="2" t="s">
        <v>838</v>
      </c>
      <c r="F2268" s="2" t="s">
        <v>789</v>
      </c>
      <c r="G2268" s="2" t="s">
        <v>1882</v>
      </c>
      <c r="H2268" s="2" t="s">
        <v>1882</v>
      </c>
      <c r="J2268" s="26"/>
      <c r="K2268" s="36">
        <v>5.6570199999999996E-3</v>
      </c>
      <c r="L2268" s="23">
        <v>5.6570000000000004E-4</v>
      </c>
    </row>
    <row r="2269" spans="1:12" ht="15.35" hidden="1" x14ac:dyDescent="0.55000000000000004">
      <c r="A2269" s="20">
        <v>16115</v>
      </c>
      <c r="B2269" s="2" t="s">
        <v>176</v>
      </c>
      <c r="C2269" s="2" t="s">
        <v>177</v>
      </c>
      <c r="D2269" s="20">
        <v>0</v>
      </c>
      <c r="E2269" s="2" t="s">
        <v>838</v>
      </c>
      <c r="F2269" s="2" t="s">
        <v>789</v>
      </c>
      <c r="G2269" s="2" t="s">
        <v>1244</v>
      </c>
      <c r="H2269" s="2" t="s">
        <v>1245</v>
      </c>
      <c r="J2269" s="26"/>
      <c r="K2269" s="36">
        <v>5.53835E-3</v>
      </c>
      <c r="L2269" s="23">
        <v>5.5384E-4</v>
      </c>
    </row>
    <row r="2270" spans="1:12" ht="15.35" hidden="1" x14ac:dyDescent="0.55000000000000004">
      <c r="A2270" s="20">
        <v>16735</v>
      </c>
      <c r="B2270" s="2" t="s">
        <v>176</v>
      </c>
      <c r="C2270" s="2" t="s">
        <v>177</v>
      </c>
      <c r="D2270" s="20">
        <v>0</v>
      </c>
      <c r="E2270" s="2" t="s">
        <v>838</v>
      </c>
      <c r="F2270" s="2" t="s">
        <v>789</v>
      </c>
      <c r="G2270" s="2" t="s">
        <v>1246</v>
      </c>
      <c r="H2270" s="2" t="s">
        <v>1245</v>
      </c>
      <c r="J2270" s="26"/>
      <c r="K2270" s="36">
        <v>5.53835E-3</v>
      </c>
      <c r="L2270" s="23">
        <v>5.5384E-4</v>
      </c>
    </row>
    <row r="2271" spans="1:12" ht="15.35" hidden="1" x14ac:dyDescent="0.55000000000000004">
      <c r="A2271" s="20">
        <v>16325</v>
      </c>
      <c r="B2271" s="2" t="s">
        <v>176</v>
      </c>
      <c r="C2271" s="2" t="s">
        <v>177</v>
      </c>
      <c r="D2271" s="20">
        <v>0</v>
      </c>
      <c r="E2271" s="2" t="s">
        <v>838</v>
      </c>
      <c r="F2271" s="2" t="s">
        <v>789</v>
      </c>
      <c r="G2271" s="2" t="s">
        <v>2815</v>
      </c>
      <c r="H2271" s="2" t="s">
        <v>2816</v>
      </c>
      <c r="J2271" s="26"/>
      <c r="K2271" s="36">
        <v>8.3075200000000005E-3</v>
      </c>
      <c r="L2271" s="23">
        <v>8.3075E-4</v>
      </c>
    </row>
    <row r="2272" spans="1:12" ht="15.35" hidden="1" x14ac:dyDescent="0.55000000000000004">
      <c r="A2272" s="20">
        <v>16060</v>
      </c>
      <c r="B2272" s="2" t="s">
        <v>176</v>
      </c>
      <c r="C2272" s="2" t="s">
        <v>177</v>
      </c>
      <c r="D2272" s="20">
        <v>0</v>
      </c>
      <c r="E2272" s="2" t="s">
        <v>838</v>
      </c>
      <c r="F2272" s="2" t="s">
        <v>807</v>
      </c>
      <c r="G2272" s="2" t="s">
        <v>1254</v>
      </c>
      <c r="H2272" s="2" t="s">
        <v>1254</v>
      </c>
      <c r="J2272" s="26"/>
      <c r="K2272" s="36">
        <v>3.1647699999999999E-3</v>
      </c>
      <c r="L2272" s="23">
        <v>3.1648000000000001E-4</v>
      </c>
    </row>
    <row r="2273" spans="1:12" ht="15.35" hidden="1" x14ac:dyDescent="0.55000000000000004">
      <c r="A2273" s="20">
        <v>16705</v>
      </c>
      <c r="B2273" s="2" t="s">
        <v>176</v>
      </c>
      <c r="C2273" s="2" t="s">
        <v>177</v>
      </c>
      <c r="D2273" s="20">
        <v>0</v>
      </c>
      <c r="E2273" s="2" t="s">
        <v>838</v>
      </c>
      <c r="F2273" s="2" t="s">
        <v>807</v>
      </c>
      <c r="G2273" s="2" t="s">
        <v>2611</v>
      </c>
      <c r="H2273" s="2" t="s">
        <v>1254</v>
      </c>
      <c r="J2273" s="26"/>
      <c r="K2273" s="36">
        <v>8.3075200000000005E-3</v>
      </c>
      <c r="L2273" s="23">
        <v>8.3075E-4</v>
      </c>
    </row>
    <row r="2274" spans="1:12" ht="15.35" hidden="1" x14ac:dyDescent="0.55000000000000004">
      <c r="A2274" s="20">
        <v>16427</v>
      </c>
      <c r="B2274" s="2" t="s">
        <v>176</v>
      </c>
      <c r="C2274" s="2" t="s">
        <v>177</v>
      </c>
      <c r="D2274" s="20">
        <v>0</v>
      </c>
      <c r="E2274" s="2" t="s">
        <v>838</v>
      </c>
      <c r="F2274" s="2" t="s">
        <v>807</v>
      </c>
      <c r="G2274" s="2" t="s">
        <v>2594</v>
      </c>
      <c r="H2274" s="2" t="s">
        <v>1254</v>
      </c>
      <c r="J2274" s="26"/>
      <c r="K2274" s="36">
        <v>8.3075200000000005E-3</v>
      </c>
      <c r="L2274" s="23">
        <v>8.3075E-4</v>
      </c>
    </row>
    <row r="2275" spans="1:12" ht="15.35" hidden="1" x14ac:dyDescent="0.55000000000000004">
      <c r="A2275" s="20">
        <v>16276</v>
      </c>
      <c r="B2275" s="2" t="s">
        <v>176</v>
      </c>
      <c r="C2275" s="2" t="s">
        <v>177</v>
      </c>
      <c r="D2275" s="20">
        <v>0</v>
      </c>
      <c r="E2275" s="2" t="s">
        <v>838</v>
      </c>
      <c r="F2275" s="2" t="s">
        <v>807</v>
      </c>
      <c r="G2275" s="2" t="s">
        <v>2817</v>
      </c>
      <c r="H2275" s="2" t="s">
        <v>1254</v>
      </c>
      <c r="J2275" s="26"/>
      <c r="K2275" s="36">
        <v>7.9118999999999999E-4</v>
      </c>
      <c r="L2275" s="23">
        <v>7.9120000000000001E-5</v>
      </c>
    </row>
    <row r="2276" spans="1:12" ht="15.35" hidden="1" x14ac:dyDescent="0.55000000000000004">
      <c r="A2276" s="20">
        <v>16431</v>
      </c>
      <c r="B2276" s="2" t="s">
        <v>176</v>
      </c>
      <c r="C2276" s="2" t="s">
        <v>177</v>
      </c>
      <c r="D2276" s="20">
        <v>0</v>
      </c>
      <c r="E2276" s="2" t="s">
        <v>838</v>
      </c>
      <c r="F2276" s="2" t="s">
        <v>807</v>
      </c>
      <c r="G2276" s="2" t="s">
        <v>2818</v>
      </c>
      <c r="H2276" s="2" t="s">
        <v>1254</v>
      </c>
      <c r="J2276" s="26"/>
      <c r="K2276" s="36">
        <v>8.3075200000000005E-3</v>
      </c>
      <c r="L2276" s="23">
        <v>8.3075E-4</v>
      </c>
    </row>
    <row r="2277" spans="1:12" ht="15.35" hidden="1" x14ac:dyDescent="0.55000000000000004">
      <c r="A2277" s="20">
        <v>16533</v>
      </c>
      <c r="B2277" s="2" t="s">
        <v>176</v>
      </c>
      <c r="C2277" s="2" t="s">
        <v>177</v>
      </c>
      <c r="D2277" s="20">
        <v>0</v>
      </c>
      <c r="E2277" s="2" t="s">
        <v>838</v>
      </c>
      <c r="F2277" s="2" t="s">
        <v>807</v>
      </c>
      <c r="G2277" s="2" t="s">
        <v>2819</v>
      </c>
      <c r="H2277" s="2" t="s">
        <v>1254</v>
      </c>
      <c r="J2277" s="26"/>
      <c r="K2277" s="36">
        <v>9.0987000000000001E-4</v>
      </c>
      <c r="L2277" s="23">
        <v>9.0989999999999994E-5</v>
      </c>
    </row>
    <row r="2278" spans="1:12" ht="15.35" hidden="1" x14ac:dyDescent="0.55000000000000004">
      <c r="A2278" s="20">
        <v>16653</v>
      </c>
      <c r="B2278" s="2" t="s">
        <v>176</v>
      </c>
      <c r="C2278" s="2" t="s">
        <v>177</v>
      </c>
      <c r="D2278" s="20">
        <v>0</v>
      </c>
      <c r="E2278" s="2" t="s">
        <v>838</v>
      </c>
      <c r="F2278" s="2" t="s">
        <v>807</v>
      </c>
      <c r="G2278" s="2" t="s">
        <v>2820</v>
      </c>
      <c r="H2278" s="2" t="s">
        <v>1254</v>
      </c>
      <c r="J2278" s="26"/>
      <c r="K2278" s="36">
        <v>2.8482899999999998E-3</v>
      </c>
      <c r="L2278" s="23">
        <v>2.8483000000000002E-4</v>
      </c>
    </row>
    <row r="2279" spans="1:12" ht="15.35" hidden="1" x14ac:dyDescent="0.55000000000000004">
      <c r="A2279" s="20">
        <v>16429</v>
      </c>
      <c r="B2279" s="2" t="s">
        <v>176</v>
      </c>
      <c r="C2279" s="2" t="s">
        <v>177</v>
      </c>
      <c r="D2279" s="20">
        <v>0</v>
      </c>
      <c r="E2279" s="2" t="s">
        <v>838</v>
      </c>
      <c r="F2279" s="2" t="s">
        <v>807</v>
      </c>
      <c r="G2279" s="2" t="s">
        <v>2821</v>
      </c>
      <c r="H2279" s="2" t="s">
        <v>1254</v>
      </c>
      <c r="J2279" s="26"/>
      <c r="K2279" s="36">
        <v>1.6615E-3</v>
      </c>
      <c r="L2279" s="23">
        <v>1.6615E-4</v>
      </c>
    </row>
    <row r="2280" spans="1:12" ht="15.35" hidden="1" x14ac:dyDescent="0.55000000000000004">
      <c r="A2280" s="20">
        <v>16632</v>
      </c>
      <c r="B2280" s="2" t="s">
        <v>176</v>
      </c>
      <c r="C2280" s="2" t="s">
        <v>177</v>
      </c>
      <c r="D2280" s="20">
        <v>0</v>
      </c>
      <c r="E2280" s="2" t="s">
        <v>838</v>
      </c>
      <c r="F2280" s="2" t="s">
        <v>807</v>
      </c>
      <c r="G2280" s="2" t="s">
        <v>2822</v>
      </c>
      <c r="H2280" s="2" t="s">
        <v>1254</v>
      </c>
      <c r="J2280" s="26"/>
      <c r="K2280" s="36">
        <v>3.9559000000000003E-4</v>
      </c>
      <c r="L2280" s="23">
        <v>3.9560000000000001E-5</v>
      </c>
    </row>
    <row r="2281" spans="1:12" ht="15.35" hidden="1" x14ac:dyDescent="0.55000000000000004">
      <c r="A2281" s="20">
        <v>16750</v>
      </c>
      <c r="B2281" s="2" t="s">
        <v>176</v>
      </c>
      <c r="C2281" s="2" t="s">
        <v>177</v>
      </c>
      <c r="D2281" s="20">
        <v>0</v>
      </c>
      <c r="E2281" s="2" t="s">
        <v>838</v>
      </c>
      <c r="F2281" s="2" t="s">
        <v>807</v>
      </c>
      <c r="G2281" s="2" t="s">
        <v>2823</v>
      </c>
      <c r="H2281" s="2" t="s">
        <v>1254</v>
      </c>
      <c r="J2281" s="26"/>
      <c r="K2281" s="36">
        <v>1.9384199999999999E-3</v>
      </c>
      <c r="L2281" s="23">
        <v>1.9384E-4</v>
      </c>
    </row>
    <row r="2282" spans="1:12" ht="15.35" hidden="1" x14ac:dyDescent="0.55000000000000004">
      <c r="A2282" s="20">
        <v>16282</v>
      </c>
      <c r="B2282" s="2" t="s">
        <v>176</v>
      </c>
      <c r="C2282" s="2" t="s">
        <v>177</v>
      </c>
      <c r="D2282" s="20">
        <v>0</v>
      </c>
      <c r="E2282" s="2" t="s">
        <v>838</v>
      </c>
      <c r="F2282" s="2" t="s">
        <v>807</v>
      </c>
      <c r="G2282" s="2" t="s">
        <v>2596</v>
      </c>
      <c r="H2282" s="2" t="s">
        <v>1254</v>
      </c>
      <c r="J2282" s="26"/>
      <c r="K2282" s="36">
        <v>4.7471500000000003E-3</v>
      </c>
      <c r="L2282" s="23">
        <v>4.7470999999999999E-4</v>
      </c>
    </row>
    <row r="2283" spans="1:12" ht="15.35" hidden="1" x14ac:dyDescent="0.55000000000000004">
      <c r="A2283" s="20">
        <v>15961</v>
      </c>
      <c r="B2283" s="2" t="s">
        <v>176</v>
      </c>
      <c r="C2283" s="2" t="s">
        <v>177</v>
      </c>
      <c r="D2283" s="20">
        <v>0</v>
      </c>
      <c r="E2283" s="2" t="s">
        <v>838</v>
      </c>
      <c r="F2283" s="2" t="s">
        <v>807</v>
      </c>
      <c r="G2283" s="2" t="s">
        <v>2597</v>
      </c>
      <c r="H2283" s="2" t="s">
        <v>1254</v>
      </c>
      <c r="J2283" s="26"/>
      <c r="K2283" s="36">
        <v>5.1031899999999996E-3</v>
      </c>
      <c r="L2283" s="23">
        <v>5.1031999999999998E-4</v>
      </c>
    </row>
    <row r="2284" spans="1:12" ht="15.35" hidden="1" x14ac:dyDescent="0.55000000000000004">
      <c r="A2284" s="20">
        <v>16487</v>
      </c>
      <c r="B2284" s="2" t="s">
        <v>176</v>
      </c>
      <c r="C2284" s="2" t="s">
        <v>177</v>
      </c>
      <c r="D2284" s="20">
        <v>0</v>
      </c>
      <c r="E2284" s="2" t="s">
        <v>838</v>
      </c>
      <c r="F2284" s="2" t="s">
        <v>807</v>
      </c>
      <c r="G2284" s="2" t="s">
        <v>2824</v>
      </c>
      <c r="H2284" s="2" t="s">
        <v>1254</v>
      </c>
      <c r="J2284" s="26"/>
      <c r="K2284" s="36">
        <v>3.9559599999999997E-3</v>
      </c>
      <c r="L2284" s="23">
        <v>3.9560000000000002E-4</v>
      </c>
    </row>
    <row r="2285" spans="1:12" ht="15.35" hidden="1" x14ac:dyDescent="0.55000000000000004">
      <c r="A2285" s="20">
        <v>16174</v>
      </c>
      <c r="B2285" s="2" t="s">
        <v>176</v>
      </c>
      <c r="C2285" s="2" t="s">
        <v>177</v>
      </c>
      <c r="D2285" s="20">
        <v>0</v>
      </c>
      <c r="E2285" s="2" t="s">
        <v>838</v>
      </c>
      <c r="F2285" s="2" t="s">
        <v>807</v>
      </c>
      <c r="G2285" s="2" t="s">
        <v>2825</v>
      </c>
      <c r="H2285" s="2" t="s">
        <v>1254</v>
      </c>
      <c r="J2285" s="26"/>
      <c r="K2285" s="36">
        <v>2.2746699999999999E-3</v>
      </c>
      <c r="L2285" s="23">
        <v>2.2746999999999999E-4</v>
      </c>
    </row>
    <row r="2286" spans="1:12" ht="15.35" hidden="1" x14ac:dyDescent="0.55000000000000004">
      <c r="A2286" s="20">
        <v>16172</v>
      </c>
      <c r="B2286" s="2" t="s">
        <v>176</v>
      </c>
      <c r="C2286" s="2" t="s">
        <v>177</v>
      </c>
      <c r="D2286" s="20">
        <v>0</v>
      </c>
      <c r="E2286" s="2" t="s">
        <v>838</v>
      </c>
      <c r="F2286" s="2" t="s">
        <v>807</v>
      </c>
      <c r="G2286" s="2" t="s">
        <v>2826</v>
      </c>
      <c r="H2286" s="2" t="s">
        <v>1254</v>
      </c>
      <c r="J2286" s="26"/>
      <c r="K2286" s="36">
        <v>3.4021199999999998E-3</v>
      </c>
      <c r="L2286" s="23">
        <v>3.4021000000000002E-4</v>
      </c>
    </row>
    <row r="2287" spans="1:12" ht="15.35" hidden="1" x14ac:dyDescent="0.55000000000000004">
      <c r="A2287" s="20">
        <v>16715</v>
      </c>
      <c r="B2287" s="2" t="s">
        <v>176</v>
      </c>
      <c r="C2287" s="2" t="s">
        <v>177</v>
      </c>
      <c r="D2287" s="20">
        <v>0</v>
      </c>
      <c r="E2287" s="2" t="s">
        <v>838</v>
      </c>
      <c r="F2287" s="2" t="s">
        <v>807</v>
      </c>
      <c r="G2287" s="2" t="s">
        <v>2827</v>
      </c>
      <c r="H2287" s="2" t="s">
        <v>1254</v>
      </c>
      <c r="J2287" s="26"/>
      <c r="K2287" s="36">
        <v>1.1076700000000001E-3</v>
      </c>
      <c r="L2287" s="23">
        <v>1.1077E-4</v>
      </c>
    </row>
    <row r="2288" spans="1:12" ht="15.35" hidden="1" x14ac:dyDescent="0.55000000000000004">
      <c r="A2288" s="20">
        <v>16261</v>
      </c>
      <c r="B2288" s="2" t="s">
        <v>176</v>
      </c>
      <c r="C2288" s="2" t="s">
        <v>177</v>
      </c>
      <c r="D2288" s="20">
        <v>0</v>
      </c>
      <c r="E2288" s="2" t="s">
        <v>838</v>
      </c>
      <c r="F2288" s="2" t="s">
        <v>807</v>
      </c>
      <c r="G2288" s="2" t="s">
        <v>2828</v>
      </c>
      <c r="H2288" s="2" t="s">
        <v>1254</v>
      </c>
      <c r="J2288" s="26"/>
      <c r="K2288" s="36">
        <v>4.0350799999999999E-3</v>
      </c>
      <c r="L2288" s="23">
        <v>4.0350999999999999E-4</v>
      </c>
    </row>
    <row r="2289" spans="1:12" ht="15.35" hidden="1" x14ac:dyDescent="0.55000000000000004">
      <c r="A2289" s="20">
        <v>16169</v>
      </c>
      <c r="B2289" s="2" t="s">
        <v>176</v>
      </c>
      <c r="C2289" s="2" t="s">
        <v>177</v>
      </c>
      <c r="D2289" s="20">
        <v>0</v>
      </c>
      <c r="E2289" s="2" t="s">
        <v>838</v>
      </c>
      <c r="F2289" s="2" t="s">
        <v>807</v>
      </c>
      <c r="G2289" s="2" t="s">
        <v>2829</v>
      </c>
      <c r="H2289" s="2" t="s">
        <v>1254</v>
      </c>
      <c r="J2289" s="26"/>
      <c r="K2289" s="36">
        <v>4.5691300000000002E-3</v>
      </c>
      <c r="L2289" s="23">
        <v>4.5690999999999999E-4</v>
      </c>
    </row>
    <row r="2290" spans="1:12" ht="15.35" hidden="1" x14ac:dyDescent="0.55000000000000004">
      <c r="A2290" s="20">
        <v>16075</v>
      </c>
      <c r="B2290" s="2" t="s">
        <v>176</v>
      </c>
      <c r="C2290" s="2" t="s">
        <v>177</v>
      </c>
      <c r="D2290" s="20">
        <v>0</v>
      </c>
      <c r="E2290" s="2" t="s">
        <v>838</v>
      </c>
      <c r="F2290" s="2" t="s">
        <v>807</v>
      </c>
      <c r="G2290" s="2" t="s">
        <v>2830</v>
      </c>
      <c r="H2290" s="2" t="s">
        <v>1254</v>
      </c>
      <c r="J2290" s="26"/>
      <c r="K2290" s="36">
        <v>2.2548899999999998E-3</v>
      </c>
      <c r="L2290" s="23">
        <v>2.2549000000000001E-4</v>
      </c>
    </row>
    <row r="2291" spans="1:12" ht="15.35" hidden="1" x14ac:dyDescent="0.55000000000000004">
      <c r="A2291" s="20">
        <v>16490</v>
      </c>
      <c r="B2291" s="2" t="s">
        <v>176</v>
      </c>
      <c r="C2291" s="2" t="s">
        <v>177</v>
      </c>
      <c r="D2291" s="20">
        <v>0</v>
      </c>
      <c r="E2291" s="2" t="s">
        <v>838</v>
      </c>
      <c r="F2291" s="2" t="s">
        <v>807</v>
      </c>
      <c r="G2291" s="2" t="s">
        <v>2831</v>
      </c>
      <c r="H2291" s="2" t="s">
        <v>1254</v>
      </c>
      <c r="J2291" s="26"/>
      <c r="K2291" s="36">
        <v>1.1867799999999999E-3</v>
      </c>
      <c r="L2291" s="23">
        <v>1.1868E-4</v>
      </c>
    </row>
    <row r="2292" spans="1:12" ht="15.35" hidden="1" x14ac:dyDescent="0.55000000000000004">
      <c r="A2292" s="20">
        <v>16399</v>
      </c>
      <c r="B2292" s="2" t="s">
        <v>176</v>
      </c>
      <c r="C2292" s="2" t="s">
        <v>177</v>
      </c>
      <c r="D2292" s="20">
        <v>0</v>
      </c>
      <c r="E2292" s="2" t="s">
        <v>838</v>
      </c>
      <c r="F2292" s="2" t="s">
        <v>807</v>
      </c>
      <c r="G2292" s="2" t="s">
        <v>2832</v>
      </c>
      <c r="H2292" s="2" t="s">
        <v>1254</v>
      </c>
      <c r="J2292" s="26"/>
      <c r="K2292" s="36">
        <v>3.0856500000000001E-3</v>
      </c>
      <c r="L2292" s="23">
        <v>3.0856999999999998E-4</v>
      </c>
    </row>
    <row r="2293" spans="1:12" ht="15.35" hidden="1" x14ac:dyDescent="0.55000000000000004">
      <c r="A2293" s="20">
        <v>16689</v>
      </c>
      <c r="B2293" s="2" t="s">
        <v>176</v>
      </c>
      <c r="C2293" s="2" t="s">
        <v>177</v>
      </c>
      <c r="D2293" s="20">
        <v>0</v>
      </c>
      <c r="E2293" s="2" t="s">
        <v>838</v>
      </c>
      <c r="F2293" s="2" t="s">
        <v>807</v>
      </c>
      <c r="G2293" s="2" t="s">
        <v>2833</v>
      </c>
      <c r="H2293" s="2" t="s">
        <v>1254</v>
      </c>
      <c r="J2293" s="26"/>
      <c r="K2293" s="36">
        <v>5.5382999999999995E-4</v>
      </c>
      <c r="L2293" s="23">
        <v>5.5380000000000002E-5</v>
      </c>
    </row>
    <row r="2294" spans="1:12" ht="15.35" hidden="1" x14ac:dyDescent="0.55000000000000004">
      <c r="A2294" s="20">
        <v>16748</v>
      </c>
      <c r="B2294" s="2" t="s">
        <v>176</v>
      </c>
      <c r="C2294" s="2" t="s">
        <v>177</v>
      </c>
      <c r="D2294" s="20">
        <v>0</v>
      </c>
      <c r="E2294" s="2" t="s">
        <v>838</v>
      </c>
      <c r="F2294" s="2" t="s">
        <v>807</v>
      </c>
      <c r="G2294" s="2" t="s">
        <v>2834</v>
      </c>
      <c r="H2294" s="2" t="s">
        <v>1254</v>
      </c>
      <c r="J2294" s="26"/>
      <c r="K2294" s="36">
        <v>9.8898999999999992E-4</v>
      </c>
      <c r="L2294" s="23">
        <v>9.8900000000000005E-5</v>
      </c>
    </row>
    <row r="2295" spans="1:12" ht="15.35" hidden="1" x14ac:dyDescent="0.55000000000000004">
      <c r="A2295" s="20">
        <v>15996</v>
      </c>
      <c r="B2295" s="2" t="s">
        <v>176</v>
      </c>
      <c r="C2295" s="2" t="s">
        <v>177</v>
      </c>
      <c r="D2295" s="20">
        <v>0</v>
      </c>
      <c r="E2295" s="2" t="s">
        <v>838</v>
      </c>
      <c r="F2295" s="2" t="s">
        <v>807</v>
      </c>
      <c r="G2295" s="2" t="s">
        <v>2612</v>
      </c>
      <c r="H2295" s="2" t="s">
        <v>1254</v>
      </c>
      <c r="J2295" s="26"/>
      <c r="K2295" s="36">
        <v>8.3075200000000005E-3</v>
      </c>
      <c r="L2295" s="23">
        <v>8.3075E-4</v>
      </c>
    </row>
    <row r="2296" spans="1:12" ht="15.35" hidden="1" x14ac:dyDescent="0.55000000000000004">
      <c r="A2296" s="20">
        <v>16107</v>
      </c>
      <c r="B2296" s="2" t="s">
        <v>176</v>
      </c>
      <c r="C2296" s="2" t="s">
        <v>177</v>
      </c>
      <c r="D2296" s="20">
        <v>0</v>
      </c>
      <c r="E2296" s="2" t="s">
        <v>838</v>
      </c>
      <c r="F2296" s="2" t="s">
        <v>807</v>
      </c>
      <c r="G2296" s="2" t="s">
        <v>2835</v>
      </c>
      <c r="H2296" s="2" t="s">
        <v>1254</v>
      </c>
      <c r="J2296" s="26"/>
      <c r="K2296" s="36">
        <v>5.9339400000000004E-3</v>
      </c>
      <c r="L2296" s="23">
        <v>5.9338999999999995E-4</v>
      </c>
    </row>
    <row r="2297" spans="1:12" ht="15.35" hidden="1" x14ac:dyDescent="0.55000000000000004">
      <c r="A2297" s="20">
        <v>16340</v>
      </c>
      <c r="B2297" s="2" t="s">
        <v>176</v>
      </c>
      <c r="C2297" s="2" t="s">
        <v>177</v>
      </c>
      <c r="D2297" s="20">
        <v>0</v>
      </c>
      <c r="E2297" s="2" t="s">
        <v>838</v>
      </c>
      <c r="F2297" s="2" t="s">
        <v>807</v>
      </c>
      <c r="G2297" s="2" t="s">
        <v>2836</v>
      </c>
      <c r="H2297" s="2" t="s">
        <v>1254</v>
      </c>
      <c r="J2297" s="26"/>
      <c r="K2297" s="36">
        <v>2.7691700000000001E-3</v>
      </c>
      <c r="L2297" s="23">
        <v>2.7692E-4</v>
      </c>
    </row>
    <row r="2298" spans="1:12" ht="15.35" hidden="1" x14ac:dyDescent="0.55000000000000004">
      <c r="A2298" s="20">
        <v>16476</v>
      </c>
      <c r="B2298" s="2" t="s">
        <v>176</v>
      </c>
      <c r="C2298" s="2" t="s">
        <v>177</v>
      </c>
      <c r="D2298" s="20">
        <v>0</v>
      </c>
      <c r="E2298" s="2" t="s">
        <v>838</v>
      </c>
      <c r="F2298" s="2" t="s">
        <v>807</v>
      </c>
      <c r="G2298" s="2" t="s">
        <v>2837</v>
      </c>
      <c r="H2298" s="2" t="s">
        <v>1254</v>
      </c>
      <c r="J2298" s="26"/>
      <c r="K2298" s="36">
        <v>4.5097899999999996E-3</v>
      </c>
      <c r="L2298" s="23">
        <v>4.5098000000000002E-4</v>
      </c>
    </row>
    <row r="2299" spans="1:12" ht="15.35" hidden="1" x14ac:dyDescent="0.55000000000000004">
      <c r="A2299" s="20">
        <v>15951</v>
      </c>
      <c r="B2299" s="2" t="s">
        <v>176</v>
      </c>
      <c r="C2299" s="2" t="s">
        <v>177</v>
      </c>
      <c r="D2299" s="20">
        <v>0</v>
      </c>
      <c r="E2299" s="2" t="s">
        <v>838</v>
      </c>
      <c r="F2299" s="2" t="s">
        <v>807</v>
      </c>
      <c r="G2299" s="2" t="s">
        <v>2838</v>
      </c>
      <c r="H2299" s="2" t="s">
        <v>1254</v>
      </c>
      <c r="J2299" s="26"/>
      <c r="K2299" s="36">
        <v>8.3075200000000005E-3</v>
      </c>
      <c r="L2299" s="23">
        <v>8.3075E-4</v>
      </c>
    </row>
    <row r="2300" spans="1:12" ht="15.35" hidden="1" x14ac:dyDescent="0.55000000000000004">
      <c r="A2300" s="20">
        <v>16068</v>
      </c>
      <c r="B2300" s="2" t="s">
        <v>176</v>
      </c>
      <c r="C2300" s="2" t="s">
        <v>177</v>
      </c>
      <c r="D2300" s="20">
        <v>0</v>
      </c>
      <c r="E2300" s="2" t="s">
        <v>838</v>
      </c>
      <c r="F2300" s="2" t="s">
        <v>807</v>
      </c>
      <c r="G2300" s="2" t="s">
        <v>2839</v>
      </c>
      <c r="H2300" s="2" t="s">
        <v>1254</v>
      </c>
      <c r="J2300" s="26"/>
      <c r="K2300" s="36">
        <v>8.3075200000000005E-3</v>
      </c>
      <c r="L2300" s="23">
        <v>8.3075E-4</v>
      </c>
    </row>
    <row r="2301" spans="1:12" ht="15.35" hidden="1" x14ac:dyDescent="0.55000000000000004">
      <c r="A2301" s="20">
        <v>15915</v>
      </c>
      <c r="B2301" s="2" t="s">
        <v>176</v>
      </c>
      <c r="C2301" s="2" t="s">
        <v>177</v>
      </c>
      <c r="D2301" s="20">
        <v>0</v>
      </c>
      <c r="E2301" s="2" t="s">
        <v>838</v>
      </c>
      <c r="F2301" s="2" t="s">
        <v>807</v>
      </c>
      <c r="G2301" s="2" t="s">
        <v>2840</v>
      </c>
      <c r="H2301" s="2" t="s">
        <v>1254</v>
      </c>
      <c r="J2301" s="26"/>
      <c r="K2301" s="36">
        <v>8.3075200000000005E-3</v>
      </c>
      <c r="L2301" s="23">
        <v>8.3075E-4</v>
      </c>
    </row>
    <row r="2302" spans="1:12" ht="15.35" hidden="1" x14ac:dyDescent="0.55000000000000004">
      <c r="A2302" s="20">
        <v>16683</v>
      </c>
      <c r="B2302" s="2" t="s">
        <v>176</v>
      </c>
      <c r="C2302" s="2" t="s">
        <v>177</v>
      </c>
      <c r="D2302" s="20">
        <v>0</v>
      </c>
      <c r="E2302" s="2" t="s">
        <v>838</v>
      </c>
      <c r="F2302" s="2" t="s">
        <v>807</v>
      </c>
      <c r="G2302" s="2" t="s">
        <v>2841</v>
      </c>
      <c r="H2302" s="2" t="s">
        <v>1254</v>
      </c>
      <c r="J2302" s="26"/>
      <c r="K2302" s="36">
        <v>8.3075200000000005E-3</v>
      </c>
      <c r="L2302" s="23">
        <v>8.3075E-4</v>
      </c>
    </row>
    <row r="2303" spans="1:12" ht="15.35" hidden="1" x14ac:dyDescent="0.55000000000000004">
      <c r="A2303" s="20">
        <v>16149</v>
      </c>
      <c r="B2303" s="2" t="s">
        <v>176</v>
      </c>
      <c r="C2303" s="2" t="s">
        <v>177</v>
      </c>
      <c r="D2303" s="20">
        <v>0</v>
      </c>
      <c r="E2303" s="2" t="s">
        <v>838</v>
      </c>
      <c r="F2303" s="2" t="s">
        <v>807</v>
      </c>
      <c r="G2303" s="2" t="s">
        <v>2598</v>
      </c>
      <c r="H2303" s="2" t="s">
        <v>1254</v>
      </c>
      <c r="J2303" s="26"/>
      <c r="K2303" s="36">
        <v>4.7471500000000003E-3</v>
      </c>
      <c r="L2303" s="23">
        <v>4.7470999999999999E-4</v>
      </c>
    </row>
    <row r="2304" spans="1:12" ht="15.35" hidden="1" x14ac:dyDescent="0.55000000000000004">
      <c r="A2304" s="20">
        <v>16532</v>
      </c>
      <c r="B2304" s="2" t="s">
        <v>176</v>
      </c>
      <c r="C2304" s="2" t="s">
        <v>177</v>
      </c>
      <c r="D2304" s="20">
        <v>0</v>
      </c>
      <c r="E2304" s="2" t="s">
        <v>838</v>
      </c>
      <c r="F2304" s="2" t="s">
        <v>789</v>
      </c>
      <c r="G2304" s="2" t="s">
        <v>2842</v>
      </c>
      <c r="H2304" s="2" t="s">
        <v>2843</v>
      </c>
      <c r="J2304" s="26"/>
      <c r="K2304" s="36">
        <v>8.3075200000000005E-3</v>
      </c>
      <c r="L2304" s="23">
        <v>8.3075E-4</v>
      </c>
    </row>
    <row r="2305" spans="1:12" ht="15.35" hidden="1" x14ac:dyDescent="0.55000000000000004">
      <c r="A2305" s="20">
        <v>16051</v>
      </c>
      <c r="B2305" s="2" t="s">
        <v>176</v>
      </c>
      <c r="C2305" s="2" t="s">
        <v>177</v>
      </c>
      <c r="D2305" s="20">
        <v>0</v>
      </c>
      <c r="E2305" s="2" t="s">
        <v>838</v>
      </c>
      <c r="F2305" s="2" t="s">
        <v>789</v>
      </c>
      <c r="G2305" s="2" t="s">
        <v>1884</v>
      </c>
      <c r="H2305" s="2" t="s">
        <v>1885</v>
      </c>
      <c r="J2305" s="26"/>
      <c r="K2305" s="36">
        <v>7.0416000000000001E-4</v>
      </c>
      <c r="L2305" s="23">
        <v>7.0419999999999993E-5</v>
      </c>
    </row>
    <row r="2306" spans="1:12" ht="15.35" hidden="1" x14ac:dyDescent="0.55000000000000004">
      <c r="A2306" s="20">
        <v>16201</v>
      </c>
      <c r="B2306" s="2" t="s">
        <v>176</v>
      </c>
      <c r="C2306" s="2" t="s">
        <v>177</v>
      </c>
      <c r="D2306" s="20">
        <v>0</v>
      </c>
      <c r="E2306" s="2" t="s">
        <v>838</v>
      </c>
      <c r="F2306" s="2" t="s">
        <v>789</v>
      </c>
      <c r="G2306" s="2" t="s">
        <v>1886</v>
      </c>
      <c r="H2306" s="2" t="s">
        <v>1887</v>
      </c>
      <c r="J2306" s="26"/>
      <c r="K2306" s="36">
        <v>5.6570199999999996E-3</v>
      </c>
      <c r="L2306" s="23">
        <v>5.6570000000000004E-4</v>
      </c>
    </row>
    <row r="2307" spans="1:12" ht="15.35" hidden="1" x14ac:dyDescent="0.55000000000000004">
      <c r="A2307" s="20">
        <v>16342</v>
      </c>
      <c r="B2307" s="2" t="s">
        <v>176</v>
      </c>
      <c r="C2307" s="2" t="s">
        <v>177</v>
      </c>
      <c r="D2307" s="20">
        <v>0</v>
      </c>
      <c r="E2307" s="2" t="s">
        <v>838</v>
      </c>
      <c r="F2307" s="2" t="s">
        <v>789</v>
      </c>
      <c r="G2307" s="2" t="s">
        <v>1255</v>
      </c>
      <c r="H2307" s="2" t="s">
        <v>1256</v>
      </c>
      <c r="J2307" s="26"/>
      <c r="K2307" s="36">
        <v>2.7691700000000001E-3</v>
      </c>
      <c r="L2307" s="23">
        <v>2.7692E-4</v>
      </c>
    </row>
    <row r="2308" spans="1:12" ht="15.35" hidden="1" x14ac:dyDescent="0.55000000000000004">
      <c r="A2308" s="20">
        <v>16403</v>
      </c>
      <c r="B2308" s="2" t="s">
        <v>176</v>
      </c>
      <c r="C2308" s="2" t="s">
        <v>177</v>
      </c>
      <c r="D2308" s="20">
        <v>0</v>
      </c>
      <c r="E2308" s="2" t="s">
        <v>838</v>
      </c>
      <c r="F2308" s="2" t="s">
        <v>789</v>
      </c>
      <c r="G2308" s="2" t="s">
        <v>1257</v>
      </c>
      <c r="H2308" s="2" t="s">
        <v>1256</v>
      </c>
      <c r="J2308" s="26"/>
      <c r="K2308" s="36">
        <v>1.9779799999999998E-3</v>
      </c>
      <c r="L2308" s="23">
        <v>1.9780000000000001E-4</v>
      </c>
    </row>
    <row r="2309" spans="1:12" ht="15.35" hidden="1" x14ac:dyDescent="0.55000000000000004">
      <c r="A2309" s="20">
        <v>16386</v>
      </c>
      <c r="B2309" s="2" t="s">
        <v>176</v>
      </c>
      <c r="C2309" s="2" t="s">
        <v>177</v>
      </c>
      <c r="D2309" s="20">
        <v>0</v>
      </c>
      <c r="E2309" s="2" t="s">
        <v>838</v>
      </c>
      <c r="F2309" s="2" t="s">
        <v>789</v>
      </c>
      <c r="G2309" s="2" t="s">
        <v>1258</v>
      </c>
      <c r="H2309" s="2" t="s">
        <v>1256</v>
      </c>
      <c r="J2309" s="26"/>
      <c r="K2309" s="36">
        <v>8.3075200000000005E-3</v>
      </c>
      <c r="L2309" s="23">
        <v>8.3075E-4</v>
      </c>
    </row>
    <row r="2310" spans="1:12" ht="15.35" hidden="1" x14ac:dyDescent="0.55000000000000004">
      <c r="A2310" s="20">
        <v>16417</v>
      </c>
      <c r="B2310" s="2" t="s">
        <v>176</v>
      </c>
      <c r="C2310" s="2" t="s">
        <v>177</v>
      </c>
      <c r="D2310" s="20">
        <v>0</v>
      </c>
      <c r="E2310" s="2" t="s">
        <v>838</v>
      </c>
      <c r="F2310" s="2" t="s">
        <v>789</v>
      </c>
      <c r="G2310" s="2" t="s">
        <v>1259</v>
      </c>
      <c r="H2310" s="2" t="s">
        <v>1256</v>
      </c>
      <c r="J2310" s="26"/>
      <c r="K2310" s="36">
        <v>8.3075200000000005E-3</v>
      </c>
      <c r="L2310" s="23">
        <v>8.3075E-4</v>
      </c>
    </row>
    <row r="2311" spans="1:12" ht="15.35" hidden="1" x14ac:dyDescent="0.55000000000000004">
      <c r="A2311" s="20">
        <v>16724</v>
      </c>
      <c r="B2311" s="2" t="s">
        <v>176</v>
      </c>
      <c r="C2311" s="2" t="s">
        <v>177</v>
      </c>
      <c r="D2311" s="20">
        <v>0</v>
      </c>
      <c r="E2311" s="2" t="s">
        <v>838</v>
      </c>
      <c r="F2311" s="2" t="s">
        <v>789</v>
      </c>
      <c r="G2311" s="2" t="s">
        <v>1260</v>
      </c>
      <c r="H2311" s="2" t="s">
        <v>1256</v>
      </c>
      <c r="J2311" s="26"/>
      <c r="K2311" s="36">
        <v>8.3075200000000005E-3</v>
      </c>
      <c r="L2311" s="23">
        <v>8.3075E-4</v>
      </c>
    </row>
    <row r="2312" spans="1:12" ht="15.35" hidden="1" x14ac:dyDescent="0.55000000000000004">
      <c r="A2312" s="20">
        <v>16449</v>
      </c>
      <c r="B2312" s="2" t="s">
        <v>176</v>
      </c>
      <c r="C2312" s="2" t="s">
        <v>177</v>
      </c>
      <c r="D2312" s="20">
        <v>0</v>
      </c>
      <c r="E2312" s="2" t="s">
        <v>838</v>
      </c>
      <c r="F2312" s="2" t="s">
        <v>789</v>
      </c>
      <c r="G2312" s="2" t="s">
        <v>1261</v>
      </c>
      <c r="H2312" s="2" t="s">
        <v>1256</v>
      </c>
      <c r="J2312" s="26"/>
      <c r="K2312" s="36">
        <v>1.9779799999999998E-3</v>
      </c>
      <c r="L2312" s="23">
        <v>1.9780000000000001E-4</v>
      </c>
    </row>
    <row r="2313" spans="1:12" ht="15.35" hidden="1" x14ac:dyDescent="0.55000000000000004">
      <c r="A2313" s="20">
        <v>16005</v>
      </c>
      <c r="B2313" s="2" t="s">
        <v>176</v>
      </c>
      <c r="C2313" s="2" t="s">
        <v>177</v>
      </c>
      <c r="D2313" s="20">
        <v>0</v>
      </c>
      <c r="E2313" s="2" t="s">
        <v>838</v>
      </c>
      <c r="F2313" s="2" t="s">
        <v>789</v>
      </c>
      <c r="G2313" s="2" t="s">
        <v>2844</v>
      </c>
      <c r="H2313" s="2" t="s">
        <v>1256</v>
      </c>
      <c r="J2313" s="26"/>
      <c r="K2313" s="36">
        <v>2.7691700000000001E-3</v>
      </c>
      <c r="L2313" s="23">
        <v>2.7692E-4</v>
      </c>
    </row>
    <row r="2314" spans="1:12" ht="15.35" hidden="1" x14ac:dyDescent="0.55000000000000004">
      <c r="A2314" s="20">
        <v>16697</v>
      </c>
      <c r="B2314" s="2" t="s">
        <v>176</v>
      </c>
      <c r="C2314" s="2" t="s">
        <v>177</v>
      </c>
      <c r="D2314" s="20">
        <v>0</v>
      </c>
      <c r="E2314" s="2" t="s">
        <v>838</v>
      </c>
      <c r="F2314" s="2" t="s">
        <v>833</v>
      </c>
      <c r="G2314" s="2" t="s">
        <v>1263</v>
      </c>
      <c r="H2314" s="2" t="s">
        <v>1256</v>
      </c>
      <c r="J2314" s="26"/>
      <c r="K2314" s="36">
        <v>1.9779799999999998E-3</v>
      </c>
      <c r="L2314" s="23">
        <v>1.9780000000000001E-4</v>
      </c>
    </row>
    <row r="2315" spans="1:12" ht="15.35" hidden="1" x14ac:dyDescent="0.55000000000000004">
      <c r="A2315" s="20">
        <v>16788</v>
      </c>
      <c r="B2315" s="2" t="s">
        <v>176</v>
      </c>
      <c r="C2315" s="2" t="s">
        <v>177</v>
      </c>
      <c r="D2315" s="20">
        <v>0</v>
      </c>
      <c r="E2315" s="2" t="s">
        <v>838</v>
      </c>
      <c r="F2315" s="2" t="s">
        <v>789</v>
      </c>
      <c r="G2315" s="2" t="s">
        <v>2845</v>
      </c>
      <c r="H2315" s="2" t="s">
        <v>1256</v>
      </c>
      <c r="J2315" s="26"/>
      <c r="K2315" s="36">
        <v>3.9559000000000003E-4</v>
      </c>
      <c r="L2315" s="23">
        <v>3.9560000000000001E-5</v>
      </c>
    </row>
    <row r="2316" spans="1:12" ht="15.35" hidden="1" x14ac:dyDescent="0.55000000000000004">
      <c r="A2316" s="20">
        <v>16680</v>
      </c>
      <c r="B2316" s="2" t="s">
        <v>176</v>
      </c>
      <c r="C2316" s="2" t="s">
        <v>177</v>
      </c>
      <c r="D2316" s="20">
        <v>0</v>
      </c>
      <c r="E2316" s="2" t="s">
        <v>838</v>
      </c>
      <c r="F2316" s="2" t="s">
        <v>793</v>
      </c>
      <c r="G2316" s="2" t="s">
        <v>1264</v>
      </c>
      <c r="H2316" s="2" t="s">
        <v>1265</v>
      </c>
      <c r="J2316" s="26"/>
      <c r="K2316" s="36">
        <v>2.2707199999999999E-3</v>
      </c>
      <c r="L2316" s="23">
        <v>2.2707000000000001E-4</v>
      </c>
    </row>
    <row r="2317" spans="1:12" ht="15.35" hidden="1" x14ac:dyDescent="0.55000000000000004">
      <c r="A2317" s="20">
        <v>16730</v>
      </c>
      <c r="B2317" s="2" t="s">
        <v>176</v>
      </c>
      <c r="C2317" s="2" t="s">
        <v>177</v>
      </c>
      <c r="D2317" s="20">
        <v>0</v>
      </c>
      <c r="E2317" s="2" t="s">
        <v>838</v>
      </c>
      <c r="F2317" s="2" t="s">
        <v>793</v>
      </c>
      <c r="G2317" s="2" t="s">
        <v>1896</v>
      </c>
      <c r="H2317" s="2" t="s">
        <v>1265</v>
      </c>
      <c r="J2317" s="26"/>
      <c r="K2317" s="36">
        <v>9.4943000000000002E-4</v>
      </c>
      <c r="L2317" s="23">
        <v>9.4939999999999996E-5</v>
      </c>
    </row>
    <row r="2318" spans="1:12" ht="15.35" hidden="1" x14ac:dyDescent="0.55000000000000004">
      <c r="A2318" s="20">
        <v>16727</v>
      </c>
      <c r="B2318" s="2" t="s">
        <v>176</v>
      </c>
      <c r="C2318" s="2" t="s">
        <v>177</v>
      </c>
      <c r="D2318" s="20">
        <v>0</v>
      </c>
      <c r="E2318" s="2" t="s">
        <v>838</v>
      </c>
      <c r="F2318" s="2" t="s">
        <v>793</v>
      </c>
      <c r="G2318" s="2" t="s">
        <v>1266</v>
      </c>
      <c r="H2318" s="2" t="s">
        <v>1265</v>
      </c>
      <c r="J2318" s="26"/>
      <c r="K2318" s="36">
        <v>5.6965E-4</v>
      </c>
      <c r="L2318" s="23">
        <v>5.6969999999999998E-5</v>
      </c>
    </row>
    <row r="2319" spans="1:12" ht="15.35" hidden="1" x14ac:dyDescent="0.55000000000000004">
      <c r="A2319" s="20">
        <v>16214</v>
      </c>
      <c r="B2319" s="2" t="s">
        <v>176</v>
      </c>
      <c r="C2319" s="2" t="s">
        <v>177</v>
      </c>
      <c r="D2319" s="20">
        <v>0</v>
      </c>
      <c r="E2319" s="2" t="s">
        <v>838</v>
      </c>
      <c r="F2319" s="2" t="s">
        <v>789</v>
      </c>
      <c r="G2319" s="2" t="s">
        <v>1267</v>
      </c>
      <c r="H2319" s="2" t="s">
        <v>1029</v>
      </c>
      <c r="J2319" s="26"/>
      <c r="K2319" s="36">
        <v>4.3910999999999999E-4</v>
      </c>
      <c r="L2319" s="23">
        <v>4.3909999999999998E-5</v>
      </c>
    </row>
    <row r="2320" spans="1:12" ht="15.35" hidden="1" x14ac:dyDescent="0.55000000000000004">
      <c r="A2320" s="20">
        <v>16020</v>
      </c>
      <c r="B2320" s="2" t="s">
        <v>176</v>
      </c>
      <c r="C2320" s="2" t="s">
        <v>177</v>
      </c>
      <c r="D2320" s="20">
        <v>0</v>
      </c>
      <c r="E2320" s="2" t="s">
        <v>838</v>
      </c>
      <c r="F2320" s="2" t="s">
        <v>789</v>
      </c>
      <c r="G2320" s="2" t="s">
        <v>1028</v>
      </c>
      <c r="H2320" s="2" t="s">
        <v>1029</v>
      </c>
      <c r="J2320" s="26"/>
      <c r="K2320" s="36">
        <v>4.5453999999999998E-3</v>
      </c>
      <c r="L2320" s="23">
        <v>4.5454000000000002E-4</v>
      </c>
    </row>
    <row r="2321" spans="1:12" ht="15.35" hidden="1" x14ac:dyDescent="0.55000000000000004">
      <c r="A2321" s="20">
        <v>16523</v>
      </c>
      <c r="B2321" s="2" t="s">
        <v>176</v>
      </c>
      <c r="C2321" s="2" t="s">
        <v>177</v>
      </c>
      <c r="D2321" s="20">
        <v>0</v>
      </c>
      <c r="E2321" s="2" t="s">
        <v>838</v>
      </c>
      <c r="F2321" s="2" t="s">
        <v>793</v>
      </c>
      <c r="G2321" s="2" t="s">
        <v>2846</v>
      </c>
      <c r="H2321" s="2" t="s">
        <v>1270</v>
      </c>
      <c r="J2321" s="26"/>
      <c r="K2321" s="36">
        <v>8.3075200000000005E-3</v>
      </c>
      <c r="L2321" s="23">
        <v>8.3075E-4</v>
      </c>
    </row>
    <row r="2322" spans="1:12" ht="15.35" hidden="1" x14ac:dyDescent="0.55000000000000004">
      <c r="A2322" s="20">
        <v>16784</v>
      </c>
      <c r="B2322" s="2" t="s">
        <v>176</v>
      </c>
      <c r="C2322" s="2" t="s">
        <v>177</v>
      </c>
      <c r="D2322" s="20">
        <v>0</v>
      </c>
      <c r="E2322" s="2" t="s">
        <v>838</v>
      </c>
      <c r="F2322" s="2" t="s">
        <v>793</v>
      </c>
      <c r="G2322" s="2" t="s">
        <v>2847</v>
      </c>
      <c r="H2322" s="2" t="s">
        <v>1270</v>
      </c>
      <c r="J2322" s="26"/>
      <c r="K2322" s="36">
        <v>2.2944E-4</v>
      </c>
      <c r="L2322" s="23">
        <v>2.2940000000000001E-5</v>
      </c>
    </row>
    <row r="2323" spans="1:12" ht="15.35" hidden="1" x14ac:dyDescent="0.55000000000000004">
      <c r="A2323" s="20">
        <v>16156</v>
      </c>
      <c r="B2323" s="2" t="s">
        <v>176</v>
      </c>
      <c r="C2323" s="2" t="s">
        <v>177</v>
      </c>
      <c r="D2323" s="20">
        <v>0</v>
      </c>
      <c r="E2323" s="2" t="s">
        <v>838</v>
      </c>
      <c r="F2323" s="2" t="s">
        <v>817</v>
      </c>
      <c r="G2323" s="2" t="s">
        <v>1030</v>
      </c>
      <c r="H2323" s="2" t="s">
        <v>1031</v>
      </c>
      <c r="J2323" s="26"/>
      <c r="K2323" s="36">
        <v>1.72875E-3</v>
      </c>
      <c r="L2323" s="23">
        <v>1.7286999999999999E-4</v>
      </c>
    </row>
    <row r="2324" spans="1:12" ht="15.35" hidden="1" x14ac:dyDescent="0.55000000000000004">
      <c r="A2324" s="20">
        <v>16289</v>
      </c>
      <c r="B2324" s="2" t="s">
        <v>176</v>
      </c>
      <c r="C2324" s="2" t="s">
        <v>177</v>
      </c>
      <c r="D2324" s="20">
        <v>0</v>
      </c>
      <c r="E2324" s="2" t="s">
        <v>838</v>
      </c>
      <c r="F2324" s="2" t="s">
        <v>817</v>
      </c>
      <c r="G2324" s="2" t="s">
        <v>2848</v>
      </c>
      <c r="H2324" s="2" t="s">
        <v>1031</v>
      </c>
      <c r="J2324" s="26"/>
      <c r="K2324" s="36">
        <v>1.72875E-3</v>
      </c>
      <c r="L2324" s="23">
        <v>1.7286999999999999E-4</v>
      </c>
    </row>
    <row r="2325" spans="1:12" ht="15.35" hidden="1" x14ac:dyDescent="0.55000000000000004">
      <c r="A2325" s="20">
        <v>16050</v>
      </c>
      <c r="B2325" s="2" t="s">
        <v>176</v>
      </c>
      <c r="C2325" s="2" t="s">
        <v>177</v>
      </c>
      <c r="D2325" s="20">
        <v>0</v>
      </c>
      <c r="E2325" s="2" t="s">
        <v>838</v>
      </c>
      <c r="F2325" s="2" t="s">
        <v>817</v>
      </c>
      <c r="G2325" s="2" t="s">
        <v>1274</v>
      </c>
      <c r="H2325" s="2" t="s">
        <v>1031</v>
      </c>
      <c r="J2325" s="26"/>
      <c r="K2325" s="36">
        <v>1.2579900000000001E-3</v>
      </c>
      <c r="L2325" s="23">
        <v>1.2579999999999999E-4</v>
      </c>
    </row>
    <row r="2326" spans="1:12" ht="15.35" hidden="1" x14ac:dyDescent="0.55000000000000004">
      <c r="A2326" s="20">
        <v>16217</v>
      </c>
      <c r="B2326" s="2" t="s">
        <v>176</v>
      </c>
      <c r="C2326" s="2" t="s">
        <v>177</v>
      </c>
      <c r="D2326" s="20">
        <v>0</v>
      </c>
      <c r="E2326" s="2" t="s">
        <v>838</v>
      </c>
      <c r="F2326" s="2" t="s">
        <v>793</v>
      </c>
      <c r="G2326" s="2" t="s">
        <v>2600</v>
      </c>
      <c r="H2326" s="2" t="s">
        <v>1276</v>
      </c>
      <c r="J2326" s="26"/>
      <c r="K2326" s="36">
        <v>5.9338999999999995E-4</v>
      </c>
      <c r="L2326" s="23">
        <v>5.9339999999999998E-5</v>
      </c>
    </row>
    <row r="2327" spans="1:12" ht="15.35" hidden="1" x14ac:dyDescent="0.55000000000000004">
      <c r="A2327" s="20">
        <v>16607</v>
      </c>
      <c r="B2327" s="2" t="s">
        <v>176</v>
      </c>
      <c r="C2327" s="2" t="s">
        <v>177</v>
      </c>
      <c r="D2327" s="20">
        <v>0</v>
      </c>
      <c r="E2327" s="2" t="s">
        <v>838</v>
      </c>
      <c r="F2327" s="2" t="s">
        <v>793</v>
      </c>
      <c r="G2327" s="2" t="s">
        <v>2849</v>
      </c>
      <c r="H2327" s="2" t="s">
        <v>1905</v>
      </c>
      <c r="J2327" s="26"/>
      <c r="K2327" s="36">
        <v>5.5382999999999995E-4</v>
      </c>
      <c r="L2327" s="23">
        <v>5.5380000000000002E-5</v>
      </c>
    </row>
    <row r="2328" spans="1:12" ht="15.35" hidden="1" x14ac:dyDescent="0.55000000000000004">
      <c r="A2328" s="20">
        <v>16078</v>
      </c>
      <c r="B2328" s="2" t="s">
        <v>176</v>
      </c>
      <c r="C2328" s="2" t="s">
        <v>177</v>
      </c>
      <c r="D2328" s="20">
        <v>0</v>
      </c>
      <c r="E2328" s="2" t="s">
        <v>838</v>
      </c>
      <c r="F2328" s="2" t="s">
        <v>787</v>
      </c>
      <c r="G2328" s="2" t="s">
        <v>1278</v>
      </c>
      <c r="H2328" s="2" t="s">
        <v>1278</v>
      </c>
      <c r="J2328" s="26"/>
      <c r="K2328" s="36">
        <v>8.3075200000000005E-3</v>
      </c>
      <c r="L2328" s="23">
        <v>8.3075E-4</v>
      </c>
    </row>
    <row r="2329" spans="1:12" ht="15.35" hidden="1" x14ac:dyDescent="0.55000000000000004">
      <c r="A2329" s="20">
        <v>16566</v>
      </c>
      <c r="B2329" s="2" t="s">
        <v>176</v>
      </c>
      <c r="C2329" s="2" t="s">
        <v>177</v>
      </c>
      <c r="D2329" s="20">
        <v>0</v>
      </c>
      <c r="E2329" s="2" t="s">
        <v>838</v>
      </c>
      <c r="F2329" s="2" t="s">
        <v>817</v>
      </c>
      <c r="G2329" s="2" t="s">
        <v>2850</v>
      </c>
      <c r="H2329" s="2" t="s">
        <v>1284</v>
      </c>
      <c r="J2329" s="26"/>
      <c r="K2329" s="36">
        <v>8.3075200000000005E-3</v>
      </c>
      <c r="L2329" s="23">
        <v>8.3075E-4</v>
      </c>
    </row>
    <row r="2330" spans="1:12" ht="15.35" hidden="1" x14ac:dyDescent="0.55000000000000004">
      <c r="A2330" s="20">
        <v>16314</v>
      </c>
      <c r="B2330" s="2" t="s">
        <v>176</v>
      </c>
      <c r="C2330" s="2" t="s">
        <v>177</v>
      </c>
      <c r="D2330" s="20">
        <v>0</v>
      </c>
      <c r="E2330" s="2" t="s">
        <v>838</v>
      </c>
      <c r="F2330" s="2" t="s">
        <v>817</v>
      </c>
      <c r="G2330" s="2" t="s">
        <v>2851</v>
      </c>
      <c r="H2330" s="2" t="s">
        <v>1284</v>
      </c>
      <c r="J2330" s="26"/>
      <c r="K2330" s="36">
        <v>5.9339400000000004E-3</v>
      </c>
      <c r="L2330" s="23">
        <v>5.9338999999999995E-4</v>
      </c>
    </row>
    <row r="2331" spans="1:12" ht="15.35" hidden="1" x14ac:dyDescent="0.55000000000000004">
      <c r="A2331" s="20">
        <v>16143</v>
      </c>
      <c r="B2331" s="2" t="s">
        <v>176</v>
      </c>
      <c r="C2331" s="2" t="s">
        <v>177</v>
      </c>
      <c r="D2331" s="20">
        <v>0</v>
      </c>
      <c r="E2331" s="2" t="s">
        <v>838</v>
      </c>
      <c r="F2331" s="2" t="s">
        <v>817</v>
      </c>
      <c r="G2331" s="2" t="s">
        <v>2852</v>
      </c>
      <c r="H2331" s="2" t="s">
        <v>1284</v>
      </c>
      <c r="J2331" s="26"/>
      <c r="K2331" s="36">
        <v>5.9338999999999995E-4</v>
      </c>
      <c r="L2331" s="23">
        <v>5.9339999999999998E-5</v>
      </c>
    </row>
    <row r="2332" spans="1:12" ht="15.35" hidden="1" x14ac:dyDescent="0.55000000000000004">
      <c r="A2332" s="20">
        <v>16575</v>
      </c>
      <c r="B2332" s="2" t="s">
        <v>176</v>
      </c>
      <c r="C2332" s="2" t="s">
        <v>177</v>
      </c>
      <c r="D2332" s="20">
        <v>0</v>
      </c>
      <c r="E2332" s="2" t="s">
        <v>838</v>
      </c>
      <c r="F2332" s="2" t="s">
        <v>789</v>
      </c>
      <c r="G2332" s="2" t="s">
        <v>2853</v>
      </c>
      <c r="H2332" s="2" t="s">
        <v>1909</v>
      </c>
      <c r="J2332" s="26"/>
      <c r="K2332" s="36">
        <v>1.47557E-3</v>
      </c>
      <c r="L2332" s="23">
        <v>1.4756E-4</v>
      </c>
    </row>
    <row r="2333" spans="1:12" ht="15.35" hidden="1" x14ac:dyDescent="0.55000000000000004">
      <c r="A2333" s="20">
        <v>16016</v>
      </c>
      <c r="B2333" s="2" t="s">
        <v>176</v>
      </c>
      <c r="C2333" s="2" t="s">
        <v>177</v>
      </c>
      <c r="D2333" s="20">
        <v>0</v>
      </c>
      <c r="E2333" s="2" t="s">
        <v>838</v>
      </c>
      <c r="F2333" s="2" t="s">
        <v>848</v>
      </c>
      <c r="G2333" s="2" t="s">
        <v>906</v>
      </c>
      <c r="H2333" s="2" t="s">
        <v>906</v>
      </c>
      <c r="J2333" s="26"/>
      <c r="K2333" s="36">
        <v>8.3075200000000005E-3</v>
      </c>
      <c r="L2333" s="23">
        <v>8.3075E-4</v>
      </c>
    </row>
    <row r="2334" spans="1:12" ht="15.35" hidden="1" x14ac:dyDescent="0.55000000000000004">
      <c r="A2334" s="20">
        <v>16335</v>
      </c>
      <c r="B2334" s="2" t="s">
        <v>176</v>
      </c>
      <c r="C2334" s="2" t="s">
        <v>177</v>
      </c>
      <c r="D2334" s="20">
        <v>0</v>
      </c>
      <c r="E2334" s="2" t="s">
        <v>838</v>
      </c>
      <c r="F2334" s="2" t="s">
        <v>793</v>
      </c>
      <c r="G2334" s="2" t="s">
        <v>2854</v>
      </c>
      <c r="H2334" s="2" t="s">
        <v>842</v>
      </c>
      <c r="J2334" s="26"/>
      <c r="K2334" s="36">
        <v>8.3075200000000005E-3</v>
      </c>
      <c r="L2334" s="23">
        <v>8.3075E-4</v>
      </c>
    </row>
    <row r="2335" spans="1:12" ht="15.35" hidden="1" x14ac:dyDescent="0.55000000000000004">
      <c r="A2335" s="20">
        <v>16785</v>
      </c>
      <c r="B2335" s="2" t="s">
        <v>176</v>
      </c>
      <c r="C2335" s="2" t="s">
        <v>177</v>
      </c>
      <c r="D2335" s="20">
        <v>0</v>
      </c>
      <c r="E2335" s="2" t="s">
        <v>838</v>
      </c>
      <c r="F2335" s="2" t="s">
        <v>793</v>
      </c>
      <c r="G2335" s="2" t="s">
        <v>842</v>
      </c>
      <c r="H2335" s="2" t="s">
        <v>842</v>
      </c>
      <c r="J2335" s="26"/>
      <c r="K2335" s="36">
        <v>8.3075200000000005E-3</v>
      </c>
      <c r="L2335" s="23">
        <v>8.3075E-4</v>
      </c>
    </row>
    <row r="2336" spans="1:12" ht="15.35" hidden="1" x14ac:dyDescent="0.55000000000000004">
      <c r="A2336" s="20">
        <v>16606</v>
      </c>
      <c r="B2336" s="2" t="s">
        <v>176</v>
      </c>
      <c r="C2336" s="2" t="s">
        <v>177</v>
      </c>
      <c r="D2336" s="20">
        <v>0</v>
      </c>
      <c r="E2336" s="2" t="s">
        <v>838</v>
      </c>
      <c r="F2336" s="2" t="s">
        <v>817</v>
      </c>
      <c r="G2336" s="2" t="s">
        <v>1921</v>
      </c>
      <c r="H2336" s="2" t="s">
        <v>1921</v>
      </c>
      <c r="J2336" s="26"/>
      <c r="K2336" s="36">
        <v>1.81974E-3</v>
      </c>
      <c r="L2336" s="23">
        <v>1.8196999999999999E-4</v>
      </c>
    </row>
    <row r="2337" spans="1:12" ht="15.35" hidden="1" x14ac:dyDescent="0.55000000000000004">
      <c r="A2337" s="20">
        <v>16242</v>
      </c>
      <c r="B2337" s="2" t="s">
        <v>176</v>
      </c>
      <c r="C2337" s="2" t="s">
        <v>177</v>
      </c>
      <c r="D2337" s="20">
        <v>0</v>
      </c>
      <c r="E2337" s="2" t="s">
        <v>838</v>
      </c>
      <c r="F2337" s="2" t="s">
        <v>817</v>
      </c>
      <c r="G2337" s="2" t="s">
        <v>2855</v>
      </c>
      <c r="H2337" s="2" t="s">
        <v>1921</v>
      </c>
      <c r="J2337" s="26"/>
      <c r="K2337" s="36">
        <v>1.1867E-4</v>
      </c>
      <c r="L2337" s="23">
        <v>1.187E-5</v>
      </c>
    </row>
    <row r="2338" spans="1:12" ht="15.35" hidden="1" x14ac:dyDescent="0.55000000000000004">
      <c r="A2338" s="20">
        <v>16782</v>
      </c>
      <c r="B2338" s="2" t="s">
        <v>176</v>
      </c>
      <c r="C2338" s="2" t="s">
        <v>177</v>
      </c>
      <c r="D2338" s="20">
        <v>0</v>
      </c>
      <c r="E2338" s="2" t="s">
        <v>838</v>
      </c>
      <c r="F2338" s="2" t="s">
        <v>817</v>
      </c>
      <c r="G2338" s="2" t="s">
        <v>2856</v>
      </c>
      <c r="H2338" s="2" t="s">
        <v>1921</v>
      </c>
      <c r="J2338" s="26"/>
      <c r="K2338" s="36">
        <v>1.1076E-4</v>
      </c>
      <c r="L2338" s="23">
        <v>1.1080000000000001E-5</v>
      </c>
    </row>
    <row r="2339" spans="1:12" ht="15.35" hidden="1" x14ac:dyDescent="0.55000000000000004">
      <c r="A2339" s="20">
        <v>16482</v>
      </c>
      <c r="B2339" s="2" t="s">
        <v>176</v>
      </c>
      <c r="C2339" s="2" t="s">
        <v>177</v>
      </c>
      <c r="D2339" s="20">
        <v>0</v>
      </c>
      <c r="E2339" s="2" t="s">
        <v>838</v>
      </c>
      <c r="F2339" s="2" t="s">
        <v>817</v>
      </c>
      <c r="G2339" s="2" t="s">
        <v>2857</v>
      </c>
      <c r="H2339" s="2" t="s">
        <v>1921</v>
      </c>
      <c r="J2339" s="26"/>
      <c r="K2339" s="36">
        <v>6.8042000000000005E-4</v>
      </c>
      <c r="L2339" s="23">
        <v>6.8040000000000006E-5</v>
      </c>
    </row>
    <row r="2340" spans="1:12" ht="15.35" hidden="1" x14ac:dyDescent="0.55000000000000004">
      <c r="A2340" s="20">
        <v>16332</v>
      </c>
      <c r="B2340" s="2" t="s">
        <v>176</v>
      </c>
      <c r="C2340" s="2" t="s">
        <v>177</v>
      </c>
      <c r="D2340" s="20">
        <v>0</v>
      </c>
      <c r="E2340" s="2" t="s">
        <v>838</v>
      </c>
      <c r="F2340" s="2" t="s">
        <v>817</v>
      </c>
      <c r="G2340" s="2" t="s">
        <v>2858</v>
      </c>
      <c r="H2340" s="2" t="s">
        <v>1921</v>
      </c>
      <c r="J2340" s="26"/>
      <c r="K2340" s="36">
        <v>6.8042000000000005E-4</v>
      </c>
      <c r="L2340" s="23">
        <v>6.8040000000000006E-5</v>
      </c>
    </row>
    <row r="2341" spans="1:12" ht="15.35" hidden="1" x14ac:dyDescent="0.55000000000000004">
      <c r="A2341" s="20">
        <v>15922</v>
      </c>
      <c r="B2341" s="2" t="s">
        <v>176</v>
      </c>
      <c r="C2341" s="2" t="s">
        <v>177</v>
      </c>
      <c r="D2341" s="20">
        <v>0</v>
      </c>
      <c r="E2341" s="2" t="s">
        <v>838</v>
      </c>
      <c r="F2341" s="2" t="s">
        <v>817</v>
      </c>
      <c r="G2341" s="2" t="s">
        <v>2859</v>
      </c>
      <c r="H2341" s="2" t="s">
        <v>1921</v>
      </c>
      <c r="J2341" s="26"/>
      <c r="K2341" s="36">
        <v>6.8042000000000005E-4</v>
      </c>
      <c r="L2341" s="23">
        <v>6.8040000000000006E-5</v>
      </c>
    </row>
    <row r="2342" spans="1:12" ht="15.35" hidden="1" x14ac:dyDescent="0.55000000000000004">
      <c r="A2342" s="20">
        <v>16187</v>
      </c>
      <c r="B2342" s="2" t="s">
        <v>176</v>
      </c>
      <c r="C2342" s="2" t="s">
        <v>177</v>
      </c>
      <c r="D2342" s="20">
        <v>0</v>
      </c>
      <c r="E2342" s="2" t="s">
        <v>838</v>
      </c>
      <c r="F2342" s="2" t="s">
        <v>817</v>
      </c>
      <c r="G2342" s="2" t="s">
        <v>2860</v>
      </c>
      <c r="H2342" s="2" t="s">
        <v>1921</v>
      </c>
      <c r="J2342" s="26"/>
      <c r="K2342" s="36">
        <v>6.8042000000000005E-4</v>
      </c>
      <c r="L2342" s="23">
        <v>6.8040000000000006E-5</v>
      </c>
    </row>
    <row r="2343" spans="1:12" ht="15.35" hidden="1" x14ac:dyDescent="0.55000000000000004">
      <c r="A2343" s="20">
        <v>16031</v>
      </c>
      <c r="B2343" s="2" t="s">
        <v>176</v>
      </c>
      <c r="C2343" s="2" t="s">
        <v>177</v>
      </c>
      <c r="D2343" s="20">
        <v>0</v>
      </c>
      <c r="E2343" s="2" t="s">
        <v>838</v>
      </c>
      <c r="F2343" s="2" t="s">
        <v>817</v>
      </c>
      <c r="G2343" s="2" t="s">
        <v>2861</v>
      </c>
      <c r="H2343" s="2" t="s">
        <v>1921</v>
      </c>
      <c r="J2343" s="26"/>
      <c r="K2343" s="36">
        <v>6.8042000000000005E-4</v>
      </c>
      <c r="L2343" s="23">
        <v>6.8040000000000006E-5</v>
      </c>
    </row>
    <row r="2344" spans="1:12" ht="15.35" hidden="1" x14ac:dyDescent="0.55000000000000004">
      <c r="A2344" s="20">
        <v>15967</v>
      </c>
      <c r="B2344" s="2" t="s">
        <v>176</v>
      </c>
      <c r="C2344" s="2" t="s">
        <v>177</v>
      </c>
      <c r="D2344" s="20">
        <v>0</v>
      </c>
      <c r="E2344" s="2" t="s">
        <v>838</v>
      </c>
      <c r="F2344" s="2" t="s">
        <v>817</v>
      </c>
      <c r="G2344" s="2" t="s">
        <v>2862</v>
      </c>
      <c r="H2344" s="2" t="s">
        <v>1921</v>
      </c>
      <c r="J2344" s="26"/>
      <c r="K2344" s="36">
        <v>6.8042000000000005E-4</v>
      </c>
      <c r="L2344" s="23">
        <v>6.8040000000000006E-5</v>
      </c>
    </row>
    <row r="2345" spans="1:12" ht="15.35" hidden="1" x14ac:dyDescent="0.55000000000000004">
      <c r="A2345" s="20">
        <v>16209</v>
      </c>
      <c r="B2345" s="2" t="s">
        <v>176</v>
      </c>
      <c r="C2345" s="2" t="s">
        <v>177</v>
      </c>
      <c r="D2345" s="20">
        <v>0</v>
      </c>
      <c r="E2345" s="2" t="s">
        <v>838</v>
      </c>
      <c r="F2345" s="2" t="s">
        <v>817</v>
      </c>
      <c r="G2345" s="2" t="s">
        <v>2863</v>
      </c>
      <c r="H2345" s="2" t="s">
        <v>1921</v>
      </c>
      <c r="J2345" s="26"/>
      <c r="K2345" s="36">
        <v>6.8042000000000005E-4</v>
      </c>
      <c r="L2345" s="23">
        <v>6.8040000000000006E-5</v>
      </c>
    </row>
    <row r="2346" spans="1:12" ht="15.35" hidden="1" x14ac:dyDescent="0.55000000000000004">
      <c r="A2346" s="20">
        <v>16126</v>
      </c>
      <c r="B2346" s="2" t="s">
        <v>176</v>
      </c>
      <c r="C2346" s="2" t="s">
        <v>177</v>
      </c>
      <c r="D2346" s="20">
        <v>0</v>
      </c>
      <c r="E2346" s="2" t="s">
        <v>838</v>
      </c>
      <c r="F2346" s="2" t="s">
        <v>817</v>
      </c>
      <c r="G2346" s="2" t="s">
        <v>2864</v>
      </c>
      <c r="H2346" s="2" t="s">
        <v>1921</v>
      </c>
      <c r="J2346" s="26"/>
      <c r="K2346" s="36">
        <v>6.8042000000000005E-4</v>
      </c>
      <c r="L2346" s="23">
        <v>6.8040000000000006E-5</v>
      </c>
    </row>
    <row r="2347" spans="1:12" ht="15.35" hidden="1" x14ac:dyDescent="0.55000000000000004">
      <c r="A2347" s="20">
        <v>15995</v>
      </c>
      <c r="B2347" s="2" t="s">
        <v>176</v>
      </c>
      <c r="C2347" s="2" t="s">
        <v>177</v>
      </c>
      <c r="D2347" s="20">
        <v>0</v>
      </c>
      <c r="E2347" s="2" t="s">
        <v>838</v>
      </c>
      <c r="F2347" s="2" t="s">
        <v>817</v>
      </c>
      <c r="G2347" s="2" t="s">
        <v>2865</v>
      </c>
      <c r="H2347" s="2" t="s">
        <v>1921</v>
      </c>
      <c r="J2347" s="26"/>
      <c r="K2347" s="36">
        <v>1.1076E-4</v>
      </c>
      <c r="L2347" s="23">
        <v>1.1080000000000001E-5</v>
      </c>
    </row>
    <row r="2348" spans="1:12" ht="15.35" hidden="1" x14ac:dyDescent="0.55000000000000004">
      <c r="A2348" s="20">
        <v>16420</v>
      </c>
      <c r="B2348" s="2" t="s">
        <v>176</v>
      </c>
      <c r="C2348" s="2" t="s">
        <v>177</v>
      </c>
      <c r="D2348" s="20">
        <v>0</v>
      </c>
      <c r="E2348" s="2" t="s">
        <v>838</v>
      </c>
      <c r="F2348" s="2" t="s">
        <v>793</v>
      </c>
      <c r="G2348" s="2" t="s">
        <v>2866</v>
      </c>
      <c r="H2348" s="2" t="s">
        <v>2867</v>
      </c>
      <c r="J2348" s="26"/>
      <c r="K2348" s="36">
        <v>1.1867E-4</v>
      </c>
      <c r="L2348" s="23">
        <v>1.187E-5</v>
      </c>
    </row>
    <row r="2349" spans="1:12" ht="15.35" hidden="1" x14ac:dyDescent="0.55000000000000004">
      <c r="A2349" s="20">
        <v>16513</v>
      </c>
      <c r="B2349" s="2" t="s">
        <v>176</v>
      </c>
      <c r="C2349" s="2" t="s">
        <v>177</v>
      </c>
      <c r="D2349" s="20">
        <v>0</v>
      </c>
      <c r="E2349" s="2" t="s">
        <v>838</v>
      </c>
      <c r="F2349" s="2" t="s">
        <v>789</v>
      </c>
      <c r="G2349" s="2" t="s">
        <v>1922</v>
      </c>
      <c r="H2349" s="2" t="s">
        <v>1923</v>
      </c>
      <c r="J2349" s="26"/>
      <c r="K2349" s="36">
        <v>4.5097899999999996E-3</v>
      </c>
      <c r="L2349" s="23">
        <v>4.5098000000000002E-4</v>
      </c>
    </row>
    <row r="2350" spans="1:12" ht="15.35" hidden="1" x14ac:dyDescent="0.55000000000000004">
      <c r="A2350" s="20">
        <v>16028</v>
      </c>
      <c r="B2350" s="2" t="s">
        <v>176</v>
      </c>
      <c r="C2350" s="2" t="s">
        <v>177</v>
      </c>
      <c r="D2350" s="20">
        <v>0</v>
      </c>
      <c r="E2350" s="2" t="s">
        <v>838</v>
      </c>
      <c r="F2350" s="2" t="s">
        <v>789</v>
      </c>
      <c r="G2350" s="2" t="s">
        <v>1038</v>
      </c>
      <c r="H2350" s="2" t="s">
        <v>1039</v>
      </c>
      <c r="J2350" s="26"/>
      <c r="K2350" s="36">
        <v>3.5999199999999999E-3</v>
      </c>
      <c r="L2350" s="23">
        <v>3.5998999999999997E-4</v>
      </c>
    </row>
    <row r="2351" spans="1:12" ht="15.35" hidden="1" x14ac:dyDescent="0.55000000000000004">
      <c r="A2351" s="20">
        <v>16355</v>
      </c>
      <c r="B2351" s="2" t="s">
        <v>176</v>
      </c>
      <c r="C2351" s="2" t="s">
        <v>177</v>
      </c>
      <c r="D2351" s="20">
        <v>0</v>
      </c>
      <c r="E2351" s="2" t="s">
        <v>838</v>
      </c>
      <c r="F2351" s="2" t="s">
        <v>789</v>
      </c>
      <c r="G2351" s="2" t="s">
        <v>2868</v>
      </c>
      <c r="H2351" s="2" t="s">
        <v>1295</v>
      </c>
      <c r="J2351" s="26"/>
      <c r="K2351" s="36">
        <v>3.0658700000000001E-3</v>
      </c>
      <c r="L2351" s="23">
        <v>3.0658999999999998E-4</v>
      </c>
    </row>
    <row r="2352" spans="1:12" ht="15.35" hidden="1" x14ac:dyDescent="0.55000000000000004">
      <c r="A2352" s="20">
        <v>16212</v>
      </c>
      <c r="B2352" s="2" t="s">
        <v>176</v>
      </c>
      <c r="C2352" s="2" t="s">
        <v>177</v>
      </c>
      <c r="D2352" s="20">
        <v>0</v>
      </c>
      <c r="E2352" s="2" t="s">
        <v>838</v>
      </c>
      <c r="F2352" s="2" t="s">
        <v>798</v>
      </c>
      <c r="G2352" s="2" t="s">
        <v>2869</v>
      </c>
      <c r="H2352" s="2" t="s">
        <v>1184</v>
      </c>
      <c r="J2352" s="26"/>
      <c r="K2352" s="36">
        <v>2.38544E-3</v>
      </c>
      <c r="L2352" s="23">
        <v>2.3854E-4</v>
      </c>
    </row>
    <row r="2353" spans="1:12" ht="15.35" hidden="1" x14ac:dyDescent="0.55000000000000004">
      <c r="A2353" s="20">
        <v>16767</v>
      </c>
      <c r="B2353" s="2" t="s">
        <v>176</v>
      </c>
      <c r="C2353" s="2" t="s">
        <v>177</v>
      </c>
      <c r="D2353" s="20">
        <v>0</v>
      </c>
      <c r="E2353" s="2" t="s">
        <v>838</v>
      </c>
      <c r="F2353" s="2" t="s">
        <v>798</v>
      </c>
      <c r="G2353" s="2" t="s">
        <v>2870</v>
      </c>
      <c r="H2353" s="2" t="s">
        <v>1184</v>
      </c>
      <c r="J2353" s="26"/>
      <c r="K2353" s="36">
        <v>2.61093E-3</v>
      </c>
      <c r="L2353" s="23">
        <v>2.6109000000000001E-4</v>
      </c>
    </row>
    <row r="2354" spans="1:12" ht="15.35" hidden="1" x14ac:dyDescent="0.55000000000000004">
      <c r="A2354" s="20">
        <v>16142</v>
      </c>
      <c r="B2354" s="2" t="s">
        <v>176</v>
      </c>
      <c r="C2354" s="2" t="s">
        <v>177</v>
      </c>
      <c r="D2354" s="20">
        <v>0</v>
      </c>
      <c r="E2354" s="2" t="s">
        <v>838</v>
      </c>
      <c r="F2354" s="2" t="s">
        <v>793</v>
      </c>
      <c r="G2354" s="2" t="s">
        <v>2871</v>
      </c>
      <c r="H2354" s="2" t="s">
        <v>1184</v>
      </c>
      <c r="J2354" s="26"/>
      <c r="K2354" s="36">
        <v>5.45131E-3</v>
      </c>
      <c r="L2354" s="23">
        <v>5.4513000000000001E-4</v>
      </c>
    </row>
    <row r="2355" spans="1:12" ht="15.35" hidden="1" x14ac:dyDescent="0.55000000000000004">
      <c r="A2355" s="20">
        <v>15932</v>
      </c>
      <c r="B2355" s="2" t="s">
        <v>176</v>
      </c>
      <c r="C2355" s="2" t="s">
        <v>177</v>
      </c>
      <c r="D2355" s="20">
        <v>0</v>
      </c>
      <c r="E2355" s="2" t="s">
        <v>838</v>
      </c>
      <c r="F2355" s="2" t="s">
        <v>793</v>
      </c>
      <c r="G2355" s="2" t="s">
        <v>2872</v>
      </c>
      <c r="H2355" s="2" t="s">
        <v>1184</v>
      </c>
      <c r="J2355" s="26"/>
      <c r="K2355" s="36">
        <v>3.41004E-3</v>
      </c>
      <c r="L2355" s="23">
        <v>3.4099999999999999E-4</v>
      </c>
    </row>
    <row r="2356" spans="1:12" ht="15.35" hidden="1" x14ac:dyDescent="0.55000000000000004">
      <c r="A2356" s="20">
        <v>16368</v>
      </c>
      <c r="B2356" s="2" t="s">
        <v>176</v>
      </c>
      <c r="C2356" s="2" t="s">
        <v>177</v>
      </c>
      <c r="D2356" s="20">
        <v>0</v>
      </c>
      <c r="E2356" s="2" t="s">
        <v>838</v>
      </c>
      <c r="F2356" s="2" t="s">
        <v>793</v>
      </c>
      <c r="G2356" s="2" t="s">
        <v>2873</v>
      </c>
      <c r="H2356" s="2" t="s">
        <v>975</v>
      </c>
      <c r="J2356" s="26"/>
      <c r="K2356" s="36">
        <v>3.20828E-3</v>
      </c>
      <c r="L2356" s="23">
        <v>3.2082999999999998E-4</v>
      </c>
    </row>
    <row r="2357" spans="1:12" ht="15.35" hidden="1" x14ac:dyDescent="0.55000000000000004">
      <c r="A2357" s="20">
        <v>15933</v>
      </c>
      <c r="B2357" s="2" t="s">
        <v>176</v>
      </c>
      <c r="C2357" s="2" t="s">
        <v>177</v>
      </c>
      <c r="D2357" s="20">
        <v>0</v>
      </c>
      <c r="E2357" s="2" t="s">
        <v>838</v>
      </c>
      <c r="F2357" s="2" t="s">
        <v>787</v>
      </c>
      <c r="G2357" s="2" t="s">
        <v>975</v>
      </c>
      <c r="H2357" s="2" t="s">
        <v>975</v>
      </c>
      <c r="J2357" s="26"/>
      <c r="K2357" s="36">
        <v>8.3075200000000005E-3</v>
      </c>
      <c r="L2357" s="23">
        <v>8.3075E-4</v>
      </c>
    </row>
    <row r="2358" spans="1:12" ht="15.35" x14ac:dyDescent="0.55000000000000004">
      <c r="A2358" s="20">
        <v>16176</v>
      </c>
      <c r="B2358" s="2" t="s">
        <v>176</v>
      </c>
      <c r="C2358" s="2" t="s">
        <v>177</v>
      </c>
      <c r="D2358" s="20">
        <v>0</v>
      </c>
      <c r="E2358" s="2" t="s">
        <v>838</v>
      </c>
      <c r="F2358" s="2" t="s">
        <v>793</v>
      </c>
      <c r="G2358" s="2" t="s">
        <v>2874</v>
      </c>
      <c r="J2358" s="26"/>
      <c r="K2358" s="36">
        <v>7.4766999999999998E-4</v>
      </c>
      <c r="L2358" s="23">
        <v>7.4770000000000004E-5</v>
      </c>
    </row>
    <row r="2359" spans="1:12" ht="15.35" hidden="1" x14ac:dyDescent="0.55000000000000004">
      <c r="A2359" s="20">
        <v>15929</v>
      </c>
      <c r="B2359" s="2" t="s">
        <v>176</v>
      </c>
      <c r="C2359" s="2" t="s">
        <v>177</v>
      </c>
      <c r="D2359" s="20">
        <v>0</v>
      </c>
      <c r="E2359" s="2" t="s">
        <v>838</v>
      </c>
      <c r="F2359" s="2" t="s">
        <v>848</v>
      </c>
      <c r="G2359" s="2" t="s">
        <v>1042</v>
      </c>
      <c r="H2359" s="2" t="s">
        <v>1042</v>
      </c>
      <c r="J2359" s="26"/>
      <c r="K2359" s="36">
        <v>5.68076E-3</v>
      </c>
      <c r="L2359" s="23">
        <v>5.6808E-4</v>
      </c>
    </row>
    <row r="2360" spans="1:12" ht="15.35" hidden="1" x14ac:dyDescent="0.55000000000000004">
      <c r="A2360" s="20">
        <v>16469</v>
      </c>
      <c r="B2360" s="2" t="s">
        <v>176</v>
      </c>
      <c r="C2360" s="2" t="s">
        <v>177</v>
      </c>
      <c r="D2360" s="20">
        <v>0</v>
      </c>
      <c r="E2360" s="2" t="s">
        <v>838</v>
      </c>
      <c r="F2360" s="2" t="s">
        <v>793</v>
      </c>
      <c r="G2360" s="2" t="s">
        <v>2875</v>
      </c>
      <c r="H2360" s="2" t="s">
        <v>2876</v>
      </c>
      <c r="J2360" s="26"/>
      <c r="K2360" s="36">
        <v>6.3294999999999996E-4</v>
      </c>
      <c r="L2360" s="23">
        <v>6.3299999999999994E-5</v>
      </c>
    </row>
    <row r="2361" spans="1:12" ht="15.35" hidden="1" x14ac:dyDescent="0.55000000000000004">
      <c r="A2361" s="20">
        <v>16042</v>
      </c>
      <c r="B2361" s="2" t="s">
        <v>176</v>
      </c>
      <c r="C2361" s="2" t="s">
        <v>177</v>
      </c>
      <c r="D2361" s="20">
        <v>0</v>
      </c>
      <c r="E2361" s="2" t="s">
        <v>838</v>
      </c>
      <c r="F2361" s="2" t="s">
        <v>793</v>
      </c>
      <c r="G2361" s="2" t="s">
        <v>2877</v>
      </c>
      <c r="H2361" s="2" t="s">
        <v>2878</v>
      </c>
      <c r="J2361" s="26"/>
      <c r="K2361" s="36">
        <v>5.1427000000000005E-4</v>
      </c>
      <c r="L2361" s="23">
        <v>5.1430000000000001E-5</v>
      </c>
    </row>
    <row r="2362" spans="1:12" ht="15.35" x14ac:dyDescent="0.55000000000000004">
      <c r="A2362" s="20">
        <v>16286</v>
      </c>
      <c r="B2362" s="2" t="s">
        <v>176</v>
      </c>
      <c r="C2362" s="2" t="s">
        <v>177</v>
      </c>
      <c r="D2362" s="20">
        <v>0</v>
      </c>
      <c r="E2362" s="2" t="s">
        <v>838</v>
      </c>
      <c r="F2362" s="2" t="s">
        <v>793</v>
      </c>
      <c r="G2362" s="2" t="s">
        <v>2879</v>
      </c>
      <c r="J2362" s="26"/>
      <c r="K2362" s="36">
        <v>1.1076E-4</v>
      </c>
      <c r="L2362" s="23">
        <v>1.1080000000000001E-5</v>
      </c>
    </row>
    <row r="2363" spans="1:12" ht="15.35" hidden="1" x14ac:dyDescent="0.55000000000000004">
      <c r="A2363" s="20">
        <v>16660</v>
      </c>
      <c r="B2363" s="2" t="s">
        <v>176</v>
      </c>
      <c r="C2363" s="2" t="s">
        <v>177</v>
      </c>
      <c r="D2363" s="20">
        <v>0</v>
      </c>
      <c r="E2363" s="2" t="s">
        <v>838</v>
      </c>
      <c r="F2363" s="2" t="s">
        <v>793</v>
      </c>
      <c r="G2363" s="2" t="s">
        <v>2880</v>
      </c>
      <c r="H2363" s="2" t="s">
        <v>2881</v>
      </c>
      <c r="J2363" s="26"/>
      <c r="K2363" s="36">
        <v>6.8161200000000002E-3</v>
      </c>
      <c r="L2363" s="23">
        <v>6.8161000000000003E-4</v>
      </c>
    </row>
    <row r="2364" spans="1:12" ht="15.35" hidden="1" x14ac:dyDescent="0.55000000000000004">
      <c r="A2364" s="20">
        <v>16249</v>
      </c>
      <c r="B2364" s="2" t="s">
        <v>176</v>
      </c>
      <c r="C2364" s="2" t="s">
        <v>177</v>
      </c>
      <c r="D2364" s="20">
        <v>0</v>
      </c>
      <c r="E2364" s="2" t="s">
        <v>838</v>
      </c>
      <c r="F2364" s="2" t="s">
        <v>817</v>
      </c>
      <c r="G2364" s="2" t="s">
        <v>2614</v>
      </c>
      <c r="H2364" s="2" t="s">
        <v>802</v>
      </c>
      <c r="J2364" s="26"/>
      <c r="K2364" s="36">
        <v>1.7010599999999999E-3</v>
      </c>
      <c r="L2364" s="23">
        <v>1.7011000000000001E-4</v>
      </c>
    </row>
    <row r="2365" spans="1:12" ht="15.35" hidden="1" x14ac:dyDescent="0.55000000000000004">
      <c r="A2365" s="20">
        <v>16774</v>
      </c>
      <c r="B2365" s="2" t="s">
        <v>176</v>
      </c>
      <c r="C2365" s="2" t="s">
        <v>177</v>
      </c>
      <c r="D2365" s="20">
        <v>0</v>
      </c>
      <c r="E2365" s="2" t="s">
        <v>838</v>
      </c>
      <c r="F2365" s="2" t="s">
        <v>798</v>
      </c>
      <c r="G2365" s="2" t="s">
        <v>801</v>
      </c>
      <c r="H2365" s="2" t="s">
        <v>802</v>
      </c>
      <c r="J2365" s="26"/>
      <c r="K2365" s="36">
        <v>1.5902900000000001E-3</v>
      </c>
      <c r="L2365" s="23">
        <v>1.5903E-4</v>
      </c>
    </row>
    <row r="2366" spans="1:12" ht="15.35" hidden="1" x14ac:dyDescent="0.55000000000000004">
      <c r="A2366" s="20">
        <v>15973</v>
      </c>
      <c r="B2366" s="2" t="s">
        <v>176</v>
      </c>
      <c r="C2366" s="2" t="s">
        <v>177</v>
      </c>
      <c r="D2366" s="20">
        <v>0</v>
      </c>
      <c r="E2366" s="2" t="s">
        <v>838</v>
      </c>
      <c r="F2366" s="2" t="s">
        <v>798</v>
      </c>
      <c r="G2366" s="2" t="s">
        <v>2882</v>
      </c>
      <c r="H2366" s="2" t="s">
        <v>802</v>
      </c>
      <c r="J2366" s="26"/>
      <c r="K2366" s="36">
        <v>5.6570000000000004E-4</v>
      </c>
      <c r="L2366" s="23">
        <v>5.6570000000000002E-5</v>
      </c>
    </row>
    <row r="2367" spans="1:12" ht="15.35" hidden="1" x14ac:dyDescent="0.55000000000000004">
      <c r="A2367" s="20">
        <v>16732</v>
      </c>
      <c r="B2367" s="2" t="s">
        <v>176</v>
      </c>
      <c r="C2367" s="2" t="s">
        <v>177</v>
      </c>
      <c r="D2367" s="20">
        <v>0</v>
      </c>
      <c r="E2367" s="2" t="s">
        <v>838</v>
      </c>
      <c r="F2367" s="2" t="s">
        <v>793</v>
      </c>
      <c r="G2367" s="2" t="s">
        <v>2883</v>
      </c>
      <c r="H2367" s="2" t="s">
        <v>802</v>
      </c>
      <c r="J2367" s="26"/>
      <c r="K2367" s="36">
        <v>6.8161200000000002E-3</v>
      </c>
      <c r="L2367" s="23">
        <v>6.8161000000000003E-4</v>
      </c>
    </row>
    <row r="2368" spans="1:12" ht="15.35" hidden="1" x14ac:dyDescent="0.55000000000000004">
      <c r="A2368" s="20">
        <v>16570</v>
      </c>
      <c r="B2368" s="2" t="s">
        <v>176</v>
      </c>
      <c r="C2368" s="2" t="s">
        <v>177</v>
      </c>
      <c r="D2368" s="20">
        <v>0</v>
      </c>
      <c r="E2368" s="2" t="s">
        <v>838</v>
      </c>
      <c r="F2368" s="2" t="s">
        <v>789</v>
      </c>
      <c r="G2368" s="2" t="s">
        <v>2884</v>
      </c>
      <c r="H2368" s="2" t="s">
        <v>1315</v>
      </c>
      <c r="J2368" s="26"/>
      <c r="K2368" s="36">
        <v>2.17578E-3</v>
      </c>
      <c r="L2368" s="23">
        <v>2.1757999999999999E-4</v>
      </c>
    </row>
    <row r="2369" spans="1:12" ht="15.35" hidden="1" x14ac:dyDescent="0.55000000000000004">
      <c r="A2369" s="20">
        <v>16637</v>
      </c>
      <c r="B2369" s="2" t="s">
        <v>176</v>
      </c>
      <c r="C2369" s="2" t="s">
        <v>177</v>
      </c>
      <c r="D2369" s="20">
        <v>0</v>
      </c>
      <c r="E2369" s="2" t="s">
        <v>838</v>
      </c>
      <c r="F2369" s="2" t="s">
        <v>789</v>
      </c>
      <c r="G2369" s="2" t="s">
        <v>1316</v>
      </c>
      <c r="H2369" s="2" t="s">
        <v>1315</v>
      </c>
      <c r="J2369" s="26"/>
      <c r="K2369" s="36">
        <v>8.3075200000000005E-3</v>
      </c>
      <c r="L2369" s="23">
        <v>8.3075E-4</v>
      </c>
    </row>
    <row r="2370" spans="1:12" ht="15.35" hidden="1" x14ac:dyDescent="0.55000000000000004">
      <c r="A2370" s="20">
        <v>16338</v>
      </c>
      <c r="B2370" s="2" t="s">
        <v>176</v>
      </c>
      <c r="C2370" s="2" t="s">
        <v>177</v>
      </c>
      <c r="D2370" s="20">
        <v>0</v>
      </c>
      <c r="E2370" s="2" t="s">
        <v>838</v>
      </c>
      <c r="F2370" s="2" t="s">
        <v>789</v>
      </c>
      <c r="G2370" s="2" t="s">
        <v>1317</v>
      </c>
      <c r="H2370" s="2" t="s">
        <v>1315</v>
      </c>
      <c r="J2370" s="26"/>
      <c r="K2370" s="36">
        <v>5.9338999999999995E-4</v>
      </c>
      <c r="L2370" s="23">
        <v>5.9339999999999998E-5</v>
      </c>
    </row>
    <row r="2371" spans="1:12" ht="15.35" hidden="1" x14ac:dyDescent="0.55000000000000004">
      <c r="A2371" s="20">
        <v>16281</v>
      </c>
      <c r="B2371" s="2" t="s">
        <v>176</v>
      </c>
      <c r="C2371" s="2" t="s">
        <v>177</v>
      </c>
      <c r="D2371" s="20">
        <v>0</v>
      </c>
      <c r="E2371" s="2" t="s">
        <v>838</v>
      </c>
      <c r="F2371" s="2" t="s">
        <v>789</v>
      </c>
      <c r="G2371" s="2" t="s">
        <v>1318</v>
      </c>
      <c r="H2371" s="2" t="s">
        <v>1315</v>
      </c>
      <c r="J2371" s="26"/>
      <c r="K2371" s="36">
        <v>8.3075200000000005E-3</v>
      </c>
      <c r="L2371" s="23">
        <v>8.3075E-4</v>
      </c>
    </row>
    <row r="2372" spans="1:12" ht="15.35" hidden="1" x14ac:dyDescent="0.55000000000000004">
      <c r="A2372" s="20">
        <v>16576</v>
      </c>
      <c r="B2372" s="2" t="s">
        <v>176</v>
      </c>
      <c r="C2372" s="2" t="s">
        <v>177</v>
      </c>
      <c r="D2372" s="20">
        <v>0</v>
      </c>
      <c r="E2372" s="2" t="s">
        <v>838</v>
      </c>
      <c r="F2372" s="2" t="s">
        <v>789</v>
      </c>
      <c r="G2372" s="2" t="s">
        <v>1319</v>
      </c>
      <c r="H2372" s="2" t="s">
        <v>1315</v>
      </c>
      <c r="J2372" s="26"/>
      <c r="K2372" s="36">
        <v>8.3075200000000005E-3</v>
      </c>
      <c r="L2372" s="23">
        <v>8.3075E-4</v>
      </c>
    </row>
    <row r="2373" spans="1:12" ht="15.35" hidden="1" x14ac:dyDescent="0.55000000000000004">
      <c r="A2373" s="20">
        <v>16228</v>
      </c>
      <c r="B2373" s="2" t="s">
        <v>176</v>
      </c>
      <c r="C2373" s="2" t="s">
        <v>177</v>
      </c>
      <c r="D2373" s="20">
        <v>0</v>
      </c>
      <c r="E2373" s="2" t="s">
        <v>838</v>
      </c>
      <c r="F2373" s="2" t="s">
        <v>789</v>
      </c>
      <c r="G2373" s="2" t="s">
        <v>1320</v>
      </c>
      <c r="H2373" s="2" t="s">
        <v>1315</v>
      </c>
      <c r="J2373" s="26"/>
      <c r="K2373" s="36">
        <v>8.3075200000000005E-3</v>
      </c>
      <c r="L2373" s="23">
        <v>8.3075E-4</v>
      </c>
    </row>
    <row r="2374" spans="1:12" ht="15.35" hidden="1" x14ac:dyDescent="0.55000000000000004">
      <c r="A2374" s="20">
        <v>16618</v>
      </c>
      <c r="B2374" s="2" t="s">
        <v>176</v>
      </c>
      <c r="C2374" s="2" t="s">
        <v>177</v>
      </c>
      <c r="D2374" s="20">
        <v>0</v>
      </c>
      <c r="E2374" s="2" t="s">
        <v>838</v>
      </c>
      <c r="F2374" s="2" t="s">
        <v>789</v>
      </c>
      <c r="G2374" s="2" t="s">
        <v>1321</v>
      </c>
      <c r="H2374" s="2" t="s">
        <v>1315</v>
      </c>
      <c r="J2374" s="26"/>
      <c r="K2374" s="36">
        <v>8.3075200000000005E-3</v>
      </c>
      <c r="L2374" s="23">
        <v>8.3075E-4</v>
      </c>
    </row>
    <row r="2375" spans="1:12" ht="15.35" hidden="1" x14ac:dyDescent="0.55000000000000004">
      <c r="A2375" s="20">
        <v>15958</v>
      </c>
      <c r="B2375" s="2" t="s">
        <v>176</v>
      </c>
      <c r="C2375" s="2" t="s">
        <v>177</v>
      </c>
      <c r="D2375" s="20">
        <v>0</v>
      </c>
      <c r="E2375" s="2" t="s">
        <v>838</v>
      </c>
      <c r="F2375" s="2" t="s">
        <v>789</v>
      </c>
      <c r="G2375" s="2" t="s">
        <v>1322</v>
      </c>
      <c r="H2375" s="2" t="s">
        <v>1315</v>
      </c>
      <c r="J2375" s="26"/>
      <c r="K2375" s="36">
        <v>8.3075200000000005E-3</v>
      </c>
      <c r="L2375" s="23">
        <v>8.3075E-4</v>
      </c>
    </row>
    <row r="2376" spans="1:12" ht="15.35" hidden="1" x14ac:dyDescent="0.55000000000000004">
      <c r="A2376" s="20">
        <v>16556</v>
      </c>
      <c r="B2376" s="2" t="s">
        <v>176</v>
      </c>
      <c r="C2376" s="2" t="s">
        <v>177</v>
      </c>
      <c r="D2376" s="20">
        <v>0</v>
      </c>
      <c r="E2376" s="2" t="s">
        <v>838</v>
      </c>
      <c r="F2376" s="2" t="s">
        <v>789</v>
      </c>
      <c r="G2376" s="2" t="s">
        <v>1323</v>
      </c>
      <c r="H2376" s="2" t="s">
        <v>1315</v>
      </c>
      <c r="J2376" s="26"/>
      <c r="K2376" s="36">
        <v>8.3075200000000005E-3</v>
      </c>
      <c r="L2376" s="23">
        <v>8.3075E-4</v>
      </c>
    </row>
    <row r="2377" spans="1:12" ht="15.35" hidden="1" x14ac:dyDescent="0.55000000000000004">
      <c r="A2377" s="20">
        <v>15920</v>
      </c>
      <c r="B2377" s="2" t="s">
        <v>176</v>
      </c>
      <c r="C2377" s="2" t="s">
        <v>177</v>
      </c>
      <c r="D2377" s="20">
        <v>0</v>
      </c>
      <c r="E2377" s="2" t="s">
        <v>838</v>
      </c>
      <c r="F2377" s="2" t="s">
        <v>789</v>
      </c>
      <c r="G2377" s="2" t="s">
        <v>1324</v>
      </c>
      <c r="H2377" s="2" t="s">
        <v>1325</v>
      </c>
      <c r="J2377" s="26"/>
      <c r="K2377" s="36">
        <v>1.13536E-3</v>
      </c>
      <c r="L2377" s="23">
        <v>1.1354E-4</v>
      </c>
    </row>
    <row r="2378" spans="1:12" ht="15.35" hidden="1" x14ac:dyDescent="0.55000000000000004">
      <c r="A2378" s="20">
        <v>15980</v>
      </c>
      <c r="B2378" s="2" t="s">
        <v>176</v>
      </c>
      <c r="C2378" s="2" t="s">
        <v>177</v>
      </c>
      <c r="D2378" s="20">
        <v>0</v>
      </c>
      <c r="E2378" s="2" t="s">
        <v>838</v>
      </c>
      <c r="F2378" s="2" t="s">
        <v>793</v>
      </c>
      <c r="G2378" s="2" t="s">
        <v>2885</v>
      </c>
      <c r="H2378" s="2" t="s">
        <v>2886</v>
      </c>
      <c r="J2378" s="26"/>
      <c r="K2378" s="36">
        <v>8.3075200000000005E-3</v>
      </c>
      <c r="L2378" s="23">
        <v>8.3075E-4</v>
      </c>
    </row>
    <row r="2379" spans="1:12" ht="15.35" hidden="1" x14ac:dyDescent="0.55000000000000004">
      <c r="A2379" s="20">
        <v>15935</v>
      </c>
      <c r="B2379" s="2" t="s">
        <v>176</v>
      </c>
      <c r="C2379" s="2" t="s">
        <v>177</v>
      </c>
      <c r="D2379" s="20">
        <v>0</v>
      </c>
      <c r="E2379" s="2" t="s">
        <v>838</v>
      </c>
      <c r="F2379" s="2" t="s">
        <v>793</v>
      </c>
      <c r="G2379" s="2" t="s">
        <v>1326</v>
      </c>
      <c r="H2379" s="2" t="s">
        <v>1044</v>
      </c>
      <c r="J2379" s="26"/>
      <c r="K2379" s="36">
        <v>1.13536E-3</v>
      </c>
      <c r="L2379" s="23">
        <v>1.1354E-4</v>
      </c>
    </row>
    <row r="2380" spans="1:12" ht="15.35" hidden="1" x14ac:dyDescent="0.55000000000000004">
      <c r="A2380" s="20">
        <v>16271</v>
      </c>
      <c r="B2380" s="2" t="s">
        <v>176</v>
      </c>
      <c r="C2380" s="2" t="s">
        <v>177</v>
      </c>
      <c r="D2380" s="20">
        <v>0</v>
      </c>
      <c r="E2380" s="2" t="s">
        <v>838</v>
      </c>
      <c r="F2380" s="2" t="s">
        <v>793</v>
      </c>
      <c r="G2380" s="2" t="s">
        <v>2887</v>
      </c>
      <c r="H2380" s="2" t="s">
        <v>1044</v>
      </c>
      <c r="J2380" s="26"/>
      <c r="K2380" s="36">
        <v>1.13536E-3</v>
      </c>
      <c r="L2380" s="23">
        <v>1.1354E-4</v>
      </c>
    </row>
    <row r="2381" spans="1:12" ht="15.35" hidden="1" x14ac:dyDescent="0.55000000000000004">
      <c r="A2381" s="20">
        <v>16539</v>
      </c>
      <c r="B2381" s="2" t="s">
        <v>176</v>
      </c>
      <c r="C2381" s="2" t="s">
        <v>177</v>
      </c>
      <c r="D2381" s="20">
        <v>0</v>
      </c>
      <c r="E2381" s="2" t="s">
        <v>838</v>
      </c>
      <c r="F2381" s="2" t="s">
        <v>793</v>
      </c>
      <c r="G2381" s="2" t="s">
        <v>2888</v>
      </c>
      <c r="H2381" s="2" t="s">
        <v>1044</v>
      </c>
      <c r="J2381" s="26"/>
      <c r="K2381" s="36">
        <v>1.13536E-3</v>
      </c>
      <c r="L2381" s="23">
        <v>1.1354E-4</v>
      </c>
    </row>
    <row r="2382" spans="1:12" ht="15.35" hidden="1" x14ac:dyDescent="0.55000000000000004">
      <c r="A2382" s="20">
        <v>16384</v>
      </c>
      <c r="B2382" s="2" t="s">
        <v>176</v>
      </c>
      <c r="C2382" s="2" t="s">
        <v>177</v>
      </c>
      <c r="D2382" s="20">
        <v>0</v>
      </c>
      <c r="E2382" s="2" t="s">
        <v>838</v>
      </c>
      <c r="F2382" s="2" t="s">
        <v>793</v>
      </c>
      <c r="G2382" s="2" t="s">
        <v>2889</v>
      </c>
      <c r="H2382" s="2" t="s">
        <v>1044</v>
      </c>
      <c r="J2382" s="26"/>
      <c r="K2382" s="36">
        <v>7.9513999999999995E-4</v>
      </c>
      <c r="L2382" s="23">
        <v>7.9510000000000003E-5</v>
      </c>
    </row>
    <row r="2383" spans="1:12" ht="15.35" hidden="1" x14ac:dyDescent="0.55000000000000004">
      <c r="A2383" s="20">
        <v>16673</v>
      </c>
      <c r="B2383" s="2" t="s">
        <v>176</v>
      </c>
      <c r="C2383" s="2" t="s">
        <v>177</v>
      </c>
      <c r="D2383" s="20">
        <v>0</v>
      </c>
      <c r="E2383" s="2" t="s">
        <v>838</v>
      </c>
      <c r="F2383" s="2" t="s">
        <v>793</v>
      </c>
      <c r="G2383" s="2" t="s">
        <v>2890</v>
      </c>
      <c r="H2383" s="2" t="s">
        <v>1044</v>
      </c>
      <c r="J2383" s="26"/>
      <c r="K2383" s="36">
        <v>1.13536E-3</v>
      </c>
      <c r="L2383" s="23">
        <v>1.1354E-4</v>
      </c>
    </row>
    <row r="2384" spans="1:12" ht="15.35" hidden="1" x14ac:dyDescent="0.55000000000000004">
      <c r="A2384" s="20">
        <v>16442</v>
      </c>
      <c r="B2384" s="2" t="s">
        <v>176</v>
      </c>
      <c r="C2384" s="2" t="s">
        <v>177</v>
      </c>
      <c r="D2384" s="20">
        <v>0</v>
      </c>
      <c r="E2384" s="2" t="s">
        <v>838</v>
      </c>
      <c r="F2384" s="2" t="s">
        <v>793</v>
      </c>
      <c r="G2384" s="2" t="s">
        <v>2891</v>
      </c>
      <c r="H2384" s="2" t="s">
        <v>804</v>
      </c>
      <c r="J2384" s="26"/>
      <c r="K2384" s="36">
        <v>2.7691E-4</v>
      </c>
      <c r="L2384" s="23">
        <v>2.7690000000000001E-5</v>
      </c>
    </row>
    <row r="2385" spans="1:12" ht="15.35" hidden="1" x14ac:dyDescent="0.55000000000000004">
      <c r="A2385" s="20">
        <v>15989</v>
      </c>
      <c r="B2385" s="2" t="s">
        <v>176</v>
      </c>
      <c r="C2385" s="2" t="s">
        <v>177</v>
      </c>
      <c r="D2385" s="20">
        <v>0</v>
      </c>
      <c r="E2385" s="2" t="s">
        <v>838</v>
      </c>
      <c r="F2385" s="2" t="s">
        <v>793</v>
      </c>
      <c r="G2385" s="2" t="s">
        <v>2892</v>
      </c>
      <c r="H2385" s="2" t="s">
        <v>804</v>
      </c>
      <c r="J2385" s="26"/>
      <c r="K2385" s="36">
        <v>2.7691E-4</v>
      </c>
      <c r="L2385" s="23">
        <v>2.7690000000000001E-5</v>
      </c>
    </row>
    <row r="2386" spans="1:12" ht="15.35" hidden="1" x14ac:dyDescent="0.55000000000000004">
      <c r="A2386" s="20">
        <v>16535</v>
      </c>
      <c r="B2386" s="2" t="s">
        <v>176</v>
      </c>
      <c r="C2386" s="2" t="s">
        <v>177</v>
      </c>
      <c r="D2386" s="20">
        <v>0</v>
      </c>
      <c r="E2386" s="2" t="s">
        <v>838</v>
      </c>
      <c r="F2386" s="2" t="s">
        <v>793</v>
      </c>
      <c r="G2386" s="2" t="s">
        <v>2893</v>
      </c>
      <c r="H2386" s="2" t="s">
        <v>804</v>
      </c>
      <c r="J2386" s="26"/>
      <c r="K2386" s="36">
        <v>5.9338999999999995E-4</v>
      </c>
      <c r="L2386" s="23">
        <v>5.9339999999999998E-5</v>
      </c>
    </row>
    <row r="2387" spans="1:12" ht="15.35" hidden="1" x14ac:dyDescent="0.55000000000000004">
      <c r="A2387" s="20">
        <v>16514</v>
      </c>
      <c r="B2387" s="2" t="s">
        <v>176</v>
      </c>
      <c r="C2387" s="2" t="s">
        <v>177</v>
      </c>
      <c r="D2387" s="20">
        <v>0</v>
      </c>
      <c r="E2387" s="2" t="s">
        <v>838</v>
      </c>
      <c r="F2387" s="2" t="s">
        <v>793</v>
      </c>
      <c r="G2387" s="2" t="s">
        <v>2894</v>
      </c>
      <c r="H2387" s="2" t="s">
        <v>804</v>
      </c>
      <c r="J2387" s="26"/>
      <c r="K2387" s="36">
        <v>4.7470999999999999E-4</v>
      </c>
      <c r="L2387" s="23">
        <v>4.7469999999999998E-5</v>
      </c>
    </row>
    <row r="2388" spans="1:12" ht="15.35" hidden="1" x14ac:dyDescent="0.55000000000000004">
      <c r="A2388" s="20">
        <v>16270</v>
      </c>
      <c r="B2388" s="2" t="s">
        <v>176</v>
      </c>
      <c r="C2388" s="2" t="s">
        <v>177</v>
      </c>
      <c r="D2388" s="20">
        <v>0</v>
      </c>
      <c r="E2388" s="2" t="s">
        <v>838</v>
      </c>
      <c r="F2388" s="2" t="s">
        <v>793</v>
      </c>
      <c r="G2388" s="2" t="s">
        <v>2895</v>
      </c>
      <c r="H2388" s="2" t="s">
        <v>804</v>
      </c>
      <c r="J2388" s="26"/>
      <c r="K2388" s="36">
        <v>9.8898999999999992E-4</v>
      </c>
      <c r="L2388" s="23">
        <v>9.8900000000000005E-5</v>
      </c>
    </row>
    <row r="2389" spans="1:12" ht="15.35" hidden="1" x14ac:dyDescent="0.55000000000000004">
      <c r="A2389" s="20">
        <v>15945</v>
      </c>
      <c r="B2389" s="2" t="s">
        <v>176</v>
      </c>
      <c r="C2389" s="2" t="s">
        <v>177</v>
      </c>
      <c r="D2389" s="20">
        <v>0</v>
      </c>
      <c r="E2389" s="2" t="s">
        <v>838</v>
      </c>
      <c r="F2389" s="2" t="s">
        <v>787</v>
      </c>
      <c r="G2389" s="2" t="s">
        <v>1049</v>
      </c>
      <c r="H2389" s="2" t="s">
        <v>1049</v>
      </c>
      <c r="J2389" s="26"/>
      <c r="K2389" s="36">
        <v>4.62847E-3</v>
      </c>
      <c r="L2389" s="23">
        <v>4.6285E-4</v>
      </c>
    </row>
    <row r="2390" spans="1:12" ht="15.35" hidden="1" x14ac:dyDescent="0.55000000000000004">
      <c r="A2390" s="20">
        <v>16061</v>
      </c>
      <c r="B2390" s="2" t="s">
        <v>176</v>
      </c>
      <c r="C2390" s="2" t="s">
        <v>177</v>
      </c>
      <c r="D2390" s="20">
        <v>0</v>
      </c>
      <c r="E2390" s="2" t="s">
        <v>838</v>
      </c>
      <c r="F2390" s="2" t="s">
        <v>793</v>
      </c>
      <c r="G2390" s="2" t="s">
        <v>1971</v>
      </c>
      <c r="H2390" s="2" t="s">
        <v>1331</v>
      </c>
      <c r="J2390" s="26"/>
      <c r="K2390" s="36">
        <v>9.4939999999999996E-5</v>
      </c>
      <c r="L2390" s="23">
        <v>9.4900000000000006E-6</v>
      </c>
    </row>
    <row r="2391" spans="1:12" ht="15.35" hidden="1" x14ac:dyDescent="0.55000000000000004">
      <c r="A2391" s="20">
        <v>15927</v>
      </c>
      <c r="B2391" s="2" t="s">
        <v>176</v>
      </c>
      <c r="C2391" s="2" t="s">
        <v>177</v>
      </c>
      <c r="D2391" s="20">
        <v>0</v>
      </c>
      <c r="E2391" s="2" t="s">
        <v>838</v>
      </c>
      <c r="F2391" s="2" t="s">
        <v>817</v>
      </c>
      <c r="G2391" s="2" t="s">
        <v>1972</v>
      </c>
      <c r="H2391" s="2" t="s">
        <v>1973</v>
      </c>
      <c r="J2391" s="26"/>
      <c r="K2391" s="36">
        <v>6.9466700000000003E-3</v>
      </c>
      <c r="L2391" s="23">
        <v>6.9466999999999999E-4</v>
      </c>
    </row>
    <row r="2392" spans="1:12" ht="15.35" hidden="1" x14ac:dyDescent="0.55000000000000004">
      <c r="A2392" s="20">
        <v>16512</v>
      </c>
      <c r="B2392" s="2" t="s">
        <v>176</v>
      </c>
      <c r="C2392" s="2" t="s">
        <v>177</v>
      </c>
      <c r="D2392" s="20">
        <v>0</v>
      </c>
      <c r="E2392" s="2" t="s">
        <v>838</v>
      </c>
      <c r="F2392" s="2" t="s">
        <v>848</v>
      </c>
      <c r="G2392" s="2" t="s">
        <v>1050</v>
      </c>
      <c r="H2392" s="2" t="s">
        <v>1050</v>
      </c>
      <c r="J2392" s="26"/>
      <c r="K2392" s="36">
        <v>5.9339400000000004E-3</v>
      </c>
      <c r="L2392" s="23">
        <v>5.9338999999999995E-4</v>
      </c>
    </row>
    <row r="2393" spans="1:12" ht="15.35" hidden="1" x14ac:dyDescent="0.55000000000000004">
      <c r="A2393" s="20">
        <v>16014</v>
      </c>
      <c r="B2393" s="2" t="s">
        <v>176</v>
      </c>
      <c r="C2393" s="2" t="s">
        <v>177</v>
      </c>
      <c r="D2393" s="20">
        <v>0</v>
      </c>
      <c r="E2393" s="2" t="s">
        <v>838</v>
      </c>
      <c r="F2393" s="2" t="s">
        <v>787</v>
      </c>
      <c r="G2393" s="2" t="s">
        <v>850</v>
      </c>
      <c r="H2393" s="2" t="s">
        <v>850</v>
      </c>
      <c r="J2393" s="26"/>
      <c r="K2393" s="36">
        <v>7.9079700000000003E-3</v>
      </c>
      <c r="L2393" s="23">
        <v>7.9080000000000003E-4</v>
      </c>
    </row>
    <row r="2394" spans="1:12" ht="15.35" hidden="1" x14ac:dyDescent="0.55000000000000004">
      <c r="A2394" s="20">
        <v>16160</v>
      </c>
      <c r="B2394" s="2" t="s">
        <v>176</v>
      </c>
      <c r="C2394" s="2" t="s">
        <v>177</v>
      </c>
      <c r="D2394" s="20">
        <v>0</v>
      </c>
      <c r="E2394" s="2" t="s">
        <v>838</v>
      </c>
      <c r="F2394" s="2" t="s">
        <v>793</v>
      </c>
      <c r="G2394" s="2" t="s">
        <v>2896</v>
      </c>
      <c r="H2394" s="2" t="s">
        <v>850</v>
      </c>
      <c r="J2394" s="26"/>
      <c r="K2394" s="36">
        <v>3.9757400000000002E-3</v>
      </c>
      <c r="L2394" s="23">
        <v>3.9756999999999998E-4</v>
      </c>
    </row>
    <row r="2395" spans="1:12" ht="15.35" hidden="1" x14ac:dyDescent="0.55000000000000004">
      <c r="A2395" s="20">
        <v>16039</v>
      </c>
      <c r="B2395" s="2" t="s">
        <v>176</v>
      </c>
      <c r="C2395" s="2" t="s">
        <v>177</v>
      </c>
      <c r="D2395" s="20">
        <v>0</v>
      </c>
      <c r="E2395" s="2" t="s">
        <v>838</v>
      </c>
      <c r="F2395" s="2" t="s">
        <v>793</v>
      </c>
      <c r="G2395" s="2" t="s">
        <v>1051</v>
      </c>
      <c r="H2395" s="2" t="s">
        <v>850</v>
      </c>
      <c r="J2395" s="26"/>
      <c r="K2395" s="36">
        <v>2.7691E-4</v>
      </c>
      <c r="L2395" s="23">
        <v>2.7690000000000001E-5</v>
      </c>
    </row>
    <row r="2396" spans="1:12" ht="15.35" hidden="1" x14ac:dyDescent="0.55000000000000004">
      <c r="A2396" s="20">
        <v>16766</v>
      </c>
      <c r="B2396" s="2" t="s">
        <v>176</v>
      </c>
      <c r="C2396" s="2" t="s">
        <v>177</v>
      </c>
      <c r="D2396" s="20">
        <v>0</v>
      </c>
      <c r="E2396" s="2" t="s">
        <v>838</v>
      </c>
      <c r="F2396" s="2" t="s">
        <v>793</v>
      </c>
      <c r="G2396" s="2" t="s">
        <v>2897</v>
      </c>
      <c r="H2396" s="2" t="s">
        <v>850</v>
      </c>
      <c r="J2396" s="26"/>
      <c r="K2396" s="36">
        <v>3.4021000000000002E-4</v>
      </c>
      <c r="L2396" s="23">
        <v>3.4020000000000003E-5</v>
      </c>
    </row>
    <row r="2397" spans="1:12" ht="15.35" hidden="1" x14ac:dyDescent="0.55000000000000004">
      <c r="A2397" s="20">
        <v>16542</v>
      </c>
      <c r="B2397" s="2" t="s">
        <v>176</v>
      </c>
      <c r="C2397" s="2" t="s">
        <v>177</v>
      </c>
      <c r="D2397" s="20">
        <v>0</v>
      </c>
      <c r="E2397" s="2" t="s">
        <v>838</v>
      </c>
      <c r="F2397" s="2" t="s">
        <v>793</v>
      </c>
      <c r="G2397" s="2" t="s">
        <v>2898</v>
      </c>
      <c r="H2397" s="2" t="s">
        <v>850</v>
      </c>
      <c r="J2397" s="26"/>
      <c r="K2397" s="36">
        <v>1.2263000000000001E-4</v>
      </c>
      <c r="L2397" s="23">
        <v>1.226E-5</v>
      </c>
    </row>
    <row r="2398" spans="1:12" ht="15.35" hidden="1" x14ac:dyDescent="0.55000000000000004">
      <c r="A2398" s="20">
        <v>16235</v>
      </c>
      <c r="B2398" s="2" t="s">
        <v>176</v>
      </c>
      <c r="C2398" s="2" t="s">
        <v>177</v>
      </c>
      <c r="D2398" s="20">
        <v>0</v>
      </c>
      <c r="E2398" s="2" t="s">
        <v>838</v>
      </c>
      <c r="F2398" s="2" t="s">
        <v>793</v>
      </c>
      <c r="G2398" s="2" t="s">
        <v>1052</v>
      </c>
      <c r="H2398" s="2" t="s">
        <v>850</v>
      </c>
      <c r="J2398" s="26"/>
      <c r="K2398" s="36">
        <v>1.8196999999999999E-4</v>
      </c>
      <c r="L2398" s="23">
        <v>1.8199999999999999E-5</v>
      </c>
    </row>
    <row r="2399" spans="1:12" ht="15.35" hidden="1" x14ac:dyDescent="0.55000000000000004">
      <c r="A2399" s="20">
        <v>16602</v>
      </c>
      <c r="B2399" s="2" t="s">
        <v>176</v>
      </c>
      <c r="C2399" s="2" t="s">
        <v>177</v>
      </c>
      <c r="D2399" s="20">
        <v>0</v>
      </c>
      <c r="E2399" s="2" t="s">
        <v>838</v>
      </c>
      <c r="F2399" s="2" t="s">
        <v>793</v>
      </c>
      <c r="G2399" s="2" t="s">
        <v>2899</v>
      </c>
      <c r="H2399" s="2" t="s">
        <v>850</v>
      </c>
      <c r="J2399" s="26"/>
      <c r="K2399" s="36">
        <v>2.4526000000000002E-4</v>
      </c>
      <c r="L2399" s="23">
        <v>2.4530000000000001E-5</v>
      </c>
    </row>
    <row r="2400" spans="1:12" ht="15.35" hidden="1" x14ac:dyDescent="0.55000000000000004">
      <c r="A2400" s="20">
        <v>16185</v>
      </c>
      <c r="B2400" s="2" t="s">
        <v>176</v>
      </c>
      <c r="C2400" s="2" t="s">
        <v>177</v>
      </c>
      <c r="D2400" s="20">
        <v>0</v>
      </c>
      <c r="E2400" s="2" t="s">
        <v>838</v>
      </c>
      <c r="F2400" s="2" t="s">
        <v>793</v>
      </c>
      <c r="G2400" s="2" t="s">
        <v>2900</v>
      </c>
      <c r="H2400" s="2" t="s">
        <v>913</v>
      </c>
      <c r="J2400" s="26"/>
      <c r="K2400" s="36">
        <v>1.7010599999999999E-3</v>
      </c>
      <c r="L2400" s="23">
        <v>1.7011000000000001E-4</v>
      </c>
    </row>
    <row r="2401" spans="1:12" ht="15.35" hidden="1" x14ac:dyDescent="0.55000000000000004">
      <c r="A2401" s="20">
        <v>16230</v>
      </c>
      <c r="B2401" s="2" t="s">
        <v>176</v>
      </c>
      <c r="C2401" s="2" t="s">
        <v>177</v>
      </c>
      <c r="D2401" s="20">
        <v>0</v>
      </c>
      <c r="E2401" s="2" t="s">
        <v>838</v>
      </c>
      <c r="F2401" s="2" t="s">
        <v>793</v>
      </c>
      <c r="G2401" s="2" t="s">
        <v>2901</v>
      </c>
      <c r="H2401" s="2" t="s">
        <v>913</v>
      </c>
      <c r="J2401" s="26"/>
      <c r="K2401" s="36">
        <v>1.7010599999999999E-3</v>
      </c>
      <c r="L2401" s="23">
        <v>1.7011000000000001E-4</v>
      </c>
    </row>
    <row r="2402" spans="1:12" ht="15.35" hidden="1" x14ac:dyDescent="0.55000000000000004">
      <c r="A2402" s="20">
        <v>16311</v>
      </c>
      <c r="B2402" s="2" t="s">
        <v>176</v>
      </c>
      <c r="C2402" s="2" t="s">
        <v>177</v>
      </c>
      <c r="D2402" s="20">
        <v>0</v>
      </c>
      <c r="E2402" s="2" t="s">
        <v>838</v>
      </c>
      <c r="F2402" s="2" t="s">
        <v>793</v>
      </c>
      <c r="G2402" s="2" t="s">
        <v>2902</v>
      </c>
      <c r="H2402" s="2" t="s">
        <v>913</v>
      </c>
      <c r="J2402" s="26"/>
      <c r="K2402" s="36">
        <v>1.7010599999999999E-3</v>
      </c>
      <c r="L2402" s="23">
        <v>1.7011000000000001E-4</v>
      </c>
    </row>
    <row r="2403" spans="1:12" ht="15.35" hidden="1" x14ac:dyDescent="0.55000000000000004">
      <c r="A2403" s="20">
        <v>16640</v>
      </c>
      <c r="B2403" s="2" t="s">
        <v>176</v>
      </c>
      <c r="C2403" s="2" t="s">
        <v>177</v>
      </c>
      <c r="D2403" s="20">
        <v>0</v>
      </c>
      <c r="E2403" s="2" t="s">
        <v>838</v>
      </c>
      <c r="F2403" s="2" t="s">
        <v>793</v>
      </c>
      <c r="G2403" s="2" t="s">
        <v>2903</v>
      </c>
      <c r="H2403" s="2" t="s">
        <v>913</v>
      </c>
      <c r="J2403" s="26"/>
      <c r="K2403" s="36">
        <v>1.7010599999999999E-3</v>
      </c>
      <c r="L2403" s="23">
        <v>1.7011000000000001E-4</v>
      </c>
    </row>
    <row r="2404" spans="1:12" ht="15.35" hidden="1" x14ac:dyDescent="0.55000000000000004">
      <c r="A2404" s="20">
        <v>16202</v>
      </c>
      <c r="B2404" s="2" t="s">
        <v>176</v>
      </c>
      <c r="C2404" s="2" t="s">
        <v>177</v>
      </c>
      <c r="D2404" s="20">
        <v>0</v>
      </c>
      <c r="E2404" s="2" t="s">
        <v>838</v>
      </c>
      <c r="F2404" s="2" t="s">
        <v>793</v>
      </c>
      <c r="G2404" s="2" t="s">
        <v>2904</v>
      </c>
      <c r="H2404" s="2" t="s">
        <v>913</v>
      </c>
      <c r="J2404" s="26"/>
      <c r="K2404" s="36">
        <v>1.7010599999999999E-3</v>
      </c>
      <c r="L2404" s="23">
        <v>1.7011000000000001E-4</v>
      </c>
    </row>
    <row r="2405" spans="1:12" ht="15.35" hidden="1" x14ac:dyDescent="0.55000000000000004">
      <c r="A2405" s="20">
        <v>16672</v>
      </c>
      <c r="B2405" s="2" t="s">
        <v>176</v>
      </c>
      <c r="C2405" s="2" t="s">
        <v>177</v>
      </c>
      <c r="D2405" s="20">
        <v>0</v>
      </c>
      <c r="E2405" s="2" t="s">
        <v>838</v>
      </c>
      <c r="F2405" s="2" t="s">
        <v>793</v>
      </c>
      <c r="G2405" s="2" t="s">
        <v>2905</v>
      </c>
      <c r="H2405" s="2" t="s">
        <v>913</v>
      </c>
      <c r="J2405" s="26"/>
      <c r="K2405" s="36">
        <v>1.7010599999999999E-3</v>
      </c>
      <c r="L2405" s="23">
        <v>1.7011000000000001E-4</v>
      </c>
    </row>
    <row r="2406" spans="1:12" ht="15.35" hidden="1" x14ac:dyDescent="0.55000000000000004">
      <c r="A2406" s="20">
        <v>16326</v>
      </c>
      <c r="B2406" s="2" t="s">
        <v>176</v>
      </c>
      <c r="C2406" s="2" t="s">
        <v>177</v>
      </c>
      <c r="D2406" s="20">
        <v>0</v>
      </c>
      <c r="E2406" s="2" t="s">
        <v>838</v>
      </c>
      <c r="F2406" s="2" t="s">
        <v>793</v>
      </c>
      <c r="G2406" s="2" t="s">
        <v>2906</v>
      </c>
      <c r="H2406" s="2" t="s">
        <v>913</v>
      </c>
      <c r="J2406" s="26"/>
      <c r="K2406" s="36">
        <v>1.7010599999999999E-3</v>
      </c>
      <c r="L2406" s="23">
        <v>1.7011000000000001E-4</v>
      </c>
    </row>
    <row r="2407" spans="1:12" ht="15.35" hidden="1" x14ac:dyDescent="0.55000000000000004">
      <c r="A2407" s="20">
        <v>16397</v>
      </c>
      <c r="B2407" s="2" t="s">
        <v>176</v>
      </c>
      <c r="C2407" s="2" t="s">
        <v>177</v>
      </c>
      <c r="D2407" s="20">
        <v>0</v>
      </c>
      <c r="E2407" s="2" t="s">
        <v>838</v>
      </c>
      <c r="F2407" s="2" t="s">
        <v>817</v>
      </c>
      <c r="G2407" s="2" t="s">
        <v>2907</v>
      </c>
      <c r="H2407" s="2" t="s">
        <v>810</v>
      </c>
      <c r="J2407" s="26"/>
      <c r="K2407" s="36">
        <v>8.3075200000000005E-3</v>
      </c>
      <c r="L2407" s="23">
        <v>8.3075E-4</v>
      </c>
    </row>
    <row r="2408" spans="1:12" ht="15.35" hidden="1" x14ac:dyDescent="0.55000000000000004">
      <c r="A2408" s="20">
        <v>16578</v>
      </c>
      <c r="B2408" s="2" t="s">
        <v>176</v>
      </c>
      <c r="C2408" s="2" t="s">
        <v>177</v>
      </c>
      <c r="D2408" s="20">
        <v>0</v>
      </c>
      <c r="E2408" s="2" t="s">
        <v>838</v>
      </c>
      <c r="F2408" s="2" t="s">
        <v>817</v>
      </c>
      <c r="G2408" s="2" t="s">
        <v>2908</v>
      </c>
      <c r="H2408" s="2" t="s">
        <v>810</v>
      </c>
      <c r="J2408" s="26"/>
      <c r="K2408" s="36">
        <v>1.7010599999999999E-3</v>
      </c>
      <c r="L2408" s="23">
        <v>1.7011000000000001E-4</v>
      </c>
    </row>
    <row r="2409" spans="1:12" ht="15.35" hidden="1" x14ac:dyDescent="0.55000000000000004">
      <c r="A2409" s="20">
        <v>16302</v>
      </c>
      <c r="B2409" s="2" t="s">
        <v>176</v>
      </c>
      <c r="C2409" s="2" t="s">
        <v>177</v>
      </c>
      <c r="D2409" s="20">
        <v>0</v>
      </c>
      <c r="E2409" s="2" t="s">
        <v>838</v>
      </c>
      <c r="F2409" s="2" t="s">
        <v>787</v>
      </c>
      <c r="G2409" s="2" t="s">
        <v>1341</v>
      </c>
      <c r="H2409" s="2" t="s">
        <v>1341</v>
      </c>
      <c r="J2409" s="26"/>
      <c r="K2409" s="36">
        <v>8.3075200000000005E-3</v>
      </c>
      <c r="L2409" s="23">
        <v>8.3075E-4</v>
      </c>
    </row>
    <row r="2410" spans="1:12" ht="15.35" hidden="1" x14ac:dyDescent="0.55000000000000004">
      <c r="A2410" s="20">
        <v>16421</v>
      </c>
      <c r="B2410" s="2" t="s">
        <v>176</v>
      </c>
      <c r="C2410" s="2" t="s">
        <v>177</v>
      </c>
      <c r="D2410" s="20">
        <v>0</v>
      </c>
      <c r="E2410" s="2" t="s">
        <v>838</v>
      </c>
      <c r="F2410" s="2" t="s">
        <v>793</v>
      </c>
      <c r="G2410" s="2" t="s">
        <v>2909</v>
      </c>
      <c r="H2410" s="2" t="s">
        <v>1341</v>
      </c>
      <c r="J2410" s="26"/>
      <c r="K2410" s="36">
        <v>7.9110000000000007E-5</v>
      </c>
      <c r="L2410" s="23">
        <v>7.9100000000000005E-6</v>
      </c>
    </row>
    <row r="2411" spans="1:12" ht="15.35" hidden="1" x14ac:dyDescent="0.55000000000000004">
      <c r="A2411" s="20">
        <v>16592</v>
      </c>
      <c r="B2411" s="2" t="s">
        <v>176</v>
      </c>
      <c r="C2411" s="2" t="s">
        <v>177</v>
      </c>
      <c r="D2411" s="20">
        <v>0</v>
      </c>
      <c r="E2411" s="2" t="s">
        <v>838</v>
      </c>
      <c r="F2411" s="2" t="s">
        <v>793</v>
      </c>
      <c r="G2411" s="2" t="s">
        <v>2910</v>
      </c>
      <c r="H2411" s="2" t="s">
        <v>1341</v>
      </c>
      <c r="J2411" s="26"/>
      <c r="K2411" s="36">
        <v>7.9110000000000007E-5</v>
      </c>
      <c r="L2411" s="23">
        <v>7.9100000000000005E-6</v>
      </c>
    </row>
    <row r="2412" spans="1:12" ht="15.35" hidden="1" x14ac:dyDescent="0.55000000000000004">
      <c r="A2412" s="20">
        <v>16628</v>
      </c>
      <c r="B2412" s="2" t="s">
        <v>176</v>
      </c>
      <c r="C2412" s="2" t="s">
        <v>177</v>
      </c>
      <c r="D2412" s="20">
        <v>0</v>
      </c>
      <c r="E2412" s="2" t="s">
        <v>838</v>
      </c>
      <c r="F2412" s="2" t="s">
        <v>817</v>
      </c>
      <c r="G2412" s="2" t="s">
        <v>851</v>
      </c>
      <c r="H2412" s="2" t="s">
        <v>852</v>
      </c>
      <c r="J2412" s="26"/>
      <c r="K2412" s="36">
        <v>1.6615E-4</v>
      </c>
      <c r="L2412" s="23">
        <v>1.6609999999999999E-5</v>
      </c>
    </row>
    <row r="2413" spans="1:12" ht="15.35" hidden="1" x14ac:dyDescent="0.55000000000000004">
      <c r="A2413" s="20">
        <v>16373</v>
      </c>
      <c r="B2413" s="2" t="s">
        <v>176</v>
      </c>
      <c r="C2413" s="2" t="s">
        <v>177</v>
      </c>
      <c r="D2413" s="20">
        <v>0</v>
      </c>
      <c r="E2413" s="2" t="s">
        <v>838</v>
      </c>
      <c r="F2413" s="2" t="s">
        <v>817</v>
      </c>
      <c r="G2413" s="2" t="s">
        <v>1343</v>
      </c>
      <c r="H2413" s="2" t="s">
        <v>852</v>
      </c>
      <c r="J2413" s="26"/>
      <c r="K2413" s="36">
        <v>2.17578E-3</v>
      </c>
      <c r="L2413" s="23">
        <v>2.1757999999999999E-4</v>
      </c>
    </row>
    <row r="2414" spans="1:12" ht="15.35" hidden="1" x14ac:dyDescent="0.55000000000000004">
      <c r="A2414" s="20">
        <v>16742</v>
      </c>
      <c r="B2414" s="2" t="s">
        <v>176</v>
      </c>
      <c r="C2414" s="2" t="s">
        <v>177</v>
      </c>
      <c r="D2414" s="20">
        <v>0</v>
      </c>
      <c r="E2414" s="2" t="s">
        <v>838</v>
      </c>
      <c r="F2414" s="2" t="s">
        <v>817</v>
      </c>
      <c r="G2414" s="2" t="s">
        <v>1053</v>
      </c>
      <c r="H2414" s="2" t="s">
        <v>852</v>
      </c>
      <c r="J2414" s="26"/>
      <c r="K2414" s="36">
        <v>1.23426E-3</v>
      </c>
      <c r="L2414" s="23">
        <v>1.2343E-4</v>
      </c>
    </row>
    <row r="2415" spans="1:12" ht="15.35" hidden="1" x14ac:dyDescent="0.55000000000000004">
      <c r="A2415" s="20">
        <v>16188</v>
      </c>
      <c r="B2415" s="2" t="s">
        <v>176</v>
      </c>
      <c r="C2415" s="2" t="s">
        <v>177</v>
      </c>
      <c r="D2415" s="20">
        <v>0</v>
      </c>
      <c r="E2415" s="2" t="s">
        <v>838</v>
      </c>
      <c r="F2415" s="2" t="s">
        <v>817</v>
      </c>
      <c r="G2415" s="2" t="s">
        <v>2911</v>
      </c>
      <c r="H2415" s="2" t="s">
        <v>852</v>
      </c>
      <c r="J2415" s="26"/>
      <c r="K2415" s="36">
        <v>7.1602000000000005E-4</v>
      </c>
      <c r="L2415" s="23">
        <v>7.1600000000000006E-5</v>
      </c>
    </row>
    <row r="2416" spans="1:12" ht="15.35" hidden="1" x14ac:dyDescent="0.55000000000000004">
      <c r="A2416" s="20">
        <v>16298</v>
      </c>
      <c r="B2416" s="2" t="s">
        <v>176</v>
      </c>
      <c r="C2416" s="2" t="s">
        <v>177</v>
      </c>
      <c r="D2416" s="20">
        <v>0</v>
      </c>
      <c r="E2416" s="2" t="s">
        <v>838</v>
      </c>
      <c r="F2416" s="2" t="s">
        <v>787</v>
      </c>
      <c r="G2416" s="2" t="s">
        <v>916</v>
      </c>
      <c r="H2416" s="2" t="s">
        <v>916</v>
      </c>
      <c r="J2416" s="26"/>
      <c r="K2416" s="36">
        <v>8.3075200000000005E-3</v>
      </c>
      <c r="L2416" s="23">
        <v>8.3075E-4</v>
      </c>
    </row>
    <row r="2417" spans="1:12" ht="15.35" hidden="1" x14ac:dyDescent="0.55000000000000004">
      <c r="A2417" s="20">
        <v>16205</v>
      </c>
      <c r="B2417" s="2" t="s">
        <v>176</v>
      </c>
      <c r="C2417" s="2" t="s">
        <v>177</v>
      </c>
      <c r="D2417" s="20">
        <v>0</v>
      </c>
      <c r="E2417" s="2" t="s">
        <v>838</v>
      </c>
      <c r="F2417" s="2" t="s">
        <v>789</v>
      </c>
      <c r="G2417" s="2" t="s">
        <v>1344</v>
      </c>
      <c r="H2417" s="2" t="s">
        <v>1345</v>
      </c>
      <c r="J2417" s="26"/>
      <c r="K2417" s="36">
        <v>8.3075200000000005E-3</v>
      </c>
      <c r="L2417" s="23">
        <v>8.3075E-4</v>
      </c>
    </row>
    <row r="2418" spans="1:12" ht="15.35" hidden="1" x14ac:dyDescent="0.55000000000000004">
      <c r="A2418" s="20">
        <v>16257</v>
      </c>
      <c r="B2418" s="2" t="s">
        <v>176</v>
      </c>
      <c r="C2418" s="2" t="s">
        <v>177</v>
      </c>
      <c r="D2418" s="20">
        <v>0</v>
      </c>
      <c r="E2418" s="2" t="s">
        <v>838</v>
      </c>
      <c r="F2418" s="2" t="s">
        <v>789</v>
      </c>
      <c r="G2418" s="2" t="s">
        <v>1346</v>
      </c>
      <c r="H2418" s="2" t="s">
        <v>1345</v>
      </c>
      <c r="J2418" s="26"/>
      <c r="K2418" s="36">
        <v>8.3075200000000005E-3</v>
      </c>
      <c r="L2418" s="23">
        <v>8.3075E-4</v>
      </c>
    </row>
    <row r="2419" spans="1:12" ht="15.35" hidden="1" x14ac:dyDescent="0.55000000000000004">
      <c r="A2419" s="20">
        <v>16711</v>
      </c>
      <c r="B2419" s="2" t="s">
        <v>176</v>
      </c>
      <c r="C2419" s="2" t="s">
        <v>177</v>
      </c>
      <c r="D2419" s="20">
        <v>0</v>
      </c>
      <c r="E2419" s="2" t="s">
        <v>838</v>
      </c>
      <c r="F2419" s="2" t="s">
        <v>793</v>
      </c>
      <c r="G2419" s="2" t="s">
        <v>1054</v>
      </c>
      <c r="H2419" s="2" t="s">
        <v>979</v>
      </c>
      <c r="J2419" s="26"/>
      <c r="K2419" s="36">
        <v>8.5052999999999995E-4</v>
      </c>
      <c r="L2419" s="23">
        <v>8.5049999999999994E-5</v>
      </c>
    </row>
    <row r="2420" spans="1:12" ht="15.35" hidden="1" x14ac:dyDescent="0.55000000000000004">
      <c r="A2420" s="20">
        <v>16029</v>
      </c>
      <c r="B2420" s="2" t="s">
        <v>176</v>
      </c>
      <c r="C2420" s="2" t="s">
        <v>177</v>
      </c>
      <c r="D2420" s="20">
        <v>0</v>
      </c>
      <c r="E2420" s="2" t="s">
        <v>838</v>
      </c>
      <c r="F2420" s="2" t="s">
        <v>793</v>
      </c>
      <c r="G2420" s="2" t="s">
        <v>2619</v>
      </c>
      <c r="H2420" s="2" t="s">
        <v>979</v>
      </c>
      <c r="J2420" s="26"/>
      <c r="K2420" s="36">
        <v>1.45579E-3</v>
      </c>
      <c r="L2420" s="23">
        <v>1.4558E-4</v>
      </c>
    </row>
    <row r="2421" spans="1:12" ht="15.35" hidden="1" x14ac:dyDescent="0.55000000000000004">
      <c r="A2421" s="20">
        <v>16097</v>
      </c>
      <c r="B2421" s="2" t="s">
        <v>176</v>
      </c>
      <c r="C2421" s="2" t="s">
        <v>177</v>
      </c>
      <c r="D2421" s="20">
        <v>0</v>
      </c>
      <c r="E2421" s="2" t="s">
        <v>838</v>
      </c>
      <c r="F2421" s="2" t="s">
        <v>817</v>
      </c>
      <c r="G2421" s="2" t="s">
        <v>2912</v>
      </c>
      <c r="H2421" s="2" t="s">
        <v>1056</v>
      </c>
      <c r="J2421" s="26"/>
      <c r="K2421" s="36">
        <v>4.0073900000000004E-3</v>
      </c>
      <c r="L2421" s="23">
        <v>4.0074000000000002E-4</v>
      </c>
    </row>
    <row r="2422" spans="1:12" ht="15.35" hidden="1" x14ac:dyDescent="0.55000000000000004">
      <c r="A2422" s="20">
        <v>16790</v>
      </c>
      <c r="B2422" s="2" t="s">
        <v>176</v>
      </c>
      <c r="C2422" s="2" t="s">
        <v>177</v>
      </c>
      <c r="D2422" s="20">
        <v>0</v>
      </c>
      <c r="E2422" s="2" t="s">
        <v>838</v>
      </c>
      <c r="F2422" s="2" t="s">
        <v>817</v>
      </c>
      <c r="G2422" s="2" t="s">
        <v>1055</v>
      </c>
      <c r="H2422" s="2" t="s">
        <v>1056</v>
      </c>
      <c r="J2422" s="26"/>
      <c r="K2422" s="36">
        <v>4.3510000000000002E-5</v>
      </c>
      <c r="L2422" s="23">
        <v>4.3499999999999999E-6</v>
      </c>
    </row>
    <row r="2423" spans="1:12" ht="15.35" hidden="1" x14ac:dyDescent="0.55000000000000004">
      <c r="A2423" s="20">
        <v>16274</v>
      </c>
      <c r="B2423" s="2" t="s">
        <v>176</v>
      </c>
      <c r="C2423" s="2" t="s">
        <v>177</v>
      </c>
      <c r="D2423" s="20">
        <v>0</v>
      </c>
      <c r="E2423" s="2" t="s">
        <v>838</v>
      </c>
      <c r="F2423" s="2" t="s">
        <v>817</v>
      </c>
      <c r="G2423" s="2" t="s">
        <v>1057</v>
      </c>
      <c r="H2423" s="2" t="s">
        <v>1056</v>
      </c>
      <c r="J2423" s="26"/>
      <c r="K2423" s="36">
        <v>6.3289999999999999E-5</v>
      </c>
      <c r="L2423" s="23">
        <v>6.3300000000000004E-6</v>
      </c>
    </row>
    <row r="2424" spans="1:12" ht="15.35" hidden="1" x14ac:dyDescent="0.55000000000000004">
      <c r="A2424" s="20">
        <v>16030</v>
      </c>
      <c r="B2424" s="2" t="s">
        <v>176</v>
      </c>
      <c r="C2424" s="2" t="s">
        <v>177</v>
      </c>
      <c r="D2424" s="20">
        <v>0</v>
      </c>
      <c r="E2424" s="2" t="s">
        <v>838</v>
      </c>
      <c r="F2424" s="2" t="s">
        <v>817</v>
      </c>
      <c r="G2424" s="2" t="s">
        <v>2913</v>
      </c>
      <c r="H2424" s="2" t="s">
        <v>1056</v>
      </c>
      <c r="J2424" s="26"/>
      <c r="K2424" s="36">
        <v>5.6570000000000004E-4</v>
      </c>
      <c r="L2424" s="23">
        <v>5.6570000000000002E-5</v>
      </c>
    </row>
    <row r="2425" spans="1:12" ht="15.35" hidden="1" x14ac:dyDescent="0.55000000000000004">
      <c r="A2425" s="20">
        <v>16196</v>
      </c>
      <c r="B2425" s="2" t="s">
        <v>176</v>
      </c>
      <c r="C2425" s="2" t="s">
        <v>177</v>
      </c>
      <c r="D2425" s="20">
        <v>0</v>
      </c>
      <c r="E2425" s="2" t="s">
        <v>838</v>
      </c>
      <c r="F2425" s="2" t="s">
        <v>817</v>
      </c>
      <c r="G2425" s="2" t="s">
        <v>2914</v>
      </c>
      <c r="H2425" s="2" t="s">
        <v>1056</v>
      </c>
      <c r="J2425" s="26"/>
      <c r="K2425" s="36">
        <v>1.58238E-3</v>
      </c>
      <c r="L2425" s="23">
        <v>1.5824E-4</v>
      </c>
    </row>
    <row r="2426" spans="1:12" ht="15.35" hidden="1" x14ac:dyDescent="0.55000000000000004">
      <c r="A2426" s="20">
        <v>16781</v>
      </c>
      <c r="B2426" s="2" t="s">
        <v>176</v>
      </c>
      <c r="C2426" s="2" t="s">
        <v>177</v>
      </c>
      <c r="D2426" s="20">
        <v>0</v>
      </c>
      <c r="E2426" s="2" t="s">
        <v>838</v>
      </c>
      <c r="F2426" s="2" t="s">
        <v>817</v>
      </c>
      <c r="G2426" s="2" t="s">
        <v>1058</v>
      </c>
      <c r="H2426" s="2" t="s">
        <v>1056</v>
      </c>
      <c r="J2426" s="26"/>
      <c r="K2426" s="36">
        <v>8.6635E-4</v>
      </c>
      <c r="L2426" s="23">
        <v>8.6630000000000002E-5</v>
      </c>
    </row>
    <row r="2427" spans="1:12" ht="15.35" hidden="1" x14ac:dyDescent="0.55000000000000004">
      <c r="A2427" s="20">
        <v>16416</v>
      </c>
      <c r="B2427" s="2" t="s">
        <v>176</v>
      </c>
      <c r="C2427" s="2" t="s">
        <v>177</v>
      </c>
      <c r="D2427" s="20">
        <v>0</v>
      </c>
      <c r="E2427" s="2" t="s">
        <v>838</v>
      </c>
      <c r="F2427" s="2" t="s">
        <v>817</v>
      </c>
      <c r="G2427" s="2" t="s">
        <v>1059</v>
      </c>
      <c r="H2427" s="2" t="s">
        <v>1056</v>
      </c>
      <c r="J2427" s="26"/>
      <c r="K2427" s="36">
        <v>6.2503999999999999E-4</v>
      </c>
      <c r="L2427" s="23">
        <v>6.2500000000000001E-5</v>
      </c>
    </row>
    <row r="2428" spans="1:12" ht="15.35" hidden="1" x14ac:dyDescent="0.55000000000000004">
      <c r="A2428" s="20">
        <v>16597</v>
      </c>
      <c r="B2428" s="2" t="s">
        <v>176</v>
      </c>
      <c r="C2428" s="2" t="s">
        <v>177</v>
      </c>
      <c r="D2428" s="20">
        <v>0</v>
      </c>
      <c r="E2428" s="2" t="s">
        <v>838</v>
      </c>
      <c r="F2428" s="2" t="s">
        <v>793</v>
      </c>
      <c r="G2428" s="2" t="s">
        <v>2915</v>
      </c>
      <c r="H2428" s="2" t="s">
        <v>913</v>
      </c>
      <c r="J2428" s="26"/>
      <c r="K2428" s="36">
        <v>1.7010599999999999E-3</v>
      </c>
      <c r="L2428" s="23">
        <v>1.7011000000000001E-4</v>
      </c>
    </row>
    <row r="2429" spans="1:12" ht="15.35" hidden="1" x14ac:dyDescent="0.55000000000000004">
      <c r="A2429" s="20">
        <v>16359</v>
      </c>
      <c r="B2429" s="2" t="s">
        <v>176</v>
      </c>
      <c r="C2429" s="2" t="s">
        <v>177</v>
      </c>
      <c r="D2429" s="20">
        <v>0</v>
      </c>
      <c r="E2429" s="2" t="s">
        <v>838</v>
      </c>
      <c r="F2429" s="2" t="s">
        <v>793</v>
      </c>
      <c r="G2429" s="2" t="s">
        <v>2916</v>
      </c>
      <c r="H2429" s="2" t="s">
        <v>2916</v>
      </c>
      <c r="J2429" s="26"/>
      <c r="K2429" s="36">
        <v>8.3075200000000005E-3</v>
      </c>
      <c r="L2429" s="23">
        <v>8.3075E-4</v>
      </c>
    </row>
    <row r="2430" spans="1:12" ht="15.35" hidden="1" x14ac:dyDescent="0.55000000000000004">
      <c r="A2430" s="20">
        <v>16446</v>
      </c>
      <c r="B2430" s="2" t="s">
        <v>176</v>
      </c>
      <c r="C2430" s="2" t="s">
        <v>177</v>
      </c>
      <c r="D2430" s="20">
        <v>0</v>
      </c>
      <c r="E2430" s="2" t="s">
        <v>838</v>
      </c>
      <c r="F2430" s="2" t="s">
        <v>793</v>
      </c>
      <c r="G2430" s="2" t="s">
        <v>2917</v>
      </c>
      <c r="H2430" s="2" t="s">
        <v>997</v>
      </c>
      <c r="J2430" s="26"/>
      <c r="K2430" s="36">
        <v>7.9513999999999995E-4</v>
      </c>
      <c r="L2430" s="23">
        <v>7.9510000000000003E-5</v>
      </c>
    </row>
    <row r="2431" spans="1:12" ht="15.35" hidden="1" x14ac:dyDescent="0.55000000000000004">
      <c r="A2431" s="20">
        <v>16564</v>
      </c>
      <c r="B2431" s="2" t="s">
        <v>176</v>
      </c>
      <c r="C2431" s="2" t="s">
        <v>177</v>
      </c>
      <c r="D2431" s="20">
        <v>0</v>
      </c>
      <c r="E2431" s="2" t="s">
        <v>838</v>
      </c>
      <c r="F2431" s="2" t="s">
        <v>811</v>
      </c>
      <c r="G2431" s="2" t="s">
        <v>2918</v>
      </c>
      <c r="H2431" s="2" t="s">
        <v>1062</v>
      </c>
      <c r="J2431" s="26"/>
      <c r="K2431" s="36">
        <v>1.9778999999999999E-4</v>
      </c>
      <c r="L2431" s="23">
        <v>1.978E-5</v>
      </c>
    </row>
    <row r="2432" spans="1:12" ht="15.35" hidden="1" x14ac:dyDescent="0.55000000000000004">
      <c r="A2432" s="20">
        <v>16229</v>
      </c>
      <c r="B2432" s="2" t="s">
        <v>176</v>
      </c>
      <c r="C2432" s="2" t="s">
        <v>177</v>
      </c>
      <c r="D2432" s="20">
        <v>0</v>
      </c>
      <c r="E2432" s="2" t="s">
        <v>838</v>
      </c>
      <c r="F2432" s="2" t="s">
        <v>783</v>
      </c>
      <c r="G2432" s="2" t="s">
        <v>1061</v>
      </c>
      <c r="H2432" s="2" t="s">
        <v>1062</v>
      </c>
      <c r="J2432" s="26"/>
      <c r="K2432" s="36">
        <v>1.5823000000000001E-4</v>
      </c>
      <c r="L2432" s="23">
        <v>1.5820000000000001E-5</v>
      </c>
    </row>
    <row r="2433" spans="1:12" ht="15.35" hidden="1" x14ac:dyDescent="0.55000000000000004">
      <c r="A2433" s="20">
        <v>16770</v>
      </c>
      <c r="B2433" s="2" t="s">
        <v>176</v>
      </c>
      <c r="C2433" s="2" t="s">
        <v>177</v>
      </c>
      <c r="D2433" s="20">
        <v>0</v>
      </c>
      <c r="E2433" s="2" t="s">
        <v>838</v>
      </c>
      <c r="F2433" s="2" t="s">
        <v>811</v>
      </c>
      <c r="G2433" s="2" t="s">
        <v>2919</v>
      </c>
      <c r="H2433" s="2" t="s">
        <v>1062</v>
      </c>
      <c r="J2433" s="26"/>
      <c r="K2433" s="36">
        <v>3.5603000000000002E-4</v>
      </c>
      <c r="L2433" s="23">
        <v>3.5599999999999998E-5</v>
      </c>
    </row>
    <row r="2434" spans="1:12" ht="15.35" hidden="1" x14ac:dyDescent="0.55000000000000004">
      <c r="A2434" s="20">
        <v>15946</v>
      </c>
      <c r="B2434" s="2" t="s">
        <v>176</v>
      </c>
      <c r="C2434" s="2" t="s">
        <v>177</v>
      </c>
      <c r="D2434" s="20">
        <v>0</v>
      </c>
      <c r="E2434" s="2" t="s">
        <v>838</v>
      </c>
      <c r="F2434" s="2" t="s">
        <v>811</v>
      </c>
      <c r="G2434" s="2" t="s">
        <v>2920</v>
      </c>
      <c r="H2434" s="2" t="s">
        <v>1062</v>
      </c>
      <c r="J2434" s="26"/>
      <c r="K2434" s="36">
        <v>4.7469999999999998E-5</v>
      </c>
      <c r="L2434" s="23">
        <v>4.7500000000000003E-6</v>
      </c>
    </row>
    <row r="2435" spans="1:12" ht="15.35" hidden="1" x14ac:dyDescent="0.55000000000000004">
      <c r="A2435" s="20">
        <v>15918</v>
      </c>
      <c r="B2435" s="2" t="s">
        <v>176</v>
      </c>
      <c r="C2435" s="2" t="s">
        <v>177</v>
      </c>
      <c r="D2435" s="20">
        <v>0</v>
      </c>
      <c r="E2435" s="2" t="s">
        <v>838</v>
      </c>
      <c r="F2435" s="2" t="s">
        <v>811</v>
      </c>
      <c r="G2435" s="2" t="s">
        <v>2637</v>
      </c>
      <c r="H2435" s="2" t="s">
        <v>1062</v>
      </c>
      <c r="J2435" s="26"/>
      <c r="K2435" s="36">
        <v>2.7691E-4</v>
      </c>
      <c r="L2435" s="23">
        <v>2.7690000000000001E-5</v>
      </c>
    </row>
    <row r="2436" spans="1:12" ht="15.35" hidden="1" x14ac:dyDescent="0.55000000000000004">
      <c r="A2436" s="20">
        <v>16769</v>
      </c>
      <c r="B2436" s="2" t="s">
        <v>176</v>
      </c>
      <c r="C2436" s="2" t="s">
        <v>177</v>
      </c>
      <c r="D2436" s="20">
        <v>0</v>
      </c>
      <c r="E2436" s="2" t="s">
        <v>838</v>
      </c>
      <c r="F2436" s="2" t="s">
        <v>811</v>
      </c>
      <c r="G2436" s="2" t="s">
        <v>1067</v>
      </c>
      <c r="H2436" s="2" t="s">
        <v>1062</v>
      </c>
      <c r="J2436" s="26"/>
      <c r="K2436" s="36">
        <v>3.1647000000000001E-4</v>
      </c>
      <c r="L2436" s="23">
        <v>3.1649999999999997E-5</v>
      </c>
    </row>
    <row r="2437" spans="1:12" ht="15.35" hidden="1" x14ac:dyDescent="0.55000000000000004">
      <c r="A2437" s="20">
        <v>16186</v>
      </c>
      <c r="B2437" s="2" t="s">
        <v>176</v>
      </c>
      <c r="C2437" s="2" t="s">
        <v>177</v>
      </c>
      <c r="D2437" s="20">
        <v>0</v>
      </c>
      <c r="E2437" s="2" t="s">
        <v>838</v>
      </c>
      <c r="F2437" s="2" t="s">
        <v>811</v>
      </c>
      <c r="G2437" s="2" t="s">
        <v>2921</v>
      </c>
      <c r="H2437" s="2" t="s">
        <v>1062</v>
      </c>
      <c r="J2437" s="26"/>
      <c r="K2437" s="36">
        <v>1.9778999999999999E-4</v>
      </c>
      <c r="L2437" s="23">
        <v>1.978E-5</v>
      </c>
    </row>
    <row r="2438" spans="1:12" ht="15.35" hidden="1" x14ac:dyDescent="0.55000000000000004">
      <c r="A2438" s="20">
        <v>16092</v>
      </c>
      <c r="B2438" s="2" t="s">
        <v>176</v>
      </c>
      <c r="C2438" s="2" t="s">
        <v>177</v>
      </c>
      <c r="D2438" s="20">
        <v>0</v>
      </c>
      <c r="E2438" s="2" t="s">
        <v>838</v>
      </c>
      <c r="F2438" s="2" t="s">
        <v>811</v>
      </c>
      <c r="G2438" s="2" t="s">
        <v>2922</v>
      </c>
      <c r="H2438" s="2" t="s">
        <v>1062</v>
      </c>
      <c r="J2438" s="26"/>
      <c r="K2438" s="36">
        <v>3.5603000000000002E-4</v>
      </c>
      <c r="L2438" s="23">
        <v>3.5599999999999998E-5</v>
      </c>
    </row>
    <row r="2439" spans="1:12" ht="15.35" hidden="1" x14ac:dyDescent="0.55000000000000004">
      <c r="A2439" s="20">
        <v>16574</v>
      </c>
      <c r="B2439" s="2" t="s">
        <v>176</v>
      </c>
      <c r="C2439" s="2" t="s">
        <v>177</v>
      </c>
      <c r="D2439" s="20">
        <v>0</v>
      </c>
      <c r="E2439" s="2" t="s">
        <v>838</v>
      </c>
      <c r="F2439" s="2" t="s">
        <v>811</v>
      </c>
      <c r="G2439" s="2" t="s">
        <v>1068</v>
      </c>
      <c r="H2439" s="2" t="s">
        <v>1062</v>
      </c>
      <c r="J2439" s="26"/>
      <c r="K2439" s="36">
        <v>2.7691E-4</v>
      </c>
      <c r="L2439" s="23">
        <v>2.7690000000000001E-5</v>
      </c>
    </row>
    <row r="2440" spans="1:12" ht="15.35" hidden="1" x14ac:dyDescent="0.55000000000000004">
      <c r="A2440" s="20">
        <v>16696</v>
      </c>
      <c r="B2440" s="2" t="s">
        <v>176</v>
      </c>
      <c r="C2440" s="2" t="s">
        <v>177</v>
      </c>
      <c r="D2440" s="20">
        <v>0</v>
      </c>
      <c r="E2440" s="2" t="s">
        <v>838</v>
      </c>
      <c r="F2440" s="2" t="s">
        <v>811</v>
      </c>
      <c r="G2440" s="2" t="s">
        <v>2923</v>
      </c>
      <c r="H2440" s="2" t="s">
        <v>1062</v>
      </c>
      <c r="J2440" s="26"/>
      <c r="K2440" s="36">
        <v>1.5823000000000001E-4</v>
      </c>
      <c r="L2440" s="23">
        <v>1.5820000000000001E-5</v>
      </c>
    </row>
    <row r="2441" spans="1:12" ht="15.35" hidden="1" x14ac:dyDescent="0.55000000000000004">
      <c r="A2441" s="20">
        <v>16077</v>
      </c>
      <c r="B2441" s="2" t="s">
        <v>176</v>
      </c>
      <c r="C2441" s="2" t="s">
        <v>177</v>
      </c>
      <c r="D2441" s="20">
        <v>0</v>
      </c>
      <c r="E2441" s="2" t="s">
        <v>838</v>
      </c>
      <c r="F2441" s="2" t="s">
        <v>811</v>
      </c>
      <c r="G2441" s="2" t="s">
        <v>2924</v>
      </c>
      <c r="H2441" s="2" t="s">
        <v>1062</v>
      </c>
      <c r="J2441" s="26"/>
      <c r="K2441" s="36">
        <v>1.1867E-4</v>
      </c>
      <c r="L2441" s="23">
        <v>1.187E-5</v>
      </c>
    </row>
    <row r="2442" spans="1:12" ht="15.35" hidden="1" x14ac:dyDescent="0.55000000000000004">
      <c r="A2442" s="20">
        <v>16529</v>
      </c>
      <c r="B2442" s="2" t="s">
        <v>176</v>
      </c>
      <c r="C2442" s="2" t="s">
        <v>177</v>
      </c>
      <c r="D2442" s="20">
        <v>0</v>
      </c>
      <c r="E2442" s="2" t="s">
        <v>838</v>
      </c>
      <c r="F2442" s="2" t="s">
        <v>811</v>
      </c>
      <c r="G2442" s="2" t="s">
        <v>1069</v>
      </c>
      <c r="H2442" s="2" t="s">
        <v>1062</v>
      </c>
      <c r="J2442" s="26"/>
      <c r="K2442" s="36">
        <v>1.9384E-4</v>
      </c>
      <c r="L2442" s="23">
        <v>1.9380000000000001E-5</v>
      </c>
    </row>
    <row r="2443" spans="1:12" ht="15.35" hidden="1" x14ac:dyDescent="0.55000000000000004">
      <c r="A2443" s="20">
        <v>15934</v>
      </c>
      <c r="B2443" s="2" t="s">
        <v>176</v>
      </c>
      <c r="C2443" s="2" t="s">
        <v>177</v>
      </c>
      <c r="D2443" s="20">
        <v>0</v>
      </c>
      <c r="E2443" s="2" t="s">
        <v>838</v>
      </c>
      <c r="F2443" s="2" t="s">
        <v>811</v>
      </c>
      <c r="G2443" s="2" t="s">
        <v>2925</v>
      </c>
      <c r="H2443" s="2" t="s">
        <v>1062</v>
      </c>
      <c r="J2443" s="26"/>
      <c r="K2443" s="36">
        <v>7.9110000000000007E-5</v>
      </c>
      <c r="L2443" s="23">
        <v>7.9100000000000005E-6</v>
      </c>
    </row>
    <row r="2444" spans="1:12" ht="15.35" hidden="1" x14ac:dyDescent="0.55000000000000004">
      <c r="A2444" s="20">
        <v>16736</v>
      </c>
      <c r="B2444" s="2" t="s">
        <v>176</v>
      </c>
      <c r="C2444" s="2" t="s">
        <v>177</v>
      </c>
      <c r="D2444" s="20">
        <v>0</v>
      </c>
      <c r="E2444" s="2" t="s">
        <v>838</v>
      </c>
      <c r="F2444" s="2" t="s">
        <v>811</v>
      </c>
      <c r="G2444" s="2" t="s">
        <v>2926</v>
      </c>
      <c r="H2444" s="2" t="s">
        <v>1062</v>
      </c>
      <c r="J2444" s="26"/>
      <c r="K2444" s="36">
        <v>9.8889999999999997E-5</v>
      </c>
      <c r="L2444" s="23">
        <v>9.8900000000000002E-6</v>
      </c>
    </row>
    <row r="2445" spans="1:12" ht="15.35" hidden="1" x14ac:dyDescent="0.55000000000000004">
      <c r="A2445" s="20">
        <v>16450</v>
      </c>
      <c r="B2445" s="2" t="s">
        <v>176</v>
      </c>
      <c r="C2445" s="2" t="s">
        <v>177</v>
      </c>
      <c r="D2445" s="20">
        <v>0</v>
      </c>
      <c r="E2445" s="2" t="s">
        <v>838</v>
      </c>
      <c r="F2445" s="2" t="s">
        <v>811</v>
      </c>
      <c r="G2445" s="2" t="s">
        <v>1070</v>
      </c>
      <c r="H2445" s="2" t="s">
        <v>1062</v>
      </c>
      <c r="J2445" s="26"/>
      <c r="K2445" s="36">
        <v>1.9778999999999999E-4</v>
      </c>
      <c r="L2445" s="23">
        <v>1.978E-5</v>
      </c>
    </row>
    <row r="2446" spans="1:12" ht="15.35" hidden="1" x14ac:dyDescent="0.55000000000000004">
      <c r="A2446" s="20">
        <v>16567</v>
      </c>
      <c r="B2446" s="2" t="s">
        <v>176</v>
      </c>
      <c r="C2446" s="2" t="s">
        <v>177</v>
      </c>
      <c r="D2446" s="20">
        <v>0</v>
      </c>
      <c r="E2446" s="2" t="s">
        <v>838</v>
      </c>
      <c r="F2446" s="2" t="s">
        <v>811</v>
      </c>
      <c r="G2446" s="2" t="s">
        <v>1071</v>
      </c>
      <c r="H2446" s="2" t="s">
        <v>1062</v>
      </c>
      <c r="J2446" s="26"/>
      <c r="K2446" s="36">
        <v>2.3735E-4</v>
      </c>
      <c r="L2446" s="23">
        <v>2.3730000000000001E-5</v>
      </c>
    </row>
    <row r="2447" spans="1:12" ht="15.35" hidden="1" x14ac:dyDescent="0.55000000000000004">
      <c r="A2447" s="20">
        <v>15969</v>
      </c>
      <c r="B2447" s="2" t="s">
        <v>176</v>
      </c>
      <c r="C2447" s="2" t="s">
        <v>177</v>
      </c>
      <c r="D2447" s="20">
        <v>0</v>
      </c>
      <c r="E2447" s="2" t="s">
        <v>838</v>
      </c>
      <c r="F2447" s="2" t="s">
        <v>811</v>
      </c>
      <c r="G2447" s="2" t="s">
        <v>2639</v>
      </c>
      <c r="H2447" s="2" t="s">
        <v>1062</v>
      </c>
      <c r="J2447" s="26"/>
      <c r="K2447" s="36">
        <v>2.7691E-4</v>
      </c>
      <c r="L2447" s="23">
        <v>2.7690000000000001E-5</v>
      </c>
    </row>
    <row r="2448" spans="1:12" ht="15.35" hidden="1" x14ac:dyDescent="0.55000000000000004">
      <c r="A2448" s="20">
        <v>16392</v>
      </c>
      <c r="B2448" s="2" t="s">
        <v>176</v>
      </c>
      <c r="C2448" s="2" t="s">
        <v>177</v>
      </c>
      <c r="D2448" s="20">
        <v>0</v>
      </c>
      <c r="E2448" s="2" t="s">
        <v>838</v>
      </c>
      <c r="F2448" s="2" t="s">
        <v>811</v>
      </c>
      <c r="G2448" s="2" t="s">
        <v>1075</v>
      </c>
      <c r="H2448" s="2" t="s">
        <v>1062</v>
      </c>
      <c r="J2448" s="26"/>
      <c r="K2448" s="36">
        <v>1.5823000000000001E-4</v>
      </c>
      <c r="L2448" s="23">
        <v>1.5820000000000001E-5</v>
      </c>
    </row>
    <row r="2449" spans="1:12" ht="15.35" hidden="1" x14ac:dyDescent="0.55000000000000004">
      <c r="A2449" s="20">
        <v>16260</v>
      </c>
      <c r="B2449" s="2" t="s">
        <v>176</v>
      </c>
      <c r="C2449" s="2" t="s">
        <v>177</v>
      </c>
      <c r="D2449" s="20">
        <v>0</v>
      </c>
      <c r="E2449" s="2" t="s">
        <v>838</v>
      </c>
      <c r="F2449" s="2" t="s">
        <v>811</v>
      </c>
      <c r="G2449" s="2" t="s">
        <v>2927</v>
      </c>
      <c r="H2449" s="2" t="s">
        <v>1062</v>
      </c>
      <c r="J2449" s="26"/>
      <c r="K2449" s="36">
        <v>6.7250999999999997E-4</v>
      </c>
      <c r="L2449" s="23">
        <v>6.7249999999999995E-5</v>
      </c>
    </row>
    <row r="2450" spans="1:12" ht="15.35" hidden="1" x14ac:dyDescent="0.55000000000000004">
      <c r="A2450" s="20">
        <v>16387</v>
      </c>
      <c r="B2450" s="2" t="s">
        <v>176</v>
      </c>
      <c r="C2450" s="2" t="s">
        <v>177</v>
      </c>
      <c r="D2450" s="20">
        <v>0</v>
      </c>
      <c r="E2450" s="2" t="s">
        <v>838</v>
      </c>
      <c r="F2450" s="2" t="s">
        <v>811</v>
      </c>
      <c r="G2450" s="2" t="s">
        <v>1076</v>
      </c>
      <c r="H2450" s="2" t="s">
        <v>1062</v>
      </c>
      <c r="J2450" s="26"/>
      <c r="K2450" s="36">
        <v>4.5492999999999998E-4</v>
      </c>
      <c r="L2450" s="23">
        <v>4.549E-5</v>
      </c>
    </row>
    <row r="2451" spans="1:12" ht="15.35" hidden="1" x14ac:dyDescent="0.55000000000000004">
      <c r="A2451" s="20">
        <v>16771</v>
      </c>
      <c r="B2451" s="2" t="s">
        <v>176</v>
      </c>
      <c r="C2451" s="2" t="s">
        <v>177</v>
      </c>
      <c r="D2451" s="20">
        <v>0</v>
      </c>
      <c r="E2451" s="2" t="s">
        <v>838</v>
      </c>
      <c r="F2451" s="2" t="s">
        <v>811</v>
      </c>
      <c r="G2451" s="2" t="s">
        <v>1081</v>
      </c>
      <c r="H2451" s="2" t="s">
        <v>1062</v>
      </c>
      <c r="J2451" s="26"/>
      <c r="K2451" s="36">
        <v>1.7009999999999999E-4</v>
      </c>
      <c r="L2451" s="23">
        <v>1.7010000000000001E-5</v>
      </c>
    </row>
    <row r="2452" spans="1:12" ht="15.35" hidden="1" x14ac:dyDescent="0.55000000000000004">
      <c r="A2452" s="20">
        <v>15994</v>
      </c>
      <c r="B2452" s="2" t="s">
        <v>176</v>
      </c>
      <c r="C2452" s="2" t="s">
        <v>177</v>
      </c>
      <c r="D2452" s="20">
        <v>0</v>
      </c>
      <c r="E2452" s="2" t="s">
        <v>838</v>
      </c>
      <c r="F2452" s="2" t="s">
        <v>811</v>
      </c>
      <c r="G2452" s="2" t="s">
        <v>1082</v>
      </c>
      <c r="H2452" s="2" t="s">
        <v>1062</v>
      </c>
      <c r="J2452" s="26"/>
      <c r="K2452" s="36">
        <v>4.7470999999999999E-4</v>
      </c>
      <c r="L2452" s="23">
        <v>4.7469999999999998E-5</v>
      </c>
    </row>
    <row r="2453" spans="1:12" ht="15.35" hidden="1" x14ac:dyDescent="0.55000000000000004">
      <c r="A2453" s="20">
        <v>16237</v>
      </c>
      <c r="B2453" s="2" t="s">
        <v>176</v>
      </c>
      <c r="C2453" s="2" t="s">
        <v>177</v>
      </c>
      <c r="D2453" s="20">
        <v>0</v>
      </c>
      <c r="E2453" s="2" t="s">
        <v>838</v>
      </c>
      <c r="F2453" s="2" t="s">
        <v>817</v>
      </c>
      <c r="G2453" s="2" t="s">
        <v>2928</v>
      </c>
      <c r="H2453" s="2" t="s">
        <v>2010</v>
      </c>
      <c r="J2453" s="26"/>
      <c r="K2453" s="36">
        <v>8.7029999999999999E-5</v>
      </c>
      <c r="L2453" s="23">
        <v>8.6999999999999997E-6</v>
      </c>
    </row>
    <row r="2454" spans="1:12" ht="15.35" hidden="1" x14ac:dyDescent="0.55000000000000004">
      <c r="A2454" s="20">
        <v>16605</v>
      </c>
      <c r="B2454" s="2" t="s">
        <v>176</v>
      </c>
      <c r="C2454" s="2" t="s">
        <v>177</v>
      </c>
      <c r="D2454" s="20">
        <v>0</v>
      </c>
      <c r="E2454" s="2" t="s">
        <v>838</v>
      </c>
      <c r="F2454" s="2" t="s">
        <v>817</v>
      </c>
      <c r="G2454" s="2" t="s">
        <v>2929</v>
      </c>
      <c r="H2454" s="2" t="s">
        <v>2010</v>
      </c>
      <c r="J2454" s="26"/>
      <c r="K2454" s="36">
        <v>2.50016E-3</v>
      </c>
      <c r="L2454" s="23">
        <v>2.5001999999999999E-4</v>
      </c>
    </row>
    <row r="2455" spans="1:12" ht="15.35" hidden="1" x14ac:dyDescent="0.55000000000000004">
      <c r="A2455" s="20">
        <v>16596</v>
      </c>
      <c r="B2455" s="2" t="s">
        <v>176</v>
      </c>
      <c r="C2455" s="2" t="s">
        <v>177</v>
      </c>
      <c r="D2455" s="20">
        <v>0</v>
      </c>
      <c r="E2455" s="2" t="s">
        <v>838</v>
      </c>
      <c r="F2455" s="2" t="s">
        <v>817</v>
      </c>
      <c r="G2455" s="2" t="s">
        <v>2930</v>
      </c>
      <c r="H2455" s="2" t="s">
        <v>1506</v>
      </c>
      <c r="J2455" s="26"/>
      <c r="K2455" s="36">
        <v>1.1472E-4</v>
      </c>
      <c r="L2455" s="23">
        <v>1.147E-5</v>
      </c>
    </row>
    <row r="2456" spans="1:12" ht="15.35" hidden="1" x14ac:dyDescent="0.55000000000000004">
      <c r="A2456" s="20">
        <v>16445</v>
      </c>
      <c r="B2456" s="2" t="s">
        <v>176</v>
      </c>
      <c r="C2456" s="2" t="s">
        <v>177</v>
      </c>
      <c r="D2456" s="20">
        <v>0</v>
      </c>
      <c r="E2456" s="2" t="s">
        <v>838</v>
      </c>
      <c r="F2456" s="2" t="s">
        <v>817</v>
      </c>
      <c r="G2456" s="2" t="s">
        <v>2931</v>
      </c>
      <c r="H2456" s="2" t="s">
        <v>1506</v>
      </c>
      <c r="J2456" s="26"/>
      <c r="K2456" s="36">
        <v>1.1472E-4</v>
      </c>
      <c r="L2456" s="23">
        <v>1.147E-5</v>
      </c>
    </row>
    <row r="2457" spans="1:12" ht="15.35" hidden="1" x14ac:dyDescent="0.55000000000000004">
      <c r="A2457" s="20">
        <v>16756</v>
      </c>
      <c r="B2457" s="2" t="s">
        <v>176</v>
      </c>
      <c r="C2457" s="2" t="s">
        <v>177</v>
      </c>
      <c r="D2457" s="20">
        <v>0</v>
      </c>
      <c r="E2457" s="2" t="s">
        <v>838</v>
      </c>
      <c r="F2457" s="2" t="s">
        <v>817</v>
      </c>
      <c r="G2457" s="2" t="s">
        <v>2932</v>
      </c>
      <c r="H2457" s="2" t="s">
        <v>1506</v>
      </c>
      <c r="J2457" s="26"/>
      <c r="K2457" s="36">
        <v>1.1472E-4</v>
      </c>
      <c r="L2457" s="23">
        <v>1.147E-5</v>
      </c>
    </row>
    <row r="2458" spans="1:12" ht="15.35" hidden="1" x14ac:dyDescent="0.55000000000000004">
      <c r="A2458" s="20">
        <v>16627</v>
      </c>
      <c r="B2458" s="2" t="s">
        <v>176</v>
      </c>
      <c r="C2458" s="2" t="s">
        <v>177</v>
      </c>
      <c r="D2458" s="20">
        <v>0</v>
      </c>
      <c r="E2458" s="2" t="s">
        <v>838</v>
      </c>
      <c r="F2458" s="2" t="s">
        <v>793</v>
      </c>
      <c r="G2458" s="2" t="s">
        <v>2933</v>
      </c>
      <c r="H2458" s="2" t="s">
        <v>1369</v>
      </c>
      <c r="J2458" s="26"/>
      <c r="K2458" s="36">
        <v>4.5453999999999998E-3</v>
      </c>
      <c r="L2458" s="23">
        <v>4.5454000000000002E-4</v>
      </c>
    </row>
    <row r="2459" spans="1:12" ht="15.35" hidden="1" x14ac:dyDescent="0.55000000000000004">
      <c r="A2459" s="20">
        <v>16601</v>
      </c>
      <c r="B2459" s="2" t="s">
        <v>176</v>
      </c>
      <c r="C2459" s="2" t="s">
        <v>177</v>
      </c>
      <c r="D2459" s="20">
        <v>0</v>
      </c>
      <c r="E2459" s="2" t="s">
        <v>838</v>
      </c>
      <c r="F2459" s="2" t="s">
        <v>793</v>
      </c>
      <c r="G2459" s="2" t="s">
        <v>2934</v>
      </c>
      <c r="H2459" s="2" t="s">
        <v>1369</v>
      </c>
      <c r="J2459" s="26"/>
      <c r="K2459" s="36">
        <v>4.5453999999999998E-3</v>
      </c>
      <c r="L2459" s="23">
        <v>4.5454000000000002E-4</v>
      </c>
    </row>
    <row r="2460" spans="1:12" ht="15.35" hidden="1" x14ac:dyDescent="0.55000000000000004">
      <c r="A2460" s="20">
        <v>16001</v>
      </c>
      <c r="B2460" s="2" t="s">
        <v>176</v>
      </c>
      <c r="C2460" s="2" t="s">
        <v>177</v>
      </c>
      <c r="D2460" s="20">
        <v>0</v>
      </c>
      <c r="E2460" s="2" t="s">
        <v>838</v>
      </c>
      <c r="F2460" s="2" t="s">
        <v>848</v>
      </c>
      <c r="G2460" s="2" t="s">
        <v>924</v>
      </c>
      <c r="H2460" s="2" t="s">
        <v>924</v>
      </c>
      <c r="J2460" s="26"/>
      <c r="K2460" s="36">
        <v>5.9339400000000004E-3</v>
      </c>
      <c r="L2460" s="23">
        <v>5.9338999999999995E-4</v>
      </c>
    </row>
    <row r="2461" spans="1:12" ht="15.35" hidden="1" x14ac:dyDescent="0.55000000000000004">
      <c r="A2461" s="20">
        <v>15919</v>
      </c>
      <c r="B2461" s="2" t="s">
        <v>176</v>
      </c>
      <c r="C2461" s="2" t="s">
        <v>177</v>
      </c>
      <c r="D2461" s="20">
        <v>0</v>
      </c>
      <c r="E2461" s="2" t="s">
        <v>838</v>
      </c>
      <c r="F2461" s="2" t="s">
        <v>789</v>
      </c>
      <c r="G2461" s="2" t="s">
        <v>1091</v>
      </c>
      <c r="H2461" s="2" t="s">
        <v>1092</v>
      </c>
      <c r="J2461" s="26"/>
      <c r="K2461" s="36">
        <v>6.2504199999999996E-3</v>
      </c>
      <c r="L2461" s="23">
        <v>6.2503999999999999E-4</v>
      </c>
    </row>
    <row r="2462" spans="1:12" ht="15.35" hidden="1" x14ac:dyDescent="0.55000000000000004">
      <c r="A2462" s="20">
        <v>16587</v>
      </c>
      <c r="B2462" s="2" t="s">
        <v>176</v>
      </c>
      <c r="C2462" s="2" t="s">
        <v>177</v>
      </c>
      <c r="D2462" s="20">
        <v>0</v>
      </c>
      <c r="E2462" s="2" t="s">
        <v>838</v>
      </c>
      <c r="F2462" s="2" t="s">
        <v>789</v>
      </c>
      <c r="G2462" s="2" t="s">
        <v>1091</v>
      </c>
      <c r="H2462" s="2" t="s">
        <v>1092</v>
      </c>
      <c r="J2462" s="26"/>
      <c r="K2462" s="36">
        <v>2.8877999999999998E-4</v>
      </c>
      <c r="L2462" s="23">
        <v>2.8880000000000001E-5</v>
      </c>
    </row>
    <row r="2463" spans="1:12" ht="15.35" hidden="1" x14ac:dyDescent="0.55000000000000004">
      <c r="A2463" s="20">
        <v>16389</v>
      </c>
      <c r="B2463" s="2" t="s">
        <v>176</v>
      </c>
      <c r="C2463" s="2" t="s">
        <v>177</v>
      </c>
      <c r="D2463" s="20">
        <v>0</v>
      </c>
      <c r="E2463" s="2" t="s">
        <v>838</v>
      </c>
      <c r="F2463" s="2" t="s">
        <v>789</v>
      </c>
      <c r="G2463" s="2" t="s">
        <v>2935</v>
      </c>
      <c r="H2463" s="2" t="s">
        <v>1092</v>
      </c>
      <c r="J2463" s="26"/>
      <c r="K2463" s="36">
        <v>2.6899999999999998E-4</v>
      </c>
      <c r="L2463" s="23">
        <v>2.69E-5</v>
      </c>
    </row>
    <row r="2464" spans="1:12" ht="15.35" hidden="1" x14ac:dyDescent="0.55000000000000004">
      <c r="A2464" s="20">
        <v>16388</v>
      </c>
      <c r="B2464" s="2" t="s">
        <v>176</v>
      </c>
      <c r="C2464" s="2" t="s">
        <v>177</v>
      </c>
      <c r="D2464" s="20">
        <v>0</v>
      </c>
      <c r="E2464" s="2" t="s">
        <v>838</v>
      </c>
      <c r="F2464" s="2" t="s">
        <v>848</v>
      </c>
      <c r="G2464" s="2" t="s">
        <v>1094</v>
      </c>
      <c r="H2464" s="2" t="s">
        <v>1094</v>
      </c>
      <c r="J2464" s="26"/>
      <c r="K2464" s="36">
        <v>8.3075200000000005E-3</v>
      </c>
      <c r="L2464" s="23">
        <v>8.3075E-4</v>
      </c>
    </row>
    <row r="2465" spans="1:12" ht="15.35" hidden="1" x14ac:dyDescent="0.55000000000000004">
      <c r="A2465" s="20">
        <v>16360</v>
      </c>
      <c r="B2465" s="2" t="s">
        <v>176</v>
      </c>
      <c r="C2465" s="2" t="s">
        <v>177</v>
      </c>
      <c r="D2465" s="20">
        <v>0</v>
      </c>
      <c r="E2465" s="2" t="s">
        <v>838</v>
      </c>
      <c r="F2465" s="2" t="s">
        <v>793</v>
      </c>
      <c r="G2465" s="2" t="s">
        <v>2936</v>
      </c>
      <c r="H2465" s="2" t="s">
        <v>2100</v>
      </c>
      <c r="J2465" s="26"/>
      <c r="K2465" s="36">
        <v>7.0416000000000001E-4</v>
      </c>
      <c r="L2465" s="23">
        <v>7.0419999999999993E-5</v>
      </c>
    </row>
    <row r="2466" spans="1:12" ht="15.35" hidden="1" x14ac:dyDescent="0.55000000000000004">
      <c r="A2466" s="20">
        <v>16426</v>
      </c>
      <c r="B2466" s="2" t="s">
        <v>176</v>
      </c>
      <c r="C2466" s="2" t="s">
        <v>177</v>
      </c>
      <c r="D2466" s="20">
        <v>0</v>
      </c>
      <c r="E2466" s="2" t="s">
        <v>838</v>
      </c>
      <c r="F2466" s="2" t="s">
        <v>793</v>
      </c>
      <c r="G2466" s="2" t="s">
        <v>2937</v>
      </c>
      <c r="H2466" s="2" t="s">
        <v>2100</v>
      </c>
      <c r="J2466" s="26"/>
      <c r="K2466" s="36">
        <v>4.5096999999999997E-4</v>
      </c>
      <c r="L2466" s="23">
        <v>4.5099999999999998E-5</v>
      </c>
    </row>
    <row r="2467" spans="1:12" ht="15.35" hidden="1" x14ac:dyDescent="0.55000000000000004">
      <c r="A2467" s="20">
        <v>16407</v>
      </c>
      <c r="B2467" s="2" t="s">
        <v>176</v>
      </c>
      <c r="C2467" s="2" t="s">
        <v>177</v>
      </c>
      <c r="D2467" s="20">
        <v>0</v>
      </c>
      <c r="E2467" s="2" t="s">
        <v>838</v>
      </c>
      <c r="F2467" s="2" t="s">
        <v>793</v>
      </c>
      <c r="G2467" s="2" t="s">
        <v>2938</v>
      </c>
      <c r="H2467" s="2" t="s">
        <v>2100</v>
      </c>
      <c r="J2467" s="26"/>
      <c r="K2467" s="36">
        <v>1.2658999999999999E-4</v>
      </c>
      <c r="L2467" s="23">
        <v>1.2660000000000001E-5</v>
      </c>
    </row>
    <row r="2468" spans="1:12" ht="15.35" hidden="1" x14ac:dyDescent="0.55000000000000004">
      <c r="A2468" s="20">
        <v>16140</v>
      </c>
      <c r="B2468" s="2" t="s">
        <v>176</v>
      </c>
      <c r="C2468" s="2" t="s">
        <v>177</v>
      </c>
      <c r="D2468" s="20">
        <v>0</v>
      </c>
      <c r="E2468" s="2" t="s">
        <v>838</v>
      </c>
      <c r="F2468" s="2" t="s">
        <v>793</v>
      </c>
      <c r="G2468" s="2" t="s">
        <v>2939</v>
      </c>
      <c r="H2468" s="2" t="s">
        <v>2100</v>
      </c>
      <c r="J2468" s="26"/>
      <c r="K2468" s="36">
        <v>1.3054000000000001E-4</v>
      </c>
      <c r="L2468" s="23">
        <v>1.305E-5</v>
      </c>
    </row>
    <row r="2469" spans="1:12" ht="15.35" hidden="1" x14ac:dyDescent="0.55000000000000004">
      <c r="A2469" s="20">
        <v>16789</v>
      </c>
      <c r="B2469" s="2" t="s">
        <v>176</v>
      </c>
      <c r="C2469" s="2" t="s">
        <v>177</v>
      </c>
      <c r="D2469" s="20">
        <v>0</v>
      </c>
      <c r="E2469" s="2" t="s">
        <v>838</v>
      </c>
      <c r="F2469" s="2" t="s">
        <v>793</v>
      </c>
      <c r="G2469" s="2" t="s">
        <v>2940</v>
      </c>
      <c r="H2469" s="2" t="s">
        <v>2100</v>
      </c>
      <c r="J2469" s="26"/>
      <c r="K2469" s="36">
        <v>1.3449999999999999E-4</v>
      </c>
      <c r="L2469" s="23">
        <v>1.345E-5</v>
      </c>
    </row>
    <row r="2470" spans="1:12" ht="15.35" hidden="1" x14ac:dyDescent="0.55000000000000004">
      <c r="A2470" s="20">
        <v>16181</v>
      </c>
      <c r="B2470" s="2" t="s">
        <v>176</v>
      </c>
      <c r="C2470" s="2" t="s">
        <v>177</v>
      </c>
      <c r="D2470" s="20">
        <v>0</v>
      </c>
      <c r="E2470" s="2" t="s">
        <v>838</v>
      </c>
      <c r="F2470" s="2" t="s">
        <v>793</v>
      </c>
      <c r="G2470" s="2" t="s">
        <v>2941</v>
      </c>
      <c r="H2470" s="2" t="s">
        <v>2100</v>
      </c>
      <c r="J2470" s="26"/>
      <c r="K2470" s="36">
        <v>1.3054000000000001E-4</v>
      </c>
      <c r="L2470" s="23">
        <v>1.305E-5</v>
      </c>
    </row>
    <row r="2471" spans="1:12" ht="15.35" hidden="1" x14ac:dyDescent="0.55000000000000004">
      <c r="A2471" s="20">
        <v>15975</v>
      </c>
      <c r="B2471" s="2" t="s">
        <v>176</v>
      </c>
      <c r="C2471" s="2" t="s">
        <v>177</v>
      </c>
      <c r="D2471" s="20">
        <v>0</v>
      </c>
      <c r="E2471" s="2" t="s">
        <v>838</v>
      </c>
      <c r="F2471" s="2" t="s">
        <v>793</v>
      </c>
      <c r="G2471" s="2" t="s">
        <v>2942</v>
      </c>
      <c r="H2471" s="2" t="s">
        <v>2100</v>
      </c>
      <c r="J2471" s="26"/>
      <c r="K2471" s="36">
        <v>1.3054000000000001E-4</v>
      </c>
      <c r="L2471" s="23">
        <v>1.305E-5</v>
      </c>
    </row>
    <row r="2472" spans="1:12" ht="15.35" hidden="1" x14ac:dyDescent="0.55000000000000004">
      <c r="A2472" s="20">
        <v>16405</v>
      </c>
      <c r="B2472" s="2" t="s">
        <v>176</v>
      </c>
      <c r="C2472" s="2" t="s">
        <v>177</v>
      </c>
      <c r="D2472" s="20">
        <v>0</v>
      </c>
      <c r="E2472" s="2" t="s">
        <v>838</v>
      </c>
      <c r="F2472" s="2" t="s">
        <v>793</v>
      </c>
      <c r="G2472" s="2" t="s">
        <v>2943</v>
      </c>
      <c r="H2472" s="2" t="s">
        <v>2100</v>
      </c>
      <c r="J2472" s="26"/>
      <c r="K2472" s="36">
        <v>1.3054000000000001E-4</v>
      </c>
      <c r="L2472" s="23">
        <v>1.305E-5</v>
      </c>
    </row>
    <row r="2473" spans="1:12" ht="15.35" hidden="1" x14ac:dyDescent="0.55000000000000004">
      <c r="A2473" s="20">
        <v>16277</v>
      </c>
      <c r="B2473" s="2" t="s">
        <v>176</v>
      </c>
      <c r="C2473" s="2" t="s">
        <v>177</v>
      </c>
      <c r="D2473" s="20">
        <v>0</v>
      </c>
      <c r="E2473" s="2" t="s">
        <v>838</v>
      </c>
      <c r="F2473" s="2" t="s">
        <v>793</v>
      </c>
      <c r="G2473" s="2" t="s">
        <v>2944</v>
      </c>
      <c r="H2473" s="2" t="s">
        <v>2100</v>
      </c>
      <c r="J2473" s="26"/>
      <c r="K2473" s="36">
        <v>8.7029999999999999E-5</v>
      </c>
      <c r="L2473" s="23">
        <v>8.6999999999999997E-6</v>
      </c>
    </row>
    <row r="2474" spans="1:12" ht="15.35" hidden="1" x14ac:dyDescent="0.55000000000000004">
      <c r="A2474" s="20">
        <v>16460</v>
      </c>
      <c r="B2474" s="2" t="s">
        <v>176</v>
      </c>
      <c r="C2474" s="2" t="s">
        <v>177</v>
      </c>
      <c r="D2474" s="20">
        <v>0</v>
      </c>
      <c r="E2474" s="2" t="s">
        <v>838</v>
      </c>
      <c r="F2474" s="2" t="s">
        <v>793</v>
      </c>
      <c r="G2474" s="2" t="s">
        <v>2945</v>
      </c>
      <c r="H2474" s="2" t="s">
        <v>2100</v>
      </c>
      <c r="J2474" s="26"/>
      <c r="K2474" s="36">
        <v>6.8833000000000002E-4</v>
      </c>
      <c r="L2474" s="23">
        <v>6.8830000000000003E-5</v>
      </c>
    </row>
    <row r="2475" spans="1:12" ht="15.35" hidden="1" x14ac:dyDescent="0.55000000000000004">
      <c r="A2475" s="20">
        <v>15942</v>
      </c>
      <c r="B2475" s="2" t="s">
        <v>176</v>
      </c>
      <c r="C2475" s="2" t="s">
        <v>177</v>
      </c>
      <c r="D2475" s="20">
        <v>0</v>
      </c>
      <c r="E2475" s="2" t="s">
        <v>838</v>
      </c>
      <c r="F2475" s="2" t="s">
        <v>793</v>
      </c>
      <c r="G2475" s="2" t="s">
        <v>2946</v>
      </c>
      <c r="H2475" s="2" t="s">
        <v>2100</v>
      </c>
      <c r="J2475" s="26"/>
      <c r="K2475" s="36">
        <v>4.7867E-4</v>
      </c>
      <c r="L2475" s="23">
        <v>4.7870000000000001E-5</v>
      </c>
    </row>
    <row r="2476" spans="1:12" ht="15.35" hidden="1" x14ac:dyDescent="0.55000000000000004">
      <c r="A2476" s="20">
        <v>16071</v>
      </c>
      <c r="B2476" s="2" t="s">
        <v>176</v>
      </c>
      <c r="C2476" s="2" t="s">
        <v>177</v>
      </c>
      <c r="D2476" s="20">
        <v>0</v>
      </c>
      <c r="E2476" s="2" t="s">
        <v>838</v>
      </c>
      <c r="F2476" s="2" t="s">
        <v>793</v>
      </c>
      <c r="G2476" s="2" t="s">
        <v>2947</v>
      </c>
      <c r="H2476" s="2" t="s">
        <v>2100</v>
      </c>
      <c r="J2476" s="26"/>
      <c r="K2476" s="36">
        <v>3.5998999999999997E-4</v>
      </c>
      <c r="L2476" s="23">
        <v>3.6000000000000001E-5</v>
      </c>
    </row>
    <row r="2477" spans="1:12" ht="15.35" hidden="1" x14ac:dyDescent="0.55000000000000004">
      <c r="A2477" s="20">
        <v>16079</v>
      </c>
      <c r="B2477" s="2" t="s">
        <v>176</v>
      </c>
      <c r="C2477" s="2" t="s">
        <v>177</v>
      </c>
      <c r="D2477" s="20">
        <v>0</v>
      </c>
      <c r="E2477" s="2" t="s">
        <v>838</v>
      </c>
      <c r="F2477" s="2" t="s">
        <v>793</v>
      </c>
      <c r="G2477" s="2" t="s">
        <v>2948</v>
      </c>
      <c r="H2477" s="2" t="s">
        <v>2100</v>
      </c>
      <c r="J2477" s="26"/>
      <c r="K2477" s="36">
        <v>6.8833000000000002E-4</v>
      </c>
      <c r="L2477" s="23">
        <v>6.8830000000000003E-5</v>
      </c>
    </row>
    <row r="2478" spans="1:12" ht="15.35" hidden="1" x14ac:dyDescent="0.55000000000000004">
      <c r="A2478" s="20">
        <v>16119</v>
      </c>
      <c r="B2478" s="2" t="s">
        <v>176</v>
      </c>
      <c r="C2478" s="2" t="s">
        <v>177</v>
      </c>
      <c r="D2478" s="20">
        <v>0</v>
      </c>
      <c r="E2478" s="2" t="s">
        <v>838</v>
      </c>
      <c r="F2478" s="2" t="s">
        <v>793</v>
      </c>
      <c r="G2478" s="2" t="s">
        <v>2949</v>
      </c>
      <c r="H2478" s="2" t="s">
        <v>2100</v>
      </c>
      <c r="J2478" s="26"/>
      <c r="K2478" s="36">
        <v>8.1097000000000005E-4</v>
      </c>
      <c r="L2478" s="23">
        <v>8.1100000000000006E-5</v>
      </c>
    </row>
    <row r="2479" spans="1:12" ht="15.35" hidden="1" x14ac:dyDescent="0.55000000000000004">
      <c r="A2479" s="20">
        <v>16619</v>
      </c>
      <c r="B2479" s="2" t="s">
        <v>176</v>
      </c>
      <c r="C2479" s="2" t="s">
        <v>177</v>
      </c>
      <c r="D2479" s="20">
        <v>0</v>
      </c>
      <c r="E2479" s="2" t="s">
        <v>838</v>
      </c>
      <c r="F2479" s="2" t="s">
        <v>793</v>
      </c>
      <c r="G2479" s="2" t="s">
        <v>2950</v>
      </c>
      <c r="H2479" s="2" t="s">
        <v>2100</v>
      </c>
      <c r="J2479" s="26"/>
      <c r="K2479" s="36">
        <v>5.3008999999999999E-4</v>
      </c>
      <c r="L2479" s="23">
        <v>5.3010000000000002E-5</v>
      </c>
    </row>
    <row r="2480" spans="1:12" ht="15.35" hidden="1" x14ac:dyDescent="0.55000000000000004">
      <c r="A2480" s="20">
        <v>16190</v>
      </c>
      <c r="B2480" s="2" t="s">
        <v>176</v>
      </c>
      <c r="C2480" s="2" t="s">
        <v>177</v>
      </c>
      <c r="D2480" s="20">
        <v>0</v>
      </c>
      <c r="E2480" s="2" t="s">
        <v>838</v>
      </c>
      <c r="F2480" s="2" t="s">
        <v>793</v>
      </c>
      <c r="G2480" s="2" t="s">
        <v>2951</v>
      </c>
      <c r="H2480" s="2" t="s">
        <v>2100</v>
      </c>
      <c r="J2480" s="26"/>
      <c r="K2480" s="36">
        <v>8.7031000000000001E-4</v>
      </c>
      <c r="L2480" s="23">
        <v>8.7029999999999999E-5</v>
      </c>
    </row>
    <row r="2481" spans="1:12" ht="15.35" hidden="1" x14ac:dyDescent="0.55000000000000004">
      <c r="A2481" s="20">
        <v>16090</v>
      </c>
      <c r="B2481" s="2" t="s">
        <v>176</v>
      </c>
      <c r="C2481" s="2" t="s">
        <v>177</v>
      </c>
      <c r="D2481" s="20">
        <v>0</v>
      </c>
      <c r="E2481" s="2" t="s">
        <v>838</v>
      </c>
      <c r="F2481" s="2" t="s">
        <v>793</v>
      </c>
      <c r="G2481" s="2" t="s">
        <v>2952</v>
      </c>
      <c r="H2481" s="2" t="s">
        <v>2100</v>
      </c>
      <c r="J2481" s="26"/>
      <c r="K2481" s="36">
        <v>7.1602000000000005E-4</v>
      </c>
      <c r="L2481" s="23">
        <v>7.1600000000000006E-5</v>
      </c>
    </row>
    <row r="2482" spans="1:12" ht="15.35" hidden="1" x14ac:dyDescent="0.55000000000000004">
      <c r="A2482" s="20">
        <v>16331</v>
      </c>
      <c r="B2482" s="2" t="s">
        <v>176</v>
      </c>
      <c r="C2482" s="2" t="s">
        <v>177</v>
      </c>
      <c r="D2482" s="20">
        <v>0</v>
      </c>
      <c r="E2482" s="2" t="s">
        <v>838</v>
      </c>
      <c r="F2482" s="2" t="s">
        <v>793</v>
      </c>
      <c r="G2482" s="2" t="s">
        <v>2953</v>
      </c>
      <c r="H2482" s="2" t="s">
        <v>2100</v>
      </c>
      <c r="J2482" s="26"/>
      <c r="K2482" s="36">
        <v>6.0921E-4</v>
      </c>
      <c r="L2482" s="23">
        <v>6.0919999999999999E-5</v>
      </c>
    </row>
    <row r="2483" spans="1:12" ht="15.35" hidden="1" x14ac:dyDescent="0.55000000000000004">
      <c r="A2483" s="20">
        <v>16584</v>
      </c>
      <c r="B2483" s="2" t="s">
        <v>176</v>
      </c>
      <c r="C2483" s="2" t="s">
        <v>177</v>
      </c>
      <c r="D2483" s="20">
        <v>0</v>
      </c>
      <c r="E2483" s="2" t="s">
        <v>838</v>
      </c>
      <c r="F2483" s="2" t="s">
        <v>793</v>
      </c>
      <c r="G2483" s="2" t="s">
        <v>2954</v>
      </c>
      <c r="H2483" s="2" t="s">
        <v>2100</v>
      </c>
      <c r="J2483" s="26"/>
      <c r="K2483" s="36">
        <v>5.7361000000000001E-4</v>
      </c>
      <c r="L2483" s="23">
        <v>5.736E-5</v>
      </c>
    </row>
    <row r="2484" spans="1:12" ht="15.35" hidden="1" x14ac:dyDescent="0.55000000000000004">
      <c r="A2484" s="20">
        <v>16010</v>
      </c>
      <c r="B2484" s="2" t="s">
        <v>176</v>
      </c>
      <c r="C2484" s="2" t="s">
        <v>177</v>
      </c>
      <c r="D2484" s="20">
        <v>0</v>
      </c>
      <c r="E2484" s="2" t="s">
        <v>838</v>
      </c>
      <c r="F2484" s="2" t="s">
        <v>793</v>
      </c>
      <c r="G2484" s="2" t="s">
        <v>2955</v>
      </c>
      <c r="H2484" s="2" t="s">
        <v>2100</v>
      </c>
      <c r="J2484" s="26"/>
      <c r="K2484" s="36">
        <v>5.8943000000000005E-4</v>
      </c>
      <c r="L2484" s="23">
        <v>5.8940000000000002E-5</v>
      </c>
    </row>
    <row r="2485" spans="1:12" ht="15.35" hidden="1" x14ac:dyDescent="0.55000000000000004">
      <c r="A2485" s="20">
        <v>16443</v>
      </c>
      <c r="B2485" s="2" t="s">
        <v>176</v>
      </c>
      <c r="C2485" s="2" t="s">
        <v>177</v>
      </c>
      <c r="D2485" s="20">
        <v>0</v>
      </c>
      <c r="E2485" s="2" t="s">
        <v>838</v>
      </c>
      <c r="F2485" s="2" t="s">
        <v>793</v>
      </c>
      <c r="G2485" s="2" t="s">
        <v>2956</v>
      </c>
      <c r="H2485" s="2" t="s">
        <v>2100</v>
      </c>
      <c r="J2485" s="26"/>
      <c r="K2485" s="36">
        <v>1.2658999999999999E-4</v>
      </c>
      <c r="L2485" s="23">
        <v>1.2660000000000001E-5</v>
      </c>
    </row>
    <row r="2486" spans="1:12" ht="15.35" hidden="1" x14ac:dyDescent="0.55000000000000004">
      <c r="A2486" s="20">
        <v>16113</v>
      </c>
      <c r="B2486" s="2" t="s">
        <v>176</v>
      </c>
      <c r="C2486" s="2" t="s">
        <v>177</v>
      </c>
      <c r="D2486" s="20">
        <v>0</v>
      </c>
      <c r="E2486" s="2" t="s">
        <v>838</v>
      </c>
      <c r="F2486" s="2" t="s">
        <v>793</v>
      </c>
      <c r="G2486" s="2" t="s">
        <v>2957</v>
      </c>
      <c r="H2486" s="2" t="s">
        <v>2100</v>
      </c>
      <c r="J2486" s="26"/>
      <c r="K2486" s="36">
        <v>1.3054000000000001E-4</v>
      </c>
      <c r="L2486" s="23">
        <v>1.305E-5</v>
      </c>
    </row>
    <row r="2487" spans="1:12" ht="15.35" hidden="1" x14ac:dyDescent="0.55000000000000004">
      <c r="A2487" s="20">
        <v>16022</v>
      </c>
      <c r="B2487" s="2" t="s">
        <v>176</v>
      </c>
      <c r="C2487" s="2" t="s">
        <v>177</v>
      </c>
      <c r="D2487" s="20">
        <v>0</v>
      </c>
      <c r="E2487" s="2" t="s">
        <v>838</v>
      </c>
      <c r="F2487" s="2" t="s">
        <v>793</v>
      </c>
      <c r="G2487" s="2" t="s">
        <v>2958</v>
      </c>
      <c r="H2487" s="2" t="s">
        <v>2100</v>
      </c>
      <c r="J2487" s="26"/>
      <c r="K2487" s="36">
        <v>7.5953999999999995E-4</v>
      </c>
      <c r="L2487" s="23">
        <v>7.5950000000000003E-5</v>
      </c>
    </row>
    <row r="2488" spans="1:12" ht="15.35" hidden="1" x14ac:dyDescent="0.55000000000000004">
      <c r="A2488" s="20">
        <v>16154</v>
      </c>
      <c r="B2488" s="2" t="s">
        <v>176</v>
      </c>
      <c r="C2488" s="2" t="s">
        <v>177</v>
      </c>
      <c r="D2488" s="20">
        <v>0</v>
      </c>
      <c r="E2488" s="2" t="s">
        <v>838</v>
      </c>
      <c r="F2488" s="2" t="s">
        <v>793</v>
      </c>
      <c r="G2488" s="2" t="s">
        <v>2959</v>
      </c>
      <c r="H2488" s="2" t="s">
        <v>2100</v>
      </c>
      <c r="J2488" s="26"/>
      <c r="K2488" s="36">
        <v>3.8768E-4</v>
      </c>
      <c r="L2488" s="23">
        <v>3.8770000000000003E-5</v>
      </c>
    </row>
    <row r="2489" spans="1:12" ht="15.35" hidden="1" x14ac:dyDescent="0.55000000000000004">
      <c r="A2489" s="20">
        <v>16444</v>
      </c>
      <c r="B2489" s="2" t="s">
        <v>176</v>
      </c>
      <c r="C2489" s="2" t="s">
        <v>177</v>
      </c>
      <c r="D2489" s="20">
        <v>0</v>
      </c>
      <c r="E2489" s="2" t="s">
        <v>838</v>
      </c>
      <c r="F2489" s="2" t="s">
        <v>793</v>
      </c>
      <c r="G2489" s="2" t="s">
        <v>2960</v>
      </c>
      <c r="H2489" s="2" t="s">
        <v>2100</v>
      </c>
      <c r="J2489" s="26"/>
      <c r="K2489" s="36">
        <v>4.1932999999999998E-4</v>
      </c>
      <c r="L2489" s="23">
        <v>4.193E-5</v>
      </c>
    </row>
    <row r="2490" spans="1:12" ht="15.35" hidden="1" x14ac:dyDescent="0.55000000000000004">
      <c r="A2490" s="20">
        <v>16070</v>
      </c>
      <c r="B2490" s="2" t="s">
        <v>176</v>
      </c>
      <c r="C2490" s="2" t="s">
        <v>177</v>
      </c>
      <c r="D2490" s="20">
        <v>0</v>
      </c>
      <c r="E2490" s="2" t="s">
        <v>838</v>
      </c>
      <c r="F2490" s="2" t="s">
        <v>793</v>
      </c>
      <c r="G2490" s="2" t="s">
        <v>2961</v>
      </c>
      <c r="H2490" s="2" t="s">
        <v>2962</v>
      </c>
      <c r="J2490" s="26"/>
      <c r="K2490" s="36">
        <v>1.0285000000000001E-4</v>
      </c>
      <c r="L2490" s="23">
        <v>1.029E-5</v>
      </c>
    </row>
    <row r="2491" spans="1:12" ht="15.35" hidden="1" x14ac:dyDescent="0.55000000000000004">
      <c r="A2491" s="20">
        <v>16319</v>
      </c>
      <c r="B2491" s="2" t="s">
        <v>176</v>
      </c>
      <c r="C2491" s="2" t="s">
        <v>177</v>
      </c>
      <c r="D2491" s="20">
        <v>0</v>
      </c>
      <c r="E2491" s="2" t="s">
        <v>838</v>
      </c>
      <c r="F2491" s="2" t="s">
        <v>848</v>
      </c>
      <c r="G2491" s="2" t="s">
        <v>1097</v>
      </c>
      <c r="H2491" s="2" t="s">
        <v>1097</v>
      </c>
      <c r="J2491" s="26"/>
      <c r="K2491" s="36">
        <v>5.9339400000000004E-3</v>
      </c>
      <c r="L2491" s="23">
        <v>5.9338999999999995E-4</v>
      </c>
    </row>
    <row r="2492" spans="1:12" ht="15.35" hidden="1" x14ac:dyDescent="0.55000000000000004">
      <c r="A2492" s="20">
        <v>16112</v>
      </c>
      <c r="B2492" s="2" t="s">
        <v>176</v>
      </c>
      <c r="C2492" s="2" t="s">
        <v>177</v>
      </c>
      <c r="D2492" s="20">
        <v>0</v>
      </c>
      <c r="E2492" s="2" t="s">
        <v>838</v>
      </c>
      <c r="F2492" s="2" t="s">
        <v>793</v>
      </c>
      <c r="G2492" s="2" t="s">
        <v>2963</v>
      </c>
      <c r="H2492" s="2" t="s">
        <v>1811</v>
      </c>
      <c r="J2492" s="26"/>
      <c r="K2492" s="36">
        <v>3.4415999999999998E-4</v>
      </c>
      <c r="L2492" s="23">
        <v>3.4419999999999999E-5</v>
      </c>
    </row>
    <row r="2493" spans="1:12" ht="15.35" hidden="1" x14ac:dyDescent="0.55000000000000004">
      <c r="A2493" s="20">
        <v>16158</v>
      </c>
      <c r="B2493" s="2" t="s">
        <v>176</v>
      </c>
      <c r="C2493" s="2" t="s">
        <v>177</v>
      </c>
      <c r="D2493" s="20">
        <v>0</v>
      </c>
      <c r="E2493" s="2" t="s">
        <v>838</v>
      </c>
      <c r="F2493" s="2" t="s">
        <v>793</v>
      </c>
      <c r="G2493" s="2" t="s">
        <v>2964</v>
      </c>
      <c r="H2493" s="2" t="s">
        <v>1098</v>
      </c>
      <c r="J2493" s="26"/>
      <c r="K2493" s="36">
        <v>8.3075200000000005E-3</v>
      </c>
      <c r="L2493" s="23">
        <v>8.3075E-4</v>
      </c>
    </row>
    <row r="2494" spans="1:12" ht="15.35" hidden="1" x14ac:dyDescent="0.55000000000000004">
      <c r="A2494" s="20">
        <v>16404</v>
      </c>
      <c r="B2494" s="2" t="s">
        <v>176</v>
      </c>
      <c r="C2494" s="2" t="s">
        <v>177</v>
      </c>
      <c r="D2494" s="20">
        <v>0</v>
      </c>
      <c r="E2494" s="2" t="s">
        <v>838</v>
      </c>
      <c r="F2494" s="2" t="s">
        <v>793</v>
      </c>
      <c r="G2494" s="2" t="s">
        <v>2965</v>
      </c>
      <c r="H2494" s="2" t="s">
        <v>1098</v>
      </c>
      <c r="J2494" s="26"/>
      <c r="K2494" s="36">
        <v>3.9559599999999997E-3</v>
      </c>
      <c r="L2494" s="23">
        <v>3.9560000000000002E-4</v>
      </c>
    </row>
    <row r="2495" spans="1:12" ht="15.35" hidden="1" x14ac:dyDescent="0.55000000000000004">
      <c r="A2495" s="20">
        <v>16503</v>
      </c>
      <c r="B2495" s="2" t="s">
        <v>176</v>
      </c>
      <c r="C2495" s="2" t="s">
        <v>177</v>
      </c>
      <c r="D2495" s="20">
        <v>0</v>
      </c>
      <c r="E2495" s="2" t="s">
        <v>838</v>
      </c>
      <c r="F2495" s="2" t="s">
        <v>793</v>
      </c>
      <c r="G2495" s="2" t="s">
        <v>2966</v>
      </c>
      <c r="H2495" s="2" t="s">
        <v>1098</v>
      </c>
      <c r="J2495" s="26"/>
      <c r="K2495" s="36">
        <v>8.3075200000000005E-3</v>
      </c>
      <c r="L2495" s="23">
        <v>8.3075E-4</v>
      </c>
    </row>
    <row r="2496" spans="1:12" ht="15.35" hidden="1" x14ac:dyDescent="0.55000000000000004">
      <c r="A2496" s="20">
        <v>16423</v>
      </c>
      <c r="B2496" s="2" t="s">
        <v>176</v>
      </c>
      <c r="C2496" s="2" t="s">
        <v>177</v>
      </c>
      <c r="D2496" s="20">
        <v>0</v>
      </c>
      <c r="E2496" s="2" t="s">
        <v>838</v>
      </c>
      <c r="F2496" s="2" t="s">
        <v>793</v>
      </c>
      <c r="G2496" s="2" t="s">
        <v>2967</v>
      </c>
      <c r="H2496" s="2" t="s">
        <v>983</v>
      </c>
      <c r="J2496" s="26"/>
      <c r="K2496" s="36">
        <v>3.9549999999999999E-5</v>
      </c>
      <c r="L2496" s="23">
        <v>3.9600000000000002E-6</v>
      </c>
    </row>
    <row r="2497" spans="1:12" ht="15.35" hidden="1" x14ac:dyDescent="0.55000000000000004">
      <c r="A2497" s="20">
        <v>16559</v>
      </c>
      <c r="B2497" s="2" t="s">
        <v>176</v>
      </c>
      <c r="C2497" s="2" t="s">
        <v>177</v>
      </c>
      <c r="D2497" s="20">
        <v>0</v>
      </c>
      <c r="E2497" s="2" t="s">
        <v>838</v>
      </c>
      <c r="F2497" s="2" t="s">
        <v>793</v>
      </c>
      <c r="G2497" s="2" t="s">
        <v>2968</v>
      </c>
      <c r="H2497" s="2" t="s">
        <v>983</v>
      </c>
      <c r="J2497" s="26"/>
      <c r="K2497" s="36">
        <v>1.5823000000000001E-4</v>
      </c>
      <c r="L2497" s="23">
        <v>1.5820000000000001E-5</v>
      </c>
    </row>
    <row r="2498" spans="1:12" ht="15.35" hidden="1" x14ac:dyDescent="0.55000000000000004">
      <c r="A2498" s="20">
        <v>16651</v>
      </c>
      <c r="B2498" s="2" t="s">
        <v>176</v>
      </c>
      <c r="C2498" s="2" t="s">
        <v>177</v>
      </c>
      <c r="D2498" s="20">
        <v>0</v>
      </c>
      <c r="E2498" s="2" t="s">
        <v>838</v>
      </c>
      <c r="F2498" s="2" t="s">
        <v>793</v>
      </c>
      <c r="G2498" s="2" t="s">
        <v>2969</v>
      </c>
      <c r="H2498" s="2" t="s">
        <v>983</v>
      </c>
      <c r="J2498" s="26"/>
      <c r="K2498" s="36">
        <v>3.9559000000000003E-4</v>
      </c>
      <c r="L2498" s="23">
        <v>3.9560000000000001E-5</v>
      </c>
    </row>
    <row r="2499" spans="1:12" ht="15.35" hidden="1" x14ac:dyDescent="0.55000000000000004">
      <c r="A2499" s="20">
        <v>16764</v>
      </c>
      <c r="B2499" s="2" t="s">
        <v>176</v>
      </c>
      <c r="C2499" s="2" t="s">
        <v>177</v>
      </c>
      <c r="D2499" s="20">
        <v>0</v>
      </c>
      <c r="E2499" s="2" t="s">
        <v>838</v>
      </c>
      <c r="F2499" s="2" t="s">
        <v>793</v>
      </c>
      <c r="G2499" s="2" t="s">
        <v>2970</v>
      </c>
      <c r="H2499" s="2" t="s">
        <v>983</v>
      </c>
      <c r="J2499" s="26"/>
      <c r="K2499" s="36">
        <v>3.9559000000000003E-4</v>
      </c>
      <c r="L2499" s="23">
        <v>3.9560000000000001E-5</v>
      </c>
    </row>
    <row r="2500" spans="1:12" ht="15.35" hidden="1" x14ac:dyDescent="0.55000000000000004">
      <c r="A2500" s="20">
        <v>16134</v>
      </c>
      <c r="B2500" s="2" t="s">
        <v>176</v>
      </c>
      <c r="C2500" s="2" t="s">
        <v>177</v>
      </c>
      <c r="D2500" s="20">
        <v>0</v>
      </c>
      <c r="E2500" s="2" t="s">
        <v>838</v>
      </c>
      <c r="F2500" s="2" t="s">
        <v>793</v>
      </c>
      <c r="G2500" s="2" t="s">
        <v>2971</v>
      </c>
      <c r="H2500" s="2" t="s">
        <v>983</v>
      </c>
      <c r="J2500" s="26"/>
      <c r="K2500" s="36">
        <v>7.9110000000000007E-5</v>
      </c>
      <c r="L2500" s="23">
        <v>7.9100000000000005E-6</v>
      </c>
    </row>
    <row r="2501" spans="1:12" ht="15.35" hidden="1" x14ac:dyDescent="0.55000000000000004">
      <c r="A2501" s="20">
        <v>16740</v>
      </c>
      <c r="B2501" s="2" t="s">
        <v>176</v>
      </c>
      <c r="C2501" s="2" t="s">
        <v>177</v>
      </c>
      <c r="D2501" s="20">
        <v>0</v>
      </c>
      <c r="E2501" s="2" t="s">
        <v>838</v>
      </c>
      <c r="F2501" s="2" t="s">
        <v>793</v>
      </c>
      <c r="G2501" s="2" t="s">
        <v>2972</v>
      </c>
      <c r="H2501" s="2" t="s">
        <v>983</v>
      </c>
      <c r="J2501" s="26"/>
      <c r="K2501" s="36">
        <v>3.9549999999999999E-5</v>
      </c>
      <c r="L2501" s="23">
        <v>3.9600000000000002E-6</v>
      </c>
    </row>
    <row r="2502" spans="1:12" ht="15.35" hidden="1" x14ac:dyDescent="0.55000000000000004">
      <c r="A2502" s="20">
        <v>16722</v>
      </c>
      <c r="B2502" s="2" t="s">
        <v>176</v>
      </c>
      <c r="C2502" s="2" t="s">
        <v>177</v>
      </c>
      <c r="D2502" s="20">
        <v>0</v>
      </c>
      <c r="E2502" s="2" t="s">
        <v>838</v>
      </c>
      <c r="F2502" s="2" t="s">
        <v>793</v>
      </c>
      <c r="G2502" s="2" t="s">
        <v>2973</v>
      </c>
      <c r="H2502" s="2" t="s">
        <v>873</v>
      </c>
      <c r="J2502" s="26"/>
      <c r="K2502" s="36">
        <v>3.9559599999999997E-3</v>
      </c>
      <c r="L2502" s="23">
        <v>3.9560000000000002E-4</v>
      </c>
    </row>
    <row r="2503" spans="1:12" ht="15.35" hidden="1" x14ac:dyDescent="0.55000000000000004">
      <c r="A2503" s="20">
        <v>16506</v>
      </c>
      <c r="B2503" s="2" t="s">
        <v>176</v>
      </c>
      <c r="C2503" s="2" t="s">
        <v>177</v>
      </c>
      <c r="D2503" s="20">
        <v>0</v>
      </c>
      <c r="E2503" s="2" t="s">
        <v>838</v>
      </c>
      <c r="F2503" s="2" t="s">
        <v>793</v>
      </c>
      <c r="G2503" s="2" t="s">
        <v>2974</v>
      </c>
      <c r="H2503" s="2" t="s">
        <v>873</v>
      </c>
      <c r="J2503" s="26"/>
      <c r="K2503" s="36">
        <v>8.3075200000000005E-3</v>
      </c>
      <c r="L2503" s="23">
        <v>8.3075E-4</v>
      </c>
    </row>
    <row r="2504" spans="1:12" ht="15.35" hidden="1" x14ac:dyDescent="0.55000000000000004">
      <c r="A2504" s="20">
        <v>16725</v>
      </c>
      <c r="B2504" s="2" t="s">
        <v>176</v>
      </c>
      <c r="C2504" s="2" t="s">
        <v>177</v>
      </c>
      <c r="D2504" s="20">
        <v>0</v>
      </c>
      <c r="E2504" s="2" t="s">
        <v>838</v>
      </c>
      <c r="F2504" s="2" t="s">
        <v>793</v>
      </c>
      <c r="G2504" s="2" t="s">
        <v>2975</v>
      </c>
      <c r="H2504" s="2" t="s">
        <v>873</v>
      </c>
      <c r="J2504" s="26"/>
      <c r="K2504" s="36">
        <v>2.3735700000000002E-3</v>
      </c>
      <c r="L2504" s="23">
        <v>2.3735999999999999E-4</v>
      </c>
    </row>
    <row r="2505" spans="1:12" ht="15.35" hidden="1" x14ac:dyDescent="0.55000000000000004">
      <c r="A2505" s="20">
        <v>16341</v>
      </c>
      <c r="B2505" s="2" t="s">
        <v>176</v>
      </c>
      <c r="C2505" s="2" t="s">
        <v>177</v>
      </c>
      <c r="D2505" s="20">
        <v>0</v>
      </c>
      <c r="E2505" s="2" t="s">
        <v>838</v>
      </c>
      <c r="F2505" s="2" t="s">
        <v>848</v>
      </c>
      <c r="G2505" s="2" t="s">
        <v>1407</v>
      </c>
      <c r="H2505" s="2" t="s">
        <v>1407</v>
      </c>
      <c r="J2505" s="26"/>
      <c r="K2505" s="36">
        <v>8.3075200000000005E-3</v>
      </c>
      <c r="L2505" s="23">
        <v>8.3075E-4</v>
      </c>
    </row>
    <row r="2506" spans="1:12" ht="15.35" hidden="1" x14ac:dyDescent="0.55000000000000004">
      <c r="A2506" s="20">
        <v>16139</v>
      </c>
      <c r="B2506" s="2" t="s">
        <v>176</v>
      </c>
      <c r="C2506" s="2" t="s">
        <v>177</v>
      </c>
      <c r="D2506" s="20">
        <v>0</v>
      </c>
      <c r="E2506" s="2" t="s">
        <v>838</v>
      </c>
      <c r="F2506" s="2" t="s">
        <v>789</v>
      </c>
      <c r="G2506" s="2" t="s">
        <v>2976</v>
      </c>
      <c r="H2506" s="2" t="s">
        <v>2977</v>
      </c>
      <c r="J2506" s="26"/>
      <c r="K2506" s="36">
        <v>8.3075200000000005E-3</v>
      </c>
      <c r="L2506" s="23">
        <v>8.3075E-4</v>
      </c>
    </row>
    <row r="2507" spans="1:12" ht="15.35" hidden="1" x14ac:dyDescent="0.55000000000000004">
      <c r="A2507" s="20">
        <v>16203</v>
      </c>
      <c r="B2507" s="2" t="s">
        <v>176</v>
      </c>
      <c r="C2507" s="2" t="s">
        <v>177</v>
      </c>
      <c r="D2507" s="20">
        <v>0</v>
      </c>
      <c r="E2507" s="2" t="s">
        <v>838</v>
      </c>
      <c r="F2507" s="2" t="s">
        <v>789</v>
      </c>
      <c r="G2507" s="2" t="s">
        <v>2978</v>
      </c>
      <c r="H2507" s="2" t="s">
        <v>2977</v>
      </c>
      <c r="J2507" s="26"/>
      <c r="K2507" s="36">
        <v>8.3075200000000005E-3</v>
      </c>
      <c r="L2507" s="23">
        <v>8.3075E-4</v>
      </c>
    </row>
    <row r="2508" spans="1:12" ht="15.35" hidden="1" x14ac:dyDescent="0.55000000000000004">
      <c r="A2508" s="20">
        <v>16411</v>
      </c>
      <c r="B2508" s="2" t="s">
        <v>176</v>
      </c>
      <c r="C2508" s="2" t="s">
        <v>177</v>
      </c>
      <c r="D2508" s="20">
        <v>0</v>
      </c>
      <c r="E2508" s="2" t="s">
        <v>838</v>
      </c>
      <c r="F2508" s="2" t="s">
        <v>789</v>
      </c>
      <c r="G2508" s="2" t="s">
        <v>2979</v>
      </c>
      <c r="H2508" s="2" t="s">
        <v>2980</v>
      </c>
      <c r="J2508" s="26"/>
      <c r="K2508" s="36">
        <v>8.3075200000000005E-3</v>
      </c>
      <c r="L2508" s="23">
        <v>8.3075E-4</v>
      </c>
    </row>
    <row r="2509" spans="1:12" ht="15.35" hidden="1" x14ac:dyDescent="0.55000000000000004">
      <c r="A2509" s="20">
        <v>16552</v>
      </c>
      <c r="B2509" s="2" t="s">
        <v>176</v>
      </c>
      <c r="C2509" s="2" t="s">
        <v>177</v>
      </c>
      <c r="D2509" s="20">
        <v>0</v>
      </c>
      <c r="E2509" s="2" t="s">
        <v>838</v>
      </c>
      <c r="F2509" s="2" t="s">
        <v>789</v>
      </c>
      <c r="G2509" s="2" t="s">
        <v>2981</v>
      </c>
      <c r="H2509" s="2" t="s">
        <v>2980</v>
      </c>
      <c r="J2509" s="26"/>
      <c r="K2509" s="36">
        <v>7.9514800000000004E-3</v>
      </c>
      <c r="L2509" s="23">
        <v>7.9515E-4</v>
      </c>
    </row>
    <row r="2510" spans="1:12" ht="15.35" hidden="1" x14ac:dyDescent="0.55000000000000004">
      <c r="A2510" s="20">
        <v>16083</v>
      </c>
      <c r="B2510" s="2" t="s">
        <v>176</v>
      </c>
      <c r="C2510" s="2" t="s">
        <v>177</v>
      </c>
      <c r="D2510" s="20">
        <v>0</v>
      </c>
      <c r="E2510" s="2" t="s">
        <v>838</v>
      </c>
      <c r="F2510" s="2" t="s">
        <v>789</v>
      </c>
      <c r="G2510" s="2" t="s">
        <v>2982</v>
      </c>
      <c r="H2510" s="2" t="s">
        <v>2980</v>
      </c>
      <c r="J2510" s="26"/>
      <c r="K2510" s="36">
        <v>3.4060800000000001E-3</v>
      </c>
      <c r="L2510" s="23">
        <v>3.4060999999999998E-4</v>
      </c>
    </row>
    <row r="2511" spans="1:12" ht="15.35" hidden="1" x14ac:dyDescent="0.55000000000000004">
      <c r="A2511" s="20">
        <v>16300</v>
      </c>
      <c r="B2511" s="2" t="s">
        <v>176</v>
      </c>
      <c r="C2511" s="2" t="s">
        <v>177</v>
      </c>
      <c r="D2511" s="20">
        <v>0</v>
      </c>
      <c r="E2511" s="2" t="s">
        <v>838</v>
      </c>
      <c r="F2511" s="2" t="s">
        <v>789</v>
      </c>
      <c r="G2511" s="2" t="s">
        <v>2983</v>
      </c>
      <c r="H2511" s="2" t="s">
        <v>1409</v>
      </c>
      <c r="J2511" s="26"/>
      <c r="K2511" s="36">
        <v>8.3075200000000005E-3</v>
      </c>
      <c r="L2511" s="23">
        <v>8.3075E-4</v>
      </c>
    </row>
    <row r="2512" spans="1:12" ht="15.35" hidden="1" x14ac:dyDescent="0.55000000000000004">
      <c r="A2512" s="20">
        <v>16516</v>
      </c>
      <c r="B2512" s="2" t="s">
        <v>176</v>
      </c>
      <c r="C2512" s="2" t="s">
        <v>177</v>
      </c>
      <c r="D2512" s="20">
        <v>0</v>
      </c>
      <c r="E2512" s="2" t="s">
        <v>838</v>
      </c>
      <c r="F2512" s="2" t="s">
        <v>848</v>
      </c>
      <c r="G2512" s="2" t="s">
        <v>930</v>
      </c>
      <c r="H2512" s="2" t="s">
        <v>930</v>
      </c>
      <c r="J2512" s="26"/>
      <c r="K2512" s="36">
        <v>2.8285099999999998E-3</v>
      </c>
      <c r="L2512" s="23">
        <v>2.8285000000000002E-4</v>
      </c>
    </row>
    <row r="2513" spans="1:12" ht="15.35" hidden="1" x14ac:dyDescent="0.55000000000000004">
      <c r="A2513" s="20">
        <v>15938</v>
      </c>
      <c r="B2513" s="2" t="s">
        <v>176</v>
      </c>
      <c r="C2513" s="2" t="s">
        <v>177</v>
      </c>
      <c r="D2513" s="20">
        <v>0</v>
      </c>
      <c r="E2513" s="2" t="s">
        <v>838</v>
      </c>
      <c r="F2513" s="2" t="s">
        <v>793</v>
      </c>
      <c r="G2513" s="2" t="s">
        <v>1250</v>
      </c>
      <c r="H2513" s="2" t="s">
        <v>1250</v>
      </c>
      <c r="J2513" s="26"/>
      <c r="K2513" s="36">
        <v>6.7251300000000002E-3</v>
      </c>
      <c r="L2513" s="23">
        <v>6.7250999999999997E-4</v>
      </c>
    </row>
    <row r="2514" spans="1:12" ht="15.35" hidden="1" x14ac:dyDescent="0.55000000000000004">
      <c r="A2514" s="20">
        <v>16691</v>
      </c>
      <c r="B2514" s="2" t="s">
        <v>176</v>
      </c>
      <c r="C2514" s="2" t="s">
        <v>177</v>
      </c>
      <c r="D2514" s="20">
        <v>0</v>
      </c>
      <c r="E2514" s="2" t="s">
        <v>838</v>
      </c>
      <c r="F2514" s="2" t="s">
        <v>789</v>
      </c>
      <c r="G2514" s="2" t="s">
        <v>2984</v>
      </c>
      <c r="H2514" s="2" t="s">
        <v>2985</v>
      </c>
      <c r="J2514" s="26"/>
      <c r="K2514" s="36">
        <v>8.3075200000000005E-3</v>
      </c>
      <c r="L2514" s="23">
        <v>8.3075E-4</v>
      </c>
    </row>
    <row r="2515" spans="1:12" ht="15.35" hidden="1" x14ac:dyDescent="0.55000000000000004">
      <c r="A2515" s="20">
        <v>16041</v>
      </c>
      <c r="B2515" s="2" t="s">
        <v>176</v>
      </c>
      <c r="C2515" s="2" t="s">
        <v>177</v>
      </c>
      <c r="D2515" s="20">
        <v>0</v>
      </c>
      <c r="E2515" s="2" t="s">
        <v>838</v>
      </c>
      <c r="F2515" s="2" t="s">
        <v>793</v>
      </c>
      <c r="G2515" s="2" t="s">
        <v>1414</v>
      </c>
      <c r="H2515" s="2" t="s">
        <v>1414</v>
      </c>
      <c r="J2515" s="26"/>
      <c r="K2515" s="36">
        <v>3.1647699999999999E-3</v>
      </c>
      <c r="L2515" s="23">
        <v>3.1648000000000001E-4</v>
      </c>
    </row>
    <row r="2516" spans="1:12" ht="15.35" hidden="1" x14ac:dyDescent="0.55000000000000004">
      <c r="A2516" s="20">
        <v>16501</v>
      </c>
      <c r="B2516" s="2" t="s">
        <v>176</v>
      </c>
      <c r="C2516" s="2" t="s">
        <v>177</v>
      </c>
      <c r="D2516" s="20">
        <v>0</v>
      </c>
      <c r="E2516" s="2" t="s">
        <v>838</v>
      </c>
      <c r="F2516" s="2" t="s">
        <v>793</v>
      </c>
      <c r="G2516" s="2" t="s">
        <v>1415</v>
      </c>
      <c r="H2516" s="2" t="s">
        <v>1415</v>
      </c>
      <c r="J2516" s="26"/>
      <c r="K2516" s="36">
        <v>1.7009999999999999E-4</v>
      </c>
      <c r="L2516" s="23">
        <v>1.7010000000000001E-5</v>
      </c>
    </row>
    <row r="2517" spans="1:12" ht="15.35" hidden="1" x14ac:dyDescent="0.55000000000000004">
      <c r="A2517" s="20">
        <v>16344</v>
      </c>
      <c r="B2517" s="2" t="s">
        <v>176</v>
      </c>
      <c r="C2517" s="2" t="s">
        <v>177</v>
      </c>
      <c r="D2517" s="20">
        <v>0</v>
      </c>
      <c r="E2517" s="2" t="s">
        <v>838</v>
      </c>
      <c r="F2517" s="2" t="s">
        <v>793</v>
      </c>
      <c r="G2517" s="2" t="s">
        <v>1416</v>
      </c>
      <c r="H2517" s="2" t="s">
        <v>1416</v>
      </c>
      <c r="J2517" s="26"/>
      <c r="K2517" s="36">
        <v>4.7471500000000003E-3</v>
      </c>
      <c r="L2517" s="23">
        <v>4.7470999999999999E-4</v>
      </c>
    </row>
    <row r="2518" spans="1:12" ht="15.35" hidden="1" x14ac:dyDescent="0.55000000000000004">
      <c r="A2518" s="20">
        <v>16558</v>
      </c>
      <c r="B2518" s="2" t="s">
        <v>176</v>
      </c>
      <c r="C2518" s="2" t="s">
        <v>177</v>
      </c>
      <c r="D2518" s="20">
        <v>0</v>
      </c>
      <c r="E2518" s="2" t="s">
        <v>838</v>
      </c>
      <c r="F2518" s="2" t="s">
        <v>793</v>
      </c>
      <c r="G2518" s="2" t="s">
        <v>2986</v>
      </c>
      <c r="H2518" s="2" t="s">
        <v>2986</v>
      </c>
      <c r="J2518" s="26"/>
      <c r="K2518" s="36">
        <v>1.58238E-3</v>
      </c>
      <c r="L2518" s="23">
        <v>1.5824E-4</v>
      </c>
    </row>
    <row r="2519" spans="1:12" ht="15.35" hidden="1" x14ac:dyDescent="0.55000000000000004">
      <c r="A2519" s="20">
        <v>16179</v>
      </c>
      <c r="B2519" s="2" t="s">
        <v>176</v>
      </c>
      <c r="C2519" s="2" t="s">
        <v>177</v>
      </c>
      <c r="D2519" s="20">
        <v>0</v>
      </c>
      <c r="E2519" s="2" t="s">
        <v>838</v>
      </c>
      <c r="F2519" s="2" t="s">
        <v>793</v>
      </c>
      <c r="G2519" s="2" t="s">
        <v>2987</v>
      </c>
      <c r="H2519" s="2" t="s">
        <v>1301</v>
      </c>
      <c r="J2519" s="26"/>
      <c r="K2519" s="36">
        <v>5.6570000000000004E-4</v>
      </c>
      <c r="L2519" s="23">
        <v>5.6570000000000002E-5</v>
      </c>
    </row>
    <row r="2520" spans="1:12" ht="15.35" hidden="1" x14ac:dyDescent="0.55000000000000004">
      <c r="A2520" s="20">
        <v>16252</v>
      </c>
      <c r="B2520" s="2" t="s">
        <v>176</v>
      </c>
      <c r="C2520" s="2" t="s">
        <v>177</v>
      </c>
      <c r="D2520" s="20">
        <v>0</v>
      </c>
      <c r="E2520" s="2" t="s">
        <v>838</v>
      </c>
      <c r="F2520" s="2" t="s">
        <v>793</v>
      </c>
      <c r="G2520" s="2" t="s">
        <v>2988</v>
      </c>
      <c r="H2520" s="2" t="s">
        <v>1301</v>
      </c>
      <c r="J2520" s="26"/>
      <c r="K2520" s="36">
        <v>1.1076E-4</v>
      </c>
      <c r="L2520" s="23">
        <v>1.1080000000000001E-5</v>
      </c>
    </row>
    <row r="2521" spans="1:12" ht="15.35" hidden="1" x14ac:dyDescent="0.55000000000000004">
      <c r="A2521" s="20">
        <v>16159</v>
      </c>
      <c r="B2521" s="2" t="s">
        <v>176</v>
      </c>
      <c r="C2521" s="2" t="s">
        <v>177</v>
      </c>
      <c r="D2521" s="20">
        <v>0</v>
      </c>
      <c r="E2521" s="2" t="s">
        <v>838</v>
      </c>
      <c r="F2521" s="2" t="s">
        <v>793</v>
      </c>
      <c r="G2521" s="2" t="s">
        <v>2989</v>
      </c>
      <c r="H2521" s="2" t="s">
        <v>1301</v>
      </c>
      <c r="J2521" s="26"/>
      <c r="K2521" s="36">
        <v>5.9338999999999995E-4</v>
      </c>
      <c r="L2521" s="23">
        <v>5.9339999999999998E-5</v>
      </c>
    </row>
    <row r="2522" spans="1:12" ht="15.35" hidden="1" x14ac:dyDescent="0.55000000000000004">
      <c r="A2522" s="20">
        <v>16617</v>
      </c>
      <c r="B2522" s="2" t="s">
        <v>176</v>
      </c>
      <c r="C2522" s="2" t="s">
        <v>177</v>
      </c>
      <c r="D2522" s="20">
        <v>0</v>
      </c>
      <c r="E2522" s="2" t="s">
        <v>838</v>
      </c>
      <c r="F2522" s="2" t="s">
        <v>793</v>
      </c>
      <c r="G2522" s="2" t="s">
        <v>2990</v>
      </c>
      <c r="H2522" s="2" t="s">
        <v>1301</v>
      </c>
      <c r="J2522" s="26"/>
      <c r="K2522" s="36">
        <v>8.1097000000000005E-4</v>
      </c>
      <c r="L2522" s="23">
        <v>8.1100000000000006E-5</v>
      </c>
    </row>
    <row r="2523" spans="1:12" ht="15.35" hidden="1" x14ac:dyDescent="0.55000000000000004">
      <c r="A2523" s="20">
        <v>16545</v>
      </c>
      <c r="B2523" s="2" t="s">
        <v>176</v>
      </c>
      <c r="C2523" s="2" t="s">
        <v>177</v>
      </c>
      <c r="D2523" s="20">
        <v>0</v>
      </c>
      <c r="E2523" s="2" t="s">
        <v>838</v>
      </c>
      <c r="F2523" s="2" t="s">
        <v>793</v>
      </c>
      <c r="G2523" s="2" t="s">
        <v>2991</v>
      </c>
      <c r="H2523" s="2" t="s">
        <v>1301</v>
      </c>
      <c r="J2523" s="26"/>
      <c r="K2523" s="36">
        <v>5.5380000000000002E-5</v>
      </c>
      <c r="L2523" s="23">
        <v>5.5400000000000003E-6</v>
      </c>
    </row>
    <row r="2524" spans="1:12" ht="15.35" hidden="1" x14ac:dyDescent="0.55000000000000004">
      <c r="A2524" s="20">
        <v>16136</v>
      </c>
      <c r="B2524" s="2" t="s">
        <v>176</v>
      </c>
      <c r="C2524" s="2" t="s">
        <v>177</v>
      </c>
      <c r="D2524" s="20">
        <v>0</v>
      </c>
      <c r="E2524" s="2" t="s">
        <v>838</v>
      </c>
      <c r="F2524" s="2" t="s">
        <v>793</v>
      </c>
      <c r="G2524" s="2" t="s">
        <v>2992</v>
      </c>
      <c r="H2524" s="2" t="s">
        <v>1301</v>
      </c>
      <c r="J2524" s="26"/>
      <c r="K2524" s="36">
        <v>4.3510000000000002E-5</v>
      </c>
      <c r="L2524" s="23">
        <v>4.3499999999999999E-6</v>
      </c>
    </row>
    <row r="2525" spans="1:12" ht="15.35" hidden="1" x14ac:dyDescent="0.55000000000000004">
      <c r="A2525" s="20">
        <v>16555</v>
      </c>
      <c r="B2525" s="2" t="s">
        <v>176</v>
      </c>
      <c r="C2525" s="2" t="s">
        <v>177</v>
      </c>
      <c r="D2525" s="20">
        <v>0</v>
      </c>
      <c r="E2525" s="2" t="s">
        <v>838</v>
      </c>
      <c r="F2525" s="2" t="s">
        <v>793</v>
      </c>
      <c r="G2525" s="2" t="s">
        <v>2993</v>
      </c>
      <c r="H2525" s="2" t="s">
        <v>1301</v>
      </c>
      <c r="J2525" s="26"/>
      <c r="K2525" s="36">
        <v>4.3120000000000002E-4</v>
      </c>
      <c r="L2525" s="23">
        <v>4.3120000000000001E-5</v>
      </c>
    </row>
    <row r="2526" spans="1:12" ht="15.35" hidden="1" x14ac:dyDescent="0.55000000000000004">
      <c r="A2526" s="20">
        <v>15916</v>
      </c>
      <c r="B2526" s="2" t="s">
        <v>176</v>
      </c>
      <c r="C2526" s="2" t="s">
        <v>177</v>
      </c>
      <c r="D2526" s="20">
        <v>0</v>
      </c>
      <c r="E2526" s="2" t="s">
        <v>838</v>
      </c>
      <c r="F2526" s="2" t="s">
        <v>793</v>
      </c>
      <c r="G2526" s="2" t="s">
        <v>2994</v>
      </c>
      <c r="H2526" s="2" t="s">
        <v>1301</v>
      </c>
      <c r="J2526" s="26"/>
      <c r="K2526" s="36">
        <v>9.8889999999999997E-5</v>
      </c>
      <c r="L2526" s="23">
        <v>9.8900000000000002E-6</v>
      </c>
    </row>
    <row r="2527" spans="1:12" ht="15.35" hidden="1" x14ac:dyDescent="0.55000000000000004">
      <c r="A2527" s="20">
        <v>16330</v>
      </c>
      <c r="B2527" s="2" t="s">
        <v>176</v>
      </c>
      <c r="C2527" s="2" t="s">
        <v>177</v>
      </c>
      <c r="D2527" s="20">
        <v>0</v>
      </c>
      <c r="E2527" s="2" t="s">
        <v>838</v>
      </c>
      <c r="F2527" s="2" t="s">
        <v>793</v>
      </c>
      <c r="G2527" s="2" t="s">
        <v>2995</v>
      </c>
      <c r="H2527" s="2" t="s">
        <v>1105</v>
      </c>
      <c r="J2527" s="26"/>
      <c r="K2527" s="36">
        <v>2.8481999999999997E-4</v>
      </c>
      <c r="L2527" s="23">
        <v>2.8479999999999998E-5</v>
      </c>
    </row>
    <row r="2528" spans="1:12" ht="15.35" hidden="1" x14ac:dyDescent="0.55000000000000004">
      <c r="A2528" s="20">
        <v>16451</v>
      </c>
      <c r="B2528" s="2" t="s">
        <v>176</v>
      </c>
      <c r="C2528" s="2" t="s">
        <v>177</v>
      </c>
      <c r="D2528" s="20">
        <v>0</v>
      </c>
      <c r="E2528" s="2" t="s">
        <v>838</v>
      </c>
      <c r="F2528" s="2" t="s">
        <v>793</v>
      </c>
      <c r="G2528" s="2" t="s">
        <v>1104</v>
      </c>
      <c r="H2528" s="2" t="s">
        <v>1105</v>
      </c>
      <c r="J2528" s="26"/>
      <c r="K2528" s="36">
        <v>1.7009999999999999E-4</v>
      </c>
      <c r="L2528" s="23">
        <v>1.7010000000000001E-5</v>
      </c>
    </row>
    <row r="2529" spans="1:12" ht="15.35" hidden="1" x14ac:dyDescent="0.55000000000000004">
      <c r="A2529" s="20">
        <v>16638</v>
      </c>
      <c r="B2529" s="2" t="s">
        <v>176</v>
      </c>
      <c r="C2529" s="2" t="s">
        <v>177</v>
      </c>
      <c r="D2529" s="20">
        <v>0</v>
      </c>
      <c r="E2529" s="2" t="s">
        <v>838</v>
      </c>
      <c r="F2529" s="2" t="s">
        <v>793</v>
      </c>
      <c r="G2529" s="2" t="s">
        <v>2996</v>
      </c>
      <c r="H2529" s="2" t="s">
        <v>1105</v>
      </c>
      <c r="J2529" s="26"/>
      <c r="K2529" s="36">
        <v>9.8889999999999997E-5</v>
      </c>
      <c r="L2529" s="23">
        <v>9.8900000000000002E-6</v>
      </c>
    </row>
    <row r="2530" spans="1:12" ht="15.35" hidden="1" x14ac:dyDescent="0.55000000000000004">
      <c r="A2530" s="20">
        <v>16002</v>
      </c>
      <c r="B2530" s="2" t="s">
        <v>176</v>
      </c>
      <c r="C2530" s="2" t="s">
        <v>177</v>
      </c>
      <c r="D2530" s="20">
        <v>0</v>
      </c>
      <c r="E2530" s="2" t="s">
        <v>838</v>
      </c>
      <c r="F2530" s="2" t="s">
        <v>793</v>
      </c>
      <c r="G2530" s="2" t="s">
        <v>2997</v>
      </c>
      <c r="H2530" s="2" t="s">
        <v>1105</v>
      </c>
      <c r="J2530" s="26"/>
      <c r="K2530" s="36">
        <v>2.0571000000000001E-4</v>
      </c>
      <c r="L2530" s="23">
        <v>2.0570000000000001E-5</v>
      </c>
    </row>
    <row r="2531" spans="1:12" ht="15.35" hidden="1" x14ac:dyDescent="0.55000000000000004">
      <c r="A2531" s="20">
        <v>16793</v>
      </c>
      <c r="B2531" s="2" t="s">
        <v>176</v>
      </c>
      <c r="C2531" s="2" t="s">
        <v>177</v>
      </c>
      <c r="D2531" s="20">
        <v>0</v>
      </c>
      <c r="E2531" s="2" t="s">
        <v>838</v>
      </c>
      <c r="F2531" s="2" t="s">
        <v>793</v>
      </c>
      <c r="G2531" s="2" t="s">
        <v>2998</v>
      </c>
      <c r="H2531" s="2" t="s">
        <v>1105</v>
      </c>
      <c r="J2531" s="26"/>
      <c r="K2531" s="36">
        <v>1.1472E-4</v>
      </c>
      <c r="L2531" s="23">
        <v>1.147E-5</v>
      </c>
    </row>
    <row r="2532" spans="1:12" ht="15.35" hidden="1" x14ac:dyDescent="0.55000000000000004">
      <c r="A2532" s="20">
        <v>16347</v>
      </c>
      <c r="B2532" s="2" t="s">
        <v>176</v>
      </c>
      <c r="C2532" s="2" t="s">
        <v>177</v>
      </c>
      <c r="D2532" s="20">
        <v>0</v>
      </c>
      <c r="E2532" s="2" t="s">
        <v>838</v>
      </c>
      <c r="F2532" s="2" t="s">
        <v>793</v>
      </c>
      <c r="G2532" s="2" t="s">
        <v>2999</v>
      </c>
      <c r="H2532" s="2" t="s">
        <v>1105</v>
      </c>
      <c r="J2532" s="26"/>
      <c r="K2532" s="36">
        <v>1.5032000000000001E-4</v>
      </c>
      <c r="L2532" s="23">
        <v>1.503E-5</v>
      </c>
    </row>
    <row r="2533" spans="1:12" ht="15.35" hidden="1" x14ac:dyDescent="0.55000000000000004">
      <c r="A2533" s="20">
        <v>16675</v>
      </c>
      <c r="B2533" s="2" t="s">
        <v>176</v>
      </c>
      <c r="C2533" s="2" t="s">
        <v>177</v>
      </c>
      <c r="D2533" s="20">
        <v>0</v>
      </c>
      <c r="E2533" s="2" t="s">
        <v>838</v>
      </c>
      <c r="F2533" s="2" t="s">
        <v>789</v>
      </c>
      <c r="G2533" s="2" t="s">
        <v>1421</v>
      </c>
      <c r="H2533" s="2" t="s">
        <v>1422</v>
      </c>
      <c r="J2533" s="26"/>
      <c r="K2533" s="36">
        <v>8.3075200000000005E-3</v>
      </c>
      <c r="L2533" s="23">
        <v>8.3075E-4</v>
      </c>
    </row>
    <row r="2534" spans="1:12" ht="15.35" hidden="1" x14ac:dyDescent="0.55000000000000004">
      <c r="A2534" s="20">
        <v>16288</v>
      </c>
      <c r="B2534" s="2" t="s">
        <v>176</v>
      </c>
      <c r="C2534" s="2" t="s">
        <v>177</v>
      </c>
      <c r="D2534" s="20">
        <v>0</v>
      </c>
      <c r="E2534" s="2" t="s">
        <v>838</v>
      </c>
      <c r="F2534" s="2" t="s">
        <v>793</v>
      </c>
      <c r="G2534" s="2" t="s">
        <v>3000</v>
      </c>
      <c r="H2534" s="2" t="s">
        <v>3001</v>
      </c>
      <c r="J2534" s="26"/>
      <c r="K2534" s="36">
        <v>1.07997E-3</v>
      </c>
      <c r="L2534" s="23">
        <v>1.08E-4</v>
      </c>
    </row>
    <row r="2535" spans="1:12" ht="15.35" hidden="1" x14ac:dyDescent="0.55000000000000004">
      <c r="A2535" s="20">
        <v>16168</v>
      </c>
      <c r="B2535" s="2" t="s">
        <v>176</v>
      </c>
      <c r="C2535" s="2" t="s">
        <v>177</v>
      </c>
      <c r="D2535" s="20">
        <v>0</v>
      </c>
      <c r="E2535" s="2" t="s">
        <v>838</v>
      </c>
      <c r="F2535" s="2" t="s">
        <v>793</v>
      </c>
      <c r="G2535" s="2" t="s">
        <v>3002</v>
      </c>
      <c r="H2535" s="2" t="s">
        <v>3001</v>
      </c>
      <c r="J2535" s="26"/>
      <c r="K2535" s="36">
        <v>1.07997E-3</v>
      </c>
      <c r="L2535" s="23">
        <v>1.08E-4</v>
      </c>
    </row>
    <row r="2536" spans="1:12" ht="15.35" hidden="1" x14ac:dyDescent="0.55000000000000004">
      <c r="A2536" s="20">
        <v>16498</v>
      </c>
      <c r="B2536" s="2" t="s">
        <v>176</v>
      </c>
      <c r="C2536" s="2" t="s">
        <v>177</v>
      </c>
      <c r="D2536" s="20">
        <v>0</v>
      </c>
      <c r="E2536" s="2" t="s">
        <v>838</v>
      </c>
      <c r="F2536" s="2" t="s">
        <v>789</v>
      </c>
      <c r="G2536" s="2" t="s">
        <v>1107</v>
      </c>
      <c r="H2536" s="2" t="s">
        <v>1108</v>
      </c>
      <c r="J2536" s="26"/>
      <c r="K2536" s="36">
        <v>1.13536E-3</v>
      </c>
      <c r="L2536" s="23">
        <v>1.1354E-4</v>
      </c>
    </row>
    <row r="2537" spans="1:12" ht="15.35" hidden="1" x14ac:dyDescent="0.55000000000000004">
      <c r="A2537" s="20">
        <v>16534</v>
      </c>
      <c r="B2537" s="2" t="s">
        <v>176</v>
      </c>
      <c r="C2537" s="2" t="s">
        <v>177</v>
      </c>
      <c r="D2537" s="20">
        <v>0</v>
      </c>
      <c r="E2537" s="2" t="s">
        <v>838</v>
      </c>
      <c r="F2537" s="2" t="s">
        <v>817</v>
      </c>
      <c r="G2537" s="2" t="s">
        <v>3003</v>
      </c>
      <c r="H2537" s="2" t="s">
        <v>898</v>
      </c>
      <c r="J2537" s="26"/>
      <c r="K2537" s="36">
        <v>8.3075200000000005E-3</v>
      </c>
      <c r="L2537" s="23">
        <v>8.3075E-4</v>
      </c>
    </row>
    <row r="2538" spans="1:12" ht="15.35" hidden="1" x14ac:dyDescent="0.55000000000000004">
      <c r="A2538" s="20">
        <v>16478</v>
      </c>
      <c r="B2538" s="2" t="s">
        <v>176</v>
      </c>
      <c r="C2538" s="2" t="s">
        <v>177</v>
      </c>
      <c r="D2538" s="20">
        <v>0</v>
      </c>
      <c r="E2538" s="2" t="s">
        <v>838</v>
      </c>
      <c r="F2538" s="2" t="s">
        <v>817</v>
      </c>
      <c r="G2538" s="2" t="s">
        <v>3004</v>
      </c>
      <c r="H2538" s="2" t="s">
        <v>898</v>
      </c>
      <c r="J2538" s="26"/>
      <c r="K2538" s="36">
        <v>1.13536E-3</v>
      </c>
      <c r="L2538" s="23">
        <v>1.1354E-4</v>
      </c>
    </row>
    <row r="2539" spans="1:12" ht="15.35" hidden="1" x14ac:dyDescent="0.55000000000000004">
      <c r="A2539" s="20">
        <v>15972</v>
      </c>
      <c r="B2539" s="2" t="s">
        <v>176</v>
      </c>
      <c r="C2539" s="2" t="s">
        <v>177</v>
      </c>
      <c r="D2539" s="20">
        <v>0</v>
      </c>
      <c r="E2539" s="2" t="s">
        <v>838</v>
      </c>
      <c r="F2539" s="2" t="s">
        <v>817</v>
      </c>
      <c r="G2539" s="2" t="s">
        <v>3005</v>
      </c>
      <c r="H2539" s="2" t="s">
        <v>898</v>
      </c>
      <c r="J2539" s="26"/>
      <c r="K2539" s="36">
        <v>1.60216E-3</v>
      </c>
      <c r="L2539" s="23">
        <v>1.6022000000000001E-4</v>
      </c>
    </row>
    <row r="2540" spans="1:12" ht="15.35" hidden="1" x14ac:dyDescent="0.55000000000000004">
      <c r="A2540" s="20">
        <v>16499</v>
      </c>
      <c r="B2540" s="2" t="s">
        <v>176</v>
      </c>
      <c r="C2540" s="2" t="s">
        <v>177</v>
      </c>
      <c r="D2540" s="20">
        <v>0</v>
      </c>
      <c r="E2540" s="2" t="s">
        <v>838</v>
      </c>
      <c r="F2540" s="2" t="s">
        <v>817</v>
      </c>
      <c r="G2540" s="2" t="s">
        <v>3006</v>
      </c>
      <c r="H2540" s="2" t="s">
        <v>3007</v>
      </c>
      <c r="J2540" s="26"/>
      <c r="K2540" s="36">
        <v>4.5453999999999998E-3</v>
      </c>
      <c r="L2540" s="23">
        <v>4.5454000000000002E-4</v>
      </c>
    </row>
    <row r="2541" spans="1:12" ht="15.35" hidden="1" x14ac:dyDescent="0.55000000000000004">
      <c r="A2541" s="20">
        <v>16131</v>
      </c>
      <c r="B2541" s="2" t="s">
        <v>176</v>
      </c>
      <c r="C2541" s="2" t="s">
        <v>177</v>
      </c>
      <c r="D2541" s="20">
        <v>0</v>
      </c>
      <c r="E2541" s="2" t="s">
        <v>838</v>
      </c>
      <c r="F2541" s="2" t="s">
        <v>817</v>
      </c>
      <c r="G2541" s="2" t="s">
        <v>3008</v>
      </c>
      <c r="H2541" s="2" t="s">
        <v>3007</v>
      </c>
      <c r="J2541" s="26"/>
      <c r="K2541" s="36">
        <v>3.41004E-3</v>
      </c>
      <c r="L2541" s="23">
        <v>3.4099999999999999E-4</v>
      </c>
    </row>
    <row r="2542" spans="1:12" ht="15.35" hidden="1" x14ac:dyDescent="0.55000000000000004">
      <c r="A2542" s="20">
        <v>16033</v>
      </c>
      <c r="B2542" s="2" t="s">
        <v>176</v>
      </c>
      <c r="C2542" s="2" t="s">
        <v>177</v>
      </c>
      <c r="D2542" s="20">
        <v>0</v>
      </c>
      <c r="E2542" s="2" t="s">
        <v>838</v>
      </c>
      <c r="F2542" s="2" t="s">
        <v>848</v>
      </c>
      <c r="G2542" s="2" t="s">
        <v>1439</v>
      </c>
      <c r="H2542" s="2" t="s">
        <v>1439</v>
      </c>
      <c r="J2542" s="26"/>
      <c r="K2542" s="36">
        <v>8.3075200000000005E-3</v>
      </c>
      <c r="L2542" s="23">
        <v>8.3075E-4</v>
      </c>
    </row>
    <row r="2543" spans="1:12" ht="15.35" hidden="1" x14ac:dyDescent="0.55000000000000004">
      <c r="A2543" s="20">
        <v>16003</v>
      </c>
      <c r="B2543" s="2" t="s">
        <v>176</v>
      </c>
      <c r="C2543" s="2" t="s">
        <v>177</v>
      </c>
      <c r="D2543" s="20">
        <v>0</v>
      </c>
      <c r="E2543" s="2" t="s">
        <v>838</v>
      </c>
      <c r="F2543" s="2" t="s">
        <v>789</v>
      </c>
      <c r="G2543" s="2" t="s">
        <v>1440</v>
      </c>
      <c r="H2543" s="2" t="s">
        <v>1441</v>
      </c>
      <c r="J2543" s="26"/>
      <c r="K2543" s="36">
        <v>2.84038E-3</v>
      </c>
      <c r="L2543" s="23">
        <v>2.8404E-4</v>
      </c>
    </row>
    <row r="2544" spans="1:12" ht="15.35" hidden="1" x14ac:dyDescent="0.55000000000000004">
      <c r="A2544" s="20">
        <v>16094</v>
      </c>
      <c r="B2544" s="2" t="s">
        <v>176</v>
      </c>
      <c r="C2544" s="2" t="s">
        <v>177</v>
      </c>
      <c r="D2544" s="20">
        <v>0</v>
      </c>
      <c r="E2544" s="2" t="s">
        <v>838</v>
      </c>
      <c r="F2544" s="2" t="s">
        <v>789</v>
      </c>
      <c r="G2544" s="2" t="s">
        <v>3009</v>
      </c>
      <c r="H2544" s="2" t="s">
        <v>1441</v>
      </c>
      <c r="J2544" s="26"/>
      <c r="K2544" s="36">
        <v>2.84038E-3</v>
      </c>
      <c r="L2544" s="23">
        <v>2.8404E-4</v>
      </c>
    </row>
    <row r="2545" spans="1:12" ht="15.35" hidden="1" x14ac:dyDescent="0.55000000000000004">
      <c r="A2545" s="20">
        <v>16291</v>
      </c>
      <c r="B2545" s="2" t="s">
        <v>176</v>
      </c>
      <c r="C2545" s="2" t="s">
        <v>177</v>
      </c>
      <c r="D2545" s="20">
        <v>0</v>
      </c>
      <c r="E2545" s="2" t="s">
        <v>838</v>
      </c>
      <c r="F2545" s="2" t="s">
        <v>789</v>
      </c>
      <c r="G2545" s="2" t="s">
        <v>3010</v>
      </c>
      <c r="H2545" s="2" t="s">
        <v>1441</v>
      </c>
      <c r="J2545" s="26"/>
      <c r="K2545" s="36">
        <v>5.68076E-3</v>
      </c>
      <c r="L2545" s="23">
        <v>5.6808E-4</v>
      </c>
    </row>
    <row r="2546" spans="1:12" ht="15.35" hidden="1" x14ac:dyDescent="0.55000000000000004">
      <c r="A2546" s="20">
        <v>16780</v>
      </c>
      <c r="B2546" s="2" t="s">
        <v>176</v>
      </c>
      <c r="C2546" s="2" t="s">
        <v>177</v>
      </c>
      <c r="D2546" s="20">
        <v>0</v>
      </c>
      <c r="E2546" s="2" t="s">
        <v>838</v>
      </c>
      <c r="F2546" s="2" t="s">
        <v>798</v>
      </c>
      <c r="G2546" s="2" t="s">
        <v>3011</v>
      </c>
      <c r="H2546" s="2" t="s">
        <v>860</v>
      </c>
      <c r="J2546" s="26"/>
      <c r="K2546" s="36">
        <v>7.9118999999999999E-4</v>
      </c>
      <c r="L2546" s="23">
        <v>7.9120000000000001E-5</v>
      </c>
    </row>
    <row r="2547" spans="1:12" ht="15.35" hidden="1" x14ac:dyDescent="0.55000000000000004">
      <c r="A2547" s="20">
        <v>16225</v>
      </c>
      <c r="B2547" s="2" t="s">
        <v>176</v>
      </c>
      <c r="C2547" s="2" t="s">
        <v>177</v>
      </c>
      <c r="D2547" s="20">
        <v>0</v>
      </c>
      <c r="E2547" s="2" t="s">
        <v>838</v>
      </c>
      <c r="F2547" s="2" t="s">
        <v>793</v>
      </c>
      <c r="G2547" s="2" t="s">
        <v>3012</v>
      </c>
      <c r="H2547" s="2" t="s">
        <v>2196</v>
      </c>
      <c r="J2547" s="26"/>
      <c r="K2547" s="36">
        <v>9.8898999999999992E-4</v>
      </c>
      <c r="L2547" s="23">
        <v>9.8900000000000005E-5</v>
      </c>
    </row>
    <row r="2548" spans="1:12" ht="15.35" hidden="1" x14ac:dyDescent="0.55000000000000004">
      <c r="A2548" s="20">
        <v>16671</v>
      </c>
      <c r="B2548" s="2" t="s">
        <v>176</v>
      </c>
      <c r="C2548" s="2" t="s">
        <v>177</v>
      </c>
      <c r="D2548" s="20">
        <v>0</v>
      </c>
      <c r="E2548" s="2" t="s">
        <v>838</v>
      </c>
      <c r="F2548" s="2" t="s">
        <v>793</v>
      </c>
      <c r="G2548" s="2" t="s">
        <v>3013</v>
      </c>
      <c r="H2548" s="2" t="s">
        <v>2196</v>
      </c>
      <c r="J2548" s="26"/>
      <c r="K2548" s="36">
        <v>2.29445E-3</v>
      </c>
      <c r="L2548" s="23">
        <v>2.2944E-4</v>
      </c>
    </row>
    <row r="2549" spans="1:12" ht="15.35" hidden="1" x14ac:dyDescent="0.55000000000000004">
      <c r="A2549" s="20">
        <v>16477</v>
      </c>
      <c r="B2549" s="2" t="s">
        <v>176</v>
      </c>
      <c r="C2549" s="2" t="s">
        <v>177</v>
      </c>
      <c r="D2549" s="20">
        <v>0</v>
      </c>
      <c r="E2549" s="2" t="s">
        <v>838</v>
      </c>
      <c r="F2549" s="2" t="s">
        <v>793</v>
      </c>
      <c r="G2549" s="2" t="s">
        <v>3014</v>
      </c>
      <c r="H2549" s="2" t="s">
        <v>2196</v>
      </c>
      <c r="J2549" s="26"/>
      <c r="K2549" s="36">
        <v>2.29445E-3</v>
      </c>
      <c r="L2549" s="23">
        <v>2.2944E-4</v>
      </c>
    </row>
    <row r="2550" spans="1:12" ht="15.35" hidden="1" x14ac:dyDescent="0.55000000000000004">
      <c r="A2550" s="20">
        <v>16343</v>
      </c>
      <c r="B2550" s="2" t="s">
        <v>176</v>
      </c>
      <c r="C2550" s="2" t="s">
        <v>177</v>
      </c>
      <c r="D2550" s="20">
        <v>0</v>
      </c>
      <c r="E2550" s="2" t="s">
        <v>838</v>
      </c>
      <c r="F2550" s="2" t="s">
        <v>793</v>
      </c>
      <c r="G2550" s="2" t="s">
        <v>3015</v>
      </c>
      <c r="H2550" s="2" t="s">
        <v>2196</v>
      </c>
      <c r="J2550" s="26"/>
      <c r="K2550" s="36">
        <v>2.29445E-3</v>
      </c>
      <c r="L2550" s="23">
        <v>2.2944E-4</v>
      </c>
    </row>
    <row r="2551" spans="1:12" ht="15.35" hidden="1" x14ac:dyDescent="0.55000000000000004">
      <c r="A2551" s="20">
        <v>16471</v>
      </c>
      <c r="B2551" s="2" t="s">
        <v>176</v>
      </c>
      <c r="C2551" s="2" t="s">
        <v>177</v>
      </c>
      <c r="D2551" s="20">
        <v>0</v>
      </c>
      <c r="E2551" s="2" t="s">
        <v>838</v>
      </c>
      <c r="F2551" s="2" t="s">
        <v>793</v>
      </c>
      <c r="G2551" s="2" t="s">
        <v>3016</v>
      </c>
      <c r="H2551" s="2" t="s">
        <v>2196</v>
      </c>
      <c r="J2551" s="26"/>
      <c r="K2551" s="36">
        <v>2.7296099999999999E-3</v>
      </c>
      <c r="L2551" s="23">
        <v>2.7295999999999999E-4</v>
      </c>
    </row>
    <row r="2552" spans="1:12" ht="15.35" hidden="1" x14ac:dyDescent="0.55000000000000004">
      <c r="A2552" s="20">
        <v>16236</v>
      </c>
      <c r="B2552" s="2" t="s">
        <v>176</v>
      </c>
      <c r="C2552" s="2" t="s">
        <v>177</v>
      </c>
      <c r="D2552" s="20">
        <v>0</v>
      </c>
      <c r="E2552" s="2" t="s">
        <v>838</v>
      </c>
      <c r="F2552" s="2" t="s">
        <v>793</v>
      </c>
      <c r="G2552" s="2" t="s">
        <v>3017</v>
      </c>
      <c r="H2552" s="2" t="s">
        <v>2196</v>
      </c>
      <c r="J2552" s="26"/>
      <c r="K2552" s="36">
        <v>2.29445E-3</v>
      </c>
      <c r="L2552" s="23">
        <v>2.2944E-4</v>
      </c>
    </row>
    <row r="2553" spans="1:12" ht="15.35" hidden="1" x14ac:dyDescent="0.55000000000000004">
      <c r="A2553" s="20">
        <v>16170</v>
      </c>
      <c r="B2553" s="2" t="s">
        <v>176</v>
      </c>
      <c r="C2553" s="2" t="s">
        <v>177</v>
      </c>
      <c r="D2553" s="20">
        <v>0</v>
      </c>
      <c r="E2553" s="2" t="s">
        <v>838</v>
      </c>
      <c r="F2553" s="2" t="s">
        <v>793</v>
      </c>
      <c r="G2553" s="2" t="s">
        <v>3018</v>
      </c>
      <c r="H2553" s="2" t="s">
        <v>2196</v>
      </c>
      <c r="J2553" s="26"/>
      <c r="K2553" s="36">
        <v>2.29445E-3</v>
      </c>
      <c r="L2553" s="23">
        <v>2.2944E-4</v>
      </c>
    </row>
    <row r="2554" spans="1:12" ht="15.35" hidden="1" x14ac:dyDescent="0.55000000000000004">
      <c r="A2554" s="20">
        <v>16613</v>
      </c>
      <c r="B2554" s="2" t="s">
        <v>176</v>
      </c>
      <c r="C2554" s="2" t="s">
        <v>177</v>
      </c>
      <c r="D2554" s="20">
        <v>0</v>
      </c>
      <c r="E2554" s="2" t="s">
        <v>838</v>
      </c>
      <c r="F2554" s="2" t="s">
        <v>793</v>
      </c>
      <c r="G2554" s="2" t="s">
        <v>3019</v>
      </c>
      <c r="H2554" s="2" t="s">
        <v>2196</v>
      </c>
      <c r="J2554" s="26"/>
      <c r="K2554" s="36">
        <v>2.29445E-3</v>
      </c>
      <c r="L2554" s="23">
        <v>2.2944E-4</v>
      </c>
    </row>
    <row r="2555" spans="1:12" ht="15.35" hidden="1" x14ac:dyDescent="0.55000000000000004">
      <c r="A2555" s="20">
        <v>16310</v>
      </c>
      <c r="B2555" s="2" t="s">
        <v>176</v>
      </c>
      <c r="C2555" s="2" t="s">
        <v>177</v>
      </c>
      <c r="D2555" s="20">
        <v>0</v>
      </c>
      <c r="E2555" s="2" t="s">
        <v>838</v>
      </c>
      <c r="F2555" s="2" t="s">
        <v>793</v>
      </c>
      <c r="G2555" s="2" t="s">
        <v>3020</v>
      </c>
      <c r="H2555" s="2" t="s">
        <v>2196</v>
      </c>
      <c r="J2555" s="26"/>
      <c r="K2555" s="36">
        <v>2.29445E-3</v>
      </c>
      <c r="L2555" s="23">
        <v>2.2944E-4</v>
      </c>
    </row>
    <row r="2556" spans="1:12" ht="15.35" hidden="1" x14ac:dyDescent="0.55000000000000004">
      <c r="A2556" s="20">
        <v>16749</v>
      </c>
      <c r="B2556" s="2" t="s">
        <v>176</v>
      </c>
      <c r="C2556" s="2" t="s">
        <v>177</v>
      </c>
      <c r="D2556" s="20">
        <v>0</v>
      </c>
      <c r="E2556" s="2" t="s">
        <v>838</v>
      </c>
      <c r="F2556" s="2" t="s">
        <v>793</v>
      </c>
      <c r="G2556" s="2" t="s">
        <v>3021</v>
      </c>
      <c r="H2556" s="2" t="s">
        <v>2196</v>
      </c>
      <c r="J2556" s="26"/>
      <c r="K2556" s="36">
        <v>2.29445E-3</v>
      </c>
      <c r="L2556" s="23">
        <v>2.2944E-4</v>
      </c>
    </row>
    <row r="2557" spans="1:12" ht="15.35" hidden="1" x14ac:dyDescent="0.55000000000000004">
      <c r="A2557" s="20">
        <v>16146</v>
      </c>
      <c r="B2557" s="2" t="s">
        <v>176</v>
      </c>
      <c r="C2557" s="2" t="s">
        <v>177</v>
      </c>
      <c r="D2557" s="20">
        <v>0</v>
      </c>
      <c r="E2557" s="2" t="s">
        <v>838</v>
      </c>
      <c r="F2557" s="2" t="s">
        <v>793</v>
      </c>
      <c r="G2557" s="2" t="s">
        <v>3022</v>
      </c>
      <c r="H2557" s="2" t="s">
        <v>2196</v>
      </c>
      <c r="J2557" s="26"/>
      <c r="K2557" s="36">
        <v>2.29445E-3</v>
      </c>
      <c r="L2557" s="23">
        <v>2.2944E-4</v>
      </c>
    </row>
    <row r="2558" spans="1:12" ht="15.35" hidden="1" x14ac:dyDescent="0.55000000000000004">
      <c r="A2558" s="20">
        <v>16508</v>
      </c>
      <c r="B2558" s="2" t="s">
        <v>176</v>
      </c>
      <c r="C2558" s="2" t="s">
        <v>177</v>
      </c>
      <c r="D2558" s="20">
        <v>0</v>
      </c>
      <c r="E2558" s="2" t="s">
        <v>838</v>
      </c>
      <c r="F2558" s="2" t="s">
        <v>793</v>
      </c>
      <c r="G2558" s="2" t="s">
        <v>3023</v>
      </c>
      <c r="H2558" s="2" t="s">
        <v>2196</v>
      </c>
      <c r="J2558" s="26"/>
      <c r="K2558" s="36">
        <v>2.29445E-3</v>
      </c>
      <c r="L2558" s="23">
        <v>2.2944E-4</v>
      </c>
    </row>
    <row r="2559" spans="1:12" ht="15.35" hidden="1" x14ac:dyDescent="0.55000000000000004">
      <c r="A2559" s="20">
        <v>16324</v>
      </c>
      <c r="B2559" s="2" t="s">
        <v>176</v>
      </c>
      <c r="C2559" s="2" t="s">
        <v>177</v>
      </c>
      <c r="D2559" s="20">
        <v>0</v>
      </c>
      <c r="E2559" s="2" t="s">
        <v>838</v>
      </c>
      <c r="F2559" s="2" t="s">
        <v>793</v>
      </c>
      <c r="G2559" s="2" t="s">
        <v>3024</v>
      </c>
      <c r="H2559" s="2" t="s">
        <v>2196</v>
      </c>
      <c r="J2559" s="26"/>
      <c r="K2559" s="36">
        <v>2.29445E-3</v>
      </c>
      <c r="L2559" s="23">
        <v>2.2944E-4</v>
      </c>
    </row>
    <row r="2560" spans="1:12" ht="15.35" hidden="1" x14ac:dyDescent="0.55000000000000004">
      <c r="A2560" s="20">
        <v>16591</v>
      </c>
      <c r="B2560" s="2" t="s">
        <v>176</v>
      </c>
      <c r="C2560" s="2" t="s">
        <v>177</v>
      </c>
      <c r="D2560" s="20">
        <v>0</v>
      </c>
      <c r="E2560" s="2" t="s">
        <v>838</v>
      </c>
      <c r="F2560" s="2" t="s">
        <v>793</v>
      </c>
      <c r="G2560" s="2" t="s">
        <v>3025</v>
      </c>
      <c r="H2560" s="2" t="s">
        <v>2196</v>
      </c>
      <c r="J2560" s="26"/>
      <c r="K2560" s="36">
        <v>2.29445E-3</v>
      </c>
      <c r="L2560" s="23">
        <v>2.2944E-4</v>
      </c>
    </row>
    <row r="2561" spans="1:12" ht="15.35" hidden="1" x14ac:dyDescent="0.55000000000000004">
      <c r="A2561" s="20">
        <v>16084</v>
      </c>
      <c r="B2561" s="2" t="s">
        <v>176</v>
      </c>
      <c r="C2561" s="2" t="s">
        <v>177</v>
      </c>
      <c r="D2561" s="20">
        <v>0</v>
      </c>
      <c r="E2561" s="2" t="s">
        <v>838</v>
      </c>
      <c r="F2561" s="2" t="s">
        <v>793</v>
      </c>
      <c r="G2561" s="2" t="s">
        <v>3026</v>
      </c>
      <c r="H2561" s="2" t="s">
        <v>2196</v>
      </c>
      <c r="J2561" s="26"/>
      <c r="K2561" s="36">
        <v>2.29445E-3</v>
      </c>
      <c r="L2561" s="23">
        <v>2.2944E-4</v>
      </c>
    </row>
    <row r="2562" spans="1:12" ht="15.35" hidden="1" x14ac:dyDescent="0.55000000000000004">
      <c r="A2562" s="20">
        <v>16306</v>
      </c>
      <c r="B2562" s="2" t="s">
        <v>176</v>
      </c>
      <c r="C2562" s="2" t="s">
        <v>177</v>
      </c>
      <c r="D2562" s="20">
        <v>0</v>
      </c>
      <c r="E2562" s="2" t="s">
        <v>838</v>
      </c>
      <c r="F2562" s="2" t="s">
        <v>793</v>
      </c>
      <c r="G2562" s="2" t="s">
        <v>3027</v>
      </c>
      <c r="H2562" s="2" t="s">
        <v>2196</v>
      </c>
      <c r="J2562" s="26"/>
      <c r="K2562" s="36">
        <v>2.29445E-3</v>
      </c>
      <c r="L2562" s="23">
        <v>2.2944E-4</v>
      </c>
    </row>
    <row r="2563" spans="1:12" ht="15.35" hidden="1" x14ac:dyDescent="0.55000000000000004">
      <c r="A2563" s="20">
        <v>16234</v>
      </c>
      <c r="B2563" s="2" t="s">
        <v>176</v>
      </c>
      <c r="C2563" s="2" t="s">
        <v>177</v>
      </c>
      <c r="D2563" s="20">
        <v>0</v>
      </c>
      <c r="E2563" s="2" t="s">
        <v>838</v>
      </c>
      <c r="F2563" s="2" t="s">
        <v>817</v>
      </c>
      <c r="G2563" s="2" t="s">
        <v>3028</v>
      </c>
      <c r="H2563" s="2" t="s">
        <v>868</v>
      </c>
      <c r="J2563" s="26"/>
      <c r="K2563" s="36">
        <v>2.84038E-3</v>
      </c>
      <c r="L2563" s="23">
        <v>2.8404E-4</v>
      </c>
    </row>
    <row r="2564" spans="1:12" ht="15.35" hidden="1" x14ac:dyDescent="0.55000000000000004">
      <c r="A2564" s="20">
        <v>16779</v>
      </c>
      <c r="B2564" s="2" t="s">
        <v>176</v>
      </c>
      <c r="C2564" s="2" t="s">
        <v>177</v>
      </c>
      <c r="D2564" s="20">
        <v>0</v>
      </c>
      <c r="E2564" s="2" t="s">
        <v>838</v>
      </c>
      <c r="F2564" s="2" t="s">
        <v>793</v>
      </c>
      <c r="G2564" s="2" t="s">
        <v>3029</v>
      </c>
      <c r="H2564" s="2" t="s">
        <v>933</v>
      </c>
      <c r="J2564" s="26"/>
      <c r="K2564" s="36">
        <v>8.3070000000000003E-5</v>
      </c>
      <c r="L2564" s="23">
        <v>8.3100000000000001E-6</v>
      </c>
    </row>
    <row r="2565" spans="1:12" ht="15.35" hidden="1" x14ac:dyDescent="0.55000000000000004">
      <c r="A2565" s="20">
        <v>16644</v>
      </c>
      <c r="B2565" s="2" t="s">
        <v>176</v>
      </c>
      <c r="C2565" s="2" t="s">
        <v>177</v>
      </c>
      <c r="D2565" s="20">
        <v>0</v>
      </c>
      <c r="E2565" s="2" t="s">
        <v>838</v>
      </c>
      <c r="F2565" s="2" t="s">
        <v>793</v>
      </c>
      <c r="G2565" s="2" t="s">
        <v>3030</v>
      </c>
      <c r="H2565" s="2" t="s">
        <v>933</v>
      </c>
      <c r="J2565" s="26"/>
      <c r="K2565" s="36">
        <v>1.5823000000000001E-4</v>
      </c>
      <c r="L2565" s="23">
        <v>1.5820000000000001E-5</v>
      </c>
    </row>
    <row r="2566" spans="1:12" ht="15.35" hidden="1" x14ac:dyDescent="0.55000000000000004">
      <c r="A2566" s="20">
        <v>16773</v>
      </c>
      <c r="B2566" s="2" t="s">
        <v>176</v>
      </c>
      <c r="C2566" s="2" t="s">
        <v>177</v>
      </c>
      <c r="D2566" s="20">
        <v>0</v>
      </c>
      <c r="E2566" s="2" t="s">
        <v>838</v>
      </c>
      <c r="F2566" s="2" t="s">
        <v>793</v>
      </c>
      <c r="G2566" s="2" t="s">
        <v>3031</v>
      </c>
      <c r="H2566" s="2" t="s">
        <v>933</v>
      </c>
      <c r="J2566" s="26"/>
      <c r="K2566" s="36">
        <v>1.2658999999999999E-4</v>
      </c>
      <c r="L2566" s="23">
        <v>1.2660000000000001E-5</v>
      </c>
    </row>
    <row r="2567" spans="1:12" ht="15.35" hidden="1" x14ac:dyDescent="0.55000000000000004">
      <c r="A2567" s="20">
        <v>16624</v>
      </c>
      <c r="B2567" s="2" t="s">
        <v>176</v>
      </c>
      <c r="C2567" s="2" t="s">
        <v>177</v>
      </c>
      <c r="D2567" s="20">
        <v>0</v>
      </c>
      <c r="E2567" s="2" t="s">
        <v>838</v>
      </c>
      <c r="F2567" s="2" t="s">
        <v>793</v>
      </c>
      <c r="G2567" s="2" t="s">
        <v>3032</v>
      </c>
      <c r="H2567" s="2" t="s">
        <v>933</v>
      </c>
      <c r="J2567" s="26"/>
      <c r="K2567" s="36">
        <v>1.2658999999999999E-4</v>
      </c>
      <c r="L2567" s="23">
        <v>1.2660000000000001E-5</v>
      </c>
    </row>
    <row r="2568" spans="1:12" ht="15.35" hidden="1" x14ac:dyDescent="0.55000000000000004">
      <c r="A2568" s="20">
        <v>16520</v>
      </c>
      <c r="B2568" s="2" t="s">
        <v>176</v>
      </c>
      <c r="C2568" s="2" t="s">
        <v>177</v>
      </c>
      <c r="D2568" s="20">
        <v>0</v>
      </c>
      <c r="E2568" s="2" t="s">
        <v>838</v>
      </c>
      <c r="F2568" s="2" t="s">
        <v>793</v>
      </c>
      <c r="G2568" s="2" t="s">
        <v>3033</v>
      </c>
      <c r="H2568" s="2" t="s">
        <v>933</v>
      </c>
      <c r="J2568" s="26"/>
      <c r="K2568" s="36">
        <v>1.1076E-4</v>
      </c>
      <c r="L2568" s="23">
        <v>1.1080000000000001E-5</v>
      </c>
    </row>
    <row r="2569" spans="1:12" ht="15.35" hidden="1" x14ac:dyDescent="0.55000000000000004">
      <c r="A2569" s="20">
        <v>16554</v>
      </c>
      <c r="B2569" s="2" t="s">
        <v>176</v>
      </c>
      <c r="C2569" s="2" t="s">
        <v>177</v>
      </c>
      <c r="D2569" s="20">
        <v>0</v>
      </c>
      <c r="E2569" s="2" t="s">
        <v>838</v>
      </c>
      <c r="F2569" s="2" t="s">
        <v>793</v>
      </c>
      <c r="G2569" s="2" t="s">
        <v>3034</v>
      </c>
      <c r="H2569" s="2" t="s">
        <v>933</v>
      </c>
      <c r="J2569" s="26"/>
      <c r="K2569" s="36">
        <v>1.4637E-4</v>
      </c>
      <c r="L2569" s="23">
        <v>1.464E-5</v>
      </c>
    </row>
    <row r="2570" spans="1:12" ht="15.35" hidden="1" x14ac:dyDescent="0.55000000000000004">
      <c r="A2570" s="20">
        <v>16000</v>
      </c>
      <c r="B2570" s="2" t="s">
        <v>176</v>
      </c>
      <c r="C2570" s="2" t="s">
        <v>177</v>
      </c>
      <c r="D2570" s="20">
        <v>0</v>
      </c>
      <c r="E2570" s="2" t="s">
        <v>838</v>
      </c>
      <c r="F2570" s="2" t="s">
        <v>793</v>
      </c>
      <c r="G2570" s="2" t="s">
        <v>3035</v>
      </c>
      <c r="H2570" s="2" t="s">
        <v>933</v>
      </c>
      <c r="J2570" s="26"/>
      <c r="K2570" s="36">
        <v>1.3449999999999999E-4</v>
      </c>
      <c r="L2570" s="23">
        <v>1.345E-5</v>
      </c>
    </row>
    <row r="2571" spans="1:12" ht="15.35" hidden="1" x14ac:dyDescent="0.55000000000000004">
      <c r="A2571" s="20">
        <v>16239</v>
      </c>
      <c r="B2571" s="2" t="s">
        <v>176</v>
      </c>
      <c r="C2571" s="2" t="s">
        <v>177</v>
      </c>
      <c r="D2571" s="20">
        <v>0</v>
      </c>
      <c r="E2571" s="2" t="s">
        <v>838</v>
      </c>
      <c r="F2571" s="2" t="s">
        <v>793</v>
      </c>
      <c r="G2571" s="2" t="s">
        <v>3036</v>
      </c>
      <c r="H2571" s="2" t="s">
        <v>933</v>
      </c>
      <c r="J2571" s="26"/>
      <c r="K2571" s="36">
        <v>6.8042000000000005E-4</v>
      </c>
      <c r="L2571" s="23">
        <v>6.8040000000000006E-5</v>
      </c>
    </row>
    <row r="2572" spans="1:12" ht="15.35" hidden="1" x14ac:dyDescent="0.55000000000000004">
      <c r="A2572" s="20">
        <v>16608</v>
      </c>
      <c r="B2572" s="2" t="s">
        <v>176</v>
      </c>
      <c r="C2572" s="2" t="s">
        <v>177</v>
      </c>
      <c r="D2572" s="20">
        <v>0</v>
      </c>
      <c r="E2572" s="2" t="s">
        <v>838</v>
      </c>
      <c r="F2572" s="2" t="s">
        <v>793</v>
      </c>
      <c r="G2572" s="2" t="s">
        <v>3037</v>
      </c>
      <c r="H2572" s="2" t="s">
        <v>933</v>
      </c>
      <c r="J2572" s="26"/>
      <c r="K2572" s="36">
        <v>6.8042000000000005E-4</v>
      </c>
      <c r="L2572" s="23">
        <v>6.8040000000000006E-5</v>
      </c>
    </row>
    <row r="2573" spans="1:12" ht="15.35" hidden="1" x14ac:dyDescent="0.55000000000000004">
      <c r="A2573" s="20">
        <v>16088</v>
      </c>
      <c r="B2573" s="2" t="s">
        <v>176</v>
      </c>
      <c r="C2573" s="2" t="s">
        <v>177</v>
      </c>
      <c r="D2573" s="20">
        <v>0</v>
      </c>
      <c r="E2573" s="2" t="s">
        <v>838</v>
      </c>
      <c r="F2573" s="2" t="s">
        <v>793</v>
      </c>
      <c r="G2573" s="2" t="s">
        <v>3038</v>
      </c>
      <c r="H2573" s="2" t="s">
        <v>933</v>
      </c>
      <c r="J2573" s="26"/>
      <c r="K2573" s="36">
        <v>8.7821999999999998E-4</v>
      </c>
      <c r="L2573" s="23">
        <v>8.7819999999999996E-5</v>
      </c>
    </row>
    <row r="2574" spans="1:12" ht="15.35" hidden="1" x14ac:dyDescent="0.55000000000000004">
      <c r="A2574" s="20">
        <v>16350</v>
      </c>
      <c r="B2574" s="2" t="s">
        <v>176</v>
      </c>
      <c r="C2574" s="2" t="s">
        <v>177</v>
      </c>
      <c r="D2574" s="20">
        <v>0</v>
      </c>
      <c r="E2574" s="2" t="s">
        <v>838</v>
      </c>
      <c r="F2574" s="2" t="s">
        <v>793</v>
      </c>
      <c r="G2574" s="2" t="s">
        <v>3039</v>
      </c>
      <c r="H2574" s="2" t="s">
        <v>933</v>
      </c>
      <c r="J2574" s="26"/>
      <c r="K2574" s="36">
        <v>1.36085E-3</v>
      </c>
      <c r="L2574" s="23">
        <v>1.3609000000000001E-4</v>
      </c>
    </row>
    <row r="2575" spans="1:12" ht="15.35" hidden="1" x14ac:dyDescent="0.55000000000000004">
      <c r="A2575" s="20">
        <v>16007</v>
      </c>
      <c r="B2575" s="2" t="s">
        <v>176</v>
      </c>
      <c r="C2575" s="2" t="s">
        <v>177</v>
      </c>
      <c r="D2575" s="20">
        <v>0</v>
      </c>
      <c r="E2575" s="2" t="s">
        <v>838</v>
      </c>
      <c r="F2575" s="2" t="s">
        <v>793</v>
      </c>
      <c r="G2575" s="2" t="s">
        <v>2621</v>
      </c>
      <c r="H2575" s="2" t="s">
        <v>933</v>
      </c>
      <c r="J2575" s="26"/>
      <c r="K2575" s="36">
        <v>4.5096999999999997E-4</v>
      </c>
      <c r="L2575" s="23">
        <v>4.5099999999999998E-5</v>
      </c>
    </row>
    <row r="2576" spans="1:12" ht="15.35" hidden="1" x14ac:dyDescent="0.55000000000000004">
      <c r="A2576" s="20">
        <v>16441</v>
      </c>
      <c r="B2576" s="2" t="s">
        <v>176</v>
      </c>
      <c r="C2576" s="2" t="s">
        <v>177</v>
      </c>
      <c r="D2576" s="20">
        <v>0</v>
      </c>
      <c r="E2576" s="2" t="s">
        <v>838</v>
      </c>
      <c r="F2576" s="2" t="s">
        <v>793</v>
      </c>
      <c r="G2576" s="2" t="s">
        <v>3040</v>
      </c>
      <c r="H2576" s="2" t="s">
        <v>821</v>
      </c>
      <c r="J2576" s="26"/>
      <c r="K2576" s="36">
        <v>8.3075200000000005E-3</v>
      </c>
      <c r="L2576" s="23">
        <v>8.3075E-4</v>
      </c>
    </row>
    <row r="2577" spans="1:12" ht="15.35" hidden="1" x14ac:dyDescent="0.55000000000000004">
      <c r="A2577" s="20">
        <v>16739</v>
      </c>
      <c r="B2577" s="2" t="s">
        <v>176</v>
      </c>
      <c r="C2577" s="2" t="s">
        <v>177</v>
      </c>
      <c r="D2577" s="20">
        <v>0</v>
      </c>
      <c r="E2577" s="2" t="s">
        <v>838</v>
      </c>
      <c r="F2577" s="2" t="s">
        <v>793</v>
      </c>
      <c r="G2577" s="2" t="s">
        <v>3041</v>
      </c>
      <c r="H2577" s="2" t="s">
        <v>821</v>
      </c>
      <c r="J2577" s="26"/>
      <c r="K2577" s="36">
        <v>8.3075200000000005E-3</v>
      </c>
      <c r="L2577" s="23">
        <v>8.3075E-4</v>
      </c>
    </row>
    <row r="2578" spans="1:12" ht="15.35" hidden="1" x14ac:dyDescent="0.55000000000000004">
      <c r="A2578" s="20">
        <v>15950</v>
      </c>
      <c r="B2578" s="2" t="s">
        <v>176</v>
      </c>
      <c r="C2578" s="2" t="s">
        <v>177</v>
      </c>
      <c r="D2578" s="20">
        <v>0</v>
      </c>
      <c r="E2578" s="2" t="s">
        <v>838</v>
      </c>
      <c r="F2578" s="2" t="s">
        <v>798</v>
      </c>
      <c r="G2578" s="2" t="s">
        <v>822</v>
      </c>
      <c r="H2578" s="2" t="s">
        <v>821</v>
      </c>
      <c r="J2578" s="26"/>
      <c r="K2578" s="36">
        <v>8.3075200000000005E-3</v>
      </c>
      <c r="L2578" s="23">
        <v>8.3075E-4</v>
      </c>
    </row>
    <row r="2579" spans="1:12" ht="15.35" hidden="1" x14ac:dyDescent="0.55000000000000004">
      <c r="A2579" s="20">
        <v>16065</v>
      </c>
      <c r="B2579" s="2" t="s">
        <v>176</v>
      </c>
      <c r="C2579" s="2" t="s">
        <v>177</v>
      </c>
      <c r="D2579" s="20">
        <v>0</v>
      </c>
      <c r="E2579" s="2" t="s">
        <v>838</v>
      </c>
      <c r="F2579" s="2" t="s">
        <v>793</v>
      </c>
      <c r="G2579" s="2" t="s">
        <v>3042</v>
      </c>
      <c r="H2579" s="2" t="s">
        <v>824</v>
      </c>
      <c r="J2579" s="26"/>
      <c r="K2579" s="36">
        <v>8.3075200000000005E-3</v>
      </c>
      <c r="L2579" s="23">
        <v>8.3075E-4</v>
      </c>
    </row>
    <row r="2580" spans="1:12" ht="15.35" hidden="1" x14ac:dyDescent="0.55000000000000004">
      <c r="A2580" s="20">
        <v>16553</v>
      </c>
      <c r="B2580" s="2" t="s">
        <v>176</v>
      </c>
      <c r="C2580" s="2" t="s">
        <v>177</v>
      </c>
      <c r="D2580" s="20">
        <v>0</v>
      </c>
      <c r="E2580" s="2" t="s">
        <v>838</v>
      </c>
      <c r="F2580" s="2" t="s">
        <v>793</v>
      </c>
      <c r="G2580" s="2" t="s">
        <v>3043</v>
      </c>
      <c r="H2580" s="2" t="s">
        <v>824</v>
      </c>
      <c r="J2580" s="26"/>
      <c r="K2580" s="36">
        <v>8.3075200000000005E-3</v>
      </c>
      <c r="L2580" s="23">
        <v>8.3075E-4</v>
      </c>
    </row>
    <row r="2581" spans="1:12" ht="15.35" hidden="1" x14ac:dyDescent="0.55000000000000004">
      <c r="A2581" s="20">
        <v>16536</v>
      </c>
      <c r="B2581" s="2" t="s">
        <v>176</v>
      </c>
      <c r="C2581" s="2" t="s">
        <v>177</v>
      </c>
      <c r="D2581" s="20">
        <v>0</v>
      </c>
      <c r="E2581" s="2" t="s">
        <v>838</v>
      </c>
      <c r="F2581" s="2" t="s">
        <v>817</v>
      </c>
      <c r="G2581" s="2" t="s">
        <v>3044</v>
      </c>
      <c r="H2581" s="2" t="s">
        <v>3044</v>
      </c>
      <c r="J2581" s="26"/>
      <c r="K2581" s="36">
        <v>8.3035599999999998E-3</v>
      </c>
      <c r="L2581" s="23">
        <v>8.3036000000000004E-4</v>
      </c>
    </row>
    <row r="2582" spans="1:12" ht="15.35" hidden="1" x14ac:dyDescent="0.55000000000000004">
      <c r="A2582" s="20">
        <v>16122</v>
      </c>
      <c r="B2582" s="2" t="s">
        <v>176</v>
      </c>
      <c r="C2582" s="2" t="s">
        <v>177</v>
      </c>
      <c r="D2582" s="20">
        <v>0</v>
      </c>
      <c r="E2582" s="2" t="s">
        <v>838</v>
      </c>
      <c r="F2582" s="2" t="s">
        <v>848</v>
      </c>
      <c r="G2582" s="2" t="s">
        <v>1110</v>
      </c>
      <c r="H2582" s="2" t="s">
        <v>1110</v>
      </c>
      <c r="J2582" s="26"/>
      <c r="K2582" s="36">
        <v>8.3075200000000005E-3</v>
      </c>
      <c r="L2582" s="23">
        <v>8.3075E-4</v>
      </c>
    </row>
    <row r="2583" spans="1:12" ht="15.35" hidden="1" x14ac:dyDescent="0.55000000000000004">
      <c r="A2583" s="20">
        <v>16357</v>
      </c>
      <c r="B2583" s="2" t="s">
        <v>176</v>
      </c>
      <c r="C2583" s="2" t="s">
        <v>177</v>
      </c>
      <c r="D2583" s="20">
        <v>0</v>
      </c>
      <c r="E2583" s="2" t="s">
        <v>838</v>
      </c>
      <c r="F2583" s="2" t="s">
        <v>793</v>
      </c>
      <c r="G2583" s="2" t="s">
        <v>3045</v>
      </c>
      <c r="H2583" s="2" t="s">
        <v>1111</v>
      </c>
      <c r="J2583" s="26"/>
      <c r="K2583" s="36">
        <v>4.3514999999999998E-4</v>
      </c>
      <c r="L2583" s="23">
        <v>4.3519999999999997E-5</v>
      </c>
    </row>
    <row r="2584" spans="1:12" ht="15.35" hidden="1" x14ac:dyDescent="0.55000000000000004">
      <c r="A2584" s="20">
        <v>16721</v>
      </c>
      <c r="B2584" s="2" t="s">
        <v>176</v>
      </c>
      <c r="C2584" s="2" t="s">
        <v>177</v>
      </c>
      <c r="D2584" s="20">
        <v>0</v>
      </c>
      <c r="E2584" s="2" t="s">
        <v>838</v>
      </c>
      <c r="F2584" s="2" t="s">
        <v>848</v>
      </c>
      <c r="G2584" s="2" t="s">
        <v>1111</v>
      </c>
      <c r="H2584" s="2" t="s">
        <v>1111</v>
      </c>
      <c r="J2584" s="26"/>
      <c r="K2584" s="36">
        <v>8.3075200000000005E-3</v>
      </c>
      <c r="L2584" s="23">
        <v>8.3075E-4</v>
      </c>
    </row>
    <row r="2585" spans="1:12" ht="15.35" hidden="1" x14ac:dyDescent="0.55000000000000004">
      <c r="A2585" s="20">
        <v>16063</v>
      </c>
      <c r="B2585" s="2" t="s">
        <v>176</v>
      </c>
      <c r="C2585" s="2" t="s">
        <v>177</v>
      </c>
      <c r="D2585" s="20">
        <v>0</v>
      </c>
      <c r="E2585" s="2" t="s">
        <v>838</v>
      </c>
      <c r="F2585" s="2" t="s">
        <v>793</v>
      </c>
      <c r="G2585" s="2" t="s">
        <v>3046</v>
      </c>
      <c r="H2585" s="2" t="s">
        <v>1111</v>
      </c>
      <c r="J2585" s="26"/>
      <c r="K2585" s="36">
        <v>6.8042000000000005E-4</v>
      </c>
      <c r="L2585" s="23">
        <v>6.8040000000000006E-5</v>
      </c>
    </row>
    <row r="2586" spans="1:12" ht="15.35" hidden="1" x14ac:dyDescent="0.55000000000000004">
      <c r="A2586" s="20">
        <v>16467</v>
      </c>
      <c r="B2586" s="2" t="s">
        <v>176</v>
      </c>
      <c r="C2586" s="2" t="s">
        <v>177</v>
      </c>
      <c r="D2586" s="20">
        <v>0</v>
      </c>
      <c r="E2586" s="2" t="s">
        <v>838</v>
      </c>
      <c r="F2586" s="2" t="s">
        <v>793</v>
      </c>
      <c r="G2586" s="2" t="s">
        <v>3047</v>
      </c>
      <c r="H2586" s="2" t="s">
        <v>1111</v>
      </c>
      <c r="J2586" s="26"/>
      <c r="K2586" s="36">
        <v>7.358E-4</v>
      </c>
      <c r="L2586" s="23">
        <v>7.3579999999999997E-5</v>
      </c>
    </row>
    <row r="2587" spans="1:12" ht="15.35" hidden="1" x14ac:dyDescent="0.55000000000000004">
      <c r="A2587" s="20">
        <v>16406</v>
      </c>
      <c r="B2587" s="2" t="s">
        <v>176</v>
      </c>
      <c r="C2587" s="2" t="s">
        <v>177</v>
      </c>
      <c r="D2587" s="20">
        <v>0</v>
      </c>
      <c r="E2587" s="2" t="s">
        <v>838</v>
      </c>
      <c r="F2587" s="2" t="s">
        <v>793</v>
      </c>
      <c r="G2587" s="2" t="s">
        <v>3048</v>
      </c>
      <c r="H2587" s="2" t="s">
        <v>1111</v>
      </c>
      <c r="J2587" s="26"/>
      <c r="K2587" s="36">
        <v>4.7470999999999999E-4</v>
      </c>
      <c r="L2587" s="23">
        <v>4.7469999999999998E-5</v>
      </c>
    </row>
    <row r="2588" spans="1:12" ht="15.35" hidden="1" x14ac:dyDescent="0.55000000000000004">
      <c r="A2588" s="20">
        <v>15941</v>
      </c>
      <c r="B2588" s="2" t="s">
        <v>176</v>
      </c>
      <c r="C2588" s="2" t="s">
        <v>177</v>
      </c>
      <c r="D2588" s="20">
        <v>0</v>
      </c>
      <c r="E2588" s="2" t="s">
        <v>838</v>
      </c>
      <c r="F2588" s="2" t="s">
        <v>793</v>
      </c>
      <c r="G2588" s="2" t="s">
        <v>3049</v>
      </c>
      <c r="H2588" s="2" t="s">
        <v>1111</v>
      </c>
      <c r="J2588" s="26"/>
      <c r="K2588" s="36">
        <v>3.9559000000000003E-4</v>
      </c>
      <c r="L2588" s="23">
        <v>3.9560000000000001E-5</v>
      </c>
    </row>
    <row r="2589" spans="1:12" ht="15.35" hidden="1" x14ac:dyDescent="0.55000000000000004">
      <c r="A2589" s="20">
        <v>16087</v>
      </c>
      <c r="B2589" s="2" t="s">
        <v>176</v>
      </c>
      <c r="C2589" s="2" t="s">
        <v>177</v>
      </c>
      <c r="D2589" s="20">
        <v>0</v>
      </c>
      <c r="E2589" s="2" t="s">
        <v>838</v>
      </c>
      <c r="F2589" s="2" t="s">
        <v>793</v>
      </c>
      <c r="G2589" s="2" t="s">
        <v>3050</v>
      </c>
      <c r="H2589" s="2" t="s">
        <v>1111</v>
      </c>
      <c r="J2589" s="26"/>
      <c r="K2589" s="36">
        <v>9.8898999999999992E-4</v>
      </c>
      <c r="L2589" s="23">
        <v>9.8900000000000005E-5</v>
      </c>
    </row>
    <row r="2590" spans="1:12" ht="15.35" hidden="1" x14ac:dyDescent="0.55000000000000004">
      <c r="A2590" s="20">
        <v>16268</v>
      </c>
      <c r="B2590" s="2" t="s">
        <v>176</v>
      </c>
      <c r="C2590" s="2" t="s">
        <v>177</v>
      </c>
      <c r="D2590" s="20">
        <v>0</v>
      </c>
      <c r="E2590" s="2" t="s">
        <v>838</v>
      </c>
      <c r="F2590" s="2" t="s">
        <v>793</v>
      </c>
      <c r="G2590" s="2" t="s">
        <v>3051</v>
      </c>
      <c r="H2590" s="2" t="s">
        <v>1111</v>
      </c>
      <c r="J2590" s="26"/>
      <c r="K2590" s="36">
        <v>2.0452299999999999E-3</v>
      </c>
      <c r="L2590" s="23">
        <v>2.0452E-4</v>
      </c>
    </row>
    <row r="2591" spans="1:12" ht="15.35" hidden="1" x14ac:dyDescent="0.55000000000000004">
      <c r="A2591" s="20">
        <v>16434</v>
      </c>
      <c r="B2591" s="2" t="s">
        <v>176</v>
      </c>
      <c r="C2591" s="2" t="s">
        <v>177</v>
      </c>
      <c r="D2591" s="20">
        <v>0</v>
      </c>
      <c r="E2591" s="2" t="s">
        <v>838</v>
      </c>
      <c r="F2591" s="2" t="s">
        <v>789</v>
      </c>
      <c r="G2591" s="2" t="s">
        <v>3052</v>
      </c>
      <c r="H2591" s="2" t="s">
        <v>1114</v>
      </c>
      <c r="J2591" s="26"/>
      <c r="K2591" s="36">
        <v>6.2504199999999996E-3</v>
      </c>
      <c r="L2591" s="23">
        <v>6.2503999999999999E-4</v>
      </c>
    </row>
    <row r="2592" spans="1:12" ht="15.35" hidden="1" x14ac:dyDescent="0.55000000000000004">
      <c r="A2592" s="20">
        <v>16775</v>
      </c>
      <c r="B2592" s="2" t="s">
        <v>176</v>
      </c>
      <c r="C2592" s="2" t="s">
        <v>177</v>
      </c>
      <c r="D2592" s="20">
        <v>0</v>
      </c>
      <c r="E2592" s="2" t="s">
        <v>838</v>
      </c>
      <c r="F2592" s="2" t="s">
        <v>789</v>
      </c>
      <c r="G2592" s="2" t="s">
        <v>3053</v>
      </c>
      <c r="H2592" s="2" t="s">
        <v>1114</v>
      </c>
      <c r="J2592" s="26"/>
      <c r="K2592" s="36">
        <v>4.0904599999999998E-3</v>
      </c>
      <c r="L2592" s="23">
        <v>4.0905E-4</v>
      </c>
    </row>
    <row r="2593" spans="1:12" ht="15.35" hidden="1" x14ac:dyDescent="0.55000000000000004">
      <c r="A2593" s="20">
        <v>16515</v>
      </c>
      <c r="B2593" s="2" t="s">
        <v>176</v>
      </c>
      <c r="C2593" s="2" t="s">
        <v>177</v>
      </c>
      <c r="D2593" s="20">
        <v>0</v>
      </c>
      <c r="E2593" s="2" t="s">
        <v>838</v>
      </c>
      <c r="F2593" s="2" t="s">
        <v>793</v>
      </c>
      <c r="G2593" s="2" t="s">
        <v>3054</v>
      </c>
      <c r="H2593" s="2" t="s">
        <v>1196</v>
      </c>
      <c r="J2593" s="26"/>
      <c r="K2593" s="36">
        <v>1.4637E-4</v>
      </c>
      <c r="L2593" s="23">
        <v>1.464E-5</v>
      </c>
    </row>
    <row r="2594" spans="1:12" ht="15.35" hidden="1" x14ac:dyDescent="0.55000000000000004">
      <c r="A2594" s="20">
        <v>16669</v>
      </c>
      <c r="B2594" s="2" t="s">
        <v>176</v>
      </c>
      <c r="C2594" s="2" t="s">
        <v>177</v>
      </c>
      <c r="D2594" s="20">
        <v>0</v>
      </c>
      <c r="E2594" s="2" t="s">
        <v>838</v>
      </c>
      <c r="F2594" s="2" t="s">
        <v>789</v>
      </c>
      <c r="G2594" s="2" t="s">
        <v>3055</v>
      </c>
      <c r="H2594" s="2" t="s">
        <v>832</v>
      </c>
      <c r="J2594" s="26"/>
      <c r="K2594" s="36">
        <v>5.68076E-3</v>
      </c>
      <c r="L2594" s="23">
        <v>5.6808E-4</v>
      </c>
    </row>
    <row r="2595" spans="1:12" ht="15.35" hidden="1" x14ac:dyDescent="0.55000000000000004">
      <c r="A2595" s="20">
        <v>16062</v>
      </c>
      <c r="B2595" s="2" t="s">
        <v>176</v>
      </c>
      <c r="C2595" s="2" t="s">
        <v>177</v>
      </c>
      <c r="D2595" s="20">
        <v>0</v>
      </c>
      <c r="E2595" s="2" t="s">
        <v>838</v>
      </c>
      <c r="F2595" s="2" t="s">
        <v>789</v>
      </c>
      <c r="G2595" s="2" t="s">
        <v>2293</v>
      </c>
      <c r="H2595" s="2" t="s">
        <v>832</v>
      </c>
      <c r="J2595" s="26"/>
      <c r="K2595" s="36">
        <v>8.3075200000000005E-3</v>
      </c>
      <c r="L2595" s="23">
        <v>8.3075E-4</v>
      </c>
    </row>
    <row r="2596" spans="1:12" ht="15.35" hidden="1" x14ac:dyDescent="0.55000000000000004">
      <c r="A2596" s="20">
        <v>16128</v>
      </c>
      <c r="B2596" s="2" t="s">
        <v>176</v>
      </c>
      <c r="C2596" s="2" t="s">
        <v>177</v>
      </c>
      <c r="D2596" s="20">
        <v>0</v>
      </c>
      <c r="E2596" s="2" t="s">
        <v>838</v>
      </c>
      <c r="F2596" s="2" t="s">
        <v>789</v>
      </c>
      <c r="G2596" s="2" t="s">
        <v>1457</v>
      </c>
      <c r="H2596" s="2" t="s">
        <v>832</v>
      </c>
      <c r="J2596" s="26"/>
      <c r="K2596" s="36">
        <v>1.8987999999999999E-4</v>
      </c>
      <c r="L2596" s="23">
        <v>1.8989999999999999E-5</v>
      </c>
    </row>
    <row r="2597" spans="1:12" ht="15.35" hidden="1" x14ac:dyDescent="0.55000000000000004">
      <c r="A2597" s="20">
        <v>16579</v>
      </c>
      <c r="B2597" s="2" t="s">
        <v>176</v>
      </c>
      <c r="C2597" s="2" t="s">
        <v>177</v>
      </c>
      <c r="D2597" s="20">
        <v>0</v>
      </c>
      <c r="E2597" s="2" t="s">
        <v>838</v>
      </c>
      <c r="F2597" s="2" t="s">
        <v>789</v>
      </c>
      <c r="G2597" s="2" t="s">
        <v>3056</v>
      </c>
      <c r="H2597" s="2" t="s">
        <v>832</v>
      </c>
      <c r="J2597" s="26"/>
      <c r="K2597" s="36">
        <v>1.8987999999999999E-4</v>
      </c>
      <c r="L2597" s="23">
        <v>1.8989999999999999E-5</v>
      </c>
    </row>
    <row r="2598" spans="1:12" ht="15.35" hidden="1" x14ac:dyDescent="0.55000000000000004">
      <c r="A2598" s="20">
        <v>16620</v>
      </c>
      <c r="B2598" s="2" t="s">
        <v>176</v>
      </c>
      <c r="C2598" s="2" t="s">
        <v>177</v>
      </c>
      <c r="D2598" s="20">
        <v>0</v>
      </c>
      <c r="E2598" s="2" t="s">
        <v>838</v>
      </c>
      <c r="F2598" s="2" t="s">
        <v>789</v>
      </c>
      <c r="G2598" s="2" t="s">
        <v>1459</v>
      </c>
      <c r="H2598" s="2" t="s">
        <v>832</v>
      </c>
      <c r="J2598" s="26"/>
      <c r="K2598" s="36">
        <v>1.8987999999999999E-4</v>
      </c>
      <c r="L2598" s="23">
        <v>1.8989999999999999E-5</v>
      </c>
    </row>
    <row r="2599" spans="1:12" ht="15.35" hidden="1" x14ac:dyDescent="0.55000000000000004">
      <c r="A2599" s="20">
        <v>16287</v>
      </c>
      <c r="B2599" s="2" t="s">
        <v>176</v>
      </c>
      <c r="C2599" s="2" t="s">
        <v>177</v>
      </c>
      <c r="D2599" s="20">
        <v>0</v>
      </c>
      <c r="E2599" s="2" t="s">
        <v>838</v>
      </c>
      <c r="F2599" s="2" t="s">
        <v>789</v>
      </c>
      <c r="G2599" s="2" t="s">
        <v>3057</v>
      </c>
      <c r="H2599" s="2" t="s">
        <v>832</v>
      </c>
      <c r="J2599" s="26"/>
      <c r="K2599" s="36">
        <v>8.3075200000000005E-3</v>
      </c>
      <c r="L2599" s="23">
        <v>8.3075E-4</v>
      </c>
    </row>
    <row r="2600" spans="1:12" ht="15.35" hidden="1" x14ac:dyDescent="0.55000000000000004">
      <c r="A2600" s="20">
        <v>16199</v>
      </c>
      <c r="B2600" s="2" t="s">
        <v>176</v>
      </c>
      <c r="C2600" s="2" t="s">
        <v>177</v>
      </c>
      <c r="D2600" s="20">
        <v>0</v>
      </c>
      <c r="E2600" s="2" t="s">
        <v>838</v>
      </c>
      <c r="F2600" s="2" t="s">
        <v>789</v>
      </c>
      <c r="G2600" s="2" t="s">
        <v>1461</v>
      </c>
      <c r="H2600" s="2" t="s">
        <v>832</v>
      </c>
      <c r="J2600" s="26"/>
      <c r="K2600" s="36">
        <v>8.3075200000000005E-3</v>
      </c>
      <c r="L2600" s="23">
        <v>8.3075E-4</v>
      </c>
    </row>
    <row r="2601" spans="1:12" ht="15.35" hidden="1" x14ac:dyDescent="0.55000000000000004">
      <c r="A2601" s="20">
        <v>16254</v>
      </c>
      <c r="B2601" s="2" t="s">
        <v>176</v>
      </c>
      <c r="C2601" s="2" t="s">
        <v>177</v>
      </c>
      <c r="D2601" s="20">
        <v>0</v>
      </c>
      <c r="E2601" s="2" t="s">
        <v>838</v>
      </c>
      <c r="F2601" s="2" t="s">
        <v>789</v>
      </c>
      <c r="G2601" s="2" t="s">
        <v>1462</v>
      </c>
      <c r="H2601" s="2" t="s">
        <v>832</v>
      </c>
      <c r="J2601" s="26"/>
      <c r="K2601" s="36">
        <v>8.3075200000000005E-3</v>
      </c>
      <c r="L2601" s="23">
        <v>8.3075E-4</v>
      </c>
    </row>
    <row r="2602" spans="1:12" ht="15.35" hidden="1" x14ac:dyDescent="0.55000000000000004">
      <c r="A2602" s="20">
        <v>16044</v>
      </c>
      <c r="B2602" s="2" t="s">
        <v>176</v>
      </c>
      <c r="C2602" s="2" t="s">
        <v>177</v>
      </c>
      <c r="D2602" s="20">
        <v>0</v>
      </c>
      <c r="E2602" s="2" t="s">
        <v>838</v>
      </c>
      <c r="F2602" s="2" t="s">
        <v>789</v>
      </c>
      <c r="G2602" s="2" t="s">
        <v>1463</v>
      </c>
      <c r="H2602" s="2" t="s">
        <v>832</v>
      </c>
      <c r="J2602" s="26"/>
      <c r="K2602" s="36">
        <v>8.3075200000000005E-3</v>
      </c>
      <c r="L2602" s="23">
        <v>8.3075E-4</v>
      </c>
    </row>
    <row r="2603" spans="1:12" ht="15.35" hidden="1" x14ac:dyDescent="0.55000000000000004">
      <c r="A2603" s="20">
        <v>16165</v>
      </c>
      <c r="B2603" s="2" t="s">
        <v>176</v>
      </c>
      <c r="C2603" s="2" t="s">
        <v>177</v>
      </c>
      <c r="D2603" s="20">
        <v>0</v>
      </c>
      <c r="E2603" s="2" t="s">
        <v>838</v>
      </c>
      <c r="F2603" s="2" t="s">
        <v>789</v>
      </c>
      <c r="G2603" s="2" t="s">
        <v>1464</v>
      </c>
      <c r="H2603" s="2" t="s">
        <v>832</v>
      </c>
      <c r="J2603" s="26"/>
      <c r="K2603" s="36">
        <v>8.3075200000000005E-3</v>
      </c>
      <c r="L2603" s="23">
        <v>8.3075E-4</v>
      </c>
    </row>
    <row r="2604" spans="1:12" ht="15.35" hidden="1" x14ac:dyDescent="0.55000000000000004">
      <c r="A2604" s="20">
        <v>16316</v>
      </c>
      <c r="B2604" s="2" t="s">
        <v>176</v>
      </c>
      <c r="C2604" s="2" t="s">
        <v>177</v>
      </c>
      <c r="D2604" s="20">
        <v>0</v>
      </c>
      <c r="E2604" s="2" t="s">
        <v>838</v>
      </c>
      <c r="F2604" s="2" t="s">
        <v>789</v>
      </c>
      <c r="G2604" s="2" t="s">
        <v>1465</v>
      </c>
      <c r="H2604" s="2" t="s">
        <v>832</v>
      </c>
      <c r="J2604" s="26"/>
      <c r="K2604" s="36">
        <v>8.3075200000000005E-3</v>
      </c>
      <c r="L2604" s="23">
        <v>8.3075E-4</v>
      </c>
    </row>
    <row r="2605" spans="1:12" ht="15.35" hidden="1" x14ac:dyDescent="0.55000000000000004">
      <c r="A2605" s="20">
        <v>16280</v>
      </c>
      <c r="B2605" s="2" t="s">
        <v>176</v>
      </c>
      <c r="C2605" s="2" t="s">
        <v>177</v>
      </c>
      <c r="D2605" s="20">
        <v>0</v>
      </c>
      <c r="E2605" s="2" t="s">
        <v>838</v>
      </c>
      <c r="F2605" s="2" t="s">
        <v>789</v>
      </c>
      <c r="G2605" s="2" t="s">
        <v>1465</v>
      </c>
      <c r="H2605" s="2" t="s">
        <v>832</v>
      </c>
      <c r="J2605" s="26"/>
      <c r="K2605" s="36">
        <v>8.3075200000000005E-3</v>
      </c>
      <c r="L2605" s="23">
        <v>8.3075E-4</v>
      </c>
    </row>
    <row r="2606" spans="1:12" ht="15.35" hidden="1" x14ac:dyDescent="0.55000000000000004">
      <c r="A2606" s="20">
        <v>16664</v>
      </c>
      <c r="B2606" s="2" t="s">
        <v>176</v>
      </c>
      <c r="C2606" s="2" t="s">
        <v>177</v>
      </c>
      <c r="D2606" s="20">
        <v>0</v>
      </c>
      <c r="E2606" s="2" t="s">
        <v>838</v>
      </c>
      <c r="F2606" s="2" t="s">
        <v>789</v>
      </c>
      <c r="G2606" s="2" t="s">
        <v>1466</v>
      </c>
      <c r="H2606" s="2" t="s">
        <v>832</v>
      </c>
      <c r="J2606" s="26"/>
      <c r="K2606" s="36">
        <v>8.3075200000000005E-3</v>
      </c>
      <c r="L2606" s="23">
        <v>8.3075E-4</v>
      </c>
    </row>
    <row r="2607" spans="1:12" ht="15.35" hidden="1" x14ac:dyDescent="0.55000000000000004">
      <c r="A2607" s="20">
        <v>16560</v>
      </c>
      <c r="B2607" s="2" t="s">
        <v>176</v>
      </c>
      <c r="C2607" s="2" t="s">
        <v>177</v>
      </c>
      <c r="D2607" s="20">
        <v>0</v>
      </c>
      <c r="E2607" s="2" t="s">
        <v>838</v>
      </c>
      <c r="F2607" s="2" t="s">
        <v>789</v>
      </c>
      <c r="G2607" s="2" t="s">
        <v>1467</v>
      </c>
      <c r="H2607" s="2" t="s">
        <v>832</v>
      </c>
      <c r="J2607" s="26"/>
      <c r="K2607" s="36">
        <v>8.3075200000000005E-3</v>
      </c>
      <c r="L2607" s="23">
        <v>8.3075E-4</v>
      </c>
    </row>
    <row r="2608" spans="1:12" ht="15.35" hidden="1" x14ac:dyDescent="0.55000000000000004">
      <c r="A2608" s="20">
        <v>16557</v>
      </c>
      <c r="B2608" s="2" t="s">
        <v>176</v>
      </c>
      <c r="C2608" s="2" t="s">
        <v>177</v>
      </c>
      <c r="D2608" s="20">
        <v>0</v>
      </c>
      <c r="E2608" s="2" t="s">
        <v>838</v>
      </c>
      <c r="F2608" s="2" t="s">
        <v>789</v>
      </c>
      <c r="G2608" s="2" t="s">
        <v>3058</v>
      </c>
      <c r="H2608" s="2" t="s">
        <v>832</v>
      </c>
      <c r="J2608" s="26"/>
      <c r="K2608" s="36">
        <v>9.6524999999999996E-4</v>
      </c>
      <c r="L2608" s="23">
        <v>9.6520000000000004E-5</v>
      </c>
    </row>
    <row r="2609" spans="1:12" ht="15.35" hidden="1" x14ac:dyDescent="0.55000000000000004">
      <c r="A2609" s="20">
        <v>16550</v>
      </c>
      <c r="B2609" s="2" t="s">
        <v>176</v>
      </c>
      <c r="C2609" s="2" t="s">
        <v>177</v>
      </c>
      <c r="D2609" s="20">
        <v>0</v>
      </c>
      <c r="E2609" s="2" t="s">
        <v>838</v>
      </c>
      <c r="F2609" s="2" t="s">
        <v>789</v>
      </c>
      <c r="G2609" s="2" t="s">
        <v>1469</v>
      </c>
      <c r="H2609" s="2" t="s">
        <v>832</v>
      </c>
      <c r="J2609" s="26"/>
      <c r="K2609" s="36">
        <v>8.2678999999999999E-4</v>
      </c>
      <c r="L2609" s="23">
        <v>8.2680000000000001E-5</v>
      </c>
    </row>
    <row r="2610" spans="1:12" ht="15.35" hidden="1" x14ac:dyDescent="0.55000000000000004">
      <c r="A2610" s="20">
        <v>16562</v>
      </c>
      <c r="B2610" s="2" t="s">
        <v>176</v>
      </c>
      <c r="C2610" s="2" t="s">
        <v>177</v>
      </c>
      <c r="D2610" s="20">
        <v>0</v>
      </c>
      <c r="E2610" s="2" t="s">
        <v>838</v>
      </c>
      <c r="F2610" s="2" t="s">
        <v>789</v>
      </c>
      <c r="G2610" s="2" t="s">
        <v>1470</v>
      </c>
      <c r="H2610" s="2" t="s">
        <v>832</v>
      </c>
      <c r="J2610" s="26"/>
      <c r="K2610" s="36">
        <v>3.4060800000000001E-3</v>
      </c>
      <c r="L2610" s="23">
        <v>3.4060999999999998E-4</v>
      </c>
    </row>
    <row r="2611" spans="1:12" ht="15.35" hidden="1" x14ac:dyDescent="0.55000000000000004">
      <c r="A2611" s="20">
        <v>16688</v>
      </c>
      <c r="B2611" s="2" t="s">
        <v>176</v>
      </c>
      <c r="C2611" s="2" t="s">
        <v>177</v>
      </c>
      <c r="D2611" s="20">
        <v>0</v>
      </c>
      <c r="E2611" s="2" t="s">
        <v>838</v>
      </c>
      <c r="F2611" s="2" t="s">
        <v>789</v>
      </c>
      <c r="G2611" s="2" t="s">
        <v>1471</v>
      </c>
      <c r="H2611" s="2" t="s">
        <v>832</v>
      </c>
      <c r="J2611" s="26"/>
      <c r="K2611" s="36">
        <v>8.3075200000000005E-3</v>
      </c>
      <c r="L2611" s="23">
        <v>8.3075E-4</v>
      </c>
    </row>
    <row r="2612" spans="1:12" ht="15.35" hidden="1" x14ac:dyDescent="0.55000000000000004">
      <c r="A2612" s="20">
        <v>16215</v>
      </c>
      <c r="B2612" s="2" t="s">
        <v>176</v>
      </c>
      <c r="C2612" s="2" t="s">
        <v>177</v>
      </c>
      <c r="D2612" s="20">
        <v>0</v>
      </c>
      <c r="E2612" s="2" t="s">
        <v>838</v>
      </c>
      <c r="F2612" s="2" t="s">
        <v>789</v>
      </c>
      <c r="G2612" s="2" t="s">
        <v>1472</v>
      </c>
      <c r="H2612" s="2" t="s">
        <v>832</v>
      </c>
      <c r="J2612" s="26"/>
      <c r="K2612" s="36">
        <v>8.3075200000000005E-3</v>
      </c>
      <c r="L2612" s="23">
        <v>8.3075E-4</v>
      </c>
    </row>
    <row r="2613" spans="1:12" ht="15.35" hidden="1" x14ac:dyDescent="0.55000000000000004">
      <c r="A2613" s="20">
        <v>16080</v>
      </c>
      <c r="B2613" s="2" t="s">
        <v>176</v>
      </c>
      <c r="C2613" s="2" t="s">
        <v>177</v>
      </c>
      <c r="D2613" s="20">
        <v>0</v>
      </c>
      <c r="E2613" s="2" t="s">
        <v>838</v>
      </c>
      <c r="F2613" s="2" t="s">
        <v>789</v>
      </c>
      <c r="G2613" s="2" t="s">
        <v>1473</v>
      </c>
      <c r="H2613" s="2" t="s">
        <v>832</v>
      </c>
      <c r="J2613" s="26"/>
      <c r="K2613" s="36">
        <v>8.3075200000000005E-3</v>
      </c>
      <c r="L2613" s="23">
        <v>8.3075E-4</v>
      </c>
    </row>
    <row r="2614" spans="1:12" ht="15.35" hidden="1" x14ac:dyDescent="0.55000000000000004">
      <c r="A2614" s="20">
        <v>16677</v>
      </c>
      <c r="B2614" s="2" t="s">
        <v>176</v>
      </c>
      <c r="C2614" s="2" t="s">
        <v>177</v>
      </c>
      <c r="D2614" s="20">
        <v>0</v>
      </c>
      <c r="E2614" s="2" t="s">
        <v>838</v>
      </c>
      <c r="F2614" s="2" t="s">
        <v>789</v>
      </c>
      <c r="G2614" s="2" t="s">
        <v>1474</v>
      </c>
      <c r="H2614" s="2" t="s">
        <v>832</v>
      </c>
      <c r="J2614" s="26"/>
      <c r="K2614" s="36">
        <v>8.3075200000000005E-3</v>
      </c>
      <c r="L2614" s="23">
        <v>8.3075E-4</v>
      </c>
    </row>
    <row r="2615" spans="1:12" ht="15.35" hidden="1" x14ac:dyDescent="0.55000000000000004">
      <c r="A2615" s="20">
        <v>16702</v>
      </c>
      <c r="B2615" s="2" t="s">
        <v>176</v>
      </c>
      <c r="C2615" s="2" t="s">
        <v>177</v>
      </c>
      <c r="D2615" s="20">
        <v>0</v>
      </c>
      <c r="E2615" s="2" t="s">
        <v>838</v>
      </c>
      <c r="F2615" s="2" t="s">
        <v>789</v>
      </c>
      <c r="G2615" s="2" t="s">
        <v>3059</v>
      </c>
      <c r="H2615" s="2" t="s">
        <v>832</v>
      </c>
      <c r="J2615" s="26"/>
      <c r="K2615" s="36">
        <v>8.3075200000000005E-3</v>
      </c>
      <c r="L2615" s="23">
        <v>8.3075E-4</v>
      </c>
    </row>
    <row r="2616" spans="1:12" ht="15.35" hidden="1" x14ac:dyDescent="0.55000000000000004">
      <c r="A2616" s="20">
        <v>16685</v>
      </c>
      <c r="B2616" s="2" t="s">
        <v>176</v>
      </c>
      <c r="C2616" s="2" t="s">
        <v>177</v>
      </c>
      <c r="D2616" s="20">
        <v>0</v>
      </c>
      <c r="E2616" s="2" t="s">
        <v>838</v>
      </c>
      <c r="F2616" s="2" t="s">
        <v>789</v>
      </c>
      <c r="G2616" s="2" t="s">
        <v>3060</v>
      </c>
      <c r="H2616" s="2" t="s">
        <v>832</v>
      </c>
      <c r="J2616" s="26"/>
      <c r="K2616" s="36">
        <v>8.3075200000000005E-3</v>
      </c>
      <c r="L2616" s="23">
        <v>8.3075E-4</v>
      </c>
    </row>
    <row r="2617" spans="1:12" ht="15.35" hidden="1" x14ac:dyDescent="0.55000000000000004">
      <c r="A2617" s="20">
        <v>16120</v>
      </c>
      <c r="B2617" s="2" t="s">
        <v>176</v>
      </c>
      <c r="C2617" s="2" t="s">
        <v>177</v>
      </c>
      <c r="D2617" s="20">
        <v>0</v>
      </c>
      <c r="E2617" s="2" t="s">
        <v>838</v>
      </c>
      <c r="F2617" s="2" t="s">
        <v>789</v>
      </c>
      <c r="G2617" s="2" t="s">
        <v>2300</v>
      </c>
      <c r="H2617" s="2" t="s">
        <v>832</v>
      </c>
      <c r="J2617" s="26"/>
      <c r="K2617" s="36">
        <v>2.1559999999999999E-3</v>
      </c>
      <c r="L2617" s="23">
        <v>2.1560000000000001E-4</v>
      </c>
    </row>
    <row r="2618" spans="1:12" ht="15.35" hidden="1" x14ac:dyDescent="0.55000000000000004">
      <c r="A2618" s="20">
        <v>16378</v>
      </c>
      <c r="B2618" s="2" t="s">
        <v>176</v>
      </c>
      <c r="C2618" s="2" t="s">
        <v>177</v>
      </c>
      <c r="D2618" s="20">
        <v>0</v>
      </c>
      <c r="E2618" s="2" t="s">
        <v>838</v>
      </c>
      <c r="F2618" s="2" t="s">
        <v>789</v>
      </c>
      <c r="G2618" s="2" t="s">
        <v>3061</v>
      </c>
      <c r="H2618" s="2" t="s">
        <v>832</v>
      </c>
      <c r="J2618" s="26"/>
      <c r="K2618" s="36">
        <v>8.3075200000000005E-3</v>
      </c>
      <c r="L2618" s="23">
        <v>8.3075E-4</v>
      </c>
    </row>
    <row r="2619" spans="1:12" ht="15.35" hidden="1" x14ac:dyDescent="0.55000000000000004">
      <c r="A2619" s="20">
        <v>16318</v>
      </c>
      <c r="B2619" s="2" t="s">
        <v>176</v>
      </c>
      <c r="C2619" s="2" t="s">
        <v>177</v>
      </c>
      <c r="D2619" s="20">
        <v>0</v>
      </c>
      <c r="E2619" s="2" t="s">
        <v>838</v>
      </c>
      <c r="F2619" s="2" t="s">
        <v>793</v>
      </c>
      <c r="G2619" s="2" t="s">
        <v>1478</v>
      </c>
      <c r="H2619" s="2" t="s">
        <v>1478</v>
      </c>
      <c r="J2619" s="26"/>
      <c r="K2619" s="36">
        <v>5.3405500000000003E-3</v>
      </c>
      <c r="L2619" s="23">
        <v>5.3405E-4</v>
      </c>
    </row>
    <row r="2620" spans="1:12" ht="15.35" hidden="1" x14ac:dyDescent="0.55000000000000004">
      <c r="A2620" s="20">
        <v>16616</v>
      </c>
      <c r="B2620" s="2" t="s">
        <v>176</v>
      </c>
      <c r="C2620" s="2" t="s">
        <v>177</v>
      </c>
      <c r="D2620" s="20">
        <v>0</v>
      </c>
      <c r="E2620" s="2" t="s">
        <v>838</v>
      </c>
      <c r="F2620" s="2" t="s">
        <v>793</v>
      </c>
      <c r="G2620" s="2" t="s">
        <v>3062</v>
      </c>
      <c r="H2620" s="2" t="s">
        <v>1478</v>
      </c>
      <c r="J2620" s="26"/>
      <c r="K2620" s="36">
        <v>3.0065299999999999E-3</v>
      </c>
      <c r="L2620" s="23">
        <v>3.0065000000000002E-4</v>
      </c>
    </row>
    <row r="2621" spans="1:12" ht="15.35" hidden="1" x14ac:dyDescent="0.55000000000000004">
      <c r="A2621" s="20">
        <v>16563</v>
      </c>
      <c r="B2621" s="2" t="s">
        <v>176</v>
      </c>
      <c r="C2621" s="2" t="s">
        <v>177</v>
      </c>
      <c r="D2621" s="20">
        <v>0</v>
      </c>
      <c r="E2621" s="2" t="s">
        <v>838</v>
      </c>
      <c r="F2621" s="2" t="s">
        <v>848</v>
      </c>
      <c r="G2621" s="2" t="s">
        <v>1480</v>
      </c>
      <c r="H2621" s="2" t="s">
        <v>1480</v>
      </c>
      <c r="J2621" s="26"/>
      <c r="K2621" s="36">
        <v>6.8200800000000001E-3</v>
      </c>
      <c r="L2621" s="23">
        <v>6.8201000000000004E-4</v>
      </c>
    </row>
    <row r="2622" spans="1:12" ht="15.35" hidden="1" x14ac:dyDescent="0.55000000000000004">
      <c r="A2622" s="20">
        <v>16193</v>
      </c>
      <c r="B2622" s="2" t="s">
        <v>176</v>
      </c>
      <c r="C2622" s="2" t="s">
        <v>177</v>
      </c>
      <c r="D2622" s="20">
        <v>0</v>
      </c>
      <c r="E2622" s="2" t="s">
        <v>838</v>
      </c>
      <c r="F2622" s="2" t="s">
        <v>811</v>
      </c>
      <c r="G2622" s="2" t="s">
        <v>3063</v>
      </c>
      <c r="H2622" s="2" t="s">
        <v>1482</v>
      </c>
      <c r="J2622" s="26"/>
      <c r="K2622" s="36">
        <v>3.9559599999999997E-3</v>
      </c>
      <c r="L2622" s="23">
        <v>3.9560000000000002E-4</v>
      </c>
    </row>
    <row r="2623" spans="1:12" ht="15.35" hidden="1" x14ac:dyDescent="0.55000000000000004">
      <c r="A2623" s="20">
        <v>16519</v>
      </c>
      <c r="B2623" s="2" t="s">
        <v>176</v>
      </c>
      <c r="C2623" s="2" t="s">
        <v>177</v>
      </c>
      <c r="D2623" s="20">
        <v>0</v>
      </c>
      <c r="E2623" s="2" t="s">
        <v>838</v>
      </c>
      <c r="F2623" s="2" t="s">
        <v>811</v>
      </c>
      <c r="G2623" s="2" t="s">
        <v>3064</v>
      </c>
      <c r="H2623" s="2" t="s">
        <v>1482</v>
      </c>
      <c r="J2623" s="26"/>
      <c r="K2623" s="36">
        <v>7.1206999999999998E-4</v>
      </c>
      <c r="L2623" s="23">
        <v>7.1210000000000004E-5</v>
      </c>
    </row>
    <row r="2624" spans="1:12" ht="15.35" hidden="1" x14ac:dyDescent="0.55000000000000004">
      <c r="A2624" s="20">
        <v>16630</v>
      </c>
      <c r="B2624" s="2" t="s">
        <v>176</v>
      </c>
      <c r="C2624" s="2" t="s">
        <v>177</v>
      </c>
      <c r="D2624" s="20">
        <v>0</v>
      </c>
      <c r="E2624" s="2" t="s">
        <v>838</v>
      </c>
      <c r="F2624" s="2" t="s">
        <v>811</v>
      </c>
      <c r="G2624" s="2" t="s">
        <v>3065</v>
      </c>
      <c r="H2624" s="2" t="s">
        <v>1482</v>
      </c>
      <c r="J2624" s="26"/>
      <c r="K2624" s="36">
        <v>2.3735700000000002E-3</v>
      </c>
      <c r="L2624" s="23">
        <v>2.3735999999999999E-4</v>
      </c>
    </row>
    <row r="2625" spans="1:12" ht="15.35" hidden="1" x14ac:dyDescent="0.55000000000000004">
      <c r="A2625" s="20">
        <v>16227</v>
      </c>
      <c r="B2625" s="2" t="s">
        <v>176</v>
      </c>
      <c r="C2625" s="2" t="s">
        <v>177</v>
      </c>
      <c r="D2625" s="20">
        <v>0</v>
      </c>
      <c r="E2625" s="2" t="s">
        <v>838</v>
      </c>
      <c r="F2625" s="2" t="s">
        <v>811</v>
      </c>
      <c r="G2625" s="2" t="s">
        <v>3066</v>
      </c>
      <c r="H2625" s="2" t="s">
        <v>1482</v>
      </c>
      <c r="J2625" s="26"/>
      <c r="K2625" s="36">
        <v>1.1076700000000001E-3</v>
      </c>
      <c r="L2625" s="23">
        <v>1.1077E-4</v>
      </c>
    </row>
    <row r="2626" spans="1:12" ht="15.35" hidden="1" x14ac:dyDescent="0.55000000000000004">
      <c r="A2626" s="20">
        <v>16475</v>
      </c>
      <c r="B2626" s="2" t="s">
        <v>176</v>
      </c>
      <c r="C2626" s="2" t="s">
        <v>177</v>
      </c>
      <c r="D2626" s="20">
        <v>0</v>
      </c>
      <c r="E2626" s="2" t="s">
        <v>838</v>
      </c>
      <c r="F2626" s="2" t="s">
        <v>811</v>
      </c>
      <c r="G2626" s="2" t="s">
        <v>3067</v>
      </c>
      <c r="H2626" s="2" t="s">
        <v>1482</v>
      </c>
      <c r="J2626" s="26"/>
      <c r="K2626" s="36">
        <v>8.7031000000000001E-4</v>
      </c>
      <c r="L2626" s="23">
        <v>8.7029999999999999E-5</v>
      </c>
    </row>
    <row r="2627" spans="1:12" ht="15.35" hidden="1" x14ac:dyDescent="0.55000000000000004">
      <c r="A2627" s="20">
        <v>16568</v>
      </c>
      <c r="B2627" s="2" t="s">
        <v>176</v>
      </c>
      <c r="C2627" s="2" t="s">
        <v>177</v>
      </c>
      <c r="D2627" s="20">
        <v>0</v>
      </c>
      <c r="E2627" s="2" t="s">
        <v>838</v>
      </c>
      <c r="F2627" s="2" t="s">
        <v>811</v>
      </c>
      <c r="G2627" s="2" t="s">
        <v>3068</v>
      </c>
      <c r="H2627" s="2" t="s">
        <v>1490</v>
      </c>
      <c r="J2627" s="26"/>
      <c r="K2627" s="36">
        <v>1.1867E-4</v>
      </c>
      <c r="L2627" s="23">
        <v>1.187E-5</v>
      </c>
    </row>
    <row r="2628" spans="1:12" ht="15.35" hidden="1" x14ac:dyDescent="0.55000000000000004">
      <c r="A2628" s="20">
        <v>16402</v>
      </c>
      <c r="B2628" s="2" t="s">
        <v>176</v>
      </c>
      <c r="C2628" s="2" t="s">
        <v>177</v>
      </c>
      <c r="D2628" s="20">
        <v>0</v>
      </c>
      <c r="E2628" s="2" t="s">
        <v>838</v>
      </c>
      <c r="F2628" s="2" t="s">
        <v>811</v>
      </c>
      <c r="G2628" s="2" t="s">
        <v>3069</v>
      </c>
      <c r="H2628" s="2" t="s">
        <v>1490</v>
      </c>
      <c r="J2628" s="26"/>
      <c r="K2628" s="36">
        <v>3.5603000000000002E-4</v>
      </c>
      <c r="L2628" s="23">
        <v>3.5599999999999998E-5</v>
      </c>
    </row>
    <row r="2629" spans="1:12" ht="15.35" hidden="1" x14ac:dyDescent="0.55000000000000004">
      <c r="A2629" s="20">
        <v>16753</v>
      </c>
      <c r="B2629" s="2" t="s">
        <v>176</v>
      </c>
      <c r="C2629" s="2" t="s">
        <v>177</v>
      </c>
      <c r="D2629" s="20">
        <v>0</v>
      </c>
      <c r="E2629" s="2" t="s">
        <v>838</v>
      </c>
      <c r="F2629" s="2" t="s">
        <v>793</v>
      </c>
      <c r="G2629" s="2" t="s">
        <v>3070</v>
      </c>
      <c r="H2629" s="2" t="s">
        <v>1490</v>
      </c>
      <c r="J2629" s="26"/>
      <c r="K2629" s="36">
        <v>9.4943000000000002E-4</v>
      </c>
      <c r="L2629" s="23">
        <v>9.4939999999999996E-5</v>
      </c>
    </row>
    <row r="2630" spans="1:12" ht="15.35" hidden="1" x14ac:dyDescent="0.55000000000000004">
      <c r="A2630" s="20">
        <v>15921</v>
      </c>
      <c r="B2630" s="2" t="s">
        <v>176</v>
      </c>
      <c r="C2630" s="2" t="s">
        <v>177</v>
      </c>
      <c r="D2630" s="20">
        <v>0</v>
      </c>
      <c r="E2630" s="2" t="s">
        <v>838</v>
      </c>
      <c r="F2630" s="2" t="s">
        <v>811</v>
      </c>
      <c r="G2630" s="2" t="s">
        <v>3071</v>
      </c>
      <c r="H2630" s="2" t="s">
        <v>1490</v>
      </c>
      <c r="J2630" s="26"/>
      <c r="K2630" s="36">
        <v>2.6900499999999998E-3</v>
      </c>
      <c r="L2630" s="23">
        <v>2.6900999999999997E-4</v>
      </c>
    </row>
    <row r="2631" spans="1:12" ht="15.35" hidden="1" x14ac:dyDescent="0.55000000000000004">
      <c r="A2631" s="20">
        <v>16593</v>
      </c>
      <c r="B2631" s="2" t="s">
        <v>176</v>
      </c>
      <c r="C2631" s="2" t="s">
        <v>177</v>
      </c>
      <c r="D2631" s="20">
        <v>0</v>
      </c>
      <c r="E2631" s="2" t="s">
        <v>838</v>
      </c>
      <c r="F2631" s="2" t="s">
        <v>811</v>
      </c>
      <c r="G2631" s="2" t="s">
        <v>3072</v>
      </c>
      <c r="H2631" s="2" t="s">
        <v>1490</v>
      </c>
      <c r="J2631" s="26"/>
      <c r="K2631" s="36">
        <v>2.3735E-4</v>
      </c>
      <c r="L2631" s="23">
        <v>2.3730000000000001E-5</v>
      </c>
    </row>
    <row r="2632" spans="1:12" ht="15.35" hidden="1" x14ac:dyDescent="0.55000000000000004">
      <c r="A2632" s="20">
        <v>16278</v>
      </c>
      <c r="B2632" s="2" t="s">
        <v>176</v>
      </c>
      <c r="C2632" s="2" t="s">
        <v>177</v>
      </c>
      <c r="D2632" s="20">
        <v>0</v>
      </c>
      <c r="E2632" s="2" t="s">
        <v>838</v>
      </c>
      <c r="F2632" s="2" t="s">
        <v>811</v>
      </c>
      <c r="G2632" s="2" t="s">
        <v>3073</v>
      </c>
      <c r="H2632" s="2" t="s">
        <v>1490</v>
      </c>
      <c r="J2632" s="26"/>
      <c r="K2632" s="36">
        <v>2.3735E-4</v>
      </c>
      <c r="L2632" s="23">
        <v>2.3730000000000001E-5</v>
      </c>
    </row>
    <row r="2633" spans="1:12" ht="15.35" hidden="1" x14ac:dyDescent="0.55000000000000004">
      <c r="A2633" s="20">
        <v>16164</v>
      </c>
      <c r="B2633" s="2" t="s">
        <v>176</v>
      </c>
      <c r="C2633" s="2" t="s">
        <v>177</v>
      </c>
      <c r="D2633" s="20">
        <v>0</v>
      </c>
      <c r="E2633" s="2" t="s">
        <v>838</v>
      </c>
      <c r="F2633" s="2" t="s">
        <v>811</v>
      </c>
      <c r="G2633" s="2" t="s">
        <v>3074</v>
      </c>
      <c r="H2633" s="2" t="s">
        <v>1490</v>
      </c>
      <c r="J2633" s="26"/>
      <c r="K2633" s="36">
        <v>9.0987000000000001E-4</v>
      </c>
      <c r="L2633" s="23">
        <v>9.0989999999999994E-5</v>
      </c>
    </row>
    <row r="2634" spans="1:12" ht="15.35" hidden="1" x14ac:dyDescent="0.55000000000000004">
      <c r="A2634" s="20">
        <v>16636</v>
      </c>
      <c r="B2634" s="2" t="s">
        <v>176</v>
      </c>
      <c r="C2634" s="2" t="s">
        <v>177</v>
      </c>
      <c r="D2634" s="20">
        <v>0</v>
      </c>
      <c r="E2634" s="2" t="s">
        <v>838</v>
      </c>
      <c r="F2634" s="2" t="s">
        <v>783</v>
      </c>
      <c r="G2634" s="2" t="s">
        <v>1499</v>
      </c>
      <c r="H2634" s="2" t="s">
        <v>1499</v>
      </c>
      <c r="J2634" s="26"/>
      <c r="K2634" s="36">
        <v>2.8087300000000002E-3</v>
      </c>
      <c r="L2634" s="23">
        <v>2.8087000000000001E-4</v>
      </c>
    </row>
    <row r="2635" spans="1:12" ht="15.35" hidden="1" x14ac:dyDescent="0.55000000000000004">
      <c r="A2635" s="20">
        <v>16659</v>
      </c>
      <c r="B2635" s="2" t="s">
        <v>176</v>
      </c>
      <c r="C2635" s="2" t="s">
        <v>177</v>
      </c>
      <c r="D2635" s="20">
        <v>0</v>
      </c>
      <c r="E2635" s="2" t="s">
        <v>838</v>
      </c>
      <c r="F2635" s="2" t="s">
        <v>793</v>
      </c>
      <c r="G2635" s="2" t="s">
        <v>3075</v>
      </c>
      <c r="H2635" s="2" t="s">
        <v>3076</v>
      </c>
      <c r="J2635" s="26"/>
      <c r="K2635" s="36">
        <v>8.3075200000000005E-3</v>
      </c>
      <c r="L2635" s="23">
        <v>8.3075E-4</v>
      </c>
    </row>
    <row r="2636" spans="1:12" ht="15.35" hidden="1" x14ac:dyDescent="0.55000000000000004">
      <c r="A2636" s="20">
        <v>16055</v>
      </c>
      <c r="B2636" s="2" t="s">
        <v>176</v>
      </c>
      <c r="C2636" s="2" t="s">
        <v>177</v>
      </c>
      <c r="D2636" s="20">
        <v>0</v>
      </c>
      <c r="E2636" s="2" t="s">
        <v>838</v>
      </c>
      <c r="F2636" s="2" t="s">
        <v>811</v>
      </c>
      <c r="G2636" s="2" t="s">
        <v>3077</v>
      </c>
      <c r="H2636" s="2" t="s">
        <v>1062</v>
      </c>
      <c r="J2636" s="26"/>
      <c r="K2636" s="36">
        <v>6.8042000000000005E-4</v>
      </c>
      <c r="L2636" s="23">
        <v>6.8040000000000006E-5</v>
      </c>
    </row>
    <row r="2637" spans="1:12" ht="15.35" hidden="1" x14ac:dyDescent="0.55000000000000004">
      <c r="A2637" s="20">
        <v>16394</v>
      </c>
      <c r="B2637" s="2" t="s">
        <v>176</v>
      </c>
      <c r="C2637" s="2" t="s">
        <v>177</v>
      </c>
      <c r="D2637" s="20">
        <v>0</v>
      </c>
      <c r="E2637" s="2" t="s">
        <v>838</v>
      </c>
      <c r="F2637" s="2" t="s">
        <v>811</v>
      </c>
      <c r="G2637" s="2" t="s">
        <v>3078</v>
      </c>
      <c r="H2637" s="2" t="s">
        <v>1062</v>
      </c>
      <c r="J2637" s="26"/>
      <c r="K2637" s="36">
        <v>1.5823000000000001E-4</v>
      </c>
      <c r="L2637" s="23">
        <v>1.5820000000000001E-5</v>
      </c>
    </row>
    <row r="2638" spans="1:12" ht="15.35" hidden="1" x14ac:dyDescent="0.55000000000000004">
      <c r="A2638" s="20">
        <v>16600</v>
      </c>
      <c r="B2638" s="2" t="s">
        <v>176</v>
      </c>
      <c r="C2638" s="2" t="s">
        <v>177</v>
      </c>
      <c r="D2638" s="20">
        <v>0</v>
      </c>
      <c r="E2638" s="2" t="s">
        <v>838</v>
      </c>
      <c r="F2638" s="2" t="s">
        <v>793</v>
      </c>
      <c r="G2638" s="2" t="s">
        <v>3079</v>
      </c>
      <c r="H2638" s="2" t="s">
        <v>2304</v>
      </c>
      <c r="J2638" s="26"/>
      <c r="K2638" s="36">
        <v>1.1076E-4</v>
      </c>
      <c r="L2638" s="23">
        <v>1.1080000000000001E-5</v>
      </c>
    </row>
    <row r="2639" spans="1:12" ht="15.35" hidden="1" x14ac:dyDescent="0.55000000000000004">
      <c r="A2639" s="20">
        <v>16245</v>
      </c>
      <c r="B2639" s="2" t="s">
        <v>176</v>
      </c>
      <c r="C2639" s="2" t="s">
        <v>177</v>
      </c>
      <c r="D2639" s="20">
        <v>0</v>
      </c>
      <c r="E2639" s="2" t="s">
        <v>838</v>
      </c>
      <c r="F2639" s="2" t="s">
        <v>793</v>
      </c>
      <c r="G2639" s="2" t="s">
        <v>3080</v>
      </c>
      <c r="H2639" s="2" t="s">
        <v>2304</v>
      </c>
      <c r="J2639" s="26"/>
      <c r="K2639" s="36">
        <v>1.1076E-4</v>
      </c>
      <c r="L2639" s="23">
        <v>1.1080000000000001E-5</v>
      </c>
    </row>
    <row r="2640" spans="1:12" ht="15.35" hidden="1" x14ac:dyDescent="0.55000000000000004">
      <c r="A2640" s="20">
        <v>16747</v>
      </c>
      <c r="B2640" s="2" t="s">
        <v>176</v>
      </c>
      <c r="C2640" s="2" t="s">
        <v>177</v>
      </c>
      <c r="D2640" s="20">
        <v>0</v>
      </c>
      <c r="E2640" s="2" t="s">
        <v>838</v>
      </c>
      <c r="F2640" s="2" t="s">
        <v>793</v>
      </c>
      <c r="G2640" s="2" t="s">
        <v>3081</v>
      </c>
      <c r="H2640" s="2" t="s">
        <v>2304</v>
      </c>
      <c r="J2640" s="26"/>
      <c r="K2640" s="36">
        <v>1.1076E-4</v>
      </c>
      <c r="L2640" s="23">
        <v>1.1080000000000001E-5</v>
      </c>
    </row>
    <row r="2641" spans="1:12" ht="15.35" hidden="1" x14ac:dyDescent="0.55000000000000004">
      <c r="A2641" s="20">
        <v>15965</v>
      </c>
      <c r="B2641" s="2" t="s">
        <v>176</v>
      </c>
      <c r="C2641" s="2" t="s">
        <v>177</v>
      </c>
      <c r="D2641" s="20">
        <v>0</v>
      </c>
      <c r="E2641" s="2" t="s">
        <v>838</v>
      </c>
      <c r="F2641" s="2" t="s">
        <v>793</v>
      </c>
      <c r="G2641" s="2" t="s">
        <v>3082</v>
      </c>
      <c r="H2641" s="2" t="s">
        <v>2304</v>
      </c>
      <c r="J2641" s="26"/>
      <c r="K2641" s="36">
        <v>1.1076E-4</v>
      </c>
      <c r="L2641" s="23">
        <v>1.1080000000000001E-5</v>
      </c>
    </row>
    <row r="2642" spans="1:12" ht="15.35" hidden="1" x14ac:dyDescent="0.55000000000000004">
      <c r="A2642" s="20">
        <v>16690</v>
      </c>
      <c r="B2642" s="2" t="s">
        <v>176</v>
      </c>
      <c r="C2642" s="2" t="s">
        <v>177</v>
      </c>
      <c r="D2642" s="20">
        <v>0</v>
      </c>
      <c r="E2642" s="2" t="s">
        <v>838</v>
      </c>
      <c r="F2642" s="2" t="s">
        <v>793</v>
      </c>
      <c r="G2642" s="2" t="s">
        <v>3083</v>
      </c>
      <c r="H2642" s="2" t="s">
        <v>2304</v>
      </c>
      <c r="J2642" s="26"/>
      <c r="K2642" s="36">
        <v>1.1076E-4</v>
      </c>
      <c r="L2642" s="23">
        <v>1.1080000000000001E-5</v>
      </c>
    </row>
    <row r="2643" spans="1:12" ht="15.35" hidden="1" x14ac:dyDescent="0.55000000000000004">
      <c r="A2643" s="20">
        <v>16095</v>
      </c>
      <c r="B2643" s="2" t="s">
        <v>176</v>
      </c>
      <c r="C2643" s="2" t="s">
        <v>177</v>
      </c>
      <c r="D2643" s="20">
        <v>0</v>
      </c>
      <c r="E2643" s="2" t="s">
        <v>838</v>
      </c>
      <c r="F2643" s="2" t="s">
        <v>793</v>
      </c>
      <c r="G2643" s="2" t="s">
        <v>3084</v>
      </c>
      <c r="H2643" s="2" t="s">
        <v>2304</v>
      </c>
      <c r="J2643" s="26"/>
      <c r="K2643" s="36">
        <v>4.7708899999999999E-3</v>
      </c>
      <c r="L2643" s="23">
        <v>4.7709E-4</v>
      </c>
    </row>
    <row r="2644" spans="1:12" ht="15.35" hidden="1" x14ac:dyDescent="0.55000000000000004">
      <c r="A2644" s="20">
        <v>16395</v>
      </c>
      <c r="B2644" s="2" t="s">
        <v>176</v>
      </c>
      <c r="C2644" s="2" t="s">
        <v>177</v>
      </c>
      <c r="D2644" s="20">
        <v>0</v>
      </c>
      <c r="E2644" s="2" t="s">
        <v>838</v>
      </c>
      <c r="F2644" s="2" t="s">
        <v>793</v>
      </c>
      <c r="G2644" s="2" t="s">
        <v>3085</v>
      </c>
      <c r="H2644" s="2" t="s">
        <v>2304</v>
      </c>
      <c r="J2644" s="26"/>
      <c r="K2644" s="36">
        <v>9.0591000000000001E-4</v>
      </c>
      <c r="L2644" s="23">
        <v>9.0589999999999998E-5</v>
      </c>
    </row>
    <row r="2645" spans="1:12" ht="15.35" hidden="1" x14ac:dyDescent="0.55000000000000004">
      <c r="A2645" s="20">
        <v>16647</v>
      </c>
      <c r="B2645" s="2" t="s">
        <v>176</v>
      </c>
      <c r="C2645" s="2" t="s">
        <v>177</v>
      </c>
      <c r="D2645" s="20">
        <v>0</v>
      </c>
      <c r="E2645" s="2" t="s">
        <v>838</v>
      </c>
      <c r="F2645" s="2" t="s">
        <v>793</v>
      </c>
      <c r="G2645" s="2" t="s">
        <v>3086</v>
      </c>
      <c r="H2645" s="2" t="s">
        <v>2304</v>
      </c>
      <c r="J2645" s="26"/>
      <c r="K2645" s="36">
        <v>1.9778999999999999E-4</v>
      </c>
      <c r="L2645" s="23">
        <v>1.978E-5</v>
      </c>
    </row>
    <row r="2646" spans="1:12" ht="15.35" hidden="1" x14ac:dyDescent="0.55000000000000004">
      <c r="A2646" s="20">
        <v>16074</v>
      </c>
      <c r="B2646" s="2" t="s">
        <v>176</v>
      </c>
      <c r="C2646" s="2" t="s">
        <v>177</v>
      </c>
      <c r="D2646" s="20">
        <v>0</v>
      </c>
      <c r="E2646" s="2" t="s">
        <v>838</v>
      </c>
      <c r="F2646" s="2" t="s">
        <v>793</v>
      </c>
      <c r="G2646" s="2" t="s">
        <v>3087</v>
      </c>
      <c r="H2646" s="2" t="s">
        <v>2304</v>
      </c>
      <c r="J2646" s="26"/>
      <c r="K2646" s="36">
        <v>1.1076E-4</v>
      </c>
      <c r="L2646" s="23">
        <v>1.1080000000000001E-5</v>
      </c>
    </row>
    <row r="2647" spans="1:12" ht="15.35" hidden="1" x14ac:dyDescent="0.55000000000000004">
      <c r="A2647" s="20">
        <v>16543</v>
      </c>
      <c r="B2647" s="2" t="s">
        <v>176</v>
      </c>
      <c r="C2647" s="2" t="s">
        <v>177</v>
      </c>
      <c r="D2647" s="20">
        <v>0</v>
      </c>
      <c r="E2647" s="2" t="s">
        <v>838</v>
      </c>
      <c r="F2647" s="2" t="s">
        <v>793</v>
      </c>
      <c r="G2647" s="2" t="s">
        <v>3088</v>
      </c>
      <c r="H2647" s="2" t="s">
        <v>2304</v>
      </c>
      <c r="J2647" s="26"/>
      <c r="K2647" s="36">
        <v>1.47557E-3</v>
      </c>
      <c r="L2647" s="23">
        <v>1.4756E-4</v>
      </c>
    </row>
    <row r="2648" spans="1:12" ht="15.35" hidden="1" x14ac:dyDescent="0.55000000000000004">
      <c r="A2648" s="20">
        <v>16013</v>
      </c>
      <c r="B2648" s="2" t="s">
        <v>176</v>
      </c>
      <c r="C2648" s="2" t="s">
        <v>177</v>
      </c>
      <c r="D2648" s="20">
        <v>0</v>
      </c>
      <c r="E2648" s="2" t="s">
        <v>838</v>
      </c>
      <c r="F2648" s="2" t="s">
        <v>811</v>
      </c>
      <c r="G2648" s="2" t="s">
        <v>3089</v>
      </c>
      <c r="H2648" s="2" t="s">
        <v>1446</v>
      </c>
      <c r="J2648" s="26"/>
      <c r="K2648" s="36">
        <v>1.5032000000000001E-4</v>
      </c>
      <c r="L2648" s="23">
        <v>1.503E-5</v>
      </c>
    </row>
    <row r="2649" spans="1:12" ht="15.35" hidden="1" x14ac:dyDescent="0.55000000000000004">
      <c r="A2649" s="20">
        <v>16101</v>
      </c>
      <c r="B2649" s="2" t="s">
        <v>176</v>
      </c>
      <c r="C2649" s="2" t="s">
        <v>177</v>
      </c>
      <c r="D2649" s="20">
        <v>0</v>
      </c>
      <c r="E2649" s="2" t="s">
        <v>838</v>
      </c>
      <c r="F2649" s="2" t="s">
        <v>789</v>
      </c>
      <c r="G2649" s="2" t="s">
        <v>1500</v>
      </c>
      <c r="H2649" s="2" t="s">
        <v>1501</v>
      </c>
      <c r="J2649" s="26"/>
      <c r="K2649" s="36">
        <v>3.6790400000000002E-3</v>
      </c>
      <c r="L2649" s="23">
        <v>3.679E-4</v>
      </c>
    </row>
    <row r="2650" spans="1:12" ht="15.35" hidden="1" x14ac:dyDescent="0.55000000000000004">
      <c r="A2650" s="20">
        <v>16263</v>
      </c>
      <c r="B2650" s="2" t="s">
        <v>176</v>
      </c>
      <c r="C2650" s="2" t="s">
        <v>177</v>
      </c>
      <c r="D2650" s="20">
        <v>0</v>
      </c>
      <c r="E2650" s="2" t="s">
        <v>838</v>
      </c>
      <c r="F2650" s="2" t="s">
        <v>793</v>
      </c>
      <c r="G2650" s="2" t="s">
        <v>3090</v>
      </c>
      <c r="H2650" s="2" t="s">
        <v>2312</v>
      </c>
      <c r="J2650" s="26"/>
      <c r="K2650" s="36">
        <v>8.3075200000000005E-3</v>
      </c>
      <c r="L2650" s="23">
        <v>8.3075E-4</v>
      </c>
    </row>
    <row r="2651" spans="1:12" ht="15.35" hidden="1" x14ac:dyDescent="0.55000000000000004">
      <c r="A2651" s="20">
        <v>16269</v>
      </c>
      <c r="B2651" s="2" t="s">
        <v>176</v>
      </c>
      <c r="C2651" s="2" t="s">
        <v>177</v>
      </c>
      <c r="D2651" s="20">
        <v>0</v>
      </c>
      <c r="E2651" s="2" t="s">
        <v>838</v>
      </c>
      <c r="F2651" s="2" t="s">
        <v>793</v>
      </c>
      <c r="G2651" s="2" t="s">
        <v>3091</v>
      </c>
      <c r="H2651" s="2" t="s">
        <v>2312</v>
      </c>
      <c r="J2651" s="26"/>
      <c r="K2651" s="36">
        <v>3.9559599999999997E-3</v>
      </c>
      <c r="L2651" s="23">
        <v>3.9560000000000002E-4</v>
      </c>
    </row>
    <row r="2652" spans="1:12" ht="15.35" hidden="1" x14ac:dyDescent="0.55000000000000004">
      <c r="A2652" s="20">
        <v>16073</v>
      </c>
      <c r="B2652" s="2" t="s">
        <v>176</v>
      </c>
      <c r="C2652" s="2" t="s">
        <v>177</v>
      </c>
      <c r="D2652" s="20">
        <v>0</v>
      </c>
      <c r="E2652" s="2" t="s">
        <v>838</v>
      </c>
      <c r="F2652" s="2" t="s">
        <v>793</v>
      </c>
      <c r="G2652" s="2" t="s">
        <v>3092</v>
      </c>
      <c r="H2652" s="2" t="s">
        <v>2312</v>
      </c>
      <c r="J2652" s="26"/>
      <c r="K2652" s="36">
        <v>3.20433E-3</v>
      </c>
      <c r="L2652" s="23">
        <v>3.2043000000000002E-4</v>
      </c>
    </row>
    <row r="2653" spans="1:12" ht="15.35" hidden="1" x14ac:dyDescent="0.55000000000000004">
      <c r="A2653" s="20">
        <v>16546</v>
      </c>
      <c r="B2653" s="2" t="s">
        <v>176</v>
      </c>
      <c r="C2653" s="2" t="s">
        <v>177</v>
      </c>
      <c r="D2653" s="20">
        <v>0</v>
      </c>
      <c r="E2653" s="2" t="s">
        <v>838</v>
      </c>
      <c r="F2653" s="2" t="s">
        <v>793</v>
      </c>
      <c r="G2653" s="2" t="s">
        <v>3093</v>
      </c>
      <c r="H2653" s="2" t="s">
        <v>2312</v>
      </c>
      <c r="J2653" s="26"/>
      <c r="K2653" s="36">
        <v>3.1252099999999998E-3</v>
      </c>
      <c r="L2653" s="23">
        <v>3.1252E-4</v>
      </c>
    </row>
    <row r="2654" spans="1:12" ht="15.35" hidden="1" x14ac:dyDescent="0.55000000000000004">
      <c r="A2654" s="20">
        <v>16738</v>
      </c>
      <c r="B2654" s="2" t="s">
        <v>176</v>
      </c>
      <c r="C2654" s="2" t="s">
        <v>177</v>
      </c>
      <c r="D2654" s="20">
        <v>0</v>
      </c>
      <c r="E2654" s="2" t="s">
        <v>838</v>
      </c>
      <c r="F2654" s="2" t="s">
        <v>793</v>
      </c>
      <c r="G2654" s="2" t="s">
        <v>3094</v>
      </c>
      <c r="H2654" s="2" t="s">
        <v>2312</v>
      </c>
      <c r="J2654" s="26"/>
      <c r="K2654" s="36">
        <v>2.4131299999999999E-3</v>
      </c>
      <c r="L2654" s="23">
        <v>2.4131000000000001E-4</v>
      </c>
    </row>
    <row r="2655" spans="1:12" ht="15.35" hidden="1" x14ac:dyDescent="0.55000000000000004">
      <c r="A2655" s="20">
        <v>16464</v>
      </c>
      <c r="B2655" s="2" t="s">
        <v>176</v>
      </c>
      <c r="C2655" s="2" t="s">
        <v>177</v>
      </c>
      <c r="D2655" s="20">
        <v>0</v>
      </c>
      <c r="E2655" s="2" t="s">
        <v>838</v>
      </c>
      <c r="F2655" s="2" t="s">
        <v>793</v>
      </c>
      <c r="G2655" s="2" t="s">
        <v>3095</v>
      </c>
      <c r="H2655" s="2" t="s">
        <v>2312</v>
      </c>
      <c r="J2655" s="26"/>
      <c r="K2655" s="36">
        <v>2.5713699999999999E-3</v>
      </c>
      <c r="L2655" s="23">
        <v>2.5713999999999999E-4</v>
      </c>
    </row>
    <row r="2656" spans="1:12" ht="15.35" hidden="1" x14ac:dyDescent="0.55000000000000004">
      <c r="A2656" s="20">
        <v>16614</v>
      </c>
      <c r="B2656" s="2" t="s">
        <v>176</v>
      </c>
      <c r="C2656" s="2" t="s">
        <v>177</v>
      </c>
      <c r="D2656" s="20">
        <v>0</v>
      </c>
      <c r="E2656" s="2" t="s">
        <v>838</v>
      </c>
      <c r="F2656" s="2" t="s">
        <v>793</v>
      </c>
      <c r="G2656" s="2" t="s">
        <v>3096</v>
      </c>
      <c r="H2656" s="2" t="s">
        <v>2312</v>
      </c>
      <c r="J2656" s="26"/>
      <c r="K2656" s="36">
        <v>8.3075200000000005E-3</v>
      </c>
      <c r="L2656" s="23">
        <v>8.3075E-4</v>
      </c>
    </row>
    <row r="2657" spans="1:12" ht="15.35" hidden="1" x14ac:dyDescent="0.55000000000000004">
      <c r="A2657" s="20">
        <v>16761</v>
      </c>
      <c r="B2657" s="2" t="s">
        <v>176</v>
      </c>
      <c r="C2657" s="2" t="s">
        <v>177</v>
      </c>
      <c r="D2657" s="20">
        <v>0</v>
      </c>
      <c r="E2657" s="2" t="s">
        <v>838</v>
      </c>
      <c r="F2657" s="2" t="s">
        <v>793</v>
      </c>
      <c r="G2657" s="2" t="s">
        <v>3097</v>
      </c>
      <c r="H2657" s="2" t="s">
        <v>2312</v>
      </c>
      <c r="J2657" s="26"/>
      <c r="K2657" s="36">
        <v>1.7009999999999999E-4</v>
      </c>
      <c r="L2657" s="23">
        <v>1.7010000000000001E-5</v>
      </c>
    </row>
    <row r="2658" spans="1:12" ht="15.35" hidden="1" x14ac:dyDescent="0.55000000000000004">
      <c r="A2658" s="20">
        <v>16473</v>
      </c>
      <c r="B2658" s="2" t="s">
        <v>176</v>
      </c>
      <c r="C2658" s="2" t="s">
        <v>177</v>
      </c>
      <c r="D2658" s="20">
        <v>0</v>
      </c>
      <c r="E2658" s="2" t="s">
        <v>838</v>
      </c>
      <c r="F2658" s="2" t="s">
        <v>793</v>
      </c>
      <c r="G2658" s="2" t="s">
        <v>3098</v>
      </c>
      <c r="H2658" s="2" t="s">
        <v>1503</v>
      </c>
      <c r="J2658" s="26"/>
      <c r="K2658" s="36">
        <v>4.3514999999999998E-4</v>
      </c>
      <c r="L2658" s="23">
        <v>4.3519999999999997E-5</v>
      </c>
    </row>
    <row r="2659" spans="1:12" ht="15.35" hidden="1" x14ac:dyDescent="0.55000000000000004">
      <c r="A2659" s="20">
        <v>15943</v>
      </c>
      <c r="B2659" s="2" t="s">
        <v>176</v>
      </c>
      <c r="C2659" s="2" t="s">
        <v>177</v>
      </c>
      <c r="D2659" s="20">
        <v>0</v>
      </c>
      <c r="E2659" s="2" t="s">
        <v>838</v>
      </c>
      <c r="F2659" s="2" t="s">
        <v>793</v>
      </c>
      <c r="G2659" s="2" t="s">
        <v>3099</v>
      </c>
      <c r="H2659" s="2" t="s">
        <v>1503</v>
      </c>
      <c r="J2659" s="26"/>
      <c r="K2659" s="36">
        <v>1.1076E-4</v>
      </c>
      <c r="L2659" s="23">
        <v>1.1080000000000001E-5</v>
      </c>
    </row>
    <row r="2660" spans="1:12" ht="15.35" hidden="1" x14ac:dyDescent="0.55000000000000004">
      <c r="A2660" s="20">
        <v>16626</v>
      </c>
      <c r="B2660" s="2" t="s">
        <v>176</v>
      </c>
      <c r="C2660" s="2" t="s">
        <v>177</v>
      </c>
      <c r="D2660" s="20">
        <v>0</v>
      </c>
      <c r="E2660" s="2" t="s">
        <v>838</v>
      </c>
      <c r="F2660" s="2" t="s">
        <v>793</v>
      </c>
      <c r="G2660" s="2" t="s">
        <v>3100</v>
      </c>
      <c r="H2660" s="2" t="s">
        <v>1503</v>
      </c>
      <c r="J2660" s="26"/>
      <c r="K2660" s="36">
        <v>7.9110000000000007E-5</v>
      </c>
      <c r="L2660" s="23">
        <v>7.9100000000000005E-6</v>
      </c>
    </row>
    <row r="2661" spans="1:12" ht="15.35" hidden="1" x14ac:dyDescent="0.55000000000000004">
      <c r="A2661" s="20">
        <v>16603</v>
      </c>
      <c r="B2661" s="2" t="s">
        <v>176</v>
      </c>
      <c r="C2661" s="2" t="s">
        <v>177</v>
      </c>
      <c r="D2661" s="20">
        <v>0</v>
      </c>
      <c r="E2661" s="2" t="s">
        <v>838</v>
      </c>
      <c r="F2661" s="2" t="s">
        <v>793</v>
      </c>
      <c r="G2661" s="2" t="s">
        <v>3101</v>
      </c>
      <c r="H2661" s="2" t="s">
        <v>1503</v>
      </c>
      <c r="J2661" s="26"/>
      <c r="K2661" s="36">
        <v>2.2547999999999999E-4</v>
      </c>
      <c r="L2661" s="23">
        <v>2.2549999999999999E-5</v>
      </c>
    </row>
    <row r="2662" spans="1:12" ht="15.35" hidden="1" x14ac:dyDescent="0.55000000000000004">
      <c r="A2662" s="20">
        <v>16496</v>
      </c>
      <c r="B2662" s="2" t="s">
        <v>176</v>
      </c>
      <c r="C2662" s="2" t="s">
        <v>177</v>
      </c>
      <c r="D2662" s="20">
        <v>0</v>
      </c>
      <c r="E2662" s="2" t="s">
        <v>838</v>
      </c>
      <c r="F2662" s="2" t="s">
        <v>793</v>
      </c>
      <c r="G2662" s="2" t="s">
        <v>3102</v>
      </c>
      <c r="H2662" s="2" t="s">
        <v>1503</v>
      </c>
      <c r="J2662" s="26"/>
      <c r="K2662" s="36">
        <v>8.8612999999999995E-4</v>
      </c>
      <c r="L2662" s="23">
        <v>8.8609999999999994E-5</v>
      </c>
    </row>
    <row r="2663" spans="1:12" ht="15.35" hidden="1" x14ac:dyDescent="0.55000000000000004">
      <c r="A2663" s="20">
        <v>16706</v>
      </c>
      <c r="B2663" s="2" t="s">
        <v>176</v>
      </c>
      <c r="C2663" s="2" t="s">
        <v>177</v>
      </c>
      <c r="D2663" s="20">
        <v>0</v>
      </c>
      <c r="E2663" s="2" t="s">
        <v>838</v>
      </c>
      <c r="F2663" s="2" t="s">
        <v>793</v>
      </c>
      <c r="G2663" s="2" t="s">
        <v>3103</v>
      </c>
      <c r="H2663" s="2" t="s">
        <v>1503</v>
      </c>
      <c r="J2663" s="26"/>
      <c r="K2663" s="36">
        <v>8.8612999999999995E-4</v>
      </c>
      <c r="L2663" s="23">
        <v>8.8609999999999994E-5</v>
      </c>
    </row>
    <row r="2664" spans="1:12" ht="15.35" hidden="1" x14ac:dyDescent="0.55000000000000004">
      <c r="A2664" s="20">
        <v>16783</v>
      </c>
      <c r="B2664" s="2" t="s">
        <v>176</v>
      </c>
      <c r="C2664" s="2" t="s">
        <v>177</v>
      </c>
      <c r="D2664" s="20">
        <v>0</v>
      </c>
      <c r="E2664" s="2" t="s">
        <v>838</v>
      </c>
      <c r="F2664" s="2" t="s">
        <v>793</v>
      </c>
      <c r="G2664" s="2" t="s">
        <v>3104</v>
      </c>
      <c r="H2664" s="2" t="s">
        <v>1503</v>
      </c>
      <c r="J2664" s="26"/>
      <c r="K2664" s="36">
        <v>8.8612999999999995E-4</v>
      </c>
      <c r="L2664" s="23">
        <v>8.8609999999999994E-5</v>
      </c>
    </row>
    <row r="2665" spans="1:12" ht="15.35" hidden="1" x14ac:dyDescent="0.55000000000000004">
      <c r="A2665" s="20">
        <v>16409</v>
      </c>
      <c r="B2665" s="2" t="s">
        <v>176</v>
      </c>
      <c r="C2665" s="2" t="s">
        <v>177</v>
      </c>
      <c r="D2665" s="20">
        <v>0</v>
      </c>
      <c r="E2665" s="2" t="s">
        <v>838</v>
      </c>
      <c r="F2665" s="2" t="s">
        <v>793</v>
      </c>
      <c r="G2665" s="2" t="s">
        <v>3105</v>
      </c>
      <c r="H2665" s="2" t="s">
        <v>1503</v>
      </c>
      <c r="J2665" s="26"/>
      <c r="K2665" s="36">
        <v>8.8612999999999995E-4</v>
      </c>
      <c r="L2665" s="23">
        <v>8.8609999999999994E-5</v>
      </c>
    </row>
    <row r="2666" spans="1:12" ht="15.35" hidden="1" x14ac:dyDescent="0.55000000000000004">
      <c r="A2666" s="20">
        <v>16105</v>
      </c>
      <c r="B2666" s="2" t="s">
        <v>176</v>
      </c>
      <c r="C2666" s="2" t="s">
        <v>177</v>
      </c>
      <c r="D2666" s="20">
        <v>0</v>
      </c>
      <c r="E2666" s="2" t="s">
        <v>838</v>
      </c>
      <c r="F2666" s="2" t="s">
        <v>793</v>
      </c>
      <c r="G2666" s="2" t="s">
        <v>3106</v>
      </c>
      <c r="H2666" s="2" t="s">
        <v>1503</v>
      </c>
      <c r="J2666" s="26"/>
      <c r="K2666" s="36">
        <v>1.5032000000000001E-4</v>
      </c>
      <c r="L2666" s="23">
        <v>1.503E-5</v>
      </c>
    </row>
    <row r="2667" spans="1:12" ht="15.35" hidden="1" x14ac:dyDescent="0.55000000000000004">
      <c r="A2667" s="20">
        <v>16153</v>
      </c>
      <c r="B2667" s="2" t="s">
        <v>176</v>
      </c>
      <c r="C2667" s="2" t="s">
        <v>177</v>
      </c>
      <c r="D2667" s="20">
        <v>0</v>
      </c>
      <c r="E2667" s="2" t="s">
        <v>838</v>
      </c>
      <c r="F2667" s="2" t="s">
        <v>793</v>
      </c>
      <c r="G2667" s="2" t="s">
        <v>3107</v>
      </c>
      <c r="H2667" s="2" t="s">
        <v>1503</v>
      </c>
      <c r="J2667" s="26"/>
      <c r="K2667" s="36">
        <v>1.4240999999999999E-4</v>
      </c>
      <c r="L2667" s="23">
        <v>1.4239999999999999E-5</v>
      </c>
    </row>
    <row r="2668" spans="1:12" ht="15.35" hidden="1" x14ac:dyDescent="0.55000000000000004">
      <c r="A2668" s="20">
        <v>16346</v>
      </c>
      <c r="B2668" s="2" t="s">
        <v>176</v>
      </c>
      <c r="C2668" s="2" t="s">
        <v>177</v>
      </c>
      <c r="D2668" s="20">
        <v>0</v>
      </c>
      <c r="E2668" s="2" t="s">
        <v>838</v>
      </c>
      <c r="F2668" s="2" t="s">
        <v>793</v>
      </c>
      <c r="G2668" s="2" t="s">
        <v>3108</v>
      </c>
      <c r="H2668" s="2" t="s">
        <v>1506</v>
      </c>
      <c r="J2668" s="26"/>
      <c r="K2668" s="36">
        <v>8.3070000000000003E-5</v>
      </c>
      <c r="L2668" s="23">
        <v>8.3100000000000001E-6</v>
      </c>
    </row>
    <row r="2669" spans="1:12" ht="15.35" hidden="1" x14ac:dyDescent="0.55000000000000004">
      <c r="A2669" s="20">
        <v>16604</v>
      </c>
      <c r="B2669" s="2" t="s">
        <v>176</v>
      </c>
      <c r="C2669" s="2" t="s">
        <v>177</v>
      </c>
      <c r="D2669" s="20">
        <v>0</v>
      </c>
      <c r="E2669" s="2" t="s">
        <v>838</v>
      </c>
      <c r="F2669" s="2" t="s">
        <v>793</v>
      </c>
      <c r="G2669" s="2" t="s">
        <v>3109</v>
      </c>
      <c r="H2669" s="2" t="s">
        <v>1506</v>
      </c>
      <c r="J2669" s="26"/>
      <c r="K2669" s="36">
        <v>7.9110000000000007E-5</v>
      </c>
      <c r="L2669" s="23">
        <v>7.9100000000000005E-6</v>
      </c>
    </row>
    <row r="2670" spans="1:12" ht="15.35" hidden="1" x14ac:dyDescent="0.55000000000000004">
      <c r="A2670" s="20">
        <v>16290</v>
      </c>
      <c r="B2670" s="2" t="s">
        <v>176</v>
      </c>
      <c r="C2670" s="2" t="s">
        <v>177</v>
      </c>
      <c r="D2670" s="20">
        <v>0</v>
      </c>
      <c r="E2670" s="2" t="s">
        <v>838</v>
      </c>
      <c r="F2670" s="2" t="s">
        <v>793</v>
      </c>
      <c r="G2670" s="2" t="s">
        <v>3110</v>
      </c>
      <c r="H2670" s="2" t="s">
        <v>1506</v>
      </c>
      <c r="J2670" s="26"/>
      <c r="K2670" s="36">
        <v>1.1076E-4</v>
      </c>
      <c r="L2670" s="23">
        <v>1.1080000000000001E-5</v>
      </c>
    </row>
    <row r="2671" spans="1:12" ht="15.35" hidden="1" x14ac:dyDescent="0.55000000000000004">
      <c r="A2671" s="20">
        <v>16102</v>
      </c>
      <c r="B2671" s="2" t="s">
        <v>176</v>
      </c>
      <c r="C2671" s="2" t="s">
        <v>177</v>
      </c>
      <c r="D2671" s="20">
        <v>0</v>
      </c>
      <c r="E2671" s="2" t="s">
        <v>838</v>
      </c>
      <c r="F2671" s="2" t="s">
        <v>793</v>
      </c>
      <c r="G2671" s="2" t="s">
        <v>3111</v>
      </c>
      <c r="H2671" s="2" t="s">
        <v>1506</v>
      </c>
      <c r="J2671" s="26"/>
      <c r="K2671" s="36">
        <v>1.1076E-4</v>
      </c>
      <c r="L2671" s="23">
        <v>1.1080000000000001E-5</v>
      </c>
    </row>
    <row r="2672" spans="1:12" ht="15.35" hidden="1" x14ac:dyDescent="0.55000000000000004">
      <c r="A2672" s="20">
        <v>16369</v>
      </c>
      <c r="B2672" s="2" t="s">
        <v>176</v>
      </c>
      <c r="C2672" s="2" t="s">
        <v>177</v>
      </c>
      <c r="D2672" s="20">
        <v>0</v>
      </c>
      <c r="E2672" s="2" t="s">
        <v>838</v>
      </c>
      <c r="F2672" s="2" t="s">
        <v>793</v>
      </c>
      <c r="G2672" s="2" t="s">
        <v>3112</v>
      </c>
      <c r="H2672" s="2" t="s">
        <v>1506</v>
      </c>
      <c r="J2672" s="26"/>
      <c r="K2672" s="36">
        <v>5.1419999999999999E-5</v>
      </c>
      <c r="L2672" s="23">
        <v>5.1399999999999999E-6</v>
      </c>
    </row>
    <row r="2673" spans="1:12" ht="15.35" hidden="1" x14ac:dyDescent="0.55000000000000004">
      <c r="A2673" s="20">
        <v>16786</v>
      </c>
      <c r="B2673" s="2" t="s">
        <v>176</v>
      </c>
      <c r="C2673" s="2" t="s">
        <v>177</v>
      </c>
      <c r="D2673" s="20">
        <v>0</v>
      </c>
      <c r="E2673" s="2" t="s">
        <v>838</v>
      </c>
      <c r="F2673" s="2" t="s">
        <v>793</v>
      </c>
      <c r="G2673" s="2" t="s">
        <v>3113</v>
      </c>
      <c r="H2673" s="2" t="s">
        <v>1506</v>
      </c>
      <c r="J2673" s="26"/>
      <c r="K2673" s="36">
        <v>5.1419999999999999E-5</v>
      </c>
      <c r="L2673" s="23">
        <v>5.1399999999999999E-6</v>
      </c>
    </row>
    <row r="2674" spans="1:12" ht="15.35" hidden="1" x14ac:dyDescent="0.55000000000000004">
      <c r="A2674" s="20">
        <v>16665</v>
      </c>
      <c r="B2674" s="2" t="s">
        <v>176</v>
      </c>
      <c r="C2674" s="2" t="s">
        <v>177</v>
      </c>
      <c r="D2674" s="20">
        <v>0</v>
      </c>
      <c r="E2674" s="2" t="s">
        <v>838</v>
      </c>
      <c r="F2674" s="2" t="s">
        <v>793</v>
      </c>
      <c r="G2674" s="2" t="s">
        <v>3114</v>
      </c>
      <c r="H2674" s="2" t="s">
        <v>1506</v>
      </c>
      <c r="J2674" s="26"/>
      <c r="K2674" s="36">
        <v>5.1419999999999999E-5</v>
      </c>
      <c r="L2674" s="23">
        <v>5.1399999999999999E-6</v>
      </c>
    </row>
    <row r="2675" spans="1:12" ht="15.35" hidden="1" x14ac:dyDescent="0.55000000000000004">
      <c r="A2675" s="20">
        <v>16152</v>
      </c>
      <c r="B2675" s="2" t="s">
        <v>176</v>
      </c>
      <c r="C2675" s="2" t="s">
        <v>177</v>
      </c>
      <c r="D2675" s="20">
        <v>0</v>
      </c>
      <c r="E2675" s="2" t="s">
        <v>838</v>
      </c>
      <c r="F2675" s="2" t="s">
        <v>793</v>
      </c>
      <c r="G2675" s="2" t="s">
        <v>3115</v>
      </c>
      <c r="H2675" s="2" t="s">
        <v>1506</v>
      </c>
      <c r="J2675" s="26"/>
      <c r="K2675" s="36">
        <v>7.1199999999999996E-5</v>
      </c>
      <c r="L2675" s="23">
        <v>7.1199999999999996E-6</v>
      </c>
    </row>
    <row r="2676" spans="1:12" ht="15.35" hidden="1" x14ac:dyDescent="0.55000000000000004">
      <c r="A2676" s="20">
        <v>16472</v>
      </c>
      <c r="B2676" s="2" t="s">
        <v>176</v>
      </c>
      <c r="C2676" s="2" t="s">
        <v>177</v>
      </c>
      <c r="D2676" s="20">
        <v>0</v>
      </c>
      <c r="E2676" s="2" t="s">
        <v>838</v>
      </c>
      <c r="F2676" s="2" t="s">
        <v>793</v>
      </c>
      <c r="G2676" s="2" t="s">
        <v>3116</v>
      </c>
      <c r="H2676" s="2" t="s">
        <v>1506</v>
      </c>
      <c r="J2676" s="26"/>
      <c r="K2676" s="36">
        <v>7.1199999999999996E-5</v>
      </c>
      <c r="L2676" s="23">
        <v>7.1199999999999996E-6</v>
      </c>
    </row>
    <row r="2677" spans="1:12" ht="15.35" hidden="1" x14ac:dyDescent="0.55000000000000004">
      <c r="A2677" s="20">
        <v>16375</v>
      </c>
      <c r="B2677" s="2" t="s">
        <v>176</v>
      </c>
      <c r="C2677" s="2" t="s">
        <v>177</v>
      </c>
      <c r="D2677" s="20">
        <v>0</v>
      </c>
      <c r="E2677" s="2" t="s">
        <v>838</v>
      </c>
      <c r="F2677" s="2" t="s">
        <v>793</v>
      </c>
      <c r="G2677" s="2" t="s">
        <v>3117</v>
      </c>
      <c r="H2677" s="2" t="s">
        <v>1506</v>
      </c>
      <c r="J2677" s="26"/>
      <c r="K2677" s="36">
        <v>7.1199999999999996E-5</v>
      </c>
      <c r="L2677" s="23">
        <v>7.1199999999999996E-6</v>
      </c>
    </row>
    <row r="2678" spans="1:12" ht="15.35" hidden="1" x14ac:dyDescent="0.55000000000000004">
      <c r="A2678" s="20">
        <v>16285</v>
      </c>
      <c r="B2678" s="2" t="s">
        <v>176</v>
      </c>
      <c r="C2678" s="2" t="s">
        <v>177</v>
      </c>
      <c r="D2678" s="20">
        <v>0</v>
      </c>
      <c r="E2678" s="2" t="s">
        <v>838</v>
      </c>
      <c r="F2678" s="2" t="s">
        <v>793</v>
      </c>
      <c r="G2678" s="2" t="s">
        <v>3118</v>
      </c>
      <c r="H2678" s="2" t="s">
        <v>1506</v>
      </c>
      <c r="J2678" s="26"/>
      <c r="K2678" s="36">
        <v>7.1199999999999996E-5</v>
      </c>
      <c r="L2678" s="23">
        <v>7.1199999999999996E-6</v>
      </c>
    </row>
    <row r="2679" spans="1:12" ht="15.35" hidden="1" x14ac:dyDescent="0.55000000000000004">
      <c r="A2679" s="20">
        <v>16321</v>
      </c>
      <c r="B2679" s="2" t="s">
        <v>176</v>
      </c>
      <c r="C2679" s="2" t="s">
        <v>177</v>
      </c>
      <c r="D2679" s="20">
        <v>0</v>
      </c>
      <c r="E2679" s="2" t="s">
        <v>838</v>
      </c>
      <c r="F2679" s="2" t="s">
        <v>793</v>
      </c>
      <c r="G2679" s="2" t="s">
        <v>3119</v>
      </c>
      <c r="H2679" s="2" t="s">
        <v>1506</v>
      </c>
      <c r="J2679" s="26"/>
      <c r="K2679" s="36">
        <v>5.1419999999999999E-5</v>
      </c>
      <c r="L2679" s="23">
        <v>5.1399999999999999E-6</v>
      </c>
    </row>
    <row r="2680" spans="1:12" ht="15.35" hidden="1" x14ac:dyDescent="0.55000000000000004">
      <c r="A2680" s="20">
        <v>16728</v>
      </c>
      <c r="B2680" s="2" t="s">
        <v>176</v>
      </c>
      <c r="C2680" s="2" t="s">
        <v>177</v>
      </c>
      <c r="D2680" s="20">
        <v>0</v>
      </c>
      <c r="E2680" s="2" t="s">
        <v>838</v>
      </c>
      <c r="F2680" s="2" t="s">
        <v>793</v>
      </c>
      <c r="G2680" s="2" t="s">
        <v>3120</v>
      </c>
      <c r="H2680" s="2" t="s">
        <v>1506</v>
      </c>
      <c r="J2680" s="26"/>
      <c r="K2680" s="36">
        <v>1.4637E-4</v>
      </c>
      <c r="L2680" s="23">
        <v>1.464E-5</v>
      </c>
    </row>
    <row r="2681" spans="1:12" ht="15.35" hidden="1" x14ac:dyDescent="0.55000000000000004">
      <c r="A2681" s="20">
        <v>16412</v>
      </c>
      <c r="B2681" s="2" t="s">
        <v>176</v>
      </c>
      <c r="C2681" s="2" t="s">
        <v>177</v>
      </c>
      <c r="D2681" s="20">
        <v>0</v>
      </c>
      <c r="E2681" s="2" t="s">
        <v>838</v>
      </c>
      <c r="F2681" s="2" t="s">
        <v>793</v>
      </c>
      <c r="G2681" s="2" t="s">
        <v>3121</v>
      </c>
      <c r="H2681" s="2" t="s">
        <v>1506</v>
      </c>
      <c r="J2681" s="26"/>
      <c r="K2681" s="36">
        <v>1.5427999999999999E-4</v>
      </c>
      <c r="L2681" s="23">
        <v>1.543E-5</v>
      </c>
    </row>
    <row r="2682" spans="1:12" ht="15.35" hidden="1" x14ac:dyDescent="0.55000000000000004">
      <c r="A2682" s="20">
        <v>16713</v>
      </c>
      <c r="B2682" s="2" t="s">
        <v>176</v>
      </c>
      <c r="C2682" s="2" t="s">
        <v>177</v>
      </c>
      <c r="D2682" s="20">
        <v>0</v>
      </c>
      <c r="E2682" s="2" t="s">
        <v>838</v>
      </c>
      <c r="F2682" s="2" t="s">
        <v>793</v>
      </c>
      <c r="G2682" s="2" t="s">
        <v>3122</v>
      </c>
      <c r="H2682" s="2" t="s">
        <v>1506</v>
      </c>
      <c r="J2682" s="26"/>
      <c r="K2682" s="36">
        <v>1.5427999999999999E-4</v>
      </c>
      <c r="L2682" s="23">
        <v>1.543E-5</v>
      </c>
    </row>
    <row r="2683" spans="1:12" ht="15.35" hidden="1" x14ac:dyDescent="0.55000000000000004">
      <c r="A2683" s="20">
        <v>16173</v>
      </c>
      <c r="B2683" s="2" t="s">
        <v>176</v>
      </c>
      <c r="C2683" s="2" t="s">
        <v>177</v>
      </c>
      <c r="D2683" s="20">
        <v>0</v>
      </c>
      <c r="E2683" s="2" t="s">
        <v>838</v>
      </c>
      <c r="F2683" s="2" t="s">
        <v>793</v>
      </c>
      <c r="G2683" s="2" t="s">
        <v>3123</v>
      </c>
      <c r="H2683" s="2" t="s">
        <v>1506</v>
      </c>
      <c r="J2683" s="26"/>
      <c r="K2683" s="36">
        <v>1.3449999999999999E-4</v>
      </c>
      <c r="L2683" s="23">
        <v>1.345E-5</v>
      </c>
    </row>
    <row r="2684" spans="1:12" ht="15.35" hidden="1" x14ac:dyDescent="0.55000000000000004">
      <c r="A2684" s="20">
        <v>16336</v>
      </c>
      <c r="B2684" s="2" t="s">
        <v>176</v>
      </c>
      <c r="C2684" s="2" t="s">
        <v>177</v>
      </c>
      <c r="D2684" s="20">
        <v>0</v>
      </c>
      <c r="E2684" s="2" t="s">
        <v>838</v>
      </c>
      <c r="F2684" s="2" t="s">
        <v>793</v>
      </c>
      <c r="G2684" s="2" t="s">
        <v>3124</v>
      </c>
      <c r="H2684" s="2" t="s">
        <v>1506</v>
      </c>
      <c r="J2684" s="26"/>
      <c r="K2684" s="36">
        <v>1.4637E-4</v>
      </c>
      <c r="L2684" s="23">
        <v>1.464E-5</v>
      </c>
    </row>
    <row r="2685" spans="1:12" ht="15.35" hidden="1" x14ac:dyDescent="0.55000000000000004">
      <c r="A2685" s="20">
        <v>16791</v>
      </c>
      <c r="B2685" s="2" t="s">
        <v>176</v>
      </c>
      <c r="C2685" s="2" t="s">
        <v>177</v>
      </c>
      <c r="D2685" s="20">
        <v>0</v>
      </c>
      <c r="E2685" s="2" t="s">
        <v>838</v>
      </c>
      <c r="F2685" s="2" t="s">
        <v>793</v>
      </c>
      <c r="G2685" s="2" t="s">
        <v>3125</v>
      </c>
      <c r="H2685" s="2" t="s">
        <v>1506</v>
      </c>
      <c r="J2685" s="26"/>
      <c r="K2685" s="36">
        <v>1.5032000000000001E-4</v>
      </c>
      <c r="L2685" s="23">
        <v>1.503E-5</v>
      </c>
    </row>
    <row r="2686" spans="1:12" ht="15.35" hidden="1" x14ac:dyDescent="0.55000000000000004">
      <c r="A2686" s="20">
        <v>16682</v>
      </c>
      <c r="B2686" s="2" t="s">
        <v>176</v>
      </c>
      <c r="C2686" s="2" t="s">
        <v>177</v>
      </c>
      <c r="D2686" s="20">
        <v>0</v>
      </c>
      <c r="E2686" s="2" t="s">
        <v>838</v>
      </c>
      <c r="F2686" s="2" t="s">
        <v>793</v>
      </c>
      <c r="G2686" s="2" t="s">
        <v>3126</v>
      </c>
      <c r="H2686" s="2" t="s">
        <v>1506</v>
      </c>
      <c r="J2686" s="26"/>
      <c r="K2686" s="36">
        <v>1.1472E-4</v>
      </c>
      <c r="L2686" s="23">
        <v>1.147E-5</v>
      </c>
    </row>
    <row r="2687" spans="1:12" ht="15.35" hidden="1" x14ac:dyDescent="0.55000000000000004">
      <c r="A2687" s="20">
        <v>16037</v>
      </c>
      <c r="B2687" s="2" t="s">
        <v>176</v>
      </c>
      <c r="C2687" s="2" t="s">
        <v>177</v>
      </c>
      <c r="D2687" s="20">
        <v>0</v>
      </c>
      <c r="E2687" s="2" t="s">
        <v>838</v>
      </c>
      <c r="F2687" s="2" t="s">
        <v>793</v>
      </c>
      <c r="G2687" s="2" t="s">
        <v>3127</v>
      </c>
      <c r="H2687" s="2" t="s">
        <v>1506</v>
      </c>
      <c r="J2687" s="26"/>
      <c r="K2687" s="36">
        <v>1.2263000000000001E-4</v>
      </c>
      <c r="L2687" s="23">
        <v>1.226E-5</v>
      </c>
    </row>
    <row r="2688" spans="1:12" ht="15.35" hidden="1" x14ac:dyDescent="0.55000000000000004">
      <c r="A2688" s="20">
        <v>15968</v>
      </c>
      <c r="B2688" s="2" t="s">
        <v>176</v>
      </c>
      <c r="C2688" s="2" t="s">
        <v>177</v>
      </c>
      <c r="D2688" s="20">
        <v>0</v>
      </c>
      <c r="E2688" s="2" t="s">
        <v>838</v>
      </c>
      <c r="F2688" s="2" t="s">
        <v>793</v>
      </c>
      <c r="G2688" s="2" t="s">
        <v>3128</v>
      </c>
      <c r="H2688" s="2" t="s">
        <v>1506</v>
      </c>
      <c r="J2688" s="26"/>
      <c r="K2688" s="36">
        <v>1.2658999999999999E-4</v>
      </c>
      <c r="L2688" s="23">
        <v>1.2660000000000001E-5</v>
      </c>
    </row>
    <row r="2689" spans="1:12" ht="15.35" hidden="1" x14ac:dyDescent="0.55000000000000004">
      <c r="A2689" s="20">
        <v>16589</v>
      </c>
      <c r="B2689" s="2" t="s">
        <v>176</v>
      </c>
      <c r="C2689" s="2" t="s">
        <v>177</v>
      </c>
      <c r="D2689" s="20">
        <v>0</v>
      </c>
      <c r="E2689" s="2" t="s">
        <v>838</v>
      </c>
      <c r="F2689" s="2" t="s">
        <v>793</v>
      </c>
      <c r="G2689" s="2" t="s">
        <v>3129</v>
      </c>
      <c r="H2689" s="2" t="s">
        <v>1506</v>
      </c>
      <c r="J2689" s="26"/>
      <c r="K2689" s="36">
        <v>1.2263000000000001E-4</v>
      </c>
      <c r="L2689" s="23">
        <v>1.226E-5</v>
      </c>
    </row>
    <row r="2690" spans="1:12" ht="15.35" hidden="1" x14ac:dyDescent="0.55000000000000004">
      <c r="A2690" s="20">
        <v>16040</v>
      </c>
      <c r="B2690" s="2" t="s">
        <v>176</v>
      </c>
      <c r="C2690" s="2" t="s">
        <v>177</v>
      </c>
      <c r="D2690" s="20">
        <v>0</v>
      </c>
      <c r="E2690" s="2" t="s">
        <v>838</v>
      </c>
      <c r="F2690" s="2" t="s">
        <v>793</v>
      </c>
      <c r="G2690" s="2" t="s">
        <v>3130</v>
      </c>
      <c r="H2690" s="2" t="s">
        <v>1506</v>
      </c>
      <c r="J2690" s="26"/>
      <c r="K2690" s="36">
        <v>1.2658999999999999E-4</v>
      </c>
      <c r="L2690" s="23">
        <v>1.2660000000000001E-5</v>
      </c>
    </row>
    <row r="2691" spans="1:12" ht="15.35" hidden="1" x14ac:dyDescent="0.55000000000000004">
      <c r="A2691" s="20">
        <v>16339</v>
      </c>
      <c r="B2691" s="2" t="s">
        <v>176</v>
      </c>
      <c r="C2691" s="2" t="s">
        <v>177</v>
      </c>
      <c r="D2691" s="20">
        <v>0</v>
      </c>
      <c r="E2691" s="2" t="s">
        <v>838</v>
      </c>
      <c r="F2691" s="2" t="s">
        <v>793</v>
      </c>
      <c r="G2691" s="2" t="s">
        <v>3131</v>
      </c>
      <c r="H2691" s="2" t="s">
        <v>1506</v>
      </c>
      <c r="J2691" s="26"/>
      <c r="K2691" s="36">
        <v>1.0681E-4</v>
      </c>
      <c r="L2691" s="23">
        <v>1.0679999999999999E-5</v>
      </c>
    </row>
    <row r="2692" spans="1:12" ht="15.35" hidden="1" x14ac:dyDescent="0.55000000000000004">
      <c r="A2692" s="20">
        <v>15937</v>
      </c>
      <c r="B2692" s="2" t="s">
        <v>176</v>
      </c>
      <c r="C2692" s="2" t="s">
        <v>177</v>
      </c>
      <c r="D2692" s="20">
        <v>0</v>
      </c>
      <c r="E2692" s="2" t="s">
        <v>838</v>
      </c>
      <c r="F2692" s="2" t="s">
        <v>793</v>
      </c>
      <c r="G2692" s="2" t="s">
        <v>3132</v>
      </c>
      <c r="H2692" s="2" t="s">
        <v>1506</v>
      </c>
      <c r="J2692" s="26"/>
      <c r="K2692" s="36">
        <v>1.1076E-4</v>
      </c>
      <c r="L2692" s="23">
        <v>1.1080000000000001E-5</v>
      </c>
    </row>
    <row r="2693" spans="1:12" ht="15.35" hidden="1" x14ac:dyDescent="0.55000000000000004">
      <c r="A2693" s="20">
        <v>16294</v>
      </c>
      <c r="B2693" s="2" t="s">
        <v>176</v>
      </c>
      <c r="C2693" s="2" t="s">
        <v>177</v>
      </c>
      <c r="D2693" s="20">
        <v>0</v>
      </c>
      <c r="E2693" s="2" t="s">
        <v>838</v>
      </c>
      <c r="F2693" s="2" t="s">
        <v>793</v>
      </c>
      <c r="G2693" s="2" t="s">
        <v>3133</v>
      </c>
      <c r="H2693" s="2" t="s">
        <v>1506</v>
      </c>
      <c r="J2693" s="26"/>
      <c r="K2693" s="36">
        <v>1.1076E-4</v>
      </c>
      <c r="L2693" s="23">
        <v>1.1080000000000001E-5</v>
      </c>
    </row>
    <row r="2694" spans="1:12" ht="15.35" hidden="1" x14ac:dyDescent="0.55000000000000004">
      <c r="A2694" s="20">
        <v>15923</v>
      </c>
      <c r="B2694" s="2" t="s">
        <v>176</v>
      </c>
      <c r="C2694" s="2" t="s">
        <v>177</v>
      </c>
      <c r="D2694" s="20">
        <v>0</v>
      </c>
      <c r="E2694" s="2" t="s">
        <v>838</v>
      </c>
      <c r="F2694" s="2" t="s">
        <v>793</v>
      </c>
      <c r="G2694" s="2" t="s">
        <v>3134</v>
      </c>
      <c r="H2694" s="2" t="s">
        <v>1506</v>
      </c>
      <c r="J2694" s="26"/>
      <c r="K2694" s="36">
        <v>1.1076E-4</v>
      </c>
      <c r="L2694" s="23">
        <v>1.1080000000000001E-5</v>
      </c>
    </row>
    <row r="2695" spans="1:12" ht="15.35" hidden="1" x14ac:dyDescent="0.55000000000000004">
      <c r="A2695" s="20">
        <v>16089</v>
      </c>
      <c r="B2695" s="2" t="s">
        <v>176</v>
      </c>
      <c r="C2695" s="2" t="s">
        <v>177</v>
      </c>
      <c r="D2695" s="20">
        <v>0</v>
      </c>
      <c r="E2695" s="2" t="s">
        <v>838</v>
      </c>
      <c r="F2695" s="2" t="s">
        <v>793</v>
      </c>
      <c r="G2695" s="2" t="s">
        <v>3135</v>
      </c>
      <c r="H2695" s="2" t="s">
        <v>3136</v>
      </c>
      <c r="J2695" s="26"/>
      <c r="K2695" s="36">
        <v>8.7029999999999999E-5</v>
      </c>
      <c r="L2695" s="23">
        <v>8.6999999999999997E-6</v>
      </c>
    </row>
    <row r="2696" spans="1:12" ht="15.35" hidden="1" x14ac:dyDescent="0.55000000000000004">
      <c r="A2696" s="20">
        <v>16521</v>
      </c>
      <c r="B2696" s="2" t="s">
        <v>176</v>
      </c>
      <c r="C2696" s="2" t="s">
        <v>177</v>
      </c>
      <c r="D2696" s="20">
        <v>0</v>
      </c>
      <c r="E2696" s="2" t="s">
        <v>838</v>
      </c>
      <c r="F2696" s="2" t="s">
        <v>793</v>
      </c>
      <c r="G2696" s="2" t="s">
        <v>3137</v>
      </c>
      <c r="H2696" s="2" t="s">
        <v>3136</v>
      </c>
      <c r="J2696" s="26"/>
      <c r="K2696" s="36">
        <v>8.7029999999999999E-5</v>
      </c>
      <c r="L2696" s="23">
        <v>8.6999999999999997E-6</v>
      </c>
    </row>
    <row r="2697" spans="1:12" ht="15.35" hidden="1" x14ac:dyDescent="0.55000000000000004">
      <c r="A2697" s="20">
        <v>16320</v>
      </c>
      <c r="B2697" s="2" t="s">
        <v>176</v>
      </c>
      <c r="C2697" s="2" t="s">
        <v>177</v>
      </c>
      <c r="D2697" s="20">
        <v>0</v>
      </c>
      <c r="E2697" s="2" t="s">
        <v>838</v>
      </c>
      <c r="F2697" s="2" t="s">
        <v>793</v>
      </c>
      <c r="G2697" s="2" t="s">
        <v>3138</v>
      </c>
      <c r="H2697" s="2" t="s">
        <v>3136</v>
      </c>
      <c r="J2697" s="26"/>
      <c r="K2697" s="36">
        <v>8.7029999999999999E-5</v>
      </c>
      <c r="L2697" s="23">
        <v>8.6999999999999997E-6</v>
      </c>
    </row>
    <row r="2698" spans="1:12" ht="15.35" hidden="1" x14ac:dyDescent="0.55000000000000004">
      <c r="A2698" s="20">
        <v>16694</v>
      </c>
      <c r="B2698" s="2" t="s">
        <v>176</v>
      </c>
      <c r="C2698" s="2" t="s">
        <v>177</v>
      </c>
      <c r="D2698" s="20">
        <v>0</v>
      </c>
      <c r="E2698" s="2" t="s">
        <v>838</v>
      </c>
      <c r="F2698" s="2" t="s">
        <v>793</v>
      </c>
      <c r="G2698" s="2" t="s">
        <v>3139</v>
      </c>
      <c r="H2698" s="2" t="s">
        <v>3136</v>
      </c>
      <c r="J2698" s="26"/>
      <c r="K2698" s="36">
        <v>8.7029999999999999E-5</v>
      </c>
      <c r="L2698" s="23">
        <v>8.6999999999999997E-6</v>
      </c>
    </row>
    <row r="2699" spans="1:12" ht="15.35" hidden="1" x14ac:dyDescent="0.55000000000000004">
      <c r="A2699" s="20">
        <v>16391</v>
      </c>
      <c r="B2699" s="2" t="s">
        <v>176</v>
      </c>
      <c r="C2699" s="2" t="s">
        <v>177</v>
      </c>
      <c r="D2699" s="20">
        <v>0</v>
      </c>
      <c r="E2699" s="2" t="s">
        <v>838</v>
      </c>
      <c r="F2699" s="2" t="s">
        <v>793</v>
      </c>
      <c r="G2699" s="2" t="s">
        <v>3140</v>
      </c>
      <c r="H2699" s="2" t="s">
        <v>3136</v>
      </c>
      <c r="J2699" s="26"/>
      <c r="K2699" s="36">
        <v>9.8889999999999997E-5</v>
      </c>
      <c r="L2699" s="23">
        <v>9.8900000000000002E-6</v>
      </c>
    </row>
    <row r="2700" spans="1:12" ht="15.35" hidden="1" x14ac:dyDescent="0.55000000000000004">
      <c r="A2700" s="20">
        <v>16759</v>
      </c>
      <c r="B2700" s="2" t="s">
        <v>176</v>
      </c>
      <c r="C2700" s="2" t="s">
        <v>177</v>
      </c>
      <c r="D2700" s="20">
        <v>0</v>
      </c>
      <c r="E2700" s="2" t="s">
        <v>838</v>
      </c>
      <c r="F2700" s="2" t="s">
        <v>793</v>
      </c>
      <c r="G2700" s="2" t="s">
        <v>3141</v>
      </c>
      <c r="H2700" s="2" t="s">
        <v>3136</v>
      </c>
      <c r="J2700" s="26"/>
      <c r="K2700" s="36">
        <v>9.8889999999999997E-5</v>
      </c>
      <c r="L2700" s="23">
        <v>9.8900000000000002E-6</v>
      </c>
    </row>
    <row r="2701" spans="1:12" ht="15.35" hidden="1" x14ac:dyDescent="0.55000000000000004">
      <c r="A2701" s="20">
        <v>16224</v>
      </c>
      <c r="B2701" s="2" t="s">
        <v>176</v>
      </c>
      <c r="C2701" s="2" t="s">
        <v>177</v>
      </c>
      <c r="D2701" s="20">
        <v>0</v>
      </c>
      <c r="E2701" s="2" t="s">
        <v>838</v>
      </c>
      <c r="F2701" s="2" t="s">
        <v>793</v>
      </c>
      <c r="G2701" s="2" t="s">
        <v>3142</v>
      </c>
      <c r="H2701" s="2" t="s">
        <v>1506</v>
      </c>
      <c r="J2701" s="26"/>
      <c r="K2701" s="36">
        <v>8.7029999999999999E-5</v>
      </c>
      <c r="L2701" s="23">
        <v>8.6999999999999997E-6</v>
      </c>
    </row>
    <row r="2702" spans="1:12" ht="15.35" hidden="1" x14ac:dyDescent="0.55000000000000004">
      <c r="A2702" s="20">
        <v>16025</v>
      </c>
      <c r="B2702" s="2" t="s">
        <v>176</v>
      </c>
      <c r="C2702" s="2" t="s">
        <v>177</v>
      </c>
      <c r="D2702" s="20">
        <v>0</v>
      </c>
      <c r="E2702" s="2" t="s">
        <v>838</v>
      </c>
      <c r="F2702" s="2" t="s">
        <v>793</v>
      </c>
      <c r="G2702" s="2" t="s">
        <v>3143</v>
      </c>
      <c r="H2702" s="2" t="s">
        <v>1506</v>
      </c>
      <c r="J2702" s="26"/>
      <c r="K2702" s="36">
        <v>1.1076E-4</v>
      </c>
      <c r="L2702" s="23">
        <v>1.1080000000000001E-5</v>
      </c>
    </row>
    <row r="2703" spans="1:12" ht="15.35" hidden="1" x14ac:dyDescent="0.55000000000000004">
      <c r="A2703" s="20">
        <v>16104</v>
      </c>
      <c r="B2703" s="2" t="s">
        <v>176</v>
      </c>
      <c r="C2703" s="2" t="s">
        <v>177</v>
      </c>
      <c r="D2703" s="20">
        <v>0</v>
      </c>
      <c r="E2703" s="2" t="s">
        <v>838</v>
      </c>
      <c r="F2703" s="2" t="s">
        <v>793</v>
      </c>
      <c r="G2703" s="2" t="s">
        <v>3144</v>
      </c>
      <c r="H2703" s="2" t="s">
        <v>1506</v>
      </c>
      <c r="J2703" s="26"/>
      <c r="K2703" s="36">
        <v>1.1076E-4</v>
      </c>
      <c r="L2703" s="23">
        <v>1.1080000000000001E-5</v>
      </c>
    </row>
    <row r="2704" spans="1:12" ht="15.35" hidden="1" x14ac:dyDescent="0.55000000000000004">
      <c r="A2704" s="20">
        <v>16303</v>
      </c>
      <c r="B2704" s="2" t="s">
        <v>176</v>
      </c>
      <c r="C2704" s="2" t="s">
        <v>177</v>
      </c>
      <c r="D2704" s="20">
        <v>0</v>
      </c>
      <c r="E2704" s="2" t="s">
        <v>838</v>
      </c>
      <c r="F2704" s="2" t="s">
        <v>793</v>
      </c>
      <c r="G2704" s="2" t="s">
        <v>3145</v>
      </c>
      <c r="H2704" s="2" t="s">
        <v>1506</v>
      </c>
      <c r="J2704" s="26"/>
      <c r="K2704" s="36">
        <v>1.1076E-4</v>
      </c>
      <c r="L2704" s="23">
        <v>1.1080000000000001E-5</v>
      </c>
    </row>
    <row r="2705" spans="1:12" ht="15.35" hidden="1" x14ac:dyDescent="0.55000000000000004">
      <c r="A2705" s="20">
        <v>16772</v>
      </c>
      <c r="B2705" s="2" t="s">
        <v>176</v>
      </c>
      <c r="C2705" s="2" t="s">
        <v>177</v>
      </c>
      <c r="D2705" s="20">
        <v>0</v>
      </c>
      <c r="E2705" s="2" t="s">
        <v>838</v>
      </c>
      <c r="F2705" s="2" t="s">
        <v>793</v>
      </c>
      <c r="G2705" s="2" t="s">
        <v>3146</v>
      </c>
      <c r="H2705" s="2" t="s">
        <v>1506</v>
      </c>
      <c r="J2705" s="26"/>
      <c r="K2705" s="36">
        <v>9.8889999999999997E-5</v>
      </c>
      <c r="L2705" s="23">
        <v>9.8900000000000002E-6</v>
      </c>
    </row>
    <row r="2706" spans="1:12" ht="15.35" hidden="1" x14ac:dyDescent="0.55000000000000004">
      <c r="A2706" s="20">
        <v>16382</v>
      </c>
      <c r="B2706" s="2" t="s">
        <v>176</v>
      </c>
      <c r="C2706" s="2" t="s">
        <v>177</v>
      </c>
      <c r="D2706" s="20">
        <v>0</v>
      </c>
      <c r="E2706" s="2" t="s">
        <v>838</v>
      </c>
      <c r="F2706" s="2" t="s">
        <v>793</v>
      </c>
      <c r="G2706" s="2" t="s">
        <v>3147</v>
      </c>
      <c r="H2706" s="2" t="s">
        <v>1506</v>
      </c>
      <c r="J2706" s="26"/>
      <c r="K2706" s="36">
        <v>9.8889999999999997E-5</v>
      </c>
      <c r="L2706" s="23">
        <v>9.8900000000000002E-6</v>
      </c>
    </row>
    <row r="2707" spans="1:12" ht="15.35" hidden="1" x14ac:dyDescent="0.55000000000000004">
      <c r="A2707" s="20">
        <v>15999</v>
      </c>
      <c r="B2707" s="2" t="s">
        <v>176</v>
      </c>
      <c r="C2707" s="2" t="s">
        <v>177</v>
      </c>
      <c r="D2707" s="20">
        <v>0</v>
      </c>
      <c r="E2707" s="2" t="s">
        <v>838</v>
      </c>
      <c r="F2707" s="2" t="s">
        <v>793</v>
      </c>
      <c r="G2707" s="2" t="s">
        <v>3148</v>
      </c>
      <c r="H2707" s="2" t="s">
        <v>1506</v>
      </c>
      <c r="J2707" s="26"/>
      <c r="K2707" s="36">
        <v>9.8889999999999997E-5</v>
      </c>
      <c r="L2707" s="23">
        <v>9.8900000000000002E-6</v>
      </c>
    </row>
    <row r="2708" spans="1:12" ht="15.35" hidden="1" x14ac:dyDescent="0.55000000000000004">
      <c r="A2708" s="20">
        <v>16621</v>
      </c>
      <c r="B2708" s="2" t="s">
        <v>176</v>
      </c>
      <c r="C2708" s="2" t="s">
        <v>177</v>
      </c>
      <c r="D2708" s="20">
        <v>0</v>
      </c>
      <c r="E2708" s="2" t="s">
        <v>838</v>
      </c>
      <c r="F2708" s="2" t="s">
        <v>793</v>
      </c>
      <c r="G2708" s="2" t="s">
        <v>3149</v>
      </c>
      <c r="H2708" s="2" t="s">
        <v>1506</v>
      </c>
      <c r="J2708" s="26"/>
      <c r="K2708" s="36">
        <v>1.1076E-4</v>
      </c>
      <c r="L2708" s="23">
        <v>1.1080000000000001E-5</v>
      </c>
    </row>
    <row r="2709" spans="1:12" ht="15.35" hidden="1" x14ac:dyDescent="0.55000000000000004">
      <c r="A2709" s="20">
        <v>16760</v>
      </c>
      <c r="B2709" s="2" t="s">
        <v>176</v>
      </c>
      <c r="C2709" s="2" t="s">
        <v>177</v>
      </c>
      <c r="D2709" s="20">
        <v>0</v>
      </c>
      <c r="E2709" s="2" t="s">
        <v>838</v>
      </c>
      <c r="F2709" s="2" t="s">
        <v>793</v>
      </c>
      <c r="G2709" s="2" t="s">
        <v>3150</v>
      </c>
      <c r="H2709" s="2" t="s">
        <v>1506</v>
      </c>
      <c r="J2709" s="26"/>
      <c r="K2709" s="36">
        <v>1.1076E-4</v>
      </c>
      <c r="L2709" s="23">
        <v>1.1080000000000001E-5</v>
      </c>
    </row>
    <row r="2710" spans="1:12" ht="15.35" hidden="1" x14ac:dyDescent="0.55000000000000004">
      <c r="A2710" s="20">
        <v>16484</v>
      </c>
      <c r="B2710" s="2" t="s">
        <v>176</v>
      </c>
      <c r="C2710" s="2" t="s">
        <v>177</v>
      </c>
      <c r="D2710" s="20">
        <v>0</v>
      </c>
      <c r="E2710" s="2" t="s">
        <v>838</v>
      </c>
      <c r="F2710" s="2" t="s">
        <v>793</v>
      </c>
      <c r="G2710" s="2" t="s">
        <v>3151</v>
      </c>
      <c r="H2710" s="2" t="s">
        <v>1506</v>
      </c>
      <c r="J2710" s="26"/>
      <c r="K2710" s="36">
        <v>1.1076E-4</v>
      </c>
      <c r="L2710" s="23">
        <v>1.1080000000000001E-5</v>
      </c>
    </row>
    <row r="2711" spans="1:12" ht="15.35" hidden="1" x14ac:dyDescent="0.55000000000000004">
      <c r="A2711" s="20">
        <v>16648</v>
      </c>
      <c r="B2711" s="2" t="s">
        <v>176</v>
      </c>
      <c r="C2711" s="2" t="s">
        <v>177</v>
      </c>
      <c r="D2711" s="20">
        <v>0</v>
      </c>
      <c r="E2711" s="2" t="s">
        <v>838</v>
      </c>
      <c r="F2711" s="2" t="s">
        <v>793</v>
      </c>
      <c r="G2711" s="2" t="s">
        <v>3152</v>
      </c>
      <c r="H2711" s="2" t="s">
        <v>1506</v>
      </c>
      <c r="J2711" s="26"/>
      <c r="K2711" s="36">
        <v>1.1076E-4</v>
      </c>
      <c r="L2711" s="23">
        <v>1.1080000000000001E-5</v>
      </c>
    </row>
    <row r="2712" spans="1:12" ht="15.35" hidden="1" x14ac:dyDescent="0.55000000000000004">
      <c r="A2712" s="20">
        <v>16452</v>
      </c>
      <c r="B2712" s="2" t="s">
        <v>176</v>
      </c>
      <c r="C2712" s="2" t="s">
        <v>177</v>
      </c>
      <c r="D2712" s="20">
        <v>0</v>
      </c>
      <c r="E2712" s="2" t="s">
        <v>838</v>
      </c>
      <c r="F2712" s="2" t="s">
        <v>793</v>
      </c>
      <c r="G2712" s="2" t="s">
        <v>3153</v>
      </c>
      <c r="H2712" s="2" t="s">
        <v>1506</v>
      </c>
      <c r="J2712" s="26"/>
      <c r="K2712" s="36">
        <v>1.1076E-4</v>
      </c>
      <c r="L2712" s="23">
        <v>1.1080000000000001E-5</v>
      </c>
    </row>
    <row r="2713" spans="1:12" ht="15.35" hidden="1" x14ac:dyDescent="0.55000000000000004">
      <c r="A2713" s="20">
        <v>16243</v>
      </c>
      <c r="B2713" s="2" t="s">
        <v>176</v>
      </c>
      <c r="C2713" s="2" t="s">
        <v>177</v>
      </c>
      <c r="D2713" s="20">
        <v>0</v>
      </c>
      <c r="E2713" s="2" t="s">
        <v>838</v>
      </c>
      <c r="F2713" s="2" t="s">
        <v>793</v>
      </c>
      <c r="G2713" s="2" t="s">
        <v>3154</v>
      </c>
      <c r="H2713" s="2" t="s">
        <v>1506</v>
      </c>
      <c r="J2713" s="26"/>
      <c r="K2713" s="36">
        <v>1.1076E-4</v>
      </c>
      <c r="L2713" s="23">
        <v>1.1080000000000001E-5</v>
      </c>
    </row>
    <row r="2714" spans="1:12" ht="15.35" hidden="1" x14ac:dyDescent="0.55000000000000004">
      <c r="A2714" s="20">
        <v>15926</v>
      </c>
      <c r="B2714" s="2" t="s">
        <v>176</v>
      </c>
      <c r="C2714" s="2" t="s">
        <v>177</v>
      </c>
      <c r="D2714" s="20">
        <v>0</v>
      </c>
      <c r="E2714" s="2" t="s">
        <v>838</v>
      </c>
      <c r="F2714" s="2" t="s">
        <v>793</v>
      </c>
      <c r="G2714" s="2" t="s">
        <v>3155</v>
      </c>
      <c r="H2714" s="2" t="s">
        <v>1506</v>
      </c>
      <c r="J2714" s="26"/>
      <c r="K2714" s="36">
        <v>1.1076E-4</v>
      </c>
      <c r="L2714" s="23">
        <v>1.1080000000000001E-5</v>
      </c>
    </row>
    <row r="2715" spans="1:12" ht="15.35" hidden="1" x14ac:dyDescent="0.55000000000000004">
      <c r="A2715" s="20">
        <v>16292</v>
      </c>
      <c r="B2715" s="2" t="s">
        <v>176</v>
      </c>
      <c r="C2715" s="2" t="s">
        <v>177</v>
      </c>
      <c r="D2715" s="20">
        <v>0</v>
      </c>
      <c r="E2715" s="2" t="s">
        <v>838</v>
      </c>
      <c r="F2715" s="2" t="s">
        <v>793</v>
      </c>
      <c r="G2715" s="2" t="s">
        <v>3156</v>
      </c>
      <c r="H2715" s="2" t="s">
        <v>1506</v>
      </c>
      <c r="J2715" s="26"/>
      <c r="K2715" s="36">
        <v>1.1076E-4</v>
      </c>
      <c r="L2715" s="23">
        <v>1.1080000000000001E-5</v>
      </c>
    </row>
    <row r="2716" spans="1:12" ht="15.35" hidden="1" x14ac:dyDescent="0.55000000000000004">
      <c r="A2716" s="20">
        <v>16594</v>
      </c>
      <c r="B2716" s="2" t="s">
        <v>176</v>
      </c>
      <c r="C2716" s="2" t="s">
        <v>177</v>
      </c>
      <c r="D2716" s="20">
        <v>0</v>
      </c>
      <c r="E2716" s="2" t="s">
        <v>838</v>
      </c>
      <c r="F2716" s="2" t="s">
        <v>783</v>
      </c>
      <c r="G2716" s="2" t="s">
        <v>3157</v>
      </c>
      <c r="H2716" s="2" t="s">
        <v>1506</v>
      </c>
      <c r="J2716" s="26"/>
      <c r="K2716" s="36">
        <v>1.1076E-4</v>
      </c>
      <c r="L2716" s="23">
        <v>1.1080000000000001E-5</v>
      </c>
    </row>
    <row r="2717" spans="1:12" ht="15.35" hidden="1" x14ac:dyDescent="0.55000000000000004">
      <c r="A2717" s="20">
        <v>16611</v>
      </c>
      <c r="B2717" s="2" t="s">
        <v>176</v>
      </c>
      <c r="C2717" s="2" t="s">
        <v>177</v>
      </c>
      <c r="D2717" s="20">
        <v>0</v>
      </c>
      <c r="E2717" s="2" t="s">
        <v>838</v>
      </c>
      <c r="F2717" s="2" t="s">
        <v>793</v>
      </c>
      <c r="G2717" s="2" t="s">
        <v>3158</v>
      </c>
      <c r="H2717" s="2" t="s">
        <v>1506</v>
      </c>
      <c r="J2717" s="26"/>
      <c r="K2717" s="36">
        <v>1.1076E-4</v>
      </c>
      <c r="L2717" s="23">
        <v>1.1080000000000001E-5</v>
      </c>
    </row>
    <row r="2718" spans="1:12" ht="15.35" hidden="1" x14ac:dyDescent="0.55000000000000004">
      <c r="A2718" s="20">
        <v>15986</v>
      </c>
      <c r="B2718" s="2" t="s">
        <v>176</v>
      </c>
      <c r="C2718" s="2" t="s">
        <v>177</v>
      </c>
      <c r="D2718" s="20">
        <v>0</v>
      </c>
      <c r="E2718" s="2" t="s">
        <v>838</v>
      </c>
      <c r="F2718" s="2" t="s">
        <v>793</v>
      </c>
      <c r="G2718" s="2" t="s">
        <v>3159</v>
      </c>
      <c r="H2718" s="2" t="s">
        <v>1506</v>
      </c>
      <c r="J2718" s="26"/>
      <c r="K2718" s="36">
        <v>1.1076E-4</v>
      </c>
      <c r="L2718" s="23">
        <v>1.1080000000000001E-5</v>
      </c>
    </row>
    <row r="2719" spans="1:12" ht="15.35" hidden="1" x14ac:dyDescent="0.55000000000000004">
      <c r="A2719" s="20">
        <v>16244</v>
      </c>
      <c r="B2719" s="2" t="s">
        <v>176</v>
      </c>
      <c r="C2719" s="2" t="s">
        <v>177</v>
      </c>
      <c r="D2719" s="20">
        <v>0</v>
      </c>
      <c r="E2719" s="2" t="s">
        <v>838</v>
      </c>
      <c r="F2719" s="2" t="s">
        <v>793</v>
      </c>
      <c r="G2719" s="2" t="s">
        <v>3160</v>
      </c>
      <c r="H2719" s="2" t="s">
        <v>1506</v>
      </c>
      <c r="J2719" s="26"/>
      <c r="K2719" s="36">
        <v>1.1076E-4</v>
      </c>
      <c r="L2719" s="23">
        <v>1.1080000000000001E-5</v>
      </c>
    </row>
    <row r="2720" spans="1:12" ht="15.35" hidden="1" x14ac:dyDescent="0.55000000000000004">
      <c r="A2720" s="20">
        <v>16461</v>
      </c>
      <c r="B2720" s="2" t="s">
        <v>176</v>
      </c>
      <c r="C2720" s="2" t="s">
        <v>177</v>
      </c>
      <c r="D2720" s="20">
        <v>0</v>
      </c>
      <c r="E2720" s="2" t="s">
        <v>838</v>
      </c>
      <c r="F2720" s="2" t="s">
        <v>793</v>
      </c>
      <c r="G2720" s="2" t="s">
        <v>3161</v>
      </c>
      <c r="H2720" s="2" t="s">
        <v>1506</v>
      </c>
      <c r="J2720" s="26"/>
      <c r="K2720" s="36">
        <v>1.0681E-4</v>
      </c>
      <c r="L2720" s="23">
        <v>1.0679999999999999E-5</v>
      </c>
    </row>
    <row r="2721" spans="1:12" ht="15.35" hidden="1" x14ac:dyDescent="0.55000000000000004">
      <c r="A2721" s="20">
        <v>16390</v>
      </c>
      <c r="B2721" s="2" t="s">
        <v>176</v>
      </c>
      <c r="C2721" s="2" t="s">
        <v>177</v>
      </c>
      <c r="D2721" s="20">
        <v>0</v>
      </c>
      <c r="E2721" s="2" t="s">
        <v>838</v>
      </c>
      <c r="F2721" s="2" t="s">
        <v>793</v>
      </c>
      <c r="G2721" s="2" t="s">
        <v>3162</v>
      </c>
      <c r="H2721" s="2" t="s">
        <v>1506</v>
      </c>
      <c r="J2721" s="26"/>
      <c r="K2721" s="36">
        <v>1.1472E-4</v>
      </c>
      <c r="L2721" s="23">
        <v>1.147E-5</v>
      </c>
    </row>
    <row r="2722" spans="1:12" ht="15.35" hidden="1" x14ac:dyDescent="0.55000000000000004">
      <c r="A2722" s="20">
        <v>16352</v>
      </c>
      <c r="B2722" s="2" t="s">
        <v>176</v>
      </c>
      <c r="C2722" s="2" t="s">
        <v>177</v>
      </c>
      <c r="D2722" s="20">
        <v>0</v>
      </c>
      <c r="E2722" s="2" t="s">
        <v>838</v>
      </c>
      <c r="F2722" s="2" t="s">
        <v>793</v>
      </c>
      <c r="G2722" s="2" t="s">
        <v>3163</v>
      </c>
      <c r="H2722" s="2" t="s">
        <v>1506</v>
      </c>
      <c r="J2722" s="26"/>
      <c r="K2722" s="36">
        <v>1.1472E-4</v>
      </c>
      <c r="L2722" s="23">
        <v>1.147E-5</v>
      </c>
    </row>
    <row r="2723" spans="1:12" ht="15.35" hidden="1" x14ac:dyDescent="0.55000000000000004">
      <c r="A2723" s="20">
        <v>16125</v>
      </c>
      <c r="B2723" s="2" t="s">
        <v>176</v>
      </c>
      <c r="C2723" s="2" t="s">
        <v>177</v>
      </c>
      <c r="D2723" s="20">
        <v>0</v>
      </c>
      <c r="E2723" s="2" t="s">
        <v>838</v>
      </c>
      <c r="F2723" s="2" t="s">
        <v>793</v>
      </c>
      <c r="G2723" s="2" t="s">
        <v>3164</v>
      </c>
      <c r="H2723" s="2" t="s">
        <v>1506</v>
      </c>
      <c r="J2723" s="26"/>
      <c r="K2723" s="36">
        <v>1.3054000000000001E-4</v>
      </c>
      <c r="L2723" s="23">
        <v>1.305E-5</v>
      </c>
    </row>
    <row r="2724" spans="1:12" ht="15.35" hidden="1" x14ac:dyDescent="0.55000000000000004">
      <c r="A2724" s="20">
        <v>16598</v>
      </c>
      <c r="B2724" s="2" t="s">
        <v>176</v>
      </c>
      <c r="C2724" s="2" t="s">
        <v>177</v>
      </c>
      <c r="D2724" s="20">
        <v>0</v>
      </c>
      <c r="E2724" s="2" t="s">
        <v>838</v>
      </c>
      <c r="F2724" s="2" t="s">
        <v>793</v>
      </c>
      <c r="G2724" s="2" t="s">
        <v>3165</v>
      </c>
      <c r="H2724" s="2" t="s">
        <v>1506</v>
      </c>
      <c r="J2724" s="26"/>
      <c r="K2724" s="36">
        <v>1.2658999999999999E-4</v>
      </c>
      <c r="L2724" s="23">
        <v>1.2660000000000001E-5</v>
      </c>
    </row>
    <row r="2725" spans="1:12" ht="15.35" hidden="1" x14ac:dyDescent="0.55000000000000004">
      <c r="A2725" s="20">
        <v>16765</v>
      </c>
      <c r="B2725" s="2" t="s">
        <v>176</v>
      </c>
      <c r="C2725" s="2" t="s">
        <v>177</v>
      </c>
      <c r="D2725" s="20">
        <v>0</v>
      </c>
      <c r="E2725" s="2" t="s">
        <v>838</v>
      </c>
      <c r="F2725" s="2" t="s">
        <v>793</v>
      </c>
      <c r="G2725" s="2" t="s">
        <v>3166</v>
      </c>
      <c r="H2725" s="2" t="s">
        <v>1506</v>
      </c>
      <c r="J2725" s="26"/>
      <c r="K2725" s="36">
        <v>1.3054000000000001E-4</v>
      </c>
      <c r="L2725" s="23">
        <v>1.305E-5</v>
      </c>
    </row>
    <row r="2726" spans="1:12" ht="15.35" hidden="1" x14ac:dyDescent="0.55000000000000004">
      <c r="A2726" s="20">
        <v>16462</v>
      </c>
      <c r="B2726" s="2" t="s">
        <v>176</v>
      </c>
      <c r="C2726" s="2" t="s">
        <v>177</v>
      </c>
      <c r="D2726" s="20">
        <v>0</v>
      </c>
      <c r="E2726" s="2" t="s">
        <v>838</v>
      </c>
      <c r="F2726" s="2" t="s">
        <v>793</v>
      </c>
      <c r="G2726" s="2" t="s">
        <v>3167</v>
      </c>
      <c r="H2726" s="2" t="s">
        <v>1506</v>
      </c>
      <c r="J2726" s="26"/>
      <c r="K2726" s="36">
        <v>1.1867E-4</v>
      </c>
      <c r="L2726" s="23">
        <v>1.187E-5</v>
      </c>
    </row>
    <row r="2727" spans="1:12" ht="15.35" hidden="1" x14ac:dyDescent="0.55000000000000004">
      <c r="A2727" s="20">
        <v>16668</v>
      </c>
      <c r="B2727" s="2" t="s">
        <v>176</v>
      </c>
      <c r="C2727" s="2" t="s">
        <v>177</v>
      </c>
      <c r="D2727" s="20">
        <v>0</v>
      </c>
      <c r="E2727" s="2" t="s">
        <v>838</v>
      </c>
      <c r="F2727" s="2" t="s">
        <v>793</v>
      </c>
      <c r="G2727" s="2" t="s">
        <v>3168</v>
      </c>
      <c r="H2727" s="2" t="s">
        <v>1506</v>
      </c>
      <c r="J2727" s="26"/>
      <c r="K2727" s="36">
        <v>1.1472E-4</v>
      </c>
      <c r="L2727" s="23">
        <v>1.147E-5</v>
      </c>
    </row>
    <row r="2728" spans="1:12" ht="15.35" hidden="1" x14ac:dyDescent="0.55000000000000004">
      <c r="A2728" s="20">
        <v>16480</v>
      </c>
      <c r="B2728" s="2" t="s">
        <v>176</v>
      </c>
      <c r="C2728" s="2" t="s">
        <v>177</v>
      </c>
      <c r="D2728" s="20">
        <v>0</v>
      </c>
      <c r="E2728" s="2" t="s">
        <v>838</v>
      </c>
      <c r="F2728" s="2" t="s">
        <v>793</v>
      </c>
      <c r="G2728" s="2" t="s">
        <v>3169</v>
      </c>
      <c r="H2728" s="2" t="s">
        <v>1506</v>
      </c>
      <c r="J2728" s="26"/>
      <c r="K2728" s="36">
        <v>1.2263000000000001E-4</v>
      </c>
      <c r="L2728" s="23">
        <v>1.226E-5</v>
      </c>
    </row>
    <row r="2729" spans="1:12" ht="15.35" hidden="1" x14ac:dyDescent="0.55000000000000004">
      <c r="A2729" s="20">
        <v>16137</v>
      </c>
      <c r="B2729" s="2" t="s">
        <v>176</v>
      </c>
      <c r="C2729" s="2" t="s">
        <v>177</v>
      </c>
      <c r="D2729" s="20">
        <v>0</v>
      </c>
      <c r="E2729" s="2" t="s">
        <v>838</v>
      </c>
      <c r="F2729" s="2" t="s">
        <v>793</v>
      </c>
      <c r="G2729" s="2" t="s">
        <v>3170</v>
      </c>
      <c r="H2729" s="2" t="s">
        <v>1506</v>
      </c>
      <c r="J2729" s="26"/>
      <c r="K2729" s="36">
        <v>1.2263000000000001E-4</v>
      </c>
      <c r="L2729" s="23">
        <v>1.226E-5</v>
      </c>
    </row>
    <row r="2730" spans="1:12" ht="15.35" hidden="1" x14ac:dyDescent="0.55000000000000004">
      <c r="A2730" s="20">
        <v>16639</v>
      </c>
      <c r="B2730" s="2" t="s">
        <v>176</v>
      </c>
      <c r="C2730" s="2" t="s">
        <v>177</v>
      </c>
      <c r="D2730" s="20">
        <v>0</v>
      </c>
      <c r="E2730" s="2" t="s">
        <v>838</v>
      </c>
      <c r="F2730" s="2" t="s">
        <v>793</v>
      </c>
      <c r="G2730" s="2" t="s">
        <v>3171</v>
      </c>
      <c r="H2730" s="2" t="s">
        <v>1506</v>
      </c>
      <c r="J2730" s="26"/>
      <c r="K2730" s="36">
        <v>1.2263000000000001E-4</v>
      </c>
      <c r="L2730" s="23">
        <v>1.226E-5</v>
      </c>
    </row>
    <row r="2731" spans="1:12" ht="15.35" hidden="1" x14ac:dyDescent="0.55000000000000004">
      <c r="A2731" s="20">
        <v>16307</v>
      </c>
      <c r="B2731" s="2" t="s">
        <v>176</v>
      </c>
      <c r="C2731" s="2" t="s">
        <v>177</v>
      </c>
      <c r="D2731" s="20">
        <v>0</v>
      </c>
      <c r="E2731" s="2" t="s">
        <v>838</v>
      </c>
      <c r="F2731" s="2" t="s">
        <v>793</v>
      </c>
      <c r="G2731" s="2" t="s">
        <v>3172</v>
      </c>
      <c r="H2731" s="2" t="s">
        <v>1506</v>
      </c>
      <c r="J2731" s="26"/>
      <c r="K2731" s="36">
        <v>1.1472E-4</v>
      </c>
      <c r="L2731" s="23">
        <v>1.147E-5</v>
      </c>
    </row>
    <row r="2732" spans="1:12" ht="15.35" hidden="1" x14ac:dyDescent="0.55000000000000004">
      <c r="A2732" s="20">
        <v>16189</v>
      </c>
      <c r="B2732" s="2" t="s">
        <v>176</v>
      </c>
      <c r="C2732" s="2" t="s">
        <v>177</v>
      </c>
      <c r="D2732" s="20">
        <v>0</v>
      </c>
      <c r="E2732" s="2" t="s">
        <v>838</v>
      </c>
      <c r="F2732" s="2" t="s">
        <v>793</v>
      </c>
      <c r="G2732" s="2" t="s">
        <v>3173</v>
      </c>
      <c r="H2732" s="2" t="s">
        <v>1506</v>
      </c>
      <c r="J2732" s="26"/>
      <c r="K2732" s="36">
        <v>1.4637E-4</v>
      </c>
      <c r="L2732" s="23">
        <v>1.464E-5</v>
      </c>
    </row>
    <row r="2733" spans="1:12" ht="15.35" hidden="1" x14ac:dyDescent="0.55000000000000004">
      <c r="A2733" s="20">
        <v>16436</v>
      </c>
      <c r="B2733" s="2" t="s">
        <v>176</v>
      </c>
      <c r="C2733" s="2" t="s">
        <v>177</v>
      </c>
      <c r="D2733" s="20">
        <v>0</v>
      </c>
      <c r="E2733" s="2" t="s">
        <v>838</v>
      </c>
      <c r="F2733" s="2" t="s">
        <v>793</v>
      </c>
      <c r="G2733" s="2" t="s">
        <v>3174</v>
      </c>
      <c r="H2733" s="2" t="s">
        <v>1506</v>
      </c>
      <c r="J2733" s="26"/>
      <c r="K2733" s="36">
        <v>1.2263000000000001E-4</v>
      </c>
      <c r="L2733" s="23">
        <v>1.226E-5</v>
      </c>
    </row>
    <row r="2734" spans="1:12" ht="15.35" hidden="1" x14ac:dyDescent="0.55000000000000004">
      <c r="A2734" s="20">
        <v>15991</v>
      </c>
      <c r="B2734" s="2" t="s">
        <v>176</v>
      </c>
      <c r="C2734" s="2" t="s">
        <v>177</v>
      </c>
      <c r="D2734" s="20">
        <v>0</v>
      </c>
      <c r="E2734" s="2" t="s">
        <v>838</v>
      </c>
      <c r="F2734" s="2" t="s">
        <v>793</v>
      </c>
      <c r="G2734" s="2" t="s">
        <v>3175</v>
      </c>
      <c r="H2734" s="2" t="s">
        <v>3176</v>
      </c>
      <c r="J2734" s="26"/>
      <c r="K2734" s="36">
        <v>1.1076E-4</v>
      </c>
      <c r="L2734" s="23">
        <v>1.1080000000000001E-5</v>
      </c>
    </row>
    <row r="2735" spans="1:12" ht="15.35" hidden="1" x14ac:dyDescent="0.55000000000000004">
      <c r="A2735" s="20">
        <v>16067</v>
      </c>
      <c r="B2735" s="2" t="s">
        <v>176</v>
      </c>
      <c r="C2735" s="2" t="s">
        <v>177</v>
      </c>
      <c r="D2735" s="20">
        <v>0</v>
      </c>
      <c r="E2735" s="2" t="s">
        <v>838</v>
      </c>
      <c r="F2735" s="2" t="s">
        <v>793</v>
      </c>
      <c r="G2735" s="2" t="s">
        <v>3177</v>
      </c>
      <c r="H2735" s="2" t="s">
        <v>3176</v>
      </c>
      <c r="J2735" s="26"/>
      <c r="K2735" s="36">
        <v>1.1076E-4</v>
      </c>
      <c r="L2735" s="23">
        <v>1.1080000000000001E-5</v>
      </c>
    </row>
    <row r="2736" spans="1:12" ht="15.35" hidden="1" x14ac:dyDescent="0.55000000000000004">
      <c r="A2736" s="20">
        <v>16099</v>
      </c>
      <c r="B2736" s="2" t="s">
        <v>176</v>
      </c>
      <c r="C2736" s="2" t="s">
        <v>177</v>
      </c>
      <c r="D2736" s="20">
        <v>0</v>
      </c>
      <c r="E2736" s="2" t="s">
        <v>838</v>
      </c>
      <c r="F2736" s="2" t="s">
        <v>793</v>
      </c>
      <c r="G2736" s="2" t="s">
        <v>3178</v>
      </c>
      <c r="H2736" s="2" t="s">
        <v>1506</v>
      </c>
      <c r="J2736" s="26"/>
      <c r="K2736" s="36">
        <v>1.2658999999999999E-4</v>
      </c>
      <c r="L2736" s="23">
        <v>1.2660000000000001E-5</v>
      </c>
    </row>
    <row r="2737" spans="1:12" ht="15.35" hidden="1" x14ac:dyDescent="0.55000000000000004">
      <c r="A2737" s="20">
        <v>16046</v>
      </c>
      <c r="B2737" s="2" t="s">
        <v>176</v>
      </c>
      <c r="C2737" s="2" t="s">
        <v>177</v>
      </c>
      <c r="D2737" s="20">
        <v>0</v>
      </c>
      <c r="E2737" s="2" t="s">
        <v>838</v>
      </c>
      <c r="F2737" s="2" t="s">
        <v>793</v>
      </c>
      <c r="G2737" s="2" t="s">
        <v>3179</v>
      </c>
      <c r="H2737" s="2" t="s">
        <v>1506</v>
      </c>
      <c r="J2737" s="26"/>
      <c r="K2737" s="36">
        <v>1.1867E-4</v>
      </c>
      <c r="L2737" s="23">
        <v>1.187E-5</v>
      </c>
    </row>
    <row r="2738" spans="1:12" ht="15.35" hidden="1" x14ac:dyDescent="0.55000000000000004">
      <c r="A2738" s="20">
        <v>16177</v>
      </c>
      <c r="B2738" s="2" t="s">
        <v>176</v>
      </c>
      <c r="C2738" s="2" t="s">
        <v>177</v>
      </c>
      <c r="D2738" s="20">
        <v>0</v>
      </c>
      <c r="E2738" s="2" t="s">
        <v>838</v>
      </c>
      <c r="F2738" s="2" t="s">
        <v>793</v>
      </c>
      <c r="G2738" s="2" t="s">
        <v>3180</v>
      </c>
      <c r="H2738" s="2" t="s">
        <v>1506</v>
      </c>
      <c r="J2738" s="26"/>
      <c r="K2738" s="36">
        <v>1.2658999999999999E-4</v>
      </c>
      <c r="L2738" s="23">
        <v>1.2660000000000001E-5</v>
      </c>
    </row>
    <row r="2739" spans="1:12" ht="15.35" hidden="1" x14ac:dyDescent="0.55000000000000004">
      <c r="A2739" s="20">
        <v>16726</v>
      </c>
      <c r="B2739" s="2" t="s">
        <v>176</v>
      </c>
      <c r="C2739" s="2" t="s">
        <v>177</v>
      </c>
      <c r="D2739" s="20">
        <v>0</v>
      </c>
      <c r="E2739" s="2" t="s">
        <v>838</v>
      </c>
      <c r="F2739" s="2" t="s">
        <v>793</v>
      </c>
      <c r="G2739" s="2" t="s">
        <v>3181</v>
      </c>
      <c r="H2739" s="2" t="s">
        <v>3182</v>
      </c>
      <c r="J2739" s="26"/>
      <c r="K2739" s="36">
        <v>1.1076E-4</v>
      </c>
      <c r="L2739" s="23">
        <v>1.1080000000000001E-5</v>
      </c>
    </row>
    <row r="2740" spans="1:12" ht="15.35" hidden="1" x14ac:dyDescent="0.55000000000000004">
      <c r="A2740" s="20">
        <v>15971</v>
      </c>
      <c r="B2740" s="2" t="s">
        <v>176</v>
      </c>
      <c r="C2740" s="2" t="s">
        <v>177</v>
      </c>
      <c r="D2740" s="20">
        <v>0</v>
      </c>
      <c r="E2740" s="2" t="s">
        <v>838</v>
      </c>
      <c r="F2740" s="2" t="s">
        <v>793</v>
      </c>
      <c r="G2740" s="2" t="s">
        <v>3183</v>
      </c>
      <c r="H2740" s="2" t="s">
        <v>3182</v>
      </c>
      <c r="J2740" s="26"/>
      <c r="K2740" s="36">
        <v>1.1076E-4</v>
      </c>
      <c r="L2740" s="23">
        <v>1.1080000000000001E-5</v>
      </c>
    </row>
    <row r="2741" spans="1:12" ht="15.35" hidden="1" x14ac:dyDescent="0.55000000000000004">
      <c r="A2741" s="20">
        <v>15953</v>
      </c>
      <c r="B2741" s="2" t="s">
        <v>176</v>
      </c>
      <c r="C2741" s="2" t="s">
        <v>177</v>
      </c>
      <c r="D2741" s="20">
        <v>0</v>
      </c>
      <c r="E2741" s="2" t="s">
        <v>838</v>
      </c>
      <c r="F2741" s="2" t="s">
        <v>793</v>
      </c>
      <c r="G2741" s="2" t="s">
        <v>3184</v>
      </c>
      <c r="H2741" s="2" t="s">
        <v>3182</v>
      </c>
      <c r="J2741" s="26"/>
      <c r="K2741" s="36">
        <v>1.1076E-4</v>
      </c>
      <c r="L2741" s="23">
        <v>1.1080000000000001E-5</v>
      </c>
    </row>
    <row r="2742" spans="1:12" ht="15.35" hidden="1" x14ac:dyDescent="0.55000000000000004">
      <c r="A2742" s="20">
        <v>15954</v>
      </c>
      <c r="B2742" s="2" t="s">
        <v>176</v>
      </c>
      <c r="C2742" s="2" t="s">
        <v>177</v>
      </c>
      <c r="D2742" s="20">
        <v>0</v>
      </c>
      <c r="E2742" s="2" t="s">
        <v>838</v>
      </c>
      <c r="F2742" s="2" t="s">
        <v>793</v>
      </c>
      <c r="G2742" s="2" t="s">
        <v>3185</v>
      </c>
      <c r="H2742" s="2" t="s">
        <v>3182</v>
      </c>
      <c r="J2742" s="26"/>
      <c r="K2742" s="36">
        <v>1.1076E-4</v>
      </c>
      <c r="L2742" s="23">
        <v>1.1080000000000001E-5</v>
      </c>
    </row>
    <row r="2743" spans="1:12" ht="15.35" hidden="1" x14ac:dyDescent="0.55000000000000004">
      <c r="A2743" s="20">
        <v>16457</v>
      </c>
      <c r="B2743" s="2" t="s">
        <v>176</v>
      </c>
      <c r="C2743" s="2" t="s">
        <v>177</v>
      </c>
      <c r="D2743" s="20">
        <v>0</v>
      </c>
      <c r="E2743" s="2" t="s">
        <v>838</v>
      </c>
      <c r="F2743" s="2" t="s">
        <v>793</v>
      </c>
      <c r="G2743" s="2" t="s">
        <v>3186</v>
      </c>
      <c r="H2743" s="2" t="s">
        <v>3182</v>
      </c>
      <c r="J2743" s="26"/>
      <c r="K2743" s="36">
        <v>1.1076E-4</v>
      </c>
      <c r="L2743" s="23">
        <v>1.1080000000000001E-5</v>
      </c>
    </row>
    <row r="2744" spans="1:12" ht="15.35" hidden="1" x14ac:dyDescent="0.55000000000000004">
      <c r="A2744" s="20">
        <v>16701</v>
      </c>
      <c r="B2744" s="2" t="s">
        <v>176</v>
      </c>
      <c r="C2744" s="2" t="s">
        <v>177</v>
      </c>
      <c r="D2744" s="20">
        <v>0</v>
      </c>
      <c r="E2744" s="2" t="s">
        <v>838</v>
      </c>
      <c r="F2744" s="2" t="s">
        <v>793</v>
      </c>
      <c r="G2744" s="2" t="s">
        <v>3187</v>
      </c>
      <c r="H2744" s="2" t="s">
        <v>3182</v>
      </c>
      <c r="J2744" s="26"/>
      <c r="K2744" s="36">
        <v>1.1076E-4</v>
      </c>
      <c r="L2744" s="23">
        <v>1.1080000000000001E-5</v>
      </c>
    </row>
    <row r="2745" spans="1:12" ht="15.35" hidden="1" x14ac:dyDescent="0.55000000000000004">
      <c r="A2745" s="20">
        <v>16123</v>
      </c>
      <c r="B2745" s="2" t="s">
        <v>176</v>
      </c>
      <c r="C2745" s="2" t="s">
        <v>177</v>
      </c>
      <c r="D2745" s="20">
        <v>0</v>
      </c>
      <c r="E2745" s="2" t="s">
        <v>838</v>
      </c>
      <c r="F2745" s="2" t="s">
        <v>783</v>
      </c>
      <c r="G2745" s="2" t="s">
        <v>3188</v>
      </c>
      <c r="H2745" s="2" t="s">
        <v>3189</v>
      </c>
      <c r="J2745" s="26"/>
      <c r="K2745" s="36">
        <v>1.1076E-4</v>
      </c>
      <c r="L2745" s="23">
        <v>1.1080000000000001E-5</v>
      </c>
    </row>
    <row r="2746" spans="1:12" ht="15.35" hidden="1" x14ac:dyDescent="0.55000000000000004">
      <c r="A2746" s="20">
        <v>16582</v>
      </c>
      <c r="B2746" s="2" t="s">
        <v>176</v>
      </c>
      <c r="C2746" s="2" t="s">
        <v>177</v>
      </c>
      <c r="D2746" s="20">
        <v>0</v>
      </c>
      <c r="E2746" s="2" t="s">
        <v>838</v>
      </c>
      <c r="F2746" s="2" t="s">
        <v>793</v>
      </c>
      <c r="G2746" s="2" t="s">
        <v>3190</v>
      </c>
      <c r="H2746" s="2" t="s">
        <v>3189</v>
      </c>
      <c r="J2746" s="26"/>
      <c r="K2746" s="36">
        <v>1.1076E-4</v>
      </c>
      <c r="L2746" s="23">
        <v>1.1080000000000001E-5</v>
      </c>
    </row>
    <row r="2747" spans="1:12" ht="15.35" hidden="1" x14ac:dyDescent="0.55000000000000004">
      <c r="A2747" s="20">
        <v>16155</v>
      </c>
      <c r="B2747" s="2" t="s">
        <v>176</v>
      </c>
      <c r="C2747" s="2" t="s">
        <v>177</v>
      </c>
      <c r="D2747" s="20">
        <v>0</v>
      </c>
      <c r="E2747" s="2" t="s">
        <v>838</v>
      </c>
      <c r="F2747" s="2" t="s">
        <v>793</v>
      </c>
      <c r="G2747" s="2" t="s">
        <v>3191</v>
      </c>
      <c r="H2747" s="2" t="s">
        <v>1506</v>
      </c>
      <c r="J2747" s="26"/>
      <c r="K2747" s="36">
        <v>1.1076E-4</v>
      </c>
      <c r="L2747" s="23">
        <v>1.1080000000000001E-5</v>
      </c>
    </row>
    <row r="2748" spans="1:12" ht="15.35" hidden="1" x14ac:dyDescent="0.55000000000000004">
      <c r="A2748" s="20">
        <v>16167</v>
      </c>
      <c r="B2748" s="2" t="s">
        <v>176</v>
      </c>
      <c r="C2748" s="2" t="s">
        <v>177</v>
      </c>
      <c r="D2748" s="20">
        <v>0</v>
      </c>
      <c r="E2748" s="2" t="s">
        <v>838</v>
      </c>
      <c r="F2748" s="2" t="s">
        <v>817</v>
      </c>
      <c r="G2748" s="2" t="s">
        <v>3192</v>
      </c>
      <c r="H2748" s="2" t="s">
        <v>1506</v>
      </c>
      <c r="J2748" s="26"/>
      <c r="K2748" s="36">
        <v>2.5713E-4</v>
      </c>
      <c r="L2748" s="23">
        <v>2.5709999999999999E-5</v>
      </c>
    </row>
    <row r="2749" spans="1:12" ht="15.35" hidden="1" x14ac:dyDescent="0.55000000000000004">
      <c r="A2749" s="20">
        <v>16435</v>
      </c>
      <c r="B2749" s="2" t="s">
        <v>176</v>
      </c>
      <c r="C2749" s="2" t="s">
        <v>177</v>
      </c>
      <c r="D2749" s="20">
        <v>0</v>
      </c>
      <c r="E2749" s="2" t="s">
        <v>838</v>
      </c>
      <c r="F2749" s="2" t="s">
        <v>817</v>
      </c>
      <c r="G2749" s="2" t="s">
        <v>3193</v>
      </c>
      <c r="H2749" s="2" t="s">
        <v>1506</v>
      </c>
      <c r="J2749" s="26"/>
      <c r="K2749" s="36">
        <v>1.1076E-4</v>
      </c>
      <c r="L2749" s="23">
        <v>1.1080000000000001E-5</v>
      </c>
    </row>
    <row r="2750" spans="1:12" ht="15.35" hidden="1" x14ac:dyDescent="0.55000000000000004">
      <c r="A2750" s="20">
        <v>16117</v>
      </c>
      <c r="B2750" s="2" t="s">
        <v>176</v>
      </c>
      <c r="C2750" s="2" t="s">
        <v>177</v>
      </c>
      <c r="D2750" s="20">
        <v>0</v>
      </c>
      <c r="E2750" s="2" t="s">
        <v>838</v>
      </c>
      <c r="F2750" s="2" t="s">
        <v>817</v>
      </c>
      <c r="G2750" s="2" t="s">
        <v>3194</v>
      </c>
      <c r="H2750" s="2" t="s">
        <v>1506</v>
      </c>
      <c r="J2750" s="26"/>
      <c r="K2750" s="36">
        <v>1.1076E-4</v>
      </c>
      <c r="L2750" s="23">
        <v>1.1080000000000001E-5</v>
      </c>
    </row>
    <row r="2751" spans="1:12" ht="15.35" hidden="1" x14ac:dyDescent="0.55000000000000004">
      <c r="A2751" s="20">
        <v>16309</v>
      </c>
      <c r="B2751" s="2" t="s">
        <v>176</v>
      </c>
      <c r="C2751" s="2" t="s">
        <v>177</v>
      </c>
      <c r="D2751" s="20">
        <v>0</v>
      </c>
      <c r="E2751" s="2" t="s">
        <v>838</v>
      </c>
      <c r="F2751" s="2" t="s">
        <v>817</v>
      </c>
      <c r="G2751" s="2" t="s">
        <v>3195</v>
      </c>
      <c r="H2751" s="2" t="s">
        <v>1506</v>
      </c>
      <c r="J2751" s="26"/>
      <c r="K2751" s="36">
        <v>1.1076E-4</v>
      </c>
      <c r="L2751" s="23">
        <v>1.1080000000000001E-5</v>
      </c>
    </row>
    <row r="2752" spans="1:12" ht="15.35" hidden="1" x14ac:dyDescent="0.55000000000000004">
      <c r="A2752" s="20">
        <v>16466</v>
      </c>
      <c r="B2752" s="2" t="s">
        <v>176</v>
      </c>
      <c r="C2752" s="2" t="s">
        <v>177</v>
      </c>
      <c r="D2752" s="20">
        <v>0</v>
      </c>
      <c r="E2752" s="2" t="s">
        <v>838</v>
      </c>
      <c r="F2752" s="2" t="s">
        <v>817</v>
      </c>
      <c r="G2752" s="2" t="s">
        <v>3196</v>
      </c>
      <c r="H2752" s="2" t="s">
        <v>1506</v>
      </c>
      <c r="J2752" s="26"/>
      <c r="K2752" s="36">
        <v>1.1076E-4</v>
      </c>
      <c r="L2752" s="23">
        <v>1.1080000000000001E-5</v>
      </c>
    </row>
    <row r="2753" spans="1:12" ht="15.35" hidden="1" x14ac:dyDescent="0.55000000000000004">
      <c r="A2753" s="20">
        <v>16679</v>
      </c>
      <c r="B2753" s="2" t="s">
        <v>176</v>
      </c>
      <c r="C2753" s="2" t="s">
        <v>177</v>
      </c>
      <c r="D2753" s="20">
        <v>0</v>
      </c>
      <c r="E2753" s="2" t="s">
        <v>838</v>
      </c>
      <c r="F2753" s="2" t="s">
        <v>817</v>
      </c>
      <c r="G2753" s="2" t="s">
        <v>3197</v>
      </c>
      <c r="H2753" s="2" t="s">
        <v>1506</v>
      </c>
      <c r="J2753" s="26"/>
      <c r="K2753" s="36">
        <v>1.1076E-4</v>
      </c>
      <c r="L2753" s="23">
        <v>1.1080000000000001E-5</v>
      </c>
    </row>
    <row r="2754" spans="1:12" ht="15.35" hidden="1" x14ac:dyDescent="0.55000000000000004">
      <c r="A2754" s="20">
        <v>16751</v>
      </c>
      <c r="B2754" s="2" t="s">
        <v>176</v>
      </c>
      <c r="C2754" s="2" t="s">
        <v>177</v>
      </c>
      <c r="D2754" s="20">
        <v>0</v>
      </c>
      <c r="E2754" s="2" t="s">
        <v>838</v>
      </c>
      <c r="F2754" s="2" t="s">
        <v>817</v>
      </c>
      <c r="G2754" s="2" t="s">
        <v>3198</v>
      </c>
      <c r="H2754" s="2" t="s">
        <v>1506</v>
      </c>
      <c r="J2754" s="26"/>
      <c r="K2754" s="36">
        <v>1.0681E-4</v>
      </c>
      <c r="L2754" s="23">
        <v>1.0679999999999999E-5</v>
      </c>
    </row>
    <row r="2755" spans="1:12" ht="15.35" hidden="1" x14ac:dyDescent="0.55000000000000004">
      <c r="A2755" s="20">
        <v>16218</v>
      </c>
      <c r="B2755" s="2" t="s">
        <v>176</v>
      </c>
      <c r="C2755" s="2" t="s">
        <v>177</v>
      </c>
      <c r="D2755" s="20">
        <v>0</v>
      </c>
      <c r="E2755" s="2" t="s">
        <v>838</v>
      </c>
      <c r="F2755" s="2" t="s">
        <v>817</v>
      </c>
      <c r="G2755" s="2" t="s">
        <v>3199</v>
      </c>
      <c r="H2755" s="2" t="s">
        <v>1506</v>
      </c>
      <c r="J2755" s="26"/>
      <c r="K2755" s="36">
        <v>1.1472E-4</v>
      </c>
      <c r="L2755" s="23">
        <v>1.147E-5</v>
      </c>
    </row>
    <row r="2756" spans="1:12" ht="15.35" hidden="1" x14ac:dyDescent="0.55000000000000004">
      <c r="A2756" s="20">
        <v>16474</v>
      </c>
      <c r="B2756" s="2" t="s">
        <v>176</v>
      </c>
      <c r="C2756" s="2" t="s">
        <v>177</v>
      </c>
      <c r="D2756" s="20">
        <v>0</v>
      </c>
      <c r="E2756" s="2" t="s">
        <v>838</v>
      </c>
      <c r="F2756" s="2" t="s">
        <v>817</v>
      </c>
      <c r="G2756" s="2" t="s">
        <v>3200</v>
      </c>
      <c r="H2756" s="2" t="s">
        <v>1506</v>
      </c>
      <c r="J2756" s="26"/>
      <c r="K2756" s="36">
        <v>1.1472E-4</v>
      </c>
      <c r="L2756" s="23">
        <v>1.147E-5</v>
      </c>
    </row>
    <row r="2757" spans="1:12" ht="15.35" hidden="1" x14ac:dyDescent="0.55000000000000004">
      <c r="A2757" s="20">
        <v>16198</v>
      </c>
      <c r="B2757" s="2" t="s">
        <v>176</v>
      </c>
      <c r="C2757" s="2" t="s">
        <v>177</v>
      </c>
      <c r="D2757" s="20">
        <v>0</v>
      </c>
      <c r="E2757" s="2" t="s">
        <v>838</v>
      </c>
      <c r="F2757" s="2" t="s">
        <v>817</v>
      </c>
      <c r="G2757" s="2" t="s">
        <v>3201</v>
      </c>
      <c r="H2757" s="2" t="s">
        <v>1506</v>
      </c>
      <c r="J2757" s="26"/>
      <c r="K2757" s="36">
        <v>1.2658999999999999E-4</v>
      </c>
      <c r="L2757" s="23">
        <v>1.2660000000000001E-5</v>
      </c>
    </row>
    <row r="2758" spans="1:12" ht="15.35" hidden="1" x14ac:dyDescent="0.55000000000000004">
      <c r="A2758" s="20">
        <v>16009</v>
      </c>
      <c r="B2758" s="2" t="s">
        <v>176</v>
      </c>
      <c r="C2758" s="2" t="s">
        <v>177</v>
      </c>
      <c r="D2758" s="20">
        <v>0</v>
      </c>
      <c r="E2758" s="2" t="s">
        <v>838</v>
      </c>
      <c r="F2758" s="2" t="s">
        <v>817</v>
      </c>
      <c r="G2758" s="2" t="s">
        <v>3202</v>
      </c>
      <c r="H2758" s="2" t="s">
        <v>1506</v>
      </c>
      <c r="J2758" s="26"/>
      <c r="K2758" s="36">
        <v>1.1472E-4</v>
      </c>
      <c r="L2758" s="23">
        <v>1.147E-5</v>
      </c>
    </row>
    <row r="2759" spans="1:12" ht="15.35" hidden="1" x14ac:dyDescent="0.55000000000000004">
      <c r="A2759" s="20">
        <v>16757</v>
      </c>
      <c r="B2759" s="2" t="s">
        <v>176</v>
      </c>
      <c r="C2759" s="2" t="s">
        <v>177</v>
      </c>
      <c r="D2759" s="20">
        <v>0</v>
      </c>
      <c r="E2759" s="2" t="s">
        <v>838</v>
      </c>
      <c r="F2759" s="2" t="s">
        <v>817</v>
      </c>
      <c r="G2759" s="2" t="s">
        <v>3203</v>
      </c>
      <c r="H2759" s="2" t="s">
        <v>1506</v>
      </c>
      <c r="J2759" s="26"/>
      <c r="K2759" s="36">
        <v>1.2263000000000001E-4</v>
      </c>
      <c r="L2759" s="23">
        <v>1.226E-5</v>
      </c>
    </row>
    <row r="2760" spans="1:12" ht="15.35" hidden="1" x14ac:dyDescent="0.55000000000000004">
      <c r="A2760" s="20">
        <v>16670</v>
      </c>
      <c r="B2760" s="2" t="s">
        <v>176</v>
      </c>
      <c r="C2760" s="2" t="s">
        <v>177</v>
      </c>
      <c r="D2760" s="20">
        <v>0</v>
      </c>
      <c r="E2760" s="2" t="s">
        <v>838</v>
      </c>
      <c r="F2760" s="2" t="s">
        <v>817</v>
      </c>
      <c r="G2760" s="2" t="s">
        <v>3204</v>
      </c>
      <c r="H2760" s="2" t="s">
        <v>1506</v>
      </c>
      <c r="J2760" s="26"/>
      <c r="K2760" s="36">
        <v>1.1076E-4</v>
      </c>
      <c r="L2760" s="23">
        <v>1.1080000000000001E-5</v>
      </c>
    </row>
    <row r="2761" spans="1:12" ht="15.35" hidden="1" x14ac:dyDescent="0.55000000000000004">
      <c r="A2761" s="20">
        <v>15930</v>
      </c>
      <c r="B2761" s="2" t="s">
        <v>176</v>
      </c>
      <c r="C2761" s="2" t="s">
        <v>177</v>
      </c>
      <c r="D2761" s="20">
        <v>0</v>
      </c>
      <c r="E2761" s="2" t="s">
        <v>838</v>
      </c>
      <c r="F2761" s="2" t="s">
        <v>817</v>
      </c>
      <c r="G2761" s="2" t="s">
        <v>3205</v>
      </c>
      <c r="H2761" s="2" t="s">
        <v>1506</v>
      </c>
      <c r="J2761" s="26"/>
      <c r="K2761" s="36">
        <v>1.1867E-4</v>
      </c>
      <c r="L2761" s="23">
        <v>1.187E-5</v>
      </c>
    </row>
    <row r="2762" spans="1:12" ht="15.35" hidden="1" x14ac:dyDescent="0.55000000000000004">
      <c r="A2762" s="20">
        <v>16744</v>
      </c>
      <c r="B2762" s="2" t="s">
        <v>176</v>
      </c>
      <c r="C2762" s="2" t="s">
        <v>177</v>
      </c>
      <c r="D2762" s="20">
        <v>0</v>
      </c>
      <c r="E2762" s="2" t="s">
        <v>838</v>
      </c>
      <c r="F2762" s="2" t="s">
        <v>817</v>
      </c>
      <c r="G2762" s="2" t="s">
        <v>3206</v>
      </c>
      <c r="H2762" s="2" t="s">
        <v>1506</v>
      </c>
      <c r="J2762" s="26"/>
      <c r="K2762" s="36">
        <v>1.2263000000000001E-4</v>
      </c>
      <c r="L2762" s="23">
        <v>1.226E-5</v>
      </c>
    </row>
    <row r="2763" spans="1:12" ht="15.35" hidden="1" x14ac:dyDescent="0.55000000000000004">
      <c r="A2763" s="20">
        <v>16634</v>
      </c>
      <c r="B2763" s="2" t="s">
        <v>176</v>
      </c>
      <c r="C2763" s="2" t="s">
        <v>177</v>
      </c>
      <c r="D2763" s="20">
        <v>0</v>
      </c>
      <c r="E2763" s="2" t="s">
        <v>838</v>
      </c>
      <c r="F2763" s="2" t="s">
        <v>817</v>
      </c>
      <c r="G2763" s="2" t="s">
        <v>3207</v>
      </c>
      <c r="H2763" s="2" t="s">
        <v>1506</v>
      </c>
      <c r="J2763" s="26"/>
      <c r="K2763" s="36">
        <v>1.1867E-4</v>
      </c>
      <c r="L2763" s="23">
        <v>1.187E-5</v>
      </c>
    </row>
    <row r="2764" spans="1:12" ht="15.35" hidden="1" x14ac:dyDescent="0.55000000000000004">
      <c r="A2764" s="20">
        <v>16380</v>
      </c>
      <c r="B2764" s="2" t="s">
        <v>176</v>
      </c>
      <c r="C2764" s="2" t="s">
        <v>177</v>
      </c>
      <c r="D2764" s="20">
        <v>0</v>
      </c>
      <c r="E2764" s="2" t="s">
        <v>838</v>
      </c>
      <c r="F2764" s="2" t="s">
        <v>817</v>
      </c>
      <c r="G2764" s="2" t="s">
        <v>3208</v>
      </c>
      <c r="H2764" s="2" t="s">
        <v>1506</v>
      </c>
      <c r="J2764" s="26"/>
      <c r="K2764" s="36">
        <v>1.1472E-4</v>
      </c>
      <c r="L2764" s="23">
        <v>1.147E-5</v>
      </c>
    </row>
    <row r="2765" spans="1:12" ht="15.35" hidden="1" x14ac:dyDescent="0.55000000000000004">
      <c r="A2765" s="20">
        <v>16704</v>
      </c>
      <c r="B2765" s="2" t="s">
        <v>176</v>
      </c>
      <c r="C2765" s="2" t="s">
        <v>177</v>
      </c>
      <c r="D2765" s="20">
        <v>0</v>
      </c>
      <c r="E2765" s="2" t="s">
        <v>838</v>
      </c>
      <c r="F2765" s="2" t="s">
        <v>817</v>
      </c>
      <c r="G2765" s="2" t="s">
        <v>3209</v>
      </c>
      <c r="H2765" s="2" t="s">
        <v>1506</v>
      </c>
      <c r="J2765" s="26"/>
      <c r="K2765" s="36">
        <v>1.1472E-4</v>
      </c>
      <c r="L2765" s="23">
        <v>1.147E-5</v>
      </c>
    </row>
    <row r="2766" spans="1:12" ht="15.35" hidden="1" x14ac:dyDescent="0.55000000000000004">
      <c r="A2766" s="20">
        <v>16207</v>
      </c>
      <c r="B2766" s="2" t="s">
        <v>176</v>
      </c>
      <c r="C2766" s="2" t="s">
        <v>177</v>
      </c>
      <c r="D2766" s="20">
        <v>0</v>
      </c>
      <c r="E2766" s="2" t="s">
        <v>838</v>
      </c>
      <c r="F2766" s="2" t="s">
        <v>817</v>
      </c>
      <c r="G2766" s="2" t="s">
        <v>3210</v>
      </c>
      <c r="H2766" s="2" t="s">
        <v>1506</v>
      </c>
      <c r="J2766" s="26"/>
      <c r="K2766" s="36">
        <v>1.1867E-4</v>
      </c>
      <c r="L2766" s="23">
        <v>1.187E-5</v>
      </c>
    </row>
    <row r="2767" spans="1:12" ht="15.35" hidden="1" x14ac:dyDescent="0.55000000000000004">
      <c r="A2767" s="20">
        <v>16135</v>
      </c>
      <c r="B2767" s="2" t="s">
        <v>176</v>
      </c>
      <c r="C2767" s="2" t="s">
        <v>177</v>
      </c>
      <c r="D2767" s="20">
        <v>0</v>
      </c>
      <c r="E2767" s="2" t="s">
        <v>838</v>
      </c>
      <c r="F2767" s="2" t="s">
        <v>817</v>
      </c>
      <c r="G2767" s="2" t="s">
        <v>3211</v>
      </c>
      <c r="H2767" s="2" t="s">
        <v>1506</v>
      </c>
      <c r="J2767" s="26"/>
      <c r="K2767" s="36">
        <v>1.2263000000000001E-4</v>
      </c>
      <c r="L2767" s="23">
        <v>1.226E-5</v>
      </c>
    </row>
    <row r="2768" spans="1:12" ht="15.35" hidden="1" x14ac:dyDescent="0.55000000000000004">
      <c r="A2768" s="20">
        <v>16024</v>
      </c>
      <c r="B2768" s="2" t="s">
        <v>176</v>
      </c>
      <c r="C2768" s="2" t="s">
        <v>177</v>
      </c>
      <c r="D2768" s="20">
        <v>0</v>
      </c>
      <c r="E2768" s="2" t="s">
        <v>838</v>
      </c>
      <c r="F2768" s="2" t="s">
        <v>817</v>
      </c>
      <c r="G2768" s="2" t="s">
        <v>3212</v>
      </c>
      <c r="H2768" s="2" t="s">
        <v>1506</v>
      </c>
      <c r="J2768" s="26"/>
      <c r="K2768" s="36">
        <v>1.2263000000000001E-4</v>
      </c>
      <c r="L2768" s="23">
        <v>1.226E-5</v>
      </c>
    </row>
    <row r="2769" spans="1:12" ht="15.35" hidden="1" x14ac:dyDescent="0.55000000000000004">
      <c r="A2769" s="20">
        <v>16684</v>
      </c>
      <c r="B2769" s="2" t="s">
        <v>176</v>
      </c>
      <c r="C2769" s="2" t="s">
        <v>177</v>
      </c>
      <c r="D2769" s="20">
        <v>0</v>
      </c>
      <c r="E2769" s="2" t="s">
        <v>838</v>
      </c>
      <c r="F2769" s="2" t="s">
        <v>817</v>
      </c>
      <c r="G2769" s="2" t="s">
        <v>3213</v>
      </c>
      <c r="H2769" s="2" t="s">
        <v>1506</v>
      </c>
      <c r="J2769" s="26"/>
      <c r="K2769" s="36">
        <v>1.2263000000000001E-4</v>
      </c>
      <c r="L2769" s="23">
        <v>1.226E-5</v>
      </c>
    </row>
    <row r="2770" spans="1:12" ht="15.35" hidden="1" x14ac:dyDescent="0.55000000000000004">
      <c r="A2770" s="20">
        <v>16527</v>
      </c>
      <c r="B2770" s="2" t="s">
        <v>176</v>
      </c>
      <c r="C2770" s="2" t="s">
        <v>177</v>
      </c>
      <c r="D2770" s="20">
        <v>0</v>
      </c>
      <c r="E2770" s="2" t="s">
        <v>838</v>
      </c>
      <c r="F2770" s="2" t="s">
        <v>817</v>
      </c>
      <c r="G2770" s="2" t="s">
        <v>3214</v>
      </c>
      <c r="H2770" s="2" t="s">
        <v>1506</v>
      </c>
      <c r="J2770" s="26"/>
      <c r="K2770" s="36">
        <v>1.2263000000000001E-4</v>
      </c>
      <c r="L2770" s="23">
        <v>1.226E-5</v>
      </c>
    </row>
    <row r="2771" spans="1:12" ht="15.35" hidden="1" x14ac:dyDescent="0.55000000000000004">
      <c r="A2771" s="20">
        <v>16537</v>
      </c>
      <c r="B2771" s="2" t="s">
        <v>176</v>
      </c>
      <c r="C2771" s="2" t="s">
        <v>177</v>
      </c>
      <c r="D2771" s="20">
        <v>0</v>
      </c>
      <c r="E2771" s="2" t="s">
        <v>838</v>
      </c>
      <c r="F2771" s="2" t="s">
        <v>817</v>
      </c>
      <c r="G2771" s="2" t="s">
        <v>3215</v>
      </c>
      <c r="H2771" s="2" t="s">
        <v>1506</v>
      </c>
      <c r="J2771" s="26"/>
      <c r="K2771" s="36">
        <v>1.2263000000000001E-4</v>
      </c>
      <c r="L2771" s="23">
        <v>1.226E-5</v>
      </c>
    </row>
    <row r="2772" spans="1:12" ht="15.35" hidden="1" x14ac:dyDescent="0.55000000000000004">
      <c r="A2772" s="20">
        <v>16238</v>
      </c>
      <c r="B2772" s="2" t="s">
        <v>176</v>
      </c>
      <c r="C2772" s="2" t="s">
        <v>177</v>
      </c>
      <c r="D2772" s="20">
        <v>0</v>
      </c>
      <c r="E2772" s="2" t="s">
        <v>838</v>
      </c>
      <c r="F2772" s="2" t="s">
        <v>817</v>
      </c>
      <c r="G2772" s="2" t="s">
        <v>3216</v>
      </c>
      <c r="H2772" s="2" t="s">
        <v>1506</v>
      </c>
      <c r="J2772" s="26"/>
      <c r="K2772" s="36">
        <v>1.1867E-4</v>
      </c>
      <c r="L2772" s="23">
        <v>1.187E-5</v>
      </c>
    </row>
    <row r="2773" spans="1:12" ht="15.35" hidden="1" x14ac:dyDescent="0.55000000000000004">
      <c r="A2773" s="20">
        <v>16064</v>
      </c>
      <c r="B2773" s="2" t="s">
        <v>176</v>
      </c>
      <c r="C2773" s="2" t="s">
        <v>177</v>
      </c>
      <c r="D2773" s="20">
        <v>0</v>
      </c>
      <c r="E2773" s="2" t="s">
        <v>838</v>
      </c>
      <c r="F2773" s="2" t="s">
        <v>817</v>
      </c>
      <c r="G2773" s="2" t="s">
        <v>3217</v>
      </c>
      <c r="H2773" s="2" t="s">
        <v>1506</v>
      </c>
      <c r="J2773" s="26"/>
      <c r="K2773" s="36">
        <v>1.1867E-4</v>
      </c>
      <c r="L2773" s="23">
        <v>1.187E-5</v>
      </c>
    </row>
    <row r="2774" spans="1:12" ht="15.35" hidden="1" x14ac:dyDescent="0.55000000000000004">
      <c r="A2774" s="20">
        <v>16440</v>
      </c>
      <c r="B2774" s="2" t="s">
        <v>176</v>
      </c>
      <c r="C2774" s="2" t="s">
        <v>177</v>
      </c>
      <c r="D2774" s="20">
        <v>0</v>
      </c>
      <c r="E2774" s="2" t="s">
        <v>838</v>
      </c>
      <c r="F2774" s="2" t="s">
        <v>817</v>
      </c>
      <c r="G2774" s="2" t="s">
        <v>3218</v>
      </c>
      <c r="H2774" s="2" t="s">
        <v>1506</v>
      </c>
      <c r="J2774" s="26"/>
      <c r="K2774" s="36">
        <v>1.1867E-4</v>
      </c>
      <c r="L2774" s="23">
        <v>1.187E-5</v>
      </c>
    </row>
    <row r="2775" spans="1:12" ht="15.35" hidden="1" x14ac:dyDescent="0.55000000000000004">
      <c r="A2775" s="20">
        <v>16206</v>
      </c>
      <c r="B2775" s="2" t="s">
        <v>176</v>
      </c>
      <c r="C2775" s="2" t="s">
        <v>177</v>
      </c>
      <c r="D2775" s="20">
        <v>0</v>
      </c>
      <c r="E2775" s="2" t="s">
        <v>838</v>
      </c>
      <c r="F2775" s="2" t="s">
        <v>817</v>
      </c>
      <c r="G2775" s="2" t="s">
        <v>3219</v>
      </c>
      <c r="H2775" s="2" t="s">
        <v>1506</v>
      </c>
      <c r="J2775" s="26"/>
      <c r="K2775" s="36">
        <v>1.1867E-4</v>
      </c>
      <c r="L2775" s="23">
        <v>1.187E-5</v>
      </c>
    </row>
    <row r="2776" spans="1:12" ht="15.35" hidden="1" x14ac:dyDescent="0.55000000000000004">
      <c r="A2776" s="20">
        <v>16425</v>
      </c>
      <c r="B2776" s="2" t="s">
        <v>176</v>
      </c>
      <c r="C2776" s="2" t="s">
        <v>177</v>
      </c>
      <c r="D2776" s="20">
        <v>0</v>
      </c>
      <c r="E2776" s="2" t="s">
        <v>838</v>
      </c>
      <c r="F2776" s="2" t="s">
        <v>817</v>
      </c>
      <c r="G2776" s="2" t="s">
        <v>3220</v>
      </c>
      <c r="H2776" s="2" t="s">
        <v>1506</v>
      </c>
      <c r="J2776" s="26"/>
      <c r="K2776" s="36">
        <v>1.1076E-4</v>
      </c>
      <c r="L2776" s="23">
        <v>1.1080000000000001E-5</v>
      </c>
    </row>
    <row r="2777" spans="1:12" ht="15.35" hidden="1" x14ac:dyDescent="0.55000000000000004">
      <c r="A2777" s="20">
        <v>16192</v>
      </c>
      <c r="B2777" s="2" t="s">
        <v>176</v>
      </c>
      <c r="C2777" s="2" t="s">
        <v>177</v>
      </c>
      <c r="D2777" s="20">
        <v>0</v>
      </c>
      <c r="E2777" s="2" t="s">
        <v>838</v>
      </c>
      <c r="F2777" s="2" t="s">
        <v>848</v>
      </c>
      <c r="G2777" s="2" t="s">
        <v>1116</v>
      </c>
      <c r="H2777" s="2" t="s">
        <v>1116</v>
      </c>
      <c r="J2777" s="26"/>
      <c r="K2777" s="36">
        <v>8.3075200000000005E-3</v>
      </c>
      <c r="L2777" s="23">
        <v>8.3075E-4</v>
      </c>
    </row>
    <row r="2778" spans="1:12" ht="15.35" hidden="1" x14ac:dyDescent="0.55000000000000004">
      <c r="A2778" s="20">
        <v>16348</v>
      </c>
      <c r="B2778" s="2" t="s">
        <v>176</v>
      </c>
      <c r="C2778" s="2" t="s">
        <v>177</v>
      </c>
      <c r="D2778" s="20">
        <v>0</v>
      </c>
      <c r="E2778" s="2" t="s">
        <v>838</v>
      </c>
      <c r="F2778" s="2" t="s">
        <v>817</v>
      </c>
      <c r="G2778" s="2" t="s">
        <v>3221</v>
      </c>
      <c r="H2778" s="2" t="s">
        <v>862</v>
      </c>
      <c r="J2778" s="26"/>
      <c r="K2778" s="36">
        <v>8.3075200000000005E-3</v>
      </c>
      <c r="L2778" s="23">
        <v>8.3075E-4</v>
      </c>
    </row>
    <row r="2779" spans="1:12" ht="15.35" hidden="1" x14ac:dyDescent="0.55000000000000004">
      <c r="A2779" s="20">
        <v>16114</v>
      </c>
      <c r="B2779" s="2" t="s">
        <v>176</v>
      </c>
      <c r="C2779" s="2" t="s">
        <v>177</v>
      </c>
      <c r="D2779" s="20">
        <v>0</v>
      </c>
      <c r="E2779" s="2" t="s">
        <v>838</v>
      </c>
      <c r="F2779" s="2" t="s">
        <v>817</v>
      </c>
      <c r="G2779" s="2" t="s">
        <v>2421</v>
      </c>
      <c r="H2779" s="2" t="s">
        <v>862</v>
      </c>
      <c r="J2779" s="26"/>
      <c r="K2779" s="36">
        <v>9.8898999999999992E-4</v>
      </c>
      <c r="L2779" s="23">
        <v>9.8900000000000005E-5</v>
      </c>
    </row>
    <row r="2780" spans="1:12" ht="15.35" hidden="1" x14ac:dyDescent="0.55000000000000004">
      <c r="A2780" s="20">
        <v>16585</v>
      </c>
      <c r="B2780" s="2" t="s">
        <v>176</v>
      </c>
      <c r="C2780" s="2" t="s">
        <v>177</v>
      </c>
      <c r="D2780" s="20">
        <v>0</v>
      </c>
      <c r="E2780" s="2" t="s">
        <v>838</v>
      </c>
      <c r="F2780" s="2" t="s">
        <v>817</v>
      </c>
      <c r="G2780" s="2" t="s">
        <v>1600</v>
      </c>
      <c r="H2780" s="2" t="s">
        <v>862</v>
      </c>
      <c r="J2780" s="26"/>
      <c r="K2780" s="36">
        <v>1.4637000000000001E-3</v>
      </c>
      <c r="L2780" s="23">
        <v>1.4637E-4</v>
      </c>
    </row>
    <row r="2781" spans="1:12" ht="15.35" hidden="1" x14ac:dyDescent="0.55000000000000004">
      <c r="A2781" s="20">
        <v>16312</v>
      </c>
      <c r="B2781" s="2" t="s">
        <v>176</v>
      </c>
      <c r="C2781" s="2" t="s">
        <v>177</v>
      </c>
      <c r="D2781" s="20">
        <v>0</v>
      </c>
      <c r="E2781" s="2" t="s">
        <v>838</v>
      </c>
      <c r="F2781" s="2" t="s">
        <v>817</v>
      </c>
      <c r="G2781" s="2" t="s">
        <v>1601</v>
      </c>
      <c r="H2781" s="2" t="s">
        <v>862</v>
      </c>
      <c r="J2781" s="26"/>
      <c r="K2781" s="36">
        <v>1.0681099999999999E-3</v>
      </c>
      <c r="L2781" s="23">
        <v>1.0681E-4</v>
      </c>
    </row>
    <row r="2782" spans="1:12" ht="15.35" hidden="1" x14ac:dyDescent="0.55000000000000004">
      <c r="A2782" s="20">
        <v>16413</v>
      </c>
      <c r="B2782" s="2" t="s">
        <v>176</v>
      </c>
      <c r="C2782" s="2" t="s">
        <v>177</v>
      </c>
      <c r="D2782" s="20">
        <v>0</v>
      </c>
      <c r="E2782" s="2" t="s">
        <v>838</v>
      </c>
      <c r="F2782" s="2" t="s">
        <v>817</v>
      </c>
      <c r="G2782" s="2" t="s">
        <v>1602</v>
      </c>
      <c r="H2782" s="2" t="s">
        <v>862</v>
      </c>
      <c r="J2782" s="26"/>
      <c r="K2782" s="36">
        <v>2.61093E-3</v>
      </c>
      <c r="L2782" s="23">
        <v>2.6109000000000001E-4</v>
      </c>
    </row>
    <row r="2783" spans="1:12" ht="15.35" hidden="1" x14ac:dyDescent="0.55000000000000004">
      <c r="A2783" s="20">
        <v>16226</v>
      </c>
      <c r="B2783" s="2" t="s">
        <v>176</v>
      </c>
      <c r="C2783" s="2" t="s">
        <v>177</v>
      </c>
      <c r="D2783" s="20">
        <v>0</v>
      </c>
      <c r="E2783" s="2" t="s">
        <v>838</v>
      </c>
      <c r="F2783" s="2" t="s">
        <v>817</v>
      </c>
      <c r="G2783" s="2" t="s">
        <v>1603</v>
      </c>
      <c r="H2783" s="2" t="s">
        <v>862</v>
      </c>
      <c r="J2783" s="26"/>
      <c r="K2783" s="36">
        <v>5.68076E-3</v>
      </c>
      <c r="L2783" s="23">
        <v>5.6808E-4</v>
      </c>
    </row>
    <row r="2784" spans="1:12" ht="15.35" hidden="1" x14ac:dyDescent="0.55000000000000004">
      <c r="A2784" s="20">
        <v>16458</v>
      </c>
      <c r="B2784" s="2" t="s">
        <v>176</v>
      </c>
      <c r="C2784" s="2" t="s">
        <v>177</v>
      </c>
      <c r="D2784" s="20">
        <v>0</v>
      </c>
      <c r="E2784" s="2" t="s">
        <v>838</v>
      </c>
      <c r="F2784" s="2" t="s">
        <v>817</v>
      </c>
      <c r="G2784" s="2" t="s">
        <v>1117</v>
      </c>
      <c r="H2784" s="2" t="s">
        <v>942</v>
      </c>
      <c r="J2784" s="26"/>
      <c r="K2784" s="36">
        <v>6.8161200000000002E-3</v>
      </c>
      <c r="L2784" s="23">
        <v>6.8161000000000003E-4</v>
      </c>
    </row>
    <row r="2785" spans="1:12" ht="15.35" hidden="1" x14ac:dyDescent="0.55000000000000004">
      <c r="A2785" s="20">
        <v>16111</v>
      </c>
      <c r="B2785" s="2" t="s">
        <v>176</v>
      </c>
      <c r="C2785" s="2" t="s">
        <v>177</v>
      </c>
      <c r="D2785" s="20">
        <v>0</v>
      </c>
      <c r="E2785" s="2" t="s">
        <v>838</v>
      </c>
      <c r="F2785" s="2" t="s">
        <v>789</v>
      </c>
      <c r="G2785" s="2" t="s">
        <v>1604</v>
      </c>
      <c r="H2785" s="2" t="s">
        <v>944</v>
      </c>
      <c r="J2785" s="26"/>
      <c r="K2785" s="36">
        <v>8.3075200000000005E-3</v>
      </c>
      <c r="L2785" s="23">
        <v>8.3075E-4</v>
      </c>
    </row>
    <row r="2786" spans="1:12" ht="15.35" hidden="1" x14ac:dyDescent="0.55000000000000004">
      <c r="A2786" s="20">
        <v>16364</v>
      </c>
      <c r="B2786" s="2" t="s">
        <v>176</v>
      </c>
      <c r="C2786" s="2" t="s">
        <v>177</v>
      </c>
      <c r="D2786" s="20">
        <v>0</v>
      </c>
      <c r="E2786" s="2" t="s">
        <v>838</v>
      </c>
      <c r="F2786" s="2" t="s">
        <v>789</v>
      </c>
      <c r="G2786" s="2" t="s">
        <v>1605</v>
      </c>
      <c r="H2786" s="2" t="s">
        <v>944</v>
      </c>
      <c r="J2786" s="26"/>
      <c r="K2786" s="36">
        <v>8.3075200000000005E-3</v>
      </c>
      <c r="L2786" s="23">
        <v>8.3075E-4</v>
      </c>
    </row>
    <row r="2787" spans="1:12" ht="15.35" hidden="1" x14ac:dyDescent="0.55000000000000004">
      <c r="A2787" s="20">
        <v>16304</v>
      </c>
      <c r="B2787" s="2" t="s">
        <v>176</v>
      </c>
      <c r="C2787" s="2" t="s">
        <v>177</v>
      </c>
      <c r="D2787" s="20">
        <v>0</v>
      </c>
      <c r="E2787" s="2" t="s">
        <v>838</v>
      </c>
      <c r="F2787" s="2" t="s">
        <v>789</v>
      </c>
      <c r="G2787" s="2" t="s">
        <v>1606</v>
      </c>
      <c r="H2787" s="2" t="s">
        <v>944</v>
      </c>
      <c r="J2787" s="26"/>
      <c r="K2787" s="36">
        <v>8.3075200000000005E-3</v>
      </c>
      <c r="L2787" s="23">
        <v>8.3075E-4</v>
      </c>
    </row>
    <row r="2788" spans="1:12" ht="15.35" hidden="1" x14ac:dyDescent="0.55000000000000004">
      <c r="A2788" s="20">
        <v>16777</v>
      </c>
      <c r="B2788" s="2" t="s">
        <v>176</v>
      </c>
      <c r="C2788" s="2" t="s">
        <v>177</v>
      </c>
      <c r="D2788" s="20">
        <v>0</v>
      </c>
      <c r="E2788" s="2" t="s">
        <v>838</v>
      </c>
      <c r="F2788" s="2" t="s">
        <v>789</v>
      </c>
      <c r="G2788" s="2" t="s">
        <v>1118</v>
      </c>
      <c r="H2788" s="2" t="s">
        <v>944</v>
      </c>
      <c r="J2788" s="26"/>
      <c r="K2788" s="36">
        <v>8.3075200000000005E-3</v>
      </c>
      <c r="L2788" s="23">
        <v>8.3075E-4</v>
      </c>
    </row>
    <row r="2789" spans="1:12" ht="15.35" hidden="1" x14ac:dyDescent="0.55000000000000004">
      <c r="A2789" s="20">
        <v>16019</v>
      </c>
      <c r="B2789" s="2" t="s">
        <v>176</v>
      </c>
      <c r="C2789" s="2" t="s">
        <v>177</v>
      </c>
      <c r="D2789" s="20">
        <v>0</v>
      </c>
      <c r="E2789" s="2" t="s">
        <v>838</v>
      </c>
      <c r="F2789" s="2" t="s">
        <v>789</v>
      </c>
      <c r="G2789" s="2" t="s">
        <v>3222</v>
      </c>
      <c r="H2789" s="2" t="s">
        <v>944</v>
      </c>
      <c r="J2789" s="26"/>
      <c r="K2789" s="36">
        <v>8.3075200000000005E-3</v>
      </c>
      <c r="L2789" s="23">
        <v>8.3075E-4</v>
      </c>
    </row>
    <row r="2790" spans="1:12" ht="15.35" hidden="1" x14ac:dyDescent="0.55000000000000004">
      <c r="A2790" s="20">
        <v>16091</v>
      </c>
      <c r="B2790" s="2" t="s">
        <v>176</v>
      </c>
      <c r="C2790" s="2" t="s">
        <v>177</v>
      </c>
      <c r="D2790" s="20">
        <v>0</v>
      </c>
      <c r="E2790" s="2" t="s">
        <v>838</v>
      </c>
      <c r="F2790" s="2" t="s">
        <v>789</v>
      </c>
      <c r="G2790" s="2" t="s">
        <v>2622</v>
      </c>
      <c r="H2790" s="2" t="s">
        <v>944</v>
      </c>
      <c r="J2790" s="26"/>
      <c r="K2790" s="36">
        <v>8.3075200000000005E-3</v>
      </c>
      <c r="L2790" s="23">
        <v>8.3075E-4</v>
      </c>
    </row>
    <row r="2791" spans="1:12" ht="15.35" hidden="1" x14ac:dyDescent="0.55000000000000004">
      <c r="A2791" s="20">
        <v>16641</v>
      </c>
      <c r="B2791" s="2" t="s">
        <v>176</v>
      </c>
      <c r="C2791" s="2" t="s">
        <v>177</v>
      </c>
      <c r="D2791" s="20">
        <v>0</v>
      </c>
      <c r="E2791" s="2" t="s">
        <v>838</v>
      </c>
      <c r="F2791" s="2" t="s">
        <v>789</v>
      </c>
      <c r="G2791" s="2" t="s">
        <v>3223</v>
      </c>
      <c r="H2791" s="2" t="s">
        <v>944</v>
      </c>
      <c r="J2791" s="26"/>
      <c r="K2791" s="36">
        <v>8.3075200000000005E-3</v>
      </c>
      <c r="L2791" s="23">
        <v>8.3075E-4</v>
      </c>
    </row>
    <row r="2792" spans="1:12" ht="15.35" hidden="1" x14ac:dyDescent="0.55000000000000004">
      <c r="A2792" s="20">
        <v>16631</v>
      </c>
      <c r="B2792" s="2" t="s">
        <v>176</v>
      </c>
      <c r="C2792" s="2" t="s">
        <v>177</v>
      </c>
      <c r="D2792" s="20">
        <v>0</v>
      </c>
      <c r="E2792" s="2" t="s">
        <v>838</v>
      </c>
      <c r="F2792" s="2" t="s">
        <v>789</v>
      </c>
      <c r="G2792" s="2" t="s">
        <v>3224</v>
      </c>
      <c r="H2792" s="2" t="s">
        <v>944</v>
      </c>
      <c r="J2792" s="26"/>
      <c r="K2792" s="36">
        <v>1.3450199999999999E-3</v>
      </c>
      <c r="L2792" s="23">
        <v>1.3449999999999999E-4</v>
      </c>
    </row>
    <row r="2793" spans="1:12" ht="15.35" hidden="1" x14ac:dyDescent="0.55000000000000004">
      <c r="A2793" s="20">
        <v>16038</v>
      </c>
      <c r="B2793" s="2" t="s">
        <v>176</v>
      </c>
      <c r="C2793" s="2" t="s">
        <v>177</v>
      </c>
      <c r="D2793" s="20">
        <v>0</v>
      </c>
      <c r="E2793" s="2" t="s">
        <v>838</v>
      </c>
      <c r="F2793" s="2" t="s">
        <v>789</v>
      </c>
      <c r="G2793" s="2" t="s">
        <v>3225</v>
      </c>
      <c r="H2793" s="2" t="s">
        <v>944</v>
      </c>
      <c r="J2793" s="26"/>
      <c r="K2793" s="36">
        <v>4.3514999999999998E-4</v>
      </c>
      <c r="L2793" s="23">
        <v>4.3519999999999997E-5</v>
      </c>
    </row>
    <row r="2794" spans="1:12" ht="15.35" hidden="1" x14ac:dyDescent="0.55000000000000004">
      <c r="A2794" s="20">
        <v>16127</v>
      </c>
      <c r="B2794" s="2" t="s">
        <v>176</v>
      </c>
      <c r="C2794" s="2" t="s">
        <v>177</v>
      </c>
      <c r="D2794" s="20">
        <v>0</v>
      </c>
      <c r="E2794" s="2" t="s">
        <v>838</v>
      </c>
      <c r="F2794" s="2" t="s">
        <v>789</v>
      </c>
      <c r="G2794" s="2" t="s">
        <v>3226</v>
      </c>
      <c r="H2794" s="2" t="s">
        <v>944</v>
      </c>
      <c r="J2794" s="26"/>
      <c r="K2794" s="36">
        <v>5.53835E-3</v>
      </c>
      <c r="L2794" s="23">
        <v>5.5384E-4</v>
      </c>
    </row>
    <row r="2795" spans="1:12" ht="15.35" hidden="1" x14ac:dyDescent="0.55000000000000004">
      <c r="A2795" s="20">
        <v>16509</v>
      </c>
      <c r="B2795" s="2" t="s">
        <v>176</v>
      </c>
      <c r="C2795" s="2" t="s">
        <v>177</v>
      </c>
      <c r="D2795" s="20">
        <v>0</v>
      </c>
      <c r="E2795" s="2" t="s">
        <v>838</v>
      </c>
      <c r="F2795" s="2" t="s">
        <v>789</v>
      </c>
      <c r="G2795" s="2" t="s">
        <v>1609</v>
      </c>
      <c r="H2795" s="2" t="s">
        <v>944</v>
      </c>
      <c r="J2795" s="26"/>
      <c r="K2795" s="36">
        <v>1.2461200000000001E-3</v>
      </c>
      <c r="L2795" s="23">
        <v>1.2460999999999999E-4</v>
      </c>
    </row>
    <row r="2796" spans="1:12" ht="15.35" hidden="1" x14ac:dyDescent="0.55000000000000004">
      <c r="A2796" s="20">
        <v>16437</v>
      </c>
      <c r="B2796" s="2" t="s">
        <v>176</v>
      </c>
      <c r="C2796" s="2" t="s">
        <v>177</v>
      </c>
      <c r="D2796" s="20">
        <v>0</v>
      </c>
      <c r="E2796" s="2" t="s">
        <v>838</v>
      </c>
      <c r="F2796" s="2" t="s">
        <v>789</v>
      </c>
      <c r="G2796" s="2" t="s">
        <v>1123</v>
      </c>
      <c r="H2796" s="2" t="s">
        <v>944</v>
      </c>
      <c r="J2796" s="26"/>
      <c r="K2796" s="36">
        <v>8.3075200000000005E-3</v>
      </c>
      <c r="L2796" s="23">
        <v>8.3075E-4</v>
      </c>
    </row>
    <row r="2797" spans="1:12" ht="15.35" hidden="1" x14ac:dyDescent="0.55000000000000004">
      <c r="A2797" s="20">
        <v>16006</v>
      </c>
      <c r="B2797" s="2" t="s">
        <v>176</v>
      </c>
      <c r="C2797" s="2" t="s">
        <v>177</v>
      </c>
      <c r="D2797" s="20">
        <v>0</v>
      </c>
      <c r="E2797" s="2" t="s">
        <v>838</v>
      </c>
      <c r="F2797" s="2" t="s">
        <v>789</v>
      </c>
      <c r="G2797" s="2" t="s">
        <v>1610</v>
      </c>
      <c r="H2797" s="2" t="s">
        <v>944</v>
      </c>
      <c r="J2797" s="26"/>
      <c r="K2797" s="36">
        <v>8.3075200000000005E-3</v>
      </c>
      <c r="L2797" s="23">
        <v>8.3075E-4</v>
      </c>
    </row>
    <row r="2798" spans="1:12" ht="15.35" hidden="1" x14ac:dyDescent="0.55000000000000004">
      <c r="A2798" s="20">
        <v>16008</v>
      </c>
      <c r="B2798" s="2" t="s">
        <v>176</v>
      </c>
      <c r="C2798" s="2" t="s">
        <v>177</v>
      </c>
      <c r="D2798" s="20">
        <v>0</v>
      </c>
      <c r="E2798" s="2" t="s">
        <v>838</v>
      </c>
      <c r="F2798" s="2" t="s">
        <v>789</v>
      </c>
      <c r="G2798" s="2" t="s">
        <v>3227</v>
      </c>
      <c r="H2798" s="2" t="s">
        <v>944</v>
      </c>
      <c r="J2798" s="26"/>
      <c r="K2798" s="36">
        <v>1.7009999999999999E-4</v>
      </c>
      <c r="L2798" s="23">
        <v>1.7010000000000001E-5</v>
      </c>
    </row>
    <row r="2799" spans="1:12" ht="15.35" hidden="1" x14ac:dyDescent="0.55000000000000004">
      <c r="A2799" s="20">
        <v>16251</v>
      </c>
      <c r="B2799" s="2" t="s">
        <v>176</v>
      </c>
      <c r="C2799" s="2" t="s">
        <v>177</v>
      </c>
      <c r="D2799" s="20">
        <v>0</v>
      </c>
      <c r="E2799" s="2" t="s">
        <v>838</v>
      </c>
      <c r="F2799" s="2" t="s">
        <v>789</v>
      </c>
      <c r="G2799" s="2" t="s">
        <v>3228</v>
      </c>
      <c r="H2799" s="2" t="s">
        <v>944</v>
      </c>
      <c r="J2799" s="26"/>
      <c r="K2799" s="36">
        <v>2.2547999999999999E-4</v>
      </c>
      <c r="L2799" s="23">
        <v>2.2549999999999999E-5</v>
      </c>
    </row>
    <row r="2800" spans="1:12" ht="15.35" hidden="1" x14ac:dyDescent="0.55000000000000004">
      <c r="A2800" s="20">
        <v>16011</v>
      </c>
      <c r="B2800" s="2" t="s">
        <v>176</v>
      </c>
      <c r="C2800" s="2" t="s">
        <v>177</v>
      </c>
      <c r="D2800" s="20">
        <v>0</v>
      </c>
      <c r="E2800" s="2" t="s">
        <v>838</v>
      </c>
      <c r="F2800" s="2" t="s">
        <v>789</v>
      </c>
      <c r="G2800" s="2" t="s">
        <v>3229</v>
      </c>
      <c r="H2800" s="2" t="s">
        <v>944</v>
      </c>
      <c r="J2800" s="26"/>
      <c r="K2800" s="36">
        <v>1.7009999999999999E-4</v>
      </c>
      <c r="L2800" s="23">
        <v>1.7010000000000001E-5</v>
      </c>
    </row>
    <row r="2801" spans="1:12" ht="15.35" hidden="1" x14ac:dyDescent="0.55000000000000004">
      <c r="A2801" s="20">
        <v>16678</v>
      </c>
      <c r="B2801" s="2" t="s">
        <v>176</v>
      </c>
      <c r="C2801" s="2" t="s">
        <v>177</v>
      </c>
      <c r="D2801" s="20">
        <v>0</v>
      </c>
      <c r="E2801" s="2" t="s">
        <v>838</v>
      </c>
      <c r="F2801" s="2" t="s">
        <v>789</v>
      </c>
      <c r="G2801" s="2" t="s">
        <v>3230</v>
      </c>
      <c r="H2801" s="2" t="s">
        <v>944</v>
      </c>
      <c r="J2801" s="26"/>
      <c r="K2801" s="36">
        <v>4.3510000000000002E-5</v>
      </c>
      <c r="L2801" s="23">
        <v>4.3499999999999999E-6</v>
      </c>
    </row>
    <row r="2802" spans="1:12" ht="15.35" hidden="1" x14ac:dyDescent="0.55000000000000004">
      <c r="A2802" s="20">
        <v>16166</v>
      </c>
      <c r="B2802" s="2" t="s">
        <v>176</v>
      </c>
      <c r="C2802" s="2" t="s">
        <v>177</v>
      </c>
      <c r="D2802" s="20">
        <v>0</v>
      </c>
      <c r="E2802" s="2" t="s">
        <v>838</v>
      </c>
      <c r="F2802" s="2" t="s">
        <v>789</v>
      </c>
      <c r="G2802" s="2" t="s">
        <v>1124</v>
      </c>
      <c r="H2802" s="2" t="s">
        <v>944</v>
      </c>
      <c r="J2802" s="26"/>
      <c r="K2802" s="36">
        <v>8.3075200000000005E-3</v>
      </c>
      <c r="L2802" s="23">
        <v>8.3075E-4</v>
      </c>
    </row>
    <row r="2803" spans="1:12" ht="15.35" hidden="1" x14ac:dyDescent="0.55000000000000004">
      <c r="A2803" s="20">
        <v>16329</v>
      </c>
      <c r="B2803" s="2" t="s">
        <v>176</v>
      </c>
      <c r="C2803" s="2" t="s">
        <v>177</v>
      </c>
      <c r="D2803" s="20">
        <v>0</v>
      </c>
      <c r="E2803" s="2" t="s">
        <v>838</v>
      </c>
      <c r="F2803" s="2" t="s">
        <v>789</v>
      </c>
      <c r="G2803" s="2" t="s">
        <v>1126</v>
      </c>
      <c r="H2803" s="2" t="s">
        <v>944</v>
      </c>
      <c r="J2803" s="26"/>
      <c r="K2803" s="36">
        <v>9.098E-5</v>
      </c>
      <c r="L2803" s="23">
        <v>9.0999999999999993E-6</v>
      </c>
    </row>
    <row r="2804" spans="1:12" ht="15.35" hidden="1" x14ac:dyDescent="0.55000000000000004">
      <c r="A2804" s="20">
        <v>16353</v>
      </c>
      <c r="B2804" s="2" t="s">
        <v>176</v>
      </c>
      <c r="C2804" s="2" t="s">
        <v>177</v>
      </c>
      <c r="D2804" s="20">
        <v>0</v>
      </c>
      <c r="E2804" s="2" t="s">
        <v>838</v>
      </c>
      <c r="F2804" s="2" t="s">
        <v>789</v>
      </c>
      <c r="G2804" s="2" t="s">
        <v>1128</v>
      </c>
      <c r="H2804" s="2" t="s">
        <v>944</v>
      </c>
      <c r="J2804" s="26"/>
      <c r="K2804" s="36">
        <v>5.5382999999999995E-4</v>
      </c>
      <c r="L2804" s="23">
        <v>5.5380000000000002E-5</v>
      </c>
    </row>
    <row r="2805" spans="1:12" ht="15.35" hidden="1" x14ac:dyDescent="0.55000000000000004">
      <c r="A2805" s="20">
        <v>16410</v>
      </c>
      <c r="B2805" s="2" t="s">
        <v>176</v>
      </c>
      <c r="C2805" s="2" t="s">
        <v>177</v>
      </c>
      <c r="D2805" s="20">
        <v>0</v>
      </c>
      <c r="E2805" s="2" t="s">
        <v>838</v>
      </c>
      <c r="F2805" s="2" t="s">
        <v>789</v>
      </c>
      <c r="G2805" s="2" t="s">
        <v>3231</v>
      </c>
      <c r="H2805" s="2" t="s">
        <v>1617</v>
      </c>
      <c r="J2805" s="26"/>
      <c r="K2805" s="36">
        <v>8.3075200000000005E-3</v>
      </c>
      <c r="L2805" s="23">
        <v>8.3075E-4</v>
      </c>
    </row>
    <row r="2806" spans="1:12" ht="15.35" hidden="1" x14ac:dyDescent="0.55000000000000004">
      <c r="A2806" s="20">
        <v>16794</v>
      </c>
      <c r="B2806" s="2" t="s">
        <v>176</v>
      </c>
      <c r="C2806" s="2" t="s">
        <v>177</v>
      </c>
      <c r="D2806" s="20">
        <v>0</v>
      </c>
      <c r="E2806" s="2" t="s">
        <v>838</v>
      </c>
      <c r="F2806" s="2" t="s">
        <v>789</v>
      </c>
      <c r="G2806" s="2" t="s">
        <v>3232</v>
      </c>
      <c r="H2806" s="2" t="s">
        <v>1620</v>
      </c>
      <c r="J2806" s="26"/>
      <c r="K2806" s="36">
        <v>3.9757400000000002E-3</v>
      </c>
      <c r="L2806" s="23">
        <v>3.9756999999999998E-4</v>
      </c>
    </row>
    <row r="2807" spans="1:12" ht="15.35" hidden="1" x14ac:dyDescent="0.55000000000000004">
      <c r="A2807" s="20">
        <v>16612</v>
      </c>
      <c r="B2807" s="2" t="s">
        <v>176</v>
      </c>
      <c r="C2807" s="2" t="s">
        <v>177</v>
      </c>
      <c r="D2807" s="20">
        <v>0</v>
      </c>
      <c r="E2807" s="2" t="s">
        <v>838</v>
      </c>
      <c r="F2807" s="2" t="s">
        <v>793</v>
      </c>
      <c r="G2807" s="2" t="s">
        <v>3233</v>
      </c>
      <c r="H2807" s="2" t="s">
        <v>950</v>
      </c>
      <c r="J2807" s="26"/>
      <c r="K2807" s="36">
        <v>8.3075200000000005E-3</v>
      </c>
      <c r="L2807" s="23">
        <v>8.3075E-4</v>
      </c>
    </row>
    <row r="2808" spans="1:12" ht="15.35" hidden="1" x14ac:dyDescent="0.55000000000000004">
      <c r="A2808" s="20">
        <v>16259</v>
      </c>
      <c r="B2808" s="2" t="s">
        <v>176</v>
      </c>
      <c r="C2808" s="2" t="s">
        <v>177</v>
      </c>
      <c r="D2808" s="20">
        <v>0</v>
      </c>
      <c r="E2808" s="2" t="s">
        <v>838</v>
      </c>
      <c r="F2808" s="2" t="s">
        <v>793</v>
      </c>
      <c r="G2808" s="2" t="s">
        <v>3234</v>
      </c>
      <c r="H2808" s="2" t="s">
        <v>950</v>
      </c>
      <c r="J2808" s="26"/>
      <c r="K2808" s="36">
        <v>1.8157799999999999E-3</v>
      </c>
      <c r="L2808" s="23">
        <v>1.8158000000000001E-4</v>
      </c>
    </row>
    <row r="2809" spans="1:12" ht="15.35" hidden="1" x14ac:dyDescent="0.55000000000000004">
      <c r="A2809" s="20">
        <v>15970</v>
      </c>
      <c r="B2809" s="2" t="s">
        <v>176</v>
      </c>
      <c r="C2809" s="2" t="s">
        <v>177</v>
      </c>
      <c r="D2809" s="20">
        <v>0</v>
      </c>
      <c r="E2809" s="2" t="s">
        <v>838</v>
      </c>
      <c r="F2809" s="2" t="s">
        <v>793</v>
      </c>
      <c r="G2809" s="2" t="s">
        <v>3235</v>
      </c>
      <c r="H2809" s="2" t="s">
        <v>950</v>
      </c>
      <c r="J2809" s="26"/>
      <c r="K2809" s="36">
        <v>1.8157799999999999E-3</v>
      </c>
      <c r="L2809" s="23">
        <v>1.8158000000000001E-4</v>
      </c>
    </row>
    <row r="2810" spans="1:12" ht="15.35" hidden="1" x14ac:dyDescent="0.55000000000000004">
      <c r="A2810" s="20">
        <v>16588</v>
      </c>
      <c r="B2810" s="2" t="s">
        <v>176</v>
      </c>
      <c r="C2810" s="2" t="s">
        <v>177</v>
      </c>
      <c r="D2810" s="20">
        <v>0</v>
      </c>
      <c r="E2810" s="2" t="s">
        <v>838</v>
      </c>
      <c r="F2810" s="2" t="s">
        <v>793</v>
      </c>
      <c r="G2810" s="2" t="s">
        <v>3236</v>
      </c>
      <c r="H2810" s="2" t="s">
        <v>950</v>
      </c>
      <c r="J2810" s="26"/>
      <c r="K2810" s="36">
        <v>8.3075200000000005E-3</v>
      </c>
      <c r="L2810" s="23">
        <v>8.3075E-4</v>
      </c>
    </row>
    <row r="2811" spans="1:12" ht="15.35" hidden="1" x14ac:dyDescent="0.55000000000000004">
      <c r="A2811" s="20">
        <v>15987</v>
      </c>
      <c r="B2811" s="2" t="s">
        <v>176</v>
      </c>
      <c r="C2811" s="2" t="s">
        <v>177</v>
      </c>
      <c r="D2811" s="20">
        <v>0</v>
      </c>
      <c r="E2811" s="2" t="s">
        <v>838</v>
      </c>
      <c r="F2811" s="2" t="s">
        <v>793</v>
      </c>
      <c r="G2811" s="2" t="s">
        <v>3237</v>
      </c>
      <c r="H2811" s="2" t="s">
        <v>950</v>
      </c>
      <c r="J2811" s="26"/>
      <c r="K2811" s="36">
        <v>3.4060800000000001E-3</v>
      </c>
      <c r="L2811" s="23">
        <v>3.4060999999999998E-4</v>
      </c>
    </row>
    <row r="2812" spans="1:12" ht="15.35" hidden="1" x14ac:dyDescent="0.55000000000000004">
      <c r="A2812" s="20">
        <v>16530</v>
      </c>
      <c r="B2812" s="2" t="s">
        <v>176</v>
      </c>
      <c r="C2812" s="2" t="s">
        <v>177</v>
      </c>
      <c r="D2812" s="20">
        <v>0</v>
      </c>
      <c r="E2812" s="2" t="s">
        <v>838</v>
      </c>
      <c r="F2812" s="2" t="s">
        <v>793</v>
      </c>
      <c r="G2812" s="2" t="s">
        <v>3238</v>
      </c>
      <c r="H2812" s="2" t="s">
        <v>950</v>
      </c>
      <c r="J2812" s="26"/>
      <c r="K2812" s="36">
        <v>8.3075200000000005E-3</v>
      </c>
      <c r="L2812" s="23">
        <v>8.3075E-4</v>
      </c>
    </row>
    <row r="2813" spans="1:12" ht="15.35" hidden="1" x14ac:dyDescent="0.55000000000000004">
      <c r="A2813" s="20">
        <v>16762</v>
      </c>
      <c r="B2813" s="2" t="s">
        <v>176</v>
      </c>
      <c r="C2813" s="2" t="s">
        <v>177</v>
      </c>
      <c r="D2813" s="20">
        <v>0</v>
      </c>
      <c r="E2813" s="2" t="s">
        <v>838</v>
      </c>
      <c r="F2813" s="2" t="s">
        <v>793</v>
      </c>
      <c r="G2813" s="2" t="s">
        <v>3239</v>
      </c>
      <c r="H2813" s="2" t="s">
        <v>950</v>
      </c>
      <c r="J2813" s="26"/>
      <c r="K2813" s="36">
        <v>8.3075200000000005E-3</v>
      </c>
      <c r="L2813" s="23">
        <v>8.3075E-4</v>
      </c>
    </row>
    <row r="2814" spans="1:12" ht="15.35" hidden="1" x14ac:dyDescent="0.55000000000000004">
      <c r="A2814" s="20">
        <v>16197</v>
      </c>
      <c r="B2814" s="2" t="s">
        <v>176</v>
      </c>
      <c r="C2814" s="2" t="s">
        <v>177</v>
      </c>
      <c r="D2814" s="20">
        <v>0</v>
      </c>
      <c r="E2814" s="2" t="s">
        <v>838</v>
      </c>
      <c r="F2814" s="2" t="s">
        <v>793</v>
      </c>
      <c r="G2814" s="2" t="s">
        <v>3240</v>
      </c>
      <c r="H2814" s="2" t="s">
        <v>950</v>
      </c>
      <c r="J2814" s="26"/>
      <c r="K2814" s="36">
        <v>8.3075200000000005E-3</v>
      </c>
      <c r="L2814" s="23">
        <v>8.3075E-4</v>
      </c>
    </row>
    <row r="2815" spans="1:12" ht="15.35" hidden="1" x14ac:dyDescent="0.55000000000000004">
      <c r="A2815" s="20">
        <v>15959</v>
      </c>
      <c r="B2815" s="2" t="s">
        <v>176</v>
      </c>
      <c r="C2815" s="2" t="s">
        <v>177</v>
      </c>
      <c r="D2815" s="20">
        <v>0</v>
      </c>
      <c r="E2815" s="2" t="s">
        <v>838</v>
      </c>
      <c r="F2815" s="2" t="s">
        <v>793</v>
      </c>
      <c r="G2815" s="2" t="s">
        <v>3241</v>
      </c>
      <c r="H2815" s="2" t="s">
        <v>950</v>
      </c>
      <c r="J2815" s="26"/>
      <c r="K2815" s="36">
        <v>7.7259900000000003E-3</v>
      </c>
      <c r="L2815" s="23">
        <v>7.7260000000000002E-4</v>
      </c>
    </row>
    <row r="2816" spans="1:12" ht="15.35" hidden="1" x14ac:dyDescent="0.55000000000000004">
      <c r="A2816" s="20">
        <v>16048</v>
      </c>
      <c r="B2816" s="2" t="s">
        <v>176</v>
      </c>
      <c r="C2816" s="2" t="s">
        <v>177</v>
      </c>
      <c r="D2816" s="20">
        <v>0</v>
      </c>
      <c r="E2816" s="2" t="s">
        <v>838</v>
      </c>
      <c r="F2816" s="2" t="s">
        <v>793</v>
      </c>
      <c r="G2816" s="2" t="s">
        <v>3242</v>
      </c>
      <c r="H2816" s="2" t="s">
        <v>950</v>
      </c>
      <c r="J2816" s="26"/>
      <c r="K2816" s="36">
        <v>5.6570000000000004E-4</v>
      </c>
      <c r="L2816" s="23">
        <v>5.6570000000000002E-5</v>
      </c>
    </row>
    <row r="2817" spans="1:12" ht="15.35" hidden="1" x14ac:dyDescent="0.55000000000000004">
      <c r="A2817" s="20">
        <v>16569</v>
      </c>
      <c r="B2817" s="2" t="s">
        <v>176</v>
      </c>
      <c r="C2817" s="2" t="s">
        <v>177</v>
      </c>
      <c r="D2817" s="20">
        <v>0</v>
      </c>
      <c r="E2817" s="2" t="s">
        <v>838</v>
      </c>
      <c r="F2817" s="2" t="s">
        <v>793</v>
      </c>
      <c r="G2817" s="2" t="s">
        <v>3243</v>
      </c>
      <c r="H2817" s="2" t="s">
        <v>950</v>
      </c>
      <c r="J2817" s="26"/>
      <c r="K2817" s="36">
        <v>9.0591000000000001E-4</v>
      </c>
      <c r="L2817" s="23">
        <v>9.0589999999999998E-5</v>
      </c>
    </row>
    <row r="2818" spans="1:12" ht="15.35" hidden="1" x14ac:dyDescent="0.55000000000000004">
      <c r="A2818" s="20">
        <v>16505</v>
      </c>
      <c r="B2818" s="2" t="s">
        <v>176</v>
      </c>
      <c r="C2818" s="2" t="s">
        <v>177</v>
      </c>
      <c r="D2818" s="20">
        <v>0</v>
      </c>
      <c r="E2818" s="2" t="s">
        <v>838</v>
      </c>
      <c r="F2818" s="2" t="s">
        <v>793</v>
      </c>
      <c r="G2818" s="2" t="s">
        <v>3244</v>
      </c>
      <c r="H2818" s="2" t="s">
        <v>950</v>
      </c>
      <c r="J2818" s="26"/>
      <c r="K2818" s="36">
        <v>3.9549999999999999E-5</v>
      </c>
      <c r="L2818" s="23">
        <v>3.9600000000000002E-6</v>
      </c>
    </row>
    <row r="2819" spans="1:12" ht="15.35" hidden="1" x14ac:dyDescent="0.55000000000000004">
      <c r="A2819" s="20">
        <v>16583</v>
      </c>
      <c r="B2819" s="2" t="s">
        <v>176</v>
      </c>
      <c r="C2819" s="2" t="s">
        <v>177</v>
      </c>
      <c r="D2819" s="20">
        <v>0</v>
      </c>
      <c r="E2819" s="2" t="s">
        <v>838</v>
      </c>
      <c r="F2819" s="2" t="s">
        <v>793</v>
      </c>
      <c r="G2819" s="2" t="s">
        <v>3245</v>
      </c>
      <c r="H2819" s="2" t="s">
        <v>950</v>
      </c>
      <c r="J2819" s="26"/>
      <c r="K2819" s="36">
        <v>3.4060800000000001E-3</v>
      </c>
      <c r="L2819" s="23">
        <v>3.4060999999999998E-4</v>
      </c>
    </row>
    <row r="2820" spans="1:12" ht="15.35" hidden="1" x14ac:dyDescent="0.55000000000000004">
      <c r="A2820" s="20">
        <v>16178</v>
      </c>
      <c r="B2820" s="2" t="s">
        <v>176</v>
      </c>
      <c r="C2820" s="2" t="s">
        <v>177</v>
      </c>
      <c r="D2820" s="20">
        <v>0</v>
      </c>
      <c r="E2820" s="2" t="s">
        <v>838</v>
      </c>
      <c r="F2820" s="2" t="s">
        <v>793</v>
      </c>
      <c r="G2820" s="2" t="s">
        <v>1142</v>
      </c>
      <c r="H2820" s="2" t="s">
        <v>950</v>
      </c>
      <c r="J2820" s="26"/>
      <c r="K2820" s="36">
        <v>8.3075200000000005E-3</v>
      </c>
      <c r="L2820" s="23">
        <v>8.3075E-4</v>
      </c>
    </row>
    <row r="2821" spans="1:12" ht="15.35" hidden="1" x14ac:dyDescent="0.55000000000000004">
      <c r="A2821" s="20">
        <v>16108</v>
      </c>
      <c r="B2821" s="2" t="s">
        <v>176</v>
      </c>
      <c r="C2821" s="2" t="s">
        <v>177</v>
      </c>
      <c r="D2821" s="20">
        <v>0</v>
      </c>
      <c r="E2821" s="2" t="s">
        <v>838</v>
      </c>
      <c r="F2821" s="2" t="s">
        <v>793</v>
      </c>
      <c r="G2821" s="2" t="s">
        <v>1143</v>
      </c>
      <c r="H2821" s="2" t="s">
        <v>950</v>
      </c>
      <c r="J2821" s="26"/>
      <c r="K2821" s="36">
        <v>6.8161200000000002E-3</v>
      </c>
      <c r="L2821" s="23">
        <v>6.8161000000000003E-4</v>
      </c>
    </row>
    <row r="2822" spans="1:12" ht="15.35" hidden="1" x14ac:dyDescent="0.55000000000000004">
      <c r="A2822" s="20">
        <v>16510</v>
      </c>
      <c r="B2822" s="2" t="s">
        <v>176</v>
      </c>
      <c r="C2822" s="2" t="s">
        <v>177</v>
      </c>
      <c r="D2822" s="20">
        <v>0</v>
      </c>
      <c r="E2822" s="2" t="s">
        <v>838</v>
      </c>
      <c r="F2822" s="2" t="s">
        <v>793</v>
      </c>
      <c r="G2822" s="2" t="s">
        <v>1144</v>
      </c>
      <c r="H2822" s="2" t="s">
        <v>950</v>
      </c>
      <c r="J2822" s="26"/>
      <c r="K2822" s="36">
        <v>4.7469999999999998E-5</v>
      </c>
      <c r="L2822" s="23">
        <v>4.7500000000000003E-6</v>
      </c>
    </row>
    <row r="2823" spans="1:12" ht="15.35" hidden="1" x14ac:dyDescent="0.55000000000000004">
      <c r="A2823" s="20">
        <v>16488</v>
      </c>
      <c r="B2823" s="2" t="s">
        <v>176</v>
      </c>
      <c r="C2823" s="2" t="s">
        <v>177</v>
      </c>
      <c r="D2823" s="20">
        <v>0</v>
      </c>
      <c r="E2823" s="2" t="s">
        <v>838</v>
      </c>
      <c r="F2823" s="2" t="s">
        <v>793</v>
      </c>
      <c r="G2823" s="2" t="s">
        <v>3246</v>
      </c>
      <c r="H2823" s="2" t="s">
        <v>950</v>
      </c>
      <c r="J2823" s="26"/>
      <c r="K2823" s="36">
        <v>1.13536E-3</v>
      </c>
      <c r="L2823" s="23">
        <v>1.1354E-4</v>
      </c>
    </row>
    <row r="2824" spans="1:12" ht="15.35" hidden="1" x14ac:dyDescent="0.55000000000000004">
      <c r="A2824" s="20">
        <v>16171</v>
      </c>
      <c r="B2824" s="2" t="s">
        <v>176</v>
      </c>
      <c r="C2824" s="2" t="s">
        <v>177</v>
      </c>
      <c r="D2824" s="20">
        <v>0</v>
      </c>
      <c r="E2824" s="2" t="s">
        <v>838</v>
      </c>
      <c r="F2824" s="2" t="s">
        <v>793</v>
      </c>
      <c r="G2824" s="2" t="s">
        <v>3247</v>
      </c>
      <c r="H2824" s="2" t="s">
        <v>950</v>
      </c>
      <c r="J2824" s="26"/>
      <c r="K2824" s="36">
        <v>2.8087000000000001E-4</v>
      </c>
      <c r="L2824" s="23">
        <v>2.809E-5</v>
      </c>
    </row>
    <row r="2825" spans="1:12" ht="15.35" hidden="1" x14ac:dyDescent="0.55000000000000004">
      <c r="A2825" s="20">
        <v>16491</v>
      </c>
      <c r="B2825" s="2" t="s">
        <v>176</v>
      </c>
      <c r="C2825" s="2" t="s">
        <v>177</v>
      </c>
      <c r="D2825" s="20">
        <v>0</v>
      </c>
      <c r="E2825" s="2" t="s">
        <v>838</v>
      </c>
      <c r="F2825" s="2" t="s">
        <v>793</v>
      </c>
      <c r="G2825" s="2" t="s">
        <v>3248</v>
      </c>
      <c r="H2825" s="2" t="s">
        <v>950</v>
      </c>
      <c r="J2825" s="26"/>
      <c r="K2825" s="36">
        <v>7.9513999999999995E-4</v>
      </c>
      <c r="L2825" s="23">
        <v>7.9510000000000003E-5</v>
      </c>
    </row>
    <row r="2826" spans="1:12" ht="15.35" hidden="1" x14ac:dyDescent="0.55000000000000004">
      <c r="A2826" s="20">
        <v>16561</v>
      </c>
      <c r="B2826" s="2" t="s">
        <v>176</v>
      </c>
      <c r="C2826" s="2" t="s">
        <v>177</v>
      </c>
      <c r="D2826" s="20">
        <v>0</v>
      </c>
      <c r="E2826" s="2" t="s">
        <v>838</v>
      </c>
      <c r="F2826" s="2" t="s">
        <v>793</v>
      </c>
      <c r="G2826" s="2" t="s">
        <v>3249</v>
      </c>
      <c r="H2826" s="2" t="s">
        <v>950</v>
      </c>
      <c r="J2826" s="26"/>
      <c r="K2826" s="36">
        <v>2.50016E-3</v>
      </c>
      <c r="L2826" s="23">
        <v>2.5001999999999999E-4</v>
      </c>
    </row>
    <row r="2827" spans="1:12" ht="15.35" hidden="1" x14ac:dyDescent="0.55000000000000004">
      <c r="A2827" s="20">
        <v>16356</v>
      </c>
      <c r="B2827" s="2" t="s">
        <v>176</v>
      </c>
      <c r="C2827" s="2" t="s">
        <v>177</v>
      </c>
      <c r="D2827" s="20">
        <v>0</v>
      </c>
      <c r="E2827" s="2" t="s">
        <v>838</v>
      </c>
      <c r="F2827" s="2" t="s">
        <v>793</v>
      </c>
      <c r="G2827" s="2" t="s">
        <v>3250</v>
      </c>
      <c r="H2827" s="2" t="s">
        <v>950</v>
      </c>
      <c r="J2827" s="26"/>
      <c r="K2827" s="36">
        <v>4.5096999999999997E-4</v>
      </c>
      <c r="L2827" s="23">
        <v>4.5099999999999998E-5</v>
      </c>
    </row>
    <row r="2828" spans="1:12" ht="15.35" hidden="1" x14ac:dyDescent="0.55000000000000004">
      <c r="A2828" s="20">
        <v>16163</v>
      </c>
      <c r="B2828" s="2" t="s">
        <v>176</v>
      </c>
      <c r="C2828" s="2" t="s">
        <v>177</v>
      </c>
      <c r="D2828" s="20">
        <v>0</v>
      </c>
      <c r="E2828" s="2" t="s">
        <v>838</v>
      </c>
      <c r="F2828" s="2" t="s">
        <v>793</v>
      </c>
      <c r="G2828" s="2" t="s">
        <v>3251</v>
      </c>
      <c r="H2828" s="2" t="s">
        <v>950</v>
      </c>
      <c r="J2828" s="26"/>
      <c r="K2828" s="36">
        <v>4.9845100000000002E-3</v>
      </c>
      <c r="L2828" s="23">
        <v>4.9845E-4</v>
      </c>
    </row>
    <row r="2829" spans="1:12" ht="15.35" hidden="1" x14ac:dyDescent="0.55000000000000004">
      <c r="A2829" s="20">
        <v>16036</v>
      </c>
      <c r="B2829" s="2" t="s">
        <v>176</v>
      </c>
      <c r="C2829" s="2" t="s">
        <v>177</v>
      </c>
      <c r="D2829" s="20">
        <v>0</v>
      </c>
      <c r="E2829" s="2" t="s">
        <v>838</v>
      </c>
      <c r="F2829" s="2" t="s">
        <v>793</v>
      </c>
      <c r="G2829" s="2" t="s">
        <v>1146</v>
      </c>
      <c r="H2829" s="2" t="s">
        <v>950</v>
      </c>
      <c r="J2829" s="26"/>
      <c r="K2829" s="36">
        <v>4.7469999999999998E-5</v>
      </c>
      <c r="L2829" s="23">
        <v>4.7500000000000003E-6</v>
      </c>
    </row>
    <row r="2830" spans="1:12" ht="15.35" hidden="1" x14ac:dyDescent="0.55000000000000004">
      <c r="A2830" s="20">
        <v>16317</v>
      </c>
      <c r="B2830" s="2" t="s">
        <v>176</v>
      </c>
      <c r="C2830" s="2" t="s">
        <v>177</v>
      </c>
      <c r="D2830" s="20">
        <v>0</v>
      </c>
      <c r="E2830" s="2" t="s">
        <v>838</v>
      </c>
      <c r="F2830" s="2" t="s">
        <v>793</v>
      </c>
      <c r="G2830" s="2" t="s">
        <v>3252</v>
      </c>
      <c r="H2830" s="2" t="s">
        <v>950</v>
      </c>
      <c r="J2830" s="26"/>
      <c r="K2830" s="36">
        <v>1.3648E-3</v>
      </c>
      <c r="L2830" s="23">
        <v>1.3647999999999999E-4</v>
      </c>
    </row>
    <row r="2831" spans="1:12" ht="15.35" hidden="1" x14ac:dyDescent="0.55000000000000004">
      <c r="A2831" s="20">
        <v>16266</v>
      </c>
      <c r="B2831" s="2" t="s">
        <v>176</v>
      </c>
      <c r="C2831" s="2" t="s">
        <v>177</v>
      </c>
      <c r="D2831" s="20">
        <v>0</v>
      </c>
      <c r="E2831" s="2" t="s">
        <v>838</v>
      </c>
      <c r="F2831" s="2" t="s">
        <v>811</v>
      </c>
      <c r="G2831" s="2" t="s">
        <v>3253</v>
      </c>
      <c r="H2831" s="2" t="s">
        <v>1630</v>
      </c>
      <c r="J2831" s="26"/>
      <c r="K2831" s="36">
        <v>1.3449999999999999E-4</v>
      </c>
      <c r="L2831" s="23">
        <v>1.345E-5</v>
      </c>
    </row>
    <row r="2832" spans="1:12" ht="15.35" hidden="1" x14ac:dyDescent="0.55000000000000004">
      <c r="A2832" s="20">
        <v>16133</v>
      </c>
      <c r="B2832" s="2" t="s">
        <v>176</v>
      </c>
      <c r="C2832" s="2" t="s">
        <v>177</v>
      </c>
      <c r="D2832" s="20">
        <v>0</v>
      </c>
      <c r="E2832" s="2" t="s">
        <v>838</v>
      </c>
      <c r="F2832" s="2" t="s">
        <v>787</v>
      </c>
      <c r="G2832" s="2" t="s">
        <v>952</v>
      </c>
      <c r="H2832" s="2" t="s">
        <v>952</v>
      </c>
      <c r="J2832" s="26"/>
      <c r="K2832" s="36">
        <v>8.3075200000000005E-3</v>
      </c>
      <c r="L2832" s="23">
        <v>8.3075E-4</v>
      </c>
    </row>
    <row r="2833" spans="1:12" ht="15.35" hidden="1" x14ac:dyDescent="0.55000000000000004">
      <c r="A2833" s="20">
        <v>16710</v>
      </c>
      <c r="B2833" s="2" t="s">
        <v>176</v>
      </c>
      <c r="C2833" s="2" t="s">
        <v>177</v>
      </c>
      <c r="D2833" s="20">
        <v>0</v>
      </c>
      <c r="E2833" s="2" t="s">
        <v>838</v>
      </c>
      <c r="F2833" s="2" t="s">
        <v>793</v>
      </c>
      <c r="G2833" s="2" t="s">
        <v>3254</v>
      </c>
      <c r="H2833" s="2" t="s">
        <v>952</v>
      </c>
      <c r="J2833" s="26"/>
      <c r="K2833" s="36">
        <v>7.9110000000000007E-5</v>
      </c>
      <c r="L2833" s="23">
        <v>7.9100000000000005E-6</v>
      </c>
    </row>
    <row r="2834" spans="1:12" ht="15.35" hidden="1" x14ac:dyDescent="0.55000000000000004">
      <c r="A2834" s="20">
        <v>16776</v>
      </c>
      <c r="B2834" s="2" t="s">
        <v>176</v>
      </c>
      <c r="C2834" s="2" t="s">
        <v>177</v>
      </c>
      <c r="D2834" s="20">
        <v>0</v>
      </c>
      <c r="E2834" s="2" t="s">
        <v>838</v>
      </c>
      <c r="F2834" s="2" t="s">
        <v>793</v>
      </c>
      <c r="G2834" s="2" t="s">
        <v>3255</v>
      </c>
      <c r="H2834" s="2" t="s">
        <v>952</v>
      </c>
      <c r="J2834" s="26"/>
      <c r="K2834" s="36">
        <v>3.9549999999999999E-5</v>
      </c>
      <c r="L2834" s="23">
        <v>3.9600000000000002E-6</v>
      </c>
    </row>
    <row r="2835" spans="1:12" ht="15.35" hidden="1" x14ac:dyDescent="0.55000000000000004">
      <c r="A2835" s="20">
        <v>16283</v>
      </c>
      <c r="B2835" s="2" t="s">
        <v>176</v>
      </c>
      <c r="C2835" s="2" t="s">
        <v>177</v>
      </c>
      <c r="D2835" s="20">
        <v>0</v>
      </c>
      <c r="E2835" s="2" t="s">
        <v>838</v>
      </c>
      <c r="F2835" s="2" t="s">
        <v>793</v>
      </c>
      <c r="G2835" s="2" t="s">
        <v>3256</v>
      </c>
      <c r="H2835" s="2" t="s">
        <v>952</v>
      </c>
      <c r="J2835" s="26"/>
      <c r="K2835" s="36">
        <v>5.9338999999999995E-4</v>
      </c>
      <c r="L2835" s="23">
        <v>5.9339999999999998E-5</v>
      </c>
    </row>
    <row r="2836" spans="1:12" ht="15.35" hidden="1" x14ac:dyDescent="0.55000000000000004">
      <c r="A2836" s="20">
        <v>16381</v>
      </c>
      <c r="B2836" s="2" t="s">
        <v>176</v>
      </c>
      <c r="C2836" s="2" t="s">
        <v>177</v>
      </c>
      <c r="D2836" s="20">
        <v>0</v>
      </c>
      <c r="E2836" s="2" t="s">
        <v>838</v>
      </c>
      <c r="F2836" s="2" t="s">
        <v>793</v>
      </c>
      <c r="G2836" s="2" t="s">
        <v>3257</v>
      </c>
      <c r="H2836" s="2" t="s">
        <v>952</v>
      </c>
      <c r="J2836" s="26"/>
      <c r="K2836" s="36">
        <v>1.5823000000000001E-4</v>
      </c>
      <c r="L2836" s="23">
        <v>1.5820000000000001E-5</v>
      </c>
    </row>
    <row r="2837" spans="1:12" ht="15.35" hidden="1" x14ac:dyDescent="0.55000000000000004">
      <c r="A2837" s="20">
        <v>16313</v>
      </c>
      <c r="B2837" s="2" t="s">
        <v>176</v>
      </c>
      <c r="C2837" s="2" t="s">
        <v>177</v>
      </c>
      <c r="D2837" s="20">
        <v>0</v>
      </c>
      <c r="E2837" s="2" t="s">
        <v>838</v>
      </c>
      <c r="F2837" s="2" t="s">
        <v>793</v>
      </c>
      <c r="G2837" s="2" t="s">
        <v>3258</v>
      </c>
      <c r="H2837" s="2" t="s">
        <v>952</v>
      </c>
      <c r="J2837" s="26"/>
      <c r="K2837" s="36">
        <v>5.5382999999999995E-4</v>
      </c>
      <c r="L2837" s="23">
        <v>5.5380000000000002E-5</v>
      </c>
    </row>
    <row r="2838" spans="1:12" ht="15.35" hidden="1" x14ac:dyDescent="0.55000000000000004">
      <c r="A2838" s="20">
        <v>16081</v>
      </c>
      <c r="B2838" s="2" t="s">
        <v>176</v>
      </c>
      <c r="C2838" s="2" t="s">
        <v>177</v>
      </c>
      <c r="D2838" s="20">
        <v>0</v>
      </c>
      <c r="E2838" s="2" t="s">
        <v>838</v>
      </c>
      <c r="F2838" s="2" t="s">
        <v>793</v>
      </c>
      <c r="G2838" s="2" t="s">
        <v>3259</v>
      </c>
      <c r="H2838" s="2" t="s">
        <v>952</v>
      </c>
      <c r="J2838" s="26"/>
      <c r="K2838" s="36">
        <v>2.2547999999999999E-4</v>
      </c>
      <c r="L2838" s="23">
        <v>2.2549999999999999E-5</v>
      </c>
    </row>
    <row r="2839" spans="1:12" ht="15.35" hidden="1" x14ac:dyDescent="0.55000000000000004">
      <c r="A2839" s="20">
        <v>16430</v>
      </c>
      <c r="B2839" s="2" t="s">
        <v>176</v>
      </c>
      <c r="C2839" s="2" t="s">
        <v>177</v>
      </c>
      <c r="D2839" s="20">
        <v>0</v>
      </c>
      <c r="E2839" s="2" t="s">
        <v>838</v>
      </c>
      <c r="F2839" s="2" t="s">
        <v>817</v>
      </c>
      <c r="G2839" s="2" t="s">
        <v>3260</v>
      </c>
      <c r="H2839" s="2" t="s">
        <v>952</v>
      </c>
      <c r="J2839" s="26"/>
      <c r="K2839" s="36">
        <v>5.1419999999999999E-5</v>
      </c>
      <c r="L2839" s="23">
        <v>5.1399999999999999E-6</v>
      </c>
    </row>
    <row r="2840" spans="1:12" ht="15.35" hidden="1" x14ac:dyDescent="0.55000000000000004">
      <c r="A2840" s="20">
        <v>16695</v>
      </c>
      <c r="B2840" s="2" t="s">
        <v>176</v>
      </c>
      <c r="C2840" s="2" t="s">
        <v>177</v>
      </c>
      <c r="D2840" s="20">
        <v>0</v>
      </c>
      <c r="E2840" s="2" t="s">
        <v>838</v>
      </c>
      <c r="F2840" s="2" t="s">
        <v>817</v>
      </c>
      <c r="G2840" s="2" t="s">
        <v>3261</v>
      </c>
      <c r="H2840" s="2" t="s">
        <v>952</v>
      </c>
      <c r="J2840" s="26"/>
      <c r="K2840" s="36">
        <v>1.4240999999999999E-4</v>
      </c>
      <c r="L2840" s="23">
        <v>1.4239999999999999E-5</v>
      </c>
    </row>
    <row r="2841" spans="1:12" ht="15.35" hidden="1" x14ac:dyDescent="0.55000000000000004">
      <c r="A2841" s="20">
        <v>16121</v>
      </c>
      <c r="B2841" s="2" t="s">
        <v>176</v>
      </c>
      <c r="C2841" s="2" t="s">
        <v>177</v>
      </c>
      <c r="D2841" s="20">
        <v>0</v>
      </c>
      <c r="E2841" s="2" t="s">
        <v>838</v>
      </c>
      <c r="F2841" s="2" t="s">
        <v>817</v>
      </c>
      <c r="G2841" s="2" t="s">
        <v>3262</v>
      </c>
      <c r="H2841" s="2" t="s">
        <v>952</v>
      </c>
      <c r="J2841" s="26"/>
      <c r="K2841" s="36">
        <v>1.3449999999999999E-4</v>
      </c>
      <c r="L2841" s="23">
        <v>1.345E-5</v>
      </c>
    </row>
    <row r="2842" spans="1:12" ht="15.35" hidden="1" x14ac:dyDescent="0.55000000000000004">
      <c r="A2842" s="20">
        <v>16334</v>
      </c>
      <c r="B2842" s="2" t="s">
        <v>176</v>
      </c>
      <c r="C2842" s="2" t="s">
        <v>177</v>
      </c>
      <c r="D2842" s="20">
        <v>0</v>
      </c>
      <c r="E2842" s="2" t="s">
        <v>838</v>
      </c>
      <c r="F2842" s="2" t="s">
        <v>817</v>
      </c>
      <c r="G2842" s="2" t="s">
        <v>3263</v>
      </c>
      <c r="H2842" s="2" t="s">
        <v>952</v>
      </c>
      <c r="J2842" s="26"/>
      <c r="K2842" s="36">
        <v>4.3510000000000002E-5</v>
      </c>
      <c r="L2842" s="23">
        <v>4.3499999999999999E-6</v>
      </c>
    </row>
    <row r="2843" spans="1:12" ht="15.35" hidden="1" x14ac:dyDescent="0.55000000000000004">
      <c r="A2843" s="20">
        <v>16586</v>
      </c>
      <c r="B2843" s="2" t="s">
        <v>176</v>
      </c>
      <c r="C2843" s="2" t="s">
        <v>177</v>
      </c>
      <c r="D2843" s="20">
        <v>0</v>
      </c>
      <c r="E2843" s="2" t="s">
        <v>838</v>
      </c>
      <c r="F2843" s="2" t="s">
        <v>817</v>
      </c>
      <c r="G2843" s="2" t="s">
        <v>3264</v>
      </c>
      <c r="H2843" s="2" t="s">
        <v>952</v>
      </c>
      <c r="J2843" s="26"/>
      <c r="K2843" s="36">
        <v>5.5380000000000002E-5</v>
      </c>
      <c r="L2843" s="23">
        <v>5.5400000000000003E-6</v>
      </c>
    </row>
    <row r="2844" spans="1:12" ht="15.35" hidden="1" x14ac:dyDescent="0.55000000000000004">
      <c r="A2844" s="20">
        <v>16027</v>
      </c>
      <c r="B2844" s="2" t="s">
        <v>176</v>
      </c>
      <c r="C2844" s="2" t="s">
        <v>177</v>
      </c>
      <c r="D2844" s="20">
        <v>0</v>
      </c>
      <c r="E2844" s="2" t="s">
        <v>838</v>
      </c>
      <c r="F2844" s="2" t="s">
        <v>817</v>
      </c>
      <c r="G2844" s="2" t="s">
        <v>3265</v>
      </c>
      <c r="H2844" s="2" t="s">
        <v>952</v>
      </c>
      <c r="J2844" s="26"/>
      <c r="K2844" s="36">
        <v>5.9330000000000003E-5</v>
      </c>
      <c r="L2844" s="23">
        <v>5.93E-6</v>
      </c>
    </row>
    <row r="2845" spans="1:12" ht="15.35" hidden="1" x14ac:dyDescent="0.55000000000000004">
      <c r="A2845" s="20">
        <v>16565</v>
      </c>
      <c r="B2845" s="2" t="s">
        <v>176</v>
      </c>
      <c r="C2845" s="2" t="s">
        <v>177</v>
      </c>
      <c r="D2845" s="20">
        <v>0</v>
      </c>
      <c r="E2845" s="2" t="s">
        <v>838</v>
      </c>
      <c r="F2845" s="2" t="s">
        <v>817</v>
      </c>
      <c r="G2845" s="2" t="s">
        <v>3266</v>
      </c>
      <c r="H2845" s="2" t="s">
        <v>952</v>
      </c>
      <c r="J2845" s="26"/>
      <c r="K2845" s="36">
        <v>9.4939999999999996E-5</v>
      </c>
      <c r="L2845" s="23">
        <v>9.4900000000000006E-6</v>
      </c>
    </row>
    <row r="2846" spans="1:12" ht="15.35" hidden="1" x14ac:dyDescent="0.55000000000000004">
      <c r="A2846" s="20">
        <v>16615</v>
      </c>
      <c r="B2846" s="2" t="s">
        <v>176</v>
      </c>
      <c r="C2846" s="2" t="s">
        <v>177</v>
      </c>
      <c r="D2846" s="20">
        <v>0</v>
      </c>
      <c r="E2846" s="2" t="s">
        <v>838</v>
      </c>
      <c r="F2846" s="2" t="s">
        <v>817</v>
      </c>
      <c r="G2846" s="2" t="s">
        <v>3267</v>
      </c>
      <c r="H2846" s="2" t="s">
        <v>952</v>
      </c>
      <c r="J2846" s="26"/>
      <c r="K2846" s="36">
        <v>6.7249999999999995E-5</v>
      </c>
      <c r="L2846" s="23">
        <v>6.7299999999999999E-6</v>
      </c>
    </row>
    <row r="2847" spans="1:12" ht="15.35" hidden="1" x14ac:dyDescent="0.55000000000000004">
      <c r="A2847" s="20">
        <v>16231</v>
      </c>
      <c r="B2847" s="2" t="s">
        <v>176</v>
      </c>
      <c r="C2847" s="2" t="s">
        <v>177</v>
      </c>
      <c r="D2847" s="20">
        <v>0</v>
      </c>
      <c r="E2847" s="2" t="s">
        <v>838</v>
      </c>
      <c r="F2847" s="2" t="s">
        <v>817</v>
      </c>
      <c r="G2847" s="2" t="s">
        <v>3268</v>
      </c>
      <c r="H2847" s="2" t="s">
        <v>952</v>
      </c>
      <c r="J2847" s="26"/>
      <c r="K2847" s="36">
        <v>8.7029999999999999E-5</v>
      </c>
      <c r="L2847" s="23">
        <v>8.6999999999999997E-6</v>
      </c>
    </row>
    <row r="2848" spans="1:12" ht="15.35" hidden="1" x14ac:dyDescent="0.55000000000000004">
      <c r="A2848" s="20">
        <v>16468</v>
      </c>
      <c r="B2848" s="2" t="s">
        <v>176</v>
      </c>
      <c r="C2848" s="2" t="s">
        <v>177</v>
      </c>
      <c r="D2848" s="20">
        <v>0</v>
      </c>
      <c r="E2848" s="2" t="s">
        <v>838</v>
      </c>
      <c r="F2848" s="2" t="s">
        <v>817</v>
      </c>
      <c r="G2848" s="2" t="s">
        <v>3269</v>
      </c>
      <c r="H2848" s="2" t="s">
        <v>952</v>
      </c>
      <c r="J2848" s="26"/>
      <c r="K2848" s="36">
        <v>1.1867E-4</v>
      </c>
      <c r="L2848" s="23">
        <v>1.187E-5</v>
      </c>
    </row>
    <row r="2849" spans="1:12" ht="15.35" hidden="1" x14ac:dyDescent="0.55000000000000004">
      <c r="A2849" s="20">
        <v>16768</v>
      </c>
      <c r="B2849" s="2" t="s">
        <v>176</v>
      </c>
      <c r="C2849" s="2" t="s">
        <v>177</v>
      </c>
      <c r="D2849" s="20">
        <v>0</v>
      </c>
      <c r="E2849" s="2" t="s">
        <v>838</v>
      </c>
      <c r="F2849" s="2" t="s">
        <v>817</v>
      </c>
      <c r="G2849" s="2" t="s">
        <v>3270</v>
      </c>
      <c r="H2849" s="2" t="s">
        <v>952</v>
      </c>
      <c r="J2849" s="26"/>
      <c r="K2849" s="36">
        <v>1.7801000000000001E-4</v>
      </c>
      <c r="L2849" s="23">
        <v>1.7799999999999999E-5</v>
      </c>
    </row>
    <row r="2850" spans="1:12" ht="15.35" hidden="1" x14ac:dyDescent="0.55000000000000004">
      <c r="A2850" s="20">
        <v>16370</v>
      </c>
      <c r="B2850" s="2" t="s">
        <v>176</v>
      </c>
      <c r="C2850" s="2" t="s">
        <v>177</v>
      </c>
      <c r="D2850" s="20">
        <v>0</v>
      </c>
      <c r="E2850" s="2" t="s">
        <v>838</v>
      </c>
      <c r="F2850" s="2" t="s">
        <v>817</v>
      </c>
      <c r="G2850" s="2" t="s">
        <v>3271</v>
      </c>
      <c r="H2850" s="2" t="s">
        <v>952</v>
      </c>
      <c r="J2850" s="26"/>
      <c r="K2850" s="36">
        <v>1.9384E-4</v>
      </c>
      <c r="L2850" s="23">
        <v>1.9380000000000001E-5</v>
      </c>
    </row>
    <row r="2851" spans="1:12" ht="15.35" hidden="1" x14ac:dyDescent="0.55000000000000004">
      <c r="A2851" s="20">
        <v>16141</v>
      </c>
      <c r="B2851" s="2" t="s">
        <v>176</v>
      </c>
      <c r="C2851" s="2" t="s">
        <v>177</v>
      </c>
      <c r="D2851" s="20">
        <v>0</v>
      </c>
      <c r="E2851" s="2" t="s">
        <v>838</v>
      </c>
      <c r="F2851" s="2" t="s">
        <v>817</v>
      </c>
      <c r="G2851" s="2" t="s">
        <v>3272</v>
      </c>
      <c r="H2851" s="2" t="s">
        <v>952</v>
      </c>
      <c r="J2851" s="26"/>
      <c r="K2851" s="36">
        <v>1.7801000000000001E-4</v>
      </c>
      <c r="L2851" s="23">
        <v>1.7799999999999999E-5</v>
      </c>
    </row>
    <row r="2852" spans="1:12" ht="15.35" hidden="1" x14ac:dyDescent="0.55000000000000004">
      <c r="A2852" s="20">
        <v>16549</v>
      </c>
      <c r="B2852" s="2" t="s">
        <v>176</v>
      </c>
      <c r="C2852" s="2" t="s">
        <v>177</v>
      </c>
      <c r="D2852" s="20">
        <v>0</v>
      </c>
      <c r="E2852" s="2" t="s">
        <v>838</v>
      </c>
      <c r="F2852" s="2" t="s">
        <v>817</v>
      </c>
      <c r="G2852" s="2" t="s">
        <v>3273</v>
      </c>
      <c r="H2852" s="2" t="s">
        <v>952</v>
      </c>
      <c r="J2852" s="26"/>
      <c r="K2852" s="36">
        <v>2.9669000000000001E-4</v>
      </c>
      <c r="L2852" s="23">
        <v>2.9669999999999999E-5</v>
      </c>
    </row>
    <row r="2853" spans="1:12" ht="15.35" hidden="1" x14ac:dyDescent="0.55000000000000004">
      <c r="A2853" s="20">
        <v>16763</v>
      </c>
      <c r="B2853" s="2" t="s">
        <v>176</v>
      </c>
      <c r="C2853" s="2" t="s">
        <v>177</v>
      </c>
      <c r="D2853" s="20">
        <v>0</v>
      </c>
      <c r="E2853" s="2" t="s">
        <v>838</v>
      </c>
      <c r="F2853" s="2" t="s">
        <v>817</v>
      </c>
      <c r="G2853" s="2" t="s">
        <v>3274</v>
      </c>
      <c r="H2853" s="2" t="s">
        <v>952</v>
      </c>
      <c r="J2853" s="26"/>
      <c r="K2853" s="36">
        <v>3.4811999999999999E-4</v>
      </c>
      <c r="L2853" s="23">
        <v>3.481E-5</v>
      </c>
    </row>
    <row r="2854" spans="1:12" ht="15.35" hidden="1" x14ac:dyDescent="0.55000000000000004">
      <c r="A2854" s="20">
        <v>16026</v>
      </c>
      <c r="B2854" s="2" t="s">
        <v>176</v>
      </c>
      <c r="C2854" s="2" t="s">
        <v>177</v>
      </c>
      <c r="D2854" s="20">
        <v>0</v>
      </c>
      <c r="E2854" s="2" t="s">
        <v>838</v>
      </c>
      <c r="F2854" s="2" t="s">
        <v>817</v>
      </c>
      <c r="G2854" s="2" t="s">
        <v>3275</v>
      </c>
      <c r="H2854" s="2" t="s">
        <v>952</v>
      </c>
      <c r="J2854" s="26"/>
      <c r="K2854" s="36">
        <v>2.0966E-4</v>
      </c>
      <c r="L2854" s="23">
        <v>2.0970000000000001E-5</v>
      </c>
    </row>
    <row r="2855" spans="1:12" ht="15.35" hidden="1" x14ac:dyDescent="0.55000000000000004">
      <c r="A2855" s="20">
        <v>15960</v>
      </c>
      <c r="B2855" s="2" t="s">
        <v>176</v>
      </c>
      <c r="C2855" s="2" t="s">
        <v>177</v>
      </c>
      <c r="D2855" s="20">
        <v>0</v>
      </c>
      <c r="E2855" s="2" t="s">
        <v>838</v>
      </c>
      <c r="F2855" s="2" t="s">
        <v>817</v>
      </c>
      <c r="G2855" s="2" t="s">
        <v>3276</v>
      </c>
      <c r="H2855" s="2" t="s">
        <v>952</v>
      </c>
      <c r="J2855" s="26"/>
      <c r="K2855" s="36">
        <v>2.1362E-4</v>
      </c>
      <c r="L2855" s="23">
        <v>2.1359999999999999E-5</v>
      </c>
    </row>
    <row r="2856" spans="1:12" ht="15.35" hidden="1" x14ac:dyDescent="0.55000000000000004">
      <c r="A2856" s="20">
        <v>16752</v>
      </c>
      <c r="B2856" s="2" t="s">
        <v>176</v>
      </c>
      <c r="C2856" s="2" t="s">
        <v>177</v>
      </c>
      <c r="D2856" s="20">
        <v>0</v>
      </c>
      <c r="E2856" s="2" t="s">
        <v>838</v>
      </c>
      <c r="F2856" s="2" t="s">
        <v>817</v>
      </c>
      <c r="G2856" s="2" t="s">
        <v>3277</v>
      </c>
      <c r="H2856" s="2" t="s">
        <v>952</v>
      </c>
      <c r="J2856" s="26"/>
      <c r="K2856" s="36">
        <v>1.7801000000000001E-4</v>
      </c>
      <c r="L2856" s="23">
        <v>1.7799999999999999E-5</v>
      </c>
    </row>
    <row r="2857" spans="1:12" ht="15.35" hidden="1" x14ac:dyDescent="0.55000000000000004">
      <c r="A2857" s="20">
        <v>16415</v>
      </c>
      <c r="B2857" s="2" t="s">
        <v>176</v>
      </c>
      <c r="C2857" s="2" t="s">
        <v>177</v>
      </c>
      <c r="D2857" s="20">
        <v>0</v>
      </c>
      <c r="E2857" s="2" t="s">
        <v>838</v>
      </c>
      <c r="F2857" s="2" t="s">
        <v>817</v>
      </c>
      <c r="G2857" s="2" t="s">
        <v>3278</v>
      </c>
      <c r="H2857" s="2" t="s">
        <v>952</v>
      </c>
      <c r="J2857" s="26"/>
      <c r="K2857" s="36">
        <v>1.8987999999999999E-4</v>
      </c>
      <c r="L2857" s="23">
        <v>1.8989999999999999E-5</v>
      </c>
    </row>
    <row r="2858" spans="1:12" ht="15.35" hidden="1" x14ac:dyDescent="0.55000000000000004">
      <c r="A2858" s="20">
        <v>16349</v>
      </c>
      <c r="B2858" s="2" t="s">
        <v>176</v>
      </c>
      <c r="C2858" s="2" t="s">
        <v>177</v>
      </c>
      <c r="D2858" s="20">
        <v>0</v>
      </c>
      <c r="E2858" s="2" t="s">
        <v>838</v>
      </c>
      <c r="F2858" s="2" t="s">
        <v>817</v>
      </c>
      <c r="G2858" s="2" t="s">
        <v>3279</v>
      </c>
      <c r="H2858" s="2" t="s">
        <v>952</v>
      </c>
      <c r="J2858" s="26"/>
      <c r="K2858" s="36">
        <v>1.7801000000000001E-4</v>
      </c>
      <c r="L2858" s="23">
        <v>1.7799999999999999E-5</v>
      </c>
    </row>
    <row r="2859" spans="1:12" ht="15.35" hidden="1" x14ac:dyDescent="0.55000000000000004">
      <c r="A2859" s="20">
        <v>16792</v>
      </c>
      <c r="B2859" s="2" t="s">
        <v>176</v>
      </c>
      <c r="C2859" s="2" t="s">
        <v>177</v>
      </c>
      <c r="D2859" s="20">
        <v>0</v>
      </c>
      <c r="E2859" s="2" t="s">
        <v>838</v>
      </c>
      <c r="F2859" s="2" t="s">
        <v>817</v>
      </c>
      <c r="G2859" s="2" t="s">
        <v>3280</v>
      </c>
      <c r="H2859" s="2" t="s">
        <v>952</v>
      </c>
      <c r="J2859" s="26"/>
      <c r="K2859" s="36">
        <v>2.0966E-4</v>
      </c>
      <c r="L2859" s="23">
        <v>2.0970000000000001E-5</v>
      </c>
    </row>
    <row r="2860" spans="1:12" ht="15.35" hidden="1" x14ac:dyDescent="0.55000000000000004">
      <c r="A2860" s="20">
        <v>16223</v>
      </c>
      <c r="B2860" s="2" t="s">
        <v>176</v>
      </c>
      <c r="C2860" s="2" t="s">
        <v>177</v>
      </c>
      <c r="D2860" s="20">
        <v>0</v>
      </c>
      <c r="E2860" s="2" t="s">
        <v>838</v>
      </c>
      <c r="F2860" s="2" t="s">
        <v>817</v>
      </c>
      <c r="G2860" s="2" t="s">
        <v>3281</v>
      </c>
      <c r="H2860" s="2" t="s">
        <v>952</v>
      </c>
      <c r="J2860" s="26"/>
      <c r="K2860" s="36">
        <v>1.7406E-4</v>
      </c>
      <c r="L2860" s="23">
        <v>1.7410000000000001E-5</v>
      </c>
    </row>
    <row r="2861" spans="1:12" ht="15.35" hidden="1" x14ac:dyDescent="0.55000000000000004">
      <c r="A2861" s="20">
        <v>16333</v>
      </c>
      <c r="B2861" s="2" t="s">
        <v>176</v>
      </c>
      <c r="C2861" s="2" t="s">
        <v>177</v>
      </c>
      <c r="D2861" s="20">
        <v>0</v>
      </c>
      <c r="E2861" s="2" t="s">
        <v>838</v>
      </c>
      <c r="F2861" s="2" t="s">
        <v>817</v>
      </c>
      <c r="G2861" s="2" t="s">
        <v>3282</v>
      </c>
      <c r="H2861" s="2" t="s">
        <v>952</v>
      </c>
      <c r="J2861" s="26"/>
      <c r="K2861" s="36">
        <v>2.5317999999999998E-4</v>
      </c>
      <c r="L2861" s="23">
        <v>2.5320000000000002E-5</v>
      </c>
    </row>
    <row r="2862" spans="1:12" ht="15.35" hidden="1" x14ac:dyDescent="0.55000000000000004">
      <c r="A2862" s="20">
        <v>16633</v>
      </c>
      <c r="B2862" s="2" t="s">
        <v>176</v>
      </c>
      <c r="C2862" s="2" t="s">
        <v>177</v>
      </c>
      <c r="D2862" s="20">
        <v>0</v>
      </c>
      <c r="E2862" s="2" t="s">
        <v>838</v>
      </c>
      <c r="F2862" s="2" t="s">
        <v>817</v>
      </c>
      <c r="G2862" s="2" t="s">
        <v>3283</v>
      </c>
      <c r="H2862" s="2" t="s">
        <v>952</v>
      </c>
      <c r="J2862" s="26"/>
      <c r="K2862" s="36">
        <v>2.4526000000000002E-4</v>
      </c>
      <c r="L2862" s="23">
        <v>2.4530000000000001E-5</v>
      </c>
    </row>
    <row r="2863" spans="1:12" ht="15.35" hidden="1" x14ac:dyDescent="0.55000000000000004">
      <c r="A2863" s="20">
        <v>16284</v>
      </c>
      <c r="B2863" s="2" t="s">
        <v>176</v>
      </c>
      <c r="C2863" s="2" t="s">
        <v>177</v>
      </c>
      <c r="D2863" s="20">
        <v>0</v>
      </c>
      <c r="E2863" s="2" t="s">
        <v>838</v>
      </c>
      <c r="F2863" s="2" t="s">
        <v>817</v>
      </c>
      <c r="G2863" s="2" t="s">
        <v>3284</v>
      </c>
      <c r="H2863" s="2" t="s">
        <v>952</v>
      </c>
      <c r="J2863" s="26"/>
      <c r="K2863" s="36">
        <v>7.5160000000000005E-5</v>
      </c>
      <c r="L2863" s="23">
        <v>7.52E-6</v>
      </c>
    </row>
    <row r="2864" spans="1:12" ht="15.35" hidden="1" x14ac:dyDescent="0.55000000000000004">
      <c r="A2864" s="20">
        <v>16267</v>
      </c>
      <c r="B2864" s="2" t="s">
        <v>176</v>
      </c>
      <c r="C2864" s="2" t="s">
        <v>177</v>
      </c>
      <c r="D2864" s="20">
        <v>0</v>
      </c>
      <c r="E2864" s="2" t="s">
        <v>838</v>
      </c>
      <c r="F2864" s="2" t="s">
        <v>817</v>
      </c>
      <c r="G2864" s="2" t="s">
        <v>3285</v>
      </c>
      <c r="H2864" s="2" t="s">
        <v>952</v>
      </c>
      <c r="J2864" s="26"/>
      <c r="K2864" s="36">
        <v>8.3070000000000003E-5</v>
      </c>
      <c r="L2864" s="23">
        <v>8.3100000000000001E-6</v>
      </c>
    </row>
    <row r="2865" spans="1:12" ht="15.35" hidden="1" x14ac:dyDescent="0.55000000000000004">
      <c r="A2865" s="20">
        <v>16483</v>
      </c>
      <c r="B2865" s="2" t="s">
        <v>176</v>
      </c>
      <c r="C2865" s="2" t="s">
        <v>177</v>
      </c>
      <c r="D2865" s="20">
        <v>0</v>
      </c>
      <c r="E2865" s="2" t="s">
        <v>838</v>
      </c>
      <c r="F2865" s="2" t="s">
        <v>817</v>
      </c>
      <c r="G2865" s="2" t="s">
        <v>3286</v>
      </c>
      <c r="H2865" s="2" t="s">
        <v>952</v>
      </c>
      <c r="J2865" s="26"/>
      <c r="K2865" s="36">
        <v>2.8877999999999998E-4</v>
      </c>
      <c r="L2865" s="23">
        <v>2.8880000000000001E-5</v>
      </c>
    </row>
    <row r="2866" spans="1:12" ht="15.35" hidden="1" x14ac:dyDescent="0.55000000000000004">
      <c r="A2866" s="20">
        <v>16362</v>
      </c>
      <c r="B2866" s="2" t="s">
        <v>176</v>
      </c>
      <c r="C2866" s="2" t="s">
        <v>177</v>
      </c>
      <c r="D2866" s="20">
        <v>0</v>
      </c>
      <c r="E2866" s="2" t="s">
        <v>838</v>
      </c>
      <c r="F2866" s="2" t="s">
        <v>793</v>
      </c>
      <c r="G2866" s="2" t="s">
        <v>3287</v>
      </c>
      <c r="H2866" s="2" t="s">
        <v>952</v>
      </c>
      <c r="J2866" s="26"/>
      <c r="K2866" s="36">
        <v>1.02063E-3</v>
      </c>
      <c r="L2866" s="23">
        <v>1.0206E-4</v>
      </c>
    </row>
    <row r="2867" spans="1:12" ht="15.35" hidden="1" x14ac:dyDescent="0.55000000000000004">
      <c r="A2867" s="20">
        <v>16296</v>
      </c>
      <c r="B2867" s="2" t="s">
        <v>176</v>
      </c>
      <c r="C2867" s="2" t="s">
        <v>177</v>
      </c>
      <c r="D2867" s="20">
        <v>0</v>
      </c>
      <c r="E2867" s="2" t="s">
        <v>838</v>
      </c>
      <c r="F2867" s="2" t="s">
        <v>793</v>
      </c>
      <c r="G2867" s="2" t="s">
        <v>3288</v>
      </c>
      <c r="H2867" s="2" t="s">
        <v>952</v>
      </c>
      <c r="J2867" s="26"/>
      <c r="K2867" s="36">
        <v>6.8042000000000005E-4</v>
      </c>
      <c r="L2867" s="23">
        <v>6.8040000000000006E-5</v>
      </c>
    </row>
    <row r="2868" spans="1:12" ht="15.35" hidden="1" x14ac:dyDescent="0.55000000000000004">
      <c r="A2868" s="20">
        <v>16686</v>
      </c>
      <c r="B2868" s="2" t="s">
        <v>176</v>
      </c>
      <c r="C2868" s="2" t="s">
        <v>177</v>
      </c>
      <c r="D2868" s="20">
        <v>0</v>
      </c>
      <c r="E2868" s="2" t="s">
        <v>838</v>
      </c>
      <c r="F2868" s="2" t="s">
        <v>793</v>
      </c>
      <c r="G2868" s="2" t="s">
        <v>3289</v>
      </c>
      <c r="H2868" s="2" t="s">
        <v>952</v>
      </c>
      <c r="J2868" s="26"/>
      <c r="K2868" s="36">
        <v>9.0591000000000001E-4</v>
      </c>
      <c r="L2868" s="23">
        <v>9.0589999999999998E-5</v>
      </c>
    </row>
    <row r="2869" spans="1:12" ht="15.35" hidden="1" x14ac:dyDescent="0.55000000000000004">
      <c r="A2869" s="20">
        <v>16151</v>
      </c>
      <c r="B2869" s="2" t="s">
        <v>176</v>
      </c>
      <c r="C2869" s="2" t="s">
        <v>177</v>
      </c>
      <c r="D2869" s="20">
        <v>0</v>
      </c>
      <c r="E2869" s="2" t="s">
        <v>838</v>
      </c>
      <c r="F2869" s="2" t="s">
        <v>793</v>
      </c>
      <c r="G2869" s="2" t="s">
        <v>3290</v>
      </c>
      <c r="H2869" s="2" t="s">
        <v>952</v>
      </c>
      <c r="J2869" s="26"/>
      <c r="K2869" s="36">
        <v>3.9559000000000003E-4</v>
      </c>
      <c r="L2869" s="23">
        <v>3.9560000000000001E-5</v>
      </c>
    </row>
    <row r="2870" spans="1:12" ht="15.35" hidden="1" x14ac:dyDescent="0.55000000000000004">
      <c r="A2870" s="20">
        <v>15983</v>
      </c>
      <c r="B2870" s="2" t="s">
        <v>176</v>
      </c>
      <c r="C2870" s="2" t="s">
        <v>177</v>
      </c>
      <c r="D2870" s="20">
        <v>0</v>
      </c>
      <c r="E2870" s="2" t="s">
        <v>838</v>
      </c>
      <c r="F2870" s="2" t="s">
        <v>793</v>
      </c>
      <c r="G2870" s="2" t="s">
        <v>3291</v>
      </c>
      <c r="H2870" s="2" t="s">
        <v>952</v>
      </c>
      <c r="J2870" s="26"/>
      <c r="K2870" s="36">
        <v>6.2503999999999999E-4</v>
      </c>
      <c r="L2870" s="23">
        <v>6.2500000000000001E-5</v>
      </c>
    </row>
    <row r="2871" spans="1:12" ht="15.35" hidden="1" x14ac:dyDescent="0.55000000000000004">
      <c r="A2871" s="20">
        <v>16109</v>
      </c>
      <c r="B2871" s="2" t="s">
        <v>176</v>
      </c>
      <c r="C2871" s="2" t="s">
        <v>177</v>
      </c>
      <c r="D2871" s="20">
        <v>0</v>
      </c>
      <c r="E2871" s="2" t="s">
        <v>838</v>
      </c>
      <c r="F2871" s="2" t="s">
        <v>793</v>
      </c>
      <c r="G2871" s="2" t="s">
        <v>3292</v>
      </c>
      <c r="H2871" s="2" t="s">
        <v>952</v>
      </c>
      <c r="J2871" s="26"/>
      <c r="K2871" s="36">
        <v>7.9110000000000007E-5</v>
      </c>
      <c r="L2871" s="23">
        <v>7.9100000000000005E-6</v>
      </c>
    </row>
    <row r="2872" spans="1:12" ht="15.35" hidden="1" x14ac:dyDescent="0.55000000000000004">
      <c r="A2872" s="20">
        <v>16422</v>
      </c>
      <c r="B2872" s="2" t="s">
        <v>176</v>
      </c>
      <c r="C2872" s="2" t="s">
        <v>177</v>
      </c>
      <c r="D2872" s="20">
        <v>0</v>
      </c>
      <c r="E2872" s="2" t="s">
        <v>838</v>
      </c>
      <c r="F2872" s="2" t="s">
        <v>793</v>
      </c>
      <c r="G2872" s="2" t="s">
        <v>3293</v>
      </c>
      <c r="H2872" s="2" t="s">
        <v>952</v>
      </c>
      <c r="J2872" s="26"/>
      <c r="K2872" s="36">
        <v>1.1867E-4</v>
      </c>
      <c r="L2872" s="23">
        <v>1.187E-5</v>
      </c>
    </row>
    <row r="2873" spans="1:12" ht="15.35" hidden="1" x14ac:dyDescent="0.55000000000000004">
      <c r="A2873" s="20">
        <v>15928</v>
      </c>
      <c r="B2873" s="2" t="s">
        <v>176</v>
      </c>
      <c r="C2873" s="2" t="s">
        <v>177</v>
      </c>
      <c r="D2873" s="20">
        <v>0</v>
      </c>
      <c r="E2873" s="2" t="s">
        <v>838</v>
      </c>
      <c r="F2873" s="2" t="s">
        <v>793</v>
      </c>
      <c r="G2873" s="2" t="s">
        <v>3294</v>
      </c>
      <c r="H2873" s="2" t="s">
        <v>952</v>
      </c>
      <c r="J2873" s="26"/>
      <c r="K2873" s="36">
        <v>2.99862E-3</v>
      </c>
      <c r="L2873" s="23">
        <v>2.9985999999999999E-4</v>
      </c>
    </row>
    <row r="2874" spans="1:12" ht="15.35" hidden="1" x14ac:dyDescent="0.55000000000000004">
      <c r="A2874" s="20">
        <v>16629</v>
      </c>
      <c r="B2874" s="2" t="s">
        <v>176</v>
      </c>
      <c r="C2874" s="2" t="s">
        <v>177</v>
      </c>
      <c r="D2874" s="20">
        <v>0</v>
      </c>
      <c r="E2874" s="2" t="s">
        <v>838</v>
      </c>
      <c r="F2874" s="2" t="s">
        <v>793</v>
      </c>
      <c r="G2874" s="2" t="s">
        <v>3295</v>
      </c>
      <c r="H2874" s="2" t="s">
        <v>952</v>
      </c>
      <c r="J2874" s="26"/>
      <c r="K2874" s="36">
        <v>8.3075200000000005E-3</v>
      </c>
      <c r="L2874" s="23">
        <v>8.3075E-4</v>
      </c>
    </row>
    <row r="2875" spans="1:12" ht="15.35" hidden="1" x14ac:dyDescent="0.55000000000000004">
      <c r="A2875" s="20">
        <v>15952</v>
      </c>
      <c r="B2875" s="2" t="s">
        <v>176</v>
      </c>
      <c r="C2875" s="2" t="s">
        <v>177</v>
      </c>
      <c r="D2875" s="20">
        <v>0</v>
      </c>
      <c r="E2875" s="2" t="s">
        <v>838</v>
      </c>
      <c r="F2875" s="2" t="s">
        <v>793</v>
      </c>
      <c r="G2875" s="2" t="s">
        <v>3296</v>
      </c>
      <c r="H2875" s="2" t="s">
        <v>952</v>
      </c>
      <c r="J2875" s="26"/>
      <c r="K2875" s="36">
        <v>1.7009999999999999E-4</v>
      </c>
      <c r="L2875" s="23">
        <v>1.7010000000000001E-5</v>
      </c>
    </row>
    <row r="2876" spans="1:12" ht="15.35" hidden="1" x14ac:dyDescent="0.55000000000000004">
      <c r="A2876" s="20">
        <v>16012</v>
      </c>
      <c r="B2876" s="2" t="s">
        <v>176</v>
      </c>
      <c r="C2876" s="2" t="s">
        <v>177</v>
      </c>
      <c r="D2876" s="20">
        <v>0</v>
      </c>
      <c r="E2876" s="2" t="s">
        <v>838</v>
      </c>
      <c r="F2876" s="2" t="s">
        <v>793</v>
      </c>
      <c r="G2876" s="2" t="s">
        <v>3297</v>
      </c>
      <c r="H2876" s="2" t="s">
        <v>952</v>
      </c>
      <c r="J2876" s="26"/>
      <c r="K2876" s="36">
        <v>1.5032000000000001E-4</v>
      </c>
      <c r="L2876" s="23">
        <v>1.503E-5</v>
      </c>
    </row>
    <row r="2877" spans="1:12" ht="15.35" hidden="1" x14ac:dyDescent="0.55000000000000004">
      <c r="A2877" s="20">
        <v>16708</v>
      </c>
      <c r="B2877" s="2" t="s">
        <v>176</v>
      </c>
      <c r="C2877" s="2" t="s">
        <v>177</v>
      </c>
      <c r="D2877" s="20">
        <v>0</v>
      </c>
      <c r="E2877" s="2" t="s">
        <v>838</v>
      </c>
      <c r="F2877" s="2" t="s">
        <v>793</v>
      </c>
      <c r="G2877" s="2" t="s">
        <v>3298</v>
      </c>
      <c r="H2877" s="2" t="s">
        <v>952</v>
      </c>
      <c r="J2877" s="26"/>
      <c r="K2877" s="36">
        <v>3.679E-4</v>
      </c>
      <c r="L2877" s="23">
        <v>3.6789999999999998E-5</v>
      </c>
    </row>
    <row r="2878" spans="1:12" ht="15.35" hidden="1" x14ac:dyDescent="0.55000000000000004">
      <c r="A2878" s="20">
        <v>16221</v>
      </c>
      <c r="B2878" s="2" t="s">
        <v>176</v>
      </c>
      <c r="C2878" s="2" t="s">
        <v>177</v>
      </c>
      <c r="D2878" s="20">
        <v>0</v>
      </c>
      <c r="E2878" s="2" t="s">
        <v>838</v>
      </c>
      <c r="F2878" s="2" t="s">
        <v>793</v>
      </c>
      <c r="G2878" s="2" t="s">
        <v>3299</v>
      </c>
      <c r="H2878" s="2" t="s">
        <v>952</v>
      </c>
      <c r="J2878" s="26"/>
      <c r="K2878" s="36">
        <v>8.2284000000000003E-4</v>
      </c>
      <c r="L2878" s="23">
        <v>8.2280000000000005E-5</v>
      </c>
    </row>
    <row r="2879" spans="1:12" ht="15.35" hidden="1" x14ac:dyDescent="0.55000000000000004">
      <c r="A2879" s="20">
        <v>15944</v>
      </c>
      <c r="B2879" s="2" t="s">
        <v>176</v>
      </c>
      <c r="C2879" s="2" t="s">
        <v>177</v>
      </c>
      <c r="D2879" s="20">
        <v>0</v>
      </c>
      <c r="E2879" s="2" t="s">
        <v>838</v>
      </c>
      <c r="F2879" s="2" t="s">
        <v>793</v>
      </c>
      <c r="G2879" s="2" t="s">
        <v>3300</v>
      </c>
      <c r="H2879" s="2" t="s">
        <v>952</v>
      </c>
      <c r="J2879" s="26"/>
      <c r="K2879" s="36">
        <v>4.5096999999999997E-4</v>
      </c>
      <c r="L2879" s="23">
        <v>4.5099999999999998E-5</v>
      </c>
    </row>
    <row r="2880" spans="1:12" ht="15.35" hidden="1" x14ac:dyDescent="0.55000000000000004">
      <c r="A2880" s="20">
        <v>16746</v>
      </c>
      <c r="B2880" s="2" t="s">
        <v>176</v>
      </c>
      <c r="C2880" s="2" t="s">
        <v>177</v>
      </c>
      <c r="D2880" s="20">
        <v>0</v>
      </c>
      <c r="E2880" s="2" t="s">
        <v>838</v>
      </c>
      <c r="F2880" s="2" t="s">
        <v>793</v>
      </c>
      <c r="G2880" s="2" t="s">
        <v>3301</v>
      </c>
      <c r="H2880" s="2" t="s">
        <v>952</v>
      </c>
      <c r="J2880" s="26"/>
      <c r="K2880" s="36">
        <v>2.8087000000000001E-4</v>
      </c>
      <c r="L2880" s="23">
        <v>2.809E-5</v>
      </c>
    </row>
    <row r="2881" spans="1:12" ht="15.35" hidden="1" x14ac:dyDescent="0.55000000000000004">
      <c r="A2881" s="20">
        <v>16132</v>
      </c>
      <c r="B2881" s="2" t="s">
        <v>176</v>
      </c>
      <c r="C2881" s="2" t="s">
        <v>177</v>
      </c>
      <c r="D2881" s="20">
        <v>0</v>
      </c>
      <c r="E2881" s="2" t="s">
        <v>838</v>
      </c>
      <c r="F2881" s="2" t="s">
        <v>793</v>
      </c>
      <c r="G2881" s="2" t="s">
        <v>3302</v>
      </c>
      <c r="H2881" s="2" t="s">
        <v>952</v>
      </c>
      <c r="J2881" s="26"/>
      <c r="K2881" s="36">
        <v>1.7009999999999999E-4</v>
      </c>
      <c r="L2881" s="23">
        <v>1.7010000000000001E-5</v>
      </c>
    </row>
    <row r="2882" spans="1:12" ht="15.35" hidden="1" x14ac:dyDescent="0.55000000000000004">
      <c r="A2882" s="20">
        <v>16693</v>
      </c>
      <c r="B2882" s="2" t="s">
        <v>176</v>
      </c>
      <c r="C2882" s="2" t="s">
        <v>177</v>
      </c>
      <c r="D2882" s="20">
        <v>0</v>
      </c>
      <c r="E2882" s="2" t="s">
        <v>838</v>
      </c>
      <c r="F2882" s="2" t="s">
        <v>793</v>
      </c>
      <c r="G2882" s="2" t="s">
        <v>3303</v>
      </c>
      <c r="H2882" s="2" t="s">
        <v>952</v>
      </c>
      <c r="J2882" s="26"/>
      <c r="K2882" s="36">
        <v>2.0175E-4</v>
      </c>
      <c r="L2882" s="23">
        <v>2.0169999999999998E-5</v>
      </c>
    </row>
    <row r="2883" spans="1:12" ht="15.35" hidden="1" x14ac:dyDescent="0.55000000000000004">
      <c r="A2883" s="20">
        <v>16293</v>
      </c>
      <c r="B2883" s="2" t="s">
        <v>176</v>
      </c>
      <c r="C2883" s="2" t="s">
        <v>177</v>
      </c>
      <c r="D2883" s="20">
        <v>0</v>
      </c>
      <c r="E2883" s="2" t="s">
        <v>838</v>
      </c>
      <c r="F2883" s="2" t="s">
        <v>793</v>
      </c>
      <c r="G2883" s="2" t="s">
        <v>3304</v>
      </c>
      <c r="H2883" s="2" t="s">
        <v>952</v>
      </c>
      <c r="J2883" s="26"/>
      <c r="K2883" s="36">
        <v>4.7471500000000003E-3</v>
      </c>
      <c r="L2883" s="23">
        <v>4.7470999999999999E-4</v>
      </c>
    </row>
    <row r="2884" spans="1:12" ht="15.35" hidden="1" x14ac:dyDescent="0.55000000000000004">
      <c r="A2884" s="20">
        <v>16414</v>
      </c>
      <c r="B2884" s="2" t="s">
        <v>176</v>
      </c>
      <c r="C2884" s="2" t="s">
        <v>177</v>
      </c>
      <c r="D2884" s="20">
        <v>0</v>
      </c>
      <c r="E2884" s="2" t="s">
        <v>838</v>
      </c>
      <c r="F2884" s="2" t="s">
        <v>793</v>
      </c>
      <c r="G2884" s="2" t="s">
        <v>3305</v>
      </c>
      <c r="H2884" s="2" t="s">
        <v>952</v>
      </c>
      <c r="J2884" s="26"/>
      <c r="K2884" s="36">
        <v>5.9330000000000003E-5</v>
      </c>
      <c r="L2884" s="23">
        <v>5.93E-6</v>
      </c>
    </row>
    <row r="2885" spans="1:12" ht="15.35" hidden="1" x14ac:dyDescent="0.55000000000000004">
      <c r="A2885" s="20">
        <v>16258</v>
      </c>
      <c r="B2885" s="2" t="s">
        <v>176</v>
      </c>
      <c r="C2885" s="2" t="s">
        <v>177</v>
      </c>
      <c r="D2885" s="20">
        <v>0</v>
      </c>
      <c r="E2885" s="2" t="s">
        <v>838</v>
      </c>
      <c r="F2885" s="2" t="s">
        <v>793</v>
      </c>
      <c r="G2885" s="2" t="s">
        <v>3306</v>
      </c>
      <c r="H2885" s="2" t="s">
        <v>952</v>
      </c>
      <c r="J2885" s="26"/>
      <c r="K2885" s="36">
        <v>5.9330000000000003E-5</v>
      </c>
      <c r="L2885" s="23">
        <v>5.93E-6</v>
      </c>
    </row>
    <row r="2886" spans="1:12" ht="15.35" hidden="1" x14ac:dyDescent="0.55000000000000004">
      <c r="A2886" s="20">
        <v>16138</v>
      </c>
      <c r="B2886" s="2" t="s">
        <v>176</v>
      </c>
      <c r="C2886" s="2" t="s">
        <v>177</v>
      </c>
      <c r="D2886" s="20">
        <v>0</v>
      </c>
      <c r="E2886" s="2" t="s">
        <v>838</v>
      </c>
      <c r="F2886" s="2" t="s">
        <v>793</v>
      </c>
      <c r="G2886" s="2" t="s">
        <v>3307</v>
      </c>
      <c r="H2886" s="2" t="s">
        <v>952</v>
      </c>
      <c r="J2886" s="26"/>
      <c r="K2886" s="36">
        <v>5.9330000000000003E-5</v>
      </c>
      <c r="L2886" s="23">
        <v>5.93E-6</v>
      </c>
    </row>
    <row r="2887" spans="1:12" ht="15.35" hidden="1" x14ac:dyDescent="0.55000000000000004">
      <c r="A2887" s="20">
        <v>16049</v>
      </c>
      <c r="B2887" s="2" t="s">
        <v>176</v>
      </c>
      <c r="C2887" s="2" t="s">
        <v>177</v>
      </c>
      <c r="D2887" s="20">
        <v>0</v>
      </c>
      <c r="E2887" s="2" t="s">
        <v>838</v>
      </c>
      <c r="F2887" s="2" t="s">
        <v>793</v>
      </c>
      <c r="G2887" s="2" t="s">
        <v>3308</v>
      </c>
      <c r="H2887" s="2" t="s">
        <v>952</v>
      </c>
      <c r="J2887" s="26"/>
      <c r="K2887" s="36">
        <v>5.9330000000000003E-5</v>
      </c>
      <c r="L2887" s="23">
        <v>5.93E-6</v>
      </c>
    </row>
    <row r="2888" spans="1:12" ht="15.35" hidden="1" x14ac:dyDescent="0.55000000000000004">
      <c r="A2888" s="20">
        <v>16241</v>
      </c>
      <c r="B2888" s="2" t="s">
        <v>176</v>
      </c>
      <c r="C2888" s="2" t="s">
        <v>177</v>
      </c>
      <c r="D2888" s="20">
        <v>0</v>
      </c>
      <c r="E2888" s="2" t="s">
        <v>838</v>
      </c>
      <c r="F2888" s="2" t="s">
        <v>793</v>
      </c>
      <c r="G2888" s="2" t="s">
        <v>3309</v>
      </c>
      <c r="H2888" s="2" t="s">
        <v>952</v>
      </c>
      <c r="J2888" s="26"/>
      <c r="K2888" s="36">
        <v>5.9330000000000003E-5</v>
      </c>
      <c r="L2888" s="23">
        <v>5.93E-6</v>
      </c>
    </row>
    <row r="2889" spans="1:12" ht="15.35" hidden="1" x14ac:dyDescent="0.55000000000000004">
      <c r="A2889" s="20">
        <v>16273</v>
      </c>
      <c r="B2889" s="2" t="s">
        <v>176</v>
      </c>
      <c r="C2889" s="2" t="s">
        <v>177</v>
      </c>
      <c r="D2889" s="20">
        <v>0</v>
      </c>
      <c r="E2889" s="2" t="s">
        <v>838</v>
      </c>
      <c r="F2889" s="2" t="s">
        <v>793</v>
      </c>
      <c r="G2889" s="2" t="s">
        <v>3310</v>
      </c>
      <c r="H2889" s="2" t="s">
        <v>952</v>
      </c>
      <c r="J2889" s="26"/>
      <c r="K2889" s="36">
        <v>5.9330000000000003E-5</v>
      </c>
      <c r="L2889" s="23">
        <v>5.93E-6</v>
      </c>
    </row>
    <row r="2890" spans="1:12" ht="15.35" hidden="1" x14ac:dyDescent="0.55000000000000004">
      <c r="A2890" s="20">
        <v>16741</v>
      </c>
      <c r="B2890" s="2" t="s">
        <v>176</v>
      </c>
      <c r="C2890" s="2" t="s">
        <v>177</v>
      </c>
      <c r="D2890" s="20">
        <v>0</v>
      </c>
      <c r="E2890" s="2" t="s">
        <v>838</v>
      </c>
      <c r="F2890" s="2" t="s">
        <v>793</v>
      </c>
      <c r="G2890" s="2" t="s">
        <v>3311</v>
      </c>
      <c r="H2890" s="2" t="s">
        <v>952</v>
      </c>
      <c r="J2890" s="26"/>
      <c r="K2890" s="36">
        <v>8.3070000000000003E-5</v>
      </c>
      <c r="L2890" s="23">
        <v>8.3100000000000001E-6</v>
      </c>
    </row>
    <row r="2891" spans="1:12" ht="15.35" hidden="1" x14ac:dyDescent="0.55000000000000004">
      <c r="A2891" s="20">
        <v>16305</v>
      </c>
      <c r="B2891" s="2" t="s">
        <v>176</v>
      </c>
      <c r="C2891" s="2" t="s">
        <v>177</v>
      </c>
      <c r="D2891" s="20">
        <v>0</v>
      </c>
      <c r="E2891" s="2" t="s">
        <v>838</v>
      </c>
      <c r="F2891" s="2" t="s">
        <v>793</v>
      </c>
      <c r="G2891" s="2" t="s">
        <v>3312</v>
      </c>
      <c r="H2891" s="2" t="s">
        <v>952</v>
      </c>
      <c r="J2891" s="26"/>
      <c r="K2891" s="36">
        <v>5.9330000000000003E-5</v>
      </c>
      <c r="L2891" s="23">
        <v>5.93E-6</v>
      </c>
    </row>
    <row r="2892" spans="1:12" ht="15.35" hidden="1" x14ac:dyDescent="0.55000000000000004">
      <c r="A2892" s="20">
        <v>16547</v>
      </c>
      <c r="B2892" s="2" t="s">
        <v>176</v>
      </c>
      <c r="C2892" s="2" t="s">
        <v>177</v>
      </c>
      <c r="D2892" s="20">
        <v>0</v>
      </c>
      <c r="E2892" s="2" t="s">
        <v>838</v>
      </c>
      <c r="F2892" s="2" t="s">
        <v>793</v>
      </c>
      <c r="G2892" s="2" t="s">
        <v>3313</v>
      </c>
      <c r="H2892" s="2" t="s">
        <v>952</v>
      </c>
      <c r="J2892" s="26"/>
      <c r="K2892" s="36">
        <v>2.2547999999999999E-4</v>
      </c>
      <c r="L2892" s="23">
        <v>2.2549999999999999E-5</v>
      </c>
    </row>
    <row r="2893" spans="1:12" ht="15.35" hidden="1" x14ac:dyDescent="0.55000000000000004">
      <c r="A2893" s="20">
        <v>16255</v>
      </c>
      <c r="B2893" s="2" t="s">
        <v>176</v>
      </c>
      <c r="C2893" s="2" t="s">
        <v>177</v>
      </c>
      <c r="D2893" s="20">
        <v>0</v>
      </c>
      <c r="E2893" s="2" t="s">
        <v>838</v>
      </c>
      <c r="F2893" s="2" t="s">
        <v>793</v>
      </c>
      <c r="G2893" s="2" t="s">
        <v>3314</v>
      </c>
      <c r="H2893" s="2" t="s">
        <v>952</v>
      </c>
      <c r="J2893" s="26"/>
      <c r="K2893" s="36">
        <v>4.5492999999999998E-4</v>
      </c>
      <c r="L2893" s="23">
        <v>4.549E-5</v>
      </c>
    </row>
    <row r="2894" spans="1:12" ht="15.35" hidden="1" x14ac:dyDescent="0.55000000000000004">
      <c r="A2894" s="20">
        <v>16385</v>
      </c>
      <c r="B2894" s="2" t="s">
        <v>176</v>
      </c>
      <c r="C2894" s="2" t="s">
        <v>177</v>
      </c>
      <c r="D2894" s="20">
        <v>0</v>
      </c>
      <c r="E2894" s="2" t="s">
        <v>838</v>
      </c>
      <c r="F2894" s="2" t="s">
        <v>793</v>
      </c>
      <c r="G2894" s="2" t="s">
        <v>3315</v>
      </c>
      <c r="H2894" s="2" t="s">
        <v>952</v>
      </c>
      <c r="J2894" s="26"/>
      <c r="K2894" s="36">
        <v>8.3075200000000005E-3</v>
      </c>
      <c r="L2894" s="23">
        <v>8.3075E-4</v>
      </c>
    </row>
    <row r="2895" spans="1:12" ht="15.35" hidden="1" x14ac:dyDescent="0.55000000000000004">
      <c r="A2895" s="20">
        <v>16511</v>
      </c>
      <c r="B2895" s="2" t="s">
        <v>176</v>
      </c>
      <c r="C2895" s="2" t="s">
        <v>177</v>
      </c>
      <c r="D2895" s="20">
        <v>0</v>
      </c>
      <c r="E2895" s="2" t="s">
        <v>838</v>
      </c>
      <c r="F2895" s="2" t="s">
        <v>793</v>
      </c>
      <c r="G2895" s="2" t="s">
        <v>3316</v>
      </c>
      <c r="H2895" s="2" t="s">
        <v>952</v>
      </c>
      <c r="J2895" s="26"/>
      <c r="K2895" s="36">
        <v>6.7249999999999995E-5</v>
      </c>
      <c r="L2895" s="23">
        <v>6.7299999999999999E-6</v>
      </c>
    </row>
    <row r="2896" spans="1:12" ht="15.35" hidden="1" x14ac:dyDescent="0.55000000000000004">
      <c r="A2896" s="20">
        <v>16548</v>
      </c>
      <c r="B2896" s="2" t="s">
        <v>176</v>
      </c>
      <c r="C2896" s="2" t="s">
        <v>177</v>
      </c>
      <c r="D2896" s="20">
        <v>0</v>
      </c>
      <c r="E2896" s="2" t="s">
        <v>838</v>
      </c>
      <c r="F2896" s="2" t="s">
        <v>793</v>
      </c>
      <c r="G2896" s="2" t="s">
        <v>3317</v>
      </c>
      <c r="H2896" s="2" t="s">
        <v>952</v>
      </c>
      <c r="J2896" s="26"/>
      <c r="K2896" s="36">
        <v>3.0855999999999999E-4</v>
      </c>
      <c r="L2896" s="23">
        <v>3.0859999999999999E-5</v>
      </c>
    </row>
    <row r="2897" spans="1:12" ht="15.35" hidden="1" x14ac:dyDescent="0.55000000000000004">
      <c r="A2897" s="20">
        <v>16232</v>
      </c>
      <c r="B2897" s="2" t="s">
        <v>176</v>
      </c>
      <c r="C2897" s="2" t="s">
        <v>177</v>
      </c>
      <c r="D2897" s="20">
        <v>0</v>
      </c>
      <c r="E2897" s="2" t="s">
        <v>838</v>
      </c>
      <c r="F2897" s="2" t="s">
        <v>793</v>
      </c>
      <c r="G2897" s="2" t="s">
        <v>3318</v>
      </c>
      <c r="H2897" s="2" t="s">
        <v>952</v>
      </c>
      <c r="J2897" s="26"/>
      <c r="K2897" s="36">
        <v>2.2547999999999999E-4</v>
      </c>
      <c r="L2897" s="23">
        <v>2.2549999999999999E-5</v>
      </c>
    </row>
    <row r="2898" spans="1:12" ht="15.35" hidden="1" x14ac:dyDescent="0.55000000000000004">
      <c r="A2898" s="20">
        <v>16295</v>
      </c>
      <c r="B2898" s="2" t="s">
        <v>176</v>
      </c>
      <c r="C2898" s="2" t="s">
        <v>177</v>
      </c>
      <c r="D2898" s="20">
        <v>0</v>
      </c>
      <c r="E2898" s="2" t="s">
        <v>838</v>
      </c>
      <c r="F2898" s="2" t="s">
        <v>793</v>
      </c>
      <c r="G2898" s="2" t="s">
        <v>3319</v>
      </c>
      <c r="H2898" s="2" t="s">
        <v>952</v>
      </c>
      <c r="J2898" s="26"/>
      <c r="K2898" s="36">
        <v>2.3735E-4</v>
      </c>
      <c r="L2898" s="23">
        <v>2.3730000000000001E-5</v>
      </c>
    </row>
    <row r="2899" spans="1:12" ht="15.35" hidden="1" x14ac:dyDescent="0.55000000000000004">
      <c r="A2899" s="20">
        <v>15997</v>
      </c>
      <c r="B2899" s="2" t="s">
        <v>176</v>
      </c>
      <c r="C2899" s="2" t="s">
        <v>177</v>
      </c>
      <c r="D2899" s="20">
        <v>0</v>
      </c>
      <c r="E2899" s="2" t="s">
        <v>838</v>
      </c>
      <c r="F2899" s="2" t="s">
        <v>793</v>
      </c>
      <c r="G2899" s="2" t="s">
        <v>3320</v>
      </c>
      <c r="H2899" s="2" t="s">
        <v>952</v>
      </c>
      <c r="J2899" s="26"/>
      <c r="K2899" s="36">
        <v>1.5032000000000001E-4</v>
      </c>
      <c r="L2899" s="23">
        <v>1.503E-5</v>
      </c>
    </row>
    <row r="2900" spans="1:12" ht="15.35" hidden="1" x14ac:dyDescent="0.55000000000000004">
      <c r="A2900" s="20">
        <v>16315</v>
      </c>
      <c r="B2900" s="2" t="s">
        <v>176</v>
      </c>
      <c r="C2900" s="2" t="s">
        <v>177</v>
      </c>
      <c r="D2900" s="20">
        <v>0</v>
      </c>
      <c r="E2900" s="2" t="s">
        <v>838</v>
      </c>
      <c r="F2900" s="2" t="s">
        <v>793</v>
      </c>
      <c r="G2900" s="2" t="s">
        <v>3321</v>
      </c>
      <c r="H2900" s="2" t="s">
        <v>952</v>
      </c>
      <c r="J2900" s="26"/>
      <c r="K2900" s="36">
        <v>3.5998999999999997E-4</v>
      </c>
      <c r="L2900" s="23">
        <v>3.6000000000000001E-5</v>
      </c>
    </row>
    <row r="2901" spans="1:12" ht="15.35" hidden="1" x14ac:dyDescent="0.55000000000000004">
      <c r="A2901" s="20">
        <v>16424</v>
      </c>
      <c r="B2901" s="2" t="s">
        <v>176</v>
      </c>
      <c r="C2901" s="2" t="s">
        <v>177</v>
      </c>
      <c r="D2901" s="20">
        <v>0</v>
      </c>
      <c r="E2901" s="2" t="s">
        <v>838</v>
      </c>
      <c r="F2901" s="2" t="s">
        <v>793</v>
      </c>
      <c r="G2901" s="2" t="s">
        <v>3322</v>
      </c>
      <c r="H2901" s="2" t="s">
        <v>952</v>
      </c>
      <c r="J2901" s="26"/>
      <c r="K2901" s="36">
        <v>1.7406E-4</v>
      </c>
      <c r="L2901" s="23">
        <v>1.7410000000000001E-5</v>
      </c>
    </row>
    <row r="2902" spans="1:12" ht="15.35" hidden="1" x14ac:dyDescent="0.55000000000000004">
      <c r="A2902" s="20">
        <v>16337</v>
      </c>
      <c r="B2902" s="2" t="s">
        <v>176</v>
      </c>
      <c r="C2902" s="2" t="s">
        <v>177</v>
      </c>
      <c r="D2902" s="20">
        <v>0</v>
      </c>
      <c r="E2902" s="2" t="s">
        <v>838</v>
      </c>
      <c r="F2902" s="2" t="s">
        <v>793</v>
      </c>
      <c r="G2902" s="2" t="s">
        <v>3323</v>
      </c>
      <c r="H2902" s="2" t="s">
        <v>952</v>
      </c>
      <c r="J2902" s="26"/>
      <c r="K2902" s="36">
        <v>1.8593E-4</v>
      </c>
      <c r="L2902" s="23">
        <v>1.859E-5</v>
      </c>
    </row>
    <row r="2903" spans="1:12" ht="15.35" hidden="1" x14ac:dyDescent="0.55000000000000004">
      <c r="A2903" s="20">
        <v>16492</v>
      </c>
      <c r="B2903" s="2" t="s">
        <v>176</v>
      </c>
      <c r="C2903" s="2" t="s">
        <v>177</v>
      </c>
      <c r="D2903" s="20">
        <v>0</v>
      </c>
      <c r="E2903" s="2" t="s">
        <v>838</v>
      </c>
      <c r="F2903" s="2" t="s">
        <v>793</v>
      </c>
      <c r="G2903" s="2" t="s">
        <v>3324</v>
      </c>
      <c r="H2903" s="2" t="s">
        <v>952</v>
      </c>
      <c r="J2903" s="26"/>
      <c r="K2903" s="36">
        <v>9.0591000000000001E-4</v>
      </c>
      <c r="L2903" s="23">
        <v>9.0589999999999998E-5</v>
      </c>
    </row>
    <row r="2904" spans="1:12" ht="15.35" hidden="1" x14ac:dyDescent="0.55000000000000004">
      <c r="A2904" s="20">
        <v>16625</v>
      </c>
      <c r="B2904" s="2" t="s">
        <v>176</v>
      </c>
      <c r="C2904" s="2" t="s">
        <v>177</v>
      </c>
      <c r="D2904" s="20">
        <v>0</v>
      </c>
      <c r="E2904" s="2" t="s">
        <v>838</v>
      </c>
      <c r="F2904" s="2" t="s">
        <v>793</v>
      </c>
      <c r="G2904" s="2" t="s">
        <v>3325</v>
      </c>
      <c r="H2904" s="2" t="s">
        <v>952</v>
      </c>
      <c r="J2904" s="26"/>
      <c r="K2904" s="36">
        <v>4.2328E-4</v>
      </c>
      <c r="L2904" s="23">
        <v>4.2330000000000003E-5</v>
      </c>
    </row>
    <row r="2905" spans="1:12" ht="15.35" hidden="1" x14ac:dyDescent="0.55000000000000004">
      <c r="A2905" s="20">
        <v>16522</v>
      </c>
      <c r="B2905" s="2" t="s">
        <v>176</v>
      </c>
      <c r="C2905" s="2" t="s">
        <v>177</v>
      </c>
      <c r="D2905" s="20">
        <v>0</v>
      </c>
      <c r="E2905" s="2" t="s">
        <v>838</v>
      </c>
      <c r="F2905" s="2" t="s">
        <v>793</v>
      </c>
      <c r="G2905" s="2" t="s">
        <v>3326</v>
      </c>
      <c r="H2905" s="2" t="s">
        <v>952</v>
      </c>
      <c r="J2905" s="26"/>
      <c r="K2905" s="36">
        <v>7.9110000000000007E-5</v>
      </c>
      <c r="L2905" s="23">
        <v>7.9100000000000005E-6</v>
      </c>
    </row>
    <row r="2906" spans="1:12" ht="15.35" hidden="1" x14ac:dyDescent="0.55000000000000004">
      <c r="A2906" s="20">
        <v>16052</v>
      </c>
      <c r="B2906" s="2" t="s">
        <v>176</v>
      </c>
      <c r="C2906" s="2" t="s">
        <v>177</v>
      </c>
      <c r="D2906" s="20">
        <v>0</v>
      </c>
      <c r="E2906" s="2" t="s">
        <v>838</v>
      </c>
      <c r="F2906" s="2" t="s">
        <v>793</v>
      </c>
      <c r="G2906" s="2" t="s">
        <v>3327</v>
      </c>
      <c r="H2906" s="2" t="s">
        <v>952</v>
      </c>
      <c r="J2906" s="26"/>
      <c r="K2906" s="36">
        <v>6.7249999999999995E-5</v>
      </c>
      <c r="L2906" s="23">
        <v>6.7299999999999999E-6</v>
      </c>
    </row>
    <row r="2907" spans="1:12" ht="15.35" hidden="1" x14ac:dyDescent="0.55000000000000004">
      <c r="A2907" s="20">
        <v>16200</v>
      </c>
      <c r="B2907" s="2" t="s">
        <v>176</v>
      </c>
      <c r="C2907" s="2" t="s">
        <v>177</v>
      </c>
      <c r="D2907" s="20">
        <v>0</v>
      </c>
      <c r="E2907" s="2" t="s">
        <v>838</v>
      </c>
      <c r="F2907" s="2" t="s">
        <v>793</v>
      </c>
      <c r="G2907" s="2" t="s">
        <v>3328</v>
      </c>
      <c r="H2907" s="2" t="s">
        <v>952</v>
      </c>
      <c r="J2907" s="26"/>
      <c r="K2907" s="36">
        <v>5.5380000000000002E-5</v>
      </c>
      <c r="L2907" s="23">
        <v>5.5400000000000003E-6</v>
      </c>
    </row>
    <row r="2908" spans="1:12" ht="15.35" hidden="1" x14ac:dyDescent="0.55000000000000004">
      <c r="A2908" s="20">
        <v>16213</v>
      </c>
      <c r="B2908" s="2" t="s">
        <v>176</v>
      </c>
      <c r="C2908" s="2" t="s">
        <v>177</v>
      </c>
      <c r="D2908" s="20">
        <v>0</v>
      </c>
      <c r="E2908" s="2" t="s">
        <v>838</v>
      </c>
      <c r="F2908" s="2" t="s">
        <v>793</v>
      </c>
      <c r="G2908" s="2" t="s">
        <v>3329</v>
      </c>
      <c r="H2908" s="2" t="s">
        <v>952</v>
      </c>
      <c r="J2908" s="26"/>
      <c r="K2908" s="36">
        <v>1.5427999999999999E-4</v>
      </c>
      <c r="L2908" s="23">
        <v>1.543E-5</v>
      </c>
    </row>
    <row r="2909" spans="1:12" ht="15.35" hidden="1" x14ac:dyDescent="0.55000000000000004">
      <c r="A2909" s="20">
        <v>16453</v>
      </c>
      <c r="B2909" s="2" t="s">
        <v>176</v>
      </c>
      <c r="C2909" s="2" t="s">
        <v>177</v>
      </c>
      <c r="D2909" s="20">
        <v>0</v>
      </c>
      <c r="E2909" s="2" t="s">
        <v>838</v>
      </c>
      <c r="F2909" s="2" t="s">
        <v>793</v>
      </c>
      <c r="G2909" s="2" t="s">
        <v>3330</v>
      </c>
      <c r="H2909" s="2" t="s">
        <v>952</v>
      </c>
      <c r="J2909" s="26"/>
      <c r="K2909" s="36">
        <v>7.1199999999999996E-5</v>
      </c>
      <c r="L2909" s="23">
        <v>7.1199999999999996E-6</v>
      </c>
    </row>
    <row r="2910" spans="1:12" ht="15.35" hidden="1" x14ac:dyDescent="0.55000000000000004">
      <c r="A2910" s="20">
        <v>16367</v>
      </c>
      <c r="B2910" s="2" t="s">
        <v>176</v>
      </c>
      <c r="C2910" s="2" t="s">
        <v>177</v>
      </c>
      <c r="D2910" s="20">
        <v>0</v>
      </c>
      <c r="E2910" s="2" t="s">
        <v>838</v>
      </c>
      <c r="F2910" s="2" t="s">
        <v>793</v>
      </c>
      <c r="G2910" s="2" t="s">
        <v>3331</v>
      </c>
      <c r="H2910" s="2" t="s">
        <v>952</v>
      </c>
      <c r="J2910" s="26"/>
      <c r="K2910" s="36">
        <v>2.2547999999999999E-4</v>
      </c>
      <c r="L2910" s="23">
        <v>2.2549999999999999E-5</v>
      </c>
    </row>
    <row r="2911" spans="1:12" ht="15.35" hidden="1" x14ac:dyDescent="0.55000000000000004">
      <c r="A2911" s="20">
        <v>16723</v>
      </c>
      <c r="B2911" s="2" t="s">
        <v>176</v>
      </c>
      <c r="C2911" s="2" t="s">
        <v>177</v>
      </c>
      <c r="D2911" s="20">
        <v>0</v>
      </c>
      <c r="E2911" s="2" t="s">
        <v>838</v>
      </c>
      <c r="F2911" s="2" t="s">
        <v>793</v>
      </c>
      <c r="G2911" s="2" t="s">
        <v>3332</v>
      </c>
      <c r="H2911" s="2" t="s">
        <v>952</v>
      </c>
      <c r="J2911" s="26"/>
      <c r="K2911" s="36">
        <v>3.2437999999999998E-4</v>
      </c>
      <c r="L2911" s="23">
        <v>3.2440000000000001E-5</v>
      </c>
    </row>
    <row r="2912" spans="1:12" ht="15.35" hidden="1" x14ac:dyDescent="0.55000000000000004">
      <c r="A2912" s="20">
        <v>16072</v>
      </c>
      <c r="B2912" s="2" t="s">
        <v>176</v>
      </c>
      <c r="C2912" s="2" t="s">
        <v>177</v>
      </c>
      <c r="D2912" s="20">
        <v>0</v>
      </c>
      <c r="E2912" s="2" t="s">
        <v>838</v>
      </c>
      <c r="F2912" s="2" t="s">
        <v>793</v>
      </c>
      <c r="G2912" s="2" t="s">
        <v>3333</v>
      </c>
      <c r="H2912" s="2" t="s">
        <v>952</v>
      </c>
      <c r="J2912" s="26"/>
      <c r="K2912" s="36">
        <v>2.0966E-4</v>
      </c>
      <c r="L2912" s="23">
        <v>2.0970000000000001E-5</v>
      </c>
    </row>
    <row r="2913" spans="1:12" ht="15.35" hidden="1" x14ac:dyDescent="0.55000000000000004">
      <c r="A2913" s="20">
        <v>16017</v>
      </c>
      <c r="B2913" s="2" t="s">
        <v>176</v>
      </c>
      <c r="C2913" s="2" t="s">
        <v>177</v>
      </c>
      <c r="D2913" s="20">
        <v>0</v>
      </c>
      <c r="E2913" s="2" t="s">
        <v>838</v>
      </c>
      <c r="F2913" s="2" t="s">
        <v>793</v>
      </c>
      <c r="G2913" s="2" t="s">
        <v>3334</v>
      </c>
      <c r="H2913" s="2" t="s">
        <v>952</v>
      </c>
      <c r="J2913" s="26"/>
      <c r="K2913" s="36">
        <v>3.7581000000000002E-4</v>
      </c>
      <c r="L2913" s="23">
        <v>3.7580000000000003E-5</v>
      </c>
    </row>
    <row r="2914" spans="1:12" ht="15.35" hidden="1" x14ac:dyDescent="0.55000000000000004">
      <c r="A2914" s="20">
        <v>16433</v>
      </c>
      <c r="B2914" s="2" t="s">
        <v>176</v>
      </c>
      <c r="C2914" s="2" t="s">
        <v>177</v>
      </c>
      <c r="D2914" s="20">
        <v>0</v>
      </c>
      <c r="E2914" s="2" t="s">
        <v>838</v>
      </c>
      <c r="F2914" s="2" t="s">
        <v>793</v>
      </c>
      <c r="G2914" s="2" t="s">
        <v>3335</v>
      </c>
      <c r="H2914" s="2" t="s">
        <v>952</v>
      </c>
      <c r="J2914" s="26"/>
      <c r="K2914" s="36">
        <v>1.1076E-4</v>
      </c>
      <c r="L2914" s="23">
        <v>1.1080000000000001E-5</v>
      </c>
    </row>
    <row r="2915" spans="1:12" ht="15.35" hidden="1" x14ac:dyDescent="0.55000000000000004">
      <c r="A2915" s="20">
        <v>16538</v>
      </c>
      <c r="B2915" s="2" t="s">
        <v>176</v>
      </c>
      <c r="C2915" s="2" t="s">
        <v>177</v>
      </c>
      <c r="D2915" s="20">
        <v>0</v>
      </c>
      <c r="E2915" s="2" t="s">
        <v>838</v>
      </c>
      <c r="F2915" s="2" t="s">
        <v>793</v>
      </c>
      <c r="G2915" s="2" t="s">
        <v>3336</v>
      </c>
      <c r="H2915" s="2" t="s">
        <v>952</v>
      </c>
      <c r="J2915" s="26"/>
      <c r="K2915" s="36">
        <v>1.0681E-4</v>
      </c>
      <c r="L2915" s="23">
        <v>1.0679999999999999E-5</v>
      </c>
    </row>
    <row r="2916" spans="1:12" ht="15.35" hidden="1" x14ac:dyDescent="0.55000000000000004">
      <c r="A2916" s="20">
        <v>16175</v>
      </c>
      <c r="B2916" s="2" t="s">
        <v>176</v>
      </c>
      <c r="C2916" s="2" t="s">
        <v>177</v>
      </c>
      <c r="D2916" s="20">
        <v>0</v>
      </c>
      <c r="E2916" s="2" t="s">
        <v>838</v>
      </c>
      <c r="F2916" s="2" t="s">
        <v>793</v>
      </c>
      <c r="G2916" s="2" t="s">
        <v>3337</v>
      </c>
      <c r="H2916" s="2" t="s">
        <v>952</v>
      </c>
      <c r="J2916" s="26"/>
      <c r="K2916" s="36">
        <v>1.2658999999999999E-4</v>
      </c>
      <c r="L2916" s="23">
        <v>1.2660000000000001E-5</v>
      </c>
    </row>
    <row r="2917" spans="1:12" ht="15.35" hidden="1" x14ac:dyDescent="0.55000000000000004">
      <c r="A2917" s="20">
        <v>16103</v>
      </c>
      <c r="B2917" s="2" t="s">
        <v>176</v>
      </c>
      <c r="C2917" s="2" t="s">
        <v>177</v>
      </c>
      <c r="D2917" s="20">
        <v>0</v>
      </c>
      <c r="E2917" s="2" t="s">
        <v>838</v>
      </c>
      <c r="F2917" s="2" t="s">
        <v>789</v>
      </c>
      <c r="G2917" s="2" t="s">
        <v>1689</v>
      </c>
      <c r="H2917" s="2" t="s">
        <v>1690</v>
      </c>
      <c r="J2917" s="26"/>
      <c r="K2917" s="36">
        <v>1.13536E-3</v>
      </c>
      <c r="L2917" s="23">
        <v>1.1354E-4</v>
      </c>
    </row>
    <row r="2918" spans="1:12" ht="15.35" hidden="1" x14ac:dyDescent="0.55000000000000004">
      <c r="A2918" s="20">
        <v>16383</v>
      </c>
      <c r="B2918" s="2" t="s">
        <v>176</v>
      </c>
      <c r="C2918" s="2" t="s">
        <v>177</v>
      </c>
      <c r="D2918" s="20">
        <v>0</v>
      </c>
      <c r="E2918" s="2" t="s">
        <v>838</v>
      </c>
      <c r="F2918" s="2" t="s">
        <v>789</v>
      </c>
      <c r="G2918" s="2" t="s">
        <v>1689</v>
      </c>
      <c r="H2918" s="2" t="s">
        <v>1690</v>
      </c>
      <c r="J2918" s="26"/>
      <c r="K2918" s="36">
        <v>1.13536E-3</v>
      </c>
      <c r="L2918" s="23">
        <v>1.1354E-4</v>
      </c>
    </row>
    <row r="2919" spans="1:12" ht="15.35" hidden="1" x14ac:dyDescent="0.55000000000000004">
      <c r="A2919" s="20">
        <v>16489</v>
      </c>
      <c r="B2919" s="2" t="s">
        <v>176</v>
      </c>
      <c r="C2919" s="2" t="s">
        <v>177</v>
      </c>
      <c r="D2919" s="20">
        <v>0</v>
      </c>
      <c r="E2919" s="2" t="s">
        <v>838</v>
      </c>
      <c r="F2919" s="2" t="s">
        <v>789</v>
      </c>
      <c r="G2919" s="2" t="s">
        <v>1691</v>
      </c>
      <c r="H2919" s="2" t="s">
        <v>1690</v>
      </c>
      <c r="J2919" s="26"/>
      <c r="K2919" s="36">
        <v>1.13536E-3</v>
      </c>
      <c r="L2919" s="23">
        <v>1.1354E-4</v>
      </c>
    </row>
    <row r="2920" spans="1:12" ht="15.35" hidden="1" x14ac:dyDescent="0.55000000000000004">
      <c r="A2920" s="20">
        <v>16043</v>
      </c>
      <c r="B2920" s="2" t="s">
        <v>176</v>
      </c>
      <c r="C2920" s="2" t="s">
        <v>177</v>
      </c>
      <c r="D2920" s="20">
        <v>0</v>
      </c>
      <c r="E2920" s="2" t="s">
        <v>838</v>
      </c>
      <c r="F2920" s="2" t="s">
        <v>793</v>
      </c>
      <c r="G2920" s="2" t="s">
        <v>3338</v>
      </c>
      <c r="H2920" s="2" t="s">
        <v>2458</v>
      </c>
      <c r="J2920" s="26"/>
      <c r="K2920" s="36">
        <v>4.2328E-4</v>
      </c>
      <c r="L2920" s="23">
        <v>4.2330000000000003E-5</v>
      </c>
    </row>
    <row r="2921" spans="1:12" ht="15.35" hidden="1" x14ac:dyDescent="0.55000000000000004">
      <c r="A2921" s="20">
        <v>16034</v>
      </c>
      <c r="B2921" s="2" t="s">
        <v>176</v>
      </c>
      <c r="C2921" s="2" t="s">
        <v>177</v>
      </c>
      <c r="D2921" s="20">
        <v>0</v>
      </c>
      <c r="E2921" s="2" t="s">
        <v>838</v>
      </c>
      <c r="F2921" s="2" t="s">
        <v>789</v>
      </c>
      <c r="G2921" s="2" t="s">
        <v>1692</v>
      </c>
      <c r="H2921" s="2" t="s">
        <v>1693</v>
      </c>
      <c r="J2921" s="26"/>
      <c r="K2921" s="36">
        <v>5.6570000000000004E-4</v>
      </c>
      <c r="L2921" s="23">
        <v>5.6570000000000002E-5</v>
      </c>
    </row>
    <row r="2922" spans="1:12" ht="15.35" hidden="1" x14ac:dyDescent="0.55000000000000004">
      <c r="A2922" s="20">
        <v>16180</v>
      </c>
      <c r="B2922" s="2" t="s">
        <v>176</v>
      </c>
      <c r="C2922" s="2" t="s">
        <v>177</v>
      </c>
      <c r="D2922" s="20">
        <v>0</v>
      </c>
      <c r="E2922" s="2" t="s">
        <v>838</v>
      </c>
      <c r="F2922" s="2" t="s">
        <v>793</v>
      </c>
      <c r="G2922" s="2" t="s">
        <v>3339</v>
      </c>
      <c r="H2922" s="2" t="s">
        <v>1695</v>
      </c>
      <c r="J2922" s="26"/>
      <c r="K2922" s="36">
        <v>1.3845800000000001E-3</v>
      </c>
      <c r="L2922" s="23">
        <v>1.3846E-4</v>
      </c>
    </row>
    <row r="2923" spans="1:12" ht="15.35" hidden="1" x14ac:dyDescent="0.55000000000000004">
      <c r="A2923" s="20">
        <v>16182</v>
      </c>
      <c r="B2923" s="2" t="s">
        <v>176</v>
      </c>
      <c r="C2923" s="2" t="s">
        <v>177</v>
      </c>
      <c r="D2923" s="20">
        <v>0</v>
      </c>
      <c r="E2923" s="2" t="s">
        <v>838</v>
      </c>
      <c r="F2923" s="2" t="s">
        <v>793</v>
      </c>
      <c r="G2923" s="2" t="s">
        <v>3340</v>
      </c>
      <c r="H2923" s="2" t="s">
        <v>1695</v>
      </c>
      <c r="J2923" s="26"/>
      <c r="K2923" s="36">
        <v>5.1419999999999999E-5</v>
      </c>
      <c r="L2923" s="23">
        <v>5.1399999999999999E-6</v>
      </c>
    </row>
    <row r="2924" spans="1:12" ht="15.35" hidden="1" x14ac:dyDescent="0.55000000000000004">
      <c r="A2924" s="20">
        <v>16145</v>
      </c>
      <c r="B2924" s="2" t="s">
        <v>176</v>
      </c>
      <c r="C2924" s="2" t="s">
        <v>177</v>
      </c>
      <c r="D2924" s="20">
        <v>0</v>
      </c>
      <c r="E2924" s="2" t="s">
        <v>838</v>
      </c>
      <c r="F2924" s="2" t="s">
        <v>793</v>
      </c>
      <c r="G2924" s="2" t="s">
        <v>3341</v>
      </c>
      <c r="H2924" s="2" t="s">
        <v>1695</v>
      </c>
      <c r="J2924" s="26"/>
      <c r="K2924" s="36">
        <v>7.4766999999999998E-4</v>
      </c>
      <c r="L2924" s="23">
        <v>7.4770000000000004E-5</v>
      </c>
    </row>
    <row r="2925" spans="1:12" ht="15.35" hidden="1" x14ac:dyDescent="0.55000000000000004">
      <c r="A2925" s="20">
        <v>15924</v>
      </c>
      <c r="B2925" s="2" t="s">
        <v>176</v>
      </c>
      <c r="C2925" s="2" t="s">
        <v>177</v>
      </c>
      <c r="D2925" s="20">
        <v>0</v>
      </c>
      <c r="E2925" s="2" t="s">
        <v>838</v>
      </c>
      <c r="F2925" s="2" t="s">
        <v>793</v>
      </c>
      <c r="G2925" s="2" t="s">
        <v>3342</v>
      </c>
      <c r="H2925" s="2" t="s">
        <v>1695</v>
      </c>
      <c r="J2925" s="26"/>
      <c r="K2925" s="36">
        <v>9.6524999999999996E-4</v>
      </c>
      <c r="L2925" s="23">
        <v>9.6520000000000004E-5</v>
      </c>
    </row>
    <row r="2926" spans="1:12" ht="15.35" hidden="1" x14ac:dyDescent="0.55000000000000004">
      <c r="A2926" s="20">
        <v>16147</v>
      </c>
      <c r="B2926" s="2" t="s">
        <v>176</v>
      </c>
      <c r="C2926" s="2" t="s">
        <v>177</v>
      </c>
      <c r="D2926" s="20">
        <v>0</v>
      </c>
      <c r="E2926" s="2" t="s">
        <v>838</v>
      </c>
      <c r="F2926" s="2" t="s">
        <v>793</v>
      </c>
      <c r="G2926" s="2" t="s">
        <v>3343</v>
      </c>
      <c r="H2926" s="2" t="s">
        <v>1695</v>
      </c>
      <c r="J2926" s="26"/>
      <c r="K2926" s="36">
        <v>1.3449999999999999E-4</v>
      </c>
      <c r="L2926" s="23">
        <v>1.345E-5</v>
      </c>
    </row>
    <row r="2927" spans="1:12" ht="15.35" hidden="1" x14ac:dyDescent="0.55000000000000004">
      <c r="A2927" s="20">
        <v>16372</v>
      </c>
      <c r="B2927" s="2" t="s">
        <v>176</v>
      </c>
      <c r="C2927" s="2" t="s">
        <v>177</v>
      </c>
      <c r="D2927" s="20">
        <v>0</v>
      </c>
      <c r="E2927" s="2" t="s">
        <v>838</v>
      </c>
      <c r="F2927" s="2" t="s">
        <v>793</v>
      </c>
      <c r="G2927" s="2" t="s">
        <v>3344</v>
      </c>
      <c r="H2927" s="2" t="s">
        <v>1695</v>
      </c>
      <c r="J2927" s="26"/>
      <c r="K2927" s="36">
        <v>1.2263000000000001E-4</v>
      </c>
      <c r="L2927" s="23">
        <v>1.226E-5</v>
      </c>
    </row>
    <row r="2928" spans="1:12" ht="15.35" hidden="1" x14ac:dyDescent="0.55000000000000004">
      <c r="A2928" s="20">
        <v>16195</v>
      </c>
      <c r="B2928" s="2" t="s">
        <v>176</v>
      </c>
      <c r="C2928" s="2" t="s">
        <v>177</v>
      </c>
      <c r="D2928" s="20">
        <v>0</v>
      </c>
      <c r="E2928" s="2" t="s">
        <v>838</v>
      </c>
      <c r="F2928" s="2" t="s">
        <v>793</v>
      </c>
      <c r="G2928" s="2" t="s">
        <v>3345</v>
      </c>
      <c r="H2928" s="2" t="s">
        <v>1695</v>
      </c>
      <c r="J2928" s="26"/>
      <c r="K2928" s="36">
        <v>2.3735E-4</v>
      </c>
      <c r="L2928" s="23">
        <v>2.3730000000000001E-5</v>
      </c>
    </row>
    <row r="2929" spans="1:12" ht="15.35" hidden="1" x14ac:dyDescent="0.55000000000000004">
      <c r="A2929" s="20">
        <v>16455</v>
      </c>
      <c r="B2929" s="2" t="s">
        <v>176</v>
      </c>
      <c r="C2929" s="2" t="s">
        <v>177</v>
      </c>
      <c r="D2929" s="20">
        <v>0</v>
      </c>
      <c r="E2929" s="2" t="s">
        <v>838</v>
      </c>
      <c r="F2929" s="2" t="s">
        <v>793</v>
      </c>
      <c r="G2929" s="2" t="s">
        <v>3346</v>
      </c>
      <c r="H2929" s="2" t="s">
        <v>3347</v>
      </c>
      <c r="J2929" s="26"/>
      <c r="K2929" s="36">
        <v>3.9954999999999998E-4</v>
      </c>
      <c r="L2929" s="23">
        <v>3.9950000000000002E-5</v>
      </c>
    </row>
    <row r="2930" spans="1:12" ht="15.35" hidden="1" x14ac:dyDescent="0.55000000000000004">
      <c r="A2930" s="20">
        <v>16650</v>
      </c>
      <c r="B2930" s="2" t="s">
        <v>176</v>
      </c>
      <c r="C2930" s="2" t="s">
        <v>177</v>
      </c>
      <c r="D2930" s="20">
        <v>0</v>
      </c>
      <c r="E2930" s="2" t="s">
        <v>838</v>
      </c>
      <c r="F2930" s="2" t="s">
        <v>811</v>
      </c>
      <c r="G2930" s="2" t="s">
        <v>3348</v>
      </c>
      <c r="H2930" s="2" t="s">
        <v>1448</v>
      </c>
      <c r="J2930" s="26"/>
      <c r="K2930" s="36">
        <v>5.6965E-4</v>
      </c>
      <c r="L2930" s="23">
        <v>5.6969999999999998E-5</v>
      </c>
    </row>
    <row r="2931" spans="1:12" ht="15.35" hidden="1" x14ac:dyDescent="0.55000000000000004">
      <c r="A2931" s="20">
        <v>16645</v>
      </c>
      <c r="B2931" s="2" t="s">
        <v>176</v>
      </c>
      <c r="C2931" s="2" t="s">
        <v>177</v>
      </c>
      <c r="D2931" s="20">
        <v>0</v>
      </c>
      <c r="E2931" s="2" t="s">
        <v>838</v>
      </c>
      <c r="F2931" s="2" t="s">
        <v>793</v>
      </c>
      <c r="G2931" s="2" t="s">
        <v>3349</v>
      </c>
      <c r="H2931" s="2" t="s">
        <v>3350</v>
      </c>
      <c r="J2931" s="26"/>
      <c r="K2931" s="36">
        <v>4.3510000000000002E-5</v>
      </c>
      <c r="L2931" s="23">
        <v>4.3499999999999999E-6</v>
      </c>
    </row>
    <row r="2932" spans="1:12" ht="15.35" hidden="1" x14ac:dyDescent="0.55000000000000004">
      <c r="A2932" s="20">
        <v>16204</v>
      </c>
      <c r="B2932" s="2" t="s">
        <v>176</v>
      </c>
      <c r="C2932" s="2" t="s">
        <v>177</v>
      </c>
      <c r="D2932" s="20">
        <v>0</v>
      </c>
      <c r="E2932" s="2" t="s">
        <v>838</v>
      </c>
      <c r="F2932" s="2" t="s">
        <v>793</v>
      </c>
      <c r="G2932" s="2" t="s">
        <v>3351</v>
      </c>
      <c r="H2932" s="2" t="s">
        <v>3350</v>
      </c>
      <c r="J2932" s="26"/>
      <c r="K2932" s="36">
        <v>3.9549999999999999E-5</v>
      </c>
      <c r="L2932" s="23">
        <v>3.9600000000000002E-6</v>
      </c>
    </row>
    <row r="2933" spans="1:12" ht="15.35" hidden="1" x14ac:dyDescent="0.55000000000000004">
      <c r="A2933" s="20">
        <v>16057</v>
      </c>
      <c r="B2933" s="2" t="s">
        <v>176</v>
      </c>
      <c r="C2933" s="2" t="s">
        <v>177</v>
      </c>
      <c r="D2933" s="20">
        <v>0</v>
      </c>
      <c r="E2933" s="2" t="s">
        <v>838</v>
      </c>
      <c r="F2933" s="2" t="s">
        <v>793</v>
      </c>
      <c r="G2933" s="2" t="s">
        <v>3352</v>
      </c>
      <c r="H2933" s="2" t="s">
        <v>3350</v>
      </c>
      <c r="J2933" s="26"/>
      <c r="K2933" s="36">
        <v>4.7469999999999998E-5</v>
      </c>
      <c r="L2933" s="23">
        <v>4.7500000000000003E-6</v>
      </c>
    </row>
    <row r="2934" spans="1:12" ht="15.35" hidden="1" x14ac:dyDescent="0.55000000000000004">
      <c r="A2934" s="20">
        <v>16047</v>
      </c>
      <c r="B2934" s="2" t="s">
        <v>176</v>
      </c>
      <c r="C2934" s="2" t="s">
        <v>177</v>
      </c>
      <c r="D2934" s="20">
        <v>0</v>
      </c>
      <c r="E2934" s="2" t="s">
        <v>838</v>
      </c>
      <c r="F2934" s="2" t="s">
        <v>793</v>
      </c>
      <c r="G2934" s="2" t="s">
        <v>3353</v>
      </c>
      <c r="H2934" s="2" t="s">
        <v>3350</v>
      </c>
      <c r="J2934" s="26"/>
      <c r="K2934" s="36">
        <v>3.9549999999999999E-5</v>
      </c>
      <c r="L2934" s="23">
        <v>3.9600000000000002E-6</v>
      </c>
    </row>
    <row r="2935" spans="1:12" ht="15.35" hidden="1" x14ac:dyDescent="0.55000000000000004">
      <c r="A2935" s="20">
        <v>16328</v>
      </c>
      <c r="B2935" s="2" t="s">
        <v>176</v>
      </c>
      <c r="C2935" s="2" t="s">
        <v>177</v>
      </c>
      <c r="D2935" s="20">
        <v>0</v>
      </c>
      <c r="E2935" s="2" t="s">
        <v>838</v>
      </c>
      <c r="F2935" s="2" t="s">
        <v>793</v>
      </c>
      <c r="G2935" s="2" t="s">
        <v>3354</v>
      </c>
      <c r="H2935" s="2" t="s">
        <v>3350</v>
      </c>
      <c r="J2935" s="26"/>
      <c r="K2935" s="36">
        <v>9.8889999999999997E-5</v>
      </c>
      <c r="L2935" s="23">
        <v>9.8900000000000002E-6</v>
      </c>
    </row>
    <row r="2936" spans="1:12" ht="15.35" hidden="1" x14ac:dyDescent="0.55000000000000004">
      <c r="A2936" s="20">
        <v>16082</v>
      </c>
      <c r="B2936" s="2" t="s">
        <v>176</v>
      </c>
      <c r="C2936" s="2" t="s">
        <v>177</v>
      </c>
      <c r="D2936" s="20">
        <v>0</v>
      </c>
      <c r="E2936" s="2" t="s">
        <v>838</v>
      </c>
      <c r="F2936" s="2" t="s">
        <v>793</v>
      </c>
      <c r="G2936" s="2" t="s">
        <v>3355</v>
      </c>
      <c r="H2936" s="2" t="s">
        <v>3350</v>
      </c>
      <c r="J2936" s="26"/>
      <c r="K2936" s="36">
        <v>5.5380000000000002E-5</v>
      </c>
      <c r="L2936" s="23">
        <v>5.5400000000000003E-6</v>
      </c>
    </row>
    <row r="2937" spans="1:12" ht="15.35" hidden="1" x14ac:dyDescent="0.55000000000000004">
      <c r="A2937" s="20">
        <v>16716</v>
      </c>
      <c r="B2937" s="2" t="s">
        <v>176</v>
      </c>
      <c r="C2937" s="2" t="s">
        <v>177</v>
      </c>
      <c r="D2937" s="20">
        <v>0</v>
      </c>
      <c r="E2937" s="2" t="s">
        <v>838</v>
      </c>
      <c r="F2937" s="2" t="s">
        <v>793</v>
      </c>
      <c r="G2937" s="2" t="s">
        <v>3356</v>
      </c>
      <c r="H2937" s="2" t="s">
        <v>3350</v>
      </c>
      <c r="J2937" s="26"/>
      <c r="K2937" s="36">
        <v>9.4939999999999996E-5</v>
      </c>
      <c r="L2937" s="23">
        <v>9.4900000000000006E-6</v>
      </c>
    </row>
    <row r="2938" spans="1:12" ht="15.35" hidden="1" x14ac:dyDescent="0.55000000000000004">
      <c r="A2938" s="20">
        <v>16676</v>
      </c>
      <c r="B2938" s="2" t="s">
        <v>176</v>
      </c>
      <c r="C2938" s="2" t="s">
        <v>177</v>
      </c>
      <c r="D2938" s="20">
        <v>0</v>
      </c>
      <c r="E2938" s="2" t="s">
        <v>838</v>
      </c>
      <c r="F2938" s="2" t="s">
        <v>793</v>
      </c>
      <c r="G2938" s="2" t="s">
        <v>3357</v>
      </c>
      <c r="H2938" s="2" t="s">
        <v>3350</v>
      </c>
      <c r="J2938" s="26"/>
      <c r="K2938" s="36">
        <v>6.7249999999999995E-5</v>
      </c>
      <c r="L2938" s="23">
        <v>6.7299999999999999E-6</v>
      </c>
    </row>
    <row r="2939" spans="1:12" ht="15.35" hidden="1" x14ac:dyDescent="0.55000000000000004">
      <c r="A2939" s="20">
        <v>15940</v>
      </c>
      <c r="B2939" s="2" t="s">
        <v>176</v>
      </c>
      <c r="C2939" s="2" t="s">
        <v>177</v>
      </c>
      <c r="D2939" s="20">
        <v>0</v>
      </c>
      <c r="E2939" s="2" t="s">
        <v>838</v>
      </c>
      <c r="F2939" s="2" t="s">
        <v>793</v>
      </c>
      <c r="G2939" s="2" t="s">
        <v>3358</v>
      </c>
      <c r="H2939" s="2" t="s">
        <v>3350</v>
      </c>
      <c r="J2939" s="26"/>
      <c r="K2939" s="36">
        <v>4.3510000000000002E-5</v>
      </c>
      <c r="L2939" s="23">
        <v>4.3499999999999999E-6</v>
      </c>
    </row>
    <row r="2940" spans="1:12" ht="15.35" hidden="1" x14ac:dyDescent="0.55000000000000004">
      <c r="A2940" s="20">
        <v>16398</v>
      </c>
      <c r="B2940" s="2" t="s">
        <v>176</v>
      </c>
      <c r="C2940" s="2" t="s">
        <v>177</v>
      </c>
      <c r="D2940" s="20">
        <v>0</v>
      </c>
      <c r="E2940" s="2" t="s">
        <v>838</v>
      </c>
      <c r="F2940" s="2" t="s">
        <v>793</v>
      </c>
      <c r="G2940" s="2" t="s">
        <v>3359</v>
      </c>
      <c r="H2940" s="2" t="s">
        <v>3350</v>
      </c>
      <c r="J2940" s="26"/>
      <c r="K2940" s="36">
        <v>2.2547999999999999E-4</v>
      </c>
      <c r="L2940" s="23">
        <v>2.2549999999999999E-5</v>
      </c>
    </row>
    <row r="2941" spans="1:12" ht="15.35" hidden="1" x14ac:dyDescent="0.55000000000000004">
      <c r="A2941" s="20">
        <v>16118</v>
      </c>
      <c r="B2941" s="2" t="s">
        <v>176</v>
      </c>
      <c r="C2941" s="2" t="s">
        <v>177</v>
      </c>
      <c r="D2941" s="20">
        <v>0</v>
      </c>
      <c r="E2941" s="2" t="s">
        <v>838</v>
      </c>
      <c r="F2941" s="2" t="s">
        <v>793</v>
      </c>
      <c r="G2941" s="2" t="s">
        <v>3360</v>
      </c>
      <c r="H2941" s="2" t="s">
        <v>3361</v>
      </c>
      <c r="J2941" s="26"/>
      <c r="K2941" s="36">
        <v>6.8437999999999995E-4</v>
      </c>
      <c r="L2941" s="23">
        <v>6.8440000000000002E-5</v>
      </c>
    </row>
    <row r="2942" spans="1:12" ht="15.35" x14ac:dyDescent="0.55000000000000004">
      <c r="A2942" s="20">
        <v>16130</v>
      </c>
      <c r="B2942" s="2" t="s">
        <v>176</v>
      </c>
      <c r="C2942" s="2" t="s">
        <v>177</v>
      </c>
      <c r="D2942" s="20">
        <v>0</v>
      </c>
      <c r="E2942" s="2" t="s">
        <v>838</v>
      </c>
      <c r="F2942" s="2" t="s">
        <v>793</v>
      </c>
      <c r="G2942" s="2" t="s">
        <v>3362</v>
      </c>
      <c r="J2942" s="26"/>
      <c r="K2942" s="36">
        <v>3.4415999999999998E-4</v>
      </c>
      <c r="L2942" s="23">
        <v>3.4419999999999999E-5</v>
      </c>
    </row>
    <row r="2943" spans="1:12" ht="15.35" hidden="1" x14ac:dyDescent="0.55000000000000004">
      <c r="A2943" s="20">
        <v>16361</v>
      </c>
      <c r="B2943" s="2" t="s">
        <v>176</v>
      </c>
      <c r="C2943" s="2" t="s">
        <v>177</v>
      </c>
      <c r="D2943" s="20">
        <v>0</v>
      </c>
      <c r="E2943" s="2" t="s">
        <v>838</v>
      </c>
      <c r="F2943" s="2" t="s">
        <v>848</v>
      </c>
      <c r="G2943" s="2" t="s">
        <v>1698</v>
      </c>
      <c r="H2943" s="2" t="s">
        <v>1698</v>
      </c>
      <c r="J2943" s="26"/>
      <c r="K2943" s="36">
        <v>2.2707199999999999E-3</v>
      </c>
      <c r="L2943" s="23">
        <v>2.2707000000000001E-4</v>
      </c>
    </row>
    <row r="2944" spans="1:12" ht="15.35" hidden="1" x14ac:dyDescent="0.55000000000000004">
      <c r="A2944" s="20">
        <v>16093</v>
      </c>
      <c r="B2944" s="2" t="s">
        <v>176</v>
      </c>
      <c r="C2944" s="2" t="s">
        <v>177</v>
      </c>
      <c r="D2944" s="20">
        <v>0</v>
      </c>
      <c r="E2944" s="2" t="s">
        <v>838</v>
      </c>
      <c r="F2944" s="2" t="s">
        <v>817</v>
      </c>
      <c r="G2944" s="2" t="s">
        <v>3363</v>
      </c>
      <c r="H2944" s="2" t="s">
        <v>3363</v>
      </c>
      <c r="J2944" s="26"/>
      <c r="K2944" s="36">
        <v>3.4060800000000001E-3</v>
      </c>
      <c r="L2944" s="23">
        <v>3.4060999999999998E-4</v>
      </c>
    </row>
    <row r="2945" spans="1:12" ht="15.35" hidden="1" x14ac:dyDescent="0.55000000000000004">
      <c r="A2945" s="20">
        <v>15985</v>
      </c>
      <c r="B2945" s="2" t="s">
        <v>176</v>
      </c>
      <c r="C2945" s="2" t="s">
        <v>177</v>
      </c>
      <c r="D2945" s="20">
        <v>0</v>
      </c>
      <c r="E2945" s="2" t="s">
        <v>838</v>
      </c>
      <c r="F2945" s="2" t="s">
        <v>817</v>
      </c>
      <c r="G2945" s="2" t="s">
        <v>3364</v>
      </c>
      <c r="H2945" s="2" t="s">
        <v>3363</v>
      </c>
      <c r="J2945" s="26"/>
      <c r="K2945" s="36">
        <v>2.50016E-3</v>
      </c>
      <c r="L2945" s="23">
        <v>2.5001999999999999E-4</v>
      </c>
    </row>
    <row r="2946" spans="1:12" ht="15.35" hidden="1" x14ac:dyDescent="0.55000000000000004">
      <c r="A2946" s="20">
        <v>15979</v>
      </c>
      <c r="B2946" s="2" t="s">
        <v>176</v>
      </c>
      <c r="C2946" s="2" t="s">
        <v>177</v>
      </c>
      <c r="D2946" s="20">
        <v>0</v>
      </c>
      <c r="E2946" s="2" t="s">
        <v>838</v>
      </c>
      <c r="F2946" s="2" t="s">
        <v>783</v>
      </c>
      <c r="G2946" s="2" t="s">
        <v>3365</v>
      </c>
      <c r="H2946" s="2" t="s">
        <v>3366</v>
      </c>
      <c r="J2946" s="26"/>
      <c r="K2946" s="36">
        <v>1.5032000000000001E-4</v>
      </c>
      <c r="L2946" s="23">
        <v>1.503E-5</v>
      </c>
    </row>
    <row r="2947" spans="1:12" ht="15.35" hidden="1" x14ac:dyDescent="0.55000000000000004">
      <c r="A2947" s="20">
        <v>16743</v>
      </c>
      <c r="B2947" s="2" t="s">
        <v>176</v>
      </c>
      <c r="C2947" s="2" t="s">
        <v>177</v>
      </c>
      <c r="D2947" s="20">
        <v>0</v>
      </c>
      <c r="E2947" s="2" t="s">
        <v>838</v>
      </c>
      <c r="F2947" s="2" t="s">
        <v>793</v>
      </c>
      <c r="G2947" s="2" t="s">
        <v>1148</v>
      </c>
      <c r="H2947" s="2" t="s">
        <v>1149</v>
      </c>
      <c r="J2947" s="26"/>
      <c r="K2947" s="36">
        <v>9.098E-5</v>
      </c>
      <c r="L2947" s="23">
        <v>9.0999999999999993E-6</v>
      </c>
    </row>
    <row r="2948" spans="1:12" ht="15.35" hidden="1" x14ac:dyDescent="0.55000000000000004">
      <c r="A2948" s="20">
        <v>16354</v>
      </c>
      <c r="B2948" s="2" t="s">
        <v>176</v>
      </c>
      <c r="C2948" s="2" t="s">
        <v>177</v>
      </c>
      <c r="D2948" s="20">
        <v>0</v>
      </c>
      <c r="E2948" s="2" t="s">
        <v>838</v>
      </c>
      <c r="F2948" s="2" t="s">
        <v>793</v>
      </c>
      <c r="G2948" s="2" t="s">
        <v>1150</v>
      </c>
      <c r="H2948" s="2" t="s">
        <v>1149</v>
      </c>
      <c r="J2948" s="26"/>
      <c r="K2948" s="36">
        <v>2.5713699999999999E-3</v>
      </c>
      <c r="L2948" s="23">
        <v>2.5713999999999999E-4</v>
      </c>
    </row>
    <row r="2949" spans="1:12" ht="15.35" hidden="1" x14ac:dyDescent="0.55000000000000004">
      <c r="A2949" s="20">
        <v>16623</v>
      </c>
      <c r="B2949" s="2" t="s">
        <v>176</v>
      </c>
      <c r="C2949" s="2" t="s">
        <v>177</v>
      </c>
      <c r="D2949" s="20">
        <v>0</v>
      </c>
      <c r="E2949" s="2" t="s">
        <v>838</v>
      </c>
      <c r="F2949" s="2" t="s">
        <v>793</v>
      </c>
      <c r="G2949" s="2" t="s">
        <v>1151</v>
      </c>
      <c r="H2949" s="2" t="s">
        <v>997</v>
      </c>
      <c r="J2949" s="26"/>
      <c r="K2949" s="36">
        <v>2.5713699999999999E-3</v>
      </c>
      <c r="L2949" s="23">
        <v>2.5713999999999999E-4</v>
      </c>
    </row>
    <row r="2950" spans="1:12" ht="15.35" hidden="1" x14ac:dyDescent="0.55000000000000004">
      <c r="A2950" s="20">
        <v>15966</v>
      </c>
      <c r="B2950" s="2" t="s">
        <v>176</v>
      </c>
      <c r="C2950" s="2" t="s">
        <v>177</v>
      </c>
      <c r="D2950" s="20">
        <v>0</v>
      </c>
      <c r="E2950" s="2" t="s">
        <v>838</v>
      </c>
      <c r="F2950" s="2" t="s">
        <v>793</v>
      </c>
      <c r="G2950" s="2" t="s">
        <v>1152</v>
      </c>
      <c r="H2950" s="2" t="s">
        <v>997</v>
      </c>
      <c r="J2950" s="26"/>
      <c r="K2950" s="36">
        <v>3.2834499999999998E-3</v>
      </c>
      <c r="L2950" s="23">
        <v>3.2834999999999999E-4</v>
      </c>
    </row>
    <row r="2951" spans="1:12" ht="15.35" hidden="1" x14ac:dyDescent="0.55000000000000004">
      <c r="A2951" s="20">
        <v>15925</v>
      </c>
      <c r="B2951" s="2" t="s">
        <v>176</v>
      </c>
      <c r="C2951" s="2" t="s">
        <v>177</v>
      </c>
      <c r="D2951" s="20">
        <v>0</v>
      </c>
      <c r="E2951" s="2" t="s">
        <v>838</v>
      </c>
      <c r="F2951" s="2" t="s">
        <v>793</v>
      </c>
      <c r="G2951" s="2" t="s">
        <v>3367</v>
      </c>
      <c r="H2951" s="2" t="s">
        <v>2627</v>
      </c>
      <c r="J2951" s="26"/>
      <c r="K2951" s="36">
        <v>2.2351099999999998E-3</v>
      </c>
      <c r="L2951" s="23">
        <v>2.2351000000000001E-4</v>
      </c>
    </row>
    <row r="2952" spans="1:12" ht="15.35" hidden="1" x14ac:dyDescent="0.55000000000000004">
      <c r="A2952" s="20">
        <v>16265</v>
      </c>
      <c r="B2952" s="2" t="s">
        <v>176</v>
      </c>
      <c r="C2952" s="2" t="s">
        <v>177</v>
      </c>
      <c r="D2952" s="20">
        <v>0</v>
      </c>
      <c r="E2952" s="2" t="s">
        <v>838</v>
      </c>
      <c r="F2952" s="2" t="s">
        <v>848</v>
      </c>
      <c r="G2952" s="2" t="s">
        <v>1707</v>
      </c>
      <c r="H2952" s="2" t="s">
        <v>1707</v>
      </c>
      <c r="J2952" s="26"/>
      <c r="K2952" s="36">
        <v>7.3857799999999998E-3</v>
      </c>
      <c r="L2952" s="23">
        <v>7.3857999999999997E-4</v>
      </c>
    </row>
    <row r="2953" spans="1:12" ht="15.35" hidden="1" x14ac:dyDescent="0.55000000000000004">
      <c r="A2953" s="20">
        <v>16069</v>
      </c>
      <c r="B2953" s="2" t="s">
        <v>176</v>
      </c>
      <c r="C2953" s="2" t="s">
        <v>177</v>
      </c>
      <c r="D2953" s="20">
        <v>0</v>
      </c>
      <c r="E2953" s="2" t="s">
        <v>838</v>
      </c>
      <c r="F2953" s="2" t="s">
        <v>793</v>
      </c>
      <c r="G2953" s="2" t="s">
        <v>2661</v>
      </c>
      <c r="H2953" s="2" t="s">
        <v>866</v>
      </c>
      <c r="J2953" s="26"/>
      <c r="K2953" s="36">
        <v>7.1207299999999996E-3</v>
      </c>
      <c r="L2953" s="23">
        <v>7.1206999999999998E-4</v>
      </c>
    </row>
    <row r="2954" spans="1:12" ht="15.35" hidden="1" x14ac:dyDescent="0.55000000000000004">
      <c r="A2954" s="20">
        <v>16054</v>
      </c>
      <c r="B2954" s="2" t="s">
        <v>176</v>
      </c>
      <c r="C2954" s="2" t="s">
        <v>177</v>
      </c>
      <c r="D2954" s="20">
        <v>0</v>
      </c>
      <c r="E2954" s="2" t="s">
        <v>838</v>
      </c>
      <c r="F2954" s="2" t="s">
        <v>848</v>
      </c>
      <c r="G2954" s="2" t="s">
        <v>3368</v>
      </c>
      <c r="H2954" s="2" t="s">
        <v>1153</v>
      </c>
      <c r="J2954" s="26"/>
      <c r="K2954" s="36">
        <v>8.3075200000000005E-3</v>
      </c>
      <c r="L2954" s="23">
        <v>8.3075E-4</v>
      </c>
    </row>
    <row r="2955" spans="1:12" ht="15.35" hidden="1" x14ac:dyDescent="0.55000000000000004">
      <c r="A2955" s="20">
        <v>16447</v>
      </c>
      <c r="B2955" s="2" t="s">
        <v>176</v>
      </c>
      <c r="C2955" s="2" t="s">
        <v>177</v>
      </c>
      <c r="D2955" s="20">
        <v>0</v>
      </c>
      <c r="E2955" s="2" t="s">
        <v>838</v>
      </c>
      <c r="F2955" s="2" t="s">
        <v>793</v>
      </c>
      <c r="G2955" s="2" t="s">
        <v>3369</v>
      </c>
      <c r="H2955" s="2" t="s">
        <v>3370</v>
      </c>
      <c r="J2955" s="26"/>
      <c r="K2955" s="36">
        <v>1.1076E-4</v>
      </c>
      <c r="L2955" s="23">
        <v>1.1080000000000001E-5</v>
      </c>
    </row>
    <row r="2956" spans="1:12" ht="15.35" hidden="1" x14ac:dyDescent="0.55000000000000004">
      <c r="A2956" s="20">
        <v>16737</v>
      </c>
      <c r="B2956" s="2" t="s">
        <v>176</v>
      </c>
      <c r="C2956" s="2" t="s">
        <v>177</v>
      </c>
      <c r="D2956" s="20">
        <v>0</v>
      </c>
      <c r="E2956" s="2" t="s">
        <v>838</v>
      </c>
      <c r="F2956" s="2" t="s">
        <v>793</v>
      </c>
      <c r="G2956" s="2" t="s">
        <v>3371</v>
      </c>
      <c r="H2956" s="2" t="s">
        <v>1155</v>
      </c>
      <c r="J2956" s="26"/>
      <c r="K2956" s="36">
        <v>5.9330000000000003E-5</v>
      </c>
      <c r="L2956" s="23">
        <v>5.93E-6</v>
      </c>
    </row>
    <row r="2957" spans="1:12" ht="15.35" hidden="1" x14ac:dyDescent="0.55000000000000004">
      <c r="A2957" s="20">
        <v>16157</v>
      </c>
      <c r="B2957" s="2" t="s">
        <v>176</v>
      </c>
      <c r="C2957" s="2" t="s">
        <v>177</v>
      </c>
      <c r="D2957" s="20">
        <v>0</v>
      </c>
      <c r="E2957" s="2" t="s">
        <v>838</v>
      </c>
      <c r="F2957" s="2" t="s">
        <v>793</v>
      </c>
      <c r="G2957" s="2" t="s">
        <v>1154</v>
      </c>
      <c r="H2957" s="2" t="s">
        <v>1155</v>
      </c>
      <c r="J2957" s="26"/>
      <c r="K2957" s="36">
        <v>9.2964999999999996E-4</v>
      </c>
      <c r="L2957" s="23">
        <v>9.2969999999999999E-5</v>
      </c>
    </row>
    <row r="2958" spans="1:12" ht="15.35" hidden="1" x14ac:dyDescent="0.55000000000000004">
      <c r="A2958" s="20">
        <v>16531</v>
      </c>
      <c r="B2958" s="2" t="s">
        <v>176</v>
      </c>
      <c r="C2958" s="2" t="s">
        <v>177</v>
      </c>
      <c r="D2958" s="20">
        <v>0</v>
      </c>
      <c r="E2958" s="2" t="s">
        <v>838</v>
      </c>
      <c r="F2958" s="2" t="s">
        <v>793</v>
      </c>
      <c r="G2958" s="2" t="s">
        <v>1156</v>
      </c>
      <c r="H2958" s="2" t="s">
        <v>1155</v>
      </c>
      <c r="J2958" s="26"/>
      <c r="K2958" s="36">
        <v>2.8877999999999998E-4</v>
      </c>
      <c r="L2958" s="23">
        <v>2.8880000000000001E-5</v>
      </c>
    </row>
    <row r="2959" spans="1:12" ht="15.35" hidden="1" x14ac:dyDescent="0.55000000000000004">
      <c r="A2959" s="20">
        <v>16322</v>
      </c>
      <c r="B2959" s="2" t="s">
        <v>176</v>
      </c>
      <c r="C2959" s="2" t="s">
        <v>177</v>
      </c>
      <c r="D2959" s="20">
        <v>0</v>
      </c>
      <c r="E2959" s="2" t="s">
        <v>838</v>
      </c>
      <c r="F2959" s="2" t="s">
        <v>793</v>
      </c>
      <c r="G2959" s="2" t="s">
        <v>3372</v>
      </c>
      <c r="H2959" s="2" t="s">
        <v>1155</v>
      </c>
      <c r="J2959" s="26"/>
      <c r="K2959" s="36">
        <v>2.3340000000000001E-4</v>
      </c>
      <c r="L2959" s="23">
        <v>2.334E-5</v>
      </c>
    </row>
    <row r="2960" spans="1:12" ht="15.35" hidden="1" x14ac:dyDescent="0.55000000000000004">
      <c r="A2960" s="20">
        <v>16401</v>
      </c>
      <c r="B2960" s="2" t="s">
        <v>176</v>
      </c>
      <c r="C2960" s="2" t="s">
        <v>177</v>
      </c>
      <c r="D2960" s="20">
        <v>0</v>
      </c>
      <c r="E2960" s="2" t="s">
        <v>838</v>
      </c>
      <c r="F2960" s="2" t="s">
        <v>793</v>
      </c>
      <c r="G2960" s="2" t="s">
        <v>3373</v>
      </c>
      <c r="H2960" s="2" t="s">
        <v>1155</v>
      </c>
      <c r="J2960" s="26"/>
      <c r="K2960" s="36">
        <v>1.1076E-4</v>
      </c>
      <c r="L2960" s="23">
        <v>1.1080000000000001E-5</v>
      </c>
    </row>
    <row r="2961" spans="1:12" ht="15.35" hidden="1" x14ac:dyDescent="0.55000000000000004">
      <c r="A2961" s="20">
        <v>16393</v>
      </c>
      <c r="B2961" s="2" t="s">
        <v>176</v>
      </c>
      <c r="C2961" s="2" t="s">
        <v>177</v>
      </c>
      <c r="D2961" s="20">
        <v>0</v>
      </c>
      <c r="E2961" s="2" t="s">
        <v>838</v>
      </c>
      <c r="F2961" s="2" t="s">
        <v>787</v>
      </c>
      <c r="G2961" s="2" t="s">
        <v>3374</v>
      </c>
      <c r="H2961" s="2" t="s">
        <v>1155</v>
      </c>
      <c r="J2961" s="26"/>
      <c r="K2961" s="36">
        <v>8.3075200000000005E-3</v>
      </c>
      <c r="L2961" s="23">
        <v>8.3075E-4</v>
      </c>
    </row>
    <row r="2962" spans="1:12" ht="15.35" hidden="1" x14ac:dyDescent="0.55000000000000004">
      <c r="A2962" s="20">
        <v>16581</v>
      </c>
      <c r="B2962" s="2" t="s">
        <v>176</v>
      </c>
      <c r="C2962" s="2" t="s">
        <v>177</v>
      </c>
      <c r="D2962" s="20">
        <v>0</v>
      </c>
      <c r="E2962" s="2" t="s">
        <v>838</v>
      </c>
      <c r="F2962" s="2" t="s">
        <v>789</v>
      </c>
      <c r="G2962" s="2" t="s">
        <v>3375</v>
      </c>
      <c r="H2962" s="2" t="s">
        <v>3376</v>
      </c>
      <c r="J2962" s="26"/>
      <c r="K2962" s="36">
        <v>8.3075200000000005E-3</v>
      </c>
      <c r="L2962" s="23">
        <v>8.3075E-4</v>
      </c>
    </row>
    <row r="2963" spans="1:12" ht="15.35" hidden="1" x14ac:dyDescent="0.55000000000000004">
      <c r="A2963" s="20">
        <v>16717</v>
      </c>
      <c r="B2963" s="2" t="s">
        <v>176</v>
      </c>
      <c r="C2963" s="2" t="s">
        <v>177</v>
      </c>
      <c r="D2963" s="20">
        <v>0</v>
      </c>
      <c r="E2963" s="2" t="s">
        <v>838</v>
      </c>
      <c r="F2963" s="2" t="s">
        <v>783</v>
      </c>
      <c r="G2963" s="2" t="s">
        <v>3377</v>
      </c>
      <c r="H2963" s="2" t="s">
        <v>3378</v>
      </c>
      <c r="J2963" s="26"/>
      <c r="K2963" s="36">
        <v>2.3735700000000002E-3</v>
      </c>
      <c r="L2963" s="23">
        <v>2.3735999999999999E-4</v>
      </c>
    </row>
    <row r="2964" spans="1:12" ht="15.35" hidden="1" x14ac:dyDescent="0.55000000000000004">
      <c r="A2964" s="20">
        <v>16058</v>
      </c>
      <c r="B2964" s="2" t="s">
        <v>176</v>
      </c>
      <c r="C2964" s="2" t="s">
        <v>177</v>
      </c>
      <c r="D2964" s="20">
        <v>0</v>
      </c>
      <c r="E2964" s="2" t="s">
        <v>838</v>
      </c>
      <c r="F2964" s="2" t="s">
        <v>793</v>
      </c>
      <c r="G2964" s="2" t="s">
        <v>3379</v>
      </c>
      <c r="H2964" s="2" t="s">
        <v>1158</v>
      </c>
      <c r="J2964" s="26"/>
      <c r="K2964" s="36">
        <v>4.7469999999999998E-5</v>
      </c>
      <c r="L2964" s="23">
        <v>4.7500000000000003E-6</v>
      </c>
    </row>
    <row r="2965" spans="1:12" ht="15.35" hidden="1" x14ac:dyDescent="0.55000000000000004">
      <c r="A2965" s="20">
        <v>16544</v>
      </c>
      <c r="B2965" s="2" t="s">
        <v>176</v>
      </c>
      <c r="C2965" s="2" t="s">
        <v>177</v>
      </c>
      <c r="D2965" s="20">
        <v>0</v>
      </c>
      <c r="E2965" s="2" t="s">
        <v>838</v>
      </c>
      <c r="F2965" s="2" t="s">
        <v>793</v>
      </c>
      <c r="G2965" s="2" t="s">
        <v>3380</v>
      </c>
      <c r="H2965" s="2" t="s">
        <v>1158</v>
      </c>
      <c r="J2965" s="26"/>
      <c r="K2965" s="36">
        <v>9.8889999999999997E-5</v>
      </c>
      <c r="L2965" s="23">
        <v>9.8900000000000002E-6</v>
      </c>
    </row>
    <row r="2966" spans="1:12" ht="15.35" hidden="1" x14ac:dyDescent="0.55000000000000004">
      <c r="A2966" s="20">
        <v>16035</v>
      </c>
      <c r="B2966" s="2" t="s">
        <v>176</v>
      </c>
      <c r="C2966" s="2" t="s">
        <v>177</v>
      </c>
      <c r="D2966" s="20">
        <v>0</v>
      </c>
      <c r="E2966" s="2" t="s">
        <v>838</v>
      </c>
      <c r="F2966" s="2" t="s">
        <v>793</v>
      </c>
      <c r="G2966" s="2" t="s">
        <v>3381</v>
      </c>
      <c r="H2966" s="2" t="s">
        <v>1158</v>
      </c>
      <c r="J2966" s="26"/>
      <c r="K2966" s="36">
        <v>3.9549999999999999E-5</v>
      </c>
      <c r="L2966" s="23">
        <v>3.9600000000000002E-6</v>
      </c>
    </row>
    <row r="2967" spans="1:12" ht="15.35" hidden="1" x14ac:dyDescent="0.55000000000000004">
      <c r="A2967" s="20">
        <v>16374</v>
      </c>
      <c r="B2967" s="2" t="s">
        <v>176</v>
      </c>
      <c r="C2967" s="2" t="s">
        <v>177</v>
      </c>
      <c r="D2967" s="20">
        <v>0</v>
      </c>
      <c r="E2967" s="2" t="s">
        <v>838</v>
      </c>
      <c r="F2967" s="2" t="s">
        <v>787</v>
      </c>
      <c r="G2967" s="2" t="s">
        <v>1160</v>
      </c>
      <c r="H2967" s="2" t="s">
        <v>1160</v>
      </c>
      <c r="J2967" s="26"/>
      <c r="K2967" s="36">
        <v>6.3295399999999998E-3</v>
      </c>
      <c r="L2967" s="23">
        <v>6.3294999999999996E-4</v>
      </c>
    </row>
    <row r="2968" spans="1:12" ht="15.35" hidden="1" x14ac:dyDescent="0.55000000000000004">
      <c r="A2968" s="20">
        <v>16681</v>
      </c>
      <c r="B2968" s="2" t="s">
        <v>176</v>
      </c>
      <c r="C2968" s="2" t="s">
        <v>177</v>
      </c>
      <c r="D2968" s="20">
        <v>0</v>
      </c>
      <c r="E2968" s="2" t="s">
        <v>838</v>
      </c>
      <c r="F2968" s="2" t="s">
        <v>787</v>
      </c>
      <c r="G2968" s="2" t="s">
        <v>1739</v>
      </c>
      <c r="H2968" s="2" t="s">
        <v>1739</v>
      </c>
      <c r="J2968" s="26"/>
      <c r="K2968" s="36">
        <v>8.3075200000000005E-3</v>
      </c>
      <c r="L2968" s="23">
        <v>8.3075E-4</v>
      </c>
    </row>
    <row r="2969" spans="1:12" ht="15.35" hidden="1" x14ac:dyDescent="0.55000000000000004">
      <c r="A2969" s="20">
        <v>16700</v>
      </c>
      <c r="B2969" s="2" t="s">
        <v>176</v>
      </c>
      <c r="C2969" s="2" t="s">
        <v>177</v>
      </c>
      <c r="D2969" s="20">
        <v>0</v>
      </c>
      <c r="E2969" s="2" t="s">
        <v>838</v>
      </c>
      <c r="F2969" s="2" t="s">
        <v>793</v>
      </c>
      <c r="G2969" s="2" t="s">
        <v>3382</v>
      </c>
      <c r="H2969" s="2" t="s">
        <v>1161</v>
      </c>
      <c r="J2969" s="26"/>
      <c r="K2969" s="36">
        <v>1.3845E-4</v>
      </c>
      <c r="L2969" s="23">
        <v>1.385E-5</v>
      </c>
    </row>
    <row r="2970" spans="1:12" ht="15.35" hidden="1" x14ac:dyDescent="0.55000000000000004">
      <c r="A2970" s="20">
        <v>16497</v>
      </c>
      <c r="B2970" s="2" t="s">
        <v>176</v>
      </c>
      <c r="C2970" s="2" t="s">
        <v>177</v>
      </c>
      <c r="D2970" s="20">
        <v>0</v>
      </c>
      <c r="E2970" s="2" t="s">
        <v>838</v>
      </c>
      <c r="F2970" s="2" t="s">
        <v>817</v>
      </c>
      <c r="G2970" s="2" t="s">
        <v>3383</v>
      </c>
      <c r="H2970" s="2" t="s">
        <v>3384</v>
      </c>
      <c r="J2970" s="26"/>
      <c r="K2970" s="36">
        <v>2.38544E-3</v>
      </c>
      <c r="L2970" s="23">
        <v>2.3854E-4</v>
      </c>
    </row>
    <row r="2971" spans="1:12" ht="15.35" hidden="1" x14ac:dyDescent="0.55000000000000004">
      <c r="A2971" s="20">
        <v>16262</v>
      </c>
      <c r="B2971" s="2" t="s">
        <v>176</v>
      </c>
      <c r="C2971" s="2" t="s">
        <v>177</v>
      </c>
      <c r="D2971" s="20">
        <v>0</v>
      </c>
      <c r="E2971" s="2" t="s">
        <v>838</v>
      </c>
      <c r="F2971" s="2" t="s">
        <v>787</v>
      </c>
      <c r="G2971" s="2" t="s">
        <v>1164</v>
      </c>
      <c r="H2971" s="2" t="s">
        <v>1164</v>
      </c>
      <c r="J2971" s="26"/>
      <c r="K2971" s="36">
        <v>8.3075200000000005E-3</v>
      </c>
      <c r="L2971" s="23">
        <v>8.3075E-4</v>
      </c>
    </row>
    <row r="2972" spans="1:12" ht="15.35" hidden="1" x14ac:dyDescent="0.55000000000000004">
      <c r="A2972" s="20">
        <v>16448</v>
      </c>
      <c r="B2972" s="2" t="s">
        <v>176</v>
      </c>
      <c r="C2972" s="2" t="s">
        <v>177</v>
      </c>
      <c r="D2972" s="20">
        <v>0</v>
      </c>
      <c r="E2972" s="2" t="s">
        <v>838</v>
      </c>
      <c r="F2972" s="2" t="s">
        <v>848</v>
      </c>
      <c r="G2972" s="2" t="s">
        <v>3385</v>
      </c>
      <c r="H2972" s="2" t="s">
        <v>3385</v>
      </c>
      <c r="J2972" s="26"/>
      <c r="K2972" s="36">
        <v>8.3075200000000005E-3</v>
      </c>
      <c r="L2972" s="23">
        <v>8.3075E-4</v>
      </c>
    </row>
    <row r="2973" spans="1:12" ht="15.35" hidden="1" x14ac:dyDescent="0.55000000000000004">
      <c r="A2973" s="20">
        <v>16661</v>
      </c>
      <c r="B2973" s="2" t="s">
        <v>176</v>
      </c>
      <c r="C2973" s="2" t="s">
        <v>177</v>
      </c>
      <c r="D2973" s="20">
        <v>0</v>
      </c>
      <c r="E2973" s="2" t="s">
        <v>838</v>
      </c>
      <c r="F2973" s="2" t="s">
        <v>793</v>
      </c>
      <c r="G2973" s="2" t="s">
        <v>3386</v>
      </c>
      <c r="H2973" s="2" t="s">
        <v>1374</v>
      </c>
      <c r="J2973" s="26"/>
      <c r="K2973" s="36">
        <v>1.3449999999999999E-4</v>
      </c>
      <c r="L2973" s="23">
        <v>1.345E-5</v>
      </c>
    </row>
    <row r="2974" spans="1:12" ht="15.35" hidden="1" x14ac:dyDescent="0.55000000000000004">
      <c r="A2974" s="20">
        <v>16358</v>
      </c>
      <c r="B2974" s="2" t="s">
        <v>176</v>
      </c>
      <c r="C2974" s="2" t="s">
        <v>177</v>
      </c>
      <c r="D2974" s="20">
        <v>0</v>
      </c>
      <c r="E2974" s="2" t="s">
        <v>838</v>
      </c>
      <c r="F2974" s="2" t="s">
        <v>793</v>
      </c>
      <c r="G2974" s="2" t="s">
        <v>3387</v>
      </c>
      <c r="H2974" s="2" t="s">
        <v>1506</v>
      </c>
      <c r="J2974" s="26"/>
      <c r="K2974" s="36">
        <v>1.1076E-4</v>
      </c>
      <c r="L2974" s="23">
        <v>1.1080000000000001E-5</v>
      </c>
    </row>
    <row r="2975" spans="1:12" ht="15.35" hidden="1" x14ac:dyDescent="0.55000000000000004">
      <c r="A2975" s="20">
        <v>16667</v>
      </c>
      <c r="B2975" s="2" t="s">
        <v>176</v>
      </c>
      <c r="C2975" s="2" t="s">
        <v>177</v>
      </c>
      <c r="D2975" s="20">
        <v>0</v>
      </c>
      <c r="E2975" s="2" t="s">
        <v>838</v>
      </c>
      <c r="F2975" s="2" t="s">
        <v>789</v>
      </c>
      <c r="G2975" s="2" t="s">
        <v>3388</v>
      </c>
      <c r="H2975" s="2" t="s">
        <v>1746</v>
      </c>
      <c r="J2975" s="26"/>
      <c r="K2975" s="36">
        <v>1.7010599999999999E-3</v>
      </c>
      <c r="L2975" s="23">
        <v>1.7011000000000001E-4</v>
      </c>
    </row>
    <row r="2976" spans="1:12" ht="15.35" hidden="1" x14ac:dyDescent="0.55000000000000004">
      <c r="A2976" s="20">
        <v>16272</v>
      </c>
      <c r="B2976" s="2" t="s">
        <v>176</v>
      </c>
      <c r="C2976" s="2" t="s">
        <v>177</v>
      </c>
      <c r="D2976" s="20">
        <v>0</v>
      </c>
      <c r="E2976" s="2" t="s">
        <v>838</v>
      </c>
      <c r="F2976" s="2" t="s">
        <v>793</v>
      </c>
      <c r="G2976" s="2" t="s">
        <v>3389</v>
      </c>
      <c r="H2976" s="2" t="s">
        <v>1166</v>
      </c>
      <c r="J2976" s="26"/>
      <c r="K2976" s="36">
        <v>4.5096999999999997E-4</v>
      </c>
      <c r="L2976" s="23">
        <v>4.5099999999999998E-5</v>
      </c>
    </row>
    <row r="2977" spans="1:12" ht="15.35" hidden="1" x14ac:dyDescent="0.55000000000000004">
      <c r="A2977" s="20">
        <v>15947</v>
      </c>
      <c r="B2977" s="2" t="s">
        <v>176</v>
      </c>
      <c r="C2977" s="2" t="s">
        <v>177</v>
      </c>
      <c r="D2977" s="20">
        <v>0</v>
      </c>
      <c r="E2977" s="2" t="s">
        <v>838</v>
      </c>
      <c r="F2977" s="2" t="s">
        <v>793</v>
      </c>
      <c r="G2977" s="2" t="s">
        <v>3390</v>
      </c>
      <c r="H2977" s="2" t="s">
        <v>1166</v>
      </c>
      <c r="J2977" s="26"/>
      <c r="K2977" s="36">
        <v>5.5380000000000002E-5</v>
      </c>
      <c r="L2977" s="23">
        <v>5.5400000000000003E-6</v>
      </c>
    </row>
    <row r="2978" spans="1:12" ht="15.35" hidden="1" x14ac:dyDescent="0.55000000000000004">
      <c r="A2978" s="20">
        <v>16323</v>
      </c>
      <c r="B2978" s="2" t="s">
        <v>176</v>
      </c>
      <c r="C2978" s="2" t="s">
        <v>177</v>
      </c>
      <c r="D2978" s="20">
        <v>0</v>
      </c>
      <c r="E2978" s="2" t="s">
        <v>838</v>
      </c>
      <c r="F2978" s="2" t="s">
        <v>793</v>
      </c>
      <c r="G2978" s="2" t="s">
        <v>3391</v>
      </c>
      <c r="H2978" s="2" t="s">
        <v>1166</v>
      </c>
      <c r="J2978" s="26"/>
      <c r="K2978" s="36">
        <v>5.2258199999999999E-3</v>
      </c>
      <c r="L2978" s="23">
        <v>5.2258000000000003E-4</v>
      </c>
    </row>
    <row r="2979" spans="1:12" ht="15.35" hidden="1" x14ac:dyDescent="0.55000000000000004">
      <c r="A2979" s="20">
        <v>16622</v>
      </c>
      <c r="B2979" s="2" t="s">
        <v>176</v>
      </c>
      <c r="C2979" s="2" t="s">
        <v>177</v>
      </c>
      <c r="D2979" s="20">
        <v>0</v>
      </c>
      <c r="E2979" s="2" t="s">
        <v>838</v>
      </c>
      <c r="F2979" s="2" t="s">
        <v>793</v>
      </c>
      <c r="G2979" s="2" t="s">
        <v>3392</v>
      </c>
      <c r="H2979" s="2" t="s">
        <v>1166</v>
      </c>
      <c r="J2979" s="26"/>
      <c r="K2979" s="36">
        <v>2.6109000000000001E-4</v>
      </c>
      <c r="L2979" s="23">
        <v>2.6109999999999999E-5</v>
      </c>
    </row>
    <row r="2980" spans="1:12" ht="15.35" hidden="1" x14ac:dyDescent="0.55000000000000004">
      <c r="A2980" s="20">
        <v>16220</v>
      </c>
      <c r="B2980" s="2" t="s">
        <v>176</v>
      </c>
      <c r="C2980" s="2" t="s">
        <v>177</v>
      </c>
      <c r="D2980" s="20">
        <v>0</v>
      </c>
      <c r="E2980" s="2" t="s">
        <v>838</v>
      </c>
      <c r="F2980" s="2" t="s">
        <v>793</v>
      </c>
      <c r="G2980" s="2" t="s">
        <v>3393</v>
      </c>
      <c r="H2980" s="2" t="s">
        <v>1166</v>
      </c>
      <c r="J2980" s="26"/>
      <c r="K2980" s="36">
        <v>2.2547999999999999E-4</v>
      </c>
      <c r="L2980" s="23">
        <v>2.2549999999999999E-5</v>
      </c>
    </row>
    <row r="2981" spans="1:12" ht="15.35" hidden="1" x14ac:dyDescent="0.55000000000000004">
      <c r="A2981" s="20">
        <v>16279</v>
      </c>
      <c r="B2981" s="2" t="s">
        <v>176</v>
      </c>
      <c r="C2981" s="2" t="s">
        <v>177</v>
      </c>
      <c r="D2981" s="20">
        <v>0</v>
      </c>
      <c r="E2981" s="2" t="s">
        <v>838</v>
      </c>
      <c r="F2981" s="2" t="s">
        <v>793</v>
      </c>
      <c r="G2981" s="2" t="s">
        <v>3394</v>
      </c>
      <c r="H2981" s="2" t="s">
        <v>1166</v>
      </c>
      <c r="J2981" s="26"/>
      <c r="K2981" s="36">
        <v>3.9549999999999999E-5</v>
      </c>
      <c r="L2981" s="23">
        <v>3.9600000000000002E-6</v>
      </c>
    </row>
    <row r="2982" spans="1:12" ht="15.35" hidden="1" x14ac:dyDescent="0.55000000000000004">
      <c r="A2982" s="20">
        <v>16652</v>
      </c>
      <c r="B2982" s="2" t="s">
        <v>176</v>
      </c>
      <c r="C2982" s="2" t="s">
        <v>177</v>
      </c>
      <c r="D2982" s="20">
        <v>0</v>
      </c>
      <c r="E2982" s="2" t="s">
        <v>838</v>
      </c>
      <c r="F2982" s="2" t="s">
        <v>793</v>
      </c>
      <c r="G2982" s="2" t="s">
        <v>1165</v>
      </c>
      <c r="H2982" s="2" t="s">
        <v>1166</v>
      </c>
      <c r="J2982" s="26"/>
      <c r="K2982" s="36">
        <v>4.7590200000000001E-3</v>
      </c>
      <c r="L2982" s="23">
        <v>4.7590000000000002E-4</v>
      </c>
    </row>
    <row r="2983" spans="1:12" ht="15.35" hidden="1" x14ac:dyDescent="0.55000000000000004">
      <c r="A2983" s="20">
        <v>16778</v>
      </c>
      <c r="B2983" s="2" t="s">
        <v>176</v>
      </c>
      <c r="C2983" s="2" t="s">
        <v>177</v>
      </c>
      <c r="D2983" s="20">
        <v>0</v>
      </c>
      <c r="E2983" s="2" t="s">
        <v>838</v>
      </c>
      <c r="F2983" s="2" t="s">
        <v>793</v>
      </c>
      <c r="G2983" s="2" t="s">
        <v>3395</v>
      </c>
      <c r="H2983" s="2" t="s">
        <v>1166</v>
      </c>
      <c r="J2983" s="26"/>
      <c r="K2983" s="36">
        <v>1.3449999999999999E-4</v>
      </c>
      <c r="L2983" s="23">
        <v>1.345E-5</v>
      </c>
    </row>
    <row r="2984" spans="1:12" ht="15.35" hidden="1" x14ac:dyDescent="0.55000000000000004">
      <c r="A2984" s="20">
        <v>16363</v>
      </c>
      <c r="B2984" s="2" t="s">
        <v>176</v>
      </c>
      <c r="C2984" s="2" t="s">
        <v>177</v>
      </c>
      <c r="D2984" s="20">
        <v>0</v>
      </c>
      <c r="E2984" s="2" t="s">
        <v>838</v>
      </c>
      <c r="F2984" s="2" t="s">
        <v>848</v>
      </c>
      <c r="G2984" s="2" t="s">
        <v>1171</v>
      </c>
      <c r="H2984" s="2" t="s">
        <v>1171</v>
      </c>
      <c r="J2984" s="26"/>
      <c r="K2984" s="36">
        <v>7.9119199999999994E-3</v>
      </c>
      <c r="L2984" s="23">
        <v>7.9118999999999999E-4</v>
      </c>
    </row>
    <row r="2985" spans="1:12" ht="15.35" hidden="1" x14ac:dyDescent="0.55000000000000004">
      <c r="A2985" s="20">
        <v>16129</v>
      </c>
      <c r="B2985" s="2" t="s">
        <v>176</v>
      </c>
      <c r="C2985" s="2" t="s">
        <v>177</v>
      </c>
      <c r="D2985" s="20">
        <v>0</v>
      </c>
      <c r="E2985" s="2" t="s">
        <v>838</v>
      </c>
      <c r="F2985" s="2" t="s">
        <v>848</v>
      </c>
      <c r="G2985" s="2" t="s">
        <v>2513</v>
      </c>
      <c r="H2985" s="2" t="s">
        <v>2513</v>
      </c>
      <c r="J2985" s="26"/>
      <c r="K2985" s="36">
        <v>3.48124E-3</v>
      </c>
      <c r="L2985" s="23">
        <v>3.4811999999999999E-4</v>
      </c>
    </row>
    <row r="2986" spans="1:12" ht="15.35" hidden="1" x14ac:dyDescent="0.55000000000000004">
      <c r="A2986" s="20">
        <v>16056</v>
      </c>
      <c r="B2986" s="2" t="s">
        <v>176</v>
      </c>
      <c r="C2986" s="2" t="s">
        <v>177</v>
      </c>
      <c r="D2986" s="20">
        <v>0</v>
      </c>
      <c r="E2986" s="2" t="s">
        <v>838</v>
      </c>
      <c r="F2986" s="2" t="s">
        <v>848</v>
      </c>
      <c r="G2986" s="2" t="s">
        <v>2513</v>
      </c>
      <c r="H2986" s="2" t="s">
        <v>2513</v>
      </c>
      <c r="J2986" s="26"/>
      <c r="K2986" s="36">
        <v>5.9339400000000004E-3</v>
      </c>
      <c r="L2986" s="23">
        <v>5.9338999999999995E-4</v>
      </c>
    </row>
    <row r="2987" spans="1:12" ht="15.35" hidden="1" x14ac:dyDescent="0.55000000000000004">
      <c r="A2987" s="20">
        <v>16018</v>
      </c>
      <c r="B2987" s="2" t="s">
        <v>176</v>
      </c>
      <c r="C2987" s="2" t="s">
        <v>177</v>
      </c>
      <c r="D2987" s="20">
        <v>0</v>
      </c>
      <c r="E2987" s="2" t="s">
        <v>838</v>
      </c>
      <c r="F2987" s="2" t="s">
        <v>793</v>
      </c>
      <c r="G2987" s="2" t="s">
        <v>3396</v>
      </c>
      <c r="H2987" s="2" t="s">
        <v>2513</v>
      </c>
      <c r="J2987" s="26"/>
      <c r="K2987" s="36">
        <v>5.5380000000000002E-5</v>
      </c>
      <c r="L2987" s="23">
        <v>5.5400000000000003E-6</v>
      </c>
    </row>
    <row r="2988" spans="1:12" ht="15.35" hidden="1" x14ac:dyDescent="0.55000000000000004">
      <c r="A2988" s="20">
        <v>16481</v>
      </c>
      <c r="B2988" s="2" t="s">
        <v>176</v>
      </c>
      <c r="C2988" s="2" t="s">
        <v>177</v>
      </c>
      <c r="D2988" s="20">
        <v>0</v>
      </c>
      <c r="E2988" s="2" t="s">
        <v>838</v>
      </c>
      <c r="F2988" s="2" t="s">
        <v>793</v>
      </c>
      <c r="G2988" s="2" t="s">
        <v>3397</v>
      </c>
      <c r="H2988" s="2" t="s">
        <v>2513</v>
      </c>
      <c r="J2988" s="26"/>
      <c r="K2988" s="36">
        <v>5.5380000000000002E-5</v>
      </c>
      <c r="L2988" s="23">
        <v>5.5400000000000003E-6</v>
      </c>
    </row>
    <row r="2989" spans="1:12" ht="15.35" hidden="1" x14ac:dyDescent="0.55000000000000004">
      <c r="A2989" s="20">
        <v>16610</v>
      </c>
      <c r="B2989" s="2" t="s">
        <v>176</v>
      </c>
      <c r="C2989" s="2" t="s">
        <v>177</v>
      </c>
      <c r="D2989" s="20">
        <v>0</v>
      </c>
      <c r="E2989" s="2" t="s">
        <v>838</v>
      </c>
      <c r="F2989" s="2" t="s">
        <v>793</v>
      </c>
      <c r="G2989" s="2" t="s">
        <v>3398</v>
      </c>
      <c r="H2989" s="2" t="s">
        <v>2513</v>
      </c>
      <c r="J2989" s="26"/>
      <c r="K2989" s="36">
        <v>5.5380000000000002E-5</v>
      </c>
      <c r="L2989" s="23">
        <v>5.5400000000000003E-6</v>
      </c>
    </row>
    <row r="2990" spans="1:12" ht="15.35" hidden="1" x14ac:dyDescent="0.55000000000000004">
      <c r="A2990" s="20">
        <v>16124</v>
      </c>
      <c r="B2990" s="2" t="s">
        <v>176</v>
      </c>
      <c r="C2990" s="2" t="s">
        <v>177</v>
      </c>
      <c r="D2990" s="20">
        <v>0</v>
      </c>
      <c r="E2990" s="2" t="s">
        <v>838</v>
      </c>
      <c r="F2990" s="2" t="s">
        <v>793</v>
      </c>
      <c r="G2990" s="2" t="s">
        <v>3399</v>
      </c>
      <c r="H2990" s="2" t="s">
        <v>3399</v>
      </c>
      <c r="J2990" s="26"/>
      <c r="K2990" s="36">
        <v>8.3075200000000005E-3</v>
      </c>
      <c r="L2990" s="23">
        <v>8.3075E-4</v>
      </c>
    </row>
    <row r="2991" spans="1:12" ht="15.35" hidden="1" x14ac:dyDescent="0.55000000000000004">
      <c r="A2991" s="20">
        <v>16208</v>
      </c>
      <c r="B2991" s="2" t="s">
        <v>176</v>
      </c>
      <c r="C2991" s="2" t="s">
        <v>177</v>
      </c>
      <c r="D2991" s="20">
        <v>0</v>
      </c>
      <c r="E2991" s="2" t="s">
        <v>838</v>
      </c>
      <c r="F2991" s="2" t="s">
        <v>793</v>
      </c>
      <c r="G2991" s="2" t="s">
        <v>3400</v>
      </c>
      <c r="H2991" s="2" t="s">
        <v>3401</v>
      </c>
      <c r="J2991" s="26"/>
      <c r="K2991" s="36">
        <v>2.2548899999999998E-3</v>
      </c>
      <c r="L2991" s="23">
        <v>2.2549000000000001E-4</v>
      </c>
    </row>
    <row r="2992" spans="1:12" ht="15.35" hidden="1" x14ac:dyDescent="0.55000000000000004">
      <c r="A2992" s="20">
        <v>16718</v>
      </c>
      <c r="B2992" s="2" t="s">
        <v>176</v>
      </c>
      <c r="C2992" s="2" t="s">
        <v>177</v>
      </c>
      <c r="D2992" s="20">
        <v>0</v>
      </c>
      <c r="E2992" s="2" t="s">
        <v>838</v>
      </c>
      <c r="F2992" s="2" t="s">
        <v>793</v>
      </c>
      <c r="G2992" s="2" t="s">
        <v>3402</v>
      </c>
      <c r="H2992" s="2" t="s">
        <v>950</v>
      </c>
      <c r="J2992" s="26"/>
      <c r="K2992" s="36">
        <v>3.4060800000000001E-3</v>
      </c>
      <c r="L2992" s="23">
        <v>3.4060999999999998E-4</v>
      </c>
    </row>
    <row r="2993" spans="1:12" ht="15.35" hidden="1" x14ac:dyDescent="0.55000000000000004">
      <c r="A2993" s="20">
        <v>16609</v>
      </c>
      <c r="B2993" s="2" t="s">
        <v>176</v>
      </c>
      <c r="C2993" s="2" t="s">
        <v>177</v>
      </c>
      <c r="D2993" s="20">
        <v>0</v>
      </c>
      <c r="E2993" s="2" t="s">
        <v>838</v>
      </c>
      <c r="F2993" s="2" t="s">
        <v>848</v>
      </c>
      <c r="G2993" s="2" t="s">
        <v>1172</v>
      </c>
      <c r="H2993" s="2" t="s">
        <v>1172</v>
      </c>
      <c r="J2993" s="26"/>
      <c r="K2993" s="36">
        <v>9.0987000000000001E-4</v>
      </c>
      <c r="L2993" s="23">
        <v>9.0989999999999994E-5</v>
      </c>
    </row>
    <row r="2994" spans="1:12" ht="15.35" hidden="1" x14ac:dyDescent="0.55000000000000004">
      <c r="A2994" s="20">
        <v>16345</v>
      </c>
      <c r="B2994" s="2" t="s">
        <v>176</v>
      </c>
      <c r="C2994" s="2" t="s">
        <v>177</v>
      </c>
      <c r="D2994" s="20">
        <v>0</v>
      </c>
      <c r="E2994" s="2" t="s">
        <v>838</v>
      </c>
      <c r="F2994" s="2" t="s">
        <v>787</v>
      </c>
      <c r="G2994" s="2" t="s">
        <v>962</v>
      </c>
      <c r="H2994" s="2" t="s">
        <v>962</v>
      </c>
      <c r="J2994" s="26"/>
      <c r="K2994" s="36">
        <v>8.3075200000000005E-3</v>
      </c>
      <c r="L2994" s="23">
        <v>8.3075E-4</v>
      </c>
    </row>
    <row r="2995" spans="1:12" ht="15.35" hidden="1" x14ac:dyDescent="0.55000000000000004">
      <c r="A2995" s="20">
        <v>16162</v>
      </c>
      <c r="B2995" s="2" t="s">
        <v>176</v>
      </c>
      <c r="C2995" s="2" t="s">
        <v>177</v>
      </c>
      <c r="D2995" s="20">
        <v>0</v>
      </c>
      <c r="E2995" s="2" t="s">
        <v>838</v>
      </c>
      <c r="F2995" s="2" t="s">
        <v>848</v>
      </c>
      <c r="G2995" s="2" t="s">
        <v>2532</v>
      </c>
      <c r="H2995" s="2" t="s">
        <v>2532</v>
      </c>
      <c r="J2995" s="26"/>
      <c r="K2995" s="36">
        <v>8.3075200000000005E-3</v>
      </c>
      <c r="L2995" s="23">
        <v>8.3075E-4</v>
      </c>
    </row>
    <row r="2996" spans="1:12" ht="15.35" hidden="1" x14ac:dyDescent="0.55000000000000004">
      <c r="A2996" s="20">
        <v>16377</v>
      </c>
      <c r="B2996" s="2" t="s">
        <v>176</v>
      </c>
      <c r="C2996" s="2" t="s">
        <v>177</v>
      </c>
      <c r="D2996" s="20">
        <v>0</v>
      </c>
      <c r="E2996" s="2" t="s">
        <v>838</v>
      </c>
      <c r="F2996" s="2" t="s">
        <v>789</v>
      </c>
      <c r="G2996" s="2" t="s">
        <v>1787</v>
      </c>
      <c r="H2996" s="2" t="s">
        <v>1788</v>
      </c>
      <c r="J2996" s="26"/>
      <c r="K2996" s="36">
        <v>1.8987999999999999E-4</v>
      </c>
      <c r="L2996" s="23">
        <v>1.8989999999999999E-5</v>
      </c>
    </row>
    <row r="2997" spans="1:12" ht="15.35" hidden="1" x14ac:dyDescent="0.55000000000000004">
      <c r="A2997" s="20">
        <v>15984</v>
      </c>
      <c r="B2997" s="2" t="s">
        <v>176</v>
      </c>
      <c r="C2997" s="2" t="s">
        <v>177</v>
      </c>
      <c r="D2997" s="20">
        <v>0</v>
      </c>
      <c r="E2997" s="2" t="s">
        <v>838</v>
      </c>
      <c r="F2997" s="2" t="s">
        <v>789</v>
      </c>
      <c r="G2997" s="2" t="s">
        <v>2533</v>
      </c>
      <c r="H2997" s="2" t="s">
        <v>2534</v>
      </c>
      <c r="J2997" s="26"/>
      <c r="K2997" s="36">
        <v>8.3075200000000005E-3</v>
      </c>
      <c r="L2997" s="23">
        <v>8.3075E-4</v>
      </c>
    </row>
    <row r="2998" spans="1:12" ht="15.35" hidden="1" x14ac:dyDescent="0.55000000000000004">
      <c r="A2998" s="20">
        <v>16758</v>
      </c>
      <c r="B2998" s="2" t="s">
        <v>176</v>
      </c>
      <c r="C2998" s="2" t="s">
        <v>177</v>
      </c>
      <c r="D2998" s="20">
        <v>0</v>
      </c>
      <c r="E2998" s="2" t="s">
        <v>838</v>
      </c>
      <c r="F2998" s="2" t="s">
        <v>789</v>
      </c>
      <c r="G2998" s="2" t="s">
        <v>2535</v>
      </c>
      <c r="H2998" s="2" t="s">
        <v>2534</v>
      </c>
      <c r="J2998" s="26"/>
      <c r="K2998" s="36">
        <v>8.3075200000000005E-3</v>
      </c>
      <c r="L2998" s="23">
        <v>8.3075E-4</v>
      </c>
    </row>
    <row r="2999" spans="1:12" ht="15.35" hidden="1" x14ac:dyDescent="0.55000000000000004">
      <c r="A2999" s="20">
        <v>15990</v>
      </c>
      <c r="B2999" s="2" t="s">
        <v>176</v>
      </c>
      <c r="C2999" s="2" t="s">
        <v>177</v>
      </c>
      <c r="D2999" s="20">
        <v>0</v>
      </c>
      <c r="E2999" s="2" t="s">
        <v>838</v>
      </c>
      <c r="F2999" s="2" t="s">
        <v>789</v>
      </c>
      <c r="G2999" s="2" t="s">
        <v>2536</v>
      </c>
      <c r="H2999" s="2" t="s">
        <v>2534</v>
      </c>
      <c r="J2999" s="26"/>
      <c r="K2999" s="36">
        <v>8.3075200000000005E-3</v>
      </c>
      <c r="L2999" s="23">
        <v>8.3075E-4</v>
      </c>
    </row>
    <row r="3000" spans="1:12" ht="15.35" hidden="1" x14ac:dyDescent="0.55000000000000004">
      <c r="A3000" s="20">
        <v>16015</v>
      </c>
      <c r="B3000" s="2" t="s">
        <v>176</v>
      </c>
      <c r="C3000" s="2" t="s">
        <v>177</v>
      </c>
      <c r="D3000" s="20">
        <v>0</v>
      </c>
      <c r="E3000" s="2" t="s">
        <v>838</v>
      </c>
      <c r="F3000" s="2" t="s">
        <v>789</v>
      </c>
      <c r="G3000" s="2" t="s">
        <v>2537</v>
      </c>
      <c r="H3000" s="2" t="s">
        <v>2534</v>
      </c>
      <c r="J3000" s="26"/>
      <c r="K3000" s="36">
        <v>8.3075200000000005E-3</v>
      </c>
      <c r="L3000" s="23">
        <v>8.3075E-4</v>
      </c>
    </row>
    <row r="3001" spans="1:12" ht="15.35" hidden="1" x14ac:dyDescent="0.55000000000000004">
      <c r="A3001" s="20">
        <v>16479</v>
      </c>
      <c r="B3001" s="2" t="s">
        <v>176</v>
      </c>
      <c r="C3001" s="2" t="s">
        <v>177</v>
      </c>
      <c r="D3001" s="20">
        <v>0</v>
      </c>
      <c r="E3001" s="2" t="s">
        <v>838</v>
      </c>
      <c r="F3001" s="2" t="s">
        <v>789</v>
      </c>
      <c r="G3001" s="2" t="s">
        <v>2538</v>
      </c>
      <c r="H3001" s="2" t="s">
        <v>2539</v>
      </c>
      <c r="J3001" s="26"/>
      <c r="K3001" s="36">
        <v>8.3075200000000005E-3</v>
      </c>
      <c r="L3001" s="23">
        <v>8.3075E-4</v>
      </c>
    </row>
    <row r="3002" spans="1:12" ht="15.35" hidden="1" x14ac:dyDescent="0.55000000000000004">
      <c r="A3002" s="20">
        <v>15948</v>
      </c>
      <c r="B3002" s="2" t="s">
        <v>176</v>
      </c>
      <c r="C3002" s="2" t="s">
        <v>177</v>
      </c>
      <c r="D3002" s="20">
        <v>0</v>
      </c>
      <c r="E3002" s="2" t="s">
        <v>838</v>
      </c>
      <c r="F3002" s="2" t="s">
        <v>783</v>
      </c>
      <c r="G3002" s="2" t="s">
        <v>1796</v>
      </c>
      <c r="H3002" s="2" t="s">
        <v>1796</v>
      </c>
      <c r="J3002" s="26"/>
      <c r="K3002" s="36">
        <v>1.14722E-3</v>
      </c>
      <c r="L3002" s="23">
        <v>1.1472E-4</v>
      </c>
    </row>
    <row r="3003" spans="1:12" ht="15.35" hidden="1" x14ac:dyDescent="0.55000000000000004">
      <c r="A3003" s="20">
        <v>16053</v>
      </c>
      <c r="B3003" s="2" t="s">
        <v>176</v>
      </c>
      <c r="C3003" s="2" t="s">
        <v>177</v>
      </c>
      <c r="D3003" s="20">
        <v>0</v>
      </c>
      <c r="E3003" s="2" t="s">
        <v>838</v>
      </c>
      <c r="F3003" s="2" t="s">
        <v>787</v>
      </c>
      <c r="G3003" s="2" t="s">
        <v>1179</v>
      </c>
      <c r="H3003" s="2" t="s">
        <v>1179</v>
      </c>
      <c r="J3003" s="26"/>
      <c r="K3003" s="36">
        <v>8.3075200000000005E-3</v>
      </c>
      <c r="L3003" s="23">
        <v>8.3075E-4</v>
      </c>
    </row>
    <row r="3004" spans="1:12" ht="15.35" hidden="1" x14ac:dyDescent="0.55000000000000004">
      <c r="A3004" s="20">
        <v>1572</v>
      </c>
      <c r="B3004" s="2" t="s">
        <v>169</v>
      </c>
      <c r="C3004" s="2" t="s">
        <v>170</v>
      </c>
      <c r="D3004" s="20">
        <v>0</v>
      </c>
      <c r="E3004" s="2" t="s">
        <v>63</v>
      </c>
      <c r="F3004" s="2" t="s">
        <v>817</v>
      </c>
      <c r="G3004" s="2" t="s">
        <v>3403</v>
      </c>
      <c r="H3004" s="2" t="s">
        <v>1198</v>
      </c>
      <c r="I3004" s="2" t="s">
        <v>785</v>
      </c>
      <c r="J3004" s="25">
        <v>46294</v>
      </c>
      <c r="K3004" s="36">
        <v>7.3599999999999999E-2</v>
      </c>
      <c r="L3004" s="23">
        <v>1.84E-2</v>
      </c>
    </row>
    <row r="3005" spans="1:12" ht="15.35" hidden="1" x14ac:dyDescent="0.55000000000000004">
      <c r="A3005" s="20">
        <v>1567</v>
      </c>
      <c r="B3005" s="2" t="s">
        <v>169</v>
      </c>
      <c r="C3005" s="2" t="s">
        <v>170</v>
      </c>
      <c r="D3005" s="20">
        <v>0</v>
      </c>
      <c r="E3005" s="2" t="s">
        <v>63</v>
      </c>
      <c r="F3005" s="2" t="s">
        <v>807</v>
      </c>
      <c r="G3005" s="2" t="s">
        <v>3404</v>
      </c>
      <c r="H3005" s="2" t="s">
        <v>3404</v>
      </c>
      <c r="I3005" s="2" t="s">
        <v>809</v>
      </c>
      <c r="J3005" s="25">
        <v>47755</v>
      </c>
      <c r="K3005" s="36">
        <v>0.2</v>
      </c>
      <c r="L3005" s="23">
        <v>0.05</v>
      </c>
    </row>
    <row r="3006" spans="1:12" ht="15.35" hidden="1" x14ac:dyDescent="0.55000000000000004">
      <c r="A3006" s="20">
        <v>1556</v>
      </c>
      <c r="B3006" s="2" t="s">
        <v>169</v>
      </c>
      <c r="C3006" s="2" t="s">
        <v>170</v>
      </c>
      <c r="D3006" s="20">
        <v>0</v>
      </c>
      <c r="E3006" s="2" t="s">
        <v>63</v>
      </c>
      <c r="F3006" s="2" t="s">
        <v>789</v>
      </c>
      <c r="G3006" s="2" t="s">
        <v>2664</v>
      </c>
      <c r="H3006" s="2" t="s">
        <v>2664</v>
      </c>
      <c r="I3006" s="2" t="s">
        <v>785</v>
      </c>
      <c r="J3006" s="25">
        <v>46294</v>
      </c>
      <c r="K3006" s="36">
        <v>2.3599999999999999E-2</v>
      </c>
      <c r="L3006" s="23">
        <v>5.8999999999999999E-3</v>
      </c>
    </row>
    <row r="3007" spans="1:12" ht="15.35" hidden="1" x14ac:dyDescent="0.55000000000000004">
      <c r="A3007" s="20">
        <v>1554</v>
      </c>
      <c r="B3007" s="2" t="s">
        <v>169</v>
      </c>
      <c r="C3007" s="2" t="s">
        <v>170</v>
      </c>
      <c r="D3007" s="20">
        <v>0</v>
      </c>
      <c r="E3007" s="2" t="s">
        <v>63</v>
      </c>
      <c r="F3007" s="2" t="s">
        <v>787</v>
      </c>
      <c r="G3007" s="2" t="s">
        <v>1007</v>
      </c>
      <c r="H3007" s="2" t="s">
        <v>1007</v>
      </c>
      <c r="I3007" s="2" t="s">
        <v>785</v>
      </c>
      <c r="J3007" s="25">
        <v>46659</v>
      </c>
      <c r="K3007" s="36">
        <v>2.3599999999999999E-2</v>
      </c>
      <c r="L3007" s="23">
        <v>5.8999999999999999E-3</v>
      </c>
    </row>
    <row r="3008" spans="1:12" ht="15.35" hidden="1" x14ac:dyDescent="0.55000000000000004">
      <c r="A3008" s="20">
        <v>1565</v>
      </c>
      <c r="B3008" s="2" t="s">
        <v>169</v>
      </c>
      <c r="C3008" s="2" t="s">
        <v>170</v>
      </c>
      <c r="D3008" s="20">
        <v>0</v>
      </c>
      <c r="E3008" s="2" t="s">
        <v>63</v>
      </c>
      <c r="F3008" s="2" t="s">
        <v>787</v>
      </c>
      <c r="G3008" s="2" t="s">
        <v>904</v>
      </c>
      <c r="H3008" s="2" t="s">
        <v>904</v>
      </c>
      <c r="I3008" s="2" t="s">
        <v>785</v>
      </c>
      <c r="J3008" s="25">
        <v>46659</v>
      </c>
      <c r="K3008" s="36">
        <v>5.16E-2</v>
      </c>
      <c r="L3008" s="23">
        <v>1.29E-2</v>
      </c>
    </row>
    <row r="3009" spans="1:12" ht="15.35" hidden="1" x14ac:dyDescent="0.55000000000000004">
      <c r="A3009" s="20">
        <v>1574</v>
      </c>
      <c r="B3009" s="2" t="s">
        <v>169</v>
      </c>
      <c r="C3009" s="2" t="s">
        <v>170</v>
      </c>
      <c r="D3009" s="20">
        <v>0</v>
      </c>
      <c r="E3009" s="2" t="s">
        <v>63</v>
      </c>
      <c r="F3009" s="2" t="s">
        <v>787</v>
      </c>
      <c r="G3009" s="2" t="s">
        <v>788</v>
      </c>
      <c r="H3009" s="2" t="s">
        <v>788</v>
      </c>
      <c r="I3009" s="2" t="s">
        <v>785</v>
      </c>
      <c r="J3009" s="25">
        <v>46659</v>
      </c>
      <c r="K3009" s="36">
        <v>6.5600000000000006E-2</v>
      </c>
      <c r="L3009" s="23">
        <v>1.6400000000000001E-2</v>
      </c>
    </row>
    <row r="3010" spans="1:12" ht="15.35" hidden="1" x14ac:dyDescent="0.55000000000000004">
      <c r="A3010" s="20">
        <v>1583</v>
      </c>
      <c r="B3010" s="2" t="s">
        <v>169</v>
      </c>
      <c r="C3010" s="2" t="s">
        <v>170</v>
      </c>
      <c r="D3010" s="20">
        <v>0</v>
      </c>
      <c r="E3010" s="2" t="s">
        <v>63</v>
      </c>
      <c r="F3010" s="2" t="s">
        <v>793</v>
      </c>
      <c r="G3010" s="2" t="s">
        <v>3405</v>
      </c>
      <c r="H3010" s="2" t="s">
        <v>1226</v>
      </c>
      <c r="I3010" s="2" t="s">
        <v>785</v>
      </c>
      <c r="J3010" s="25">
        <v>46294</v>
      </c>
      <c r="K3010" s="36">
        <v>2.3599999999999999E-2</v>
      </c>
      <c r="L3010" s="23">
        <v>5.8999999999999999E-3</v>
      </c>
    </row>
    <row r="3011" spans="1:12" ht="15.35" hidden="1" x14ac:dyDescent="0.55000000000000004">
      <c r="A3011" s="20">
        <v>1564</v>
      </c>
      <c r="B3011" s="2" t="s">
        <v>169</v>
      </c>
      <c r="C3011" s="2" t="s">
        <v>170</v>
      </c>
      <c r="D3011" s="20">
        <v>0</v>
      </c>
      <c r="E3011" s="2" t="s">
        <v>63</v>
      </c>
      <c r="F3011" s="2" t="s">
        <v>789</v>
      </c>
      <c r="G3011" s="2" t="s">
        <v>3406</v>
      </c>
      <c r="H3011" s="2" t="s">
        <v>1013</v>
      </c>
      <c r="I3011" s="2" t="s">
        <v>785</v>
      </c>
      <c r="J3011" s="25">
        <v>46294</v>
      </c>
      <c r="K3011" s="36">
        <v>5.16E-2</v>
      </c>
      <c r="L3011" s="23">
        <v>1.29E-2</v>
      </c>
    </row>
    <row r="3012" spans="1:12" ht="15.35" hidden="1" x14ac:dyDescent="0.55000000000000004">
      <c r="A3012" s="20">
        <v>1580</v>
      </c>
      <c r="B3012" s="2" t="s">
        <v>169</v>
      </c>
      <c r="C3012" s="2" t="s">
        <v>170</v>
      </c>
      <c r="D3012" s="20">
        <v>0</v>
      </c>
      <c r="E3012" s="2" t="s">
        <v>63</v>
      </c>
      <c r="F3012" s="2" t="s">
        <v>789</v>
      </c>
      <c r="G3012" s="2" t="s">
        <v>3407</v>
      </c>
      <c r="H3012" s="2" t="s">
        <v>1190</v>
      </c>
      <c r="I3012" s="2" t="s">
        <v>785</v>
      </c>
      <c r="J3012" s="25">
        <v>46294</v>
      </c>
      <c r="K3012" s="36">
        <v>3.1199999999999999E-2</v>
      </c>
      <c r="L3012" s="23">
        <v>7.7999999999999996E-3</v>
      </c>
    </row>
    <row r="3013" spans="1:12" ht="15.35" hidden="1" x14ac:dyDescent="0.55000000000000004">
      <c r="A3013" s="20">
        <v>1594</v>
      </c>
      <c r="B3013" s="2" t="s">
        <v>169</v>
      </c>
      <c r="C3013" s="2" t="s">
        <v>170</v>
      </c>
      <c r="D3013" s="20">
        <v>0</v>
      </c>
      <c r="E3013" s="2" t="s">
        <v>63</v>
      </c>
      <c r="F3013" s="2" t="s">
        <v>789</v>
      </c>
      <c r="G3013" s="2" t="s">
        <v>1800</v>
      </c>
      <c r="H3013" s="2" t="s">
        <v>1800</v>
      </c>
      <c r="I3013" s="2" t="s">
        <v>785</v>
      </c>
      <c r="J3013" s="25">
        <v>46294</v>
      </c>
      <c r="K3013" s="36">
        <v>2.3599999999999999E-2</v>
      </c>
      <c r="L3013" s="23">
        <v>5.8999999999999999E-3</v>
      </c>
    </row>
    <row r="3014" spans="1:12" ht="15.35" hidden="1" x14ac:dyDescent="0.55000000000000004">
      <c r="A3014" s="20">
        <v>1558</v>
      </c>
      <c r="B3014" s="2" t="s">
        <v>169</v>
      </c>
      <c r="C3014" s="2" t="s">
        <v>170</v>
      </c>
      <c r="D3014" s="20">
        <v>0</v>
      </c>
      <c r="E3014" s="2" t="s">
        <v>63</v>
      </c>
      <c r="F3014" s="2" t="s">
        <v>787</v>
      </c>
      <c r="G3014" s="2" t="s">
        <v>892</v>
      </c>
      <c r="H3014" s="2" t="s">
        <v>892</v>
      </c>
      <c r="I3014" s="2" t="s">
        <v>785</v>
      </c>
      <c r="J3014" s="25">
        <v>46659</v>
      </c>
      <c r="K3014" s="36">
        <v>5.16E-2</v>
      </c>
      <c r="L3014" s="23">
        <v>1.29E-2</v>
      </c>
    </row>
    <row r="3015" spans="1:12" ht="15.35" hidden="1" x14ac:dyDescent="0.55000000000000004">
      <c r="A3015" s="20">
        <v>1569</v>
      </c>
      <c r="B3015" s="2" t="s">
        <v>169</v>
      </c>
      <c r="C3015" s="2" t="s">
        <v>170</v>
      </c>
      <c r="D3015" s="20">
        <v>0</v>
      </c>
      <c r="E3015" s="2" t="s">
        <v>63</v>
      </c>
      <c r="F3015" s="2" t="s">
        <v>789</v>
      </c>
      <c r="G3015" s="2" t="s">
        <v>3408</v>
      </c>
      <c r="H3015" s="2" t="s">
        <v>1245</v>
      </c>
      <c r="I3015" s="2" t="s">
        <v>785</v>
      </c>
      <c r="J3015" s="25">
        <v>46294</v>
      </c>
      <c r="K3015" s="36">
        <v>2.76E-2</v>
      </c>
      <c r="L3015" s="23">
        <v>6.8999999999999999E-3</v>
      </c>
    </row>
    <row r="3016" spans="1:12" ht="15.35" hidden="1" x14ac:dyDescent="0.55000000000000004">
      <c r="A3016" s="20">
        <v>1570</v>
      </c>
      <c r="B3016" s="2" t="s">
        <v>169</v>
      </c>
      <c r="C3016" s="2" t="s">
        <v>170</v>
      </c>
      <c r="D3016" s="20">
        <v>0</v>
      </c>
      <c r="E3016" s="2" t="s">
        <v>63</v>
      </c>
      <c r="F3016" s="2" t="s">
        <v>789</v>
      </c>
      <c r="G3016" s="2" t="s">
        <v>1251</v>
      </c>
      <c r="H3016" s="2" t="s">
        <v>1252</v>
      </c>
      <c r="I3016" s="2" t="s">
        <v>785</v>
      </c>
      <c r="J3016" s="25">
        <v>46294</v>
      </c>
      <c r="K3016" s="36">
        <v>2.4E-2</v>
      </c>
      <c r="L3016" s="23">
        <v>6.0000000000000001E-3</v>
      </c>
    </row>
    <row r="3017" spans="1:12" ht="15.35" hidden="1" x14ac:dyDescent="0.55000000000000004">
      <c r="A3017" s="20">
        <v>1560</v>
      </c>
      <c r="B3017" s="2" t="s">
        <v>169</v>
      </c>
      <c r="C3017" s="2" t="s">
        <v>170</v>
      </c>
      <c r="D3017" s="20">
        <v>0</v>
      </c>
      <c r="E3017" s="2" t="s">
        <v>63</v>
      </c>
      <c r="F3017" s="2" t="s">
        <v>787</v>
      </c>
      <c r="G3017" s="2" t="s">
        <v>972</v>
      </c>
      <c r="H3017" s="2" t="s">
        <v>972</v>
      </c>
      <c r="I3017" s="2" t="s">
        <v>785</v>
      </c>
      <c r="J3017" s="25">
        <v>46659</v>
      </c>
      <c r="K3017" s="36">
        <v>5.16E-2</v>
      </c>
      <c r="L3017" s="23">
        <v>1.29E-2</v>
      </c>
    </row>
    <row r="3018" spans="1:12" ht="15.35" hidden="1" x14ac:dyDescent="0.55000000000000004">
      <c r="A3018" s="20">
        <v>1568</v>
      </c>
      <c r="B3018" s="2" t="s">
        <v>169</v>
      </c>
      <c r="C3018" s="2" t="s">
        <v>170</v>
      </c>
      <c r="D3018" s="20">
        <v>0</v>
      </c>
      <c r="E3018" s="2" t="s">
        <v>63</v>
      </c>
      <c r="F3018" s="2" t="s">
        <v>789</v>
      </c>
      <c r="G3018" s="2" t="s">
        <v>1033</v>
      </c>
      <c r="H3018" s="2" t="s">
        <v>1033</v>
      </c>
      <c r="I3018" s="2" t="s">
        <v>785</v>
      </c>
      <c r="J3018" s="25">
        <v>46294</v>
      </c>
      <c r="K3018" s="36">
        <v>7.3599999999999999E-2</v>
      </c>
      <c r="L3018" s="23">
        <v>1.84E-2</v>
      </c>
    </row>
    <row r="3019" spans="1:12" ht="15.35" hidden="1" x14ac:dyDescent="0.55000000000000004">
      <c r="A3019" s="20">
        <v>1562</v>
      </c>
      <c r="B3019" s="2" t="s">
        <v>169</v>
      </c>
      <c r="C3019" s="2" t="s">
        <v>170</v>
      </c>
      <c r="D3019" s="20">
        <v>0</v>
      </c>
      <c r="E3019" s="2" t="s">
        <v>63</v>
      </c>
      <c r="F3019" s="2" t="s">
        <v>817</v>
      </c>
      <c r="G3019" s="2" t="s">
        <v>3409</v>
      </c>
      <c r="H3019" s="2" t="s">
        <v>1921</v>
      </c>
      <c r="I3019" s="2" t="s">
        <v>785</v>
      </c>
      <c r="J3019" s="25">
        <v>46294</v>
      </c>
      <c r="K3019" s="36">
        <v>1.4959999999999999E-2</v>
      </c>
      <c r="L3019" s="23">
        <v>3.7000000000000002E-3</v>
      </c>
    </row>
    <row r="3020" spans="1:12" ht="15.35" hidden="1" x14ac:dyDescent="0.55000000000000004">
      <c r="A3020" s="20">
        <v>1561</v>
      </c>
      <c r="B3020" s="2" t="s">
        <v>169</v>
      </c>
      <c r="C3020" s="2" t="s">
        <v>170</v>
      </c>
      <c r="D3020" s="20">
        <v>0</v>
      </c>
      <c r="E3020" s="2" t="s">
        <v>63</v>
      </c>
      <c r="F3020" s="2" t="s">
        <v>817</v>
      </c>
      <c r="G3020" s="2" t="s">
        <v>3410</v>
      </c>
      <c r="H3020" s="2" t="s">
        <v>977</v>
      </c>
      <c r="I3020" s="2" t="s">
        <v>785</v>
      </c>
      <c r="J3020" s="25">
        <v>46294</v>
      </c>
      <c r="K3020" s="36">
        <v>3.6639999999999999E-2</v>
      </c>
      <c r="L3020" s="23">
        <v>9.1999999999999998E-3</v>
      </c>
    </row>
    <row r="3021" spans="1:12" ht="15.35" hidden="1" x14ac:dyDescent="0.55000000000000004">
      <c r="A3021" s="20">
        <v>1581</v>
      </c>
      <c r="B3021" s="2" t="s">
        <v>169</v>
      </c>
      <c r="C3021" s="2" t="s">
        <v>170</v>
      </c>
      <c r="D3021" s="20">
        <v>0</v>
      </c>
      <c r="E3021" s="2" t="s">
        <v>63</v>
      </c>
      <c r="F3021" s="2" t="s">
        <v>807</v>
      </c>
      <c r="G3021" s="2" t="s">
        <v>3411</v>
      </c>
      <c r="H3021" s="2" t="s">
        <v>3411</v>
      </c>
      <c r="I3021" s="2" t="s">
        <v>809</v>
      </c>
      <c r="J3021" s="25">
        <v>47755</v>
      </c>
      <c r="K3021" s="36">
        <v>0.2</v>
      </c>
      <c r="L3021" s="23">
        <v>0.05</v>
      </c>
    </row>
    <row r="3022" spans="1:12" ht="15.35" hidden="1" x14ac:dyDescent="0.55000000000000004">
      <c r="A3022" s="20">
        <v>1588</v>
      </c>
      <c r="B3022" s="2" t="s">
        <v>169</v>
      </c>
      <c r="C3022" s="2" t="s">
        <v>170</v>
      </c>
      <c r="D3022" s="20">
        <v>0</v>
      </c>
      <c r="E3022" s="2" t="s">
        <v>63</v>
      </c>
      <c r="F3022" s="2" t="s">
        <v>811</v>
      </c>
      <c r="G3022" s="2" t="s">
        <v>2669</v>
      </c>
      <c r="H3022" s="2" t="s">
        <v>2669</v>
      </c>
      <c r="I3022" s="2" t="s">
        <v>785</v>
      </c>
      <c r="J3022" s="25">
        <v>46294</v>
      </c>
      <c r="K3022" s="36">
        <v>0.1032</v>
      </c>
      <c r="L3022" s="23">
        <v>2.58E-2</v>
      </c>
    </row>
    <row r="3023" spans="1:12" ht="15.35" hidden="1" x14ac:dyDescent="0.55000000000000004">
      <c r="A3023" s="20">
        <v>1575</v>
      </c>
      <c r="B3023" s="2" t="s">
        <v>169</v>
      </c>
      <c r="C3023" s="2" t="s">
        <v>170</v>
      </c>
      <c r="D3023" s="20">
        <v>0</v>
      </c>
      <c r="E3023" s="2" t="s">
        <v>63</v>
      </c>
      <c r="F3023" s="2" t="s">
        <v>798</v>
      </c>
      <c r="G3023" s="2" t="s">
        <v>3412</v>
      </c>
      <c r="H3023" s="2" t="s">
        <v>804</v>
      </c>
      <c r="I3023" s="2" t="s">
        <v>785</v>
      </c>
      <c r="J3023" s="25">
        <v>46294</v>
      </c>
      <c r="K3023" s="36">
        <v>5.16E-2</v>
      </c>
      <c r="L3023" s="23">
        <v>1.29E-2</v>
      </c>
    </row>
    <row r="3024" spans="1:12" ht="15.35" hidden="1" x14ac:dyDescent="0.55000000000000004">
      <c r="A3024" s="20">
        <v>1571</v>
      </c>
      <c r="B3024" s="2" t="s">
        <v>169</v>
      </c>
      <c r="C3024" s="2" t="s">
        <v>170</v>
      </c>
      <c r="D3024" s="20">
        <v>0</v>
      </c>
      <c r="E3024" s="2" t="s">
        <v>63</v>
      </c>
      <c r="F3024" s="2" t="s">
        <v>817</v>
      </c>
      <c r="G3024" s="2" t="s">
        <v>1807</v>
      </c>
      <c r="H3024" s="2" t="s">
        <v>852</v>
      </c>
      <c r="I3024" s="2" t="s">
        <v>785</v>
      </c>
      <c r="J3024" s="25">
        <v>46659</v>
      </c>
      <c r="K3024" s="36">
        <v>7.3599999999999999E-2</v>
      </c>
      <c r="L3024" s="23">
        <v>1.84E-2</v>
      </c>
    </row>
    <row r="3025" spans="1:12" ht="15.35" hidden="1" x14ac:dyDescent="0.55000000000000004">
      <c r="A3025" s="20">
        <v>1593</v>
      </c>
      <c r="B3025" s="2" t="s">
        <v>169</v>
      </c>
      <c r="C3025" s="2" t="s">
        <v>170</v>
      </c>
      <c r="D3025" s="20">
        <v>0</v>
      </c>
      <c r="E3025" s="2" t="s">
        <v>63</v>
      </c>
      <c r="F3025" s="2" t="s">
        <v>811</v>
      </c>
      <c r="G3025" s="2" t="s">
        <v>1808</v>
      </c>
      <c r="H3025" s="2" t="s">
        <v>1808</v>
      </c>
      <c r="I3025" s="2" t="s">
        <v>785</v>
      </c>
      <c r="J3025" s="25">
        <v>46659</v>
      </c>
      <c r="K3025" s="36">
        <v>2.3599999999999999E-2</v>
      </c>
      <c r="L3025" s="23">
        <v>5.8999999999999999E-3</v>
      </c>
    </row>
    <row r="3026" spans="1:12" ht="15.35" hidden="1" x14ac:dyDescent="0.55000000000000004">
      <c r="A3026" s="20">
        <v>1576</v>
      </c>
      <c r="B3026" s="2" t="s">
        <v>169</v>
      </c>
      <c r="C3026" s="2" t="s">
        <v>170</v>
      </c>
      <c r="D3026" s="20">
        <v>0</v>
      </c>
      <c r="E3026" s="2" t="s">
        <v>63</v>
      </c>
      <c r="F3026" s="2" t="s">
        <v>798</v>
      </c>
      <c r="G3026" s="2" t="s">
        <v>3413</v>
      </c>
      <c r="H3026" s="2" t="s">
        <v>1086</v>
      </c>
      <c r="I3026" s="2" t="s">
        <v>785</v>
      </c>
      <c r="J3026" s="25">
        <v>46659</v>
      </c>
      <c r="K3026" s="36">
        <v>2.3599999999999999E-2</v>
      </c>
      <c r="L3026" s="23">
        <v>5.8999999999999999E-3</v>
      </c>
    </row>
    <row r="3027" spans="1:12" ht="15.35" hidden="1" x14ac:dyDescent="0.55000000000000004">
      <c r="A3027" s="20">
        <v>1573</v>
      </c>
      <c r="B3027" s="2" t="s">
        <v>169</v>
      </c>
      <c r="C3027" s="2" t="s">
        <v>170</v>
      </c>
      <c r="D3027" s="20">
        <v>0</v>
      </c>
      <c r="E3027" s="2" t="s">
        <v>63</v>
      </c>
      <c r="F3027" s="2" t="s">
        <v>798</v>
      </c>
      <c r="G3027" s="2" t="s">
        <v>3414</v>
      </c>
      <c r="H3027" s="2" t="s">
        <v>3415</v>
      </c>
      <c r="I3027" s="2" t="s">
        <v>785</v>
      </c>
      <c r="J3027" s="25">
        <v>46659</v>
      </c>
      <c r="K3027" s="36">
        <v>8.0000000000000002E-3</v>
      </c>
      <c r="L3027" s="23">
        <v>2E-3</v>
      </c>
    </row>
    <row r="3028" spans="1:12" ht="15.35" hidden="1" x14ac:dyDescent="0.55000000000000004">
      <c r="A3028" s="20">
        <v>1589</v>
      </c>
      <c r="B3028" s="2" t="s">
        <v>169</v>
      </c>
      <c r="C3028" s="2" t="s">
        <v>170</v>
      </c>
      <c r="D3028" s="20">
        <v>0</v>
      </c>
      <c r="E3028" s="2" t="s">
        <v>63</v>
      </c>
      <c r="F3028" s="2" t="s">
        <v>789</v>
      </c>
      <c r="G3028" s="2" t="s">
        <v>3416</v>
      </c>
      <c r="H3028" s="2" t="s">
        <v>3417</v>
      </c>
      <c r="I3028" s="2" t="s">
        <v>785</v>
      </c>
      <c r="J3028" s="25">
        <v>46294</v>
      </c>
      <c r="K3028" s="36">
        <v>3.1199999999999999E-2</v>
      </c>
      <c r="L3028" s="23">
        <v>7.7999999999999996E-3</v>
      </c>
    </row>
    <row r="3029" spans="1:12" ht="15.35" hidden="1" x14ac:dyDescent="0.55000000000000004">
      <c r="A3029" s="20">
        <v>1559</v>
      </c>
      <c r="B3029" s="2" t="s">
        <v>169</v>
      </c>
      <c r="C3029" s="2" t="s">
        <v>170</v>
      </c>
      <c r="D3029" s="20">
        <v>0</v>
      </c>
      <c r="E3029" s="2" t="s">
        <v>63</v>
      </c>
      <c r="F3029" s="2" t="s">
        <v>787</v>
      </c>
      <c r="G3029" s="2" t="s">
        <v>1191</v>
      </c>
      <c r="H3029" s="2" t="s">
        <v>1191</v>
      </c>
      <c r="I3029" s="2" t="s">
        <v>785</v>
      </c>
      <c r="J3029" s="25">
        <v>46659</v>
      </c>
      <c r="K3029" s="36">
        <v>5.16E-2</v>
      </c>
      <c r="L3029" s="23">
        <v>1.29E-2</v>
      </c>
    </row>
    <row r="3030" spans="1:12" ht="15.35" hidden="1" x14ac:dyDescent="0.55000000000000004">
      <c r="A3030" s="20">
        <v>1590</v>
      </c>
      <c r="B3030" s="2" t="s">
        <v>169</v>
      </c>
      <c r="C3030" s="2" t="s">
        <v>170</v>
      </c>
      <c r="D3030" s="20">
        <v>0</v>
      </c>
      <c r="E3030" s="2" t="s">
        <v>63</v>
      </c>
      <c r="F3030" s="2" t="s">
        <v>811</v>
      </c>
      <c r="G3030" s="2" t="s">
        <v>2676</v>
      </c>
      <c r="H3030" s="2" t="s">
        <v>2676</v>
      </c>
      <c r="I3030" s="2" t="s">
        <v>785</v>
      </c>
      <c r="J3030" s="25">
        <v>46294</v>
      </c>
      <c r="K3030" s="36">
        <v>7.3599999999999999E-2</v>
      </c>
      <c r="L3030" s="23">
        <v>1.84E-2</v>
      </c>
    </row>
    <row r="3031" spans="1:12" ht="15.35" hidden="1" x14ac:dyDescent="0.55000000000000004">
      <c r="A3031" s="20">
        <v>1577</v>
      </c>
      <c r="B3031" s="2" t="s">
        <v>169</v>
      </c>
      <c r="C3031" s="2" t="s">
        <v>170</v>
      </c>
      <c r="D3031" s="20">
        <v>0</v>
      </c>
      <c r="E3031" s="2" t="s">
        <v>63</v>
      </c>
      <c r="F3031" s="2" t="s">
        <v>789</v>
      </c>
      <c r="G3031" s="2" t="s">
        <v>3418</v>
      </c>
      <c r="H3031" s="2" t="s">
        <v>2679</v>
      </c>
      <c r="I3031" s="2" t="s">
        <v>785</v>
      </c>
      <c r="J3031" s="25">
        <v>46294</v>
      </c>
      <c r="K3031" s="36">
        <v>5.484E-2</v>
      </c>
      <c r="L3031" s="23">
        <v>1.37E-2</v>
      </c>
    </row>
    <row r="3032" spans="1:12" ht="15.35" hidden="1" x14ac:dyDescent="0.55000000000000004">
      <c r="A3032" s="20">
        <v>1582</v>
      </c>
      <c r="B3032" s="2" t="s">
        <v>169</v>
      </c>
      <c r="C3032" s="2" t="s">
        <v>170</v>
      </c>
      <c r="D3032" s="20">
        <v>0</v>
      </c>
      <c r="E3032" s="2" t="s">
        <v>63</v>
      </c>
      <c r="F3032" s="2" t="s">
        <v>789</v>
      </c>
      <c r="G3032" s="2" t="s">
        <v>3419</v>
      </c>
      <c r="H3032" s="2" t="s">
        <v>2679</v>
      </c>
      <c r="I3032" s="2" t="s">
        <v>785</v>
      </c>
      <c r="J3032" s="25">
        <v>46294</v>
      </c>
      <c r="K3032" s="36">
        <v>1.8759999999999999E-2</v>
      </c>
      <c r="L3032" s="23">
        <v>4.7000000000000002E-3</v>
      </c>
    </row>
    <row r="3033" spans="1:12" ht="15.35" hidden="1" x14ac:dyDescent="0.55000000000000004">
      <c r="A3033" s="20">
        <v>1587</v>
      </c>
      <c r="B3033" s="2" t="s">
        <v>169</v>
      </c>
      <c r="C3033" s="2" t="s">
        <v>170</v>
      </c>
      <c r="D3033" s="20">
        <v>0</v>
      </c>
      <c r="E3033" s="2" t="s">
        <v>63</v>
      </c>
      <c r="F3033" s="2" t="s">
        <v>813</v>
      </c>
      <c r="G3033" s="2" t="s">
        <v>815</v>
      </c>
      <c r="H3033" s="2" t="s">
        <v>815</v>
      </c>
      <c r="I3033" s="2" t="s">
        <v>785</v>
      </c>
      <c r="J3033" s="25">
        <v>46659</v>
      </c>
      <c r="K3033" s="36">
        <v>7.3599999999999999E-2</v>
      </c>
      <c r="L3033" s="23">
        <v>1.84E-2</v>
      </c>
    </row>
    <row r="3034" spans="1:12" ht="15.35" hidden="1" x14ac:dyDescent="0.55000000000000004">
      <c r="A3034" s="20">
        <v>1579</v>
      </c>
      <c r="B3034" s="2" t="s">
        <v>169</v>
      </c>
      <c r="C3034" s="2" t="s">
        <v>170</v>
      </c>
      <c r="D3034" s="20">
        <v>0</v>
      </c>
      <c r="E3034" s="2" t="s">
        <v>63</v>
      </c>
      <c r="F3034" s="2" t="s">
        <v>789</v>
      </c>
      <c r="G3034" s="2" t="s">
        <v>2680</v>
      </c>
      <c r="H3034" s="2" t="s">
        <v>2680</v>
      </c>
      <c r="I3034" s="2" t="s">
        <v>785</v>
      </c>
      <c r="J3034" s="25">
        <v>46294</v>
      </c>
      <c r="K3034" s="36">
        <v>7.3599999999999999E-2</v>
      </c>
      <c r="L3034" s="23">
        <v>1.84E-2</v>
      </c>
    </row>
    <row r="3035" spans="1:12" ht="15.35" hidden="1" x14ac:dyDescent="0.55000000000000004">
      <c r="A3035" s="20">
        <v>1578</v>
      </c>
      <c r="B3035" s="2" t="s">
        <v>169</v>
      </c>
      <c r="C3035" s="2" t="s">
        <v>170</v>
      </c>
      <c r="D3035" s="20">
        <v>0</v>
      </c>
      <c r="E3035" s="2" t="s">
        <v>63</v>
      </c>
      <c r="F3035" s="2" t="s">
        <v>798</v>
      </c>
      <c r="G3035" s="2" t="s">
        <v>3420</v>
      </c>
      <c r="H3035" s="2" t="s">
        <v>991</v>
      </c>
      <c r="I3035" s="2" t="s">
        <v>785</v>
      </c>
      <c r="J3035" s="25">
        <v>46659</v>
      </c>
      <c r="K3035" s="36">
        <v>2.2800000000000001E-2</v>
      </c>
      <c r="L3035" s="23">
        <v>5.7000000000000002E-3</v>
      </c>
    </row>
    <row r="3036" spans="1:12" ht="15.35" hidden="1" x14ac:dyDescent="0.55000000000000004">
      <c r="A3036" s="20">
        <v>1557</v>
      </c>
      <c r="B3036" s="2" t="s">
        <v>169</v>
      </c>
      <c r="C3036" s="2" t="s">
        <v>170</v>
      </c>
      <c r="D3036" s="20">
        <v>0</v>
      </c>
      <c r="E3036" s="2" t="s">
        <v>63</v>
      </c>
      <c r="F3036" s="2" t="s">
        <v>807</v>
      </c>
      <c r="G3036" s="2" t="s">
        <v>3421</v>
      </c>
      <c r="H3036" s="2" t="s">
        <v>3421</v>
      </c>
      <c r="I3036" s="2" t="s">
        <v>809</v>
      </c>
      <c r="J3036" s="25">
        <v>47755</v>
      </c>
      <c r="K3036" s="36">
        <v>0.4</v>
      </c>
      <c r="L3036" s="23">
        <v>0.1</v>
      </c>
    </row>
    <row r="3037" spans="1:12" ht="15.35" hidden="1" x14ac:dyDescent="0.55000000000000004">
      <c r="A3037" s="20">
        <v>1585</v>
      </c>
      <c r="B3037" s="2" t="s">
        <v>169</v>
      </c>
      <c r="C3037" s="2" t="s">
        <v>170</v>
      </c>
      <c r="D3037" s="20">
        <v>0</v>
      </c>
      <c r="E3037" s="2" t="s">
        <v>63</v>
      </c>
      <c r="F3037" s="2" t="s">
        <v>811</v>
      </c>
      <c r="G3037" s="2" t="s">
        <v>2681</v>
      </c>
      <c r="H3037" s="2" t="s">
        <v>2681</v>
      </c>
      <c r="I3037" s="2" t="s">
        <v>785</v>
      </c>
      <c r="J3037" s="25">
        <v>46659</v>
      </c>
      <c r="K3037" s="36">
        <v>3.7600000000000001E-2</v>
      </c>
      <c r="L3037" s="23">
        <v>9.4000000000000004E-3</v>
      </c>
    </row>
    <row r="3038" spans="1:12" ht="15.35" hidden="1" x14ac:dyDescent="0.55000000000000004">
      <c r="A3038" s="20">
        <v>1584</v>
      </c>
      <c r="B3038" s="2" t="s">
        <v>169</v>
      </c>
      <c r="C3038" s="2" t="s">
        <v>170</v>
      </c>
      <c r="D3038" s="20">
        <v>0</v>
      </c>
      <c r="E3038" s="2" t="s">
        <v>63</v>
      </c>
      <c r="F3038" s="2" t="s">
        <v>811</v>
      </c>
      <c r="G3038" s="2" t="s">
        <v>3422</v>
      </c>
      <c r="H3038" s="2" t="s">
        <v>3422</v>
      </c>
      <c r="I3038" s="2" t="s">
        <v>785</v>
      </c>
      <c r="J3038" s="25">
        <v>46659</v>
      </c>
      <c r="K3038" s="36">
        <v>1.4E-2</v>
      </c>
      <c r="L3038" s="23">
        <v>3.5000000000000001E-3</v>
      </c>
    </row>
    <row r="3039" spans="1:12" ht="15.35" hidden="1" x14ac:dyDescent="0.55000000000000004">
      <c r="A3039" s="20">
        <v>1591</v>
      </c>
      <c r="B3039" s="2" t="s">
        <v>169</v>
      </c>
      <c r="C3039" s="2" t="s">
        <v>170</v>
      </c>
      <c r="D3039" s="20">
        <v>0</v>
      </c>
      <c r="E3039" s="2" t="s">
        <v>63</v>
      </c>
      <c r="F3039" s="2" t="s">
        <v>813</v>
      </c>
      <c r="G3039" s="2" t="s">
        <v>3423</v>
      </c>
      <c r="H3039" s="2" t="s">
        <v>3423</v>
      </c>
      <c r="I3039" s="2" t="s">
        <v>785</v>
      </c>
      <c r="J3039" s="25">
        <v>46659</v>
      </c>
      <c r="K3039" s="36">
        <v>2.3599999999999999E-2</v>
      </c>
      <c r="L3039" s="23">
        <v>5.8999999999999999E-3</v>
      </c>
    </row>
    <row r="3040" spans="1:12" ht="15.35" hidden="1" x14ac:dyDescent="0.55000000000000004">
      <c r="A3040" s="20">
        <v>1566</v>
      </c>
      <c r="B3040" s="2" t="s">
        <v>169</v>
      </c>
      <c r="C3040" s="2" t="s">
        <v>170</v>
      </c>
      <c r="D3040" s="20">
        <v>0</v>
      </c>
      <c r="E3040" s="2" t="s">
        <v>63</v>
      </c>
      <c r="F3040" s="2" t="s">
        <v>789</v>
      </c>
      <c r="G3040" s="2" t="s">
        <v>826</v>
      </c>
      <c r="H3040" s="2" t="s">
        <v>826</v>
      </c>
      <c r="I3040" s="2" t="s">
        <v>785</v>
      </c>
      <c r="J3040" s="25">
        <v>46294</v>
      </c>
      <c r="K3040" s="36">
        <v>5.16E-2</v>
      </c>
      <c r="L3040" s="23">
        <v>1.29E-2</v>
      </c>
    </row>
    <row r="3041" spans="1:12" ht="15.35" hidden="1" x14ac:dyDescent="0.55000000000000004">
      <c r="A3041" s="20">
        <v>1555</v>
      </c>
      <c r="B3041" s="2" t="s">
        <v>169</v>
      </c>
      <c r="C3041" s="2" t="s">
        <v>170</v>
      </c>
      <c r="D3041" s="20">
        <v>0</v>
      </c>
      <c r="E3041" s="2" t="s">
        <v>63</v>
      </c>
      <c r="F3041" s="2" t="s">
        <v>783</v>
      </c>
      <c r="G3041" s="2" t="s">
        <v>2686</v>
      </c>
      <c r="H3041" s="2" t="s">
        <v>2686</v>
      </c>
      <c r="I3041" s="2" t="s">
        <v>785</v>
      </c>
      <c r="J3041" s="25">
        <v>46659</v>
      </c>
      <c r="K3041" s="36">
        <v>2.3599999999999999E-2</v>
      </c>
      <c r="L3041" s="23">
        <v>5.8999999999999999E-3</v>
      </c>
    </row>
    <row r="3042" spans="1:12" ht="15.35" hidden="1" x14ac:dyDescent="0.55000000000000004">
      <c r="A3042" s="20">
        <v>1586</v>
      </c>
      <c r="B3042" s="2" t="s">
        <v>169</v>
      </c>
      <c r="C3042" s="2" t="s">
        <v>170</v>
      </c>
      <c r="D3042" s="20">
        <v>0</v>
      </c>
      <c r="E3042" s="2" t="s">
        <v>63</v>
      </c>
      <c r="F3042" s="2" t="s">
        <v>811</v>
      </c>
      <c r="G3042" s="2" t="s">
        <v>1817</v>
      </c>
      <c r="H3042" s="2" t="s">
        <v>1818</v>
      </c>
      <c r="I3042" s="2" t="s">
        <v>785</v>
      </c>
      <c r="J3042" s="25">
        <v>46659</v>
      </c>
      <c r="K3042" s="36">
        <v>2.3599999999999999E-2</v>
      </c>
      <c r="L3042" s="23">
        <v>5.8999999999999999E-3</v>
      </c>
    </row>
    <row r="3043" spans="1:12" ht="15.35" hidden="1" x14ac:dyDescent="0.55000000000000004">
      <c r="A3043" s="20">
        <v>1563</v>
      </c>
      <c r="B3043" s="2" t="s">
        <v>169</v>
      </c>
      <c r="C3043" s="2" t="s">
        <v>170</v>
      </c>
      <c r="D3043" s="20">
        <v>0</v>
      </c>
      <c r="E3043" s="2" t="s">
        <v>63</v>
      </c>
      <c r="F3043" s="2" t="s">
        <v>789</v>
      </c>
      <c r="G3043" s="2" t="s">
        <v>1784</v>
      </c>
      <c r="H3043" s="2" t="s">
        <v>1784</v>
      </c>
      <c r="I3043" s="2" t="s">
        <v>785</v>
      </c>
      <c r="J3043" s="25">
        <v>46294</v>
      </c>
      <c r="K3043" s="36">
        <v>2.3599999999999999E-2</v>
      </c>
      <c r="L3043" s="23">
        <v>5.8999999999999999E-3</v>
      </c>
    </row>
    <row r="3044" spans="1:12" ht="15.35" hidden="1" x14ac:dyDescent="0.55000000000000004">
      <c r="A3044" s="20">
        <v>1553</v>
      </c>
      <c r="B3044" s="2" t="s">
        <v>169</v>
      </c>
      <c r="C3044" s="2" t="s">
        <v>170</v>
      </c>
      <c r="D3044" s="20">
        <v>0</v>
      </c>
      <c r="E3044" s="2" t="s">
        <v>63</v>
      </c>
      <c r="F3044" s="2" t="s">
        <v>817</v>
      </c>
      <c r="G3044" s="2" t="s">
        <v>899</v>
      </c>
      <c r="H3044" s="2" t="s">
        <v>899</v>
      </c>
      <c r="I3044" s="2" t="s">
        <v>785</v>
      </c>
      <c r="J3044" s="25">
        <v>46659</v>
      </c>
      <c r="K3044" s="36">
        <v>2.3599999999999999E-2</v>
      </c>
      <c r="L3044" s="23">
        <v>5.8999999999999999E-3</v>
      </c>
    </row>
    <row r="3045" spans="1:12" ht="15.35" hidden="1" x14ac:dyDescent="0.55000000000000004">
      <c r="A3045" s="20">
        <v>1592</v>
      </c>
      <c r="B3045" s="2" t="s">
        <v>169</v>
      </c>
      <c r="C3045" s="2" t="s">
        <v>170</v>
      </c>
      <c r="D3045" s="20">
        <v>0</v>
      </c>
      <c r="E3045" s="2" t="s">
        <v>63</v>
      </c>
      <c r="F3045" s="2" t="s">
        <v>813</v>
      </c>
      <c r="G3045" s="2" t="s">
        <v>3424</v>
      </c>
      <c r="H3045" s="2" t="s">
        <v>3424</v>
      </c>
      <c r="I3045" s="2" t="s">
        <v>785</v>
      </c>
      <c r="J3045" s="25">
        <v>46659</v>
      </c>
      <c r="K3045" s="36">
        <v>5.16E-2</v>
      </c>
      <c r="L3045" s="23">
        <v>1.29E-2</v>
      </c>
    </row>
    <row r="3046" spans="1:12" ht="15.35" x14ac:dyDescent="0.55000000000000004">
      <c r="A3046" s="20">
        <v>17610</v>
      </c>
      <c r="B3046" s="2" t="s">
        <v>169</v>
      </c>
      <c r="C3046" s="2" t="s">
        <v>170</v>
      </c>
      <c r="D3046" s="20">
        <v>0</v>
      </c>
      <c r="E3046" s="2" t="s">
        <v>838</v>
      </c>
      <c r="F3046" s="2" t="s">
        <v>793</v>
      </c>
      <c r="G3046" s="2" t="s">
        <v>3425</v>
      </c>
      <c r="J3046" s="26"/>
      <c r="K3046" s="36">
        <v>4.4221499999999997E-3</v>
      </c>
      <c r="L3046" s="23">
        <v>1.1055399999999999E-3</v>
      </c>
    </row>
    <row r="3047" spans="1:12" ht="15.35" hidden="1" x14ac:dyDescent="0.55000000000000004">
      <c r="A3047" s="20">
        <v>17608</v>
      </c>
      <c r="B3047" s="2" t="s">
        <v>169</v>
      </c>
      <c r="C3047" s="2" t="s">
        <v>170</v>
      </c>
      <c r="D3047" s="20">
        <v>0</v>
      </c>
      <c r="E3047" s="2" t="s">
        <v>838</v>
      </c>
      <c r="F3047" s="2" t="s">
        <v>789</v>
      </c>
      <c r="G3047" s="2" t="s">
        <v>3426</v>
      </c>
      <c r="H3047" s="2" t="s">
        <v>2708</v>
      </c>
      <c r="J3047" s="26"/>
      <c r="K3047" s="36">
        <v>5.7963999999999997E-4</v>
      </c>
      <c r="L3047" s="23">
        <v>1.4490999999999999E-4</v>
      </c>
    </row>
    <row r="3048" spans="1:12" ht="15.35" hidden="1" x14ac:dyDescent="0.55000000000000004">
      <c r="A3048" s="20">
        <v>16991</v>
      </c>
      <c r="B3048" s="2" t="s">
        <v>169</v>
      </c>
      <c r="C3048" s="2" t="s">
        <v>170</v>
      </c>
      <c r="D3048" s="20">
        <v>0</v>
      </c>
      <c r="E3048" s="2" t="s">
        <v>838</v>
      </c>
      <c r="F3048" s="2" t="s">
        <v>793</v>
      </c>
      <c r="G3048" s="2" t="s">
        <v>2709</v>
      </c>
      <c r="H3048" s="2" t="s">
        <v>2710</v>
      </c>
      <c r="J3048" s="26"/>
      <c r="K3048" s="36">
        <v>6.8495999999999997E-4</v>
      </c>
      <c r="L3048" s="23">
        <v>1.7123999999999999E-4</v>
      </c>
    </row>
    <row r="3049" spans="1:12" ht="15.35" hidden="1" x14ac:dyDescent="0.55000000000000004">
      <c r="A3049" s="20">
        <v>17349</v>
      </c>
      <c r="B3049" s="2" t="s">
        <v>169</v>
      </c>
      <c r="C3049" s="2" t="s">
        <v>170</v>
      </c>
      <c r="D3049" s="20">
        <v>0</v>
      </c>
      <c r="E3049" s="2" t="s">
        <v>838</v>
      </c>
      <c r="F3049" s="2" t="s">
        <v>793</v>
      </c>
      <c r="G3049" s="2" t="s">
        <v>3427</v>
      </c>
      <c r="H3049" s="2" t="s">
        <v>1003</v>
      </c>
      <c r="J3049" s="26"/>
      <c r="K3049" s="36">
        <v>4.4221499999999997E-3</v>
      </c>
      <c r="L3049" s="23">
        <v>1.1055399999999999E-3</v>
      </c>
    </row>
    <row r="3050" spans="1:12" ht="15.35" hidden="1" x14ac:dyDescent="0.55000000000000004">
      <c r="A3050" s="20">
        <v>16808</v>
      </c>
      <c r="B3050" s="2" t="s">
        <v>169</v>
      </c>
      <c r="C3050" s="2" t="s">
        <v>170</v>
      </c>
      <c r="D3050" s="20">
        <v>0</v>
      </c>
      <c r="E3050" s="2" t="s">
        <v>838</v>
      </c>
      <c r="F3050" s="2" t="s">
        <v>793</v>
      </c>
      <c r="G3050" s="2" t="s">
        <v>2712</v>
      </c>
      <c r="H3050" s="2" t="s">
        <v>1003</v>
      </c>
      <c r="J3050" s="26"/>
      <c r="K3050" s="36">
        <v>3.1674400000000001E-3</v>
      </c>
      <c r="L3050" s="23">
        <v>7.9186000000000002E-4</v>
      </c>
    </row>
    <row r="3051" spans="1:12" ht="15.35" hidden="1" x14ac:dyDescent="0.55000000000000004">
      <c r="A3051" s="20">
        <v>17670</v>
      </c>
      <c r="B3051" s="2" t="s">
        <v>169</v>
      </c>
      <c r="C3051" s="2" t="s">
        <v>170</v>
      </c>
      <c r="D3051" s="20">
        <v>0</v>
      </c>
      <c r="E3051" s="2" t="s">
        <v>838</v>
      </c>
      <c r="F3051" s="2" t="s">
        <v>793</v>
      </c>
      <c r="G3051" s="2" t="s">
        <v>2713</v>
      </c>
      <c r="H3051" s="2" t="s">
        <v>1003</v>
      </c>
      <c r="J3051" s="26"/>
      <c r="K3051" s="36">
        <v>1.9994499999999998E-3</v>
      </c>
      <c r="L3051" s="23">
        <v>4.9985999999999997E-4</v>
      </c>
    </row>
    <row r="3052" spans="1:12" ht="15.35" hidden="1" x14ac:dyDescent="0.55000000000000004">
      <c r="A3052" s="20">
        <v>17667</v>
      </c>
      <c r="B3052" s="2" t="s">
        <v>169</v>
      </c>
      <c r="C3052" s="2" t="s">
        <v>170</v>
      </c>
      <c r="D3052" s="20">
        <v>0</v>
      </c>
      <c r="E3052" s="2" t="s">
        <v>838</v>
      </c>
      <c r="F3052" s="2" t="s">
        <v>817</v>
      </c>
      <c r="G3052" s="2" t="s">
        <v>3428</v>
      </c>
      <c r="H3052" s="2" t="s">
        <v>1198</v>
      </c>
      <c r="J3052" s="26"/>
      <c r="K3052" s="36">
        <v>1.33428E-3</v>
      </c>
      <c r="L3052" s="23">
        <v>3.3356999999999999E-4</v>
      </c>
    </row>
    <row r="3053" spans="1:12" ht="15.35" hidden="1" x14ac:dyDescent="0.55000000000000004">
      <c r="A3053" s="20">
        <v>17236</v>
      </c>
      <c r="B3053" s="2" t="s">
        <v>169</v>
      </c>
      <c r="C3053" s="2" t="s">
        <v>170</v>
      </c>
      <c r="D3053" s="20">
        <v>0</v>
      </c>
      <c r="E3053" s="2" t="s">
        <v>838</v>
      </c>
      <c r="F3053" s="2" t="s">
        <v>793</v>
      </c>
      <c r="G3053" s="2" t="s">
        <v>3429</v>
      </c>
      <c r="H3053" s="2" t="s">
        <v>1411</v>
      </c>
      <c r="J3053" s="26"/>
      <c r="K3053" s="36">
        <v>3.4485000000000001E-4</v>
      </c>
      <c r="L3053" s="23">
        <v>8.6210000000000003E-5</v>
      </c>
    </row>
    <row r="3054" spans="1:12" ht="15.35" hidden="1" x14ac:dyDescent="0.55000000000000004">
      <c r="A3054" s="20">
        <v>17140</v>
      </c>
      <c r="B3054" s="2" t="s">
        <v>169</v>
      </c>
      <c r="C3054" s="2" t="s">
        <v>170</v>
      </c>
      <c r="D3054" s="20">
        <v>0</v>
      </c>
      <c r="E3054" s="2" t="s">
        <v>838</v>
      </c>
      <c r="F3054" s="2" t="s">
        <v>793</v>
      </c>
      <c r="G3054" s="2" t="s">
        <v>2716</v>
      </c>
      <c r="H3054" s="2" t="s">
        <v>1411</v>
      </c>
      <c r="J3054" s="26"/>
      <c r="K3054" s="36">
        <v>1.6390999999999999E-4</v>
      </c>
      <c r="L3054" s="23">
        <v>4.0979999999999997E-5</v>
      </c>
    </row>
    <row r="3055" spans="1:12" ht="15.35" hidden="1" x14ac:dyDescent="0.55000000000000004">
      <c r="A3055" s="20">
        <v>17463</v>
      </c>
      <c r="B3055" s="2" t="s">
        <v>169</v>
      </c>
      <c r="C3055" s="2" t="s">
        <v>170</v>
      </c>
      <c r="D3055" s="20">
        <v>0</v>
      </c>
      <c r="E3055" s="2" t="s">
        <v>838</v>
      </c>
      <c r="F3055" s="2" t="s">
        <v>793</v>
      </c>
      <c r="G3055" s="2" t="s">
        <v>2717</v>
      </c>
      <c r="H3055" s="2" t="s">
        <v>1411</v>
      </c>
      <c r="J3055" s="26"/>
      <c r="K3055" s="36">
        <v>6.4258999999999996E-4</v>
      </c>
      <c r="L3055" s="23">
        <v>1.6065E-4</v>
      </c>
    </row>
    <row r="3056" spans="1:12" ht="15.35" hidden="1" x14ac:dyDescent="0.55000000000000004">
      <c r="A3056" s="20">
        <v>17117</v>
      </c>
      <c r="B3056" s="2" t="s">
        <v>169</v>
      </c>
      <c r="C3056" s="2" t="s">
        <v>170</v>
      </c>
      <c r="D3056" s="20">
        <v>0</v>
      </c>
      <c r="E3056" s="2" t="s">
        <v>838</v>
      </c>
      <c r="F3056" s="2" t="s">
        <v>793</v>
      </c>
      <c r="G3056" s="2" t="s">
        <v>2718</v>
      </c>
      <c r="H3056" s="2" t="s">
        <v>1411</v>
      </c>
      <c r="J3056" s="26"/>
      <c r="K3056" s="36">
        <v>1.1718999999999999E-4</v>
      </c>
      <c r="L3056" s="23">
        <v>2.9300000000000001E-5</v>
      </c>
    </row>
    <row r="3057" spans="1:12" ht="15.35" hidden="1" x14ac:dyDescent="0.55000000000000004">
      <c r="A3057" s="20">
        <v>17177</v>
      </c>
      <c r="B3057" s="2" t="s">
        <v>169</v>
      </c>
      <c r="C3057" s="2" t="s">
        <v>170</v>
      </c>
      <c r="D3057" s="20">
        <v>0</v>
      </c>
      <c r="E3057" s="2" t="s">
        <v>838</v>
      </c>
      <c r="F3057" s="2" t="s">
        <v>793</v>
      </c>
      <c r="G3057" s="2" t="s">
        <v>3430</v>
      </c>
      <c r="H3057" s="2" t="s">
        <v>1424</v>
      </c>
      <c r="J3057" s="26"/>
      <c r="K3057" s="36">
        <v>5.3050000000000002E-5</v>
      </c>
      <c r="L3057" s="23">
        <v>1.326E-5</v>
      </c>
    </row>
    <row r="3058" spans="1:12" ht="15.35" hidden="1" x14ac:dyDescent="0.55000000000000004">
      <c r="A3058" s="20">
        <v>17562</v>
      </c>
      <c r="B3058" s="2" t="s">
        <v>169</v>
      </c>
      <c r="C3058" s="2" t="s">
        <v>170</v>
      </c>
      <c r="D3058" s="20">
        <v>0</v>
      </c>
      <c r="E3058" s="2" t="s">
        <v>838</v>
      </c>
      <c r="F3058" s="2" t="s">
        <v>793</v>
      </c>
      <c r="G3058" s="2" t="s">
        <v>3431</v>
      </c>
      <c r="H3058" s="2" t="s">
        <v>1424</v>
      </c>
      <c r="J3058" s="26"/>
      <c r="K3058" s="36">
        <v>4.6319999999999997E-5</v>
      </c>
      <c r="L3058" s="23">
        <v>1.1579999999999999E-5</v>
      </c>
    </row>
    <row r="3059" spans="1:12" ht="15.35" hidden="1" x14ac:dyDescent="0.55000000000000004">
      <c r="A3059" s="20">
        <v>17157</v>
      </c>
      <c r="B3059" s="2" t="s">
        <v>169</v>
      </c>
      <c r="C3059" s="2" t="s">
        <v>170</v>
      </c>
      <c r="D3059" s="20">
        <v>0</v>
      </c>
      <c r="E3059" s="2" t="s">
        <v>838</v>
      </c>
      <c r="F3059" s="2" t="s">
        <v>793</v>
      </c>
      <c r="G3059" s="2" t="s">
        <v>3432</v>
      </c>
      <c r="H3059" s="2" t="s">
        <v>1424</v>
      </c>
      <c r="J3059" s="26"/>
      <c r="K3059" s="36">
        <v>7.4029999999999994E-5</v>
      </c>
      <c r="L3059" s="23">
        <v>1.8510000000000001E-5</v>
      </c>
    </row>
    <row r="3060" spans="1:12" ht="15.35" hidden="1" x14ac:dyDescent="0.55000000000000004">
      <c r="A3060" s="20">
        <v>17399</v>
      </c>
      <c r="B3060" s="2" t="s">
        <v>169</v>
      </c>
      <c r="C3060" s="2" t="s">
        <v>170</v>
      </c>
      <c r="D3060" s="20">
        <v>0</v>
      </c>
      <c r="E3060" s="2" t="s">
        <v>838</v>
      </c>
      <c r="F3060" s="2" t="s">
        <v>793</v>
      </c>
      <c r="G3060" s="2" t="s">
        <v>3433</v>
      </c>
      <c r="H3060" s="2" t="s">
        <v>1424</v>
      </c>
      <c r="J3060" s="26"/>
      <c r="K3060" s="36">
        <v>1.15453E-3</v>
      </c>
      <c r="L3060" s="23">
        <v>2.8863000000000001E-4</v>
      </c>
    </row>
    <row r="3061" spans="1:12" ht="15.35" hidden="1" x14ac:dyDescent="0.55000000000000004">
      <c r="A3061" s="20">
        <v>16876</v>
      </c>
      <c r="B3061" s="2" t="s">
        <v>169</v>
      </c>
      <c r="C3061" s="2" t="s">
        <v>170</v>
      </c>
      <c r="D3061" s="20">
        <v>0</v>
      </c>
      <c r="E3061" s="2" t="s">
        <v>838</v>
      </c>
      <c r="F3061" s="2" t="s">
        <v>793</v>
      </c>
      <c r="G3061" s="2" t="s">
        <v>2723</v>
      </c>
      <c r="H3061" s="2" t="s">
        <v>1424</v>
      </c>
      <c r="J3061" s="26"/>
      <c r="K3061" s="36">
        <v>6.6119999999999997E-5</v>
      </c>
      <c r="L3061" s="23">
        <v>1.6529999999999999E-5</v>
      </c>
    </row>
    <row r="3062" spans="1:12" ht="15.35" hidden="1" x14ac:dyDescent="0.55000000000000004">
      <c r="A3062" s="20">
        <v>17045</v>
      </c>
      <c r="B3062" s="2" t="s">
        <v>169</v>
      </c>
      <c r="C3062" s="2" t="s">
        <v>170</v>
      </c>
      <c r="D3062" s="20">
        <v>0</v>
      </c>
      <c r="E3062" s="2" t="s">
        <v>838</v>
      </c>
      <c r="F3062" s="2" t="s">
        <v>793</v>
      </c>
      <c r="G3062" s="2" t="s">
        <v>3434</v>
      </c>
      <c r="H3062" s="2" t="s">
        <v>1431</v>
      </c>
      <c r="J3062" s="26"/>
      <c r="K3062" s="36">
        <v>1.1323E-4</v>
      </c>
      <c r="L3062" s="23">
        <v>2.8309999999999998E-5</v>
      </c>
    </row>
    <row r="3063" spans="1:12" ht="15.35" hidden="1" x14ac:dyDescent="0.55000000000000004">
      <c r="A3063" s="20">
        <v>16939</v>
      </c>
      <c r="B3063" s="2" t="s">
        <v>169</v>
      </c>
      <c r="C3063" s="2" t="s">
        <v>170</v>
      </c>
      <c r="D3063" s="20">
        <v>0</v>
      </c>
      <c r="E3063" s="2" t="s">
        <v>838</v>
      </c>
      <c r="F3063" s="2" t="s">
        <v>793</v>
      </c>
      <c r="G3063" s="2" t="s">
        <v>3435</v>
      </c>
      <c r="H3063" s="2" t="s">
        <v>1431</v>
      </c>
      <c r="J3063" s="26"/>
      <c r="K3063" s="36">
        <v>9.5019999999999995E-5</v>
      </c>
      <c r="L3063" s="23">
        <v>2.376E-5</v>
      </c>
    </row>
    <row r="3064" spans="1:12" ht="15.35" hidden="1" x14ac:dyDescent="0.55000000000000004">
      <c r="A3064" s="20">
        <v>17316</v>
      </c>
      <c r="B3064" s="2" t="s">
        <v>169</v>
      </c>
      <c r="C3064" s="2" t="s">
        <v>170</v>
      </c>
      <c r="D3064" s="20">
        <v>0</v>
      </c>
      <c r="E3064" s="2" t="s">
        <v>838</v>
      </c>
      <c r="F3064" s="2" t="s">
        <v>793</v>
      </c>
      <c r="G3064" s="2" t="s">
        <v>3436</v>
      </c>
      <c r="H3064" s="2" t="s">
        <v>1431</v>
      </c>
      <c r="J3064" s="26"/>
      <c r="K3064" s="36">
        <v>9.4229999999999997E-5</v>
      </c>
      <c r="L3064" s="23">
        <v>2.3560000000000001E-5</v>
      </c>
    </row>
    <row r="3065" spans="1:12" ht="15.35" hidden="1" x14ac:dyDescent="0.55000000000000004">
      <c r="A3065" s="20">
        <v>16935</v>
      </c>
      <c r="B3065" s="2" t="s">
        <v>169</v>
      </c>
      <c r="C3065" s="2" t="s">
        <v>170</v>
      </c>
      <c r="D3065" s="20">
        <v>0</v>
      </c>
      <c r="E3065" s="2" t="s">
        <v>838</v>
      </c>
      <c r="F3065" s="2" t="s">
        <v>793</v>
      </c>
      <c r="G3065" s="2" t="s">
        <v>3437</v>
      </c>
      <c r="H3065" s="2" t="s">
        <v>1431</v>
      </c>
      <c r="J3065" s="26"/>
      <c r="K3065" s="36">
        <v>6.5720000000000001E-5</v>
      </c>
      <c r="L3065" s="23">
        <v>1.643E-5</v>
      </c>
    </row>
    <row r="3066" spans="1:12" ht="15.35" hidden="1" x14ac:dyDescent="0.55000000000000004">
      <c r="A3066" s="20">
        <v>16888</v>
      </c>
      <c r="B3066" s="2" t="s">
        <v>169</v>
      </c>
      <c r="C3066" s="2" t="s">
        <v>170</v>
      </c>
      <c r="D3066" s="20">
        <v>0</v>
      </c>
      <c r="E3066" s="2" t="s">
        <v>838</v>
      </c>
      <c r="F3066" s="2" t="s">
        <v>793</v>
      </c>
      <c r="G3066" s="2" t="s">
        <v>3438</v>
      </c>
      <c r="H3066" s="2" t="s">
        <v>1431</v>
      </c>
      <c r="J3066" s="26"/>
      <c r="K3066" s="36">
        <v>7.7200000000000006E-5</v>
      </c>
      <c r="L3066" s="23">
        <v>1.9300000000000002E-5</v>
      </c>
    </row>
    <row r="3067" spans="1:12" ht="15.35" hidden="1" x14ac:dyDescent="0.55000000000000004">
      <c r="A3067" s="20">
        <v>17226</v>
      </c>
      <c r="B3067" s="2" t="s">
        <v>169</v>
      </c>
      <c r="C3067" s="2" t="s">
        <v>170</v>
      </c>
      <c r="D3067" s="20">
        <v>0</v>
      </c>
      <c r="E3067" s="2" t="s">
        <v>838</v>
      </c>
      <c r="F3067" s="2" t="s">
        <v>793</v>
      </c>
      <c r="G3067" s="2" t="s">
        <v>3439</v>
      </c>
      <c r="H3067" s="2" t="s">
        <v>1431</v>
      </c>
      <c r="J3067" s="26"/>
      <c r="K3067" s="36">
        <v>1.065E-4</v>
      </c>
      <c r="L3067" s="23">
        <v>2.6619999999999999E-5</v>
      </c>
    </row>
    <row r="3068" spans="1:12" ht="15.35" hidden="1" x14ac:dyDescent="0.55000000000000004">
      <c r="A3068" s="20">
        <v>17219</v>
      </c>
      <c r="B3068" s="2" t="s">
        <v>169</v>
      </c>
      <c r="C3068" s="2" t="s">
        <v>170</v>
      </c>
      <c r="D3068" s="20">
        <v>0</v>
      </c>
      <c r="E3068" s="2" t="s">
        <v>838</v>
      </c>
      <c r="F3068" s="2" t="s">
        <v>793</v>
      </c>
      <c r="G3068" s="2" t="s">
        <v>3440</v>
      </c>
      <c r="H3068" s="2" t="s">
        <v>1431</v>
      </c>
      <c r="J3068" s="26"/>
      <c r="K3068" s="36">
        <v>1.0135E-4</v>
      </c>
      <c r="L3068" s="23">
        <v>2.5340000000000001E-5</v>
      </c>
    </row>
    <row r="3069" spans="1:12" ht="15.35" hidden="1" x14ac:dyDescent="0.55000000000000004">
      <c r="A3069" s="20">
        <v>17431</v>
      </c>
      <c r="B3069" s="2" t="s">
        <v>169</v>
      </c>
      <c r="C3069" s="2" t="s">
        <v>170</v>
      </c>
      <c r="D3069" s="20">
        <v>0</v>
      </c>
      <c r="E3069" s="2" t="s">
        <v>838</v>
      </c>
      <c r="F3069" s="2" t="s">
        <v>793</v>
      </c>
      <c r="G3069" s="2" t="s">
        <v>3441</v>
      </c>
      <c r="H3069" s="2" t="s">
        <v>1431</v>
      </c>
      <c r="J3069" s="26"/>
      <c r="K3069" s="36">
        <v>6.6509999999999998E-5</v>
      </c>
      <c r="L3069" s="23">
        <v>1.6629999999999998E-5</v>
      </c>
    </row>
    <row r="3070" spans="1:12" ht="15.35" hidden="1" x14ac:dyDescent="0.55000000000000004">
      <c r="A3070" s="20">
        <v>17537</v>
      </c>
      <c r="B3070" s="2" t="s">
        <v>169</v>
      </c>
      <c r="C3070" s="2" t="s">
        <v>170</v>
      </c>
      <c r="D3070" s="20">
        <v>0</v>
      </c>
      <c r="E3070" s="2" t="s">
        <v>838</v>
      </c>
      <c r="F3070" s="2" t="s">
        <v>793</v>
      </c>
      <c r="G3070" s="2" t="s">
        <v>3442</v>
      </c>
      <c r="H3070" s="2" t="s">
        <v>1431</v>
      </c>
      <c r="J3070" s="26"/>
      <c r="K3070" s="36">
        <v>5.3050000000000002E-5</v>
      </c>
      <c r="L3070" s="23">
        <v>1.326E-5</v>
      </c>
    </row>
    <row r="3071" spans="1:12" ht="15.35" hidden="1" x14ac:dyDescent="0.55000000000000004">
      <c r="A3071" s="20">
        <v>17391</v>
      </c>
      <c r="B3071" s="2" t="s">
        <v>169</v>
      </c>
      <c r="C3071" s="2" t="s">
        <v>170</v>
      </c>
      <c r="D3071" s="20">
        <v>0</v>
      </c>
      <c r="E3071" s="2" t="s">
        <v>838</v>
      </c>
      <c r="F3071" s="2" t="s">
        <v>793</v>
      </c>
      <c r="G3071" s="2" t="s">
        <v>2724</v>
      </c>
      <c r="H3071" s="2" t="s">
        <v>1431</v>
      </c>
      <c r="J3071" s="26"/>
      <c r="K3071" s="36">
        <v>1.0056E-4</v>
      </c>
      <c r="L3071" s="23">
        <v>2.514E-5</v>
      </c>
    </row>
    <row r="3072" spans="1:12" ht="15.35" hidden="1" x14ac:dyDescent="0.55000000000000004">
      <c r="A3072" s="20">
        <v>17248</v>
      </c>
      <c r="B3072" s="2" t="s">
        <v>169</v>
      </c>
      <c r="C3072" s="2" t="s">
        <v>170</v>
      </c>
      <c r="D3072" s="20">
        <v>0</v>
      </c>
      <c r="E3072" s="2" t="s">
        <v>838</v>
      </c>
      <c r="F3072" s="2" t="s">
        <v>793</v>
      </c>
      <c r="G3072" s="2" t="s">
        <v>3443</v>
      </c>
      <c r="H3072" s="2" t="s">
        <v>1431</v>
      </c>
      <c r="J3072" s="26"/>
      <c r="K3072" s="36">
        <v>9.5810000000000006E-5</v>
      </c>
      <c r="L3072" s="23">
        <v>2.3949999999999999E-5</v>
      </c>
    </row>
    <row r="3073" spans="1:12" ht="15.35" hidden="1" x14ac:dyDescent="0.55000000000000004">
      <c r="A3073" s="20">
        <v>17227</v>
      </c>
      <c r="B3073" s="2" t="s">
        <v>169</v>
      </c>
      <c r="C3073" s="2" t="s">
        <v>170</v>
      </c>
      <c r="D3073" s="20">
        <v>0</v>
      </c>
      <c r="E3073" s="2" t="s">
        <v>838</v>
      </c>
      <c r="F3073" s="2" t="s">
        <v>793</v>
      </c>
      <c r="G3073" s="2" t="s">
        <v>3444</v>
      </c>
      <c r="H3073" s="2" t="s">
        <v>1431</v>
      </c>
      <c r="J3073" s="26"/>
      <c r="K3073" s="36">
        <v>1.0056E-4</v>
      </c>
      <c r="L3073" s="23">
        <v>2.514E-5</v>
      </c>
    </row>
    <row r="3074" spans="1:12" ht="15.35" hidden="1" x14ac:dyDescent="0.55000000000000004">
      <c r="A3074" s="20">
        <v>17378</v>
      </c>
      <c r="B3074" s="2" t="s">
        <v>169</v>
      </c>
      <c r="C3074" s="2" t="s">
        <v>170</v>
      </c>
      <c r="D3074" s="20">
        <v>0</v>
      </c>
      <c r="E3074" s="2" t="s">
        <v>838</v>
      </c>
      <c r="F3074" s="2" t="s">
        <v>793</v>
      </c>
      <c r="G3074" s="2" t="s">
        <v>3445</v>
      </c>
      <c r="H3074" s="2" t="s">
        <v>1431</v>
      </c>
      <c r="J3074" s="26"/>
      <c r="K3074" s="36">
        <v>9.7390000000000001E-5</v>
      </c>
      <c r="L3074" s="23">
        <v>2.4349999999999999E-5</v>
      </c>
    </row>
    <row r="3075" spans="1:12" ht="15.35" hidden="1" x14ac:dyDescent="0.55000000000000004">
      <c r="A3075" s="20">
        <v>17368</v>
      </c>
      <c r="B3075" s="2" t="s">
        <v>169</v>
      </c>
      <c r="C3075" s="2" t="s">
        <v>170</v>
      </c>
      <c r="D3075" s="20">
        <v>0</v>
      </c>
      <c r="E3075" s="2" t="s">
        <v>838</v>
      </c>
      <c r="F3075" s="2" t="s">
        <v>793</v>
      </c>
      <c r="G3075" s="2" t="s">
        <v>3446</v>
      </c>
      <c r="H3075" s="2" t="s">
        <v>1431</v>
      </c>
      <c r="J3075" s="26"/>
      <c r="K3075" s="36">
        <v>1.3342000000000001E-4</v>
      </c>
      <c r="L3075" s="23">
        <v>3.3359999999999999E-5</v>
      </c>
    </row>
    <row r="3076" spans="1:12" ht="15.35" hidden="1" x14ac:dyDescent="0.55000000000000004">
      <c r="A3076" s="20">
        <v>17024</v>
      </c>
      <c r="B3076" s="2" t="s">
        <v>169</v>
      </c>
      <c r="C3076" s="2" t="s">
        <v>170</v>
      </c>
      <c r="D3076" s="20">
        <v>0</v>
      </c>
      <c r="E3076" s="2" t="s">
        <v>838</v>
      </c>
      <c r="F3076" s="2" t="s">
        <v>793</v>
      </c>
      <c r="G3076" s="2" t="s">
        <v>3447</v>
      </c>
      <c r="H3076" s="2" t="s">
        <v>1431</v>
      </c>
      <c r="J3076" s="26"/>
      <c r="K3076" s="36">
        <v>9.7789999999999997E-5</v>
      </c>
      <c r="L3076" s="23">
        <v>2.4450000000000001E-5</v>
      </c>
    </row>
    <row r="3077" spans="1:12" ht="15.35" hidden="1" x14ac:dyDescent="0.55000000000000004">
      <c r="A3077" s="20">
        <v>16804</v>
      </c>
      <c r="B3077" s="2" t="s">
        <v>169</v>
      </c>
      <c r="C3077" s="2" t="s">
        <v>170</v>
      </c>
      <c r="D3077" s="20">
        <v>0</v>
      </c>
      <c r="E3077" s="2" t="s">
        <v>838</v>
      </c>
      <c r="F3077" s="2" t="s">
        <v>793</v>
      </c>
      <c r="G3077" s="2" t="s">
        <v>3448</v>
      </c>
      <c r="H3077" s="2" t="s">
        <v>1431</v>
      </c>
      <c r="J3077" s="26"/>
      <c r="K3077" s="36">
        <v>9.7390000000000001E-5</v>
      </c>
      <c r="L3077" s="23">
        <v>2.4349999999999999E-5</v>
      </c>
    </row>
    <row r="3078" spans="1:12" ht="15.35" hidden="1" x14ac:dyDescent="0.55000000000000004">
      <c r="A3078" s="20">
        <v>16869</v>
      </c>
      <c r="B3078" s="2" t="s">
        <v>169</v>
      </c>
      <c r="C3078" s="2" t="s">
        <v>170</v>
      </c>
      <c r="D3078" s="20">
        <v>0</v>
      </c>
      <c r="E3078" s="2" t="s">
        <v>838</v>
      </c>
      <c r="F3078" s="2" t="s">
        <v>793</v>
      </c>
      <c r="G3078" s="2" t="s">
        <v>3449</v>
      </c>
      <c r="H3078" s="2" t="s">
        <v>1431</v>
      </c>
      <c r="J3078" s="26"/>
      <c r="K3078" s="36">
        <v>9.5810000000000006E-5</v>
      </c>
      <c r="L3078" s="23">
        <v>2.3949999999999999E-5</v>
      </c>
    </row>
    <row r="3079" spans="1:12" ht="15.35" hidden="1" x14ac:dyDescent="0.55000000000000004">
      <c r="A3079" s="20">
        <v>17550</v>
      </c>
      <c r="B3079" s="2" t="s">
        <v>169</v>
      </c>
      <c r="C3079" s="2" t="s">
        <v>170</v>
      </c>
      <c r="D3079" s="20">
        <v>0</v>
      </c>
      <c r="E3079" s="2" t="s">
        <v>838</v>
      </c>
      <c r="F3079" s="2" t="s">
        <v>793</v>
      </c>
      <c r="G3079" s="2" t="s">
        <v>3450</v>
      </c>
      <c r="H3079" s="2" t="s">
        <v>1431</v>
      </c>
      <c r="J3079" s="26"/>
      <c r="K3079" s="36">
        <v>1.0333E-4</v>
      </c>
      <c r="L3079" s="23">
        <v>2.5829999999999998E-5</v>
      </c>
    </row>
    <row r="3080" spans="1:12" ht="15.35" hidden="1" x14ac:dyDescent="0.55000000000000004">
      <c r="A3080" s="20">
        <v>16844</v>
      </c>
      <c r="B3080" s="2" t="s">
        <v>169</v>
      </c>
      <c r="C3080" s="2" t="s">
        <v>170</v>
      </c>
      <c r="D3080" s="20">
        <v>0</v>
      </c>
      <c r="E3080" s="2" t="s">
        <v>838</v>
      </c>
      <c r="F3080" s="2" t="s">
        <v>793</v>
      </c>
      <c r="G3080" s="2" t="s">
        <v>3451</v>
      </c>
      <c r="H3080" s="2" t="s">
        <v>1431</v>
      </c>
      <c r="J3080" s="26"/>
      <c r="K3080" s="36">
        <v>9.9770000000000002E-5</v>
      </c>
      <c r="L3080" s="23">
        <v>2.4939999999999998E-5</v>
      </c>
    </row>
    <row r="3081" spans="1:12" ht="15.35" hidden="1" x14ac:dyDescent="0.55000000000000004">
      <c r="A3081" s="20">
        <v>17090</v>
      </c>
      <c r="B3081" s="2" t="s">
        <v>169</v>
      </c>
      <c r="C3081" s="2" t="s">
        <v>170</v>
      </c>
      <c r="D3081" s="20">
        <v>0</v>
      </c>
      <c r="E3081" s="2" t="s">
        <v>838</v>
      </c>
      <c r="F3081" s="2" t="s">
        <v>793</v>
      </c>
      <c r="G3081" s="2" t="s">
        <v>3452</v>
      </c>
      <c r="H3081" s="2" t="s">
        <v>1431</v>
      </c>
      <c r="J3081" s="26"/>
      <c r="K3081" s="36">
        <v>1.0808E-4</v>
      </c>
      <c r="L3081" s="23">
        <v>2.7019999999999999E-5</v>
      </c>
    </row>
    <row r="3082" spans="1:12" ht="15.35" hidden="1" x14ac:dyDescent="0.55000000000000004">
      <c r="A3082" s="20">
        <v>17552</v>
      </c>
      <c r="B3082" s="2" t="s">
        <v>169</v>
      </c>
      <c r="C3082" s="2" t="s">
        <v>170</v>
      </c>
      <c r="D3082" s="20">
        <v>0</v>
      </c>
      <c r="E3082" s="2" t="s">
        <v>838</v>
      </c>
      <c r="F3082" s="2" t="s">
        <v>793</v>
      </c>
      <c r="G3082" s="2" t="s">
        <v>3453</v>
      </c>
      <c r="H3082" s="2" t="s">
        <v>1431</v>
      </c>
      <c r="J3082" s="26"/>
      <c r="K3082" s="36">
        <v>9.3830000000000001E-5</v>
      </c>
      <c r="L3082" s="23">
        <v>2.3459999999999999E-5</v>
      </c>
    </row>
    <row r="3083" spans="1:12" ht="15.35" hidden="1" x14ac:dyDescent="0.55000000000000004">
      <c r="A3083" s="20">
        <v>17091</v>
      </c>
      <c r="B3083" s="2" t="s">
        <v>169</v>
      </c>
      <c r="C3083" s="2" t="s">
        <v>170</v>
      </c>
      <c r="D3083" s="20">
        <v>0</v>
      </c>
      <c r="E3083" s="2" t="s">
        <v>838</v>
      </c>
      <c r="F3083" s="2" t="s">
        <v>793</v>
      </c>
      <c r="G3083" s="2" t="s">
        <v>3454</v>
      </c>
      <c r="H3083" s="2" t="s">
        <v>1431</v>
      </c>
      <c r="J3083" s="26"/>
      <c r="K3083" s="36">
        <v>6.5720000000000001E-5</v>
      </c>
      <c r="L3083" s="23">
        <v>1.643E-5</v>
      </c>
    </row>
    <row r="3084" spans="1:12" ht="15.35" hidden="1" x14ac:dyDescent="0.55000000000000004">
      <c r="A3084" s="20">
        <v>16838</v>
      </c>
      <c r="B3084" s="2" t="s">
        <v>169</v>
      </c>
      <c r="C3084" s="2" t="s">
        <v>170</v>
      </c>
      <c r="D3084" s="20">
        <v>0</v>
      </c>
      <c r="E3084" s="2" t="s">
        <v>838</v>
      </c>
      <c r="F3084" s="2" t="s">
        <v>793</v>
      </c>
      <c r="G3084" s="2" t="s">
        <v>3455</v>
      </c>
      <c r="H3084" s="2" t="s">
        <v>1431</v>
      </c>
      <c r="J3084" s="26"/>
      <c r="K3084" s="36">
        <v>9.5409999999999996E-5</v>
      </c>
      <c r="L3084" s="23">
        <v>2.385E-5</v>
      </c>
    </row>
    <row r="3085" spans="1:12" ht="15.35" hidden="1" x14ac:dyDescent="0.55000000000000004">
      <c r="A3085" s="20">
        <v>17417</v>
      </c>
      <c r="B3085" s="2" t="s">
        <v>169</v>
      </c>
      <c r="C3085" s="2" t="s">
        <v>170</v>
      </c>
      <c r="D3085" s="20">
        <v>0</v>
      </c>
      <c r="E3085" s="2" t="s">
        <v>838</v>
      </c>
      <c r="F3085" s="2" t="s">
        <v>793</v>
      </c>
      <c r="G3085" s="2" t="s">
        <v>3456</v>
      </c>
      <c r="H3085" s="2" t="s">
        <v>1431</v>
      </c>
      <c r="J3085" s="26"/>
      <c r="K3085" s="36">
        <v>9.7390000000000001E-5</v>
      </c>
      <c r="L3085" s="23">
        <v>2.4349999999999999E-5</v>
      </c>
    </row>
    <row r="3086" spans="1:12" ht="15.35" hidden="1" x14ac:dyDescent="0.55000000000000004">
      <c r="A3086" s="20">
        <v>17149</v>
      </c>
      <c r="B3086" s="2" t="s">
        <v>169</v>
      </c>
      <c r="C3086" s="2" t="s">
        <v>170</v>
      </c>
      <c r="D3086" s="20">
        <v>0</v>
      </c>
      <c r="E3086" s="2" t="s">
        <v>838</v>
      </c>
      <c r="F3086" s="2" t="s">
        <v>793</v>
      </c>
      <c r="G3086" s="2" t="s">
        <v>3457</v>
      </c>
      <c r="H3086" s="2" t="s">
        <v>1431</v>
      </c>
      <c r="J3086" s="26"/>
      <c r="K3086" s="36">
        <v>9.5409999999999996E-5</v>
      </c>
      <c r="L3086" s="23">
        <v>2.385E-5</v>
      </c>
    </row>
    <row r="3087" spans="1:12" ht="15.35" hidden="1" x14ac:dyDescent="0.55000000000000004">
      <c r="A3087" s="20">
        <v>17432</v>
      </c>
      <c r="B3087" s="2" t="s">
        <v>169</v>
      </c>
      <c r="C3087" s="2" t="s">
        <v>170</v>
      </c>
      <c r="D3087" s="20">
        <v>0</v>
      </c>
      <c r="E3087" s="2" t="s">
        <v>838</v>
      </c>
      <c r="F3087" s="2" t="s">
        <v>793</v>
      </c>
      <c r="G3087" s="2" t="s">
        <v>3458</v>
      </c>
      <c r="H3087" s="2" t="s">
        <v>1431</v>
      </c>
      <c r="J3087" s="26"/>
      <c r="K3087" s="36">
        <v>6.6509999999999998E-5</v>
      </c>
      <c r="L3087" s="23">
        <v>1.6629999999999998E-5</v>
      </c>
    </row>
    <row r="3088" spans="1:12" ht="15.35" hidden="1" x14ac:dyDescent="0.55000000000000004">
      <c r="A3088" s="20">
        <v>17646</v>
      </c>
      <c r="B3088" s="2" t="s">
        <v>169</v>
      </c>
      <c r="C3088" s="2" t="s">
        <v>170</v>
      </c>
      <c r="D3088" s="20">
        <v>0</v>
      </c>
      <c r="E3088" s="2" t="s">
        <v>838</v>
      </c>
      <c r="F3088" s="2" t="s">
        <v>793</v>
      </c>
      <c r="G3088" s="2" t="s">
        <v>3459</v>
      </c>
      <c r="H3088" s="2" t="s">
        <v>1431</v>
      </c>
      <c r="J3088" s="26"/>
      <c r="K3088" s="36">
        <v>6.5720000000000001E-5</v>
      </c>
      <c r="L3088" s="23">
        <v>1.643E-5</v>
      </c>
    </row>
    <row r="3089" spans="1:12" ht="15.35" hidden="1" x14ac:dyDescent="0.55000000000000004">
      <c r="A3089" s="20">
        <v>17387</v>
      </c>
      <c r="B3089" s="2" t="s">
        <v>169</v>
      </c>
      <c r="C3089" s="2" t="s">
        <v>170</v>
      </c>
      <c r="D3089" s="20">
        <v>0</v>
      </c>
      <c r="E3089" s="2" t="s">
        <v>838</v>
      </c>
      <c r="F3089" s="2" t="s">
        <v>793</v>
      </c>
      <c r="G3089" s="2" t="s">
        <v>3460</v>
      </c>
      <c r="H3089" s="2" t="s">
        <v>1431</v>
      </c>
      <c r="J3089" s="26"/>
      <c r="K3089" s="36">
        <v>6.6509999999999998E-5</v>
      </c>
      <c r="L3089" s="23">
        <v>1.6629999999999998E-5</v>
      </c>
    </row>
    <row r="3090" spans="1:12" ht="15.35" hidden="1" x14ac:dyDescent="0.55000000000000004">
      <c r="A3090" s="20">
        <v>17511</v>
      </c>
      <c r="B3090" s="2" t="s">
        <v>169</v>
      </c>
      <c r="C3090" s="2" t="s">
        <v>170</v>
      </c>
      <c r="D3090" s="20">
        <v>0</v>
      </c>
      <c r="E3090" s="2" t="s">
        <v>838</v>
      </c>
      <c r="F3090" s="2" t="s">
        <v>793</v>
      </c>
      <c r="G3090" s="2" t="s">
        <v>3461</v>
      </c>
      <c r="H3090" s="2" t="s">
        <v>3462</v>
      </c>
      <c r="J3090" s="26"/>
      <c r="K3090" s="36">
        <v>9.4619999999999999E-5</v>
      </c>
      <c r="L3090" s="23">
        <v>2.3649999999999999E-5</v>
      </c>
    </row>
    <row r="3091" spans="1:12" ht="15.35" hidden="1" x14ac:dyDescent="0.55000000000000004">
      <c r="A3091" s="20">
        <v>16840</v>
      </c>
      <c r="B3091" s="2" t="s">
        <v>169</v>
      </c>
      <c r="C3091" s="2" t="s">
        <v>170</v>
      </c>
      <c r="D3091" s="20">
        <v>0</v>
      </c>
      <c r="E3091" s="2" t="s">
        <v>838</v>
      </c>
      <c r="F3091" s="2" t="s">
        <v>793</v>
      </c>
      <c r="G3091" s="2" t="s">
        <v>2726</v>
      </c>
      <c r="H3091" s="2" t="s">
        <v>1433</v>
      </c>
      <c r="J3091" s="26"/>
      <c r="K3091" s="36">
        <v>6.6509999999999998E-5</v>
      </c>
      <c r="L3091" s="23">
        <v>1.6629999999999998E-5</v>
      </c>
    </row>
    <row r="3092" spans="1:12" ht="15.35" hidden="1" x14ac:dyDescent="0.55000000000000004">
      <c r="A3092" s="20">
        <v>17286</v>
      </c>
      <c r="B3092" s="2" t="s">
        <v>169</v>
      </c>
      <c r="C3092" s="2" t="s">
        <v>170</v>
      </c>
      <c r="D3092" s="20">
        <v>0</v>
      </c>
      <c r="E3092" s="2" t="s">
        <v>838</v>
      </c>
      <c r="F3092" s="2" t="s">
        <v>793</v>
      </c>
      <c r="G3092" s="2" t="s">
        <v>2727</v>
      </c>
      <c r="H3092" s="2" t="s">
        <v>1433</v>
      </c>
      <c r="J3092" s="26"/>
      <c r="K3092" s="36">
        <v>1.3381999999999999E-4</v>
      </c>
      <c r="L3092" s="23">
        <v>3.345E-5</v>
      </c>
    </row>
    <row r="3093" spans="1:12" ht="15.35" hidden="1" x14ac:dyDescent="0.55000000000000004">
      <c r="A3093" s="20">
        <v>17246</v>
      </c>
      <c r="B3093" s="2" t="s">
        <v>169</v>
      </c>
      <c r="C3093" s="2" t="s">
        <v>170</v>
      </c>
      <c r="D3093" s="20">
        <v>0</v>
      </c>
      <c r="E3093" s="2" t="s">
        <v>838</v>
      </c>
      <c r="F3093" s="2" t="s">
        <v>793</v>
      </c>
      <c r="G3093" s="2" t="s">
        <v>2728</v>
      </c>
      <c r="H3093" s="2" t="s">
        <v>1433</v>
      </c>
      <c r="J3093" s="26"/>
      <c r="K3093" s="36">
        <v>6.6509999999999998E-5</v>
      </c>
      <c r="L3093" s="23">
        <v>1.6629999999999998E-5</v>
      </c>
    </row>
    <row r="3094" spans="1:12" ht="15.35" hidden="1" x14ac:dyDescent="0.55000000000000004">
      <c r="A3094" s="20">
        <v>17666</v>
      </c>
      <c r="B3094" s="2" t="s">
        <v>169</v>
      </c>
      <c r="C3094" s="2" t="s">
        <v>170</v>
      </c>
      <c r="D3094" s="20">
        <v>0</v>
      </c>
      <c r="E3094" s="2" t="s">
        <v>838</v>
      </c>
      <c r="F3094" s="2" t="s">
        <v>793</v>
      </c>
      <c r="G3094" s="2" t="s">
        <v>3463</v>
      </c>
      <c r="H3094" s="2" t="s">
        <v>3464</v>
      </c>
      <c r="J3094" s="26"/>
      <c r="K3094" s="36">
        <v>6.6509999999999998E-5</v>
      </c>
      <c r="L3094" s="23">
        <v>1.6629999999999998E-5</v>
      </c>
    </row>
    <row r="3095" spans="1:12" ht="15.35" hidden="1" x14ac:dyDescent="0.55000000000000004">
      <c r="A3095" s="20">
        <v>17500</v>
      </c>
      <c r="B3095" s="2" t="s">
        <v>169</v>
      </c>
      <c r="C3095" s="2" t="s">
        <v>170</v>
      </c>
      <c r="D3095" s="20">
        <v>0</v>
      </c>
      <c r="E3095" s="2" t="s">
        <v>838</v>
      </c>
      <c r="F3095" s="2" t="s">
        <v>793</v>
      </c>
      <c r="G3095" s="2" t="s">
        <v>2729</v>
      </c>
      <c r="H3095" s="2" t="s">
        <v>2730</v>
      </c>
      <c r="J3095" s="26"/>
      <c r="K3095" s="36">
        <v>1.8013999999999999E-4</v>
      </c>
      <c r="L3095" s="23">
        <v>4.5030000000000001E-5</v>
      </c>
    </row>
    <row r="3096" spans="1:12" ht="15.35" hidden="1" x14ac:dyDescent="0.55000000000000004">
      <c r="A3096" s="20">
        <v>16898</v>
      </c>
      <c r="B3096" s="2" t="s">
        <v>169</v>
      </c>
      <c r="C3096" s="2" t="s">
        <v>170</v>
      </c>
      <c r="D3096" s="20">
        <v>0</v>
      </c>
      <c r="E3096" s="2" t="s">
        <v>838</v>
      </c>
      <c r="F3096" s="2" t="s">
        <v>793</v>
      </c>
      <c r="G3096" s="2" t="s">
        <v>2731</v>
      </c>
      <c r="H3096" s="2" t="s">
        <v>2730</v>
      </c>
      <c r="J3096" s="26"/>
      <c r="K3096" s="36">
        <v>3.6702000000000002E-4</v>
      </c>
      <c r="L3096" s="23">
        <v>9.1749999999999994E-5</v>
      </c>
    </row>
    <row r="3097" spans="1:12" ht="15.35" hidden="1" x14ac:dyDescent="0.55000000000000004">
      <c r="A3097" s="20">
        <v>16916</v>
      </c>
      <c r="B3097" s="2" t="s">
        <v>169</v>
      </c>
      <c r="C3097" s="2" t="s">
        <v>170</v>
      </c>
      <c r="D3097" s="20">
        <v>0</v>
      </c>
      <c r="E3097" s="2" t="s">
        <v>838</v>
      </c>
      <c r="F3097" s="2" t="s">
        <v>793</v>
      </c>
      <c r="G3097" s="2" t="s">
        <v>3465</v>
      </c>
      <c r="H3097" s="2" t="s">
        <v>2730</v>
      </c>
      <c r="J3097" s="26"/>
      <c r="K3097" s="36">
        <v>7.0069999999999998E-5</v>
      </c>
      <c r="L3097" s="23">
        <v>1.7520000000000002E-5</v>
      </c>
    </row>
    <row r="3098" spans="1:12" ht="15.35" hidden="1" x14ac:dyDescent="0.55000000000000004">
      <c r="A3098" s="20">
        <v>16849</v>
      </c>
      <c r="B3098" s="2" t="s">
        <v>169</v>
      </c>
      <c r="C3098" s="2" t="s">
        <v>170</v>
      </c>
      <c r="D3098" s="20">
        <v>0</v>
      </c>
      <c r="E3098" s="2" t="s">
        <v>838</v>
      </c>
      <c r="F3098" s="2" t="s">
        <v>793</v>
      </c>
      <c r="G3098" s="2" t="s">
        <v>2733</v>
      </c>
      <c r="H3098" s="2" t="s">
        <v>2730</v>
      </c>
      <c r="J3098" s="26"/>
      <c r="K3098" s="36">
        <v>2.6685000000000001E-4</v>
      </c>
      <c r="L3098" s="23">
        <v>6.6710000000000003E-5</v>
      </c>
    </row>
    <row r="3099" spans="1:12" ht="15.35" hidden="1" x14ac:dyDescent="0.55000000000000004">
      <c r="A3099" s="20">
        <v>17230</v>
      </c>
      <c r="B3099" s="2" t="s">
        <v>169</v>
      </c>
      <c r="C3099" s="2" t="s">
        <v>170</v>
      </c>
      <c r="D3099" s="20">
        <v>0</v>
      </c>
      <c r="E3099" s="2" t="s">
        <v>838</v>
      </c>
      <c r="F3099" s="2" t="s">
        <v>793</v>
      </c>
      <c r="G3099" s="2" t="s">
        <v>3466</v>
      </c>
      <c r="H3099" s="2" t="s">
        <v>2730</v>
      </c>
      <c r="J3099" s="26"/>
      <c r="K3099" s="36">
        <v>1.4015900000000001E-3</v>
      </c>
      <c r="L3099" s="23">
        <v>3.5040000000000001E-4</v>
      </c>
    </row>
    <row r="3100" spans="1:12" ht="15.35" hidden="1" x14ac:dyDescent="0.55000000000000004">
      <c r="A3100" s="20">
        <v>16798</v>
      </c>
      <c r="B3100" s="2" t="s">
        <v>169</v>
      </c>
      <c r="C3100" s="2" t="s">
        <v>170</v>
      </c>
      <c r="D3100" s="20">
        <v>0</v>
      </c>
      <c r="E3100" s="2" t="s">
        <v>838</v>
      </c>
      <c r="F3100" s="2" t="s">
        <v>793</v>
      </c>
      <c r="G3100" s="2" t="s">
        <v>3467</v>
      </c>
      <c r="H3100" s="2" t="s">
        <v>2730</v>
      </c>
      <c r="J3100" s="26"/>
      <c r="K3100" s="36">
        <v>1.0678199999999999E-3</v>
      </c>
      <c r="L3100" s="23">
        <v>2.6695000000000001E-4</v>
      </c>
    </row>
    <row r="3101" spans="1:12" ht="15.35" hidden="1" x14ac:dyDescent="0.55000000000000004">
      <c r="A3101" s="20">
        <v>17240</v>
      </c>
      <c r="B3101" s="2" t="s">
        <v>169</v>
      </c>
      <c r="C3101" s="2" t="s">
        <v>170</v>
      </c>
      <c r="D3101" s="20">
        <v>0</v>
      </c>
      <c r="E3101" s="2" t="s">
        <v>838</v>
      </c>
      <c r="F3101" s="2" t="s">
        <v>817</v>
      </c>
      <c r="G3101" s="2" t="s">
        <v>1825</v>
      </c>
      <c r="H3101" s="2" t="s">
        <v>1826</v>
      </c>
      <c r="J3101" s="26"/>
      <c r="K3101" s="36">
        <v>4.4221499999999997E-3</v>
      </c>
      <c r="L3101" s="23">
        <v>1.1055399999999999E-3</v>
      </c>
    </row>
    <row r="3102" spans="1:12" ht="15.35" hidden="1" x14ac:dyDescent="0.55000000000000004">
      <c r="A3102" s="20">
        <v>16803</v>
      </c>
      <c r="B3102" s="2" t="s">
        <v>169</v>
      </c>
      <c r="C3102" s="2" t="s">
        <v>170</v>
      </c>
      <c r="D3102" s="20">
        <v>0</v>
      </c>
      <c r="E3102" s="2" t="s">
        <v>838</v>
      </c>
      <c r="F3102" s="2" t="s">
        <v>817</v>
      </c>
      <c r="G3102" s="2" t="s">
        <v>3468</v>
      </c>
      <c r="H3102" s="2" t="s">
        <v>1826</v>
      </c>
      <c r="J3102" s="26"/>
      <c r="K3102" s="36">
        <v>7.9186000000000002E-4</v>
      </c>
      <c r="L3102" s="23">
        <v>1.9797E-4</v>
      </c>
    </row>
    <row r="3103" spans="1:12" ht="15.35" hidden="1" x14ac:dyDescent="0.55000000000000004">
      <c r="A3103" s="20">
        <v>16973</v>
      </c>
      <c r="B3103" s="2" t="s">
        <v>169</v>
      </c>
      <c r="C3103" s="2" t="s">
        <v>170</v>
      </c>
      <c r="D3103" s="20">
        <v>0</v>
      </c>
      <c r="E3103" s="2" t="s">
        <v>838</v>
      </c>
      <c r="F3103" s="2" t="s">
        <v>817</v>
      </c>
      <c r="G3103" s="2" t="s">
        <v>2735</v>
      </c>
      <c r="H3103" s="2" t="s">
        <v>1826</v>
      </c>
      <c r="J3103" s="26"/>
      <c r="K3103" s="36">
        <v>1.18779E-3</v>
      </c>
      <c r="L3103" s="23">
        <v>2.9694999999999998E-4</v>
      </c>
    </row>
    <row r="3104" spans="1:12" ht="15.35" hidden="1" x14ac:dyDescent="0.55000000000000004">
      <c r="A3104" s="20">
        <v>17212</v>
      </c>
      <c r="B3104" s="2" t="s">
        <v>169</v>
      </c>
      <c r="C3104" s="2" t="s">
        <v>170</v>
      </c>
      <c r="D3104" s="20">
        <v>0</v>
      </c>
      <c r="E3104" s="2" t="s">
        <v>838</v>
      </c>
      <c r="F3104" s="2" t="s">
        <v>793</v>
      </c>
      <c r="G3104" s="2" t="s">
        <v>2736</v>
      </c>
      <c r="H3104" s="2" t="s">
        <v>1741</v>
      </c>
      <c r="J3104" s="26"/>
      <c r="K3104" s="36">
        <v>4.0027999999999998E-4</v>
      </c>
      <c r="L3104" s="23">
        <v>1.0007E-4</v>
      </c>
    </row>
    <row r="3105" spans="1:12" ht="15.35" hidden="1" x14ac:dyDescent="0.55000000000000004">
      <c r="A3105" s="20">
        <v>17380</v>
      </c>
      <c r="B3105" s="2" t="s">
        <v>169</v>
      </c>
      <c r="C3105" s="2" t="s">
        <v>170</v>
      </c>
      <c r="D3105" s="20">
        <v>0</v>
      </c>
      <c r="E3105" s="2" t="s">
        <v>838</v>
      </c>
      <c r="F3105" s="2" t="s">
        <v>811</v>
      </c>
      <c r="G3105" s="2" t="s">
        <v>2740</v>
      </c>
      <c r="H3105" s="2" t="s">
        <v>1778</v>
      </c>
      <c r="J3105" s="26"/>
      <c r="K3105" s="36">
        <v>4.4221499999999997E-3</v>
      </c>
      <c r="L3105" s="23">
        <v>1.1055399999999999E-3</v>
      </c>
    </row>
    <row r="3106" spans="1:12" ht="15.35" hidden="1" x14ac:dyDescent="0.55000000000000004">
      <c r="A3106" s="20">
        <v>16966</v>
      </c>
      <c r="B3106" s="2" t="s">
        <v>169</v>
      </c>
      <c r="C3106" s="2" t="s">
        <v>170</v>
      </c>
      <c r="D3106" s="20">
        <v>0</v>
      </c>
      <c r="E3106" s="2" t="s">
        <v>838</v>
      </c>
      <c r="F3106" s="2" t="s">
        <v>811</v>
      </c>
      <c r="G3106" s="2" t="s">
        <v>3469</v>
      </c>
      <c r="H3106" s="2" t="s">
        <v>1778</v>
      </c>
      <c r="J3106" s="26"/>
      <c r="K3106" s="36">
        <v>1.3461600000000001E-3</v>
      </c>
      <c r="L3106" s="23">
        <v>3.3654000000000003E-4</v>
      </c>
    </row>
    <row r="3107" spans="1:12" ht="15.35" hidden="1" x14ac:dyDescent="0.55000000000000004">
      <c r="A3107" s="20">
        <v>17678</v>
      </c>
      <c r="B3107" s="2" t="s">
        <v>169</v>
      </c>
      <c r="C3107" s="2" t="s">
        <v>170</v>
      </c>
      <c r="D3107" s="20">
        <v>0</v>
      </c>
      <c r="E3107" s="2" t="s">
        <v>838</v>
      </c>
      <c r="F3107" s="2" t="s">
        <v>793</v>
      </c>
      <c r="G3107" s="2" t="s">
        <v>3470</v>
      </c>
      <c r="H3107" s="2" t="s">
        <v>2744</v>
      </c>
      <c r="J3107" s="26"/>
      <c r="K3107" s="36">
        <v>6.7299999999999996E-5</v>
      </c>
      <c r="L3107" s="23">
        <v>1.6820000000000002E-5</v>
      </c>
    </row>
    <row r="3108" spans="1:12" ht="15.35" hidden="1" x14ac:dyDescent="0.55000000000000004">
      <c r="A3108" s="20">
        <v>17085</v>
      </c>
      <c r="B3108" s="2" t="s">
        <v>169</v>
      </c>
      <c r="C3108" s="2" t="s">
        <v>170</v>
      </c>
      <c r="D3108" s="20">
        <v>0</v>
      </c>
      <c r="E3108" s="2" t="s">
        <v>838</v>
      </c>
      <c r="F3108" s="2" t="s">
        <v>848</v>
      </c>
      <c r="G3108" s="2" t="s">
        <v>1004</v>
      </c>
      <c r="H3108" s="2" t="s">
        <v>1004</v>
      </c>
      <c r="J3108" s="26"/>
      <c r="K3108" s="36">
        <v>1.9796499999999999E-3</v>
      </c>
      <c r="L3108" s="23">
        <v>4.9490999999999999E-4</v>
      </c>
    </row>
    <row r="3109" spans="1:12" ht="15.35" hidden="1" x14ac:dyDescent="0.55000000000000004">
      <c r="A3109" s="20">
        <v>17148</v>
      </c>
      <c r="B3109" s="2" t="s">
        <v>169</v>
      </c>
      <c r="C3109" s="2" t="s">
        <v>170</v>
      </c>
      <c r="D3109" s="20">
        <v>0</v>
      </c>
      <c r="E3109" s="2" t="s">
        <v>838</v>
      </c>
      <c r="F3109" s="2" t="s">
        <v>848</v>
      </c>
      <c r="G3109" s="2" t="s">
        <v>1203</v>
      </c>
      <c r="H3109" s="2" t="s">
        <v>1203</v>
      </c>
      <c r="J3109" s="26"/>
      <c r="K3109" s="36">
        <v>4.4221499999999997E-3</v>
      </c>
      <c r="L3109" s="23">
        <v>1.1055399999999999E-3</v>
      </c>
    </row>
    <row r="3110" spans="1:12" ht="15.35" hidden="1" x14ac:dyDescent="0.55000000000000004">
      <c r="A3110" s="20">
        <v>17132</v>
      </c>
      <c r="B3110" s="2" t="s">
        <v>169</v>
      </c>
      <c r="C3110" s="2" t="s">
        <v>170</v>
      </c>
      <c r="D3110" s="20">
        <v>0</v>
      </c>
      <c r="E3110" s="2" t="s">
        <v>838</v>
      </c>
      <c r="F3110" s="2" t="s">
        <v>793</v>
      </c>
      <c r="G3110" s="2" t="s">
        <v>1008</v>
      </c>
      <c r="H3110" s="2" t="s">
        <v>1007</v>
      </c>
      <c r="J3110" s="26"/>
      <c r="K3110" s="36">
        <v>4.4247000000000002E-3</v>
      </c>
      <c r="L3110" s="23">
        <v>1.10618E-3</v>
      </c>
    </row>
    <row r="3111" spans="1:12" ht="15.35" hidden="1" x14ac:dyDescent="0.55000000000000004">
      <c r="A3111" s="20">
        <v>17180</v>
      </c>
      <c r="B3111" s="2" t="s">
        <v>169</v>
      </c>
      <c r="C3111" s="2" t="s">
        <v>170</v>
      </c>
      <c r="D3111" s="20">
        <v>0</v>
      </c>
      <c r="E3111" s="2" t="s">
        <v>838</v>
      </c>
      <c r="F3111" s="2" t="s">
        <v>793</v>
      </c>
      <c r="G3111" s="2" t="s">
        <v>1009</v>
      </c>
      <c r="H3111" s="2" t="s">
        <v>1007</v>
      </c>
      <c r="J3111" s="26"/>
      <c r="K3111" s="36">
        <v>4.4247000000000002E-3</v>
      </c>
      <c r="L3111" s="23">
        <v>1.10618E-3</v>
      </c>
    </row>
    <row r="3112" spans="1:12" ht="15.35" hidden="1" x14ac:dyDescent="0.55000000000000004">
      <c r="A3112" s="20">
        <v>17197</v>
      </c>
      <c r="B3112" s="2" t="s">
        <v>169</v>
      </c>
      <c r="C3112" s="2" t="s">
        <v>170</v>
      </c>
      <c r="D3112" s="20">
        <v>0</v>
      </c>
      <c r="E3112" s="2" t="s">
        <v>838</v>
      </c>
      <c r="F3112" s="2" t="s">
        <v>793</v>
      </c>
      <c r="G3112" s="2" t="s">
        <v>3471</v>
      </c>
      <c r="H3112" s="2" t="s">
        <v>1007</v>
      </c>
      <c r="J3112" s="26"/>
      <c r="K3112" s="36">
        <v>3.1278500000000002E-3</v>
      </c>
      <c r="L3112" s="23">
        <v>7.8195999999999995E-4</v>
      </c>
    </row>
    <row r="3113" spans="1:12" ht="15.35" hidden="1" x14ac:dyDescent="0.55000000000000004">
      <c r="A3113" s="20">
        <v>16960</v>
      </c>
      <c r="B3113" s="2" t="s">
        <v>169</v>
      </c>
      <c r="C3113" s="2" t="s">
        <v>170</v>
      </c>
      <c r="D3113" s="20">
        <v>0</v>
      </c>
      <c r="E3113" s="2" t="s">
        <v>838</v>
      </c>
      <c r="F3113" s="2" t="s">
        <v>793</v>
      </c>
      <c r="G3113" s="2" t="s">
        <v>3472</v>
      </c>
      <c r="H3113" s="2" t="s">
        <v>1007</v>
      </c>
      <c r="J3113" s="26"/>
      <c r="K3113" s="36">
        <v>1.5836999999999999E-4</v>
      </c>
      <c r="L3113" s="23">
        <v>3.9589999999999999E-5</v>
      </c>
    </row>
    <row r="3114" spans="1:12" ht="15.35" hidden="1" x14ac:dyDescent="0.55000000000000004">
      <c r="A3114" s="20">
        <v>17533</v>
      </c>
      <c r="B3114" s="2" t="s">
        <v>169</v>
      </c>
      <c r="C3114" s="2" t="s">
        <v>170</v>
      </c>
      <c r="D3114" s="20">
        <v>0</v>
      </c>
      <c r="E3114" s="2" t="s">
        <v>838</v>
      </c>
      <c r="F3114" s="2" t="s">
        <v>793</v>
      </c>
      <c r="G3114" s="2" t="s">
        <v>2759</v>
      </c>
      <c r="H3114" s="2" t="s">
        <v>1007</v>
      </c>
      <c r="J3114" s="26"/>
      <c r="K3114" s="36">
        <v>7.9179999999999997E-5</v>
      </c>
      <c r="L3114" s="23">
        <v>1.9789999999999999E-5</v>
      </c>
    </row>
    <row r="3115" spans="1:12" ht="15.35" hidden="1" x14ac:dyDescent="0.55000000000000004">
      <c r="A3115" s="20">
        <v>17359</v>
      </c>
      <c r="B3115" s="2" t="s">
        <v>169</v>
      </c>
      <c r="C3115" s="2" t="s">
        <v>170</v>
      </c>
      <c r="D3115" s="20">
        <v>0</v>
      </c>
      <c r="E3115" s="2" t="s">
        <v>838</v>
      </c>
      <c r="F3115" s="2" t="s">
        <v>793</v>
      </c>
      <c r="G3115" s="2" t="s">
        <v>2761</v>
      </c>
      <c r="H3115" s="2" t="s">
        <v>1207</v>
      </c>
      <c r="J3115" s="26"/>
      <c r="K3115" s="36">
        <v>6.6509999999999998E-5</v>
      </c>
      <c r="L3115" s="23">
        <v>1.6629999999999998E-5</v>
      </c>
    </row>
    <row r="3116" spans="1:12" ht="15.35" hidden="1" x14ac:dyDescent="0.55000000000000004">
      <c r="A3116" s="20">
        <v>17247</v>
      </c>
      <c r="B3116" s="2" t="s">
        <v>169</v>
      </c>
      <c r="C3116" s="2" t="s">
        <v>170</v>
      </c>
      <c r="D3116" s="20">
        <v>0</v>
      </c>
      <c r="E3116" s="2" t="s">
        <v>838</v>
      </c>
      <c r="F3116" s="2" t="s">
        <v>793</v>
      </c>
      <c r="G3116" s="2" t="s">
        <v>2762</v>
      </c>
      <c r="H3116" s="2" t="s">
        <v>1207</v>
      </c>
      <c r="J3116" s="26"/>
      <c r="K3116" s="36">
        <v>7.9186000000000002E-4</v>
      </c>
      <c r="L3116" s="23">
        <v>1.9797E-4</v>
      </c>
    </row>
    <row r="3117" spans="1:12" ht="15.35" hidden="1" x14ac:dyDescent="0.55000000000000004">
      <c r="A3117" s="20">
        <v>17206</v>
      </c>
      <c r="B3117" s="2" t="s">
        <v>169</v>
      </c>
      <c r="C3117" s="2" t="s">
        <v>170</v>
      </c>
      <c r="D3117" s="20">
        <v>0</v>
      </c>
      <c r="E3117" s="2" t="s">
        <v>838</v>
      </c>
      <c r="F3117" s="2" t="s">
        <v>793</v>
      </c>
      <c r="G3117" s="2" t="s">
        <v>2763</v>
      </c>
      <c r="H3117" s="2" t="s">
        <v>1207</v>
      </c>
      <c r="J3117" s="26"/>
      <c r="K3117" s="36">
        <v>7.9186000000000002E-4</v>
      </c>
      <c r="L3117" s="23">
        <v>1.9797E-4</v>
      </c>
    </row>
    <row r="3118" spans="1:12" ht="15.35" hidden="1" x14ac:dyDescent="0.55000000000000004">
      <c r="A3118" s="20">
        <v>17723</v>
      </c>
      <c r="B3118" s="2" t="s">
        <v>169</v>
      </c>
      <c r="C3118" s="2" t="s">
        <v>170</v>
      </c>
      <c r="D3118" s="20">
        <v>0</v>
      </c>
      <c r="E3118" s="2" t="s">
        <v>838</v>
      </c>
      <c r="F3118" s="2" t="s">
        <v>793</v>
      </c>
      <c r="G3118" s="2" t="s">
        <v>2764</v>
      </c>
      <c r="H3118" s="2" t="s">
        <v>1207</v>
      </c>
      <c r="J3118" s="26"/>
      <c r="K3118" s="36">
        <v>6.6509999999999998E-5</v>
      </c>
      <c r="L3118" s="23">
        <v>1.6629999999999998E-5</v>
      </c>
    </row>
    <row r="3119" spans="1:12" ht="15.35" hidden="1" x14ac:dyDescent="0.55000000000000004">
      <c r="A3119" s="20">
        <v>16894</v>
      </c>
      <c r="B3119" s="2" t="s">
        <v>169</v>
      </c>
      <c r="C3119" s="2" t="s">
        <v>170</v>
      </c>
      <c r="D3119" s="20">
        <v>0</v>
      </c>
      <c r="E3119" s="2" t="s">
        <v>838</v>
      </c>
      <c r="F3119" s="2" t="s">
        <v>793</v>
      </c>
      <c r="G3119" s="2" t="s">
        <v>2765</v>
      </c>
      <c r="H3119" s="2" t="s">
        <v>1207</v>
      </c>
      <c r="J3119" s="26"/>
      <c r="K3119" s="36">
        <v>1.2669700000000001E-3</v>
      </c>
      <c r="L3119" s="23">
        <v>3.1673999999999998E-4</v>
      </c>
    </row>
    <row r="3120" spans="1:12" ht="15.35" hidden="1" x14ac:dyDescent="0.55000000000000004">
      <c r="A3120" s="20">
        <v>17584</v>
      </c>
      <c r="B3120" s="2" t="s">
        <v>169</v>
      </c>
      <c r="C3120" s="2" t="s">
        <v>170</v>
      </c>
      <c r="D3120" s="20">
        <v>0</v>
      </c>
      <c r="E3120" s="2" t="s">
        <v>838</v>
      </c>
      <c r="F3120" s="2" t="s">
        <v>793</v>
      </c>
      <c r="G3120" s="2" t="s">
        <v>2766</v>
      </c>
      <c r="H3120" s="2" t="s">
        <v>1207</v>
      </c>
      <c r="J3120" s="26"/>
      <c r="K3120" s="36">
        <v>1.2669700000000001E-3</v>
      </c>
      <c r="L3120" s="23">
        <v>3.1673999999999998E-4</v>
      </c>
    </row>
    <row r="3121" spans="1:12" ht="15.35" hidden="1" x14ac:dyDescent="0.55000000000000004">
      <c r="A3121" s="20">
        <v>16872</v>
      </c>
      <c r="B3121" s="2" t="s">
        <v>169</v>
      </c>
      <c r="C3121" s="2" t="s">
        <v>170</v>
      </c>
      <c r="D3121" s="20">
        <v>0</v>
      </c>
      <c r="E3121" s="2" t="s">
        <v>838</v>
      </c>
      <c r="F3121" s="2" t="s">
        <v>793</v>
      </c>
      <c r="G3121" s="2" t="s">
        <v>2767</v>
      </c>
      <c r="H3121" s="2" t="s">
        <v>1207</v>
      </c>
      <c r="J3121" s="26"/>
      <c r="K3121" s="36">
        <v>6.3347999999999996E-4</v>
      </c>
      <c r="L3121" s="23">
        <v>1.5836999999999999E-4</v>
      </c>
    </row>
    <row r="3122" spans="1:12" ht="15.35" hidden="1" x14ac:dyDescent="0.55000000000000004">
      <c r="A3122" s="20">
        <v>17081</v>
      </c>
      <c r="B3122" s="2" t="s">
        <v>169</v>
      </c>
      <c r="C3122" s="2" t="s">
        <v>170</v>
      </c>
      <c r="D3122" s="20">
        <v>0</v>
      </c>
      <c r="E3122" s="2" t="s">
        <v>838</v>
      </c>
      <c r="F3122" s="2" t="s">
        <v>793</v>
      </c>
      <c r="G3122" s="2" t="s">
        <v>2768</v>
      </c>
      <c r="H3122" s="2" t="s">
        <v>1207</v>
      </c>
      <c r="J3122" s="26"/>
      <c r="K3122" s="36">
        <v>6.3347999999999996E-4</v>
      </c>
      <c r="L3122" s="23">
        <v>1.5836999999999999E-4</v>
      </c>
    </row>
    <row r="3123" spans="1:12" ht="15.35" hidden="1" x14ac:dyDescent="0.55000000000000004">
      <c r="A3123" s="20">
        <v>17409</v>
      </c>
      <c r="B3123" s="2" t="s">
        <v>169</v>
      </c>
      <c r="C3123" s="2" t="s">
        <v>170</v>
      </c>
      <c r="D3123" s="20">
        <v>0</v>
      </c>
      <c r="E3123" s="2" t="s">
        <v>838</v>
      </c>
      <c r="F3123" s="2" t="s">
        <v>793</v>
      </c>
      <c r="G3123" s="2" t="s">
        <v>2769</v>
      </c>
      <c r="H3123" s="2" t="s">
        <v>1207</v>
      </c>
      <c r="J3123" s="26"/>
      <c r="K3123" s="36">
        <v>1.58372E-3</v>
      </c>
      <c r="L3123" s="23">
        <v>3.9593000000000001E-4</v>
      </c>
    </row>
    <row r="3124" spans="1:12" ht="15.35" hidden="1" x14ac:dyDescent="0.55000000000000004">
      <c r="A3124" s="20">
        <v>17009</v>
      </c>
      <c r="B3124" s="2" t="s">
        <v>169</v>
      </c>
      <c r="C3124" s="2" t="s">
        <v>170</v>
      </c>
      <c r="D3124" s="20">
        <v>0</v>
      </c>
      <c r="E3124" s="2" t="s">
        <v>838</v>
      </c>
      <c r="F3124" s="2" t="s">
        <v>793</v>
      </c>
      <c r="G3124" s="2" t="s">
        <v>2770</v>
      </c>
      <c r="H3124" s="2" t="s">
        <v>1207</v>
      </c>
      <c r="J3124" s="26"/>
      <c r="K3124" s="36">
        <v>6.6509999999999998E-5</v>
      </c>
      <c r="L3124" s="23">
        <v>1.6629999999999998E-5</v>
      </c>
    </row>
    <row r="3125" spans="1:12" ht="15.35" hidden="1" x14ac:dyDescent="0.55000000000000004">
      <c r="A3125" s="20">
        <v>17222</v>
      </c>
      <c r="B3125" s="2" t="s">
        <v>169</v>
      </c>
      <c r="C3125" s="2" t="s">
        <v>170</v>
      </c>
      <c r="D3125" s="20">
        <v>0</v>
      </c>
      <c r="E3125" s="2" t="s">
        <v>838</v>
      </c>
      <c r="F3125" s="2" t="s">
        <v>848</v>
      </c>
      <c r="G3125" s="2" t="s">
        <v>1216</v>
      </c>
      <c r="H3125" s="2" t="s">
        <v>1216</v>
      </c>
      <c r="J3125" s="26"/>
      <c r="K3125" s="36">
        <v>3.1674400000000001E-3</v>
      </c>
      <c r="L3125" s="23">
        <v>7.9186000000000002E-4</v>
      </c>
    </row>
    <row r="3126" spans="1:12" ht="15.35" hidden="1" x14ac:dyDescent="0.55000000000000004">
      <c r="A3126" s="20">
        <v>16835</v>
      </c>
      <c r="B3126" s="2" t="s">
        <v>169</v>
      </c>
      <c r="C3126" s="2" t="s">
        <v>170</v>
      </c>
      <c r="D3126" s="20">
        <v>0</v>
      </c>
      <c r="E3126" s="2" t="s">
        <v>838</v>
      </c>
      <c r="F3126" s="2" t="s">
        <v>793</v>
      </c>
      <c r="G3126" s="2" t="s">
        <v>2771</v>
      </c>
      <c r="H3126" s="2" t="s">
        <v>1848</v>
      </c>
      <c r="J3126" s="26"/>
      <c r="K3126" s="36">
        <v>3.1673999999999998E-4</v>
      </c>
      <c r="L3126" s="23">
        <v>7.9190000000000006E-5</v>
      </c>
    </row>
    <row r="3127" spans="1:12" ht="15.35" hidden="1" x14ac:dyDescent="0.55000000000000004">
      <c r="A3127" s="20">
        <v>17553</v>
      </c>
      <c r="B3127" s="2" t="s">
        <v>169</v>
      </c>
      <c r="C3127" s="2" t="s">
        <v>170</v>
      </c>
      <c r="D3127" s="20">
        <v>0</v>
      </c>
      <c r="E3127" s="2" t="s">
        <v>838</v>
      </c>
      <c r="F3127" s="2" t="s">
        <v>793</v>
      </c>
      <c r="G3127" s="2" t="s">
        <v>3473</v>
      </c>
      <c r="H3127" s="2" t="s">
        <v>1848</v>
      </c>
      <c r="J3127" s="26"/>
      <c r="K3127" s="36">
        <v>4.4221499999999997E-3</v>
      </c>
      <c r="L3127" s="23">
        <v>1.1055399999999999E-3</v>
      </c>
    </row>
    <row r="3128" spans="1:12" ht="15.35" hidden="1" x14ac:dyDescent="0.55000000000000004">
      <c r="A3128" s="20">
        <v>17319</v>
      </c>
      <c r="B3128" s="2" t="s">
        <v>169</v>
      </c>
      <c r="C3128" s="2" t="s">
        <v>170</v>
      </c>
      <c r="D3128" s="20">
        <v>0</v>
      </c>
      <c r="E3128" s="2" t="s">
        <v>838</v>
      </c>
      <c r="F3128" s="2" t="s">
        <v>793</v>
      </c>
      <c r="G3128" s="2" t="s">
        <v>3474</v>
      </c>
      <c r="H3128" s="2" t="s">
        <v>1848</v>
      </c>
      <c r="J3128" s="26"/>
      <c r="K3128" s="36">
        <v>4.4221499999999997E-3</v>
      </c>
      <c r="L3128" s="23">
        <v>1.1055399999999999E-3</v>
      </c>
    </row>
    <row r="3129" spans="1:12" ht="15.35" hidden="1" x14ac:dyDescent="0.55000000000000004">
      <c r="A3129" s="20">
        <v>17695</v>
      </c>
      <c r="B3129" s="2" t="s">
        <v>169</v>
      </c>
      <c r="C3129" s="2" t="s">
        <v>170</v>
      </c>
      <c r="D3129" s="20">
        <v>0</v>
      </c>
      <c r="E3129" s="2" t="s">
        <v>838</v>
      </c>
      <c r="F3129" s="2" t="s">
        <v>793</v>
      </c>
      <c r="G3129" s="2" t="s">
        <v>2774</v>
      </c>
      <c r="H3129" s="2" t="s">
        <v>1848</v>
      </c>
      <c r="J3129" s="26"/>
      <c r="K3129" s="36">
        <v>4.4221499999999997E-3</v>
      </c>
      <c r="L3129" s="23">
        <v>1.1055399999999999E-3</v>
      </c>
    </row>
    <row r="3130" spans="1:12" ht="15.35" hidden="1" x14ac:dyDescent="0.55000000000000004">
      <c r="A3130" s="20">
        <v>16848</v>
      </c>
      <c r="B3130" s="2" t="s">
        <v>169</v>
      </c>
      <c r="C3130" s="2" t="s">
        <v>170</v>
      </c>
      <c r="D3130" s="20">
        <v>0</v>
      </c>
      <c r="E3130" s="2" t="s">
        <v>838</v>
      </c>
      <c r="F3130" s="2" t="s">
        <v>793</v>
      </c>
      <c r="G3130" s="2" t="s">
        <v>2775</v>
      </c>
      <c r="H3130" s="2" t="s">
        <v>1848</v>
      </c>
      <c r="J3130" s="26"/>
      <c r="K3130" s="36">
        <v>5.3370999999999996E-4</v>
      </c>
      <c r="L3130" s="23">
        <v>1.3343E-4</v>
      </c>
    </row>
    <row r="3131" spans="1:12" ht="15.35" hidden="1" x14ac:dyDescent="0.55000000000000004">
      <c r="A3131" s="20">
        <v>17467</v>
      </c>
      <c r="B3131" s="2" t="s">
        <v>169</v>
      </c>
      <c r="C3131" s="2" t="s">
        <v>170</v>
      </c>
      <c r="D3131" s="20">
        <v>0</v>
      </c>
      <c r="E3131" s="2" t="s">
        <v>838</v>
      </c>
      <c r="F3131" s="2" t="s">
        <v>793</v>
      </c>
      <c r="G3131" s="2" t="s">
        <v>2777</v>
      </c>
      <c r="H3131" s="2" t="s">
        <v>1848</v>
      </c>
      <c r="J3131" s="26"/>
      <c r="K3131" s="36">
        <v>4.3156399999999999E-3</v>
      </c>
      <c r="L3131" s="23">
        <v>1.07891E-3</v>
      </c>
    </row>
    <row r="3132" spans="1:12" ht="15.35" hidden="1" x14ac:dyDescent="0.55000000000000004">
      <c r="A3132" s="20">
        <v>16891</v>
      </c>
      <c r="B3132" s="2" t="s">
        <v>169</v>
      </c>
      <c r="C3132" s="2" t="s">
        <v>170</v>
      </c>
      <c r="D3132" s="20">
        <v>0</v>
      </c>
      <c r="E3132" s="2" t="s">
        <v>838</v>
      </c>
      <c r="F3132" s="2" t="s">
        <v>793</v>
      </c>
      <c r="G3132" s="2" t="s">
        <v>2778</v>
      </c>
      <c r="H3132" s="2" t="s">
        <v>1848</v>
      </c>
      <c r="J3132" s="26"/>
      <c r="K3132" s="36">
        <v>1.3065E-4</v>
      </c>
      <c r="L3132" s="23">
        <v>3.2660000000000002E-5</v>
      </c>
    </row>
    <row r="3133" spans="1:12" ht="15.35" hidden="1" x14ac:dyDescent="0.55000000000000004">
      <c r="A3133" s="20">
        <v>16989</v>
      </c>
      <c r="B3133" s="2" t="s">
        <v>169</v>
      </c>
      <c r="C3133" s="2" t="s">
        <v>170</v>
      </c>
      <c r="D3133" s="20">
        <v>0</v>
      </c>
      <c r="E3133" s="2" t="s">
        <v>838</v>
      </c>
      <c r="F3133" s="2" t="s">
        <v>793</v>
      </c>
      <c r="G3133" s="2" t="s">
        <v>2779</v>
      </c>
      <c r="H3133" s="2" t="s">
        <v>1848</v>
      </c>
      <c r="J3133" s="26"/>
      <c r="K3133" s="36">
        <v>2.6685000000000001E-4</v>
      </c>
      <c r="L3133" s="23">
        <v>6.6710000000000003E-5</v>
      </c>
    </row>
    <row r="3134" spans="1:12" ht="15.35" hidden="1" x14ac:dyDescent="0.55000000000000004">
      <c r="A3134" s="20">
        <v>17483</v>
      </c>
      <c r="B3134" s="2" t="s">
        <v>169</v>
      </c>
      <c r="C3134" s="2" t="s">
        <v>170</v>
      </c>
      <c r="D3134" s="20">
        <v>0</v>
      </c>
      <c r="E3134" s="2" t="s">
        <v>838</v>
      </c>
      <c r="F3134" s="2" t="s">
        <v>793</v>
      </c>
      <c r="G3134" s="2" t="s">
        <v>2780</v>
      </c>
      <c r="H3134" s="2" t="s">
        <v>1848</v>
      </c>
      <c r="J3134" s="26"/>
      <c r="K3134" s="36">
        <v>2.5734999999999999E-4</v>
      </c>
      <c r="L3134" s="23">
        <v>6.4339999999999997E-5</v>
      </c>
    </row>
    <row r="3135" spans="1:12" ht="15.35" hidden="1" x14ac:dyDescent="0.55000000000000004">
      <c r="A3135" s="20">
        <v>17605</v>
      </c>
      <c r="B3135" s="2" t="s">
        <v>169</v>
      </c>
      <c r="C3135" s="2" t="s">
        <v>170</v>
      </c>
      <c r="D3135" s="20">
        <v>0</v>
      </c>
      <c r="E3135" s="2" t="s">
        <v>838</v>
      </c>
      <c r="F3135" s="2" t="s">
        <v>793</v>
      </c>
      <c r="G3135" s="2" t="s">
        <v>2781</v>
      </c>
      <c r="H3135" s="2" t="s">
        <v>1848</v>
      </c>
      <c r="J3135" s="26"/>
      <c r="K3135" s="36">
        <v>4.3156399999999999E-3</v>
      </c>
      <c r="L3135" s="23">
        <v>1.07891E-3</v>
      </c>
    </row>
    <row r="3136" spans="1:12" ht="15.35" hidden="1" x14ac:dyDescent="0.55000000000000004">
      <c r="A3136" s="20">
        <v>17634</v>
      </c>
      <c r="B3136" s="2" t="s">
        <v>169</v>
      </c>
      <c r="C3136" s="2" t="s">
        <v>170</v>
      </c>
      <c r="D3136" s="20">
        <v>0</v>
      </c>
      <c r="E3136" s="2" t="s">
        <v>838</v>
      </c>
      <c r="F3136" s="2" t="s">
        <v>793</v>
      </c>
      <c r="G3136" s="2" t="s">
        <v>2782</v>
      </c>
      <c r="H3136" s="2" t="s">
        <v>1848</v>
      </c>
      <c r="J3136" s="26"/>
      <c r="K3136" s="36">
        <v>1.33468E-3</v>
      </c>
      <c r="L3136" s="23">
        <v>3.3367E-4</v>
      </c>
    </row>
    <row r="3137" spans="1:12" ht="15.35" hidden="1" x14ac:dyDescent="0.55000000000000004">
      <c r="A3137" s="20">
        <v>17548</v>
      </c>
      <c r="B3137" s="2" t="s">
        <v>169</v>
      </c>
      <c r="C3137" s="2" t="s">
        <v>170</v>
      </c>
      <c r="D3137" s="20">
        <v>0</v>
      </c>
      <c r="E3137" s="2" t="s">
        <v>838</v>
      </c>
      <c r="F3137" s="2" t="s">
        <v>793</v>
      </c>
      <c r="G3137" s="2" t="s">
        <v>2783</v>
      </c>
      <c r="H3137" s="2" t="s">
        <v>1848</v>
      </c>
      <c r="J3137" s="26"/>
      <c r="K3137" s="36">
        <v>2.6527299999999998E-3</v>
      </c>
      <c r="L3137" s="23">
        <v>6.6317999999999998E-4</v>
      </c>
    </row>
    <row r="3138" spans="1:12" ht="15.35" hidden="1" x14ac:dyDescent="0.55000000000000004">
      <c r="A3138" s="20">
        <v>16980</v>
      </c>
      <c r="B3138" s="2" t="s">
        <v>169</v>
      </c>
      <c r="C3138" s="2" t="s">
        <v>170</v>
      </c>
      <c r="D3138" s="20">
        <v>0</v>
      </c>
      <c r="E3138" s="2" t="s">
        <v>838</v>
      </c>
      <c r="F3138" s="2" t="s">
        <v>793</v>
      </c>
      <c r="G3138" s="2" t="s">
        <v>3475</v>
      </c>
      <c r="H3138" s="2" t="s">
        <v>1848</v>
      </c>
      <c r="J3138" s="26"/>
      <c r="K3138" s="36">
        <v>1.8014800000000001E-3</v>
      </c>
      <c r="L3138" s="23">
        <v>4.5037000000000001E-4</v>
      </c>
    </row>
    <row r="3139" spans="1:12" ht="15.35" hidden="1" x14ac:dyDescent="0.55000000000000004">
      <c r="A3139" s="20">
        <v>17521</v>
      </c>
      <c r="B3139" s="2" t="s">
        <v>169</v>
      </c>
      <c r="C3139" s="2" t="s">
        <v>170</v>
      </c>
      <c r="D3139" s="20">
        <v>0</v>
      </c>
      <c r="E3139" s="2" t="s">
        <v>838</v>
      </c>
      <c r="F3139" s="2" t="s">
        <v>817</v>
      </c>
      <c r="G3139" s="2" t="s">
        <v>1010</v>
      </c>
      <c r="H3139" s="2" t="s">
        <v>1011</v>
      </c>
      <c r="J3139" s="26"/>
      <c r="K3139" s="36">
        <v>4.4221499999999997E-3</v>
      </c>
      <c r="L3139" s="23">
        <v>1.1055399999999999E-3</v>
      </c>
    </row>
    <row r="3140" spans="1:12" ht="15.35" hidden="1" x14ac:dyDescent="0.55000000000000004">
      <c r="A3140" s="20">
        <v>17245</v>
      </c>
      <c r="B3140" s="2" t="s">
        <v>169</v>
      </c>
      <c r="C3140" s="2" t="s">
        <v>170</v>
      </c>
      <c r="D3140" s="20">
        <v>0</v>
      </c>
      <c r="E3140" s="2" t="s">
        <v>838</v>
      </c>
      <c r="F3140" s="2" t="s">
        <v>817</v>
      </c>
      <c r="G3140" s="2" t="s">
        <v>3476</v>
      </c>
      <c r="H3140" s="2" t="s">
        <v>1852</v>
      </c>
      <c r="J3140" s="26"/>
      <c r="K3140" s="36">
        <v>3.9989000000000002E-4</v>
      </c>
      <c r="L3140" s="23">
        <v>9.9970000000000007E-5</v>
      </c>
    </row>
    <row r="3141" spans="1:12" ht="15.35" hidden="1" x14ac:dyDescent="0.55000000000000004">
      <c r="A3141" s="20">
        <v>17659</v>
      </c>
      <c r="B3141" s="2" t="s">
        <v>169</v>
      </c>
      <c r="C3141" s="2" t="s">
        <v>170</v>
      </c>
      <c r="D3141" s="20">
        <v>0</v>
      </c>
      <c r="E3141" s="2" t="s">
        <v>838</v>
      </c>
      <c r="F3141" s="2" t="s">
        <v>817</v>
      </c>
      <c r="G3141" s="2" t="s">
        <v>3477</v>
      </c>
      <c r="H3141" s="2" t="s">
        <v>1852</v>
      </c>
      <c r="J3141" s="26"/>
      <c r="K3141" s="36">
        <v>1.9994000000000001E-4</v>
      </c>
      <c r="L3141" s="23">
        <v>4.9990000000000001E-5</v>
      </c>
    </row>
    <row r="3142" spans="1:12" ht="15.35" hidden="1" x14ac:dyDescent="0.55000000000000004">
      <c r="A3142" s="20">
        <v>17603</v>
      </c>
      <c r="B3142" s="2" t="s">
        <v>169</v>
      </c>
      <c r="C3142" s="2" t="s">
        <v>170</v>
      </c>
      <c r="D3142" s="20">
        <v>0</v>
      </c>
      <c r="E3142" s="2" t="s">
        <v>838</v>
      </c>
      <c r="F3142" s="2" t="s">
        <v>817</v>
      </c>
      <c r="G3142" s="2" t="s">
        <v>3478</v>
      </c>
      <c r="H3142" s="2" t="s">
        <v>1852</v>
      </c>
      <c r="J3142" s="26"/>
      <c r="K3142" s="36">
        <v>1.9994000000000001E-4</v>
      </c>
      <c r="L3142" s="23">
        <v>4.9990000000000001E-5</v>
      </c>
    </row>
    <row r="3143" spans="1:12" ht="15.35" hidden="1" x14ac:dyDescent="0.55000000000000004">
      <c r="A3143" s="20">
        <v>17310</v>
      </c>
      <c r="B3143" s="2" t="s">
        <v>169</v>
      </c>
      <c r="C3143" s="2" t="s">
        <v>170</v>
      </c>
      <c r="D3143" s="20">
        <v>0</v>
      </c>
      <c r="E3143" s="2" t="s">
        <v>838</v>
      </c>
      <c r="F3143" s="2" t="s">
        <v>817</v>
      </c>
      <c r="G3143" s="2" t="s">
        <v>3479</v>
      </c>
      <c r="H3143" s="2" t="s">
        <v>1852</v>
      </c>
      <c r="J3143" s="26"/>
      <c r="K3143" s="36">
        <v>2.0022199999999999E-3</v>
      </c>
      <c r="L3143" s="23">
        <v>5.0055E-4</v>
      </c>
    </row>
    <row r="3144" spans="1:12" ht="15.35" hidden="1" x14ac:dyDescent="0.55000000000000004">
      <c r="A3144" s="20">
        <v>17413</v>
      </c>
      <c r="B3144" s="2" t="s">
        <v>169</v>
      </c>
      <c r="C3144" s="2" t="s">
        <v>170</v>
      </c>
      <c r="D3144" s="20">
        <v>0</v>
      </c>
      <c r="E3144" s="2" t="s">
        <v>838</v>
      </c>
      <c r="F3144" s="2" t="s">
        <v>817</v>
      </c>
      <c r="G3144" s="2" t="s">
        <v>3480</v>
      </c>
      <c r="H3144" s="2" t="s">
        <v>1852</v>
      </c>
      <c r="J3144" s="26"/>
      <c r="K3144" s="36">
        <v>1.9994499999999998E-3</v>
      </c>
      <c r="L3144" s="23">
        <v>4.9985999999999997E-4</v>
      </c>
    </row>
    <row r="3145" spans="1:12" ht="15.35" hidden="1" x14ac:dyDescent="0.55000000000000004">
      <c r="A3145" s="20">
        <v>17567</v>
      </c>
      <c r="B3145" s="2" t="s">
        <v>169</v>
      </c>
      <c r="C3145" s="2" t="s">
        <v>170</v>
      </c>
      <c r="D3145" s="20">
        <v>0</v>
      </c>
      <c r="E3145" s="2" t="s">
        <v>838</v>
      </c>
      <c r="F3145" s="2" t="s">
        <v>793</v>
      </c>
      <c r="G3145" s="2" t="s">
        <v>2786</v>
      </c>
      <c r="H3145" s="2" t="s">
        <v>904</v>
      </c>
      <c r="J3145" s="26"/>
      <c r="K3145" s="36">
        <v>4.3552E-4</v>
      </c>
      <c r="L3145" s="23">
        <v>1.0888E-4</v>
      </c>
    </row>
    <row r="3146" spans="1:12" ht="15.35" hidden="1" x14ac:dyDescent="0.55000000000000004">
      <c r="A3146" s="20">
        <v>17061</v>
      </c>
      <c r="B3146" s="2" t="s">
        <v>169</v>
      </c>
      <c r="C3146" s="2" t="s">
        <v>170</v>
      </c>
      <c r="D3146" s="20">
        <v>0</v>
      </c>
      <c r="E3146" s="2" t="s">
        <v>838</v>
      </c>
      <c r="F3146" s="2" t="s">
        <v>793</v>
      </c>
      <c r="G3146" s="2" t="s">
        <v>2787</v>
      </c>
      <c r="H3146" s="2" t="s">
        <v>904</v>
      </c>
      <c r="J3146" s="26"/>
      <c r="K3146" s="36">
        <v>2.96948E-3</v>
      </c>
      <c r="L3146" s="23">
        <v>7.4237000000000001E-4</v>
      </c>
    </row>
    <row r="3147" spans="1:12" ht="15.35" hidden="1" x14ac:dyDescent="0.55000000000000004">
      <c r="A3147" s="20">
        <v>16977</v>
      </c>
      <c r="B3147" s="2" t="s">
        <v>169</v>
      </c>
      <c r="C3147" s="2" t="s">
        <v>170</v>
      </c>
      <c r="D3147" s="20">
        <v>0</v>
      </c>
      <c r="E3147" s="2" t="s">
        <v>838</v>
      </c>
      <c r="F3147" s="2" t="s">
        <v>793</v>
      </c>
      <c r="G3147" s="2" t="s">
        <v>3481</v>
      </c>
      <c r="H3147" s="2" t="s">
        <v>904</v>
      </c>
      <c r="J3147" s="26"/>
      <c r="K3147" s="36">
        <v>3.9589999999999999E-5</v>
      </c>
      <c r="L3147" s="23">
        <v>9.9000000000000001E-6</v>
      </c>
    </row>
    <row r="3148" spans="1:12" ht="15.35" hidden="1" x14ac:dyDescent="0.55000000000000004">
      <c r="A3148" s="20">
        <v>17293</v>
      </c>
      <c r="B3148" s="2" t="s">
        <v>169</v>
      </c>
      <c r="C3148" s="2" t="s">
        <v>170</v>
      </c>
      <c r="D3148" s="20">
        <v>0</v>
      </c>
      <c r="E3148" s="2" t="s">
        <v>838</v>
      </c>
      <c r="F3148" s="2" t="s">
        <v>793</v>
      </c>
      <c r="G3148" s="2" t="s">
        <v>2589</v>
      </c>
      <c r="H3148" s="2" t="s">
        <v>1220</v>
      </c>
      <c r="J3148" s="26"/>
      <c r="K3148" s="36">
        <v>1.58372E-3</v>
      </c>
      <c r="L3148" s="23">
        <v>3.9593000000000001E-4</v>
      </c>
    </row>
    <row r="3149" spans="1:12" ht="15.35" hidden="1" x14ac:dyDescent="0.55000000000000004">
      <c r="A3149" s="20">
        <v>17347</v>
      </c>
      <c r="B3149" s="2" t="s">
        <v>169</v>
      </c>
      <c r="C3149" s="2" t="s">
        <v>170</v>
      </c>
      <c r="D3149" s="20">
        <v>0</v>
      </c>
      <c r="E3149" s="2" t="s">
        <v>838</v>
      </c>
      <c r="F3149" s="2" t="s">
        <v>793</v>
      </c>
      <c r="G3149" s="2" t="s">
        <v>2791</v>
      </c>
      <c r="H3149" s="2" t="s">
        <v>1220</v>
      </c>
      <c r="J3149" s="26"/>
      <c r="K3149" s="36">
        <v>5.9785000000000003E-4</v>
      </c>
      <c r="L3149" s="23">
        <v>1.4946E-4</v>
      </c>
    </row>
    <row r="3150" spans="1:12" ht="15.35" hidden="1" x14ac:dyDescent="0.55000000000000004">
      <c r="A3150" s="20">
        <v>16806</v>
      </c>
      <c r="B3150" s="2" t="s">
        <v>169</v>
      </c>
      <c r="C3150" s="2" t="s">
        <v>170</v>
      </c>
      <c r="D3150" s="20">
        <v>0</v>
      </c>
      <c r="E3150" s="2" t="s">
        <v>838</v>
      </c>
      <c r="F3150" s="2" t="s">
        <v>793</v>
      </c>
      <c r="G3150" s="2" t="s">
        <v>3482</v>
      </c>
      <c r="H3150" s="2" t="s">
        <v>1220</v>
      </c>
      <c r="J3150" s="26"/>
      <c r="K3150" s="36">
        <v>1.6708199999999999E-3</v>
      </c>
      <c r="L3150" s="23">
        <v>4.1771000000000001E-4</v>
      </c>
    </row>
    <row r="3151" spans="1:12" ht="15.35" hidden="1" x14ac:dyDescent="0.55000000000000004">
      <c r="A3151" s="20">
        <v>16830</v>
      </c>
      <c r="B3151" s="2" t="s">
        <v>169</v>
      </c>
      <c r="C3151" s="2" t="s">
        <v>170</v>
      </c>
      <c r="D3151" s="20">
        <v>0</v>
      </c>
      <c r="E3151" s="2" t="s">
        <v>838</v>
      </c>
      <c r="F3151" s="2" t="s">
        <v>793</v>
      </c>
      <c r="G3151" s="2" t="s">
        <v>2792</v>
      </c>
      <c r="H3151" s="2" t="s">
        <v>1220</v>
      </c>
      <c r="J3151" s="26"/>
      <c r="K3151" s="36">
        <v>8.1165000000000002E-4</v>
      </c>
      <c r="L3151" s="23">
        <v>2.0290999999999999E-4</v>
      </c>
    </row>
    <row r="3152" spans="1:12" ht="15.35" hidden="1" x14ac:dyDescent="0.55000000000000004">
      <c r="A3152" s="20">
        <v>17292</v>
      </c>
      <c r="B3152" s="2" t="s">
        <v>169</v>
      </c>
      <c r="C3152" s="2" t="s">
        <v>170</v>
      </c>
      <c r="D3152" s="20">
        <v>0</v>
      </c>
      <c r="E3152" s="2" t="s">
        <v>838</v>
      </c>
      <c r="F3152" s="2" t="s">
        <v>793</v>
      </c>
      <c r="G3152" s="2" t="s">
        <v>3483</v>
      </c>
      <c r="H3152" s="2" t="s">
        <v>1013</v>
      </c>
      <c r="J3152" s="26"/>
      <c r="K3152" s="36">
        <v>2.4666499999999999E-3</v>
      </c>
      <c r="L3152" s="23">
        <v>6.1665999999999999E-4</v>
      </c>
    </row>
    <row r="3153" spans="1:12" ht="15.35" hidden="1" x14ac:dyDescent="0.55000000000000004">
      <c r="A3153" s="20">
        <v>17109</v>
      </c>
      <c r="B3153" s="2" t="s">
        <v>169</v>
      </c>
      <c r="C3153" s="2" t="s">
        <v>170</v>
      </c>
      <c r="D3153" s="20">
        <v>0</v>
      </c>
      <c r="E3153" s="2" t="s">
        <v>838</v>
      </c>
      <c r="F3153" s="2" t="s">
        <v>793</v>
      </c>
      <c r="G3153" s="2" t="s">
        <v>3484</v>
      </c>
      <c r="H3153" s="2" t="s">
        <v>1013</v>
      </c>
      <c r="J3153" s="26"/>
      <c r="K3153" s="36">
        <v>4.6323000000000002E-4</v>
      </c>
      <c r="L3153" s="23">
        <v>1.1581E-4</v>
      </c>
    </row>
    <row r="3154" spans="1:12" ht="15.35" hidden="1" x14ac:dyDescent="0.55000000000000004">
      <c r="A3154" s="20">
        <v>17706</v>
      </c>
      <c r="B3154" s="2" t="s">
        <v>169</v>
      </c>
      <c r="C3154" s="2" t="s">
        <v>170</v>
      </c>
      <c r="D3154" s="20">
        <v>0</v>
      </c>
      <c r="E3154" s="2" t="s">
        <v>838</v>
      </c>
      <c r="F3154" s="2" t="s">
        <v>793</v>
      </c>
      <c r="G3154" s="2" t="s">
        <v>1012</v>
      </c>
      <c r="H3154" s="2" t="s">
        <v>1013</v>
      </c>
      <c r="J3154" s="26"/>
      <c r="K3154" s="36">
        <v>1.06901E-3</v>
      </c>
      <c r="L3154" s="23">
        <v>2.6725000000000002E-4</v>
      </c>
    </row>
    <row r="3155" spans="1:12" ht="15.35" hidden="1" x14ac:dyDescent="0.55000000000000004">
      <c r="A3155" s="20">
        <v>17372</v>
      </c>
      <c r="B3155" s="2" t="s">
        <v>169</v>
      </c>
      <c r="C3155" s="2" t="s">
        <v>170</v>
      </c>
      <c r="D3155" s="20">
        <v>0</v>
      </c>
      <c r="E3155" s="2" t="s">
        <v>838</v>
      </c>
      <c r="F3155" s="2" t="s">
        <v>787</v>
      </c>
      <c r="G3155" s="2" t="s">
        <v>968</v>
      </c>
      <c r="H3155" s="2" t="s">
        <v>968</v>
      </c>
      <c r="J3155" s="26"/>
      <c r="K3155" s="36">
        <v>4.4221499999999997E-3</v>
      </c>
      <c r="L3155" s="23">
        <v>1.1055399999999999E-3</v>
      </c>
    </row>
    <row r="3156" spans="1:12" ht="15.35" x14ac:dyDescent="0.55000000000000004">
      <c r="A3156" s="20">
        <v>16933</v>
      </c>
      <c r="B3156" s="2" t="s">
        <v>169</v>
      </c>
      <c r="C3156" s="2" t="s">
        <v>170</v>
      </c>
      <c r="D3156" s="20">
        <v>0</v>
      </c>
      <c r="E3156" s="2" t="s">
        <v>838</v>
      </c>
      <c r="F3156" s="2" t="s">
        <v>793</v>
      </c>
      <c r="G3156" s="2" t="s">
        <v>3485</v>
      </c>
      <c r="J3156" s="26"/>
      <c r="K3156" s="36">
        <v>1.0650499999999999E-3</v>
      </c>
      <c r="L3156" s="23">
        <v>2.6625999999999999E-4</v>
      </c>
    </row>
    <row r="3157" spans="1:12" ht="15.35" x14ac:dyDescent="0.55000000000000004">
      <c r="A3157" s="20">
        <v>17699</v>
      </c>
      <c r="B3157" s="2" t="s">
        <v>169</v>
      </c>
      <c r="C3157" s="2" t="s">
        <v>170</v>
      </c>
      <c r="D3157" s="20">
        <v>0</v>
      </c>
      <c r="E3157" s="2" t="s">
        <v>838</v>
      </c>
      <c r="F3157" s="2" t="s">
        <v>793</v>
      </c>
      <c r="G3157" s="2" t="s">
        <v>3486</v>
      </c>
      <c r="J3157" s="26"/>
      <c r="K3157" s="36">
        <v>1.9162999999999999E-3</v>
      </c>
      <c r="L3157" s="23">
        <v>4.7907000000000001E-4</v>
      </c>
    </row>
    <row r="3158" spans="1:12" ht="15.35" x14ac:dyDescent="0.55000000000000004">
      <c r="A3158" s="20">
        <v>17208</v>
      </c>
      <c r="B3158" s="2" t="s">
        <v>169</v>
      </c>
      <c r="C3158" s="2" t="s">
        <v>170</v>
      </c>
      <c r="D3158" s="20">
        <v>0</v>
      </c>
      <c r="E3158" s="2" t="s">
        <v>838</v>
      </c>
      <c r="F3158" s="2" t="s">
        <v>793</v>
      </c>
      <c r="G3158" s="2" t="s">
        <v>3487</v>
      </c>
      <c r="J3158" s="26"/>
      <c r="K3158" s="36">
        <v>1.0650499999999999E-3</v>
      </c>
      <c r="L3158" s="23">
        <v>2.6625999999999999E-4</v>
      </c>
    </row>
    <row r="3159" spans="1:12" ht="15.35" hidden="1" x14ac:dyDescent="0.55000000000000004">
      <c r="A3159" s="20">
        <v>17491</v>
      </c>
      <c r="B3159" s="2" t="s">
        <v>169</v>
      </c>
      <c r="C3159" s="2" t="s">
        <v>170</v>
      </c>
      <c r="D3159" s="20">
        <v>0</v>
      </c>
      <c r="E3159" s="2" t="s">
        <v>838</v>
      </c>
      <c r="F3159" s="2" t="s">
        <v>789</v>
      </c>
      <c r="G3159" s="2" t="s">
        <v>1872</v>
      </c>
      <c r="H3159" s="2" t="s">
        <v>1872</v>
      </c>
      <c r="J3159" s="26"/>
      <c r="K3159" s="36">
        <v>3.3258200000000002E-3</v>
      </c>
      <c r="L3159" s="23">
        <v>8.3146000000000001E-4</v>
      </c>
    </row>
    <row r="3160" spans="1:12" ht="15.35" hidden="1" x14ac:dyDescent="0.55000000000000004">
      <c r="A3160" s="20">
        <v>17232</v>
      </c>
      <c r="B3160" s="2" t="s">
        <v>169</v>
      </c>
      <c r="C3160" s="2" t="s">
        <v>170</v>
      </c>
      <c r="D3160" s="20">
        <v>0</v>
      </c>
      <c r="E3160" s="2" t="s">
        <v>838</v>
      </c>
      <c r="F3160" s="2" t="s">
        <v>789</v>
      </c>
      <c r="G3160" s="2" t="s">
        <v>2811</v>
      </c>
      <c r="H3160" s="2" t="s">
        <v>1015</v>
      </c>
      <c r="J3160" s="26"/>
      <c r="K3160" s="36">
        <v>4.4221499999999997E-3</v>
      </c>
      <c r="L3160" s="23">
        <v>1.1055399999999999E-3</v>
      </c>
    </row>
    <row r="3161" spans="1:12" ht="15.35" hidden="1" x14ac:dyDescent="0.55000000000000004">
      <c r="A3161" s="20">
        <v>17195</v>
      </c>
      <c r="B3161" s="2" t="s">
        <v>169</v>
      </c>
      <c r="C3161" s="2" t="s">
        <v>170</v>
      </c>
      <c r="D3161" s="20">
        <v>0</v>
      </c>
      <c r="E3161" s="2" t="s">
        <v>838</v>
      </c>
      <c r="F3161" s="2" t="s">
        <v>789</v>
      </c>
      <c r="G3161" s="2" t="s">
        <v>2812</v>
      </c>
      <c r="H3161" s="2" t="s">
        <v>1015</v>
      </c>
      <c r="J3161" s="26"/>
      <c r="K3161" s="36">
        <v>4.4221499999999997E-3</v>
      </c>
      <c r="L3161" s="23">
        <v>1.1055399999999999E-3</v>
      </c>
    </row>
    <row r="3162" spans="1:12" ht="15.35" hidden="1" x14ac:dyDescent="0.55000000000000004">
      <c r="A3162" s="20">
        <v>16826</v>
      </c>
      <c r="B3162" s="2" t="s">
        <v>169</v>
      </c>
      <c r="C3162" s="2" t="s">
        <v>170</v>
      </c>
      <c r="D3162" s="20">
        <v>0</v>
      </c>
      <c r="E3162" s="2" t="s">
        <v>838</v>
      </c>
      <c r="F3162" s="2" t="s">
        <v>789</v>
      </c>
      <c r="G3162" s="2" t="s">
        <v>2813</v>
      </c>
      <c r="H3162" s="2" t="s">
        <v>1015</v>
      </c>
      <c r="J3162" s="26"/>
      <c r="K3162" s="36">
        <v>4.4221499999999997E-3</v>
      </c>
      <c r="L3162" s="23">
        <v>1.1055399999999999E-3</v>
      </c>
    </row>
    <row r="3163" spans="1:12" ht="15.35" hidden="1" x14ac:dyDescent="0.55000000000000004">
      <c r="A3163" s="20">
        <v>17665</v>
      </c>
      <c r="B3163" s="2" t="s">
        <v>169</v>
      </c>
      <c r="C3163" s="2" t="s">
        <v>170</v>
      </c>
      <c r="D3163" s="20">
        <v>0</v>
      </c>
      <c r="E3163" s="2" t="s">
        <v>838</v>
      </c>
      <c r="F3163" s="2" t="s">
        <v>789</v>
      </c>
      <c r="G3163" s="2" t="s">
        <v>1014</v>
      </c>
      <c r="H3163" s="2" t="s">
        <v>1015</v>
      </c>
      <c r="J3163" s="26"/>
      <c r="K3163" s="36">
        <v>4.4221499999999997E-3</v>
      </c>
      <c r="L3163" s="23">
        <v>1.1055399999999999E-3</v>
      </c>
    </row>
    <row r="3164" spans="1:12" ht="15.35" hidden="1" x14ac:dyDescent="0.55000000000000004">
      <c r="A3164" s="20">
        <v>16893</v>
      </c>
      <c r="B3164" s="2" t="s">
        <v>169</v>
      </c>
      <c r="C3164" s="2" t="s">
        <v>170</v>
      </c>
      <c r="D3164" s="20">
        <v>0</v>
      </c>
      <c r="E3164" s="2" t="s">
        <v>838</v>
      </c>
      <c r="F3164" s="2" t="s">
        <v>789</v>
      </c>
      <c r="G3164" s="2" t="s">
        <v>1234</v>
      </c>
      <c r="H3164" s="2" t="s">
        <v>1015</v>
      </c>
      <c r="J3164" s="26"/>
      <c r="K3164" s="36">
        <v>4.4221499999999997E-3</v>
      </c>
      <c r="L3164" s="23">
        <v>1.1055399999999999E-3</v>
      </c>
    </row>
    <row r="3165" spans="1:12" ht="15.35" hidden="1" x14ac:dyDescent="0.55000000000000004">
      <c r="A3165" s="20">
        <v>17410</v>
      </c>
      <c r="B3165" s="2" t="s">
        <v>169</v>
      </c>
      <c r="C3165" s="2" t="s">
        <v>170</v>
      </c>
      <c r="D3165" s="20">
        <v>0</v>
      </c>
      <c r="E3165" s="2" t="s">
        <v>838</v>
      </c>
      <c r="F3165" s="2" t="s">
        <v>789</v>
      </c>
      <c r="G3165" s="2" t="s">
        <v>1236</v>
      </c>
      <c r="H3165" s="2" t="s">
        <v>1021</v>
      </c>
      <c r="J3165" s="26"/>
      <c r="K3165" s="36">
        <v>4.4221499999999997E-3</v>
      </c>
      <c r="L3165" s="23">
        <v>1.1055399999999999E-3</v>
      </c>
    </row>
    <row r="3166" spans="1:12" ht="15.35" hidden="1" x14ac:dyDescent="0.55000000000000004">
      <c r="A3166" s="20">
        <v>17689</v>
      </c>
      <c r="B3166" s="2" t="s">
        <v>169</v>
      </c>
      <c r="C3166" s="2" t="s">
        <v>170</v>
      </c>
      <c r="D3166" s="20">
        <v>0</v>
      </c>
      <c r="E3166" s="2" t="s">
        <v>838</v>
      </c>
      <c r="F3166" s="2" t="s">
        <v>789</v>
      </c>
      <c r="G3166" s="2" t="s">
        <v>1237</v>
      </c>
      <c r="H3166" s="2" t="s">
        <v>1021</v>
      </c>
      <c r="J3166" s="26"/>
      <c r="K3166" s="36">
        <v>4.4221499999999997E-3</v>
      </c>
      <c r="L3166" s="23">
        <v>1.1055399999999999E-3</v>
      </c>
    </row>
    <row r="3167" spans="1:12" ht="15.35" hidden="1" x14ac:dyDescent="0.55000000000000004">
      <c r="A3167" s="20">
        <v>16864</v>
      </c>
      <c r="B3167" s="2" t="s">
        <v>169</v>
      </c>
      <c r="C3167" s="2" t="s">
        <v>170</v>
      </c>
      <c r="D3167" s="20">
        <v>0</v>
      </c>
      <c r="E3167" s="2" t="s">
        <v>838</v>
      </c>
      <c r="F3167" s="2" t="s">
        <v>789</v>
      </c>
      <c r="G3167" s="2" t="s">
        <v>1023</v>
      </c>
      <c r="H3167" s="2" t="s">
        <v>1021</v>
      </c>
      <c r="J3167" s="26"/>
      <c r="K3167" s="36">
        <v>4.4221499999999997E-3</v>
      </c>
      <c r="L3167" s="23">
        <v>1.1055399999999999E-3</v>
      </c>
    </row>
    <row r="3168" spans="1:12" ht="15.35" hidden="1" x14ac:dyDescent="0.55000000000000004">
      <c r="A3168" s="20">
        <v>17107</v>
      </c>
      <c r="B3168" s="2" t="s">
        <v>169</v>
      </c>
      <c r="C3168" s="2" t="s">
        <v>170</v>
      </c>
      <c r="D3168" s="20">
        <v>0</v>
      </c>
      <c r="E3168" s="2" t="s">
        <v>838</v>
      </c>
      <c r="F3168" s="2" t="s">
        <v>789</v>
      </c>
      <c r="G3168" s="2" t="s">
        <v>1238</v>
      </c>
      <c r="H3168" s="2" t="s">
        <v>1021</v>
      </c>
      <c r="J3168" s="26"/>
      <c r="K3168" s="36">
        <v>4.4221499999999997E-3</v>
      </c>
      <c r="L3168" s="23">
        <v>1.1055399999999999E-3</v>
      </c>
    </row>
    <row r="3169" spans="1:12" ht="15.35" hidden="1" x14ac:dyDescent="0.55000000000000004">
      <c r="A3169" s="20">
        <v>17374</v>
      </c>
      <c r="B3169" s="2" t="s">
        <v>169</v>
      </c>
      <c r="C3169" s="2" t="s">
        <v>170</v>
      </c>
      <c r="D3169" s="20">
        <v>0</v>
      </c>
      <c r="E3169" s="2" t="s">
        <v>838</v>
      </c>
      <c r="F3169" s="2" t="s">
        <v>789</v>
      </c>
      <c r="G3169" s="2" t="s">
        <v>3488</v>
      </c>
      <c r="H3169" s="2" t="s">
        <v>1241</v>
      </c>
      <c r="J3169" s="26"/>
      <c r="K3169" s="36">
        <v>2.2013699999999998E-3</v>
      </c>
      <c r="L3169" s="23">
        <v>5.5033999999999997E-4</v>
      </c>
    </row>
    <row r="3170" spans="1:12" ht="15.35" hidden="1" x14ac:dyDescent="0.55000000000000004">
      <c r="A3170" s="20">
        <v>16842</v>
      </c>
      <c r="B3170" s="2" t="s">
        <v>169</v>
      </c>
      <c r="C3170" s="2" t="s">
        <v>170</v>
      </c>
      <c r="D3170" s="20">
        <v>0</v>
      </c>
      <c r="E3170" s="2" t="s">
        <v>838</v>
      </c>
      <c r="F3170" s="2" t="s">
        <v>789</v>
      </c>
      <c r="G3170" s="2" t="s">
        <v>1242</v>
      </c>
      <c r="H3170" s="2" t="s">
        <v>840</v>
      </c>
      <c r="J3170" s="26"/>
      <c r="K3170" s="36">
        <v>4.4221499999999997E-3</v>
      </c>
      <c r="L3170" s="23">
        <v>1.1055399999999999E-3</v>
      </c>
    </row>
    <row r="3171" spans="1:12" ht="15.35" hidden="1" x14ac:dyDescent="0.55000000000000004">
      <c r="A3171" s="20">
        <v>17269</v>
      </c>
      <c r="B3171" s="2" t="s">
        <v>169</v>
      </c>
      <c r="C3171" s="2" t="s">
        <v>170</v>
      </c>
      <c r="D3171" s="20">
        <v>0</v>
      </c>
      <c r="E3171" s="2" t="s">
        <v>838</v>
      </c>
      <c r="F3171" s="2" t="s">
        <v>789</v>
      </c>
      <c r="G3171" s="2" t="s">
        <v>3489</v>
      </c>
      <c r="H3171" s="2" t="s">
        <v>840</v>
      </c>
      <c r="J3171" s="26"/>
      <c r="K3171" s="36">
        <v>4.4221499999999997E-3</v>
      </c>
      <c r="L3171" s="23">
        <v>1.1055399999999999E-3</v>
      </c>
    </row>
    <row r="3172" spans="1:12" ht="15.35" hidden="1" x14ac:dyDescent="0.55000000000000004">
      <c r="A3172" s="20">
        <v>17189</v>
      </c>
      <c r="B3172" s="2" t="s">
        <v>169</v>
      </c>
      <c r="C3172" s="2" t="s">
        <v>170</v>
      </c>
      <c r="D3172" s="20">
        <v>0</v>
      </c>
      <c r="E3172" s="2" t="s">
        <v>838</v>
      </c>
      <c r="F3172" s="2" t="s">
        <v>789</v>
      </c>
      <c r="G3172" s="2" t="s">
        <v>1878</v>
      </c>
      <c r="H3172" s="2" t="s">
        <v>840</v>
      </c>
      <c r="J3172" s="26"/>
      <c r="K3172" s="36">
        <v>4.4221499999999997E-3</v>
      </c>
      <c r="L3172" s="23">
        <v>1.1055399999999999E-3</v>
      </c>
    </row>
    <row r="3173" spans="1:12" ht="15.35" hidden="1" x14ac:dyDescent="0.55000000000000004">
      <c r="A3173" s="20">
        <v>17357</v>
      </c>
      <c r="B3173" s="2" t="s">
        <v>169</v>
      </c>
      <c r="C3173" s="2" t="s">
        <v>170</v>
      </c>
      <c r="D3173" s="20">
        <v>0</v>
      </c>
      <c r="E3173" s="2" t="s">
        <v>838</v>
      </c>
      <c r="F3173" s="2" t="s">
        <v>789</v>
      </c>
      <c r="G3173" s="2" t="s">
        <v>3490</v>
      </c>
      <c r="H3173" s="2" t="s">
        <v>840</v>
      </c>
      <c r="J3173" s="26"/>
      <c r="K3173" s="36">
        <v>4.4221499999999997E-3</v>
      </c>
      <c r="L3173" s="23">
        <v>1.1055399999999999E-3</v>
      </c>
    </row>
    <row r="3174" spans="1:12" ht="15.35" hidden="1" x14ac:dyDescent="0.55000000000000004">
      <c r="A3174" s="20">
        <v>17252</v>
      </c>
      <c r="B3174" s="2" t="s">
        <v>169</v>
      </c>
      <c r="C3174" s="2" t="s">
        <v>170</v>
      </c>
      <c r="D3174" s="20">
        <v>0</v>
      </c>
      <c r="E3174" s="2" t="s">
        <v>838</v>
      </c>
      <c r="F3174" s="2" t="s">
        <v>789</v>
      </c>
      <c r="G3174" s="2" t="s">
        <v>1243</v>
      </c>
      <c r="H3174" s="2" t="s">
        <v>971</v>
      </c>
      <c r="J3174" s="26"/>
      <c r="K3174" s="36">
        <v>4.41859E-3</v>
      </c>
      <c r="L3174" s="23">
        <v>1.10465E-3</v>
      </c>
    </row>
    <row r="3175" spans="1:12" ht="15.35" hidden="1" x14ac:dyDescent="0.55000000000000004">
      <c r="A3175" s="20">
        <v>17104</v>
      </c>
      <c r="B3175" s="2" t="s">
        <v>169</v>
      </c>
      <c r="C3175" s="2" t="s">
        <v>170</v>
      </c>
      <c r="D3175" s="20">
        <v>0</v>
      </c>
      <c r="E3175" s="2" t="s">
        <v>838</v>
      </c>
      <c r="F3175" s="2" t="s">
        <v>789</v>
      </c>
      <c r="G3175" s="2" t="s">
        <v>3491</v>
      </c>
      <c r="H3175" s="2" t="s">
        <v>971</v>
      </c>
      <c r="J3175" s="26"/>
      <c r="K3175" s="36">
        <v>4.4221499999999997E-3</v>
      </c>
      <c r="L3175" s="23">
        <v>1.1055399999999999E-3</v>
      </c>
    </row>
    <row r="3176" spans="1:12" ht="15.35" hidden="1" x14ac:dyDescent="0.55000000000000004">
      <c r="A3176" s="20">
        <v>17288</v>
      </c>
      <c r="B3176" s="2" t="s">
        <v>169</v>
      </c>
      <c r="C3176" s="2" t="s">
        <v>170</v>
      </c>
      <c r="D3176" s="20">
        <v>0</v>
      </c>
      <c r="E3176" s="2" t="s">
        <v>838</v>
      </c>
      <c r="F3176" s="2" t="s">
        <v>789</v>
      </c>
      <c r="G3176" s="2" t="s">
        <v>1882</v>
      </c>
      <c r="H3176" s="2" t="s">
        <v>1882</v>
      </c>
      <c r="J3176" s="26"/>
      <c r="K3176" s="36">
        <v>3.3258200000000002E-3</v>
      </c>
      <c r="L3176" s="23">
        <v>8.3146000000000001E-4</v>
      </c>
    </row>
    <row r="3177" spans="1:12" ht="15.35" hidden="1" x14ac:dyDescent="0.55000000000000004">
      <c r="A3177" s="20">
        <v>16930</v>
      </c>
      <c r="B3177" s="2" t="s">
        <v>169</v>
      </c>
      <c r="C3177" s="2" t="s">
        <v>170</v>
      </c>
      <c r="D3177" s="20">
        <v>0</v>
      </c>
      <c r="E3177" s="2" t="s">
        <v>838</v>
      </c>
      <c r="F3177" s="2" t="s">
        <v>789</v>
      </c>
      <c r="G3177" s="2" t="s">
        <v>2815</v>
      </c>
      <c r="H3177" s="2" t="s">
        <v>2816</v>
      </c>
      <c r="J3177" s="26"/>
      <c r="K3177" s="36">
        <v>3.9593099999999997E-3</v>
      </c>
      <c r="L3177" s="23">
        <v>9.8982999999999992E-4</v>
      </c>
    </row>
    <row r="3178" spans="1:12" ht="15.35" hidden="1" x14ac:dyDescent="0.55000000000000004">
      <c r="A3178" s="20">
        <v>17126</v>
      </c>
      <c r="B3178" s="2" t="s">
        <v>169</v>
      </c>
      <c r="C3178" s="2" t="s">
        <v>170</v>
      </c>
      <c r="D3178" s="20">
        <v>0</v>
      </c>
      <c r="E3178" s="2" t="s">
        <v>838</v>
      </c>
      <c r="F3178" s="2" t="s">
        <v>807</v>
      </c>
      <c r="G3178" s="2" t="s">
        <v>2829</v>
      </c>
      <c r="H3178" s="2" t="s">
        <v>1254</v>
      </c>
      <c r="J3178" s="26"/>
      <c r="K3178" s="36">
        <v>4.3552399999999998E-3</v>
      </c>
      <c r="L3178" s="23">
        <v>1.08881E-3</v>
      </c>
    </row>
    <row r="3179" spans="1:12" ht="15.35" hidden="1" x14ac:dyDescent="0.55000000000000004">
      <c r="A3179" s="20">
        <v>17724</v>
      </c>
      <c r="B3179" s="2" t="s">
        <v>169</v>
      </c>
      <c r="C3179" s="2" t="s">
        <v>170</v>
      </c>
      <c r="D3179" s="20">
        <v>0</v>
      </c>
      <c r="E3179" s="2" t="s">
        <v>838</v>
      </c>
      <c r="F3179" s="2" t="s">
        <v>807</v>
      </c>
      <c r="G3179" s="2" t="s">
        <v>2834</v>
      </c>
      <c r="H3179" s="2" t="s">
        <v>1254</v>
      </c>
      <c r="J3179" s="26"/>
      <c r="K3179" s="36">
        <v>5.1471000000000004E-4</v>
      </c>
      <c r="L3179" s="23">
        <v>1.2867999999999999E-4</v>
      </c>
    </row>
    <row r="3180" spans="1:12" ht="15.35" hidden="1" x14ac:dyDescent="0.55000000000000004">
      <c r="A3180" s="20">
        <v>17253</v>
      </c>
      <c r="B3180" s="2" t="s">
        <v>169</v>
      </c>
      <c r="C3180" s="2" t="s">
        <v>170</v>
      </c>
      <c r="D3180" s="20">
        <v>0</v>
      </c>
      <c r="E3180" s="2" t="s">
        <v>838</v>
      </c>
      <c r="F3180" s="2" t="s">
        <v>807</v>
      </c>
      <c r="G3180" s="2" t="s">
        <v>3492</v>
      </c>
      <c r="H3180" s="2" t="s">
        <v>1254</v>
      </c>
      <c r="J3180" s="26"/>
      <c r="K3180" s="36">
        <v>3.51586E-3</v>
      </c>
      <c r="L3180" s="23">
        <v>8.7896999999999997E-4</v>
      </c>
    </row>
    <row r="3181" spans="1:12" ht="15.35" hidden="1" x14ac:dyDescent="0.55000000000000004">
      <c r="A3181" s="20">
        <v>17256</v>
      </c>
      <c r="B3181" s="2" t="s">
        <v>169</v>
      </c>
      <c r="C3181" s="2" t="s">
        <v>170</v>
      </c>
      <c r="D3181" s="20">
        <v>0</v>
      </c>
      <c r="E3181" s="2" t="s">
        <v>838</v>
      </c>
      <c r="F3181" s="2" t="s">
        <v>807</v>
      </c>
      <c r="G3181" s="2" t="s">
        <v>2840</v>
      </c>
      <c r="H3181" s="2" t="s">
        <v>1254</v>
      </c>
      <c r="J3181" s="26"/>
      <c r="K3181" s="36">
        <v>4.4221499999999997E-3</v>
      </c>
      <c r="L3181" s="23">
        <v>1.1055399999999999E-3</v>
      </c>
    </row>
    <row r="3182" spans="1:12" ht="15.35" hidden="1" x14ac:dyDescent="0.55000000000000004">
      <c r="A3182" s="20">
        <v>17574</v>
      </c>
      <c r="B3182" s="2" t="s">
        <v>169</v>
      </c>
      <c r="C3182" s="2" t="s">
        <v>170</v>
      </c>
      <c r="D3182" s="20">
        <v>0</v>
      </c>
      <c r="E3182" s="2" t="s">
        <v>838</v>
      </c>
      <c r="F3182" s="2" t="s">
        <v>789</v>
      </c>
      <c r="G3182" s="2" t="s">
        <v>2842</v>
      </c>
      <c r="H3182" s="2" t="s">
        <v>2843</v>
      </c>
      <c r="J3182" s="26"/>
      <c r="K3182" s="36">
        <v>4.4221499999999997E-3</v>
      </c>
      <c r="L3182" s="23">
        <v>1.1055399999999999E-3</v>
      </c>
    </row>
    <row r="3183" spans="1:12" ht="15.35" hidden="1" x14ac:dyDescent="0.55000000000000004">
      <c r="A3183" s="20">
        <v>17161</v>
      </c>
      <c r="B3183" s="2" t="s">
        <v>169</v>
      </c>
      <c r="C3183" s="2" t="s">
        <v>170</v>
      </c>
      <c r="D3183" s="20">
        <v>0</v>
      </c>
      <c r="E3183" s="2" t="s">
        <v>838</v>
      </c>
      <c r="F3183" s="2" t="s">
        <v>789</v>
      </c>
      <c r="G3183" s="2" t="s">
        <v>1884</v>
      </c>
      <c r="H3183" s="2" t="s">
        <v>1885</v>
      </c>
      <c r="J3183" s="26"/>
      <c r="K3183" s="36">
        <v>1.00091E-3</v>
      </c>
      <c r="L3183" s="23">
        <v>2.5022999999999999E-4</v>
      </c>
    </row>
    <row r="3184" spans="1:12" ht="15.35" hidden="1" x14ac:dyDescent="0.55000000000000004">
      <c r="A3184" s="20">
        <v>17215</v>
      </c>
      <c r="B3184" s="2" t="s">
        <v>169</v>
      </c>
      <c r="C3184" s="2" t="s">
        <v>170</v>
      </c>
      <c r="D3184" s="20">
        <v>0</v>
      </c>
      <c r="E3184" s="2" t="s">
        <v>838</v>
      </c>
      <c r="F3184" s="2" t="s">
        <v>789</v>
      </c>
      <c r="G3184" s="2" t="s">
        <v>1886</v>
      </c>
      <c r="H3184" s="2" t="s">
        <v>1887</v>
      </c>
      <c r="J3184" s="26"/>
      <c r="K3184" s="36">
        <v>3.3258200000000002E-3</v>
      </c>
      <c r="L3184" s="23">
        <v>8.3146000000000001E-4</v>
      </c>
    </row>
    <row r="3185" spans="1:12" ht="15.35" hidden="1" x14ac:dyDescent="0.55000000000000004">
      <c r="A3185" s="20">
        <v>17571</v>
      </c>
      <c r="B3185" s="2" t="s">
        <v>169</v>
      </c>
      <c r="C3185" s="2" t="s">
        <v>170</v>
      </c>
      <c r="D3185" s="20">
        <v>0</v>
      </c>
      <c r="E3185" s="2" t="s">
        <v>838</v>
      </c>
      <c r="F3185" s="2" t="s">
        <v>789</v>
      </c>
      <c r="G3185" s="2" t="s">
        <v>3493</v>
      </c>
      <c r="H3185" s="2" t="s">
        <v>1256</v>
      </c>
      <c r="J3185" s="26"/>
      <c r="K3185" s="36">
        <v>3.1674400000000001E-3</v>
      </c>
      <c r="L3185" s="23">
        <v>7.9186000000000002E-4</v>
      </c>
    </row>
    <row r="3186" spans="1:12" ht="15.35" hidden="1" x14ac:dyDescent="0.55000000000000004">
      <c r="A3186" s="20">
        <v>17332</v>
      </c>
      <c r="B3186" s="2" t="s">
        <v>169</v>
      </c>
      <c r="C3186" s="2" t="s">
        <v>170</v>
      </c>
      <c r="D3186" s="20">
        <v>0</v>
      </c>
      <c r="E3186" s="2" t="s">
        <v>838</v>
      </c>
      <c r="F3186" s="2" t="s">
        <v>789</v>
      </c>
      <c r="G3186" s="2" t="s">
        <v>3494</v>
      </c>
      <c r="H3186" s="2" t="s">
        <v>1256</v>
      </c>
      <c r="J3186" s="26"/>
      <c r="K3186" s="36">
        <v>1.7816799999999999E-3</v>
      </c>
      <c r="L3186" s="23">
        <v>4.4541999999999997E-4</v>
      </c>
    </row>
    <row r="3187" spans="1:12" ht="15.35" hidden="1" x14ac:dyDescent="0.55000000000000004">
      <c r="A3187" s="20">
        <v>16962</v>
      </c>
      <c r="B3187" s="2" t="s">
        <v>169</v>
      </c>
      <c r="C3187" s="2" t="s">
        <v>170</v>
      </c>
      <c r="D3187" s="20">
        <v>0</v>
      </c>
      <c r="E3187" s="2" t="s">
        <v>838</v>
      </c>
      <c r="F3187" s="2" t="s">
        <v>789</v>
      </c>
      <c r="G3187" s="2" t="s">
        <v>1258</v>
      </c>
      <c r="H3187" s="2" t="s">
        <v>1256</v>
      </c>
      <c r="J3187" s="26"/>
      <c r="K3187" s="36">
        <v>4.4221499999999997E-3</v>
      </c>
      <c r="L3187" s="23">
        <v>1.1055399999999999E-3</v>
      </c>
    </row>
    <row r="3188" spans="1:12" ht="15.35" hidden="1" x14ac:dyDescent="0.55000000000000004">
      <c r="A3188" s="20">
        <v>17151</v>
      </c>
      <c r="B3188" s="2" t="s">
        <v>169</v>
      </c>
      <c r="C3188" s="2" t="s">
        <v>170</v>
      </c>
      <c r="D3188" s="20">
        <v>0</v>
      </c>
      <c r="E3188" s="2" t="s">
        <v>838</v>
      </c>
      <c r="F3188" s="2" t="s">
        <v>789</v>
      </c>
      <c r="G3188" s="2" t="s">
        <v>1888</v>
      </c>
      <c r="H3188" s="2" t="s">
        <v>1256</v>
      </c>
      <c r="J3188" s="26"/>
      <c r="K3188" s="36">
        <v>1.38575E-3</v>
      </c>
      <c r="L3188" s="23">
        <v>3.4644E-4</v>
      </c>
    </row>
    <row r="3189" spans="1:12" ht="15.35" hidden="1" x14ac:dyDescent="0.55000000000000004">
      <c r="A3189" s="20">
        <v>17137</v>
      </c>
      <c r="B3189" s="2" t="s">
        <v>169</v>
      </c>
      <c r="C3189" s="2" t="s">
        <v>170</v>
      </c>
      <c r="D3189" s="20">
        <v>0</v>
      </c>
      <c r="E3189" s="2" t="s">
        <v>838</v>
      </c>
      <c r="F3189" s="2" t="s">
        <v>789</v>
      </c>
      <c r="G3189" s="2" t="s">
        <v>3495</v>
      </c>
      <c r="H3189" s="2" t="s">
        <v>1256</v>
      </c>
      <c r="J3189" s="26"/>
      <c r="K3189" s="36">
        <v>4.4221499999999997E-3</v>
      </c>
      <c r="L3189" s="23">
        <v>1.1055399999999999E-3</v>
      </c>
    </row>
    <row r="3190" spans="1:12" ht="15.35" hidden="1" x14ac:dyDescent="0.55000000000000004">
      <c r="A3190" s="20">
        <v>17059</v>
      </c>
      <c r="B3190" s="2" t="s">
        <v>169</v>
      </c>
      <c r="C3190" s="2" t="s">
        <v>170</v>
      </c>
      <c r="D3190" s="20">
        <v>0</v>
      </c>
      <c r="E3190" s="2" t="s">
        <v>838</v>
      </c>
      <c r="F3190" s="2" t="s">
        <v>789</v>
      </c>
      <c r="G3190" s="2" t="s">
        <v>1260</v>
      </c>
      <c r="H3190" s="2" t="s">
        <v>1256</v>
      </c>
      <c r="J3190" s="26"/>
      <c r="K3190" s="36">
        <v>4.4221499999999997E-3</v>
      </c>
      <c r="L3190" s="23">
        <v>1.1055399999999999E-3</v>
      </c>
    </row>
    <row r="3191" spans="1:12" ht="15.35" hidden="1" x14ac:dyDescent="0.55000000000000004">
      <c r="A3191" s="20">
        <v>17424</v>
      </c>
      <c r="B3191" s="2" t="s">
        <v>169</v>
      </c>
      <c r="C3191" s="2" t="s">
        <v>170</v>
      </c>
      <c r="D3191" s="20">
        <v>0</v>
      </c>
      <c r="E3191" s="2" t="s">
        <v>838</v>
      </c>
      <c r="F3191" s="2" t="s">
        <v>789</v>
      </c>
      <c r="G3191" s="2" t="s">
        <v>1889</v>
      </c>
      <c r="H3191" s="2" t="s">
        <v>1256</v>
      </c>
      <c r="J3191" s="26"/>
      <c r="K3191" s="36">
        <v>2.37558E-3</v>
      </c>
      <c r="L3191" s="23">
        <v>5.9389000000000002E-4</v>
      </c>
    </row>
    <row r="3192" spans="1:12" ht="15.35" hidden="1" x14ac:dyDescent="0.55000000000000004">
      <c r="A3192" s="20">
        <v>17228</v>
      </c>
      <c r="B3192" s="2" t="s">
        <v>169</v>
      </c>
      <c r="C3192" s="2" t="s">
        <v>170</v>
      </c>
      <c r="D3192" s="20">
        <v>0</v>
      </c>
      <c r="E3192" s="2" t="s">
        <v>838</v>
      </c>
      <c r="F3192" s="2" t="s">
        <v>833</v>
      </c>
      <c r="G3192" s="2" t="s">
        <v>1263</v>
      </c>
      <c r="H3192" s="2" t="s">
        <v>1256</v>
      </c>
      <c r="J3192" s="26"/>
      <c r="K3192" s="36">
        <v>1.38575E-3</v>
      </c>
      <c r="L3192" s="23">
        <v>3.4644E-4</v>
      </c>
    </row>
    <row r="3193" spans="1:12" ht="15.35" hidden="1" x14ac:dyDescent="0.55000000000000004">
      <c r="A3193" s="20">
        <v>17577</v>
      </c>
      <c r="B3193" s="2" t="s">
        <v>169</v>
      </c>
      <c r="C3193" s="2" t="s">
        <v>170</v>
      </c>
      <c r="D3193" s="20">
        <v>0</v>
      </c>
      <c r="E3193" s="2" t="s">
        <v>838</v>
      </c>
      <c r="F3193" s="2" t="s">
        <v>793</v>
      </c>
      <c r="G3193" s="2" t="s">
        <v>3496</v>
      </c>
      <c r="H3193" s="2" t="s">
        <v>1265</v>
      </c>
      <c r="J3193" s="26"/>
      <c r="K3193" s="36">
        <v>6.0061999999999995E-4</v>
      </c>
      <c r="L3193" s="23">
        <v>1.5014999999999999E-4</v>
      </c>
    </row>
    <row r="3194" spans="1:12" ht="15.35" hidden="1" x14ac:dyDescent="0.55000000000000004">
      <c r="A3194" s="20">
        <v>17602</v>
      </c>
      <c r="B3194" s="2" t="s">
        <v>169</v>
      </c>
      <c r="C3194" s="2" t="s">
        <v>170</v>
      </c>
      <c r="D3194" s="20">
        <v>0</v>
      </c>
      <c r="E3194" s="2" t="s">
        <v>838</v>
      </c>
      <c r="F3194" s="2" t="s">
        <v>793</v>
      </c>
      <c r="G3194" s="2" t="s">
        <v>3497</v>
      </c>
      <c r="H3194" s="2" t="s">
        <v>1265</v>
      </c>
      <c r="J3194" s="26"/>
      <c r="K3194" s="36">
        <v>6.0061999999999995E-4</v>
      </c>
      <c r="L3194" s="23">
        <v>1.5014999999999999E-4</v>
      </c>
    </row>
    <row r="3195" spans="1:12" ht="15.35" hidden="1" x14ac:dyDescent="0.55000000000000004">
      <c r="A3195" s="20">
        <v>17492</v>
      </c>
      <c r="B3195" s="2" t="s">
        <v>169</v>
      </c>
      <c r="C3195" s="2" t="s">
        <v>170</v>
      </c>
      <c r="D3195" s="20">
        <v>0</v>
      </c>
      <c r="E3195" s="2" t="s">
        <v>838</v>
      </c>
      <c r="F3195" s="2" t="s">
        <v>793</v>
      </c>
      <c r="G3195" s="2" t="s">
        <v>3498</v>
      </c>
      <c r="H3195" s="2" t="s">
        <v>1265</v>
      </c>
      <c r="J3195" s="26"/>
      <c r="K3195" s="36">
        <v>6.0061999999999995E-4</v>
      </c>
      <c r="L3195" s="23">
        <v>1.5014999999999999E-4</v>
      </c>
    </row>
    <row r="3196" spans="1:12" ht="15.35" hidden="1" x14ac:dyDescent="0.55000000000000004">
      <c r="A3196" s="20">
        <v>17679</v>
      </c>
      <c r="B3196" s="2" t="s">
        <v>169</v>
      </c>
      <c r="C3196" s="2" t="s">
        <v>170</v>
      </c>
      <c r="D3196" s="20">
        <v>0</v>
      </c>
      <c r="E3196" s="2" t="s">
        <v>838</v>
      </c>
      <c r="F3196" s="2" t="s">
        <v>793</v>
      </c>
      <c r="G3196" s="2" t="s">
        <v>3499</v>
      </c>
      <c r="H3196" s="2" t="s">
        <v>1265</v>
      </c>
      <c r="J3196" s="26"/>
      <c r="K3196" s="36">
        <v>6.0061999999999995E-4</v>
      </c>
      <c r="L3196" s="23">
        <v>1.5014999999999999E-4</v>
      </c>
    </row>
    <row r="3197" spans="1:12" ht="15.35" hidden="1" x14ac:dyDescent="0.55000000000000004">
      <c r="A3197" s="20">
        <v>17315</v>
      </c>
      <c r="B3197" s="2" t="s">
        <v>169</v>
      </c>
      <c r="C3197" s="2" t="s">
        <v>170</v>
      </c>
      <c r="D3197" s="20">
        <v>0</v>
      </c>
      <c r="E3197" s="2" t="s">
        <v>838</v>
      </c>
      <c r="F3197" s="2" t="s">
        <v>793</v>
      </c>
      <c r="G3197" s="2" t="s">
        <v>3500</v>
      </c>
      <c r="H3197" s="2" t="s">
        <v>1265</v>
      </c>
      <c r="J3197" s="26"/>
      <c r="K3197" s="36">
        <v>2.8031900000000001E-3</v>
      </c>
      <c r="L3197" s="23">
        <v>7.0080000000000001E-4</v>
      </c>
    </row>
    <row r="3198" spans="1:12" ht="15.35" hidden="1" x14ac:dyDescent="0.55000000000000004">
      <c r="A3198" s="20">
        <v>16971</v>
      </c>
      <c r="B3198" s="2" t="s">
        <v>169</v>
      </c>
      <c r="C3198" s="2" t="s">
        <v>170</v>
      </c>
      <c r="D3198" s="20">
        <v>0</v>
      </c>
      <c r="E3198" s="2" t="s">
        <v>838</v>
      </c>
      <c r="F3198" s="2" t="s">
        <v>793</v>
      </c>
      <c r="G3198" s="2" t="s">
        <v>3501</v>
      </c>
      <c r="H3198" s="2" t="s">
        <v>1265</v>
      </c>
      <c r="J3198" s="26"/>
      <c r="K3198" s="36">
        <v>1.9796499999999999E-3</v>
      </c>
      <c r="L3198" s="23">
        <v>4.9490999999999999E-4</v>
      </c>
    </row>
    <row r="3199" spans="1:12" ht="15.35" hidden="1" x14ac:dyDescent="0.55000000000000004">
      <c r="A3199" s="20">
        <v>17231</v>
      </c>
      <c r="B3199" s="2" t="s">
        <v>169</v>
      </c>
      <c r="C3199" s="2" t="s">
        <v>170</v>
      </c>
      <c r="D3199" s="20">
        <v>0</v>
      </c>
      <c r="E3199" s="2" t="s">
        <v>838</v>
      </c>
      <c r="F3199" s="2" t="s">
        <v>793</v>
      </c>
      <c r="G3199" s="2" t="s">
        <v>1264</v>
      </c>
      <c r="H3199" s="2" t="s">
        <v>1265</v>
      </c>
      <c r="J3199" s="26"/>
      <c r="K3199" s="36">
        <v>1.3382400000000001E-3</v>
      </c>
      <c r="L3199" s="23">
        <v>3.3456000000000002E-4</v>
      </c>
    </row>
    <row r="3200" spans="1:12" ht="15.35" hidden="1" x14ac:dyDescent="0.55000000000000004">
      <c r="A3200" s="20">
        <v>17078</v>
      </c>
      <c r="B3200" s="2" t="s">
        <v>169</v>
      </c>
      <c r="C3200" s="2" t="s">
        <v>170</v>
      </c>
      <c r="D3200" s="20">
        <v>0</v>
      </c>
      <c r="E3200" s="2" t="s">
        <v>838</v>
      </c>
      <c r="F3200" s="2" t="s">
        <v>793</v>
      </c>
      <c r="G3200" s="2" t="s">
        <v>3502</v>
      </c>
      <c r="H3200" s="2" t="s">
        <v>1265</v>
      </c>
      <c r="J3200" s="26"/>
      <c r="K3200" s="36">
        <v>6.3347999999999996E-4</v>
      </c>
      <c r="L3200" s="23">
        <v>1.5836999999999999E-4</v>
      </c>
    </row>
    <row r="3201" spans="1:12" ht="15.35" hidden="1" x14ac:dyDescent="0.55000000000000004">
      <c r="A3201" s="20">
        <v>17175</v>
      </c>
      <c r="B3201" s="2" t="s">
        <v>169</v>
      </c>
      <c r="C3201" s="2" t="s">
        <v>170</v>
      </c>
      <c r="D3201" s="20">
        <v>0</v>
      </c>
      <c r="E3201" s="2" t="s">
        <v>838</v>
      </c>
      <c r="F3201" s="2" t="s">
        <v>793</v>
      </c>
      <c r="G3201" s="2" t="s">
        <v>1266</v>
      </c>
      <c r="H3201" s="2" t="s">
        <v>1265</v>
      </c>
      <c r="J3201" s="26"/>
      <c r="K3201" s="36">
        <v>6.3347999999999996E-4</v>
      </c>
      <c r="L3201" s="23">
        <v>1.5836999999999999E-4</v>
      </c>
    </row>
    <row r="3202" spans="1:12" ht="15.35" hidden="1" x14ac:dyDescent="0.55000000000000004">
      <c r="A3202" s="20">
        <v>17657</v>
      </c>
      <c r="B3202" s="2" t="s">
        <v>169</v>
      </c>
      <c r="C3202" s="2" t="s">
        <v>170</v>
      </c>
      <c r="D3202" s="20">
        <v>0</v>
      </c>
      <c r="E3202" s="2" t="s">
        <v>838</v>
      </c>
      <c r="F3202" s="2" t="s">
        <v>793</v>
      </c>
      <c r="G3202" s="2" t="s">
        <v>3503</v>
      </c>
      <c r="H3202" s="2" t="s">
        <v>3504</v>
      </c>
      <c r="J3202" s="26"/>
      <c r="K3202" s="36">
        <v>1.9954E-4</v>
      </c>
      <c r="L3202" s="23">
        <v>4.9879999999999997E-5</v>
      </c>
    </row>
    <row r="3203" spans="1:12" ht="15.35" hidden="1" x14ac:dyDescent="0.55000000000000004">
      <c r="A3203" s="20">
        <v>17405</v>
      </c>
      <c r="B3203" s="2" t="s">
        <v>169</v>
      </c>
      <c r="C3203" s="2" t="s">
        <v>170</v>
      </c>
      <c r="D3203" s="20">
        <v>0</v>
      </c>
      <c r="E3203" s="2" t="s">
        <v>838</v>
      </c>
      <c r="F3203" s="2" t="s">
        <v>789</v>
      </c>
      <c r="G3203" s="2" t="s">
        <v>1897</v>
      </c>
      <c r="H3203" s="2" t="s">
        <v>1029</v>
      </c>
      <c r="J3203" s="26"/>
      <c r="K3203" s="36">
        <v>2.0191999999999999E-4</v>
      </c>
      <c r="L3203" s="23">
        <v>5.0479999999999998E-5</v>
      </c>
    </row>
    <row r="3204" spans="1:12" ht="15.35" hidden="1" x14ac:dyDescent="0.55000000000000004">
      <c r="A3204" s="20">
        <v>17435</v>
      </c>
      <c r="B3204" s="2" t="s">
        <v>169</v>
      </c>
      <c r="C3204" s="2" t="s">
        <v>170</v>
      </c>
      <c r="D3204" s="20">
        <v>0</v>
      </c>
      <c r="E3204" s="2" t="s">
        <v>838</v>
      </c>
      <c r="F3204" s="2" t="s">
        <v>787</v>
      </c>
      <c r="G3204" s="2" t="s">
        <v>1270</v>
      </c>
      <c r="H3204" s="2" t="s">
        <v>1270</v>
      </c>
      <c r="J3204" s="26"/>
      <c r="K3204" s="36">
        <v>4.4221499999999997E-3</v>
      </c>
      <c r="L3204" s="23">
        <v>1.1055399999999999E-3</v>
      </c>
    </row>
    <row r="3205" spans="1:12" ht="15.35" hidden="1" x14ac:dyDescent="0.55000000000000004">
      <c r="A3205" s="20">
        <v>17513</v>
      </c>
      <c r="B3205" s="2" t="s">
        <v>169</v>
      </c>
      <c r="C3205" s="2" t="s">
        <v>170</v>
      </c>
      <c r="D3205" s="20">
        <v>0</v>
      </c>
      <c r="E3205" s="2" t="s">
        <v>838</v>
      </c>
      <c r="F3205" s="2" t="s">
        <v>793</v>
      </c>
      <c r="G3205" s="2" t="s">
        <v>2847</v>
      </c>
      <c r="H3205" s="2" t="s">
        <v>1270</v>
      </c>
      <c r="J3205" s="26"/>
      <c r="K3205" s="36">
        <v>1.9796000000000001E-4</v>
      </c>
      <c r="L3205" s="23">
        <v>4.9490000000000002E-5</v>
      </c>
    </row>
    <row r="3206" spans="1:12" ht="15.35" hidden="1" x14ac:dyDescent="0.55000000000000004">
      <c r="A3206" s="20">
        <v>17334</v>
      </c>
      <c r="B3206" s="2" t="s">
        <v>169</v>
      </c>
      <c r="C3206" s="2" t="s">
        <v>170</v>
      </c>
      <c r="D3206" s="20">
        <v>0</v>
      </c>
      <c r="E3206" s="2" t="s">
        <v>838</v>
      </c>
      <c r="F3206" s="2" t="s">
        <v>817</v>
      </c>
      <c r="G3206" s="2" t="s">
        <v>1030</v>
      </c>
      <c r="H3206" s="2" t="s">
        <v>1031</v>
      </c>
      <c r="J3206" s="26"/>
      <c r="K3206" s="36">
        <v>1.0013000000000001E-3</v>
      </c>
      <c r="L3206" s="23">
        <v>2.5033E-4</v>
      </c>
    </row>
    <row r="3207" spans="1:12" ht="15.35" hidden="1" x14ac:dyDescent="0.55000000000000004">
      <c r="A3207" s="20">
        <v>17686</v>
      </c>
      <c r="B3207" s="2" t="s">
        <v>169</v>
      </c>
      <c r="C3207" s="2" t="s">
        <v>170</v>
      </c>
      <c r="D3207" s="20">
        <v>0</v>
      </c>
      <c r="E3207" s="2" t="s">
        <v>838</v>
      </c>
      <c r="F3207" s="2" t="s">
        <v>817</v>
      </c>
      <c r="G3207" s="2" t="s">
        <v>3505</v>
      </c>
      <c r="H3207" s="2" t="s">
        <v>1031</v>
      </c>
      <c r="J3207" s="26"/>
      <c r="K3207" s="36">
        <v>4.0027999999999998E-4</v>
      </c>
      <c r="L3207" s="23">
        <v>1.0007E-4</v>
      </c>
    </row>
    <row r="3208" spans="1:12" ht="15.35" hidden="1" x14ac:dyDescent="0.55000000000000004">
      <c r="A3208" s="20">
        <v>17181</v>
      </c>
      <c r="B3208" s="2" t="s">
        <v>169</v>
      </c>
      <c r="C3208" s="2" t="s">
        <v>170</v>
      </c>
      <c r="D3208" s="20">
        <v>0</v>
      </c>
      <c r="E3208" s="2" t="s">
        <v>838</v>
      </c>
      <c r="F3208" s="2" t="s">
        <v>817</v>
      </c>
      <c r="G3208" s="2" t="s">
        <v>2848</v>
      </c>
      <c r="H3208" s="2" t="s">
        <v>1031</v>
      </c>
      <c r="J3208" s="26"/>
      <c r="K3208" s="36">
        <v>9.3439E-4</v>
      </c>
      <c r="L3208" s="23">
        <v>2.3360000000000001E-4</v>
      </c>
    </row>
    <row r="3209" spans="1:12" ht="15.35" hidden="1" x14ac:dyDescent="0.55000000000000004">
      <c r="A3209" s="20">
        <v>17301</v>
      </c>
      <c r="B3209" s="2" t="s">
        <v>169</v>
      </c>
      <c r="C3209" s="2" t="s">
        <v>170</v>
      </c>
      <c r="D3209" s="20">
        <v>0</v>
      </c>
      <c r="E3209" s="2" t="s">
        <v>838</v>
      </c>
      <c r="F3209" s="2" t="s">
        <v>817</v>
      </c>
      <c r="G3209" s="2" t="s">
        <v>3506</v>
      </c>
      <c r="H3209" s="2" t="s">
        <v>1031</v>
      </c>
      <c r="J3209" s="26"/>
      <c r="K3209" s="36">
        <v>8.6788000000000002E-4</v>
      </c>
      <c r="L3209" s="23">
        <v>2.1697E-4</v>
      </c>
    </row>
    <row r="3210" spans="1:12" ht="15.35" hidden="1" x14ac:dyDescent="0.55000000000000004">
      <c r="A3210" s="20">
        <v>17004</v>
      </c>
      <c r="B3210" s="2" t="s">
        <v>169</v>
      </c>
      <c r="C3210" s="2" t="s">
        <v>170</v>
      </c>
      <c r="D3210" s="20">
        <v>0</v>
      </c>
      <c r="E3210" s="2" t="s">
        <v>838</v>
      </c>
      <c r="F3210" s="2" t="s">
        <v>817</v>
      </c>
      <c r="G3210" s="2" t="s">
        <v>3507</v>
      </c>
      <c r="H3210" s="2" t="s">
        <v>1031</v>
      </c>
      <c r="J3210" s="26"/>
      <c r="K3210" s="36">
        <v>8.0374000000000005E-4</v>
      </c>
      <c r="L3210" s="23">
        <v>2.0094000000000001E-4</v>
      </c>
    </row>
    <row r="3211" spans="1:12" ht="15.35" hidden="1" x14ac:dyDescent="0.55000000000000004">
      <c r="A3211" s="20">
        <v>17426</v>
      </c>
      <c r="B3211" s="2" t="s">
        <v>169</v>
      </c>
      <c r="C3211" s="2" t="s">
        <v>170</v>
      </c>
      <c r="D3211" s="20">
        <v>0</v>
      </c>
      <c r="E3211" s="2" t="s">
        <v>838</v>
      </c>
      <c r="F3211" s="2" t="s">
        <v>793</v>
      </c>
      <c r="G3211" s="2" t="s">
        <v>3508</v>
      </c>
      <c r="H3211" s="2" t="s">
        <v>1276</v>
      </c>
      <c r="J3211" s="26"/>
      <c r="K3211" s="36">
        <v>6.6516000000000004E-4</v>
      </c>
      <c r="L3211" s="23">
        <v>1.6629000000000001E-4</v>
      </c>
    </row>
    <row r="3212" spans="1:12" ht="15.35" hidden="1" x14ac:dyDescent="0.55000000000000004">
      <c r="A3212" s="20">
        <v>16833</v>
      </c>
      <c r="B3212" s="2" t="s">
        <v>169</v>
      </c>
      <c r="C3212" s="2" t="s">
        <v>170</v>
      </c>
      <c r="D3212" s="20">
        <v>0</v>
      </c>
      <c r="E3212" s="2" t="s">
        <v>838</v>
      </c>
      <c r="F3212" s="2" t="s">
        <v>3509</v>
      </c>
      <c r="G3212" s="2" t="s">
        <v>3510</v>
      </c>
      <c r="H3212" s="2" t="s">
        <v>1903</v>
      </c>
      <c r="J3212" s="26"/>
      <c r="K3212" s="36">
        <v>4.0899000000000003E-4</v>
      </c>
      <c r="L3212" s="23">
        <v>1.0225000000000001E-4</v>
      </c>
    </row>
    <row r="3213" spans="1:12" ht="15.35" hidden="1" x14ac:dyDescent="0.55000000000000004">
      <c r="A3213" s="20">
        <v>17119</v>
      </c>
      <c r="B3213" s="2" t="s">
        <v>169</v>
      </c>
      <c r="C3213" s="2" t="s">
        <v>170</v>
      </c>
      <c r="D3213" s="20">
        <v>0</v>
      </c>
      <c r="E3213" s="2" t="s">
        <v>838</v>
      </c>
      <c r="F3213" s="2" t="s">
        <v>793</v>
      </c>
      <c r="G3213" s="2" t="s">
        <v>2849</v>
      </c>
      <c r="H3213" s="2" t="s">
        <v>1905</v>
      </c>
      <c r="J3213" s="26"/>
      <c r="K3213" s="36">
        <v>3.2862000000000001E-4</v>
      </c>
      <c r="L3213" s="23">
        <v>8.2159999999999999E-5</v>
      </c>
    </row>
    <row r="3214" spans="1:12" ht="15.35" hidden="1" x14ac:dyDescent="0.55000000000000004">
      <c r="A3214" s="20">
        <v>17302</v>
      </c>
      <c r="B3214" s="2" t="s">
        <v>169</v>
      </c>
      <c r="C3214" s="2" t="s">
        <v>170</v>
      </c>
      <c r="D3214" s="20">
        <v>0</v>
      </c>
      <c r="E3214" s="2" t="s">
        <v>838</v>
      </c>
      <c r="F3214" s="2" t="s">
        <v>787</v>
      </c>
      <c r="G3214" s="2" t="s">
        <v>1278</v>
      </c>
      <c r="H3214" s="2" t="s">
        <v>1278</v>
      </c>
      <c r="J3214" s="26"/>
      <c r="K3214" s="36">
        <v>4.4221499999999997E-3</v>
      </c>
      <c r="L3214" s="23">
        <v>1.1055399999999999E-3</v>
      </c>
    </row>
    <row r="3215" spans="1:12" ht="15.35" hidden="1" x14ac:dyDescent="0.55000000000000004">
      <c r="A3215" s="20">
        <v>17445</v>
      </c>
      <c r="B3215" s="2" t="s">
        <v>169</v>
      </c>
      <c r="C3215" s="2" t="s">
        <v>170</v>
      </c>
      <c r="D3215" s="20">
        <v>0</v>
      </c>
      <c r="E3215" s="2" t="s">
        <v>838</v>
      </c>
      <c r="F3215" s="2" t="s">
        <v>817</v>
      </c>
      <c r="G3215" s="2" t="s">
        <v>2850</v>
      </c>
      <c r="H3215" s="2" t="s">
        <v>1284</v>
      </c>
      <c r="J3215" s="26"/>
      <c r="K3215" s="36">
        <v>4.4221499999999997E-3</v>
      </c>
      <c r="L3215" s="23">
        <v>1.1055399999999999E-3</v>
      </c>
    </row>
    <row r="3216" spans="1:12" ht="15.35" hidden="1" x14ac:dyDescent="0.55000000000000004">
      <c r="A3216" s="20">
        <v>16879</v>
      </c>
      <c r="B3216" s="2" t="s">
        <v>169</v>
      </c>
      <c r="C3216" s="2" t="s">
        <v>170</v>
      </c>
      <c r="D3216" s="20">
        <v>0</v>
      </c>
      <c r="E3216" s="2" t="s">
        <v>838</v>
      </c>
      <c r="F3216" s="2" t="s">
        <v>817</v>
      </c>
      <c r="G3216" s="2" t="s">
        <v>3511</v>
      </c>
      <c r="H3216" s="2" t="s">
        <v>1284</v>
      </c>
      <c r="J3216" s="26"/>
      <c r="K3216" s="36">
        <v>4.4221499999999997E-3</v>
      </c>
      <c r="L3216" s="23">
        <v>1.1055399999999999E-3</v>
      </c>
    </row>
    <row r="3217" spans="1:12" ht="15.35" hidden="1" x14ac:dyDescent="0.55000000000000004">
      <c r="A3217" s="20">
        <v>17327</v>
      </c>
      <c r="B3217" s="2" t="s">
        <v>169</v>
      </c>
      <c r="C3217" s="2" t="s">
        <v>170</v>
      </c>
      <c r="D3217" s="20">
        <v>0</v>
      </c>
      <c r="E3217" s="2" t="s">
        <v>838</v>
      </c>
      <c r="F3217" s="2" t="s">
        <v>817</v>
      </c>
      <c r="G3217" s="2" t="s">
        <v>3512</v>
      </c>
      <c r="H3217" s="2" t="s">
        <v>1284</v>
      </c>
      <c r="J3217" s="26"/>
      <c r="K3217" s="36">
        <v>5.8597E-4</v>
      </c>
      <c r="L3217" s="23">
        <v>1.4648999999999999E-4</v>
      </c>
    </row>
    <row r="3218" spans="1:12" ht="15.35" hidden="1" x14ac:dyDescent="0.55000000000000004">
      <c r="A3218" s="20">
        <v>17325</v>
      </c>
      <c r="B3218" s="2" t="s">
        <v>169</v>
      </c>
      <c r="C3218" s="2" t="s">
        <v>170</v>
      </c>
      <c r="D3218" s="20">
        <v>0</v>
      </c>
      <c r="E3218" s="2" t="s">
        <v>838</v>
      </c>
      <c r="F3218" s="2" t="s">
        <v>817</v>
      </c>
      <c r="G3218" s="2" t="s">
        <v>3513</v>
      </c>
      <c r="H3218" s="2" t="s">
        <v>1284</v>
      </c>
      <c r="J3218" s="26"/>
      <c r="K3218" s="36">
        <v>6.6516000000000004E-4</v>
      </c>
      <c r="L3218" s="23">
        <v>1.6629000000000001E-4</v>
      </c>
    </row>
    <row r="3219" spans="1:12" ht="15.35" hidden="1" x14ac:dyDescent="0.55000000000000004">
      <c r="A3219" s="20">
        <v>17127</v>
      </c>
      <c r="B3219" s="2" t="s">
        <v>169</v>
      </c>
      <c r="C3219" s="2" t="s">
        <v>170</v>
      </c>
      <c r="D3219" s="20">
        <v>0</v>
      </c>
      <c r="E3219" s="2" t="s">
        <v>838</v>
      </c>
      <c r="F3219" s="2" t="s">
        <v>789</v>
      </c>
      <c r="G3219" s="2" t="s">
        <v>3514</v>
      </c>
      <c r="H3219" s="2" t="s">
        <v>1909</v>
      </c>
      <c r="J3219" s="26"/>
      <c r="K3219" s="36">
        <v>8.0057000000000001E-4</v>
      </c>
      <c r="L3219" s="23">
        <v>2.0013999999999999E-4</v>
      </c>
    </row>
    <row r="3220" spans="1:12" ht="15.35" hidden="1" x14ac:dyDescent="0.55000000000000004">
      <c r="A3220" s="20">
        <v>17558</v>
      </c>
      <c r="B3220" s="2" t="s">
        <v>169</v>
      </c>
      <c r="C3220" s="2" t="s">
        <v>170</v>
      </c>
      <c r="D3220" s="20">
        <v>0</v>
      </c>
      <c r="E3220" s="2" t="s">
        <v>838</v>
      </c>
      <c r="F3220" s="2" t="s">
        <v>848</v>
      </c>
      <c r="G3220" s="2" t="s">
        <v>906</v>
      </c>
      <c r="H3220" s="2" t="s">
        <v>906</v>
      </c>
      <c r="J3220" s="26"/>
      <c r="K3220" s="36">
        <v>1.30657E-3</v>
      </c>
      <c r="L3220" s="23">
        <v>3.2664E-4</v>
      </c>
    </row>
    <row r="3221" spans="1:12" ht="15.35" hidden="1" x14ac:dyDescent="0.55000000000000004">
      <c r="A3221" s="20">
        <v>16850</v>
      </c>
      <c r="B3221" s="2" t="s">
        <v>169</v>
      </c>
      <c r="C3221" s="2" t="s">
        <v>170</v>
      </c>
      <c r="D3221" s="20">
        <v>0</v>
      </c>
      <c r="E3221" s="2" t="s">
        <v>838</v>
      </c>
      <c r="F3221" s="2" t="s">
        <v>793</v>
      </c>
      <c r="G3221" s="2" t="s">
        <v>3515</v>
      </c>
      <c r="H3221" s="2" t="s">
        <v>892</v>
      </c>
      <c r="J3221" s="26"/>
      <c r="K3221" s="36">
        <v>1.9994000000000001E-4</v>
      </c>
      <c r="L3221" s="23">
        <v>4.9990000000000001E-5</v>
      </c>
    </row>
    <row r="3222" spans="1:12" ht="15.35" hidden="1" x14ac:dyDescent="0.55000000000000004">
      <c r="A3222" s="20">
        <v>17517</v>
      </c>
      <c r="B3222" s="2" t="s">
        <v>169</v>
      </c>
      <c r="C3222" s="2" t="s">
        <v>170</v>
      </c>
      <c r="D3222" s="20">
        <v>0</v>
      </c>
      <c r="E3222" s="2" t="s">
        <v>838</v>
      </c>
      <c r="F3222" s="2" t="s">
        <v>793</v>
      </c>
      <c r="G3222" s="2" t="s">
        <v>3516</v>
      </c>
      <c r="H3222" s="2" t="s">
        <v>892</v>
      </c>
      <c r="J3222" s="26"/>
      <c r="K3222" s="36">
        <v>7.4430000000000004E-5</v>
      </c>
      <c r="L3222" s="23">
        <v>1.861E-5</v>
      </c>
    </row>
    <row r="3223" spans="1:12" ht="15.35" hidden="1" x14ac:dyDescent="0.55000000000000004">
      <c r="A3223" s="20">
        <v>17257</v>
      </c>
      <c r="B3223" s="2" t="s">
        <v>169</v>
      </c>
      <c r="C3223" s="2" t="s">
        <v>170</v>
      </c>
      <c r="D3223" s="20">
        <v>0</v>
      </c>
      <c r="E3223" s="2" t="s">
        <v>838</v>
      </c>
      <c r="F3223" s="2" t="s">
        <v>793</v>
      </c>
      <c r="G3223" s="2" t="s">
        <v>3517</v>
      </c>
      <c r="H3223" s="2" t="s">
        <v>892</v>
      </c>
      <c r="J3223" s="26"/>
      <c r="K3223" s="36">
        <v>7.6810000000000005E-5</v>
      </c>
      <c r="L3223" s="23">
        <v>1.9199999999999999E-5</v>
      </c>
    </row>
    <row r="3224" spans="1:12" ht="15.35" hidden="1" x14ac:dyDescent="0.55000000000000004">
      <c r="A3224" s="20">
        <v>17664</v>
      </c>
      <c r="B3224" s="2" t="s">
        <v>169</v>
      </c>
      <c r="C3224" s="2" t="s">
        <v>170</v>
      </c>
      <c r="D3224" s="20">
        <v>0</v>
      </c>
      <c r="E3224" s="2" t="s">
        <v>838</v>
      </c>
      <c r="F3224" s="2" t="s">
        <v>793</v>
      </c>
      <c r="G3224" s="2" t="s">
        <v>3518</v>
      </c>
      <c r="H3224" s="2" t="s">
        <v>892</v>
      </c>
      <c r="J3224" s="26"/>
      <c r="K3224" s="36">
        <v>7.4430000000000004E-5</v>
      </c>
      <c r="L3224" s="23">
        <v>1.861E-5</v>
      </c>
    </row>
    <row r="3225" spans="1:12" ht="15.35" hidden="1" x14ac:dyDescent="0.55000000000000004">
      <c r="A3225" s="20">
        <v>17402</v>
      </c>
      <c r="B3225" s="2" t="s">
        <v>169</v>
      </c>
      <c r="C3225" s="2" t="s">
        <v>170</v>
      </c>
      <c r="D3225" s="20">
        <v>0</v>
      </c>
      <c r="E3225" s="2" t="s">
        <v>838</v>
      </c>
      <c r="F3225" s="2" t="s">
        <v>793</v>
      </c>
      <c r="G3225" s="2" t="s">
        <v>3519</v>
      </c>
      <c r="H3225" s="2" t="s">
        <v>892</v>
      </c>
      <c r="J3225" s="26"/>
      <c r="K3225" s="36">
        <v>3.2029999999999998E-4</v>
      </c>
      <c r="L3225" s="23">
        <v>8.0069999999999997E-5</v>
      </c>
    </row>
    <row r="3226" spans="1:12" ht="15.35" hidden="1" x14ac:dyDescent="0.55000000000000004">
      <c r="A3226" s="20">
        <v>17531</v>
      </c>
      <c r="B3226" s="2" t="s">
        <v>169</v>
      </c>
      <c r="C3226" s="2" t="s">
        <v>170</v>
      </c>
      <c r="D3226" s="20">
        <v>0</v>
      </c>
      <c r="E3226" s="2" t="s">
        <v>838</v>
      </c>
      <c r="F3226" s="2" t="s">
        <v>793</v>
      </c>
      <c r="G3226" s="2" t="s">
        <v>3520</v>
      </c>
      <c r="H3226" s="2" t="s">
        <v>892</v>
      </c>
      <c r="J3226" s="26"/>
      <c r="K3226" s="36">
        <v>1.9994000000000001E-4</v>
      </c>
      <c r="L3226" s="23">
        <v>4.9990000000000001E-5</v>
      </c>
    </row>
    <row r="3227" spans="1:12" ht="15.35" hidden="1" x14ac:dyDescent="0.55000000000000004">
      <c r="A3227" s="20">
        <v>16829</v>
      </c>
      <c r="B3227" s="2" t="s">
        <v>169</v>
      </c>
      <c r="C3227" s="2" t="s">
        <v>170</v>
      </c>
      <c r="D3227" s="20">
        <v>0</v>
      </c>
      <c r="E3227" s="2" t="s">
        <v>838</v>
      </c>
      <c r="F3227" s="2" t="s">
        <v>793</v>
      </c>
      <c r="G3227" s="2" t="s">
        <v>3521</v>
      </c>
      <c r="H3227" s="2" t="s">
        <v>892</v>
      </c>
      <c r="J3227" s="26"/>
      <c r="K3227" s="36">
        <v>6.6509999999999998E-5</v>
      </c>
      <c r="L3227" s="23">
        <v>1.6629999999999998E-5</v>
      </c>
    </row>
    <row r="3228" spans="1:12" ht="15.35" hidden="1" x14ac:dyDescent="0.55000000000000004">
      <c r="A3228" s="20">
        <v>17514</v>
      </c>
      <c r="B3228" s="2" t="s">
        <v>169</v>
      </c>
      <c r="C3228" s="2" t="s">
        <v>170</v>
      </c>
      <c r="D3228" s="20">
        <v>0</v>
      </c>
      <c r="E3228" s="2" t="s">
        <v>838</v>
      </c>
      <c r="F3228" s="2" t="s">
        <v>793</v>
      </c>
      <c r="G3228" s="2" t="s">
        <v>3522</v>
      </c>
      <c r="H3228" s="2" t="s">
        <v>892</v>
      </c>
      <c r="J3228" s="26"/>
      <c r="K3228" s="36">
        <v>6.6509999999999998E-5</v>
      </c>
      <c r="L3228" s="23">
        <v>1.6629999999999998E-5</v>
      </c>
    </row>
    <row r="3229" spans="1:12" ht="15.35" hidden="1" x14ac:dyDescent="0.55000000000000004">
      <c r="A3229" s="20">
        <v>17012</v>
      </c>
      <c r="B3229" s="2" t="s">
        <v>169</v>
      </c>
      <c r="C3229" s="2" t="s">
        <v>170</v>
      </c>
      <c r="D3229" s="20">
        <v>0</v>
      </c>
      <c r="E3229" s="2" t="s">
        <v>838</v>
      </c>
      <c r="F3229" s="2" t="s">
        <v>793</v>
      </c>
      <c r="G3229" s="2" t="s">
        <v>3523</v>
      </c>
      <c r="H3229" s="2" t="s">
        <v>892</v>
      </c>
      <c r="J3229" s="26"/>
      <c r="K3229" s="36">
        <v>6.6509999999999998E-5</v>
      </c>
      <c r="L3229" s="23">
        <v>1.6629999999999998E-5</v>
      </c>
    </row>
    <row r="3230" spans="1:12" ht="15.35" hidden="1" x14ac:dyDescent="0.55000000000000004">
      <c r="A3230" s="20">
        <v>17134</v>
      </c>
      <c r="B3230" s="2" t="s">
        <v>169</v>
      </c>
      <c r="C3230" s="2" t="s">
        <v>170</v>
      </c>
      <c r="D3230" s="20">
        <v>0</v>
      </c>
      <c r="E3230" s="2" t="s">
        <v>838</v>
      </c>
      <c r="F3230" s="2" t="s">
        <v>793</v>
      </c>
      <c r="G3230" s="2" t="s">
        <v>3524</v>
      </c>
      <c r="H3230" s="2" t="s">
        <v>892</v>
      </c>
      <c r="J3230" s="26"/>
      <c r="K3230" s="36">
        <v>6.6509999999999998E-5</v>
      </c>
      <c r="L3230" s="23">
        <v>1.6629999999999998E-5</v>
      </c>
    </row>
    <row r="3231" spans="1:12" ht="15.35" hidden="1" x14ac:dyDescent="0.55000000000000004">
      <c r="A3231" s="20">
        <v>17581</v>
      </c>
      <c r="B3231" s="2" t="s">
        <v>169</v>
      </c>
      <c r="C3231" s="2" t="s">
        <v>170</v>
      </c>
      <c r="D3231" s="20">
        <v>0</v>
      </c>
      <c r="E3231" s="2" t="s">
        <v>838</v>
      </c>
      <c r="F3231" s="2" t="s">
        <v>793</v>
      </c>
      <c r="G3231" s="2" t="s">
        <v>3525</v>
      </c>
      <c r="H3231" s="2" t="s">
        <v>892</v>
      </c>
      <c r="J3231" s="26"/>
      <c r="K3231" s="36">
        <v>6.6509999999999998E-5</v>
      </c>
      <c r="L3231" s="23">
        <v>1.6629999999999998E-5</v>
      </c>
    </row>
    <row r="3232" spans="1:12" ht="15.35" hidden="1" x14ac:dyDescent="0.55000000000000004">
      <c r="A3232" s="20">
        <v>17105</v>
      </c>
      <c r="B3232" s="2" t="s">
        <v>169</v>
      </c>
      <c r="C3232" s="2" t="s">
        <v>170</v>
      </c>
      <c r="D3232" s="20">
        <v>0</v>
      </c>
      <c r="E3232" s="2" t="s">
        <v>838</v>
      </c>
      <c r="F3232" s="2" t="s">
        <v>793</v>
      </c>
      <c r="G3232" s="2" t="s">
        <v>3526</v>
      </c>
      <c r="H3232" s="2" t="s">
        <v>892</v>
      </c>
      <c r="J3232" s="26"/>
      <c r="K3232" s="36">
        <v>6.6509999999999998E-5</v>
      </c>
      <c r="L3232" s="23">
        <v>1.6629999999999998E-5</v>
      </c>
    </row>
    <row r="3233" spans="1:12" ht="15.35" hidden="1" x14ac:dyDescent="0.55000000000000004">
      <c r="A3233" s="20">
        <v>17031</v>
      </c>
      <c r="B3233" s="2" t="s">
        <v>169</v>
      </c>
      <c r="C3233" s="2" t="s">
        <v>170</v>
      </c>
      <c r="D3233" s="20">
        <v>0</v>
      </c>
      <c r="E3233" s="2" t="s">
        <v>838</v>
      </c>
      <c r="F3233" s="2" t="s">
        <v>793</v>
      </c>
      <c r="G3233" s="2" t="s">
        <v>3527</v>
      </c>
      <c r="H3233" s="2" t="s">
        <v>892</v>
      </c>
      <c r="J3233" s="26"/>
      <c r="K3233" s="36">
        <v>6.6509999999999998E-5</v>
      </c>
      <c r="L3233" s="23">
        <v>1.6629999999999998E-5</v>
      </c>
    </row>
    <row r="3234" spans="1:12" ht="15.35" hidden="1" x14ac:dyDescent="0.55000000000000004">
      <c r="A3234" s="20">
        <v>16982</v>
      </c>
      <c r="B3234" s="2" t="s">
        <v>169</v>
      </c>
      <c r="C3234" s="2" t="s">
        <v>170</v>
      </c>
      <c r="D3234" s="20">
        <v>0</v>
      </c>
      <c r="E3234" s="2" t="s">
        <v>838</v>
      </c>
      <c r="F3234" s="2" t="s">
        <v>793</v>
      </c>
      <c r="G3234" s="2" t="s">
        <v>3528</v>
      </c>
      <c r="H3234" s="2" t="s">
        <v>892</v>
      </c>
      <c r="J3234" s="26"/>
      <c r="K3234" s="36">
        <v>6.6509999999999998E-5</v>
      </c>
      <c r="L3234" s="23">
        <v>1.6629999999999998E-5</v>
      </c>
    </row>
    <row r="3235" spans="1:12" ht="15.35" hidden="1" x14ac:dyDescent="0.55000000000000004">
      <c r="A3235" s="20">
        <v>17711</v>
      </c>
      <c r="B3235" s="2" t="s">
        <v>169</v>
      </c>
      <c r="C3235" s="2" t="s">
        <v>170</v>
      </c>
      <c r="D3235" s="20">
        <v>0</v>
      </c>
      <c r="E3235" s="2" t="s">
        <v>838</v>
      </c>
      <c r="F3235" s="2" t="s">
        <v>793</v>
      </c>
      <c r="G3235" s="2" t="s">
        <v>3529</v>
      </c>
      <c r="H3235" s="2" t="s">
        <v>892</v>
      </c>
      <c r="J3235" s="26"/>
      <c r="K3235" s="36">
        <v>6.6509999999999998E-5</v>
      </c>
      <c r="L3235" s="23">
        <v>1.6629999999999998E-5</v>
      </c>
    </row>
    <row r="3236" spans="1:12" ht="15.35" hidden="1" x14ac:dyDescent="0.55000000000000004">
      <c r="A3236" s="20">
        <v>17000</v>
      </c>
      <c r="B3236" s="2" t="s">
        <v>169</v>
      </c>
      <c r="C3236" s="2" t="s">
        <v>170</v>
      </c>
      <c r="D3236" s="20">
        <v>0</v>
      </c>
      <c r="E3236" s="2" t="s">
        <v>838</v>
      </c>
      <c r="F3236" s="2" t="s">
        <v>793</v>
      </c>
      <c r="G3236" s="2" t="s">
        <v>3530</v>
      </c>
      <c r="H3236" s="2" t="s">
        <v>892</v>
      </c>
      <c r="J3236" s="26"/>
      <c r="K3236" s="36">
        <v>6.6509999999999998E-5</v>
      </c>
      <c r="L3236" s="23">
        <v>1.6629999999999998E-5</v>
      </c>
    </row>
    <row r="3237" spans="1:12" ht="15.35" hidden="1" x14ac:dyDescent="0.55000000000000004">
      <c r="A3237" s="20">
        <v>17214</v>
      </c>
      <c r="B3237" s="2" t="s">
        <v>169</v>
      </c>
      <c r="C3237" s="2" t="s">
        <v>170</v>
      </c>
      <c r="D3237" s="20">
        <v>0</v>
      </c>
      <c r="E3237" s="2" t="s">
        <v>838</v>
      </c>
      <c r="F3237" s="2" t="s">
        <v>793</v>
      </c>
      <c r="G3237" s="2" t="s">
        <v>3531</v>
      </c>
      <c r="H3237" s="2" t="s">
        <v>892</v>
      </c>
      <c r="J3237" s="26"/>
      <c r="K3237" s="36">
        <v>7.3239999999999997E-5</v>
      </c>
      <c r="L3237" s="23">
        <v>1.8309999999999999E-5</v>
      </c>
    </row>
    <row r="3238" spans="1:12" ht="15.35" hidden="1" x14ac:dyDescent="0.55000000000000004">
      <c r="A3238" s="20">
        <v>16854</v>
      </c>
      <c r="B3238" s="2" t="s">
        <v>169</v>
      </c>
      <c r="C3238" s="2" t="s">
        <v>170</v>
      </c>
      <c r="D3238" s="20">
        <v>0</v>
      </c>
      <c r="E3238" s="2" t="s">
        <v>838</v>
      </c>
      <c r="F3238" s="2" t="s">
        <v>793</v>
      </c>
      <c r="G3238" s="2" t="s">
        <v>3532</v>
      </c>
      <c r="H3238" s="2" t="s">
        <v>892</v>
      </c>
      <c r="J3238" s="26"/>
      <c r="K3238" s="36">
        <v>6.9280000000000001E-5</v>
      </c>
      <c r="L3238" s="23">
        <v>1.732E-5</v>
      </c>
    </row>
    <row r="3239" spans="1:12" ht="15.35" hidden="1" x14ac:dyDescent="0.55000000000000004">
      <c r="A3239" s="20">
        <v>16908</v>
      </c>
      <c r="B3239" s="2" t="s">
        <v>169</v>
      </c>
      <c r="C3239" s="2" t="s">
        <v>170</v>
      </c>
      <c r="D3239" s="20">
        <v>0</v>
      </c>
      <c r="E3239" s="2" t="s">
        <v>838</v>
      </c>
      <c r="F3239" s="2" t="s">
        <v>793</v>
      </c>
      <c r="G3239" s="2" t="s">
        <v>3533</v>
      </c>
      <c r="H3239" s="2" t="s">
        <v>892</v>
      </c>
      <c r="J3239" s="26"/>
      <c r="K3239" s="36">
        <v>3.3336999999999999E-4</v>
      </c>
      <c r="L3239" s="23">
        <v>8.3339999999999998E-5</v>
      </c>
    </row>
    <row r="3240" spans="1:12" ht="15.35" hidden="1" x14ac:dyDescent="0.55000000000000004">
      <c r="A3240" s="20">
        <v>17588</v>
      </c>
      <c r="B3240" s="2" t="s">
        <v>169</v>
      </c>
      <c r="C3240" s="2" t="s">
        <v>170</v>
      </c>
      <c r="D3240" s="20">
        <v>0</v>
      </c>
      <c r="E3240" s="2" t="s">
        <v>838</v>
      </c>
      <c r="F3240" s="2" t="s">
        <v>783</v>
      </c>
      <c r="G3240" s="2" t="s">
        <v>3534</v>
      </c>
      <c r="H3240" s="2" t="s">
        <v>3535</v>
      </c>
      <c r="J3240" s="26"/>
      <c r="K3240" s="36">
        <v>1.5836999999999999E-4</v>
      </c>
      <c r="L3240" s="23">
        <v>3.9589999999999999E-5</v>
      </c>
    </row>
    <row r="3241" spans="1:12" ht="15.35" hidden="1" x14ac:dyDescent="0.55000000000000004">
      <c r="A3241" s="20">
        <v>17277</v>
      </c>
      <c r="B3241" s="2" t="s">
        <v>169</v>
      </c>
      <c r="C3241" s="2" t="s">
        <v>170</v>
      </c>
      <c r="D3241" s="20">
        <v>0</v>
      </c>
      <c r="E3241" s="2" t="s">
        <v>838</v>
      </c>
      <c r="F3241" s="2" t="s">
        <v>789</v>
      </c>
      <c r="G3241" s="2" t="s">
        <v>1922</v>
      </c>
      <c r="H3241" s="2" t="s">
        <v>1923</v>
      </c>
      <c r="J3241" s="26"/>
      <c r="K3241" s="36">
        <v>2.6685699999999999E-3</v>
      </c>
      <c r="L3241" s="23">
        <v>6.6713999999999999E-4</v>
      </c>
    </row>
    <row r="3242" spans="1:12" ht="15.35" hidden="1" x14ac:dyDescent="0.55000000000000004">
      <c r="A3242" s="20">
        <v>16952</v>
      </c>
      <c r="B3242" s="2" t="s">
        <v>169</v>
      </c>
      <c r="C3242" s="2" t="s">
        <v>170</v>
      </c>
      <c r="D3242" s="20">
        <v>0</v>
      </c>
      <c r="E3242" s="2" t="s">
        <v>838</v>
      </c>
      <c r="F3242" s="2" t="s">
        <v>793</v>
      </c>
      <c r="G3242" s="2" t="s">
        <v>3536</v>
      </c>
      <c r="H3242" s="2" t="s">
        <v>1039</v>
      </c>
      <c r="J3242" s="26"/>
      <c r="K3242" s="36">
        <v>2.6697600000000002E-3</v>
      </c>
      <c r="L3242" s="23">
        <v>6.6744000000000005E-4</v>
      </c>
    </row>
    <row r="3243" spans="1:12" ht="15.35" hidden="1" x14ac:dyDescent="0.55000000000000004">
      <c r="A3243" s="20">
        <v>17146</v>
      </c>
      <c r="B3243" s="2" t="s">
        <v>169</v>
      </c>
      <c r="C3243" s="2" t="s">
        <v>170</v>
      </c>
      <c r="D3243" s="20">
        <v>0</v>
      </c>
      <c r="E3243" s="2" t="s">
        <v>838</v>
      </c>
      <c r="F3243" s="2" t="s">
        <v>789</v>
      </c>
      <c r="G3243" s="2" t="s">
        <v>1294</v>
      </c>
      <c r="H3243" s="2" t="s">
        <v>1295</v>
      </c>
      <c r="J3243" s="26"/>
      <c r="K3243" s="36">
        <v>1.73536E-3</v>
      </c>
      <c r="L3243" s="23">
        <v>4.3384000000000001E-4</v>
      </c>
    </row>
    <row r="3244" spans="1:12" ht="15.35" hidden="1" x14ac:dyDescent="0.55000000000000004">
      <c r="A3244" s="20">
        <v>17022</v>
      </c>
      <c r="B3244" s="2" t="s">
        <v>169</v>
      </c>
      <c r="C3244" s="2" t="s">
        <v>170</v>
      </c>
      <c r="D3244" s="20">
        <v>0</v>
      </c>
      <c r="E3244" s="2" t="s">
        <v>838</v>
      </c>
      <c r="F3244" s="2" t="s">
        <v>793</v>
      </c>
      <c r="G3244" s="2" t="s">
        <v>3537</v>
      </c>
      <c r="H3244" s="2" t="s">
        <v>1041</v>
      </c>
      <c r="J3244" s="26"/>
      <c r="K3244" s="36">
        <v>5.0045000000000005E-4</v>
      </c>
      <c r="L3244" s="23">
        <v>1.2511E-4</v>
      </c>
    </row>
    <row r="3245" spans="1:12" ht="15.35" hidden="1" x14ac:dyDescent="0.55000000000000004">
      <c r="A3245" s="20">
        <v>17556</v>
      </c>
      <c r="B3245" s="2" t="s">
        <v>169</v>
      </c>
      <c r="C3245" s="2" t="s">
        <v>170</v>
      </c>
      <c r="D3245" s="20">
        <v>0</v>
      </c>
      <c r="E3245" s="2" t="s">
        <v>838</v>
      </c>
      <c r="F3245" s="2" t="s">
        <v>793</v>
      </c>
      <c r="G3245" s="2" t="s">
        <v>1040</v>
      </c>
      <c r="H3245" s="2" t="s">
        <v>1041</v>
      </c>
      <c r="J3245" s="26"/>
      <c r="K3245" s="36">
        <v>1.38575E-3</v>
      </c>
      <c r="L3245" s="23">
        <v>3.4644E-4</v>
      </c>
    </row>
    <row r="3246" spans="1:12" ht="15.35" x14ac:dyDescent="0.55000000000000004">
      <c r="A3246" s="20">
        <v>17451</v>
      </c>
      <c r="B3246" s="2" t="s">
        <v>169</v>
      </c>
      <c r="C3246" s="2" t="s">
        <v>170</v>
      </c>
      <c r="D3246" s="20">
        <v>0</v>
      </c>
      <c r="E3246" s="2" t="s">
        <v>838</v>
      </c>
      <c r="F3246" s="2" t="s">
        <v>817</v>
      </c>
      <c r="G3246" s="2" t="s">
        <v>3538</v>
      </c>
      <c r="J3246" s="26"/>
      <c r="K3246" s="36">
        <v>3.998E-5</v>
      </c>
      <c r="L3246" s="23">
        <v>9.9899999999999992E-6</v>
      </c>
    </row>
    <row r="3247" spans="1:12" ht="15.35" x14ac:dyDescent="0.55000000000000004">
      <c r="A3247" s="20">
        <v>17281</v>
      </c>
      <c r="B3247" s="2" t="s">
        <v>169</v>
      </c>
      <c r="C3247" s="2" t="s">
        <v>170</v>
      </c>
      <c r="D3247" s="20">
        <v>0</v>
      </c>
      <c r="E3247" s="2" t="s">
        <v>838</v>
      </c>
      <c r="F3247" s="2" t="s">
        <v>817</v>
      </c>
      <c r="G3247" s="2" t="s">
        <v>3539</v>
      </c>
      <c r="J3247" s="26"/>
      <c r="K3247" s="36">
        <v>9.3430000000000005E-5</v>
      </c>
      <c r="L3247" s="23">
        <v>2.336E-5</v>
      </c>
    </row>
    <row r="3248" spans="1:12" ht="15.35" x14ac:dyDescent="0.55000000000000004">
      <c r="A3248" s="20">
        <v>17053</v>
      </c>
      <c r="B3248" s="2" t="s">
        <v>169</v>
      </c>
      <c r="C3248" s="2" t="s">
        <v>170</v>
      </c>
      <c r="D3248" s="20">
        <v>0</v>
      </c>
      <c r="E3248" s="2" t="s">
        <v>838</v>
      </c>
      <c r="F3248" s="2" t="s">
        <v>817</v>
      </c>
      <c r="G3248" s="2" t="s">
        <v>3540</v>
      </c>
      <c r="J3248" s="26"/>
      <c r="K3248" s="36">
        <v>1.2668999999999999E-4</v>
      </c>
      <c r="L3248" s="23">
        <v>3.167E-5</v>
      </c>
    </row>
    <row r="3249" spans="1:12" ht="15.35" x14ac:dyDescent="0.55000000000000004">
      <c r="A3249" s="20">
        <v>17270</v>
      </c>
      <c r="B3249" s="2" t="s">
        <v>169</v>
      </c>
      <c r="C3249" s="2" t="s">
        <v>170</v>
      </c>
      <c r="D3249" s="20">
        <v>0</v>
      </c>
      <c r="E3249" s="2" t="s">
        <v>838</v>
      </c>
      <c r="F3249" s="2" t="s">
        <v>817</v>
      </c>
      <c r="G3249" s="2" t="s">
        <v>3541</v>
      </c>
      <c r="J3249" s="26"/>
      <c r="K3249" s="36">
        <v>4.6709999999999998E-5</v>
      </c>
      <c r="L3249" s="23">
        <v>1.168E-5</v>
      </c>
    </row>
    <row r="3250" spans="1:12" ht="15.35" x14ac:dyDescent="0.55000000000000004">
      <c r="A3250" s="20">
        <v>17071</v>
      </c>
      <c r="B3250" s="2" t="s">
        <v>169</v>
      </c>
      <c r="C3250" s="2" t="s">
        <v>170</v>
      </c>
      <c r="D3250" s="20">
        <v>0</v>
      </c>
      <c r="E3250" s="2" t="s">
        <v>838</v>
      </c>
      <c r="F3250" s="2" t="s">
        <v>817</v>
      </c>
      <c r="G3250" s="2" t="s">
        <v>3542</v>
      </c>
      <c r="J3250" s="26"/>
      <c r="K3250" s="36">
        <v>7.3239999999999997E-5</v>
      </c>
      <c r="L3250" s="23">
        <v>1.8309999999999999E-5</v>
      </c>
    </row>
    <row r="3251" spans="1:12" ht="15.35" x14ac:dyDescent="0.55000000000000004">
      <c r="A3251" s="20">
        <v>17283</v>
      </c>
      <c r="B3251" s="2" t="s">
        <v>169</v>
      </c>
      <c r="C3251" s="2" t="s">
        <v>170</v>
      </c>
      <c r="D3251" s="20">
        <v>0</v>
      </c>
      <c r="E3251" s="2" t="s">
        <v>838</v>
      </c>
      <c r="F3251" s="2" t="s">
        <v>817</v>
      </c>
      <c r="G3251" s="2" t="s">
        <v>3543</v>
      </c>
      <c r="J3251" s="26"/>
      <c r="K3251" s="36">
        <v>4.6709999999999998E-5</v>
      </c>
      <c r="L3251" s="23">
        <v>1.168E-5</v>
      </c>
    </row>
    <row r="3252" spans="1:12" ht="15.35" x14ac:dyDescent="0.55000000000000004">
      <c r="A3252" s="20">
        <v>17295</v>
      </c>
      <c r="B3252" s="2" t="s">
        <v>169</v>
      </c>
      <c r="C3252" s="2" t="s">
        <v>170</v>
      </c>
      <c r="D3252" s="20">
        <v>0</v>
      </c>
      <c r="E3252" s="2" t="s">
        <v>838</v>
      </c>
      <c r="F3252" s="2" t="s">
        <v>817</v>
      </c>
      <c r="G3252" s="2" t="s">
        <v>3544</v>
      </c>
      <c r="J3252" s="26"/>
      <c r="K3252" s="36">
        <v>6.6509999999999998E-5</v>
      </c>
      <c r="L3252" s="23">
        <v>1.6629999999999998E-5</v>
      </c>
    </row>
    <row r="3253" spans="1:12" ht="15.35" x14ac:dyDescent="0.55000000000000004">
      <c r="A3253" s="20">
        <v>17596</v>
      </c>
      <c r="B3253" s="2" t="s">
        <v>169</v>
      </c>
      <c r="C3253" s="2" t="s">
        <v>170</v>
      </c>
      <c r="D3253" s="20">
        <v>0</v>
      </c>
      <c r="E3253" s="2" t="s">
        <v>838</v>
      </c>
      <c r="F3253" s="2" t="s">
        <v>817</v>
      </c>
      <c r="G3253" s="2" t="s">
        <v>3545</v>
      </c>
      <c r="J3253" s="26"/>
      <c r="K3253" s="36">
        <v>3.998E-5</v>
      </c>
      <c r="L3253" s="23">
        <v>9.9899999999999992E-6</v>
      </c>
    </row>
    <row r="3254" spans="1:12" ht="15.35" x14ac:dyDescent="0.55000000000000004">
      <c r="A3254" s="20">
        <v>17524</v>
      </c>
      <c r="B3254" s="2" t="s">
        <v>169</v>
      </c>
      <c r="C3254" s="2" t="s">
        <v>170</v>
      </c>
      <c r="D3254" s="20">
        <v>0</v>
      </c>
      <c r="E3254" s="2" t="s">
        <v>838</v>
      </c>
      <c r="F3254" s="2" t="s">
        <v>817</v>
      </c>
      <c r="G3254" s="2" t="s">
        <v>3546</v>
      </c>
      <c r="J3254" s="26"/>
      <c r="K3254" s="36">
        <v>5.978E-5</v>
      </c>
      <c r="L3254" s="23">
        <v>1.4939999999999999E-5</v>
      </c>
    </row>
    <row r="3255" spans="1:12" ht="15.35" x14ac:dyDescent="0.55000000000000004">
      <c r="A3255" s="20">
        <v>17702</v>
      </c>
      <c r="B3255" s="2" t="s">
        <v>169</v>
      </c>
      <c r="C3255" s="2" t="s">
        <v>170</v>
      </c>
      <c r="D3255" s="20">
        <v>0</v>
      </c>
      <c r="E3255" s="2" t="s">
        <v>838</v>
      </c>
      <c r="F3255" s="2" t="s">
        <v>817</v>
      </c>
      <c r="G3255" s="2" t="s">
        <v>3547</v>
      </c>
      <c r="J3255" s="26"/>
      <c r="K3255" s="36">
        <v>4.9879999999999997E-5</v>
      </c>
      <c r="L3255" s="23">
        <v>1.2469999999999999E-5</v>
      </c>
    </row>
    <row r="3256" spans="1:12" ht="15.35" x14ac:dyDescent="0.55000000000000004">
      <c r="A3256" s="20">
        <v>17377</v>
      </c>
      <c r="B3256" s="2" t="s">
        <v>169</v>
      </c>
      <c r="C3256" s="2" t="s">
        <v>170</v>
      </c>
      <c r="D3256" s="20">
        <v>0</v>
      </c>
      <c r="E3256" s="2" t="s">
        <v>838</v>
      </c>
      <c r="F3256" s="2" t="s">
        <v>817</v>
      </c>
      <c r="G3256" s="2" t="s">
        <v>3548</v>
      </c>
      <c r="J3256" s="26"/>
      <c r="K3256" s="36">
        <v>6.7299999999999996E-5</v>
      </c>
      <c r="L3256" s="23">
        <v>1.6820000000000002E-5</v>
      </c>
    </row>
    <row r="3257" spans="1:12" ht="15.35" x14ac:dyDescent="0.55000000000000004">
      <c r="A3257" s="20">
        <v>17057</v>
      </c>
      <c r="B3257" s="2" t="s">
        <v>169</v>
      </c>
      <c r="C3257" s="2" t="s">
        <v>170</v>
      </c>
      <c r="D3257" s="20">
        <v>0</v>
      </c>
      <c r="E3257" s="2" t="s">
        <v>838</v>
      </c>
      <c r="F3257" s="2" t="s">
        <v>817</v>
      </c>
      <c r="G3257" s="2" t="s">
        <v>3549</v>
      </c>
      <c r="J3257" s="26"/>
      <c r="K3257" s="36">
        <v>8.5519999999999994E-5</v>
      </c>
      <c r="L3257" s="23">
        <v>2.1379999999999999E-5</v>
      </c>
    </row>
    <row r="3258" spans="1:12" ht="15.35" x14ac:dyDescent="0.55000000000000004">
      <c r="A3258" s="20">
        <v>16957</v>
      </c>
      <c r="B3258" s="2" t="s">
        <v>169</v>
      </c>
      <c r="C3258" s="2" t="s">
        <v>170</v>
      </c>
      <c r="D3258" s="20">
        <v>0</v>
      </c>
      <c r="E3258" s="2" t="s">
        <v>838</v>
      </c>
      <c r="F3258" s="2" t="s">
        <v>817</v>
      </c>
      <c r="G3258" s="2" t="s">
        <v>3550</v>
      </c>
      <c r="J3258" s="26"/>
      <c r="K3258" s="36">
        <v>7.9179999999999997E-5</v>
      </c>
      <c r="L3258" s="23">
        <v>1.9789999999999999E-5</v>
      </c>
    </row>
    <row r="3259" spans="1:12" ht="15.35" x14ac:dyDescent="0.55000000000000004">
      <c r="A3259" s="20">
        <v>17089</v>
      </c>
      <c r="B3259" s="2" t="s">
        <v>169</v>
      </c>
      <c r="C3259" s="2" t="s">
        <v>170</v>
      </c>
      <c r="D3259" s="20">
        <v>0</v>
      </c>
      <c r="E3259" s="2" t="s">
        <v>838</v>
      </c>
      <c r="F3259" s="2" t="s">
        <v>817</v>
      </c>
      <c r="G3259" s="2" t="s">
        <v>3551</v>
      </c>
      <c r="J3259" s="26"/>
      <c r="K3259" s="36">
        <v>1.2709E-4</v>
      </c>
      <c r="L3259" s="23">
        <v>3.1770000000000002E-5</v>
      </c>
    </row>
    <row r="3260" spans="1:12" ht="15.35" x14ac:dyDescent="0.55000000000000004">
      <c r="A3260" s="20">
        <v>16926</v>
      </c>
      <c r="B3260" s="2" t="s">
        <v>169</v>
      </c>
      <c r="C3260" s="2" t="s">
        <v>170</v>
      </c>
      <c r="D3260" s="20">
        <v>0</v>
      </c>
      <c r="E3260" s="2" t="s">
        <v>838</v>
      </c>
      <c r="F3260" s="2" t="s">
        <v>817</v>
      </c>
      <c r="G3260" s="2" t="s">
        <v>3552</v>
      </c>
      <c r="J3260" s="26"/>
      <c r="K3260" s="36">
        <v>1.2353E-4</v>
      </c>
      <c r="L3260" s="23">
        <v>3.0880000000000002E-5</v>
      </c>
    </row>
    <row r="3261" spans="1:12" ht="15.35" x14ac:dyDescent="0.55000000000000004">
      <c r="A3261" s="20">
        <v>17173</v>
      </c>
      <c r="B3261" s="2" t="s">
        <v>169</v>
      </c>
      <c r="C3261" s="2" t="s">
        <v>170</v>
      </c>
      <c r="D3261" s="20">
        <v>0</v>
      </c>
      <c r="E3261" s="2" t="s">
        <v>838</v>
      </c>
      <c r="F3261" s="2" t="s">
        <v>817</v>
      </c>
      <c r="G3261" s="2" t="s">
        <v>3553</v>
      </c>
      <c r="J3261" s="26"/>
      <c r="K3261" s="36">
        <v>2.5062000000000001E-4</v>
      </c>
      <c r="L3261" s="23">
        <v>6.266E-5</v>
      </c>
    </row>
    <row r="3262" spans="1:12" ht="15.35" x14ac:dyDescent="0.55000000000000004">
      <c r="A3262" s="20">
        <v>17007</v>
      </c>
      <c r="B3262" s="2" t="s">
        <v>169</v>
      </c>
      <c r="C3262" s="2" t="s">
        <v>170</v>
      </c>
      <c r="D3262" s="20">
        <v>0</v>
      </c>
      <c r="E3262" s="2" t="s">
        <v>838</v>
      </c>
      <c r="F3262" s="2" t="s">
        <v>817</v>
      </c>
      <c r="G3262" s="2" t="s">
        <v>3554</v>
      </c>
      <c r="J3262" s="26"/>
      <c r="K3262" s="36">
        <v>1.1086000000000001E-4</v>
      </c>
      <c r="L3262" s="23">
        <v>2.7719999999999999E-5</v>
      </c>
    </row>
    <row r="3263" spans="1:12" ht="15.35" x14ac:dyDescent="0.55000000000000004">
      <c r="A3263" s="20">
        <v>17395</v>
      </c>
      <c r="B3263" s="2" t="s">
        <v>169</v>
      </c>
      <c r="C3263" s="2" t="s">
        <v>170</v>
      </c>
      <c r="D3263" s="20">
        <v>0</v>
      </c>
      <c r="E3263" s="2" t="s">
        <v>838</v>
      </c>
      <c r="F3263" s="2" t="s">
        <v>817</v>
      </c>
      <c r="G3263" s="2" t="s">
        <v>3555</v>
      </c>
      <c r="J3263" s="26"/>
      <c r="K3263" s="36">
        <v>1.9479E-4</v>
      </c>
      <c r="L3263" s="23">
        <v>4.8699999999999998E-5</v>
      </c>
    </row>
    <row r="3264" spans="1:12" ht="15.35" x14ac:dyDescent="0.55000000000000004">
      <c r="A3264" s="20">
        <v>17041</v>
      </c>
      <c r="B3264" s="2" t="s">
        <v>169</v>
      </c>
      <c r="C3264" s="2" t="s">
        <v>170</v>
      </c>
      <c r="D3264" s="20">
        <v>0</v>
      </c>
      <c r="E3264" s="2" t="s">
        <v>838</v>
      </c>
      <c r="F3264" s="2" t="s">
        <v>817</v>
      </c>
      <c r="G3264" s="2" t="s">
        <v>3556</v>
      </c>
      <c r="J3264" s="26"/>
      <c r="K3264" s="36">
        <v>1.1006E-4</v>
      </c>
      <c r="L3264" s="23">
        <v>2.7520000000000001E-5</v>
      </c>
    </row>
    <row r="3265" spans="1:12" ht="15.35" x14ac:dyDescent="0.55000000000000004">
      <c r="A3265" s="20">
        <v>17314</v>
      </c>
      <c r="B3265" s="2" t="s">
        <v>169</v>
      </c>
      <c r="C3265" s="2" t="s">
        <v>170</v>
      </c>
      <c r="D3265" s="20">
        <v>0</v>
      </c>
      <c r="E3265" s="2" t="s">
        <v>838</v>
      </c>
      <c r="F3265" s="2" t="s">
        <v>817</v>
      </c>
      <c r="G3265" s="2" t="s">
        <v>3557</v>
      </c>
      <c r="J3265" s="26"/>
      <c r="K3265" s="36">
        <v>8.8289999999999997E-5</v>
      </c>
      <c r="L3265" s="23">
        <v>2.207E-5</v>
      </c>
    </row>
    <row r="3266" spans="1:12" ht="15.35" x14ac:dyDescent="0.55000000000000004">
      <c r="A3266" s="20">
        <v>16812</v>
      </c>
      <c r="B3266" s="2" t="s">
        <v>169</v>
      </c>
      <c r="C3266" s="2" t="s">
        <v>170</v>
      </c>
      <c r="D3266" s="20">
        <v>0</v>
      </c>
      <c r="E3266" s="2" t="s">
        <v>838</v>
      </c>
      <c r="F3266" s="2" t="s">
        <v>817</v>
      </c>
      <c r="G3266" s="2" t="s">
        <v>3558</v>
      </c>
      <c r="J3266" s="26"/>
      <c r="K3266" s="36">
        <v>1.8687E-4</v>
      </c>
      <c r="L3266" s="23">
        <v>4.672E-5</v>
      </c>
    </row>
    <row r="3267" spans="1:12" ht="15.35" x14ac:dyDescent="0.55000000000000004">
      <c r="A3267" s="20">
        <v>17675</v>
      </c>
      <c r="B3267" s="2" t="s">
        <v>169</v>
      </c>
      <c r="C3267" s="2" t="s">
        <v>170</v>
      </c>
      <c r="D3267" s="20">
        <v>0</v>
      </c>
      <c r="E3267" s="2" t="s">
        <v>838</v>
      </c>
      <c r="F3267" s="2" t="s">
        <v>817</v>
      </c>
      <c r="G3267" s="2" t="s">
        <v>3559</v>
      </c>
      <c r="J3267" s="26"/>
      <c r="K3267" s="36">
        <v>7.0870000000000004E-5</v>
      </c>
      <c r="L3267" s="23">
        <v>1.772E-5</v>
      </c>
    </row>
    <row r="3268" spans="1:12" ht="15.35" x14ac:dyDescent="0.55000000000000004">
      <c r="A3268" s="20">
        <v>17001</v>
      </c>
      <c r="B3268" s="2" t="s">
        <v>169</v>
      </c>
      <c r="C3268" s="2" t="s">
        <v>170</v>
      </c>
      <c r="D3268" s="20">
        <v>0</v>
      </c>
      <c r="E3268" s="2" t="s">
        <v>838</v>
      </c>
      <c r="F3268" s="2" t="s">
        <v>817</v>
      </c>
      <c r="G3268" s="2" t="s">
        <v>3560</v>
      </c>
      <c r="J3268" s="26"/>
      <c r="K3268" s="36">
        <v>1.0531000000000001E-4</v>
      </c>
      <c r="L3268" s="23">
        <v>2.633E-5</v>
      </c>
    </row>
    <row r="3269" spans="1:12" ht="15.35" x14ac:dyDescent="0.55000000000000004">
      <c r="A3269" s="20">
        <v>16915</v>
      </c>
      <c r="B3269" s="2" t="s">
        <v>169</v>
      </c>
      <c r="C3269" s="2" t="s">
        <v>170</v>
      </c>
      <c r="D3269" s="20">
        <v>0</v>
      </c>
      <c r="E3269" s="2" t="s">
        <v>838</v>
      </c>
      <c r="F3269" s="2" t="s">
        <v>817</v>
      </c>
      <c r="G3269" s="2" t="s">
        <v>3561</v>
      </c>
      <c r="J3269" s="26"/>
      <c r="K3269" s="36">
        <v>1.7459999999999999E-4</v>
      </c>
      <c r="L3269" s="23">
        <v>4.3649999999999997E-5</v>
      </c>
    </row>
    <row r="3270" spans="1:12" ht="15.35" x14ac:dyDescent="0.55000000000000004">
      <c r="A3270" s="20">
        <v>16979</v>
      </c>
      <c r="B3270" s="2" t="s">
        <v>169</v>
      </c>
      <c r="C3270" s="2" t="s">
        <v>170</v>
      </c>
      <c r="D3270" s="20">
        <v>0</v>
      </c>
      <c r="E3270" s="2" t="s">
        <v>838</v>
      </c>
      <c r="F3270" s="2" t="s">
        <v>817</v>
      </c>
      <c r="G3270" s="2" t="s">
        <v>3562</v>
      </c>
      <c r="J3270" s="26"/>
      <c r="K3270" s="36">
        <v>1.3422E-4</v>
      </c>
      <c r="L3270" s="23">
        <v>3.3550000000000002E-5</v>
      </c>
    </row>
    <row r="3271" spans="1:12" ht="15.35" x14ac:dyDescent="0.55000000000000004">
      <c r="A3271" s="20">
        <v>17623</v>
      </c>
      <c r="B3271" s="2" t="s">
        <v>169</v>
      </c>
      <c r="C3271" s="2" t="s">
        <v>170</v>
      </c>
      <c r="D3271" s="20">
        <v>0</v>
      </c>
      <c r="E3271" s="2" t="s">
        <v>838</v>
      </c>
      <c r="F3271" s="2" t="s">
        <v>817</v>
      </c>
      <c r="G3271" s="2" t="s">
        <v>3563</v>
      </c>
      <c r="J3271" s="26"/>
      <c r="K3271" s="36">
        <v>7.2050000000000003E-5</v>
      </c>
      <c r="L3271" s="23">
        <v>1.8009999999999999E-5</v>
      </c>
    </row>
    <row r="3272" spans="1:12" ht="15.35" x14ac:dyDescent="0.55000000000000004">
      <c r="A3272" s="20">
        <v>16936</v>
      </c>
      <c r="B3272" s="2" t="s">
        <v>169</v>
      </c>
      <c r="C3272" s="2" t="s">
        <v>170</v>
      </c>
      <c r="D3272" s="20">
        <v>0</v>
      </c>
      <c r="E3272" s="2" t="s">
        <v>838</v>
      </c>
      <c r="F3272" s="2" t="s">
        <v>817</v>
      </c>
      <c r="G3272" s="2" t="s">
        <v>3564</v>
      </c>
      <c r="J3272" s="26"/>
      <c r="K3272" s="36">
        <v>1.7064000000000001E-4</v>
      </c>
      <c r="L3272" s="23">
        <v>4.2660000000000002E-5</v>
      </c>
    </row>
    <row r="3273" spans="1:12" ht="15.35" x14ac:dyDescent="0.55000000000000004">
      <c r="A3273" s="20">
        <v>17617</v>
      </c>
      <c r="B3273" s="2" t="s">
        <v>169</v>
      </c>
      <c r="C3273" s="2" t="s">
        <v>170</v>
      </c>
      <c r="D3273" s="20">
        <v>0</v>
      </c>
      <c r="E3273" s="2" t="s">
        <v>838</v>
      </c>
      <c r="F3273" s="2" t="s">
        <v>817</v>
      </c>
      <c r="G3273" s="2" t="s">
        <v>3565</v>
      </c>
      <c r="J3273" s="26"/>
      <c r="K3273" s="36">
        <v>6.334E-5</v>
      </c>
      <c r="L3273" s="23">
        <v>1.5840000000000001E-5</v>
      </c>
    </row>
    <row r="3274" spans="1:12" ht="15.35" x14ac:dyDescent="0.55000000000000004">
      <c r="A3274" s="20">
        <v>17038</v>
      </c>
      <c r="B3274" s="2" t="s">
        <v>169</v>
      </c>
      <c r="C3274" s="2" t="s">
        <v>170</v>
      </c>
      <c r="D3274" s="20">
        <v>0</v>
      </c>
      <c r="E3274" s="2" t="s">
        <v>838</v>
      </c>
      <c r="F3274" s="2" t="s">
        <v>817</v>
      </c>
      <c r="G3274" s="2" t="s">
        <v>3566</v>
      </c>
      <c r="J3274" s="26"/>
      <c r="K3274" s="36">
        <v>6.334E-5</v>
      </c>
      <c r="L3274" s="23">
        <v>1.5840000000000001E-5</v>
      </c>
    </row>
    <row r="3275" spans="1:12" ht="15.35" x14ac:dyDescent="0.55000000000000004">
      <c r="A3275" s="20">
        <v>17320</v>
      </c>
      <c r="B3275" s="2" t="s">
        <v>169</v>
      </c>
      <c r="C3275" s="2" t="s">
        <v>170</v>
      </c>
      <c r="D3275" s="20">
        <v>0</v>
      </c>
      <c r="E3275" s="2" t="s">
        <v>838</v>
      </c>
      <c r="F3275" s="2" t="s">
        <v>817</v>
      </c>
      <c r="G3275" s="2" t="s">
        <v>3567</v>
      </c>
      <c r="J3275" s="26"/>
      <c r="K3275" s="36">
        <v>6.334E-5</v>
      </c>
      <c r="L3275" s="23">
        <v>1.5840000000000001E-5</v>
      </c>
    </row>
    <row r="3276" spans="1:12" ht="15.35" x14ac:dyDescent="0.55000000000000004">
      <c r="A3276" s="20">
        <v>16800</v>
      </c>
      <c r="B3276" s="2" t="s">
        <v>169</v>
      </c>
      <c r="C3276" s="2" t="s">
        <v>170</v>
      </c>
      <c r="D3276" s="20">
        <v>0</v>
      </c>
      <c r="E3276" s="2" t="s">
        <v>838</v>
      </c>
      <c r="F3276" s="2" t="s">
        <v>817</v>
      </c>
      <c r="G3276" s="2" t="s">
        <v>3568</v>
      </c>
      <c r="J3276" s="26"/>
      <c r="K3276" s="36">
        <v>6.334E-5</v>
      </c>
      <c r="L3276" s="23">
        <v>1.5840000000000001E-5</v>
      </c>
    </row>
    <row r="3277" spans="1:12" ht="15.35" x14ac:dyDescent="0.55000000000000004">
      <c r="A3277" s="20">
        <v>16911</v>
      </c>
      <c r="B3277" s="2" t="s">
        <v>169</v>
      </c>
      <c r="C3277" s="2" t="s">
        <v>170</v>
      </c>
      <c r="D3277" s="20">
        <v>0</v>
      </c>
      <c r="E3277" s="2" t="s">
        <v>838</v>
      </c>
      <c r="F3277" s="2" t="s">
        <v>817</v>
      </c>
      <c r="G3277" s="2" t="s">
        <v>3569</v>
      </c>
      <c r="J3277" s="26"/>
      <c r="K3277" s="36">
        <v>6.334E-5</v>
      </c>
      <c r="L3277" s="23">
        <v>1.5840000000000001E-5</v>
      </c>
    </row>
    <row r="3278" spans="1:12" ht="15.35" x14ac:dyDescent="0.55000000000000004">
      <c r="A3278" s="20">
        <v>16900</v>
      </c>
      <c r="B3278" s="2" t="s">
        <v>169</v>
      </c>
      <c r="C3278" s="2" t="s">
        <v>170</v>
      </c>
      <c r="D3278" s="20">
        <v>0</v>
      </c>
      <c r="E3278" s="2" t="s">
        <v>838</v>
      </c>
      <c r="F3278" s="2" t="s">
        <v>817</v>
      </c>
      <c r="G3278" s="2" t="s">
        <v>3570</v>
      </c>
      <c r="J3278" s="26"/>
      <c r="K3278" s="36">
        <v>6.334E-5</v>
      </c>
      <c r="L3278" s="23">
        <v>1.5840000000000001E-5</v>
      </c>
    </row>
    <row r="3279" spans="1:12" ht="15.35" x14ac:dyDescent="0.55000000000000004">
      <c r="A3279" s="20">
        <v>17187</v>
      </c>
      <c r="B3279" s="2" t="s">
        <v>169</v>
      </c>
      <c r="C3279" s="2" t="s">
        <v>170</v>
      </c>
      <c r="D3279" s="20">
        <v>0</v>
      </c>
      <c r="E3279" s="2" t="s">
        <v>838</v>
      </c>
      <c r="F3279" s="2" t="s">
        <v>817</v>
      </c>
      <c r="G3279" s="2" t="s">
        <v>3571</v>
      </c>
      <c r="J3279" s="26"/>
      <c r="K3279" s="36">
        <v>7.1260000000000006E-5</v>
      </c>
      <c r="L3279" s="23">
        <v>1.7819999999999999E-5</v>
      </c>
    </row>
    <row r="3280" spans="1:12" ht="15.35" x14ac:dyDescent="0.55000000000000004">
      <c r="A3280" s="20">
        <v>17338</v>
      </c>
      <c r="B3280" s="2" t="s">
        <v>169</v>
      </c>
      <c r="C3280" s="2" t="s">
        <v>170</v>
      </c>
      <c r="D3280" s="20">
        <v>0</v>
      </c>
      <c r="E3280" s="2" t="s">
        <v>838</v>
      </c>
      <c r="F3280" s="2" t="s">
        <v>817</v>
      </c>
      <c r="G3280" s="2" t="s">
        <v>3572</v>
      </c>
      <c r="J3280" s="26"/>
      <c r="K3280" s="36">
        <v>6.7299999999999996E-5</v>
      </c>
      <c r="L3280" s="23">
        <v>1.6820000000000002E-5</v>
      </c>
    </row>
    <row r="3281" spans="1:12" ht="15.35" x14ac:dyDescent="0.55000000000000004">
      <c r="A3281" s="20">
        <v>17079</v>
      </c>
      <c r="B3281" s="2" t="s">
        <v>169</v>
      </c>
      <c r="C3281" s="2" t="s">
        <v>170</v>
      </c>
      <c r="D3281" s="20">
        <v>0</v>
      </c>
      <c r="E3281" s="2" t="s">
        <v>838</v>
      </c>
      <c r="F3281" s="2" t="s">
        <v>817</v>
      </c>
      <c r="G3281" s="2" t="s">
        <v>3573</v>
      </c>
      <c r="J3281" s="26"/>
      <c r="K3281" s="36">
        <v>6.7299999999999996E-5</v>
      </c>
      <c r="L3281" s="23">
        <v>1.6820000000000002E-5</v>
      </c>
    </row>
    <row r="3282" spans="1:12" ht="15.35" x14ac:dyDescent="0.55000000000000004">
      <c r="A3282" s="20">
        <v>17627</v>
      </c>
      <c r="B3282" s="2" t="s">
        <v>169</v>
      </c>
      <c r="C3282" s="2" t="s">
        <v>170</v>
      </c>
      <c r="D3282" s="20">
        <v>0</v>
      </c>
      <c r="E3282" s="2" t="s">
        <v>838</v>
      </c>
      <c r="F3282" s="2" t="s">
        <v>817</v>
      </c>
      <c r="G3282" s="2" t="s">
        <v>3574</v>
      </c>
      <c r="J3282" s="26"/>
      <c r="K3282" s="36">
        <v>6.7299999999999996E-5</v>
      </c>
      <c r="L3282" s="23">
        <v>1.6820000000000002E-5</v>
      </c>
    </row>
    <row r="3283" spans="1:12" ht="15.35" x14ac:dyDescent="0.55000000000000004">
      <c r="A3283" s="20">
        <v>17264</v>
      </c>
      <c r="B3283" s="2" t="s">
        <v>169</v>
      </c>
      <c r="C3283" s="2" t="s">
        <v>170</v>
      </c>
      <c r="D3283" s="20">
        <v>0</v>
      </c>
      <c r="E3283" s="2" t="s">
        <v>838</v>
      </c>
      <c r="F3283" s="2" t="s">
        <v>817</v>
      </c>
      <c r="G3283" s="2" t="s">
        <v>3575</v>
      </c>
      <c r="J3283" s="26"/>
      <c r="K3283" s="36">
        <v>6.7299999999999996E-5</v>
      </c>
      <c r="L3283" s="23">
        <v>1.6820000000000002E-5</v>
      </c>
    </row>
    <row r="3284" spans="1:12" ht="15.35" x14ac:dyDescent="0.55000000000000004">
      <c r="A3284" s="20">
        <v>17023</v>
      </c>
      <c r="B3284" s="2" t="s">
        <v>169</v>
      </c>
      <c r="C3284" s="2" t="s">
        <v>170</v>
      </c>
      <c r="D3284" s="20">
        <v>0</v>
      </c>
      <c r="E3284" s="2" t="s">
        <v>838</v>
      </c>
      <c r="F3284" s="2" t="s">
        <v>817</v>
      </c>
      <c r="G3284" s="2" t="s">
        <v>3576</v>
      </c>
      <c r="J3284" s="26"/>
      <c r="K3284" s="36">
        <v>7.1260000000000006E-5</v>
      </c>
      <c r="L3284" s="23">
        <v>1.7819999999999999E-5</v>
      </c>
    </row>
    <row r="3285" spans="1:12" ht="15.35" x14ac:dyDescent="0.55000000000000004">
      <c r="A3285" s="20">
        <v>17020</v>
      </c>
      <c r="B3285" s="2" t="s">
        <v>169</v>
      </c>
      <c r="C3285" s="2" t="s">
        <v>170</v>
      </c>
      <c r="D3285" s="20">
        <v>0</v>
      </c>
      <c r="E3285" s="2" t="s">
        <v>838</v>
      </c>
      <c r="F3285" s="2" t="s">
        <v>817</v>
      </c>
      <c r="G3285" s="2" t="s">
        <v>3577</v>
      </c>
      <c r="J3285" s="26"/>
      <c r="K3285" s="36">
        <v>6.334E-5</v>
      </c>
      <c r="L3285" s="23">
        <v>1.5840000000000001E-5</v>
      </c>
    </row>
    <row r="3286" spans="1:12" ht="15.35" x14ac:dyDescent="0.55000000000000004">
      <c r="A3286" s="20">
        <v>17178</v>
      </c>
      <c r="B3286" s="2" t="s">
        <v>169</v>
      </c>
      <c r="C3286" s="2" t="s">
        <v>170</v>
      </c>
      <c r="D3286" s="20">
        <v>0</v>
      </c>
      <c r="E3286" s="2" t="s">
        <v>838</v>
      </c>
      <c r="F3286" s="2" t="s">
        <v>817</v>
      </c>
      <c r="G3286" s="2" t="s">
        <v>3578</v>
      </c>
      <c r="J3286" s="26"/>
      <c r="K3286" s="36">
        <v>6.7299999999999996E-5</v>
      </c>
      <c r="L3286" s="23">
        <v>1.6820000000000002E-5</v>
      </c>
    </row>
    <row r="3287" spans="1:12" ht="15.35" x14ac:dyDescent="0.55000000000000004">
      <c r="A3287" s="20">
        <v>17633</v>
      </c>
      <c r="B3287" s="2" t="s">
        <v>169</v>
      </c>
      <c r="C3287" s="2" t="s">
        <v>170</v>
      </c>
      <c r="D3287" s="20">
        <v>0</v>
      </c>
      <c r="E3287" s="2" t="s">
        <v>838</v>
      </c>
      <c r="F3287" s="2" t="s">
        <v>817</v>
      </c>
      <c r="G3287" s="2" t="s">
        <v>3579</v>
      </c>
      <c r="J3287" s="26"/>
      <c r="K3287" s="36">
        <v>7.1260000000000006E-5</v>
      </c>
      <c r="L3287" s="23">
        <v>1.7819999999999999E-5</v>
      </c>
    </row>
    <row r="3288" spans="1:12" ht="15.35" x14ac:dyDescent="0.55000000000000004">
      <c r="A3288" s="20">
        <v>16861</v>
      </c>
      <c r="B3288" s="2" t="s">
        <v>169</v>
      </c>
      <c r="C3288" s="2" t="s">
        <v>170</v>
      </c>
      <c r="D3288" s="20">
        <v>0</v>
      </c>
      <c r="E3288" s="2" t="s">
        <v>838</v>
      </c>
      <c r="F3288" s="2" t="s">
        <v>817</v>
      </c>
      <c r="G3288" s="2" t="s">
        <v>3580</v>
      </c>
      <c r="J3288" s="26"/>
      <c r="K3288" s="36">
        <v>6.7299999999999996E-5</v>
      </c>
      <c r="L3288" s="23">
        <v>1.6820000000000002E-5</v>
      </c>
    </row>
    <row r="3289" spans="1:12" ht="15.35" x14ac:dyDescent="0.55000000000000004">
      <c r="A3289" s="20">
        <v>17341</v>
      </c>
      <c r="B3289" s="2" t="s">
        <v>169</v>
      </c>
      <c r="C3289" s="2" t="s">
        <v>170</v>
      </c>
      <c r="D3289" s="20">
        <v>0</v>
      </c>
      <c r="E3289" s="2" t="s">
        <v>838</v>
      </c>
      <c r="F3289" s="2" t="s">
        <v>817</v>
      </c>
      <c r="G3289" s="2" t="s">
        <v>3581</v>
      </c>
      <c r="J3289" s="26"/>
      <c r="K3289" s="36">
        <v>6.7299999999999996E-5</v>
      </c>
      <c r="L3289" s="23">
        <v>1.6820000000000002E-5</v>
      </c>
    </row>
    <row r="3290" spans="1:12" ht="15.35" x14ac:dyDescent="0.55000000000000004">
      <c r="A3290" s="20">
        <v>17087</v>
      </c>
      <c r="B3290" s="2" t="s">
        <v>169</v>
      </c>
      <c r="C3290" s="2" t="s">
        <v>170</v>
      </c>
      <c r="D3290" s="20">
        <v>0</v>
      </c>
      <c r="E3290" s="2" t="s">
        <v>838</v>
      </c>
      <c r="F3290" s="2" t="s">
        <v>817</v>
      </c>
      <c r="G3290" s="2" t="s">
        <v>3582</v>
      </c>
      <c r="J3290" s="26"/>
      <c r="K3290" s="36">
        <v>7.1260000000000006E-5</v>
      </c>
      <c r="L3290" s="23">
        <v>1.7819999999999999E-5</v>
      </c>
    </row>
    <row r="3291" spans="1:12" ht="15.35" x14ac:dyDescent="0.55000000000000004">
      <c r="A3291" s="20">
        <v>16907</v>
      </c>
      <c r="B3291" s="2" t="s">
        <v>169</v>
      </c>
      <c r="C3291" s="2" t="s">
        <v>170</v>
      </c>
      <c r="D3291" s="20">
        <v>0</v>
      </c>
      <c r="E3291" s="2" t="s">
        <v>838</v>
      </c>
      <c r="F3291" s="2" t="s">
        <v>817</v>
      </c>
      <c r="G3291" s="2" t="s">
        <v>3583</v>
      </c>
      <c r="J3291" s="26"/>
      <c r="K3291" s="36">
        <v>7.1260000000000006E-5</v>
      </c>
      <c r="L3291" s="23">
        <v>1.7819999999999999E-5</v>
      </c>
    </row>
    <row r="3292" spans="1:12" ht="15.35" x14ac:dyDescent="0.55000000000000004">
      <c r="A3292" s="20">
        <v>17138</v>
      </c>
      <c r="B3292" s="2" t="s">
        <v>169</v>
      </c>
      <c r="C3292" s="2" t="s">
        <v>170</v>
      </c>
      <c r="D3292" s="20">
        <v>0</v>
      </c>
      <c r="E3292" s="2" t="s">
        <v>838</v>
      </c>
      <c r="F3292" s="2" t="s">
        <v>817</v>
      </c>
      <c r="G3292" s="2" t="s">
        <v>3584</v>
      </c>
      <c r="J3292" s="26"/>
      <c r="K3292" s="36">
        <v>6.7299999999999996E-5</v>
      </c>
      <c r="L3292" s="23">
        <v>1.6820000000000002E-5</v>
      </c>
    </row>
    <row r="3293" spans="1:12" ht="15.35" hidden="1" x14ac:dyDescent="0.55000000000000004">
      <c r="A3293" s="20">
        <v>17030</v>
      </c>
      <c r="B3293" s="2" t="s">
        <v>169</v>
      </c>
      <c r="C3293" s="2" t="s">
        <v>170</v>
      </c>
      <c r="D3293" s="20">
        <v>0</v>
      </c>
      <c r="E3293" s="2" t="s">
        <v>838</v>
      </c>
      <c r="F3293" s="2" t="s">
        <v>798</v>
      </c>
      <c r="G3293" s="2" t="s">
        <v>2869</v>
      </c>
      <c r="H3293" s="2" t="s">
        <v>1184</v>
      </c>
      <c r="J3293" s="26"/>
      <c r="K3293" s="36">
        <v>2.6697600000000002E-3</v>
      </c>
      <c r="L3293" s="23">
        <v>6.6744000000000005E-4</v>
      </c>
    </row>
    <row r="3294" spans="1:12" ht="15.35" hidden="1" x14ac:dyDescent="0.55000000000000004">
      <c r="A3294" s="20">
        <v>17003</v>
      </c>
      <c r="B3294" s="2" t="s">
        <v>169</v>
      </c>
      <c r="C3294" s="2" t="s">
        <v>170</v>
      </c>
      <c r="D3294" s="20">
        <v>0</v>
      </c>
      <c r="E3294" s="2" t="s">
        <v>838</v>
      </c>
      <c r="F3294" s="2" t="s">
        <v>798</v>
      </c>
      <c r="G3294" s="2" t="s">
        <v>2870</v>
      </c>
      <c r="H3294" s="2" t="s">
        <v>1184</v>
      </c>
      <c r="J3294" s="26"/>
      <c r="K3294" s="36">
        <v>1.53502E-3</v>
      </c>
      <c r="L3294" s="23">
        <v>3.8374999999999998E-4</v>
      </c>
    </row>
    <row r="3295" spans="1:12" ht="15.35" hidden="1" x14ac:dyDescent="0.55000000000000004">
      <c r="A3295" s="20">
        <v>17704</v>
      </c>
      <c r="B3295" s="2" t="s">
        <v>169</v>
      </c>
      <c r="C3295" s="2" t="s">
        <v>170</v>
      </c>
      <c r="D3295" s="20">
        <v>0</v>
      </c>
      <c r="E3295" s="2" t="s">
        <v>838</v>
      </c>
      <c r="F3295" s="2" t="s">
        <v>793</v>
      </c>
      <c r="G3295" s="2" t="s">
        <v>3585</v>
      </c>
      <c r="H3295" s="2" t="s">
        <v>1184</v>
      </c>
      <c r="J3295" s="26"/>
      <c r="K3295" s="36">
        <v>3.0031300000000001E-3</v>
      </c>
      <c r="L3295" s="23">
        <v>7.5078000000000005E-4</v>
      </c>
    </row>
    <row r="3296" spans="1:12" ht="15.35" hidden="1" x14ac:dyDescent="0.55000000000000004">
      <c r="A3296" s="20">
        <v>17523</v>
      </c>
      <c r="B3296" s="2" t="s">
        <v>169</v>
      </c>
      <c r="C3296" s="2" t="s">
        <v>170</v>
      </c>
      <c r="D3296" s="20">
        <v>0</v>
      </c>
      <c r="E3296" s="2" t="s">
        <v>838</v>
      </c>
      <c r="F3296" s="2" t="s">
        <v>793</v>
      </c>
      <c r="G3296" s="2" t="s">
        <v>3586</v>
      </c>
      <c r="H3296" s="2" t="s">
        <v>1184</v>
      </c>
      <c r="J3296" s="26"/>
      <c r="K3296" s="36">
        <v>2.6697600000000002E-3</v>
      </c>
      <c r="L3296" s="23">
        <v>6.6744000000000005E-4</v>
      </c>
    </row>
    <row r="3297" spans="1:12" ht="15.35" hidden="1" x14ac:dyDescent="0.55000000000000004">
      <c r="A3297" s="20">
        <v>17060</v>
      </c>
      <c r="B3297" s="2" t="s">
        <v>169</v>
      </c>
      <c r="C3297" s="2" t="s">
        <v>170</v>
      </c>
      <c r="D3297" s="20">
        <v>0</v>
      </c>
      <c r="E3297" s="2" t="s">
        <v>838</v>
      </c>
      <c r="F3297" s="2" t="s">
        <v>793</v>
      </c>
      <c r="G3297" s="2" t="s">
        <v>3587</v>
      </c>
      <c r="H3297" s="2" t="s">
        <v>1184</v>
      </c>
      <c r="J3297" s="26"/>
      <c r="K3297" s="36">
        <v>1.8018800000000001E-3</v>
      </c>
      <c r="L3297" s="23">
        <v>4.5047000000000002E-4</v>
      </c>
    </row>
    <row r="3298" spans="1:12" ht="15.35" hidden="1" x14ac:dyDescent="0.55000000000000004">
      <c r="A3298" s="20">
        <v>17685</v>
      </c>
      <c r="B3298" s="2" t="s">
        <v>169</v>
      </c>
      <c r="C3298" s="2" t="s">
        <v>170</v>
      </c>
      <c r="D3298" s="20">
        <v>0</v>
      </c>
      <c r="E3298" s="2" t="s">
        <v>838</v>
      </c>
      <c r="F3298" s="2" t="s">
        <v>787</v>
      </c>
      <c r="G3298" s="2" t="s">
        <v>975</v>
      </c>
      <c r="H3298" s="2" t="s">
        <v>975</v>
      </c>
      <c r="J3298" s="26"/>
      <c r="K3298" s="36">
        <v>4.4221499999999997E-3</v>
      </c>
      <c r="L3298" s="23">
        <v>1.1055399999999999E-3</v>
      </c>
    </row>
    <row r="3299" spans="1:12" ht="15.35" x14ac:dyDescent="0.55000000000000004">
      <c r="A3299" s="20">
        <v>17545</v>
      </c>
      <c r="B3299" s="2" t="s">
        <v>169</v>
      </c>
      <c r="C3299" s="2" t="s">
        <v>170</v>
      </c>
      <c r="D3299" s="20">
        <v>0</v>
      </c>
      <c r="E3299" s="2" t="s">
        <v>838</v>
      </c>
      <c r="F3299" s="2" t="s">
        <v>793</v>
      </c>
      <c r="G3299" s="2" t="s">
        <v>2874</v>
      </c>
      <c r="J3299" s="26"/>
      <c r="K3299" s="36">
        <v>4.2681000000000001E-4</v>
      </c>
      <c r="L3299" s="23">
        <v>1.0670000000000001E-4</v>
      </c>
    </row>
    <row r="3300" spans="1:12" ht="15.35" hidden="1" x14ac:dyDescent="0.55000000000000004">
      <c r="A3300" s="20">
        <v>16857</v>
      </c>
      <c r="B3300" s="2" t="s">
        <v>169</v>
      </c>
      <c r="C3300" s="2" t="s">
        <v>170</v>
      </c>
      <c r="D3300" s="20">
        <v>0</v>
      </c>
      <c r="E3300" s="2" t="s">
        <v>838</v>
      </c>
      <c r="F3300" s="2" t="s">
        <v>848</v>
      </c>
      <c r="G3300" s="2" t="s">
        <v>1042</v>
      </c>
      <c r="H3300" s="2" t="s">
        <v>1042</v>
      </c>
      <c r="J3300" s="26"/>
      <c r="K3300" s="36">
        <v>2.5339500000000001E-3</v>
      </c>
      <c r="L3300" s="23">
        <v>6.3349000000000001E-4</v>
      </c>
    </row>
    <row r="3301" spans="1:12" ht="15.35" x14ac:dyDescent="0.55000000000000004">
      <c r="A3301" s="20">
        <v>17069</v>
      </c>
      <c r="B3301" s="2" t="s">
        <v>169</v>
      </c>
      <c r="C3301" s="2" t="s">
        <v>170</v>
      </c>
      <c r="D3301" s="20">
        <v>0</v>
      </c>
      <c r="E3301" s="2" t="s">
        <v>838</v>
      </c>
      <c r="F3301" s="2" t="s">
        <v>793</v>
      </c>
      <c r="G3301" s="2" t="s">
        <v>3588</v>
      </c>
      <c r="J3301" s="26"/>
      <c r="K3301" s="36">
        <v>3.7613000000000002E-4</v>
      </c>
      <c r="L3301" s="23">
        <v>9.4030000000000006E-5</v>
      </c>
    </row>
    <row r="3302" spans="1:12" ht="15.35" x14ac:dyDescent="0.55000000000000004">
      <c r="A3302" s="20">
        <v>17303</v>
      </c>
      <c r="B3302" s="2" t="s">
        <v>169</v>
      </c>
      <c r="C3302" s="2" t="s">
        <v>170</v>
      </c>
      <c r="D3302" s="20">
        <v>0</v>
      </c>
      <c r="E3302" s="2" t="s">
        <v>838</v>
      </c>
      <c r="F3302" s="2" t="s">
        <v>793</v>
      </c>
      <c r="G3302" s="2" t="s">
        <v>2879</v>
      </c>
      <c r="J3302" s="26"/>
      <c r="K3302" s="36">
        <v>6.5320000000000005E-5</v>
      </c>
      <c r="L3302" s="23">
        <v>1.6330000000000001E-5</v>
      </c>
    </row>
    <row r="3303" spans="1:12" ht="15.35" hidden="1" x14ac:dyDescent="0.55000000000000004">
      <c r="A3303" s="20">
        <v>17331</v>
      </c>
      <c r="B3303" s="2" t="s">
        <v>169</v>
      </c>
      <c r="C3303" s="2" t="s">
        <v>170</v>
      </c>
      <c r="D3303" s="20">
        <v>0</v>
      </c>
      <c r="E3303" s="2" t="s">
        <v>838</v>
      </c>
      <c r="F3303" s="2" t="s">
        <v>817</v>
      </c>
      <c r="G3303" s="2" t="s">
        <v>2614</v>
      </c>
      <c r="H3303" s="2" t="s">
        <v>802</v>
      </c>
      <c r="J3303" s="26"/>
      <c r="K3303" s="36">
        <v>9.8981999999999998E-4</v>
      </c>
      <c r="L3303" s="23">
        <v>2.4746000000000002E-4</v>
      </c>
    </row>
    <row r="3304" spans="1:12" ht="15.35" hidden="1" x14ac:dyDescent="0.55000000000000004">
      <c r="A3304" s="20">
        <v>17348</v>
      </c>
      <c r="B3304" s="2" t="s">
        <v>169</v>
      </c>
      <c r="C3304" s="2" t="s">
        <v>170</v>
      </c>
      <c r="D3304" s="20">
        <v>0</v>
      </c>
      <c r="E3304" s="2" t="s">
        <v>838</v>
      </c>
      <c r="F3304" s="2" t="s">
        <v>798</v>
      </c>
      <c r="G3304" s="2" t="s">
        <v>3589</v>
      </c>
      <c r="H3304" s="2" t="s">
        <v>802</v>
      </c>
      <c r="J3304" s="26"/>
      <c r="K3304" s="36">
        <v>9.9770000000000002E-5</v>
      </c>
      <c r="L3304" s="23">
        <v>2.4939999999999998E-5</v>
      </c>
    </row>
    <row r="3305" spans="1:12" ht="15.35" hidden="1" x14ac:dyDescent="0.55000000000000004">
      <c r="A3305" s="20">
        <v>16874</v>
      </c>
      <c r="B3305" s="2" t="s">
        <v>169</v>
      </c>
      <c r="C3305" s="2" t="s">
        <v>170</v>
      </c>
      <c r="D3305" s="20">
        <v>0</v>
      </c>
      <c r="E3305" s="2" t="s">
        <v>838</v>
      </c>
      <c r="F3305" s="2" t="s">
        <v>798</v>
      </c>
      <c r="G3305" s="2" t="s">
        <v>3590</v>
      </c>
      <c r="H3305" s="2" t="s">
        <v>802</v>
      </c>
      <c r="J3305" s="26"/>
      <c r="K3305" s="36">
        <v>3.3336999999999999E-4</v>
      </c>
      <c r="L3305" s="23">
        <v>8.3339999999999998E-5</v>
      </c>
    </row>
    <row r="3306" spans="1:12" ht="15.35" hidden="1" x14ac:dyDescent="0.55000000000000004">
      <c r="A3306" s="20">
        <v>16896</v>
      </c>
      <c r="B3306" s="2" t="s">
        <v>169</v>
      </c>
      <c r="C3306" s="2" t="s">
        <v>170</v>
      </c>
      <c r="D3306" s="20">
        <v>0</v>
      </c>
      <c r="E3306" s="2" t="s">
        <v>838</v>
      </c>
      <c r="F3306" s="2" t="s">
        <v>793</v>
      </c>
      <c r="G3306" s="2" t="s">
        <v>2883</v>
      </c>
      <c r="H3306" s="2" t="s">
        <v>802</v>
      </c>
      <c r="J3306" s="26"/>
      <c r="K3306" s="36">
        <v>1.33468E-3</v>
      </c>
      <c r="L3306" s="23">
        <v>3.3367E-4</v>
      </c>
    </row>
    <row r="3307" spans="1:12" ht="15.35" hidden="1" x14ac:dyDescent="0.55000000000000004">
      <c r="A3307" s="20">
        <v>17352</v>
      </c>
      <c r="B3307" s="2" t="s">
        <v>169</v>
      </c>
      <c r="C3307" s="2" t="s">
        <v>170</v>
      </c>
      <c r="D3307" s="20">
        <v>0</v>
      </c>
      <c r="E3307" s="2" t="s">
        <v>838</v>
      </c>
      <c r="F3307" s="2" t="s">
        <v>789</v>
      </c>
      <c r="G3307" s="2" t="s">
        <v>1316</v>
      </c>
      <c r="H3307" s="2" t="s">
        <v>1315</v>
      </c>
      <c r="J3307" s="26"/>
      <c r="K3307" s="36">
        <v>4.4221499999999997E-3</v>
      </c>
      <c r="L3307" s="23">
        <v>1.1055399999999999E-3</v>
      </c>
    </row>
    <row r="3308" spans="1:12" ht="15.35" hidden="1" x14ac:dyDescent="0.55000000000000004">
      <c r="A3308" s="20">
        <v>17225</v>
      </c>
      <c r="B3308" s="2" t="s">
        <v>169</v>
      </c>
      <c r="C3308" s="2" t="s">
        <v>170</v>
      </c>
      <c r="D3308" s="20">
        <v>0</v>
      </c>
      <c r="E3308" s="2" t="s">
        <v>838</v>
      </c>
      <c r="F3308" s="2" t="s">
        <v>789</v>
      </c>
      <c r="G3308" s="2" t="s">
        <v>3591</v>
      </c>
      <c r="H3308" s="2" t="s">
        <v>1315</v>
      </c>
      <c r="J3308" s="26"/>
      <c r="K3308" s="36">
        <v>4.4221499999999997E-3</v>
      </c>
      <c r="L3308" s="23">
        <v>1.1055399999999999E-3</v>
      </c>
    </row>
    <row r="3309" spans="1:12" ht="15.35" hidden="1" x14ac:dyDescent="0.55000000000000004">
      <c r="A3309" s="20">
        <v>17201</v>
      </c>
      <c r="B3309" s="2" t="s">
        <v>169</v>
      </c>
      <c r="C3309" s="2" t="s">
        <v>170</v>
      </c>
      <c r="D3309" s="20">
        <v>0</v>
      </c>
      <c r="E3309" s="2" t="s">
        <v>838</v>
      </c>
      <c r="F3309" s="2" t="s">
        <v>789</v>
      </c>
      <c r="G3309" s="2" t="s">
        <v>1319</v>
      </c>
      <c r="H3309" s="2" t="s">
        <v>1315</v>
      </c>
      <c r="J3309" s="26"/>
      <c r="K3309" s="36">
        <v>4.4221499999999997E-3</v>
      </c>
      <c r="L3309" s="23">
        <v>1.1055399999999999E-3</v>
      </c>
    </row>
    <row r="3310" spans="1:12" ht="15.35" hidden="1" x14ac:dyDescent="0.55000000000000004">
      <c r="A3310" s="20">
        <v>17287</v>
      </c>
      <c r="B3310" s="2" t="s">
        <v>169</v>
      </c>
      <c r="C3310" s="2" t="s">
        <v>170</v>
      </c>
      <c r="D3310" s="20">
        <v>0</v>
      </c>
      <c r="E3310" s="2" t="s">
        <v>838</v>
      </c>
      <c r="F3310" s="2" t="s">
        <v>789</v>
      </c>
      <c r="G3310" s="2" t="s">
        <v>3592</v>
      </c>
      <c r="H3310" s="2" t="s">
        <v>1315</v>
      </c>
      <c r="J3310" s="26"/>
      <c r="K3310" s="36">
        <v>4.4221499999999997E-3</v>
      </c>
      <c r="L3310" s="23">
        <v>1.1055399999999999E-3</v>
      </c>
    </row>
    <row r="3311" spans="1:12" ht="15.35" hidden="1" x14ac:dyDescent="0.55000000000000004">
      <c r="A3311" s="20">
        <v>17129</v>
      </c>
      <c r="B3311" s="2" t="s">
        <v>169</v>
      </c>
      <c r="C3311" s="2" t="s">
        <v>170</v>
      </c>
      <c r="D3311" s="20">
        <v>0</v>
      </c>
      <c r="E3311" s="2" t="s">
        <v>838</v>
      </c>
      <c r="F3311" s="2" t="s">
        <v>789</v>
      </c>
      <c r="G3311" s="2" t="s">
        <v>1322</v>
      </c>
      <c r="H3311" s="2" t="s">
        <v>1315</v>
      </c>
      <c r="J3311" s="26"/>
      <c r="K3311" s="36">
        <v>4.4221499999999997E-3</v>
      </c>
      <c r="L3311" s="23">
        <v>1.1055399999999999E-3</v>
      </c>
    </row>
    <row r="3312" spans="1:12" ht="15.35" hidden="1" x14ac:dyDescent="0.55000000000000004">
      <c r="A3312" s="20">
        <v>17276</v>
      </c>
      <c r="B3312" s="2" t="s">
        <v>169</v>
      </c>
      <c r="C3312" s="2" t="s">
        <v>170</v>
      </c>
      <c r="D3312" s="20">
        <v>0</v>
      </c>
      <c r="E3312" s="2" t="s">
        <v>838</v>
      </c>
      <c r="F3312" s="2" t="s">
        <v>789</v>
      </c>
      <c r="G3312" s="2" t="s">
        <v>1323</v>
      </c>
      <c r="H3312" s="2" t="s">
        <v>1315</v>
      </c>
      <c r="J3312" s="26"/>
      <c r="K3312" s="36">
        <v>2.2172099999999998E-3</v>
      </c>
      <c r="L3312" s="23">
        <v>5.5429999999999998E-4</v>
      </c>
    </row>
    <row r="3313" spans="1:12" ht="15.35" hidden="1" x14ac:dyDescent="0.55000000000000004">
      <c r="A3313" s="20">
        <v>17448</v>
      </c>
      <c r="B3313" s="2" t="s">
        <v>169</v>
      </c>
      <c r="C3313" s="2" t="s">
        <v>170</v>
      </c>
      <c r="D3313" s="20">
        <v>0</v>
      </c>
      <c r="E3313" s="2" t="s">
        <v>838</v>
      </c>
      <c r="F3313" s="2" t="s">
        <v>789</v>
      </c>
      <c r="G3313" s="2" t="s">
        <v>3593</v>
      </c>
      <c r="H3313" s="2" t="s">
        <v>3594</v>
      </c>
      <c r="J3313" s="26"/>
      <c r="K3313" s="36">
        <v>4.4221499999999997E-3</v>
      </c>
      <c r="L3313" s="23">
        <v>1.1055399999999999E-3</v>
      </c>
    </row>
    <row r="3314" spans="1:12" ht="15.35" hidden="1" x14ac:dyDescent="0.55000000000000004">
      <c r="A3314" s="20">
        <v>17589</v>
      </c>
      <c r="B3314" s="2" t="s">
        <v>169</v>
      </c>
      <c r="C3314" s="2" t="s">
        <v>170</v>
      </c>
      <c r="D3314" s="20">
        <v>0</v>
      </c>
      <c r="E3314" s="2" t="s">
        <v>838</v>
      </c>
      <c r="F3314" s="2" t="s">
        <v>811</v>
      </c>
      <c r="G3314" s="2" t="s">
        <v>3595</v>
      </c>
      <c r="H3314" s="2" t="s">
        <v>3596</v>
      </c>
      <c r="J3314" s="26"/>
      <c r="K3314" s="36">
        <v>5.3450000000000004E-4</v>
      </c>
      <c r="L3314" s="23">
        <v>1.3363000000000001E-4</v>
      </c>
    </row>
    <row r="3315" spans="1:12" ht="15.35" hidden="1" x14ac:dyDescent="0.55000000000000004">
      <c r="A3315" s="20">
        <v>17326</v>
      </c>
      <c r="B3315" s="2" t="s">
        <v>169</v>
      </c>
      <c r="C3315" s="2" t="s">
        <v>170</v>
      </c>
      <c r="D3315" s="20">
        <v>0</v>
      </c>
      <c r="E3315" s="2" t="s">
        <v>838</v>
      </c>
      <c r="F3315" s="2" t="s">
        <v>789</v>
      </c>
      <c r="G3315" s="2" t="s">
        <v>1324</v>
      </c>
      <c r="H3315" s="2" t="s">
        <v>1325</v>
      </c>
      <c r="J3315" s="26"/>
      <c r="K3315" s="36">
        <v>8.0057000000000001E-4</v>
      </c>
      <c r="L3315" s="23">
        <v>2.0013999999999999E-4</v>
      </c>
    </row>
    <row r="3316" spans="1:12" ht="15.35" hidden="1" x14ac:dyDescent="0.55000000000000004">
      <c r="A3316" s="20">
        <v>17086</v>
      </c>
      <c r="B3316" s="2" t="s">
        <v>169</v>
      </c>
      <c r="C3316" s="2" t="s">
        <v>170</v>
      </c>
      <c r="D3316" s="20">
        <v>0</v>
      </c>
      <c r="E3316" s="2" t="s">
        <v>838</v>
      </c>
      <c r="F3316" s="2" t="s">
        <v>793</v>
      </c>
      <c r="G3316" s="2" t="s">
        <v>3597</v>
      </c>
      <c r="H3316" s="2" t="s">
        <v>1940</v>
      </c>
      <c r="J3316" s="26"/>
      <c r="K3316" s="36">
        <v>1.9677E-4</v>
      </c>
      <c r="L3316" s="23">
        <v>4.9190000000000002E-5</v>
      </c>
    </row>
    <row r="3317" spans="1:12" ht="15.35" hidden="1" x14ac:dyDescent="0.55000000000000004">
      <c r="A3317" s="20">
        <v>17631</v>
      </c>
      <c r="B3317" s="2" t="s">
        <v>169</v>
      </c>
      <c r="C3317" s="2" t="s">
        <v>170</v>
      </c>
      <c r="D3317" s="20">
        <v>0</v>
      </c>
      <c r="E3317" s="2" t="s">
        <v>838</v>
      </c>
      <c r="F3317" s="2" t="s">
        <v>793</v>
      </c>
      <c r="G3317" s="2" t="s">
        <v>3598</v>
      </c>
      <c r="H3317" s="2" t="s">
        <v>1940</v>
      </c>
      <c r="J3317" s="26"/>
      <c r="K3317" s="36">
        <v>6.4140000000000006E-5</v>
      </c>
      <c r="L3317" s="23">
        <v>1.6039999999999999E-5</v>
      </c>
    </row>
    <row r="3318" spans="1:12" ht="15.35" hidden="1" x14ac:dyDescent="0.55000000000000004">
      <c r="A3318" s="20">
        <v>16990</v>
      </c>
      <c r="B3318" s="2" t="s">
        <v>169</v>
      </c>
      <c r="C3318" s="2" t="s">
        <v>170</v>
      </c>
      <c r="D3318" s="20">
        <v>0</v>
      </c>
      <c r="E3318" s="2" t="s">
        <v>838</v>
      </c>
      <c r="F3318" s="2" t="s">
        <v>793</v>
      </c>
      <c r="G3318" s="2" t="s">
        <v>3599</v>
      </c>
      <c r="H3318" s="2" t="s">
        <v>1940</v>
      </c>
      <c r="J3318" s="26"/>
      <c r="K3318" s="36">
        <v>6.8889999999999999E-5</v>
      </c>
      <c r="L3318" s="23">
        <v>1.7220000000000001E-5</v>
      </c>
    </row>
    <row r="3319" spans="1:12" ht="15.35" hidden="1" x14ac:dyDescent="0.55000000000000004">
      <c r="A3319" s="20">
        <v>17543</v>
      </c>
      <c r="B3319" s="2" t="s">
        <v>169</v>
      </c>
      <c r="C3319" s="2" t="s">
        <v>170</v>
      </c>
      <c r="D3319" s="20">
        <v>0</v>
      </c>
      <c r="E3319" s="2" t="s">
        <v>838</v>
      </c>
      <c r="F3319" s="2" t="s">
        <v>793</v>
      </c>
      <c r="G3319" s="2" t="s">
        <v>3600</v>
      </c>
      <c r="H3319" s="2" t="s">
        <v>1940</v>
      </c>
      <c r="J3319" s="26"/>
      <c r="K3319" s="36">
        <v>6.9280000000000001E-5</v>
      </c>
      <c r="L3319" s="23">
        <v>1.732E-5</v>
      </c>
    </row>
    <row r="3320" spans="1:12" ht="15.35" hidden="1" x14ac:dyDescent="0.55000000000000004">
      <c r="A3320" s="20">
        <v>17703</v>
      </c>
      <c r="B3320" s="2" t="s">
        <v>169</v>
      </c>
      <c r="C3320" s="2" t="s">
        <v>170</v>
      </c>
      <c r="D3320" s="20">
        <v>0</v>
      </c>
      <c r="E3320" s="2" t="s">
        <v>838</v>
      </c>
      <c r="F3320" s="2" t="s">
        <v>793</v>
      </c>
      <c r="G3320" s="2" t="s">
        <v>3601</v>
      </c>
      <c r="H3320" s="2" t="s">
        <v>1940</v>
      </c>
      <c r="J3320" s="26"/>
      <c r="K3320" s="36">
        <v>6.9280000000000001E-5</v>
      </c>
      <c r="L3320" s="23">
        <v>1.732E-5</v>
      </c>
    </row>
    <row r="3321" spans="1:12" ht="15.35" hidden="1" x14ac:dyDescent="0.55000000000000004">
      <c r="A3321" s="20">
        <v>17641</v>
      </c>
      <c r="B3321" s="2" t="s">
        <v>169</v>
      </c>
      <c r="C3321" s="2" t="s">
        <v>170</v>
      </c>
      <c r="D3321" s="20">
        <v>0</v>
      </c>
      <c r="E3321" s="2" t="s">
        <v>838</v>
      </c>
      <c r="F3321" s="2" t="s">
        <v>793</v>
      </c>
      <c r="G3321" s="2" t="s">
        <v>3602</v>
      </c>
      <c r="H3321" s="2" t="s">
        <v>1940</v>
      </c>
      <c r="J3321" s="26"/>
      <c r="K3321" s="36">
        <v>6.9280000000000001E-5</v>
      </c>
      <c r="L3321" s="23">
        <v>1.732E-5</v>
      </c>
    </row>
    <row r="3322" spans="1:12" ht="15.35" hidden="1" x14ac:dyDescent="0.55000000000000004">
      <c r="A3322" s="20">
        <v>17595</v>
      </c>
      <c r="B3322" s="2" t="s">
        <v>169</v>
      </c>
      <c r="C3322" s="2" t="s">
        <v>170</v>
      </c>
      <c r="D3322" s="20">
        <v>0</v>
      </c>
      <c r="E3322" s="2" t="s">
        <v>838</v>
      </c>
      <c r="F3322" s="2" t="s">
        <v>793</v>
      </c>
      <c r="G3322" s="2" t="s">
        <v>3603</v>
      </c>
      <c r="H3322" s="2" t="s">
        <v>1940</v>
      </c>
      <c r="J3322" s="26"/>
      <c r="K3322" s="36">
        <v>6.9280000000000001E-5</v>
      </c>
      <c r="L3322" s="23">
        <v>1.732E-5</v>
      </c>
    </row>
    <row r="3323" spans="1:12" ht="15.35" hidden="1" x14ac:dyDescent="0.55000000000000004">
      <c r="A3323" s="20">
        <v>17442</v>
      </c>
      <c r="B3323" s="2" t="s">
        <v>169</v>
      </c>
      <c r="C3323" s="2" t="s">
        <v>170</v>
      </c>
      <c r="D3323" s="20">
        <v>0</v>
      </c>
      <c r="E3323" s="2" t="s">
        <v>838</v>
      </c>
      <c r="F3323" s="2" t="s">
        <v>793</v>
      </c>
      <c r="G3323" s="2" t="s">
        <v>3604</v>
      </c>
      <c r="H3323" s="2" t="s">
        <v>1940</v>
      </c>
      <c r="J3323" s="26"/>
      <c r="K3323" s="36">
        <v>6.9280000000000001E-5</v>
      </c>
      <c r="L3323" s="23">
        <v>1.732E-5</v>
      </c>
    </row>
    <row r="3324" spans="1:12" ht="15.35" hidden="1" x14ac:dyDescent="0.55000000000000004">
      <c r="A3324" s="20">
        <v>16834</v>
      </c>
      <c r="B3324" s="2" t="s">
        <v>169</v>
      </c>
      <c r="C3324" s="2" t="s">
        <v>170</v>
      </c>
      <c r="D3324" s="20">
        <v>0</v>
      </c>
      <c r="E3324" s="2" t="s">
        <v>838</v>
      </c>
      <c r="F3324" s="2" t="s">
        <v>793</v>
      </c>
      <c r="G3324" s="2" t="s">
        <v>3605</v>
      </c>
      <c r="H3324" s="2" t="s">
        <v>1940</v>
      </c>
      <c r="J3324" s="26"/>
      <c r="K3324" s="36">
        <v>6.9280000000000001E-5</v>
      </c>
      <c r="L3324" s="23">
        <v>1.732E-5</v>
      </c>
    </row>
    <row r="3325" spans="1:12" ht="15.35" hidden="1" x14ac:dyDescent="0.55000000000000004">
      <c r="A3325" s="20">
        <v>17297</v>
      </c>
      <c r="B3325" s="2" t="s">
        <v>169</v>
      </c>
      <c r="C3325" s="2" t="s">
        <v>170</v>
      </c>
      <c r="D3325" s="20">
        <v>0</v>
      </c>
      <c r="E3325" s="2" t="s">
        <v>838</v>
      </c>
      <c r="F3325" s="2" t="s">
        <v>793</v>
      </c>
      <c r="G3325" s="2" t="s">
        <v>3606</v>
      </c>
      <c r="H3325" s="2" t="s">
        <v>1940</v>
      </c>
      <c r="J3325" s="26"/>
      <c r="K3325" s="36">
        <v>6.9280000000000001E-5</v>
      </c>
      <c r="L3325" s="23">
        <v>1.732E-5</v>
      </c>
    </row>
    <row r="3326" spans="1:12" ht="15.35" hidden="1" x14ac:dyDescent="0.55000000000000004">
      <c r="A3326" s="20">
        <v>16875</v>
      </c>
      <c r="B3326" s="2" t="s">
        <v>169</v>
      </c>
      <c r="C3326" s="2" t="s">
        <v>170</v>
      </c>
      <c r="D3326" s="20">
        <v>0</v>
      </c>
      <c r="E3326" s="2" t="s">
        <v>838</v>
      </c>
      <c r="F3326" s="2" t="s">
        <v>793</v>
      </c>
      <c r="G3326" s="2" t="s">
        <v>3607</v>
      </c>
      <c r="H3326" s="2" t="s">
        <v>1940</v>
      </c>
      <c r="J3326" s="26"/>
      <c r="K3326" s="36">
        <v>6.9280000000000001E-5</v>
      </c>
      <c r="L3326" s="23">
        <v>1.732E-5</v>
      </c>
    </row>
    <row r="3327" spans="1:12" ht="15.35" hidden="1" x14ac:dyDescent="0.55000000000000004">
      <c r="A3327" s="20">
        <v>16925</v>
      </c>
      <c r="B3327" s="2" t="s">
        <v>169</v>
      </c>
      <c r="C3327" s="2" t="s">
        <v>170</v>
      </c>
      <c r="D3327" s="20">
        <v>0</v>
      </c>
      <c r="E3327" s="2" t="s">
        <v>838</v>
      </c>
      <c r="F3327" s="2" t="s">
        <v>793</v>
      </c>
      <c r="G3327" s="2" t="s">
        <v>3608</v>
      </c>
      <c r="H3327" s="2" t="s">
        <v>1940</v>
      </c>
      <c r="J3327" s="26"/>
      <c r="K3327" s="36">
        <v>6.9280000000000001E-5</v>
      </c>
      <c r="L3327" s="23">
        <v>1.732E-5</v>
      </c>
    </row>
    <row r="3328" spans="1:12" ht="15.35" hidden="1" x14ac:dyDescent="0.55000000000000004">
      <c r="A3328" s="20">
        <v>17074</v>
      </c>
      <c r="B3328" s="2" t="s">
        <v>169</v>
      </c>
      <c r="C3328" s="2" t="s">
        <v>170</v>
      </c>
      <c r="D3328" s="20">
        <v>0</v>
      </c>
      <c r="E3328" s="2" t="s">
        <v>838</v>
      </c>
      <c r="F3328" s="2" t="s">
        <v>793</v>
      </c>
      <c r="G3328" s="2" t="s">
        <v>3609</v>
      </c>
      <c r="H3328" s="2" t="s">
        <v>1940</v>
      </c>
      <c r="J3328" s="26"/>
      <c r="K3328" s="36">
        <v>2.0715099999999999E-3</v>
      </c>
      <c r="L3328" s="23">
        <v>5.1787999999999997E-4</v>
      </c>
    </row>
    <row r="3329" spans="1:12" ht="15.35" hidden="1" x14ac:dyDescent="0.55000000000000004">
      <c r="A3329" s="20">
        <v>17064</v>
      </c>
      <c r="B3329" s="2" t="s">
        <v>169</v>
      </c>
      <c r="C3329" s="2" t="s">
        <v>170</v>
      </c>
      <c r="D3329" s="20">
        <v>0</v>
      </c>
      <c r="E3329" s="2" t="s">
        <v>838</v>
      </c>
      <c r="F3329" s="2" t="s">
        <v>793</v>
      </c>
      <c r="G3329" s="2" t="s">
        <v>3610</v>
      </c>
      <c r="H3329" s="2" t="s">
        <v>1940</v>
      </c>
      <c r="J3329" s="26"/>
      <c r="K3329" s="36">
        <v>6.9280000000000001E-5</v>
      </c>
      <c r="L3329" s="23">
        <v>1.732E-5</v>
      </c>
    </row>
    <row r="3330" spans="1:12" ht="15.35" hidden="1" x14ac:dyDescent="0.55000000000000004">
      <c r="A3330" s="20">
        <v>17229</v>
      </c>
      <c r="B3330" s="2" t="s">
        <v>169</v>
      </c>
      <c r="C3330" s="2" t="s">
        <v>170</v>
      </c>
      <c r="D3330" s="20">
        <v>0</v>
      </c>
      <c r="E3330" s="2" t="s">
        <v>838</v>
      </c>
      <c r="F3330" s="2" t="s">
        <v>793</v>
      </c>
      <c r="G3330" s="2" t="s">
        <v>3611</v>
      </c>
      <c r="H3330" s="2" t="s">
        <v>1940</v>
      </c>
      <c r="J3330" s="26"/>
      <c r="K3330" s="36">
        <v>2.0711100000000001E-3</v>
      </c>
      <c r="L3330" s="23">
        <v>5.1778000000000002E-4</v>
      </c>
    </row>
    <row r="3331" spans="1:12" ht="15.35" hidden="1" x14ac:dyDescent="0.55000000000000004">
      <c r="A3331" s="20">
        <v>16941</v>
      </c>
      <c r="B3331" s="2" t="s">
        <v>169</v>
      </c>
      <c r="C3331" s="2" t="s">
        <v>170</v>
      </c>
      <c r="D3331" s="20">
        <v>0</v>
      </c>
      <c r="E3331" s="2" t="s">
        <v>838</v>
      </c>
      <c r="F3331" s="2" t="s">
        <v>793</v>
      </c>
      <c r="G3331" s="2" t="s">
        <v>3612</v>
      </c>
      <c r="H3331" s="2" t="s">
        <v>1940</v>
      </c>
      <c r="J3331" s="26"/>
      <c r="K3331" s="36">
        <v>6.8889999999999999E-5</v>
      </c>
      <c r="L3331" s="23">
        <v>1.7220000000000001E-5</v>
      </c>
    </row>
    <row r="3332" spans="1:12" ht="15.35" hidden="1" x14ac:dyDescent="0.55000000000000004">
      <c r="A3332" s="20">
        <v>17578</v>
      </c>
      <c r="B3332" s="2" t="s">
        <v>169</v>
      </c>
      <c r="C3332" s="2" t="s">
        <v>170</v>
      </c>
      <c r="D3332" s="20">
        <v>0</v>
      </c>
      <c r="E3332" s="2" t="s">
        <v>838</v>
      </c>
      <c r="F3332" s="2" t="s">
        <v>793</v>
      </c>
      <c r="G3332" s="2" t="s">
        <v>3613</v>
      </c>
      <c r="H3332" s="2" t="s">
        <v>1940</v>
      </c>
      <c r="J3332" s="26"/>
      <c r="K3332" s="36">
        <v>6.8889999999999999E-5</v>
      </c>
      <c r="L3332" s="23">
        <v>1.7220000000000001E-5</v>
      </c>
    </row>
    <row r="3333" spans="1:12" ht="15.35" hidden="1" x14ac:dyDescent="0.55000000000000004">
      <c r="A3333" s="20">
        <v>16802</v>
      </c>
      <c r="B3333" s="2" t="s">
        <v>169</v>
      </c>
      <c r="C3333" s="2" t="s">
        <v>170</v>
      </c>
      <c r="D3333" s="20">
        <v>0</v>
      </c>
      <c r="E3333" s="2" t="s">
        <v>838</v>
      </c>
      <c r="F3333" s="2" t="s">
        <v>793</v>
      </c>
      <c r="G3333" s="2" t="s">
        <v>3614</v>
      </c>
      <c r="H3333" s="2" t="s">
        <v>1940</v>
      </c>
      <c r="J3333" s="26"/>
      <c r="K3333" s="36">
        <v>6.8889999999999999E-5</v>
      </c>
      <c r="L3333" s="23">
        <v>1.7220000000000001E-5</v>
      </c>
    </row>
    <row r="3334" spans="1:12" ht="15.35" hidden="1" x14ac:dyDescent="0.55000000000000004">
      <c r="A3334" s="20">
        <v>17017</v>
      </c>
      <c r="B3334" s="2" t="s">
        <v>169</v>
      </c>
      <c r="C3334" s="2" t="s">
        <v>170</v>
      </c>
      <c r="D3334" s="20">
        <v>0</v>
      </c>
      <c r="E3334" s="2" t="s">
        <v>838</v>
      </c>
      <c r="F3334" s="2" t="s">
        <v>793</v>
      </c>
      <c r="G3334" s="2" t="s">
        <v>3615</v>
      </c>
      <c r="H3334" s="2" t="s">
        <v>1940</v>
      </c>
      <c r="J3334" s="26"/>
      <c r="K3334" s="36">
        <v>6.8889999999999999E-5</v>
      </c>
      <c r="L3334" s="23">
        <v>1.7220000000000001E-5</v>
      </c>
    </row>
    <row r="3335" spans="1:12" ht="15.35" hidden="1" x14ac:dyDescent="0.55000000000000004">
      <c r="A3335" s="20">
        <v>17540</v>
      </c>
      <c r="B3335" s="2" t="s">
        <v>169</v>
      </c>
      <c r="C3335" s="2" t="s">
        <v>170</v>
      </c>
      <c r="D3335" s="20">
        <v>0</v>
      </c>
      <c r="E3335" s="2" t="s">
        <v>838</v>
      </c>
      <c r="F3335" s="2" t="s">
        <v>793</v>
      </c>
      <c r="G3335" s="2" t="s">
        <v>3616</v>
      </c>
      <c r="H3335" s="2" t="s">
        <v>1940</v>
      </c>
      <c r="J3335" s="26"/>
      <c r="K3335" s="36">
        <v>6.8889999999999999E-5</v>
      </c>
      <c r="L3335" s="23">
        <v>1.7220000000000001E-5</v>
      </c>
    </row>
    <row r="3336" spans="1:12" ht="15.35" hidden="1" x14ac:dyDescent="0.55000000000000004">
      <c r="A3336" s="20">
        <v>17029</v>
      </c>
      <c r="B3336" s="2" t="s">
        <v>169</v>
      </c>
      <c r="C3336" s="2" t="s">
        <v>170</v>
      </c>
      <c r="D3336" s="20">
        <v>0</v>
      </c>
      <c r="E3336" s="2" t="s">
        <v>838</v>
      </c>
      <c r="F3336" s="2" t="s">
        <v>793</v>
      </c>
      <c r="G3336" s="2" t="s">
        <v>3617</v>
      </c>
      <c r="H3336" s="2" t="s">
        <v>1940</v>
      </c>
      <c r="J3336" s="26"/>
      <c r="K3336" s="36">
        <v>6.8889999999999999E-5</v>
      </c>
      <c r="L3336" s="23">
        <v>1.7220000000000001E-5</v>
      </c>
    </row>
    <row r="3337" spans="1:12" ht="15.35" hidden="1" x14ac:dyDescent="0.55000000000000004">
      <c r="A3337" s="20">
        <v>16974</v>
      </c>
      <c r="B3337" s="2" t="s">
        <v>169</v>
      </c>
      <c r="C3337" s="2" t="s">
        <v>170</v>
      </c>
      <c r="D3337" s="20">
        <v>0</v>
      </c>
      <c r="E3337" s="2" t="s">
        <v>838</v>
      </c>
      <c r="F3337" s="2" t="s">
        <v>793</v>
      </c>
      <c r="G3337" s="2" t="s">
        <v>3618</v>
      </c>
      <c r="H3337" s="2" t="s">
        <v>1940</v>
      </c>
      <c r="J3337" s="26"/>
      <c r="K3337" s="36">
        <v>6.8889999999999999E-5</v>
      </c>
      <c r="L3337" s="23">
        <v>1.7220000000000001E-5</v>
      </c>
    </row>
    <row r="3338" spans="1:12" ht="15.35" hidden="1" x14ac:dyDescent="0.55000000000000004">
      <c r="A3338" s="20">
        <v>16919</v>
      </c>
      <c r="B3338" s="2" t="s">
        <v>169</v>
      </c>
      <c r="C3338" s="2" t="s">
        <v>170</v>
      </c>
      <c r="D3338" s="20">
        <v>0</v>
      </c>
      <c r="E3338" s="2" t="s">
        <v>838</v>
      </c>
      <c r="F3338" s="2" t="s">
        <v>787</v>
      </c>
      <c r="G3338" s="2" t="s">
        <v>1049</v>
      </c>
      <c r="H3338" s="2" t="s">
        <v>1049</v>
      </c>
      <c r="J3338" s="26"/>
      <c r="K3338" s="36">
        <v>2.6923300000000002E-3</v>
      </c>
      <c r="L3338" s="23">
        <v>6.7308000000000005E-4</v>
      </c>
    </row>
    <row r="3339" spans="1:12" ht="15.35" hidden="1" x14ac:dyDescent="0.55000000000000004">
      <c r="A3339" s="20">
        <v>17367</v>
      </c>
      <c r="B3339" s="2" t="s">
        <v>169</v>
      </c>
      <c r="C3339" s="2" t="s">
        <v>170</v>
      </c>
      <c r="D3339" s="20">
        <v>0</v>
      </c>
      <c r="E3339" s="2" t="s">
        <v>838</v>
      </c>
      <c r="F3339" s="2" t="s">
        <v>793</v>
      </c>
      <c r="G3339" s="2" t="s">
        <v>1971</v>
      </c>
      <c r="H3339" s="2" t="s">
        <v>1331</v>
      </c>
      <c r="J3339" s="26"/>
      <c r="K3339" s="36">
        <v>5.7410000000000001E-5</v>
      </c>
      <c r="L3339" s="23">
        <v>1.435E-5</v>
      </c>
    </row>
    <row r="3340" spans="1:12" ht="15.35" hidden="1" x14ac:dyDescent="0.55000000000000004">
      <c r="A3340" s="20">
        <v>17512</v>
      </c>
      <c r="B3340" s="2" t="s">
        <v>169</v>
      </c>
      <c r="C3340" s="2" t="s">
        <v>170</v>
      </c>
      <c r="D3340" s="20">
        <v>0</v>
      </c>
      <c r="E3340" s="2" t="s">
        <v>838</v>
      </c>
      <c r="F3340" s="2" t="s">
        <v>817</v>
      </c>
      <c r="G3340" s="2" t="s">
        <v>1972</v>
      </c>
      <c r="H3340" s="2" t="s">
        <v>1973</v>
      </c>
      <c r="J3340" s="26"/>
      <c r="K3340" s="36">
        <v>9.9774E-4</v>
      </c>
      <c r="L3340" s="23">
        <v>2.4944000000000002E-4</v>
      </c>
    </row>
    <row r="3341" spans="1:12" ht="15.35" hidden="1" x14ac:dyDescent="0.55000000000000004">
      <c r="A3341" s="20">
        <v>17322</v>
      </c>
      <c r="B3341" s="2" t="s">
        <v>169</v>
      </c>
      <c r="C3341" s="2" t="s">
        <v>170</v>
      </c>
      <c r="D3341" s="20">
        <v>0</v>
      </c>
      <c r="E3341" s="2" t="s">
        <v>838</v>
      </c>
      <c r="F3341" s="2" t="s">
        <v>848</v>
      </c>
      <c r="G3341" s="2" t="s">
        <v>1050</v>
      </c>
      <c r="H3341" s="2" t="s">
        <v>1050</v>
      </c>
      <c r="J3341" s="26"/>
      <c r="K3341" s="36">
        <v>4.4221499999999997E-3</v>
      </c>
      <c r="L3341" s="23">
        <v>1.1055399999999999E-3</v>
      </c>
    </row>
    <row r="3342" spans="1:12" ht="15.35" hidden="1" x14ac:dyDescent="0.55000000000000004">
      <c r="A3342" s="20">
        <v>16841</v>
      </c>
      <c r="B3342" s="2" t="s">
        <v>169</v>
      </c>
      <c r="C3342" s="2" t="s">
        <v>170</v>
      </c>
      <c r="D3342" s="20">
        <v>0</v>
      </c>
      <c r="E3342" s="2" t="s">
        <v>838</v>
      </c>
      <c r="F3342" s="2" t="s">
        <v>787</v>
      </c>
      <c r="G3342" s="2" t="s">
        <v>850</v>
      </c>
      <c r="H3342" s="2" t="s">
        <v>850</v>
      </c>
      <c r="J3342" s="26"/>
      <c r="K3342" s="36">
        <v>4.4221499999999997E-3</v>
      </c>
      <c r="L3342" s="23">
        <v>1.1055399999999999E-3</v>
      </c>
    </row>
    <row r="3343" spans="1:12" ht="15.35" hidden="1" x14ac:dyDescent="0.55000000000000004">
      <c r="A3343" s="20">
        <v>16892</v>
      </c>
      <c r="B3343" s="2" t="s">
        <v>169</v>
      </c>
      <c r="C3343" s="2" t="s">
        <v>170</v>
      </c>
      <c r="D3343" s="20">
        <v>0</v>
      </c>
      <c r="E3343" s="2" t="s">
        <v>838</v>
      </c>
      <c r="F3343" s="2" t="s">
        <v>793</v>
      </c>
      <c r="G3343" s="2" t="s">
        <v>2896</v>
      </c>
      <c r="H3343" s="2" t="s">
        <v>850</v>
      </c>
      <c r="J3343" s="26"/>
      <c r="K3343" s="36">
        <v>2.33599E-3</v>
      </c>
      <c r="L3343" s="23">
        <v>5.8399999999999999E-4</v>
      </c>
    </row>
    <row r="3344" spans="1:12" ht="15.35" hidden="1" x14ac:dyDescent="0.55000000000000004">
      <c r="A3344" s="20">
        <v>17672</v>
      </c>
      <c r="B3344" s="2" t="s">
        <v>169</v>
      </c>
      <c r="C3344" s="2" t="s">
        <v>170</v>
      </c>
      <c r="D3344" s="20">
        <v>0</v>
      </c>
      <c r="E3344" s="2" t="s">
        <v>838</v>
      </c>
      <c r="F3344" s="2" t="s">
        <v>793</v>
      </c>
      <c r="G3344" s="2" t="s">
        <v>3619</v>
      </c>
      <c r="H3344" s="2" t="s">
        <v>850</v>
      </c>
      <c r="J3344" s="26"/>
      <c r="K3344" s="36">
        <v>6.6909999999999995E-5</v>
      </c>
      <c r="L3344" s="23">
        <v>1.6730000000000001E-5</v>
      </c>
    </row>
    <row r="3345" spans="1:12" ht="15.35" hidden="1" x14ac:dyDescent="0.55000000000000004">
      <c r="A3345" s="20">
        <v>17648</v>
      </c>
      <c r="B3345" s="2" t="s">
        <v>169</v>
      </c>
      <c r="C3345" s="2" t="s">
        <v>170</v>
      </c>
      <c r="D3345" s="20">
        <v>0</v>
      </c>
      <c r="E3345" s="2" t="s">
        <v>838</v>
      </c>
      <c r="F3345" s="2" t="s">
        <v>793</v>
      </c>
      <c r="G3345" s="2" t="s">
        <v>3620</v>
      </c>
      <c r="H3345" s="2" t="s">
        <v>850</v>
      </c>
      <c r="J3345" s="26"/>
      <c r="K3345" s="36">
        <v>6.6909999999999995E-5</v>
      </c>
      <c r="L3345" s="23">
        <v>1.6730000000000001E-5</v>
      </c>
    </row>
    <row r="3346" spans="1:12" ht="15.35" hidden="1" x14ac:dyDescent="0.55000000000000004">
      <c r="A3346" s="20">
        <v>17083</v>
      </c>
      <c r="B3346" s="2" t="s">
        <v>169</v>
      </c>
      <c r="C3346" s="2" t="s">
        <v>170</v>
      </c>
      <c r="D3346" s="20">
        <v>0</v>
      </c>
      <c r="E3346" s="2" t="s">
        <v>838</v>
      </c>
      <c r="F3346" s="2" t="s">
        <v>793</v>
      </c>
      <c r="G3346" s="2" t="s">
        <v>3621</v>
      </c>
      <c r="H3346" s="2" t="s">
        <v>850</v>
      </c>
      <c r="J3346" s="26"/>
      <c r="K3346" s="36">
        <v>6.6509999999999998E-5</v>
      </c>
      <c r="L3346" s="23">
        <v>1.6629999999999998E-5</v>
      </c>
    </row>
    <row r="3347" spans="1:12" ht="15.35" hidden="1" x14ac:dyDescent="0.55000000000000004">
      <c r="A3347" s="20">
        <v>17166</v>
      </c>
      <c r="B3347" s="2" t="s">
        <v>169</v>
      </c>
      <c r="C3347" s="2" t="s">
        <v>170</v>
      </c>
      <c r="D3347" s="20">
        <v>0</v>
      </c>
      <c r="E3347" s="2" t="s">
        <v>838</v>
      </c>
      <c r="F3347" s="2" t="s">
        <v>793</v>
      </c>
      <c r="G3347" s="2" t="s">
        <v>3622</v>
      </c>
      <c r="H3347" s="2" t="s">
        <v>850</v>
      </c>
      <c r="J3347" s="26"/>
      <c r="K3347" s="36">
        <v>6.6509999999999998E-5</v>
      </c>
      <c r="L3347" s="23">
        <v>1.6629999999999998E-5</v>
      </c>
    </row>
    <row r="3348" spans="1:12" ht="15.35" hidden="1" x14ac:dyDescent="0.55000000000000004">
      <c r="A3348" s="20">
        <v>17519</v>
      </c>
      <c r="B3348" s="2" t="s">
        <v>169</v>
      </c>
      <c r="C3348" s="2" t="s">
        <v>170</v>
      </c>
      <c r="D3348" s="20">
        <v>0</v>
      </c>
      <c r="E3348" s="2" t="s">
        <v>838</v>
      </c>
      <c r="F3348" s="2" t="s">
        <v>793</v>
      </c>
      <c r="G3348" s="2" t="s">
        <v>3623</v>
      </c>
      <c r="H3348" s="2" t="s">
        <v>850</v>
      </c>
      <c r="J3348" s="26"/>
      <c r="K3348" s="36">
        <v>6.6509999999999998E-5</v>
      </c>
      <c r="L3348" s="23">
        <v>1.6629999999999998E-5</v>
      </c>
    </row>
    <row r="3349" spans="1:12" ht="15.35" hidden="1" x14ac:dyDescent="0.55000000000000004">
      <c r="A3349" s="20">
        <v>17330</v>
      </c>
      <c r="B3349" s="2" t="s">
        <v>169</v>
      </c>
      <c r="C3349" s="2" t="s">
        <v>170</v>
      </c>
      <c r="D3349" s="20">
        <v>0</v>
      </c>
      <c r="E3349" s="2" t="s">
        <v>838</v>
      </c>
      <c r="F3349" s="2" t="s">
        <v>793</v>
      </c>
      <c r="G3349" s="2" t="s">
        <v>3624</v>
      </c>
      <c r="H3349" s="2" t="s">
        <v>850</v>
      </c>
      <c r="J3349" s="26"/>
      <c r="K3349" s="36">
        <v>6.6909999999999995E-5</v>
      </c>
      <c r="L3349" s="23">
        <v>1.6730000000000001E-5</v>
      </c>
    </row>
    <row r="3350" spans="1:12" ht="15.35" hidden="1" x14ac:dyDescent="0.55000000000000004">
      <c r="A3350" s="20">
        <v>17261</v>
      </c>
      <c r="B3350" s="2" t="s">
        <v>169</v>
      </c>
      <c r="C3350" s="2" t="s">
        <v>170</v>
      </c>
      <c r="D3350" s="20">
        <v>0</v>
      </c>
      <c r="E3350" s="2" t="s">
        <v>838</v>
      </c>
      <c r="F3350" s="2" t="s">
        <v>793</v>
      </c>
      <c r="G3350" s="2" t="s">
        <v>2898</v>
      </c>
      <c r="H3350" s="2" t="s">
        <v>850</v>
      </c>
      <c r="J3350" s="26"/>
      <c r="K3350" s="36">
        <v>7.3239999999999997E-5</v>
      </c>
      <c r="L3350" s="23">
        <v>1.8309999999999999E-5</v>
      </c>
    </row>
    <row r="3351" spans="1:12" ht="15.35" hidden="1" x14ac:dyDescent="0.55000000000000004">
      <c r="A3351" s="20">
        <v>17159</v>
      </c>
      <c r="B3351" s="2" t="s">
        <v>169</v>
      </c>
      <c r="C3351" s="2" t="s">
        <v>170</v>
      </c>
      <c r="D3351" s="20">
        <v>0</v>
      </c>
      <c r="E3351" s="2" t="s">
        <v>838</v>
      </c>
      <c r="F3351" s="2" t="s">
        <v>793</v>
      </c>
      <c r="G3351" s="2" t="s">
        <v>3625</v>
      </c>
      <c r="H3351" s="2" t="s">
        <v>850</v>
      </c>
      <c r="J3351" s="26"/>
      <c r="K3351" s="36">
        <v>1.6668E-4</v>
      </c>
      <c r="L3351" s="23">
        <v>4.1669999999999999E-5</v>
      </c>
    </row>
    <row r="3352" spans="1:12" ht="15.35" hidden="1" x14ac:dyDescent="0.55000000000000004">
      <c r="A3352" s="20">
        <v>17700</v>
      </c>
      <c r="B3352" s="2" t="s">
        <v>169</v>
      </c>
      <c r="C3352" s="2" t="s">
        <v>170</v>
      </c>
      <c r="D3352" s="20">
        <v>0</v>
      </c>
      <c r="E3352" s="2" t="s">
        <v>838</v>
      </c>
      <c r="F3352" s="2" t="s">
        <v>793</v>
      </c>
      <c r="G3352" s="2" t="s">
        <v>3626</v>
      </c>
      <c r="H3352" s="2" t="s">
        <v>850</v>
      </c>
      <c r="J3352" s="26"/>
      <c r="K3352" s="36">
        <v>6.6909999999999995E-5</v>
      </c>
      <c r="L3352" s="23">
        <v>1.6730000000000001E-5</v>
      </c>
    </row>
    <row r="3353" spans="1:12" ht="15.35" hidden="1" x14ac:dyDescent="0.55000000000000004">
      <c r="A3353" s="20">
        <v>17150</v>
      </c>
      <c r="B3353" s="2" t="s">
        <v>169</v>
      </c>
      <c r="C3353" s="2" t="s">
        <v>170</v>
      </c>
      <c r="D3353" s="20">
        <v>0</v>
      </c>
      <c r="E3353" s="2" t="s">
        <v>838</v>
      </c>
      <c r="F3353" s="2" t="s">
        <v>793</v>
      </c>
      <c r="G3353" s="2" t="s">
        <v>2899</v>
      </c>
      <c r="H3353" s="2" t="s">
        <v>850</v>
      </c>
      <c r="J3353" s="26"/>
      <c r="K3353" s="36">
        <v>1.065E-4</v>
      </c>
      <c r="L3353" s="23">
        <v>2.6619999999999999E-5</v>
      </c>
    </row>
    <row r="3354" spans="1:12" ht="15.35" hidden="1" x14ac:dyDescent="0.55000000000000004">
      <c r="A3354" s="20">
        <v>17572</v>
      </c>
      <c r="B3354" s="2" t="s">
        <v>169</v>
      </c>
      <c r="C3354" s="2" t="s">
        <v>170</v>
      </c>
      <c r="D3354" s="20">
        <v>0</v>
      </c>
      <c r="E3354" s="2" t="s">
        <v>838</v>
      </c>
      <c r="F3354" s="2" t="s">
        <v>793</v>
      </c>
      <c r="G3354" s="2" t="s">
        <v>3627</v>
      </c>
      <c r="H3354" s="2" t="s">
        <v>850</v>
      </c>
      <c r="J3354" s="26"/>
      <c r="K3354" s="36">
        <v>6.6509999999999998E-5</v>
      </c>
      <c r="L3354" s="23">
        <v>1.6629999999999998E-5</v>
      </c>
    </row>
    <row r="3355" spans="1:12" ht="15.35" hidden="1" x14ac:dyDescent="0.55000000000000004">
      <c r="A3355" s="20">
        <v>16918</v>
      </c>
      <c r="B3355" s="2" t="s">
        <v>169</v>
      </c>
      <c r="C3355" s="2" t="s">
        <v>170</v>
      </c>
      <c r="D3355" s="20">
        <v>0</v>
      </c>
      <c r="E3355" s="2" t="s">
        <v>838</v>
      </c>
      <c r="F3355" s="2" t="s">
        <v>793</v>
      </c>
      <c r="G3355" s="2" t="s">
        <v>2901</v>
      </c>
      <c r="H3355" s="2" t="s">
        <v>913</v>
      </c>
      <c r="J3355" s="26"/>
      <c r="K3355" s="36">
        <v>1.00091E-3</v>
      </c>
      <c r="L3355" s="23">
        <v>2.5022999999999999E-4</v>
      </c>
    </row>
    <row r="3356" spans="1:12" ht="15.35" hidden="1" x14ac:dyDescent="0.55000000000000004">
      <c r="A3356" s="20">
        <v>17291</v>
      </c>
      <c r="B3356" s="2" t="s">
        <v>169</v>
      </c>
      <c r="C3356" s="2" t="s">
        <v>170</v>
      </c>
      <c r="D3356" s="20">
        <v>0</v>
      </c>
      <c r="E3356" s="2" t="s">
        <v>838</v>
      </c>
      <c r="F3356" s="2" t="s">
        <v>793</v>
      </c>
      <c r="G3356" s="2" t="s">
        <v>3628</v>
      </c>
      <c r="H3356" s="2" t="s">
        <v>913</v>
      </c>
      <c r="J3356" s="26"/>
      <c r="K3356" s="36">
        <v>1.00091E-3</v>
      </c>
      <c r="L3356" s="23">
        <v>2.5022999999999999E-4</v>
      </c>
    </row>
    <row r="3357" spans="1:12" ht="15.35" hidden="1" x14ac:dyDescent="0.55000000000000004">
      <c r="A3357" s="20">
        <v>17421</v>
      </c>
      <c r="B3357" s="2" t="s">
        <v>169</v>
      </c>
      <c r="C3357" s="2" t="s">
        <v>170</v>
      </c>
      <c r="D3357" s="20">
        <v>0</v>
      </c>
      <c r="E3357" s="2" t="s">
        <v>838</v>
      </c>
      <c r="F3357" s="2" t="s">
        <v>793</v>
      </c>
      <c r="G3357" s="2" t="s">
        <v>2902</v>
      </c>
      <c r="H3357" s="2" t="s">
        <v>913</v>
      </c>
      <c r="J3357" s="26"/>
      <c r="K3357" s="36">
        <v>1.00091E-3</v>
      </c>
      <c r="L3357" s="23">
        <v>2.5022999999999999E-4</v>
      </c>
    </row>
    <row r="3358" spans="1:12" ht="15.35" hidden="1" x14ac:dyDescent="0.55000000000000004">
      <c r="A3358" s="20">
        <v>17622</v>
      </c>
      <c r="B3358" s="2" t="s">
        <v>169</v>
      </c>
      <c r="C3358" s="2" t="s">
        <v>170</v>
      </c>
      <c r="D3358" s="20">
        <v>0</v>
      </c>
      <c r="E3358" s="2" t="s">
        <v>838</v>
      </c>
      <c r="F3358" s="2" t="s">
        <v>793</v>
      </c>
      <c r="G3358" s="2" t="s">
        <v>2903</v>
      </c>
      <c r="H3358" s="2" t="s">
        <v>913</v>
      </c>
      <c r="J3358" s="26"/>
      <c r="K3358" s="36">
        <v>1.00091E-3</v>
      </c>
      <c r="L3358" s="23">
        <v>2.5022999999999999E-4</v>
      </c>
    </row>
    <row r="3359" spans="1:12" ht="15.35" hidden="1" x14ac:dyDescent="0.55000000000000004">
      <c r="A3359" s="20">
        <v>17337</v>
      </c>
      <c r="B3359" s="2" t="s">
        <v>169</v>
      </c>
      <c r="C3359" s="2" t="s">
        <v>170</v>
      </c>
      <c r="D3359" s="20">
        <v>0</v>
      </c>
      <c r="E3359" s="2" t="s">
        <v>838</v>
      </c>
      <c r="F3359" s="2" t="s">
        <v>793</v>
      </c>
      <c r="G3359" s="2" t="s">
        <v>3629</v>
      </c>
      <c r="H3359" s="2" t="s">
        <v>913</v>
      </c>
      <c r="J3359" s="26"/>
      <c r="K3359" s="36">
        <v>1.00091E-3</v>
      </c>
      <c r="L3359" s="23">
        <v>2.5022999999999999E-4</v>
      </c>
    </row>
    <row r="3360" spans="1:12" ht="15.35" hidden="1" x14ac:dyDescent="0.55000000000000004">
      <c r="A3360" s="20">
        <v>17497</v>
      </c>
      <c r="B3360" s="2" t="s">
        <v>169</v>
      </c>
      <c r="C3360" s="2" t="s">
        <v>170</v>
      </c>
      <c r="D3360" s="20">
        <v>0</v>
      </c>
      <c r="E3360" s="2" t="s">
        <v>838</v>
      </c>
      <c r="F3360" s="2" t="s">
        <v>793</v>
      </c>
      <c r="G3360" s="2" t="s">
        <v>2905</v>
      </c>
      <c r="H3360" s="2" t="s">
        <v>913</v>
      </c>
      <c r="J3360" s="26"/>
      <c r="K3360" s="36">
        <v>1.00091E-3</v>
      </c>
      <c r="L3360" s="23">
        <v>2.5022999999999999E-4</v>
      </c>
    </row>
    <row r="3361" spans="1:12" ht="15.35" hidden="1" x14ac:dyDescent="0.55000000000000004">
      <c r="A3361" s="20">
        <v>17056</v>
      </c>
      <c r="B3361" s="2" t="s">
        <v>169</v>
      </c>
      <c r="C3361" s="2" t="s">
        <v>170</v>
      </c>
      <c r="D3361" s="20">
        <v>0</v>
      </c>
      <c r="E3361" s="2" t="s">
        <v>838</v>
      </c>
      <c r="F3361" s="2" t="s">
        <v>793</v>
      </c>
      <c r="G3361" s="2" t="s">
        <v>3630</v>
      </c>
      <c r="H3361" s="2" t="s">
        <v>913</v>
      </c>
      <c r="J3361" s="26"/>
      <c r="K3361" s="36">
        <v>1.00091E-3</v>
      </c>
      <c r="L3361" s="23">
        <v>2.5022999999999999E-4</v>
      </c>
    </row>
    <row r="3362" spans="1:12" ht="15.35" hidden="1" x14ac:dyDescent="0.55000000000000004">
      <c r="A3362" s="20">
        <v>16923</v>
      </c>
      <c r="B3362" s="2" t="s">
        <v>169</v>
      </c>
      <c r="C3362" s="2" t="s">
        <v>170</v>
      </c>
      <c r="D3362" s="20">
        <v>0</v>
      </c>
      <c r="E3362" s="2" t="s">
        <v>838</v>
      </c>
      <c r="F3362" s="2" t="s">
        <v>817</v>
      </c>
      <c r="G3362" s="2" t="s">
        <v>2907</v>
      </c>
      <c r="H3362" s="2" t="s">
        <v>810</v>
      </c>
      <c r="J3362" s="26"/>
      <c r="K3362" s="36">
        <v>4.3552399999999998E-3</v>
      </c>
      <c r="L3362" s="23">
        <v>1.08881E-3</v>
      </c>
    </row>
    <row r="3363" spans="1:12" ht="15.35" hidden="1" x14ac:dyDescent="0.55000000000000004">
      <c r="A3363" s="20">
        <v>17464</v>
      </c>
      <c r="B3363" s="2" t="s">
        <v>169</v>
      </c>
      <c r="C3363" s="2" t="s">
        <v>170</v>
      </c>
      <c r="D3363" s="20">
        <v>0</v>
      </c>
      <c r="E3363" s="2" t="s">
        <v>838</v>
      </c>
      <c r="F3363" s="2" t="s">
        <v>787</v>
      </c>
      <c r="G3363" s="2" t="s">
        <v>1341</v>
      </c>
      <c r="H3363" s="2" t="s">
        <v>1341</v>
      </c>
      <c r="J3363" s="26"/>
      <c r="K3363" s="36">
        <v>3.3258200000000002E-3</v>
      </c>
      <c r="L3363" s="23">
        <v>8.3146000000000001E-4</v>
      </c>
    </row>
    <row r="3364" spans="1:12" ht="15.35" hidden="1" x14ac:dyDescent="0.55000000000000004">
      <c r="A3364" s="20">
        <v>17457</v>
      </c>
      <c r="B3364" s="2" t="s">
        <v>169</v>
      </c>
      <c r="C3364" s="2" t="s">
        <v>170</v>
      </c>
      <c r="D3364" s="20">
        <v>0</v>
      </c>
      <c r="E3364" s="2" t="s">
        <v>838</v>
      </c>
      <c r="F3364" s="2" t="s">
        <v>793</v>
      </c>
      <c r="G3364" s="2" t="s">
        <v>3631</v>
      </c>
      <c r="H3364" s="2" t="s">
        <v>1341</v>
      </c>
      <c r="J3364" s="26"/>
      <c r="K3364" s="36">
        <v>6.6509999999999998E-5</v>
      </c>
      <c r="L3364" s="23">
        <v>1.6629999999999998E-5</v>
      </c>
    </row>
    <row r="3365" spans="1:12" ht="15.35" hidden="1" x14ac:dyDescent="0.55000000000000004">
      <c r="A3365" s="20">
        <v>17244</v>
      </c>
      <c r="B3365" s="2" t="s">
        <v>169</v>
      </c>
      <c r="C3365" s="2" t="s">
        <v>170</v>
      </c>
      <c r="D3365" s="20">
        <v>0</v>
      </c>
      <c r="E3365" s="2" t="s">
        <v>838</v>
      </c>
      <c r="F3365" s="2" t="s">
        <v>793</v>
      </c>
      <c r="G3365" s="2" t="s">
        <v>2909</v>
      </c>
      <c r="H3365" s="2" t="s">
        <v>1341</v>
      </c>
      <c r="J3365" s="26"/>
      <c r="K3365" s="36">
        <v>9.9770000000000002E-5</v>
      </c>
      <c r="L3365" s="23">
        <v>2.4939999999999998E-5</v>
      </c>
    </row>
    <row r="3366" spans="1:12" ht="15.35" hidden="1" x14ac:dyDescent="0.55000000000000004">
      <c r="A3366" s="20">
        <v>17398</v>
      </c>
      <c r="B3366" s="2" t="s">
        <v>169</v>
      </c>
      <c r="C3366" s="2" t="s">
        <v>170</v>
      </c>
      <c r="D3366" s="20">
        <v>0</v>
      </c>
      <c r="E3366" s="2" t="s">
        <v>838</v>
      </c>
      <c r="F3366" s="2" t="s">
        <v>793</v>
      </c>
      <c r="G3366" s="2" t="s">
        <v>2910</v>
      </c>
      <c r="H3366" s="2" t="s">
        <v>1341</v>
      </c>
      <c r="J3366" s="26"/>
      <c r="K3366" s="36">
        <v>9.9770000000000002E-5</v>
      </c>
      <c r="L3366" s="23">
        <v>2.4939999999999998E-5</v>
      </c>
    </row>
    <row r="3367" spans="1:12" ht="15.35" hidden="1" x14ac:dyDescent="0.55000000000000004">
      <c r="A3367" s="20">
        <v>17587</v>
      </c>
      <c r="B3367" s="2" t="s">
        <v>169</v>
      </c>
      <c r="C3367" s="2" t="s">
        <v>170</v>
      </c>
      <c r="D3367" s="20">
        <v>0</v>
      </c>
      <c r="E3367" s="2" t="s">
        <v>838</v>
      </c>
      <c r="F3367" s="2" t="s">
        <v>793</v>
      </c>
      <c r="G3367" s="2" t="s">
        <v>3632</v>
      </c>
      <c r="H3367" s="2" t="s">
        <v>1341</v>
      </c>
      <c r="J3367" s="26"/>
      <c r="K3367" s="36">
        <v>9.9770000000000002E-5</v>
      </c>
      <c r="L3367" s="23">
        <v>2.4939999999999998E-5</v>
      </c>
    </row>
    <row r="3368" spans="1:12" ht="15.35" hidden="1" x14ac:dyDescent="0.55000000000000004">
      <c r="A3368" s="20">
        <v>16963</v>
      </c>
      <c r="B3368" s="2" t="s">
        <v>169</v>
      </c>
      <c r="C3368" s="2" t="s">
        <v>170</v>
      </c>
      <c r="D3368" s="20">
        <v>0</v>
      </c>
      <c r="E3368" s="2" t="s">
        <v>838</v>
      </c>
      <c r="F3368" s="2" t="s">
        <v>793</v>
      </c>
      <c r="G3368" s="2" t="s">
        <v>3633</v>
      </c>
      <c r="H3368" s="2" t="s">
        <v>1341</v>
      </c>
      <c r="J3368" s="26"/>
      <c r="K3368" s="36">
        <v>9.9770000000000002E-5</v>
      </c>
      <c r="L3368" s="23">
        <v>2.4939999999999998E-5</v>
      </c>
    </row>
    <row r="3369" spans="1:12" ht="15.35" hidden="1" x14ac:dyDescent="0.55000000000000004">
      <c r="A3369" s="20">
        <v>17305</v>
      </c>
      <c r="B3369" s="2" t="s">
        <v>169</v>
      </c>
      <c r="C3369" s="2" t="s">
        <v>170</v>
      </c>
      <c r="D3369" s="20">
        <v>0</v>
      </c>
      <c r="E3369" s="2" t="s">
        <v>838</v>
      </c>
      <c r="F3369" s="2" t="s">
        <v>817</v>
      </c>
      <c r="G3369" s="2" t="s">
        <v>1343</v>
      </c>
      <c r="H3369" s="2" t="s">
        <v>852</v>
      </c>
      <c r="J3369" s="26"/>
      <c r="K3369" s="36">
        <v>1.1086E-3</v>
      </c>
      <c r="L3369" s="23">
        <v>2.7714999999999999E-4</v>
      </c>
    </row>
    <row r="3370" spans="1:12" ht="15.35" hidden="1" x14ac:dyDescent="0.55000000000000004">
      <c r="A3370" s="20">
        <v>17075</v>
      </c>
      <c r="B3370" s="2" t="s">
        <v>169</v>
      </c>
      <c r="C3370" s="2" t="s">
        <v>170</v>
      </c>
      <c r="D3370" s="20">
        <v>0</v>
      </c>
      <c r="E3370" s="2" t="s">
        <v>838</v>
      </c>
      <c r="F3370" s="2" t="s">
        <v>817</v>
      </c>
      <c r="G3370" s="2" t="s">
        <v>3634</v>
      </c>
      <c r="H3370" s="2" t="s">
        <v>852</v>
      </c>
      <c r="J3370" s="26"/>
      <c r="K3370" s="36">
        <v>6.3347999999999996E-4</v>
      </c>
      <c r="L3370" s="23">
        <v>1.5836999999999999E-4</v>
      </c>
    </row>
    <row r="3371" spans="1:12" ht="15.35" hidden="1" x14ac:dyDescent="0.55000000000000004">
      <c r="A3371" s="20">
        <v>17568</v>
      </c>
      <c r="B3371" s="2" t="s">
        <v>169</v>
      </c>
      <c r="C3371" s="2" t="s">
        <v>170</v>
      </c>
      <c r="D3371" s="20">
        <v>0</v>
      </c>
      <c r="E3371" s="2" t="s">
        <v>838</v>
      </c>
      <c r="F3371" s="2" t="s">
        <v>787</v>
      </c>
      <c r="G3371" s="2" t="s">
        <v>916</v>
      </c>
      <c r="H3371" s="2" t="s">
        <v>916</v>
      </c>
      <c r="J3371" s="26"/>
      <c r="K3371" s="36">
        <v>4.4221499999999997E-3</v>
      </c>
      <c r="L3371" s="23">
        <v>1.1055399999999999E-3</v>
      </c>
    </row>
    <row r="3372" spans="1:12" ht="15.35" hidden="1" x14ac:dyDescent="0.55000000000000004">
      <c r="A3372" s="20">
        <v>17663</v>
      </c>
      <c r="B3372" s="2" t="s">
        <v>169</v>
      </c>
      <c r="C3372" s="2" t="s">
        <v>170</v>
      </c>
      <c r="D3372" s="20">
        <v>0</v>
      </c>
      <c r="E3372" s="2" t="s">
        <v>838</v>
      </c>
      <c r="F3372" s="2" t="s">
        <v>789</v>
      </c>
      <c r="G3372" s="2" t="s">
        <v>1344</v>
      </c>
      <c r="H3372" s="2" t="s">
        <v>1345</v>
      </c>
      <c r="J3372" s="26"/>
      <c r="K3372" s="36">
        <v>4.4221499999999997E-3</v>
      </c>
      <c r="L3372" s="23">
        <v>1.1055399999999999E-3</v>
      </c>
    </row>
    <row r="3373" spans="1:12" ht="15.35" hidden="1" x14ac:dyDescent="0.55000000000000004">
      <c r="A3373" s="20">
        <v>16976</v>
      </c>
      <c r="B3373" s="2" t="s">
        <v>169</v>
      </c>
      <c r="C3373" s="2" t="s">
        <v>170</v>
      </c>
      <c r="D3373" s="20">
        <v>0</v>
      </c>
      <c r="E3373" s="2" t="s">
        <v>838</v>
      </c>
      <c r="F3373" s="2" t="s">
        <v>789</v>
      </c>
      <c r="G3373" s="2" t="s">
        <v>1344</v>
      </c>
      <c r="H3373" s="2" t="s">
        <v>1345</v>
      </c>
      <c r="J3373" s="26"/>
      <c r="K3373" s="36">
        <v>4.4221499999999997E-3</v>
      </c>
      <c r="L3373" s="23">
        <v>1.1055399999999999E-3</v>
      </c>
    </row>
    <row r="3374" spans="1:12" ht="15.35" hidden="1" x14ac:dyDescent="0.55000000000000004">
      <c r="A3374" s="20">
        <v>16969</v>
      </c>
      <c r="B3374" s="2" t="s">
        <v>169</v>
      </c>
      <c r="C3374" s="2" t="s">
        <v>170</v>
      </c>
      <c r="D3374" s="20">
        <v>0</v>
      </c>
      <c r="E3374" s="2" t="s">
        <v>838</v>
      </c>
      <c r="F3374" s="2" t="s">
        <v>789</v>
      </c>
      <c r="G3374" s="2" t="s">
        <v>1346</v>
      </c>
      <c r="H3374" s="2" t="s">
        <v>1345</v>
      </c>
      <c r="J3374" s="26"/>
      <c r="K3374" s="36">
        <v>4.4221499999999997E-3</v>
      </c>
      <c r="L3374" s="23">
        <v>1.1055399999999999E-3</v>
      </c>
    </row>
    <row r="3375" spans="1:12" ht="15.35" hidden="1" x14ac:dyDescent="0.55000000000000004">
      <c r="A3375" s="20">
        <v>17713</v>
      </c>
      <c r="B3375" s="2" t="s">
        <v>169</v>
      </c>
      <c r="C3375" s="2" t="s">
        <v>170</v>
      </c>
      <c r="D3375" s="20">
        <v>0</v>
      </c>
      <c r="E3375" s="2" t="s">
        <v>838</v>
      </c>
      <c r="F3375" s="2" t="s">
        <v>789</v>
      </c>
      <c r="G3375" s="2" t="s">
        <v>1346</v>
      </c>
      <c r="H3375" s="2" t="s">
        <v>1345</v>
      </c>
      <c r="J3375" s="26"/>
      <c r="K3375" s="36">
        <v>4.1968600000000002E-3</v>
      </c>
      <c r="L3375" s="23">
        <v>1.04922E-3</v>
      </c>
    </row>
    <row r="3376" spans="1:12" ht="15.35" hidden="1" x14ac:dyDescent="0.55000000000000004">
      <c r="A3376" s="20">
        <v>17429</v>
      </c>
      <c r="B3376" s="2" t="s">
        <v>169</v>
      </c>
      <c r="C3376" s="2" t="s">
        <v>170</v>
      </c>
      <c r="D3376" s="20">
        <v>0</v>
      </c>
      <c r="E3376" s="2" t="s">
        <v>838</v>
      </c>
      <c r="F3376" s="2" t="s">
        <v>793</v>
      </c>
      <c r="G3376" s="2" t="s">
        <v>3635</v>
      </c>
      <c r="H3376" s="2" t="s">
        <v>979</v>
      </c>
      <c r="J3376" s="26"/>
      <c r="K3376" s="36">
        <v>1.9994000000000001E-4</v>
      </c>
      <c r="L3376" s="23">
        <v>4.9990000000000001E-5</v>
      </c>
    </row>
    <row r="3377" spans="1:12" ht="15.35" hidden="1" x14ac:dyDescent="0.55000000000000004">
      <c r="A3377" s="20">
        <v>16981</v>
      </c>
      <c r="B3377" s="2" t="s">
        <v>169</v>
      </c>
      <c r="C3377" s="2" t="s">
        <v>170</v>
      </c>
      <c r="D3377" s="20">
        <v>0</v>
      </c>
      <c r="E3377" s="2" t="s">
        <v>838</v>
      </c>
      <c r="F3377" s="2" t="s">
        <v>817</v>
      </c>
      <c r="G3377" s="2" t="s">
        <v>2912</v>
      </c>
      <c r="H3377" s="2" t="s">
        <v>1056</v>
      </c>
      <c r="J3377" s="26"/>
      <c r="K3377" s="36">
        <v>1.9994499999999998E-3</v>
      </c>
      <c r="L3377" s="23">
        <v>4.9985999999999997E-4</v>
      </c>
    </row>
    <row r="3378" spans="1:12" ht="15.35" hidden="1" x14ac:dyDescent="0.55000000000000004">
      <c r="A3378" s="20">
        <v>17163</v>
      </c>
      <c r="B3378" s="2" t="s">
        <v>169</v>
      </c>
      <c r="C3378" s="2" t="s">
        <v>170</v>
      </c>
      <c r="D3378" s="20">
        <v>0</v>
      </c>
      <c r="E3378" s="2" t="s">
        <v>838</v>
      </c>
      <c r="F3378" s="2" t="s">
        <v>817</v>
      </c>
      <c r="G3378" s="2" t="s">
        <v>1057</v>
      </c>
      <c r="H3378" s="2" t="s">
        <v>1056</v>
      </c>
      <c r="J3378" s="26"/>
      <c r="K3378" s="36">
        <v>3.9589999999999999E-5</v>
      </c>
      <c r="L3378" s="23">
        <v>9.9000000000000001E-6</v>
      </c>
    </row>
    <row r="3379" spans="1:12" ht="15.35" hidden="1" x14ac:dyDescent="0.55000000000000004">
      <c r="A3379" s="20">
        <v>17153</v>
      </c>
      <c r="B3379" s="2" t="s">
        <v>169</v>
      </c>
      <c r="C3379" s="2" t="s">
        <v>170</v>
      </c>
      <c r="D3379" s="20">
        <v>0</v>
      </c>
      <c r="E3379" s="2" t="s">
        <v>838</v>
      </c>
      <c r="F3379" s="2" t="s">
        <v>817</v>
      </c>
      <c r="G3379" s="2" t="s">
        <v>2913</v>
      </c>
      <c r="H3379" s="2" t="s">
        <v>1056</v>
      </c>
      <c r="J3379" s="26"/>
      <c r="K3379" s="36">
        <v>3.3258000000000002E-4</v>
      </c>
      <c r="L3379" s="23">
        <v>8.3150000000000002E-5</v>
      </c>
    </row>
    <row r="3380" spans="1:12" ht="15.35" hidden="1" x14ac:dyDescent="0.55000000000000004">
      <c r="A3380" s="20">
        <v>17606</v>
      </c>
      <c r="B3380" s="2" t="s">
        <v>169</v>
      </c>
      <c r="C3380" s="2" t="s">
        <v>170</v>
      </c>
      <c r="D3380" s="20">
        <v>0</v>
      </c>
      <c r="E3380" s="2" t="s">
        <v>838</v>
      </c>
      <c r="F3380" s="2" t="s">
        <v>817</v>
      </c>
      <c r="G3380" s="2" t="s">
        <v>2914</v>
      </c>
      <c r="H3380" s="2" t="s">
        <v>1056</v>
      </c>
      <c r="J3380" s="26"/>
      <c r="K3380" s="36">
        <v>7.9186000000000002E-4</v>
      </c>
      <c r="L3380" s="23">
        <v>1.9797E-4</v>
      </c>
    </row>
    <row r="3381" spans="1:12" ht="15.35" hidden="1" x14ac:dyDescent="0.55000000000000004">
      <c r="A3381" s="20">
        <v>17199</v>
      </c>
      <c r="B3381" s="2" t="s">
        <v>169</v>
      </c>
      <c r="C3381" s="2" t="s">
        <v>170</v>
      </c>
      <c r="D3381" s="20">
        <v>0</v>
      </c>
      <c r="E3381" s="2" t="s">
        <v>838</v>
      </c>
      <c r="F3381" s="2" t="s">
        <v>817</v>
      </c>
      <c r="G3381" s="2" t="s">
        <v>1058</v>
      </c>
      <c r="H3381" s="2" t="s">
        <v>1056</v>
      </c>
      <c r="J3381" s="26"/>
      <c r="K3381" s="36">
        <v>5.1075000000000003E-4</v>
      </c>
      <c r="L3381" s="23">
        <v>1.2768999999999999E-4</v>
      </c>
    </row>
    <row r="3382" spans="1:12" ht="15.35" hidden="1" x14ac:dyDescent="0.55000000000000004">
      <c r="A3382" s="20">
        <v>17486</v>
      </c>
      <c r="B3382" s="2" t="s">
        <v>169</v>
      </c>
      <c r="C3382" s="2" t="s">
        <v>170</v>
      </c>
      <c r="D3382" s="20">
        <v>0</v>
      </c>
      <c r="E3382" s="2" t="s">
        <v>838</v>
      </c>
      <c r="F3382" s="2" t="s">
        <v>817</v>
      </c>
      <c r="G3382" s="2" t="s">
        <v>1059</v>
      </c>
      <c r="H3382" s="2" t="s">
        <v>1056</v>
      </c>
      <c r="J3382" s="26"/>
      <c r="K3382" s="36">
        <v>4.6718999999999998E-4</v>
      </c>
      <c r="L3382" s="23">
        <v>1.1680000000000001E-4</v>
      </c>
    </row>
    <row r="3383" spans="1:12" ht="15.35" hidden="1" x14ac:dyDescent="0.55000000000000004">
      <c r="A3383" s="20">
        <v>17643</v>
      </c>
      <c r="B3383" s="2" t="s">
        <v>169</v>
      </c>
      <c r="C3383" s="2" t="s">
        <v>170</v>
      </c>
      <c r="D3383" s="20">
        <v>0</v>
      </c>
      <c r="E3383" s="2" t="s">
        <v>838</v>
      </c>
      <c r="F3383" s="2" t="s">
        <v>793</v>
      </c>
      <c r="G3383" s="2" t="s">
        <v>3636</v>
      </c>
      <c r="H3383" s="2" t="s">
        <v>1060</v>
      </c>
      <c r="J3383" s="26"/>
      <c r="K3383" s="36">
        <v>4.4221499999999997E-3</v>
      </c>
      <c r="L3383" s="23">
        <v>1.1055399999999999E-3</v>
      </c>
    </row>
    <row r="3384" spans="1:12" ht="15.35" hidden="1" x14ac:dyDescent="0.55000000000000004">
      <c r="A3384" s="20">
        <v>17597</v>
      </c>
      <c r="B3384" s="2" t="s">
        <v>169</v>
      </c>
      <c r="C3384" s="2" t="s">
        <v>170</v>
      </c>
      <c r="D3384" s="20">
        <v>0</v>
      </c>
      <c r="E3384" s="2" t="s">
        <v>838</v>
      </c>
      <c r="F3384" s="2" t="s">
        <v>817</v>
      </c>
      <c r="G3384" s="2" t="s">
        <v>3637</v>
      </c>
      <c r="H3384" s="2" t="s">
        <v>3638</v>
      </c>
      <c r="J3384" s="26"/>
      <c r="K3384" s="36">
        <v>2.0191999999999999E-4</v>
      </c>
      <c r="L3384" s="23">
        <v>5.0479999999999998E-5</v>
      </c>
    </row>
    <row r="3385" spans="1:12" ht="15.35" hidden="1" x14ac:dyDescent="0.55000000000000004">
      <c r="A3385" s="20">
        <v>17174</v>
      </c>
      <c r="B3385" s="2" t="s">
        <v>169</v>
      </c>
      <c r="C3385" s="2" t="s">
        <v>170</v>
      </c>
      <c r="D3385" s="20">
        <v>0</v>
      </c>
      <c r="E3385" s="2" t="s">
        <v>838</v>
      </c>
      <c r="F3385" s="2" t="s">
        <v>793</v>
      </c>
      <c r="G3385" s="2" t="s">
        <v>3639</v>
      </c>
      <c r="H3385" s="2" t="s">
        <v>3640</v>
      </c>
      <c r="J3385" s="26"/>
      <c r="K3385" s="36">
        <v>3.6702800000000002E-3</v>
      </c>
      <c r="L3385" s="23">
        <v>9.1757000000000004E-4</v>
      </c>
    </row>
    <row r="3386" spans="1:12" ht="15.35" hidden="1" x14ac:dyDescent="0.55000000000000004">
      <c r="A3386" s="20">
        <v>16906</v>
      </c>
      <c r="B3386" s="2" t="s">
        <v>169</v>
      </c>
      <c r="C3386" s="2" t="s">
        <v>170</v>
      </c>
      <c r="D3386" s="20">
        <v>0</v>
      </c>
      <c r="E3386" s="2" t="s">
        <v>838</v>
      </c>
      <c r="F3386" s="2" t="s">
        <v>817</v>
      </c>
      <c r="G3386" s="2" t="s">
        <v>3641</v>
      </c>
      <c r="H3386" s="2" t="s">
        <v>3642</v>
      </c>
      <c r="J3386" s="26"/>
      <c r="K3386" s="36">
        <v>1.3996099999999999E-3</v>
      </c>
      <c r="L3386" s="23">
        <v>3.4989999999999999E-4</v>
      </c>
    </row>
    <row r="3387" spans="1:12" ht="15.35" x14ac:dyDescent="0.55000000000000004">
      <c r="A3387" s="20">
        <v>17452</v>
      </c>
      <c r="B3387" s="2" t="s">
        <v>169</v>
      </c>
      <c r="C3387" s="2" t="s">
        <v>170</v>
      </c>
      <c r="D3387" s="20">
        <v>0</v>
      </c>
      <c r="E3387" s="2" t="s">
        <v>838</v>
      </c>
      <c r="F3387" s="2" t="s">
        <v>793</v>
      </c>
      <c r="G3387" s="2" t="s">
        <v>3643</v>
      </c>
      <c r="J3387" s="26"/>
      <c r="K3387" s="36">
        <v>6.9280000000000001E-5</v>
      </c>
      <c r="L3387" s="23">
        <v>1.732E-5</v>
      </c>
    </row>
    <row r="3388" spans="1:12" ht="15.35" hidden="1" x14ac:dyDescent="0.55000000000000004">
      <c r="A3388" s="20">
        <v>17002</v>
      </c>
      <c r="B3388" s="2" t="s">
        <v>169</v>
      </c>
      <c r="C3388" s="2" t="s">
        <v>170</v>
      </c>
      <c r="D3388" s="20">
        <v>0</v>
      </c>
      <c r="E3388" s="2" t="s">
        <v>838</v>
      </c>
      <c r="F3388" s="2" t="s">
        <v>793</v>
      </c>
      <c r="G3388" s="2" t="s">
        <v>3644</v>
      </c>
      <c r="H3388" s="2" t="s">
        <v>3645</v>
      </c>
      <c r="J3388" s="26"/>
      <c r="K3388" s="36">
        <v>2.0022199999999999E-3</v>
      </c>
      <c r="L3388" s="23">
        <v>5.0055E-4</v>
      </c>
    </row>
    <row r="3389" spans="1:12" ht="15.35" x14ac:dyDescent="0.55000000000000004">
      <c r="A3389" s="20">
        <v>17676</v>
      </c>
      <c r="B3389" s="2" t="s">
        <v>169</v>
      </c>
      <c r="C3389" s="2" t="s">
        <v>170</v>
      </c>
      <c r="D3389" s="20">
        <v>0</v>
      </c>
      <c r="E3389" s="2" t="s">
        <v>838</v>
      </c>
      <c r="F3389" s="2" t="s">
        <v>793</v>
      </c>
      <c r="G3389" s="2" t="s">
        <v>3646</v>
      </c>
      <c r="J3389" s="26"/>
      <c r="K3389" s="36">
        <v>1.00091E-3</v>
      </c>
      <c r="L3389" s="23">
        <v>2.5022999999999999E-4</v>
      </c>
    </row>
    <row r="3390" spans="1:12" ht="15.35" x14ac:dyDescent="0.55000000000000004">
      <c r="A3390" s="20">
        <v>17072</v>
      </c>
      <c r="B3390" s="2" t="s">
        <v>169</v>
      </c>
      <c r="C3390" s="2" t="s">
        <v>170</v>
      </c>
      <c r="D3390" s="20">
        <v>0</v>
      </c>
      <c r="E3390" s="2" t="s">
        <v>838</v>
      </c>
      <c r="F3390" s="2" t="s">
        <v>793</v>
      </c>
      <c r="G3390" s="2" t="s">
        <v>3647</v>
      </c>
      <c r="J3390" s="26"/>
      <c r="K3390" s="36">
        <v>1.6629000000000001E-4</v>
      </c>
      <c r="L3390" s="23">
        <v>4.1569999999999997E-5</v>
      </c>
    </row>
    <row r="3391" spans="1:12" ht="15.35" x14ac:dyDescent="0.55000000000000004">
      <c r="A3391" s="20">
        <v>16813</v>
      </c>
      <c r="B3391" s="2" t="s">
        <v>169</v>
      </c>
      <c r="C3391" s="2" t="s">
        <v>170</v>
      </c>
      <c r="D3391" s="20">
        <v>0</v>
      </c>
      <c r="E3391" s="2" t="s">
        <v>838</v>
      </c>
      <c r="F3391" s="2" t="s">
        <v>793</v>
      </c>
      <c r="G3391" s="2" t="s">
        <v>3648</v>
      </c>
      <c r="J3391" s="26"/>
      <c r="K3391" s="36">
        <v>1.38575E-3</v>
      </c>
      <c r="L3391" s="23">
        <v>3.4644E-4</v>
      </c>
    </row>
    <row r="3392" spans="1:12" ht="15.35" x14ac:dyDescent="0.55000000000000004">
      <c r="A3392" s="20">
        <v>17054</v>
      </c>
      <c r="B3392" s="2" t="s">
        <v>169</v>
      </c>
      <c r="C3392" s="2" t="s">
        <v>170</v>
      </c>
      <c r="D3392" s="20">
        <v>0</v>
      </c>
      <c r="E3392" s="2" t="s">
        <v>838</v>
      </c>
      <c r="F3392" s="2" t="s">
        <v>793</v>
      </c>
      <c r="G3392" s="2" t="s">
        <v>3649</v>
      </c>
      <c r="J3392" s="26"/>
      <c r="K3392" s="36">
        <v>1.38575E-3</v>
      </c>
      <c r="L3392" s="23">
        <v>3.4644E-4</v>
      </c>
    </row>
    <row r="3393" spans="1:12" ht="15.35" x14ac:dyDescent="0.55000000000000004">
      <c r="A3393" s="20">
        <v>17624</v>
      </c>
      <c r="B3393" s="2" t="s">
        <v>169</v>
      </c>
      <c r="C3393" s="2" t="s">
        <v>170</v>
      </c>
      <c r="D3393" s="20">
        <v>0</v>
      </c>
      <c r="E3393" s="2" t="s">
        <v>838</v>
      </c>
      <c r="F3393" s="2" t="s">
        <v>793</v>
      </c>
      <c r="G3393" s="2" t="s">
        <v>3650</v>
      </c>
      <c r="J3393" s="26"/>
      <c r="K3393" s="36">
        <v>1.3461600000000001E-3</v>
      </c>
      <c r="L3393" s="23">
        <v>3.3654000000000003E-4</v>
      </c>
    </row>
    <row r="3394" spans="1:12" ht="15.35" x14ac:dyDescent="0.55000000000000004">
      <c r="A3394" s="20">
        <v>16958</v>
      </c>
      <c r="B3394" s="2" t="s">
        <v>169</v>
      </c>
      <c r="C3394" s="2" t="s">
        <v>170</v>
      </c>
      <c r="D3394" s="20">
        <v>0</v>
      </c>
      <c r="E3394" s="2" t="s">
        <v>838</v>
      </c>
      <c r="F3394" s="2" t="s">
        <v>793</v>
      </c>
      <c r="G3394" s="2" t="s">
        <v>3651</v>
      </c>
      <c r="J3394" s="26"/>
      <c r="K3394" s="36">
        <v>4.4221499999999997E-3</v>
      </c>
      <c r="L3394" s="23">
        <v>1.1055399999999999E-3</v>
      </c>
    </row>
    <row r="3395" spans="1:12" ht="15.35" hidden="1" x14ac:dyDescent="0.55000000000000004">
      <c r="A3395" s="20">
        <v>17296</v>
      </c>
      <c r="B3395" s="2" t="s">
        <v>169</v>
      </c>
      <c r="C3395" s="2" t="s">
        <v>170</v>
      </c>
      <c r="D3395" s="20">
        <v>0</v>
      </c>
      <c r="E3395" s="2" t="s">
        <v>838</v>
      </c>
      <c r="F3395" s="2" t="s">
        <v>793</v>
      </c>
      <c r="G3395" s="2" t="s">
        <v>3652</v>
      </c>
      <c r="H3395" s="2" t="s">
        <v>3652</v>
      </c>
      <c r="J3395" s="26"/>
      <c r="K3395" s="36">
        <v>1.33428E-3</v>
      </c>
      <c r="L3395" s="23">
        <v>3.3356999999999999E-4</v>
      </c>
    </row>
    <row r="3396" spans="1:12" ht="15.35" x14ac:dyDescent="0.55000000000000004">
      <c r="A3396" s="20">
        <v>16927</v>
      </c>
      <c r="B3396" s="2" t="s">
        <v>169</v>
      </c>
      <c r="C3396" s="2" t="s">
        <v>170</v>
      </c>
      <c r="D3396" s="20">
        <v>0</v>
      </c>
      <c r="E3396" s="2" t="s">
        <v>838</v>
      </c>
      <c r="F3396" s="2" t="s">
        <v>793</v>
      </c>
      <c r="G3396" s="2" t="s">
        <v>3653</v>
      </c>
      <c r="J3396" s="26"/>
      <c r="K3396" s="36">
        <v>6.7299999999999996E-5</v>
      </c>
      <c r="L3396" s="23">
        <v>1.6820000000000002E-5</v>
      </c>
    </row>
    <row r="3397" spans="1:12" ht="15.35" x14ac:dyDescent="0.55000000000000004">
      <c r="A3397" s="20">
        <v>16937</v>
      </c>
      <c r="B3397" s="2" t="s">
        <v>169</v>
      </c>
      <c r="C3397" s="2" t="s">
        <v>170</v>
      </c>
      <c r="D3397" s="20">
        <v>0</v>
      </c>
      <c r="E3397" s="2" t="s">
        <v>838</v>
      </c>
      <c r="F3397" s="2" t="s">
        <v>793</v>
      </c>
      <c r="G3397" s="2" t="s">
        <v>3654</v>
      </c>
      <c r="J3397" s="26"/>
      <c r="K3397" s="36">
        <v>7.5220000000000001E-5</v>
      </c>
      <c r="L3397" s="23">
        <v>1.8810000000000001E-5</v>
      </c>
    </row>
    <row r="3398" spans="1:12" ht="15.35" x14ac:dyDescent="0.55000000000000004">
      <c r="A3398" s="20">
        <v>17525</v>
      </c>
      <c r="B3398" s="2" t="s">
        <v>169</v>
      </c>
      <c r="C3398" s="2" t="s">
        <v>170</v>
      </c>
      <c r="D3398" s="20">
        <v>0</v>
      </c>
      <c r="E3398" s="2" t="s">
        <v>838</v>
      </c>
      <c r="F3398" s="2" t="s">
        <v>793</v>
      </c>
      <c r="G3398" s="2" t="s">
        <v>3655</v>
      </c>
      <c r="J3398" s="26"/>
      <c r="K3398" s="36">
        <v>7.1260000000000006E-5</v>
      </c>
      <c r="L3398" s="23">
        <v>1.7819999999999999E-5</v>
      </c>
    </row>
    <row r="3399" spans="1:12" ht="15.35" hidden="1" x14ac:dyDescent="0.55000000000000004">
      <c r="A3399" s="20">
        <v>17284</v>
      </c>
      <c r="B3399" s="2" t="s">
        <v>169</v>
      </c>
      <c r="C3399" s="2" t="s">
        <v>170</v>
      </c>
      <c r="D3399" s="20">
        <v>0</v>
      </c>
      <c r="E3399" s="2" t="s">
        <v>838</v>
      </c>
      <c r="F3399" s="2" t="s">
        <v>793</v>
      </c>
      <c r="G3399" s="2" t="s">
        <v>3656</v>
      </c>
      <c r="H3399" s="2" t="s">
        <v>3657</v>
      </c>
      <c r="J3399" s="26"/>
      <c r="K3399" s="36">
        <v>4.4221499999999997E-3</v>
      </c>
      <c r="L3399" s="23">
        <v>1.1055399999999999E-3</v>
      </c>
    </row>
    <row r="3400" spans="1:12" ht="15.35" hidden="1" x14ac:dyDescent="0.55000000000000004">
      <c r="A3400" s="20">
        <v>16863</v>
      </c>
      <c r="B3400" s="2" t="s">
        <v>169</v>
      </c>
      <c r="C3400" s="2" t="s">
        <v>170</v>
      </c>
      <c r="D3400" s="20">
        <v>0</v>
      </c>
      <c r="E3400" s="2" t="s">
        <v>838</v>
      </c>
      <c r="F3400" s="2" t="s">
        <v>793</v>
      </c>
      <c r="G3400" s="2" t="s">
        <v>3658</v>
      </c>
      <c r="H3400" s="2" t="s">
        <v>3657</v>
      </c>
      <c r="J3400" s="26"/>
      <c r="K3400" s="36">
        <v>4.4221499999999997E-3</v>
      </c>
      <c r="L3400" s="23">
        <v>1.1055399999999999E-3</v>
      </c>
    </row>
    <row r="3401" spans="1:12" ht="15.35" hidden="1" x14ac:dyDescent="0.55000000000000004">
      <c r="A3401" s="20">
        <v>17282</v>
      </c>
      <c r="B3401" s="2" t="s">
        <v>169</v>
      </c>
      <c r="C3401" s="2" t="s">
        <v>170</v>
      </c>
      <c r="D3401" s="20">
        <v>0</v>
      </c>
      <c r="E3401" s="2" t="s">
        <v>838</v>
      </c>
      <c r="F3401" s="2" t="s">
        <v>817</v>
      </c>
      <c r="G3401" s="2" t="s">
        <v>3659</v>
      </c>
      <c r="H3401" s="2" t="s">
        <v>3660</v>
      </c>
      <c r="J3401" s="26"/>
      <c r="K3401" s="36">
        <v>4.4221499999999997E-3</v>
      </c>
      <c r="L3401" s="23">
        <v>1.1055399999999999E-3</v>
      </c>
    </row>
    <row r="3402" spans="1:12" ht="15.35" hidden="1" x14ac:dyDescent="0.55000000000000004">
      <c r="A3402" s="20">
        <v>17042</v>
      </c>
      <c r="B3402" s="2" t="s">
        <v>169</v>
      </c>
      <c r="C3402" s="2" t="s">
        <v>170</v>
      </c>
      <c r="D3402" s="20">
        <v>0</v>
      </c>
      <c r="E3402" s="2" t="s">
        <v>838</v>
      </c>
      <c r="F3402" s="2" t="s">
        <v>793</v>
      </c>
      <c r="G3402" s="2" t="s">
        <v>3661</v>
      </c>
      <c r="H3402" s="2" t="s">
        <v>3661</v>
      </c>
      <c r="J3402" s="26"/>
      <c r="K3402" s="36">
        <v>4.4221499999999997E-3</v>
      </c>
      <c r="L3402" s="23">
        <v>1.1055399999999999E-3</v>
      </c>
    </row>
    <row r="3403" spans="1:12" ht="15.35" hidden="1" x14ac:dyDescent="0.55000000000000004">
      <c r="A3403" s="20">
        <v>16870</v>
      </c>
      <c r="B3403" s="2" t="s">
        <v>169</v>
      </c>
      <c r="C3403" s="2" t="s">
        <v>170</v>
      </c>
      <c r="D3403" s="20">
        <v>0</v>
      </c>
      <c r="E3403" s="2" t="s">
        <v>838</v>
      </c>
      <c r="F3403" s="2" t="s">
        <v>811</v>
      </c>
      <c r="G3403" s="2" t="s">
        <v>2918</v>
      </c>
      <c r="H3403" s="2" t="s">
        <v>1062</v>
      </c>
      <c r="J3403" s="26"/>
      <c r="K3403" s="36">
        <v>1.9796000000000001E-4</v>
      </c>
      <c r="L3403" s="23">
        <v>4.9490000000000002E-5</v>
      </c>
    </row>
    <row r="3404" spans="1:12" ht="15.35" hidden="1" x14ac:dyDescent="0.55000000000000004">
      <c r="A3404" s="20">
        <v>16809</v>
      </c>
      <c r="B3404" s="2" t="s">
        <v>169</v>
      </c>
      <c r="C3404" s="2" t="s">
        <v>170</v>
      </c>
      <c r="D3404" s="20">
        <v>0</v>
      </c>
      <c r="E3404" s="2" t="s">
        <v>838</v>
      </c>
      <c r="F3404" s="2" t="s">
        <v>811</v>
      </c>
      <c r="G3404" s="2" t="s">
        <v>3662</v>
      </c>
      <c r="H3404" s="2" t="s">
        <v>1062</v>
      </c>
      <c r="J3404" s="26"/>
      <c r="K3404" s="36">
        <v>7.9179999999999997E-5</v>
      </c>
      <c r="L3404" s="23">
        <v>1.9789999999999999E-5</v>
      </c>
    </row>
    <row r="3405" spans="1:12" ht="15.35" hidden="1" x14ac:dyDescent="0.55000000000000004">
      <c r="A3405" s="20">
        <v>16828</v>
      </c>
      <c r="B3405" s="2" t="s">
        <v>169</v>
      </c>
      <c r="C3405" s="2" t="s">
        <v>170</v>
      </c>
      <c r="D3405" s="20">
        <v>0</v>
      </c>
      <c r="E3405" s="2" t="s">
        <v>838</v>
      </c>
      <c r="F3405" s="2" t="s">
        <v>811</v>
      </c>
      <c r="G3405" s="2" t="s">
        <v>3663</v>
      </c>
      <c r="H3405" s="2" t="s">
        <v>1062</v>
      </c>
      <c r="J3405" s="26"/>
      <c r="K3405" s="36">
        <v>1.7815999999999999E-4</v>
      </c>
      <c r="L3405" s="23">
        <v>4.4539999999999997E-5</v>
      </c>
    </row>
    <row r="3406" spans="1:12" ht="15.35" hidden="1" x14ac:dyDescent="0.55000000000000004">
      <c r="A3406" s="20">
        <v>17447</v>
      </c>
      <c r="B3406" s="2" t="s">
        <v>169</v>
      </c>
      <c r="C3406" s="2" t="s">
        <v>170</v>
      </c>
      <c r="D3406" s="20">
        <v>0</v>
      </c>
      <c r="E3406" s="2" t="s">
        <v>838</v>
      </c>
      <c r="F3406" s="2" t="s">
        <v>783</v>
      </c>
      <c r="G3406" s="2" t="s">
        <v>3664</v>
      </c>
      <c r="H3406" s="2" t="s">
        <v>1062</v>
      </c>
      <c r="J3406" s="26"/>
      <c r="K3406" s="36">
        <v>3.9589999999999999E-5</v>
      </c>
      <c r="L3406" s="23">
        <v>9.9000000000000001E-6</v>
      </c>
    </row>
    <row r="3407" spans="1:12" ht="15.35" hidden="1" x14ac:dyDescent="0.55000000000000004">
      <c r="A3407" s="20">
        <v>16917</v>
      </c>
      <c r="B3407" s="2" t="s">
        <v>169</v>
      </c>
      <c r="C3407" s="2" t="s">
        <v>170</v>
      </c>
      <c r="D3407" s="20">
        <v>0</v>
      </c>
      <c r="E3407" s="2" t="s">
        <v>838</v>
      </c>
      <c r="F3407" s="2" t="s">
        <v>811</v>
      </c>
      <c r="G3407" s="2" t="s">
        <v>3665</v>
      </c>
      <c r="H3407" s="2" t="s">
        <v>1062</v>
      </c>
      <c r="J3407" s="26"/>
      <c r="K3407" s="36">
        <v>1.5836999999999999E-4</v>
      </c>
      <c r="L3407" s="23">
        <v>3.9589999999999999E-5</v>
      </c>
    </row>
    <row r="3408" spans="1:12" ht="15.35" hidden="1" x14ac:dyDescent="0.55000000000000004">
      <c r="A3408" s="20">
        <v>16831</v>
      </c>
      <c r="B3408" s="2" t="s">
        <v>169</v>
      </c>
      <c r="C3408" s="2" t="s">
        <v>170</v>
      </c>
      <c r="D3408" s="20">
        <v>0</v>
      </c>
      <c r="E3408" s="2" t="s">
        <v>838</v>
      </c>
      <c r="F3408" s="2" t="s">
        <v>811</v>
      </c>
      <c r="G3408" s="2" t="s">
        <v>2637</v>
      </c>
      <c r="H3408" s="2" t="s">
        <v>1062</v>
      </c>
      <c r="J3408" s="26"/>
      <c r="K3408" s="36">
        <v>1.9796000000000001E-4</v>
      </c>
      <c r="L3408" s="23">
        <v>4.9490000000000002E-5</v>
      </c>
    </row>
    <row r="3409" spans="1:12" ht="15.35" hidden="1" x14ac:dyDescent="0.55000000000000004">
      <c r="A3409" s="20">
        <v>17192</v>
      </c>
      <c r="B3409" s="2" t="s">
        <v>169</v>
      </c>
      <c r="C3409" s="2" t="s">
        <v>170</v>
      </c>
      <c r="D3409" s="20">
        <v>0</v>
      </c>
      <c r="E3409" s="2" t="s">
        <v>838</v>
      </c>
      <c r="F3409" s="2" t="s">
        <v>811</v>
      </c>
      <c r="G3409" s="2" t="s">
        <v>1067</v>
      </c>
      <c r="H3409" s="2" t="s">
        <v>1062</v>
      </c>
      <c r="J3409" s="26"/>
      <c r="K3409" s="36">
        <v>2.7714999999999999E-4</v>
      </c>
      <c r="L3409" s="23">
        <v>6.9289999999999996E-5</v>
      </c>
    </row>
    <row r="3410" spans="1:12" ht="15.35" hidden="1" x14ac:dyDescent="0.55000000000000004">
      <c r="A3410" s="20">
        <v>17362</v>
      </c>
      <c r="B3410" s="2" t="s">
        <v>169</v>
      </c>
      <c r="C3410" s="2" t="s">
        <v>170</v>
      </c>
      <c r="D3410" s="20">
        <v>0</v>
      </c>
      <c r="E3410" s="2" t="s">
        <v>838</v>
      </c>
      <c r="F3410" s="2" t="s">
        <v>811</v>
      </c>
      <c r="G3410" s="2" t="s">
        <v>3666</v>
      </c>
      <c r="H3410" s="2" t="s">
        <v>1062</v>
      </c>
      <c r="J3410" s="26"/>
      <c r="K3410" s="36">
        <v>1.1877E-4</v>
      </c>
      <c r="L3410" s="23">
        <v>2.9689999999999999E-5</v>
      </c>
    </row>
    <row r="3411" spans="1:12" ht="15.35" hidden="1" x14ac:dyDescent="0.55000000000000004">
      <c r="A3411" s="20">
        <v>17131</v>
      </c>
      <c r="B3411" s="2" t="s">
        <v>169</v>
      </c>
      <c r="C3411" s="2" t="s">
        <v>170</v>
      </c>
      <c r="D3411" s="20">
        <v>0</v>
      </c>
      <c r="E3411" s="2" t="s">
        <v>838</v>
      </c>
      <c r="F3411" s="2" t="s">
        <v>811</v>
      </c>
      <c r="G3411" s="2" t="s">
        <v>3667</v>
      </c>
      <c r="H3411" s="2" t="s">
        <v>1062</v>
      </c>
      <c r="J3411" s="26"/>
      <c r="K3411" s="36">
        <v>2.7714999999999999E-4</v>
      </c>
      <c r="L3411" s="23">
        <v>6.9289999999999996E-5</v>
      </c>
    </row>
    <row r="3412" spans="1:12" ht="15.35" hidden="1" x14ac:dyDescent="0.55000000000000004">
      <c r="A3412" s="20">
        <v>17722</v>
      </c>
      <c r="B3412" s="2" t="s">
        <v>169</v>
      </c>
      <c r="C3412" s="2" t="s">
        <v>170</v>
      </c>
      <c r="D3412" s="20">
        <v>0</v>
      </c>
      <c r="E3412" s="2" t="s">
        <v>838</v>
      </c>
      <c r="F3412" s="2" t="s">
        <v>811</v>
      </c>
      <c r="G3412" s="2" t="s">
        <v>3668</v>
      </c>
      <c r="H3412" s="2" t="s">
        <v>1062</v>
      </c>
      <c r="J3412" s="26"/>
      <c r="K3412" s="36">
        <v>7.9179999999999997E-5</v>
      </c>
      <c r="L3412" s="23">
        <v>1.9789999999999999E-5</v>
      </c>
    </row>
    <row r="3413" spans="1:12" ht="15.35" hidden="1" x14ac:dyDescent="0.55000000000000004">
      <c r="A3413" s="20">
        <v>16843</v>
      </c>
      <c r="B3413" s="2" t="s">
        <v>169</v>
      </c>
      <c r="C3413" s="2" t="s">
        <v>170</v>
      </c>
      <c r="D3413" s="20">
        <v>0</v>
      </c>
      <c r="E3413" s="2" t="s">
        <v>838</v>
      </c>
      <c r="F3413" s="2" t="s">
        <v>811</v>
      </c>
      <c r="G3413" s="2" t="s">
        <v>3669</v>
      </c>
      <c r="H3413" s="2" t="s">
        <v>1062</v>
      </c>
      <c r="J3413" s="26"/>
      <c r="K3413" s="36">
        <v>1.1877E-4</v>
      </c>
      <c r="L3413" s="23">
        <v>2.9689999999999999E-5</v>
      </c>
    </row>
    <row r="3414" spans="1:12" ht="15.35" hidden="1" x14ac:dyDescent="0.55000000000000004">
      <c r="A3414" s="20">
        <v>17290</v>
      </c>
      <c r="B3414" s="2" t="s">
        <v>169</v>
      </c>
      <c r="C3414" s="2" t="s">
        <v>170</v>
      </c>
      <c r="D3414" s="20">
        <v>0</v>
      </c>
      <c r="E3414" s="2" t="s">
        <v>838</v>
      </c>
      <c r="F3414" s="2" t="s">
        <v>811</v>
      </c>
      <c r="G3414" s="2" t="s">
        <v>2925</v>
      </c>
      <c r="H3414" s="2" t="s">
        <v>1062</v>
      </c>
      <c r="J3414" s="26"/>
      <c r="K3414" s="36">
        <v>1.1877E-4</v>
      </c>
      <c r="L3414" s="23">
        <v>2.9689999999999999E-5</v>
      </c>
    </row>
    <row r="3415" spans="1:12" ht="15.35" hidden="1" x14ac:dyDescent="0.55000000000000004">
      <c r="A3415" s="20">
        <v>17158</v>
      </c>
      <c r="B3415" s="2" t="s">
        <v>169</v>
      </c>
      <c r="C3415" s="2" t="s">
        <v>170</v>
      </c>
      <c r="D3415" s="20">
        <v>0</v>
      </c>
      <c r="E3415" s="2" t="s">
        <v>838</v>
      </c>
      <c r="F3415" s="2" t="s">
        <v>811</v>
      </c>
      <c r="G3415" s="2" t="s">
        <v>2926</v>
      </c>
      <c r="H3415" s="2" t="s">
        <v>1062</v>
      </c>
      <c r="J3415" s="26"/>
      <c r="K3415" s="36">
        <v>7.9179999999999997E-5</v>
      </c>
      <c r="L3415" s="23">
        <v>1.9789999999999999E-5</v>
      </c>
    </row>
    <row r="3416" spans="1:12" ht="15.35" hidden="1" x14ac:dyDescent="0.55000000000000004">
      <c r="A3416" s="20">
        <v>17436</v>
      </c>
      <c r="B3416" s="2" t="s">
        <v>169</v>
      </c>
      <c r="C3416" s="2" t="s">
        <v>170</v>
      </c>
      <c r="D3416" s="20">
        <v>0</v>
      </c>
      <c r="E3416" s="2" t="s">
        <v>838</v>
      </c>
      <c r="F3416" s="2" t="s">
        <v>811</v>
      </c>
      <c r="G3416" s="2" t="s">
        <v>1071</v>
      </c>
      <c r="H3416" s="2" t="s">
        <v>1062</v>
      </c>
      <c r="J3416" s="26"/>
      <c r="K3416" s="36">
        <v>7.9179999999999997E-5</v>
      </c>
      <c r="L3416" s="23">
        <v>1.9789999999999999E-5</v>
      </c>
    </row>
    <row r="3417" spans="1:12" ht="15.35" hidden="1" x14ac:dyDescent="0.55000000000000004">
      <c r="A3417" s="20">
        <v>17018</v>
      </c>
      <c r="B3417" s="2" t="s">
        <v>169</v>
      </c>
      <c r="C3417" s="2" t="s">
        <v>170</v>
      </c>
      <c r="D3417" s="20">
        <v>0</v>
      </c>
      <c r="E3417" s="2" t="s">
        <v>838</v>
      </c>
      <c r="F3417" s="2" t="s">
        <v>811</v>
      </c>
      <c r="G3417" s="2" t="s">
        <v>1072</v>
      </c>
      <c r="H3417" s="2" t="s">
        <v>1062</v>
      </c>
      <c r="J3417" s="26"/>
      <c r="K3417" s="36">
        <v>1.5045E-4</v>
      </c>
      <c r="L3417" s="23">
        <v>3.7610000000000001E-5</v>
      </c>
    </row>
    <row r="3418" spans="1:12" ht="15.35" hidden="1" x14ac:dyDescent="0.55000000000000004">
      <c r="A3418" s="20">
        <v>17640</v>
      </c>
      <c r="B3418" s="2" t="s">
        <v>169</v>
      </c>
      <c r="C3418" s="2" t="s">
        <v>170</v>
      </c>
      <c r="D3418" s="20">
        <v>0</v>
      </c>
      <c r="E3418" s="2" t="s">
        <v>838</v>
      </c>
      <c r="F3418" s="2" t="s">
        <v>811</v>
      </c>
      <c r="G3418" s="2" t="s">
        <v>3670</v>
      </c>
      <c r="H3418" s="2" t="s">
        <v>1062</v>
      </c>
      <c r="J3418" s="26"/>
      <c r="K3418" s="36">
        <v>3.8008999999999997E-4</v>
      </c>
      <c r="L3418" s="23">
        <v>9.5019999999999995E-5</v>
      </c>
    </row>
    <row r="3419" spans="1:12" ht="15.35" hidden="1" x14ac:dyDescent="0.55000000000000004">
      <c r="A3419" s="20">
        <v>17186</v>
      </c>
      <c r="B3419" s="2" t="s">
        <v>169</v>
      </c>
      <c r="C3419" s="2" t="s">
        <v>170</v>
      </c>
      <c r="D3419" s="20">
        <v>0</v>
      </c>
      <c r="E3419" s="2" t="s">
        <v>838</v>
      </c>
      <c r="F3419" s="2" t="s">
        <v>811</v>
      </c>
      <c r="G3419" s="2" t="s">
        <v>3671</v>
      </c>
      <c r="H3419" s="2" t="s">
        <v>1062</v>
      </c>
      <c r="J3419" s="26"/>
      <c r="K3419" s="36">
        <v>7.9179999999999997E-5</v>
      </c>
      <c r="L3419" s="23">
        <v>1.9789999999999999E-5</v>
      </c>
    </row>
    <row r="3420" spans="1:12" ht="15.35" hidden="1" x14ac:dyDescent="0.55000000000000004">
      <c r="A3420" s="20">
        <v>17404</v>
      </c>
      <c r="B3420" s="2" t="s">
        <v>169</v>
      </c>
      <c r="C3420" s="2" t="s">
        <v>170</v>
      </c>
      <c r="D3420" s="20">
        <v>0</v>
      </c>
      <c r="E3420" s="2" t="s">
        <v>838</v>
      </c>
      <c r="F3420" s="2" t="s">
        <v>811</v>
      </c>
      <c r="G3420" s="2" t="s">
        <v>3672</v>
      </c>
      <c r="H3420" s="2" t="s">
        <v>1062</v>
      </c>
      <c r="J3420" s="26"/>
      <c r="K3420" s="36">
        <v>5.9389000000000002E-4</v>
      </c>
      <c r="L3420" s="23">
        <v>1.4846999999999999E-4</v>
      </c>
    </row>
    <row r="3421" spans="1:12" ht="15.35" hidden="1" x14ac:dyDescent="0.55000000000000004">
      <c r="A3421" s="20">
        <v>16810</v>
      </c>
      <c r="B3421" s="2" t="s">
        <v>169</v>
      </c>
      <c r="C3421" s="2" t="s">
        <v>170</v>
      </c>
      <c r="D3421" s="20">
        <v>0</v>
      </c>
      <c r="E3421" s="2" t="s">
        <v>838</v>
      </c>
      <c r="F3421" s="2" t="s">
        <v>811</v>
      </c>
      <c r="G3421" s="2" t="s">
        <v>1076</v>
      </c>
      <c r="H3421" s="2" t="s">
        <v>1062</v>
      </c>
      <c r="J3421" s="26"/>
      <c r="K3421" s="36">
        <v>3.9593000000000001E-4</v>
      </c>
      <c r="L3421" s="23">
        <v>9.8980000000000004E-5</v>
      </c>
    </row>
    <row r="3422" spans="1:12" ht="15.35" hidden="1" x14ac:dyDescent="0.55000000000000004">
      <c r="A3422" s="20">
        <v>17280</v>
      </c>
      <c r="B3422" s="2" t="s">
        <v>169</v>
      </c>
      <c r="C3422" s="2" t="s">
        <v>170</v>
      </c>
      <c r="D3422" s="20">
        <v>0</v>
      </c>
      <c r="E3422" s="2" t="s">
        <v>838</v>
      </c>
      <c r="F3422" s="2" t="s">
        <v>793</v>
      </c>
      <c r="G3422" s="2" t="s">
        <v>3673</v>
      </c>
      <c r="H3422" s="2" t="s">
        <v>1062</v>
      </c>
      <c r="J3422" s="26"/>
      <c r="K3422" s="36">
        <v>2.7714999999999999E-4</v>
      </c>
      <c r="L3422" s="23">
        <v>6.9289999999999996E-5</v>
      </c>
    </row>
    <row r="3423" spans="1:12" ht="15.35" hidden="1" x14ac:dyDescent="0.55000000000000004">
      <c r="A3423" s="20">
        <v>17576</v>
      </c>
      <c r="B3423" s="2" t="s">
        <v>169</v>
      </c>
      <c r="C3423" s="2" t="s">
        <v>170</v>
      </c>
      <c r="D3423" s="20">
        <v>0</v>
      </c>
      <c r="E3423" s="2" t="s">
        <v>838</v>
      </c>
      <c r="F3423" s="2" t="s">
        <v>793</v>
      </c>
      <c r="G3423" s="2" t="s">
        <v>3674</v>
      </c>
      <c r="H3423" s="2" t="s">
        <v>2008</v>
      </c>
      <c r="J3423" s="26"/>
      <c r="K3423" s="36">
        <v>6.6509999999999998E-5</v>
      </c>
      <c r="L3423" s="23">
        <v>1.6629999999999998E-5</v>
      </c>
    </row>
    <row r="3424" spans="1:12" ht="15.35" hidden="1" x14ac:dyDescent="0.55000000000000004">
      <c r="A3424" s="20">
        <v>17027</v>
      </c>
      <c r="B3424" s="2" t="s">
        <v>169</v>
      </c>
      <c r="C3424" s="2" t="s">
        <v>170</v>
      </c>
      <c r="D3424" s="20">
        <v>0</v>
      </c>
      <c r="E3424" s="2" t="s">
        <v>838</v>
      </c>
      <c r="F3424" s="2" t="s">
        <v>817</v>
      </c>
      <c r="G3424" s="2" t="s">
        <v>3675</v>
      </c>
      <c r="H3424" s="2" t="s">
        <v>2010</v>
      </c>
      <c r="J3424" s="26"/>
      <c r="K3424" s="36">
        <v>1.18779E-3</v>
      </c>
      <c r="L3424" s="23">
        <v>2.9694999999999998E-4</v>
      </c>
    </row>
    <row r="3425" spans="1:12" ht="15.35" hidden="1" x14ac:dyDescent="0.55000000000000004">
      <c r="A3425" s="20">
        <v>17278</v>
      </c>
      <c r="B3425" s="2" t="s">
        <v>169</v>
      </c>
      <c r="C3425" s="2" t="s">
        <v>170</v>
      </c>
      <c r="D3425" s="20">
        <v>0</v>
      </c>
      <c r="E3425" s="2" t="s">
        <v>838</v>
      </c>
      <c r="F3425" s="2" t="s">
        <v>817</v>
      </c>
      <c r="G3425" s="2" t="s">
        <v>3676</v>
      </c>
      <c r="H3425" s="2" t="s">
        <v>2010</v>
      </c>
      <c r="J3425" s="26"/>
      <c r="K3425" s="36">
        <v>7.5220000000000001E-5</v>
      </c>
      <c r="L3425" s="23">
        <v>1.8810000000000001E-5</v>
      </c>
    </row>
    <row r="3426" spans="1:12" ht="15.35" hidden="1" x14ac:dyDescent="0.55000000000000004">
      <c r="A3426" s="20">
        <v>17361</v>
      </c>
      <c r="B3426" s="2" t="s">
        <v>169</v>
      </c>
      <c r="C3426" s="2" t="s">
        <v>170</v>
      </c>
      <c r="D3426" s="20">
        <v>0</v>
      </c>
      <c r="E3426" s="2" t="s">
        <v>838</v>
      </c>
      <c r="F3426" s="2" t="s">
        <v>817</v>
      </c>
      <c r="G3426" s="2" t="s">
        <v>2929</v>
      </c>
      <c r="H3426" s="2" t="s">
        <v>2010</v>
      </c>
      <c r="J3426" s="26"/>
      <c r="K3426" s="36">
        <v>1.93531E-3</v>
      </c>
      <c r="L3426" s="23">
        <v>4.8382999999999998E-4</v>
      </c>
    </row>
    <row r="3427" spans="1:12" ht="15.35" x14ac:dyDescent="0.55000000000000004">
      <c r="A3427" s="20">
        <v>17656</v>
      </c>
      <c r="B3427" s="2" t="s">
        <v>169</v>
      </c>
      <c r="C3427" s="2" t="s">
        <v>170</v>
      </c>
      <c r="D3427" s="20">
        <v>0</v>
      </c>
      <c r="E3427" s="2" t="s">
        <v>838</v>
      </c>
      <c r="F3427" s="2" t="s">
        <v>793</v>
      </c>
      <c r="G3427" s="2" t="s">
        <v>3677</v>
      </c>
      <c r="J3427" s="26"/>
      <c r="K3427" s="36">
        <v>1.33468E-3</v>
      </c>
      <c r="L3427" s="23">
        <v>3.3367E-4</v>
      </c>
    </row>
    <row r="3428" spans="1:12" ht="15.35" x14ac:dyDescent="0.55000000000000004">
      <c r="A3428" s="20">
        <v>17094</v>
      </c>
      <c r="B3428" s="2" t="s">
        <v>169</v>
      </c>
      <c r="C3428" s="2" t="s">
        <v>170</v>
      </c>
      <c r="D3428" s="20">
        <v>0</v>
      </c>
      <c r="E3428" s="2" t="s">
        <v>838</v>
      </c>
      <c r="F3428" s="2" t="s">
        <v>793</v>
      </c>
      <c r="G3428" s="2" t="s">
        <v>3678</v>
      </c>
      <c r="J3428" s="26"/>
      <c r="K3428" s="36">
        <v>6.334E-5</v>
      </c>
      <c r="L3428" s="23">
        <v>1.5840000000000001E-5</v>
      </c>
    </row>
    <row r="3429" spans="1:12" ht="15.35" hidden="1" x14ac:dyDescent="0.55000000000000004">
      <c r="A3429" s="20">
        <v>17050</v>
      </c>
      <c r="B3429" s="2" t="s">
        <v>169</v>
      </c>
      <c r="C3429" s="2" t="s">
        <v>170</v>
      </c>
      <c r="D3429" s="20">
        <v>0</v>
      </c>
      <c r="E3429" s="2" t="s">
        <v>838</v>
      </c>
      <c r="F3429" s="2" t="s">
        <v>793</v>
      </c>
      <c r="G3429" s="2" t="s">
        <v>3679</v>
      </c>
      <c r="H3429" s="2" t="s">
        <v>3680</v>
      </c>
      <c r="J3429" s="26"/>
      <c r="K3429" s="36">
        <v>6.6713999999999999E-4</v>
      </c>
      <c r="L3429" s="23">
        <v>1.6678E-4</v>
      </c>
    </row>
    <row r="3430" spans="1:12" ht="15.35" hidden="1" x14ac:dyDescent="0.55000000000000004">
      <c r="A3430" s="20">
        <v>17669</v>
      </c>
      <c r="B3430" s="2" t="s">
        <v>169</v>
      </c>
      <c r="C3430" s="2" t="s">
        <v>170</v>
      </c>
      <c r="D3430" s="20">
        <v>0</v>
      </c>
      <c r="E3430" s="2" t="s">
        <v>838</v>
      </c>
      <c r="F3430" s="2" t="s">
        <v>793</v>
      </c>
      <c r="G3430" s="2" t="s">
        <v>3681</v>
      </c>
      <c r="H3430" s="2" t="s">
        <v>3681</v>
      </c>
      <c r="J3430" s="26"/>
      <c r="K3430" s="36">
        <v>2.37558E-3</v>
      </c>
      <c r="L3430" s="23">
        <v>5.9389000000000002E-4</v>
      </c>
    </row>
    <row r="3431" spans="1:12" ht="15.35" x14ac:dyDescent="0.55000000000000004">
      <c r="A3431" s="20">
        <v>16878</v>
      </c>
      <c r="B3431" s="2" t="s">
        <v>169</v>
      </c>
      <c r="C3431" s="2" t="s">
        <v>170</v>
      </c>
      <c r="D3431" s="20">
        <v>0</v>
      </c>
      <c r="E3431" s="2" t="s">
        <v>838</v>
      </c>
      <c r="F3431" s="2" t="s">
        <v>793</v>
      </c>
      <c r="G3431" s="2" t="s">
        <v>3682</v>
      </c>
      <c r="J3431" s="26"/>
      <c r="K3431" s="36">
        <v>1.9558900000000001E-3</v>
      </c>
      <c r="L3431" s="23">
        <v>4.8897000000000003E-4</v>
      </c>
    </row>
    <row r="3432" spans="1:12" ht="15.35" hidden="1" x14ac:dyDescent="0.55000000000000004">
      <c r="A3432" s="20">
        <v>17453</v>
      </c>
      <c r="B3432" s="2" t="s">
        <v>169</v>
      </c>
      <c r="C3432" s="2" t="s">
        <v>170</v>
      </c>
      <c r="D3432" s="20">
        <v>0</v>
      </c>
      <c r="E3432" s="2" t="s">
        <v>838</v>
      </c>
      <c r="F3432" s="2" t="s">
        <v>789</v>
      </c>
      <c r="G3432" s="2" t="s">
        <v>1089</v>
      </c>
      <c r="H3432" s="2" t="s">
        <v>1088</v>
      </c>
      <c r="J3432" s="26"/>
      <c r="K3432" s="36">
        <v>3.2034699999999999E-3</v>
      </c>
      <c r="L3432" s="23">
        <v>8.0086999999999997E-4</v>
      </c>
    </row>
    <row r="3433" spans="1:12" ht="15.35" hidden="1" x14ac:dyDescent="0.55000000000000004">
      <c r="A3433" s="20">
        <v>17671</v>
      </c>
      <c r="B3433" s="2" t="s">
        <v>169</v>
      </c>
      <c r="C3433" s="2" t="s">
        <v>170</v>
      </c>
      <c r="D3433" s="20">
        <v>0</v>
      </c>
      <c r="E3433" s="2" t="s">
        <v>838</v>
      </c>
      <c r="F3433" s="2" t="s">
        <v>793</v>
      </c>
      <c r="G3433" s="2" t="s">
        <v>2933</v>
      </c>
      <c r="H3433" s="2" t="s">
        <v>1369</v>
      </c>
      <c r="J3433" s="26"/>
      <c r="K3433" s="36">
        <v>2.6697600000000002E-3</v>
      </c>
      <c r="L3433" s="23">
        <v>6.6744000000000005E-4</v>
      </c>
    </row>
    <row r="3434" spans="1:12" ht="15.35" hidden="1" x14ac:dyDescent="0.55000000000000004">
      <c r="A3434" s="20">
        <v>16947</v>
      </c>
      <c r="B3434" s="2" t="s">
        <v>169</v>
      </c>
      <c r="C3434" s="2" t="s">
        <v>170</v>
      </c>
      <c r="D3434" s="20">
        <v>0</v>
      </c>
      <c r="E3434" s="2" t="s">
        <v>838</v>
      </c>
      <c r="F3434" s="2" t="s">
        <v>793</v>
      </c>
      <c r="G3434" s="2" t="s">
        <v>2934</v>
      </c>
      <c r="H3434" s="2" t="s">
        <v>1369</v>
      </c>
      <c r="J3434" s="26"/>
      <c r="K3434" s="36">
        <v>2.6697600000000002E-3</v>
      </c>
      <c r="L3434" s="23">
        <v>6.6744000000000005E-4</v>
      </c>
    </row>
    <row r="3435" spans="1:12" ht="15.35" hidden="1" x14ac:dyDescent="0.55000000000000004">
      <c r="A3435" s="20">
        <v>17358</v>
      </c>
      <c r="B3435" s="2" t="s">
        <v>169</v>
      </c>
      <c r="C3435" s="2" t="s">
        <v>170</v>
      </c>
      <c r="D3435" s="20">
        <v>0</v>
      </c>
      <c r="E3435" s="2" t="s">
        <v>838</v>
      </c>
      <c r="F3435" s="2" t="s">
        <v>793</v>
      </c>
      <c r="G3435" s="2" t="s">
        <v>3683</v>
      </c>
      <c r="H3435" s="2" t="s">
        <v>926</v>
      </c>
      <c r="J3435" s="26"/>
      <c r="K3435" s="36">
        <v>3.9589999999999999E-5</v>
      </c>
      <c r="L3435" s="23">
        <v>9.9000000000000001E-6</v>
      </c>
    </row>
    <row r="3436" spans="1:12" ht="15.35" hidden="1" x14ac:dyDescent="0.55000000000000004">
      <c r="A3436" s="20">
        <v>16866</v>
      </c>
      <c r="B3436" s="2" t="s">
        <v>169</v>
      </c>
      <c r="C3436" s="2" t="s">
        <v>170</v>
      </c>
      <c r="D3436" s="20">
        <v>0</v>
      </c>
      <c r="E3436" s="2" t="s">
        <v>838</v>
      </c>
      <c r="F3436" s="2" t="s">
        <v>848</v>
      </c>
      <c r="G3436" s="2" t="s">
        <v>3684</v>
      </c>
      <c r="H3436" s="2" t="s">
        <v>1094</v>
      </c>
      <c r="J3436" s="26"/>
      <c r="K3436" s="36">
        <v>4.4221499999999997E-3</v>
      </c>
      <c r="L3436" s="23">
        <v>1.1055399999999999E-3</v>
      </c>
    </row>
    <row r="3437" spans="1:12" ht="15.35" hidden="1" x14ac:dyDescent="0.55000000000000004">
      <c r="A3437" s="20">
        <v>17660</v>
      </c>
      <c r="B3437" s="2" t="s">
        <v>169</v>
      </c>
      <c r="C3437" s="2" t="s">
        <v>170</v>
      </c>
      <c r="D3437" s="20">
        <v>0</v>
      </c>
      <c r="E3437" s="2" t="s">
        <v>838</v>
      </c>
      <c r="F3437" s="2" t="s">
        <v>848</v>
      </c>
      <c r="G3437" s="2" t="s">
        <v>3685</v>
      </c>
      <c r="H3437" s="2" t="s">
        <v>1095</v>
      </c>
      <c r="J3437" s="26"/>
      <c r="K3437" s="36">
        <v>4.4221499999999997E-3</v>
      </c>
      <c r="L3437" s="23">
        <v>1.1055399999999999E-3</v>
      </c>
    </row>
    <row r="3438" spans="1:12" ht="15.35" hidden="1" x14ac:dyDescent="0.55000000000000004">
      <c r="A3438" s="20">
        <v>17141</v>
      </c>
      <c r="B3438" s="2" t="s">
        <v>169</v>
      </c>
      <c r="C3438" s="2" t="s">
        <v>170</v>
      </c>
      <c r="D3438" s="20">
        <v>0</v>
      </c>
      <c r="E3438" s="2" t="s">
        <v>838</v>
      </c>
      <c r="F3438" s="2" t="s">
        <v>793</v>
      </c>
      <c r="G3438" s="2" t="s">
        <v>3686</v>
      </c>
      <c r="H3438" s="2" t="s">
        <v>2100</v>
      </c>
      <c r="J3438" s="26"/>
      <c r="K3438" s="36">
        <v>2.6685000000000001E-4</v>
      </c>
      <c r="L3438" s="23">
        <v>6.6710000000000003E-5</v>
      </c>
    </row>
    <row r="3439" spans="1:12" ht="15.35" hidden="1" x14ac:dyDescent="0.55000000000000004">
      <c r="A3439" s="20">
        <v>17383</v>
      </c>
      <c r="B3439" s="2" t="s">
        <v>169</v>
      </c>
      <c r="C3439" s="2" t="s">
        <v>170</v>
      </c>
      <c r="D3439" s="20">
        <v>0</v>
      </c>
      <c r="E3439" s="2" t="s">
        <v>838</v>
      </c>
      <c r="F3439" s="2" t="s">
        <v>793</v>
      </c>
      <c r="G3439" s="2" t="s">
        <v>3687</v>
      </c>
      <c r="H3439" s="2" t="s">
        <v>2100</v>
      </c>
      <c r="J3439" s="26"/>
      <c r="K3439" s="36">
        <v>2.6565999999999997E-4</v>
      </c>
      <c r="L3439" s="23">
        <v>6.6409999999999996E-5</v>
      </c>
    </row>
    <row r="3440" spans="1:12" ht="15.35" hidden="1" x14ac:dyDescent="0.55000000000000004">
      <c r="A3440" s="20">
        <v>17218</v>
      </c>
      <c r="B3440" s="2" t="s">
        <v>169</v>
      </c>
      <c r="C3440" s="2" t="s">
        <v>170</v>
      </c>
      <c r="D3440" s="20">
        <v>0</v>
      </c>
      <c r="E3440" s="2" t="s">
        <v>838</v>
      </c>
      <c r="F3440" s="2" t="s">
        <v>793</v>
      </c>
      <c r="G3440" s="2" t="s">
        <v>3688</v>
      </c>
      <c r="H3440" s="2" t="s">
        <v>2100</v>
      </c>
      <c r="J3440" s="26"/>
      <c r="K3440" s="36">
        <v>7.5619999999999998E-5</v>
      </c>
      <c r="L3440" s="23">
        <v>1.891E-5</v>
      </c>
    </row>
    <row r="3441" spans="1:12" ht="15.35" hidden="1" x14ac:dyDescent="0.55000000000000004">
      <c r="A3441" s="20">
        <v>17130</v>
      </c>
      <c r="B3441" s="2" t="s">
        <v>169</v>
      </c>
      <c r="C3441" s="2" t="s">
        <v>170</v>
      </c>
      <c r="D3441" s="20">
        <v>0</v>
      </c>
      <c r="E3441" s="2" t="s">
        <v>838</v>
      </c>
      <c r="F3441" s="2" t="s">
        <v>793</v>
      </c>
      <c r="G3441" s="2" t="s">
        <v>3689</v>
      </c>
      <c r="H3441" s="2" t="s">
        <v>2100</v>
      </c>
      <c r="J3441" s="26"/>
      <c r="K3441" s="36">
        <v>7.839E-5</v>
      </c>
      <c r="L3441" s="23">
        <v>1.9599999999999999E-5</v>
      </c>
    </row>
    <row r="3442" spans="1:12" ht="15.35" hidden="1" x14ac:dyDescent="0.55000000000000004">
      <c r="A3442" s="20">
        <v>17217</v>
      </c>
      <c r="B3442" s="2" t="s">
        <v>169</v>
      </c>
      <c r="C3442" s="2" t="s">
        <v>170</v>
      </c>
      <c r="D3442" s="20">
        <v>0</v>
      </c>
      <c r="E3442" s="2" t="s">
        <v>838</v>
      </c>
      <c r="F3442" s="2" t="s">
        <v>793</v>
      </c>
      <c r="G3442" s="2" t="s">
        <v>3690</v>
      </c>
      <c r="H3442" s="2" t="s">
        <v>2100</v>
      </c>
      <c r="J3442" s="26"/>
      <c r="K3442" s="36">
        <v>7.839E-5</v>
      </c>
      <c r="L3442" s="23">
        <v>1.9599999999999999E-5</v>
      </c>
    </row>
    <row r="3443" spans="1:12" ht="15.35" hidden="1" x14ac:dyDescent="0.55000000000000004">
      <c r="A3443" s="20">
        <v>17185</v>
      </c>
      <c r="B3443" s="2" t="s">
        <v>169</v>
      </c>
      <c r="C3443" s="2" t="s">
        <v>170</v>
      </c>
      <c r="D3443" s="20">
        <v>0</v>
      </c>
      <c r="E3443" s="2" t="s">
        <v>838</v>
      </c>
      <c r="F3443" s="2" t="s">
        <v>793</v>
      </c>
      <c r="G3443" s="2" t="s">
        <v>3691</v>
      </c>
      <c r="H3443" s="2" t="s">
        <v>2100</v>
      </c>
      <c r="J3443" s="26"/>
      <c r="K3443" s="36">
        <v>7.7200000000000006E-5</v>
      </c>
      <c r="L3443" s="23">
        <v>1.9300000000000002E-5</v>
      </c>
    </row>
    <row r="3444" spans="1:12" ht="15.35" hidden="1" x14ac:dyDescent="0.55000000000000004">
      <c r="A3444" s="20">
        <v>16968</v>
      </c>
      <c r="B3444" s="2" t="s">
        <v>169</v>
      </c>
      <c r="C3444" s="2" t="s">
        <v>170</v>
      </c>
      <c r="D3444" s="20">
        <v>0</v>
      </c>
      <c r="E3444" s="2" t="s">
        <v>838</v>
      </c>
      <c r="F3444" s="2" t="s">
        <v>793</v>
      </c>
      <c r="G3444" s="2" t="s">
        <v>3692</v>
      </c>
      <c r="H3444" s="2" t="s">
        <v>2100</v>
      </c>
      <c r="J3444" s="26"/>
      <c r="K3444" s="36">
        <v>7.7200000000000006E-5</v>
      </c>
      <c r="L3444" s="23">
        <v>1.9300000000000002E-5</v>
      </c>
    </row>
    <row r="3445" spans="1:12" ht="15.35" hidden="1" x14ac:dyDescent="0.55000000000000004">
      <c r="A3445" s="20">
        <v>17619</v>
      </c>
      <c r="B3445" s="2" t="s">
        <v>169</v>
      </c>
      <c r="C3445" s="2" t="s">
        <v>170</v>
      </c>
      <c r="D3445" s="20">
        <v>0</v>
      </c>
      <c r="E3445" s="2" t="s">
        <v>838</v>
      </c>
      <c r="F3445" s="2" t="s">
        <v>793</v>
      </c>
      <c r="G3445" s="2" t="s">
        <v>3693</v>
      </c>
      <c r="H3445" s="2" t="s">
        <v>2100</v>
      </c>
      <c r="J3445" s="26"/>
      <c r="K3445" s="36">
        <v>7.6009999999999999E-5</v>
      </c>
      <c r="L3445" s="23">
        <v>1.9000000000000001E-5</v>
      </c>
    </row>
    <row r="3446" spans="1:12" ht="15.35" hidden="1" x14ac:dyDescent="0.55000000000000004">
      <c r="A3446" s="20">
        <v>17598</v>
      </c>
      <c r="B3446" s="2" t="s">
        <v>169</v>
      </c>
      <c r="C3446" s="2" t="s">
        <v>170</v>
      </c>
      <c r="D3446" s="20">
        <v>0</v>
      </c>
      <c r="E3446" s="2" t="s">
        <v>838</v>
      </c>
      <c r="F3446" s="2" t="s">
        <v>793</v>
      </c>
      <c r="G3446" s="2" t="s">
        <v>3694</v>
      </c>
      <c r="H3446" s="2" t="s">
        <v>2100</v>
      </c>
      <c r="J3446" s="26"/>
      <c r="K3446" s="36">
        <v>7.7200000000000006E-5</v>
      </c>
      <c r="L3446" s="23">
        <v>1.9300000000000002E-5</v>
      </c>
    </row>
    <row r="3447" spans="1:12" ht="15.35" hidden="1" x14ac:dyDescent="0.55000000000000004">
      <c r="A3447" s="20">
        <v>17443</v>
      </c>
      <c r="B3447" s="2" t="s">
        <v>169</v>
      </c>
      <c r="C3447" s="2" t="s">
        <v>170</v>
      </c>
      <c r="D3447" s="20">
        <v>0</v>
      </c>
      <c r="E3447" s="2" t="s">
        <v>838</v>
      </c>
      <c r="F3447" s="2" t="s">
        <v>793</v>
      </c>
      <c r="G3447" s="2" t="s">
        <v>3695</v>
      </c>
      <c r="H3447" s="2" t="s">
        <v>2100</v>
      </c>
      <c r="J3447" s="26"/>
      <c r="K3447" s="36">
        <v>7.8789999999999996E-5</v>
      </c>
      <c r="L3447" s="23">
        <v>1.9700000000000001E-5</v>
      </c>
    </row>
    <row r="3448" spans="1:12" ht="15.35" hidden="1" x14ac:dyDescent="0.55000000000000004">
      <c r="A3448" s="20">
        <v>17124</v>
      </c>
      <c r="B3448" s="2" t="s">
        <v>169</v>
      </c>
      <c r="C3448" s="2" t="s">
        <v>170</v>
      </c>
      <c r="D3448" s="20">
        <v>0</v>
      </c>
      <c r="E3448" s="2" t="s">
        <v>838</v>
      </c>
      <c r="F3448" s="2" t="s">
        <v>793</v>
      </c>
      <c r="G3448" s="2" t="s">
        <v>3696</v>
      </c>
      <c r="H3448" s="2" t="s">
        <v>2100</v>
      </c>
      <c r="J3448" s="26"/>
      <c r="K3448" s="36">
        <v>7.8789999999999996E-5</v>
      </c>
      <c r="L3448" s="23">
        <v>1.9700000000000001E-5</v>
      </c>
    </row>
    <row r="3449" spans="1:12" ht="15.35" hidden="1" x14ac:dyDescent="0.55000000000000004">
      <c r="A3449" s="20">
        <v>17427</v>
      </c>
      <c r="B3449" s="2" t="s">
        <v>169</v>
      </c>
      <c r="C3449" s="2" t="s">
        <v>170</v>
      </c>
      <c r="D3449" s="20">
        <v>0</v>
      </c>
      <c r="E3449" s="2" t="s">
        <v>838</v>
      </c>
      <c r="F3449" s="2" t="s">
        <v>793</v>
      </c>
      <c r="G3449" s="2" t="s">
        <v>3697</v>
      </c>
      <c r="H3449" s="2" t="s">
        <v>2100</v>
      </c>
      <c r="J3449" s="26"/>
      <c r="K3449" s="36">
        <v>8.2349999999999996E-5</v>
      </c>
      <c r="L3449" s="23">
        <v>2.0590000000000001E-5</v>
      </c>
    </row>
    <row r="3450" spans="1:12" ht="15.35" hidden="1" x14ac:dyDescent="0.55000000000000004">
      <c r="A3450" s="20">
        <v>16799</v>
      </c>
      <c r="B3450" s="2" t="s">
        <v>169</v>
      </c>
      <c r="C3450" s="2" t="s">
        <v>170</v>
      </c>
      <c r="D3450" s="20">
        <v>0</v>
      </c>
      <c r="E3450" s="2" t="s">
        <v>838</v>
      </c>
      <c r="F3450" s="2" t="s">
        <v>793</v>
      </c>
      <c r="G3450" s="2" t="s">
        <v>3698</v>
      </c>
      <c r="H3450" s="2" t="s">
        <v>2100</v>
      </c>
      <c r="J3450" s="26"/>
      <c r="K3450" s="36">
        <v>7.6009999999999999E-5</v>
      </c>
      <c r="L3450" s="23">
        <v>1.9000000000000001E-5</v>
      </c>
    </row>
    <row r="3451" spans="1:12" ht="15.35" hidden="1" x14ac:dyDescent="0.55000000000000004">
      <c r="A3451" s="20">
        <v>17249</v>
      </c>
      <c r="B3451" s="2" t="s">
        <v>169</v>
      </c>
      <c r="C3451" s="2" t="s">
        <v>170</v>
      </c>
      <c r="D3451" s="20">
        <v>0</v>
      </c>
      <c r="E3451" s="2" t="s">
        <v>838</v>
      </c>
      <c r="F3451" s="2" t="s">
        <v>793</v>
      </c>
      <c r="G3451" s="2" t="s">
        <v>3699</v>
      </c>
      <c r="H3451" s="2" t="s">
        <v>2100</v>
      </c>
      <c r="J3451" s="26"/>
      <c r="K3451" s="36">
        <v>7.9969999999999995E-5</v>
      </c>
      <c r="L3451" s="23">
        <v>1.999E-5</v>
      </c>
    </row>
    <row r="3452" spans="1:12" ht="15.35" hidden="1" x14ac:dyDescent="0.55000000000000004">
      <c r="A3452" s="20">
        <v>17609</v>
      </c>
      <c r="B3452" s="2" t="s">
        <v>169</v>
      </c>
      <c r="C3452" s="2" t="s">
        <v>170</v>
      </c>
      <c r="D3452" s="20">
        <v>0</v>
      </c>
      <c r="E3452" s="2" t="s">
        <v>838</v>
      </c>
      <c r="F3452" s="2" t="s">
        <v>793</v>
      </c>
      <c r="G3452" s="2" t="s">
        <v>3700</v>
      </c>
      <c r="H3452" s="2" t="s">
        <v>2100</v>
      </c>
      <c r="J3452" s="26"/>
      <c r="K3452" s="36">
        <v>6.9280000000000001E-5</v>
      </c>
      <c r="L3452" s="23">
        <v>1.732E-5</v>
      </c>
    </row>
    <row r="3453" spans="1:12" ht="15.35" hidden="1" x14ac:dyDescent="0.55000000000000004">
      <c r="A3453" s="20">
        <v>17422</v>
      </c>
      <c r="B3453" s="2" t="s">
        <v>169</v>
      </c>
      <c r="C3453" s="2" t="s">
        <v>170</v>
      </c>
      <c r="D3453" s="20">
        <v>0</v>
      </c>
      <c r="E3453" s="2" t="s">
        <v>838</v>
      </c>
      <c r="F3453" s="2" t="s">
        <v>793</v>
      </c>
      <c r="G3453" s="2" t="s">
        <v>3701</v>
      </c>
      <c r="H3453" s="2" t="s">
        <v>2100</v>
      </c>
      <c r="J3453" s="26"/>
      <c r="K3453" s="36">
        <v>6.8100000000000002E-5</v>
      </c>
      <c r="L3453" s="23">
        <v>1.7030000000000001E-5</v>
      </c>
    </row>
    <row r="3454" spans="1:12" ht="15.35" hidden="1" x14ac:dyDescent="0.55000000000000004">
      <c r="A3454" s="20">
        <v>17285</v>
      </c>
      <c r="B3454" s="2" t="s">
        <v>169</v>
      </c>
      <c r="C3454" s="2" t="s">
        <v>170</v>
      </c>
      <c r="D3454" s="20">
        <v>0</v>
      </c>
      <c r="E3454" s="2" t="s">
        <v>838</v>
      </c>
      <c r="F3454" s="2" t="s">
        <v>793</v>
      </c>
      <c r="G3454" s="2" t="s">
        <v>3702</v>
      </c>
      <c r="H3454" s="2" t="s">
        <v>2100</v>
      </c>
      <c r="J3454" s="26"/>
      <c r="K3454" s="36">
        <v>6.7299999999999996E-5</v>
      </c>
      <c r="L3454" s="23">
        <v>1.6820000000000002E-5</v>
      </c>
    </row>
    <row r="3455" spans="1:12" ht="15.35" hidden="1" x14ac:dyDescent="0.55000000000000004">
      <c r="A3455" s="20">
        <v>16889</v>
      </c>
      <c r="B3455" s="2" t="s">
        <v>169</v>
      </c>
      <c r="C3455" s="2" t="s">
        <v>170</v>
      </c>
      <c r="D3455" s="20">
        <v>0</v>
      </c>
      <c r="E3455" s="2" t="s">
        <v>838</v>
      </c>
      <c r="F3455" s="2" t="s">
        <v>793</v>
      </c>
      <c r="G3455" s="2" t="s">
        <v>3703</v>
      </c>
      <c r="H3455" s="2" t="s">
        <v>2100</v>
      </c>
      <c r="J3455" s="26"/>
      <c r="K3455" s="36">
        <v>6.6909999999999995E-5</v>
      </c>
      <c r="L3455" s="23">
        <v>1.6730000000000001E-5</v>
      </c>
    </row>
    <row r="3456" spans="1:12" ht="15.35" hidden="1" x14ac:dyDescent="0.55000000000000004">
      <c r="A3456" s="20">
        <v>17363</v>
      </c>
      <c r="B3456" s="2" t="s">
        <v>169</v>
      </c>
      <c r="C3456" s="2" t="s">
        <v>170</v>
      </c>
      <c r="D3456" s="20">
        <v>0</v>
      </c>
      <c r="E3456" s="2" t="s">
        <v>838</v>
      </c>
      <c r="F3456" s="2" t="s">
        <v>793</v>
      </c>
      <c r="G3456" s="2" t="s">
        <v>3704</v>
      </c>
      <c r="H3456" s="2" t="s">
        <v>2100</v>
      </c>
      <c r="J3456" s="26"/>
      <c r="K3456" s="36">
        <v>4.0543000000000003E-4</v>
      </c>
      <c r="L3456" s="23">
        <v>1.0136000000000001E-4</v>
      </c>
    </row>
    <row r="3457" spans="1:12" ht="15.35" hidden="1" x14ac:dyDescent="0.55000000000000004">
      <c r="A3457" s="20">
        <v>17493</v>
      </c>
      <c r="B3457" s="2" t="s">
        <v>169</v>
      </c>
      <c r="C3457" s="2" t="s">
        <v>170</v>
      </c>
      <c r="D3457" s="20">
        <v>0</v>
      </c>
      <c r="E3457" s="2" t="s">
        <v>838</v>
      </c>
      <c r="F3457" s="2" t="s">
        <v>793</v>
      </c>
      <c r="G3457" s="2" t="s">
        <v>2946</v>
      </c>
      <c r="H3457" s="2" t="s">
        <v>2100</v>
      </c>
      <c r="J3457" s="26"/>
      <c r="K3457" s="36">
        <v>2.8228999999999998E-4</v>
      </c>
      <c r="L3457" s="23">
        <v>7.0569999999999997E-5</v>
      </c>
    </row>
    <row r="3458" spans="1:12" ht="15.35" hidden="1" x14ac:dyDescent="0.55000000000000004">
      <c r="A3458" s="20">
        <v>17478</v>
      </c>
      <c r="B3458" s="2" t="s">
        <v>169</v>
      </c>
      <c r="C3458" s="2" t="s">
        <v>170</v>
      </c>
      <c r="D3458" s="20">
        <v>0</v>
      </c>
      <c r="E3458" s="2" t="s">
        <v>838</v>
      </c>
      <c r="F3458" s="2" t="s">
        <v>793</v>
      </c>
      <c r="G3458" s="2" t="s">
        <v>3705</v>
      </c>
      <c r="H3458" s="2" t="s">
        <v>2100</v>
      </c>
      <c r="J3458" s="26"/>
      <c r="K3458" s="36">
        <v>1.58372E-3</v>
      </c>
      <c r="L3458" s="23">
        <v>3.9593000000000001E-4</v>
      </c>
    </row>
    <row r="3459" spans="1:12" ht="15.35" hidden="1" x14ac:dyDescent="0.55000000000000004">
      <c r="A3459" s="20">
        <v>17162</v>
      </c>
      <c r="B3459" s="2" t="s">
        <v>169</v>
      </c>
      <c r="C3459" s="2" t="s">
        <v>170</v>
      </c>
      <c r="D3459" s="20">
        <v>0</v>
      </c>
      <c r="E3459" s="2" t="s">
        <v>838</v>
      </c>
      <c r="F3459" s="2" t="s">
        <v>793</v>
      </c>
      <c r="G3459" s="2" t="s">
        <v>3706</v>
      </c>
      <c r="H3459" s="2" t="s">
        <v>2100</v>
      </c>
      <c r="J3459" s="26"/>
      <c r="K3459" s="36">
        <v>1.58372E-3</v>
      </c>
      <c r="L3459" s="23">
        <v>3.9593000000000001E-4</v>
      </c>
    </row>
    <row r="3460" spans="1:12" ht="15.35" hidden="1" x14ac:dyDescent="0.55000000000000004">
      <c r="A3460" s="20">
        <v>17329</v>
      </c>
      <c r="B3460" s="2" t="s">
        <v>169</v>
      </c>
      <c r="C3460" s="2" t="s">
        <v>170</v>
      </c>
      <c r="D3460" s="20">
        <v>0</v>
      </c>
      <c r="E3460" s="2" t="s">
        <v>838</v>
      </c>
      <c r="F3460" s="2" t="s">
        <v>793</v>
      </c>
      <c r="G3460" s="2" t="s">
        <v>3707</v>
      </c>
      <c r="H3460" s="2" t="s">
        <v>2100</v>
      </c>
      <c r="J3460" s="26"/>
      <c r="K3460" s="36">
        <v>1.58372E-3</v>
      </c>
      <c r="L3460" s="23">
        <v>3.9593000000000001E-4</v>
      </c>
    </row>
    <row r="3461" spans="1:12" ht="15.35" hidden="1" x14ac:dyDescent="0.55000000000000004">
      <c r="A3461" s="20">
        <v>17466</v>
      </c>
      <c r="B3461" s="2" t="s">
        <v>169</v>
      </c>
      <c r="C3461" s="2" t="s">
        <v>170</v>
      </c>
      <c r="D3461" s="20">
        <v>0</v>
      </c>
      <c r="E3461" s="2" t="s">
        <v>838</v>
      </c>
      <c r="F3461" s="2" t="s">
        <v>793</v>
      </c>
      <c r="G3461" s="2" t="s">
        <v>3708</v>
      </c>
      <c r="H3461" s="2" t="s">
        <v>2100</v>
      </c>
      <c r="J3461" s="26"/>
      <c r="K3461" s="36">
        <v>3.9589999999999999E-5</v>
      </c>
      <c r="L3461" s="23">
        <v>9.9000000000000001E-6</v>
      </c>
    </row>
    <row r="3462" spans="1:12" ht="15.35" hidden="1" x14ac:dyDescent="0.55000000000000004">
      <c r="A3462" s="20">
        <v>17456</v>
      </c>
      <c r="B3462" s="2" t="s">
        <v>169</v>
      </c>
      <c r="C3462" s="2" t="s">
        <v>170</v>
      </c>
      <c r="D3462" s="20">
        <v>0</v>
      </c>
      <c r="E3462" s="2" t="s">
        <v>838</v>
      </c>
      <c r="F3462" s="2" t="s">
        <v>793</v>
      </c>
      <c r="G3462" s="2" t="s">
        <v>2947</v>
      </c>
      <c r="H3462" s="2" t="s">
        <v>2100</v>
      </c>
      <c r="J3462" s="26"/>
      <c r="K3462" s="36">
        <v>2.0232E-4</v>
      </c>
      <c r="L3462" s="23">
        <v>5.058E-5</v>
      </c>
    </row>
    <row r="3463" spans="1:12" ht="15.35" hidden="1" x14ac:dyDescent="0.55000000000000004">
      <c r="A3463" s="20">
        <v>17406</v>
      </c>
      <c r="B3463" s="2" t="s">
        <v>169</v>
      </c>
      <c r="C3463" s="2" t="s">
        <v>170</v>
      </c>
      <c r="D3463" s="20">
        <v>0</v>
      </c>
      <c r="E3463" s="2" t="s">
        <v>838</v>
      </c>
      <c r="F3463" s="2" t="s">
        <v>793</v>
      </c>
      <c r="G3463" s="2" t="s">
        <v>3709</v>
      </c>
      <c r="H3463" s="2" t="s">
        <v>2100</v>
      </c>
      <c r="J3463" s="26"/>
      <c r="K3463" s="36">
        <v>4.8422E-4</v>
      </c>
      <c r="L3463" s="23">
        <v>1.2105E-4</v>
      </c>
    </row>
    <row r="3464" spans="1:12" ht="15.35" hidden="1" x14ac:dyDescent="0.55000000000000004">
      <c r="A3464" s="20">
        <v>16825</v>
      </c>
      <c r="B3464" s="2" t="s">
        <v>169</v>
      </c>
      <c r="C3464" s="2" t="s">
        <v>170</v>
      </c>
      <c r="D3464" s="20">
        <v>0</v>
      </c>
      <c r="E3464" s="2" t="s">
        <v>838</v>
      </c>
      <c r="F3464" s="2" t="s">
        <v>793</v>
      </c>
      <c r="G3464" s="2" t="s">
        <v>2948</v>
      </c>
      <c r="H3464" s="2" t="s">
        <v>2100</v>
      </c>
      <c r="J3464" s="26"/>
      <c r="K3464" s="36">
        <v>4.0464E-4</v>
      </c>
      <c r="L3464" s="23">
        <v>1.0116E-4</v>
      </c>
    </row>
    <row r="3465" spans="1:12" ht="15.35" hidden="1" x14ac:dyDescent="0.55000000000000004">
      <c r="A3465" s="20">
        <v>17360</v>
      </c>
      <c r="B3465" s="2" t="s">
        <v>169</v>
      </c>
      <c r="C3465" s="2" t="s">
        <v>170</v>
      </c>
      <c r="D3465" s="20">
        <v>0</v>
      </c>
      <c r="E3465" s="2" t="s">
        <v>838</v>
      </c>
      <c r="F3465" s="2" t="s">
        <v>793</v>
      </c>
      <c r="G3465" s="2" t="s">
        <v>2949</v>
      </c>
      <c r="H3465" s="2" t="s">
        <v>2100</v>
      </c>
      <c r="J3465" s="26"/>
      <c r="K3465" s="36">
        <v>4.7827999999999998E-4</v>
      </c>
      <c r="L3465" s="23">
        <v>1.1957E-4</v>
      </c>
    </row>
    <row r="3466" spans="1:12" ht="15.35" hidden="1" x14ac:dyDescent="0.55000000000000004">
      <c r="A3466" s="20">
        <v>17683</v>
      </c>
      <c r="B3466" s="2" t="s">
        <v>169</v>
      </c>
      <c r="C3466" s="2" t="s">
        <v>170</v>
      </c>
      <c r="D3466" s="20">
        <v>0</v>
      </c>
      <c r="E3466" s="2" t="s">
        <v>838</v>
      </c>
      <c r="F3466" s="2" t="s">
        <v>793</v>
      </c>
      <c r="G3466" s="2" t="s">
        <v>2950</v>
      </c>
      <c r="H3466" s="2" t="s">
        <v>2100</v>
      </c>
      <c r="J3466" s="26"/>
      <c r="K3466" s="36">
        <v>3.1158999999999999E-4</v>
      </c>
      <c r="L3466" s="23">
        <v>7.7899999999999996E-5</v>
      </c>
    </row>
    <row r="3467" spans="1:12" ht="15.35" hidden="1" x14ac:dyDescent="0.55000000000000004">
      <c r="A3467" s="20">
        <v>16883</v>
      </c>
      <c r="B3467" s="2" t="s">
        <v>169</v>
      </c>
      <c r="C3467" s="2" t="s">
        <v>170</v>
      </c>
      <c r="D3467" s="20">
        <v>0</v>
      </c>
      <c r="E3467" s="2" t="s">
        <v>838</v>
      </c>
      <c r="F3467" s="2" t="s">
        <v>793</v>
      </c>
      <c r="G3467" s="2" t="s">
        <v>3710</v>
      </c>
      <c r="H3467" s="2" t="s">
        <v>2100</v>
      </c>
      <c r="J3467" s="26"/>
      <c r="K3467" s="36">
        <v>5.1351999999999995E-4</v>
      </c>
      <c r="L3467" s="23">
        <v>1.2837999999999999E-4</v>
      </c>
    </row>
    <row r="3468" spans="1:12" ht="15.35" hidden="1" x14ac:dyDescent="0.55000000000000004">
      <c r="A3468" s="20">
        <v>17168</v>
      </c>
      <c r="B3468" s="2" t="s">
        <v>169</v>
      </c>
      <c r="C3468" s="2" t="s">
        <v>170</v>
      </c>
      <c r="D3468" s="20">
        <v>0</v>
      </c>
      <c r="E3468" s="2" t="s">
        <v>838</v>
      </c>
      <c r="F3468" s="2" t="s">
        <v>793</v>
      </c>
      <c r="G3468" s="2" t="s">
        <v>2952</v>
      </c>
      <c r="H3468" s="2" t="s">
        <v>2100</v>
      </c>
      <c r="J3468" s="26"/>
      <c r="K3468" s="36">
        <v>4.2046999999999999E-4</v>
      </c>
      <c r="L3468" s="23">
        <v>1.0512E-4</v>
      </c>
    </row>
    <row r="3469" spans="1:12" ht="15.35" hidden="1" x14ac:dyDescent="0.55000000000000004">
      <c r="A3469" s="20">
        <v>17026</v>
      </c>
      <c r="B3469" s="2" t="s">
        <v>169</v>
      </c>
      <c r="C3469" s="2" t="s">
        <v>170</v>
      </c>
      <c r="D3469" s="20">
        <v>0</v>
      </c>
      <c r="E3469" s="2" t="s">
        <v>838</v>
      </c>
      <c r="F3469" s="2" t="s">
        <v>793</v>
      </c>
      <c r="G3469" s="2" t="s">
        <v>2953</v>
      </c>
      <c r="H3469" s="2" t="s">
        <v>2100</v>
      </c>
      <c r="J3469" s="26"/>
      <c r="K3469" s="36">
        <v>3.591E-4</v>
      </c>
      <c r="L3469" s="23">
        <v>8.9770000000000003E-5</v>
      </c>
    </row>
    <row r="3470" spans="1:12" ht="15.35" hidden="1" x14ac:dyDescent="0.55000000000000004">
      <c r="A3470" s="20">
        <v>17530</v>
      </c>
      <c r="B3470" s="2" t="s">
        <v>169</v>
      </c>
      <c r="C3470" s="2" t="s">
        <v>170</v>
      </c>
      <c r="D3470" s="20">
        <v>0</v>
      </c>
      <c r="E3470" s="2" t="s">
        <v>838</v>
      </c>
      <c r="F3470" s="2" t="s">
        <v>793</v>
      </c>
      <c r="G3470" s="2" t="s">
        <v>2954</v>
      </c>
      <c r="H3470" s="2" t="s">
        <v>2100</v>
      </c>
      <c r="J3470" s="26"/>
      <c r="K3470" s="36">
        <v>3.3772000000000001E-4</v>
      </c>
      <c r="L3470" s="23">
        <v>8.4430000000000003E-5</v>
      </c>
    </row>
    <row r="3471" spans="1:12" ht="15.35" hidden="1" x14ac:dyDescent="0.55000000000000004">
      <c r="A3471" s="20">
        <v>17016</v>
      </c>
      <c r="B3471" s="2" t="s">
        <v>169</v>
      </c>
      <c r="C3471" s="2" t="s">
        <v>170</v>
      </c>
      <c r="D3471" s="20">
        <v>0</v>
      </c>
      <c r="E3471" s="2" t="s">
        <v>838</v>
      </c>
      <c r="F3471" s="2" t="s">
        <v>793</v>
      </c>
      <c r="G3471" s="2" t="s">
        <v>2955</v>
      </c>
      <c r="H3471" s="2" t="s">
        <v>2100</v>
      </c>
      <c r="J3471" s="26"/>
      <c r="K3471" s="36">
        <v>3.4683000000000001E-4</v>
      </c>
      <c r="L3471" s="23">
        <v>8.6710000000000002E-5</v>
      </c>
    </row>
    <row r="3472" spans="1:12" ht="15.35" hidden="1" x14ac:dyDescent="0.55000000000000004">
      <c r="A3472" s="20">
        <v>17439</v>
      </c>
      <c r="B3472" s="2" t="s">
        <v>169</v>
      </c>
      <c r="C3472" s="2" t="s">
        <v>170</v>
      </c>
      <c r="D3472" s="20">
        <v>0</v>
      </c>
      <c r="E3472" s="2" t="s">
        <v>838</v>
      </c>
      <c r="F3472" s="2" t="s">
        <v>793</v>
      </c>
      <c r="G3472" s="2" t="s">
        <v>3711</v>
      </c>
      <c r="H3472" s="2" t="s">
        <v>2100</v>
      </c>
      <c r="J3472" s="26"/>
      <c r="K3472" s="36">
        <v>1.0215E-4</v>
      </c>
      <c r="L3472" s="23">
        <v>2.5539999999999999E-5</v>
      </c>
    </row>
    <row r="3473" spans="1:12" ht="15.35" hidden="1" x14ac:dyDescent="0.55000000000000004">
      <c r="A3473" s="20">
        <v>17647</v>
      </c>
      <c r="B3473" s="2" t="s">
        <v>169</v>
      </c>
      <c r="C3473" s="2" t="s">
        <v>170</v>
      </c>
      <c r="D3473" s="20">
        <v>0</v>
      </c>
      <c r="E3473" s="2" t="s">
        <v>838</v>
      </c>
      <c r="F3473" s="2" t="s">
        <v>817</v>
      </c>
      <c r="G3473" s="2" t="s">
        <v>3712</v>
      </c>
      <c r="H3473" s="2" t="s">
        <v>2100</v>
      </c>
      <c r="J3473" s="26"/>
      <c r="K3473" s="36">
        <v>6.6556000000000004E-4</v>
      </c>
      <c r="L3473" s="23">
        <v>1.6639000000000001E-4</v>
      </c>
    </row>
    <row r="3474" spans="1:12" ht="15.35" hidden="1" x14ac:dyDescent="0.55000000000000004">
      <c r="A3474" s="20">
        <v>17384</v>
      </c>
      <c r="B3474" s="2" t="s">
        <v>169</v>
      </c>
      <c r="C3474" s="2" t="s">
        <v>170</v>
      </c>
      <c r="D3474" s="20">
        <v>0</v>
      </c>
      <c r="E3474" s="2" t="s">
        <v>838</v>
      </c>
      <c r="F3474" s="2" t="s">
        <v>793</v>
      </c>
      <c r="G3474" s="2" t="s">
        <v>3713</v>
      </c>
      <c r="H3474" s="2" t="s">
        <v>2100</v>
      </c>
      <c r="J3474" s="26"/>
      <c r="K3474" s="36">
        <v>3.9909E-4</v>
      </c>
      <c r="L3474" s="23">
        <v>9.9770000000000002E-5</v>
      </c>
    </row>
    <row r="3475" spans="1:12" ht="15.35" hidden="1" x14ac:dyDescent="0.55000000000000004">
      <c r="A3475" s="20">
        <v>17273</v>
      </c>
      <c r="B3475" s="2" t="s">
        <v>169</v>
      </c>
      <c r="C3475" s="2" t="s">
        <v>170</v>
      </c>
      <c r="D3475" s="20">
        <v>0</v>
      </c>
      <c r="E3475" s="2" t="s">
        <v>838</v>
      </c>
      <c r="F3475" s="2" t="s">
        <v>793</v>
      </c>
      <c r="G3475" s="2" t="s">
        <v>3714</v>
      </c>
      <c r="H3475" s="2" t="s">
        <v>2100</v>
      </c>
      <c r="J3475" s="26"/>
      <c r="K3475" s="36">
        <v>7.9579999999999994E-5</v>
      </c>
      <c r="L3475" s="23">
        <v>1.9890000000000001E-5</v>
      </c>
    </row>
    <row r="3476" spans="1:12" ht="15.35" hidden="1" x14ac:dyDescent="0.55000000000000004">
      <c r="A3476" s="20">
        <v>16873</v>
      </c>
      <c r="B3476" s="2" t="s">
        <v>169</v>
      </c>
      <c r="C3476" s="2" t="s">
        <v>170</v>
      </c>
      <c r="D3476" s="20">
        <v>0</v>
      </c>
      <c r="E3476" s="2" t="s">
        <v>838</v>
      </c>
      <c r="F3476" s="2" t="s">
        <v>793</v>
      </c>
      <c r="G3476" s="2" t="s">
        <v>3715</v>
      </c>
      <c r="H3476" s="2" t="s">
        <v>2100</v>
      </c>
      <c r="J3476" s="26"/>
      <c r="K3476" s="36">
        <v>7.6009999999999999E-5</v>
      </c>
      <c r="L3476" s="23">
        <v>1.9000000000000001E-5</v>
      </c>
    </row>
    <row r="3477" spans="1:12" ht="15.35" hidden="1" x14ac:dyDescent="0.55000000000000004">
      <c r="A3477" s="20">
        <v>16943</v>
      </c>
      <c r="B3477" s="2" t="s">
        <v>169</v>
      </c>
      <c r="C3477" s="2" t="s">
        <v>170</v>
      </c>
      <c r="D3477" s="20">
        <v>0</v>
      </c>
      <c r="E3477" s="2" t="s">
        <v>838</v>
      </c>
      <c r="F3477" s="2" t="s">
        <v>793</v>
      </c>
      <c r="G3477" s="2" t="s">
        <v>3716</v>
      </c>
      <c r="H3477" s="2" t="s">
        <v>2100</v>
      </c>
      <c r="J3477" s="26"/>
      <c r="K3477" s="36">
        <v>7.6409999999999995E-5</v>
      </c>
      <c r="L3477" s="23">
        <v>1.91E-5</v>
      </c>
    </row>
    <row r="3478" spans="1:12" ht="15.35" hidden="1" x14ac:dyDescent="0.55000000000000004">
      <c r="A3478" s="20">
        <v>17522</v>
      </c>
      <c r="B3478" s="2" t="s">
        <v>169</v>
      </c>
      <c r="C3478" s="2" t="s">
        <v>170</v>
      </c>
      <c r="D3478" s="20">
        <v>0</v>
      </c>
      <c r="E3478" s="2" t="s">
        <v>838</v>
      </c>
      <c r="F3478" s="2" t="s">
        <v>793</v>
      </c>
      <c r="G3478" s="2" t="s">
        <v>3717</v>
      </c>
      <c r="H3478" s="2" t="s">
        <v>2100</v>
      </c>
      <c r="J3478" s="26"/>
      <c r="K3478" s="36">
        <v>7.6409999999999995E-5</v>
      </c>
      <c r="L3478" s="23">
        <v>1.91E-5</v>
      </c>
    </row>
    <row r="3479" spans="1:12" ht="15.35" hidden="1" x14ac:dyDescent="0.55000000000000004">
      <c r="A3479" s="20">
        <v>17110</v>
      </c>
      <c r="B3479" s="2" t="s">
        <v>169</v>
      </c>
      <c r="C3479" s="2" t="s">
        <v>170</v>
      </c>
      <c r="D3479" s="20">
        <v>0</v>
      </c>
      <c r="E3479" s="2" t="s">
        <v>838</v>
      </c>
      <c r="F3479" s="2" t="s">
        <v>793</v>
      </c>
      <c r="G3479" s="2" t="s">
        <v>3718</v>
      </c>
      <c r="H3479" s="2" t="s">
        <v>2100</v>
      </c>
      <c r="J3479" s="26"/>
      <c r="K3479" s="36">
        <v>8.6310000000000005E-5</v>
      </c>
      <c r="L3479" s="23">
        <v>2.158E-5</v>
      </c>
    </row>
    <row r="3480" spans="1:12" ht="15.35" hidden="1" x14ac:dyDescent="0.55000000000000004">
      <c r="A3480" s="20">
        <v>17459</v>
      </c>
      <c r="B3480" s="2" t="s">
        <v>169</v>
      </c>
      <c r="C3480" s="2" t="s">
        <v>170</v>
      </c>
      <c r="D3480" s="20">
        <v>0</v>
      </c>
      <c r="E3480" s="2" t="s">
        <v>838</v>
      </c>
      <c r="F3480" s="2" t="s">
        <v>793</v>
      </c>
      <c r="G3480" s="2" t="s">
        <v>3719</v>
      </c>
      <c r="H3480" s="2" t="s">
        <v>2100</v>
      </c>
      <c r="J3480" s="26"/>
      <c r="K3480" s="36">
        <v>4.4661000000000001E-4</v>
      </c>
      <c r="L3480" s="23">
        <v>1.1165E-4</v>
      </c>
    </row>
    <row r="3481" spans="1:12" ht="15.35" hidden="1" x14ac:dyDescent="0.55000000000000004">
      <c r="A3481" s="20">
        <v>16795</v>
      </c>
      <c r="B3481" s="2" t="s">
        <v>169</v>
      </c>
      <c r="C3481" s="2" t="s">
        <v>170</v>
      </c>
      <c r="D3481" s="20">
        <v>0</v>
      </c>
      <c r="E3481" s="2" t="s">
        <v>838</v>
      </c>
      <c r="F3481" s="2" t="s">
        <v>793</v>
      </c>
      <c r="G3481" s="2" t="s">
        <v>2959</v>
      </c>
      <c r="H3481" s="2" t="s">
        <v>2100</v>
      </c>
      <c r="J3481" s="26"/>
      <c r="K3481" s="36">
        <v>2.2923999999999999E-4</v>
      </c>
      <c r="L3481" s="23">
        <v>5.7309999999999998E-5</v>
      </c>
    </row>
    <row r="3482" spans="1:12" ht="15.35" hidden="1" x14ac:dyDescent="0.55000000000000004">
      <c r="A3482" s="20">
        <v>17570</v>
      </c>
      <c r="B3482" s="2" t="s">
        <v>169</v>
      </c>
      <c r="C3482" s="2" t="s">
        <v>170</v>
      </c>
      <c r="D3482" s="20">
        <v>0</v>
      </c>
      <c r="E3482" s="2" t="s">
        <v>838</v>
      </c>
      <c r="F3482" s="2" t="s">
        <v>793</v>
      </c>
      <c r="G3482" s="2" t="s">
        <v>3720</v>
      </c>
      <c r="H3482" s="2" t="s">
        <v>2100</v>
      </c>
      <c r="J3482" s="26"/>
      <c r="K3482" s="36">
        <v>2.4706000000000001E-4</v>
      </c>
      <c r="L3482" s="23">
        <v>6.177E-5</v>
      </c>
    </row>
    <row r="3483" spans="1:12" ht="15.35" hidden="1" x14ac:dyDescent="0.55000000000000004">
      <c r="A3483" s="20">
        <v>17097</v>
      </c>
      <c r="B3483" s="2" t="s">
        <v>169</v>
      </c>
      <c r="C3483" s="2" t="s">
        <v>170</v>
      </c>
      <c r="D3483" s="20">
        <v>0</v>
      </c>
      <c r="E3483" s="2" t="s">
        <v>838</v>
      </c>
      <c r="F3483" s="2" t="s">
        <v>793</v>
      </c>
      <c r="G3483" s="2" t="s">
        <v>2961</v>
      </c>
      <c r="H3483" s="2" t="s">
        <v>2962</v>
      </c>
      <c r="J3483" s="26"/>
      <c r="K3483" s="36">
        <v>1.2668999999999999E-4</v>
      </c>
      <c r="L3483" s="23">
        <v>3.167E-5</v>
      </c>
    </row>
    <row r="3484" spans="1:12" ht="15.35" hidden="1" x14ac:dyDescent="0.55000000000000004">
      <c r="A3484" s="20">
        <v>16855</v>
      </c>
      <c r="B3484" s="2" t="s">
        <v>169</v>
      </c>
      <c r="C3484" s="2" t="s">
        <v>170</v>
      </c>
      <c r="D3484" s="20">
        <v>0</v>
      </c>
      <c r="E3484" s="2" t="s">
        <v>838</v>
      </c>
      <c r="F3484" s="2" t="s">
        <v>848</v>
      </c>
      <c r="G3484" s="2" t="s">
        <v>3721</v>
      </c>
      <c r="H3484" s="2" t="s">
        <v>1098</v>
      </c>
      <c r="J3484" s="26"/>
      <c r="K3484" s="36">
        <v>4.4221499999999997E-3</v>
      </c>
      <c r="L3484" s="23">
        <v>1.1055399999999999E-3</v>
      </c>
    </row>
    <row r="3485" spans="1:12" ht="15.35" hidden="1" x14ac:dyDescent="0.55000000000000004">
      <c r="A3485" s="20">
        <v>16922</v>
      </c>
      <c r="B3485" s="2" t="s">
        <v>169</v>
      </c>
      <c r="C3485" s="2" t="s">
        <v>170</v>
      </c>
      <c r="D3485" s="20">
        <v>0</v>
      </c>
      <c r="E3485" s="2" t="s">
        <v>838</v>
      </c>
      <c r="F3485" s="2" t="s">
        <v>793</v>
      </c>
      <c r="G3485" s="2" t="s">
        <v>3722</v>
      </c>
      <c r="H3485" s="2" t="s">
        <v>1098</v>
      </c>
      <c r="J3485" s="26"/>
      <c r="K3485" s="36">
        <v>2.96948E-3</v>
      </c>
      <c r="L3485" s="23">
        <v>7.4237000000000001E-4</v>
      </c>
    </row>
    <row r="3486" spans="1:12" ht="15.35" hidden="1" x14ac:dyDescent="0.55000000000000004">
      <c r="A3486" s="20">
        <v>17379</v>
      </c>
      <c r="B3486" s="2" t="s">
        <v>169</v>
      </c>
      <c r="C3486" s="2" t="s">
        <v>170</v>
      </c>
      <c r="D3486" s="20">
        <v>0</v>
      </c>
      <c r="E3486" s="2" t="s">
        <v>838</v>
      </c>
      <c r="F3486" s="2" t="s">
        <v>793</v>
      </c>
      <c r="G3486" s="2" t="s">
        <v>3723</v>
      </c>
      <c r="H3486" s="2" t="s">
        <v>1098</v>
      </c>
      <c r="J3486" s="26"/>
      <c r="K3486" s="36">
        <v>3.9593000000000001E-4</v>
      </c>
      <c r="L3486" s="23">
        <v>9.8980000000000004E-5</v>
      </c>
    </row>
    <row r="3487" spans="1:12" ht="15.35" hidden="1" x14ac:dyDescent="0.55000000000000004">
      <c r="A3487" s="20">
        <v>17720</v>
      </c>
      <c r="B3487" s="2" t="s">
        <v>169</v>
      </c>
      <c r="C3487" s="2" t="s">
        <v>170</v>
      </c>
      <c r="D3487" s="20">
        <v>0</v>
      </c>
      <c r="E3487" s="2" t="s">
        <v>838</v>
      </c>
      <c r="F3487" s="2" t="s">
        <v>793</v>
      </c>
      <c r="G3487" s="2" t="s">
        <v>3724</v>
      </c>
      <c r="H3487" s="2" t="s">
        <v>1098</v>
      </c>
      <c r="J3487" s="26"/>
      <c r="K3487" s="36">
        <v>4.3552399999999998E-3</v>
      </c>
      <c r="L3487" s="23">
        <v>1.08881E-3</v>
      </c>
    </row>
    <row r="3488" spans="1:12" ht="15.35" hidden="1" x14ac:dyDescent="0.55000000000000004">
      <c r="A3488" s="20">
        <v>17006</v>
      </c>
      <c r="B3488" s="2" t="s">
        <v>169</v>
      </c>
      <c r="C3488" s="2" t="s">
        <v>170</v>
      </c>
      <c r="D3488" s="20">
        <v>0</v>
      </c>
      <c r="E3488" s="2" t="s">
        <v>838</v>
      </c>
      <c r="F3488" s="2" t="s">
        <v>793</v>
      </c>
      <c r="G3488" s="2" t="s">
        <v>3725</v>
      </c>
      <c r="H3488" s="2" t="s">
        <v>1098</v>
      </c>
      <c r="J3488" s="26"/>
      <c r="K3488" s="36">
        <v>2.2964000000000001E-3</v>
      </c>
      <c r="L3488" s="23">
        <v>5.7410000000000002E-4</v>
      </c>
    </row>
    <row r="3489" spans="1:12" ht="15.35" hidden="1" x14ac:dyDescent="0.55000000000000004">
      <c r="A3489" s="20">
        <v>17194</v>
      </c>
      <c r="B3489" s="2" t="s">
        <v>169</v>
      </c>
      <c r="C3489" s="2" t="s">
        <v>170</v>
      </c>
      <c r="D3489" s="20">
        <v>0</v>
      </c>
      <c r="E3489" s="2" t="s">
        <v>838</v>
      </c>
      <c r="F3489" s="2" t="s">
        <v>793</v>
      </c>
      <c r="G3489" s="2" t="s">
        <v>2966</v>
      </c>
      <c r="H3489" s="2" t="s">
        <v>1098</v>
      </c>
      <c r="J3489" s="26"/>
      <c r="K3489" s="36">
        <v>3.3258200000000002E-3</v>
      </c>
      <c r="L3489" s="23">
        <v>8.3146000000000001E-4</v>
      </c>
    </row>
    <row r="3490" spans="1:12" ht="15.35" hidden="1" x14ac:dyDescent="0.55000000000000004">
      <c r="A3490" s="20">
        <v>17033</v>
      </c>
      <c r="B3490" s="2" t="s">
        <v>169</v>
      </c>
      <c r="C3490" s="2" t="s">
        <v>170</v>
      </c>
      <c r="D3490" s="20">
        <v>0</v>
      </c>
      <c r="E3490" s="2" t="s">
        <v>838</v>
      </c>
      <c r="F3490" s="2" t="s">
        <v>793</v>
      </c>
      <c r="G3490" s="2" t="s">
        <v>2967</v>
      </c>
      <c r="H3490" s="2" t="s">
        <v>983</v>
      </c>
      <c r="J3490" s="26"/>
      <c r="K3490" s="36">
        <v>3.9589999999999999E-5</v>
      </c>
      <c r="L3490" s="23">
        <v>9.9000000000000001E-6</v>
      </c>
    </row>
    <row r="3491" spans="1:12" ht="15.35" hidden="1" x14ac:dyDescent="0.55000000000000004">
      <c r="A3491" s="20">
        <v>17254</v>
      </c>
      <c r="B3491" s="2" t="s">
        <v>169</v>
      </c>
      <c r="C3491" s="2" t="s">
        <v>170</v>
      </c>
      <c r="D3491" s="20">
        <v>0</v>
      </c>
      <c r="E3491" s="2" t="s">
        <v>838</v>
      </c>
      <c r="F3491" s="2" t="s">
        <v>833</v>
      </c>
      <c r="G3491" s="2" t="s">
        <v>3726</v>
      </c>
      <c r="H3491" s="2" t="s">
        <v>983</v>
      </c>
      <c r="J3491" s="26"/>
      <c r="K3491" s="36">
        <v>1.9796000000000001E-4</v>
      </c>
      <c r="L3491" s="23">
        <v>4.9490000000000002E-5</v>
      </c>
    </row>
    <row r="3492" spans="1:12" ht="15.35" hidden="1" x14ac:dyDescent="0.55000000000000004">
      <c r="A3492" s="20">
        <v>17423</v>
      </c>
      <c r="B3492" s="2" t="s">
        <v>169</v>
      </c>
      <c r="C3492" s="2" t="s">
        <v>170</v>
      </c>
      <c r="D3492" s="20">
        <v>0</v>
      </c>
      <c r="E3492" s="2" t="s">
        <v>838</v>
      </c>
      <c r="F3492" s="2" t="s">
        <v>793</v>
      </c>
      <c r="G3492" s="2" t="s">
        <v>2970</v>
      </c>
      <c r="H3492" s="2" t="s">
        <v>983</v>
      </c>
      <c r="J3492" s="26"/>
      <c r="K3492" s="36">
        <v>4.7511E-4</v>
      </c>
      <c r="L3492" s="23">
        <v>1.1878E-4</v>
      </c>
    </row>
    <row r="3493" spans="1:12" ht="15.35" hidden="1" x14ac:dyDescent="0.55000000000000004">
      <c r="A3493" s="20">
        <v>17615</v>
      </c>
      <c r="B3493" s="2" t="s">
        <v>169</v>
      </c>
      <c r="C3493" s="2" t="s">
        <v>170</v>
      </c>
      <c r="D3493" s="20">
        <v>0</v>
      </c>
      <c r="E3493" s="2" t="s">
        <v>838</v>
      </c>
      <c r="F3493" s="2" t="s">
        <v>793</v>
      </c>
      <c r="G3493" s="2" t="s">
        <v>2971</v>
      </c>
      <c r="H3493" s="2" t="s">
        <v>983</v>
      </c>
      <c r="J3493" s="26"/>
      <c r="K3493" s="36">
        <v>3.9589999999999999E-5</v>
      </c>
      <c r="L3493" s="23">
        <v>9.9000000000000001E-6</v>
      </c>
    </row>
    <row r="3494" spans="1:12" ht="15.35" hidden="1" x14ac:dyDescent="0.55000000000000004">
      <c r="A3494" s="20">
        <v>17323</v>
      </c>
      <c r="B3494" s="2" t="s">
        <v>169</v>
      </c>
      <c r="C3494" s="2" t="s">
        <v>170</v>
      </c>
      <c r="D3494" s="20">
        <v>0</v>
      </c>
      <c r="E3494" s="2" t="s">
        <v>838</v>
      </c>
      <c r="F3494" s="2" t="s">
        <v>793</v>
      </c>
      <c r="G3494" s="2" t="s">
        <v>2972</v>
      </c>
      <c r="H3494" s="2" t="s">
        <v>983</v>
      </c>
      <c r="J3494" s="26"/>
      <c r="K3494" s="36">
        <v>3.9589999999999999E-5</v>
      </c>
      <c r="L3494" s="23">
        <v>9.9000000000000001E-6</v>
      </c>
    </row>
    <row r="3495" spans="1:12" ht="15.35" hidden="1" x14ac:dyDescent="0.55000000000000004">
      <c r="A3495" s="20">
        <v>17324</v>
      </c>
      <c r="B3495" s="2" t="s">
        <v>169</v>
      </c>
      <c r="C3495" s="2" t="s">
        <v>170</v>
      </c>
      <c r="D3495" s="20">
        <v>0</v>
      </c>
      <c r="E3495" s="2" t="s">
        <v>838</v>
      </c>
      <c r="F3495" s="2" t="s">
        <v>789</v>
      </c>
      <c r="G3495" s="2" t="s">
        <v>3727</v>
      </c>
      <c r="H3495" s="2" t="s">
        <v>985</v>
      </c>
      <c r="J3495" s="26"/>
      <c r="K3495" s="36">
        <v>4.4221499999999997E-3</v>
      </c>
      <c r="L3495" s="23">
        <v>1.1055399999999999E-3</v>
      </c>
    </row>
    <row r="3496" spans="1:12" ht="15.35" hidden="1" x14ac:dyDescent="0.55000000000000004">
      <c r="A3496" s="20">
        <v>17125</v>
      </c>
      <c r="B3496" s="2" t="s">
        <v>169</v>
      </c>
      <c r="C3496" s="2" t="s">
        <v>170</v>
      </c>
      <c r="D3496" s="20">
        <v>0</v>
      </c>
      <c r="E3496" s="2" t="s">
        <v>838</v>
      </c>
      <c r="F3496" s="2" t="s">
        <v>789</v>
      </c>
      <c r="G3496" s="2" t="s">
        <v>2641</v>
      </c>
      <c r="H3496" s="2" t="s">
        <v>985</v>
      </c>
      <c r="J3496" s="26"/>
      <c r="K3496" s="36">
        <v>4.4221499999999997E-3</v>
      </c>
      <c r="L3496" s="23">
        <v>1.1055399999999999E-3</v>
      </c>
    </row>
    <row r="3497" spans="1:12" ht="15.35" hidden="1" x14ac:dyDescent="0.55000000000000004">
      <c r="A3497" s="20">
        <v>17386</v>
      </c>
      <c r="B3497" s="2" t="s">
        <v>169</v>
      </c>
      <c r="C3497" s="2" t="s">
        <v>170</v>
      </c>
      <c r="D3497" s="20">
        <v>0</v>
      </c>
      <c r="E3497" s="2" t="s">
        <v>838</v>
      </c>
      <c r="F3497" s="2" t="s">
        <v>789</v>
      </c>
      <c r="G3497" s="2" t="s">
        <v>3728</v>
      </c>
      <c r="H3497" s="2" t="s">
        <v>985</v>
      </c>
      <c r="J3497" s="26"/>
      <c r="K3497" s="36">
        <v>4.4221499999999997E-3</v>
      </c>
      <c r="L3497" s="23">
        <v>1.1055399999999999E-3</v>
      </c>
    </row>
    <row r="3498" spans="1:12" ht="15.35" hidden="1" x14ac:dyDescent="0.55000000000000004">
      <c r="A3498" s="20">
        <v>17259</v>
      </c>
      <c r="B3498" s="2" t="s">
        <v>169</v>
      </c>
      <c r="C3498" s="2" t="s">
        <v>170</v>
      </c>
      <c r="D3498" s="20">
        <v>0</v>
      </c>
      <c r="E3498" s="2" t="s">
        <v>838</v>
      </c>
      <c r="F3498" s="2" t="s">
        <v>789</v>
      </c>
      <c r="G3498" s="2" t="s">
        <v>1402</v>
      </c>
      <c r="H3498" s="2" t="s">
        <v>1403</v>
      </c>
      <c r="J3498" s="26"/>
      <c r="K3498" s="36">
        <v>4.4221499999999997E-3</v>
      </c>
      <c r="L3498" s="23">
        <v>1.1055399999999999E-3</v>
      </c>
    </row>
    <row r="3499" spans="1:12" ht="15.35" hidden="1" x14ac:dyDescent="0.55000000000000004">
      <c r="A3499" s="20">
        <v>17193</v>
      </c>
      <c r="B3499" s="2" t="s">
        <v>169</v>
      </c>
      <c r="C3499" s="2" t="s">
        <v>170</v>
      </c>
      <c r="D3499" s="20">
        <v>0</v>
      </c>
      <c r="E3499" s="2" t="s">
        <v>838</v>
      </c>
      <c r="F3499" s="2" t="s">
        <v>789</v>
      </c>
      <c r="G3499" s="2" t="s">
        <v>3729</v>
      </c>
      <c r="H3499" s="2" t="s">
        <v>987</v>
      </c>
      <c r="J3499" s="26"/>
      <c r="K3499" s="36">
        <v>1.00091E-3</v>
      </c>
      <c r="L3499" s="23">
        <v>2.5022999999999999E-4</v>
      </c>
    </row>
    <row r="3500" spans="1:12" ht="15.35" hidden="1" x14ac:dyDescent="0.55000000000000004">
      <c r="A3500" s="20">
        <v>17103</v>
      </c>
      <c r="B3500" s="2" t="s">
        <v>169</v>
      </c>
      <c r="C3500" s="2" t="s">
        <v>170</v>
      </c>
      <c r="D3500" s="20">
        <v>0</v>
      </c>
      <c r="E3500" s="2" t="s">
        <v>838</v>
      </c>
      <c r="F3500" s="2" t="s">
        <v>789</v>
      </c>
      <c r="G3500" s="2" t="s">
        <v>3730</v>
      </c>
      <c r="H3500" s="2" t="s">
        <v>987</v>
      </c>
      <c r="J3500" s="26"/>
      <c r="K3500" s="36">
        <v>1.00091E-3</v>
      </c>
      <c r="L3500" s="23">
        <v>2.5022999999999999E-4</v>
      </c>
    </row>
    <row r="3501" spans="1:12" ht="15.35" hidden="1" x14ac:dyDescent="0.55000000000000004">
      <c r="A3501" s="20">
        <v>16983</v>
      </c>
      <c r="B3501" s="2" t="s">
        <v>169</v>
      </c>
      <c r="C3501" s="2" t="s">
        <v>170</v>
      </c>
      <c r="D3501" s="20">
        <v>0</v>
      </c>
      <c r="E3501" s="2" t="s">
        <v>838</v>
      </c>
      <c r="F3501" s="2" t="s">
        <v>789</v>
      </c>
      <c r="G3501" s="2" t="s">
        <v>1404</v>
      </c>
      <c r="H3501" s="2" t="s">
        <v>1405</v>
      </c>
      <c r="J3501" s="26"/>
      <c r="K3501" s="36">
        <v>2.6685699999999999E-3</v>
      </c>
      <c r="L3501" s="23">
        <v>6.6713999999999999E-4</v>
      </c>
    </row>
    <row r="3502" spans="1:12" ht="15.35" hidden="1" x14ac:dyDescent="0.55000000000000004">
      <c r="A3502" s="20">
        <v>16920</v>
      </c>
      <c r="B3502" s="2" t="s">
        <v>169</v>
      </c>
      <c r="C3502" s="2" t="s">
        <v>170</v>
      </c>
      <c r="D3502" s="20">
        <v>0</v>
      </c>
      <c r="E3502" s="2" t="s">
        <v>838</v>
      </c>
      <c r="F3502" s="2" t="s">
        <v>793</v>
      </c>
      <c r="G3502" s="2" t="s">
        <v>3731</v>
      </c>
      <c r="H3502" s="2" t="s">
        <v>873</v>
      </c>
      <c r="J3502" s="26"/>
      <c r="K3502" s="36">
        <v>5.1232999999999997E-4</v>
      </c>
      <c r="L3502" s="23">
        <v>1.2808000000000001E-4</v>
      </c>
    </row>
    <row r="3503" spans="1:12" ht="15.35" hidden="1" x14ac:dyDescent="0.55000000000000004">
      <c r="A3503" s="20">
        <v>17715</v>
      </c>
      <c r="B3503" s="2" t="s">
        <v>169</v>
      </c>
      <c r="C3503" s="2" t="s">
        <v>170</v>
      </c>
      <c r="D3503" s="20">
        <v>0</v>
      </c>
      <c r="E3503" s="2" t="s">
        <v>838</v>
      </c>
      <c r="F3503" s="2" t="s">
        <v>793</v>
      </c>
      <c r="G3503" s="2" t="s">
        <v>2973</v>
      </c>
      <c r="H3503" s="2" t="s">
        <v>873</v>
      </c>
      <c r="J3503" s="26"/>
      <c r="K3503" s="36">
        <v>1.9796499999999999E-3</v>
      </c>
      <c r="L3503" s="23">
        <v>4.9490999999999999E-4</v>
      </c>
    </row>
    <row r="3504" spans="1:12" ht="15.35" hidden="1" x14ac:dyDescent="0.55000000000000004">
      <c r="A3504" s="20">
        <v>16924</v>
      </c>
      <c r="B3504" s="2" t="s">
        <v>169</v>
      </c>
      <c r="C3504" s="2" t="s">
        <v>170</v>
      </c>
      <c r="D3504" s="20">
        <v>0</v>
      </c>
      <c r="E3504" s="2" t="s">
        <v>838</v>
      </c>
      <c r="F3504" s="2" t="s">
        <v>793</v>
      </c>
      <c r="G3504" s="2" t="s">
        <v>2974</v>
      </c>
      <c r="H3504" s="2" t="s">
        <v>873</v>
      </c>
      <c r="J3504" s="26"/>
      <c r="K3504" s="36">
        <v>1.9796499999999999E-3</v>
      </c>
      <c r="L3504" s="23">
        <v>4.9490999999999999E-4</v>
      </c>
    </row>
    <row r="3505" spans="1:12" ht="15.35" hidden="1" x14ac:dyDescent="0.55000000000000004">
      <c r="A3505" s="20">
        <v>16871</v>
      </c>
      <c r="B3505" s="2" t="s">
        <v>169</v>
      </c>
      <c r="C3505" s="2" t="s">
        <v>170</v>
      </c>
      <c r="D3505" s="20">
        <v>0</v>
      </c>
      <c r="E3505" s="2" t="s">
        <v>838</v>
      </c>
      <c r="F3505" s="2" t="s">
        <v>793</v>
      </c>
      <c r="G3505" s="2" t="s">
        <v>2975</v>
      </c>
      <c r="H3505" s="2" t="s">
        <v>873</v>
      </c>
      <c r="J3505" s="26"/>
      <c r="K3505" s="36">
        <v>1.18779E-3</v>
      </c>
      <c r="L3505" s="23">
        <v>2.9694999999999998E-4</v>
      </c>
    </row>
    <row r="3506" spans="1:12" ht="15.35" hidden="1" x14ac:dyDescent="0.55000000000000004">
      <c r="A3506" s="20">
        <v>16909</v>
      </c>
      <c r="B3506" s="2" t="s">
        <v>169</v>
      </c>
      <c r="C3506" s="2" t="s">
        <v>170</v>
      </c>
      <c r="D3506" s="20">
        <v>0</v>
      </c>
      <c r="E3506" s="2" t="s">
        <v>838</v>
      </c>
      <c r="F3506" s="2" t="s">
        <v>848</v>
      </c>
      <c r="G3506" s="2" t="s">
        <v>1407</v>
      </c>
      <c r="H3506" s="2" t="s">
        <v>1407</v>
      </c>
      <c r="J3506" s="26"/>
      <c r="K3506" s="36">
        <v>4.4221499999999997E-3</v>
      </c>
      <c r="L3506" s="23">
        <v>1.1055399999999999E-3</v>
      </c>
    </row>
    <row r="3507" spans="1:12" ht="15.35" hidden="1" x14ac:dyDescent="0.55000000000000004">
      <c r="A3507" s="20">
        <v>17176</v>
      </c>
      <c r="B3507" s="2" t="s">
        <v>169</v>
      </c>
      <c r="C3507" s="2" t="s">
        <v>170</v>
      </c>
      <c r="D3507" s="20">
        <v>0</v>
      </c>
      <c r="E3507" s="2" t="s">
        <v>838</v>
      </c>
      <c r="F3507" s="2" t="s">
        <v>789</v>
      </c>
      <c r="G3507" s="2" t="s">
        <v>3732</v>
      </c>
      <c r="H3507" s="2" t="s">
        <v>2977</v>
      </c>
      <c r="J3507" s="26"/>
      <c r="K3507" s="36">
        <v>4.4221499999999997E-3</v>
      </c>
      <c r="L3507" s="23">
        <v>1.1055399999999999E-3</v>
      </c>
    </row>
    <row r="3508" spans="1:12" ht="15.35" hidden="1" x14ac:dyDescent="0.55000000000000004">
      <c r="A3508" s="20">
        <v>16821</v>
      </c>
      <c r="B3508" s="2" t="s">
        <v>169</v>
      </c>
      <c r="C3508" s="2" t="s">
        <v>170</v>
      </c>
      <c r="D3508" s="20">
        <v>0</v>
      </c>
      <c r="E3508" s="2" t="s">
        <v>838</v>
      </c>
      <c r="F3508" s="2" t="s">
        <v>789</v>
      </c>
      <c r="G3508" s="2" t="s">
        <v>3733</v>
      </c>
      <c r="H3508" s="2" t="s">
        <v>2977</v>
      </c>
      <c r="J3508" s="26"/>
      <c r="K3508" s="36">
        <v>4.4221499999999997E-3</v>
      </c>
      <c r="L3508" s="23">
        <v>1.1055399999999999E-3</v>
      </c>
    </row>
    <row r="3509" spans="1:12" ht="15.35" hidden="1" x14ac:dyDescent="0.55000000000000004">
      <c r="A3509" s="20">
        <v>17381</v>
      </c>
      <c r="B3509" s="2" t="s">
        <v>169</v>
      </c>
      <c r="C3509" s="2" t="s">
        <v>170</v>
      </c>
      <c r="D3509" s="20">
        <v>0</v>
      </c>
      <c r="E3509" s="2" t="s">
        <v>838</v>
      </c>
      <c r="F3509" s="2" t="s">
        <v>789</v>
      </c>
      <c r="G3509" s="2" t="s">
        <v>3734</v>
      </c>
      <c r="H3509" s="2" t="s">
        <v>2980</v>
      </c>
      <c r="J3509" s="26"/>
      <c r="K3509" s="36">
        <v>4.4221499999999997E-3</v>
      </c>
      <c r="L3509" s="23">
        <v>1.1055399999999999E-3</v>
      </c>
    </row>
    <row r="3510" spans="1:12" ht="15.35" hidden="1" x14ac:dyDescent="0.55000000000000004">
      <c r="A3510" s="20">
        <v>16914</v>
      </c>
      <c r="B3510" s="2" t="s">
        <v>169</v>
      </c>
      <c r="C3510" s="2" t="s">
        <v>170</v>
      </c>
      <c r="D3510" s="20">
        <v>0</v>
      </c>
      <c r="E3510" s="2" t="s">
        <v>838</v>
      </c>
      <c r="F3510" s="2" t="s">
        <v>789</v>
      </c>
      <c r="G3510" s="2" t="s">
        <v>3735</v>
      </c>
      <c r="H3510" s="2" t="s">
        <v>2980</v>
      </c>
      <c r="J3510" s="26"/>
      <c r="K3510" s="36">
        <v>4.4221499999999997E-3</v>
      </c>
      <c r="L3510" s="23">
        <v>1.1055399999999999E-3</v>
      </c>
    </row>
    <row r="3511" spans="1:12" ht="15.35" hidden="1" x14ac:dyDescent="0.55000000000000004">
      <c r="A3511" s="20">
        <v>16897</v>
      </c>
      <c r="B3511" s="2" t="s">
        <v>169</v>
      </c>
      <c r="C3511" s="2" t="s">
        <v>170</v>
      </c>
      <c r="D3511" s="20">
        <v>0</v>
      </c>
      <c r="E3511" s="2" t="s">
        <v>838</v>
      </c>
      <c r="F3511" s="2" t="s">
        <v>789</v>
      </c>
      <c r="G3511" s="2" t="s">
        <v>2982</v>
      </c>
      <c r="H3511" s="2" t="s">
        <v>2980</v>
      </c>
      <c r="J3511" s="26"/>
      <c r="K3511" s="36">
        <v>2.0022199999999999E-3</v>
      </c>
      <c r="L3511" s="23">
        <v>5.0055E-4</v>
      </c>
    </row>
    <row r="3512" spans="1:12" ht="15.35" hidden="1" x14ac:dyDescent="0.55000000000000004">
      <c r="A3512" s="20">
        <v>17485</v>
      </c>
      <c r="B3512" s="2" t="s">
        <v>169</v>
      </c>
      <c r="C3512" s="2" t="s">
        <v>170</v>
      </c>
      <c r="D3512" s="20">
        <v>0</v>
      </c>
      <c r="E3512" s="2" t="s">
        <v>838</v>
      </c>
      <c r="F3512" s="2" t="s">
        <v>789</v>
      </c>
      <c r="G3512" s="2" t="s">
        <v>2983</v>
      </c>
      <c r="H3512" s="2" t="s">
        <v>1409</v>
      </c>
      <c r="J3512" s="26"/>
      <c r="K3512" s="36">
        <v>3.3258200000000002E-3</v>
      </c>
      <c r="L3512" s="23">
        <v>8.3146000000000001E-4</v>
      </c>
    </row>
    <row r="3513" spans="1:12" ht="15.35" hidden="1" x14ac:dyDescent="0.55000000000000004">
      <c r="A3513" s="20">
        <v>17351</v>
      </c>
      <c r="B3513" s="2" t="s">
        <v>169</v>
      </c>
      <c r="C3513" s="2" t="s">
        <v>170</v>
      </c>
      <c r="D3513" s="20">
        <v>0</v>
      </c>
      <c r="E3513" s="2" t="s">
        <v>838</v>
      </c>
      <c r="F3513" s="2" t="s">
        <v>789</v>
      </c>
      <c r="G3513" s="2" t="s">
        <v>2984</v>
      </c>
      <c r="H3513" s="2" t="s">
        <v>2985</v>
      </c>
      <c r="J3513" s="26"/>
      <c r="K3513" s="36">
        <v>4.4221499999999997E-3</v>
      </c>
      <c r="L3513" s="23">
        <v>1.1055399999999999E-3</v>
      </c>
    </row>
    <row r="3514" spans="1:12" ht="15.35" hidden="1" x14ac:dyDescent="0.55000000000000004">
      <c r="A3514" s="20">
        <v>16885</v>
      </c>
      <c r="B3514" s="2" t="s">
        <v>169</v>
      </c>
      <c r="C3514" s="2" t="s">
        <v>170</v>
      </c>
      <c r="D3514" s="20">
        <v>0</v>
      </c>
      <c r="E3514" s="2" t="s">
        <v>838</v>
      </c>
      <c r="F3514" s="2" t="s">
        <v>793</v>
      </c>
      <c r="G3514" s="2" t="s">
        <v>3736</v>
      </c>
      <c r="H3514" s="2" t="s">
        <v>3736</v>
      </c>
      <c r="J3514" s="26"/>
      <c r="K3514" s="36">
        <v>1.9004600000000001E-3</v>
      </c>
      <c r="L3514" s="23">
        <v>4.7511999999999999E-4</v>
      </c>
    </row>
    <row r="3515" spans="1:12" ht="15.35" hidden="1" x14ac:dyDescent="0.55000000000000004">
      <c r="A3515" s="20">
        <v>16938</v>
      </c>
      <c r="B3515" s="2" t="s">
        <v>169</v>
      </c>
      <c r="C3515" s="2" t="s">
        <v>170</v>
      </c>
      <c r="D3515" s="20">
        <v>0</v>
      </c>
      <c r="E3515" s="2" t="s">
        <v>838</v>
      </c>
      <c r="F3515" s="2" t="s">
        <v>793</v>
      </c>
      <c r="G3515" s="2" t="s">
        <v>3737</v>
      </c>
      <c r="H3515" s="2" t="s">
        <v>3737</v>
      </c>
      <c r="J3515" s="26"/>
      <c r="K3515" s="36">
        <v>1.7025E-3</v>
      </c>
      <c r="L3515" s="23">
        <v>4.2562999999999998E-4</v>
      </c>
    </row>
    <row r="3516" spans="1:12" ht="15.35" hidden="1" x14ac:dyDescent="0.55000000000000004">
      <c r="A3516" s="20">
        <v>17469</v>
      </c>
      <c r="B3516" s="2" t="s">
        <v>169</v>
      </c>
      <c r="C3516" s="2" t="s">
        <v>170</v>
      </c>
      <c r="D3516" s="20">
        <v>0</v>
      </c>
      <c r="E3516" s="2" t="s">
        <v>838</v>
      </c>
      <c r="F3516" s="2" t="s">
        <v>793</v>
      </c>
      <c r="G3516" s="2" t="s">
        <v>2989</v>
      </c>
      <c r="H3516" s="2" t="s">
        <v>1301</v>
      </c>
      <c r="J3516" s="26"/>
      <c r="K3516" s="36">
        <v>3.9589999999999999E-5</v>
      </c>
      <c r="L3516" s="23">
        <v>9.9000000000000001E-6</v>
      </c>
    </row>
    <row r="3517" spans="1:12" ht="15.35" hidden="1" x14ac:dyDescent="0.55000000000000004">
      <c r="A3517" s="20">
        <v>16858</v>
      </c>
      <c r="B3517" s="2" t="s">
        <v>169</v>
      </c>
      <c r="C3517" s="2" t="s">
        <v>170</v>
      </c>
      <c r="D3517" s="20">
        <v>0</v>
      </c>
      <c r="E3517" s="2" t="s">
        <v>838</v>
      </c>
      <c r="F3517" s="2" t="s">
        <v>793</v>
      </c>
      <c r="G3517" s="2" t="s">
        <v>3738</v>
      </c>
      <c r="H3517" s="2" t="s">
        <v>1301</v>
      </c>
      <c r="J3517" s="26"/>
      <c r="K3517" s="36">
        <v>1.3342000000000001E-4</v>
      </c>
      <c r="L3517" s="23">
        <v>3.3359999999999999E-5</v>
      </c>
    </row>
    <row r="3518" spans="1:12" ht="15.35" hidden="1" x14ac:dyDescent="0.55000000000000004">
      <c r="A3518" s="20">
        <v>16951</v>
      </c>
      <c r="B3518" s="2" t="s">
        <v>169</v>
      </c>
      <c r="C3518" s="2" t="s">
        <v>170</v>
      </c>
      <c r="D3518" s="20">
        <v>0</v>
      </c>
      <c r="E3518" s="2" t="s">
        <v>838</v>
      </c>
      <c r="F3518" s="2" t="s">
        <v>793</v>
      </c>
      <c r="G3518" s="2" t="s">
        <v>3739</v>
      </c>
      <c r="H3518" s="2" t="s">
        <v>1301</v>
      </c>
      <c r="J3518" s="26"/>
      <c r="K3518" s="36">
        <v>9.9770000000000002E-5</v>
      </c>
      <c r="L3518" s="23">
        <v>2.4939999999999998E-5</v>
      </c>
    </row>
    <row r="3519" spans="1:12" ht="15.35" hidden="1" x14ac:dyDescent="0.55000000000000004">
      <c r="A3519" s="20">
        <v>17480</v>
      </c>
      <c r="B3519" s="2" t="s">
        <v>169</v>
      </c>
      <c r="C3519" s="2" t="s">
        <v>170</v>
      </c>
      <c r="D3519" s="20">
        <v>0</v>
      </c>
      <c r="E3519" s="2" t="s">
        <v>838</v>
      </c>
      <c r="F3519" s="2" t="s">
        <v>793</v>
      </c>
      <c r="G3519" s="2" t="s">
        <v>3740</v>
      </c>
      <c r="H3519" s="2" t="s">
        <v>1301</v>
      </c>
      <c r="J3519" s="26"/>
      <c r="K3519" s="36">
        <v>5.3050000000000002E-5</v>
      </c>
      <c r="L3519" s="23">
        <v>1.326E-5</v>
      </c>
    </row>
    <row r="3520" spans="1:12" ht="15.35" hidden="1" x14ac:dyDescent="0.55000000000000004">
      <c r="A3520" s="20">
        <v>17019</v>
      </c>
      <c r="B3520" s="2" t="s">
        <v>169</v>
      </c>
      <c r="C3520" s="2" t="s">
        <v>170</v>
      </c>
      <c r="D3520" s="20">
        <v>0</v>
      </c>
      <c r="E3520" s="2" t="s">
        <v>838</v>
      </c>
      <c r="F3520" s="2" t="s">
        <v>793</v>
      </c>
      <c r="G3520" s="2" t="s">
        <v>3741</v>
      </c>
      <c r="H3520" s="2" t="s">
        <v>1301</v>
      </c>
      <c r="J3520" s="26"/>
      <c r="K3520" s="36">
        <v>3.9589999999999999E-5</v>
      </c>
      <c r="L3520" s="23">
        <v>9.9000000000000001E-6</v>
      </c>
    </row>
    <row r="3521" spans="1:12" ht="15.35" hidden="1" x14ac:dyDescent="0.55000000000000004">
      <c r="A3521" s="20">
        <v>16988</v>
      </c>
      <c r="B3521" s="2" t="s">
        <v>169</v>
      </c>
      <c r="C3521" s="2" t="s">
        <v>170</v>
      </c>
      <c r="D3521" s="20">
        <v>0</v>
      </c>
      <c r="E3521" s="2" t="s">
        <v>838</v>
      </c>
      <c r="F3521" s="2" t="s">
        <v>793</v>
      </c>
      <c r="G3521" s="2" t="s">
        <v>3742</v>
      </c>
      <c r="H3521" s="2" t="s">
        <v>1301</v>
      </c>
      <c r="J3521" s="26"/>
      <c r="K3521" s="36">
        <v>9.9770000000000002E-5</v>
      </c>
      <c r="L3521" s="23">
        <v>2.4939999999999998E-5</v>
      </c>
    </row>
    <row r="3522" spans="1:12" ht="15.35" hidden="1" x14ac:dyDescent="0.55000000000000004">
      <c r="A3522" s="20">
        <v>17077</v>
      </c>
      <c r="B3522" s="2" t="s">
        <v>169</v>
      </c>
      <c r="C3522" s="2" t="s">
        <v>170</v>
      </c>
      <c r="D3522" s="20">
        <v>0</v>
      </c>
      <c r="E3522" s="2" t="s">
        <v>838</v>
      </c>
      <c r="F3522" s="2" t="s">
        <v>793</v>
      </c>
      <c r="G3522" s="2" t="s">
        <v>2993</v>
      </c>
      <c r="H3522" s="2" t="s">
        <v>1301</v>
      </c>
      <c r="J3522" s="26"/>
      <c r="K3522" s="36">
        <v>2.5338999999999998E-4</v>
      </c>
      <c r="L3522" s="23">
        <v>6.3349999999999995E-5</v>
      </c>
    </row>
    <row r="3523" spans="1:12" ht="15.35" hidden="1" x14ac:dyDescent="0.55000000000000004">
      <c r="A3523" s="20">
        <v>17542</v>
      </c>
      <c r="B3523" s="2" t="s">
        <v>169</v>
      </c>
      <c r="C3523" s="2" t="s">
        <v>170</v>
      </c>
      <c r="D3523" s="20">
        <v>0</v>
      </c>
      <c r="E3523" s="2" t="s">
        <v>838</v>
      </c>
      <c r="F3523" s="2" t="s">
        <v>793</v>
      </c>
      <c r="G3523" s="2" t="s">
        <v>3743</v>
      </c>
      <c r="H3523" s="2" t="s">
        <v>1301</v>
      </c>
      <c r="J3523" s="26"/>
      <c r="K3523" s="36">
        <v>9.6600000000000003E-5</v>
      </c>
      <c r="L3523" s="23">
        <v>2.4150000000000001E-5</v>
      </c>
    </row>
    <row r="3524" spans="1:12" ht="15.35" hidden="1" x14ac:dyDescent="0.55000000000000004">
      <c r="A3524" s="20">
        <v>17328</v>
      </c>
      <c r="B3524" s="2" t="s">
        <v>169</v>
      </c>
      <c r="C3524" s="2" t="s">
        <v>170</v>
      </c>
      <c r="D3524" s="20">
        <v>0</v>
      </c>
      <c r="E3524" s="2" t="s">
        <v>838</v>
      </c>
      <c r="F3524" s="2" t="s">
        <v>793</v>
      </c>
      <c r="G3524" s="2" t="s">
        <v>1104</v>
      </c>
      <c r="H3524" s="2" t="s">
        <v>1105</v>
      </c>
      <c r="J3524" s="26"/>
      <c r="K3524" s="36">
        <v>8.9870000000000005E-5</v>
      </c>
      <c r="L3524" s="23">
        <v>2.247E-5</v>
      </c>
    </row>
    <row r="3525" spans="1:12" ht="15.35" hidden="1" x14ac:dyDescent="0.55000000000000004">
      <c r="A3525" s="20">
        <v>17223</v>
      </c>
      <c r="B3525" s="2" t="s">
        <v>169</v>
      </c>
      <c r="C3525" s="2" t="s">
        <v>170</v>
      </c>
      <c r="D3525" s="20">
        <v>0</v>
      </c>
      <c r="E3525" s="2" t="s">
        <v>838</v>
      </c>
      <c r="F3525" s="2" t="s">
        <v>793</v>
      </c>
      <c r="G3525" s="2" t="s">
        <v>2996</v>
      </c>
      <c r="H3525" s="2" t="s">
        <v>1105</v>
      </c>
      <c r="J3525" s="26"/>
      <c r="K3525" s="36">
        <v>4.6709999999999998E-5</v>
      </c>
      <c r="L3525" s="23">
        <v>1.168E-5</v>
      </c>
    </row>
    <row r="3526" spans="1:12" ht="15.35" hidden="1" x14ac:dyDescent="0.55000000000000004">
      <c r="A3526" s="20">
        <v>17529</v>
      </c>
      <c r="B3526" s="2" t="s">
        <v>169</v>
      </c>
      <c r="C3526" s="2" t="s">
        <v>170</v>
      </c>
      <c r="D3526" s="20">
        <v>0</v>
      </c>
      <c r="E3526" s="2" t="s">
        <v>838</v>
      </c>
      <c r="F3526" s="2" t="s">
        <v>793</v>
      </c>
      <c r="G3526" s="2" t="s">
        <v>2997</v>
      </c>
      <c r="H3526" s="2" t="s">
        <v>1105</v>
      </c>
      <c r="J3526" s="26"/>
      <c r="K3526" s="36">
        <v>9.1849999999999996E-5</v>
      </c>
      <c r="L3526" s="23">
        <v>2.296E-5</v>
      </c>
    </row>
    <row r="3527" spans="1:12" ht="15.35" hidden="1" x14ac:dyDescent="0.55000000000000004">
      <c r="A3527" s="20">
        <v>17373</v>
      </c>
      <c r="B3527" s="2" t="s">
        <v>169</v>
      </c>
      <c r="C3527" s="2" t="s">
        <v>170</v>
      </c>
      <c r="D3527" s="20">
        <v>0</v>
      </c>
      <c r="E3527" s="2" t="s">
        <v>838</v>
      </c>
      <c r="F3527" s="2" t="s">
        <v>793</v>
      </c>
      <c r="G3527" s="2" t="s">
        <v>1106</v>
      </c>
      <c r="H3527" s="2" t="s">
        <v>1105</v>
      </c>
      <c r="J3527" s="26"/>
      <c r="K3527" s="36">
        <v>2.2172000000000001E-4</v>
      </c>
      <c r="L3527" s="23">
        <v>5.5430000000000003E-5</v>
      </c>
    </row>
    <row r="3528" spans="1:12" ht="15.35" hidden="1" x14ac:dyDescent="0.55000000000000004">
      <c r="A3528" s="20">
        <v>17067</v>
      </c>
      <c r="B3528" s="2" t="s">
        <v>169</v>
      </c>
      <c r="C3528" s="2" t="s">
        <v>170</v>
      </c>
      <c r="D3528" s="20">
        <v>0</v>
      </c>
      <c r="E3528" s="2" t="s">
        <v>838</v>
      </c>
      <c r="F3528" s="2" t="s">
        <v>793</v>
      </c>
      <c r="G3528" s="2" t="s">
        <v>2998</v>
      </c>
      <c r="H3528" s="2" t="s">
        <v>1105</v>
      </c>
      <c r="J3528" s="26"/>
      <c r="K3528" s="36">
        <v>4.9879999999999997E-5</v>
      </c>
      <c r="L3528" s="23">
        <v>1.2469999999999999E-5</v>
      </c>
    </row>
    <row r="3529" spans="1:12" ht="15.35" hidden="1" x14ac:dyDescent="0.55000000000000004">
      <c r="A3529" s="20">
        <v>17418</v>
      </c>
      <c r="B3529" s="2" t="s">
        <v>169</v>
      </c>
      <c r="C3529" s="2" t="s">
        <v>170</v>
      </c>
      <c r="D3529" s="20">
        <v>0</v>
      </c>
      <c r="E3529" s="2" t="s">
        <v>838</v>
      </c>
      <c r="F3529" s="2" t="s">
        <v>793</v>
      </c>
      <c r="G3529" s="2" t="s">
        <v>2999</v>
      </c>
      <c r="H3529" s="2" t="s">
        <v>1105</v>
      </c>
      <c r="J3529" s="26"/>
      <c r="K3529" s="36">
        <v>6.6509999999999998E-5</v>
      </c>
      <c r="L3529" s="23">
        <v>1.6629999999999998E-5</v>
      </c>
    </row>
    <row r="3530" spans="1:12" ht="15.35" hidden="1" x14ac:dyDescent="0.55000000000000004">
      <c r="A3530" s="20">
        <v>17528</v>
      </c>
      <c r="B3530" s="2" t="s">
        <v>169</v>
      </c>
      <c r="C3530" s="2" t="s">
        <v>170</v>
      </c>
      <c r="D3530" s="20">
        <v>0</v>
      </c>
      <c r="E3530" s="2" t="s">
        <v>838</v>
      </c>
      <c r="F3530" s="2" t="s">
        <v>833</v>
      </c>
      <c r="G3530" s="2" t="s">
        <v>3744</v>
      </c>
      <c r="H3530" s="2" t="s">
        <v>2125</v>
      </c>
      <c r="J3530" s="26"/>
      <c r="K3530" s="36">
        <v>4.4221499999999997E-3</v>
      </c>
      <c r="L3530" s="23">
        <v>1.1055399999999999E-3</v>
      </c>
    </row>
    <row r="3531" spans="1:12" ht="15.35" hidden="1" x14ac:dyDescent="0.55000000000000004">
      <c r="A3531" s="20">
        <v>17306</v>
      </c>
      <c r="B3531" s="2" t="s">
        <v>169</v>
      </c>
      <c r="C3531" s="2" t="s">
        <v>170</v>
      </c>
      <c r="D3531" s="20">
        <v>0</v>
      </c>
      <c r="E3531" s="2" t="s">
        <v>838</v>
      </c>
      <c r="F3531" s="2" t="s">
        <v>833</v>
      </c>
      <c r="G3531" s="2" t="s">
        <v>3745</v>
      </c>
      <c r="H3531" s="2" t="s">
        <v>2125</v>
      </c>
      <c r="J3531" s="26"/>
      <c r="K3531" s="36">
        <v>2.37558E-3</v>
      </c>
      <c r="L3531" s="23">
        <v>5.9389000000000002E-4</v>
      </c>
    </row>
    <row r="3532" spans="1:12" ht="15.35" hidden="1" x14ac:dyDescent="0.55000000000000004">
      <c r="A3532" s="20">
        <v>17044</v>
      </c>
      <c r="B3532" s="2" t="s">
        <v>169</v>
      </c>
      <c r="C3532" s="2" t="s">
        <v>170</v>
      </c>
      <c r="D3532" s="20">
        <v>0</v>
      </c>
      <c r="E3532" s="2" t="s">
        <v>838</v>
      </c>
      <c r="F3532" s="2" t="s">
        <v>833</v>
      </c>
      <c r="G3532" s="2" t="s">
        <v>3746</v>
      </c>
      <c r="H3532" s="2" t="s">
        <v>2125</v>
      </c>
      <c r="J3532" s="26"/>
      <c r="K3532" s="36">
        <v>3.00907E-3</v>
      </c>
      <c r="L3532" s="23">
        <v>7.5226999999999998E-4</v>
      </c>
    </row>
    <row r="3533" spans="1:12" ht="15.35" hidden="1" x14ac:dyDescent="0.55000000000000004">
      <c r="A3533" s="20">
        <v>17275</v>
      </c>
      <c r="B3533" s="2" t="s">
        <v>169</v>
      </c>
      <c r="C3533" s="2" t="s">
        <v>170</v>
      </c>
      <c r="D3533" s="20">
        <v>0</v>
      </c>
      <c r="E3533" s="2" t="s">
        <v>838</v>
      </c>
      <c r="F3533" s="2" t="s">
        <v>833</v>
      </c>
      <c r="G3533" s="2" t="s">
        <v>3747</v>
      </c>
      <c r="H3533" s="2" t="s">
        <v>2125</v>
      </c>
      <c r="J3533" s="26"/>
      <c r="K3533" s="36">
        <v>4.4221499999999997E-3</v>
      </c>
      <c r="L3533" s="23">
        <v>1.1055399999999999E-3</v>
      </c>
    </row>
    <row r="3534" spans="1:12" ht="15.35" hidden="1" x14ac:dyDescent="0.55000000000000004">
      <c r="A3534" s="20">
        <v>17509</v>
      </c>
      <c r="B3534" s="2" t="s">
        <v>169</v>
      </c>
      <c r="C3534" s="2" t="s">
        <v>170</v>
      </c>
      <c r="D3534" s="20">
        <v>0</v>
      </c>
      <c r="E3534" s="2" t="s">
        <v>838</v>
      </c>
      <c r="F3534" s="2" t="s">
        <v>833</v>
      </c>
      <c r="G3534" s="2" t="s">
        <v>3748</v>
      </c>
      <c r="H3534" s="2" t="s">
        <v>2125</v>
      </c>
      <c r="J3534" s="26"/>
      <c r="K3534" s="36">
        <v>2.77151E-3</v>
      </c>
      <c r="L3534" s="23">
        <v>6.9287999999999999E-4</v>
      </c>
    </row>
    <row r="3535" spans="1:12" ht="15.35" hidden="1" x14ac:dyDescent="0.55000000000000004">
      <c r="A3535" s="20">
        <v>17156</v>
      </c>
      <c r="B3535" s="2" t="s">
        <v>169</v>
      </c>
      <c r="C3535" s="2" t="s">
        <v>170</v>
      </c>
      <c r="D3535" s="20">
        <v>0</v>
      </c>
      <c r="E3535" s="2" t="s">
        <v>838</v>
      </c>
      <c r="F3535" s="2" t="s">
        <v>833</v>
      </c>
      <c r="G3535" s="2" t="s">
        <v>3749</v>
      </c>
      <c r="H3535" s="2" t="s">
        <v>2125</v>
      </c>
      <c r="J3535" s="26"/>
      <c r="K3535" s="36">
        <v>4.4221499999999997E-3</v>
      </c>
      <c r="L3535" s="23">
        <v>1.1055399999999999E-3</v>
      </c>
    </row>
    <row r="3536" spans="1:12" ht="15.35" hidden="1" x14ac:dyDescent="0.55000000000000004">
      <c r="A3536" s="20">
        <v>16970</v>
      </c>
      <c r="B3536" s="2" t="s">
        <v>169</v>
      </c>
      <c r="C3536" s="2" t="s">
        <v>170</v>
      </c>
      <c r="D3536" s="20">
        <v>0</v>
      </c>
      <c r="E3536" s="2" t="s">
        <v>838</v>
      </c>
      <c r="F3536" s="2" t="s">
        <v>833</v>
      </c>
      <c r="G3536" s="2" t="s">
        <v>3750</v>
      </c>
      <c r="H3536" s="2" t="s">
        <v>2125</v>
      </c>
      <c r="J3536" s="26"/>
      <c r="K3536" s="36">
        <v>1.9796499999999999E-3</v>
      </c>
      <c r="L3536" s="23">
        <v>4.9490999999999999E-4</v>
      </c>
    </row>
    <row r="3537" spans="1:12" ht="15.35" hidden="1" x14ac:dyDescent="0.55000000000000004">
      <c r="A3537" s="20">
        <v>17343</v>
      </c>
      <c r="B3537" s="2" t="s">
        <v>169</v>
      </c>
      <c r="C3537" s="2" t="s">
        <v>170</v>
      </c>
      <c r="D3537" s="20">
        <v>0</v>
      </c>
      <c r="E3537" s="2" t="s">
        <v>838</v>
      </c>
      <c r="F3537" s="2" t="s">
        <v>833</v>
      </c>
      <c r="G3537" s="2" t="s">
        <v>3751</v>
      </c>
      <c r="H3537" s="2" t="s">
        <v>2125</v>
      </c>
      <c r="J3537" s="26"/>
      <c r="K3537" s="36">
        <v>4.4221499999999997E-3</v>
      </c>
      <c r="L3537" s="23">
        <v>1.1055399999999999E-3</v>
      </c>
    </row>
    <row r="3538" spans="1:12" ht="15.35" hidden="1" x14ac:dyDescent="0.55000000000000004">
      <c r="A3538" s="20">
        <v>17106</v>
      </c>
      <c r="B3538" s="2" t="s">
        <v>169</v>
      </c>
      <c r="C3538" s="2" t="s">
        <v>170</v>
      </c>
      <c r="D3538" s="20">
        <v>0</v>
      </c>
      <c r="E3538" s="2" t="s">
        <v>838</v>
      </c>
      <c r="F3538" s="2" t="s">
        <v>833</v>
      </c>
      <c r="G3538" s="2" t="s">
        <v>3752</v>
      </c>
      <c r="H3538" s="2" t="s">
        <v>2125</v>
      </c>
      <c r="J3538" s="26"/>
      <c r="K3538" s="36">
        <v>3.5633700000000002E-3</v>
      </c>
      <c r="L3538" s="23">
        <v>8.9083999999999995E-4</v>
      </c>
    </row>
    <row r="3539" spans="1:12" ht="15.35" hidden="1" x14ac:dyDescent="0.55000000000000004">
      <c r="A3539" s="20">
        <v>17716</v>
      </c>
      <c r="B3539" s="2" t="s">
        <v>169</v>
      </c>
      <c r="C3539" s="2" t="s">
        <v>170</v>
      </c>
      <c r="D3539" s="20">
        <v>0</v>
      </c>
      <c r="E3539" s="2" t="s">
        <v>838</v>
      </c>
      <c r="F3539" s="2" t="s">
        <v>833</v>
      </c>
      <c r="G3539" s="2" t="s">
        <v>3753</v>
      </c>
      <c r="H3539" s="2" t="s">
        <v>2125</v>
      </c>
      <c r="J3539" s="26"/>
      <c r="K3539" s="36">
        <v>4.4221499999999997E-3</v>
      </c>
      <c r="L3539" s="23">
        <v>1.1055399999999999E-3</v>
      </c>
    </row>
    <row r="3540" spans="1:12" ht="15.35" hidden="1" x14ac:dyDescent="0.55000000000000004">
      <c r="A3540" s="20">
        <v>17688</v>
      </c>
      <c r="B3540" s="2" t="s">
        <v>169</v>
      </c>
      <c r="C3540" s="2" t="s">
        <v>170</v>
      </c>
      <c r="D3540" s="20">
        <v>0</v>
      </c>
      <c r="E3540" s="2" t="s">
        <v>838</v>
      </c>
      <c r="F3540" s="2" t="s">
        <v>833</v>
      </c>
      <c r="G3540" s="2" t="s">
        <v>3754</v>
      </c>
      <c r="H3540" s="2" t="s">
        <v>2125</v>
      </c>
      <c r="J3540" s="26"/>
      <c r="K3540" s="36">
        <v>3.9593099999999997E-3</v>
      </c>
      <c r="L3540" s="23">
        <v>9.8982999999999992E-4</v>
      </c>
    </row>
    <row r="3541" spans="1:12" ht="15.35" hidden="1" x14ac:dyDescent="0.55000000000000004">
      <c r="A3541" s="20">
        <v>17241</v>
      </c>
      <c r="B3541" s="2" t="s">
        <v>169</v>
      </c>
      <c r="C3541" s="2" t="s">
        <v>170</v>
      </c>
      <c r="D3541" s="20">
        <v>0</v>
      </c>
      <c r="E3541" s="2" t="s">
        <v>838</v>
      </c>
      <c r="F3541" s="2" t="s">
        <v>833</v>
      </c>
      <c r="G3541" s="2" t="s">
        <v>3755</v>
      </c>
      <c r="H3541" s="2" t="s">
        <v>2125</v>
      </c>
      <c r="J3541" s="26"/>
      <c r="K3541" s="36">
        <v>3.9593099999999997E-3</v>
      </c>
      <c r="L3541" s="23">
        <v>9.8982999999999992E-4</v>
      </c>
    </row>
    <row r="3542" spans="1:12" ht="15.35" hidden="1" x14ac:dyDescent="0.55000000000000004">
      <c r="A3542" s="20">
        <v>17629</v>
      </c>
      <c r="B3542" s="2" t="s">
        <v>169</v>
      </c>
      <c r="C3542" s="2" t="s">
        <v>170</v>
      </c>
      <c r="D3542" s="20">
        <v>0</v>
      </c>
      <c r="E3542" s="2" t="s">
        <v>838</v>
      </c>
      <c r="F3542" s="2" t="s">
        <v>833</v>
      </c>
      <c r="G3542" s="2" t="s">
        <v>3756</v>
      </c>
      <c r="H3542" s="2" t="s">
        <v>2125</v>
      </c>
      <c r="J3542" s="26"/>
      <c r="K3542" s="36">
        <v>1.18779E-3</v>
      </c>
      <c r="L3542" s="23">
        <v>2.9694999999999998E-4</v>
      </c>
    </row>
    <row r="3543" spans="1:12" ht="15.35" hidden="1" x14ac:dyDescent="0.55000000000000004">
      <c r="A3543" s="20">
        <v>16944</v>
      </c>
      <c r="B3543" s="2" t="s">
        <v>169</v>
      </c>
      <c r="C3543" s="2" t="s">
        <v>170</v>
      </c>
      <c r="D3543" s="20">
        <v>0</v>
      </c>
      <c r="E3543" s="2" t="s">
        <v>838</v>
      </c>
      <c r="F3543" s="2" t="s">
        <v>833</v>
      </c>
      <c r="G3543" s="2" t="s">
        <v>3757</v>
      </c>
      <c r="H3543" s="2" t="s">
        <v>2125</v>
      </c>
      <c r="J3543" s="26"/>
      <c r="K3543" s="36">
        <v>1.38575E-3</v>
      </c>
      <c r="L3543" s="23">
        <v>3.4644E-4</v>
      </c>
    </row>
    <row r="3544" spans="1:12" ht="15.35" hidden="1" x14ac:dyDescent="0.55000000000000004">
      <c r="A3544" s="20">
        <v>17052</v>
      </c>
      <c r="B3544" s="2" t="s">
        <v>169</v>
      </c>
      <c r="C3544" s="2" t="s">
        <v>170</v>
      </c>
      <c r="D3544" s="20">
        <v>0</v>
      </c>
      <c r="E3544" s="2" t="s">
        <v>838</v>
      </c>
      <c r="F3544" s="2" t="s">
        <v>793</v>
      </c>
      <c r="G3544" s="2" t="s">
        <v>3758</v>
      </c>
      <c r="H3544" s="2" t="s">
        <v>2125</v>
      </c>
      <c r="J3544" s="26"/>
      <c r="K3544" s="36">
        <v>9.8981999999999998E-4</v>
      </c>
      <c r="L3544" s="23">
        <v>2.4746000000000002E-4</v>
      </c>
    </row>
    <row r="3545" spans="1:12" ht="15.35" hidden="1" x14ac:dyDescent="0.55000000000000004">
      <c r="A3545" s="20">
        <v>16921</v>
      </c>
      <c r="B3545" s="2" t="s">
        <v>169</v>
      </c>
      <c r="C3545" s="2" t="s">
        <v>170</v>
      </c>
      <c r="D3545" s="20">
        <v>0</v>
      </c>
      <c r="E3545" s="2" t="s">
        <v>838</v>
      </c>
      <c r="F3545" s="2" t="s">
        <v>833</v>
      </c>
      <c r="G3545" s="2" t="s">
        <v>3759</v>
      </c>
      <c r="H3545" s="2" t="s">
        <v>2125</v>
      </c>
      <c r="J3545" s="26"/>
      <c r="K3545" s="36">
        <v>2.77151E-3</v>
      </c>
      <c r="L3545" s="23">
        <v>6.9287999999999999E-4</v>
      </c>
    </row>
    <row r="3546" spans="1:12" ht="15.35" hidden="1" x14ac:dyDescent="0.55000000000000004">
      <c r="A3546" s="20">
        <v>17092</v>
      </c>
      <c r="B3546" s="2" t="s">
        <v>169</v>
      </c>
      <c r="C3546" s="2" t="s">
        <v>170</v>
      </c>
      <c r="D3546" s="20">
        <v>0</v>
      </c>
      <c r="E3546" s="2" t="s">
        <v>838</v>
      </c>
      <c r="F3546" s="2" t="s">
        <v>833</v>
      </c>
      <c r="G3546" s="2" t="s">
        <v>3760</v>
      </c>
      <c r="H3546" s="2" t="s">
        <v>2125</v>
      </c>
      <c r="J3546" s="26"/>
      <c r="K3546" s="36">
        <v>3.9593099999999997E-3</v>
      </c>
      <c r="L3546" s="23">
        <v>9.8982999999999992E-4</v>
      </c>
    </row>
    <row r="3547" spans="1:12" ht="15.35" hidden="1" x14ac:dyDescent="0.55000000000000004">
      <c r="A3547" s="20">
        <v>17196</v>
      </c>
      <c r="B3547" s="2" t="s">
        <v>169</v>
      </c>
      <c r="C3547" s="2" t="s">
        <v>170</v>
      </c>
      <c r="D3547" s="20">
        <v>0</v>
      </c>
      <c r="E3547" s="2" t="s">
        <v>838</v>
      </c>
      <c r="F3547" s="2" t="s">
        <v>833</v>
      </c>
      <c r="G3547" s="2" t="s">
        <v>3761</v>
      </c>
      <c r="H3547" s="2" t="s">
        <v>2125</v>
      </c>
      <c r="J3547" s="26"/>
      <c r="K3547" s="36">
        <v>3.9593099999999997E-3</v>
      </c>
      <c r="L3547" s="23">
        <v>9.8982999999999992E-4</v>
      </c>
    </row>
    <row r="3548" spans="1:12" ht="15.35" hidden="1" x14ac:dyDescent="0.55000000000000004">
      <c r="A3548" s="20">
        <v>16836</v>
      </c>
      <c r="B3548" s="2" t="s">
        <v>169</v>
      </c>
      <c r="C3548" s="2" t="s">
        <v>170</v>
      </c>
      <c r="D3548" s="20">
        <v>0</v>
      </c>
      <c r="E3548" s="2" t="s">
        <v>838</v>
      </c>
      <c r="F3548" s="2" t="s">
        <v>833</v>
      </c>
      <c r="G3548" s="2" t="s">
        <v>3762</v>
      </c>
      <c r="H3548" s="2" t="s">
        <v>2125</v>
      </c>
      <c r="J3548" s="26"/>
      <c r="K3548" s="36">
        <v>2.57355E-3</v>
      </c>
      <c r="L3548" s="23">
        <v>6.4338999999999998E-4</v>
      </c>
    </row>
    <row r="3549" spans="1:12" ht="15.35" hidden="1" x14ac:dyDescent="0.55000000000000004">
      <c r="A3549" s="20">
        <v>17318</v>
      </c>
      <c r="B3549" s="2" t="s">
        <v>169</v>
      </c>
      <c r="C3549" s="2" t="s">
        <v>170</v>
      </c>
      <c r="D3549" s="20">
        <v>0</v>
      </c>
      <c r="E3549" s="2" t="s">
        <v>838</v>
      </c>
      <c r="F3549" s="2" t="s">
        <v>817</v>
      </c>
      <c r="G3549" s="2" t="s">
        <v>3003</v>
      </c>
      <c r="H3549" s="2" t="s">
        <v>898</v>
      </c>
      <c r="J3549" s="26"/>
      <c r="K3549" s="36">
        <v>4.4221499999999997E-3</v>
      </c>
      <c r="L3549" s="23">
        <v>1.1055399999999999E-3</v>
      </c>
    </row>
    <row r="3550" spans="1:12" ht="15.35" hidden="1" x14ac:dyDescent="0.55000000000000004">
      <c r="A3550" s="20">
        <v>16940</v>
      </c>
      <c r="B3550" s="2" t="s">
        <v>169</v>
      </c>
      <c r="C3550" s="2" t="s">
        <v>170</v>
      </c>
      <c r="D3550" s="20">
        <v>0</v>
      </c>
      <c r="E3550" s="2" t="s">
        <v>838</v>
      </c>
      <c r="F3550" s="2" t="s">
        <v>817</v>
      </c>
      <c r="G3550" s="2" t="s">
        <v>3006</v>
      </c>
      <c r="H3550" s="2" t="s">
        <v>3007</v>
      </c>
      <c r="J3550" s="26"/>
      <c r="K3550" s="36">
        <v>1.3350700000000001E-3</v>
      </c>
      <c r="L3550" s="23">
        <v>3.3377E-4</v>
      </c>
    </row>
    <row r="3551" spans="1:12" ht="15.35" hidden="1" x14ac:dyDescent="0.55000000000000004">
      <c r="A3551" s="20">
        <v>16954</v>
      </c>
      <c r="B3551" s="2" t="s">
        <v>169</v>
      </c>
      <c r="C3551" s="2" t="s">
        <v>170</v>
      </c>
      <c r="D3551" s="20">
        <v>0</v>
      </c>
      <c r="E3551" s="2" t="s">
        <v>838</v>
      </c>
      <c r="F3551" s="2" t="s">
        <v>817</v>
      </c>
      <c r="G3551" s="2" t="s">
        <v>3008</v>
      </c>
      <c r="H3551" s="2" t="s">
        <v>3007</v>
      </c>
      <c r="J3551" s="26"/>
      <c r="K3551" s="36">
        <v>2.0022199999999999E-3</v>
      </c>
      <c r="L3551" s="23">
        <v>5.0055E-4</v>
      </c>
    </row>
    <row r="3552" spans="1:12" ht="15.35" hidden="1" x14ac:dyDescent="0.55000000000000004">
      <c r="A3552" s="20">
        <v>17216</v>
      </c>
      <c r="B3552" s="2" t="s">
        <v>169</v>
      </c>
      <c r="C3552" s="2" t="s">
        <v>170</v>
      </c>
      <c r="D3552" s="20">
        <v>0</v>
      </c>
      <c r="E3552" s="2" t="s">
        <v>838</v>
      </c>
      <c r="F3552" s="2" t="s">
        <v>848</v>
      </c>
      <c r="G3552" s="2" t="s">
        <v>1439</v>
      </c>
      <c r="H3552" s="2" t="s">
        <v>1439</v>
      </c>
      <c r="J3552" s="26"/>
      <c r="K3552" s="36">
        <v>3.1674400000000001E-3</v>
      </c>
      <c r="L3552" s="23">
        <v>7.9186000000000002E-4</v>
      </c>
    </row>
    <row r="3553" spans="1:12" ht="15.35" hidden="1" x14ac:dyDescent="0.55000000000000004">
      <c r="A3553" s="20">
        <v>17614</v>
      </c>
      <c r="B3553" s="2" t="s">
        <v>169</v>
      </c>
      <c r="C3553" s="2" t="s">
        <v>170</v>
      </c>
      <c r="D3553" s="20">
        <v>0</v>
      </c>
      <c r="E3553" s="2" t="s">
        <v>838</v>
      </c>
      <c r="F3553" s="2" t="s">
        <v>789</v>
      </c>
      <c r="G3553" s="2" t="s">
        <v>1442</v>
      </c>
      <c r="H3553" s="2" t="s">
        <v>1441</v>
      </c>
      <c r="J3553" s="26"/>
      <c r="K3553" s="36">
        <v>3.3368999999999998E-3</v>
      </c>
      <c r="L3553" s="23">
        <v>8.3421999999999999E-4</v>
      </c>
    </row>
    <row r="3554" spans="1:12" ht="15.35" hidden="1" x14ac:dyDescent="0.55000000000000004">
      <c r="A3554" s="20">
        <v>17098</v>
      </c>
      <c r="B3554" s="2" t="s">
        <v>169</v>
      </c>
      <c r="C3554" s="2" t="s">
        <v>170</v>
      </c>
      <c r="D3554" s="20">
        <v>0</v>
      </c>
      <c r="E3554" s="2" t="s">
        <v>838</v>
      </c>
      <c r="F3554" s="2" t="s">
        <v>789</v>
      </c>
      <c r="G3554" s="2" t="s">
        <v>3010</v>
      </c>
      <c r="H3554" s="2" t="s">
        <v>1441</v>
      </c>
      <c r="J3554" s="26"/>
      <c r="K3554" s="36">
        <v>3.3368999999999998E-3</v>
      </c>
      <c r="L3554" s="23">
        <v>8.3421999999999999E-4</v>
      </c>
    </row>
    <row r="3555" spans="1:12" ht="15.35" hidden="1" x14ac:dyDescent="0.55000000000000004">
      <c r="A3555" s="20">
        <v>17279</v>
      </c>
      <c r="B3555" s="2" t="s">
        <v>169</v>
      </c>
      <c r="C3555" s="2" t="s">
        <v>170</v>
      </c>
      <c r="D3555" s="20">
        <v>0</v>
      </c>
      <c r="E3555" s="2" t="s">
        <v>838</v>
      </c>
      <c r="F3555" s="2" t="s">
        <v>798</v>
      </c>
      <c r="G3555" s="2" t="s">
        <v>3011</v>
      </c>
      <c r="H3555" s="2" t="s">
        <v>860</v>
      </c>
      <c r="J3555" s="26"/>
      <c r="K3555" s="36">
        <v>4.6718999999999998E-4</v>
      </c>
      <c r="L3555" s="23">
        <v>1.1680000000000001E-4</v>
      </c>
    </row>
    <row r="3556" spans="1:12" ht="15.35" hidden="1" x14ac:dyDescent="0.55000000000000004">
      <c r="A3556" s="20">
        <v>17461</v>
      </c>
      <c r="B3556" s="2" t="s">
        <v>169</v>
      </c>
      <c r="C3556" s="2" t="s">
        <v>170</v>
      </c>
      <c r="D3556" s="20">
        <v>0</v>
      </c>
      <c r="E3556" s="2" t="s">
        <v>838</v>
      </c>
      <c r="F3556" s="2" t="s">
        <v>817</v>
      </c>
      <c r="G3556" s="2" t="s">
        <v>3763</v>
      </c>
      <c r="H3556" s="2" t="s">
        <v>3764</v>
      </c>
      <c r="J3556" s="26"/>
      <c r="K3556" s="36">
        <v>4.6916999999999998E-4</v>
      </c>
      <c r="L3556" s="23">
        <v>1.1729E-4</v>
      </c>
    </row>
    <row r="3557" spans="1:12" ht="15.35" x14ac:dyDescent="0.55000000000000004">
      <c r="A3557" s="20">
        <v>17625</v>
      </c>
      <c r="B3557" s="2" t="s">
        <v>169</v>
      </c>
      <c r="C3557" s="2" t="s">
        <v>170</v>
      </c>
      <c r="D3557" s="20">
        <v>0</v>
      </c>
      <c r="E3557" s="2" t="s">
        <v>838</v>
      </c>
      <c r="F3557" s="2" t="s">
        <v>793</v>
      </c>
      <c r="G3557" s="2" t="s">
        <v>3765</v>
      </c>
      <c r="J3557" s="26"/>
      <c r="K3557" s="36">
        <v>4.0423999999999999E-4</v>
      </c>
      <c r="L3557" s="23">
        <v>1.0106E-4</v>
      </c>
    </row>
    <row r="3558" spans="1:12" ht="15.35" hidden="1" x14ac:dyDescent="0.55000000000000004">
      <c r="A3558" s="20">
        <v>16984</v>
      </c>
      <c r="B3558" s="2" t="s">
        <v>169</v>
      </c>
      <c r="C3558" s="2" t="s">
        <v>170</v>
      </c>
      <c r="D3558" s="20">
        <v>0</v>
      </c>
      <c r="E3558" s="2" t="s">
        <v>838</v>
      </c>
      <c r="F3558" s="2" t="s">
        <v>793</v>
      </c>
      <c r="G3558" s="2" t="s">
        <v>3766</v>
      </c>
      <c r="H3558" s="2" t="s">
        <v>2196</v>
      </c>
      <c r="J3558" s="26"/>
      <c r="K3558" s="36">
        <v>1.4015900000000001E-3</v>
      </c>
      <c r="L3558" s="23">
        <v>3.5040000000000001E-4</v>
      </c>
    </row>
    <row r="3559" spans="1:12" ht="15.35" hidden="1" x14ac:dyDescent="0.55000000000000004">
      <c r="A3559" s="20">
        <v>16819</v>
      </c>
      <c r="B3559" s="2" t="s">
        <v>169</v>
      </c>
      <c r="C3559" s="2" t="s">
        <v>170</v>
      </c>
      <c r="D3559" s="20">
        <v>0</v>
      </c>
      <c r="E3559" s="2" t="s">
        <v>838</v>
      </c>
      <c r="F3559" s="2" t="s">
        <v>793</v>
      </c>
      <c r="G3559" s="2" t="s">
        <v>3012</v>
      </c>
      <c r="H3559" s="2" t="s">
        <v>2196</v>
      </c>
      <c r="J3559" s="26"/>
      <c r="K3559" s="36">
        <v>4.8699000000000002E-4</v>
      </c>
      <c r="L3559" s="23">
        <v>1.2175E-4</v>
      </c>
    </row>
    <row r="3560" spans="1:12" ht="15.35" hidden="1" x14ac:dyDescent="0.55000000000000004">
      <c r="A3560" s="20">
        <v>17612</v>
      </c>
      <c r="B3560" s="2" t="s">
        <v>169</v>
      </c>
      <c r="C3560" s="2" t="s">
        <v>170</v>
      </c>
      <c r="D3560" s="20">
        <v>0</v>
      </c>
      <c r="E3560" s="2" t="s">
        <v>838</v>
      </c>
      <c r="F3560" s="2" t="s">
        <v>793</v>
      </c>
      <c r="G3560" s="2" t="s">
        <v>3767</v>
      </c>
      <c r="H3560" s="2" t="s">
        <v>2196</v>
      </c>
      <c r="J3560" s="26"/>
      <c r="K3560" s="36">
        <v>4.4221499999999997E-3</v>
      </c>
      <c r="L3560" s="23">
        <v>1.1055399999999999E-3</v>
      </c>
    </row>
    <row r="3561" spans="1:12" ht="15.35" hidden="1" x14ac:dyDescent="0.55000000000000004">
      <c r="A3561" s="20">
        <v>17376</v>
      </c>
      <c r="B3561" s="2" t="s">
        <v>169</v>
      </c>
      <c r="C3561" s="2" t="s">
        <v>170</v>
      </c>
      <c r="D3561" s="20">
        <v>0</v>
      </c>
      <c r="E3561" s="2" t="s">
        <v>838</v>
      </c>
      <c r="F3561" s="2" t="s">
        <v>793</v>
      </c>
      <c r="G3561" s="2" t="s">
        <v>3768</v>
      </c>
      <c r="H3561" s="2" t="s">
        <v>2196</v>
      </c>
      <c r="J3561" s="26"/>
      <c r="K3561" s="36">
        <v>1.38575E-3</v>
      </c>
      <c r="L3561" s="23">
        <v>3.4644E-4</v>
      </c>
    </row>
    <row r="3562" spans="1:12" ht="15.35" hidden="1" x14ac:dyDescent="0.55000000000000004">
      <c r="A3562" s="20">
        <v>17167</v>
      </c>
      <c r="B3562" s="2" t="s">
        <v>169</v>
      </c>
      <c r="C3562" s="2" t="s">
        <v>170</v>
      </c>
      <c r="D3562" s="20">
        <v>0</v>
      </c>
      <c r="E3562" s="2" t="s">
        <v>838</v>
      </c>
      <c r="F3562" s="2" t="s">
        <v>793</v>
      </c>
      <c r="G3562" s="2" t="s">
        <v>3013</v>
      </c>
      <c r="H3562" s="2" t="s">
        <v>2196</v>
      </c>
      <c r="J3562" s="26"/>
      <c r="K3562" s="36">
        <v>1.38575E-3</v>
      </c>
      <c r="L3562" s="23">
        <v>3.4644E-4</v>
      </c>
    </row>
    <row r="3563" spans="1:12" ht="15.35" hidden="1" x14ac:dyDescent="0.55000000000000004">
      <c r="A3563" s="20">
        <v>17043</v>
      </c>
      <c r="B3563" s="2" t="s">
        <v>169</v>
      </c>
      <c r="C3563" s="2" t="s">
        <v>170</v>
      </c>
      <c r="D3563" s="20">
        <v>0</v>
      </c>
      <c r="E3563" s="2" t="s">
        <v>838</v>
      </c>
      <c r="F3563" s="2" t="s">
        <v>793</v>
      </c>
      <c r="G3563" s="2" t="s">
        <v>3014</v>
      </c>
      <c r="H3563" s="2" t="s">
        <v>2196</v>
      </c>
      <c r="J3563" s="26"/>
      <c r="K3563" s="36">
        <v>1.38575E-3</v>
      </c>
      <c r="L3563" s="23">
        <v>3.4644E-4</v>
      </c>
    </row>
    <row r="3564" spans="1:12" ht="15.35" hidden="1" x14ac:dyDescent="0.55000000000000004">
      <c r="A3564" s="20">
        <v>17191</v>
      </c>
      <c r="B3564" s="2" t="s">
        <v>169</v>
      </c>
      <c r="C3564" s="2" t="s">
        <v>170</v>
      </c>
      <c r="D3564" s="20">
        <v>0</v>
      </c>
      <c r="E3564" s="2" t="s">
        <v>838</v>
      </c>
      <c r="F3564" s="2" t="s">
        <v>793</v>
      </c>
      <c r="G3564" s="2" t="s">
        <v>3769</v>
      </c>
      <c r="H3564" s="2" t="s">
        <v>2196</v>
      </c>
      <c r="J3564" s="26"/>
      <c r="K3564" s="36">
        <v>2.1776199999999999E-3</v>
      </c>
      <c r="L3564" s="23">
        <v>5.4440000000000001E-4</v>
      </c>
    </row>
    <row r="3565" spans="1:12" ht="15.35" hidden="1" x14ac:dyDescent="0.55000000000000004">
      <c r="A3565" s="20">
        <v>17414</v>
      </c>
      <c r="B3565" s="2" t="s">
        <v>169</v>
      </c>
      <c r="C3565" s="2" t="s">
        <v>170</v>
      </c>
      <c r="D3565" s="20">
        <v>0</v>
      </c>
      <c r="E3565" s="2" t="s">
        <v>838</v>
      </c>
      <c r="F3565" s="2" t="s">
        <v>793</v>
      </c>
      <c r="G3565" s="2" t="s">
        <v>3015</v>
      </c>
      <c r="H3565" s="2" t="s">
        <v>2196</v>
      </c>
      <c r="J3565" s="26"/>
      <c r="K3565" s="36">
        <v>1.38575E-3</v>
      </c>
      <c r="L3565" s="23">
        <v>3.4644E-4</v>
      </c>
    </row>
    <row r="3566" spans="1:12" ht="15.35" hidden="1" x14ac:dyDescent="0.55000000000000004">
      <c r="A3566" s="20">
        <v>17203</v>
      </c>
      <c r="B3566" s="2" t="s">
        <v>169</v>
      </c>
      <c r="C3566" s="2" t="s">
        <v>170</v>
      </c>
      <c r="D3566" s="20">
        <v>0</v>
      </c>
      <c r="E3566" s="2" t="s">
        <v>838</v>
      </c>
      <c r="F3566" s="2" t="s">
        <v>793</v>
      </c>
      <c r="G3566" s="2" t="s">
        <v>3016</v>
      </c>
      <c r="H3566" s="2" t="s">
        <v>2196</v>
      </c>
      <c r="J3566" s="26"/>
      <c r="K3566" s="36">
        <v>1.5995600000000001E-3</v>
      </c>
      <c r="L3566" s="23">
        <v>3.9989000000000002E-4</v>
      </c>
    </row>
    <row r="3567" spans="1:12" ht="15.35" hidden="1" x14ac:dyDescent="0.55000000000000004">
      <c r="A3567" s="20">
        <v>16931</v>
      </c>
      <c r="B3567" s="2" t="s">
        <v>169</v>
      </c>
      <c r="C3567" s="2" t="s">
        <v>170</v>
      </c>
      <c r="D3567" s="20">
        <v>0</v>
      </c>
      <c r="E3567" s="2" t="s">
        <v>838</v>
      </c>
      <c r="F3567" s="2" t="s">
        <v>793</v>
      </c>
      <c r="G3567" s="2" t="s">
        <v>3017</v>
      </c>
      <c r="H3567" s="2" t="s">
        <v>2196</v>
      </c>
      <c r="J3567" s="26"/>
      <c r="K3567" s="36">
        <v>1.38575E-3</v>
      </c>
      <c r="L3567" s="23">
        <v>3.4644E-4</v>
      </c>
    </row>
    <row r="3568" spans="1:12" ht="15.35" hidden="1" x14ac:dyDescent="0.55000000000000004">
      <c r="A3568" s="20">
        <v>17693</v>
      </c>
      <c r="B3568" s="2" t="s">
        <v>169</v>
      </c>
      <c r="C3568" s="2" t="s">
        <v>170</v>
      </c>
      <c r="D3568" s="20">
        <v>0</v>
      </c>
      <c r="E3568" s="2" t="s">
        <v>838</v>
      </c>
      <c r="F3568" s="2" t="s">
        <v>793</v>
      </c>
      <c r="G3568" s="2" t="s">
        <v>3018</v>
      </c>
      <c r="H3568" s="2" t="s">
        <v>2196</v>
      </c>
      <c r="J3568" s="26"/>
      <c r="K3568" s="36">
        <v>1.38575E-3</v>
      </c>
      <c r="L3568" s="23">
        <v>3.4644E-4</v>
      </c>
    </row>
    <row r="3569" spans="1:12" ht="15.35" hidden="1" x14ac:dyDescent="0.55000000000000004">
      <c r="A3569" s="20">
        <v>17048</v>
      </c>
      <c r="B3569" s="2" t="s">
        <v>169</v>
      </c>
      <c r="C3569" s="2" t="s">
        <v>170</v>
      </c>
      <c r="D3569" s="20">
        <v>0</v>
      </c>
      <c r="E3569" s="2" t="s">
        <v>838</v>
      </c>
      <c r="F3569" s="2" t="s">
        <v>793</v>
      </c>
      <c r="G3569" s="2" t="s">
        <v>3770</v>
      </c>
      <c r="H3569" s="2" t="s">
        <v>2196</v>
      </c>
      <c r="J3569" s="26"/>
      <c r="K3569" s="36">
        <v>1.38575E-3</v>
      </c>
      <c r="L3569" s="23">
        <v>3.4644E-4</v>
      </c>
    </row>
    <row r="3570" spans="1:12" ht="15.35" hidden="1" x14ac:dyDescent="0.55000000000000004">
      <c r="A3570" s="20">
        <v>17635</v>
      </c>
      <c r="B3570" s="2" t="s">
        <v>169</v>
      </c>
      <c r="C3570" s="2" t="s">
        <v>170</v>
      </c>
      <c r="D3570" s="20">
        <v>0</v>
      </c>
      <c r="E3570" s="2" t="s">
        <v>838</v>
      </c>
      <c r="F3570" s="2" t="s">
        <v>793</v>
      </c>
      <c r="G3570" s="2" t="s">
        <v>3771</v>
      </c>
      <c r="H3570" s="2" t="s">
        <v>2196</v>
      </c>
      <c r="J3570" s="26"/>
      <c r="K3570" s="36">
        <v>1.38575E-3</v>
      </c>
      <c r="L3570" s="23">
        <v>3.4644E-4</v>
      </c>
    </row>
    <row r="3571" spans="1:12" ht="15.35" hidden="1" x14ac:dyDescent="0.55000000000000004">
      <c r="A3571" s="20">
        <v>17209</v>
      </c>
      <c r="B3571" s="2" t="s">
        <v>169</v>
      </c>
      <c r="C3571" s="2" t="s">
        <v>170</v>
      </c>
      <c r="D3571" s="20">
        <v>0</v>
      </c>
      <c r="E3571" s="2" t="s">
        <v>838</v>
      </c>
      <c r="F3571" s="2" t="s">
        <v>793</v>
      </c>
      <c r="G3571" s="2" t="s">
        <v>3019</v>
      </c>
      <c r="H3571" s="2" t="s">
        <v>2196</v>
      </c>
      <c r="J3571" s="26"/>
      <c r="K3571" s="36">
        <v>1.38575E-3</v>
      </c>
      <c r="L3571" s="23">
        <v>3.4644E-4</v>
      </c>
    </row>
    <row r="3572" spans="1:12" ht="15.35" hidden="1" x14ac:dyDescent="0.55000000000000004">
      <c r="A3572" s="20">
        <v>17651</v>
      </c>
      <c r="B3572" s="2" t="s">
        <v>169</v>
      </c>
      <c r="C3572" s="2" t="s">
        <v>170</v>
      </c>
      <c r="D3572" s="20">
        <v>0</v>
      </c>
      <c r="E3572" s="2" t="s">
        <v>838</v>
      </c>
      <c r="F3572" s="2" t="s">
        <v>793</v>
      </c>
      <c r="G3572" s="2" t="s">
        <v>3772</v>
      </c>
      <c r="H3572" s="2" t="s">
        <v>2196</v>
      </c>
      <c r="J3572" s="26"/>
      <c r="K3572" s="36">
        <v>1.3461600000000001E-3</v>
      </c>
      <c r="L3572" s="23">
        <v>3.3654000000000003E-4</v>
      </c>
    </row>
    <row r="3573" spans="1:12" ht="15.35" hidden="1" x14ac:dyDescent="0.55000000000000004">
      <c r="A3573" s="20">
        <v>17371</v>
      </c>
      <c r="B3573" s="2" t="s">
        <v>169</v>
      </c>
      <c r="C3573" s="2" t="s">
        <v>170</v>
      </c>
      <c r="D3573" s="20">
        <v>0</v>
      </c>
      <c r="E3573" s="2" t="s">
        <v>838</v>
      </c>
      <c r="F3573" s="2" t="s">
        <v>793</v>
      </c>
      <c r="G3573" s="2" t="s">
        <v>3773</v>
      </c>
      <c r="H3573" s="2" t="s">
        <v>2196</v>
      </c>
      <c r="J3573" s="26"/>
      <c r="K3573" s="36">
        <v>1.3461600000000001E-3</v>
      </c>
      <c r="L3573" s="23">
        <v>3.3654000000000003E-4</v>
      </c>
    </row>
    <row r="3574" spans="1:12" ht="15.35" hidden="1" x14ac:dyDescent="0.55000000000000004">
      <c r="A3574" s="20">
        <v>16975</v>
      </c>
      <c r="B3574" s="2" t="s">
        <v>169</v>
      </c>
      <c r="C3574" s="2" t="s">
        <v>170</v>
      </c>
      <c r="D3574" s="20">
        <v>0</v>
      </c>
      <c r="E3574" s="2" t="s">
        <v>838</v>
      </c>
      <c r="F3574" s="2" t="s">
        <v>793</v>
      </c>
      <c r="G3574" s="2" t="s">
        <v>3774</v>
      </c>
      <c r="H3574" s="2" t="s">
        <v>2196</v>
      </c>
      <c r="J3574" s="26"/>
      <c r="K3574" s="36">
        <v>1.6629100000000001E-3</v>
      </c>
      <c r="L3574" s="23">
        <v>4.1573000000000001E-4</v>
      </c>
    </row>
    <row r="3575" spans="1:12" ht="15.35" hidden="1" x14ac:dyDescent="0.55000000000000004">
      <c r="A3575" s="20">
        <v>17401</v>
      </c>
      <c r="B3575" s="2" t="s">
        <v>169</v>
      </c>
      <c r="C3575" s="2" t="s">
        <v>170</v>
      </c>
      <c r="D3575" s="20">
        <v>0</v>
      </c>
      <c r="E3575" s="2" t="s">
        <v>838</v>
      </c>
      <c r="F3575" s="2" t="s">
        <v>793</v>
      </c>
      <c r="G3575" s="2" t="s">
        <v>3775</v>
      </c>
      <c r="H3575" s="2" t="s">
        <v>2196</v>
      </c>
      <c r="J3575" s="26"/>
      <c r="K3575" s="36">
        <v>1.3350700000000001E-3</v>
      </c>
      <c r="L3575" s="23">
        <v>3.3377E-4</v>
      </c>
    </row>
    <row r="3576" spans="1:12" ht="15.35" hidden="1" x14ac:dyDescent="0.55000000000000004">
      <c r="A3576" s="20">
        <v>17294</v>
      </c>
      <c r="B3576" s="2" t="s">
        <v>169</v>
      </c>
      <c r="C3576" s="2" t="s">
        <v>170</v>
      </c>
      <c r="D3576" s="20">
        <v>0</v>
      </c>
      <c r="E3576" s="2" t="s">
        <v>838</v>
      </c>
      <c r="F3576" s="2" t="s">
        <v>793</v>
      </c>
      <c r="G3576" s="2" t="s">
        <v>3776</v>
      </c>
      <c r="H3576" s="2" t="s">
        <v>2196</v>
      </c>
      <c r="J3576" s="26"/>
      <c r="K3576" s="36">
        <v>5.1471000000000004E-4</v>
      </c>
      <c r="L3576" s="23">
        <v>1.2867999999999999E-4</v>
      </c>
    </row>
    <row r="3577" spans="1:12" ht="15.35" hidden="1" x14ac:dyDescent="0.55000000000000004">
      <c r="A3577" s="20">
        <v>17333</v>
      </c>
      <c r="B3577" s="2" t="s">
        <v>169</v>
      </c>
      <c r="C3577" s="2" t="s">
        <v>170</v>
      </c>
      <c r="D3577" s="20">
        <v>0</v>
      </c>
      <c r="E3577" s="2" t="s">
        <v>838</v>
      </c>
      <c r="F3577" s="2" t="s">
        <v>793</v>
      </c>
      <c r="G3577" s="2" t="s">
        <v>3777</v>
      </c>
      <c r="H3577" s="2" t="s">
        <v>2196</v>
      </c>
      <c r="J3577" s="26"/>
      <c r="K3577" s="36">
        <v>2.33599E-3</v>
      </c>
      <c r="L3577" s="23">
        <v>5.8399999999999999E-4</v>
      </c>
    </row>
    <row r="3578" spans="1:12" ht="15.35" hidden="1" x14ac:dyDescent="0.55000000000000004">
      <c r="A3578" s="20">
        <v>17563</v>
      </c>
      <c r="B3578" s="2" t="s">
        <v>169</v>
      </c>
      <c r="C3578" s="2" t="s">
        <v>170</v>
      </c>
      <c r="D3578" s="20">
        <v>0</v>
      </c>
      <c r="E3578" s="2" t="s">
        <v>838</v>
      </c>
      <c r="F3578" s="2" t="s">
        <v>793</v>
      </c>
      <c r="G3578" s="2" t="s">
        <v>3021</v>
      </c>
      <c r="H3578" s="2" t="s">
        <v>2196</v>
      </c>
      <c r="J3578" s="26"/>
      <c r="K3578" s="36">
        <v>1.38575E-3</v>
      </c>
      <c r="L3578" s="23">
        <v>3.4644E-4</v>
      </c>
    </row>
    <row r="3579" spans="1:12" ht="15.35" hidden="1" x14ac:dyDescent="0.55000000000000004">
      <c r="A3579" s="20">
        <v>17355</v>
      </c>
      <c r="B3579" s="2" t="s">
        <v>169</v>
      </c>
      <c r="C3579" s="2" t="s">
        <v>170</v>
      </c>
      <c r="D3579" s="20">
        <v>0</v>
      </c>
      <c r="E3579" s="2" t="s">
        <v>838</v>
      </c>
      <c r="F3579" s="2" t="s">
        <v>793</v>
      </c>
      <c r="G3579" s="2" t="s">
        <v>3778</v>
      </c>
      <c r="H3579" s="2" t="s">
        <v>2196</v>
      </c>
      <c r="J3579" s="26"/>
      <c r="K3579" s="36">
        <v>4.4221499999999997E-3</v>
      </c>
      <c r="L3579" s="23">
        <v>1.1055399999999999E-3</v>
      </c>
    </row>
    <row r="3580" spans="1:12" ht="15.35" hidden="1" x14ac:dyDescent="0.55000000000000004">
      <c r="A3580" s="20">
        <v>17010</v>
      </c>
      <c r="B3580" s="2" t="s">
        <v>169</v>
      </c>
      <c r="C3580" s="2" t="s">
        <v>170</v>
      </c>
      <c r="D3580" s="20">
        <v>0</v>
      </c>
      <c r="E3580" s="2" t="s">
        <v>838</v>
      </c>
      <c r="F3580" s="2" t="s">
        <v>793</v>
      </c>
      <c r="G3580" s="2" t="s">
        <v>3779</v>
      </c>
      <c r="H3580" s="2" t="s">
        <v>2196</v>
      </c>
      <c r="J3580" s="26"/>
      <c r="K3580" s="36">
        <v>4.4221499999999997E-3</v>
      </c>
      <c r="L3580" s="23">
        <v>1.1055399999999999E-3</v>
      </c>
    </row>
    <row r="3581" spans="1:12" ht="15.35" hidden="1" x14ac:dyDescent="0.55000000000000004">
      <c r="A3581" s="20">
        <v>17393</v>
      </c>
      <c r="B3581" s="2" t="s">
        <v>169</v>
      </c>
      <c r="C3581" s="2" t="s">
        <v>170</v>
      </c>
      <c r="D3581" s="20">
        <v>0</v>
      </c>
      <c r="E3581" s="2" t="s">
        <v>838</v>
      </c>
      <c r="F3581" s="2" t="s">
        <v>793</v>
      </c>
      <c r="G3581" s="2" t="s">
        <v>3780</v>
      </c>
      <c r="H3581" s="2" t="s">
        <v>2196</v>
      </c>
      <c r="J3581" s="26"/>
      <c r="K3581" s="36">
        <v>1.38575E-3</v>
      </c>
      <c r="L3581" s="23">
        <v>3.4644E-4</v>
      </c>
    </row>
    <row r="3582" spans="1:12" ht="15.35" hidden="1" x14ac:dyDescent="0.55000000000000004">
      <c r="A3582" s="20">
        <v>16987</v>
      </c>
      <c r="B3582" s="2" t="s">
        <v>169</v>
      </c>
      <c r="C3582" s="2" t="s">
        <v>170</v>
      </c>
      <c r="D3582" s="20">
        <v>0</v>
      </c>
      <c r="E3582" s="2" t="s">
        <v>838</v>
      </c>
      <c r="F3582" s="2" t="s">
        <v>817</v>
      </c>
      <c r="G3582" s="2" t="s">
        <v>3028</v>
      </c>
      <c r="H3582" s="2" t="s">
        <v>868</v>
      </c>
      <c r="J3582" s="26"/>
      <c r="K3582" s="36">
        <v>1.6636999999999999E-3</v>
      </c>
      <c r="L3582" s="23">
        <v>4.1592000000000002E-4</v>
      </c>
    </row>
    <row r="3583" spans="1:12" ht="15.35" hidden="1" x14ac:dyDescent="0.55000000000000004">
      <c r="A3583" s="20">
        <v>16832</v>
      </c>
      <c r="B3583" s="2" t="s">
        <v>169</v>
      </c>
      <c r="C3583" s="2" t="s">
        <v>170</v>
      </c>
      <c r="D3583" s="20">
        <v>0</v>
      </c>
      <c r="E3583" s="2" t="s">
        <v>838</v>
      </c>
      <c r="F3583" s="2" t="s">
        <v>793</v>
      </c>
      <c r="G3583" s="2" t="s">
        <v>3029</v>
      </c>
      <c r="H3583" s="2" t="s">
        <v>933</v>
      </c>
      <c r="J3583" s="26"/>
      <c r="K3583" s="36">
        <v>8.5119999999999998E-5</v>
      </c>
      <c r="L3583" s="23">
        <v>2.128E-5</v>
      </c>
    </row>
    <row r="3584" spans="1:12" ht="15.35" hidden="1" x14ac:dyDescent="0.55000000000000004">
      <c r="A3584" s="20">
        <v>17299</v>
      </c>
      <c r="B3584" s="2" t="s">
        <v>169</v>
      </c>
      <c r="C3584" s="2" t="s">
        <v>170</v>
      </c>
      <c r="D3584" s="20">
        <v>0</v>
      </c>
      <c r="E3584" s="2" t="s">
        <v>838</v>
      </c>
      <c r="F3584" s="2" t="s">
        <v>793</v>
      </c>
      <c r="G3584" s="2" t="s">
        <v>3030</v>
      </c>
      <c r="H3584" s="2" t="s">
        <v>933</v>
      </c>
      <c r="J3584" s="26"/>
      <c r="K3584" s="36">
        <v>1.3342000000000001E-4</v>
      </c>
      <c r="L3584" s="23">
        <v>3.3359999999999999E-5</v>
      </c>
    </row>
    <row r="3585" spans="1:12" ht="15.35" hidden="1" x14ac:dyDescent="0.55000000000000004">
      <c r="A3585" s="20">
        <v>16890</v>
      </c>
      <c r="B3585" s="2" t="s">
        <v>169</v>
      </c>
      <c r="C3585" s="2" t="s">
        <v>170</v>
      </c>
      <c r="D3585" s="20">
        <v>0</v>
      </c>
      <c r="E3585" s="2" t="s">
        <v>838</v>
      </c>
      <c r="F3585" s="2" t="s">
        <v>793</v>
      </c>
      <c r="G3585" s="2" t="s">
        <v>3031</v>
      </c>
      <c r="H3585" s="2" t="s">
        <v>933</v>
      </c>
      <c r="J3585" s="26"/>
      <c r="K3585" s="36">
        <v>1.1718999999999999E-4</v>
      </c>
      <c r="L3585" s="23">
        <v>2.9300000000000001E-5</v>
      </c>
    </row>
    <row r="3586" spans="1:12" ht="15.35" hidden="1" x14ac:dyDescent="0.55000000000000004">
      <c r="A3586" s="20">
        <v>17100</v>
      </c>
      <c r="B3586" s="2" t="s">
        <v>169</v>
      </c>
      <c r="C3586" s="2" t="s">
        <v>170</v>
      </c>
      <c r="D3586" s="20">
        <v>0</v>
      </c>
      <c r="E3586" s="2" t="s">
        <v>838</v>
      </c>
      <c r="F3586" s="2" t="s">
        <v>793</v>
      </c>
      <c r="G3586" s="2" t="s">
        <v>3032</v>
      </c>
      <c r="H3586" s="2" t="s">
        <v>933</v>
      </c>
      <c r="J3586" s="26"/>
      <c r="K3586" s="36">
        <v>1.1323E-4</v>
      </c>
      <c r="L3586" s="23">
        <v>2.8309999999999998E-5</v>
      </c>
    </row>
    <row r="3587" spans="1:12" ht="15.35" hidden="1" x14ac:dyDescent="0.55000000000000004">
      <c r="A3587" s="20">
        <v>17583</v>
      </c>
      <c r="B3587" s="2" t="s">
        <v>169</v>
      </c>
      <c r="C3587" s="2" t="s">
        <v>170</v>
      </c>
      <c r="D3587" s="20">
        <v>0</v>
      </c>
      <c r="E3587" s="2" t="s">
        <v>838</v>
      </c>
      <c r="F3587" s="2" t="s">
        <v>793</v>
      </c>
      <c r="G3587" s="2" t="s">
        <v>3781</v>
      </c>
      <c r="H3587" s="2" t="s">
        <v>933</v>
      </c>
      <c r="J3587" s="26"/>
      <c r="K3587" s="36">
        <v>6.6509999999999998E-5</v>
      </c>
      <c r="L3587" s="23">
        <v>1.6629999999999998E-5</v>
      </c>
    </row>
    <row r="3588" spans="1:12" ht="15.35" hidden="1" x14ac:dyDescent="0.55000000000000004">
      <c r="A3588" s="20">
        <v>17473</v>
      </c>
      <c r="B3588" s="2" t="s">
        <v>169</v>
      </c>
      <c r="C3588" s="2" t="s">
        <v>170</v>
      </c>
      <c r="D3588" s="20">
        <v>0</v>
      </c>
      <c r="E3588" s="2" t="s">
        <v>838</v>
      </c>
      <c r="F3588" s="2" t="s">
        <v>793</v>
      </c>
      <c r="G3588" s="2" t="s">
        <v>3033</v>
      </c>
      <c r="H3588" s="2" t="s">
        <v>933</v>
      </c>
      <c r="J3588" s="26"/>
      <c r="K3588" s="36">
        <v>6.6509999999999998E-5</v>
      </c>
      <c r="L3588" s="23">
        <v>1.6629999999999998E-5</v>
      </c>
    </row>
    <row r="3589" spans="1:12" ht="15.35" hidden="1" x14ac:dyDescent="0.55000000000000004">
      <c r="A3589" s="20">
        <v>16934</v>
      </c>
      <c r="B3589" s="2" t="s">
        <v>169</v>
      </c>
      <c r="C3589" s="2" t="s">
        <v>170</v>
      </c>
      <c r="D3589" s="20">
        <v>0</v>
      </c>
      <c r="E3589" s="2" t="s">
        <v>838</v>
      </c>
      <c r="F3589" s="2" t="s">
        <v>793</v>
      </c>
      <c r="G3589" s="2" t="s">
        <v>3782</v>
      </c>
      <c r="H3589" s="2" t="s">
        <v>933</v>
      </c>
      <c r="J3589" s="26"/>
      <c r="K3589" s="36">
        <v>1.9994000000000001E-4</v>
      </c>
      <c r="L3589" s="23">
        <v>4.9990000000000001E-5</v>
      </c>
    </row>
    <row r="3590" spans="1:12" ht="15.35" hidden="1" x14ac:dyDescent="0.55000000000000004">
      <c r="A3590" s="20">
        <v>17051</v>
      </c>
      <c r="B3590" s="2" t="s">
        <v>169</v>
      </c>
      <c r="C3590" s="2" t="s">
        <v>170</v>
      </c>
      <c r="D3590" s="20">
        <v>0</v>
      </c>
      <c r="E3590" s="2" t="s">
        <v>838</v>
      </c>
      <c r="F3590" s="2" t="s">
        <v>793</v>
      </c>
      <c r="G3590" s="2" t="s">
        <v>3783</v>
      </c>
      <c r="H3590" s="2" t="s">
        <v>933</v>
      </c>
      <c r="J3590" s="26"/>
      <c r="K3590" s="36">
        <v>1.3342000000000001E-4</v>
      </c>
      <c r="L3590" s="23">
        <v>3.3359999999999999E-5</v>
      </c>
    </row>
    <row r="3591" spans="1:12" ht="15.35" hidden="1" x14ac:dyDescent="0.55000000000000004">
      <c r="A3591" s="20">
        <v>17133</v>
      </c>
      <c r="B3591" s="2" t="s">
        <v>169</v>
      </c>
      <c r="C3591" s="2" t="s">
        <v>170</v>
      </c>
      <c r="D3591" s="20">
        <v>0</v>
      </c>
      <c r="E3591" s="2" t="s">
        <v>838</v>
      </c>
      <c r="F3591" s="2" t="s">
        <v>793</v>
      </c>
      <c r="G3591" s="2" t="s">
        <v>3034</v>
      </c>
      <c r="H3591" s="2" t="s">
        <v>933</v>
      </c>
      <c r="J3591" s="26"/>
      <c r="K3591" s="36">
        <v>1.1679E-4</v>
      </c>
      <c r="L3591" s="23">
        <v>2.9200000000000002E-5</v>
      </c>
    </row>
    <row r="3592" spans="1:12" ht="15.35" hidden="1" x14ac:dyDescent="0.55000000000000004">
      <c r="A3592" s="20">
        <v>16837</v>
      </c>
      <c r="B3592" s="2" t="s">
        <v>169</v>
      </c>
      <c r="C3592" s="2" t="s">
        <v>170</v>
      </c>
      <c r="D3592" s="20">
        <v>0</v>
      </c>
      <c r="E3592" s="2" t="s">
        <v>838</v>
      </c>
      <c r="F3592" s="2" t="s">
        <v>793</v>
      </c>
      <c r="G3592" s="2" t="s">
        <v>3035</v>
      </c>
      <c r="H3592" s="2" t="s">
        <v>933</v>
      </c>
      <c r="J3592" s="26"/>
      <c r="K3592" s="36">
        <v>1.0017E-4</v>
      </c>
      <c r="L3592" s="23">
        <v>2.5040000000000001E-5</v>
      </c>
    </row>
    <row r="3593" spans="1:12" ht="15.35" hidden="1" x14ac:dyDescent="0.55000000000000004">
      <c r="A3593" s="20">
        <v>17154</v>
      </c>
      <c r="B3593" s="2" t="s">
        <v>169</v>
      </c>
      <c r="C3593" s="2" t="s">
        <v>170</v>
      </c>
      <c r="D3593" s="20">
        <v>0</v>
      </c>
      <c r="E3593" s="2" t="s">
        <v>838</v>
      </c>
      <c r="F3593" s="2" t="s">
        <v>793</v>
      </c>
      <c r="G3593" s="2" t="s">
        <v>3784</v>
      </c>
      <c r="H3593" s="2" t="s">
        <v>933</v>
      </c>
      <c r="J3593" s="26"/>
      <c r="K3593" s="36">
        <v>1.3342000000000001E-4</v>
      </c>
      <c r="L3593" s="23">
        <v>3.3359999999999999E-5</v>
      </c>
    </row>
    <row r="3594" spans="1:12" ht="15.35" hidden="1" x14ac:dyDescent="0.55000000000000004">
      <c r="A3594" s="20">
        <v>17668</v>
      </c>
      <c r="B3594" s="2" t="s">
        <v>169</v>
      </c>
      <c r="C3594" s="2" t="s">
        <v>170</v>
      </c>
      <c r="D3594" s="20">
        <v>0</v>
      </c>
      <c r="E3594" s="2" t="s">
        <v>838</v>
      </c>
      <c r="F3594" s="2" t="s">
        <v>793</v>
      </c>
      <c r="G3594" s="2" t="s">
        <v>3785</v>
      </c>
      <c r="H3594" s="2" t="s">
        <v>933</v>
      </c>
      <c r="J3594" s="26"/>
      <c r="K3594" s="36">
        <v>3.1673999999999998E-4</v>
      </c>
      <c r="L3594" s="23">
        <v>7.9190000000000006E-5</v>
      </c>
    </row>
    <row r="3595" spans="1:12" ht="15.35" hidden="1" x14ac:dyDescent="0.55000000000000004">
      <c r="A3595" s="20">
        <v>17136</v>
      </c>
      <c r="B3595" s="2" t="s">
        <v>169</v>
      </c>
      <c r="C3595" s="2" t="s">
        <v>170</v>
      </c>
      <c r="D3595" s="20">
        <v>0</v>
      </c>
      <c r="E3595" s="2" t="s">
        <v>838</v>
      </c>
      <c r="F3595" s="2" t="s">
        <v>793</v>
      </c>
      <c r="G3595" s="2" t="s">
        <v>3037</v>
      </c>
      <c r="H3595" s="2" t="s">
        <v>933</v>
      </c>
      <c r="J3595" s="26"/>
      <c r="K3595" s="36">
        <v>4.7511E-4</v>
      </c>
      <c r="L3595" s="23">
        <v>1.1878E-4</v>
      </c>
    </row>
    <row r="3596" spans="1:12" ht="15.35" hidden="1" x14ac:dyDescent="0.55000000000000004">
      <c r="A3596" s="20">
        <v>17594</v>
      </c>
      <c r="B3596" s="2" t="s">
        <v>169</v>
      </c>
      <c r="C3596" s="2" t="s">
        <v>170</v>
      </c>
      <c r="D3596" s="20">
        <v>0</v>
      </c>
      <c r="E3596" s="2" t="s">
        <v>838</v>
      </c>
      <c r="F3596" s="2" t="s">
        <v>793</v>
      </c>
      <c r="G3596" s="2" t="s">
        <v>3786</v>
      </c>
      <c r="H3596" s="2" t="s">
        <v>933</v>
      </c>
      <c r="J3596" s="26"/>
      <c r="K3596" s="36">
        <v>1.3342000000000001E-4</v>
      </c>
      <c r="L3596" s="23">
        <v>3.3359999999999999E-5</v>
      </c>
    </row>
    <row r="3597" spans="1:12" ht="15.35" hidden="1" x14ac:dyDescent="0.55000000000000004">
      <c r="A3597" s="20">
        <v>17444</v>
      </c>
      <c r="B3597" s="2" t="s">
        <v>169</v>
      </c>
      <c r="C3597" s="2" t="s">
        <v>170</v>
      </c>
      <c r="D3597" s="20">
        <v>0</v>
      </c>
      <c r="E3597" s="2" t="s">
        <v>838</v>
      </c>
      <c r="F3597" s="2" t="s">
        <v>793</v>
      </c>
      <c r="G3597" s="2" t="s">
        <v>3038</v>
      </c>
      <c r="H3597" s="2" t="s">
        <v>933</v>
      </c>
      <c r="J3597" s="26"/>
      <c r="K3597" s="36">
        <v>5.1628999999999998E-4</v>
      </c>
      <c r="L3597" s="23">
        <v>1.2907000000000001E-4</v>
      </c>
    </row>
    <row r="3598" spans="1:12" ht="15.35" hidden="1" x14ac:dyDescent="0.55000000000000004">
      <c r="A3598" s="20">
        <v>17210</v>
      </c>
      <c r="B3598" s="2" t="s">
        <v>169</v>
      </c>
      <c r="C3598" s="2" t="s">
        <v>170</v>
      </c>
      <c r="D3598" s="20">
        <v>0</v>
      </c>
      <c r="E3598" s="2" t="s">
        <v>838</v>
      </c>
      <c r="F3598" s="2" t="s">
        <v>793</v>
      </c>
      <c r="G3598" s="2" t="s">
        <v>3039</v>
      </c>
      <c r="H3598" s="2" t="s">
        <v>933</v>
      </c>
      <c r="J3598" s="26"/>
      <c r="K3598" s="36">
        <v>8.0057000000000001E-4</v>
      </c>
      <c r="L3598" s="23">
        <v>2.0013999999999999E-4</v>
      </c>
    </row>
    <row r="3599" spans="1:12" ht="15.35" hidden="1" x14ac:dyDescent="0.55000000000000004">
      <c r="A3599" s="20">
        <v>17506</v>
      </c>
      <c r="B3599" s="2" t="s">
        <v>169</v>
      </c>
      <c r="C3599" s="2" t="s">
        <v>170</v>
      </c>
      <c r="D3599" s="20">
        <v>0</v>
      </c>
      <c r="E3599" s="2" t="s">
        <v>838</v>
      </c>
      <c r="F3599" s="2" t="s">
        <v>793</v>
      </c>
      <c r="G3599" s="2" t="s">
        <v>2621</v>
      </c>
      <c r="H3599" s="2" t="s">
        <v>933</v>
      </c>
      <c r="J3599" s="26"/>
      <c r="K3599" s="36">
        <v>2.9693999999999999E-4</v>
      </c>
      <c r="L3599" s="23">
        <v>7.4229999999999999E-5</v>
      </c>
    </row>
    <row r="3600" spans="1:12" ht="15.35" hidden="1" x14ac:dyDescent="0.55000000000000004">
      <c r="A3600" s="20">
        <v>17636</v>
      </c>
      <c r="B3600" s="2" t="s">
        <v>169</v>
      </c>
      <c r="C3600" s="2" t="s">
        <v>170</v>
      </c>
      <c r="D3600" s="20">
        <v>0</v>
      </c>
      <c r="E3600" s="2" t="s">
        <v>838</v>
      </c>
      <c r="F3600" s="2" t="s">
        <v>793</v>
      </c>
      <c r="G3600" s="2" t="s">
        <v>3787</v>
      </c>
      <c r="H3600" s="2" t="s">
        <v>3788</v>
      </c>
      <c r="J3600" s="26"/>
      <c r="K3600" s="36">
        <v>6.6713999999999999E-4</v>
      </c>
      <c r="L3600" s="23">
        <v>1.6678E-4</v>
      </c>
    </row>
    <row r="3601" spans="1:12" ht="15.35" hidden="1" x14ac:dyDescent="0.55000000000000004">
      <c r="A3601" s="20">
        <v>16895</v>
      </c>
      <c r="B3601" s="2" t="s">
        <v>169</v>
      </c>
      <c r="C3601" s="2" t="s">
        <v>170</v>
      </c>
      <c r="D3601" s="20">
        <v>0</v>
      </c>
      <c r="E3601" s="2" t="s">
        <v>838</v>
      </c>
      <c r="F3601" s="2" t="s">
        <v>793</v>
      </c>
      <c r="G3601" s="2" t="s">
        <v>3041</v>
      </c>
      <c r="H3601" s="2" t="s">
        <v>821</v>
      </c>
      <c r="J3601" s="26"/>
      <c r="K3601" s="36">
        <v>4.4221499999999997E-3</v>
      </c>
      <c r="L3601" s="23">
        <v>1.1055399999999999E-3</v>
      </c>
    </row>
    <row r="3602" spans="1:12" ht="15.35" hidden="1" x14ac:dyDescent="0.55000000000000004">
      <c r="A3602" s="20">
        <v>16899</v>
      </c>
      <c r="B3602" s="2" t="s">
        <v>169</v>
      </c>
      <c r="C3602" s="2" t="s">
        <v>170</v>
      </c>
      <c r="D3602" s="20">
        <v>0</v>
      </c>
      <c r="E3602" s="2" t="s">
        <v>838</v>
      </c>
      <c r="F3602" s="2" t="s">
        <v>798</v>
      </c>
      <c r="G3602" s="2" t="s">
        <v>3789</v>
      </c>
      <c r="H3602" s="2" t="s">
        <v>821</v>
      </c>
      <c r="J3602" s="26"/>
      <c r="K3602" s="36">
        <v>4.4221499999999997E-3</v>
      </c>
      <c r="L3602" s="23">
        <v>1.1055399999999999E-3</v>
      </c>
    </row>
    <row r="3603" spans="1:12" ht="15.35" hidden="1" x14ac:dyDescent="0.55000000000000004">
      <c r="A3603" s="20">
        <v>17479</v>
      </c>
      <c r="B3603" s="2" t="s">
        <v>169</v>
      </c>
      <c r="C3603" s="2" t="s">
        <v>170</v>
      </c>
      <c r="D3603" s="20">
        <v>0</v>
      </c>
      <c r="E3603" s="2" t="s">
        <v>838</v>
      </c>
      <c r="F3603" s="2" t="s">
        <v>793</v>
      </c>
      <c r="G3603" s="2" t="s">
        <v>3042</v>
      </c>
      <c r="H3603" s="2" t="s">
        <v>824</v>
      </c>
      <c r="J3603" s="26"/>
      <c r="K3603" s="36">
        <v>4.4221499999999997E-3</v>
      </c>
      <c r="L3603" s="23">
        <v>1.1055399999999999E-3</v>
      </c>
    </row>
    <row r="3604" spans="1:12" ht="15.35" hidden="1" x14ac:dyDescent="0.55000000000000004">
      <c r="A3604" s="20">
        <v>17112</v>
      </c>
      <c r="B3604" s="2" t="s">
        <v>169</v>
      </c>
      <c r="C3604" s="2" t="s">
        <v>170</v>
      </c>
      <c r="D3604" s="20">
        <v>0</v>
      </c>
      <c r="E3604" s="2" t="s">
        <v>838</v>
      </c>
      <c r="F3604" s="2" t="s">
        <v>793</v>
      </c>
      <c r="G3604" s="2" t="s">
        <v>3043</v>
      </c>
      <c r="H3604" s="2" t="s">
        <v>824</v>
      </c>
      <c r="J3604" s="26"/>
      <c r="K3604" s="36">
        <v>1.50453E-3</v>
      </c>
      <c r="L3604" s="23">
        <v>3.7613000000000002E-4</v>
      </c>
    </row>
    <row r="3605" spans="1:12" ht="15.35" hidden="1" x14ac:dyDescent="0.55000000000000004">
      <c r="A3605" s="20">
        <v>16904</v>
      </c>
      <c r="B3605" s="2" t="s">
        <v>169</v>
      </c>
      <c r="C3605" s="2" t="s">
        <v>170</v>
      </c>
      <c r="D3605" s="20">
        <v>0</v>
      </c>
      <c r="E3605" s="2" t="s">
        <v>838</v>
      </c>
      <c r="F3605" s="2" t="s">
        <v>793</v>
      </c>
      <c r="G3605" s="2" t="s">
        <v>3790</v>
      </c>
      <c r="H3605" s="2" t="s">
        <v>1111</v>
      </c>
      <c r="J3605" s="26"/>
      <c r="K3605" s="36">
        <v>9.8980000000000004E-5</v>
      </c>
      <c r="L3605" s="23">
        <v>2.4749999999999999E-5</v>
      </c>
    </row>
    <row r="3606" spans="1:12" ht="15.35" hidden="1" x14ac:dyDescent="0.55000000000000004">
      <c r="A3606" s="20">
        <v>17392</v>
      </c>
      <c r="B3606" s="2" t="s">
        <v>169</v>
      </c>
      <c r="C3606" s="2" t="s">
        <v>170</v>
      </c>
      <c r="D3606" s="20">
        <v>0</v>
      </c>
      <c r="E3606" s="2" t="s">
        <v>838</v>
      </c>
      <c r="F3606" s="2" t="s">
        <v>793</v>
      </c>
      <c r="G3606" s="2" t="s">
        <v>3791</v>
      </c>
      <c r="H3606" s="2" t="s">
        <v>1111</v>
      </c>
      <c r="J3606" s="26"/>
      <c r="K3606" s="36">
        <v>3.1673999999999998E-4</v>
      </c>
      <c r="L3606" s="23">
        <v>7.9190000000000006E-5</v>
      </c>
    </row>
    <row r="3607" spans="1:12" ht="15.35" hidden="1" x14ac:dyDescent="0.55000000000000004">
      <c r="A3607" s="20">
        <v>17011</v>
      </c>
      <c r="B3607" s="2" t="s">
        <v>169</v>
      </c>
      <c r="C3607" s="2" t="s">
        <v>170</v>
      </c>
      <c r="D3607" s="20">
        <v>0</v>
      </c>
      <c r="E3607" s="2" t="s">
        <v>838</v>
      </c>
      <c r="F3607" s="2" t="s">
        <v>848</v>
      </c>
      <c r="G3607" s="2" t="s">
        <v>1111</v>
      </c>
      <c r="H3607" s="2" t="s">
        <v>1111</v>
      </c>
      <c r="J3607" s="26"/>
      <c r="K3607" s="36">
        <v>4.4221499999999997E-3</v>
      </c>
      <c r="L3607" s="23">
        <v>1.1055399999999999E-3</v>
      </c>
    </row>
    <row r="3608" spans="1:12" ht="15.35" hidden="1" x14ac:dyDescent="0.55000000000000004">
      <c r="A3608" s="20">
        <v>16955</v>
      </c>
      <c r="B3608" s="2" t="s">
        <v>169</v>
      </c>
      <c r="C3608" s="2" t="s">
        <v>170</v>
      </c>
      <c r="D3608" s="20">
        <v>0</v>
      </c>
      <c r="E3608" s="2" t="s">
        <v>838</v>
      </c>
      <c r="F3608" s="2" t="s">
        <v>793</v>
      </c>
      <c r="G3608" s="2" t="s">
        <v>3792</v>
      </c>
      <c r="H3608" s="2" t="s">
        <v>1111</v>
      </c>
      <c r="J3608" s="26"/>
      <c r="K3608" s="36">
        <v>1.1877E-4</v>
      </c>
      <c r="L3608" s="23">
        <v>2.9689999999999999E-5</v>
      </c>
    </row>
    <row r="3609" spans="1:12" ht="15.35" hidden="1" x14ac:dyDescent="0.55000000000000004">
      <c r="A3609" s="20">
        <v>17165</v>
      </c>
      <c r="B3609" s="2" t="s">
        <v>169</v>
      </c>
      <c r="C3609" s="2" t="s">
        <v>170</v>
      </c>
      <c r="D3609" s="20">
        <v>0</v>
      </c>
      <c r="E3609" s="2" t="s">
        <v>838</v>
      </c>
      <c r="F3609" s="2" t="s">
        <v>793</v>
      </c>
      <c r="G3609" s="2" t="s">
        <v>3046</v>
      </c>
      <c r="H3609" s="2" t="s">
        <v>1111</v>
      </c>
      <c r="J3609" s="26"/>
      <c r="K3609" s="36">
        <v>3.3336999999999999E-4</v>
      </c>
      <c r="L3609" s="23">
        <v>8.3339999999999998E-5</v>
      </c>
    </row>
    <row r="3610" spans="1:12" ht="15.35" hidden="1" x14ac:dyDescent="0.55000000000000004">
      <c r="A3610" s="20">
        <v>17101</v>
      </c>
      <c r="B3610" s="2" t="s">
        <v>169</v>
      </c>
      <c r="C3610" s="2" t="s">
        <v>170</v>
      </c>
      <c r="D3610" s="20">
        <v>0</v>
      </c>
      <c r="E3610" s="2" t="s">
        <v>838</v>
      </c>
      <c r="F3610" s="2" t="s">
        <v>793</v>
      </c>
      <c r="G3610" s="2" t="s">
        <v>3047</v>
      </c>
      <c r="H3610" s="2" t="s">
        <v>1111</v>
      </c>
      <c r="J3610" s="26"/>
      <c r="K3610" s="36">
        <v>3.3336999999999999E-4</v>
      </c>
      <c r="L3610" s="23">
        <v>8.3339999999999998E-5</v>
      </c>
    </row>
    <row r="3611" spans="1:12" ht="15.35" hidden="1" x14ac:dyDescent="0.55000000000000004">
      <c r="A3611" s="20">
        <v>16822</v>
      </c>
      <c r="B3611" s="2" t="s">
        <v>169</v>
      </c>
      <c r="C3611" s="2" t="s">
        <v>170</v>
      </c>
      <c r="D3611" s="20">
        <v>0</v>
      </c>
      <c r="E3611" s="2" t="s">
        <v>838</v>
      </c>
      <c r="F3611" s="2" t="s">
        <v>793</v>
      </c>
      <c r="G3611" s="2" t="s">
        <v>3048</v>
      </c>
      <c r="H3611" s="2" t="s">
        <v>1111</v>
      </c>
      <c r="J3611" s="26"/>
      <c r="K3611" s="36">
        <v>2.3755E-4</v>
      </c>
      <c r="L3611" s="23">
        <v>5.9389999999999999E-5</v>
      </c>
    </row>
    <row r="3612" spans="1:12" ht="15.35" hidden="1" x14ac:dyDescent="0.55000000000000004">
      <c r="A3612" s="20">
        <v>17298</v>
      </c>
      <c r="B3612" s="2" t="s">
        <v>169</v>
      </c>
      <c r="C3612" s="2" t="s">
        <v>170</v>
      </c>
      <c r="D3612" s="20">
        <v>0</v>
      </c>
      <c r="E3612" s="2" t="s">
        <v>838</v>
      </c>
      <c r="F3612" s="2" t="s">
        <v>793</v>
      </c>
      <c r="G3612" s="2" t="s">
        <v>3793</v>
      </c>
      <c r="H3612" s="2" t="s">
        <v>1111</v>
      </c>
      <c r="J3612" s="26"/>
      <c r="K3612" s="36">
        <v>1.2668999999999999E-4</v>
      </c>
      <c r="L3612" s="23">
        <v>3.167E-5</v>
      </c>
    </row>
    <row r="3613" spans="1:12" ht="15.35" hidden="1" x14ac:dyDescent="0.55000000000000004">
      <c r="A3613" s="20">
        <v>16965</v>
      </c>
      <c r="B3613" s="2" t="s">
        <v>169</v>
      </c>
      <c r="C3613" s="2" t="s">
        <v>170</v>
      </c>
      <c r="D3613" s="20">
        <v>0</v>
      </c>
      <c r="E3613" s="2" t="s">
        <v>838</v>
      </c>
      <c r="F3613" s="2" t="s">
        <v>793</v>
      </c>
      <c r="G3613" s="2" t="s">
        <v>3050</v>
      </c>
      <c r="H3613" s="2" t="s">
        <v>1111</v>
      </c>
      <c r="J3613" s="26"/>
      <c r="K3613" s="36">
        <v>6.3347999999999996E-4</v>
      </c>
      <c r="L3613" s="23">
        <v>1.5836999999999999E-4</v>
      </c>
    </row>
    <row r="3614" spans="1:12" ht="15.35" hidden="1" x14ac:dyDescent="0.55000000000000004">
      <c r="A3614" s="20">
        <v>17712</v>
      </c>
      <c r="B3614" s="2" t="s">
        <v>169</v>
      </c>
      <c r="C3614" s="2" t="s">
        <v>170</v>
      </c>
      <c r="D3614" s="20">
        <v>0</v>
      </c>
      <c r="E3614" s="2" t="s">
        <v>838</v>
      </c>
      <c r="F3614" s="2" t="s">
        <v>793</v>
      </c>
      <c r="G3614" s="2" t="s">
        <v>3051</v>
      </c>
      <c r="H3614" s="2" t="s">
        <v>1111</v>
      </c>
      <c r="J3614" s="26"/>
      <c r="K3614" s="36">
        <v>1.2273799999999999E-3</v>
      </c>
      <c r="L3614" s="23">
        <v>3.0684000000000001E-4</v>
      </c>
    </row>
    <row r="3615" spans="1:12" ht="15.35" hidden="1" x14ac:dyDescent="0.55000000000000004">
      <c r="A3615" s="20">
        <v>16903</v>
      </c>
      <c r="B3615" s="2" t="s">
        <v>169</v>
      </c>
      <c r="C3615" s="2" t="s">
        <v>170</v>
      </c>
      <c r="D3615" s="20">
        <v>0</v>
      </c>
      <c r="E3615" s="2" t="s">
        <v>838</v>
      </c>
      <c r="F3615" s="2" t="s">
        <v>793</v>
      </c>
      <c r="G3615" s="2" t="s">
        <v>3794</v>
      </c>
      <c r="H3615" s="2" t="s">
        <v>1111</v>
      </c>
      <c r="J3615" s="26"/>
      <c r="K3615" s="36">
        <v>1.9003999999999999E-4</v>
      </c>
      <c r="L3615" s="23">
        <v>4.7509999999999997E-5</v>
      </c>
    </row>
    <row r="3616" spans="1:12" ht="15.35" hidden="1" x14ac:dyDescent="0.55000000000000004">
      <c r="A3616" s="20">
        <v>17113</v>
      </c>
      <c r="B3616" s="2" t="s">
        <v>169</v>
      </c>
      <c r="C3616" s="2" t="s">
        <v>170</v>
      </c>
      <c r="D3616" s="20">
        <v>0</v>
      </c>
      <c r="E3616" s="2" t="s">
        <v>838</v>
      </c>
      <c r="F3616" s="2" t="s">
        <v>789</v>
      </c>
      <c r="G3616" s="2" t="s">
        <v>3052</v>
      </c>
      <c r="H3616" s="2" t="s">
        <v>1114</v>
      </c>
      <c r="J3616" s="26"/>
      <c r="K3616" s="36">
        <v>3.1369599999999998E-3</v>
      </c>
      <c r="L3616" s="23">
        <v>7.8423999999999996E-4</v>
      </c>
    </row>
    <row r="3617" spans="1:12" ht="15.35" hidden="1" x14ac:dyDescent="0.55000000000000004">
      <c r="A3617" s="20">
        <v>17300</v>
      </c>
      <c r="B3617" s="2" t="s">
        <v>169</v>
      </c>
      <c r="C3617" s="2" t="s">
        <v>170</v>
      </c>
      <c r="D3617" s="20">
        <v>0</v>
      </c>
      <c r="E3617" s="2" t="s">
        <v>838</v>
      </c>
      <c r="F3617" s="2" t="s">
        <v>789</v>
      </c>
      <c r="G3617" s="2" t="s">
        <v>3795</v>
      </c>
      <c r="H3617" s="2" t="s">
        <v>1114</v>
      </c>
      <c r="J3617" s="26"/>
      <c r="K3617" s="36">
        <v>1.60154E-3</v>
      </c>
      <c r="L3617" s="23">
        <v>4.0037999999999999E-4</v>
      </c>
    </row>
    <row r="3618" spans="1:12" ht="15.35" x14ac:dyDescent="0.55000000000000004">
      <c r="A3618" s="20">
        <v>17661</v>
      </c>
      <c r="B3618" s="2" t="s">
        <v>169</v>
      </c>
      <c r="C3618" s="2" t="s">
        <v>170</v>
      </c>
      <c r="D3618" s="20">
        <v>0</v>
      </c>
      <c r="E3618" s="2" t="s">
        <v>838</v>
      </c>
      <c r="F3618" s="2" t="s">
        <v>817</v>
      </c>
      <c r="G3618" s="2" t="s">
        <v>3796</v>
      </c>
      <c r="J3618" s="26"/>
      <c r="K3618" s="36">
        <v>6.6119999999999997E-5</v>
      </c>
      <c r="L3618" s="23">
        <v>1.6529999999999999E-5</v>
      </c>
    </row>
    <row r="3619" spans="1:12" ht="15.35" x14ac:dyDescent="0.55000000000000004">
      <c r="A3619" s="20">
        <v>17420</v>
      </c>
      <c r="B3619" s="2" t="s">
        <v>169</v>
      </c>
      <c r="C3619" s="2" t="s">
        <v>170</v>
      </c>
      <c r="D3619" s="20">
        <v>0</v>
      </c>
      <c r="E3619" s="2" t="s">
        <v>838</v>
      </c>
      <c r="F3619" s="2" t="s">
        <v>817</v>
      </c>
      <c r="G3619" s="2" t="s">
        <v>3797</v>
      </c>
      <c r="J3619" s="26"/>
      <c r="K3619" s="36">
        <v>4.4221499999999997E-3</v>
      </c>
      <c r="L3619" s="23">
        <v>1.1055399999999999E-3</v>
      </c>
    </row>
    <row r="3620" spans="1:12" ht="15.35" hidden="1" x14ac:dyDescent="0.55000000000000004">
      <c r="A3620" s="20">
        <v>16805</v>
      </c>
      <c r="B3620" s="2" t="s">
        <v>169</v>
      </c>
      <c r="C3620" s="2" t="s">
        <v>170</v>
      </c>
      <c r="D3620" s="20">
        <v>0</v>
      </c>
      <c r="E3620" s="2" t="s">
        <v>838</v>
      </c>
      <c r="F3620" s="2" t="s">
        <v>793</v>
      </c>
      <c r="G3620" s="2" t="s">
        <v>3798</v>
      </c>
      <c r="H3620" s="2" t="s">
        <v>3799</v>
      </c>
      <c r="J3620" s="26"/>
      <c r="K3620" s="36">
        <v>6.6509999999999998E-5</v>
      </c>
      <c r="L3620" s="23">
        <v>1.6629999999999998E-5</v>
      </c>
    </row>
    <row r="3621" spans="1:12" ht="15.35" hidden="1" x14ac:dyDescent="0.55000000000000004">
      <c r="A3621" s="20">
        <v>17673</v>
      </c>
      <c r="B3621" s="2" t="s">
        <v>169</v>
      </c>
      <c r="C3621" s="2" t="s">
        <v>170</v>
      </c>
      <c r="D3621" s="20">
        <v>0</v>
      </c>
      <c r="E3621" s="2" t="s">
        <v>838</v>
      </c>
      <c r="F3621" s="2" t="s">
        <v>793</v>
      </c>
      <c r="G3621" s="2" t="s">
        <v>3054</v>
      </c>
      <c r="H3621" s="2" t="s">
        <v>1196</v>
      </c>
      <c r="J3621" s="26"/>
      <c r="K3621" s="36">
        <v>7.4029999999999994E-5</v>
      </c>
      <c r="L3621" s="23">
        <v>1.8510000000000001E-5</v>
      </c>
    </row>
    <row r="3622" spans="1:12" ht="15.35" hidden="1" x14ac:dyDescent="0.55000000000000004">
      <c r="A3622" s="20">
        <v>17005</v>
      </c>
      <c r="B3622" s="2" t="s">
        <v>169</v>
      </c>
      <c r="C3622" s="2" t="s">
        <v>170</v>
      </c>
      <c r="D3622" s="20">
        <v>0</v>
      </c>
      <c r="E3622" s="2" t="s">
        <v>838</v>
      </c>
      <c r="F3622" s="2" t="s">
        <v>789</v>
      </c>
      <c r="G3622" s="2" t="s">
        <v>832</v>
      </c>
      <c r="H3622" s="2" t="s">
        <v>832</v>
      </c>
      <c r="J3622" s="26"/>
      <c r="K3622" s="36">
        <v>4.4221499999999997E-3</v>
      </c>
      <c r="L3622" s="23">
        <v>1.1055399999999999E-3</v>
      </c>
    </row>
    <row r="3623" spans="1:12" ht="15.35" hidden="1" x14ac:dyDescent="0.55000000000000004">
      <c r="A3623" s="20">
        <v>17482</v>
      </c>
      <c r="B3623" s="2" t="s">
        <v>169</v>
      </c>
      <c r="C3623" s="2" t="s">
        <v>170</v>
      </c>
      <c r="D3623" s="20">
        <v>0</v>
      </c>
      <c r="E3623" s="2" t="s">
        <v>838</v>
      </c>
      <c r="F3623" s="2" t="s">
        <v>789</v>
      </c>
      <c r="G3623" s="2" t="s">
        <v>3057</v>
      </c>
      <c r="H3623" s="2" t="s">
        <v>832</v>
      </c>
      <c r="J3623" s="26"/>
      <c r="K3623" s="36">
        <v>4.4221499999999997E-3</v>
      </c>
      <c r="L3623" s="23">
        <v>1.1055399999999999E-3</v>
      </c>
    </row>
    <row r="3624" spans="1:12" ht="15.35" hidden="1" x14ac:dyDescent="0.55000000000000004">
      <c r="A3624" s="20">
        <v>17258</v>
      </c>
      <c r="B3624" s="2" t="s">
        <v>169</v>
      </c>
      <c r="C3624" s="2" t="s">
        <v>170</v>
      </c>
      <c r="D3624" s="20">
        <v>0</v>
      </c>
      <c r="E3624" s="2" t="s">
        <v>838</v>
      </c>
      <c r="F3624" s="2" t="s">
        <v>789</v>
      </c>
      <c r="G3624" s="2" t="s">
        <v>1461</v>
      </c>
      <c r="H3624" s="2" t="s">
        <v>832</v>
      </c>
      <c r="J3624" s="26"/>
      <c r="K3624" s="36">
        <v>4.4221499999999997E-3</v>
      </c>
      <c r="L3624" s="23">
        <v>1.1055399999999999E-3</v>
      </c>
    </row>
    <row r="3625" spans="1:12" ht="15.35" hidden="1" x14ac:dyDescent="0.55000000000000004">
      <c r="A3625" s="20">
        <v>17705</v>
      </c>
      <c r="B3625" s="2" t="s">
        <v>169</v>
      </c>
      <c r="C3625" s="2" t="s">
        <v>170</v>
      </c>
      <c r="D3625" s="20">
        <v>0</v>
      </c>
      <c r="E3625" s="2" t="s">
        <v>838</v>
      </c>
      <c r="F3625" s="2" t="s">
        <v>789</v>
      </c>
      <c r="G3625" s="2" t="s">
        <v>3800</v>
      </c>
      <c r="H3625" s="2" t="s">
        <v>832</v>
      </c>
      <c r="J3625" s="26"/>
      <c r="K3625" s="36">
        <v>4.4221499999999997E-3</v>
      </c>
      <c r="L3625" s="23">
        <v>1.1055399999999999E-3</v>
      </c>
    </row>
    <row r="3626" spans="1:12" ht="15.35" hidden="1" x14ac:dyDescent="0.55000000000000004">
      <c r="A3626" s="20">
        <v>17474</v>
      </c>
      <c r="B3626" s="2" t="s">
        <v>169</v>
      </c>
      <c r="C3626" s="2" t="s">
        <v>170</v>
      </c>
      <c r="D3626" s="20">
        <v>0</v>
      </c>
      <c r="E3626" s="2" t="s">
        <v>838</v>
      </c>
      <c r="F3626" s="2" t="s">
        <v>789</v>
      </c>
      <c r="G3626" s="2" t="s">
        <v>1464</v>
      </c>
      <c r="H3626" s="2" t="s">
        <v>832</v>
      </c>
      <c r="J3626" s="26"/>
      <c r="K3626" s="36">
        <v>4.4221499999999997E-3</v>
      </c>
      <c r="L3626" s="23">
        <v>1.1055399999999999E-3</v>
      </c>
    </row>
    <row r="3627" spans="1:12" ht="15.35" hidden="1" x14ac:dyDescent="0.55000000000000004">
      <c r="A3627" s="20">
        <v>17465</v>
      </c>
      <c r="B3627" s="2" t="s">
        <v>169</v>
      </c>
      <c r="C3627" s="2" t="s">
        <v>170</v>
      </c>
      <c r="D3627" s="20">
        <v>0</v>
      </c>
      <c r="E3627" s="2" t="s">
        <v>838</v>
      </c>
      <c r="F3627" s="2" t="s">
        <v>811</v>
      </c>
      <c r="G3627" s="2" t="s">
        <v>3801</v>
      </c>
      <c r="H3627" s="2" t="s">
        <v>1482</v>
      </c>
      <c r="J3627" s="26"/>
      <c r="K3627" s="36">
        <v>1.1086E-3</v>
      </c>
      <c r="L3627" s="23">
        <v>2.7714999999999999E-4</v>
      </c>
    </row>
    <row r="3628" spans="1:12" ht="15.35" hidden="1" x14ac:dyDescent="0.55000000000000004">
      <c r="A3628" s="20">
        <v>16877</v>
      </c>
      <c r="B3628" s="2" t="s">
        <v>169</v>
      </c>
      <c r="C3628" s="2" t="s">
        <v>170</v>
      </c>
      <c r="D3628" s="20">
        <v>0</v>
      </c>
      <c r="E3628" s="2" t="s">
        <v>838</v>
      </c>
      <c r="F3628" s="2" t="s">
        <v>811</v>
      </c>
      <c r="G3628" s="2" t="s">
        <v>3802</v>
      </c>
      <c r="H3628" s="2" t="s">
        <v>1482</v>
      </c>
      <c r="J3628" s="26"/>
      <c r="K3628" s="36">
        <v>8.7104000000000001E-4</v>
      </c>
      <c r="L3628" s="23">
        <v>2.1776E-4</v>
      </c>
    </row>
    <row r="3629" spans="1:12" ht="15.35" hidden="1" x14ac:dyDescent="0.55000000000000004">
      <c r="A3629" s="20">
        <v>17630</v>
      </c>
      <c r="B3629" s="2" t="s">
        <v>169</v>
      </c>
      <c r="C3629" s="2" t="s">
        <v>170</v>
      </c>
      <c r="D3629" s="20">
        <v>0</v>
      </c>
      <c r="E3629" s="2" t="s">
        <v>838</v>
      </c>
      <c r="F3629" s="2" t="s">
        <v>811</v>
      </c>
      <c r="G3629" s="2" t="s">
        <v>3064</v>
      </c>
      <c r="H3629" s="2" t="s">
        <v>1482</v>
      </c>
      <c r="J3629" s="26"/>
      <c r="K3629" s="36">
        <v>6.7308000000000005E-4</v>
      </c>
      <c r="L3629" s="23">
        <v>1.6827000000000001E-4</v>
      </c>
    </row>
    <row r="3630" spans="1:12" ht="15.35" hidden="1" x14ac:dyDescent="0.55000000000000004">
      <c r="A3630" s="20">
        <v>16797</v>
      </c>
      <c r="B3630" s="2" t="s">
        <v>169</v>
      </c>
      <c r="C3630" s="2" t="s">
        <v>170</v>
      </c>
      <c r="D3630" s="20">
        <v>0</v>
      </c>
      <c r="E3630" s="2" t="s">
        <v>838</v>
      </c>
      <c r="F3630" s="2" t="s">
        <v>811</v>
      </c>
      <c r="G3630" s="2" t="s">
        <v>3066</v>
      </c>
      <c r="H3630" s="2" t="s">
        <v>1482</v>
      </c>
      <c r="J3630" s="26"/>
      <c r="K3630" s="36">
        <v>1.1482E-3</v>
      </c>
      <c r="L3630" s="23">
        <v>2.8705000000000001E-4</v>
      </c>
    </row>
    <row r="3631" spans="1:12" ht="15.35" hidden="1" x14ac:dyDescent="0.55000000000000004">
      <c r="A3631" s="20">
        <v>17575</v>
      </c>
      <c r="B3631" s="2" t="s">
        <v>169</v>
      </c>
      <c r="C3631" s="2" t="s">
        <v>170</v>
      </c>
      <c r="D3631" s="20">
        <v>0</v>
      </c>
      <c r="E3631" s="2" t="s">
        <v>838</v>
      </c>
      <c r="F3631" s="2" t="s">
        <v>811</v>
      </c>
      <c r="G3631" s="2" t="s">
        <v>3067</v>
      </c>
      <c r="H3631" s="2" t="s">
        <v>1482</v>
      </c>
      <c r="J3631" s="26"/>
      <c r="K3631" s="36">
        <v>8.3144999999999996E-4</v>
      </c>
      <c r="L3631" s="23">
        <v>2.0786000000000001E-4</v>
      </c>
    </row>
    <row r="3632" spans="1:12" ht="15.35" hidden="1" x14ac:dyDescent="0.55000000000000004">
      <c r="A3632" s="20">
        <v>17032</v>
      </c>
      <c r="B3632" s="2" t="s">
        <v>169</v>
      </c>
      <c r="C3632" s="2" t="s">
        <v>170</v>
      </c>
      <c r="D3632" s="20">
        <v>0</v>
      </c>
      <c r="E3632" s="2" t="s">
        <v>838</v>
      </c>
      <c r="F3632" s="2" t="s">
        <v>811</v>
      </c>
      <c r="G3632" s="2" t="s">
        <v>3803</v>
      </c>
      <c r="H3632" s="2" t="s">
        <v>1482</v>
      </c>
      <c r="J3632" s="26"/>
      <c r="K3632" s="36">
        <v>2.37558E-3</v>
      </c>
      <c r="L3632" s="23">
        <v>5.9389000000000002E-4</v>
      </c>
    </row>
    <row r="3633" spans="1:12" ht="15.35" hidden="1" x14ac:dyDescent="0.55000000000000004">
      <c r="A3633" s="20">
        <v>17690</v>
      </c>
      <c r="B3633" s="2" t="s">
        <v>169</v>
      </c>
      <c r="C3633" s="2" t="s">
        <v>170</v>
      </c>
      <c r="D3633" s="20">
        <v>0</v>
      </c>
      <c r="E3633" s="2" t="s">
        <v>838</v>
      </c>
      <c r="F3633" s="2" t="s">
        <v>811</v>
      </c>
      <c r="G3633" s="2" t="s">
        <v>3068</v>
      </c>
      <c r="H3633" s="2" t="s">
        <v>1490</v>
      </c>
      <c r="J3633" s="26"/>
      <c r="K3633" s="36">
        <v>7.9179999999999997E-5</v>
      </c>
      <c r="L3633" s="23">
        <v>1.9789999999999999E-5</v>
      </c>
    </row>
    <row r="3634" spans="1:12" ht="15.35" hidden="1" x14ac:dyDescent="0.55000000000000004">
      <c r="A3634" s="20">
        <v>17408</v>
      </c>
      <c r="B3634" s="2" t="s">
        <v>169</v>
      </c>
      <c r="C3634" s="2" t="s">
        <v>170</v>
      </c>
      <c r="D3634" s="20">
        <v>0</v>
      </c>
      <c r="E3634" s="2" t="s">
        <v>838</v>
      </c>
      <c r="F3634" s="2" t="s">
        <v>811</v>
      </c>
      <c r="G3634" s="2" t="s">
        <v>3069</v>
      </c>
      <c r="H3634" s="2" t="s">
        <v>1490</v>
      </c>
      <c r="J3634" s="26"/>
      <c r="K3634" s="36">
        <v>1.9796000000000001E-4</v>
      </c>
      <c r="L3634" s="23">
        <v>4.9490000000000002E-5</v>
      </c>
    </row>
    <row r="3635" spans="1:12" ht="15.35" hidden="1" x14ac:dyDescent="0.55000000000000004">
      <c r="A3635" s="20">
        <v>17698</v>
      </c>
      <c r="B3635" s="2" t="s">
        <v>169</v>
      </c>
      <c r="C3635" s="2" t="s">
        <v>170</v>
      </c>
      <c r="D3635" s="20">
        <v>0</v>
      </c>
      <c r="E3635" s="2" t="s">
        <v>838</v>
      </c>
      <c r="F3635" s="2" t="s">
        <v>811</v>
      </c>
      <c r="G3635" s="2" t="s">
        <v>3804</v>
      </c>
      <c r="H3635" s="2" t="s">
        <v>1490</v>
      </c>
      <c r="J3635" s="26"/>
      <c r="K3635" s="36">
        <v>5.5429999999999998E-4</v>
      </c>
      <c r="L3635" s="23">
        <v>1.3857999999999999E-4</v>
      </c>
    </row>
    <row r="3636" spans="1:12" ht="15.35" hidden="1" x14ac:dyDescent="0.55000000000000004">
      <c r="A3636" s="20">
        <v>17304</v>
      </c>
      <c r="B3636" s="2" t="s">
        <v>169</v>
      </c>
      <c r="C3636" s="2" t="s">
        <v>170</v>
      </c>
      <c r="D3636" s="20">
        <v>0</v>
      </c>
      <c r="E3636" s="2" t="s">
        <v>838</v>
      </c>
      <c r="F3636" s="2" t="s">
        <v>811</v>
      </c>
      <c r="G3636" s="2" t="s">
        <v>3071</v>
      </c>
      <c r="H3636" s="2" t="s">
        <v>1490</v>
      </c>
      <c r="J3636" s="26"/>
      <c r="K3636" s="36">
        <v>1.58372E-3</v>
      </c>
      <c r="L3636" s="23">
        <v>3.9593000000000001E-4</v>
      </c>
    </row>
    <row r="3637" spans="1:12" ht="15.35" hidden="1" x14ac:dyDescent="0.55000000000000004">
      <c r="A3637" s="20">
        <v>17076</v>
      </c>
      <c r="B3637" s="2" t="s">
        <v>169</v>
      </c>
      <c r="C3637" s="2" t="s">
        <v>170</v>
      </c>
      <c r="D3637" s="20">
        <v>0</v>
      </c>
      <c r="E3637" s="2" t="s">
        <v>838</v>
      </c>
      <c r="F3637" s="2" t="s">
        <v>811</v>
      </c>
      <c r="G3637" s="2" t="s">
        <v>3805</v>
      </c>
      <c r="H3637" s="2" t="s">
        <v>1490</v>
      </c>
      <c r="J3637" s="26"/>
      <c r="K3637" s="36">
        <v>1.9796000000000001E-4</v>
      </c>
      <c r="L3637" s="23">
        <v>4.9490000000000002E-5</v>
      </c>
    </row>
    <row r="3638" spans="1:12" ht="15.35" x14ac:dyDescent="0.55000000000000004">
      <c r="A3638" s="20">
        <v>16860</v>
      </c>
      <c r="B3638" s="2" t="s">
        <v>169</v>
      </c>
      <c r="C3638" s="2" t="s">
        <v>170</v>
      </c>
      <c r="D3638" s="20">
        <v>0</v>
      </c>
      <c r="E3638" s="2" t="s">
        <v>838</v>
      </c>
      <c r="F3638" s="2" t="s">
        <v>817</v>
      </c>
      <c r="G3638" s="2" t="s">
        <v>3806</v>
      </c>
      <c r="J3638" s="26"/>
      <c r="K3638" s="36">
        <v>7.839E-5</v>
      </c>
      <c r="L3638" s="23">
        <v>1.9599999999999999E-5</v>
      </c>
    </row>
    <row r="3639" spans="1:12" ht="15.35" x14ac:dyDescent="0.55000000000000004">
      <c r="A3639" s="20">
        <v>17062</v>
      </c>
      <c r="B3639" s="2" t="s">
        <v>169</v>
      </c>
      <c r="C3639" s="2" t="s">
        <v>170</v>
      </c>
      <c r="D3639" s="20">
        <v>0</v>
      </c>
      <c r="E3639" s="2" t="s">
        <v>838</v>
      </c>
      <c r="F3639" s="2" t="s">
        <v>817</v>
      </c>
      <c r="G3639" s="2" t="s">
        <v>3807</v>
      </c>
      <c r="J3639" s="26"/>
      <c r="K3639" s="36">
        <v>2.0786000000000001E-4</v>
      </c>
      <c r="L3639" s="23">
        <v>5.1959999999999997E-5</v>
      </c>
    </row>
    <row r="3640" spans="1:12" ht="15.35" x14ac:dyDescent="0.55000000000000004">
      <c r="A3640" s="20">
        <v>17111</v>
      </c>
      <c r="B3640" s="2" t="s">
        <v>169</v>
      </c>
      <c r="C3640" s="2" t="s">
        <v>170</v>
      </c>
      <c r="D3640" s="20">
        <v>0</v>
      </c>
      <c r="E3640" s="2" t="s">
        <v>838</v>
      </c>
      <c r="F3640" s="2" t="s">
        <v>817</v>
      </c>
      <c r="G3640" s="2" t="s">
        <v>3808</v>
      </c>
      <c r="J3640" s="26"/>
      <c r="K3640" s="36">
        <v>6.4140000000000006E-5</v>
      </c>
      <c r="L3640" s="23">
        <v>1.6039999999999999E-5</v>
      </c>
    </row>
    <row r="3641" spans="1:12" ht="15.35" x14ac:dyDescent="0.55000000000000004">
      <c r="A3641" s="20">
        <v>17554</v>
      </c>
      <c r="B3641" s="2" t="s">
        <v>169</v>
      </c>
      <c r="C3641" s="2" t="s">
        <v>170</v>
      </c>
      <c r="D3641" s="20">
        <v>0</v>
      </c>
      <c r="E3641" s="2" t="s">
        <v>838</v>
      </c>
      <c r="F3641" s="2" t="s">
        <v>817</v>
      </c>
      <c r="G3641" s="2" t="s">
        <v>3809</v>
      </c>
      <c r="J3641" s="26"/>
      <c r="K3641" s="36">
        <v>6.2550000000000003E-5</v>
      </c>
      <c r="L3641" s="23">
        <v>1.5639999999999999E-5</v>
      </c>
    </row>
    <row r="3642" spans="1:12" ht="15.35" x14ac:dyDescent="0.55000000000000004">
      <c r="A3642" s="20">
        <v>16853</v>
      </c>
      <c r="B3642" s="2" t="s">
        <v>169</v>
      </c>
      <c r="C3642" s="2" t="s">
        <v>170</v>
      </c>
      <c r="D3642" s="20">
        <v>0</v>
      </c>
      <c r="E3642" s="2" t="s">
        <v>838</v>
      </c>
      <c r="F3642" s="2" t="s">
        <v>811</v>
      </c>
      <c r="G3642" s="2" t="s">
        <v>3810</v>
      </c>
      <c r="J3642" s="26"/>
      <c r="K3642" s="36">
        <v>9.7390000000000001E-5</v>
      </c>
      <c r="L3642" s="23">
        <v>2.4349999999999999E-5</v>
      </c>
    </row>
    <row r="3643" spans="1:12" ht="15.35" hidden="1" x14ac:dyDescent="0.55000000000000004">
      <c r="A3643" s="20">
        <v>17428</v>
      </c>
      <c r="B3643" s="2" t="s">
        <v>169</v>
      </c>
      <c r="C3643" s="2" t="s">
        <v>170</v>
      </c>
      <c r="D3643" s="20">
        <v>0</v>
      </c>
      <c r="E3643" s="2" t="s">
        <v>838</v>
      </c>
      <c r="F3643" s="2" t="s">
        <v>793</v>
      </c>
      <c r="G3643" s="2" t="s">
        <v>3811</v>
      </c>
      <c r="H3643" s="2" t="s">
        <v>2304</v>
      </c>
      <c r="J3643" s="26"/>
      <c r="K3643" s="36">
        <v>7.1260000000000006E-5</v>
      </c>
      <c r="L3643" s="23">
        <v>1.7819999999999999E-5</v>
      </c>
    </row>
    <row r="3644" spans="1:12" ht="15.35" hidden="1" x14ac:dyDescent="0.55000000000000004">
      <c r="A3644" s="20">
        <v>17495</v>
      </c>
      <c r="B3644" s="2" t="s">
        <v>169</v>
      </c>
      <c r="C3644" s="2" t="s">
        <v>170</v>
      </c>
      <c r="D3644" s="20">
        <v>0</v>
      </c>
      <c r="E3644" s="2" t="s">
        <v>838</v>
      </c>
      <c r="F3644" s="2" t="s">
        <v>793</v>
      </c>
      <c r="G3644" s="2" t="s">
        <v>3081</v>
      </c>
      <c r="H3644" s="2" t="s">
        <v>2304</v>
      </c>
      <c r="J3644" s="26"/>
      <c r="K3644" s="36">
        <v>6.6119999999999997E-5</v>
      </c>
      <c r="L3644" s="23">
        <v>1.6529999999999999E-5</v>
      </c>
    </row>
    <row r="3645" spans="1:12" ht="15.35" hidden="1" x14ac:dyDescent="0.55000000000000004">
      <c r="A3645" s="20">
        <v>17233</v>
      </c>
      <c r="B3645" s="2" t="s">
        <v>169</v>
      </c>
      <c r="C3645" s="2" t="s">
        <v>170</v>
      </c>
      <c r="D3645" s="20">
        <v>0</v>
      </c>
      <c r="E3645" s="2" t="s">
        <v>838</v>
      </c>
      <c r="F3645" s="2" t="s">
        <v>793</v>
      </c>
      <c r="G3645" s="2" t="s">
        <v>3082</v>
      </c>
      <c r="H3645" s="2" t="s">
        <v>2304</v>
      </c>
      <c r="J3645" s="26"/>
      <c r="K3645" s="36">
        <v>6.6119999999999997E-5</v>
      </c>
      <c r="L3645" s="23">
        <v>1.6529999999999999E-5</v>
      </c>
    </row>
    <row r="3646" spans="1:12" ht="15.35" hidden="1" x14ac:dyDescent="0.55000000000000004">
      <c r="A3646" s="20">
        <v>17438</v>
      </c>
      <c r="B3646" s="2" t="s">
        <v>169</v>
      </c>
      <c r="C3646" s="2" t="s">
        <v>170</v>
      </c>
      <c r="D3646" s="20">
        <v>0</v>
      </c>
      <c r="E3646" s="2" t="s">
        <v>838</v>
      </c>
      <c r="F3646" s="2" t="s">
        <v>793</v>
      </c>
      <c r="G3646" s="2" t="s">
        <v>3083</v>
      </c>
      <c r="H3646" s="2" t="s">
        <v>2304</v>
      </c>
      <c r="J3646" s="26"/>
      <c r="K3646" s="36">
        <v>6.6119999999999997E-5</v>
      </c>
      <c r="L3646" s="23">
        <v>1.6529999999999999E-5</v>
      </c>
    </row>
    <row r="3647" spans="1:12" ht="15.35" hidden="1" x14ac:dyDescent="0.55000000000000004">
      <c r="A3647" s="20">
        <v>17190</v>
      </c>
      <c r="B3647" s="2" t="s">
        <v>169</v>
      </c>
      <c r="C3647" s="2" t="s">
        <v>170</v>
      </c>
      <c r="D3647" s="20">
        <v>0</v>
      </c>
      <c r="E3647" s="2" t="s">
        <v>838</v>
      </c>
      <c r="F3647" s="2" t="s">
        <v>793</v>
      </c>
      <c r="G3647" s="2" t="s">
        <v>3085</v>
      </c>
      <c r="H3647" s="2" t="s">
        <v>2304</v>
      </c>
      <c r="J3647" s="26"/>
      <c r="K3647" s="36">
        <v>5.3370999999999996E-4</v>
      </c>
      <c r="L3647" s="23">
        <v>1.3343E-4</v>
      </c>
    </row>
    <row r="3648" spans="1:12" ht="15.35" hidden="1" x14ac:dyDescent="0.55000000000000004">
      <c r="A3648" s="20">
        <v>16999</v>
      </c>
      <c r="B3648" s="2" t="s">
        <v>169</v>
      </c>
      <c r="C3648" s="2" t="s">
        <v>170</v>
      </c>
      <c r="D3648" s="20">
        <v>0</v>
      </c>
      <c r="E3648" s="2" t="s">
        <v>838</v>
      </c>
      <c r="F3648" s="2" t="s">
        <v>793</v>
      </c>
      <c r="G3648" s="2" t="s">
        <v>3812</v>
      </c>
      <c r="H3648" s="2" t="s">
        <v>2304</v>
      </c>
      <c r="J3648" s="26"/>
      <c r="K3648" s="36">
        <v>1.1323E-4</v>
      </c>
      <c r="L3648" s="23">
        <v>2.8309999999999998E-5</v>
      </c>
    </row>
    <row r="3649" spans="1:12" ht="15.35" hidden="1" x14ac:dyDescent="0.55000000000000004">
      <c r="A3649" s="20">
        <v>17382</v>
      </c>
      <c r="B3649" s="2" t="s">
        <v>169</v>
      </c>
      <c r="C3649" s="2" t="s">
        <v>170</v>
      </c>
      <c r="D3649" s="20">
        <v>0</v>
      </c>
      <c r="E3649" s="2" t="s">
        <v>838</v>
      </c>
      <c r="F3649" s="2" t="s">
        <v>793</v>
      </c>
      <c r="G3649" s="2" t="s">
        <v>3086</v>
      </c>
      <c r="H3649" s="2" t="s">
        <v>2304</v>
      </c>
      <c r="J3649" s="26"/>
      <c r="K3649" s="36">
        <v>1.1323E-4</v>
      </c>
      <c r="L3649" s="23">
        <v>2.8309999999999998E-5</v>
      </c>
    </row>
    <row r="3650" spans="1:12" ht="15.35" hidden="1" x14ac:dyDescent="0.55000000000000004">
      <c r="A3650" s="20">
        <v>17122</v>
      </c>
      <c r="B3650" s="2" t="s">
        <v>169</v>
      </c>
      <c r="C3650" s="2" t="s">
        <v>170</v>
      </c>
      <c r="D3650" s="20">
        <v>0</v>
      </c>
      <c r="E3650" s="2" t="s">
        <v>838</v>
      </c>
      <c r="F3650" s="2" t="s">
        <v>793</v>
      </c>
      <c r="G3650" s="2" t="s">
        <v>3087</v>
      </c>
      <c r="H3650" s="2" t="s">
        <v>2304</v>
      </c>
      <c r="J3650" s="26"/>
      <c r="K3650" s="36">
        <v>6.6119999999999997E-5</v>
      </c>
      <c r="L3650" s="23">
        <v>1.6529999999999999E-5</v>
      </c>
    </row>
    <row r="3651" spans="1:12" ht="15.35" hidden="1" x14ac:dyDescent="0.55000000000000004">
      <c r="A3651" s="20">
        <v>17677</v>
      </c>
      <c r="B3651" s="2" t="s">
        <v>169</v>
      </c>
      <c r="C3651" s="2" t="s">
        <v>170</v>
      </c>
      <c r="D3651" s="20">
        <v>0</v>
      </c>
      <c r="E3651" s="2" t="s">
        <v>838</v>
      </c>
      <c r="F3651" s="2" t="s">
        <v>811</v>
      </c>
      <c r="G3651" s="2" t="s">
        <v>3813</v>
      </c>
      <c r="H3651" s="2" t="s">
        <v>1446</v>
      </c>
      <c r="J3651" s="26"/>
      <c r="K3651" s="36">
        <v>1.0294E-4</v>
      </c>
      <c r="L3651" s="23">
        <v>2.5729999999999999E-5</v>
      </c>
    </row>
    <row r="3652" spans="1:12" ht="15.35" x14ac:dyDescent="0.55000000000000004">
      <c r="A3652" s="20">
        <v>16867</v>
      </c>
      <c r="B3652" s="2" t="s">
        <v>169</v>
      </c>
      <c r="C3652" s="2" t="s">
        <v>170</v>
      </c>
      <c r="D3652" s="20">
        <v>0</v>
      </c>
      <c r="E3652" s="2" t="s">
        <v>838</v>
      </c>
      <c r="F3652" s="2" t="s">
        <v>793</v>
      </c>
      <c r="G3652" s="2" t="s">
        <v>3814</v>
      </c>
      <c r="J3652" s="26"/>
      <c r="K3652" s="36">
        <v>6.334E-5</v>
      </c>
      <c r="L3652" s="23">
        <v>1.5840000000000001E-5</v>
      </c>
    </row>
    <row r="3653" spans="1:12" ht="15.35" hidden="1" x14ac:dyDescent="0.55000000000000004">
      <c r="A3653" s="20">
        <v>17662</v>
      </c>
      <c r="B3653" s="2" t="s">
        <v>169</v>
      </c>
      <c r="C3653" s="2" t="s">
        <v>170</v>
      </c>
      <c r="D3653" s="20">
        <v>0</v>
      </c>
      <c r="E3653" s="2" t="s">
        <v>838</v>
      </c>
      <c r="F3653" s="2" t="s">
        <v>793</v>
      </c>
      <c r="G3653" s="2" t="s">
        <v>3090</v>
      </c>
      <c r="H3653" s="2" t="s">
        <v>2312</v>
      </c>
      <c r="J3653" s="26"/>
      <c r="K3653" s="36">
        <v>4.4221499999999997E-3</v>
      </c>
      <c r="L3653" s="23">
        <v>1.1055399999999999E-3</v>
      </c>
    </row>
    <row r="3654" spans="1:12" ht="15.35" hidden="1" x14ac:dyDescent="0.55000000000000004">
      <c r="A3654" s="20">
        <v>17462</v>
      </c>
      <c r="B3654" s="2" t="s">
        <v>169</v>
      </c>
      <c r="C3654" s="2" t="s">
        <v>170</v>
      </c>
      <c r="D3654" s="20">
        <v>0</v>
      </c>
      <c r="E3654" s="2" t="s">
        <v>838</v>
      </c>
      <c r="F3654" s="2" t="s">
        <v>793</v>
      </c>
      <c r="G3654" s="2" t="s">
        <v>3091</v>
      </c>
      <c r="H3654" s="2" t="s">
        <v>2312</v>
      </c>
      <c r="J3654" s="26"/>
      <c r="K3654" s="36">
        <v>1.58372E-3</v>
      </c>
      <c r="L3654" s="23">
        <v>3.9593000000000001E-4</v>
      </c>
    </row>
    <row r="3655" spans="1:12" ht="15.35" hidden="1" x14ac:dyDescent="0.55000000000000004">
      <c r="A3655" s="20">
        <v>17458</v>
      </c>
      <c r="B3655" s="2" t="s">
        <v>169</v>
      </c>
      <c r="C3655" s="2" t="s">
        <v>170</v>
      </c>
      <c r="D3655" s="20">
        <v>0</v>
      </c>
      <c r="E3655" s="2" t="s">
        <v>838</v>
      </c>
      <c r="F3655" s="2" t="s">
        <v>793</v>
      </c>
      <c r="G3655" s="2" t="s">
        <v>3092</v>
      </c>
      <c r="H3655" s="2" t="s">
        <v>2312</v>
      </c>
      <c r="J3655" s="26"/>
      <c r="K3655" s="36">
        <v>1.8885900000000001E-3</v>
      </c>
      <c r="L3655" s="23">
        <v>4.7215000000000001E-4</v>
      </c>
    </row>
    <row r="3656" spans="1:12" ht="15.35" hidden="1" x14ac:dyDescent="0.55000000000000004">
      <c r="A3656" s="20">
        <v>17692</v>
      </c>
      <c r="B3656" s="2" t="s">
        <v>169</v>
      </c>
      <c r="C3656" s="2" t="s">
        <v>170</v>
      </c>
      <c r="D3656" s="20">
        <v>0</v>
      </c>
      <c r="E3656" s="2" t="s">
        <v>838</v>
      </c>
      <c r="F3656" s="2" t="s">
        <v>793</v>
      </c>
      <c r="G3656" s="2" t="s">
        <v>3093</v>
      </c>
      <c r="H3656" s="2" t="s">
        <v>2312</v>
      </c>
      <c r="J3656" s="26"/>
      <c r="K3656" s="36">
        <v>1.8173200000000001E-3</v>
      </c>
      <c r="L3656" s="23">
        <v>4.5433000000000002E-4</v>
      </c>
    </row>
    <row r="3657" spans="1:12" ht="15.35" hidden="1" x14ac:dyDescent="0.55000000000000004">
      <c r="A3657" s="20">
        <v>17207</v>
      </c>
      <c r="B3657" s="2" t="s">
        <v>169</v>
      </c>
      <c r="C3657" s="2" t="s">
        <v>170</v>
      </c>
      <c r="D3657" s="20">
        <v>0</v>
      </c>
      <c r="E3657" s="2" t="s">
        <v>838</v>
      </c>
      <c r="F3657" s="2" t="s">
        <v>793</v>
      </c>
      <c r="G3657" s="2" t="s">
        <v>3094</v>
      </c>
      <c r="H3657" s="2" t="s">
        <v>2312</v>
      </c>
      <c r="J3657" s="26"/>
      <c r="K3657" s="36">
        <v>1.40555E-3</v>
      </c>
      <c r="L3657" s="23">
        <v>3.5138999999999998E-4</v>
      </c>
    </row>
    <row r="3658" spans="1:12" ht="15.35" hidden="1" x14ac:dyDescent="0.55000000000000004">
      <c r="A3658" s="20">
        <v>17694</v>
      </c>
      <c r="B3658" s="2" t="s">
        <v>169</v>
      </c>
      <c r="C3658" s="2" t="s">
        <v>170</v>
      </c>
      <c r="D3658" s="20">
        <v>0</v>
      </c>
      <c r="E3658" s="2" t="s">
        <v>838</v>
      </c>
      <c r="F3658" s="2" t="s">
        <v>793</v>
      </c>
      <c r="G3658" s="2" t="s">
        <v>3095</v>
      </c>
      <c r="H3658" s="2" t="s">
        <v>2312</v>
      </c>
      <c r="J3658" s="26"/>
      <c r="K3658" s="36">
        <v>1.5084899999999999E-3</v>
      </c>
      <c r="L3658" s="23">
        <v>3.7711999999999999E-4</v>
      </c>
    </row>
    <row r="3659" spans="1:12" ht="15.35" hidden="1" x14ac:dyDescent="0.55000000000000004">
      <c r="A3659" s="20">
        <v>17147</v>
      </c>
      <c r="B3659" s="2" t="s">
        <v>169</v>
      </c>
      <c r="C3659" s="2" t="s">
        <v>170</v>
      </c>
      <c r="D3659" s="20">
        <v>0</v>
      </c>
      <c r="E3659" s="2" t="s">
        <v>838</v>
      </c>
      <c r="F3659" s="2" t="s">
        <v>793</v>
      </c>
      <c r="G3659" s="2" t="s">
        <v>3096</v>
      </c>
      <c r="H3659" s="2" t="s">
        <v>2312</v>
      </c>
      <c r="J3659" s="26"/>
      <c r="K3659" s="36">
        <v>2.5592900000000001E-3</v>
      </c>
      <c r="L3659" s="23">
        <v>6.3982000000000004E-4</v>
      </c>
    </row>
    <row r="3660" spans="1:12" ht="15.35" hidden="1" x14ac:dyDescent="0.55000000000000004">
      <c r="A3660" s="20">
        <v>17697</v>
      </c>
      <c r="B3660" s="2" t="s">
        <v>169</v>
      </c>
      <c r="C3660" s="2" t="s">
        <v>170</v>
      </c>
      <c r="D3660" s="20">
        <v>0</v>
      </c>
      <c r="E3660" s="2" t="s">
        <v>838</v>
      </c>
      <c r="F3660" s="2" t="s">
        <v>793</v>
      </c>
      <c r="G3660" s="2" t="s">
        <v>3815</v>
      </c>
      <c r="H3660" s="2" t="s">
        <v>2312</v>
      </c>
      <c r="J3660" s="26"/>
      <c r="K3660" s="36">
        <v>1.2214400000000001E-3</v>
      </c>
      <c r="L3660" s="23">
        <v>3.0536000000000002E-4</v>
      </c>
    </row>
    <row r="3661" spans="1:12" ht="15.35" hidden="1" x14ac:dyDescent="0.55000000000000004">
      <c r="A3661" s="20">
        <v>17108</v>
      </c>
      <c r="B3661" s="2" t="s">
        <v>169</v>
      </c>
      <c r="C3661" s="2" t="s">
        <v>170</v>
      </c>
      <c r="D3661" s="20">
        <v>0</v>
      </c>
      <c r="E3661" s="2" t="s">
        <v>838</v>
      </c>
      <c r="F3661" s="2" t="s">
        <v>793</v>
      </c>
      <c r="G3661" s="2" t="s">
        <v>3816</v>
      </c>
      <c r="H3661" s="2" t="s">
        <v>2312</v>
      </c>
      <c r="J3661" s="26"/>
      <c r="K3661" s="36">
        <v>6.6752999999999995E-4</v>
      </c>
      <c r="L3661" s="23">
        <v>1.6688E-4</v>
      </c>
    </row>
    <row r="3662" spans="1:12" ht="15.35" hidden="1" x14ac:dyDescent="0.55000000000000004">
      <c r="A3662" s="20">
        <v>17169</v>
      </c>
      <c r="B3662" s="2" t="s">
        <v>169</v>
      </c>
      <c r="C3662" s="2" t="s">
        <v>170</v>
      </c>
      <c r="D3662" s="20">
        <v>0</v>
      </c>
      <c r="E3662" s="2" t="s">
        <v>838</v>
      </c>
      <c r="F3662" s="2" t="s">
        <v>793</v>
      </c>
      <c r="G3662" s="2" t="s">
        <v>3097</v>
      </c>
      <c r="H3662" s="2" t="s">
        <v>2312</v>
      </c>
      <c r="J3662" s="26"/>
      <c r="K3662" s="36">
        <v>9.3430000000000005E-5</v>
      </c>
      <c r="L3662" s="23">
        <v>2.336E-5</v>
      </c>
    </row>
    <row r="3663" spans="1:12" ht="15.35" hidden="1" x14ac:dyDescent="0.55000000000000004">
      <c r="A3663" s="20">
        <v>17095</v>
      </c>
      <c r="B3663" s="2" t="s">
        <v>169</v>
      </c>
      <c r="C3663" s="2" t="s">
        <v>170</v>
      </c>
      <c r="D3663" s="20">
        <v>0</v>
      </c>
      <c r="E3663" s="2" t="s">
        <v>838</v>
      </c>
      <c r="F3663" s="2" t="s">
        <v>793</v>
      </c>
      <c r="G3663" s="2" t="s">
        <v>3100</v>
      </c>
      <c r="H3663" s="2" t="s">
        <v>1503</v>
      </c>
      <c r="J3663" s="26"/>
      <c r="K3663" s="36">
        <v>4.3550000000000001E-5</v>
      </c>
      <c r="L3663" s="23">
        <v>1.0890000000000001E-5</v>
      </c>
    </row>
    <row r="3664" spans="1:12" ht="15.35" hidden="1" x14ac:dyDescent="0.55000000000000004">
      <c r="A3664" s="20">
        <v>17116</v>
      </c>
      <c r="B3664" s="2" t="s">
        <v>169</v>
      </c>
      <c r="C3664" s="2" t="s">
        <v>170</v>
      </c>
      <c r="D3664" s="20">
        <v>0</v>
      </c>
      <c r="E3664" s="2" t="s">
        <v>838</v>
      </c>
      <c r="F3664" s="2" t="s">
        <v>793</v>
      </c>
      <c r="G3664" s="2" t="s">
        <v>3106</v>
      </c>
      <c r="H3664" s="2" t="s">
        <v>1503</v>
      </c>
      <c r="J3664" s="26"/>
      <c r="K3664" s="36">
        <v>8.7100000000000003E-5</v>
      </c>
      <c r="L3664" s="23">
        <v>2.1780000000000002E-5</v>
      </c>
    </row>
    <row r="3665" spans="1:12" ht="15.35" hidden="1" x14ac:dyDescent="0.55000000000000004">
      <c r="A3665" s="20">
        <v>17566</v>
      </c>
      <c r="B3665" s="2" t="s">
        <v>169</v>
      </c>
      <c r="C3665" s="2" t="s">
        <v>170</v>
      </c>
      <c r="D3665" s="20">
        <v>0</v>
      </c>
      <c r="E3665" s="2" t="s">
        <v>838</v>
      </c>
      <c r="F3665" s="2" t="s">
        <v>793</v>
      </c>
      <c r="G3665" s="2" t="s">
        <v>3107</v>
      </c>
      <c r="H3665" s="2" t="s">
        <v>1503</v>
      </c>
      <c r="J3665" s="26"/>
      <c r="K3665" s="36">
        <v>8.3139999999999993E-5</v>
      </c>
      <c r="L3665" s="23">
        <v>2.0780000000000001E-5</v>
      </c>
    </row>
    <row r="3666" spans="1:12" ht="15.35" hidden="1" x14ac:dyDescent="0.55000000000000004">
      <c r="A3666" s="20">
        <v>17365</v>
      </c>
      <c r="B3666" s="2" t="s">
        <v>169</v>
      </c>
      <c r="C3666" s="2" t="s">
        <v>170</v>
      </c>
      <c r="D3666" s="20">
        <v>0</v>
      </c>
      <c r="E3666" s="2" t="s">
        <v>838</v>
      </c>
      <c r="F3666" s="2" t="s">
        <v>793</v>
      </c>
      <c r="G3666" s="2" t="s">
        <v>3817</v>
      </c>
      <c r="H3666" s="2" t="s">
        <v>1503</v>
      </c>
      <c r="J3666" s="26"/>
      <c r="K3666" s="36">
        <v>8.3139999999999993E-5</v>
      </c>
      <c r="L3666" s="23">
        <v>2.0780000000000001E-5</v>
      </c>
    </row>
    <row r="3667" spans="1:12" ht="15.35" hidden="1" x14ac:dyDescent="0.55000000000000004">
      <c r="A3667" s="20">
        <v>16814</v>
      </c>
      <c r="B3667" s="2" t="s">
        <v>169</v>
      </c>
      <c r="C3667" s="2" t="s">
        <v>170</v>
      </c>
      <c r="D3667" s="20">
        <v>0</v>
      </c>
      <c r="E3667" s="2" t="s">
        <v>838</v>
      </c>
      <c r="F3667" s="2" t="s">
        <v>793</v>
      </c>
      <c r="G3667" s="2" t="s">
        <v>3818</v>
      </c>
      <c r="H3667" s="2" t="s">
        <v>1503</v>
      </c>
      <c r="J3667" s="26"/>
      <c r="K3667" s="36">
        <v>8.3139999999999993E-5</v>
      </c>
      <c r="L3667" s="23">
        <v>2.0780000000000001E-5</v>
      </c>
    </row>
    <row r="3668" spans="1:12" ht="15.35" hidden="1" x14ac:dyDescent="0.55000000000000004">
      <c r="A3668" s="20">
        <v>17164</v>
      </c>
      <c r="B3668" s="2" t="s">
        <v>169</v>
      </c>
      <c r="C3668" s="2" t="s">
        <v>170</v>
      </c>
      <c r="D3668" s="20">
        <v>0</v>
      </c>
      <c r="E3668" s="2" t="s">
        <v>838</v>
      </c>
      <c r="F3668" s="2" t="s">
        <v>793</v>
      </c>
      <c r="G3668" s="2" t="s">
        <v>3819</v>
      </c>
      <c r="H3668" s="2" t="s">
        <v>1503</v>
      </c>
      <c r="J3668" s="26"/>
      <c r="K3668" s="36">
        <v>7.1260000000000006E-5</v>
      </c>
      <c r="L3668" s="23">
        <v>1.7819999999999999E-5</v>
      </c>
    </row>
    <row r="3669" spans="1:12" ht="15.35" hidden="1" x14ac:dyDescent="0.55000000000000004">
      <c r="A3669" s="20">
        <v>16992</v>
      </c>
      <c r="B3669" s="2" t="s">
        <v>169</v>
      </c>
      <c r="C3669" s="2" t="s">
        <v>170</v>
      </c>
      <c r="D3669" s="20">
        <v>0</v>
      </c>
      <c r="E3669" s="2" t="s">
        <v>838</v>
      </c>
      <c r="F3669" s="2" t="s">
        <v>793</v>
      </c>
      <c r="G3669" s="2" t="s">
        <v>3820</v>
      </c>
      <c r="H3669" s="2" t="s">
        <v>1503</v>
      </c>
      <c r="J3669" s="26"/>
      <c r="K3669" s="36">
        <v>6.334E-5</v>
      </c>
      <c r="L3669" s="23">
        <v>1.5840000000000001E-5</v>
      </c>
    </row>
    <row r="3670" spans="1:12" ht="15.35" hidden="1" x14ac:dyDescent="0.55000000000000004">
      <c r="A3670" s="20">
        <v>17430</v>
      </c>
      <c r="B3670" s="2" t="s">
        <v>169</v>
      </c>
      <c r="C3670" s="2" t="s">
        <v>170</v>
      </c>
      <c r="D3670" s="20">
        <v>0</v>
      </c>
      <c r="E3670" s="2" t="s">
        <v>838</v>
      </c>
      <c r="F3670" s="2" t="s">
        <v>793</v>
      </c>
      <c r="G3670" s="2" t="s">
        <v>3821</v>
      </c>
      <c r="H3670" s="2" t="s">
        <v>1506</v>
      </c>
      <c r="J3670" s="26"/>
      <c r="K3670" s="36">
        <v>6.334E-5</v>
      </c>
      <c r="L3670" s="23">
        <v>1.5840000000000001E-5</v>
      </c>
    </row>
    <row r="3671" spans="1:12" ht="15.35" hidden="1" x14ac:dyDescent="0.55000000000000004">
      <c r="A3671" s="20">
        <v>17385</v>
      </c>
      <c r="B3671" s="2" t="s">
        <v>169</v>
      </c>
      <c r="C3671" s="2" t="s">
        <v>170</v>
      </c>
      <c r="D3671" s="20">
        <v>0</v>
      </c>
      <c r="E3671" s="2" t="s">
        <v>838</v>
      </c>
      <c r="F3671" s="2" t="s">
        <v>793</v>
      </c>
      <c r="G3671" s="2" t="s">
        <v>3108</v>
      </c>
      <c r="H3671" s="2" t="s">
        <v>1506</v>
      </c>
      <c r="J3671" s="26"/>
      <c r="K3671" s="36">
        <v>4.7509999999999997E-5</v>
      </c>
      <c r="L3671" s="23">
        <v>1.188E-5</v>
      </c>
    </row>
    <row r="3672" spans="1:12" ht="15.35" hidden="1" x14ac:dyDescent="0.55000000000000004">
      <c r="A3672" s="20">
        <v>17560</v>
      </c>
      <c r="B3672" s="2" t="s">
        <v>169</v>
      </c>
      <c r="C3672" s="2" t="s">
        <v>170</v>
      </c>
      <c r="D3672" s="20">
        <v>0</v>
      </c>
      <c r="E3672" s="2" t="s">
        <v>838</v>
      </c>
      <c r="F3672" s="2" t="s">
        <v>793</v>
      </c>
      <c r="G3672" s="2" t="s">
        <v>3109</v>
      </c>
      <c r="H3672" s="2" t="s">
        <v>1506</v>
      </c>
      <c r="J3672" s="26"/>
      <c r="K3672" s="36">
        <v>4.7509999999999997E-5</v>
      </c>
      <c r="L3672" s="23">
        <v>1.188E-5</v>
      </c>
    </row>
    <row r="3673" spans="1:12" ht="15.35" hidden="1" x14ac:dyDescent="0.55000000000000004">
      <c r="A3673" s="20">
        <v>17407</v>
      </c>
      <c r="B3673" s="2" t="s">
        <v>169</v>
      </c>
      <c r="C3673" s="2" t="s">
        <v>170</v>
      </c>
      <c r="D3673" s="20">
        <v>0</v>
      </c>
      <c r="E3673" s="2" t="s">
        <v>838</v>
      </c>
      <c r="F3673" s="2" t="s">
        <v>793</v>
      </c>
      <c r="G3673" s="2" t="s">
        <v>3110</v>
      </c>
      <c r="H3673" s="2" t="s">
        <v>1506</v>
      </c>
      <c r="J3673" s="26"/>
      <c r="K3673" s="36">
        <v>6.334E-5</v>
      </c>
      <c r="L3673" s="23">
        <v>1.5840000000000001E-5</v>
      </c>
    </row>
    <row r="3674" spans="1:12" ht="15.35" hidden="1" x14ac:dyDescent="0.55000000000000004">
      <c r="A3674" s="20">
        <v>16998</v>
      </c>
      <c r="B3674" s="2" t="s">
        <v>169</v>
      </c>
      <c r="C3674" s="2" t="s">
        <v>170</v>
      </c>
      <c r="D3674" s="20">
        <v>0</v>
      </c>
      <c r="E3674" s="2" t="s">
        <v>838</v>
      </c>
      <c r="F3674" s="2" t="s">
        <v>793</v>
      </c>
      <c r="G3674" s="2" t="s">
        <v>3822</v>
      </c>
      <c r="H3674" s="2" t="s">
        <v>1506</v>
      </c>
      <c r="J3674" s="26"/>
      <c r="K3674" s="36">
        <v>6.334E-5</v>
      </c>
      <c r="L3674" s="23">
        <v>1.5840000000000001E-5</v>
      </c>
    </row>
    <row r="3675" spans="1:12" ht="15.35" hidden="1" x14ac:dyDescent="0.55000000000000004">
      <c r="A3675" s="20">
        <v>17498</v>
      </c>
      <c r="B3675" s="2" t="s">
        <v>169</v>
      </c>
      <c r="C3675" s="2" t="s">
        <v>170</v>
      </c>
      <c r="D3675" s="20">
        <v>0</v>
      </c>
      <c r="E3675" s="2" t="s">
        <v>838</v>
      </c>
      <c r="F3675" s="2" t="s">
        <v>793</v>
      </c>
      <c r="G3675" s="2" t="s">
        <v>3823</v>
      </c>
      <c r="H3675" s="2" t="s">
        <v>1506</v>
      </c>
      <c r="J3675" s="26"/>
      <c r="K3675" s="36">
        <v>6.334E-5</v>
      </c>
      <c r="L3675" s="23">
        <v>1.5840000000000001E-5</v>
      </c>
    </row>
    <row r="3676" spans="1:12" ht="15.35" hidden="1" x14ac:dyDescent="0.55000000000000004">
      <c r="A3676" s="20">
        <v>17505</v>
      </c>
      <c r="B3676" s="2" t="s">
        <v>169</v>
      </c>
      <c r="C3676" s="2" t="s">
        <v>170</v>
      </c>
      <c r="D3676" s="20">
        <v>0</v>
      </c>
      <c r="E3676" s="2" t="s">
        <v>838</v>
      </c>
      <c r="F3676" s="2" t="s">
        <v>793</v>
      </c>
      <c r="G3676" s="2" t="s">
        <v>3824</v>
      </c>
      <c r="H3676" s="2" t="s">
        <v>1506</v>
      </c>
      <c r="J3676" s="26"/>
      <c r="K3676" s="36">
        <v>5.147E-5</v>
      </c>
      <c r="L3676" s="23">
        <v>1.287E-5</v>
      </c>
    </row>
    <row r="3677" spans="1:12" ht="15.35" hidden="1" x14ac:dyDescent="0.55000000000000004">
      <c r="A3677" s="20">
        <v>17114</v>
      </c>
      <c r="B3677" s="2" t="s">
        <v>169</v>
      </c>
      <c r="C3677" s="2" t="s">
        <v>170</v>
      </c>
      <c r="D3677" s="20">
        <v>0</v>
      </c>
      <c r="E3677" s="2" t="s">
        <v>838</v>
      </c>
      <c r="F3677" s="2" t="s">
        <v>793</v>
      </c>
      <c r="G3677" s="2" t="s">
        <v>3115</v>
      </c>
      <c r="H3677" s="2" t="s">
        <v>1506</v>
      </c>
      <c r="J3677" s="26"/>
      <c r="K3677" s="36">
        <v>3.9589999999999999E-5</v>
      </c>
      <c r="L3677" s="23">
        <v>9.9000000000000001E-6</v>
      </c>
    </row>
    <row r="3678" spans="1:12" ht="15.35" hidden="1" x14ac:dyDescent="0.55000000000000004">
      <c r="A3678" s="20">
        <v>17470</v>
      </c>
      <c r="B3678" s="2" t="s">
        <v>169</v>
      </c>
      <c r="C3678" s="2" t="s">
        <v>170</v>
      </c>
      <c r="D3678" s="20">
        <v>0</v>
      </c>
      <c r="E3678" s="2" t="s">
        <v>838</v>
      </c>
      <c r="F3678" s="2" t="s">
        <v>793</v>
      </c>
      <c r="G3678" s="2" t="s">
        <v>3825</v>
      </c>
      <c r="H3678" s="2" t="s">
        <v>1506</v>
      </c>
      <c r="J3678" s="26"/>
      <c r="K3678" s="36">
        <v>3.9589999999999999E-5</v>
      </c>
      <c r="L3678" s="23">
        <v>9.9000000000000001E-6</v>
      </c>
    </row>
    <row r="3679" spans="1:12" ht="15.35" hidden="1" x14ac:dyDescent="0.55000000000000004">
      <c r="A3679" s="20">
        <v>17182</v>
      </c>
      <c r="B3679" s="2" t="s">
        <v>169</v>
      </c>
      <c r="C3679" s="2" t="s">
        <v>170</v>
      </c>
      <c r="D3679" s="20">
        <v>0</v>
      </c>
      <c r="E3679" s="2" t="s">
        <v>838</v>
      </c>
      <c r="F3679" s="2" t="s">
        <v>793</v>
      </c>
      <c r="G3679" s="2" t="s">
        <v>3117</v>
      </c>
      <c r="H3679" s="2" t="s">
        <v>1506</v>
      </c>
      <c r="J3679" s="26"/>
      <c r="K3679" s="36">
        <v>3.9589999999999999E-5</v>
      </c>
      <c r="L3679" s="23">
        <v>9.9000000000000001E-6</v>
      </c>
    </row>
    <row r="3680" spans="1:12" ht="15.35" hidden="1" x14ac:dyDescent="0.55000000000000004">
      <c r="A3680" s="20">
        <v>16932</v>
      </c>
      <c r="B3680" s="2" t="s">
        <v>169</v>
      </c>
      <c r="C3680" s="2" t="s">
        <v>170</v>
      </c>
      <c r="D3680" s="20">
        <v>0</v>
      </c>
      <c r="E3680" s="2" t="s">
        <v>838</v>
      </c>
      <c r="F3680" s="2" t="s">
        <v>793</v>
      </c>
      <c r="G3680" s="2" t="s">
        <v>3118</v>
      </c>
      <c r="H3680" s="2" t="s">
        <v>1506</v>
      </c>
      <c r="J3680" s="26"/>
      <c r="K3680" s="36">
        <v>3.9589999999999999E-5</v>
      </c>
      <c r="L3680" s="23">
        <v>9.9000000000000001E-6</v>
      </c>
    </row>
    <row r="3681" spans="1:12" ht="15.35" hidden="1" x14ac:dyDescent="0.55000000000000004">
      <c r="A3681" s="20">
        <v>17503</v>
      </c>
      <c r="B3681" s="2" t="s">
        <v>169</v>
      </c>
      <c r="C3681" s="2" t="s">
        <v>170</v>
      </c>
      <c r="D3681" s="20">
        <v>0</v>
      </c>
      <c r="E3681" s="2" t="s">
        <v>838</v>
      </c>
      <c r="F3681" s="2" t="s">
        <v>793</v>
      </c>
      <c r="G3681" s="2" t="s">
        <v>3826</v>
      </c>
      <c r="H3681" s="2" t="s">
        <v>1506</v>
      </c>
      <c r="J3681" s="26"/>
      <c r="K3681" s="36">
        <v>3.9589999999999999E-5</v>
      </c>
      <c r="L3681" s="23">
        <v>9.9000000000000001E-6</v>
      </c>
    </row>
    <row r="3682" spans="1:12" ht="15.35" hidden="1" x14ac:dyDescent="0.55000000000000004">
      <c r="A3682" s="20">
        <v>17547</v>
      </c>
      <c r="B3682" s="2" t="s">
        <v>169</v>
      </c>
      <c r="C3682" s="2" t="s">
        <v>170</v>
      </c>
      <c r="D3682" s="20">
        <v>0</v>
      </c>
      <c r="E3682" s="2" t="s">
        <v>838</v>
      </c>
      <c r="F3682" s="2" t="s">
        <v>793</v>
      </c>
      <c r="G3682" s="2" t="s">
        <v>3121</v>
      </c>
      <c r="H3682" s="2" t="s">
        <v>1506</v>
      </c>
      <c r="J3682" s="26"/>
      <c r="K3682" s="36">
        <v>8.7100000000000003E-5</v>
      </c>
      <c r="L3682" s="23">
        <v>2.1780000000000002E-5</v>
      </c>
    </row>
    <row r="3683" spans="1:12" ht="15.35" hidden="1" x14ac:dyDescent="0.55000000000000004">
      <c r="A3683" s="20">
        <v>17487</v>
      </c>
      <c r="B3683" s="2" t="s">
        <v>169</v>
      </c>
      <c r="C3683" s="2" t="s">
        <v>170</v>
      </c>
      <c r="D3683" s="20">
        <v>0</v>
      </c>
      <c r="E3683" s="2" t="s">
        <v>838</v>
      </c>
      <c r="F3683" s="2" t="s">
        <v>793</v>
      </c>
      <c r="G3683" s="2" t="s">
        <v>3827</v>
      </c>
      <c r="H3683" s="2" t="s">
        <v>1506</v>
      </c>
      <c r="J3683" s="26"/>
      <c r="K3683" s="36">
        <v>8.7100000000000003E-5</v>
      </c>
      <c r="L3683" s="23">
        <v>2.1780000000000002E-5</v>
      </c>
    </row>
    <row r="3684" spans="1:12" ht="15.35" hidden="1" x14ac:dyDescent="0.55000000000000004">
      <c r="A3684" s="20">
        <v>16986</v>
      </c>
      <c r="B3684" s="2" t="s">
        <v>169</v>
      </c>
      <c r="C3684" s="2" t="s">
        <v>170</v>
      </c>
      <c r="D3684" s="20">
        <v>0</v>
      </c>
      <c r="E3684" s="2" t="s">
        <v>838</v>
      </c>
      <c r="F3684" s="2" t="s">
        <v>793</v>
      </c>
      <c r="G3684" s="2" t="s">
        <v>3126</v>
      </c>
      <c r="H3684" s="2" t="s">
        <v>1506</v>
      </c>
      <c r="J3684" s="26"/>
      <c r="K3684" s="36">
        <v>7.1260000000000006E-5</v>
      </c>
      <c r="L3684" s="23">
        <v>1.7819999999999999E-5</v>
      </c>
    </row>
    <row r="3685" spans="1:12" ht="15.35" hidden="1" x14ac:dyDescent="0.55000000000000004">
      <c r="A3685" s="20">
        <v>17102</v>
      </c>
      <c r="B3685" s="2" t="s">
        <v>169</v>
      </c>
      <c r="C3685" s="2" t="s">
        <v>170</v>
      </c>
      <c r="D3685" s="20">
        <v>0</v>
      </c>
      <c r="E3685" s="2" t="s">
        <v>838</v>
      </c>
      <c r="F3685" s="2" t="s">
        <v>793</v>
      </c>
      <c r="G3685" s="2" t="s">
        <v>3127</v>
      </c>
      <c r="H3685" s="2" t="s">
        <v>1506</v>
      </c>
      <c r="J3685" s="26"/>
      <c r="K3685" s="36">
        <v>7.9179999999999997E-5</v>
      </c>
      <c r="L3685" s="23">
        <v>1.9789999999999999E-5</v>
      </c>
    </row>
    <row r="3686" spans="1:12" ht="15.35" hidden="1" x14ac:dyDescent="0.55000000000000004">
      <c r="A3686" s="20">
        <v>17425</v>
      </c>
      <c r="B3686" s="2" t="s">
        <v>169</v>
      </c>
      <c r="C3686" s="2" t="s">
        <v>170</v>
      </c>
      <c r="D3686" s="20">
        <v>0</v>
      </c>
      <c r="E3686" s="2" t="s">
        <v>838</v>
      </c>
      <c r="F3686" s="2" t="s">
        <v>793</v>
      </c>
      <c r="G3686" s="2" t="s">
        <v>3128</v>
      </c>
      <c r="H3686" s="2" t="s">
        <v>1506</v>
      </c>
      <c r="J3686" s="26"/>
      <c r="K3686" s="36">
        <v>6.7299999999999996E-5</v>
      </c>
      <c r="L3686" s="23">
        <v>1.6820000000000002E-5</v>
      </c>
    </row>
    <row r="3687" spans="1:12" ht="15.35" hidden="1" x14ac:dyDescent="0.55000000000000004">
      <c r="A3687" s="20">
        <v>17468</v>
      </c>
      <c r="B3687" s="2" t="s">
        <v>169</v>
      </c>
      <c r="C3687" s="2" t="s">
        <v>170</v>
      </c>
      <c r="D3687" s="20">
        <v>0</v>
      </c>
      <c r="E3687" s="2" t="s">
        <v>838</v>
      </c>
      <c r="F3687" s="2" t="s">
        <v>793</v>
      </c>
      <c r="G3687" s="2" t="s">
        <v>3129</v>
      </c>
      <c r="H3687" s="2" t="s">
        <v>1506</v>
      </c>
      <c r="J3687" s="26"/>
      <c r="K3687" s="36">
        <v>7.9179999999999997E-5</v>
      </c>
      <c r="L3687" s="23">
        <v>1.9789999999999999E-5</v>
      </c>
    </row>
    <row r="3688" spans="1:12" ht="15.35" hidden="1" x14ac:dyDescent="0.55000000000000004">
      <c r="A3688" s="20">
        <v>17366</v>
      </c>
      <c r="B3688" s="2" t="s">
        <v>169</v>
      </c>
      <c r="C3688" s="2" t="s">
        <v>170</v>
      </c>
      <c r="D3688" s="20">
        <v>0</v>
      </c>
      <c r="E3688" s="2" t="s">
        <v>838</v>
      </c>
      <c r="F3688" s="2" t="s">
        <v>793</v>
      </c>
      <c r="G3688" s="2" t="s">
        <v>3130</v>
      </c>
      <c r="H3688" s="2" t="s">
        <v>1506</v>
      </c>
      <c r="J3688" s="26"/>
      <c r="K3688" s="36">
        <v>7.5220000000000001E-5</v>
      </c>
      <c r="L3688" s="23">
        <v>1.8810000000000001E-5</v>
      </c>
    </row>
    <row r="3689" spans="1:12" ht="15.35" hidden="1" x14ac:dyDescent="0.55000000000000004">
      <c r="A3689" s="20">
        <v>17680</v>
      </c>
      <c r="B3689" s="2" t="s">
        <v>169</v>
      </c>
      <c r="C3689" s="2" t="s">
        <v>170</v>
      </c>
      <c r="D3689" s="20">
        <v>0</v>
      </c>
      <c r="E3689" s="2" t="s">
        <v>838</v>
      </c>
      <c r="F3689" s="2" t="s">
        <v>793</v>
      </c>
      <c r="G3689" s="2" t="s">
        <v>3131</v>
      </c>
      <c r="H3689" s="2" t="s">
        <v>1506</v>
      </c>
      <c r="J3689" s="26"/>
      <c r="K3689" s="36">
        <v>6.334E-5</v>
      </c>
      <c r="L3689" s="23">
        <v>1.5840000000000001E-5</v>
      </c>
    </row>
    <row r="3690" spans="1:12" ht="15.35" hidden="1" x14ac:dyDescent="0.55000000000000004">
      <c r="A3690" s="20">
        <v>17400</v>
      </c>
      <c r="B3690" s="2" t="s">
        <v>169</v>
      </c>
      <c r="C3690" s="2" t="s">
        <v>170</v>
      </c>
      <c r="D3690" s="20">
        <v>0</v>
      </c>
      <c r="E3690" s="2" t="s">
        <v>838</v>
      </c>
      <c r="F3690" s="2" t="s">
        <v>793</v>
      </c>
      <c r="G3690" s="2" t="s">
        <v>3132</v>
      </c>
      <c r="H3690" s="2" t="s">
        <v>1506</v>
      </c>
      <c r="J3690" s="26"/>
      <c r="K3690" s="36">
        <v>6.334E-5</v>
      </c>
      <c r="L3690" s="23">
        <v>1.5840000000000001E-5</v>
      </c>
    </row>
    <row r="3691" spans="1:12" ht="15.35" hidden="1" x14ac:dyDescent="0.55000000000000004">
      <c r="A3691" s="20">
        <v>17573</v>
      </c>
      <c r="B3691" s="2" t="s">
        <v>169</v>
      </c>
      <c r="C3691" s="2" t="s">
        <v>170</v>
      </c>
      <c r="D3691" s="20">
        <v>0</v>
      </c>
      <c r="E3691" s="2" t="s">
        <v>838</v>
      </c>
      <c r="F3691" s="2" t="s">
        <v>793</v>
      </c>
      <c r="G3691" s="2" t="s">
        <v>3828</v>
      </c>
      <c r="H3691" s="2" t="s">
        <v>1506</v>
      </c>
      <c r="J3691" s="26"/>
      <c r="K3691" s="36">
        <v>8.3139999999999993E-5</v>
      </c>
      <c r="L3691" s="23">
        <v>2.0780000000000001E-5</v>
      </c>
    </row>
    <row r="3692" spans="1:12" ht="15.35" hidden="1" x14ac:dyDescent="0.55000000000000004">
      <c r="A3692" s="20">
        <v>17620</v>
      </c>
      <c r="B3692" s="2" t="s">
        <v>169</v>
      </c>
      <c r="C3692" s="2" t="s">
        <v>170</v>
      </c>
      <c r="D3692" s="20">
        <v>0</v>
      </c>
      <c r="E3692" s="2" t="s">
        <v>838</v>
      </c>
      <c r="F3692" s="2" t="s">
        <v>793</v>
      </c>
      <c r="G3692" s="2" t="s">
        <v>3829</v>
      </c>
      <c r="H3692" s="2" t="s">
        <v>1506</v>
      </c>
      <c r="J3692" s="26"/>
      <c r="K3692" s="36">
        <v>8.7100000000000003E-5</v>
      </c>
      <c r="L3692" s="23">
        <v>2.1780000000000002E-5</v>
      </c>
    </row>
    <row r="3693" spans="1:12" ht="15.35" hidden="1" x14ac:dyDescent="0.55000000000000004">
      <c r="A3693" s="20">
        <v>16902</v>
      </c>
      <c r="B3693" s="2" t="s">
        <v>169</v>
      </c>
      <c r="C3693" s="2" t="s">
        <v>170</v>
      </c>
      <c r="D3693" s="20">
        <v>0</v>
      </c>
      <c r="E3693" s="2" t="s">
        <v>838</v>
      </c>
      <c r="F3693" s="2" t="s">
        <v>793</v>
      </c>
      <c r="G3693" s="2" t="s">
        <v>3830</v>
      </c>
      <c r="H3693" s="2" t="s">
        <v>1506</v>
      </c>
      <c r="J3693" s="26"/>
      <c r="K3693" s="36">
        <v>7.9179999999999997E-5</v>
      </c>
      <c r="L3693" s="23">
        <v>1.9789999999999999E-5</v>
      </c>
    </row>
    <row r="3694" spans="1:12" ht="15.35" hidden="1" x14ac:dyDescent="0.55000000000000004">
      <c r="A3694" s="20">
        <v>17082</v>
      </c>
      <c r="B3694" s="2" t="s">
        <v>169</v>
      </c>
      <c r="C3694" s="2" t="s">
        <v>170</v>
      </c>
      <c r="D3694" s="20">
        <v>0</v>
      </c>
      <c r="E3694" s="2" t="s">
        <v>838</v>
      </c>
      <c r="F3694" s="2" t="s">
        <v>793</v>
      </c>
      <c r="G3694" s="2" t="s">
        <v>3831</v>
      </c>
      <c r="H3694" s="2" t="s">
        <v>1506</v>
      </c>
      <c r="J3694" s="26"/>
      <c r="K3694" s="36">
        <v>8.3139999999999993E-5</v>
      </c>
      <c r="L3694" s="23">
        <v>2.0780000000000001E-5</v>
      </c>
    </row>
    <row r="3695" spans="1:12" ht="15.35" hidden="1" x14ac:dyDescent="0.55000000000000004">
      <c r="A3695" s="20">
        <v>17046</v>
      </c>
      <c r="B3695" s="2" t="s">
        <v>169</v>
      </c>
      <c r="C3695" s="2" t="s">
        <v>170</v>
      </c>
      <c r="D3695" s="20">
        <v>0</v>
      </c>
      <c r="E3695" s="2" t="s">
        <v>838</v>
      </c>
      <c r="F3695" s="2" t="s">
        <v>793</v>
      </c>
      <c r="G3695" s="2" t="s">
        <v>3832</v>
      </c>
      <c r="H3695" s="2" t="s">
        <v>1506</v>
      </c>
      <c r="J3695" s="26"/>
      <c r="K3695" s="36">
        <v>7.9179999999999997E-5</v>
      </c>
      <c r="L3695" s="23">
        <v>1.9789999999999999E-5</v>
      </c>
    </row>
    <row r="3696" spans="1:12" ht="15.35" hidden="1" x14ac:dyDescent="0.55000000000000004">
      <c r="A3696" s="20">
        <v>17388</v>
      </c>
      <c r="B3696" s="2" t="s">
        <v>169</v>
      </c>
      <c r="C3696" s="2" t="s">
        <v>170</v>
      </c>
      <c r="D3696" s="20">
        <v>0</v>
      </c>
      <c r="E3696" s="2" t="s">
        <v>838</v>
      </c>
      <c r="F3696" s="2" t="s">
        <v>793</v>
      </c>
      <c r="G3696" s="2" t="s">
        <v>3833</v>
      </c>
      <c r="H3696" s="2" t="s">
        <v>1506</v>
      </c>
      <c r="J3696" s="26"/>
      <c r="K3696" s="36">
        <v>6.334E-5</v>
      </c>
      <c r="L3696" s="23">
        <v>1.5840000000000001E-5</v>
      </c>
    </row>
    <row r="3697" spans="1:12" ht="15.35" hidden="1" x14ac:dyDescent="0.55000000000000004">
      <c r="A3697" s="20">
        <v>17354</v>
      </c>
      <c r="B3697" s="2" t="s">
        <v>169</v>
      </c>
      <c r="C3697" s="2" t="s">
        <v>170</v>
      </c>
      <c r="D3697" s="20">
        <v>0</v>
      </c>
      <c r="E3697" s="2" t="s">
        <v>838</v>
      </c>
      <c r="F3697" s="2" t="s">
        <v>793</v>
      </c>
      <c r="G3697" s="2" t="s">
        <v>3134</v>
      </c>
      <c r="H3697" s="2" t="s">
        <v>1506</v>
      </c>
      <c r="J3697" s="26"/>
      <c r="K3697" s="36">
        <v>6.334E-5</v>
      </c>
      <c r="L3697" s="23">
        <v>1.5840000000000001E-5</v>
      </c>
    </row>
    <row r="3698" spans="1:12" ht="15.35" hidden="1" x14ac:dyDescent="0.55000000000000004">
      <c r="A3698" s="20">
        <v>17599</v>
      </c>
      <c r="B3698" s="2" t="s">
        <v>169</v>
      </c>
      <c r="C3698" s="2" t="s">
        <v>170</v>
      </c>
      <c r="D3698" s="20">
        <v>0</v>
      </c>
      <c r="E3698" s="2" t="s">
        <v>838</v>
      </c>
      <c r="F3698" s="2" t="s">
        <v>811</v>
      </c>
      <c r="G3698" s="2" t="s">
        <v>3834</v>
      </c>
      <c r="H3698" s="2" t="s">
        <v>3136</v>
      </c>
      <c r="J3698" s="26"/>
      <c r="K3698" s="36">
        <v>5.5430000000000003E-5</v>
      </c>
      <c r="L3698" s="23">
        <v>1.3859999999999999E-5</v>
      </c>
    </row>
    <row r="3699" spans="1:12" ht="15.35" hidden="1" x14ac:dyDescent="0.55000000000000004">
      <c r="A3699" s="20">
        <v>17028</v>
      </c>
      <c r="B3699" s="2" t="s">
        <v>169</v>
      </c>
      <c r="C3699" s="2" t="s">
        <v>170</v>
      </c>
      <c r="D3699" s="20">
        <v>0</v>
      </c>
      <c r="E3699" s="2" t="s">
        <v>838</v>
      </c>
      <c r="F3699" s="2" t="s">
        <v>793</v>
      </c>
      <c r="G3699" s="2" t="s">
        <v>3835</v>
      </c>
      <c r="H3699" s="2" t="s">
        <v>3136</v>
      </c>
      <c r="J3699" s="26"/>
      <c r="K3699" s="36">
        <v>5.147E-5</v>
      </c>
      <c r="L3699" s="23">
        <v>1.287E-5</v>
      </c>
    </row>
    <row r="3700" spans="1:12" ht="15.35" hidden="1" x14ac:dyDescent="0.55000000000000004">
      <c r="A3700" s="20">
        <v>17213</v>
      </c>
      <c r="B3700" s="2" t="s">
        <v>169</v>
      </c>
      <c r="C3700" s="2" t="s">
        <v>170</v>
      </c>
      <c r="D3700" s="20">
        <v>0</v>
      </c>
      <c r="E3700" s="2" t="s">
        <v>838</v>
      </c>
      <c r="F3700" s="2" t="s">
        <v>793</v>
      </c>
      <c r="G3700" s="2" t="s">
        <v>3836</v>
      </c>
      <c r="H3700" s="2" t="s">
        <v>3136</v>
      </c>
      <c r="J3700" s="26"/>
      <c r="K3700" s="36">
        <v>5.147E-5</v>
      </c>
      <c r="L3700" s="23">
        <v>1.287E-5</v>
      </c>
    </row>
    <row r="3701" spans="1:12" ht="15.35" hidden="1" x14ac:dyDescent="0.55000000000000004">
      <c r="A3701" s="20">
        <v>17489</v>
      </c>
      <c r="B3701" s="2" t="s">
        <v>169</v>
      </c>
      <c r="C3701" s="2" t="s">
        <v>170</v>
      </c>
      <c r="D3701" s="20">
        <v>0</v>
      </c>
      <c r="E3701" s="2" t="s">
        <v>838</v>
      </c>
      <c r="F3701" s="2" t="s">
        <v>793</v>
      </c>
      <c r="G3701" s="2" t="s">
        <v>3837</v>
      </c>
      <c r="H3701" s="2" t="s">
        <v>3136</v>
      </c>
      <c r="J3701" s="26"/>
      <c r="K3701" s="36">
        <v>5.147E-5</v>
      </c>
      <c r="L3701" s="23">
        <v>1.287E-5</v>
      </c>
    </row>
    <row r="3702" spans="1:12" ht="15.35" hidden="1" x14ac:dyDescent="0.55000000000000004">
      <c r="A3702" s="20">
        <v>17580</v>
      </c>
      <c r="B3702" s="2" t="s">
        <v>169</v>
      </c>
      <c r="C3702" s="2" t="s">
        <v>170</v>
      </c>
      <c r="D3702" s="20">
        <v>0</v>
      </c>
      <c r="E3702" s="2" t="s">
        <v>838</v>
      </c>
      <c r="F3702" s="2" t="s">
        <v>793</v>
      </c>
      <c r="G3702" s="2" t="s">
        <v>3838</v>
      </c>
      <c r="H3702" s="2" t="s">
        <v>3136</v>
      </c>
      <c r="J3702" s="26"/>
      <c r="K3702" s="36">
        <v>5.147E-5</v>
      </c>
      <c r="L3702" s="23">
        <v>1.287E-5</v>
      </c>
    </row>
    <row r="3703" spans="1:12" ht="15.35" hidden="1" x14ac:dyDescent="0.55000000000000004">
      <c r="A3703" s="20">
        <v>16945</v>
      </c>
      <c r="B3703" s="2" t="s">
        <v>169</v>
      </c>
      <c r="C3703" s="2" t="s">
        <v>170</v>
      </c>
      <c r="D3703" s="20">
        <v>0</v>
      </c>
      <c r="E3703" s="2" t="s">
        <v>838</v>
      </c>
      <c r="F3703" s="2" t="s">
        <v>793</v>
      </c>
      <c r="G3703" s="2" t="s">
        <v>3839</v>
      </c>
      <c r="H3703" s="2" t="s">
        <v>3136</v>
      </c>
      <c r="J3703" s="26"/>
      <c r="K3703" s="36">
        <v>5.5430000000000003E-5</v>
      </c>
      <c r="L3703" s="23">
        <v>1.3859999999999999E-5</v>
      </c>
    </row>
    <row r="3704" spans="1:12" ht="15.35" hidden="1" x14ac:dyDescent="0.55000000000000004">
      <c r="A3704" s="20">
        <v>17403</v>
      </c>
      <c r="B3704" s="2" t="s">
        <v>169</v>
      </c>
      <c r="C3704" s="2" t="s">
        <v>170</v>
      </c>
      <c r="D3704" s="20">
        <v>0</v>
      </c>
      <c r="E3704" s="2" t="s">
        <v>838</v>
      </c>
      <c r="F3704" s="2" t="s">
        <v>793</v>
      </c>
      <c r="G3704" s="2" t="s">
        <v>3142</v>
      </c>
      <c r="H3704" s="2" t="s">
        <v>1506</v>
      </c>
      <c r="J3704" s="26"/>
      <c r="K3704" s="36">
        <v>4.3550000000000001E-5</v>
      </c>
      <c r="L3704" s="23">
        <v>1.0890000000000001E-5</v>
      </c>
    </row>
    <row r="3705" spans="1:12" ht="15.35" hidden="1" x14ac:dyDescent="0.55000000000000004">
      <c r="A3705" s="20">
        <v>17411</v>
      </c>
      <c r="B3705" s="2" t="s">
        <v>169</v>
      </c>
      <c r="C3705" s="2" t="s">
        <v>170</v>
      </c>
      <c r="D3705" s="20">
        <v>0</v>
      </c>
      <c r="E3705" s="2" t="s">
        <v>838</v>
      </c>
      <c r="F3705" s="2" t="s">
        <v>793</v>
      </c>
      <c r="G3705" s="2" t="s">
        <v>3840</v>
      </c>
      <c r="H3705" s="2" t="s">
        <v>1506</v>
      </c>
      <c r="J3705" s="26"/>
      <c r="K3705" s="36">
        <v>6.334E-5</v>
      </c>
      <c r="L3705" s="23">
        <v>1.5840000000000001E-5</v>
      </c>
    </row>
    <row r="3706" spans="1:12" ht="15.35" hidden="1" x14ac:dyDescent="0.55000000000000004">
      <c r="A3706" s="20">
        <v>17123</v>
      </c>
      <c r="B3706" s="2" t="s">
        <v>169</v>
      </c>
      <c r="C3706" s="2" t="s">
        <v>170</v>
      </c>
      <c r="D3706" s="20">
        <v>0</v>
      </c>
      <c r="E3706" s="2" t="s">
        <v>838</v>
      </c>
      <c r="F3706" s="2" t="s">
        <v>793</v>
      </c>
      <c r="G3706" s="2" t="s">
        <v>3841</v>
      </c>
      <c r="H3706" s="2" t="s">
        <v>1506</v>
      </c>
      <c r="J3706" s="26"/>
      <c r="K3706" s="36">
        <v>6.334E-5</v>
      </c>
      <c r="L3706" s="23">
        <v>1.5840000000000001E-5</v>
      </c>
    </row>
    <row r="3707" spans="1:12" ht="15.35" hidden="1" x14ac:dyDescent="0.55000000000000004">
      <c r="A3707" s="20">
        <v>16956</v>
      </c>
      <c r="B3707" s="2" t="s">
        <v>169</v>
      </c>
      <c r="C3707" s="2" t="s">
        <v>170</v>
      </c>
      <c r="D3707" s="20">
        <v>0</v>
      </c>
      <c r="E3707" s="2" t="s">
        <v>838</v>
      </c>
      <c r="F3707" s="2" t="s">
        <v>793</v>
      </c>
      <c r="G3707" s="2" t="s">
        <v>3842</v>
      </c>
      <c r="H3707" s="2" t="s">
        <v>1506</v>
      </c>
      <c r="J3707" s="26"/>
      <c r="K3707" s="36">
        <v>6.334E-5</v>
      </c>
      <c r="L3707" s="23">
        <v>1.5840000000000001E-5</v>
      </c>
    </row>
    <row r="3708" spans="1:12" ht="15.35" hidden="1" x14ac:dyDescent="0.55000000000000004">
      <c r="A3708" s="20">
        <v>16851</v>
      </c>
      <c r="B3708" s="2" t="s">
        <v>169</v>
      </c>
      <c r="C3708" s="2" t="s">
        <v>170</v>
      </c>
      <c r="D3708" s="20">
        <v>0</v>
      </c>
      <c r="E3708" s="2" t="s">
        <v>838</v>
      </c>
      <c r="F3708" s="2" t="s">
        <v>783</v>
      </c>
      <c r="G3708" s="2" t="s">
        <v>3843</v>
      </c>
      <c r="H3708" s="2" t="s">
        <v>1506</v>
      </c>
      <c r="J3708" s="26"/>
      <c r="K3708" s="36">
        <v>5.5430000000000003E-5</v>
      </c>
      <c r="L3708" s="23">
        <v>1.3859999999999999E-5</v>
      </c>
    </row>
    <row r="3709" spans="1:12" ht="15.35" hidden="1" x14ac:dyDescent="0.55000000000000004">
      <c r="A3709" s="20">
        <v>16811</v>
      </c>
      <c r="B3709" s="2" t="s">
        <v>169</v>
      </c>
      <c r="C3709" s="2" t="s">
        <v>170</v>
      </c>
      <c r="D3709" s="20">
        <v>0</v>
      </c>
      <c r="E3709" s="2" t="s">
        <v>838</v>
      </c>
      <c r="F3709" s="2" t="s">
        <v>793</v>
      </c>
      <c r="G3709" s="2" t="s">
        <v>3844</v>
      </c>
      <c r="H3709" s="2" t="s">
        <v>1506</v>
      </c>
      <c r="J3709" s="26"/>
      <c r="K3709" s="36">
        <v>5.5430000000000003E-5</v>
      </c>
      <c r="L3709" s="23">
        <v>1.3859999999999999E-5</v>
      </c>
    </row>
    <row r="3710" spans="1:12" ht="15.35" hidden="1" x14ac:dyDescent="0.55000000000000004">
      <c r="A3710" s="20">
        <v>17369</v>
      </c>
      <c r="B3710" s="2" t="s">
        <v>169</v>
      </c>
      <c r="C3710" s="2" t="s">
        <v>170</v>
      </c>
      <c r="D3710" s="20">
        <v>0</v>
      </c>
      <c r="E3710" s="2" t="s">
        <v>838</v>
      </c>
      <c r="F3710" s="2" t="s">
        <v>793</v>
      </c>
      <c r="G3710" s="2" t="s">
        <v>3845</v>
      </c>
      <c r="H3710" s="2" t="s">
        <v>1506</v>
      </c>
      <c r="J3710" s="26"/>
      <c r="K3710" s="36">
        <v>5.5430000000000003E-5</v>
      </c>
      <c r="L3710" s="23">
        <v>1.3859999999999999E-5</v>
      </c>
    </row>
    <row r="3711" spans="1:12" ht="15.35" hidden="1" x14ac:dyDescent="0.55000000000000004">
      <c r="A3711" s="20">
        <v>17579</v>
      </c>
      <c r="B3711" s="2" t="s">
        <v>169</v>
      </c>
      <c r="C3711" s="2" t="s">
        <v>170</v>
      </c>
      <c r="D3711" s="20">
        <v>0</v>
      </c>
      <c r="E3711" s="2" t="s">
        <v>838</v>
      </c>
      <c r="F3711" s="2" t="s">
        <v>793</v>
      </c>
      <c r="G3711" s="2" t="s">
        <v>3149</v>
      </c>
      <c r="H3711" s="2" t="s">
        <v>1506</v>
      </c>
      <c r="J3711" s="26"/>
      <c r="K3711" s="36">
        <v>6.334E-5</v>
      </c>
      <c r="L3711" s="23">
        <v>1.5840000000000001E-5</v>
      </c>
    </row>
    <row r="3712" spans="1:12" ht="15.35" hidden="1" x14ac:dyDescent="0.55000000000000004">
      <c r="A3712" s="20">
        <v>17350</v>
      </c>
      <c r="B3712" s="2" t="s">
        <v>169</v>
      </c>
      <c r="C3712" s="2" t="s">
        <v>170</v>
      </c>
      <c r="D3712" s="20">
        <v>0</v>
      </c>
      <c r="E3712" s="2" t="s">
        <v>838</v>
      </c>
      <c r="F3712" s="2" t="s">
        <v>793</v>
      </c>
      <c r="G3712" s="2" t="s">
        <v>3150</v>
      </c>
      <c r="H3712" s="2" t="s">
        <v>1506</v>
      </c>
      <c r="J3712" s="26"/>
      <c r="K3712" s="36">
        <v>6.334E-5</v>
      </c>
      <c r="L3712" s="23">
        <v>1.5840000000000001E-5</v>
      </c>
    </row>
    <row r="3713" spans="1:12" ht="15.35" hidden="1" x14ac:dyDescent="0.55000000000000004">
      <c r="A3713" s="20">
        <v>17638</v>
      </c>
      <c r="B3713" s="2" t="s">
        <v>169</v>
      </c>
      <c r="C3713" s="2" t="s">
        <v>170</v>
      </c>
      <c r="D3713" s="20">
        <v>0</v>
      </c>
      <c r="E3713" s="2" t="s">
        <v>838</v>
      </c>
      <c r="F3713" s="2" t="s">
        <v>793</v>
      </c>
      <c r="G3713" s="2" t="s">
        <v>3152</v>
      </c>
      <c r="H3713" s="2" t="s">
        <v>1506</v>
      </c>
      <c r="J3713" s="26"/>
      <c r="K3713" s="36">
        <v>6.334E-5</v>
      </c>
      <c r="L3713" s="23">
        <v>1.5840000000000001E-5</v>
      </c>
    </row>
    <row r="3714" spans="1:12" ht="15.35" hidden="1" x14ac:dyDescent="0.55000000000000004">
      <c r="A3714" s="20">
        <v>17262</v>
      </c>
      <c r="B3714" s="2" t="s">
        <v>169</v>
      </c>
      <c r="C3714" s="2" t="s">
        <v>170</v>
      </c>
      <c r="D3714" s="20">
        <v>0</v>
      </c>
      <c r="E3714" s="2" t="s">
        <v>838</v>
      </c>
      <c r="F3714" s="2" t="s">
        <v>793</v>
      </c>
      <c r="G3714" s="2" t="s">
        <v>3153</v>
      </c>
      <c r="H3714" s="2" t="s">
        <v>1506</v>
      </c>
      <c r="J3714" s="26"/>
      <c r="K3714" s="36">
        <v>6.334E-5</v>
      </c>
      <c r="L3714" s="23">
        <v>1.5840000000000001E-5</v>
      </c>
    </row>
    <row r="3715" spans="1:12" ht="15.35" hidden="1" x14ac:dyDescent="0.55000000000000004">
      <c r="A3715" s="20">
        <v>17549</v>
      </c>
      <c r="B3715" s="2" t="s">
        <v>169</v>
      </c>
      <c r="C3715" s="2" t="s">
        <v>170</v>
      </c>
      <c r="D3715" s="20">
        <v>0</v>
      </c>
      <c r="E3715" s="2" t="s">
        <v>838</v>
      </c>
      <c r="F3715" s="2" t="s">
        <v>793</v>
      </c>
      <c r="G3715" s="2" t="s">
        <v>3154</v>
      </c>
      <c r="H3715" s="2" t="s">
        <v>1506</v>
      </c>
      <c r="J3715" s="26"/>
      <c r="K3715" s="36">
        <v>6.334E-5</v>
      </c>
      <c r="L3715" s="23">
        <v>1.5840000000000001E-5</v>
      </c>
    </row>
    <row r="3716" spans="1:12" ht="15.35" hidden="1" x14ac:dyDescent="0.55000000000000004">
      <c r="A3716" s="20">
        <v>17626</v>
      </c>
      <c r="B3716" s="2" t="s">
        <v>169</v>
      </c>
      <c r="C3716" s="2" t="s">
        <v>170</v>
      </c>
      <c r="D3716" s="20">
        <v>0</v>
      </c>
      <c r="E3716" s="2" t="s">
        <v>838</v>
      </c>
      <c r="F3716" s="2" t="s">
        <v>793</v>
      </c>
      <c r="G3716" s="2" t="s">
        <v>3846</v>
      </c>
      <c r="H3716" s="2" t="s">
        <v>1506</v>
      </c>
      <c r="J3716" s="26"/>
      <c r="K3716" s="36">
        <v>6.334E-5</v>
      </c>
      <c r="L3716" s="23">
        <v>1.5840000000000001E-5</v>
      </c>
    </row>
    <row r="3717" spans="1:12" ht="15.35" hidden="1" x14ac:dyDescent="0.55000000000000004">
      <c r="A3717" s="20">
        <v>17353</v>
      </c>
      <c r="B3717" s="2" t="s">
        <v>169</v>
      </c>
      <c r="C3717" s="2" t="s">
        <v>170</v>
      </c>
      <c r="D3717" s="20">
        <v>0</v>
      </c>
      <c r="E3717" s="2" t="s">
        <v>838</v>
      </c>
      <c r="F3717" s="2" t="s">
        <v>793</v>
      </c>
      <c r="G3717" s="2" t="s">
        <v>3156</v>
      </c>
      <c r="H3717" s="2" t="s">
        <v>1506</v>
      </c>
      <c r="J3717" s="26"/>
      <c r="K3717" s="36">
        <v>6.334E-5</v>
      </c>
      <c r="L3717" s="23">
        <v>1.5840000000000001E-5</v>
      </c>
    </row>
    <row r="3718" spans="1:12" ht="15.35" hidden="1" x14ac:dyDescent="0.55000000000000004">
      <c r="A3718" s="20">
        <v>16949</v>
      </c>
      <c r="B3718" s="2" t="s">
        <v>169</v>
      </c>
      <c r="C3718" s="2" t="s">
        <v>170</v>
      </c>
      <c r="D3718" s="20">
        <v>0</v>
      </c>
      <c r="E3718" s="2" t="s">
        <v>838</v>
      </c>
      <c r="F3718" s="2" t="s">
        <v>793</v>
      </c>
      <c r="G3718" s="2" t="s">
        <v>3847</v>
      </c>
      <c r="H3718" s="2" t="s">
        <v>1506</v>
      </c>
      <c r="J3718" s="26"/>
      <c r="K3718" s="36">
        <v>6.334E-5</v>
      </c>
      <c r="L3718" s="23">
        <v>1.5840000000000001E-5</v>
      </c>
    </row>
    <row r="3719" spans="1:12" ht="15.35" hidden="1" x14ac:dyDescent="0.55000000000000004">
      <c r="A3719" s="20">
        <v>17654</v>
      </c>
      <c r="B3719" s="2" t="s">
        <v>169</v>
      </c>
      <c r="C3719" s="2" t="s">
        <v>170</v>
      </c>
      <c r="D3719" s="20">
        <v>0</v>
      </c>
      <c r="E3719" s="2" t="s">
        <v>838</v>
      </c>
      <c r="F3719" s="2" t="s">
        <v>783</v>
      </c>
      <c r="G3719" s="2" t="s">
        <v>3848</v>
      </c>
      <c r="H3719" s="2" t="s">
        <v>1506</v>
      </c>
      <c r="J3719" s="26"/>
      <c r="K3719" s="36">
        <v>6.334E-5</v>
      </c>
      <c r="L3719" s="23">
        <v>1.5840000000000001E-5</v>
      </c>
    </row>
    <row r="3720" spans="1:12" ht="15.35" hidden="1" x14ac:dyDescent="0.55000000000000004">
      <c r="A3720" s="20">
        <v>17653</v>
      </c>
      <c r="B3720" s="2" t="s">
        <v>169</v>
      </c>
      <c r="C3720" s="2" t="s">
        <v>170</v>
      </c>
      <c r="D3720" s="20">
        <v>0</v>
      </c>
      <c r="E3720" s="2" t="s">
        <v>838</v>
      </c>
      <c r="F3720" s="2" t="s">
        <v>793</v>
      </c>
      <c r="G3720" s="2" t="s">
        <v>3159</v>
      </c>
      <c r="H3720" s="2" t="s">
        <v>1506</v>
      </c>
      <c r="J3720" s="26"/>
      <c r="K3720" s="36">
        <v>6.334E-5</v>
      </c>
      <c r="L3720" s="23">
        <v>1.5840000000000001E-5</v>
      </c>
    </row>
    <row r="3721" spans="1:12" ht="15.35" hidden="1" x14ac:dyDescent="0.55000000000000004">
      <c r="A3721" s="20">
        <v>16901</v>
      </c>
      <c r="B3721" s="2" t="s">
        <v>169</v>
      </c>
      <c r="C3721" s="2" t="s">
        <v>170</v>
      </c>
      <c r="D3721" s="20">
        <v>0</v>
      </c>
      <c r="E3721" s="2" t="s">
        <v>838</v>
      </c>
      <c r="F3721" s="2" t="s">
        <v>793</v>
      </c>
      <c r="G3721" s="2" t="s">
        <v>3160</v>
      </c>
      <c r="H3721" s="2" t="s">
        <v>1506</v>
      </c>
      <c r="J3721" s="26"/>
      <c r="K3721" s="36">
        <v>6.334E-5</v>
      </c>
      <c r="L3721" s="23">
        <v>1.5840000000000001E-5</v>
      </c>
    </row>
    <row r="3722" spans="1:12" ht="15.35" hidden="1" x14ac:dyDescent="0.55000000000000004">
      <c r="A3722" s="20">
        <v>17183</v>
      </c>
      <c r="B3722" s="2" t="s">
        <v>169</v>
      </c>
      <c r="C3722" s="2" t="s">
        <v>170</v>
      </c>
      <c r="D3722" s="20">
        <v>0</v>
      </c>
      <c r="E3722" s="2" t="s">
        <v>838</v>
      </c>
      <c r="F3722" s="2" t="s">
        <v>793</v>
      </c>
      <c r="G3722" s="2" t="s">
        <v>3161</v>
      </c>
      <c r="H3722" s="2" t="s">
        <v>1506</v>
      </c>
      <c r="J3722" s="26"/>
      <c r="K3722" s="36">
        <v>6.334E-5</v>
      </c>
      <c r="L3722" s="23">
        <v>1.5840000000000001E-5</v>
      </c>
    </row>
    <row r="3723" spans="1:12" ht="15.35" hidden="1" x14ac:dyDescent="0.55000000000000004">
      <c r="A3723" s="20">
        <v>17118</v>
      </c>
      <c r="B3723" s="2" t="s">
        <v>169</v>
      </c>
      <c r="C3723" s="2" t="s">
        <v>170</v>
      </c>
      <c r="D3723" s="20">
        <v>0</v>
      </c>
      <c r="E3723" s="2" t="s">
        <v>838</v>
      </c>
      <c r="F3723" s="2" t="s">
        <v>793</v>
      </c>
      <c r="G3723" s="2" t="s">
        <v>3162</v>
      </c>
      <c r="H3723" s="2" t="s">
        <v>1506</v>
      </c>
      <c r="J3723" s="26"/>
      <c r="K3723" s="36">
        <v>6.7299999999999996E-5</v>
      </c>
      <c r="L3723" s="23">
        <v>1.6820000000000002E-5</v>
      </c>
    </row>
    <row r="3724" spans="1:12" ht="15.35" hidden="1" x14ac:dyDescent="0.55000000000000004">
      <c r="A3724" s="20">
        <v>17534</v>
      </c>
      <c r="B3724" s="2" t="s">
        <v>169</v>
      </c>
      <c r="C3724" s="2" t="s">
        <v>170</v>
      </c>
      <c r="D3724" s="20">
        <v>0</v>
      </c>
      <c r="E3724" s="2" t="s">
        <v>838</v>
      </c>
      <c r="F3724" s="2" t="s">
        <v>793</v>
      </c>
      <c r="G3724" s="2" t="s">
        <v>3163</v>
      </c>
      <c r="H3724" s="2" t="s">
        <v>1506</v>
      </c>
      <c r="J3724" s="26"/>
      <c r="K3724" s="36">
        <v>6.7299999999999996E-5</v>
      </c>
      <c r="L3724" s="23">
        <v>1.6820000000000002E-5</v>
      </c>
    </row>
    <row r="3725" spans="1:12" ht="15.35" hidden="1" x14ac:dyDescent="0.55000000000000004">
      <c r="A3725" s="20">
        <v>16880</v>
      </c>
      <c r="B3725" s="2" t="s">
        <v>169</v>
      </c>
      <c r="C3725" s="2" t="s">
        <v>170</v>
      </c>
      <c r="D3725" s="20">
        <v>0</v>
      </c>
      <c r="E3725" s="2" t="s">
        <v>838</v>
      </c>
      <c r="F3725" s="2" t="s">
        <v>793</v>
      </c>
      <c r="G3725" s="2" t="s">
        <v>3164</v>
      </c>
      <c r="H3725" s="2" t="s">
        <v>1506</v>
      </c>
      <c r="J3725" s="26"/>
      <c r="K3725" s="36">
        <v>7.5220000000000001E-5</v>
      </c>
      <c r="L3725" s="23">
        <v>1.8810000000000001E-5</v>
      </c>
    </row>
    <row r="3726" spans="1:12" ht="15.35" hidden="1" x14ac:dyDescent="0.55000000000000004">
      <c r="A3726" s="20">
        <v>17501</v>
      </c>
      <c r="B3726" s="2" t="s">
        <v>169</v>
      </c>
      <c r="C3726" s="2" t="s">
        <v>170</v>
      </c>
      <c r="D3726" s="20">
        <v>0</v>
      </c>
      <c r="E3726" s="2" t="s">
        <v>838</v>
      </c>
      <c r="F3726" s="2" t="s">
        <v>793</v>
      </c>
      <c r="G3726" s="2" t="s">
        <v>3849</v>
      </c>
      <c r="H3726" s="2" t="s">
        <v>1506</v>
      </c>
      <c r="J3726" s="26"/>
      <c r="K3726" s="36">
        <v>7.1260000000000006E-5</v>
      </c>
      <c r="L3726" s="23">
        <v>1.7819999999999999E-5</v>
      </c>
    </row>
    <row r="3727" spans="1:12" ht="15.35" hidden="1" x14ac:dyDescent="0.55000000000000004">
      <c r="A3727" s="20">
        <v>17440</v>
      </c>
      <c r="B3727" s="2" t="s">
        <v>169</v>
      </c>
      <c r="C3727" s="2" t="s">
        <v>170</v>
      </c>
      <c r="D3727" s="20">
        <v>0</v>
      </c>
      <c r="E3727" s="2" t="s">
        <v>838</v>
      </c>
      <c r="F3727" s="2" t="s">
        <v>793</v>
      </c>
      <c r="G3727" s="2" t="s">
        <v>3166</v>
      </c>
      <c r="H3727" s="2" t="s">
        <v>1506</v>
      </c>
      <c r="J3727" s="26"/>
      <c r="K3727" s="36">
        <v>7.5220000000000001E-5</v>
      </c>
      <c r="L3727" s="23">
        <v>1.8810000000000001E-5</v>
      </c>
    </row>
    <row r="3728" spans="1:12" ht="15.35" hidden="1" x14ac:dyDescent="0.55000000000000004">
      <c r="A3728" s="20">
        <v>17616</v>
      </c>
      <c r="B3728" s="2" t="s">
        <v>169</v>
      </c>
      <c r="C3728" s="2" t="s">
        <v>170</v>
      </c>
      <c r="D3728" s="20">
        <v>0</v>
      </c>
      <c r="E3728" s="2" t="s">
        <v>838</v>
      </c>
      <c r="F3728" s="2" t="s">
        <v>793</v>
      </c>
      <c r="G3728" s="2" t="s">
        <v>3850</v>
      </c>
      <c r="H3728" s="2" t="s">
        <v>1506</v>
      </c>
      <c r="J3728" s="26"/>
      <c r="K3728" s="36">
        <v>6.7299999999999996E-5</v>
      </c>
      <c r="L3728" s="23">
        <v>1.6820000000000002E-5</v>
      </c>
    </row>
    <row r="3729" spans="1:12" ht="15.35" hidden="1" x14ac:dyDescent="0.55000000000000004">
      <c r="A3729" s="20">
        <v>17155</v>
      </c>
      <c r="B3729" s="2" t="s">
        <v>169</v>
      </c>
      <c r="C3729" s="2" t="s">
        <v>170</v>
      </c>
      <c r="D3729" s="20">
        <v>0</v>
      </c>
      <c r="E3729" s="2" t="s">
        <v>838</v>
      </c>
      <c r="F3729" s="2" t="s">
        <v>793</v>
      </c>
      <c r="G3729" s="2" t="s">
        <v>3168</v>
      </c>
      <c r="H3729" s="2" t="s">
        <v>1506</v>
      </c>
      <c r="J3729" s="26"/>
      <c r="K3729" s="36">
        <v>6.7299999999999996E-5</v>
      </c>
      <c r="L3729" s="23">
        <v>1.6820000000000002E-5</v>
      </c>
    </row>
    <row r="3730" spans="1:12" ht="15.35" hidden="1" x14ac:dyDescent="0.55000000000000004">
      <c r="A3730" s="20">
        <v>17544</v>
      </c>
      <c r="B3730" s="2" t="s">
        <v>169</v>
      </c>
      <c r="C3730" s="2" t="s">
        <v>170</v>
      </c>
      <c r="D3730" s="20">
        <v>0</v>
      </c>
      <c r="E3730" s="2" t="s">
        <v>838</v>
      </c>
      <c r="F3730" s="2" t="s">
        <v>793</v>
      </c>
      <c r="G3730" s="2" t="s">
        <v>3170</v>
      </c>
      <c r="H3730" s="2" t="s">
        <v>1506</v>
      </c>
      <c r="J3730" s="26"/>
      <c r="K3730" s="36">
        <v>7.1260000000000006E-5</v>
      </c>
      <c r="L3730" s="23">
        <v>1.7819999999999999E-5</v>
      </c>
    </row>
    <row r="3731" spans="1:12" ht="15.35" hidden="1" x14ac:dyDescent="0.55000000000000004">
      <c r="A3731" s="20">
        <v>17266</v>
      </c>
      <c r="B3731" s="2" t="s">
        <v>169</v>
      </c>
      <c r="C3731" s="2" t="s">
        <v>170</v>
      </c>
      <c r="D3731" s="20">
        <v>0</v>
      </c>
      <c r="E3731" s="2" t="s">
        <v>838</v>
      </c>
      <c r="F3731" s="2" t="s">
        <v>793</v>
      </c>
      <c r="G3731" s="2" t="s">
        <v>3171</v>
      </c>
      <c r="H3731" s="2" t="s">
        <v>1506</v>
      </c>
      <c r="J3731" s="26"/>
      <c r="K3731" s="36">
        <v>7.1260000000000006E-5</v>
      </c>
      <c r="L3731" s="23">
        <v>1.7819999999999999E-5</v>
      </c>
    </row>
    <row r="3732" spans="1:12" ht="15.35" hidden="1" x14ac:dyDescent="0.55000000000000004">
      <c r="A3732" s="20">
        <v>17037</v>
      </c>
      <c r="B3732" s="2" t="s">
        <v>169</v>
      </c>
      <c r="C3732" s="2" t="s">
        <v>170</v>
      </c>
      <c r="D3732" s="20">
        <v>0</v>
      </c>
      <c r="E3732" s="2" t="s">
        <v>838</v>
      </c>
      <c r="F3732" s="2" t="s">
        <v>793</v>
      </c>
      <c r="G3732" s="2" t="s">
        <v>3851</v>
      </c>
      <c r="H3732" s="2" t="s">
        <v>1506</v>
      </c>
      <c r="J3732" s="26"/>
      <c r="K3732" s="36">
        <v>6.7299999999999996E-5</v>
      </c>
      <c r="L3732" s="23">
        <v>1.6820000000000002E-5</v>
      </c>
    </row>
    <row r="3733" spans="1:12" ht="15.35" hidden="1" x14ac:dyDescent="0.55000000000000004">
      <c r="A3733" s="20">
        <v>17224</v>
      </c>
      <c r="B3733" s="2" t="s">
        <v>169</v>
      </c>
      <c r="C3733" s="2" t="s">
        <v>170</v>
      </c>
      <c r="D3733" s="20">
        <v>0</v>
      </c>
      <c r="E3733" s="2" t="s">
        <v>838</v>
      </c>
      <c r="F3733" s="2" t="s">
        <v>793</v>
      </c>
      <c r="G3733" s="2" t="s">
        <v>3173</v>
      </c>
      <c r="H3733" s="2" t="s">
        <v>1506</v>
      </c>
      <c r="J3733" s="26"/>
      <c r="K3733" s="36">
        <v>8.3139999999999993E-5</v>
      </c>
      <c r="L3733" s="23">
        <v>2.0780000000000001E-5</v>
      </c>
    </row>
    <row r="3734" spans="1:12" ht="15.35" hidden="1" x14ac:dyDescent="0.55000000000000004">
      <c r="A3734" s="20">
        <v>16964</v>
      </c>
      <c r="B3734" s="2" t="s">
        <v>169</v>
      </c>
      <c r="C3734" s="2" t="s">
        <v>170</v>
      </c>
      <c r="D3734" s="20">
        <v>0</v>
      </c>
      <c r="E3734" s="2" t="s">
        <v>838</v>
      </c>
      <c r="F3734" s="2" t="s">
        <v>793</v>
      </c>
      <c r="G3734" s="2" t="s">
        <v>3174</v>
      </c>
      <c r="H3734" s="2" t="s">
        <v>1506</v>
      </c>
      <c r="J3734" s="26"/>
      <c r="K3734" s="36">
        <v>7.1260000000000006E-5</v>
      </c>
      <c r="L3734" s="23">
        <v>1.7819999999999999E-5</v>
      </c>
    </row>
    <row r="3735" spans="1:12" ht="15.35" hidden="1" x14ac:dyDescent="0.55000000000000004">
      <c r="A3735" s="20">
        <v>17342</v>
      </c>
      <c r="B3735" s="2" t="s">
        <v>169</v>
      </c>
      <c r="C3735" s="2" t="s">
        <v>170</v>
      </c>
      <c r="D3735" s="20">
        <v>0</v>
      </c>
      <c r="E3735" s="2" t="s">
        <v>838</v>
      </c>
      <c r="F3735" s="2" t="s">
        <v>793</v>
      </c>
      <c r="G3735" s="2" t="s">
        <v>3852</v>
      </c>
      <c r="H3735" s="2" t="s">
        <v>1506</v>
      </c>
      <c r="J3735" s="26"/>
      <c r="K3735" s="36">
        <v>6.334E-5</v>
      </c>
      <c r="L3735" s="23">
        <v>1.5840000000000001E-5</v>
      </c>
    </row>
    <row r="3736" spans="1:12" ht="15.35" hidden="1" x14ac:dyDescent="0.55000000000000004">
      <c r="A3736" s="20">
        <v>17340</v>
      </c>
      <c r="B3736" s="2" t="s">
        <v>169</v>
      </c>
      <c r="C3736" s="2" t="s">
        <v>170</v>
      </c>
      <c r="D3736" s="20">
        <v>0</v>
      </c>
      <c r="E3736" s="2" t="s">
        <v>838</v>
      </c>
      <c r="F3736" s="2" t="s">
        <v>783</v>
      </c>
      <c r="G3736" s="2" t="s">
        <v>3176</v>
      </c>
      <c r="H3736" s="2" t="s">
        <v>3176</v>
      </c>
      <c r="J3736" s="26"/>
      <c r="K3736" s="36">
        <v>6.334E-5</v>
      </c>
      <c r="L3736" s="23">
        <v>1.5840000000000001E-5</v>
      </c>
    </row>
    <row r="3737" spans="1:12" ht="15.35" hidden="1" x14ac:dyDescent="0.55000000000000004">
      <c r="A3737" s="20">
        <v>17707</v>
      </c>
      <c r="B3737" s="2" t="s">
        <v>169</v>
      </c>
      <c r="C3737" s="2" t="s">
        <v>170</v>
      </c>
      <c r="D3737" s="20">
        <v>0</v>
      </c>
      <c r="E3737" s="2" t="s">
        <v>838</v>
      </c>
      <c r="F3737" s="2" t="s">
        <v>793</v>
      </c>
      <c r="G3737" s="2" t="s">
        <v>3175</v>
      </c>
      <c r="H3737" s="2" t="s">
        <v>3176</v>
      </c>
      <c r="J3737" s="26"/>
      <c r="K3737" s="36">
        <v>6.334E-5</v>
      </c>
      <c r="L3737" s="23">
        <v>1.5840000000000001E-5</v>
      </c>
    </row>
    <row r="3738" spans="1:12" ht="15.35" hidden="1" x14ac:dyDescent="0.55000000000000004">
      <c r="A3738" s="20">
        <v>17058</v>
      </c>
      <c r="B3738" s="2" t="s">
        <v>169</v>
      </c>
      <c r="C3738" s="2" t="s">
        <v>170</v>
      </c>
      <c r="D3738" s="20">
        <v>0</v>
      </c>
      <c r="E3738" s="2" t="s">
        <v>838</v>
      </c>
      <c r="F3738" s="2" t="s">
        <v>793</v>
      </c>
      <c r="G3738" s="2" t="s">
        <v>3853</v>
      </c>
      <c r="H3738" s="2" t="s">
        <v>3176</v>
      </c>
      <c r="J3738" s="26"/>
      <c r="K3738" s="36">
        <v>6.334E-5</v>
      </c>
      <c r="L3738" s="23">
        <v>1.5840000000000001E-5</v>
      </c>
    </row>
    <row r="3739" spans="1:12" ht="15.35" hidden="1" x14ac:dyDescent="0.55000000000000004">
      <c r="A3739" s="20">
        <v>17115</v>
      </c>
      <c r="B3739" s="2" t="s">
        <v>169</v>
      </c>
      <c r="C3739" s="2" t="s">
        <v>170</v>
      </c>
      <c r="D3739" s="20">
        <v>0</v>
      </c>
      <c r="E3739" s="2" t="s">
        <v>838</v>
      </c>
      <c r="F3739" s="2" t="s">
        <v>793</v>
      </c>
      <c r="G3739" s="2" t="s">
        <v>3854</v>
      </c>
      <c r="H3739" s="2" t="s">
        <v>1506</v>
      </c>
      <c r="J3739" s="26"/>
      <c r="K3739" s="36">
        <v>7.5220000000000001E-5</v>
      </c>
      <c r="L3739" s="23">
        <v>1.8810000000000001E-5</v>
      </c>
    </row>
    <row r="3740" spans="1:12" ht="15.35" hidden="1" x14ac:dyDescent="0.55000000000000004">
      <c r="A3740" s="20">
        <v>17593</v>
      </c>
      <c r="B3740" s="2" t="s">
        <v>169</v>
      </c>
      <c r="C3740" s="2" t="s">
        <v>170</v>
      </c>
      <c r="D3740" s="20">
        <v>0</v>
      </c>
      <c r="E3740" s="2" t="s">
        <v>838</v>
      </c>
      <c r="F3740" s="2" t="s">
        <v>793</v>
      </c>
      <c r="G3740" s="2" t="s">
        <v>3178</v>
      </c>
      <c r="H3740" s="2" t="s">
        <v>1506</v>
      </c>
      <c r="J3740" s="26"/>
      <c r="K3740" s="36">
        <v>7.5220000000000001E-5</v>
      </c>
      <c r="L3740" s="23">
        <v>1.8810000000000001E-5</v>
      </c>
    </row>
    <row r="3741" spans="1:12" ht="15.35" hidden="1" x14ac:dyDescent="0.55000000000000004">
      <c r="A3741" s="20">
        <v>17099</v>
      </c>
      <c r="B3741" s="2" t="s">
        <v>169</v>
      </c>
      <c r="C3741" s="2" t="s">
        <v>170</v>
      </c>
      <c r="D3741" s="20">
        <v>0</v>
      </c>
      <c r="E3741" s="2" t="s">
        <v>838</v>
      </c>
      <c r="F3741" s="2" t="s">
        <v>793</v>
      </c>
      <c r="G3741" s="2" t="s">
        <v>3179</v>
      </c>
      <c r="H3741" s="2" t="s">
        <v>1506</v>
      </c>
      <c r="J3741" s="26"/>
      <c r="K3741" s="36">
        <v>7.9179999999999997E-5</v>
      </c>
      <c r="L3741" s="23">
        <v>1.9789999999999999E-5</v>
      </c>
    </row>
    <row r="3742" spans="1:12" ht="15.35" hidden="1" x14ac:dyDescent="0.55000000000000004">
      <c r="A3742" s="20">
        <v>17613</v>
      </c>
      <c r="B3742" s="2" t="s">
        <v>169</v>
      </c>
      <c r="C3742" s="2" t="s">
        <v>170</v>
      </c>
      <c r="D3742" s="20">
        <v>0</v>
      </c>
      <c r="E3742" s="2" t="s">
        <v>838</v>
      </c>
      <c r="F3742" s="2" t="s">
        <v>793</v>
      </c>
      <c r="G3742" s="2" t="s">
        <v>3180</v>
      </c>
      <c r="H3742" s="2" t="s">
        <v>1506</v>
      </c>
      <c r="J3742" s="26"/>
      <c r="K3742" s="36">
        <v>7.5220000000000001E-5</v>
      </c>
      <c r="L3742" s="23">
        <v>1.8810000000000001E-5</v>
      </c>
    </row>
    <row r="3743" spans="1:12" ht="15.35" hidden="1" x14ac:dyDescent="0.55000000000000004">
      <c r="A3743" s="20">
        <v>17235</v>
      </c>
      <c r="B3743" s="2" t="s">
        <v>169</v>
      </c>
      <c r="C3743" s="2" t="s">
        <v>170</v>
      </c>
      <c r="D3743" s="20">
        <v>0</v>
      </c>
      <c r="E3743" s="2" t="s">
        <v>838</v>
      </c>
      <c r="F3743" s="2" t="s">
        <v>793</v>
      </c>
      <c r="G3743" s="2" t="s">
        <v>3855</v>
      </c>
      <c r="H3743" s="2" t="s">
        <v>3182</v>
      </c>
      <c r="J3743" s="26"/>
      <c r="K3743" s="36">
        <v>6.334E-5</v>
      </c>
      <c r="L3743" s="23">
        <v>1.5840000000000001E-5</v>
      </c>
    </row>
    <row r="3744" spans="1:12" ht="15.35" hidden="1" x14ac:dyDescent="0.55000000000000004">
      <c r="A3744" s="20">
        <v>17476</v>
      </c>
      <c r="B3744" s="2" t="s">
        <v>169</v>
      </c>
      <c r="C3744" s="2" t="s">
        <v>170</v>
      </c>
      <c r="D3744" s="20">
        <v>0</v>
      </c>
      <c r="E3744" s="2" t="s">
        <v>838</v>
      </c>
      <c r="F3744" s="2" t="s">
        <v>793</v>
      </c>
      <c r="G3744" s="2" t="s">
        <v>3856</v>
      </c>
      <c r="H3744" s="2" t="s">
        <v>3182</v>
      </c>
      <c r="J3744" s="26"/>
      <c r="K3744" s="36">
        <v>6.334E-5</v>
      </c>
      <c r="L3744" s="23">
        <v>1.5840000000000001E-5</v>
      </c>
    </row>
    <row r="3745" spans="1:12" ht="15.35" hidden="1" x14ac:dyDescent="0.55000000000000004">
      <c r="A3745" s="20">
        <v>17601</v>
      </c>
      <c r="B3745" s="2" t="s">
        <v>169</v>
      </c>
      <c r="C3745" s="2" t="s">
        <v>170</v>
      </c>
      <c r="D3745" s="20">
        <v>0</v>
      </c>
      <c r="E3745" s="2" t="s">
        <v>838</v>
      </c>
      <c r="F3745" s="2" t="s">
        <v>793</v>
      </c>
      <c r="G3745" s="2" t="s">
        <v>3857</v>
      </c>
      <c r="H3745" s="2" t="s">
        <v>3182</v>
      </c>
      <c r="J3745" s="26"/>
      <c r="K3745" s="36">
        <v>6.334E-5</v>
      </c>
      <c r="L3745" s="23">
        <v>1.5840000000000001E-5</v>
      </c>
    </row>
    <row r="3746" spans="1:12" ht="15.35" hidden="1" x14ac:dyDescent="0.55000000000000004">
      <c r="A3746" s="20">
        <v>17344</v>
      </c>
      <c r="B3746" s="2" t="s">
        <v>169</v>
      </c>
      <c r="C3746" s="2" t="s">
        <v>170</v>
      </c>
      <c r="D3746" s="20">
        <v>0</v>
      </c>
      <c r="E3746" s="2" t="s">
        <v>838</v>
      </c>
      <c r="F3746" s="2" t="s">
        <v>793</v>
      </c>
      <c r="G3746" s="2" t="s">
        <v>3858</v>
      </c>
      <c r="H3746" s="2" t="s">
        <v>3182</v>
      </c>
      <c r="J3746" s="26"/>
      <c r="K3746" s="36">
        <v>6.334E-5</v>
      </c>
      <c r="L3746" s="23">
        <v>1.5840000000000001E-5</v>
      </c>
    </row>
    <row r="3747" spans="1:12" ht="15.35" hidden="1" x14ac:dyDescent="0.55000000000000004">
      <c r="A3747" s="20">
        <v>17590</v>
      </c>
      <c r="B3747" s="2" t="s">
        <v>169</v>
      </c>
      <c r="C3747" s="2" t="s">
        <v>170</v>
      </c>
      <c r="D3747" s="20">
        <v>0</v>
      </c>
      <c r="E3747" s="2" t="s">
        <v>838</v>
      </c>
      <c r="F3747" s="2" t="s">
        <v>793</v>
      </c>
      <c r="G3747" s="2" t="s">
        <v>3859</v>
      </c>
      <c r="H3747" s="2" t="s">
        <v>3182</v>
      </c>
      <c r="J3747" s="26"/>
      <c r="K3747" s="36">
        <v>6.334E-5</v>
      </c>
      <c r="L3747" s="23">
        <v>1.5840000000000001E-5</v>
      </c>
    </row>
    <row r="3748" spans="1:12" ht="15.35" hidden="1" x14ac:dyDescent="0.55000000000000004">
      <c r="A3748" s="20">
        <v>16993</v>
      </c>
      <c r="B3748" s="2" t="s">
        <v>169</v>
      </c>
      <c r="C3748" s="2" t="s">
        <v>170</v>
      </c>
      <c r="D3748" s="20">
        <v>0</v>
      </c>
      <c r="E3748" s="2" t="s">
        <v>838</v>
      </c>
      <c r="F3748" s="2" t="s">
        <v>793</v>
      </c>
      <c r="G3748" s="2" t="s">
        <v>3860</v>
      </c>
      <c r="H3748" s="2" t="s">
        <v>3189</v>
      </c>
      <c r="J3748" s="26"/>
      <c r="K3748" s="36">
        <v>6.334E-5</v>
      </c>
      <c r="L3748" s="23">
        <v>1.5840000000000001E-5</v>
      </c>
    </row>
    <row r="3749" spans="1:12" ht="15.35" hidden="1" x14ac:dyDescent="0.55000000000000004">
      <c r="A3749" s="20">
        <v>17317</v>
      </c>
      <c r="B3749" s="2" t="s">
        <v>169</v>
      </c>
      <c r="C3749" s="2" t="s">
        <v>170</v>
      </c>
      <c r="D3749" s="20">
        <v>0</v>
      </c>
      <c r="E3749" s="2" t="s">
        <v>838</v>
      </c>
      <c r="F3749" s="2" t="s">
        <v>793</v>
      </c>
      <c r="G3749" s="2" t="s">
        <v>3861</v>
      </c>
      <c r="H3749" s="2" t="s">
        <v>3189</v>
      </c>
      <c r="J3749" s="26"/>
      <c r="K3749" s="36">
        <v>6.334E-5</v>
      </c>
      <c r="L3749" s="23">
        <v>1.5840000000000001E-5</v>
      </c>
    </row>
    <row r="3750" spans="1:12" ht="15.35" hidden="1" x14ac:dyDescent="0.55000000000000004">
      <c r="A3750" s="20">
        <v>16997</v>
      </c>
      <c r="B3750" s="2" t="s">
        <v>169</v>
      </c>
      <c r="C3750" s="2" t="s">
        <v>170</v>
      </c>
      <c r="D3750" s="20">
        <v>0</v>
      </c>
      <c r="E3750" s="2" t="s">
        <v>838</v>
      </c>
      <c r="F3750" s="2" t="s">
        <v>793</v>
      </c>
      <c r="G3750" s="2" t="s">
        <v>3191</v>
      </c>
      <c r="H3750" s="2" t="s">
        <v>1506</v>
      </c>
      <c r="J3750" s="26"/>
      <c r="K3750" s="36">
        <v>6.334E-5</v>
      </c>
      <c r="L3750" s="23">
        <v>1.5840000000000001E-5</v>
      </c>
    </row>
    <row r="3751" spans="1:12" ht="15.35" hidden="1" x14ac:dyDescent="0.55000000000000004">
      <c r="A3751" s="20">
        <v>16948</v>
      </c>
      <c r="B3751" s="2" t="s">
        <v>169</v>
      </c>
      <c r="C3751" s="2" t="s">
        <v>170</v>
      </c>
      <c r="D3751" s="20">
        <v>0</v>
      </c>
      <c r="E3751" s="2" t="s">
        <v>838</v>
      </c>
      <c r="F3751" s="2" t="s">
        <v>793</v>
      </c>
      <c r="G3751" s="2" t="s">
        <v>3862</v>
      </c>
      <c r="H3751" s="2" t="s">
        <v>3863</v>
      </c>
      <c r="J3751" s="26"/>
      <c r="K3751" s="36">
        <v>6.334E-5</v>
      </c>
      <c r="L3751" s="23">
        <v>1.5840000000000001E-5</v>
      </c>
    </row>
    <row r="3752" spans="1:12" ht="15.35" hidden="1" x14ac:dyDescent="0.55000000000000004">
      <c r="A3752" s="20">
        <v>16868</v>
      </c>
      <c r="B3752" s="2" t="s">
        <v>169</v>
      </c>
      <c r="C3752" s="2" t="s">
        <v>170</v>
      </c>
      <c r="D3752" s="20">
        <v>0</v>
      </c>
      <c r="E3752" s="2" t="s">
        <v>838</v>
      </c>
      <c r="F3752" s="2" t="s">
        <v>793</v>
      </c>
      <c r="G3752" s="2" t="s">
        <v>3864</v>
      </c>
      <c r="H3752" s="2" t="s">
        <v>3863</v>
      </c>
      <c r="J3752" s="26"/>
      <c r="K3752" s="36">
        <v>6.334E-5</v>
      </c>
      <c r="L3752" s="23">
        <v>1.5840000000000001E-5</v>
      </c>
    </row>
    <row r="3753" spans="1:12" ht="15.35" hidden="1" x14ac:dyDescent="0.55000000000000004">
      <c r="A3753" s="20">
        <v>16887</v>
      </c>
      <c r="B3753" s="2" t="s">
        <v>169</v>
      </c>
      <c r="C3753" s="2" t="s">
        <v>170</v>
      </c>
      <c r="D3753" s="20">
        <v>0</v>
      </c>
      <c r="E3753" s="2" t="s">
        <v>838</v>
      </c>
      <c r="F3753" s="2" t="s">
        <v>793</v>
      </c>
      <c r="G3753" s="2" t="s">
        <v>3865</v>
      </c>
      <c r="H3753" s="2" t="s">
        <v>3863</v>
      </c>
      <c r="J3753" s="26"/>
      <c r="K3753" s="36">
        <v>6.334E-5</v>
      </c>
      <c r="L3753" s="23">
        <v>1.5840000000000001E-5</v>
      </c>
    </row>
    <row r="3754" spans="1:12" ht="15.35" hidden="1" x14ac:dyDescent="0.55000000000000004">
      <c r="A3754" s="20">
        <v>17477</v>
      </c>
      <c r="B3754" s="2" t="s">
        <v>169</v>
      </c>
      <c r="C3754" s="2" t="s">
        <v>170</v>
      </c>
      <c r="D3754" s="20">
        <v>0</v>
      </c>
      <c r="E3754" s="2" t="s">
        <v>838</v>
      </c>
      <c r="F3754" s="2" t="s">
        <v>793</v>
      </c>
      <c r="G3754" s="2" t="s">
        <v>3866</v>
      </c>
      <c r="H3754" s="2" t="s">
        <v>3863</v>
      </c>
      <c r="J3754" s="26"/>
      <c r="K3754" s="36">
        <v>6.334E-5</v>
      </c>
      <c r="L3754" s="23">
        <v>1.5840000000000001E-5</v>
      </c>
    </row>
    <row r="3755" spans="1:12" ht="15.35" hidden="1" x14ac:dyDescent="0.55000000000000004">
      <c r="A3755" s="20">
        <v>17412</v>
      </c>
      <c r="B3755" s="2" t="s">
        <v>169</v>
      </c>
      <c r="C3755" s="2" t="s">
        <v>170</v>
      </c>
      <c r="D3755" s="20">
        <v>0</v>
      </c>
      <c r="E3755" s="2" t="s">
        <v>838</v>
      </c>
      <c r="F3755" s="2" t="s">
        <v>793</v>
      </c>
      <c r="G3755" s="2" t="s">
        <v>3867</v>
      </c>
      <c r="H3755" s="2" t="s">
        <v>3863</v>
      </c>
      <c r="J3755" s="26"/>
      <c r="K3755" s="36">
        <v>6.334E-5</v>
      </c>
      <c r="L3755" s="23">
        <v>1.5840000000000001E-5</v>
      </c>
    </row>
    <row r="3756" spans="1:12" ht="15.35" hidden="1" x14ac:dyDescent="0.55000000000000004">
      <c r="A3756" s="20">
        <v>17516</v>
      </c>
      <c r="B3756" s="2" t="s">
        <v>169</v>
      </c>
      <c r="C3756" s="2" t="s">
        <v>170</v>
      </c>
      <c r="D3756" s="20">
        <v>0</v>
      </c>
      <c r="E3756" s="2" t="s">
        <v>838</v>
      </c>
      <c r="F3756" s="2" t="s">
        <v>793</v>
      </c>
      <c r="G3756" s="2" t="s">
        <v>3868</v>
      </c>
      <c r="H3756" s="2" t="s">
        <v>3863</v>
      </c>
      <c r="J3756" s="26"/>
      <c r="K3756" s="36">
        <v>6.334E-5</v>
      </c>
      <c r="L3756" s="23">
        <v>1.5840000000000001E-5</v>
      </c>
    </row>
    <row r="3757" spans="1:12" ht="15.35" hidden="1" x14ac:dyDescent="0.55000000000000004">
      <c r="A3757" s="20">
        <v>16910</v>
      </c>
      <c r="B3757" s="2" t="s">
        <v>169</v>
      </c>
      <c r="C3757" s="2" t="s">
        <v>170</v>
      </c>
      <c r="D3757" s="20">
        <v>0</v>
      </c>
      <c r="E3757" s="2" t="s">
        <v>838</v>
      </c>
      <c r="F3757" s="2" t="s">
        <v>793</v>
      </c>
      <c r="G3757" s="2" t="s">
        <v>3869</v>
      </c>
      <c r="H3757" s="2" t="s">
        <v>3863</v>
      </c>
      <c r="J3757" s="26"/>
      <c r="K3757" s="36">
        <v>6.334E-5</v>
      </c>
      <c r="L3757" s="23">
        <v>1.5840000000000001E-5</v>
      </c>
    </row>
    <row r="3758" spans="1:12" ht="15.35" hidden="1" x14ac:dyDescent="0.55000000000000004">
      <c r="A3758" s="20">
        <v>17681</v>
      </c>
      <c r="B3758" s="2" t="s">
        <v>169</v>
      </c>
      <c r="C3758" s="2" t="s">
        <v>170</v>
      </c>
      <c r="D3758" s="20">
        <v>0</v>
      </c>
      <c r="E3758" s="2" t="s">
        <v>838</v>
      </c>
      <c r="F3758" s="2" t="s">
        <v>793</v>
      </c>
      <c r="G3758" s="2" t="s">
        <v>3870</v>
      </c>
      <c r="H3758" s="2" t="s">
        <v>3863</v>
      </c>
      <c r="J3758" s="26"/>
      <c r="K3758" s="36">
        <v>6.334E-5</v>
      </c>
      <c r="L3758" s="23">
        <v>1.5840000000000001E-5</v>
      </c>
    </row>
    <row r="3759" spans="1:12" ht="15.35" hidden="1" x14ac:dyDescent="0.55000000000000004">
      <c r="A3759" s="20">
        <v>17396</v>
      </c>
      <c r="B3759" s="2" t="s">
        <v>169</v>
      </c>
      <c r="C3759" s="2" t="s">
        <v>170</v>
      </c>
      <c r="D3759" s="20">
        <v>0</v>
      </c>
      <c r="E3759" s="2" t="s">
        <v>838</v>
      </c>
      <c r="F3759" s="2" t="s">
        <v>793</v>
      </c>
      <c r="G3759" s="2" t="s">
        <v>3871</v>
      </c>
      <c r="H3759" s="2" t="s">
        <v>3863</v>
      </c>
      <c r="J3759" s="26"/>
      <c r="K3759" s="36">
        <v>6.334E-5</v>
      </c>
      <c r="L3759" s="23">
        <v>1.5840000000000001E-5</v>
      </c>
    </row>
    <row r="3760" spans="1:12" ht="15.35" hidden="1" x14ac:dyDescent="0.55000000000000004">
      <c r="A3760" s="20">
        <v>17389</v>
      </c>
      <c r="B3760" s="2" t="s">
        <v>169</v>
      </c>
      <c r="C3760" s="2" t="s">
        <v>170</v>
      </c>
      <c r="D3760" s="20">
        <v>0</v>
      </c>
      <c r="E3760" s="2" t="s">
        <v>838</v>
      </c>
      <c r="F3760" s="2" t="s">
        <v>817</v>
      </c>
      <c r="G3760" s="2" t="s">
        <v>3872</v>
      </c>
      <c r="H3760" s="2" t="s">
        <v>1506</v>
      </c>
      <c r="J3760" s="26"/>
      <c r="K3760" s="36">
        <v>6.334E-5</v>
      </c>
      <c r="L3760" s="23">
        <v>1.5840000000000001E-5</v>
      </c>
    </row>
    <row r="3761" spans="1:12" ht="15.35" hidden="1" x14ac:dyDescent="0.55000000000000004">
      <c r="A3761" s="20">
        <v>17564</v>
      </c>
      <c r="B3761" s="2" t="s">
        <v>169</v>
      </c>
      <c r="C3761" s="2" t="s">
        <v>170</v>
      </c>
      <c r="D3761" s="20">
        <v>0</v>
      </c>
      <c r="E3761" s="2" t="s">
        <v>838</v>
      </c>
      <c r="F3761" s="2" t="s">
        <v>817</v>
      </c>
      <c r="G3761" s="2" t="s">
        <v>3872</v>
      </c>
      <c r="H3761" s="2" t="s">
        <v>1506</v>
      </c>
      <c r="J3761" s="26"/>
      <c r="K3761" s="36">
        <v>6.334E-5</v>
      </c>
      <c r="L3761" s="23">
        <v>1.5840000000000001E-5</v>
      </c>
    </row>
    <row r="3762" spans="1:12" ht="15.35" hidden="1" x14ac:dyDescent="0.55000000000000004">
      <c r="A3762" s="20">
        <v>17632</v>
      </c>
      <c r="B3762" s="2" t="s">
        <v>169</v>
      </c>
      <c r="C3762" s="2" t="s">
        <v>170</v>
      </c>
      <c r="D3762" s="20">
        <v>0</v>
      </c>
      <c r="E3762" s="2" t="s">
        <v>838</v>
      </c>
      <c r="F3762" s="2" t="s">
        <v>817</v>
      </c>
      <c r="G3762" s="2" t="s">
        <v>3873</v>
      </c>
      <c r="H3762" s="2" t="s">
        <v>1506</v>
      </c>
      <c r="J3762" s="26"/>
      <c r="K3762" s="36">
        <v>6.334E-5</v>
      </c>
      <c r="L3762" s="23">
        <v>1.5840000000000001E-5</v>
      </c>
    </row>
    <row r="3763" spans="1:12" ht="15.35" hidden="1" x14ac:dyDescent="0.55000000000000004">
      <c r="A3763" s="20">
        <v>16961</v>
      </c>
      <c r="B3763" s="2" t="s">
        <v>169</v>
      </c>
      <c r="C3763" s="2" t="s">
        <v>170</v>
      </c>
      <c r="D3763" s="20">
        <v>0</v>
      </c>
      <c r="E3763" s="2" t="s">
        <v>838</v>
      </c>
      <c r="F3763" s="2" t="s">
        <v>817</v>
      </c>
      <c r="G3763" s="2" t="s">
        <v>3192</v>
      </c>
      <c r="H3763" s="2" t="s">
        <v>1506</v>
      </c>
      <c r="J3763" s="26"/>
      <c r="K3763" s="36">
        <v>1.5045E-4</v>
      </c>
      <c r="L3763" s="23">
        <v>3.7610000000000001E-5</v>
      </c>
    </row>
    <row r="3764" spans="1:12" ht="15.35" hidden="1" x14ac:dyDescent="0.55000000000000004">
      <c r="A3764" s="20">
        <v>17039</v>
      </c>
      <c r="B3764" s="2" t="s">
        <v>169</v>
      </c>
      <c r="C3764" s="2" t="s">
        <v>170</v>
      </c>
      <c r="D3764" s="20">
        <v>0</v>
      </c>
      <c r="E3764" s="2" t="s">
        <v>838</v>
      </c>
      <c r="F3764" s="2" t="s">
        <v>817</v>
      </c>
      <c r="G3764" s="2" t="s">
        <v>3874</v>
      </c>
      <c r="H3764" s="2" t="s">
        <v>1506</v>
      </c>
      <c r="J3764" s="26"/>
      <c r="K3764" s="36">
        <v>6.334E-5</v>
      </c>
      <c r="L3764" s="23">
        <v>1.5840000000000001E-5</v>
      </c>
    </row>
    <row r="3765" spans="1:12" ht="15.35" hidden="1" x14ac:dyDescent="0.55000000000000004">
      <c r="A3765" s="20">
        <v>17093</v>
      </c>
      <c r="B3765" s="2" t="s">
        <v>169</v>
      </c>
      <c r="C3765" s="2" t="s">
        <v>170</v>
      </c>
      <c r="D3765" s="20">
        <v>0</v>
      </c>
      <c r="E3765" s="2" t="s">
        <v>838</v>
      </c>
      <c r="F3765" s="2" t="s">
        <v>817</v>
      </c>
      <c r="G3765" s="2" t="s">
        <v>3875</v>
      </c>
      <c r="H3765" s="2" t="s">
        <v>1506</v>
      </c>
      <c r="J3765" s="26"/>
      <c r="K3765" s="36">
        <v>7.1260000000000006E-5</v>
      </c>
      <c r="L3765" s="23">
        <v>1.7819999999999999E-5</v>
      </c>
    </row>
    <row r="3766" spans="1:12" ht="15.35" hidden="1" x14ac:dyDescent="0.55000000000000004">
      <c r="A3766" s="20">
        <v>17437</v>
      </c>
      <c r="B3766" s="2" t="s">
        <v>169</v>
      </c>
      <c r="C3766" s="2" t="s">
        <v>170</v>
      </c>
      <c r="D3766" s="20">
        <v>0</v>
      </c>
      <c r="E3766" s="2" t="s">
        <v>838</v>
      </c>
      <c r="F3766" s="2" t="s">
        <v>817</v>
      </c>
      <c r="G3766" s="2" t="s">
        <v>3875</v>
      </c>
      <c r="H3766" s="2" t="s">
        <v>1506</v>
      </c>
      <c r="J3766" s="26"/>
      <c r="K3766" s="36">
        <v>6.7299999999999996E-5</v>
      </c>
      <c r="L3766" s="23">
        <v>1.6820000000000002E-5</v>
      </c>
    </row>
    <row r="3767" spans="1:12" ht="15.35" hidden="1" x14ac:dyDescent="0.55000000000000004">
      <c r="A3767" s="20">
        <v>17518</v>
      </c>
      <c r="B3767" s="2" t="s">
        <v>169</v>
      </c>
      <c r="C3767" s="2" t="s">
        <v>170</v>
      </c>
      <c r="D3767" s="20">
        <v>0</v>
      </c>
      <c r="E3767" s="2" t="s">
        <v>838</v>
      </c>
      <c r="F3767" s="2" t="s">
        <v>817</v>
      </c>
      <c r="G3767" s="2" t="s">
        <v>3213</v>
      </c>
      <c r="H3767" s="2" t="s">
        <v>1506</v>
      </c>
      <c r="J3767" s="26"/>
      <c r="K3767" s="36">
        <v>7.1260000000000006E-5</v>
      </c>
      <c r="L3767" s="23">
        <v>1.7819999999999999E-5</v>
      </c>
    </row>
    <row r="3768" spans="1:12" ht="15.35" hidden="1" x14ac:dyDescent="0.55000000000000004">
      <c r="A3768" s="20">
        <v>16881</v>
      </c>
      <c r="B3768" s="2" t="s">
        <v>169</v>
      </c>
      <c r="C3768" s="2" t="s">
        <v>170</v>
      </c>
      <c r="D3768" s="20">
        <v>0</v>
      </c>
      <c r="E3768" s="2" t="s">
        <v>838</v>
      </c>
      <c r="F3768" s="2" t="s">
        <v>817</v>
      </c>
      <c r="G3768" s="2" t="s">
        <v>3214</v>
      </c>
      <c r="H3768" s="2" t="s">
        <v>1506</v>
      </c>
      <c r="J3768" s="26"/>
      <c r="K3768" s="36">
        <v>7.1260000000000006E-5</v>
      </c>
      <c r="L3768" s="23">
        <v>1.7819999999999999E-5</v>
      </c>
    </row>
    <row r="3769" spans="1:12" ht="15.35" hidden="1" x14ac:dyDescent="0.55000000000000004">
      <c r="A3769" s="20">
        <v>17172</v>
      </c>
      <c r="B3769" s="2" t="s">
        <v>169</v>
      </c>
      <c r="C3769" s="2" t="s">
        <v>170</v>
      </c>
      <c r="D3769" s="20">
        <v>0</v>
      </c>
      <c r="E3769" s="2" t="s">
        <v>838</v>
      </c>
      <c r="F3769" s="2" t="s">
        <v>817</v>
      </c>
      <c r="G3769" s="2" t="s">
        <v>3876</v>
      </c>
      <c r="H3769" s="2" t="s">
        <v>1506</v>
      </c>
      <c r="J3769" s="26"/>
      <c r="K3769" s="36">
        <v>7.1260000000000006E-5</v>
      </c>
      <c r="L3769" s="23">
        <v>1.7819999999999999E-5</v>
      </c>
    </row>
    <row r="3770" spans="1:12" ht="15.35" hidden="1" x14ac:dyDescent="0.55000000000000004">
      <c r="A3770" s="20">
        <v>17460</v>
      </c>
      <c r="B3770" s="2" t="s">
        <v>169</v>
      </c>
      <c r="C3770" s="2" t="s">
        <v>170</v>
      </c>
      <c r="D3770" s="20">
        <v>0</v>
      </c>
      <c r="E3770" s="2" t="s">
        <v>838</v>
      </c>
      <c r="F3770" s="2" t="s">
        <v>817</v>
      </c>
      <c r="G3770" s="2" t="s">
        <v>3217</v>
      </c>
      <c r="H3770" s="2" t="s">
        <v>1506</v>
      </c>
      <c r="J3770" s="26"/>
      <c r="K3770" s="36">
        <v>6.7299999999999996E-5</v>
      </c>
      <c r="L3770" s="23">
        <v>1.6820000000000002E-5</v>
      </c>
    </row>
    <row r="3771" spans="1:12" ht="15.35" hidden="1" x14ac:dyDescent="0.55000000000000004">
      <c r="A3771" s="20">
        <v>17539</v>
      </c>
      <c r="B3771" s="2" t="s">
        <v>169</v>
      </c>
      <c r="C3771" s="2" t="s">
        <v>170</v>
      </c>
      <c r="D3771" s="20">
        <v>0</v>
      </c>
      <c r="E3771" s="2" t="s">
        <v>838</v>
      </c>
      <c r="F3771" s="2" t="s">
        <v>817</v>
      </c>
      <c r="G3771" s="2" t="s">
        <v>3218</v>
      </c>
      <c r="H3771" s="2" t="s">
        <v>1506</v>
      </c>
      <c r="J3771" s="26"/>
      <c r="K3771" s="36">
        <v>6.7299999999999996E-5</v>
      </c>
      <c r="L3771" s="23">
        <v>1.6820000000000002E-5</v>
      </c>
    </row>
    <row r="3772" spans="1:12" ht="15.35" hidden="1" x14ac:dyDescent="0.55000000000000004">
      <c r="A3772" s="20">
        <v>17611</v>
      </c>
      <c r="B3772" s="2" t="s">
        <v>169</v>
      </c>
      <c r="C3772" s="2" t="s">
        <v>170</v>
      </c>
      <c r="D3772" s="20">
        <v>0</v>
      </c>
      <c r="E3772" s="2" t="s">
        <v>838</v>
      </c>
      <c r="F3772" s="2" t="s">
        <v>817</v>
      </c>
      <c r="G3772" s="2" t="s">
        <v>3219</v>
      </c>
      <c r="H3772" s="2" t="s">
        <v>1506</v>
      </c>
      <c r="J3772" s="26"/>
      <c r="K3772" s="36">
        <v>6.7299999999999996E-5</v>
      </c>
      <c r="L3772" s="23">
        <v>1.6820000000000002E-5</v>
      </c>
    </row>
    <row r="3773" spans="1:12" ht="15.35" hidden="1" x14ac:dyDescent="0.55000000000000004">
      <c r="A3773" s="20">
        <v>17504</v>
      </c>
      <c r="B3773" s="2" t="s">
        <v>169</v>
      </c>
      <c r="C3773" s="2" t="s">
        <v>170</v>
      </c>
      <c r="D3773" s="20">
        <v>0</v>
      </c>
      <c r="E3773" s="2" t="s">
        <v>838</v>
      </c>
      <c r="F3773" s="2" t="s">
        <v>817</v>
      </c>
      <c r="G3773" s="2" t="s">
        <v>3220</v>
      </c>
      <c r="H3773" s="2" t="s">
        <v>1506</v>
      </c>
      <c r="J3773" s="26"/>
      <c r="K3773" s="36">
        <v>6.334E-5</v>
      </c>
      <c r="L3773" s="23">
        <v>1.5840000000000001E-5</v>
      </c>
    </row>
    <row r="3774" spans="1:12" ht="15.35" hidden="1" x14ac:dyDescent="0.55000000000000004">
      <c r="A3774" s="20">
        <v>16959</v>
      </c>
      <c r="B3774" s="2" t="s">
        <v>169</v>
      </c>
      <c r="C3774" s="2" t="s">
        <v>170</v>
      </c>
      <c r="D3774" s="20">
        <v>0</v>
      </c>
      <c r="E3774" s="2" t="s">
        <v>838</v>
      </c>
      <c r="F3774" s="2" t="s">
        <v>848</v>
      </c>
      <c r="G3774" s="2" t="s">
        <v>1116</v>
      </c>
      <c r="H3774" s="2" t="s">
        <v>1116</v>
      </c>
      <c r="J3774" s="26"/>
      <c r="K3774" s="36">
        <v>4.4221499999999997E-3</v>
      </c>
      <c r="L3774" s="23">
        <v>1.1055399999999999E-3</v>
      </c>
    </row>
    <row r="3775" spans="1:12" ht="15.35" hidden="1" x14ac:dyDescent="0.55000000000000004">
      <c r="A3775" s="20">
        <v>17717</v>
      </c>
      <c r="B3775" s="2" t="s">
        <v>169</v>
      </c>
      <c r="C3775" s="2" t="s">
        <v>170</v>
      </c>
      <c r="D3775" s="20">
        <v>0</v>
      </c>
      <c r="E3775" s="2" t="s">
        <v>838</v>
      </c>
      <c r="F3775" s="2" t="s">
        <v>817</v>
      </c>
      <c r="G3775" s="2" t="s">
        <v>3877</v>
      </c>
      <c r="H3775" s="2" t="s">
        <v>862</v>
      </c>
      <c r="J3775" s="26"/>
      <c r="K3775" s="36">
        <v>6.6516000000000004E-4</v>
      </c>
      <c r="L3775" s="23">
        <v>1.6629000000000001E-4</v>
      </c>
    </row>
    <row r="3776" spans="1:12" ht="15.35" hidden="1" x14ac:dyDescent="0.55000000000000004">
      <c r="A3776" s="20">
        <v>17721</v>
      </c>
      <c r="B3776" s="2" t="s">
        <v>169</v>
      </c>
      <c r="C3776" s="2" t="s">
        <v>170</v>
      </c>
      <c r="D3776" s="20">
        <v>0</v>
      </c>
      <c r="E3776" s="2" t="s">
        <v>838</v>
      </c>
      <c r="F3776" s="2" t="s">
        <v>817</v>
      </c>
      <c r="G3776" s="2" t="s">
        <v>2421</v>
      </c>
      <c r="H3776" s="2" t="s">
        <v>862</v>
      </c>
      <c r="J3776" s="26"/>
      <c r="K3776" s="36">
        <v>4.4221499999999997E-3</v>
      </c>
      <c r="L3776" s="23">
        <v>1.1055399999999999E-3</v>
      </c>
    </row>
    <row r="3777" spans="1:12" ht="15.35" hidden="1" x14ac:dyDescent="0.55000000000000004">
      <c r="A3777" s="20">
        <v>17535</v>
      </c>
      <c r="B3777" s="2" t="s">
        <v>169</v>
      </c>
      <c r="C3777" s="2" t="s">
        <v>170</v>
      </c>
      <c r="D3777" s="20">
        <v>0</v>
      </c>
      <c r="E3777" s="2" t="s">
        <v>838</v>
      </c>
      <c r="F3777" s="2" t="s">
        <v>817</v>
      </c>
      <c r="G3777" s="2" t="s">
        <v>3878</v>
      </c>
      <c r="H3777" s="2" t="s">
        <v>862</v>
      </c>
      <c r="J3777" s="26"/>
      <c r="K3777" s="36">
        <v>4.4221499999999997E-3</v>
      </c>
      <c r="L3777" s="23">
        <v>1.1055399999999999E-3</v>
      </c>
    </row>
    <row r="3778" spans="1:12" ht="15.35" hidden="1" x14ac:dyDescent="0.55000000000000004">
      <c r="A3778" s="20">
        <v>17238</v>
      </c>
      <c r="B3778" s="2" t="s">
        <v>169</v>
      </c>
      <c r="C3778" s="2" t="s">
        <v>170</v>
      </c>
      <c r="D3778" s="20">
        <v>0</v>
      </c>
      <c r="E3778" s="2" t="s">
        <v>838</v>
      </c>
      <c r="F3778" s="2" t="s">
        <v>817</v>
      </c>
      <c r="G3778" s="2" t="s">
        <v>3879</v>
      </c>
      <c r="H3778" s="2" t="s">
        <v>862</v>
      </c>
      <c r="J3778" s="26"/>
      <c r="K3778" s="36">
        <v>2.0588400000000001E-3</v>
      </c>
      <c r="L3778" s="23">
        <v>5.1471000000000004E-4</v>
      </c>
    </row>
    <row r="3779" spans="1:12" ht="15.35" hidden="1" x14ac:dyDescent="0.55000000000000004">
      <c r="A3779" s="20">
        <v>17472</v>
      </c>
      <c r="B3779" s="2" t="s">
        <v>169</v>
      </c>
      <c r="C3779" s="2" t="s">
        <v>170</v>
      </c>
      <c r="D3779" s="20">
        <v>0</v>
      </c>
      <c r="E3779" s="2" t="s">
        <v>838</v>
      </c>
      <c r="F3779" s="2" t="s">
        <v>817</v>
      </c>
      <c r="G3779" s="2" t="s">
        <v>1602</v>
      </c>
      <c r="H3779" s="2" t="s">
        <v>862</v>
      </c>
      <c r="J3779" s="26"/>
      <c r="K3779" s="36">
        <v>4.4221499999999997E-3</v>
      </c>
      <c r="L3779" s="23">
        <v>1.1055399999999999E-3</v>
      </c>
    </row>
    <row r="3780" spans="1:12" ht="15.35" hidden="1" x14ac:dyDescent="0.55000000000000004">
      <c r="A3780" s="20">
        <v>16846</v>
      </c>
      <c r="B3780" s="2" t="s">
        <v>169</v>
      </c>
      <c r="C3780" s="2" t="s">
        <v>170</v>
      </c>
      <c r="D3780" s="20">
        <v>0</v>
      </c>
      <c r="E3780" s="2" t="s">
        <v>838</v>
      </c>
      <c r="F3780" s="2" t="s">
        <v>817</v>
      </c>
      <c r="G3780" s="2" t="s">
        <v>2422</v>
      </c>
      <c r="H3780" s="2" t="s">
        <v>862</v>
      </c>
      <c r="J3780" s="26"/>
      <c r="K3780" s="36">
        <v>1.97371E-3</v>
      </c>
      <c r="L3780" s="23">
        <v>4.9343E-4</v>
      </c>
    </row>
    <row r="3781" spans="1:12" ht="15.35" hidden="1" x14ac:dyDescent="0.55000000000000004">
      <c r="A3781" s="20">
        <v>16865</v>
      </c>
      <c r="B3781" s="2" t="s">
        <v>169</v>
      </c>
      <c r="C3781" s="2" t="s">
        <v>170</v>
      </c>
      <c r="D3781" s="20">
        <v>0</v>
      </c>
      <c r="E3781" s="2" t="s">
        <v>838</v>
      </c>
      <c r="F3781" s="2" t="s">
        <v>817</v>
      </c>
      <c r="G3781" s="2" t="s">
        <v>2423</v>
      </c>
      <c r="H3781" s="2" t="s">
        <v>862</v>
      </c>
      <c r="J3781" s="26"/>
      <c r="K3781" s="36">
        <v>1.97371E-3</v>
      </c>
      <c r="L3781" s="23">
        <v>4.9343E-4</v>
      </c>
    </row>
    <row r="3782" spans="1:12" ht="15.35" hidden="1" x14ac:dyDescent="0.55000000000000004">
      <c r="A3782" s="20">
        <v>17014</v>
      </c>
      <c r="B3782" s="2" t="s">
        <v>169</v>
      </c>
      <c r="C3782" s="2" t="s">
        <v>170</v>
      </c>
      <c r="D3782" s="20">
        <v>0</v>
      </c>
      <c r="E3782" s="2" t="s">
        <v>838</v>
      </c>
      <c r="F3782" s="2" t="s">
        <v>817</v>
      </c>
      <c r="G3782" s="2" t="s">
        <v>1603</v>
      </c>
      <c r="H3782" s="2" t="s">
        <v>862</v>
      </c>
      <c r="J3782" s="26"/>
      <c r="K3782" s="36">
        <v>3.33373E-3</v>
      </c>
      <c r="L3782" s="23">
        <v>8.3343000000000002E-4</v>
      </c>
    </row>
    <row r="3783" spans="1:12" ht="15.35" hidden="1" x14ac:dyDescent="0.55000000000000004">
      <c r="A3783" s="20">
        <v>16946</v>
      </c>
      <c r="B3783" s="2" t="s">
        <v>169</v>
      </c>
      <c r="C3783" s="2" t="s">
        <v>170</v>
      </c>
      <c r="D3783" s="20">
        <v>0</v>
      </c>
      <c r="E3783" s="2" t="s">
        <v>838</v>
      </c>
      <c r="F3783" s="2" t="s">
        <v>817</v>
      </c>
      <c r="G3783" s="2" t="s">
        <v>1117</v>
      </c>
      <c r="H3783" s="2" t="s">
        <v>942</v>
      </c>
      <c r="J3783" s="26"/>
      <c r="K3783" s="36">
        <v>3.67067E-3</v>
      </c>
      <c r="L3783" s="23">
        <v>9.1766999999999999E-4</v>
      </c>
    </row>
    <row r="3784" spans="1:12" ht="15.35" hidden="1" x14ac:dyDescent="0.55000000000000004">
      <c r="A3784" s="20">
        <v>17335</v>
      </c>
      <c r="B3784" s="2" t="s">
        <v>169</v>
      </c>
      <c r="C3784" s="2" t="s">
        <v>170</v>
      </c>
      <c r="D3784" s="20">
        <v>0</v>
      </c>
      <c r="E3784" s="2" t="s">
        <v>838</v>
      </c>
      <c r="F3784" s="2" t="s">
        <v>789</v>
      </c>
      <c r="G3784" s="2" t="s">
        <v>3880</v>
      </c>
      <c r="H3784" s="2" t="s">
        <v>944</v>
      </c>
      <c r="J3784" s="26"/>
      <c r="K3784" s="36">
        <v>4.4221499999999997E-3</v>
      </c>
      <c r="L3784" s="23">
        <v>1.1055399999999999E-3</v>
      </c>
    </row>
    <row r="3785" spans="1:12" ht="15.35" hidden="1" x14ac:dyDescent="0.55000000000000004">
      <c r="A3785" s="20">
        <v>16972</v>
      </c>
      <c r="B3785" s="2" t="s">
        <v>169</v>
      </c>
      <c r="C3785" s="2" t="s">
        <v>170</v>
      </c>
      <c r="D3785" s="20">
        <v>0</v>
      </c>
      <c r="E3785" s="2" t="s">
        <v>838</v>
      </c>
      <c r="F3785" s="2" t="s">
        <v>789</v>
      </c>
      <c r="G3785" s="2" t="s">
        <v>1604</v>
      </c>
      <c r="H3785" s="2" t="s">
        <v>944</v>
      </c>
      <c r="J3785" s="26"/>
      <c r="K3785" s="36">
        <v>4.4221499999999997E-3</v>
      </c>
      <c r="L3785" s="23">
        <v>1.1055399999999999E-3</v>
      </c>
    </row>
    <row r="3786" spans="1:12" ht="15.35" hidden="1" x14ac:dyDescent="0.55000000000000004">
      <c r="A3786" s="20">
        <v>17559</v>
      </c>
      <c r="B3786" s="2" t="s">
        <v>169</v>
      </c>
      <c r="C3786" s="2" t="s">
        <v>170</v>
      </c>
      <c r="D3786" s="20">
        <v>0</v>
      </c>
      <c r="E3786" s="2" t="s">
        <v>838</v>
      </c>
      <c r="F3786" s="2" t="s">
        <v>789</v>
      </c>
      <c r="G3786" s="2" t="s">
        <v>3881</v>
      </c>
      <c r="H3786" s="2" t="s">
        <v>944</v>
      </c>
      <c r="J3786" s="26"/>
      <c r="K3786" s="36">
        <v>4.4221499999999997E-3</v>
      </c>
      <c r="L3786" s="23">
        <v>1.1055399999999999E-3</v>
      </c>
    </row>
    <row r="3787" spans="1:12" ht="15.35" hidden="1" x14ac:dyDescent="0.55000000000000004">
      <c r="A3787" s="20">
        <v>17642</v>
      </c>
      <c r="B3787" s="2" t="s">
        <v>169</v>
      </c>
      <c r="C3787" s="2" t="s">
        <v>170</v>
      </c>
      <c r="D3787" s="20">
        <v>0</v>
      </c>
      <c r="E3787" s="2" t="s">
        <v>838</v>
      </c>
      <c r="F3787" s="2" t="s">
        <v>789</v>
      </c>
      <c r="G3787" s="2" t="s">
        <v>3222</v>
      </c>
      <c r="H3787" s="2" t="s">
        <v>944</v>
      </c>
      <c r="J3787" s="26"/>
      <c r="K3787" s="36">
        <v>4.4221499999999997E-3</v>
      </c>
      <c r="L3787" s="23">
        <v>1.1055399999999999E-3</v>
      </c>
    </row>
    <row r="3788" spans="1:12" ht="15.35" hidden="1" x14ac:dyDescent="0.55000000000000004">
      <c r="A3788" s="20">
        <v>17475</v>
      </c>
      <c r="B3788" s="2" t="s">
        <v>169</v>
      </c>
      <c r="C3788" s="2" t="s">
        <v>170</v>
      </c>
      <c r="D3788" s="20">
        <v>0</v>
      </c>
      <c r="E3788" s="2" t="s">
        <v>838</v>
      </c>
      <c r="F3788" s="2" t="s">
        <v>789</v>
      </c>
      <c r="G3788" s="2" t="s">
        <v>3882</v>
      </c>
      <c r="H3788" s="2" t="s">
        <v>944</v>
      </c>
      <c r="J3788" s="26"/>
      <c r="K3788" s="36">
        <v>4.4221499999999997E-3</v>
      </c>
      <c r="L3788" s="23">
        <v>1.1055399999999999E-3</v>
      </c>
    </row>
    <row r="3789" spans="1:12" ht="15.35" hidden="1" x14ac:dyDescent="0.55000000000000004">
      <c r="A3789" s="20">
        <v>17220</v>
      </c>
      <c r="B3789" s="2" t="s">
        <v>169</v>
      </c>
      <c r="C3789" s="2" t="s">
        <v>170</v>
      </c>
      <c r="D3789" s="20">
        <v>0</v>
      </c>
      <c r="E3789" s="2" t="s">
        <v>838</v>
      </c>
      <c r="F3789" s="2" t="s">
        <v>789</v>
      </c>
      <c r="G3789" s="2" t="s">
        <v>3883</v>
      </c>
      <c r="H3789" s="2" t="s">
        <v>944</v>
      </c>
      <c r="J3789" s="26"/>
      <c r="K3789" s="36">
        <v>4.4221499999999997E-3</v>
      </c>
      <c r="L3789" s="23">
        <v>1.1055399999999999E-3</v>
      </c>
    </row>
    <row r="3790" spans="1:12" ht="15.35" hidden="1" x14ac:dyDescent="0.55000000000000004">
      <c r="A3790" s="20">
        <v>17200</v>
      </c>
      <c r="B3790" s="2" t="s">
        <v>169</v>
      </c>
      <c r="C3790" s="2" t="s">
        <v>170</v>
      </c>
      <c r="D3790" s="20">
        <v>0</v>
      </c>
      <c r="E3790" s="2" t="s">
        <v>838</v>
      </c>
      <c r="F3790" s="2" t="s">
        <v>789</v>
      </c>
      <c r="G3790" s="2" t="s">
        <v>3225</v>
      </c>
      <c r="H3790" s="2" t="s">
        <v>944</v>
      </c>
      <c r="J3790" s="26"/>
      <c r="K3790" s="36">
        <v>2.6527000000000001E-4</v>
      </c>
      <c r="L3790" s="23">
        <v>6.6320000000000002E-5</v>
      </c>
    </row>
    <row r="3791" spans="1:12" ht="15.35" hidden="1" x14ac:dyDescent="0.55000000000000004">
      <c r="A3791" s="20">
        <v>17433</v>
      </c>
      <c r="B3791" s="2" t="s">
        <v>169</v>
      </c>
      <c r="C3791" s="2" t="s">
        <v>170</v>
      </c>
      <c r="D3791" s="20">
        <v>0</v>
      </c>
      <c r="E3791" s="2" t="s">
        <v>838</v>
      </c>
      <c r="F3791" s="2" t="s">
        <v>789</v>
      </c>
      <c r="G3791" s="2" t="s">
        <v>3226</v>
      </c>
      <c r="H3791" s="2" t="s">
        <v>944</v>
      </c>
      <c r="J3791" s="26"/>
      <c r="K3791" s="36">
        <v>4.0044399999999997E-3</v>
      </c>
      <c r="L3791" s="23">
        <v>1.0011099999999999E-3</v>
      </c>
    </row>
    <row r="3792" spans="1:12" ht="15.35" hidden="1" x14ac:dyDescent="0.55000000000000004">
      <c r="A3792" s="20">
        <v>17591</v>
      </c>
      <c r="B3792" s="2" t="s">
        <v>169</v>
      </c>
      <c r="C3792" s="2" t="s">
        <v>170</v>
      </c>
      <c r="D3792" s="20">
        <v>0</v>
      </c>
      <c r="E3792" s="2" t="s">
        <v>838</v>
      </c>
      <c r="F3792" s="2" t="s">
        <v>789</v>
      </c>
      <c r="G3792" s="2" t="s">
        <v>3884</v>
      </c>
      <c r="H3792" s="2" t="s">
        <v>944</v>
      </c>
      <c r="J3792" s="26"/>
      <c r="K3792" s="36">
        <v>8.0057000000000001E-4</v>
      </c>
      <c r="L3792" s="23">
        <v>2.0013999999999999E-4</v>
      </c>
    </row>
    <row r="3793" spans="1:12" ht="15.35" hidden="1" x14ac:dyDescent="0.55000000000000004">
      <c r="A3793" s="20">
        <v>17036</v>
      </c>
      <c r="B3793" s="2" t="s">
        <v>169</v>
      </c>
      <c r="C3793" s="2" t="s">
        <v>170</v>
      </c>
      <c r="D3793" s="20">
        <v>0</v>
      </c>
      <c r="E3793" s="2" t="s">
        <v>838</v>
      </c>
      <c r="F3793" s="2" t="s">
        <v>789</v>
      </c>
      <c r="G3793" s="2" t="s">
        <v>2427</v>
      </c>
      <c r="H3793" s="2" t="s">
        <v>944</v>
      </c>
      <c r="J3793" s="26"/>
      <c r="K3793" s="36">
        <v>4.4221499999999997E-3</v>
      </c>
      <c r="L3793" s="23">
        <v>1.1055399999999999E-3</v>
      </c>
    </row>
    <row r="3794" spans="1:12" ht="15.35" hidden="1" x14ac:dyDescent="0.55000000000000004">
      <c r="A3794" s="20">
        <v>17047</v>
      </c>
      <c r="B3794" s="2" t="s">
        <v>169</v>
      </c>
      <c r="C3794" s="2" t="s">
        <v>170</v>
      </c>
      <c r="D3794" s="20">
        <v>0</v>
      </c>
      <c r="E3794" s="2" t="s">
        <v>838</v>
      </c>
      <c r="F3794" s="2" t="s">
        <v>789</v>
      </c>
      <c r="G3794" s="2" t="s">
        <v>1610</v>
      </c>
      <c r="H3794" s="2" t="s">
        <v>944</v>
      </c>
      <c r="J3794" s="26"/>
      <c r="K3794" s="36">
        <v>4.4221499999999997E-3</v>
      </c>
      <c r="L3794" s="23">
        <v>1.1055399999999999E-3</v>
      </c>
    </row>
    <row r="3795" spans="1:12" ht="15.35" hidden="1" x14ac:dyDescent="0.55000000000000004">
      <c r="A3795" s="20">
        <v>17510</v>
      </c>
      <c r="B3795" s="2" t="s">
        <v>169</v>
      </c>
      <c r="C3795" s="2" t="s">
        <v>170</v>
      </c>
      <c r="D3795" s="20">
        <v>0</v>
      </c>
      <c r="E3795" s="2" t="s">
        <v>838</v>
      </c>
      <c r="F3795" s="2" t="s">
        <v>789</v>
      </c>
      <c r="G3795" s="2" t="s">
        <v>3885</v>
      </c>
      <c r="H3795" s="2" t="s">
        <v>944</v>
      </c>
      <c r="J3795" s="26"/>
      <c r="K3795" s="36">
        <v>4.9879999999999997E-5</v>
      </c>
      <c r="L3795" s="23">
        <v>1.2469999999999999E-5</v>
      </c>
    </row>
    <row r="3796" spans="1:12" ht="15.35" hidden="1" x14ac:dyDescent="0.55000000000000004">
      <c r="A3796" s="20">
        <v>16824</v>
      </c>
      <c r="B3796" s="2" t="s">
        <v>169</v>
      </c>
      <c r="C3796" s="2" t="s">
        <v>170</v>
      </c>
      <c r="D3796" s="20">
        <v>0</v>
      </c>
      <c r="E3796" s="2" t="s">
        <v>838</v>
      </c>
      <c r="F3796" s="2" t="s">
        <v>789</v>
      </c>
      <c r="G3796" s="2" t="s">
        <v>1128</v>
      </c>
      <c r="H3796" s="2" t="s">
        <v>944</v>
      </c>
      <c r="J3796" s="26"/>
      <c r="K3796" s="36">
        <v>2.7714999999999999E-4</v>
      </c>
      <c r="L3796" s="23">
        <v>6.9289999999999996E-5</v>
      </c>
    </row>
    <row r="3797" spans="1:12" ht="15.35" hidden="1" x14ac:dyDescent="0.55000000000000004">
      <c r="A3797" s="20">
        <v>16913</v>
      </c>
      <c r="B3797" s="2" t="s">
        <v>169</v>
      </c>
      <c r="C3797" s="2" t="s">
        <v>170</v>
      </c>
      <c r="D3797" s="20">
        <v>0</v>
      </c>
      <c r="E3797" s="2" t="s">
        <v>838</v>
      </c>
      <c r="F3797" s="2" t="s">
        <v>789</v>
      </c>
      <c r="G3797" s="2" t="s">
        <v>3886</v>
      </c>
      <c r="H3797" s="2" t="s">
        <v>944</v>
      </c>
      <c r="J3797" s="26"/>
      <c r="K3797" s="36">
        <v>9.9770000000000002E-5</v>
      </c>
      <c r="L3797" s="23">
        <v>2.4939999999999998E-5</v>
      </c>
    </row>
    <row r="3798" spans="1:12" ht="15.35" hidden="1" x14ac:dyDescent="0.55000000000000004">
      <c r="A3798" s="20">
        <v>17312</v>
      </c>
      <c r="B3798" s="2" t="s">
        <v>169</v>
      </c>
      <c r="C3798" s="2" t="s">
        <v>170</v>
      </c>
      <c r="D3798" s="20">
        <v>0</v>
      </c>
      <c r="E3798" s="2" t="s">
        <v>838</v>
      </c>
      <c r="F3798" s="2" t="s">
        <v>789</v>
      </c>
      <c r="G3798" s="2" t="s">
        <v>3887</v>
      </c>
      <c r="H3798" s="2" t="s">
        <v>1617</v>
      </c>
      <c r="J3798" s="26"/>
      <c r="K3798" s="36">
        <v>4.4221499999999997E-3</v>
      </c>
      <c r="L3798" s="23">
        <v>1.1055399999999999E-3</v>
      </c>
    </row>
    <row r="3799" spans="1:12" ht="15.35" hidden="1" x14ac:dyDescent="0.55000000000000004">
      <c r="A3799" s="20">
        <v>17684</v>
      </c>
      <c r="B3799" s="2" t="s">
        <v>169</v>
      </c>
      <c r="C3799" s="2" t="s">
        <v>170</v>
      </c>
      <c r="D3799" s="20">
        <v>0</v>
      </c>
      <c r="E3799" s="2" t="s">
        <v>838</v>
      </c>
      <c r="F3799" s="2" t="s">
        <v>789</v>
      </c>
      <c r="G3799" s="2" t="s">
        <v>3888</v>
      </c>
      <c r="H3799" s="2" t="s">
        <v>946</v>
      </c>
      <c r="J3799" s="26"/>
      <c r="K3799" s="36">
        <v>4.4221499999999997E-3</v>
      </c>
      <c r="L3799" s="23">
        <v>1.1055399999999999E-3</v>
      </c>
    </row>
    <row r="3800" spans="1:12" ht="15.35" hidden="1" x14ac:dyDescent="0.55000000000000004">
      <c r="A3800" s="20">
        <v>17604</v>
      </c>
      <c r="B3800" s="2" t="s">
        <v>169</v>
      </c>
      <c r="C3800" s="2" t="s">
        <v>170</v>
      </c>
      <c r="D3800" s="20">
        <v>0</v>
      </c>
      <c r="E3800" s="2" t="s">
        <v>838</v>
      </c>
      <c r="F3800" s="2" t="s">
        <v>789</v>
      </c>
      <c r="G3800" s="2" t="s">
        <v>2429</v>
      </c>
      <c r="H3800" s="2" t="s">
        <v>946</v>
      </c>
      <c r="J3800" s="26"/>
      <c r="K3800" s="36">
        <v>3.3336999999999999E-4</v>
      </c>
      <c r="L3800" s="23">
        <v>8.3339999999999998E-5</v>
      </c>
    </row>
    <row r="3801" spans="1:12" ht="15.35" hidden="1" x14ac:dyDescent="0.55000000000000004">
      <c r="A3801" s="20">
        <v>16942</v>
      </c>
      <c r="B3801" s="2" t="s">
        <v>169</v>
      </c>
      <c r="C3801" s="2" t="s">
        <v>170</v>
      </c>
      <c r="D3801" s="20">
        <v>0</v>
      </c>
      <c r="E3801" s="2" t="s">
        <v>838</v>
      </c>
      <c r="F3801" s="2" t="s">
        <v>789</v>
      </c>
      <c r="G3801" s="2" t="s">
        <v>1130</v>
      </c>
      <c r="H3801" s="2" t="s">
        <v>946</v>
      </c>
      <c r="J3801" s="26"/>
      <c r="K3801" s="36">
        <v>2.0022199999999999E-3</v>
      </c>
      <c r="L3801" s="23">
        <v>5.0055E-4</v>
      </c>
    </row>
    <row r="3802" spans="1:12" ht="15.35" hidden="1" x14ac:dyDescent="0.55000000000000004">
      <c r="A3802" s="20">
        <v>17649</v>
      </c>
      <c r="B3802" s="2" t="s">
        <v>169</v>
      </c>
      <c r="C3802" s="2" t="s">
        <v>170</v>
      </c>
      <c r="D3802" s="20">
        <v>0</v>
      </c>
      <c r="E3802" s="2" t="s">
        <v>838</v>
      </c>
      <c r="F3802" s="2" t="s">
        <v>789</v>
      </c>
      <c r="G3802" s="2" t="s">
        <v>1131</v>
      </c>
      <c r="H3802" s="2" t="s">
        <v>946</v>
      </c>
      <c r="J3802" s="26"/>
      <c r="K3802" s="36">
        <v>3.3368999999999998E-3</v>
      </c>
      <c r="L3802" s="23">
        <v>8.3421999999999999E-4</v>
      </c>
    </row>
    <row r="3803" spans="1:12" ht="15.35" hidden="1" x14ac:dyDescent="0.55000000000000004">
      <c r="A3803" s="20">
        <v>17645</v>
      </c>
      <c r="B3803" s="2" t="s">
        <v>169</v>
      </c>
      <c r="C3803" s="2" t="s">
        <v>170</v>
      </c>
      <c r="D3803" s="20">
        <v>0</v>
      </c>
      <c r="E3803" s="2" t="s">
        <v>838</v>
      </c>
      <c r="F3803" s="2" t="s">
        <v>789</v>
      </c>
      <c r="G3803" s="2" t="s">
        <v>3232</v>
      </c>
      <c r="H3803" s="2" t="s">
        <v>1620</v>
      </c>
      <c r="J3803" s="26"/>
      <c r="K3803" s="36">
        <v>1.4681099999999999E-3</v>
      </c>
      <c r="L3803" s="23">
        <v>3.6703000000000001E-4</v>
      </c>
    </row>
    <row r="3804" spans="1:12" ht="15.35" hidden="1" x14ac:dyDescent="0.55000000000000004">
      <c r="A3804" s="20">
        <v>17607</v>
      </c>
      <c r="B3804" s="2" t="s">
        <v>169</v>
      </c>
      <c r="C3804" s="2" t="s">
        <v>170</v>
      </c>
      <c r="D3804" s="20">
        <v>0</v>
      </c>
      <c r="E3804" s="2" t="s">
        <v>838</v>
      </c>
      <c r="F3804" s="2" t="s">
        <v>793</v>
      </c>
      <c r="G3804" s="2" t="s">
        <v>3889</v>
      </c>
      <c r="H3804" s="2" t="s">
        <v>950</v>
      </c>
      <c r="J3804" s="26"/>
      <c r="K3804" s="36">
        <v>4.4221499999999997E-3</v>
      </c>
      <c r="L3804" s="23">
        <v>1.1055399999999999E-3</v>
      </c>
    </row>
    <row r="3805" spans="1:12" ht="15.35" hidden="1" x14ac:dyDescent="0.55000000000000004">
      <c r="A3805" s="20">
        <v>16859</v>
      </c>
      <c r="B3805" s="2" t="s">
        <v>169</v>
      </c>
      <c r="C3805" s="2" t="s">
        <v>170</v>
      </c>
      <c r="D3805" s="20">
        <v>0</v>
      </c>
      <c r="E3805" s="2" t="s">
        <v>838</v>
      </c>
      <c r="F3805" s="2" t="s">
        <v>793</v>
      </c>
      <c r="G3805" s="2" t="s">
        <v>3890</v>
      </c>
      <c r="H3805" s="2" t="s">
        <v>950</v>
      </c>
      <c r="J3805" s="26"/>
      <c r="K3805" s="36">
        <v>4.4221499999999997E-3</v>
      </c>
      <c r="L3805" s="23">
        <v>1.1055399999999999E-3</v>
      </c>
    </row>
    <row r="3806" spans="1:12" ht="15.35" hidden="1" x14ac:dyDescent="0.55000000000000004">
      <c r="A3806" s="20">
        <v>16823</v>
      </c>
      <c r="B3806" s="2" t="s">
        <v>169</v>
      </c>
      <c r="C3806" s="2" t="s">
        <v>170</v>
      </c>
      <c r="D3806" s="20">
        <v>0</v>
      </c>
      <c r="E3806" s="2" t="s">
        <v>838</v>
      </c>
      <c r="F3806" s="2" t="s">
        <v>793</v>
      </c>
      <c r="G3806" s="2" t="s">
        <v>3245</v>
      </c>
      <c r="H3806" s="2" t="s">
        <v>950</v>
      </c>
      <c r="J3806" s="26"/>
      <c r="K3806" s="36">
        <v>1.6684499999999999E-3</v>
      </c>
      <c r="L3806" s="23">
        <v>4.1711E-4</v>
      </c>
    </row>
    <row r="3807" spans="1:12" ht="15.35" hidden="1" x14ac:dyDescent="0.55000000000000004">
      <c r="A3807" s="20">
        <v>17221</v>
      </c>
      <c r="B3807" s="2" t="s">
        <v>169</v>
      </c>
      <c r="C3807" s="2" t="s">
        <v>170</v>
      </c>
      <c r="D3807" s="20">
        <v>0</v>
      </c>
      <c r="E3807" s="2" t="s">
        <v>838</v>
      </c>
      <c r="F3807" s="2" t="s">
        <v>793</v>
      </c>
      <c r="G3807" s="2" t="s">
        <v>1142</v>
      </c>
      <c r="H3807" s="2" t="s">
        <v>950</v>
      </c>
      <c r="J3807" s="26"/>
      <c r="K3807" s="36">
        <v>4.4221499999999997E-3</v>
      </c>
      <c r="L3807" s="23">
        <v>1.1055399999999999E-3</v>
      </c>
    </row>
    <row r="3808" spans="1:12" ht="15.35" hidden="1" x14ac:dyDescent="0.55000000000000004">
      <c r="A3808" s="20">
        <v>17502</v>
      </c>
      <c r="B3808" s="2" t="s">
        <v>169</v>
      </c>
      <c r="C3808" s="2" t="s">
        <v>170</v>
      </c>
      <c r="D3808" s="20">
        <v>0</v>
      </c>
      <c r="E3808" s="2" t="s">
        <v>838</v>
      </c>
      <c r="F3808" s="2" t="s">
        <v>793</v>
      </c>
      <c r="G3808" s="2" t="s">
        <v>1143</v>
      </c>
      <c r="H3808" s="2" t="s">
        <v>950</v>
      </c>
      <c r="J3808" s="26"/>
      <c r="K3808" s="36">
        <v>3.3368999999999998E-3</v>
      </c>
      <c r="L3808" s="23">
        <v>8.3421999999999999E-4</v>
      </c>
    </row>
    <row r="3809" spans="1:12" ht="15.35" hidden="1" x14ac:dyDescent="0.55000000000000004">
      <c r="A3809" s="20">
        <v>16839</v>
      </c>
      <c r="B3809" s="2" t="s">
        <v>169</v>
      </c>
      <c r="C3809" s="2" t="s">
        <v>170</v>
      </c>
      <c r="D3809" s="20">
        <v>0</v>
      </c>
      <c r="E3809" s="2" t="s">
        <v>838</v>
      </c>
      <c r="F3809" s="2" t="s">
        <v>793</v>
      </c>
      <c r="G3809" s="2" t="s">
        <v>3247</v>
      </c>
      <c r="H3809" s="2" t="s">
        <v>950</v>
      </c>
      <c r="J3809" s="26"/>
      <c r="K3809" s="36">
        <v>1.6668E-4</v>
      </c>
      <c r="L3809" s="23">
        <v>4.1669999999999999E-5</v>
      </c>
    </row>
    <row r="3810" spans="1:12" ht="15.35" hidden="1" x14ac:dyDescent="0.55000000000000004">
      <c r="A3810" s="20">
        <v>17356</v>
      </c>
      <c r="B3810" s="2" t="s">
        <v>169</v>
      </c>
      <c r="C3810" s="2" t="s">
        <v>170</v>
      </c>
      <c r="D3810" s="20">
        <v>0</v>
      </c>
      <c r="E3810" s="2" t="s">
        <v>838</v>
      </c>
      <c r="F3810" s="2" t="s">
        <v>793</v>
      </c>
      <c r="G3810" s="2" t="s">
        <v>3248</v>
      </c>
      <c r="H3810" s="2" t="s">
        <v>950</v>
      </c>
      <c r="J3810" s="26"/>
      <c r="K3810" s="36">
        <v>4.6718999999999998E-4</v>
      </c>
      <c r="L3810" s="23">
        <v>1.1680000000000001E-4</v>
      </c>
    </row>
    <row r="3811" spans="1:12" ht="15.35" hidden="1" x14ac:dyDescent="0.55000000000000004">
      <c r="A3811" s="20">
        <v>17088</v>
      </c>
      <c r="B3811" s="2" t="s">
        <v>169</v>
      </c>
      <c r="C3811" s="2" t="s">
        <v>170</v>
      </c>
      <c r="D3811" s="20">
        <v>0</v>
      </c>
      <c r="E3811" s="2" t="s">
        <v>838</v>
      </c>
      <c r="F3811" s="2" t="s">
        <v>793</v>
      </c>
      <c r="G3811" s="2" t="s">
        <v>3891</v>
      </c>
      <c r="H3811" s="2" t="s">
        <v>950</v>
      </c>
      <c r="J3811" s="26"/>
      <c r="K3811" s="36">
        <v>1.60154E-3</v>
      </c>
      <c r="L3811" s="23">
        <v>4.0037999999999999E-4</v>
      </c>
    </row>
    <row r="3812" spans="1:12" ht="15.35" hidden="1" x14ac:dyDescent="0.55000000000000004">
      <c r="A3812" s="20">
        <v>17416</v>
      </c>
      <c r="B3812" s="2" t="s">
        <v>169</v>
      </c>
      <c r="C3812" s="2" t="s">
        <v>170</v>
      </c>
      <c r="D3812" s="20">
        <v>0</v>
      </c>
      <c r="E3812" s="2" t="s">
        <v>838</v>
      </c>
      <c r="F3812" s="2" t="s">
        <v>793</v>
      </c>
      <c r="G3812" s="2" t="s">
        <v>3250</v>
      </c>
      <c r="H3812" s="2" t="s">
        <v>950</v>
      </c>
      <c r="J3812" s="26"/>
      <c r="K3812" s="36">
        <v>4.0027999999999998E-4</v>
      </c>
      <c r="L3812" s="23">
        <v>1.0007E-4</v>
      </c>
    </row>
    <row r="3813" spans="1:12" ht="15.35" hidden="1" x14ac:dyDescent="0.55000000000000004">
      <c r="A3813" s="20">
        <v>17272</v>
      </c>
      <c r="B3813" s="2" t="s">
        <v>169</v>
      </c>
      <c r="C3813" s="2" t="s">
        <v>170</v>
      </c>
      <c r="D3813" s="20">
        <v>0</v>
      </c>
      <c r="E3813" s="2" t="s">
        <v>838</v>
      </c>
      <c r="F3813" s="2" t="s">
        <v>793</v>
      </c>
      <c r="G3813" s="2" t="s">
        <v>3892</v>
      </c>
      <c r="H3813" s="2" t="s">
        <v>950</v>
      </c>
      <c r="J3813" s="26"/>
      <c r="K3813" s="36">
        <v>2.0022199999999999E-3</v>
      </c>
      <c r="L3813" s="23">
        <v>5.0055E-4</v>
      </c>
    </row>
    <row r="3814" spans="1:12" ht="15.35" hidden="1" x14ac:dyDescent="0.55000000000000004">
      <c r="A3814" s="20">
        <v>17120</v>
      </c>
      <c r="B3814" s="2" t="s">
        <v>169</v>
      </c>
      <c r="C3814" s="2" t="s">
        <v>170</v>
      </c>
      <c r="D3814" s="20">
        <v>0</v>
      </c>
      <c r="E3814" s="2" t="s">
        <v>838</v>
      </c>
      <c r="F3814" s="2" t="s">
        <v>793</v>
      </c>
      <c r="G3814" s="2" t="s">
        <v>3893</v>
      </c>
      <c r="H3814" s="2" t="s">
        <v>950</v>
      </c>
      <c r="J3814" s="26"/>
      <c r="K3814" s="36">
        <v>3.2030800000000001E-3</v>
      </c>
      <c r="L3814" s="23">
        <v>8.0077000000000002E-4</v>
      </c>
    </row>
    <row r="3815" spans="1:12" ht="15.35" hidden="1" x14ac:dyDescent="0.55000000000000004">
      <c r="A3815" s="20">
        <v>17527</v>
      </c>
      <c r="B3815" s="2" t="s">
        <v>169</v>
      </c>
      <c r="C3815" s="2" t="s">
        <v>170</v>
      </c>
      <c r="D3815" s="20">
        <v>0</v>
      </c>
      <c r="E3815" s="2" t="s">
        <v>838</v>
      </c>
      <c r="F3815" s="2" t="s">
        <v>793</v>
      </c>
      <c r="G3815" s="2" t="s">
        <v>3252</v>
      </c>
      <c r="H3815" s="2" t="s">
        <v>950</v>
      </c>
      <c r="J3815" s="26"/>
      <c r="K3815" s="36">
        <v>1.3350700000000001E-3</v>
      </c>
      <c r="L3815" s="23">
        <v>3.3377E-4</v>
      </c>
    </row>
    <row r="3816" spans="1:12" ht="15.35" hidden="1" x14ac:dyDescent="0.55000000000000004">
      <c r="A3816" s="20">
        <v>17267</v>
      </c>
      <c r="B3816" s="2" t="s">
        <v>169</v>
      </c>
      <c r="C3816" s="2" t="s">
        <v>170</v>
      </c>
      <c r="D3816" s="20">
        <v>0</v>
      </c>
      <c r="E3816" s="2" t="s">
        <v>838</v>
      </c>
      <c r="F3816" s="2" t="s">
        <v>817</v>
      </c>
      <c r="G3816" s="2" t="s">
        <v>3894</v>
      </c>
      <c r="H3816" s="2" t="s">
        <v>952</v>
      </c>
      <c r="J3816" s="26"/>
      <c r="K3816" s="36">
        <v>4.4221499999999997E-3</v>
      </c>
      <c r="L3816" s="23">
        <v>1.1055399999999999E-3</v>
      </c>
    </row>
    <row r="3817" spans="1:12" ht="15.35" hidden="1" x14ac:dyDescent="0.55000000000000004">
      <c r="A3817" s="20">
        <v>16978</v>
      </c>
      <c r="B3817" s="2" t="s">
        <v>169</v>
      </c>
      <c r="C3817" s="2" t="s">
        <v>170</v>
      </c>
      <c r="D3817" s="20">
        <v>0</v>
      </c>
      <c r="E3817" s="2" t="s">
        <v>838</v>
      </c>
      <c r="F3817" s="2" t="s">
        <v>793</v>
      </c>
      <c r="G3817" s="2" t="s">
        <v>3895</v>
      </c>
      <c r="H3817" s="2" t="s">
        <v>952</v>
      </c>
      <c r="J3817" s="26"/>
      <c r="K3817" s="36">
        <v>6.6509999999999998E-5</v>
      </c>
      <c r="L3817" s="23">
        <v>1.6629999999999998E-5</v>
      </c>
    </row>
    <row r="3818" spans="1:12" ht="15.35" hidden="1" x14ac:dyDescent="0.55000000000000004">
      <c r="A3818" s="20">
        <v>17450</v>
      </c>
      <c r="B3818" s="2" t="s">
        <v>169</v>
      </c>
      <c r="C3818" s="2" t="s">
        <v>170</v>
      </c>
      <c r="D3818" s="20">
        <v>0</v>
      </c>
      <c r="E3818" s="2" t="s">
        <v>838</v>
      </c>
      <c r="F3818" s="2" t="s">
        <v>793</v>
      </c>
      <c r="G3818" s="2" t="s">
        <v>3896</v>
      </c>
      <c r="H3818" s="2" t="s">
        <v>952</v>
      </c>
      <c r="J3818" s="26"/>
      <c r="K3818" s="36">
        <v>9.5019999999999995E-5</v>
      </c>
      <c r="L3818" s="23">
        <v>2.376E-5</v>
      </c>
    </row>
    <row r="3819" spans="1:12" ht="15.35" hidden="1" x14ac:dyDescent="0.55000000000000004">
      <c r="A3819" s="20">
        <v>17682</v>
      </c>
      <c r="B3819" s="2" t="s">
        <v>169</v>
      </c>
      <c r="C3819" s="2" t="s">
        <v>170</v>
      </c>
      <c r="D3819" s="20">
        <v>0</v>
      </c>
      <c r="E3819" s="2" t="s">
        <v>838</v>
      </c>
      <c r="F3819" s="2" t="s">
        <v>793</v>
      </c>
      <c r="G3819" s="2" t="s">
        <v>3897</v>
      </c>
      <c r="H3819" s="2" t="s">
        <v>952</v>
      </c>
      <c r="J3819" s="26"/>
      <c r="K3819" s="36">
        <v>4.0027999999999998E-4</v>
      </c>
      <c r="L3819" s="23">
        <v>1.0007E-4</v>
      </c>
    </row>
    <row r="3820" spans="1:12" ht="15.35" hidden="1" x14ac:dyDescent="0.55000000000000004">
      <c r="A3820" s="20">
        <v>17709</v>
      </c>
      <c r="B3820" s="2" t="s">
        <v>169</v>
      </c>
      <c r="C3820" s="2" t="s">
        <v>170</v>
      </c>
      <c r="D3820" s="20">
        <v>0</v>
      </c>
      <c r="E3820" s="2" t="s">
        <v>838</v>
      </c>
      <c r="F3820" s="2" t="s">
        <v>793</v>
      </c>
      <c r="G3820" s="2" t="s">
        <v>3898</v>
      </c>
      <c r="H3820" s="2" t="s">
        <v>952</v>
      </c>
      <c r="J3820" s="26"/>
      <c r="K3820" s="36">
        <v>6.6516000000000004E-4</v>
      </c>
      <c r="L3820" s="23">
        <v>1.6629000000000001E-4</v>
      </c>
    </row>
    <row r="3821" spans="1:12" ht="15.35" hidden="1" x14ac:dyDescent="0.55000000000000004">
      <c r="A3821" s="20">
        <v>17546</v>
      </c>
      <c r="B3821" s="2" t="s">
        <v>169</v>
      </c>
      <c r="C3821" s="2" t="s">
        <v>170</v>
      </c>
      <c r="D3821" s="20">
        <v>0</v>
      </c>
      <c r="E3821" s="2" t="s">
        <v>838</v>
      </c>
      <c r="F3821" s="2" t="s">
        <v>793</v>
      </c>
      <c r="G3821" s="2" t="s">
        <v>3899</v>
      </c>
      <c r="H3821" s="2" t="s">
        <v>952</v>
      </c>
      <c r="J3821" s="26"/>
      <c r="K3821" s="36">
        <v>2.6697600000000002E-3</v>
      </c>
      <c r="L3821" s="23">
        <v>6.6744000000000005E-4</v>
      </c>
    </row>
    <row r="3822" spans="1:12" ht="15.35" hidden="1" x14ac:dyDescent="0.55000000000000004">
      <c r="A3822" s="20">
        <v>17585</v>
      </c>
      <c r="B3822" s="2" t="s">
        <v>169</v>
      </c>
      <c r="C3822" s="2" t="s">
        <v>170</v>
      </c>
      <c r="D3822" s="20">
        <v>0</v>
      </c>
      <c r="E3822" s="2" t="s">
        <v>838</v>
      </c>
      <c r="F3822" s="2" t="s">
        <v>793</v>
      </c>
      <c r="G3822" s="2" t="s">
        <v>3259</v>
      </c>
      <c r="H3822" s="2" t="s">
        <v>952</v>
      </c>
      <c r="J3822" s="26"/>
      <c r="K3822" s="36">
        <v>6.6509999999999998E-5</v>
      </c>
      <c r="L3822" s="23">
        <v>1.6629999999999998E-5</v>
      </c>
    </row>
    <row r="3823" spans="1:12" ht="15.35" hidden="1" x14ac:dyDescent="0.55000000000000004">
      <c r="A3823" s="20">
        <v>16827</v>
      </c>
      <c r="B3823" s="2" t="s">
        <v>169</v>
      </c>
      <c r="C3823" s="2" t="s">
        <v>170</v>
      </c>
      <c r="D3823" s="20">
        <v>0</v>
      </c>
      <c r="E3823" s="2" t="s">
        <v>838</v>
      </c>
      <c r="F3823" s="2" t="s">
        <v>817</v>
      </c>
      <c r="G3823" s="2" t="s">
        <v>3900</v>
      </c>
      <c r="H3823" s="2" t="s">
        <v>952</v>
      </c>
      <c r="J3823" s="26"/>
      <c r="K3823" s="36">
        <v>3.9589999999999999E-5</v>
      </c>
      <c r="L3823" s="23">
        <v>9.9000000000000001E-6</v>
      </c>
    </row>
    <row r="3824" spans="1:12" ht="15.35" hidden="1" x14ac:dyDescent="0.55000000000000004">
      <c r="A3824" s="20">
        <v>17541</v>
      </c>
      <c r="B3824" s="2" t="s">
        <v>169</v>
      </c>
      <c r="C3824" s="2" t="s">
        <v>170</v>
      </c>
      <c r="D3824" s="20">
        <v>0</v>
      </c>
      <c r="E3824" s="2" t="s">
        <v>838</v>
      </c>
      <c r="F3824" s="2" t="s">
        <v>817</v>
      </c>
      <c r="G3824" s="2" t="s">
        <v>3901</v>
      </c>
      <c r="H3824" s="2" t="s">
        <v>952</v>
      </c>
      <c r="J3824" s="26"/>
      <c r="K3824" s="36">
        <v>3.998E-5</v>
      </c>
      <c r="L3824" s="23">
        <v>9.9899999999999992E-6</v>
      </c>
    </row>
    <row r="3825" spans="1:12" ht="15.35" hidden="1" x14ac:dyDescent="0.55000000000000004">
      <c r="A3825" s="20">
        <v>16862</v>
      </c>
      <c r="B3825" s="2" t="s">
        <v>169</v>
      </c>
      <c r="C3825" s="2" t="s">
        <v>170</v>
      </c>
      <c r="D3825" s="20">
        <v>0</v>
      </c>
      <c r="E3825" s="2" t="s">
        <v>838</v>
      </c>
      <c r="F3825" s="2" t="s">
        <v>817</v>
      </c>
      <c r="G3825" s="2" t="s">
        <v>3902</v>
      </c>
      <c r="H3825" s="2" t="s">
        <v>952</v>
      </c>
      <c r="J3825" s="26"/>
      <c r="K3825" s="36">
        <v>9.4619999999999999E-5</v>
      </c>
      <c r="L3825" s="23">
        <v>2.3649999999999999E-5</v>
      </c>
    </row>
    <row r="3826" spans="1:12" ht="15.35" hidden="1" x14ac:dyDescent="0.55000000000000004">
      <c r="A3826" s="20">
        <v>16905</v>
      </c>
      <c r="B3826" s="2" t="s">
        <v>169</v>
      </c>
      <c r="C3826" s="2" t="s">
        <v>170</v>
      </c>
      <c r="D3826" s="20">
        <v>0</v>
      </c>
      <c r="E3826" s="2" t="s">
        <v>838</v>
      </c>
      <c r="F3826" s="2" t="s">
        <v>817</v>
      </c>
      <c r="G3826" s="2" t="s">
        <v>3903</v>
      </c>
      <c r="H3826" s="2" t="s">
        <v>952</v>
      </c>
      <c r="J3826" s="26"/>
      <c r="K3826" s="36">
        <v>7.483E-5</v>
      </c>
      <c r="L3826" s="23">
        <v>1.8709999999999999E-5</v>
      </c>
    </row>
    <row r="3827" spans="1:12" ht="15.35" hidden="1" x14ac:dyDescent="0.55000000000000004">
      <c r="A3827" s="20">
        <v>17260</v>
      </c>
      <c r="B3827" s="2" t="s">
        <v>169</v>
      </c>
      <c r="C3827" s="2" t="s">
        <v>170</v>
      </c>
      <c r="D3827" s="20">
        <v>0</v>
      </c>
      <c r="E3827" s="2" t="s">
        <v>838</v>
      </c>
      <c r="F3827" s="2" t="s">
        <v>793</v>
      </c>
      <c r="G3827" s="2" t="s">
        <v>3287</v>
      </c>
      <c r="H3827" s="2" t="s">
        <v>952</v>
      </c>
      <c r="J3827" s="26"/>
      <c r="K3827" s="36">
        <v>6.0061999999999995E-4</v>
      </c>
      <c r="L3827" s="23">
        <v>1.5014999999999999E-4</v>
      </c>
    </row>
    <row r="3828" spans="1:12" ht="15.35" hidden="1" x14ac:dyDescent="0.55000000000000004">
      <c r="A3828" s="20">
        <v>17144</v>
      </c>
      <c r="B3828" s="2" t="s">
        <v>169</v>
      </c>
      <c r="C3828" s="2" t="s">
        <v>170</v>
      </c>
      <c r="D3828" s="20">
        <v>0</v>
      </c>
      <c r="E3828" s="2" t="s">
        <v>838</v>
      </c>
      <c r="F3828" s="2" t="s">
        <v>793</v>
      </c>
      <c r="G3828" s="2" t="s">
        <v>3288</v>
      </c>
      <c r="H3828" s="2" t="s">
        <v>952</v>
      </c>
      <c r="J3828" s="26"/>
      <c r="K3828" s="36">
        <v>2.6685000000000001E-4</v>
      </c>
      <c r="L3828" s="23">
        <v>6.6710000000000003E-5</v>
      </c>
    </row>
    <row r="3829" spans="1:12" ht="15.35" hidden="1" x14ac:dyDescent="0.55000000000000004">
      <c r="A3829" s="20">
        <v>17008</v>
      </c>
      <c r="B3829" s="2" t="s">
        <v>169</v>
      </c>
      <c r="C3829" s="2" t="s">
        <v>170</v>
      </c>
      <c r="D3829" s="20">
        <v>0</v>
      </c>
      <c r="E3829" s="2" t="s">
        <v>838</v>
      </c>
      <c r="F3829" s="2" t="s">
        <v>793</v>
      </c>
      <c r="G3829" s="2" t="s">
        <v>3289</v>
      </c>
      <c r="H3829" s="2" t="s">
        <v>952</v>
      </c>
      <c r="J3829" s="26"/>
      <c r="K3829" s="36">
        <v>5.3370999999999996E-4</v>
      </c>
      <c r="L3829" s="23">
        <v>1.3343E-4</v>
      </c>
    </row>
    <row r="3830" spans="1:12" ht="15.35" hidden="1" x14ac:dyDescent="0.55000000000000004">
      <c r="A3830" s="20">
        <v>17652</v>
      </c>
      <c r="B3830" s="2" t="s">
        <v>169</v>
      </c>
      <c r="C3830" s="2" t="s">
        <v>170</v>
      </c>
      <c r="D3830" s="20">
        <v>0</v>
      </c>
      <c r="E3830" s="2" t="s">
        <v>838</v>
      </c>
      <c r="F3830" s="2" t="s">
        <v>793</v>
      </c>
      <c r="G3830" s="2" t="s">
        <v>3904</v>
      </c>
      <c r="H3830" s="2" t="s">
        <v>952</v>
      </c>
      <c r="J3830" s="26"/>
      <c r="K3830" s="36">
        <v>1.3342000000000001E-4</v>
      </c>
      <c r="L3830" s="23">
        <v>3.3359999999999999E-5</v>
      </c>
    </row>
    <row r="3831" spans="1:12" ht="15.35" hidden="1" x14ac:dyDescent="0.55000000000000004">
      <c r="A3831" s="20">
        <v>17691</v>
      </c>
      <c r="B3831" s="2" t="s">
        <v>169</v>
      </c>
      <c r="C3831" s="2" t="s">
        <v>170</v>
      </c>
      <c r="D3831" s="20">
        <v>0</v>
      </c>
      <c r="E3831" s="2" t="s">
        <v>838</v>
      </c>
      <c r="F3831" s="2" t="s">
        <v>793</v>
      </c>
      <c r="G3831" s="2" t="s">
        <v>3292</v>
      </c>
      <c r="H3831" s="2" t="s">
        <v>952</v>
      </c>
      <c r="J3831" s="26"/>
      <c r="K3831" s="36">
        <v>6.6509999999999998E-5</v>
      </c>
      <c r="L3831" s="23">
        <v>1.6629999999999998E-5</v>
      </c>
    </row>
    <row r="3832" spans="1:12" ht="15.35" hidden="1" x14ac:dyDescent="0.55000000000000004">
      <c r="A3832" s="20">
        <v>17346</v>
      </c>
      <c r="B3832" s="2" t="s">
        <v>169</v>
      </c>
      <c r="C3832" s="2" t="s">
        <v>170</v>
      </c>
      <c r="D3832" s="20">
        <v>0</v>
      </c>
      <c r="E3832" s="2" t="s">
        <v>838</v>
      </c>
      <c r="F3832" s="2" t="s">
        <v>793</v>
      </c>
      <c r="G3832" s="2" t="s">
        <v>3293</v>
      </c>
      <c r="H3832" s="2" t="s">
        <v>952</v>
      </c>
      <c r="J3832" s="26"/>
      <c r="K3832" s="36">
        <v>6.6509999999999998E-5</v>
      </c>
      <c r="L3832" s="23">
        <v>1.6629999999999998E-5</v>
      </c>
    </row>
    <row r="3833" spans="1:12" ht="15.35" hidden="1" x14ac:dyDescent="0.55000000000000004">
      <c r="A3833" s="20">
        <v>17242</v>
      </c>
      <c r="B3833" s="2" t="s">
        <v>169</v>
      </c>
      <c r="C3833" s="2" t="s">
        <v>170</v>
      </c>
      <c r="D3833" s="20">
        <v>0</v>
      </c>
      <c r="E3833" s="2" t="s">
        <v>838</v>
      </c>
      <c r="F3833" s="2" t="s">
        <v>793</v>
      </c>
      <c r="G3833" s="2" t="s">
        <v>3905</v>
      </c>
      <c r="H3833" s="2" t="s">
        <v>952</v>
      </c>
      <c r="J3833" s="26"/>
      <c r="K3833" s="36">
        <v>7.9969999999999995E-5</v>
      </c>
      <c r="L3833" s="23">
        <v>1.999E-5</v>
      </c>
    </row>
    <row r="3834" spans="1:12" ht="15.35" hidden="1" x14ac:dyDescent="0.55000000000000004">
      <c r="A3834" s="20">
        <v>16815</v>
      </c>
      <c r="B3834" s="2" t="s">
        <v>169</v>
      </c>
      <c r="C3834" s="2" t="s">
        <v>170</v>
      </c>
      <c r="D3834" s="20">
        <v>0</v>
      </c>
      <c r="E3834" s="2" t="s">
        <v>838</v>
      </c>
      <c r="F3834" s="2" t="s">
        <v>793</v>
      </c>
      <c r="G3834" s="2" t="s">
        <v>3905</v>
      </c>
      <c r="H3834" s="2" t="s">
        <v>952</v>
      </c>
      <c r="J3834" s="26"/>
      <c r="K3834" s="36">
        <v>6.6509999999999998E-5</v>
      </c>
      <c r="L3834" s="23">
        <v>1.6629999999999998E-5</v>
      </c>
    </row>
    <row r="3835" spans="1:12" ht="15.35" hidden="1" x14ac:dyDescent="0.55000000000000004">
      <c r="A3835" s="20">
        <v>17013</v>
      </c>
      <c r="B3835" s="2" t="s">
        <v>169</v>
      </c>
      <c r="C3835" s="2" t="s">
        <v>170</v>
      </c>
      <c r="D3835" s="20">
        <v>0</v>
      </c>
      <c r="E3835" s="2" t="s">
        <v>838</v>
      </c>
      <c r="F3835" s="2" t="s">
        <v>793</v>
      </c>
      <c r="G3835" s="2" t="s">
        <v>3294</v>
      </c>
      <c r="H3835" s="2" t="s">
        <v>952</v>
      </c>
      <c r="J3835" s="26"/>
      <c r="K3835" s="36">
        <v>6.6509999999999998E-5</v>
      </c>
      <c r="L3835" s="23">
        <v>1.6629999999999998E-5</v>
      </c>
    </row>
    <row r="3836" spans="1:12" ht="15.35" hidden="1" x14ac:dyDescent="0.55000000000000004">
      <c r="A3836" s="20">
        <v>17484</v>
      </c>
      <c r="B3836" s="2" t="s">
        <v>169</v>
      </c>
      <c r="C3836" s="2" t="s">
        <v>170</v>
      </c>
      <c r="D3836" s="20">
        <v>0</v>
      </c>
      <c r="E3836" s="2" t="s">
        <v>838</v>
      </c>
      <c r="F3836" s="2" t="s">
        <v>793</v>
      </c>
      <c r="G3836" s="2" t="s">
        <v>3295</v>
      </c>
      <c r="H3836" s="2" t="s">
        <v>952</v>
      </c>
      <c r="J3836" s="26"/>
      <c r="K3836" s="36">
        <v>4.4221499999999997E-3</v>
      </c>
      <c r="L3836" s="23">
        <v>1.1055399999999999E-3</v>
      </c>
    </row>
    <row r="3837" spans="1:12" ht="15.35" hidden="1" x14ac:dyDescent="0.55000000000000004">
      <c r="A3837" s="20">
        <v>17084</v>
      </c>
      <c r="B3837" s="2" t="s">
        <v>169</v>
      </c>
      <c r="C3837" s="2" t="s">
        <v>170</v>
      </c>
      <c r="D3837" s="20">
        <v>0</v>
      </c>
      <c r="E3837" s="2" t="s">
        <v>838</v>
      </c>
      <c r="F3837" s="2" t="s">
        <v>793</v>
      </c>
      <c r="G3837" s="2" t="s">
        <v>3297</v>
      </c>
      <c r="H3837" s="2" t="s">
        <v>952</v>
      </c>
      <c r="J3837" s="26"/>
      <c r="K3837" s="36">
        <v>1.1323E-4</v>
      </c>
      <c r="L3837" s="23">
        <v>2.8309999999999998E-5</v>
      </c>
    </row>
    <row r="3838" spans="1:12" ht="15.35" hidden="1" x14ac:dyDescent="0.55000000000000004">
      <c r="A3838" s="20">
        <v>17650</v>
      </c>
      <c r="B3838" s="2" t="s">
        <v>169</v>
      </c>
      <c r="C3838" s="2" t="s">
        <v>170</v>
      </c>
      <c r="D3838" s="20">
        <v>0</v>
      </c>
      <c r="E3838" s="2" t="s">
        <v>838</v>
      </c>
      <c r="F3838" s="2" t="s">
        <v>793</v>
      </c>
      <c r="G3838" s="2" t="s">
        <v>3298</v>
      </c>
      <c r="H3838" s="2" t="s">
        <v>952</v>
      </c>
      <c r="J3838" s="26"/>
      <c r="K3838" s="36">
        <v>1.9994000000000001E-4</v>
      </c>
      <c r="L3838" s="23">
        <v>4.9990000000000001E-5</v>
      </c>
    </row>
    <row r="3839" spans="1:12" ht="15.35" hidden="1" x14ac:dyDescent="0.55000000000000004">
      <c r="A3839" s="20">
        <v>17066</v>
      </c>
      <c r="B3839" s="2" t="s">
        <v>169</v>
      </c>
      <c r="C3839" s="2" t="s">
        <v>170</v>
      </c>
      <c r="D3839" s="20">
        <v>0</v>
      </c>
      <c r="E3839" s="2" t="s">
        <v>838</v>
      </c>
      <c r="F3839" s="2" t="s">
        <v>793</v>
      </c>
      <c r="G3839" s="2" t="s">
        <v>3299</v>
      </c>
      <c r="H3839" s="2" t="s">
        <v>952</v>
      </c>
      <c r="J3839" s="26"/>
      <c r="K3839" s="36">
        <v>5.0045000000000005E-4</v>
      </c>
      <c r="L3839" s="23">
        <v>1.2511E-4</v>
      </c>
    </row>
    <row r="3840" spans="1:12" ht="15.35" hidden="1" x14ac:dyDescent="0.55000000000000004">
      <c r="A3840" s="20">
        <v>17494</v>
      </c>
      <c r="B3840" s="2" t="s">
        <v>169</v>
      </c>
      <c r="C3840" s="2" t="s">
        <v>170</v>
      </c>
      <c r="D3840" s="20">
        <v>0</v>
      </c>
      <c r="E3840" s="2" t="s">
        <v>838</v>
      </c>
      <c r="F3840" s="2" t="s">
        <v>793</v>
      </c>
      <c r="G3840" s="2" t="s">
        <v>3300</v>
      </c>
      <c r="H3840" s="2" t="s">
        <v>952</v>
      </c>
      <c r="J3840" s="26"/>
      <c r="K3840" s="36">
        <v>3.0011000000000003E-4</v>
      </c>
      <c r="L3840" s="23">
        <v>7.5030000000000005E-5</v>
      </c>
    </row>
    <row r="3841" spans="1:12" ht="15.35" hidden="1" x14ac:dyDescent="0.55000000000000004">
      <c r="A3841" s="20">
        <v>17490</v>
      </c>
      <c r="B3841" s="2" t="s">
        <v>169</v>
      </c>
      <c r="C3841" s="2" t="s">
        <v>170</v>
      </c>
      <c r="D3841" s="20">
        <v>0</v>
      </c>
      <c r="E3841" s="2" t="s">
        <v>838</v>
      </c>
      <c r="F3841" s="2" t="s">
        <v>793</v>
      </c>
      <c r="G3841" s="2" t="s">
        <v>3301</v>
      </c>
      <c r="H3841" s="2" t="s">
        <v>952</v>
      </c>
      <c r="J3841" s="26"/>
      <c r="K3841" s="36">
        <v>2.2012999999999999E-4</v>
      </c>
      <c r="L3841" s="23">
        <v>5.503E-5</v>
      </c>
    </row>
    <row r="3842" spans="1:12" ht="15.35" hidden="1" x14ac:dyDescent="0.55000000000000004">
      <c r="A3842" s="20">
        <v>17508</v>
      </c>
      <c r="B3842" s="2" t="s">
        <v>169</v>
      </c>
      <c r="C3842" s="2" t="s">
        <v>170</v>
      </c>
      <c r="D3842" s="20">
        <v>0</v>
      </c>
      <c r="E3842" s="2" t="s">
        <v>838</v>
      </c>
      <c r="F3842" s="2" t="s">
        <v>793</v>
      </c>
      <c r="G3842" s="2" t="s">
        <v>3302</v>
      </c>
      <c r="H3842" s="2" t="s">
        <v>952</v>
      </c>
      <c r="J3842" s="26"/>
      <c r="K3842" s="36">
        <v>1.065E-4</v>
      </c>
      <c r="L3842" s="23">
        <v>2.6619999999999999E-5</v>
      </c>
    </row>
    <row r="3843" spans="1:12" ht="15.35" hidden="1" x14ac:dyDescent="0.55000000000000004">
      <c r="A3843" s="20">
        <v>17308</v>
      </c>
      <c r="B3843" s="2" t="s">
        <v>169</v>
      </c>
      <c r="C3843" s="2" t="s">
        <v>170</v>
      </c>
      <c r="D3843" s="20">
        <v>0</v>
      </c>
      <c r="E3843" s="2" t="s">
        <v>838</v>
      </c>
      <c r="F3843" s="2" t="s">
        <v>793</v>
      </c>
      <c r="G3843" s="2" t="s">
        <v>3303</v>
      </c>
      <c r="H3843" s="2" t="s">
        <v>952</v>
      </c>
      <c r="J3843" s="26"/>
      <c r="K3843" s="36">
        <v>1.3342000000000001E-4</v>
      </c>
      <c r="L3843" s="23">
        <v>3.3359999999999999E-5</v>
      </c>
    </row>
    <row r="3844" spans="1:12" ht="15.35" hidden="1" x14ac:dyDescent="0.55000000000000004">
      <c r="A3844" s="20">
        <v>17674</v>
      </c>
      <c r="B3844" s="2" t="s">
        <v>169</v>
      </c>
      <c r="C3844" s="2" t="s">
        <v>170</v>
      </c>
      <c r="D3844" s="20">
        <v>0</v>
      </c>
      <c r="E3844" s="2" t="s">
        <v>838</v>
      </c>
      <c r="F3844" s="2" t="s">
        <v>793</v>
      </c>
      <c r="G3844" s="2" t="s">
        <v>3906</v>
      </c>
      <c r="H3844" s="2" t="s">
        <v>952</v>
      </c>
      <c r="J3844" s="26"/>
      <c r="K3844" s="36">
        <v>2.8031900000000001E-3</v>
      </c>
      <c r="L3844" s="23">
        <v>7.0080000000000001E-4</v>
      </c>
    </row>
    <row r="3845" spans="1:12" ht="15.35" hidden="1" x14ac:dyDescent="0.55000000000000004">
      <c r="A3845" s="20">
        <v>16847</v>
      </c>
      <c r="B3845" s="2" t="s">
        <v>169</v>
      </c>
      <c r="C3845" s="2" t="s">
        <v>170</v>
      </c>
      <c r="D3845" s="20">
        <v>0</v>
      </c>
      <c r="E3845" s="2" t="s">
        <v>838</v>
      </c>
      <c r="F3845" s="2" t="s">
        <v>793</v>
      </c>
      <c r="G3845" s="2" t="s">
        <v>3311</v>
      </c>
      <c r="H3845" s="2" t="s">
        <v>952</v>
      </c>
      <c r="J3845" s="26"/>
      <c r="K3845" s="36">
        <v>4.6709999999999998E-5</v>
      </c>
      <c r="L3845" s="23">
        <v>1.168E-5</v>
      </c>
    </row>
    <row r="3846" spans="1:12" ht="15.35" hidden="1" x14ac:dyDescent="0.55000000000000004">
      <c r="A3846" s="20">
        <v>17714</v>
      </c>
      <c r="B3846" s="2" t="s">
        <v>169</v>
      </c>
      <c r="C3846" s="2" t="s">
        <v>170</v>
      </c>
      <c r="D3846" s="20">
        <v>0</v>
      </c>
      <c r="E3846" s="2" t="s">
        <v>838</v>
      </c>
      <c r="F3846" s="2" t="s">
        <v>793</v>
      </c>
      <c r="G3846" s="2" t="s">
        <v>3313</v>
      </c>
      <c r="H3846" s="2" t="s">
        <v>952</v>
      </c>
      <c r="J3846" s="26"/>
      <c r="K3846" s="36">
        <v>1.9994000000000001E-4</v>
      </c>
      <c r="L3846" s="23">
        <v>4.9990000000000001E-5</v>
      </c>
    </row>
    <row r="3847" spans="1:12" ht="15.35" hidden="1" x14ac:dyDescent="0.55000000000000004">
      <c r="A3847" s="20">
        <v>16807</v>
      </c>
      <c r="B3847" s="2" t="s">
        <v>169</v>
      </c>
      <c r="C3847" s="2" t="s">
        <v>170</v>
      </c>
      <c r="D3847" s="20">
        <v>0</v>
      </c>
      <c r="E3847" s="2" t="s">
        <v>838</v>
      </c>
      <c r="F3847" s="2" t="s">
        <v>793</v>
      </c>
      <c r="G3847" s="2" t="s">
        <v>3314</v>
      </c>
      <c r="H3847" s="2" t="s">
        <v>952</v>
      </c>
      <c r="J3847" s="26"/>
      <c r="K3847" s="36">
        <v>4.0027999999999998E-4</v>
      </c>
      <c r="L3847" s="23">
        <v>1.0007E-4</v>
      </c>
    </row>
    <row r="3848" spans="1:12" ht="15.35" hidden="1" x14ac:dyDescent="0.55000000000000004">
      <c r="A3848" s="20">
        <v>17446</v>
      </c>
      <c r="B3848" s="2" t="s">
        <v>169</v>
      </c>
      <c r="C3848" s="2" t="s">
        <v>170</v>
      </c>
      <c r="D3848" s="20">
        <v>0</v>
      </c>
      <c r="E3848" s="2" t="s">
        <v>838</v>
      </c>
      <c r="F3848" s="2" t="s">
        <v>793</v>
      </c>
      <c r="G3848" s="2" t="s">
        <v>3315</v>
      </c>
      <c r="H3848" s="2" t="s">
        <v>952</v>
      </c>
      <c r="J3848" s="26"/>
      <c r="K3848" s="36">
        <v>4.4221499999999997E-3</v>
      </c>
      <c r="L3848" s="23">
        <v>1.1055399999999999E-3</v>
      </c>
    </row>
    <row r="3849" spans="1:12" ht="15.35" hidden="1" x14ac:dyDescent="0.55000000000000004">
      <c r="A3849" s="20">
        <v>17710</v>
      </c>
      <c r="B3849" s="2" t="s">
        <v>169</v>
      </c>
      <c r="C3849" s="2" t="s">
        <v>170</v>
      </c>
      <c r="D3849" s="20">
        <v>0</v>
      </c>
      <c r="E3849" s="2" t="s">
        <v>838</v>
      </c>
      <c r="F3849" s="2" t="s">
        <v>793</v>
      </c>
      <c r="G3849" s="2" t="s">
        <v>3317</v>
      </c>
      <c r="H3849" s="2" t="s">
        <v>952</v>
      </c>
      <c r="J3849" s="26"/>
      <c r="K3849" s="36">
        <v>1.6668E-4</v>
      </c>
      <c r="L3849" s="23">
        <v>4.1669999999999999E-5</v>
      </c>
    </row>
    <row r="3850" spans="1:12" ht="15.35" hidden="1" x14ac:dyDescent="0.55000000000000004">
      <c r="A3850" s="20">
        <v>16817</v>
      </c>
      <c r="B3850" s="2" t="s">
        <v>169</v>
      </c>
      <c r="C3850" s="2" t="s">
        <v>170</v>
      </c>
      <c r="D3850" s="20">
        <v>0</v>
      </c>
      <c r="E3850" s="2" t="s">
        <v>838</v>
      </c>
      <c r="F3850" s="2" t="s">
        <v>793</v>
      </c>
      <c r="G3850" s="2" t="s">
        <v>3319</v>
      </c>
      <c r="H3850" s="2" t="s">
        <v>952</v>
      </c>
      <c r="J3850" s="26"/>
      <c r="K3850" s="36">
        <v>1.3342000000000001E-4</v>
      </c>
      <c r="L3850" s="23">
        <v>3.3359999999999999E-5</v>
      </c>
    </row>
    <row r="3851" spans="1:12" ht="15.35" hidden="1" x14ac:dyDescent="0.55000000000000004">
      <c r="A3851" s="20">
        <v>17065</v>
      </c>
      <c r="B3851" s="2" t="s">
        <v>169</v>
      </c>
      <c r="C3851" s="2" t="s">
        <v>170</v>
      </c>
      <c r="D3851" s="20">
        <v>0</v>
      </c>
      <c r="E3851" s="2" t="s">
        <v>838</v>
      </c>
      <c r="F3851" s="2" t="s">
        <v>793</v>
      </c>
      <c r="G3851" s="2" t="s">
        <v>3320</v>
      </c>
      <c r="H3851" s="2" t="s">
        <v>952</v>
      </c>
      <c r="J3851" s="26"/>
      <c r="K3851" s="36">
        <v>1.9994000000000001E-4</v>
      </c>
      <c r="L3851" s="23">
        <v>4.9990000000000001E-5</v>
      </c>
    </row>
    <row r="3852" spans="1:12" ht="15.35" hidden="1" x14ac:dyDescent="0.55000000000000004">
      <c r="A3852" s="20">
        <v>17121</v>
      </c>
      <c r="B3852" s="2" t="s">
        <v>169</v>
      </c>
      <c r="C3852" s="2" t="s">
        <v>170</v>
      </c>
      <c r="D3852" s="20">
        <v>0</v>
      </c>
      <c r="E3852" s="2" t="s">
        <v>838</v>
      </c>
      <c r="F3852" s="2" t="s">
        <v>793</v>
      </c>
      <c r="G3852" s="2" t="s">
        <v>3322</v>
      </c>
      <c r="H3852" s="2" t="s">
        <v>952</v>
      </c>
      <c r="J3852" s="26"/>
      <c r="K3852" s="36">
        <v>8.6700000000000007E-5</v>
      </c>
      <c r="L3852" s="23">
        <v>2.1679999999999999E-5</v>
      </c>
    </row>
    <row r="3853" spans="1:12" ht="15.35" hidden="1" x14ac:dyDescent="0.55000000000000004">
      <c r="A3853" s="20">
        <v>17441</v>
      </c>
      <c r="B3853" s="2" t="s">
        <v>169</v>
      </c>
      <c r="C3853" s="2" t="s">
        <v>170</v>
      </c>
      <c r="D3853" s="20">
        <v>0</v>
      </c>
      <c r="E3853" s="2" t="s">
        <v>838</v>
      </c>
      <c r="F3853" s="2" t="s">
        <v>793</v>
      </c>
      <c r="G3853" s="2" t="s">
        <v>3907</v>
      </c>
      <c r="H3853" s="2" t="s">
        <v>952</v>
      </c>
      <c r="J3853" s="26"/>
      <c r="K3853" s="36">
        <v>5.3050000000000002E-5</v>
      </c>
      <c r="L3853" s="23">
        <v>1.326E-5</v>
      </c>
    </row>
    <row r="3854" spans="1:12" ht="15.35" hidden="1" x14ac:dyDescent="0.55000000000000004">
      <c r="A3854" s="20">
        <v>16818</v>
      </c>
      <c r="B3854" s="2" t="s">
        <v>169</v>
      </c>
      <c r="C3854" s="2" t="s">
        <v>170</v>
      </c>
      <c r="D3854" s="20">
        <v>0</v>
      </c>
      <c r="E3854" s="2" t="s">
        <v>838</v>
      </c>
      <c r="F3854" s="2" t="s">
        <v>793</v>
      </c>
      <c r="G3854" s="2" t="s">
        <v>3323</v>
      </c>
      <c r="H3854" s="2" t="s">
        <v>952</v>
      </c>
      <c r="J3854" s="26"/>
      <c r="K3854" s="36">
        <v>9.9770000000000002E-5</v>
      </c>
      <c r="L3854" s="23">
        <v>2.4939999999999998E-5</v>
      </c>
    </row>
    <row r="3855" spans="1:12" ht="15.35" hidden="1" x14ac:dyDescent="0.55000000000000004">
      <c r="A3855" s="20">
        <v>17496</v>
      </c>
      <c r="B3855" s="2" t="s">
        <v>169</v>
      </c>
      <c r="C3855" s="2" t="s">
        <v>170</v>
      </c>
      <c r="D3855" s="20">
        <v>0</v>
      </c>
      <c r="E3855" s="2" t="s">
        <v>838</v>
      </c>
      <c r="F3855" s="2" t="s">
        <v>793</v>
      </c>
      <c r="G3855" s="2" t="s">
        <v>3908</v>
      </c>
      <c r="H3855" s="2" t="s">
        <v>952</v>
      </c>
      <c r="J3855" s="26"/>
      <c r="K3855" s="36">
        <v>1.4648999999999999E-4</v>
      </c>
      <c r="L3855" s="23">
        <v>3.6619999999999998E-5</v>
      </c>
    </row>
    <row r="3856" spans="1:12" ht="15.35" hidden="1" x14ac:dyDescent="0.55000000000000004">
      <c r="A3856" s="20">
        <v>17586</v>
      </c>
      <c r="B3856" s="2" t="s">
        <v>169</v>
      </c>
      <c r="C3856" s="2" t="s">
        <v>170</v>
      </c>
      <c r="D3856" s="20">
        <v>0</v>
      </c>
      <c r="E3856" s="2" t="s">
        <v>838</v>
      </c>
      <c r="F3856" s="2" t="s">
        <v>793</v>
      </c>
      <c r="G3856" s="2" t="s">
        <v>3327</v>
      </c>
      <c r="H3856" s="2" t="s">
        <v>952</v>
      </c>
      <c r="J3856" s="26"/>
      <c r="K3856" s="36">
        <v>3.9589999999999999E-5</v>
      </c>
      <c r="L3856" s="23">
        <v>9.9000000000000001E-6</v>
      </c>
    </row>
    <row r="3857" spans="1:12" ht="15.35" hidden="1" x14ac:dyDescent="0.55000000000000004">
      <c r="A3857" s="20">
        <v>17696</v>
      </c>
      <c r="B3857" s="2" t="s">
        <v>169</v>
      </c>
      <c r="C3857" s="2" t="s">
        <v>170</v>
      </c>
      <c r="D3857" s="20">
        <v>0</v>
      </c>
      <c r="E3857" s="2" t="s">
        <v>838</v>
      </c>
      <c r="F3857" s="2" t="s">
        <v>793</v>
      </c>
      <c r="G3857" s="2" t="s">
        <v>3328</v>
      </c>
      <c r="H3857" s="2" t="s">
        <v>952</v>
      </c>
      <c r="J3857" s="26"/>
      <c r="K3857" s="36">
        <v>3.9589999999999999E-5</v>
      </c>
      <c r="L3857" s="23">
        <v>9.9000000000000001E-6</v>
      </c>
    </row>
    <row r="3858" spans="1:12" ht="15.35" hidden="1" x14ac:dyDescent="0.55000000000000004">
      <c r="A3858" s="20">
        <v>17073</v>
      </c>
      <c r="B3858" s="2" t="s">
        <v>169</v>
      </c>
      <c r="C3858" s="2" t="s">
        <v>170</v>
      </c>
      <c r="D3858" s="20">
        <v>0</v>
      </c>
      <c r="E3858" s="2" t="s">
        <v>838</v>
      </c>
      <c r="F3858" s="2" t="s">
        <v>793</v>
      </c>
      <c r="G3858" s="2" t="s">
        <v>3909</v>
      </c>
      <c r="H3858" s="2" t="s">
        <v>952</v>
      </c>
      <c r="J3858" s="26"/>
      <c r="K3858" s="36">
        <v>1.065E-4</v>
      </c>
      <c r="L3858" s="23">
        <v>2.6619999999999999E-5</v>
      </c>
    </row>
    <row r="3859" spans="1:12" ht="15.35" hidden="1" x14ac:dyDescent="0.55000000000000004">
      <c r="A3859" s="20">
        <v>17551</v>
      </c>
      <c r="B3859" s="2" t="s">
        <v>169</v>
      </c>
      <c r="C3859" s="2" t="s">
        <v>170</v>
      </c>
      <c r="D3859" s="20">
        <v>0</v>
      </c>
      <c r="E3859" s="2" t="s">
        <v>838</v>
      </c>
      <c r="F3859" s="2" t="s">
        <v>793</v>
      </c>
      <c r="G3859" s="2" t="s">
        <v>3329</v>
      </c>
      <c r="H3859" s="2" t="s">
        <v>952</v>
      </c>
      <c r="J3859" s="26"/>
      <c r="K3859" s="36">
        <v>9.9770000000000002E-5</v>
      </c>
      <c r="L3859" s="23">
        <v>2.4939999999999998E-5</v>
      </c>
    </row>
    <row r="3860" spans="1:12" ht="15.35" hidden="1" x14ac:dyDescent="0.55000000000000004">
      <c r="A3860" s="20">
        <v>16950</v>
      </c>
      <c r="B3860" s="2" t="s">
        <v>169</v>
      </c>
      <c r="C3860" s="2" t="s">
        <v>170</v>
      </c>
      <c r="D3860" s="20">
        <v>0</v>
      </c>
      <c r="E3860" s="2" t="s">
        <v>838</v>
      </c>
      <c r="F3860" s="2" t="s">
        <v>793</v>
      </c>
      <c r="G3860" s="2" t="s">
        <v>3332</v>
      </c>
      <c r="H3860" s="2" t="s">
        <v>952</v>
      </c>
      <c r="J3860" s="26"/>
      <c r="K3860" s="36">
        <v>2.0667E-4</v>
      </c>
      <c r="L3860" s="23">
        <v>5.1669999999999998E-5</v>
      </c>
    </row>
    <row r="3861" spans="1:12" ht="15.35" hidden="1" x14ac:dyDescent="0.55000000000000004">
      <c r="A3861" s="20">
        <v>17152</v>
      </c>
      <c r="B3861" s="2" t="s">
        <v>169</v>
      </c>
      <c r="C3861" s="2" t="s">
        <v>170</v>
      </c>
      <c r="D3861" s="20">
        <v>0</v>
      </c>
      <c r="E3861" s="2" t="s">
        <v>838</v>
      </c>
      <c r="F3861" s="2" t="s">
        <v>793</v>
      </c>
      <c r="G3861" s="2" t="s">
        <v>3333</v>
      </c>
      <c r="H3861" s="2" t="s">
        <v>952</v>
      </c>
      <c r="J3861" s="26"/>
      <c r="K3861" s="36">
        <v>1.2668999999999999E-4</v>
      </c>
      <c r="L3861" s="23">
        <v>3.167E-5</v>
      </c>
    </row>
    <row r="3862" spans="1:12" ht="15.35" hidden="1" x14ac:dyDescent="0.55000000000000004">
      <c r="A3862" s="20">
        <v>17488</v>
      </c>
      <c r="B3862" s="2" t="s">
        <v>169</v>
      </c>
      <c r="C3862" s="2" t="s">
        <v>170</v>
      </c>
      <c r="D3862" s="20">
        <v>0</v>
      </c>
      <c r="E3862" s="2" t="s">
        <v>838</v>
      </c>
      <c r="F3862" s="2" t="s">
        <v>793</v>
      </c>
      <c r="G3862" s="2" t="s">
        <v>3334</v>
      </c>
      <c r="H3862" s="2" t="s">
        <v>952</v>
      </c>
      <c r="J3862" s="26"/>
      <c r="K3862" s="36">
        <v>2.5338999999999998E-4</v>
      </c>
      <c r="L3862" s="23">
        <v>6.3349999999999995E-5</v>
      </c>
    </row>
    <row r="3863" spans="1:12" ht="15.35" hidden="1" x14ac:dyDescent="0.55000000000000004">
      <c r="A3863" s="20">
        <v>17449</v>
      </c>
      <c r="B3863" s="2" t="s">
        <v>169</v>
      </c>
      <c r="C3863" s="2" t="s">
        <v>170</v>
      </c>
      <c r="D3863" s="20">
        <v>0</v>
      </c>
      <c r="E3863" s="2" t="s">
        <v>838</v>
      </c>
      <c r="F3863" s="2" t="s">
        <v>793</v>
      </c>
      <c r="G3863" s="2" t="s">
        <v>3335</v>
      </c>
      <c r="H3863" s="2" t="s">
        <v>952</v>
      </c>
      <c r="J3863" s="26"/>
      <c r="K3863" s="36">
        <v>6.5720000000000001E-5</v>
      </c>
      <c r="L3863" s="23">
        <v>1.643E-5</v>
      </c>
    </row>
    <row r="3864" spans="1:12" ht="15.35" hidden="1" x14ac:dyDescent="0.55000000000000004">
      <c r="A3864" s="20">
        <v>17600</v>
      </c>
      <c r="B3864" s="2" t="s">
        <v>169</v>
      </c>
      <c r="C3864" s="2" t="s">
        <v>170</v>
      </c>
      <c r="D3864" s="20">
        <v>0</v>
      </c>
      <c r="E3864" s="2" t="s">
        <v>838</v>
      </c>
      <c r="F3864" s="2" t="s">
        <v>793</v>
      </c>
      <c r="G3864" s="2" t="s">
        <v>3336</v>
      </c>
      <c r="H3864" s="2" t="s">
        <v>952</v>
      </c>
      <c r="J3864" s="26"/>
      <c r="K3864" s="36">
        <v>6.2949999999999999E-5</v>
      </c>
      <c r="L3864" s="23">
        <v>1.5739999999999998E-5</v>
      </c>
    </row>
    <row r="3865" spans="1:12" ht="15.35" hidden="1" x14ac:dyDescent="0.55000000000000004">
      <c r="A3865" s="20">
        <v>17687</v>
      </c>
      <c r="B3865" s="2" t="s">
        <v>169</v>
      </c>
      <c r="C3865" s="2" t="s">
        <v>170</v>
      </c>
      <c r="D3865" s="20">
        <v>0</v>
      </c>
      <c r="E3865" s="2" t="s">
        <v>838</v>
      </c>
      <c r="F3865" s="2" t="s">
        <v>793</v>
      </c>
      <c r="G3865" s="2" t="s">
        <v>3337</v>
      </c>
      <c r="H3865" s="2" t="s">
        <v>952</v>
      </c>
      <c r="J3865" s="26"/>
      <c r="K3865" s="36">
        <v>8.6700000000000007E-5</v>
      </c>
      <c r="L3865" s="23">
        <v>2.1679999999999999E-5</v>
      </c>
    </row>
    <row r="3866" spans="1:12" ht="15.35" hidden="1" x14ac:dyDescent="0.55000000000000004">
      <c r="A3866" s="20">
        <v>17454</v>
      </c>
      <c r="B3866" s="2" t="s">
        <v>169</v>
      </c>
      <c r="C3866" s="2" t="s">
        <v>170</v>
      </c>
      <c r="D3866" s="20">
        <v>0</v>
      </c>
      <c r="E3866" s="2" t="s">
        <v>838</v>
      </c>
      <c r="F3866" s="2" t="s">
        <v>789</v>
      </c>
      <c r="G3866" s="2" t="s">
        <v>3910</v>
      </c>
      <c r="H3866" s="2" t="s">
        <v>1690</v>
      </c>
      <c r="J3866" s="26"/>
      <c r="K3866" s="36">
        <v>6.6713999999999999E-4</v>
      </c>
      <c r="L3866" s="23">
        <v>1.6678E-4</v>
      </c>
    </row>
    <row r="3867" spans="1:12" ht="15.35" hidden="1" x14ac:dyDescent="0.55000000000000004">
      <c r="A3867" s="20">
        <v>17419</v>
      </c>
      <c r="B3867" s="2" t="s">
        <v>169</v>
      </c>
      <c r="C3867" s="2" t="s">
        <v>170</v>
      </c>
      <c r="D3867" s="20">
        <v>0</v>
      </c>
      <c r="E3867" s="2" t="s">
        <v>838</v>
      </c>
      <c r="F3867" s="2" t="s">
        <v>789</v>
      </c>
      <c r="G3867" s="2" t="s">
        <v>3911</v>
      </c>
      <c r="H3867" s="2" t="s">
        <v>1690</v>
      </c>
      <c r="J3867" s="26"/>
      <c r="K3867" s="36">
        <v>6.6713999999999999E-4</v>
      </c>
      <c r="L3867" s="23">
        <v>1.6678E-4</v>
      </c>
    </row>
    <row r="3868" spans="1:12" ht="15.35" hidden="1" x14ac:dyDescent="0.55000000000000004">
      <c r="A3868" s="20">
        <v>17515</v>
      </c>
      <c r="B3868" s="2" t="s">
        <v>169</v>
      </c>
      <c r="C3868" s="2" t="s">
        <v>170</v>
      </c>
      <c r="D3868" s="20">
        <v>0</v>
      </c>
      <c r="E3868" s="2" t="s">
        <v>838</v>
      </c>
      <c r="F3868" s="2" t="s">
        <v>789</v>
      </c>
      <c r="G3868" s="2" t="s">
        <v>1691</v>
      </c>
      <c r="H3868" s="2" t="s">
        <v>1690</v>
      </c>
      <c r="J3868" s="26"/>
      <c r="K3868" s="36">
        <v>6.6713999999999999E-4</v>
      </c>
      <c r="L3868" s="23">
        <v>1.6678E-4</v>
      </c>
    </row>
    <row r="3869" spans="1:12" ht="15.35" hidden="1" x14ac:dyDescent="0.55000000000000004">
      <c r="A3869" s="20">
        <v>17434</v>
      </c>
      <c r="B3869" s="2" t="s">
        <v>169</v>
      </c>
      <c r="C3869" s="2" t="s">
        <v>170</v>
      </c>
      <c r="D3869" s="20">
        <v>0</v>
      </c>
      <c r="E3869" s="2" t="s">
        <v>838</v>
      </c>
      <c r="F3869" s="2" t="s">
        <v>793</v>
      </c>
      <c r="G3869" s="2" t="s">
        <v>3338</v>
      </c>
      <c r="H3869" s="2" t="s">
        <v>2458</v>
      </c>
      <c r="J3869" s="26"/>
      <c r="K3869" s="36">
        <v>2.5102000000000002E-4</v>
      </c>
      <c r="L3869" s="23">
        <v>6.2760000000000002E-5</v>
      </c>
    </row>
    <row r="3870" spans="1:12" ht="15.35" hidden="1" x14ac:dyDescent="0.55000000000000004">
      <c r="A3870" s="20">
        <v>17639</v>
      </c>
      <c r="B3870" s="2" t="s">
        <v>169</v>
      </c>
      <c r="C3870" s="2" t="s">
        <v>170</v>
      </c>
      <c r="D3870" s="20">
        <v>0</v>
      </c>
      <c r="E3870" s="2" t="s">
        <v>838</v>
      </c>
      <c r="F3870" s="2" t="s">
        <v>793</v>
      </c>
      <c r="G3870" s="2" t="s">
        <v>3912</v>
      </c>
      <c r="H3870" s="2" t="s">
        <v>2458</v>
      </c>
      <c r="J3870" s="26"/>
      <c r="K3870" s="36">
        <v>6.9722999999999996E-4</v>
      </c>
      <c r="L3870" s="23">
        <v>1.7431E-4</v>
      </c>
    </row>
    <row r="3871" spans="1:12" ht="15.35" hidden="1" x14ac:dyDescent="0.55000000000000004">
      <c r="A3871" s="20">
        <v>17538</v>
      </c>
      <c r="B3871" s="2" t="s">
        <v>169</v>
      </c>
      <c r="C3871" s="2" t="s">
        <v>170</v>
      </c>
      <c r="D3871" s="20">
        <v>0</v>
      </c>
      <c r="E3871" s="2" t="s">
        <v>838</v>
      </c>
      <c r="F3871" s="2" t="s">
        <v>793</v>
      </c>
      <c r="G3871" s="2" t="s">
        <v>3913</v>
      </c>
      <c r="H3871" s="2" t="s">
        <v>2458</v>
      </c>
      <c r="J3871" s="26"/>
      <c r="K3871" s="36">
        <v>1.1410700000000001E-3</v>
      </c>
      <c r="L3871" s="23">
        <v>2.8527000000000001E-4</v>
      </c>
    </row>
    <row r="3872" spans="1:12" ht="15.35" hidden="1" x14ac:dyDescent="0.55000000000000004">
      <c r="A3872" s="20">
        <v>17526</v>
      </c>
      <c r="B3872" s="2" t="s">
        <v>169</v>
      </c>
      <c r="C3872" s="2" t="s">
        <v>170</v>
      </c>
      <c r="D3872" s="20">
        <v>0</v>
      </c>
      <c r="E3872" s="2" t="s">
        <v>838</v>
      </c>
      <c r="F3872" s="2" t="s">
        <v>793</v>
      </c>
      <c r="G3872" s="2" t="s">
        <v>3914</v>
      </c>
      <c r="H3872" s="2" t="s">
        <v>2458</v>
      </c>
      <c r="J3872" s="26"/>
      <c r="K3872" s="36">
        <v>1.2044200000000001E-3</v>
      </c>
      <c r="L3872" s="23">
        <v>3.0111E-4</v>
      </c>
    </row>
    <row r="3873" spans="1:12" ht="15.35" hidden="1" x14ac:dyDescent="0.55000000000000004">
      <c r="A3873" s="20">
        <v>17035</v>
      </c>
      <c r="B3873" s="2" t="s">
        <v>169</v>
      </c>
      <c r="C3873" s="2" t="s">
        <v>170</v>
      </c>
      <c r="D3873" s="20">
        <v>0</v>
      </c>
      <c r="E3873" s="2" t="s">
        <v>838</v>
      </c>
      <c r="F3873" s="2" t="s">
        <v>793</v>
      </c>
      <c r="G3873" s="2" t="s">
        <v>3339</v>
      </c>
      <c r="H3873" s="2" t="s">
        <v>1695</v>
      </c>
      <c r="J3873" s="26"/>
      <c r="K3873" s="36">
        <v>1.58372E-3</v>
      </c>
      <c r="L3873" s="23">
        <v>3.9593000000000001E-4</v>
      </c>
    </row>
    <row r="3874" spans="1:12" ht="15.35" hidden="1" x14ac:dyDescent="0.55000000000000004">
      <c r="A3874" s="20">
        <v>17055</v>
      </c>
      <c r="B3874" s="2" t="s">
        <v>169</v>
      </c>
      <c r="C3874" s="2" t="s">
        <v>170</v>
      </c>
      <c r="D3874" s="20">
        <v>0</v>
      </c>
      <c r="E3874" s="2" t="s">
        <v>838</v>
      </c>
      <c r="F3874" s="2" t="s">
        <v>793</v>
      </c>
      <c r="G3874" s="2" t="s">
        <v>3915</v>
      </c>
      <c r="H3874" s="2" t="s">
        <v>1695</v>
      </c>
      <c r="J3874" s="26"/>
      <c r="K3874" s="36">
        <v>1.58372E-3</v>
      </c>
      <c r="L3874" s="23">
        <v>3.9593000000000001E-4</v>
      </c>
    </row>
    <row r="3875" spans="1:12" ht="15.35" hidden="1" x14ac:dyDescent="0.55000000000000004">
      <c r="A3875" s="20">
        <v>17128</v>
      </c>
      <c r="B3875" s="2" t="s">
        <v>169</v>
      </c>
      <c r="C3875" s="2" t="s">
        <v>170</v>
      </c>
      <c r="D3875" s="20">
        <v>0</v>
      </c>
      <c r="E3875" s="2" t="s">
        <v>838</v>
      </c>
      <c r="F3875" s="2" t="s">
        <v>793</v>
      </c>
      <c r="G3875" s="2" t="s">
        <v>3916</v>
      </c>
      <c r="H3875" s="2" t="s">
        <v>1695</v>
      </c>
      <c r="J3875" s="26"/>
      <c r="K3875" s="36">
        <v>1.58372E-3</v>
      </c>
      <c r="L3875" s="23">
        <v>3.9593000000000001E-4</v>
      </c>
    </row>
    <row r="3876" spans="1:12" ht="15.35" hidden="1" x14ac:dyDescent="0.55000000000000004">
      <c r="A3876" s="20">
        <v>17204</v>
      </c>
      <c r="B3876" s="2" t="s">
        <v>169</v>
      </c>
      <c r="C3876" s="2" t="s">
        <v>170</v>
      </c>
      <c r="D3876" s="20">
        <v>0</v>
      </c>
      <c r="E3876" s="2" t="s">
        <v>838</v>
      </c>
      <c r="F3876" s="2" t="s">
        <v>793</v>
      </c>
      <c r="G3876" s="2" t="s">
        <v>3917</v>
      </c>
      <c r="H3876" s="2" t="s">
        <v>1695</v>
      </c>
      <c r="J3876" s="26"/>
      <c r="K3876" s="36">
        <v>3.3258000000000002E-4</v>
      </c>
      <c r="L3876" s="23">
        <v>8.3150000000000002E-5</v>
      </c>
    </row>
    <row r="3877" spans="1:12" ht="15.35" hidden="1" x14ac:dyDescent="0.55000000000000004">
      <c r="A3877" s="20">
        <v>17271</v>
      </c>
      <c r="B3877" s="2" t="s">
        <v>169</v>
      </c>
      <c r="C3877" s="2" t="s">
        <v>170</v>
      </c>
      <c r="D3877" s="20">
        <v>0</v>
      </c>
      <c r="E3877" s="2" t="s">
        <v>838</v>
      </c>
      <c r="F3877" s="2" t="s">
        <v>793</v>
      </c>
      <c r="G3877" s="2" t="s">
        <v>3346</v>
      </c>
      <c r="H3877" s="2" t="s">
        <v>3347</v>
      </c>
      <c r="J3877" s="26"/>
      <c r="K3877" s="36">
        <v>2.6685000000000001E-4</v>
      </c>
      <c r="L3877" s="23">
        <v>6.6710000000000003E-5</v>
      </c>
    </row>
    <row r="3878" spans="1:12" ht="15.35" x14ac:dyDescent="0.55000000000000004">
      <c r="A3878" s="20">
        <v>17145</v>
      </c>
      <c r="B3878" s="2" t="s">
        <v>169</v>
      </c>
      <c r="C3878" s="2" t="s">
        <v>170</v>
      </c>
      <c r="D3878" s="20">
        <v>0</v>
      </c>
      <c r="E3878" s="2" t="s">
        <v>838</v>
      </c>
      <c r="F3878" s="2" t="s">
        <v>793</v>
      </c>
      <c r="G3878" s="2" t="s">
        <v>3362</v>
      </c>
      <c r="J3878" s="26"/>
      <c r="K3878" s="36">
        <v>2.0311E-4</v>
      </c>
      <c r="L3878" s="23">
        <v>5.0779999999999998E-5</v>
      </c>
    </row>
    <row r="3879" spans="1:12" ht="15.35" hidden="1" x14ac:dyDescent="0.55000000000000004">
      <c r="A3879" s="20">
        <v>17507</v>
      </c>
      <c r="B3879" s="2" t="s">
        <v>169</v>
      </c>
      <c r="C3879" s="2" t="s">
        <v>170</v>
      </c>
      <c r="D3879" s="20">
        <v>0</v>
      </c>
      <c r="E3879" s="2" t="s">
        <v>838</v>
      </c>
      <c r="F3879" s="2" t="s">
        <v>817</v>
      </c>
      <c r="G3879" s="2" t="s">
        <v>3918</v>
      </c>
      <c r="H3879" s="2" t="s">
        <v>3363</v>
      </c>
      <c r="J3879" s="26"/>
      <c r="K3879" s="36">
        <v>1.8018800000000001E-3</v>
      </c>
      <c r="L3879" s="23">
        <v>4.5047000000000002E-4</v>
      </c>
    </row>
    <row r="3880" spans="1:12" ht="15.35" hidden="1" x14ac:dyDescent="0.55000000000000004">
      <c r="A3880" s="20">
        <v>17135</v>
      </c>
      <c r="B3880" s="2" t="s">
        <v>169</v>
      </c>
      <c r="C3880" s="2" t="s">
        <v>170</v>
      </c>
      <c r="D3880" s="20">
        <v>0</v>
      </c>
      <c r="E3880" s="2" t="s">
        <v>838</v>
      </c>
      <c r="F3880" s="2" t="s">
        <v>817</v>
      </c>
      <c r="G3880" s="2" t="s">
        <v>3919</v>
      </c>
      <c r="H3880" s="2" t="s">
        <v>3363</v>
      </c>
      <c r="J3880" s="26"/>
      <c r="K3880" s="36">
        <v>1.6629100000000001E-3</v>
      </c>
      <c r="L3880" s="23">
        <v>4.1573000000000001E-4</v>
      </c>
    </row>
    <row r="3881" spans="1:12" ht="15.35" hidden="1" x14ac:dyDescent="0.55000000000000004">
      <c r="A3881" s="20">
        <v>17455</v>
      </c>
      <c r="B3881" s="2" t="s">
        <v>169</v>
      </c>
      <c r="C3881" s="2" t="s">
        <v>170</v>
      </c>
      <c r="D3881" s="20">
        <v>0</v>
      </c>
      <c r="E3881" s="2" t="s">
        <v>838</v>
      </c>
      <c r="F3881" s="2" t="s">
        <v>817</v>
      </c>
      <c r="G3881" s="2" t="s">
        <v>3920</v>
      </c>
      <c r="H3881" s="2" t="s">
        <v>3363</v>
      </c>
      <c r="J3881" s="26"/>
      <c r="K3881" s="36">
        <v>5.6696999999999997E-4</v>
      </c>
      <c r="L3881" s="23">
        <v>1.4174000000000001E-4</v>
      </c>
    </row>
    <row r="3882" spans="1:12" ht="15.35" hidden="1" x14ac:dyDescent="0.55000000000000004">
      <c r="A3882" s="20">
        <v>17179</v>
      </c>
      <c r="B3882" s="2" t="s">
        <v>169</v>
      </c>
      <c r="C3882" s="2" t="s">
        <v>170</v>
      </c>
      <c r="D3882" s="20">
        <v>0</v>
      </c>
      <c r="E3882" s="2" t="s">
        <v>838</v>
      </c>
      <c r="F3882" s="2" t="s">
        <v>793</v>
      </c>
      <c r="G3882" s="2" t="s">
        <v>3921</v>
      </c>
      <c r="H3882" s="2" t="s">
        <v>3922</v>
      </c>
      <c r="J3882" s="26"/>
      <c r="K3882" s="36">
        <v>3.3336999999999999E-4</v>
      </c>
      <c r="L3882" s="23">
        <v>8.3339999999999998E-5</v>
      </c>
    </row>
    <row r="3883" spans="1:12" ht="15.35" hidden="1" x14ac:dyDescent="0.55000000000000004">
      <c r="A3883" s="20">
        <v>17265</v>
      </c>
      <c r="B3883" s="2" t="s">
        <v>169</v>
      </c>
      <c r="C3883" s="2" t="s">
        <v>170</v>
      </c>
      <c r="D3883" s="20">
        <v>0</v>
      </c>
      <c r="E3883" s="2" t="s">
        <v>838</v>
      </c>
      <c r="F3883" s="2" t="s">
        <v>793</v>
      </c>
      <c r="G3883" s="2" t="s">
        <v>3923</v>
      </c>
      <c r="H3883" s="2" t="s">
        <v>3924</v>
      </c>
      <c r="J3883" s="26"/>
      <c r="K3883" s="36">
        <v>3.3336999999999999E-4</v>
      </c>
      <c r="L3883" s="23">
        <v>8.3339999999999998E-5</v>
      </c>
    </row>
    <row r="3884" spans="1:12" ht="15.35" hidden="1" x14ac:dyDescent="0.55000000000000004">
      <c r="A3884" s="20">
        <v>17339</v>
      </c>
      <c r="B3884" s="2" t="s">
        <v>169</v>
      </c>
      <c r="C3884" s="2" t="s">
        <v>170</v>
      </c>
      <c r="D3884" s="20">
        <v>0</v>
      </c>
      <c r="E3884" s="2" t="s">
        <v>838</v>
      </c>
      <c r="F3884" s="2" t="s">
        <v>811</v>
      </c>
      <c r="G3884" s="2" t="s">
        <v>3925</v>
      </c>
      <c r="H3884" s="2" t="s">
        <v>3926</v>
      </c>
      <c r="J3884" s="26"/>
      <c r="K3884" s="36">
        <v>4.4221499999999997E-3</v>
      </c>
      <c r="L3884" s="23">
        <v>1.1055399999999999E-3</v>
      </c>
    </row>
    <row r="3885" spans="1:12" ht="15.35" x14ac:dyDescent="0.55000000000000004">
      <c r="A3885" s="20">
        <v>17618</v>
      </c>
      <c r="B3885" s="2" t="s">
        <v>169</v>
      </c>
      <c r="C3885" s="2" t="s">
        <v>170</v>
      </c>
      <c r="D3885" s="20">
        <v>0</v>
      </c>
      <c r="E3885" s="2" t="s">
        <v>838</v>
      </c>
      <c r="F3885" s="2" t="s">
        <v>793</v>
      </c>
      <c r="G3885" s="2" t="s">
        <v>3927</v>
      </c>
      <c r="J3885" s="26"/>
      <c r="K3885" s="36">
        <v>4.6718999999999998E-4</v>
      </c>
      <c r="L3885" s="23">
        <v>1.1680000000000001E-4</v>
      </c>
    </row>
    <row r="3886" spans="1:12" ht="15.35" hidden="1" x14ac:dyDescent="0.55000000000000004">
      <c r="A3886" s="20">
        <v>17188</v>
      </c>
      <c r="B3886" s="2" t="s">
        <v>169</v>
      </c>
      <c r="C3886" s="2" t="s">
        <v>170</v>
      </c>
      <c r="D3886" s="20">
        <v>0</v>
      </c>
      <c r="E3886" s="2" t="s">
        <v>838</v>
      </c>
      <c r="F3886" s="2" t="s">
        <v>789</v>
      </c>
      <c r="G3886" s="2" t="s">
        <v>3928</v>
      </c>
      <c r="H3886" s="2" t="s">
        <v>3929</v>
      </c>
      <c r="J3886" s="26"/>
      <c r="K3886" s="36">
        <v>4.4221499999999997E-3</v>
      </c>
      <c r="L3886" s="23">
        <v>1.1055399999999999E-3</v>
      </c>
    </row>
    <row r="3887" spans="1:12" ht="15.35" hidden="1" x14ac:dyDescent="0.55000000000000004">
      <c r="A3887" s="20">
        <v>17171</v>
      </c>
      <c r="B3887" s="2" t="s">
        <v>169</v>
      </c>
      <c r="C3887" s="2" t="s">
        <v>170</v>
      </c>
      <c r="D3887" s="20">
        <v>0</v>
      </c>
      <c r="E3887" s="2" t="s">
        <v>838</v>
      </c>
      <c r="F3887" s="2" t="s">
        <v>789</v>
      </c>
      <c r="G3887" s="2" t="s">
        <v>3930</v>
      </c>
      <c r="H3887" s="2" t="s">
        <v>3929</v>
      </c>
      <c r="J3887" s="26"/>
      <c r="K3887" s="36">
        <v>4.4221499999999997E-3</v>
      </c>
      <c r="L3887" s="23">
        <v>1.1055399999999999E-3</v>
      </c>
    </row>
    <row r="3888" spans="1:12" ht="15.35" hidden="1" x14ac:dyDescent="0.55000000000000004">
      <c r="A3888" s="20">
        <v>17243</v>
      </c>
      <c r="B3888" s="2" t="s">
        <v>169</v>
      </c>
      <c r="C3888" s="2" t="s">
        <v>170</v>
      </c>
      <c r="D3888" s="20">
        <v>0</v>
      </c>
      <c r="E3888" s="2" t="s">
        <v>838</v>
      </c>
      <c r="F3888" s="2" t="s">
        <v>783</v>
      </c>
      <c r="G3888" s="2" t="s">
        <v>3931</v>
      </c>
      <c r="H3888" s="2" t="s">
        <v>3932</v>
      </c>
      <c r="J3888" s="26"/>
      <c r="K3888" s="36">
        <v>3.1673999999999998E-4</v>
      </c>
      <c r="L3888" s="23">
        <v>7.9190000000000006E-5</v>
      </c>
    </row>
    <row r="3889" spans="1:12" ht="15.35" hidden="1" x14ac:dyDescent="0.55000000000000004">
      <c r="A3889" s="20">
        <v>17321</v>
      </c>
      <c r="B3889" s="2" t="s">
        <v>169</v>
      </c>
      <c r="C3889" s="2" t="s">
        <v>170</v>
      </c>
      <c r="D3889" s="20">
        <v>0</v>
      </c>
      <c r="E3889" s="2" t="s">
        <v>838</v>
      </c>
      <c r="F3889" s="2" t="s">
        <v>848</v>
      </c>
      <c r="G3889" s="2" t="s">
        <v>3933</v>
      </c>
      <c r="H3889" s="2" t="s">
        <v>3933</v>
      </c>
      <c r="J3889" s="26"/>
      <c r="K3889" s="36">
        <v>2.37558E-3</v>
      </c>
      <c r="L3889" s="23">
        <v>5.9389000000000002E-4</v>
      </c>
    </row>
    <row r="3890" spans="1:12" ht="15.35" hidden="1" x14ac:dyDescent="0.55000000000000004">
      <c r="A3890" s="20">
        <v>17364</v>
      </c>
      <c r="B3890" s="2" t="s">
        <v>169</v>
      </c>
      <c r="C3890" s="2" t="s">
        <v>170</v>
      </c>
      <c r="D3890" s="20">
        <v>0</v>
      </c>
      <c r="E3890" s="2" t="s">
        <v>838</v>
      </c>
      <c r="F3890" s="2" t="s">
        <v>789</v>
      </c>
      <c r="G3890" s="2" t="s">
        <v>3934</v>
      </c>
      <c r="H3890" s="2" t="s">
        <v>3935</v>
      </c>
      <c r="J3890" s="26"/>
      <c r="K3890" s="36">
        <v>3.3258200000000002E-3</v>
      </c>
      <c r="L3890" s="23">
        <v>8.3146000000000001E-4</v>
      </c>
    </row>
    <row r="3891" spans="1:12" ht="15.35" x14ac:dyDescent="0.55000000000000004">
      <c r="A3891" s="20">
        <v>16912</v>
      </c>
      <c r="B3891" s="2" t="s">
        <v>169</v>
      </c>
      <c r="C3891" s="2" t="s">
        <v>170</v>
      </c>
      <c r="D3891" s="20">
        <v>0</v>
      </c>
      <c r="E3891" s="2" t="s">
        <v>838</v>
      </c>
      <c r="F3891" s="2" t="s">
        <v>793</v>
      </c>
      <c r="G3891" s="2" t="s">
        <v>3936</v>
      </c>
      <c r="J3891" s="26"/>
      <c r="K3891" s="36">
        <v>1.38575E-3</v>
      </c>
      <c r="L3891" s="23">
        <v>3.4644E-4</v>
      </c>
    </row>
    <row r="3892" spans="1:12" ht="15.35" x14ac:dyDescent="0.55000000000000004">
      <c r="A3892" s="20">
        <v>17628</v>
      </c>
      <c r="B3892" s="2" t="s">
        <v>169</v>
      </c>
      <c r="C3892" s="2" t="s">
        <v>170</v>
      </c>
      <c r="D3892" s="20">
        <v>0</v>
      </c>
      <c r="E3892" s="2" t="s">
        <v>838</v>
      </c>
      <c r="F3892" s="2" t="s">
        <v>793</v>
      </c>
      <c r="G3892" s="2" t="s">
        <v>3937</v>
      </c>
      <c r="J3892" s="26"/>
      <c r="K3892" s="36">
        <v>2.0984000000000001E-4</v>
      </c>
      <c r="L3892" s="23">
        <v>5.2460000000000003E-5</v>
      </c>
    </row>
    <row r="3893" spans="1:12" ht="15.35" hidden="1" x14ac:dyDescent="0.55000000000000004">
      <c r="A3893" s="20">
        <v>17021</v>
      </c>
      <c r="B3893" s="2" t="s">
        <v>169</v>
      </c>
      <c r="C3893" s="2" t="s">
        <v>170</v>
      </c>
      <c r="D3893" s="20">
        <v>0</v>
      </c>
      <c r="E3893" s="2" t="s">
        <v>838</v>
      </c>
      <c r="F3893" s="2" t="s">
        <v>789</v>
      </c>
      <c r="G3893" s="2" t="s">
        <v>3938</v>
      </c>
      <c r="H3893" s="2" t="s">
        <v>3939</v>
      </c>
      <c r="J3893" s="26"/>
      <c r="K3893" s="36">
        <v>4.4221499999999997E-3</v>
      </c>
      <c r="L3893" s="23">
        <v>1.1055399999999999E-3</v>
      </c>
    </row>
    <row r="3894" spans="1:12" ht="15.35" hidden="1" x14ac:dyDescent="0.55000000000000004">
      <c r="A3894" s="20">
        <v>17655</v>
      </c>
      <c r="B3894" s="2" t="s">
        <v>169</v>
      </c>
      <c r="C3894" s="2" t="s">
        <v>170</v>
      </c>
      <c r="D3894" s="20">
        <v>0</v>
      </c>
      <c r="E3894" s="2" t="s">
        <v>838</v>
      </c>
      <c r="F3894" s="2" t="s">
        <v>789</v>
      </c>
      <c r="G3894" s="2" t="s">
        <v>3940</v>
      </c>
      <c r="H3894" s="2" t="s">
        <v>3941</v>
      </c>
      <c r="J3894" s="26"/>
      <c r="K3894" s="36">
        <v>5.3054000000000003E-4</v>
      </c>
      <c r="L3894" s="23">
        <v>1.3264E-4</v>
      </c>
    </row>
    <row r="3895" spans="1:12" ht="15.35" x14ac:dyDescent="0.55000000000000004">
      <c r="A3895" s="20">
        <v>16801</v>
      </c>
      <c r="B3895" s="2" t="s">
        <v>169</v>
      </c>
      <c r="C3895" s="2" t="s">
        <v>170</v>
      </c>
      <c r="D3895" s="20">
        <v>0</v>
      </c>
      <c r="E3895" s="2" t="s">
        <v>838</v>
      </c>
      <c r="F3895" s="2" t="s">
        <v>793</v>
      </c>
      <c r="G3895" s="2" t="s">
        <v>3942</v>
      </c>
      <c r="J3895" s="26"/>
      <c r="K3895" s="36">
        <v>8.3139999999999993E-5</v>
      </c>
      <c r="L3895" s="23">
        <v>2.0780000000000001E-5</v>
      </c>
    </row>
    <row r="3896" spans="1:12" ht="15.35" x14ac:dyDescent="0.55000000000000004">
      <c r="A3896" s="20">
        <v>16816</v>
      </c>
      <c r="B3896" s="2" t="s">
        <v>169</v>
      </c>
      <c r="C3896" s="2" t="s">
        <v>170</v>
      </c>
      <c r="D3896" s="20">
        <v>0</v>
      </c>
      <c r="E3896" s="2" t="s">
        <v>838</v>
      </c>
      <c r="F3896" s="2" t="s">
        <v>793</v>
      </c>
      <c r="G3896" s="2" t="s">
        <v>3943</v>
      </c>
      <c r="J3896" s="26"/>
      <c r="K3896" s="36">
        <v>6.3387999999999997E-4</v>
      </c>
      <c r="L3896" s="23">
        <v>1.5846999999999999E-4</v>
      </c>
    </row>
    <row r="3897" spans="1:12" ht="15.35" x14ac:dyDescent="0.55000000000000004">
      <c r="A3897" s="20">
        <v>16884</v>
      </c>
      <c r="B3897" s="2" t="s">
        <v>169</v>
      </c>
      <c r="C3897" s="2" t="s">
        <v>170</v>
      </c>
      <c r="D3897" s="20">
        <v>0</v>
      </c>
      <c r="E3897" s="2" t="s">
        <v>838</v>
      </c>
      <c r="F3897" s="2" t="s">
        <v>793</v>
      </c>
      <c r="G3897" s="2" t="s">
        <v>3944</v>
      </c>
      <c r="J3897" s="26"/>
      <c r="K3897" s="36">
        <v>1.5203700000000001E-3</v>
      </c>
      <c r="L3897" s="23">
        <v>3.8008999999999997E-4</v>
      </c>
    </row>
    <row r="3898" spans="1:12" ht="15.35" hidden="1" x14ac:dyDescent="0.55000000000000004">
      <c r="A3898" s="20">
        <v>17274</v>
      </c>
      <c r="B3898" s="2" t="s">
        <v>169</v>
      </c>
      <c r="C3898" s="2" t="s">
        <v>170</v>
      </c>
      <c r="D3898" s="20">
        <v>0</v>
      </c>
      <c r="E3898" s="2" t="s">
        <v>838</v>
      </c>
      <c r="F3898" s="2" t="s">
        <v>793</v>
      </c>
      <c r="G3898" s="2" t="s">
        <v>1148</v>
      </c>
      <c r="H3898" s="2" t="s">
        <v>1149</v>
      </c>
      <c r="J3898" s="26"/>
      <c r="K3898" s="36">
        <v>5.147E-5</v>
      </c>
      <c r="L3898" s="23">
        <v>1.287E-5</v>
      </c>
    </row>
    <row r="3899" spans="1:12" ht="15.35" x14ac:dyDescent="0.55000000000000004">
      <c r="A3899" s="20">
        <v>17289</v>
      </c>
      <c r="B3899" s="2" t="s">
        <v>169</v>
      </c>
      <c r="C3899" s="2" t="s">
        <v>170</v>
      </c>
      <c r="D3899" s="20">
        <v>0</v>
      </c>
      <c r="E3899" s="2" t="s">
        <v>838</v>
      </c>
      <c r="F3899" s="2" t="s">
        <v>793</v>
      </c>
      <c r="G3899" s="2" t="s">
        <v>3945</v>
      </c>
      <c r="J3899" s="26"/>
      <c r="K3899" s="36">
        <v>5.3450000000000004E-4</v>
      </c>
      <c r="L3899" s="23">
        <v>1.3363000000000001E-4</v>
      </c>
    </row>
    <row r="3900" spans="1:12" ht="15.35" x14ac:dyDescent="0.55000000000000004">
      <c r="A3900" s="20">
        <v>17198</v>
      </c>
      <c r="B3900" s="2" t="s">
        <v>169</v>
      </c>
      <c r="C3900" s="2" t="s">
        <v>170</v>
      </c>
      <c r="D3900" s="20">
        <v>0</v>
      </c>
      <c r="E3900" s="2" t="s">
        <v>838</v>
      </c>
      <c r="F3900" s="2" t="s">
        <v>793</v>
      </c>
      <c r="G3900" s="2" t="s">
        <v>3946</v>
      </c>
      <c r="J3900" s="26"/>
      <c r="K3900" s="36">
        <v>1.5203700000000001E-3</v>
      </c>
      <c r="L3900" s="23">
        <v>3.8008999999999997E-4</v>
      </c>
    </row>
    <row r="3901" spans="1:12" ht="15.35" x14ac:dyDescent="0.55000000000000004">
      <c r="A3901" s="20">
        <v>17025</v>
      </c>
      <c r="B3901" s="2" t="s">
        <v>169</v>
      </c>
      <c r="C3901" s="2" t="s">
        <v>170</v>
      </c>
      <c r="D3901" s="20">
        <v>0</v>
      </c>
      <c r="E3901" s="2" t="s">
        <v>838</v>
      </c>
      <c r="F3901" s="2" t="s">
        <v>793</v>
      </c>
      <c r="G3901" s="2" t="s">
        <v>3947</v>
      </c>
      <c r="J3901" s="26"/>
      <c r="K3901" s="36">
        <v>1.95985E-3</v>
      </c>
      <c r="L3901" s="23">
        <v>4.8996E-4</v>
      </c>
    </row>
    <row r="3902" spans="1:12" ht="15.35" hidden="1" x14ac:dyDescent="0.55000000000000004">
      <c r="A3902" s="20">
        <v>17557</v>
      </c>
      <c r="B3902" s="2" t="s">
        <v>169</v>
      </c>
      <c r="C3902" s="2" t="s">
        <v>170</v>
      </c>
      <c r="D3902" s="20">
        <v>0</v>
      </c>
      <c r="E3902" s="2" t="s">
        <v>838</v>
      </c>
      <c r="F3902" s="2" t="s">
        <v>793</v>
      </c>
      <c r="G3902" s="2" t="s">
        <v>3367</v>
      </c>
      <c r="H3902" s="2" t="s">
        <v>2627</v>
      </c>
      <c r="J3902" s="26"/>
      <c r="K3902" s="36">
        <v>1.30657E-3</v>
      </c>
      <c r="L3902" s="23">
        <v>3.2664E-4</v>
      </c>
    </row>
    <row r="3903" spans="1:12" ht="15.35" hidden="1" x14ac:dyDescent="0.55000000000000004">
      <c r="A3903" s="20">
        <v>16929</v>
      </c>
      <c r="B3903" s="2" t="s">
        <v>169</v>
      </c>
      <c r="C3903" s="2" t="s">
        <v>170</v>
      </c>
      <c r="D3903" s="20">
        <v>0</v>
      </c>
      <c r="E3903" s="2" t="s">
        <v>838</v>
      </c>
      <c r="F3903" s="2" t="s">
        <v>793</v>
      </c>
      <c r="G3903" s="2" t="s">
        <v>3948</v>
      </c>
      <c r="H3903" s="2" t="s">
        <v>864</v>
      </c>
      <c r="J3903" s="26"/>
      <c r="K3903" s="36">
        <v>1.7951499999999999E-3</v>
      </c>
      <c r="L3903" s="23">
        <v>4.4879000000000002E-4</v>
      </c>
    </row>
    <row r="3904" spans="1:12" ht="15.35" hidden="1" x14ac:dyDescent="0.55000000000000004">
      <c r="A3904" s="20">
        <v>17234</v>
      </c>
      <c r="B3904" s="2" t="s">
        <v>169</v>
      </c>
      <c r="C3904" s="2" t="s">
        <v>170</v>
      </c>
      <c r="D3904" s="20">
        <v>0</v>
      </c>
      <c r="E3904" s="2" t="s">
        <v>838</v>
      </c>
      <c r="F3904" s="2" t="s">
        <v>793</v>
      </c>
      <c r="G3904" s="2" t="s">
        <v>3949</v>
      </c>
      <c r="H3904" s="2" t="s">
        <v>864</v>
      </c>
      <c r="J3904" s="26"/>
      <c r="K3904" s="36">
        <v>1.28123E-3</v>
      </c>
      <c r="L3904" s="23">
        <v>3.2030999999999997E-4</v>
      </c>
    </row>
    <row r="3905" spans="1:12" ht="15.35" hidden="1" x14ac:dyDescent="0.55000000000000004">
      <c r="A3905" s="20">
        <v>17520</v>
      </c>
      <c r="B3905" s="2" t="s">
        <v>169</v>
      </c>
      <c r="C3905" s="2" t="s">
        <v>170</v>
      </c>
      <c r="D3905" s="20">
        <v>0</v>
      </c>
      <c r="E3905" s="2" t="s">
        <v>838</v>
      </c>
      <c r="F3905" s="2" t="s">
        <v>793</v>
      </c>
      <c r="G3905" s="2" t="s">
        <v>2661</v>
      </c>
      <c r="H3905" s="2" t="s">
        <v>866</v>
      </c>
      <c r="J3905" s="26"/>
      <c r="K3905" s="36">
        <v>4.4221499999999997E-3</v>
      </c>
      <c r="L3905" s="23">
        <v>1.1055399999999999E-3</v>
      </c>
    </row>
    <row r="3906" spans="1:12" ht="15.35" hidden="1" x14ac:dyDescent="0.55000000000000004">
      <c r="A3906" s="20">
        <v>17307</v>
      </c>
      <c r="B3906" s="2" t="s">
        <v>169</v>
      </c>
      <c r="C3906" s="2" t="s">
        <v>170</v>
      </c>
      <c r="D3906" s="20">
        <v>0</v>
      </c>
      <c r="E3906" s="2" t="s">
        <v>838</v>
      </c>
      <c r="F3906" s="2" t="s">
        <v>848</v>
      </c>
      <c r="G3906" s="2" t="s">
        <v>1153</v>
      </c>
      <c r="H3906" s="2" t="s">
        <v>1153</v>
      </c>
      <c r="J3906" s="26"/>
      <c r="K3906" s="36">
        <v>4.4221499999999997E-3</v>
      </c>
      <c r="L3906" s="23">
        <v>1.1055399999999999E-3</v>
      </c>
    </row>
    <row r="3907" spans="1:12" ht="15.35" hidden="1" x14ac:dyDescent="0.55000000000000004">
      <c r="A3907" s="20">
        <v>17621</v>
      </c>
      <c r="B3907" s="2" t="s">
        <v>169</v>
      </c>
      <c r="C3907" s="2" t="s">
        <v>170</v>
      </c>
      <c r="D3907" s="20">
        <v>0</v>
      </c>
      <c r="E3907" s="2" t="s">
        <v>838</v>
      </c>
      <c r="F3907" s="2" t="s">
        <v>793</v>
      </c>
      <c r="G3907" s="2" t="s">
        <v>3371</v>
      </c>
      <c r="H3907" s="2" t="s">
        <v>1155</v>
      </c>
      <c r="J3907" s="26"/>
      <c r="K3907" s="36">
        <v>1.0373E-4</v>
      </c>
      <c r="L3907" s="23">
        <v>2.5930000000000001E-5</v>
      </c>
    </row>
    <row r="3908" spans="1:12" ht="15.35" hidden="1" x14ac:dyDescent="0.55000000000000004">
      <c r="A3908" s="20">
        <v>17096</v>
      </c>
      <c r="B3908" s="2" t="s">
        <v>169</v>
      </c>
      <c r="C3908" s="2" t="s">
        <v>170</v>
      </c>
      <c r="D3908" s="20">
        <v>0</v>
      </c>
      <c r="E3908" s="2" t="s">
        <v>838</v>
      </c>
      <c r="F3908" s="2" t="s">
        <v>793</v>
      </c>
      <c r="G3908" s="2" t="s">
        <v>1154</v>
      </c>
      <c r="H3908" s="2" t="s">
        <v>1155</v>
      </c>
      <c r="J3908" s="26"/>
      <c r="K3908" s="36">
        <v>6.3150999999999995E-4</v>
      </c>
      <c r="L3908" s="23">
        <v>1.5788E-4</v>
      </c>
    </row>
    <row r="3909" spans="1:12" ht="15.35" hidden="1" x14ac:dyDescent="0.55000000000000004">
      <c r="A3909" s="20">
        <v>17555</v>
      </c>
      <c r="B3909" s="2" t="s">
        <v>169</v>
      </c>
      <c r="C3909" s="2" t="s">
        <v>170</v>
      </c>
      <c r="D3909" s="20">
        <v>0</v>
      </c>
      <c r="E3909" s="2" t="s">
        <v>838</v>
      </c>
      <c r="F3909" s="2" t="s">
        <v>793</v>
      </c>
      <c r="G3909" s="2" t="s">
        <v>3950</v>
      </c>
      <c r="H3909" s="2" t="s">
        <v>1155</v>
      </c>
      <c r="J3909" s="26"/>
      <c r="K3909" s="36">
        <v>1.3358700000000001E-3</v>
      </c>
      <c r="L3909" s="23">
        <v>3.3397E-4</v>
      </c>
    </row>
    <row r="3910" spans="1:12" ht="15.35" hidden="1" x14ac:dyDescent="0.55000000000000004">
      <c r="A3910" s="20">
        <v>17170</v>
      </c>
      <c r="B3910" s="2" t="s">
        <v>169</v>
      </c>
      <c r="C3910" s="2" t="s">
        <v>170</v>
      </c>
      <c r="D3910" s="20">
        <v>0</v>
      </c>
      <c r="E3910" s="2" t="s">
        <v>838</v>
      </c>
      <c r="F3910" s="2" t="s">
        <v>783</v>
      </c>
      <c r="G3910" s="2" t="s">
        <v>3951</v>
      </c>
      <c r="H3910" s="2" t="s">
        <v>1155</v>
      </c>
      <c r="J3910" s="26"/>
      <c r="K3910" s="36">
        <v>2.1301E-4</v>
      </c>
      <c r="L3910" s="23">
        <v>5.325E-5</v>
      </c>
    </row>
    <row r="3911" spans="1:12" ht="15.35" hidden="1" x14ac:dyDescent="0.55000000000000004">
      <c r="A3911" s="20">
        <v>16995</v>
      </c>
      <c r="B3911" s="2" t="s">
        <v>169</v>
      </c>
      <c r="C3911" s="2" t="s">
        <v>170</v>
      </c>
      <c r="D3911" s="20">
        <v>0</v>
      </c>
      <c r="E3911" s="2" t="s">
        <v>838</v>
      </c>
      <c r="F3911" s="2" t="s">
        <v>793</v>
      </c>
      <c r="G3911" s="2" t="s">
        <v>3372</v>
      </c>
      <c r="H3911" s="2" t="s">
        <v>1155</v>
      </c>
      <c r="J3911" s="26"/>
      <c r="K3911" s="36">
        <v>1.3976E-4</v>
      </c>
      <c r="L3911" s="23">
        <v>3.4940000000000001E-5</v>
      </c>
    </row>
    <row r="3912" spans="1:12" ht="15.35" hidden="1" x14ac:dyDescent="0.55000000000000004">
      <c r="A3912" s="20">
        <v>17080</v>
      </c>
      <c r="B3912" s="2" t="s">
        <v>169</v>
      </c>
      <c r="C3912" s="2" t="s">
        <v>170</v>
      </c>
      <c r="D3912" s="20">
        <v>0</v>
      </c>
      <c r="E3912" s="2" t="s">
        <v>838</v>
      </c>
      <c r="F3912" s="2" t="s">
        <v>793</v>
      </c>
      <c r="G3912" s="2" t="s">
        <v>3373</v>
      </c>
      <c r="H3912" s="2" t="s">
        <v>1155</v>
      </c>
      <c r="J3912" s="26"/>
      <c r="K3912" s="36">
        <v>6.4529999999999994E-5</v>
      </c>
      <c r="L3912" s="23">
        <v>1.613E-5</v>
      </c>
    </row>
    <row r="3913" spans="1:12" ht="15.35" hidden="1" x14ac:dyDescent="0.55000000000000004">
      <c r="A3913" s="20">
        <v>17569</v>
      </c>
      <c r="B3913" s="2" t="s">
        <v>169</v>
      </c>
      <c r="C3913" s="2" t="s">
        <v>170</v>
      </c>
      <c r="D3913" s="20">
        <v>0</v>
      </c>
      <c r="E3913" s="2" t="s">
        <v>838</v>
      </c>
      <c r="F3913" s="2" t="s">
        <v>787</v>
      </c>
      <c r="G3913" s="2" t="s">
        <v>1155</v>
      </c>
      <c r="H3913" s="2" t="s">
        <v>1155</v>
      </c>
      <c r="J3913" s="26"/>
      <c r="K3913" s="36">
        <v>4.4221499999999997E-3</v>
      </c>
      <c r="L3913" s="23">
        <v>1.1055399999999999E-3</v>
      </c>
    </row>
    <row r="3914" spans="1:12" ht="15.35" x14ac:dyDescent="0.55000000000000004">
      <c r="A3914" s="20">
        <v>17637</v>
      </c>
      <c r="B3914" s="2" t="s">
        <v>169</v>
      </c>
      <c r="C3914" s="2" t="s">
        <v>170</v>
      </c>
      <c r="D3914" s="20">
        <v>0</v>
      </c>
      <c r="E3914" s="2" t="s">
        <v>838</v>
      </c>
      <c r="F3914" s="2" t="s">
        <v>793</v>
      </c>
      <c r="G3914" s="2" t="s">
        <v>3952</v>
      </c>
      <c r="J3914" s="26"/>
      <c r="K3914" s="36">
        <v>3.9593000000000001E-4</v>
      </c>
      <c r="L3914" s="23">
        <v>9.8980000000000004E-5</v>
      </c>
    </row>
    <row r="3915" spans="1:12" ht="15.35" hidden="1" x14ac:dyDescent="0.55000000000000004">
      <c r="A3915" s="20">
        <v>17499</v>
      </c>
      <c r="B3915" s="2" t="s">
        <v>169</v>
      </c>
      <c r="C3915" s="2" t="s">
        <v>170</v>
      </c>
      <c r="D3915" s="20">
        <v>0</v>
      </c>
      <c r="E3915" s="2" t="s">
        <v>838</v>
      </c>
      <c r="F3915" s="2" t="s">
        <v>793</v>
      </c>
      <c r="G3915" s="2" t="s">
        <v>3953</v>
      </c>
      <c r="H3915" s="2" t="s">
        <v>3954</v>
      </c>
      <c r="J3915" s="26"/>
      <c r="K3915" s="36">
        <v>9.5810000000000006E-5</v>
      </c>
      <c r="L3915" s="23">
        <v>2.3949999999999999E-5</v>
      </c>
    </row>
    <row r="3916" spans="1:12" ht="15.35" hidden="1" x14ac:dyDescent="0.55000000000000004">
      <c r="A3916" s="20">
        <v>17370</v>
      </c>
      <c r="B3916" s="2" t="s">
        <v>169</v>
      </c>
      <c r="C3916" s="2" t="s">
        <v>170</v>
      </c>
      <c r="D3916" s="20">
        <v>0</v>
      </c>
      <c r="E3916" s="2" t="s">
        <v>838</v>
      </c>
      <c r="F3916" s="2" t="s">
        <v>848</v>
      </c>
      <c r="G3916" s="2" t="s">
        <v>3955</v>
      </c>
      <c r="H3916" s="2" t="s">
        <v>3955</v>
      </c>
      <c r="J3916" s="26"/>
      <c r="K3916" s="36">
        <v>2.37558E-3</v>
      </c>
      <c r="L3916" s="23">
        <v>5.9389000000000002E-4</v>
      </c>
    </row>
    <row r="3917" spans="1:12" ht="15.35" hidden="1" x14ac:dyDescent="0.55000000000000004">
      <c r="A3917" s="20">
        <v>17070</v>
      </c>
      <c r="B3917" s="2" t="s">
        <v>169</v>
      </c>
      <c r="C3917" s="2" t="s">
        <v>170</v>
      </c>
      <c r="D3917" s="20">
        <v>0</v>
      </c>
      <c r="E3917" s="2" t="s">
        <v>838</v>
      </c>
      <c r="F3917" s="2" t="s">
        <v>793</v>
      </c>
      <c r="G3917" s="2" t="s">
        <v>3956</v>
      </c>
      <c r="H3917" s="2" t="s">
        <v>3957</v>
      </c>
      <c r="J3917" s="26"/>
      <c r="K3917" s="36">
        <v>3.3654100000000001E-3</v>
      </c>
      <c r="L3917" s="23">
        <v>8.4135000000000004E-4</v>
      </c>
    </row>
    <row r="3918" spans="1:12" ht="15.35" x14ac:dyDescent="0.55000000000000004">
      <c r="A3918" s="20">
        <v>16928</v>
      </c>
      <c r="B3918" s="2" t="s">
        <v>169</v>
      </c>
      <c r="C3918" s="2" t="s">
        <v>170</v>
      </c>
      <c r="D3918" s="20">
        <v>0</v>
      </c>
      <c r="E3918" s="2" t="s">
        <v>838</v>
      </c>
      <c r="F3918" s="2" t="s">
        <v>793</v>
      </c>
      <c r="G3918" s="2" t="s">
        <v>3958</v>
      </c>
      <c r="J3918" s="26"/>
      <c r="K3918" s="36">
        <v>5.9379999999999997E-5</v>
      </c>
      <c r="L3918" s="23">
        <v>1.484E-5</v>
      </c>
    </row>
    <row r="3919" spans="1:12" ht="15.35" hidden="1" x14ac:dyDescent="0.55000000000000004">
      <c r="A3919" s="20">
        <v>16852</v>
      </c>
      <c r="B3919" s="2" t="s">
        <v>169</v>
      </c>
      <c r="C3919" s="2" t="s">
        <v>170</v>
      </c>
      <c r="D3919" s="20">
        <v>0</v>
      </c>
      <c r="E3919" s="2" t="s">
        <v>838</v>
      </c>
      <c r="F3919" s="2" t="s">
        <v>793</v>
      </c>
      <c r="G3919" s="2" t="s">
        <v>3959</v>
      </c>
      <c r="H3919" s="2" t="s">
        <v>3960</v>
      </c>
      <c r="J3919" s="26"/>
      <c r="K3919" s="36">
        <v>4.6718999999999998E-4</v>
      </c>
      <c r="L3919" s="23">
        <v>1.1680000000000001E-4</v>
      </c>
    </row>
    <row r="3920" spans="1:12" ht="15.35" hidden="1" x14ac:dyDescent="0.55000000000000004">
      <c r="A3920" s="20">
        <v>17255</v>
      </c>
      <c r="B3920" s="2" t="s">
        <v>169</v>
      </c>
      <c r="C3920" s="2" t="s">
        <v>170</v>
      </c>
      <c r="D3920" s="20">
        <v>0</v>
      </c>
      <c r="E3920" s="2" t="s">
        <v>838</v>
      </c>
      <c r="F3920" s="2" t="s">
        <v>793</v>
      </c>
      <c r="G3920" s="2" t="s">
        <v>3380</v>
      </c>
      <c r="H3920" s="2" t="s">
        <v>1158</v>
      </c>
      <c r="J3920" s="26"/>
      <c r="K3920" s="36">
        <v>5.9379999999999997E-5</v>
      </c>
      <c r="L3920" s="23">
        <v>1.484E-5</v>
      </c>
    </row>
    <row r="3921" spans="1:12" ht="15.35" hidden="1" x14ac:dyDescent="0.55000000000000004">
      <c r="A3921" s="20">
        <v>17202</v>
      </c>
      <c r="B3921" s="2" t="s">
        <v>169</v>
      </c>
      <c r="C3921" s="2" t="s">
        <v>170</v>
      </c>
      <c r="D3921" s="20">
        <v>0</v>
      </c>
      <c r="E3921" s="2" t="s">
        <v>838</v>
      </c>
      <c r="F3921" s="2" t="s">
        <v>848</v>
      </c>
      <c r="G3921" s="2" t="s">
        <v>1158</v>
      </c>
      <c r="H3921" s="2" t="s">
        <v>1158</v>
      </c>
      <c r="J3921" s="26"/>
      <c r="K3921" s="36">
        <v>3.1037E-3</v>
      </c>
      <c r="L3921" s="23">
        <v>7.7592000000000004E-4</v>
      </c>
    </row>
    <row r="3922" spans="1:12" ht="15.35" hidden="1" x14ac:dyDescent="0.55000000000000004">
      <c r="A3922" s="20">
        <v>17250</v>
      </c>
      <c r="B3922" s="2" t="s">
        <v>169</v>
      </c>
      <c r="C3922" s="2" t="s">
        <v>170</v>
      </c>
      <c r="D3922" s="20">
        <v>0</v>
      </c>
      <c r="E3922" s="2" t="s">
        <v>838</v>
      </c>
      <c r="F3922" s="2" t="s">
        <v>848</v>
      </c>
      <c r="G3922" s="2" t="s">
        <v>3961</v>
      </c>
      <c r="H3922" s="2" t="s">
        <v>1160</v>
      </c>
      <c r="J3922" s="26"/>
      <c r="K3922" s="36">
        <v>2.5339500000000001E-3</v>
      </c>
      <c r="L3922" s="23">
        <v>6.3349000000000001E-4</v>
      </c>
    </row>
    <row r="3923" spans="1:12" ht="15.35" hidden="1" x14ac:dyDescent="0.55000000000000004">
      <c r="A3923" s="20">
        <v>17049</v>
      </c>
      <c r="B3923" s="2" t="s">
        <v>169</v>
      </c>
      <c r="C3923" s="2" t="s">
        <v>170</v>
      </c>
      <c r="D3923" s="20">
        <v>0</v>
      </c>
      <c r="E3923" s="2" t="s">
        <v>838</v>
      </c>
      <c r="F3923" s="2" t="s">
        <v>789</v>
      </c>
      <c r="G3923" s="2" t="s">
        <v>3962</v>
      </c>
      <c r="H3923" s="2" t="s">
        <v>3963</v>
      </c>
      <c r="J3923" s="26"/>
      <c r="K3923" s="36">
        <v>5.3054000000000003E-4</v>
      </c>
      <c r="L3923" s="23">
        <v>1.3264E-4</v>
      </c>
    </row>
    <row r="3924" spans="1:12" ht="15.35" hidden="1" x14ac:dyDescent="0.55000000000000004">
      <c r="A3924" s="20">
        <v>16886</v>
      </c>
      <c r="B3924" s="2" t="s">
        <v>169</v>
      </c>
      <c r="C3924" s="2" t="s">
        <v>170</v>
      </c>
      <c r="D3924" s="20">
        <v>0</v>
      </c>
      <c r="E3924" s="2" t="s">
        <v>838</v>
      </c>
      <c r="F3924" s="2" t="s">
        <v>793</v>
      </c>
      <c r="G3924" s="2" t="s">
        <v>3964</v>
      </c>
      <c r="H3924" s="2" t="s">
        <v>3963</v>
      </c>
      <c r="J3924" s="26"/>
      <c r="K3924" s="36">
        <v>5.3054000000000003E-4</v>
      </c>
      <c r="L3924" s="23">
        <v>1.3264E-4</v>
      </c>
    </row>
    <row r="3925" spans="1:12" ht="15.35" hidden="1" x14ac:dyDescent="0.55000000000000004">
      <c r="A3925" s="20">
        <v>17397</v>
      </c>
      <c r="B3925" s="2" t="s">
        <v>169</v>
      </c>
      <c r="C3925" s="2" t="s">
        <v>170</v>
      </c>
      <c r="D3925" s="20">
        <v>0</v>
      </c>
      <c r="E3925" s="2" t="s">
        <v>838</v>
      </c>
      <c r="F3925" s="2" t="s">
        <v>793</v>
      </c>
      <c r="G3925" s="2" t="s">
        <v>3965</v>
      </c>
      <c r="H3925" s="2" t="s">
        <v>3963</v>
      </c>
      <c r="J3925" s="26"/>
      <c r="K3925" s="36">
        <v>5.3054000000000003E-4</v>
      </c>
      <c r="L3925" s="23">
        <v>1.3264E-4</v>
      </c>
    </row>
    <row r="3926" spans="1:12" ht="15.35" hidden="1" x14ac:dyDescent="0.55000000000000004">
      <c r="A3926" s="20">
        <v>16856</v>
      </c>
      <c r="B3926" s="2" t="s">
        <v>169</v>
      </c>
      <c r="C3926" s="2" t="s">
        <v>170</v>
      </c>
      <c r="D3926" s="20">
        <v>0</v>
      </c>
      <c r="E3926" s="2" t="s">
        <v>838</v>
      </c>
      <c r="F3926" s="2" t="s">
        <v>793</v>
      </c>
      <c r="G3926" s="2" t="s">
        <v>3966</v>
      </c>
      <c r="H3926" s="2" t="s">
        <v>3967</v>
      </c>
      <c r="J3926" s="26"/>
      <c r="K3926" s="36">
        <v>1.1877E-4</v>
      </c>
      <c r="L3926" s="23">
        <v>2.9689999999999999E-5</v>
      </c>
    </row>
    <row r="3927" spans="1:12" ht="15.35" hidden="1" x14ac:dyDescent="0.55000000000000004">
      <c r="A3927" s="20">
        <v>17034</v>
      </c>
      <c r="B3927" s="2" t="s">
        <v>169</v>
      </c>
      <c r="C3927" s="2" t="s">
        <v>170</v>
      </c>
      <c r="D3927" s="20">
        <v>0</v>
      </c>
      <c r="E3927" s="2" t="s">
        <v>838</v>
      </c>
      <c r="F3927" s="2" t="s">
        <v>793</v>
      </c>
      <c r="G3927" s="2" t="s">
        <v>3382</v>
      </c>
      <c r="H3927" s="2" t="s">
        <v>1161</v>
      </c>
      <c r="J3927" s="26"/>
      <c r="K3927" s="36">
        <v>1.9003999999999999E-4</v>
      </c>
      <c r="L3927" s="23">
        <v>4.7509999999999997E-5</v>
      </c>
    </row>
    <row r="3928" spans="1:12" ht="15.35" hidden="1" x14ac:dyDescent="0.55000000000000004">
      <c r="A3928" s="20">
        <v>17263</v>
      </c>
      <c r="B3928" s="2" t="s">
        <v>169</v>
      </c>
      <c r="C3928" s="2" t="s">
        <v>170</v>
      </c>
      <c r="D3928" s="20">
        <v>0</v>
      </c>
      <c r="E3928" s="2" t="s">
        <v>838</v>
      </c>
      <c r="F3928" s="2" t="s">
        <v>793</v>
      </c>
      <c r="G3928" s="2" t="s">
        <v>3968</v>
      </c>
      <c r="H3928" s="2" t="s">
        <v>1161</v>
      </c>
      <c r="J3928" s="26"/>
      <c r="K3928" s="36">
        <v>6.9679999999999997E-5</v>
      </c>
      <c r="L3928" s="23">
        <v>1.7419999999999999E-5</v>
      </c>
    </row>
    <row r="3929" spans="1:12" ht="15.35" hidden="1" x14ac:dyDescent="0.55000000000000004">
      <c r="A3929" s="20">
        <v>17015</v>
      </c>
      <c r="B3929" s="2" t="s">
        <v>169</v>
      </c>
      <c r="C3929" s="2" t="s">
        <v>170</v>
      </c>
      <c r="D3929" s="20">
        <v>0</v>
      </c>
      <c r="E3929" s="2" t="s">
        <v>838</v>
      </c>
      <c r="F3929" s="2" t="s">
        <v>817</v>
      </c>
      <c r="G3929" s="2" t="s">
        <v>3383</v>
      </c>
      <c r="H3929" s="2" t="s">
        <v>3384</v>
      </c>
      <c r="J3929" s="26"/>
      <c r="K3929" s="36">
        <v>1.7254600000000001E-3</v>
      </c>
      <c r="L3929" s="23">
        <v>4.3136999999999998E-4</v>
      </c>
    </row>
    <row r="3930" spans="1:12" ht="15.35" hidden="1" x14ac:dyDescent="0.55000000000000004">
      <c r="A3930" s="20">
        <v>17708</v>
      </c>
      <c r="B3930" s="2" t="s">
        <v>169</v>
      </c>
      <c r="C3930" s="2" t="s">
        <v>170</v>
      </c>
      <c r="D3930" s="20">
        <v>0</v>
      </c>
      <c r="E3930" s="2" t="s">
        <v>838</v>
      </c>
      <c r="F3930" s="2" t="s">
        <v>787</v>
      </c>
      <c r="G3930" s="2" t="s">
        <v>1164</v>
      </c>
      <c r="H3930" s="2" t="s">
        <v>1164</v>
      </c>
      <c r="J3930" s="26"/>
      <c r="K3930" s="36">
        <v>4.4221499999999997E-3</v>
      </c>
      <c r="L3930" s="23">
        <v>1.1055399999999999E-3</v>
      </c>
    </row>
    <row r="3931" spans="1:12" ht="15.35" hidden="1" x14ac:dyDescent="0.55000000000000004">
      <c r="A3931" s="20">
        <v>17040</v>
      </c>
      <c r="B3931" s="2" t="s">
        <v>169</v>
      </c>
      <c r="C3931" s="2" t="s">
        <v>170</v>
      </c>
      <c r="D3931" s="20">
        <v>0</v>
      </c>
      <c r="E3931" s="2" t="s">
        <v>838</v>
      </c>
      <c r="F3931" s="2" t="s">
        <v>793</v>
      </c>
      <c r="G3931" s="2" t="s">
        <v>3969</v>
      </c>
      <c r="H3931" s="2" t="s">
        <v>3970</v>
      </c>
      <c r="J3931" s="26"/>
      <c r="K3931" s="36">
        <v>4.4221499999999997E-3</v>
      </c>
      <c r="L3931" s="23">
        <v>1.1055399999999999E-3</v>
      </c>
    </row>
    <row r="3932" spans="1:12" ht="15.35" hidden="1" x14ac:dyDescent="0.55000000000000004">
      <c r="A3932" s="20">
        <v>17536</v>
      </c>
      <c r="B3932" s="2" t="s">
        <v>169</v>
      </c>
      <c r="C3932" s="2" t="s">
        <v>170</v>
      </c>
      <c r="D3932" s="20">
        <v>0</v>
      </c>
      <c r="E3932" s="2" t="s">
        <v>838</v>
      </c>
      <c r="F3932" s="2" t="s">
        <v>817</v>
      </c>
      <c r="G3932" s="2" t="s">
        <v>3971</v>
      </c>
      <c r="H3932" s="2" t="s">
        <v>3971</v>
      </c>
      <c r="J3932" s="26"/>
      <c r="K3932" s="36">
        <v>1.2669700000000001E-3</v>
      </c>
      <c r="L3932" s="23">
        <v>3.1673999999999998E-4</v>
      </c>
    </row>
    <row r="3933" spans="1:12" ht="15.35" hidden="1" x14ac:dyDescent="0.55000000000000004">
      <c r="A3933" s="20">
        <v>17532</v>
      </c>
      <c r="B3933" s="2" t="s">
        <v>169</v>
      </c>
      <c r="C3933" s="2" t="s">
        <v>170</v>
      </c>
      <c r="D3933" s="20">
        <v>0</v>
      </c>
      <c r="E3933" s="2" t="s">
        <v>838</v>
      </c>
      <c r="F3933" s="2" t="s">
        <v>848</v>
      </c>
      <c r="G3933" s="2" t="s">
        <v>3972</v>
      </c>
      <c r="H3933" s="2" t="s">
        <v>3972</v>
      </c>
      <c r="J3933" s="26"/>
      <c r="K3933" s="36">
        <v>4.4221499999999997E-3</v>
      </c>
      <c r="L3933" s="23">
        <v>1.1055399999999999E-3</v>
      </c>
    </row>
    <row r="3934" spans="1:12" ht="15.35" x14ac:dyDescent="0.55000000000000004">
      <c r="A3934" s="20">
        <v>17390</v>
      </c>
      <c r="B3934" s="2" t="s">
        <v>169</v>
      </c>
      <c r="C3934" s="2" t="s">
        <v>170</v>
      </c>
      <c r="D3934" s="20">
        <v>0</v>
      </c>
      <c r="E3934" s="2" t="s">
        <v>838</v>
      </c>
      <c r="F3934" s="2" t="s">
        <v>793</v>
      </c>
      <c r="G3934" s="2" t="s">
        <v>3973</v>
      </c>
      <c r="J3934" s="26"/>
      <c r="K3934" s="36">
        <v>1.6827000000000001E-3</v>
      </c>
      <c r="L3934" s="23">
        <v>4.2067999999999999E-4</v>
      </c>
    </row>
    <row r="3935" spans="1:12" ht="15.35" x14ac:dyDescent="0.55000000000000004">
      <c r="A3935" s="20">
        <v>17565</v>
      </c>
      <c r="B3935" s="2" t="s">
        <v>169</v>
      </c>
      <c r="C3935" s="2" t="s">
        <v>170</v>
      </c>
      <c r="D3935" s="20">
        <v>0</v>
      </c>
      <c r="E3935" s="2" t="s">
        <v>838</v>
      </c>
      <c r="F3935" s="2" t="s">
        <v>793</v>
      </c>
      <c r="G3935" s="2" t="s">
        <v>3974</v>
      </c>
      <c r="J3935" s="26"/>
      <c r="K3935" s="36">
        <v>2.4943600000000002E-3</v>
      </c>
      <c r="L3935" s="23">
        <v>6.2359000000000004E-4</v>
      </c>
    </row>
    <row r="3936" spans="1:12" ht="15.35" hidden="1" x14ac:dyDescent="0.55000000000000004">
      <c r="A3936" s="20">
        <v>17239</v>
      </c>
      <c r="B3936" s="2" t="s">
        <v>169</v>
      </c>
      <c r="C3936" s="2" t="s">
        <v>170</v>
      </c>
      <c r="D3936" s="20">
        <v>0</v>
      </c>
      <c r="E3936" s="2" t="s">
        <v>838</v>
      </c>
      <c r="F3936" s="2" t="s">
        <v>789</v>
      </c>
      <c r="G3936" s="2" t="s">
        <v>3975</v>
      </c>
      <c r="H3936" s="2" t="s">
        <v>3976</v>
      </c>
      <c r="J3936" s="26"/>
      <c r="K3936" s="36">
        <v>2.1958300000000002E-3</v>
      </c>
      <c r="L3936" s="23">
        <v>5.4896000000000003E-4</v>
      </c>
    </row>
    <row r="3937" spans="1:12" ht="15.35" hidden="1" x14ac:dyDescent="0.55000000000000004">
      <c r="A3937" s="20">
        <v>17471</v>
      </c>
      <c r="B3937" s="2" t="s">
        <v>169</v>
      </c>
      <c r="C3937" s="2" t="s">
        <v>170</v>
      </c>
      <c r="D3937" s="20">
        <v>0</v>
      </c>
      <c r="E3937" s="2" t="s">
        <v>838</v>
      </c>
      <c r="F3937" s="2" t="s">
        <v>789</v>
      </c>
      <c r="G3937" s="2" t="s">
        <v>3977</v>
      </c>
      <c r="H3937" s="2" t="s">
        <v>3978</v>
      </c>
      <c r="J3937" s="26"/>
      <c r="K3937" s="36">
        <v>3.3336999999999999E-4</v>
      </c>
      <c r="L3937" s="23">
        <v>8.3339999999999998E-5</v>
      </c>
    </row>
    <row r="3938" spans="1:12" ht="15.35" hidden="1" x14ac:dyDescent="0.55000000000000004">
      <c r="A3938" s="20">
        <v>17160</v>
      </c>
      <c r="B3938" s="2" t="s">
        <v>169</v>
      </c>
      <c r="C3938" s="2" t="s">
        <v>170</v>
      </c>
      <c r="D3938" s="20">
        <v>0</v>
      </c>
      <c r="E3938" s="2" t="s">
        <v>838</v>
      </c>
      <c r="F3938" s="2" t="s">
        <v>848</v>
      </c>
      <c r="G3938" s="2" t="s">
        <v>3979</v>
      </c>
      <c r="H3938" s="2" t="s">
        <v>3979</v>
      </c>
      <c r="J3938" s="26"/>
      <c r="K3938" s="36">
        <v>4.4221499999999997E-3</v>
      </c>
      <c r="L3938" s="23">
        <v>1.1055399999999999E-3</v>
      </c>
    </row>
    <row r="3939" spans="1:12" ht="15.35" hidden="1" x14ac:dyDescent="0.55000000000000004">
      <c r="A3939" s="20">
        <v>16994</v>
      </c>
      <c r="B3939" s="2" t="s">
        <v>169</v>
      </c>
      <c r="C3939" s="2" t="s">
        <v>170</v>
      </c>
      <c r="D3939" s="20">
        <v>0</v>
      </c>
      <c r="E3939" s="2" t="s">
        <v>838</v>
      </c>
      <c r="F3939" s="2" t="s">
        <v>789</v>
      </c>
      <c r="G3939" s="2" t="s">
        <v>3980</v>
      </c>
      <c r="H3939" s="2" t="s">
        <v>3981</v>
      </c>
      <c r="J3939" s="26"/>
      <c r="K3939" s="36">
        <v>4.4221499999999997E-3</v>
      </c>
      <c r="L3939" s="23">
        <v>1.1055399999999999E-3</v>
      </c>
    </row>
    <row r="3940" spans="1:12" ht="15.35" hidden="1" x14ac:dyDescent="0.55000000000000004">
      <c r="A3940" s="20">
        <v>17345</v>
      </c>
      <c r="B3940" s="2" t="s">
        <v>169</v>
      </c>
      <c r="C3940" s="2" t="s">
        <v>170</v>
      </c>
      <c r="D3940" s="20">
        <v>0</v>
      </c>
      <c r="E3940" s="2" t="s">
        <v>838</v>
      </c>
      <c r="F3940" s="2" t="s">
        <v>789</v>
      </c>
      <c r="G3940" s="2" t="s">
        <v>3982</v>
      </c>
      <c r="H3940" s="2" t="s">
        <v>1746</v>
      </c>
      <c r="J3940" s="26"/>
      <c r="K3940" s="36">
        <v>1.00091E-3</v>
      </c>
      <c r="L3940" s="23">
        <v>2.5022999999999999E-4</v>
      </c>
    </row>
    <row r="3941" spans="1:12" ht="15.35" hidden="1" x14ac:dyDescent="0.55000000000000004">
      <c r="A3941" s="20">
        <v>17375</v>
      </c>
      <c r="B3941" s="2" t="s">
        <v>169</v>
      </c>
      <c r="C3941" s="2" t="s">
        <v>170</v>
      </c>
      <c r="D3941" s="20">
        <v>0</v>
      </c>
      <c r="E3941" s="2" t="s">
        <v>838</v>
      </c>
      <c r="F3941" s="2" t="s">
        <v>793</v>
      </c>
      <c r="G3941" s="2" t="s">
        <v>3983</v>
      </c>
      <c r="H3941" s="2" t="s">
        <v>1166</v>
      </c>
      <c r="J3941" s="26"/>
      <c r="K3941" s="36">
        <v>6.6713999999999999E-4</v>
      </c>
      <c r="L3941" s="23">
        <v>1.6678E-4</v>
      </c>
    </row>
    <row r="3942" spans="1:12" ht="15.35" hidden="1" x14ac:dyDescent="0.55000000000000004">
      <c r="A3942" s="20">
        <v>16845</v>
      </c>
      <c r="B3942" s="2" t="s">
        <v>169</v>
      </c>
      <c r="C3942" s="2" t="s">
        <v>170</v>
      </c>
      <c r="D3942" s="20">
        <v>0</v>
      </c>
      <c r="E3942" s="2" t="s">
        <v>838</v>
      </c>
      <c r="F3942" s="2" t="s">
        <v>793</v>
      </c>
      <c r="G3942" s="2" t="s">
        <v>3984</v>
      </c>
      <c r="H3942" s="2" t="s">
        <v>1166</v>
      </c>
      <c r="J3942" s="26"/>
      <c r="K3942" s="36">
        <v>6.6509999999999998E-5</v>
      </c>
      <c r="L3942" s="23">
        <v>1.6629999999999998E-5</v>
      </c>
    </row>
    <row r="3943" spans="1:12" ht="15.35" hidden="1" x14ac:dyDescent="0.55000000000000004">
      <c r="A3943" s="20">
        <v>17184</v>
      </c>
      <c r="B3943" s="2" t="s">
        <v>169</v>
      </c>
      <c r="C3943" s="2" t="s">
        <v>170</v>
      </c>
      <c r="D3943" s="20">
        <v>0</v>
      </c>
      <c r="E3943" s="2" t="s">
        <v>838</v>
      </c>
      <c r="F3943" s="2" t="s">
        <v>793</v>
      </c>
      <c r="G3943" s="2" t="s">
        <v>3391</v>
      </c>
      <c r="H3943" s="2" t="s">
        <v>1166</v>
      </c>
      <c r="J3943" s="26"/>
      <c r="K3943" s="36">
        <v>7.3239999999999997E-5</v>
      </c>
      <c r="L3943" s="23">
        <v>1.8309999999999999E-5</v>
      </c>
    </row>
    <row r="3944" spans="1:12" ht="15.35" hidden="1" x14ac:dyDescent="0.55000000000000004">
      <c r="A3944" s="20">
        <v>17068</v>
      </c>
      <c r="B3944" s="2" t="s">
        <v>169</v>
      </c>
      <c r="C3944" s="2" t="s">
        <v>170</v>
      </c>
      <c r="D3944" s="20">
        <v>0</v>
      </c>
      <c r="E3944" s="2" t="s">
        <v>838</v>
      </c>
      <c r="F3944" s="2" t="s">
        <v>793</v>
      </c>
      <c r="G3944" s="2" t="s">
        <v>3985</v>
      </c>
      <c r="H3944" s="2" t="s">
        <v>1166</v>
      </c>
      <c r="J3944" s="26"/>
      <c r="K3944" s="36">
        <v>6.6509999999999998E-5</v>
      </c>
      <c r="L3944" s="23">
        <v>1.6629999999999998E-5</v>
      </c>
    </row>
    <row r="3945" spans="1:12" ht="15.35" hidden="1" x14ac:dyDescent="0.55000000000000004">
      <c r="A3945" s="20">
        <v>16996</v>
      </c>
      <c r="B3945" s="2" t="s">
        <v>169</v>
      </c>
      <c r="C3945" s="2" t="s">
        <v>170</v>
      </c>
      <c r="D3945" s="20">
        <v>0</v>
      </c>
      <c r="E3945" s="2" t="s">
        <v>838</v>
      </c>
      <c r="F3945" s="2" t="s">
        <v>793</v>
      </c>
      <c r="G3945" s="2" t="s">
        <v>3986</v>
      </c>
      <c r="H3945" s="2" t="s">
        <v>1166</v>
      </c>
      <c r="J3945" s="26"/>
      <c r="K3945" s="36">
        <v>6.6509999999999998E-5</v>
      </c>
      <c r="L3945" s="23">
        <v>1.6629999999999998E-5</v>
      </c>
    </row>
    <row r="3946" spans="1:12" ht="15.35" hidden="1" x14ac:dyDescent="0.55000000000000004">
      <c r="A3946" s="20">
        <v>17481</v>
      </c>
      <c r="B3946" s="2" t="s">
        <v>169</v>
      </c>
      <c r="C3946" s="2" t="s">
        <v>170</v>
      </c>
      <c r="D3946" s="20">
        <v>0</v>
      </c>
      <c r="E3946" s="2" t="s">
        <v>838</v>
      </c>
      <c r="F3946" s="2" t="s">
        <v>793</v>
      </c>
      <c r="G3946" s="2" t="s">
        <v>3987</v>
      </c>
      <c r="H3946" s="2" t="s">
        <v>1166</v>
      </c>
      <c r="J3946" s="26"/>
      <c r="K3946" s="36">
        <v>6.334E-5</v>
      </c>
      <c r="L3946" s="23">
        <v>1.5840000000000001E-5</v>
      </c>
    </row>
    <row r="3947" spans="1:12" ht="15.35" hidden="1" x14ac:dyDescent="0.55000000000000004">
      <c r="A3947" s="20">
        <v>16985</v>
      </c>
      <c r="B3947" s="2" t="s">
        <v>169</v>
      </c>
      <c r="C3947" s="2" t="s">
        <v>170</v>
      </c>
      <c r="D3947" s="20">
        <v>0</v>
      </c>
      <c r="E3947" s="2" t="s">
        <v>838</v>
      </c>
      <c r="F3947" s="2" t="s">
        <v>793</v>
      </c>
      <c r="G3947" s="2" t="s">
        <v>3392</v>
      </c>
      <c r="H3947" s="2" t="s">
        <v>1166</v>
      </c>
      <c r="J3947" s="26"/>
      <c r="K3947" s="36">
        <v>1.5322E-4</v>
      </c>
      <c r="L3947" s="23">
        <v>3.8309999999999997E-5</v>
      </c>
    </row>
    <row r="3948" spans="1:12" ht="15.35" hidden="1" x14ac:dyDescent="0.55000000000000004">
      <c r="A3948" s="20">
        <v>17658</v>
      </c>
      <c r="B3948" s="2" t="s">
        <v>169</v>
      </c>
      <c r="C3948" s="2" t="s">
        <v>170</v>
      </c>
      <c r="D3948" s="20">
        <v>0</v>
      </c>
      <c r="E3948" s="2" t="s">
        <v>838</v>
      </c>
      <c r="F3948" s="2" t="s">
        <v>793</v>
      </c>
      <c r="G3948" s="2" t="s">
        <v>1165</v>
      </c>
      <c r="H3948" s="2" t="s">
        <v>1166</v>
      </c>
      <c r="J3948" s="26"/>
      <c r="K3948" s="36">
        <v>2.8229800000000001E-3</v>
      </c>
      <c r="L3948" s="23">
        <v>7.0573999999999995E-4</v>
      </c>
    </row>
    <row r="3949" spans="1:12" ht="15.35" hidden="1" x14ac:dyDescent="0.55000000000000004">
      <c r="A3949" s="20">
        <v>17211</v>
      </c>
      <c r="B3949" s="2" t="s">
        <v>169</v>
      </c>
      <c r="C3949" s="2" t="s">
        <v>170</v>
      </c>
      <c r="D3949" s="20">
        <v>0</v>
      </c>
      <c r="E3949" s="2" t="s">
        <v>838</v>
      </c>
      <c r="F3949" s="2" t="s">
        <v>793</v>
      </c>
      <c r="G3949" s="2" t="s">
        <v>3395</v>
      </c>
      <c r="H3949" s="2" t="s">
        <v>1166</v>
      </c>
      <c r="J3949" s="26"/>
      <c r="K3949" s="36">
        <v>4.6709999999999998E-5</v>
      </c>
      <c r="L3949" s="23">
        <v>1.168E-5</v>
      </c>
    </row>
    <row r="3950" spans="1:12" ht="15.35" x14ac:dyDescent="0.55000000000000004">
      <c r="A3950" s="20">
        <v>16967</v>
      </c>
      <c r="B3950" s="2" t="s">
        <v>169</v>
      </c>
      <c r="C3950" s="2" t="s">
        <v>170</v>
      </c>
      <c r="D3950" s="20">
        <v>0</v>
      </c>
      <c r="E3950" s="2" t="s">
        <v>838</v>
      </c>
      <c r="F3950" s="2" t="s">
        <v>793</v>
      </c>
      <c r="G3950" s="2" t="s">
        <v>3988</v>
      </c>
      <c r="J3950" s="26"/>
      <c r="K3950" s="36">
        <v>1.4253499999999999E-3</v>
      </c>
      <c r="L3950" s="23">
        <v>3.5634000000000002E-4</v>
      </c>
    </row>
    <row r="3951" spans="1:12" ht="15.35" hidden="1" x14ac:dyDescent="0.55000000000000004">
      <c r="A3951" s="20">
        <v>17415</v>
      </c>
      <c r="B3951" s="2" t="s">
        <v>169</v>
      </c>
      <c r="C3951" s="2" t="s">
        <v>170</v>
      </c>
      <c r="D3951" s="20">
        <v>0</v>
      </c>
      <c r="E3951" s="2" t="s">
        <v>838</v>
      </c>
      <c r="F3951" s="2" t="s">
        <v>848</v>
      </c>
      <c r="G3951" s="2" t="s">
        <v>1171</v>
      </c>
      <c r="H3951" s="2" t="s">
        <v>1171</v>
      </c>
      <c r="J3951" s="26"/>
      <c r="K3951" s="36">
        <v>3.1674400000000001E-3</v>
      </c>
      <c r="L3951" s="23">
        <v>7.9186000000000002E-4</v>
      </c>
    </row>
    <row r="3952" spans="1:12" ht="15.35" hidden="1" x14ac:dyDescent="0.55000000000000004">
      <c r="A3952" s="20">
        <v>17309</v>
      </c>
      <c r="B3952" s="2" t="s">
        <v>169</v>
      </c>
      <c r="C3952" s="2" t="s">
        <v>170</v>
      </c>
      <c r="D3952" s="20">
        <v>0</v>
      </c>
      <c r="E3952" s="2" t="s">
        <v>838</v>
      </c>
      <c r="F3952" s="2" t="s">
        <v>793</v>
      </c>
      <c r="G3952" s="2" t="s">
        <v>3396</v>
      </c>
      <c r="H3952" s="2" t="s">
        <v>2513</v>
      </c>
      <c r="J3952" s="26"/>
      <c r="K3952" s="36">
        <v>3.9589999999999999E-5</v>
      </c>
      <c r="L3952" s="23">
        <v>9.9000000000000001E-6</v>
      </c>
    </row>
    <row r="3953" spans="1:12" ht="15.35" hidden="1" x14ac:dyDescent="0.55000000000000004">
      <c r="A3953" s="20">
        <v>17143</v>
      </c>
      <c r="B3953" s="2" t="s">
        <v>169</v>
      </c>
      <c r="C3953" s="2" t="s">
        <v>170</v>
      </c>
      <c r="D3953" s="20">
        <v>0</v>
      </c>
      <c r="E3953" s="2" t="s">
        <v>838</v>
      </c>
      <c r="F3953" s="2" t="s">
        <v>793</v>
      </c>
      <c r="G3953" s="2" t="s">
        <v>3989</v>
      </c>
      <c r="H3953" s="2" t="s">
        <v>2513</v>
      </c>
      <c r="J3953" s="26"/>
      <c r="K3953" s="36">
        <v>3.9589999999999999E-5</v>
      </c>
      <c r="L3953" s="23">
        <v>9.9000000000000001E-6</v>
      </c>
    </row>
    <row r="3954" spans="1:12" ht="15.35" hidden="1" x14ac:dyDescent="0.55000000000000004">
      <c r="A3954" s="20">
        <v>16796</v>
      </c>
      <c r="B3954" s="2" t="s">
        <v>169</v>
      </c>
      <c r="C3954" s="2" t="s">
        <v>170</v>
      </c>
      <c r="D3954" s="20">
        <v>0</v>
      </c>
      <c r="E3954" s="2" t="s">
        <v>838</v>
      </c>
      <c r="F3954" s="2" t="s">
        <v>793</v>
      </c>
      <c r="G3954" s="2" t="s">
        <v>3398</v>
      </c>
      <c r="H3954" s="2" t="s">
        <v>2513</v>
      </c>
      <c r="J3954" s="26"/>
      <c r="K3954" s="36">
        <v>3.9589999999999999E-5</v>
      </c>
      <c r="L3954" s="23">
        <v>9.9000000000000001E-6</v>
      </c>
    </row>
    <row r="3955" spans="1:12" ht="15.35" hidden="1" x14ac:dyDescent="0.55000000000000004">
      <c r="A3955" s="20">
        <v>17582</v>
      </c>
      <c r="B3955" s="2" t="s">
        <v>169</v>
      </c>
      <c r="C3955" s="2" t="s">
        <v>170</v>
      </c>
      <c r="D3955" s="20">
        <v>0</v>
      </c>
      <c r="E3955" s="2" t="s">
        <v>838</v>
      </c>
      <c r="F3955" s="2" t="s">
        <v>793</v>
      </c>
      <c r="G3955" s="2" t="s">
        <v>3990</v>
      </c>
      <c r="H3955" s="2" t="s">
        <v>2513</v>
      </c>
      <c r="J3955" s="26"/>
      <c r="K3955" s="36">
        <v>3.9589999999999999E-5</v>
      </c>
      <c r="L3955" s="23">
        <v>9.9000000000000001E-6</v>
      </c>
    </row>
    <row r="3956" spans="1:12" ht="15.35" hidden="1" x14ac:dyDescent="0.55000000000000004">
      <c r="A3956" s="20">
        <v>16820</v>
      </c>
      <c r="B3956" s="2" t="s">
        <v>169</v>
      </c>
      <c r="C3956" s="2" t="s">
        <v>170</v>
      </c>
      <c r="D3956" s="20">
        <v>0</v>
      </c>
      <c r="E3956" s="2" t="s">
        <v>838</v>
      </c>
      <c r="F3956" s="2" t="s">
        <v>793</v>
      </c>
      <c r="G3956" s="2" t="s">
        <v>3991</v>
      </c>
      <c r="H3956" s="2" t="s">
        <v>2513</v>
      </c>
      <c r="J3956" s="26"/>
      <c r="K3956" s="36">
        <v>9.8980000000000004E-5</v>
      </c>
      <c r="L3956" s="23">
        <v>2.4749999999999999E-5</v>
      </c>
    </row>
    <row r="3957" spans="1:12" ht="15.35" x14ac:dyDescent="0.55000000000000004">
      <c r="A3957" s="20">
        <v>17268</v>
      </c>
      <c r="B3957" s="2" t="s">
        <v>169</v>
      </c>
      <c r="C3957" s="2" t="s">
        <v>170</v>
      </c>
      <c r="D3957" s="20">
        <v>0</v>
      </c>
      <c r="E3957" s="2" t="s">
        <v>838</v>
      </c>
      <c r="F3957" s="2" t="s">
        <v>817</v>
      </c>
      <c r="G3957" s="2" t="s">
        <v>3992</v>
      </c>
      <c r="J3957" s="26"/>
      <c r="K3957" s="36">
        <v>5.1471000000000004E-4</v>
      </c>
      <c r="L3957" s="23">
        <v>1.2867999999999999E-4</v>
      </c>
    </row>
    <row r="3958" spans="1:12" ht="15.35" hidden="1" x14ac:dyDescent="0.55000000000000004">
      <c r="A3958" s="20">
        <v>17063</v>
      </c>
      <c r="B3958" s="2" t="s">
        <v>169</v>
      </c>
      <c r="C3958" s="2" t="s">
        <v>170</v>
      </c>
      <c r="D3958" s="20">
        <v>0</v>
      </c>
      <c r="E3958" s="2" t="s">
        <v>838</v>
      </c>
      <c r="F3958" s="2" t="s">
        <v>793</v>
      </c>
      <c r="G3958" s="2" t="s">
        <v>3993</v>
      </c>
      <c r="H3958" s="2" t="s">
        <v>3994</v>
      </c>
      <c r="J3958" s="26"/>
      <c r="K3958" s="36">
        <v>4.4221499999999997E-3</v>
      </c>
      <c r="L3958" s="23">
        <v>1.1055399999999999E-3</v>
      </c>
    </row>
    <row r="3959" spans="1:12" ht="15.35" hidden="1" x14ac:dyDescent="0.55000000000000004">
      <c r="A3959" s="20">
        <v>17205</v>
      </c>
      <c r="B3959" s="2" t="s">
        <v>169</v>
      </c>
      <c r="C3959" s="2" t="s">
        <v>170</v>
      </c>
      <c r="D3959" s="20">
        <v>0</v>
      </c>
      <c r="E3959" s="2" t="s">
        <v>838</v>
      </c>
      <c r="F3959" s="2" t="s">
        <v>793</v>
      </c>
      <c r="G3959" s="2" t="s">
        <v>3995</v>
      </c>
      <c r="H3959" s="2" t="s">
        <v>3996</v>
      </c>
      <c r="J3959" s="26"/>
      <c r="K3959" s="36">
        <v>1.38575E-3</v>
      </c>
      <c r="L3959" s="23">
        <v>3.4644E-4</v>
      </c>
    </row>
    <row r="3960" spans="1:12" ht="15.35" hidden="1" x14ac:dyDescent="0.55000000000000004">
      <c r="A3960" s="20">
        <v>17251</v>
      </c>
      <c r="B3960" s="2" t="s">
        <v>169</v>
      </c>
      <c r="C3960" s="2" t="s">
        <v>170</v>
      </c>
      <c r="D3960" s="20">
        <v>0</v>
      </c>
      <c r="E3960" s="2" t="s">
        <v>838</v>
      </c>
      <c r="F3960" s="2" t="s">
        <v>793</v>
      </c>
      <c r="G3960" s="2" t="s">
        <v>3997</v>
      </c>
      <c r="H3960" s="2" t="s">
        <v>3998</v>
      </c>
      <c r="J3960" s="26"/>
      <c r="K3960" s="36">
        <v>6.334E-5</v>
      </c>
      <c r="L3960" s="23">
        <v>1.5840000000000001E-5</v>
      </c>
    </row>
    <row r="3961" spans="1:12" ht="15.35" hidden="1" x14ac:dyDescent="0.55000000000000004">
      <c r="A3961" s="20">
        <v>17311</v>
      </c>
      <c r="B3961" s="2" t="s">
        <v>169</v>
      </c>
      <c r="C3961" s="2" t="s">
        <v>170</v>
      </c>
      <c r="D3961" s="20">
        <v>0</v>
      </c>
      <c r="E3961" s="2" t="s">
        <v>838</v>
      </c>
      <c r="F3961" s="2" t="s">
        <v>848</v>
      </c>
      <c r="G3961" s="2" t="s">
        <v>1172</v>
      </c>
      <c r="H3961" s="2" t="s">
        <v>1172</v>
      </c>
      <c r="J3961" s="26"/>
      <c r="K3961" s="36">
        <v>6.7308000000000005E-4</v>
      </c>
      <c r="L3961" s="23">
        <v>1.6827000000000001E-4</v>
      </c>
    </row>
    <row r="3962" spans="1:12" ht="15.35" x14ac:dyDescent="0.55000000000000004">
      <c r="A3962" s="20">
        <v>17718</v>
      </c>
      <c r="B3962" s="2" t="s">
        <v>169</v>
      </c>
      <c r="C3962" s="2" t="s">
        <v>170</v>
      </c>
      <c r="D3962" s="20">
        <v>0</v>
      </c>
      <c r="E3962" s="2" t="s">
        <v>838</v>
      </c>
      <c r="F3962" s="2" t="s">
        <v>817</v>
      </c>
      <c r="G3962" s="2" t="s">
        <v>3999</v>
      </c>
      <c r="J3962" s="26"/>
      <c r="K3962" s="36">
        <v>1.4253499999999999E-3</v>
      </c>
      <c r="L3962" s="23">
        <v>3.5634000000000002E-4</v>
      </c>
    </row>
    <row r="3963" spans="1:12" ht="15.35" hidden="1" x14ac:dyDescent="0.55000000000000004">
      <c r="A3963" s="20">
        <v>17592</v>
      </c>
      <c r="B3963" s="2" t="s">
        <v>169</v>
      </c>
      <c r="C3963" s="2" t="s">
        <v>170</v>
      </c>
      <c r="D3963" s="20">
        <v>0</v>
      </c>
      <c r="E3963" s="2" t="s">
        <v>838</v>
      </c>
      <c r="F3963" s="2" t="s">
        <v>793</v>
      </c>
      <c r="G3963" s="2" t="s">
        <v>4000</v>
      </c>
      <c r="H3963" s="2" t="s">
        <v>4001</v>
      </c>
      <c r="J3963" s="26"/>
      <c r="K3963" s="36">
        <v>4.7511E-4</v>
      </c>
      <c r="L3963" s="23">
        <v>1.1878E-4</v>
      </c>
    </row>
    <row r="3964" spans="1:12" ht="15.35" x14ac:dyDescent="0.55000000000000004">
      <c r="A3964" s="20">
        <v>17313</v>
      </c>
      <c r="B3964" s="2" t="s">
        <v>169</v>
      </c>
      <c r="C3964" s="2" t="s">
        <v>170</v>
      </c>
      <c r="D3964" s="20">
        <v>0</v>
      </c>
      <c r="E3964" s="2" t="s">
        <v>838</v>
      </c>
      <c r="F3964" s="2" t="s">
        <v>793</v>
      </c>
      <c r="G3964" s="2" t="s">
        <v>4002</v>
      </c>
      <c r="J3964" s="26"/>
      <c r="K3964" s="36">
        <v>7.9579999999999994E-5</v>
      </c>
      <c r="L3964" s="23">
        <v>1.9890000000000001E-5</v>
      </c>
    </row>
    <row r="3965" spans="1:12" ht="15.35" x14ac:dyDescent="0.55000000000000004">
      <c r="A3965" s="20">
        <v>17644</v>
      </c>
      <c r="B3965" s="2" t="s">
        <v>169</v>
      </c>
      <c r="C3965" s="2" t="s">
        <v>170</v>
      </c>
      <c r="D3965" s="20">
        <v>0</v>
      </c>
      <c r="E3965" s="2" t="s">
        <v>838</v>
      </c>
      <c r="F3965" s="2" t="s">
        <v>793</v>
      </c>
      <c r="G3965" s="2" t="s">
        <v>4003</v>
      </c>
      <c r="J3965" s="26"/>
      <c r="K3965" s="36">
        <v>6.2550000000000003E-5</v>
      </c>
      <c r="L3965" s="23">
        <v>1.5639999999999999E-5</v>
      </c>
    </row>
    <row r="3966" spans="1:12" ht="15.35" hidden="1" x14ac:dyDescent="0.55000000000000004">
      <c r="A3966" s="20">
        <v>17561</v>
      </c>
      <c r="B3966" s="2" t="s">
        <v>169</v>
      </c>
      <c r="C3966" s="2" t="s">
        <v>170</v>
      </c>
      <c r="D3966" s="20">
        <v>0</v>
      </c>
      <c r="E3966" s="2" t="s">
        <v>838</v>
      </c>
      <c r="F3966" s="2" t="s">
        <v>787</v>
      </c>
      <c r="G3966" s="2" t="s">
        <v>962</v>
      </c>
      <c r="H3966" s="2" t="s">
        <v>962</v>
      </c>
      <c r="J3966" s="26"/>
      <c r="K3966" s="36">
        <v>4.4221499999999997E-3</v>
      </c>
      <c r="L3966" s="23">
        <v>1.1055399999999999E-3</v>
      </c>
    </row>
    <row r="3967" spans="1:12" ht="15.35" hidden="1" x14ac:dyDescent="0.55000000000000004">
      <c r="A3967" s="20">
        <v>17701</v>
      </c>
      <c r="B3967" s="2" t="s">
        <v>169</v>
      </c>
      <c r="C3967" s="2" t="s">
        <v>170</v>
      </c>
      <c r="D3967" s="20">
        <v>0</v>
      </c>
      <c r="E3967" s="2" t="s">
        <v>838</v>
      </c>
      <c r="F3967" s="2" t="s">
        <v>793</v>
      </c>
      <c r="G3967" s="2" t="s">
        <v>4004</v>
      </c>
      <c r="H3967" s="2" t="s">
        <v>2532</v>
      </c>
      <c r="J3967" s="26"/>
      <c r="K3967" s="36">
        <v>4.4221499999999997E-3</v>
      </c>
      <c r="L3967" s="23">
        <v>1.1055399999999999E-3</v>
      </c>
    </row>
    <row r="3968" spans="1:12" ht="15.35" hidden="1" x14ac:dyDescent="0.55000000000000004">
      <c r="A3968" s="20">
        <v>17142</v>
      </c>
      <c r="B3968" s="2" t="s">
        <v>169</v>
      </c>
      <c r="C3968" s="2" t="s">
        <v>170</v>
      </c>
      <c r="D3968" s="20">
        <v>0</v>
      </c>
      <c r="E3968" s="2" t="s">
        <v>838</v>
      </c>
      <c r="F3968" s="2" t="s">
        <v>789</v>
      </c>
      <c r="G3968" s="2" t="s">
        <v>1787</v>
      </c>
      <c r="H3968" s="2" t="s">
        <v>1788</v>
      </c>
      <c r="J3968" s="26"/>
      <c r="K3968" s="36">
        <v>1.1323E-4</v>
      </c>
      <c r="L3968" s="23">
        <v>2.8309999999999998E-5</v>
      </c>
    </row>
    <row r="3969" spans="1:12" ht="15.35" hidden="1" x14ac:dyDescent="0.55000000000000004">
      <c r="A3969" s="20">
        <v>17139</v>
      </c>
      <c r="B3969" s="2" t="s">
        <v>169</v>
      </c>
      <c r="C3969" s="2" t="s">
        <v>170</v>
      </c>
      <c r="D3969" s="20">
        <v>0</v>
      </c>
      <c r="E3969" s="2" t="s">
        <v>838</v>
      </c>
      <c r="F3969" s="2" t="s">
        <v>789</v>
      </c>
      <c r="G3969" s="2" t="s">
        <v>4005</v>
      </c>
      <c r="H3969" s="2" t="s">
        <v>2534</v>
      </c>
      <c r="J3969" s="26"/>
      <c r="K3969" s="36">
        <v>4.4221499999999997E-3</v>
      </c>
      <c r="L3969" s="23">
        <v>1.1055399999999999E-3</v>
      </c>
    </row>
    <row r="3970" spans="1:12" ht="15.35" hidden="1" x14ac:dyDescent="0.55000000000000004">
      <c r="A3970" s="20">
        <v>17394</v>
      </c>
      <c r="B3970" s="2" t="s">
        <v>169</v>
      </c>
      <c r="C3970" s="2" t="s">
        <v>170</v>
      </c>
      <c r="D3970" s="20">
        <v>0</v>
      </c>
      <c r="E3970" s="2" t="s">
        <v>838</v>
      </c>
      <c r="F3970" s="2" t="s">
        <v>793</v>
      </c>
      <c r="G3970" s="2" t="s">
        <v>4006</v>
      </c>
      <c r="H3970" s="2" t="s">
        <v>2534</v>
      </c>
      <c r="J3970" s="26"/>
      <c r="K3970" s="36">
        <v>4.4221499999999997E-3</v>
      </c>
      <c r="L3970" s="23">
        <v>1.1055399999999999E-3</v>
      </c>
    </row>
    <row r="3971" spans="1:12" ht="15.35" hidden="1" x14ac:dyDescent="0.55000000000000004">
      <c r="A3971" s="20">
        <v>17336</v>
      </c>
      <c r="B3971" s="2" t="s">
        <v>169</v>
      </c>
      <c r="C3971" s="2" t="s">
        <v>170</v>
      </c>
      <c r="D3971" s="20">
        <v>0</v>
      </c>
      <c r="E3971" s="2" t="s">
        <v>838</v>
      </c>
      <c r="F3971" s="2" t="s">
        <v>789</v>
      </c>
      <c r="G3971" s="2" t="s">
        <v>4007</v>
      </c>
      <c r="H3971" s="2" t="s">
        <v>2534</v>
      </c>
      <c r="J3971" s="26"/>
      <c r="K3971" s="36">
        <v>4.4221499999999997E-3</v>
      </c>
      <c r="L3971" s="23">
        <v>1.1055399999999999E-3</v>
      </c>
    </row>
    <row r="3972" spans="1:12" ht="15.35" hidden="1" x14ac:dyDescent="0.55000000000000004">
      <c r="A3972" s="20">
        <v>16882</v>
      </c>
      <c r="B3972" s="2" t="s">
        <v>169</v>
      </c>
      <c r="C3972" s="2" t="s">
        <v>170</v>
      </c>
      <c r="D3972" s="20">
        <v>0</v>
      </c>
      <c r="E3972" s="2" t="s">
        <v>838</v>
      </c>
      <c r="F3972" s="2" t="s">
        <v>789</v>
      </c>
      <c r="G3972" s="2" t="s">
        <v>2538</v>
      </c>
      <c r="H3972" s="2" t="s">
        <v>2539</v>
      </c>
      <c r="J3972" s="26"/>
      <c r="K3972" s="36">
        <v>4.4221499999999997E-3</v>
      </c>
      <c r="L3972" s="23">
        <v>1.1055399999999999E-3</v>
      </c>
    </row>
    <row r="3973" spans="1:12" ht="15.35" hidden="1" x14ac:dyDescent="0.55000000000000004">
      <c r="A3973" s="20">
        <v>16953</v>
      </c>
      <c r="B3973" s="2" t="s">
        <v>169</v>
      </c>
      <c r="C3973" s="2" t="s">
        <v>170</v>
      </c>
      <c r="D3973" s="20">
        <v>0</v>
      </c>
      <c r="E3973" s="2" t="s">
        <v>838</v>
      </c>
      <c r="F3973" s="2" t="s">
        <v>793</v>
      </c>
      <c r="G3973" s="2" t="s">
        <v>4008</v>
      </c>
      <c r="H3973" s="2" t="s">
        <v>4009</v>
      </c>
      <c r="J3973" s="26"/>
      <c r="K3973" s="36">
        <v>3.3654000000000003E-4</v>
      </c>
      <c r="L3973" s="23">
        <v>8.4140000000000004E-5</v>
      </c>
    </row>
    <row r="3974" spans="1:12" ht="15.35" x14ac:dyDescent="0.55000000000000004">
      <c r="A3974" s="20">
        <v>17719</v>
      </c>
      <c r="B3974" s="2" t="s">
        <v>169</v>
      </c>
      <c r="C3974" s="2" t="s">
        <v>170</v>
      </c>
      <c r="D3974" s="20">
        <v>0</v>
      </c>
      <c r="E3974" s="2" t="s">
        <v>838</v>
      </c>
      <c r="F3974" s="2" t="s">
        <v>783</v>
      </c>
      <c r="G3974" s="2" t="s">
        <v>4010</v>
      </c>
      <c r="J3974" s="26"/>
      <c r="K3974" s="36">
        <v>3.3368999999999998E-3</v>
      </c>
      <c r="L3974" s="23">
        <v>8.3421999999999999E-4</v>
      </c>
    </row>
    <row r="3975" spans="1:12" ht="15.35" x14ac:dyDescent="0.55000000000000004">
      <c r="A3975" s="20">
        <v>17237</v>
      </c>
      <c r="B3975" s="2" t="s">
        <v>169</v>
      </c>
      <c r="C3975" s="2" t="s">
        <v>170</v>
      </c>
      <c r="D3975" s="20">
        <v>0</v>
      </c>
      <c r="E3975" s="2" t="s">
        <v>838</v>
      </c>
      <c r="F3975" s="2" t="s">
        <v>793</v>
      </c>
      <c r="G3975" s="2" t="s">
        <v>4011</v>
      </c>
      <c r="J3975" s="26"/>
      <c r="K3975" s="36">
        <v>4.4221499999999997E-3</v>
      </c>
      <c r="L3975" s="23">
        <v>1.1055399999999999E-3</v>
      </c>
    </row>
    <row r="3976" spans="1:12" ht="15.35" hidden="1" x14ac:dyDescent="0.55000000000000004">
      <c r="A3976" s="20">
        <v>1603</v>
      </c>
      <c r="B3976" s="2" t="s">
        <v>188</v>
      </c>
      <c r="C3976" s="2" t="s">
        <v>189</v>
      </c>
      <c r="D3976" s="20">
        <v>0</v>
      </c>
      <c r="E3976" s="2" t="s">
        <v>63</v>
      </c>
      <c r="F3976" s="2" t="s">
        <v>817</v>
      </c>
      <c r="G3976" s="2" t="s">
        <v>4012</v>
      </c>
      <c r="H3976" s="2" t="s">
        <v>1198</v>
      </c>
      <c r="I3976" s="2" t="s">
        <v>785</v>
      </c>
      <c r="J3976" s="25">
        <v>46922</v>
      </c>
      <c r="K3976" s="36">
        <v>0.18190000000000001</v>
      </c>
      <c r="L3976" s="23">
        <v>1.8190000000000001E-2</v>
      </c>
    </row>
    <row r="3977" spans="1:12" ht="15.35" hidden="1" x14ac:dyDescent="0.55000000000000004">
      <c r="A3977" s="20">
        <v>1606</v>
      </c>
      <c r="B3977" s="2" t="s">
        <v>188</v>
      </c>
      <c r="C3977" s="2" t="s">
        <v>189</v>
      </c>
      <c r="D3977" s="20">
        <v>0</v>
      </c>
      <c r="E3977" s="2" t="s">
        <v>63</v>
      </c>
      <c r="F3977" s="2" t="s">
        <v>807</v>
      </c>
      <c r="G3977" s="2" t="s">
        <v>4013</v>
      </c>
      <c r="H3977" s="2" t="s">
        <v>4013</v>
      </c>
      <c r="I3977" s="2" t="s">
        <v>809</v>
      </c>
      <c r="J3977" s="25">
        <v>47287</v>
      </c>
      <c r="K3977" s="36">
        <v>1.4</v>
      </c>
      <c r="L3977" s="23">
        <v>0.14000000000000001</v>
      </c>
    </row>
    <row r="3978" spans="1:12" ht="15.35" hidden="1" x14ac:dyDescent="0.55000000000000004">
      <c r="A3978" s="20">
        <v>1621</v>
      </c>
      <c r="B3978" s="2" t="s">
        <v>188</v>
      </c>
      <c r="C3978" s="2" t="s">
        <v>189</v>
      </c>
      <c r="D3978" s="20">
        <v>0</v>
      </c>
      <c r="E3978" s="2" t="s">
        <v>63</v>
      </c>
      <c r="F3978" s="2" t="s">
        <v>807</v>
      </c>
      <c r="G3978" s="2" t="s">
        <v>4013</v>
      </c>
      <c r="H3978" s="2" t="s">
        <v>4013</v>
      </c>
      <c r="I3978" s="2" t="s">
        <v>809</v>
      </c>
      <c r="J3978" s="25">
        <v>48017</v>
      </c>
      <c r="K3978" s="36">
        <v>2</v>
      </c>
      <c r="L3978" s="23">
        <v>0.2</v>
      </c>
    </row>
    <row r="3979" spans="1:12" ht="15.35" hidden="1" x14ac:dyDescent="0.55000000000000004">
      <c r="A3979" s="20">
        <v>1607</v>
      </c>
      <c r="B3979" s="2" t="s">
        <v>188</v>
      </c>
      <c r="C3979" s="2" t="s">
        <v>189</v>
      </c>
      <c r="D3979" s="20">
        <v>0</v>
      </c>
      <c r="E3979" s="2" t="s">
        <v>63</v>
      </c>
      <c r="F3979" s="2" t="s">
        <v>813</v>
      </c>
      <c r="G3979" s="2" t="s">
        <v>4014</v>
      </c>
      <c r="H3979" s="2" t="s">
        <v>4014</v>
      </c>
      <c r="I3979" s="2" t="s">
        <v>785</v>
      </c>
      <c r="J3979" s="25">
        <v>46556</v>
      </c>
      <c r="K3979" s="36">
        <v>0.70179999999999998</v>
      </c>
      <c r="L3979" s="23">
        <v>7.0180000000000006E-2</v>
      </c>
    </row>
    <row r="3980" spans="1:12" ht="15.35" hidden="1" x14ac:dyDescent="0.55000000000000004">
      <c r="A3980" s="20">
        <v>1611</v>
      </c>
      <c r="B3980" s="2" t="s">
        <v>188</v>
      </c>
      <c r="C3980" s="2" t="s">
        <v>189</v>
      </c>
      <c r="D3980" s="20">
        <v>0</v>
      </c>
      <c r="E3980" s="2" t="s">
        <v>63</v>
      </c>
      <c r="F3980" s="2" t="s">
        <v>787</v>
      </c>
      <c r="G3980" s="2" t="s">
        <v>1007</v>
      </c>
      <c r="H3980" s="2" t="s">
        <v>1007</v>
      </c>
      <c r="I3980" s="2" t="s">
        <v>785</v>
      </c>
      <c r="J3980" s="25">
        <v>46922</v>
      </c>
      <c r="K3980" s="36">
        <v>0.11695</v>
      </c>
      <c r="L3980" s="23">
        <v>1.1695000000000001E-2</v>
      </c>
    </row>
    <row r="3981" spans="1:12" ht="15.35" hidden="1" x14ac:dyDescent="0.55000000000000004">
      <c r="A3981" s="20">
        <v>1612</v>
      </c>
      <c r="B3981" s="2" t="s">
        <v>188</v>
      </c>
      <c r="C3981" s="2" t="s">
        <v>189</v>
      </c>
      <c r="D3981" s="20">
        <v>0</v>
      </c>
      <c r="E3981" s="2" t="s">
        <v>63</v>
      </c>
      <c r="F3981" s="2" t="s">
        <v>787</v>
      </c>
      <c r="G3981" s="2" t="s">
        <v>1007</v>
      </c>
      <c r="H3981" s="2" t="s">
        <v>1007</v>
      </c>
      <c r="I3981" s="2" t="s">
        <v>785</v>
      </c>
      <c r="J3981" s="25">
        <v>47287</v>
      </c>
      <c r="K3981" s="36">
        <v>0.11695</v>
      </c>
      <c r="L3981" s="23">
        <v>1.1695000000000001E-2</v>
      </c>
    </row>
    <row r="3982" spans="1:12" ht="15.35" hidden="1" x14ac:dyDescent="0.55000000000000004">
      <c r="A3982" s="20">
        <v>1602</v>
      </c>
      <c r="B3982" s="2" t="s">
        <v>188</v>
      </c>
      <c r="C3982" s="2" t="s">
        <v>189</v>
      </c>
      <c r="D3982" s="20">
        <v>0</v>
      </c>
      <c r="E3982" s="2" t="s">
        <v>63</v>
      </c>
      <c r="F3982" s="2" t="s">
        <v>793</v>
      </c>
      <c r="G3982" s="2" t="s">
        <v>4015</v>
      </c>
      <c r="H3982" s="2" t="s">
        <v>1207</v>
      </c>
      <c r="I3982" s="2" t="s">
        <v>785</v>
      </c>
      <c r="J3982" s="25">
        <v>46922</v>
      </c>
      <c r="K3982" s="36">
        <v>1.4500000000000001E-2</v>
      </c>
      <c r="L3982" s="23">
        <v>1.4499999999999999E-3</v>
      </c>
    </row>
    <row r="3983" spans="1:12" ht="15.35" hidden="1" x14ac:dyDescent="0.55000000000000004">
      <c r="A3983" s="20">
        <v>1604</v>
      </c>
      <c r="B3983" s="2" t="s">
        <v>188</v>
      </c>
      <c r="C3983" s="2" t="s">
        <v>189</v>
      </c>
      <c r="D3983" s="20">
        <v>0</v>
      </c>
      <c r="E3983" s="2" t="s">
        <v>63</v>
      </c>
      <c r="F3983" s="2" t="s">
        <v>793</v>
      </c>
      <c r="G3983" s="2" t="s">
        <v>1209</v>
      </c>
      <c r="H3983" s="2" t="s">
        <v>1207</v>
      </c>
      <c r="I3983" s="2" t="s">
        <v>785</v>
      </c>
      <c r="J3983" s="25">
        <v>46922</v>
      </c>
      <c r="K3983" s="36">
        <v>1.4999999999999999E-2</v>
      </c>
      <c r="L3983" s="23">
        <v>1.5E-3</v>
      </c>
    </row>
    <row r="3984" spans="1:12" ht="15.35" hidden="1" x14ac:dyDescent="0.55000000000000004">
      <c r="A3984" s="20">
        <v>1601</v>
      </c>
      <c r="B3984" s="2" t="s">
        <v>188</v>
      </c>
      <c r="C3984" s="2" t="s">
        <v>189</v>
      </c>
      <c r="D3984" s="20">
        <v>0</v>
      </c>
      <c r="E3984" s="2" t="s">
        <v>63</v>
      </c>
      <c r="F3984" s="2" t="s">
        <v>793</v>
      </c>
      <c r="G3984" s="2" t="s">
        <v>1210</v>
      </c>
      <c r="H3984" s="2" t="s">
        <v>1207</v>
      </c>
      <c r="I3984" s="2" t="s">
        <v>785</v>
      </c>
      <c r="J3984" s="25">
        <v>46922</v>
      </c>
      <c r="K3984" s="36">
        <v>1.4999999999999999E-2</v>
      </c>
      <c r="L3984" s="23">
        <v>1.5E-3</v>
      </c>
    </row>
    <row r="3985" spans="1:12" ht="15.35" hidden="1" x14ac:dyDescent="0.55000000000000004">
      <c r="A3985" s="20">
        <v>1600</v>
      </c>
      <c r="B3985" s="2" t="s">
        <v>188</v>
      </c>
      <c r="C3985" s="2" t="s">
        <v>189</v>
      </c>
      <c r="D3985" s="20">
        <v>0</v>
      </c>
      <c r="E3985" s="2" t="s">
        <v>63</v>
      </c>
      <c r="F3985" s="2" t="s">
        <v>793</v>
      </c>
      <c r="G3985" s="2" t="s">
        <v>4016</v>
      </c>
      <c r="H3985" s="2" t="s">
        <v>1207</v>
      </c>
      <c r="I3985" s="2" t="s">
        <v>785</v>
      </c>
      <c r="J3985" s="25">
        <v>46922</v>
      </c>
      <c r="K3985" s="36">
        <v>1.4E-2</v>
      </c>
      <c r="L3985" s="23">
        <v>1.4E-3</v>
      </c>
    </row>
    <row r="3986" spans="1:12" ht="15.35" hidden="1" x14ac:dyDescent="0.55000000000000004">
      <c r="A3986" s="20">
        <v>1597</v>
      </c>
      <c r="B3986" s="2" t="s">
        <v>188</v>
      </c>
      <c r="C3986" s="2" t="s">
        <v>189</v>
      </c>
      <c r="D3986" s="20">
        <v>0</v>
      </c>
      <c r="E3986" s="2" t="s">
        <v>63</v>
      </c>
      <c r="F3986" s="2" t="s">
        <v>787</v>
      </c>
      <c r="G3986" s="2" t="s">
        <v>1207</v>
      </c>
      <c r="H3986" s="2" t="s">
        <v>1207</v>
      </c>
      <c r="I3986" s="2" t="s">
        <v>785</v>
      </c>
      <c r="J3986" s="25">
        <v>46922</v>
      </c>
      <c r="K3986" s="36">
        <v>5.8500000000000003E-2</v>
      </c>
      <c r="L3986" s="23">
        <v>5.8500000000000002E-3</v>
      </c>
    </row>
    <row r="3987" spans="1:12" ht="15.35" hidden="1" x14ac:dyDescent="0.55000000000000004">
      <c r="A3987" s="20">
        <v>1613</v>
      </c>
      <c r="B3987" s="2" t="s">
        <v>188</v>
      </c>
      <c r="C3987" s="2" t="s">
        <v>189</v>
      </c>
      <c r="D3987" s="20">
        <v>0</v>
      </c>
      <c r="E3987" s="2" t="s">
        <v>63</v>
      </c>
      <c r="F3987" s="2" t="s">
        <v>787</v>
      </c>
      <c r="G3987" s="2" t="s">
        <v>788</v>
      </c>
      <c r="H3987" s="2" t="s">
        <v>788</v>
      </c>
      <c r="I3987" s="2" t="s">
        <v>785</v>
      </c>
      <c r="J3987" s="25">
        <v>46922</v>
      </c>
      <c r="K3987" s="36">
        <v>0.11695</v>
      </c>
      <c r="L3987" s="23">
        <v>1.1695000000000001E-2</v>
      </c>
    </row>
    <row r="3988" spans="1:12" ht="15.35" hidden="1" x14ac:dyDescent="0.55000000000000004">
      <c r="A3988" s="20">
        <v>1615</v>
      </c>
      <c r="B3988" s="2" t="s">
        <v>188</v>
      </c>
      <c r="C3988" s="2" t="s">
        <v>189</v>
      </c>
      <c r="D3988" s="20">
        <v>0</v>
      </c>
      <c r="E3988" s="2" t="s">
        <v>63</v>
      </c>
      <c r="F3988" s="2" t="s">
        <v>787</v>
      </c>
      <c r="G3988" s="2" t="s">
        <v>788</v>
      </c>
      <c r="H3988" s="2" t="s">
        <v>788</v>
      </c>
      <c r="I3988" s="2" t="s">
        <v>785</v>
      </c>
      <c r="J3988" s="25">
        <v>47287</v>
      </c>
      <c r="K3988" s="36">
        <v>0.11695</v>
      </c>
      <c r="L3988" s="23">
        <v>1.1695000000000001E-2</v>
      </c>
    </row>
    <row r="3989" spans="1:12" ht="15.35" hidden="1" x14ac:dyDescent="0.55000000000000004">
      <c r="A3989" s="20">
        <v>1605</v>
      </c>
      <c r="B3989" s="2" t="s">
        <v>188</v>
      </c>
      <c r="C3989" s="2" t="s">
        <v>189</v>
      </c>
      <c r="D3989" s="20">
        <v>0</v>
      </c>
      <c r="E3989" s="2" t="s">
        <v>63</v>
      </c>
      <c r="F3989" s="2" t="s">
        <v>787</v>
      </c>
      <c r="G3989" s="2" t="s">
        <v>968</v>
      </c>
      <c r="H3989" s="2" t="s">
        <v>968</v>
      </c>
      <c r="I3989" s="2" t="s">
        <v>785</v>
      </c>
      <c r="J3989" s="25">
        <v>47287</v>
      </c>
      <c r="K3989" s="36">
        <v>0.11700000000000001</v>
      </c>
      <c r="L3989" s="23">
        <v>1.17E-2</v>
      </c>
    </row>
    <row r="3990" spans="1:12" ht="15.35" hidden="1" x14ac:dyDescent="0.55000000000000004">
      <c r="A3990" s="20">
        <v>1608</v>
      </c>
      <c r="B3990" s="2" t="s">
        <v>188</v>
      </c>
      <c r="C3990" s="2" t="s">
        <v>189</v>
      </c>
      <c r="D3990" s="20">
        <v>0</v>
      </c>
      <c r="E3990" s="2" t="s">
        <v>63</v>
      </c>
      <c r="F3990" s="2" t="s">
        <v>783</v>
      </c>
      <c r="G3990" s="2" t="s">
        <v>1180</v>
      </c>
      <c r="H3990" s="2" t="s">
        <v>1180</v>
      </c>
      <c r="I3990" s="2" t="s">
        <v>785</v>
      </c>
      <c r="J3990" s="25">
        <v>46556</v>
      </c>
      <c r="K3990" s="36">
        <v>0.11700000000000001</v>
      </c>
      <c r="L3990" s="23">
        <v>1.17E-2</v>
      </c>
    </row>
    <row r="3991" spans="1:12" ht="15.35" hidden="1" x14ac:dyDescent="0.55000000000000004">
      <c r="A3991" s="20">
        <v>1617</v>
      </c>
      <c r="B3991" s="2" t="s">
        <v>188</v>
      </c>
      <c r="C3991" s="2" t="s">
        <v>189</v>
      </c>
      <c r="D3991" s="20">
        <v>0</v>
      </c>
      <c r="E3991" s="2" t="s">
        <v>63</v>
      </c>
      <c r="F3991" s="2" t="s">
        <v>787</v>
      </c>
      <c r="G3991" s="2" t="s">
        <v>972</v>
      </c>
      <c r="H3991" s="2" t="s">
        <v>972</v>
      </c>
      <c r="I3991" s="2" t="s">
        <v>785</v>
      </c>
      <c r="J3991" s="25">
        <v>46922</v>
      </c>
      <c r="K3991" s="36">
        <v>0.11700000000000001</v>
      </c>
      <c r="L3991" s="23">
        <v>1.17E-2</v>
      </c>
    </row>
    <row r="3992" spans="1:12" ht="15.35" hidden="1" x14ac:dyDescent="0.55000000000000004">
      <c r="A3992" s="20">
        <v>1616</v>
      </c>
      <c r="B3992" s="2" t="s">
        <v>188</v>
      </c>
      <c r="C3992" s="2" t="s">
        <v>189</v>
      </c>
      <c r="D3992" s="20">
        <v>0</v>
      </c>
      <c r="E3992" s="2" t="s">
        <v>63</v>
      </c>
      <c r="F3992" s="2" t="s">
        <v>787</v>
      </c>
      <c r="G3992" s="2" t="s">
        <v>4017</v>
      </c>
      <c r="H3992" s="2" t="s">
        <v>4017</v>
      </c>
      <c r="I3992" s="2" t="s">
        <v>785</v>
      </c>
      <c r="J3992" s="25">
        <v>46922</v>
      </c>
      <c r="K3992" s="36">
        <v>0.1221</v>
      </c>
      <c r="L3992" s="23">
        <v>1.221E-2</v>
      </c>
    </row>
    <row r="3993" spans="1:12" ht="15.35" hidden="1" x14ac:dyDescent="0.55000000000000004">
      <c r="A3993" s="20">
        <v>1596</v>
      </c>
      <c r="B3993" s="2" t="s">
        <v>188</v>
      </c>
      <c r="C3993" s="2" t="s">
        <v>189</v>
      </c>
      <c r="D3993" s="20">
        <v>0</v>
      </c>
      <c r="E3993" s="2" t="s">
        <v>63</v>
      </c>
      <c r="F3993" s="2" t="s">
        <v>787</v>
      </c>
      <c r="G3993" s="2" t="s">
        <v>850</v>
      </c>
      <c r="H3993" s="2" t="s">
        <v>850</v>
      </c>
      <c r="I3993" s="2" t="s">
        <v>785</v>
      </c>
      <c r="J3993" s="25">
        <v>46922</v>
      </c>
      <c r="K3993" s="36">
        <v>5.1999999999999998E-2</v>
      </c>
      <c r="L3993" s="23">
        <v>5.1999999999999998E-3</v>
      </c>
    </row>
    <row r="3994" spans="1:12" ht="15.35" hidden="1" x14ac:dyDescent="0.55000000000000004">
      <c r="A3994" s="20">
        <v>1620</v>
      </c>
      <c r="B3994" s="2" t="s">
        <v>188</v>
      </c>
      <c r="C3994" s="2" t="s">
        <v>189</v>
      </c>
      <c r="D3994" s="20">
        <v>0</v>
      </c>
      <c r="E3994" s="2" t="s">
        <v>63</v>
      </c>
      <c r="F3994" s="2" t="s">
        <v>787</v>
      </c>
      <c r="G3994" s="2" t="s">
        <v>922</v>
      </c>
      <c r="H3994" s="2" t="s">
        <v>922</v>
      </c>
      <c r="I3994" s="2" t="s">
        <v>785</v>
      </c>
      <c r="J3994" s="25">
        <v>46922</v>
      </c>
      <c r="K3994" s="36">
        <v>0.2339</v>
      </c>
      <c r="L3994" s="23">
        <v>2.3390000000000001E-2</v>
      </c>
    </row>
    <row r="3995" spans="1:12" ht="15.35" hidden="1" x14ac:dyDescent="0.55000000000000004">
      <c r="A3995" s="20">
        <v>1599</v>
      </c>
      <c r="B3995" s="2" t="s">
        <v>188</v>
      </c>
      <c r="C3995" s="2" t="s">
        <v>189</v>
      </c>
      <c r="D3995" s="20">
        <v>0</v>
      </c>
      <c r="E3995" s="2" t="s">
        <v>63</v>
      </c>
      <c r="F3995" s="2" t="s">
        <v>793</v>
      </c>
      <c r="G3995" s="2" t="s">
        <v>4018</v>
      </c>
      <c r="H3995" s="2" t="s">
        <v>1191</v>
      </c>
      <c r="I3995" s="2" t="s">
        <v>785</v>
      </c>
      <c r="J3995" s="25">
        <v>46922</v>
      </c>
      <c r="K3995" s="36">
        <v>4.7199999999999999E-2</v>
      </c>
      <c r="L3995" s="23">
        <v>4.7200000000000002E-3</v>
      </c>
    </row>
    <row r="3996" spans="1:12" ht="15.35" hidden="1" x14ac:dyDescent="0.55000000000000004">
      <c r="A3996" s="20">
        <v>1610</v>
      </c>
      <c r="B3996" s="2" t="s">
        <v>188</v>
      </c>
      <c r="C3996" s="2" t="s">
        <v>189</v>
      </c>
      <c r="D3996" s="20">
        <v>0</v>
      </c>
      <c r="E3996" s="2" t="s">
        <v>63</v>
      </c>
      <c r="F3996" s="2" t="s">
        <v>787</v>
      </c>
      <c r="G3996" s="2" t="s">
        <v>1191</v>
      </c>
      <c r="H3996" s="2" t="s">
        <v>1191</v>
      </c>
      <c r="I3996" s="2" t="s">
        <v>785</v>
      </c>
      <c r="J3996" s="25">
        <v>47287</v>
      </c>
      <c r="K3996" s="36">
        <v>0.5897</v>
      </c>
      <c r="L3996" s="23">
        <v>5.8970000000000002E-2</v>
      </c>
    </row>
    <row r="3997" spans="1:12" ht="15.35" hidden="1" x14ac:dyDescent="0.55000000000000004">
      <c r="A3997" s="20">
        <v>1598</v>
      </c>
      <c r="B3997" s="2" t="s">
        <v>188</v>
      </c>
      <c r="C3997" s="2" t="s">
        <v>189</v>
      </c>
      <c r="D3997" s="20">
        <v>0</v>
      </c>
      <c r="E3997" s="2" t="s">
        <v>63</v>
      </c>
      <c r="F3997" s="2" t="s">
        <v>793</v>
      </c>
      <c r="G3997" s="2" t="s">
        <v>927</v>
      </c>
      <c r="H3997" s="2" t="s">
        <v>928</v>
      </c>
      <c r="I3997" s="2" t="s">
        <v>785</v>
      </c>
      <c r="J3997" s="25">
        <v>47287</v>
      </c>
      <c r="K3997" s="36">
        <v>5.1999999999999998E-2</v>
      </c>
      <c r="L3997" s="23">
        <v>5.1999999999999998E-3</v>
      </c>
    </row>
    <row r="3998" spans="1:12" ht="15.35" hidden="1" x14ac:dyDescent="0.55000000000000004">
      <c r="A3998" s="20">
        <v>1595</v>
      </c>
      <c r="B3998" s="2" t="s">
        <v>188</v>
      </c>
      <c r="C3998" s="2" t="s">
        <v>189</v>
      </c>
      <c r="D3998" s="20">
        <v>0</v>
      </c>
      <c r="E3998" s="2" t="s">
        <v>63</v>
      </c>
      <c r="F3998" s="2" t="s">
        <v>798</v>
      </c>
      <c r="G3998" s="2" t="s">
        <v>936</v>
      </c>
      <c r="H3998" s="2" t="s">
        <v>824</v>
      </c>
      <c r="I3998" s="2" t="s">
        <v>785</v>
      </c>
      <c r="J3998" s="25">
        <v>47287</v>
      </c>
      <c r="K3998" s="36">
        <v>0.28589999999999999</v>
      </c>
      <c r="L3998" s="23">
        <v>2.8590000000000001E-2</v>
      </c>
    </row>
    <row r="3999" spans="1:12" ht="15.35" hidden="1" x14ac:dyDescent="0.55000000000000004">
      <c r="A3999" s="20">
        <v>1614</v>
      </c>
      <c r="B3999" s="2" t="s">
        <v>188</v>
      </c>
      <c r="C3999" s="2" t="s">
        <v>189</v>
      </c>
      <c r="D3999" s="20">
        <v>0</v>
      </c>
      <c r="E3999" s="2" t="s">
        <v>63</v>
      </c>
      <c r="F3999" s="2" t="s">
        <v>817</v>
      </c>
      <c r="G3999" s="2" t="s">
        <v>3044</v>
      </c>
      <c r="H3999" s="2" t="s">
        <v>3044</v>
      </c>
      <c r="I3999" s="2" t="s">
        <v>785</v>
      </c>
      <c r="J3999" s="25">
        <v>46922</v>
      </c>
      <c r="K3999" s="36">
        <v>0.11700000000000001</v>
      </c>
      <c r="L3999" s="23">
        <v>1.17E-2</v>
      </c>
    </row>
    <row r="4000" spans="1:12" ht="15.35" x14ac:dyDescent="0.55000000000000004">
      <c r="A4000" s="20">
        <v>1618</v>
      </c>
      <c r="B4000" s="2" t="s">
        <v>188</v>
      </c>
      <c r="C4000" s="2" t="s">
        <v>189</v>
      </c>
      <c r="D4000" s="20">
        <v>0</v>
      </c>
      <c r="E4000" s="2" t="s">
        <v>63</v>
      </c>
      <c r="F4000" s="2" t="s">
        <v>817</v>
      </c>
      <c r="G4000" s="2" t="s">
        <v>4019</v>
      </c>
      <c r="I4000" s="2" t="s">
        <v>785</v>
      </c>
      <c r="J4000" s="25">
        <v>46922</v>
      </c>
      <c r="K4000" s="36">
        <v>0.1169</v>
      </c>
      <c r="L4000" s="23">
        <v>1.1690000000000001E-2</v>
      </c>
    </row>
    <row r="4001" spans="1:12" ht="15.35" hidden="1" x14ac:dyDescent="0.55000000000000004">
      <c r="A4001" s="20">
        <v>1609</v>
      </c>
      <c r="B4001" s="2" t="s">
        <v>188</v>
      </c>
      <c r="C4001" s="2" t="s">
        <v>189</v>
      </c>
      <c r="D4001" s="20">
        <v>0</v>
      </c>
      <c r="E4001" s="2" t="s">
        <v>63</v>
      </c>
      <c r="F4001" s="2" t="s">
        <v>783</v>
      </c>
      <c r="G4001" s="2" t="s">
        <v>4020</v>
      </c>
      <c r="H4001" s="2" t="s">
        <v>4020</v>
      </c>
      <c r="I4001" s="2" t="s">
        <v>785</v>
      </c>
      <c r="J4001" s="25">
        <v>47287</v>
      </c>
      <c r="K4001" s="36">
        <v>4.6800000000000001E-2</v>
      </c>
      <c r="L4001" s="23">
        <v>4.6800000000000001E-3</v>
      </c>
    </row>
    <row r="4002" spans="1:12" ht="15.35" hidden="1" x14ac:dyDescent="0.55000000000000004">
      <c r="A4002" s="20">
        <v>1619</v>
      </c>
      <c r="B4002" s="2" t="s">
        <v>188</v>
      </c>
      <c r="C4002" s="2" t="s">
        <v>189</v>
      </c>
      <c r="D4002" s="20">
        <v>0</v>
      </c>
      <c r="E4002" s="2" t="s">
        <v>63</v>
      </c>
      <c r="F4002" s="2" t="s">
        <v>787</v>
      </c>
      <c r="G4002" s="2" t="s">
        <v>864</v>
      </c>
      <c r="H4002" s="2" t="s">
        <v>864</v>
      </c>
      <c r="I4002" s="2" t="s">
        <v>785</v>
      </c>
      <c r="J4002" s="25">
        <v>46922</v>
      </c>
      <c r="K4002" s="36">
        <v>0.11700000000000001</v>
      </c>
      <c r="L4002" s="23">
        <v>1.17E-2</v>
      </c>
    </row>
    <row r="4003" spans="1:12" ht="15.35" hidden="1" x14ac:dyDescent="0.55000000000000004">
      <c r="A4003" s="20">
        <v>15543</v>
      </c>
      <c r="B4003" s="2" t="s">
        <v>188</v>
      </c>
      <c r="C4003" s="2" t="s">
        <v>189</v>
      </c>
      <c r="D4003" s="20">
        <v>0</v>
      </c>
      <c r="E4003" s="2" t="s">
        <v>838</v>
      </c>
      <c r="F4003" s="2" t="s">
        <v>793</v>
      </c>
      <c r="G4003" s="2" t="s">
        <v>4021</v>
      </c>
      <c r="H4003" s="2" t="s">
        <v>4022</v>
      </c>
      <c r="J4003" s="26"/>
      <c r="K4003" s="36">
        <v>7.7700000000000001E-6</v>
      </c>
      <c r="L4003" s="23">
        <v>7.8000000000000005E-7</v>
      </c>
    </row>
    <row r="4004" spans="1:12" ht="15.35" hidden="1" x14ac:dyDescent="0.55000000000000004">
      <c r="A4004" s="20">
        <v>15546</v>
      </c>
      <c r="B4004" s="2" t="s">
        <v>188</v>
      </c>
      <c r="C4004" s="2" t="s">
        <v>189</v>
      </c>
      <c r="D4004" s="20">
        <v>0</v>
      </c>
      <c r="E4004" s="2" t="s">
        <v>838</v>
      </c>
      <c r="F4004" s="2" t="s">
        <v>793</v>
      </c>
      <c r="G4004" s="2" t="s">
        <v>4023</v>
      </c>
      <c r="H4004" s="2" t="s">
        <v>4022</v>
      </c>
      <c r="J4004" s="26"/>
      <c r="K4004" s="36">
        <v>6.5799999999999997E-6</v>
      </c>
      <c r="L4004" s="23">
        <v>6.6000000000000003E-7</v>
      </c>
    </row>
    <row r="4005" spans="1:12" ht="15.35" hidden="1" x14ac:dyDescent="0.55000000000000004">
      <c r="A4005" s="20">
        <v>15548</v>
      </c>
      <c r="B4005" s="2" t="s">
        <v>188</v>
      </c>
      <c r="C4005" s="2" t="s">
        <v>189</v>
      </c>
      <c r="D4005" s="20">
        <v>0</v>
      </c>
      <c r="E4005" s="2" t="s">
        <v>838</v>
      </c>
      <c r="F4005" s="2" t="s">
        <v>793</v>
      </c>
      <c r="G4005" s="2" t="s">
        <v>4024</v>
      </c>
      <c r="H4005" s="2" t="s">
        <v>4022</v>
      </c>
      <c r="J4005" s="26"/>
      <c r="K4005" s="36">
        <v>4.7500000000000003E-6</v>
      </c>
      <c r="L4005" s="23">
        <v>4.7999999999999996E-7</v>
      </c>
    </row>
    <row r="4006" spans="1:12" ht="15.35" hidden="1" x14ac:dyDescent="0.55000000000000004">
      <c r="A4006" s="20">
        <v>15545</v>
      </c>
      <c r="B4006" s="2" t="s">
        <v>188</v>
      </c>
      <c r="C4006" s="2" t="s">
        <v>189</v>
      </c>
      <c r="D4006" s="20">
        <v>0</v>
      </c>
      <c r="E4006" s="2" t="s">
        <v>838</v>
      </c>
      <c r="F4006" s="2" t="s">
        <v>793</v>
      </c>
      <c r="G4006" s="2" t="s">
        <v>4025</v>
      </c>
      <c r="H4006" s="2" t="s">
        <v>4022</v>
      </c>
      <c r="J4006" s="26"/>
      <c r="K4006" s="36">
        <v>6.6200000000000001E-6</v>
      </c>
      <c r="L4006" s="23">
        <v>6.6000000000000003E-7</v>
      </c>
    </row>
    <row r="4007" spans="1:12" ht="15.35" hidden="1" x14ac:dyDescent="0.55000000000000004">
      <c r="A4007" s="20">
        <v>15540</v>
      </c>
      <c r="B4007" s="2" t="s">
        <v>188</v>
      </c>
      <c r="C4007" s="2" t="s">
        <v>189</v>
      </c>
      <c r="D4007" s="20">
        <v>0</v>
      </c>
      <c r="E4007" s="2" t="s">
        <v>838</v>
      </c>
      <c r="F4007" s="2" t="s">
        <v>793</v>
      </c>
      <c r="G4007" s="2" t="s">
        <v>4026</v>
      </c>
      <c r="H4007" s="2" t="s">
        <v>4022</v>
      </c>
      <c r="J4007" s="26"/>
      <c r="K4007" s="36">
        <v>8.8000000000000004E-6</v>
      </c>
      <c r="L4007" s="23">
        <v>8.8000000000000004E-7</v>
      </c>
    </row>
    <row r="4008" spans="1:12" ht="15.35" hidden="1" x14ac:dyDescent="0.55000000000000004">
      <c r="A4008" s="20">
        <v>15541</v>
      </c>
      <c r="B4008" s="2" t="s">
        <v>188</v>
      </c>
      <c r="C4008" s="2" t="s">
        <v>189</v>
      </c>
      <c r="D4008" s="20">
        <v>0</v>
      </c>
      <c r="E4008" s="2" t="s">
        <v>838</v>
      </c>
      <c r="F4008" s="2" t="s">
        <v>793</v>
      </c>
      <c r="G4008" s="2" t="s">
        <v>4027</v>
      </c>
      <c r="H4008" s="2" t="s">
        <v>4022</v>
      </c>
      <c r="J4008" s="26"/>
      <c r="K4008" s="36">
        <v>7.9200000000000004E-6</v>
      </c>
      <c r="L4008" s="23">
        <v>7.8999999999999995E-7</v>
      </c>
    </row>
    <row r="4009" spans="1:12" ht="15.35" hidden="1" x14ac:dyDescent="0.55000000000000004">
      <c r="A4009" s="20">
        <v>15542</v>
      </c>
      <c r="B4009" s="2" t="s">
        <v>188</v>
      </c>
      <c r="C4009" s="2" t="s">
        <v>189</v>
      </c>
      <c r="D4009" s="20">
        <v>0</v>
      </c>
      <c r="E4009" s="2" t="s">
        <v>838</v>
      </c>
      <c r="F4009" s="2" t="s">
        <v>793</v>
      </c>
      <c r="G4009" s="2" t="s">
        <v>4028</v>
      </c>
      <c r="H4009" s="2" t="s">
        <v>4022</v>
      </c>
      <c r="J4009" s="26"/>
      <c r="K4009" s="36">
        <v>7.7700000000000001E-6</v>
      </c>
      <c r="L4009" s="23">
        <v>7.8000000000000005E-7</v>
      </c>
    </row>
    <row r="4010" spans="1:12" ht="15.35" hidden="1" x14ac:dyDescent="0.55000000000000004">
      <c r="A4010" s="20">
        <v>15549</v>
      </c>
      <c r="B4010" s="2" t="s">
        <v>188</v>
      </c>
      <c r="C4010" s="2" t="s">
        <v>189</v>
      </c>
      <c r="D4010" s="20">
        <v>0</v>
      </c>
      <c r="E4010" s="2" t="s">
        <v>838</v>
      </c>
      <c r="F4010" s="2" t="s">
        <v>793</v>
      </c>
      <c r="G4010" s="2" t="s">
        <v>4029</v>
      </c>
      <c r="H4010" s="2" t="s">
        <v>4022</v>
      </c>
      <c r="J4010" s="26"/>
      <c r="K4010" s="36">
        <v>3.8099999999999999E-6</v>
      </c>
      <c r="L4010" s="23">
        <v>3.8000000000000001E-7</v>
      </c>
    </row>
    <row r="4011" spans="1:12" ht="15.35" hidden="1" x14ac:dyDescent="0.55000000000000004">
      <c r="A4011" s="20">
        <v>15547</v>
      </c>
      <c r="B4011" s="2" t="s">
        <v>188</v>
      </c>
      <c r="C4011" s="2" t="s">
        <v>189</v>
      </c>
      <c r="D4011" s="20">
        <v>0</v>
      </c>
      <c r="E4011" s="2" t="s">
        <v>838</v>
      </c>
      <c r="F4011" s="2" t="s">
        <v>793</v>
      </c>
      <c r="G4011" s="2" t="s">
        <v>4030</v>
      </c>
      <c r="H4011" s="2" t="s">
        <v>4022</v>
      </c>
      <c r="J4011" s="26"/>
      <c r="K4011" s="36">
        <v>5.0200000000000002E-6</v>
      </c>
      <c r="L4011" s="23">
        <v>4.9999999999999998E-7</v>
      </c>
    </row>
    <row r="4012" spans="1:12" ht="15.35" hidden="1" x14ac:dyDescent="0.55000000000000004">
      <c r="A4012" s="20">
        <v>15537</v>
      </c>
      <c r="B4012" s="2" t="s">
        <v>188</v>
      </c>
      <c r="C4012" s="2" t="s">
        <v>189</v>
      </c>
      <c r="D4012" s="20">
        <v>0</v>
      </c>
      <c r="E4012" s="2" t="s">
        <v>838</v>
      </c>
      <c r="F4012" s="2" t="s">
        <v>793</v>
      </c>
      <c r="G4012" s="2" t="s">
        <v>4031</v>
      </c>
      <c r="H4012" s="2" t="s">
        <v>4022</v>
      </c>
      <c r="J4012" s="26"/>
      <c r="K4012" s="36">
        <v>9.2E-6</v>
      </c>
      <c r="L4012" s="23">
        <v>9.1999999999999998E-7</v>
      </c>
    </row>
    <row r="4013" spans="1:12" ht="15.35" hidden="1" x14ac:dyDescent="0.55000000000000004">
      <c r="A4013" s="20">
        <v>15458</v>
      </c>
      <c r="B4013" s="2" t="s">
        <v>188</v>
      </c>
      <c r="C4013" s="2" t="s">
        <v>189</v>
      </c>
      <c r="D4013" s="20">
        <v>0</v>
      </c>
      <c r="E4013" s="2" t="s">
        <v>838</v>
      </c>
      <c r="F4013" s="2" t="s">
        <v>793</v>
      </c>
      <c r="G4013" s="2" t="s">
        <v>1002</v>
      </c>
      <c r="H4013" s="2" t="s">
        <v>1003</v>
      </c>
      <c r="J4013" s="26"/>
      <c r="K4013" s="36">
        <v>3.19E-6</v>
      </c>
      <c r="L4013" s="23">
        <v>3.2000000000000001E-7</v>
      </c>
    </row>
    <row r="4014" spans="1:12" ht="15.35" hidden="1" x14ac:dyDescent="0.55000000000000004">
      <c r="A4014" s="20">
        <v>15464</v>
      </c>
      <c r="B4014" s="2" t="s">
        <v>188</v>
      </c>
      <c r="C4014" s="2" t="s">
        <v>189</v>
      </c>
      <c r="D4014" s="20">
        <v>0</v>
      </c>
      <c r="E4014" s="2" t="s">
        <v>838</v>
      </c>
      <c r="F4014" s="2" t="s">
        <v>793</v>
      </c>
      <c r="G4014" s="2" t="s">
        <v>2712</v>
      </c>
      <c r="H4014" s="2" t="s">
        <v>1003</v>
      </c>
      <c r="J4014" s="26"/>
      <c r="K4014" s="36">
        <v>1.6199999999999999E-6</v>
      </c>
      <c r="L4014" s="23">
        <v>1.6E-7</v>
      </c>
    </row>
    <row r="4015" spans="1:12" ht="15.35" hidden="1" x14ac:dyDescent="0.55000000000000004">
      <c r="A4015" s="20">
        <v>15456</v>
      </c>
      <c r="B4015" s="2" t="s">
        <v>188</v>
      </c>
      <c r="C4015" s="2" t="s">
        <v>189</v>
      </c>
      <c r="D4015" s="20">
        <v>0</v>
      </c>
      <c r="E4015" s="2" t="s">
        <v>838</v>
      </c>
      <c r="F4015" s="2" t="s">
        <v>793</v>
      </c>
      <c r="G4015" s="2" t="s">
        <v>2713</v>
      </c>
      <c r="H4015" s="2" t="s">
        <v>1003</v>
      </c>
      <c r="J4015" s="26"/>
      <c r="K4015" s="36">
        <v>4.2699999999999998E-6</v>
      </c>
      <c r="L4015" s="23">
        <v>4.3000000000000001E-7</v>
      </c>
    </row>
    <row r="4016" spans="1:12" ht="15.35" hidden="1" x14ac:dyDescent="0.55000000000000004">
      <c r="A4016" s="20">
        <v>15481</v>
      </c>
      <c r="B4016" s="2" t="s">
        <v>188</v>
      </c>
      <c r="C4016" s="2" t="s">
        <v>189</v>
      </c>
      <c r="D4016" s="20">
        <v>0</v>
      </c>
      <c r="E4016" s="2" t="s">
        <v>838</v>
      </c>
      <c r="F4016" s="2" t="s">
        <v>817</v>
      </c>
      <c r="G4016" s="2" t="s">
        <v>1198</v>
      </c>
      <c r="H4016" s="2" t="s">
        <v>1198</v>
      </c>
      <c r="J4016" s="26"/>
      <c r="K4016" s="36">
        <v>5.3000000000000001E-7</v>
      </c>
      <c r="L4016" s="23">
        <v>4.9999999999999998E-8</v>
      </c>
    </row>
    <row r="4017" spans="1:12" ht="15.35" hidden="1" x14ac:dyDescent="0.55000000000000004">
      <c r="A4017" s="20">
        <v>15455</v>
      </c>
      <c r="B4017" s="2" t="s">
        <v>188</v>
      </c>
      <c r="C4017" s="2" t="s">
        <v>189</v>
      </c>
      <c r="D4017" s="20">
        <v>0</v>
      </c>
      <c r="E4017" s="2" t="s">
        <v>838</v>
      </c>
      <c r="F4017" s="2" t="s">
        <v>817</v>
      </c>
      <c r="G4017" s="2" t="s">
        <v>4032</v>
      </c>
      <c r="H4017" s="2" t="s">
        <v>1198</v>
      </c>
      <c r="J4017" s="26"/>
      <c r="K4017" s="36">
        <v>8.4800000000000001E-6</v>
      </c>
      <c r="L4017" s="23">
        <v>8.5000000000000001E-7</v>
      </c>
    </row>
    <row r="4018" spans="1:12" ht="15.35" hidden="1" x14ac:dyDescent="0.55000000000000004">
      <c r="A4018" s="20">
        <v>15518</v>
      </c>
      <c r="B4018" s="2" t="s">
        <v>188</v>
      </c>
      <c r="C4018" s="2" t="s">
        <v>189</v>
      </c>
      <c r="D4018" s="20">
        <v>0</v>
      </c>
      <c r="E4018" s="2" t="s">
        <v>838</v>
      </c>
      <c r="F4018" s="2" t="s">
        <v>793</v>
      </c>
      <c r="G4018" s="2" t="s">
        <v>2719</v>
      </c>
      <c r="H4018" s="2" t="s">
        <v>1424</v>
      </c>
      <c r="J4018" s="26"/>
      <c r="K4018" s="36">
        <v>8.0000000000000002E-8</v>
      </c>
      <c r="L4018" s="23">
        <v>1E-8</v>
      </c>
    </row>
    <row r="4019" spans="1:12" ht="15.35" hidden="1" x14ac:dyDescent="0.55000000000000004">
      <c r="A4019" s="20">
        <v>15524</v>
      </c>
      <c r="B4019" s="2" t="s">
        <v>188</v>
      </c>
      <c r="C4019" s="2" t="s">
        <v>189</v>
      </c>
      <c r="D4019" s="20">
        <v>0</v>
      </c>
      <c r="E4019" s="2" t="s">
        <v>838</v>
      </c>
      <c r="F4019" s="2" t="s">
        <v>793</v>
      </c>
      <c r="G4019" s="2" t="s">
        <v>3431</v>
      </c>
      <c r="H4019" s="2" t="s">
        <v>1424</v>
      </c>
      <c r="J4019" s="26"/>
      <c r="K4019" s="36">
        <v>4.9999999999999998E-8</v>
      </c>
      <c r="L4019" s="23">
        <v>0</v>
      </c>
    </row>
    <row r="4020" spans="1:12" ht="15.35" hidden="1" x14ac:dyDescent="0.55000000000000004">
      <c r="A4020" s="20">
        <v>15483</v>
      </c>
      <c r="B4020" s="2" t="s">
        <v>188</v>
      </c>
      <c r="C4020" s="2" t="s">
        <v>189</v>
      </c>
      <c r="D4020" s="20">
        <v>0</v>
      </c>
      <c r="E4020" s="2" t="s">
        <v>838</v>
      </c>
      <c r="F4020" s="2" t="s">
        <v>793</v>
      </c>
      <c r="G4020" s="2" t="s">
        <v>4033</v>
      </c>
      <c r="H4020" s="2" t="s">
        <v>1424</v>
      </c>
      <c r="J4020" s="26"/>
      <c r="K4020" s="36">
        <v>4.2E-7</v>
      </c>
      <c r="L4020" s="23">
        <v>4.0000000000000001E-8</v>
      </c>
    </row>
    <row r="4021" spans="1:12" ht="15.35" hidden="1" x14ac:dyDescent="0.55000000000000004">
      <c r="A4021" s="20">
        <v>15489</v>
      </c>
      <c r="B4021" s="2" t="s">
        <v>188</v>
      </c>
      <c r="C4021" s="2" t="s">
        <v>189</v>
      </c>
      <c r="D4021" s="20">
        <v>0</v>
      </c>
      <c r="E4021" s="2" t="s">
        <v>838</v>
      </c>
      <c r="F4021" s="2" t="s">
        <v>793</v>
      </c>
      <c r="G4021" s="2" t="s">
        <v>4034</v>
      </c>
      <c r="H4021" s="2" t="s">
        <v>1424</v>
      </c>
      <c r="J4021" s="26"/>
      <c r="K4021" s="36">
        <v>1.1000000000000001E-7</v>
      </c>
      <c r="L4021" s="23">
        <v>1E-8</v>
      </c>
    </row>
    <row r="4022" spans="1:12" ht="15.35" hidden="1" x14ac:dyDescent="0.55000000000000004">
      <c r="A4022" s="20">
        <v>15516</v>
      </c>
      <c r="B4022" s="2" t="s">
        <v>188</v>
      </c>
      <c r="C4022" s="2" t="s">
        <v>189</v>
      </c>
      <c r="D4022" s="20">
        <v>0</v>
      </c>
      <c r="E4022" s="2" t="s">
        <v>838</v>
      </c>
      <c r="F4022" s="2" t="s">
        <v>793</v>
      </c>
      <c r="G4022" s="2" t="s">
        <v>2723</v>
      </c>
      <c r="H4022" s="2" t="s">
        <v>1424</v>
      </c>
      <c r="J4022" s="26"/>
      <c r="K4022" s="36">
        <v>8.9999999999999999E-8</v>
      </c>
      <c r="L4022" s="23">
        <v>1E-8</v>
      </c>
    </row>
    <row r="4023" spans="1:12" ht="15.35" hidden="1" x14ac:dyDescent="0.55000000000000004">
      <c r="A4023" s="20">
        <v>15527</v>
      </c>
      <c r="B4023" s="2" t="s">
        <v>188</v>
      </c>
      <c r="C4023" s="2" t="s">
        <v>189</v>
      </c>
      <c r="D4023" s="20">
        <v>0</v>
      </c>
      <c r="E4023" s="2" t="s">
        <v>838</v>
      </c>
      <c r="F4023" s="2" t="s">
        <v>793</v>
      </c>
      <c r="G4023" s="2" t="s">
        <v>4035</v>
      </c>
      <c r="H4023" s="2" t="s">
        <v>1424</v>
      </c>
      <c r="J4023" s="26"/>
      <c r="K4023" s="36">
        <v>4.0000000000000001E-8</v>
      </c>
      <c r="L4023" s="23">
        <v>0</v>
      </c>
    </row>
    <row r="4024" spans="1:12" ht="15.35" hidden="1" x14ac:dyDescent="0.55000000000000004">
      <c r="A4024" s="20">
        <v>15530</v>
      </c>
      <c r="B4024" s="2" t="s">
        <v>188</v>
      </c>
      <c r="C4024" s="2" t="s">
        <v>189</v>
      </c>
      <c r="D4024" s="20">
        <v>0</v>
      </c>
      <c r="E4024" s="2" t="s">
        <v>838</v>
      </c>
      <c r="F4024" s="2" t="s">
        <v>793</v>
      </c>
      <c r="G4024" s="2" t="s">
        <v>4036</v>
      </c>
      <c r="H4024" s="2" t="s">
        <v>1424</v>
      </c>
      <c r="J4024" s="26"/>
      <c r="K4024" s="36">
        <v>4.0000000000000001E-8</v>
      </c>
      <c r="L4024" s="23">
        <v>0</v>
      </c>
    </row>
    <row r="4025" spans="1:12" ht="15.35" hidden="1" x14ac:dyDescent="0.55000000000000004">
      <c r="A4025" s="20">
        <v>15488</v>
      </c>
      <c r="B4025" s="2" t="s">
        <v>188</v>
      </c>
      <c r="C4025" s="2" t="s">
        <v>189</v>
      </c>
      <c r="D4025" s="20">
        <v>0</v>
      </c>
      <c r="E4025" s="2" t="s">
        <v>838</v>
      </c>
      <c r="F4025" s="2" t="s">
        <v>848</v>
      </c>
      <c r="G4025" s="2" t="s">
        <v>1004</v>
      </c>
      <c r="H4025" s="2" t="s">
        <v>1004</v>
      </c>
      <c r="J4025" s="26"/>
      <c r="K4025" s="36">
        <v>2.1E-7</v>
      </c>
      <c r="L4025" s="23">
        <v>2E-8</v>
      </c>
    </row>
    <row r="4026" spans="1:12" ht="15.35" hidden="1" x14ac:dyDescent="0.55000000000000004">
      <c r="A4026" s="20">
        <v>15534</v>
      </c>
      <c r="B4026" s="2" t="s">
        <v>188</v>
      </c>
      <c r="C4026" s="2" t="s">
        <v>189</v>
      </c>
      <c r="D4026" s="20">
        <v>0</v>
      </c>
      <c r="E4026" s="2" t="s">
        <v>838</v>
      </c>
      <c r="F4026" s="2" t="s">
        <v>793</v>
      </c>
      <c r="G4026" s="2" t="s">
        <v>3472</v>
      </c>
      <c r="H4026" s="2" t="s">
        <v>1007</v>
      </c>
      <c r="J4026" s="26"/>
      <c r="K4026" s="36">
        <v>1.08E-6</v>
      </c>
      <c r="L4026" s="23">
        <v>1.1000000000000001E-7</v>
      </c>
    </row>
    <row r="4027" spans="1:12" ht="15.35" hidden="1" x14ac:dyDescent="0.55000000000000004">
      <c r="A4027" s="20">
        <v>15531</v>
      </c>
      <c r="B4027" s="2" t="s">
        <v>188</v>
      </c>
      <c r="C4027" s="2" t="s">
        <v>189</v>
      </c>
      <c r="D4027" s="20">
        <v>0</v>
      </c>
      <c r="E4027" s="2" t="s">
        <v>838</v>
      </c>
      <c r="F4027" s="2" t="s">
        <v>793</v>
      </c>
      <c r="G4027" s="2" t="s">
        <v>4037</v>
      </c>
      <c r="H4027" s="2" t="s">
        <v>1226</v>
      </c>
      <c r="J4027" s="26"/>
      <c r="K4027" s="36">
        <v>1.1000000000000001E-7</v>
      </c>
      <c r="L4027" s="23">
        <v>1E-8</v>
      </c>
    </row>
    <row r="4028" spans="1:12" ht="15.35" hidden="1" x14ac:dyDescent="0.55000000000000004">
      <c r="A4028" s="20">
        <v>15519</v>
      </c>
      <c r="B4028" s="2" t="s">
        <v>188</v>
      </c>
      <c r="C4028" s="2" t="s">
        <v>189</v>
      </c>
      <c r="D4028" s="20">
        <v>0</v>
      </c>
      <c r="E4028" s="2" t="s">
        <v>838</v>
      </c>
      <c r="F4028" s="2" t="s">
        <v>817</v>
      </c>
      <c r="G4028" s="2" t="s">
        <v>4038</v>
      </c>
      <c r="H4028" s="2" t="s">
        <v>1868</v>
      </c>
      <c r="J4028" s="26"/>
      <c r="K4028" s="36">
        <v>7.0000000000000005E-8</v>
      </c>
      <c r="L4028" s="23">
        <v>1E-8</v>
      </c>
    </row>
    <row r="4029" spans="1:12" ht="15.35" hidden="1" x14ac:dyDescent="0.55000000000000004">
      <c r="A4029" s="20">
        <v>15526</v>
      </c>
      <c r="B4029" s="2" t="s">
        <v>188</v>
      </c>
      <c r="C4029" s="2" t="s">
        <v>189</v>
      </c>
      <c r="D4029" s="20">
        <v>0</v>
      </c>
      <c r="E4029" s="2" t="s">
        <v>838</v>
      </c>
      <c r="F4029" s="2" t="s">
        <v>807</v>
      </c>
      <c r="G4029" s="2" t="s">
        <v>4039</v>
      </c>
      <c r="H4029" s="2" t="s">
        <v>1254</v>
      </c>
      <c r="J4029" s="26"/>
      <c r="K4029" s="36">
        <v>4.0000000000000001E-8</v>
      </c>
      <c r="L4029" s="23">
        <v>0</v>
      </c>
    </row>
    <row r="4030" spans="1:12" ht="15.35" hidden="1" x14ac:dyDescent="0.55000000000000004">
      <c r="A4030" s="20">
        <v>15528</v>
      </c>
      <c r="B4030" s="2" t="s">
        <v>188</v>
      </c>
      <c r="C4030" s="2" t="s">
        <v>189</v>
      </c>
      <c r="D4030" s="20">
        <v>0</v>
      </c>
      <c r="E4030" s="2" t="s">
        <v>838</v>
      </c>
      <c r="F4030" s="2" t="s">
        <v>807</v>
      </c>
      <c r="G4030" s="2" t="s">
        <v>4040</v>
      </c>
      <c r="H4030" s="2" t="s">
        <v>1254</v>
      </c>
      <c r="J4030" s="26"/>
      <c r="K4030" s="36">
        <v>4.0000000000000001E-8</v>
      </c>
      <c r="L4030" s="23">
        <v>0</v>
      </c>
    </row>
    <row r="4031" spans="1:12" ht="15.35" hidden="1" x14ac:dyDescent="0.55000000000000004">
      <c r="A4031" s="20">
        <v>15460</v>
      </c>
      <c r="B4031" s="2" t="s">
        <v>188</v>
      </c>
      <c r="C4031" s="2" t="s">
        <v>189</v>
      </c>
      <c r="D4031" s="20">
        <v>0</v>
      </c>
      <c r="E4031" s="2" t="s">
        <v>838</v>
      </c>
      <c r="F4031" s="2" t="s">
        <v>807</v>
      </c>
      <c r="G4031" s="2" t="s">
        <v>3492</v>
      </c>
      <c r="H4031" s="2" t="s">
        <v>1254</v>
      </c>
      <c r="J4031" s="26"/>
      <c r="K4031" s="36">
        <v>2.2400000000000002E-6</v>
      </c>
      <c r="L4031" s="23">
        <v>2.2000000000000001E-7</v>
      </c>
    </row>
    <row r="4032" spans="1:12" ht="15.35" hidden="1" x14ac:dyDescent="0.55000000000000004">
      <c r="A4032" s="20">
        <v>15467</v>
      </c>
      <c r="B4032" s="2" t="s">
        <v>188</v>
      </c>
      <c r="C4032" s="2" t="s">
        <v>189</v>
      </c>
      <c r="D4032" s="20">
        <v>0</v>
      </c>
      <c r="E4032" s="2" t="s">
        <v>838</v>
      </c>
      <c r="F4032" s="2" t="s">
        <v>807</v>
      </c>
      <c r="G4032" s="2" t="s">
        <v>4041</v>
      </c>
      <c r="H4032" s="2" t="s">
        <v>1254</v>
      </c>
      <c r="J4032" s="26"/>
      <c r="K4032" s="36">
        <v>1.1200000000000001E-6</v>
      </c>
      <c r="L4032" s="23">
        <v>1.1000000000000001E-7</v>
      </c>
    </row>
    <row r="4033" spans="1:12" ht="15.35" hidden="1" x14ac:dyDescent="0.55000000000000004">
      <c r="A4033" s="20">
        <v>15459</v>
      </c>
      <c r="B4033" s="2" t="s">
        <v>188</v>
      </c>
      <c r="C4033" s="2" t="s">
        <v>189</v>
      </c>
      <c r="D4033" s="20">
        <v>0</v>
      </c>
      <c r="E4033" s="2" t="s">
        <v>838</v>
      </c>
      <c r="F4033" s="2" t="s">
        <v>807</v>
      </c>
      <c r="G4033" s="2" t="s">
        <v>2840</v>
      </c>
      <c r="H4033" s="2" t="s">
        <v>1254</v>
      </c>
      <c r="J4033" s="26"/>
      <c r="K4033" s="36">
        <v>3.14E-6</v>
      </c>
      <c r="L4033" s="23">
        <v>3.1E-7</v>
      </c>
    </row>
    <row r="4034" spans="1:12" ht="15.35" hidden="1" x14ac:dyDescent="0.55000000000000004">
      <c r="A4034" s="20">
        <v>15465</v>
      </c>
      <c r="B4034" s="2" t="s">
        <v>188</v>
      </c>
      <c r="C4034" s="2" t="s">
        <v>189</v>
      </c>
      <c r="D4034" s="20">
        <v>0</v>
      </c>
      <c r="E4034" s="2" t="s">
        <v>838</v>
      </c>
      <c r="F4034" s="2" t="s">
        <v>807</v>
      </c>
      <c r="G4034" s="2" t="s">
        <v>4042</v>
      </c>
      <c r="H4034" s="2" t="s">
        <v>1254</v>
      </c>
      <c r="J4034" s="26"/>
      <c r="K4034" s="36">
        <v>1.2699999999999999E-6</v>
      </c>
      <c r="L4034" s="23">
        <v>1.3E-7</v>
      </c>
    </row>
    <row r="4035" spans="1:12" ht="15.35" hidden="1" x14ac:dyDescent="0.55000000000000004">
      <c r="A4035" s="20">
        <v>15473</v>
      </c>
      <c r="B4035" s="2" t="s">
        <v>188</v>
      </c>
      <c r="C4035" s="2" t="s">
        <v>189</v>
      </c>
      <c r="D4035" s="20">
        <v>0</v>
      </c>
      <c r="E4035" s="2" t="s">
        <v>838</v>
      </c>
      <c r="F4035" s="2" t="s">
        <v>817</v>
      </c>
      <c r="G4035" s="2" t="s">
        <v>4043</v>
      </c>
      <c r="H4035" s="2" t="s">
        <v>4044</v>
      </c>
      <c r="J4035" s="26"/>
      <c r="K4035" s="36">
        <v>1.06E-6</v>
      </c>
      <c r="L4035" s="23">
        <v>1.1000000000000001E-7</v>
      </c>
    </row>
    <row r="4036" spans="1:12" ht="15.35" hidden="1" x14ac:dyDescent="0.55000000000000004">
      <c r="A4036" s="20">
        <v>15478</v>
      </c>
      <c r="B4036" s="2" t="s">
        <v>188</v>
      </c>
      <c r="C4036" s="2" t="s">
        <v>189</v>
      </c>
      <c r="D4036" s="20">
        <v>0</v>
      </c>
      <c r="E4036" s="2" t="s">
        <v>838</v>
      </c>
      <c r="F4036" s="2" t="s">
        <v>817</v>
      </c>
      <c r="G4036" s="2" t="s">
        <v>4045</v>
      </c>
      <c r="H4036" s="2" t="s">
        <v>1284</v>
      </c>
      <c r="J4036" s="26"/>
      <c r="K4036" s="36">
        <v>6.3E-7</v>
      </c>
      <c r="L4036" s="23">
        <v>5.9999999999999995E-8</v>
      </c>
    </row>
    <row r="4037" spans="1:12" ht="15.35" hidden="1" x14ac:dyDescent="0.55000000000000004">
      <c r="A4037" s="20">
        <v>15470</v>
      </c>
      <c r="B4037" s="2" t="s">
        <v>188</v>
      </c>
      <c r="C4037" s="2" t="s">
        <v>189</v>
      </c>
      <c r="D4037" s="20">
        <v>0</v>
      </c>
      <c r="E4037" s="2" t="s">
        <v>838</v>
      </c>
      <c r="F4037" s="2" t="s">
        <v>793</v>
      </c>
      <c r="G4037" s="2" t="s">
        <v>4046</v>
      </c>
      <c r="H4037" s="2" t="s">
        <v>892</v>
      </c>
      <c r="J4037" s="26"/>
      <c r="K4037" s="36">
        <v>1.06E-6</v>
      </c>
      <c r="L4037" s="23">
        <v>1.1000000000000001E-7</v>
      </c>
    </row>
    <row r="4038" spans="1:12" ht="15.35" hidden="1" x14ac:dyDescent="0.55000000000000004">
      <c r="A4038" s="20">
        <v>15469</v>
      </c>
      <c r="B4038" s="2" t="s">
        <v>188</v>
      </c>
      <c r="C4038" s="2" t="s">
        <v>189</v>
      </c>
      <c r="D4038" s="20">
        <v>0</v>
      </c>
      <c r="E4038" s="2" t="s">
        <v>838</v>
      </c>
      <c r="F4038" s="2" t="s">
        <v>793</v>
      </c>
      <c r="G4038" s="2" t="s">
        <v>2650</v>
      </c>
      <c r="H4038" s="2" t="s">
        <v>842</v>
      </c>
      <c r="J4038" s="26"/>
      <c r="K4038" s="36">
        <v>5.3000000000000001E-7</v>
      </c>
      <c r="L4038" s="23">
        <v>4.9999999999999998E-8</v>
      </c>
    </row>
    <row r="4039" spans="1:12" ht="15.35" hidden="1" x14ac:dyDescent="0.55000000000000004">
      <c r="A4039" s="20">
        <v>15454</v>
      </c>
      <c r="B4039" s="2" t="s">
        <v>188</v>
      </c>
      <c r="C4039" s="2" t="s">
        <v>189</v>
      </c>
      <c r="D4039" s="20">
        <v>0</v>
      </c>
      <c r="E4039" s="2" t="s">
        <v>838</v>
      </c>
      <c r="F4039" s="2" t="s">
        <v>793</v>
      </c>
      <c r="G4039" s="2" t="s">
        <v>842</v>
      </c>
      <c r="H4039" s="2" t="s">
        <v>842</v>
      </c>
      <c r="J4039" s="26"/>
      <c r="K4039" s="36">
        <v>9.4299999999999995E-6</v>
      </c>
      <c r="L4039" s="23">
        <v>9.4E-7</v>
      </c>
    </row>
    <row r="4040" spans="1:12" ht="15.35" hidden="1" x14ac:dyDescent="0.55000000000000004">
      <c r="A4040" s="20">
        <v>15538</v>
      </c>
      <c r="B4040" s="2" t="s">
        <v>188</v>
      </c>
      <c r="C4040" s="2" t="s">
        <v>189</v>
      </c>
      <c r="D4040" s="20">
        <v>0</v>
      </c>
      <c r="E4040" s="2" t="s">
        <v>838</v>
      </c>
      <c r="F4040" s="2" t="s">
        <v>793</v>
      </c>
      <c r="G4040" s="2" t="s">
        <v>4047</v>
      </c>
      <c r="H4040" s="2" t="s">
        <v>975</v>
      </c>
      <c r="J4040" s="26"/>
      <c r="K4040" s="36">
        <v>9.2E-6</v>
      </c>
      <c r="L4040" s="23">
        <v>9.1999999999999998E-7</v>
      </c>
    </row>
    <row r="4041" spans="1:12" ht="15.35" hidden="1" x14ac:dyDescent="0.55000000000000004">
      <c r="A4041" s="20">
        <v>15532</v>
      </c>
      <c r="B4041" s="2" t="s">
        <v>188</v>
      </c>
      <c r="C4041" s="2" t="s">
        <v>189</v>
      </c>
      <c r="D4041" s="20">
        <v>0</v>
      </c>
      <c r="E4041" s="2" t="s">
        <v>838</v>
      </c>
      <c r="F4041" s="2" t="s">
        <v>848</v>
      </c>
      <c r="G4041" s="2" t="s">
        <v>1042</v>
      </c>
      <c r="H4041" s="2" t="s">
        <v>1042</v>
      </c>
      <c r="J4041" s="26"/>
      <c r="K4041" s="36">
        <v>7.1799999999999999E-6</v>
      </c>
      <c r="L4041" s="23">
        <v>7.1999999999999999E-7</v>
      </c>
    </row>
    <row r="4042" spans="1:12" ht="15.35" hidden="1" x14ac:dyDescent="0.55000000000000004">
      <c r="A4042" s="20">
        <v>15533</v>
      </c>
      <c r="B4042" s="2" t="s">
        <v>188</v>
      </c>
      <c r="C4042" s="2" t="s">
        <v>189</v>
      </c>
      <c r="D4042" s="20">
        <v>0</v>
      </c>
      <c r="E4042" s="2" t="s">
        <v>838</v>
      </c>
      <c r="F4042" s="2" t="s">
        <v>793</v>
      </c>
      <c r="G4042" s="2" t="s">
        <v>4048</v>
      </c>
      <c r="H4042" s="2" t="s">
        <v>795</v>
      </c>
      <c r="J4042" s="26"/>
      <c r="K4042" s="36">
        <v>4.9999999999999998E-8</v>
      </c>
      <c r="L4042" s="23">
        <v>0</v>
      </c>
    </row>
    <row r="4043" spans="1:12" ht="15.35" hidden="1" x14ac:dyDescent="0.55000000000000004">
      <c r="A4043" s="20">
        <v>15471</v>
      </c>
      <c r="B4043" s="2" t="s">
        <v>188</v>
      </c>
      <c r="C4043" s="2" t="s">
        <v>189</v>
      </c>
      <c r="D4043" s="20">
        <v>0</v>
      </c>
      <c r="E4043" s="2" t="s">
        <v>838</v>
      </c>
      <c r="F4043" s="2" t="s">
        <v>798</v>
      </c>
      <c r="G4043" s="2" t="s">
        <v>4049</v>
      </c>
      <c r="H4043" s="2" t="s">
        <v>800</v>
      </c>
      <c r="J4043" s="26"/>
      <c r="K4043" s="36">
        <v>1.06E-6</v>
      </c>
      <c r="L4043" s="23">
        <v>1.1000000000000001E-7</v>
      </c>
    </row>
    <row r="4044" spans="1:12" ht="15.35" hidden="1" x14ac:dyDescent="0.55000000000000004">
      <c r="A4044" s="20">
        <v>15498</v>
      </c>
      <c r="B4044" s="2" t="s">
        <v>188</v>
      </c>
      <c r="C4044" s="2" t="s">
        <v>189</v>
      </c>
      <c r="D4044" s="20">
        <v>0</v>
      </c>
      <c r="E4044" s="2" t="s">
        <v>838</v>
      </c>
      <c r="F4044" s="2" t="s">
        <v>793</v>
      </c>
      <c r="G4044" s="2" t="s">
        <v>2875</v>
      </c>
      <c r="H4044" s="2" t="s">
        <v>2876</v>
      </c>
      <c r="J4044" s="26"/>
      <c r="K4044" s="36">
        <v>9.9999999999999995E-8</v>
      </c>
      <c r="L4044" s="23">
        <v>1E-8</v>
      </c>
    </row>
    <row r="4045" spans="1:12" ht="15.35" x14ac:dyDescent="0.55000000000000004">
      <c r="A4045" s="20">
        <v>15507</v>
      </c>
      <c r="B4045" s="2" t="s">
        <v>188</v>
      </c>
      <c r="C4045" s="2" t="s">
        <v>189</v>
      </c>
      <c r="D4045" s="20">
        <v>0</v>
      </c>
      <c r="E4045" s="2" t="s">
        <v>838</v>
      </c>
      <c r="F4045" s="2" t="s">
        <v>793</v>
      </c>
      <c r="G4045" s="2" t="s">
        <v>4050</v>
      </c>
      <c r="J4045" s="26"/>
      <c r="K4045" s="36">
        <v>9.9999999999999995E-8</v>
      </c>
      <c r="L4045" s="23">
        <v>1E-8</v>
      </c>
    </row>
    <row r="4046" spans="1:12" ht="15.35" hidden="1" x14ac:dyDescent="0.55000000000000004">
      <c r="A4046" s="20">
        <v>15482</v>
      </c>
      <c r="B4046" s="2" t="s">
        <v>188</v>
      </c>
      <c r="C4046" s="2" t="s">
        <v>189</v>
      </c>
      <c r="D4046" s="20">
        <v>0</v>
      </c>
      <c r="E4046" s="2" t="s">
        <v>838</v>
      </c>
      <c r="F4046" s="2" t="s">
        <v>793</v>
      </c>
      <c r="G4046" s="2" t="s">
        <v>2877</v>
      </c>
      <c r="H4046" s="2" t="s">
        <v>2878</v>
      </c>
      <c r="J4046" s="26"/>
      <c r="K4046" s="36">
        <v>5.3000000000000001E-7</v>
      </c>
      <c r="L4046" s="23">
        <v>4.9999999999999998E-8</v>
      </c>
    </row>
    <row r="4047" spans="1:12" ht="15.35" hidden="1" x14ac:dyDescent="0.55000000000000004">
      <c r="A4047" s="20">
        <v>15494</v>
      </c>
      <c r="B4047" s="2" t="s">
        <v>188</v>
      </c>
      <c r="C4047" s="2" t="s">
        <v>189</v>
      </c>
      <c r="D4047" s="20">
        <v>0</v>
      </c>
      <c r="E4047" s="2" t="s">
        <v>838</v>
      </c>
      <c r="F4047" s="2" t="s">
        <v>793</v>
      </c>
      <c r="G4047" s="2" t="s">
        <v>4051</v>
      </c>
      <c r="H4047" s="2" t="s">
        <v>4052</v>
      </c>
      <c r="J4047" s="26"/>
      <c r="K4047" s="36">
        <v>1.6E-7</v>
      </c>
      <c r="L4047" s="23">
        <v>2E-8</v>
      </c>
    </row>
    <row r="4048" spans="1:12" ht="15.35" hidden="1" x14ac:dyDescent="0.55000000000000004">
      <c r="A4048" s="20">
        <v>15466</v>
      </c>
      <c r="B4048" s="2" t="s">
        <v>188</v>
      </c>
      <c r="C4048" s="2" t="s">
        <v>189</v>
      </c>
      <c r="D4048" s="20">
        <v>0</v>
      </c>
      <c r="E4048" s="2" t="s">
        <v>838</v>
      </c>
      <c r="F4048" s="2" t="s">
        <v>793</v>
      </c>
      <c r="G4048" s="2" t="s">
        <v>4053</v>
      </c>
      <c r="H4048" s="2" t="s">
        <v>4052</v>
      </c>
      <c r="J4048" s="26"/>
      <c r="K4048" s="36">
        <v>1.26E-6</v>
      </c>
      <c r="L4048" s="23">
        <v>1.3E-7</v>
      </c>
    </row>
    <row r="4049" spans="1:12" ht="15.35" hidden="1" x14ac:dyDescent="0.55000000000000004">
      <c r="A4049" s="20">
        <v>15496</v>
      </c>
      <c r="B4049" s="2" t="s">
        <v>188</v>
      </c>
      <c r="C4049" s="2" t="s">
        <v>189</v>
      </c>
      <c r="D4049" s="20">
        <v>0</v>
      </c>
      <c r="E4049" s="2" t="s">
        <v>838</v>
      </c>
      <c r="F4049" s="2" t="s">
        <v>793</v>
      </c>
      <c r="G4049" s="2" t="s">
        <v>4054</v>
      </c>
      <c r="H4049" s="2" t="s">
        <v>1940</v>
      </c>
      <c r="J4049" s="26"/>
      <c r="K4049" s="36">
        <v>9.9999999999999995E-8</v>
      </c>
      <c r="L4049" s="23">
        <v>1E-8</v>
      </c>
    </row>
    <row r="4050" spans="1:12" ht="15.35" hidden="1" x14ac:dyDescent="0.55000000000000004">
      <c r="A4050" s="20">
        <v>15512</v>
      </c>
      <c r="B4050" s="2" t="s">
        <v>188</v>
      </c>
      <c r="C4050" s="2" t="s">
        <v>189</v>
      </c>
      <c r="D4050" s="20">
        <v>0</v>
      </c>
      <c r="E4050" s="2" t="s">
        <v>838</v>
      </c>
      <c r="F4050" s="2" t="s">
        <v>793</v>
      </c>
      <c r="G4050" s="2" t="s">
        <v>4055</v>
      </c>
      <c r="H4050" s="2" t="s">
        <v>1940</v>
      </c>
      <c r="J4050" s="26"/>
      <c r="K4050" s="36">
        <v>9.9999999999999995E-8</v>
      </c>
      <c r="L4050" s="23">
        <v>1E-8</v>
      </c>
    </row>
    <row r="4051" spans="1:12" ht="15.35" hidden="1" x14ac:dyDescent="0.55000000000000004">
      <c r="A4051" s="20">
        <v>15495</v>
      </c>
      <c r="B4051" s="2" t="s">
        <v>188</v>
      </c>
      <c r="C4051" s="2" t="s">
        <v>189</v>
      </c>
      <c r="D4051" s="20">
        <v>0</v>
      </c>
      <c r="E4051" s="2" t="s">
        <v>838</v>
      </c>
      <c r="F4051" s="2" t="s">
        <v>793</v>
      </c>
      <c r="G4051" s="2" t="s">
        <v>4056</v>
      </c>
      <c r="H4051" s="2" t="s">
        <v>1940</v>
      </c>
      <c r="J4051" s="26"/>
      <c r="K4051" s="36">
        <v>9.9999999999999995E-8</v>
      </c>
      <c r="L4051" s="23">
        <v>1E-8</v>
      </c>
    </row>
    <row r="4052" spans="1:12" ht="15.35" hidden="1" x14ac:dyDescent="0.55000000000000004">
      <c r="A4052" s="20">
        <v>15499</v>
      </c>
      <c r="B4052" s="2" t="s">
        <v>188</v>
      </c>
      <c r="C4052" s="2" t="s">
        <v>189</v>
      </c>
      <c r="D4052" s="20">
        <v>0</v>
      </c>
      <c r="E4052" s="2" t="s">
        <v>838</v>
      </c>
      <c r="F4052" s="2" t="s">
        <v>793</v>
      </c>
      <c r="G4052" s="2" t="s">
        <v>4057</v>
      </c>
      <c r="H4052" s="2" t="s">
        <v>1940</v>
      </c>
      <c r="J4052" s="26"/>
      <c r="K4052" s="36">
        <v>4.9999999999999998E-8</v>
      </c>
      <c r="L4052" s="23">
        <v>1E-8</v>
      </c>
    </row>
    <row r="4053" spans="1:12" ht="15.35" hidden="1" x14ac:dyDescent="0.55000000000000004">
      <c r="A4053" s="20">
        <v>15511</v>
      </c>
      <c r="B4053" s="2" t="s">
        <v>188</v>
      </c>
      <c r="C4053" s="2" t="s">
        <v>189</v>
      </c>
      <c r="D4053" s="20">
        <v>0</v>
      </c>
      <c r="E4053" s="2" t="s">
        <v>838</v>
      </c>
      <c r="F4053" s="2" t="s">
        <v>793</v>
      </c>
      <c r="G4053" s="2" t="s">
        <v>4058</v>
      </c>
      <c r="H4053" s="2" t="s">
        <v>1940</v>
      </c>
      <c r="J4053" s="26"/>
      <c r="K4053" s="36">
        <v>9.9999999999999995E-8</v>
      </c>
      <c r="L4053" s="23">
        <v>1E-8</v>
      </c>
    </row>
    <row r="4054" spans="1:12" ht="15.35" hidden="1" x14ac:dyDescent="0.55000000000000004">
      <c r="A4054" s="20">
        <v>15508</v>
      </c>
      <c r="B4054" s="2" t="s">
        <v>188</v>
      </c>
      <c r="C4054" s="2" t="s">
        <v>189</v>
      </c>
      <c r="D4054" s="20">
        <v>0</v>
      </c>
      <c r="E4054" s="2" t="s">
        <v>838</v>
      </c>
      <c r="F4054" s="2" t="s">
        <v>793</v>
      </c>
      <c r="G4054" s="2" t="s">
        <v>4059</v>
      </c>
      <c r="H4054" s="2" t="s">
        <v>1940</v>
      </c>
      <c r="J4054" s="26"/>
      <c r="K4054" s="36">
        <v>9.9999999999999995E-8</v>
      </c>
      <c r="L4054" s="23">
        <v>1E-8</v>
      </c>
    </row>
    <row r="4055" spans="1:12" ht="15.35" hidden="1" x14ac:dyDescent="0.55000000000000004">
      <c r="A4055" s="20">
        <v>15504</v>
      </c>
      <c r="B4055" s="2" t="s">
        <v>188</v>
      </c>
      <c r="C4055" s="2" t="s">
        <v>189</v>
      </c>
      <c r="D4055" s="20">
        <v>0</v>
      </c>
      <c r="E4055" s="2" t="s">
        <v>838</v>
      </c>
      <c r="F4055" s="2" t="s">
        <v>793</v>
      </c>
      <c r="G4055" s="2" t="s">
        <v>4060</v>
      </c>
      <c r="H4055" s="2" t="s">
        <v>1940</v>
      </c>
      <c r="J4055" s="26"/>
      <c r="K4055" s="36">
        <v>9.9999999999999995E-8</v>
      </c>
      <c r="L4055" s="23">
        <v>1E-8</v>
      </c>
    </row>
    <row r="4056" spans="1:12" ht="15.35" hidden="1" x14ac:dyDescent="0.55000000000000004">
      <c r="A4056" s="20">
        <v>15509</v>
      </c>
      <c r="B4056" s="2" t="s">
        <v>188</v>
      </c>
      <c r="C4056" s="2" t="s">
        <v>189</v>
      </c>
      <c r="D4056" s="20">
        <v>0</v>
      </c>
      <c r="E4056" s="2" t="s">
        <v>838</v>
      </c>
      <c r="F4056" s="2" t="s">
        <v>793</v>
      </c>
      <c r="G4056" s="2" t="s">
        <v>4061</v>
      </c>
      <c r="H4056" s="2" t="s">
        <v>1940</v>
      </c>
      <c r="J4056" s="26"/>
      <c r="K4056" s="36">
        <v>9.9999999999999995E-8</v>
      </c>
      <c r="L4056" s="23">
        <v>1E-8</v>
      </c>
    </row>
    <row r="4057" spans="1:12" ht="15.35" hidden="1" x14ac:dyDescent="0.55000000000000004">
      <c r="A4057" s="20">
        <v>15503</v>
      </c>
      <c r="B4057" s="2" t="s">
        <v>188</v>
      </c>
      <c r="C4057" s="2" t="s">
        <v>189</v>
      </c>
      <c r="D4057" s="20">
        <v>0</v>
      </c>
      <c r="E4057" s="2" t="s">
        <v>838</v>
      </c>
      <c r="F4057" s="2" t="s">
        <v>793</v>
      </c>
      <c r="G4057" s="2" t="s">
        <v>4062</v>
      </c>
      <c r="H4057" s="2" t="s">
        <v>1940</v>
      </c>
      <c r="J4057" s="26"/>
      <c r="K4057" s="36">
        <v>9.9999999999999995E-8</v>
      </c>
      <c r="L4057" s="23">
        <v>1E-8</v>
      </c>
    </row>
    <row r="4058" spans="1:12" ht="15.35" hidden="1" x14ac:dyDescent="0.55000000000000004">
      <c r="A4058" s="20">
        <v>15506</v>
      </c>
      <c r="B4058" s="2" t="s">
        <v>188</v>
      </c>
      <c r="C4058" s="2" t="s">
        <v>189</v>
      </c>
      <c r="D4058" s="20">
        <v>0</v>
      </c>
      <c r="E4058" s="2" t="s">
        <v>838</v>
      </c>
      <c r="F4058" s="2" t="s">
        <v>793</v>
      </c>
      <c r="G4058" s="2" t="s">
        <v>4063</v>
      </c>
      <c r="H4058" s="2" t="s">
        <v>1940</v>
      </c>
      <c r="J4058" s="26"/>
      <c r="K4058" s="36">
        <v>9.9999999999999995E-8</v>
      </c>
      <c r="L4058" s="23">
        <v>1E-8</v>
      </c>
    </row>
    <row r="4059" spans="1:12" ht="15.35" hidden="1" x14ac:dyDescent="0.55000000000000004">
      <c r="A4059" s="20">
        <v>15510</v>
      </c>
      <c r="B4059" s="2" t="s">
        <v>188</v>
      </c>
      <c r="C4059" s="2" t="s">
        <v>189</v>
      </c>
      <c r="D4059" s="20">
        <v>0</v>
      </c>
      <c r="E4059" s="2" t="s">
        <v>838</v>
      </c>
      <c r="F4059" s="2" t="s">
        <v>793</v>
      </c>
      <c r="G4059" s="2" t="s">
        <v>4064</v>
      </c>
      <c r="H4059" s="2" t="s">
        <v>1940</v>
      </c>
      <c r="J4059" s="26"/>
      <c r="K4059" s="36">
        <v>9.9999999999999995E-8</v>
      </c>
      <c r="L4059" s="23">
        <v>1E-8</v>
      </c>
    </row>
    <row r="4060" spans="1:12" ht="15.35" hidden="1" x14ac:dyDescent="0.55000000000000004">
      <c r="A4060" s="20">
        <v>15500</v>
      </c>
      <c r="B4060" s="2" t="s">
        <v>188</v>
      </c>
      <c r="C4060" s="2" t="s">
        <v>189</v>
      </c>
      <c r="D4060" s="20">
        <v>0</v>
      </c>
      <c r="E4060" s="2" t="s">
        <v>838</v>
      </c>
      <c r="F4060" s="2" t="s">
        <v>793</v>
      </c>
      <c r="G4060" s="2" t="s">
        <v>4065</v>
      </c>
      <c r="H4060" s="2" t="s">
        <v>1940</v>
      </c>
      <c r="J4060" s="26"/>
      <c r="K4060" s="36">
        <v>9.9999999999999995E-8</v>
      </c>
      <c r="L4060" s="23">
        <v>1E-8</v>
      </c>
    </row>
    <row r="4061" spans="1:12" ht="15.35" hidden="1" x14ac:dyDescent="0.55000000000000004">
      <c r="A4061" s="20">
        <v>15514</v>
      </c>
      <c r="B4061" s="2" t="s">
        <v>188</v>
      </c>
      <c r="C4061" s="2" t="s">
        <v>189</v>
      </c>
      <c r="D4061" s="20">
        <v>0</v>
      </c>
      <c r="E4061" s="2" t="s">
        <v>838</v>
      </c>
      <c r="F4061" s="2" t="s">
        <v>793</v>
      </c>
      <c r="G4061" s="2" t="s">
        <v>4066</v>
      </c>
      <c r="H4061" s="2" t="s">
        <v>1940</v>
      </c>
      <c r="J4061" s="26"/>
      <c r="K4061" s="36">
        <v>9.9999999999999995E-8</v>
      </c>
      <c r="L4061" s="23">
        <v>1E-8</v>
      </c>
    </row>
    <row r="4062" spans="1:12" ht="15.35" hidden="1" x14ac:dyDescent="0.55000000000000004">
      <c r="A4062" s="20">
        <v>15505</v>
      </c>
      <c r="B4062" s="2" t="s">
        <v>188</v>
      </c>
      <c r="C4062" s="2" t="s">
        <v>189</v>
      </c>
      <c r="D4062" s="20">
        <v>0</v>
      </c>
      <c r="E4062" s="2" t="s">
        <v>838</v>
      </c>
      <c r="F4062" s="2" t="s">
        <v>793</v>
      </c>
      <c r="G4062" s="2" t="s">
        <v>4067</v>
      </c>
      <c r="H4062" s="2" t="s">
        <v>1940</v>
      </c>
      <c r="J4062" s="26"/>
      <c r="K4062" s="36">
        <v>9.9999999999999995E-8</v>
      </c>
      <c r="L4062" s="23">
        <v>1E-8</v>
      </c>
    </row>
    <row r="4063" spans="1:12" ht="15.35" hidden="1" x14ac:dyDescent="0.55000000000000004">
      <c r="A4063" s="20">
        <v>15497</v>
      </c>
      <c r="B4063" s="2" t="s">
        <v>188</v>
      </c>
      <c r="C4063" s="2" t="s">
        <v>189</v>
      </c>
      <c r="D4063" s="20">
        <v>0</v>
      </c>
      <c r="E4063" s="2" t="s">
        <v>838</v>
      </c>
      <c r="F4063" s="2" t="s">
        <v>793</v>
      </c>
      <c r="G4063" s="2" t="s">
        <v>4068</v>
      </c>
      <c r="H4063" s="2" t="s">
        <v>1940</v>
      </c>
      <c r="J4063" s="26"/>
      <c r="K4063" s="36">
        <v>9.9999999999999995E-8</v>
      </c>
      <c r="L4063" s="23">
        <v>1E-8</v>
      </c>
    </row>
    <row r="4064" spans="1:12" ht="15.35" hidden="1" x14ac:dyDescent="0.55000000000000004">
      <c r="A4064" s="20">
        <v>15462</v>
      </c>
      <c r="B4064" s="2" t="s">
        <v>188</v>
      </c>
      <c r="C4064" s="2" t="s">
        <v>189</v>
      </c>
      <c r="D4064" s="20">
        <v>0</v>
      </c>
      <c r="E4064" s="2" t="s">
        <v>838</v>
      </c>
      <c r="F4064" s="2" t="s">
        <v>793</v>
      </c>
      <c r="G4064" s="2" t="s">
        <v>4069</v>
      </c>
      <c r="H4064" s="2" t="s">
        <v>1940</v>
      </c>
      <c r="J4064" s="26"/>
      <c r="K4064" s="36">
        <v>2.04E-6</v>
      </c>
      <c r="L4064" s="23">
        <v>1.9999999999999999E-7</v>
      </c>
    </row>
    <row r="4065" spans="1:12" ht="15.35" hidden="1" x14ac:dyDescent="0.55000000000000004">
      <c r="A4065" s="20">
        <v>15476</v>
      </c>
      <c r="B4065" s="2" t="s">
        <v>188</v>
      </c>
      <c r="C4065" s="2" t="s">
        <v>189</v>
      </c>
      <c r="D4065" s="20">
        <v>0</v>
      </c>
      <c r="E4065" s="2" t="s">
        <v>838</v>
      </c>
      <c r="F4065" s="2" t="s">
        <v>793</v>
      </c>
      <c r="G4065" s="2" t="s">
        <v>4070</v>
      </c>
      <c r="H4065" s="2" t="s">
        <v>1940</v>
      </c>
      <c r="J4065" s="26"/>
      <c r="K4065" s="36">
        <v>4.2E-7</v>
      </c>
      <c r="L4065" s="23">
        <v>4.0000000000000001E-8</v>
      </c>
    </row>
    <row r="4066" spans="1:12" ht="15.35" hidden="1" x14ac:dyDescent="0.55000000000000004">
      <c r="A4066" s="20">
        <v>15485</v>
      </c>
      <c r="B4066" s="2" t="s">
        <v>188</v>
      </c>
      <c r="C4066" s="2" t="s">
        <v>189</v>
      </c>
      <c r="D4066" s="20">
        <v>0</v>
      </c>
      <c r="E4066" s="2" t="s">
        <v>838</v>
      </c>
      <c r="F4066" s="2" t="s">
        <v>793</v>
      </c>
      <c r="G4066" s="2" t="s">
        <v>3609</v>
      </c>
      <c r="H4066" s="2" t="s">
        <v>1940</v>
      </c>
      <c r="J4066" s="26"/>
      <c r="K4066" s="36">
        <v>2.8000000000000002E-7</v>
      </c>
      <c r="L4066" s="23">
        <v>2.9999999999999997E-8</v>
      </c>
    </row>
    <row r="4067" spans="1:12" ht="15.35" hidden="1" x14ac:dyDescent="0.55000000000000004">
      <c r="A4067" s="20">
        <v>15486</v>
      </c>
      <c r="B4067" s="2" t="s">
        <v>188</v>
      </c>
      <c r="C4067" s="2" t="s">
        <v>189</v>
      </c>
      <c r="D4067" s="20">
        <v>0</v>
      </c>
      <c r="E4067" s="2" t="s">
        <v>838</v>
      </c>
      <c r="F4067" s="2" t="s">
        <v>793</v>
      </c>
      <c r="G4067" s="2" t="s">
        <v>3611</v>
      </c>
      <c r="H4067" s="2" t="s">
        <v>1940</v>
      </c>
      <c r="J4067" s="26"/>
      <c r="K4067" s="36">
        <v>2.7000000000000001E-7</v>
      </c>
      <c r="L4067" s="23">
        <v>2.9999999999999997E-8</v>
      </c>
    </row>
    <row r="4068" spans="1:12" ht="15.35" hidden="1" x14ac:dyDescent="0.55000000000000004">
      <c r="A4068" s="20">
        <v>15502</v>
      </c>
      <c r="B4068" s="2" t="s">
        <v>188</v>
      </c>
      <c r="C4068" s="2" t="s">
        <v>189</v>
      </c>
      <c r="D4068" s="20">
        <v>0</v>
      </c>
      <c r="E4068" s="2" t="s">
        <v>838</v>
      </c>
      <c r="F4068" s="2" t="s">
        <v>793</v>
      </c>
      <c r="G4068" s="2" t="s">
        <v>4071</v>
      </c>
      <c r="H4068" s="2" t="s">
        <v>1940</v>
      </c>
      <c r="J4068" s="26"/>
      <c r="K4068" s="36">
        <v>9.9999999999999995E-8</v>
      </c>
      <c r="L4068" s="23">
        <v>1E-8</v>
      </c>
    </row>
    <row r="4069" spans="1:12" ht="15.35" hidden="1" x14ac:dyDescent="0.55000000000000004">
      <c r="A4069" s="20">
        <v>15517</v>
      </c>
      <c r="B4069" s="2" t="s">
        <v>188</v>
      </c>
      <c r="C4069" s="2" t="s">
        <v>189</v>
      </c>
      <c r="D4069" s="20">
        <v>0</v>
      </c>
      <c r="E4069" s="2" t="s">
        <v>838</v>
      </c>
      <c r="F4069" s="2" t="s">
        <v>793</v>
      </c>
      <c r="G4069" s="2" t="s">
        <v>4072</v>
      </c>
      <c r="H4069" s="2" t="s">
        <v>1940</v>
      </c>
      <c r="J4069" s="26"/>
      <c r="K4069" s="36">
        <v>8.9999999999999999E-8</v>
      </c>
      <c r="L4069" s="23">
        <v>1E-8</v>
      </c>
    </row>
    <row r="4070" spans="1:12" ht="15.35" hidden="1" x14ac:dyDescent="0.55000000000000004">
      <c r="A4070" s="20">
        <v>15480</v>
      </c>
      <c r="B4070" s="2" t="s">
        <v>188</v>
      </c>
      <c r="C4070" s="2" t="s">
        <v>189</v>
      </c>
      <c r="D4070" s="20">
        <v>0</v>
      </c>
      <c r="E4070" s="2" t="s">
        <v>838</v>
      </c>
      <c r="F4070" s="2" t="s">
        <v>817</v>
      </c>
      <c r="G4070" s="2" t="s">
        <v>4073</v>
      </c>
      <c r="H4070" s="2" t="s">
        <v>1940</v>
      </c>
      <c r="J4070" s="26"/>
      <c r="K4070" s="36">
        <v>5.8999999999999996E-7</v>
      </c>
      <c r="L4070" s="23">
        <v>5.9999999999999995E-8</v>
      </c>
    </row>
    <row r="4071" spans="1:12" ht="15.35" hidden="1" x14ac:dyDescent="0.55000000000000004">
      <c r="A4071" s="20">
        <v>15479</v>
      </c>
      <c r="B4071" s="2" t="s">
        <v>188</v>
      </c>
      <c r="C4071" s="2" t="s">
        <v>189</v>
      </c>
      <c r="D4071" s="20">
        <v>0</v>
      </c>
      <c r="E4071" s="2" t="s">
        <v>838</v>
      </c>
      <c r="F4071" s="2" t="s">
        <v>793</v>
      </c>
      <c r="G4071" s="2" t="s">
        <v>4074</v>
      </c>
      <c r="H4071" s="2" t="s">
        <v>1940</v>
      </c>
      <c r="J4071" s="26"/>
      <c r="K4071" s="36">
        <v>6.0999999999999998E-7</v>
      </c>
      <c r="L4071" s="23">
        <v>5.9999999999999995E-8</v>
      </c>
    </row>
    <row r="4072" spans="1:12" ht="15.35" hidden="1" x14ac:dyDescent="0.55000000000000004">
      <c r="A4072" s="20">
        <v>15477</v>
      </c>
      <c r="B4072" s="2" t="s">
        <v>188</v>
      </c>
      <c r="C4072" s="2" t="s">
        <v>189</v>
      </c>
      <c r="D4072" s="20">
        <v>0</v>
      </c>
      <c r="E4072" s="2" t="s">
        <v>838</v>
      </c>
      <c r="F4072" s="2" t="s">
        <v>793</v>
      </c>
      <c r="G4072" s="2" t="s">
        <v>4075</v>
      </c>
      <c r="H4072" s="2" t="s">
        <v>1940</v>
      </c>
      <c r="J4072" s="26"/>
      <c r="K4072" s="36">
        <v>7.5000000000000002E-7</v>
      </c>
      <c r="L4072" s="23">
        <v>7.0000000000000005E-8</v>
      </c>
    </row>
    <row r="4073" spans="1:12" ht="15.35" hidden="1" x14ac:dyDescent="0.55000000000000004">
      <c r="A4073" s="20">
        <v>15474</v>
      </c>
      <c r="B4073" s="2" t="s">
        <v>188</v>
      </c>
      <c r="C4073" s="2" t="s">
        <v>189</v>
      </c>
      <c r="D4073" s="20">
        <v>0</v>
      </c>
      <c r="E4073" s="2" t="s">
        <v>838</v>
      </c>
      <c r="F4073" s="2" t="s">
        <v>817</v>
      </c>
      <c r="G4073" s="2" t="s">
        <v>4076</v>
      </c>
      <c r="H4073" s="2" t="s">
        <v>1940</v>
      </c>
      <c r="J4073" s="26"/>
      <c r="K4073" s="36">
        <v>9.9999999999999995E-7</v>
      </c>
      <c r="L4073" s="23">
        <v>9.9999999999999995E-8</v>
      </c>
    </row>
    <row r="4074" spans="1:12" ht="15.35" hidden="1" x14ac:dyDescent="0.55000000000000004">
      <c r="A4074" s="20">
        <v>15472</v>
      </c>
      <c r="B4074" s="2" t="s">
        <v>188</v>
      </c>
      <c r="C4074" s="2" t="s">
        <v>189</v>
      </c>
      <c r="D4074" s="20">
        <v>0</v>
      </c>
      <c r="E4074" s="2" t="s">
        <v>838</v>
      </c>
      <c r="F4074" s="2" t="s">
        <v>848</v>
      </c>
      <c r="G4074" s="2" t="s">
        <v>2004</v>
      </c>
      <c r="H4074" s="2" t="s">
        <v>2004</v>
      </c>
      <c r="J4074" s="26"/>
      <c r="K4074" s="36">
        <v>1.06E-6</v>
      </c>
      <c r="L4074" s="23">
        <v>1.1000000000000001E-7</v>
      </c>
    </row>
    <row r="4075" spans="1:12" ht="15.35" hidden="1" x14ac:dyDescent="0.55000000000000004">
      <c r="A4075" s="20">
        <v>15487</v>
      </c>
      <c r="B4075" s="2" t="s">
        <v>188</v>
      </c>
      <c r="C4075" s="2" t="s">
        <v>189</v>
      </c>
      <c r="D4075" s="20">
        <v>0</v>
      </c>
      <c r="E4075" s="2" t="s">
        <v>838</v>
      </c>
      <c r="F4075" s="2" t="s">
        <v>817</v>
      </c>
      <c r="G4075" s="2" t="s">
        <v>4077</v>
      </c>
      <c r="H4075" s="2" t="s">
        <v>852</v>
      </c>
      <c r="J4075" s="26"/>
      <c r="K4075" s="36">
        <v>2.2000000000000001E-7</v>
      </c>
      <c r="L4075" s="23">
        <v>2E-8</v>
      </c>
    </row>
    <row r="4076" spans="1:12" ht="15.35" hidden="1" x14ac:dyDescent="0.55000000000000004">
      <c r="A4076" s="20">
        <v>15535</v>
      </c>
      <c r="B4076" s="2" t="s">
        <v>188</v>
      </c>
      <c r="C4076" s="2" t="s">
        <v>189</v>
      </c>
      <c r="D4076" s="20">
        <v>0</v>
      </c>
      <c r="E4076" s="2" t="s">
        <v>838</v>
      </c>
      <c r="F4076" s="2" t="s">
        <v>848</v>
      </c>
      <c r="G4076" s="2" t="s">
        <v>4078</v>
      </c>
      <c r="H4076" s="2" t="s">
        <v>4078</v>
      </c>
      <c r="J4076" s="26"/>
      <c r="K4076" s="36">
        <v>2.17E-6</v>
      </c>
      <c r="L4076" s="23">
        <v>2.2000000000000001E-7</v>
      </c>
    </row>
    <row r="4077" spans="1:12" ht="15.35" hidden="1" x14ac:dyDescent="0.55000000000000004">
      <c r="A4077" s="20">
        <v>15451</v>
      </c>
      <c r="B4077" s="2" t="s">
        <v>188</v>
      </c>
      <c r="C4077" s="2" t="s">
        <v>189</v>
      </c>
      <c r="D4077" s="20">
        <v>0</v>
      </c>
      <c r="E4077" s="2" t="s">
        <v>838</v>
      </c>
      <c r="F4077" s="2" t="s">
        <v>787</v>
      </c>
      <c r="G4077" s="2" t="s">
        <v>1098</v>
      </c>
      <c r="H4077" s="2" t="s">
        <v>1098</v>
      </c>
      <c r="J4077" s="26"/>
      <c r="K4077" s="36">
        <v>9.4299999999999995E-6</v>
      </c>
      <c r="L4077" s="23">
        <v>9.4E-7</v>
      </c>
    </row>
    <row r="4078" spans="1:12" ht="15.35" hidden="1" x14ac:dyDescent="0.55000000000000004">
      <c r="A4078" s="20">
        <v>15522</v>
      </c>
      <c r="B4078" s="2" t="s">
        <v>188</v>
      </c>
      <c r="C4078" s="2" t="s">
        <v>189</v>
      </c>
      <c r="D4078" s="20">
        <v>0</v>
      </c>
      <c r="E4078" s="2" t="s">
        <v>838</v>
      </c>
      <c r="F4078" s="2" t="s">
        <v>793</v>
      </c>
      <c r="G4078" s="2" t="s">
        <v>3738</v>
      </c>
      <c r="H4078" s="2" t="s">
        <v>1301</v>
      </c>
      <c r="J4078" s="26"/>
      <c r="K4078" s="36">
        <v>4.9999999999999998E-8</v>
      </c>
      <c r="L4078" s="23">
        <v>0</v>
      </c>
    </row>
    <row r="4079" spans="1:12" ht="15.35" hidden="1" x14ac:dyDescent="0.55000000000000004">
      <c r="A4079" s="20">
        <v>15521</v>
      </c>
      <c r="B4079" s="2" t="s">
        <v>188</v>
      </c>
      <c r="C4079" s="2" t="s">
        <v>189</v>
      </c>
      <c r="D4079" s="20">
        <v>0</v>
      </c>
      <c r="E4079" s="2" t="s">
        <v>838</v>
      </c>
      <c r="F4079" s="2" t="s">
        <v>793</v>
      </c>
      <c r="G4079" s="2" t="s">
        <v>3739</v>
      </c>
      <c r="H4079" s="2" t="s">
        <v>1301</v>
      </c>
      <c r="J4079" s="26"/>
      <c r="K4079" s="36">
        <v>4.9999999999999998E-8</v>
      </c>
      <c r="L4079" s="23">
        <v>0</v>
      </c>
    </row>
    <row r="4080" spans="1:12" ht="15.35" hidden="1" x14ac:dyDescent="0.55000000000000004">
      <c r="A4080" s="20">
        <v>15529</v>
      </c>
      <c r="B4080" s="2" t="s">
        <v>188</v>
      </c>
      <c r="C4080" s="2" t="s">
        <v>189</v>
      </c>
      <c r="D4080" s="20">
        <v>0</v>
      </c>
      <c r="E4080" s="2" t="s">
        <v>838</v>
      </c>
      <c r="F4080" s="2" t="s">
        <v>793</v>
      </c>
      <c r="G4080" s="2" t="s">
        <v>2991</v>
      </c>
      <c r="H4080" s="2" t="s">
        <v>1301</v>
      </c>
      <c r="J4080" s="26"/>
      <c r="K4080" s="36">
        <v>4.0000000000000001E-8</v>
      </c>
      <c r="L4080" s="23">
        <v>0</v>
      </c>
    </row>
    <row r="4081" spans="1:12" ht="15.35" hidden="1" x14ac:dyDescent="0.55000000000000004">
      <c r="A4081" s="20">
        <v>15525</v>
      </c>
      <c r="B4081" s="2" t="s">
        <v>188</v>
      </c>
      <c r="C4081" s="2" t="s">
        <v>189</v>
      </c>
      <c r="D4081" s="20">
        <v>0</v>
      </c>
      <c r="E4081" s="2" t="s">
        <v>838</v>
      </c>
      <c r="F4081" s="2" t="s">
        <v>793</v>
      </c>
      <c r="G4081" s="2" t="s">
        <v>3742</v>
      </c>
      <c r="H4081" s="2" t="s">
        <v>1301</v>
      </c>
      <c r="J4081" s="26"/>
      <c r="K4081" s="36">
        <v>2E-8</v>
      </c>
      <c r="L4081" s="23">
        <v>0</v>
      </c>
    </row>
    <row r="4082" spans="1:12" ht="15.35" hidden="1" x14ac:dyDescent="0.55000000000000004">
      <c r="A4082" s="20">
        <v>15539</v>
      </c>
      <c r="B4082" s="2" t="s">
        <v>188</v>
      </c>
      <c r="C4082" s="2" t="s">
        <v>189</v>
      </c>
      <c r="D4082" s="20">
        <v>0</v>
      </c>
      <c r="E4082" s="2" t="s">
        <v>838</v>
      </c>
      <c r="F4082" s="2" t="s">
        <v>793</v>
      </c>
      <c r="G4082" s="2" t="s">
        <v>4079</v>
      </c>
      <c r="H4082" s="2" t="s">
        <v>821</v>
      </c>
      <c r="J4082" s="26"/>
      <c r="K4082" s="36">
        <v>9.2E-6</v>
      </c>
      <c r="L4082" s="23">
        <v>9.1999999999999998E-7</v>
      </c>
    </row>
    <row r="4083" spans="1:12" ht="15.35" hidden="1" x14ac:dyDescent="0.55000000000000004">
      <c r="A4083" s="20">
        <v>15475</v>
      </c>
      <c r="B4083" s="2" t="s">
        <v>188</v>
      </c>
      <c r="C4083" s="2" t="s">
        <v>189</v>
      </c>
      <c r="D4083" s="20">
        <v>0</v>
      </c>
      <c r="E4083" s="2" t="s">
        <v>838</v>
      </c>
      <c r="F4083" s="2" t="s">
        <v>848</v>
      </c>
      <c r="G4083" s="2" t="s">
        <v>1116</v>
      </c>
      <c r="H4083" s="2" t="s">
        <v>1116</v>
      </c>
      <c r="J4083" s="26"/>
      <c r="K4083" s="36">
        <v>9.4E-7</v>
      </c>
      <c r="L4083" s="23">
        <v>8.9999999999999999E-8</v>
      </c>
    </row>
    <row r="4084" spans="1:12" ht="15.35" hidden="1" x14ac:dyDescent="0.55000000000000004">
      <c r="A4084" s="20">
        <v>15453</v>
      </c>
      <c r="B4084" s="2" t="s">
        <v>188</v>
      </c>
      <c r="C4084" s="2" t="s">
        <v>189</v>
      </c>
      <c r="D4084" s="20">
        <v>0</v>
      </c>
      <c r="E4084" s="2" t="s">
        <v>838</v>
      </c>
      <c r="F4084" s="2" t="s">
        <v>817</v>
      </c>
      <c r="G4084" s="2" t="s">
        <v>4080</v>
      </c>
      <c r="H4084" s="2" t="s">
        <v>862</v>
      </c>
      <c r="J4084" s="26"/>
      <c r="K4084" s="36">
        <v>9.4299999999999995E-6</v>
      </c>
      <c r="L4084" s="23">
        <v>9.4E-7</v>
      </c>
    </row>
    <row r="4085" spans="1:12" ht="15.35" hidden="1" x14ac:dyDescent="0.55000000000000004">
      <c r="A4085" s="20">
        <v>15468</v>
      </c>
      <c r="B4085" s="2" t="s">
        <v>188</v>
      </c>
      <c r="C4085" s="2" t="s">
        <v>189</v>
      </c>
      <c r="D4085" s="20">
        <v>0</v>
      </c>
      <c r="E4085" s="2" t="s">
        <v>838</v>
      </c>
      <c r="F4085" s="2" t="s">
        <v>817</v>
      </c>
      <c r="G4085" s="2" t="s">
        <v>4081</v>
      </c>
      <c r="H4085" s="2" t="s">
        <v>862</v>
      </c>
      <c r="J4085" s="26"/>
      <c r="K4085" s="36">
        <v>1.1200000000000001E-6</v>
      </c>
      <c r="L4085" s="23">
        <v>1.1000000000000001E-7</v>
      </c>
    </row>
    <row r="4086" spans="1:12" ht="15.35" hidden="1" x14ac:dyDescent="0.55000000000000004">
      <c r="A4086" s="20">
        <v>15452</v>
      </c>
      <c r="B4086" s="2" t="s">
        <v>188</v>
      </c>
      <c r="C4086" s="2" t="s">
        <v>189</v>
      </c>
      <c r="D4086" s="20">
        <v>0</v>
      </c>
      <c r="E4086" s="2" t="s">
        <v>838</v>
      </c>
      <c r="F4086" s="2" t="s">
        <v>787</v>
      </c>
      <c r="G4086" s="2" t="s">
        <v>952</v>
      </c>
      <c r="H4086" s="2" t="s">
        <v>952</v>
      </c>
      <c r="J4086" s="26"/>
      <c r="K4086" s="36">
        <v>9.4299999999999995E-6</v>
      </c>
      <c r="L4086" s="23">
        <v>9.4E-7</v>
      </c>
    </row>
    <row r="4087" spans="1:12" ht="15.35" hidden="1" x14ac:dyDescent="0.55000000000000004">
      <c r="A4087" s="20">
        <v>15523</v>
      </c>
      <c r="B4087" s="2" t="s">
        <v>188</v>
      </c>
      <c r="C4087" s="2" t="s">
        <v>189</v>
      </c>
      <c r="D4087" s="20">
        <v>0</v>
      </c>
      <c r="E4087" s="2" t="s">
        <v>838</v>
      </c>
      <c r="F4087" s="2" t="s">
        <v>811</v>
      </c>
      <c r="G4087" s="2" t="s">
        <v>4082</v>
      </c>
      <c r="H4087" s="2" t="s">
        <v>4083</v>
      </c>
      <c r="J4087" s="26"/>
      <c r="K4087" s="36">
        <v>4.9999999999999998E-8</v>
      </c>
      <c r="L4087" s="23">
        <v>0</v>
      </c>
    </row>
    <row r="4088" spans="1:12" ht="15.35" hidden="1" x14ac:dyDescent="0.55000000000000004">
      <c r="A4088" s="20">
        <v>15484</v>
      </c>
      <c r="B4088" s="2" t="s">
        <v>188</v>
      </c>
      <c r="C4088" s="2" t="s">
        <v>189</v>
      </c>
      <c r="D4088" s="20">
        <v>0</v>
      </c>
      <c r="E4088" s="2" t="s">
        <v>838</v>
      </c>
      <c r="F4088" s="2" t="s">
        <v>811</v>
      </c>
      <c r="G4088" s="2" t="s">
        <v>4084</v>
      </c>
      <c r="H4088" s="2" t="s">
        <v>4085</v>
      </c>
      <c r="J4088" s="26"/>
      <c r="K4088" s="36">
        <v>3.7E-7</v>
      </c>
      <c r="L4088" s="23">
        <v>4.0000000000000001E-8</v>
      </c>
    </row>
    <row r="4089" spans="1:12" ht="15.35" hidden="1" x14ac:dyDescent="0.55000000000000004">
      <c r="A4089" s="20">
        <v>15457</v>
      </c>
      <c r="B4089" s="2" t="s">
        <v>188</v>
      </c>
      <c r="C4089" s="2" t="s">
        <v>189</v>
      </c>
      <c r="D4089" s="20">
        <v>0</v>
      </c>
      <c r="E4089" s="2" t="s">
        <v>838</v>
      </c>
      <c r="F4089" s="2" t="s">
        <v>848</v>
      </c>
      <c r="G4089" s="2" t="s">
        <v>1698</v>
      </c>
      <c r="H4089" s="2" t="s">
        <v>1698</v>
      </c>
      <c r="J4089" s="26"/>
      <c r="K4089" s="36">
        <v>4.2400000000000001E-6</v>
      </c>
      <c r="L4089" s="23">
        <v>4.2E-7</v>
      </c>
    </row>
    <row r="4090" spans="1:12" ht="15.35" hidden="1" x14ac:dyDescent="0.55000000000000004">
      <c r="A4090" s="20">
        <v>15520</v>
      </c>
      <c r="B4090" s="2" t="s">
        <v>188</v>
      </c>
      <c r="C4090" s="2" t="s">
        <v>189</v>
      </c>
      <c r="D4090" s="20">
        <v>0</v>
      </c>
      <c r="E4090" s="2" t="s">
        <v>838</v>
      </c>
      <c r="F4090" s="2" t="s">
        <v>793</v>
      </c>
      <c r="G4090" s="2" t="s">
        <v>4086</v>
      </c>
      <c r="H4090" s="2" t="s">
        <v>1153</v>
      </c>
      <c r="J4090" s="26"/>
      <c r="K4090" s="36">
        <v>5.9999999999999995E-8</v>
      </c>
      <c r="L4090" s="23">
        <v>1E-8</v>
      </c>
    </row>
    <row r="4091" spans="1:12" ht="15.35" hidden="1" x14ac:dyDescent="0.55000000000000004">
      <c r="A4091" s="20">
        <v>15461</v>
      </c>
      <c r="B4091" s="2" t="s">
        <v>188</v>
      </c>
      <c r="C4091" s="2" t="s">
        <v>189</v>
      </c>
      <c r="D4091" s="20">
        <v>0</v>
      </c>
      <c r="E4091" s="2" t="s">
        <v>838</v>
      </c>
      <c r="F4091" s="2" t="s">
        <v>848</v>
      </c>
      <c r="G4091" s="2" t="s">
        <v>1153</v>
      </c>
      <c r="H4091" s="2" t="s">
        <v>1153</v>
      </c>
      <c r="J4091" s="26"/>
      <c r="K4091" s="36">
        <v>2.1299999999999999E-6</v>
      </c>
      <c r="L4091" s="23">
        <v>2.1E-7</v>
      </c>
    </row>
    <row r="4092" spans="1:12" ht="15.35" hidden="1" x14ac:dyDescent="0.55000000000000004">
      <c r="A4092" s="20">
        <v>15463</v>
      </c>
      <c r="B4092" s="2" t="s">
        <v>188</v>
      </c>
      <c r="C4092" s="2" t="s">
        <v>189</v>
      </c>
      <c r="D4092" s="20">
        <v>0</v>
      </c>
      <c r="E4092" s="2" t="s">
        <v>838</v>
      </c>
      <c r="F4092" s="2" t="s">
        <v>787</v>
      </c>
      <c r="G4092" s="2" t="s">
        <v>1739</v>
      </c>
      <c r="H4092" s="2" t="s">
        <v>1739</v>
      </c>
      <c r="J4092" s="26"/>
      <c r="K4092" s="36">
        <v>1.7999999999999999E-6</v>
      </c>
      <c r="L4092" s="23">
        <v>1.8E-7</v>
      </c>
    </row>
    <row r="4093" spans="1:12" ht="15.35" hidden="1" x14ac:dyDescent="0.55000000000000004">
      <c r="A4093" s="20">
        <v>15515</v>
      </c>
      <c r="B4093" s="2" t="s">
        <v>188</v>
      </c>
      <c r="C4093" s="2" t="s">
        <v>189</v>
      </c>
      <c r="D4093" s="20">
        <v>0</v>
      </c>
      <c r="E4093" s="2" t="s">
        <v>838</v>
      </c>
      <c r="F4093" s="2" t="s">
        <v>793</v>
      </c>
      <c r="G4093" s="2" t="s">
        <v>3389</v>
      </c>
      <c r="H4093" s="2" t="s">
        <v>1166</v>
      </c>
      <c r="J4093" s="26"/>
      <c r="K4093" s="36">
        <v>9.9999999999999995E-8</v>
      </c>
      <c r="L4093" s="23">
        <v>1E-8</v>
      </c>
    </row>
    <row r="4094" spans="1:12" ht="15.35" hidden="1" x14ac:dyDescent="0.55000000000000004">
      <c r="A4094" s="20">
        <v>15491</v>
      </c>
      <c r="B4094" s="2" t="s">
        <v>188</v>
      </c>
      <c r="C4094" s="2" t="s">
        <v>189</v>
      </c>
      <c r="D4094" s="20">
        <v>0</v>
      </c>
      <c r="E4094" s="2" t="s">
        <v>838</v>
      </c>
      <c r="F4094" s="2" t="s">
        <v>793</v>
      </c>
      <c r="G4094" s="2" t="s">
        <v>3983</v>
      </c>
      <c r="H4094" s="2" t="s">
        <v>1166</v>
      </c>
      <c r="J4094" s="26"/>
      <c r="K4094" s="36">
        <v>2.1E-7</v>
      </c>
      <c r="L4094" s="23">
        <v>2E-8</v>
      </c>
    </row>
    <row r="4095" spans="1:12" ht="15.35" hidden="1" x14ac:dyDescent="0.55000000000000004">
      <c r="A4095" s="20">
        <v>15501</v>
      </c>
      <c r="B4095" s="2" t="s">
        <v>188</v>
      </c>
      <c r="C4095" s="2" t="s">
        <v>189</v>
      </c>
      <c r="D4095" s="20">
        <v>0</v>
      </c>
      <c r="E4095" s="2" t="s">
        <v>838</v>
      </c>
      <c r="F4095" s="2" t="s">
        <v>793</v>
      </c>
      <c r="G4095" s="2" t="s">
        <v>4087</v>
      </c>
      <c r="H4095" s="2" t="s">
        <v>1166</v>
      </c>
      <c r="J4095" s="26"/>
      <c r="K4095" s="36">
        <v>9.9999999999999995E-8</v>
      </c>
      <c r="L4095" s="23">
        <v>1E-8</v>
      </c>
    </row>
    <row r="4096" spans="1:12" ht="15.35" hidden="1" x14ac:dyDescent="0.55000000000000004">
      <c r="A4096" s="20">
        <v>15490</v>
      </c>
      <c r="B4096" s="2" t="s">
        <v>188</v>
      </c>
      <c r="C4096" s="2" t="s">
        <v>189</v>
      </c>
      <c r="D4096" s="20">
        <v>0</v>
      </c>
      <c r="E4096" s="2" t="s">
        <v>838</v>
      </c>
      <c r="F4096" s="2" t="s">
        <v>793</v>
      </c>
      <c r="G4096" s="2" t="s">
        <v>4088</v>
      </c>
      <c r="H4096" s="2" t="s">
        <v>1166</v>
      </c>
      <c r="J4096" s="26"/>
      <c r="K4096" s="36">
        <v>2.1E-7</v>
      </c>
      <c r="L4096" s="23">
        <v>2E-8</v>
      </c>
    </row>
    <row r="4097" spans="1:12" ht="15.35" hidden="1" x14ac:dyDescent="0.55000000000000004">
      <c r="A4097" s="20">
        <v>15536</v>
      </c>
      <c r="B4097" s="2" t="s">
        <v>188</v>
      </c>
      <c r="C4097" s="2" t="s">
        <v>189</v>
      </c>
      <c r="D4097" s="20">
        <v>0</v>
      </c>
      <c r="E4097" s="2" t="s">
        <v>838</v>
      </c>
      <c r="F4097" s="2" t="s">
        <v>793</v>
      </c>
      <c r="G4097" s="2" t="s">
        <v>4089</v>
      </c>
      <c r="H4097" s="2" t="s">
        <v>2513</v>
      </c>
      <c r="J4097" s="26"/>
      <c r="K4097" s="36">
        <v>9.4299999999999995E-6</v>
      </c>
      <c r="L4097" s="23">
        <v>9.4E-7</v>
      </c>
    </row>
    <row r="4098" spans="1:12" ht="15.35" hidden="1" x14ac:dyDescent="0.55000000000000004">
      <c r="A4098" s="20">
        <v>15544</v>
      </c>
      <c r="B4098" s="2" t="s">
        <v>188</v>
      </c>
      <c r="C4098" s="2" t="s">
        <v>189</v>
      </c>
      <c r="D4098" s="20">
        <v>0</v>
      </c>
      <c r="E4098" s="2" t="s">
        <v>838</v>
      </c>
      <c r="F4098" s="2" t="s">
        <v>793</v>
      </c>
      <c r="G4098" s="2" t="s">
        <v>4090</v>
      </c>
      <c r="H4098" s="2" t="s">
        <v>2513</v>
      </c>
      <c r="J4098" s="26"/>
      <c r="K4098" s="36">
        <v>6.9399999999999996E-6</v>
      </c>
      <c r="L4098" s="23">
        <v>6.8999999999999996E-7</v>
      </c>
    </row>
    <row r="4099" spans="1:12" ht="15.35" hidden="1" x14ac:dyDescent="0.55000000000000004">
      <c r="A4099" s="20">
        <v>15559</v>
      </c>
      <c r="B4099" s="2" t="s">
        <v>188</v>
      </c>
      <c r="C4099" s="2" t="s">
        <v>189</v>
      </c>
      <c r="D4099" s="20">
        <v>0</v>
      </c>
      <c r="E4099" s="2" t="s">
        <v>838</v>
      </c>
      <c r="F4099" s="2" t="s">
        <v>793</v>
      </c>
      <c r="G4099" s="2" t="s">
        <v>4091</v>
      </c>
      <c r="H4099" s="2" t="s">
        <v>2513</v>
      </c>
      <c r="J4099" s="26"/>
      <c r="K4099" s="36">
        <v>1.9999999999999999E-7</v>
      </c>
      <c r="L4099" s="23">
        <v>2E-8</v>
      </c>
    </row>
    <row r="4100" spans="1:12" ht="15.35" hidden="1" x14ac:dyDescent="0.55000000000000004">
      <c r="A4100" s="20">
        <v>15550</v>
      </c>
      <c r="B4100" s="2" t="s">
        <v>188</v>
      </c>
      <c r="C4100" s="2" t="s">
        <v>189</v>
      </c>
      <c r="D4100" s="20">
        <v>0</v>
      </c>
      <c r="E4100" s="2" t="s">
        <v>838</v>
      </c>
      <c r="F4100" s="2" t="s">
        <v>793</v>
      </c>
      <c r="G4100" s="2" t="s">
        <v>4092</v>
      </c>
      <c r="H4100" s="2" t="s">
        <v>2513</v>
      </c>
      <c r="J4100" s="26"/>
      <c r="K4100" s="36">
        <v>1.9999999999999999E-7</v>
      </c>
      <c r="L4100" s="23">
        <v>2E-8</v>
      </c>
    </row>
    <row r="4101" spans="1:12" ht="15.35" hidden="1" x14ac:dyDescent="0.55000000000000004">
      <c r="A4101" s="20">
        <v>15552</v>
      </c>
      <c r="B4101" s="2" t="s">
        <v>188</v>
      </c>
      <c r="C4101" s="2" t="s">
        <v>189</v>
      </c>
      <c r="D4101" s="20">
        <v>0</v>
      </c>
      <c r="E4101" s="2" t="s">
        <v>838</v>
      </c>
      <c r="F4101" s="2" t="s">
        <v>793</v>
      </c>
      <c r="G4101" s="2" t="s">
        <v>4093</v>
      </c>
      <c r="H4101" s="2" t="s">
        <v>2513</v>
      </c>
      <c r="J4101" s="26"/>
      <c r="K4101" s="36">
        <v>1.9999999999999999E-7</v>
      </c>
      <c r="L4101" s="23">
        <v>2E-8</v>
      </c>
    </row>
    <row r="4102" spans="1:12" ht="15.35" hidden="1" x14ac:dyDescent="0.55000000000000004">
      <c r="A4102" s="20">
        <v>15564</v>
      </c>
      <c r="B4102" s="2" t="s">
        <v>188</v>
      </c>
      <c r="C4102" s="2" t="s">
        <v>189</v>
      </c>
      <c r="D4102" s="20">
        <v>0</v>
      </c>
      <c r="E4102" s="2" t="s">
        <v>838</v>
      </c>
      <c r="F4102" s="2" t="s">
        <v>793</v>
      </c>
      <c r="G4102" s="2" t="s">
        <v>4094</v>
      </c>
      <c r="H4102" s="2" t="s">
        <v>2513</v>
      </c>
      <c r="J4102" s="26"/>
      <c r="K4102" s="36">
        <v>1.9999999999999999E-7</v>
      </c>
      <c r="L4102" s="23">
        <v>2E-8</v>
      </c>
    </row>
    <row r="4103" spans="1:12" ht="15.35" hidden="1" x14ac:dyDescent="0.55000000000000004">
      <c r="A4103" s="20">
        <v>15554</v>
      </c>
      <c r="B4103" s="2" t="s">
        <v>188</v>
      </c>
      <c r="C4103" s="2" t="s">
        <v>189</v>
      </c>
      <c r="D4103" s="20">
        <v>0</v>
      </c>
      <c r="E4103" s="2" t="s">
        <v>838</v>
      </c>
      <c r="F4103" s="2" t="s">
        <v>793</v>
      </c>
      <c r="G4103" s="2" t="s">
        <v>4095</v>
      </c>
      <c r="H4103" s="2" t="s">
        <v>2513</v>
      </c>
      <c r="J4103" s="26"/>
      <c r="K4103" s="36">
        <v>1.9999999999999999E-7</v>
      </c>
      <c r="L4103" s="23">
        <v>2E-8</v>
      </c>
    </row>
    <row r="4104" spans="1:12" ht="15.35" hidden="1" x14ac:dyDescent="0.55000000000000004">
      <c r="A4104" s="20">
        <v>15560</v>
      </c>
      <c r="B4104" s="2" t="s">
        <v>188</v>
      </c>
      <c r="C4104" s="2" t="s">
        <v>189</v>
      </c>
      <c r="D4104" s="20">
        <v>0</v>
      </c>
      <c r="E4104" s="2" t="s">
        <v>838</v>
      </c>
      <c r="F4104" s="2" t="s">
        <v>793</v>
      </c>
      <c r="G4104" s="2" t="s">
        <v>4096</v>
      </c>
      <c r="H4104" s="2" t="s">
        <v>2513</v>
      </c>
      <c r="J4104" s="26"/>
      <c r="K4104" s="36">
        <v>1.9999999999999999E-7</v>
      </c>
      <c r="L4104" s="23">
        <v>2E-8</v>
      </c>
    </row>
    <row r="4105" spans="1:12" ht="15.35" hidden="1" x14ac:dyDescent="0.55000000000000004">
      <c r="A4105" s="20">
        <v>15556</v>
      </c>
      <c r="B4105" s="2" t="s">
        <v>188</v>
      </c>
      <c r="C4105" s="2" t="s">
        <v>189</v>
      </c>
      <c r="D4105" s="20">
        <v>0</v>
      </c>
      <c r="E4105" s="2" t="s">
        <v>838</v>
      </c>
      <c r="F4105" s="2" t="s">
        <v>793</v>
      </c>
      <c r="G4105" s="2" t="s">
        <v>4097</v>
      </c>
      <c r="H4105" s="2" t="s">
        <v>2513</v>
      </c>
      <c r="J4105" s="26"/>
      <c r="K4105" s="36">
        <v>1.9999999999999999E-7</v>
      </c>
      <c r="L4105" s="23">
        <v>2E-8</v>
      </c>
    </row>
    <row r="4106" spans="1:12" ht="15.35" hidden="1" x14ac:dyDescent="0.55000000000000004">
      <c r="A4106" s="20">
        <v>15561</v>
      </c>
      <c r="B4106" s="2" t="s">
        <v>188</v>
      </c>
      <c r="C4106" s="2" t="s">
        <v>189</v>
      </c>
      <c r="D4106" s="20">
        <v>0</v>
      </c>
      <c r="E4106" s="2" t="s">
        <v>838</v>
      </c>
      <c r="F4106" s="2" t="s">
        <v>793</v>
      </c>
      <c r="G4106" s="2" t="s">
        <v>4098</v>
      </c>
      <c r="H4106" s="2" t="s">
        <v>2513</v>
      </c>
      <c r="J4106" s="26"/>
      <c r="K4106" s="36">
        <v>1.9999999999999999E-7</v>
      </c>
      <c r="L4106" s="23">
        <v>2E-8</v>
      </c>
    </row>
    <row r="4107" spans="1:12" ht="15.35" hidden="1" x14ac:dyDescent="0.55000000000000004">
      <c r="A4107" s="20">
        <v>15551</v>
      </c>
      <c r="B4107" s="2" t="s">
        <v>188</v>
      </c>
      <c r="C4107" s="2" t="s">
        <v>189</v>
      </c>
      <c r="D4107" s="20">
        <v>0</v>
      </c>
      <c r="E4107" s="2" t="s">
        <v>838</v>
      </c>
      <c r="F4107" s="2" t="s">
        <v>793</v>
      </c>
      <c r="G4107" s="2" t="s">
        <v>4099</v>
      </c>
      <c r="H4107" s="2" t="s">
        <v>2513</v>
      </c>
      <c r="J4107" s="26"/>
      <c r="K4107" s="36">
        <v>1.9999999999999999E-7</v>
      </c>
      <c r="L4107" s="23">
        <v>2E-8</v>
      </c>
    </row>
    <row r="4108" spans="1:12" ht="15.35" hidden="1" x14ac:dyDescent="0.55000000000000004">
      <c r="A4108" s="20">
        <v>15553</v>
      </c>
      <c r="B4108" s="2" t="s">
        <v>188</v>
      </c>
      <c r="C4108" s="2" t="s">
        <v>189</v>
      </c>
      <c r="D4108" s="20">
        <v>0</v>
      </c>
      <c r="E4108" s="2" t="s">
        <v>838</v>
      </c>
      <c r="F4108" s="2" t="s">
        <v>793</v>
      </c>
      <c r="G4108" s="2" t="s">
        <v>4100</v>
      </c>
      <c r="H4108" s="2" t="s">
        <v>2513</v>
      </c>
      <c r="J4108" s="26"/>
      <c r="K4108" s="36">
        <v>1.9999999999999999E-7</v>
      </c>
      <c r="L4108" s="23">
        <v>2E-8</v>
      </c>
    </row>
    <row r="4109" spans="1:12" ht="15.35" hidden="1" x14ac:dyDescent="0.55000000000000004">
      <c r="A4109" s="20">
        <v>15558</v>
      </c>
      <c r="B4109" s="2" t="s">
        <v>188</v>
      </c>
      <c r="C4109" s="2" t="s">
        <v>189</v>
      </c>
      <c r="D4109" s="20">
        <v>0</v>
      </c>
      <c r="E4109" s="2" t="s">
        <v>838</v>
      </c>
      <c r="F4109" s="2" t="s">
        <v>793</v>
      </c>
      <c r="G4109" s="2" t="s">
        <v>4101</v>
      </c>
      <c r="H4109" s="2" t="s">
        <v>2513</v>
      </c>
      <c r="J4109" s="26"/>
      <c r="K4109" s="36">
        <v>1.9999999999999999E-7</v>
      </c>
      <c r="L4109" s="23">
        <v>2E-8</v>
      </c>
    </row>
    <row r="4110" spans="1:12" ht="15.35" hidden="1" x14ac:dyDescent="0.55000000000000004">
      <c r="A4110" s="20">
        <v>15557</v>
      </c>
      <c r="B4110" s="2" t="s">
        <v>188</v>
      </c>
      <c r="C4110" s="2" t="s">
        <v>189</v>
      </c>
      <c r="D4110" s="20">
        <v>0</v>
      </c>
      <c r="E4110" s="2" t="s">
        <v>838</v>
      </c>
      <c r="F4110" s="2" t="s">
        <v>793</v>
      </c>
      <c r="G4110" s="2" t="s">
        <v>4102</v>
      </c>
      <c r="H4110" s="2" t="s">
        <v>2513</v>
      </c>
      <c r="J4110" s="26"/>
      <c r="K4110" s="36">
        <v>1.9999999999999999E-7</v>
      </c>
      <c r="L4110" s="23">
        <v>2E-8</v>
      </c>
    </row>
    <row r="4111" spans="1:12" ht="15.35" hidden="1" x14ac:dyDescent="0.55000000000000004">
      <c r="A4111" s="20">
        <v>15562</v>
      </c>
      <c r="B4111" s="2" t="s">
        <v>188</v>
      </c>
      <c r="C4111" s="2" t="s">
        <v>189</v>
      </c>
      <c r="D4111" s="20">
        <v>0</v>
      </c>
      <c r="E4111" s="2" t="s">
        <v>838</v>
      </c>
      <c r="F4111" s="2" t="s">
        <v>793</v>
      </c>
      <c r="G4111" s="2" t="s">
        <v>4103</v>
      </c>
      <c r="H4111" s="2" t="s">
        <v>2513</v>
      </c>
      <c r="J4111" s="26"/>
      <c r="K4111" s="36">
        <v>1.9999999999999999E-7</v>
      </c>
      <c r="L4111" s="23">
        <v>2E-8</v>
      </c>
    </row>
    <row r="4112" spans="1:12" ht="15.35" hidden="1" x14ac:dyDescent="0.55000000000000004">
      <c r="A4112" s="20">
        <v>15555</v>
      </c>
      <c r="B4112" s="2" t="s">
        <v>188</v>
      </c>
      <c r="C4112" s="2" t="s">
        <v>189</v>
      </c>
      <c r="D4112" s="20">
        <v>0</v>
      </c>
      <c r="E4112" s="2" t="s">
        <v>838</v>
      </c>
      <c r="F4112" s="2" t="s">
        <v>793</v>
      </c>
      <c r="G4112" s="2" t="s">
        <v>4104</v>
      </c>
      <c r="H4112" s="2" t="s">
        <v>2513</v>
      </c>
      <c r="J4112" s="26"/>
      <c r="K4112" s="36">
        <v>1.9999999999999999E-7</v>
      </c>
      <c r="L4112" s="23">
        <v>2E-8</v>
      </c>
    </row>
    <row r="4113" spans="1:12" ht="15.35" hidden="1" x14ac:dyDescent="0.55000000000000004">
      <c r="A4113" s="20">
        <v>15563</v>
      </c>
      <c r="B4113" s="2" t="s">
        <v>188</v>
      </c>
      <c r="C4113" s="2" t="s">
        <v>189</v>
      </c>
      <c r="D4113" s="20">
        <v>0</v>
      </c>
      <c r="E4113" s="2" t="s">
        <v>838</v>
      </c>
      <c r="F4113" s="2" t="s">
        <v>793</v>
      </c>
      <c r="G4113" s="2" t="s">
        <v>4105</v>
      </c>
      <c r="H4113" s="2" t="s">
        <v>2513</v>
      </c>
      <c r="J4113" s="26"/>
      <c r="K4113" s="36">
        <v>1.9999999999999999E-7</v>
      </c>
      <c r="L4113" s="23">
        <v>2E-8</v>
      </c>
    </row>
    <row r="4114" spans="1:12" ht="15.35" hidden="1" x14ac:dyDescent="0.55000000000000004">
      <c r="A4114" s="20">
        <v>15493</v>
      </c>
      <c r="B4114" s="2" t="s">
        <v>188</v>
      </c>
      <c r="C4114" s="2" t="s">
        <v>189</v>
      </c>
      <c r="D4114" s="20">
        <v>0</v>
      </c>
      <c r="E4114" s="2" t="s">
        <v>838</v>
      </c>
      <c r="F4114" s="2" t="s">
        <v>793</v>
      </c>
      <c r="G4114" s="2" t="s">
        <v>4106</v>
      </c>
      <c r="H4114" s="2" t="s">
        <v>4107</v>
      </c>
      <c r="J4114" s="26"/>
      <c r="K4114" s="36">
        <v>1.9000000000000001E-7</v>
      </c>
      <c r="L4114" s="23">
        <v>2E-8</v>
      </c>
    </row>
    <row r="4115" spans="1:12" ht="15.35" hidden="1" x14ac:dyDescent="0.55000000000000004">
      <c r="A4115" s="20">
        <v>15492</v>
      </c>
      <c r="B4115" s="2" t="s">
        <v>188</v>
      </c>
      <c r="C4115" s="2" t="s">
        <v>189</v>
      </c>
      <c r="D4115" s="20">
        <v>0</v>
      </c>
      <c r="E4115" s="2" t="s">
        <v>838</v>
      </c>
      <c r="F4115" s="2" t="s">
        <v>793</v>
      </c>
      <c r="G4115" s="2" t="s">
        <v>4108</v>
      </c>
      <c r="H4115" s="2" t="s">
        <v>4107</v>
      </c>
      <c r="J4115" s="26"/>
      <c r="K4115" s="36">
        <v>2.1E-7</v>
      </c>
      <c r="L4115" s="23">
        <v>2E-8</v>
      </c>
    </row>
    <row r="4116" spans="1:12" ht="15.35" hidden="1" x14ac:dyDescent="0.55000000000000004">
      <c r="A4116" s="20">
        <v>15513</v>
      </c>
      <c r="B4116" s="2" t="s">
        <v>188</v>
      </c>
      <c r="C4116" s="2" t="s">
        <v>189</v>
      </c>
      <c r="D4116" s="20">
        <v>0</v>
      </c>
      <c r="E4116" s="2" t="s">
        <v>838</v>
      </c>
      <c r="F4116" s="2" t="s">
        <v>793</v>
      </c>
      <c r="G4116" s="2" t="s">
        <v>4109</v>
      </c>
      <c r="H4116" s="2" t="s">
        <v>4107</v>
      </c>
      <c r="J4116" s="26"/>
      <c r="K4116" s="36">
        <v>9.9999999999999995E-8</v>
      </c>
      <c r="L4116" s="23">
        <v>1E-8</v>
      </c>
    </row>
    <row r="4117" spans="1:12" ht="15.35" hidden="1" x14ac:dyDescent="0.55000000000000004">
      <c r="A4117" s="20">
        <v>1661</v>
      </c>
      <c r="B4117" s="2" t="s">
        <v>193</v>
      </c>
      <c r="C4117" s="2" t="s">
        <v>194</v>
      </c>
      <c r="D4117" s="20">
        <v>0</v>
      </c>
      <c r="E4117" s="2" t="s">
        <v>63</v>
      </c>
      <c r="F4117" s="2" t="s">
        <v>811</v>
      </c>
      <c r="G4117" s="2" t="s">
        <v>4110</v>
      </c>
      <c r="H4117" s="2" t="s">
        <v>964</v>
      </c>
      <c r="I4117" s="2" t="s">
        <v>785</v>
      </c>
      <c r="J4117" s="25">
        <v>46556</v>
      </c>
      <c r="K4117" s="36">
        <v>1.29E-2</v>
      </c>
      <c r="L4117" s="23">
        <v>1.2899999999999999E-3</v>
      </c>
    </row>
    <row r="4118" spans="1:12" ht="15.35" hidden="1" x14ac:dyDescent="0.55000000000000004">
      <c r="A4118" s="20">
        <v>1662</v>
      </c>
      <c r="B4118" s="2" t="s">
        <v>193</v>
      </c>
      <c r="C4118" s="2" t="s">
        <v>194</v>
      </c>
      <c r="D4118" s="20">
        <v>0</v>
      </c>
      <c r="E4118" s="2" t="s">
        <v>63</v>
      </c>
      <c r="F4118" s="2" t="s">
        <v>811</v>
      </c>
      <c r="G4118" s="2" t="s">
        <v>4110</v>
      </c>
      <c r="H4118" s="2" t="s">
        <v>964</v>
      </c>
      <c r="I4118" s="2" t="s">
        <v>785</v>
      </c>
      <c r="J4118" s="25">
        <v>46922</v>
      </c>
      <c r="K4118" s="36">
        <v>2.3599999999999999E-2</v>
      </c>
      <c r="L4118" s="23">
        <v>2.3600000000000001E-3</v>
      </c>
    </row>
    <row r="4119" spans="1:12" ht="15.35" hidden="1" x14ac:dyDescent="0.55000000000000004">
      <c r="A4119" s="20">
        <v>1634</v>
      </c>
      <c r="B4119" s="2" t="s">
        <v>193</v>
      </c>
      <c r="C4119" s="2" t="s">
        <v>194</v>
      </c>
      <c r="D4119" s="20">
        <v>0</v>
      </c>
      <c r="E4119" s="2" t="s">
        <v>63</v>
      </c>
      <c r="F4119" s="2" t="s">
        <v>811</v>
      </c>
      <c r="G4119" s="2" t="s">
        <v>4111</v>
      </c>
      <c r="H4119" s="2" t="s">
        <v>964</v>
      </c>
      <c r="I4119" s="2" t="s">
        <v>785</v>
      </c>
      <c r="J4119" s="25">
        <v>46556</v>
      </c>
      <c r="K4119" s="36">
        <v>1.04E-2</v>
      </c>
      <c r="L4119" s="23">
        <v>1.0399999999999999E-3</v>
      </c>
    </row>
    <row r="4120" spans="1:12" ht="15.35" hidden="1" x14ac:dyDescent="0.55000000000000004">
      <c r="A4120" s="20">
        <v>1659</v>
      </c>
      <c r="B4120" s="2" t="s">
        <v>193</v>
      </c>
      <c r="C4120" s="2" t="s">
        <v>194</v>
      </c>
      <c r="D4120" s="20">
        <v>0</v>
      </c>
      <c r="E4120" s="2" t="s">
        <v>63</v>
      </c>
      <c r="F4120" s="2" t="s">
        <v>811</v>
      </c>
      <c r="G4120" s="2" t="s">
        <v>4111</v>
      </c>
      <c r="H4120" s="2" t="s">
        <v>964</v>
      </c>
      <c r="I4120" s="2" t="s">
        <v>785</v>
      </c>
      <c r="J4120" s="25">
        <v>46922</v>
      </c>
      <c r="K4120" s="36">
        <v>1.8800000000000001E-2</v>
      </c>
      <c r="L4120" s="23">
        <v>1.8799999999999999E-3</v>
      </c>
    </row>
    <row r="4121" spans="1:12" ht="15.35" hidden="1" x14ac:dyDescent="0.55000000000000004">
      <c r="A4121" s="20">
        <v>1657</v>
      </c>
      <c r="B4121" s="2" t="s">
        <v>193</v>
      </c>
      <c r="C4121" s="2" t="s">
        <v>194</v>
      </c>
      <c r="D4121" s="20">
        <v>0</v>
      </c>
      <c r="E4121" s="2" t="s">
        <v>63</v>
      </c>
      <c r="F4121" s="2" t="s">
        <v>811</v>
      </c>
      <c r="G4121" s="2" t="s">
        <v>4112</v>
      </c>
      <c r="H4121" s="2" t="s">
        <v>964</v>
      </c>
      <c r="I4121" s="2" t="s">
        <v>785</v>
      </c>
      <c r="J4121" s="25">
        <v>46556</v>
      </c>
      <c r="K4121" s="36">
        <v>4.9700000000000001E-2</v>
      </c>
      <c r="L4121" s="23">
        <v>4.9699999999999996E-3</v>
      </c>
    </row>
    <row r="4122" spans="1:12" ht="15.35" hidden="1" x14ac:dyDescent="0.55000000000000004">
      <c r="A4122" s="20">
        <v>1658</v>
      </c>
      <c r="B4122" s="2" t="s">
        <v>193</v>
      </c>
      <c r="C4122" s="2" t="s">
        <v>194</v>
      </c>
      <c r="D4122" s="20">
        <v>0</v>
      </c>
      <c r="E4122" s="2" t="s">
        <v>63</v>
      </c>
      <c r="F4122" s="2" t="s">
        <v>811</v>
      </c>
      <c r="G4122" s="2" t="s">
        <v>4112</v>
      </c>
      <c r="H4122" s="2" t="s">
        <v>964</v>
      </c>
      <c r="I4122" s="2" t="s">
        <v>785</v>
      </c>
      <c r="J4122" s="25">
        <v>46922</v>
      </c>
      <c r="K4122" s="36">
        <v>9.0399999999999994E-2</v>
      </c>
      <c r="L4122" s="23">
        <v>9.0399999999999994E-3</v>
      </c>
    </row>
    <row r="4123" spans="1:12" ht="15.35" hidden="1" x14ac:dyDescent="0.55000000000000004">
      <c r="A4123" s="20">
        <v>1670</v>
      </c>
      <c r="B4123" s="2" t="s">
        <v>193</v>
      </c>
      <c r="C4123" s="2" t="s">
        <v>194</v>
      </c>
      <c r="D4123" s="20">
        <v>0</v>
      </c>
      <c r="E4123" s="2" t="s">
        <v>63</v>
      </c>
      <c r="F4123" s="2" t="s">
        <v>798</v>
      </c>
      <c r="G4123" s="2" t="s">
        <v>4113</v>
      </c>
      <c r="H4123" s="2" t="s">
        <v>4114</v>
      </c>
      <c r="I4123" s="2" t="s">
        <v>785</v>
      </c>
      <c r="J4123" s="25">
        <v>46556</v>
      </c>
      <c r="K4123" s="36">
        <v>7.2959999999999997E-2</v>
      </c>
      <c r="L4123" s="23">
        <v>7.3000000000000001E-3</v>
      </c>
    </row>
    <row r="4124" spans="1:12" ht="15.35" hidden="1" x14ac:dyDescent="0.55000000000000004">
      <c r="A4124" s="20">
        <v>1669</v>
      </c>
      <c r="B4124" s="2" t="s">
        <v>193</v>
      </c>
      <c r="C4124" s="2" t="s">
        <v>194</v>
      </c>
      <c r="D4124" s="20">
        <v>0</v>
      </c>
      <c r="E4124" s="2" t="s">
        <v>63</v>
      </c>
      <c r="F4124" s="2" t="s">
        <v>798</v>
      </c>
      <c r="G4124" s="2" t="s">
        <v>4115</v>
      </c>
      <c r="H4124" s="2" t="s">
        <v>4114</v>
      </c>
      <c r="I4124" s="2" t="s">
        <v>785</v>
      </c>
      <c r="J4124" s="25">
        <v>46556</v>
      </c>
      <c r="K4124" s="36">
        <v>5.4719999999999998E-2</v>
      </c>
      <c r="L4124" s="23">
        <v>5.47E-3</v>
      </c>
    </row>
    <row r="4125" spans="1:12" ht="15.35" hidden="1" x14ac:dyDescent="0.55000000000000004">
      <c r="A4125" s="20">
        <v>1668</v>
      </c>
      <c r="B4125" s="2" t="s">
        <v>193</v>
      </c>
      <c r="C4125" s="2" t="s">
        <v>194</v>
      </c>
      <c r="D4125" s="20">
        <v>0</v>
      </c>
      <c r="E4125" s="2" t="s">
        <v>63</v>
      </c>
      <c r="F4125" s="2" t="s">
        <v>798</v>
      </c>
      <c r="G4125" s="2" t="s">
        <v>4116</v>
      </c>
      <c r="H4125" s="2" t="s">
        <v>4114</v>
      </c>
      <c r="I4125" s="2" t="s">
        <v>785</v>
      </c>
      <c r="J4125" s="25">
        <v>46556</v>
      </c>
      <c r="K4125" s="36">
        <v>5.4719999999999998E-2</v>
      </c>
      <c r="L4125" s="23">
        <v>5.47E-3</v>
      </c>
    </row>
    <row r="4126" spans="1:12" ht="15.35" hidden="1" x14ac:dyDescent="0.55000000000000004">
      <c r="A4126" s="20">
        <v>1649</v>
      </c>
      <c r="B4126" s="2" t="s">
        <v>193</v>
      </c>
      <c r="C4126" s="2" t="s">
        <v>194</v>
      </c>
      <c r="D4126" s="20">
        <v>0</v>
      </c>
      <c r="E4126" s="2" t="s">
        <v>63</v>
      </c>
      <c r="F4126" s="2" t="s">
        <v>787</v>
      </c>
      <c r="G4126" s="2" t="s">
        <v>904</v>
      </c>
      <c r="H4126" s="2" t="s">
        <v>904</v>
      </c>
      <c r="I4126" s="2" t="s">
        <v>785</v>
      </c>
      <c r="J4126" s="25">
        <v>46922</v>
      </c>
      <c r="K4126" s="36">
        <v>0.20039999999999999</v>
      </c>
      <c r="L4126" s="23">
        <v>2.0039999999999999E-2</v>
      </c>
    </row>
    <row r="4127" spans="1:12" ht="15.35" hidden="1" x14ac:dyDescent="0.55000000000000004">
      <c r="A4127" s="20">
        <v>1650</v>
      </c>
      <c r="B4127" s="2" t="s">
        <v>193</v>
      </c>
      <c r="C4127" s="2" t="s">
        <v>194</v>
      </c>
      <c r="D4127" s="20">
        <v>0</v>
      </c>
      <c r="E4127" s="2" t="s">
        <v>63</v>
      </c>
      <c r="F4127" s="2" t="s">
        <v>787</v>
      </c>
      <c r="G4127" s="2" t="s">
        <v>904</v>
      </c>
      <c r="H4127" s="2" t="s">
        <v>904</v>
      </c>
      <c r="I4127" s="2" t="s">
        <v>785</v>
      </c>
      <c r="J4127" s="25">
        <v>46556</v>
      </c>
      <c r="K4127" s="36">
        <v>0.20039999999999999</v>
      </c>
      <c r="L4127" s="23">
        <v>2.0039999999999999E-2</v>
      </c>
    </row>
    <row r="4128" spans="1:12" ht="15.35" hidden="1" x14ac:dyDescent="0.55000000000000004">
      <c r="A4128" s="20">
        <v>1651</v>
      </c>
      <c r="B4128" s="2" t="s">
        <v>193</v>
      </c>
      <c r="C4128" s="2" t="s">
        <v>194</v>
      </c>
      <c r="D4128" s="20">
        <v>0</v>
      </c>
      <c r="E4128" s="2" t="s">
        <v>63</v>
      </c>
      <c r="F4128" s="2" t="s">
        <v>793</v>
      </c>
      <c r="G4128" s="2" t="s">
        <v>4117</v>
      </c>
      <c r="H4128" s="2" t="s">
        <v>904</v>
      </c>
      <c r="I4128" s="2" t="s">
        <v>785</v>
      </c>
      <c r="J4128" s="25">
        <v>46922</v>
      </c>
      <c r="K4128" s="36">
        <v>1.8225000000000002E-2</v>
      </c>
      <c r="L4128" s="23">
        <v>1.82E-3</v>
      </c>
    </row>
    <row r="4129" spans="1:12" ht="15.35" hidden="1" x14ac:dyDescent="0.55000000000000004">
      <c r="A4129" s="20">
        <v>1654</v>
      </c>
      <c r="B4129" s="2" t="s">
        <v>193</v>
      </c>
      <c r="C4129" s="2" t="s">
        <v>194</v>
      </c>
      <c r="D4129" s="20">
        <v>0</v>
      </c>
      <c r="E4129" s="2" t="s">
        <v>63</v>
      </c>
      <c r="F4129" s="2" t="s">
        <v>793</v>
      </c>
      <c r="G4129" s="2" t="s">
        <v>4117</v>
      </c>
      <c r="H4129" s="2" t="s">
        <v>904</v>
      </c>
      <c r="I4129" s="2" t="s">
        <v>785</v>
      </c>
      <c r="J4129" s="25">
        <v>46556</v>
      </c>
      <c r="K4129" s="36">
        <v>1.8225000000000002E-2</v>
      </c>
      <c r="L4129" s="23">
        <v>1.82E-3</v>
      </c>
    </row>
    <row r="4130" spans="1:12" ht="15.35" hidden="1" x14ac:dyDescent="0.55000000000000004">
      <c r="A4130" s="20">
        <v>1624</v>
      </c>
      <c r="B4130" s="2" t="s">
        <v>193</v>
      </c>
      <c r="C4130" s="2" t="s">
        <v>194</v>
      </c>
      <c r="D4130" s="20">
        <v>0</v>
      </c>
      <c r="E4130" s="2" t="s">
        <v>63</v>
      </c>
      <c r="F4130" s="2" t="s">
        <v>793</v>
      </c>
      <c r="G4130" s="2" t="s">
        <v>4118</v>
      </c>
      <c r="H4130" s="2" t="s">
        <v>904</v>
      </c>
      <c r="I4130" s="2" t="s">
        <v>785</v>
      </c>
      <c r="J4130" s="25">
        <v>46556</v>
      </c>
      <c r="K4130" s="36">
        <v>1.8225000000000002E-2</v>
      </c>
      <c r="L4130" s="23">
        <v>1.82E-3</v>
      </c>
    </row>
    <row r="4131" spans="1:12" ht="15.35" hidden="1" x14ac:dyDescent="0.55000000000000004">
      <c r="A4131" s="20">
        <v>1625</v>
      </c>
      <c r="B4131" s="2" t="s">
        <v>193</v>
      </c>
      <c r="C4131" s="2" t="s">
        <v>194</v>
      </c>
      <c r="D4131" s="20">
        <v>0</v>
      </c>
      <c r="E4131" s="2" t="s">
        <v>63</v>
      </c>
      <c r="F4131" s="2" t="s">
        <v>793</v>
      </c>
      <c r="G4131" s="2" t="s">
        <v>4118</v>
      </c>
      <c r="H4131" s="2" t="s">
        <v>904</v>
      </c>
      <c r="I4131" s="2" t="s">
        <v>785</v>
      </c>
      <c r="J4131" s="25">
        <v>46922</v>
      </c>
      <c r="K4131" s="36">
        <v>1.8225000000000002E-2</v>
      </c>
      <c r="L4131" s="23">
        <v>1.82E-3</v>
      </c>
    </row>
    <row r="4132" spans="1:12" ht="15.35" hidden="1" x14ac:dyDescent="0.55000000000000004">
      <c r="A4132" s="20">
        <v>1653</v>
      </c>
      <c r="B4132" s="2" t="s">
        <v>193</v>
      </c>
      <c r="C4132" s="2" t="s">
        <v>194</v>
      </c>
      <c r="D4132" s="20">
        <v>0</v>
      </c>
      <c r="E4132" s="2" t="s">
        <v>63</v>
      </c>
      <c r="F4132" s="2" t="s">
        <v>787</v>
      </c>
      <c r="G4132" s="2" t="s">
        <v>788</v>
      </c>
      <c r="H4132" s="2" t="s">
        <v>788</v>
      </c>
      <c r="I4132" s="2" t="s">
        <v>785</v>
      </c>
      <c r="J4132" s="25">
        <v>46556</v>
      </c>
      <c r="K4132" s="36">
        <v>3.6450000000000003E-2</v>
      </c>
      <c r="L4132" s="23">
        <v>3.65E-3</v>
      </c>
    </row>
    <row r="4133" spans="1:12" ht="15.35" hidden="1" x14ac:dyDescent="0.55000000000000004">
      <c r="A4133" s="20">
        <v>1655</v>
      </c>
      <c r="B4133" s="2" t="s">
        <v>193</v>
      </c>
      <c r="C4133" s="2" t="s">
        <v>194</v>
      </c>
      <c r="D4133" s="20">
        <v>0</v>
      </c>
      <c r="E4133" s="2" t="s">
        <v>63</v>
      </c>
      <c r="F4133" s="2" t="s">
        <v>787</v>
      </c>
      <c r="G4133" s="2" t="s">
        <v>788</v>
      </c>
      <c r="H4133" s="2" t="s">
        <v>788</v>
      </c>
      <c r="I4133" s="2" t="s">
        <v>785</v>
      </c>
      <c r="J4133" s="25">
        <v>46922</v>
      </c>
      <c r="K4133" s="36">
        <v>3.6450000000000003E-2</v>
      </c>
      <c r="L4133" s="23">
        <v>3.65E-3</v>
      </c>
    </row>
    <row r="4134" spans="1:12" ht="15.35" hidden="1" x14ac:dyDescent="0.55000000000000004">
      <c r="A4134" s="20">
        <v>1648</v>
      </c>
      <c r="B4134" s="2" t="s">
        <v>193</v>
      </c>
      <c r="C4134" s="2" t="s">
        <v>194</v>
      </c>
      <c r="D4134" s="20">
        <v>0</v>
      </c>
      <c r="E4134" s="2" t="s">
        <v>63</v>
      </c>
      <c r="F4134" s="2" t="s">
        <v>793</v>
      </c>
      <c r="G4134" s="2" t="s">
        <v>4119</v>
      </c>
      <c r="H4134" s="2" t="s">
        <v>1226</v>
      </c>
      <c r="I4134" s="2" t="s">
        <v>785</v>
      </c>
      <c r="J4134" s="25">
        <v>46556</v>
      </c>
      <c r="K4134" s="36">
        <v>3.6450000000000003E-2</v>
      </c>
      <c r="L4134" s="23">
        <v>3.65E-3</v>
      </c>
    </row>
    <row r="4135" spans="1:12" ht="15.35" hidden="1" x14ac:dyDescent="0.55000000000000004">
      <c r="A4135" s="20">
        <v>1652</v>
      </c>
      <c r="B4135" s="2" t="s">
        <v>193</v>
      </c>
      <c r="C4135" s="2" t="s">
        <v>194</v>
      </c>
      <c r="D4135" s="20">
        <v>0</v>
      </c>
      <c r="E4135" s="2" t="s">
        <v>63</v>
      </c>
      <c r="F4135" s="2" t="s">
        <v>793</v>
      </c>
      <c r="G4135" s="2" t="s">
        <v>4119</v>
      </c>
      <c r="H4135" s="2" t="s">
        <v>1226</v>
      </c>
      <c r="I4135" s="2" t="s">
        <v>785</v>
      </c>
      <c r="J4135" s="25">
        <v>46922</v>
      </c>
      <c r="K4135" s="36">
        <v>3.6450000000000003E-2</v>
      </c>
      <c r="L4135" s="23">
        <v>3.65E-3</v>
      </c>
    </row>
    <row r="4136" spans="1:12" ht="15.35" hidden="1" x14ac:dyDescent="0.55000000000000004">
      <c r="A4136" s="20">
        <v>1622</v>
      </c>
      <c r="B4136" s="2" t="s">
        <v>193</v>
      </c>
      <c r="C4136" s="2" t="s">
        <v>194</v>
      </c>
      <c r="D4136" s="20">
        <v>0</v>
      </c>
      <c r="E4136" s="2" t="s">
        <v>63</v>
      </c>
      <c r="F4136" s="2" t="s">
        <v>783</v>
      </c>
      <c r="G4136" s="2" t="s">
        <v>1180</v>
      </c>
      <c r="H4136" s="2" t="s">
        <v>1180</v>
      </c>
      <c r="I4136" s="2" t="s">
        <v>785</v>
      </c>
      <c r="J4136" s="25">
        <v>46922</v>
      </c>
      <c r="K4136" s="36">
        <v>0.25540000000000002</v>
      </c>
      <c r="L4136" s="23">
        <v>2.554E-2</v>
      </c>
    </row>
    <row r="4137" spans="1:12" ht="15.35" hidden="1" x14ac:dyDescent="0.55000000000000004">
      <c r="A4137" s="20">
        <v>1632</v>
      </c>
      <c r="B4137" s="2" t="s">
        <v>193</v>
      </c>
      <c r="C4137" s="2" t="s">
        <v>194</v>
      </c>
      <c r="D4137" s="20">
        <v>0</v>
      </c>
      <c r="E4137" s="2" t="s">
        <v>63</v>
      </c>
      <c r="F4137" s="2" t="s">
        <v>793</v>
      </c>
      <c r="G4137" s="2" t="s">
        <v>1801</v>
      </c>
      <c r="H4137" s="2" t="s">
        <v>1801</v>
      </c>
      <c r="I4137" s="2" t="s">
        <v>785</v>
      </c>
      <c r="J4137" s="25">
        <v>46922</v>
      </c>
      <c r="K4137" s="36">
        <v>6.3200000000000006E-2</v>
      </c>
      <c r="L4137" s="23">
        <v>6.3200000000000001E-3</v>
      </c>
    </row>
    <row r="4138" spans="1:12" ht="15.35" hidden="1" x14ac:dyDescent="0.55000000000000004">
      <c r="A4138" s="20">
        <v>1639</v>
      </c>
      <c r="B4138" s="2" t="s">
        <v>193</v>
      </c>
      <c r="C4138" s="2" t="s">
        <v>194</v>
      </c>
      <c r="D4138" s="20">
        <v>0</v>
      </c>
      <c r="E4138" s="2" t="s">
        <v>63</v>
      </c>
      <c r="F4138" s="2" t="s">
        <v>798</v>
      </c>
      <c r="G4138" s="2" t="s">
        <v>4120</v>
      </c>
      <c r="H4138" s="2" t="s">
        <v>1905</v>
      </c>
      <c r="I4138" s="2" t="s">
        <v>785</v>
      </c>
      <c r="J4138" s="25">
        <v>46556</v>
      </c>
      <c r="K4138" s="36">
        <v>3.6450000000000003E-2</v>
      </c>
      <c r="L4138" s="23">
        <v>3.65E-3</v>
      </c>
    </row>
    <row r="4139" spans="1:12" ht="15.35" hidden="1" x14ac:dyDescent="0.55000000000000004">
      <c r="A4139" s="20">
        <v>1641</v>
      </c>
      <c r="B4139" s="2" t="s">
        <v>193</v>
      </c>
      <c r="C4139" s="2" t="s">
        <v>194</v>
      </c>
      <c r="D4139" s="20">
        <v>0</v>
      </c>
      <c r="E4139" s="2" t="s">
        <v>63</v>
      </c>
      <c r="F4139" s="2" t="s">
        <v>798</v>
      </c>
      <c r="G4139" s="2" t="s">
        <v>4120</v>
      </c>
      <c r="H4139" s="2" t="s">
        <v>1905</v>
      </c>
      <c r="I4139" s="2" t="s">
        <v>785</v>
      </c>
      <c r="J4139" s="25">
        <v>46922</v>
      </c>
      <c r="K4139" s="36">
        <v>3.6450000000000003E-2</v>
      </c>
      <c r="L4139" s="23">
        <v>3.65E-3</v>
      </c>
    </row>
    <row r="4140" spans="1:12" ht="15.35" hidden="1" x14ac:dyDescent="0.55000000000000004">
      <c r="A4140" s="20">
        <v>1643</v>
      </c>
      <c r="B4140" s="2" t="s">
        <v>193</v>
      </c>
      <c r="C4140" s="2" t="s">
        <v>194</v>
      </c>
      <c r="D4140" s="20">
        <v>0</v>
      </c>
      <c r="E4140" s="2" t="s">
        <v>63</v>
      </c>
      <c r="F4140" s="2" t="s">
        <v>798</v>
      </c>
      <c r="G4140" s="2" t="s">
        <v>4121</v>
      </c>
      <c r="H4140" s="2" t="s">
        <v>1184</v>
      </c>
      <c r="I4140" s="2" t="s">
        <v>785</v>
      </c>
      <c r="J4140" s="25">
        <v>46556</v>
      </c>
      <c r="K4140" s="36">
        <v>7.2900000000000006E-2</v>
      </c>
      <c r="L4140" s="23">
        <v>7.2899999999999996E-3</v>
      </c>
    </row>
    <row r="4141" spans="1:12" ht="15.35" hidden="1" x14ac:dyDescent="0.55000000000000004">
      <c r="A4141" s="20">
        <v>1644</v>
      </c>
      <c r="B4141" s="2" t="s">
        <v>193</v>
      </c>
      <c r="C4141" s="2" t="s">
        <v>194</v>
      </c>
      <c r="D4141" s="20">
        <v>0</v>
      </c>
      <c r="E4141" s="2" t="s">
        <v>63</v>
      </c>
      <c r="F4141" s="2" t="s">
        <v>798</v>
      </c>
      <c r="G4141" s="2" t="s">
        <v>4122</v>
      </c>
      <c r="H4141" s="2" t="s">
        <v>1184</v>
      </c>
      <c r="I4141" s="2" t="s">
        <v>785</v>
      </c>
      <c r="J4141" s="25">
        <v>46556</v>
      </c>
      <c r="K4141" s="36">
        <v>7.2900000000000006E-2</v>
      </c>
      <c r="L4141" s="23">
        <v>7.2899999999999996E-3</v>
      </c>
    </row>
    <row r="4142" spans="1:12" ht="15.35" hidden="1" x14ac:dyDescent="0.55000000000000004">
      <c r="A4142" s="20">
        <v>1636</v>
      </c>
      <c r="B4142" s="2" t="s">
        <v>193</v>
      </c>
      <c r="C4142" s="2" t="s">
        <v>194</v>
      </c>
      <c r="D4142" s="20">
        <v>0</v>
      </c>
      <c r="E4142" s="2" t="s">
        <v>63</v>
      </c>
      <c r="F4142" s="2" t="s">
        <v>807</v>
      </c>
      <c r="G4142" s="2" t="s">
        <v>4123</v>
      </c>
      <c r="H4142" s="2" t="s">
        <v>4123</v>
      </c>
      <c r="I4142" s="2" t="s">
        <v>809</v>
      </c>
      <c r="J4142" s="25">
        <v>47287</v>
      </c>
      <c r="K4142" s="36">
        <v>1.4</v>
      </c>
      <c r="L4142" s="23">
        <v>0.14000000000000001</v>
      </c>
    </row>
    <row r="4143" spans="1:12" ht="15.35" hidden="1" x14ac:dyDescent="0.55000000000000004">
      <c r="A4143" s="20">
        <v>1645</v>
      </c>
      <c r="B4143" s="2" t="s">
        <v>193</v>
      </c>
      <c r="C4143" s="2" t="s">
        <v>194</v>
      </c>
      <c r="D4143" s="20">
        <v>0</v>
      </c>
      <c r="E4143" s="2" t="s">
        <v>63</v>
      </c>
      <c r="F4143" s="2" t="s">
        <v>811</v>
      </c>
      <c r="G4143" s="2" t="s">
        <v>4124</v>
      </c>
      <c r="H4143" s="2" t="s">
        <v>4124</v>
      </c>
      <c r="I4143" s="2" t="s">
        <v>785</v>
      </c>
      <c r="J4143" s="25">
        <v>46556</v>
      </c>
      <c r="K4143" s="36">
        <v>0.1024</v>
      </c>
      <c r="L4143" s="23">
        <v>1.0240000000000001E-2</v>
      </c>
    </row>
    <row r="4144" spans="1:12" ht="15.35" hidden="1" x14ac:dyDescent="0.55000000000000004">
      <c r="A4144" s="20">
        <v>1635</v>
      </c>
      <c r="B4144" s="2" t="s">
        <v>193</v>
      </c>
      <c r="C4144" s="2" t="s">
        <v>194</v>
      </c>
      <c r="D4144" s="20">
        <v>0</v>
      </c>
      <c r="E4144" s="2" t="s">
        <v>63</v>
      </c>
      <c r="F4144" s="2" t="s">
        <v>807</v>
      </c>
      <c r="G4144" s="2" t="s">
        <v>4125</v>
      </c>
      <c r="H4144" s="2" t="s">
        <v>4125</v>
      </c>
      <c r="I4144" s="2" t="s">
        <v>809</v>
      </c>
      <c r="J4144" s="25">
        <v>48017</v>
      </c>
      <c r="K4144" s="36">
        <v>2</v>
      </c>
      <c r="L4144" s="23">
        <v>0.2</v>
      </c>
    </row>
    <row r="4145" spans="1:12" ht="15.35" hidden="1" x14ac:dyDescent="0.55000000000000004">
      <c r="A4145" s="20">
        <v>1646</v>
      </c>
      <c r="B4145" s="2" t="s">
        <v>193</v>
      </c>
      <c r="C4145" s="2" t="s">
        <v>194</v>
      </c>
      <c r="D4145" s="20">
        <v>0</v>
      </c>
      <c r="E4145" s="2" t="s">
        <v>63</v>
      </c>
      <c r="F4145" s="2" t="s">
        <v>787</v>
      </c>
      <c r="G4145" s="2" t="s">
        <v>2558</v>
      </c>
      <c r="H4145" s="2" t="s">
        <v>2558</v>
      </c>
      <c r="I4145" s="2" t="s">
        <v>785</v>
      </c>
      <c r="J4145" s="25">
        <v>46556</v>
      </c>
      <c r="K4145" s="36">
        <v>7.9299999999999995E-2</v>
      </c>
      <c r="L4145" s="23">
        <v>7.9299999999999995E-3</v>
      </c>
    </row>
    <row r="4146" spans="1:12" ht="15.35" hidden="1" x14ac:dyDescent="0.55000000000000004">
      <c r="A4146" s="20">
        <v>1647</v>
      </c>
      <c r="B4146" s="2" t="s">
        <v>193</v>
      </c>
      <c r="C4146" s="2" t="s">
        <v>194</v>
      </c>
      <c r="D4146" s="20">
        <v>0</v>
      </c>
      <c r="E4146" s="2" t="s">
        <v>63</v>
      </c>
      <c r="F4146" s="2" t="s">
        <v>787</v>
      </c>
      <c r="G4146" s="2" t="s">
        <v>2558</v>
      </c>
      <c r="H4146" s="2" t="s">
        <v>2558</v>
      </c>
      <c r="I4146" s="2" t="s">
        <v>785</v>
      </c>
      <c r="J4146" s="25">
        <v>46922</v>
      </c>
      <c r="K4146" s="36">
        <v>7.9299999999999995E-2</v>
      </c>
      <c r="L4146" s="23">
        <v>7.9299999999999995E-3</v>
      </c>
    </row>
    <row r="4147" spans="1:12" ht="15.35" hidden="1" x14ac:dyDescent="0.55000000000000004">
      <c r="A4147" s="20">
        <v>1633</v>
      </c>
      <c r="B4147" s="2" t="s">
        <v>193</v>
      </c>
      <c r="C4147" s="2" t="s">
        <v>194</v>
      </c>
      <c r="D4147" s="20">
        <v>0</v>
      </c>
      <c r="E4147" s="2" t="s">
        <v>63</v>
      </c>
      <c r="F4147" s="2" t="s">
        <v>813</v>
      </c>
      <c r="G4147" s="2" t="s">
        <v>4126</v>
      </c>
      <c r="H4147" s="2" t="s">
        <v>4126</v>
      </c>
      <c r="I4147" s="2" t="s">
        <v>785</v>
      </c>
      <c r="J4147" s="25">
        <v>46556</v>
      </c>
      <c r="K4147" s="36">
        <v>0.18240000000000001</v>
      </c>
      <c r="L4147" s="23">
        <v>1.8239999999999999E-2</v>
      </c>
    </row>
    <row r="4148" spans="1:12" ht="15.35" hidden="1" x14ac:dyDescent="0.55000000000000004">
      <c r="A4148" s="20">
        <v>1642</v>
      </c>
      <c r="B4148" s="2" t="s">
        <v>193</v>
      </c>
      <c r="C4148" s="2" t="s">
        <v>194</v>
      </c>
      <c r="D4148" s="20">
        <v>0</v>
      </c>
      <c r="E4148" s="2" t="s">
        <v>63</v>
      </c>
      <c r="F4148" s="2" t="s">
        <v>798</v>
      </c>
      <c r="G4148" s="2" t="s">
        <v>4127</v>
      </c>
      <c r="H4148" s="2" t="s">
        <v>804</v>
      </c>
      <c r="I4148" s="2" t="s">
        <v>785</v>
      </c>
      <c r="J4148" s="25">
        <v>46556</v>
      </c>
      <c r="K4148" s="36">
        <v>8.2900000000000001E-2</v>
      </c>
      <c r="L4148" s="23">
        <v>8.2900000000000005E-3</v>
      </c>
    </row>
    <row r="4149" spans="1:12" ht="15.35" hidden="1" x14ac:dyDescent="0.55000000000000004">
      <c r="A4149" s="20">
        <v>1656</v>
      </c>
      <c r="B4149" s="2" t="s">
        <v>193</v>
      </c>
      <c r="C4149" s="2" t="s">
        <v>194</v>
      </c>
      <c r="D4149" s="20">
        <v>0</v>
      </c>
      <c r="E4149" s="2" t="s">
        <v>63</v>
      </c>
      <c r="F4149" s="2" t="s">
        <v>798</v>
      </c>
      <c r="G4149" s="2" t="s">
        <v>4128</v>
      </c>
      <c r="H4149" s="2" t="s">
        <v>804</v>
      </c>
      <c r="I4149" s="2" t="s">
        <v>785</v>
      </c>
      <c r="J4149" s="25">
        <v>46556</v>
      </c>
      <c r="K4149" s="36">
        <v>6.3E-2</v>
      </c>
      <c r="L4149" s="23">
        <v>6.3E-3</v>
      </c>
    </row>
    <row r="4150" spans="1:12" ht="15.35" hidden="1" x14ac:dyDescent="0.55000000000000004">
      <c r="A4150" s="20">
        <v>1673</v>
      </c>
      <c r="B4150" s="2" t="s">
        <v>193</v>
      </c>
      <c r="C4150" s="2" t="s">
        <v>194</v>
      </c>
      <c r="D4150" s="20">
        <v>0</v>
      </c>
      <c r="E4150" s="2" t="s">
        <v>63</v>
      </c>
      <c r="F4150" s="2" t="s">
        <v>817</v>
      </c>
      <c r="G4150" s="2" t="s">
        <v>4129</v>
      </c>
      <c r="H4150" s="2" t="s">
        <v>810</v>
      </c>
      <c r="I4150" s="2" t="s">
        <v>785</v>
      </c>
      <c r="J4150" s="25">
        <v>46556</v>
      </c>
      <c r="K4150" s="36">
        <v>7.2900000000000006E-2</v>
      </c>
      <c r="L4150" s="23">
        <v>7.2899999999999996E-3</v>
      </c>
    </row>
    <row r="4151" spans="1:12" ht="15.35" hidden="1" x14ac:dyDescent="0.55000000000000004">
      <c r="A4151" s="20">
        <v>1628</v>
      </c>
      <c r="B4151" s="2" t="s">
        <v>193</v>
      </c>
      <c r="C4151" s="2" t="s">
        <v>194</v>
      </c>
      <c r="D4151" s="20">
        <v>0</v>
      </c>
      <c r="E4151" s="2" t="s">
        <v>63</v>
      </c>
      <c r="F4151" s="2" t="s">
        <v>811</v>
      </c>
      <c r="G4151" s="2" t="s">
        <v>4130</v>
      </c>
      <c r="H4151" s="2" t="s">
        <v>4130</v>
      </c>
      <c r="I4151" s="2" t="s">
        <v>785</v>
      </c>
      <c r="J4151" s="25">
        <v>46556</v>
      </c>
      <c r="K4151" s="36">
        <v>0.1094</v>
      </c>
      <c r="L4151" s="23">
        <v>1.094E-2</v>
      </c>
    </row>
    <row r="4152" spans="1:12" ht="15.35" hidden="1" x14ac:dyDescent="0.55000000000000004">
      <c r="A4152" s="20">
        <v>1672</v>
      </c>
      <c r="B4152" s="2" t="s">
        <v>193</v>
      </c>
      <c r="C4152" s="2" t="s">
        <v>194</v>
      </c>
      <c r="D4152" s="20">
        <v>0</v>
      </c>
      <c r="E4152" s="2" t="s">
        <v>63</v>
      </c>
      <c r="F4152" s="2" t="s">
        <v>798</v>
      </c>
      <c r="G4152" s="2" t="s">
        <v>4131</v>
      </c>
      <c r="H4152" s="2" t="s">
        <v>1086</v>
      </c>
      <c r="I4152" s="2" t="s">
        <v>785</v>
      </c>
      <c r="J4152" s="25">
        <v>46556</v>
      </c>
      <c r="K4152" s="36">
        <v>9.5000000000000001E-2</v>
      </c>
      <c r="L4152" s="23">
        <v>9.4999999999999998E-3</v>
      </c>
    </row>
    <row r="4153" spans="1:12" ht="15.35" hidden="1" x14ac:dyDescent="0.55000000000000004">
      <c r="A4153" s="20">
        <v>1660</v>
      </c>
      <c r="B4153" s="2" t="s">
        <v>193</v>
      </c>
      <c r="C4153" s="2" t="s">
        <v>194</v>
      </c>
      <c r="D4153" s="20">
        <v>0</v>
      </c>
      <c r="E4153" s="2" t="s">
        <v>63</v>
      </c>
      <c r="F4153" s="2" t="s">
        <v>798</v>
      </c>
      <c r="G4153" s="2" t="s">
        <v>4132</v>
      </c>
      <c r="H4153" s="2" t="s">
        <v>1086</v>
      </c>
      <c r="I4153" s="2" t="s">
        <v>785</v>
      </c>
      <c r="J4153" s="25">
        <v>46556</v>
      </c>
      <c r="K4153" s="36">
        <v>5.0900000000000001E-2</v>
      </c>
      <c r="L4153" s="23">
        <v>5.0899999999999999E-3</v>
      </c>
    </row>
    <row r="4154" spans="1:12" ht="15.35" hidden="1" x14ac:dyDescent="0.55000000000000004">
      <c r="A4154" s="20">
        <v>1629</v>
      </c>
      <c r="B4154" s="2" t="s">
        <v>193</v>
      </c>
      <c r="C4154" s="2" t="s">
        <v>194</v>
      </c>
      <c r="D4154" s="20">
        <v>0</v>
      </c>
      <c r="E4154" s="2" t="s">
        <v>63</v>
      </c>
      <c r="F4154" s="2" t="s">
        <v>787</v>
      </c>
      <c r="G4154" s="2" t="s">
        <v>1191</v>
      </c>
      <c r="H4154" s="2" t="s">
        <v>1191</v>
      </c>
      <c r="I4154" s="2" t="s">
        <v>785</v>
      </c>
      <c r="J4154" s="25">
        <v>46556</v>
      </c>
      <c r="K4154" s="36">
        <v>5.4699999999999999E-2</v>
      </c>
      <c r="L4154" s="23">
        <v>5.47E-3</v>
      </c>
    </row>
    <row r="4155" spans="1:12" ht="15.35" hidden="1" x14ac:dyDescent="0.55000000000000004">
      <c r="A4155" s="20">
        <v>1665</v>
      </c>
      <c r="B4155" s="2" t="s">
        <v>193</v>
      </c>
      <c r="C4155" s="2" t="s">
        <v>194</v>
      </c>
      <c r="D4155" s="20">
        <v>0</v>
      </c>
      <c r="E4155" s="2" t="s">
        <v>63</v>
      </c>
      <c r="F4155" s="2" t="s">
        <v>787</v>
      </c>
      <c r="G4155" s="2" t="s">
        <v>1191</v>
      </c>
      <c r="H4155" s="2" t="s">
        <v>1191</v>
      </c>
      <c r="I4155" s="2" t="s">
        <v>785</v>
      </c>
      <c r="J4155" s="25">
        <v>46922</v>
      </c>
      <c r="K4155" s="36">
        <v>5.4699999999999999E-2</v>
      </c>
      <c r="L4155" s="23">
        <v>5.47E-3</v>
      </c>
    </row>
    <row r="4156" spans="1:12" ht="15.35" hidden="1" x14ac:dyDescent="0.55000000000000004">
      <c r="A4156" s="20">
        <v>1627</v>
      </c>
      <c r="B4156" s="2" t="s">
        <v>193</v>
      </c>
      <c r="C4156" s="2" t="s">
        <v>194</v>
      </c>
      <c r="D4156" s="20">
        <v>0</v>
      </c>
      <c r="E4156" s="2" t="s">
        <v>63</v>
      </c>
      <c r="F4156" s="2" t="s">
        <v>811</v>
      </c>
      <c r="G4156" s="2" t="s">
        <v>2562</v>
      </c>
      <c r="H4156" s="2" t="s">
        <v>2562</v>
      </c>
      <c r="I4156" s="2" t="s">
        <v>785</v>
      </c>
      <c r="J4156" s="25">
        <v>46922</v>
      </c>
      <c r="K4156" s="36">
        <v>0.1459</v>
      </c>
      <c r="L4156" s="23">
        <v>1.4590000000000001E-2</v>
      </c>
    </row>
    <row r="4157" spans="1:12" ht="15.35" hidden="1" x14ac:dyDescent="0.55000000000000004">
      <c r="A4157" s="20">
        <v>1630</v>
      </c>
      <c r="B4157" s="2" t="s">
        <v>193</v>
      </c>
      <c r="C4157" s="2" t="s">
        <v>194</v>
      </c>
      <c r="D4157" s="20">
        <v>0</v>
      </c>
      <c r="E4157" s="2" t="s">
        <v>63</v>
      </c>
      <c r="F4157" s="2" t="s">
        <v>811</v>
      </c>
      <c r="G4157" s="2" t="s">
        <v>4133</v>
      </c>
      <c r="H4157" s="2" t="s">
        <v>4133</v>
      </c>
      <c r="I4157" s="2" t="s">
        <v>785</v>
      </c>
      <c r="J4157" s="25">
        <v>46922</v>
      </c>
      <c r="K4157" s="36">
        <v>3.6450000000000003E-2</v>
      </c>
      <c r="L4157" s="23">
        <v>3.65E-3</v>
      </c>
    </row>
    <row r="4158" spans="1:12" ht="15.35" hidden="1" x14ac:dyDescent="0.55000000000000004">
      <c r="A4158" s="20">
        <v>1631</v>
      </c>
      <c r="B4158" s="2" t="s">
        <v>193</v>
      </c>
      <c r="C4158" s="2" t="s">
        <v>194</v>
      </c>
      <c r="D4158" s="20">
        <v>0</v>
      </c>
      <c r="E4158" s="2" t="s">
        <v>63</v>
      </c>
      <c r="F4158" s="2" t="s">
        <v>811</v>
      </c>
      <c r="G4158" s="2" t="s">
        <v>4134</v>
      </c>
      <c r="H4158" s="2" t="s">
        <v>4134</v>
      </c>
      <c r="I4158" s="2" t="s">
        <v>785</v>
      </c>
      <c r="J4158" s="25">
        <v>46922</v>
      </c>
      <c r="K4158" s="36">
        <v>3.6450000000000003E-2</v>
      </c>
      <c r="L4158" s="23">
        <v>3.65E-3</v>
      </c>
    </row>
    <row r="4159" spans="1:12" ht="15.35" hidden="1" x14ac:dyDescent="0.55000000000000004">
      <c r="A4159" s="20">
        <v>1667</v>
      </c>
      <c r="B4159" s="2" t="s">
        <v>193</v>
      </c>
      <c r="C4159" s="2" t="s">
        <v>194</v>
      </c>
      <c r="D4159" s="20">
        <v>0</v>
      </c>
      <c r="E4159" s="2" t="s">
        <v>63</v>
      </c>
      <c r="F4159" s="2" t="s">
        <v>817</v>
      </c>
      <c r="G4159" s="2" t="s">
        <v>4135</v>
      </c>
      <c r="H4159" s="2" t="s">
        <v>819</v>
      </c>
      <c r="I4159" s="2" t="s">
        <v>785</v>
      </c>
      <c r="J4159" s="25">
        <v>46556</v>
      </c>
      <c r="K4159" s="36">
        <v>7.2900000000000006E-2</v>
      </c>
      <c r="L4159" s="23">
        <v>7.2899999999999996E-3</v>
      </c>
    </row>
    <row r="4160" spans="1:12" ht="15.35" hidden="1" x14ac:dyDescent="0.55000000000000004">
      <c r="A4160" s="20">
        <v>1663</v>
      </c>
      <c r="B4160" s="2" t="s">
        <v>193</v>
      </c>
      <c r="C4160" s="2" t="s">
        <v>194</v>
      </c>
      <c r="D4160" s="20">
        <v>0</v>
      </c>
      <c r="E4160" s="2" t="s">
        <v>63</v>
      </c>
      <c r="F4160" s="2" t="s">
        <v>811</v>
      </c>
      <c r="G4160" s="2" t="s">
        <v>4136</v>
      </c>
      <c r="H4160" s="2" t="s">
        <v>4137</v>
      </c>
      <c r="I4160" s="2" t="s">
        <v>785</v>
      </c>
      <c r="J4160" s="25">
        <v>46922</v>
      </c>
      <c r="K4160" s="36">
        <v>0.1459</v>
      </c>
      <c r="L4160" s="23">
        <v>1.4590000000000001E-2</v>
      </c>
    </row>
    <row r="4161" spans="1:12" ht="15.35" hidden="1" x14ac:dyDescent="0.55000000000000004">
      <c r="A4161" s="20">
        <v>1638</v>
      </c>
      <c r="B4161" s="2" t="s">
        <v>193</v>
      </c>
      <c r="C4161" s="2" t="s">
        <v>194</v>
      </c>
      <c r="D4161" s="20">
        <v>0</v>
      </c>
      <c r="E4161" s="2" t="s">
        <v>63</v>
      </c>
      <c r="F4161" s="2" t="s">
        <v>798</v>
      </c>
      <c r="G4161" s="2" t="s">
        <v>4138</v>
      </c>
      <c r="H4161" s="2" t="s">
        <v>2564</v>
      </c>
      <c r="I4161" s="2" t="s">
        <v>785</v>
      </c>
      <c r="J4161" s="25">
        <v>46556</v>
      </c>
      <c r="K4161" s="36">
        <v>7.2900000000000006E-2</v>
      </c>
      <c r="L4161" s="23">
        <v>7.2899999999999996E-3</v>
      </c>
    </row>
    <row r="4162" spans="1:12" ht="15.35" hidden="1" x14ac:dyDescent="0.55000000000000004">
      <c r="A4162" s="20">
        <v>1623</v>
      </c>
      <c r="B4162" s="2" t="s">
        <v>193</v>
      </c>
      <c r="C4162" s="2" t="s">
        <v>194</v>
      </c>
      <c r="D4162" s="20">
        <v>0</v>
      </c>
      <c r="E4162" s="2" t="s">
        <v>63</v>
      </c>
      <c r="F4162" s="2" t="s">
        <v>783</v>
      </c>
      <c r="G4162" s="2" t="s">
        <v>4020</v>
      </c>
      <c r="H4162" s="2" t="s">
        <v>4020</v>
      </c>
      <c r="I4162" s="2" t="s">
        <v>785</v>
      </c>
      <c r="J4162" s="25">
        <v>46922</v>
      </c>
      <c r="K4162" s="36">
        <v>0.1459</v>
      </c>
      <c r="L4162" s="23">
        <v>1.4590000000000001E-2</v>
      </c>
    </row>
    <row r="4163" spans="1:12" ht="15.35" hidden="1" x14ac:dyDescent="0.55000000000000004">
      <c r="A4163" s="20">
        <v>1637</v>
      </c>
      <c r="B4163" s="2" t="s">
        <v>193</v>
      </c>
      <c r="C4163" s="2" t="s">
        <v>194</v>
      </c>
      <c r="D4163" s="20">
        <v>0</v>
      </c>
      <c r="E4163" s="2" t="s">
        <v>63</v>
      </c>
      <c r="F4163" s="2" t="s">
        <v>787</v>
      </c>
      <c r="G4163" s="2" t="s">
        <v>864</v>
      </c>
      <c r="H4163" s="2" t="s">
        <v>864</v>
      </c>
      <c r="I4163" s="2" t="s">
        <v>785</v>
      </c>
      <c r="J4163" s="25">
        <v>46922</v>
      </c>
      <c r="K4163" s="36">
        <v>7.2950000000000001E-2</v>
      </c>
      <c r="L4163" s="23">
        <v>7.3000000000000001E-3</v>
      </c>
    </row>
    <row r="4164" spans="1:12" ht="15.35" hidden="1" x14ac:dyDescent="0.55000000000000004">
      <c r="A4164" s="20">
        <v>1666</v>
      </c>
      <c r="B4164" s="2" t="s">
        <v>193</v>
      </c>
      <c r="C4164" s="2" t="s">
        <v>194</v>
      </c>
      <c r="D4164" s="20">
        <v>0</v>
      </c>
      <c r="E4164" s="2" t="s">
        <v>63</v>
      </c>
      <c r="F4164" s="2" t="s">
        <v>787</v>
      </c>
      <c r="G4164" s="2" t="s">
        <v>864</v>
      </c>
      <c r="H4164" s="2" t="s">
        <v>864</v>
      </c>
      <c r="I4164" s="2" t="s">
        <v>785</v>
      </c>
      <c r="J4164" s="25">
        <v>46556</v>
      </c>
      <c r="K4164" s="36">
        <v>7.2950000000000001E-2</v>
      </c>
      <c r="L4164" s="23">
        <v>7.3000000000000001E-3</v>
      </c>
    </row>
    <row r="4165" spans="1:12" ht="15.35" hidden="1" x14ac:dyDescent="0.55000000000000004">
      <c r="A4165" s="20">
        <v>1626</v>
      </c>
      <c r="B4165" s="2" t="s">
        <v>193</v>
      </c>
      <c r="C4165" s="2" t="s">
        <v>194</v>
      </c>
      <c r="D4165" s="20">
        <v>0</v>
      </c>
      <c r="E4165" s="2" t="s">
        <v>63</v>
      </c>
      <c r="F4165" s="2" t="s">
        <v>811</v>
      </c>
      <c r="G4165" s="2" t="s">
        <v>4139</v>
      </c>
      <c r="H4165" s="2" t="s">
        <v>1818</v>
      </c>
      <c r="I4165" s="2" t="s">
        <v>785</v>
      </c>
      <c r="J4165" s="25">
        <v>46556</v>
      </c>
      <c r="K4165" s="36">
        <v>3.6450000000000003E-2</v>
      </c>
      <c r="L4165" s="23">
        <v>3.65E-3</v>
      </c>
    </row>
    <row r="4166" spans="1:12" ht="15.35" hidden="1" x14ac:dyDescent="0.55000000000000004">
      <c r="A4166" s="20">
        <v>1640</v>
      </c>
      <c r="B4166" s="2" t="s">
        <v>193</v>
      </c>
      <c r="C4166" s="2" t="s">
        <v>194</v>
      </c>
      <c r="D4166" s="20">
        <v>0</v>
      </c>
      <c r="E4166" s="2" t="s">
        <v>63</v>
      </c>
      <c r="F4166" s="2" t="s">
        <v>811</v>
      </c>
      <c r="G4166" s="2" t="s">
        <v>4139</v>
      </c>
      <c r="H4166" s="2" t="s">
        <v>1818</v>
      </c>
      <c r="I4166" s="2" t="s">
        <v>785</v>
      </c>
      <c r="J4166" s="25">
        <v>46922</v>
      </c>
      <c r="K4166" s="36">
        <v>3.6450000000000003E-2</v>
      </c>
      <c r="L4166" s="23">
        <v>3.65E-3</v>
      </c>
    </row>
    <row r="4167" spans="1:12" ht="15.35" hidden="1" x14ac:dyDescent="0.55000000000000004">
      <c r="A4167" s="20">
        <v>1664</v>
      </c>
      <c r="B4167" s="2" t="s">
        <v>193</v>
      </c>
      <c r="C4167" s="2" t="s">
        <v>194</v>
      </c>
      <c r="D4167" s="20">
        <v>0</v>
      </c>
      <c r="E4167" s="2" t="s">
        <v>63</v>
      </c>
      <c r="F4167" s="2" t="s">
        <v>817</v>
      </c>
      <c r="G4167" s="2" t="s">
        <v>4140</v>
      </c>
      <c r="H4167" s="2" t="s">
        <v>1163</v>
      </c>
      <c r="I4167" s="2" t="s">
        <v>785</v>
      </c>
      <c r="J4167" s="25">
        <v>46922</v>
      </c>
      <c r="K4167" s="36">
        <v>7.2900000000000006E-2</v>
      </c>
      <c r="L4167" s="23">
        <v>7.2899999999999996E-3</v>
      </c>
    </row>
    <row r="4168" spans="1:12" ht="15.35" hidden="1" x14ac:dyDescent="0.55000000000000004">
      <c r="A4168" s="20">
        <v>1671</v>
      </c>
      <c r="B4168" s="2" t="s">
        <v>193</v>
      </c>
      <c r="C4168" s="2" t="s">
        <v>194</v>
      </c>
      <c r="D4168" s="20">
        <v>0</v>
      </c>
      <c r="E4168" s="2" t="s">
        <v>63</v>
      </c>
      <c r="F4168" s="2" t="s">
        <v>798</v>
      </c>
      <c r="G4168" s="2" t="s">
        <v>4141</v>
      </c>
      <c r="H4168" s="2" t="s">
        <v>1166</v>
      </c>
      <c r="I4168" s="2" t="s">
        <v>785</v>
      </c>
      <c r="J4168" s="25">
        <v>46556</v>
      </c>
      <c r="K4168" s="36">
        <v>0.08</v>
      </c>
      <c r="L4168" s="23">
        <v>8.0000000000000002E-3</v>
      </c>
    </row>
    <row r="4169" spans="1:12" ht="15.35" hidden="1" x14ac:dyDescent="0.55000000000000004">
      <c r="A4169" s="20">
        <v>15819</v>
      </c>
      <c r="B4169" s="2" t="s">
        <v>193</v>
      </c>
      <c r="C4169" s="2" t="s">
        <v>194</v>
      </c>
      <c r="D4169" s="20">
        <v>0</v>
      </c>
      <c r="E4169" s="2" t="s">
        <v>838</v>
      </c>
      <c r="F4169" s="2" t="s">
        <v>793</v>
      </c>
      <c r="G4169" s="2" t="s">
        <v>4142</v>
      </c>
      <c r="H4169" s="2" t="s">
        <v>4143</v>
      </c>
      <c r="J4169" s="26"/>
      <c r="K4169" s="36">
        <v>4.0000000000000001E-8</v>
      </c>
      <c r="L4169" s="23">
        <v>0</v>
      </c>
    </row>
    <row r="4170" spans="1:12" ht="15.35" hidden="1" x14ac:dyDescent="0.55000000000000004">
      <c r="A4170" s="20">
        <v>15792</v>
      </c>
      <c r="B4170" s="2" t="s">
        <v>193</v>
      </c>
      <c r="C4170" s="2" t="s">
        <v>194</v>
      </c>
      <c r="D4170" s="20">
        <v>0</v>
      </c>
      <c r="E4170" s="2" t="s">
        <v>838</v>
      </c>
      <c r="F4170" s="2" t="s">
        <v>793</v>
      </c>
      <c r="G4170" s="2" t="s">
        <v>4144</v>
      </c>
      <c r="H4170" s="2" t="s">
        <v>4143</v>
      </c>
      <c r="J4170" s="26"/>
      <c r="K4170" s="36">
        <v>4.0000000000000001E-8</v>
      </c>
      <c r="L4170" s="23">
        <v>0</v>
      </c>
    </row>
    <row r="4171" spans="1:12" ht="15.35" hidden="1" x14ac:dyDescent="0.55000000000000004">
      <c r="A4171" s="20">
        <v>15793</v>
      </c>
      <c r="B4171" s="2" t="s">
        <v>193</v>
      </c>
      <c r="C4171" s="2" t="s">
        <v>194</v>
      </c>
      <c r="D4171" s="20">
        <v>0</v>
      </c>
      <c r="E4171" s="2" t="s">
        <v>838</v>
      </c>
      <c r="F4171" s="2" t="s">
        <v>793</v>
      </c>
      <c r="G4171" s="2" t="s">
        <v>4145</v>
      </c>
      <c r="H4171" s="2" t="s">
        <v>4143</v>
      </c>
      <c r="J4171" s="26"/>
      <c r="K4171" s="36">
        <v>4.0000000000000001E-8</v>
      </c>
      <c r="L4171" s="23">
        <v>0</v>
      </c>
    </row>
    <row r="4172" spans="1:12" ht="15.35" hidden="1" x14ac:dyDescent="0.55000000000000004">
      <c r="A4172" s="20">
        <v>15784</v>
      </c>
      <c r="B4172" s="2" t="s">
        <v>193</v>
      </c>
      <c r="C4172" s="2" t="s">
        <v>194</v>
      </c>
      <c r="D4172" s="20">
        <v>0</v>
      </c>
      <c r="E4172" s="2" t="s">
        <v>838</v>
      </c>
      <c r="F4172" s="2" t="s">
        <v>793</v>
      </c>
      <c r="G4172" s="2" t="s">
        <v>4146</v>
      </c>
      <c r="H4172" s="2" t="s">
        <v>4143</v>
      </c>
      <c r="J4172" s="26"/>
      <c r="K4172" s="36">
        <v>4.0000000000000001E-8</v>
      </c>
      <c r="L4172" s="23">
        <v>0</v>
      </c>
    </row>
    <row r="4173" spans="1:12" ht="15.35" hidden="1" x14ac:dyDescent="0.55000000000000004">
      <c r="A4173" s="20">
        <v>15799</v>
      </c>
      <c r="B4173" s="2" t="s">
        <v>193</v>
      </c>
      <c r="C4173" s="2" t="s">
        <v>194</v>
      </c>
      <c r="D4173" s="20">
        <v>0</v>
      </c>
      <c r="E4173" s="2" t="s">
        <v>838</v>
      </c>
      <c r="F4173" s="2" t="s">
        <v>793</v>
      </c>
      <c r="G4173" s="2" t="s">
        <v>4147</v>
      </c>
      <c r="H4173" s="2" t="s">
        <v>4143</v>
      </c>
      <c r="J4173" s="26"/>
      <c r="K4173" s="36">
        <v>4.0000000000000001E-8</v>
      </c>
      <c r="L4173" s="23">
        <v>0</v>
      </c>
    </row>
    <row r="4174" spans="1:12" ht="15.35" hidden="1" x14ac:dyDescent="0.55000000000000004">
      <c r="A4174" s="20">
        <v>15804</v>
      </c>
      <c r="B4174" s="2" t="s">
        <v>193</v>
      </c>
      <c r="C4174" s="2" t="s">
        <v>194</v>
      </c>
      <c r="D4174" s="20">
        <v>0</v>
      </c>
      <c r="E4174" s="2" t="s">
        <v>838</v>
      </c>
      <c r="F4174" s="2" t="s">
        <v>793</v>
      </c>
      <c r="G4174" s="2" t="s">
        <v>4148</v>
      </c>
      <c r="H4174" s="2" t="s">
        <v>4143</v>
      </c>
      <c r="J4174" s="26"/>
      <c r="K4174" s="36">
        <v>4.0000000000000001E-8</v>
      </c>
      <c r="L4174" s="23">
        <v>0</v>
      </c>
    </row>
    <row r="4175" spans="1:12" ht="15.35" hidden="1" x14ac:dyDescent="0.55000000000000004">
      <c r="A4175" s="20">
        <v>15814</v>
      </c>
      <c r="B4175" s="2" t="s">
        <v>193</v>
      </c>
      <c r="C4175" s="2" t="s">
        <v>194</v>
      </c>
      <c r="D4175" s="20">
        <v>0</v>
      </c>
      <c r="E4175" s="2" t="s">
        <v>838</v>
      </c>
      <c r="F4175" s="2" t="s">
        <v>793</v>
      </c>
      <c r="G4175" s="2" t="s">
        <v>4149</v>
      </c>
      <c r="H4175" s="2" t="s">
        <v>4143</v>
      </c>
      <c r="J4175" s="26"/>
      <c r="K4175" s="36">
        <v>4.0000000000000001E-8</v>
      </c>
      <c r="L4175" s="23">
        <v>0</v>
      </c>
    </row>
    <row r="4176" spans="1:12" ht="15.35" hidden="1" x14ac:dyDescent="0.55000000000000004">
      <c r="A4176" s="20">
        <v>15818</v>
      </c>
      <c r="B4176" s="2" t="s">
        <v>193</v>
      </c>
      <c r="C4176" s="2" t="s">
        <v>194</v>
      </c>
      <c r="D4176" s="20">
        <v>0</v>
      </c>
      <c r="E4176" s="2" t="s">
        <v>838</v>
      </c>
      <c r="F4176" s="2" t="s">
        <v>793</v>
      </c>
      <c r="G4176" s="2" t="s">
        <v>4150</v>
      </c>
      <c r="H4176" s="2" t="s">
        <v>4143</v>
      </c>
      <c r="J4176" s="26"/>
      <c r="K4176" s="36">
        <v>4.0000000000000001E-8</v>
      </c>
      <c r="L4176" s="23">
        <v>0</v>
      </c>
    </row>
    <row r="4177" spans="1:12" ht="15.35" hidden="1" x14ac:dyDescent="0.55000000000000004">
      <c r="A4177" s="20">
        <v>15817</v>
      </c>
      <c r="B4177" s="2" t="s">
        <v>193</v>
      </c>
      <c r="C4177" s="2" t="s">
        <v>194</v>
      </c>
      <c r="D4177" s="20">
        <v>0</v>
      </c>
      <c r="E4177" s="2" t="s">
        <v>838</v>
      </c>
      <c r="F4177" s="2" t="s">
        <v>793</v>
      </c>
      <c r="G4177" s="2" t="s">
        <v>4151</v>
      </c>
      <c r="H4177" s="2" t="s">
        <v>4143</v>
      </c>
      <c r="J4177" s="26"/>
      <c r="K4177" s="36">
        <v>4.0000000000000001E-8</v>
      </c>
      <c r="L4177" s="23">
        <v>0</v>
      </c>
    </row>
    <row r="4178" spans="1:12" ht="15.35" hidden="1" x14ac:dyDescent="0.55000000000000004">
      <c r="A4178" s="20">
        <v>15791</v>
      </c>
      <c r="B4178" s="2" t="s">
        <v>193</v>
      </c>
      <c r="C4178" s="2" t="s">
        <v>194</v>
      </c>
      <c r="D4178" s="20">
        <v>0</v>
      </c>
      <c r="E4178" s="2" t="s">
        <v>838</v>
      </c>
      <c r="F4178" s="2" t="s">
        <v>793</v>
      </c>
      <c r="G4178" s="2" t="s">
        <v>4152</v>
      </c>
      <c r="H4178" s="2" t="s">
        <v>4143</v>
      </c>
      <c r="J4178" s="26"/>
      <c r="K4178" s="36">
        <v>4.0000000000000001E-8</v>
      </c>
      <c r="L4178" s="23">
        <v>0</v>
      </c>
    </row>
    <row r="4179" spans="1:12" ht="15.35" hidden="1" x14ac:dyDescent="0.55000000000000004">
      <c r="A4179" s="20">
        <v>15603</v>
      </c>
      <c r="B4179" s="2" t="s">
        <v>193</v>
      </c>
      <c r="C4179" s="2" t="s">
        <v>194</v>
      </c>
      <c r="D4179" s="20">
        <v>0</v>
      </c>
      <c r="E4179" s="2" t="s">
        <v>838</v>
      </c>
      <c r="F4179" s="2" t="s">
        <v>793</v>
      </c>
      <c r="G4179" s="2" t="s">
        <v>4023</v>
      </c>
      <c r="H4179" s="2" t="s">
        <v>4022</v>
      </c>
      <c r="J4179" s="26"/>
      <c r="K4179" s="36">
        <v>2.5799999999999999E-6</v>
      </c>
      <c r="L4179" s="23">
        <v>2.6E-7</v>
      </c>
    </row>
    <row r="4180" spans="1:12" ht="15.35" hidden="1" x14ac:dyDescent="0.55000000000000004">
      <c r="A4180" s="20">
        <v>15612</v>
      </c>
      <c r="B4180" s="2" t="s">
        <v>193</v>
      </c>
      <c r="C4180" s="2" t="s">
        <v>194</v>
      </c>
      <c r="D4180" s="20">
        <v>0</v>
      </c>
      <c r="E4180" s="2" t="s">
        <v>838</v>
      </c>
      <c r="F4180" s="2" t="s">
        <v>793</v>
      </c>
      <c r="G4180" s="2" t="s">
        <v>4024</v>
      </c>
      <c r="H4180" s="2" t="s">
        <v>4022</v>
      </c>
      <c r="J4180" s="26"/>
      <c r="K4180" s="36">
        <v>1.88E-6</v>
      </c>
      <c r="L4180" s="23">
        <v>1.9000000000000001E-7</v>
      </c>
    </row>
    <row r="4181" spans="1:12" ht="15.35" hidden="1" x14ac:dyDescent="0.55000000000000004">
      <c r="A4181" s="20">
        <v>15566</v>
      </c>
      <c r="B4181" s="2" t="s">
        <v>193</v>
      </c>
      <c r="C4181" s="2" t="s">
        <v>194</v>
      </c>
      <c r="D4181" s="20">
        <v>0</v>
      </c>
      <c r="E4181" s="2" t="s">
        <v>838</v>
      </c>
      <c r="F4181" s="2" t="s">
        <v>793</v>
      </c>
      <c r="G4181" s="2" t="s">
        <v>4025</v>
      </c>
      <c r="H4181" s="2" t="s">
        <v>4022</v>
      </c>
      <c r="J4181" s="26"/>
      <c r="K4181" s="36">
        <v>2.6199999999999999E-6</v>
      </c>
      <c r="L4181" s="23">
        <v>2.6E-7</v>
      </c>
    </row>
    <row r="4182" spans="1:12" ht="15.35" hidden="1" x14ac:dyDescent="0.55000000000000004">
      <c r="A4182" s="20">
        <v>15621</v>
      </c>
      <c r="B4182" s="2" t="s">
        <v>193</v>
      </c>
      <c r="C4182" s="2" t="s">
        <v>194</v>
      </c>
      <c r="D4182" s="20">
        <v>0</v>
      </c>
      <c r="E4182" s="2" t="s">
        <v>838</v>
      </c>
      <c r="F4182" s="2" t="s">
        <v>793</v>
      </c>
      <c r="G4182" s="2" t="s">
        <v>4029</v>
      </c>
      <c r="H4182" s="2" t="s">
        <v>4022</v>
      </c>
      <c r="J4182" s="26"/>
      <c r="K4182" s="36">
        <v>1.5099999999999999E-6</v>
      </c>
      <c r="L4182" s="23">
        <v>1.4999999999999999E-7</v>
      </c>
    </row>
    <row r="4183" spans="1:12" ht="15.35" hidden="1" x14ac:dyDescent="0.55000000000000004">
      <c r="A4183" s="20">
        <v>15610</v>
      </c>
      <c r="B4183" s="2" t="s">
        <v>193</v>
      </c>
      <c r="C4183" s="2" t="s">
        <v>194</v>
      </c>
      <c r="D4183" s="20">
        <v>0</v>
      </c>
      <c r="E4183" s="2" t="s">
        <v>838</v>
      </c>
      <c r="F4183" s="2" t="s">
        <v>793</v>
      </c>
      <c r="G4183" s="2" t="s">
        <v>4030</v>
      </c>
      <c r="H4183" s="2" t="s">
        <v>4022</v>
      </c>
      <c r="J4183" s="26"/>
      <c r="K4183" s="36">
        <v>1.9800000000000001E-6</v>
      </c>
      <c r="L4183" s="23">
        <v>1.9999999999999999E-7</v>
      </c>
    </row>
    <row r="4184" spans="1:12" ht="15.35" hidden="1" x14ac:dyDescent="0.55000000000000004">
      <c r="A4184" s="20">
        <v>15668</v>
      </c>
      <c r="B4184" s="2" t="s">
        <v>193</v>
      </c>
      <c r="C4184" s="2" t="s">
        <v>194</v>
      </c>
      <c r="D4184" s="20">
        <v>0</v>
      </c>
      <c r="E4184" s="2" t="s">
        <v>838</v>
      </c>
      <c r="F4184" s="2" t="s">
        <v>793</v>
      </c>
      <c r="G4184" s="2" t="s">
        <v>1002</v>
      </c>
      <c r="H4184" s="2" t="s">
        <v>1003</v>
      </c>
      <c r="J4184" s="26"/>
      <c r="K4184" s="36">
        <v>6.1999999999999999E-7</v>
      </c>
      <c r="L4184" s="23">
        <v>5.9999999999999995E-8</v>
      </c>
    </row>
    <row r="4185" spans="1:12" ht="15.35" hidden="1" x14ac:dyDescent="0.55000000000000004">
      <c r="A4185" s="20">
        <v>15667</v>
      </c>
      <c r="B4185" s="2" t="s">
        <v>193</v>
      </c>
      <c r="C4185" s="2" t="s">
        <v>194</v>
      </c>
      <c r="D4185" s="20">
        <v>0</v>
      </c>
      <c r="E4185" s="2" t="s">
        <v>838</v>
      </c>
      <c r="F4185" s="2" t="s">
        <v>793</v>
      </c>
      <c r="G4185" s="2" t="s">
        <v>2712</v>
      </c>
      <c r="H4185" s="2" t="s">
        <v>1003</v>
      </c>
      <c r="J4185" s="26"/>
      <c r="K4185" s="36">
        <v>6.1999999999999999E-7</v>
      </c>
      <c r="L4185" s="23">
        <v>5.9999999999999995E-8</v>
      </c>
    </row>
    <row r="4186" spans="1:12" ht="15.35" hidden="1" x14ac:dyDescent="0.55000000000000004">
      <c r="A4186" s="20">
        <v>15648</v>
      </c>
      <c r="B4186" s="2" t="s">
        <v>193</v>
      </c>
      <c r="C4186" s="2" t="s">
        <v>194</v>
      </c>
      <c r="D4186" s="20">
        <v>0</v>
      </c>
      <c r="E4186" s="2" t="s">
        <v>838</v>
      </c>
      <c r="F4186" s="2" t="s">
        <v>793</v>
      </c>
      <c r="G4186" s="2" t="s">
        <v>2713</v>
      </c>
      <c r="H4186" s="2" t="s">
        <v>1003</v>
      </c>
      <c r="J4186" s="26"/>
      <c r="K4186" s="36">
        <v>8.2999999999999999E-7</v>
      </c>
      <c r="L4186" s="23">
        <v>8.0000000000000002E-8</v>
      </c>
    </row>
    <row r="4187" spans="1:12" ht="15.35" hidden="1" x14ac:dyDescent="0.55000000000000004">
      <c r="A4187" s="20">
        <v>15618</v>
      </c>
      <c r="B4187" s="2" t="s">
        <v>193</v>
      </c>
      <c r="C4187" s="2" t="s">
        <v>194</v>
      </c>
      <c r="D4187" s="20">
        <v>0</v>
      </c>
      <c r="E4187" s="2" t="s">
        <v>838</v>
      </c>
      <c r="F4187" s="2" t="s">
        <v>817</v>
      </c>
      <c r="G4187" s="2" t="s">
        <v>4153</v>
      </c>
      <c r="H4187" s="2" t="s">
        <v>1198</v>
      </c>
      <c r="J4187" s="26"/>
      <c r="K4187" s="36">
        <v>1.66E-6</v>
      </c>
      <c r="L4187" s="23">
        <v>1.6999999999999999E-7</v>
      </c>
    </row>
    <row r="4188" spans="1:12" ht="15.35" hidden="1" x14ac:dyDescent="0.55000000000000004">
      <c r="A4188" s="20">
        <v>15624</v>
      </c>
      <c r="B4188" s="2" t="s">
        <v>193</v>
      </c>
      <c r="C4188" s="2" t="s">
        <v>194</v>
      </c>
      <c r="D4188" s="20">
        <v>0</v>
      </c>
      <c r="E4188" s="2" t="s">
        <v>838</v>
      </c>
      <c r="F4188" s="2" t="s">
        <v>817</v>
      </c>
      <c r="G4188" s="2" t="s">
        <v>1825</v>
      </c>
      <c r="H4188" s="2" t="s">
        <v>1826</v>
      </c>
      <c r="J4188" s="26"/>
      <c r="K4188" s="36">
        <v>1.4300000000000001E-6</v>
      </c>
      <c r="L4188" s="23">
        <v>1.4000000000000001E-7</v>
      </c>
    </row>
    <row r="4189" spans="1:12" ht="15.35" hidden="1" x14ac:dyDescent="0.55000000000000004">
      <c r="A4189" s="20">
        <v>15810</v>
      </c>
      <c r="B4189" s="2" t="s">
        <v>193</v>
      </c>
      <c r="C4189" s="2" t="s">
        <v>194</v>
      </c>
      <c r="D4189" s="20">
        <v>0</v>
      </c>
      <c r="E4189" s="2" t="s">
        <v>838</v>
      </c>
      <c r="F4189" s="2" t="s">
        <v>811</v>
      </c>
      <c r="G4189" s="2" t="s">
        <v>4154</v>
      </c>
      <c r="H4189" s="2" t="s">
        <v>1773</v>
      </c>
      <c r="J4189" s="26"/>
      <c r="K4189" s="36">
        <v>4.0000000000000001E-8</v>
      </c>
      <c r="L4189" s="23">
        <v>0</v>
      </c>
    </row>
    <row r="4190" spans="1:12" ht="15.35" hidden="1" x14ac:dyDescent="0.55000000000000004">
      <c r="A4190" s="20">
        <v>15756</v>
      </c>
      <c r="B4190" s="2" t="s">
        <v>193</v>
      </c>
      <c r="C4190" s="2" t="s">
        <v>194</v>
      </c>
      <c r="D4190" s="20">
        <v>0</v>
      </c>
      <c r="E4190" s="2" t="s">
        <v>838</v>
      </c>
      <c r="F4190" s="2" t="s">
        <v>811</v>
      </c>
      <c r="G4190" s="2" t="s">
        <v>4155</v>
      </c>
      <c r="H4190" s="2" t="s">
        <v>1773</v>
      </c>
      <c r="J4190" s="26"/>
      <c r="K4190" s="36">
        <v>8.0000000000000002E-8</v>
      </c>
      <c r="L4190" s="23">
        <v>1E-8</v>
      </c>
    </row>
    <row r="4191" spans="1:12" ht="15.35" hidden="1" x14ac:dyDescent="0.55000000000000004">
      <c r="A4191" s="20">
        <v>15753</v>
      </c>
      <c r="B4191" s="2" t="s">
        <v>193</v>
      </c>
      <c r="C4191" s="2" t="s">
        <v>194</v>
      </c>
      <c r="D4191" s="20">
        <v>0</v>
      </c>
      <c r="E4191" s="2" t="s">
        <v>838</v>
      </c>
      <c r="F4191" s="2" t="s">
        <v>811</v>
      </c>
      <c r="G4191" s="2" t="s">
        <v>4156</v>
      </c>
      <c r="H4191" s="2" t="s">
        <v>2609</v>
      </c>
      <c r="J4191" s="26"/>
      <c r="K4191" s="36">
        <v>8.0000000000000002E-8</v>
      </c>
      <c r="L4191" s="23">
        <v>1E-8</v>
      </c>
    </row>
    <row r="4192" spans="1:12" ht="15.35" hidden="1" x14ac:dyDescent="0.55000000000000004">
      <c r="A4192" s="20">
        <v>15813</v>
      </c>
      <c r="B4192" s="2" t="s">
        <v>193</v>
      </c>
      <c r="C4192" s="2" t="s">
        <v>194</v>
      </c>
      <c r="D4192" s="20">
        <v>0</v>
      </c>
      <c r="E4192" s="2" t="s">
        <v>838</v>
      </c>
      <c r="F4192" s="2" t="s">
        <v>811</v>
      </c>
      <c r="G4192" s="2" t="s">
        <v>4157</v>
      </c>
      <c r="H4192" s="2" t="s">
        <v>2609</v>
      </c>
      <c r="J4192" s="26"/>
      <c r="K4192" s="36">
        <v>4.0000000000000001E-8</v>
      </c>
      <c r="L4192" s="23">
        <v>0</v>
      </c>
    </row>
    <row r="4193" spans="1:12" ht="15.35" hidden="1" x14ac:dyDescent="0.55000000000000004">
      <c r="A4193" s="20">
        <v>15816</v>
      </c>
      <c r="B4193" s="2" t="s">
        <v>193</v>
      </c>
      <c r="C4193" s="2" t="s">
        <v>194</v>
      </c>
      <c r="D4193" s="20">
        <v>0</v>
      </c>
      <c r="E4193" s="2" t="s">
        <v>838</v>
      </c>
      <c r="F4193" s="2" t="s">
        <v>811</v>
      </c>
      <c r="G4193" s="2" t="s">
        <v>4158</v>
      </c>
      <c r="H4193" s="2" t="s">
        <v>2609</v>
      </c>
      <c r="J4193" s="26"/>
      <c r="K4193" s="36">
        <v>4.0000000000000001E-8</v>
      </c>
      <c r="L4193" s="23">
        <v>0</v>
      </c>
    </row>
    <row r="4194" spans="1:12" ht="15.35" hidden="1" x14ac:dyDescent="0.55000000000000004">
      <c r="A4194" s="20">
        <v>15770</v>
      </c>
      <c r="B4194" s="2" t="s">
        <v>193</v>
      </c>
      <c r="C4194" s="2" t="s">
        <v>194</v>
      </c>
      <c r="D4194" s="20">
        <v>0</v>
      </c>
      <c r="E4194" s="2" t="s">
        <v>838</v>
      </c>
      <c r="F4194" s="2" t="s">
        <v>811</v>
      </c>
      <c r="G4194" s="2" t="s">
        <v>4159</v>
      </c>
      <c r="H4194" s="2" t="s">
        <v>2609</v>
      </c>
      <c r="J4194" s="26"/>
      <c r="K4194" s="36">
        <v>5.9999999999999995E-8</v>
      </c>
      <c r="L4194" s="23">
        <v>1E-8</v>
      </c>
    </row>
    <row r="4195" spans="1:12" ht="15.35" hidden="1" x14ac:dyDescent="0.55000000000000004">
      <c r="A4195" s="20">
        <v>15800</v>
      </c>
      <c r="B4195" s="2" t="s">
        <v>193</v>
      </c>
      <c r="C4195" s="2" t="s">
        <v>194</v>
      </c>
      <c r="D4195" s="20">
        <v>0</v>
      </c>
      <c r="E4195" s="2" t="s">
        <v>838</v>
      </c>
      <c r="F4195" s="2" t="s">
        <v>811</v>
      </c>
      <c r="G4195" s="2" t="s">
        <v>4160</v>
      </c>
      <c r="H4195" s="2" t="s">
        <v>2609</v>
      </c>
      <c r="J4195" s="26"/>
      <c r="K4195" s="36">
        <v>4.0000000000000001E-8</v>
      </c>
      <c r="L4195" s="23">
        <v>0</v>
      </c>
    </row>
    <row r="4196" spans="1:12" ht="15.35" hidden="1" x14ac:dyDescent="0.55000000000000004">
      <c r="A4196" s="20">
        <v>15790</v>
      </c>
      <c r="B4196" s="2" t="s">
        <v>193</v>
      </c>
      <c r="C4196" s="2" t="s">
        <v>194</v>
      </c>
      <c r="D4196" s="20">
        <v>0</v>
      </c>
      <c r="E4196" s="2" t="s">
        <v>838</v>
      </c>
      <c r="F4196" s="2" t="s">
        <v>811</v>
      </c>
      <c r="G4196" s="2" t="s">
        <v>4161</v>
      </c>
      <c r="H4196" s="2" t="s">
        <v>2609</v>
      </c>
      <c r="J4196" s="26"/>
      <c r="K4196" s="36">
        <v>4.0000000000000001E-8</v>
      </c>
      <c r="L4196" s="23">
        <v>0</v>
      </c>
    </row>
    <row r="4197" spans="1:12" ht="15.35" hidden="1" x14ac:dyDescent="0.55000000000000004">
      <c r="A4197" s="20">
        <v>15812</v>
      </c>
      <c r="B4197" s="2" t="s">
        <v>193</v>
      </c>
      <c r="C4197" s="2" t="s">
        <v>194</v>
      </c>
      <c r="D4197" s="20">
        <v>0</v>
      </c>
      <c r="E4197" s="2" t="s">
        <v>838</v>
      </c>
      <c r="F4197" s="2" t="s">
        <v>811</v>
      </c>
      <c r="G4197" s="2" t="s">
        <v>4162</v>
      </c>
      <c r="H4197" s="2" t="s">
        <v>2609</v>
      </c>
      <c r="J4197" s="26"/>
      <c r="K4197" s="36">
        <v>4.0000000000000001E-8</v>
      </c>
      <c r="L4197" s="23">
        <v>0</v>
      </c>
    </row>
    <row r="4198" spans="1:12" ht="15.35" hidden="1" x14ac:dyDescent="0.55000000000000004">
      <c r="A4198" s="20">
        <v>15655</v>
      </c>
      <c r="B4198" s="2" t="s">
        <v>193</v>
      </c>
      <c r="C4198" s="2" t="s">
        <v>194</v>
      </c>
      <c r="D4198" s="20">
        <v>0</v>
      </c>
      <c r="E4198" s="2" t="s">
        <v>838</v>
      </c>
      <c r="F4198" s="2" t="s">
        <v>811</v>
      </c>
      <c r="G4198" s="2" t="s">
        <v>2740</v>
      </c>
      <c r="H4198" s="2" t="s">
        <v>1778</v>
      </c>
      <c r="J4198" s="26"/>
      <c r="K4198" s="36">
        <v>7.9999999999999996E-7</v>
      </c>
      <c r="L4198" s="23">
        <v>8.0000000000000002E-8</v>
      </c>
    </row>
    <row r="4199" spans="1:12" ht="15.35" hidden="1" x14ac:dyDescent="0.55000000000000004">
      <c r="A4199" s="20">
        <v>15645</v>
      </c>
      <c r="B4199" s="2" t="s">
        <v>193</v>
      </c>
      <c r="C4199" s="2" t="s">
        <v>194</v>
      </c>
      <c r="D4199" s="20">
        <v>0</v>
      </c>
      <c r="E4199" s="2" t="s">
        <v>838</v>
      </c>
      <c r="F4199" s="2" t="s">
        <v>811</v>
      </c>
      <c r="G4199" s="2" t="s">
        <v>2741</v>
      </c>
      <c r="H4199" s="2" t="s">
        <v>1778</v>
      </c>
      <c r="J4199" s="26"/>
      <c r="K4199" s="36">
        <v>8.7000000000000003E-7</v>
      </c>
      <c r="L4199" s="23">
        <v>8.9999999999999999E-8</v>
      </c>
    </row>
    <row r="4200" spans="1:12" ht="15.35" hidden="1" x14ac:dyDescent="0.55000000000000004">
      <c r="A4200" s="20">
        <v>15700</v>
      </c>
      <c r="B4200" s="2" t="s">
        <v>193</v>
      </c>
      <c r="C4200" s="2" t="s">
        <v>194</v>
      </c>
      <c r="D4200" s="20">
        <v>0</v>
      </c>
      <c r="E4200" s="2" t="s">
        <v>838</v>
      </c>
      <c r="F4200" s="2" t="s">
        <v>811</v>
      </c>
      <c r="G4200" s="2" t="s">
        <v>2742</v>
      </c>
      <c r="H4200" s="2" t="s">
        <v>1778</v>
      </c>
      <c r="J4200" s="26"/>
      <c r="K4200" s="36">
        <v>3.1E-7</v>
      </c>
      <c r="L4200" s="23">
        <v>2.9999999999999997E-8</v>
      </c>
    </row>
    <row r="4201" spans="1:12" ht="15.35" hidden="1" x14ac:dyDescent="0.55000000000000004">
      <c r="A4201" s="20">
        <v>15706</v>
      </c>
      <c r="B4201" s="2" t="s">
        <v>193</v>
      </c>
      <c r="C4201" s="2" t="s">
        <v>194</v>
      </c>
      <c r="D4201" s="20">
        <v>0</v>
      </c>
      <c r="E4201" s="2" t="s">
        <v>838</v>
      </c>
      <c r="F4201" s="2" t="s">
        <v>793</v>
      </c>
      <c r="G4201" s="2" t="s">
        <v>4163</v>
      </c>
      <c r="H4201" s="2" t="s">
        <v>4164</v>
      </c>
      <c r="J4201" s="26"/>
      <c r="K4201" s="36">
        <v>2.4999999999999999E-7</v>
      </c>
      <c r="L4201" s="23">
        <v>2E-8</v>
      </c>
    </row>
    <row r="4202" spans="1:12" ht="15.35" hidden="1" x14ac:dyDescent="0.55000000000000004">
      <c r="A4202" s="20">
        <v>15695</v>
      </c>
      <c r="B4202" s="2" t="s">
        <v>193</v>
      </c>
      <c r="C4202" s="2" t="s">
        <v>194</v>
      </c>
      <c r="D4202" s="20">
        <v>0</v>
      </c>
      <c r="E4202" s="2" t="s">
        <v>838</v>
      </c>
      <c r="F4202" s="2" t="s">
        <v>793</v>
      </c>
      <c r="G4202" s="2" t="s">
        <v>4165</v>
      </c>
      <c r="H4202" s="2" t="s">
        <v>1007</v>
      </c>
      <c r="J4202" s="26"/>
      <c r="K4202" s="36">
        <v>3.5999999999999999E-7</v>
      </c>
      <c r="L4202" s="23">
        <v>4.0000000000000001E-8</v>
      </c>
    </row>
    <row r="4203" spans="1:12" ht="15.35" hidden="1" x14ac:dyDescent="0.55000000000000004">
      <c r="A4203" s="20">
        <v>15623</v>
      </c>
      <c r="B4203" s="2" t="s">
        <v>193</v>
      </c>
      <c r="C4203" s="2" t="s">
        <v>194</v>
      </c>
      <c r="D4203" s="20">
        <v>0</v>
      </c>
      <c r="E4203" s="2" t="s">
        <v>838</v>
      </c>
      <c r="F4203" s="2" t="s">
        <v>793</v>
      </c>
      <c r="G4203" s="2" t="s">
        <v>1008</v>
      </c>
      <c r="H4203" s="2" t="s">
        <v>1007</v>
      </c>
      <c r="J4203" s="26"/>
      <c r="K4203" s="36">
        <v>1.5E-6</v>
      </c>
      <c r="L4203" s="23">
        <v>1.4999999999999999E-7</v>
      </c>
    </row>
    <row r="4204" spans="1:12" ht="15.35" hidden="1" x14ac:dyDescent="0.55000000000000004">
      <c r="A4204" s="20">
        <v>15689</v>
      </c>
      <c r="B4204" s="2" t="s">
        <v>193</v>
      </c>
      <c r="C4204" s="2" t="s">
        <v>194</v>
      </c>
      <c r="D4204" s="20">
        <v>0</v>
      </c>
      <c r="E4204" s="2" t="s">
        <v>838</v>
      </c>
      <c r="F4204" s="2" t="s">
        <v>793</v>
      </c>
      <c r="G4204" s="2" t="s">
        <v>3471</v>
      </c>
      <c r="H4204" s="2" t="s">
        <v>1007</v>
      </c>
      <c r="J4204" s="26"/>
      <c r="K4204" s="36">
        <v>3.9000000000000002E-7</v>
      </c>
      <c r="L4204" s="23">
        <v>4.0000000000000001E-8</v>
      </c>
    </row>
    <row r="4205" spans="1:12" ht="15.35" hidden="1" x14ac:dyDescent="0.55000000000000004">
      <c r="A4205" s="20">
        <v>15617</v>
      </c>
      <c r="B4205" s="2" t="s">
        <v>193</v>
      </c>
      <c r="C4205" s="2" t="s">
        <v>194</v>
      </c>
      <c r="D4205" s="20">
        <v>0</v>
      </c>
      <c r="E4205" s="2" t="s">
        <v>838</v>
      </c>
      <c r="F4205" s="2" t="s">
        <v>793</v>
      </c>
      <c r="G4205" s="2" t="s">
        <v>4166</v>
      </c>
      <c r="H4205" s="2" t="s">
        <v>1007</v>
      </c>
      <c r="J4205" s="26"/>
      <c r="K4205" s="36">
        <v>1.75E-6</v>
      </c>
      <c r="L4205" s="23">
        <v>1.6999999999999999E-7</v>
      </c>
    </row>
    <row r="4206" spans="1:12" ht="15.35" hidden="1" x14ac:dyDescent="0.55000000000000004">
      <c r="A4206" s="20">
        <v>15690</v>
      </c>
      <c r="B4206" s="2" t="s">
        <v>193</v>
      </c>
      <c r="C4206" s="2" t="s">
        <v>194</v>
      </c>
      <c r="D4206" s="20">
        <v>0</v>
      </c>
      <c r="E4206" s="2" t="s">
        <v>838</v>
      </c>
      <c r="F4206" s="2" t="s">
        <v>793</v>
      </c>
      <c r="G4206" s="2" t="s">
        <v>4167</v>
      </c>
      <c r="H4206" s="2" t="s">
        <v>1007</v>
      </c>
      <c r="J4206" s="26"/>
      <c r="K4206" s="36">
        <v>3.9000000000000002E-7</v>
      </c>
      <c r="L4206" s="23">
        <v>4.0000000000000001E-8</v>
      </c>
    </row>
    <row r="4207" spans="1:12" ht="15.35" hidden="1" x14ac:dyDescent="0.55000000000000004">
      <c r="A4207" s="20">
        <v>15600</v>
      </c>
      <c r="B4207" s="2" t="s">
        <v>193</v>
      </c>
      <c r="C4207" s="2" t="s">
        <v>194</v>
      </c>
      <c r="D4207" s="20">
        <v>0</v>
      </c>
      <c r="E4207" s="2" t="s">
        <v>838</v>
      </c>
      <c r="F4207" s="2" t="s">
        <v>793</v>
      </c>
      <c r="G4207" s="2" t="s">
        <v>4168</v>
      </c>
      <c r="H4207" s="2" t="s">
        <v>1007</v>
      </c>
      <c r="J4207" s="26"/>
      <c r="K4207" s="36">
        <v>2.6199999999999999E-6</v>
      </c>
      <c r="L4207" s="23">
        <v>2.6E-7</v>
      </c>
    </row>
    <row r="4208" spans="1:12" ht="15.35" hidden="1" x14ac:dyDescent="0.55000000000000004">
      <c r="A4208" s="20">
        <v>15707</v>
      </c>
      <c r="B4208" s="2" t="s">
        <v>193</v>
      </c>
      <c r="C4208" s="2" t="s">
        <v>194</v>
      </c>
      <c r="D4208" s="20">
        <v>0</v>
      </c>
      <c r="E4208" s="2" t="s">
        <v>838</v>
      </c>
      <c r="F4208" s="2" t="s">
        <v>793</v>
      </c>
      <c r="G4208" s="2" t="s">
        <v>4169</v>
      </c>
      <c r="H4208" s="2" t="s">
        <v>1007</v>
      </c>
      <c r="J4208" s="26"/>
      <c r="K4208" s="36">
        <v>2.4999999999999999E-7</v>
      </c>
      <c r="L4208" s="23">
        <v>2E-8</v>
      </c>
    </row>
    <row r="4209" spans="1:12" ht="15.35" hidden="1" x14ac:dyDescent="0.55000000000000004">
      <c r="A4209" s="20">
        <v>15696</v>
      </c>
      <c r="B4209" s="2" t="s">
        <v>193</v>
      </c>
      <c r="C4209" s="2" t="s">
        <v>194</v>
      </c>
      <c r="D4209" s="20">
        <v>0</v>
      </c>
      <c r="E4209" s="2" t="s">
        <v>838</v>
      </c>
      <c r="F4209" s="2" t="s">
        <v>793</v>
      </c>
      <c r="G4209" s="2" t="s">
        <v>2759</v>
      </c>
      <c r="H4209" s="2" t="s">
        <v>1007</v>
      </c>
      <c r="J4209" s="26"/>
      <c r="K4209" s="36">
        <v>3.5999999999999999E-7</v>
      </c>
      <c r="L4209" s="23">
        <v>4.0000000000000001E-8</v>
      </c>
    </row>
    <row r="4210" spans="1:12" ht="15.35" hidden="1" x14ac:dyDescent="0.55000000000000004">
      <c r="A4210" s="20">
        <v>15682</v>
      </c>
      <c r="B4210" s="2" t="s">
        <v>193</v>
      </c>
      <c r="C4210" s="2" t="s">
        <v>194</v>
      </c>
      <c r="D4210" s="20">
        <v>0</v>
      </c>
      <c r="E4210" s="2" t="s">
        <v>838</v>
      </c>
      <c r="F4210" s="2" t="s">
        <v>793</v>
      </c>
      <c r="G4210" s="2" t="s">
        <v>4170</v>
      </c>
      <c r="H4210" s="2" t="s">
        <v>1007</v>
      </c>
      <c r="J4210" s="26"/>
      <c r="K4210" s="36">
        <v>4.2E-7</v>
      </c>
      <c r="L4210" s="23">
        <v>4.0000000000000001E-8</v>
      </c>
    </row>
    <row r="4211" spans="1:12" ht="15.35" hidden="1" x14ac:dyDescent="0.55000000000000004">
      <c r="A4211" s="20">
        <v>15675</v>
      </c>
      <c r="B4211" s="2" t="s">
        <v>193</v>
      </c>
      <c r="C4211" s="2" t="s">
        <v>194</v>
      </c>
      <c r="D4211" s="20">
        <v>0</v>
      </c>
      <c r="E4211" s="2" t="s">
        <v>838</v>
      </c>
      <c r="F4211" s="2" t="s">
        <v>793</v>
      </c>
      <c r="G4211" s="2" t="s">
        <v>4171</v>
      </c>
      <c r="H4211" s="2" t="s">
        <v>1207</v>
      </c>
      <c r="J4211" s="26"/>
      <c r="K4211" s="36">
        <v>4.9999999999999998E-7</v>
      </c>
      <c r="L4211" s="23">
        <v>4.9999999999999998E-8</v>
      </c>
    </row>
    <row r="4212" spans="1:12" ht="15.35" hidden="1" x14ac:dyDescent="0.55000000000000004">
      <c r="A4212" s="20">
        <v>15674</v>
      </c>
      <c r="B4212" s="2" t="s">
        <v>193</v>
      </c>
      <c r="C4212" s="2" t="s">
        <v>194</v>
      </c>
      <c r="D4212" s="20">
        <v>0</v>
      </c>
      <c r="E4212" s="2" t="s">
        <v>838</v>
      </c>
      <c r="F4212" s="2" t="s">
        <v>793</v>
      </c>
      <c r="G4212" s="2" t="s">
        <v>4172</v>
      </c>
      <c r="H4212" s="2" t="s">
        <v>1207</v>
      </c>
      <c r="J4212" s="26"/>
      <c r="K4212" s="36">
        <v>4.9999999999999998E-7</v>
      </c>
      <c r="L4212" s="23">
        <v>4.9999999999999998E-8</v>
      </c>
    </row>
    <row r="4213" spans="1:12" ht="15.35" hidden="1" x14ac:dyDescent="0.55000000000000004">
      <c r="A4213" s="20">
        <v>15673</v>
      </c>
      <c r="B4213" s="2" t="s">
        <v>193</v>
      </c>
      <c r="C4213" s="2" t="s">
        <v>194</v>
      </c>
      <c r="D4213" s="20">
        <v>0</v>
      </c>
      <c r="E4213" s="2" t="s">
        <v>838</v>
      </c>
      <c r="F4213" s="2" t="s">
        <v>793</v>
      </c>
      <c r="G4213" s="2" t="s">
        <v>2762</v>
      </c>
      <c r="H4213" s="2" t="s">
        <v>1207</v>
      </c>
      <c r="J4213" s="26"/>
      <c r="K4213" s="36">
        <v>4.9999999999999998E-7</v>
      </c>
      <c r="L4213" s="23">
        <v>4.9999999999999998E-8</v>
      </c>
    </row>
    <row r="4214" spans="1:12" ht="15.35" hidden="1" x14ac:dyDescent="0.55000000000000004">
      <c r="A4214" s="20">
        <v>15677</v>
      </c>
      <c r="B4214" s="2" t="s">
        <v>193</v>
      </c>
      <c r="C4214" s="2" t="s">
        <v>194</v>
      </c>
      <c r="D4214" s="20">
        <v>0</v>
      </c>
      <c r="E4214" s="2" t="s">
        <v>838</v>
      </c>
      <c r="F4214" s="2" t="s">
        <v>793</v>
      </c>
      <c r="G4214" s="2" t="s">
        <v>2763</v>
      </c>
      <c r="H4214" s="2" t="s">
        <v>1207</v>
      </c>
      <c r="J4214" s="26"/>
      <c r="K4214" s="36">
        <v>4.9999999999999998E-7</v>
      </c>
      <c r="L4214" s="23">
        <v>4.9999999999999998E-8</v>
      </c>
    </row>
    <row r="4215" spans="1:12" ht="15.35" hidden="1" x14ac:dyDescent="0.55000000000000004">
      <c r="A4215" s="20">
        <v>15633</v>
      </c>
      <c r="B4215" s="2" t="s">
        <v>193</v>
      </c>
      <c r="C4215" s="2" t="s">
        <v>194</v>
      </c>
      <c r="D4215" s="20">
        <v>0</v>
      </c>
      <c r="E4215" s="2" t="s">
        <v>838</v>
      </c>
      <c r="F4215" s="2" t="s">
        <v>793</v>
      </c>
      <c r="G4215" s="2" t="s">
        <v>2769</v>
      </c>
      <c r="H4215" s="2" t="s">
        <v>1207</v>
      </c>
      <c r="J4215" s="26"/>
      <c r="K4215" s="36">
        <v>1.2500000000000001E-6</v>
      </c>
      <c r="L4215" s="23">
        <v>1.1999999999999999E-7</v>
      </c>
    </row>
    <row r="4216" spans="1:12" ht="15.35" hidden="1" x14ac:dyDescent="0.55000000000000004">
      <c r="A4216" s="20">
        <v>15602</v>
      </c>
      <c r="B4216" s="2" t="s">
        <v>193</v>
      </c>
      <c r="C4216" s="2" t="s">
        <v>194</v>
      </c>
      <c r="D4216" s="20">
        <v>0</v>
      </c>
      <c r="E4216" s="2" t="s">
        <v>838</v>
      </c>
      <c r="F4216" s="2" t="s">
        <v>793</v>
      </c>
      <c r="G4216" s="2" t="s">
        <v>1207</v>
      </c>
      <c r="H4216" s="2" t="s">
        <v>1207</v>
      </c>
      <c r="J4216" s="26"/>
      <c r="K4216" s="36">
        <v>2.6199999999999999E-6</v>
      </c>
      <c r="L4216" s="23">
        <v>2.6E-7</v>
      </c>
    </row>
    <row r="4217" spans="1:12" ht="15.35" hidden="1" x14ac:dyDescent="0.55000000000000004">
      <c r="A4217" s="20">
        <v>15662</v>
      </c>
      <c r="B4217" s="2" t="s">
        <v>193</v>
      </c>
      <c r="C4217" s="2" t="s">
        <v>194</v>
      </c>
      <c r="D4217" s="20">
        <v>0</v>
      </c>
      <c r="E4217" s="2" t="s">
        <v>838</v>
      </c>
      <c r="F4217" s="2" t="s">
        <v>848</v>
      </c>
      <c r="G4217" s="2" t="s">
        <v>1216</v>
      </c>
      <c r="H4217" s="2" t="s">
        <v>1216</v>
      </c>
      <c r="J4217" s="26"/>
      <c r="K4217" s="36">
        <v>6.1999999999999999E-7</v>
      </c>
      <c r="L4217" s="23">
        <v>5.9999999999999995E-8</v>
      </c>
    </row>
    <row r="4218" spans="1:12" ht="15.35" hidden="1" x14ac:dyDescent="0.55000000000000004">
      <c r="A4218" s="20">
        <v>15570</v>
      </c>
      <c r="B4218" s="2" t="s">
        <v>193</v>
      </c>
      <c r="C4218" s="2" t="s">
        <v>194</v>
      </c>
      <c r="D4218" s="20">
        <v>0</v>
      </c>
      <c r="E4218" s="2" t="s">
        <v>838</v>
      </c>
      <c r="F4218" s="2" t="s">
        <v>817</v>
      </c>
      <c r="G4218" s="2" t="s">
        <v>1010</v>
      </c>
      <c r="H4218" s="2" t="s">
        <v>1011</v>
      </c>
      <c r="J4218" s="26"/>
      <c r="K4218" s="36">
        <v>2.6199999999999999E-6</v>
      </c>
      <c r="L4218" s="23">
        <v>2.6E-7</v>
      </c>
    </row>
    <row r="4219" spans="1:12" ht="15.35" hidden="1" x14ac:dyDescent="0.55000000000000004">
      <c r="A4219" s="20">
        <v>15686</v>
      </c>
      <c r="B4219" s="2" t="s">
        <v>193</v>
      </c>
      <c r="C4219" s="2" t="s">
        <v>194</v>
      </c>
      <c r="D4219" s="20">
        <v>0</v>
      </c>
      <c r="E4219" s="2" t="s">
        <v>838</v>
      </c>
      <c r="F4219" s="2" t="s">
        <v>817</v>
      </c>
      <c r="G4219" s="2" t="s">
        <v>4173</v>
      </c>
      <c r="H4219" s="2" t="s">
        <v>1852</v>
      </c>
      <c r="J4219" s="26"/>
      <c r="K4219" s="36">
        <v>4.0999999999999999E-7</v>
      </c>
      <c r="L4219" s="23">
        <v>4.0000000000000001E-8</v>
      </c>
    </row>
    <row r="4220" spans="1:12" ht="15.35" hidden="1" x14ac:dyDescent="0.55000000000000004">
      <c r="A4220" s="20">
        <v>15605</v>
      </c>
      <c r="B4220" s="2" t="s">
        <v>193</v>
      </c>
      <c r="C4220" s="2" t="s">
        <v>194</v>
      </c>
      <c r="D4220" s="20">
        <v>0</v>
      </c>
      <c r="E4220" s="2" t="s">
        <v>838</v>
      </c>
      <c r="F4220" s="2" t="s">
        <v>817</v>
      </c>
      <c r="G4220" s="2" t="s">
        <v>2785</v>
      </c>
      <c r="H4220" s="2" t="s">
        <v>1852</v>
      </c>
      <c r="J4220" s="26"/>
      <c r="K4220" s="36">
        <v>2.3499999999999999E-6</v>
      </c>
      <c r="L4220" s="23">
        <v>2.2999999999999999E-7</v>
      </c>
    </row>
    <row r="4221" spans="1:12" ht="15.35" hidden="1" x14ac:dyDescent="0.55000000000000004">
      <c r="A4221" s="20">
        <v>15583</v>
      </c>
      <c r="B4221" s="2" t="s">
        <v>193</v>
      </c>
      <c r="C4221" s="2" t="s">
        <v>194</v>
      </c>
      <c r="D4221" s="20">
        <v>0</v>
      </c>
      <c r="E4221" s="2" t="s">
        <v>838</v>
      </c>
      <c r="F4221" s="2" t="s">
        <v>787</v>
      </c>
      <c r="G4221" s="2" t="s">
        <v>968</v>
      </c>
      <c r="H4221" s="2" t="s">
        <v>968</v>
      </c>
      <c r="J4221" s="26"/>
      <c r="K4221" s="36">
        <v>2.6199999999999999E-6</v>
      </c>
      <c r="L4221" s="23">
        <v>2.6E-7</v>
      </c>
    </row>
    <row r="4222" spans="1:12" ht="15.35" hidden="1" x14ac:dyDescent="0.55000000000000004">
      <c r="A4222" s="20">
        <v>15652</v>
      </c>
      <c r="B4222" s="2" t="s">
        <v>193</v>
      </c>
      <c r="C4222" s="2" t="s">
        <v>194</v>
      </c>
      <c r="D4222" s="20">
        <v>0</v>
      </c>
      <c r="E4222" s="2" t="s">
        <v>838</v>
      </c>
      <c r="F4222" s="2" t="s">
        <v>807</v>
      </c>
      <c r="G4222" s="2" t="s">
        <v>4174</v>
      </c>
      <c r="H4222" s="2" t="s">
        <v>1254</v>
      </c>
      <c r="J4222" s="26"/>
      <c r="K4222" s="36">
        <v>8.1999999999999998E-7</v>
      </c>
      <c r="L4222" s="23">
        <v>8.0000000000000002E-8</v>
      </c>
    </row>
    <row r="4223" spans="1:12" ht="15.35" hidden="1" x14ac:dyDescent="0.55000000000000004">
      <c r="A4223" s="20">
        <v>15651</v>
      </c>
      <c r="B4223" s="2" t="s">
        <v>193</v>
      </c>
      <c r="C4223" s="2" t="s">
        <v>194</v>
      </c>
      <c r="D4223" s="20">
        <v>0</v>
      </c>
      <c r="E4223" s="2" t="s">
        <v>838</v>
      </c>
      <c r="F4223" s="2" t="s">
        <v>807</v>
      </c>
      <c r="G4223" s="2" t="s">
        <v>4175</v>
      </c>
      <c r="H4223" s="2" t="s">
        <v>1254</v>
      </c>
      <c r="J4223" s="26"/>
      <c r="K4223" s="36">
        <v>8.1999999999999998E-7</v>
      </c>
      <c r="L4223" s="23">
        <v>8.0000000000000002E-8</v>
      </c>
    </row>
    <row r="4224" spans="1:12" ht="15.35" hidden="1" x14ac:dyDescent="0.55000000000000004">
      <c r="A4224" s="20">
        <v>15650</v>
      </c>
      <c r="B4224" s="2" t="s">
        <v>193</v>
      </c>
      <c r="C4224" s="2" t="s">
        <v>194</v>
      </c>
      <c r="D4224" s="20">
        <v>0</v>
      </c>
      <c r="E4224" s="2" t="s">
        <v>838</v>
      </c>
      <c r="F4224" s="2" t="s">
        <v>807</v>
      </c>
      <c r="G4224" s="2" t="s">
        <v>4176</v>
      </c>
      <c r="H4224" s="2" t="s">
        <v>1254</v>
      </c>
      <c r="J4224" s="26"/>
      <c r="K4224" s="36">
        <v>8.1999999999999998E-7</v>
      </c>
      <c r="L4224" s="23">
        <v>8.0000000000000002E-8</v>
      </c>
    </row>
    <row r="4225" spans="1:12" ht="15.35" hidden="1" x14ac:dyDescent="0.55000000000000004">
      <c r="A4225" s="20">
        <v>15714</v>
      </c>
      <c r="B4225" s="2" t="s">
        <v>193</v>
      </c>
      <c r="C4225" s="2" t="s">
        <v>194</v>
      </c>
      <c r="D4225" s="20">
        <v>0</v>
      </c>
      <c r="E4225" s="2" t="s">
        <v>838</v>
      </c>
      <c r="F4225" s="2" t="s">
        <v>807</v>
      </c>
      <c r="G4225" s="2" t="s">
        <v>4177</v>
      </c>
      <c r="H4225" s="2" t="s">
        <v>1254</v>
      </c>
      <c r="J4225" s="26"/>
      <c r="K4225" s="36">
        <v>1.9999999999999999E-7</v>
      </c>
      <c r="L4225" s="23">
        <v>2E-8</v>
      </c>
    </row>
    <row r="4226" spans="1:12" ht="15.35" hidden="1" x14ac:dyDescent="0.55000000000000004">
      <c r="A4226" s="20">
        <v>15629</v>
      </c>
      <c r="B4226" s="2" t="s">
        <v>193</v>
      </c>
      <c r="C4226" s="2" t="s">
        <v>194</v>
      </c>
      <c r="D4226" s="20">
        <v>0</v>
      </c>
      <c r="E4226" s="2" t="s">
        <v>838</v>
      </c>
      <c r="F4226" s="2" t="s">
        <v>807</v>
      </c>
      <c r="G4226" s="2" t="s">
        <v>2840</v>
      </c>
      <c r="H4226" s="2" t="s">
        <v>1254</v>
      </c>
      <c r="J4226" s="26"/>
      <c r="K4226" s="36">
        <v>1.2500000000000001E-6</v>
      </c>
      <c r="L4226" s="23">
        <v>1.1999999999999999E-7</v>
      </c>
    </row>
    <row r="4227" spans="1:12" ht="15.35" hidden="1" x14ac:dyDescent="0.55000000000000004">
      <c r="A4227" s="20">
        <v>15858</v>
      </c>
      <c r="B4227" s="2" t="s">
        <v>193</v>
      </c>
      <c r="C4227" s="2" t="s">
        <v>194</v>
      </c>
      <c r="D4227" s="20">
        <v>0</v>
      </c>
      <c r="E4227" s="2" t="s">
        <v>838</v>
      </c>
      <c r="F4227" s="2" t="s">
        <v>807</v>
      </c>
      <c r="G4227" s="2" t="s">
        <v>2841</v>
      </c>
      <c r="H4227" s="2" t="s">
        <v>1254</v>
      </c>
      <c r="J4227" s="26"/>
      <c r="K4227" s="36">
        <v>2E-8</v>
      </c>
      <c r="L4227" s="23">
        <v>0</v>
      </c>
    </row>
    <row r="4228" spans="1:12" ht="15.35" hidden="1" x14ac:dyDescent="0.55000000000000004">
      <c r="A4228" s="20">
        <v>15631</v>
      </c>
      <c r="B4228" s="2" t="s">
        <v>193</v>
      </c>
      <c r="C4228" s="2" t="s">
        <v>194</v>
      </c>
      <c r="D4228" s="20">
        <v>0</v>
      </c>
      <c r="E4228" s="2" t="s">
        <v>838</v>
      </c>
      <c r="F4228" s="2" t="s">
        <v>787</v>
      </c>
      <c r="G4228" s="2" t="s">
        <v>1270</v>
      </c>
      <c r="H4228" s="2" t="s">
        <v>1270</v>
      </c>
      <c r="J4228" s="26"/>
      <c r="K4228" s="36">
        <v>1.2500000000000001E-6</v>
      </c>
      <c r="L4228" s="23">
        <v>1.1999999999999999E-7</v>
      </c>
    </row>
    <row r="4229" spans="1:12" ht="15.35" hidden="1" x14ac:dyDescent="0.55000000000000004">
      <c r="A4229" s="20">
        <v>15587</v>
      </c>
      <c r="B4229" s="2" t="s">
        <v>193</v>
      </c>
      <c r="C4229" s="2" t="s">
        <v>194</v>
      </c>
      <c r="D4229" s="20">
        <v>0</v>
      </c>
      <c r="E4229" s="2" t="s">
        <v>838</v>
      </c>
      <c r="F4229" s="2" t="s">
        <v>817</v>
      </c>
      <c r="G4229" s="2" t="s">
        <v>2850</v>
      </c>
      <c r="H4229" s="2" t="s">
        <v>1284</v>
      </c>
      <c r="J4229" s="26"/>
      <c r="K4229" s="36">
        <v>2.6199999999999999E-6</v>
      </c>
      <c r="L4229" s="23">
        <v>2.6E-7</v>
      </c>
    </row>
    <row r="4230" spans="1:12" ht="15.35" hidden="1" x14ac:dyDescent="0.55000000000000004">
      <c r="A4230" s="20">
        <v>15681</v>
      </c>
      <c r="B4230" s="2" t="s">
        <v>193</v>
      </c>
      <c r="C4230" s="2" t="s">
        <v>194</v>
      </c>
      <c r="D4230" s="20">
        <v>0</v>
      </c>
      <c r="E4230" s="2" t="s">
        <v>838</v>
      </c>
      <c r="F4230" s="2" t="s">
        <v>817</v>
      </c>
      <c r="G4230" s="2" t="s">
        <v>4178</v>
      </c>
      <c r="H4230" s="2" t="s">
        <v>1284</v>
      </c>
      <c r="J4230" s="26"/>
      <c r="K4230" s="36">
        <v>4.3000000000000001E-7</v>
      </c>
      <c r="L4230" s="23">
        <v>4.0000000000000001E-8</v>
      </c>
    </row>
    <row r="4231" spans="1:12" ht="15.35" hidden="1" x14ac:dyDescent="0.55000000000000004">
      <c r="A4231" s="20">
        <v>15596</v>
      </c>
      <c r="B4231" s="2" t="s">
        <v>193</v>
      </c>
      <c r="C4231" s="2" t="s">
        <v>194</v>
      </c>
      <c r="D4231" s="20">
        <v>0</v>
      </c>
      <c r="E4231" s="2" t="s">
        <v>838</v>
      </c>
      <c r="F4231" s="2" t="s">
        <v>793</v>
      </c>
      <c r="G4231" s="2" t="s">
        <v>4179</v>
      </c>
      <c r="H4231" s="2" t="s">
        <v>892</v>
      </c>
      <c r="J4231" s="26"/>
      <c r="K4231" s="36">
        <v>2.6199999999999999E-6</v>
      </c>
      <c r="L4231" s="23">
        <v>2.6E-7</v>
      </c>
    </row>
    <row r="4232" spans="1:12" ht="15.35" hidden="1" x14ac:dyDescent="0.55000000000000004">
      <c r="A4232" s="20">
        <v>15593</v>
      </c>
      <c r="B4232" s="2" t="s">
        <v>193</v>
      </c>
      <c r="C4232" s="2" t="s">
        <v>194</v>
      </c>
      <c r="D4232" s="20">
        <v>0</v>
      </c>
      <c r="E4232" s="2" t="s">
        <v>838</v>
      </c>
      <c r="F4232" s="2" t="s">
        <v>793</v>
      </c>
      <c r="G4232" s="2" t="s">
        <v>4180</v>
      </c>
      <c r="H4232" s="2" t="s">
        <v>892</v>
      </c>
      <c r="J4232" s="26"/>
      <c r="K4232" s="36">
        <v>2.6199999999999999E-6</v>
      </c>
      <c r="L4232" s="23">
        <v>2.6E-7</v>
      </c>
    </row>
    <row r="4233" spans="1:12" ht="15.35" hidden="1" x14ac:dyDescent="0.55000000000000004">
      <c r="A4233" s="20">
        <v>15611</v>
      </c>
      <c r="B4233" s="2" t="s">
        <v>193</v>
      </c>
      <c r="C4233" s="2" t="s">
        <v>194</v>
      </c>
      <c r="D4233" s="20">
        <v>0</v>
      </c>
      <c r="E4233" s="2" t="s">
        <v>838</v>
      </c>
      <c r="F4233" s="2" t="s">
        <v>793</v>
      </c>
      <c r="G4233" s="2" t="s">
        <v>4181</v>
      </c>
      <c r="H4233" s="2" t="s">
        <v>892</v>
      </c>
      <c r="J4233" s="26"/>
      <c r="K4233" s="36">
        <v>1.9E-6</v>
      </c>
      <c r="L4233" s="23">
        <v>1.9000000000000001E-7</v>
      </c>
    </row>
    <row r="4234" spans="1:12" ht="15.35" hidden="1" x14ac:dyDescent="0.55000000000000004">
      <c r="A4234" s="20">
        <v>15615</v>
      </c>
      <c r="B4234" s="2" t="s">
        <v>193</v>
      </c>
      <c r="C4234" s="2" t="s">
        <v>194</v>
      </c>
      <c r="D4234" s="20">
        <v>0</v>
      </c>
      <c r="E4234" s="2" t="s">
        <v>838</v>
      </c>
      <c r="F4234" s="2" t="s">
        <v>793</v>
      </c>
      <c r="G4234" s="2" t="s">
        <v>4182</v>
      </c>
      <c r="H4234" s="2" t="s">
        <v>892</v>
      </c>
      <c r="J4234" s="26"/>
      <c r="K4234" s="36">
        <v>1.86E-6</v>
      </c>
      <c r="L4234" s="23">
        <v>1.9000000000000001E-7</v>
      </c>
    </row>
    <row r="4235" spans="1:12" ht="15.35" hidden="1" x14ac:dyDescent="0.55000000000000004">
      <c r="A4235" s="20">
        <v>15598</v>
      </c>
      <c r="B4235" s="2" t="s">
        <v>193</v>
      </c>
      <c r="C4235" s="2" t="s">
        <v>194</v>
      </c>
      <c r="D4235" s="20">
        <v>0</v>
      </c>
      <c r="E4235" s="2" t="s">
        <v>838</v>
      </c>
      <c r="F4235" s="2" t="s">
        <v>793</v>
      </c>
      <c r="G4235" s="2" t="s">
        <v>4183</v>
      </c>
      <c r="H4235" s="2" t="s">
        <v>842</v>
      </c>
      <c r="J4235" s="26"/>
      <c r="K4235" s="36">
        <v>2.6199999999999999E-6</v>
      </c>
      <c r="L4235" s="23">
        <v>2.6E-7</v>
      </c>
    </row>
    <row r="4236" spans="1:12" ht="15.35" hidden="1" x14ac:dyDescent="0.55000000000000004">
      <c r="A4236" s="20">
        <v>15693</v>
      </c>
      <c r="B4236" s="2" t="s">
        <v>193</v>
      </c>
      <c r="C4236" s="2" t="s">
        <v>194</v>
      </c>
      <c r="D4236" s="20">
        <v>0</v>
      </c>
      <c r="E4236" s="2" t="s">
        <v>838</v>
      </c>
      <c r="F4236" s="2" t="s">
        <v>793</v>
      </c>
      <c r="G4236" s="2" t="s">
        <v>4184</v>
      </c>
      <c r="H4236" s="2" t="s">
        <v>842</v>
      </c>
      <c r="J4236" s="26"/>
      <c r="K4236" s="36">
        <v>3.7E-7</v>
      </c>
      <c r="L4236" s="23">
        <v>4.0000000000000001E-8</v>
      </c>
    </row>
    <row r="4237" spans="1:12" ht="15.35" hidden="1" x14ac:dyDescent="0.55000000000000004">
      <c r="A4237" s="20">
        <v>15639</v>
      </c>
      <c r="B4237" s="2" t="s">
        <v>193</v>
      </c>
      <c r="C4237" s="2" t="s">
        <v>194</v>
      </c>
      <c r="D4237" s="20">
        <v>0</v>
      </c>
      <c r="E4237" s="2" t="s">
        <v>838</v>
      </c>
      <c r="F4237" s="2" t="s">
        <v>798</v>
      </c>
      <c r="G4237" s="2" t="s">
        <v>2869</v>
      </c>
      <c r="H4237" s="2" t="s">
        <v>1184</v>
      </c>
      <c r="J4237" s="26"/>
      <c r="K4237" s="36">
        <v>1.0300000000000001E-6</v>
      </c>
      <c r="L4237" s="23">
        <v>9.9999999999999995E-8</v>
      </c>
    </row>
    <row r="4238" spans="1:12" ht="15.35" hidden="1" x14ac:dyDescent="0.55000000000000004">
      <c r="A4238" s="20">
        <v>15741</v>
      </c>
      <c r="B4238" s="2" t="s">
        <v>193</v>
      </c>
      <c r="C4238" s="2" t="s">
        <v>194</v>
      </c>
      <c r="D4238" s="20">
        <v>0</v>
      </c>
      <c r="E4238" s="2" t="s">
        <v>838</v>
      </c>
      <c r="F4238" s="2" t="s">
        <v>798</v>
      </c>
      <c r="G4238" s="2" t="s">
        <v>4185</v>
      </c>
      <c r="H4238" s="2" t="s">
        <v>1184</v>
      </c>
      <c r="J4238" s="26"/>
      <c r="K4238" s="36">
        <v>1.1999999999999999E-7</v>
      </c>
      <c r="L4238" s="23">
        <v>1E-8</v>
      </c>
    </row>
    <row r="4239" spans="1:12" ht="15.35" hidden="1" x14ac:dyDescent="0.55000000000000004">
      <c r="A4239" s="20">
        <v>15712</v>
      </c>
      <c r="B4239" s="2" t="s">
        <v>193</v>
      </c>
      <c r="C4239" s="2" t="s">
        <v>194</v>
      </c>
      <c r="D4239" s="20">
        <v>0</v>
      </c>
      <c r="E4239" s="2" t="s">
        <v>838</v>
      </c>
      <c r="F4239" s="2" t="s">
        <v>798</v>
      </c>
      <c r="G4239" s="2" t="s">
        <v>2870</v>
      </c>
      <c r="H4239" s="2" t="s">
        <v>1184</v>
      </c>
      <c r="J4239" s="26"/>
      <c r="K4239" s="36">
        <v>2.1E-7</v>
      </c>
      <c r="L4239" s="23">
        <v>2E-8</v>
      </c>
    </row>
    <row r="4240" spans="1:12" ht="15.35" hidden="1" x14ac:dyDescent="0.55000000000000004">
      <c r="A4240" s="20">
        <v>15656</v>
      </c>
      <c r="B4240" s="2" t="s">
        <v>193</v>
      </c>
      <c r="C4240" s="2" t="s">
        <v>194</v>
      </c>
      <c r="D4240" s="20">
        <v>0</v>
      </c>
      <c r="E4240" s="2" t="s">
        <v>838</v>
      </c>
      <c r="F4240" s="2" t="s">
        <v>793</v>
      </c>
      <c r="G4240" s="2" t="s">
        <v>2871</v>
      </c>
      <c r="H4240" s="2" t="s">
        <v>1184</v>
      </c>
      <c r="J4240" s="26"/>
      <c r="K4240" s="36">
        <v>7.8999999999999995E-7</v>
      </c>
      <c r="L4240" s="23">
        <v>8.0000000000000002E-8</v>
      </c>
    </row>
    <row r="4241" spans="1:12" ht="15.35" hidden="1" x14ac:dyDescent="0.55000000000000004">
      <c r="A4241" s="20">
        <v>15594</v>
      </c>
      <c r="B4241" s="2" t="s">
        <v>193</v>
      </c>
      <c r="C4241" s="2" t="s">
        <v>194</v>
      </c>
      <c r="D4241" s="20">
        <v>0</v>
      </c>
      <c r="E4241" s="2" t="s">
        <v>838</v>
      </c>
      <c r="F4241" s="2" t="s">
        <v>793</v>
      </c>
      <c r="G4241" s="2" t="s">
        <v>4047</v>
      </c>
      <c r="H4241" s="2" t="s">
        <v>975</v>
      </c>
      <c r="J4241" s="26"/>
      <c r="K4241" s="36">
        <v>2.6199999999999999E-6</v>
      </c>
      <c r="L4241" s="23">
        <v>2.6E-7</v>
      </c>
    </row>
    <row r="4242" spans="1:12" ht="15.35" hidden="1" x14ac:dyDescent="0.55000000000000004">
      <c r="A4242" s="20">
        <v>15609</v>
      </c>
      <c r="B4242" s="2" t="s">
        <v>193</v>
      </c>
      <c r="C4242" s="2" t="s">
        <v>194</v>
      </c>
      <c r="D4242" s="20">
        <v>0</v>
      </c>
      <c r="E4242" s="2" t="s">
        <v>838</v>
      </c>
      <c r="F4242" s="2" t="s">
        <v>848</v>
      </c>
      <c r="G4242" s="2" t="s">
        <v>1042</v>
      </c>
      <c r="H4242" s="2" t="s">
        <v>1042</v>
      </c>
      <c r="J4242" s="26"/>
      <c r="K4242" s="36">
        <v>1.9999999999999999E-6</v>
      </c>
      <c r="L4242" s="23">
        <v>1.9999999999999999E-7</v>
      </c>
    </row>
    <row r="4243" spans="1:12" ht="15.35" hidden="1" x14ac:dyDescent="0.55000000000000004">
      <c r="A4243" s="20">
        <v>15869</v>
      </c>
      <c r="B4243" s="2" t="s">
        <v>193</v>
      </c>
      <c r="C4243" s="2" t="s">
        <v>194</v>
      </c>
      <c r="D4243" s="20">
        <v>0</v>
      </c>
      <c r="E4243" s="2" t="s">
        <v>838</v>
      </c>
      <c r="F4243" s="2" t="s">
        <v>793</v>
      </c>
      <c r="G4243" s="2" t="s">
        <v>2875</v>
      </c>
      <c r="H4243" s="2" t="s">
        <v>2876</v>
      </c>
      <c r="J4243" s="26"/>
      <c r="K4243" s="36">
        <v>2E-8</v>
      </c>
      <c r="L4243" s="23">
        <v>0</v>
      </c>
    </row>
    <row r="4244" spans="1:12" ht="15.35" x14ac:dyDescent="0.55000000000000004">
      <c r="A4244" s="20">
        <v>15870</v>
      </c>
      <c r="B4244" s="2" t="s">
        <v>193</v>
      </c>
      <c r="C4244" s="2" t="s">
        <v>194</v>
      </c>
      <c r="D4244" s="20">
        <v>0</v>
      </c>
      <c r="E4244" s="2" t="s">
        <v>838</v>
      </c>
      <c r="F4244" s="2" t="s">
        <v>793</v>
      </c>
      <c r="G4244" s="2" t="s">
        <v>4050</v>
      </c>
      <c r="J4244" s="26"/>
      <c r="K4244" s="36">
        <v>2E-8</v>
      </c>
      <c r="L4244" s="23">
        <v>0</v>
      </c>
    </row>
    <row r="4245" spans="1:12" ht="15.35" hidden="1" x14ac:dyDescent="0.55000000000000004">
      <c r="A4245" s="20">
        <v>15759</v>
      </c>
      <c r="B4245" s="2" t="s">
        <v>193</v>
      </c>
      <c r="C4245" s="2" t="s">
        <v>194</v>
      </c>
      <c r="D4245" s="20">
        <v>0</v>
      </c>
      <c r="E4245" s="2" t="s">
        <v>838</v>
      </c>
      <c r="F4245" s="2" t="s">
        <v>793</v>
      </c>
      <c r="G4245" s="2" t="s">
        <v>2877</v>
      </c>
      <c r="H4245" s="2" t="s">
        <v>2878</v>
      </c>
      <c r="J4245" s="26"/>
      <c r="K4245" s="36">
        <v>8.0000000000000002E-8</v>
      </c>
      <c r="L4245" s="23">
        <v>1E-8</v>
      </c>
    </row>
    <row r="4246" spans="1:12" ht="15.35" hidden="1" x14ac:dyDescent="0.55000000000000004">
      <c r="A4246" s="20">
        <v>15806</v>
      </c>
      <c r="B4246" s="2" t="s">
        <v>193</v>
      </c>
      <c r="C4246" s="2" t="s">
        <v>194</v>
      </c>
      <c r="D4246" s="20">
        <v>0</v>
      </c>
      <c r="E4246" s="2" t="s">
        <v>838</v>
      </c>
      <c r="F4246" s="2" t="s">
        <v>793</v>
      </c>
      <c r="G4246" s="2" t="s">
        <v>4051</v>
      </c>
      <c r="H4246" s="2" t="s">
        <v>4052</v>
      </c>
      <c r="J4246" s="26"/>
      <c r="K4246" s="36">
        <v>4.0000000000000001E-8</v>
      </c>
      <c r="L4246" s="23">
        <v>0</v>
      </c>
    </row>
    <row r="4247" spans="1:12" ht="15.35" hidden="1" x14ac:dyDescent="0.55000000000000004">
      <c r="A4247" s="20">
        <v>15676</v>
      </c>
      <c r="B4247" s="2" t="s">
        <v>193</v>
      </c>
      <c r="C4247" s="2" t="s">
        <v>194</v>
      </c>
      <c r="D4247" s="20">
        <v>0</v>
      </c>
      <c r="E4247" s="2" t="s">
        <v>838</v>
      </c>
      <c r="F4247" s="2" t="s">
        <v>793</v>
      </c>
      <c r="G4247" s="2" t="s">
        <v>4053</v>
      </c>
      <c r="H4247" s="2" t="s">
        <v>4052</v>
      </c>
      <c r="J4247" s="26"/>
      <c r="K4247" s="36">
        <v>4.9999999999999998E-7</v>
      </c>
      <c r="L4247" s="23">
        <v>4.9999999999999998E-8</v>
      </c>
    </row>
    <row r="4248" spans="1:12" ht="15.35" hidden="1" x14ac:dyDescent="0.55000000000000004">
      <c r="A4248" s="20">
        <v>15821</v>
      </c>
      <c r="B4248" s="2" t="s">
        <v>193</v>
      </c>
      <c r="C4248" s="2" t="s">
        <v>194</v>
      </c>
      <c r="D4248" s="20">
        <v>0</v>
      </c>
      <c r="E4248" s="2" t="s">
        <v>838</v>
      </c>
      <c r="F4248" s="2" t="s">
        <v>793</v>
      </c>
      <c r="G4248" s="2" t="s">
        <v>4059</v>
      </c>
      <c r="H4248" s="2" t="s">
        <v>1940</v>
      </c>
      <c r="J4248" s="26"/>
      <c r="K4248" s="36">
        <v>4.0000000000000001E-8</v>
      </c>
      <c r="L4248" s="23">
        <v>0</v>
      </c>
    </row>
    <row r="4249" spans="1:12" ht="15.35" hidden="1" x14ac:dyDescent="0.55000000000000004">
      <c r="A4249" s="20">
        <v>15823</v>
      </c>
      <c r="B4249" s="2" t="s">
        <v>193</v>
      </c>
      <c r="C4249" s="2" t="s">
        <v>194</v>
      </c>
      <c r="D4249" s="20">
        <v>0</v>
      </c>
      <c r="E4249" s="2" t="s">
        <v>838</v>
      </c>
      <c r="F4249" s="2" t="s">
        <v>793</v>
      </c>
      <c r="G4249" s="2" t="s">
        <v>4060</v>
      </c>
      <c r="H4249" s="2" t="s">
        <v>1940</v>
      </c>
      <c r="J4249" s="26"/>
      <c r="K4249" s="36">
        <v>4.0000000000000001E-8</v>
      </c>
      <c r="L4249" s="23">
        <v>0</v>
      </c>
    </row>
    <row r="4250" spans="1:12" ht="15.35" hidden="1" x14ac:dyDescent="0.55000000000000004">
      <c r="A4250" s="20">
        <v>15830</v>
      </c>
      <c r="B4250" s="2" t="s">
        <v>193</v>
      </c>
      <c r="C4250" s="2" t="s">
        <v>194</v>
      </c>
      <c r="D4250" s="20">
        <v>0</v>
      </c>
      <c r="E4250" s="2" t="s">
        <v>838</v>
      </c>
      <c r="F4250" s="2" t="s">
        <v>793</v>
      </c>
      <c r="G4250" s="2" t="s">
        <v>4061</v>
      </c>
      <c r="H4250" s="2" t="s">
        <v>1940</v>
      </c>
      <c r="J4250" s="26"/>
      <c r="K4250" s="36">
        <v>4.0000000000000001E-8</v>
      </c>
      <c r="L4250" s="23">
        <v>0</v>
      </c>
    </row>
    <row r="4251" spans="1:12" ht="15.35" hidden="1" x14ac:dyDescent="0.55000000000000004">
      <c r="A4251" s="20">
        <v>15828</v>
      </c>
      <c r="B4251" s="2" t="s">
        <v>193</v>
      </c>
      <c r="C4251" s="2" t="s">
        <v>194</v>
      </c>
      <c r="D4251" s="20">
        <v>0</v>
      </c>
      <c r="E4251" s="2" t="s">
        <v>838</v>
      </c>
      <c r="F4251" s="2" t="s">
        <v>793</v>
      </c>
      <c r="G4251" s="2" t="s">
        <v>4062</v>
      </c>
      <c r="H4251" s="2" t="s">
        <v>1940</v>
      </c>
      <c r="J4251" s="26"/>
      <c r="K4251" s="36">
        <v>4.0000000000000001E-8</v>
      </c>
      <c r="L4251" s="23">
        <v>0</v>
      </c>
    </row>
    <row r="4252" spans="1:12" ht="15.35" hidden="1" x14ac:dyDescent="0.55000000000000004">
      <c r="A4252" s="20">
        <v>15822</v>
      </c>
      <c r="B4252" s="2" t="s">
        <v>193</v>
      </c>
      <c r="C4252" s="2" t="s">
        <v>194</v>
      </c>
      <c r="D4252" s="20">
        <v>0</v>
      </c>
      <c r="E4252" s="2" t="s">
        <v>838</v>
      </c>
      <c r="F4252" s="2" t="s">
        <v>793</v>
      </c>
      <c r="G4252" s="2" t="s">
        <v>4063</v>
      </c>
      <c r="H4252" s="2" t="s">
        <v>1940</v>
      </c>
      <c r="J4252" s="26"/>
      <c r="K4252" s="36">
        <v>4.0000000000000001E-8</v>
      </c>
      <c r="L4252" s="23">
        <v>0</v>
      </c>
    </row>
    <row r="4253" spans="1:12" ht="15.35" hidden="1" x14ac:dyDescent="0.55000000000000004">
      <c r="A4253" s="20">
        <v>15825</v>
      </c>
      <c r="B4253" s="2" t="s">
        <v>193</v>
      </c>
      <c r="C4253" s="2" t="s">
        <v>194</v>
      </c>
      <c r="D4253" s="20">
        <v>0</v>
      </c>
      <c r="E4253" s="2" t="s">
        <v>838</v>
      </c>
      <c r="F4253" s="2" t="s">
        <v>793</v>
      </c>
      <c r="G4253" s="2" t="s">
        <v>4064</v>
      </c>
      <c r="H4253" s="2" t="s">
        <v>1940</v>
      </c>
      <c r="J4253" s="26"/>
      <c r="K4253" s="36">
        <v>4.0000000000000001E-8</v>
      </c>
      <c r="L4253" s="23">
        <v>0</v>
      </c>
    </row>
    <row r="4254" spans="1:12" ht="15.35" hidden="1" x14ac:dyDescent="0.55000000000000004">
      <c r="A4254" s="20">
        <v>15827</v>
      </c>
      <c r="B4254" s="2" t="s">
        <v>193</v>
      </c>
      <c r="C4254" s="2" t="s">
        <v>194</v>
      </c>
      <c r="D4254" s="20">
        <v>0</v>
      </c>
      <c r="E4254" s="2" t="s">
        <v>838</v>
      </c>
      <c r="F4254" s="2" t="s">
        <v>793</v>
      </c>
      <c r="G4254" s="2" t="s">
        <v>4065</v>
      </c>
      <c r="H4254" s="2" t="s">
        <v>1940</v>
      </c>
      <c r="J4254" s="26"/>
      <c r="K4254" s="36">
        <v>4.0000000000000001E-8</v>
      </c>
      <c r="L4254" s="23">
        <v>0</v>
      </c>
    </row>
    <row r="4255" spans="1:12" ht="15.35" hidden="1" x14ac:dyDescent="0.55000000000000004">
      <c r="A4255" s="20">
        <v>15824</v>
      </c>
      <c r="B4255" s="2" t="s">
        <v>193</v>
      </c>
      <c r="C4255" s="2" t="s">
        <v>194</v>
      </c>
      <c r="D4255" s="20">
        <v>0</v>
      </c>
      <c r="E4255" s="2" t="s">
        <v>838</v>
      </c>
      <c r="F4255" s="2" t="s">
        <v>793</v>
      </c>
      <c r="G4255" s="2" t="s">
        <v>4066</v>
      </c>
      <c r="H4255" s="2" t="s">
        <v>1940</v>
      </c>
      <c r="J4255" s="26"/>
      <c r="K4255" s="36">
        <v>4.0000000000000001E-8</v>
      </c>
      <c r="L4255" s="23">
        <v>0</v>
      </c>
    </row>
    <row r="4256" spans="1:12" ht="15.35" hidden="1" x14ac:dyDescent="0.55000000000000004">
      <c r="A4256" s="20">
        <v>15826</v>
      </c>
      <c r="B4256" s="2" t="s">
        <v>193</v>
      </c>
      <c r="C4256" s="2" t="s">
        <v>194</v>
      </c>
      <c r="D4256" s="20">
        <v>0</v>
      </c>
      <c r="E4256" s="2" t="s">
        <v>838</v>
      </c>
      <c r="F4256" s="2" t="s">
        <v>793</v>
      </c>
      <c r="G4256" s="2" t="s">
        <v>4067</v>
      </c>
      <c r="H4256" s="2" t="s">
        <v>1940</v>
      </c>
      <c r="J4256" s="26"/>
      <c r="K4256" s="36">
        <v>4.0000000000000001E-8</v>
      </c>
      <c r="L4256" s="23">
        <v>0</v>
      </c>
    </row>
    <row r="4257" spans="1:12" ht="15.35" hidden="1" x14ac:dyDescent="0.55000000000000004">
      <c r="A4257" s="20">
        <v>15829</v>
      </c>
      <c r="B4257" s="2" t="s">
        <v>193</v>
      </c>
      <c r="C4257" s="2" t="s">
        <v>194</v>
      </c>
      <c r="D4257" s="20">
        <v>0</v>
      </c>
      <c r="E4257" s="2" t="s">
        <v>838</v>
      </c>
      <c r="F4257" s="2" t="s">
        <v>793</v>
      </c>
      <c r="G4257" s="2" t="s">
        <v>4068</v>
      </c>
      <c r="H4257" s="2" t="s">
        <v>1940</v>
      </c>
      <c r="J4257" s="26"/>
      <c r="K4257" s="36">
        <v>4.0000000000000001E-8</v>
      </c>
      <c r="L4257" s="23">
        <v>0</v>
      </c>
    </row>
    <row r="4258" spans="1:12" ht="15.35" hidden="1" x14ac:dyDescent="0.55000000000000004">
      <c r="A4258" s="20">
        <v>15688</v>
      </c>
      <c r="B4258" s="2" t="s">
        <v>193</v>
      </c>
      <c r="C4258" s="2" t="s">
        <v>194</v>
      </c>
      <c r="D4258" s="20">
        <v>0</v>
      </c>
      <c r="E4258" s="2" t="s">
        <v>838</v>
      </c>
      <c r="F4258" s="2" t="s">
        <v>793</v>
      </c>
      <c r="G4258" s="2" t="s">
        <v>4069</v>
      </c>
      <c r="H4258" s="2" t="s">
        <v>1940</v>
      </c>
      <c r="J4258" s="26"/>
      <c r="K4258" s="36">
        <v>3.9999999999999998E-7</v>
      </c>
      <c r="L4258" s="23">
        <v>4.0000000000000001E-8</v>
      </c>
    </row>
    <row r="4259" spans="1:12" ht="15.35" hidden="1" x14ac:dyDescent="0.55000000000000004">
      <c r="A4259" s="20">
        <v>15697</v>
      </c>
      <c r="B4259" s="2" t="s">
        <v>193</v>
      </c>
      <c r="C4259" s="2" t="s">
        <v>194</v>
      </c>
      <c r="D4259" s="20">
        <v>0</v>
      </c>
      <c r="E4259" s="2" t="s">
        <v>838</v>
      </c>
      <c r="F4259" s="2" t="s">
        <v>793</v>
      </c>
      <c r="G4259" s="2" t="s">
        <v>4070</v>
      </c>
      <c r="H4259" s="2" t="s">
        <v>1940</v>
      </c>
      <c r="J4259" s="26"/>
      <c r="K4259" s="36">
        <v>3.3000000000000002E-7</v>
      </c>
      <c r="L4259" s="23">
        <v>2.9999999999999997E-8</v>
      </c>
    </row>
    <row r="4260" spans="1:12" ht="15.35" hidden="1" x14ac:dyDescent="0.55000000000000004">
      <c r="A4260" s="20">
        <v>15745</v>
      </c>
      <c r="B4260" s="2" t="s">
        <v>193</v>
      </c>
      <c r="C4260" s="2" t="s">
        <v>194</v>
      </c>
      <c r="D4260" s="20">
        <v>0</v>
      </c>
      <c r="E4260" s="2" t="s">
        <v>838</v>
      </c>
      <c r="F4260" s="2" t="s">
        <v>817</v>
      </c>
      <c r="G4260" s="2" t="s">
        <v>4073</v>
      </c>
      <c r="H4260" s="2" t="s">
        <v>1940</v>
      </c>
      <c r="J4260" s="26"/>
      <c r="K4260" s="36">
        <v>1.1000000000000001E-7</v>
      </c>
      <c r="L4260" s="23">
        <v>1E-8</v>
      </c>
    </row>
    <row r="4261" spans="1:12" ht="15.35" hidden="1" x14ac:dyDescent="0.55000000000000004">
      <c r="A4261" s="20">
        <v>15744</v>
      </c>
      <c r="B4261" s="2" t="s">
        <v>193</v>
      </c>
      <c r="C4261" s="2" t="s">
        <v>194</v>
      </c>
      <c r="D4261" s="20">
        <v>0</v>
      </c>
      <c r="E4261" s="2" t="s">
        <v>838</v>
      </c>
      <c r="F4261" s="2" t="s">
        <v>793</v>
      </c>
      <c r="G4261" s="2" t="s">
        <v>4074</v>
      </c>
      <c r="H4261" s="2" t="s">
        <v>1940</v>
      </c>
      <c r="J4261" s="26"/>
      <c r="K4261" s="36">
        <v>1.1999999999999999E-7</v>
      </c>
      <c r="L4261" s="23">
        <v>1E-8</v>
      </c>
    </row>
    <row r="4262" spans="1:12" ht="15.35" hidden="1" x14ac:dyDescent="0.55000000000000004">
      <c r="A4262" s="20">
        <v>15732</v>
      </c>
      <c r="B4262" s="2" t="s">
        <v>193</v>
      </c>
      <c r="C4262" s="2" t="s">
        <v>194</v>
      </c>
      <c r="D4262" s="20">
        <v>0</v>
      </c>
      <c r="E4262" s="2" t="s">
        <v>838</v>
      </c>
      <c r="F4262" s="2" t="s">
        <v>793</v>
      </c>
      <c r="G4262" s="2" t="s">
        <v>4075</v>
      </c>
      <c r="H4262" s="2" t="s">
        <v>1940</v>
      </c>
      <c r="J4262" s="26"/>
      <c r="K4262" s="36">
        <v>1.4000000000000001E-7</v>
      </c>
      <c r="L4262" s="23">
        <v>1E-8</v>
      </c>
    </row>
    <row r="4263" spans="1:12" ht="15.35" hidden="1" x14ac:dyDescent="0.55000000000000004">
      <c r="A4263" s="20">
        <v>15716</v>
      </c>
      <c r="B4263" s="2" t="s">
        <v>193</v>
      </c>
      <c r="C4263" s="2" t="s">
        <v>194</v>
      </c>
      <c r="D4263" s="20">
        <v>0</v>
      </c>
      <c r="E4263" s="2" t="s">
        <v>838</v>
      </c>
      <c r="F4263" s="2" t="s">
        <v>817</v>
      </c>
      <c r="G4263" s="2" t="s">
        <v>4076</v>
      </c>
      <c r="H4263" s="2" t="s">
        <v>1940</v>
      </c>
      <c r="J4263" s="26"/>
      <c r="K4263" s="36">
        <v>1.9999999999999999E-7</v>
      </c>
      <c r="L4263" s="23">
        <v>2E-8</v>
      </c>
    </row>
    <row r="4264" spans="1:12" ht="15.35" hidden="1" x14ac:dyDescent="0.55000000000000004">
      <c r="A4264" s="20">
        <v>15638</v>
      </c>
      <c r="B4264" s="2" t="s">
        <v>193</v>
      </c>
      <c r="C4264" s="2" t="s">
        <v>194</v>
      </c>
      <c r="D4264" s="20">
        <v>0</v>
      </c>
      <c r="E4264" s="2" t="s">
        <v>838</v>
      </c>
      <c r="F4264" s="2" t="s">
        <v>793</v>
      </c>
      <c r="G4264" s="2" t="s">
        <v>4186</v>
      </c>
      <c r="H4264" s="2" t="s">
        <v>850</v>
      </c>
      <c r="J4264" s="26"/>
      <c r="K4264" s="36">
        <v>1.1599999999999999E-6</v>
      </c>
      <c r="L4264" s="23">
        <v>1.1999999999999999E-7</v>
      </c>
    </row>
    <row r="4265" spans="1:12" ht="15.35" hidden="1" x14ac:dyDescent="0.55000000000000004">
      <c r="A4265" s="20">
        <v>15634</v>
      </c>
      <c r="B4265" s="2" t="s">
        <v>193</v>
      </c>
      <c r="C4265" s="2" t="s">
        <v>194</v>
      </c>
      <c r="D4265" s="20">
        <v>0</v>
      </c>
      <c r="E4265" s="2" t="s">
        <v>838</v>
      </c>
      <c r="F4265" s="2" t="s">
        <v>817</v>
      </c>
      <c r="G4265" s="2" t="s">
        <v>4187</v>
      </c>
      <c r="H4265" s="2" t="s">
        <v>810</v>
      </c>
      <c r="J4265" s="26"/>
      <c r="K4265" s="36">
        <v>1.24E-6</v>
      </c>
      <c r="L4265" s="23">
        <v>1.1999999999999999E-7</v>
      </c>
    </row>
    <row r="4266" spans="1:12" ht="15.35" hidden="1" x14ac:dyDescent="0.55000000000000004">
      <c r="A4266" s="20">
        <v>15649</v>
      </c>
      <c r="B4266" s="2" t="s">
        <v>193</v>
      </c>
      <c r="C4266" s="2" t="s">
        <v>194</v>
      </c>
      <c r="D4266" s="20">
        <v>0</v>
      </c>
      <c r="E4266" s="2" t="s">
        <v>838</v>
      </c>
      <c r="F4266" s="2" t="s">
        <v>848</v>
      </c>
      <c r="G4266" s="2" t="s">
        <v>2004</v>
      </c>
      <c r="H4266" s="2" t="s">
        <v>2004</v>
      </c>
      <c r="J4266" s="26"/>
      <c r="K4266" s="36">
        <v>8.2999999999999999E-7</v>
      </c>
      <c r="L4266" s="23">
        <v>8.0000000000000002E-8</v>
      </c>
    </row>
    <row r="4267" spans="1:12" ht="15.35" hidden="1" x14ac:dyDescent="0.55000000000000004">
      <c r="A4267" s="20">
        <v>15627</v>
      </c>
      <c r="B4267" s="2" t="s">
        <v>193</v>
      </c>
      <c r="C4267" s="2" t="s">
        <v>194</v>
      </c>
      <c r="D4267" s="20">
        <v>0</v>
      </c>
      <c r="E4267" s="2" t="s">
        <v>838</v>
      </c>
      <c r="F4267" s="2" t="s">
        <v>787</v>
      </c>
      <c r="G4267" s="2" t="s">
        <v>1341</v>
      </c>
      <c r="H4267" s="2" t="s">
        <v>1341</v>
      </c>
      <c r="J4267" s="26"/>
      <c r="K4267" s="36">
        <v>1.2500000000000001E-6</v>
      </c>
      <c r="L4267" s="23">
        <v>1.1999999999999999E-7</v>
      </c>
    </row>
    <row r="4268" spans="1:12" ht="15.35" hidden="1" x14ac:dyDescent="0.55000000000000004">
      <c r="A4268" s="20">
        <v>15577</v>
      </c>
      <c r="B4268" s="2" t="s">
        <v>193</v>
      </c>
      <c r="C4268" s="2" t="s">
        <v>194</v>
      </c>
      <c r="D4268" s="20">
        <v>0</v>
      </c>
      <c r="E4268" s="2" t="s">
        <v>838</v>
      </c>
      <c r="F4268" s="2" t="s">
        <v>848</v>
      </c>
      <c r="G4268" s="2" t="s">
        <v>1060</v>
      </c>
      <c r="H4268" s="2" t="s">
        <v>1060</v>
      </c>
      <c r="J4268" s="26"/>
      <c r="K4268" s="36">
        <v>2.6199999999999999E-6</v>
      </c>
      <c r="L4268" s="23">
        <v>2.6E-7</v>
      </c>
    </row>
    <row r="4269" spans="1:12" ht="15.35" hidden="1" x14ac:dyDescent="0.55000000000000004">
      <c r="A4269" s="20">
        <v>15613</v>
      </c>
      <c r="B4269" s="2" t="s">
        <v>193</v>
      </c>
      <c r="C4269" s="2" t="s">
        <v>194</v>
      </c>
      <c r="D4269" s="20">
        <v>0</v>
      </c>
      <c r="E4269" s="2" t="s">
        <v>838</v>
      </c>
      <c r="F4269" s="2" t="s">
        <v>848</v>
      </c>
      <c r="G4269" s="2" t="s">
        <v>924</v>
      </c>
      <c r="H4269" s="2" t="s">
        <v>924</v>
      </c>
      <c r="J4269" s="26"/>
      <c r="K4269" s="36">
        <v>1.8700000000000001E-6</v>
      </c>
      <c r="L4269" s="23">
        <v>1.9000000000000001E-7</v>
      </c>
    </row>
    <row r="4270" spans="1:12" ht="15.35" hidden="1" x14ac:dyDescent="0.55000000000000004">
      <c r="A4270" s="20">
        <v>15864</v>
      </c>
      <c r="B4270" s="2" t="s">
        <v>193</v>
      </c>
      <c r="C4270" s="2" t="s">
        <v>194</v>
      </c>
      <c r="D4270" s="20">
        <v>0</v>
      </c>
      <c r="E4270" s="2" t="s">
        <v>838</v>
      </c>
      <c r="F4270" s="2" t="s">
        <v>793</v>
      </c>
      <c r="G4270" s="2" t="s">
        <v>3683</v>
      </c>
      <c r="H4270" s="2" t="s">
        <v>926</v>
      </c>
      <c r="J4270" s="26"/>
      <c r="K4270" s="36">
        <v>2E-8</v>
      </c>
      <c r="L4270" s="23">
        <v>0</v>
      </c>
    </row>
    <row r="4271" spans="1:12" ht="15.35" hidden="1" x14ac:dyDescent="0.55000000000000004">
      <c r="A4271" s="20">
        <v>15680</v>
      </c>
      <c r="B4271" s="2" t="s">
        <v>193</v>
      </c>
      <c r="C4271" s="2" t="s">
        <v>194</v>
      </c>
      <c r="D4271" s="20">
        <v>0</v>
      </c>
      <c r="E4271" s="2" t="s">
        <v>838</v>
      </c>
      <c r="F4271" s="2" t="s">
        <v>848</v>
      </c>
      <c r="G4271" s="2" t="s">
        <v>4078</v>
      </c>
      <c r="H4271" s="2" t="s">
        <v>4078</v>
      </c>
      <c r="J4271" s="26"/>
      <c r="K4271" s="36">
        <v>4.3000000000000001E-7</v>
      </c>
      <c r="L4271" s="23">
        <v>4.0000000000000001E-8</v>
      </c>
    </row>
    <row r="4272" spans="1:12" ht="15.35" hidden="1" x14ac:dyDescent="0.55000000000000004">
      <c r="A4272" s="20">
        <v>15726</v>
      </c>
      <c r="B4272" s="2" t="s">
        <v>193</v>
      </c>
      <c r="C4272" s="2" t="s">
        <v>194</v>
      </c>
      <c r="D4272" s="20">
        <v>0</v>
      </c>
      <c r="E4272" s="2" t="s">
        <v>838</v>
      </c>
      <c r="F4272" s="2" t="s">
        <v>793</v>
      </c>
      <c r="G4272" s="2" t="s">
        <v>2936</v>
      </c>
      <c r="H4272" s="2" t="s">
        <v>2100</v>
      </c>
      <c r="J4272" s="26"/>
      <c r="K4272" s="36">
        <v>1.6E-7</v>
      </c>
      <c r="L4272" s="23">
        <v>2E-8</v>
      </c>
    </row>
    <row r="4273" spans="1:12" ht="15.35" hidden="1" x14ac:dyDescent="0.55000000000000004">
      <c r="A4273" s="20">
        <v>15734</v>
      </c>
      <c r="B4273" s="2" t="s">
        <v>193</v>
      </c>
      <c r="C4273" s="2" t="s">
        <v>194</v>
      </c>
      <c r="D4273" s="20">
        <v>0</v>
      </c>
      <c r="E4273" s="2" t="s">
        <v>838</v>
      </c>
      <c r="F4273" s="2" t="s">
        <v>793</v>
      </c>
      <c r="G4273" s="2" t="s">
        <v>2937</v>
      </c>
      <c r="H4273" s="2" t="s">
        <v>2100</v>
      </c>
      <c r="J4273" s="26"/>
      <c r="K4273" s="36">
        <v>1.4000000000000001E-7</v>
      </c>
      <c r="L4273" s="23">
        <v>1E-8</v>
      </c>
    </row>
    <row r="4274" spans="1:12" ht="15.35" hidden="1" x14ac:dyDescent="0.55000000000000004">
      <c r="A4274" s="20">
        <v>15890</v>
      </c>
      <c r="B4274" s="2" t="s">
        <v>193</v>
      </c>
      <c r="C4274" s="2" t="s">
        <v>194</v>
      </c>
      <c r="D4274" s="20">
        <v>0</v>
      </c>
      <c r="E4274" s="2" t="s">
        <v>838</v>
      </c>
      <c r="F4274" s="2" t="s">
        <v>793</v>
      </c>
      <c r="G4274" s="2" t="s">
        <v>2944</v>
      </c>
      <c r="H4274" s="2" t="s">
        <v>2100</v>
      </c>
      <c r="J4274" s="26"/>
      <c r="K4274" s="36">
        <v>1E-8</v>
      </c>
      <c r="L4274" s="23">
        <v>0</v>
      </c>
    </row>
    <row r="4275" spans="1:12" ht="15.35" hidden="1" x14ac:dyDescent="0.55000000000000004">
      <c r="A4275" s="20">
        <v>15850</v>
      </c>
      <c r="B4275" s="2" t="s">
        <v>193</v>
      </c>
      <c r="C4275" s="2" t="s">
        <v>194</v>
      </c>
      <c r="D4275" s="20">
        <v>0</v>
      </c>
      <c r="E4275" s="2" t="s">
        <v>838</v>
      </c>
      <c r="F4275" s="2" t="s">
        <v>793</v>
      </c>
      <c r="G4275" s="2" t="s">
        <v>4188</v>
      </c>
      <c r="H4275" s="2" t="s">
        <v>2100</v>
      </c>
      <c r="J4275" s="26"/>
      <c r="K4275" s="36">
        <v>2.9999999999999997E-8</v>
      </c>
      <c r="L4275" s="23">
        <v>0</v>
      </c>
    </row>
    <row r="4276" spans="1:12" ht="15.35" hidden="1" x14ac:dyDescent="0.55000000000000004">
      <c r="A4276" s="20">
        <v>15844</v>
      </c>
      <c r="B4276" s="2" t="s">
        <v>193</v>
      </c>
      <c r="C4276" s="2" t="s">
        <v>194</v>
      </c>
      <c r="D4276" s="20">
        <v>0</v>
      </c>
      <c r="E4276" s="2" t="s">
        <v>838</v>
      </c>
      <c r="F4276" s="2" t="s">
        <v>793</v>
      </c>
      <c r="G4276" s="2" t="s">
        <v>4189</v>
      </c>
      <c r="H4276" s="2" t="s">
        <v>2100</v>
      </c>
      <c r="J4276" s="26"/>
      <c r="K4276" s="36">
        <v>2.9999999999999997E-8</v>
      </c>
      <c r="L4276" s="23">
        <v>0</v>
      </c>
    </row>
    <row r="4277" spans="1:12" ht="15.35" hidden="1" x14ac:dyDescent="0.55000000000000004">
      <c r="A4277" s="20">
        <v>15842</v>
      </c>
      <c r="B4277" s="2" t="s">
        <v>193</v>
      </c>
      <c r="C4277" s="2" t="s">
        <v>194</v>
      </c>
      <c r="D4277" s="20">
        <v>0</v>
      </c>
      <c r="E4277" s="2" t="s">
        <v>838</v>
      </c>
      <c r="F4277" s="2" t="s">
        <v>793</v>
      </c>
      <c r="G4277" s="2" t="s">
        <v>4190</v>
      </c>
      <c r="H4277" s="2" t="s">
        <v>2100</v>
      </c>
      <c r="J4277" s="26"/>
      <c r="K4277" s="36">
        <v>2.9999999999999997E-8</v>
      </c>
      <c r="L4277" s="23">
        <v>0</v>
      </c>
    </row>
    <row r="4278" spans="1:12" ht="15.35" hidden="1" x14ac:dyDescent="0.55000000000000004">
      <c r="A4278" s="20">
        <v>15848</v>
      </c>
      <c r="B4278" s="2" t="s">
        <v>193</v>
      </c>
      <c r="C4278" s="2" t="s">
        <v>194</v>
      </c>
      <c r="D4278" s="20">
        <v>0</v>
      </c>
      <c r="E4278" s="2" t="s">
        <v>838</v>
      </c>
      <c r="F4278" s="2" t="s">
        <v>793</v>
      </c>
      <c r="G4278" s="2" t="s">
        <v>4191</v>
      </c>
      <c r="H4278" s="2" t="s">
        <v>2100</v>
      </c>
      <c r="J4278" s="26"/>
      <c r="K4278" s="36">
        <v>2.9999999999999997E-8</v>
      </c>
      <c r="L4278" s="23">
        <v>0</v>
      </c>
    </row>
    <row r="4279" spans="1:12" ht="15.35" hidden="1" x14ac:dyDescent="0.55000000000000004">
      <c r="A4279" s="20">
        <v>15852</v>
      </c>
      <c r="B4279" s="2" t="s">
        <v>193</v>
      </c>
      <c r="C4279" s="2" t="s">
        <v>194</v>
      </c>
      <c r="D4279" s="20">
        <v>0</v>
      </c>
      <c r="E4279" s="2" t="s">
        <v>838</v>
      </c>
      <c r="F4279" s="2" t="s">
        <v>793</v>
      </c>
      <c r="G4279" s="2" t="s">
        <v>4192</v>
      </c>
      <c r="H4279" s="2" t="s">
        <v>2100</v>
      </c>
      <c r="J4279" s="26"/>
      <c r="K4279" s="36">
        <v>2.9999999999999997E-8</v>
      </c>
      <c r="L4279" s="23">
        <v>0</v>
      </c>
    </row>
    <row r="4280" spans="1:12" ht="15.35" hidden="1" x14ac:dyDescent="0.55000000000000004">
      <c r="A4280" s="20">
        <v>15882</v>
      </c>
      <c r="B4280" s="2" t="s">
        <v>193</v>
      </c>
      <c r="C4280" s="2" t="s">
        <v>194</v>
      </c>
      <c r="D4280" s="20">
        <v>0</v>
      </c>
      <c r="E4280" s="2" t="s">
        <v>838</v>
      </c>
      <c r="F4280" s="2" t="s">
        <v>793</v>
      </c>
      <c r="G4280" s="2" t="s">
        <v>4193</v>
      </c>
      <c r="H4280" s="2" t="s">
        <v>2100</v>
      </c>
      <c r="J4280" s="26"/>
      <c r="K4280" s="36">
        <v>2E-8</v>
      </c>
      <c r="L4280" s="23">
        <v>0</v>
      </c>
    </row>
    <row r="4281" spans="1:12" ht="15.35" hidden="1" x14ac:dyDescent="0.55000000000000004">
      <c r="A4281" s="20">
        <v>15884</v>
      </c>
      <c r="B4281" s="2" t="s">
        <v>193</v>
      </c>
      <c r="C4281" s="2" t="s">
        <v>194</v>
      </c>
      <c r="D4281" s="20">
        <v>0</v>
      </c>
      <c r="E4281" s="2" t="s">
        <v>838</v>
      </c>
      <c r="F4281" s="2" t="s">
        <v>793</v>
      </c>
      <c r="G4281" s="2" t="s">
        <v>4194</v>
      </c>
      <c r="H4281" s="2" t="s">
        <v>2100</v>
      </c>
      <c r="J4281" s="26"/>
      <c r="K4281" s="36">
        <v>2E-8</v>
      </c>
      <c r="L4281" s="23">
        <v>0</v>
      </c>
    </row>
    <row r="4282" spans="1:12" ht="15.35" hidden="1" x14ac:dyDescent="0.55000000000000004">
      <c r="A4282" s="20">
        <v>15889</v>
      </c>
      <c r="B4282" s="2" t="s">
        <v>193</v>
      </c>
      <c r="C4282" s="2" t="s">
        <v>194</v>
      </c>
      <c r="D4282" s="20">
        <v>0</v>
      </c>
      <c r="E4282" s="2" t="s">
        <v>838</v>
      </c>
      <c r="F4282" s="2" t="s">
        <v>793</v>
      </c>
      <c r="G4282" s="2" t="s">
        <v>4195</v>
      </c>
      <c r="H4282" s="2" t="s">
        <v>2100</v>
      </c>
      <c r="J4282" s="26"/>
      <c r="K4282" s="36">
        <v>2E-8</v>
      </c>
      <c r="L4282" s="23">
        <v>0</v>
      </c>
    </row>
    <row r="4283" spans="1:12" ht="15.35" hidden="1" x14ac:dyDescent="0.55000000000000004">
      <c r="A4283" s="20">
        <v>15853</v>
      </c>
      <c r="B4283" s="2" t="s">
        <v>193</v>
      </c>
      <c r="C4283" s="2" t="s">
        <v>194</v>
      </c>
      <c r="D4283" s="20">
        <v>0</v>
      </c>
      <c r="E4283" s="2" t="s">
        <v>838</v>
      </c>
      <c r="F4283" s="2" t="s">
        <v>793</v>
      </c>
      <c r="G4283" s="2" t="s">
        <v>4196</v>
      </c>
      <c r="H4283" s="2" t="s">
        <v>2100</v>
      </c>
      <c r="J4283" s="26"/>
      <c r="K4283" s="36">
        <v>2.9999999999999997E-8</v>
      </c>
      <c r="L4283" s="23">
        <v>0</v>
      </c>
    </row>
    <row r="4284" spans="1:12" ht="15.35" hidden="1" x14ac:dyDescent="0.55000000000000004">
      <c r="A4284" s="20">
        <v>15849</v>
      </c>
      <c r="B4284" s="2" t="s">
        <v>193</v>
      </c>
      <c r="C4284" s="2" t="s">
        <v>194</v>
      </c>
      <c r="D4284" s="20">
        <v>0</v>
      </c>
      <c r="E4284" s="2" t="s">
        <v>838</v>
      </c>
      <c r="F4284" s="2" t="s">
        <v>793</v>
      </c>
      <c r="G4284" s="2" t="s">
        <v>4197</v>
      </c>
      <c r="H4284" s="2" t="s">
        <v>2100</v>
      </c>
      <c r="J4284" s="26"/>
      <c r="K4284" s="36">
        <v>2.9999999999999997E-8</v>
      </c>
      <c r="L4284" s="23">
        <v>0</v>
      </c>
    </row>
    <row r="4285" spans="1:12" ht="15.35" hidden="1" x14ac:dyDescent="0.55000000000000004">
      <c r="A4285" s="20">
        <v>15851</v>
      </c>
      <c r="B4285" s="2" t="s">
        <v>193</v>
      </c>
      <c r="C4285" s="2" t="s">
        <v>194</v>
      </c>
      <c r="D4285" s="20">
        <v>0</v>
      </c>
      <c r="E4285" s="2" t="s">
        <v>838</v>
      </c>
      <c r="F4285" s="2" t="s">
        <v>793</v>
      </c>
      <c r="G4285" s="2" t="s">
        <v>4198</v>
      </c>
      <c r="H4285" s="2" t="s">
        <v>2100</v>
      </c>
      <c r="J4285" s="26"/>
      <c r="K4285" s="36">
        <v>2.9999999999999997E-8</v>
      </c>
      <c r="L4285" s="23">
        <v>0</v>
      </c>
    </row>
    <row r="4286" spans="1:12" ht="15.35" hidden="1" x14ac:dyDescent="0.55000000000000004">
      <c r="A4286" s="20">
        <v>15717</v>
      </c>
      <c r="B4286" s="2" t="s">
        <v>193</v>
      </c>
      <c r="C4286" s="2" t="s">
        <v>194</v>
      </c>
      <c r="D4286" s="20">
        <v>0</v>
      </c>
      <c r="E4286" s="2" t="s">
        <v>838</v>
      </c>
      <c r="F4286" s="2" t="s">
        <v>793</v>
      </c>
      <c r="G4286" s="2" t="s">
        <v>2945</v>
      </c>
      <c r="H4286" s="2" t="s">
        <v>2100</v>
      </c>
      <c r="J4286" s="26"/>
      <c r="K4286" s="36">
        <v>1.9000000000000001E-7</v>
      </c>
      <c r="L4286" s="23">
        <v>2E-8</v>
      </c>
    </row>
    <row r="4287" spans="1:12" ht="15.35" hidden="1" x14ac:dyDescent="0.55000000000000004">
      <c r="A4287" s="20">
        <v>15750</v>
      </c>
      <c r="B4287" s="2" t="s">
        <v>193</v>
      </c>
      <c r="C4287" s="2" t="s">
        <v>194</v>
      </c>
      <c r="D4287" s="20">
        <v>0</v>
      </c>
      <c r="E4287" s="2" t="s">
        <v>838</v>
      </c>
      <c r="F4287" s="2" t="s">
        <v>793</v>
      </c>
      <c r="G4287" s="2" t="s">
        <v>2946</v>
      </c>
      <c r="H4287" s="2" t="s">
        <v>2100</v>
      </c>
      <c r="J4287" s="26"/>
      <c r="K4287" s="36">
        <v>9.9999999999999995E-8</v>
      </c>
      <c r="L4287" s="23">
        <v>1E-8</v>
      </c>
    </row>
    <row r="4288" spans="1:12" ht="15.35" hidden="1" x14ac:dyDescent="0.55000000000000004">
      <c r="A4288" s="20">
        <v>15873</v>
      </c>
      <c r="B4288" s="2" t="s">
        <v>193</v>
      </c>
      <c r="C4288" s="2" t="s">
        <v>194</v>
      </c>
      <c r="D4288" s="20">
        <v>0</v>
      </c>
      <c r="E4288" s="2" t="s">
        <v>838</v>
      </c>
      <c r="F4288" s="2" t="s">
        <v>793</v>
      </c>
      <c r="G4288" s="2" t="s">
        <v>4199</v>
      </c>
      <c r="H4288" s="2" t="s">
        <v>2100</v>
      </c>
      <c r="J4288" s="26"/>
      <c r="K4288" s="36">
        <v>2E-8</v>
      </c>
      <c r="L4288" s="23">
        <v>0</v>
      </c>
    </row>
    <row r="4289" spans="1:12" ht="15.35" hidden="1" x14ac:dyDescent="0.55000000000000004">
      <c r="A4289" s="20">
        <v>15738</v>
      </c>
      <c r="B4289" s="2" t="s">
        <v>193</v>
      </c>
      <c r="C4289" s="2" t="s">
        <v>194</v>
      </c>
      <c r="D4289" s="20">
        <v>0</v>
      </c>
      <c r="E4289" s="2" t="s">
        <v>838</v>
      </c>
      <c r="F4289" s="2" t="s">
        <v>793</v>
      </c>
      <c r="G4289" s="2" t="s">
        <v>2947</v>
      </c>
      <c r="H4289" s="2" t="s">
        <v>2100</v>
      </c>
      <c r="J4289" s="26"/>
      <c r="K4289" s="36">
        <v>1.3E-7</v>
      </c>
      <c r="L4289" s="23">
        <v>1E-8</v>
      </c>
    </row>
    <row r="4290" spans="1:12" ht="15.35" hidden="1" x14ac:dyDescent="0.55000000000000004">
      <c r="A4290" s="20">
        <v>15752</v>
      </c>
      <c r="B4290" s="2" t="s">
        <v>193</v>
      </c>
      <c r="C4290" s="2" t="s">
        <v>194</v>
      </c>
      <c r="D4290" s="20">
        <v>0</v>
      </c>
      <c r="E4290" s="2" t="s">
        <v>838</v>
      </c>
      <c r="F4290" s="2" t="s">
        <v>793</v>
      </c>
      <c r="G4290" s="2" t="s">
        <v>3709</v>
      </c>
      <c r="H4290" s="2" t="s">
        <v>2100</v>
      </c>
      <c r="J4290" s="26"/>
      <c r="K4290" s="36">
        <v>8.9999999999999999E-8</v>
      </c>
      <c r="L4290" s="23">
        <v>1E-8</v>
      </c>
    </row>
    <row r="4291" spans="1:12" ht="15.35" hidden="1" x14ac:dyDescent="0.55000000000000004">
      <c r="A4291" s="20">
        <v>15713</v>
      </c>
      <c r="B4291" s="2" t="s">
        <v>193</v>
      </c>
      <c r="C4291" s="2" t="s">
        <v>194</v>
      </c>
      <c r="D4291" s="20">
        <v>0</v>
      </c>
      <c r="E4291" s="2" t="s">
        <v>838</v>
      </c>
      <c r="F4291" s="2" t="s">
        <v>793</v>
      </c>
      <c r="G4291" s="2" t="s">
        <v>2948</v>
      </c>
      <c r="H4291" s="2" t="s">
        <v>2100</v>
      </c>
      <c r="J4291" s="26"/>
      <c r="K4291" s="36">
        <v>2.1E-7</v>
      </c>
      <c r="L4291" s="23">
        <v>2E-8</v>
      </c>
    </row>
    <row r="4292" spans="1:12" ht="15.35" hidden="1" x14ac:dyDescent="0.55000000000000004">
      <c r="A4292" s="20">
        <v>15736</v>
      </c>
      <c r="B4292" s="2" t="s">
        <v>193</v>
      </c>
      <c r="C4292" s="2" t="s">
        <v>194</v>
      </c>
      <c r="D4292" s="20">
        <v>0</v>
      </c>
      <c r="E4292" s="2" t="s">
        <v>838</v>
      </c>
      <c r="F4292" s="2" t="s">
        <v>793</v>
      </c>
      <c r="G4292" s="2" t="s">
        <v>2949</v>
      </c>
      <c r="H4292" s="2" t="s">
        <v>2100</v>
      </c>
      <c r="J4292" s="26"/>
      <c r="K4292" s="36">
        <v>1.3E-7</v>
      </c>
      <c r="L4292" s="23">
        <v>1E-8</v>
      </c>
    </row>
    <row r="4293" spans="1:12" ht="15.35" hidden="1" x14ac:dyDescent="0.55000000000000004">
      <c r="A4293" s="20">
        <v>15723</v>
      </c>
      <c r="B4293" s="2" t="s">
        <v>193</v>
      </c>
      <c r="C4293" s="2" t="s">
        <v>194</v>
      </c>
      <c r="D4293" s="20">
        <v>0</v>
      </c>
      <c r="E4293" s="2" t="s">
        <v>838</v>
      </c>
      <c r="F4293" s="2" t="s">
        <v>793</v>
      </c>
      <c r="G4293" s="2" t="s">
        <v>2950</v>
      </c>
      <c r="H4293" s="2" t="s">
        <v>2100</v>
      </c>
      <c r="J4293" s="26"/>
      <c r="K4293" s="36">
        <v>1.8E-7</v>
      </c>
      <c r="L4293" s="23">
        <v>2E-8</v>
      </c>
    </row>
    <row r="4294" spans="1:12" ht="15.35" hidden="1" x14ac:dyDescent="0.55000000000000004">
      <c r="A4294" s="20">
        <v>15719</v>
      </c>
      <c r="B4294" s="2" t="s">
        <v>193</v>
      </c>
      <c r="C4294" s="2" t="s">
        <v>194</v>
      </c>
      <c r="D4294" s="20">
        <v>0</v>
      </c>
      <c r="E4294" s="2" t="s">
        <v>838</v>
      </c>
      <c r="F4294" s="2" t="s">
        <v>793</v>
      </c>
      <c r="G4294" s="2" t="s">
        <v>2951</v>
      </c>
      <c r="H4294" s="2" t="s">
        <v>2100</v>
      </c>
      <c r="J4294" s="26"/>
      <c r="K4294" s="36">
        <v>1.9000000000000001E-7</v>
      </c>
      <c r="L4294" s="23">
        <v>2E-8</v>
      </c>
    </row>
    <row r="4295" spans="1:12" ht="15.35" hidden="1" x14ac:dyDescent="0.55000000000000004">
      <c r="A4295" s="20">
        <v>15727</v>
      </c>
      <c r="B4295" s="2" t="s">
        <v>193</v>
      </c>
      <c r="C4295" s="2" t="s">
        <v>194</v>
      </c>
      <c r="D4295" s="20">
        <v>0</v>
      </c>
      <c r="E4295" s="2" t="s">
        <v>838</v>
      </c>
      <c r="F4295" s="2" t="s">
        <v>793</v>
      </c>
      <c r="G4295" s="2" t="s">
        <v>2952</v>
      </c>
      <c r="H4295" s="2" t="s">
        <v>2100</v>
      </c>
      <c r="J4295" s="26"/>
      <c r="K4295" s="36">
        <v>1.4999999999999999E-7</v>
      </c>
      <c r="L4295" s="23">
        <v>2E-8</v>
      </c>
    </row>
    <row r="4296" spans="1:12" ht="15.35" hidden="1" x14ac:dyDescent="0.55000000000000004">
      <c r="A4296" s="20">
        <v>15718</v>
      </c>
      <c r="B4296" s="2" t="s">
        <v>193</v>
      </c>
      <c r="C4296" s="2" t="s">
        <v>194</v>
      </c>
      <c r="D4296" s="20">
        <v>0</v>
      </c>
      <c r="E4296" s="2" t="s">
        <v>838</v>
      </c>
      <c r="F4296" s="2" t="s">
        <v>793</v>
      </c>
      <c r="G4296" s="2" t="s">
        <v>2953</v>
      </c>
      <c r="H4296" s="2" t="s">
        <v>2100</v>
      </c>
      <c r="J4296" s="26"/>
      <c r="K4296" s="36">
        <v>1.9000000000000001E-7</v>
      </c>
      <c r="L4296" s="23">
        <v>2E-8</v>
      </c>
    </row>
    <row r="4297" spans="1:12" ht="15.35" hidden="1" x14ac:dyDescent="0.55000000000000004">
      <c r="A4297" s="20">
        <v>15730</v>
      </c>
      <c r="B4297" s="2" t="s">
        <v>193</v>
      </c>
      <c r="C4297" s="2" t="s">
        <v>194</v>
      </c>
      <c r="D4297" s="20">
        <v>0</v>
      </c>
      <c r="E4297" s="2" t="s">
        <v>838</v>
      </c>
      <c r="F4297" s="2" t="s">
        <v>793</v>
      </c>
      <c r="G4297" s="2" t="s">
        <v>2954</v>
      </c>
      <c r="H4297" s="2" t="s">
        <v>2100</v>
      </c>
      <c r="J4297" s="26"/>
      <c r="K4297" s="36">
        <v>1.4000000000000001E-7</v>
      </c>
      <c r="L4297" s="23">
        <v>1E-8</v>
      </c>
    </row>
    <row r="4298" spans="1:12" ht="15.35" hidden="1" x14ac:dyDescent="0.55000000000000004">
      <c r="A4298" s="20">
        <v>15709</v>
      </c>
      <c r="B4298" s="2" t="s">
        <v>193</v>
      </c>
      <c r="C4298" s="2" t="s">
        <v>194</v>
      </c>
      <c r="D4298" s="20">
        <v>0</v>
      </c>
      <c r="E4298" s="2" t="s">
        <v>838</v>
      </c>
      <c r="F4298" s="2" t="s">
        <v>793</v>
      </c>
      <c r="G4298" s="2" t="s">
        <v>2955</v>
      </c>
      <c r="H4298" s="2" t="s">
        <v>2100</v>
      </c>
      <c r="J4298" s="26"/>
      <c r="K4298" s="36">
        <v>2.2000000000000001E-7</v>
      </c>
      <c r="L4298" s="23">
        <v>2E-8</v>
      </c>
    </row>
    <row r="4299" spans="1:12" ht="15.35" hidden="1" x14ac:dyDescent="0.55000000000000004">
      <c r="A4299" s="20">
        <v>15747</v>
      </c>
      <c r="B4299" s="2" t="s">
        <v>193</v>
      </c>
      <c r="C4299" s="2" t="s">
        <v>194</v>
      </c>
      <c r="D4299" s="20">
        <v>0</v>
      </c>
      <c r="E4299" s="2" t="s">
        <v>838</v>
      </c>
      <c r="F4299" s="2" t="s">
        <v>793</v>
      </c>
      <c r="G4299" s="2" t="s">
        <v>3711</v>
      </c>
      <c r="H4299" s="2" t="s">
        <v>2100</v>
      </c>
      <c r="J4299" s="26"/>
      <c r="K4299" s="36">
        <v>1.1000000000000001E-7</v>
      </c>
      <c r="L4299" s="23">
        <v>1E-8</v>
      </c>
    </row>
    <row r="4300" spans="1:12" ht="15.35" hidden="1" x14ac:dyDescent="0.55000000000000004">
      <c r="A4300" s="20">
        <v>15863</v>
      </c>
      <c r="B4300" s="2" t="s">
        <v>193</v>
      </c>
      <c r="C4300" s="2" t="s">
        <v>194</v>
      </c>
      <c r="D4300" s="20">
        <v>0</v>
      </c>
      <c r="E4300" s="2" t="s">
        <v>838</v>
      </c>
      <c r="F4300" s="2" t="s">
        <v>793</v>
      </c>
      <c r="G4300" s="2" t="s">
        <v>4200</v>
      </c>
      <c r="H4300" s="2" t="s">
        <v>2100</v>
      </c>
      <c r="J4300" s="26"/>
      <c r="K4300" s="36">
        <v>2E-8</v>
      </c>
      <c r="L4300" s="23">
        <v>0</v>
      </c>
    </row>
    <row r="4301" spans="1:12" ht="15.35" hidden="1" x14ac:dyDescent="0.55000000000000004">
      <c r="A4301" s="20">
        <v>15710</v>
      </c>
      <c r="B4301" s="2" t="s">
        <v>193</v>
      </c>
      <c r="C4301" s="2" t="s">
        <v>194</v>
      </c>
      <c r="D4301" s="20">
        <v>0</v>
      </c>
      <c r="E4301" s="2" t="s">
        <v>838</v>
      </c>
      <c r="F4301" s="2" t="s">
        <v>817</v>
      </c>
      <c r="G4301" s="2" t="s">
        <v>3712</v>
      </c>
      <c r="H4301" s="2" t="s">
        <v>2100</v>
      </c>
      <c r="J4301" s="26"/>
      <c r="K4301" s="36">
        <v>2.1E-7</v>
      </c>
      <c r="L4301" s="23">
        <v>2E-8</v>
      </c>
    </row>
    <row r="4302" spans="1:12" ht="15.35" hidden="1" x14ac:dyDescent="0.55000000000000004">
      <c r="A4302" s="20">
        <v>15711</v>
      </c>
      <c r="B4302" s="2" t="s">
        <v>193</v>
      </c>
      <c r="C4302" s="2" t="s">
        <v>194</v>
      </c>
      <c r="D4302" s="20">
        <v>0</v>
      </c>
      <c r="E4302" s="2" t="s">
        <v>838</v>
      </c>
      <c r="F4302" s="2" t="s">
        <v>817</v>
      </c>
      <c r="G4302" s="2" t="s">
        <v>4201</v>
      </c>
      <c r="H4302" s="2" t="s">
        <v>2100</v>
      </c>
      <c r="J4302" s="26"/>
      <c r="K4302" s="36">
        <v>2.1E-7</v>
      </c>
      <c r="L4302" s="23">
        <v>2E-8</v>
      </c>
    </row>
    <row r="4303" spans="1:12" ht="15.35" hidden="1" x14ac:dyDescent="0.55000000000000004">
      <c r="A4303" s="20">
        <v>15875</v>
      </c>
      <c r="B4303" s="2" t="s">
        <v>193</v>
      </c>
      <c r="C4303" s="2" t="s">
        <v>194</v>
      </c>
      <c r="D4303" s="20">
        <v>0</v>
      </c>
      <c r="E4303" s="2" t="s">
        <v>838</v>
      </c>
      <c r="F4303" s="2" t="s">
        <v>817</v>
      </c>
      <c r="G4303" s="2" t="s">
        <v>4202</v>
      </c>
      <c r="H4303" s="2" t="s">
        <v>2100</v>
      </c>
      <c r="J4303" s="26"/>
      <c r="K4303" s="36">
        <v>2E-8</v>
      </c>
      <c r="L4303" s="23">
        <v>0</v>
      </c>
    </row>
    <row r="4304" spans="1:12" ht="15.35" hidden="1" x14ac:dyDescent="0.55000000000000004">
      <c r="A4304" s="20">
        <v>15749</v>
      </c>
      <c r="B4304" s="2" t="s">
        <v>193</v>
      </c>
      <c r="C4304" s="2" t="s">
        <v>194</v>
      </c>
      <c r="D4304" s="20">
        <v>0</v>
      </c>
      <c r="E4304" s="2" t="s">
        <v>838</v>
      </c>
      <c r="F4304" s="2" t="s">
        <v>793</v>
      </c>
      <c r="G4304" s="2" t="s">
        <v>4203</v>
      </c>
      <c r="H4304" s="2" t="s">
        <v>2100</v>
      </c>
      <c r="J4304" s="26"/>
      <c r="K4304" s="36">
        <v>1.1000000000000001E-7</v>
      </c>
      <c r="L4304" s="23">
        <v>1E-8</v>
      </c>
    </row>
    <row r="4305" spans="1:12" ht="15.35" hidden="1" x14ac:dyDescent="0.55000000000000004">
      <c r="A4305" s="20">
        <v>15704</v>
      </c>
      <c r="B4305" s="2" t="s">
        <v>193</v>
      </c>
      <c r="C4305" s="2" t="s">
        <v>194</v>
      </c>
      <c r="D4305" s="20">
        <v>0</v>
      </c>
      <c r="E4305" s="2" t="s">
        <v>838</v>
      </c>
      <c r="F4305" s="2" t="s">
        <v>793</v>
      </c>
      <c r="G4305" s="2" t="s">
        <v>4204</v>
      </c>
      <c r="H4305" s="2" t="s">
        <v>2100</v>
      </c>
      <c r="J4305" s="26"/>
      <c r="K4305" s="36">
        <v>2.4999999999999999E-7</v>
      </c>
      <c r="L4305" s="23">
        <v>2.9999999999999997E-8</v>
      </c>
    </row>
    <row r="4306" spans="1:12" ht="15.35" hidden="1" x14ac:dyDescent="0.55000000000000004">
      <c r="A4306" s="20">
        <v>15733</v>
      </c>
      <c r="B4306" s="2" t="s">
        <v>193</v>
      </c>
      <c r="C4306" s="2" t="s">
        <v>194</v>
      </c>
      <c r="D4306" s="20">
        <v>0</v>
      </c>
      <c r="E4306" s="2" t="s">
        <v>838</v>
      </c>
      <c r="F4306" s="2" t="s">
        <v>793</v>
      </c>
      <c r="G4306" s="2" t="s">
        <v>4205</v>
      </c>
      <c r="H4306" s="2" t="s">
        <v>2100</v>
      </c>
      <c r="J4306" s="26"/>
      <c r="K4306" s="36">
        <v>1.4000000000000001E-7</v>
      </c>
      <c r="L4306" s="23">
        <v>1E-8</v>
      </c>
    </row>
    <row r="4307" spans="1:12" ht="15.35" hidden="1" x14ac:dyDescent="0.55000000000000004">
      <c r="A4307" s="20">
        <v>15715</v>
      </c>
      <c r="B4307" s="2" t="s">
        <v>193</v>
      </c>
      <c r="C4307" s="2" t="s">
        <v>194</v>
      </c>
      <c r="D4307" s="20">
        <v>0</v>
      </c>
      <c r="E4307" s="2" t="s">
        <v>838</v>
      </c>
      <c r="F4307" s="2" t="s">
        <v>793</v>
      </c>
      <c r="G4307" s="2" t="s">
        <v>4206</v>
      </c>
      <c r="H4307" s="2" t="s">
        <v>2100</v>
      </c>
      <c r="J4307" s="26"/>
      <c r="K4307" s="36">
        <v>1.9999999999999999E-7</v>
      </c>
      <c r="L4307" s="23">
        <v>2E-8</v>
      </c>
    </row>
    <row r="4308" spans="1:12" ht="15.35" hidden="1" x14ac:dyDescent="0.55000000000000004">
      <c r="A4308" s="20">
        <v>15854</v>
      </c>
      <c r="B4308" s="2" t="s">
        <v>193</v>
      </c>
      <c r="C4308" s="2" t="s">
        <v>194</v>
      </c>
      <c r="D4308" s="20">
        <v>0</v>
      </c>
      <c r="E4308" s="2" t="s">
        <v>838</v>
      </c>
      <c r="F4308" s="2" t="s">
        <v>793</v>
      </c>
      <c r="G4308" s="2" t="s">
        <v>4207</v>
      </c>
      <c r="H4308" s="2" t="s">
        <v>2100</v>
      </c>
      <c r="J4308" s="26"/>
      <c r="K4308" s="36">
        <v>2E-8</v>
      </c>
      <c r="L4308" s="23">
        <v>0</v>
      </c>
    </row>
    <row r="4309" spans="1:12" ht="15.35" hidden="1" x14ac:dyDescent="0.55000000000000004">
      <c r="A4309" s="20">
        <v>15862</v>
      </c>
      <c r="B4309" s="2" t="s">
        <v>193</v>
      </c>
      <c r="C4309" s="2" t="s">
        <v>194</v>
      </c>
      <c r="D4309" s="20">
        <v>0</v>
      </c>
      <c r="E4309" s="2" t="s">
        <v>838</v>
      </c>
      <c r="F4309" s="2" t="s">
        <v>793</v>
      </c>
      <c r="G4309" s="2" t="s">
        <v>4208</v>
      </c>
      <c r="H4309" s="2" t="s">
        <v>2100</v>
      </c>
      <c r="J4309" s="26"/>
      <c r="K4309" s="36">
        <v>2E-8</v>
      </c>
      <c r="L4309" s="23">
        <v>0</v>
      </c>
    </row>
    <row r="4310" spans="1:12" ht="15.35" hidden="1" x14ac:dyDescent="0.55000000000000004">
      <c r="A4310" s="20">
        <v>15861</v>
      </c>
      <c r="B4310" s="2" t="s">
        <v>193</v>
      </c>
      <c r="C4310" s="2" t="s">
        <v>194</v>
      </c>
      <c r="D4310" s="20">
        <v>0</v>
      </c>
      <c r="E4310" s="2" t="s">
        <v>838</v>
      </c>
      <c r="F4310" s="2" t="s">
        <v>793</v>
      </c>
      <c r="G4310" s="2" t="s">
        <v>4209</v>
      </c>
      <c r="H4310" s="2" t="s">
        <v>2100</v>
      </c>
      <c r="J4310" s="26"/>
      <c r="K4310" s="36">
        <v>2E-8</v>
      </c>
      <c r="L4310" s="23">
        <v>0</v>
      </c>
    </row>
    <row r="4311" spans="1:12" ht="15.35" hidden="1" x14ac:dyDescent="0.55000000000000004">
      <c r="A4311" s="20">
        <v>15857</v>
      </c>
      <c r="B4311" s="2" t="s">
        <v>193</v>
      </c>
      <c r="C4311" s="2" t="s">
        <v>194</v>
      </c>
      <c r="D4311" s="20">
        <v>0</v>
      </c>
      <c r="E4311" s="2" t="s">
        <v>838</v>
      </c>
      <c r="F4311" s="2" t="s">
        <v>793</v>
      </c>
      <c r="G4311" s="2" t="s">
        <v>4210</v>
      </c>
      <c r="H4311" s="2" t="s">
        <v>2100</v>
      </c>
      <c r="J4311" s="26"/>
      <c r="K4311" s="36">
        <v>2E-8</v>
      </c>
      <c r="L4311" s="23">
        <v>0</v>
      </c>
    </row>
    <row r="4312" spans="1:12" ht="15.35" hidden="1" x14ac:dyDescent="0.55000000000000004">
      <c r="A4312" s="20">
        <v>15742</v>
      </c>
      <c r="B4312" s="2" t="s">
        <v>193</v>
      </c>
      <c r="C4312" s="2" t="s">
        <v>194</v>
      </c>
      <c r="D4312" s="20">
        <v>0</v>
      </c>
      <c r="E4312" s="2" t="s">
        <v>838</v>
      </c>
      <c r="F4312" s="2" t="s">
        <v>793</v>
      </c>
      <c r="G4312" s="2" t="s">
        <v>3713</v>
      </c>
      <c r="H4312" s="2" t="s">
        <v>2100</v>
      </c>
      <c r="J4312" s="26"/>
      <c r="K4312" s="36">
        <v>1.1999999999999999E-7</v>
      </c>
      <c r="L4312" s="23">
        <v>1E-8</v>
      </c>
    </row>
    <row r="4313" spans="1:12" ht="15.35" hidden="1" x14ac:dyDescent="0.55000000000000004">
      <c r="A4313" s="20">
        <v>15766</v>
      </c>
      <c r="B4313" s="2" t="s">
        <v>193</v>
      </c>
      <c r="C4313" s="2" t="s">
        <v>194</v>
      </c>
      <c r="D4313" s="20">
        <v>0</v>
      </c>
      <c r="E4313" s="2" t="s">
        <v>838</v>
      </c>
      <c r="F4313" s="2" t="s">
        <v>793</v>
      </c>
      <c r="G4313" s="2" t="s">
        <v>4211</v>
      </c>
      <c r="H4313" s="2" t="s">
        <v>2100</v>
      </c>
      <c r="J4313" s="26"/>
      <c r="K4313" s="36">
        <v>5.9999999999999995E-8</v>
      </c>
      <c r="L4313" s="23">
        <v>1E-8</v>
      </c>
    </row>
    <row r="4314" spans="1:12" ht="15.35" hidden="1" x14ac:dyDescent="0.55000000000000004">
      <c r="A4314" s="20">
        <v>15831</v>
      </c>
      <c r="B4314" s="2" t="s">
        <v>193</v>
      </c>
      <c r="C4314" s="2" t="s">
        <v>194</v>
      </c>
      <c r="D4314" s="20">
        <v>0</v>
      </c>
      <c r="E4314" s="2" t="s">
        <v>838</v>
      </c>
      <c r="F4314" s="2" t="s">
        <v>793</v>
      </c>
      <c r="G4314" s="2" t="s">
        <v>4212</v>
      </c>
      <c r="H4314" s="2" t="s">
        <v>2100</v>
      </c>
      <c r="J4314" s="26"/>
      <c r="K4314" s="36">
        <v>4.0000000000000001E-8</v>
      </c>
      <c r="L4314" s="23">
        <v>0</v>
      </c>
    </row>
    <row r="4315" spans="1:12" ht="15.35" hidden="1" x14ac:dyDescent="0.55000000000000004">
      <c r="A4315" s="20">
        <v>15765</v>
      </c>
      <c r="B4315" s="2" t="s">
        <v>193</v>
      </c>
      <c r="C4315" s="2" t="s">
        <v>194</v>
      </c>
      <c r="D4315" s="20">
        <v>0</v>
      </c>
      <c r="E4315" s="2" t="s">
        <v>838</v>
      </c>
      <c r="F4315" s="2" t="s">
        <v>793</v>
      </c>
      <c r="G4315" s="2" t="s">
        <v>4213</v>
      </c>
      <c r="H4315" s="2" t="s">
        <v>2100</v>
      </c>
      <c r="J4315" s="26"/>
      <c r="K4315" s="36">
        <v>5.9999999999999995E-8</v>
      </c>
      <c r="L4315" s="23">
        <v>1E-8</v>
      </c>
    </row>
    <row r="4316" spans="1:12" ht="15.35" hidden="1" x14ac:dyDescent="0.55000000000000004">
      <c r="A4316" s="20">
        <v>15702</v>
      </c>
      <c r="B4316" s="2" t="s">
        <v>193</v>
      </c>
      <c r="C4316" s="2" t="s">
        <v>194</v>
      </c>
      <c r="D4316" s="20">
        <v>0</v>
      </c>
      <c r="E4316" s="2" t="s">
        <v>838</v>
      </c>
      <c r="F4316" s="2" t="s">
        <v>793</v>
      </c>
      <c r="G4316" s="2" t="s">
        <v>4214</v>
      </c>
      <c r="H4316" s="2" t="s">
        <v>2100</v>
      </c>
      <c r="J4316" s="26"/>
      <c r="K4316" s="36">
        <v>2.7000000000000001E-7</v>
      </c>
      <c r="L4316" s="23">
        <v>2.9999999999999997E-8</v>
      </c>
    </row>
    <row r="4317" spans="1:12" ht="15.35" hidden="1" x14ac:dyDescent="0.55000000000000004">
      <c r="A4317" s="20">
        <v>15879</v>
      </c>
      <c r="B4317" s="2" t="s">
        <v>193</v>
      </c>
      <c r="C4317" s="2" t="s">
        <v>194</v>
      </c>
      <c r="D4317" s="20">
        <v>0</v>
      </c>
      <c r="E4317" s="2" t="s">
        <v>838</v>
      </c>
      <c r="F4317" s="2" t="s">
        <v>793</v>
      </c>
      <c r="G4317" s="2" t="s">
        <v>4215</v>
      </c>
      <c r="H4317" s="2" t="s">
        <v>2100</v>
      </c>
      <c r="J4317" s="26"/>
      <c r="K4317" s="36">
        <v>2E-8</v>
      </c>
      <c r="L4317" s="23">
        <v>0</v>
      </c>
    </row>
    <row r="4318" spans="1:12" ht="15.35" hidden="1" x14ac:dyDescent="0.55000000000000004">
      <c r="A4318" s="20">
        <v>15887</v>
      </c>
      <c r="B4318" s="2" t="s">
        <v>193</v>
      </c>
      <c r="C4318" s="2" t="s">
        <v>194</v>
      </c>
      <c r="D4318" s="20">
        <v>0</v>
      </c>
      <c r="E4318" s="2" t="s">
        <v>838</v>
      </c>
      <c r="F4318" s="2" t="s">
        <v>793</v>
      </c>
      <c r="G4318" s="2" t="s">
        <v>4216</v>
      </c>
      <c r="H4318" s="2" t="s">
        <v>2100</v>
      </c>
      <c r="J4318" s="26"/>
      <c r="K4318" s="36">
        <v>2E-8</v>
      </c>
      <c r="L4318" s="23">
        <v>0</v>
      </c>
    </row>
    <row r="4319" spans="1:12" ht="15.35" hidden="1" x14ac:dyDescent="0.55000000000000004">
      <c r="A4319" s="20">
        <v>15886</v>
      </c>
      <c r="B4319" s="2" t="s">
        <v>193</v>
      </c>
      <c r="C4319" s="2" t="s">
        <v>194</v>
      </c>
      <c r="D4319" s="20">
        <v>0</v>
      </c>
      <c r="E4319" s="2" t="s">
        <v>838</v>
      </c>
      <c r="F4319" s="2" t="s">
        <v>793</v>
      </c>
      <c r="G4319" s="2" t="s">
        <v>4217</v>
      </c>
      <c r="H4319" s="2" t="s">
        <v>2100</v>
      </c>
      <c r="J4319" s="26"/>
      <c r="K4319" s="36">
        <v>2E-8</v>
      </c>
      <c r="L4319" s="23">
        <v>0</v>
      </c>
    </row>
    <row r="4320" spans="1:12" ht="15.35" hidden="1" x14ac:dyDescent="0.55000000000000004">
      <c r="A4320" s="20">
        <v>15878</v>
      </c>
      <c r="B4320" s="2" t="s">
        <v>193</v>
      </c>
      <c r="C4320" s="2" t="s">
        <v>194</v>
      </c>
      <c r="D4320" s="20">
        <v>0</v>
      </c>
      <c r="E4320" s="2" t="s">
        <v>838</v>
      </c>
      <c r="F4320" s="2" t="s">
        <v>793</v>
      </c>
      <c r="G4320" s="2" t="s">
        <v>4218</v>
      </c>
      <c r="H4320" s="2" t="s">
        <v>2100</v>
      </c>
      <c r="J4320" s="26"/>
      <c r="K4320" s="36">
        <v>2E-8</v>
      </c>
      <c r="L4320" s="23">
        <v>0</v>
      </c>
    </row>
    <row r="4321" spans="1:12" ht="15.35" hidden="1" x14ac:dyDescent="0.55000000000000004">
      <c r="A4321" s="20">
        <v>15731</v>
      </c>
      <c r="B4321" s="2" t="s">
        <v>193</v>
      </c>
      <c r="C4321" s="2" t="s">
        <v>194</v>
      </c>
      <c r="D4321" s="20">
        <v>0</v>
      </c>
      <c r="E4321" s="2" t="s">
        <v>838</v>
      </c>
      <c r="F4321" s="2" t="s">
        <v>793</v>
      </c>
      <c r="G4321" s="2" t="s">
        <v>2959</v>
      </c>
      <c r="H4321" s="2" t="s">
        <v>2100</v>
      </c>
      <c r="J4321" s="26"/>
      <c r="K4321" s="36">
        <v>1.4000000000000001E-7</v>
      </c>
      <c r="L4321" s="23">
        <v>1E-8</v>
      </c>
    </row>
    <row r="4322" spans="1:12" ht="15.35" hidden="1" x14ac:dyDescent="0.55000000000000004">
      <c r="A4322" s="20">
        <v>15737</v>
      </c>
      <c r="B4322" s="2" t="s">
        <v>193</v>
      </c>
      <c r="C4322" s="2" t="s">
        <v>194</v>
      </c>
      <c r="D4322" s="20">
        <v>0</v>
      </c>
      <c r="E4322" s="2" t="s">
        <v>838</v>
      </c>
      <c r="F4322" s="2" t="s">
        <v>793</v>
      </c>
      <c r="G4322" s="2" t="s">
        <v>4219</v>
      </c>
      <c r="H4322" s="2" t="s">
        <v>2100</v>
      </c>
      <c r="J4322" s="26"/>
      <c r="K4322" s="36">
        <v>1.3E-7</v>
      </c>
      <c r="L4322" s="23">
        <v>1E-8</v>
      </c>
    </row>
    <row r="4323" spans="1:12" ht="15.35" hidden="1" x14ac:dyDescent="0.55000000000000004">
      <c r="A4323" s="20">
        <v>15815</v>
      </c>
      <c r="B4323" s="2" t="s">
        <v>193</v>
      </c>
      <c r="C4323" s="2" t="s">
        <v>194</v>
      </c>
      <c r="D4323" s="20">
        <v>0</v>
      </c>
      <c r="E4323" s="2" t="s">
        <v>838</v>
      </c>
      <c r="F4323" s="2" t="s">
        <v>793</v>
      </c>
      <c r="G4323" s="2" t="s">
        <v>4220</v>
      </c>
      <c r="H4323" s="2" t="s">
        <v>2100</v>
      </c>
      <c r="J4323" s="26"/>
      <c r="K4323" s="36">
        <v>4.0000000000000001E-8</v>
      </c>
      <c r="L4323" s="23">
        <v>0</v>
      </c>
    </row>
    <row r="4324" spans="1:12" ht="15.35" hidden="1" x14ac:dyDescent="0.55000000000000004">
      <c r="A4324" s="20">
        <v>15797</v>
      </c>
      <c r="B4324" s="2" t="s">
        <v>193</v>
      </c>
      <c r="C4324" s="2" t="s">
        <v>194</v>
      </c>
      <c r="D4324" s="20">
        <v>0</v>
      </c>
      <c r="E4324" s="2" t="s">
        <v>838</v>
      </c>
      <c r="F4324" s="2" t="s">
        <v>793</v>
      </c>
      <c r="G4324" s="2" t="s">
        <v>4221</v>
      </c>
      <c r="H4324" s="2" t="s">
        <v>2100</v>
      </c>
      <c r="J4324" s="26"/>
      <c r="K4324" s="36">
        <v>4.0000000000000001E-8</v>
      </c>
      <c r="L4324" s="23">
        <v>0</v>
      </c>
    </row>
    <row r="4325" spans="1:12" ht="15.35" hidden="1" x14ac:dyDescent="0.55000000000000004">
      <c r="A4325" s="20">
        <v>15795</v>
      </c>
      <c r="B4325" s="2" t="s">
        <v>193</v>
      </c>
      <c r="C4325" s="2" t="s">
        <v>194</v>
      </c>
      <c r="D4325" s="20">
        <v>0</v>
      </c>
      <c r="E4325" s="2" t="s">
        <v>838</v>
      </c>
      <c r="F4325" s="2" t="s">
        <v>793</v>
      </c>
      <c r="G4325" s="2" t="s">
        <v>4222</v>
      </c>
      <c r="H4325" s="2" t="s">
        <v>2100</v>
      </c>
      <c r="J4325" s="26"/>
      <c r="K4325" s="36">
        <v>4.0000000000000001E-8</v>
      </c>
      <c r="L4325" s="23">
        <v>0</v>
      </c>
    </row>
    <row r="4326" spans="1:12" ht="15.35" hidden="1" x14ac:dyDescent="0.55000000000000004">
      <c r="A4326" s="20">
        <v>15789</v>
      </c>
      <c r="B4326" s="2" t="s">
        <v>193</v>
      </c>
      <c r="C4326" s="2" t="s">
        <v>194</v>
      </c>
      <c r="D4326" s="20">
        <v>0</v>
      </c>
      <c r="E4326" s="2" t="s">
        <v>838</v>
      </c>
      <c r="F4326" s="2" t="s">
        <v>793</v>
      </c>
      <c r="G4326" s="2" t="s">
        <v>4223</v>
      </c>
      <c r="H4326" s="2" t="s">
        <v>2100</v>
      </c>
      <c r="J4326" s="26"/>
      <c r="K4326" s="36">
        <v>4.0000000000000001E-8</v>
      </c>
      <c r="L4326" s="23">
        <v>0</v>
      </c>
    </row>
    <row r="4327" spans="1:12" ht="15.35" hidden="1" x14ac:dyDescent="0.55000000000000004">
      <c r="A4327" s="20">
        <v>15788</v>
      </c>
      <c r="B4327" s="2" t="s">
        <v>193</v>
      </c>
      <c r="C4327" s="2" t="s">
        <v>194</v>
      </c>
      <c r="D4327" s="20">
        <v>0</v>
      </c>
      <c r="E4327" s="2" t="s">
        <v>838</v>
      </c>
      <c r="F4327" s="2" t="s">
        <v>793</v>
      </c>
      <c r="G4327" s="2" t="s">
        <v>4224</v>
      </c>
      <c r="H4327" s="2" t="s">
        <v>2100</v>
      </c>
      <c r="J4327" s="26"/>
      <c r="K4327" s="36">
        <v>4.0000000000000001E-8</v>
      </c>
      <c r="L4327" s="23">
        <v>0</v>
      </c>
    </row>
    <row r="4328" spans="1:12" ht="15.35" hidden="1" x14ac:dyDescent="0.55000000000000004">
      <c r="A4328" s="20">
        <v>15809</v>
      </c>
      <c r="B4328" s="2" t="s">
        <v>193</v>
      </c>
      <c r="C4328" s="2" t="s">
        <v>194</v>
      </c>
      <c r="D4328" s="20">
        <v>0</v>
      </c>
      <c r="E4328" s="2" t="s">
        <v>838</v>
      </c>
      <c r="F4328" s="2" t="s">
        <v>793</v>
      </c>
      <c r="G4328" s="2" t="s">
        <v>4225</v>
      </c>
      <c r="H4328" s="2" t="s">
        <v>2100</v>
      </c>
      <c r="J4328" s="26"/>
      <c r="K4328" s="36">
        <v>4.0000000000000001E-8</v>
      </c>
      <c r="L4328" s="23">
        <v>0</v>
      </c>
    </row>
    <row r="4329" spans="1:12" ht="15.35" hidden="1" x14ac:dyDescent="0.55000000000000004">
      <c r="A4329" s="20">
        <v>15805</v>
      </c>
      <c r="B4329" s="2" t="s">
        <v>193</v>
      </c>
      <c r="C4329" s="2" t="s">
        <v>194</v>
      </c>
      <c r="D4329" s="20">
        <v>0</v>
      </c>
      <c r="E4329" s="2" t="s">
        <v>838</v>
      </c>
      <c r="F4329" s="2" t="s">
        <v>793</v>
      </c>
      <c r="G4329" s="2" t="s">
        <v>4226</v>
      </c>
      <c r="H4329" s="2" t="s">
        <v>2100</v>
      </c>
      <c r="J4329" s="26"/>
      <c r="K4329" s="36">
        <v>4.0000000000000001E-8</v>
      </c>
      <c r="L4329" s="23">
        <v>0</v>
      </c>
    </row>
    <row r="4330" spans="1:12" ht="15.35" hidden="1" x14ac:dyDescent="0.55000000000000004">
      <c r="A4330" s="20">
        <v>15798</v>
      </c>
      <c r="B4330" s="2" t="s">
        <v>193</v>
      </c>
      <c r="C4330" s="2" t="s">
        <v>194</v>
      </c>
      <c r="D4330" s="20">
        <v>0</v>
      </c>
      <c r="E4330" s="2" t="s">
        <v>838</v>
      </c>
      <c r="F4330" s="2" t="s">
        <v>793</v>
      </c>
      <c r="G4330" s="2" t="s">
        <v>4227</v>
      </c>
      <c r="H4330" s="2" t="s">
        <v>2100</v>
      </c>
      <c r="J4330" s="26"/>
      <c r="K4330" s="36">
        <v>4.0000000000000001E-8</v>
      </c>
      <c r="L4330" s="23">
        <v>0</v>
      </c>
    </row>
    <row r="4331" spans="1:12" ht="15.35" hidden="1" x14ac:dyDescent="0.55000000000000004">
      <c r="A4331" s="20">
        <v>15794</v>
      </c>
      <c r="B4331" s="2" t="s">
        <v>193</v>
      </c>
      <c r="C4331" s="2" t="s">
        <v>194</v>
      </c>
      <c r="D4331" s="20">
        <v>0</v>
      </c>
      <c r="E4331" s="2" t="s">
        <v>838</v>
      </c>
      <c r="F4331" s="2" t="s">
        <v>793</v>
      </c>
      <c r="G4331" s="2" t="s">
        <v>4228</v>
      </c>
      <c r="H4331" s="2" t="s">
        <v>2100</v>
      </c>
      <c r="J4331" s="26"/>
      <c r="K4331" s="36">
        <v>4.0000000000000001E-8</v>
      </c>
      <c r="L4331" s="23">
        <v>0</v>
      </c>
    </row>
    <row r="4332" spans="1:12" ht="15.35" hidden="1" x14ac:dyDescent="0.55000000000000004">
      <c r="A4332" s="20">
        <v>15802</v>
      </c>
      <c r="B4332" s="2" t="s">
        <v>193</v>
      </c>
      <c r="C4332" s="2" t="s">
        <v>194</v>
      </c>
      <c r="D4332" s="20">
        <v>0</v>
      </c>
      <c r="E4332" s="2" t="s">
        <v>838</v>
      </c>
      <c r="F4332" s="2" t="s">
        <v>793</v>
      </c>
      <c r="G4332" s="2" t="s">
        <v>4229</v>
      </c>
      <c r="H4332" s="2" t="s">
        <v>2100</v>
      </c>
      <c r="J4332" s="26"/>
      <c r="K4332" s="36">
        <v>4.0000000000000001E-8</v>
      </c>
      <c r="L4332" s="23">
        <v>0</v>
      </c>
    </row>
    <row r="4333" spans="1:12" ht="15.35" hidden="1" x14ac:dyDescent="0.55000000000000004">
      <c r="A4333" s="20">
        <v>15807</v>
      </c>
      <c r="B4333" s="2" t="s">
        <v>193</v>
      </c>
      <c r="C4333" s="2" t="s">
        <v>194</v>
      </c>
      <c r="D4333" s="20">
        <v>0</v>
      </c>
      <c r="E4333" s="2" t="s">
        <v>838</v>
      </c>
      <c r="F4333" s="2" t="s">
        <v>793</v>
      </c>
      <c r="G4333" s="2" t="s">
        <v>4230</v>
      </c>
      <c r="H4333" s="2" t="s">
        <v>2100</v>
      </c>
      <c r="J4333" s="26"/>
      <c r="K4333" s="36">
        <v>4.0000000000000001E-8</v>
      </c>
      <c r="L4333" s="23">
        <v>0</v>
      </c>
    </row>
    <row r="4334" spans="1:12" ht="15.35" hidden="1" x14ac:dyDescent="0.55000000000000004">
      <c r="A4334" s="20">
        <v>15801</v>
      </c>
      <c r="B4334" s="2" t="s">
        <v>193</v>
      </c>
      <c r="C4334" s="2" t="s">
        <v>194</v>
      </c>
      <c r="D4334" s="20">
        <v>0</v>
      </c>
      <c r="E4334" s="2" t="s">
        <v>838</v>
      </c>
      <c r="F4334" s="2" t="s">
        <v>793</v>
      </c>
      <c r="G4334" s="2" t="s">
        <v>4231</v>
      </c>
      <c r="H4334" s="2" t="s">
        <v>2100</v>
      </c>
      <c r="J4334" s="26"/>
      <c r="K4334" s="36">
        <v>4.0000000000000001E-8</v>
      </c>
      <c r="L4334" s="23">
        <v>0</v>
      </c>
    </row>
    <row r="4335" spans="1:12" ht="15.35" hidden="1" x14ac:dyDescent="0.55000000000000004">
      <c r="A4335" s="20">
        <v>15808</v>
      </c>
      <c r="B4335" s="2" t="s">
        <v>193</v>
      </c>
      <c r="C4335" s="2" t="s">
        <v>194</v>
      </c>
      <c r="D4335" s="20">
        <v>0</v>
      </c>
      <c r="E4335" s="2" t="s">
        <v>838</v>
      </c>
      <c r="F4335" s="2" t="s">
        <v>793</v>
      </c>
      <c r="G4335" s="2" t="s">
        <v>4232</v>
      </c>
      <c r="H4335" s="2" t="s">
        <v>2100</v>
      </c>
      <c r="J4335" s="26"/>
      <c r="K4335" s="36">
        <v>4.0000000000000001E-8</v>
      </c>
      <c r="L4335" s="23">
        <v>0</v>
      </c>
    </row>
    <row r="4336" spans="1:12" ht="15.35" hidden="1" x14ac:dyDescent="0.55000000000000004">
      <c r="A4336" s="20">
        <v>15787</v>
      </c>
      <c r="B4336" s="2" t="s">
        <v>193</v>
      </c>
      <c r="C4336" s="2" t="s">
        <v>194</v>
      </c>
      <c r="D4336" s="20">
        <v>0</v>
      </c>
      <c r="E4336" s="2" t="s">
        <v>838</v>
      </c>
      <c r="F4336" s="2" t="s">
        <v>793</v>
      </c>
      <c r="G4336" s="2" t="s">
        <v>4233</v>
      </c>
      <c r="H4336" s="2" t="s">
        <v>2100</v>
      </c>
      <c r="J4336" s="26"/>
      <c r="K4336" s="36">
        <v>4.0000000000000001E-8</v>
      </c>
      <c r="L4336" s="23">
        <v>0</v>
      </c>
    </row>
    <row r="4337" spans="1:12" ht="15.35" hidden="1" x14ac:dyDescent="0.55000000000000004">
      <c r="A4337" s="20">
        <v>15783</v>
      </c>
      <c r="B4337" s="2" t="s">
        <v>193</v>
      </c>
      <c r="C4337" s="2" t="s">
        <v>194</v>
      </c>
      <c r="D4337" s="20">
        <v>0</v>
      </c>
      <c r="E4337" s="2" t="s">
        <v>838</v>
      </c>
      <c r="F4337" s="2" t="s">
        <v>793</v>
      </c>
      <c r="G4337" s="2" t="s">
        <v>4234</v>
      </c>
      <c r="H4337" s="2" t="s">
        <v>2100</v>
      </c>
      <c r="J4337" s="26"/>
      <c r="K4337" s="36">
        <v>4.0000000000000001E-8</v>
      </c>
      <c r="L4337" s="23">
        <v>0</v>
      </c>
    </row>
    <row r="4338" spans="1:12" ht="15.35" hidden="1" x14ac:dyDescent="0.55000000000000004">
      <c r="A4338" s="20">
        <v>15833</v>
      </c>
      <c r="B4338" s="2" t="s">
        <v>193</v>
      </c>
      <c r="C4338" s="2" t="s">
        <v>194</v>
      </c>
      <c r="D4338" s="20">
        <v>0</v>
      </c>
      <c r="E4338" s="2" t="s">
        <v>838</v>
      </c>
      <c r="F4338" s="2" t="s">
        <v>793</v>
      </c>
      <c r="G4338" s="2" t="s">
        <v>4235</v>
      </c>
      <c r="H4338" s="2" t="s">
        <v>2100</v>
      </c>
      <c r="J4338" s="26"/>
      <c r="K4338" s="36">
        <v>4.0000000000000001E-8</v>
      </c>
      <c r="L4338" s="23">
        <v>0</v>
      </c>
    </row>
    <row r="4339" spans="1:12" ht="15.35" hidden="1" x14ac:dyDescent="0.55000000000000004">
      <c r="A4339" s="20">
        <v>15859</v>
      </c>
      <c r="B4339" s="2" t="s">
        <v>193</v>
      </c>
      <c r="C4339" s="2" t="s">
        <v>194</v>
      </c>
      <c r="D4339" s="20">
        <v>0</v>
      </c>
      <c r="E4339" s="2" t="s">
        <v>838</v>
      </c>
      <c r="F4339" s="2" t="s">
        <v>793</v>
      </c>
      <c r="G4339" s="2" t="s">
        <v>4236</v>
      </c>
      <c r="H4339" s="2" t="s">
        <v>2100</v>
      </c>
      <c r="J4339" s="26"/>
      <c r="K4339" s="36">
        <v>2E-8</v>
      </c>
      <c r="L4339" s="23">
        <v>0</v>
      </c>
    </row>
    <row r="4340" spans="1:12" ht="15.35" hidden="1" x14ac:dyDescent="0.55000000000000004">
      <c r="A4340" s="20">
        <v>15841</v>
      </c>
      <c r="B4340" s="2" t="s">
        <v>193</v>
      </c>
      <c r="C4340" s="2" t="s">
        <v>194</v>
      </c>
      <c r="D4340" s="20">
        <v>0</v>
      </c>
      <c r="E4340" s="2" t="s">
        <v>838</v>
      </c>
      <c r="F4340" s="2" t="s">
        <v>793</v>
      </c>
      <c r="G4340" s="2" t="s">
        <v>4237</v>
      </c>
      <c r="H4340" s="2" t="s">
        <v>2100</v>
      </c>
      <c r="J4340" s="26"/>
      <c r="K4340" s="36">
        <v>2.9999999999999997E-8</v>
      </c>
      <c r="L4340" s="23">
        <v>0</v>
      </c>
    </row>
    <row r="4341" spans="1:12" ht="15.35" hidden="1" x14ac:dyDescent="0.55000000000000004">
      <c r="A4341" s="20">
        <v>15888</v>
      </c>
      <c r="B4341" s="2" t="s">
        <v>193</v>
      </c>
      <c r="C4341" s="2" t="s">
        <v>194</v>
      </c>
      <c r="D4341" s="20">
        <v>0</v>
      </c>
      <c r="E4341" s="2" t="s">
        <v>838</v>
      </c>
      <c r="F4341" s="2" t="s">
        <v>793</v>
      </c>
      <c r="G4341" s="2" t="s">
        <v>4238</v>
      </c>
      <c r="H4341" s="2" t="s">
        <v>4238</v>
      </c>
      <c r="J4341" s="26"/>
      <c r="K4341" s="36">
        <v>2E-8</v>
      </c>
      <c r="L4341" s="23">
        <v>0</v>
      </c>
    </row>
    <row r="4342" spans="1:12" ht="15.35" hidden="1" x14ac:dyDescent="0.55000000000000004">
      <c r="A4342" s="20">
        <v>15885</v>
      </c>
      <c r="B4342" s="2" t="s">
        <v>193</v>
      </c>
      <c r="C4342" s="2" t="s">
        <v>194</v>
      </c>
      <c r="D4342" s="20">
        <v>0</v>
      </c>
      <c r="E4342" s="2" t="s">
        <v>838</v>
      </c>
      <c r="F4342" s="2" t="s">
        <v>793</v>
      </c>
      <c r="G4342" s="2" t="s">
        <v>4239</v>
      </c>
      <c r="H4342" s="2" t="s">
        <v>4239</v>
      </c>
      <c r="J4342" s="26"/>
      <c r="K4342" s="36">
        <v>2E-8</v>
      </c>
      <c r="L4342" s="23">
        <v>0</v>
      </c>
    </row>
    <row r="4343" spans="1:12" ht="15.35" hidden="1" x14ac:dyDescent="0.55000000000000004">
      <c r="A4343" s="20">
        <v>15883</v>
      </c>
      <c r="B4343" s="2" t="s">
        <v>193</v>
      </c>
      <c r="C4343" s="2" t="s">
        <v>194</v>
      </c>
      <c r="D4343" s="20">
        <v>0</v>
      </c>
      <c r="E4343" s="2" t="s">
        <v>838</v>
      </c>
      <c r="F4343" s="2" t="s">
        <v>793</v>
      </c>
      <c r="G4343" s="2" t="s">
        <v>4240</v>
      </c>
      <c r="H4343" s="2" t="s">
        <v>4240</v>
      </c>
      <c r="J4343" s="26"/>
      <c r="K4343" s="36">
        <v>2E-8</v>
      </c>
      <c r="L4343" s="23">
        <v>0</v>
      </c>
    </row>
    <row r="4344" spans="1:12" ht="15.35" hidden="1" x14ac:dyDescent="0.55000000000000004">
      <c r="A4344" s="20">
        <v>15880</v>
      </c>
      <c r="B4344" s="2" t="s">
        <v>193</v>
      </c>
      <c r="C4344" s="2" t="s">
        <v>194</v>
      </c>
      <c r="D4344" s="20">
        <v>0</v>
      </c>
      <c r="E4344" s="2" t="s">
        <v>838</v>
      </c>
      <c r="F4344" s="2" t="s">
        <v>793</v>
      </c>
      <c r="G4344" s="2" t="s">
        <v>4241</v>
      </c>
      <c r="H4344" s="2" t="s">
        <v>4241</v>
      </c>
      <c r="J4344" s="26"/>
      <c r="K4344" s="36">
        <v>2E-8</v>
      </c>
      <c r="L4344" s="23">
        <v>0</v>
      </c>
    </row>
    <row r="4345" spans="1:12" ht="15.35" hidden="1" x14ac:dyDescent="0.55000000000000004">
      <c r="A4345" s="20">
        <v>15881</v>
      </c>
      <c r="B4345" s="2" t="s">
        <v>193</v>
      </c>
      <c r="C4345" s="2" t="s">
        <v>194</v>
      </c>
      <c r="D4345" s="20">
        <v>0</v>
      </c>
      <c r="E4345" s="2" t="s">
        <v>838</v>
      </c>
      <c r="F4345" s="2" t="s">
        <v>793</v>
      </c>
      <c r="G4345" s="2" t="s">
        <v>4242</v>
      </c>
      <c r="H4345" s="2" t="s">
        <v>4242</v>
      </c>
      <c r="J4345" s="26"/>
      <c r="K4345" s="36">
        <v>2E-8</v>
      </c>
      <c r="L4345" s="23">
        <v>0</v>
      </c>
    </row>
    <row r="4346" spans="1:12" ht="15.35" hidden="1" x14ac:dyDescent="0.55000000000000004">
      <c r="A4346" s="20">
        <v>15660</v>
      </c>
      <c r="B4346" s="2" t="s">
        <v>193</v>
      </c>
      <c r="C4346" s="2" t="s">
        <v>194</v>
      </c>
      <c r="D4346" s="20">
        <v>0</v>
      </c>
      <c r="E4346" s="2" t="s">
        <v>838</v>
      </c>
      <c r="F4346" s="2" t="s">
        <v>793</v>
      </c>
      <c r="G4346" s="2" t="s">
        <v>4243</v>
      </c>
      <c r="H4346" s="2" t="s">
        <v>2100</v>
      </c>
      <c r="J4346" s="26"/>
      <c r="K4346" s="36">
        <v>6.4000000000000001E-7</v>
      </c>
      <c r="L4346" s="23">
        <v>5.9999999999999995E-8</v>
      </c>
    </row>
    <row r="4347" spans="1:12" ht="15.35" hidden="1" x14ac:dyDescent="0.55000000000000004">
      <c r="A4347" s="20">
        <v>15785</v>
      </c>
      <c r="B4347" s="2" t="s">
        <v>193</v>
      </c>
      <c r="C4347" s="2" t="s">
        <v>194</v>
      </c>
      <c r="D4347" s="20">
        <v>0</v>
      </c>
      <c r="E4347" s="2" t="s">
        <v>838</v>
      </c>
      <c r="F4347" s="2" t="s">
        <v>793</v>
      </c>
      <c r="G4347" s="2" t="s">
        <v>4244</v>
      </c>
      <c r="H4347" s="2" t="s">
        <v>2100</v>
      </c>
      <c r="J4347" s="26"/>
      <c r="K4347" s="36">
        <v>4.0000000000000001E-8</v>
      </c>
      <c r="L4347" s="23">
        <v>0</v>
      </c>
    </row>
    <row r="4348" spans="1:12" ht="15.35" hidden="1" x14ac:dyDescent="0.55000000000000004">
      <c r="A4348" s="20">
        <v>15835</v>
      </c>
      <c r="B4348" s="2" t="s">
        <v>193</v>
      </c>
      <c r="C4348" s="2" t="s">
        <v>194</v>
      </c>
      <c r="D4348" s="20">
        <v>0</v>
      </c>
      <c r="E4348" s="2" t="s">
        <v>838</v>
      </c>
      <c r="F4348" s="2" t="s">
        <v>793</v>
      </c>
      <c r="G4348" s="2" t="s">
        <v>4245</v>
      </c>
      <c r="H4348" s="2" t="s">
        <v>1811</v>
      </c>
      <c r="J4348" s="26"/>
      <c r="K4348" s="36">
        <v>4.0000000000000001E-8</v>
      </c>
      <c r="L4348" s="23">
        <v>0</v>
      </c>
    </row>
    <row r="4349" spans="1:12" ht="15.35" hidden="1" x14ac:dyDescent="0.55000000000000004">
      <c r="A4349" s="20">
        <v>15779</v>
      </c>
      <c r="B4349" s="2" t="s">
        <v>193</v>
      </c>
      <c r="C4349" s="2" t="s">
        <v>194</v>
      </c>
      <c r="D4349" s="20">
        <v>0</v>
      </c>
      <c r="E4349" s="2" t="s">
        <v>838</v>
      </c>
      <c r="F4349" s="2" t="s">
        <v>793</v>
      </c>
      <c r="G4349" s="2" t="s">
        <v>2963</v>
      </c>
      <c r="H4349" s="2" t="s">
        <v>1811</v>
      </c>
      <c r="J4349" s="26"/>
      <c r="K4349" s="36">
        <v>4.9999999999999998E-8</v>
      </c>
      <c r="L4349" s="23">
        <v>0</v>
      </c>
    </row>
    <row r="4350" spans="1:12" ht="15.35" hidden="1" x14ac:dyDescent="0.55000000000000004">
      <c r="A4350" s="20">
        <v>15568</v>
      </c>
      <c r="B4350" s="2" t="s">
        <v>193</v>
      </c>
      <c r="C4350" s="2" t="s">
        <v>194</v>
      </c>
      <c r="D4350" s="20">
        <v>0</v>
      </c>
      <c r="E4350" s="2" t="s">
        <v>838</v>
      </c>
      <c r="F4350" s="2" t="s">
        <v>793</v>
      </c>
      <c r="G4350" s="2" t="s">
        <v>4246</v>
      </c>
      <c r="H4350" s="2" t="s">
        <v>1098</v>
      </c>
      <c r="J4350" s="26"/>
      <c r="K4350" s="36">
        <v>2.6199999999999999E-6</v>
      </c>
      <c r="L4350" s="23">
        <v>2.6E-7</v>
      </c>
    </row>
    <row r="4351" spans="1:12" ht="15.35" hidden="1" x14ac:dyDescent="0.55000000000000004">
      <c r="A4351" s="20">
        <v>15592</v>
      </c>
      <c r="B4351" s="2" t="s">
        <v>193</v>
      </c>
      <c r="C4351" s="2" t="s">
        <v>194</v>
      </c>
      <c r="D4351" s="20">
        <v>0</v>
      </c>
      <c r="E4351" s="2" t="s">
        <v>838</v>
      </c>
      <c r="F4351" s="2" t="s">
        <v>787</v>
      </c>
      <c r="G4351" s="2" t="s">
        <v>1098</v>
      </c>
      <c r="H4351" s="2" t="s">
        <v>1098</v>
      </c>
      <c r="J4351" s="26"/>
      <c r="K4351" s="36">
        <v>2.6199999999999999E-6</v>
      </c>
      <c r="L4351" s="23">
        <v>2.6E-7</v>
      </c>
    </row>
    <row r="4352" spans="1:12" ht="15.35" hidden="1" x14ac:dyDescent="0.55000000000000004">
      <c r="A4352" s="20">
        <v>15679</v>
      </c>
      <c r="B4352" s="2" t="s">
        <v>193</v>
      </c>
      <c r="C4352" s="2" t="s">
        <v>194</v>
      </c>
      <c r="D4352" s="20">
        <v>0</v>
      </c>
      <c r="E4352" s="2" t="s">
        <v>838</v>
      </c>
      <c r="F4352" s="2" t="s">
        <v>793</v>
      </c>
      <c r="G4352" s="2" t="s">
        <v>2966</v>
      </c>
      <c r="H4352" s="2" t="s">
        <v>1098</v>
      </c>
      <c r="J4352" s="26"/>
      <c r="K4352" s="36">
        <v>4.4000000000000002E-7</v>
      </c>
      <c r="L4352" s="23">
        <v>4.0000000000000001E-8</v>
      </c>
    </row>
    <row r="4353" spans="1:12" ht="15.35" hidden="1" x14ac:dyDescent="0.55000000000000004">
      <c r="A4353" s="20">
        <v>15855</v>
      </c>
      <c r="B4353" s="2" t="s">
        <v>193</v>
      </c>
      <c r="C4353" s="2" t="s">
        <v>194</v>
      </c>
      <c r="D4353" s="20">
        <v>0</v>
      </c>
      <c r="E4353" s="2" t="s">
        <v>838</v>
      </c>
      <c r="F4353" s="2" t="s">
        <v>817</v>
      </c>
      <c r="G4353" s="2" t="s">
        <v>4247</v>
      </c>
      <c r="H4353" s="2" t="s">
        <v>983</v>
      </c>
      <c r="J4353" s="26"/>
      <c r="K4353" s="36">
        <v>2E-8</v>
      </c>
      <c r="L4353" s="23">
        <v>0</v>
      </c>
    </row>
    <row r="4354" spans="1:12" ht="15.35" hidden="1" x14ac:dyDescent="0.55000000000000004">
      <c r="A4354" s="20">
        <v>15872</v>
      </c>
      <c r="B4354" s="2" t="s">
        <v>193</v>
      </c>
      <c r="C4354" s="2" t="s">
        <v>194</v>
      </c>
      <c r="D4354" s="20">
        <v>0</v>
      </c>
      <c r="E4354" s="2" t="s">
        <v>838</v>
      </c>
      <c r="F4354" s="2" t="s">
        <v>793</v>
      </c>
      <c r="G4354" s="2" t="s">
        <v>2967</v>
      </c>
      <c r="H4354" s="2" t="s">
        <v>983</v>
      </c>
      <c r="J4354" s="26"/>
      <c r="K4354" s="36">
        <v>2E-8</v>
      </c>
      <c r="L4354" s="23">
        <v>0</v>
      </c>
    </row>
    <row r="4355" spans="1:12" ht="15.35" hidden="1" x14ac:dyDescent="0.55000000000000004">
      <c r="A4355" s="20">
        <v>15877</v>
      </c>
      <c r="B4355" s="2" t="s">
        <v>193</v>
      </c>
      <c r="C4355" s="2" t="s">
        <v>194</v>
      </c>
      <c r="D4355" s="20">
        <v>0</v>
      </c>
      <c r="E4355" s="2" t="s">
        <v>838</v>
      </c>
      <c r="F4355" s="2" t="s">
        <v>793</v>
      </c>
      <c r="G4355" s="2" t="s">
        <v>2968</v>
      </c>
      <c r="H4355" s="2" t="s">
        <v>983</v>
      </c>
      <c r="J4355" s="26"/>
      <c r="K4355" s="36">
        <v>2E-8</v>
      </c>
      <c r="L4355" s="23">
        <v>0</v>
      </c>
    </row>
    <row r="4356" spans="1:12" ht="15.35" hidden="1" x14ac:dyDescent="0.55000000000000004">
      <c r="A4356" s="20">
        <v>15874</v>
      </c>
      <c r="B4356" s="2" t="s">
        <v>193</v>
      </c>
      <c r="C4356" s="2" t="s">
        <v>194</v>
      </c>
      <c r="D4356" s="20">
        <v>0</v>
      </c>
      <c r="E4356" s="2" t="s">
        <v>838</v>
      </c>
      <c r="F4356" s="2" t="s">
        <v>793</v>
      </c>
      <c r="G4356" s="2" t="s">
        <v>2969</v>
      </c>
      <c r="H4356" s="2" t="s">
        <v>983</v>
      </c>
      <c r="J4356" s="26"/>
      <c r="K4356" s="36">
        <v>2E-8</v>
      </c>
      <c r="L4356" s="23">
        <v>0</v>
      </c>
    </row>
    <row r="4357" spans="1:12" ht="15.35" hidden="1" x14ac:dyDescent="0.55000000000000004">
      <c r="A4357" s="20">
        <v>15876</v>
      </c>
      <c r="B4357" s="2" t="s">
        <v>193</v>
      </c>
      <c r="C4357" s="2" t="s">
        <v>194</v>
      </c>
      <c r="D4357" s="20">
        <v>0</v>
      </c>
      <c r="E4357" s="2" t="s">
        <v>838</v>
      </c>
      <c r="F4357" s="2" t="s">
        <v>793</v>
      </c>
      <c r="G4357" s="2" t="s">
        <v>2970</v>
      </c>
      <c r="H4357" s="2" t="s">
        <v>983</v>
      </c>
      <c r="J4357" s="26"/>
      <c r="K4357" s="36">
        <v>2E-8</v>
      </c>
      <c r="L4357" s="23">
        <v>0</v>
      </c>
    </row>
    <row r="4358" spans="1:12" ht="15.35" hidden="1" x14ac:dyDescent="0.55000000000000004">
      <c r="A4358" s="20">
        <v>15871</v>
      </c>
      <c r="B4358" s="2" t="s">
        <v>193</v>
      </c>
      <c r="C4358" s="2" t="s">
        <v>194</v>
      </c>
      <c r="D4358" s="20">
        <v>0</v>
      </c>
      <c r="E4358" s="2" t="s">
        <v>838</v>
      </c>
      <c r="F4358" s="2" t="s">
        <v>793</v>
      </c>
      <c r="G4358" s="2" t="s">
        <v>2971</v>
      </c>
      <c r="H4358" s="2" t="s">
        <v>983</v>
      </c>
      <c r="J4358" s="26"/>
      <c r="K4358" s="36">
        <v>2E-8</v>
      </c>
      <c r="L4358" s="23">
        <v>0</v>
      </c>
    </row>
    <row r="4359" spans="1:12" ht="15.35" hidden="1" x14ac:dyDescent="0.55000000000000004">
      <c r="A4359" s="20">
        <v>15867</v>
      </c>
      <c r="B4359" s="2" t="s">
        <v>193</v>
      </c>
      <c r="C4359" s="2" t="s">
        <v>194</v>
      </c>
      <c r="D4359" s="20">
        <v>0</v>
      </c>
      <c r="E4359" s="2" t="s">
        <v>838</v>
      </c>
      <c r="F4359" s="2" t="s">
        <v>793</v>
      </c>
      <c r="G4359" s="2" t="s">
        <v>3738</v>
      </c>
      <c r="H4359" s="2" t="s">
        <v>1301</v>
      </c>
      <c r="J4359" s="26"/>
      <c r="K4359" s="36">
        <v>2E-8</v>
      </c>
      <c r="L4359" s="23">
        <v>0</v>
      </c>
    </row>
    <row r="4360" spans="1:12" ht="15.35" hidden="1" x14ac:dyDescent="0.55000000000000004">
      <c r="A4360" s="20">
        <v>15868</v>
      </c>
      <c r="B4360" s="2" t="s">
        <v>193</v>
      </c>
      <c r="C4360" s="2" t="s">
        <v>194</v>
      </c>
      <c r="D4360" s="20">
        <v>0</v>
      </c>
      <c r="E4360" s="2" t="s">
        <v>838</v>
      </c>
      <c r="F4360" s="2" t="s">
        <v>793</v>
      </c>
      <c r="G4360" s="2" t="s">
        <v>3739</v>
      </c>
      <c r="H4360" s="2" t="s">
        <v>1301</v>
      </c>
      <c r="J4360" s="26"/>
      <c r="K4360" s="36">
        <v>2E-8</v>
      </c>
      <c r="L4360" s="23">
        <v>0</v>
      </c>
    </row>
    <row r="4361" spans="1:12" ht="15.35" hidden="1" x14ac:dyDescent="0.55000000000000004">
      <c r="A4361" s="20">
        <v>15894</v>
      </c>
      <c r="B4361" s="2" t="s">
        <v>193</v>
      </c>
      <c r="C4361" s="2" t="s">
        <v>194</v>
      </c>
      <c r="D4361" s="20">
        <v>0</v>
      </c>
      <c r="E4361" s="2" t="s">
        <v>838</v>
      </c>
      <c r="F4361" s="2" t="s">
        <v>793</v>
      </c>
      <c r="G4361" s="2" t="s">
        <v>4248</v>
      </c>
      <c r="H4361" s="2" t="s">
        <v>1301</v>
      </c>
      <c r="J4361" s="26"/>
      <c r="K4361" s="36">
        <v>1E-8</v>
      </c>
      <c r="L4361" s="23">
        <v>0</v>
      </c>
    </row>
    <row r="4362" spans="1:12" ht="15.35" hidden="1" x14ac:dyDescent="0.55000000000000004">
      <c r="A4362" s="20">
        <v>15866</v>
      </c>
      <c r="B4362" s="2" t="s">
        <v>193</v>
      </c>
      <c r="C4362" s="2" t="s">
        <v>194</v>
      </c>
      <c r="D4362" s="20">
        <v>0</v>
      </c>
      <c r="E4362" s="2" t="s">
        <v>838</v>
      </c>
      <c r="F4362" s="2" t="s">
        <v>793</v>
      </c>
      <c r="G4362" s="2" t="s">
        <v>3742</v>
      </c>
      <c r="H4362" s="2" t="s">
        <v>1301</v>
      </c>
      <c r="J4362" s="26"/>
      <c r="K4362" s="36">
        <v>2E-8</v>
      </c>
      <c r="L4362" s="23">
        <v>0</v>
      </c>
    </row>
    <row r="4363" spans="1:12" ht="15.35" hidden="1" x14ac:dyDescent="0.55000000000000004">
      <c r="A4363" s="20">
        <v>15772</v>
      </c>
      <c r="B4363" s="2" t="s">
        <v>193</v>
      </c>
      <c r="C4363" s="2" t="s">
        <v>194</v>
      </c>
      <c r="D4363" s="20">
        <v>0</v>
      </c>
      <c r="E4363" s="2" t="s">
        <v>838</v>
      </c>
      <c r="F4363" s="2" t="s">
        <v>793</v>
      </c>
      <c r="G4363" s="2" t="s">
        <v>2993</v>
      </c>
      <c r="H4363" s="2" t="s">
        <v>1301</v>
      </c>
      <c r="J4363" s="26"/>
      <c r="K4363" s="36">
        <v>5.9999999999999995E-8</v>
      </c>
      <c r="L4363" s="23">
        <v>1E-8</v>
      </c>
    </row>
    <row r="4364" spans="1:12" ht="15.35" hidden="1" x14ac:dyDescent="0.55000000000000004">
      <c r="A4364" s="20">
        <v>15658</v>
      </c>
      <c r="B4364" s="2" t="s">
        <v>193</v>
      </c>
      <c r="C4364" s="2" t="s">
        <v>194</v>
      </c>
      <c r="D4364" s="20">
        <v>0</v>
      </c>
      <c r="E4364" s="2" t="s">
        <v>838</v>
      </c>
      <c r="F4364" s="2" t="s">
        <v>833</v>
      </c>
      <c r="G4364" s="2" t="s">
        <v>4249</v>
      </c>
      <c r="H4364" s="2" t="s">
        <v>2125</v>
      </c>
      <c r="J4364" s="26"/>
      <c r="K4364" s="36">
        <v>7.5000000000000002E-7</v>
      </c>
      <c r="L4364" s="23">
        <v>7.0000000000000005E-8</v>
      </c>
    </row>
    <row r="4365" spans="1:12" ht="15.35" hidden="1" x14ac:dyDescent="0.55000000000000004">
      <c r="A4365" s="20">
        <v>15626</v>
      </c>
      <c r="B4365" s="2" t="s">
        <v>193</v>
      </c>
      <c r="C4365" s="2" t="s">
        <v>194</v>
      </c>
      <c r="D4365" s="20">
        <v>0</v>
      </c>
      <c r="E4365" s="2" t="s">
        <v>838</v>
      </c>
      <c r="F4365" s="2" t="s">
        <v>833</v>
      </c>
      <c r="G4365" s="2" t="s">
        <v>4250</v>
      </c>
      <c r="H4365" s="2" t="s">
        <v>2125</v>
      </c>
      <c r="J4365" s="26"/>
      <c r="K4365" s="36">
        <v>1.37E-6</v>
      </c>
      <c r="L4365" s="23">
        <v>1.4000000000000001E-7</v>
      </c>
    </row>
    <row r="4366" spans="1:12" ht="15.35" hidden="1" x14ac:dyDescent="0.55000000000000004">
      <c r="A4366" s="20">
        <v>15721</v>
      </c>
      <c r="B4366" s="2" t="s">
        <v>193</v>
      </c>
      <c r="C4366" s="2" t="s">
        <v>194</v>
      </c>
      <c r="D4366" s="20">
        <v>0</v>
      </c>
      <c r="E4366" s="2" t="s">
        <v>838</v>
      </c>
      <c r="F4366" s="2" t="s">
        <v>833</v>
      </c>
      <c r="G4366" s="2" t="s">
        <v>4251</v>
      </c>
      <c r="H4366" s="2" t="s">
        <v>2125</v>
      </c>
      <c r="J4366" s="26"/>
      <c r="K4366" s="36">
        <v>1.9000000000000001E-7</v>
      </c>
      <c r="L4366" s="23">
        <v>2E-8</v>
      </c>
    </row>
    <row r="4367" spans="1:12" ht="15.35" hidden="1" x14ac:dyDescent="0.55000000000000004">
      <c r="A4367" s="20">
        <v>15691</v>
      </c>
      <c r="B4367" s="2" t="s">
        <v>193</v>
      </c>
      <c r="C4367" s="2" t="s">
        <v>194</v>
      </c>
      <c r="D4367" s="20">
        <v>0</v>
      </c>
      <c r="E4367" s="2" t="s">
        <v>838</v>
      </c>
      <c r="F4367" s="2" t="s">
        <v>833</v>
      </c>
      <c r="G4367" s="2" t="s">
        <v>4252</v>
      </c>
      <c r="H4367" s="2" t="s">
        <v>2125</v>
      </c>
      <c r="J4367" s="26"/>
      <c r="K4367" s="36">
        <v>3.7E-7</v>
      </c>
      <c r="L4367" s="23">
        <v>4.0000000000000001E-8</v>
      </c>
    </row>
    <row r="4368" spans="1:12" ht="15.35" hidden="1" x14ac:dyDescent="0.55000000000000004">
      <c r="A4368" s="20">
        <v>15701</v>
      </c>
      <c r="B4368" s="2" t="s">
        <v>193</v>
      </c>
      <c r="C4368" s="2" t="s">
        <v>194</v>
      </c>
      <c r="D4368" s="20">
        <v>0</v>
      </c>
      <c r="E4368" s="2" t="s">
        <v>838</v>
      </c>
      <c r="F4368" s="2" t="s">
        <v>833</v>
      </c>
      <c r="G4368" s="2" t="s">
        <v>4253</v>
      </c>
      <c r="H4368" s="2" t="s">
        <v>2125</v>
      </c>
      <c r="J4368" s="26"/>
      <c r="K4368" s="36">
        <v>3.1E-7</v>
      </c>
      <c r="L4368" s="23">
        <v>2.9999999999999997E-8</v>
      </c>
    </row>
    <row r="4369" spans="1:12" ht="15.35" hidden="1" x14ac:dyDescent="0.55000000000000004">
      <c r="A4369" s="20">
        <v>15699</v>
      </c>
      <c r="B4369" s="2" t="s">
        <v>193</v>
      </c>
      <c r="C4369" s="2" t="s">
        <v>194</v>
      </c>
      <c r="D4369" s="20">
        <v>0</v>
      </c>
      <c r="E4369" s="2" t="s">
        <v>838</v>
      </c>
      <c r="F4369" s="2" t="s">
        <v>833</v>
      </c>
      <c r="G4369" s="2" t="s">
        <v>4254</v>
      </c>
      <c r="H4369" s="2" t="s">
        <v>2125</v>
      </c>
      <c r="J4369" s="26"/>
      <c r="K4369" s="36">
        <v>3.1E-7</v>
      </c>
      <c r="L4369" s="23">
        <v>2.9999999999999997E-8</v>
      </c>
    </row>
    <row r="4370" spans="1:12" ht="15.35" hidden="1" x14ac:dyDescent="0.55000000000000004">
      <c r="A4370" s="20">
        <v>15647</v>
      </c>
      <c r="B4370" s="2" t="s">
        <v>193</v>
      </c>
      <c r="C4370" s="2" t="s">
        <v>194</v>
      </c>
      <c r="D4370" s="20">
        <v>0</v>
      </c>
      <c r="E4370" s="2" t="s">
        <v>838</v>
      </c>
      <c r="F4370" s="2" t="s">
        <v>833</v>
      </c>
      <c r="G4370" s="2" t="s">
        <v>4255</v>
      </c>
      <c r="H4370" s="2" t="s">
        <v>2125</v>
      </c>
      <c r="J4370" s="26"/>
      <c r="K4370" s="36">
        <v>8.7000000000000003E-7</v>
      </c>
      <c r="L4370" s="23">
        <v>8.9999999999999999E-8</v>
      </c>
    </row>
    <row r="4371" spans="1:12" ht="15.35" hidden="1" x14ac:dyDescent="0.55000000000000004">
      <c r="A4371" s="20">
        <v>15608</v>
      </c>
      <c r="B4371" s="2" t="s">
        <v>193</v>
      </c>
      <c r="C4371" s="2" t="s">
        <v>194</v>
      </c>
      <c r="D4371" s="20">
        <v>0</v>
      </c>
      <c r="E4371" s="2" t="s">
        <v>838</v>
      </c>
      <c r="F4371" s="2" t="s">
        <v>833</v>
      </c>
      <c r="G4371" s="2" t="s">
        <v>3744</v>
      </c>
      <c r="H4371" s="2" t="s">
        <v>2125</v>
      </c>
      <c r="J4371" s="26"/>
      <c r="K4371" s="36">
        <v>1.9999999999999999E-6</v>
      </c>
      <c r="L4371" s="23">
        <v>1.9999999999999999E-7</v>
      </c>
    </row>
    <row r="4372" spans="1:12" ht="15.35" hidden="1" x14ac:dyDescent="0.55000000000000004">
      <c r="A4372" s="20">
        <v>15635</v>
      </c>
      <c r="B4372" s="2" t="s">
        <v>193</v>
      </c>
      <c r="C4372" s="2" t="s">
        <v>194</v>
      </c>
      <c r="D4372" s="20">
        <v>0</v>
      </c>
      <c r="E4372" s="2" t="s">
        <v>838</v>
      </c>
      <c r="F4372" s="2" t="s">
        <v>833</v>
      </c>
      <c r="G4372" s="2" t="s">
        <v>3745</v>
      </c>
      <c r="H4372" s="2" t="s">
        <v>2125</v>
      </c>
      <c r="J4372" s="26"/>
      <c r="K4372" s="36">
        <v>1.22E-6</v>
      </c>
      <c r="L4372" s="23">
        <v>1.1999999999999999E-7</v>
      </c>
    </row>
    <row r="4373" spans="1:12" ht="15.35" hidden="1" x14ac:dyDescent="0.55000000000000004">
      <c r="A4373" s="20">
        <v>15574</v>
      </c>
      <c r="B4373" s="2" t="s">
        <v>193</v>
      </c>
      <c r="C4373" s="2" t="s">
        <v>194</v>
      </c>
      <c r="D4373" s="20">
        <v>0</v>
      </c>
      <c r="E4373" s="2" t="s">
        <v>838</v>
      </c>
      <c r="F4373" s="2" t="s">
        <v>833</v>
      </c>
      <c r="G4373" s="2" t="s">
        <v>3747</v>
      </c>
      <c r="H4373" s="2" t="s">
        <v>2125</v>
      </c>
      <c r="J4373" s="26"/>
      <c r="K4373" s="36">
        <v>2.6199999999999999E-6</v>
      </c>
      <c r="L4373" s="23">
        <v>2.6E-7</v>
      </c>
    </row>
    <row r="4374" spans="1:12" ht="15.35" hidden="1" x14ac:dyDescent="0.55000000000000004">
      <c r="A4374" s="20">
        <v>15622</v>
      </c>
      <c r="B4374" s="2" t="s">
        <v>193</v>
      </c>
      <c r="C4374" s="2" t="s">
        <v>194</v>
      </c>
      <c r="D4374" s="20">
        <v>0</v>
      </c>
      <c r="E4374" s="2" t="s">
        <v>838</v>
      </c>
      <c r="F4374" s="2" t="s">
        <v>833</v>
      </c>
      <c r="G4374" s="2" t="s">
        <v>3748</v>
      </c>
      <c r="H4374" s="2" t="s">
        <v>2125</v>
      </c>
      <c r="J4374" s="26"/>
      <c r="K4374" s="36">
        <v>1.5E-6</v>
      </c>
      <c r="L4374" s="23">
        <v>1.4999999999999999E-7</v>
      </c>
    </row>
    <row r="4375" spans="1:12" ht="15.35" hidden="1" x14ac:dyDescent="0.55000000000000004">
      <c r="A4375" s="20">
        <v>15616</v>
      </c>
      <c r="B4375" s="2" t="s">
        <v>193</v>
      </c>
      <c r="C4375" s="2" t="s">
        <v>194</v>
      </c>
      <c r="D4375" s="20">
        <v>0</v>
      </c>
      <c r="E4375" s="2" t="s">
        <v>838</v>
      </c>
      <c r="F4375" s="2" t="s">
        <v>833</v>
      </c>
      <c r="G4375" s="2" t="s">
        <v>3749</v>
      </c>
      <c r="H4375" s="2" t="s">
        <v>2125</v>
      </c>
      <c r="J4375" s="26"/>
      <c r="K4375" s="36">
        <v>1.75E-6</v>
      </c>
      <c r="L4375" s="23">
        <v>1.6999999999999999E-7</v>
      </c>
    </row>
    <row r="4376" spans="1:12" ht="15.35" hidden="1" x14ac:dyDescent="0.55000000000000004">
      <c r="A4376" s="20">
        <v>15663</v>
      </c>
      <c r="B4376" s="2" t="s">
        <v>193</v>
      </c>
      <c r="C4376" s="2" t="s">
        <v>194</v>
      </c>
      <c r="D4376" s="20">
        <v>0</v>
      </c>
      <c r="E4376" s="2" t="s">
        <v>838</v>
      </c>
      <c r="F4376" s="2" t="s">
        <v>833</v>
      </c>
      <c r="G4376" s="2" t="s">
        <v>3750</v>
      </c>
      <c r="H4376" s="2" t="s">
        <v>2125</v>
      </c>
      <c r="J4376" s="26"/>
      <c r="K4376" s="36">
        <v>6.1999999999999999E-7</v>
      </c>
      <c r="L4376" s="23">
        <v>5.9999999999999995E-8</v>
      </c>
    </row>
    <row r="4377" spans="1:12" ht="15.35" hidden="1" x14ac:dyDescent="0.55000000000000004">
      <c r="A4377" s="20">
        <v>15584</v>
      </c>
      <c r="B4377" s="2" t="s">
        <v>193</v>
      </c>
      <c r="C4377" s="2" t="s">
        <v>194</v>
      </c>
      <c r="D4377" s="20">
        <v>0</v>
      </c>
      <c r="E4377" s="2" t="s">
        <v>838</v>
      </c>
      <c r="F4377" s="2" t="s">
        <v>833</v>
      </c>
      <c r="G4377" s="2" t="s">
        <v>3752</v>
      </c>
      <c r="H4377" s="2" t="s">
        <v>2125</v>
      </c>
      <c r="J4377" s="26"/>
      <c r="K4377" s="36">
        <v>2.6199999999999999E-6</v>
      </c>
      <c r="L4377" s="23">
        <v>2.6E-7</v>
      </c>
    </row>
    <row r="4378" spans="1:12" ht="15.35" hidden="1" x14ac:dyDescent="0.55000000000000004">
      <c r="A4378" s="20">
        <v>15601</v>
      </c>
      <c r="B4378" s="2" t="s">
        <v>193</v>
      </c>
      <c r="C4378" s="2" t="s">
        <v>194</v>
      </c>
      <c r="D4378" s="20">
        <v>0</v>
      </c>
      <c r="E4378" s="2" t="s">
        <v>838</v>
      </c>
      <c r="F4378" s="2" t="s">
        <v>833</v>
      </c>
      <c r="G4378" s="2" t="s">
        <v>4256</v>
      </c>
      <c r="H4378" s="2" t="s">
        <v>2125</v>
      </c>
      <c r="J4378" s="26"/>
      <c r="K4378" s="36">
        <v>2.6199999999999999E-6</v>
      </c>
      <c r="L4378" s="23">
        <v>2.6E-7</v>
      </c>
    </row>
    <row r="4379" spans="1:12" ht="15.35" hidden="1" x14ac:dyDescent="0.55000000000000004">
      <c r="A4379" s="20">
        <v>15666</v>
      </c>
      <c r="B4379" s="2" t="s">
        <v>193</v>
      </c>
      <c r="C4379" s="2" t="s">
        <v>194</v>
      </c>
      <c r="D4379" s="20">
        <v>0</v>
      </c>
      <c r="E4379" s="2" t="s">
        <v>838</v>
      </c>
      <c r="F4379" s="2" t="s">
        <v>833</v>
      </c>
      <c r="G4379" s="2" t="s">
        <v>4257</v>
      </c>
      <c r="H4379" s="2" t="s">
        <v>2125</v>
      </c>
      <c r="J4379" s="26"/>
      <c r="K4379" s="36">
        <v>6.1999999999999999E-7</v>
      </c>
      <c r="L4379" s="23">
        <v>5.9999999999999995E-8</v>
      </c>
    </row>
    <row r="4380" spans="1:12" ht="15.35" hidden="1" x14ac:dyDescent="0.55000000000000004">
      <c r="A4380" s="20">
        <v>15692</v>
      </c>
      <c r="B4380" s="2" t="s">
        <v>193</v>
      </c>
      <c r="C4380" s="2" t="s">
        <v>194</v>
      </c>
      <c r="D4380" s="20">
        <v>0</v>
      </c>
      <c r="E4380" s="2" t="s">
        <v>838</v>
      </c>
      <c r="F4380" s="2" t="s">
        <v>833</v>
      </c>
      <c r="G4380" s="2" t="s">
        <v>4258</v>
      </c>
      <c r="H4380" s="2" t="s">
        <v>2125</v>
      </c>
      <c r="J4380" s="26"/>
      <c r="K4380" s="36">
        <v>3.7E-7</v>
      </c>
      <c r="L4380" s="23">
        <v>4.0000000000000001E-8</v>
      </c>
    </row>
    <row r="4381" spans="1:12" ht="15.35" hidden="1" x14ac:dyDescent="0.55000000000000004">
      <c r="A4381" s="20">
        <v>15653</v>
      </c>
      <c r="B4381" s="2" t="s">
        <v>193</v>
      </c>
      <c r="C4381" s="2" t="s">
        <v>194</v>
      </c>
      <c r="D4381" s="20">
        <v>0</v>
      </c>
      <c r="E4381" s="2" t="s">
        <v>838</v>
      </c>
      <c r="F4381" s="2" t="s">
        <v>833</v>
      </c>
      <c r="G4381" s="2" t="s">
        <v>4259</v>
      </c>
      <c r="H4381" s="2" t="s">
        <v>2125</v>
      </c>
      <c r="J4381" s="26"/>
      <c r="K4381" s="36">
        <v>8.0999999999999997E-7</v>
      </c>
      <c r="L4381" s="23">
        <v>8.0000000000000002E-8</v>
      </c>
    </row>
    <row r="4382" spans="1:12" ht="15.35" hidden="1" x14ac:dyDescent="0.55000000000000004">
      <c r="A4382" s="20">
        <v>15654</v>
      </c>
      <c r="B4382" s="2" t="s">
        <v>193</v>
      </c>
      <c r="C4382" s="2" t="s">
        <v>194</v>
      </c>
      <c r="D4382" s="20">
        <v>0</v>
      </c>
      <c r="E4382" s="2" t="s">
        <v>838</v>
      </c>
      <c r="F4382" s="2" t="s">
        <v>833</v>
      </c>
      <c r="G4382" s="2" t="s">
        <v>4260</v>
      </c>
      <c r="H4382" s="2" t="s">
        <v>2125</v>
      </c>
      <c r="J4382" s="26"/>
      <c r="K4382" s="36">
        <v>8.0999999999999997E-7</v>
      </c>
      <c r="L4382" s="23">
        <v>8.0000000000000002E-8</v>
      </c>
    </row>
    <row r="4383" spans="1:12" ht="15.35" hidden="1" x14ac:dyDescent="0.55000000000000004">
      <c r="A4383" s="20">
        <v>15628</v>
      </c>
      <c r="B4383" s="2" t="s">
        <v>193</v>
      </c>
      <c r="C4383" s="2" t="s">
        <v>194</v>
      </c>
      <c r="D4383" s="20">
        <v>0</v>
      </c>
      <c r="E4383" s="2" t="s">
        <v>838</v>
      </c>
      <c r="F4383" s="2" t="s">
        <v>833</v>
      </c>
      <c r="G4383" s="2" t="s">
        <v>4261</v>
      </c>
      <c r="H4383" s="2" t="s">
        <v>2125</v>
      </c>
      <c r="J4383" s="26"/>
      <c r="K4383" s="36">
        <v>1.2500000000000001E-6</v>
      </c>
      <c r="L4383" s="23">
        <v>1.1999999999999999E-7</v>
      </c>
    </row>
    <row r="4384" spans="1:12" ht="15.35" hidden="1" x14ac:dyDescent="0.55000000000000004">
      <c r="A4384" s="20">
        <v>15725</v>
      </c>
      <c r="B4384" s="2" t="s">
        <v>193</v>
      </c>
      <c r="C4384" s="2" t="s">
        <v>194</v>
      </c>
      <c r="D4384" s="20">
        <v>0</v>
      </c>
      <c r="E4384" s="2" t="s">
        <v>838</v>
      </c>
      <c r="F4384" s="2" t="s">
        <v>833</v>
      </c>
      <c r="G4384" s="2" t="s">
        <v>4262</v>
      </c>
      <c r="H4384" s="2" t="s">
        <v>2125</v>
      </c>
      <c r="J4384" s="26"/>
      <c r="K4384" s="36">
        <v>1.6E-7</v>
      </c>
      <c r="L4384" s="23">
        <v>2E-8</v>
      </c>
    </row>
    <row r="4385" spans="1:12" ht="15.35" hidden="1" x14ac:dyDescent="0.55000000000000004">
      <c r="A4385" s="20">
        <v>15687</v>
      </c>
      <c r="B4385" s="2" t="s">
        <v>193</v>
      </c>
      <c r="C4385" s="2" t="s">
        <v>194</v>
      </c>
      <c r="D4385" s="20">
        <v>0</v>
      </c>
      <c r="E4385" s="2" t="s">
        <v>838</v>
      </c>
      <c r="F4385" s="2" t="s">
        <v>833</v>
      </c>
      <c r="G4385" s="2" t="s">
        <v>4263</v>
      </c>
      <c r="H4385" s="2" t="s">
        <v>2125</v>
      </c>
      <c r="J4385" s="26"/>
      <c r="K4385" s="36">
        <v>3.9999999999999998E-7</v>
      </c>
      <c r="L4385" s="23">
        <v>4.0000000000000001E-8</v>
      </c>
    </row>
    <row r="4386" spans="1:12" ht="15.35" hidden="1" x14ac:dyDescent="0.55000000000000004">
      <c r="A4386" s="20">
        <v>15604</v>
      </c>
      <c r="B4386" s="2" t="s">
        <v>193</v>
      </c>
      <c r="C4386" s="2" t="s">
        <v>194</v>
      </c>
      <c r="D4386" s="20">
        <v>0</v>
      </c>
      <c r="E4386" s="2" t="s">
        <v>838</v>
      </c>
      <c r="F4386" s="2" t="s">
        <v>833</v>
      </c>
      <c r="G4386" s="2" t="s">
        <v>4264</v>
      </c>
      <c r="H4386" s="2" t="s">
        <v>2125</v>
      </c>
      <c r="J4386" s="26"/>
      <c r="K4386" s="36">
        <v>2.4899999999999999E-6</v>
      </c>
      <c r="L4386" s="23">
        <v>2.4999999999999999E-7</v>
      </c>
    </row>
    <row r="4387" spans="1:12" ht="15.35" hidden="1" x14ac:dyDescent="0.55000000000000004">
      <c r="A4387" s="20">
        <v>15606</v>
      </c>
      <c r="B4387" s="2" t="s">
        <v>193</v>
      </c>
      <c r="C4387" s="2" t="s">
        <v>194</v>
      </c>
      <c r="D4387" s="20">
        <v>0</v>
      </c>
      <c r="E4387" s="2" t="s">
        <v>838</v>
      </c>
      <c r="F4387" s="2" t="s">
        <v>833</v>
      </c>
      <c r="G4387" s="2" t="s">
        <v>4265</v>
      </c>
      <c r="H4387" s="2" t="s">
        <v>2125</v>
      </c>
      <c r="J4387" s="26"/>
      <c r="K4387" s="36">
        <v>2.2500000000000001E-6</v>
      </c>
      <c r="L4387" s="23">
        <v>2.2000000000000001E-7</v>
      </c>
    </row>
    <row r="4388" spans="1:12" ht="15.35" hidden="1" x14ac:dyDescent="0.55000000000000004">
      <c r="A4388" s="20">
        <v>15599</v>
      </c>
      <c r="B4388" s="2" t="s">
        <v>193</v>
      </c>
      <c r="C4388" s="2" t="s">
        <v>194</v>
      </c>
      <c r="D4388" s="20">
        <v>0</v>
      </c>
      <c r="E4388" s="2" t="s">
        <v>838</v>
      </c>
      <c r="F4388" s="2" t="s">
        <v>833</v>
      </c>
      <c r="G4388" s="2" t="s">
        <v>4266</v>
      </c>
      <c r="H4388" s="2" t="s">
        <v>2125</v>
      </c>
      <c r="J4388" s="26"/>
      <c r="K4388" s="36">
        <v>2.6199999999999999E-6</v>
      </c>
      <c r="L4388" s="23">
        <v>2.6E-7</v>
      </c>
    </row>
    <row r="4389" spans="1:12" ht="15.35" hidden="1" x14ac:dyDescent="0.55000000000000004">
      <c r="A4389" s="20">
        <v>15659</v>
      </c>
      <c r="B4389" s="2" t="s">
        <v>193</v>
      </c>
      <c r="C4389" s="2" t="s">
        <v>194</v>
      </c>
      <c r="D4389" s="20">
        <v>0</v>
      </c>
      <c r="E4389" s="2" t="s">
        <v>838</v>
      </c>
      <c r="F4389" s="2" t="s">
        <v>833</v>
      </c>
      <c r="G4389" s="2" t="s">
        <v>4267</v>
      </c>
      <c r="H4389" s="2" t="s">
        <v>2125</v>
      </c>
      <c r="J4389" s="26"/>
      <c r="K4389" s="36">
        <v>6.5000000000000002E-7</v>
      </c>
      <c r="L4389" s="23">
        <v>5.9999999999999995E-8</v>
      </c>
    </row>
    <row r="4390" spans="1:12" ht="15.35" hidden="1" x14ac:dyDescent="0.55000000000000004">
      <c r="A4390" s="20">
        <v>15590</v>
      </c>
      <c r="B4390" s="2" t="s">
        <v>193</v>
      </c>
      <c r="C4390" s="2" t="s">
        <v>194</v>
      </c>
      <c r="D4390" s="20">
        <v>0</v>
      </c>
      <c r="E4390" s="2" t="s">
        <v>838</v>
      </c>
      <c r="F4390" s="2" t="s">
        <v>833</v>
      </c>
      <c r="G4390" s="2" t="s">
        <v>4268</v>
      </c>
      <c r="H4390" s="2" t="s">
        <v>2125</v>
      </c>
      <c r="J4390" s="26"/>
      <c r="K4390" s="36">
        <v>2.6199999999999999E-6</v>
      </c>
      <c r="L4390" s="23">
        <v>2.6E-7</v>
      </c>
    </row>
    <row r="4391" spans="1:12" ht="15.35" hidden="1" x14ac:dyDescent="0.55000000000000004">
      <c r="A4391" s="20">
        <v>15585</v>
      </c>
      <c r="B4391" s="2" t="s">
        <v>193</v>
      </c>
      <c r="C4391" s="2" t="s">
        <v>194</v>
      </c>
      <c r="D4391" s="20">
        <v>0</v>
      </c>
      <c r="E4391" s="2" t="s">
        <v>838</v>
      </c>
      <c r="F4391" s="2" t="s">
        <v>833</v>
      </c>
      <c r="G4391" s="2" t="s">
        <v>4269</v>
      </c>
      <c r="H4391" s="2" t="s">
        <v>2125</v>
      </c>
      <c r="J4391" s="26"/>
      <c r="K4391" s="36">
        <v>2.6199999999999999E-6</v>
      </c>
      <c r="L4391" s="23">
        <v>2.6E-7</v>
      </c>
    </row>
    <row r="4392" spans="1:12" ht="15.35" hidden="1" x14ac:dyDescent="0.55000000000000004">
      <c r="A4392" s="20">
        <v>15665</v>
      </c>
      <c r="B4392" s="2" t="s">
        <v>193</v>
      </c>
      <c r="C4392" s="2" t="s">
        <v>194</v>
      </c>
      <c r="D4392" s="20">
        <v>0</v>
      </c>
      <c r="E4392" s="2" t="s">
        <v>838</v>
      </c>
      <c r="F4392" s="2" t="s">
        <v>833</v>
      </c>
      <c r="G4392" s="2" t="s">
        <v>4270</v>
      </c>
      <c r="H4392" s="2" t="s">
        <v>2125</v>
      </c>
      <c r="J4392" s="26"/>
      <c r="K4392" s="36">
        <v>6.1999999999999999E-7</v>
      </c>
      <c r="L4392" s="23">
        <v>5.9999999999999995E-8</v>
      </c>
    </row>
    <row r="4393" spans="1:12" ht="15.35" hidden="1" x14ac:dyDescent="0.55000000000000004">
      <c r="A4393" s="20">
        <v>15643</v>
      </c>
      <c r="B4393" s="2" t="s">
        <v>193</v>
      </c>
      <c r="C4393" s="2" t="s">
        <v>194</v>
      </c>
      <c r="D4393" s="20">
        <v>0</v>
      </c>
      <c r="E4393" s="2" t="s">
        <v>838</v>
      </c>
      <c r="F4393" s="2" t="s">
        <v>833</v>
      </c>
      <c r="G4393" s="2" t="s">
        <v>4271</v>
      </c>
      <c r="H4393" s="2" t="s">
        <v>2125</v>
      </c>
      <c r="J4393" s="26"/>
      <c r="K4393" s="36">
        <v>9.9999999999999995E-7</v>
      </c>
      <c r="L4393" s="23">
        <v>9.9999999999999995E-8</v>
      </c>
    </row>
    <row r="4394" spans="1:12" ht="15.35" hidden="1" x14ac:dyDescent="0.55000000000000004">
      <c r="A4394" s="20">
        <v>15644</v>
      </c>
      <c r="B4394" s="2" t="s">
        <v>193</v>
      </c>
      <c r="C4394" s="2" t="s">
        <v>194</v>
      </c>
      <c r="D4394" s="20">
        <v>0</v>
      </c>
      <c r="E4394" s="2" t="s">
        <v>838</v>
      </c>
      <c r="F4394" s="2" t="s">
        <v>833</v>
      </c>
      <c r="G4394" s="2" t="s">
        <v>4272</v>
      </c>
      <c r="H4394" s="2" t="s">
        <v>2125</v>
      </c>
      <c r="J4394" s="26"/>
      <c r="K4394" s="36">
        <v>9.1999999999999998E-7</v>
      </c>
      <c r="L4394" s="23">
        <v>8.9999999999999999E-8</v>
      </c>
    </row>
    <row r="4395" spans="1:12" ht="15.35" hidden="1" x14ac:dyDescent="0.55000000000000004">
      <c r="A4395" s="20">
        <v>15646</v>
      </c>
      <c r="B4395" s="2" t="s">
        <v>193</v>
      </c>
      <c r="C4395" s="2" t="s">
        <v>194</v>
      </c>
      <c r="D4395" s="20">
        <v>0</v>
      </c>
      <c r="E4395" s="2" t="s">
        <v>838</v>
      </c>
      <c r="F4395" s="2" t="s">
        <v>833</v>
      </c>
      <c r="G4395" s="2" t="s">
        <v>4273</v>
      </c>
      <c r="H4395" s="2" t="s">
        <v>2125</v>
      </c>
      <c r="J4395" s="26"/>
      <c r="K4395" s="36">
        <v>8.7000000000000003E-7</v>
      </c>
      <c r="L4395" s="23">
        <v>8.9999999999999999E-8</v>
      </c>
    </row>
    <row r="4396" spans="1:12" ht="15.35" hidden="1" x14ac:dyDescent="0.55000000000000004">
      <c r="A4396" s="20">
        <v>15661</v>
      </c>
      <c r="B4396" s="2" t="s">
        <v>193</v>
      </c>
      <c r="C4396" s="2" t="s">
        <v>194</v>
      </c>
      <c r="D4396" s="20">
        <v>0</v>
      </c>
      <c r="E4396" s="2" t="s">
        <v>838</v>
      </c>
      <c r="F4396" s="2" t="s">
        <v>833</v>
      </c>
      <c r="G4396" s="2" t="s">
        <v>4274</v>
      </c>
      <c r="H4396" s="2" t="s">
        <v>2125</v>
      </c>
      <c r="J4396" s="26"/>
      <c r="K4396" s="36">
        <v>6.1999999999999999E-7</v>
      </c>
      <c r="L4396" s="23">
        <v>5.9999999999999995E-8</v>
      </c>
    </row>
    <row r="4397" spans="1:12" ht="15.35" hidden="1" x14ac:dyDescent="0.55000000000000004">
      <c r="A4397" s="20">
        <v>15678</v>
      </c>
      <c r="B4397" s="2" t="s">
        <v>193</v>
      </c>
      <c r="C4397" s="2" t="s">
        <v>194</v>
      </c>
      <c r="D4397" s="20">
        <v>0</v>
      </c>
      <c r="E4397" s="2" t="s">
        <v>838</v>
      </c>
      <c r="F4397" s="2" t="s">
        <v>833</v>
      </c>
      <c r="G4397" s="2" t="s">
        <v>4275</v>
      </c>
      <c r="H4397" s="2" t="s">
        <v>2125</v>
      </c>
      <c r="J4397" s="26"/>
      <c r="K4397" s="36">
        <v>4.8999999999999997E-7</v>
      </c>
      <c r="L4397" s="23">
        <v>4.9999999999999998E-8</v>
      </c>
    </row>
    <row r="4398" spans="1:12" ht="15.35" hidden="1" x14ac:dyDescent="0.55000000000000004">
      <c r="A4398" s="20">
        <v>15671</v>
      </c>
      <c r="B4398" s="2" t="s">
        <v>193</v>
      </c>
      <c r="C4398" s="2" t="s">
        <v>194</v>
      </c>
      <c r="D4398" s="20">
        <v>0</v>
      </c>
      <c r="E4398" s="2" t="s">
        <v>838</v>
      </c>
      <c r="F4398" s="2" t="s">
        <v>833</v>
      </c>
      <c r="G4398" s="2" t="s">
        <v>4276</v>
      </c>
      <c r="H4398" s="2" t="s">
        <v>2125</v>
      </c>
      <c r="J4398" s="26"/>
      <c r="K4398" s="36">
        <v>5.6000000000000004E-7</v>
      </c>
      <c r="L4398" s="23">
        <v>5.9999999999999995E-8</v>
      </c>
    </row>
    <row r="4399" spans="1:12" ht="15.35" hidden="1" x14ac:dyDescent="0.55000000000000004">
      <c r="A4399" s="20">
        <v>15705</v>
      </c>
      <c r="B4399" s="2" t="s">
        <v>193</v>
      </c>
      <c r="C4399" s="2" t="s">
        <v>194</v>
      </c>
      <c r="D4399" s="20">
        <v>0</v>
      </c>
      <c r="E4399" s="2" t="s">
        <v>838</v>
      </c>
      <c r="F4399" s="2" t="s">
        <v>833</v>
      </c>
      <c r="G4399" s="2" t="s">
        <v>4277</v>
      </c>
      <c r="H4399" s="2" t="s">
        <v>2125</v>
      </c>
      <c r="J4399" s="26"/>
      <c r="K4399" s="36">
        <v>2.4999999999999999E-7</v>
      </c>
      <c r="L4399" s="23">
        <v>2E-8</v>
      </c>
    </row>
    <row r="4400" spans="1:12" ht="15.35" hidden="1" x14ac:dyDescent="0.55000000000000004">
      <c r="A4400" s="20">
        <v>15657</v>
      </c>
      <c r="B4400" s="2" t="s">
        <v>193</v>
      </c>
      <c r="C4400" s="2" t="s">
        <v>194</v>
      </c>
      <c r="D4400" s="20">
        <v>0</v>
      </c>
      <c r="E4400" s="2" t="s">
        <v>838</v>
      </c>
      <c r="F4400" s="2" t="s">
        <v>833</v>
      </c>
      <c r="G4400" s="2" t="s">
        <v>3756</v>
      </c>
      <c r="H4400" s="2" t="s">
        <v>2125</v>
      </c>
      <c r="J4400" s="26"/>
      <c r="K4400" s="36">
        <v>7.5000000000000002E-7</v>
      </c>
      <c r="L4400" s="23">
        <v>7.0000000000000005E-8</v>
      </c>
    </row>
    <row r="4401" spans="1:12" ht="15.35" hidden="1" x14ac:dyDescent="0.55000000000000004">
      <c r="A4401" s="20">
        <v>15636</v>
      </c>
      <c r="B4401" s="2" t="s">
        <v>193</v>
      </c>
      <c r="C4401" s="2" t="s">
        <v>194</v>
      </c>
      <c r="D4401" s="20">
        <v>0</v>
      </c>
      <c r="E4401" s="2" t="s">
        <v>838</v>
      </c>
      <c r="F4401" s="2" t="s">
        <v>833</v>
      </c>
      <c r="G4401" s="2" t="s">
        <v>4278</v>
      </c>
      <c r="H4401" s="2" t="s">
        <v>2125</v>
      </c>
      <c r="J4401" s="26"/>
      <c r="K4401" s="36">
        <v>1.1999999999999999E-6</v>
      </c>
      <c r="L4401" s="23">
        <v>1.1999999999999999E-7</v>
      </c>
    </row>
    <row r="4402" spans="1:12" ht="15.35" hidden="1" x14ac:dyDescent="0.55000000000000004">
      <c r="A4402" s="20">
        <v>15669</v>
      </c>
      <c r="B4402" s="2" t="s">
        <v>193</v>
      </c>
      <c r="C4402" s="2" t="s">
        <v>194</v>
      </c>
      <c r="D4402" s="20">
        <v>0</v>
      </c>
      <c r="E4402" s="2" t="s">
        <v>838</v>
      </c>
      <c r="F4402" s="2" t="s">
        <v>833</v>
      </c>
      <c r="G4402" s="2" t="s">
        <v>4279</v>
      </c>
      <c r="H4402" s="2" t="s">
        <v>2125</v>
      </c>
      <c r="J4402" s="26"/>
      <c r="K4402" s="36">
        <v>5.9999999999999997E-7</v>
      </c>
      <c r="L4402" s="23">
        <v>5.9999999999999995E-8</v>
      </c>
    </row>
    <row r="4403" spans="1:12" ht="15.35" hidden="1" x14ac:dyDescent="0.55000000000000004">
      <c r="A4403" s="20">
        <v>15641</v>
      </c>
      <c r="B4403" s="2" t="s">
        <v>193</v>
      </c>
      <c r="C4403" s="2" t="s">
        <v>194</v>
      </c>
      <c r="D4403" s="20">
        <v>0</v>
      </c>
      <c r="E4403" s="2" t="s">
        <v>838</v>
      </c>
      <c r="F4403" s="2" t="s">
        <v>833</v>
      </c>
      <c r="G4403" s="2" t="s">
        <v>3760</v>
      </c>
      <c r="H4403" s="2" t="s">
        <v>2125</v>
      </c>
      <c r="J4403" s="26"/>
      <c r="K4403" s="36">
        <v>9.9999999999999995E-7</v>
      </c>
      <c r="L4403" s="23">
        <v>9.9999999999999995E-8</v>
      </c>
    </row>
    <row r="4404" spans="1:12" ht="15.35" hidden="1" x14ac:dyDescent="0.55000000000000004">
      <c r="A4404" s="20">
        <v>15571</v>
      </c>
      <c r="B4404" s="2" t="s">
        <v>193</v>
      </c>
      <c r="C4404" s="2" t="s">
        <v>194</v>
      </c>
      <c r="D4404" s="20">
        <v>0</v>
      </c>
      <c r="E4404" s="2" t="s">
        <v>838</v>
      </c>
      <c r="F4404" s="2" t="s">
        <v>833</v>
      </c>
      <c r="G4404" s="2" t="s">
        <v>3761</v>
      </c>
      <c r="H4404" s="2" t="s">
        <v>2125</v>
      </c>
      <c r="J4404" s="26"/>
      <c r="K4404" s="36">
        <v>2.6199999999999999E-6</v>
      </c>
      <c r="L4404" s="23">
        <v>2.6E-7</v>
      </c>
    </row>
    <row r="4405" spans="1:12" ht="15.35" hidden="1" x14ac:dyDescent="0.55000000000000004">
      <c r="A4405" s="20">
        <v>15640</v>
      </c>
      <c r="B4405" s="2" t="s">
        <v>193</v>
      </c>
      <c r="C4405" s="2" t="s">
        <v>194</v>
      </c>
      <c r="D4405" s="20">
        <v>0</v>
      </c>
      <c r="E4405" s="2" t="s">
        <v>838</v>
      </c>
      <c r="F4405" s="2" t="s">
        <v>833</v>
      </c>
      <c r="G4405" s="2" t="s">
        <v>3762</v>
      </c>
      <c r="H4405" s="2" t="s">
        <v>2125</v>
      </c>
      <c r="J4405" s="26"/>
      <c r="K4405" s="36">
        <v>9.9999999999999995E-7</v>
      </c>
      <c r="L4405" s="23">
        <v>9.9999999999999995E-8</v>
      </c>
    </row>
    <row r="4406" spans="1:12" ht="15.35" hidden="1" x14ac:dyDescent="0.55000000000000004">
      <c r="A4406" s="20">
        <v>15586</v>
      </c>
      <c r="B4406" s="2" t="s">
        <v>193</v>
      </c>
      <c r="C4406" s="2" t="s">
        <v>194</v>
      </c>
      <c r="D4406" s="20">
        <v>0</v>
      </c>
      <c r="E4406" s="2" t="s">
        <v>838</v>
      </c>
      <c r="F4406" s="2" t="s">
        <v>817</v>
      </c>
      <c r="G4406" s="2" t="s">
        <v>3003</v>
      </c>
      <c r="H4406" s="2" t="s">
        <v>898</v>
      </c>
      <c r="J4406" s="26"/>
      <c r="K4406" s="36">
        <v>2.6199999999999999E-6</v>
      </c>
      <c r="L4406" s="23">
        <v>2.6E-7</v>
      </c>
    </row>
    <row r="4407" spans="1:12" ht="15.35" hidden="1" x14ac:dyDescent="0.55000000000000004">
      <c r="A4407" s="20">
        <v>15760</v>
      </c>
      <c r="B4407" s="2" t="s">
        <v>193</v>
      </c>
      <c r="C4407" s="2" t="s">
        <v>194</v>
      </c>
      <c r="D4407" s="20">
        <v>0</v>
      </c>
      <c r="E4407" s="2" t="s">
        <v>838</v>
      </c>
      <c r="F4407" s="2" t="s">
        <v>793</v>
      </c>
      <c r="G4407" s="2" t="s">
        <v>4280</v>
      </c>
      <c r="H4407" s="2" t="s">
        <v>933</v>
      </c>
      <c r="J4407" s="26"/>
      <c r="K4407" s="36">
        <v>8.0000000000000002E-8</v>
      </c>
      <c r="L4407" s="23">
        <v>1E-8</v>
      </c>
    </row>
    <row r="4408" spans="1:12" ht="15.35" hidden="1" x14ac:dyDescent="0.55000000000000004">
      <c r="A4408" s="20">
        <v>15840</v>
      </c>
      <c r="B4408" s="2" t="s">
        <v>193</v>
      </c>
      <c r="C4408" s="2" t="s">
        <v>194</v>
      </c>
      <c r="D4408" s="20">
        <v>0</v>
      </c>
      <c r="E4408" s="2" t="s">
        <v>838</v>
      </c>
      <c r="F4408" s="2" t="s">
        <v>793</v>
      </c>
      <c r="G4408" s="2" t="s">
        <v>4281</v>
      </c>
      <c r="H4408" s="2" t="s">
        <v>933</v>
      </c>
      <c r="J4408" s="26"/>
      <c r="K4408" s="36">
        <v>2.9999999999999997E-8</v>
      </c>
      <c r="L4408" s="23">
        <v>0</v>
      </c>
    </row>
    <row r="4409" spans="1:12" ht="15.35" hidden="1" x14ac:dyDescent="0.55000000000000004">
      <c r="A4409" s="20">
        <v>15839</v>
      </c>
      <c r="B4409" s="2" t="s">
        <v>193</v>
      </c>
      <c r="C4409" s="2" t="s">
        <v>194</v>
      </c>
      <c r="D4409" s="20">
        <v>0</v>
      </c>
      <c r="E4409" s="2" t="s">
        <v>838</v>
      </c>
      <c r="F4409" s="2" t="s">
        <v>793</v>
      </c>
      <c r="G4409" s="2" t="s">
        <v>4282</v>
      </c>
      <c r="H4409" s="2" t="s">
        <v>933</v>
      </c>
      <c r="J4409" s="26"/>
      <c r="K4409" s="36">
        <v>2.9999999999999997E-8</v>
      </c>
      <c r="L4409" s="23">
        <v>0</v>
      </c>
    </row>
    <row r="4410" spans="1:12" ht="15.35" hidden="1" x14ac:dyDescent="0.55000000000000004">
      <c r="A4410" s="20">
        <v>15838</v>
      </c>
      <c r="B4410" s="2" t="s">
        <v>193</v>
      </c>
      <c r="C4410" s="2" t="s">
        <v>194</v>
      </c>
      <c r="D4410" s="20">
        <v>0</v>
      </c>
      <c r="E4410" s="2" t="s">
        <v>838</v>
      </c>
      <c r="F4410" s="2" t="s">
        <v>793</v>
      </c>
      <c r="G4410" s="2" t="s">
        <v>4283</v>
      </c>
      <c r="H4410" s="2" t="s">
        <v>933</v>
      </c>
      <c r="J4410" s="26"/>
      <c r="K4410" s="36">
        <v>2.9999999999999997E-8</v>
      </c>
      <c r="L4410" s="23">
        <v>0</v>
      </c>
    </row>
    <row r="4411" spans="1:12" ht="15.35" hidden="1" x14ac:dyDescent="0.55000000000000004">
      <c r="A4411" s="20">
        <v>15683</v>
      </c>
      <c r="B4411" s="2" t="s">
        <v>193</v>
      </c>
      <c r="C4411" s="2" t="s">
        <v>194</v>
      </c>
      <c r="D4411" s="20">
        <v>0</v>
      </c>
      <c r="E4411" s="2" t="s">
        <v>838</v>
      </c>
      <c r="F4411" s="2" t="s">
        <v>817</v>
      </c>
      <c r="G4411" s="2" t="s">
        <v>4284</v>
      </c>
      <c r="H4411" s="2" t="s">
        <v>819</v>
      </c>
      <c r="J4411" s="26"/>
      <c r="K4411" s="36">
        <v>4.0999999999999999E-7</v>
      </c>
      <c r="L4411" s="23">
        <v>4.0000000000000001E-8</v>
      </c>
    </row>
    <row r="4412" spans="1:12" ht="15.35" hidden="1" x14ac:dyDescent="0.55000000000000004">
      <c r="A4412" s="20">
        <v>15591</v>
      </c>
      <c r="B4412" s="2" t="s">
        <v>193</v>
      </c>
      <c r="C4412" s="2" t="s">
        <v>194</v>
      </c>
      <c r="D4412" s="20">
        <v>0</v>
      </c>
      <c r="E4412" s="2" t="s">
        <v>838</v>
      </c>
      <c r="F4412" s="2" t="s">
        <v>793</v>
      </c>
      <c r="G4412" s="2" t="s">
        <v>4285</v>
      </c>
      <c r="H4412" s="2" t="s">
        <v>821</v>
      </c>
      <c r="J4412" s="26"/>
      <c r="K4412" s="36">
        <v>2.6199999999999999E-6</v>
      </c>
      <c r="L4412" s="23">
        <v>2.6E-7</v>
      </c>
    </row>
    <row r="4413" spans="1:12" ht="15.35" hidden="1" x14ac:dyDescent="0.55000000000000004">
      <c r="A4413" s="20">
        <v>15588</v>
      </c>
      <c r="B4413" s="2" t="s">
        <v>193</v>
      </c>
      <c r="C4413" s="2" t="s">
        <v>194</v>
      </c>
      <c r="D4413" s="20">
        <v>0</v>
      </c>
      <c r="E4413" s="2" t="s">
        <v>838</v>
      </c>
      <c r="F4413" s="2" t="s">
        <v>793</v>
      </c>
      <c r="G4413" s="2" t="s">
        <v>4286</v>
      </c>
      <c r="H4413" s="2" t="s">
        <v>821</v>
      </c>
      <c r="J4413" s="26"/>
      <c r="K4413" s="36">
        <v>2.6199999999999999E-6</v>
      </c>
      <c r="L4413" s="23">
        <v>2.6E-7</v>
      </c>
    </row>
    <row r="4414" spans="1:12" ht="15.35" hidden="1" x14ac:dyDescent="0.55000000000000004">
      <c r="A4414" s="20">
        <v>15579</v>
      </c>
      <c r="B4414" s="2" t="s">
        <v>193</v>
      </c>
      <c r="C4414" s="2" t="s">
        <v>194</v>
      </c>
      <c r="D4414" s="20">
        <v>0</v>
      </c>
      <c r="E4414" s="2" t="s">
        <v>838</v>
      </c>
      <c r="F4414" s="2" t="s">
        <v>793</v>
      </c>
      <c r="G4414" s="2" t="s">
        <v>4079</v>
      </c>
      <c r="H4414" s="2" t="s">
        <v>821</v>
      </c>
      <c r="J4414" s="26"/>
      <c r="K4414" s="36">
        <v>2.6199999999999999E-6</v>
      </c>
      <c r="L4414" s="23">
        <v>2.6E-7</v>
      </c>
    </row>
    <row r="4415" spans="1:12" ht="15.35" hidden="1" x14ac:dyDescent="0.55000000000000004">
      <c r="A4415" s="20">
        <v>15589</v>
      </c>
      <c r="B4415" s="2" t="s">
        <v>193</v>
      </c>
      <c r="C4415" s="2" t="s">
        <v>194</v>
      </c>
      <c r="D4415" s="20">
        <v>0</v>
      </c>
      <c r="E4415" s="2" t="s">
        <v>838</v>
      </c>
      <c r="F4415" s="2" t="s">
        <v>793</v>
      </c>
      <c r="G4415" s="2" t="s">
        <v>4287</v>
      </c>
      <c r="H4415" s="2" t="s">
        <v>821</v>
      </c>
      <c r="J4415" s="26"/>
      <c r="K4415" s="36">
        <v>2.6199999999999999E-6</v>
      </c>
      <c r="L4415" s="23">
        <v>2.6E-7</v>
      </c>
    </row>
    <row r="4416" spans="1:12" ht="15.35" hidden="1" x14ac:dyDescent="0.55000000000000004">
      <c r="A4416" s="20">
        <v>15597</v>
      </c>
      <c r="B4416" s="2" t="s">
        <v>193</v>
      </c>
      <c r="C4416" s="2" t="s">
        <v>194</v>
      </c>
      <c r="D4416" s="20">
        <v>0</v>
      </c>
      <c r="E4416" s="2" t="s">
        <v>838</v>
      </c>
      <c r="F4416" s="2" t="s">
        <v>793</v>
      </c>
      <c r="G4416" s="2" t="s">
        <v>3041</v>
      </c>
      <c r="H4416" s="2" t="s">
        <v>821</v>
      </c>
      <c r="J4416" s="26"/>
      <c r="K4416" s="36">
        <v>2.6199999999999999E-6</v>
      </c>
      <c r="L4416" s="23">
        <v>2.6E-7</v>
      </c>
    </row>
    <row r="4417" spans="1:12" ht="15.35" hidden="1" x14ac:dyDescent="0.55000000000000004">
      <c r="A4417" s="20">
        <v>15575</v>
      </c>
      <c r="B4417" s="2" t="s">
        <v>193</v>
      </c>
      <c r="C4417" s="2" t="s">
        <v>194</v>
      </c>
      <c r="D4417" s="20">
        <v>0</v>
      </c>
      <c r="E4417" s="2" t="s">
        <v>838</v>
      </c>
      <c r="F4417" s="2" t="s">
        <v>798</v>
      </c>
      <c r="G4417" s="2" t="s">
        <v>822</v>
      </c>
      <c r="H4417" s="2" t="s">
        <v>821</v>
      </c>
      <c r="J4417" s="26"/>
      <c r="K4417" s="36">
        <v>2.6199999999999999E-6</v>
      </c>
      <c r="L4417" s="23">
        <v>2.6E-7</v>
      </c>
    </row>
    <row r="4418" spans="1:12" ht="15.35" hidden="1" x14ac:dyDescent="0.55000000000000004">
      <c r="A4418" s="20">
        <v>15578</v>
      </c>
      <c r="B4418" s="2" t="s">
        <v>193</v>
      </c>
      <c r="C4418" s="2" t="s">
        <v>194</v>
      </c>
      <c r="D4418" s="20">
        <v>0</v>
      </c>
      <c r="E4418" s="2" t="s">
        <v>838</v>
      </c>
      <c r="F4418" s="2" t="s">
        <v>793</v>
      </c>
      <c r="G4418" s="2" t="s">
        <v>3042</v>
      </c>
      <c r="H4418" s="2" t="s">
        <v>824</v>
      </c>
      <c r="J4418" s="26"/>
      <c r="K4418" s="36">
        <v>2.6199999999999999E-6</v>
      </c>
      <c r="L4418" s="23">
        <v>2.6E-7</v>
      </c>
    </row>
    <row r="4419" spans="1:12" ht="15.35" hidden="1" x14ac:dyDescent="0.55000000000000004">
      <c r="A4419" s="20">
        <v>15642</v>
      </c>
      <c r="B4419" s="2" t="s">
        <v>193</v>
      </c>
      <c r="C4419" s="2" t="s">
        <v>194</v>
      </c>
      <c r="D4419" s="20">
        <v>0</v>
      </c>
      <c r="E4419" s="2" t="s">
        <v>838</v>
      </c>
      <c r="F4419" s="2" t="s">
        <v>793</v>
      </c>
      <c r="G4419" s="2" t="s">
        <v>4288</v>
      </c>
      <c r="H4419" s="2" t="s">
        <v>824</v>
      </c>
      <c r="J4419" s="26"/>
      <c r="K4419" s="36">
        <v>9.9999999999999995E-7</v>
      </c>
      <c r="L4419" s="23">
        <v>9.9999999999999995E-8</v>
      </c>
    </row>
    <row r="4420" spans="1:12" ht="15.35" hidden="1" x14ac:dyDescent="0.55000000000000004">
      <c r="A4420" s="20">
        <v>15664</v>
      </c>
      <c r="B4420" s="2" t="s">
        <v>193</v>
      </c>
      <c r="C4420" s="2" t="s">
        <v>194</v>
      </c>
      <c r="D4420" s="20">
        <v>0</v>
      </c>
      <c r="E4420" s="2" t="s">
        <v>838</v>
      </c>
      <c r="F4420" s="2" t="s">
        <v>793</v>
      </c>
      <c r="G4420" s="2" t="s">
        <v>4289</v>
      </c>
      <c r="H4420" s="2" t="s">
        <v>824</v>
      </c>
      <c r="J4420" s="26"/>
      <c r="K4420" s="36">
        <v>6.1999999999999999E-7</v>
      </c>
      <c r="L4420" s="23">
        <v>5.9999999999999995E-8</v>
      </c>
    </row>
    <row r="4421" spans="1:12" ht="15.35" hidden="1" x14ac:dyDescent="0.55000000000000004">
      <c r="A4421" s="20">
        <v>15567</v>
      </c>
      <c r="B4421" s="2" t="s">
        <v>193</v>
      </c>
      <c r="C4421" s="2" t="s">
        <v>194</v>
      </c>
      <c r="D4421" s="20">
        <v>0</v>
      </c>
      <c r="E4421" s="2" t="s">
        <v>838</v>
      </c>
      <c r="F4421" s="2" t="s">
        <v>793</v>
      </c>
      <c r="G4421" s="2" t="s">
        <v>4290</v>
      </c>
      <c r="H4421" s="2" t="s">
        <v>824</v>
      </c>
      <c r="J4421" s="26"/>
      <c r="K4421" s="36">
        <v>2.6199999999999999E-6</v>
      </c>
      <c r="L4421" s="23">
        <v>2.6E-7</v>
      </c>
    </row>
    <row r="4422" spans="1:12" ht="15.35" hidden="1" x14ac:dyDescent="0.55000000000000004">
      <c r="A4422" s="20">
        <v>15607</v>
      </c>
      <c r="B4422" s="2" t="s">
        <v>193</v>
      </c>
      <c r="C4422" s="2" t="s">
        <v>194</v>
      </c>
      <c r="D4422" s="20">
        <v>0</v>
      </c>
      <c r="E4422" s="2" t="s">
        <v>838</v>
      </c>
      <c r="F4422" s="2" t="s">
        <v>798</v>
      </c>
      <c r="G4422" s="2" t="s">
        <v>4291</v>
      </c>
      <c r="H4422" s="2" t="s">
        <v>824</v>
      </c>
      <c r="J4422" s="26"/>
      <c r="K4422" s="36">
        <v>2.0099999999999998E-6</v>
      </c>
      <c r="L4422" s="23">
        <v>1.9999999999999999E-7</v>
      </c>
    </row>
    <row r="4423" spans="1:12" ht="15.35" hidden="1" x14ac:dyDescent="0.55000000000000004">
      <c r="A4423" s="20">
        <v>15698</v>
      </c>
      <c r="B4423" s="2" t="s">
        <v>193</v>
      </c>
      <c r="C4423" s="2" t="s">
        <v>194</v>
      </c>
      <c r="D4423" s="20">
        <v>0</v>
      </c>
      <c r="E4423" s="2" t="s">
        <v>838</v>
      </c>
      <c r="F4423" s="2" t="s">
        <v>798</v>
      </c>
      <c r="G4423" s="2" t="s">
        <v>4292</v>
      </c>
      <c r="H4423" s="2" t="s">
        <v>824</v>
      </c>
      <c r="J4423" s="26"/>
      <c r="K4423" s="36">
        <v>3.2000000000000001E-7</v>
      </c>
      <c r="L4423" s="23">
        <v>2.9999999999999997E-8</v>
      </c>
    </row>
    <row r="4424" spans="1:12" ht="15.35" hidden="1" x14ac:dyDescent="0.55000000000000004">
      <c r="A4424" s="20">
        <v>15630</v>
      </c>
      <c r="B4424" s="2" t="s">
        <v>193</v>
      </c>
      <c r="C4424" s="2" t="s">
        <v>194</v>
      </c>
      <c r="D4424" s="20">
        <v>0</v>
      </c>
      <c r="E4424" s="2" t="s">
        <v>838</v>
      </c>
      <c r="F4424" s="2" t="s">
        <v>848</v>
      </c>
      <c r="G4424" s="2" t="s">
        <v>1110</v>
      </c>
      <c r="H4424" s="2" t="s">
        <v>1110</v>
      </c>
      <c r="J4424" s="26"/>
      <c r="K4424" s="36">
        <v>1.2500000000000001E-6</v>
      </c>
      <c r="L4424" s="23">
        <v>1.1999999999999999E-7</v>
      </c>
    </row>
    <row r="4425" spans="1:12" ht="15.35" hidden="1" x14ac:dyDescent="0.55000000000000004">
      <c r="A4425" s="20">
        <v>15614</v>
      </c>
      <c r="B4425" s="2" t="s">
        <v>193</v>
      </c>
      <c r="C4425" s="2" t="s">
        <v>194</v>
      </c>
      <c r="D4425" s="20">
        <v>0</v>
      </c>
      <c r="E4425" s="2" t="s">
        <v>838</v>
      </c>
      <c r="F4425" s="2" t="s">
        <v>817</v>
      </c>
      <c r="G4425" s="2" t="s">
        <v>3221</v>
      </c>
      <c r="H4425" s="2" t="s">
        <v>862</v>
      </c>
      <c r="J4425" s="26"/>
      <c r="K4425" s="36">
        <v>1.8700000000000001E-6</v>
      </c>
      <c r="L4425" s="23">
        <v>1.9000000000000001E-7</v>
      </c>
    </row>
    <row r="4426" spans="1:12" ht="15.35" hidden="1" x14ac:dyDescent="0.55000000000000004">
      <c r="A4426" s="20">
        <v>15580</v>
      </c>
      <c r="B4426" s="2" t="s">
        <v>193</v>
      </c>
      <c r="C4426" s="2" t="s">
        <v>194</v>
      </c>
      <c r="D4426" s="20">
        <v>0</v>
      </c>
      <c r="E4426" s="2" t="s">
        <v>838</v>
      </c>
      <c r="F4426" s="2" t="s">
        <v>817</v>
      </c>
      <c r="G4426" s="2" t="s">
        <v>4293</v>
      </c>
      <c r="H4426" s="2" t="s">
        <v>862</v>
      </c>
      <c r="J4426" s="26"/>
      <c r="K4426" s="36">
        <v>2.6199999999999999E-6</v>
      </c>
      <c r="L4426" s="23">
        <v>2.6E-7</v>
      </c>
    </row>
    <row r="4427" spans="1:12" ht="15.35" hidden="1" x14ac:dyDescent="0.55000000000000004">
      <c r="A4427" s="20">
        <v>15573</v>
      </c>
      <c r="B4427" s="2" t="s">
        <v>193</v>
      </c>
      <c r="C4427" s="2" t="s">
        <v>194</v>
      </c>
      <c r="D4427" s="20">
        <v>0</v>
      </c>
      <c r="E4427" s="2" t="s">
        <v>838</v>
      </c>
      <c r="F4427" s="2" t="s">
        <v>817</v>
      </c>
      <c r="G4427" s="2" t="s">
        <v>4294</v>
      </c>
      <c r="H4427" s="2" t="s">
        <v>862</v>
      </c>
      <c r="J4427" s="26"/>
      <c r="K4427" s="36">
        <v>2.6199999999999999E-6</v>
      </c>
      <c r="L4427" s="23">
        <v>2.6E-7</v>
      </c>
    </row>
    <row r="4428" spans="1:12" ht="15.35" hidden="1" x14ac:dyDescent="0.55000000000000004">
      <c r="A4428" s="20">
        <v>15569</v>
      </c>
      <c r="B4428" s="2" t="s">
        <v>193</v>
      </c>
      <c r="C4428" s="2" t="s">
        <v>194</v>
      </c>
      <c r="D4428" s="20">
        <v>0</v>
      </c>
      <c r="E4428" s="2" t="s">
        <v>838</v>
      </c>
      <c r="F4428" s="2" t="s">
        <v>817</v>
      </c>
      <c r="G4428" s="2" t="s">
        <v>4295</v>
      </c>
      <c r="H4428" s="2" t="s">
        <v>862</v>
      </c>
      <c r="J4428" s="26"/>
      <c r="K4428" s="36">
        <v>2.6199999999999999E-6</v>
      </c>
      <c r="L4428" s="23">
        <v>2.6E-7</v>
      </c>
    </row>
    <row r="4429" spans="1:12" ht="15.35" hidden="1" x14ac:dyDescent="0.55000000000000004">
      <c r="A4429" s="20">
        <v>15595</v>
      </c>
      <c r="B4429" s="2" t="s">
        <v>193</v>
      </c>
      <c r="C4429" s="2" t="s">
        <v>194</v>
      </c>
      <c r="D4429" s="20">
        <v>0</v>
      </c>
      <c r="E4429" s="2" t="s">
        <v>838</v>
      </c>
      <c r="F4429" s="2" t="s">
        <v>817</v>
      </c>
      <c r="G4429" s="2" t="s">
        <v>4296</v>
      </c>
      <c r="H4429" s="2" t="s">
        <v>862</v>
      </c>
      <c r="J4429" s="26"/>
      <c r="K4429" s="36">
        <v>2.6199999999999999E-6</v>
      </c>
      <c r="L4429" s="23">
        <v>2.6E-7</v>
      </c>
    </row>
    <row r="4430" spans="1:12" ht="15.35" hidden="1" x14ac:dyDescent="0.55000000000000004">
      <c r="A4430" s="20">
        <v>15565</v>
      </c>
      <c r="B4430" s="2" t="s">
        <v>193</v>
      </c>
      <c r="C4430" s="2" t="s">
        <v>194</v>
      </c>
      <c r="D4430" s="20">
        <v>0</v>
      </c>
      <c r="E4430" s="2" t="s">
        <v>838</v>
      </c>
      <c r="F4430" s="2" t="s">
        <v>787</v>
      </c>
      <c r="G4430" s="2" t="s">
        <v>952</v>
      </c>
      <c r="H4430" s="2" t="s">
        <v>952</v>
      </c>
      <c r="J4430" s="26"/>
      <c r="K4430" s="36">
        <v>2.6199999999999999E-6</v>
      </c>
      <c r="L4430" s="23">
        <v>2.6E-7</v>
      </c>
    </row>
    <row r="4431" spans="1:12" ht="15.35" hidden="1" x14ac:dyDescent="0.55000000000000004">
      <c r="A4431" s="20">
        <v>15724</v>
      </c>
      <c r="B4431" s="2" t="s">
        <v>193</v>
      </c>
      <c r="C4431" s="2" t="s">
        <v>194</v>
      </c>
      <c r="D4431" s="20">
        <v>0</v>
      </c>
      <c r="E4431" s="2" t="s">
        <v>838</v>
      </c>
      <c r="F4431" s="2" t="s">
        <v>793</v>
      </c>
      <c r="G4431" s="2" t="s">
        <v>4297</v>
      </c>
      <c r="H4431" s="2" t="s">
        <v>952</v>
      </c>
      <c r="J4431" s="26"/>
      <c r="K4431" s="36">
        <v>1.6E-7</v>
      </c>
      <c r="L4431" s="23">
        <v>2E-8</v>
      </c>
    </row>
    <row r="4432" spans="1:12" ht="15.35" hidden="1" x14ac:dyDescent="0.55000000000000004">
      <c r="A4432" s="20">
        <v>15892</v>
      </c>
      <c r="B4432" s="2" t="s">
        <v>193</v>
      </c>
      <c r="C4432" s="2" t="s">
        <v>194</v>
      </c>
      <c r="D4432" s="20">
        <v>0</v>
      </c>
      <c r="E4432" s="2" t="s">
        <v>838</v>
      </c>
      <c r="F4432" s="2" t="s">
        <v>793</v>
      </c>
      <c r="G4432" s="2" t="s">
        <v>4298</v>
      </c>
      <c r="H4432" s="2" t="s">
        <v>952</v>
      </c>
      <c r="J4432" s="26"/>
      <c r="K4432" s="36">
        <v>1E-8</v>
      </c>
      <c r="L4432" s="23">
        <v>0</v>
      </c>
    </row>
    <row r="4433" spans="1:12" ht="15.35" hidden="1" x14ac:dyDescent="0.55000000000000004">
      <c r="A4433" s="20">
        <v>15856</v>
      </c>
      <c r="B4433" s="2" t="s">
        <v>193</v>
      </c>
      <c r="C4433" s="2" t="s">
        <v>194</v>
      </c>
      <c r="D4433" s="20">
        <v>0</v>
      </c>
      <c r="E4433" s="2" t="s">
        <v>838</v>
      </c>
      <c r="F4433" s="2" t="s">
        <v>793</v>
      </c>
      <c r="G4433" s="2" t="s">
        <v>4299</v>
      </c>
      <c r="H4433" s="2" t="s">
        <v>952</v>
      </c>
      <c r="J4433" s="26"/>
      <c r="K4433" s="36">
        <v>2E-8</v>
      </c>
      <c r="L4433" s="23">
        <v>0</v>
      </c>
    </row>
    <row r="4434" spans="1:12" ht="15.35" hidden="1" x14ac:dyDescent="0.55000000000000004">
      <c r="A4434" s="20">
        <v>15775</v>
      </c>
      <c r="B4434" s="2" t="s">
        <v>193</v>
      </c>
      <c r="C4434" s="2" t="s">
        <v>194</v>
      </c>
      <c r="D4434" s="20">
        <v>0</v>
      </c>
      <c r="E4434" s="2" t="s">
        <v>838</v>
      </c>
      <c r="F4434" s="2" t="s">
        <v>793</v>
      </c>
      <c r="G4434" s="2" t="s">
        <v>4300</v>
      </c>
      <c r="H4434" s="2" t="s">
        <v>952</v>
      </c>
      <c r="J4434" s="26"/>
      <c r="K4434" s="36">
        <v>4.9999999999999998E-8</v>
      </c>
      <c r="L4434" s="23">
        <v>0</v>
      </c>
    </row>
    <row r="4435" spans="1:12" ht="15.35" hidden="1" x14ac:dyDescent="0.55000000000000004">
      <c r="A4435" s="20">
        <v>15834</v>
      </c>
      <c r="B4435" s="2" t="s">
        <v>193</v>
      </c>
      <c r="C4435" s="2" t="s">
        <v>194</v>
      </c>
      <c r="D4435" s="20">
        <v>0</v>
      </c>
      <c r="E4435" s="2" t="s">
        <v>838</v>
      </c>
      <c r="F4435" s="2" t="s">
        <v>793</v>
      </c>
      <c r="G4435" s="2" t="s">
        <v>4301</v>
      </c>
      <c r="H4435" s="2" t="s">
        <v>952</v>
      </c>
      <c r="J4435" s="26"/>
      <c r="K4435" s="36">
        <v>4.0000000000000001E-8</v>
      </c>
      <c r="L4435" s="23">
        <v>0</v>
      </c>
    </row>
    <row r="4436" spans="1:12" ht="15.35" hidden="1" x14ac:dyDescent="0.55000000000000004">
      <c r="A4436" s="20">
        <v>15762</v>
      </c>
      <c r="B4436" s="2" t="s">
        <v>193</v>
      </c>
      <c r="C4436" s="2" t="s">
        <v>194</v>
      </c>
      <c r="D4436" s="20">
        <v>0</v>
      </c>
      <c r="E4436" s="2" t="s">
        <v>838</v>
      </c>
      <c r="F4436" s="2" t="s">
        <v>793</v>
      </c>
      <c r="G4436" s="2" t="s">
        <v>4302</v>
      </c>
      <c r="H4436" s="2" t="s">
        <v>952</v>
      </c>
      <c r="J4436" s="26"/>
      <c r="K4436" s="36">
        <v>7.0000000000000005E-8</v>
      </c>
      <c r="L4436" s="23">
        <v>1E-8</v>
      </c>
    </row>
    <row r="4437" spans="1:12" ht="15.35" hidden="1" x14ac:dyDescent="0.55000000000000004">
      <c r="A4437" s="20">
        <v>15832</v>
      </c>
      <c r="B4437" s="2" t="s">
        <v>193</v>
      </c>
      <c r="C4437" s="2" t="s">
        <v>194</v>
      </c>
      <c r="D4437" s="20">
        <v>0</v>
      </c>
      <c r="E4437" s="2" t="s">
        <v>838</v>
      </c>
      <c r="F4437" s="2" t="s">
        <v>793</v>
      </c>
      <c r="G4437" s="2" t="s">
        <v>4303</v>
      </c>
      <c r="H4437" s="2" t="s">
        <v>952</v>
      </c>
      <c r="J4437" s="26"/>
      <c r="K4437" s="36">
        <v>4.0000000000000001E-8</v>
      </c>
      <c r="L4437" s="23">
        <v>0</v>
      </c>
    </row>
    <row r="4438" spans="1:12" ht="15.35" hidden="1" x14ac:dyDescent="0.55000000000000004">
      <c r="A4438" s="20">
        <v>15773</v>
      </c>
      <c r="B4438" s="2" t="s">
        <v>193</v>
      </c>
      <c r="C4438" s="2" t="s">
        <v>194</v>
      </c>
      <c r="D4438" s="20">
        <v>0</v>
      </c>
      <c r="E4438" s="2" t="s">
        <v>838</v>
      </c>
      <c r="F4438" s="2" t="s">
        <v>793</v>
      </c>
      <c r="G4438" s="2" t="s">
        <v>4304</v>
      </c>
      <c r="H4438" s="2" t="s">
        <v>952</v>
      </c>
      <c r="J4438" s="26"/>
      <c r="K4438" s="36">
        <v>4.9999999999999998E-8</v>
      </c>
      <c r="L4438" s="23">
        <v>0</v>
      </c>
    </row>
    <row r="4439" spans="1:12" ht="15.35" hidden="1" x14ac:dyDescent="0.55000000000000004">
      <c r="A4439" s="20">
        <v>15781</v>
      </c>
      <c r="B4439" s="2" t="s">
        <v>193</v>
      </c>
      <c r="C4439" s="2" t="s">
        <v>194</v>
      </c>
      <c r="D4439" s="20">
        <v>0</v>
      </c>
      <c r="E4439" s="2" t="s">
        <v>838</v>
      </c>
      <c r="F4439" s="2" t="s">
        <v>793</v>
      </c>
      <c r="G4439" s="2" t="s">
        <v>4305</v>
      </c>
      <c r="H4439" s="2" t="s">
        <v>952</v>
      </c>
      <c r="J4439" s="26"/>
      <c r="K4439" s="36">
        <v>4.0000000000000001E-8</v>
      </c>
      <c r="L4439" s="23">
        <v>0</v>
      </c>
    </row>
    <row r="4440" spans="1:12" ht="15.35" hidden="1" x14ac:dyDescent="0.55000000000000004">
      <c r="A4440" s="20">
        <v>15846</v>
      </c>
      <c r="B4440" s="2" t="s">
        <v>193</v>
      </c>
      <c r="C4440" s="2" t="s">
        <v>194</v>
      </c>
      <c r="D4440" s="20">
        <v>0</v>
      </c>
      <c r="E4440" s="2" t="s">
        <v>838</v>
      </c>
      <c r="F4440" s="2" t="s">
        <v>793</v>
      </c>
      <c r="G4440" s="2" t="s">
        <v>4306</v>
      </c>
      <c r="H4440" s="2" t="s">
        <v>952</v>
      </c>
      <c r="J4440" s="26"/>
      <c r="K4440" s="36">
        <v>2.9999999999999997E-8</v>
      </c>
      <c r="L4440" s="23">
        <v>0</v>
      </c>
    </row>
    <row r="4441" spans="1:12" ht="15.35" hidden="1" x14ac:dyDescent="0.55000000000000004">
      <c r="A4441" s="20">
        <v>15625</v>
      </c>
      <c r="B4441" s="2" t="s">
        <v>193</v>
      </c>
      <c r="C4441" s="2" t="s">
        <v>194</v>
      </c>
      <c r="D4441" s="20">
        <v>0</v>
      </c>
      <c r="E4441" s="2" t="s">
        <v>838</v>
      </c>
      <c r="F4441" s="2" t="s">
        <v>793</v>
      </c>
      <c r="G4441" s="2" t="s">
        <v>3899</v>
      </c>
      <c r="H4441" s="2" t="s">
        <v>952</v>
      </c>
      <c r="J4441" s="26"/>
      <c r="K4441" s="36">
        <v>1.4100000000000001E-6</v>
      </c>
      <c r="L4441" s="23">
        <v>1.4000000000000001E-7</v>
      </c>
    </row>
    <row r="4442" spans="1:12" ht="15.35" hidden="1" x14ac:dyDescent="0.55000000000000004">
      <c r="A4442" s="20">
        <v>15860</v>
      </c>
      <c r="B4442" s="2" t="s">
        <v>193</v>
      </c>
      <c r="C4442" s="2" t="s">
        <v>194</v>
      </c>
      <c r="D4442" s="20">
        <v>0</v>
      </c>
      <c r="E4442" s="2" t="s">
        <v>838</v>
      </c>
      <c r="F4442" s="2" t="s">
        <v>793</v>
      </c>
      <c r="G4442" s="2" t="s">
        <v>4307</v>
      </c>
      <c r="H4442" s="2" t="s">
        <v>952</v>
      </c>
      <c r="J4442" s="26"/>
      <c r="K4442" s="36">
        <v>2E-8</v>
      </c>
      <c r="L4442" s="23">
        <v>0</v>
      </c>
    </row>
    <row r="4443" spans="1:12" ht="15.35" hidden="1" x14ac:dyDescent="0.55000000000000004">
      <c r="A4443" s="20">
        <v>15751</v>
      </c>
      <c r="B4443" s="2" t="s">
        <v>193</v>
      </c>
      <c r="C4443" s="2" t="s">
        <v>194</v>
      </c>
      <c r="D4443" s="20">
        <v>0</v>
      </c>
      <c r="E4443" s="2" t="s">
        <v>838</v>
      </c>
      <c r="F4443" s="2" t="s">
        <v>793</v>
      </c>
      <c r="G4443" s="2" t="s">
        <v>4308</v>
      </c>
      <c r="H4443" s="2" t="s">
        <v>952</v>
      </c>
      <c r="J4443" s="26"/>
      <c r="K4443" s="36">
        <v>9.9999999999999995E-8</v>
      </c>
      <c r="L4443" s="23">
        <v>1E-8</v>
      </c>
    </row>
    <row r="4444" spans="1:12" ht="15.35" hidden="1" x14ac:dyDescent="0.55000000000000004">
      <c r="A4444" s="20">
        <v>15672</v>
      </c>
      <c r="B4444" s="2" t="s">
        <v>193</v>
      </c>
      <c r="C4444" s="2" t="s">
        <v>194</v>
      </c>
      <c r="D4444" s="20">
        <v>0</v>
      </c>
      <c r="E4444" s="2" t="s">
        <v>838</v>
      </c>
      <c r="F4444" s="2" t="s">
        <v>793</v>
      </c>
      <c r="G4444" s="2" t="s">
        <v>3287</v>
      </c>
      <c r="H4444" s="2" t="s">
        <v>952</v>
      </c>
      <c r="J4444" s="26"/>
      <c r="K4444" s="36">
        <v>5.2E-7</v>
      </c>
      <c r="L4444" s="23">
        <v>4.9999999999999998E-8</v>
      </c>
    </row>
    <row r="4445" spans="1:12" ht="15.35" hidden="1" x14ac:dyDescent="0.55000000000000004">
      <c r="A4445" s="20">
        <v>15694</v>
      </c>
      <c r="B4445" s="2" t="s">
        <v>193</v>
      </c>
      <c r="C4445" s="2" t="s">
        <v>194</v>
      </c>
      <c r="D4445" s="20">
        <v>0</v>
      </c>
      <c r="E4445" s="2" t="s">
        <v>838</v>
      </c>
      <c r="F4445" s="2" t="s">
        <v>793</v>
      </c>
      <c r="G4445" s="2" t="s">
        <v>3288</v>
      </c>
      <c r="H4445" s="2" t="s">
        <v>952</v>
      </c>
      <c r="J4445" s="26"/>
      <c r="K4445" s="36">
        <v>3.7E-7</v>
      </c>
      <c r="L4445" s="23">
        <v>4.0000000000000001E-8</v>
      </c>
    </row>
    <row r="4446" spans="1:12" ht="15.35" hidden="1" x14ac:dyDescent="0.55000000000000004">
      <c r="A4446" s="20">
        <v>15708</v>
      </c>
      <c r="B4446" s="2" t="s">
        <v>193</v>
      </c>
      <c r="C4446" s="2" t="s">
        <v>194</v>
      </c>
      <c r="D4446" s="20">
        <v>0</v>
      </c>
      <c r="E4446" s="2" t="s">
        <v>838</v>
      </c>
      <c r="F4446" s="2" t="s">
        <v>793</v>
      </c>
      <c r="G4446" s="2" t="s">
        <v>3289</v>
      </c>
      <c r="H4446" s="2" t="s">
        <v>952</v>
      </c>
      <c r="J4446" s="26"/>
      <c r="K4446" s="36">
        <v>2.4999999999999999E-7</v>
      </c>
      <c r="L4446" s="23">
        <v>2E-8</v>
      </c>
    </row>
    <row r="4447" spans="1:12" ht="15.35" hidden="1" x14ac:dyDescent="0.55000000000000004">
      <c r="A4447" s="20">
        <v>15670</v>
      </c>
      <c r="B4447" s="2" t="s">
        <v>193</v>
      </c>
      <c r="C4447" s="2" t="s">
        <v>194</v>
      </c>
      <c r="D4447" s="20">
        <v>0</v>
      </c>
      <c r="E4447" s="2" t="s">
        <v>838</v>
      </c>
      <c r="F4447" s="2" t="s">
        <v>793</v>
      </c>
      <c r="G4447" s="2" t="s">
        <v>4309</v>
      </c>
      <c r="H4447" s="2" t="s">
        <v>952</v>
      </c>
      <c r="J4447" s="26"/>
      <c r="K4447" s="36">
        <v>5.7999999999999995E-7</v>
      </c>
      <c r="L4447" s="23">
        <v>5.9999999999999995E-8</v>
      </c>
    </row>
    <row r="4448" spans="1:12" ht="15.35" hidden="1" x14ac:dyDescent="0.55000000000000004">
      <c r="A4448" s="20">
        <v>15743</v>
      </c>
      <c r="B4448" s="2" t="s">
        <v>193</v>
      </c>
      <c r="C4448" s="2" t="s">
        <v>194</v>
      </c>
      <c r="D4448" s="20">
        <v>0</v>
      </c>
      <c r="E4448" s="2" t="s">
        <v>838</v>
      </c>
      <c r="F4448" s="2" t="s">
        <v>793</v>
      </c>
      <c r="G4448" s="2" t="s">
        <v>4310</v>
      </c>
      <c r="H4448" s="2" t="s">
        <v>952</v>
      </c>
      <c r="J4448" s="26"/>
      <c r="K4448" s="36">
        <v>1.1999999999999999E-7</v>
      </c>
      <c r="L4448" s="23">
        <v>1E-8</v>
      </c>
    </row>
    <row r="4449" spans="1:12" ht="15.35" hidden="1" x14ac:dyDescent="0.55000000000000004">
      <c r="A4449" s="20">
        <v>15803</v>
      </c>
      <c r="B4449" s="2" t="s">
        <v>193</v>
      </c>
      <c r="C4449" s="2" t="s">
        <v>194</v>
      </c>
      <c r="D4449" s="20">
        <v>0</v>
      </c>
      <c r="E4449" s="2" t="s">
        <v>838</v>
      </c>
      <c r="F4449" s="2" t="s">
        <v>793</v>
      </c>
      <c r="G4449" s="2" t="s">
        <v>4311</v>
      </c>
      <c r="H4449" s="2" t="s">
        <v>952</v>
      </c>
      <c r="J4449" s="26"/>
      <c r="K4449" s="36">
        <v>4.0000000000000001E-8</v>
      </c>
      <c r="L4449" s="23">
        <v>0</v>
      </c>
    </row>
    <row r="4450" spans="1:12" ht="15.35" hidden="1" x14ac:dyDescent="0.55000000000000004">
      <c r="A4450" s="20">
        <v>15703</v>
      </c>
      <c r="B4450" s="2" t="s">
        <v>193</v>
      </c>
      <c r="C4450" s="2" t="s">
        <v>194</v>
      </c>
      <c r="D4450" s="20">
        <v>0</v>
      </c>
      <c r="E4450" s="2" t="s">
        <v>838</v>
      </c>
      <c r="F4450" s="2" t="s">
        <v>793</v>
      </c>
      <c r="G4450" s="2" t="s">
        <v>4312</v>
      </c>
      <c r="H4450" s="2" t="s">
        <v>952</v>
      </c>
      <c r="J4450" s="26"/>
      <c r="K4450" s="36">
        <v>2.7000000000000001E-7</v>
      </c>
      <c r="L4450" s="23">
        <v>2.9999999999999997E-8</v>
      </c>
    </row>
    <row r="4451" spans="1:12" ht="15.35" hidden="1" x14ac:dyDescent="0.55000000000000004">
      <c r="A4451" s="20">
        <v>15722</v>
      </c>
      <c r="B4451" s="2" t="s">
        <v>193</v>
      </c>
      <c r="C4451" s="2" t="s">
        <v>194</v>
      </c>
      <c r="D4451" s="20">
        <v>0</v>
      </c>
      <c r="E4451" s="2" t="s">
        <v>838</v>
      </c>
      <c r="F4451" s="2" t="s">
        <v>793</v>
      </c>
      <c r="G4451" s="2" t="s">
        <v>4313</v>
      </c>
      <c r="H4451" s="2" t="s">
        <v>952</v>
      </c>
      <c r="J4451" s="26"/>
      <c r="K4451" s="36">
        <v>1.9000000000000001E-7</v>
      </c>
      <c r="L4451" s="23">
        <v>2E-8</v>
      </c>
    </row>
    <row r="4452" spans="1:12" ht="15.35" hidden="1" x14ac:dyDescent="0.55000000000000004">
      <c r="A4452" s="20">
        <v>15891</v>
      </c>
      <c r="B4452" s="2" t="s">
        <v>193</v>
      </c>
      <c r="C4452" s="2" t="s">
        <v>194</v>
      </c>
      <c r="D4452" s="20">
        <v>0</v>
      </c>
      <c r="E4452" s="2" t="s">
        <v>838</v>
      </c>
      <c r="F4452" s="2" t="s">
        <v>793</v>
      </c>
      <c r="G4452" s="2" t="s">
        <v>3294</v>
      </c>
      <c r="H4452" s="2" t="s">
        <v>952</v>
      </c>
      <c r="J4452" s="26"/>
      <c r="K4452" s="36">
        <v>1E-8</v>
      </c>
      <c r="L4452" s="23">
        <v>0</v>
      </c>
    </row>
    <row r="4453" spans="1:12" ht="15.35" hidden="1" x14ac:dyDescent="0.55000000000000004">
      <c r="A4453" s="20">
        <v>15847</v>
      </c>
      <c r="B4453" s="2" t="s">
        <v>193</v>
      </c>
      <c r="C4453" s="2" t="s">
        <v>194</v>
      </c>
      <c r="D4453" s="20">
        <v>0</v>
      </c>
      <c r="E4453" s="2" t="s">
        <v>838</v>
      </c>
      <c r="F4453" s="2" t="s">
        <v>793</v>
      </c>
      <c r="G4453" s="2" t="s">
        <v>3297</v>
      </c>
      <c r="H4453" s="2" t="s">
        <v>952</v>
      </c>
      <c r="J4453" s="26"/>
      <c r="K4453" s="36">
        <v>2.9999999999999997E-8</v>
      </c>
      <c r="L4453" s="23">
        <v>0</v>
      </c>
    </row>
    <row r="4454" spans="1:12" ht="15.35" hidden="1" x14ac:dyDescent="0.55000000000000004">
      <c r="A4454" s="20">
        <v>15837</v>
      </c>
      <c r="B4454" s="2" t="s">
        <v>193</v>
      </c>
      <c r="C4454" s="2" t="s">
        <v>194</v>
      </c>
      <c r="D4454" s="20">
        <v>0</v>
      </c>
      <c r="E4454" s="2" t="s">
        <v>838</v>
      </c>
      <c r="F4454" s="2" t="s">
        <v>793</v>
      </c>
      <c r="G4454" s="2" t="s">
        <v>3298</v>
      </c>
      <c r="H4454" s="2" t="s">
        <v>952</v>
      </c>
      <c r="J4454" s="26"/>
      <c r="K4454" s="36">
        <v>4.0000000000000001E-8</v>
      </c>
      <c r="L4454" s="23">
        <v>0</v>
      </c>
    </row>
    <row r="4455" spans="1:12" ht="15.35" hidden="1" x14ac:dyDescent="0.55000000000000004">
      <c r="A4455" s="20">
        <v>15764</v>
      </c>
      <c r="B4455" s="2" t="s">
        <v>193</v>
      </c>
      <c r="C4455" s="2" t="s">
        <v>194</v>
      </c>
      <c r="D4455" s="20">
        <v>0</v>
      </c>
      <c r="E4455" s="2" t="s">
        <v>838</v>
      </c>
      <c r="F4455" s="2" t="s">
        <v>793</v>
      </c>
      <c r="G4455" s="2" t="s">
        <v>3302</v>
      </c>
      <c r="H4455" s="2" t="s">
        <v>952</v>
      </c>
      <c r="J4455" s="26"/>
      <c r="K4455" s="36">
        <v>7.0000000000000005E-8</v>
      </c>
      <c r="L4455" s="23">
        <v>1E-8</v>
      </c>
    </row>
    <row r="4456" spans="1:12" ht="15.35" hidden="1" x14ac:dyDescent="0.55000000000000004">
      <c r="A4456" s="20">
        <v>15763</v>
      </c>
      <c r="B4456" s="2" t="s">
        <v>193</v>
      </c>
      <c r="C4456" s="2" t="s">
        <v>194</v>
      </c>
      <c r="D4456" s="20">
        <v>0</v>
      </c>
      <c r="E4456" s="2" t="s">
        <v>838</v>
      </c>
      <c r="F4456" s="2" t="s">
        <v>793</v>
      </c>
      <c r="G4456" s="2" t="s">
        <v>3303</v>
      </c>
      <c r="H4456" s="2" t="s">
        <v>952</v>
      </c>
      <c r="J4456" s="26"/>
      <c r="K4456" s="36">
        <v>7.0000000000000005E-8</v>
      </c>
      <c r="L4456" s="23">
        <v>1E-8</v>
      </c>
    </row>
    <row r="4457" spans="1:12" ht="15.35" hidden="1" x14ac:dyDescent="0.55000000000000004">
      <c r="A4457" s="20">
        <v>15780</v>
      </c>
      <c r="B4457" s="2" t="s">
        <v>193</v>
      </c>
      <c r="C4457" s="2" t="s">
        <v>194</v>
      </c>
      <c r="D4457" s="20">
        <v>0</v>
      </c>
      <c r="E4457" s="2" t="s">
        <v>838</v>
      </c>
      <c r="F4457" s="2" t="s">
        <v>793</v>
      </c>
      <c r="G4457" s="2" t="s">
        <v>4314</v>
      </c>
      <c r="H4457" s="2" t="s">
        <v>952</v>
      </c>
      <c r="J4457" s="26"/>
      <c r="K4457" s="36">
        <v>4.0000000000000001E-8</v>
      </c>
      <c r="L4457" s="23">
        <v>0</v>
      </c>
    </row>
    <row r="4458" spans="1:12" ht="15.35" hidden="1" x14ac:dyDescent="0.55000000000000004">
      <c r="A4458" s="20">
        <v>15720</v>
      </c>
      <c r="B4458" s="2" t="s">
        <v>193</v>
      </c>
      <c r="C4458" s="2" t="s">
        <v>194</v>
      </c>
      <c r="D4458" s="20">
        <v>0</v>
      </c>
      <c r="E4458" s="2" t="s">
        <v>838</v>
      </c>
      <c r="F4458" s="2" t="s">
        <v>793</v>
      </c>
      <c r="G4458" s="2" t="s">
        <v>4315</v>
      </c>
      <c r="H4458" s="2" t="s">
        <v>952</v>
      </c>
      <c r="J4458" s="26"/>
      <c r="K4458" s="36">
        <v>1.9000000000000001E-7</v>
      </c>
      <c r="L4458" s="23">
        <v>2E-8</v>
      </c>
    </row>
    <row r="4459" spans="1:12" ht="15.35" hidden="1" x14ac:dyDescent="0.55000000000000004">
      <c r="A4459" s="20">
        <v>15820</v>
      </c>
      <c r="B4459" s="2" t="s">
        <v>193</v>
      </c>
      <c r="C4459" s="2" t="s">
        <v>194</v>
      </c>
      <c r="D4459" s="20">
        <v>0</v>
      </c>
      <c r="E4459" s="2" t="s">
        <v>838</v>
      </c>
      <c r="F4459" s="2" t="s">
        <v>793</v>
      </c>
      <c r="G4459" s="2" t="s">
        <v>3311</v>
      </c>
      <c r="H4459" s="2" t="s">
        <v>952</v>
      </c>
      <c r="J4459" s="26"/>
      <c r="K4459" s="36">
        <v>4.0000000000000001E-8</v>
      </c>
      <c r="L4459" s="23">
        <v>0</v>
      </c>
    </row>
    <row r="4460" spans="1:12" ht="15.35" hidden="1" x14ac:dyDescent="0.55000000000000004">
      <c r="A4460" s="20">
        <v>15748</v>
      </c>
      <c r="B4460" s="2" t="s">
        <v>193</v>
      </c>
      <c r="C4460" s="2" t="s">
        <v>194</v>
      </c>
      <c r="D4460" s="20">
        <v>0</v>
      </c>
      <c r="E4460" s="2" t="s">
        <v>838</v>
      </c>
      <c r="F4460" s="2" t="s">
        <v>793</v>
      </c>
      <c r="G4460" s="2" t="s">
        <v>3319</v>
      </c>
      <c r="H4460" s="2" t="s">
        <v>952</v>
      </c>
      <c r="J4460" s="26"/>
      <c r="K4460" s="36">
        <v>1.1000000000000001E-7</v>
      </c>
      <c r="L4460" s="23">
        <v>1E-8</v>
      </c>
    </row>
    <row r="4461" spans="1:12" ht="15.35" hidden="1" x14ac:dyDescent="0.55000000000000004">
      <c r="A4461" s="20">
        <v>15777</v>
      </c>
      <c r="B4461" s="2" t="s">
        <v>193</v>
      </c>
      <c r="C4461" s="2" t="s">
        <v>194</v>
      </c>
      <c r="D4461" s="20">
        <v>0</v>
      </c>
      <c r="E4461" s="2" t="s">
        <v>838</v>
      </c>
      <c r="F4461" s="2" t="s">
        <v>793</v>
      </c>
      <c r="G4461" s="2" t="s">
        <v>3321</v>
      </c>
      <c r="H4461" s="2" t="s">
        <v>952</v>
      </c>
      <c r="J4461" s="26"/>
      <c r="K4461" s="36">
        <v>4.9999999999999998E-8</v>
      </c>
      <c r="L4461" s="23">
        <v>0</v>
      </c>
    </row>
    <row r="4462" spans="1:12" ht="15.35" hidden="1" x14ac:dyDescent="0.55000000000000004">
      <c r="A4462" s="20">
        <v>15771</v>
      </c>
      <c r="B4462" s="2" t="s">
        <v>193</v>
      </c>
      <c r="C4462" s="2" t="s">
        <v>194</v>
      </c>
      <c r="D4462" s="20">
        <v>0</v>
      </c>
      <c r="E4462" s="2" t="s">
        <v>838</v>
      </c>
      <c r="F4462" s="2" t="s">
        <v>793</v>
      </c>
      <c r="G4462" s="2" t="s">
        <v>3322</v>
      </c>
      <c r="H4462" s="2" t="s">
        <v>952</v>
      </c>
      <c r="J4462" s="26"/>
      <c r="K4462" s="36">
        <v>5.9999999999999995E-8</v>
      </c>
      <c r="L4462" s="23">
        <v>1E-8</v>
      </c>
    </row>
    <row r="4463" spans="1:12" ht="15.35" hidden="1" x14ac:dyDescent="0.55000000000000004">
      <c r="A4463" s="20">
        <v>15757</v>
      </c>
      <c r="B4463" s="2" t="s">
        <v>193</v>
      </c>
      <c r="C4463" s="2" t="s">
        <v>194</v>
      </c>
      <c r="D4463" s="20">
        <v>0</v>
      </c>
      <c r="E4463" s="2" t="s">
        <v>838</v>
      </c>
      <c r="F4463" s="2" t="s">
        <v>793</v>
      </c>
      <c r="G4463" s="2" t="s">
        <v>3908</v>
      </c>
      <c r="H4463" s="2" t="s">
        <v>952</v>
      </c>
      <c r="J4463" s="26"/>
      <c r="K4463" s="36">
        <v>8.0000000000000002E-8</v>
      </c>
      <c r="L4463" s="23">
        <v>1E-8</v>
      </c>
    </row>
    <row r="4464" spans="1:12" ht="15.35" hidden="1" x14ac:dyDescent="0.55000000000000004">
      <c r="A4464" s="20">
        <v>15786</v>
      </c>
      <c r="B4464" s="2" t="s">
        <v>193</v>
      </c>
      <c r="C4464" s="2" t="s">
        <v>194</v>
      </c>
      <c r="D4464" s="20">
        <v>0</v>
      </c>
      <c r="E4464" s="2" t="s">
        <v>838</v>
      </c>
      <c r="F4464" s="2" t="s">
        <v>793</v>
      </c>
      <c r="G4464" s="2" t="s">
        <v>3327</v>
      </c>
      <c r="H4464" s="2" t="s">
        <v>952</v>
      </c>
      <c r="J4464" s="26"/>
      <c r="K4464" s="36">
        <v>4.0000000000000001E-8</v>
      </c>
      <c r="L4464" s="23">
        <v>0</v>
      </c>
    </row>
    <row r="4465" spans="1:12" ht="15.35" hidden="1" x14ac:dyDescent="0.55000000000000004">
      <c r="A4465" s="20">
        <v>15782</v>
      </c>
      <c r="B4465" s="2" t="s">
        <v>193</v>
      </c>
      <c r="C4465" s="2" t="s">
        <v>194</v>
      </c>
      <c r="D4465" s="20">
        <v>0</v>
      </c>
      <c r="E4465" s="2" t="s">
        <v>838</v>
      </c>
      <c r="F4465" s="2" t="s">
        <v>793</v>
      </c>
      <c r="G4465" s="2" t="s">
        <v>3328</v>
      </c>
      <c r="H4465" s="2" t="s">
        <v>952</v>
      </c>
      <c r="J4465" s="26"/>
      <c r="K4465" s="36">
        <v>4.0000000000000001E-8</v>
      </c>
      <c r="L4465" s="23">
        <v>0</v>
      </c>
    </row>
    <row r="4466" spans="1:12" ht="15.35" hidden="1" x14ac:dyDescent="0.55000000000000004">
      <c r="A4466" s="20">
        <v>15811</v>
      </c>
      <c r="B4466" s="2" t="s">
        <v>193</v>
      </c>
      <c r="C4466" s="2" t="s">
        <v>194</v>
      </c>
      <c r="D4466" s="20">
        <v>0</v>
      </c>
      <c r="E4466" s="2" t="s">
        <v>838</v>
      </c>
      <c r="F4466" s="2" t="s">
        <v>793</v>
      </c>
      <c r="G4466" s="2" t="s">
        <v>3329</v>
      </c>
      <c r="H4466" s="2" t="s">
        <v>952</v>
      </c>
      <c r="J4466" s="26"/>
      <c r="K4466" s="36">
        <v>4.0000000000000001E-8</v>
      </c>
      <c r="L4466" s="23">
        <v>0</v>
      </c>
    </row>
    <row r="4467" spans="1:12" ht="15.35" hidden="1" x14ac:dyDescent="0.55000000000000004">
      <c r="A4467" s="20">
        <v>15836</v>
      </c>
      <c r="B4467" s="2" t="s">
        <v>193</v>
      </c>
      <c r="C4467" s="2" t="s">
        <v>194</v>
      </c>
      <c r="D4467" s="20">
        <v>0</v>
      </c>
      <c r="E4467" s="2" t="s">
        <v>838</v>
      </c>
      <c r="F4467" s="2" t="s">
        <v>793</v>
      </c>
      <c r="G4467" s="2" t="s">
        <v>3331</v>
      </c>
      <c r="H4467" s="2" t="s">
        <v>952</v>
      </c>
      <c r="J4467" s="26"/>
      <c r="K4467" s="36">
        <v>4.0000000000000001E-8</v>
      </c>
      <c r="L4467" s="23">
        <v>0</v>
      </c>
    </row>
    <row r="4468" spans="1:12" ht="15.35" hidden="1" x14ac:dyDescent="0.55000000000000004">
      <c r="A4468" s="20">
        <v>15776</v>
      </c>
      <c r="B4468" s="2" t="s">
        <v>193</v>
      </c>
      <c r="C4468" s="2" t="s">
        <v>194</v>
      </c>
      <c r="D4468" s="20">
        <v>0</v>
      </c>
      <c r="E4468" s="2" t="s">
        <v>838</v>
      </c>
      <c r="F4468" s="2" t="s">
        <v>793</v>
      </c>
      <c r="G4468" s="2" t="s">
        <v>3332</v>
      </c>
      <c r="H4468" s="2" t="s">
        <v>952</v>
      </c>
      <c r="J4468" s="26"/>
      <c r="K4468" s="36">
        <v>4.9999999999999998E-8</v>
      </c>
      <c r="L4468" s="23">
        <v>0</v>
      </c>
    </row>
    <row r="4469" spans="1:12" ht="15.35" hidden="1" x14ac:dyDescent="0.55000000000000004">
      <c r="A4469" s="20">
        <v>15845</v>
      </c>
      <c r="B4469" s="2" t="s">
        <v>193</v>
      </c>
      <c r="C4469" s="2" t="s">
        <v>194</v>
      </c>
      <c r="D4469" s="20">
        <v>0</v>
      </c>
      <c r="E4469" s="2" t="s">
        <v>838</v>
      </c>
      <c r="F4469" s="2" t="s">
        <v>793</v>
      </c>
      <c r="G4469" s="2" t="s">
        <v>3333</v>
      </c>
      <c r="H4469" s="2" t="s">
        <v>952</v>
      </c>
      <c r="J4469" s="26"/>
      <c r="K4469" s="36">
        <v>2.9999999999999997E-8</v>
      </c>
      <c r="L4469" s="23">
        <v>0</v>
      </c>
    </row>
    <row r="4470" spans="1:12" ht="15.35" hidden="1" x14ac:dyDescent="0.55000000000000004">
      <c r="A4470" s="20">
        <v>15778</v>
      </c>
      <c r="B4470" s="2" t="s">
        <v>193</v>
      </c>
      <c r="C4470" s="2" t="s">
        <v>194</v>
      </c>
      <c r="D4470" s="20">
        <v>0</v>
      </c>
      <c r="E4470" s="2" t="s">
        <v>838</v>
      </c>
      <c r="F4470" s="2" t="s">
        <v>793</v>
      </c>
      <c r="G4470" s="2" t="s">
        <v>3334</v>
      </c>
      <c r="H4470" s="2" t="s">
        <v>952</v>
      </c>
      <c r="J4470" s="26"/>
      <c r="K4470" s="36">
        <v>4.9999999999999998E-8</v>
      </c>
      <c r="L4470" s="23">
        <v>0</v>
      </c>
    </row>
    <row r="4471" spans="1:12" ht="15.35" hidden="1" x14ac:dyDescent="0.55000000000000004">
      <c r="A4471" s="20">
        <v>15761</v>
      </c>
      <c r="B4471" s="2" t="s">
        <v>193</v>
      </c>
      <c r="C4471" s="2" t="s">
        <v>194</v>
      </c>
      <c r="D4471" s="20">
        <v>0</v>
      </c>
      <c r="E4471" s="2" t="s">
        <v>838</v>
      </c>
      <c r="F4471" s="2" t="s">
        <v>793</v>
      </c>
      <c r="G4471" s="2" t="s">
        <v>4316</v>
      </c>
      <c r="H4471" s="2" t="s">
        <v>952</v>
      </c>
      <c r="J4471" s="26"/>
      <c r="K4471" s="36">
        <v>7.0000000000000005E-8</v>
      </c>
      <c r="L4471" s="23">
        <v>1E-8</v>
      </c>
    </row>
    <row r="4472" spans="1:12" ht="15.35" hidden="1" x14ac:dyDescent="0.55000000000000004">
      <c r="A4472" s="20">
        <v>15893</v>
      </c>
      <c r="B4472" s="2" t="s">
        <v>193</v>
      </c>
      <c r="C4472" s="2" t="s">
        <v>194</v>
      </c>
      <c r="D4472" s="20">
        <v>0</v>
      </c>
      <c r="E4472" s="2" t="s">
        <v>838</v>
      </c>
      <c r="F4472" s="2" t="s">
        <v>793</v>
      </c>
      <c r="G4472" s="2" t="s">
        <v>4317</v>
      </c>
      <c r="H4472" s="2" t="s">
        <v>952</v>
      </c>
      <c r="J4472" s="26"/>
      <c r="K4472" s="36">
        <v>1E-8</v>
      </c>
      <c r="L4472" s="23">
        <v>0</v>
      </c>
    </row>
    <row r="4473" spans="1:12" ht="15.35" hidden="1" x14ac:dyDescent="0.55000000000000004">
      <c r="A4473" s="20">
        <v>15767</v>
      </c>
      <c r="B4473" s="2" t="s">
        <v>193</v>
      </c>
      <c r="C4473" s="2" t="s">
        <v>194</v>
      </c>
      <c r="D4473" s="20">
        <v>0</v>
      </c>
      <c r="E4473" s="2" t="s">
        <v>838</v>
      </c>
      <c r="F4473" s="2" t="s">
        <v>793</v>
      </c>
      <c r="G4473" s="2" t="s">
        <v>4318</v>
      </c>
      <c r="H4473" s="2" t="s">
        <v>952</v>
      </c>
      <c r="J4473" s="26"/>
      <c r="K4473" s="36">
        <v>5.9999999999999995E-8</v>
      </c>
      <c r="L4473" s="23">
        <v>1E-8</v>
      </c>
    </row>
    <row r="4474" spans="1:12" ht="15.35" hidden="1" x14ac:dyDescent="0.55000000000000004">
      <c r="A4474" s="20">
        <v>15740</v>
      </c>
      <c r="B4474" s="2" t="s">
        <v>193</v>
      </c>
      <c r="C4474" s="2" t="s">
        <v>194</v>
      </c>
      <c r="D4474" s="20">
        <v>0</v>
      </c>
      <c r="E4474" s="2" t="s">
        <v>838</v>
      </c>
      <c r="F4474" s="2" t="s">
        <v>793</v>
      </c>
      <c r="G4474" s="2" t="s">
        <v>4319</v>
      </c>
      <c r="H4474" s="2" t="s">
        <v>952</v>
      </c>
      <c r="J4474" s="26"/>
      <c r="K4474" s="36">
        <v>1.1999999999999999E-7</v>
      </c>
      <c r="L4474" s="23">
        <v>1E-8</v>
      </c>
    </row>
    <row r="4475" spans="1:12" ht="15.35" hidden="1" x14ac:dyDescent="0.55000000000000004">
      <c r="A4475" s="20">
        <v>15768</v>
      </c>
      <c r="B4475" s="2" t="s">
        <v>193</v>
      </c>
      <c r="C4475" s="2" t="s">
        <v>194</v>
      </c>
      <c r="D4475" s="20">
        <v>0</v>
      </c>
      <c r="E4475" s="2" t="s">
        <v>838</v>
      </c>
      <c r="F4475" s="2" t="s">
        <v>793</v>
      </c>
      <c r="G4475" s="2" t="s">
        <v>4320</v>
      </c>
      <c r="H4475" s="2" t="s">
        <v>952</v>
      </c>
      <c r="J4475" s="26"/>
      <c r="K4475" s="36">
        <v>5.9999999999999995E-8</v>
      </c>
      <c r="L4475" s="23">
        <v>1E-8</v>
      </c>
    </row>
    <row r="4476" spans="1:12" ht="15.35" hidden="1" x14ac:dyDescent="0.55000000000000004">
      <c r="A4476" s="20">
        <v>15735</v>
      </c>
      <c r="B4476" s="2" t="s">
        <v>193</v>
      </c>
      <c r="C4476" s="2" t="s">
        <v>194</v>
      </c>
      <c r="D4476" s="20">
        <v>0</v>
      </c>
      <c r="E4476" s="2" t="s">
        <v>838</v>
      </c>
      <c r="F4476" s="2" t="s">
        <v>793</v>
      </c>
      <c r="G4476" s="2" t="s">
        <v>4321</v>
      </c>
      <c r="H4476" s="2" t="s">
        <v>952</v>
      </c>
      <c r="J4476" s="26"/>
      <c r="K4476" s="36">
        <v>1.4000000000000001E-7</v>
      </c>
      <c r="L4476" s="23">
        <v>1E-8</v>
      </c>
    </row>
    <row r="4477" spans="1:12" ht="15.35" hidden="1" x14ac:dyDescent="0.55000000000000004">
      <c r="A4477" s="20">
        <v>15746</v>
      </c>
      <c r="B4477" s="2" t="s">
        <v>193</v>
      </c>
      <c r="C4477" s="2" t="s">
        <v>194</v>
      </c>
      <c r="D4477" s="20">
        <v>0</v>
      </c>
      <c r="E4477" s="2" t="s">
        <v>838</v>
      </c>
      <c r="F4477" s="2" t="s">
        <v>793</v>
      </c>
      <c r="G4477" s="2" t="s">
        <v>4322</v>
      </c>
      <c r="H4477" s="2" t="s">
        <v>952</v>
      </c>
      <c r="J4477" s="26"/>
      <c r="K4477" s="36">
        <v>1.1000000000000001E-7</v>
      </c>
      <c r="L4477" s="23">
        <v>1E-8</v>
      </c>
    </row>
    <row r="4478" spans="1:12" ht="15.35" hidden="1" x14ac:dyDescent="0.55000000000000004">
      <c r="A4478" s="20">
        <v>15739</v>
      </c>
      <c r="B4478" s="2" t="s">
        <v>193</v>
      </c>
      <c r="C4478" s="2" t="s">
        <v>194</v>
      </c>
      <c r="D4478" s="20">
        <v>0</v>
      </c>
      <c r="E4478" s="2" t="s">
        <v>838</v>
      </c>
      <c r="F4478" s="2" t="s">
        <v>793</v>
      </c>
      <c r="G4478" s="2" t="s">
        <v>4323</v>
      </c>
      <c r="H4478" s="2" t="s">
        <v>952</v>
      </c>
      <c r="J4478" s="26"/>
      <c r="K4478" s="36">
        <v>1.1999999999999999E-7</v>
      </c>
      <c r="L4478" s="23">
        <v>1E-8</v>
      </c>
    </row>
    <row r="4479" spans="1:12" ht="15.35" hidden="1" x14ac:dyDescent="0.55000000000000004">
      <c r="A4479" s="20">
        <v>15769</v>
      </c>
      <c r="B4479" s="2" t="s">
        <v>193</v>
      </c>
      <c r="C4479" s="2" t="s">
        <v>194</v>
      </c>
      <c r="D4479" s="20">
        <v>0</v>
      </c>
      <c r="E4479" s="2" t="s">
        <v>838</v>
      </c>
      <c r="F4479" s="2" t="s">
        <v>793</v>
      </c>
      <c r="G4479" s="2" t="s">
        <v>4324</v>
      </c>
      <c r="H4479" s="2" t="s">
        <v>952</v>
      </c>
      <c r="J4479" s="26"/>
      <c r="K4479" s="36">
        <v>5.9999999999999995E-8</v>
      </c>
      <c r="L4479" s="23">
        <v>1E-8</v>
      </c>
    </row>
    <row r="4480" spans="1:12" ht="15.35" hidden="1" x14ac:dyDescent="0.55000000000000004">
      <c r="A4480" s="20">
        <v>15843</v>
      </c>
      <c r="B4480" s="2" t="s">
        <v>193</v>
      </c>
      <c r="C4480" s="2" t="s">
        <v>194</v>
      </c>
      <c r="D4480" s="20">
        <v>0</v>
      </c>
      <c r="E4480" s="2" t="s">
        <v>838</v>
      </c>
      <c r="F4480" s="2" t="s">
        <v>793</v>
      </c>
      <c r="G4480" s="2" t="s">
        <v>3335</v>
      </c>
      <c r="H4480" s="2" t="s">
        <v>952</v>
      </c>
      <c r="J4480" s="26"/>
      <c r="K4480" s="36">
        <v>2.9999999999999997E-8</v>
      </c>
      <c r="L4480" s="23">
        <v>0</v>
      </c>
    </row>
    <row r="4481" spans="1:12" ht="15.35" hidden="1" x14ac:dyDescent="0.55000000000000004">
      <c r="A4481" s="20">
        <v>15774</v>
      </c>
      <c r="B4481" s="2" t="s">
        <v>193</v>
      </c>
      <c r="C4481" s="2" t="s">
        <v>194</v>
      </c>
      <c r="D4481" s="20">
        <v>0</v>
      </c>
      <c r="E4481" s="2" t="s">
        <v>838</v>
      </c>
      <c r="F4481" s="2" t="s">
        <v>793</v>
      </c>
      <c r="G4481" s="2" t="s">
        <v>3336</v>
      </c>
      <c r="H4481" s="2" t="s">
        <v>952</v>
      </c>
      <c r="J4481" s="26"/>
      <c r="K4481" s="36">
        <v>4.9999999999999998E-8</v>
      </c>
      <c r="L4481" s="23">
        <v>0</v>
      </c>
    </row>
    <row r="4482" spans="1:12" ht="15.35" hidden="1" x14ac:dyDescent="0.55000000000000004">
      <c r="A4482" s="20">
        <v>15728</v>
      </c>
      <c r="B4482" s="2" t="s">
        <v>193</v>
      </c>
      <c r="C4482" s="2" t="s">
        <v>194</v>
      </c>
      <c r="D4482" s="20">
        <v>0</v>
      </c>
      <c r="E4482" s="2" t="s">
        <v>838</v>
      </c>
      <c r="F4482" s="2" t="s">
        <v>793</v>
      </c>
      <c r="G4482" s="2" t="s">
        <v>4325</v>
      </c>
      <c r="H4482" s="2" t="s">
        <v>952</v>
      </c>
      <c r="J4482" s="26"/>
      <c r="K4482" s="36">
        <v>1.4999999999999999E-7</v>
      </c>
      <c r="L4482" s="23">
        <v>1E-8</v>
      </c>
    </row>
    <row r="4483" spans="1:12" ht="15.35" hidden="1" x14ac:dyDescent="0.55000000000000004">
      <c r="A4483" s="20">
        <v>15865</v>
      </c>
      <c r="B4483" s="2" t="s">
        <v>193</v>
      </c>
      <c r="C4483" s="2" t="s">
        <v>194</v>
      </c>
      <c r="D4483" s="20">
        <v>0</v>
      </c>
      <c r="E4483" s="2" t="s">
        <v>838</v>
      </c>
      <c r="F4483" s="2" t="s">
        <v>811</v>
      </c>
      <c r="G4483" s="2" t="s">
        <v>4082</v>
      </c>
      <c r="H4483" s="2" t="s">
        <v>4083</v>
      </c>
      <c r="J4483" s="26"/>
      <c r="K4483" s="36">
        <v>2E-8</v>
      </c>
      <c r="L4483" s="23">
        <v>0</v>
      </c>
    </row>
    <row r="4484" spans="1:12" ht="15.35" hidden="1" x14ac:dyDescent="0.55000000000000004">
      <c r="A4484" s="20">
        <v>15729</v>
      </c>
      <c r="B4484" s="2" t="s">
        <v>193</v>
      </c>
      <c r="C4484" s="2" t="s">
        <v>194</v>
      </c>
      <c r="D4484" s="20">
        <v>0</v>
      </c>
      <c r="E4484" s="2" t="s">
        <v>838</v>
      </c>
      <c r="F4484" s="2" t="s">
        <v>811</v>
      </c>
      <c r="G4484" s="2" t="s">
        <v>4084</v>
      </c>
      <c r="H4484" s="2" t="s">
        <v>4085</v>
      </c>
      <c r="J4484" s="26"/>
      <c r="K4484" s="36">
        <v>1.4000000000000001E-7</v>
      </c>
      <c r="L4484" s="23">
        <v>1E-8</v>
      </c>
    </row>
    <row r="4485" spans="1:12" ht="15.35" hidden="1" x14ac:dyDescent="0.55000000000000004">
      <c r="A4485" s="20">
        <v>15619</v>
      </c>
      <c r="B4485" s="2" t="s">
        <v>193</v>
      </c>
      <c r="C4485" s="2" t="s">
        <v>194</v>
      </c>
      <c r="D4485" s="20">
        <v>0</v>
      </c>
      <c r="E4485" s="2" t="s">
        <v>838</v>
      </c>
      <c r="F4485" s="2" t="s">
        <v>848</v>
      </c>
      <c r="G4485" s="2" t="s">
        <v>1698</v>
      </c>
      <c r="H4485" s="2" t="s">
        <v>1698</v>
      </c>
      <c r="J4485" s="26"/>
      <c r="K4485" s="36">
        <v>1.6500000000000001E-6</v>
      </c>
      <c r="L4485" s="23">
        <v>1.6999999999999999E-7</v>
      </c>
    </row>
    <row r="4486" spans="1:12" ht="15.35" hidden="1" x14ac:dyDescent="0.55000000000000004">
      <c r="A4486" s="20">
        <v>15684</v>
      </c>
      <c r="B4486" s="2" t="s">
        <v>193</v>
      </c>
      <c r="C4486" s="2" t="s">
        <v>194</v>
      </c>
      <c r="D4486" s="20">
        <v>0</v>
      </c>
      <c r="E4486" s="2" t="s">
        <v>838</v>
      </c>
      <c r="F4486" s="2" t="s">
        <v>793</v>
      </c>
      <c r="G4486" s="2" t="s">
        <v>4326</v>
      </c>
      <c r="H4486" s="2" t="s">
        <v>864</v>
      </c>
      <c r="J4486" s="26"/>
      <c r="K4486" s="36">
        <v>4.0999999999999999E-7</v>
      </c>
      <c r="L4486" s="23">
        <v>4.0000000000000001E-8</v>
      </c>
    </row>
    <row r="4487" spans="1:12" ht="15.35" hidden="1" x14ac:dyDescent="0.55000000000000004">
      <c r="A4487" s="20">
        <v>15685</v>
      </c>
      <c r="B4487" s="2" t="s">
        <v>193</v>
      </c>
      <c r="C4487" s="2" t="s">
        <v>194</v>
      </c>
      <c r="D4487" s="20">
        <v>0</v>
      </c>
      <c r="E4487" s="2" t="s">
        <v>838</v>
      </c>
      <c r="F4487" s="2" t="s">
        <v>793</v>
      </c>
      <c r="G4487" s="2" t="s">
        <v>4327</v>
      </c>
      <c r="H4487" s="2" t="s">
        <v>864</v>
      </c>
      <c r="J4487" s="26"/>
      <c r="K4487" s="36">
        <v>4.0999999999999999E-7</v>
      </c>
      <c r="L4487" s="23">
        <v>4.0000000000000001E-8</v>
      </c>
    </row>
    <row r="4488" spans="1:12" ht="15.35" hidden="1" x14ac:dyDescent="0.55000000000000004">
      <c r="A4488" s="20">
        <v>15637</v>
      </c>
      <c r="B4488" s="2" t="s">
        <v>193</v>
      </c>
      <c r="C4488" s="2" t="s">
        <v>194</v>
      </c>
      <c r="D4488" s="20">
        <v>0</v>
      </c>
      <c r="E4488" s="2" t="s">
        <v>838</v>
      </c>
      <c r="F4488" s="2" t="s">
        <v>787</v>
      </c>
      <c r="G4488" s="2" t="s">
        <v>1160</v>
      </c>
      <c r="H4488" s="2" t="s">
        <v>1160</v>
      </c>
      <c r="J4488" s="26"/>
      <c r="K4488" s="36">
        <v>1.1799999999999999E-6</v>
      </c>
      <c r="L4488" s="23">
        <v>1.1999999999999999E-7</v>
      </c>
    </row>
    <row r="4489" spans="1:12" ht="15.35" hidden="1" x14ac:dyDescent="0.55000000000000004">
      <c r="A4489" s="20">
        <v>15582</v>
      </c>
      <c r="B4489" s="2" t="s">
        <v>193</v>
      </c>
      <c r="C4489" s="2" t="s">
        <v>194</v>
      </c>
      <c r="D4489" s="20">
        <v>0</v>
      </c>
      <c r="E4489" s="2" t="s">
        <v>838</v>
      </c>
      <c r="F4489" s="2" t="s">
        <v>787</v>
      </c>
      <c r="G4489" s="2" t="s">
        <v>1739</v>
      </c>
      <c r="H4489" s="2" t="s">
        <v>1739</v>
      </c>
      <c r="J4489" s="26"/>
      <c r="K4489" s="36">
        <v>2.6199999999999999E-6</v>
      </c>
      <c r="L4489" s="23">
        <v>2.6E-7</v>
      </c>
    </row>
    <row r="4490" spans="1:12" ht="15.35" hidden="1" x14ac:dyDescent="0.55000000000000004">
      <c r="A4490" s="20">
        <v>15572</v>
      </c>
      <c r="B4490" s="2" t="s">
        <v>193</v>
      </c>
      <c r="C4490" s="2" t="s">
        <v>194</v>
      </c>
      <c r="D4490" s="20">
        <v>0</v>
      </c>
      <c r="E4490" s="2" t="s">
        <v>838</v>
      </c>
      <c r="F4490" s="2" t="s">
        <v>793</v>
      </c>
      <c r="G4490" s="2" t="s">
        <v>1161</v>
      </c>
      <c r="H4490" s="2" t="s">
        <v>1161</v>
      </c>
      <c r="J4490" s="26"/>
      <c r="K4490" s="36">
        <v>2.6199999999999999E-6</v>
      </c>
      <c r="L4490" s="23">
        <v>2.6E-7</v>
      </c>
    </row>
    <row r="4491" spans="1:12" ht="15.35" hidden="1" x14ac:dyDescent="0.55000000000000004">
      <c r="A4491" s="20">
        <v>15796</v>
      </c>
      <c r="B4491" s="2" t="s">
        <v>193</v>
      </c>
      <c r="C4491" s="2" t="s">
        <v>194</v>
      </c>
      <c r="D4491" s="20">
        <v>0</v>
      </c>
      <c r="E4491" s="2" t="s">
        <v>838</v>
      </c>
      <c r="F4491" s="2" t="s">
        <v>793</v>
      </c>
      <c r="G4491" s="2" t="s">
        <v>3389</v>
      </c>
      <c r="H4491" s="2" t="s">
        <v>1166</v>
      </c>
      <c r="J4491" s="26"/>
      <c r="K4491" s="36">
        <v>4.0000000000000001E-8</v>
      </c>
      <c r="L4491" s="23">
        <v>0</v>
      </c>
    </row>
    <row r="4492" spans="1:12" ht="15.35" hidden="1" x14ac:dyDescent="0.55000000000000004">
      <c r="A4492" s="20">
        <v>15755</v>
      </c>
      <c r="B4492" s="2" t="s">
        <v>193</v>
      </c>
      <c r="C4492" s="2" t="s">
        <v>194</v>
      </c>
      <c r="D4492" s="20">
        <v>0</v>
      </c>
      <c r="E4492" s="2" t="s">
        <v>838</v>
      </c>
      <c r="F4492" s="2" t="s">
        <v>793</v>
      </c>
      <c r="G4492" s="2" t="s">
        <v>3983</v>
      </c>
      <c r="H4492" s="2" t="s">
        <v>1166</v>
      </c>
      <c r="J4492" s="26"/>
      <c r="K4492" s="36">
        <v>8.0000000000000002E-8</v>
      </c>
      <c r="L4492" s="23">
        <v>1E-8</v>
      </c>
    </row>
    <row r="4493" spans="1:12" ht="15.35" hidden="1" x14ac:dyDescent="0.55000000000000004">
      <c r="A4493" s="20">
        <v>15758</v>
      </c>
      <c r="B4493" s="2" t="s">
        <v>193</v>
      </c>
      <c r="C4493" s="2" t="s">
        <v>194</v>
      </c>
      <c r="D4493" s="20">
        <v>0</v>
      </c>
      <c r="E4493" s="2" t="s">
        <v>838</v>
      </c>
      <c r="F4493" s="2" t="s">
        <v>793</v>
      </c>
      <c r="G4493" s="2" t="s">
        <v>4087</v>
      </c>
      <c r="H4493" s="2" t="s">
        <v>1166</v>
      </c>
      <c r="J4493" s="26"/>
      <c r="K4493" s="36">
        <v>8.0000000000000002E-8</v>
      </c>
      <c r="L4493" s="23">
        <v>1E-8</v>
      </c>
    </row>
    <row r="4494" spans="1:12" ht="15.35" hidden="1" x14ac:dyDescent="0.55000000000000004">
      <c r="A4494" s="20">
        <v>15754</v>
      </c>
      <c r="B4494" s="2" t="s">
        <v>193</v>
      </c>
      <c r="C4494" s="2" t="s">
        <v>194</v>
      </c>
      <c r="D4494" s="20">
        <v>0</v>
      </c>
      <c r="E4494" s="2" t="s">
        <v>838</v>
      </c>
      <c r="F4494" s="2" t="s">
        <v>793</v>
      </c>
      <c r="G4494" s="2" t="s">
        <v>4088</v>
      </c>
      <c r="H4494" s="2" t="s">
        <v>1166</v>
      </c>
      <c r="J4494" s="26"/>
      <c r="K4494" s="36">
        <v>8.0000000000000002E-8</v>
      </c>
      <c r="L4494" s="23">
        <v>1E-8</v>
      </c>
    </row>
    <row r="4495" spans="1:12" ht="15.35" hidden="1" x14ac:dyDescent="0.55000000000000004">
      <c r="A4495" s="20">
        <v>15632</v>
      </c>
      <c r="B4495" s="2" t="s">
        <v>193</v>
      </c>
      <c r="C4495" s="2" t="s">
        <v>194</v>
      </c>
      <c r="D4495" s="20">
        <v>0</v>
      </c>
      <c r="E4495" s="2" t="s">
        <v>838</v>
      </c>
      <c r="F4495" s="2" t="s">
        <v>848</v>
      </c>
      <c r="G4495" s="2" t="s">
        <v>1169</v>
      </c>
      <c r="H4495" s="2" t="s">
        <v>1169</v>
      </c>
      <c r="J4495" s="26"/>
      <c r="K4495" s="36">
        <v>1.2500000000000001E-6</v>
      </c>
      <c r="L4495" s="23">
        <v>1.1999999999999999E-7</v>
      </c>
    </row>
    <row r="4496" spans="1:12" ht="15.35" hidden="1" x14ac:dyDescent="0.55000000000000004">
      <c r="A4496" s="20">
        <v>15581</v>
      </c>
      <c r="B4496" s="2" t="s">
        <v>193</v>
      </c>
      <c r="C4496" s="2" t="s">
        <v>194</v>
      </c>
      <c r="D4496" s="20">
        <v>0</v>
      </c>
      <c r="E4496" s="2" t="s">
        <v>838</v>
      </c>
      <c r="F4496" s="2" t="s">
        <v>793</v>
      </c>
      <c r="G4496" s="2" t="s">
        <v>4328</v>
      </c>
      <c r="H4496" s="2" t="s">
        <v>2513</v>
      </c>
      <c r="J4496" s="26"/>
      <c r="K4496" s="36">
        <v>2.6199999999999999E-6</v>
      </c>
      <c r="L4496" s="23">
        <v>2.6E-7</v>
      </c>
    </row>
    <row r="4497" spans="1:12" ht="15.35" hidden="1" x14ac:dyDescent="0.55000000000000004">
      <c r="A4497" s="20">
        <v>15620</v>
      </c>
      <c r="B4497" s="2" t="s">
        <v>193</v>
      </c>
      <c r="C4497" s="2" t="s">
        <v>194</v>
      </c>
      <c r="D4497" s="20">
        <v>0</v>
      </c>
      <c r="E4497" s="2" t="s">
        <v>838</v>
      </c>
      <c r="F4497" s="2" t="s">
        <v>787</v>
      </c>
      <c r="G4497" s="2" t="s">
        <v>962</v>
      </c>
      <c r="H4497" s="2" t="s">
        <v>962</v>
      </c>
      <c r="J4497" s="26"/>
      <c r="K4497" s="36">
        <v>1.59E-6</v>
      </c>
      <c r="L4497" s="23">
        <v>1.6E-7</v>
      </c>
    </row>
    <row r="4498" spans="1:12" ht="15.35" hidden="1" x14ac:dyDescent="0.55000000000000004">
      <c r="A4498" s="20">
        <v>15576</v>
      </c>
      <c r="B4498" s="2" t="s">
        <v>193</v>
      </c>
      <c r="C4498" s="2" t="s">
        <v>194</v>
      </c>
      <c r="D4498" s="20">
        <v>0</v>
      </c>
      <c r="E4498" s="2" t="s">
        <v>838</v>
      </c>
      <c r="F4498" s="2" t="s">
        <v>848</v>
      </c>
      <c r="G4498" s="2" t="s">
        <v>2532</v>
      </c>
      <c r="H4498" s="2" t="s">
        <v>2532</v>
      </c>
      <c r="J4498" s="26"/>
      <c r="K4498" s="36">
        <v>2.6199999999999999E-6</v>
      </c>
      <c r="L4498" s="23">
        <v>2.6E-7</v>
      </c>
    </row>
    <row r="4499" spans="1:12" ht="15.35" hidden="1" x14ac:dyDescent="0.55000000000000004">
      <c r="A4499" s="20">
        <v>1741</v>
      </c>
      <c r="B4499" s="2" t="s">
        <v>180</v>
      </c>
      <c r="C4499" s="2" t="s">
        <v>181</v>
      </c>
      <c r="D4499" s="20">
        <v>0</v>
      </c>
      <c r="E4499" s="2" t="s">
        <v>63</v>
      </c>
      <c r="F4499" s="2" t="s">
        <v>793</v>
      </c>
      <c r="G4499" s="2" t="s">
        <v>4329</v>
      </c>
      <c r="H4499" s="2" t="s">
        <v>2544</v>
      </c>
      <c r="I4499" s="2" t="s">
        <v>785</v>
      </c>
      <c r="J4499" s="25">
        <v>46922</v>
      </c>
      <c r="K4499" s="36">
        <v>1.54E-2</v>
      </c>
      <c r="L4499" s="23">
        <v>1.5399999999999999E-3</v>
      </c>
    </row>
    <row r="4500" spans="1:12" ht="15.35" hidden="1" x14ac:dyDescent="0.55000000000000004">
      <c r="A4500" s="20">
        <v>1742</v>
      </c>
      <c r="B4500" s="2" t="s">
        <v>180</v>
      </c>
      <c r="C4500" s="2" t="s">
        <v>181</v>
      </c>
      <c r="D4500" s="20">
        <v>0</v>
      </c>
      <c r="E4500" s="2" t="s">
        <v>63</v>
      </c>
      <c r="F4500" s="2" t="s">
        <v>793</v>
      </c>
      <c r="G4500" s="2" t="s">
        <v>4329</v>
      </c>
      <c r="H4500" s="2" t="s">
        <v>2544</v>
      </c>
      <c r="I4500" s="2" t="s">
        <v>785</v>
      </c>
      <c r="J4500" s="25">
        <v>46556</v>
      </c>
      <c r="K4500" s="36">
        <v>6.6E-3</v>
      </c>
      <c r="L4500" s="23">
        <v>6.6E-4</v>
      </c>
    </row>
    <row r="4501" spans="1:12" ht="15.35" hidden="1" x14ac:dyDescent="0.55000000000000004">
      <c r="A4501" s="20">
        <v>1782</v>
      </c>
      <c r="B4501" s="2" t="s">
        <v>180</v>
      </c>
      <c r="C4501" s="2" t="s">
        <v>181</v>
      </c>
      <c r="D4501" s="20">
        <v>0</v>
      </c>
      <c r="E4501" s="2" t="s">
        <v>63</v>
      </c>
      <c r="F4501" s="2" t="s">
        <v>793</v>
      </c>
      <c r="G4501" s="2" t="s">
        <v>4330</v>
      </c>
      <c r="H4501" s="2" t="s">
        <v>2544</v>
      </c>
      <c r="I4501" s="2" t="s">
        <v>785</v>
      </c>
      <c r="J4501" s="25">
        <v>46922</v>
      </c>
      <c r="K4501" s="36">
        <v>6.3E-3</v>
      </c>
      <c r="L4501" s="23">
        <v>6.3000000000000003E-4</v>
      </c>
    </row>
    <row r="4502" spans="1:12" ht="15.35" hidden="1" x14ac:dyDescent="0.55000000000000004">
      <c r="A4502" s="20">
        <v>1783</v>
      </c>
      <c r="B4502" s="2" t="s">
        <v>180</v>
      </c>
      <c r="C4502" s="2" t="s">
        <v>181</v>
      </c>
      <c r="D4502" s="20">
        <v>0</v>
      </c>
      <c r="E4502" s="2" t="s">
        <v>63</v>
      </c>
      <c r="F4502" s="2" t="s">
        <v>793</v>
      </c>
      <c r="G4502" s="2" t="s">
        <v>4330</v>
      </c>
      <c r="H4502" s="2" t="s">
        <v>2544</v>
      </c>
      <c r="I4502" s="2" t="s">
        <v>785</v>
      </c>
      <c r="J4502" s="25">
        <v>46556</v>
      </c>
      <c r="K4502" s="36">
        <v>2.7000000000000001E-3</v>
      </c>
      <c r="L4502" s="23">
        <v>2.7E-4</v>
      </c>
    </row>
    <row r="4503" spans="1:12" ht="15.35" hidden="1" x14ac:dyDescent="0.55000000000000004">
      <c r="A4503" s="20">
        <v>1743</v>
      </c>
      <c r="B4503" s="2" t="s">
        <v>180</v>
      </c>
      <c r="C4503" s="2" t="s">
        <v>181</v>
      </c>
      <c r="D4503" s="20">
        <v>0</v>
      </c>
      <c r="E4503" s="2" t="s">
        <v>63</v>
      </c>
      <c r="F4503" s="2" t="s">
        <v>793</v>
      </c>
      <c r="G4503" s="2" t="s">
        <v>4331</v>
      </c>
      <c r="H4503" s="2" t="s">
        <v>2544</v>
      </c>
      <c r="I4503" s="2" t="s">
        <v>785</v>
      </c>
      <c r="J4503" s="25">
        <v>46922</v>
      </c>
      <c r="K4503" s="36">
        <v>2.52E-2</v>
      </c>
      <c r="L4503" s="23">
        <v>2.5200000000000001E-3</v>
      </c>
    </row>
    <row r="4504" spans="1:12" ht="15.35" hidden="1" x14ac:dyDescent="0.55000000000000004">
      <c r="A4504" s="20">
        <v>1744</v>
      </c>
      <c r="B4504" s="2" t="s">
        <v>180</v>
      </c>
      <c r="C4504" s="2" t="s">
        <v>181</v>
      </c>
      <c r="D4504" s="20">
        <v>0</v>
      </c>
      <c r="E4504" s="2" t="s">
        <v>63</v>
      </c>
      <c r="F4504" s="2" t="s">
        <v>793</v>
      </c>
      <c r="G4504" s="2" t="s">
        <v>4331</v>
      </c>
      <c r="H4504" s="2" t="s">
        <v>2544</v>
      </c>
      <c r="I4504" s="2" t="s">
        <v>785</v>
      </c>
      <c r="J4504" s="25">
        <v>46556</v>
      </c>
      <c r="K4504" s="36">
        <v>1.0800000000000001E-2</v>
      </c>
      <c r="L4504" s="23">
        <v>1.08E-3</v>
      </c>
    </row>
    <row r="4505" spans="1:12" ht="15.35" hidden="1" x14ac:dyDescent="0.55000000000000004">
      <c r="A4505" s="20">
        <v>1737</v>
      </c>
      <c r="B4505" s="2" t="s">
        <v>180</v>
      </c>
      <c r="C4505" s="2" t="s">
        <v>181</v>
      </c>
      <c r="D4505" s="20">
        <v>0</v>
      </c>
      <c r="E4505" s="2" t="s">
        <v>63</v>
      </c>
      <c r="F4505" s="2" t="s">
        <v>793</v>
      </c>
      <c r="G4505" s="2" t="s">
        <v>4332</v>
      </c>
      <c r="H4505" s="2" t="s">
        <v>2544</v>
      </c>
      <c r="I4505" s="2" t="s">
        <v>785</v>
      </c>
      <c r="J4505" s="25">
        <v>46922</v>
      </c>
      <c r="K4505" s="36">
        <v>1.26E-2</v>
      </c>
      <c r="L4505" s="23">
        <v>1.2600000000000001E-3</v>
      </c>
    </row>
    <row r="4506" spans="1:12" ht="15.35" hidden="1" x14ac:dyDescent="0.55000000000000004">
      <c r="A4506" s="20">
        <v>1739</v>
      </c>
      <c r="B4506" s="2" t="s">
        <v>180</v>
      </c>
      <c r="C4506" s="2" t="s">
        <v>181</v>
      </c>
      <c r="D4506" s="20">
        <v>0</v>
      </c>
      <c r="E4506" s="2" t="s">
        <v>63</v>
      </c>
      <c r="F4506" s="2" t="s">
        <v>793</v>
      </c>
      <c r="G4506" s="2" t="s">
        <v>4332</v>
      </c>
      <c r="H4506" s="2" t="s">
        <v>2544</v>
      </c>
      <c r="I4506" s="2" t="s">
        <v>785</v>
      </c>
      <c r="J4506" s="25">
        <v>46556</v>
      </c>
      <c r="K4506" s="36">
        <v>5.4000000000000003E-3</v>
      </c>
      <c r="L4506" s="23">
        <v>5.4000000000000001E-4</v>
      </c>
    </row>
    <row r="4507" spans="1:12" ht="15.35" hidden="1" x14ac:dyDescent="0.55000000000000004">
      <c r="A4507" s="20">
        <v>1740</v>
      </c>
      <c r="B4507" s="2" t="s">
        <v>180</v>
      </c>
      <c r="C4507" s="2" t="s">
        <v>181</v>
      </c>
      <c r="D4507" s="20">
        <v>0</v>
      </c>
      <c r="E4507" s="2" t="s">
        <v>63</v>
      </c>
      <c r="F4507" s="2" t="s">
        <v>793</v>
      </c>
      <c r="G4507" s="2" t="s">
        <v>4333</v>
      </c>
      <c r="H4507" s="2" t="s">
        <v>2544</v>
      </c>
      <c r="I4507" s="2" t="s">
        <v>785</v>
      </c>
      <c r="J4507" s="25">
        <v>46556</v>
      </c>
      <c r="K4507" s="36">
        <v>9.5999999999999992E-3</v>
      </c>
      <c r="L4507" s="23">
        <v>9.6000000000000002E-4</v>
      </c>
    </row>
    <row r="4508" spans="1:12" ht="15.35" hidden="1" x14ac:dyDescent="0.55000000000000004">
      <c r="A4508" s="20">
        <v>1747</v>
      </c>
      <c r="B4508" s="2" t="s">
        <v>180</v>
      </c>
      <c r="C4508" s="2" t="s">
        <v>181</v>
      </c>
      <c r="D4508" s="20">
        <v>0</v>
      </c>
      <c r="E4508" s="2" t="s">
        <v>63</v>
      </c>
      <c r="F4508" s="2" t="s">
        <v>793</v>
      </c>
      <c r="G4508" s="2" t="s">
        <v>4333</v>
      </c>
      <c r="H4508" s="2" t="s">
        <v>2544</v>
      </c>
      <c r="I4508" s="2" t="s">
        <v>785</v>
      </c>
      <c r="J4508" s="25">
        <v>46922</v>
      </c>
      <c r="K4508" s="36">
        <v>2.24E-2</v>
      </c>
      <c r="L4508" s="23">
        <v>2.2399999999999998E-3</v>
      </c>
    </row>
    <row r="4509" spans="1:12" ht="15.35" hidden="1" x14ac:dyDescent="0.55000000000000004">
      <c r="A4509" s="20">
        <v>1745</v>
      </c>
      <c r="B4509" s="2" t="s">
        <v>180</v>
      </c>
      <c r="C4509" s="2" t="s">
        <v>181</v>
      </c>
      <c r="D4509" s="20">
        <v>0</v>
      </c>
      <c r="E4509" s="2" t="s">
        <v>63</v>
      </c>
      <c r="F4509" s="2" t="s">
        <v>793</v>
      </c>
      <c r="G4509" s="2" t="s">
        <v>4334</v>
      </c>
      <c r="H4509" s="2" t="s">
        <v>2544</v>
      </c>
      <c r="I4509" s="2" t="s">
        <v>785</v>
      </c>
      <c r="J4509" s="25">
        <v>46922</v>
      </c>
      <c r="K4509" s="36">
        <v>0.105</v>
      </c>
      <c r="L4509" s="23">
        <v>1.0500000000000001E-2</v>
      </c>
    </row>
    <row r="4510" spans="1:12" ht="15.35" hidden="1" x14ac:dyDescent="0.55000000000000004">
      <c r="A4510" s="20">
        <v>1746</v>
      </c>
      <c r="B4510" s="2" t="s">
        <v>180</v>
      </c>
      <c r="C4510" s="2" t="s">
        <v>181</v>
      </c>
      <c r="D4510" s="20">
        <v>0</v>
      </c>
      <c r="E4510" s="2" t="s">
        <v>63</v>
      </c>
      <c r="F4510" s="2" t="s">
        <v>793</v>
      </c>
      <c r="G4510" s="2" t="s">
        <v>4334</v>
      </c>
      <c r="H4510" s="2" t="s">
        <v>2544</v>
      </c>
      <c r="I4510" s="2" t="s">
        <v>785</v>
      </c>
      <c r="J4510" s="25">
        <v>46556</v>
      </c>
      <c r="K4510" s="36">
        <v>4.4999999999999998E-2</v>
      </c>
      <c r="L4510" s="23">
        <v>4.4999999999999997E-3</v>
      </c>
    </row>
    <row r="4511" spans="1:12" ht="15.35" hidden="1" x14ac:dyDescent="0.55000000000000004">
      <c r="A4511" s="20">
        <v>1735</v>
      </c>
      <c r="B4511" s="2" t="s">
        <v>180</v>
      </c>
      <c r="C4511" s="2" t="s">
        <v>181</v>
      </c>
      <c r="D4511" s="20">
        <v>0</v>
      </c>
      <c r="E4511" s="2" t="s">
        <v>63</v>
      </c>
      <c r="F4511" s="2" t="s">
        <v>793</v>
      </c>
      <c r="G4511" s="2" t="s">
        <v>4335</v>
      </c>
      <c r="H4511" s="2" t="s">
        <v>2544</v>
      </c>
      <c r="I4511" s="2" t="s">
        <v>785</v>
      </c>
      <c r="J4511" s="25">
        <v>46922</v>
      </c>
      <c r="K4511" s="36">
        <v>6.3E-3</v>
      </c>
      <c r="L4511" s="23">
        <v>6.3000000000000003E-4</v>
      </c>
    </row>
    <row r="4512" spans="1:12" ht="15.35" hidden="1" x14ac:dyDescent="0.55000000000000004">
      <c r="A4512" s="20">
        <v>1736</v>
      </c>
      <c r="B4512" s="2" t="s">
        <v>180</v>
      </c>
      <c r="C4512" s="2" t="s">
        <v>181</v>
      </c>
      <c r="D4512" s="20">
        <v>0</v>
      </c>
      <c r="E4512" s="2" t="s">
        <v>63</v>
      </c>
      <c r="F4512" s="2" t="s">
        <v>793</v>
      </c>
      <c r="G4512" s="2" t="s">
        <v>4335</v>
      </c>
      <c r="H4512" s="2" t="s">
        <v>2544</v>
      </c>
      <c r="I4512" s="2" t="s">
        <v>785</v>
      </c>
      <c r="J4512" s="25">
        <v>46556</v>
      </c>
      <c r="K4512" s="36">
        <v>2.7000000000000001E-3</v>
      </c>
      <c r="L4512" s="23">
        <v>2.7E-4</v>
      </c>
    </row>
    <row r="4513" spans="1:12" ht="15.35" hidden="1" x14ac:dyDescent="0.55000000000000004">
      <c r="A4513" s="20">
        <v>1730</v>
      </c>
      <c r="B4513" s="2" t="s">
        <v>180</v>
      </c>
      <c r="C4513" s="2" t="s">
        <v>181</v>
      </c>
      <c r="D4513" s="20">
        <v>0</v>
      </c>
      <c r="E4513" s="2" t="s">
        <v>63</v>
      </c>
      <c r="F4513" s="2" t="s">
        <v>793</v>
      </c>
      <c r="G4513" s="2" t="s">
        <v>4336</v>
      </c>
      <c r="H4513" s="2" t="s">
        <v>2544</v>
      </c>
      <c r="I4513" s="2" t="s">
        <v>785</v>
      </c>
      <c r="J4513" s="25">
        <v>46922</v>
      </c>
      <c r="K4513" s="36">
        <v>0.105</v>
      </c>
      <c r="L4513" s="23">
        <v>1.0500000000000001E-2</v>
      </c>
    </row>
    <row r="4514" spans="1:12" ht="15.35" hidden="1" x14ac:dyDescent="0.55000000000000004">
      <c r="A4514" s="20">
        <v>1738</v>
      </c>
      <c r="B4514" s="2" t="s">
        <v>180</v>
      </c>
      <c r="C4514" s="2" t="s">
        <v>181</v>
      </c>
      <c r="D4514" s="20">
        <v>0</v>
      </c>
      <c r="E4514" s="2" t="s">
        <v>63</v>
      </c>
      <c r="F4514" s="2" t="s">
        <v>793</v>
      </c>
      <c r="G4514" s="2" t="s">
        <v>4336</v>
      </c>
      <c r="H4514" s="2" t="s">
        <v>2544</v>
      </c>
      <c r="I4514" s="2" t="s">
        <v>785</v>
      </c>
      <c r="J4514" s="25">
        <v>46556</v>
      </c>
      <c r="K4514" s="36">
        <v>4.4999999999999998E-2</v>
      </c>
      <c r="L4514" s="23">
        <v>4.4999999999999997E-3</v>
      </c>
    </row>
    <row r="4515" spans="1:12" ht="15.35" hidden="1" x14ac:dyDescent="0.55000000000000004">
      <c r="A4515" s="20">
        <v>1721</v>
      </c>
      <c r="B4515" s="2" t="s">
        <v>180</v>
      </c>
      <c r="C4515" s="2" t="s">
        <v>181</v>
      </c>
      <c r="D4515" s="20">
        <v>0</v>
      </c>
      <c r="E4515" s="2" t="s">
        <v>63</v>
      </c>
      <c r="F4515" s="2" t="s">
        <v>793</v>
      </c>
      <c r="G4515" s="2" t="s">
        <v>4337</v>
      </c>
      <c r="H4515" s="2" t="s">
        <v>2544</v>
      </c>
      <c r="I4515" s="2" t="s">
        <v>785</v>
      </c>
      <c r="J4515" s="25">
        <v>46922</v>
      </c>
      <c r="K4515" s="36">
        <v>6.3E-3</v>
      </c>
      <c r="L4515" s="23">
        <v>6.3000000000000003E-4</v>
      </c>
    </row>
    <row r="4516" spans="1:12" ht="15.35" hidden="1" x14ac:dyDescent="0.55000000000000004">
      <c r="A4516" s="20">
        <v>1727</v>
      </c>
      <c r="B4516" s="2" t="s">
        <v>180</v>
      </c>
      <c r="C4516" s="2" t="s">
        <v>181</v>
      </c>
      <c r="D4516" s="20">
        <v>0</v>
      </c>
      <c r="E4516" s="2" t="s">
        <v>63</v>
      </c>
      <c r="F4516" s="2" t="s">
        <v>793</v>
      </c>
      <c r="G4516" s="2" t="s">
        <v>4337</v>
      </c>
      <c r="H4516" s="2" t="s">
        <v>2544</v>
      </c>
      <c r="I4516" s="2" t="s">
        <v>785</v>
      </c>
      <c r="J4516" s="25">
        <v>46556</v>
      </c>
      <c r="K4516" s="36">
        <v>2.7000000000000001E-3</v>
      </c>
      <c r="L4516" s="23">
        <v>2.7E-4</v>
      </c>
    </row>
    <row r="4517" spans="1:12" ht="15.35" hidden="1" x14ac:dyDescent="0.55000000000000004">
      <c r="A4517" s="20">
        <v>1733</v>
      </c>
      <c r="B4517" s="2" t="s">
        <v>180</v>
      </c>
      <c r="C4517" s="2" t="s">
        <v>181</v>
      </c>
      <c r="D4517" s="20">
        <v>0</v>
      </c>
      <c r="E4517" s="2" t="s">
        <v>63</v>
      </c>
      <c r="F4517" s="2" t="s">
        <v>793</v>
      </c>
      <c r="G4517" s="2" t="s">
        <v>4338</v>
      </c>
      <c r="H4517" s="2" t="s">
        <v>2544</v>
      </c>
      <c r="I4517" s="2" t="s">
        <v>785</v>
      </c>
      <c r="J4517" s="25">
        <v>46922</v>
      </c>
      <c r="K4517" s="36">
        <v>1.89E-2</v>
      </c>
      <c r="L4517" s="23">
        <v>1.89E-3</v>
      </c>
    </row>
    <row r="4518" spans="1:12" ht="15.35" hidden="1" x14ac:dyDescent="0.55000000000000004">
      <c r="A4518" s="20">
        <v>1734</v>
      </c>
      <c r="B4518" s="2" t="s">
        <v>180</v>
      </c>
      <c r="C4518" s="2" t="s">
        <v>181</v>
      </c>
      <c r="D4518" s="20">
        <v>0</v>
      </c>
      <c r="E4518" s="2" t="s">
        <v>63</v>
      </c>
      <c r="F4518" s="2" t="s">
        <v>793</v>
      </c>
      <c r="G4518" s="2" t="s">
        <v>4338</v>
      </c>
      <c r="H4518" s="2" t="s">
        <v>2544</v>
      </c>
      <c r="I4518" s="2" t="s">
        <v>785</v>
      </c>
      <c r="J4518" s="25">
        <v>46556</v>
      </c>
      <c r="K4518" s="36">
        <v>8.0999999999999996E-3</v>
      </c>
      <c r="L4518" s="23">
        <v>8.0999999999999996E-4</v>
      </c>
    </row>
    <row r="4519" spans="1:12" ht="15.35" hidden="1" x14ac:dyDescent="0.55000000000000004">
      <c r="A4519" s="20">
        <v>1784</v>
      </c>
      <c r="B4519" s="2" t="s">
        <v>180</v>
      </c>
      <c r="C4519" s="2" t="s">
        <v>181</v>
      </c>
      <c r="D4519" s="20">
        <v>0</v>
      </c>
      <c r="E4519" s="2" t="s">
        <v>63</v>
      </c>
      <c r="F4519" s="2" t="s">
        <v>793</v>
      </c>
      <c r="G4519" s="2" t="s">
        <v>4339</v>
      </c>
      <c r="H4519" s="2" t="s">
        <v>2544</v>
      </c>
      <c r="I4519" s="2" t="s">
        <v>785</v>
      </c>
      <c r="J4519" s="25">
        <v>46922</v>
      </c>
      <c r="K4519" s="36">
        <v>6.3E-3</v>
      </c>
      <c r="L4519" s="23">
        <v>6.3000000000000003E-4</v>
      </c>
    </row>
    <row r="4520" spans="1:12" ht="15.35" hidden="1" x14ac:dyDescent="0.55000000000000004">
      <c r="A4520" s="20">
        <v>1785</v>
      </c>
      <c r="B4520" s="2" t="s">
        <v>180</v>
      </c>
      <c r="C4520" s="2" t="s">
        <v>181</v>
      </c>
      <c r="D4520" s="20">
        <v>0</v>
      </c>
      <c r="E4520" s="2" t="s">
        <v>63</v>
      </c>
      <c r="F4520" s="2" t="s">
        <v>793</v>
      </c>
      <c r="G4520" s="2" t="s">
        <v>4339</v>
      </c>
      <c r="H4520" s="2" t="s">
        <v>2544</v>
      </c>
      <c r="I4520" s="2" t="s">
        <v>785</v>
      </c>
      <c r="J4520" s="25">
        <v>46556</v>
      </c>
      <c r="K4520" s="36">
        <v>2.7000000000000001E-3</v>
      </c>
      <c r="L4520" s="23">
        <v>2.7E-4</v>
      </c>
    </row>
    <row r="4521" spans="1:12" ht="15.35" hidden="1" x14ac:dyDescent="0.55000000000000004">
      <c r="A4521" s="20">
        <v>1719</v>
      </c>
      <c r="B4521" s="2" t="s">
        <v>180</v>
      </c>
      <c r="C4521" s="2" t="s">
        <v>181</v>
      </c>
      <c r="D4521" s="20">
        <v>0</v>
      </c>
      <c r="E4521" s="2" t="s">
        <v>63</v>
      </c>
      <c r="F4521" s="2" t="s">
        <v>793</v>
      </c>
      <c r="G4521" s="2" t="s">
        <v>4340</v>
      </c>
      <c r="H4521" s="2" t="s">
        <v>2544</v>
      </c>
      <c r="I4521" s="2" t="s">
        <v>785</v>
      </c>
      <c r="J4521" s="25">
        <v>46556</v>
      </c>
      <c r="K4521" s="36">
        <v>2.7000000000000001E-3</v>
      </c>
      <c r="L4521" s="23">
        <v>2.7E-4</v>
      </c>
    </row>
    <row r="4522" spans="1:12" ht="15.35" hidden="1" x14ac:dyDescent="0.55000000000000004">
      <c r="A4522" s="20">
        <v>1732</v>
      </c>
      <c r="B4522" s="2" t="s">
        <v>180</v>
      </c>
      <c r="C4522" s="2" t="s">
        <v>181</v>
      </c>
      <c r="D4522" s="20">
        <v>0</v>
      </c>
      <c r="E4522" s="2" t="s">
        <v>63</v>
      </c>
      <c r="F4522" s="2" t="s">
        <v>793</v>
      </c>
      <c r="G4522" s="2" t="s">
        <v>4340</v>
      </c>
      <c r="H4522" s="2" t="s">
        <v>2544</v>
      </c>
      <c r="I4522" s="2" t="s">
        <v>785</v>
      </c>
      <c r="J4522" s="25">
        <v>46922</v>
      </c>
      <c r="K4522" s="36">
        <v>6.3E-3</v>
      </c>
      <c r="L4522" s="23">
        <v>6.3000000000000003E-4</v>
      </c>
    </row>
    <row r="4523" spans="1:12" ht="15.35" hidden="1" x14ac:dyDescent="0.55000000000000004">
      <c r="A4523" s="20">
        <v>1695</v>
      </c>
      <c r="B4523" s="2" t="s">
        <v>180</v>
      </c>
      <c r="C4523" s="2" t="s">
        <v>181</v>
      </c>
      <c r="D4523" s="20">
        <v>0</v>
      </c>
      <c r="E4523" s="2" t="s">
        <v>63</v>
      </c>
      <c r="F4523" s="2" t="s">
        <v>811</v>
      </c>
      <c r="G4523" s="2" t="s">
        <v>4341</v>
      </c>
      <c r="H4523" s="2" t="s">
        <v>964</v>
      </c>
      <c r="I4523" s="2" t="s">
        <v>785</v>
      </c>
      <c r="J4523" s="25">
        <v>46922</v>
      </c>
      <c r="K4523" s="36">
        <v>2.3099999999999999E-2</v>
      </c>
      <c r="L4523" s="23">
        <v>2.31E-3</v>
      </c>
    </row>
    <row r="4524" spans="1:12" ht="15.35" hidden="1" x14ac:dyDescent="0.55000000000000004">
      <c r="A4524" s="20">
        <v>1708</v>
      </c>
      <c r="B4524" s="2" t="s">
        <v>180</v>
      </c>
      <c r="C4524" s="2" t="s">
        <v>181</v>
      </c>
      <c r="D4524" s="20">
        <v>0</v>
      </c>
      <c r="E4524" s="2" t="s">
        <v>63</v>
      </c>
      <c r="F4524" s="2" t="s">
        <v>811</v>
      </c>
      <c r="G4524" s="2" t="s">
        <v>4341</v>
      </c>
      <c r="H4524" s="2" t="s">
        <v>964</v>
      </c>
      <c r="I4524" s="2" t="s">
        <v>785</v>
      </c>
      <c r="J4524" s="25">
        <v>46556</v>
      </c>
      <c r="K4524" s="36">
        <v>9.9000000000000008E-3</v>
      </c>
      <c r="L4524" s="23">
        <v>9.8999999999999999E-4</v>
      </c>
    </row>
    <row r="4525" spans="1:12" ht="15.35" hidden="1" x14ac:dyDescent="0.55000000000000004">
      <c r="A4525" s="20">
        <v>1710</v>
      </c>
      <c r="B4525" s="2" t="s">
        <v>180</v>
      </c>
      <c r="C4525" s="2" t="s">
        <v>181</v>
      </c>
      <c r="D4525" s="20">
        <v>0</v>
      </c>
      <c r="E4525" s="2" t="s">
        <v>63</v>
      </c>
      <c r="F4525" s="2" t="s">
        <v>787</v>
      </c>
      <c r="G4525" s="2" t="s">
        <v>1007</v>
      </c>
      <c r="H4525" s="2" t="s">
        <v>1007</v>
      </c>
      <c r="I4525" s="2" t="s">
        <v>785</v>
      </c>
      <c r="J4525" s="25">
        <v>46556</v>
      </c>
      <c r="K4525" s="36">
        <v>9.9000000000000008E-3</v>
      </c>
      <c r="L4525" s="23">
        <v>9.8999999999999999E-4</v>
      </c>
    </row>
    <row r="4526" spans="1:12" ht="15.35" hidden="1" x14ac:dyDescent="0.55000000000000004">
      <c r="A4526" s="20">
        <v>1748</v>
      </c>
      <c r="B4526" s="2" t="s">
        <v>180</v>
      </c>
      <c r="C4526" s="2" t="s">
        <v>181</v>
      </c>
      <c r="D4526" s="20">
        <v>0</v>
      </c>
      <c r="E4526" s="2" t="s">
        <v>63</v>
      </c>
      <c r="F4526" s="2" t="s">
        <v>787</v>
      </c>
      <c r="G4526" s="2" t="s">
        <v>1007</v>
      </c>
      <c r="H4526" s="2" t="s">
        <v>1007</v>
      </c>
      <c r="I4526" s="2" t="s">
        <v>785</v>
      </c>
      <c r="J4526" s="25">
        <v>46922</v>
      </c>
      <c r="K4526" s="36">
        <v>2.3099999999999999E-2</v>
      </c>
      <c r="L4526" s="23">
        <v>2.31E-3</v>
      </c>
    </row>
    <row r="4527" spans="1:12" ht="15.35" hidden="1" x14ac:dyDescent="0.55000000000000004">
      <c r="A4527" s="20">
        <v>1725</v>
      </c>
      <c r="B4527" s="2" t="s">
        <v>180</v>
      </c>
      <c r="C4527" s="2" t="s">
        <v>181</v>
      </c>
      <c r="D4527" s="20">
        <v>0</v>
      </c>
      <c r="E4527" s="2" t="s">
        <v>63</v>
      </c>
      <c r="F4527" s="2" t="s">
        <v>787</v>
      </c>
      <c r="G4527" s="2" t="s">
        <v>1207</v>
      </c>
      <c r="H4527" s="2" t="s">
        <v>1207</v>
      </c>
      <c r="I4527" s="2" t="s">
        <v>785</v>
      </c>
      <c r="J4527" s="25">
        <v>46922</v>
      </c>
      <c r="K4527" s="36">
        <v>2.1000000000000001E-2</v>
      </c>
      <c r="L4527" s="23">
        <v>2.0999999999999999E-3</v>
      </c>
    </row>
    <row r="4528" spans="1:12" ht="15.35" hidden="1" x14ac:dyDescent="0.55000000000000004">
      <c r="A4528" s="20">
        <v>1726</v>
      </c>
      <c r="B4528" s="2" t="s">
        <v>180</v>
      </c>
      <c r="C4528" s="2" t="s">
        <v>181</v>
      </c>
      <c r="D4528" s="20">
        <v>0</v>
      </c>
      <c r="E4528" s="2" t="s">
        <v>63</v>
      </c>
      <c r="F4528" s="2" t="s">
        <v>787</v>
      </c>
      <c r="G4528" s="2" t="s">
        <v>1207</v>
      </c>
      <c r="H4528" s="2" t="s">
        <v>1207</v>
      </c>
      <c r="I4528" s="2" t="s">
        <v>785</v>
      </c>
      <c r="J4528" s="25">
        <v>46556</v>
      </c>
      <c r="K4528" s="36">
        <v>8.9999999999999993E-3</v>
      </c>
      <c r="L4528" s="23">
        <v>8.9999999999999998E-4</v>
      </c>
    </row>
    <row r="4529" spans="1:12" ht="15.35" hidden="1" x14ac:dyDescent="0.55000000000000004">
      <c r="A4529" s="20">
        <v>1676</v>
      </c>
      <c r="B4529" s="2" t="s">
        <v>180</v>
      </c>
      <c r="C4529" s="2" t="s">
        <v>181</v>
      </c>
      <c r="D4529" s="20">
        <v>0</v>
      </c>
      <c r="E4529" s="2" t="s">
        <v>63</v>
      </c>
      <c r="F4529" s="2" t="s">
        <v>793</v>
      </c>
      <c r="G4529" s="2" t="s">
        <v>4342</v>
      </c>
      <c r="H4529" s="2" t="s">
        <v>1207</v>
      </c>
      <c r="I4529" s="2" t="s">
        <v>785</v>
      </c>
      <c r="J4529" s="25">
        <v>46922</v>
      </c>
      <c r="K4529" s="36">
        <v>1.0500000000000001E-2</v>
      </c>
      <c r="L4529" s="23">
        <v>1.0499999999999999E-3</v>
      </c>
    </row>
    <row r="4530" spans="1:12" ht="15.35" hidden="1" x14ac:dyDescent="0.55000000000000004">
      <c r="A4530" s="20">
        <v>1722</v>
      </c>
      <c r="B4530" s="2" t="s">
        <v>180</v>
      </c>
      <c r="C4530" s="2" t="s">
        <v>181</v>
      </c>
      <c r="D4530" s="20">
        <v>0</v>
      </c>
      <c r="E4530" s="2" t="s">
        <v>63</v>
      </c>
      <c r="F4530" s="2" t="s">
        <v>793</v>
      </c>
      <c r="G4530" s="2" t="s">
        <v>4342</v>
      </c>
      <c r="H4530" s="2" t="s">
        <v>1207</v>
      </c>
      <c r="I4530" s="2" t="s">
        <v>785</v>
      </c>
      <c r="J4530" s="25">
        <v>46556</v>
      </c>
      <c r="K4530" s="36">
        <v>4.4999999999999997E-3</v>
      </c>
      <c r="L4530" s="23">
        <v>4.4999999999999999E-4</v>
      </c>
    </row>
    <row r="4531" spans="1:12" ht="15.35" hidden="1" x14ac:dyDescent="0.55000000000000004">
      <c r="A4531" s="20">
        <v>1723</v>
      </c>
      <c r="B4531" s="2" t="s">
        <v>180</v>
      </c>
      <c r="C4531" s="2" t="s">
        <v>181</v>
      </c>
      <c r="D4531" s="20">
        <v>0</v>
      </c>
      <c r="E4531" s="2" t="s">
        <v>63</v>
      </c>
      <c r="F4531" s="2" t="s">
        <v>793</v>
      </c>
      <c r="G4531" s="2" t="s">
        <v>4343</v>
      </c>
      <c r="H4531" s="2" t="s">
        <v>1207</v>
      </c>
      <c r="I4531" s="2" t="s">
        <v>785</v>
      </c>
      <c r="J4531" s="25">
        <v>46922</v>
      </c>
      <c r="K4531" s="36">
        <v>1.0500000000000001E-2</v>
      </c>
      <c r="L4531" s="23">
        <v>1.0499999999999999E-3</v>
      </c>
    </row>
    <row r="4532" spans="1:12" ht="15.35" hidden="1" x14ac:dyDescent="0.55000000000000004">
      <c r="A4532" s="20">
        <v>1724</v>
      </c>
      <c r="B4532" s="2" t="s">
        <v>180</v>
      </c>
      <c r="C4532" s="2" t="s">
        <v>181</v>
      </c>
      <c r="D4532" s="20">
        <v>0</v>
      </c>
      <c r="E4532" s="2" t="s">
        <v>63</v>
      </c>
      <c r="F4532" s="2" t="s">
        <v>793</v>
      </c>
      <c r="G4532" s="2" t="s">
        <v>4343</v>
      </c>
      <c r="H4532" s="2" t="s">
        <v>1207</v>
      </c>
      <c r="I4532" s="2" t="s">
        <v>785</v>
      </c>
      <c r="J4532" s="25">
        <v>46556</v>
      </c>
      <c r="K4532" s="36">
        <v>4.4999999999999997E-3</v>
      </c>
      <c r="L4532" s="23">
        <v>4.4999999999999999E-4</v>
      </c>
    </row>
    <row r="4533" spans="1:12" ht="15.35" hidden="1" x14ac:dyDescent="0.55000000000000004">
      <c r="A4533" s="20">
        <v>1715</v>
      </c>
      <c r="B4533" s="2" t="s">
        <v>180</v>
      </c>
      <c r="C4533" s="2" t="s">
        <v>181</v>
      </c>
      <c r="D4533" s="20">
        <v>0</v>
      </c>
      <c r="E4533" s="2" t="s">
        <v>63</v>
      </c>
      <c r="F4533" s="2" t="s">
        <v>787</v>
      </c>
      <c r="G4533" s="2" t="s">
        <v>788</v>
      </c>
      <c r="H4533" s="2" t="s">
        <v>788</v>
      </c>
      <c r="I4533" s="2" t="s">
        <v>785</v>
      </c>
      <c r="J4533" s="25">
        <v>46556</v>
      </c>
      <c r="K4533" s="36">
        <v>1.7999999999999999E-2</v>
      </c>
      <c r="L4533" s="23">
        <v>1.8E-3</v>
      </c>
    </row>
    <row r="4534" spans="1:12" ht="15.35" hidden="1" x14ac:dyDescent="0.55000000000000004">
      <c r="A4534" s="20">
        <v>1716</v>
      </c>
      <c r="B4534" s="2" t="s">
        <v>180</v>
      </c>
      <c r="C4534" s="2" t="s">
        <v>181</v>
      </c>
      <c r="D4534" s="20">
        <v>0</v>
      </c>
      <c r="E4534" s="2" t="s">
        <v>63</v>
      </c>
      <c r="F4534" s="2" t="s">
        <v>787</v>
      </c>
      <c r="G4534" s="2" t="s">
        <v>788</v>
      </c>
      <c r="H4534" s="2" t="s">
        <v>788</v>
      </c>
      <c r="I4534" s="2" t="s">
        <v>785</v>
      </c>
      <c r="J4534" s="25">
        <v>46922</v>
      </c>
      <c r="K4534" s="36">
        <v>4.2000000000000003E-2</v>
      </c>
      <c r="L4534" s="23">
        <v>4.1999999999999997E-3</v>
      </c>
    </row>
    <row r="4535" spans="1:12" ht="15.35" hidden="1" x14ac:dyDescent="0.55000000000000004">
      <c r="A4535" s="20">
        <v>1728</v>
      </c>
      <c r="B4535" s="2" t="s">
        <v>180</v>
      </c>
      <c r="C4535" s="2" t="s">
        <v>181</v>
      </c>
      <c r="D4535" s="20">
        <v>0</v>
      </c>
      <c r="E4535" s="2" t="s">
        <v>63</v>
      </c>
      <c r="F4535" s="2" t="s">
        <v>789</v>
      </c>
      <c r="G4535" s="2" t="s">
        <v>4344</v>
      </c>
      <c r="H4535" s="2" t="s">
        <v>4344</v>
      </c>
      <c r="I4535" s="2" t="s">
        <v>785</v>
      </c>
      <c r="J4535" s="25">
        <v>46922</v>
      </c>
      <c r="K4535" s="36">
        <v>7.0000000000000007E-2</v>
      </c>
      <c r="L4535" s="23">
        <v>7.0000000000000001E-3</v>
      </c>
    </row>
    <row r="4536" spans="1:12" ht="15.35" hidden="1" x14ac:dyDescent="0.55000000000000004">
      <c r="A4536" s="20">
        <v>1749</v>
      </c>
      <c r="B4536" s="2" t="s">
        <v>180</v>
      </c>
      <c r="C4536" s="2" t="s">
        <v>181</v>
      </c>
      <c r="D4536" s="20">
        <v>0</v>
      </c>
      <c r="E4536" s="2" t="s">
        <v>63</v>
      </c>
      <c r="F4536" s="2" t="s">
        <v>789</v>
      </c>
      <c r="G4536" s="2" t="s">
        <v>4344</v>
      </c>
      <c r="H4536" s="2" t="s">
        <v>4344</v>
      </c>
      <c r="I4536" s="2" t="s">
        <v>785</v>
      </c>
      <c r="J4536" s="25">
        <v>46556</v>
      </c>
      <c r="K4536" s="36">
        <v>0.03</v>
      </c>
      <c r="L4536" s="23">
        <v>3.0000000000000001E-3</v>
      </c>
    </row>
    <row r="4537" spans="1:12" ht="15.35" hidden="1" x14ac:dyDescent="0.55000000000000004">
      <c r="A4537" s="20">
        <v>1717</v>
      </c>
      <c r="B4537" s="2" t="s">
        <v>180</v>
      </c>
      <c r="C4537" s="2" t="s">
        <v>181</v>
      </c>
      <c r="D4537" s="20">
        <v>0</v>
      </c>
      <c r="E4537" s="2" t="s">
        <v>63</v>
      </c>
      <c r="F4537" s="2" t="s">
        <v>787</v>
      </c>
      <c r="G4537" s="2" t="s">
        <v>892</v>
      </c>
      <c r="H4537" s="2" t="s">
        <v>892</v>
      </c>
      <c r="I4537" s="2" t="s">
        <v>785</v>
      </c>
      <c r="J4537" s="25">
        <v>46556</v>
      </c>
      <c r="K4537" s="36">
        <v>1.7999999999999999E-2</v>
      </c>
      <c r="L4537" s="23">
        <v>1.8E-3</v>
      </c>
    </row>
    <row r="4538" spans="1:12" ht="15.35" hidden="1" x14ac:dyDescent="0.55000000000000004">
      <c r="A4538" s="20">
        <v>1786</v>
      </c>
      <c r="B4538" s="2" t="s">
        <v>180</v>
      </c>
      <c r="C4538" s="2" t="s">
        <v>181</v>
      </c>
      <c r="D4538" s="20">
        <v>0</v>
      </c>
      <c r="E4538" s="2" t="s">
        <v>63</v>
      </c>
      <c r="F4538" s="2" t="s">
        <v>787</v>
      </c>
      <c r="G4538" s="2" t="s">
        <v>892</v>
      </c>
      <c r="H4538" s="2" t="s">
        <v>892</v>
      </c>
      <c r="I4538" s="2" t="s">
        <v>785</v>
      </c>
      <c r="J4538" s="25">
        <v>46922</v>
      </c>
      <c r="K4538" s="36">
        <v>4.2000000000000003E-2</v>
      </c>
      <c r="L4538" s="23">
        <v>4.1999999999999997E-3</v>
      </c>
    </row>
    <row r="4539" spans="1:12" ht="15.35" hidden="1" x14ac:dyDescent="0.55000000000000004">
      <c r="A4539" s="20">
        <v>1765</v>
      </c>
      <c r="B4539" s="2" t="s">
        <v>180</v>
      </c>
      <c r="C4539" s="2" t="s">
        <v>181</v>
      </c>
      <c r="D4539" s="20">
        <v>0</v>
      </c>
      <c r="E4539" s="2" t="s">
        <v>63</v>
      </c>
      <c r="F4539" s="2" t="s">
        <v>787</v>
      </c>
      <c r="G4539" s="2" t="s">
        <v>972</v>
      </c>
      <c r="H4539" s="2" t="s">
        <v>972</v>
      </c>
      <c r="I4539" s="2" t="s">
        <v>785</v>
      </c>
      <c r="J4539" s="25">
        <v>46556</v>
      </c>
      <c r="K4539" s="36">
        <v>9.9000000000000008E-3</v>
      </c>
      <c r="L4539" s="23">
        <v>9.8999999999999999E-4</v>
      </c>
    </row>
    <row r="4540" spans="1:12" ht="15.35" hidden="1" x14ac:dyDescent="0.55000000000000004">
      <c r="A4540" s="20">
        <v>1766</v>
      </c>
      <c r="B4540" s="2" t="s">
        <v>180</v>
      </c>
      <c r="C4540" s="2" t="s">
        <v>181</v>
      </c>
      <c r="D4540" s="20">
        <v>0</v>
      </c>
      <c r="E4540" s="2" t="s">
        <v>63</v>
      </c>
      <c r="F4540" s="2" t="s">
        <v>787</v>
      </c>
      <c r="G4540" s="2" t="s">
        <v>972</v>
      </c>
      <c r="H4540" s="2" t="s">
        <v>972</v>
      </c>
      <c r="I4540" s="2" t="s">
        <v>785</v>
      </c>
      <c r="J4540" s="25">
        <v>46922</v>
      </c>
      <c r="K4540" s="36">
        <v>2.3099999999999999E-2</v>
      </c>
      <c r="L4540" s="23">
        <v>2.31E-3</v>
      </c>
    </row>
    <row r="4541" spans="1:12" ht="15.35" hidden="1" x14ac:dyDescent="0.55000000000000004">
      <c r="A4541" s="20">
        <v>1683</v>
      </c>
      <c r="B4541" s="2" t="s">
        <v>180</v>
      </c>
      <c r="C4541" s="2" t="s">
        <v>181</v>
      </c>
      <c r="D4541" s="20">
        <v>0</v>
      </c>
      <c r="E4541" s="2" t="s">
        <v>63</v>
      </c>
      <c r="F4541" s="2" t="s">
        <v>817</v>
      </c>
      <c r="G4541" s="2" t="s">
        <v>4345</v>
      </c>
      <c r="H4541" s="2" t="s">
        <v>1284</v>
      </c>
      <c r="I4541" s="2" t="s">
        <v>785</v>
      </c>
      <c r="J4541" s="25">
        <v>46556</v>
      </c>
      <c r="K4541" s="36">
        <v>6.8999999999999999E-3</v>
      </c>
      <c r="L4541" s="23">
        <v>6.8999999999999997E-4</v>
      </c>
    </row>
    <row r="4542" spans="1:12" ht="15.35" hidden="1" x14ac:dyDescent="0.55000000000000004">
      <c r="A4542" s="20">
        <v>1684</v>
      </c>
      <c r="B4542" s="2" t="s">
        <v>180</v>
      </c>
      <c r="C4542" s="2" t="s">
        <v>181</v>
      </c>
      <c r="D4542" s="20">
        <v>0</v>
      </c>
      <c r="E4542" s="2" t="s">
        <v>63</v>
      </c>
      <c r="F4542" s="2" t="s">
        <v>817</v>
      </c>
      <c r="G4542" s="2" t="s">
        <v>4345</v>
      </c>
      <c r="H4542" s="2" t="s">
        <v>1284</v>
      </c>
      <c r="I4542" s="2" t="s">
        <v>785</v>
      </c>
      <c r="J4542" s="25">
        <v>46922</v>
      </c>
      <c r="K4542" s="36">
        <v>1.61E-2</v>
      </c>
      <c r="L4542" s="23">
        <v>1.6100000000000001E-3</v>
      </c>
    </row>
    <row r="4543" spans="1:12" ht="15.35" hidden="1" x14ac:dyDescent="0.55000000000000004">
      <c r="A4543" s="20">
        <v>1697</v>
      </c>
      <c r="B4543" s="2" t="s">
        <v>180</v>
      </c>
      <c r="C4543" s="2" t="s">
        <v>181</v>
      </c>
      <c r="D4543" s="20">
        <v>0</v>
      </c>
      <c r="E4543" s="2" t="s">
        <v>63</v>
      </c>
      <c r="F4543" s="2" t="s">
        <v>817</v>
      </c>
      <c r="G4543" s="2" t="s">
        <v>4346</v>
      </c>
      <c r="H4543" s="2" t="s">
        <v>1921</v>
      </c>
      <c r="I4543" s="2" t="s">
        <v>785</v>
      </c>
      <c r="J4543" s="25">
        <v>46922</v>
      </c>
      <c r="K4543" s="36">
        <v>1.61E-2</v>
      </c>
      <c r="L4543" s="23">
        <v>1.6100000000000001E-3</v>
      </c>
    </row>
    <row r="4544" spans="1:12" ht="15.35" hidden="1" x14ac:dyDescent="0.55000000000000004">
      <c r="A4544" s="20">
        <v>1698</v>
      </c>
      <c r="B4544" s="2" t="s">
        <v>180</v>
      </c>
      <c r="C4544" s="2" t="s">
        <v>181</v>
      </c>
      <c r="D4544" s="20">
        <v>0</v>
      </c>
      <c r="E4544" s="2" t="s">
        <v>63</v>
      </c>
      <c r="F4544" s="2" t="s">
        <v>817</v>
      </c>
      <c r="G4544" s="2" t="s">
        <v>4346</v>
      </c>
      <c r="H4544" s="2" t="s">
        <v>1921</v>
      </c>
      <c r="I4544" s="2" t="s">
        <v>785</v>
      </c>
      <c r="J4544" s="25">
        <v>46556</v>
      </c>
      <c r="K4544" s="36">
        <v>6.8999999999999999E-3</v>
      </c>
      <c r="L4544" s="23">
        <v>6.8999999999999997E-4</v>
      </c>
    </row>
    <row r="4545" spans="1:12" ht="15.35" hidden="1" x14ac:dyDescent="0.55000000000000004">
      <c r="A4545" s="20">
        <v>1675</v>
      </c>
      <c r="B4545" s="2" t="s">
        <v>180</v>
      </c>
      <c r="C4545" s="2" t="s">
        <v>181</v>
      </c>
      <c r="D4545" s="20">
        <v>0</v>
      </c>
      <c r="E4545" s="2" t="s">
        <v>63</v>
      </c>
      <c r="F4545" s="2" t="s">
        <v>811</v>
      </c>
      <c r="G4545" s="2" t="s">
        <v>4124</v>
      </c>
      <c r="H4545" s="2" t="s">
        <v>4124</v>
      </c>
      <c r="I4545" s="2" t="s">
        <v>785</v>
      </c>
      <c r="J4545" s="25">
        <v>46556</v>
      </c>
      <c r="K4545" s="36">
        <v>2.76E-2</v>
      </c>
      <c r="L4545" s="23">
        <v>2.7599999999999999E-3</v>
      </c>
    </row>
    <row r="4546" spans="1:12" ht="15.35" hidden="1" x14ac:dyDescent="0.55000000000000004">
      <c r="A4546" s="20">
        <v>1677</v>
      </c>
      <c r="B4546" s="2" t="s">
        <v>180</v>
      </c>
      <c r="C4546" s="2" t="s">
        <v>181</v>
      </c>
      <c r="D4546" s="20">
        <v>0</v>
      </c>
      <c r="E4546" s="2" t="s">
        <v>63</v>
      </c>
      <c r="F4546" s="2" t="s">
        <v>811</v>
      </c>
      <c r="G4546" s="2" t="s">
        <v>4124</v>
      </c>
      <c r="H4546" s="2" t="s">
        <v>4124</v>
      </c>
      <c r="I4546" s="2" t="s">
        <v>785</v>
      </c>
      <c r="J4546" s="25">
        <v>46922</v>
      </c>
      <c r="K4546" s="36">
        <v>6.4399999999999999E-2</v>
      </c>
      <c r="L4546" s="23">
        <v>6.4400000000000004E-3</v>
      </c>
    </row>
    <row r="4547" spans="1:12" ht="15.35" hidden="1" x14ac:dyDescent="0.55000000000000004">
      <c r="A4547" s="20">
        <v>1690</v>
      </c>
      <c r="B4547" s="2" t="s">
        <v>180</v>
      </c>
      <c r="C4547" s="2" t="s">
        <v>181</v>
      </c>
      <c r="D4547" s="20">
        <v>0</v>
      </c>
      <c r="E4547" s="2" t="s">
        <v>63</v>
      </c>
      <c r="F4547" s="2" t="s">
        <v>787</v>
      </c>
      <c r="G4547" s="2" t="s">
        <v>2558</v>
      </c>
      <c r="H4547" s="2" t="s">
        <v>2558</v>
      </c>
      <c r="I4547" s="2" t="s">
        <v>785</v>
      </c>
      <c r="J4547" s="25">
        <v>46556</v>
      </c>
      <c r="K4547" s="36">
        <v>1.4999999999999999E-2</v>
      </c>
      <c r="L4547" s="23">
        <v>1.5E-3</v>
      </c>
    </row>
    <row r="4548" spans="1:12" ht="15.35" hidden="1" x14ac:dyDescent="0.55000000000000004">
      <c r="A4548" s="20">
        <v>1691</v>
      </c>
      <c r="B4548" s="2" t="s">
        <v>180</v>
      </c>
      <c r="C4548" s="2" t="s">
        <v>181</v>
      </c>
      <c r="D4548" s="20">
        <v>0</v>
      </c>
      <c r="E4548" s="2" t="s">
        <v>63</v>
      </c>
      <c r="F4548" s="2" t="s">
        <v>787</v>
      </c>
      <c r="G4548" s="2" t="s">
        <v>2558</v>
      </c>
      <c r="H4548" s="2" t="s">
        <v>2558</v>
      </c>
      <c r="I4548" s="2" t="s">
        <v>785</v>
      </c>
      <c r="J4548" s="25">
        <v>46922</v>
      </c>
      <c r="K4548" s="36">
        <v>3.5000000000000003E-2</v>
      </c>
      <c r="L4548" s="23">
        <v>3.5000000000000001E-3</v>
      </c>
    </row>
    <row r="4549" spans="1:12" ht="15.35" hidden="1" x14ac:dyDescent="0.55000000000000004">
      <c r="A4549" s="20">
        <v>1674</v>
      </c>
      <c r="B4549" s="2" t="s">
        <v>180</v>
      </c>
      <c r="C4549" s="2" t="s">
        <v>181</v>
      </c>
      <c r="D4549" s="20">
        <v>0</v>
      </c>
      <c r="E4549" s="2" t="s">
        <v>63</v>
      </c>
      <c r="F4549" s="2" t="s">
        <v>793</v>
      </c>
      <c r="G4549" s="2" t="s">
        <v>4347</v>
      </c>
      <c r="H4549" s="2" t="s">
        <v>4348</v>
      </c>
      <c r="I4549" s="2" t="s">
        <v>785</v>
      </c>
      <c r="J4549" s="25">
        <v>46922</v>
      </c>
      <c r="K4549" s="36">
        <v>1.0500000000000001E-2</v>
      </c>
      <c r="L4549" s="23">
        <v>1.0499999999999999E-3</v>
      </c>
    </row>
    <row r="4550" spans="1:12" ht="15.35" hidden="1" x14ac:dyDescent="0.55000000000000004">
      <c r="A4550" s="20">
        <v>1769</v>
      </c>
      <c r="B4550" s="2" t="s">
        <v>180</v>
      </c>
      <c r="C4550" s="2" t="s">
        <v>181</v>
      </c>
      <c r="D4550" s="20">
        <v>0</v>
      </c>
      <c r="E4550" s="2" t="s">
        <v>63</v>
      </c>
      <c r="F4550" s="2" t="s">
        <v>793</v>
      </c>
      <c r="G4550" s="2" t="s">
        <v>4347</v>
      </c>
      <c r="H4550" s="2" t="s">
        <v>4348</v>
      </c>
      <c r="I4550" s="2" t="s">
        <v>785</v>
      </c>
      <c r="J4550" s="25">
        <v>46556</v>
      </c>
      <c r="K4550" s="36">
        <v>4.4999999999999997E-3</v>
      </c>
      <c r="L4550" s="23">
        <v>4.4999999999999999E-4</v>
      </c>
    </row>
    <row r="4551" spans="1:12" ht="15.35" hidden="1" x14ac:dyDescent="0.55000000000000004">
      <c r="A4551" s="20">
        <v>1770</v>
      </c>
      <c r="B4551" s="2" t="s">
        <v>180</v>
      </c>
      <c r="C4551" s="2" t="s">
        <v>181</v>
      </c>
      <c r="D4551" s="20">
        <v>0</v>
      </c>
      <c r="E4551" s="2" t="s">
        <v>63</v>
      </c>
      <c r="F4551" s="2" t="s">
        <v>787</v>
      </c>
      <c r="G4551" s="2" t="s">
        <v>850</v>
      </c>
      <c r="H4551" s="2" t="s">
        <v>850</v>
      </c>
      <c r="I4551" s="2" t="s">
        <v>785</v>
      </c>
      <c r="J4551" s="25">
        <v>46556</v>
      </c>
      <c r="K4551" s="36">
        <v>7.4999999999999997E-3</v>
      </c>
      <c r="L4551" s="23">
        <v>7.5000000000000002E-4</v>
      </c>
    </row>
    <row r="4552" spans="1:12" ht="15.35" hidden="1" x14ac:dyDescent="0.55000000000000004">
      <c r="A4552" s="20">
        <v>1778</v>
      </c>
      <c r="B4552" s="2" t="s">
        <v>180</v>
      </c>
      <c r="C4552" s="2" t="s">
        <v>181</v>
      </c>
      <c r="D4552" s="20">
        <v>0</v>
      </c>
      <c r="E4552" s="2" t="s">
        <v>63</v>
      </c>
      <c r="F4552" s="2" t="s">
        <v>787</v>
      </c>
      <c r="G4552" s="2" t="s">
        <v>850</v>
      </c>
      <c r="H4552" s="2" t="s">
        <v>850</v>
      </c>
      <c r="I4552" s="2" t="s">
        <v>785</v>
      </c>
      <c r="J4552" s="25">
        <v>46922</v>
      </c>
      <c r="K4552" s="36">
        <v>1.7500000000000002E-2</v>
      </c>
      <c r="L4552" s="23">
        <v>1.75E-3</v>
      </c>
    </row>
    <row r="4553" spans="1:12" ht="15.35" hidden="1" x14ac:dyDescent="0.55000000000000004">
      <c r="A4553" s="20">
        <v>1692</v>
      </c>
      <c r="B4553" s="2" t="s">
        <v>180</v>
      </c>
      <c r="C4553" s="2" t="s">
        <v>181</v>
      </c>
      <c r="D4553" s="20">
        <v>0</v>
      </c>
      <c r="E4553" s="2" t="s">
        <v>63</v>
      </c>
      <c r="F4553" s="2" t="s">
        <v>817</v>
      </c>
      <c r="G4553" s="2" t="s">
        <v>4349</v>
      </c>
      <c r="H4553" s="2" t="s">
        <v>810</v>
      </c>
      <c r="I4553" s="2" t="s">
        <v>785</v>
      </c>
      <c r="J4553" s="25">
        <v>46556</v>
      </c>
      <c r="K4553" s="36">
        <v>2.2499999999999999E-2</v>
      </c>
      <c r="L4553" s="23">
        <v>2.2499999999999998E-3</v>
      </c>
    </row>
    <row r="4554" spans="1:12" ht="15.35" hidden="1" x14ac:dyDescent="0.55000000000000004">
      <c r="A4554" s="20">
        <v>1707</v>
      </c>
      <c r="B4554" s="2" t="s">
        <v>180</v>
      </c>
      <c r="C4554" s="2" t="s">
        <v>181</v>
      </c>
      <c r="D4554" s="20">
        <v>0</v>
      </c>
      <c r="E4554" s="2" t="s">
        <v>63</v>
      </c>
      <c r="F4554" s="2" t="s">
        <v>817</v>
      </c>
      <c r="G4554" s="2" t="s">
        <v>4349</v>
      </c>
      <c r="H4554" s="2" t="s">
        <v>810</v>
      </c>
      <c r="I4554" s="2" t="s">
        <v>785</v>
      </c>
      <c r="J4554" s="25">
        <v>46922</v>
      </c>
      <c r="K4554" s="36">
        <v>5.2499999999999998E-2</v>
      </c>
      <c r="L4554" s="23">
        <v>5.2500000000000003E-3</v>
      </c>
    </row>
    <row r="4555" spans="1:12" ht="15.35" hidden="1" x14ac:dyDescent="0.55000000000000004">
      <c r="A4555" s="20">
        <v>1780</v>
      </c>
      <c r="B4555" s="2" t="s">
        <v>180</v>
      </c>
      <c r="C4555" s="2" t="s">
        <v>181</v>
      </c>
      <c r="D4555" s="20">
        <v>0</v>
      </c>
      <c r="E4555" s="2" t="s">
        <v>63</v>
      </c>
      <c r="F4555" s="2" t="s">
        <v>811</v>
      </c>
      <c r="G4555" s="2" t="s">
        <v>4130</v>
      </c>
      <c r="H4555" s="2" t="s">
        <v>4130</v>
      </c>
      <c r="I4555" s="2" t="s">
        <v>785</v>
      </c>
      <c r="J4555" s="25">
        <v>46922</v>
      </c>
      <c r="K4555" s="36">
        <v>0.26600000000000001</v>
      </c>
      <c r="L4555" s="23">
        <v>2.6599999999999999E-2</v>
      </c>
    </row>
    <row r="4556" spans="1:12" ht="15.35" hidden="1" x14ac:dyDescent="0.55000000000000004">
      <c r="A4556" s="20">
        <v>1781</v>
      </c>
      <c r="B4556" s="2" t="s">
        <v>180</v>
      </c>
      <c r="C4556" s="2" t="s">
        <v>181</v>
      </c>
      <c r="D4556" s="20">
        <v>0</v>
      </c>
      <c r="E4556" s="2" t="s">
        <v>63</v>
      </c>
      <c r="F4556" s="2" t="s">
        <v>811</v>
      </c>
      <c r="G4556" s="2" t="s">
        <v>4130</v>
      </c>
      <c r="H4556" s="2" t="s">
        <v>4130</v>
      </c>
      <c r="I4556" s="2" t="s">
        <v>785</v>
      </c>
      <c r="J4556" s="25">
        <v>46556</v>
      </c>
      <c r="K4556" s="36">
        <v>0.114</v>
      </c>
      <c r="L4556" s="23">
        <v>1.14E-2</v>
      </c>
    </row>
    <row r="4557" spans="1:12" ht="15.35" hidden="1" x14ac:dyDescent="0.55000000000000004">
      <c r="A4557" s="20">
        <v>1680</v>
      </c>
      <c r="B4557" s="2" t="s">
        <v>180</v>
      </c>
      <c r="C4557" s="2" t="s">
        <v>181</v>
      </c>
      <c r="D4557" s="20">
        <v>0</v>
      </c>
      <c r="E4557" s="2" t="s">
        <v>63</v>
      </c>
      <c r="F4557" s="2" t="s">
        <v>798</v>
      </c>
      <c r="G4557" s="2" t="s">
        <v>4350</v>
      </c>
      <c r="H4557" s="2" t="s">
        <v>1086</v>
      </c>
      <c r="I4557" s="2" t="s">
        <v>785</v>
      </c>
      <c r="J4557" s="25">
        <v>46556</v>
      </c>
      <c r="K4557" s="36">
        <v>7.1999999999999998E-3</v>
      </c>
      <c r="L4557" s="23">
        <v>7.2000000000000005E-4</v>
      </c>
    </row>
    <row r="4558" spans="1:12" ht="15.35" hidden="1" x14ac:dyDescent="0.55000000000000004">
      <c r="A4558" s="20">
        <v>1681</v>
      </c>
      <c r="B4558" s="2" t="s">
        <v>180</v>
      </c>
      <c r="C4558" s="2" t="s">
        <v>181</v>
      </c>
      <c r="D4558" s="20">
        <v>0</v>
      </c>
      <c r="E4558" s="2" t="s">
        <v>63</v>
      </c>
      <c r="F4558" s="2" t="s">
        <v>798</v>
      </c>
      <c r="G4558" s="2" t="s">
        <v>4350</v>
      </c>
      <c r="H4558" s="2" t="s">
        <v>1086</v>
      </c>
      <c r="I4558" s="2" t="s">
        <v>785</v>
      </c>
      <c r="J4558" s="25">
        <v>46922</v>
      </c>
      <c r="K4558" s="36">
        <v>1.6799999999999999E-2</v>
      </c>
      <c r="L4558" s="23">
        <v>1.6800000000000001E-3</v>
      </c>
    </row>
    <row r="4559" spans="1:12" ht="15.35" hidden="1" x14ac:dyDescent="0.55000000000000004">
      <c r="A4559" s="20">
        <v>1678</v>
      </c>
      <c r="B4559" s="2" t="s">
        <v>180</v>
      </c>
      <c r="C4559" s="2" t="s">
        <v>181</v>
      </c>
      <c r="D4559" s="20">
        <v>0</v>
      </c>
      <c r="E4559" s="2" t="s">
        <v>63</v>
      </c>
      <c r="F4559" s="2" t="s">
        <v>798</v>
      </c>
      <c r="G4559" s="2" t="s">
        <v>4351</v>
      </c>
      <c r="H4559" s="2" t="s">
        <v>1086</v>
      </c>
      <c r="I4559" s="2" t="s">
        <v>785</v>
      </c>
      <c r="J4559" s="25">
        <v>46556</v>
      </c>
      <c r="K4559" s="36">
        <v>2.1299999999999999E-2</v>
      </c>
      <c r="L4559" s="23">
        <v>2.1299999999999999E-3</v>
      </c>
    </row>
    <row r="4560" spans="1:12" ht="15.35" hidden="1" x14ac:dyDescent="0.55000000000000004">
      <c r="A4560" s="20">
        <v>1679</v>
      </c>
      <c r="B4560" s="2" t="s">
        <v>180</v>
      </c>
      <c r="C4560" s="2" t="s">
        <v>181</v>
      </c>
      <c r="D4560" s="20">
        <v>0</v>
      </c>
      <c r="E4560" s="2" t="s">
        <v>63</v>
      </c>
      <c r="F4560" s="2" t="s">
        <v>798</v>
      </c>
      <c r="G4560" s="2" t="s">
        <v>4351</v>
      </c>
      <c r="H4560" s="2" t="s">
        <v>1086</v>
      </c>
      <c r="I4560" s="2" t="s">
        <v>785</v>
      </c>
      <c r="J4560" s="25">
        <v>46922</v>
      </c>
      <c r="K4560" s="36">
        <v>4.9700000000000001E-2</v>
      </c>
      <c r="L4560" s="23">
        <v>4.9699999999999996E-3</v>
      </c>
    </row>
    <row r="4561" spans="1:12" ht="15.35" hidden="1" x14ac:dyDescent="0.55000000000000004">
      <c r="A4561" s="20">
        <v>1760</v>
      </c>
      <c r="B4561" s="2" t="s">
        <v>180</v>
      </c>
      <c r="C4561" s="2" t="s">
        <v>181</v>
      </c>
      <c r="D4561" s="20">
        <v>0</v>
      </c>
      <c r="E4561" s="2" t="s">
        <v>63</v>
      </c>
      <c r="F4561" s="2" t="s">
        <v>787</v>
      </c>
      <c r="G4561" s="2" t="s">
        <v>922</v>
      </c>
      <c r="H4561" s="2" t="s">
        <v>922</v>
      </c>
      <c r="I4561" s="2" t="s">
        <v>785</v>
      </c>
      <c r="J4561" s="25">
        <v>46922</v>
      </c>
      <c r="K4561" s="36">
        <v>1.61E-2</v>
      </c>
      <c r="L4561" s="23">
        <v>1.6100000000000001E-3</v>
      </c>
    </row>
    <row r="4562" spans="1:12" ht="15.35" hidden="1" x14ac:dyDescent="0.55000000000000004">
      <c r="A4562" s="20">
        <v>1767</v>
      </c>
      <c r="B4562" s="2" t="s">
        <v>180</v>
      </c>
      <c r="C4562" s="2" t="s">
        <v>181</v>
      </c>
      <c r="D4562" s="20">
        <v>0</v>
      </c>
      <c r="E4562" s="2" t="s">
        <v>63</v>
      </c>
      <c r="F4562" s="2" t="s">
        <v>787</v>
      </c>
      <c r="G4562" s="2" t="s">
        <v>922</v>
      </c>
      <c r="H4562" s="2" t="s">
        <v>922</v>
      </c>
      <c r="I4562" s="2" t="s">
        <v>785</v>
      </c>
      <c r="J4562" s="25">
        <v>46556</v>
      </c>
      <c r="K4562" s="36">
        <v>6.8999999999999999E-3</v>
      </c>
      <c r="L4562" s="23">
        <v>6.8999999999999997E-4</v>
      </c>
    </row>
    <row r="4563" spans="1:12" ht="15.35" hidden="1" x14ac:dyDescent="0.55000000000000004">
      <c r="A4563" s="20">
        <v>1775</v>
      </c>
      <c r="B4563" s="2" t="s">
        <v>180</v>
      </c>
      <c r="C4563" s="2" t="s">
        <v>181</v>
      </c>
      <c r="D4563" s="20">
        <v>0</v>
      </c>
      <c r="E4563" s="2" t="s">
        <v>63</v>
      </c>
      <c r="F4563" s="2" t="s">
        <v>813</v>
      </c>
      <c r="G4563" s="2" t="s">
        <v>4352</v>
      </c>
      <c r="H4563" s="2" t="s">
        <v>4352</v>
      </c>
      <c r="I4563" s="2" t="s">
        <v>785</v>
      </c>
      <c r="J4563" s="25">
        <v>46922</v>
      </c>
      <c r="K4563" s="36">
        <v>6.4399999999999999E-2</v>
      </c>
      <c r="L4563" s="23">
        <v>6.4400000000000004E-3</v>
      </c>
    </row>
    <row r="4564" spans="1:12" ht="15.35" hidden="1" x14ac:dyDescent="0.55000000000000004">
      <c r="A4564" s="20">
        <v>1776</v>
      </c>
      <c r="B4564" s="2" t="s">
        <v>180</v>
      </c>
      <c r="C4564" s="2" t="s">
        <v>181</v>
      </c>
      <c r="D4564" s="20">
        <v>0</v>
      </c>
      <c r="E4564" s="2" t="s">
        <v>63</v>
      </c>
      <c r="F4564" s="2" t="s">
        <v>813</v>
      </c>
      <c r="G4564" s="2" t="s">
        <v>4352</v>
      </c>
      <c r="H4564" s="2" t="s">
        <v>4352</v>
      </c>
      <c r="I4564" s="2" t="s">
        <v>785</v>
      </c>
      <c r="J4564" s="25">
        <v>46556</v>
      </c>
      <c r="K4564" s="36">
        <v>2.76E-2</v>
      </c>
      <c r="L4564" s="23">
        <v>2.7599999999999999E-3</v>
      </c>
    </row>
    <row r="4565" spans="1:12" ht="15.35" hidden="1" x14ac:dyDescent="0.55000000000000004">
      <c r="A4565" s="20">
        <v>1771</v>
      </c>
      <c r="B4565" s="2" t="s">
        <v>180</v>
      </c>
      <c r="C4565" s="2" t="s">
        <v>181</v>
      </c>
      <c r="D4565" s="20">
        <v>0</v>
      </c>
      <c r="E4565" s="2" t="s">
        <v>63</v>
      </c>
      <c r="F4565" s="2" t="s">
        <v>789</v>
      </c>
      <c r="G4565" s="2" t="s">
        <v>3417</v>
      </c>
      <c r="H4565" s="2" t="s">
        <v>3417</v>
      </c>
      <c r="I4565" s="2" t="s">
        <v>785</v>
      </c>
      <c r="J4565" s="25">
        <v>46922</v>
      </c>
      <c r="K4565" s="36">
        <v>1.0500000000000001E-2</v>
      </c>
      <c r="L4565" s="23">
        <v>1.0499999999999999E-3</v>
      </c>
    </row>
    <row r="4566" spans="1:12" ht="15.35" hidden="1" x14ac:dyDescent="0.55000000000000004">
      <c r="A4566" s="20">
        <v>1772</v>
      </c>
      <c r="B4566" s="2" t="s">
        <v>180</v>
      </c>
      <c r="C4566" s="2" t="s">
        <v>181</v>
      </c>
      <c r="D4566" s="20">
        <v>0</v>
      </c>
      <c r="E4566" s="2" t="s">
        <v>63</v>
      </c>
      <c r="F4566" s="2" t="s">
        <v>789</v>
      </c>
      <c r="G4566" s="2" t="s">
        <v>3417</v>
      </c>
      <c r="H4566" s="2" t="s">
        <v>3417</v>
      </c>
      <c r="I4566" s="2" t="s">
        <v>785</v>
      </c>
      <c r="J4566" s="25">
        <v>46556</v>
      </c>
      <c r="K4566" s="36">
        <v>4.4999999999999997E-3</v>
      </c>
      <c r="L4566" s="23">
        <v>4.4999999999999999E-4</v>
      </c>
    </row>
    <row r="4567" spans="1:12" ht="15.35" hidden="1" x14ac:dyDescent="0.55000000000000004">
      <c r="A4567" s="20">
        <v>1750</v>
      </c>
      <c r="B4567" s="2" t="s">
        <v>180</v>
      </c>
      <c r="C4567" s="2" t="s">
        <v>181</v>
      </c>
      <c r="D4567" s="20">
        <v>0</v>
      </c>
      <c r="E4567" s="2" t="s">
        <v>63</v>
      </c>
      <c r="F4567" s="2" t="s">
        <v>789</v>
      </c>
      <c r="G4567" s="2" t="s">
        <v>4353</v>
      </c>
      <c r="H4567" s="2" t="s">
        <v>3417</v>
      </c>
      <c r="I4567" s="2" t="s">
        <v>785</v>
      </c>
      <c r="J4567" s="25">
        <v>46556</v>
      </c>
      <c r="K4567" s="36">
        <v>8.9999999999999993E-3</v>
      </c>
      <c r="L4567" s="23">
        <v>8.9999999999999998E-4</v>
      </c>
    </row>
    <row r="4568" spans="1:12" ht="15.35" hidden="1" x14ac:dyDescent="0.55000000000000004">
      <c r="A4568" s="20">
        <v>1768</v>
      </c>
      <c r="B4568" s="2" t="s">
        <v>180</v>
      </c>
      <c r="C4568" s="2" t="s">
        <v>181</v>
      </c>
      <c r="D4568" s="20">
        <v>0</v>
      </c>
      <c r="E4568" s="2" t="s">
        <v>63</v>
      </c>
      <c r="F4568" s="2" t="s">
        <v>789</v>
      </c>
      <c r="G4568" s="2" t="s">
        <v>4353</v>
      </c>
      <c r="H4568" s="2" t="s">
        <v>3417</v>
      </c>
      <c r="I4568" s="2" t="s">
        <v>785</v>
      </c>
      <c r="J4568" s="25">
        <v>46922</v>
      </c>
      <c r="K4568" s="36">
        <v>2.1000000000000001E-2</v>
      </c>
      <c r="L4568" s="23">
        <v>2.0999999999999999E-3</v>
      </c>
    </row>
    <row r="4569" spans="1:12" ht="15.35" hidden="1" x14ac:dyDescent="0.55000000000000004">
      <c r="A4569" s="20">
        <v>1773</v>
      </c>
      <c r="B4569" s="2" t="s">
        <v>180</v>
      </c>
      <c r="C4569" s="2" t="s">
        <v>181</v>
      </c>
      <c r="D4569" s="20">
        <v>0</v>
      </c>
      <c r="E4569" s="2" t="s">
        <v>63</v>
      </c>
      <c r="F4569" s="2" t="s">
        <v>789</v>
      </c>
      <c r="G4569" s="2" t="s">
        <v>4354</v>
      </c>
      <c r="H4569" s="2" t="s">
        <v>4354</v>
      </c>
      <c r="I4569" s="2" t="s">
        <v>785</v>
      </c>
      <c r="J4569" s="25">
        <v>46922</v>
      </c>
      <c r="K4569" s="36">
        <v>6.4399999999999999E-2</v>
      </c>
      <c r="L4569" s="23">
        <v>6.4400000000000004E-3</v>
      </c>
    </row>
    <row r="4570" spans="1:12" ht="15.35" hidden="1" x14ac:dyDescent="0.55000000000000004">
      <c r="A4570" s="20">
        <v>1774</v>
      </c>
      <c r="B4570" s="2" t="s">
        <v>180</v>
      </c>
      <c r="C4570" s="2" t="s">
        <v>181</v>
      </c>
      <c r="D4570" s="20">
        <v>0</v>
      </c>
      <c r="E4570" s="2" t="s">
        <v>63</v>
      </c>
      <c r="F4570" s="2" t="s">
        <v>789</v>
      </c>
      <c r="G4570" s="2" t="s">
        <v>4354</v>
      </c>
      <c r="H4570" s="2" t="s">
        <v>4354</v>
      </c>
      <c r="I4570" s="2" t="s">
        <v>785</v>
      </c>
      <c r="J4570" s="25">
        <v>46556</v>
      </c>
      <c r="K4570" s="36">
        <v>2.76E-2</v>
      </c>
      <c r="L4570" s="23">
        <v>2.7599999999999999E-3</v>
      </c>
    </row>
    <row r="4571" spans="1:12" ht="15.35" hidden="1" x14ac:dyDescent="0.55000000000000004">
      <c r="A4571" s="20">
        <v>1718</v>
      </c>
      <c r="B4571" s="2" t="s">
        <v>180</v>
      </c>
      <c r="C4571" s="2" t="s">
        <v>181</v>
      </c>
      <c r="D4571" s="20">
        <v>0</v>
      </c>
      <c r="E4571" s="2" t="s">
        <v>63</v>
      </c>
      <c r="F4571" s="2" t="s">
        <v>787</v>
      </c>
      <c r="G4571" s="2" t="s">
        <v>1191</v>
      </c>
      <c r="H4571" s="2" t="s">
        <v>1191</v>
      </c>
      <c r="I4571" s="2" t="s">
        <v>785</v>
      </c>
      <c r="J4571" s="25">
        <v>46556</v>
      </c>
      <c r="K4571" s="36">
        <v>0.186</v>
      </c>
      <c r="L4571" s="23">
        <v>1.8599999999999998E-2</v>
      </c>
    </row>
    <row r="4572" spans="1:12" ht="15.35" hidden="1" x14ac:dyDescent="0.55000000000000004">
      <c r="A4572" s="20">
        <v>1729</v>
      </c>
      <c r="B4572" s="2" t="s">
        <v>180</v>
      </c>
      <c r="C4572" s="2" t="s">
        <v>181</v>
      </c>
      <c r="D4572" s="20">
        <v>0</v>
      </c>
      <c r="E4572" s="2" t="s">
        <v>63</v>
      </c>
      <c r="F4572" s="2" t="s">
        <v>787</v>
      </c>
      <c r="G4572" s="2" t="s">
        <v>1191</v>
      </c>
      <c r="H4572" s="2" t="s">
        <v>1191</v>
      </c>
      <c r="I4572" s="2" t="s">
        <v>785</v>
      </c>
      <c r="J4572" s="25">
        <v>46922</v>
      </c>
      <c r="K4572" s="36">
        <v>0.434</v>
      </c>
      <c r="L4572" s="23">
        <v>4.3400000000000001E-2</v>
      </c>
    </row>
    <row r="4573" spans="1:12" ht="15.35" hidden="1" x14ac:dyDescent="0.55000000000000004">
      <c r="A4573" s="20">
        <v>1763</v>
      </c>
      <c r="B4573" s="2" t="s">
        <v>180</v>
      </c>
      <c r="C4573" s="2" t="s">
        <v>181</v>
      </c>
      <c r="D4573" s="20">
        <v>0</v>
      </c>
      <c r="E4573" s="2" t="s">
        <v>63</v>
      </c>
      <c r="F4573" s="2" t="s">
        <v>798</v>
      </c>
      <c r="G4573" s="2" t="s">
        <v>4355</v>
      </c>
      <c r="H4573" s="2" t="s">
        <v>1811</v>
      </c>
      <c r="I4573" s="2" t="s">
        <v>785</v>
      </c>
      <c r="J4573" s="25">
        <v>46556</v>
      </c>
      <c r="K4573" s="36">
        <v>6.8999999999999999E-3</v>
      </c>
      <c r="L4573" s="23">
        <v>6.8999999999999997E-4</v>
      </c>
    </row>
    <row r="4574" spans="1:12" ht="15.35" hidden="1" x14ac:dyDescent="0.55000000000000004">
      <c r="A4574" s="20">
        <v>1764</v>
      </c>
      <c r="B4574" s="2" t="s">
        <v>180</v>
      </c>
      <c r="C4574" s="2" t="s">
        <v>181</v>
      </c>
      <c r="D4574" s="20">
        <v>0</v>
      </c>
      <c r="E4574" s="2" t="s">
        <v>63</v>
      </c>
      <c r="F4574" s="2" t="s">
        <v>798</v>
      </c>
      <c r="G4574" s="2" t="s">
        <v>4355</v>
      </c>
      <c r="H4574" s="2" t="s">
        <v>1811</v>
      </c>
      <c r="I4574" s="2" t="s">
        <v>785</v>
      </c>
      <c r="J4574" s="25">
        <v>46922</v>
      </c>
      <c r="K4574" s="36">
        <v>1.61E-2</v>
      </c>
      <c r="L4574" s="23">
        <v>1.6100000000000001E-3</v>
      </c>
    </row>
    <row r="4575" spans="1:12" ht="15.35" hidden="1" x14ac:dyDescent="0.55000000000000004">
      <c r="A4575" s="20">
        <v>1761</v>
      </c>
      <c r="B4575" s="2" t="s">
        <v>180</v>
      </c>
      <c r="C4575" s="2" t="s">
        <v>181</v>
      </c>
      <c r="D4575" s="20">
        <v>0</v>
      </c>
      <c r="E4575" s="2" t="s">
        <v>63</v>
      </c>
      <c r="F4575" s="2" t="s">
        <v>798</v>
      </c>
      <c r="G4575" s="2" t="s">
        <v>4356</v>
      </c>
      <c r="H4575" s="2" t="s">
        <v>1811</v>
      </c>
      <c r="I4575" s="2" t="s">
        <v>785</v>
      </c>
      <c r="J4575" s="25">
        <v>46556</v>
      </c>
      <c r="K4575" s="36">
        <v>6.8999999999999999E-3</v>
      </c>
      <c r="L4575" s="23">
        <v>6.8999999999999997E-4</v>
      </c>
    </row>
    <row r="4576" spans="1:12" ht="15.35" hidden="1" x14ac:dyDescent="0.55000000000000004">
      <c r="A4576" s="20">
        <v>1762</v>
      </c>
      <c r="B4576" s="2" t="s">
        <v>180</v>
      </c>
      <c r="C4576" s="2" t="s">
        <v>181</v>
      </c>
      <c r="D4576" s="20">
        <v>0</v>
      </c>
      <c r="E4576" s="2" t="s">
        <v>63</v>
      </c>
      <c r="F4576" s="2" t="s">
        <v>798</v>
      </c>
      <c r="G4576" s="2" t="s">
        <v>4356</v>
      </c>
      <c r="H4576" s="2" t="s">
        <v>1811</v>
      </c>
      <c r="I4576" s="2" t="s">
        <v>785</v>
      </c>
      <c r="J4576" s="25">
        <v>46922</v>
      </c>
      <c r="K4576" s="36">
        <v>1.61E-2</v>
      </c>
      <c r="L4576" s="23">
        <v>1.6100000000000001E-3</v>
      </c>
    </row>
    <row r="4577" spans="1:12" ht="15.35" hidden="1" x14ac:dyDescent="0.55000000000000004">
      <c r="A4577" s="20">
        <v>1751</v>
      </c>
      <c r="B4577" s="2" t="s">
        <v>180</v>
      </c>
      <c r="C4577" s="2" t="s">
        <v>181</v>
      </c>
      <c r="D4577" s="20">
        <v>0</v>
      </c>
      <c r="E4577" s="2" t="s">
        <v>63</v>
      </c>
      <c r="F4577" s="2" t="s">
        <v>811</v>
      </c>
      <c r="G4577" s="2" t="s">
        <v>2562</v>
      </c>
      <c r="H4577" s="2" t="s">
        <v>2562</v>
      </c>
      <c r="I4577" s="2" t="s">
        <v>785</v>
      </c>
      <c r="J4577" s="25">
        <v>46556</v>
      </c>
      <c r="K4577" s="36">
        <v>6.8999999999999999E-3</v>
      </c>
      <c r="L4577" s="23">
        <v>6.8999999999999997E-4</v>
      </c>
    </row>
    <row r="4578" spans="1:12" ht="15.35" hidden="1" x14ac:dyDescent="0.55000000000000004">
      <c r="A4578" s="20">
        <v>1752</v>
      </c>
      <c r="B4578" s="2" t="s">
        <v>180</v>
      </c>
      <c r="C4578" s="2" t="s">
        <v>181</v>
      </c>
      <c r="D4578" s="20">
        <v>0</v>
      </c>
      <c r="E4578" s="2" t="s">
        <v>63</v>
      </c>
      <c r="F4578" s="2" t="s">
        <v>811</v>
      </c>
      <c r="G4578" s="2" t="s">
        <v>2562</v>
      </c>
      <c r="H4578" s="2" t="s">
        <v>2562</v>
      </c>
      <c r="I4578" s="2" t="s">
        <v>785</v>
      </c>
      <c r="J4578" s="25">
        <v>46922</v>
      </c>
      <c r="K4578" s="36">
        <v>1.61E-2</v>
      </c>
      <c r="L4578" s="23">
        <v>1.6100000000000001E-3</v>
      </c>
    </row>
    <row r="4579" spans="1:12" ht="15.35" hidden="1" x14ac:dyDescent="0.55000000000000004">
      <c r="A4579" s="20">
        <v>1688</v>
      </c>
      <c r="B4579" s="2" t="s">
        <v>180</v>
      </c>
      <c r="C4579" s="2" t="s">
        <v>181</v>
      </c>
      <c r="D4579" s="20">
        <v>0</v>
      </c>
      <c r="E4579" s="2" t="s">
        <v>63</v>
      </c>
      <c r="F4579" s="2" t="s">
        <v>813</v>
      </c>
      <c r="G4579" s="2" t="s">
        <v>4357</v>
      </c>
      <c r="H4579" s="2" t="s">
        <v>4357</v>
      </c>
      <c r="I4579" s="2" t="s">
        <v>785</v>
      </c>
      <c r="J4579" s="25">
        <v>46922</v>
      </c>
      <c r="K4579" s="36">
        <v>1.61E-2</v>
      </c>
      <c r="L4579" s="23">
        <v>1.6100000000000001E-3</v>
      </c>
    </row>
    <row r="4580" spans="1:12" ht="15.35" hidden="1" x14ac:dyDescent="0.55000000000000004">
      <c r="A4580" s="20">
        <v>1689</v>
      </c>
      <c r="B4580" s="2" t="s">
        <v>180</v>
      </c>
      <c r="C4580" s="2" t="s">
        <v>181</v>
      </c>
      <c r="D4580" s="20">
        <v>0</v>
      </c>
      <c r="E4580" s="2" t="s">
        <v>63</v>
      </c>
      <c r="F4580" s="2" t="s">
        <v>813</v>
      </c>
      <c r="G4580" s="2" t="s">
        <v>4357</v>
      </c>
      <c r="H4580" s="2" t="s">
        <v>4357</v>
      </c>
      <c r="I4580" s="2" t="s">
        <v>785</v>
      </c>
      <c r="J4580" s="25">
        <v>46556</v>
      </c>
      <c r="K4580" s="36">
        <v>6.8999999999999999E-3</v>
      </c>
      <c r="L4580" s="23">
        <v>6.8999999999999997E-4</v>
      </c>
    </row>
    <row r="4581" spans="1:12" ht="15.35" hidden="1" x14ac:dyDescent="0.55000000000000004">
      <c r="A4581" s="20">
        <v>1711</v>
      </c>
      <c r="B4581" s="2" t="s">
        <v>180</v>
      </c>
      <c r="C4581" s="2" t="s">
        <v>181</v>
      </c>
      <c r="D4581" s="20">
        <v>0</v>
      </c>
      <c r="E4581" s="2" t="s">
        <v>63</v>
      </c>
      <c r="F4581" s="2" t="s">
        <v>811</v>
      </c>
      <c r="G4581" s="2" t="s">
        <v>4358</v>
      </c>
      <c r="H4581" s="2" t="s">
        <v>4359</v>
      </c>
      <c r="I4581" s="2" t="s">
        <v>785</v>
      </c>
      <c r="J4581" s="25">
        <v>46922</v>
      </c>
      <c r="K4581" s="36">
        <v>0.1295</v>
      </c>
      <c r="L4581" s="23">
        <v>1.295E-2</v>
      </c>
    </row>
    <row r="4582" spans="1:12" ht="15.35" hidden="1" x14ac:dyDescent="0.55000000000000004">
      <c r="A4582" s="20">
        <v>1712</v>
      </c>
      <c r="B4582" s="2" t="s">
        <v>180</v>
      </c>
      <c r="C4582" s="2" t="s">
        <v>181</v>
      </c>
      <c r="D4582" s="20">
        <v>0</v>
      </c>
      <c r="E4582" s="2" t="s">
        <v>63</v>
      </c>
      <c r="F4582" s="2" t="s">
        <v>811</v>
      </c>
      <c r="G4582" s="2" t="s">
        <v>4358</v>
      </c>
      <c r="H4582" s="2" t="s">
        <v>4359</v>
      </c>
      <c r="I4582" s="2" t="s">
        <v>785</v>
      </c>
      <c r="J4582" s="25">
        <v>46556</v>
      </c>
      <c r="K4582" s="36">
        <v>5.5500000000000001E-2</v>
      </c>
      <c r="L4582" s="23">
        <v>5.5500000000000002E-3</v>
      </c>
    </row>
    <row r="4583" spans="1:12" ht="15.35" hidden="1" x14ac:dyDescent="0.55000000000000004">
      <c r="A4583" s="20">
        <v>1685</v>
      </c>
      <c r="B4583" s="2" t="s">
        <v>180</v>
      </c>
      <c r="C4583" s="2" t="s">
        <v>181</v>
      </c>
      <c r="D4583" s="20">
        <v>0</v>
      </c>
      <c r="E4583" s="2" t="s">
        <v>63</v>
      </c>
      <c r="F4583" s="2" t="s">
        <v>813</v>
      </c>
      <c r="G4583" s="2" t="s">
        <v>815</v>
      </c>
      <c r="H4583" s="2" t="s">
        <v>815</v>
      </c>
      <c r="I4583" s="2" t="s">
        <v>785</v>
      </c>
      <c r="J4583" s="25">
        <v>46556</v>
      </c>
      <c r="K4583" s="36">
        <v>6.8999999999999999E-3</v>
      </c>
      <c r="L4583" s="23">
        <v>6.8999999999999997E-4</v>
      </c>
    </row>
    <row r="4584" spans="1:12" ht="15.35" hidden="1" x14ac:dyDescent="0.55000000000000004">
      <c r="A4584" s="20">
        <v>1758</v>
      </c>
      <c r="B4584" s="2" t="s">
        <v>180</v>
      </c>
      <c r="C4584" s="2" t="s">
        <v>181</v>
      </c>
      <c r="D4584" s="20">
        <v>0</v>
      </c>
      <c r="E4584" s="2" t="s">
        <v>63</v>
      </c>
      <c r="F4584" s="2" t="s">
        <v>813</v>
      </c>
      <c r="G4584" s="2" t="s">
        <v>815</v>
      </c>
      <c r="H4584" s="2" t="s">
        <v>815</v>
      </c>
      <c r="I4584" s="2" t="s">
        <v>785</v>
      </c>
      <c r="J4584" s="25">
        <v>46922</v>
      </c>
      <c r="K4584" s="36">
        <v>1.61E-2</v>
      </c>
      <c r="L4584" s="23">
        <v>1.6100000000000001E-3</v>
      </c>
    </row>
    <row r="4585" spans="1:12" ht="15.35" hidden="1" x14ac:dyDescent="0.55000000000000004">
      <c r="A4585" s="20">
        <v>1709</v>
      </c>
      <c r="B4585" s="2" t="s">
        <v>180</v>
      </c>
      <c r="C4585" s="2" t="s">
        <v>181</v>
      </c>
      <c r="D4585" s="20">
        <v>0</v>
      </c>
      <c r="E4585" s="2" t="s">
        <v>63</v>
      </c>
      <c r="F4585" s="2" t="s">
        <v>787</v>
      </c>
      <c r="G4585" s="2" t="s">
        <v>1109</v>
      </c>
      <c r="H4585" s="2" t="s">
        <v>1109</v>
      </c>
      <c r="I4585" s="2" t="s">
        <v>785</v>
      </c>
      <c r="J4585" s="25">
        <v>46556</v>
      </c>
      <c r="K4585" s="36">
        <v>6.8999999999999999E-3</v>
      </c>
      <c r="L4585" s="23">
        <v>6.8999999999999997E-4</v>
      </c>
    </row>
    <row r="4586" spans="1:12" ht="15.35" hidden="1" x14ac:dyDescent="0.55000000000000004">
      <c r="A4586" s="20">
        <v>1777</v>
      </c>
      <c r="B4586" s="2" t="s">
        <v>180</v>
      </c>
      <c r="C4586" s="2" t="s">
        <v>181</v>
      </c>
      <c r="D4586" s="20">
        <v>0</v>
      </c>
      <c r="E4586" s="2" t="s">
        <v>63</v>
      </c>
      <c r="F4586" s="2" t="s">
        <v>787</v>
      </c>
      <c r="G4586" s="2" t="s">
        <v>1109</v>
      </c>
      <c r="H4586" s="2" t="s">
        <v>1109</v>
      </c>
      <c r="I4586" s="2" t="s">
        <v>785</v>
      </c>
      <c r="J4586" s="25">
        <v>46922</v>
      </c>
      <c r="K4586" s="36">
        <v>1.61E-2</v>
      </c>
      <c r="L4586" s="23">
        <v>1.6100000000000001E-3</v>
      </c>
    </row>
    <row r="4587" spans="1:12" ht="15.35" hidden="1" x14ac:dyDescent="0.55000000000000004">
      <c r="A4587" s="20">
        <v>1693</v>
      </c>
      <c r="B4587" s="2" t="s">
        <v>180</v>
      </c>
      <c r="C4587" s="2" t="s">
        <v>181</v>
      </c>
      <c r="D4587" s="20">
        <v>0</v>
      </c>
      <c r="E4587" s="2" t="s">
        <v>63</v>
      </c>
      <c r="F4587" s="2" t="s">
        <v>798</v>
      </c>
      <c r="G4587" s="2" t="s">
        <v>4360</v>
      </c>
      <c r="H4587" s="2" t="s">
        <v>824</v>
      </c>
      <c r="I4587" s="2" t="s">
        <v>785</v>
      </c>
      <c r="J4587" s="25">
        <v>46556</v>
      </c>
      <c r="K4587" s="36">
        <v>6.8999999999999999E-3</v>
      </c>
      <c r="L4587" s="23">
        <v>6.8999999999999997E-4</v>
      </c>
    </row>
    <row r="4588" spans="1:12" ht="15.35" hidden="1" x14ac:dyDescent="0.55000000000000004">
      <c r="A4588" s="20">
        <v>1705</v>
      </c>
      <c r="B4588" s="2" t="s">
        <v>180</v>
      </c>
      <c r="C4588" s="2" t="s">
        <v>181</v>
      </c>
      <c r="D4588" s="20">
        <v>0</v>
      </c>
      <c r="E4588" s="2" t="s">
        <v>63</v>
      </c>
      <c r="F4588" s="2" t="s">
        <v>798</v>
      </c>
      <c r="G4588" s="2" t="s">
        <v>4360</v>
      </c>
      <c r="H4588" s="2" t="s">
        <v>824</v>
      </c>
      <c r="I4588" s="2" t="s">
        <v>785</v>
      </c>
      <c r="J4588" s="25">
        <v>46922</v>
      </c>
      <c r="K4588" s="36">
        <v>1.61E-2</v>
      </c>
      <c r="L4588" s="23">
        <v>1.6100000000000001E-3</v>
      </c>
    </row>
    <row r="4589" spans="1:12" ht="15.35" hidden="1" x14ac:dyDescent="0.55000000000000004">
      <c r="A4589" s="20">
        <v>1699</v>
      </c>
      <c r="B4589" s="2" t="s">
        <v>180</v>
      </c>
      <c r="C4589" s="2" t="s">
        <v>181</v>
      </c>
      <c r="D4589" s="20">
        <v>0</v>
      </c>
      <c r="E4589" s="2" t="s">
        <v>63</v>
      </c>
      <c r="F4589" s="2" t="s">
        <v>811</v>
      </c>
      <c r="G4589" s="2" t="s">
        <v>4361</v>
      </c>
      <c r="H4589" s="2" t="s">
        <v>4361</v>
      </c>
      <c r="I4589" s="2" t="s">
        <v>785</v>
      </c>
      <c r="J4589" s="25">
        <v>46922</v>
      </c>
      <c r="K4589" s="36">
        <v>2.4500000000000001E-2</v>
      </c>
      <c r="L4589" s="23">
        <v>2.4499999999999999E-3</v>
      </c>
    </row>
    <row r="4590" spans="1:12" ht="15.35" hidden="1" x14ac:dyDescent="0.55000000000000004">
      <c r="A4590" s="20">
        <v>1700</v>
      </c>
      <c r="B4590" s="2" t="s">
        <v>180</v>
      </c>
      <c r="C4590" s="2" t="s">
        <v>181</v>
      </c>
      <c r="D4590" s="20">
        <v>0</v>
      </c>
      <c r="E4590" s="2" t="s">
        <v>63</v>
      </c>
      <c r="F4590" s="2" t="s">
        <v>811</v>
      </c>
      <c r="G4590" s="2" t="s">
        <v>4361</v>
      </c>
      <c r="H4590" s="2" t="s">
        <v>4361</v>
      </c>
      <c r="I4590" s="2" t="s">
        <v>785</v>
      </c>
      <c r="J4590" s="25">
        <v>46556</v>
      </c>
      <c r="K4590" s="36">
        <v>1.0500000000000001E-2</v>
      </c>
      <c r="L4590" s="23">
        <v>1.0499999999999999E-3</v>
      </c>
    </row>
    <row r="4591" spans="1:12" ht="15.35" hidden="1" x14ac:dyDescent="0.55000000000000004">
      <c r="A4591" s="20">
        <v>1682</v>
      </c>
      <c r="B4591" s="2" t="s">
        <v>180</v>
      </c>
      <c r="C4591" s="2" t="s">
        <v>181</v>
      </c>
      <c r="D4591" s="20">
        <v>0</v>
      </c>
      <c r="E4591" s="2" t="s">
        <v>63</v>
      </c>
      <c r="F4591" s="2" t="s">
        <v>811</v>
      </c>
      <c r="G4591" s="2" t="s">
        <v>4136</v>
      </c>
      <c r="H4591" s="2" t="s">
        <v>4137</v>
      </c>
      <c r="I4591" s="2" t="s">
        <v>785</v>
      </c>
      <c r="J4591" s="25">
        <v>46556</v>
      </c>
      <c r="K4591" s="36">
        <v>2.7000000000000001E-3</v>
      </c>
      <c r="L4591" s="23">
        <v>2.7E-4</v>
      </c>
    </row>
    <row r="4592" spans="1:12" ht="15.35" hidden="1" x14ac:dyDescent="0.55000000000000004">
      <c r="A4592" s="20">
        <v>1706</v>
      </c>
      <c r="B4592" s="2" t="s">
        <v>180</v>
      </c>
      <c r="C4592" s="2" t="s">
        <v>181</v>
      </c>
      <c r="D4592" s="20">
        <v>0</v>
      </c>
      <c r="E4592" s="2" t="s">
        <v>63</v>
      </c>
      <c r="F4592" s="2" t="s">
        <v>811</v>
      </c>
      <c r="G4592" s="2" t="s">
        <v>4136</v>
      </c>
      <c r="H4592" s="2" t="s">
        <v>4137</v>
      </c>
      <c r="I4592" s="2" t="s">
        <v>785</v>
      </c>
      <c r="J4592" s="25">
        <v>46922</v>
      </c>
      <c r="K4592" s="36">
        <v>6.3E-3</v>
      </c>
      <c r="L4592" s="23">
        <v>6.3000000000000003E-4</v>
      </c>
    </row>
    <row r="4593" spans="1:12" ht="15.35" hidden="1" x14ac:dyDescent="0.55000000000000004">
      <c r="A4593" s="20">
        <v>1703</v>
      </c>
      <c r="B4593" s="2" t="s">
        <v>180</v>
      </c>
      <c r="C4593" s="2" t="s">
        <v>181</v>
      </c>
      <c r="D4593" s="20">
        <v>0</v>
      </c>
      <c r="E4593" s="2" t="s">
        <v>63</v>
      </c>
      <c r="F4593" s="2" t="s">
        <v>798</v>
      </c>
      <c r="G4593" s="2" t="s">
        <v>4362</v>
      </c>
      <c r="H4593" s="2" t="s">
        <v>829</v>
      </c>
      <c r="I4593" s="2" t="s">
        <v>785</v>
      </c>
      <c r="J4593" s="25">
        <v>46922</v>
      </c>
      <c r="K4593" s="36">
        <v>3.2199999999999999E-2</v>
      </c>
      <c r="L4593" s="23">
        <v>3.2200000000000002E-3</v>
      </c>
    </row>
    <row r="4594" spans="1:12" ht="15.35" hidden="1" x14ac:dyDescent="0.55000000000000004">
      <c r="A4594" s="20">
        <v>1704</v>
      </c>
      <c r="B4594" s="2" t="s">
        <v>180</v>
      </c>
      <c r="C4594" s="2" t="s">
        <v>181</v>
      </c>
      <c r="D4594" s="20">
        <v>0</v>
      </c>
      <c r="E4594" s="2" t="s">
        <v>63</v>
      </c>
      <c r="F4594" s="2" t="s">
        <v>798</v>
      </c>
      <c r="G4594" s="2" t="s">
        <v>4362</v>
      </c>
      <c r="H4594" s="2" t="s">
        <v>829</v>
      </c>
      <c r="I4594" s="2" t="s">
        <v>785</v>
      </c>
      <c r="J4594" s="25">
        <v>46556</v>
      </c>
      <c r="K4594" s="36">
        <v>1.38E-2</v>
      </c>
      <c r="L4594" s="23">
        <v>1.3799999999999999E-3</v>
      </c>
    </row>
    <row r="4595" spans="1:12" ht="15.35" hidden="1" x14ac:dyDescent="0.55000000000000004">
      <c r="A4595" s="20">
        <v>1720</v>
      </c>
      <c r="B4595" s="2" t="s">
        <v>180</v>
      </c>
      <c r="C4595" s="2" t="s">
        <v>181</v>
      </c>
      <c r="D4595" s="20">
        <v>0</v>
      </c>
      <c r="E4595" s="2" t="s">
        <v>63</v>
      </c>
      <c r="F4595" s="2" t="s">
        <v>783</v>
      </c>
      <c r="G4595" s="2" t="s">
        <v>4363</v>
      </c>
      <c r="H4595" s="2" t="s">
        <v>4363</v>
      </c>
      <c r="I4595" s="2" t="s">
        <v>785</v>
      </c>
      <c r="J4595" s="25">
        <v>46556</v>
      </c>
      <c r="K4595" s="36">
        <v>6.0000000000000001E-3</v>
      </c>
      <c r="L4595" s="23">
        <v>5.9999999999999995E-4</v>
      </c>
    </row>
    <row r="4596" spans="1:12" ht="15.35" hidden="1" x14ac:dyDescent="0.55000000000000004">
      <c r="A4596" s="20">
        <v>1731</v>
      </c>
      <c r="B4596" s="2" t="s">
        <v>180</v>
      </c>
      <c r="C4596" s="2" t="s">
        <v>181</v>
      </c>
      <c r="D4596" s="20">
        <v>0</v>
      </c>
      <c r="E4596" s="2" t="s">
        <v>63</v>
      </c>
      <c r="F4596" s="2" t="s">
        <v>783</v>
      </c>
      <c r="G4596" s="2" t="s">
        <v>4363</v>
      </c>
      <c r="H4596" s="2" t="s">
        <v>4363</v>
      </c>
      <c r="I4596" s="2" t="s">
        <v>785</v>
      </c>
      <c r="J4596" s="25">
        <v>46922</v>
      </c>
      <c r="K4596" s="36">
        <v>1.4E-2</v>
      </c>
      <c r="L4596" s="23">
        <v>1.4E-3</v>
      </c>
    </row>
    <row r="4597" spans="1:12" ht="15.35" hidden="1" x14ac:dyDescent="0.55000000000000004">
      <c r="A4597" s="20">
        <v>1694</v>
      </c>
      <c r="B4597" s="2" t="s">
        <v>180</v>
      </c>
      <c r="C4597" s="2" t="s">
        <v>181</v>
      </c>
      <c r="D4597" s="20">
        <v>0</v>
      </c>
      <c r="E4597" s="2" t="s">
        <v>63</v>
      </c>
      <c r="F4597" s="2" t="s">
        <v>817</v>
      </c>
      <c r="G4597" s="2" t="s">
        <v>4364</v>
      </c>
      <c r="H4597" s="2" t="s">
        <v>862</v>
      </c>
      <c r="I4597" s="2" t="s">
        <v>785</v>
      </c>
      <c r="J4597" s="25">
        <v>46922</v>
      </c>
      <c r="K4597" s="36">
        <v>3.5700000000000003E-2</v>
      </c>
      <c r="L4597" s="23">
        <v>3.5699999999999998E-3</v>
      </c>
    </row>
    <row r="4598" spans="1:12" ht="15.35" hidden="1" x14ac:dyDescent="0.55000000000000004">
      <c r="A4598" s="20">
        <v>1696</v>
      </c>
      <c r="B4598" s="2" t="s">
        <v>180</v>
      </c>
      <c r="C4598" s="2" t="s">
        <v>181</v>
      </c>
      <c r="D4598" s="20">
        <v>0</v>
      </c>
      <c r="E4598" s="2" t="s">
        <v>63</v>
      </c>
      <c r="F4598" s="2" t="s">
        <v>817</v>
      </c>
      <c r="G4598" s="2" t="s">
        <v>4364</v>
      </c>
      <c r="H4598" s="2" t="s">
        <v>862</v>
      </c>
      <c r="I4598" s="2" t="s">
        <v>785</v>
      </c>
      <c r="J4598" s="25">
        <v>46556</v>
      </c>
      <c r="K4598" s="36">
        <v>1.5299999999999999E-2</v>
      </c>
      <c r="L4598" s="23">
        <v>1.5299999999999999E-3</v>
      </c>
    </row>
    <row r="4599" spans="1:12" ht="15.35" hidden="1" x14ac:dyDescent="0.55000000000000004">
      <c r="A4599" s="20">
        <v>1753</v>
      </c>
      <c r="B4599" s="2" t="s">
        <v>180</v>
      </c>
      <c r="C4599" s="2" t="s">
        <v>181</v>
      </c>
      <c r="D4599" s="20">
        <v>0</v>
      </c>
      <c r="E4599" s="2" t="s">
        <v>63</v>
      </c>
      <c r="F4599" s="2" t="s">
        <v>783</v>
      </c>
      <c r="G4599" s="2" t="s">
        <v>4020</v>
      </c>
      <c r="H4599" s="2" t="s">
        <v>4020</v>
      </c>
      <c r="I4599" s="2" t="s">
        <v>785</v>
      </c>
      <c r="J4599" s="25">
        <v>46556</v>
      </c>
      <c r="K4599" s="36">
        <v>6.8999999999999999E-3</v>
      </c>
      <c r="L4599" s="23">
        <v>6.8999999999999997E-4</v>
      </c>
    </row>
    <row r="4600" spans="1:12" ht="15.35" hidden="1" x14ac:dyDescent="0.55000000000000004">
      <c r="A4600" s="20">
        <v>1754</v>
      </c>
      <c r="B4600" s="2" t="s">
        <v>180</v>
      </c>
      <c r="C4600" s="2" t="s">
        <v>181</v>
      </c>
      <c r="D4600" s="20">
        <v>0</v>
      </c>
      <c r="E4600" s="2" t="s">
        <v>63</v>
      </c>
      <c r="F4600" s="2" t="s">
        <v>783</v>
      </c>
      <c r="G4600" s="2" t="s">
        <v>4020</v>
      </c>
      <c r="H4600" s="2" t="s">
        <v>4020</v>
      </c>
      <c r="I4600" s="2" t="s">
        <v>785</v>
      </c>
      <c r="J4600" s="25">
        <v>46922</v>
      </c>
      <c r="K4600" s="36">
        <v>1.61E-2</v>
      </c>
      <c r="L4600" s="23">
        <v>1.6100000000000001E-3</v>
      </c>
    </row>
    <row r="4601" spans="1:12" ht="15.35" hidden="1" x14ac:dyDescent="0.55000000000000004">
      <c r="A4601" s="20">
        <v>1757</v>
      </c>
      <c r="B4601" s="2" t="s">
        <v>180</v>
      </c>
      <c r="C4601" s="2" t="s">
        <v>181</v>
      </c>
      <c r="D4601" s="20">
        <v>0</v>
      </c>
      <c r="E4601" s="2" t="s">
        <v>63</v>
      </c>
      <c r="F4601" s="2" t="s">
        <v>783</v>
      </c>
      <c r="G4601" s="2" t="s">
        <v>2686</v>
      </c>
      <c r="H4601" s="2" t="s">
        <v>2686</v>
      </c>
      <c r="I4601" s="2" t="s">
        <v>785</v>
      </c>
      <c r="J4601" s="25">
        <v>46556</v>
      </c>
      <c r="K4601" s="36">
        <v>6.8999999999999999E-3</v>
      </c>
      <c r="L4601" s="23">
        <v>6.8999999999999997E-4</v>
      </c>
    </row>
    <row r="4602" spans="1:12" ht="15.35" hidden="1" x14ac:dyDescent="0.55000000000000004">
      <c r="A4602" s="20">
        <v>1759</v>
      </c>
      <c r="B4602" s="2" t="s">
        <v>180</v>
      </c>
      <c r="C4602" s="2" t="s">
        <v>181</v>
      </c>
      <c r="D4602" s="20">
        <v>0</v>
      </c>
      <c r="E4602" s="2" t="s">
        <v>63</v>
      </c>
      <c r="F4602" s="2" t="s">
        <v>783</v>
      </c>
      <c r="G4602" s="2" t="s">
        <v>2686</v>
      </c>
      <c r="H4602" s="2" t="s">
        <v>2686</v>
      </c>
      <c r="I4602" s="2" t="s">
        <v>785</v>
      </c>
      <c r="J4602" s="25">
        <v>46922</v>
      </c>
      <c r="K4602" s="36">
        <v>1.61E-2</v>
      </c>
      <c r="L4602" s="23">
        <v>1.6100000000000001E-3</v>
      </c>
    </row>
    <row r="4603" spans="1:12" ht="15.35" hidden="1" x14ac:dyDescent="0.55000000000000004">
      <c r="A4603" s="20">
        <v>1686</v>
      </c>
      <c r="B4603" s="2" t="s">
        <v>180</v>
      </c>
      <c r="C4603" s="2" t="s">
        <v>181</v>
      </c>
      <c r="D4603" s="20">
        <v>0</v>
      </c>
      <c r="E4603" s="2" t="s">
        <v>63</v>
      </c>
      <c r="F4603" s="2" t="s">
        <v>787</v>
      </c>
      <c r="G4603" s="2" t="s">
        <v>864</v>
      </c>
      <c r="H4603" s="2" t="s">
        <v>864</v>
      </c>
      <c r="I4603" s="2" t="s">
        <v>785</v>
      </c>
      <c r="J4603" s="25">
        <v>46922</v>
      </c>
      <c r="K4603" s="36">
        <v>2.4500000000000001E-2</v>
      </c>
      <c r="L4603" s="23">
        <v>2.4499999999999999E-3</v>
      </c>
    </row>
    <row r="4604" spans="1:12" ht="15.35" hidden="1" x14ac:dyDescent="0.55000000000000004">
      <c r="A4604" s="20">
        <v>1687</v>
      </c>
      <c r="B4604" s="2" t="s">
        <v>180</v>
      </c>
      <c r="C4604" s="2" t="s">
        <v>181</v>
      </c>
      <c r="D4604" s="20">
        <v>0</v>
      </c>
      <c r="E4604" s="2" t="s">
        <v>63</v>
      </c>
      <c r="F4604" s="2" t="s">
        <v>787</v>
      </c>
      <c r="G4604" s="2" t="s">
        <v>864</v>
      </c>
      <c r="H4604" s="2" t="s">
        <v>864</v>
      </c>
      <c r="I4604" s="2" t="s">
        <v>785</v>
      </c>
      <c r="J4604" s="25">
        <v>46556</v>
      </c>
      <c r="K4604" s="36">
        <v>1.0500000000000001E-2</v>
      </c>
      <c r="L4604" s="23">
        <v>1.0499999999999999E-3</v>
      </c>
    </row>
    <row r="4605" spans="1:12" ht="15.35" hidden="1" x14ac:dyDescent="0.55000000000000004">
      <c r="A4605" s="20">
        <v>1713</v>
      </c>
      <c r="B4605" s="2" t="s">
        <v>180</v>
      </c>
      <c r="C4605" s="2" t="s">
        <v>181</v>
      </c>
      <c r="D4605" s="20">
        <v>0</v>
      </c>
      <c r="E4605" s="2" t="s">
        <v>63</v>
      </c>
      <c r="F4605" s="2" t="s">
        <v>807</v>
      </c>
      <c r="G4605" s="2" t="s">
        <v>4365</v>
      </c>
      <c r="H4605" s="2" t="s">
        <v>4365</v>
      </c>
      <c r="I4605" s="2" t="s">
        <v>809</v>
      </c>
      <c r="J4605" s="25">
        <v>47287</v>
      </c>
      <c r="K4605" s="36">
        <v>2.1</v>
      </c>
      <c r="L4605" s="23">
        <v>0.21</v>
      </c>
    </row>
    <row r="4606" spans="1:12" ht="15.35" hidden="1" x14ac:dyDescent="0.55000000000000004">
      <c r="A4606" s="20">
        <v>1714</v>
      </c>
      <c r="B4606" s="2" t="s">
        <v>180</v>
      </c>
      <c r="C4606" s="2" t="s">
        <v>181</v>
      </c>
      <c r="D4606" s="20">
        <v>0</v>
      </c>
      <c r="E4606" s="2" t="s">
        <v>63</v>
      </c>
      <c r="F4606" s="2" t="s">
        <v>807</v>
      </c>
      <c r="G4606" s="2" t="s">
        <v>4365</v>
      </c>
      <c r="H4606" s="2" t="s">
        <v>4365</v>
      </c>
      <c r="I4606" s="2" t="s">
        <v>809</v>
      </c>
      <c r="J4606" s="25">
        <v>48017</v>
      </c>
      <c r="K4606" s="36">
        <v>2</v>
      </c>
      <c r="L4606" s="23">
        <v>0.2</v>
      </c>
    </row>
    <row r="4607" spans="1:12" ht="15.35" hidden="1" x14ac:dyDescent="0.55000000000000004">
      <c r="A4607" s="20">
        <v>1701</v>
      </c>
      <c r="B4607" s="2" t="s">
        <v>180</v>
      </c>
      <c r="C4607" s="2" t="s">
        <v>181</v>
      </c>
      <c r="D4607" s="20">
        <v>0</v>
      </c>
      <c r="E4607" s="2" t="s">
        <v>63</v>
      </c>
      <c r="F4607" s="2" t="s">
        <v>817</v>
      </c>
      <c r="G4607" s="2" t="s">
        <v>4366</v>
      </c>
      <c r="H4607" s="2" t="s">
        <v>4367</v>
      </c>
      <c r="I4607" s="2" t="s">
        <v>785</v>
      </c>
      <c r="J4607" s="25">
        <v>46922</v>
      </c>
      <c r="K4607" s="36">
        <v>4.2000000000000003E-2</v>
      </c>
      <c r="L4607" s="23">
        <v>4.1999999999999997E-3</v>
      </c>
    </row>
    <row r="4608" spans="1:12" ht="15.35" hidden="1" x14ac:dyDescent="0.55000000000000004">
      <c r="A4608" s="20">
        <v>1702</v>
      </c>
      <c r="B4608" s="2" t="s">
        <v>180</v>
      </c>
      <c r="C4608" s="2" t="s">
        <v>181</v>
      </c>
      <c r="D4608" s="20">
        <v>0</v>
      </c>
      <c r="E4608" s="2" t="s">
        <v>63</v>
      </c>
      <c r="F4608" s="2" t="s">
        <v>817</v>
      </c>
      <c r="G4608" s="2" t="s">
        <v>4366</v>
      </c>
      <c r="H4608" s="2" t="s">
        <v>4367</v>
      </c>
      <c r="I4608" s="2" t="s">
        <v>785</v>
      </c>
      <c r="J4608" s="25">
        <v>46556</v>
      </c>
      <c r="K4608" s="36">
        <v>1.7999999999999999E-2</v>
      </c>
      <c r="L4608" s="23">
        <v>1.8E-3</v>
      </c>
    </row>
    <row r="4609" spans="1:12" ht="15.35" hidden="1" x14ac:dyDescent="0.55000000000000004">
      <c r="A4609" s="20">
        <v>1779</v>
      </c>
      <c r="B4609" s="2" t="s">
        <v>180</v>
      </c>
      <c r="C4609" s="2" t="s">
        <v>181</v>
      </c>
      <c r="D4609" s="20">
        <v>0</v>
      </c>
      <c r="E4609" s="2" t="s">
        <v>63</v>
      </c>
      <c r="F4609" s="2" t="s">
        <v>811</v>
      </c>
      <c r="G4609" s="2" t="s">
        <v>4368</v>
      </c>
      <c r="H4609" s="2" t="s">
        <v>4368</v>
      </c>
      <c r="I4609" s="2" t="s">
        <v>785</v>
      </c>
      <c r="J4609" s="25">
        <v>46922</v>
      </c>
      <c r="K4609" s="36">
        <v>0.154</v>
      </c>
      <c r="L4609" s="23">
        <v>1.54E-2</v>
      </c>
    </row>
    <row r="4610" spans="1:12" ht="15.35" hidden="1" x14ac:dyDescent="0.55000000000000004">
      <c r="A4610" s="20">
        <v>1787</v>
      </c>
      <c r="B4610" s="2" t="s">
        <v>180</v>
      </c>
      <c r="C4610" s="2" t="s">
        <v>181</v>
      </c>
      <c r="D4610" s="20">
        <v>0</v>
      </c>
      <c r="E4610" s="2" t="s">
        <v>63</v>
      </c>
      <c r="F4610" s="2" t="s">
        <v>811</v>
      </c>
      <c r="G4610" s="2" t="s">
        <v>4368</v>
      </c>
      <c r="H4610" s="2" t="s">
        <v>4368</v>
      </c>
      <c r="I4610" s="2" t="s">
        <v>785</v>
      </c>
      <c r="J4610" s="25">
        <v>46556</v>
      </c>
      <c r="K4610" s="36">
        <v>6.6000000000000003E-2</v>
      </c>
      <c r="L4610" s="23">
        <v>6.6E-3</v>
      </c>
    </row>
    <row r="4611" spans="1:12" ht="15.35" hidden="1" x14ac:dyDescent="0.55000000000000004">
      <c r="A4611" s="20">
        <v>1755</v>
      </c>
      <c r="B4611" s="2" t="s">
        <v>180</v>
      </c>
      <c r="C4611" s="2" t="s">
        <v>181</v>
      </c>
      <c r="D4611" s="20">
        <v>0</v>
      </c>
      <c r="E4611" s="2" t="s">
        <v>63</v>
      </c>
      <c r="F4611" s="2" t="s">
        <v>813</v>
      </c>
      <c r="G4611" s="2" t="s">
        <v>4369</v>
      </c>
      <c r="H4611" s="2" t="s">
        <v>4369</v>
      </c>
      <c r="I4611" s="2" t="s">
        <v>785</v>
      </c>
      <c r="J4611" s="25">
        <v>46556</v>
      </c>
      <c r="K4611" s="36">
        <v>6.8999999999999999E-3</v>
      </c>
      <c r="L4611" s="23">
        <v>6.8999999999999997E-4</v>
      </c>
    </row>
    <row r="4612" spans="1:12" ht="15.35" hidden="1" x14ac:dyDescent="0.55000000000000004">
      <c r="A4612" s="20">
        <v>1756</v>
      </c>
      <c r="B4612" s="2" t="s">
        <v>180</v>
      </c>
      <c r="C4612" s="2" t="s">
        <v>181</v>
      </c>
      <c r="D4612" s="20">
        <v>0</v>
      </c>
      <c r="E4612" s="2" t="s">
        <v>63</v>
      </c>
      <c r="F4612" s="2" t="s">
        <v>813</v>
      </c>
      <c r="G4612" s="2" t="s">
        <v>4369</v>
      </c>
      <c r="H4612" s="2" t="s">
        <v>4369</v>
      </c>
      <c r="I4612" s="2" t="s">
        <v>785</v>
      </c>
      <c r="J4612" s="25">
        <v>46922</v>
      </c>
      <c r="K4612" s="36">
        <v>1.61E-2</v>
      </c>
      <c r="L4612" s="23">
        <v>1.6100000000000001E-3</v>
      </c>
    </row>
    <row r="4613" spans="1:12" ht="15.35" hidden="1" x14ac:dyDescent="0.55000000000000004">
      <c r="A4613" s="20">
        <v>12970</v>
      </c>
      <c r="B4613" s="2" t="s">
        <v>180</v>
      </c>
      <c r="C4613" s="2" t="s">
        <v>181</v>
      </c>
      <c r="D4613" s="20">
        <v>0</v>
      </c>
      <c r="E4613" s="2" t="s">
        <v>838</v>
      </c>
      <c r="F4613" s="2" t="s">
        <v>793</v>
      </c>
      <c r="G4613" s="2" t="s">
        <v>4370</v>
      </c>
      <c r="H4613" s="2" t="s">
        <v>4370</v>
      </c>
      <c r="J4613" s="26"/>
      <c r="K4613" s="36">
        <v>1.7E-6</v>
      </c>
      <c r="L4613" s="23">
        <v>1.6999999999999999E-7</v>
      </c>
    </row>
    <row r="4614" spans="1:12" ht="15.35" hidden="1" x14ac:dyDescent="0.55000000000000004">
      <c r="A4614" s="20">
        <v>13065</v>
      </c>
      <c r="B4614" s="2" t="s">
        <v>180</v>
      </c>
      <c r="C4614" s="2" t="s">
        <v>181</v>
      </c>
      <c r="D4614" s="20">
        <v>0</v>
      </c>
      <c r="E4614" s="2" t="s">
        <v>838</v>
      </c>
      <c r="F4614" s="2" t="s">
        <v>793</v>
      </c>
      <c r="G4614" s="2" t="s">
        <v>1002</v>
      </c>
      <c r="H4614" s="2" t="s">
        <v>1003</v>
      </c>
      <c r="J4614" s="26"/>
      <c r="K4614" s="36">
        <v>4.4000000000000002E-7</v>
      </c>
      <c r="L4614" s="23">
        <v>4.0000000000000001E-8</v>
      </c>
    </row>
    <row r="4615" spans="1:12" ht="15.35" hidden="1" x14ac:dyDescent="0.55000000000000004">
      <c r="A4615" s="20">
        <v>13088</v>
      </c>
      <c r="B4615" s="2" t="s">
        <v>180</v>
      </c>
      <c r="C4615" s="2" t="s">
        <v>181</v>
      </c>
      <c r="D4615" s="20">
        <v>0</v>
      </c>
      <c r="E4615" s="2" t="s">
        <v>838</v>
      </c>
      <c r="F4615" s="2" t="s">
        <v>793</v>
      </c>
      <c r="G4615" s="2" t="s">
        <v>2713</v>
      </c>
      <c r="H4615" s="2" t="s">
        <v>1003</v>
      </c>
      <c r="J4615" s="26"/>
      <c r="K4615" s="36">
        <v>3.4999999999999998E-7</v>
      </c>
      <c r="L4615" s="23">
        <v>4.0000000000000001E-8</v>
      </c>
    </row>
    <row r="4616" spans="1:12" ht="15.35" hidden="1" x14ac:dyDescent="0.55000000000000004">
      <c r="A4616" s="20">
        <v>13360</v>
      </c>
      <c r="B4616" s="2" t="s">
        <v>180</v>
      </c>
      <c r="C4616" s="2" t="s">
        <v>181</v>
      </c>
      <c r="D4616" s="20">
        <v>0</v>
      </c>
      <c r="E4616" s="2" t="s">
        <v>838</v>
      </c>
      <c r="F4616" s="2" t="s">
        <v>817</v>
      </c>
      <c r="G4616" s="2" t="s">
        <v>4371</v>
      </c>
      <c r="H4616" s="2" t="s">
        <v>1198</v>
      </c>
      <c r="J4616" s="26"/>
      <c r="K4616" s="36">
        <v>1E-8</v>
      </c>
      <c r="L4616" s="23">
        <v>0</v>
      </c>
    </row>
    <row r="4617" spans="1:12" ht="15.35" hidden="1" x14ac:dyDescent="0.55000000000000004">
      <c r="A4617" s="20">
        <v>13089</v>
      </c>
      <c r="B4617" s="2" t="s">
        <v>180</v>
      </c>
      <c r="C4617" s="2" t="s">
        <v>181</v>
      </c>
      <c r="D4617" s="20">
        <v>0</v>
      </c>
      <c r="E4617" s="2" t="s">
        <v>838</v>
      </c>
      <c r="F4617" s="2" t="s">
        <v>817</v>
      </c>
      <c r="G4617" s="2" t="s">
        <v>1825</v>
      </c>
      <c r="H4617" s="2" t="s">
        <v>1826</v>
      </c>
      <c r="J4617" s="26"/>
      <c r="K4617" s="36">
        <v>3.4999999999999998E-7</v>
      </c>
      <c r="L4617" s="23">
        <v>2.9999999999999997E-8</v>
      </c>
    </row>
    <row r="4618" spans="1:12" ht="15.35" hidden="1" x14ac:dyDescent="0.55000000000000004">
      <c r="A4618" s="20">
        <v>13092</v>
      </c>
      <c r="B4618" s="2" t="s">
        <v>180</v>
      </c>
      <c r="C4618" s="2" t="s">
        <v>181</v>
      </c>
      <c r="D4618" s="20">
        <v>0</v>
      </c>
      <c r="E4618" s="2" t="s">
        <v>838</v>
      </c>
      <c r="F4618" s="2" t="s">
        <v>817</v>
      </c>
      <c r="G4618" s="2" t="s">
        <v>2734</v>
      </c>
      <c r="H4618" s="2" t="s">
        <v>1826</v>
      </c>
      <c r="J4618" s="26"/>
      <c r="K4618" s="36">
        <v>3.4999999999999998E-7</v>
      </c>
      <c r="L4618" s="23">
        <v>2.9999999999999997E-8</v>
      </c>
    </row>
    <row r="4619" spans="1:12" ht="15.35" hidden="1" x14ac:dyDescent="0.55000000000000004">
      <c r="A4619" s="20">
        <v>13090</v>
      </c>
      <c r="B4619" s="2" t="s">
        <v>180</v>
      </c>
      <c r="C4619" s="2" t="s">
        <v>181</v>
      </c>
      <c r="D4619" s="20">
        <v>0</v>
      </c>
      <c r="E4619" s="2" t="s">
        <v>838</v>
      </c>
      <c r="F4619" s="2" t="s">
        <v>817</v>
      </c>
      <c r="G4619" s="2" t="s">
        <v>2735</v>
      </c>
      <c r="H4619" s="2" t="s">
        <v>1826</v>
      </c>
      <c r="J4619" s="26"/>
      <c r="K4619" s="36">
        <v>3.4999999999999998E-7</v>
      </c>
      <c r="L4619" s="23">
        <v>2.9999999999999997E-8</v>
      </c>
    </row>
    <row r="4620" spans="1:12" ht="15.35" hidden="1" x14ac:dyDescent="0.55000000000000004">
      <c r="A4620" s="20">
        <v>13164</v>
      </c>
      <c r="B4620" s="2" t="s">
        <v>180</v>
      </c>
      <c r="C4620" s="2" t="s">
        <v>181</v>
      </c>
      <c r="D4620" s="20">
        <v>0</v>
      </c>
      <c r="E4620" s="2" t="s">
        <v>838</v>
      </c>
      <c r="F4620" s="2" t="s">
        <v>811</v>
      </c>
      <c r="G4620" s="2" t="s">
        <v>4372</v>
      </c>
      <c r="H4620" s="2" t="s">
        <v>4373</v>
      </c>
      <c r="J4620" s="26"/>
      <c r="K4620" s="36">
        <v>1.1000000000000001E-7</v>
      </c>
      <c r="L4620" s="23">
        <v>1E-8</v>
      </c>
    </row>
    <row r="4621" spans="1:12" ht="15.35" hidden="1" x14ac:dyDescent="0.55000000000000004">
      <c r="A4621" s="20">
        <v>13181</v>
      </c>
      <c r="B4621" s="2" t="s">
        <v>180</v>
      </c>
      <c r="C4621" s="2" t="s">
        <v>181</v>
      </c>
      <c r="D4621" s="20">
        <v>0</v>
      </c>
      <c r="E4621" s="2" t="s">
        <v>838</v>
      </c>
      <c r="F4621" s="2" t="s">
        <v>811</v>
      </c>
      <c r="G4621" s="2" t="s">
        <v>4374</v>
      </c>
      <c r="H4621" s="2" t="s">
        <v>4373</v>
      </c>
      <c r="J4621" s="26"/>
      <c r="K4621" s="36">
        <v>8.9999999999999999E-8</v>
      </c>
      <c r="L4621" s="23">
        <v>1E-8</v>
      </c>
    </row>
    <row r="4622" spans="1:12" ht="15.35" hidden="1" x14ac:dyDescent="0.55000000000000004">
      <c r="A4622" s="20">
        <v>13192</v>
      </c>
      <c r="B4622" s="2" t="s">
        <v>180</v>
      </c>
      <c r="C4622" s="2" t="s">
        <v>181</v>
      </c>
      <c r="D4622" s="20">
        <v>0</v>
      </c>
      <c r="E4622" s="2" t="s">
        <v>838</v>
      </c>
      <c r="F4622" s="2" t="s">
        <v>811</v>
      </c>
      <c r="G4622" s="2" t="s">
        <v>4375</v>
      </c>
      <c r="H4622" s="2" t="s">
        <v>4373</v>
      </c>
      <c r="J4622" s="26"/>
      <c r="K4622" s="36">
        <v>7.0000000000000005E-8</v>
      </c>
      <c r="L4622" s="23">
        <v>1E-8</v>
      </c>
    </row>
    <row r="4623" spans="1:12" ht="15.35" hidden="1" x14ac:dyDescent="0.55000000000000004">
      <c r="A4623" s="20">
        <v>13157</v>
      </c>
      <c r="B4623" s="2" t="s">
        <v>180</v>
      </c>
      <c r="C4623" s="2" t="s">
        <v>181</v>
      </c>
      <c r="D4623" s="20">
        <v>0</v>
      </c>
      <c r="E4623" s="2" t="s">
        <v>838</v>
      </c>
      <c r="F4623" s="2" t="s">
        <v>811</v>
      </c>
      <c r="G4623" s="2" t="s">
        <v>4376</v>
      </c>
      <c r="H4623" s="2" t="s">
        <v>4373</v>
      </c>
      <c r="J4623" s="26"/>
      <c r="K4623" s="36">
        <v>1.1999999999999999E-7</v>
      </c>
      <c r="L4623" s="23">
        <v>1E-8</v>
      </c>
    </row>
    <row r="4624" spans="1:12" ht="15.35" hidden="1" x14ac:dyDescent="0.55000000000000004">
      <c r="A4624" s="20">
        <v>13163</v>
      </c>
      <c r="B4624" s="2" t="s">
        <v>180</v>
      </c>
      <c r="C4624" s="2" t="s">
        <v>181</v>
      </c>
      <c r="D4624" s="20">
        <v>0</v>
      </c>
      <c r="E4624" s="2" t="s">
        <v>838</v>
      </c>
      <c r="F4624" s="2" t="s">
        <v>811</v>
      </c>
      <c r="G4624" s="2" t="s">
        <v>4377</v>
      </c>
      <c r="H4624" s="2" t="s">
        <v>4373</v>
      </c>
      <c r="J4624" s="26"/>
      <c r="K4624" s="36">
        <v>1.1000000000000001E-7</v>
      </c>
      <c r="L4624" s="23">
        <v>1E-8</v>
      </c>
    </row>
    <row r="4625" spans="1:12" ht="15.35" hidden="1" x14ac:dyDescent="0.55000000000000004">
      <c r="A4625" s="20">
        <v>13322</v>
      </c>
      <c r="B4625" s="2" t="s">
        <v>180</v>
      </c>
      <c r="C4625" s="2" t="s">
        <v>181</v>
      </c>
      <c r="D4625" s="20">
        <v>0</v>
      </c>
      <c r="E4625" s="2" t="s">
        <v>838</v>
      </c>
      <c r="F4625" s="2" t="s">
        <v>811</v>
      </c>
      <c r="G4625" s="2" t="s">
        <v>4378</v>
      </c>
      <c r="H4625" s="2" t="s">
        <v>4373</v>
      </c>
      <c r="J4625" s="26"/>
      <c r="K4625" s="36">
        <v>2E-8</v>
      </c>
      <c r="L4625" s="23">
        <v>0</v>
      </c>
    </row>
    <row r="4626" spans="1:12" ht="15.35" hidden="1" x14ac:dyDescent="0.55000000000000004">
      <c r="A4626" s="20">
        <v>13186</v>
      </c>
      <c r="B4626" s="2" t="s">
        <v>180</v>
      </c>
      <c r="C4626" s="2" t="s">
        <v>181</v>
      </c>
      <c r="D4626" s="20">
        <v>0</v>
      </c>
      <c r="E4626" s="2" t="s">
        <v>838</v>
      </c>
      <c r="F4626" s="2" t="s">
        <v>811</v>
      </c>
      <c r="G4626" s="2" t="s">
        <v>4379</v>
      </c>
      <c r="H4626" s="2" t="s">
        <v>4373</v>
      </c>
      <c r="J4626" s="26"/>
      <c r="K4626" s="36">
        <v>8.9999999999999999E-8</v>
      </c>
      <c r="L4626" s="23">
        <v>1E-8</v>
      </c>
    </row>
    <row r="4627" spans="1:12" ht="15.35" hidden="1" x14ac:dyDescent="0.55000000000000004">
      <c r="A4627" s="20">
        <v>13127</v>
      </c>
      <c r="B4627" s="2" t="s">
        <v>180</v>
      </c>
      <c r="C4627" s="2" t="s">
        <v>181</v>
      </c>
      <c r="D4627" s="20">
        <v>0</v>
      </c>
      <c r="E4627" s="2" t="s">
        <v>838</v>
      </c>
      <c r="F4627" s="2" t="s">
        <v>811</v>
      </c>
      <c r="G4627" s="2" t="s">
        <v>4380</v>
      </c>
      <c r="H4627" s="2" t="s">
        <v>2609</v>
      </c>
      <c r="J4627" s="26"/>
      <c r="K4627" s="36">
        <v>1.9000000000000001E-7</v>
      </c>
      <c r="L4627" s="23">
        <v>2E-8</v>
      </c>
    </row>
    <row r="4628" spans="1:12" ht="15.35" hidden="1" x14ac:dyDescent="0.55000000000000004">
      <c r="A4628" s="20">
        <v>13142</v>
      </c>
      <c r="B4628" s="2" t="s">
        <v>180</v>
      </c>
      <c r="C4628" s="2" t="s">
        <v>181</v>
      </c>
      <c r="D4628" s="20">
        <v>0</v>
      </c>
      <c r="E4628" s="2" t="s">
        <v>838</v>
      </c>
      <c r="F4628" s="2" t="s">
        <v>811</v>
      </c>
      <c r="G4628" s="2" t="s">
        <v>4381</v>
      </c>
      <c r="H4628" s="2" t="s">
        <v>2609</v>
      </c>
      <c r="J4628" s="26"/>
      <c r="K4628" s="36">
        <v>1.6E-7</v>
      </c>
      <c r="L4628" s="23">
        <v>2E-8</v>
      </c>
    </row>
    <row r="4629" spans="1:12" ht="15.35" hidden="1" x14ac:dyDescent="0.55000000000000004">
      <c r="A4629" s="20">
        <v>13202</v>
      </c>
      <c r="B4629" s="2" t="s">
        <v>180</v>
      </c>
      <c r="C4629" s="2" t="s">
        <v>181</v>
      </c>
      <c r="D4629" s="20">
        <v>0</v>
      </c>
      <c r="E4629" s="2" t="s">
        <v>838</v>
      </c>
      <c r="F4629" s="2" t="s">
        <v>811</v>
      </c>
      <c r="G4629" s="2" t="s">
        <v>2739</v>
      </c>
      <c r="H4629" s="2" t="s">
        <v>2609</v>
      </c>
      <c r="J4629" s="26"/>
      <c r="K4629" s="36">
        <v>5.9999999999999995E-8</v>
      </c>
      <c r="L4629" s="23">
        <v>1E-8</v>
      </c>
    </row>
    <row r="4630" spans="1:12" ht="15.35" hidden="1" x14ac:dyDescent="0.55000000000000004">
      <c r="A4630" s="20">
        <v>13094</v>
      </c>
      <c r="B4630" s="2" t="s">
        <v>180</v>
      </c>
      <c r="C4630" s="2" t="s">
        <v>181</v>
      </c>
      <c r="D4630" s="20">
        <v>0</v>
      </c>
      <c r="E4630" s="2" t="s">
        <v>838</v>
      </c>
      <c r="F4630" s="2" t="s">
        <v>811</v>
      </c>
      <c r="G4630" s="2" t="s">
        <v>2740</v>
      </c>
      <c r="H4630" s="2" t="s">
        <v>1778</v>
      </c>
      <c r="J4630" s="26"/>
      <c r="K4630" s="36">
        <v>3.3999999999999997E-7</v>
      </c>
      <c r="L4630" s="23">
        <v>2.9999999999999997E-8</v>
      </c>
    </row>
    <row r="4631" spans="1:12" ht="15.35" hidden="1" x14ac:dyDescent="0.55000000000000004">
      <c r="A4631" s="20">
        <v>13079</v>
      </c>
      <c r="B4631" s="2" t="s">
        <v>180</v>
      </c>
      <c r="C4631" s="2" t="s">
        <v>181</v>
      </c>
      <c r="D4631" s="20">
        <v>0</v>
      </c>
      <c r="E4631" s="2" t="s">
        <v>838</v>
      </c>
      <c r="F4631" s="2" t="s">
        <v>811</v>
      </c>
      <c r="G4631" s="2" t="s">
        <v>2741</v>
      </c>
      <c r="H4631" s="2" t="s">
        <v>1778</v>
      </c>
      <c r="J4631" s="26"/>
      <c r="K4631" s="36">
        <v>3.9000000000000002E-7</v>
      </c>
      <c r="L4631" s="23">
        <v>4.0000000000000001E-8</v>
      </c>
    </row>
    <row r="4632" spans="1:12" ht="15.35" hidden="1" x14ac:dyDescent="0.55000000000000004">
      <c r="A4632" s="20">
        <v>13155</v>
      </c>
      <c r="B4632" s="2" t="s">
        <v>180</v>
      </c>
      <c r="C4632" s="2" t="s">
        <v>181</v>
      </c>
      <c r="D4632" s="20">
        <v>0</v>
      </c>
      <c r="E4632" s="2" t="s">
        <v>838</v>
      </c>
      <c r="F4632" s="2" t="s">
        <v>811</v>
      </c>
      <c r="G4632" s="2" t="s">
        <v>2742</v>
      </c>
      <c r="H4632" s="2" t="s">
        <v>1778</v>
      </c>
      <c r="J4632" s="26"/>
      <c r="K4632" s="36">
        <v>1.4000000000000001E-7</v>
      </c>
      <c r="L4632" s="23">
        <v>1E-8</v>
      </c>
    </row>
    <row r="4633" spans="1:12" ht="15.35" hidden="1" x14ac:dyDescent="0.55000000000000004">
      <c r="A4633" s="20">
        <v>13149</v>
      </c>
      <c r="B4633" s="2" t="s">
        <v>180</v>
      </c>
      <c r="C4633" s="2" t="s">
        <v>181</v>
      </c>
      <c r="D4633" s="20">
        <v>0</v>
      </c>
      <c r="E4633" s="2" t="s">
        <v>838</v>
      </c>
      <c r="F4633" s="2" t="s">
        <v>848</v>
      </c>
      <c r="G4633" s="2" t="s">
        <v>1004</v>
      </c>
      <c r="H4633" s="2" t="s">
        <v>1004</v>
      </c>
      <c r="J4633" s="26"/>
      <c r="K4633" s="36">
        <v>1.4000000000000001E-7</v>
      </c>
      <c r="L4633" s="23">
        <v>1E-8</v>
      </c>
    </row>
    <row r="4634" spans="1:12" ht="15.35" hidden="1" x14ac:dyDescent="0.55000000000000004">
      <c r="A4634" s="20">
        <v>12949</v>
      </c>
      <c r="B4634" s="2" t="s">
        <v>180</v>
      </c>
      <c r="C4634" s="2" t="s">
        <v>181</v>
      </c>
      <c r="D4634" s="20">
        <v>0</v>
      </c>
      <c r="E4634" s="2" t="s">
        <v>838</v>
      </c>
      <c r="F4634" s="2" t="s">
        <v>848</v>
      </c>
      <c r="G4634" s="2" t="s">
        <v>1203</v>
      </c>
      <c r="H4634" s="2" t="s">
        <v>1203</v>
      </c>
      <c r="J4634" s="26"/>
      <c r="K4634" s="36">
        <v>1.7E-6</v>
      </c>
      <c r="L4634" s="23">
        <v>1.6999999999999999E-7</v>
      </c>
    </row>
    <row r="4635" spans="1:12" ht="15.35" hidden="1" x14ac:dyDescent="0.55000000000000004">
      <c r="A4635" s="20">
        <v>13129</v>
      </c>
      <c r="B4635" s="2" t="s">
        <v>180</v>
      </c>
      <c r="C4635" s="2" t="s">
        <v>181</v>
      </c>
      <c r="D4635" s="20">
        <v>0</v>
      </c>
      <c r="E4635" s="2" t="s">
        <v>838</v>
      </c>
      <c r="F4635" s="2" t="s">
        <v>793</v>
      </c>
      <c r="G4635" s="2" t="s">
        <v>4163</v>
      </c>
      <c r="H4635" s="2" t="s">
        <v>4164</v>
      </c>
      <c r="J4635" s="26"/>
      <c r="K4635" s="36">
        <v>1.9000000000000001E-7</v>
      </c>
      <c r="L4635" s="23">
        <v>2E-8</v>
      </c>
    </row>
    <row r="4636" spans="1:12" ht="15.35" hidden="1" x14ac:dyDescent="0.55000000000000004">
      <c r="A4636" s="20">
        <v>13321</v>
      </c>
      <c r="B4636" s="2" t="s">
        <v>180</v>
      </c>
      <c r="C4636" s="2" t="s">
        <v>181</v>
      </c>
      <c r="D4636" s="20">
        <v>0</v>
      </c>
      <c r="E4636" s="2" t="s">
        <v>838</v>
      </c>
      <c r="F4636" s="2" t="s">
        <v>793</v>
      </c>
      <c r="G4636" s="2" t="s">
        <v>4382</v>
      </c>
      <c r="H4636" s="2" t="s">
        <v>1007</v>
      </c>
      <c r="J4636" s="26"/>
      <c r="K4636" s="36">
        <v>2E-8</v>
      </c>
      <c r="L4636" s="23">
        <v>0</v>
      </c>
    </row>
    <row r="4637" spans="1:12" ht="15.35" hidden="1" x14ac:dyDescent="0.55000000000000004">
      <c r="A4637" s="20">
        <v>13119</v>
      </c>
      <c r="B4637" s="2" t="s">
        <v>180</v>
      </c>
      <c r="C4637" s="2" t="s">
        <v>181</v>
      </c>
      <c r="D4637" s="20">
        <v>0</v>
      </c>
      <c r="E4637" s="2" t="s">
        <v>838</v>
      </c>
      <c r="F4637" s="2" t="s">
        <v>793</v>
      </c>
      <c r="G4637" s="2" t="s">
        <v>4165</v>
      </c>
      <c r="H4637" s="2" t="s">
        <v>1007</v>
      </c>
      <c r="J4637" s="26"/>
      <c r="K4637" s="36">
        <v>2.1E-7</v>
      </c>
      <c r="L4637" s="23">
        <v>2E-8</v>
      </c>
    </row>
    <row r="4638" spans="1:12" ht="15.35" hidden="1" x14ac:dyDescent="0.55000000000000004">
      <c r="A4638" s="20">
        <v>13033</v>
      </c>
      <c r="B4638" s="2" t="s">
        <v>180</v>
      </c>
      <c r="C4638" s="2" t="s">
        <v>181</v>
      </c>
      <c r="D4638" s="20">
        <v>0</v>
      </c>
      <c r="E4638" s="2" t="s">
        <v>838</v>
      </c>
      <c r="F4638" s="2" t="s">
        <v>793</v>
      </c>
      <c r="G4638" s="2" t="s">
        <v>1008</v>
      </c>
      <c r="H4638" s="2" t="s">
        <v>1007</v>
      </c>
      <c r="J4638" s="26"/>
      <c r="K4638" s="36">
        <v>7.3E-7</v>
      </c>
      <c r="L4638" s="23">
        <v>7.0000000000000005E-8</v>
      </c>
    </row>
    <row r="4639" spans="1:12" ht="15.35" hidden="1" x14ac:dyDescent="0.55000000000000004">
      <c r="A4639" s="20">
        <v>13118</v>
      </c>
      <c r="B4639" s="2" t="s">
        <v>180</v>
      </c>
      <c r="C4639" s="2" t="s">
        <v>181</v>
      </c>
      <c r="D4639" s="20">
        <v>0</v>
      </c>
      <c r="E4639" s="2" t="s">
        <v>838</v>
      </c>
      <c r="F4639" s="2" t="s">
        <v>793</v>
      </c>
      <c r="G4639" s="2" t="s">
        <v>3471</v>
      </c>
      <c r="H4639" s="2" t="s">
        <v>1007</v>
      </c>
      <c r="J4639" s="26"/>
      <c r="K4639" s="36">
        <v>2.2000000000000001E-7</v>
      </c>
      <c r="L4639" s="23">
        <v>2E-8</v>
      </c>
    </row>
    <row r="4640" spans="1:12" ht="15.35" hidden="1" x14ac:dyDescent="0.55000000000000004">
      <c r="A4640" s="20">
        <v>13011</v>
      </c>
      <c r="B4640" s="2" t="s">
        <v>180</v>
      </c>
      <c r="C4640" s="2" t="s">
        <v>181</v>
      </c>
      <c r="D4640" s="20">
        <v>0</v>
      </c>
      <c r="E4640" s="2" t="s">
        <v>838</v>
      </c>
      <c r="F4640" s="2" t="s">
        <v>793</v>
      </c>
      <c r="G4640" s="2" t="s">
        <v>4166</v>
      </c>
      <c r="H4640" s="2" t="s">
        <v>1007</v>
      </c>
      <c r="J4640" s="26"/>
      <c r="K4640" s="36">
        <v>1.0699999999999999E-6</v>
      </c>
      <c r="L4640" s="23">
        <v>1.1000000000000001E-7</v>
      </c>
    </row>
    <row r="4641" spans="1:12" ht="15.35" hidden="1" x14ac:dyDescent="0.55000000000000004">
      <c r="A4641" s="20">
        <v>13117</v>
      </c>
      <c r="B4641" s="2" t="s">
        <v>180</v>
      </c>
      <c r="C4641" s="2" t="s">
        <v>181</v>
      </c>
      <c r="D4641" s="20">
        <v>0</v>
      </c>
      <c r="E4641" s="2" t="s">
        <v>838</v>
      </c>
      <c r="F4641" s="2" t="s">
        <v>793</v>
      </c>
      <c r="G4641" s="2" t="s">
        <v>4167</v>
      </c>
      <c r="H4641" s="2" t="s">
        <v>1007</v>
      </c>
      <c r="J4641" s="26"/>
      <c r="K4641" s="36">
        <v>2.2000000000000001E-7</v>
      </c>
      <c r="L4641" s="23">
        <v>2E-8</v>
      </c>
    </row>
    <row r="4642" spans="1:12" ht="15.35" hidden="1" x14ac:dyDescent="0.55000000000000004">
      <c r="A4642" s="20">
        <v>12956</v>
      </c>
      <c r="B4642" s="2" t="s">
        <v>180</v>
      </c>
      <c r="C4642" s="2" t="s">
        <v>181</v>
      </c>
      <c r="D4642" s="20">
        <v>0</v>
      </c>
      <c r="E4642" s="2" t="s">
        <v>838</v>
      </c>
      <c r="F4642" s="2" t="s">
        <v>793</v>
      </c>
      <c r="G4642" s="2" t="s">
        <v>4168</v>
      </c>
      <c r="H4642" s="2" t="s">
        <v>1007</v>
      </c>
      <c r="J4642" s="26"/>
      <c r="K4642" s="36">
        <v>1.7E-6</v>
      </c>
      <c r="L4642" s="23">
        <v>1.6999999999999999E-7</v>
      </c>
    </row>
    <row r="4643" spans="1:12" ht="15.35" hidden="1" x14ac:dyDescent="0.55000000000000004">
      <c r="A4643" s="20">
        <v>13146</v>
      </c>
      <c r="B4643" s="2" t="s">
        <v>180</v>
      </c>
      <c r="C4643" s="2" t="s">
        <v>181</v>
      </c>
      <c r="D4643" s="20">
        <v>0</v>
      </c>
      <c r="E4643" s="2" t="s">
        <v>838</v>
      </c>
      <c r="F4643" s="2" t="s">
        <v>793</v>
      </c>
      <c r="G4643" s="2" t="s">
        <v>4169</v>
      </c>
      <c r="H4643" s="2" t="s">
        <v>1007</v>
      </c>
      <c r="J4643" s="26"/>
      <c r="K4643" s="36">
        <v>1.4000000000000001E-7</v>
      </c>
      <c r="L4643" s="23">
        <v>1E-8</v>
      </c>
    </row>
    <row r="4644" spans="1:12" ht="15.35" hidden="1" x14ac:dyDescent="0.55000000000000004">
      <c r="A4644" s="20">
        <v>13122</v>
      </c>
      <c r="B4644" s="2" t="s">
        <v>180</v>
      </c>
      <c r="C4644" s="2" t="s">
        <v>181</v>
      </c>
      <c r="D4644" s="20">
        <v>0</v>
      </c>
      <c r="E4644" s="2" t="s">
        <v>838</v>
      </c>
      <c r="F4644" s="2" t="s">
        <v>793</v>
      </c>
      <c r="G4644" s="2" t="s">
        <v>2759</v>
      </c>
      <c r="H4644" s="2" t="s">
        <v>1007</v>
      </c>
      <c r="J4644" s="26"/>
      <c r="K4644" s="36">
        <v>1.9999999999999999E-7</v>
      </c>
      <c r="L4644" s="23">
        <v>2E-8</v>
      </c>
    </row>
    <row r="4645" spans="1:12" ht="15.35" hidden="1" x14ac:dyDescent="0.55000000000000004">
      <c r="A4645" s="20">
        <v>13108</v>
      </c>
      <c r="B4645" s="2" t="s">
        <v>180</v>
      </c>
      <c r="C4645" s="2" t="s">
        <v>181</v>
      </c>
      <c r="D4645" s="20">
        <v>0</v>
      </c>
      <c r="E4645" s="2" t="s">
        <v>838</v>
      </c>
      <c r="F4645" s="2" t="s">
        <v>793</v>
      </c>
      <c r="G4645" s="2" t="s">
        <v>4170</v>
      </c>
      <c r="H4645" s="2" t="s">
        <v>1007</v>
      </c>
      <c r="J4645" s="26"/>
      <c r="K4645" s="36">
        <v>2.6E-7</v>
      </c>
      <c r="L4645" s="23">
        <v>2.9999999999999997E-8</v>
      </c>
    </row>
    <row r="4646" spans="1:12" ht="15.35" hidden="1" x14ac:dyDescent="0.55000000000000004">
      <c r="A4646" s="20">
        <v>13103</v>
      </c>
      <c r="B4646" s="2" t="s">
        <v>180</v>
      </c>
      <c r="C4646" s="2" t="s">
        <v>181</v>
      </c>
      <c r="D4646" s="20">
        <v>0</v>
      </c>
      <c r="E4646" s="2" t="s">
        <v>838</v>
      </c>
      <c r="F4646" s="2" t="s">
        <v>848</v>
      </c>
      <c r="G4646" s="2" t="s">
        <v>1216</v>
      </c>
      <c r="H4646" s="2" t="s">
        <v>1216</v>
      </c>
      <c r="J4646" s="26"/>
      <c r="K4646" s="36">
        <v>2.7000000000000001E-7</v>
      </c>
      <c r="L4646" s="23">
        <v>2.9999999999999997E-8</v>
      </c>
    </row>
    <row r="4647" spans="1:12" ht="15.35" hidden="1" x14ac:dyDescent="0.55000000000000004">
      <c r="A4647" s="20">
        <v>13205</v>
      </c>
      <c r="B4647" s="2" t="s">
        <v>180</v>
      </c>
      <c r="C4647" s="2" t="s">
        <v>181</v>
      </c>
      <c r="D4647" s="20">
        <v>0</v>
      </c>
      <c r="E4647" s="2" t="s">
        <v>838</v>
      </c>
      <c r="F4647" s="2" t="s">
        <v>793</v>
      </c>
      <c r="G4647" s="2" t="s">
        <v>2771</v>
      </c>
      <c r="H4647" s="2" t="s">
        <v>1848</v>
      </c>
      <c r="J4647" s="26"/>
      <c r="K4647" s="36">
        <v>4.9999999999999998E-8</v>
      </c>
      <c r="L4647" s="23">
        <v>1E-8</v>
      </c>
    </row>
    <row r="4648" spans="1:12" ht="15.35" hidden="1" x14ac:dyDescent="0.55000000000000004">
      <c r="A4648" s="20">
        <v>13056</v>
      </c>
      <c r="B4648" s="2" t="s">
        <v>180</v>
      </c>
      <c r="C4648" s="2" t="s">
        <v>181</v>
      </c>
      <c r="D4648" s="20">
        <v>0</v>
      </c>
      <c r="E4648" s="2" t="s">
        <v>838</v>
      </c>
      <c r="F4648" s="2" t="s">
        <v>793</v>
      </c>
      <c r="G4648" s="2" t="s">
        <v>2772</v>
      </c>
      <c r="H4648" s="2" t="s">
        <v>1848</v>
      </c>
      <c r="J4648" s="26"/>
      <c r="K4648" s="36">
        <v>5.3000000000000001E-7</v>
      </c>
      <c r="L4648" s="23">
        <v>4.9999999999999998E-8</v>
      </c>
    </row>
    <row r="4649" spans="1:12" ht="15.35" hidden="1" x14ac:dyDescent="0.55000000000000004">
      <c r="A4649" s="20">
        <v>12978</v>
      </c>
      <c r="B4649" s="2" t="s">
        <v>180</v>
      </c>
      <c r="C4649" s="2" t="s">
        <v>181</v>
      </c>
      <c r="D4649" s="20">
        <v>0</v>
      </c>
      <c r="E4649" s="2" t="s">
        <v>838</v>
      </c>
      <c r="F4649" s="2" t="s">
        <v>793</v>
      </c>
      <c r="G4649" s="2" t="s">
        <v>2773</v>
      </c>
      <c r="H4649" s="2" t="s">
        <v>1848</v>
      </c>
      <c r="J4649" s="26"/>
      <c r="K4649" s="36">
        <v>1.7E-6</v>
      </c>
      <c r="L4649" s="23">
        <v>1.6999999999999999E-7</v>
      </c>
    </row>
    <row r="4650" spans="1:12" ht="15.35" hidden="1" x14ac:dyDescent="0.55000000000000004">
      <c r="A4650" s="20">
        <v>13010</v>
      </c>
      <c r="B4650" s="2" t="s">
        <v>180</v>
      </c>
      <c r="C4650" s="2" t="s">
        <v>181</v>
      </c>
      <c r="D4650" s="20">
        <v>0</v>
      </c>
      <c r="E4650" s="2" t="s">
        <v>838</v>
      </c>
      <c r="F4650" s="2" t="s">
        <v>793</v>
      </c>
      <c r="G4650" s="2" t="s">
        <v>2774</v>
      </c>
      <c r="H4650" s="2" t="s">
        <v>1848</v>
      </c>
      <c r="J4650" s="26"/>
      <c r="K4650" s="36">
        <v>1.0699999999999999E-6</v>
      </c>
      <c r="L4650" s="23">
        <v>1.1000000000000001E-7</v>
      </c>
    </row>
    <row r="4651" spans="1:12" ht="15.35" hidden="1" x14ac:dyDescent="0.55000000000000004">
      <c r="A4651" s="20">
        <v>13225</v>
      </c>
      <c r="B4651" s="2" t="s">
        <v>180</v>
      </c>
      <c r="C4651" s="2" t="s">
        <v>181</v>
      </c>
      <c r="D4651" s="20">
        <v>0</v>
      </c>
      <c r="E4651" s="2" t="s">
        <v>838</v>
      </c>
      <c r="F4651" s="2" t="s">
        <v>793</v>
      </c>
      <c r="G4651" s="2" t="s">
        <v>4383</v>
      </c>
      <c r="H4651" s="2" t="s">
        <v>1848</v>
      </c>
      <c r="J4651" s="26"/>
      <c r="K4651" s="36">
        <v>4.0000000000000001E-8</v>
      </c>
      <c r="L4651" s="23">
        <v>0</v>
      </c>
    </row>
    <row r="4652" spans="1:12" ht="15.35" hidden="1" x14ac:dyDescent="0.55000000000000004">
      <c r="A4652" s="20">
        <v>13262</v>
      </c>
      <c r="B4652" s="2" t="s">
        <v>180</v>
      </c>
      <c r="C4652" s="2" t="s">
        <v>181</v>
      </c>
      <c r="D4652" s="20">
        <v>0</v>
      </c>
      <c r="E4652" s="2" t="s">
        <v>838</v>
      </c>
      <c r="F4652" s="2" t="s">
        <v>793</v>
      </c>
      <c r="G4652" s="2" t="s">
        <v>4384</v>
      </c>
      <c r="H4652" s="2" t="s">
        <v>1848</v>
      </c>
      <c r="J4652" s="26"/>
      <c r="K4652" s="36">
        <v>2.9999999999999997E-8</v>
      </c>
      <c r="L4652" s="23">
        <v>0</v>
      </c>
    </row>
    <row r="4653" spans="1:12" ht="15.35" hidden="1" x14ac:dyDescent="0.55000000000000004">
      <c r="A4653" s="20">
        <v>13230</v>
      </c>
      <c r="B4653" s="2" t="s">
        <v>180</v>
      </c>
      <c r="C4653" s="2" t="s">
        <v>181</v>
      </c>
      <c r="D4653" s="20">
        <v>0</v>
      </c>
      <c r="E4653" s="2" t="s">
        <v>838</v>
      </c>
      <c r="F4653" s="2" t="s">
        <v>793</v>
      </c>
      <c r="G4653" s="2" t="s">
        <v>2776</v>
      </c>
      <c r="H4653" s="2" t="s">
        <v>1848</v>
      </c>
      <c r="J4653" s="26"/>
      <c r="K4653" s="36">
        <v>4.0000000000000001E-8</v>
      </c>
      <c r="L4653" s="23">
        <v>0</v>
      </c>
    </row>
    <row r="4654" spans="1:12" ht="15.35" hidden="1" x14ac:dyDescent="0.55000000000000004">
      <c r="A4654" s="20">
        <v>13159</v>
      </c>
      <c r="B4654" s="2" t="s">
        <v>180</v>
      </c>
      <c r="C4654" s="2" t="s">
        <v>181</v>
      </c>
      <c r="D4654" s="20">
        <v>0</v>
      </c>
      <c r="E4654" s="2" t="s">
        <v>838</v>
      </c>
      <c r="F4654" s="2" t="s">
        <v>793</v>
      </c>
      <c r="G4654" s="2" t="s">
        <v>4385</v>
      </c>
      <c r="H4654" s="2" t="s">
        <v>1848</v>
      </c>
      <c r="J4654" s="26"/>
      <c r="K4654" s="36">
        <v>1.1999999999999999E-7</v>
      </c>
      <c r="L4654" s="23">
        <v>1E-8</v>
      </c>
    </row>
    <row r="4655" spans="1:12" ht="15.35" hidden="1" x14ac:dyDescent="0.55000000000000004">
      <c r="A4655" s="20">
        <v>13267</v>
      </c>
      <c r="B4655" s="2" t="s">
        <v>180</v>
      </c>
      <c r="C4655" s="2" t="s">
        <v>181</v>
      </c>
      <c r="D4655" s="20">
        <v>0</v>
      </c>
      <c r="E4655" s="2" t="s">
        <v>838</v>
      </c>
      <c r="F4655" s="2" t="s">
        <v>793</v>
      </c>
      <c r="G4655" s="2" t="s">
        <v>4386</v>
      </c>
      <c r="H4655" s="2" t="s">
        <v>1848</v>
      </c>
      <c r="J4655" s="26"/>
      <c r="K4655" s="36">
        <v>2E-8</v>
      </c>
      <c r="L4655" s="23">
        <v>0</v>
      </c>
    </row>
    <row r="4656" spans="1:12" ht="15.35" hidden="1" x14ac:dyDescent="0.55000000000000004">
      <c r="A4656" s="20">
        <v>13062</v>
      </c>
      <c r="B4656" s="2" t="s">
        <v>180</v>
      </c>
      <c r="C4656" s="2" t="s">
        <v>181</v>
      </c>
      <c r="D4656" s="20">
        <v>0</v>
      </c>
      <c r="E4656" s="2" t="s">
        <v>838</v>
      </c>
      <c r="F4656" s="2" t="s">
        <v>793</v>
      </c>
      <c r="G4656" s="2" t="s">
        <v>4387</v>
      </c>
      <c r="H4656" s="2" t="s">
        <v>1848</v>
      </c>
      <c r="J4656" s="26"/>
      <c r="K4656" s="36">
        <v>4.7E-7</v>
      </c>
      <c r="L4656" s="23">
        <v>4.9999999999999998E-8</v>
      </c>
    </row>
    <row r="4657" spans="1:12" ht="15.35" hidden="1" x14ac:dyDescent="0.55000000000000004">
      <c r="A4657" s="20">
        <v>13039</v>
      </c>
      <c r="B4657" s="2" t="s">
        <v>180</v>
      </c>
      <c r="C4657" s="2" t="s">
        <v>181</v>
      </c>
      <c r="D4657" s="20">
        <v>0</v>
      </c>
      <c r="E4657" s="2" t="s">
        <v>838</v>
      </c>
      <c r="F4657" s="2" t="s">
        <v>793</v>
      </c>
      <c r="G4657" s="2" t="s">
        <v>4388</v>
      </c>
      <c r="H4657" s="2" t="s">
        <v>1848</v>
      </c>
      <c r="J4657" s="26"/>
      <c r="K4657" s="36">
        <v>6.0999999999999998E-7</v>
      </c>
      <c r="L4657" s="23">
        <v>5.9999999999999995E-8</v>
      </c>
    </row>
    <row r="4658" spans="1:12" ht="15.35" hidden="1" x14ac:dyDescent="0.55000000000000004">
      <c r="A4658" s="20">
        <v>13200</v>
      </c>
      <c r="B4658" s="2" t="s">
        <v>180</v>
      </c>
      <c r="C4658" s="2" t="s">
        <v>181</v>
      </c>
      <c r="D4658" s="20">
        <v>0</v>
      </c>
      <c r="E4658" s="2" t="s">
        <v>838</v>
      </c>
      <c r="F4658" s="2" t="s">
        <v>793</v>
      </c>
      <c r="G4658" s="2" t="s">
        <v>2778</v>
      </c>
      <c r="H4658" s="2" t="s">
        <v>1848</v>
      </c>
      <c r="J4658" s="26"/>
      <c r="K4658" s="36">
        <v>5.9999999999999995E-8</v>
      </c>
      <c r="L4658" s="23">
        <v>1E-8</v>
      </c>
    </row>
    <row r="4659" spans="1:12" ht="15.35" hidden="1" x14ac:dyDescent="0.55000000000000004">
      <c r="A4659" s="20">
        <v>13201</v>
      </c>
      <c r="B4659" s="2" t="s">
        <v>180</v>
      </c>
      <c r="C4659" s="2" t="s">
        <v>181</v>
      </c>
      <c r="D4659" s="20">
        <v>0</v>
      </c>
      <c r="E4659" s="2" t="s">
        <v>838</v>
      </c>
      <c r="F4659" s="2" t="s">
        <v>793</v>
      </c>
      <c r="G4659" s="2" t="s">
        <v>2779</v>
      </c>
      <c r="H4659" s="2" t="s">
        <v>1848</v>
      </c>
      <c r="J4659" s="26"/>
      <c r="K4659" s="36">
        <v>5.9999999999999995E-8</v>
      </c>
      <c r="L4659" s="23">
        <v>1E-8</v>
      </c>
    </row>
    <row r="4660" spans="1:12" ht="15.35" hidden="1" x14ac:dyDescent="0.55000000000000004">
      <c r="A4660" s="20">
        <v>13196</v>
      </c>
      <c r="B4660" s="2" t="s">
        <v>180</v>
      </c>
      <c r="C4660" s="2" t="s">
        <v>181</v>
      </c>
      <c r="D4660" s="20">
        <v>0</v>
      </c>
      <c r="E4660" s="2" t="s">
        <v>838</v>
      </c>
      <c r="F4660" s="2" t="s">
        <v>793</v>
      </c>
      <c r="G4660" s="2" t="s">
        <v>2780</v>
      </c>
      <c r="H4660" s="2" t="s">
        <v>1848</v>
      </c>
      <c r="J4660" s="26"/>
      <c r="K4660" s="36">
        <v>7.0000000000000005E-8</v>
      </c>
      <c r="L4660" s="23">
        <v>1E-8</v>
      </c>
    </row>
    <row r="4661" spans="1:12" ht="15.35" hidden="1" x14ac:dyDescent="0.55000000000000004">
      <c r="A4661" s="20">
        <v>13229</v>
      </c>
      <c r="B4661" s="2" t="s">
        <v>180</v>
      </c>
      <c r="C4661" s="2" t="s">
        <v>181</v>
      </c>
      <c r="D4661" s="20">
        <v>0</v>
      </c>
      <c r="E4661" s="2" t="s">
        <v>838</v>
      </c>
      <c r="F4661" s="2" t="s">
        <v>793</v>
      </c>
      <c r="G4661" s="2" t="s">
        <v>4389</v>
      </c>
      <c r="H4661" s="2" t="s">
        <v>1848</v>
      </c>
      <c r="J4661" s="26"/>
      <c r="K4661" s="36">
        <v>4.0000000000000001E-8</v>
      </c>
      <c r="L4661" s="23">
        <v>0</v>
      </c>
    </row>
    <row r="4662" spans="1:12" ht="15.35" hidden="1" x14ac:dyDescent="0.55000000000000004">
      <c r="A4662" s="20">
        <v>13111</v>
      </c>
      <c r="B4662" s="2" t="s">
        <v>180</v>
      </c>
      <c r="C4662" s="2" t="s">
        <v>181</v>
      </c>
      <c r="D4662" s="20">
        <v>0</v>
      </c>
      <c r="E4662" s="2" t="s">
        <v>838</v>
      </c>
      <c r="F4662" s="2" t="s">
        <v>793</v>
      </c>
      <c r="G4662" s="2" t="s">
        <v>4390</v>
      </c>
      <c r="H4662" s="2" t="s">
        <v>1848</v>
      </c>
      <c r="J4662" s="26"/>
      <c r="K4662" s="36">
        <v>2.4999999999999999E-7</v>
      </c>
      <c r="L4662" s="23">
        <v>2.9999999999999997E-8</v>
      </c>
    </row>
    <row r="4663" spans="1:12" ht="15.35" hidden="1" x14ac:dyDescent="0.55000000000000004">
      <c r="A4663" s="20">
        <v>13187</v>
      </c>
      <c r="B4663" s="2" t="s">
        <v>180</v>
      </c>
      <c r="C4663" s="2" t="s">
        <v>181</v>
      </c>
      <c r="D4663" s="20">
        <v>0</v>
      </c>
      <c r="E4663" s="2" t="s">
        <v>838</v>
      </c>
      <c r="F4663" s="2" t="s">
        <v>793</v>
      </c>
      <c r="G4663" s="2" t="s">
        <v>2781</v>
      </c>
      <c r="H4663" s="2" t="s">
        <v>1848</v>
      </c>
      <c r="J4663" s="26"/>
      <c r="K4663" s="36">
        <v>8.9999999999999999E-8</v>
      </c>
      <c r="L4663" s="23">
        <v>1E-8</v>
      </c>
    </row>
    <row r="4664" spans="1:12" ht="15.35" hidden="1" x14ac:dyDescent="0.55000000000000004">
      <c r="A4664" s="20">
        <v>12975</v>
      </c>
      <c r="B4664" s="2" t="s">
        <v>180</v>
      </c>
      <c r="C4664" s="2" t="s">
        <v>181</v>
      </c>
      <c r="D4664" s="20">
        <v>0</v>
      </c>
      <c r="E4664" s="2" t="s">
        <v>838</v>
      </c>
      <c r="F4664" s="2" t="s">
        <v>817</v>
      </c>
      <c r="G4664" s="2" t="s">
        <v>4391</v>
      </c>
      <c r="H4664" s="2" t="s">
        <v>1011</v>
      </c>
      <c r="J4664" s="26"/>
      <c r="K4664" s="36">
        <v>1.7E-6</v>
      </c>
      <c r="L4664" s="23">
        <v>1.6999999999999999E-7</v>
      </c>
    </row>
    <row r="4665" spans="1:12" ht="15.35" hidden="1" x14ac:dyDescent="0.55000000000000004">
      <c r="A4665" s="20">
        <v>13172</v>
      </c>
      <c r="B4665" s="2" t="s">
        <v>180</v>
      </c>
      <c r="C4665" s="2" t="s">
        <v>181</v>
      </c>
      <c r="D4665" s="20">
        <v>0</v>
      </c>
      <c r="E4665" s="2" t="s">
        <v>838</v>
      </c>
      <c r="F4665" s="2" t="s">
        <v>817</v>
      </c>
      <c r="G4665" s="2" t="s">
        <v>4392</v>
      </c>
      <c r="H4665" s="2" t="s">
        <v>1852</v>
      </c>
      <c r="J4665" s="26"/>
      <c r="K4665" s="36">
        <v>9.9999999999999995E-8</v>
      </c>
      <c r="L4665" s="23">
        <v>1E-8</v>
      </c>
    </row>
    <row r="4666" spans="1:12" ht="15.35" hidden="1" x14ac:dyDescent="0.55000000000000004">
      <c r="A4666" s="20">
        <v>13195</v>
      </c>
      <c r="B4666" s="2" t="s">
        <v>180</v>
      </c>
      <c r="C4666" s="2" t="s">
        <v>181</v>
      </c>
      <c r="D4666" s="20">
        <v>0</v>
      </c>
      <c r="E4666" s="2" t="s">
        <v>838</v>
      </c>
      <c r="F4666" s="2" t="s">
        <v>817</v>
      </c>
      <c r="G4666" s="2" t="s">
        <v>4393</v>
      </c>
      <c r="H4666" s="2" t="s">
        <v>1852</v>
      </c>
      <c r="J4666" s="26"/>
      <c r="K4666" s="36">
        <v>7.0000000000000005E-8</v>
      </c>
      <c r="L4666" s="23">
        <v>1E-8</v>
      </c>
    </row>
    <row r="4667" spans="1:12" ht="15.35" hidden="1" x14ac:dyDescent="0.55000000000000004">
      <c r="A4667" s="20">
        <v>13107</v>
      </c>
      <c r="B4667" s="2" t="s">
        <v>180</v>
      </c>
      <c r="C4667" s="2" t="s">
        <v>181</v>
      </c>
      <c r="D4667" s="20">
        <v>0</v>
      </c>
      <c r="E4667" s="2" t="s">
        <v>838</v>
      </c>
      <c r="F4667" s="2" t="s">
        <v>817</v>
      </c>
      <c r="G4667" s="2" t="s">
        <v>4394</v>
      </c>
      <c r="H4667" s="2" t="s">
        <v>1852</v>
      </c>
      <c r="J4667" s="26"/>
      <c r="K4667" s="36">
        <v>2.6E-7</v>
      </c>
      <c r="L4667" s="23">
        <v>2.9999999999999997E-8</v>
      </c>
    </row>
    <row r="4668" spans="1:12" ht="15.35" hidden="1" x14ac:dyDescent="0.55000000000000004">
      <c r="A4668" s="20">
        <v>12996</v>
      </c>
      <c r="B4668" s="2" t="s">
        <v>180</v>
      </c>
      <c r="C4668" s="2" t="s">
        <v>181</v>
      </c>
      <c r="D4668" s="20">
        <v>0</v>
      </c>
      <c r="E4668" s="2" t="s">
        <v>838</v>
      </c>
      <c r="F4668" s="2" t="s">
        <v>817</v>
      </c>
      <c r="G4668" s="2" t="s">
        <v>4395</v>
      </c>
      <c r="H4668" s="2" t="s">
        <v>1852</v>
      </c>
      <c r="J4668" s="26"/>
      <c r="K4668" s="36">
        <v>1.4500000000000001E-6</v>
      </c>
      <c r="L4668" s="23">
        <v>1.4999999999999999E-7</v>
      </c>
    </row>
    <row r="4669" spans="1:12" ht="15.35" hidden="1" x14ac:dyDescent="0.55000000000000004">
      <c r="A4669" s="20">
        <v>12999</v>
      </c>
      <c r="B4669" s="2" t="s">
        <v>180</v>
      </c>
      <c r="C4669" s="2" t="s">
        <v>181</v>
      </c>
      <c r="D4669" s="20">
        <v>0</v>
      </c>
      <c r="E4669" s="2" t="s">
        <v>838</v>
      </c>
      <c r="F4669" s="2" t="s">
        <v>817</v>
      </c>
      <c r="G4669" s="2" t="s">
        <v>2785</v>
      </c>
      <c r="H4669" s="2" t="s">
        <v>1852</v>
      </c>
      <c r="J4669" s="26"/>
      <c r="K4669" s="36">
        <v>1.42E-6</v>
      </c>
      <c r="L4669" s="23">
        <v>1.4000000000000001E-7</v>
      </c>
    </row>
    <row r="4670" spans="1:12" ht="15.35" hidden="1" x14ac:dyDescent="0.55000000000000004">
      <c r="A4670" s="20">
        <v>12951</v>
      </c>
      <c r="B4670" s="2" t="s">
        <v>180</v>
      </c>
      <c r="C4670" s="2" t="s">
        <v>181</v>
      </c>
      <c r="D4670" s="20">
        <v>0</v>
      </c>
      <c r="E4670" s="2" t="s">
        <v>838</v>
      </c>
      <c r="F4670" s="2" t="s">
        <v>793</v>
      </c>
      <c r="G4670" s="2" t="s">
        <v>4396</v>
      </c>
      <c r="H4670" s="2" t="s">
        <v>4114</v>
      </c>
      <c r="J4670" s="26"/>
      <c r="K4670" s="36">
        <v>1.7E-6</v>
      </c>
      <c r="L4670" s="23">
        <v>1.6999999999999999E-7</v>
      </c>
    </row>
    <row r="4671" spans="1:12" ht="15.35" hidden="1" x14ac:dyDescent="0.55000000000000004">
      <c r="A4671" s="20">
        <v>13160</v>
      </c>
      <c r="B4671" s="2" t="s">
        <v>180</v>
      </c>
      <c r="C4671" s="2" t="s">
        <v>181</v>
      </c>
      <c r="D4671" s="20">
        <v>0</v>
      </c>
      <c r="E4671" s="2" t="s">
        <v>838</v>
      </c>
      <c r="F4671" s="2" t="s">
        <v>793</v>
      </c>
      <c r="G4671" s="2" t="s">
        <v>2791</v>
      </c>
      <c r="H4671" s="2" t="s">
        <v>1220</v>
      </c>
      <c r="J4671" s="26"/>
      <c r="K4671" s="36">
        <v>1.1999999999999999E-7</v>
      </c>
      <c r="L4671" s="23">
        <v>1E-8</v>
      </c>
    </row>
    <row r="4672" spans="1:12" ht="15.35" hidden="1" x14ac:dyDescent="0.55000000000000004">
      <c r="A4672" s="20">
        <v>13001</v>
      </c>
      <c r="B4672" s="2" t="s">
        <v>180</v>
      </c>
      <c r="C4672" s="2" t="s">
        <v>181</v>
      </c>
      <c r="D4672" s="20">
        <v>0</v>
      </c>
      <c r="E4672" s="2" t="s">
        <v>838</v>
      </c>
      <c r="F4672" s="2" t="s">
        <v>793</v>
      </c>
      <c r="G4672" s="2" t="s">
        <v>4397</v>
      </c>
      <c r="H4672" s="2" t="s">
        <v>788</v>
      </c>
      <c r="J4672" s="26"/>
      <c r="K4672" s="36">
        <v>1.33E-6</v>
      </c>
      <c r="L4672" s="23">
        <v>1.3E-7</v>
      </c>
    </row>
    <row r="4673" spans="1:12" ht="15.35" hidden="1" x14ac:dyDescent="0.55000000000000004">
      <c r="A4673" s="20">
        <v>13156</v>
      </c>
      <c r="B4673" s="2" t="s">
        <v>180</v>
      </c>
      <c r="C4673" s="2" t="s">
        <v>181</v>
      </c>
      <c r="D4673" s="20">
        <v>0</v>
      </c>
      <c r="E4673" s="2" t="s">
        <v>838</v>
      </c>
      <c r="F4673" s="2" t="s">
        <v>793</v>
      </c>
      <c r="G4673" s="2" t="s">
        <v>2795</v>
      </c>
      <c r="H4673" s="2" t="s">
        <v>788</v>
      </c>
      <c r="J4673" s="26"/>
      <c r="K4673" s="36">
        <v>1.3E-7</v>
      </c>
      <c r="L4673" s="23">
        <v>1E-8</v>
      </c>
    </row>
    <row r="4674" spans="1:12" ht="15.35" hidden="1" x14ac:dyDescent="0.55000000000000004">
      <c r="A4674" s="20">
        <v>13190</v>
      </c>
      <c r="B4674" s="2" t="s">
        <v>180</v>
      </c>
      <c r="C4674" s="2" t="s">
        <v>181</v>
      </c>
      <c r="D4674" s="20">
        <v>0</v>
      </c>
      <c r="E4674" s="2" t="s">
        <v>838</v>
      </c>
      <c r="F4674" s="2" t="s">
        <v>793</v>
      </c>
      <c r="G4674" s="2" t="s">
        <v>2799</v>
      </c>
      <c r="H4674" s="2" t="s">
        <v>788</v>
      </c>
      <c r="J4674" s="26"/>
      <c r="K4674" s="36">
        <v>8.0000000000000002E-8</v>
      </c>
      <c r="L4674" s="23">
        <v>1E-8</v>
      </c>
    </row>
    <row r="4675" spans="1:12" ht="15.35" hidden="1" x14ac:dyDescent="0.55000000000000004">
      <c r="A4675" s="20">
        <v>13280</v>
      </c>
      <c r="B4675" s="2" t="s">
        <v>180</v>
      </c>
      <c r="C4675" s="2" t="s">
        <v>181</v>
      </c>
      <c r="D4675" s="20">
        <v>0</v>
      </c>
      <c r="E4675" s="2" t="s">
        <v>838</v>
      </c>
      <c r="F4675" s="2" t="s">
        <v>793</v>
      </c>
      <c r="G4675" s="2" t="s">
        <v>4398</v>
      </c>
      <c r="H4675" s="2" t="s">
        <v>1226</v>
      </c>
      <c r="J4675" s="26"/>
      <c r="K4675" s="36">
        <v>2E-8</v>
      </c>
      <c r="L4675" s="23">
        <v>0</v>
      </c>
    </row>
    <row r="4676" spans="1:12" ht="15.35" hidden="1" x14ac:dyDescent="0.55000000000000004">
      <c r="A4676" s="20">
        <v>13270</v>
      </c>
      <c r="B4676" s="2" t="s">
        <v>180</v>
      </c>
      <c r="C4676" s="2" t="s">
        <v>181</v>
      </c>
      <c r="D4676" s="20">
        <v>0</v>
      </c>
      <c r="E4676" s="2" t="s">
        <v>838</v>
      </c>
      <c r="F4676" s="2" t="s">
        <v>793</v>
      </c>
      <c r="G4676" s="2" t="s">
        <v>4399</v>
      </c>
      <c r="H4676" s="2" t="s">
        <v>1226</v>
      </c>
      <c r="J4676" s="26"/>
      <c r="K4676" s="36">
        <v>2E-8</v>
      </c>
      <c r="L4676" s="23">
        <v>0</v>
      </c>
    </row>
    <row r="4677" spans="1:12" ht="15.35" hidden="1" x14ac:dyDescent="0.55000000000000004">
      <c r="A4677" s="20">
        <v>13231</v>
      </c>
      <c r="B4677" s="2" t="s">
        <v>180</v>
      </c>
      <c r="C4677" s="2" t="s">
        <v>181</v>
      </c>
      <c r="D4677" s="20">
        <v>0</v>
      </c>
      <c r="E4677" s="2" t="s">
        <v>838</v>
      </c>
      <c r="F4677" s="2" t="s">
        <v>793</v>
      </c>
      <c r="G4677" s="2" t="s">
        <v>4400</v>
      </c>
      <c r="H4677" s="2" t="s">
        <v>1226</v>
      </c>
      <c r="J4677" s="26"/>
      <c r="K4677" s="36">
        <v>2.9999999999999997E-8</v>
      </c>
      <c r="L4677" s="23">
        <v>0</v>
      </c>
    </row>
    <row r="4678" spans="1:12" ht="15.35" hidden="1" x14ac:dyDescent="0.55000000000000004">
      <c r="A4678" s="20">
        <v>13345</v>
      </c>
      <c r="B4678" s="2" t="s">
        <v>180</v>
      </c>
      <c r="C4678" s="2" t="s">
        <v>181</v>
      </c>
      <c r="D4678" s="20">
        <v>0</v>
      </c>
      <c r="E4678" s="2" t="s">
        <v>838</v>
      </c>
      <c r="F4678" s="2" t="s">
        <v>793</v>
      </c>
      <c r="G4678" s="2" t="s">
        <v>4401</v>
      </c>
      <c r="H4678" s="2" t="s">
        <v>1226</v>
      </c>
      <c r="J4678" s="26"/>
      <c r="K4678" s="36">
        <v>1E-8</v>
      </c>
      <c r="L4678" s="23">
        <v>0</v>
      </c>
    </row>
    <row r="4679" spans="1:12" ht="15.35" hidden="1" x14ac:dyDescent="0.55000000000000004">
      <c r="A4679" s="20">
        <v>13261</v>
      </c>
      <c r="B4679" s="2" t="s">
        <v>180</v>
      </c>
      <c r="C4679" s="2" t="s">
        <v>181</v>
      </c>
      <c r="D4679" s="20">
        <v>0</v>
      </c>
      <c r="E4679" s="2" t="s">
        <v>838</v>
      </c>
      <c r="F4679" s="2" t="s">
        <v>793</v>
      </c>
      <c r="G4679" s="2" t="s">
        <v>2805</v>
      </c>
      <c r="H4679" s="2" t="s">
        <v>1226</v>
      </c>
      <c r="J4679" s="26"/>
      <c r="K4679" s="36">
        <v>2.9999999999999997E-8</v>
      </c>
      <c r="L4679" s="23">
        <v>0</v>
      </c>
    </row>
    <row r="4680" spans="1:12" ht="15.35" hidden="1" x14ac:dyDescent="0.55000000000000004">
      <c r="A4680" s="20">
        <v>13130</v>
      </c>
      <c r="B4680" s="2" t="s">
        <v>180</v>
      </c>
      <c r="C4680" s="2" t="s">
        <v>181</v>
      </c>
      <c r="D4680" s="20">
        <v>0</v>
      </c>
      <c r="E4680" s="2" t="s">
        <v>838</v>
      </c>
      <c r="F4680" s="2" t="s">
        <v>793</v>
      </c>
      <c r="G4680" s="2" t="s">
        <v>4037</v>
      </c>
      <c r="H4680" s="2" t="s">
        <v>1226</v>
      </c>
      <c r="J4680" s="26"/>
      <c r="K4680" s="36">
        <v>1.9000000000000001E-7</v>
      </c>
      <c r="L4680" s="23">
        <v>2E-8</v>
      </c>
    </row>
    <row r="4681" spans="1:12" ht="15.35" hidden="1" x14ac:dyDescent="0.55000000000000004">
      <c r="A4681" s="20">
        <v>13063</v>
      </c>
      <c r="B4681" s="2" t="s">
        <v>180</v>
      </c>
      <c r="C4681" s="2" t="s">
        <v>181</v>
      </c>
      <c r="D4681" s="20">
        <v>0</v>
      </c>
      <c r="E4681" s="2" t="s">
        <v>838</v>
      </c>
      <c r="F4681" s="2" t="s">
        <v>793</v>
      </c>
      <c r="G4681" s="2" t="s">
        <v>4402</v>
      </c>
      <c r="H4681" s="2" t="s">
        <v>1226</v>
      </c>
      <c r="J4681" s="26"/>
      <c r="K4681" s="36">
        <v>4.5999999999999999E-7</v>
      </c>
      <c r="L4681" s="23">
        <v>4.9999999999999998E-8</v>
      </c>
    </row>
    <row r="4682" spans="1:12" ht="15.35" hidden="1" x14ac:dyDescent="0.55000000000000004">
      <c r="A4682" s="20">
        <v>13204</v>
      </c>
      <c r="B4682" s="2" t="s">
        <v>180</v>
      </c>
      <c r="C4682" s="2" t="s">
        <v>181</v>
      </c>
      <c r="D4682" s="20">
        <v>0</v>
      </c>
      <c r="E4682" s="2" t="s">
        <v>838</v>
      </c>
      <c r="F4682" s="2" t="s">
        <v>793</v>
      </c>
      <c r="G4682" s="2" t="s">
        <v>2808</v>
      </c>
      <c r="H4682" s="2" t="s">
        <v>1226</v>
      </c>
      <c r="J4682" s="26"/>
      <c r="K4682" s="36">
        <v>5.9999999999999995E-8</v>
      </c>
      <c r="L4682" s="23">
        <v>1E-8</v>
      </c>
    </row>
    <row r="4683" spans="1:12" ht="15.35" hidden="1" x14ac:dyDescent="0.55000000000000004">
      <c r="A4683" s="20">
        <v>12954</v>
      </c>
      <c r="B4683" s="2" t="s">
        <v>180</v>
      </c>
      <c r="C4683" s="2" t="s">
        <v>181</v>
      </c>
      <c r="D4683" s="20">
        <v>0</v>
      </c>
      <c r="E4683" s="2" t="s">
        <v>838</v>
      </c>
      <c r="F4683" s="2" t="s">
        <v>787</v>
      </c>
      <c r="G4683" s="2" t="s">
        <v>968</v>
      </c>
      <c r="H4683" s="2" t="s">
        <v>968</v>
      </c>
      <c r="J4683" s="26"/>
      <c r="K4683" s="36">
        <v>1.7E-6</v>
      </c>
      <c r="L4683" s="23">
        <v>1.6999999999999999E-7</v>
      </c>
    </row>
    <row r="4684" spans="1:12" ht="15.35" hidden="1" x14ac:dyDescent="0.55000000000000004">
      <c r="A4684" s="20">
        <v>13349</v>
      </c>
      <c r="B4684" s="2" t="s">
        <v>180</v>
      </c>
      <c r="C4684" s="2" t="s">
        <v>181</v>
      </c>
      <c r="D4684" s="20">
        <v>0</v>
      </c>
      <c r="E4684" s="2" t="s">
        <v>838</v>
      </c>
      <c r="F4684" s="2" t="s">
        <v>807</v>
      </c>
      <c r="G4684" s="2" t="s">
        <v>4403</v>
      </c>
      <c r="H4684" s="2" t="s">
        <v>1254</v>
      </c>
      <c r="J4684" s="26"/>
      <c r="K4684" s="36">
        <v>1E-8</v>
      </c>
      <c r="L4684" s="23">
        <v>0</v>
      </c>
    </row>
    <row r="4685" spans="1:12" ht="15.35" hidden="1" x14ac:dyDescent="0.55000000000000004">
      <c r="A4685" s="20">
        <v>13136</v>
      </c>
      <c r="B4685" s="2" t="s">
        <v>180</v>
      </c>
      <c r="C4685" s="2" t="s">
        <v>181</v>
      </c>
      <c r="D4685" s="20">
        <v>0</v>
      </c>
      <c r="E4685" s="2" t="s">
        <v>838</v>
      </c>
      <c r="F4685" s="2" t="s">
        <v>807</v>
      </c>
      <c r="G4685" s="2" t="s">
        <v>4404</v>
      </c>
      <c r="H4685" s="2" t="s">
        <v>1254</v>
      </c>
      <c r="J4685" s="26"/>
      <c r="K4685" s="36">
        <v>1.6999999999999999E-7</v>
      </c>
      <c r="L4685" s="23">
        <v>2E-8</v>
      </c>
    </row>
    <row r="4686" spans="1:12" ht="15.35" hidden="1" x14ac:dyDescent="0.55000000000000004">
      <c r="A4686" s="20">
        <v>13109</v>
      </c>
      <c r="B4686" s="2" t="s">
        <v>180</v>
      </c>
      <c r="C4686" s="2" t="s">
        <v>181</v>
      </c>
      <c r="D4686" s="20">
        <v>0</v>
      </c>
      <c r="E4686" s="2" t="s">
        <v>838</v>
      </c>
      <c r="F4686" s="2" t="s">
        <v>807</v>
      </c>
      <c r="G4686" s="2" t="s">
        <v>4405</v>
      </c>
      <c r="H4686" s="2" t="s">
        <v>1254</v>
      </c>
      <c r="J4686" s="26"/>
      <c r="K4686" s="36">
        <v>2.6E-7</v>
      </c>
      <c r="L4686" s="23">
        <v>2.9999999999999997E-8</v>
      </c>
    </row>
    <row r="4687" spans="1:12" ht="15.35" hidden="1" x14ac:dyDescent="0.55000000000000004">
      <c r="A4687" s="20">
        <v>13057</v>
      </c>
      <c r="B4687" s="2" t="s">
        <v>180</v>
      </c>
      <c r="C4687" s="2" t="s">
        <v>181</v>
      </c>
      <c r="D4687" s="20">
        <v>0</v>
      </c>
      <c r="E4687" s="2" t="s">
        <v>838</v>
      </c>
      <c r="F4687" s="2" t="s">
        <v>807</v>
      </c>
      <c r="G4687" s="2" t="s">
        <v>4406</v>
      </c>
      <c r="H4687" s="2" t="s">
        <v>1254</v>
      </c>
      <c r="J4687" s="26"/>
      <c r="K4687" s="36">
        <v>5.2E-7</v>
      </c>
      <c r="L4687" s="23">
        <v>4.9999999999999998E-8</v>
      </c>
    </row>
    <row r="4688" spans="1:12" ht="15.35" hidden="1" x14ac:dyDescent="0.55000000000000004">
      <c r="A4688" s="20">
        <v>13347</v>
      </c>
      <c r="B4688" s="2" t="s">
        <v>180</v>
      </c>
      <c r="C4688" s="2" t="s">
        <v>181</v>
      </c>
      <c r="D4688" s="20">
        <v>0</v>
      </c>
      <c r="E4688" s="2" t="s">
        <v>838</v>
      </c>
      <c r="F4688" s="2" t="s">
        <v>807</v>
      </c>
      <c r="G4688" s="2" t="s">
        <v>4040</v>
      </c>
      <c r="H4688" s="2" t="s">
        <v>1254</v>
      </c>
      <c r="J4688" s="26"/>
      <c r="K4688" s="36">
        <v>1E-8</v>
      </c>
      <c r="L4688" s="23">
        <v>0</v>
      </c>
    </row>
    <row r="4689" spans="1:12" ht="15.35" hidden="1" x14ac:dyDescent="0.55000000000000004">
      <c r="A4689" s="20">
        <v>13170</v>
      </c>
      <c r="B4689" s="2" t="s">
        <v>180</v>
      </c>
      <c r="C4689" s="2" t="s">
        <v>181</v>
      </c>
      <c r="D4689" s="20">
        <v>0</v>
      </c>
      <c r="E4689" s="2" t="s">
        <v>838</v>
      </c>
      <c r="F4689" s="2" t="s">
        <v>807</v>
      </c>
      <c r="G4689" s="2" t="s">
        <v>4177</v>
      </c>
      <c r="H4689" s="2" t="s">
        <v>1254</v>
      </c>
      <c r="J4689" s="26"/>
      <c r="K4689" s="36">
        <v>9.9999999999999995E-8</v>
      </c>
      <c r="L4689" s="23">
        <v>1E-8</v>
      </c>
    </row>
    <row r="4690" spans="1:12" ht="15.35" hidden="1" x14ac:dyDescent="0.55000000000000004">
      <c r="A4690" s="20">
        <v>12997</v>
      </c>
      <c r="B4690" s="2" t="s">
        <v>180</v>
      </c>
      <c r="C4690" s="2" t="s">
        <v>181</v>
      </c>
      <c r="D4690" s="20">
        <v>0</v>
      </c>
      <c r="E4690" s="2" t="s">
        <v>838</v>
      </c>
      <c r="F4690" s="2" t="s">
        <v>807</v>
      </c>
      <c r="G4690" s="2" t="s">
        <v>2840</v>
      </c>
      <c r="H4690" s="2" t="s">
        <v>1254</v>
      </c>
      <c r="J4690" s="26"/>
      <c r="K4690" s="36">
        <v>1.4500000000000001E-6</v>
      </c>
      <c r="L4690" s="23">
        <v>1.4999999999999999E-7</v>
      </c>
    </row>
    <row r="4691" spans="1:12" ht="15.35" hidden="1" x14ac:dyDescent="0.55000000000000004">
      <c r="A4691" s="20">
        <v>13188</v>
      </c>
      <c r="B4691" s="2" t="s">
        <v>180</v>
      </c>
      <c r="C4691" s="2" t="s">
        <v>181</v>
      </c>
      <c r="D4691" s="20">
        <v>0</v>
      </c>
      <c r="E4691" s="2" t="s">
        <v>838</v>
      </c>
      <c r="F4691" s="2" t="s">
        <v>817</v>
      </c>
      <c r="G4691" s="2" t="s">
        <v>1030</v>
      </c>
      <c r="H4691" s="2" t="s">
        <v>1031</v>
      </c>
      <c r="J4691" s="26"/>
      <c r="K4691" s="36">
        <v>8.9999999999999999E-8</v>
      </c>
      <c r="L4691" s="23">
        <v>1E-8</v>
      </c>
    </row>
    <row r="4692" spans="1:12" ht="15.35" hidden="1" x14ac:dyDescent="0.55000000000000004">
      <c r="A4692" s="20">
        <v>13114</v>
      </c>
      <c r="B4692" s="2" t="s">
        <v>180</v>
      </c>
      <c r="C4692" s="2" t="s">
        <v>181</v>
      </c>
      <c r="D4692" s="20">
        <v>0</v>
      </c>
      <c r="E4692" s="2" t="s">
        <v>838</v>
      </c>
      <c r="F4692" s="2" t="s">
        <v>817</v>
      </c>
      <c r="G4692" s="2" t="s">
        <v>4407</v>
      </c>
      <c r="H4692" s="2" t="s">
        <v>1031</v>
      </c>
      <c r="J4692" s="26"/>
      <c r="K4692" s="36">
        <v>2.4999999999999999E-7</v>
      </c>
      <c r="L4692" s="23">
        <v>2E-8</v>
      </c>
    </row>
    <row r="4693" spans="1:12" ht="15.35" hidden="1" x14ac:dyDescent="0.55000000000000004">
      <c r="A4693" s="20">
        <v>13208</v>
      </c>
      <c r="B4693" s="2" t="s">
        <v>180</v>
      </c>
      <c r="C4693" s="2" t="s">
        <v>181</v>
      </c>
      <c r="D4693" s="20">
        <v>0</v>
      </c>
      <c r="E4693" s="2" t="s">
        <v>838</v>
      </c>
      <c r="F4693" s="2" t="s">
        <v>3509</v>
      </c>
      <c r="G4693" s="2" t="s">
        <v>4408</v>
      </c>
      <c r="H4693" s="2" t="s">
        <v>1903</v>
      </c>
      <c r="J4693" s="26"/>
      <c r="K4693" s="36">
        <v>4.9999999999999998E-8</v>
      </c>
      <c r="L4693" s="23">
        <v>1E-8</v>
      </c>
    </row>
    <row r="4694" spans="1:12" ht="15.35" hidden="1" x14ac:dyDescent="0.55000000000000004">
      <c r="A4694" s="20">
        <v>12952</v>
      </c>
      <c r="B4694" s="2" t="s">
        <v>180</v>
      </c>
      <c r="C4694" s="2" t="s">
        <v>181</v>
      </c>
      <c r="D4694" s="20">
        <v>0</v>
      </c>
      <c r="E4694" s="2" t="s">
        <v>838</v>
      </c>
      <c r="F4694" s="2" t="s">
        <v>817</v>
      </c>
      <c r="G4694" s="2" t="s">
        <v>2850</v>
      </c>
      <c r="H4694" s="2" t="s">
        <v>1284</v>
      </c>
      <c r="J4694" s="26"/>
      <c r="K4694" s="36">
        <v>1.7E-6</v>
      </c>
      <c r="L4694" s="23">
        <v>1.6999999999999999E-7</v>
      </c>
    </row>
    <row r="4695" spans="1:12" ht="15.35" hidden="1" x14ac:dyDescent="0.55000000000000004">
      <c r="A4695" s="20">
        <v>13268</v>
      </c>
      <c r="B4695" s="2" t="s">
        <v>180</v>
      </c>
      <c r="C4695" s="2" t="s">
        <v>181</v>
      </c>
      <c r="D4695" s="20">
        <v>0</v>
      </c>
      <c r="E4695" s="2" t="s">
        <v>838</v>
      </c>
      <c r="F4695" s="2" t="s">
        <v>817</v>
      </c>
      <c r="G4695" s="2" t="s">
        <v>4409</v>
      </c>
      <c r="H4695" s="2" t="s">
        <v>1284</v>
      </c>
      <c r="J4695" s="26"/>
      <c r="K4695" s="36">
        <v>2E-8</v>
      </c>
      <c r="L4695" s="23">
        <v>0</v>
      </c>
    </row>
    <row r="4696" spans="1:12" ht="15.35" hidden="1" x14ac:dyDescent="0.55000000000000004">
      <c r="A4696" s="20">
        <v>13173</v>
      </c>
      <c r="B4696" s="2" t="s">
        <v>180</v>
      </c>
      <c r="C4696" s="2" t="s">
        <v>181</v>
      </c>
      <c r="D4696" s="20">
        <v>0</v>
      </c>
      <c r="E4696" s="2" t="s">
        <v>838</v>
      </c>
      <c r="F4696" s="2" t="s">
        <v>817</v>
      </c>
      <c r="G4696" s="2" t="s">
        <v>4410</v>
      </c>
      <c r="H4696" s="2" t="s">
        <v>1284</v>
      </c>
      <c r="J4696" s="26"/>
      <c r="K4696" s="36">
        <v>9.9999999999999995E-8</v>
      </c>
      <c r="L4696" s="23">
        <v>1E-8</v>
      </c>
    </row>
    <row r="4697" spans="1:12" ht="15.35" hidden="1" x14ac:dyDescent="0.55000000000000004">
      <c r="A4697" s="20">
        <v>13320</v>
      </c>
      <c r="B4697" s="2" t="s">
        <v>180</v>
      </c>
      <c r="C4697" s="2" t="s">
        <v>181</v>
      </c>
      <c r="D4697" s="20">
        <v>0</v>
      </c>
      <c r="E4697" s="2" t="s">
        <v>838</v>
      </c>
      <c r="F4697" s="2" t="s">
        <v>817</v>
      </c>
      <c r="G4697" s="2" t="s">
        <v>4411</v>
      </c>
      <c r="H4697" s="2" t="s">
        <v>1284</v>
      </c>
      <c r="J4697" s="26"/>
      <c r="K4697" s="36">
        <v>2E-8</v>
      </c>
      <c r="L4697" s="23">
        <v>0</v>
      </c>
    </row>
    <row r="4698" spans="1:12" ht="15.35" hidden="1" x14ac:dyDescent="0.55000000000000004">
      <c r="A4698" s="20">
        <v>13158</v>
      </c>
      <c r="B4698" s="2" t="s">
        <v>180</v>
      </c>
      <c r="C4698" s="2" t="s">
        <v>181</v>
      </c>
      <c r="D4698" s="20">
        <v>0</v>
      </c>
      <c r="E4698" s="2" t="s">
        <v>838</v>
      </c>
      <c r="F4698" s="2" t="s">
        <v>817</v>
      </c>
      <c r="G4698" s="2" t="s">
        <v>4412</v>
      </c>
      <c r="H4698" s="2" t="s">
        <v>1284</v>
      </c>
      <c r="J4698" s="26"/>
      <c r="K4698" s="36">
        <v>1.1999999999999999E-7</v>
      </c>
      <c r="L4698" s="23">
        <v>1E-8</v>
      </c>
    </row>
    <row r="4699" spans="1:12" ht="15.35" hidden="1" x14ac:dyDescent="0.55000000000000004">
      <c r="A4699" s="20">
        <v>13133</v>
      </c>
      <c r="B4699" s="2" t="s">
        <v>180</v>
      </c>
      <c r="C4699" s="2" t="s">
        <v>181</v>
      </c>
      <c r="D4699" s="20">
        <v>0</v>
      </c>
      <c r="E4699" s="2" t="s">
        <v>838</v>
      </c>
      <c r="F4699" s="2" t="s">
        <v>817</v>
      </c>
      <c r="G4699" s="2" t="s">
        <v>4178</v>
      </c>
      <c r="H4699" s="2" t="s">
        <v>1284</v>
      </c>
      <c r="J4699" s="26"/>
      <c r="K4699" s="36">
        <v>1.8E-7</v>
      </c>
      <c r="L4699" s="23">
        <v>2E-8</v>
      </c>
    </row>
    <row r="4700" spans="1:12" ht="15.35" hidden="1" x14ac:dyDescent="0.55000000000000004">
      <c r="A4700" s="20">
        <v>13046</v>
      </c>
      <c r="B4700" s="2" t="s">
        <v>180</v>
      </c>
      <c r="C4700" s="2" t="s">
        <v>181</v>
      </c>
      <c r="D4700" s="20">
        <v>0</v>
      </c>
      <c r="E4700" s="2" t="s">
        <v>838</v>
      </c>
      <c r="F4700" s="2" t="s">
        <v>848</v>
      </c>
      <c r="G4700" s="2" t="s">
        <v>906</v>
      </c>
      <c r="H4700" s="2" t="s">
        <v>906</v>
      </c>
      <c r="J4700" s="26"/>
      <c r="K4700" s="36">
        <v>5.7999999999999995E-7</v>
      </c>
      <c r="L4700" s="23">
        <v>5.9999999999999995E-8</v>
      </c>
    </row>
    <row r="4701" spans="1:12" ht="15.35" hidden="1" x14ac:dyDescent="0.55000000000000004">
      <c r="A4701" s="20">
        <v>13301</v>
      </c>
      <c r="B4701" s="2" t="s">
        <v>180</v>
      </c>
      <c r="C4701" s="2" t="s">
        <v>181</v>
      </c>
      <c r="D4701" s="20">
        <v>0</v>
      </c>
      <c r="E4701" s="2" t="s">
        <v>838</v>
      </c>
      <c r="F4701" s="2" t="s">
        <v>817</v>
      </c>
      <c r="G4701" s="2" t="s">
        <v>4413</v>
      </c>
      <c r="H4701" s="2" t="s">
        <v>892</v>
      </c>
      <c r="J4701" s="26"/>
      <c r="K4701" s="36">
        <v>2E-8</v>
      </c>
      <c r="L4701" s="23">
        <v>0</v>
      </c>
    </row>
    <row r="4702" spans="1:12" ht="15.35" hidden="1" x14ac:dyDescent="0.55000000000000004">
      <c r="A4702" s="20">
        <v>13290</v>
      </c>
      <c r="B4702" s="2" t="s">
        <v>180</v>
      </c>
      <c r="C4702" s="2" t="s">
        <v>181</v>
      </c>
      <c r="D4702" s="20">
        <v>0</v>
      </c>
      <c r="E4702" s="2" t="s">
        <v>838</v>
      </c>
      <c r="F4702" s="2" t="s">
        <v>817</v>
      </c>
      <c r="G4702" s="2" t="s">
        <v>4414</v>
      </c>
      <c r="H4702" s="2" t="s">
        <v>892</v>
      </c>
      <c r="J4702" s="26"/>
      <c r="K4702" s="36">
        <v>2E-8</v>
      </c>
      <c r="L4702" s="23">
        <v>0</v>
      </c>
    </row>
    <row r="4703" spans="1:12" ht="15.35" hidden="1" x14ac:dyDescent="0.55000000000000004">
      <c r="A4703" s="20">
        <v>13298</v>
      </c>
      <c r="B4703" s="2" t="s">
        <v>180</v>
      </c>
      <c r="C4703" s="2" t="s">
        <v>181</v>
      </c>
      <c r="D4703" s="20">
        <v>0</v>
      </c>
      <c r="E4703" s="2" t="s">
        <v>838</v>
      </c>
      <c r="F4703" s="2" t="s">
        <v>817</v>
      </c>
      <c r="G4703" s="2" t="s">
        <v>4415</v>
      </c>
      <c r="H4703" s="2" t="s">
        <v>892</v>
      </c>
      <c r="J4703" s="26"/>
      <c r="K4703" s="36">
        <v>2E-8</v>
      </c>
      <c r="L4703" s="23">
        <v>0</v>
      </c>
    </row>
    <row r="4704" spans="1:12" ht="15.35" hidden="1" x14ac:dyDescent="0.55000000000000004">
      <c r="A4704" s="20">
        <v>13297</v>
      </c>
      <c r="B4704" s="2" t="s">
        <v>180</v>
      </c>
      <c r="C4704" s="2" t="s">
        <v>181</v>
      </c>
      <c r="D4704" s="20">
        <v>0</v>
      </c>
      <c r="E4704" s="2" t="s">
        <v>838</v>
      </c>
      <c r="F4704" s="2" t="s">
        <v>817</v>
      </c>
      <c r="G4704" s="2" t="s">
        <v>4416</v>
      </c>
      <c r="H4704" s="2" t="s">
        <v>892</v>
      </c>
      <c r="J4704" s="26"/>
      <c r="K4704" s="36">
        <v>2E-8</v>
      </c>
      <c r="L4704" s="23">
        <v>0</v>
      </c>
    </row>
    <row r="4705" spans="1:12" ht="15.35" hidden="1" x14ac:dyDescent="0.55000000000000004">
      <c r="A4705" s="20">
        <v>13292</v>
      </c>
      <c r="B4705" s="2" t="s">
        <v>180</v>
      </c>
      <c r="C4705" s="2" t="s">
        <v>181</v>
      </c>
      <c r="D4705" s="20">
        <v>0</v>
      </c>
      <c r="E4705" s="2" t="s">
        <v>838</v>
      </c>
      <c r="F4705" s="2" t="s">
        <v>817</v>
      </c>
      <c r="G4705" s="2" t="s">
        <v>4417</v>
      </c>
      <c r="H4705" s="2" t="s">
        <v>892</v>
      </c>
      <c r="J4705" s="26"/>
      <c r="K4705" s="36">
        <v>2E-8</v>
      </c>
      <c r="L4705" s="23">
        <v>0</v>
      </c>
    </row>
    <row r="4706" spans="1:12" ht="15.35" hidden="1" x14ac:dyDescent="0.55000000000000004">
      <c r="A4706" s="20">
        <v>13299</v>
      </c>
      <c r="B4706" s="2" t="s">
        <v>180</v>
      </c>
      <c r="C4706" s="2" t="s">
        <v>181</v>
      </c>
      <c r="D4706" s="20">
        <v>0</v>
      </c>
      <c r="E4706" s="2" t="s">
        <v>838</v>
      </c>
      <c r="F4706" s="2" t="s">
        <v>817</v>
      </c>
      <c r="G4706" s="2" t="s">
        <v>4418</v>
      </c>
      <c r="H4706" s="2" t="s">
        <v>892</v>
      </c>
      <c r="J4706" s="26"/>
      <c r="K4706" s="36">
        <v>2E-8</v>
      </c>
      <c r="L4706" s="23">
        <v>0</v>
      </c>
    </row>
    <row r="4707" spans="1:12" ht="15.35" hidden="1" x14ac:dyDescent="0.55000000000000004">
      <c r="A4707" s="20">
        <v>13294</v>
      </c>
      <c r="B4707" s="2" t="s">
        <v>180</v>
      </c>
      <c r="C4707" s="2" t="s">
        <v>181</v>
      </c>
      <c r="D4707" s="20">
        <v>0</v>
      </c>
      <c r="E4707" s="2" t="s">
        <v>838</v>
      </c>
      <c r="F4707" s="2" t="s">
        <v>817</v>
      </c>
      <c r="G4707" s="2" t="s">
        <v>4419</v>
      </c>
      <c r="H4707" s="2" t="s">
        <v>892</v>
      </c>
      <c r="J4707" s="26"/>
      <c r="K4707" s="36">
        <v>2E-8</v>
      </c>
      <c r="L4707" s="23">
        <v>0</v>
      </c>
    </row>
    <row r="4708" spans="1:12" ht="15.35" hidden="1" x14ac:dyDescent="0.55000000000000004">
      <c r="A4708" s="20">
        <v>13289</v>
      </c>
      <c r="B4708" s="2" t="s">
        <v>180</v>
      </c>
      <c r="C4708" s="2" t="s">
        <v>181</v>
      </c>
      <c r="D4708" s="20">
        <v>0</v>
      </c>
      <c r="E4708" s="2" t="s">
        <v>838</v>
      </c>
      <c r="F4708" s="2" t="s">
        <v>817</v>
      </c>
      <c r="G4708" s="2" t="s">
        <v>4420</v>
      </c>
      <c r="H4708" s="2" t="s">
        <v>892</v>
      </c>
      <c r="J4708" s="26"/>
      <c r="K4708" s="36">
        <v>2E-8</v>
      </c>
      <c r="L4708" s="23">
        <v>0</v>
      </c>
    </row>
    <row r="4709" spans="1:12" ht="15.35" hidden="1" x14ac:dyDescent="0.55000000000000004">
      <c r="A4709" s="20">
        <v>13285</v>
      </c>
      <c r="B4709" s="2" t="s">
        <v>180</v>
      </c>
      <c r="C4709" s="2" t="s">
        <v>181</v>
      </c>
      <c r="D4709" s="20">
        <v>0</v>
      </c>
      <c r="E4709" s="2" t="s">
        <v>838</v>
      </c>
      <c r="F4709" s="2" t="s">
        <v>817</v>
      </c>
      <c r="G4709" s="2" t="s">
        <v>4421</v>
      </c>
      <c r="H4709" s="2" t="s">
        <v>892</v>
      </c>
      <c r="J4709" s="26"/>
      <c r="K4709" s="36">
        <v>2E-8</v>
      </c>
      <c r="L4709" s="23">
        <v>0</v>
      </c>
    </row>
    <row r="4710" spans="1:12" ht="15.35" hidden="1" x14ac:dyDescent="0.55000000000000004">
      <c r="A4710" s="20">
        <v>13303</v>
      </c>
      <c r="B4710" s="2" t="s">
        <v>180</v>
      </c>
      <c r="C4710" s="2" t="s">
        <v>181</v>
      </c>
      <c r="D4710" s="20">
        <v>0</v>
      </c>
      <c r="E4710" s="2" t="s">
        <v>838</v>
      </c>
      <c r="F4710" s="2" t="s">
        <v>817</v>
      </c>
      <c r="G4710" s="2" t="s">
        <v>4422</v>
      </c>
      <c r="H4710" s="2" t="s">
        <v>892</v>
      </c>
      <c r="J4710" s="26"/>
      <c r="K4710" s="36">
        <v>2E-8</v>
      </c>
      <c r="L4710" s="23">
        <v>0</v>
      </c>
    </row>
    <row r="4711" spans="1:12" ht="15.35" hidden="1" x14ac:dyDescent="0.55000000000000004">
      <c r="A4711" s="20">
        <v>13286</v>
      </c>
      <c r="B4711" s="2" t="s">
        <v>180</v>
      </c>
      <c r="C4711" s="2" t="s">
        <v>181</v>
      </c>
      <c r="D4711" s="20">
        <v>0</v>
      </c>
      <c r="E4711" s="2" t="s">
        <v>838</v>
      </c>
      <c r="F4711" s="2" t="s">
        <v>817</v>
      </c>
      <c r="G4711" s="2" t="s">
        <v>4423</v>
      </c>
      <c r="H4711" s="2" t="s">
        <v>892</v>
      </c>
      <c r="J4711" s="26"/>
      <c r="K4711" s="36">
        <v>2E-8</v>
      </c>
      <c r="L4711" s="23">
        <v>0</v>
      </c>
    </row>
    <row r="4712" spans="1:12" ht="15.35" hidden="1" x14ac:dyDescent="0.55000000000000004">
      <c r="A4712" s="20">
        <v>13282</v>
      </c>
      <c r="B4712" s="2" t="s">
        <v>180</v>
      </c>
      <c r="C4712" s="2" t="s">
        <v>181</v>
      </c>
      <c r="D4712" s="20">
        <v>0</v>
      </c>
      <c r="E4712" s="2" t="s">
        <v>838</v>
      </c>
      <c r="F4712" s="2" t="s">
        <v>817</v>
      </c>
      <c r="G4712" s="2" t="s">
        <v>4424</v>
      </c>
      <c r="H4712" s="2" t="s">
        <v>892</v>
      </c>
      <c r="J4712" s="26"/>
      <c r="K4712" s="36">
        <v>2E-8</v>
      </c>
      <c r="L4712" s="23">
        <v>0</v>
      </c>
    </row>
    <row r="4713" spans="1:12" ht="15.35" hidden="1" x14ac:dyDescent="0.55000000000000004">
      <c r="A4713" s="20">
        <v>13291</v>
      </c>
      <c r="B4713" s="2" t="s">
        <v>180</v>
      </c>
      <c r="C4713" s="2" t="s">
        <v>181</v>
      </c>
      <c r="D4713" s="20">
        <v>0</v>
      </c>
      <c r="E4713" s="2" t="s">
        <v>838</v>
      </c>
      <c r="F4713" s="2" t="s">
        <v>817</v>
      </c>
      <c r="G4713" s="2" t="s">
        <v>4425</v>
      </c>
      <c r="H4713" s="2" t="s">
        <v>892</v>
      </c>
      <c r="J4713" s="26"/>
      <c r="K4713" s="36">
        <v>2E-8</v>
      </c>
      <c r="L4713" s="23">
        <v>0</v>
      </c>
    </row>
    <row r="4714" spans="1:12" ht="15.35" hidden="1" x14ac:dyDescent="0.55000000000000004">
      <c r="A4714" s="20">
        <v>13288</v>
      </c>
      <c r="B4714" s="2" t="s">
        <v>180</v>
      </c>
      <c r="C4714" s="2" t="s">
        <v>181</v>
      </c>
      <c r="D4714" s="20">
        <v>0</v>
      </c>
      <c r="E4714" s="2" t="s">
        <v>838</v>
      </c>
      <c r="F4714" s="2" t="s">
        <v>817</v>
      </c>
      <c r="G4714" s="2" t="s">
        <v>4426</v>
      </c>
      <c r="H4714" s="2" t="s">
        <v>892</v>
      </c>
      <c r="J4714" s="26"/>
      <c r="K4714" s="36">
        <v>2E-8</v>
      </c>
      <c r="L4714" s="23">
        <v>0</v>
      </c>
    </row>
    <row r="4715" spans="1:12" ht="15.35" hidden="1" x14ac:dyDescent="0.55000000000000004">
      <c r="A4715" s="20">
        <v>13295</v>
      </c>
      <c r="B4715" s="2" t="s">
        <v>180</v>
      </c>
      <c r="C4715" s="2" t="s">
        <v>181</v>
      </c>
      <c r="D4715" s="20">
        <v>0</v>
      </c>
      <c r="E4715" s="2" t="s">
        <v>838</v>
      </c>
      <c r="F4715" s="2" t="s">
        <v>817</v>
      </c>
      <c r="G4715" s="2" t="s">
        <v>4427</v>
      </c>
      <c r="H4715" s="2" t="s">
        <v>892</v>
      </c>
      <c r="J4715" s="26"/>
      <c r="K4715" s="36">
        <v>2E-8</v>
      </c>
      <c r="L4715" s="23">
        <v>0</v>
      </c>
    </row>
    <row r="4716" spans="1:12" ht="15.35" hidden="1" x14ac:dyDescent="0.55000000000000004">
      <c r="A4716" s="20">
        <v>13296</v>
      </c>
      <c r="B4716" s="2" t="s">
        <v>180</v>
      </c>
      <c r="C4716" s="2" t="s">
        <v>181</v>
      </c>
      <c r="D4716" s="20">
        <v>0</v>
      </c>
      <c r="E4716" s="2" t="s">
        <v>838</v>
      </c>
      <c r="F4716" s="2" t="s">
        <v>817</v>
      </c>
      <c r="G4716" s="2" t="s">
        <v>4428</v>
      </c>
      <c r="H4716" s="2" t="s">
        <v>892</v>
      </c>
      <c r="J4716" s="26"/>
      <c r="K4716" s="36">
        <v>2E-8</v>
      </c>
      <c r="L4716" s="23">
        <v>0</v>
      </c>
    </row>
    <row r="4717" spans="1:12" ht="15.35" hidden="1" x14ac:dyDescent="0.55000000000000004">
      <c r="A4717" s="20">
        <v>13293</v>
      </c>
      <c r="B4717" s="2" t="s">
        <v>180</v>
      </c>
      <c r="C4717" s="2" t="s">
        <v>181</v>
      </c>
      <c r="D4717" s="20">
        <v>0</v>
      </c>
      <c r="E4717" s="2" t="s">
        <v>838</v>
      </c>
      <c r="F4717" s="2" t="s">
        <v>817</v>
      </c>
      <c r="G4717" s="2" t="s">
        <v>4429</v>
      </c>
      <c r="H4717" s="2" t="s">
        <v>892</v>
      </c>
      <c r="J4717" s="26"/>
      <c r="K4717" s="36">
        <v>2E-8</v>
      </c>
      <c r="L4717" s="23">
        <v>0</v>
      </c>
    </row>
    <row r="4718" spans="1:12" ht="15.35" hidden="1" x14ac:dyDescent="0.55000000000000004">
      <c r="A4718" s="20">
        <v>13287</v>
      </c>
      <c r="B4718" s="2" t="s">
        <v>180</v>
      </c>
      <c r="C4718" s="2" t="s">
        <v>181</v>
      </c>
      <c r="D4718" s="20">
        <v>0</v>
      </c>
      <c r="E4718" s="2" t="s">
        <v>838</v>
      </c>
      <c r="F4718" s="2" t="s">
        <v>817</v>
      </c>
      <c r="G4718" s="2" t="s">
        <v>4430</v>
      </c>
      <c r="H4718" s="2" t="s">
        <v>892</v>
      </c>
      <c r="J4718" s="26"/>
      <c r="K4718" s="36">
        <v>2E-8</v>
      </c>
      <c r="L4718" s="23">
        <v>0</v>
      </c>
    </row>
    <row r="4719" spans="1:12" ht="15.35" hidden="1" x14ac:dyDescent="0.55000000000000004">
      <c r="A4719" s="20">
        <v>13300</v>
      </c>
      <c r="B4719" s="2" t="s">
        <v>180</v>
      </c>
      <c r="C4719" s="2" t="s">
        <v>181</v>
      </c>
      <c r="D4719" s="20">
        <v>0</v>
      </c>
      <c r="E4719" s="2" t="s">
        <v>838</v>
      </c>
      <c r="F4719" s="2" t="s">
        <v>817</v>
      </c>
      <c r="G4719" s="2" t="s">
        <v>4431</v>
      </c>
      <c r="H4719" s="2" t="s">
        <v>892</v>
      </c>
      <c r="J4719" s="26"/>
      <c r="K4719" s="36">
        <v>2E-8</v>
      </c>
      <c r="L4719" s="23">
        <v>0</v>
      </c>
    </row>
    <row r="4720" spans="1:12" ht="15.35" hidden="1" x14ac:dyDescent="0.55000000000000004">
      <c r="A4720" s="20">
        <v>13284</v>
      </c>
      <c r="B4720" s="2" t="s">
        <v>180</v>
      </c>
      <c r="C4720" s="2" t="s">
        <v>181</v>
      </c>
      <c r="D4720" s="20">
        <v>0</v>
      </c>
      <c r="E4720" s="2" t="s">
        <v>838</v>
      </c>
      <c r="F4720" s="2" t="s">
        <v>817</v>
      </c>
      <c r="G4720" s="2" t="s">
        <v>4432</v>
      </c>
      <c r="H4720" s="2" t="s">
        <v>892</v>
      </c>
      <c r="J4720" s="26"/>
      <c r="K4720" s="36">
        <v>2E-8</v>
      </c>
      <c r="L4720" s="23">
        <v>0</v>
      </c>
    </row>
    <row r="4721" spans="1:12" ht="15.35" hidden="1" x14ac:dyDescent="0.55000000000000004">
      <c r="A4721" s="20">
        <v>13234</v>
      </c>
      <c r="B4721" s="2" t="s">
        <v>180</v>
      </c>
      <c r="C4721" s="2" t="s">
        <v>181</v>
      </c>
      <c r="D4721" s="20">
        <v>0</v>
      </c>
      <c r="E4721" s="2" t="s">
        <v>838</v>
      </c>
      <c r="F4721" s="2" t="s">
        <v>793</v>
      </c>
      <c r="G4721" s="2" t="s">
        <v>4433</v>
      </c>
      <c r="H4721" s="2" t="s">
        <v>892</v>
      </c>
      <c r="J4721" s="26"/>
      <c r="K4721" s="36">
        <v>2.9999999999999997E-8</v>
      </c>
      <c r="L4721" s="23">
        <v>0</v>
      </c>
    </row>
    <row r="4722" spans="1:12" ht="15.35" hidden="1" x14ac:dyDescent="0.55000000000000004">
      <c r="A4722" s="20">
        <v>13272</v>
      </c>
      <c r="B4722" s="2" t="s">
        <v>180</v>
      </c>
      <c r="C4722" s="2" t="s">
        <v>181</v>
      </c>
      <c r="D4722" s="20">
        <v>0</v>
      </c>
      <c r="E4722" s="2" t="s">
        <v>838</v>
      </c>
      <c r="F4722" s="2" t="s">
        <v>793</v>
      </c>
      <c r="G4722" s="2" t="s">
        <v>4434</v>
      </c>
      <c r="H4722" s="2" t="s">
        <v>892</v>
      </c>
      <c r="J4722" s="26"/>
      <c r="K4722" s="36">
        <v>2E-8</v>
      </c>
      <c r="L4722" s="23">
        <v>0</v>
      </c>
    </row>
    <row r="4723" spans="1:12" ht="15.35" hidden="1" x14ac:dyDescent="0.55000000000000004">
      <c r="A4723" s="20">
        <v>13177</v>
      </c>
      <c r="B4723" s="2" t="s">
        <v>180</v>
      </c>
      <c r="C4723" s="2" t="s">
        <v>181</v>
      </c>
      <c r="D4723" s="20">
        <v>0</v>
      </c>
      <c r="E4723" s="2" t="s">
        <v>838</v>
      </c>
      <c r="F4723" s="2" t="s">
        <v>793</v>
      </c>
      <c r="G4723" s="2" t="s">
        <v>3519</v>
      </c>
      <c r="H4723" s="2" t="s">
        <v>892</v>
      </c>
      <c r="J4723" s="26"/>
      <c r="K4723" s="36">
        <v>8.9999999999999999E-8</v>
      </c>
      <c r="L4723" s="23">
        <v>1E-8</v>
      </c>
    </row>
    <row r="4724" spans="1:12" ht="15.35" hidden="1" x14ac:dyDescent="0.55000000000000004">
      <c r="A4724" s="20">
        <v>13271</v>
      </c>
      <c r="B4724" s="2" t="s">
        <v>180</v>
      </c>
      <c r="C4724" s="2" t="s">
        <v>181</v>
      </c>
      <c r="D4724" s="20">
        <v>0</v>
      </c>
      <c r="E4724" s="2" t="s">
        <v>838</v>
      </c>
      <c r="F4724" s="2" t="s">
        <v>793</v>
      </c>
      <c r="G4724" s="2" t="s">
        <v>4435</v>
      </c>
      <c r="H4724" s="2" t="s">
        <v>892</v>
      </c>
      <c r="J4724" s="26"/>
      <c r="K4724" s="36">
        <v>2E-8</v>
      </c>
      <c r="L4724" s="23">
        <v>0</v>
      </c>
    </row>
    <row r="4725" spans="1:12" ht="15.35" hidden="1" x14ac:dyDescent="0.55000000000000004">
      <c r="A4725" s="20">
        <v>13237</v>
      </c>
      <c r="B4725" s="2" t="s">
        <v>180</v>
      </c>
      <c r="C4725" s="2" t="s">
        <v>181</v>
      </c>
      <c r="D4725" s="20">
        <v>0</v>
      </c>
      <c r="E4725" s="2" t="s">
        <v>838</v>
      </c>
      <c r="F4725" s="2" t="s">
        <v>793</v>
      </c>
      <c r="G4725" s="2" t="s">
        <v>4436</v>
      </c>
      <c r="H4725" s="2" t="s">
        <v>892</v>
      </c>
      <c r="J4725" s="26"/>
      <c r="K4725" s="36">
        <v>2.9999999999999997E-8</v>
      </c>
      <c r="L4725" s="23">
        <v>0</v>
      </c>
    </row>
    <row r="4726" spans="1:12" ht="15.35" hidden="1" x14ac:dyDescent="0.55000000000000004">
      <c r="A4726" s="20">
        <v>13245</v>
      </c>
      <c r="B4726" s="2" t="s">
        <v>180</v>
      </c>
      <c r="C4726" s="2" t="s">
        <v>181</v>
      </c>
      <c r="D4726" s="20">
        <v>0</v>
      </c>
      <c r="E4726" s="2" t="s">
        <v>838</v>
      </c>
      <c r="F4726" s="2" t="s">
        <v>793</v>
      </c>
      <c r="G4726" s="2" t="s">
        <v>4437</v>
      </c>
      <c r="H4726" s="2" t="s">
        <v>892</v>
      </c>
      <c r="J4726" s="26"/>
      <c r="K4726" s="36">
        <v>2.9999999999999997E-8</v>
      </c>
      <c r="L4726" s="23">
        <v>0</v>
      </c>
    </row>
    <row r="4727" spans="1:12" ht="15.35" hidden="1" x14ac:dyDescent="0.55000000000000004">
      <c r="A4727" s="20">
        <v>13250</v>
      </c>
      <c r="B4727" s="2" t="s">
        <v>180</v>
      </c>
      <c r="C4727" s="2" t="s">
        <v>181</v>
      </c>
      <c r="D4727" s="20">
        <v>0</v>
      </c>
      <c r="E4727" s="2" t="s">
        <v>838</v>
      </c>
      <c r="F4727" s="2" t="s">
        <v>793</v>
      </c>
      <c r="G4727" s="2" t="s">
        <v>4438</v>
      </c>
      <c r="H4727" s="2" t="s">
        <v>892</v>
      </c>
      <c r="J4727" s="26"/>
      <c r="K4727" s="36">
        <v>2.9999999999999997E-8</v>
      </c>
      <c r="L4727" s="23">
        <v>0</v>
      </c>
    </row>
    <row r="4728" spans="1:12" ht="15.35" hidden="1" x14ac:dyDescent="0.55000000000000004">
      <c r="A4728" s="20">
        <v>13247</v>
      </c>
      <c r="B4728" s="2" t="s">
        <v>180</v>
      </c>
      <c r="C4728" s="2" t="s">
        <v>181</v>
      </c>
      <c r="D4728" s="20">
        <v>0</v>
      </c>
      <c r="E4728" s="2" t="s">
        <v>838</v>
      </c>
      <c r="F4728" s="2" t="s">
        <v>793</v>
      </c>
      <c r="G4728" s="2" t="s">
        <v>4439</v>
      </c>
      <c r="H4728" s="2" t="s">
        <v>892</v>
      </c>
      <c r="J4728" s="26"/>
      <c r="K4728" s="36">
        <v>2.9999999999999997E-8</v>
      </c>
      <c r="L4728" s="23">
        <v>0</v>
      </c>
    </row>
    <row r="4729" spans="1:12" ht="15.35" hidden="1" x14ac:dyDescent="0.55000000000000004">
      <c r="A4729" s="20">
        <v>13246</v>
      </c>
      <c r="B4729" s="2" t="s">
        <v>180</v>
      </c>
      <c r="C4729" s="2" t="s">
        <v>181</v>
      </c>
      <c r="D4729" s="20">
        <v>0</v>
      </c>
      <c r="E4729" s="2" t="s">
        <v>838</v>
      </c>
      <c r="F4729" s="2" t="s">
        <v>793</v>
      </c>
      <c r="G4729" s="2" t="s">
        <v>4440</v>
      </c>
      <c r="H4729" s="2" t="s">
        <v>892</v>
      </c>
      <c r="J4729" s="26"/>
      <c r="K4729" s="36">
        <v>2.9999999999999997E-8</v>
      </c>
      <c r="L4729" s="23">
        <v>0</v>
      </c>
    </row>
    <row r="4730" spans="1:12" ht="15.35" hidden="1" x14ac:dyDescent="0.55000000000000004">
      <c r="A4730" s="20">
        <v>13249</v>
      </c>
      <c r="B4730" s="2" t="s">
        <v>180</v>
      </c>
      <c r="C4730" s="2" t="s">
        <v>181</v>
      </c>
      <c r="D4730" s="20">
        <v>0</v>
      </c>
      <c r="E4730" s="2" t="s">
        <v>838</v>
      </c>
      <c r="F4730" s="2" t="s">
        <v>793</v>
      </c>
      <c r="G4730" s="2" t="s">
        <v>4441</v>
      </c>
      <c r="H4730" s="2" t="s">
        <v>892</v>
      </c>
      <c r="J4730" s="26"/>
      <c r="K4730" s="36">
        <v>2.9999999999999997E-8</v>
      </c>
      <c r="L4730" s="23">
        <v>0</v>
      </c>
    </row>
    <row r="4731" spans="1:12" ht="15.35" hidden="1" x14ac:dyDescent="0.55000000000000004">
      <c r="A4731" s="20">
        <v>13251</v>
      </c>
      <c r="B4731" s="2" t="s">
        <v>180</v>
      </c>
      <c r="C4731" s="2" t="s">
        <v>181</v>
      </c>
      <c r="D4731" s="20">
        <v>0</v>
      </c>
      <c r="E4731" s="2" t="s">
        <v>838</v>
      </c>
      <c r="F4731" s="2" t="s">
        <v>793</v>
      </c>
      <c r="G4731" s="2" t="s">
        <v>4442</v>
      </c>
      <c r="H4731" s="2" t="s">
        <v>892</v>
      </c>
      <c r="J4731" s="26"/>
      <c r="K4731" s="36">
        <v>2.9999999999999997E-8</v>
      </c>
      <c r="L4731" s="23">
        <v>0</v>
      </c>
    </row>
    <row r="4732" spans="1:12" ht="15.35" hidden="1" x14ac:dyDescent="0.55000000000000004">
      <c r="A4732" s="20">
        <v>13238</v>
      </c>
      <c r="B4732" s="2" t="s">
        <v>180</v>
      </c>
      <c r="C4732" s="2" t="s">
        <v>181</v>
      </c>
      <c r="D4732" s="20">
        <v>0</v>
      </c>
      <c r="E4732" s="2" t="s">
        <v>838</v>
      </c>
      <c r="F4732" s="2" t="s">
        <v>793</v>
      </c>
      <c r="G4732" s="2" t="s">
        <v>4443</v>
      </c>
      <c r="H4732" s="2" t="s">
        <v>892</v>
      </c>
      <c r="J4732" s="26"/>
      <c r="K4732" s="36">
        <v>2.9999999999999997E-8</v>
      </c>
      <c r="L4732" s="23">
        <v>0</v>
      </c>
    </row>
    <row r="4733" spans="1:12" ht="15.35" hidden="1" x14ac:dyDescent="0.55000000000000004">
      <c r="A4733" s="20">
        <v>13239</v>
      </c>
      <c r="B4733" s="2" t="s">
        <v>180</v>
      </c>
      <c r="C4733" s="2" t="s">
        <v>181</v>
      </c>
      <c r="D4733" s="20">
        <v>0</v>
      </c>
      <c r="E4733" s="2" t="s">
        <v>838</v>
      </c>
      <c r="F4733" s="2" t="s">
        <v>793</v>
      </c>
      <c r="G4733" s="2" t="s">
        <v>4444</v>
      </c>
      <c r="H4733" s="2" t="s">
        <v>892</v>
      </c>
      <c r="J4733" s="26"/>
      <c r="K4733" s="36">
        <v>2.9999999999999997E-8</v>
      </c>
      <c r="L4733" s="23">
        <v>0</v>
      </c>
    </row>
    <row r="4734" spans="1:12" ht="15.35" hidden="1" x14ac:dyDescent="0.55000000000000004">
      <c r="A4734" s="20">
        <v>13241</v>
      </c>
      <c r="B4734" s="2" t="s">
        <v>180</v>
      </c>
      <c r="C4734" s="2" t="s">
        <v>181</v>
      </c>
      <c r="D4734" s="20">
        <v>0</v>
      </c>
      <c r="E4734" s="2" t="s">
        <v>838</v>
      </c>
      <c r="F4734" s="2" t="s">
        <v>793</v>
      </c>
      <c r="G4734" s="2" t="s">
        <v>4445</v>
      </c>
      <c r="H4734" s="2" t="s">
        <v>892</v>
      </c>
      <c r="J4734" s="26"/>
      <c r="K4734" s="36">
        <v>2.9999999999999997E-8</v>
      </c>
      <c r="L4734" s="23">
        <v>0</v>
      </c>
    </row>
    <row r="4735" spans="1:12" ht="15.35" hidden="1" x14ac:dyDescent="0.55000000000000004">
      <c r="A4735" s="20">
        <v>13240</v>
      </c>
      <c r="B4735" s="2" t="s">
        <v>180</v>
      </c>
      <c r="C4735" s="2" t="s">
        <v>181</v>
      </c>
      <c r="D4735" s="20">
        <v>0</v>
      </c>
      <c r="E4735" s="2" t="s">
        <v>838</v>
      </c>
      <c r="F4735" s="2" t="s">
        <v>793</v>
      </c>
      <c r="G4735" s="2" t="s">
        <v>4446</v>
      </c>
      <c r="H4735" s="2" t="s">
        <v>892</v>
      </c>
      <c r="J4735" s="26"/>
      <c r="K4735" s="36">
        <v>2.9999999999999997E-8</v>
      </c>
      <c r="L4735" s="23">
        <v>0</v>
      </c>
    </row>
    <row r="4736" spans="1:12" ht="15.35" hidden="1" x14ac:dyDescent="0.55000000000000004">
      <c r="A4736" s="20">
        <v>13242</v>
      </c>
      <c r="B4736" s="2" t="s">
        <v>180</v>
      </c>
      <c r="C4736" s="2" t="s">
        <v>181</v>
      </c>
      <c r="D4736" s="20">
        <v>0</v>
      </c>
      <c r="E4736" s="2" t="s">
        <v>838</v>
      </c>
      <c r="F4736" s="2" t="s">
        <v>793</v>
      </c>
      <c r="G4736" s="2" t="s">
        <v>4447</v>
      </c>
      <c r="H4736" s="2" t="s">
        <v>892</v>
      </c>
      <c r="J4736" s="26"/>
      <c r="K4736" s="36">
        <v>2.9999999999999997E-8</v>
      </c>
      <c r="L4736" s="23">
        <v>0</v>
      </c>
    </row>
    <row r="4737" spans="1:12" ht="15.35" hidden="1" x14ac:dyDescent="0.55000000000000004">
      <c r="A4737" s="20">
        <v>13243</v>
      </c>
      <c r="B4737" s="2" t="s">
        <v>180</v>
      </c>
      <c r="C4737" s="2" t="s">
        <v>181</v>
      </c>
      <c r="D4737" s="20">
        <v>0</v>
      </c>
      <c r="E4737" s="2" t="s">
        <v>838</v>
      </c>
      <c r="F4737" s="2" t="s">
        <v>793</v>
      </c>
      <c r="G4737" s="2" t="s">
        <v>4448</v>
      </c>
      <c r="H4737" s="2" t="s">
        <v>892</v>
      </c>
      <c r="J4737" s="26"/>
      <c r="K4737" s="36">
        <v>2.9999999999999997E-8</v>
      </c>
      <c r="L4737" s="23">
        <v>0</v>
      </c>
    </row>
    <row r="4738" spans="1:12" ht="15.35" hidden="1" x14ac:dyDescent="0.55000000000000004">
      <c r="A4738" s="20">
        <v>13248</v>
      </c>
      <c r="B4738" s="2" t="s">
        <v>180</v>
      </c>
      <c r="C4738" s="2" t="s">
        <v>181</v>
      </c>
      <c r="D4738" s="20">
        <v>0</v>
      </c>
      <c r="E4738" s="2" t="s">
        <v>838</v>
      </c>
      <c r="F4738" s="2" t="s">
        <v>793</v>
      </c>
      <c r="G4738" s="2" t="s">
        <v>4449</v>
      </c>
      <c r="H4738" s="2" t="s">
        <v>892</v>
      </c>
      <c r="J4738" s="26"/>
      <c r="K4738" s="36">
        <v>2.9999999999999997E-8</v>
      </c>
      <c r="L4738" s="23">
        <v>0</v>
      </c>
    </row>
    <row r="4739" spans="1:12" ht="15.35" hidden="1" x14ac:dyDescent="0.55000000000000004">
      <c r="A4739" s="20">
        <v>13244</v>
      </c>
      <c r="B4739" s="2" t="s">
        <v>180</v>
      </c>
      <c r="C4739" s="2" t="s">
        <v>181</v>
      </c>
      <c r="D4739" s="20">
        <v>0</v>
      </c>
      <c r="E4739" s="2" t="s">
        <v>838</v>
      </c>
      <c r="F4739" s="2" t="s">
        <v>793</v>
      </c>
      <c r="G4739" s="2" t="s">
        <v>4450</v>
      </c>
      <c r="H4739" s="2" t="s">
        <v>892</v>
      </c>
      <c r="J4739" s="26"/>
      <c r="K4739" s="36">
        <v>2.9999999999999997E-8</v>
      </c>
      <c r="L4739" s="23">
        <v>0</v>
      </c>
    </row>
    <row r="4740" spans="1:12" ht="15.35" hidden="1" x14ac:dyDescent="0.55000000000000004">
      <c r="A4740" s="20">
        <v>13042</v>
      </c>
      <c r="B4740" s="2" t="s">
        <v>180</v>
      </c>
      <c r="C4740" s="2" t="s">
        <v>181</v>
      </c>
      <c r="D4740" s="20">
        <v>0</v>
      </c>
      <c r="E4740" s="2" t="s">
        <v>838</v>
      </c>
      <c r="F4740" s="2" t="s">
        <v>793</v>
      </c>
      <c r="G4740" s="2" t="s">
        <v>4451</v>
      </c>
      <c r="H4740" s="2" t="s">
        <v>892</v>
      </c>
      <c r="J4740" s="26"/>
      <c r="K4740" s="36">
        <v>5.7999999999999995E-7</v>
      </c>
      <c r="L4740" s="23">
        <v>5.9999999999999995E-8</v>
      </c>
    </row>
    <row r="4741" spans="1:12" ht="15.35" hidden="1" x14ac:dyDescent="0.55000000000000004">
      <c r="A4741" s="20">
        <v>12963</v>
      </c>
      <c r="B4741" s="2" t="s">
        <v>180</v>
      </c>
      <c r="C4741" s="2" t="s">
        <v>181</v>
      </c>
      <c r="D4741" s="20">
        <v>0</v>
      </c>
      <c r="E4741" s="2" t="s">
        <v>838</v>
      </c>
      <c r="F4741" s="2" t="s">
        <v>793</v>
      </c>
      <c r="G4741" s="2" t="s">
        <v>4179</v>
      </c>
      <c r="H4741" s="2" t="s">
        <v>892</v>
      </c>
      <c r="J4741" s="26"/>
      <c r="K4741" s="36">
        <v>1.7E-6</v>
      </c>
      <c r="L4741" s="23">
        <v>1.6999999999999999E-7</v>
      </c>
    </row>
    <row r="4742" spans="1:12" ht="15.35" hidden="1" x14ac:dyDescent="0.55000000000000004">
      <c r="A4742" s="20">
        <v>12950</v>
      </c>
      <c r="B4742" s="2" t="s">
        <v>180</v>
      </c>
      <c r="C4742" s="2" t="s">
        <v>181</v>
      </c>
      <c r="D4742" s="20">
        <v>0</v>
      </c>
      <c r="E4742" s="2" t="s">
        <v>838</v>
      </c>
      <c r="F4742" s="2" t="s">
        <v>793</v>
      </c>
      <c r="G4742" s="2" t="s">
        <v>4180</v>
      </c>
      <c r="H4742" s="2" t="s">
        <v>892</v>
      </c>
      <c r="J4742" s="26"/>
      <c r="K4742" s="36">
        <v>1.7E-6</v>
      </c>
      <c r="L4742" s="23">
        <v>1.6999999999999999E-7</v>
      </c>
    </row>
    <row r="4743" spans="1:12" ht="15.35" hidden="1" x14ac:dyDescent="0.55000000000000004">
      <c r="A4743" s="20">
        <v>13027</v>
      </c>
      <c r="B4743" s="2" t="s">
        <v>180</v>
      </c>
      <c r="C4743" s="2" t="s">
        <v>181</v>
      </c>
      <c r="D4743" s="20">
        <v>0</v>
      </c>
      <c r="E4743" s="2" t="s">
        <v>838</v>
      </c>
      <c r="F4743" s="2" t="s">
        <v>793</v>
      </c>
      <c r="G4743" s="2" t="s">
        <v>4181</v>
      </c>
      <c r="H4743" s="2" t="s">
        <v>892</v>
      </c>
      <c r="J4743" s="26"/>
      <c r="K4743" s="36">
        <v>8.0999999999999997E-7</v>
      </c>
      <c r="L4743" s="23">
        <v>8.0000000000000002E-8</v>
      </c>
    </row>
    <row r="4744" spans="1:12" ht="15.35" hidden="1" x14ac:dyDescent="0.55000000000000004">
      <c r="A4744" s="20">
        <v>13028</v>
      </c>
      <c r="B4744" s="2" t="s">
        <v>180</v>
      </c>
      <c r="C4744" s="2" t="s">
        <v>181</v>
      </c>
      <c r="D4744" s="20">
        <v>0</v>
      </c>
      <c r="E4744" s="2" t="s">
        <v>838</v>
      </c>
      <c r="F4744" s="2" t="s">
        <v>793</v>
      </c>
      <c r="G4744" s="2" t="s">
        <v>4182</v>
      </c>
      <c r="H4744" s="2" t="s">
        <v>892</v>
      </c>
      <c r="J4744" s="26"/>
      <c r="K4744" s="36">
        <v>7.8999999999999995E-7</v>
      </c>
      <c r="L4744" s="23">
        <v>8.0000000000000002E-8</v>
      </c>
    </row>
    <row r="4745" spans="1:12" ht="15.35" hidden="1" x14ac:dyDescent="0.55000000000000004">
      <c r="A4745" s="20">
        <v>13154</v>
      </c>
      <c r="B4745" s="2" t="s">
        <v>180</v>
      </c>
      <c r="C4745" s="2" t="s">
        <v>181</v>
      </c>
      <c r="D4745" s="20">
        <v>0</v>
      </c>
      <c r="E4745" s="2" t="s">
        <v>838</v>
      </c>
      <c r="F4745" s="2" t="s">
        <v>793</v>
      </c>
      <c r="G4745" s="2" t="s">
        <v>4452</v>
      </c>
      <c r="H4745" s="2" t="s">
        <v>892</v>
      </c>
      <c r="J4745" s="26"/>
      <c r="K4745" s="36">
        <v>1.4000000000000001E-7</v>
      </c>
      <c r="L4745" s="23">
        <v>1E-8</v>
      </c>
    </row>
    <row r="4746" spans="1:12" ht="15.35" hidden="1" x14ac:dyDescent="0.55000000000000004">
      <c r="A4746" s="20">
        <v>13221</v>
      </c>
      <c r="B4746" s="2" t="s">
        <v>180</v>
      </c>
      <c r="C4746" s="2" t="s">
        <v>181</v>
      </c>
      <c r="D4746" s="20">
        <v>0</v>
      </c>
      <c r="E4746" s="2" t="s">
        <v>838</v>
      </c>
      <c r="F4746" s="2" t="s">
        <v>793</v>
      </c>
      <c r="G4746" s="2" t="s">
        <v>4453</v>
      </c>
      <c r="H4746" s="2" t="s">
        <v>892</v>
      </c>
      <c r="J4746" s="26"/>
      <c r="K4746" s="36">
        <v>4.9999999999999998E-8</v>
      </c>
      <c r="L4746" s="23">
        <v>0</v>
      </c>
    </row>
    <row r="4747" spans="1:12" ht="15.35" hidden="1" x14ac:dyDescent="0.55000000000000004">
      <c r="A4747" s="20">
        <v>13193</v>
      </c>
      <c r="B4747" s="2" t="s">
        <v>180</v>
      </c>
      <c r="C4747" s="2" t="s">
        <v>181</v>
      </c>
      <c r="D4747" s="20">
        <v>0</v>
      </c>
      <c r="E4747" s="2" t="s">
        <v>838</v>
      </c>
      <c r="F4747" s="2" t="s">
        <v>793</v>
      </c>
      <c r="G4747" s="2" t="s">
        <v>4454</v>
      </c>
      <c r="H4747" s="2" t="s">
        <v>892</v>
      </c>
      <c r="J4747" s="26"/>
      <c r="K4747" s="36">
        <v>7.0000000000000005E-8</v>
      </c>
      <c r="L4747" s="23">
        <v>1E-8</v>
      </c>
    </row>
    <row r="4748" spans="1:12" ht="15.35" hidden="1" x14ac:dyDescent="0.55000000000000004">
      <c r="A4748" s="20">
        <v>13132</v>
      </c>
      <c r="B4748" s="2" t="s">
        <v>180</v>
      </c>
      <c r="C4748" s="2" t="s">
        <v>181</v>
      </c>
      <c r="D4748" s="20">
        <v>0</v>
      </c>
      <c r="E4748" s="2" t="s">
        <v>838</v>
      </c>
      <c r="F4748" s="2" t="s">
        <v>793</v>
      </c>
      <c r="G4748" s="2" t="s">
        <v>2650</v>
      </c>
      <c r="H4748" s="2" t="s">
        <v>842</v>
      </c>
      <c r="J4748" s="26"/>
      <c r="K4748" s="36">
        <v>1.8E-7</v>
      </c>
      <c r="L4748" s="23">
        <v>2E-8</v>
      </c>
    </row>
    <row r="4749" spans="1:12" ht="15.35" hidden="1" x14ac:dyDescent="0.55000000000000004">
      <c r="A4749" s="20">
        <v>13102</v>
      </c>
      <c r="B4749" s="2" t="s">
        <v>180</v>
      </c>
      <c r="C4749" s="2" t="s">
        <v>181</v>
      </c>
      <c r="D4749" s="20">
        <v>0</v>
      </c>
      <c r="E4749" s="2" t="s">
        <v>838</v>
      </c>
      <c r="F4749" s="2" t="s">
        <v>793</v>
      </c>
      <c r="G4749" s="2" t="s">
        <v>4184</v>
      </c>
      <c r="H4749" s="2" t="s">
        <v>842</v>
      </c>
      <c r="J4749" s="26"/>
      <c r="K4749" s="36">
        <v>2.8999999999999998E-7</v>
      </c>
      <c r="L4749" s="23">
        <v>2.9999999999999997E-8</v>
      </c>
    </row>
    <row r="4750" spans="1:12" ht="15.35" hidden="1" x14ac:dyDescent="0.55000000000000004">
      <c r="A4750" s="20">
        <v>13171</v>
      </c>
      <c r="B4750" s="2" t="s">
        <v>180</v>
      </c>
      <c r="C4750" s="2" t="s">
        <v>181</v>
      </c>
      <c r="D4750" s="20">
        <v>0</v>
      </c>
      <c r="E4750" s="2" t="s">
        <v>838</v>
      </c>
      <c r="F4750" s="2" t="s">
        <v>793</v>
      </c>
      <c r="G4750" s="2" t="s">
        <v>4455</v>
      </c>
      <c r="H4750" s="2" t="s">
        <v>842</v>
      </c>
      <c r="J4750" s="26"/>
      <c r="K4750" s="36">
        <v>9.9999999999999995E-8</v>
      </c>
      <c r="L4750" s="23">
        <v>1E-8</v>
      </c>
    </row>
    <row r="4751" spans="1:12" ht="15.35" hidden="1" x14ac:dyDescent="0.55000000000000004">
      <c r="A4751" s="20">
        <v>13048</v>
      </c>
      <c r="B4751" s="2" t="s">
        <v>180</v>
      </c>
      <c r="C4751" s="2" t="s">
        <v>181</v>
      </c>
      <c r="D4751" s="20">
        <v>0</v>
      </c>
      <c r="E4751" s="2" t="s">
        <v>838</v>
      </c>
      <c r="F4751" s="2" t="s">
        <v>817</v>
      </c>
      <c r="G4751" s="2" t="s">
        <v>4456</v>
      </c>
      <c r="H4751" s="2" t="s">
        <v>1921</v>
      </c>
      <c r="J4751" s="26"/>
      <c r="K4751" s="36">
        <v>5.5000000000000003E-7</v>
      </c>
      <c r="L4751" s="23">
        <v>5.9999999999999995E-8</v>
      </c>
    </row>
    <row r="4752" spans="1:12" ht="15.35" hidden="1" x14ac:dyDescent="0.55000000000000004">
      <c r="A4752" s="20">
        <v>13017</v>
      </c>
      <c r="B4752" s="2" t="s">
        <v>180</v>
      </c>
      <c r="C4752" s="2" t="s">
        <v>181</v>
      </c>
      <c r="D4752" s="20">
        <v>0</v>
      </c>
      <c r="E4752" s="2" t="s">
        <v>838</v>
      </c>
      <c r="F4752" s="2" t="s">
        <v>817</v>
      </c>
      <c r="G4752" s="2" t="s">
        <v>2858</v>
      </c>
      <c r="H4752" s="2" t="s">
        <v>1921</v>
      </c>
      <c r="J4752" s="26"/>
      <c r="K4752" s="36">
        <v>8.8000000000000004E-7</v>
      </c>
      <c r="L4752" s="23">
        <v>8.9999999999999999E-8</v>
      </c>
    </row>
    <row r="4753" spans="1:12" ht="15.35" hidden="1" x14ac:dyDescent="0.55000000000000004">
      <c r="A4753" s="20">
        <v>13018</v>
      </c>
      <c r="B4753" s="2" t="s">
        <v>180</v>
      </c>
      <c r="C4753" s="2" t="s">
        <v>181</v>
      </c>
      <c r="D4753" s="20">
        <v>0</v>
      </c>
      <c r="E4753" s="2" t="s">
        <v>838</v>
      </c>
      <c r="F4753" s="2" t="s">
        <v>817</v>
      </c>
      <c r="G4753" s="2" t="s">
        <v>2859</v>
      </c>
      <c r="H4753" s="2" t="s">
        <v>1921</v>
      </c>
      <c r="J4753" s="26"/>
      <c r="K4753" s="36">
        <v>8.8000000000000004E-7</v>
      </c>
      <c r="L4753" s="23">
        <v>8.9999999999999999E-8</v>
      </c>
    </row>
    <row r="4754" spans="1:12" ht="15.35" hidden="1" x14ac:dyDescent="0.55000000000000004">
      <c r="A4754" s="20">
        <v>13067</v>
      </c>
      <c r="B4754" s="2" t="s">
        <v>180</v>
      </c>
      <c r="C4754" s="2" t="s">
        <v>181</v>
      </c>
      <c r="D4754" s="20">
        <v>0</v>
      </c>
      <c r="E4754" s="2" t="s">
        <v>838</v>
      </c>
      <c r="F4754" s="2" t="s">
        <v>798</v>
      </c>
      <c r="G4754" s="2" t="s">
        <v>2869</v>
      </c>
      <c r="H4754" s="2" t="s">
        <v>1184</v>
      </c>
      <c r="J4754" s="26"/>
      <c r="K4754" s="36">
        <v>4.4000000000000002E-7</v>
      </c>
      <c r="L4754" s="23">
        <v>4.0000000000000001E-8</v>
      </c>
    </row>
    <row r="4755" spans="1:12" ht="15.35" hidden="1" x14ac:dyDescent="0.55000000000000004">
      <c r="A4755" s="20">
        <v>13184</v>
      </c>
      <c r="B4755" s="2" t="s">
        <v>180</v>
      </c>
      <c r="C4755" s="2" t="s">
        <v>181</v>
      </c>
      <c r="D4755" s="20">
        <v>0</v>
      </c>
      <c r="E4755" s="2" t="s">
        <v>838</v>
      </c>
      <c r="F4755" s="2" t="s">
        <v>798</v>
      </c>
      <c r="G4755" s="2" t="s">
        <v>2870</v>
      </c>
      <c r="H4755" s="2" t="s">
        <v>1184</v>
      </c>
      <c r="J4755" s="26"/>
      <c r="K4755" s="36">
        <v>8.9999999999999999E-8</v>
      </c>
      <c r="L4755" s="23">
        <v>1E-8</v>
      </c>
    </row>
    <row r="4756" spans="1:12" ht="15.35" hidden="1" x14ac:dyDescent="0.55000000000000004">
      <c r="A4756" s="20">
        <v>13059</v>
      </c>
      <c r="B4756" s="2" t="s">
        <v>180</v>
      </c>
      <c r="C4756" s="2" t="s">
        <v>181</v>
      </c>
      <c r="D4756" s="20">
        <v>0</v>
      </c>
      <c r="E4756" s="2" t="s">
        <v>838</v>
      </c>
      <c r="F4756" s="2" t="s">
        <v>793</v>
      </c>
      <c r="G4756" s="2" t="s">
        <v>2871</v>
      </c>
      <c r="H4756" s="2" t="s">
        <v>1184</v>
      </c>
      <c r="J4756" s="26"/>
      <c r="K4756" s="36">
        <v>4.9999999999999998E-7</v>
      </c>
      <c r="L4756" s="23">
        <v>4.9999999999999998E-8</v>
      </c>
    </row>
    <row r="4757" spans="1:12" ht="15.35" hidden="1" x14ac:dyDescent="0.55000000000000004">
      <c r="A4757" s="20">
        <v>13031</v>
      </c>
      <c r="B4757" s="2" t="s">
        <v>180</v>
      </c>
      <c r="C4757" s="2" t="s">
        <v>181</v>
      </c>
      <c r="D4757" s="20">
        <v>0</v>
      </c>
      <c r="E4757" s="2" t="s">
        <v>838</v>
      </c>
      <c r="F4757" s="2" t="s">
        <v>793</v>
      </c>
      <c r="G4757" s="2" t="s">
        <v>4457</v>
      </c>
      <c r="H4757" s="2" t="s">
        <v>1184</v>
      </c>
      <c r="J4757" s="26"/>
      <c r="K4757" s="36">
        <v>7.6000000000000003E-7</v>
      </c>
      <c r="L4757" s="23">
        <v>8.0000000000000002E-8</v>
      </c>
    </row>
    <row r="4758" spans="1:12" ht="15.35" hidden="1" x14ac:dyDescent="0.55000000000000004">
      <c r="A4758" s="20">
        <v>13150</v>
      </c>
      <c r="B4758" s="2" t="s">
        <v>180</v>
      </c>
      <c r="C4758" s="2" t="s">
        <v>181</v>
      </c>
      <c r="D4758" s="20">
        <v>0</v>
      </c>
      <c r="E4758" s="2" t="s">
        <v>838</v>
      </c>
      <c r="F4758" s="2" t="s">
        <v>793</v>
      </c>
      <c r="G4758" s="2" t="s">
        <v>4458</v>
      </c>
      <c r="H4758" s="2" t="s">
        <v>1184</v>
      </c>
      <c r="J4758" s="26"/>
      <c r="K4758" s="36">
        <v>1.4000000000000001E-7</v>
      </c>
      <c r="L4758" s="23">
        <v>1E-8</v>
      </c>
    </row>
    <row r="4759" spans="1:12" ht="15.35" hidden="1" x14ac:dyDescent="0.55000000000000004">
      <c r="A4759" s="20">
        <v>13152</v>
      </c>
      <c r="B4759" s="2" t="s">
        <v>180</v>
      </c>
      <c r="C4759" s="2" t="s">
        <v>181</v>
      </c>
      <c r="D4759" s="20">
        <v>0</v>
      </c>
      <c r="E4759" s="2" t="s">
        <v>838</v>
      </c>
      <c r="F4759" s="2" t="s">
        <v>793</v>
      </c>
      <c r="G4759" s="2" t="s">
        <v>4459</v>
      </c>
      <c r="H4759" s="2" t="s">
        <v>1184</v>
      </c>
      <c r="J4759" s="26"/>
      <c r="K4759" s="36">
        <v>1.4000000000000001E-7</v>
      </c>
      <c r="L4759" s="23">
        <v>1E-8</v>
      </c>
    </row>
    <row r="4760" spans="1:12" ht="15.35" hidden="1" x14ac:dyDescent="0.55000000000000004">
      <c r="A4760" s="20">
        <v>13139</v>
      </c>
      <c r="B4760" s="2" t="s">
        <v>180</v>
      </c>
      <c r="C4760" s="2" t="s">
        <v>181</v>
      </c>
      <c r="D4760" s="20">
        <v>0</v>
      </c>
      <c r="E4760" s="2" t="s">
        <v>838</v>
      </c>
      <c r="F4760" s="2" t="s">
        <v>793</v>
      </c>
      <c r="G4760" s="2" t="s">
        <v>4460</v>
      </c>
      <c r="H4760" s="2" t="s">
        <v>1184</v>
      </c>
      <c r="J4760" s="26"/>
      <c r="K4760" s="36">
        <v>1.6E-7</v>
      </c>
      <c r="L4760" s="23">
        <v>2E-8</v>
      </c>
    </row>
    <row r="4761" spans="1:12" ht="15.35" hidden="1" x14ac:dyDescent="0.55000000000000004">
      <c r="A4761" s="20">
        <v>13037</v>
      </c>
      <c r="B4761" s="2" t="s">
        <v>180</v>
      </c>
      <c r="C4761" s="2" t="s">
        <v>181</v>
      </c>
      <c r="D4761" s="20">
        <v>0</v>
      </c>
      <c r="E4761" s="2" t="s">
        <v>838</v>
      </c>
      <c r="F4761" s="2" t="s">
        <v>793</v>
      </c>
      <c r="G4761" s="2" t="s">
        <v>4461</v>
      </c>
      <c r="H4761" s="2" t="s">
        <v>1184</v>
      </c>
      <c r="J4761" s="26"/>
      <c r="K4761" s="36">
        <v>6.5000000000000002E-7</v>
      </c>
      <c r="L4761" s="23">
        <v>5.9999999999999995E-8</v>
      </c>
    </row>
    <row r="4762" spans="1:12" ht="15.35" hidden="1" x14ac:dyDescent="0.55000000000000004">
      <c r="A4762" s="20">
        <v>13093</v>
      </c>
      <c r="B4762" s="2" t="s">
        <v>180</v>
      </c>
      <c r="C4762" s="2" t="s">
        <v>181</v>
      </c>
      <c r="D4762" s="20">
        <v>0</v>
      </c>
      <c r="E4762" s="2" t="s">
        <v>838</v>
      </c>
      <c r="F4762" s="2" t="s">
        <v>787</v>
      </c>
      <c r="G4762" s="2" t="s">
        <v>975</v>
      </c>
      <c r="H4762" s="2" t="s">
        <v>975</v>
      </c>
      <c r="J4762" s="26"/>
      <c r="K4762" s="36">
        <v>3.3999999999999997E-7</v>
      </c>
      <c r="L4762" s="23">
        <v>2.9999999999999997E-8</v>
      </c>
    </row>
    <row r="4763" spans="1:12" ht="15.35" hidden="1" x14ac:dyDescent="0.55000000000000004">
      <c r="A4763" s="20">
        <v>12993</v>
      </c>
      <c r="B4763" s="2" t="s">
        <v>180</v>
      </c>
      <c r="C4763" s="2" t="s">
        <v>181</v>
      </c>
      <c r="D4763" s="20">
        <v>0</v>
      </c>
      <c r="E4763" s="2" t="s">
        <v>838</v>
      </c>
      <c r="F4763" s="2" t="s">
        <v>848</v>
      </c>
      <c r="G4763" s="2" t="s">
        <v>1042</v>
      </c>
      <c r="H4763" s="2" t="s">
        <v>1042</v>
      </c>
      <c r="J4763" s="26"/>
      <c r="K4763" s="36">
        <v>1.55E-6</v>
      </c>
      <c r="L4763" s="23">
        <v>1.6E-7</v>
      </c>
    </row>
    <row r="4764" spans="1:12" ht="15.35" hidden="1" x14ac:dyDescent="0.55000000000000004">
      <c r="A4764" s="20">
        <v>13068</v>
      </c>
      <c r="B4764" s="2" t="s">
        <v>180</v>
      </c>
      <c r="C4764" s="2" t="s">
        <v>181</v>
      </c>
      <c r="D4764" s="20">
        <v>0</v>
      </c>
      <c r="E4764" s="2" t="s">
        <v>838</v>
      </c>
      <c r="F4764" s="2" t="s">
        <v>793</v>
      </c>
      <c r="G4764" s="2" t="s">
        <v>4462</v>
      </c>
      <c r="H4764" s="2" t="s">
        <v>795</v>
      </c>
      <c r="J4764" s="26"/>
      <c r="K4764" s="36">
        <v>4.4000000000000002E-7</v>
      </c>
      <c r="L4764" s="23">
        <v>4.0000000000000001E-8</v>
      </c>
    </row>
    <row r="4765" spans="1:12" ht="15.35" hidden="1" x14ac:dyDescent="0.55000000000000004">
      <c r="A4765" s="20">
        <v>13069</v>
      </c>
      <c r="B4765" s="2" t="s">
        <v>180</v>
      </c>
      <c r="C4765" s="2" t="s">
        <v>181</v>
      </c>
      <c r="D4765" s="20">
        <v>0</v>
      </c>
      <c r="E4765" s="2" t="s">
        <v>838</v>
      </c>
      <c r="F4765" s="2" t="s">
        <v>793</v>
      </c>
      <c r="G4765" s="2" t="s">
        <v>4463</v>
      </c>
      <c r="H4765" s="2" t="s">
        <v>795</v>
      </c>
      <c r="J4765" s="26"/>
      <c r="K4765" s="36">
        <v>4.4000000000000002E-7</v>
      </c>
      <c r="L4765" s="23">
        <v>4.0000000000000001E-8</v>
      </c>
    </row>
    <row r="4766" spans="1:12" ht="15.35" hidden="1" x14ac:dyDescent="0.55000000000000004">
      <c r="A4766" s="20">
        <v>13073</v>
      </c>
      <c r="B4766" s="2" t="s">
        <v>180</v>
      </c>
      <c r="C4766" s="2" t="s">
        <v>181</v>
      </c>
      <c r="D4766" s="20">
        <v>0</v>
      </c>
      <c r="E4766" s="2" t="s">
        <v>838</v>
      </c>
      <c r="F4766" s="2" t="s">
        <v>793</v>
      </c>
      <c r="G4766" s="2" t="s">
        <v>4464</v>
      </c>
      <c r="H4766" s="2" t="s">
        <v>795</v>
      </c>
      <c r="J4766" s="26"/>
      <c r="K4766" s="36">
        <v>4.4000000000000002E-7</v>
      </c>
      <c r="L4766" s="23">
        <v>4.0000000000000001E-8</v>
      </c>
    </row>
    <row r="4767" spans="1:12" ht="15.35" hidden="1" x14ac:dyDescent="0.55000000000000004">
      <c r="A4767" s="20">
        <v>13071</v>
      </c>
      <c r="B4767" s="2" t="s">
        <v>180</v>
      </c>
      <c r="C4767" s="2" t="s">
        <v>181</v>
      </c>
      <c r="D4767" s="20">
        <v>0</v>
      </c>
      <c r="E4767" s="2" t="s">
        <v>838</v>
      </c>
      <c r="F4767" s="2" t="s">
        <v>793</v>
      </c>
      <c r="G4767" s="2" t="s">
        <v>4465</v>
      </c>
      <c r="H4767" s="2" t="s">
        <v>795</v>
      </c>
      <c r="J4767" s="26"/>
      <c r="K4767" s="36">
        <v>4.4000000000000002E-7</v>
      </c>
      <c r="L4767" s="23">
        <v>4.0000000000000001E-8</v>
      </c>
    </row>
    <row r="4768" spans="1:12" ht="15.35" hidden="1" x14ac:dyDescent="0.55000000000000004">
      <c r="A4768" s="20">
        <v>13072</v>
      </c>
      <c r="B4768" s="2" t="s">
        <v>180</v>
      </c>
      <c r="C4768" s="2" t="s">
        <v>181</v>
      </c>
      <c r="D4768" s="20">
        <v>0</v>
      </c>
      <c r="E4768" s="2" t="s">
        <v>838</v>
      </c>
      <c r="F4768" s="2" t="s">
        <v>793</v>
      </c>
      <c r="G4768" s="2" t="s">
        <v>4466</v>
      </c>
      <c r="H4768" s="2" t="s">
        <v>795</v>
      </c>
      <c r="J4768" s="26"/>
      <c r="K4768" s="36">
        <v>4.4000000000000002E-7</v>
      </c>
      <c r="L4768" s="23">
        <v>4.0000000000000001E-8</v>
      </c>
    </row>
    <row r="4769" spans="1:12" ht="15.35" hidden="1" x14ac:dyDescent="0.55000000000000004">
      <c r="A4769" s="20">
        <v>13074</v>
      </c>
      <c r="B4769" s="2" t="s">
        <v>180</v>
      </c>
      <c r="C4769" s="2" t="s">
        <v>181</v>
      </c>
      <c r="D4769" s="20">
        <v>0</v>
      </c>
      <c r="E4769" s="2" t="s">
        <v>838</v>
      </c>
      <c r="F4769" s="2" t="s">
        <v>793</v>
      </c>
      <c r="G4769" s="2" t="s">
        <v>4467</v>
      </c>
      <c r="H4769" s="2" t="s">
        <v>795</v>
      </c>
      <c r="J4769" s="26"/>
      <c r="K4769" s="36">
        <v>4.4000000000000002E-7</v>
      </c>
      <c r="L4769" s="23">
        <v>4.0000000000000001E-8</v>
      </c>
    </row>
    <row r="4770" spans="1:12" ht="15.35" hidden="1" x14ac:dyDescent="0.55000000000000004">
      <c r="A4770" s="20">
        <v>13105</v>
      </c>
      <c r="B4770" s="2" t="s">
        <v>180</v>
      </c>
      <c r="C4770" s="2" t="s">
        <v>181</v>
      </c>
      <c r="D4770" s="20">
        <v>0</v>
      </c>
      <c r="E4770" s="2" t="s">
        <v>838</v>
      </c>
      <c r="F4770" s="2" t="s">
        <v>798</v>
      </c>
      <c r="G4770" s="2" t="s">
        <v>4049</v>
      </c>
      <c r="H4770" s="2" t="s">
        <v>800</v>
      </c>
      <c r="J4770" s="26"/>
      <c r="K4770" s="36">
        <v>2.6E-7</v>
      </c>
      <c r="L4770" s="23">
        <v>2.9999999999999997E-8</v>
      </c>
    </row>
    <row r="4771" spans="1:12" ht="15.35" hidden="1" x14ac:dyDescent="0.55000000000000004">
      <c r="A4771" s="20">
        <v>13051</v>
      </c>
      <c r="B4771" s="2" t="s">
        <v>180</v>
      </c>
      <c r="C4771" s="2" t="s">
        <v>181</v>
      </c>
      <c r="D4771" s="20">
        <v>0</v>
      </c>
      <c r="E4771" s="2" t="s">
        <v>838</v>
      </c>
      <c r="F4771" s="2" t="s">
        <v>793</v>
      </c>
      <c r="G4771" s="2" t="s">
        <v>4468</v>
      </c>
      <c r="H4771" s="2" t="s">
        <v>802</v>
      </c>
      <c r="J4771" s="26"/>
      <c r="K4771" s="36">
        <v>5.3000000000000001E-7</v>
      </c>
      <c r="L4771" s="23">
        <v>4.9999999999999998E-8</v>
      </c>
    </row>
    <row r="4772" spans="1:12" ht="15.35" hidden="1" x14ac:dyDescent="0.55000000000000004">
      <c r="A4772" s="20">
        <v>13131</v>
      </c>
      <c r="B4772" s="2" t="s">
        <v>180</v>
      </c>
      <c r="C4772" s="2" t="s">
        <v>181</v>
      </c>
      <c r="D4772" s="20">
        <v>0</v>
      </c>
      <c r="E4772" s="2" t="s">
        <v>838</v>
      </c>
      <c r="F4772" s="2" t="s">
        <v>793</v>
      </c>
      <c r="G4772" s="2" t="s">
        <v>4469</v>
      </c>
      <c r="H4772" s="2" t="s">
        <v>802</v>
      </c>
      <c r="J4772" s="26"/>
      <c r="K4772" s="36">
        <v>1.8E-7</v>
      </c>
      <c r="L4772" s="23">
        <v>2E-8</v>
      </c>
    </row>
    <row r="4773" spans="1:12" ht="15.35" hidden="1" x14ac:dyDescent="0.55000000000000004">
      <c r="A4773" s="20">
        <v>13050</v>
      </c>
      <c r="B4773" s="2" t="s">
        <v>180</v>
      </c>
      <c r="C4773" s="2" t="s">
        <v>181</v>
      </c>
      <c r="D4773" s="20">
        <v>0</v>
      </c>
      <c r="E4773" s="2" t="s">
        <v>838</v>
      </c>
      <c r="F4773" s="2" t="s">
        <v>793</v>
      </c>
      <c r="G4773" s="2" t="s">
        <v>2655</v>
      </c>
      <c r="H4773" s="2" t="s">
        <v>802</v>
      </c>
      <c r="J4773" s="26"/>
      <c r="K4773" s="36">
        <v>5.3000000000000001E-7</v>
      </c>
      <c r="L4773" s="23">
        <v>4.9999999999999998E-8</v>
      </c>
    </row>
    <row r="4774" spans="1:12" ht="15.35" hidden="1" x14ac:dyDescent="0.55000000000000004">
      <c r="A4774" s="20">
        <v>13052</v>
      </c>
      <c r="B4774" s="2" t="s">
        <v>180</v>
      </c>
      <c r="C4774" s="2" t="s">
        <v>181</v>
      </c>
      <c r="D4774" s="20">
        <v>0</v>
      </c>
      <c r="E4774" s="2" t="s">
        <v>838</v>
      </c>
      <c r="F4774" s="2" t="s">
        <v>793</v>
      </c>
      <c r="G4774" s="2" t="s">
        <v>2656</v>
      </c>
      <c r="H4774" s="2" t="s">
        <v>802</v>
      </c>
      <c r="J4774" s="26"/>
      <c r="K4774" s="36">
        <v>5.3000000000000001E-7</v>
      </c>
      <c r="L4774" s="23">
        <v>4.9999999999999998E-8</v>
      </c>
    </row>
    <row r="4775" spans="1:12" ht="15.35" hidden="1" x14ac:dyDescent="0.55000000000000004">
      <c r="A4775" s="20">
        <v>13135</v>
      </c>
      <c r="B4775" s="2" t="s">
        <v>180</v>
      </c>
      <c r="C4775" s="2" t="s">
        <v>181</v>
      </c>
      <c r="D4775" s="20">
        <v>0</v>
      </c>
      <c r="E4775" s="2" t="s">
        <v>838</v>
      </c>
      <c r="F4775" s="2" t="s">
        <v>793</v>
      </c>
      <c r="G4775" s="2" t="s">
        <v>4470</v>
      </c>
      <c r="H4775" s="2" t="s">
        <v>802</v>
      </c>
      <c r="J4775" s="26"/>
      <c r="K4775" s="36">
        <v>1.6999999999999999E-7</v>
      </c>
      <c r="L4775" s="23">
        <v>2E-8</v>
      </c>
    </row>
    <row r="4776" spans="1:12" ht="15.35" hidden="1" x14ac:dyDescent="0.55000000000000004">
      <c r="A4776" s="20">
        <v>13021</v>
      </c>
      <c r="B4776" s="2" t="s">
        <v>180</v>
      </c>
      <c r="C4776" s="2" t="s">
        <v>181</v>
      </c>
      <c r="D4776" s="20">
        <v>0</v>
      </c>
      <c r="E4776" s="2" t="s">
        <v>838</v>
      </c>
      <c r="F4776" s="2" t="s">
        <v>793</v>
      </c>
      <c r="G4776" s="2" t="s">
        <v>2883</v>
      </c>
      <c r="H4776" s="2" t="s">
        <v>802</v>
      </c>
      <c r="J4776" s="26"/>
      <c r="K4776" s="36">
        <v>8.7000000000000003E-7</v>
      </c>
      <c r="L4776" s="23">
        <v>8.9999999999999999E-8</v>
      </c>
    </row>
    <row r="4777" spans="1:12" ht="15.35" hidden="1" x14ac:dyDescent="0.55000000000000004">
      <c r="A4777" s="20">
        <v>13151</v>
      </c>
      <c r="B4777" s="2" t="s">
        <v>180</v>
      </c>
      <c r="C4777" s="2" t="s">
        <v>181</v>
      </c>
      <c r="D4777" s="20">
        <v>0</v>
      </c>
      <c r="E4777" s="2" t="s">
        <v>838</v>
      </c>
      <c r="F4777" s="2" t="s">
        <v>793</v>
      </c>
      <c r="G4777" s="2" t="s">
        <v>1326</v>
      </c>
      <c r="H4777" s="2" t="s">
        <v>1044</v>
      </c>
      <c r="J4777" s="26"/>
      <c r="K4777" s="36">
        <v>1.4000000000000001E-7</v>
      </c>
      <c r="L4777" s="23">
        <v>1E-8</v>
      </c>
    </row>
    <row r="4778" spans="1:12" ht="15.35" hidden="1" x14ac:dyDescent="0.55000000000000004">
      <c r="A4778" s="20">
        <v>13153</v>
      </c>
      <c r="B4778" s="2" t="s">
        <v>180</v>
      </c>
      <c r="C4778" s="2" t="s">
        <v>181</v>
      </c>
      <c r="D4778" s="20">
        <v>0</v>
      </c>
      <c r="E4778" s="2" t="s">
        <v>838</v>
      </c>
      <c r="F4778" s="2" t="s">
        <v>793</v>
      </c>
      <c r="G4778" s="2" t="s">
        <v>2887</v>
      </c>
      <c r="H4778" s="2" t="s">
        <v>1044</v>
      </c>
      <c r="J4778" s="26"/>
      <c r="K4778" s="36">
        <v>1.4000000000000001E-7</v>
      </c>
      <c r="L4778" s="23">
        <v>1E-8</v>
      </c>
    </row>
    <row r="4779" spans="1:12" ht="15.35" hidden="1" x14ac:dyDescent="0.55000000000000004">
      <c r="A4779" s="20">
        <v>13138</v>
      </c>
      <c r="B4779" s="2" t="s">
        <v>180</v>
      </c>
      <c r="C4779" s="2" t="s">
        <v>181</v>
      </c>
      <c r="D4779" s="20">
        <v>0</v>
      </c>
      <c r="E4779" s="2" t="s">
        <v>838</v>
      </c>
      <c r="F4779" s="2" t="s">
        <v>793</v>
      </c>
      <c r="G4779" s="2" t="s">
        <v>4069</v>
      </c>
      <c r="H4779" s="2" t="s">
        <v>1940</v>
      </c>
      <c r="J4779" s="26"/>
      <c r="K4779" s="36">
        <v>1.6999999999999999E-7</v>
      </c>
      <c r="L4779" s="23">
        <v>2E-8</v>
      </c>
    </row>
    <row r="4780" spans="1:12" ht="15.35" hidden="1" x14ac:dyDescent="0.55000000000000004">
      <c r="A4780" s="20">
        <v>13148</v>
      </c>
      <c r="B4780" s="2" t="s">
        <v>180</v>
      </c>
      <c r="C4780" s="2" t="s">
        <v>181</v>
      </c>
      <c r="D4780" s="20">
        <v>0</v>
      </c>
      <c r="E4780" s="2" t="s">
        <v>838</v>
      </c>
      <c r="F4780" s="2" t="s">
        <v>793</v>
      </c>
      <c r="G4780" s="2" t="s">
        <v>4070</v>
      </c>
      <c r="H4780" s="2" t="s">
        <v>1940</v>
      </c>
      <c r="J4780" s="26"/>
      <c r="K4780" s="36">
        <v>1.4000000000000001E-7</v>
      </c>
      <c r="L4780" s="23">
        <v>1E-8</v>
      </c>
    </row>
    <row r="4781" spans="1:12" ht="15.35" hidden="1" x14ac:dyDescent="0.55000000000000004">
      <c r="A4781" s="20">
        <v>13215</v>
      </c>
      <c r="B4781" s="2" t="s">
        <v>180</v>
      </c>
      <c r="C4781" s="2" t="s">
        <v>181</v>
      </c>
      <c r="D4781" s="20">
        <v>0</v>
      </c>
      <c r="E4781" s="2" t="s">
        <v>838</v>
      </c>
      <c r="F4781" s="2" t="s">
        <v>817</v>
      </c>
      <c r="G4781" s="2" t="s">
        <v>4073</v>
      </c>
      <c r="H4781" s="2" t="s">
        <v>1940</v>
      </c>
      <c r="J4781" s="26"/>
      <c r="K4781" s="36">
        <v>4.9999999999999998E-8</v>
      </c>
      <c r="L4781" s="23">
        <v>0</v>
      </c>
    </row>
    <row r="4782" spans="1:12" ht="15.35" hidden="1" x14ac:dyDescent="0.55000000000000004">
      <c r="A4782" s="20">
        <v>13213</v>
      </c>
      <c r="B4782" s="2" t="s">
        <v>180</v>
      </c>
      <c r="C4782" s="2" t="s">
        <v>181</v>
      </c>
      <c r="D4782" s="20">
        <v>0</v>
      </c>
      <c r="E4782" s="2" t="s">
        <v>838</v>
      </c>
      <c r="F4782" s="2" t="s">
        <v>793</v>
      </c>
      <c r="G4782" s="2" t="s">
        <v>4074</v>
      </c>
      <c r="H4782" s="2" t="s">
        <v>1940</v>
      </c>
      <c r="J4782" s="26"/>
      <c r="K4782" s="36">
        <v>4.9999999999999998E-8</v>
      </c>
      <c r="L4782" s="23">
        <v>0</v>
      </c>
    </row>
    <row r="4783" spans="1:12" ht="15.35" hidden="1" x14ac:dyDescent="0.55000000000000004">
      <c r="A4783" s="20">
        <v>13203</v>
      </c>
      <c r="B4783" s="2" t="s">
        <v>180</v>
      </c>
      <c r="C4783" s="2" t="s">
        <v>181</v>
      </c>
      <c r="D4783" s="20">
        <v>0</v>
      </c>
      <c r="E4783" s="2" t="s">
        <v>838</v>
      </c>
      <c r="F4783" s="2" t="s">
        <v>793</v>
      </c>
      <c r="G4783" s="2" t="s">
        <v>4075</v>
      </c>
      <c r="H4783" s="2" t="s">
        <v>1940</v>
      </c>
      <c r="J4783" s="26"/>
      <c r="K4783" s="36">
        <v>5.9999999999999995E-8</v>
      </c>
      <c r="L4783" s="23">
        <v>1E-8</v>
      </c>
    </row>
    <row r="4784" spans="1:12" ht="15.35" hidden="1" x14ac:dyDescent="0.55000000000000004">
      <c r="A4784" s="20">
        <v>13189</v>
      </c>
      <c r="B4784" s="2" t="s">
        <v>180</v>
      </c>
      <c r="C4784" s="2" t="s">
        <v>181</v>
      </c>
      <c r="D4784" s="20">
        <v>0</v>
      </c>
      <c r="E4784" s="2" t="s">
        <v>838</v>
      </c>
      <c r="F4784" s="2" t="s">
        <v>817</v>
      </c>
      <c r="G4784" s="2" t="s">
        <v>4076</v>
      </c>
      <c r="H4784" s="2" t="s">
        <v>1940</v>
      </c>
      <c r="J4784" s="26"/>
      <c r="K4784" s="36">
        <v>8.0000000000000002E-8</v>
      </c>
      <c r="L4784" s="23">
        <v>1E-8</v>
      </c>
    </row>
    <row r="4785" spans="1:12" ht="15.35" hidden="1" x14ac:dyDescent="0.55000000000000004">
      <c r="A4785" s="20">
        <v>13070</v>
      </c>
      <c r="B4785" s="2" t="s">
        <v>180</v>
      </c>
      <c r="C4785" s="2" t="s">
        <v>181</v>
      </c>
      <c r="D4785" s="20">
        <v>0</v>
      </c>
      <c r="E4785" s="2" t="s">
        <v>838</v>
      </c>
      <c r="F4785" s="2" t="s">
        <v>793</v>
      </c>
      <c r="G4785" s="2" t="s">
        <v>4471</v>
      </c>
      <c r="H4785" s="2" t="s">
        <v>804</v>
      </c>
      <c r="J4785" s="26"/>
      <c r="K4785" s="36">
        <v>4.4000000000000002E-7</v>
      </c>
      <c r="L4785" s="23">
        <v>4.0000000000000001E-8</v>
      </c>
    </row>
    <row r="4786" spans="1:12" ht="15.35" hidden="1" x14ac:dyDescent="0.55000000000000004">
      <c r="A4786" s="20">
        <v>13174</v>
      </c>
      <c r="B4786" s="2" t="s">
        <v>180</v>
      </c>
      <c r="C4786" s="2" t="s">
        <v>181</v>
      </c>
      <c r="D4786" s="20">
        <v>0</v>
      </c>
      <c r="E4786" s="2" t="s">
        <v>838</v>
      </c>
      <c r="F4786" s="2" t="s">
        <v>817</v>
      </c>
      <c r="G4786" s="2" t="s">
        <v>1972</v>
      </c>
      <c r="H4786" s="2" t="s">
        <v>1973</v>
      </c>
      <c r="J4786" s="26"/>
      <c r="K4786" s="36">
        <v>9.9999999999999995E-8</v>
      </c>
      <c r="L4786" s="23">
        <v>1E-8</v>
      </c>
    </row>
    <row r="4787" spans="1:12" ht="15.35" hidden="1" x14ac:dyDescent="0.55000000000000004">
      <c r="A4787" s="20">
        <v>13060</v>
      </c>
      <c r="B4787" s="2" t="s">
        <v>180</v>
      </c>
      <c r="C4787" s="2" t="s">
        <v>181</v>
      </c>
      <c r="D4787" s="20">
        <v>0</v>
      </c>
      <c r="E4787" s="2" t="s">
        <v>838</v>
      </c>
      <c r="F4787" s="2" t="s">
        <v>793</v>
      </c>
      <c r="G4787" s="2" t="s">
        <v>4186</v>
      </c>
      <c r="H4787" s="2" t="s">
        <v>850</v>
      </c>
      <c r="J4787" s="26"/>
      <c r="K4787" s="36">
        <v>4.8999999999999997E-7</v>
      </c>
      <c r="L4787" s="23">
        <v>4.9999999999999998E-8</v>
      </c>
    </row>
    <row r="4788" spans="1:12" ht="15.35" hidden="1" x14ac:dyDescent="0.55000000000000004">
      <c r="A4788" s="20">
        <v>13054</v>
      </c>
      <c r="B4788" s="2" t="s">
        <v>180</v>
      </c>
      <c r="C4788" s="2" t="s">
        <v>181</v>
      </c>
      <c r="D4788" s="20">
        <v>0</v>
      </c>
      <c r="E4788" s="2" t="s">
        <v>838</v>
      </c>
      <c r="F4788" s="2" t="s">
        <v>817</v>
      </c>
      <c r="G4788" s="2" t="s">
        <v>4187</v>
      </c>
      <c r="H4788" s="2" t="s">
        <v>810</v>
      </c>
      <c r="J4788" s="26"/>
      <c r="K4788" s="36">
        <v>5.3000000000000001E-7</v>
      </c>
      <c r="L4788" s="23">
        <v>4.9999999999999998E-8</v>
      </c>
    </row>
    <row r="4789" spans="1:12" ht="15.35" hidden="1" x14ac:dyDescent="0.55000000000000004">
      <c r="A4789" s="20">
        <v>13113</v>
      </c>
      <c r="B4789" s="2" t="s">
        <v>180</v>
      </c>
      <c r="C4789" s="2" t="s">
        <v>181</v>
      </c>
      <c r="D4789" s="20">
        <v>0</v>
      </c>
      <c r="E4789" s="2" t="s">
        <v>838</v>
      </c>
      <c r="F4789" s="2" t="s">
        <v>817</v>
      </c>
      <c r="G4789" s="2" t="s">
        <v>4472</v>
      </c>
      <c r="H4789" s="2" t="s">
        <v>810</v>
      </c>
      <c r="J4789" s="26"/>
      <c r="K4789" s="36">
        <v>2.4999999999999999E-7</v>
      </c>
      <c r="L4789" s="23">
        <v>2E-8</v>
      </c>
    </row>
    <row r="4790" spans="1:12" ht="15.35" hidden="1" x14ac:dyDescent="0.55000000000000004">
      <c r="A4790" s="20">
        <v>13066</v>
      </c>
      <c r="B4790" s="2" t="s">
        <v>180</v>
      </c>
      <c r="C4790" s="2" t="s">
        <v>181</v>
      </c>
      <c r="D4790" s="20">
        <v>0</v>
      </c>
      <c r="E4790" s="2" t="s">
        <v>838</v>
      </c>
      <c r="F4790" s="2" t="s">
        <v>848</v>
      </c>
      <c r="G4790" s="2" t="s">
        <v>2004</v>
      </c>
      <c r="H4790" s="2" t="s">
        <v>2004</v>
      </c>
      <c r="J4790" s="26"/>
      <c r="K4790" s="36">
        <v>4.4000000000000002E-7</v>
      </c>
      <c r="L4790" s="23">
        <v>4.0000000000000001E-8</v>
      </c>
    </row>
    <row r="4791" spans="1:12" ht="15.35" hidden="1" x14ac:dyDescent="0.55000000000000004">
      <c r="A4791" s="20">
        <v>13014</v>
      </c>
      <c r="B4791" s="2" t="s">
        <v>180</v>
      </c>
      <c r="C4791" s="2" t="s">
        <v>181</v>
      </c>
      <c r="D4791" s="20">
        <v>0</v>
      </c>
      <c r="E4791" s="2" t="s">
        <v>838</v>
      </c>
      <c r="F4791" s="2" t="s">
        <v>787</v>
      </c>
      <c r="G4791" s="2" t="s">
        <v>1341</v>
      </c>
      <c r="H4791" s="2" t="s">
        <v>1341</v>
      </c>
      <c r="J4791" s="26"/>
      <c r="K4791" s="36">
        <v>9.7000000000000003E-7</v>
      </c>
      <c r="L4791" s="23">
        <v>9.9999999999999995E-8</v>
      </c>
    </row>
    <row r="4792" spans="1:12" ht="15.35" hidden="1" x14ac:dyDescent="0.55000000000000004">
      <c r="A4792" s="20">
        <v>13009</v>
      </c>
      <c r="B4792" s="2" t="s">
        <v>180</v>
      </c>
      <c r="C4792" s="2" t="s">
        <v>181</v>
      </c>
      <c r="D4792" s="20">
        <v>0</v>
      </c>
      <c r="E4792" s="2" t="s">
        <v>838</v>
      </c>
      <c r="F4792" s="2" t="s">
        <v>787</v>
      </c>
      <c r="G4792" s="2" t="s">
        <v>916</v>
      </c>
      <c r="H4792" s="2" t="s">
        <v>916</v>
      </c>
      <c r="J4792" s="26"/>
      <c r="K4792" s="36">
        <v>1.1400000000000001E-6</v>
      </c>
      <c r="L4792" s="23">
        <v>1.1000000000000001E-7</v>
      </c>
    </row>
    <row r="4793" spans="1:12" ht="15.35" hidden="1" x14ac:dyDescent="0.55000000000000004">
      <c r="A4793" s="20">
        <v>13098</v>
      </c>
      <c r="B4793" s="2" t="s">
        <v>180</v>
      </c>
      <c r="C4793" s="2" t="s">
        <v>181</v>
      </c>
      <c r="D4793" s="20">
        <v>0</v>
      </c>
      <c r="E4793" s="2" t="s">
        <v>838</v>
      </c>
      <c r="F4793" s="2" t="s">
        <v>793</v>
      </c>
      <c r="G4793" s="2" t="s">
        <v>979</v>
      </c>
      <c r="H4793" s="2" t="s">
        <v>979</v>
      </c>
      <c r="J4793" s="26"/>
      <c r="K4793" s="36">
        <v>3.1E-7</v>
      </c>
      <c r="L4793" s="23">
        <v>2.9999999999999997E-8</v>
      </c>
    </row>
    <row r="4794" spans="1:12" ht="15.35" hidden="1" x14ac:dyDescent="0.55000000000000004">
      <c r="A4794" s="20">
        <v>13260</v>
      </c>
      <c r="B4794" s="2" t="s">
        <v>180</v>
      </c>
      <c r="C4794" s="2" t="s">
        <v>181</v>
      </c>
      <c r="D4794" s="20">
        <v>0</v>
      </c>
      <c r="E4794" s="2" t="s">
        <v>838</v>
      </c>
      <c r="F4794" s="2" t="s">
        <v>817</v>
      </c>
      <c r="G4794" s="2" t="s">
        <v>1058</v>
      </c>
      <c r="H4794" s="2" t="s">
        <v>1056</v>
      </c>
      <c r="J4794" s="26"/>
      <c r="K4794" s="36">
        <v>2.9999999999999997E-8</v>
      </c>
      <c r="L4794" s="23">
        <v>0</v>
      </c>
    </row>
    <row r="4795" spans="1:12" ht="15.35" hidden="1" x14ac:dyDescent="0.55000000000000004">
      <c r="A4795" s="20">
        <v>13235</v>
      </c>
      <c r="B4795" s="2" t="s">
        <v>180</v>
      </c>
      <c r="C4795" s="2" t="s">
        <v>181</v>
      </c>
      <c r="D4795" s="20">
        <v>0</v>
      </c>
      <c r="E4795" s="2" t="s">
        <v>838</v>
      </c>
      <c r="F4795" s="2" t="s">
        <v>817</v>
      </c>
      <c r="G4795" s="2" t="s">
        <v>1059</v>
      </c>
      <c r="H4795" s="2" t="s">
        <v>1056</v>
      </c>
      <c r="J4795" s="26"/>
      <c r="K4795" s="36">
        <v>2.9999999999999997E-8</v>
      </c>
      <c r="L4795" s="23">
        <v>0</v>
      </c>
    </row>
    <row r="4796" spans="1:12" ht="15.35" hidden="1" x14ac:dyDescent="0.55000000000000004">
      <c r="A4796" s="20">
        <v>12961</v>
      </c>
      <c r="B4796" s="2" t="s">
        <v>180</v>
      </c>
      <c r="C4796" s="2" t="s">
        <v>181</v>
      </c>
      <c r="D4796" s="20">
        <v>0</v>
      </c>
      <c r="E4796" s="2" t="s">
        <v>838</v>
      </c>
      <c r="F4796" s="2" t="s">
        <v>848</v>
      </c>
      <c r="G4796" s="2" t="s">
        <v>1060</v>
      </c>
      <c r="H4796" s="2" t="s">
        <v>1060</v>
      </c>
      <c r="J4796" s="26"/>
      <c r="K4796" s="36">
        <v>1.7E-6</v>
      </c>
      <c r="L4796" s="23">
        <v>1.6999999999999999E-7</v>
      </c>
    </row>
    <row r="4797" spans="1:12" ht="15.35" hidden="1" x14ac:dyDescent="0.55000000000000004">
      <c r="A4797" s="20">
        <v>12959</v>
      </c>
      <c r="B4797" s="2" t="s">
        <v>180</v>
      </c>
      <c r="C4797" s="2" t="s">
        <v>181</v>
      </c>
      <c r="D4797" s="20">
        <v>0</v>
      </c>
      <c r="E4797" s="2" t="s">
        <v>838</v>
      </c>
      <c r="F4797" s="2" t="s">
        <v>848</v>
      </c>
      <c r="G4797" s="2" t="s">
        <v>4473</v>
      </c>
      <c r="H4797" s="2" t="s">
        <v>4473</v>
      </c>
      <c r="J4797" s="26"/>
      <c r="K4797" s="36">
        <v>1.7E-6</v>
      </c>
      <c r="L4797" s="23">
        <v>1.6999999999999999E-7</v>
      </c>
    </row>
    <row r="4798" spans="1:12" ht="15.35" hidden="1" x14ac:dyDescent="0.55000000000000004">
      <c r="A4798" s="20">
        <v>12946</v>
      </c>
      <c r="B4798" s="2" t="s">
        <v>180</v>
      </c>
      <c r="C4798" s="2" t="s">
        <v>181</v>
      </c>
      <c r="D4798" s="20">
        <v>0</v>
      </c>
      <c r="E4798" s="2" t="s">
        <v>838</v>
      </c>
      <c r="F4798" s="2" t="s">
        <v>793</v>
      </c>
      <c r="G4798" s="2" t="s">
        <v>4474</v>
      </c>
      <c r="H4798" s="2" t="s">
        <v>2008</v>
      </c>
      <c r="J4798" s="26"/>
      <c r="K4798" s="36">
        <v>1.7E-6</v>
      </c>
      <c r="L4798" s="23">
        <v>1.6999999999999999E-7</v>
      </c>
    </row>
    <row r="4799" spans="1:12" ht="15.35" hidden="1" x14ac:dyDescent="0.55000000000000004">
      <c r="A4799" s="20">
        <v>13279</v>
      </c>
      <c r="B4799" s="2" t="s">
        <v>180</v>
      </c>
      <c r="C4799" s="2" t="s">
        <v>181</v>
      </c>
      <c r="D4799" s="20">
        <v>0</v>
      </c>
      <c r="E4799" s="2" t="s">
        <v>838</v>
      </c>
      <c r="F4799" s="2" t="s">
        <v>817</v>
      </c>
      <c r="G4799" s="2" t="s">
        <v>4475</v>
      </c>
      <c r="H4799" s="2" t="s">
        <v>2010</v>
      </c>
      <c r="J4799" s="26"/>
      <c r="K4799" s="36">
        <v>2E-8</v>
      </c>
      <c r="L4799" s="23">
        <v>0</v>
      </c>
    </row>
    <row r="4800" spans="1:12" ht="15.35" hidden="1" x14ac:dyDescent="0.55000000000000004">
      <c r="A4800" s="20">
        <v>13265</v>
      </c>
      <c r="B4800" s="2" t="s">
        <v>180</v>
      </c>
      <c r="C4800" s="2" t="s">
        <v>181</v>
      </c>
      <c r="D4800" s="20">
        <v>0</v>
      </c>
      <c r="E4800" s="2" t="s">
        <v>838</v>
      </c>
      <c r="F4800" s="2" t="s">
        <v>817</v>
      </c>
      <c r="G4800" s="2" t="s">
        <v>2928</v>
      </c>
      <c r="H4800" s="2" t="s">
        <v>2010</v>
      </c>
      <c r="J4800" s="26"/>
      <c r="K4800" s="36">
        <v>2.9999999999999997E-8</v>
      </c>
      <c r="L4800" s="23">
        <v>0</v>
      </c>
    </row>
    <row r="4801" spans="1:12" ht="15.35" hidden="1" x14ac:dyDescent="0.55000000000000004">
      <c r="A4801" s="20">
        <v>13217</v>
      </c>
      <c r="B4801" s="2" t="s">
        <v>180</v>
      </c>
      <c r="C4801" s="2" t="s">
        <v>181</v>
      </c>
      <c r="D4801" s="20">
        <v>0</v>
      </c>
      <c r="E4801" s="2" t="s">
        <v>838</v>
      </c>
      <c r="F4801" s="2" t="s">
        <v>793</v>
      </c>
      <c r="G4801" s="2" t="s">
        <v>4476</v>
      </c>
      <c r="H4801" s="2" t="s">
        <v>1369</v>
      </c>
      <c r="J4801" s="26"/>
      <c r="K4801" s="36">
        <v>4.9999999999999998E-8</v>
      </c>
      <c r="L4801" s="23">
        <v>0</v>
      </c>
    </row>
    <row r="4802" spans="1:12" ht="15.35" hidden="1" x14ac:dyDescent="0.55000000000000004">
      <c r="A4802" s="20">
        <v>13220</v>
      </c>
      <c r="B4802" s="2" t="s">
        <v>180</v>
      </c>
      <c r="C4802" s="2" t="s">
        <v>181</v>
      </c>
      <c r="D4802" s="20">
        <v>0</v>
      </c>
      <c r="E4802" s="2" t="s">
        <v>838</v>
      </c>
      <c r="F4802" s="2" t="s">
        <v>793</v>
      </c>
      <c r="G4802" s="2" t="s">
        <v>4477</v>
      </c>
      <c r="H4802" s="2" t="s">
        <v>1369</v>
      </c>
      <c r="J4802" s="26"/>
      <c r="K4802" s="36">
        <v>4.9999999999999998E-8</v>
      </c>
      <c r="L4802" s="23">
        <v>0</v>
      </c>
    </row>
    <row r="4803" spans="1:12" ht="15.35" hidden="1" x14ac:dyDescent="0.55000000000000004">
      <c r="A4803" s="20">
        <v>13218</v>
      </c>
      <c r="B4803" s="2" t="s">
        <v>180</v>
      </c>
      <c r="C4803" s="2" t="s">
        <v>181</v>
      </c>
      <c r="D4803" s="20">
        <v>0</v>
      </c>
      <c r="E4803" s="2" t="s">
        <v>838</v>
      </c>
      <c r="F4803" s="2" t="s">
        <v>793</v>
      </c>
      <c r="G4803" s="2" t="s">
        <v>4478</v>
      </c>
      <c r="H4803" s="2" t="s">
        <v>1369</v>
      </c>
      <c r="J4803" s="26"/>
      <c r="K4803" s="36">
        <v>4.9999999999999998E-8</v>
      </c>
      <c r="L4803" s="23">
        <v>0</v>
      </c>
    </row>
    <row r="4804" spans="1:12" ht="15.35" hidden="1" x14ac:dyDescent="0.55000000000000004">
      <c r="A4804" s="20">
        <v>13216</v>
      </c>
      <c r="B4804" s="2" t="s">
        <v>180</v>
      </c>
      <c r="C4804" s="2" t="s">
        <v>181</v>
      </c>
      <c r="D4804" s="20">
        <v>0</v>
      </c>
      <c r="E4804" s="2" t="s">
        <v>838</v>
      </c>
      <c r="F4804" s="2" t="s">
        <v>793</v>
      </c>
      <c r="G4804" s="2" t="s">
        <v>4479</v>
      </c>
      <c r="H4804" s="2" t="s">
        <v>1369</v>
      </c>
      <c r="J4804" s="26"/>
      <c r="K4804" s="36">
        <v>4.9999999999999998E-8</v>
      </c>
      <c r="L4804" s="23">
        <v>0</v>
      </c>
    </row>
    <row r="4805" spans="1:12" ht="15.35" hidden="1" x14ac:dyDescent="0.55000000000000004">
      <c r="A4805" s="20">
        <v>13219</v>
      </c>
      <c r="B4805" s="2" t="s">
        <v>180</v>
      </c>
      <c r="C4805" s="2" t="s">
        <v>181</v>
      </c>
      <c r="D4805" s="20">
        <v>0</v>
      </c>
      <c r="E4805" s="2" t="s">
        <v>838</v>
      </c>
      <c r="F4805" s="2" t="s">
        <v>793</v>
      </c>
      <c r="G4805" s="2" t="s">
        <v>4480</v>
      </c>
      <c r="H4805" s="2" t="s">
        <v>1369</v>
      </c>
      <c r="J4805" s="26"/>
      <c r="K4805" s="36">
        <v>4.9999999999999998E-8</v>
      </c>
      <c r="L4805" s="23">
        <v>0</v>
      </c>
    </row>
    <row r="4806" spans="1:12" ht="15.35" hidden="1" x14ac:dyDescent="0.55000000000000004">
      <c r="A4806" s="20">
        <v>13003</v>
      </c>
      <c r="B4806" s="2" t="s">
        <v>180</v>
      </c>
      <c r="C4806" s="2" t="s">
        <v>181</v>
      </c>
      <c r="D4806" s="20">
        <v>0</v>
      </c>
      <c r="E4806" s="2" t="s">
        <v>838</v>
      </c>
      <c r="F4806" s="2" t="s">
        <v>848</v>
      </c>
      <c r="G4806" s="2" t="s">
        <v>924</v>
      </c>
      <c r="H4806" s="2" t="s">
        <v>924</v>
      </c>
      <c r="J4806" s="26"/>
      <c r="K4806" s="36">
        <v>1.22E-6</v>
      </c>
      <c r="L4806" s="23">
        <v>1.1999999999999999E-7</v>
      </c>
    </row>
    <row r="4807" spans="1:12" ht="15.35" hidden="1" x14ac:dyDescent="0.55000000000000004">
      <c r="A4807" s="20">
        <v>12992</v>
      </c>
      <c r="B4807" s="2" t="s">
        <v>180</v>
      </c>
      <c r="C4807" s="2" t="s">
        <v>181</v>
      </c>
      <c r="D4807" s="20">
        <v>0</v>
      </c>
      <c r="E4807" s="2" t="s">
        <v>838</v>
      </c>
      <c r="F4807" s="2" t="s">
        <v>848</v>
      </c>
      <c r="G4807" s="2" t="s">
        <v>1094</v>
      </c>
      <c r="H4807" s="2" t="s">
        <v>1094</v>
      </c>
      <c r="J4807" s="26"/>
      <c r="K4807" s="36">
        <v>1.6300000000000001E-6</v>
      </c>
      <c r="L4807" s="23">
        <v>1.6E-7</v>
      </c>
    </row>
    <row r="4808" spans="1:12" ht="15.35" hidden="1" x14ac:dyDescent="0.55000000000000004">
      <c r="A4808" s="20">
        <v>13026</v>
      </c>
      <c r="B4808" s="2" t="s">
        <v>180</v>
      </c>
      <c r="C4808" s="2" t="s">
        <v>181</v>
      </c>
      <c r="D4808" s="20">
        <v>0</v>
      </c>
      <c r="E4808" s="2" t="s">
        <v>838</v>
      </c>
      <c r="F4808" s="2" t="s">
        <v>848</v>
      </c>
      <c r="G4808" s="2" t="s">
        <v>4078</v>
      </c>
      <c r="H4808" s="2" t="s">
        <v>4078</v>
      </c>
      <c r="J4808" s="26"/>
      <c r="K4808" s="36">
        <v>8.2999999999999999E-7</v>
      </c>
      <c r="L4808" s="23">
        <v>8.0000000000000002E-8</v>
      </c>
    </row>
    <row r="4809" spans="1:12" ht="15.35" hidden="1" x14ac:dyDescent="0.55000000000000004">
      <c r="A4809" s="20">
        <v>13333</v>
      </c>
      <c r="B4809" s="2" t="s">
        <v>180</v>
      </c>
      <c r="C4809" s="2" t="s">
        <v>181</v>
      </c>
      <c r="D4809" s="20">
        <v>0</v>
      </c>
      <c r="E4809" s="2" t="s">
        <v>838</v>
      </c>
      <c r="F4809" s="2" t="s">
        <v>793</v>
      </c>
      <c r="G4809" s="2" t="s">
        <v>4188</v>
      </c>
      <c r="H4809" s="2" t="s">
        <v>2100</v>
      </c>
      <c r="J4809" s="26"/>
      <c r="K4809" s="36">
        <v>1E-8</v>
      </c>
      <c r="L4809" s="23">
        <v>0</v>
      </c>
    </row>
    <row r="4810" spans="1:12" ht="15.35" hidden="1" x14ac:dyDescent="0.55000000000000004">
      <c r="A4810" s="20">
        <v>13329</v>
      </c>
      <c r="B4810" s="2" t="s">
        <v>180</v>
      </c>
      <c r="C4810" s="2" t="s">
        <v>181</v>
      </c>
      <c r="D4810" s="20">
        <v>0</v>
      </c>
      <c r="E4810" s="2" t="s">
        <v>838</v>
      </c>
      <c r="F4810" s="2" t="s">
        <v>793</v>
      </c>
      <c r="G4810" s="2" t="s">
        <v>4189</v>
      </c>
      <c r="H4810" s="2" t="s">
        <v>2100</v>
      </c>
      <c r="J4810" s="26"/>
      <c r="K4810" s="36">
        <v>1E-8</v>
      </c>
      <c r="L4810" s="23">
        <v>0</v>
      </c>
    </row>
    <row r="4811" spans="1:12" ht="15.35" hidden="1" x14ac:dyDescent="0.55000000000000004">
      <c r="A4811" s="20">
        <v>13328</v>
      </c>
      <c r="B4811" s="2" t="s">
        <v>180</v>
      </c>
      <c r="C4811" s="2" t="s">
        <v>181</v>
      </c>
      <c r="D4811" s="20">
        <v>0</v>
      </c>
      <c r="E4811" s="2" t="s">
        <v>838</v>
      </c>
      <c r="F4811" s="2" t="s">
        <v>793</v>
      </c>
      <c r="G4811" s="2" t="s">
        <v>4190</v>
      </c>
      <c r="H4811" s="2" t="s">
        <v>2100</v>
      </c>
      <c r="J4811" s="26"/>
      <c r="K4811" s="36">
        <v>1E-8</v>
      </c>
      <c r="L4811" s="23">
        <v>0</v>
      </c>
    </row>
    <row r="4812" spans="1:12" ht="15.35" hidden="1" x14ac:dyDescent="0.55000000000000004">
      <c r="A4812" s="20">
        <v>13334</v>
      </c>
      <c r="B4812" s="2" t="s">
        <v>180</v>
      </c>
      <c r="C4812" s="2" t="s">
        <v>181</v>
      </c>
      <c r="D4812" s="20">
        <v>0</v>
      </c>
      <c r="E4812" s="2" t="s">
        <v>838</v>
      </c>
      <c r="F4812" s="2" t="s">
        <v>793</v>
      </c>
      <c r="G4812" s="2" t="s">
        <v>4191</v>
      </c>
      <c r="H4812" s="2" t="s">
        <v>2100</v>
      </c>
      <c r="J4812" s="26"/>
      <c r="K4812" s="36">
        <v>1E-8</v>
      </c>
      <c r="L4812" s="23">
        <v>0</v>
      </c>
    </row>
    <row r="4813" spans="1:12" ht="15.35" hidden="1" x14ac:dyDescent="0.55000000000000004">
      <c r="A4813" s="20">
        <v>13335</v>
      </c>
      <c r="B4813" s="2" t="s">
        <v>180</v>
      </c>
      <c r="C4813" s="2" t="s">
        <v>181</v>
      </c>
      <c r="D4813" s="20">
        <v>0</v>
      </c>
      <c r="E4813" s="2" t="s">
        <v>838</v>
      </c>
      <c r="F4813" s="2" t="s">
        <v>793</v>
      </c>
      <c r="G4813" s="2" t="s">
        <v>4192</v>
      </c>
      <c r="H4813" s="2" t="s">
        <v>2100</v>
      </c>
      <c r="J4813" s="26"/>
      <c r="K4813" s="36">
        <v>1E-8</v>
      </c>
      <c r="L4813" s="23">
        <v>0</v>
      </c>
    </row>
    <row r="4814" spans="1:12" ht="15.35" hidden="1" x14ac:dyDescent="0.55000000000000004">
      <c r="A4814" s="20">
        <v>13356</v>
      </c>
      <c r="B4814" s="2" t="s">
        <v>180</v>
      </c>
      <c r="C4814" s="2" t="s">
        <v>181</v>
      </c>
      <c r="D4814" s="20">
        <v>0</v>
      </c>
      <c r="E4814" s="2" t="s">
        <v>838</v>
      </c>
      <c r="F4814" s="2" t="s">
        <v>793</v>
      </c>
      <c r="G4814" s="2" t="s">
        <v>4193</v>
      </c>
      <c r="H4814" s="2" t="s">
        <v>2100</v>
      </c>
      <c r="J4814" s="26"/>
      <c r="K4814" s="36">
        <v>1E-8</v>
      </c>
      <c r="L4814" s="23">
        <v>0</v>
      </c>
    </row>
    <row r="4815" spans="1:12" ht="15.35" hidden="1" x14ac:dyDescent="0.55000000000000004">
      <c r="A4815" s="20">
        <v>13351</v>
      </c>
      <c r="B4815" s="2" t="s">
        <v>180</v>
      </c>
      <c r="C4815" s="2" t="s">
        <v>181</v>
      </c>
      <c r="D4815" s="20">
        <v>0</v>
      </c>
      <c r="E4815" s="2" t="s">
        <v>838</v>
      </c>
      <c r="F4815" s="2" t="s">
        <v>793</v>
      </c>
      <c r="G4815" s="2" t="s">
        <v>4194</v>
      </c>
      <c r="H4815" s="2" t="s">
        <v>2100</v>
      </c>
      <c r="J4815" s="26"/>
      <c r="K4815" s="36">
        <v>1E-8</v>
      </c>
      <c r="L4815" s="23">
        <v>0</v>
      </c>
    </row>
    <row r="4816" spans="1:12" ht="15.35" hidden="1" x14ac:dyDescent="0.55000000000000004">
      <c r="A4816" s="20">
        <v>13348</v>
      </c>
      <c r="B4816" s="2" t="s">
        <v>180</v>
      </c>
      <c r="C4816" s="2" t="s">
        <v>181</v>
      </c>
      <c r="D4816" s="20">
        <v>0</v>
      </c>
      <c r="E4816" s="2" t="s">
        <v>838</v>
      </c>
      <c r="F4816" s="2" t="s">
        <v>793</v>
      </c>
      <c r="G4816" s="2" t="s">
        <v>4195</v>
      </c>
      <c r="H4816" s="2" t="s">
        <v>2100</v>
      </c>
      <c r="J4816" s="26"/>
      <c r="K4816" s="36">
        <v>1E-8</v>
      </c>
      <c r="L4816" s="23">
        <v>0</v>
      </c>
    </row>
    <row r="4817" spans="1:12" ht="15.35" hidden="1" x14ac:dyDescent="0.55000000000000004">
      <c r="A4817" s="20">
        <v>13338</v>
      </c>
      <c r="B4817" s="2" t="s">
        <v>180</v>
      </c>
      <c r="C4817" s="2" t="s">
        <v>181</v>
      </c>
      <c r="D4817" s="20">
        <v>0</v>
      </c>
      <c r="E4817" s="2" t="s">
        <v>838</v>
      </c>
      <c r="F4817" s="2" t="s">
        <v>793</v>
      </c>
      <c r="G4817" s="2" t="s">
        <v>4196</v>
      </c>
      <c r="H4817" s="2" t="s">
        <v>2100</v>
      </c>
      <c r="J4817" s="26"/>
      <c r="K4817" s="36">
        <v>1E-8</v>
      </c>
      <c r="L4817" s="23">
        <v>0</v>
      </c>
    </row>
    <row r="4818" spans="1:12" ht="15.35" hidden="1" x14ac:dyDescent="0.55000000000000004">
      <c r="A4818" s="20">
        <v>13336</v>
      </c>
      <c r="B4818" s="2" t="s">
        <v>180</v>
      </c>
      <c r="C4818" s="2" t="s">
        <v>181</v>
      </c>
      <c r="D4818" s="20">
        <v>0</v>
      </c>
      <c r="E4818" s="2" t="s">
        <v>838</v>
      </c>
      <c r="F4818" s="2" t="s">
        <v>793</v>
      </c>
      <c r="G4818" s="2" t="s">
        <v>4197</v>
      </c>
      <c r="H4818" s="2" t="s">
        <v>2100</v>
      </c>
      <c r="J4818" s="26"/>
      <c r="K4818" s="36">
        <v>1E-8</v>
      </c>
      <c r="L4818" s="23">
        <v>0</v>
      </c>
    </row>
    <row r="4819" spans="1:12" ht="15.35" hidden="1" x14ac:dyDescent="0.55000000000000004">
      <c r="A4819" s="20">
        <v>13337</v>
      </c>
      <c r="B4819" s="2" t="s">
        <v>180</v>
      </c>
      <c r="C4819" s="2" t="s">
        <v>181</v>
      </c>
      <c r="D4819" s="20">
        <v>0</v>
      </c>
      <c r="E4819" s="2" t="s">
        <v>838</v>
      </c>
      <c r="F4819" s="2" t="s">
        <v>793</v>
      </c>
      <c r="G4819" s="2" t="s">
        <v>4198</v>
      </c>
      <c r="H4819" s="2" t="s">
        <v>2100</v>
      </c>
      <c r="J4819" s="26"/>
      <c r="K4819" s="36">
        <v>1E-8</v>
      </c>
      <c r="L4819" s="23">
        <v>0</v>
      </c>
    </row>
    <row r="4820" spans="1:12" ht="15.35" hidden="1" x14ac:dyDescent="0.55000000000000004">
      <c r="A4820" s="20">
        <v>13361</v>
      </c>
      <c r="B4820" s="2" t="s">
        <v>180</v>
      </c>
      <c r="C4820" s="2" t="s">
        <v>181</v>
      </c>
      <c r="D4820" s="20">
        <v>0</v>
      </c>
      <c r="E4820" s="2" t="s">
        <v>838</v>
      </c>
      <c r="F4820" s="2" t="s">
        <v>793</v>
      </c>
      <c r="G4820" s="2" t="s">
        <v>4199</v>
      </c>
      <c r="H4820" s="2" t="s">
        <v>2100</v>
      </c>
      <c r="J4820" s="26"/>
      <c r="K4820" s="36">
        <v>1E-8</v>
      </c>
      <c r="L4820" s="23">
        <v>0</v>
      </c>
    </row>
    <row r="4821" spans="1:12" ht="15.35" hidden="1" x14ac:dyDescent="0.55000000000000004">
      <c r="A4821" s="20">
        <v>13083</v>
      </c>
      <c r="B4821" s="2" t="s">
        <v>180</v>
      </c>
      <c r="C4821" s="2" t="s">
        <v>181</v>
      </c>
      <c r="D4821" s="20">
        <v>0</v>
      </c>
      <c r="E4821" s="2" t="s">
        <v>838</v>
      </c>
      <c r="F4821" s="2" t="s">
        <v>793</v>
      </c>
      <c r="G4821" s="2" t="s">
        <v>3705</v>
      </c>
      <c r="H4821" s="2" t="s">
        <v>2100</v>
      </c>
      <c r="J4821" s="26"/>
      <c r="K4821" s="36">
        <v>3.8000000000000001E-7</v>
      </c>
      <c r="L4821" s="23">
        <v>4.0000000000000001E-8</v>
      </c>
    </row>
    <row r="4822" spans="1:12" ht="15.35" hidden="1" x14ac:dyDescent="0.55000000000000004">
      <c r="A4822" s="20">
        <v>13084</v>
      </c>
      <c r="B4822" s="2" t="s">
        <v>180</v>
      </c>
      <c r="C4822" s="2" t="s">
        <v>181</v>
      </c>
      <c r="D4822" s="20">
        <v>0</v>
      </c>
      <c r="E4822" s="2" t="s">
        <v>838</v>
      </c>
      <c r="F4822" s="2" t="s">
        <v>793</v>
      </c>
      <c r="G4822" s="2" t="s">
        <v>3706</v>
      </c>
      <c r="H4822" s="2" t="s">
        <v>2100</v>
      </c>
      <c r="J4822" s="26"/>
      <c r="K4822" s="36">
        <v>3.8000000000000001E-7</v>
      </c>
      <c r="L4822" s="23">
        <v>4.0000000000000001E-8</v>
      </c>
    </row>
    <row r="4823" spans="1:12" ht="15.35" hidden="1" x14ac:dyDescent="0.55000000000000004">
      <c r="A4823" s="20">
        <v>13085</v>
      </c>
      <c r="B4823" s="2" t="s">
        <v>180</v>
      </c>
      <c r="C4823" s="2" t="s">
        <v>181</v>
      </c>
      <c r="D4823" s="20">
        <v>0</v>
      </c>
      <c r="E4823" s="2" t="s">
        <v>838</v>
      </c>
      <c r="F4823" s="2" t="s">
        <v>793</v>
      </c>
      <c r="G4823" s="2" t="s">
        <v>3707</v>
      </c>
      <c r="H4823" s="2" t="s">
        <v>2100</v>
      </c>
      <c r="J4823" s="26"/>
      <c r="K4823" s="36">
        <v>3.8000000000000001E-7</v>
      </c>
      <c r="L4823" s="23">
        <v>4.0000000000000001E-8</v>
      </c>
    </row>
    <row r="4824" spans="1:12" ht="15.35" hidden="1" x14ac:dyDescent="0.55000000000000004">
      <c r="A4824" s="20">
        <v>13344</v>
      </c>
      <c r="B4824" s="2" t="s">
        <v>180</v>
      </c>
      <c r="C4824" s="2" t="s">
        <v>181</v>
      </c>
      <c r="D4824" s="20">
        <v>0</v>
      </c>
      <c r="E4824" s="2" t="s">
        <v>838</v>
      </c>
      <c r="F4824" s="2" t="s">
        <v>793</v>
      </c>
      <c r="G4824" s="2" t="s">
        <v>4200</v>
      </c>
      <c r="H4824" s="2" t="s">
        <v>2100</v>
      </c>
      <c r="J4824" s="26"/>
      <c r="K4824" s="36">
        <v>1E-8</v>
      </c>
      <c r="L4824" s="23">
        <v>0</v>
      </c>
    </row>
    <row r="4825" spans="1:12" ht="15.35" hidden="1" x14ac:dyDescent="0.55000000000000004">
      <c r="A4825" s="20">
        <v>13179</v>
      </c>
      <c r="B4825" s="2" t="s">
        <v>180</v>
      </c>
      <c r="C4825" s="2" t="s">
        <v>181</v>
      </c>
      <c r="D4825" s="20">
        <v>0</v>
      </c>
      <c r="E4825" s="2" t="s">
        <v>838</v>
      </c>
      <c r="F4825" s="2" t="s">
        <v>817</v>
      </c>
      <c r="G4825" s="2" t="s">
        <v>4481</v>
      </c>
      <c r="H4825" s="2" t="s">
        <v>2100</v>
      </c>
      <c r="J4825" s="26"/>
      <c r="K4825" s="36">
        <v>8.9999999999999999E-8</v>
      </c>
      <c r="L4825" s="23">
        <v>1E-8</v>
      </c>
    </row>
    <row r="4826" spans="1:12" ht="15.35" hidden="1" x14ac:dyDescent="0.55000000000000004">
      <c r="A4826" s="20">
        <v>13180</v>
      </c>
      <c r="B4826" s="2" t="s">
        <v>180</v>
      </c>
      <c r="C4826" s="2" t="s">
        <v>181</v>
      </c>
      <c r="D4826" s="20">
        <v>0</v>
      </c>
      <c r="E4826" s="2" t="s">
        <v>838</v>
      </c>
      <c r="F4826" s="2" t="s">
        <v>817</v>
      </c>
      <c r="G4826" s="2" t="s">
        <v>4482</v>
      </c>
      <c r="H4826" s="2" t="s">
        <v>2100</v>
      </c>
      <c r="J4826" s="26"/>
      <c r="K4826" s="36">
        <v>8.9999999999999999E-8</v>
      </c>
      <c r="L4826" s="23">
        <v>1E-8</v>
      </c>
    </row>
    <row r="4827" spans="1:12" ht="15.35" hidden="1" x14ac:dyDescent="0.55000000000000004">
      <c r="A4827" s="20">
        <v>13367</v>
      </c>
      <c r="B4827" s="2" t="s">
        <v>180</v>
      </c>
      <c r="C4827" s="2" t="s">
        <v>181</v>
      </c>
      <c r="D4827" s="20">
        <v>0</v>
      </c>
      <c r="E4827" s="2" t="s">
        <v>838</v>
      </c>
      <c r="F4827" s="2" t="s">
        <v>817</v>
      </c>
      <c r="G4827" s="2" t="s">
        <v>4483</v>
      </c>
      <c r="H4827" s="2" t="s">
        <v>2100</v>
      </c>
      <c r="J4827" s="26"/>
      <c r="K4827" s="36">
        <v>1E-8</v>
      </c>
      <c r="L4827" s="23">
        <v>0</v>
      </c>
    </row>
    <row r="4828" spans="1:12" ht="15.35" hidden="1" x14ac:dyDescent="0.55000000000000004">
      <c r="A4828" s="20">
        <v>13340</v>
      </c>
      <c r="B4828" s="2" t="s">
        <v>180</v>
      </c>
      <c r="C4828" s="2" t="s">
        <v>181</v>
      </c>
      <c r="D4828" s="20">
        <v>0</v>
      </c>
      <c r="E4828" s="2" t="s">
        <v>838</v>
      </c>
      <c r="F4828" s="2" t="s">
        <v>793</v>
      </c>
      <c r="G4828" s="2" t="s">
        <v>4207</v>
      </c>
      <c r="H4828" s="2" t="s">
        <v>2100</v>
      </c>
      <c r="J4828" s="26"/>
      <c r="K4828" s="36">
        <v>1E-8</v>
      </c>
      <c r="L4828" s="23">
        <v>0</v>
      </c>
    </row>
    <row r="4829" spans="1:12" ht="15.35" hidden="1" x14ac:dyDescent="0.55000000000000004">
      <c r="A4829" s="20">
        <v>13342</v>
      </c>
      <c r="B4829" s="2" t="s">
        <v>180</v>
      </c>
      <c r="C4829" s="2" t="s">
        <v>181</v>
      </c>
      <c r="D4829" s="20">
        <v>0</v>
      </c>
      <c r="E4829" s="2" t="s">
        <v>838</v>
      </c>
      <c r="F4829" s="2" t="s">
        <v>793</v>
      </c>
      <c r="G4829" s="2" t="s">
        <v>4208</v>
      </c>
      <c r="H4829" s="2" t="s">
        <v>2100</v>
      </c>
      <c r="J4829" s="26"/>
      <c r="K4829" s="36">
        <v>1E-8</v>
      </c>
      <c r="L4829" s="23">
        <v>0</v>
      </c>
    </row>
    <row r="4830" spans="1:12" ht="15.35" hidden="1" x14ac:dyDescent="0.55000000000000004">
      <c r="A4830" s="20">
        <v>13341</v>
      </c>
      <c r="B4830" s="2" t="s">
        <v>180</v>
      </c>
      <c r="C4830" s="2" t="s">
        <v>181</v>
      </c>
      <c r="D4830" s="20">
        <v>0</v>
      </c>
      <c r="E4830" s="2" t="s">
        <v>838</v>
      </c>
      <c r="F4830" s="2" t="s">
        <v>793</v>
      </c>
      <c r="G4830" s="2" t="s">
        <v>4209</v>
      </c>
      <c r="H4830" s="2" t="s">
        <v>2100</v>
      </c>
      <c r="J4830" s="26"/>
      <c r="K4830" s="36">
        <v>1E-8</v>
      </c>
      <c r="L4830" s="23">
        <v>0</v>
      </c>
    </row>
    <row r="4831" spans="1:12" ht="15.35" hidden="1" x14ac:dyDescent="0.55000000000000004">
      <c r="A4831" s="20">
        <v>13339</v>
      </c>
      <c r="B4831" s="2" t="s">
        <v>180</v>
      </c>
      <c r="C4831" s="2" t="s">
        <v>181</v>
      </c>
      <c r="D4831" s="20">
        <v>0</v>
      </c>
      <c r="E4831" s="2" t="s">
        <v>838</v>
      </c>
      <c r="F4831" s="2" t="s">
        <v>793</v>
      </c>
      <c r="G4831" s="2" t="s">
        <v>4210</v>
      </c>
      <c r="H4831" s="2" t="s">
        <v>2100</v>
      </c>
      <c r="J4831" s="26"/>
      <c r="K4831" s="36">
        <v>1E-8</v>
      </c>
      <c r="L4831" s="23">
        <v>0</v>
      </c>
    </row>
    <row r="4832" spans="1:12" ht="15.35" hidden="1" x14ac:dyDescent="0.55000000000000004">
      <c r="A4832" s="20">
        <v>13366</v>
      </c>
      <c r="B4832" s="2" t="s">
        <v>180</v>
      </c>
      <c r="C4832" s="2" t="s">
        <v>181</v>
      </c>
      <c r="D4832" s="20">
        <v>0</v>
      </c>
      <c r="E4832" s="2" t="s">
        <v>838</v>
      </c>
      <c r="F4832" s="2" t="s">
        <v>793</v>
      </c>
      <c r="G4832" s="2" t="s">
        <v>4215</v>
      </c>
      <c r="H4832" s="2" t="s">
        <v>2100</v>
      </c>
      <c r="J4832" s="26"/>
      <c r="K4832" s="36">
        <v>1E-8</v>
      </c>
      <c r="L4832" s="23">
        <v>0</v>
      </c>
    </row>
    <row r="4833" spans="1:12" ht="15.35" hidden="1" x14ac:dyDescent="0.55000000000000004">
      <c r="A4833" s="20">
        <v>13355</v>
      </c>
      <c r="B4833" s="2" t="s">
        <v>180</v>
      </c>
      <c r="C4833" s="2" t="s">
        <v>181</v>
      </c>
      <c r="D4833" s="20">
        <v>0</v>
      </c>
      <c r="E4833" s="2" t="s">
        <v>838</v>
      </c>
      <c r="F4833" s="2" t="s">
        <v>793</v>
      </c>
      <c r="G4833" s="2" t="s">
        <v>4218</v>
      </c>
      <c r="H4833" s="2" t="s">
        <v>2100</v>
      </c>
      <c r="J4833" s="26"/>
      <c r="K4833" s="36">
        <v>1E-8</v>
      </c>
      <c r="L4833" s="23">
        <v>0</v>
      </c>
    </row>
    <row r="4834" spans="1:12" ht="15.35" hidden="1" x14ac:dyDescent="0.55000000000000004">
      <c r="A4834" s="20">
        <v>13365</v>
      </c>
      <c r="B4834" s="2" t="s">
        <v>180</v>
      </c>
      <c r="C4834" s="2" t="s">
        <v>181</v>
      </c>
      <c r="D4834" s="20">
        <v>0</v>
      </c>
      <c r="E4834" s="2" t="s">
        <v>838</v>
      </c>
      <c r="F4834" s="2" t="s">
        <v>793</v>
      </c>
      <c r="G4834" s="2" t="s">
        <v>4484</v>
      </c>
      <c r="H4834" s="2" t="s">
        <v>2100</v>
      </c>
      <c r="J4834" s="26"/>
      <c r="K4834" s="36">
        <v>1E-8</v>
      </c>
      <c r="L4834" s="23">
        <v>0</v>
      </c>
    </row>
    <row r="4835" spans="1:12" ht="15.35" hidden="1" x14ac:dyDescent="0.55000000000000004">
      <c r="A4835" s="20">
        <v>13311</v>
      </c>
      <c r="B4835" s="2" t="s">
        <v>180</v>
      </c>
      <c r="C4835" s="2" t="s">
        <v>181</v>
      </c>
      <c r="D4835" s="20">
        <v>0</v>
      </c>
      <c r="E4835" s="2" t="s">
        <v>838</v>
      </c>
      <c r="F4835" s="2" t="s">
        <v>793</v>
      </c>
      <c r="G4835" s="2" t="s">
        <v>4220</v>
      </c>
      <c r="H4835" s="2" t="s">
        <v>2100</v>
      </c>
      <c r="J4835" s="26"/>
      <c r="K4835" s="36">
        <v>2E-8</v>
      </c>
      <c r="L4835" s="23">
        <v>0</v>
      </c>
    </row>
    <row r="4836" spans="1:12" ht="15.35" hidden="1" x14ac:dyDescent="0.55000000000000004">
      <c r="A4836" s="20">
        <v>13316</v>
      </c>
      <c r="B4836" s="2" t="s">
        <v>180</v>
      </c>
      <c r="C4836" s="2" t="s">
        <v>181</v>
      </c>
      <c r="D4836" s="20">
        <v>0</v>
      </c>
      <c r="E4836" s="2" t="s">
        <v>838</v>
      </c>
      <c r="F4836" s="2" t="s">
        <v>793</v>
      </c>
      <c r="G4836" s="2" t="s">
        <v>4485</v>
      </c>
      <c r="H4836" s="2" t="s">
        <v>2100</v>
      </c>
      <c r="J4836" s="26"/>
      <c r="K4836" s="36">
        <v>2E-8</v>
      </c>
      <c r="L4836" s="23">
        <v>0</v>
      </c>
    </row>
    <row r="4837" spans="1:12" ht="15.35" hidden="1" x14ac:dyDescent="0.55000000000000004">
      <c r="A4837" s="20">
        <v>13313</v>
      </c>
      <c r="B4837" s="2" t="s">
        <v>180</v>
      </c>
      <c r="C4837" s="2" t="s">
        <v>181</v>
      </c>
      <c r="D4837" s="20">
        <v>0</v>
      </c>
      <c r="E4837" s="2" t="s">
        <v>838</v>
      </c>
      <c r="F4837" s="2" t="s">
        <v>793</v>
      </c>
      <c r="G4837" s="2" t="s">
        <v>4486</v>
      </c>
      <c r="H4837" s="2" t="s">
        <v>2100</v>
      </c>
      <c r="J4837" s="26"/>
      <c r="K4837" s="36">
        <v>2E-8</v>
      </c>
      <c r="L4837" s="23">
        <v>0</v>
      </c>
    </row>
    <row r="4838" spans="1:12" ht="15.35" hidden="1" x14ac:dyDescent="0.55000000000000004">
      <c r="A4838" s="20">
        <v>13315</v>
      </c>
      <c r="B4838" s="2" t="s">
        <v>180</v>
      </c>
      <c r="C4838" s="2" t="s">
        <v>181</v>
      </c>
      <c r="D4838" s="20">
        <v>0</v>
      </c>
      <c r="E4838" s="2" t="s">
        <v>838</v>
      </c>
      <c r="F4838" s="2" t="s">
        <v>793</v>
      </c>
      <c r="G4838" s="2" t="s">
        <v>4221</v>
      </c>
      <c r="H4838" s="2" t="s">
        <v>2100</v>
      </c>
      <c r="J4838" s="26"/>
      <c r="K4838" s="36">
        <v>2E-8</v>
      </c>
      <c r="L4838" s="23">
        <v>0</v>
      </c>
    </row>
    <row r="4839" spans="1:12" ht="15.35" hidden="1" x14ac:dyDescent="0.55000000000000004">
      <c r="A4839" s="20">
        <v>13312</v>
      </c>
      <c r="B4839" s="2" t="s">
        <v>180</v>
      </c>
      <c r="C4839" s="2" t="s">
        <v>181</v>
      </c>
      <c r="D4839" s="20">
        <v>0</v>
      </c>
      <c r="E4839" s="2" t="s">
        <v>838</v>
      </c>
      <c r="F4839" s="2" t="s">
        <v>793</v>
      </c>
      <c r="G4839" s="2" t="s">
        <v>4222</v>
      </c>
      <c r="H4839" s="2" t="s">
        <v>2100</v>
      </c>
      <c r="J4839" s="26"/>
      <c r="K4839" s="36">
        <v>2E-8</v>
      </c>
      <c r="L4839" s="23">
        <v>0</v>
      </c>
    </row>
    <row r="4840" spans="1:12" ht="15.35" hidden="1" x14ac:dyDescent="0.55000000000000004">
      <c r="A4840" s="20">
        <v>13310</v>
      </c>
      <c r="B4840" s="2" t="s">
        <v>180</v>
      </c>
      <c r="C4840" s="2" t="s">
        <v>181</v>
      </c>
      <c r="D4840" s="20">
        <v>0</v>
      </c>
      <c r="E4840" s="2" t="s">
        <v>838</v>
      </c>
      <c r="F4840" s="2" t="s">
        <v>793</v>
      </c>
      <c r="G4840" s="2" t="s">
        <v>4223</v>
      </c>
      <c r="H4840" s="2" t="s">
        <v>2100</v>
      </c>
      <c r="J4840" s="26"/>
      <c r="K4840" s="36">
        <v>2E-8</v>
      </c>
      <c r="L4840" s="23">
        <v>0</v>
      </c>
    </row>
    <row r="4841" spans="1:12" ht="15.35" hidden="1" x14ac:dyDescent="0.55000000000000004">
      <c r="A4841" s="20">
        <v>13306</v>
      </c>
      <c r="B4841" s="2" t="s">
        <v>180</v>
      </c>
      <c r="C4841" s="2" t="s">
        <v>181</v>
      </c>
      <c r="D4841" s="20">
        <v>0</v>
      </c>
      <c r="E4841" s="2" t="s">
        <v>838</v>
      </c>
      <c r="F4841" s="2" t="s">
        <v>793</v>
      </c>
      <c r="G4841" s="2" t="s">
        <v>4224</v>
      </c>
      <c r="H4841" s="2" t="s">
        <v>2100</v>
      </c>
      <c r="J4841" s="26"/>
      <c r="K4841" s="36">
        <v>2E-8</v>
      </c>
      <c r="L4841" s="23">
        <v>0</v>
      </c>
    </row>
    <row r="4842" spans="1:12" ht="15.35" hidden="1" x14ac:dyDescent="0.55000000000000004">
      <c r="A4842" s="20">
        <v>13307</v>
      </c>
      <c r="B4842" s="2" t="s">
        <v>180</v>
      </c>
      <c r="C4842" s="2" t="s">
        <v>181</v>
      </c>
      <c r="D4842" s="20">
        <v>0</v>
      </c>
      <c r="E4842" s="2" t="s">
        <v>838</v>
      </c>
      <c r="F4842" s="2" t="s">
        <v>793</v>
      </c>
      <c r="G4842" s="2" t="s">
        <v>4225</v>
      </c>
      <c r="H4842" s="2" t="s">
        <v>2100</v>
      </c>
      <c r="J4842" s="26"/>
      <c r="K4842" s="36">
        <v>2E-8</v>
      </c>
      <c r="L4842" s="23">
        <v>0</v>
      </c>
    </row>
    <row r="4843" spans="1:12" ht="15.35" hidden="1" x14ac:dyDescent="0.55000000000000004">
      <c r="A4843" s="20">
        <v>13305</v>
      </c>
      <c r="B4843" s="2" t="s">
        <v>180</v>
      </c>
      <c r="C4843" s="2" t="s">
        <v>181</v>
      </c>
      <c r="D4843" s="20">
        <v>0</v>
      </c>
      <c r="E4843" s="2" t="s">
        <v>838</v>
      </c>
      <c r="F4843" s="2" t="s">
        <v>793</v>
      </c>
      <c r="G4843" s="2" t="s">
        <v>4226</v>
      </c>
      <c r="H4843" s="2" t="s">
        <v>2100</v>
      </c>
      <c r="J4843" s="26"/>
      <c r="K4843" s="36">
        <v>2E-8</v>
      </c>
      <c r="L4843" s="23">
        <v>0</v>
      </c>
    </row>
    <row r="4844" spans="1:12" ht="15.35" hidden="1" x14ac:dyDescent="0.55000000000000004">
      <c r="A4844" s="20">
        <v>13302</v>
      </c>
      <c r="B4844" s="2" t="s">
        <v>180</v>
      </c>
      <c r="C4844" s="2" t="s">
        <v>181</v>
      </c>
      <c r="D4844" s="20">
        <v>0</v>
      </c>
      <c r="E4844" s="2" t="s">
        <v>838</v>
      </c>
      <c r="F4844" s="2" t="s">
        <v>793</v>
      </c>
      <c r="G4844" s="2" t="s">
        <v>4227</v>
      </c>
      <c r="H4844" s="2" t="s">
        <v>2100</v>
      </c>
      <c r="J4844" s="26"/>
      <c r="K4844" s="36">
        <v>2E-8</v>
      </c>
      <c r="L4844" s="23">
        <v>0</v>
      </c>
    </row>
    <row r="4845" spans="1:12" ht="15.35" hidden="1" x14ac:dyDescent="0.55000000000000004">
      <c r="A4845" s="20">
        <v>13308</v>
      </c>
      <c r="B4845" s="2" t="s">
        <v>180</v>
      </c>
      <c r="C4845" s="2" t="s">
        <v>181</v>
      </c>
      <c r="D4845" s="20">
        <v>0</v>
      </c>
      <c r="E4845" s="2" t="s">
        <v>838</v>
      </c>
      <c r="F4845" s="2" t="s">
        <v>793</v>
      </c>
      <c r="G4845" s="2" t="s">
        <v>4228</v>
      </c>
      <c r="H4845" s="2" t="s">
        <v>2100</v>
      </c>
      <c r="J4845" s="26"/>
      <c r="K4845" s="36">
        <v>2E-8</v>
      </c>
      <c r="L4845" s="23">
        <v>0</v>
      </c>
    </row>
    <row r="4846" spans="1:12" ht="15.35" hidden="1" x14ac:dyDescent="0.55000000000000004">
      <c r="A4846" s="20">
        <v>13304</v>
      </c>
      <c r="B4846" s="2" t="s">
        <v>180</v>
      </c>
      <c r="C4846" s="2" t="s">
        <v>181</v>
      </c>
      <c r="D4846" s="20">
        <v>0</v>
      </c>
      <c r="E4846" s="2" t="s">
        <v>838</v>
      </c>
      <c r="F4846" s="2" t="s">
        <v>793</v>
      </c>
      <c r="G4846" s="2" t="s">
        <v>4229</v>
      </c>
      <c r="H4846" s="2" t="s">
        <v>2100</v>
      </c>
      <c r="J4846" s="26"/>
      <c r="K4846" s="36">
        <v>2E-8</v>
      </c>
      <c r="L4846" s="23">
        <v>0</v>
      </c>
    </row>
    <row r="4847" spans="1:12" ht="15.35" hidden="1" x14ac:dyDescent="0.55000000000000004">
      <c r="A4847" s="20">
        <v>13309</v>
      </c>
      <c r="B4847" s="2" t="s">
        <v>180</v>
      </c>
      <c r="C4847" s="2" t="s">
        <v>181</v>
      </c>
      <c r="D4847" s="20">
        <v>0</v>
      </c>
      <c r="E4847" s="2" t="s">
        <v>838</v>
      </c>
      <c r="F4847" s="2" t="s">
        <v>793</v>
      </c>
      <c r="G4847" s="2" t="s">
        <v>4230</v>
      </c>
      <c r="H4847" s="2" t="s">
        <v>2100</v>
      </c>
      <c r="J4847" s="26"/>
      <c r="K4847" s="36">
        <v>2E-8</v>
      </c>
      <c r="L4847" s="23">
        <v>0</v>
      </c>
    </row>
    <row r="4848" spans="1:12" ht="15.35" hidden="1" x14ac:dyDescent="0.55000000000000004">
      <c r="A4848" s="20">
        <v>13317</v>
      </c>
      <c r="B4848" s="2" t="s">
        <v>180</v>
      </c>
      <c r="C4848" s="2" t="s">
        <v>181</v>
      </c>
      <c r="D4848" s="20">
        <v>0</v>
      </c>
      <c r="E4848" s="2" t="s">
        <v>838</v>
      </c>
      <c r="F4848" s="2" t="s">
        <v>793</v>
      </c>
      <c r="G4848" s="2" t="s">
        <v>4231</v>
      </c>
      <c r="H4848" s="2" t="s">
        <v>2100</v>
      </c>
      <c r="J4848" s="26"/>
      <c r="K4848" s="36">
        <v>2E-8</v>
      </c>
      <c r="L4848" s="23">
        <v>0</v>
      </c>
    </row>
    <row r="4849" spans="1:12" ht="15.35" hidden="1" x14ac:dyDescent="0.55000000000000004">
      <c r="A4849" s="20">
        <v>13314</v>
      </c>
      <c r="B4849" s="2" t="s">
        <v>180</v>
      </c>
      <c r="C4849" s="2" t="s">
        <v>181</v>
      </c>
      <c r="D4849" s="20">
        <v>0</v>
      </c>
      <c r="E4849" s="2" t="s">
        <v>838</v>
      </c>
      <c r="F4849" s="2" t="s">
        <v>793</v>
      </c>
      <c r="G4849" s="2" t="s">
        <v>4232</v>
      </c>
      <c r="H4849" s="2" t="s">
        <v>2100</v>
      </c>
      <c r="J4849" s="26"/>
      <c r="K4849" s="36">
        <v>2E-8</v>
      </c>
      <c r="L4849" s="23">
        <v>0</v>
      </c>
    </row>
    <row r="4850" spans="1:12" ht="15.35" hidden="1" x14ac:dyDescent="0.55000000000000004">
      <c r="A4850" s="20">
        <v>13343</v>
      </c>
      <c r="B4850" s="2" t="s">
        <v>180</v>
      </c>
      <c r="C4850" s="2" t="s">
        <v>181</v>
      </c>
      <c r="D4850" s="20">
        <v>0</v>
      </c>
      <c r="E4850" s="2" t="s">
        <v>838</v>
      </c>
      <c r="F4850" s="2" t="s">
        <v>793</v>
      </c>
      <c r="G4850" s="2" t="s">
        <v>4236</v>
      </c>
      <c r="H4850" s="2" t="s">
        <v>2100</v>
      </c>
      <c r="J4850" s="26"/>
      <c r="K4850" s="36">
        <v>1E-8</v>
      </c>
      <c r="L4850" s="23">
        <v>0</v>
      </c>
    </row>
    <row r="4851" spans="1:12" ht="15.35" hidden="1" x14ac:dyDescent="0.55000000000000004">
      <c r="A4851" s="20">
        <v>13327</v>
      </c>
      <c r="B4851" s="2" t="s">
        <v>180</v>
      </c>
      <c r="C4851" s="2" t="s">
        <v>181</v>
      </c>
      <c r="D4851" s="20">
        <v>0</v>
      </c>
      <c r="E4851" s="2" t="s">
        <v>838</v>
      </c>
      <c r="F4851" s="2" t="s">
        <v>793</v>
      </c>
      <c r="G4851" s="2" t="s">
        <v>4237</v>
      </c>
      <c r="H4851" s="2" t="s">
        <v>2100</v>
      </c>
      <c r="J4851" s="26"/>
      <c r="K4851" s="36">
        <v>1E-8</v>
      </c>
      <c r="L4851" s="23">
        <v>0</v>
      </c>
    </row>
    <row r="4852" spans="1:12" ht="15.35" hidden="1" x14ac:dyDescent="0.55000000000000004">
      <c r="A4852" s="20">
        <v>13352</v>
      </c>
      <c r="B4852" s="2" t="s">
        <v>180</v>
      </c>
      <c r="C4852" s="2" t="s">
        <v>181</v>
      </c>
      <c r="D4852" s="20">
        <v>0</v>
      </c>
      <c r="E4852" s="2" t="s">
        <v>838</v>
      </c>
      <c r="F4852" s="2" t="s">
        <v>793</v>
      </c>
      <c r="G4852" s="2" t="s">
        <v>4238</v>
      </c>
      <c r="H4852" s="2" t="s">
        <v>4238</v>
      </c>
      <c r="J4852" s="26"/>
      <c r="K4852" s="36">
        <v>1E-8</v>
      </c>
      <c r="L4852" s="23">
        <v>0</v>
      </c>
    </row>
    <row r="4853" spans="1:12" ht="15.35" hidden="1" x14ac:dyDescent="0.55000000000000004">
      <c r="A4853" s="20">
        <v>13359</v>
      </c>
      <c r="B4853" s="2" t="s">
        <v>180</v>
      </c>
      <c r="C4853" s="2" t="s">
        <v>181</v>
      </c>
      <c r="D4853" s="20">
        <v>0</v>
      </c>
      <c r="E4853" s="2" t="s">
        <v>838</v>
      </c>
      <c r="F4853" s="2" t="s">
        <v>793</v>
      </c>
      <c r="G4853" s="2" t="s">
        <v>4239</v>
      </c>
      <c r="H4853" s="2" t="s">
        <v>4239</v>
      </c>
      <c r="J4853" s="26"/>
      <c r="K4853" s="36">
        <v>1E-8</v>
      </c>
      <c r="L4853" s="23">
        <v>0</v>
      </c>
    </row>
    <row r="4854" spans="1:12" ht="15.35" hidden="1" x14ac:dyDescent="0.55000000000000004">
      <c r="A4854" s="20">
        <v>13358</v>
      </c>
      <c r="B4854" s="2" t="s">
        <v>180</v>
      </c>
      <c r="C4854" s="2" t="s">
        <v>181</v>
      </c>
      <c r="D4854" s="20">
        <v>0</v>
      </c>
      <c r="E4854" s="2" t="s">
        <v>838</v>
      </c>
      <c r="F4854" s="2" t="s">
        <v>793</v>
      </c>
      <c r="G4854" s="2" t="s">
        <v>4240</v>
      </c>
      <c r="H4854" s="2" t="s">
        <v>4240</v>
      </c>
      <c r="J4854" s="26"/>
      <c r="K4854" s="36">
        <v>1E-8</v>
      </c>
      <c r="L4854" s="23">
        <v>0</v>
      </c>
    </row>
    <row r="4855" spans="1:12" ht="15.35" hidden="1" x14ac:dyDescent="0.55000000000000004">
      <c r="A4855" s="20">
        <v>13363</v>
      </c>
      <c r="B4855" s="2" t="s">
        <v>180</v>
      </c>
      <c r="C4855" s="2" t="s">
        <v>181</v>
      </c>
      <c r="D4855" s="20">
        <v>0</v>
      </c>
      <c r="E4855" s="2" t="s">
        <v>838</v>
      </c>
      <c r="F4855" s="2" t="s">
        <v>793</v>
      </c>
      <c r="G4855" s="2" t="s">
        <v>4241</v>
      </c>
      <c r="H4855" s="2" t="s">
        <v>4241</v>
      </c>
      <c r="J4855" s="26"/>
      <c r="K4855" s="36">
        <v>1E-8</v>
      </c>
      <c r="L4855" s="23">
        <v>0</v>
      </c>
    </row>
    <row r="4856" spans="1:12" ht="15.35" hidden="1" x14ac:dyDescent="0.55000000000000004">
      <c r="A4856" s="20">
        <v>13364</v>
      </c>
      <c r="B4856" s="2" t="s">
        <v>180</v>
      </c>
      <c r="C4856" s="2" t="s">
        <v>181</v>
      </c>
      <c r="D4856" s="20">
        <v>0</v>
      </c>
      <c r="E4856" s="2" t="s">
        <v>838</v>
      </c>
      <c r="F4856" s="2" t="s">
        <v>793</v>
      </c>
      <c r="G4856" s="2" t="s">
        <v>4242</v>
      </c>
      <c r="H4856" s="2" t="s">
        <v>4242</v>
      </c>
      <c r="J4856" s="26"/>
      <c r="K4856" s="36">
        <v>1E-8</v>
      </c>
      <c r="L4856" s="23">
        <v>0</v>
      </c>
    </row>
    <row r="4857" spans="1:12" ht="15.35" hidden="1" x14ac:dyDescent="0.55000000000000004">
      <c r="A4857" s="20">
        <v>13000</v>
      </c>
      <c r="B4857" s="2" t="s">
        <v>180</v>
      </c>
      <c r="C4857" s="2" t="s">
        <v>181</v>
      </c>
      <c r="D4857" s="20">
        <v>0</v>
      </c>
      <c r="E4857" s="2" t="s">
        <v>838</v>
      </c>
      <c r="F4857" s="2" t="s">
        <v>848</v>
      </c>
      <c r="G4857" s="2" t="s">
        <v>1096</v>
      </c>
      <c r="H4857" s="2" t="s">
        <v>1096</v>
      </c>
      <c r="J4857" s="26"/>
      <c r="K4857" s="36">
        <v>1.4100000000000001E-6</v>
      </c>
      <c r="L4857" s="23">
        <v>1.4000000000000001E-7</v>
      </c>
    </row>
    <row r="4858" spans="1:12" ht="15.35" hidden="1" x14ac:dyDescent="0.55000000000000004">
      <c r="A4858" s="20">
        <v>13044</v>
      </c>
      <c r="B4858" s="2" t="s">
        <v>180</v>
      </c>
      <c r="C4858" s="2" t="s">
        <v>181</v>
      </c>
      <c r="D4858" s="20">
        <v>0</v>
      </c>
      <c r="E4858" s="2" t="s">
        <v>838</v>
      </c>
      <c r="F4858" s="2" t="s">
        <v>848</v>
      </c>
      <c r="G4858" s="2" t="s">
        <v>1097</v>
      </c>
      <c r="H4858" s="2" t="s">
        <v>1097</v>
      </c>
      <c r="J4858" s="26"/>
      <c r="K4858" s="36">
        <v>5.7999999999999995E-7</v>
      </c>
      <c r="L4858" s="23">
        <v>5.9999999999999995E-8</v>
      </c>
    </row>
    <row r="4859" spans="1:12" ht="15.35" hidden="1" x14ac:dyDescent="0.55000000000000004">
      <c r="A4859" s="20">
        <v>13005</v>
      </c>
      <c r="B4859" s="2" t="s">
        <v>180</v>
      </c>
      <c r="C4859" s="2" t="s">
        <v>181</v>
      </c>
      <c r="D4859" s="20">
        <v>0</v>
      </c>
      <c r="E4859" s="2" t="s">
        <v>838</v>
      </c>
      <c r="F4859" s="2" t="s">
        <v>793</v>
      </c>
      <c r="G4859" s="2" t="s">
        <v>4246</v>
      </c>
      <c r="H4859" s="2" t="s">
        <v>1098</v>
      </c>
      <c r="J4859" s="26"/>
      <c r="K4859" s="36">
        <v>1.22E-6</v>
      </c>
      <c r="L4859" s="23">
        <v>1.1999999999999999E-7</v>
      </c>
    </row>
    <row r="4860" spans="1:12" ht="15.35" hidden="1" x14ac:dyDescent="0.55000000000000004">
      <c r="A4860" s="20">
        <v>12979</v>
      </c>
      <c r="B4860" s="2" t="s">
        <v>180</v>
      </c>
      <c r="C4860" s="2" t="s">
        <v>181</v>
      </c>
      <c r="D4860" s="20">
        <v>0</v>
      </c>
      <c r="E4860" s="2" t="s">
        <v>838</v>
      </c>
      <c r="F4860" s="2" t="s">
        <v>787</v>
      </c>
      <c r="G4860" s="2" t="s">
        <v>1098</v>
      </c>
      <c r="H4860" s="2" t="s">
        <v>1098</v>
      </c>
      <c r="J4860" s="26"/>
      <c r="K4860" s="36">
        <v>1.7E-6</v>
      </c>
      <c r="L4860" s="23">
        <v>1.6999999999999999E-7</v>
      </c>
    </row>
    <row r="4861" spans="1:12" ht="15.35" hidden="1" x14ac:dyDescent="0.55000000000000004">
      <c r="A4861" s="20">
        <v>13100</v>
      </c>
      <c r="B4861" s="2" t="s">
        <v>180</v>
      </c>
      <c r="C4861" s="2" t="s">
        <v>181</v>
      </c>
      <c r="D4861" s="20">
        <v>0</v>
      </c>
      <c r="E4861" s="2" t="s">
        <v>838</v>
      </c>
      <c r="F4861" s="2" t="s">
        <v>793</v>
      </c>
      <c r="G4861" s="2" t="s">
        <v>4487</v>
      </c>
      <c r="H4861" s="2" t="s">
        <v>1098</v>
      </c>
      <c r="J4861" s="26"/>
      <c r="K4861" s="36">
        <v>2.9999999999999999E-7</v>
      </c>
      <c r="L4861" s="23">
        <v>2.9999999999999997E-8</v>
      </c>
    </row>
    <row r="4862" spans="1:12" ht="15.35" hidden="1" x14ac:dyDescent="0.55000000000000004">
      <c r="A4862" s="20">
        <v>13143</v>
      </c>
      <c r="B4862" s="2" t="s">
        <v>180</v>
      </c>
      <c r="C4862" s="2" t="s">
        <v>181</v>
      </c>
      <c r="D4862" s="20">
        <v>0</v>
      </c>
      <c r="E4862" s="2" t="s">
        <v>838</v>
      </c>
      <c r="F4862" s="2" t="s">
        <v>793</v>
      </c>
      <c r="G4862" s="2" t="s">
        <v>4488</v>
      </c>
      <c r="H4862" s="2" t="s">
        <v>1098</v>
      </c>
      <c r="J4862" s="26"/>
      <c r="K4862" s="36">
        <v>1.4999999999999999E-7</v>
      </c>
      <c r="L4862" s="23">
        <v>2E-8</v>
      </c>
    </row>
    <row r="4863" spans="1:12" ht="15.35" hidden="1" x14ac:dyDescent="0.55000000000000004">
      <c r="A4863" s="20">
        <v>13274</v>
      </c>
      <c r="B4863" s="2" t="s">
        <v>180</v>
      </c>
      <c r="C4863" s="2" t="s">
        <v>181</v>
      </c>
      <c r="D4863" s="20">
        <v>0</v>
      </c>
      <c r="E4863" s="2" t="s">
        <v>838</v>
      </c>
      <c r="F4863" s="2" t="s">
        <v>793</v>
      </c>
      <c r="G4863" s="2" t="s">
        <v>4489</v>
      </c>
      <c r="H4863" s="2" t="s">
        <v>1098</v>
      </c>
      <c r="J4863" s="26"/>
      <c r="K4863" s="36">
        <v>2E-8</v>
      </c>
      <c r="L4863" s="23">
        <v>0</v>
      </c>
    </row>
    <row r="4864" spans="1:12" ht="15.35" hidden="1" x14ac:dyDescent="0.55000000000000004">
      <c r="A4864" s="20">
        <v>13275</v>
      </c>
      <c r="B4864" s="2" t="s">
        <v>180</v>
      </c>
      <c r="C4864" s="2" t="s">
        <v>181</v>
      </c>
      <c r="D4864" s="20">
        <v>0</v>
      </c>
      <c r="E4864" s="2" t="s">
        <v>838</v>
      </c>
      <c r="F4864" s="2" t="s">
        <v>793</v>
      </c>
      <c r="G4864" s="2" t="s">
        <v>4490</v>
      </c>
      <c r="H4864" s="2" t="s">
        <v>1098</v>
      </c>
      <c r="J4864" s="26"/>
      <c r="K4864" s="36">
        <v>2E-8</v>
      </c>
      <c r="L4864" s="23">
        <v>0</v>
      </c>
    </row>
    <row r="4865" spans="1:12" ht="15.35" hidden="1" x14ac:dyDescent="0.55000000000000004">
      <c r="A4865" s="20">
        <v>13104</v>
      </c>
      <c r="B4865" s="2" t="s">
        <v>180</v>
      </c>
      <c r="C4865" s="2" t="s">
        <v>181</v>
      </c>
      <c r="D4865" s="20">
        <v>0</v>
      </c>
      <c r="E4865" s="2" t="s">
        <v>838</v>
      </c>
      <c r="F4865" s="2" t="s">
        <v>793</v>
      </c>
      <c r="G4865" s="2" t="s">
        <v>2965</v>
      </c>
      <c r="H4865" s="2" t="s">
        <v>1098</v>
      </c>
      <c r="J4865" s="26"/>
      <c r="K4865" s="36">
        <v>2.7000000000000001E-7</v>
      </c>
      <c r="L4865" s="23">
        <v>2.9999999999999997E-8</v>
      </c>
    </row>
    <row r="4866" spans="1:12" ht="15.35" hidden="1" x14ac:dyDescent="0.55000000000000004">
      <c r="A4866" s="20">
        <v>13126</v>
      </c>
      <c r="B4866" s="2" t="s">
        <v>180</v>
      </c>
      <c r="C4866" s="2" t="s">
        <v>181</v>
      </c>
      <c r="D4866" s="20">
        <v>0</v>
      </c>
      <c r="E4866" s="2" t="s">
        <v>838</v>
      </c>
      <c r="F4866" s="2" t="s">
        <v>793</v>
      </c>
      <c r="G4866" s="2" t="s">
        <v>2966</v>
      </c>
      <c r="H4866" s="2" t="s">
        <v>1098</v>
      </c>
      <c r="J4866" s="26"/>
      <c r="K4866" s="36">
        <v>1.9000000000000001E-7</v>
      </c>
      <c r="L4866" s="23">
        <v>2E-8</v>
      </c>
    </row>
    <row r="4867" spans="1:12" ht="15.35" hidden="1" x14ac:dyDescent="0.55000000000000004">
      <c r="A4867" s="20">
        <v>13324</v>
      </c>
      <c r="B4867" s="2" t="s">
        <v>180</v>
      </c>
      <c r="C4867" s="2" t="s">
        <v>181</v>
      </c>
      <c r="D4867" s="20">
        <v>0</v>
      </c>
      <c r="E4867" s="2" t="s">
        <v>838</v>
      </c>
      <c r="F4867" s="2" t="s">
        <v>817</v>
      </c>
      <c r="G4867" s="2" t="s">
        <v>4247</v>
      </c>
      <c r="H4867" s="2" t="s">
        <v>983</v>
      </c>
      <c r="J4867" s="26"/>
      <c r="K4867" s="36">
        <v>2E-8</v>
      </c>
      <c r="L4867" s="23">
        <v>0</v>
      </c>
    </row>
    <row r="4868" spans="1:12" ht="15.35" hidden="1" x14ac:dyDescent="0.55000000000000004">
      <c r="A4868" s="20">
        <v>13331</v>
      </c>
      <c r="B4868" s="2" t="s">
        <v>180</v>
      </c>
      <c r="C4868" s="2" t="s">
        <v>181</v>
      </c>
      <c r="D4868" s="20">
        <v>0</v>
      </c>
      <c r="E4868" s="2" t="s">
        <v>838</v>
      </c>
      <c r="F4868" s="2" t="s">
        <v>793</v>
      </c>
      <c r="G4868" s="2" t="s">
        <v>2967</v>
      </c>
      <c r="H4868" s="2" t="s">
        <v>983</v>
      </c>
      <c r="J4868" s="26"/>
      <c r="K4868" s="36">
        <v>1E-8</v>
      </c>
      <c r="L4868" s="23">
        <v>0</v>
      </c>
    </row>
    <row r="4869" spans="1:12" ht="15.35" hidden="1" x14ac:dyDescent="0.55000000000000004">
      <c r="A4869" s="20">
        <v>13330</v>
      </c>
      <c r="B4869" s="2" t="s">
        <v>180</v>
      </c>
      <c r="C4869" s="2" t="s">
        <v>181</v>
      </c>
      <c r="D4869" s="20">
        <v>0</v>
      </c>
      <c r="E4869" s="2" t="s">
        <v>838</v>
      </c>
      <c r="F4869" s="2" t="s">
        <v>793</v>
      </c>
      <c r="G4869" s="2" t="s">
        <v>2968</v>
      </c>
      <c r="H4869" s="2" t="s">
        <v>983</v>
      </c>
      <c r="J4869" s="26"/>
      <c r="K4869" s="36">
        <v>1E-8</v>
      </c>
      <c r="L4869" s="23">
        <v>0</v>
      </c>
    </row>
    <row r="4870" spans="1:12" ht="15.35" hidden="1" x14ac:dyDescent="0.55000000000000004">
      <c r="A4870" s="20">
        <v>13332</v>
      </c>
      <c r="B4870" s="2" t="s">
        <v>180</v>
      </c>
      <c r="C4870" s="2" t="s">
        <v>181</v>
      </c>
      <c r="D4870" s="20">
        <v>0</v>
      </c>
      <c r="E4870" s="2" t="s">
        <v>838</v>
      </c>
      <c r="F4870" s="2" t="s">
        <v>793</v>
      </c>
      <c r="G4870" s="2" t="s">
        <v>2971</v>
      </c>
      <c r="H4870" s="2" t="s">
        <v>983</v>
      </c>
      <c r="J4870" s="26"/>
      <c r="K4870" s="36">
        <v>1E-8</v>
      </c>
      <c r="L4870" s="23">
        <v>0</v>
      </c>
    </row>
    <row r="4871" spans="1:12" ht="15.35" x14ac:dyDescent="0.55000000000000004">
      <c r="A4871" s="20">
        <v>12969</v>
      </c>
      <c r="B4871" s="2" t="s">
        <v>180</v>
      </c>
      <c r="C4871" s="2" t="s">
        <v>181</v>
      </c>
      <c r="D4871" s="20">
        <v>0</v>
      </c>
      <c r="E4871" s="2" t="s">
        <v>838</v>
      </c>
      <c r="F4871" s="2" t="s">
        <v>833</v>
      </c>
      <c r="G4871" s="2" t="s">
        <v>4491</v>
      </c>
      <c r="J4871" s="26"/>
      <c r="K4871" s="36">
        <v>1.7E-6</v>
      </c>
      <c r="L4871" s="23">
        <v>1.6999999999999999E-7</v>
      </c>
    </row>
    <row r="4872" spans="1:12" ht="15.35" hidden="1" x14ac:dyDescent="0.55000000000000004">
      <c r="A4872" s="20">
        <v>13222</v>
      </c>
      <c r="B4872" s="2" t="s">
        <v>180</v>
      </c>
      <c r="C4872" s="2" t="s">
        <v>181</v>
      </c>
      <c r="D4872" s="20">
        <v>0</v>
      </c>
      <c r="E4872" s="2" t="s">
        <v>838</v>
      </c>
      <c r="F4872" s="2" t="s">
        <v>793</v>
      </c>
      <c r="G4872" s="2" t="s">
        <v>4492</v>
      </c>
      <c r="H4872" s="2" t="s">
        <v>4492</v>
      </c>
      <c r="J4872" s="26"/>
      <c r="K4872" s="36">
        <v>4.0000000000000001E-8</v>
      </c>
      <c r="L4872" s="23">
        <v>0</v>
      </c>
    </row>
    <row r="4873" spans="1:12" ht="15.35" hidden="1" x14ac:dyDescent="0.55000000000000004">
      <c r="A4873" s="20">
        <v>13106</v>
      </c>
      <c r="B4873" s="2" t="s">
        <v>180</v>
      </c>
      <c r="C4873" s="2" t="s">
        <v>181</v>
      </c>
      <c r="D4873" s="20">
        <v>0</v>
      </c>
      <c r="E4873" s="2" t="s">
        <v>838</v>
      </c>
      <c r="F4873" s="2" t="s">
        <v>793</v>
      </c>
      <c r="G4873" s="2" t="s">
        <v>1414</v>
      </c>
      <c r="H4873" s="2" t="s">
        <v>1414</v>
      </c>
      <c r="J4873" s="26"/>
      <c r="K4873" s="36">
        <v>2.6E-7</v>
      </c>
      <c r="L4873" s="23">
        <v>2.9999999999999997E-8</v>
      </c>
    </row>
    <row r="4874" spans="1:12" ht="15.35" hidden="1" x14ac:dyDescent="0.55000000000000004">
      <c r="A4874" s="20">
        <v>13224</v>
      </c>
      <c r="B4874" s="2" t="s">
        <v>180</v>
      </c>
      <c r="C4874" s="2" t="s">
        <v>181</v>
      </c>
      <c r="D4874" s="20">
        <v>0</v>
      </c>
      <c r="E4874" s="2" t="s">
        <v>838</v>
      </c>
      <c r="F4874" s="2" t="s">
        <v>793</v>
      </c>
      <c r="G4874" s="2" t="s">
        <v>4493</v>
      </c>
      <c r="H4874" s="2" t="s">
        <v>4493</v>
      </c>
      <c r="J4874" s="26"/>
      <c r="K4874" s="36">
        <v>4.0000000000000001E-8</v>
      </c>
      <c r="L4874" s="23">
        <v>0</v>
      </c>
    </row>
    <row r="4875" spans="1:12" ht="15.35" hidden="1" x14ac:dyDescent="0.55000000000000004">
      <c r="A4875" s="20">
        <v>13226</v>
      </c>
      <c r="B4875" s="2" t="s">
        <v>180</v>
      </c>
      <c r="C4875" s="2" t="s">
        <v>181</v>
      </c>
      <c r="D4875" s="20">
        <v>0</v>
      </c>
      <c r="E4875" s="2" t="s">
        <v>838</v>
      </c>
      <c r="F4875" s="2" t="s">
        <v>793</v>
      </c>
      <c r="G4875" s="2" t="s">
        <v>1416</v>
      </c>
      <c r="H4875" s="2" t="s">
        <v>1416</v>
      </c>
      <c r="J4875" s="26"/>
      <c r="K4875" s="36">
        <v>4.0000000000000001E-8</v>
      </c>
      <c r="L4875" s="23">
        <v>0</v>
      </c>
    </row>
    <row r="4876" spans="1:12" ht="15.35" hidden="1" x14ac:dyDescent="0.55000000000000004">
      <c r="A4876" s="20">
        <v>13223</v>
      </c>
      <c r="B4876" s="2" t="s">
        <v>180</v>
      </c>
      <c r="C4876" s="2" t="s">
        <v>181</v>
      </c>
      <c r="D4876" s="20">
        <v>0</v>
      </c>
      <c r="E4876" s="2" t="s">
        <v>838</v>
      </c>
      <c r="F4876" s="2" t="s">
        <v>793</v>
      </c>
      <c r="G4876" s="2" t="s">
        <v>2986</v>
      </c>
      <c r="H4876" s="2" t="s">
        <v>2986</v>
      </c>
      <c r="J4876" s="26"/>
      <c r="K4876" s="36">
        <v>4.0000000000000001E-8</v>
      </c>
      <c r="L4876" s="23">
        <v>0</v>
      </c>
    </row>
    <row r="4877" spans="1:12" ht="15.35" hidden="1" x14ac:dyDescent="0.55000000000000004">
      <c r="A4877" s="20">
        <v>13350</v>
      </c>
      <c r="B4877" s="2" t="s">
        <v>180</v>
      </c>
      <c r="C4877" s="2" t="s">
        <v>181</v>
      </c>
      <c r="D4877" s="20">
        <v>0</v>
      </c>
      <c r="E4877" s="2" t="s">
        <v>838</v>
      </c>
      <c r="F4877" s="2" t="s">
        <v>793</v>
      </c>
      <c r="G4877" s="2" t="s">
        <v>4494</v>
      </c>
      <c r="H4877" s="2" t="s">
        <v>1301</v>
      </c>
      <c r="J4877" s="26"/>
      <c r="K4877" s="36">
        <v>1E-8</v>
      </c>
      <c r="L4877" s="23">
        <v>0</v>
      </c>
    </row>
    <row r="4878" spans="1:12" ht="15.35" hidden="1" x14ac:dyDescent="0.55000000000000004">
      <c r="A4878" s="20">
        <v>13362</v>
      </c>
      <c r="B4878" s="2" t="s">
        <v>180</v>
      </c>
      <c r="C4878" s="2" t="s">
        <v>181</v>
      </c>
      <c r="D4878" s="20">
        <v>0</v>
      </c>
      <c r="E4878" s="2" t="s">
        <v>838</v>
      </c>
      <c r="F4878" s="2" t="s">
        <v>793</v>
      </c>
      <c r="G4878" s="2" t="s">
        <v>4495</v>
      </c>
      <c r="H4878" s="2" t="s">
        <v>1301</v>
      </c>
      <c r="J4878" s="26"/>
      <c r="K4878" s="36">
        <v>1E-8</v>
      </c>
      <c r="L4878" s="23">
        <v>0</v>
      </c>
    </row>
    <row r="4879" spans="1:12" ht="15.35" hidden="1" x14ac:dyDescent="0.55000000000000004">
      <c r="A4879" s="20">
        <v>13058</v>
      </c>
      <c r="B4879" s="2" t="s">
        <v>180</v>
      </c>
      <c r="C4879" s="2" t="s">
        <v>181</v>
      </c>
      <c r="D4879" s="20">
        <v>0</v>
      </c>
      <c r="E4879" s="2" t="s">
        <v>838</v>
      </c>
      <c r="F4879" s="2" t="s">
        <v>833</v>
      </c>
      <c r="G4879" s="2" t="s">
        <v>4249</v>
      </c>
      <c r="H4879" s="2" t="s">
        <v>2125</v>
      </c>
      <c r="J4879" s="26"/>
      <c r="K4879" s="36">
        <v>5.0999999999999999E-7</v>
      </c>
      <c r="L4879" s="23">
        <v>4.9999999999999998E-8</v>
      </c>
    </row>
    <row r="4880" spans="1:12" ht="15.35" hidden="1" x14ac:dyDescent="0.55000000000000004">
      <c r="A4880" s="20">
        <v>13022</v>
      </c>
      <c r="B4880" s="2" t="s">
        <v>180</v>
      </c>
      <c r="C4880" s="2" t="s">
        <v>181</v>
      </c>
      <c r="D4880" s="20">
        <v>0</v>
      </c>
      <c r="E4880" s="2" t="s">
        <v>838</v>
      </c>
      <c r="F4880" s="2" t="s">
        <v>833</v>
      </c>
      <c r="G4880" s="2" t="s">
        <v>4496</v>
      </c>
      <c r="H4880" s="2" t="s">
        <v>2125</v>
      </c>
      <c r="J4880" s="26"/>
      <c r="K4880" s="36">
        <v>8.7000000000000003E-7</v>
      </c>
      <c r="L4880" s="23">
        <v>8.9999999999999999E-8</v>
      </c>
    </row>
    <row r="4881" spans="1:12" ht="15.35" hidden="1" x14ac:dyDescent="0.55000000000000004">
      <c r="A4881" s="20">
        <v>13145</v>
      </c>
      <c r="B4881" s="2" t="s">
        <v>180</v>
      </c>
      <c r="C4881" s="2" t="s">
        <v>181</v>
      </c>
      <c r="D4881" s="20">
        <v>0</v>
      </c>
      <c r="E4881" s="2" t="s">
        <v>838</v>
      </c>
      <c r="F4881" s="2" t="s">
        <v>833</v>
      </c>
      <c r="G4881" s="2" t="s">
        <v>4497</v>
      </c>
      <c r="H4881" s="2" t="s">
        <v>2125</v>
      </c>
      <c r="J4881" s="26"/>
      <c r="K4881" s="36">
        <v>1.4999999999999999E-7</v>
      </c>
      <c r="L4881" s="23">
        <v>1E-8</v>
      </c>
    </row>
    <row r="4882" spans="1:12" ht="15.35" hidden="1" x14ac:dyDescent="0.55000000000000004">
      <c r="A4882" s="20">
        <v>13124</v>
      </c>
      <c r="B4882" s="2" t="s">
        <v>180</v>
      </c>
      <c r="C4882" s="2" t="s">
        <v>181</v>
      </c>
      <c r="D4882" s="20">
        <v>0</v>
      </c>
      <c r="E4882" s="2" t="s">
        <v>838</v>
      </c>
      <c r="F4882" s="2" t="s">
        <v>833</v>
      </c>
      <c r="G4882" s="2" t="s">
        <v>4497</v>
      </c>
      <c r="H4882" s="2" t="s">
        <v>2125</v>
      </c>
      <c r="J4882" s="26"/>
      <c r="K4882" s="36">
        <v>1.9000000000000001E-7</v>
      </c>
      <c r="L4882" s="23">
        <v>2E-8</v>
      </c>
    </row>
    <row r="4883" spans="1:12" ht="15.35" hidden="1" x14ac:dyDescent="0.55000000000000004">
      <c r="A4883" s="20">
        <v>13120</v>
      </c>
      <c r="B4883" s="2" t="s">
        <v>180</v>
      </c>
      <c r="C4883" s="2" t="s">
        <v>181</v>
      </c>
      <c r="D4883" s="20">
        <v>0</v>
      </c>
      <c r="E4883" s="2" t="s">
        <v>838</v>
      </c>
      <c r="F4883" s="2" t="s">
        <v>833</v>
      </c>
      <c r="G4883" s="2" t="s">
        <v>4497</v>
      </c>
      <c r="H4883" s="2" t="s">
        <v>2125</v>
      </c>
      <c r="J4883" s="26"/>
      <c r="K4883" s="36">
        <v>2.1E-7</v>
      </c>
      <c r="L4883" s="23">
        <v>2E-8</v>
      </c>
    </row>
    <row r="4884" spans="1:12" ht="15.35" hidden="1" x14ac:dyDescent="0.55000000000000004">
      <c r="A4884" s="20">
        <v>13175</v>
      </c>
      <c r="B4884" s="2" t="s">
        <v>180</v>
      </c>
      <c r="C4884" s="2" t="s">
        <v>181</v>
      </c>
      <c r="D4884" s="20">
        <v>0</v>
      </c>
      <c r="E4884" s="2" t="s">
        <v>838</v>
      </c>
      <c r="F4884" s="2" t="s">
        <v>833</v>
      </c>
      <c r="G4884" s="2" t="s">
        <v>4497</v>
      </c>
      <c r="H4884" s="2" t="s">
        <v>2125</v>
      </c>
      <c r="J4884" s="26"/>
      <c r="K4884" s="36">
        <v>9.9999999999999995E-8</v>
      </c>
      <c r="L4884" s="23">
        <v>1E-8</v>
      </c>
    </row>
    <row r="4885" spans="1:12" ht="15.35" hidden="1" x14ac:dyDescent="0.55000000000000004">
      <c r="A4885" s="20">
        <v>13081</v>
      </c>
      <c r="B4885" s="2" t="s">
        <v>180</v>
      </c>
      <c r="C4885" s="2" t="s">
        <v>181</v>
      </c>
      <c r="D4885" s="20">
        <v>0</v>
      </c>
      <c r="E4885" s="2" t="s">
        <v>838</v>
      </c>
      <c r="F4885" s="2" t="s">
        <v>833</v>
      </c>
      <c r="G4885" s="2" t="s">
        <v>4255</v>
      </c>
      <c r="H4885" s="2" t="s">
        <v>2125</v>
      </c>
      <c r="J4885" s="26"/>
      <c r="K4885" s="36">
        <v>3.9000000000000002E-7</v>
      </c>
      <c r="L4885" s="23">
        <v>4.0000000000000001E-8</v>
      </c>
    </row>
    <row r="4886" spans="1:12" ht="15.35" hidden="1" x14ac:dyDescent="0.55000000000000004">
      <c r="A4886" s="20">
        <v>12947</v>
      </c>
      <c r="B4886" s="2" t="s">
        <v>180</v>
      </c>
      <c r="C4886" s="2" t="s">
        <v>181</v>
      </c>
      <c r="D4886" s="20">
        <v>0</v>
      </c>
      <c r="E4886" s="2" t="s">
        <v>838</v>
      </c>
      <c r="F4886" s="2" t="s">
        <v>833</v>
      </c>
      <c r="G4886" s="2" t="s">
        <v>3744</v>
      </c>
      <c r="H4886" s="2" t="s">
        <v>2125</v>
      </c>
      <c r="J4886" s="26"/>
      <c r="K4886" s="36">
        <v>1.7E-6</v>
      </c>
      <c r="L4886" s="23">
        <v>1.6999999999999999E-7</v>
      </c>
    </row>
    <row r="4887" spans="1:12" ht="15.35" hidden="1" x14ac:dyDescent="0.55000000000000004">
      <c r="A4887" s="20">
        <v>13029</v>
      </c>
      <c r="B4887" s="2" t="s">
        <v>180</v>
      </c>
      <c r="C4887" s="2" t="s">
        <v>181</v>
      </c>
      <c r="D4887" s="20">
        <v>0</v>
      </c>
      <c r="E4887" s="2" t="s">
        <v>838</v>
      </c>
      <c r="F4887" s="2" t="s">
        <v>833</v>
      </c>
      <c r="G4887" s="2" t="s">
        <v>3745</v>
      </c>
      <c r="H4887" s="2" t="s">
        <v>2125</v>
      </c>
      <c r="J4887" s="26"/>
      <c r="K4887" s="36">
        <v>7.8000000000000005E-7</v>
      </c>
      <c r="L4887" s="23">
        <v>8.0000000000000002E-8</v>
      </c>
    </row>
    <row r="4888" spans="1:12" ht="15.35" hidden="1" x14ac:dyDescent="0.55000000000000004">
      <c r="A4888" s="20">
        <v>12957</v>
      </c>
      <c r="B4888" s="2" t="s">
        <v>180</v>
      </c>
      <c r="C4888" s="2" t="s">
        <v>181</v>
      </c>
      <c r="D4888" s="20">
        <v>0</v>
      </c>
      <c r="E4888" s="2" t="s">
        <v>838</v>
      </c>
      <c r="F4888" s="2" t="s">
        <v>833</v>
      </c>
      <c r="G4888" s="2" t="s">
        <v>3747</v>
      </c>
      <c r="H4888" s="2" t="s">
        <v>2125</v>
      </c>
      <c r="J4888" s="26"/>
      <c r="K4888" s="36">
        <v>1.7E-6</v>
      </c>
      <c r="L4888" s="23">
        <v>1.6999999999999999E-7</v>
      </c>
    </row>
    <row r="4889" spans="1:12" ht="15.35" hidden="1" x14ac:dyDescent="0.55000000000000004">
      <c r="A4889" s="20">
        <v>13008</v>
      </c>
      <c r="B4889" s="2" t="s">
        <v>180</v>
      </c>
      <c r="C4889" s="2" t="s">
        <v>181</v>
      </c>
      <c r="D4889" s="20">
        <v>0</v>
      </c>
      <c r="E4889" s="2" t="s">
        <v>838</v>
      </c>
      <c r="F4889" s="2" t="s">
        <v>833</v>
      </c>
      <c r="G4889" s="2" t="s">
        <v>3749</v>
      </c>
      <c r="H4889" s="2" t="s">
        <v>2125</v>
      </c>
      <c r="J4889" s="26"/>
      <c r="K4889" s="36">
        <v>1.1599999999999999E-6</v>
      </c>
      <c r="L4889" s="23">
        <v>1.1999999999999999E-7</v>
      </c>
    </row>
    <row r="4890" spans="1:12" ht="15.35" hidden="1" x14ac:dyDescent="0.55000000000000004">
      <c r="A4890" s="20">
        <v>13101</v>
      </c>
      <c r="B4890" s="2" t="s">
        <v>180</v>
      </c>
      <c r="C4890" s="2" t="s">
        <v>181</v>
      </c>
      <c r="D4890" s="20">
        <v>0</v>
      </c>
      <c r="E4890" s="2" t="s">
        <v>838</v>
      </c>
      <c r="F4890" s="2" t="s">
        <v>833</v>
      </c>
      <c r="G4890" s="2" t="s">
        <v>3750</v>
      </c>
      <c r="H4890" s="2" t="s">
        <v>2125</v>
      </c>
      <c r="J4890" s="26"/>
      <c r="K4890" s="36">
        <v>2.8999999999999998E-7</v>
      </c>
      <c r="L4890" s="23">
        <v>2.9999999999999997E-8</v>
      </c>
    </row>
    <row r="4891" spans="1:12" ht="15.35" hidden="1" x14ac:dyDescent="0.55000000000000004">
      <c r="A4891" s="20">
        <v>13007</v>
      </c>
      <c r="B4891" s="2" t="s">
        <v>180</v>
      </c>
      <c r="C4891" s="2" t="s">
        <v>181</v>
      </c>
      <c r="D4891" s="20">
        <v>0</v>
      </c>
      <c r="E4891" s="2" t="s">
        <v>838</v>
      </c>
      <c r="F4891" s="2" t="s">
        <v>833</v>
      </c>
      <c r="G4891" s="2" t="s">
        <v>3751</v>
      </c>
      <c r="H4891" s="2" t="s">
        <v>2125</v>
      </c>
      <c r="J4891" s="26"/>
      <c r="K4891" s="36">
        <v>1.1599999999999999E-6</v>
      </c>
      <c r="L4891" s="23">
        <v>1.1999999999999999E-7</v>
      </c>
    </row>
    <row r="4892" spans="1:12" ht="15.35" hidden="1" x14ac:dyDescent="0.55000000000000004">
      <c r="A4892" s="20">
        <v>13080</v>
      </c>
      <c r="B4892" s="2" t="s">
        <v>180</v>
      </c>
      <c r="C4892" s="2" t="s">
        <v>181</v>
      </c>
      <c r="D4892" s="20">
        <v>0</v>
      </c>
      <c r="E4892" s="2" t="s">
        <v>838</v>
      </c>
      <c r="F4892" s="2" t="s">
        <v>833</v>
      </c>
      <c r="G4892" s="2" t="s">
        <v>3752</v>
      </c>
      <c r="H4892" s="2" t="s">
        <v>2125</v>
      </c>
      <c r="J4892" s="26"/>
      <c r="K4892" s="36">
        <v>3.9000000000000002E-7</v>
      </c>
      <c r="L4892" s="23">
        <v>4.0000000000000001E-8</v>
      </c>
    </row>
    <row r="4893" spans="1:12" ht="15.35" hidden="1" x14ac:dyDescent="0.55000000000000004">
      <c r="A4893" s="20">
        <v>12990</v>
      </c>
      <c r="B4893" s="2" t="s">
        <v>180</v>
      </c>
      <c r="C4893" s="2" t="s">
        <v>181</v>
      </c>
      <c r="D4893" s="20">
        <v>0</v>
      </c>
      <c r="E4893" s="2" t="s">
        <v>838</v>
      </c>
      <c r="F4893" s="2" t="s">
        <v>833</v>
      </c>
      <c r="G4893" s="2" t="s">
        <v>4256</v>
      </c>
      <c r="H4893" s="2" t="s">
        <v>2125</v>
      </c>
      <c r="J4893" s="26"/>
      <c r="K4893" s="36">
        <v>1.7E-6</v>
      </c>
      <c r="L4893" s="23">
        <v>1.6999999999999999E-7</v>
      </c>
    </row>
    <row r="4894" spans="1:12" ht="15.35" hidden="1" x14ac:dyDescent="0.55000000000000004">
      <c r="A4894" s="20">
        <v>13077</v>
      </c>
      <c r="B4894" s="2" t="s">
        <v>180</v>
      </c>
      <c r="C4894" s="2" t="s">
        <v>181</v>
      </c>
      <c r="D4894" s="20">
        <v>0</v>
      </c>
      <c r="E4894" s="2" t="s">
        <v>838</v>
      </c>
      <c r="F4894" s="2" t="s">
        <v>833</v>
      </c>
      <c r="G4894" s="2" t="s">
        <v>4257</v>
      </c>
      <c r="H4894" s="2" t="s">
        <v>2125</v>
      </c>
      <c r="J4894" s="26"/>
      <c r="K4894" s="36">
        <v>3.9000000000000002E-7</v>
      </c>
      <c r="L4894" s="23">
        <v>4.0000000000000001E-8</v>
      </c>
    </row>
    <row r="4895" spans="1:12" ht="15.35" hidden="1" x14ac:dyDescent="0.55000000000000004">
      <c r="A4895" s="20">
        <v>13030</v>
      </c>
      <c r="B4895" s="2" t="s">
        <v>180</v>
      </c>
      <c r="C4895" s="2" t="s">
        <v>181</v>
      </c>
      <c r="D4895" s="20">
        <v>0</v>
      </c>
      <c r="E4895" s="2" t="s">
        <v>838</v>
      </c>
      <c r="F4895" s="2" t="s">
        <v>833</v>
      </c>
      <c r="G4895" s="2" t="s">
        <v>4258</v>
      </c>
      <c r="H4895" s="2" t="s">
        <v>2125</v>
      </c>
      <c r="J4895" s="26"/>
      <c r="K4895" s="36">
        <v>7.8000000000000005E-7</v>
      </c>
      <c r="L4895" s="23">
        <v>8.0000000000000002E-8</v>
      </c>
    </row>
    <row r="4896" spans="1:12" ht="15.35" hidden="1" x14ac:dyDescent="0.55000000000000004">
      <c r="A4896" s="20">
        <v>13013</v>
      </c>
      <c r="B4896" s="2" t="s">
        <v>180</v>
      </c>
      <c r="C4896" s="2" t="s">
        <v>181</v>
      </c>
      <c r="D4896" s="20">
        <v>0</v>
      </c>
      <c r="E4896" s="2" t="s">
        <v>838</v>
      </c>
      <c r="F4896" s="2" t="s">
        <v>833</v>
      </c>
      <c r="G4896" s="2" t="s">
        <v>4498</v>
      </c>
      <c r="H4896" s="2" t="s">
        <v>2125</v>
      </c>
      <c r="J4896" s="26"/>
      <c r="K4896" s="36">
        <v>9.7000000000000003E-7</v>
      </c>
      <c r="L4896" s="23">
        <v>9.9999999999999995E-8</v>
      </c>
    </row>
    <row r="4897" spans="1:12" ht="15.35" hidden="1" x14ac:dyDescent="0.55000000000000004">
      <c r="A4897" s="20">
        <v>13049</v>
      </c>
      <c r="B4897" s="2" t="s">
        <v>180</v>
      </c>
      <c r="C4897" s="2" t="s">
        <v>181</v>
      </c>
      <c r="D4897" s="20">
        <v>0</v>
      </c>
      <c r="E4897" s="2" t="s">
        <v>838</v>
      </c>
      <c r="F4897" s="2" t="s">
        <v>833</v>
      </c>
      <c r="G4897" s="2" t="s">
        <v>4499</v>
      </c>
      <c r="H4897" s="2" t="s">
        <v>2125</v>
      </c>
      <c r="J4897" s="26"/>
      <c r="K4897" s="36">
        <v>5.3000000000000001E-7</v>
      </c>
      <c r="L4897" s="23">
        <v>4.9999999999999998E-8</v>
      </c>
    </row>
    <row r="4898" spans="1:12" ht="15.35" hidden="1" x14ac:dyDescent="0.55000000000000004">
      <c r="A4898" s="20">
        <v>13019</v>
      </c>
      <c r="B4898" s="2" t="s">
        <v>180</v>
      </c>
      <c r="C4898" s="2" t="s">
        <v>181</v>
      </c>
      <c r="D4898" s="20">
        <v>0</v>
      </c>
      <c r="E4898" s="2" t="s">
        <v>838</v>
      </c>
      <c r="F4898" s="2" t="s">
        <v>833</v>
      </c>
      <c r="G4898" s="2" t="s">
        <v>4500</v>
      </c>
      <c r="H4898" s="2" t="s">
        <v>2125</v>
      </c>
      <c r="J4898" s="26"/>
      <c r="K4898" s="36">
        <v>8.7000000000000003E-7</v>
      </c>
      <c r="L4898" s="23">
        <v>8.9999999999999999E-8</v>
      </c>
    </row>
    <row r="4899" spans="1:12" ht="15.35" hidden="1" x14ac:dyDescent="0.55000000000000004">
      <c r="A4899" s="20">
        <v>13125</v>
      </c>
      <c r="B4899" s="2" t="s">
        <v>180</v>
      </c>
      <c r="C4899" s="2" t="s">
        <v>181</v>
      </c>
      <c r="D4899" s="20">
        <v>0</v>
      </c>
      <c r="E4899" s="2" t="s">
        <v>838</v>
      </c>
      <c r="F4899" s="2" t="s">
        <v>833</v>
      </c>
      <c r="G4899" s="2" t="s">
        <v>4501</v>
      </c>
      <c r="H4899" s="2" t="s">
        <v>2125</v>
      </c>
      <c r="J4899" s="26"/>
      <c r="K4899" s="36">
        <v>1.9000000000000001E-7</v>
      </c>
      <c r="L4899" s="23">
        <v>2E-8</v>
      </c>
    </row>
    <row r="4900" spans="1:12" ht="15.35" hidden="1" x14ac:dyDescent="0.55000000000000004">
      <c r="A4900" s="20">
        <v>13128</v>
      </c>
      <c r="B4900" s="2" t="s">
        <v>180</v>
      </c>
      <c r="C4900" s="2" t="s">
        <v>181</v>
      </c>
      <c r="D4900" s="20">
        <v>0</v>
      </c>
      <c r="E4900" s="2" t="s">
        <v>838</v>
      </c>
      <c r="F4900" s="2" t="s">
        <v>833</v>
      </c>
      <c r="G4900" s="2" t="s">
        <v>4502</v>
      </c>
      <c r="H4900" s="2" t="s">
        <v>2125</v>
      </c>
      <c r="J4900" s="26"/>
      <c r="K4900" s="36">
        <v>1.9000000000000001E-7</v>
      </c>
      <c r="L4900" s="23">
        <v>2E-8</v>
      </c>
    </row>
    <row r="4901" spans="1:12" ht="15.35" hidden="1" x14ac:dyDescent="0.55000000000000004">
      <c r="A4901" s="20">
        <v>13024</v>
      </c>
      <c r="B4901" s="2" t="s">
        <v>180</v>
      </c>
      <c r="C4901" s="2" t="s">
        <v>181</v>
      </c>
      <c r="D4901" s="20">
        <v>0</v>
      </c>
      <c r="E4901" s="2" t="s">
        <v>838</v>
      </c>
      <c r="F4901" s="2" t="s">
        <v>833</v>
      </c>
      <c r="G4901" s="2" t="s">
        <v>4503</v>
      </c>
      <c r="H4901" s="2" t="s">
        <v>2125</v>
      </c>
      <c r="J4901" s="26"/>
      <c r="K4901" s="36">
        <v>8.5000000000000001E-7</v>
      </c>
      <c r="L4901" s="23">
        <v>8.9999999999999999E-8</v>
      </c>
    </row>
    <row r="4902" spans="1:12" ht="15.35" hidden="1" x14ac:dyDescent="0.55000000000000004">
      <c r="A4902" s="20">
        <v>13053</v>
      </c>
      <c r="B4902" s="2" t="s">
        <v>180</v>
      </c>
      <c r="C4902" s="2" t="s">
        <v>181</v>
      </c>
      <c r="D4902" s="20">
        <v>0</v>
      </c>
      <c r="E4902" s="2" t="s">
        <v>838</v>
      </c>
      <c r="F4902" s="2" t="s">
        <v>833</v>
      </c>
      <c r="G4902" s="2" t="s">
        <v>4504</v>
      </c>
      <c r="H4902" s="2" t="s">
        <v>2125</v>
      </c>
      <c r="J4902" s="26"/>
      <c r="K4902" s="36">
        <v>5.3000000000000001E-7</v>
      </c>
      <c r="L4902" s="23">
        <v>4.9999999999999998E-8</v>
      </c>
    </row>
    <row r="4903" spans="1:12" ht="15.35" hidden="1" x14ac:dyDescent="0.55000000000000004">
      <c r="A4903" s="20">
        <v>13036</v>
      </c>
      <c r="B4903" s="2" t="s">
        <v>180</v>
      </c>
      <c r="C4903" s="2" t="s">
        <v>181</v>
      </c>
      <c r="D4903" s="20">
        <v>0</v>
      </c>
      <c r="E4903" s="2" t="s">
        <v>838</v>
      </c>
      <c r="F4903" s="2" t="s">
        <v>833</v>
      </c>
      <c r="G4903" s="2" t="s">
        <v>4505</v>
      </c>
      <c r="H4903" s="2" t="s">
        <v>2125</v>
      </c>
      <c r="J4903" s="26"/>
      <c r="K4903" s="36">
        <v>6.7999999999999995E-7</v>
      </c>
      <c r="L4903" s="23">
        <v>7.0000000000000005E-8</v>
      </c>
    </row>
    <row r="4904" spans="1:12" ht="15.35" hidden="1" x14ac:dyDescent="0.55000000000000004">
      <c r="A4904" s="20">
        <v>13116</v>
      </c>
      <c r="B4904" s="2" t="s">
        <v>180</v>
      </c>
      <c r="C4904" s="2" t="s">
        <v>181</v>
      </c>
      <c r="D4904" s="20">
        <v>0</v>
      </c>
      <c r="E4904" s="2" t="s">
        <v>838</v>
      </c>
      <c r="F4904" s="2" t="s">
        <v>833</v>
      </c>
      <c r="G4904" s="2" t="s">
        <v>4506</v>
      </c>
      <c r="H4904" s="2" t="s">
        <v>2125</v>
      </c>
      <c r="J4904" s="26"/>
      <c r="K4904" s="36">
        <v>2.2999999999999999E-7</v>
      </c>
      <c r="L4904" s="23">
        <v>2E-8</v>
      </c>
    </row>
    <row r="4905" spans="1:12" ht="15.35" hidden="1" x14ac:dyDescent="0.55000000000000004">
      <c r="A4905" s="20">
        <v>12968</v>
      </c>
      <c r="B4905" s="2" t="s">
        <v>180</v>
      </c>
      <c r="C4905" s="2" t="s">
        <v>181</v>
      </c>
      <c r="D4905" s="20">
        <v>0</v>
      </c>
      <c r="E4905" s="2" t="s">
        <v>838</v>
      </c>
      <c r="F4905" s="2" t="s">
        <v>833</v>
      </c>
      <c r="G4905" s="2" t="s">
        <v>4507</v>
      </c>
      <c r="H4905" s="2" t="s">
        <v>2125</v>
      </c>
      <c r="J4905" s="26"/>
      <c r="K4905" s="36">
        <v>1.7E-6</v>
      </c>
      <c r="L4905" s="23">
        <v>1.6999999999999999E-7</v>
      </c>
    </row>
    <row r="4906" spans="1:12" ht="15.35" hidden="1" x14ac:dyDescent="0.55000000000000004">
      <c r="A4906" s="20">
        <v>13020</v>
      </c>
      <c r="B4906" s="2" t="s">
        <v>180</v>
      </c>
      <c r="C4906" s="2" t="s">
        <v>181</v>
      </c>
      <c r="D4906" s="20">
        <v>0</v>
      </c>
      <c r="E4906" s="2" t="s">
        <v>838</v>
      </c>
      <c r="F4906" s="2" t="s">
        <v>833</v>
      </c>
      <c r="G4906" s="2" t="s">
        <v>4265</v>
      </c>
      <c r="H4906" s="2" t="s">
        <v>2125</v>
      </c>
      <c r="J4906" s="26"/>
      <c r="K4906" s="36">
        <v>8.7000000000000003E-7</v>
      </c>
      <c r="L4906" s="23">
        <v>8.9999999999999999E-8</v>
      </c>
    </row>
    <row r="4907" spans="1:12" ht="15.35" hidden="1" x14ac:dyDescent="0.55000000000000004">
      <c r="A4907" s="20">
        <v>12965</v>
      </c>
      <c r="B4907" s="2" t="s">
        <v>180</v>
      </c>
      <c r="C4907" s="2" t="s">
        <v>181</v>
      </c>
      <c r="D4907" s="20">
        <v>0</v>
      </c>
      <c r="E4907" s="2" t="s">
        <v>838</v>
      </c>
      <c r="F4907" s="2" t="s">
        <v>833</v>
      </c>
      <c r="G4907" s="2" t="s">
        <v>4266</v>
      </c>
      <c r="H4907" s="2" t="s">
        <v>2125</v>
      </c>
      <c r="J4907" s="26"/>
      <c r="K4907" s="36">
        <v>1.7E-6</v>
      </c>
      <c r="L4907" s="23">
        <v>1.6999999999999999E-7</v>
      </c>
    </row>
    <row r="4908" spans="1:12" ht="15.35" hidden="1" x14ac:dyDescent="0.55000000000000004">
      <c r="A4908" s="20">
        <v>13006</v>
      </c>
      <c r="B4908" s="2" t="s">
        <v>180</v>
      </c>
      <c r="C4908" s="2" t="s">
        <v>181</v>
      </c>
      <c r="D4908" s="20">
        <v>0</v>
      </c>
      <c r="E4908" s="2" t="s">
        <v>838</v>
      </c>
      <c r="F4908" s="2" t="s">
        <v>833</v>
      </c>
      <c r="G4908" s="2" t="s">
        <v>4508</v>
      </c>
      <c r="H4908" s="2" t="s">
        <v>2125</v>
      </c>
      <c r="J4908" s="26"/>
      <c r="K4908" s="36">
        <v>1.1599999999999999E-6</v>
      </c>
      <c r="L4908" s="23">
        <v>1.1999999999999999E-7</v>
      </c>
    </row>
    <row r="4909" spans="1:12" ht="15.35" hidden="1" x14ac:dyDescent="0.55000000000000004">
      <c r="A4909" s="20">
        <v>13076</v>
      </c>
      <c r="B4909" s="2" t="s">
        <v>180</v>
      </c>
      <c r="C4909" s="2" t="s">
        <v>181</v>
      </c>
      <c r="D4909" s="20">
        <v>0</v>
      </c>
      <c r="E4909" s="2" t="s">
        <v>838</v>
      </c>
      <c r="F4909" s="2" t="s">
        <v>833</v>
      </c>
      <c r="G4909" s="2" t="s">
        <v>4267</v>
      </c>
      <c r="H4909" s="2" t="s">
        <v>2125</v>
      </c>
      <c r="J4909" s="26"/>
      <c r="K4909" s="36">
        <v>4.2E-7</v>
      </c>
      <c r="L4909" s="23">
        <v>4.0000000000000001E-8</v>
      </c>
    </row>
    <row r="4910" spans="1:12" ht="15.35" hidden="1" x14ac:dyDescent="0.55000000000000004">
      <c r="A4910" s="20">
        <v>12953</v>
      </c>
      <c r="B4910" s="2" t="s">
        <v>180</v>
      </c>
      <c r="C4910" s="2" t="s">
        <v>181</v>
      </c>
      <c r="D4910" s="20">
        <v>0</v>
      </c>
      <c r="E4910" s="2" t="s">
        <v>838</v>
      </c>
      <c r="F4910" s="2" t="s">
        <v>833</v>
      </c>
      <c r="G4910" s="2" t="s">
        <v>4268</v>
      </c>
      <c r="H4910" s="2" t="s">
        <v>2125</v>
      </c>
      <c r="J4910" s="26"/>
      <c r="K4910" s="36">
        <v>1.7E-6</v>
      </c>
      <c r="L4910" s="23">
        <v>1.6999999999999999E-7</v>
      </c>
    </row>
    <row r="4911" spans="1:12" ht="15.35" hidden="1" x14ac:dyDescent="0.55000000000000004">
      <c r="A4911" s="20">
        <v>12972</v>
      </c>
      <c r="B4911" s="2" t="s">
        <v>180</v>
      </c>
      <c r="C4911" s="2" t="s">
        <v>181</v>
      </c>
      <c r="D4911" s="20">
        <v>0</v>
      </c>
      <c r="E4911" s="2" t="s">
        <v>838</v>
      </c>
      <c r="F4911" s="2" t="s">
        <v>833</v>
      </c>
      <c r="G4911" s="2" t="s">
        <v>4269</v>
      </c>
      <c r="H4911" s="2" t="s">
        <v>2125</v>
      </c>
      <c r="J4911" s="26"/>
      <c r="K4911" s="36">
        <v>1.7E-6</v>
      </c>
      <c r="L4911" s="23">
        <v>1.6999999999999999E-7</v>
      </c>
    </row>
    <row r="4912" spans="1:12" ht="15.35" hidden="1" x14ac:dyDescent="0.55000000000000004">
      <c r="A4912" s="20">
        <v>13078</v>
      </c>
      <c r="B4912" s="2" t="s">
        <v>180</v>
      </c>
      <c r="C4912" s="2" t="s">
        <v>181</v>
      </c>
      <c r="D4912" s="20">
        <v>0</v>
      </c>
      <c r="E4912" s="2" t="s">
        <v>838</v>
      </c>
      <c r="F4912" s="2" t="s">
        <v>833</v>
      </c>
      <c r="G4912" s="2" t="s">
        <v>4270</v>
      </c>
      <c r="H4912" s="2" t="s">
        <v>2125</v>
      </c>
      <c r="J4912" s="26"/>
      <c r="K4912" s="36">
        <v>3.9000000000000002E-7</v>
      </c>
      <c r="L4912" s="23">
        <v>4.0000000000000001E-8</v>
      </c>
    </row>
    <row r="4913" spans="1:12" ht="15.35" hidden="1" x14ac:dyDescent="0.55000000000000004">
      <c r="A4913" s="20">
        <v>13045</v>
      </c>
      <c r="B4913" s="2" t="s">
        <v>180</v>
      </c>
      <c r="C4913" s="2" t="s">
        <v>181</v>
      </c>
      <c r="D4913" s="20">
        <v>0</v>
      </c>
      <c r="E4913" s="2" t="s">
        <v>838</v>
      </c>
      <c r="F4913" s="2" t="s">
        <v>833</v>
      </c>
      <c r="G4913" s="2" t="s">
        <v>4271</v>
      </c>
      <c r="H4913" s="2" t="s">
        <v>2125</v>
      </c>
      <c r="J4913" s="26"/>
      <c r="K4913" s="36">
        <v>5.7999999999999995E-7</v>
      </c>
      <c r="L4913" s="23">
        <v>5.9999999999999995E-8</v>
      </c>
    </row>
    <row r="4914" spans="1:12" ht="15.35" hidden="1" x14ac:dyDescent="0.55000000000000004">
      <c r="A4914" s="20">
        <v>13121</v>
      </c>
      <c r="B4914" s="2" t="s">
        <v>180</v>
      </c>
      <c r="C4914" s="2" t="s">
        <v>181</v>
      </c>
      <c r="D4914" s="20">
        <v>0</v>
      </c>
      <c r="E4914" s="2" t="s">
        <v>838</v>
      </c>
      <c r="F4914" s="2" t="s">
        <v>833</v>
      </c>
      <c r="G4914" s="2" t="s">
        <v>4509</v>
      </c>
      <c r="H4914" s="2" t="s">
        <v>2125</v>
      </c>
      <c r="J4914" s="26"/>
      <c r="K4914" s="36">
        <v>2.1E-7</v>
      </c>
      <c r="L4914" s="23">
        <v>2E-8</v>
      </c>
    </row>
    <row r="4915" spans="1:12" ht="15.35" hidden="1" x14ac:dyDescent="0.55000000000000004">
      <c r="A4915" s="20">
        <v>13041</v>
      </c>
      <c r="B4915" s="2" t="s">
        <v>180</v>
      </c>
      <c r="C4915" s="2" t="s">
        <v>181</v>
      </c>
      <c r="D4915" s="20">
        <v>0</v>
      </c>
      <c r="E4915" s="2" t="s">
        <v>838</v>
      </c>
      <c r="F4915" s="2" t="s">
        <v>833</v>
      </c>
      <c r="G4915" s="2" t="s">
        <v>4272</v>
      </c>
      <c r="H4915" s="2" t="s">
        <v>2125</v>
      </c>
      <c r="J4915" s="26"/>
      <c r="K4915" s="36">
        <v>5.8999999999999996E-7</v>
      </c>
      <c r="L4915" s="23">
        <v>5.9999999999999995E-8</v>
      </c>
    </row>
    <row r="4916" spans="1:12" ht="15.35" hidden="1" x14ac:dyDescent="0.55000000000000004">
      <c r="A4916" s="20">
        <v>13087</v>
      </c>
      <c r="B4916" s="2" t="s">
        <v>180</v>
      </c>
      <c r="C4916" s="2" t="s">
        <v>181</v>
      </c>
      <c r="D4916" s="20">
        <v>0</v>
      </c>
      <c r="E4916" s="2" t="s">
        <v>838</v>
      </c>
      <c r="F4916" s="2" t="s">
        <v>833</v>
      </c>
      <c r="G4916" s="2" t="s">
        <v>4510</v>
      </c>
      <c r="H4916" s="2" t="s">
        <v>2125</v>
      </c>
      <c r="J4916" s="26"/>
      <c r="K4916" s="36">
        <v>3.5999999999999999E-7</v>
      </c>
      <c r="L4916" s="23">
        <v>4.0000000000000001E-8</v>
      </c>
    </row>
    <row r="4917" spans="1:12" ht="15.35" hidden="1" x14ac:dyDescent="0.55000000000000004">
      <c r="A4917" s="20">
        <v>13099</v>
      </c>
      <c r="B4917" s="2" t="s">
        <v>180</v>
      </c>
      <c r="C4917" s="2" t="s">
        <v>181</v>
      </c>
      <c r="D4917" s="20">
        <v>0</v>
      </c>
      <c r="E4917" s="2" t="s">
        <v>838</v>
      </c>
      <c r="F4917" s="2" t="s">
        <v>833</v>
      </c>
      <c r="G4917" s="2" t="s">
        <v>4275</v>
      </c>
      <c r="H4917" s="2" t="s">
        <v>2125</v>
      </c>
      <c r="J4917" s="26"/>
      <c r="K4917" s="36">
        <v>3.1E-7</v>
      </c>
      <c r="L4917" s="23">
        <v>2.9999999999999997E-8</v>
      </c>
    </row>
    <row r="4918" spans="1:12" ht="15.35" hidden="1" x14ac:dyDescent="0.55000000000000004">
      <c r="A4918" s="20">
        <v>13064</v>
      </c>
      <c r="B4918" s="2" t="s">
        <v>180</v>
      </c>
      <c r="C4918" s="2" t="s">
        <v>181</v>
      </c>
      <c r="D4918" s="20">
        <v>0</v>
      </c>
      <c r="E4918" s="2" t="s">
        <v>838</v>
      </c>
      <c r="F4918" s="2" t="s">
        <v>833</v>
      </c>
      <c r="G4918" s="2" t="s">
        <v>4511</v>
      </c>
      <c r="H4918" s="2" t="s">
        <v>2125</v>
      </c>
      <c r="J4918" s="26"/>
      <c r="K4918" s="36">
        <v>4.4999999999999998E-7</v>
      </c>
      <c r="L4918" s="23">
        <v>4.0000000000000001E-8</v>
      </c>
    </row>
    <row r="4919" spans="1:12" ht="15.35" hidden="1" x14ac:dyDescent="0.55000000000000004">
      <c r="A4919" s="20">
        <v>13110</v>
      </c>
      <c r="B4919" s="2" t="s">
        <v>180</v>
      </c>
      <c r="C4919" s="2" t="s">
        <v>181</v>
      </c>
      <c r="D4919" s="20">
        <v>0</v>
      </c>
      <c r="E4919" s="2" t="s">
        <v>838</v>
      </c>
      <c r="F4919" s="2" t="s">
        <v>833</v>
      </c>
      <c r="G4919" s="2" t="s">
        <v>4512</v>
      </c>
      <c r="H4919" s="2" t="s">
        <v>2125</v>
      </c>
      <c r="J4919" s="26"/>
      <c r="K4919" s="36">
        <v>2.4999999999999999E-7</v>
      </c>
      <c r="L4919" s="23">
        <v>2.9999999999999997E-8</v>
      </c>
    </row>
    <row r="4920" spans="1:12" ht="15.35" hidden="1" x14ac:dyDescent="0.55000000000000004">
      <c r="A4920" s="20">
        <v>13095</v>
      </c>
      <c r="B4920" s="2" t="s">
        <v>180</v>
      </c>
      <c r="C4920" s="2" t="s">
        <v>181</v>
      </c>
      <c r="D4920" s="20">
        <v>0</v>
      </c>
      <c r="E4920" s="2" t="s">
        <v>838</v>
      </c>
      <c r="F4920" s="2" t="s">
        <v>833</v>
      </c>
      <c r="G4920" s="2" t="s">
        <v>4276</v>
      </c>
      <c r="H4920" s="2" t="s">
        <v>2125</v>
      </c>
      <c r="J4920" s="26"/>
      <c r="K4920" s="36">
        <v>3.3999999999999997E-7</v>
      </c>
      <c r="L4920" s="23">
        <v>2.9999999999999997E-8</v>
      </c>
    </row>
    <row r="4921" spans="1:12" ht="15.35" hidden="1" x14ac:dyDescent="0.55000000000000004">
      <c r="A4921" s="20">
        <v>13123</v>
      </c>
      <c r="B4921" s="2" t="s">
        <v>180</v>
      </c>
      <c r="C4921" s="2" t="s">
        <v>181</v>
      </c>
      <c r="D4921" s="20">
        <v>0</v>
      </c>
      <c r="E4921" s="2" t="s">
        <v>838</v>
      </c>
      <c r="F4921" s="2" t="s">
        <v>833</v>
      </c>
      <c r="G4921" s="2" t="s">
        <v>4277</v>
      </c>
      <c r="H4921" s="2" t="s">
        <v>2125</v>
      </c>
      <c r="J4921" s="26"/>
      <c r="K4921" s="36">
        <v>1.9000000000000001E-7</v>
      </c>
      <c r="L4921" s="23">
        <v>2E-8</v>
      </c>
    </row>
    <row r="4922" spans="1:12" ht="15.35" hidden="1" x14ac:dyDescent="0.55000000000000004">
      <c r="A4922" s="20">
        <v>12989</v>
      </c>
      <c r="B4922" s="2" t="s">
        <v>180</v>
      </c>
      <c r="C4922" s="2" t="s">
        <v>181</v>
      </c>
      <c r="D4922" s="20">
        <v>0</v>
      </c>
      <c r="E4922" s="2" t="s">
        <v>838</v>
      </c>
      <c r="F4922" s="2" t="s">
        <v>833</v>
      </c>
      <c r="G4922" s="2" t="s">
        <v>3755</v>
      </c>
      <c r="H4922" s="2" t="s">
        <v>2125</v>
      </c>
      <c r="J4922" s="26"/>
      <c r="K4922" s="36">
        <v>1.7E-6</v>
      </c>
      <c r="L4922" s="23">
        <v>1.6999999999999999E-7</v>
      </c>
    </row>
    <row r="4923" spans="1:12" ht="15.35" hidden="1" x14ac:dyDescent="0.55000000000000004">
      <c r="A4923" s="20">
        <v>13075</v>
      </c>
      <c r="B4923" s="2" t="s">
        <v>180</v>
      </c>
      <c r="C4923" s="2" t="s">
        <v>181</v>
      </c>
      <c r="D4923" s="20">
        <v>0</v>
      </c>
      <c r="E4923" s="2" t="s">
        <v>838</v>
      </c>
      <c r="F4923" s="2" t="s">
        <v>833</v>
      </c>
      <c r="G4923" s="2" t="s">
        <v>3756</v>
      </c>
      <c r="H4923" s="2" t="s">
        <v>2125</v>
      </c>
      <c r="J4923" s="26"/>
      <c r="K4923" s="36">
        <v>4.3000000000000001E-7</v>
      </c>
      <c r="L4923" s="23">
        <v>4.0000000000000001E-8</v>
      </c>
    </row>
    <row r="4924" spans="1:12" ht="15.35" hidden="1" x14ac:dyDescent="0.55000000000000004">
      <c r="A4924" s="20">
        <v>13115</v>
      </c>
      <c r="B4924" s="2" t="s">
        <v>180</v>
      </c>
      <c r="C4924" s="2" t="s">
        <v>181</v>
      </c>
      <c r="D4924" s="20">
        <v>0</v>
      </c>
      <c r="E4924" s="2" t="s">
        <v>838</v>
      </c>
      <c r="F4924" s="2" t="s">
        <v>833</v>
      </c>
      <c r="G4924" s="2" t="s">
        <v>4513</v>
      </c>
      <c r="H4924" s="2" t="s">
        <v>2125</v>
      </c>
      <c r="J4924" s="26"/>
      <c r="K4924" s="36">
        <v>2.3999999999999998E-7</v>
      </c>
      <c r="L4924" s="23">
        <v>2E-8</v>
      </c>
    </row>
    <row r="4925" spans="1:12" ht="15.35" hidden="1" x14ac:dyDescent="0.55000000000000004">
      <c r="A4925" s="20">
        <v>13032</v>
      </c>
      <c r="B4925" s="2" t="s">
        <v>180</v>
      </c>
      <c r="C4925" s="2" t="s">
        <v>181</v>
      </c>
      <c r="D4925" s="20">
        <v>0</v>
      </c>
      <c r="E4925" s="2" t="s">
        <v>838</v>
      </c>
      <c r="F4925" s="2" t="s">
        <v>833</v>
      </c>
      <c r="G4925" s="2" t="s">
        <v>4278</v>
      </c>
      <c r="H4925" s="2" t="s">
        <v>2125</v>
      </c>
      <c r="J4925" s="26"/>
      <c r="K4925" s="36">
        <v>7.6000000000000003E-7</v>
      </c>
      <c r="L4925" s="23">
        <v>8.0000000000000002E-8</v>
      </c>
    </row>
    <row r="4926" spans="1:12" ht="15.35" hidden="1" x14ac:dyDescent="0.55000000000000004">
      <c r="A4926" s="20">
        <v>13082</v>
      </c>
      <c r="B4926" s="2" t="s">
        <v>180</v>
      </c>
      <c r="C4926" s="2" t="s">
        <v>181</v>
      </c>
      <c r="D4926" s="20">
        <v>0</v>
      </c>
      <c r="E4926" s="2" t="s">
        <v>838</v>
      </c>
      <c r="F4926" s="2" t="s">
        <v>833</v>
      </c>
      <c r="G4926" s="2" t="s">
        <v>4279</v>
      </c>
      <c r="H4926" s="2" t="s">
        <v>2125</v>
      </c>
      <c r="J4926" s="26"/>
      <c r="K4926" s="36">
        <v>3.8000000000000001E-7</v>
      </c>
      <c r="L4926" s="23">
        <v>4.0000000000000001E-8</v>
      </c>
    </row>
    <row r="4927" spans="1:12" ht="15.35" hidden="1" x14ac:dyDescent="0.55000000000000004">
      <c r="A4927" s="20">
        <v>13061</v>
      </c>
      <c r="B4927" s="2" t="s">
        <v>180</v>
      </c>
      <c r="C4927" s="2" t="s">
        <v>181</v>
      </c>
      <c r="D4927" s="20">
        <v>0</v>
      </c>
      <c r="E4927" s="2" t="s">
        <v>838</v>
      </c>
      <c r="F4927" s="2" t="s">
        <v>833</v>
      </c>
      <c r="G4927" s="2" t="s">
        <v>4514</v>
      </c>
      <c r="H4927" s="2" t="s">
        <v>2125</v>
      </c>
      <c r="J4927" s="26"/>
      <c r="K4927" s="36">
        <v>4.7999999999999996E-7</v>
      </c>
      <c r="L4927" s="23">
        <v>4.9999999999999998E-8</v>
      </c>
    </row>
    <row r="4928" spans="1:12" ht="15.35" hidden="1" x14ac:dyDescent="0.55000000000000004">
      <c r="A4928" s="20">
        <v>13047</v>
      </c>
      <c r="B4928" s="2" t="s">
        <v>180</v>
      </c>
      <c r="C4928" s="2" t="s">
        <v>181</v>
      </c>
      <c r="D4928" s="20">
        <v>0</v>
      </c>
      <c r="E4928" s="2" t="s">
        <v>838</v>
      </c>
      <c r="F4928" s="2" t="s">
        <v>833</v>
      </c>
      <c r="G4928" s="2" t="s">
        <v>4514</v>
      </c>
      <c r="H4928" s="2" t="s">
        <v>2125</v>
      </c>
      <c r="J4928" s="26"/>
      <c r="K4928" s="36">
        <v>5.6000000000000004E-7</v>
      </c>
      <c r="L4928" s="23">
        <v>5.9999999999999995E-8</v>
      </c>
    </row>
    <row r="4929" spans="1:12" ht="15.35" hidden="1" x14ac:dyDescent="0.55000000000000004">
      <c r="A4929" s="20">
        <v>13034</v>
      </c>
      <c r="B4929" s="2" t="s">
        <v>180</v>
      </c>
      <c r="C4929" s="2" t="s">
        <v>181</v>
      </c>
      <c r="D4929" s="20">
        <v>0</v>
      </c>
      <c r="E4929" s="2" t="s">
        <v>838</v>
      </c>
      <c r="F4929" s="2" t="s">
        <v>833</v>
      </c>
      <c r="G4929" s="2" t="s">
        <v>4514</v>
      </c>
      <c r="H4929" s="2" t="s">
        <v>2125</v>
      </c>
      <c r="J4929" s="26"/>
      <c r="K4929" s="36">
        <v>7.3E-7</v>
      </c>
      <c r="L4929" s="23">
        <v>7.0000000000000005E-8</v>
      </c>
    </row>
    <row r="4930" spans="1:12" ht="15.35" hidden="1" x14ac:dyDescent="0.55000000000000004">
      <c r="A4930" s="20">
        <v>13015</v>
      </c>
      <c r="B4930" s="2" t="s">
        <v>180</v>
      </c>
      <c r="C4930" s="2" t="s">
        <v>181</v>
      </c>
      <c r="D4930" s="20">
        <v>0</v>
      </c>
      <c r="E4930" s="2" t="s">
        <v>838</v>
      </c>
      <c r="F4930" s="2" t="s">
        <v>833</v>
      </c>
      <c r="G4930" s="2" t="s">
        <v>4514</v>
      </c>
      <c r="H4930" s="2" t="s">
        <v>2125</v>
      </c>
      <c r="J4930" s="26"/>
      <c r="K4930" s="36">
        <v>9.7000000000000003E-7</v>
      </c>
      <c r="L4930" s="23">
        <v>9.9999999999999995E-8</v>
      </c>
    </row>
    <row r="4931" spans="1:12" ht="15.35" hidden="1" x14ac:dyDescent="0.55000000000000004">
      <c r="A4931" s="20">
        <v>13227</v>
      </c>
      <c r="B4931" s="2" t="s">
        <v>180</v>
      </c>
      <c r="C4931" s="2" t="s">
        <v>181</v>
      </c>
      <c r="D4931" s="20">
        <v>0</v>
      </c>
      <c r="E4931" s="2" t="s">
        <v>838</v>
      </c>
      <c r="F4931" s="2" t="s">
        <v>798</v>
      </c>
      <c r="G4931" s="2" t="s">
        <v>4515</v>
      </c>
      <c r="H4931" s="2" t="s">
        <v>860</v>
      </c>
      <c r="J4931" s="26"/>
      <c r="K4931" s="36">
        <v>4.0000000000000001E-8</v>
      </c>
      <c r="L4931" s="23">
        <v>0</v>
      </c>
    </row>
    <row r="4932" spans="1:12" ht="15.35" hidden="1" x14ac:dyDescent="0.55000000000000004">
      <c r="A4932" s="20">
        <v>12958</v>
      </c>
      <c r="B4932" s="2" t="s">
        <v>180</v>
      </c>
      <c r="C4932" s="2" t="s">
        <v>181</v>
      </c>
      <c r="D4932" s="20">
        <v>0</v>
      </c>
      <c r="E4932" s="2" t="s">
        <v>838</v>
      </c>
      <c r="F4932" s="2" t="s">
        <v>787</v>
      </c>
      <c r="G4932" s="2" t="s">
        <v>933</v>
      </c>
      <c r="H4932" s="2" t="s">
        <v>933</v>
      </c>
      <c r="J4932" s="26"/>
      <c r="K4932" s="36">
        <v>1.7E-6</v>
      </c>
      <c r="L4932" s="23">
        <v>1.6999999999999999E-7</v>
      </c>
    </row>
    <row r="4933" spans="1:12" ht="15.35" hidden="1" x14ac:dyDescent="0.55000000000000004">
      <c r="A4933" s="20">
        <v>13278</v>
      </c>
      <c r="B4933" s="2" t="s">
        <v>180</v>
      </c>
      <c r="C4933" s="2" t="s">
        <v>181</v>
      </c>
      <c r="D4933" s="20">
        <v>0</v>
      </c>
      <c r="E4933" s="2" t="s">
        <v>838</v>
      </c>
      <c r="F4933" s="2" t="s">
        <v>793</v>
      </c>
      <c r="G4933" s="2" t="s">
        <v>4516</v>
      </c>
      <c r="H4933" s="2" t="s">
        <v>933</v>
      </c>
      <c r="J4933" s="26"/>
      <c r="K4933" s="36">
        <v>2E-8</v>
      </c>
      <c r="L4933" s="23">
        <v>0</v>
      </c>
    </row>
    <row r="4934" spans="1:12" ht="15.35" hidden="1" x14ac:dyDescent="0.55000000000000004">
      <c r="A4934" s="20">
        <v>13214</v>
      </c>
      <c r="B4934" s="2" t="s">
        <v>180</v>
      </c>
      <c r="C4934" s="2" t="s">
        <v>181</v>
      </c>
      <c r="D4934" s="20">
        <v>0</v>
      </c>
      <c r="E4934" s="2" t="s">
        <v>838</v>
      </c>
      <c r="F4934" s="2" t="s">
        <v>793</v>
      </c>
      <c r="G4934" s="2" t="s">
        <v>4517</v>
      </c>
      <c r="H4934" s="2" t="s">
        <v>933</v>
      </c>
      <c r="J4934" s="26"/>
      <c r="K4934" s="36">
        <v>4.9999999999999998E-8</v>
      </c>
      <c r="L4934" s="23">
        <v>0</v>
      </c>
    </row>
    <row r="4935" spans="1:12" ht="15.35" hidden="1" x14ac:dyDescent="0.55000000000000004">
      <c r="A4935" s="20">
        <v>13264</v>
      </c>
      <c r="B4935" s="2" t="s">
        <v>180</v>
      </c>
      <c r="C4935" s="2" t="s">
        <v>181</v>
      </c>
      <c r="D4935" s="20">
        <v>0</v>
      </c>
      <c r="E4935" s="2" t="s">
        <v>838</v>
      </c>
      <c r="F4935" s="2" t="s">
        <v>793</v>
      </c>
      <c r="G4935" s="2" t="s">
        <v>4518</v>
      </c>
      <c r="H4935" s="2" t="s">
        <v>933</v>
      </c>
      <c r="J4935" s="26"/>
      <c r="K4935" s="36">
        <v>2.9999999999999997E-8</v>
      </c>
      <c r="L4935" s="23">
        <v>0</v>
      </c>
    </row>
    <row r="4936" spans="1:12" ht="15.35" hidden="1" x14ac:dyDescent="0.55000000000000004">
      <c r="A4936" s="20">
        <v>13254</v>
      </c>
      <c r="B4936" s="2" t="s">
        <v>180</v>
      </c>
      <c r="C4936" s="2" t="s">
        <v>181</v>
      </c>
      <c r="D4936" s="20">
        <v>0</v>
      </c>
      <c r="E4936" s="2" t="s">
        <v>838</v>
      </c>
      <c r="F4936" s="2" t="s">
        <v>793</v>
      </c>
      <c r="G4936" s="2" t="s">
        <v>4281</v>
      </c>
      <c r="H4936" s="2" t="s">
        <v>933</v>
      </c>
      <c r="J4936" s="26"/>
      <c r="K4936" s="36">
        <v>2.9999999999999997E-8</v>
      </c>
      <c r="L4936" s="23">
        <v>0</v>
      </c>
    </row>
    <row r="4937" spans="1:12" ht="15.35" hidden="1" x14ac:dyDescent="0.55000000000000004">
      <c r="A4937" s="20">
        <v>13255</v>
      </c>
      <c r="B4937" s="2" t="s">
        <v>180</v>
      </c>
      <c r="C4937" s="2" t="s">
        <v>181</v>
      </c>
      <c r="D4937" s="20">
        <v>0</v>
      </c>
      <c r="E4937" s="2" t="s">
        <v>838</v>
      </c>
      <c r="F4937" s="2" t="s">
        <v>793</v>
      </c>
      <c r="G4937" s="2" t="s">
        <v>4282</v>
      </c>
      <c r="H4937" s="2" t="s">
        <v>933</v>
      </c>
      <c r="J4937" s="26"/>
      <c r="K4937" s="36">
        <v>2.9999999999999997E-8</v>
      </c>
      <c r="L4937" s="23">
        <v>0</v>
      </c>
    </row>
    <row r="4938" spans="1:12" ht="15.35" hidden="1" x14ac:dyDescent="0.55000000000000004">
      <c r="A4938" s="20">
        <v>13252</v>
      </c>
      <c r="B4938" s="2" t="s">
        <v>180</v>
      </c>
      <c r="C4938" s="2" t="s">
        <v>181</v>
      </c>
      <c r="D4938" s="20">
        <v>0</v>
      </c>
      <c r="E4938" s="2" t="s">
        <v>838</v>
      </c>
      <c r="F4938" s="2" t="s">
        <v>793</v>
      </c>
      <c r="G4938" s="2" t="s">
        <v>4283</v>
      </c>
      <c r="H4938" s="2" t="s">
        <v>933</v>
      </c>
      <c r="J4938" s="26"/>
      <c r="K4938" s="36">
        <v>2.9999999999999997E-8</v>
      </c>
      <c r="L4938" s="23">
        <v>0</v>
      </c>
    </row>
    <row r="4939" spans="1:12" ht="15.35" hidden="1" x14ac:dyDescent="0.55000000000000004">
      <c r="A4939" s="20">
        <v>13257</v>
      </c>
      <c r="B4939" s="2" t="s">
        <v>180</v>
      </c>
      <c r="C4939" s="2" t="s">
        <v>181</v>
      </c>
      <c r="D4939" s="20">
        <v>0</v>
      </c>
      <c r="E4939" s="2" t="s">
        <v>838</v>
      </c>
      <c r="F4939" s="2" t="s">
        <v>793</v>
      </c>
      <c r="G4939" s="2" t="s">
        <v>3036</v>
      </c>
      <c r="H4939" s="2" t="s">
        <v>933</v>
      </c>
      <c r="J4939" s="26"/>
      <c r="K4939" s="36">
        <v>2.9999999999999997E-8</v>
      </c>
      <c r="L4939" s="23">
        <v>0</v>
      </c>
    </row>
    <row r="4940" spans="1:12" ht="15.35" hidden="1" x14ac:dyDescent="0.55000000000000004">
      <c r="A4940" s="20">
        <v>13141</v>
      </c>
      <c r="B4940" s="2" t="s">
        <v>180</v>
      </c>
      <c r="C4940" s="2" t="s">
        <v>181</v>
      </c>
      <c r="D4940" s="20">
        <v>0</v>
      </c>
      <c r="E4940" s="2" t="s">
        <v>838</v>
      </c>
      <c r="F4940" s="2" t="s">
        <v>793</v>
      </c>
      <c r="G4940" s="2" t="s">
        <v>3037</v>
      </c>
      <c r="H4940" s="2" t="s">
        <v>933</v>
      </c>
      <c r="J4940" s="26"/>
      <c r="K4940" s="36">
        <v>1.6E-7</v>
      </c>
      <c r="L4940" s="23">
        <v>2E-8</v>
      </c>
    </row>
    <row r="4941" spans="1:12" ht="15.35" hidden="1" x14ac:dyDescent="0.55000000000000004">
      <c r="A4941" s="20">
        <v>13263</v>
      </c>
      <c r="B4941" s="2" t="s">
        <v>180</v>
      </c>
      <c r="C4941" s="2" t="s">
        <v>181</v>
      </c>
      <c r="D4941" s="20">
        <v>0</v>
      </c>
      <c r="E4941" s="2" t="s">
        <v>838</v>
      </c>
      <c r="F4941" s="2" t="s">
        <v>793</v>
      </c>
      <c r="G4941" s="2" t="s">
        <v>4519</v>
      </c>
      <c r="H4941" s="2" t="s">
        <v>933</v>
      </c>
      <c r="J4941" s="26"/>
      <c r="K4941" s="36">
        <v>2.9999999999999997E-8</v>
      </c>
      <c r="L4941" s="23">
        <v>0</v>
      </c>
    </row>
    <row r="4942" spans="1:12" ht="15.35" hidden="1" x14ac:dyDescent="0.55000000000000004">
      <c r="A4942" s="20">
        <v>13191</v>
      </c>
      <c r="B4942" s="2" t="s">
        <v>180</v>
      </c>
      <c r="C4942" s="2" t="s">
        <v>181</v>
      </c>
      <c r="D4942" s="20">
        <v>0</v>
      </c>
      <c r="E4942" s="2" t="s">
        <v>838</v>
      </c>
      <c r="F4942" s="2" t="s">
        <v>793</v>
      </c>
      <c r="G4942" s="2" t="s">
        <v>4520</v>
      </c>
      <c r="H4942" s="2" t="s">
        <v>933</v>
      </c>
      <c r="J4942" s="26"/>
      <c r="K4942" s="36">
        <v>8.0000000000000002E-8</v>
      </c>
      <c r="L4942" s="23">
        <v>1E-8</v>
      </c>
    </row>
    <row r="4943" spans="1:12" ht="15.35" hidden="1" x14ac:dyDescent="0.55000000000000004">
      <c r="A4943" s="20">
        <v>13096</v>
      </c>
      <c r="B4943" s="2" t="s">
        <v>180</v>
      </c>
      <c r="C4943" s="2" t="s">
        <v>181</v>
      </c>
      <c r="D4943" s="20">
        <v>0</v>
      </c>
      <c r="E4943" s="2" t="s">
        <v>838</v>
      </c>
      <c r="F4943" s="2" t="s">
        <v>817</v>
      </c>
      <c r="G4943" s="2" t="s">
        <v>4284</v>
      </c>
      <c r="H4943" s="2" t="s">
        <v>819</v>
      </c>
      <c r="J4943" s="26"/>
      <c r="K4943" s="36">
        <v>3.3000000000000002E-7</v>
      </c>
      <c r="L4943" s="23">
        <v>2.9999999999999997E-8</v>
      </c>
    </row>
    <row r="4944" spans="1:12" ht="15.35" hidden="1" x14ac:dyDescent="0.55000000000000004">
      <c r="A4944" s="20">
        <v>12962</v>
      </c>
      <c r="B4944" s="2" t="s">
        <v>180</v>
      </c>
      <c r="C4944" s="2" t="s">
        <v>181</v>
      </c>
      <c r="D4944" s="20">
        <v>0</v>
      </c>
      <c r="E4944" s="2" t="s">
        <v>838</v>
      </c>
      <c r="F4944" s="2" t="s">
        <v>793</v>
      </c>
      <c r="G4944" s="2" t="s">
        <v>4285</v>
      </c>
      <c r="H4944" s="2" t="s">
        <v>821</v>
      </c>
      <c r="J4944" s="26"/>
      <c r="K4944" s="36">
        <v>1.7E-6</v>
      </c>
      <c r="L4944" s="23">
        <v>1.6999999999999999E-7</v>
      </c>
    </row>
    <row r="4945" spans="1:12" ht="15.35" hidden="1" x14ac:dyDescent="0.55000000000000004">
      <c r="A4945" s="20">
        <v>12945</v>
      </c>
      <c r="B4945" s="2" t="s">
        <v>180</v>
      </c>
      <c r="C4945" s="2" t="s">
        <v>181</v>
      </c>
      <c r="D4945" s="20">
        <v>0</v>
      </c>
      <c r="E4945" s="2" t="s">
        <v>838</v>
      </c>
      <c r="F4945" s="2" t="s">
        <v>793</v>
      </c>
      <c r="G4945" s="2" t="s">
        <v>4521</v>
      </c>
      <c r="H4945" s="2" t="s">
        <v>821</v>
      </c>
      <c r="J4945" s="26"/>
      <c r="K4945" s="36">
        <v>1.7E-6</v>
      </c>
      <c r="L4945" s="23">
        <v>1.6999999999999999E-7</v>
      </c>
    </row>
    <row r="4946" spans="1:12" ht="15.35" hidden="1" x14ac:dyDescent="0.55000000000000004">
      <c r="A4946" s="20">
        <v>13004</v>
      </c>
      <c r="B4946" s="2" t="s">
        <v>180</v>
      </c>
      <c r="C4946" s="2" t="s">
        <v>181</v>
      </c>
      <c r="D4946" s="20">
        <v>0</v>
      </c>
      <c r="E4946" s="2" t="s">
        <v>838</v>
      </c>
      <c r="F4946" s="2" t="s">
        <v>798</v>
      </c>
      <c r="G4946" s="2" t="s">
        <v>822</v>
      </c>
      <c r="H4946" s="2" t="s">
        <v>821</v>
      </c>
      <c r="J4946" s="26"/>
      <c r="K4946" s="36">
        <v>1.22E-6</v>
      </c>
      <c r="L4946" s="23">
        <v>1.1999999999999999E-7</v>
      </c>
    </row>
    <row r="4947" spans="1:12" ht="15.35" hidden="1" x14ac:dyDescent="0.55000000000000004">
      <c r="A4947" s="20">
        <v>12982</v>
      </c>
      <c r="B4947" s="2" t="s">
        <v>180</v>
      </c>
      <c r="C4947" s="2" t="s">
        <v>181</v>
      </c>
      <c r="D4947" s="20">
        <v>0</v>
      </c>
      <c r="E4947" s="2" t="s">
        <v>838</v>
      </c>
      <c r="F4947" s="2" t="s">
        <v>793</v>
      </c>
      <c r="G4947" s="2" t="s">
        <v>4290</v>
      </c>
      <c r="H4947" s="2" t="s">
        <v>824</v>
      </c>
      <c r="J4947" s="26"/>
      <c r="K4947" s="36">
        <v>1.7E-6</v>
      </c>
      <c r="L4947" s="23">
        <v>1.6999999999999999E-7</v>
      </c>
    </row>
    <row r="4948" spans="1:12" ht="15.35" hidden="1" x14ac:dyDescent="0.55000000000000004">
      <c r="A4948" s="20">
        <v>13025</v>
      </c>
      <c r="B4948" s="2" t="s">
        <v>180</v>
      </c>
      <c r="C4948" s="2" t="s">
        <v>181</v>
      </c>
      <c r="D4948" s="20">
        <v>0</v>
      </c>
      <c r="E4948" s="2" t="s">
        <v>838</v>
      </c>
      <c r="F4948" s="2" t="s">
        <v>798</v>
      </c>
      <c r="G4948" s="2" t="s">
        <v>4291</v>
      </c>
      <c r="H4948" s="2" t="s">
        <v>824</v>
      </c>
      <c r="J4948" s="26"/>
      <c r="K4948" s="36">
        <v>8.5000000000000001E-7</v>
      </c>
      <c r="L4948" s="23">
        <v>8.9999999999999999E-8</v>
      </c>
    </row>
    <row r="4949" spans="1:12" ht="15.35" hidden="1" x14ac:dyDescent="0.55000000000000004">
      <c r="A4949" s="20">
        <v>13140</v>
      </c>
      <c r="B4949" s="2" t="s">
        <v>180</v>
      </c>
      <c r="C4949" s="2" t="s">
        <v>181</v>
      </c>
      <c r="D4949" s="20">
        <v>0</v>
      </c>
      <c r="E4949" s="2" t="s">
        <v>838</v>
      </c>
      <c r="F4949" s="2" t="s">
        <v>798</v>
      </c>
      <c r="G4949" s="2" t="s">
        <v>4292</v>
      </c>
      <c r="H4949" s="2" t="s">
        <v>824</v>
      </c>
      <c r="J4949" s="26"/>
      <c r="K4949" s="36">
        <v>1.6E-7</v>
      </c>
      <c r="L4949" s="23">
        <v>2E-8</v>
      </c>
    </row>
    <row r="4950" spans="1:12" ht="15.35" hidden="1" x14ac:dyDescent="0.55000000000000004">
      <c r="A4950" s="20">
        <v>13038</v>
      </c>
      <c r="B4950" s="2" t="s">
        <v>180</v>
      </c>
      <c r="C4950" s="2" t="s">
        <v>181</v>
      </c>
      <c r="D4950" s="20">
        <v>0</v>
      </c>
      <c r="E4950" s="2" t="s">
        <v>838</v>
      </c>
      <c r="F4950" s="2" t="s">
        <v>817</v>
      </c>
      <c r="G4950" s="2" t="s">
        <v>3044</v>
      </c>
      <c r="H4950" s="2" t="s">
        <v>3044</v>
      </c>
      <c r="J4950" s="26"/>
      <c r="K4950" s="36">
        <v>6.1999999999999999E-7</v>
      </c>
      <c r="L4950" s="23">
        <v>5.9999999999999995E-8</v>
      </c>
    </row>
    <row r="4951" spans="1:12" ht="15.35" hidden="1" x14ac:dyDescent="0.55000000000000004">
      <c r="A4951" s="20">
        <v>12964</v>
      </c>
      <c r="B4951" s="2" t="s">
        <v>180</v>
      </c>
      <c r="C4951" s="2" t="s">
        <v>181</v>
      </c>
      <c r="D4951" s="20">
        <v>0</v>
      </c>
      <c r="E4951" s="2" t="s">
        <v>838</v>
      </c>
      <c r="F4951" s="2" t="s">
        <v>848</v>
      </c>
      <c r="G4951" s="2" t="s">
        <v>1110</v>
      </c>
      <c r="H4951" s="2" t="s">
        <v>1110</v>
      </c>
      <c r="J4951" s="26"/>
      <c r="K4951" s="36">
        <v>1.7E-6</v>
      </c>
      <c r="L4951" s="23">
        <v>1.6999999999999999E-7</v>
      </c>
    </row>
    <row r="4952" spans="1:12" ht="15.35" hidden="1" x14ac:dyDescent="0.55000000000000004">
      <c r="A4952" s="20">
        <v>13040</v>
      </c>
      <c r="B4952" s="2" t="s">
        <v>180</v>
      </c>
      <c r="C4952" s="2" t="s">
        <v>181</v>
      </c>
      <c r="D4952" s="20">
        <v>0</v>
      </c>
      <c r="E4952" s="2" t="s">
        <v>838</v>
      </c>
      <c r="F4952" s="2" t="s">
        <v>848</v>
      </c>
      <c r="G4952" s="2" t="s">
        <v>1111</v>
      </c>
      <c r="H4952" s="2" t="s">
        <v>1111</v>
      </c>
      <c r="J4952" s="26"/>
      <c r="K4952" s="36">
        <v>6.0999999999999998E-7</v>
      </c>
      <c r="L4952" s="23">
        <v>5.9999999999999995E-8</v>
      </c>
    </row>
    <row r="4953" spans="1:12" ht="15.35" hidden="1" x14ac:dyDescent="0.55000000000000004">
      <c r="A4953" s="20">
        <v>13097</v>
      </c>
      <c r="B4953" s="2" t="s">
        <v>180</v>
      </c>
      <c r="C4953" s="2" t="s">
        <v>181</v>
      </c>
      <c r="D4953" s="20">
        <v>0</v>
      </c>
      <c r="E4953" s="2" t="s">
        <v>838</v>
      </c>
      <c r="F4953" s="2" t="s">
        <v>793</v>
      </c>
      <c r="G4953" s="2" t="s">
        <v>4522</v>
      </c>
      <c r="H4953" s="2" t="s">
        <v>1111</v>
      </c>
      <c r="J4953" s="26"/>
      <c r="K4953" s="36">
        <v>3.2000000000000001E-7</v>
      </c>
      <c r="L4953" s="23">
        <v>2.9999999999999997E-8</v>
      </c>
    </row>
    <row r="4954" spans="1:12" ht="15.35" hidden="1" x14ac:dyDescent="0.55000000000000004">
      <c r="A4954" s="20">
        <v>13326</v>
      </c>
      <c r="B4954" s="2" t="s">
        <v>180</v>
      </c>
      <c r="C4954" s="2" t="s">
        <v>181</v>
      </c>
      <c r="D4954" s="20">
        <v>0</v>
      </c>
      <c r="E4954" s="2" t="s">
        <v>838</v>
      </c>
      <c r="F4954" s="2" t="s">
        <v>793</v>
      </c>
      <c r="G4954" s="2" t="s">
        <v>4523</v>
      </c>
      <c r="H4954" s="2" t="s">
        <v>1111</v>
      </c>
      <c r="J4954" s="26"/>
      <c r="K4954" s="36">
        <v>1E-8</v>
      </c>
      <c r="L4954" s="23">
        <v>0</v>
      </c>
    </row>
    <row r="4955" spans="1:12" ht="15.35" hidden="1" x14ac:dyDescent="0.55000000000000004">
      <c r="A4955" s="20">
        <v>13346</v>
      </c>
      <c r="B4955" s="2" t="s">
        <v>180</v>
      </c>
      <c r="C4955" s="2" t="s">
        <v>181</v>
      </c>
      <c r="D4955" s="20">
        <v>0</v>
      </c>
      <c r="E4955" s="2" t="s">
        <v>838</v>
      </c>
      <c r="F4955" s="2" t="s">
        <v>793</v>
      </c>
      <c r="G4955" s="2" t="s">
        <v>3047</v>
      </c>
      <c r="H4955" s="2" t="s">
        <v>1111</v>
      </c>
      <c r="J4955" s="26"/>
      <c r="K4955" s="36">
        <v>1E-8</v>
      </c>
      <c r="L4955" s="23">
        <v>0</v>
      </c>
    </row>
    <row r="4956" spans="1:12" ht="15.35" hidden="1" x14ac:dyDescent="0.55000000000000004">
      <c r="A4956" s="20">
        <v>13232</v>
      </c>
      <c r="B4956" s="2" t="s">
        <v>180</v>
      </c>
      <c r="C4956" s="2" t="s">
        <v>181</v>
      </c>
      <c r="D4956" s="20">
        <v>0</v>
      </c>
      <c r="E4956" s="2" t="s">
        <v>838</v>
      </c>
      <c r="F4956" s="2" t="s">
        <v>793</v>
      </c>
      <c r="G4956" s="2" t="s">
        <v>4524</v>
      </c>
      <c r="H4956" s="2" t="s">
        <v>1111</v>
      </c>
      <c r="J4956" s="26"/>
      <c r="K4956" s="36">
        <v>2.9999999999999997E-8</v>
      </c>
      <c r="L4956" s="23">
        <v>0</v>
      </c>
    </row>
    <row r="4957" spans="1:12" ht="15.35" hidden="1" x14ac:dyDescent="0.55000000000000004">
      <c r="A4957" s="20">
        <v>13194</v>
      </c>
      <c r="B4957" s="2" t="s">
        <v>180</v>
      </c>
      <c r="C4957" s="2" t="s">
        <v>181</v>
      </c>
      <c r="D4957" s="20">
        <v>0</v>
      </c>
      <c r="E4957" s="2" t="s">
        <v>838</v>
      </c>
      <c r="F4957" s="2" t="s">
        <v>793</v>
      </c>
      <c r="G4957" s="2" t="s">
        <v>3050</v>
      </c>
      <c r="H4957" s="2" t="s">
        <v>1111</v>
      </c>
      <c r="J4957" s="26"/>
      <c r="K4957" s="36">
        <v>7.0000000000000005E-8</v>
      </c>
      <c r="L4957" s="23">
        <v>1E-8</v>
      </c>
    </row>
    <row r="4958" spans="1:12" ht="15.35" hidden="1" x14ac:dyDescent="0.55000000000000004">
      <c r="A4958" s="20">
        <v>13169</v>
      </c>
      <c r="B4958" s="2" t="s">
        <v>180</v>
      </c>
      <c r="C4958" s="2" t="s">
        <v>181</v>
      </c>
      <c r="D4958" s="20">
        <v>0</v>
      </c>
      <c r="E4958" s="2" t="s">
        <v>838</v>
      </c>
      <c r="F4958" s="2" t="s">
        <v>793</v>
      </c>
      <c r="G4958" s="2" t="s">
        <v>3051</v>
      </c>
      <c r="H4958" s="2" t="s">
        <v>1111</v>
      </c>
      <c r="J4958" s="26"/>
      <c r="K4958" s="36">
        <v>9.9999999999999995E-8</v>
      </c>
      <c r="L4958" s="23">
        <v>1E-8</v>
      </c>
    </row>
    <row r="4959" spans="1:12" ht="15.35" x14ac:dyDescent="0.55000000000000004">
      <c r="A4959" s="20">
        <v>13147</v>
      </c>
      <c r="B4959" s="2" t="s">
        <v>180</v>
      </c>
      <c r="C4959" s="2" t="s">
        <v>181</v>
      </c>
      <c r="D4959" s="20">
        <v>0</v>
      </c>
      <c r="E4959" s="2" t="s">
        <v>838</v>
      </c>
      <c r="F4959" s="2" t="s">
        <v>793</v>
      </c>
      <c r="G4959" s="2" t="s">
        <v>4525</v>
      </c>
      <c r="J4959" s="26"/>
      <c r="K4959" s="36">
        <v>1.4000000000000001E-7</v>
      </c>
      <c r="L4959" s="23">
        <v>1E-8</v>
      </c>
    </row>
    <row r="4960" spans="1:12" ht="15.35" hidden="1" x14ac:dyDescent="0.55000000000000004">
      <c r="A4960" s="20">
        <v>12977</v>
      </c>
      <c r="B4960" s="2" t="s">
        <v>180</v>
      </c>
      <c r="C4960" s="2" t="s">
        <v>181</v>
      </c>
      <c r="D4960" s="20">
        <v>0</v>
      </c>
      <c r="E4960" s="2" t="s">
        <v>838</v>
      </c>
      <c r="F4960" s="2" t="s">
        <v>848</v>
      </c>
      <c r="G4960" s="2" t="s">
        <v>1480</v>
      </c>
      <c r="H4960" s="2" t="s">
        <v>1480</v>
      </c>
      <c r="J4960" s="26"/>
      <c r="K4960" s="36">
        <v>1.7E-6</v>
      </c>
      <c r="L4960" s="23">
        <v>1.6999999999999999E-7</v>
      </c>
    </row>
    <row r="4961" spans="1:12" ht="15.35" hidden="1" x14ac:dyDescent="0.55000000000000004">
      <c r="A4961" s="20">
        <v>13161</v>
      </c>
      <c r="B4961" s="2" t="s">
        <v>180</v>
      </c>
      <c r="C4961" s="2" t="s">
        <v>181</v>
      </c>
      <c r="D4961" s="20">
        <v>0</v>
      </c>
      <c r="E4961" s="2" t="s">
        <v>838</v>
      </c>
      <c r="F4961" s="2" t="s">
        <v>793</v>
      </c>
      <c r="G4961" s="2" t="s">
        <v>4526</v>
      </c>
      <c r="H4961" s="2" t="s">
        <v>2564</v>
      </c>
      <c r="J4961" s="26"/>
      <c r="K4961" s="36">
        <v>1.1000000000000001E-7</v>
      </c>
      <c r="L4961" s="23">
        <v>1E-8</v>
      </c>
    </row>
    <row r="4962" spans="1:12" ht="15.35" hidden="1" x14ac:dyDescent="0.55000000000000004">
      <c r="A4962" s="20">
        <v>13178</v>
      </c>
      <c r="B4962" s="2" t="s">
        <v>180</v>
      </c>
      <c r="C4962" s="2" t="s">
        <v>181</v>
      </c>
      <c r="D4962" s="20">
        <v>0</v>
      </c>
      <c r="E4962" s="2" t="s">
        <v>838</v>
      </c>
      <c r="F4962" s="2" t="s">
        <v>793</v>
      </c>
      <c r="G4962" s="2" t="s">
        <v>4527</v>
      </c>
      <c r="H4962" s="2" t="s">
        <v>2564</v>
      </c>
      <c r="J4962" s="26"/>
      <c r="K4962" s="36">
        <v>8.9999999999999999E-8</v>
      </c>
      <c r="L4962" s="23">
        <v>1E-8</v>
      </c>
    </row>
    <row r="4963" spans="1:12" ht="15.35" hidden="1" x14ac:dyDescent="0.55000000000000004">
      <c r="A4963" s="20">
        <v>13023</v>
      </c>
      <c r="B4963" s="2" t="s">
        <v>180</v>
      </c>
      <c r="C4963" s="2" t="s">
        <v>181</v>
      </c>
      <c r="D4963" s="20">
        <v>0</v>
      </c>
      <c r="E4963" s="2" t="s">
        <v>838</v>
      </c>
      <c r="F4963" s="2" t="s">
        <v>848</v>
      </c>
      <c r="G4963" s="2" t="s">
        <v>1116</v>
      </c>
      <c r="H4963" s="2" t="s">
        <v>1116</v>
      </c>
      <c r="J4963" s="26"/>
      <c r="K4963" s="36">
        <v>8.7000000000000003E-7</v>
      </c>
      <c r="L4963" s="23">
        <v>8.9999999999999999E-8</v>
      </c>
    </row>
    <row r="4964" spans="1:12" ht="15.35" hidden="1" x14ac:dyDescent="0.55000000000000004">
      <c r="A4964" s="20">
        <v>13162</v>
      </c>
      <c r="B4964" s="2" t="s">
        <v>180</v>
      </c>
      <c r="C4964" s="2" t="s">
        <v>181</v>
      </c>
      <c r="D4964" s="20">
        <v>0</v>
      </c>
      <c r="E4964" s="2" t="s">
        <v>838</v>
      </c>
      <c r="F4964" s="2" t="s">
        <v>817</v>
      </c>
      <c r="G4964" s="2" t="s">
        <v>4528</v>
      </c>
      <c r="H4964" s="2" t="s">
        <v>862</v>
      </c>
      <c r="J4964" s="26"/>
      <c r="K4964" s="36">
        <v>1.1000000000000001E-7</v>
      </c>
      <c r="L4964" s="23">
        <v>1E-8</v>
      </c>
    </row>
    <row r="4965" spans="1:12" ht="15.35" hidden="1" x14ac:dyDescent="0.55000000000000004">
      <c r="A4965" s="20">
        <v>13168</v>
      </c>
      <c r="B4965" s="2" t="s">
        <v>180</v>
      </c>
      <c r="C4965" s="2" t="s">
        <v>181</v>
      </c>
      <c r="D4965" s="20">
        <v>0</v>
      </c>
      <c r="E4965" s="2" t="s">
        <v>838</v>
      </c>
      <c r="F4965" s="2" t="s">
        <v>817</v>
      </c>
      <c r="G4965" s="2" t="s">
        <v>4529</v>
      </c>
      <c r="H4965" s="2" t="s">
        <v>862</v>
      </c>
      <c r="J4965" s="26"/>
      <c r="K4965" s="36">
        <v>9.9999999999999995E-8</v>
      </c>
      <c r="L4965" s="23">
        <v>1E-8</v>
      </c>
    </row>
    <row r="4966" spans="1:12" ht="15.35" hidden="1" x14ac:dyDescent="0.55000000000000004">
      <c r="A4966" s="20">
        <v>13166</v>
      </c>
      <c r="B4966" s="2" t="s">
        <v>180</v>
      </c>
      <c r="C4966" s="2" t="s">
        <v>181</v>
      </c>
      <c r="D4966" s="20">
        <v>0</v>
      </c>
      <c r="E4966" s="2" t="s">
        <v>838</v>
      </c>
      <c r="F4966" s="2" t="s">
        <v>817</v>
      </c>
      <c r="G4966" s="2" t="s">
        <v>4530</v>
      </c>
      <c r="H4966" s="2" t="s">
        <v>862</v>
      </c>
      <c r="J4966" s="26"/>
      <c r="K4966" s="36">
        <v>9.9999999999999995E-8</v>
      </c>
      <c r="L4966" s="23">
        <v>1E-8</v>
      </c>
    </row>
    <row r="4967" spans="1:12" ht="15.35" hidden="1" x14ac:dyDescent="0.55000000000000004">
      <c r="A4967" s="20">
        <v>13165</v>
      </c>
      <c r="B4967" s="2" t="s">
        <v>180</v>
      </c>
      <c r="C4967" s="2" t="s">
        <v>181</v>
      </c>
      <c r="D4967" s="20">
        <v>0</v>
      </c>
      <c r="E4967" s="2" t="s">
        <v>838</v>
      </c>
      <c r="F4967" s="2" t="s">
        <v>817</v>
      </c>
      <c r="G4967" s="2" t="s">
        <v>4531</v>
      </c>
      <c r="H4967" s="2" t="s">
        <v>862</v>
      </c>
      <c r="J4967" s="26"/>
      <c r="K4967" s="36">
        <v>9.9999999999999995E-8</v>
      </c>
      <c r="L4967" s="23">
        <v>1E-8</v>
      </c>
    </row>
    <row r="4968" spans="1:12" ht="15.35" hidden="1" x14ac:dyDescent="0.55000000000000004">
      <c r="A4968" s="20">
        <v>13167</v>
      </c>
      <c r="B4968" s="2" t="s">
        <v>180</v>
      </c>
      <c r="C4968" s="2" t="s">
        <v>181</v>
      </c>
      <c r="D4968" s="20">
        <v>0</v>
      </c>
      <c r="E4968" s="2" t="s">
        <v>838</v>
      </c>
      <c r="F4968" s="2" t="s">
        <v>817</v>
      </c>
      <c r="G4968" s="2" t="s">
        <v>4532</v>
      </c>
      <c r="H4968" s="2" t="s">
        <v>862</v>
      </c>
      <c r="J4968" s="26"/>
      <c r="K4968" s="36">
        <v>9.9999999999999995E-8</v>
      </c>
      <c r="L4968" s="23">
        <v>1E-8</v>
      </c>
    </row>
    <row r="4969" spans="1:12" ht="15.35" hidden="1" x14ac:dyDescent="0.55000000000000004">
      <c r="A4969" s="20">
        <v>12995</v>
      </c>
      <c r="B4969" s="2" t="s">
        <v>180</v>
      </c>
      <c r="C4969" s="2" t="s">
        <v>181</v>
      </c>
      <c r="D4969" s="20">
        <v>0</v>
      </c>
      <c r="E4969" s="2" t="s">
        <v>838</v>
      </c>
      <c r="F4969" s="2" t="s">
        <v>817</v>
      </c>
      <c r="G4969" s="2" t="s">
        <v>3221</v>
      </c>
      <c r="H4969" s="2" t="s">
        <v>862</v>
      </c>
      <c r="J4969" s="26"/>
      <c r="K4969" s="36">
        <v>1.4500000000000001E-6</v>
      </c>
      <c r="L4969" s="23">
        <v>1.4999999999999999E-7</v>
      </c>
    </row>
    <row r="4970" spans="1:12" ht="15.35" hidden="1" x14ac:dyDescent="0.55000000000000004">
      <c r="A4970" s="20">
        <v>12983</v>
      </c>
      <c r="B4970" s="2" t="s">
        <v>180</v>
      </c>
      <c r="C4970" s="2" t="s">
        <v>181</v>
      </c>
      <c r="D4970" s="20">
        <v>0</v>
      </c>
      <c r="E4970" s="2" t="s">
        <v>838</v>
      </c>
      <c r="F4970" s="2" t="s">
        <v>817</v>
      </c>
      <c r="G4970" s="2" t="s">
        <v>4533</v>
      </c>
      <c r="H4970" s="2" t="s">
        <v>862</v>
      </c>
      <c r="J4970" s="26"/>
      <c r="K4970" s="36">
        <v>1.7E-6</v>
      </c>
      <c r="L4970" s="23">
        <v>1.6999999999999999E-7</v>
      </c>
    </row>
    <row r="4971" spans="1:12" ht="15.35" hidden="1" x14ac:dyDescent="0.55000000000000004">
      <c r="A4971" s="20">
        <v>12985</v>
      </c>
      <c r="B4971" s="2" t="s">
        <v>180</v>
      </c>
      <c r="C4971" s="2" t="s">
        <v>181</v>
      </c>
      <c r="D4971" s="20">
        <v>0</v>
      </c>
      <c r="E4971" s="2" t="s">
        <v>838</v>
      </c>
      <c r="F4971" s="2" t="s">
        <v>817</v>
      </c>
      <c r="G4971" s="2" t="s">
        <v>4294</v>
      </c>
      <c r="H4971" s="2" t="s">
        <v>862</v>
      </c>
      <c r="J4971" s="26"/>
      <c r="K4971" s="36">
        <v>1.7E-6</v>
      </c>
      <c r="L4971" s="23">
        <v>1.6999999999999999E-7</v>
      </c>
    </row>
    <row r="4972" spans="1:12" ht="15.35" hidden="1" x14ac:dyDescent="0.55000000000000004">
      <c r="A4972" s="20">
        <v>12988</v>
      </c>
      <c r="B4972" s="2" t="s">
        <v>180</v>
      </c>
      <c r="C4972" s="2" t="s">
        <v>181</v>
      </c>
      <c r="D4972" s="20">
        <v>0</v>
      </c>
      <c r="E4972" s="2" t="s">
        <v>838</v>
      </c>
      <c r="F4972" s="2" t="s">
        <v>817</v>
      </c>
      <c r="G4972" s="2" t="s">
        <v>4295</v>
      </c>
      <c r="H4972" s="2" t="s">
        <v>862</v>
      </c>
      <c r="J4972" s="26"/>
      <c r="K4972" s="36">
        <v>1.7E-6</v>
      </c>
      <c r="L4972" s="23">
        <v>1.6999999999999999E-7</v>
      </c>
    </row>
    <row r="4973" spans="1:12" ht="15.35" hidden="1" x14ac:dyDescent="0.55000000000000004">
      <c r="A4973" s="20">
        <v>12976</v>
      </c>
      <c r="B4973" s="2" t="s">
        <v>180</v>
      </c>
      <c r="C4973" s="2" t="s">
        <v>181</v>
      </c>
      <c r="D4973" s="20">
        <v>0</v>
      </c>
      <c r="E4973" s="2" t="s">
        <v>838</v>
      </c>
      <c r="F4973" s="2" t="s">
        <v>817</v>
      </c>
      <c r="G4973" s="2" t="s">
        <v>4296</v>
      </c>
      <c r="H4973" s="2" t="s">
        <v>862</v>
      </c>
      <c r="J4973" s="26"/>
      <c r="K4973" s="36">
        <v>1.7E-6</v>
      </c>
      <c r="L4973" s="23">
        <v>1.6999999999999999E-7</v>
      </c>
    </row>
    <row r="4974" spans="1:12" ht="15.35" hidden="1" x14ac:dyDescent="0.55000000000000004">
      <c r="A4974" s="20">
        <v>12981</v>
      </c>
      <c r="B4974" s="2" t="s">
        <v>180</v>
      </c>
      <c r="C4974" s="2" t="s">
        <v>181</v>
      </c>
      <c r="D4974" s="20">
        <v>0</v>
      </c>
      <c r="E4974" s="2" t="s">
        <v>838</v>
      </c>
      <c r="F4974" s="2" t="s">
        <v>817</v>
      </c>
      <c r="G4974" s="2" t="s">
        <v>1600</v>
      </c>
      <c r="H4974" s="2" t="s">
        <v>862</v>
      </c>
      <c r="J4974" s="26"/>
      <c r="K4974" s="36">
        <v>1.7E-6</v>
      </c>
      <c r="L4974" s="23">
        <v>1.6999999999999999E-7</v>
      </c>
    </row>
    <row r="4975" spans="1:12" ht="15.35" hidden="1" x14ac:dyDescent="0.55000000000000004">
      <c r="A4975" s="20">
        <v>12980</v>
      </c>
      <c r="B4975" s="2" t="s">
        <v>180</v>
      </c>
      <c r="C4975" s="2" t="s">
        <v>181</v>
      </c>
      <c r="D4975" s="20">
        <v>0</v>
      </c>
      <c r="E4975" s="2" t="s">
        <v>838</v>
      </c>
      <c r="F4975" s="2" t="s">
        <v>817</v>
      </c>
      <c r="G4975" s="2" t="s">
        <v>1602</v>
      </c>
      <c r="H4975" s="2" t="s">
        <v>862</v>
      </c>
      <c r="J4975" s="26"/>
      <c r="K4975" s="36">
        <v>1.7E-6</v>
      </c>
      <c r="L4975" s="23">
        <v>1.6999999999999999E-7</v>
      </c>
    </row>
    <row r="4976" spans="1:12" ht="15.35" hidden="1" x14ac:dyDescent="0.55000000000000004">
      <c r="A4976" s="20">
        <v>13091</v>
      </c>
      <c r="B4976" s="2" t="s">
        <v>180</v>
      </c>
      <c r="C4976" s="2" t="s">
        <v>181</v>
      </c>
      <c r="D4976" s="20">
        <v>0</v>
      </c>
      <c r="E4976" s="2" t="s">
        <v>838</v>
      </c>
      <c r="F4976" s="2" t="s">
        <v>817</v>
      </c>
      <c r="G4976" s="2" t="s">
        <v>4081</v>
      </c>
      <c r="H4976" s="2" t="s">
        <v>862</v>
      </c>
      <c r="J4976" s="26"/>
      <c r="K4976" s="36">
        <v>3.4999999999999998E-7</v>
      </c>
      <c r="L4976" s="23">
        <v>2.9999999999999997E-8</v>
      </c>
    </row>
    <row r="4977" spans="1:12" ht="15.35" x14ac:dyDescent="0.55000000000000004">
      <c r="A4977" s="20">
        <v>13357</v>
      </c>
      <c r="B4977" s="2" t="s">
        <v>180</v>
      </c>
      <c r="C4977" s="2" t="s">
        <v>181</v>
      </c>
      <c r="D4977" s="20">
        <v>0</v>
      </c>
      <c r="E4977" s="2" t="s">
        <v>838</v>
      </c>
      <c r="F4977" s="2" t="s">
        <v>793</v>
      </c>
      <c r="G4977" s="2" t="s">
        <v>4534</v>
      </c>
      <c r="J4977" s="26"/>
      <c r="K4977" s="36">
        <v>1E-8</v>
      </c>
      <c r="L4977" s="23">
        <v>0</v>
      </c>
    </row>
    <row r="4978" spans="1:12" ht="15.35" hidden="1" x14ac:dyDescent="0.55000000000000004">
      <c r="A4978" s="20">
        <v>13253</v>
      </c>
      <c r="B4978" s="2" t="s">
        <v>180</v>
      </c>
      <c r="C4978" s="2" t="s">
        <v>181</v>
      </c>
      <c r="D4978" s="20">
        <v>0</v>
      </c>
      <c r="E4978" s="2" t="s">
        <v>838</v>
      </c>
      <c r="F4978" s="2" t="s">
        <v>793</v>
      </c>
      <c r="G4978" s="2" t="s">
        <v>3257</v>
      </c>
      <c r="H4978" s="2" t="s">
        <v>952</v>
      </c>
      <c r="J4978" s="26"/>
      <c r="K4978" s="36">
        <v>2.9999999999999997E-8</v>
      </c>
      <c r="L4978" s="23">
        <v>0</v>
      </c>
    </row>
    <row r="4979" spans="1:12" ht="15.35" hidden="1" x14ac:dyDescent="0.55000000000000004">
      <c r="A4979" s="20">
        <v>13144</v>
      </c>
      <c r="B4979" s="2" t="s">
        <v>180</v>
      </c>
      <c r="C4979" s="2" t="s">
        <v>181</v>
      </c>
      <c r="D4979" s="20">
        <v>0</v>
      </c>
      <c r="E4979" s="2" t="s">
        <v>838</v>
      </c>
      <c r="F4979" s="2" t="s">
        <v>793</v>
      </c>
      <c r="G4979" s="2" t="s">
        <v>3898</v>
      </c>
      <c r="H4979" s="2" t="s">
        <v>952</v>
      </c>
      <c r="J4979" s="26"/>
      <c r="K4979" s="36">
        <v>1.4999999999999999E-7</v>
      </c>
      <c r="L4979" s="23">
        <v>1E-8</v>
      </c>
    </row>
    <row r="4980" spans="1:12" ht="15.35" hidden="1" x14ac:dyDescent="0.55000000000000004">
      <c r="A4980" s="20">
        <v>13228</v>
      </c>
      <c r="B4980" s="2" t="s">
        <v>180</v>
      </c>
      <c r="C4980" s="2" t="s">
        <v>181</v>
      </c>
      <c r="D4980" s="20">
        <v>0</v>
      </c>
      <c r="E4980" s="2" t="s">
        <v>838</v>
      </c>
      <c r="F4980" s="2" t="s">
        <v>793</v>
      </c>
      <c r="G4980" s="2" t="s">
        <v>4535</v>
      </c>
      <c r="H4980" s="2" t="s">
        <v>952</v>
      </c>
      <c r="J4980" s="26"/>
      <c r="K4980" s="36">
        <v>4.0000000000000001E-8</v>
      </c>
      <c r="L4980" s="23">
        <v>0</v>
      </c>
    </row>
    <row r="4981" spans="1:12" ht="15.35" hidden="1" x14ac:dyDescent="0.55000000000000004">
      <c r="A4981" s="20">
        <v>13273</v>
      </c>
      <c r="B4981" s="2" t="s">
        <v>180</v>
      </c>
      <c r="C4981" s="2" t="s">
        <v>181</v>
      </c>
      <c r="D4981" s="20">
        <v>0</v>
      </c>
      <c r="E4981" s="2" t="s">
        <v>838</v>
      </c>
      <c r="F4981" s="2" t="s">
        <v>793</v>
      </c>
      <c r="G4981" s="2" t="s">
        <v>4536</v>
      </c>
      <c r="H4981" s="2" t="s">
        <v>952</v>
      </c>
      <c r="J4981" s="26"/>
      <c r="K4981" s="36">
        <v>2E-8</v>
      </c>
      <c r="L4981" s="23">
        <v>0</v>
      </c>
    </row>
    <row r="4982" spans="1:12" ht="15.35" hidden="1" x14ac:dyDescent="0.55000000000000004">
      <c r="A4982" s="20">
        <v>13259</v>
      </c>
      <c r="B4982" s="2" t="s">
        <v>180</v>
      </c>
      <c r="C4982" s="2" t="s">
        <v>181</v>
      </c>
      <c r="D4982" s="20">
        <v>0</v>
      </c>
      <c r="E4982" s="2" t="s">
        <v>838</v>
      </c>
      <c r="F4982" s="2" t="s">
        <v>793</v>
      </c>
      <c r="G4982" s="2" t="s">
        <v>4537</v>
      </c>
      <c r="H4982" s="2" t="s">
        <v>952</v>
      </c>
      <c r="J4982" s="26"/>
      <c r="K4982" s="36">
        <v>2.9999999999999997E-8</v>
      </c>
      <c r="L4982" s="23">
        <v>0</v>
      </c>
    </row>
    <row r="4983" spans="1:12" ht="15.35" hidden="1" x14ac:dyDescent="0.55000000000000004">
      <c r="A4983" s="20">
        <v>13269</v>
      </c>
      <c r="B4983" s="2" t="s">
        <v>180</v>
      </c>
      <c r="C4983" s="2" t="s">
        <v>181</v>
      </c>
      <c r="D4983" s="20">
        <v>0</v>
      </c>
      <c r="E4983" s="2" t="s">
        <v>838</v>
      </c>
      <c r="F4983" s="2" t="s">
        <v>793</v>
      </c>
      <c r="G4983" s="2" t="s">
        <v>4538</v>
      </c>
      <c r="H4983" s="2" t="s">
        <v>952</v>
      </c>
      <c r="J4983" s="26"/>
      <c r="K4983" s="36">
        <v>2E-8</v>
      </c>
      <c r="L4983" s="23">
        <v>0</v>
      </c>
    </row>
    <row r="4984" spans="1:12" ht="15.35" hidden="1" x14ac:dyDescent="0.55000000000000004">
      <c r="A4984" s="20">
        <v>13281</v>
      </c>
      <c r="B4984" s="2" t="s">
        <v>180</v>
      </c>
      <c r="C4984" s="2" t="s">
        <v>181</v>
      </c>
      <c r="D4984" s="20">
        <v>0</v>
      </c>
      <c r="E4984" s="2" t="s">
        <v>838</v>
      </c>
      <c r="F4984" s="2" t="s">
        <v>793</v>
      </c>
      <c r="G4984" s="2" t="s">
        <v>4539</v>
      </c>
      <c r="H4984" s="2" t="s">
        <v>952</v>
      </c>
      <c r="J4984" s="26"/>
      <c r="K4984" s="36">
        <v>2E-8</v>
      </c>
      <c r="L4984" s="23">
        <v>0</v>
      </c>
    </row>
    <row r="4985" spans="1:12" ht="15.35" hidden="1" x14ac:dyDescent="0.55000000000000004">
      <c r="A4985" s="20">
        <v>13176</v>
      </c>
      <c r="B4985" s="2" t="s">
        <v>180</v>
      </c>
      <c r="C4985" s="2" t="s">
        <v>181</v>
      </c>
      <c r="D4985" s="20">
        <v>0</v>
      </c>
      <c r="E4985" s="2" t="s">
        <v>838</v>
      </c>
      <c r="F4985" s="2" t="s">
        <v>793</v>
      </c>
      <c r="G4985" s="2" t="s">
        <v>4540</v>
      </c>
      <c r="H4985" s="2" t="s">
        <v>952</v>
      </c>
      <c r="J4985" s="26"/>
      <c r="K4985" s="36">
        <v>9.9999999999999995E-8</v>
      </c>
      <c r="L4985" s="23">
        <v>1E-8</v>
      </c>
    </row>
    <row r="4986" spans="1:12" ht="15.35" hidden="1" x14ac:dyDescent="0.55000000000000004">
      <c r="A4986" s="20">
        <v>13277</v>
      </c>
      <c r="B4986" s="2" t="s">
        <v>180</v>
      </c>
      <c r="C4986" s="2" t="s">
        <v>181</v>
      </c>
      <c r="D4986" s="20">
        <v>0</v>
      </c>
      <c r="E4986" s="2" t="s">
        <v>838</v>
      </c>
      <c r="F4986" s="2" t="s">
        <v>793</v>
      </c>
      <c r="G4986" s="2" t="s">
        <v>3313</v>
      </c>
      <c r="H4986" s="2" t="s">
        <v>952</v>
      </c>
      <c r="J4986" s="26"/>
      <c r="K4986" s="36">
        <v>2E-8</v>
      </c>
      <c r="L4986" s="23">
        <v>0</v>
      </c>
    </row>
    <row r="4987" spans="1:12" ht="15.35" hidden="1" x14ac:dyDescent="0.55000000000000004">
      <c r="A4987" s="20">
        <v>13258</v>
      </c>
      <c r="B4987" s="2" t="s">
        <v>180</v>
      </c>
      <c r="C4987" s="2" t="s">
        <v>181</v>
      </c>
      <c r="D4987" s="20">
        <v>0</v>
      </c>
      <c r="E4987" s="2" t="s">
        <v>838</v>
      </c>
      <c r="F4987" s="2" t="s">
        <v>793</v>
      </c>
      <c r="G4987" s="2" t="s">
        <v>3314</v>
      </c>
      <c r="H4987" s="2" t="s">
        <v>952</v>
      </c>
      <c r="J4987" s="26"/>
      <c r="K4987" s="36">
        <v>2.9999999999999997E-8</v>
      </c>
      <c r="L4987" s="23">
        <v>0</v>
      </c>
    </row>
    <row r="4988" spans="1:12" ht="15.35" hidden="1" x14ac:dyDescent="0.55000000000000004">
      <c r="A4988" s="20">
        <v>13197</v>
      </c>
      <c r="B4988" s="2" t="s">
        <v>180</v>
      </c>
      <c r="C4988" s="2" t="s">
        <v>181</v>
      </c>
      <c r="D4988" s="20">
        <v>0</v>
      </c>
      <c r="E4988" s="2" t="s">
        <v>838</v>
      </c>
      <c r="F4988" s="2" t="s">
        <v>793</v>
      </c>
      <c r="G4988" s="2" t="s">
        <v>3315</v>
      </c>
      <c r="H4988" s="2" t="s">
        <v>952</v>
      </c>
      <c r="J4988" s="26"/>
      <c r="K4988" s="36">
        <v>7.0000000000000005E-8</v>
      </c>
      <c r="L4988" s="23">
        <v>1E-8</v>
      </c>
    </row>
    <row r="4989" spans="1:12" ht="15.35" hidden="1" x14ac:dyDescent="0.55000000000000004">
      <c r="A4989" s="20">
        <v>13086</v>
      </c>
      <c r="B4989" s="2" t="s">
        <v>180</v>
      </c>
      <c r="C4989" s="2" t="s">
        <v>181</v>
      </c>
      <c r="D4989" s="20">
        <v>0</v>
      </c>
      <c r="E4989" s="2" t="s">
        <v>838</v>
      </c>
      <c r="F4989" s="2" t="s">
        <v>793</v>
      </c>
      <c r="G4989" s="2" t="s">
        <v>4541</v>
      </c>
      <c r="H4989" s="2" t="s">
        <v>952</v>
      </c>
      <c r="J4989" s="26"/>
      <c r="K4989" s="36">
        <v>3.5999999999999999E-7</v>
      </c>
      <c r="L4989" s="23">
        <v>4.0000000000000001E-8</v>
      </c>
    </row>
    <row r="4990" spans="1:12" ht="15.35" hidden="1" x14ac:dyDescent="0.55000000000000004">
      <c r="A4990" s="20">
        <v>13353</v>
      </c>
      <c r="B4990" s="2" t="s">
        <v>180</v>
      </c>
      <c r="C4990" s="2" t="s">
        <v>181</v>
      </c>
      <c r="D4990" s="20">
        <v>0</v>
      </c>
      <c r="E4990" s="2" t="s">
        <v>838</v>
      </c>
      <c r="F4990" s="2" t="s">
        <v>811</v>
      </c>
      <c r="G4990" s="2" t="s">
        <v>4082</v>
      </c>
      <c r="H4990" s="2" t="s">
        <v>4083</v>
      </c>
      <c r="J4990" s="26"/>
      <c r="K4990" s="36">
        <v>1E-8</v>
      </c>
      <c r="L4990" s="23">
        <v>0</v>
      </c>
    </row>
    <row r="4991" spans="1:12" ht="15.35" hidden="1" x14ac:dyDescent="0.55000000000000004">
      <c r="A4991" s="20">
        <v>13211</v>
      </c>
      <c r="B4991" s="2" t="s">
        <v>180</v>
      </c>
      <c r="C4991" s="2" t="s">
        <v>181</v>
      </c>
      <c r="D4991" s="20">
        <v>0</v>
      </c>
      <c r="E4991" s="2" t="s">
        <v>838</v>
      </c>
      <c r="F4991" s="2" t="s">
        <v>811</v>
      </c>
      <c r="G4991" s="2" t="s">
        <v>4542</v>
      </c>
      <c r="H4991" s="2" t="s">
        <v>4085</v>
      </c>
      <c r="J4991" s="26"/>
      <c r="K4991" s="36">
        <v>4.9999999999999998E-8</v>
      </c>
      <c r="L4991" s="23">
        <v>1E-8</v>
      </c>
    </row>
    <row r="4992" spans="1:12" ht="15.35" hidden="1" x14ac:dyDescent="0.55000000000000004">
      <c r="A4992" s="20">
        <v>13035</v>
      </c>
      <c r="B4992" s="2" t="s">
        <v>180</v>
      </c>
      <c r="C4992" s="2" t="s">
        <v>181</v>
      </c>
      <c r="D4992" s="20">
        <v>0</v>
      </c>
      <c r="E4992" s="2" t="s">
        <v>838</v>
      </c>
      <c r="F4992" s="2" t="s">
        <v>848</v>
      </c>
      <c r="G4992" s="2" t="s">
        <v>1698</v>
      </c>
      <c r="H4992" s="2" t="s">
        <v>1698</v>
      </c>
      <c r="J4992" s="26"/>
      <c r="K4992" s="36">
        <v>6.9999999999999997E-7</v>
      </c>
      <c r="L4992" s="23">
        <v>7.0000000000000005E-8</v>
      </c>
    </row>
    <row r="4993" spans="1:12" ht="15.35" hidden="1" x14ac:dyDescent="0.55000000000000004">
      <c r="A4993" s="20">
        <v>13055</v>
      </c>
      <c r="B4993" s="2" t="s">
        <v>180</v>
      </c>
      <c r="C4993" s="2" t="s">
        <v>181</v>
      </c>
      <c r="D4993" s="20">
        <v>0</v>
      </c>
      <c r="E4993" s="2" t="s">
        <v>838</v>
      </c>
      <c r="F4993" s="2" t="s">
        <v>848</v>
      </c>
      <c r="G4993" s="2" t="s">
        <v>1707</v>
      </c>
      <c r="H4993" s="2" t="s">
        <v>1707</v>
      </c>
      <c r="J4993" s="26"/>
      <c r="K4993" s="36">
        <v>5.3000000000000001E-7</v>
      </c>
      <c r="L4993" s="23">
        <v>4.9999999999999998E-8</v>
      </c>
    </row>
    <row r="4994" spans="1:12" ht="15.35" hidden="1" x14ac:dyDescent="0.55000000000000004">
      <c r="A4994" s="20">
        <v>12991</v>
      </c>
      <c r="B4994" s="2" t="s">
        <v>180</v>
      </c>
      <c r="C4994" s="2" t="s">
        <v>181</v>
      </c>
      <c r="D4994" s="20">
        <v>0</v>
      </c>
      <c r="E4994" s="2" t="s">
        <v>838</v>
      </c>
      <c r="F4994" s="2" t="s">
        <v>793</v>
      </c>
      <c r="G4994" s="2" t="s">
        <v>4543</v>
      </c>
      <c r="H4994" s="2" t="s">
        <v>864</v>
      </c>
      <c r="J4994" s="26"/>
      <c r="K4994" s="36">
        <v>1.6500000000000001E-6</v>
      </c>
      <c r="L4994" s="23">
        <v>1.6E-7</v>
      </c>
    </row>
    <row r="4995" spans="1:12" ht="15.35" hidden="1" x14ac:dyDescent="0.55000000000000004">
      <c r="A4995" s="20">
        <v>12994</v>
      </c>
      <c r="B4995" s="2" t="s">
        <v>180</v>
      </c>
      <c r="C4995" s="2" t="s">
        <v>181</v>
      </c>
      <c r="D4995" s="20">
        <v>0</v>
      </c>
      <c r="E4995" s="2" t="s">
        <v>838</v>
      </c>
      <c r="F4995" s="2" t="s">
        <v>793</v>
      </c>
      <c r="G4995" s="2" t="s">
        <v>4544</v>
      </c>
      <c r="H4995" s="2" t="s">
        <v>864</v>
      </c>
      <c r="J4995" s="26"/>
      <c r="K4995" s="36">
        <v>1.4699999999999999E-6</v>
      </c>
      <c r="L4995" s="23">
        <v>1.4999999999999999E-7</v>
      </c>
    </row>
    <row r="4996" spans="1:12" ht="15.35" hidden="1" x14ac:dyDescent="0.55000000000000004">
      <c r="A4996" s="20">
        <v>12998</v>
      </c>
      <c r="B4996" s="2" t="s">
        <v>180</v>
      </c>
      <c r="C4996" s="2" t="s">
        <v>181</v>
      </c>
      <c r="D4996" s="20">
        <v>0</v>
      </c>
      <c r="E4996" s="2" t="s">
        <v>838</v>
      </c>
      <c r="F4996" s="2" t="s">
        <v>793</v>
      </c>
      <c r="G4996" s="2" t="s">
        <v>4545</v>
      </c>
      <c r="H4996" s="2" t="s">
        <v>864</v>
      </c>
      <c r="J4996" s="26"/>
      <c r="K4996" s="36">
        <v>1.4500000000000001E-6</v>
      </c>
      <c r="L4996" s="23">
        <v>1.4999999999999999E-7</v>
      </c>
    </row>
    <row r="4997" spans="1:12" ht="15.35" hidden="1" x14ac:dyDescent="0.55000000000000004">
      <c r="A4997" s="20">
        <v>13112</v>
      </c>
      <c r="B4997" s="2" t="s">
        <v>180</v>
      </c>
      <c r="C4997" s="2" t="s">
        <v>181</v>
      </c>
      <c r="D4997" s="20">
        <v>0</v>
      </c>
      <c r="E4997" s="2" t="s">
        <v>838</v>
      </c>
      <c r="F4997" s="2" t="s">
        <v>793</v>
      </c>
      <c r="G4997" s="2" t="s">
        <v>4546</v>
      </c>
      <c r="H4997" s="2" t="s">
        <v>864</v>
      </c>
      <c r="J4997" s="26"/>
      <c r="K4997" s="36">
        <v>2.4999999999999999E-7</v>
      </c>
      <c r="L4997" s="23">
        <v>2.9999999999999997E-8</v>
      </c>
    </row>
    <row r="4998" spans="1:12" ht="15.35" hidden="1" x14ac:dyDescent="0.55000000000000004">
      <c r="A4998" s="20">
        <v>12986</v>
      </c>
      <c r="B4998" s="2" t="s">
        <v>180</v>
      </c>
      <c r="C4998" s="2" t="s">
        <v>181</v>
      </c>
      <c r="D4998" s="20">
        <v>0</v>
      </c>
      <c r="E4998" s="2" t="s">
        <v>838</v>
      </c>
      <c r="F4998" s="2" t="s">
        <v>793</v>
      </c>
      <c r="G4998" s="2" t="s">
        <v>4326</v>
      </c>
      <c r="H4998" s="2" t="s">
        <v>864</v>
      </c>
      <c r="J4998" s="26"/>
      <c r="K4998" s="36">
        <v>1.7E-6</v>
      </c>
      <c r="L4998" s="23">
        <v>1.6999999999999999E-7</v>
      </c>
    </row>
    <row r="4999" spans="1:12" ht="15.35" hidden="1" x14ac:dyDescent="0.55000000000000004">
      <c r="A4999" s="20">
        <v>12987</v>
      </c>
      <c r="B4999" s="2" t="s">
        <v>180</v>
      </c>
      <c r="C4999" s="2" t="s">
        <v>181</v>
      </c>
      <c r="D4999" s="20">
        <v>0</v>
      </c>
      <c r="E4999" s="2" t="s">
        <v>838</v>
      </c>
      <c r="F4999" s="2" t="s">
        <v>793</v>
      </c>
      <c r="G4999" s="2" t="s">
        <v>4327</v>
      </c>
      <c r="H4999" s="2" t="s">
        <v>864</v>
      </c>
      <c r="J4999" s="26"/>
      <c r="K4999" s="36">
        <v>1.7E-6</v>
      </c>
      <c r="L4999" s="23">
        <v>1.6999999999999999E-7</v>
      </c>
    </row>
    <row r="5000" spans="1:12" ht="15.35" hidden="1" x14ac:dyDescent="0.55000000000000004">
      <c r="A5000" s="20">
        <v>13325</v>
      </c>
      <c r="B5000" s="2" t="s">
        <v>180</v>
      </c>
      <c r="C5000" s="2" t="s">
        <v>181</v>
      </c>
      <c r="D5000" s="20">
        <v>0</v>
      </c>
      <c r="E5000" s="2" t="s">
        <v>838</v>
      </c>
      <c r="F5000" s="2" t="s">
        <v>793</v>
      </c>
      <c r="G5000" s="2" t="s">
        <v>4547</v>
      </c>
      <c r="H5000" s="2" t="s">
        <v>1153</v>
      </c>
      <c r="J5000" s="26"/>
      <c r="K5000" s="36">
        <v>1E-8</v>
      </c>
      <c r="L5000" s="23">
        <v>0</v>
      </c>
    </row>
    <row r="5001" spans="1:12" ht="15.35" hidden="1" x14ac:dyDescent="0.55000000000000004">
      <c r="A5001" s="20">
        <v>13256</v>
      </c>
      <c r="B5001" s="2" t="s">
        <v>180</v>
      </c>
      <c r="C5001" s="2" t="s">
        <v>181</v>
      </c>
      <c r="D5001" s="20">
        <v>0</v>
      </c>
      <c r="E5001" s="2" t="s">
        <v>838</v>
      </c>
      <c r="F5001" s="2" t="s">
        <v>793</v>
      </c>
      <c r="G5001" s="2" t="s">
        <v>4548</v>
      </c>
      <c r="H5001" s="2" t="s">
        <v>1153</v>
      </c>
      <c r="J5001" s="26"/>
      <c r="K5001" s="36">
        <v>2.9999999999999997E-8</v>
      </c>
      <c r="L5001" s="23">
        <v>0</v>
      </c>
    </row>
    <row r="5002" spans="1:12" ht="15.35" hidden="1" x14ac:dyDescent="0.55000000000000004">
      <c r="A5002" s="20">
        <v>13012</v>
      </c>
      <c r="B5002" s="2" t="s">
        <v>180</v>
      </c>
      <c r="C5002" s="2" t="s">
        <v>181</v>
      </c>
      <c r="D5002" s="20">
        <v>0</v>
      </c>
      <c r="E5002" s="2" t="s">
        <v>838</v>
      </c>
      <c r="F5002" s="2" t="s">
        <v>848</v>
      </c>
      <c r="G5002" s="2" t="s">
        <v>1153</v>
      </c>
      <c r="H5002" s="2" t="s">
        <v>1153</v>
      </c>
      <c r="J5002" s="26"/>
      <c r="K5002" s="36">
        <v>1.06E-6</v>
      </c>
      <c r="L5002" s="23">
        <v>1.1000000000000001E-7</v>
      </c>
    </row>
    <row r="5003" spans="1:12" ht="15.35" hidden="1" x14ac:dyDescent="0.55000000000000004">
      <c r="A5003" s="20">
        <v>13354</v>
      </c>
      <c r="B5003" s="2" t="s">
        <v>180</v>
      </c>
      <c r="C5003" s="2" t="s">
        <v>181</v>
      </c>
      <c r="D5003" s="20">
        <v>0</v>
      </c>
      <c r="E5003" s="2" t="s">
        <v>838</v>
      </c>
      <c r="F5003" s="2" t="s">
        <v>793</v>
      </c>
      <c r="G5003" s="2" t="s">
        <v>3371</v>
      </c>
      <c r="H5003" s="2" t="s">
        <v>1155</v>
      </c>
      <c r="J5003" s="26"/>
      <c r="K5003" s="36">
        <v>1E-8</v>
      </c>
      <c r="L5003" s="23">
        <v>0</v>
      </c>
    </row>
    <row r="5004" spans="1:12" ht="15.35" hidden="1" x14ac:dyDescent="0.55000000000000004">
      <c r="A5004" s="20">
        <v>13198</v>
      </c>
      <c r="B5004" s="2" t="s">
        <v>180</v>
      </c>
      <c r="C5004" s="2" t="s">
        <v>181</v>
      </c>
      <c r="D5004" s="20">
        <v>0</v>
      </c>
      <c r="E5004" s="2" t="s">
        <v>838</v>
      </c>
      <c r="F5004" s="2" t="s">
        <v>793</v>
      </c>
      <c r="G5004" s="2" t="s">
        <v>1154</v>
      </c>
      <c r="H5004" s="2" t="s">
        <v>1155</v>
      </c>
      <c r="J5004" s="26"/>
      <c r="K5004" s="36">
        <v>7.0000000000000005E-8</v>
      </c>
      <c r="L5004" s="23">
        <v>1E-8</v>
      </c>
    </row>
    <row r="5005" spans="1:12" ht="15.35" hidden="1" x14ac:dyDescent="0.55000000000000004">
      <c r="A5005" s="20">
        <v>13276</v>
      </c>
      <c r="B5005" s="2" t="s">
        <v>180</v>
      </c>
      <c r="C5005" s="2" t="s">
        <v>181</v>
      </c>
      <c r="D5005" s="20">
        <v>0</v>
      </c>
      <c r="E5005" s="2" t="s">
        <v>838</v>
      </c>
      <c r="F5005" s="2" t="s">
        <v>793</v>
      </c>
      <c r="G5005" s="2" t="s">
        <v>4549</v>
      </c>
      <c r="H5005" s="2" t="s">
        <v>1155</v>
      </c>
      <c r="J5005" s="26"/>
      <c r="K5005" s="36">
        <v>2E-8</v>
      </c>
      <c r="L5005" s="23">
        <v>0</v>
      </c>
    </row>
    <row r="5006" spans="1:12" ht="15.35" hidden="1" x14ac:dyDescent="0.55000000000000004">
      <c r="A5006" s="20">
        <v>13199</v>
      </c>
      <c r="B5006" s="2" t="s">
        <v>180</v>
      </c>
      <c r="C5006" s="2" t="s">
        <v>181</v>
      </c>
      <c r="D5006" s="20">
        <v>0</v>
      </c>
      <c r="E5006" s="2" t="s">
        <v>838</v>
      </c>
      <c r="F5006" s="2" t="s">
        <v>793</v>
      </c>
      <c r="G5006" s="2" t="s">
        <v>1156</v>
      </c>
      <c r="H5006" s="2" t="s">
        <v>1155</v>
      </c>
      <c r="J5006" s="26"/>
      <c r="K5006" s="36">
        <v>5.9999999999999995E-8</v>
      </c>
      <c r="L5006" s="23">
        <v>1E-8</v>
      </c>
    </row>
    <row r="5007" spans="1:12" ht="15.35" hidden="1" x14ac:dyDescent="0.55000000000000004">
      <c r="A5007" s="20">
        <v>13212</v>
      </c>
      <c r="B5007" s="2" t="s">
        <v>180</v>
      </c>
      <c r="C5007" s="2" t="s">
        <v>181</v>
      </c>
      <c r="D5007" s="20">
        <v>0</v>
      </c>
      <c r="E5007" s="2" t="s">
        <v>838</v>
      </c>
      <c r="F5007" s="2" t="s">
        <v>793</v>
      </c>
      <c r="G5007" s="2" t="s">
        <v>4550</v>
      </c>
      <c r="H5007" s="2" t="s">
        <v>1155</v>
      </c>
      <c r="J5007" s="26"/>
      <c r="K5007" s="36">
        <v>4.9999999999999998E-8</v>
      </c>
      <c r="L5007" s="23">
        <v>1E-8</v>
      </c>
    </row>
    <row r="5008" spans="1:12" ht="15.35" hidden="1" x14ac:dyDescent="0.55000000000000004">
      <c r="A5008" s="20">
        <v>13283</v>
      </c>
      <c r="B5008" s="2" t="s">
        <v>180</v>
      </c>
      <c r="C5008" s="2" t="s">
        <v>181</v>
      </c>
      <c r="D5008" s="20">
        <v>0</v>
      </c>
      <c r="E5008" s="2" t="s">
        <v>838</v>
      </c>
      <c r="F5008" s="2" t="s">
        <v>793</v>
      </c>
      <c r="G5008" s="2" t="s">
        <v>4551</v>
      </c>
      <c r="H5008" s="2" t="s">
        <v>1155</v>
      </c>
      <c r="J5008" s="26"/>
      <c r="K5008" s="36">
        <v>2E-8</v>
      </c>
      <c r="L5008" s="23">
        <v>0</v>
      </c>
    </row>
    <row r="5009" spans="1:12" ht="15.35" hidden="1" x14ac:dyDescent="0.55000000000000004">
      <c r="A5009" s="20">
        <v>13266</v>
      </c>
      <c r="B5009" s="2" t="s">
        <v>180</v>
      </c>
      <c r="C5009" s="2" t="s">
        <v>181</v>
      </c>
      <c r="D5009" s="20">
        <v>0</v>
      </c>
      <c r="E5009" s="2" t="s">
        <v>838</v>
      </c>
      <c r="F5009" s="2" t="s">
        <v>793</v>
      </c>
      <c r="G5009" s="2" t="s">
        <v>3372</v>
      </c>
      <c r="H5009" s="2" t="s">
        <v>1155</v>
      </c>
      <c r="J5009" s="26"/>
      <c r="K5009" s="36">
        <v>2E-8</v>
      </c>
      <c r="L5009" s="23">
        <v>0</v>
      </c>
    </row>
    <row r="5010" spans="1:12" ht="15.35" hidden="1" x14ac:dyDescent="0.55000000000000004">
      <c r="A5010" s="20">
        <v>13323</v>
      </c>
      <c r="B5010" s="2" t="s">
        <v>180</v>
      </c>
      <c r="C5010" s="2" t="s">
        <v>181</v>
      </c>
      <c r="D5010" s="20">
        <v>0</v>
      </c>
      <c r="E5010" s="2" t="s">
        <v>838</v>
      </c>
      <c r="F5010" s="2" t="s">
        <v>793</v>
      </c>
      <c r="G5010" s="2" t="s">
        <v>3373</v>
      </c>
      <c r="H5010" s="2" t="s">
        <v>1155</v>
      </c>
      <c r="J5010" s="26"/>
      <c r="K5010" s="36">
        <v>2E-8</v>
      </c>
      <c r="L5010" s="23">
        <v>0</v>
      </c>
    </row>
    <row r="5011" spans="1:12" ht="15.35" hidden="1" x14ac:dyDescent="0.55000000000000004">
      <c r="A5011" s="20">
        <v>13233</v>
      </c>
      <c r="B5011" s="2" t="s">
        <v>180</v>
      </c>
      <c r="C5011" s="2" t="s">
        <v>181</v>
      </c>
      <c r="D5011" s="20">
        <v>0</v>
      </c>
      <c r="E5011" s="2" t="s">
        <v>838</v>
      </c>
      <c r="F5011" s="2" t="s">
        <v>793</v>
      </c>
      <c r="G5011" s="2" t="s">
        <v>4552</v>
      </c>
      <c r="H5011" s="2" t="s">
        <v>1155</v>
      </c>
      <c r="J5011" s="26"/>
      <c r="K5011" s="36">
        <v>2.9999999999999997E-8</v>
      </c>
      <c r="L5011" s="23">
        <v>0</v>
      </c>
    </row>
    <row r="5012" spans="1:12" ht="15.35" hidden="1" x14ac:dyDescent="0.55000000000000004">
      <c r="A5012" s="20">
        <v>13002</v>
      </c>
      <c r="B5012" s="2" t="s">
        <v>180</v>
      </c>
      <c r="C5012" s="2" t="s">
        <v>181</v>
      </c>
      <c r="D5012" s="20">
        <v>0</v>
      </c>
      <c r="E5012" s="2" t="s">
        <v>838</v>
      </c>
      <c r="F5012" s="2" t="s">
        <v>787</v>
      </c>
      <c r="G5012" s="2" t="s">
        <v>1155</v>
      </c>
      <c r="H5012" s="2" t="s">
        <v>1155</v>
      </c>
      <c r="J5012" s="26"/>
      <c r="K5012" s="36">
        <v>1.22E-6</v>
      </c>
      <c r="L5012" s="23">
        <v>1.1999999999999999E-7</v>
      </c>
    </row>
    <row r="5013" spans="1:12" ht="15.35" hidden="1" x14ac:dyDescent="0.55000000000000004">
      <c r="A5013" s="20">
        <v>13016</v>
      </c>
      <c r="B5013" s="2" t="s">
        <v>180</v>
      </c>
      <c r="C5013" s="2" t="s">
        <v>181</v>
      </c>
      <c r="D5013" s="20">
        <v>0</v>
      </c>
      <c r="E5013" s="2" t="s">
        <v>838</v>
      </c>
      <c r="F5013" s="2" t="s">
        <v>787</v>
      </c>
      <c r="G5013" s="2" t="s">
        <v>1160</v>
      </c>
      <c r="H5013" s="2" t="s">
        <v>1160</v>
      </c>
      <c r="J5013" s="26"/>
      <c r="K5013" s="36">
        <v>9.1999999999999998E-7</v>
      </c>
      <c r="L5013" s="23">
        <v>8.9999999999999999E-8</v>
      </c>
    </row>
    <row r="5014" spans="1:12" ht="15.35" hidden="1" x14ac:dyDescent="0.55000000000000004">
      <c r="A5014" s="20">
        <v>13137</v>
      </c>
      <c r="B5014" s="2" t="s">
        <v>180</v>
      </c>
      <c r="C5014" s="2" t="s">
        <v>181</v>
      </c>
      <c r="D5014" s="20">
        <v>0</v>
      </c>
      <c r="E5014" s="2" t="s">
        <v>838</v>
      </c>
      <c r="F5014" s="2" t="s">
        <v>787</v>
      </c>
      <c r="G5014" s="2" t="s">
        <v>1739</v>
      </c>
      <c r="H5014" s="2" t="s">
        <v>1739</v>
      </c>
      <c r="J5014" s="26"/>
      <c r="K5014" s="36">
        <v>1.6999999999999999E-7</v>
      </c>
      <c r="L5014" s="23">
        <v>2E-8</v>
      </c>
    </row>
    <row r="5015" spans="1:12" ht="15.35" hidden="1" x14ac:dyDescent="0.55000000000000004">
      <c r="A5015" s="20">
        <v>12955</v>
      </c>
      <c r="B5015" s="2" t="s">
        <v>180</v>
      </c>
      <c r="C5015" s="2" t="s">
        <v>181</v>
      </c>
      <c r="D5015" s="20">
        <v>0</v>
      </c>
      <c r="E5015" s="2" t="s">
        <v>838</v>
      </c>
      <c r="F5015" s="2" t="s">
        <v>817</v>
      </c>
      <c r="G5015" s="2" t="s">
        <v>1163</v>
      </c>
      <c r="H5015" s="2" t="s">
        <v>1163</v>
      </c>
      <c r="J5015" s="26"/>
      <c r="K5015" s="36">
        <v>1.7E-6</v>
      </c>
      <c r="L5015" s="23">
        <v>1.6999999999999999E-7</v>
      </c>
    </row>
    <row r="5016" spans="1:12" ht="15.35" hidden="1" x14ac:dyDescent="0.55000000000000004">
      <c r="A5016" s="20">
        <v>12973</v>
      </c>
      <c r="B5016" s="2" t="s">
        <v>180</v>
      </c>
      <c r="C5016" s="2" t="s">
        <v>181</v>
      </c>
      <c r="D5016" s="20">
        <v>0</v>
      </c>
      <c r="E5016" s="2" t="s">
        <v>838</v>
      </c>
      <c r="F5016" s="2" t="s">
        <v>817</v>
      </c>
      <c r="G5016" s="2" t="s">
        <v>1162</v>
      </c>
      <c r="H5016" s="2" t="s">
        <v>1163</v>
      </c>
      <c r="J5016" s="26"/>
      <c r="K5016" s="36">
        <v>1.7E-6</v>
      </c>
      <c r="L5016" s="23">
        <v>1.6999999999999999E-7</v>
      </c>
    </row>
    <row r="5017" spans="1:12" ht="15.35" hidden="1" x14ac:dyDescent="0.55000000000000004">
      <c r="A5017" s="20">
        <v>12984</v>
      </c>
      <c r="B5017" s="2" t="s">
        <v>180</v>
      </c>
      <c r="C5017" s="2" t="s">
        <v>181</v>
      </c>
      <c r="D5017" s="20">
        <v>0</v>
      </c>
      <c r="E5017" s="2" t="s">
        <v>838</v>
      </c>
      <c r="F5017" s="2" t="s">
        <v>787</v>
      </c>
      <c r="G5017" s="2" t="s">
        <v>1164</v>
      </c>
      <c r="H5017" s="2" t="s">
        <v>1164</v>
      </c>
      <c r="J5017" s="26"/>
      <c r="K5017" s="36">
        <v>1.7E-6</v>
      </c>
      <c r="L5017" s="23">
        <v>1.6999999999999999E-7</v>
      </c>
    </row>
    <row r="5018" spans="1:12" ht="15.35" hidden="1" x14ac:dyDescent="0.55000000000000004">
      <c r="A5018" s="20">
        <v>13185</v>
      </c>
      <c r="B5018" s="2" t="s">
        <v>180</v>
      </c>
      <c r="C5018" s="2" t="s">
        <v>181</v>
      </c>
      <c r="D5018" s="20">
        <v>0</v>
      </c>
      <c r="E5018" s="2" t="s">
        <v>838</v>
      </c>
      <c r="F5018" s="2" t="s">
        <v>793</v>
      </c>
      <c r="G5018" s="2" t="s">
        <v>3389</v>
      </c>
      <c r="H5018" s="2" t="s">
        <v>1166</v>
      </c>
      <c r="J5018" s="26"/>
      <c r="K5018" s="36">
        <v>8.9999999999999999E-8</v>
      </c>
      <c r="L5018" s="23">
        <v>1E-8</v>
      </c>
    </row>
    <row r="5019" spans="1:12" ht="15.35" hidden="1" x14ac:dyDescent="0.55000000000000004">
      <c r="A5019" s="20">
        <v>13206</v>
      </c>
      <c r="B5019" s="2" t="s">
        <v>180</v>
      </c>
      <c r="C5019" s="2" t="s">
        <v>181</v>
      </c>
      <c r="D5019" s="20">
        <v>0</v>
      </c>
      <c r="E5019" s="2" t="s">
        <v>838</v>
      </c>
      <c r="F5019" s="2" t="s">
        <v>793</v>
      </c>
      <c r="G5019" s="2" t="s">
        <v>3983</v>
      </c>
      <c r="H5019" s="2" t="s">
        <v>1166</v>
      </c>
      <c r="J5019" s="26"/>
      <c r="K5019" s="36">
        <v>4.9999999999999998E-8</v>
      </c>
      <c r="L5019" s="23">
        <v>1E-8</v>
      </c>
    </row>
    <row r="5020" spans="1:12" ht="15.35" hidden="1" x14ac:dyDescent="0.55000000000000004">
      <c r="A5020" s="20">
        <v>13183</v>
      </c>
      <c r="B5020" s="2" t="s">
        <v>180</v>
      </c>
      <c r="C5020" s="2" t="s">
        <v>181</v>
      </c>
      <c r="D5020" s="20">
        <v>0</v>
      </c>
      <c r="E5020" s="2" t="s">
        <v>838</v>
      </c>
      <c r="F5020" s="2" t="s">
        <v>793</v>
      </c>
      <c r="G5020" s="2" t="s">
        <v>4087</v>
      </c>
      <c r="H5020" s="2" t="s">
        <v>1166</v>
      </c>
      <c r="J5020" s="26"/>
      <c r="K5020" s="36">
        <v>8.9999999999999999E-8</v>
      </c>
      <c r="L5020" s="23">
        <v>1E-8</v>
      </c>
    </row>
    <row r="5021" spans="1:12" ht="15.35" hidden="1" x14ac:dyDescent="0.55000000000000004">
      <c r="A5021" s="20">
        <v>13182</v>
      </c>
      <c r="B5021" s="2" t="s">
        <v>180</v>
      </c>
      <c r="C5021" s="2" t="s">
        <v>181</v>
      </c>
      <c r="D5021" s="20">
        <v>0</v>
      </c>
      <c r="E5021" s="2" t="s">
        <v>838</v>
      </c>
      <c r="F5021" s="2" t="s">
        <v>793</v>
      </c>
      <c r="G5021" s="2" t="s">
        <v>4088</v>
      </c>
      <c r="H5021" s="2" t="s">
        <v>1166</v>
      </c>
      <c r="J5021" s="26"/>
      <c r="K5021" s="36">
        <v>8.9999999999999999E-8</v>
      </c>
      <c r="L5021" s="23">
        <v>1E-8</v>
      </c>
    </row>
    <row r="5022" spans="1:12" ht="15.35" hidden="1" x14ac:dyDescent="0.55000000000000004">
      <c r="A5022" s="20">
        <v>13209</v>
      </c>
      <c r="B5022" s="2" t="s">
        <v>180</v>
      </c>
      <c r="C5022" s="2" t="s">
        <v>181</v>
      </c>
      <c r="D5022" s="20">
        <v>0</v>
      </c>
      <c r="E5022" s="2" t="s">
        <v>838</v>
      </c>
      <c r="F5022" s="2" t="s">
        <v>793</v>
      </c>
      <c r="G5022" s="2" t="s">
        <v>4553</v>
      </c>
      <c r="H5022" s="2" t="s">
        <v>1166</v>
      </c>
      <c r="J5022" s="26"/>
      <c r="K5022" s="36">
        <v>4.9999999999999998E-8</v>
      </c>
      <c r="L5022" s="23">
        <v>1E-8</v>
      </c>
    </row>
    <row r="5023" spans="1:12" ht="15.35" hidden="1" x14ac:dyDescent="0.55000000000000004">
      <c r="A5023" s="20">
        <v>13210</v>
      </c>
      <c r="B5023" s="2" t="s">
        <v>180</v>
      </c>
      <c r="C5023" s="2" t="s">
        <v>181</v>
      </c>
      <c r="D5023" s="20">
        <v>0</v>
      </c>
      <c r="E5023" s="2" t="s">
        <v>838</v>
      </c>
      <c r="F5023" s="2" t="s">
        <v>793</v>
      </c>
      <c r="G5023" s="2" t="s">
        <v>4554</v>
      </c>
      <c r="H5023" s="2" t="s">
        <v>1166</v>
      </c>
      <c r="J5023" s="26"/>
      <c r="K5023" s="36">
        <v>4.9999999999999998E-8</v>
      </c>
      <c r="L5023" s="23">
        <v>1E-8</v>
      </c>
    </row>
    <row r="5024" spans="1:12" ht="15.35" hidden="1" x14ac:dyDescent="0.55000000000000004">
      <c r="A5024" s="20">
        <v>13207</v>
      </c>
      <c r="B5024" s="2" t="s">
        <v>180</v>
      </c>
      <c r="C5024" s="2" t="s">
        <v>181</v>
      </c>
      <c r="D5024" s="20">
        <v>0</v>
      </c>
      <c r="E5024" s="2" t="s">
        <v>838</v>
      </c>
      <c r="F5024" s="2" t="s">
        <v>793</v>
      </c>
      <c r="G5024" s="2" t="s">
        <v>3394</v>
      </c>
      <c r="H5024" s="2" t="s">
        <v>1166</v>
      </c>
      <c r="J5024" s="26"/>
      <c r="K5024" s="36">
        <v>4.9999999999999998E-8</v>
      </c>
      <c r="L5024" s="23">
        <v>1E-8</v>
      </c>
    </row>
    <row r="5025" spans="1:12" ht="15.35" hidden="1" x14ac:dyDescent="0.55000000000000004">
      <c r="A5025" s="20">
        <v>12971</v>
      </c>
      <c r="B5025" s="2" t="s">
        <v>180</v>
      </c>
      <c r="C5025" s="2" t="s">
        <v>181</v>
      </c>
      <c r="D5025" s="20">
        <v>0</v>
      </c>
      <c r="E5025" s="2" t="s">
        <v>838</v>
      </c>
      <c r="F5025" s="2" t="s">
        <v>848</v>
      </c>
      <c r="G5025" s="2" t="s">
        <v>1169</v>
      </c>
      <c r="H5025" s="2" t="s">
        <v>1169</v>
      </c>
      <c r="J5025" s="26"/>
      <c r="K5025" s="36">
        <v>1.7E-6</v>
      </c>
      <c r="L5025" s="23">
        <v>1.6999999999999999E-7</v>
      </c>
    </row>
    <row r="5026" spans="1:12" ht="15.35" hidden="1" x14ac:dyDescent="0.55000000000000004">
      <c r="A5026" s="20">
        <v>13043</v>
      </c>
      <c r="B5026" s="2" t="s">
        <v>180</v>
      </c>
      <c r="C5026" s="2" t="s">
        <v>181</v>
      </c>
      <c r="D5026" s="20">
        <v>0</v>
      </c>
      <c r="E5026" s="2" t="s">
        <v>838</v>
      </c>
      <c r="F5026" s="2" t="s">
        <v>848</v>
      </c>
      <c r="G5026" s="2" t="s">
        <v>1171</v>
      </c>
      <c r="H5026" s="2" t="s">
        <v>1171</v>
      </c>
      <c r="J5026" s="26"/>
      <c r="K5026" s="36">
        <v>5.7999999999999995E-7</v>
      </c>
      <c r="L5026" s="23">
        <v>5.9999999999999995E-8</v>
      </c>
    </row>
    <row r="5027" spans="1:12" ht="15.35" hidden="1" x14ac:dyDescent="0.55000000000000004">
      <c r="A5027" s="20">
        <v>12974</v>
      </c>
      <c r="B5027" s="2" t="s">
        <v>180</v>
      </c>
      <c r="C5027" s="2" t="s">
        <v>181</v>
      </c>
      <c r="D5027" s="20">
        <v>0</v>
      </c>
      <c r="E5027" s="2" t="s">
        <v>838</v>
      </c>
      <c r="F5027" s="2" t="s">
        <v>793</v>
      </c>
      <c r="G5027" s="2" t="s">
        <v>4328</v>
      </c>
      <c r="H5027" s="2" t="s">
        <v>2513</v>
      </c>
      <c r="J5027" s="26"/>
      <c r="K5027" s="36">
        <v>1.7E-6</v>
      </c>
      <c r="L5027" s="23">
        <v>1.6999999999999999E-7</v>
      </c>
    </row>
    <row r="5028" spans="1:12" ht="15.35" x14ac:dyDescent="0.55000000000000004">
      <c r="A5028" s="20">
        <v>12967</v>
      </c>
      <c r="B5028" s="2" t="s">
        <v>180</v>
      </c>
      <c r="C5028" s="2" t="s">
        <v>181</v>
      </c>
      <c r="D5028" s="20">
        <v>0</v>
      </c>
      <c r="E5028" s="2" t="s">
        <v>838</v>
      </c>
      <c r="F5028" s="2" t="s">
        <v>793</v>
      </c>
      <c r="G5028" s="2" t="s">
        <v>4555</v>
      </c>
      <c r="J5028" s="26"/>
      <c r="K5028" s="36">
        <v>1.7E-6</v>
      </c>
      <c r="L5028" s="23">
        <v>1.6999999999999999E-7</v>
      </c>
    </row>
    <row r="5029" spans="1:12" ht="15.35" x14ac:dyDescent="0.55000000000000004">
      <c r="A5029" s="20">
        <v>12966</v>
      </c>
      <c r="B5029" s="2" t="s">
        <v>180</v>
      </c>
      <c r="C5029" s="2" t="s">
        <v>181</v>
      </c>
      <c r="D5029" s="20">
        <v>0</v>
      </c>
      <c r="E5029" s="2" t="s">
        <v>838</v>
      </c>
      <c r="F5029" s="2" t="s">
        <v>793</v>
      </c>
      <c r="G5029" s="2" t="s">
        <v>4556</v>
      </c>
      <c r="J5029" s="26"/>
      <c r="K5029" s="36">
        <v>1.7E-6</v>
      </c>
      <c r="L5029" s="23">
        <v>1.6999999999999999E-7</v>
      </c>
    </row>
    <row r="5030" spans="1:12" ht="15.35" hidden="1" x14ac:dyDescent="0.55000000000000004">
      <c r="A5030" s="20">
        <v>13134</v>
      </c>
      <c r="B5030" s="2" t="s">
        <v>180</v>
      </c>
      <c r="C5030" s="2" t="s">
        <v>181</v>
      </c>
      <c r="D5030" s="20">
        <v>0</v>
      </c>
      <c r="E5030" s="2" t="s">
        <v>838</v>
      </c>
      <c r="F5030" s="2" t="s">
        <v>848</v>
      </c>
      <c r="G5030" s="2" t="s">
        <v>1172</v>
      </c>
      <c r="H5030" s="2" t="s">
        <v>1172</v>
      </c>
      <c r="J5030" s="26"/>
      <c r="K5030" s="36">
        <v>1.8E-7</v>
      </c>
      <c r="L5030" s="23">
        <v>2E-8</v>
      </c>
    </row>
    <row r="5031" spans="1:12" ht="15.35" hidden="1" x14ac:dyDescent="0.55000000000000004">
      <c r="A5031" s="20">
        <v>12948</v>
      </c>
      <c r="B5031" s="2" t="s">
        <v>180</v>
      </c>
      <c r="C5031" s="2" t="s">
        <v>181</v>
      </c>
      <c r="D5031" s="20">
        <v>0</v>
      </c>
      <c r="E5031" s="2" t="s">
        <v>838</v>
      </c>
      <c r="F5031" s="2" t="s">
        <v>787</v>
      </c>
      <c r="G5031" s="2" t="s">
        <v>962</v>
      </c>
      <c r="H5031" s="2" t="s">
        <v>962</v>
      </c>
      <c r="J5031" s="26"/>
      <c r="K5031" s="36">
        <v>1.7E-6</v>
      </c>
      <c r="L5031" s="23">
        <v>1.6999999999999999E-7</v>
      </c>
    </row>
    <row r="5032" spans="1:12" ht="15.35" hidden="1" x14ac:dyDescent="0.55000000000000004">
      <c r="A5032" s="20">
        <v>12960</v>
      </c>
      <c r="B5032" s="2" t="s">
        <v>180</v>
      </c>
      <c r="C5032" s="2" t="s">
        <v>181</v>
      </c>
      <c r="D5032" s="20">
        <v>0</v>
      </c>
      <c r="E5032" s="2" t="s">
        <v>838</v>
      </c>
      <c r="F5032" s="2" t="s">
        <v>848</v>
      </c>
      <c r="G5032" s="2" t="s">
        <v>2532</v>
      </c>
      <c r="H5032" s="2" t="s">
        <v>2532</v>
      </c>
      <c r="J5032" s="26"/>
      <c r="K5032" s="36">
        <v>1.7E-6</v>
      </c>
      <c r="L5032" s="23">
        <v>1.6999999999999999E-7</v>
      </c>
    </row>
    <row r="5033" spans="1:12" ht="15.35" hidden="1" x14ac:dyDescent="0.55000000000000004">
      <c r="A5033" s="20">
        <v>13236</v>
      </c>
      <c r="B5033" s="2" t="s">
        <v>180</v>
      </c>
      <c r="C5033" s="2" t="s">
        <v>181</v>
      </c>
      <c r="D5033" s="20">
        <v>0</v>
      </c>
      <c r="E5033" s="2" t="s">
        <v>838</v>
      </c>
      <c r="F5033" s="2" t="s">
        <v>793</v>
      </c>
      <c r="G5033" s="2" t="s">
        <v>4106</v>
      </c>
      <c r="H5033" s="2" t="s">
        <v>4107</v>
      </c>
      <c r="J5033" s="26"/>
      <c r="K5033" s="36">
        <v>2.9999999999999997E-8</v>
      </c>
      <c r="L5033" s="23">
        <v>0</v>
      </c>
    </row>
    <row r="5034" spans="1:12" ht="15.35" hidden="1" x14ac:dyDescent="0.55000000000000004">
      <c r="A5034" s="20">
        <v>13319</v>
      </c>
      <c r="B5034" s="2" t="s">
        <v>180</v>
      </c>
      <c r="C5034" s="2" t="s">
        <v>181</v>
      </c>
      <c r="D5034" s="20">
        <v>0</v>
      </c>
      <c r="E5034" s="2" t="s">
        <v>838</v>
      </c>
      <c r="F5034" s="2" t="s">
        <v>793</v>
      </c>
      <c r="G5034" s="2" t="s">
        <v>4108</v>
      </c>
      <c r="H5034" s="2" t="s">
        <v>4107</v>
      </c>
      <c r="J5034" s="26"/>
      <c r="K5034" s="36">
        <v>2E-8</v>
      </c>
      <c r="L5034" s="23">
        <v>0</v>
      </c>
    </row>
    <row r="5035" spans="1:12" ht="15.35" hidden="1" x14ac:dyDescent="0.55000000000000004">
      <c r="A5035" s="20">
        <v>13318</v>
      </c>
      <c r="B5035" s="2" t="s">
        <v>180</v>
      </c>
      <c r="C5035" s="2" t="s">
        <v>181</v>
      </c>
      <c r="D5035" s="20">
        <v>0</v>
      </c>
      <c r="E5035" s="2" t="s">
        <v>838</v>
      </c>
      <c r="F5035" s="2" t="s">
        <v>793</v>
      </c>
      <c r="G5035" s="2" t="s">
        <v>4109</v>
      </c>
      <c r="H5035" s="2" t="s">
        <v>4107</v>
      </c>
      <c r="J5035" s="26"/>
      <c r="K5035" s="36">
        <v>2E-8</v>
      </c>
      <c r="L5035" s="23">
        <v>0</v>
      </c>
    </row>
    <row r="5036" spans="1:12" ht="15.35" hidden="1" x14ac:dyDescent="0.55000000000000004">
      <c r="A5036" s="20">
        <v>1806</v>
      </c>
      <c r="B5036" s="2" t="s">
        <v>184</v>
      </c>
      <c r="C5036" s="2" t="s">
        <v>185</v>
      </c>
      <c r="D5036" s="20">
        <v>0</v>
      </c>
      <c r="E5036" s="2" t="s">
        <v>63</v>
      </c>
      <c r="F5036" s="2" t="s">
        <v>817</v>
      </c>
      <c r="G5036" s="2" t="s">
        <v>4012</v>
      </c>
      <c r="H5036" s="2" t="s">
        <v>1198</v>
      </c>
      <c r="I5036" s="2" t="s">
        <v>785</v>
      </c>
      <c r="J5036" s="25">
        <v>46556</v>
      </c>
      <c r="K5036" s="36">
        <v>4.0800000000000003E-2</v>
      </c>
      <c r="L5036" s="23">
        <v>2.0400000000000001E-3</v>
      </c>
    </row>
    <row r="5037" spans="1:12" ht="15.35" hidden="1" x14ac:dyDescent="0.55000000000000004">
      <c r="A5037" s="20">
        <v>1829</v>
      </c>
      <c r="B5037" s="2" t="s">
        <v>184</v>
      </c>
      <c r="C5037" s="2" t="s">
        <v>185</v>
      </c>
      <c r="D5037" s="20">
        <v>0</v>
      </c>
      <c r="E5037" s="2" t="s">
        <v>63</v>
      </c>
      <c r="F5037" s="2" t="s">
        <v>817</v>
      </c>
      <c r="G5037" s="2" t="s">
        <v>4012</v>
      </c>
      <c r="H5037" s="2" t="s">
        <v>1198</v>
      </c>
      <c r="I5037" s="2" t="s">
        <v>785</v>
      </c>
      <c r="J5037" s="25">
        <v>46922</v>
      </c>
      <c r="K5037" s="36">
        <v>4.0800000000000003E-2</v>
      </c>
      <c r="L5037" s="23">
        <v>2.0400000000000001E-3</v>
      </c>
    </row>
    <row r="5038" spans="1:12" ht="15.35" hidden="1" x14ac:dyDescent="0.55000000000000004">
      <c r="A5038" s="20">
        <v>1844</v>
      </c>
      <c r="B5038" s="2" t="s">
        <v>184</v>
      </c>
      <c r="C5038" s="2" t="s">
        <v>185</v>
      </c>
      <c r="D5038" s="20">
        <v>0</v>
      </c>
      <c r="E5038" s="2" t="s">
        <v>63</v>
      </c>
      <c r="F5038" s="2" t="s">
        <v>787</v>
      </c>
      <c r="G5038" s="2" t="s">
        <v>904</v>
      </c>
      <c r="H5038" s="2" t="s">
        <v>904</v>
      </c>
      <c r="I5038" s="2" t="s">
        <v>785</v>
      </c>
      <c r="J5038" s="25">
        <v>46922</v>
      </c>
      <c r="K5038" s="36">
        <v>8.1600000000000006E-2</v>
      </c>
      <c r="L5038" s="23">
        <v>4.0800000000000003E-3</v>
      </c>
    </row>
    <row r="5039" spans="1:12" ht="15.35" hidden="1" x14ac:dyDescent="0.55000000000000004">
      <c r="A5039" s="20">
        <v>1854</v>
      </c>
      <c r="B5039" s="2" t="s">
        <v>184</v>
      </c>
      <c r="C5039" s="2" t="s">
        <v>185</v>
      </c>
      <c r="D5039" s="20">
        <v>0</v>
      </c>
      <c r="E5039" s="2" t="s">
        <v>63</v>
      </c>
      <c r="F5039" s="2" t="s">
        <v>787</v>
      </c>
      <c r="G5039" s="2" t="s">
        <v>904</v>
      </c>
      <c r="H5039" s="2" t="s">
        <v>904</v>
      </c>
      <c r="I5039" s="2" t="s">
        <v>785</v>
      </c>
      <c r="J5039" s="25">
        <v>46556</v>
      </c>
      <c r="K5039" s="36">
        <v>8.1600000000000006E-2</v>
      </c>
      <c r="L5039" s="23">
        <v>4.0800000000000003E-3</v>
      </c>
    </row>
    <row r="5040" spans="1:12" ht="15.35" hidden="1" x14ac:dyDescent="0.55000000000000004">
      <c r="A5040" s="20">
        <v>1817</v>
      </c>
      <c r="B5040" s="2" t="s">
        <v>184</v>
      </c>
      <c r="C5040" s="2" t="s">
        <v>185</v>
      </c>
      <c r="D5040" s="20">
        <v>0</v>
      </c>
      <c r="E5040" s="2" t="s">
        <v>63</v>
      </c>
      <c r="F5040" s="2" t="s">
        <v>787</v>
      </c>
      <c r="G5040" s="2" t="s">
        <v>788</v>
      </c>
      <c r="H5040" s="2" t="s">
        <v>788</v>
      </c>
      <c r="I5040" s="2" t="s">
        <v>785</v>
      </c>
      <c r="J5040" s="25">
        <v>46922</v>
      </c>
      <c r="K5040" s="36">
        <v>8.1600000000000006E-2</v>
      </c>
      <c r="L5040" s="23">
        <v>4.0800000000000003E-3</v>
      </c>
    </row>
    <row r="5041" spans="1:12" ht="15.35" hidden="1" x14ac:dyDescent="0.55000000000000004">
      <c r="A5041" s="20">
        <v>1858</v>
      </c>
      <c r="B5041" s="2" t="s">
        <v>184</v>
      </c>
      <c r="C5041" s="2" t="s">
        <v>185</v>
      </c>
      <c r="D5041" s="20">
        <v>0</v>
      </c>
      <c r="E5041" s="2" t="s">
        <v>63</v>
      </c>
      <c r="F5041" s="2" t="s">
        <v>787</v>
      </c>
      <c r="G5041" s="2" t="s">
        <v>788</v>
      </c>
      <c r="H5041" s="2" t="s">
        <v>788</v>
      </c>
      <c r="I5041" s="2" t="s">
        <v>785</v>
      </c>
      <c r="J5041" s="25">
        <v>46556</v>
      </c>
      <c r="K5041" s="36">
        <v>8.1600000000000006E-2</v>
      </c>
      <c r="L5041" s="23">
        <v>4.0800000000000003E-3</v>
      </c>
    </row>
    <row r="5042" spans="1:12" ht="15.35" x14ac:dyDescent="0.55000000000000004">
      <c r="A5042" s="20">
        <v>1848</v>
      </c>
      <c r="B5042" s="2" t="s">
        <v>184</v>
      </c>
      <c r="C5042" s="2" t="s">
        <v>185</v>
      </c>
      <c r="D5042" s="20">
        <v>0</v>
      </c>
      <c r="E5042" s="2" t="s">
        <v>63</v>
      </c>
      <c r="F5042" s="2" t="s">
        <v>811</v>
      </c>
      <c r="G5042" s="2" t="s">
        <v>4557</v>
      </c>
      <c r="I5042" s="2" t="s">
        <v>785</v>
      </c>
      <c r="J5042" s="25">
        <v>46922</v>
      </c>
      <c r="K5042" s="36">
        <v>4.0800000000000003E-2</v>
      </c>
      <c r="L5042" s="23">
        <v>2.0400000000000001E-3</v>
      </c>
    </row>
    <row r="5043" spans="1:12" ht="15.35" x14ac:dyDescent="0.55000000000000004">
      <c r="A5043" s="20">
        <v>1810</v>
      </c>
      <c r="B5043" s="2" t="s">
        <v>184</v>
      </c>
      <c r="C5043" s="2" t="s">
        <v>185</v>
      </c>
      <c r="D5043" s="20">
        <v>0</v>
      </c>
      <c r="E5043" s="2" t="s">
        <v>63</v>
      </c>
      <c r="F5043" s="2" t="s">
        <v>811</v>
      </c>
      <c r="G5043" s="2" t="s">
        <v>4557</v>
      </c>
      <c r="I5043" s="2" t="s">
        <v>785</v>
      </c>
      <c r="J5043" s="25">
        <v>46556</v>
      </c>
      <c r="K5043" s="36">
        <v>4.0800000000000003E-2</v>
      </c>
      <c r="L5043" s="23">
        <v>2.0400000000000001E-3</v>
      </c>
    </row>
    <row r="5044" spans="1:12" ht="15.35" hidden="1" x14ac:dyDescent="0.55000000000000004">
      <c r="A5044" s="20">
        <v>1843</v>
      </c>
      <c r="B5044" s="2" t="s">
        <v>184</v>
      </c>
      <c r="C5044" s="2" t="s">
        <v>185</v>
      </c>
      <c r="D5044" s="20">
        <v>0</v>
      </c>
      <c r="E5044" s="2" t="s">
        <v>63</v>
      </c>
      <c r="F5044" s="2" t="s">
        <v>787</v>
      </c>
      <c r="G5044" s="2" t="s">
        <v>968</v>
      </c>
      <c r="H5044" s="2" t="s">
        <v>968</v>
      </c>
      <c r="I5044" s="2" t="s">
        <v>785</v>
      </c>
      <c r="J5044" s="25">
        <v>46922</v>
      </c>
      <c r="K5044" s="36">
        <v>8.1600000000000006E-2</v>
      </c>
      <c r="L5044" s="23">
        <v>4.0800000000000003E-3</v>
      </c>
    </row>
    <row r="5045" spans="1:12" ht="15.35" hidden="1" x14ac:dyDescent="0.55000000000000004">
      <c r="A5045" s="20">
        <v>1853</v>
      </c>
      <c r="B5045" s="2" t="s">
        <v>184</v>
      </c>
      <c r="C5045" s="2" t="s">
        <v>185</v>
      </c>
      <c r="D5045" s="20">
        <v>0</v>
      </c>
      <c r="E5045" s="2" t="s">
        <v>63</v>
      </c>
      <c r="F5045" s="2" t="s">
        <v>787</v>
      </c>
      <c r="G5045" s="2" t="s">
        <v>968</v>
      </c>
      <c r="H5045" s="2" t="s">
        <v>968</v>
      </c>
      <c r="I5045" s="2" t="s">
        <v>785</v>
      </c>
      <c r="J5045" s="25">
        <v>46556</v>
      </c>
      <c r="K5045" s="36">
        <v>8.1600000000000006E-2</v>
      </c>
      <c r="L5045" s="23">
        <v>4.0800000000000003E-3</v>
      </c>
    </row>
    <row r="5046" spans="1:12" ht="15.35" hidden="1" x14ac:dyDescent="0.55000000000000004">
      <c r="A5046" s="20">
        <v>1842</v>
      </c>
      <c r="B5046" s="2" t="s">
        <v>184</v>
      </c>
      <c r="C5046" s="2" t="s">
        <v>185</v>
      </c>
      <c r="D5046" s="20">
        <v>0</v>
      </c>
      <c r="E5046" s="2" t="s">
        <v>63</v>
      </c>
      <c r="F5046" s="2" t="s">
        <v>787</v>
      </c>
      <c r="G5046" s="2" t="s">
        <v>892</v>
      </c>
      <c r="H5046" s="2" t="s">
        <v>892</v>
      </c>
      <c r="I5046" s="2" t="s">
        <v>785</v>
      </c>
      <c r="J5046" s="25">
        <v>46922</v>
      </c>
      <c r="K5046" s="36">
        <v>8.1600000000000006E-2</v>
      </c>
      <c r="L5046" s="23">
        <v>4.0800000000000003E-3</v>
      </c>
    </row>
    <row r="5047" spans="1:12" ht="15.35" hidden="1" x14ac:dyDescent="0.55000000000000004">
      <c r="A5047" s="20">
        <v>1852</v>
      </c>
      <c r="B5047" s="2" t="s">
        <v>184</v>
      </c>
      <c r="C5047" s="2" t="s">
        <v>185</v>
      </c>
      <c r="D5047" s="20">
        <v>0</v>
      </c>
      <c r="E5047" s="2" t="s">
        <v>63</v>
      </c>
      <c r="F5047" s="2" t="s">
        <v>787</v>
      </c>
      <c r="G5047" s="2" t="s">
        <v>892</v>
      </c>
      <c r="H5047" s="2" t="s">
        <v>892</v>
      </c>
      <c r="I5047" s="2" t="s">
        <v>785</v>
      </c>
      <c r="J5047" s="25">
        <v>46556</v>
      </c>
      <c r="K5047" s="36">
        <v>8.1600000000000006E-2</v>
      </c>
      <c r="L5047" s="23">
        <v>4.0800000000000003E-3</v>
      </c>
    </row>
    <row r="5048" spans="1:12" ht="15.35" hidden="1" x14ac:dyDescent="0.55000000000000004">
      <c r="A5048" s="20">
        <v>1863</v>
      </c>
      <c r="B5048" s="2" t="s">
        <v>184</v>
      </c>
      <c r="C5048" s="2" t="s">
        <v>185</v>
      </c>
      <c r="D5048" s="20">
        <v>0</v>
      </c>
      <c r="E5048" s="2" t="s">
        <v>63</v>
      </c>
      <c r="F5048" s="2" t="s">
        <v>811</v>
      </c>
      <c r="G5048" s="2" t="s">
        <v>4558</v>
      </c>
      <c r="H5048" s="2" t="s">
        <v>4558</v>
      </c>
      <c r="I5048" s="2" t="s">
        <v>785</v>
      </c>
      <c r="J5048" s="25">
        <v>46556</v>
      </c>
      <c r="K5048" s="36">
        <v>4.0800000000000003E-2</v>
      </c>
      <c r="L5048" s="23">
        <v>2.0400000000000001E-3</v>
      </c>
    </row>
    <row r="5049" spans="1:12" ht="15.35" hidden="1" x14ac:dyDescent="0.55000000000000004">
      <c r="A5049" s="20">
        <v>1795</v>
      </c>
      <c r="B5049" s="2" t="s">
        <v>184</v>
      </c>
      <c r="C5049" s="2" t="s">
        <v>185</v>
      </c>
      <c r="D5049" s="20">
        <v>0</v>
      </c>
      <c r="E5049" s="2" t="s">
        <v>63</v>
      </c>
      <c r="F5049" s="2" t="s">
        <v>811</v>
      </c>
      <c r="G5049" s="2" t="s">
        <v>4558</v>
      </c>
      <c r="H5049" s="2" t="s">
        <v>4558</v>
      </c>
      <c r="I5049" s="2" t="s">
        <v>785</v>
      </c>
      <c r="J5049" s="25">
        <v>46922</v>
      </c>
      <c r="K5049" s="36">
        <v>4.0800000000000003E-2</v>
      </c>
      <c r="L5049" s="23">
        <v>2.0400000000000001E-3</v>
      </c>
    </row>
    <row r="5050" spans="1:12" ht="15.35" hidden="1" x14ac:dyDescent="0.55000000000000004">
      <c r="A5050" s="20">
        <v>1788</v>
      </c>
      <c r="B5050" s="2" t="s">
        <v>184</v>
      </c>
      <c r="C5050" s="2" t="s">
        <v>185</v>
      </c>
      <c r="D5050" s="20">
        <v>0</v>
      </c>
      <c r="E5050" s="2" t="s">
        <v>63</v>
      </c>
      <c r="F5050" s="2" t="s">
        <v>817</v>
      </c>
      <c r="G5050" s="2" t="s">
        <v>4559</v>
      </c>
      <c r="H5050" s="2" t="s">
        <v>1031</v>
      </c>
      <c r="I5050" s="2" t="s">
        <v>785</v>
      </c>
      <c r="J5050" s="25">
        <v>46556</v>
      </c>
      <c r="K5050" s="36">
        <v>4.0800000000000003E-2</v>
      </c>
      <c r="L5050" s="23">
        <v>2.0400000000000001E-3</v>
      </c>
    </row>
    <row r="5051" spans="1:12" ht="15.35" hidden="1" x14ac:dyDescent="0.55000000000000004">
      <c r="A5051" s="20">
        <v>1819</v>
      </c>
      <c r="B5051" s="2" t="s">
        <v>184</v>
      </c>
      <c r="C5051" s="2" t="s">
        <v>185</v>
      </c>
      <c r="D5051" s="20">
        <v>0</v>
      </c>
      <c r="E5051" s="2" t="s">
        <v>63</v>
      </c>
      <c r="F5051" s="2" t="s">
        <v>817</v>
      </c>
      <c r="G5051" s="2" t="s">
        <v>4559</v>
      </c>
      <c r="H5051" s="2" t="s">
        <v>1031</v>
      </c>
      <c r="I5051" s="2" t="s">
        <v>785</v>
      </c>
      <c r="J5051" s="25">
        <v>46922</v>
      </c>
      <c r="K5051" s="36">
        <v>4.0800000000000003E-2</v>
      </c>
      <c r="L5051" s="23">
        <v>2.0400000000000001E-3</v>
      </c>
    </row>
    <row r="5052" spans="1:12" ht="15.35" hidden="1" x14ac:dyDescent="0.55000000000000004">
      <c r="A5052" s="20">
        <v>1792</v>
      </c>
      <c r="B5052" s="2" t="s">
        <v>184</v>
      </c>
      <c r="C5052" s="2" t="s">
        <v>185</v>
      </c>
      <c r="D5052" s="20">
        <v>0</v>
      </c>
      <c r="E5052" s="2" t="s">
        <v>63</v>
      </c>
      <c r="F5052" s="2" t="s">
        <v>817</v>
      </c>
      <c r="G5052" s="2" t="s">
        <v>4560</v>
      </c>
      <c r="H5052" s="2" t="s">
        <v>1919</v>
      </c>
      <c r="I5052" s="2" t="s">
        <v>785</v>
      </c>
      <c r="J5052" s="25">
        <v>46922</v>
      </c>
      <c r="K5052" s="36">
        <v>4.0800000000000003E-2</v>
      </c>
      <c r="L5052" s="23">
        <v>2.0400000000000001E-3</v>
      </c>
    </row>
    <row r="5053" spans="1:12" ht="15.35" hidden="1" x14ac:dyDescent="0.55000000000000004">
      <c r="A5053" s="20">
        <v>1812</v>
      </c>
      <c r="B5053" s="2" t="s">
        <v>184</v>
      </c>
      <c r="C5053" s="2" t="s">
        <v>185</v>
      </c>
      <c r="D5053" s="20">
        <v>0</v>
      </c>
      <c r="E5053" s="2" t="s">
        <v>63</v>
      </c>
      <c r="F5053" s="2" t="s">
        <v>817</v>
      </c>
      <c r="G5053" s="2" t="s">
        <v>4560</v>
      </c>
      <c r="H5053" s="2" t="s">
        <v>1919</v>
      </c>
      <c r="I5053" s="2" t="s">
        <v>785</v>
      </c>
      <c r="J5053" s="25">
        <v>46556</v>
      </c>
      <c r="K5053" s="36">
        <v>4.0800000000000003E-2</v>
      </c>
      <c r="L5053" s="23">
        <v>2.0400000000000001E-3</v>
      </c>
    </row>
    <row r="5054" spans="1:12" ht="15.35" hidden="1" x14ac:dyDescent="0.55000000000000004">
      <c r="A5054" s="20">
        <v>1794</v>
      </c>
      <c r="B5054" s="2" t="s">
        <v>184</v>
      </c>
      <c r="C5054" s="2" t="s">
        <v>185</v>
      </c>
      <c r="D5054" s="20">
        <v>0</v>
      </c>
      <c r="E5054" s="2" t="s">
        <v>63</v>
      </c>
      <c r="F5054" s="2" t="s">
        <v>811</v>
      </c>
      <c r="G5054" s="2" t="s">
        <v>4561</v>
      </c>
      <c r="H5054" s="2" t="s">
        <v>4561</v>
      </c>
      <c r="I5054" s="2" t="s">
        <v>785</v>
      </c>
      <c r="J5054" s="25">
        <v>46922</v>
      </c>
      <c r="K5054" s="36">
        <v>4.0800000000000003E-2</v>
      </c>
      <c r="L5054" s="23">
        <v>2.0400000000000001E-3</v>
      </c>
    </row>
    <row r="5055" spans="1:12" ht="15.35" hidden="1" x14ac:dyDescent="0.55000000000000004">
      <c r="A5055" s="20">
        <v>1864</v>
      </c>
      <c r="B5055" s="2" t="s">
        <v>184</v>
      </c>
      <c r="C5055" s="2" t="s">
        <v>185</v>
      </c>
      <c r="D5055" s="20">
        <v>0</v>
      </c>
      <c r="E5055" s="2" t="s">
        <v>63</v>
      </c>
      <c r="F5055" s="2" t="s">
        <v>811</v>
      </c>
      <c r="G5055" s="2" t="s">
        <v>4561</v>
      </c>
      <c r="H5055" s="2" t="s">
        <v>4561</v>
      </c>
      <c r="I5055" s="2" t="s">
        <v>785</v>
      </c>
      <c r="J5055" s="25">
        <v>46556</v>
      </c>
      <c r="K5055" s="36">
        <v>4.0800000000000003E-2</v>
      </c>
      <c r="L5055" s="23">
        <v>2.0400000000000001E-3</v>
      </c>
    </row>
    <row r="5056" spans="1:12" ht="15.35" hidden="1" x14ac:dyDescent="0.55000000000000004">
      <c r="A5056" s="20">
        <v>1818</v>
      </c>
      <c r="B5056" s="2" t="s">
        <v>184</v>
      </c>
      <c r="C5056" s="2" t="s">
        <v>185</v>
      </c>
      <c r="D5056" s="20">
        <v>0</v>
      </c>
      <c r="E5056" s="2" t="s">
        <v>63</v>
      </c>
      <c r="F5056" s="2" t="s">
        <v>798</v>
      </c>
      <c r="G5056" s="2" t="s">
        <v>4562</v>
      </c>
      <c r="H5056" s="2" t="s">
        <v>1184</v>
      </c>
      <c r="I5056" s="2" t="s">
        <v>785</v>
      </c>
      <c r="J5056" s="25">
        <v>46922</v>
      </c>
      <c r="K5056" s="36">
        <v>4.0800000000000003E-2</v>
      </c>
      <c r="L5056" s="23">
        <v>2.0400000000000001E-3</v>
      </c>
    </row>
    <row r="5057" spans="1:12" ht="15.35" hidden="1" x14ac:dyDescent="0.55000000000000004">
      <c r="A5057" s="20">
        <v>1798</v>
      </c>
      <c r="B5057" s="2" t="s">
        <v>184</v>
      </c>
      <c r="C5057" s="2" t="s">
        <v>185</v>
      </c>
      <c r="D5057" s="20">
        <v>0</v>
      </c>
      <c r="E5057" s="2" t="s">
        <v>63</v>
      </c>
      <c r="F5057" s="2" t="s">
        <v>798</v>
      </c>
      <c r="G5057" s="2" t="s">
        <v>4562</v>
      </c>
      <c r="H5057" s="2" t="s">
        <v>1184</v>
      </c>
      <c r="I5057" s="2" t="s">
        <v>785</v>
      </c>
      <c r="J5057" s="25">
        <v>46556</v>
      </c>
      <c r="K5057" s="36">
        <v>4.0800000000000003E-2</v>
      </c>
      <c r="L5057" s="23">
        <v>2.0400000000000001E-3</v>
      </c>
    </row>
    <row r="5058" spans="1:12" ht="15.35" hidden="1" x14ac:dyDescent="0.55000000000000004">
      <c r="A5058" s="20">
        <v>1840</v>
      </c>
      <c r="B5058" s="2" t="s">
        <v>184</v>
      </c>
      <c r="C5058" s="2" t="s">
        <v>185</v>
      </c>
      <c r="D5058" s="20">
        <v>0</v>
      </c>
      <c r="E5058" s="2" t="s">
        <v>63</v>
      </c>
      <c r="F5058" s="2" t="s">
        <v>811</v>
      </c>
      <c r="G5058" s="2" t="s">
        <v>4563</v>
      </c>
      <c r="H5058" s="2" t="s">
        <v>1818</v>
      </c>
      <c r="I5058" s="2" t="s">
        <v>785</v>
      </c>
      <c r="J5058" s="25">
        <v>46922</v>
      </c>
      <c r="K5058" s="36">
        <v>0.16320000000000001</v>
      </c>
      <c r="L5058" s="23">
        <v>8.1600000000000006E-3</v>
      </c>
    </row>
    <row r="5059" spans="1:12" ht="15.35" hidden="1" x14ac:dyDescent="0.55000000000000004">
      <c r="A5059" s="20">
        <v>1850</v>
      </c>
      <c r="B5059" s="2" t="s">
        <v>184</v>
      </c>
      <c r="C5059" s="2" t="s">
        <v>185</v>
      </c>
      <c r="D5059" s="20">
        <v>0</v>
      </c>
      <c r="E5059" s="2" t="s">
        <v>63</v>
      </c>
      <c r="F5059" s="2" t="s">
        <v>811</v>
      </c>
      <c r="G5059" s="2" t="s">
        <v>4563</v>
      </c>
      <c r="H5059" s="2" t="s">
        <v>1818</v>
      </c>
      <c r="I5059" s="2" t="s">
        <v>785</v>
      </c>
      <c r="J5059" s="25">
        <v>46556</v>
      </c>
      <c r="K5059" s="36">
        <v>0.16320000000000001</v>
      </c>
      <c r="L5059" s="23">
        <v>8.1600000000000006E-3</v>
      </c>
    </row>
    <row r="5060" spans="1:12" ht="15.35" hidden="1" x14ac:dyDescent="0.55000000000000004">
      <c r="A5060" s="20">
        <v>1869</v>
      </c>
      <c r="B5060" s="2" t="s">
        <v>184</v>
      </c>
      <c r="C5060" s="2" t="s">
        <v>185</v>
      </c>
      <c r="D5060" s="20">
        <v>0</v>
      </c>
      <c r="E5060" s="2" t="s">
        <v>63</v>
      </c>
      <c r="F5060" s="2" t="s">
        <v>798</v>
      </c>
      <c r="G5060" s="2" t="s">
        <v>4564</v>
      </c>
      <c r="H5060" s="2" t="s">
        <v>804</v>
      </c>
      <c r="I5060" s="2" t="s">
        <v>785</v>
      </c>
      <c r="J5060" s="25">
        <v>46922</v>
      </c>
      <c r="K5060" s="36">
        <v>4.0800000000000003E-2</v>
      </c>
      <c r="L5060" s="23">
        <v>2.0400000000000001E-3</v>
      </c>
    </row>
    <row r="5061" spans="1:12" ht="15.35" hidden="1" x14ac:dyDescent="0.55000000000000004">
      <c r="A5061" s="20">
        <v>1799</v>
      </c>
      <c r="B5061" s="2" t="s">
        <v>184</v>
      </c>
      <c r="C5061" s="2" t="s">
        <v>185</v>
      </c>
      <c r="D5061" s="20">
        <v>0</v>
      </c>
      <c r="E5061" s="2" t="s">
        <v>63</v>
      </c>
      <c r="F5061" s="2" t="s">
        <v>798</v>
      </c>
      <c r="G5061" s="2" t="s">
        <v>4564</v>
      </c>
      <c r="H5061" s="2" t="s">
        <v>804</v>
      </c>
      <c r="I5061" s="2" t="s">
        <v>785</v>
      </c>
      <c r="J5061" s="25">
        <v>46556</v>
      </c>
      <c r="K5061" s="36">
        <v>4.0800000000000003E-2</v>
      </c>
      <c r="L5061" s="23">
        <v>2.0400000000000001E-3</v>
      </c>
    </row>
    <row r="5062" spans="1:12" ht="15.35" hidden="1" x14ac:dyDescent="0.55000000000000004">
      <c r="A5062" s="20">
        <v>1803</v>
      </c>
      <c r="B5062" s="2" t="s">
        <v>184</v>
      </c>
      <c r="C5062" s="2" t="s">
        <v>185</v>
      </c>
      <c r="D5062" s="20">
        <v>0</v>
      </c>
      <c r="E5062" s="2" t="s">
        <v>63</v>
      </c>
      <c r="F5062" s="2" t="s">
        <v>787</v>
      </c>
      <c r="G5062" s="2" t="s">
        <v>850</v>
      </c>
      <c r="H5062" s="2" t="s">
        <v>850</v>
      </c>
      <c r="I5062" s="2" t="s">
        <v>785</v>
      </c>
      <c r="J5062" s="25">
        <v>46556</v>
      </c>
      <c r="K5062" s="36">
        <v>4.0800000000000003E-2</v>
      </c>
      <c r="L5062" s="23">
        <v>2.0400000000000001E-3</v>
      </c>
    </row>
    <row r="5063" spans="1:12" ht="15.35" hidden="1" x14ac:dyDescent="0.55000000000000004">
      <c r="A5063" s="20">
        <v>1834</v>
      </c>
      <c r="B5063" s="2" t="s">
        <v>184</v>
      </c>
      <c r="C5063" s="2" t="s">
        <v>185</v>
      </c>
      <c r="D5063" s="20">
        <v>0</v>
      </c>
      <c r="E5063" s="2" t="s">
        <v>63</v>
      </c>
      <c r="F5063" s="2" t="s">
        <v>787</v>
      </c>
      <c r="G5063" s="2" t="s">
        <v>850</v>
      </c>
      <c r="H5063" s="2" t="s">
        <v>850</v>
      </c>
      <c r="I5063" s="2" t="s">
        <v>785</v>
      </c>
      <c r="J5063" s="25">
        <v>46922</v>
      </c>
      <c r="K5063" s="36">
        <v>4.0800000000000003E-2</v>
      </c>
      <c r="L5063" s="23">
        <v>2.0400000000000001E-3</v>
      </c>
    </row>
    <row r="5064" spans="1:12" ht="15.35" hidden="1" x14ac:dyDescent="0.55000000000000004">
      <c r="A5064" s="20">
        <v>1839</v>
      </c>
      <c r="B5064" s="2" t="s">
        <v>184</v>
      </c>
      <c r="C5064" s="2" t="s">
        <v>185</v>
      </c>
      <c r="D5064" s="20">
        <v>0</v>
      </c>
      <c r="E5064" s="2" t="s">
        <v>63</v>
      </c>
      <c r="F5064" s="2" t="s">
        <v>811</v>
      </c>
      <c r="G5064" s="2" t="s">
        <v>1808</v>
      </c>
      <c r="H5064" s="2" t="s">
        <v>1808</v>
      </c>
      <c r="I5064" s="2" t="s">
        <v>785</v>
      </c>
      <c r="J5064" s="25">
        <v>46922</v>
      </c>
      <c r="K5064" s="36">
        <v>0.49325000000000002</v>
      </c>
      <c r="L5064" s="23">
        <v>2.4663000000000001E-2</v>
      </c>
    </row>
    <row r="5065" spans="1:12" ht="15.35" hidden="1" x14ac:dyDescent="0.55000000000000004">
      <c r="A5065" s="20">
        <v>1868</v>
      </c>
      <c r="B5065" s="2" t="s">
        <v>184</v>
      </c>
      <c r="C5065" s="2" t="s">
        <v>185</v>
      </c>
      <c r="D5065" s="20">
        <v>0</v>
      </c>
      <c r="E5065" s="2" t="s">
        <v>63</v>
      </c>
      <c r="F5065" s="2" t="s">
        <v>811</v>
      </c>
      <c r="G5065" s="2" t="s">
        <v>1808</v>
      </c>
      <c r="H5065" s="2" t="s">
        <v>1808</v>
      </c>
      <c r="I5065" s="2" t="s">
        <v>785</v>
      </c>
      <c r="J5065" s="25">
        <v>46556</v>
      </c>
      <c r="K5065" s="36">
        <v>0.49325000000000002</v>
      </c>
      <c r="L5065" s="23">
        <v>2.4663000000000001E-2</v>
      </c>
    </row>
    <row r="5066" spans="1:12" ht="15.35" hidden="1" x14ac:dyDescent="0.55000000000000004">
      <c r="A5066" s="20">
        <v>1846</v>
      </c>
      <c r="B5066" s="2" t="s">
        <v>184</v>
      </c>
      <c r="C5066" s="2" t="s">
        <v>185</v>
      </c>
      <c r="D5066" s="20">
        <v>0</v>
      </c>
      <c r="E5066" s="2" t="s">
        <v>63</v>
      </c>
      <c r="F5066" s="2" t="s">
        <v>787</v>
      </c>
      <c r="G5066" s="2" t="s">
        <v>922</v>
      </c>
      <c r="H5066" s="2" t="s">
        <v>922</v>
      </c>
      <c r="I5066" s="2" t="s">
        <v>785</v>
      </c>
      <c r="J5066" s="25">
        <v>46922</v>
      </c>
      <c r="K5066" s="36">
        <v>8.1600000000000006E-2</v>
      </c>
      <c r="L5066" s="23">
        <v>4.0800000000000003E-3</v>
      </c>
    </row>
    <row r="5067" spans="1:12" ht="15.35" hidden="1" x14ac:dyDescent="0.55000000000000004">
      <c r="A5067" s="20">
        <v>1856</v>
      </c>
      <c r="B5067" s="2" t="s">
        <v>184</v>
      </c>
      <c r="C5067" s="2" t="s">
        <v>185</v>
      </c>
      <c r="D5067" s="20">
        <v>0</v>
      </c>
      <c r="E5067" s="2" t="s">
        <v>63</v>
      </c>
      <c r="F5067" s="2" t="s">
        <v>787</v>
      </c>
      <c r="G5067" s="2" t="s">
        <v>922</v>
      </c>
      <c r="H5067" s="2" t="s">
        <v>922</v>
      </c>
      <c r="I5067" s="2" t="s">
        <v>785</v>
      </c>
      <c r="J5067" s="25">
        <v>46556</v>
      </c>
      <c r="K5067" s="36">
        <v>8.1600000000000006E-2</v>
      </c>
      <c r="L5067" s="23">
        <v>4.0800000000000003E-3</v>
      </c>
    </row>
    <row r="5068" spans="1:12" ht="15.35" hidden="1" x14ac:dyDescent="0.55000000000000004">
      <c r="A5068" s="20">
        <v>1845</v>
      </c>
      <c r="B5068" s="2" t="s">
        <v>184</v>
      </c>
      <c r="C5068" s="2" t="s">
        <v>185</v>
      </c>
      <c r="D5068" s="20">
        <v>0</v>
      </c>
      <c r="E5068" s="2" t="s">
        <v>63</v>
      </c>
      <c r="F5068" s="2" t="s">
        <v>787</v>
      </c>
      <c r="G5068" s="2" t="s">
        <v>1191</v>
      </c>
      <c r="H5068" s="2" t="s">
        <v>1191</v>
      </c>
      <c r="I5068" s="2" t="s">
        <v>785</v>
      </c>
      <c r="J5068" s="25">
        <v>46922</v>
      </c>
      <c r="K5068" s="36">
        <v>8.1600000000000006E-2</v>
      </c>
      <c r="L5068" s="23">
        <v>4.0800000000000003E-3</v>
      </c>
    </row>
    <row r="5069" spans="1:12" ht="15.35" hidden="1" x14ac:dyDescent="0.55000000000000004">
      <c r="A5069" s="20">
        <v>1855</v>
      </c>
      <c r="B5069" s="2" t="s">
        <v>184</v>
      </c>
      <c r="C5069" s="2" t="s">
        <v>185</v>
      </c>
      <c r="D5069" s="20">
        <v>0</v>
      </c>
      <c r="E5069" s="2" t="s">
        <v>63</v>
      </c>
      <c r="F5069" s="2" t="s">
        <v>787</v>
      </c>
      <c r="G5069" s="2" t="s">
        <v>1191</v>
      </c>
      <c r="H5069" s="2" t="s">
        <v>1191</v>
      </c>
      <c r="I5069" s="2" t="s">
        <v>785</v>
      </c>
      <c r="J5069" s="25">
        <v>46556</v>
      </c>
      <c r="K5069" s="36">
        <v>8.1600000000000006E-2</v>
      </c>
      <c r="L5069" s="23">
        <v>4.0800000000000003E-3</v>
      </c>
    </row>
    <row r="5070" spans="1:12" ht="15.35" hidden="1" x14ac:dyDescent="0.55000000000000004">
      <c r="A5070" s="20">
        <v>1826</v>
      </c>
      <c r="B5070" s="2" t="s">
        <v>184</v>
      </c>
      <c r="C5070" s="2" t="s">
        <v>185</v>
      </c>
      <c r="D5070" s="20">
        <v>0</v>
      </c>
      <c r="E5070" s="2" t="s">
        <v>63</v>
      </c>
      <c r="F5070" s="2" t="s">
        <v>787</v>
      </c>
      <c r="G5070" s="2" t="s">
        <v>1098</v>
      </c>
      <c r="H5070" s="2" t="s">
        <v>1098</v>
      </c>
      <c r="I5070" s="2" t="s">
        <v>785</v>
      </c>
      <c r="J5070" s="25">
        <v>46922</v>
      </c>
      <c r="K5070" s="36">
        <v>4.0800000000000003E-2</v>
      </c>
      <c r="L5070" s="23">
        <v>2.0400000000000001E-3</v>
      </c>
    </row>
    <row r="5071" spans="1:12" ht="15.35" hidden="1" x14ac:dyDescent="0.55000000000000004">
      <c r="A5071" s="20">
        <v>1802</v>
      </c>
      <c r="B5071" s="2" t="s">
        <v>184</v>
      </c>
      <c r="C5071" s="2" t="s">
        <v>185</v>
      </c>
      <c r="D5071" s="20">
        <v>0</v>
      </c>
      <c r="E5071" s="2" t="s">
        <v>63</v>
      </c>
      <c r="F5071" s="2" t="s">
        <v>787</v>
      </c>
      <c r="G5071" s="2" t="s">
        <v>1098</v>
      </c>
      <c r="H5071" s="2" t="s">
        <v>1098</v>
      </c>
      <c r="I5071" s="2" t="s">
        <v>785</v>
      </c>
      <c r="J5071" s="25">
        <v>46556</v>
      </c>
      <c r="K5071" s="36">
        <v>4.0800000000000003E-2</v>
      </c>
      <c r="L5071" s="23">
        <v>2.0400000000000001E-3</v>
      </c>
    </row>
    <row r="5072" spans="1:12" ht="15.35" hidden="1" x14ac:dyDescent="0.55000000000000004">
      <c r="A5072" s="20">
        <v>1809</v>
      </c>
      <c r="B5072" s="2" t="s">
        <v>184</v>
      </c>
      <c r="C5072" s="2" t="s">
        <v>185</v>
      </c>
      <c r="D5072" s="20">
        <v>0</v>
      </c>
      <c r="E5072" s="2" t="s">
        <v>63</v>
      </c>
      <c r="F5072" s="2" t="s">
        <v>811</v>
      </c>
      <c r="G5072" s="2" t="s">
        <v>4565</v>
      </c>
      <c r="H5072" s="2" t="s">
        <v>4565</v>
      </c>
      <c r="I5072" s="2" t="s">
        <v>785</v>
      </c>
      <c r="J5072" s="25">
        <v>46556</v>
      </c>
      <c r="K5072" s="36">
        <v>4.0800000000000003E-2</v>
      </c>
      <c r="L5072" s="23">
        <v>2.0400000000000001E-3</v>
      </c>
    </row>
    <row r="5073" spans="1:12" ht="15.35" hidden="1" x14ac:dyDescent="0.55000000000000004">
      <c r="A5073" s="20">
        <v>1833</v>
      </c>
      <c r="B5073" s="2" t="s">
        <v>184</v>
      </c>
      <c r="C5073" s="2" t="s">
        <v>185</v>
      </c>
      <c r="D5073" s="20">
        <v>0</v>
      </c>
      <c r="E5073" s="2" t="s">
        <v>63</v>
      </c>
      <c r="F5073" s="2" t="s">
        <v>811</v>
      </c>
      <c r="G5073" s="2" t="s">
        <v>4565</v>
      </c>
      <c r="H5073" s="2" t="s">
        <v>4565</v>
      </c>
      <c r="I5073" s="2" t="s">
        <v>785</v>
      </c>
      <c r="J5073" s="25">
        <v>46922</v>
      </c>
      <c r="K5073" s="36">
        <v>4.0800000000000003E-2</v>
      </c>
      <c r="L5073" s="23">
        <v>2.0400000000000001E-3</v>
      </c>
    </row>
    <row r="5074" spans="1:12" ht="15.35" hidden="1" x14ac:dyDescent="0.55000000000000004">
      <c r="A5074" s="20">
        <v>1841</v>
      </c>
      <c r="B5074" s="2" t="s">
        <v>184</v>
      </c>
      <c r="C5074" s="2" t="s">
        <v>185</v>
      </c>
      <c r="D5074" s="20">
        <v>0</v>
      </c>
      <c r="E5074" s="2" t="s">
        <v>63</v>
      </c>
      <c r="F5074" s="2" t="s">
        <v>813</v>
      </c>
      <c r="G5074" s="2" t="s">
        <v>2676</v>
      </c>
      <c r="H5074" s="2" t="s">
        <v>2676</v>
      </c>
      <c r="I5074" s="2" t="s">
        <v>785</v>
      </c>
      <c r="J5074" s="25">
        <v>46922</v>
      </c>
      <c r="K5074" s="36">
        <v>0.12239999999999999</v>
      </c>
      <c r="L5074" s="23">
        <v>6.1199999999999996E-3</v>
      </c>
    </row>
    <row r="5075" spans="1:12" ht="15.35" hidden="1" x14ac:dyDescent="0.55000000000000004">
      <c r="A5075" s="20">
        <v>1851</v>
      </c>
      <c r="B5075" s="2" t="s">
        <v>184</v>
      </c>
      <c r="C5075" s="2" t="s">
        <v>185</v>
      </c>
      <c r="D5075" s="20">
        <v>0</v>
      </c>
      <c r="E5075" s="2" t="s">
        <v>63</v>
      </c>
      <c r="F5075" s="2" t="s">
        <v>813</v>
      </c>
      <c r="G5075" s="2" t="s">
        <v>2676</v>
      </c>
      <c r="H5075" s="2" t="s">
        <v>2676</v>
      </c>
      <c r="I5075" s="2" t="s">
        <v>785</v>
      </c>
      <c r="J5075" s="25">
        <v>46556</v>
      </c>
      <c r="K5075" s="36">
        <v>0.12239999999999999</v>
      </c>
      <c r="L5075" s="23">
        <v>6.1199999999999996E-3</v>
      </c>
    </row>
    <row r="5076" spans="1:12" ht="15.35" hidden="1" x14ac:dyDescent="0.55000000000000004">
      <c r="A5076" s="20">
        <v>1828</v>
      </c>
      <c r="B5076" s="2" t="s">
        <v>184</v>
      </c>
      <c r="C5076" s="2" t="s">
        <v>185</v>
      </c>
      <c r="D5076" s="20">
        <v>0</v>
      </c>
      <c r="E5076" s="2" t="s">
        <v>63</v>
      </c>
      <c r="F5076" s="2" t="s">
        <v>813</v>
      </c>
      <c r="G5076" s="2" t="s">
        <v>815</v>
      </c>
      <c r="H5076" s="2" t="s">
        <v>815</v>
      </c>
      <c r="I5076" s="2" t="s">
        <v>785</v>
      </c>
      <c r="J5076" s="25">
        <v>46922</v>
      </c>
      <c r="K5076" s="36">
        <v>4.0800000000000003E-2</v>
      </c>
      <c r="L5076" s="23">
        <v>2.0400000000000001E-3</v>
      </c>
    </row>
    <row r="5077" spans="1:12" ht="15.35" hidden="1" x14ac:dyDescent="0.55000000000000004">
      <c r="A5077" s="20">
        <v>1805</v>
      </c>
      <c r="B5077" s="2" t="s">
        <v>184</v>
      </c>
      <c r="C5077" s="2" t="s">
        <v>185</v>
      </c>
      <c r="D5077" s="20">
        <v>0</v>
      </c>
      <c r="E5077" s="2" t="s">
        <v>63</v>
      </c>
      <c r="F5077" s="2" t="s">
        <v>813</v>
      </c>
      <c r="G5077" s="2" t="s">
        <v>815</v>
      </c>
      <c r="H5077" s="2" t="s">
        <v>815</v>
      </c>
      <c r="I5077" s="2" t="s">
        <v>785</v>
      </c>
      <c r="J5077" s="25">
        <v>46556</v>
      </c>
      <c r="K5077" s="36">
        <v>4.0800000000000003E-2</v>
      </c>
      <c r="L5077" s="23">
        <v>2.0400000000000001E-3</v>
      </c>
    </row>
    <row r="5078" spans="1:12" ht="15.35" hidden="1" x14ac:dyDescent="0.55000000000000004">
      <c r="A5078" s="20">
        <v>1804</v>
      </c>
      <c r="B5078" s="2" t="s">
        <v>184</v>
      </c>
      <c r="C5078" s="2" t="s">
        <v>185</v>
      </c>
      <c r="D5078" s="20">
        <v>0</v>
      </c>
      <c r="E5078" s="2" t="s">
        <v>63</v>
      </c>
      <c r="F5078" s="2" t="s">
        <v>787</v>
      </c>
      <c r="G5078" s="2" t="s">
        <v>1109</v>
      </c>
      <c r="H5078" s="2" t="s">
        <v>1109</v>
      </c>
      <c r="I5078" s="2" t="s">
        <v>785</v>
      </c>
      <c r="J5078" s="25">
        <v>46556</v>
      </c>
      <c r="K5078" s="36">
        <v>4.0800000000000003E-2</v>
      </c>
      <c r="L5078" s="23">
        <v>2.0400000000000001E-3</v>
      </c>
    </row>
    <row r="5079" spans="1:12" ht="15.35" hidden="1" x14ac:dyDescent="0.55000000000000004">
      <c r="A5079" s="20">
        <v>1827</v>
      </c>
      <c r="B5079" s="2" t="s">
        <v>184</v>
      </c>
      <c r="C5079" s="2" t="s">
        <v>185</v>
      </c>
      <c r="D5079" s="20">
        <v>0</v>
      </c>
      <c r="E5079" s="2" t="s">
        <v>63</v>
      </c>
      <c r="F5079" s="2" t="s">
        <v>787</v>
      </c>
      <c r="G5079" s="2" t="s">
        <v>1109</v>
      </c>
      <c r="H5079" s="2" t="s">
        <v>1109</v>
      </c>
      <c r="I5079" s="2" t="s">
        <v>785</v>
      </c>
      <c r="J5079" s="25">
        <v>46922</v>
      </c>
      <c r="K5079" s="36">
        <v>4.0800000000000003E-2</v>
      </c>
      <c r="L5079" s="23">
        <v>2.0400000000000001E-3</v>
      </c>
    </row>
    <row r="5080" spans="1:12" ht="15.35" hidden="1" x14ac:dyDescent="0.55000000000000004">
      <c r="A5080" s="20">
        <v>1859</v>
      </c>
      <c r="B5080" s="2" t="s">
        <v>184</v>
      </c>
      <c r="C5080" s="2" t="s">
        <v>185</v>
      </c>
      <c r="D5080" s="20">
        <v>0</v>
      </c>
      <c r="E5080" s="2" t="s">
        <v>63</v>
      </c>
      <c r="F5080" s="2" t="s">
        <v>787</v>
      </c>
      <c r="G5080" s="2" t="s">
        <v>933</v>
      </c>
      <c r="H5080" s="2" t="s">
        <v>933</v>
      </c>
      <c r="I5080" s="2" t="s">
        <v>785</v>
      </c>
      <c r="J5080" s="25">
        <v>46556</v>
      </c>
      <c r="K5080" s="36">
        <v>8.1600000000000006E-2</v>
      </c>
      <c r="L5080" s="23">
        <v>4.0800000000000003E-3</v>
      </c>
    </row>
    <row r="5081" spans="1:12" ht="15.35" hidden="1" x14ac:dyDescent="0.55000000000000004">
      <c r="A5081" s="20">
        <v>1816</v>
      </c>
      <c r="B5081" s="2" t="s">
        <v>184</v>
      </c>
      <c r="C5081" s="2" t="s">
        <v>185</v>
      </c>
      <c r="D5081" s="20">
        <v>0</v>
      </c>
      <c r="E5081" s="2" t="s">
        <v>63</v>
      </c>
      <c r="F5081" s="2" t="s">
        <v>787</v>
      </c>
      <c r="G5081" s="2" t="s">
        <v>933</v>
      </c>
      <c r="H5081" s="2" t="s">
        <v>933</v>
      </c>
      <c r="I5081" s="2" t="s">
        <v>785</v>
      </c>
      <c r="J5081" s="25">
        <v>46922</v>
      </c>
      <c r="K5081" s="36">
        <v>8.1600000000000006E-2</v>
      </c>
      <c r="L5081" s="23">
        <v>4.0800000000000003E-3</v>
      </c>
    </row>
    <row r="5082" spans="1:12" ht="15.35" hidden="1" x14ac:dyDescent="0.55000000000000004">
      <c r="A5082" s="20">
        <v>1797</v>
      </c>
      <c r="B5082" s="2" t="s">
        <v>184</v>
      </c>
      <c r="C5082" s="2" t="s">
        <v>185</v>
      </c>
      <c r="D5082" s="20">
        <v>0</v>
      </c>
      <c r="E5082" s="2" t="s">
        <v>63</v>
      </c>
      <c r="F5082" s="2" t="s">
        <v>811</v>
      </c>
      <c r="G5082" s="2" t="s">
        <v>2681</v>
      </c>
      <c r="H5082" s="2" t="s">
        <v>2681</v>
      </c>
      <c r="I5082" s="2" t="s">
        <v>785</v>
      </c>
      <c r="J5082" s="25">
        <v>46922</v>
      </c>
      <c r="K5082" s="36">
        <v>4.0800000000000003E-2</v>
      </c>
      <c r="L5082" s="23">
        <v>2.0400000000000001E-3</v>
      </c>
    </row>
    <row r="5083" spans="1:12" ht="15.35" hidden="1" x14ac:dyDescent="0.55000000000000004">
      <c r="A5083" s="20">
        <v>1861</v>
      </c>
      <c r="B5083" s="2" t="s">
        <v>184</v>
      </c>
      <c r="C5083" s="2" t="s">
        <v>185</v>
      </c>
      <c r="D5083" s="20">
        <v>0</v>
      </c>
      <c r="E5083" s="2" t="s">
        <v>63</v>
      </c>
      <c r="F5083" s="2" t="s">
        <v>811</v>
      </c>
      <c r="G5083" s="2" t="s">
        <v>2681</v>
      </c>
      <c r="H5083" s="2" t="s">
        <v>2681</v>
      </c>
      <c r="I5083" s="2" t="s">
        <v>785</v>
      </c>
      <c r="J5083" s="25">
        <v>46556</v>
      </c>
      <c r="K5083" s="36">
        <v>4.0800000000000003E-2</v>
      </c>
      <c r="L5083" s="23">
        <v>2.0400000000000001E-3</v>
      </c>
    </row>
    <row r="5084" spans="1:12" ht="15.35" hidden="1" x14ac:dyDescent="0.55000000000000004">
      <c r="A5084" s="20">
        <v>1862</v>
      </c>
      <c r="B5084" s="2" t="s">
        <v>184</v>
      </c>
      <c r="C5084" s="2" t="s">
        <v>185</v>
      </c>
      <c r="D5084" s="20">
        <v>0</v>
      </c>
      <c r="E5084" s="2" t="s">
        <v>63</v>
      </c>
      <c r="F5084" s="2" t="s">
        <v>811</v>
      </c>
      <c r="G5084" s="2" t="s">
        <v>4566</v>
      </c>
      <c r="H5084" s="2" t="s">
        <v>4566</v>
      </c>
      <c r="I5084" s="2" t="s">
        <v>785</v>
      </c>
      <c r="J5084" s="25">
        <v>46556</v>
      </c>
      <c r="K5084" s="36">
        <v>4.0800000000000003E-2</v>
      </c>
      <c r="L5084" s="23">
        <v>2.0400000000000001E-3</v>
      </c>
    </row>
    <row r="5085" spans="1:12" ht="15.35" hidden="1" x14ac:dyDescent="0.55000000000000004">
      <c r="A5085" s="20">
        <v>1796</v>
      </c>
      <c r="B5085" s="2" t="s">
        <v>184</v>
      </c>
      <c r="C5085" s="2" t="s">
        <v>185</v>
      </c>
      <c r="D5085" s="20">
        <v>0</v>
      </c>
      <c r="E5085" s="2" t="s">
        <v>63</v>
      </c>
      <c r="F5085" s="2" t="s">
        <v>811</v>
      </c>
      <c r="G5085" s="2" t="s">
        <v>4566</v>
      </c>
      <c r="H5085" s="2" t="s">
        <v>4566</v>
      </c>
      <c r="I5085" s="2" t="s">
        <v>785</v>
      </c>
      <c r="J5085" s="25">
        <v>46922</v>
      </c>
      <c r="K5085" s="36">
        <v>4.0800000000000003E-2</v>
      </c>
      <c r="L5085" s="23">
        <v>2.0400000000000001E-3</v>
      </c>
    </row>
    <row r="5086" spans="1:12" ht="15.35" hidden="1" x14ac:dyDescent="0.55000000000000004">
      <c r="A5086" s="20">
        <v>1808</v>
      </c>
      <c r="B5086" s="2" t="s">
        <v>184</v>
      </c>
      <c r="C5086" s="2" t="s">
        <v>185</v>
      </c>
      <c r="D5086" s="20">
        <v>0</v>
      </c>
      <c r="E5086" s="2" t="s">
        <v>63</v>
      </c>
      <c r="F5086" s="2" t="s">
        <v>813</v>
      </c>
      <c r="G5086" s="2" t="s">
        <v>2682</v>
      </c>
      <c r="H5086" s="2" t="s">
        <v>2682</v>
      </c>
      <c r="I5086" s="2" t="s">
        <v>785</v>
      </c>
      <c r="J5086" s="25">
        <v>46556</v>
      </c>
      <c r="K5086" s="36">
        <v>4.0800000000000003E-2</v>
      </c>
      <c r="L5086" s="23">
        <v>2.0400000000000001E-3</v>
      </c>
    </row>
    <row r="5087" spans="1:12" ht="15.35" hidden="1" x14ac:dyDescent="0.55000000000000004">
      <c r="A5087" s="20">
        <v>1831</v>
      </c>
      <c r="B5087" s="2" t="s">
        <v>184</v>
      </c>
      <c r="C5087" s="2" t="s">
        <v>185</v>
      </c>
      <c r="D5087" s="20">
        <v>0</v>
      </c>
      <c r="E5087" s="2" t="s">
        <v>63</v>
      </c>
      <c r="F5087" s="2" t="s">
        <v>813</v>
      </c>
      <c r="G5087" s="2" t="s">
        <v>2682</v>
      </c>
      <c r="H5087" s="2" t="s">
        <v>2682</v>
      </c>
      <c r="I5087" s="2" t="s">
        <v>785</v>
      </c>
      <c r="J5087" s="25">
        <v>46922</v>
      </c>
      <c r="K5087" s="36">
        <v>4.0800000000000003E-2</v>
      </c>
      <c r="L5087" s="23">
        <v>2.0400000000000001E-3</v>
      </c>
    </row>
    <row r="5088" spans="1:12" ht="15.35" hidden="1" x14ac:dyDescent="0.55000000000000004">
      <c r="A5088" s="20">
        <v>1825</v>
      </c>
      <c r="B5088" s="2" t="s">
        <v>184</v>
      </c>
      <c r="C5088" s="2" t="s">
        <v>185</v>
      </c>
      <c r="D5088" s="20">
        <v>0</v>
      </c>
      <c r="E5088" s="2" t="s">
        <v>63</v>
      </c>
      <c r="F5088" s="2" t="s">
        <v>817</v>
      </c>
      <c r="G5088" s="2" t="s">
        <v>819</v>
      </c>
      <c r="H5088" s="2" t="s">
        <v>819</v>
      </c>
      <c r="I5088" s="2" t="s">
        <v>785</v>
      </c>
      <c r="J5088" s="25">
        <v>46922</v>
      </c>
      <c r="K5088" s="36">
        <v>4.0800000000000003E-2</v>
      </c>
      <c r="L5088" s="23">
        <v>2.0400000000000001E-3</v>
      </c>
    </row>
    <row r="5089" spans="1:12" ht="15.35" hidden="1" x14ac:dyDescent="0.55000000000000004">
      <c r="A5089" s="20">
        <v>1832</v>
      </c>
      <c r="B5089" s="2" t="s">
        <v>184</v>
      </c>
      <c r="C5089" s="2" t="s">
        <v>185</v>
      </c>
      <c r="D5089" s="20">
        <v>0</v>
      </c>
      <c r="E5089" s="2" t="s">
        <v>63</v>
      </c>
      <c r="F5089" s="2" t="s">
        <v>817</v>
      </c>
      <c r="G5089" s="2" t="s">
        <v>819</v>
      </c>
      <c r="H5089" s="2" t="s">
        <v>819</v>
      </c>
      <c r="I5089" s="2" t="s">
        <v>785</v>
      </c>
      <c r="J5089" s="25">
        <v>46556</v>
      </c>
      <c r="K5089" s="36">
        <v>4.0800000000000003E-2</v>
      </c>
      <c r="L5089" s="23">
        <v>2.0400000000000001E-3</v>
      </c>
    </row>
    <row r="5090" spans="1:12" ht="15.35" hidden="1" x14ac:dyDescent="0.55000000000000004">
      <c r="A5090" s="20">
        <v>1821</v>
      </c>
      <c r="B5090" s="2" t="s">
        <v>184</v>
      </c>
      <c r="C5090" s="2" t="s">
        <v>185</v>
      </c>
      <c r="D5090" s="20">
        <v>0</v>
      </c>
      <c r="E5090" s="2" t="s">
        <v>63</v>
      </c>
      <c r="F5090" s="2" t="s">
        <v>798</v>
      </c>
      <c r="G5090" s="2" t="s">
        <v>4567</v>
      </c>
      <c r="H5090" s="2" t="s">
        <v>824</v>
      </c>
      <c r="I5090" s="2" t="s">
        <v>785</v>
      </c>
      <c r="J5090" s="25">
        <v>46922</v>
      </c>
      <c r="K5090" s="36">
        <v>4.0800000000000003E-2</v>
      </c>
      <c r="L5090" s="23">
        <v>2.0400000000000001E-3</v>
      </c>
    </row>
    <row r="5091" spans="1:12" ht="15.35" hidden="1" x14ac:dyDescent="0.55000000000000004">
      <c r="A5091" s="20">
        <v>1813</v>
      </c>
      <c r="B5091" s="2" t="s">
        <v>184</v>
      </c>
      <c r="C5091" s="2" t="s">
        <v>185</v>
      </c>
      <c r="D5091" s="20">
        <v>0</v>
      </c>
      <c r="E5091" s="2" t="s">
        <v>63</v>
      </c>
      <c r="F5091" s="2" t="s">
        <v>798</v>
      </c>
      <c r="G5091" s="2" t="s">
        <v>4567</v>
      </c>
      <c r="H5091" s="2" t="s">
        <v>824</v>
      </c>
      <c r="I5091" s="2" t="s">
        <v>785</v>
      </c>
      <c r="J5091" s="25">
        <v>46556</v>
      </c>
      <c r="K5091" s="36">
        <v>4.0800000000000003E-2</v>
      </c>
      <c r="L5091" s="23">
        <v>2.0400000000000001E-3</v>
      </c>
    </row>
    <row r="5092" spans="1:12" ht="15.35" hidden="1" x14ac:dyDescent="0.55000000000000004">
      <c r="A5092" s="20">
        <v>1800</v>
      </c>
      <c r="B5092" s="2" t="s">
        <v>184</v>
      </c>
      <c r="C5092" s="2" t="s">
        <v>185</v>
      </c>
      <c r="D5092" s="20">
        <v>0</v>
      </c>
      <c r="E5092" s="2" t="s">
        <v>63</v>
      </c>
      <c r="F5092" s="2" t="s">
        <v>798</v>
      </c>
      <c r="G5092" s="2" t="s">
        <v>4568</v>
      </c>
      <c r="H5092" s="2" t="s">
        <v>1196</v>
      </c>
      <c r="I5092" s="2" t="s">
        <v>785</v>
      </c>
      <c r="J5092" s="25">
        <v>46556</v>
      </c>
      <c r="K5092" s="36">
        <v>4.0800000000000003E-2</v>
      </c>
      <c r="L5092" s="23">
        <v>2.0400000000000001E-3</v>
      </c>
    </row>
    <row r="5093" spans="1:12" ht="15.35" hidden="1" x14ac:dyDescent="0.55000000000000004">
      <c r="A5093" s="20">
        <v>1824</v>
      </c>
      <c r="B5093" s="2" t="s">
        <v>184</v>
      </c>
      <c r="C5093" s="2" t="s">
        <v>185</v>
      </c>
      <c r="D5093" s="20">
        <v>0</v>
      </c>
      <c r="E5093" s="2" t="s">
        <v>63</v>
      </c>
      <c r="F5093" s="2" t="s">
        <v>798</v>
      </c>
      <c r="G5093" s="2" t="s">
        <v>4568</v>
      </c>
      <c r="H5093" s="2" t="s">
        <v>1196</v>
      </c>
      <c r="I5093" s="2" t="s">
        <v>785</v>
      </c>
      <c r="J5093" s="25">
        <v>46922</v>
      </c>
      <c r="K5093" s="36">
        <v>4.0800000000000003E-2</v>
      </c>
      <c r="L5093" s="23">
        <v>2.0400000000000001E-3</v>
      </c>
    </row>
    <row r="5094" spans="1:12" ht="15.35" hidden="1" x14ac:dyDescent="0.55000000000000004">
      <c r="A5094" s="20">
        <v>1837</v>
      </c>
      <c r="B5094" s="2" t="s">
        <v>184</v>
      </c>
      <c r="C5094" s="2" t="s">
        <v>185</v>
      </c>
      <c r="D5094" s="20">
        <v>0</v>
      </c>
      <c r="E5094" s="2" t="s">
        <v>63</v>
      </c>
      <c r="F5094" s="2" t="s">
        <v>798</v>
      </c>
      <c r="G5094" s="2" t="s">
        <v>4569</v>
      </c>
      <c r="H5094" s="2" t="s">
        <v>829</v>
      </c>
      <c r="I5094" s="2" t="s">
        <v>785</v>
      </c>
      <c r="J5094" s="25">
        <v>46922</v>
      </c>
      <c r="K5094" s="36">
        <v>4.0800000000000003E-2</v>
      </c>
      <c r="L5094" s="23">
        <v>2.0400000000000001E-3</v>
      </c>
    </row>
    <row r="5095" spans="1:12" ht="15.35" hidden="1" x14ac:dyDescent="0.55000000000000004">
      <c r="A5095" s="20">
        <v>1865</v>
      </c>
      <c r="B5095" s="2" t="s">
        <v>184</v>
      </c>
      <c r="C5095" s="2" t="s">
        <v>185</v>
      </c>
      <c r="D5095" s="20">
        <v>0</v>
      </c>
      <c r="E5095" s="2" t="s">
        <v>63</v>
      </c>
      <c r="F5095" s="2" t="s">
        <v>798</v>
      </c>
      <c r="G5095" s="2" t="s">
        <v>4569</v>
      </c>
      <c r="H5095" s="2" t="s">
        <v>829</v>
      </c>
      <c r="I5095" s="2" t="s">
        <v>785</v>
      </c>
      <c r="J5095" s="25">
        <v>46556</v>
      </c>
      <c r="K5095" s="36">
        <v>4.0800000000000003E-2</v>
      </c>
      <c r="L5095" s="23">
        <v>2.0400000000000001E-3</v>
      </c>
    </row>
    <row r="5096" spans="1:12" ht="15.35" hidden="1" x14ac:dyDescent="0.55000000000000004">
      <c r="A5096" s="20">
        <v>1836</v>
      </c>
      <c r="B5096" s="2" t="s">
        <v>184</v>
      </c>
      <c r="C5096" s="2" t="s">
        <v>185</v>
      </c>
      <c r="D5096" s="20">
        <v>0</v>
      </c>
      <c r="E5096" s="2" t="s">
        <v>63</v>
      </c>
      <c r="F5096" s="2" t="s">
        <v>798</v>
      </c>
      <c r="G5096" s="2" t="s">
        <v>4570</v>
      </c>
      <c r="H5096" s="2" t="s">
        <v>829</v>
      </c>
      <c r="I5096" s="2" t="s">
        <v>785</v>
      </c>
      <c r="J5096" s="25">
        <v>46922</v>
      </c>
      <c r="K5096" s="36">
        <v>4.0800000000000003E-2</v>
      </c>
      <c r="L5096" s="23">
        <v>2.0400000000000001E-3</v>
      </c>
    </row>
    <row r="5097" spans="1:12" ht="15.35" hidden="1" x14ac:dyDescent="0.55000000000000004">
      <c r="A5097" s="20">
        <v>1849</v>
      </c>
      <c r="B5097" s="2" t="s">
        <v>184</v>
      </c>
      <c r="C5097" s="2" t="s">
        <v>185</v>
      </c>
      <c r="D5097" s="20">
        <v>0</v>
      </c>
      <c r="E5097" s="2" t="s">
        <v>63</v>
      </c>
      <c r="F5097" s="2" t="s">
        <v>798</v>
      </c>
      <c r="G5097" s="2" t="s">
        <v>4570</v>
      </c>
      <c r="H5097" s="2" t="s">
        <v>829</v>
      </c>
      <c r="I5097" s="2" t="s">
        <v>785</v>
      </c>
      <c r="J5097" s="25">
        <v>46556</v>
      </c>
      <c r="K5097" s="36">
        <v>4.0800000000000003E-2</v>
      </c>
      <c r="L5097" s="23">
        <v>2.0400000000000001E-3</v>
      </c>
    </row>
    <row r="5098" spans="1:12" ht="15.35" hidden="1" x14ac:dyDescent="0.55000000000000004">
      <c r="A5098" s="20">
        <v>1823</v>
      </c>
      <c r="B5098" s="2" t="s">
        <v>184</v>
      </c>
      <c r="C5098" s="2" t="s">
        <v>185</v>
      </c>
      <c r="D5098" s="20">
        <v>0</v>
      </c>
      <c r="E5098" s="2" t="s">
        <v>63</v>
      </c>
      <c r="F5098" s="2" t="s">
        <v>798</v>
      </c>
      <c r="G5098" s="2" t="s">
        <v>4571</v>
      </c>
      <c r="H5098" s="2" t="s">
        <v>2564</v>
      </c>
      <c r="I5098" s="2" t="s">
        <v>785</v>
      </c>
      <c r="J5098" s="25">
        <v>46922</v>
      </c>
      <c r="K5098" s="36">
        <v>4.0800000000000003E-2</v>
      </c>
      <c r="L5098" s="23">
        <v>2.0400000000000001E-3</v>
      </c>
    </row>
    <row r="5099" spans="1:12" ht="15.35" hidden="1" x14ac:dyDescent="0.55000000000000004">
      <c r="A5099" s="20">
        <v>1815</v>
      </c>
      <c r="B5099" s="2" t="s">
        <v>184</v>
      </c>
      <c r="C5099" s="2" t="s">
        <v>185</v>
      </c>
      <c r="D5099" s="20">
        <v>0</v>
      </c>
      <c r="E5099" s="2" t="s">
        <v>63</v>
      </c>
      <c r="F5099" s="2" t="s">
        <v>798</v>
      </c>
      <c r="G5099" s="2" t="s">
        <v>4571</v>
      </c>
      <c r="H5099" s="2" t="s">
        <v>2564</v>
      </c>
      <c r="I5099" s="2" t="s">
        <v>785</v>
      </c>
      <c r="J5099" s="25">
        <v>46556</v>
      </c>
      <c r="K5099" s="36">
        <v>4.0800000000000003E-2</v>
      </c>
      <c r="L5099" s="23">
        <v>2.0400000000000001E-3</v>
      </c>
    </row>
    <row r="5100" spans="1:12" ht="15.35" hidden="1" x14ac:dyDescent="0.55000000000000004">
      <c r="A5100" s="20">
        <v>1814</v>
      </c>
      <c r="B5100" s="2" t="s">
        <v>184</v>
      </c>
      <c r="C5100" s="2" t="s">
        <v>185</v>
      </c>
      <c r="D5100" s="20">
        <v>0</v>
      </c>
      <c r="E5100" s="2" t="s">
        <v>63</v>
      </c>
      <c r="F5100" s="2" t="s">
        <v>807</v>
      </c>
      <c r="G5100" s="2" t="s">
        <v>2684</v>
      </c>
      <c r="H5100" s="2" t="s">
        <v>2684</v>
      </c>
      <c r="I5100" s="2" t="s">
        <v>809</v>
      </c>
      <c r="J5100" s="25">
        <v>48017</v>
      </c>
      <c r="K5100" s="36">
        <v>4</v>
      </c>
      <c r="L5100" s="23">
        <v>0.2</v>
      </c>
    </row>
    <row r="5101" spans="1:12" ht="15.35" hidden="1" x14ac:dyDescent="0.55000000000000004">
      <c r="A5101" s="20">
        <v>1838</v>
      </c>
      <c r="B5101" s="2" t="s">
        <v>184</v>
      </c>
      <c r="C5101" s="2" t="s">
        <v>185</v>
      </c>
      <c r="D5101" s="20">
        <v>0</v>
      </c>
      <c r="E5101" s="2" t="s">
        <v>63</v>
      </c>
      <c r="F5101" s="2" t="s">
        <v>807</v>
      </c>
      <c r="G5101" s="2" t="s">
        <v>2684</v>
      </c>
      <c r="H5101" s="2" t="s">
        <v>2684</v>
      </c>
      <c r="I5101" s="2" t="s">
        <v>809</v>
      </c>
      <c r="J5101" s="25">
        <v>47287</v>
      </c>
      <c r="K5101" s="36">
        <v>5.8</v>
      </c>
      <c r="L5101" s="23">
        <v>0.28999999999999998</v>
      </c>
    </row>
    <row r="5102" spans="1:12" ht="15.35" hidden="1" x14ac:dyDescent="0.55000000000000004">
      <c r="A5102" s="20">
        <v>1820</v>
      </c>
      <c r="B5102" s="2" t="s">
        <v>184</v>
      </c>
      <c r="C5102" s="2" t="s">
        <v>185</v>
      </c>
      <c r="D5102" s="20">
        <v>0</v>
      </c>
      <c r="E5102" s="2" t="s">
        <v>63</v>
      </c>
      <c r="F5102" s="2" t="s">
        <v>817</v>
      </c>
      <c r="G5102" s="2" t="s">
        <v>4572</v>
      </c>
      <c r="H5102" s="2" t="s">
        <v>862</v>
      </c>
      <c r="I5102" s="2" t="s">
        <v>785</v>
      </c>
      <c r="J5102" s="25">
        <v>46922</v>
      </c>
      <c r="K5102" s="36">
        <v>4.0800000000000003E-2</v>
      </c>
      <c r="L5102" s="23">
        <v>2.0400000000000001E-3</v>
      </c>
    </row>
    <row r="5103" spans="1:12" ht="15.35" hidden="1" x14ac:dyDescent="0.55000000000000004">
      <c r="A5103" s="20">
        <v>1789</v>
      </c>
      <c r="B5103" s="2" t="s">
        <v>184</v>
      </c>
      <c r="C5103" s="2" t="s">
        <v>185</v>
      </c>
      <c r="D5103" s="20">
        <v>0</v>
      </c>
      <c r="E5103" s="2" t="s">
        <v>63</v>
      </c>
      <c r="F5103" s="2" t="s">
        <v>817</v>
      </c>
      <c r="G5103" s="2" t="s">
        <v>4572</v>
      </c>
      <c r="H5103" s="2" t="s">
        <v>862</v>
      </c>
      <c r="I5103" s="2" t="s">
        <v>785</v>
      </c>
      <c r="J5103" s="25">
        <v>46556</v>
      </c>
      <c r="K5103" s="36">
        <v>4.0800000000000003E-2</v>
      </c>
      <c r="L5103" s="23">
        <v>2.0400000000000001E-3</v>
      </c>
    </row>
    <row r="5104" spans="1:12" ht="15.35" x14ac:dyDescent="0.55000000000000004">
      <c r="A5104" s="20">
        <v>1791</v>
      </c>
      <c r="B5104" s="2" t="s">
        <v>184</v>
      </c>
      <c r="C5104" s="2" t="s">
        <v>185</v>
      </c>
      <c r="D5104" s="20">
        <v>0</v>
      </c>
      <c r="E5104" s="2" t="s">
        <v>63</v>
      </c>
      <c r="F5104" s="2" t="s">
        <v>811</v>
      </c>
      <c r="G5104" s="2" t="s">
        <v>4573</v>
      </c>
      <c r="I5104" s="2" t="s">
        <v>785</v>
      </c>
      <c r="J5104" s="25">
        <v>46922</v>
      </c>
      <c r="K5104" s="36">
        <v>2.5950000000000001E-2</v>
      </c>
      <c r="L5104" s="23">
        <v>1.2979999999999999E-3</v>
      </c>
    </row>
    <row r="5105" spans="1:12" ht="15.35" x14ac:dyDescent="0.55000000000000004">
      <c r="A5105" s="20">
        <v>1822</v>
      </c>
      <c r="B5105" s="2" t="s">
        <v>184</v>
      </c>
      <c r="C5105" s="2" t="s">
        <v>185</v>
      </c>
      <c r="D5105" s="20">
        <v>0</v>
      </c>
      <c r="E5105" s="2" t="s">
        <v>63</v>
      </c>
      <c r="F5105" s="2" t="s">
        <v>811</v>
      </c>
      <c r="G5105" s="2" t="s">
        <v>4573</v>
      </c>
      <c r="I5105" s="2" t="s">
        <v>785</v>
      </c>
      <c r="J5105" s="25">
        <v>46556</v>
      </c>
      <c r="K5105" s="36">
        <v>2.5950000000000001E-2</v>
      </c>
      <c r="L5105" s="23">
        <v>1.2979999999999999E-3</v>
      </c>
    </row>
    <row r="5106" spans="1:12" ht="15.35" hidden="1" x14ac:dyDescent="0.55000000000000004">
      <c r="A5106" s="20">
        <v>1847</v>
      </c>
      <c r="B5106" s="2" t="s">
        <v>184</v>
      </c>
      <c r="C5106" s="2" t="s">
        <v>185</v>
      </c>
      <c r="D5106" s="20">
        <v>0</v>
      </c>
      <c r="E5106" s="2" t="s">
        <v>63</v>
      </c>
      <c r="F5106" s="2" t="s">
        <v>787</v>
      </c>
      <c r="G5106" s="2" t="s">
        <v>864</v>
      </c>
      <c r="H5106" s="2" t="s">
        <v>864</v>
      </c>
      <c r="I5106" s="2" t="s">
        <v>785</v>
      </c>
      <c r="J5106" s="25">
        <v>46922</v>
      </c>
      <c r="K5106" s="36">
        <v>8.1600000000000006E-2</v>
      </c>
      <c r="L5106" s="23">
        <v>4.0800000000000003E-3</v>
      </c>
    </row>
    <row r="5107" spans="1:12" ht="15.35" hidden="1" x14ac:dyDescent="0.55000000000000004">
      <c r="A5107" s="20">
        <v>1857</v>
      </c>
      <c r="B5107" s="2" t="s">
        <v>184</v>
      </c>
      <c r="C5107" s="2" t="s">
        <v>185</v>
      </c>
      <c r="D5107" s="20">
        <v>0</v>
      </c>
      <c r="E5107" s="2" t="s">
        <v>63</v>
      </c>
      <c r="F5107" s="2" t="s">
        <v>787</v>
      </c>
      <c r="G5107" s="2" t="s">
        <v>864</v>
      </c>
      <c r="H5107" s="2" t="s">
        <v>864</v>
      </c>
      <c r="I5107" s="2" t="s">
        <v>785</v>
      </c>
      <c r="J5107" s="25">
        <v>46556</v>
      </c>
      <c r="K5107" s="36">
        <v>8.1600000000000006E-2</v>
      </c>
      <c r="L5107" s="23">
        <v>4.0800000000000003E-3</v>
      </c>
    </row>
    <row r="5108" spans="1:12" ht="15.35" hidden="1" x14ac:dyDescent="0.55000000000000004">
      <c r="A5108" s="20">
        <v>1867</v>
      </c>
      <c r="B5108" s="2" t="s">
        <v>184</v>
      </c>
      <c r="C5108" s="2" t="s">
        <v>185</v>
      </c>
      <c r="D5108" s="20">
        <v>0</v>
      </c>
      <c r="E5108" s="2" t="s">
        <v>63</v>
      </c>
      <c r="F5108" s="2" t="s">
        <v>817</v>
      </c>
      <c r="G5108" s="2" t="s">
        <v>4574</v>
      </c>
      <c r="H5108" s="2" t="s">
        <v>1163</v>
      </c>
      <c r="I5108" s="2" t="s">
        <v>785</v>
      </c>
      <c r="J5108" s="25">
        <v>46556</v>
      </c>
      <c r="K5108" s="36">
        <v>2.2100000000000002E-2</v>
      </c>
      <c r="L5108" s="23">
        <v>1.1050000000000001E-3</v>
      </c>
    </row>
    <row r="5109" spans="1:12" ht="15.35" hidden="1" x14ac:dyDescent="0.55000000000000004">
      <c r="A5109" s="20">
        <v>1790</v>
      </c>
      <c r="B5109" s="2" t="s">
        <v>184</v>
      </c>
      <c r="C5109" s="2" t="s">
        <v>185</v>
      </c>
      <c r="D5109" s="20">
        <v>0</v>
      </c>
      <c r="E5109" s="2" t="s">
        <v>63</v>
      </c>
      <c r="F5109" s="2" t="s">
        <v>817</v>
      </c>
      <c r="G5109" s="2" t="s">
        <v>4574</v>
      </c>
      <c r="H5109" s="2" t="s">
        <v>1163</v>
      </c>
      <c r="I5109" s="2" t="s">
        <v>785</v>
      </c>
      <c r="J5109" s="25">
        <v>46922</v>
      </c>
      <c r="K5109" s="36">
        <v>2.2100000000000002E-2</v>
      </c>
      <c r="L5109" s="23">
        <v>1.1050000000000001E-3</v>
      </c>
    </row>
    <row r="5110" spans="1:12" ht="15.35" hidden="1" x14ac:dyDescent="0.55000000000000004">
      <c r="A5110" s="20">
        <v>1835</v>
      </c>
      <c r="B5110" s="2" t="s">
        <v>184</v>
      </c>
      <c r="C5110" s="2" t="s">
        <v>185</v>
      </c>
      <c r="D5110" s="20">
        <v>0</v>
      </c>
      <c r="E5110" s="2" t="s">
        <v>63</v>
      </c>
      <c r="F5110" s="2" t="s">
        <v>817</v>
      </c>
      <c r="G5110" s="2" t="s">
        <v>4575</v>
      </c>
      <c r="H5110" s="2" t="s">
        <v>1163</v>
      </c>
      <c r="I5110" s="2" t="s">
        <v>785</v>
      </c>
      <c r="J5110" s="25">
        <v>46922</v>
      </c>
      <c r="K5110" s="36">
        <v>4.0800000000000003E-2</v>
      </c>
      <c r="L5110" s="23">
        <v>2.0400000000000001E-3</v>
      </c>
    </row>
    <row r="5111" spans="1:12" ht="15.35" hidden="1" x14ac:dyDescent="0.55000000000000004">
      <c r="A5111" s="20">
        <v>1866</v>
      </c>
      <c r="B5111" s="2" t="s">
        <v>184</v>
      </c>
      <c r="C5111" s="2" t="s">
        <v>185</v>
      </c>
      <c r="D5111" s="20">
        <v>0</v>
      </c>
      <c r="E5111" s="2" t="s">
        <v>63</v>
      </c>
      <c r="F5111" s="2" t="s">
        <v>817</v>
      </c>
      <c r="G5111" s="2" t="s">
        <v>4575</v>
      </c>
      <c r="H5111" s="2" t="s">
        <v>1163</v>
      </c>
      <c r="I5111" s="2" t="s">
        <v>785</v>
      </c>
      <c r="J5111" s="25">
        <v>46556</v>
      </c>
      <c r="K5111" s="36">
        <v>4.0800000000000003E-2</v>
      </c>
      <c r="L5111" s="23">
        <v>2.0400000000000001E-3</v>
      </c>
    </row>
    <row r="5112" spans="1:12" ht="15.35" hidden="1" x14ac:dyDescent="0.55000000000000004">
      <c r="A5112" s="20">
        <v>1793</v>
      </c>
      <c r="B5112" s="2" t="s">
        <v>184</v>
      </c>
      <c r="C5112" s="2" t="s">
        <v>185</v>
      </c>
      <c r="D5112" s="20">
        <v>0</v>
      </c>
      <c r="E5112" s="2" t="s">
        <v>63</v>
      </c>
      <c r="F5112" s="2" t="s">
        <v>798</v>
      </c>
      <c r="G5112" s="2" t="s">
        <v>4576</v>
      </c>
      <c r="H5112" s="2" t="s">
        <v>1166</v>
      </c>
      <c r="I5112" s="2" t="s">
        <v>785</v>
      </c>
      <c r="J5112" s="25">
        <v>46922</v>
      </c>
      <c r="K5112" s="36">
        <v>4.0800000000000003E-2</v>
      </c>
      <c r="L5112" s="23">
        <v>2.0400000000000001E-3</v>
      </c>
    </row>
    <row r="5113" spans="1:12" ht="15.35" hidden="1" x14ac:dyDescent="0.55000000000000004">
      <c r="A5113" s="20">
        <v>1811</v>
      </c>
      <c r="B5113" s="2" t="s">
        <v>184</v>
      </c>
      <c r="C5113" s="2" t="s">
        <v>185</v>
      </c>
      <c r="D5113" s="20">
        <v>0</v>
      </c>
      <c r="E5113" s="2" t="s">
        <v>63</v>
      </c>
      <c r="F5113" s="2" t="s">
        <v>798</v>
      </c>
      <c r="G5113" s="2" t="s">
        <v>4576</v>
      </c>
      <c r="H5113" s="2" t="s">
        <v>1166</v>
      </c>
      <c r="I5113" s="2" t="s">
        <v>785</v>
      </c>
      <c r="J5113" s="25">
        <v>46556</v>
      </c>
      <c r="K5113" s="36">
        <v>4.0800000000000003E-2</v>
      </c>
      <c r="L5113" s="23">
        <v>2.0400000000000001E-3</v>
      </c>
    </row>
    <row r="5114" spans="1:12" ht="15.35" hidden="1" x14ac:dyDescent="0.55000000000000004">
      <c r="A5114" s="20">
        <v>1801</v>
      </c>
      <c r="B5114" s="2" t="s">
        <v>184</v>
      </c>
      <c r="C5114" s="2" t="s">
        <v>185</v>
      </c>
      <c r="D5114" s="20">
        <v>0</v>
      </c>
      <c r="E5114" s="2" t="s">
        <v>63</v>
      </c>
      <c r="F5114" s="2" t="s">
        <v>817</v>
      </c>
      <c r="G5114" s="2" t="s">
        <v>4577</v>
      </c>
      <c r="H5114" s="2" t="s">
        <v>4367</v>
      </c>
      <c r="I5114" s="2" t="s">
        <v>785</v>
      </c>
      <c r="J5114" s="25">
        <v>46922</v>
      </c>
      <c r="K5114" s="36">
        <v>5.9499999999999997E-2</v>
      </c>
      <c r="L5114" s="23">
        <v>2.9750000000000002E-3</v>
      </c>
    </row>
    <row r="5115" spans="1:12" ht="15.35" hidden="1" x14ac:dyDescent="0.55000000000000004">
      <c r="A5115" s="20">
        <v>1860</v>
      </c>
      <c r="B5115" s="2" t="s">
        <v>184</v>
      </c>
      <c r="C5115" s="2" t="s">
        <v>185</v>
      </c>
      <c r="D5115" s="20">
        <v>0</v>
      </c>
      <c r="E5115" s="2" t="s">
        <v>63</v>
      </c>
      <c r="F5115" s="2" t="s">
        <v>817</v>
      </c>
      <c r="G5115" s="2" t="s">
        <v>4577</v>
      </c>
      <c r="H5115" s="2" t="s">
        <v>4367</v>
      </c>
      <c r="I5115" s="2" t="s">
        <v>785</v>
      </c>
      <c r="J5115" s="25">
        <v>46556</v>
      </c>
      <c r="K5115" s="36">
        <v>5.9499999999999997E-2</v>
      </c>
      <c r="L5115" s="23">
        <v>2.9750000000000002E-3</v>
      </c>
    </row>
    <row r="5116" spans="1:12" ht="15.35" hidden="1" x14ac:dyDescent="0.55000000000000004">
      <c r="A5116" s="20">
        <v>1830</v>
      </c>
      <c r="B5116" s="2" t="s">
        <v>184</v>
      </c>
      <c r="C5116" s="2" t="s">
        <v>185</v>
      </c>
      <c r="D5116" s="20">
        <v>0</v>
      </c>
      <c r="E5116" s="2" t="s">
        <v>63</v>
      </c>
      <c r="F5116" s="2" t="s">
        <v>813</v>
      </c>
      <c r="G5116" s="2" t="s">
        <v>4578</v>
      </c>
      <c r="H5116" s="2" t="s">
        <v>4578</v>
      </c>
      <c r="I5116" s="2" t="s">
        <v>785</v>
      </c>
      <c r="J5116" s="25">
        <v>46922</v>
      </c>
      <c r="K5116" s="36">
        <v>4.0800000000000003E-2</v>
      </c>
      <c r="L5116" s="23">
        <v>2.0400000000000001E-3</v>
      </c>
    </row>
    <row r="5117" spans="1:12" ht="15.35" hidden="1" x14ac:dyDescent="0.55000000000000004">
      <c r="A5117" s="20">
        <v>1807</v>
      </c>
      <c r="B5117" s="2" t="s">
        <v>184</v>
      </c>
      <c r="C5117" s="2" t="s">
        <v>185</v>
      </c>
      <c r="D5117" s="20">
        <v>0</v>
      </c>
      <c r="E5117" s="2" t="s">
        <v>63</v>
      </c>
      <c r="F5117" s="2" t="s">
        <v>813</v>
      </c>
      <c r="G5117" s="2" t="s">
        <v>4578</v>
      </c>
      <c r="H5117" s="2" t="s">
        <v>4578</v>
      </c>
      <c r="I5117" s="2" t="s">
        <v>785</v>
      </c>
      <c r="J5117" s="25">
        <v>46556</v>
      </c>
      <c r="K5117" s="36">
        <v>4.0800000000000003E-2</v>
      </c>
      <c r="L5117" s="23">
        <v>2.0400000000000001E-3</v>
      </c>
    </row>
    <row r="5118" spans="1:12" ht="15.35" hidden="1" x14ac:dyDescent="0.55000000000000004">
      <c r="A5118" s="20">
        <v>14419</v>
      </c>
      <c r="B5118" s="2" t="s">
        <v>184</v>
      </c>
      <c r="C5118" s="2" t="s">
        <v>185</v>
      </c>
      <c r="D5118" s="20">
        <v>0</v>
      </c>
      <c r="E5118" s="2" t="s">
        <v>838</v>
      </c>
      <c r="F5118" s="2" t="s">
        <v>811</v>
      </c>
      <c r="G5118" s="2" t="s">
        <v>4579</v>
      </c>
      <c r="H5118" s="2" t="s">
        <v>1062</v>
      </c>
      <c r="J5118" s="26"/>
      <c r="K5118" s="36">
        <v>5.8801499999999998E-3</v>
      </c>
      <c r="L5118" s="23">
        <v>2.9400999999999999E-4</v>
      </c>
    </row>
    <row r="5119" spans="1:12" ht="15.35" hidden="1" x14ac:dyDescent="0.55000000000000004">
      <c r="A5119" s="20">
        <v>14350</v>
      </c>
      <c r="B5119" s="2" t="s">
        <v>184</v>
      </c>
      <c r="C5119" s="2" t="s">
        <v>185</v>
      </c>
      <c r="D5119" s="20">
        <v>0</v>
      </c>
      <c r="E5119" s="2" t="s">
        <v>838</v>
      </c>
      <c r="F5119" s="2" t="s">
        <v>793</v>
      </c>
      <c r="G5119" s="2" t="s">
        <v>4580</v>
      </c>
      <c r="H5119" s="2" t="s">
        <v>4022</v>
      </c>
      <c r="J5119" s="26"/>
      <c r="K5119" s="36">
        <v>2.8063029999999999E-2</v>
      </c>
      <c r="L5119" s="23">
        <v>1.4031499999999999E-3</v>
      </c>
    </row>
    <row r="5120" spans="1:12" ht="15.35" hidden="1" x14ac:dyDescent="0.55000000000000004">
      <c r="A5120" s="20">
        <v>14345</v>
      </c>
      <c r="B5120" s="2" t="s">
        <v>184</v>
      </c>
      <c r="C5120" s="2" t="s">
        <v>185</v>
      </c>
      <c r="D5120" s="20">
        <v>0</v>
      </c>
      <c r="E5120" s="2" t="s">
        <v>838</v>
      </c>
      <c r="F5120" s="2" t="s">
        <v>793</v>
      </c>
      <c r="G5120" s="2" t="s">
        <v>4026</v>
      </c>
      <c r="H5120" s="2" t="s">
        <v>4022</v>
      </c>
      <c r="J5120" s="26"/>
      <c r="K5120" s="36">
        <v>3.2590750000000002E-2</v>
      </c>
      <c r="L5120" s="23">
        <v>1.6295400000000001E-3</v>
      </c>
    </row>
    <row r="5121" spans="1:12" ht="15.35" hidden="1" x14ac:dyDescent="0.55000000000000004">
      <c r="A5121" s="20">
        <v>14348</v>
      </c>
      <c r="B5121" s="2" t="s">
        <v>184</v>
      </c>
      <c r="C5121" s="2" t="s">
        <v>185</v>
      </c>
      <c r="D5121" s="20">
        <v>0</v>
      </c>
      <c r="E5121" s="2" t="s">
        <v>838</v>
      </c>
      <c r="F5121" s="2" t="s">
        <v>793</v>
      </c>
      <c r="G5121" s="2" t="s">
        <v>4027</v>
      </c>
      <c r="H5121" s="2" t="s">
        <v>4022</v>
      </c>
      <c r="J5121" s="26"/>
      <c r="K5121" s="36">
        <v>2.9327260000000001E-2</v>
      </c>
      <c r="L5121" s="23">
        <v>1.4663600000000001E-3</v>
      </c>
    </row>
    <row r="5122" spans="1:12" ht="15.35" hidden="1" x14ac:dyDescent="0.55000000000000004">
      <c r="A5122" s="20">
        <v>14349</v>
      </c>
      <c r="B5122" s="2" t="s">
        <v>184</v>
      </c>
      <c r="C5122" s="2" t="s">
        <v>185</v>
      </c>
      <c r="D5122" s="20">
        <v>0</v>
      </c>
      <c r="E5122" s="2" t="s">
        <v>838</v>
      </c>
      <c r="F5122" s="2" t="s">
        <v>793</v>
      </c>
      <c r="G5122" s="2" t="s">
        <v>4028</v>
      </c>
      <c r="H5122" s="2" t="s">
        <v>4022</v>
      </c>
      <c r="J5122" s="26"/>
      <c r="K5122" s="36">
        <v>2.8092430000000002E-2</v>
      </c>
      <c r="L5122" s="23">
        <v>1.4046200000000001E-3</v>
      </c>
    </row>
    <row r="5123" spans="1:12" ht="15.35" hidden="1" x14ac:dyDescent="0.55000000000000004">
      <c r="A5123" s="20">
        <v>14404</v>
      </c>
      <c r="B5123" s="2" t="s">
        <v>184</v>
      </c>
      <c r="C5123" s="2" t="s">
        <v>185</v>
      </c>
      <c r="D5123" s="20">
        <v>0</v>
      </c>
      <c r="E5123" s="2" t="s">
        <v>838</v>
      </c>
      <c r="F5123" s="2" t="s">
        <v>793</v>
      </c>
      <c r="G5123" s="2" t="s">
        <v>2713</v>
      </c>
      <c r="H5123" s="2" t="s">
        <v>1003</v>
      </c>
      <c r="J5123" s="26"/>
      <c r="K5123" s="36">
        <v>7.6442000000000003E-3</v>
      </c>
      <c r="L5123" s="23">
        <v>3.8221000000000002E-4</v>
      </c>
    </row>
    <row r="5124" spans="1:12" ht="15.35" hidden="1" x14ac:dyDescent="0.55000000000000004">
      <c r="A5124" s="20">
        <v>14374</v>
      </c>
      <c r="B5124" s="2" t="s">
        <v>184</v>
      </c>
      <c r="C5124" s="2" t="s">
        <v>185</v>
      </c>
      <c r="D5124" s="20">
        <v>0</v>
      </c>
      <c r="E5124" s="2" t="s">
        <v>838</v>
      </c>
      <c r="F5124" s="2" t="s">
        <v>817</v>
      </c>
      <c r="G5124" s="2" t="s">
        <v>4581</v>
      </c>
      <c r="H5124" s="2" t="s">
        <v>1198</v>
      </c>
      <c r="J5124" s="26"/>
      <c r="K5124" s="36">
        <v>1.5273699999999999E-2</v>
      </c>
      <c r="L5124" s="23">
        <v>7.6367999999999998E-4</v>
      </c>
    </row>
    <row r="5125" spans="1:12" ht="15.35" hidden="1" x14ac:dyDescent="0.55000000000000004">
      <c r="A5125" s="20">
        <v>14406</v>
      </c>
      <c r="B5125" s="2" t="s">
        <v>184</v>
      </c>
      <c r="C5125" s="2" t="s">
        <v>185</v>
      </c>
      <c r="D5125" s="20">
        <v>0</v>
      </c>
      <c r="E5125" s="2" t="s">
        <v>838</v>
      </c>
      <c r="F5125" s="2" t="s">
        <v>817</v>
      </c>
      <c r="G5125" s="2" t="s">
        <v>2734</v>
      </c>
      <c r="H5125" s="2" t="s">
        <v>1826</v>
      </c>
      <c r="J5125" s="26"/>
      <c r="K5125" s="36">
        <v>7.6442000000000003E-3</v>
      </c>
      <c r="L5125" s="23">
        <v>3.8221000000000002E-4</v>
      </c>
    </row>
    <row r="5126" spans="1:12" ht="15.35" hidden="1" x14ac:dyDescent="0.55000000000000004">
      <c r="A5126" s="20">
        <v>14405</v>
      </c>
      <c r="B5126" s="2" t="s">
        <v>184</v>
      </c>
      <c r="C5126" s="2" t="s">
        <v>185</v>
      </c>
      <c r="D5126" s="20">
        <v>0</v>
      </c>
      <c r="E5126" s="2" t="s">
        <v>838</v>
      </c>
      <c r="F5126" s="2" t="s">
        <v>817</v>
      </c>
      <c r="G5126" s="2" t="s">
        <v>2735</v>
      </c>
      <c r="H5126" s="2" t="s">
        <v>1826</v>
      </c>
      <c r="J5126" s="26"/>
      <c r="K5126" s="36">
        <v>7.6442000000000003E-3</v>
      </c>
      <c r="L5126" s="23">
        <v>3.8221000000000002E-4</v>
      </c>
    </row>
    <row r="5127" spans="1:12" ht="15.35" hidden="1" x14ac:dyDescent="0.55000000000000004">
      <c r="A5127" s="20">
        <v>14504</v>
      </c>
      <c r="B5127" s="2" t="s">
        <v>184</v>
      </c>
      <c r="C5127" s="2" t="s">
        <v>185</v>
      </c>
      <c r="D5127" s="20">
        <v>0</v>
      </c>
      <c r="E5127" s="2" t="s">
        <v>838</v>
      </c>
      <c r="F5127" s="2" t="s">
        <v>811</v>
      </c>
      <c r="G5127" s="2" t="s">
        <v>4582</v>
      </c>
      <c r="H5127" s="2" t="s">
        <v>2609</v>
      </c>
      <c r="J5127" s="26"/>
      <c r="K5127" s="36">
        <v>1.17603E-3</v>
      </c>
      <c r="L5127" s="23">
        <v>5.8799999999999999E-5</v>
      </c>
    </row>
    <row r="5128" spans="1:12" ht="15.35" hidden="1" x14ac:dyDescent="0.55000000000000004">
      <c r="A5128" s="20">
        <v>14540</v>
      </c>
      <c r="B5128" s="2" t="s">
        <v>184</v>
      </c>
      <c r="C5128" s="2" t="s">
        <v>185</v>
      </c>
      <c r="D5128" s="20">
        <v>0</v>
      </c>
      <c r="E5128" s="2" t="s">
        <v>838</v>
      </c>
      <c r="F5128" s="2" t="s">
        <v>811</v>
      </c>
      <c r="G5128" s="2" t="s">
        <v>2738</v>
      </c>
      <c r="H5128" s="2" t="s">
        <v>2609</v>
      </c>
      <c r="J5128" s="26"/>
      <c r="K5128" s="36">
        <v>5.8801000000000003E-4</v>
      </c>
      <c r="L5128" s="23">
        <v>2.94E-5</v>
      </c>
    </row>
    <row r="5129" spans="1:12" ht="15.35" hidden="1" x14ac:dyDescent="0.55000000000000004">
      <c r="A5129" s="20">
        <v>14508</v>
      </c>
      <c r="B5129" s="2" t="s">
        <v>184</v>
      </c>
      <c r="C5129" s="2" t="s">
        <v>185</v>
      </c>
      <c r="D5129" s="20">
        <v>0</v>
      </c>
      <c r="E5129" s="2" t="s">
        <v>838</v>
      </c>
      <c r="F5129" s="2" t="s">
        <v>811</v>
      </c>
      <c r="G5129" s="2" t="s">
        <v>4583</v>
      </c>
      <c r="H5129" s="2" t="s">
        <v>2609</v>
      </c>
      <c r="J5129" s="26"/>
      <c r="K5129" s="36">
        <v>1.17603E-3</v>
      </c>
      <c r="L5129" s="23">
        <v>5.8799999999999999E-5</v>
      </c>
    </row>
    <row r="5130" spans="1:12" ht="15.35" hidden="1" x14ac:dyDescent="0.55000000000000004">
      <c r="A5130" s="20">
        <v>14338</v>
      </c>
      <c r="B5130" s="2" t="s">
        <v>184</v>
      </c>
      <c r="C5130" s="2" t="s">
        <v>185</v>
      </c>
      <c r="D5130" s="20">
        <v>0</v>
      </c>
      <c r="E5130" s="2" t="s">
        <v>838</v>
      </c>
      <c r="F5130" s="2" t="s">
        <v>848</v>
      </c>
      <c r="G5130" s="2" t="s">
        <v>1203</v>
      </c>
      <c r="H5130" s="2" t="s">
        <v>1203</v>
      </c>
      <c r="J5130" s="26"/>
      <c r="K5130" s="36">
        <v>3.8220999999999998E-2</v>
      </c>
      <c r="L5130" s="23">
        <v>1.9110500000000001E-3</v>
      </c>
    </row>
    <row r="5131" spans="1:12" ht="15.35" hidden="1" x14ac:dyDescent="0.55000000000000004">
      <c r="A5131" s="20">
        <v>14425</v>
      </c>
      <c r="B5131" s="2" t="s">
        <v>184</v>
      </c>
      <c r="C5131" s="2" t="s">
        <v>185</v>
      </c>
      <c r="D5131" s="20">
        <v>0</v>
      </c>
      <c r="E5131" s="2" t="s">
        <v>838</v>
      </c>
      <c r="F5131" s="2" t="s">
        <v>793</v>
      </c>
      <c r="G5131" s="2" t="s">
        <v>4163</v>
      </c>
      <c r="H5131" s="2" t="s">
        <v>4164</v>
      </c>
      <c r="J5131" s="26"/>
      <c r="K5131" s="36">
        <v>4.4101100000000001E-3</v>
      </c>
      <c r="L5131" s="23">
        <v>2.2050999999999999E-4</v>
      </c>
    </row>
    <row r="5132" spans="1:12" ht="15.35" hidden="1" x14ac:dyDescent="0.55000000000000004">
      <c r="A5132" s="20">
        <v>14520</v>
      </c>
      <c r="B5132" s="2" t="s">
        <v>184</v>
      </c>
      <c r="C5132" s="2" t="s">
        <v>185</v>
      </c>
      <c r="D5132" s="20">
        <v>0</v>
      </c>
      <c r="E5132" s="2" t="s">
        <v>838</v>
      </c>
      <c r="F5132" s="2" t="s">
        <v>793</v>
      </c>
      <c r="G5132" s="2" t="s">
        <v>4382</v>
      </c>
      <c r="H5132" s="2" t="s">
        <v>1007</v>
      </c>
      <c r="J5132" s="26"/>
      <c r="K5132" s="36">
        <v>7.6442000000000003E-4</v>
      </c>
      <c r="L5132" s="23">
        <v>3.8220000000000003E-5</v>
      </c>
    </row>
    <row r="5133" spans="1:12" ht="15.35" hidden="1" x14ac:dyDescent="0.55000000000000004">
      <c r="A5133" s="20">
        <v>14454</v>
      </c>
      <c r="B5133" s="2" t="s">
        <v>184</v>
      </c>
      <c r="C5133" s="2" t="s">
        <v>185</v>
      </c>
      <c r="D5133" s="20">
        <v>0</v>
      </c>
      <c r="E5133" s="2" t="s">
        <v>838</v>
      </c>
      <c r="F5133" s="2" t="s">
        <v>793</v>
      </c>
      <c r="G5133" s="2" t="s">
        <v>4165</v>
      </c>
      <c r="H5133" s="2" t="s">
        <v>1007</v>
      </c>
      <c r="J5133" s="26"/>
      <c r="K5133" s="36">
        <v>3.0870799999999999E-3</v>
      </c>
      <c r="L5133" s="23">
        <v>1.5435000000000001E-4</v>
      </c>
    </row>
    <row r="5134" spans="1:12" ht="15.35" hidden="1" x14ac:dyDescent="0.55000000000000004">
      <c r="A5134" s="20">
        <v>14413</v>
      </c>
      <c r="B5134" s="2" t="s">
        <v>184</v>
      </c>
      <c r="C5134" s="2" t="s">
        <v>185</v>
      </c>
      <c r="D5134" s="20">
        <v>0</v>
      </c>
      <c r="E5134" s="2" t="s">
        <v>838</v>
      </c>
      <c r="F5134" s="2" t="s">
        <v>793</v>
      </c>
      <c r="G5134" s="2" t="s">
        <v>1008</v>
      </c>
      <c r="H5134" s="2" t="s">
        <v>1007</v>
      </c>
      <c r="J5134" s="26"/>
      <c r="K5134" s="36">
        <v>7.3501900000000004E-3</v>
      </c>
      <c r="L5134" s="23">
        <v>3.6750999999999998E-4</v>
      </c>
    </row>
    <row r="5135" spans="1:12" ht="15.35" hidden="1" x14ac:dyDescent="0.55000000000000004">
      <c r="A5135" s="20">
        <v>14443</v>
      </c>
      <c r="B5135" s="2" t="s">
        <v>184</v>
      </c>
      <c r="C5135" s="2" t="s">
        <v>185</v>
      </c>
      <c r="D5135" s="20">
        <v>0</v>
      </c>
      <c r="E5135" s="2" t="s">
        <v>838</v>
      </c>
      <c r="F5135" s="2" t="s">
        <v>793</v>
      </c>
      <c r="G5135" s="2" t="s">
        <v>3471</v>
      </c>
      <c r="H5135" s="2" t="s">
        <v>1007</v>
      </c>
      <c r="J5135" s="26"/>
      <c r="K5135" s="36">
        <v>3.6750900000000002E-3</v>
      </c>
      <c r="L5135" s="23">
        <v>1.8374999999999999E-4</v>
      </c>
    </row>
    <row r="5136" spans="1:12" ht="15.35" hidden="1" x14ac:dyDescent="0.55000000000000004">
      <c r="A5136" s="20">
        <v>14383</v>
      </c>
      <c r="B5136" s="2" t="s">
        <v>184</v>
      </c>
      <c r="C5136" s="2" t="s">
        <v>185</v>
      </c>
      <c r="D5136" s="20">
        <v>0</v>
      </c>
      <c r="E5136" s="2" t="s">
        <v>838</v>
      </c>
      <c r="F5136" s="2" t="s">
        <v>793</v>
      </c>
      <c r="G5136" s="2" t="s">
        <v>4166</v>
      </c>
      <c r="H5136" s="2" t="s">
        <v>1007</v>
      </c>
      <c r="J5136" s="26"/>
      <c r="K5136" s="36">
        <v>1.17603E-2</v>
      </c>
      <c r="L5136" s="23">
        <v>5.8801000000000003E-4</v>
      </c>
    </row>
    <row r="5137" spans="1:12" ht="15.35" hidden="1" x14ac:dyDescent="0.55000000000000004">
      <c r="A5137" s="20">
        <v>14452</v>
      </c>
      <c r="B5137" s="2" t="s">
        <v>184</v>
      </c>
      <c r="C5137" s="2" t="s">
        <v>185</v>
      </c>
      <c r="D5137" s="20">
        <v>0</v>
      </c>
      <c r="E5137" s="2" t="s">
        <v>838</v>
      </c>
      <c r="F5137" s="2" t="s">
        <v>793</v>
      </c>
      <c r="G5137" s="2" t="s">
        <v>4167</v>
      </c>
      <c r="H5137" s="2" t="s">
        <v>1007</v>
      </c>
      <c r="J5137" s="26"/>
      <c r="K5137" s="36">
        <v>3.0870799999999999E-3</v>
      </c>
      <c r="L5137" s="23">
        <v>1.5435000000000001E-4</v>
      </c>
    </row>
    <row r="5138" spans="1:12" ht="15.35" hidden="1" x14ac:dyDescent="0.55000000000000004">
      <c r="A5138" s="20">
        <v>14472</v>
      </c>
      <c r="B5138" s="2" t="s">
        <v>184</v>
      </c>
      <c r="C5138" s="2" t="s">
        <v>185</v>
      </c>
      <c r="D5138" s="20">
        <v>0</v>
      </c>
      <c r="E5138" s="2" t="s">
        <v>838</v>
      </c>
      <c r="F5138" s="2" t="s">
        <v>793</v>
      </c>
      <c r="G5138" s="2" t="s">
        <v>4169</v>
      </c>
      <c r="H5138" s="2" t="s">
        <v>1007</v>
      </c>
      <c r="J5138" s="26"/>
      <c r="K5138" s="36">
        <v>2.2050500000000001E-3</v>
      </c>
      <c r="L5138" s="23">
        <v>1.1025E-4</v>
      </c>
    </row>
    <row r="5139" spans="1:12" ht="15.35" hidden="1" x14ac:dyDescent="0.55000000000000004">
      <c r="A5139" s="20">
        <v>14456</v>
      </c>
      <c r="B5139" s="2" t="s">
        <v>184</v>
      </c>
      <c r="C5139" s="2" t="s">
        <v>185</v>
      </c>
      <c r="D5139" s="20">
        <v>0</v>
      </c>
      <c r="E5139" s="2" t="s">
        <v>838</v>
      </c>
      <c r="F5139" s="2" t="s">
        <v>793</v>
      </c>
      <c r="G5139" s="2" t="s">
        <v>2759</v>
      </c>
      <c r="H5139" s="2" t="s">
        <v>1007</v>
      </c>
      <c r="J5139" s="26"/>
      <c r="K5139" s="36">
        <v>3.0870799999999999E-3</v>
      </c>
      <c r="L5139" s="23">
        <v>1.5435000000000001E-4</v>
      </c>
    </row>
    <row r="5140" spans="1:12" ht="15.35" hidden="1" x14ac:dyDescent="0.55000000000000004">
      <c r="A5140" s="20">
        <v>14453</v>
      </c>
      <c r="B5140" s="2" t="s">
        <v>184</v>
      </c>
      <c r="C5140" s="2" t="s">
        <v>185</v>
      </c>
      <c r="D5140" s="20">
        <v>0</v>
      </c>
      <c r="E5140" s="2" t="s">
        <v>838</v>
      </c>
      <c r="F5140" s="2" t="s">
        <v>793</v>
      </c>
      <c r="G5140" s="2" t="s">
        <v>4170</v>
      </c>
      <c r="H5140" s="2" t="s">
        <v>1007</v>
      </c>
      <c r="J5140" s="26"/>
      <c r="K5140" s="36">
        <v>3.0870799999999999E-3</v>
      </c>
      <c r="L5140" s="23">
        <v>1.5435000000000001E-4</v>
      </c>
    </row>
    <row r="5141" spans="1:12" ht="15.35" hidden="1" x14ac:dyDescent="0.55000000000000004">
      <c r="A5141" s="20">
        <v>14310</v>
      </c>
      <c r="B5141" s="2" t="s">
        <v>184</v>
      </c>
      <c r="C5141" s="2" t="s">
        <v>185</v>
      </c>
      <c r="D5141" s="20">
        <v>0</v>
      </c>
      <c r="E5141" s="2" t="s">
        <v>838</v>
      </c>
      <c r="F5141" s="2" t="s">
        <v>793</v>
      </c>
      <c r="G5141" s="2" t="s">
        <v>1207</v>
      </c>
      <c r="H5141" s="2" t="s">
        <v>1207</v>
      </c>
      <c r="J5141" s="26"/>
      <c r="K5141" s="36">
        <v>5.1451339999999998E-2</v>
      </c>
      <c r="L5141" s="23">
        <v>2.5725700000000002E-3</v>
      </c>
    </row>
    <row r="5142" spans="1:12" ht="15.35" hidden="1" x14ac:dyDescent="0.55000000000000004">
      <c r="A5142" s="20">
        <v>14430</v>
      </c>
      <c r="B5142" s="2" t="s">
        <v>184</v>
      </c>
      <c r="C5142" s="2" t="s">
        <v>185</v>
      </c>
      <c r="D5142" s="20">
        <v>0</v>
      </c>
      <c r="E5142" s="2" t="s">
        <v>838</v>
      </c>
      <c r="F5142" s="2" t="s">
        <v>817</v>
      </c>
      <c r="G5142" s="2" t="s">
        <v>4584</v>
      </c>
      <c r="H5142" s="2" t="s">
        <v>1216</v>
      </c>
      <c r="J5142" s="26"/>
      <c r="K5142" s="36">
        <v>3.8221000000000002E-3</v>
      </c>
      <c r="L5142" s="23">
        <v>1.9111E-4</v>
      </c>
    </row>
    <row r="5143" spans="1:12" ht="15.35" hidden="1" x14ac:dyDescent="0.55000000000000004">
      <c r="A5143" s="20">
        <v>14408</v>
      </c>
      <c r="B5143" s="2" t="s">
        <v>184</v>
      </c>
      <c r="C5143" s="2" t="s">
        <v>185</v>
      </c>
      <c r="D5143" s="20">
        <v>0</v>
      </c>
      <c r="E5143" s="2" t="s">
        <v>838</v>
      </c>
      <c r="F5143" s="2" t="s">
        <v>793</v>
      </c>
      <c r="G5143" s="2" t="s">
        <v>2772</v>
      </c>
      <c r="H5143" s="2" t="s">
        <v>1848</v>
      </c>
      <c r="J5143" s="26"/>
      <c r="K5143" s="36">
        <v>7.6442000000000003E-3</v>
      </c>
      <c r="L5143" s="23">
        <v>3.8221000000000002E-4</v>
      </c>
    </row>
    <row r="5144" spans="1:12" ht="15.35" hidden="1" x14ac:dyDescent="0.55000000000000004">
      <c r="A5144" s="20">
        <v>14357</v>
      </c>
      <c r="B5144" s="2" t="s">
        <v>184</v>
      </c>
      <c r="C5144" s="2" t="s">
        <v>185</v>
      </c>
      <c r="D5144" s="20">
        <v>0</v>
      </c>
      <c r="E5144" s="2" t="s">
        <v>838</v>
      </c>
      <c r="F5144" s="2" t="s">
        <v>793</v>
      </c>
      <c r="G5144" s="2" t="s">
        <v>4585</v>
      </c>
      <c r="H5144" s="2" t="s">
        <v>1848</v>
      </c>
      <c r="J5144" s="26"/>
      <c r="K5144" s="36">
        <v>2.3520610000000001E-2</v>
      </c>
      <c r="L5144" s="23">
        <v>1.17603E-3</v>
      </c>
    </row>
    <row r="5145" spans="1:12" ht="15.35" hidden="1" x14ac:dyDescent="0.55000000000000004">
      <c r="A5145" s="20">
        <v>14439</v>
      </c>
      <c r="B5145" s="2" t="s">
        <v>184</v>
      </c>
      <c r="C5145" s="2" t="s">
        <v>185</v>
      </c>
      <c r="D5145" s="20">
        <v>0</v>
      </c>
      <c r="E5145" s="2" t="s">
        <v>838</v>
      </c>
      <c r="F5145" s="2" t="s">
        <v>793</v>
      </c>
      <c r="G5145" s="2" t="s">
        <v>4390</v>
      </c>
      <c r="H5145" s="2" t="s">
        <v>1848</v>
      </c>
      <c r="J5145" s="26"/>
      <c r="K5145" s="36">
        <v>3.6750900000000002E-3</v>
      </c>
      <c r="L5145" s="23">
        <v>1.8374999999999999E-4</v>
      </c>
    </row>
    <row r="5146" spans="1:12" ht="15.35" hidden="1" x14ac:dyDescent="0.55000000000000004">
      <c r="A5146" s="20">
        <v>14440</v>
      </c>
      <c r="B5146" s="2" t="s">
        <v>184</v>
      </c>
      <c r="C5146" s="2" t="s">
        <v>185</v>
      </c>
      <c r="D5146" s="20">
        <v>0</v>
      </c>
      <c r="E5146" s="2" t="s">
        <v>838</v>
      </c>
      <c r="F5146" s="2" t="s">
        <v>793</v>
      </c>
      <c r="G5146" s="2" t="s">
        <v>2781</v>
      </c>
      <c r="H5146" s="2" t="s">
        <v>1848</v>
      </c>
      <c r="J5146" s="26"/>
      <c r="K5146" s="36">
        <v>3.6750900000000002E-3</v>
      </c>
      <c r="L5146" s="23">
        <v>1.8374999999999999E-4</v>
      </c>
    </row>
    <row r="5147" spans="1:12" ht="15.35" hidden="1" x14ac:dyDescent="0.55000000000000004">
      <c r="A5147" s="20">
        <v>14305</v>
      </c>
      <c r="B5147" s="2" t="s">
        <v>184</v>
      </c>
      <c r="C5147" s="2" t="s">
        <v>185</v>
      </c>
      <c r="D5147" s="20">
        <v>0</v>
      </c>
      <c r="E5147" s="2" t="s">
        <v>838</v>
      </c>
      <c r="F5147" s="2" t="s">
        <v>817</v>
      </c>
      <c r="G5147" s="2" t="s">
        <v>1010</v>
      </c>
      <c r="H5147" s="2" t="s">
        <v>1011</v>
      </c>
      <c r="J5147" s="26"/>
      <c r="K5147" s="36">
        <v>5.1451339999999998E-2</v>
      </c>
      <c r="L5147" s="23">
        <v>2.5725700000000002E-3</v>
      </c>
    </row>
    <row r="5148" spans="1:12" ht="15.35" hidden="1" x14ac:dyDescent="0.55000000000000004">
      <c r="A5148" s="20">
        <v>14465</v>
      </c>
      <c r="B5148" s="2" t="s">
        <v>184</v>
      </c>
      <c r="C5148" s="2" t="s">
        <v>185</v>
      </c>
      <c r="D5148" s="20">
        <v>0</v>
      </c>
      <c r="E5148" s="2" t="s">
        <v>838</v>
      </c>
      <c r="F5148" s="2" t="s">
        <v>793</v>
      </c>
      <c r="G5148" s="2" t="s">
        <v>2795</v>
      </c>
      <c r="H5148" s="2" t="s">
        <v>788</v>
      </c>
      <c r="J5148" s="26"/>
      <c r="K5148" s="36">
        <v>2.8518699999999998E-3</v>
      </c>
      <c r="L5148" s="23">
        <v>1.4259E-4</v>
      </c>
    </row>
    <row r="5149" spans="1:12" ht="15.35" hidden="1" x14ac:dyDescent="0.55000000000000004">
      <c r="A5149" s="20">
        <v>14563</v>
      </c>
      <c r="B5149" s="2" t="s">
        <v>184</v>
      </c>
      <c r="C5149" s="2" t="s">
        <v>185</v>
      </c>
      <c r="D5149" s="20">
        <v>0</v>
      </c>
      <c r="E5149" s="2" t="s">
        <v>838</v>
      </c>
      <c r="F5149" s="2" t="s">
        <v>817</v>
      </c>
      <c r="G5149" s="2" t="s">
        <v>4586</v>
      </c>
      <c r="H5149" s="2" t="s">
        <v>1868</v>
      </c>
      <c r="J5149" s="26"/>
      <c r="K5149" s="36">
        <v>2.499E-4</v>
      </c>
      <c r="L5149" s="23">
        <v>1.2490000000000001E-5</v>
      </c>
    </row>
    <row r="5150" spans="1:12" ht="15.35" hidden="1" x14ac:dyDescent="0.55000000000000004">
      <c r="A5150" s="20">
        <v>14325</v>
      </c>
      <c r="B5150" s="2" t="s">
        <v>184</v>
      </c>
      <c r="C5150" s="2" t="s">
        <v>185</v>
      </c>
      <c r="D5150" s="20">
        <v>0</v>
      </c>
      <c r="E5150" s="2" t="s">
        <v>838</v>
      </c>
      <c r="F5150" s="2" t="s">
        <v>807</v>
      </c>
      <c r="G5150" s="2" t="s">
        <v>2611</v>
      </c>
      <c r="H5150" s="2" t="s">
        <v>1254</v>
      </c>
      <c r="J5150" s="26"/>
      <c r="K5150" s="36">
        <v>5.1451339999999998E-2</v>
      </c>
      <c r="L5150" s="23">
        <v>2.5725700000000002E-3</v>
      </c>
    </row>
    <row r="5151" spans="1:12" ht="15.35" hidden="1" x14ac:dyDescent="0.55000000000000004">
      <c r="A5151" s="20">
        <v>14333</v>
      </c>
      <c r="B5151" s="2" t="s">
        <v>184</v>
      </c>
      <c r="C5151" s="2" t="s">
        <v>185</v>
      </c>
      <c r="D5151" s="20">
        <v>0</v>
      </c>
      <c r="E5151" s="2" t="s">
        <v>838</v>
      </c>
      <c r="F5151" s="2" t="s">
        <v>807</v>
      </c>
      <c r="G5151" s="2" t="s">
        <v>2594</v>
      </c>
      <c r="H5151" s="2" t="s">
        <v>1254</v>
      </c>
      <c r="J5151" s="26"/>
      <c r="K5151" s="36">
        <v>4.8511270000000002E-2</v>
      </c>
      <c r="L5151" s="23">
        <v>2.4255600000000002E-3</v>
      </c>
    </row>
    <row r="5152" spans="1:12" ht="15.35" hidden="1" x14ac:dyDescent="0.55000000000000004">
      <c r="A5152" s="20">
        <v>14411</v>
      </c>
      <c r="B5152" s="2" t="s">
        <v>184</v>
      </c>
      <c r="C5152" s="2" t="s">
        <v>185</v>
      </c>
      <c r="D5152" s="20">
        <v>0</v>
      </c>
      <c r="E5152" s="2" t="s">
        <v>838</v>
      </c>
      <c r="F5152" s="2" t="s">
        <v>807</v>
      </c>
      <c r="G5152" s="2" t="s">
        <v>2820</v>
      </c>
      <c r="H5152" s="2" t="s">
        <v>1254</v>
      </c>
      <c r="J5152" s="26"/>
      <c r="K5152" s="36">
        <v>7.3501900000000004E-3</v>
      </c>
      <c r="L5152" s="23">
        <v>3.6750999999999998E-4</v>
      </c>
    </row>
    <row r="5153" spans="1:12" ht="15.35" hidden="1" x14ac:dyDescent="0.55000000000000004">
      <c r="A5153" s="20">
        <v>14534</v>
      </c>
      <c r="B5153" s="2" t="s">
        <v>184</v>
      </c>
      <c r="C5153" s="2" t="s">
        <v>185</v>
      </c>
      <c r="D5153" s="20">
        <v>0</v>
      </c>
      <c r="E5153" s="2" t="s">
        <v>838</v>
      </c>
      <c r="F5153" s="2" t="s">
        <v>807</v>
      </c>
      <c r="G5153" s="2" t="s">
        <v>2822</v>
      </c>
      <c r="H5153" s="2" t="s">
        <v>1254</v>
      </c>
      <c r="J5153" s="26"/>
      <c r="K5153" s="36">
        <v>7.3501000000000003E-4</v>
      </c>
      <c r="L5153" s="23">
        <v>3.6749999999999999E-5</v>
      </c>
    </row>
    <row r="5154" spans="1:12" ht="15.35" hidden="1" x14ac:dyDescent="0.55000000000000004">
      <c r="A5154" s="20">
        <v>14371</v>
      </c>
      <c r="B5154" s="2" t="s">
        <v>184</v>
      </c>
      <c r="C5154" s="2" t="s">
        <v>185</v>
      </c>
      <c r="D5154" s="20">
        <v>0</v>
      </c>
      <c r="E5154" s="2" t="s">
        <v>838</v>
      </c>
      <c r="F5154" s="2" t="s">
        <v>807</v>
      </c>
      <c r="G5154" s="2" t="s">
        <v>4587</v>
      </c>
      <c r="H5154" s="2" t="s">
        <v>1254</v>
      </c>
      <c r="J5154" s="26"/>
      <c r="K5154" s="36">
        <v>1.6170420000000001E-2</v>
      </c>
      <c r="L5154" s="23">
        <v>8.0851999999999996E-4</v>
      </c>
    </row>
    <row r="5155" spans="1:12" ht="15.35" hidden="1" x14ac:dyDescent="0.55000000000000004">
      <c r="A5155" s="20">
        <v>14460</v>
      </c>
      <c r="B5155" s="2" t="s">
        <v>184</v>
      </c>
      <c r="C5155" s="2" t="s">
        <v>185</v>
      </c>
      <c r="D5155" s="20">
        <v>0</v>
      </c>
      <c r="E5155" s="2" t="s">
        <v>838</v>
      </c>
      <c r="F5155" s="2" t="s">
        <v>807</v>
      </c>
      <c r="G5155" s="2" t="s">
        <v>4588</v>
      </c>
      <c r="H5155" s="2" t="s">
        <v>1254</v>
      </c>
      <c r="J5155" s="26"/>
      <c r="K5155" s="36">
        <v>2.9400699999999999E-3</v>
      </c>
      <c r="L5155" s="23">
        <v>1.47E-4</v>
      </c>
    </row>
    <row r="5156" spans="1:12" ht="15.35" hidden="1" x14ac:dyDescent="0.55000000000000004">
      <c r="A5156" s="20">
        <v>14461</v>
      </c>
      <c r="B5156" s="2" t="s">
        <v>184</v>
      </c>
      <c r="C5156" s="2" t="s">
        <v>185</v>
      </c>
      <c r="D5156" s="20">
        <v>0</v>
      </c>
      <c r="E5156" s="2" t="s">
        <v>838</v>
      </c>
      <c r="F5156" s="2" t="s">
        <v>807</v>
      </c>
      <c r="G5156" s="2" t="s">
        <v>4589</v>
      </c>
      <c r="H5156" s="2" t="s">
        <v>1254</v>
      </c>
      <c r="J5156" s="26"/>
      <c r="K5156" s="36">
        <v>2.9400699999999999E-3</v>
      </c>
      <c r="L5156" s="23">
        <v>1.47E-4</v>
      </c>
    </row>
    <row r="5157" spans="1:12" ht="15.35" hidden="1" x14ac:dyDescent="0.55000000000000004">
      <c r="A5157" s="20">
        <v>14386</v>
      </c>
      <c r="B5157" s="2" t="s">
        <v>184</v>
      </c>
      <c r="C5157" s="2" t="s">
        <v>185</v>
      </c>
      <c r="D5157" s="20">
        <v>0</v>
      </c>
      <c r="E5157" s="2" t="s">
        <v>838</v>
      </c>
      <c r="F5157" s="2" t="s">
        <v>807</v>
      </c>
      <c r="G5157" s="2" t="s">
        <v>2824</v>
      </c>
      <c r="H5157" s="2" t="s">
        <v>1254</v>
      </c>
      <c r="J5157" s="26"/>
      <c r="K5157" s="36">
        <v>1.1451599999999999E-2</v>
      </c>
      <c r="L5157" s="23">
        <v>5.7258000000000005E-4</v>
      </c>
    </row>
    <row r="5158" spans="1:12" ht="15.35" hidden="1" x14ac:dyDescent="0.55000000000000004">
      <c r="A5158" s="20">
        <v>14358</v>
      </c>
      <c r="B5158" s="2" t="s">
        <v>184</v>
      </c>
      <c r="C5158" s="2" t="s">
        <v>185</v>
      </c>
      <c r="D5158" s="20">
        <v>0</v>
      </c>
      <c r="E5158" s="2" t="s">
        <v>838</v>
      </c>
      <c r="F5158" s="2" t="s">
        <v>807</v>
      </c>
      <c r="G5158" s="2" t="s">
        <v>4590</v>
      </c>
      <c r="H5158" s="2" t="s">
        <v>1254</v>
      </c>
      <c r="J5158" s="26"/>
      <c r="K5158" s="36">
        <v>2.2785590000000001E-2</v>
      </c>
      <c r="L5158" s="23">
        <v>1.1392799999999999E-3</v>
      </c>
    </row>
    <row r="5159" spans="1:12" ht="15.35" hidden="1" x14ac:dyDescent="0.55000000000000004">
      <c r="A5159" s="20">
        <v>14457</v>
      </c>
      <c r="B5159" s="2" t="s">
        <v>184</v>
      </c>
      <c r="C5159" s="2" t="s">
        <v>185</v>
      </c>
      <c r="D5159" s="20">
        <v>0</v>
      </c>
      <c r="E5159" s="2" t="s">
        <v>838</v>
      </c>
      <c r="F5159" s="2" t="s">
        <v>807</v>
      </c>
      <c r="G5159" s="2" t="s">
        <v>2825</v>
      </c>
      <c r="H5159" s="2" t="s">
        <v>1254</v>
      </c>
      <c r="J5159" s="26"/>
      <c r="K5159" s="36">
        <v>2.9400699999999999E-3</v>
      </c>
      <c r="L5159" s="23">
        <v>1.47E-4</v>
      </c>
    </row>
    <row r="5160" spans="1:12" ht="15.35" hidden="1" x14ac:dyDescent="0.55000000000000004">
      <c r="A5160" s="20">
        <v>14444</v>
      </c>
      <c r="B5160" s="2" t="s">
        <v>184</v>
      </c>
      <c r="C5160" s="2" t="s">
        <v>185</v>
      </c>
      <c r="D5160" s="20">
        <v>0</v>
      </c>
      <c r="E5160" s="2" t="s">
        <v>838</v>
      </c>
      <c r="F5160" s="2" t="s">
        <v>807</v>
      </c>
      <c r="G5160" s="2" t="s">
        <v>2827</v>
      </c>
      <c r="H5160" s="2" t="s">
        <v>1254</v>
      </c>
      <c r="J5160" s="26"/>
      <c r="K5160" s="36">
        <v>3.6750900000000002E-3</v>
      </c>
      <c r="L5160" s="23">
        <v>1.8374999999999999E-4</v>
      </c>
    </row>
    <row r="5161" spans="1:12" ht="15.35" hidden="1" x14ac:dyDescent="0.55000000000000004">
      <c r="A5161" s="20">
        <v>14509</v>
      </c>
      <c r="B5161" s="2" t="s">
        <v>184</v>
      </c>
      <c r="C5161" s="2" t="s">
        <v>185</v>
      </c>
      <c r="D5161" s="20">
        <v>0</v>
      </c>
      <c r="E5161" s="2" t="s">
        <v>838</v>
      </c>
      <c r="F5161" s="2" t="s">
        <v>807</v>
      </c>
      <c r="G5161" s="2" t="s">
        <v>4591</v>
      </c>
      <c r="H5161" s="2" t="s">
        <v>1254</v>
      </c>
      <c r="J5161" s="26"/>
      <c r="K5161" s="36">
        <v>1.14663E-3</v>
      </c>
      <c r="L5161" s="23">
        <v>5.7330000000000002E-5</v>
      </c>
    </row>
    <row r="5162" spans="1:12" ht="15.35" hidden="1" x14ac:dyDescent="0.55000000000000004">
      <c r="A5162" s="20">
        <v>14479</v>
      </c>
      <c r="B5162" s="2" t="s">
        <v>184</v>
      </c>
      <c r="C5162" s="2" t="s">
        <v>185</v>
      </c>
      <c r="D5162" s="20">
        <v>0</v>
      </c>
      <c r="E5162" s="2" t="s">
        <v>838</v>
      </c>
      <c r="F5162" s="2" t="s">
        <v>807</v>
      </c>
      <c r="G5162" s="2" t="s">
        <v>4592</v>
      </c>
      <c r="H5162" s="2" t="s">
        <v>1254</v>
      </c>
      <c r="J5162" s="26"/>
      <c r="K5162" s="36">
        <v>1.9110500000000001E-3</v>
      </c>
      <c r="L5162" s="23">
        <v>9.5550000000000005E-5</v>
      </c>
    </row>
    <row r="5163" spans="1:12" ht="15.35" hidden="1" x14ac:dyDescent="0.55000000000000004">
      <c r="A5163" s="20">
        <v>14476</v>
      </c>
      <c r="B5163" s="2" t="s">
        <v>184</v>
      </c>
      <c r="C5163" s="2" t="s">
        <v>185</v>
      </c>
      <c r="D5163" s="20">
        <v>0</v>
      </c>
      <c r="E5163" s="2" t="s">
        <v>838</v>
      </c>
      <c r="F5163" s="2" t="s">
        <v>807</v>
      </c>
      <c r="G5163" s="2" t="s">
        <v>4593</v>
      </c>
      <c r="H5163" s="2" t="s">
        <v>1254</v>
      </c>
      <c r="J5163" s="26"/>
      <c r="K5163" s="36">
        <v>1.9110500000000001E-3</v>
      </c>
      <c r="L5163" s="23">
        <v>9.5550000000000005E-5</v>
      </c>
    </row>
    <row r="5164" spans="1:12" ht="15.35" hidden="1" x14ac:dyDescent="0.55000000000000004">
      <c r="A5164" s="20">
        <v>14543</v>
      </c>
      <c r="B5164" s="2" t="s">
        <v>184</v>
      </c>
      <c r="C5164" s="2" t="s">
        <v>185</v>
      </c>
      <c r="D5164" s="20">
        <v>0</v>
      </c>
      <c r="E5164" s="2" t="s">
        <v>838</v>
      </c>
      <c r="F5164" s="2" t="s">
        <v>807</v>
      </c>
      <c r="G5164" s="2" t="s">
        <v>4594</v>
      </c>
      <c r="H5164" s="2" t="s">
        <v>1254</v>
      </c>
      <c r="J5164" s="26"/>
      <c r="K5164" s="36">
        <v>5.7331000000000005E-4</v>
      </c>
      <c r="L5164" s="23">
        <v>2.8670000000000002E-5</v>
      </c>
    </row>
    <row r="5165" spans="1:12" ht="15.35" hidden="1" x14ac:dyDescent="0.55000000000000004">
      <c r="A5165" s="20">
        <v>14455</v>
      </c>
      <c r="B5165" s="2" t="s">
        <v>184</v>
      </c>
      <c r="C5165" s="2" t="s">
        <v>185</v>
      </c>
      <c r="D5165" s="20">
        <v>0</v>
      </c>
      <c r="E5165" s="2" t="s">
        <v>838</v>
      </c>
      <c r="F5165" s="2" t="s">
        <v>807</v>
      </c>
      <c r="G5165" s="2" t="s">
        <v>4595</v>
      </c>
      <c r="H5165" s="2" t="s">
        <v>1254</v>
      </c>
      <c r="J5165" s="26"/>
      <c r="K5165" s="36">
        <v>3.0870799999999999E-3</v>
      </c>
      <c r="L5165" s="23">
        <v>1.5435000000000001E-4</v>
      </c>
    </row>
    <row r="5166" spans="1:12" ht="15.35" hidden="1" x14ac:dyDescent="0.55000000000000004">
      <c r="A5166" s="20">
        <v>14467</v>
      </c>
      <c r="B5166" s="2" t="s">
        <v>184</v>
      </c>
      <c r="C5166" s="2" t="s">
        <v>185</v>
      </c>
      <c r="D5166" s="20">
        <v>0</v>
      </c>
      <c r="E5166" s="2" t="s">
        <v>838</v>
      </c>
      <c r="F5166" s="2" t="s">
        <v>807</v>
      </c>
      <c r="G5166" s="2" t="s">
        <v>4596</v>
      </c>
      <c r="H5166" s="2" t="s">
        <v>1254</v>
      </c>
      <c r="J5166" s="26"/>
      <c r="K5166" s="36">
        <v>2.64606E-3</v>
      </c>
      <c r="L5166" s="23">
        <v>1.3229999999999999E-4</v>
      </c>
    </row>
    <row r="5167" spans="1:12" ht="15.35" hidden="1" x14ac:dyDescent="0.55000000000000004">
      <c r="A5167" s="20">
        <v>14342</v>
      </c>
      <c r="B5167" s="2" t="s">
        <v>184</v>
      </c>
      <c r="C5167" s="2" t="s">
        <v>185</v>
      </c>
      <c r="D5167" s="20">
        <v>0</v>
      </c>
      <c r="E5167" s="2" t="s">
        <v>838</v>
      </c>
      <c r="F5167" s="2" t="s">
        <v>807</v>
      </c>
      <c r="G5167" s="2" t="s">
        <v>2828</v>
      </c>
      <c r="H5167" s="2" t="s">
        <v>1254</v>
      </c>
      <c r="J5167" s="26"/>
      <c r="K5167" s="36">
        <v>3.8073990000000002E-2</v>
      </c>
      <c r="L5167" s="23">
        <v>1.9036999999999999E-3</v>
      </c>
    </row>
    <row r="5168" spans="1:12" ht="15.35" hidden="1" x14ac:dyDescent="0.55000000000000004">
      <c r="A5168" s="20">
        <v>14422</v>
      </c>
      <c r="B5168" s="2" t="s">
        <v>184</v>
      </c>
      <c r="C5168" s="2" t="s">
        <v>185</v>
      </c>
      <c r="D5168" s="20">
        <v>0</v>
      </c>
      <c r="E5168" s="2" t="s">
        <v>838</v>
      </c>
      <c r="F5168" s="2" t="s">
        <v>807</v>
      </c>
      <c r="G5168" s="2" t="s">
        <v>2830</v>
      </c>
      <c r="H5168" s="2" t="s">
        <v>1254</v>
      </c>
      <c r="J5168" s="26"/>
      <c r="K5168" s="36">
        <v>5.1451300000000004E-3</v>
      </c>
      <c r="L5168" s="23">
        <v>2.5725999999999999E-4</v>
      </c>
    </row>
    <row r="5169" spans="1:12" ht="15.35" hidden="1" x14ac:dyDescent="0.55000000000000004">
      <c r="A5169" s="20">
        <v>14477</v>
      </c>
      <c r="B5169" s="2" t="s">
        <v>184</v>
      </c>
      <c r="C5169" s="2" t="s">
        <v>185</v>
      </c>
      <c r="D5169" s="20">
        <v>0</v>
      </c>
      <c r="E5169" s="2" t="s">
        <v>838</v>
      </c>
      <c r="F5169" s="2" t="s">
        <v>807</v>
      </c>
      <c r="G5169" s="2" t="s">
        <v>2831</v>
      </c>
      <c r="H5169" s="2" t="s">
        <v>1254</v>
      </c>
      <c r="J5169" s="26"/>
      <c r="K5169" s="36">
        <v>1.9110500000000001E-3</v>
      </c>
      <c r="L5169" s="23">
        <v>9.5550000000000005E-5</v>
      </c>
    </row>
    <row r="5170" spans="1:12" ht="15.35" hidden="1" x14ac:dyDescent="0.55000000000000004">
      <c r="A5170" s="20">
        <v>14412</v>
      </c>
      <c r="B5170" s="2" t="s">
        <v>184</v>
      </c>
      <c r="C5170" s="2" t="s">
        <v>185</v>
      </c>
      <c r="D5170" s="20">
        <v>0</v>
      </c>
      <c r="E5170" s="2" t="s">
        <v>838</v>
      </c>
      <c r="F5170" s="2" t="s">
        <v>807</v>
      </c>
      <c r="G5170" s="2" t="s">
        <v>3492</v>
      </c>
      <c r="H5170" s="2" t="s">
        <v>1254</v>
      </c>
      <c r="J5170" s="26"/>
      <c r="K5170" s="36">
        <v>7.3501900000000004E-3</v>
      </c>
      <c r="L5170" s="23">
        <v>3.6750999999999998E-4</v>
      </c>
    </row>
    <row r="5171" spans="1:12" ht="15.35" hidden="1" x14ac:dyDescent="0.55000000000000004">
      <c r="A5171" s="20">
        <v>14426</v>
      </c>
      <c r="B5171" s="2" t="s">
        <v>184</v>
      </c>
      <c r="C5171" s="2" t="s">
        <v>185</v>
      </c>
      <c r="D5171" s="20">
        <v>0</v>
      </c>
      <c r="E5171" s="2" t="s">
        <v>838</v>
      </c>
      <c r="F5171" s="2" t="s">
        <v>807</v>
      </c>
      <c r="G5171" s="2" t="s">
        <v>4041</v>
      </c>
      <c r="H5171" s="2" t="s">
        <v>1254</v>
      </c>
      <c r="J5171" s="26"/>
      <c r="K5171" s="36">
        <v>4.4101100000000001E-3</v>
      </c>
      <c r="L5171" s="23">
        <v>2.2050999999999999E-4</v>
      </c>
    </row>
    <row r="5172" spans="1:12" ht="15.35" hidden="1" x14ac:dyDescent="0.55000000000000004">
      <c r="A5172" s="20">
        <v>14335</v>
      </c>
      <c r="B5172" s="2" t="s">
        <v>184</v>
      </c>
      <c r="C5172" s="2" t="s">
        <v>185</v>
      </c>
      <c r="D5172" s="20">
        <v>0</v>
      </c>
      <c r="E5172" s="2" t="s">
        <v>838</v>
      </c>
      <c r="F5172" s="2" t="s">
        <v>807</v>
      </c>
      <c r="G5172" s="2" t="s">
        <v>2612</v>
      </c>
      <c r="H5172" s="2" t="s">
        <v>1254</v>
      </c>
      <c r="J5172" s="26"/>
      <c r="K5172" s="36">
        <v>4.4101149999999999E-2</v>
      </c>
      <c r="L5172" s="23">
        <v>2.20506E-3</v>
      </c>
    </row>
    <row r="5173" spans="1:12" ht="15.35" hidden="1" x14ac:dyDescent="0.55000000000000004">
      <c r="A5173" s="20">
        <v>14360</v>
      </c>
      <c r="B5173" s="2" t="s">
        <v>184</v>
      </c>
      <c r="C5173" s="2" t="s">
        <v>185</v>
      </c>
      <c r="D5173" s="20">
        <v>0</v>
      </c>
      <c r="E5173" s="2" t="s">
        <v>838</v>
      </c>
      <c r="F5173" s="2" t="s">
        <v>807</v>
      </c>
      <c r="G5173" s="2" t="s">
        <v>2835</v>
      </c>
      <c r="H5173" s="2" t="s">
        <v>1254</v>
      </c>
      <c r="J5173" s="26"/>
      <c r="K5173" s="36">
        <v>2.2050569999999999E-2</v>
      </c>
      <c r="L5173" s="23">
        <v>1.10253E-3</v>
      </c>
    </row>
    <row r="5174" spans="1:12" ht="15.35" hidden="1" x14ac:dyDescent="0.55000000000000004">
      <c r="A5174" s="20">
        <v>14498</v>
      </c>
      <c r="B5174" s="2" t="s">
        <v>184</v>
      </c>
      <c r="C5174" s="2" t="s">
        <v>185</v>
      </c>
      <c r="D5174" s="20">
        <v>0</v>
      </c>
      <c r="E5174" s="2" t="s">
        <v>838</v>
      </c>
      <c r="F5174" s="2" t="s">
        <v>807</v>
      </c>
      <c r="G5174" s="2" t="s">
        <v>2836</v>
      </c>
      <c r="H5174" s="2" t="s">
        <v>1254</v>
      </c>
      <c r="J5174" s="26"/>
      <c r="K5174" s="36">
        <v>1.47003E-3</v>
      </c>
      <c r="L5174" s="23">
        <v>7.3499999999999998E-5</v>
      </c>
    </row>
    <row r="5175" spans="1:12" ht="15.35" hidden="1" x14ac:dyDescent="0.55000000000000004">
      <c r="A5175" s="20">
        <v>14473</v>
      </c>
      <c r="B5175" s="2" t="s">
        <v>184</v>
      </c>
      <c r="C5175" s="2" t="s">
        <v>185</v>
      </c>
      <c r="D5175" s="20">
        <v>0</v>
      </c>
      <c r="E5175" s="2" t="s">
        <v>838</v>
      </c>
      <c r="F5175" s="2" t="s">
        <v>807</v>
      </c>
      <c r="G5175" s="2" t="s">
        <v>2837</v>
      </c>
      <c r="H5175" s="2" t="s">
        <v>1254</v>
      </c>
      <c r="J5175" s="26"/>
      <c r="K5175" s="36">
        <v>2.2050500000000001E-3</v>
      </c>
      <c r="L5175" s="23">
        <v>1.1025E-4</v>
      </c>
    </row>
    <row r="5176" spans="1:12" ht="15.35" hidden="1" x14ac:dyDescent="0.55000000000000004">
      <c r="A5176" s="20">
        <v>14321</v>
      </c>
      <c r="B5176" s="2" t="s">
        <v>184</v>
      </c>
      <c r="C5176" s="2" t="s">
        <v>185</v>
      </c>
      <c r="D5176" s="20">
        <v>0</v>
      </c>
      <c r="E5176" s="2" t="s">
        <v>838</v>
      </c>
      <c r="F5176" s="2" t="s">
        <v>807</v>
      </c>
      <c r="G5176" s="2" t="s">
        <v>2838</v>
      </c>
      <c r="H5176" s="2" t="s">
        <v>1254</v>
      </c>
      <c r="J5176" s="26"/>
      <c r="K5176" s="36">
        <v>5.1451339999999998E-2</v>
      </c>
      <c r="L5176" s="23">
        <v>2.5725700000000002E-3</v>
      </c>
    </row>
    <row r="5177" spans="1:12" ht="15.35" hidden="1" x14ac:dyDescent="0.55000000000000004">
      <c r="A5177" s="20">
        <v>14323</v>
      </c>
      <c r="B5177" s="2" t="s">
        <v>184</v>
      </c>
      <c r="C5177" s="2" t="s">
        <v>185</v>
      </c>
      <c r="D5177" s="20">
        <v>0</v>
      </c>
      <c r="E5177" s="2" t="s">
        <v>838</v>
      </c>
      <c r="F5177" s="2" t="s">
        <v>807</v>
      </c>
      <c r="G5177" s="2" t="s">
        <v>2839</v>
      </c>
      <c r="H5177" s="2" t="s">
        <v>1254</v>
      </c>
      <c r="J5177" s="26"/>
      <c r="K5177" s="36">
        <v>5.1451339999999998E-2</v>
      </c>
      <c r="L5177" s="23">
        <v>2.5725700000000002E-3</v>
      </c>
    </row>
    <row r="5178" spans="1:12" ht="15.35" hidden="1" x14ac:dyDescent="0.55000000000000004">
      <c r="A5178" s="20">
        <v>14459</v>
      </c>
      <c r="B5178" s="2" t="s">
        <v>184</v>
      </c>
      <c r="C5178" s="2" t="s">
        <v>185</v>
      </c>
      <c r="D5178" s="20">
        <v>0</v>
      </c>
      <c r="E5178" s="2" t="s">
        <v>838</v>
      </c>
      <c r="F5178" s="2" t="s">
        <v>807</v>
      </c>
      <c r="G5178" s="2" t="s">
        <v>2598</v>
      </c>
      <c r="H5178" s="2" t="s">
        <v>1254</v>
      </c>
      <c r="J5178" s="26"/>
      <c r="K5178" s="36">
        <v>2.9400699999999999E-3</v>
      </c>
      <c r="L5178" s="23">
        <v>1.47E-4</v>
      </c>
    </row>
    <row r="5179" spans="1:12" ht="15.35" hidden="1" x14ac:dyDescent="0.55000000000000004">
      <c r="A5179" s="20">
        <v>14314</v>
      </c>
      <c r="B5179" s="2" t="s">
        <v>184</v>
      </c>
      <c r="C5179" s="2" t="s">
        <v>185</v>
      </c>
      <c r="D5179" s="20">
        <v>0</v>
      </c>
      <c r="E5179" s="2" t="s">
        <v>838</v>
      </c>
      <c r="F5179" s="2" t="s">
        <v>787</v>
      </c>
      <c r="G5179" s="2" t="s">
        <v>1270</v>
      </c>
      <c r="H5179" s="2" t="s">
        <v>1270</v>
      </c>
      <c r="J5179" s="26"/>
      <c r="K5179" s="36">
        <v>5.1451339999999998E-2</v>
      </c>
      <c r="L5179" s="23">
        <v>2.5725700000000002E-3</v>
      </c>
    </row>
    <row r="5180" spans="1:12" ht="15.35" hidden="1" x14ac:dyDescent="0.55000000000000004">
      <c r="A5180" s="20">
        <v>14541</v>
      </c>
      <c r="B5180" s="2" t="s">
        <v>184</v>
      </c>
      <c r="C5180" s="2" t="s">
        <v>185</v>
      </c>
      <c r="D5180" s="20">
        <v>0</v>
      </c>
      <c r="E5180" s="2" t="s">
        <v>838</v>
      </c>
      <c r="F5180" s="2" t="s">
        <v>817</v>
      </c>
      <c r="G5180" s="2" t="s">
        <v>3507</v>
      </c>
      <c r="H5180" s="2" t="s">
        <v>1031</v>
      </c>
      <c r="J5180" s="26"/>
      <c r="K5180" s="36">
        <v>5.8801000000000003E-4</v>
      </c>
      <c r="L5180" s="23">
        <v>2.94E-5</v>
      </c>
    </row>
    <row r="5181" spans="1:12" ht="15.35" hidden="1" x14ac:dyDescent="0.55000000000000004">
      <c r="A5181" s="20">
        <v>14359</v>
      </c>
      <c r="B5181" s="2" t="s">
        <v>184</v>
      </c>
      <c r="C5181" s="2" t="s">
        <v>185</v>
      </c>
      <c r="D5181" s="20">
        <v>0</v>
      </c>
      <c r="E5181" s="2" t="s">
        <v>838</v>
      </c>
      <c r="F5181" s="2" t="s">
        <v>793</v>
      </c>
      <c r="G5181" s="2" t="s">
        <v>4597</v>
      </c>
      <c r="H5181" s="2" t="s">
        <v>1276</v>
      </c>
      <c r="J5181" s="26"/>
      <c r="K5181" s="36">
        <v>2.2785590000000001E-2</v>
      </c>
      <c r="L5181" s="23">
        <v>1.1392799999999999E-3</v>
      </c>
    </row>
    <row r="5182" spans="1:12" ht="15.35" hidden="1" x14ac:dyDescent="0.55000000000000004">
      <c r="A5182" s="20">
        <v>14591</v>
      </c>
      <c r="B5182" s="2" t="s">
        <v>184</v>
      </c>
      <c r="C5182" s="2" t="s">
        <v>185</v>
      </c>
      <c r="D5182" s="20">
        <v>0</v>
      </c>
      <c r="E5182" s="2" t="s">
        <v>838</v>
      </c>
      <c r="F5182" s="2" t="s">
        <v>3509</v>
      </c>
      <c r="G5182" s="2" t="s">
        <v>4408</v>
      </c>
      <c r="H5182" s="2" t="s">
        <v>1903</v>
      </c>
      <c r="J5182" s="26"/>
      <c r="K5182" s="36">
        <v>1.14663E-3</v>
      </c>
      <c r="L5182" s="23">
        <v>5.7330000000000002E-5</v>
      </c>
    </row>
    <row r="5183" spans="1:12" ht="15.35" hidden="1" x14ac:dyDescent="0.55000000000000004">
      <c r="A5183" s="20">
        <v>14407</v>
      </c>
      <c r="B5183" s="2" t="s">
        <v>184</v>
      </c>
      <c r="C5183" s="2" t="s">
        <v>185</v>
      </c>
      <c r="D5183" s="20">
        <v>0</v>
      </c>
      <c r="E5183" s="2" t="s">
        <v>838</v>
      </c>
      <c r="F5183" s="2" t="s">
        <v>817</v>
      </c>
      <c r="G5183" s="2" t="s">
        <v>4045</v>
      </c>
      <c r="H5183" s="2" t="s">
        <v>1284</v>
      </c>
      <c r="J5183" s="26"/>
      <c r="K5183" s="36">
        <v>7.6442000000000003E-3</v>
      </c>
      <c r="L5183" s="23">
        <v>3.8221000000000002E-4</v>
      </c>
    </row>
    <row r="5184" spans="1:12" ht="15.35" hidden="1" x14ac:dyDescent="0.55000000000000004">
      <c r="A5184" s="20">
        <v>14510</v>
      </c>
      <c r="B5184" s="2" t="s">
        <v>184</v>
      </c>
      <c r="C5184" s="2" t="s">
        <v>185</v>
      </c>
      <c r="D5184" s="20">
        <v>0</v>
      </c>
      <c r="E5184" s="2" t="s">
        <v>838</v>
      </c>
      <c r="F5184" s="2" t="s">
        <v>817</v>
      </c>
      <c r="G5184" s="2" t="s">
        <v>4410</v>
      </c>
      <c r="H5184" s="2" t="s">
        <v>1284</v>
      </c>
      <c r="J5184" s="26"/>
      <c r="K5184" s="36">
        <v>1.14663E-3</v>
      </c>
      <c r="L5184" s="23">
        <v>5.7330000000000002E-5</v>
      </c>
    </row>
    <row r="5185" spans="1:12" ht="15.35" hidden="1" x14ac:dyDescent="0.55000000000000004">
      <c r="A5185" s="20">
        <v>14378</v>
      </c>
      <c r="B5185" s="2" t="s">
        <v>184</v>
      </c>
      <c r="C5185" s="2" t="s">
        <v>185</v>
      </c>
      <c r="D5185" s="20">
        <v>0</v>
      </c>
      <c r="E5185" s="2" t="s">
        <v>838</v>
      </c>
      <c r="F5185" s="2" t="s">
        <v>848</v>
      </c>
      <c r="G5185" s="2" t="s">
        <v>906</v>
      </c>
      <c r="H5185" s="2" t="s">
        <v>906</v>
      </c>
      <c r="J5185" s="26"/>
      <c r="K5185" s="36">
        <v>1.4700380000000001E-2</v>
      </c>
      <c r="L5185" s="23">
        <v>7.3501999999999997E-4</v>
      </c>
    </row>
    <row r="5186" spans="1:12" ht="15.35" hidden="1" x14ac:dyDescent="0.55000000000000004">
      <c r="A5186" s="20">
        <v>14382</v>
      </c>
      <c r="B5186" s="2" t="s">
        <v>184</v>
      </c>
      <c r="C5186" s="2" t="s">
        <v>185</v>
      </c>
      <c r="D5186" s="20">
        <v>0</v>
      </c>
      <c r="E5186" s="2" t="s">
        <v>838</v>
      </c>
      <c r="F5186" s="2" t="s">
        <v>793</v>
      </c>
      <c r="G5186" s="2" t="s">
        <v>2650</v>
      </c>
      <c r="H5186" s="2" t="s">
        <v>842</v>
      </c>
      <c r="J5186" s="26"/>
      <c r="K5186" s="36">
        <v>1.17603E-2</v>
      </c>
      <c r="L5186" s="23">
        <v>5.8801000000000003E-4</v>
      </c>
    </row>
    <row r="5187" spans="1:12" ht="15.35" hidden="1" x14ac:dyDescent="0.55000000000000004">
      <c r="A5187" s="20">
        <v>14428</v>
      </c>
      <c r="B5187" s="2" t="s">
        <v>184</v>
      </c>
      <c r="C5187" s="2" t="s">
        <v>185</v>
      </c>
      <c r="D5187" s="20">
        <v>0</v>
      </c>
      <c r="E5187" s="2" t="s">
        <v>838</v>
      </c>
      <c r="F5187" s="2" t="s">
        <v>793</v>
      </c>
      <c r="G5187" s="2" t="s">
        <v>4598</v>
      </c>
      <c r="H5187" s="2" t="s">
        <v>842</v>
      </c>
      <c r="J5187" s="26"/>
      <c r="K5187" s="36">
        <v>4.4101100000000001E-3</v>
      </c>
      <c r="L5187" s="23">
        <v>2.2050999999999999E-4</v>
      </c>
    </row>
    <row r="5188" spans="1:12" ht="15.35" hidden="1" x14ac:dyDescent="0.55000000000000004">
      <c r="A5188" s="20">
        <v>14415</v>
      </c>
      <c r="B5188" s="2" t="s">
        <v>184</v>
      </c>
      <c r="C5188" s="2" t="s">
        <v>185</v>
      </c>
      <c r="D5188" s="20">
        <v>0</v>
      </c>
      <c r="E5188" s="2" t="s">
        <v>838</v>
      </c>
      <c r="F5188" s="2" t="s">
        <v>817</v>
      </c>
      <c r="G5188" s="2" t="s">
        <v>4456</v>
      </c>
      <c r="H5188" s="2" t="s">
        <v>1921</v>
      </c>
      <c r="J5188" s="26"/>
      <c r="K5188" s="36">
        <v>6.3064599999999998E-3</v>
      </c>
      <c r="L5188" s="23">
        <v>3.1532000000000001E-4</v>
      </c>
    </row>
    <row r="5189" spans="1:12" ht="15.35" hidden="1" x14ac:dyDescent="0.55000000000000004">
      <c r="A5189" s="20">
        <v>14389</v>
      </c>
      <c r="B5189" s="2" t="s">
        <v>184</v>
      </c>
      <c r="C5189" s="2" t="s">
        <v>185</v>
      </c>
      <c r="D5189" s="20">
        <v>0</v>
      </c>
      <c r="E5189" s="2" t="s">
        <v>838</v>
      </c>
      <c r="F5189" s="2" t="s">
        <v>817</v>
      </c>
      <c r="G5189" s="2" t="s">
        <v>2858</v>
      </c>
      <c r="H5189" s="2" t="s">
        <v>1921</v>
      </c>
      <c r="J5189" s="26"/>
      <c r="K5189" s="36">
        <v>1.080478E-2</v>
      </c>
      <c r="L5189" s="23">
        <v>5.4023999999999999E-4</v>
      </c>
    </row>
    <row r="5190" spans="1:12" ht="15.35" hidden="1" x14ac:dyDescent="0.55000000000000004">
      <c r="A5190" s="20">
        <v>14390</v>
      </c>
      <c r="B5190" s="2" t="s">
        <v>184</v>
      </c>
      <c r="C5190" s="2" t="s">
        <v>185</v>
      </c>
      <c r="D5190" s="20">
        <v>0</v>
      </c>
      <c r="E5190" s="2" t="s">
        <v>838</v>
      </c>
      <c r="F5190" s="2" t="s">
        <v>817</v>
      </c>
      <c r="G5190" s="2" t="s">
        <v>2859</v>
      </c>
      <c r="H5190" s="2" t="s">
        <v>1921</v>
      </c>
      <c r="J5190" s="26"/>
      <c r="K5190" s="36">
        <v>1.080478E-2</v>
      </c>
      <c r="L5190" s="23">
        <v>5.4023999999999999E-4</v>
      </c>
    </row>
    <row r="5191" spans="1:12" ht="15.35" hidden="1" x14ac:dyDescent="0.55000000000000004">
      <c r="A5191" s="20">
        <v>14565</v>
      </c>
      <c r="B5191" s="2" t="s">
        <v>184</v>
      </c>
      <c r="C5191" s="2" t="s">
        <v>185</v>
      </c>
      <c r="D5191" s="20">
        <v>0</v>
      </c>
      <c r="E5191" s="2" t="s">
        <v>838</v>
      </c>
      <c r="F5191" s="2" t="s">
        <v>793</v>
      </c>
      <c r="G5191" s="2" t="s">
        <v>2866</v>
      </c>
      <c r="H5191" s="2" t="s">
        <v>2867</v>
      </c>
      <c r="J5191" s="26"/>
      <c r="K5191" s="36">
        <v>2.2049999999999999E-4</v>
      </c>
      <c r="L5191" s="23">
        <v>1.102E-5</v>
      </c>
    </row>
    <row r="5192" spans="1:12" ht="15.35" hidden="1" x14ac:dyDescent="0.55000000000000004">
      <c r="A5192" s="20">
        <v>14340</v>
      </c>
      <c r="B5192" s="2" t="s">
        <v>184</v>
      </c>
      <c r="C5192" s="2" t="s">
        <v>185</v>
      </c>
      <c r="D5192" s="20">
        <v>0</v>
      </c>
      <c r="E5192" s="2" t="s">
        <v>838</v>
      </c>
      <c r="F5192" s="2" t="s">
        <v>848</v>
      </c>
      <c r="G5192" s="2" t="s">
        <v>1042</v>
      </c>
      <c r="H5192" s="2" t="s">
        <v>1042</v>
      </c>
      <c r="J5192" s="26"/>
      <c r="K5192" s="36">
        <v>3.8191599999999999E-2</v>
      </c>
      <c r="L5192" s="23">
        <v>1.9095799999999999E-3</v>
      </c>
    </row>
    <row r="5193" spans="1:12" ht="15.35" hidden="1" x14ac:dyDescent="0.55000000000000004">
      <c r="A5193" s="20">
        <v>14586</v>
      </c>
      <c r="B5193" s="2" t="s">
        <v>184</v>
      </c>
      <c r="C5193" s="2" t="s">
        <v>185</v>
      </c>
      <c r="D5193" s="20">
        <v>0</v>
      </c>
      <c r="E5193" s="2" t="s">
        <v>838</v>
      </c>
      <c r="F5193" s="2" t="s">
        <v>793</v>
      </c>
      <c r="G5193" s="2" t="s">
        <v>4599</v>
      </c>
      <c r="H5193" s="2" t="s">
        <v>795</v>
      </c>
      <c r="J5193" s="26"/>
      <c r="K5193" s="36">
        <v>8.8202300000000001E-3</v>
      </c>
      <c r="L5193" s="23">
        <v>4.4100999999999998E-4</v>
      </c>
    </row>
    <row r="5194" spans="1:12" ht="15.35" hidden="1" x14ac:dyDescent="0.55000000000000004">
      <c r="A5194" s="20">
        <v>14588</v>
      </c>
      <c r="B5194" s="2" t="s">
        <v>184</v>
      </c>
      <c r="C5194" s="2" t="s">
        <v>185</v>
      </c>
      <c r="D5194" s="20">
        <v>0</v>
      </c>
      <c r="E5194" s="2" t="s">
        <v>838</v>
      </c>
      <c r="F5194" s="2" t="s">
        <v>793</v>
      </c>
      <c r="G5194" s="2" t="s">
        <v>4600</v>
      </c>
      <c r="H5194" s="2" t="s">
        <v>795</v>
      </c>
      <c r="J5194" s="26"/>
      <c r="K5194" s="36">
        <v>3.6750900000000002E-3</v>
      </c>
      <c r="L5194" s="23">
        <v>1.8374999999999999E-4</v>
      </c>
    </row>
    <row r="5195" spans="1:12" ht="15.35" hidden="1" x14ac:dyDescent="0.55000000000000004">
      <c r="A5195" s="20">
        <v>14585</v>
      </c>
      <c r="B5195" s="2" t="s">
        <v>184</v>
      </c>
      <c r="C5195" s="2" t="s">
        <v>185</v>
      </c>
      <c r="D5195" s="20">
        <v>0</v>
      </c>
      <c r="E5195" s="2" t="s">
        <v>838</v>
      </c>
      <c r="F5195" s="2" t="s">
        <v>793</v>
      </c>
      <c r="G5195" s="2" t="s">
        <v>4462</v>
      </c>
      <c r="H5195" s="2" t="s">
        <v>795</v>
      </c>
      <c r="J5195" s="26"/>
      <c r="K5195" s="36">
        <v>8.8202300000000001E-3</v>
      </c>
      <c r="L5195" s="23">
        <v>4.4100999999999998E-4</v>
      </c>
    </row>
    <row r="5196" spans="1:12" ht="15.35" hidden="1" x14ac:dyDescent="0.55000000000000004">
      <c r="A5196" s="20">
        <v>14584</v>
      </c>
      <c r="B5196" s="2" t="s">
        <v>184</v>
      </c>
      <c r="C5196" s="2" t="s">
        <v>185</v>
      </c>
      <c r="D5196" s="20">
        <v>0</v>
      </c>
      <c r="E5196" s="2" t="s">
        <v>838</v>
      </c>
      <c r="F5196" s="2" t="s">
        <v>793</v>
      </c>
      <c r="G5196" s="2" t="s">
        <v>4463</v>
      </c>
      <c r="H5196" s="2" t="s">
        <v>795</v>
      </c>
      <c r="J5196" s="26"/>
      <c r="K5196" s="36">
        <v>8.8202300000000001E-3</v>
      </c>
      <c r="L5196" s="23">
        <v>4.4100999999999998E-4</v>
      </c>
    </row>
    <row r="5197" spans="1:12" ht="15.35" hidden="1" x14ac:dyDescent="0.55000000000000004">
      <c r="A5197" s="20">
        <v>14582</v>
      </c>
      <c r="B5197" s="2" t="s">
        <v>184</v>
      </c>
      <c r="C5197" s="2" t="s">
        <v>185</v>
      </c>
      <c r="D5197" s="20">
        <v>0</v>
      </c>
      <c r="E5197" s="2" t="s">
        <v>838</v>
      </c>
      <c r="F5197" s="2" t="s">
        <v>793</v>
      </c>
      <c r="G5197" s="2" t="s">
        <v>4601</v>
      </c>
      <c r="H5197" s="2" t="s">
        <v>795</v>
      </c>
      <c r="J5197" s="26"/>
      <c r="K5197" s="36">
        <v>8.8202300000000001E-3</v>
      </c>
      <c r="L5197" s="23">
        <v>4.4100999999999998E-4</v>
      </c>
    </row>
    <row r="5198" spans="1:12" ht="15.35" hidden="1" x14ac:dyDescent="0.55000000000000004">
      <c r="A5198" s="20">
        <v>14580</v>
      </c>
      <c r="B5198" s="2" t="s">
        <v>184</v>
      </c>
      <c r="C5198" s="2" t="s">
        <v>185</v>
      </c>
      <c r="D5198" s="20">
        <v>0</v>
      </c>
      <c r="E5198" s="2" t="s">
        <v>838</v>
      </c>
      <c r="F5198" s="2" t="s">
        <v>793</v>
      </c>
      <c r="G5198" s="2" t="s">
        <v>4464</v>
      </c>
      <c r="H5198" s="2" t="s">
        <v>795</v>
      </c>
      <c r="J5198" s="26"/>
      <c r="K5198" s="36">
        <v>9.5552499999999995E-3</v>
      </c>
      <c r="L5198" s="23">
        <v>4.7775999999999998E-4</v>
      </c>
    </row>
    <row r="5199" spans="1:12" ht="15.35" hidden="1" x14ac:dyDescent="0.55000000000000004">
      <c r="A5199" s="20">
        <v>14583</v>
      </c>
      <c r="B5199" s="2" t="s">
        <v>184</v>
      </c>
      <c r="C5199" s="2" t="s">
        <v>185</v>
      </c>
      <c r="D5199" s="20">
        <v>0</v>
      </c>
      <c r="E5199" s="2" t="s">
        <v>838</v>
      </c>
      <c r="F5199" s="2" t="s">
        <v>793</v>
      </c>
      <c r="G5199" s="2" t="s">
        <v>4465</v>
      </c>
      <c r="H5199" s="2" t="s">
        <v>795</v>
      </c>
      <c r="J5199" s="26"/>
      <c r="K5199" s="36">
        <v>8.8202300000000001E-3</v>
      </c>
      <c r="L5199" s="23">
        <v>4.4100999999999998E-4</v>
      </c>
    </row>
    <row r="5200" spans="1:12" ht="15.35" hidden="1" x14ac:dyDescent="0.55000000000000004">
      <c r="A5200" s="20">
        <v>14587</v>
      </c>
      <c r="B5200" s="2" t="s">
        <v>184</v>
      </c>
      <c r="C5200" s="2" t="s">
        <v>185</v>
      </c>
      <c r="D5200" s="20">
        <v>0</v>
      </c>
      <c r="E5200" s="2" t="s">
        <v>838</v>
      </c>
      <c r="F5200" s="2" t="s">
        <v>793</v>
      </c>
      <c r="G5200" s="2" t="s">
        <v>4466</v>
      </c>
      <c r="H5200" s="2" t="s">
        <v>795</v>
      </c>
      <c r="J5200" s="26"/>
      <c r="K5200" s="36">
        <v>8.8202300000000001E-3</v>
      </c>
      <c r="L5200" s="23">
        <v>4.4100999999999998E-4</v>
      </c>
    </row>
    <row r="5201" spans="1:12" ht="15.35" hidden="1" x14ac:dyDescent="0.55000000000000004">
      <c r="A5201" s="20">
        <v>14589</v>
      </c>
      <c r="B5201" s="2" t="s">
        <v>184</v>
      </c>
      <c r="C5201" s="2" t="s">
        <v>185</v>
      </c>
      <c r="D5201" s="20">
        <v>0</v>
      </c>
      <c r="E5201" s="2" t="s">
        <v>838</v>
      </c>
      <c r="F5201" s="2" t="s">
        <v>793</v>
      </c>
      <c r="G5201" s="2" t="s">
        <v>4602</v>
      </c>
      <c r="H5201" s="2" t="s">
        <v>795</v>
      </c>
      <c r="J5201" s="26"/>
      <c r="K5201" s="36">
        <v>3.6750900000000002E-3</v>
      </c>
      <c r="L5201" s="23">
        <v>1.8374999999999999E-4</v>
      </c>
    </row>
    <row r="5202" spans="1:12" ht="15.35" hidden="1" x14ac:dyDescent="0.55000000000000004">
      <c r="A5202" s="20">
        <v>14590</v>
      </c>
      <c r="B5202" s="2" t="s">
        <v>184</v>
      </c>
      <c r="C5202" s="2" t="s">
        <v>185</v>
      </c>
      <c r="D5202" s="20">
        <v>0</v>
      </c>
      <c r="E5202" s="2" t="s">
        <v>838</v>
      </c>
      <c r="F5202" s="2" t="s">
        <v>793</v>
      </c>
      <c r="G5202" s="2" t="s">
        <v>4603</v>
      </c>
      <c r="H5202" s="2" t="s">
        <v>795</v>
      </c>
      <c r="J5202" s="26"/>
      <c r="K5202" s="36">
        <v>1.17603E-3</v>
      </c>
      <c r="L5202" s="23">
        <v>5.8799999999999999E-5</v>
      </c>
    </row>
    <row r="5203" spans="1:12" ht="15.35" hidden="1" x14ac:dyDescent="0.55000000000000004">
      <c r="A5203" s="20">
        <v>14581</v>
      </c>
      <c r="B5203" s="2" t="s">
        <v>184</v>
      </c>
      <c r="C5203" s="2" t="s">
        <v>185</v>
      </c>
      <c r="D5203" s="20">
        <v>0</v>
      </c>
      <c r="E5203" s="2" t="s">
        <v>838</v>
      </c>
      <c r="F5203" s="2" t="s">
        <v>793</v>
      </c>
      <c r="G5203" s="2" t="s">
        <v>4467</v>
      </c>
      <c r="H5203" s="2" t="s">
        <v>795</v>
      </c>
      <c r="J5203" s="26"/>
      <c r="K5203" s="36">
        <v>9.5552499999999995E-3</v>
      </c>
      <c r="L5203" s="23">
        <v>4.7775999999999998E-4</v>
      </c>
    </row>
    <row r="5204" spans="1:12" ht="15.35" hidden="1" x14ac:dyDescent="0.55000000000000004">
      <c r="A5204" s="20">
        <v>14592</v>
      </c>
      <c r="B5204" s="2" t="s">
        <v>184</v>
      </c>
      <c r="C5204" s="2" t="s">
        <v>185</v>
      </c>
      <c r="D5204" s="20">
        <v>0</v>
      </c>
      <c r="E5204" s="2" t="s">
        <v>838</v>
      </c>
      <c r="F5204" s="2" t="s">
        <v>793</v>
      </c>
      <c r="G5204" s="2" t="s">
        <v>4048</v>
      </c>
      <c r="H5204" s="2" t="s">
        <v>795</v>
      </c>
      <c r="J5204" s="26"/>
      <c r="K5204" s="36">
        <v>1.9110000000000001E-4</v>
      </c>
      <c r="L5204" s="23">
        <v>9.5599999999999999E-6</v>
      </c>
    </row>
    <row r="5205" spans="1:12" ht="15.35" hidden="1" x14ac:dyDescent="0.55000000000000004">
      <c r="A5205" s="20">
        <v>14396</v>
      </c>
      <c r="B5205" s="2" t="s">
        <v>184</v>
      </c>
      <c r="C5205" s="2" t="s">
        <v>185</v>
      </c>
      <c r="D5205" s="20">
        <v>0</v>
      </c>
      <c r="E5205" s="2" t="s">
        <v>838</v>
      </c>
      <c r="F5205" s="2" t="s">
        <v>811</v>
      </c>
      <c r="G5205" s="2" t="s">
        <v>4604</v>
      </c>
      <c r="H5205" s="2" t="s">
        <v>1003</v>
      </c>
      <c r="J5205" s="26"/>
      <c r="K5205" s="36">
        <v>9.5552499999999995E-3</v>
      </c>
      <c r="L5205" s="23">
        <v>4.7775999999999998E-4</v>
      </c>
    </row>
    <row r="5206" spans="1:12" ht="15.35" hidden="1" x14ac:dyDescent="0.55000000000000004">
      <c r="A5206" s="20">
        <v>14385</v>
      </c>
      <c r="B5206" s="2" t="s">
        <v>184</v>
      </c>
      <c r="C5206" s="2" t="s">
        <v>185</v>
      </c>
      <c r="D5206" s="20">
        <v>0</v>
      </c>
      <c r="E5206" s="2" t="s">
        <v>838</v>
      </c>
      <c r="F5206" s="2" t="s">
        <v>817</v>
      </c>
      <c r="G5206" s="2" t="s">
        <v>4605</v>
      </c>
      <c r="H5206" s="2" t="s">
        <v>1254</v>
      </c>
      <c r="J5206" s="26"/>
      <c r="K5206" s="36">
        <v>1.14663E-2</v>
      </c>
      <c r="L5206" s="23">
        <v>5.7331999999999999E-4</v>
      </c>
    </row>
    <row r="5207" spans="1:12" ht="15.35" hidden="1" x14ac:dyDescent="0.55000000000000004">
      <c r="A5207" s="20">
        <v>14376</v>
      </c>
      <c r="B5207" s="2" t="s">
        <v>184</v>
      </c>
      <c r="C5207" s="2" t="s">
        <v>185</v>
      </c>
      <c r="D5207" s="20">
        <v>0</v>
      </c>
      <c r="E5207" s="2" t="s">
        <v>838</v>
      </c>
      <c r="F5207" s="2" t="s">
        <v>817</v>
      </c>
      <c r="G5207" s="2" t="s">
        <v>4606</v>
      </c>
      <c r="H5207" s="2" t="s">
        <v>1254</v>
      </c>
      <c r="J5207" s="26"/>
      <c r="K5207" s="36">
        <v>1.5141389999999999E-2</v>
      </c>
      <c r="L5207" s="23">
        <v>7.5706999999999999E-4</v>
      </c>
    </row>
    <row r="5208" spans="1:12" ht="15.35" hidden="1" x14ac:dyDescent="0.55000000000000004">
      <c r="A5208" s="20">
        <v>14464</v>
      </c>
      <c r="B5208" s="2" t="s">
        <v>184</v>
      </c>
      <c r="C5208" s="2" t="s">
        <v>185</v>
      </c>
      <c r="D5208" s="20">
        <v>0</v>
      </c>
      <c r="E5208" s="2" t="s">
        <v>838</v>
      </c>
      <c r="F5208" s="2" t="s">
        <v>798</v>
      </c>
      <c r="G5208" s="2" t="s">
        <v>4049</v>
      </c>
      <c r="H5208" s="2" t="s">
        <v>800</v>
      </c>
      <c r="J5208" s="26"/>
      <c r="K5208" s="36">
        <v>2.8665700000000001E-3</v>
      </c>
      <c r="L5208" s="23">
        <v>1.4333E-4</v>
      </c>
    </row>
    <row r="5209" spans="1:12" ht="15.35" hidden="1" x14ac:dyDescent="0.55000000000000004">
      <c r="A5209" s="20">
        <v>14375</v>
      </c>
      <c r="B5209" s="2" t="s">
        <v>184</v>
      </c>
      <c r="C5209" s="2" t="s">
        <v>185</v>
      </c>
      <c r="D5209" s="20">
        <v>0</v>
      </c>
      <c r="E5209" s="2" t="s">
        <v>838</v>
      </c>
      <c r="F5209" s="2" t="s">
        <v>817</v>
      </c>
      <c r="G5209" s="2" t="s">
        <v>4607</v>
      </c>
      <c r="H5209" s="2" t="s">
        <v>4608</v>
      </c>
      <c r="J5209" s="26"/>
      <c r="K5209" s="36">
        <v>1.525899E-2</v>
      </c>
      <c r="L5209" s="23">
        <v>7.6294999999999998E-4</v>
      </c>
    </row>
    <row r="5210" spans="1:12" ht="15.35" hidden="1" x14ac:dyDescent="0.55000000000000004">
      <c r="A5210" s="20">
        <v>14381</v>
      </c>
      <c r="B5210" s="2" t="s">
        <v>184</v>
      </c>
      <c r="C5210" s="2" t="s">
        <v>185</v>
      </c>
      <c r="D5210" s="20">
        <v>0</v>
      </c>
      <c r="E5210" s="2" t="s">
        <v>838</v>
      </c>
      <c r="F5210" s="2" t="s">
        <v>793</v>
      </c>
      <c r="G5210" s="2" t="s">
        <v>4468</v>
      </c>
      <c r="H5210" s="2" t="s">
        <v>802</v>
      </c>
      <c r="J5210" s="26"/>
      <c r="K5210" s="36">
        <v>1.17603E-2</v>
      </c>
      <c r="L5210" s="23">
        <v>5.8801000000000003E-4</v>
      </c>
    </row>
    <row r="5211" spans="1:12" ht="15.35" hidden="1" x14ac:dyDescent="0.55000000000000004">
      <c r="A5211" s="20">
        <v>14362</v>
      </c>
      <c r="B5211" s="2" t="s">
        <v>184</v>
      </c>
      <c r="C5211" s="2" t="s">
        <v>185</v>
      </c>
      <c r="D5211" s="20">
        <v>0</v>
      </c>
      <c r="E5211" s="2" t="s">
        <v>838</v>
      </c>
      <c r="F5211" s="2" t="s">
        <v>793</v>
      </c>
      <c r="G5211" s="2" t="s">
        <v>2654</v>
      </c>
      <c r="H5211" s="2" t="s">
        <v>802</v>
      </c>
      <c r="J5211" s="26"/>
      <c r="K5211" s="36">
        <v>1.896349E-2</v>
      </c>
      <c r="L5211" s="23">
        <v>9.4817000000000002E-4</v>
      </c>
    </row>
    <row r="5212" spans="1:12" ht="15.35" hidden="1" x14ac:dyDescent="0.55000000000000004">
      <c r="A5212" s="20">
        <v>14364</v>
      </c>
      <c r="B5212" s="2" t="s">
        <v>184</v>
      </c>
      <c r="C5212" s="2" t="s">
        <v>185</v>
      </c>
      <c r="D5212" s="20">
        <v>0</v>
      </c>
      <c r="E5212" s="2" t="s">
        <v>838</v>
      </c>
      <c r="F5212" s="2" t="s">
        <v>833</v>
      </c>
      <c r="G5212" s="2" t="s">
        <v>4609</v>
      </c>
      <c r="H5212" s="2" t="s">
        <v>802</v>
      </c>
      <c r="J5212" s="26"/>
      <c r="K5212" s="36">
        <v>1.896349E-2</v>
      </c>
      <c r="L5212" s="23">
        <v>9.4817000000000002E-4</v>
      </c>
    </row>
    <row r="5213" spans="1:12" ht="15.35" hidden="1" x14ac:dyDescent="0.55000000000000004">
      <c r="A5213" s="20">
        <v>14363</v>
      </c>
      <c r="B5213" s="2" t="s">
        <v>184</v>
      </c>
      <c r="C5213" s="2" t="s">
        <v>185</v>
      </c>
      <c r="D5213" s="20">
        <v>0</v>
      </c>
      <c r="E5213" s="2" t="s">
        <v>838</v>
      </c>
      <c r="F5213" s="2" t="s">
        <v>793</v>
      </c>
      <c r="G5213" s="2" t="s">
        <v>2656</v>
      </c>
      <c r="H5213" s="2" t="s">
        <v>802</v>
      </c>
      <c r="J5213" s="26"/>
      <c r="K5213" s="36">
        <v>1.896349E-2</v>
      </c>
      <c r="L5213" s="23">
        <v>9.4817000000000002E-4</v>
      </c>
    </row>
    <row r="5214" spans="1:12" ht="15.35" hidden="1" x14ac:dyDescent="0.55000000000000004">
      <c r="A5214" s="20">
        <v>14489</v>
      </c>
      <c r="B5214" s="2" t="s">
        <v>184</v>
      </c>
      <c r="C5214" s="2" t="s">
        <v>185</v>
      </c>
      <c r="D5214" s="20">
        <v>0</v>
      </c>
      <c r="E5214" s="2" t="s">
        <v>838</v>
      </c>
      <c r="F5214" s="2" t="s">
        <v>798</v>
      </c>
      <c r="G5214" s="2" t="s">
        <v>2882</v>
      </c>
      <c r="H5214" s="2" t="s">
        <v>802</v>
      </c>
      <c r="J5214" s="26"/>
      <c r="K5214" s="36">
        <v>1.8669400000000001E-3</v>
      </c>
      <c r="L5214" s="23">
        <v>9.3350000000000006E-5</v>
      </c>
    </row>
    <row r="5215" spans="1:12" ht="15.35" hidden="1" x14ac:dyDescent="0.55000000000000004">
      <c r="A5215" s="20">
        <v>14437</v>
      </c>
      <c r="B5215" s="2" t="s">
        <v>184</v>
      </c>
      <c r="C5215" s="2" t="s">
        <v>185</v>
      </c>
      <c r="D5215" s="20">
        <v>0</v>
      </c>
      <c r="E5215" s="2" t="s">
        <v>838</v>
      </c>
      <c r="F5215" s="2" t="s">
        <v>793</v>
      </c>
      <c r="G5215" s="2" t="s">
        <v>4470</v>
      </c>
      <c r="H5215" s="2" t="s">
        <v>802</v>
      </c>
      <c r="J5215" s="26"/>
      <c r="K5215" s="36">
        <v>3.8073899999999999E-3</v>
      </c>
      <c r="L5215" s="23">
        <v>1.9037000000000001E-4</v>
      </c>
    </row>
    <row r="5216" spans="1:12" ht="15.35" hidden="1" x14ac:dyDescent="0.55000000000000004">
      <c r="A5216" s="20">
        <v>14361</v>
      </c>
      <c r="B5216" s="2" t="s">
        <v>184</v>
      </c>
      <c r="C5216" s="2" t="s">
        <v>185</v>
      </c>
      <c r="D5216" s="20">
        <v>0</v>
      </c>
      <c r="E5216" s="2" t="s">
        <v>838</v>
      </c>
      <c r="F5216" s="2" t="s">
        <v>793</v>
      </c>
      <c r="G5216" s="2" t="s">
        <v>2883</v>
      </c>
      <c r="H5216" s="2" t="s">
        <v>802</v>
      </c>
      <c r="J5216" s="26"/>
      <c r="K5216" s="36">
        <v>1.90958E-2</v>
      </c>
      <c r="L5216" s="23">
        <v>9.5478999999999996E-4</v>
      </c>
    </row>
    <row r="5217" spans="1:12" ht="15.35" hidden="1" x14ac:dyDescent="0.55000000000000004">
      <c r="A5217" s="20">
        <v>14468</v>
      </c>
      <c r="B5217" s="2" t="s">
        <v>184</v>
      </c>
      <c r="C5217" s="2" t="s">
        <v>185</v>
      </c>
      <c r="D5217" s="20">
        <v>0</v>
      </c>
      <c r="E5217" s="2" t="s">
        <v>838</v>
      </c>
      <c r="F5217" s="2" t="s">
        <v>793</v>
      </c>
      <c r="G5217" s="2" t="s">
        <v>1326</v>
      </c>
      <c r="H5217" s="2" t="s">
        <v>1044</v>
      </c>
      <c r="J5217" s="26"/>
      <c r="K5217" s="36">
        <v>2.2785499999999998E-3</v>
      </c>
      <c r="L5217" s="23">
        <v>1.1393E-4</v>
      </c>
    </row>
    <row r="5218" spans="1:12" ht="15.35" hidden="1" x14ac:dyDescent="0.55000000000000004">
      <c r="A5218" s="20">
        <v>14470</v>
      </c>
      <c r="B5218" s="2" t="s">
        <v>184</v>
      </c>
      <c r="C5218" s="2" t="s">
        <v>185</v>
      </c>
      <c r="D5218" s="20">
        <v>0</v>
      </c>
      <c r="E5218" s="2" t="s">
        <v>838</v>
      </c>
      <c r="F5218" s="2" t="s">
        <v>793</v>
      </c>
      <c r="G5218" s="2" t="s">
        <v>2887</v>
      </c>
      <c r="H5218" s="2" t="s">
        <v>1044</v>
      </c>
      <c r="J5218" s="26"/>
      <c r="K5218" s="36">
        <v>2.2785499999999998E-3</v>
      </c>
      <c r="L5218" s="23">
        <v>1.1393E-4</v>
      </c>
    </row>
    <row r="5219" spans="1:12" ht="15.35" hidden="1" x14ac:dyDescent="0.55000000000000004">
      <c r="A5219" s="20">
        <v>14434</v>
      </c>
      <c r="B5219" s="2" t="s">
        <v>184</v>
      </c>
      <c r="C5219" s="2" t="s">
        <v>185</v>
      </c>
      <c r="D5219" s="20">
        <v>0</v>
      </c>
      <c r="E5219" s="2" t="s">
        <v>838</v>
      </c>
      <c r="F5219" s="2" t="s">
        <v>793</v>
      </c>
      <c r="G5219" s="2" t="s">
        <v>2888</v>
      </c>
      <c r="H5219" s="2" t="s">
        <v>1044</v>
      </c>
      <c r="J5219" s="26"/>
      <c r="K5219" s="36">
        <v>3.8073899999999999E-3</v>
      </c>
      <c r="L5219" s="23">
        <v>1.9037000000000001E-4</v>
      </c>
    </row>
    <row r="5220" spans="1:12" ht="15.35" hidden="1" x14ac:dyDescent="0.55000000000000004">
      <c r="A5220" s="20">
        <v>14433</v>
      </c>
      <c r="B5220" s="2" t="s">
        <v>184</v>
      </c>
      <c r="C5220" s="2" t="s">
        <v>185</v>
      </c>
      <c r="D5220" s="20">
        <v>0</v>
      </c>
      <c r="E5220" s="2" t="s">
        <v>838</v>
      </c>
      <c r="F5220" s="2" t="s">
        <v>793</v>
      </c>
      <c r="G5220" s="2" t="s">
        <v>2889</v>
      </c>
      <c r="H5220" s="2" t="s">
        <v>1044</v>
      </c>
      <c r="J5220" s="26"/>
      <c r="K5220" s="36">
        <v>3.8073899999999999E-3</v>
      </c>
      <c r="L5220" s="23">
        <v>1.9037000000000001E-4</v>
      </c>
    </row>
    <row r="5221" spans="1:12" ht="15.35" hidden="1" x14ac:dyDescent="0.55000000000000004">
      <c r="A5221" s="20">
        <v>14469</v>
      </c>
      <c r="B5221" s="2" t="s">
        <v>184</v>
      </c>
      <c r="C5221" s="2" t="s">
        <v>185</v>
      </c>
      <c r="D5221" s="20">
        <v>0</v>
      </c>
      <c r="E5221" s="2" t="s">
        <v>838</v>
      </c>
      <c r="F5221" s="2" t="s">
        <v>793</v>
      </c>
      <c r="G5221" s="2" t="s">
        <v>2890</v>
      </c>
      <c r="H5221" s="2" t="s">
        <v>1044</v>
      </c>
      <c r="J5221" s="26"/>
      <c r="K5221" s="36">
        <v>2.2785499999999998E-3</v>
      </c>
      <c r="L5221" s="23">
        <v>1.1393E-4</v>
      </c>
    </row>
    <row r="5222" spans="1:12" ht="15.35" hidden="1" x14ac:dyDescent="0.55000000000000004">
      <c r="A5222" s="20">
        <v>14447</v>
      </c>
      <c r="B5222" s="2" t="s">
        <v>184</v>
      </c>
      <c r="C5222" s="2" t="s">
        <v>185</v>
      </c>
      <c r="D5222" s="20">
        <v>0</v>
      </c>
      <c r="E5222" s="2" t="s">
        <v>838</v>
      </c>
      <c r="F5222" s="2" t="s">
        <v>793</v>
      </c>
      <c r="G5222" s="2" t="s">
        <v>4610</v>
      </c>
      <c r="H5222" s="2" t="s">
        <v>1940</v>
      </c>
      <c r="J5222" s="26"/>
      <c r="K5222" s="36">
        <v>3.6750900000000002E-3</v>
      </c>
      <c r="L5222" s="23">
        <v>1.8374999999999999E-4</v>
      </c>
    </row>
    <row r="5223" spans="1:12" ht="15.35" hidden="1" x14ac:dyDescent="0.55000000000000004">
      <c r="A5223" s="20">
        <v>14513</v>
      </c>
      <c r="B5223" s="2" t="s">
        <v>184</v>
      </c>
      <c r="C5223" s="2" t="s">
        <v>185</v>
      </c>
      <c r="D5223" s="20">
        <v>0</v>
      </c>
      <c r="E5223" s="2" t="s">
        <v>838</v>
      </c>
      <c r="F5223" s="2" t="s">
        <v>817</v>
      </c>
      <c r="G5223" s="2" t="s">
        <v>4611</v>
      </c>
      <c r="H5223" s="2" t="s">
        <v>1940</v>
      </c>
      <c r="J5223" s="26"/>
      <c r="K5223" s="36">
        <v>1.0731200000000001E-3</v>
      </c>
      <c r="L5223" s="23">
        <v>5.3659999999999998E-5</v>
      </c>
    </row>
    <row r="5224" spans="1:12" ht="15.35" hidden="1" x14ac:dyDescent="0.55000000000000004">
      <c r="A5224" s="20">
        <v>14511</v>
      </c>
      <c r="B5224" s="2" t="s">
        <v>184</v>
      </c>
      <c r="C5224" s="2" t="s">
        <v>185</v>
      </c>
      <c r="D5224" s="20">
        <v>0</v>
      </c>
      <c r="E5224" s="2" t="s">
        <v>838</v>
      </c>
      <c r="F5224" s="2" t="s">
        <v>793</v>
      </c>
      <c r="G5224" s="2" t="s">
        <v>4074</v>
      </c>
      <c r="H5224" s="2" t="s">
        <v>1940</v>
      </c>
      <c r="J5224" s="26"/>
      <c r="K5224" s="36">
        <v>1.1025200000000001E-3</v>
      </c>
      <c r="L5224" s="23">
        <v>5.5130000000000002E-5</v>
      </c>
    </row>
    <row r="5225" spans="1:12" ht="15.35" hidden="1" x14ac:dyDescent="0.55000000000000004">
      <c r="A5225" s="20">
        <v>14499</v>
      </c>
      <c r="B5225" s="2" t="s">
        <v>184</v>
      </c>
      <c r="C5225" s="2" t="s">
        <v>185</v>
      </c>
      <c r="D5225" s="20">
        <v>0</v>
      </c>
      <c r="E5225" s="2" t="s">
        <v>838</v>
      </c>
      <c r="F5225" s="2" t="s">
        <v>793</v>
      </c>
      <c r="G5225" s="2" t="s">
        <v>4075</v>
      </c>
      <c r="H5225" s="2" t="s">
        <v>1940</v>
      </c>
      <c r="J5225" s="26"/>
      <c r="K5225" s="36">
        <v>1.3818299999999999E-3</v>
      </c>
      <c r="L5225" s="23">
        <v>6.9090000000000004E-5</v>
      </c>
    </row>
    <row r="5226" spans="1:12" ht="15.35" hidden="1" x14ac:dyDescent="0.55000000000000004">
      <c r="A5226" s="20">
        <v>14490</v>
      </c>
      <c r="B5226" s="2" t="s">
        <v>184</v>
      </c>
      <c r="C5226" s="2" t="s">
        <v>185</v>
      </c>
      <c r="D5226" s="20">
        <v>0</v>
      </c>
      <c r="E5226" s="2" t="s">
        <v>838</v>
      </c>
      <c r="F5226" s="2" t="s">
        <v>817</v>
      </c>
      <c r="G5226" s="2" t="s">
        <v>4076</v>
      </c>
      <c r="H5226" s="2" t="s">
        <v>1940</v>
      </c>
      <c r="J5226" s="26"/>
      <c r="K5226" s="36">
        <v>1.80814E-3</v>
      </c>
      <c r="L5226" s="23">
        <v>9.0409999999999997E-5</v>
      </c>
    </row>
    <row r="5227" spans="1:12" ht="15.35" hidden="1" x14ac:dyDescent="0.55000000000000004">
      <c r="A5227" s="20">
        <v>14399</v>
      </c>
      <c r="B5227" s="2" t="s">
        <v>184</v>
      </c>
      <c r="C5227" s="2" t="s">
        <v>185</v>
      </c>
      <c r="D5227" s="20">
        <v>0</v>
      </c>
      <c r="E5227" s="2" t="s">
        <v>838</v>
      </c>
      <c r="F5227" s="2" t="s">
        <v>793</v>
      </c>
      <c r="G5227" s="2" t="s">
        <v>4612</v>
      </c>
      <c r="H5227" s="2" t="s">
        <v>804</v>
      </c>
      <c r="J5227" s="26"/>
      <c r="K5227" s="36">
        <v>9.40824E-3</v>
      </c>
      <c r="L5227" s="23">
        <v>4.7040999999999999E-4</v>
      </c>
    </row>
    <row r="5228" spans="1:12" ht="15.35" hidden="1" x14ac:dyDescent="0.55000000000000004">
      <c r="A5228" s="20">
        <v>14474</v>
      </c>
      <c r="B5228" s="2" t="s">
        <v>184</v>
      </c>
      <c r="C5228" s="2" t="s">
        <v>185</v>
      </c>
      <c r="D5228" s="20">
        <v>0</v>
      </c>
      <c r="E5228" s="2" t="s">
        <v>838</v>
      </c>
      <c r="F5228" s="2" t="s">
        <v>817</v>
      </c>
      <c r="G5228" s="2" t="s">
        <v>4613</v>
      </c>
      <c r="H5228" s="2" t="s">
        <v>1973</v>
      </c>
      <c r="J5228" s="26"/>
      <c r="K5228" s="36">
        <v>2.11685E-3</v>
      </c>
      <c r="L5228" s="23">
        <v>1.0584E-4</v>
      </c>
    </row>
    <row r="5229" spans="1:12" ht="15.35" hidden="1" x14ac:dyDescent="0.55000000000000004">
      <c r="A5229" s="20">
        <v>14393</v>
      </c>
      <c r="B5229" s="2" t="s">
        <v>184</v>
      </c>
      <c r="C5229" s="2" t="s">
        <v>185</v>
      </c>
      <c r="D5229" s="20">
        <v>0</v>
      </c>
      <c r="E5229" s="2" t="s">
        <v>838</v>
      </c>
      <c r="F5229" s="2" t="s">
        <v>793</v>
      </c>
      <c r="G5229" s="2" t="s">
        <v>4614</v>
      </c>
      <c r="H5229" s="2" t="s">
        <v>850</v>
      </c>
      <c r="J5229" s="26"/>
      <c r="K5229" s="36">
        <v>1.071658E-2</v>
      </c>
      <c r="L5229" s="23">
        <v>5.3583000000000005E-4</v>
      </c>
    </row>
    <row r="5230" spans="1:12" ht="15.35" hidden="1" x14ac:dyDescent="0.55000000000000004">
      <c r="A5230" s="20">
        <v>14482</v>
      </c>
      <c r="B5230" s="2" t="s">
        <v>184</v>
      </c>
      <c r="C5230" s="2" t="s">
        <v>185</v>
      </c>
      <c r="D5230" s="20">
        <v>0</v>
      </c>
      <c r="E5230" s="2" t="s">
        <v>838</v>
      </c>
      <c r="F5230" s="2" t="s">
        <v>793</v>
      </c>
      <c r="G5230" s="2" t="s">
        <v>4615</v>
      </c>
      <c r="H5230" s="2" t="s">
        <v>850</v>
      </c>
      <c r="J5230" s="26"/>
      <c r="K5230" s="36">
        <v>1.89634E-3</v>
      </c>
      <c r="L5230" s="23">
        <v>9.4820000000000004E-5</v>
      </c>
    </row>
    <row r="5231" spans="1:12" ht="15.35" hidden="1" x14ac:dyDescent="0.55000000000000004">
      <c r="A5231" s="20">
        <v>14347</v>
      </c>
      <c r="B5231" s="2" t="s">
        <v>184</v>
      </c>
      <c r="C5231" s="2" t="s">
        <v>185</v>
      </c>
      <c r="D5231" s="20">
        <v>0</v>
      </c>
      <c r="E5231" s="2" t="s">
        <v>838</v>
      </c>
      <c r="F5231" s="2" t="s">
        <v>817</v>
      </c>
      <c r="G5231" s="2" t="s">
        <v>2907</v>
      </c>
      <c r="H5231" s="2" t="s">
        <v>810</v>
      </c>
      <c r="J5231" s="26"/>
      <c r="K5231" s="36">
        <v>2.940077E-2</v>
      </c>
      <c r="L5231" s="23">
        <v>1.4700399999999999E-3</v>
      </c>
    </row>
    <row r="5232" spans="1:12" ht="15.35" hidden="1" x14ac:dyDescent="0.55000000000000004">
      <c r="A5232" s="20">
        <v>14387</v>
      </c>
      <c r="B5232" s="2" t="s">
        <v>184</v>
      </c>
      <c r="C5232" s="2" t="s">
        <v>185</v>
      </c>
      <c r="D5232" s="20">
        <v>0</v>
      </c>
      <c r="E5232" s="2" t="s">
        <v>838</v>
      </c>
      <c r="F5232" s="2" t="s">
        <v>817</v>
      </c>
      <c r="G5232" s="2" t="s">
        <v>4187</v>
      </c>
      <c r="H5232" s="2" t="s">
        <v>810</v>
      </c>
      <c r="J5232" s="26"/>
      <c r="K5232" s="36">
        <v>1.1451599999999999E-2</v>
      </c>
      <c r="L5232" s="23">
        <v>5.7258000000000005E-4</v>
      </c>
    </row>
    <row r="5233" spans="1:12" ht="15.35" hidden="1" x14ac:dyDescent="0.55000000000000004">
      <c r="A5233" s="20">
        <v>14421</v>
      </c>
      <c r="B5233" s="2" t="s">
        <v>184</v>
      </c>
      <c r="C5233" s="2" t="s">
        <v>185</v>
      </c>
      <c r="D5233" s="20">
        <v>0</v>
      </c>
      <c r="E5233" s="2" t="s">
        <v>838</v>
      </c>
      <c r="F5233" s="2" t="s">
        <v>817</v>
      </c>
      <c r="G5233" s="2" t="s">
        <v>4472</v>
      </c>
      <c r="H5233" s="2" t="s">
        <v>810</v>
      </c>
      <c r="J5233" s="26"/>
      <c r="K5233" s="36">
        <v>5.2921299999999999E-3</v>
      </c>
      <c r="L5233" s="23">
        <v>2.6460999999999998E-4</v>
      </c>
    </row>
    <row r="5234" spans="1:12" ht="15.35" hidden="1" x14ac:dyDescent="0.55000000000000004">
      <c r="A5234" s="20">
        <v>14397</v>
      </c>
      <c r="B5234" s="2" t="s">
        <v>184</v>
      </c>
      <c r="C5234" s="2" t="s">
        <v>185</v>
      </c>
      <c r="D5234" s="20">
        <v>0</v>
      </c>
      <c r="E5234" s="2" t="s">
        <v>838</v>
      </c>
      <c r="F5234" s="2" t="s">
        <v>848</v>
      </c>
      <c r="G5234" s="2" t="s">
        <v>4616</v>
      </c>
      <c r="H5234" s="2" t="s">
        <v>2004</v>
      </c>
      <c r="J5234" s="26"/>
      <c r="K5234" s="36">
        <v>9.5405400000000001E-3</v>
      </c>
      <c r="L5234" s="23">
        <v>4.7702999999999998E-4</v>
      </c>
    </row>
    <row r="5235" spans="1:12" ht="15.35" hidden="1" x14ac:dyDescent="0.55000000000000004">
      <c r="A5235" s="20">
        <v>14339</v>
      </c>
      <c r="B5235" s="2" t="s">
        <v>184</v>
      </c>
      <c r="C5235" s="2" t="s">
        <v>185</v>
      </c>
      <c r="D5235" s="20">
        <v>0</v>
      </c>
      <c r="E5235" s="2" t="s">
        <v>838</v>
      </c>
      <c r="F5235" s="2" t="s">
        <v>787</v>
      </c>
      <c r="G5235" s="2" t="s">
        <v>1341</v>
      </c>
      <c r="H5235" s="2" t="s">
        <v>1341</v>
      </c>
      <c r="J5235" s="26"/>
      <c r="K5235" s="36">
        <v>3.8220999999999998E-2</v>
      </c>
      <c r="L5235" s="23">
        <v>1.9110500000000001E-3</v>
      </c>
    </row>
    <row r="5236" spans="1:12" ht="15.35" hidden="1" x14ac:dyDescent="0.55000000000000004">
      <c r="A5236" s="20">
        <v>14306</v>
      </c>
      <c r="B5236" s="2" t="s">
        <v>184</v>
      </c>
      <c r="C5236" s="2" t="s">
        <v>185</v>
      </c>
      <c r="D5236" s="20">
        <v>0</v>
      </c>
      <c r="E5236" s="2" t="s">
        <v>838</v>
      </c>
      <c r="F5236" s="2" t="s">
        <v>787</v>
      </c>
      <c r="G5236" s="2" t="s">
        <v>916</v>
      </c>
      <c r="H5236" s="2" t="s">
        <v>916</v>
      </c>
      <c r="J5236" s="26"/>
      <c r="K5236" s="36">
        <v>5.1452850000000001E-2</v>
      </c>
      <c r="L5236" s="23">
        <v>2.5726400000000002E-3</v>
      </c>
    </row>
    <row r="5237" spans="1:12" ht="15.35" hidden="1" x14ac:dyDescent="0.55000000000000004">
      <c r="A5237" s="20">
        <v>14423</v>
      </c>
      <c r="B5237" s="2" t="s">
        <v>184</v>
      </c>
      <c r="C5237" s="2" t="s">
        <v>185</v>
      </c>
      <c r="D5237" s="20">
        <v>0</v>
      </c>
      <c r="E5237" s="2" t="s">
        <v>838</v>
      </c>
      <c r="F5237" s="2" t="s">
        <v>793</v>
      </c>
      <c r="G5237" s="2" t="s">
        <v>979</v>
      </c>
      <c r="H5237" s="2" t="s">
        <v>979</v>
      </c>
      <c r="J5237" s="26"/>
      <c r="K5237" s="36">
        <v>4.70412E-3</v>
      </c>
      <c r="L5237" s="23">
        <v>2.3520999999999999E-4</v>
      </c>
    </row>
    <row r="5238" spans="1:12" ht="15.35" hidden="1" x14ac:dyDescent="0.55000000000000004">
      <c r="A5238" s="20">
        <v>14572</v>
      </c>
      <c r="B5238" s="2" t="s">
        <v>184</v>
      </c>
      <c r="C5238" s="2" t="s">
        <v>185</v>
      </c>
      <c r="D5238" s="20">
        <v>0</v>
      </c>
      <c r="E5238" s="2" t="s">
        <v>838</v>
      </c>
      <c r="F5238" s="2" t="s">
        <v>817</v>
      </c>
      <c r="G5238" s="2" t="s">
        <v>1057</v>
      </c>
      <c r="H5238" s="2" t="s">
        <v>1056</v>
      </c>
      <c r="J5238" s="26"/>
      <c r="K5238" s="36">
        <v>1.47E-4</v>
      </c>
      <c r="L5238" s="23">
        <v>7.3499999999999999E-6</v>
      </c>
    </row>
    <row r="5239" spans="1:12" ht="15.35" hidden="1" x14ac:dyDescent="0.55000000000000004">
      <c r="A5239" s="20">
        <v>14409</v>
      </c>
      <c r="B5239" s="2" t="s">
        <v>184</v>
      </c>
      <c r="C5239" s="2" t="s">
        <v>185</v>
      </c>
      <c r="D5239" s="20">
        <v>0</v>
      </c>
      <c r="E5239" s="2" t="s">
        <v>838</v>
      </c>
      <c r="F5239" s="2" t="s">
        <v>817</v>
      </c>
      <c r="G5239" s="2" t="s">
        <v>4617</v>
      </c>
      <c r="H5239" s="2" t="s">
        <v>1056</v>
      </c>
      <c r="J5239" s="26"/>
      <c r="K5239" s="36">
        <v>7.3501900000000004E-3</v>
      </c>
      <c r="L5239" s="23">
        <v>3.6750999999999998E-4</v>
      </c>
    </row>
    <row r="5240" spans="1:12" ht="15.35" hidden="1" x14ac:dyDescent="0.55000000000000004">
      <c r="A5240" s="20">
        <v>14539</v>
      </c>
      <c r="B5240" s="2" t="s">
        <v>184</v>
      </c>
      <c r="C5240" s="2" t="s">
        <v>185</v>
      </c>
      <c r="D5240" s="20">
        <v>0</v>
      </c>
      <c r="E5240" s="2" t="s">
        <v>838</v>
      </c>
      <c r="F5240" s="2" t="s">
        <v>817</v>
      </c>
      <c r="G5240" s="2" t="s">
        <v>1058</v>
      </c>
      <c r="H5240" s="2" t="s">
        <v>1056</v>
      </c>
      <c r="J5240" s="26"/>
      <c r="K5240" s="36">
        <v>6.1740999999999999E-4</v>
      </c>
      <c r="L5240" s="23">
        <v>3.0870000000000001E-5</v>
      </c>
    </row>
    <row r="5241" spans="1:12" ht="15.35" hidden="1" x14ac:dyDescent="0.55000000000000004">
      <c r="A5241" s="20">
        <v>14512</v>
      </c>
      <c r="B5241" s="2" t="s">
        <v>184</v>
      </c>
      <c r="C5241" s="2" t="s">
        <v>185</v>
      </c>
      <c r="D5241" s="20">
        <v>0</v>
      </c>
      <c r="E5241" s="2" t="s">
        <v>838</v>
      </c>
      <c r="F5241" s="2" t="s">
        <v>817</v>
      </c>
      <c r="G5241" s="2" t="s">
        <v>1059</v>
      </c>
      <c r="H5241" s="2" t="s">
        <v>1056</v>
      </c>
      <c r="J5241" s="26"/>
      <c r="K5241" s="36">
        <v>1.08782E-3</v>
      </c>
      <c r="L5241" s="23">
        <v>5.4389999999999999E-5</v>
      </c>
    </row>
    <row r="5242" spans="1:12" ht="15.35" hidden="1" x14ac:dyDescent="0.55000000000000004">
      <c r="A5242" s="20">
        <v>14442</v>
      </c>
      <c r="B5242" s="2" t="s">
        <v>184</v>
      </c>
      <c r="C5242" s="2" t="s">
        <v>185</v>
      </c>
      <c r="D5242" s="20">
        <v>0</v>
      </c>
      <c r="E5242" s="2" t="s">
        <v>838</v>
      </c>
      <c r="F5242" s="2" t="s">
        <v>811</v>
      </c>
      <c r="G5242" s="2" t="s">
        <v>2918</v>
      </c>
      <c r="H5242" s="2" t="s">
        <v>1062</v>
      </c>
      <c r="J5242" s="26"/>
      <c r="K5242" s="36">
        <v>3.6750900000000002E-3</v>
      </c>
      <c r="L5242" s="23">
        <v>1.8374999999999999E-4</v>
      </c>
    </row>
    <row r="5243" spans="1:12" ht="15.35" hidden="1" x14ac:dyDescent="0.55000000000000004">
      <c r="A5243" s="20">
        <v>14441</v>
      </c>
      <c r="B5243" s="2" t="s">
        <v>184</v>
      </c>
      <c r="C5243" s="2" t="s">
        <v>185</v>
      </c>
      <c r="D5243" s="20">
        <v>0</v>
      </c>
      <c r="E5243" s="2" t="s">
        <v>838</v>
      </c>
      <c r="F5243" s="2" t="s">
        <v>783</v>
      </c>
      <c r="G5243" s="2" t="s">
        <v>1061</v>
      </c>
      <c r="H5243" s="2" t="s">
        <v>1062</v>
      </c>
      <c r="J5243" s="26"/>
      <c r="K5243" s="36">
        <v>3.6750900000000002E-3</v>
      </c>
      <c r="L5243" s="23">
        <v>1.8374999999999999E-4</v>
      </c>
    </row>
    <row r="5244" spans="1:12" ht="15.35" hidden="1" x14ac:dyDescent="0.55000000000000004">
      <c r="A5244" s="20">
        <v>14420</v>
      </c>
      <c r="B5244" s="2" t="s">
        <v>184</v>
      </c>
      <c r="C5244" s="2" t="s">
        <v>185</v>
      </c>
      <c r="D5244" s="20">
        <v>0</v>
      </c>
      <c r="E5244" s="2" t="s">
        <v>838</v>
      </c>
      <c r="F5244" s="2" t="s">
        <v>811</v>
      </c>
      <c r="G5244" s="2" t="s">
        <v>3662</v>
      </c>
      <c r="H5244" s="2" t="s">
        <v>1062</v>
      </c>
      <c r="J5244" s="26"/>
      <c r="K5244" s="36">
        <v>5.8801499999999998E-3</v>
      </c>
      <c r="L5244" s="23">
        <v>2.9400999999999999E-4</v>
      </c>
    </row>
    <row r="5245" spans="1:12" ht="15.35" hidden="1" x14ac:dyDescent="0.55000000000000004">
      <c r="A5245" s="20">
        <v>14475</v>
      </c>
      <c r="B5245" s="2" t="s">
        <v>184</v>
      </c>
      <c r="C5245" s="2" t="s">
        <v>185</v>
      </c>
      <c r="D5245" s="20">
        <v>0</v>
      </c>
      <c r="E5245" s="2" t="s">
        <v>838</v>
      </c>
      <c r="F5245" s="2" t="s">
        <v>811</v>
      </c>
      <c r="G5245" s="2" t="s">
        <v>4618</v>
      </c>
      <c r="H5245" s="2" t="s">
        <v>1062</v>
      </c>
      <c r="J5245" s="26"/>
      <c r="K5245" s="36">
        <v>1.9110500000000001E-3</v>
      </c>
      <c r="L5245" s="23">
        <v>9.5550000000000005E-5</v>
      </c>
    </row>
    <row r="5246" spans="1:12" ht="15.35" hidden="1" x14ac:dyDescent="0.55000000000000004">
      <c r="A5246" s="20">
        <v>14561</v>
      </c>
      <c r="B5246" s="2" t="s">
        <v>184</v>
      </c>
      <c r="C5246" s="2" t="s">
        <v>185</v>
      </c>
      <c r="D5246" s="20">
        <v>0</v>
      </c>
      <c r="E5246" s="2" t="s">
        <v>838</v>
      </c>
      <c r="F5246" s="2" t="s">
        <v>811</v>
      </c>
      <c r="G5246" s="2" t="s">
        <v>2920</v>
      </c>
      <c r="H5246" s="2" t="s">
        <v>1062</v>
      </c>
      <c r="J5246" s="26"/>
      <c r="K5246" s="36">
        <v>2.9399999999999999E-4</v>
      </c>
      <c r="L5246" s="23">
        <v>1.47E-5</v>
      </c>
    </row>
    <row r="5247" spans="1:12" ht="15.35" hidden="1" x14ac:dyDescent="0.55000000000000004">
      <c r="A5247" s="20">
        <v>14462</v>
      </c>
      <c r="B5247" s="2" t="s">
        <v>184</v>
      </c>
      <c r="C5247" s="2" t="s">
        <v>185</v>
      </c>
      <c r="D5247" s="20">
        <v>0</v>
      </c>
      <c r="E5247" s="2" t="s">
        <v>838</v>
      </c>
      <c r="F5247" s="2" t="s">
        <v>811</v>
      </c>
      <c r="G5247" s="2" t="s">
        <v>1063</v>
      </c>
      <c r="H5247" s="2" t="s">
        <v>1062</v>
      </c>
      <c r="J5247" s="26"/>
      <c r="K5247" s="36">
        <v>2.9400699999999999E-3</v>
      </c>
      <c r="L5247" s="23">
        <v>1.47E-4</v>
      </c>
    </row>
    <row r="5248" spans="1:12" ht="15.35" hidden="1" x14ac:dyDescent="0.55000000000000004">
      <c r="A5248" s="20">
        <v>14446</v>
      </c>
      <c r="B5248" s="2" t="s">
        <v>184</v>
      </c>
      <c r="C5248" s="2" t="s">
        <v>185</v>
      </c>
      <c r="D5248" s="20">
        <v>0</v>
      </c>
      <c r="E5248" s="2" t="s">
        <v>838</v>
      </c>
      <c r="F5248" s="2" t="s">
        <v>811</v>
      </c>
      <c r="G5248" s="2" t="s">
        <v>1067</v>
      </c>
      <c r="H5248" s="2" t="s">
        <v>1062</v>
      </c>
      <c r="J5248" s="26"/>
      <c r="K5248" s="36">
        <v>3.6750900000000002E-3</v>
      </c>
      <c r="L5248" s="23">
        <v>1.8374999999999999E-4</v>
      </c>
    </row>
    <row r="5249" spans="1:12" ht="15.35" hidden="1" x14ac:dyDescent="0.55000000000000004">
      <c r="A5249" s="20">
        <v>14416</v>
      </c>
      <c r="B5249" s="2" t="s">
        <v>184</v>
      </c>
      <c r="C5249" s="2" t="s">
        <v>185</v>
      </c>
      <c r="D5249" s="20">
        <v>0</v>
      </c>
      <c r="E5249" s="2" t="s">
        <v>838</v>
      </c>
      <c r="F5249" s="2" t="s">
        <v>811</v>
      </c>
      <c r="G5249" s="2" t="s">
        <v>2925</v>
      </c>
      <c r="H5249" s="2" t="s">
        <v>1062</v>
      </c>
      <c r="J5249" s="26"/>
      <c r="K5249" s="36">
        <v>5.8801499999999998E-3</v>
      </c>
      <c r="L5249" s="23">
        <v>2.9400999999999999E-4</v>
      </c>
    </row>
    <row r="5250" spans="1:12" ht="15.35" hidden="1" x14ac:dyDescent="0.55000000000000004">
      <c r="A5250" s="20">
        <v>14417</v>
      </c>
      <c r="B5250" s="2" t="s">
        <v>184</v>
      </c>
      <c r="C5250" s="2" t="s">
        <v>185</v>
      </c>
      <c r="D5250" s="20">
        <v>0</v>
      </c>
      <c r="E5250" s="2" t="s">
        <v>838</v>
      </c>
      <c r="F5250" s="2" t="s">
        <v>811</v>
      </c>
      <c r="G5250" s="2" t="s">
        <v>1075</v>
      </c>
      <c r="H5250" s="2" t="s">
        <v>1062</v>
      </c>
      <c r="J5250" s="26"/>
      <c r="K5250" s="36">
        <v>5.8801499999999998E-3</v>
      </c>
      <c r="L5250" s="23">
        <v>2.9400999999999999E-4</v>
      </c>
    </row>
    <row r="5251" spans="1:12" ht="15.35" hidden="1" x14ac:dyDescent="0.55000000000000004">
      <c r="A5251" s="20">
        <v>14458</v>
      </c>
      <c r="B5251" s="2" t="s">
        <v>184</v>
      </c>
      <c r="C5251" s="2" t="s">
        <v>185</v>
      </c>
      <c r="D5251" s="20">
        <v>0</v>
      </c>
      <c r="E5251" s="2" t="s">
        <v>838</v>
      </c>
      <c r="F5251" s="2" t="s">
        <v>811</v>
      </c>
      <c r="G5251" s="2" t="s">
        <v>1076</v>
      </c>
      <c r="H5251" s="2" t="s">
        <v>1062</v>
      </c>
      <c r="J5251" s="26"/>
      <c r="K5251" s="36">
        <v>2.9400699999999999E-3</v>
      </c>
      <c r="L5251" s="23">
        <v>1.47E-4</v>
      </c>
    </row>
    <row r="5252" spans="1:12" ht="15.35" hidden="1" x14ac:dyDescent="0.55000000000000004">
      <c r="A5252" s="20">
        <v>14501</v>
      </c>
      <c r="B5252" s="2" t="s">
        <v>184</v>
      </c>
      <c r="C5252" s="2" t="s">
        <v>185</v>
      </c>
      <c r="D5252" s="20">
        <v>0</v>
      </c>
      <c r="E5252" s="2" t="s">
        <v>838</v>
      </c>
      <c r="F5252" s="2" t="s">
        <v>811</v>
      </c>
      <c r="G5252" s="2" t="s">
        <v>1078</v>
      </c>
      <c r="H5252" s="2" t="s">
        <v>1062</v>
      </c>
      <c r="J5252" s="26"/>
      <c r="K5252" s="36">
        <v>1.32303E-3</v>
      </c>
      <c r="L5252" s="23">
        <v>6.6149999999999995E-5</v>
      </c>
    </row>
    <row r="5253" spans="1:12" ht="15.35" hidden="1" x14ac:dyDescent="0.55000000000000004">
      <c r="A5253" s="20">
        <v>14480</v>
      </c>
      <c r="B5253" s="2" t="s">
        <v>184</v>
      </c>
      <c r="C5253" s="2" t="s">
        <v>185</v>
      </c>
      <c r="D5253" s="20">
        <v>0</v>
      </c>
      <c r="E5253" s="2" t="s">
        <v>838</v>
      </c>
      <c r="F5253" s="2" t="s">
        <v>811</v>
      </c>
      <c r="G5253" s="2" t="s">
        <v>1084</v>
      </c>
      <c r="H5253" s="2" t="s">
        <v>1062</v>
      </c>
      <c r="J5253" s="26"/>
      <c r="K5253" s="36">
        <v>1.9110500000000001E-3</v>
      </c>
      <c r="L5253" s="23">
        <v>9.5550000000000005E-5</v>
      </c>
    </row>
    <row r="5254" spans="1:12" ht="15.35" hidden="1" x14ac:dyDescent="0.55000000000000004">
      <c r="A5254" s="20">
        <v>14506</v>
      </c>
      <c r="B5254" s="2" t="s">
        <v>184</v>
      </c>
      <c r="C5254" s="2" t="s">
        <v>185</v>
      </c>
      <c r="D5254" s="20">
        <v>0</v>
      </c>
      <c r="E5254" s="2" t="s">
        <v>838</v>
      </c>
      <c r="F5254" s="2" t="s">
        <v>811</v>
      </c>
      <c r="G5254" s="2" t="s">
        <v>4619</v>
      </c>
      <c r="H5254" s="2" t="s">
        <v>1062</v>
      </c>
      <c r="J5254" s="26"/>
      <c r="K5254" s="36">
        <v>1.17603E-3</v>
      </c>
      <c r="L5254" s="23">
        <v>5.8799999999999999E-5</v>
      </c>
    </row>
    <row r="5255" spans="1:12" ht="15.35" hidden="1" x14ac:dyDescent="0.55000000000000004">
      <c r="A5255" s="20">
        <v>14312</v>
      </c>
      <c r="B5255" s="2" t="s">
        <v>184</v>
      </c>
      <c r="C5255" s="2" t="s">
        <v>185</v>
      </c>
      <c r="D5255" s="20">
        <v>0</v>
      </c>
      <c r="E5255" s="2" t="s">
        <v>838</v>
      </c>
      <c r="F5255" s="2" t="s">
        <v>848</v>
      </c>
      <c r="G5255" s="2" t="s">
        <v>4473</v>
      </c>
      <c r="H5255" s="2" t="s">
        <v>4473</v>
      </c>
      <c r="J5255" s="26"/>
      <c r="K5255" s="36">
        <v>5.1451339999999998E-2</v>
      </c>
      <c r="L5255" s="23">
        <v>2.5725700000000002E-3</v>
      </c>
    </row>
    <row r="5256" spans="1:12" ht="15.35" hidden="1" x14ac:dyDescent="0.55000000000000004">
      <c r="A5256" s="20">
        <v>14313</v>
      </c>
      <c r="B5256" s="2" t="s">
        <v>184</v>
      </c>
      <c r="C5256" s="2" t="s">
        <v>185</v>
      </c>
      <c r="D5256" s="20">
        <v>0</v>
      </c>
      <c r="E5256" s="2" t="s">
        <v>838</v>
      </c>
      <c r="F5256" s="2" t="s">
        <v>793</v>
      </c>
      <c r="G5256" s="2" t="s">
        <v>4474</v>
      </c>
      <c r="H5256" s="2" t="s">
        <v>2008</v>
      </c>
      <c r="J5256" s="26"/>
      <c r="K5256" s="36">
        <v>5.1451339999999998E-2</v>
      </c>
      <c r="L5256" s="23">
        <v>2.5725700000000002E-3</v>
      </c>
    </row>
    <row r="5257" spans="1:12" ht="15.35" hidden="1" x14ac:dyDescent="0.55000000000000004">
      <c r="A5257" s="20">
        <v>14388</v>
      </c>
      <c r="B5257" s="2" t="s">
        <v>184</v>
      </c>
      <c r="C5257" s="2" t="s">
        <v>185</v>
      </c>
      <c r="D5257" s="20">
        <v>0</v>
      </c>
      <c r="E5257" s="2" t="s">
        <v>838</v>
      </c>
      <c r="F5257" s="2" t="s">
        <v>817</v>
      </c>
      <c r="G5257" s="2" t="s">
        <v>3675</v>
      </c>
      <c r="H5257" s="2" t="s">
        <v>2010</v>
      </c>
      <c r="J5257" s="26"/>
      <c r="K5257" s="36">
        <v>1.102528E-2</v>
      </c>
      <c r="L5257" s="23">
        <v>5.5126000000000003E-4</v>
      </c>
    </row>
    <row r="5258" spans="1:12" ht="15.35" hidden="1" x14ac:dyDescent="0.55000000000000004">
      <c r="A5258" s="20">
        <v>14550</v>
      </c>
      <c r="B5258" s="2" t="s">
        <v>184</v>
      </c>
      <c r="C5258" s="2" t="s">
        <v>185</v>
      </c>
      <c r="D5258" s="20">
        <v>0</v>
      </c>
      <c r="E5258" s="2" t="s">
        <v>838</v>
      </c>
      <c r="F5258" s="2" t="s">
        <v>817</v>
      </c>
      <c r="G5258" s="2" t="s">
        <v>4475</v>
      </c>
      <c r="H5258" s="2" t="s">
        <v>2010</v>
      </c>
      <c r="J5258" s="26"/>
      <c r="K5258" s="36">
        <v>4.2631E-4</v>
      </c>
      <c r="L5258" s="23">
        <v>2.1319999999999999E-5</v>
      </c>
    </row>
    <row r="5259" spans="1:12" ht="15.35" hidden="1" x14ac:dyDescent="0.55000000000000004">
      <c r="A5259" s="20">
        <v>14497</v>
      </c>
      <c r="B5259" s="2" t="s">
        <v>184</v>
      </c>
      <c r="C5259" s="2" t="s">
        <v>185</v>
      </c>
      <c r="D5259" s="20">
        <v>0</v>
      </c>
      <c r="E5259" s="2" t="s">
        <v>838</v>
      </c>
      <c r="F5259" s="2" t="s">
        <v>817</v>
      </c>
      <c r="G5259" s="2" t="s">
        <v>4620</v>
      </c>
      <c r="H5259" s="2" t="s">
        <v>2010</v>
      </c>
      <c r="J5259" s="26"/>
      <c r="K5259" s="36">
        <v>1.47003E-3</v>
      </c>
      <c r="L5259" s="23">
        <v>7.3499999999999998E-5</v>
      </c>
    </row>
    <row r="5260" spans="1:12" ht="15.35" hidden="1" x14ac:dyDescent="0.55000000000000004">
      <c r="A5260" s="20">
        <v>14502</v>
      </c>
      <c r="B5260" s="2" t="s">
        <v>184</v>
      </c>
      <c r="C5260" s="2" t="s">
        <v>185</v>
      </c>
      <c r="D5260" s="20">
        <v>0</v>
      </c>
      <c r="E5260" s="2" t="s">
        <v>838</v>
      </c>
      <c r="F5260" s="2" t="s">
        <v>817</v>
      </c>
      <c r="G5260" s="2" t="s">
        <v>4621</v>
      </c>
      <c r="H5260" s="2" t="s">
        <v>2010</v>
      </c>
      <c r="J5260" s="26"/>
      <c r="K5260" s="36">
        <v>1.32303E-3</v>
      </c>
      <c r="L5260" s="23">
        <v>6.6149999999999995E-5</v>
      </c>
    </row>
    <row r="5261" spans="1:12" ht="15.35" hidden="1" x14ac:dyDescent="0.55000000000000004">
      <c r="A5261" s="20">
        <v>14507</v>
      </c>
      <c r="B5261" s="2" t="s">
        <v>184</v>
      </c>
      <c r="C5261" s="2" t="s">
        <v>185</v>
      </c>
      <c r="D5261" s="20">
        <v>0</v>
      </c>
      <c r="E5261" s="2" t="s">
        <v>838</v>
      </c>
      <c r="F5261" s="2" t="s">
        <v>817</v>
      </c>
      <c r="G5261" s="2" t="s">
        <v>4622</v>
      </c>
      <c r="H5261" s="2" t="s">
        <v>2010</v>
      </c>
      <c r="J5261" s="26"/>
      <c r="K5261" s="36">
        <v>1.17603E-3</v>
      </c>
      <c r="L5261" s="23">
        <v>5.8799999999999999E-5</v>
      </c>
    </row>
    <row r="5262" spans="1:12" ht="15.35" hidden="1" x14ac:dyDescent="0.55000000000000004">
      <c r="A5262" s="20">
        <v>14429</v>
      </c>
      <c r="B5262" s="2" t="s">
        <v>184</v>
      </c>
      <c r="C5262" s="2" t="s">
        <v>185</v>
      </c>
      <c r="D5262" s="20">
        <v>0</v>
      </c>
      <c r="E5262" s="2" t="s">
        <v>838</v>
      </c>
      <c r="F5262" s="2" t="s">
        <v>817</v>
      </c>
      <c r="G5262" s="2" t="s">
        <v>4623</v>
      </c>
      <c r="H5262" s="2" t="s">
        <v>2010</v>
      </c>
      <c r="J5262" s="26"/>
      <c r="K5262" s="36">
        <v>4.4101100000000001E-3</v>
      </c>
      <c r="L5262" s="23">
        <v>2.2050999999999999E-4</v>
      </c>
    </row>
    <row r="5263" spans="1:12" ht="15.35" hidden="1" x14ac:dyDescent="0.55000000000000004">
      <c r="A5263" s="20">
        <v>14427</v>
      </c>
      <c r="B5263" s="2" t="s">
        <v>184</v>
      </c>
      <c r="C5263" s="2" t="s">
        <v>185</v>
      </c>
      <c r="D5263" s="20">
        <v>0</v>
      </c>
      <c r="E5263" s="2" t="s">
        <v>838</v>
      </c>
      <c r="F5263" s="2" t="s">
        <v>817</v>
      </c>
      <c r="G5263" s="2" t="s">
        <v>4624</v>
      </c>
      <c r="H5263" s="2" t="s">
        <v>2010</v>
      </c>
      <c r="J5263" s="26"/>
      <c r="K5263" s="36">
        <v>4.4101100000000001E-3</v>
      </c>
      <c r="L5263" s="23">
        <v>2.2050999999999999E-4</v>
      </c>
    </row>
    <row r="5264" spans="1:12" ht="15.35" hidden="1" x14ac:dyDescent="0.55000000000000004">
      <c r="A5264" s="20">
        <v>14546</v>
      </c>
      <c r="B5264" s="2" t="s">
        <v>184</v>
      </c>
      <c r="C5264" s="2" t="s">
        <v>185</v>
      </c>
      <c r="D5264" s="20">
        <v>0</v>
      </c>
      <c r="E5264" s="2" t="s">
        <v>838</v>
      </c>
      <c r="F5264" s="2" t="s">
        <v>817</v>
      </c>
      <c r="G5264" s="2" t="s">
        <v>2928</v>
      </c>
      <c r="H5264" s="2" t="s">
        <v>2010</v>
      </c>
      <c r="J5264" s="26"/>
      <c r="K5264" s="36">
        <v>5.5860999999999997E-4</v>
      </c>
      <c r="L5264" s="23">
        <v>2.7929999999999999E-5</v>
      </c>
    </row>
    <row r="5265" spans="1:12" ht="15.35" hidden="1" x14ac:dyDescent="0.55000000000000004">
      <c r="A5265" s="20">
        <v>14373</v>
      </c>
      <c r="B5265" s="2" t="s">
        <v>184</v>
      </c>
      <c r="C5265" s="2" t="s">
        <v>185</v>
      </c>
      <c r="D5265" s="20">
        <v>0</v>
      </c>
      <c r="E5265" s="2" t="s">
        <v>838</v>
      </c>
      <c r="F5265" s="2" t="s">
        <v>793</v>
      </c>
      <c r="G5265" s="2" t="s">
        <v>4625</v>
      </c>
      <c r="H5265" s="2" t="s">
        <v>4626</v>
      </c>
      <c r="J5265" s="26"/>
      <c r="K5265" s="36">
        <v>1.5288400000000001E-2</v>
      </c>
      <c r="L5265" s="23">
        <v>7.6442000000000003E-4</v>
      </c>
    </row>
    <row r="5266" spans="1:12" ht="15.35" hidden="1" x14ac:dyDescent="0.55000000000000004">
      <c r="A5266" s="20">
        <v>14354</v>
      </c>
      <c r="B5266" s="2" t="s">
        <v>184</v>
      </c>
      <c r="C5266" s="2" t="s">
        <v>185</v>
      </c>
      <c r="D5266" s="20">
        <v>0</v>
      </c>
      <c r="E5266" s="2" t="s">
        <v>838</v>
      </c>
      <c r="F5266" s="2" t="s">
        <v>848</v>
      </c>
      <c r="G5266" s="2" t="s">
        <v>924</v>
      </c>
      <c r="H5266" s="2" t="s">
        <v>924</v>
      </c>
      <c r="J5266" s="26"/>
      <c r="K5266" s="36">
        <v>2.6460689999999999E-2</v>
      </c>
      <c r="L5266" s="23">
        <v>1.32303E-3</v>
      </c>
    </row>
    <row r="5267" spans="1:12" ht="15.35" hidden="1" x14ac:dyDescent="0.55000000000000004">
      <c r="A5267" s="20">
        <v>14503</v>
      </c>
      <c r="B5267" s="2" t="s">
        <v>184</v>
      </c>
      <c r="C5267" s="2" t="s">
        <v>185</v>
      </c>
      <c r="D5267" s="20">
        <v>0</v>
      </c>
      <c r="E5267" s="2" t="s">
        <v>838</v>
      </c>
      <c r="F5267" s="2" t="s">
        <v>793</v>
      </c>
      <c r="G5267" s="2" t="s">
        <v>3683</v>
      </c>
      <c r="H5267" s="2" t="s">
        <v>926</v>
      </c>
      <c r="J5267" s="26"/>
      <c r="K5267" s="36">
        <v>1.24953E-3</v>
      </c>
      <c r="L5267" s="23">
        <v>6.2479999999999998E-5</v>
      </c>
    </row>
    <row r="5268" spans="1:12" ht="15.35" hidden="1" x14ac:dyDescent="0.55000000000000004">
      <c r="A5268" s="20">
        <v>14521</v>
      </c>
      <c r="B5268" s="2" t="s">
        <v>184</v>
      </c>
      <c r="C5268" s="2" t="s">
        <v>185</v>
      </c>
      <c r="D5268" s="20">
        <v>0</v>
      </c>
      <c r="E5268" s="2" t="s">
        <v>838</v>
      </c>
      <c r="F5268" s="2" t="s">
        <v>793</v>
      </c>
      <c r="G5268" s="2" t="s">
        <v>4627</v>
      </c>
      <c r="H5268" s="2" t="s">
        <v>1191</v>
      </c>
      <c r="J5268" s="26"/>
      <c r="K5268" s="36">
        <v>7.4971E-4</v>
      </c>
      <c r="L5268" s="23">
        <v>3.7490000000000002E-5</v>
      </c>
    </row>
    <row r="5269" spans="1:12" ht="15.35" hidden="1" x14ac:dyDescent="0.55000000000000004">
      <c r="A5269" s="20">
        <v>14518</v>
      </c>
      <c r="B5269" s="2" t="s">
        <v>184</v>
      </c>
      <c r="C5269" s="2" t="s">
        <v>185</v>
      </c>
      <c r="D5269" s="20">
        <v>0</v>
      </c>
      <c r="E5269" s="2" t="s">
        <v>838</v>
      </c>
      <c r="F5269" s="2" t="s">
        <v>793</v>
      </c>
      <c r="G5269" s="2" t="s">
        <v>4628</v>
      </c>
      <c r="H5269" s="2" t="s">
        <v>1191</v>
      </c>
      <c r="J5269" s="26"/>
      <c r="K5269" s="36">
        <v>8.0851999999999996E-4</v>
      </c>
      <c r="L5269" s="23">
        <v>4.0429999999999997E-5</v>
      </c>
    </row>
    <row r="5270" spans="1:12" ht="15.35" hidden="1" x14ac:dyDescent="0.55000000000000004">
      <c r="A5270" s="20">
        <v>14519</v>
      </c>
      <c r="B5270" s="2" t="s">
        <v>184</v>
      </c>
      <c r="C5270" s="2" t="s">
        <v>185</v>
      </c>
      <c r="D5270" s="20">
        <v>0</v>
      </c>
      <c r="E5270" s="2" t="s">
        <v>838</v>
      </c>
      <c r="F5270" s="2" t="s">
        <v>793</v>
      </c>
      <c r="G5270" s="2" t="s">
        <v>4629</v>
      </c>
      <c r="H5270" s="2" t="s">
        <v>1191</v>
      </c>
      <c r="J5270" s="26"/>
      <c r="K5270" s="36">
        <v>8.0851999999999996E-4</v>
      </c>
      <c r="L5270" s="23">
        <v>4.0429999999999997E-5</v>
      </c>
    </row>
    <row r="5271" spans="1:12" ht="15.35" hidden="1" x14ac:dyDescent="0.55000000000000004">
      <c r="A5271" s="20">
        <v>14402</v>
      </c>
      <c r="B5271" s="2" t="s">
        <v>184</v>
      </c>
      <c r="C5271" s="2" t="s">
        <v>185</v>
      </c>
      <c r="D5271" s="20">
        <v>0</v>
      </c>
      <c r="E5271" s="2" t="s">
        <v>838</v>
      </c>
      <c r="F5271" s="2" t="s">
        <v>793</v>
      </c>
      <c r="G5271" s="2" t="s">
        <v>4630</v>
      </c>
      <c r="H5271" s="2" t="s">
        <v>1191</v>
      </c>
      <c r="J5271" s="26"/>
      <c r="K5271" s="36">
        <v>8.9672299999999996E-3</v>
      </c>
      <c r="L5271" s="23">
        <v>4.4836000000000002E-4</v>
      </c>
    </row>
    <row r="5272" spans="1:12" ht="15.35" hidden="1" x14ac:dyDescent="0.55000000000000004">
      <c r="A5272" s="20">
        <v>14403</v>
      </c>
      <c r="B5272" s="2" t="s">
        <v>184</v>
      </c>
      <c r="C5272" s="2" t="s">
        <v>185</v>
      </c>
      <c r="D5272" s="20">
        <v>0</v>
      </c>
      <c r="E5272" s="2" t="s">
        <v>838</v>
      </c>
      <c r="F5272" s="2" t="s">
        <v>793</v>
      </c>
      <c r="G5272" s="2" t="s">
        <v>4631</v>
      </c>
      <c r="H5272" s="2" t="s">
        <v>1191</v>
      </c>
      <c r="J5272" s="26"/>
      <c r="K5272" s="36">
        <v>8.9231299999999996E-3</v>
      </c>
      <c r="L5272" s="23">
        <v>4.4616000000000002E-4</v>
      </c>
    </row>
    <row r="5273" spans="1:12" ht="15.35" hidden="1" x14ac:dyDescent="0.55000000000000004">
      <c r="A5273" s="20">
        <v>14401</v>
      </c>
      <c r="B5273" s="2" t="s">
        <v>184</v>
      </c>
      <c r="C5273" s="2" t="s">
        <v>185</v>
      </c>
      <c r="D5273" s="20">
        <v>0</v>
      </c>
      <c r="E5273" s="2" t="s">
        <v>838</v>
      </c>
      <c r="F5273" s="2" t="s">
        <v>793</v>
      </c>
      <c r="G5273" s="2" t="s">
        <v>4632</v>
      </c>
      <c r="H5273" s="2" t="s">
        <v>1191</v>
      </c>
      <c r="J5273" s="26"/>
      <c r="K5273" s="36">
        <v>9.1142299999999992E-3</v>
      </c>
      <c r="L5273" s="23">
        <v>4.5571000000000001E-4</v>
      </c>
    </row>
    <row r="5274" spans="1:12" ht="15.35" hidden="1" x14ac:dyDescent="0.55000000000000004">
      <c r="A5274" s="20">
        <v>14500</v>
      </c>
      <c r="B5274" s="2" t="s">
        <v>184</v>
      </c>
      <c r="C5274" s="2" t="s">
        <v>185</v>
      </c>
      <c r="D5274" s="20">
        <v>0</v>
      </c>
      <c r="E5274" s="2" t="s">
        <v>838</v>
      </c>
      <c r="F5274" s="2" t="s">
        <v>793</v>
      </c>
      <c r="G5274" s="2" t="s">
        <v>4633</v>
      </c>
      <c r="H5274" s="2" t="s">
        <v>1191</v>
      </c>
      <c r="J5274" s="26"/>
      <c r="K5274" s="36">
        <v>1.36713E-3</v>
      </c>
      <c r="L5274" s="23">
        <v>6.8360000000000003E-5</v>
      </c>
    </row>
    <row r="5275" spans="1:12" ht="15.35" hidden="1" x14ac:dyDescent="0.55000000000000004">
      <c r="A5275" s="20">
        <v>14471</v>
      </c>
      <c r="B5275" s="2" t="s">
        <v>184</v>
      </c>
      <c r="C5275" s="2" t="s">
        <v>185</v>
      </c>
      <c r="D5275" s="20">
        <v>0</v>
      </c>
      <c r="E5275" s="2" t="s">
        <v>838</v>
      </c>
      <c r="F5275" s="2" t="s">
        <v>793</v>
      </c>
      <c r="G5275" s="2" t="s">
        <v>4634</v>
      </c>
      <c r="H5275" s="2" t="s">
        <v>1191</v>
      </c>
      <c r="J5275" s="26"/>
      <c r="K5275" s="36">
        <v>2.2785499999999998E-3</v>
      </c>
      <c r="L5275" s="23">
        <v>1.1393E-4</v>
      </c>
    </row>
    <row r="5276" spans="1:12" ht="15.35" hidden="1" x14ac:dyDescent="0.55000000000000004">
      <c r="A5276" s="20">
        <v>14372</v>
      </c>
      <c r="B5276" s="2" t="s">
        <v>184</v>
      </c>
      <c r="C5276" s="2" t="s">
        <v>185</v>
      </c>
      <c r="D5276" s="20">
        <v>0</v>
      </c>
      <c r="E5276" s="2" t="s">
        <v>838</v>
      </c>
      <c r="F5276" s="2" t="s">
        <v>848</v>
      </c>
      <c r="G5276" s="2" t="s">
        <v>4635</v>
      </c>
      <c r="H5276" s="2" t="s">
        <v>1094</v>
      </c>
      <c r="J5276" s="26"/>
      <c r="K5276" s="36">
        <v>1.6170420000000001E-2</v>
      </c>
      <c r="L5276" s="23">
        <v>8.0851999999999996E-4</v>
      </c>
    </row>
    <row r="5277" spans="1:12" ht="15.35" hidden="1" x14ac:dyDescent="0.55000000000000004">
      <c r="A5277" s="20">
        <v>14424</v>
      </c>
      <c r="B5277" s="2" t="s">
        <v>184</v>
      </c>
      <c r="C5277" s="2" t="s">
        <v>185</v>
      </c>
      <c r="D5277" s="20">
        <v>0</v>
      </c>
      <c r="E5277" s="2" t="s">
        <v>838</v>
      </c>
      <c r="F5277" s="2" t="s">
        <v>848</v>
      </c>
      <c r="G5277" s="2" t="s">
        <v>4078</v>
      </c>
      <c r="H5277" s="2" t="s">
        <v>4078</v>
      </c>
      <c r="J5277" s="26"/>
      <c r="K5277" s="36">
        <v>4.6894199999999997E-3</v>
      </c>
      <c r="L5277" s="23">
        <v>2.3447E-4</v>
      </c>
    </row>
    <row r="5278" spans="1:12" ht="15.35" hidden="1" x14ac:dyDescent="0.55000000000000004">
      <c r="A5278" s="20">
        <v>14370</v>
      </c>
      <c r="B5278" s="2" t="s">
        <v>184</v>
      </c>
      <c r="C5278" s="2" t="s">
        <v>185</v>
      </c>
      <c r="D5278" s="20">
        <v>0</v>
      </c>
      <c r="E5278" s="2" t="s">
        <v>838</v>
      </c>
      <c r="F5278" s="2" t="s">
        <v>793</v>
      </c>
      <c r="G5278" s="2" t="s">
        <v>3705</v>
      </c>
      <c r="H5278" s="2" t="s">
        <v>2100</v>
      </c>
      <c r="J5278" s="26"/>
      <c r="K5278" s="36">
        <v>1.642033E-2</v>
      </c>
      <c r="L5278" s="23">
        <v>8.2102E-4</v>
      </c>
    </row>
    <row r="5279" spans="1:12" ht="15.35" hidden="1" x14ac:dyDescent="0.55000000000000004">
      <c r="A5279" s="20">
        <v>14368</v>
      </c>
      <c r="B5279" s="2" t="s">
        <v>184</v>
      </c>
      <c r="C5279" s="2" t="s">
        <v>185</v>
      </c>
      <c r="D5279" s="20">
        <v>0</v>
      </c>
      <c r="E5279" s="2" t="s">
        <v>838</v>
      </c>
      <c r="F5279" s="2" t="s">
        <v>793</v>
      </c>
      <c r="G5279" s="2" t="s">
        <v>3706</v>
      </c>
      <c r="H5279" s="2" t="s">
        <v>2100</v>
      </c>
      <c r="J5279" s="26"/>
      <c r="K5279" s="36">
        <v>1.642033E-2</v>
      </c>
      <c r="L5279" s="23">
        <v>8.2102E-4</v>
      </c>
    </row>
    <row r="5280" spans="1:12" ht="15.35" hidden="1" x14ac:dyDescent="0.55000000000000004">
      <c r="A5280" s="20">
        <v>14369</v>
      </c>
      <c r="B5280" s="2" t="s">
        <v>184</v>
      </c>
      <c r="C5280" s="2" t="s">
        <v>185</v>
      </c>
      <c r="D5280" s="20">
        <v>0</v>
      </c>
      <c r="E5280" s="2" t="s">
        <v>838</v>
      </c>
      <c r="F5280" s="2" t="s">
        <v>793</v>
      </c>
      <c r="G5280" s="2" t="s">
        <v>3707</v>
      </c>
      <c r="H5280" s="2" t="s">
        <v>2100</v>
      </c>
      <c r="J5280" s="26"/>
      <c r="K5280" s="36">
        <v>1.642033E-2</v>
      </c>
      <c r="L5280" s="23">
        <v>8.2102E-4</v>
      </c>
    </row>
    <row r="5281" spans="1:12" ht="15.35" hidden="1" x14ac:dyDescent="0.55000000000000004">
      <c r="A5281" s="20">
        <v>14336</v>
      </c>
      <c r="B5281" s="2" t="s">
        <v>184</v>
      </c>
      <c r="C5281" s="2" t="s">
        <v>185</v>
      </c>
      <c r="D5281" s="20">
        <v>0</v>
      </c>
      <c r="E5281" s="2" t="s">
        <v>838</v>
      </c>
      <c r="F5281" s="2" t="s">
        <v>793</v>
      </c>
      <c r="G5281" s="2" t="s">
        <v>4636</v>
      </c>
      <c r="H5281" s="2" t="s">
        <v>1096</v>
      </c>
      <c r="J5281" s="26"/>
      <c r="K5281" s="36">
        <v>4.4101149999999999E-2</v>
      </c>
      <c r="L5281" s="23">
        <v>2.20506E-3</v>
      </c>
    </row>
    <row r="5282" spans="1:12" ht="15.35" hidden="1" x14ac:dyDescent="0.55000000000000004">
      <c r="A5282" s="20">
        <v>14395</v>
      </c>
      <c r="B5282" s="2" t="s">
        <v>184</v>
      </c>
      <c r="C5282" s="2" t="s">
        <v>185</v>
      </c>
      <c r="D5282" s="20">
        <v>0</v>
      </c>
      <c r="E5282" s="2" t="s">
        <v>838</v>
      </c>
      <c r="F5282" s="2" t="s">
        <v>793</v>
      </c>
      <c r="G5282" s="2" t="s">
        <v>4637</v>
      </c>
      <c r="H5282" s="2" t="s">
        <v>1097</v>
      </c>
      <c r="J5282" s="26"/>
      <c r="K5282" s="36">
        <v>1.0290260000000001E-2</v>
      </c>
      <c r="L5282" s="23">
        <v>5.1451000000000003E-4</v>
      </c>
    </row>
    <row r="5283" spans="1:12" ht="15.35" hidden="1" x14ac:dyDescent="0.55000000000000004">
      <c r="A5283" s="20">
        <v>14556</v>
      </c>
      <c r="B5283" s="2" t="s">
        <v>184</v>
      </c>
      <c r="C5283" s="2" t="s">
        <v>185</v>
      </c>
      <c r="D5283" s="20">
        <v>0</v>
      </c>
      <c r="E5283" s="2" t="s">
        <v>838</v>
      </c>
      <c r="F5283" s="2" t="s">
        <v>793</v>
      </c>
      <c r="G5283" s="2" t="s">
        <v>4638</v>
      </c>
      <c r="H5283" s="2" t="s">
        <v>1811</v>
      </c>
      <c r="J5283" s="26"/>
      <c r="K5283" s="36">
        <v>2.9399999999999999E-4</v>
      </c>
      <c r="L5283" s="23">
        <v>1.47E-5</v>
      </c>
    </row>
    <row r="5284" spans="1:12" ht="15.35" hidden="1" x14ac:dyDescent="0.55000000000000004">
      <c r="A5284" s="20">
        <v>14553</v>
      </c>
      <c r="B5284" s="2" t="s">
        <v>184</v>
      </c>
      <c r="C5284" s="2" t="s">
        <v>185</v>
      </c>
      <c r="D5284" s="20">
        <v>0</v>
      </c>
      <c r="E5284" s="2" t="s">
        <v>838</v>
      </c>
      <c r="F5284" s="2" t="s">
        <v>793</v>
      </c>
      <c r="G5284" s="2" t="s">
        <v>4245</v>
      </c>
      <c r="H5284" s="2" t="s">
        <v>1811</v>
      </c>
      <c r="J5284" s="26"/>
      <c r="K5284" s="36">
        <v>3.5280000000000001E-4</v>
      </c>
      <c r="L5284" s="23">
        <v>1.7640000000000001E-5</v>
      </c>
    </row>
    <row r="5285" spans="1:12" ht="15.35" hidden="1" x14ac:dyDescent="0.55000000000000004">
      <c r="A5285" s="20">
        <v>14324</v>
      </c>
      <c r="B5285" s="2" t="s">
        <v>184</v>
      </c>
      <c r="C5285" s="2" t="s">
        <v>185</v>
      </c>
      <c r="D5285" s="20">
        <v>0</v>
      </c>
      <c r="E5285" s="2" t="s">
        <v>838</v>
      </c>
      <c r="F5285" s="2" t="s">
        <v>793</v>
      </c>
      <c r="G5285" s="2" t="s">
        <v>4639</v>
      </c>
      <c r="H5285" s="2" t="s">
        <v>1098</v>
      </c>
      <c r="J5285" s="26"/>
      <c r="K5285" s="36">
        <v>5.1451339999999998E-2</v>
      </c>
      <c r="L5285" s="23">
        <v>2.5725700000000002E-3</v>
      </c>
    </row>
    <row r="5286" spans="1:12" ht="15.35" hidden="1" x14ac:dyDescent="0.55000000000000004">
      <c r="A5286" s="20">
        <v>14344</v>
      </c>
      <c r="B5286" s="2" t="s">
        <v>184</v>
      </c>
      <c r="C5286" s="2" t="s">
        <v>185</v>
      </c>
      <c r="D5286" s="20">
        <v>0</v>
      </c>
      <c r="E5286" s="2" t="s">
        <v>838</v>
      </c>
      <c r="F5286" s="2" t="s">
        <v>793</v>
      </c>
      <c r="G5286" s="2" t="s">
        <v>2966</v>
      </c>
      <c r="H5286" s="2" t="s">
        <v>1098</v>
      </c>
      <c r="J5286" s="26"/>
      <c r="K5286" s="36">
        <v>3.6750959999999999E-2</v>
      </c>
      <c r="L5286" s="23">
        <v>1.8375500000000001E-3</v>
      </c>
    </row>
    <row r="5287" spans="1:12" ht="15.35" hidden="1" x14ac:dyDescent="0.55000000000000004">
      <c r="A5287" s="20">
        <v>14576</v>
      </c>
      <c r="B5287" s="2" t="s">
        <v>184</v>
      </c>
      <c r="C5287" s="2" t="s">
        <v>185</v>
      </c>
      <c r="D5287" s="20">
        <v>0</v>
      </c>
      <c r="E5287" s="2" t="s">
        <v>838</v>
      </c>
      <c r="F5287" s="2" t="s">
        <v>793</v>
      </c>
      <c r="G5287" s="2" t="s">
        <v>2967</v>
      </c>
      <c r="H5287" s="2" t="s">
        <v>983</v>
      </c>
      <c r="J5287" s="26"/>
      <c r="K5287" s="36">
        <v>1.47E-4</v>
      </c>
      <c r="L5287" s="23">
        <v>7.3499999999999999E-6</v>
      </c>
    </row>
    <row r="5288" spans="1:12" ht="15.35" hidden="1" x14ac:dyDescent="0.55000000000000004">
      <c r="A5288" s="20">
        <v>14579</v>
      </c>
      <c r="B5288" s="2" t="s">
        <v>184</v>
      </c>
      <c r="C5288" s="2" t="s">
        <v>185</v>
      </c>
      <c r="D5288" s="20">
        <v>0</v>
      </c>
      <c r="E5288" s="2" t="s">
        <v>838</v>
      </c>
      <c r="F5288" s="2" t="s">
        <v>793</v>
      </c>
      <c r="G5288" s="2" t="s">
        <v>2968</v>
      </c>
      <c r="H5288" s="2" t="s">
        <v>983</v>
      </c>
      <c r="J5288" s="26"/>
      <c r="K5288" s="36">
        <v>1.47E-4</v>
      </c>
      <c r="L5288" s="23">
        <v>7.3499999999999999E-6</v>
      </c>
    </row>
    <row r="5289" spans="1:12" ht="15.35" hidden="1" x14ac:dyDescent="0.55000000000000004">
      <c r="A5289" s="20">
        <v>14573</v>
      </c>
      <c r="B5289" s="2" t="s">
        <v>184</v>
      </c>
      <c r="C5289" s="2" t="s">
        <v>185</v>
      </c>
      <c r="D5289" s="20">
        <v>0</v>
      </c>
      <c r="E5289" s="2" t="s">
        <v>838</v>
      </c>
      <c r="F5289" s="2" t="s">
        <v>793</v>
      </c>
      <c r="G5289" s="2" t="s">
        <v>4640</v>
      </c>
      <c r="H5289" s="2" t="s">
        <v>983</v>
      </c>
      <c r="J5289" s="26"/>
      <c r="K5289" s="36">
        <v>1.47E-4</v>
      </c>
      <c r="L5289" s="23">
        <v>7.3499999999999999E-6</v>
      </c>
    </row>
    <row r="5290" spans="1:12" ht="15.35" hidden="1" x14ac:dyDescent="0.55000000000000004">
      <c r="A5290" s="20">
        <v>14575</v>
      </c>
      <c r="B5290" s="2" t="s">
        <v>184</v>
      </c>
      <c r="C5290" s="2" t="s">
        <v>185</v>
      </c>
      <c r="D5290" s="20">
        <v>0</v>
      </c>
      <c r="E5290" s="2" t="s">
        <v>838</v>
      </c>
      <c r="F5290" s="2" t="s">
        <v>793</v>
      </c>
      <c r="G5290" s="2" t="s">
        <v>4641</v>
      </c>
      <c r="H5290" s="2" t="s">
        <v>983</v>
      </c>
      <c r="J5290" s="26"/>
      <c r="K5290" s="36">
        <v>1.47E-4</v>
      </c>
      <c r="L5290" s="23">
        <v>7.3499999999999999E-6</v>
      </c>
    </row>
    <row r="5291" spans="1:12" ht="15.35" hidden="1" x14ac:dyDescent="0.55000000000000004">
      <c r="A5291" s="20">
        <v>14577</v>
      </c>
      <c r="B5291" s="2" t="s">
        <v>184</v>
      </c>
      <c r="C5291" s="2" t="s">
        <v>185</v>
      </c>
      <c r="D5291" s="20">
        <v>0</v>
      </c>
      <c r="E5291" s="2" t="s">
        <v>838</v>
      </c>
      <c r="F5291" s="2" t="s">
        <v>793</v>
      </c>
      <c r="G5291" s="2" t="s">
        <v>2971</v>
      </c>
      <c r="H5291" s="2" t="s">
        <v>983</v>
      </c>
      <c r="J5291" s="26"/>
      <c r="K5291" s="36">
        <v>1.47E-4</v>
      </c>
      <c r="L5291" s="23">
        <v>7.3499999999999999E-6</v>
      </c>
    </row>
    <row r="5292" spans="1:12" ht="15.35" hidden="1" x14ac:dyDescent="0.55000000000000004">
      <c r="A5292" s="20">
        <v>14571</v>
      </c>
      <c r="B5292" s="2" t="s">
        <v>184</v>
      </c>
      <c r="C5292" s="2" t="s">
        <v>185</v>
      </c>
      <c r="D5292" s="20">
        <v>0</v>
      </c>
      <c r="E5292" s="2" t="s">
        <v>838</v>
      </c>
      <c r="F5292" s="2" t="s">
        <v>793</v>
      </c>
      <c r="G5292" s="2" t="s">
        <v>3738</v>
      </c>
      <c r="H5292" s="2" t="s">
        <v>1301</v>
      </c>
      <c r="J5292" s="26"/>
      <c r="K5292" s="36">
        <v>1.9110000000000001E-4</v>
      </c>
      <c r="L5292" s="23">
        <v>9.5599999999999999E-6</v>
      </c>
    </row>
    <row r="5293" spans="1:12" ht="15.35" hidden="1" x14ac:dyDescent="0.55000000000000004">
      <c r="A5293" s="20">
        <v>14568</v>
      </c>
      <c r="B5293" s="2" t="s">
        <v>184</v>
      </c>
      <c r="C5293" s="2" t="s">
        <v>185</v>
      </c>
      <c r="D5293" s="20">
        <v>0</v>
      </c>
      <c r="E5293" s="2" t="s">
        <v>838</v>
      </c>
      <c r="F5293" s="2" t="s">
        <v>793</v>
      </c>
      <c r="G5293" s="2" t="s">
        <v>3739</v>
      </c>
      <c r="H5293" s="2" t="s">
        <v>1301</v>
      </c>
      <c r="J5293" s="26"/>
      <c r="K5293" s="36">
        <v>1.9110000000000001E-4</v>
      </c>
      <c r="L5293" s="23">
        <v>9.5599999999999999E-6</v>
      </c>
    </row>
    <row r="5294" spans="1:12" ht="15.35" hidden="1" x14ac:dyDescent="0.55000000000000004">
      <c r="A5294" s="20">
        <v>14574</v>
      </c>
      <c r="B5294" s="2" t="s">
        <v>184</v>
      </c>
      <c r="C5294" s="2" t="s">
        <v>185</v>
      </c>
      <c r="D5294" s="20">
        <v>0</v>
      </c>
      <c r="E5294" s="2" t="s">
        <v>838</v>
      </c>
      <c r="F5294" s="2" t="s">
        <v>793</v>
      </c>
      <c r="G5294" s="2" t="s">
        <v>2991</v>
      </c>
      <c r="H5294" s="2" t="s">
        <v>1301</v>
      </c>
      <c r="J5294" s="26"/>
      <c r="K5294" s="36">
        <v>1.47E-4</v>
      </c>
      <c r="L5294" s="23">
        <v>7.3499999999999999E-6</v>
      </c>
    </row>
    <row r="5295" spans="1:12" ht="15.35" hidden="1" x14ac:dyDescent="0.55000000000000004">
      <c r="A5295" s="20">
        <v>14569</v>
      </c>
      <c r="B5295" s="2" t="s">
        <v>184</v>
      </c>
      <c r="C5295" s="2" t="s">
        <v>185</v>
      </c>
      <c r="D5295" s="20">
        <v>0</v>
      </c>
      <c r="E5295" s="2" t="s">
        <v>838</v>
      </c>
      <c r="F5295" s="2" t="s">
        <v>793</v>
      </c>
      <c r="G5295" s="2" t="s">
        <v>3742</v>
      </c>
      <c r="H5295" s="2" t="s">
        <v>1301</v>
      </c>
      <c r="J5295" s="26"/>
      <c r="K5295" s="36">
        <v>1.9110000000000001E-4</v>
      </c>
      <c r="L5295" s="23">
        <v>9.5599999999999999E-6</v>
      </c>
    </row>
    <row r="5296" spans="1:12" ht="15.35" hidden="1" x14ac:dyDescent="0.55000000000000004">
      <c r="A5296" s="20">
        <v>14544</v>
      </c>
      <c r="B5296" s="2" t="s">
        <v>184</v>
      </c>
      <c r="C5296" s="2" t="s">
        <v>185</v>
      </c>
      <c r="D5296" s="20">
        <v>0</v>
      </c>
      <c r="E5296" s="2" t="s">
        <v>838</v>
      </c>
      <c r="F5296" s="2" t="s">
        <v>793</v>
      </c>
      <c r="G5296" s="2" t="s">
        <v>2993</v>
      </c>
      <c r="H5296" s="2" t="s">
        <v>1301</v>
      </c>
      <c r="J5296" s="26"/>
      <c r="K5296" s="36">
        <v>5.7331000000000005E-4</v>
      </c>
      <c r="L5296" s="23">
        <v>2.8670000000000002E-5</v>
      </c>
    </row>
    <row r="5297" spans="1:12" ht="15.35" hidden="1" x14ac:dyDescent="0.55000000000000004">
      <c r="A5297" s="20">
        <v>14334</v>
      </c>
      <c r="B5297" s="2" t="s">
        <v>184</v>
      </c>
      <c r="C5297" s="2" t="s">
        <v>185</v>
      </c>
      <c r="D5297" s="20">
        <v>0</v>
      </c>
      <c r="E5297" s="2" t="s">
        <v>838</v>
      </c>
      <c r="F5297" s="2" t="s">
        <v>833</v>
      </c>
      <c r="G5297" s="2" t="s">
        <v>3747</v>
      </c>
      <c r="H5297" s="2" t="s">
        <v>2125</v>
      </c>
      <c r="J5297" s="26"/>
      <c r="K5297" s="36">
        <v>4.7041230000000003E-2</v>
      </c>
      <c r="L5297" s="23">
        <v>2.35206E-3</v>
      </c>
    </row>
    <row r="5298" spans="1:12" ht="15.35" hidden="1" x14ac:dyDescent="0.55000000000000004">
      <c r="A5298" s="20">
        <v>14356</v>
      </c>
      <c r="B5298" s="2" t="s">
        <v>184</v>
      </c>
      <c r="C5298" s="2" t="s">
        <v>185</v>
      </c>
      <c r="D5298" s="20">
        <v>0</v>
      </c>
      <c r="E5298" s="2" t="s">
        <v>838</v>
      </c>
      <c r="F5298" s="2" t="s">
        <v>833</v>
      </c>
      <c r="G5298" s="2" t="s">
        <v>4642</v>
      </c>
      <c r="H5298" s="2" t="s">
        <v>2125</v>
      </c>
      <c r="J5298" s="26"/>
      <c r="K5298" s="36">
        <v>2.3520610000000001E-2</v>
      </c>
      <c r="L5298" s="23">
        <v>1.17603E-3</v>
      </c>
    </row>
    <row r="5299" spans="1:12" ht="15.35" hidden="1" x14ac:dyDescent="0.55000000000000004">
      <c r="A5299" s="20">
        <v>14308</v>
      </c>
      <c r="B5299" s="2" t="s">
        <v>184</v>
      </c>
      <c r="C5299" s="2" t="s">
        <v>185</v>
      </c>
      <c r="D5299" s="20">
        <v>0</v>
      </c>
      <c r="E5299" s="2" t="s">
        <v>838</v>
      </c>
      <c r="F5299" s="2" t="s">
        <v>833</v>
      </c>
      <c r="G5299" s="2" t="s">
        <v>4268</v>
      </c>
      <c r="H5299" s="2" t="s">
        <v>2125</v>
      </c>
      <c r="J5299" s="26"/>
      <c r="K5299" s="36">
        <v>5.1451339999999998E-2</v>
      </c>
      <c r="L5299" s="23">
        <v>2.5725700000000002E-3</v>
      </c>
    </row>
    <row r="5300" spans="1:12" ht="15.35" hidden="1" x14ac:dyDescent="0.55000000000000004">
      <c r="A5300" s="20">
        <v>14414</v>
      </c>
      <c r="B5300" s="2" t="s">
        <v>184</v>
      </c>
      <c r="C5300" s="2" t="s">
        <v>185</v>
      </c>
      <c r="D5300" s="20">
        <v>0</v>
      </c>
      <c r="E5300" s="2" t="s">
        <v>838</v>
      </c>
      <c r="F5300" s="2" t="s">
        <v>833</v>
      </c>
      <c r="G5300" s="2" t="s">
        <v>3756</v>
      </c>
      <c r="H5300" s="2" t="s">
        <v>2125</v>
      </c>
      <c r="J5300" s="26"/>
      <c r="K5300" s="36">
        <v>6.90918E-3</v>
      </c>
      <c r="L5300" s="23">
        <v>3.4546000000000002E-4</v>
      </c>
    </row>
    <row r="5301" spans="1:12" ht="15.35" hidden="1" x14ac:dyDescent="0.55000000000000004">
      <c r="A5301" s="20">
        <v>14445</v>
      </c>
      <c r="B5301" s="2" t="s">
        <v>184</v>
      </c>
      <c r="C5301" s="2" t="s">
        <v>185</v>
      </c>
      <c r="D5301" s="20">
        <v>0</v>
      </c>
      <c r="E5301" s="2" t="s">
        <v>838</v>
      </c>
      <c r="F5301" s="2" t="s">
        <v>833</v>
      </c>
      <c r="G5301" s="2" t="s">
        <v>3760</v>
      </c>
      <c r="H5301" s="2" t="s">
        <v>2125</v>
      </c>
      <c r="J5301" s="26"/>
      <c r="K5301" s="36">
        <v>3.6750900000000002E-3</v>
      </c>
      <c r="L5301" s="23">
        <v>1.8374999999999999E-4</v>
      </c>
    </row>
    <row r="5302" spans="1:12" ht="15.35" hidden="1" x14ac:dyDescent="0.55000000000000004">
      <c r="A5302" s="20">
        <v>14400</v>
      </c>
      <c r="B5302" s="2" t="s">
        <v>184</v>
      </c>
      <c r="C5302" s="2" t="s">
        <v>185</v>
      </c>
      <c r="D5302" s="20">
        <v>0</v>
      </c>
      <c r="E5302" s="2" t="s">
        <v>838</v>
      </c>
      <c r="F5302" s="2" t="s">
        <v>833</v>
      </c>
      <c r="G5302" s="2" t="s">
        <v>3762</v>
      </c>
      <c r="H5302" s="2" t="s">
        <v>2125</v>
      </c>
      <c r="J5302" s="26"/>
      <c r="K5302" s="36">
        <v>9.2612400000000004E-3</v>
      </c>
      <c r="L5302" s="23">
        <v>4.6306E-4</v>
      </c>
    </row>
    <row r="5303" spans="1:12" ht="15.35" hidden="1" x14ac:dyDescent="0.55000000000000004">
      <c r="A5303" s="20">
        <v>14343</v>
      </c>
      <c r="B5303" s="2" t="s">
        <v>184</v>
      </c>
      <c r="C5303" s="2" t="s">
        <v>185</v>
      </c>
      <c r="D5303" s="20">
        <v>0</v>
      </c>
      <c r="E5303" s="2" t="s">
        <v>838</v>
      </c>
      <c r="F5303" s="2" t="s">
        <v>817</v>
      </c>
      <c r="G5303" s="2" t="s">
        <v>3003</v>
      </c>
      <c r="H5303" s="2" t="s">
        <v>898</v>
      </c>
      <c r="J5303" s="26"/>
      <c r="K5303" s="36">
        <v>3.6927359999999999E-2</v>
      </c>
      <c r="L5303" s="23">
        <v>1.84637E-3</v>
      </c>
    </row>
    <row r="5304" spans="1:12" ht="15.35" hidden="1" x14ac:dyDescent="0.55000000000000004">
      <c r="A5304" s="20">
        <v>14514</v>
      </c>
      <c r="B5304" s="2" t="s">
        <v>184</v>
      </c>
      <c r="C5304" s="2" t="s">
        <v>185</v>
      </c>
      <c r="D5304" s="20">
        <v>0</v>
      </c>
      <c r="E5304" s="2" t="s">
        <v>838</v>
      </c>
      <c r="F5304" s="2" t="s">
        <v>798</v>
      </c>
      <c r="G5304" s="2" t="s">
        <v>3011</v>
      </c>
      <c r="H5304" s="2" t="s">
        <v>860</v>
      </c>
      <c r="J5304" s="26"/>
      <c r="K5304" s="36">
        <v>9.4081999999999998E-4</v>
      </c>
      <c r="L5304" s="23">
        <v>4.7039999999999997E-5</v>
      </c>
    </row>
    <row r="5305" spans="1:12" ht="15.35" hidden="1" x14ac:dyDescent="0.55000000000000004">
      <c r="A5305" s="20">
        <v>14555</v>
      </c>
      <c r="B5305" s="2" t="s">
        <v>184</v>
      </c>
      <c r="C5305" s="2" t="s">
        <v>185</v>
      </c>
      <c r="D5305" s="20">
        <v>0</v>
      </c>
      <c r="E5305" s="2" t="s">
        <v>838</v>
      </c>
      <c r="F5305" s="2" t="s">
        <v>793</v>
      </c>
      <c r="G5305" s="2" t="s">
        <v>3031</v>
      </c>
      <c r="H5305" s="2" t="s">
        <v>933</v>
      </c>
      <c r="J5305" s="26"/>
      <c r="K5305" s="36">
        <v>2.9399999999999999E-4</v>
      </c>
      <c r="L5305" s="23">
        <v>1.47E-5</v>
      </c>
    </row>
    <row r="5306" spans="1:12" ht="15.35" hidden="1" x14ac:dyDescent="0.55000000000000004">
      <c r="A5306" s="20">
        <v>14562</v>
      </c>
      <c r="B5306" s="2" t="s">
        <v>184</v>
      </c>
      <c r="C5306" s="2" t="s">
        <v>185</v>
      </c>
      <c r="D5306" s="20">
        <v>0</v>
      </c>
      <c r="E5306" s="2" t="s">
        <v>838</v>
      </c>
      <c r="F5306" s="2" t="s">
        <v>793</v>
      </c>
      <c r="G5306" s="2" t="s">
        <v>3032</v>
      </c>
      <c r="H5306" s="2" t="s">
        <v>933</v>
      </c>
      <c r="J5306" s="26"/>
      <c r="K5306" s="36">
        <v>2.9399999999999999E-4</v>
      </c>
      <c r="L5306" s="23">
        <v>1.47E-5</v>
      </c>
    </row>
    <row r="5307" spans="1:12" ht="15.35" hidden="1" x14ac:dyDescent="0.55000000000000004">
      <c r="A5307" s="20">
        <v>14559</v>
      </c>
      <c r="B5307" s="2" t="s">
        <v>184</v>
      </c>
      <c r="C5307" s="2" t="s">
        <v>185</v>
      </c>
      <c r="D5307" s="20">
        <v>0</v>
      </c>
      <c r="E5307" s="2" t="s">
        <v>838</v>
      </c>
      <c r="F5307" s="2" t="s">
        <v>793</v>
      </c>
      <c r="G5307" s="2" t="s">
        <v>4643</v>
      </c>
      <c r="H5307" s="2" t="s">
        <v>933</v>
      </c>
      <c r="J5307" s="26"/>
      <c r="K5307" s="36">
        <v>2.9399999999999999E-4</v>
      </c>
      <c r="L5307" s="23">
        <v>1.47E-5</v>
      </c>
    </row>
    <row r="5308" spans="1:12" ht="15.35" hidden="1" x14ac:dyDescent="0.55000000000000004">
      <c r="A5308" s="20">
        <v>14560</v>
      </c>
      <c r="B5308" s="2" t="s">
        <v>184</v>
      </c>
      <c r="C5308" s="2" t="s">
        <v>185</v>
      </c>
      <c r="D5308" s="20">
        <v>0</v>
      </c>
      <c r="E5308" s="2" t="s">
        <v>838</v>
      </c>
      <c r="F5308" s="2" t="s">
        <v>793</v>
      </c>
      <c r="G5308" s="2" t="s">
        <v>4644</v>
      </c>
      <c r="H5308" s="2" t="s">
        <v>933</v>
      </c>
      <c r="J5308" s="26"/>
      <c r="K5308" s="36">
        <v>2.9399999999999999E-4</v>
      </c>
      <c r="L5308" s="23">
        <v>1.47E-5</v>
      </c>
    </row>
    <row r="5309" spans="1:12" ht="15.35" hidden="1" x14ac:dyDescent="0.55000000000000004">
      <c r="A5309" s="20">
        <v>14557</v>
      </c>
      <c r="B5309" s="2" t="s">
        <v>184</v>
      </c>
      <c r="C5309" s="2" t="s">
        <v>185</v>
      </c>
      <c r="D5309" s="20">
        <v>0</v>
      </c>
      <c r="E5309" s="2" t="s">
        <v>838</v>
      </c>
      <c r="F5309" s="2" t="s">
        <v>793</v>
      </c>
      <c r="G5309" s="2" t="s">
        <v>3035</v>
      </c>
      <c r="H5309" s="2" t="s">
        <v>933</v>
      </c>
      <c r="J5309" s="26"/>
      <c r="K5309" s="36">
        <v>2.9399999999999999E-4</v>
      </c>
      <c r="L5309" s="23">
        <v>1.47E-5</v>
      </c>
    </row>
    <row r="5310" spans="1:12" ht="15.35" hidden="1" x14ac:dyDescent="0.55000000000000004">
      <c r="A5310" s="20">
        <v>14549</v>
      </c>
      <c r="B5310" s="2" t="s">
        <v>184</v>
      </c>
      <c r="C5310" s="2" t="s">
        <v>185</v>
      </c>
      <c r="D5310" s="20">
        <v>0</v>
      </c>
      <c r="E5310" s="2" t="s">
        <v>838</v>
      </c>
      <c r="F5310" s="2" t="s">
        <v>793</v>
      </c>
      <c r="G5310" s="2" t="s">
        <v>4517</v>
      </c>
      <c r="H5310" s="2" t="s">
        <v>933</v>
      </c>
      <c r="J5310" s="26"/>
      <c r="K5310" s="36">
        <v>4.4100999999999998E-4</v>
      </c>
      <c r="L5310" s="23">
        <v>2.2050000000000001E-5</v>
      </c>
    </row>
    <row r="5311" spans="1:12" ht="15.35" hidden="1" x14ac:dyDescent="0.55000000000000004">
      <c r="A5311" s="20">
        <v>14548</v>
      </c>
      <c r="B5311" s="2" t="s">
        <v>184</v>
      </c>
      <c r="C5311" s="2" t="s">
        <v>185</v>
      </c>
      <c r="D5311" s="20">
        <v>0</v>
      </c>
      <c r="E5311" s="2" t="s">
        <v>838</v>
      </c>
      <c r="F5311" s="2" t="s">
        <v>793</v>
      </c>
      <c r="G5311" s="2" t="s">
        <v>4645</v>
      </c>
      <c r="H5311" s="2" t="s">
        <v>933</v>
      </c>
      <c r="J5311" s="26"/>
      <c r="K5311" s="36">
        <v>4.7040999999999999E-4</v>
      </c>
      <c r="L5311" s="23">
        <v>2.3519999999999998E-5</v>
      </c>
    </row>
    <row r="5312" spans="1:12" ht="15.35" hidden="1" x14ac:dyDescent="0.55000000000000004">
      <c r="A5312" s="20">
        <v>14551</v>
      </c>
      <c r="B5312" s="2" t="s">
        <v>184</v>
      </c>
      <c r="C5312" s="2" t="s">
        <v>185</v>
      </c>
      <c r="D5312" s="20">
        <v>0</v>
      </c>
      <c r="E5312" s="2" t="s">
        <v>838</v>
      </c>
      <c r="F5312" s="2" t="s">
        <v>793</v>
      </c>
      <c r="G5312" s="2" t="s">
        <v>4646</v>
      </c>
      <c r="H5312" s="2" t="s">
        <v>933</v>
      </c>
      <c r="J5312" s="26"/>
      <c r="K5312" s="36">
        <v>3.8221000000000002E-4</v>
      </c>
      <c r="L5312" s="23">
        <v>1.9110000000000002E-5</v>
      </c>
    </row>
    <row r="5313" spans="1:12" ht="15.35" hidden="1" x14ac:dyDescent="0.55000000000000004">
      <c r="A5313" s="20">
        <v>14545</v>
      </c>
      <c r="B5313" s="2" t="s">
        <v>184</v>
      </c>
      <c r="C5313" s="2" t="s">
        <v>185</v>
      </c>
      <c r="D5313" s="20">
        <v>0</v>
      </c>
      <c r="E5313" s="2" t="s">
        <v>838</v>
      </c>
      <c r="F5313" s="2" t="s">
        <v>793</v>
      </c>
      <c r="G5313" s="2" t="s">
        <v>4518</v>
      </c>
      <c r="H5313" s="2" t="s">
        <v>933</v>
      </c>
      <c r="J5313" s="26"/>
      <c r="K5313" s="36">
        <v>5.7331000000000005E-4</v>
      </c>
      <c r="L5313" s="23">
        <v>2.8670000000000002E-5</v>
      </c>
    </row>
    <row r="5314" spans="1:12" ht="15.35" hidden="1" x14ac:dyDescent="0.55000000000000004">
      <c r="A5314" s="20">
        <v>14566</v>
      </c>
      <c r="B5314" s="2" t="s">
        <v>184</v>
      </c>
      <c r="C5314" s="2" t="s">
        <v>185</v>
      </c>
      <c r="D5314" s="20">
        <v>0</v>
      </c>
      <c r="E5314" s="2" t="s">
        <v>838</v>
      </c>
      <c r="F5314" s="2" t="s">
        <v>793</v>
      </c>
      <c r="G5314" s="2" t="s">
        <v>4281</v>
      </c>
      <c r="H5314" s="2" t="s">
        <v>933</v>
      </c>
      <c r="J5314" s="26"/>
      <c r="K5314" s="36">
        <v>2.2049999999999999E-4</v>
      </c>
      <c r="L5314" s="23">
        <v>1.102E-5</v>
      </c>
    </row>
    <row r="5315" spans="1:12" ht="15.35" hidden="1" x14ac:dyDescent="0.55000000000000004">
      <c r="A5315" s="20">
        <v>14567</v>
      </c>
      <c r="B5315" s="2" t="s">
        <v>184</v>
      </c>
      <c r="C5315" s="2" t="s">
        <v>185</v>
      </c>
      <c r="D5315" s="20">
        <v>0</v>
      </c>
      <c r="E5315" s="2" t="s">
        <v>838</v>
      </c>
      <c r="F5315" s="2" t="s">
        <v>793</v>
      </c>
      <c r="G5315" s="2" t="s">
        <v>4282</v>
      </c>
      <c r="H5315" s="2" t="s">
        <v>933</v>
      </c>
      <c r="J5315" s="26"/>
      <c r="K5315" s="36">
        <v>2.2049999999999999E-4</v>
      </c>
      <c r="L5315" s="23">
        <v>1.102E-5</v>
      </c>
    </row>
    <row r="5316" spans="1:12" ht="15.35" hidden="1" x14ac:dyDescent="0.55000000000000004">
      <c r="A5316" s="20">
        <v>14564</v>
      </c>
      <c r="B5316" s="2" t="s">
        <v>184</v>
      </c>
      <c r="C5316" s="2" t="s">
        <v>185</v>
      </c>
      <c r="D5316" s="20">
        <v>0</v>
      </c>
      <c r="E5316" s="2" t="s">
        <v>838</v>
      </c>
      <c r="F5316" s="2" t="s">
        <v>793</v>
      </c>
      <c r="G5316" s="2" t="s">
        <v>4647</v>
      </c>
      <c r="H5316" s="2" t="s">
        <v>933</v>
      </c>
      <c r="J5316" s="26"/>
      <c r="K5316" s="36">
        <v>2.2049999999999999E-4</v>
      </c>
      <c r="L5316" s="23">
        <v>1.102E-5</v>
      </c>
    </row>
    <row r="5317" spans="1:12" ht="15.35" hidden="1" x14ac:dyDescent="0.55000000000000004">
      <c r="A5317" s="20">
        <v>14516</v>
      </c>
      <c r="B5317" s="2" t="s">
        <v>184</v>
      </c>
      <c r="C5317" s="2" t="s">
        <v>185</v>
      </c>
      <c r="D5317" s="20">
        <v>0</v>
      </c>
      <c r="E5317" s="2" t="s">
        <v>838</v>
      </c>
      <c r="F5317" s="2" t="s">
        <v>793</v>
      </c>
      <c r="G5317" s="2" t="s">
        <v>3037</v>
      </c>
      <c r="H5317" s="2" t="s">
        <v>933</v>
      </c>
      <c r="J5317" s="26"/>
      <c r="K5317" s="36">
        <v>8.8201999999999996E-4</v>
      </c>
      <c r="L5317" s="23">
        <v>4.4100000000000001E-5</v>
      </c>
    </row>
    <row r="5318" spans="1:12" ht="15.35" hidden="1" x14ac:dyDescent="0.55000000000000004">
      <c r="A5318" s="20">
        <v>14542</v>
      </c>
      <c r="B5318" s="2" t="s">
        <v>184</v>
      </c>
      <c r="C5318" s="2" t="s">
        <v>185</v>
      </c>
      <c r="D5318" s="20">
        <v>0</v>
      </c>
      <c r="E5318" s="2" t="s">
        <v>838</v>
      </c>
      <c r="F5318" s="2" t="s">
        <v>793</v>
      </c>
      <c r="G5318" s="2" t="s">
        <v>4519</v>
      </c>
      <c r="H5318" s="2" t="s">
        <v>933</v>
      </c>
      <c r="J5318" s="26"/>
      <c r="K5318" s="36">
        <v>5.7331000000000005E-4</v>
      </c>
      <c r="L5318" s="23">
        <v>2.8670000000000002E-5</v>
      </c>
    </row>
    <row r="5319" spans="1:12" ht="15.35" hidden="1" x14ac:dyDescent="0.55000000000000004">
      <c r="A5319" s="20">
        <v>14552</v>
      </c>
      <c r="B5319" s="2" t="s">
        <v>184</v>
      </c>
      <c r="C5319" s="2" t="s">
        <v>185</v>
      </c>
      <c r="D5319" s="20">
        <v>0</v>
      </c>
      <c r="E5319" s="2" t="s">
        <v>838</v>
      </c>
      <c r="F5319" s="2" t="s">
        <v>793</v>
      </c>
      <c r="G5319" s="2" t="s">
        <v>4520</v>
      </c>
      <c r="H5319" s="2" t="s">
        <v>933</v>
      </c>
      <c r="J5319" s="26"/>
      <c r="K5319" s="36">
        <v>3.8221000000000002E-4</v>
      </c>
      <c r="L5319" s="23">
        <v>1.9110000000000002E-5</v>
      </c>
    </row>
    <row r="5320" spans="1:12" ht="15.35" hidden="1" x14ac:dyDescent="0.55000000000000004">
      <c r="A5320" s="20">
        <v>14322</v>
      </c>
      <c r="B5320" s="2" t="s">
        <v>184</v>
      </c>
      <c r="C5320" s="2" t="s">
        <v>185</v>
      </c>
      <c r="D5320" s="20">
        <v>0</v>
      </c>
      <c r="E5320" s="2" t="s">
        <v>838</v>
      </c>
      <c r="F5320" s="2" t="s">
        <v>793</v>
      </c>
      <c r="G5320" s="2" t="s">
        <v>4285</v>
      </c>
      <c r="H5320" s="2" t="s">
        <v>821</v>
      </c>
      <c r="J5320" s="26"/>
      <c r="K5320" s="36">
        <v>5.1451339999999998E-2</v>
      </c>
      <c r="L5320" s="23">
        <v>2.5725700000000002E-3</v>
      </c>
    </row>
    <row r="5321" spans="1:12" ht="15.35" hidden="1" x14ac:dyDescent="0.55000000000000004">
      <c r="A5321" s="20">
        <v>14392</v>
      </c>
      <c r="B5321" s="2" t="s">
        <v>184</v>
      </c>
      <c r="C5321" s="2" t="s">
        <v>185</v>
      </c>
      <c r="D5321" s="20">
        <v>0</v>
      </c>
      <c r="E5321" s="2" t="s">
        <v>838</v>
      </c>
      <c r="F5321" s="2" t="s">
        <v>793</v>
      </c>
      <c r="G5321" s="2" t="s">
        <v>4648</v>
      </c>
      <c r="H5321" s="2" t="s">
        <v>821</v>
      </c>
      <c r="J5321" s="26"/>
      <c r="K5321" s="36">
        <v>1.0790080000000001E-2</v>
      </c>
      <c r="L5321" s="23">
        <v>5.3950000000000005E-4</v>
      </c>
    </row>
    <row r="5322" spans="1:12" ht="15.35" hidden="1" x14ac:dyDescent="0.55000000000000004">
      <c r="A5322" s="20">
        <v>14316</v>
      </c>
      <c r="B5322" s="2" t="s">
        <v>184</v>
      </c>
      <c r="C5322" s="2" t="s">
        <v>185</v>
      </c>
      <c r="D5322" s="20">
        <v>0</v>
      </c>
      <c r="E5322" s="2" t="s">
        <v>838</v>
      </c>
      <c r="F5322" s="2" t="s">
        <v>793</v>
      </c>
      <c r="G5322" s="2" t="s">
        <v>4649</v>
      </c>
      <c r="H5322" s="2" t="s">
        <v>821</v>
      </c>
      <c r="J5322" s="26"/>
      <c r="K5322" s="36">
        <v>5.1451339999999998E-2</v>
      </c>
      <c r="L5322" s="23">
        <v>2.5725700000000002E-3</v>
      </c>
    </row>
    <row r="5323" spans="1:12" ht="15.35" hidden="1" x14ac:dyDescent="0.55000000000000004">
      <c r="A5323" s="20">
        <v>14391</v>
      </c>
      <c r="B5323" s="2" t="s">
        <v>184</v>
      </c>
      <c r="C5323" s="2" t="s">
        <v>185</v>
      </c>
      <c r="D5323" s="20">
        <v>0</v>
      </c>
      <c r="E5323" s="2" t="s">
        <v>838</v>
      </c>
      <c r="F5323" s="2" t="s">
        <v>793</v>
      </c>
      <c r="G5323" s="2" t="s">
        <v>4650</v>
      </c>
      <c r="H5323" s="2" t="s">
        <v>821</v>
      </c>
      <c r="J5323" s="26"/>
      <c r="K5323" s="36">
        <v>1.0790080000000001E-2</v>
      </c>
      <c r="L5323" s="23">
        <v>5.3950000000000005E-4</v>
      </c>
    </row>
    <row r="5324" spans="1:12" ht="15.35" hidden="1" x14ac:dyDescent="0.55000000000000004">
      <c r="A5324" s="20">
        <v>14320</v>
      </c>
      <c r="B5324" s="2" t="s">
        <v>184</v>
      </c>
      <c r="C5324" s="2" t="s">
        <v>185</v>
      </c>
      <c r="D5324" s="20">
        <v>0</v>
      </c>
      <c r="E5324" s="2" t="s">
        <v>838</v>
      </c>
      <c r="F5324" s="2" t="s">
        <v>798</v>
      </c>
      <c r="G5324" s="2" t="s">
        <v>4651</v>
      </c>
      <c r="H5324" s="2" t="s">
        <v>821</v>
      </c>
      <c r="J5324" s="26"/>
      <c r="K5324" s="36">
        <v>5.1451339999999998E-2</v>
      </c>
      <c r="L5324" s="23">
        <v>2.5725700000000002E-3</v>
      </c>
    </row>
    <row r="5325" spans="1:12" ht="15.35" hidden="1" x14ac:dyDescent="0.55000000000000004">
      <c r="A5325" s="20">
        <v>14394</v>
      </c>
      <c r="B5325" s="2" t="s">
        <v>184</v>
      </c>
      <c r="C5325" s="2" t="s">
        <v>185</v>
      </c>
      <c r="D5325" s="20">
        <v>0</v>
      </c>
      <c r="E5325" s="2" t="s">
        <v>838</v>
      </c>
      <c r="F5325" s="2" t="s">
        <v>793</v>
      </c>
      <c r="G5325" s="2" t="s">
        <v>4652</v>
      </c>
      <c r="H5325" s="2" t="s">
        <v>821</v>
      </c>
      <c r="J5325" s="26"/>
      <c r="K5325" s="36">
        <v>1.056957E-2</v>
      </c>
      <c r="L5325" s="23">
        <v>5.2848000000000001E-4</v>
      </c>
    </row>
    <row r="5326" spans="1:12" ht="15.35" hidden="1" x14ac:dyDescent="0.55000000000000004">
      <c r="A5326" s="20">
        <v>14328</v>
      </c>
      <c r="B5326" s="2" t="s">
        <v>184</v>
      </c>
      <c r="C5326" s="2" t="s">
        <v>185</v>
      </c>
      <c r="D5326" s="20">
        <v>0</v>
      </c>
      <c r="E5326" s="2" t="s">
        <v>838</v>
      </c>
      <c r="F5326" s="2" t="s">
        <v>793</v>
      </c>
      <c r="G5326" s="2" t="s">
        <v>4290</v>
      </c>
      <c r="H5326" s="2" t="s">
        <v>824</v>
      </c>
      <c r="J5326" s="26"/>
      <c r="K5326" s="36">
        <v>5.1451339999999998E-2</v>
      </c>
      <c r="L5326" s="23">
        <v>2.5725700000000002E-3</v>
      </c>
    </row>
    <row r="5327" spans="1:12" ht="15.35" hidden="1" x14ac:dyDescent="0.55000000000000004">
      <c r="A5327" s="20">
        <v>14379</v>
      </c>
      <c r="B5327" s="2" t="s">
        <v>184</v>
      </c>
      <c r="C5327" s="2" t="s">
        <v>185</v>
      </c>
      <c r="D5327" s="20">
        <v>0</v>
      </c>
      <c r="E5327" s="2" t="s">
        <v>838</v>
      </c>
      <c r="F5327" s="2" t="s">
        <v>817</v>
      </c>
      <c r="G5327" s="2" t="s">
        <v>4653</v>
      </c>
      <c r="H5327" s="2" t="s">
        <v>3044</v>
      </c>
      <c r="J5327" s="26"/>
      <c r="K5327" s="36">
        <v>1.323034E-2</v>
      </c>
      <c r="L5327" s="23">
        <v>6.6151999999999997E-4</v>
      </c>
    </row>
    <row r="5328" spans="1:12" ht="15.35" hidden="1" x14ac:dyDescent="0.55000000000000004">
      <c r="A5328" s="20">
        <v>14309</v>
      </c>
      <c r="B5328" s="2" t="s">
        <v>184</v>
      </c>
      <c r="C5328" s="2" t="s">
        <v>185</v>
      </c>
      <c r="D5328" s="20">
        <v>0</v>
      </c>
      <c r="E5328" s="2" t="s">
        <v>838</v>
      </c>
      <c r="F5328" s="2" t="s">
        <v>848</v>
      </c>
      <c r="G5328" s="2" t="s">
        <v>1110</v>
      </c>
      <c r="H5328" s="2" t="s">
        <v>1110</v>
      </c>
      <c r="J5328" s="26"/>
      <c r="K5328" s="36">
        <v>5.1451339999999998E-2</v>
      </c>
      <c r="L5328" s="23">
        <v>2.5725700000000002E-3</v>
      </c>
    </row>
    <row r="5329" spans="1:12" ht="15.35" hidden="1" x14ac:dyDescent="0.55000000000000004">
      <c r="A5329" s="20">
        <v>14418</v>
      </c>
      <c r="B5329" s="2" t="s">
        <v>184</v>
      </c>
      <c r="C5329" s="2" t="s">
        <v>185</v>
      </c>
      <c r="D5329" s="20">
        <v>0</v>
      </c>
      <c r="E5329" s="2" t="s">
        <v>838</v>
      </c>
      <c r="F5329" s="2" t="s">
        <v>848</v>
      </c>
      <c r="G5329" s="2" t="s">
        <v>4654</v>
      </c>
      <c r="H5329" s="2" t="s">
        <v>4654</v>
      </c>
      <c r="J5329" s="26"/>
      <c r="K5329" s="36">
        <v>5.8801499999999998E-3</v>
      </c>
      <c r="L5329" s="23">
        <v>2.9400999999999999E-4</v>
      </c>
    </row>
    <row r="5330" spans="1:12" ht="15.35" hidden="1" x14ac:dyDescent="0.55000000000000004">
      <c r="A5330" s="20">
        <v>14578</v>
      </c>
      <c r="B5330" s="2" t="s">
        <v>184</v>
      </c>
      <c r="C5330" s="2" t="s">
        <v>185</v>
      </c>
      <c r="D5330" s="20">
        <v>0</v>
      </c>
      <c r="E5330" s="2" t="s">
        <v>838</v>
      </c>
      <c r="F5330" s="2" t="s">
        <v>793</v>
      </c>
      <c r="G5330" s="2" t="s">
        <v>3047</v>
      </c>
      <c r="H5330" s="2" t="s">
        <v>1111</v>
      </c>
      <c r="J5330" s="26"/>
      <c r="K5330" s="36">
        <v>1.47E-4</v>
      </c>
      <c r="L5330" s="23">
        <v>7.3499999999999999E-6</v>
      </c>
    </row>
    <row r="5331" spans="1:12" ht="15.35" hidden="1" x14ac:dyDescent="0.55000000000000004">
      <c r="A5331" s="20">
        <v>14330</v>
      </c>
      <c r="B5331" s="2" t="s">
        <v>184</v>
      </c>
      <c r="C5331" s="2" t="s">
        <v>185</v>
      </c>
      <c r="D5331" s="20">
        <v>0</v>
      </c>
      <c r="E5331" s="2" t="s">
        <v>838</v>
      </c>
      <c r="F5331" s="2" t="s">
        <v>833</v>
      </c>
      <c r="G5331" s="2" t="s">
        <v>4655</v>
      </c>
      <c r="H5331" s="2" t="s">
        <v>842</v>
      </c>
      <c r="J5331" s="26"/>
      <c r="K5331" s="36">
        <v>5.1157340000000003E-2</v>
      </c>
      <c r="L5331" s="23">
        <v>2.5578699999999998E-3</v>
      </c>
    </row>
    <row r="5332" spans="1:12" ht="15.35" hidden="1" x14ac:dyDescent="0.55000000000000004">
      <c r="A5332" s="20">
        <v>14366</v>
      </c>
      <c r="B5332" s="2" t="s">
        <v>184</v>
      </c>
      <c r="C5332" s="2" t="s">
        <v>185</v>
      </c>
      <c r="D5332" s="20">
        <v>0</v>
      </c>
      <c r="E5332" s="2" t="s">
        <v>838</v>
      </c>
      <c r="F5332" s="2" t="s">
        <v>848</v>
      </c>
      <c r="G5332" s="2" t="s">
        <v>1116</v>
      </c>
      <c r="H5332" s="2" t="s">
        <v>1116</v>
      </c>
      <c r="J5332" s="26"/>
      <c r="K5332" s="36">
        <v>1.764046E-2</v>
      </c>
      <c r="L5332" s="23">
        <v>8.8201999999999996E-4</v>
      </c>
    </row>
    <row r="5333" spans="1:12" ht="15.35" hidden="1" x14ac:dyDescent="0.55000000000000004">
      <c r="A5333" s="20">
        <v>14377</v>
      </c>
      <c r="B5333" s="2" t="s">
        <v>184</v>
      </c>
      <c r="C5333" s="2" t="s">
        <v>185</v>
      </c>
      <c r="D5333" s="20">
        <v>0</v>
      </c>
      <c r="E5333" s="2" t="s">
        <v>838</v>
      </c>
      <c r="F5333" s="2" t="s">
        <v>817</v>
      </c>
      <c r="G5333" s="2" t="s">
        <v>4656</v>
      </c>
      <c r="H5333" s="2" t="s">
        <v>862</v>
      </c>
      <c r="J5333" s="26"/>
      <c r="K5333" s="36">
        <v>1.4700380000000001E-2</v>
      </c>
      <c r="L5333" s="23">
        <v>7.3501999999999997E-4</v>
      </c>
    </row>
    <row r="5334" spans="1:12" ht="15.35" hidden="1" x14ac:dyDescent="0.55000000000000004">
      <c r="A5334" s="20">
        <v>14311</v>
      </c>
      <c r="B5334" s="2" t="s">
        <v>184</v>
      </c>
      <c r="C5334" s="2" t="s">
        <v>185</v>
      </c>
      <c r="D5334" s="20">
        <v>0</v>
      </c>
      <c r="E5334" s="2" t="s">
        <v>838</v>
      </c>
      <c r="F5334" s="2" t="s">
        <v>817</v>
      </c>
      <c r="G5334" s="2" t="s">
        <v>4293</v>
      </c>
      <c r="H5334" s="2" t="s">
        <v>862</v>
      </c>
      <c r="J5334" s="26"/>
      <c r="K5334" s="36">
        <v>5.1451339999999998E-2</v>
      </c>
      <c r="L5334" s="23">
        <v>2.5725700000000002E-3</v>
      </c>
    </row>
    <row r="5335" spans="1:12" ht="15.35" hidden="1" x14ac:dyDescent="0.55000000000000004">
      <c r="A5335" s="20">
        <v>14318</v>
      </c>
      <c r="B5335" s="2" t="s">
        <v>184</v>
      </c>
      <c r="C5335" s="2" t="s">
        <v>185</v>
      </c>
      <c r="D5335" s="20">
        <v>0</v>
      </c>
      <c r="E5335" s="2" t="s">
        <v>838</v>
      </c>
      <c r="F5335" s="2" t="s">
        <v>817</v>
      </c>
      <c r="G5335" s="2" t="s">
        <v>4294</v>
      </c>
      <c r="H5335" s="2" t="s">
        <v>862</v>
      </c>
      <c r="J5335" s="26"/>
      <c r="K5335" s="36">
        <v>5.1451339999999998E-2</v>
      </c>
      <c r="L5335" s="23">
        <v>2.5725700000000002E-3</v>
      </c>
    </row>
    <row r="5336" spans="1:12" ht="15.35" hidden="1" x14ac:dyDescent="0.55000000000000004">
      <c r="A5336" s="20">
        <v>14304</v>
      </c>
      <c r="B5336" s="2" t="s">
        <v>184</v>
      </c>
      <c r="C5336" s="2" t="s">
        <v>185</v>
      </c>
      <c r="D5336" s="20">
        <v>0</v>
      </c>
      <c r="E5336" s="2" t="s">
        <v>838</v>
      </c>
      <c r="F5336" s="2" t="s">
        <v>817</v>
      </c>
      <c r="G5336" s="2" t="s">
        <v>4295</v>
      </c>
      <c r="H5336" s="2" t="s">
        <v>862</v>
      </c>
      <c r="J5336" s="26"/>
      <c r="K5336" s="36">
        <v>5.1451339999999998E-2</v>
      </c>
      <c r="L5336" s="23">
        <v>2.5725700000000002E-3</v>
      </c>
    </row>
    <row r="5337" spans="1:12" ht="15.35" hidden="1" x14ac:dyDescent="0.55000000000000004">
      <c r="A5337" s="20">
        <v>14329</v>
      </c>
      <c r="B5337" s="2" t="s">
        <v>184</v>
      </c>
      <c r="C5337" s="2" t="s">
        <v>185</v>
      </c>
      <c r="D5337" s="20">
        <v>0</v>
      </c>
      <c r="E5337" s="2" t="s">
        <v>838</v>
      </c>
      <c r="F5337" s="2" t="s">
        <v>817</v>
      </c>
      <c r="G5337" s="2" t="s">
        <v>4657</v>
      </c>
      <c r="H5337" s="2" t="s">
        <v>862</v>
      </c>
      <c r="J5337" s="26"/>
      <c r="K5337" s="36">
        <v>5.1451339999999998E-2</v>
      </c>
      <c r="L5337" s="23">
        <v>2.5725700000000002E-3</v>
      </c>
    </row>
    <row r="5338" spans="1:12" ht="15.35" hidden="1" x14ac:dyDescent="0.55000000000000004">
      <c r="A5338" s="20">
        <v>14346</v>
      </c>
      <c r="B5338" s="2" t="s">
        <v>184</v>
      </c>
      <c r="C5338" s="2" t="s">
        <v>185</v>
      </c>
      <c r="D5338" s="20">
        <v>0</v>
      </c>
      <c r="E5338" s="2" t="s">
        <v>838</v>
      </c>
      <c r="F5338" s="2" t="s">
        <v>817</v>
      </c>
      <c r="G5338" s="2" t="s">
        <v>1117</v>
      </c>
      <c r="H5338" s="2" t="s">
        <v>942</v>
      </c>
      <c r="J5338" s="26"/>
      <c r="K5338" s="36">
        <v>3.1694029999999998E-2</v>
      </c>
      <c r="L5338" s="23">
        <v>1.5847000000000001E-3</v>
      </c>
    </row>
    <row r="5339" spans="1:12" ht="15.35" hidden="1" x14ac:dyDescent="0.55000000000000004">
      <c r="A5339" s="20">
        <v>14341</v>
      </c>
      <c r="B5339" s="2" t="s">
        <v>184</v>
      </c>
      <c r="C5339" s="2" t="s">
        <v>185</v>
      </c>
      <c r="D5339" s="20">
        <v>0</v>
      </c>
      <c r="E5339" s="2" t="s">
        <v>838</v>
      </c>
      <c r="F5339" s="2" t="s">
        <v>787</v>
      </c>
      <c r="G5339" s="2" t="s">
        <v>952</v>
      </c>
      <c r="H5339" s="2" t="s">
        <v>952</v>
      </c>
      <c r="J5339" s="26"/>
      <c r="K5339" s="36">
        <v>3.8191599999999999E-2</v>
      </c>
      <c r="L5339" s="23">
        <v>1.9095799999999999E-3</v>
      </c>
    </row>
    <row r="5340" spans="1:12" ht="15.35" hidden="1" x14ac:dyDescent="0.55000000000000004">
      <c r="A5340" s="20">
        <v>14570</v>
      </c>
      <c r="B5340" s="2" t="s">
        <v>184</v>
      </c>
      <c r="C5340" s="2" t="s">
        <v>185</v>
      </c>
      <c r="D5340" s="20">
        <v>0</v>
      </c>
      <c r="E5340" s="2" t="s">
        <v>838</v>
      </c>
      <c r="F5340" s="2" t="s">
        <v>811</v>
      </c>
      <c r="G5340" s="2" t="s">
        <v>4082</v>
      </c>
      <c r="H5340" s="2" t="s">
        <v>4083</v>
      </c>
      <c r="J5340" s="26"/>
      <c r="K5340" s="36">
        <v>1.9110000000000001E-4</v>
      </c>
      <c r="L5340" s="23">
        <v>9.5599999999999999E-6</v>
      </c>
    </row>
    <row r="5341" spans="1:12" ht="15.35" hidden="1" x14ac:dyDescent="0.55000000000000004">
      <c r="A5341" s="20">
        <v>14431</v>
      </c>
      <c r="B5341" s="2" t="s">
        <v>184</v>
      </c>
      <c r="C5341" s="2" t="s">
        <v>185</v>
      </c>
      <c r="D5341" s="20">
        <v>0</v>
      </c>
      <c r="E5341" s="2" t="s">
        <v>838</v>
      </c>
      <c r="F5341" s="2" t="s">
        <v>817</v>
      </c>
      <c r="G5341" s="2" t="s">
        <v>4658</v>
      </c>
      <c r="H5341" s="2" t="s">
        <v>4044</v>
      </c>
      <c r="J5341" s="26"/>
      <c r="K5341" s="36">
        <v>3.8221000000000002E-3</v>
      </c>
      <c r="L5341" s="23">
        <v>1.9111E-4</v>
      </c>
    </row>
    <row r="5342" spans="1:12" ht="15.35" hidden="1" x14ac:dyDescent="0.55000000000000004">
      <c r="A5342" s="20">
        <v>14478</v>
      </c>
      <c r="B5342" s="2" t="s">
        <v>184</v>
      </c>
      <c r="C5342" s="2" t="s">
        <v>185</v>
      </c>
      <c r="D5342" s="20">
        <v>0</v>
      </c>
      <c r="E5342" s="2" t="s">
        <v>838</v>
      </c>
      <c r="F5342" s="2" t="s">
        <v>811</v>
      </c>
      <c r="G5342" s="2" t="s">
        <v>4659</v>
      </c>
      <c r="H5342" s="2" t="s">
        <v>4085</v>
      </c>
      <c r="J5342" s="26"/>
      <c r="K5342" s="36">
        <v>1.9110500000000001E-3</v>
      </c>
      <c r="L5342" s="23">
        <v>9.5550000000000005E-5</v>
      </c>
    </row>
    <row r="5343" spans="1:12" ht="15.35" hidden="1" x14ac:dyDescent="0.55000000000000004">
      <c r="A5343" s="20">
        <v>14353</v>
      </c>
      <c r="B5343" s="2" t="s">
        <v>184</v>
      </c>
      <c r="C5343" s="2" t="s">
        <v>185</v>
      </c>
      <c r="D5343" s="20">
        <v>0</v>
      </c>
      <c r="E5343" s="2" t="s">
        <v>838</v>
      </c>
      <c r="F5343" s="2" t="s">
        <v>817</v>
      </c>
      <c r="G5343" s="2" t="s">
        <v>3363</v>
      </c>
      <c r="H5343" s="2" t="s">
        <v>3363</v>
      </c>
      <c r="J5343" s="26"/>
      <c r="K5343" s="36">
        <v>2.6460689999999999E-2</v>
      </c>
      <c r="L5343" s="23">
        <v>1.32303E-3</v>
      </c>
    </row>
    <row r="5344" spans="1:12" ht="15.35" hidden="1" x14ac:dyDescent="0.55000000000000004">
      <c r="A5344" s="20">
        <v>14432</v>
      </c>
      <c r="B5344" s="2" t="s">
        <v>184</v>
      </c>
      <c r="C5344" s="2" t="s">
        <v>185</v>
      </c>
      <c r="D5344" s="20">
        <v>0</v>
      </c>
      <c r="E5344" s="2" t="s">
        <v>838</v>
      </c>
      <c r="F5344" s="2" t="s">
        <v>793</v>
      </c>
      <c r="G5344" s="2" t="s">
        <v>4326</v>
      </c>
      <c r="H5344" s="2" t="s">
        <v>864</v>
      </c>
      <c r="J5344" s="26"/>
      <c r="K5344" s="36">
        <v>3.8073899999999999E-3</v>
      </c>
      <c r="L5344" s="23">
        <v>1.9037000000000001E-4</v>
      </c>
    </row>
    <row r="5345" spans="1:12" ht="15.35" hidden="1" x14ac:dyDescent="0.55000000000000004">
      <c r="A5345" s="20">
        <v>14436</v>
      </c>
      <c r="B5345" s="2" t="s">
        <v>184</v>
      </c>
      <c r="C5345" s="2" t="s">
        <v>185</v>
      </c>
      <c r="D5345" s="20">
        <v>0</v>
      </c>
      <c r="E5345" s="2" t="s">
        <v>838</v>
      </c>
      <c r="F5345" s="2" t="s">
        <v>793</v>
      </c>
      <c r="G5345" s="2" t="s">
        <v>4660</v>
      </c>
      <c r="H5345" s="2" t="s">
        <v>864</v>
      </c>
      <c r="J5345" s="26"/>
      <c r="K5345" s="36">
        <v>3.8073899999999999E-3</v>
      </c>
      <c r="L5345" s="23">
        <v>1.9037000000000001E-4</v>
      </c>
    </row>
    <row r="5346" spans="1:12" ht="15.35" hidden="1" x14ac:dyDescent="0.55000000000000004">
      <c r="A5346" s="20">
        <v>14448</v>
      </c>
      <c r="B5346" s="2" t="s">
        <v>184</v>
      </c>
      <c r="C5346" s="2" t="s">
        <v>185</v>
      </c>
      <c r="D5346" s="20">
        <v>0</v>
      </c>
      <c r="E5346" s="2" t="s">
        <v>838</v>
      </c>
      <c r="F5346" s="2" t="s">
        <v>793</v>
      </c>
      <c r="G5346" s="2" t="s">
        <v>3948</v>
      </c>
      <c r="H5346" s="2" t="s">
        <v>864</v>
      </c>
      <c r="J5346" s="26"/>
      <c r="K5346" s="36">
        <v>3.2340799999999999E-3</v>
      </c>
      <c r="L5346" s="23">
        <v>1.617E-4</v>
      </c>
    </row>
    <row r="5347" spans="1:12" ht="15.35" hidden="1" x14ac:dyDescent="0.55000000000000004">
      <c r="A5347" s="20">
        <v>14450</v>
      </c>
      <c r="B5347" s="2" t="s">
        <v>184</v>
      </c>
      <c r="C5347" s="2" t="s">
        <v>185</v>
      </c>
      <c r="D5347" s="20">
        <v>0</v>
      </c>
      <c r="E5347" s="2" t="s">
        <v>838</v>
      </c>
      <c r="F5347" s="2" t="s">
        <v>793</v>
      </c>
      <c r="G5347" s="2" t="s">
        <v>4661</v>
      </c>
      <c r="H5347" s="2" t="s">
        <v>864</v>
      </c>
      <c r="J5347" s="26"/>
      <c r="K5347" s="36">
        <v>3.1311799999999999E-3</v>
      </c>
      <c r="L5347" s="23">
        <v>1.5656000000000001E-4</v>
      </c>
    </row>
    <row r="5348" spans="1:12" ht="15.35" hidden="1" x14ac:dyDescent="0.55000000000000004">
      <c r="A5348" s="20">
        <v>14451</v>
      </c>
      <c r="B5348" s="2" t="s">
        <v>184</v>
      </c>
      <c r="C5348" s="2" t="s">
        <v>185</v>
      </c>
      <c r="D5348" s="20">
        <v>0</v>
      </c>
      <c r="E5348" s="2" t="s">
        <v>838</v>
      </c>
      <c r="F5348" s="2" t="s">
        <v>793</v>
      </c>
      <c r="G5348" s="2" t="s">
        <v>4662</v>
      </c>
      <c r="H5348" s="2" t="s">
        <v>864</v>
      </c>
      <c r="J5348" s="26"/>
      <c r="K5348" s="36">
        <v>3.1311799999999999E-3</v>
      </c>
      <c r="L5348" s="23">
        <v>1.5656000000000001E-4</v>
      </c>
    </row>
    <row r="5349" spans="1:12" ht="15.35" hidden="1" x14ac:dyDescent="0.55000000000000004">
      <c r="A5349" s="20">
        <v>14435</v>
      </c>
      <c r="B5349" s="2" t="s">
        <v>184</v>
      </c>
      <c r="C5349" s="2" t="s">
        <v>185</v>
      </c>
      <c r="D5349" s="20">
        <v>0</v>
      </c>
      <c r="E5349" s="2" t="s">
        <v>838</v>
      </c>
      <c r="F5349" s="2" t="s">
        <v>793</v>
      </c>
      <c r="G5349" s="2" t="s">
        <v>4663</v>
      </c>
      <c r="H5349" s="2" t="s">
        <v>864</v>
      </c>
      <c r="J5349" s="26"/>
      <c r="K5349" s="36">
        <v>3.8073899999999999E-3</v>
      </c>
      <c r="L5349" s="23">
        <v>1.9037000000000001E-4</v>
      </c>
    </row>
    <row r="5350" spans="1:12" ht="15.35" hidden="1" x14ac:dyDescent="0.55000000000000004">
      <c r="A5350" s="20">
        <v>14449</v>
      </c>
      <c r="B5350" s="2" t="s">
        <v>184</v>
      </c>
      <c r="C5350" s="2" t="s">
        <v>185</v>
      </c>
      <c r="D5350" s="20">
        <v>0</v>
      </c>
      <c r="E5350" s="2" t="s">
        <v>838</v>
      </c>
      <c r="F5350" s="2" t="s">
        <v>793</v>
      </c>
      <c r="G5350" s="2" t="s">
        <v>4664</v>
      </c>
      <c r="H5350" s="2" t="s">
        <v>864</v>
      </c>
      <c r="J5350" s="26"/>
      <c r="K5350" s="36">
        <v>3.1311799999999999E-3</v>
      </c>
      <c r="L5350" s="23">
        <v>1.5656000000000001E-4</v>
      </c>
    </row>
    <row r="5351" spans="1:12" ht="15.35" hidden="1" x14ac:dyDescent="0.55000000000000004">
      <c r="A5351" s="20">
        <v>14463</v>
      </c>
      <c r="B5351" s="2" t="s">
        <v>184</v>
      </c>
      <c r="C5351" s="2" t="s">
        <v>185</v>
      </c>
      <c r="D5351" s="20">
        <v>0</v>
      </c>
      <c r="E5351" s="2" t="s">
        <v>838</v>
      </c>
      <c r="F5351" s="2" t="s">
        <v>793</v>
      </c>
      <c r="G5351" s="2" t="s">
        <v>4665</v>
      </c>
      <c r="H5351" s="2" t="s">
        <v>864</v>
      </c>
      <c r="J5351" s="26"/>
      <c r="K5351" s="36">
        <v>2.8959699999999999E-3</v>
      </c>
      <c r="L5351" s="23">
        <v>1.448E-4</v>
      </c>
    </row>
    <row r="5352" spans="1:12" ht="15.35" hidden="1" x14ac:dyDescent="0.55000000000000004">
      <c r="A5352" s="20">
        <v>14547</v>
      </c>
      <c r="B5352" s="2" t="s">
        <v>184</v>
      </c>
      <c r="C5352" s="2" t="s">
        <v>185</v>
      </c>
      <c r="D5352" s="20">
        <v>0</v>
      </c>
      <c r="E5352" s="2" t="s">
        <v>838</v>
      </c>
      <c r="F5352" s="2" t="s">
        <v>793</v>
      </c>
      <c r="G5352" s="2" t="s">
        <v>4666</v>
      </c>
      <c r="H5352" s="2" t="s">
        <v>1153</v>
      </c>
      <c r="J5352" s="26"/>
      <c r="K5352" s="36">
        <v>5.1451000000000003E-4</v>
      </c>
      <c r="L5352" s="23">
        <v>2.5729999999999999E-5</v>
      </c>
    </row>
    <row r="5353" spans="1:12" ht="15.35" hidden="1" x14ac:dyDescent="0.55000000000000004">
      <c r="A5353" s="20">
        <v>14558</v>
      </c>
      <c r="B5353" s="2" t="s">
        <v>184</v>
      </c>
      <c r="C5353" s="2" t="s">
        <v>185</v>
      </c>
      <c r="D5353" s="20">
        <v>0</v>
      </c>
      <c r="E5353" s="2" t="s">
        <v>838</v>
      </c>
      <c r="F5353" s="2" t="s">
        <v>793</v>
      </c>
      <c r="G5353" s="2" t="s">
        <v>4086</v>
      </c>
      <c r="H5353" s="2" t="s">
        <v>1153</v>
      </c>
      <c r="J5353" s="26"/>
      <c r="K5353" s="36">
        <v>2.9399999999999999E-4</v>
      </c>
      <c r="L5353" s="23">
        <v>1.47E-5</v>
      </c>
    </row>
    <row r="5354" spans="1:12" ht="15.35" hidden="1" x14ac:dyDescent="0.55000000000000004">
      <c r="A5354" s="20">
        <v>14554</v>
      </c>
      <c r="B5354" s="2" t="s">
        <v>184</v>
      </c>
      <c r="C5354" s="2" t="s">
        <v>185</v>
      </c>
      <c r="D5354" s="20">
        <v>0</v>
      </c>
      <c r="E5354" s="2" t="s">
        <v>838</v>
      </c>
      <c r="F5354" s="2" t="s">
        <v>793</v>
      </c>
      <c r="G5354" s="2" t="s">
        <v>4667</v>
      </c>
      <c r="H5354" s="2" t="s">
        <v>1153</v>
      </c>
      <c r="J5354" s="26"/>
      <c r="K5354" s="36">
        <v>2.9399999999999999E-4</v>
      </c>
      <c r="L5354" s="23">
        <v>1.47E-5</v>
      </c>
    </row>
    <row r="5355" spans="1:12" ht="15.35" hidden="1" x14ac:dyDescent="0.55000000000000004">
      <c r="A5355" s="20">
        <v>14525</v>
      </c>
      <c r="B5355" s="2" t="s">
        <v>184</v>
      </c>
      <c r="C5355" s="2" t="s">
        <v>185</v>
      </c>
      <c r="D5355" s="20">
        <v>0</v>
      </c>
      <c r="E5355" s="2" t="s">
        <v>838</v>
      </c>
      <c r="F5355" s="2" t="s">
        <v>793</v>
      </c>
      <c r="G5355" s="2" t="s">
        <v>4668</v>
      </c>
      <c r="H5355" s="2" t="s">
        <v>1153</v>
      </c>
      <c r="J5355" s="26"/>
      <c r="K5355" s="36">
        <v>7.3501000000000003E-4</v>
      </c>
      <c r="L5355" s="23">
        <v>3.6749999999999999E-5</v>
      </c>
    </row>
    <row r="5356" spans="1:12" ht="15.35" hidden="1" x14ac:dyDescent="0.55000000000000004">
      <c r="A5356" s="20">
        <v>14367</v>
      </c>
      <c r="B5356" s="2" t="s">
        <v>184</v>
      </c>
      <c r="C5356" s="2" t="s">
        <v>185</v>
      </c>
      <c r="D5356" s="20">
        <v>0</v>
      </c>
      <c r="E5356" s="2" t="s">
        <v>838</v>
      </c>
      <c r="F5356" s="2" t="s">
        <v>787</v>
      </c>
      <c r="G5356" s="2" t="s">
        <v>1155</v>
      </c>
      <c r="H5356" s="2" t="s">
        <v>1155</v>
      </c>
      <c r="J5356" s="26"/>
      <c r="K5356" s="36">
        <v>1.7199450000000002E-2</v>
      </c>
      <c r="L5356" s="23">
        <v>8.5997000000000005E-4</v>
      </c>
    </row>
    <row r="5357" spans="1:12" ht="15.35" hidden="1" x14ac:dyDescent="0.55000000000000004">
      <c r="A5357" s="20">
        <v>14331</v>
      </c>
      <c r="B5357" s="2" t="s">
        <v>184</v>
      </c>
      <c r="C5357" s="2" t="s">
        <v>185</v>
      </c>
      <c r="D5357" s="20">
        <v>0</v>
      </c>
      <c r="E5357" s="2" t="s">
        <v>838</v>
      </c>
      <c r="F5357" s="2" t="s">
        <v>793</v>
      </c>
      <c r="G5357" s="2" t="s">
        <v>4669</v>
      </c>
      <c r="H5357" s="2" t="s">
        <v>824</v>
      </c>
      <c r="J5357" s="26"/>
      <c r="K5357" s="36">
        <v>5.0275309999999997E-2</v>
      </c>
      <c r="L5357" s="23">
        <v>2.5137699999999998E-3</v>
      </c>
    </row>
    <row r="5358" spans="1:12" ht="15.35" hidden="1" x14ac:dyDescent="0.55000000000000004">
      <c r="A5358" s="20">
        <v>14365</v>
      </c>
      <c r="B5358" s="2" t="s">
        <v>184</v>
      </c>
      <c r="C5358" s="2" t="s">
        <v>185</v>
      </c>
      <c r="D5358" s="20">
        <v>0</v>
      </c>
      <c r="E5358" s="2" t="s">
        <v>838</v>
      </c>
      <c r="F5358" s="2" t="s">
        <v>793</v>
      </c>
      <c r="G5358" s="2" t="s">
        <v>4670</v>
      </c>
      <c r="H5358" s="2" t="s">
        <v>824</v>
      </c>
      <c r="J5358" s="26"/>
      <c r="K5358" s="36">
        <v>1.8522480000000001E-2</v>
      </c>
      <c r="L5358" s="23">
        <v>9.2612E-4</v>
      </c>
    </row>
    <row r="5359" spans="1:12" ht="15.35" hidden="1" x14ac:dyDescent="0.55000000000000004">
      <c r="A5359" s="20">
        <v>14492</v>
      </c>
      <c r="B5359" s="2" t="s">
        <v>184</v>
      </c>
      <c r="C5359" s="2" t="s">
        <v>185</v>
      </c>
      <c r="D5359" s="20">
        <v>0</v>
      </c>
      <c r="E5359" s="2" t="s">
        <v>838</v>
      </c>
      <c r="F5359" s="2" t="s">
        <v>793</v>
      </c>
      <c r="G5359" s="2" t="s">
        <v>4671</v>
      </c>
      <c r="H5359" s="2" t="s">
        <v>1158</v>
      </c>
      <c r="J5359" s="26"/>
      <c r="K5359" s="36">
        <v>1.80814E-3</v>
      </c>
      <c r="L5359" s="23">
        <v>9.0409999999999997E-5</v>
      </c>
    </row>
    <row r="5360" spans="1:12" ht="15.35" hidden="1" x14ac:dyDescent="0.55000000000000004">
      <c r="A5360" s="20">
        <v>14486</v>
      </c>
      <c r="B5360" s="2" t="s">
        <v>184</v>
      </c>
      <c r="C5360" s="2" t="s">
        <v>185</v>
      </c>
      <c r="D5360" s="20">
        <v>0</v>
      </c>
      <c r="E5360" s="2" t="s">
        <v>838</v>
      </c>
      <c r="F5360" s="2" t="s">
        <v>793</v>
      </c>
      <c r="G5360" s="2" t="s">
        <v>4672</v>
      </c>
      <c r="H5360" s="2" t="s">
        <v>1158</v>
      </c>
      <c r="J5360" s="26"/>
      <c r="K5360" s="36">
        <v>1.89634E-3</v>
      </c>
      <c r="L5360" s="23">
        <v>9.4820000000000004E-5</v>
      </c>
    </row>
    <row r="5361" spans="1:12" ht="15.35" hidden="1" x14ac:dyDescent="0.55000000000000004">
      <c r="A5361" s="20">
        <v>14485</v>
      </c>
      <c r="B5361" s="2" t="s">
        <v>184</v>
      </c>
      <c r="C5361" s="2" t="s">
        <v>185</v>
      </c>
      <c r="D5361" s="20">
        <v>0</v>
      </c>
      <c r="E5361" s="2" t="s">
        <v>838</v>
      </c>
      <c r="F5361" s="2" t="s">
        <v>793</v>
      </c>
      <c r="G5361" s="2" t="s">
        <v>4673</v>
      </c>
      <c r="H5361" s="2" t="s">
        <v>1158</v>
      </c>
      <c r="J5361" s="26"/>
      <c r="K5361" s="36">
        <v>1.89634E-3</v>
      </c>
      <c r="L5361" s="23">
        <v>9.4820000000000004E-5</v>
      </c>
    </row>
    <row r="5362" spans="1:12" ht="15.35" hidden="1" x14ac:dyDescent="0.55000000000000004">
      <c r="A5362" s="20">
        <v>14481</v>
      </c>
      <c r="B5362" s="2" t="s">
        <v>184</v>
      </c>
      <c r="C5362" s="2" t="s">
        <v>185</v>
      </c>
      <c r="D5362" s="20">
        <v>0</v>
      </c>
      <c r="E5362" s="2" t="s">
        <v>838</v>
      </c>
      <c r="F5362" s="2" t="s">
        <v>793</v>
      </c>
      <c r="G5362" s="2" t="s">
        <v>4674</v>
      </c>
      <c r="H5362" s="2" t="s">
        <v>1158</v>
      </c>
      <c r="J5362" s="26"/>
      <c r="K5362" s="36">
        <v>1.89634E-3</v>
      </c>
      <c r="L5362" s="23">
        <v>9.4820000000000004E-5</v>
      </c>
    </row>
    <row r="5363" spans="1:12" ht="15.35" hidden="1" x14ac:dyDescent="0.55000000000000004">
      <c r="A5363" s="20">
        <v>14484</v>
      </c>
      <c r="B5363" s="2" t="s">
        <v>184</v>
      </c>
      <c r="C5363" s="2" t="s">
        <v>185</v>
      </c>
      <c r="D5363" s="20">
        <v>0</v>
      </c>
      <c r="E5363" s="2" t="s">
        <v>838</v>
      </c>
      <c r="F5363" s="2" t="s">
        <v>793</v>
      </c>
      <c r="G5363" s="2" t="s">
        <v>4675</v>
      </c>
      <c r="H5363" s="2" t="s">
        <v>1158</v>
      </c>
      <c r="J5363" s="26"/>
      <c r="K5363" s="36">
        <v>1.89634E-3</v>
      </c>
      <c r="L5363" s="23">
        <v>9.4820000000000004E-5</v>
      </c>
    </row>
    <row r="5364" spans="1:12" ht="15.35" hidden="1" x14ac:dyDescent="0.55000000000000004">
      <c r="A5364" s="20">
        <v>14496</v>
      </c>
      <c r="B5364" s="2" t="s">
        <v>184</v>
      </c>
      <c r="C5364" s="2" t="s">
        <v>185</v>
      </c>
      <c r="D5364" s="20">
        <v>0</v>
      </c>
      <c r="E5364" s="2" t="s">
        <v>838</v>
      </c>
      <c r="F5364" s="2" t="s">
        <v>793</v>
      </c>
      <c r="G5364" s="2" t="s">
        <v>4676</v>
      </c>
      <c r="H5364" s="2" t="s">
        <v>1158</v>
      </c>
      <c r="J5364" s="26"/>
      <c r="K5364" s="36">
        <v>1.58764E-3</v>
      </c>
      <c r="L5364" s="23">
        <v>7.9380000000000002E-5</v>
      </c>
    </row>
    <row r="5365" spans="1:12" ht="15.35" hidden="1" x14ac:dyDescent="0.55000000000000004">
      <c r="A5365" s="20">
        <v>14466</v>
      </c>
      <c r="B5365" s="2" t="s">
        <v>184</v>
      </c>
      <c r="C5365" s="2" t="s">
        <v>185</v>
      </c>
      <c r="D5365" s="20">
        <v>0</v>
      </c>
      <c r="E5365" s="2" t="s">
        <v>838</v>
      </c>
      <c r="F5365" s="2" t="s">
        <v>793</v>
      </c>
      <c r="G5365" s="2" t="s">
        <v>4677</v>
      </c>
      <c r="H5365" s="2" t="s">
        <v>1158</v>
      </c>
      <c r="J5365" s="26"/>
      <c r="K5365" s="36">
        <v>2.69017E-3</v>
      </c>
      <c r="L5365" s="23">
        <v>1.3451000000000001E-4</v>
      </c>
    </row>
    <row r="5366" spans="1:12" ht="15.35" hidden="1" x14ac:dyDescent="0.55000000000000004">
      <c r="A5366" s="20">
        <v>14515</v>
      </c>
      <c r="B5366" s="2" t="s">
        <v>184</v>
      </c>
      <c r="C5366" s="2" t="s">
        <v>185</v>
      </c>
      <c r="D5366" s="20">
        <v>0</v>
      </c>
      <c r="E5366" s="2" t="s">
        <v>838</v>
      </c>
      <c r="F5366" s="2" t="s">
        <v>793</v>
      </c>
      <c r="G5366" s="2" t="s">
        <v>4678</v>
      </c>
      <c r="H5366" s="2" t="s">
        <v>1158</v>
      </c>
      <c r="J5366" s="26"/>
      <c r="K5366" s="36">
        <v>9.1142000000000003E-4</v>
      </c>
      <c r="L5366" s="23">
        <v>4.5569999999999999E-5</v>
      </c>
    </row>
    <row r="5367" spans="1:12" ht="15.35" hidden="1" x14ac:dyDescent="0.55000000000000004">
      <c r="A5367" s="20">
        <v>14517</v>
      </c>
      <c r="B5367" s="2" t="s">
        <v>184</v>
      </c>
      <c r="C5367" s="2" t="s">
        <v>185</v>
      </c>
      <c r="D5367" s="20">
        <v>0</v>
      </c>
      <c r="E5367" s="2" t="s">
        <v>838</v>
      </c>
      <c r="F5367" s="2" t="s">
        <v>793</v>
      </c>
      <c r="G5367" s="2" t="s">
        <v>4679</v>
      </c>
      <c r="H5367" s="2" t="s">
        <v>1158</v>
      </c>
      <c r="J5367" s="26"/>
      <c r="K5367" s="36">
        <v>8.5262000000000001E-4</v>
      </c>
      <c r="L5367" s="23">
        <v>4.2629999999999997E-5</v>
      </c>
    </row>
    <row r="5368" spans="1:12" ht="15.35" hidden="1" x14ac:dyDescent="0.55000000000000004">
      <c r="A5368" s="20">
        <v>14495</v>
      </c>
      <c r="B5368" s="2" t="s">
        <v>184</v>
      </c>
      <c r="C5368" s="2" t="s">
        <v>185</v>
      </c>
      <c r="D5368" s="20">
        <v>0</v>
      </c>
      <c r="E5368" s="2" t="s">
        <v>838</v>
      </c>
      <c r="F5368" s="2" t="s">
        <v>793</v>
      </c>
      <c r="G5368" s="2" t="s">
        <v>4680</v>
      </c>
      <c r="H5368" s="2" t="s">
        <v>1158</v>
      </c>
      <c r="J5368" s="26"/>
      <c r="K5368" s="36">
        <v>1.7934400000000001E-3</v>
      </c>
      <c r="L5368" s="23">
        <v>8.967E-5</v>
      </c>
    </row>
    <row r="5369" spans="1:12" ht="15.35" hidden="1" x14ac:dyDescent="0.55000000000000004">
      <c r="A5369" s="20">
        <v>14491</v>
      </c>
      <c r="B5369" s="2" t="s">
        <v>184</v>
      </c>
      <c r="C5369" s="2" t="s">
        <v>185</v>
      </c>
      <c r="D5369" s="20">
        <v>0</v>
      </c>
      <c r="E5369" s="2" t="s">
        <v>838</v>
      </c>
      <c r="F5369" s="2" t="s">
        <v>793</v>
      </c>
      <c r="G5369" s="2" t="s">
        <v>4681</v>
      </c>
      <c r="H5369" s="2" t="s">
        <v>1158</v>
      </c>
      <c r="J5369" s="26"/>
      <c r="K5369" s="36">
        <v>1.80814E-3</v>
      </c>
      <c r="L5369" s="23">
        <v>9.0409999999999997E-5</v>
      </c>
    </row>
    <row r="5370" spans="1:12" ht="15.35" hidden="1" x14ac:dyDescent="0.55000000000000004">
      <c r="A5370" s="20">
        <v>14493</v>
      </c>
      <c r="B5370" s="2" t="s">
        <v>184</v>
      </c>
      <c r="C5370" s="2" t="s">
        <v>185</v>
      </c>
      <c r="D5370" s="20">
        <v>0</v>
      </c>
      <c r="E5370" s="2" t="s">
        <v>838</v>
      </c>
      <c r="F5370" s="2" t="s">
        <v>793</v>
      </c>
      <c r="G5370" s="2" t="s">
        <v>4682</v>
      </c>
      <c r="H5370" s="2" t="s">
        <v>1158</v>
      </c>
      <c r="J5370" s="26"/>
      <c r="K5370" s="36">
        <v>1.7934400000000001E-3</v>
      </c>
      <c r="L5370" s="23">
        <v>8.967E-5</v>
      </c>
    </row>
    <row r="5371" spans="1:12" ht="15.35" hidden="1" x14ac:dyDescent="0.55000000000000004">
      <c r="A5371" s="20">
        <v>14494</v>
      </c>
      <c r="B5371" s="2" t="s">
        <v>184</v>
      </c>
      <c r="C5371" s="2" t="s">
        <v>185</v>
      </c>
      <c r="D5371" s="20">
        <v>0</v>
      </c>
      <c r="E5371" s="2" t="s">
        <v>838</v>
      </c>
      <c r="F5371" s="2" t="s">
        <v>793</v>
      </c>
      <c r="G5371" s="2" t="s">
        <v>4683</v>
      </c>
      <c r="H5371" s="2" t="s">
        <v>1158</v>
      </c>
      <c r="J5371" s="26"/>
      <c r="K5371" s="36">
        <v>1.7934400000000001E-3</v>
      </c>
      <c r="L5371" s="23">
        <v>8.967E-5</v>
      </c>
    </row>
    <row r="5372" spans="1:12" ht="15.35" hidden="1" x14ac:dyDescent="0.55000000000000004">
      <c r="A5372" s="20">
        <v>14380</v>
      </c>
      <c r="B5372" s="2" t="s">
        <v>184</v>
      </c>
      <c r="C5372" s="2" t="s">
        <v>185</v>
      </c>
      <c r="D5372" s="20">
        <v>0</v>
      </c>
      <c r="E5372" s="2" t="s">
        <v>838</v>
      </c>
      <c r="F5372" s="2" t="s">
        <v>793</v>
      </c>
      <c r="G5372" s="2" t="s">
        <v>4684</v>
      </c>
      <c r="H5372" s="2" t="s">
        <v>1848</v>
      </c>
      <c r="J5372" s="26"/>
      <c r="K5372" s="36">
        <v>1.17603E-2</v>
      </c>
      <c r="L5372" s="23">
        <v>5.8801000000000003E-4</v>
      </c>
    </row>
    <row r="5373" spans="1:12" ht="15.35" hidden="1" x14ac:dyDescent="0.55000000000000004">
      <c r="A5373" s="20">
        <v>14317</v>
      </c>
      <c r="B5373" s="2" t="s">
        <v>184</v>
      </c>
      <c r="C5373" s="2" t="s">
        <v>185</v>
      </c>
      <c r="D5373" s="20">
        <v>0</v>
      </c>
      <c r="E5373" s="2" t="s">
        <v>838</v>
      </c>
      <c r="F5373" s="2" t="s">
        <v>787</v>
      </c>
      <c r="G5373" s="2" t="s">
        <v>1164</v>
      </c>
      <c r="H5373" s="2" t="s">
        <v>1164</v>
      </c>
      <c r="J5373" s="26"/>
      <c r="K5373" s="36">
        <v>5.1451339999999998E-2</v>
      </c>
      <c r="L5373" s="23">
        <v>2.5725700000000002E-3</v>
      </c>
    </row>
    <row r="5374" spans="1:12" ht="15.35" hidden="1" x14ac:dyDescent="0.55000000000000004">
      <c r="A5374" s="20">
        <v>14483</v>
      </c>
      <c r="B5374" s="2" t="s">
        <v>184</v>
      </c>
      <c r="C5374" s="2" t="s">
        <v>185</v>
      </c>
      <c r="D5374" s="20">
        <v>0</v>
      </c>
      <c r="E5374" s="2" t="s">
        <v>838</v>
      </c>
      <c r="F5374" s="2" t="s">
        <v>793</v>
      </c>
      <c r="G5374" s="2" t="s">
        <v>3983</v>
      </c>
      <c r="H5374" s="2" t="s">
        <v>1166</v>
      </c>
      <c r="J5374" s="26"/>
      <c r="K5374" s="36">
        <v>1.89634E-3</v>
      </c>
      <c r="L5374" s="23">
        <v>9.4820000000000004E-5</v>
      </c>
    </row>
    <row r="5375" spans="1:12" ht="15.35" hidden="1" x14ac:dyDescent="0.55000000000000004">
      <c r="A5375" s="20">
        <v>14487</v>
      </c>
      <c r="B5375" s="2" t="s">
        <v>184</v>
      </c>
      <c r="C5375" s="2" t="s">
        <v>185</v>
      </c>
      <c r="D5375" s="20">
        <v>0</v>
      </c>
      <c r="E5375" s="2" t="s">
        <v>838</v>
      </c>
      <c r="F5375" s="2" t="s">
        <v>793</v>
      </c>
      <c r="G5375" s="2" t="s">
        <v>4087</v>
      </c>
      <c r="H5375" s="2" t="s">
        <v>1166</v>
      </c>
      <c r="J5375" s="26"/>
      <c r="K5375" s="36">
        <v>1.89634E-3</v>
      </c>
      <c r="L5375" s="23">
        <v>9.4820000000000004E-5</v>
      </c>
    </row>
    <row r="5376" spans="1:12" ht="15.35" hidden="1" x14ac:dyDescent="0.55000000000000004">
      <c r="A5376" s="20">
        <v>14488</v>
      </c>
      <c r="B5376" s="2" t="s">
        <v>184</v>
      </c>
      <c r="C5376" s="2" t="s">
        <v>185</v>
      </c>
      <c r="D5376" s="20">
        <v>0</v>
      </c>
      <c r="E5376" s="2" t="s">
        <v>838</v>
      </c>
      <c r="F5376" s="2" t="s">
        <v>793</v>
      </c>
      <c r="G5376" s="2" t="s">
        <v>4088</v>
      </c>
      <c r="H5376" s="2" t="s">
        <v>1166</v>
      </c>
      <c r="J5376" s="26"/>
      <c r="K5376" s="36">
        <v>1.89634E-3</v>
      </c>
      <c r="L5376" s="23">
        <v>9.4820000000000004E-5</v>
      </c>
    </row>
    <row r="5377" spans="1:12" ht="15.35" hidden="1" x14ac:dyDescent="0.55000000000000004">
      <c r="A5377" s="20">
        <v>14307</v>
      </c>
      <c r="B5377" s="2" t="s">
        <v>184</v>
      </c>
      <c r="C5377" s="2" t="s">
        <v>185</v>
      </c>
      <c r="D5377" s="20">
        <v>0</v>
      </c>
      <c r="E5377" s="2" t="s">
        <v>838</v>
      </c>
      <c r="F5377" s="2" t="s">
        <v>848</v>
      </c>
      <c r="G5377" s="2" t="s">
        <v>1169</v>
      </c>
      <c r="H5377" s="2" t="s">
        <v>1169</v>
      </c>
      <c r="J5377" s="26"/>
      <c r="K5377" s="36">
        <v>5.1451339999999998E-2</v>
      </c>
      <c r="L5377" s="23">
        <v>2.5725700000000002E-3</v>
      </c>
    </row>
    <row r="5378" spans="1:12" ht="15.35" hidden="1" x14ac:dyDescent="0.55000000000000004">
      <c r="A5378" s="20">
        <v>14384</v>
      </c>
      <c r="B5378" s="2" t="s">
        <v>184</v>
      </c>
      <c r="C5378" s="2" t="s">
        <v>185</v>
      </c>
      <c r="D5378" s="20">
        <v>0</v>
      </c>
      <c r="E5378" s="2" t="s">
        <v>838</v>
      </c>
      <c r="F5378" s="2" t="s">
        <v>817</v>
      </c>
      <c r="G5378" s="2" t="s">
        <v>4685</v>
      </c>
      <c r="H5378" s="2" t="s">
        <v>1171</v>
      </c>
      <c r="J5378" s="26"/>
      <c r="K5378" s="36">
        <v>1.17603E-2</v>
      </c>
      <c r="L5378" s="23">
        <v>5.8801000000000003E-4</v>
      </c>
    </row>
    <row r="5379" spans="1:12" ht="15.35" hidden="1" x14ac:dyDescent="0.55000000000000004">
      <c r="A5379" s="20">
        <v>14505</v>
      </c>
      <c r="B5379" s="2" t="s">
        <v>184</v>
      </c>
      <c r="C5379" s="2" t="s">
        <v>185</v>
      </c>
      <c r="D5379" s="20">
        <v>0</v>
      </c>
      <c r="E5379" s="2" t="s">
        <v>838</v>
      </c>
      <c r="F5379" s="2" t="s">
        <v>793</v>
      </c>
      <c r="G5379" s="2" t="s">
        <v>4686</v>
      </c>
      <c r="H5379" s="2" t="s">
        <v>2513</v>
      </c>
      <c r="J5379" s="26"/>
      <c r="K5379" s="36">
        <v>1.17603E-3</v>
      </c>
      <c r="L5379" s="23">
        <v>5.8799999999999999E-5</v>
      </c>
    </row>
    <row r="5380" spans="1:12" ht="15.35" hidden="1" x14ac:dyDescent="0.55000000000000004">
      <c r="A5380" s="20">
        <v>14303</v>
      </c>
      <c r="B5380" s="2" t="s">
        <v>184</v>
      </c>
      <c r="C5380" s="2" t="s">
        <v>185</v>
      </c>
      <c r="D5380" s="20">
        <v>0</v>
      </c>
      <c r="E5380" s="2" t="s">
        <v>838</v>
      </c>
      <c r="F5380" s="2" t="s">
        <v>793</v>
      </c>
      <c r="G5380" s="2" t="s">
        <v>4328</v>
      </c>
      <c r="H5380" s="2" t="s">
        <v>2513</v>
      </c>
      <c r="J5380" s="26"/>
      <c r="K5380" s="36">
        <v>5.1451339999999998E-2</v>
      </c>
      <c r="L5380" s="23">
        <v>2.5725700000000002E-3</v>
      </c>
    </row>
    <row r="5381" spans="1:12" ht="15.35" hidden="1" x14ac:dyDescent="0.55000000000000004">
      <c r="A5381" s="20">
        <v>14355</v>
      </c>
      <c r="B5381" s="2" t="s">
        <v>184</v>
      </c>
      <c r="C5381" s="2" t="s">
        <v>185</v>
      </c>
      <c r="D5381" s="20">
        <v>0</v>
      </c>
      <c r="E5381" s="2" t="s">
        <v>838</v>
      </c>
      <c r="F5381" s="2" t="s">
        <v>793</v>
      </c>
      <c r="G5381" s="2" t="s">
        <v>4090</v>
      </c>
      <c r="H5381" s="2" t="s">
        <v>2513</v>
      </c>
      <c r="J5381" s="26"/>
      <c r="K5381" s="36">
        <v>2.5402259999999999E-2</v>
      </c>
      <c r="L5381" s="23">
        <v>1.2701100000000001E-3</v>
      </c>
    </row>
    <row r="5382" spans="1:12" ht="15.35" hidden="1" x14ac:dyDescent="0.55000000000000004">
      <c r="A5382" s="20">
        <v>14533</v>
      </c>
      <c r="B5382" s="2" t="s">
        <v>184</v>
      </c>
      <c r="C5382" s="2" t="s">
        <v>185</v>
      </c>
      <c r="D5382" s="20">
        <v>0</v>
      </c>
      <c r="E5382" s="2" t="s">
        <v>838</v>
      </c>
      <c r="F5382" s="2" t="s">
        <v>793</v>
      </c>
      <c r="G5382" s="2" t="s">
        <v>4091</v>
      </c>
      <c r="H5382" s="2" t="s">
        <v>2513</v>
      </c>
      <c r="J5382" s="26"/>
      <c r="K5382" s="36">
        <v>7.3501000000000003E-4</v>
      </c>
      <c r="L5382" s="23">
        <v>3.6749999999999999E-5</v>
      </c>
    </row>
    <row r="5383" spans="1:12" ht="15.35" hidden="1" x14ac:dyDescent="0.55000000000000004">
      <c r="A5383" s="20">
        <v>14524</v>
      </c>
      <c r="B5383" s="2" t="s">
        <v>184</v>
      </c>
      <c r="C5383" s="2" t="s">
        <v>185</v>
      </c>
      <c r="D5383" s="20">
        <v>0</v>
      </c>
      <c r="E5383" s="2" t="s">
        <v>838</v>
      </c>
      <c r="F5383" s="2" t="s">
        <v>793</v>
      </c>
      <c r="G5383" s="2" t="s">
        <v>4092</v>
      </c>
      <c r="H5383" s="2" t="s">
        <v>2513</v>
      </c>
      <c r="J5383" s="26"/>
      <c r="K5383" s="36">
        <v>7.3501000000000003E-4</v>
      </c>
      <c r="L5383" s="23">
        <v>3.6749999999999999E-5</v>
      </c>
    </row>
    <row r="5384" spans="1:12" ht="15.35" hidden="1" x14ac:dyDescent="0.55000000000000004">
      <c r="A5384" s="20">
        <v>14529</v>
      </c>
      <c r="B5384" s="2" t="s">
        <v>184</v>
      </c>
      <c r="C5384" s="2" t="s">
        <v>185</v>
      </c>
      <c r="D5384" s="20">
        <v>0</v>
      </c>
      <c r="E5384" s="2" t="s">
        <v>838</v>
      </c>
      <c r="F5384" s="2" t="s">
        <v>793</v>
      </c>
      <c r="G5384" s="2" t="s">
        <v>4093</v>
      </c>
      <c r="H5384" s="2" t="s">
        <v>2513</v>
      </c>
      <c r="J5384" s="26"/>
      <c r="K5384" s="36">
        <v>7.3501000000000003E-4</v>
      </c>
      <c r="L5384" s="23">
        <v>3.6749999999999999E-5</v>
      </c>
    </row>
    <row r="5385" spans="1:12" ht="15.35" hidden="1" x14ac:dyDescent="0.55000000000000004">
      <c r="A5385" s="20">
        <v>14527</v>
      </c>
      <c r="B5385" s="2" t="s">
        <v>184</v>
      </c>
      <c r="C5385" s="2" t="s">
        <v>185</v>
      </c>
      <c r="D5385" s="20">
        <v>0</v>
      </c>
      <c r="E5385" s="2" t="s">
        <v>838</v>
      </c>
      <c r="F5385" s="2" t="s">
        <v>793</v>
      </c>
      <c r="G5385" s="2" t="s">
        <v>4094</v>
      </c>
      <c r="H5385" s="2" t="s">
        <v>2513</v>
      </c>
      <c r="J5385" s="26"/>
      <c r="K5385" s="36">
        <v>7.3501000000000003E-4</v>
      </c>
      <c r="L5385" s="23">
        <v>3.6749999999999999E-5</v>
      </c>
    </row>
    <row r="5386" spans="1:12" ht="15.35" hidden="1" x14ac:dyDescent="0.55000000000000004">
      <c r="A5386" s="20">
        <v>14531</v>
      </c>
      <c r="B5386" s="2" t="s">
        <v>184</v>
      </c>
      <c r="C5386" s="2" t="s">
        <v>185</v>
      </c>
      <c r="D5386" s="20">
        <v>0</v>
      </c>
      <c r="E5386" s="2" t="s">
        <v>838</v>
      </c>
      <c r="F5386" s="2" t="s">
        <v>793</v>
      </c>
      <c r="G5386" s="2" t="s">
        <v>4095</v>
      </c>
      <c r="H5386" s="2" t="s">
        <v>2513</v>
      </c>
      <c r="J5386" s="26"/>
      <c r="K5386" s="36">
        <v>7.3501000000000003E-4</v>
      </c>
      <c r="L5386" s="23">
        <v>3.6749999999999999E-5</v>
      </c>
    </row>
    <row r="5387" spans="1:12" ht="15.35" hidden="1" x14ac:dyDescent="0.55000000000000004">
      <c r="A5387" s="20">
        <v>14532</v>
      </c>
      <c r="B5387" s="2" t="s">
        <v>184</v>
      </c>
      <c r="C5387" s="2" t="s">
        <v>185</v>
      </c>
      <c r="D5387" s="20">
        <v>0</v>
      </c>
      <c r="E5387" s="2" t="s">
        <v>838</v>
      </c>
      <c r="F5387" s="2" t="s">
        <v>793</v>
      </c>
      <c r="G5387" s="2" t="s">
        <v>4096</v>
      </c>
      <c r="H5387" s="2" t="s">
        <v>2513</v>
      </c>
      <c r="J5387" s="26"/>
      <c r="K5387" s="36">
        <v>7.3501000000000003E-4</v>
      </c>
      <c r="L5387" s="23">
        <v>3.6749999999999999E-5</v>
      </c>
    </row>
    <row r="5388" spans="1:12" ht="15.35" hidden="1" x14ac:dyDescent="0.55000000000000004">
      <c r="A5388" s="20">
        <v>14522</v>
      </c>
      <c r="B5388" s="2" t="s">
        <v>184</v>
      </c>
      <c r="C5388" s="2" t="s">
        <v>185</v>
      </c>
      <c r="D5388" s="20">
        <v>0</v>
      </c>
      <c r="E5388" s="2" t="s">
        <v>838</v>
      </c>
      <c r="F5388" s="2" t="s">
        <v>793</v>
      </c>
      <c r="G5388" s="2" t="s">
        <v>4097</v>
      </c>
      <c r="H5388" s="2" t="s">
        <v>2513</v>
      </c>
      <c r="J5388" s="26"/>
      <c r="K5388" s="36">
        <v>7.3501000000000003E-4</v>
      </c>
      <c r="L5388" s="23">
        <v>3.6749999999999999E-5</v>
      </c>
    </row>
    <row r="5389" spans="1:12" ht="15.35" hidden="1" x14ac:dyDescent="0.55000000000000004">
      <c r="A5389" s="20">
        <v>14536</v>
      </c>
      <c r="B5389" s="2" t="s">
        <v>184</v>
      </c>
      <c r="C5389" s="2" t="s">
        <v>185</v>
      </c>
      <c r="D5389" s="20">
        <v>0</v>
      </c>
      <c r="E5389" s="2" t="s">
        <v>838</v>
      </c>
      <c r="F5389" s="2" t="s">
        <v>793</v>
      </c>
      <c r="G5389" s="2" t="s">
        <v>4098</v>
      </c>
      <c r="H5389" s="2" t="s">
        <v>2513</v>
      </c>
      <c r="J5389" s="26"/>
      <c r="K5389" s="36">
        <v>7.3501000000000003E-4</v>
      </c>
      <c r="L5389" s="23">
        <v>3.6749999999999999E-5</v>
      </c>
    </row>
    <row r="5390" spans="1:12" ht="15.35" hidden="1" x14ac:dyDescent="0.55000000000000004">
      <c r="A5390" s="20">
        <v>14526</v>
      </c>
      <c r="B5390" s="2" t="s">
        <v>184</v>
      </c>
      <c r="C5390" s="2" t="s">
        <v>185</v>
      </c>
      <c r="D5390" s="20">
        <v>0</v>
      </c>
      <c r="E5390" s="2" t="s">
        <v>838</v>
      </c>
      <c r="F5390" s="2" t="s">
        <v>793</v>
      </c>
      <c r="G5390" s="2" t="s">
        <v>4099</v>
      </c>
      <c r="H5390" s="2" t="s">
        <v>2513</v>
      </c>
      <c r="J5390" s="26"/>
      <c r="K5390" s="36">
        <v>7.3501000000000003E-4</v>
      </c>
      <c r="L5390" s="23">
        <v>3.6749999999999999E-5</v>
      </c>
    </row>
    <row r="5391" spans="1:12" ht="15.35" hidden="1" x14ac:dyDescent="0.55000000000000004">
      <c r="A5391" s="20">
        <v>14528</v>
      </c>
      <c r="B5391" s="2" t="s">
        <v>184</v>
      </c>
      <c r="C5391" s="2" t="s">
        <v>185</v>
      </c>
      <c r="D5391" s="20">
        <v>0</v>
      </c>
      <c r="E5391" s="2" t="s">
        <v>838</v>
      </c>
      <c r="F5391" s="2" t="s">
        <v>793</v>
      </c>
      <c r="G5391" s="2" t="s">
        <v>4100</v>
      </c>
      <c r="H5391" s="2" t="s">
        <v>2513</v>
      </c>
      <c r="J5391" s="26"/>
      <c r="K5391" s="36">
        <v>7.3501000000000003E-4</v>
      </c>
      <c r="L5391" s="23">
        <v>3.6749999999999999E-5</v>
      </c>
    </row>
    <row r="5392" spans="1:12" ht="15.35" hidden="1" x14ac:dyDescent="0.55000000000000004">
      <c r="A5392" s="20">
        <v>14538</v>
      </c>
      <c r="B5392" s="2" t="s">
        <v>184</v>
      </c>
      <c r="C5392" s="2" t="s">
        <v>185</v>
      </c>
      <c r="D5392" s="20">
        <v>0</v>
      </c>
      <c r="E5392" s="2" t="s">
        <v>838</v>
      </c>
      <c r="F5392" s="2" t="s">
        <v>793</v>
      </c>
      <c r="G5392" s="2" t="s">
        <v>4101</v>
      </c>
      <c r="H5392" s="2" t="s">
        <v>2513</v>
      </c>
      <c r="J5392" s="26"/>
      <c r="K5392" s="36">
        <v>7.3501000000000003E-4</v>
      </c>
      <c r="L5392" s="23">
        <v>3.6749999999999999E-5</v>
      </c>
    </row>
    <row r="5393" spans="1:12" ht="15.35" hidden="1" x14ac:dyDescent="0.55000000000000004">
      <c r="A5393" s="20">
        <v>14537</v>
      </c>
      <c r="B5393" s="2" t="s">
        <v>184</v>
      </c>
      <c r="C5393" s="2" t="s">
        <v>185</v>
      </c>
      <c r="D5393" s="20">
        <v>0</v>
      </c>
      <c r="E5393" s="2" t="s">
        <v>838</v>
      </c>
      <c r="F5393" s="2" t="s">
        <v>793</v>
      </c>
      <c r="G5393" s="2" t="s">
        <v>4102</v>
      </c>
      <c r="H5393" s="2" t="s">
        <v>2513</v>
      </c>
      <c r="J5393" s="26"/>
      <c r="K5393" s="36">
        <v>7.3501000000000003E-4</v>
      </c>
      <c r="L5393" s="23">
        <v>3.6749999999999999E-5</v>
      </c>
    </row>
    <row r="5394" spans="1:12" ht="15.35" hidden="1" x14ac:dyDescent="0.55000000000000004">
      <c r="A5394" s="20">
        <v>14530</v>
      </c>
      <c r="B5394" s="2" t="s">
        <v>184</v>
      </c>
      <c r="C5394" s="2" t="s">
        <v>185</v>
      </c>
      <c r="D5394" s="20">
        <v>0</v>
      </c>
      <c r="E5394" s="2" t="s">
        <v>838</v>
      </c>
      <c r="F5394" s="2" t="s">
        <v>793</v>
      </c>
      <c r="G5394" s="2" t="s">
        <v>4103</v>
      </c>
      <c r="H5394" s="2" t="s">
        <v>2513</v>
      </c>
      <c r="J5394" s="26"/>
      <c r="K5394" s="36">
        <v>7.3501000000000003E-4</v>
      </c>
      <c r="L5394" s="23">
        <v>3.6749999999999999E-5</v>
      </c>
    </row>
    <row r="5395" spans="1:12" ht="15.35" hidden="1" x14ac:dyDescent="0.55000000000000004">
      <c r="A5395" s="20">
        <v>14523</v>
      </c>
      <c r="B5395" s="2" t="s">
        <v>184</v>
      </c>
      <c r="C5395" s="2" t="s">
        <v>185</v>
      </c>
      <c r="D5395" s="20">
        <v>0</v>
      </c>
      <c r="E5395" s="2" t="s">
        <v>838</v>
      </c>
      <c r="F5395" s="2" t="s">
        <v>793</v>
      </c>
      <c r="G5395" s="2" t="s">
        <v>4104</v>
      </c>
      <c r="H5395" s="2" t="s">
        <v>2513</v>
      </c>
      <c r="J5395" s="26"/>
      <c r="K5395" s="36">
        <v>7.3501000000000003E-4</v>
      </c>
      <c r="L5395" s="23">
        <v>3.6749999999999999E-5</v>
      </c>
    </row>
    <row r="5396" spans="1:12" ht="15.35" hidden="1" x14ac:dyDescent="0.55000000000000004">
      <c r="A5396" s="20">
        <v>14535</v>
      </c>
      <c r="B5396" s="2" t="s">
        <v>184</v>
      </c>
      <c r="C5396" s="2" t="s">
        <v>185</v>
      </c>
      <c r="D5396" s="20">
        <v>0</v>
      </c>
      <c r="E5396" s="2" t="s">
        <v>838</v>
      </c>
      <c r="F5396" s="2" t="s">
        <v>793</v>
      </c>
      <c r="G5396" s="2" t="s">
        <v>4105</v>
      </c>
      <c r="H5396" s="2" t="s">
        <v>2513</v>
      </c>
      <c r="J5396" s="26"/>
      <c r="K5396" s="36">
        <v>7.3501000000000003E-4</v>
      </c>
      <c r="L5396" s="23">
        <v>3.6749999999999999E-5</v>
      </c>
    </row>
    <row r="5397" spans="1:12" ht="15.35" hidden="1" x14ac:dyDescent="0.55000000000000004">
      <c r="A5397" s="20">
        <v>14337</v>
      </c>
      <c r="B5397" s="2" t="s">
        <v>184</v>
      </c>
      <c r="C5397" s="2" t="s">
        <v>185</v>
      </c>
      <c r="D5397" s="20">
        <v>0</v>
      </c>
      <c r="E5397" s="2" t="s">
        <v>838</v>
      </c>
      <c r="F5397" s="2" t="s">
        <v>793</v>
      </c>
      <c r="G5397" s="2" t="s">
        <v>4687</v>
      </c>
      <c r="H5397" s="2" t="s">
        <v>2513</v>
      </c>
      <c r="J5397" s="26"/>
      <c r="K5397" s="36">
        <v>3.8603209999999999E-2</v>
      </c>
      <c r="L5397" s="23">
        <v>1.93016E-3</v>
      </c>
    </row>
    <row r="5398" spans="1:12" ht="15.35" hidden="1" x14ac:dyDescent="0.55000000000000004">
      <c r="A5398" s="20">
        <v>14351</v>
      </c>
      <c r="B5398" s="2" t="s">
        <v>184</v>
      </c>
      <c r="C5398" s="2" t="s">
        <v>185</v>
      </c>
      <c r="D5398" s="20">
        <v>0</v>
      </c>
      <c r="E5398" s="2" t="s">
        <v>838</v>
      </c>
      <c r="F5398" s="2" t="s">
        <v>793</v>
      </c>
      <c r="G5398" s="2" t="s">
        <v>4688</v>
      </c>
      <c r="H5398" s="2" t="s">
        <v>4689</v>
      </c>
      <c r="J5398" s="26"/>
      <c r="K5398" s="36">
        <v>2.787193E-2</v>
      </c>
      <c r="L5398" s="23">
        <v>1.3936E-3</v>
      </c>
    </row>
    <row r="5399" spans="1:12" ht="15.35" hidden="1" x14ac:dyDescent="0.55000000000000004">
      <c r="A5399" s="20">
        <v>14410</v>
      </c>
      <c r="B5399" s="2" t="s">
        <v>184</v>
      </c>
      <c r="C5399" s="2" t="s">
        <v>185</v>
      </c>
      <c r="D5399" s="20">
        <v>0</v>
      </c>
      <c r="E5399" s="2" t="s">
        <v>838</v>
      </c>
      <c r="F5399" s="2" t="s">
        <v>817</v>
      </c>
      <c r="G5399" s="2" t="s">
        <v>4690</v>
      </c>
      <c r="H5399" s="2" t="s">
        <v>4691</v>
      </c>
      <c r="J5399" s="26"/>
      <c r="K5399" s="36">
        <v>7.3501900000000004E-3</v>
      </c>
      <c r="L5399" s="23">
        <v>3.6750999999999998E-4</v>
      </c>
    </row>
    <row r="5400" spans="1:12" ht="15.35" hidden="1" x14ac:dyDescent="0.55000000000000004">
      <c r="A5400" s="20">
        <v>14398</v>
      </c>
      <c r="B5400" s="2" t="s">
        <v>184</v>
      </c>
      <c r="C5400" s="2" t="s">
        <v>185</v>
      </c>
      <c r="D5400" s="20">
        <v>0</v>
      </c>
      <c r="E5400" s="2" t="s">
        <v>838</v>
      </c>
      <c r="F5400" s="2" t="s">
        <v>793</v>
      </c>
      <c r="G5400" s="2" t="s">
        <v>4692</v>
      </c>
      <c r="H5400" s="2" t="s">
        <v>4693</v>
      </c>
      <c r="J5400" s="26"/>
      <c r="K5400" s="36">
        <v>9.5405400000000001E-3</v>
      </c>
      <c r="L5400" s="23">
        <v>4.7702999999999998E-4</v>
      </c>
    </row>
    <row r="5401" spans="1:12" ht="15.35" hidden="1" x14ac:dyDescent="0.55000000000000004">
      <c r="A5401" s="20">
        <v>14438</v>
      </c>
      <c r="B5401" s="2" t="s">
        <v>184</v>
      </c>
      <c r="C5401" s="2" t="s">
        <v>185</v>
      </c>
      <c r="D5401" s="20">
        <v>0</v>
      </c>
      <c r="E5401" s="2" t="s">
        <v>838</v>
      </c>
      <c r="F5401" s="2" t="s">
        <v>793</v>
      </c>
      <c r="G5401" s="2" t="s">
        <v>2601</v>
      </c>
      <c r="H5401" s="2" t="s">
        <v>2572</v>
      </c>
      <c r="J5401" s="26"/>
      <c r="K5401" s="36">
        <v>3.74859E-3</v>
      </c>
      <c r="L5401" s="23">
        <v>1.8743000000000001E-4</v>
      </c>
    </row>
    <row r="5402" spans="1:12" ht="15.35" hidden="1" x14ac:dyDescent="0.55000000000000004">
      <c r="A5402" s="20">
        <v>14352</v>
      </c>
      <c r="B5402" s="2" t="s">
        <v>184</v>
      </c>
      <c r="C5402" s="2" t="s">
        <v>185</v>
      </c>
      <c r="D5402" s="20">
        <v>0</v>
      </c>
      <c r="E5402" s="2" t="s">
        <v>838</v>
      </c>
      <c r="F5402" s="2" t="s">
        <v>833</v>
      </c>
      <c r="G5402" s="2" t="s">
        <v>4694</v>
      </c>
      <c r="H5402" s="2" t="s">
        <v>2125</v>
      </c>
      <c r="J5402" s="26"/>
      <c r="K5402" s="36">
        <v>2.6460689999999999E-2</v>
      </c>
      <c r="L5402" s="23">
        <v>1.32303E-3</v>
      </c>
    </row>
    <row r="5403" spans="1:12" ht="15.35" hidden="1" x14ac:dyDescent="0.55000000000000004">
      <c r="A5403" s="20">
        <v>14319</v>
      </c>
      <c r="B5403" s="2" t="s">
        <v>184</v>
      </c>
      <c r="C5403" s="2" t="s">
        <v>185</v>
      </c>
      <c r="D5403" s="20">
        <v>0</v>
      </c>
      <c r="E5403" s="2" t="s">
        <v>838</v>
      </c>
      <c r="F5403" s="2" t="s">
        <v>787</v>
      </c>
      <c r="G5403" s="2" t="s">
        <v>962</v>
      </c>
      <c r="H5403" s="2" t="s">
        <v>962</v>
      </c>
      <c r="J5403" s="26"/>
      <c r="K5403" s="36">
        <v>5.1451339999999998E-2</v>
      </c>
      <c r="L5403" s="23">
        <v>2.5725700000000002E-3</v>
      </c>
    </row>
    <row r="5404" spans="1:12" ht="15.35" hidden="1" x14ac:dyDescent="0.55000000000000004">
      <c r="A5404" s="20">
        <v>14315</v>
      </c>
      <c r="B5404" s="2" t="s">
        <v>184</v>
      </c>
      <c r="C5404" s="2" t="s">
        <v>185</v>
      </c>
      <c r="D5404" s="20">
        <v>0</v>
      </c>
      <c r="E5404" s="2" t="s">
        <v>838</v>
      </c>
      <c r="F5404" s="2" t="s">
        <v>848</v>
      </c>
      <c r="G5404" s="2" t="s">
        <v>2532</v>
      </c>
      <c r="H5404" s="2" t="s">
        <v>2532</v>
      </c>
      <c r="J5404" s="26"/>
      <c r="K5404" s="36">
        <v>5.1451339999999998E-2</v>
      </c>
      <c r="L5404" s="23">
        <v>2.5725700000000002E-3</v>
      </c>
    </row>
    <row r="5405" spans="1:12" ht="15.35" hidden="1" x14ac:dyDescent="0.55000000000000004">
      <c r="A5405" s="20">
        <v>14326</v>
      </c>
      <c r="B5405" s="2" t="s">
        <v>184</v>
      </c>
      <c r="C5405" s="2" t="s">
        <v>185</v>
      </c>
      <c r="D5405" s="20">
        <v>0</v>
      </c>
      <c r="E5405" s="2" t="s">
        <v>838</v>
      </c>
      <c r="F5405" s="2" t="s">
        <v>833</v>
      </c>
      <c r="G5405" s="2" t="s">
        <v>4695</v>
      </c>
      <c r="H5405" s="2" t="s">
        <v>1179</v>
      </c>
      <c r="J5405" s="26"/>
      <c r="K5405" s="36">
        <v>5.1451339999999998E-2</v>
      </c>
      <c r="L5405" s="23">
        <v>2.5725700000000002E-3</v>
      </c>
    </row>
    <row r="5406" spans="1:12" ht="15.35" hidden="1" x14ac:dyDescent="0.55000000000000004">
      <c r="A5406" s="20">
        <v>14332</v>
      </c>
      <c r="B5406" s="2" t="s">
        <v>184</v>
      </c>
      <c r="C5406" s="2" t="s">
        <v>185</v>
      </c>
      <c r="D5406" s="20">
        <v>0</v>
      </c>
      <c r="E5406" s="2" t="s">
        <v>838</v>
      </c>
      <c r="F5406" s="2" t="s">
        <v>793</v>
      </c>
      <c r="G5406" s="2" t="s">
        <v>4696</v>
      </c>
      <c r="H5406" s="2" t="s">
        <v>821</v>
      </c>
      <c r="J5406" s="26"/>
      <c r="K5406" s="36">
        <v>4.9702000000000003E-2</v>
      </c>
      <c r="L5406" s="23">
        <v>2.4851000000000001E-3</v>
      </c>
    </row>
    <row r="5407" spans="1:12" ht="15.35" hidden="1" x14ac:dyDescent="0.55000000000000004">
      <c r="A5407" s="20">
        <v>14327</v>
      </c>
      <c r="B5407" s="2" t="s">
        <v>184</v>
      </c>
      <c r="C5407" s="2" t="s">
        <v>185</v>
      </c>
      <c r="D5407" s="20">
        <v>0</v>
      </c>
      <c r="E5407" s="2" t="s">
        <v>838</v>
      </c>
      <c r="F5407" s="2" t="s">
        <v>793</v>
      </c>
      <c r="G5407" s="2" t="s">
        <v>4697</v>
      </c>
      <c r="H5407" s="2" t="s">
        <v>821</v>
      </c>
      <c r="J5407" s="26"/>
      <c r="K5407" s="36">
        <v>5.1451339999999998E-2</v>
      </c>
      <c r="L5407" s="23">
        <v>2.5725700000000002E-3</v>
      </c>
    </row>
    <row r="5408" spans="1:12" ht="15.35" hidden="1" x14ac:dyDescent="0.55000000000000004">
      <c r="A5408" s="20">
        <v>1889</v>
      </c>
      <c r="B5408" s="2" t="s">
        <v>201</v>
      </c>
      <c r="C5408" s="2" t="s">
        <v>202</v>
      </c>
      <c r="D5408" s="20">
        <v>0</v>
      </c>
      <c r="E5408" s="2" t="s">
        <v>63</v>
      </c>
      <c r="F5408" s="2" t="s">
        <v>817</v>
      </c>
      <c r="G5408" s="2" t="s">
        <v>4698</v>
      </c>
      <c r="H5408" s="2" t="s">
        <v>1198</v>
      </c>
      <c r="I5408" s="2" t="s">
        <v>785</v>
      </c>
      <c r="J5408" s="26"/>
      <c r="K5408" s="36">
        <v>2.2749999999999999E-2</v>
      </c>
      <c r="L5408" s="23">
        <v>4.5500000000000002E-3</v>
      </c>
    </row>
    <row r="5409" spans="1:12" ht="15.35" hidden="1" x14ac:dyDescent="0.55000000000000004">
      <c r="A5409" s="20">
        <v>1883</v>
      </c>
      <c r="B5409" s="2" t="s">
        <v>201</v>
      </c>
      <c r="C5409" s="2" t="s">
        <v>202</v>
      </c>
      <c r="D5409" s="20">
        <v>0</v>
      </c>
      <c r="E5409" s="2" t="s">
        <v>63</v>
      </c>
      <c r="F5409" s="2" t="s">
        <v>817</v>
      </c>
      <c r="G5409" s="2" t="s">
        <v>4699</v>
      </c>
      <c r="H5409" s="2" t="s">
        <v>1198</v>
      </c>
      <c r="I5409" s="2" t="s">
        <v>785</v>
      </c>
      <c r="J5409" s="26"/>
      <c r="K5409" s="36">
        <v>6.83E-2</v>
      </c>
      <c r="L5409" s="23">
        <v>1.366E-2</v>
      </c>
    </row>
    <row r="5410" spans="1:12" ht="15.35" hidden="1" x14ac:dyDescent="0.55000000000000004">
      <c r="A5410" s="20">
        <v>1881</v>
      </c>
      <c r="B5410" s="2" t="s">
        <v>201</v>
      </c>
      <c r="C5410" s="2" t="s">
        <v>202</v>
      </c>
      <c r="D5410" s="20">
        <v>0</v>
      </c>
      <c r="E5410" s="2" t="s">
        <v>63</v>
      </c>
      <c r="F5410" s="2" t="s">
        <v>787</v>
      </c>
      <c r="G5410" s="2" t="s">
        <v>788</v>
      </c>
      <c r="H5410" s="2" t="s">
        <v>788</v>
      </c>
      <c r="I5410" s="2" t="s">
        <v>785</v>
      </c>
      <c r="J5410" s="26"/>
      <c r="K5410" s="36">
        <v>7.22E-2</v>
      </c>
      <c r="L5410" s="23">
        <v>1.444E-2</v>
      </c>
    </row>
    <row r="5411" spans="1:12" ht="15.35" hidden="1" x14ac:dyDescent="0.55000000000000004">
      <c r="A5411" s="20">
        <v>1875</v>
      </c>
      <c r="B5411" s="2" t="s">
        <v>201</v>
      </c>
      <c r="C5411" s="2" t="s">
        <v>202</v>
      </c>
      <c r="D5411" s="20">
        <v>0</v>
      </c>
      <c r="E5411" s="2" t="s">
        <v>63</v>
      </c>
      <c r="F5411" s="2" t="s">
        <v>787</v>
      </c>
      <c r="G5411" s="2" t="s">
        <v>968</v>
      </c>
      <c r="H5411" s="2" t="s">
        <v>968</v>
      </c>
      <c r="I5411" s="2" t="s">
        <v>785</v>
      </c>
      <c r="J5411" s="26"/>
      <c r="K5411" s="36">
        <v>0.1138</v>
      </c>
      <c r="L5411" s="23">
        <v>2.2759999999999999E-2</v>
      </c>
    </row>
    <row r="5412" spans="1:12" ht="15.35" hidden="1" x14ac:dyDescent="0.55000000000000004">
      <c r="A5412" s="20">
        <v>1872</v>
      </c>
      <c r="B5412" s="2" t="s">
        <v>201</v>
      </c>
      <c r="C5412" s="2" t="s">
        <v>202</v>
      </c>
      <c r="D5412" s="20">
        <v>0</v>
      </c>
      <c r="E5412" s="2" t="s">
        <v>63</v>
      </c>
      <c r="F5412" s="2" t="s">
        <v>789</v>
      </c>
      <c r="G5412" s="2" t="s">
        <v>4344</v>
      </c>
      <c r="H5412" s="2" t="s">
        <v>4344</v>
      </c>
      <c r="I5412" s="2" t="s">
        <v>785</v>
      </c>
      <c r="J5412" s="26"/>
      <c r="K5412" s="36">
        <v>0.2049</v>
      </c>
      <c r="L5412" s="23">
        <v>4.0980000000000003E-2</v>
      </c>
    </row>
    <row r="5413" spans="1:12" ht="15.35" hidden="1" x14ac:dyDescent="0.55000000000000004">
      <c r="A5413" s="20">
        <v>1884</v>
      </c>
      <c r="B5413" s="2" t="s">
        <v>201</v>
      </c>
      <c r="C5413" s="2" t="s">
        <v>202</v>
      </c>
      <c r="D5413" s="20">
        <v>0</v>
      </c>
      <c r="E5413" s="2" t="s">
        <v>63</v>
      </c>
      <c r="F5413" s="2" t="s">
        <v>793</v>
      </c>
      <c r="G5413" s="2" t="s">
        <v>1801</v>
      </c>
      <c r="H5413" s="2" t="s">
        <v>1801</v>
      </c>
      <c r="I5413" s="2" t="s">
        <v>785</v>
      </c>
      <c r="J5413" s="26"/>
      <c r="K5413" s="36">
        <v>6.8000000000000005E-2</v>
      </c>
      <c r="L5413" s="23">
        <v>1.3599999999999999E-2</v>
      </c>
    </row>
    <row r="5414" spans="1:12" ht="15.35" hidden="1" x14ac:dyDescent="0.55000000000000004">
      <c r="A5414" s="20">
        <v>1879</v>
      </c>
      <c r="B5414" s="2" t="s">
        <v>201</v>
      </c>
      <c r="C5414" s="2" t="s">
        <v>202</v>
      </c>
      <c r="D5414" s="20">
        <v>0</v>
      </c>
      <c r="E5414" s="2" t="s">
        <v>63</v>
      </c>
      <c r="F5414" s="2" t="s">
        <v>787</v>
      </c>
      <c r="G5414" s="2" t="s">
        <v>1278</v>
      </c>
      <c r="H5414" s="2" t="s">
        <v>1278</v>
      </c>
      <c r="I5414" s="2" t="s">
        <v>785</v>
      </c>
      <c r="J5414" s="26"/>
      <c r="K5414" s="36">
        <v>9.0999999999999998E-2</v>
      </c>
      <c r="L5414" s="23">
        <v>1.8200000000000001E-2</v>
      </c>
    </row>
    <row r="5415" spans="1:12" ht="15.35" hidden="1" x14ac:dyDescent="0.55000000000000004">
      <c r="A5415" s="20">
        <v>1874</v>
      </c>
      <c r="B5415" s="2" t="s">
        <v>201</v>
      </c>
      <c r="C5415" s="2" t="s">
        <v>202</v>
      </c>
      <c r="D5415" s="20">
        <v>0</v>
      </c>
      <c r="E5415" s="2" t="s">
        <v>63</v>
      </c>
      <c r="F5415" s="2" t="s">
        <v>813</v>
      </c>
      <c r="G5415" s="2" t="s">
        <v>4700</v>
      </c>
      <c r="H5415" s="2" t="s">
        <v>4700</v>
      </c>
      <c r="I5415" s="2" t="s">
        <v>785</v>
      </c>
      <c r="J5415" s="26"/>
      <c r="K5415" s="36">
        <v>0.125</v>
      </c>
      <c r="L5415" s="23">
        <v>2.5000000000000001E-2</v>
      </c>
    </row>
    <row r="5416" spans="1:12" ht="15.35" hidden="1" x14ac:dyDescent="0.55000000000000004">
      <c r="A5416" s="20">
        <v>1886</v>
      </c>
      <c r="B5416" s="2" t="s">
        <v>201</v>
      </c>
      <c r="C5416" s="2" t="s">
        <v>202</v>
      </c>
      <c r="D5416" s="20">
        <v>0</v>
      </c>
      <c r="E5416" s="2" t="s">
        <v>63</v>
      </c>
      <c r="F5416" s="2" t="s">
        <v>807</v>
      </c>
      <c r="G5416" s="2" t="s">
        <v>4701</v>
      </c>
      <c r="H5416" s="2" t="s">
        <v>4701</v>
      </c>
      <c r="I5416" s="2" t="s">
        <v>809</v>
      </c>
      <c r="J5416" s="26"/>
      <c r="K5416" s="36">
        <v>1</v>
      </c>
      <c r="L5416" s="23">
        <v>0.2</v>
      </c>
    </row>
    <row r="5417" spans="1:12" ht="15.35" hidden="1" x14ac:dyDescent="0.55000000000000004">
      <c r="A5417" s="20">
        <v>1887</v>
      </c>
      <c r="B5417" s="2" t="s">
        <v>201</v>
      </c>
      <c r="C5417" s="2" t="s">
        <v>202</v>
      </c>
      <c r="D5417" s="20">
        <v>0</v>
      </c>
      <c r="E5417" s="2" t="s">
        <v>63</v>
      </c>
      <c r="F5417" s="2" t="s">
        <v>807</v>
      </c>
      <c r="G5417" s="2" t="s">
        <v>4701</v>
      </c>
      <c r="H5417" s="2" t="s">
        <v>4701</v>
      </c>
      <c r="I5417" s="2" t="s">
        <v>809</v>
      </c>
      <c r="J5417" s="26"/>
      <c r="K5417" s="36">
        <v>0.5</v>
      </c>
      <c r="L5417" s="23">
        <v>0.1</v>
      </c>
    </row>
    <row r="5418" spans="1:12" ht="15.35" hidden="1" x14ac:dyDescent="0.55000000000000004">
      <c r="A5418" s="20">
        <v>1891</v>
      </c>
      <c r="B5418" s="2" t="s">
        <v>201</v>
      </c>
      <c r="C5418" s="2" t="s">
        <v>202</v>
      </c>
      <c r="D5418" s="20">
        <v>0</v>
      </c>
      <c r="E5418" s="2" t="s">
        <v>63</v>
      </c>
      <c r="F5418" s="2" t="s">
        <v>817</v>
      </c>
      <c r="G5418" s="2" t="s">
        <v>2561</v>
      </c>
      <c r="H5418" s="2" t="s">
        <v>852</v>
      </c>
      <c r="I5418" s="2" t="s">
        <v>785</v>
      </c>
      <c r="J5418" s="26"/>
      <c r="K5418" s="36">
        <v>4.5499999999999999E-2</v>
      </c>
      <c r="L5418" s="23">
        <v>9.1000000000000004E-3</v>
      </c>
    </row>
    <row r="5419" spans="1:12" ht="15.35" hidden="1" x14ac:dyDescent="0.55000000000000004">
      <c r="A5419" s="20">
        <v>1870</v>
      </c>
      <c r="B5419" s="2" t="s">
        <v>201</v>
      </c>
      <c r="C5419" s="2" t="s">
        <v>202</v>
      </c>
      <c r="D5419" s="20">
        <v>0</v>
      </c>
      <c r="E5419" s="2" t="s">
        <v>63</v>
      </c>
      <c r="F5419" s="2" t="s">
        <v>787</v>
      </c>
      <c r="G5419" s="2" t="s">
        <v>1191</v>
      </c>
      <c r="H5419" s="2" t="s">
        <v>1191</v>
      </c>
      <c r="I5419" s="2" t="s">
        <v>785</v>
      </c>
      <c r="J5419" s="26"/>
      <c r="K5419" s="36">
        <v>0.113825</v>
      </c>
      <c r="L5419" s="23">
        <v>2.2765000000000001E-2</v>
      </c>
    </row>
    <row r="5420" spans="1:12" ht="15.35" hidden="1" x14ac:dyDescent="0.55000000000000004">
      <c r="A5420" s="20">
        <v>1877</v>
      </c>
      <c r="B5420" s="2" t="s">
        <v>201</v>
      </c>
      <c r="C5420" s="2" t="s">
        <v>202</v>
      </c>
      <c r="D5420" s="20">
        <v>0</v>
      </c>
      <c r="E5420" s="2" t="s">
        <v>63</v>
      </c>
      <c r="F5420" s="2" t="s">
        <v>787</v>
      </c>
      <c r="G5420" s="2" t="s">
        <v>1191</v>
      </c>
      <c r="H5420" s="2" t="s">
        <v>1191</v>
      </c>
      <c r="I5420" s="2" t="s">
        <v>785</v>
      </c>
      <c r="J5420" s="26"/>
      <c r="K5420" s="36">
        <v>0.15932499999999999</v>
      </c>
      <c r="L5420" s="23">
        <v>3.1864999999999997E-2</v>
      </c>
    </row>
    <row r="5421" spans="1:12" ht="15.35" hidden="1" x14ac:dyDescent="0.55000000000000004">
      <c r="A5421" s="20">
        <v>1890</v>
      </c>
      <c r="B5421" s="2" t="s">
        <v>201</v>
      </c>
      <c r="C5421" s="2" t="s">
        <v>202</v>
      </c>
      <c r="D5421" s="20">
        <v>0</v>
      </c>
      <c r="E5421" s="2" t="s">
        <v>63</v>
      </c>
      <c r="F5421" s="2" t="s">
        <v>783</v>
      </c>
      <c r="G5421" s="2" t="s">
        <v>4702</v>
      </c>
      <c r="H5421" s="2" t="s">
        <v>4702</v>
      </c>
      <c r="I5421" s="2" t="s">
        <v>785</v>
      </c>
      <c r="J5421" s="26"/>
      <c r="K5421" s="36">
        <v>2.2499999999999999E-2</v>
      </c>
      <c r="L5421" s="23">
        <v>4.4999999999999997E-3</v>
      </c>
    </row>
    <row r="5422" spans="1:12" ht="15.35" hidden="1" x14ac:dyDescent="0.55000000000000004">
      <c r="A5422" s="20">
        <v>1878</v>
      </c>
      <c r="B5422" s="2" t="s">
        <v>201</v>
      </c>
      <c r="C5422" s="2" t="s">
        <v>202</v>
      </c>
      <c r="D5422" s="20">
        <v>0</v>
      </c>
      <c r="E5422" s="2" t="s">
        <v>63</v>
      </c>
      <c r="F5422" s="2" t="s">
        <v>798</v>
      </c>
      <c r="G5422" s="2" t="s">
        <v>4703</v>
      </c>
      <c r="H5422" s="2" t="s">
        <v>1196</v>
      </c>
      <c r="I5422" s="2" t="s">
        <v>785</v>
      </c>
      <c r="J5422" s="26"/>
      <c r="K5422" s="36">
        <v>4.5499999999999999E-2</v>
      </c>
      <c r="L5422" s="23">
        <v>9.1000000000000004E-3</v>
      </c>
    </row>
    <row r="5423" spans="1:12" ht="15.35" hidden="1" x14ac:dyDescent="0.55000000000000004">
      <c r="A5423" s="20">
        <v>1876</v>
      </c>
      <c r="B5423" s="2" t="s">
        <v>201</v>
      </c>
      <c r="C5423" s="2" t="s">
        <v>202</v>
      </c>
      <c r="D5423" s="20">
        <v>0</v>
      </c>
      <c r="E5423" s="2" t="s">
        <v>63</v>
      </c>
      <c r="F5423" s="2" t="s">
        <v>783</v>
      </c>
      <c r="G5423" s="2" t="s">
        <v>4704</v>
      </c>
      <c r="H5423" s="2" t="s">
        <v>4704</v>
      </c>
      <c r="I5423" s="2" t="s">
        <v>785</v>
      </c>
      <c r="J5423" s="26"/>
      <c r="K5423" s="36">
        <v>0.1135</v>
      </c>
      <c r="L5423" s="23">
        <v>2.2700000000000001E-2</v>
      </c>
    </row>
    <row r="5424" spans="1:12" ht="15.35" hidden="1" x14ac:dyDescent="0.55000000000000004">
      <c r="A5424" s="20">
        <v>1873</v>
      </c>
      <c r="B5424" s="2" t="s">
        <v>201</v>
      </c>
      <c r="C5424" s="2" t="s">
        <v>202</v>
      </c>
      <c r="D5424" s="20">
        <v>0</v>
      </c>
      <c r="E5424" s="2" t="s">
        <v>63</v>
      </c>
      <c r="F5424" s="2" t="s">
        <v>787</v>
      </c>
      <c r="G5424" s="2" t="s">
        <v>864</v>
      </c>
      <c r="H5424" s="2" t="s">
        <v>864</v>
      </c>
      <c r="I5424" s="2" t="s">
        <v>785</v>
      </c>
      <c r="J5424" s="26"/>
      <c r="K5424" s="36">
        <v>0.182</v>
      </c>
      <c r="L5424" s="23">
        <v>3.6400000000000002E-2</v>
      </c>
    </row>
    <row r="5425" spans="1:12" ht="15.35" hidden="1" x14ac:dyDescent="0.55000000000000004">
      <c r="A5425" s="20">
        <v>1882</v>
      </c>
      <c r="B5425" s="2" t="s">
        <v>201</v>
      </c>
      <c r="C5425" s="2" t="s">
        <v>202</v>
      </c>
      <c r="D5425" s="20">
        <v>0</v>
      </c>
      <c r="E5425" s="2" t="s">
        <v>63</v>
      </c>
      <c r="F5425" s="2" t="s">
        <v>811</v>
      </c>
      <c r="G5425" s="2" t="s">
        <v>4705</v>
      </c>
      <c r="H5425" s="2" t="s">
        <v>4705</v>
      </c>
      <c r="I5425" s="2" t="s">
        <v>785</v>
      </c>
      <c r="J5425" s="26"/>
      <c r="K5425" s="36">
        <v>6.83E-2</v>
      </c>
      <c r="L5425" s="23">
        <v>1.366E-2</v>
      </c>
    </row>
    <row r="5426" spans="1:12" ht="15.35" hidden="1" x14ac:dyDescent="0.55000000000000004">
      <c r="A5426" s="20">
        <v>1880</v>
      </c>
      <c r="B5426" s="2" t="s">
        <v>201</v>
      </c>
      <c r="C5426" s="2" t="s">
        <v>202</v>
      </c>
      <c r="D5426" s="20">
        <v>0</v>
      </c>
      <c r="E5426" s="2" t="s">
        <v>63</v>
      </c>
      <c r="F5426" s="2" t="s">
        <v>817</v>
      </c>
      <c r="G5426" s="2" t="s">
        <v>4706</v>
      </c>
      <c r="H5426" s="2" t="s">
        <v>4706</v>
      </c>
      <c r="I5426" s="2" t="s">
        <v>785</v>
      </c>
      <c r="J5426" s="26"/>
      <c r="K5426" s="36">
        <v>7.51E-2</v>
      </c>
      <c r="L5426" s="23">
        <v>1.502E-2</v>
      </c>
    </row>
    <row r="5427" spans="1:12" ht="15.35" hidden="1" x14ac:dyDescent="0.55000000000000004">
      <c r="A5427" s="20">
        <v>1888</v>
      </c>
      <c r="B5427" s="2" t="s">
        <v>201</v>
      </c>
      <c r="C5427" s="2" t="s">
        <v>202</v>
      </c>
      <c r="D5427" s="20">
        <v>0</v>
      </c>
      <c r="E5427" s="2" t="s">
        <v>63</v>
      </c>
      <c r="F5427" s="2" t="s">
        <v>787</v>
      </c>
      <c r="G5427" s="2" t="s">
        <v>1160</v>
      </c>
      <c r="H5427" s="2" t="s">
        <v>1160</v>
      </c>
      <c r="I5427" s="2" t="s">
        <v>785</v>
      </c>
      <c r="J5427" s="26"/>
      <c r="K5427" s="36">
        <v>9.0999999999999998E-2</v>
      </c>
      <c r="L5427" s="23">
        <v>1.8200000000000001E-2</v>
      </c>
    </row>
    <row r="5428" spans="1:12" ht="15.35" hidden="1" x14ac:dyDescent="0.55000000000000004">
      <c r="A5428" s="20">
        <v>1871</v>
      </c>
      <c r="B5428" s="2" t="s">
        <v>201</v>
      </c>
      <c r="C5428" s="2" t="s">
        <v>202</v>
      </c>
      <c r="D5428" s="20">
        <v>0</v>
      </c>
      <c r="E5428" s="2" t="s">
        <v>63</v>
      </c>
      <c r="F5428" s="2" t="s">
        <v>817</v>
      </c>
      <c r="G5428" s="2" t="s">
        <v>4707</v>
      </c>
      <c r="H5428" s="2" t="s">
        <v>3384</v>
      </c>
      <c r="I5428" s="2" t="s">
        <v>785</v>
      </c>
      <c r="J5428" s="26"/>
      <c r="K5428" s="36">
        <v>0.25</v>
      </c>
      <c r="L5428" s="23">
        <v>0.05</v>
      </c>
    </row>
    <row r="5429" spans="1:12" ht="15.35" hidden="1" x14ac:dyDescent="0.55000000000000004">
      <c r="A5429" s="20">
        <v>1885</v>
      </c>
      <c r="B5429" s="2" t="s">
        <v>201</v>
      </c>
      <c r="C5429" s="2" t="s">
        <v>202</v>
      </c>
      <c r="D5429" s="20">
        <v>0</v>
      </c>
      <c r="E5429" s="2" t="s">
        <v>63</v>
      </c>
      <c r="F5429" s="2" t="s">
        <v>817</v>
      </c>
      <c r="G5429" s="2" t="s">
        <v>4708</v>
      </c>
      <c r="H5429" s="2" t="s">
        <v>837</v>
      </c>
      <c r="I5429" s="2" t="s">
        <v>785</v>
      </c>
      <c r="J5429" s="26"/>
      <c r="K5429" s="36">
        <v>6.7500000000000004E-2</v>
      </c>
      <c r="L5429" s="23">
        <v>1.35E-2</v>
      </c>
    </row>
    <row r="5430" spans="1:12" ht="15.35" hidden="1" x14ac:dyDescent="0.55000000000000004">
      <c r="A5430" s="20">
        <v>13375</v>
      </c>
      <c r="B5430" s="2" t="s">
        <v>201</v>
      </c>
      <c r="C5430" s="2" t="s">
        <v>202</v>
      </c>
      <c r="D5430" s="20">
        <v>0</v>
      </c>
      <c r="E5430" s="2" t="s">
        <v>838</v>
      </c>
      <c r="F5430" s="2" t="s">
        <v>793</v>
      </c>
      <c r="G5430" s="2" t="s">
        <v>4709</v>
      </c>
      <c r="H5430" s="2" t="s">
        <v>1003</v>
      </c>
      <c r="J5430" s="26"/>
      <c r="K5430" s="36">
        <v>0.01</v>
      </c>
      <c r="L5430" s="23">
        <v>2E-3</v>
      </c>
    </row>
    <row r="5431" spans="1:12" ht="15.35" hidden="1" x14ac:dyDescent="0.55000000000000004">
      <c r="A5431" s="20">
        <v>13374</v>
      </c>
      <c r="B5431" s="2" t="s">
        <v>201</v>
      </c>
      <c r="C5431" s="2" t="s">
        <v>202</v>
      </c>
      <c r="D5431" s="20">
        <v>0</v>
      </c>
      <c r="E5431" s="2" t="s">
        <v>838</v>
      </c>
      <c r="F5431" s="2" t="s">
        <v>793</v>
      </c>
      <c r="G5431" s="2" t="s">
        <v>4710</v>
      </c>
      <c r="H5431" s="2" t="s">
        <v>1003</v>
      </c>
      <c r="J5431" s="26"/>
      <c r="K5431" s="36">
        <v>1.37E-2</v>
      </c>
      <c r="L5431" s="23">
        <v>2.7399999999999998E-3</v>
      </c>
    </row>
    <row r="5432" spans="1:12" ht="15.35" hidden="1" x14ac:dyDescent="0.55000000000000004">
      <c r="A5432" s="20">
        <v>13376</v>
      </c>
      <c r="B5432" s="2" t="s">
        <v>201</v>
      </c>
      <c r="C5432" s="2" t="s">
        <v>202</v>
      </c>
      <c r="D5432" s="20">
        <v>0</v>
      </c>
      <c r="E5432" s="2" t="s">
        <v>838</v>
      </c>
      <c r="F5432" s="2" t="s">
        <v>848</v>
      </c>
      <c r="G5432" s="2" t="s">
        <v>1215</v>
      </c>
      <c r="H5432" s="2" t="s">
        <v>1216</v>
      </c>
      <c r="J5432" s="26"/>
      <c r="K5432" s="36">
        <v>5.5599999999999997E-2</v>
      </c>
      <c r="L5432" s="23">
        <v>1.112E-2</v>
      </c>
    </row>
    <row r="5433" spans="1:12" ht="15.35" hidden="1" x14ac:dyDescent="0.55000000000000004">
      <c r="A5433" s="20">
        <v>13377</v>
      </c>
      <c r="B5433" s="2" t="s">
        <v>201</v>
      </c>
      <c r="C5433" s="2" t="s">
        <v>202</v>
      </c>
      <c r="D5433" s="20">
        <v>0</v>
      </c>
      <c r="E5433" s="2" t="s">
        <v>838</v>
      </c>
      <c r="F5433" s="2" t="s">
        <v>807</v>
      </c>
      <c r="G5433" s="2" t="s">
        <v>4711</v>
      </c>
      <c r="H5433" s="2" t="s">
        <v>1254</v>
      </c>
      <c r="J5433" s="26"/>
      <c r="K5433" s="36">
        <v>0.41799999999999998</v>
      </c>
      <c r="L5433" s="23">
        <v>8.3599999999999994E-2</v>
      </c>
    </row>
    <row r="5434" spans="1:12" ht="15.35" hidden="1" x14ac:dyDescent="0.55000000000000004">
      <c r="A5434" s="20">
        <v>13379</v>
      </c>
      <c r="B5434" s="2" t="s">
        <v>201</v>
      </c>
      <c r="C5434" s="2" t="s">
        <v>202</v>
      </c>
      <c r="D5434" s="20">
        <v>0</v>
      </c>
      <c r="E5434" s="2" t="s">
        <v>838</v>
      </c>
      <c r="F5434" s="2" t="s">
        <v>807</v>
      </c>
      <c r="G5434" s="2" t="s">
        <v>4712</v>
      </c>
      <c r="H5434" s="2" t="s">
        <v>1254</v>
      </c>
      <c r="J5434" s="26"/>
      <c r="K5434" s="36">
        <v>8.3000000000000004E-2</v>
      </c>
      <c r="L5434" s="23">
        <v>1.66E-2</v>
      </c>
    </row>
    <row r="5435" spans="1:12" ht="15.35" hidden="1" x14ac:dyDescent="0.55000000000000004">
      <c r="A5435" s="20">
        <v>13378</v>
      </c>
      <c r="B5435" s="2" t="s">
        <v>201</v>
      </c>
      <c r="C5435" s="2" t="s">
        <v>202</v>
      </c>
      <c r="D5435" s="20">
        <v>0</v>
      </c>
      <c r="E5435" s="2" t="s">
        <v>838</v>
      </c>
      <c r="F5435" s="2" t="s">
        <v>807</v>
      </c>
      <c r="G5435" s="2" t="s">
        <v>4713</v>
      </c>
      <c r="H5435" s="2" t="s">
        <v>1254</v>
      </c>
      <c r="J5435" s="26"/>
      <c r="K5435" s="36">
        <v>0.11600000000000001</v>
      </c>
      <c r="L5435" s="23">
        <v>2.3199999999999998E-2</v>
      </c>
    </row>
    <row r="5436" spans="1:12" ht="15.35" hidden="1" x14ac:dyDescent="0.55000000000000004">
      <c r="A5436" s="20">
        <v>13373</v>
      </c>
      <c r="B5436" s="2" t="s">
        <v>201</v>
      </c>
      <c r="C5436" s="2" t="s">
        <v>202</v>
      </c>
      <c r="D5436" s="20">
        <v>0</v>
      </c>
      <c r="E5436" s="2" t="s">
        <v>838</v>
      </c>
      <c r="F5436" s="2" t="s">
        <v>798</v>
      </c>
      <c r="G5436" s="2" t="s">
        <v>4714</v>
      </c>
      <c r="H5436" s="2" t="s">
        <v>802</v>
      </c>
      <c r="J5436" s="26"/>
      <c r="K5436" s="36">
        <v>0.1216</v>
      </c>
      <c r="L5436" s="23">
        <v>2.4320000000000001E-2</v>
      </c>
    </row>
    <row r="5437" spans="1:12" ht="15.35" x14ac:dyDescent="0.55000000000000004">
      <c r="A5437" s="20">
        <v>13380</v>
      </c>
      <c r="B5437" s="2" t="s">
        <v>201</v>
      </c>
      <c r="C5437" s="2" t="s">
        <v>202</v>
      </c>
      <c r="D5437" s="20">
        <v>0</v>
      </c>
      <c r="E5437" s="2" t="s">
        <v>838</v>
      </c>
      <c r="F5437" s="2" t="s">
        <v>817</v>
      </c>
      <c r="G5437" s="2" t="s">
        <v>4715</v>
      </c>
      <c r="J5437" s="26"/>
      <c r="K5437" s="36">
        <v>7.2999999999999995E-2</v>
      </c>
      <c r="L5437" s="23">
        <v>1.46E-2</v>
      </c>
    </row>
    <row r="5438" spans="1:12" ht="15.35" hidden="1" x14ac:dyDescent="0.55000000000000004">
      <c r="A5438" s="20">
        <v>13369</v>
      </c>
      <c r="B5438" s="2" t="s">
        <v>201</v>
      </c>
      <c r="C5438" s="2" t="s">
        <v>202</v>
      </c>
      <c r="D5438" s="20">
        <v>0</v>
      </c>
      <c r="E5438" s="2" t="s">
        <v>838</v>
      </c>
      <c r="F5438" s="2" t="s">
        <v>793</v>
      </c>
      <c r="G5438" s="2" t="s">
        <v>2987</v>
      </c>
      <c r="H5438" s="2" t="s">
        <v>1301</v>
      </c>
      <c r="J5438" s="26"/>
      <c r="K5438" s="36">
        <v>1.1299999999999999E-2</v>
      </c>
      <c r="L5438" s="23">
        <v>2.2599999999999999E-3</v>
      </c>
    </row>
    <row r="5439" spans="1:12" ht="15.35" hidden="1" x14ac:dyDescent="0.55000000000000004">
      <c r="A5439" s="20">
        <v>13368</v>
      </c>
      <c r="B5439" s="2" t="s">
        <v>201</v>
      </c>
      <c r="C5439" s="2" t="s">
        <v>202</v>
      </c>
      <c r="D5439" s="20">
        <v>0</v>
      </c>
      <c r="E5439" s="2" t="s">
        <v>838</v>
      </c>
      <c r="F5439" s="2" t="s">
        <v>793</v>
      </c>
      <c r="G5439" s="2" t="s">
        <v>2988</v>
      </c>
      <c r="H5439" s="2" t="s">
        <v>1301</v>
      </c>
      <c r="J5439" s="26"/>
      <c r="K5439" s="36">
        <v>1.1299999999999999E-2</v>
      </c>
      <c r="L5439" s="23">
        <v>2.2599999999999999E-3</v>
      </c>
    </row>
    <row r="5440" spans="1:12" ht="15.35" hidden="1" x14ac:dyDescent="0.55000000000000004">
      <c r="A5440" s="20">
        <v>13372</v>
      </c>
      <c r="B5440" s="2" t="s">
        <v>201</v>
      </c>
      <c r="C5440" s="2" t="s">
        <v>202</v>
      </c>
      <c r="D5440" s="20">
        <v>0</v>
      </c>
      <c r="E5440" s="2" t="s">
        <v>838</v>
      </c>
      <c r="F5440" s="2" t="s">
        <v>811</v>
      </c>
      <c r="G5440" s="2" t="s">
        <v>4542</v>
      </c>
      <c r="H5440" s="2" t="s">
        <v>4085</v>
      </c>
      <c r="J5440" s="26"/>
      <c r="K5440" s="36">
        <v>4.5499999999999999E-2</v>
      </c>
      <c r="L5440" s="23">
        <v>9.1000000000000004E-3</v>
      </c>
    </row>
    <row r="5441" spans="1:12" ht="15.35" hidden="1" x14ac:dyDescent="0.55000000000000004">
      <c r="A5441" s="20">
        <v>13371</v>
      </c>
      <c r="B5441" s="2" t="s">
        <v>201</v>
      </c>
      <c r="C5441" s="2" t="s">
        <v>202</v>
      </c>
      <c r="D5441" s="20">
        <v>0</v>
      </c>
      <c r="E5441" s="2" t="s">
        <v>838</v>
      </c>
      <c r="F5441" s="2" t="s">
        <v>811</v>
      </c>
      <c r="G5441" s="2" t="s">
        <v>4084</v>
      </c>
      <c r="H5441" s="2" t="s">
        <v>4085</v>
      </c>
      <c r="J5441" s="26"/>
      <c r="K5441" s="36">
        <v>4.5499999999999999E-2</v>
      </c>
      <c r="L5441" s="23">
        <v>9.1000000000000004E-3</v>
      </c>
    </row>
    <row r="5442" spans="1:12" ht="15.35" hidden="1" x14ac:dyDescent="0.55000000000000004">
      <c r="A5442" s="20">
        <v>13370</v>
      </c>
      <c r="B5442" s="2" t="s">
        <v>201</v>
      </c>
      <c r="C5442" s="2" t="s">
        <v>202</v>
      </c>
      <c r="D5442" s="20">
        <v>0</v>
      </c>
      <c r="E5442" s="2" t="s">
        <v>838</v>
      </c>
      <c r="F5442" s="2" t="s">
        <v>811</v>
      </c>
      <c r="G5442" s="2" t="s">
        <v>4659</v>
      </c>
      <c r="H5442" s="2" t="s">
        <v>4085</v>
      </c>
      <c r="J5442" s="26"/>
      <c r="K5442" s="36">
        <v>4.5499999999999999E-2</v>
      </c>
      <c r="L5442" s="23">
        <v>9.1000000000000004E-3</v>
      </c>
    </row>
    <row r="5443" spans="1:12" ht="15.35" hidden="1" x14ac:dyDescent="0.55000000000000004">
      <c r="A5443" s="20">
        <v>1898</v>
      </c>
      <c r="B5443" s="2" t="s">
        <v>209</v>
      </c>
      <c r="C5443" s="2" t="s">
        <v>210</v>
      </c>
      <c r="D5443" s="20">
        <v>0</v>
      </c>
      <c r="E5443" s="2" t="s">
        <v>63</v>
      </c>
      <c r="F5443" s="2" t="s">
        <v>817</v>
      </c>
      <c r="G5443" s="2" t="s">
        <v>4012</v>
      </c>
      <c r="H5443" s="2" t="s">
        <v>1198</v>
      </c>
      <c r="I5443" s="2" t="s">
        <v>785</v>
      </c>
      <c r="J5443" s="26"/>
      <c r="K5443" s="36">
        <v>5.8000000000000003E-2</v>
      </c>
      <c r="L5443" s="23">
        <v>5.7999999999999996E-3</v>
      </c>
    </row>
    <row r="5444" spans="1:12" ht="15.35" hidden="1" x14ac:dyDescent="0.55000000000000004">
      <c r="A5444" s="20">
        <v>1894</v>
      </c>
      <c r="B5444" s="2" t="s">
        <v>209</v>
      </c>
      <c r="C5444" s="2" t="s">
        <v>210</v>
      </c>
      <c r="D5444" s="20">
        <v>0</v>
      </c>
      <c r="E5444" s="2" t="s">
        <v>63</v>
      </c>
      <c r="F5444" s="2" t="s">
        <v>807</v>
      </c>
      <c r="G5444" s="2" t="s">
        <v>4716</v>
      </c>
      <c r="H5444" s="2" t="s">
        <v>4716</v>
      </c>
      <c r="I5444" s="2" t="s">
        <v>809</v>
      </c>
      <c r="J5444" s="26"/>
      <c r="K5444" s="36">
        <v>2</v>
      </c>
      <c r="L5444" s="23">
        <v>0.2</v>
      </c>
    </row>
    <row r="5445" spans="1:12" ht="15.35" hidden="1" x14ac:dyDescent="0.55000000000000004">
      <c r="A5445" s="20">
        <v>1895</v>
      </c>
      <c r="B5445" s="2" t="s">
        <v>209</v>
      </c>
      <c r="C5445" s="2" t="s">
        <v>210</v>
      </c>
      <c r="D5445" s="20">
        <v>0</v>
      </c>
      <c r="E5445" s="2" t="s">
        <v>63</v>
      </c>
      <c r="F5445" s="2" t="s">
        <v>807</v>
      </c>
      <c r="G5445" s="2" t="s">
        <v>4716</v>
      </c>
      <c r="H5445" s="2" t="s">
        <v>4716</v>
      </c>
      <c r="I5445" s="2" t="s">
        <v>809</v>
      </c>
      <c r="J5445" s="26"/>
      <c r="K5445" s="36">
        <v>1</v>
      </c>
      <c r="L5445" s="23">
        <v>0.1</v>
      </c>
    </row>
    <row r="5446" spans="1:12" ht="15.35" hidden="1" x14ac:dyDescent="0.55000000000000004">
      <c r="A5446" s="20">
        <v>1907</v>
      </c>
      <c r="B5446" s="2" t="s">
        <v>209</v>
      </c>
      <c r="C5446" s="2" t="s">
        <v>210</v>
      </c>
      <c r="D5446" s="20">
        <v>0</v>
      </c>
      <c r="E5446" s="2" t="s">
        <v>63</v>
      </c>
      <c r="F5446" s="2" t="s">
        <v>813</v>
      </c>
      <c r="G5446" s="2" t="s">
        <v>4014</v>
      </c>
      <c r="H5446" s="2" t="s">
        <v>4014</v>
      </c>
      <c r="I5446" s="2" t="s">
        <v>785</v>
      </c>
      <c r="J5446" s="26"/>
      <c r="K5446" s="36">
        <v>5.8000000000000003E-2</v>
      </c>
      <c r="L5446" s="23">
        <v>5.7999999999999996E-3</v>
      </c>
    </row>
    <row r="5447" spans="1:12" ht="15.35" hidden="1" x14ac:dyDescent="0.55000000000000004">
      <c r="A5447" s="20">
        <v>1912</v>
      </c>
      <c r="B5447" s="2" t="s">
        <v>209</v>
      </c>
      <c r="C5447" s="2" t="s">
        <v>210</v>
      </c>
      <c r="D5447" s="20">
        <v>0</v>
      </c>
      <c r="E5447" s="2" t="s">
        <v>63</v>
      </c>
      <c r="F5447" s="2" t="s">
        <v>807</v>
      </c>
      <c r="G5447" s="2" t="s">
        <v>4717</v>
      </c>
      <c r="H5447" s="2" t="s">
        <v>4717</v>
      </c>
      <c r="I5447" s="2" t="s">
        <v>809</v>
      </c>
      <c r="J5447" s="26"/>
      <c r="K5447" s="36">
        <v>3</v>
      </c>
      <c r="L5447" s="23">
        <v>0.3</v>
      </c>
    </row>
    <row r="5448" spans="1:12" ht="15.35" hidden="1" x14ac:dyDescent="0.55000000000000004">
      <c r="A5448" s="20">
        <v>1900</v>
      </c>
      <c r="B5448" s="2" t="s">
        <v>209</v>
      </c>
      <c r="C5448" s="2" t="s">
        <v>210</v>
      </c>
      <c r="D5448" s="20">
        <v>0</v>
      </c>
      <c r="E5448" s="2" t="s">
        <v>63</v>
      </c>
      <c r="F5448" s="2" t="s">
        <v>817</v>
      </c>
      <c r="G5448" s="2" t="s">
        <v>4718</v>
      </c>
      <c r="H5448" s="2" t="s">
        <v>1852</v>
      </c>
      <c r="I5448" s="2" t="s">
        <v>785</v>
      </c>
      <c r="J5448" s="26"/>
      <c r="K5448" s="36">
        <v>5.8000000000000003E-2</v>
      </c>
      <c r="L5448" s="23">
        <v>5.7999999999999996E-3</v>
      </c>
    </row>
    <row r="5449" spans="1:12" ht="15.35" hidden="1" x14ac:dyDescent="0.55000000000000004">
      <c r="A5449" s="20">
        <v>1896</v>
      </c>
      <c r="B5449" s="2" t="s">
        <v>209</v>
      </c>
      <c r="C5449" s="2" t="s">
        <v>210</v>
      </c>
      <c r="D5449" s="20">
        <v>0</v>
      </c>
      <c r="E5449" s="2" t="s">
        <v>63</v>
      </c>
      <c r="F5449" s="2" t="s">
        <v>787</v>
      </c>
      <c r="G5449" s="2" t="s">
        <v>968</v>
      </c>
      <c r="H5449" s="2" t="s">
        <v>968</v>
      </c>
      <c r="I5449" s="2" t="s">
        <v>785</v>
      </c>
      <c r="J5449" s="26"/>
      <c r="K5449" s="36">
        <v>5.8000000000000003E-2</v>
      </c>
      <c r="L5449" s="23">
        <v>5.7999999999999996E-3</v>
      </c>
    </row>
    <row r="5450" spans="1:12" ht="15.35" hidden="1" x14ac:dyDescent="0.55000000000000004">
      <c r="A5450" s="20">
        <v>1911</v>
      </c>
      <c r="B5450" s="2" t="s">
        <v>209</v>
      </c>
      <c r="C5450" s="2" t="s">
        <v>210</v>
      </c>
      <c r="D5450" s="20">
        <v>0</v>
      </c>
      <c r="E5450" s="2" t="s">
        <v>63</v>
      </c>
      <c r="F5450" s="2" t="s">
        <v>789</v>
      </c>
      <c r="G5450" s="2" t="s">
        <v>4344</v>
      </c>
      <c r="H5450" s="2" t="s">
        <v>4344</v>
      </c>
      <c r="I5450" s="2" t="s">
        <v>785</v>
      </c>
      <c r="J5450" s="26"/>
      <c r="K5450" s="36">
        <v>7.1999999999999995E-2</v>
      </c>
      <c r="L5450" s="23">
        <v>7.1999999999999998E-3</v>
      </c>
    </row>
    <row r="5451" spans="1:12" ht="15.35" hidden="1" x14ac:dyDescent="0.55000000000000004">
      <c r="A5451" s="20">
        <v>1908</v>
      </c>
      <c r="B5451" s="2" t="s">
        <v>209</v>
      </c>
      <c r="C5451" s="2" t="s">
        <v>210</v>
      </c>
      <c r="D5451" s="20">
        <v>0</v>
      </c>
      <c r="E5451" s="2" t="s">
        <v>63</v>
      </c>
      <c r="F5451" s="2" t="s">
        <v>798</v>
      </c>
      <c r="G5451" s="2" t="s">
        <v>907</v>
      </c>
      <c r="H5451" s="2" t="s">
        <v>800</v>
      </c>
      <c r="I5451" s="2" t="s">
        <v>785</v>
      </c>
      <c r="J5451" s="26"/>
      <c r="K5451" s="36">
        <v>5.8000000000000003E-2</v>
      </c>
      <c r="L5451" s="23">
        <v>5.7999999999999996E-3</v>
      </c>
    </row>
    <row r="5452" spans="1:12" ht="15.35" hidden="1" x14ac:dyDescent="0.55000000000000004">
      <c r="A5452" s="20">
        <v>1909</v>
      </c>
      <c r="B5452" s="2" t="s">
        <v>209</v>
      </c>
      <c r="C5452" s="2" t="s">
        <v>210</v>
      </c>
      <c r="D5452" s="20">
        <v>0</v>
      </c>
      <c r="E5452" s="2" t="s">
        <v>63</v>
      </c>
      <c r="F5452" s="2" t="s">
        <v>798</v>
      </c>
      <c r="G5452" s="2" t="s">
        <v>4719</v>
      </c>
      <c r="H5452" s="2" t="s">
        <v>4720</v>
      </c>
      <c r="I5452" s="2" t="s">
        <v>785</v>
      </c>
      <c r="J5452" s="26"/>
      <c r="K5452" s="36">
        <v>5.8000000000000003E-2</v>
      </c>
      <c r="L5452" s="23">
        <v>5.7999999999999996E-3</v>
      </c>
    </row>
    <row r="5453" spans="1:12" ht="15.35" hidden="1" x14ac:dyDescent="0.55000000000000004">
      <c r="A5453" s="20">
        <v>1902</v>
      </c>
      <c r="B5453" s="2" t="s">
        <v>209</v>
      </c>
      <c r="C5453" s="2" t="s">
        <v>210</v>
      </c>
      <c r="D5453" s="20">
        <v>0</v>
      </c>
      <c r="E5453" s="2" t="s">
        <v>63</v>
      </c>
      <c r="F5453" s="2" t="s">
        <v>793</v>
      </c>
      <c r="G5453" s="2" t="s">
        <v>4721</v>
      </c>
      <c r="H5453" s="2" t="s">
        <v>2017</v>
      </c>
      <c r="I5453" s="2" t="s">
        <v>785</v>
      </c>
      <c r="J5453" s="26"/>
      <c r="K5453" s="36">
        <v>5.8000000000000003E-2</v>
      </c>
      <c r="L5453" s="23">
        <v>5.7999999999999996E-3</v>
      </c>
    </row>
    <row r="5454" spans="1:12" ht="15.35" hidden="1" x14ac:dyDescent="0.55000000000000004">
      <c r="A5454" s="20">
        <v>1910</v>
      </c>
      <c r="B5454" s="2" t="s">
        <v>209</v>
      </c>
      <c r="C5454" s="2" t="s">
        <v>210</v>
      </c>
      <c r="D5454" s="20">
        <v>0</v>
      </c>
      <c r="E5454" s="2" t="s">
        <v>63</v>
      </c>
      <c r="F5454" s="2" t="s">
        <v>787</v>
      </c>
      <c r="G5454" s="2" t="s">
        <v>1191</v>
      </c>
      <c r="H5454" s="2" t="s">
        <v>1191</v>
      </c>
      <c r="I5454" s="2" t="s">
        <v>785</v>
      </c>
      <c r="J5454" s="26"/>
      <c r="K5454" s="36">
        <v>5.8000000000000003E-2</v>
      </c>
      <c r="L5454" s="23">
        <v>5.7999999999999996E-3</v>
      </c>
    </row>
    <row r="5455" spans="1:12" ht="15.35" x14ac:dyDescent="0.55000000000000004">
      <c r="A5455" s="20">
        <v>1906</v>
      </c>
      <c r="B5455" s="2" t="s">
        <v>209</v>
      </c>
      <c r="C5455" s="2" t="s">
        <v>210</v>
      </c>
      <c r="D5455" s="20">
        <v>0</v>
      </c>
      <c r="E5455" s="2" t="s">
        <v>63</v>
      </c>
      <c r="F5455" s="2" t="s">
        <v>817</v>
      </c>
      <c r="G5455" s="2" t="s">
        <v>4722</v>
      </c>
      <c r="I5455" s="2" t="s">
        <v>785</v>
      </c>
      <c r="J5455" s="26"/>
      <c r="K5455" s="36">
        <v>5.8000000000000003E-2</v>
      </c>
      <c r="L5455" s="23">
        <v>5.7999999999999996E-3</v>
      </c>
    </row>
    <row r="5456" spans="1:12" ht="15.35" hidden="1" x14ac:dyDescent="0.55000000000000004">
      <c r="A5456" s="20">
        <v>1899</v>
      </c>
      <c r="B5456" s="2" t="s">
        <v>209</v>
      </c>
      <c r="C5456" s="2" t="s">
        <v>210</v>
      </c>
      <c r="D5456" s="20">
        <v>0</v>
      </c>
      <c r="E5456" s="2" t="s">
        <v>63</v>
      </c>
      <c r="F5456" s="2" t="s">
        <v>813</v>
      </c>
      <c r="G5456" s="2" t="s">
        <v>4723</v>
      </c>
      <c r="H5456" s="2" t="s">
        <v>4723</v>
      </c>
      <c r="I5456" s="2" t="s">
        <v>785</v>
      </c>
      <c r="J5456" s="26"/>
      <c r="K5456" s="36">
        <v>5.8000000000000003E-2</v>
      </c>
      <c r="L5456" s="23">
        <v>5.7999999999999996E-3</v>
      </c>
    </row>
    <row r="5457" spans="1:12" ht="15.35" hidden="1" x14ac:dyDescent="0.55000000000000004">
      <c r="A5457" s="20">
        <v>1903</v>
      </c>
      <c r="B5457" s="2" t="s">
        <v>209</v>
      </c>
      <c r="C5457" s="2" t="s">
        <v>210</v>
      </c>
      <c r="D5457" s="20">
        <v>0</v>
      </c>
      <c r="E5457" s="2" t="s">
        <v>63</v>
      </c>
      <c r="F5457" s="2" t="s">
        <v>813</v>
      </c>
      <c r="G5457" s="2" t="s">
        <v>4724</v>
      </c>
      <c r="H5457" s="2" t="s">
        <v>4724</v>
      </c>
      <c r="I5457" s="2" t="s">
        <v>785</v>
      </c>
      <c r="J5457" s="26"/>
      <c r="K5457" s="36">
        <v>5.8000000000000003E-2</v>
      </c>
      <c r="L5457" s="23">
        <v>5.7999999999999996E-3</v>
      </c>
    </row>
    <row r="5458" spans="1:12" ht="15.35" hidden="1" x14ac:dyDescent="0.55000000000000004">
      <c r="A5458" s="20">
        <v>1897</v>
      </c>
      <c r="B5458" s="2" t="s">
        <v>209</v>
      </c>
      <c r="C5458" s="2" t="s">
        <v>210</v>
      </c>
      <c r="D5458" s="20">
        <v>0</v>
      </c>
      <c r="E5458" s="2" t="s">
        <v>63</v>
      </c>
      <c r="F5458" s="2" t="s">
        <v>787</v>
      </c>
      <c r="G5458" s="2" t="s">
        <v>864</v>
      </c>
      <c r="H5458" s="2" t="s">
        <v>864</v>
      </c>
      <c r="I5458" s="2" t="s">
        <v>785</v>
      </c>
      <c r="J5458" s="26"/>
      <c r="K5458" s="36">
        <v>5.8000000000000003E-2</v>
      </c>
      <c r="L5458" s="23">
        <v>5.7999999999999996E-3</v>
      </c>
    </row>
    <row r="5459" spans="1:12" ht="15.35" hidden="1" x14ac:dyDescent="0.55000000000000004">
      <c r="A5459" s="20">
        <v>1901</v>
      </c>
      <c r="B5459" s="2" t="s">
        <v>209</v>
      </c>
      <c r="C5459" s="2" t="s">
        <v>210</v>
      </c>
      <c r="D5459" s="20">
        <v>0</v>
      </c>
      <c r="E5459" s="2" t="s">
        <v>63</v>
      </c>
      <c r="F5459" s="2" t="s">
        <v>783</v>
      </c>
      <c r="G5459" s="2" t="s">
        <v>4725</v>
      </c>
      <c r="H5459" s="2" t="s">
        <v>4725</v>
      </c>
      <c r="I5459" s="2" t="s">
        <v>785</v>
      </c>
      <c r="J5459" s="26"/>
      <c r="K5459" s="36">
        <v>5.8000000000000003E-2</v>
      </c>
      <c r="L5459" s="23">
        <v>5.7999999999999996E-3</v>
      </c>
    </row>
    <row r="5460" spans="1:12" ht="15.35" hidden="1" x14ac:dyDescent="0.55000000000000004">
      <c r="A5460" s="20">
        <v>1893</v>
      </c>
      <c r="B5460" s="2" t="s">
        <v>209</v>
      </c>
      <c r="C5460" s="2" t="s">
        <v>210</v>
      </c>
      <c r="D5460" s="20">
        <v>0</v>
      </c>
      <c r="E5460" s="2" t="s">
        <v>63</v>
      </c>
      <c r="F5460" s="2" t="s">
        <v>798</v>
      </c>
      <c r="G5460" s="2" t="s">
        <v>4726</v>
      </c>
      <c r="H5460" s="2" t="s">
        <v>1166</v>
      </c>
      <c r="I5460" s="2" t="s">
        <v>785</v>
      </c>
      <c r="J5460" s="26"/>
      <c r="K5460" s="36">
        <v>5.8000000000000003E-2</v>
      </c>
      <c r="L5460" s="23">
        <v>5.7999999999999996E-3</v>
      </c>
    </row>
    <row r="5461" spans="1:12" ht="15.35" hidden="1" x14ac:dyDescent="0.55000000000000004">
      <c r="A5461" s="20">
        <v>1905</v>
      </c>
      <c r="B5461" s="2" t="s">
        <v>209</v>
      </c>
      <c r="C5461" s="2" t="s">
        <v>210</v>
      </c>
      <c r="D5461" s="20">
        <v>0</v>
      </c>
      <c r="E5461" s="2" t="s">
        <v>63</v>
      </c>
      <c r="F5461" s="2" t="s">
        <v>798</v>
      </c>
      <c r="G5461" s="2" t="s">
        <v>4727</v>
      </c>
      <c r="H5461" s="2" t="s">
        <v>4728</v>
      </c>
      <c r="I5461" s="2" t="s">
        <v>785</v>
      </c>
      <c r="J5461" s="26"/>
      <c r="K5461" s="36">
        <v>3.5099999999999999E-2</v>
      </c>
      <c r="L5461" s="23">
        <v>3.5100000000000001E-3</v>
      </c>
    </row>
    <row r="5462" spans="1:12" ht="15.35" hidden="1" x14ac:dyDescent="0.55000000000000004">
      <c r="A5462" s="20">
        <v>1904</v>
      </c>
      <c r="B5462" s="2" t="s">
        <v>209</v>
      </c>
      <c r="C5462" s="2" t="s">
        <v>210</v>
      </c>
      <c r="D5462" s="20">
        <v>0</v>
      </c>
      <c r="E5462" s="2" t="s">
        <v>63</v>
      </c>
      <c r="F5462" s="2" t="s">
        <v>798</v>
      </c>
      <c r="G5462" s="2" t="s">
        <v>4729</v>
      </c>
      <c r="H5462" s="2" t="s">
        <v>4728</v>
      </c>
      <c r="I5462" s="2" t="s">
        <v>785</v>
      </c>
      <c r="J5462" s="26"/>
      <c r="K5462" s="36">
        <v>1.23E-2</v>
      </c>
      <c r="L5462" s="23">
        <v>1.23E-3</v>
      </c>
    </row>
    <row r="5463" spans="1:12" ht="15.35" hidden="1" x14ac:dyDescent="0.55000000000000004">
      <c r="A5463" s="20">
        <v>1913</v>
      </c>
      <c r="B5463" s="2" t="s">
        <v>209</v>
      </c>
      <c r="C5463" s="2" t="s">
        <v>210</v>
      </c>
      <c r="D5463" s="20">
        <v>0</v>
      </c>
      <c r="E5463" s="2" t="s">
        <v>63</v>
      </c>
      <c r="F5463" s="2" t="s">
        <v>798</v>
      </c>
      <c r="G5463" s="2" t="s">
        <v>4730</v>
      </c>
      <c r="H5463" s="2" t="s">
        <v>4728</v>
      </c>
      <c r="I5463" s="2" t="s">
        <v>785</v>
      </c>
      <c r="J5463" s="26"/>
      <c r="K5463" s="36">
        <v>1.06E-2</v>
      </c>
      <c r="L5463" s="23">
        <v>1.06E-3</v>
      </c>
    </row>
    <row r="5464" spans="1:12" ht="15.35" x14ac:dyDescent="0.55000000000000004">
      <c r="A5464" s="20">
        <v>1892</v>
      </c>
      <c r="B5464" s="2" t="s">
        <v>209</v>
      </c>
      <c r="C5464" s="2" t="s">
        <v>210</v>
      </c>
      <c r="D5464" s="20">
        <v>0</v>
      </c>
      <c r="E5464" s="2" t="s">
        <v>63</v>
      </c>
      <c r="F5464" s="2" t="s">
        <v>811</v>
      </c>
      <c r="G5464" s="2" t="s">
        <v>4731</v>
      </c>
      <c r="I5464" s="2" t="s">
        <v>785</v>
      </c>
      <c r="J5464" s="26"/>
      <c r="K5464" s="36">
        <v>5.8000000000000003E-2</v>
      </c>
      <c r="L5464" s="23">
        <v>5.7999999999999996E-3</v>
      </c>
    </row>
    <row r="5465" spans="1:12" ht="15.35" hidden="1" x14ac:dyDescent="0.55000000000000004">
      <c r="A5465" s="20">
        <v>13401</v>
      </c>
      <c r="B5465" s="2" t="s">
        <v>209</v>
      </c>
      <c r="C5465" s="2" t="s">
        <v>210</v>
      </c>
      <c r="D5465" s="20">
        <v>0</v>
      </c>
      <c r="E5465" s="2" t="s">
        <v>838</v>
      </c>
      <c r="F5465" s="2" t="s">
        <v>783</v>
      </c>
      <c r="G5465" s="2" t="s">
        <v>4732</v>
      </c>
      <c r="H5465" s="2" t="s">
        <v>4733</v>
      </c>
      <c r="J5465" s="26"/>
      <c r="K5465" s="36">
        <v>8.6799999999999999E-6</v>
      </c>
      <c r="L5465" s="23">
        <v>8.7000000000000003E-7</v>
      </c>
    </row>
    <row r="5466" spans="1:12" ht="15.35" hidden="1" x14ac:dyDescent="0.55000000000000004">
      <c r="A5466" s="20">
        <v>13381</v>
      </c>
      <c r="B5466" s="2" t="s">
        <v>209</v>
      </c>
      <c r="C5466" s="2" t="s">
        <v>210</v>
      </c>
      <c r="D5466" s="20">
        <v>0</v>
      </c>
      <c r="E5466" s="2" t="s">
        <v>838</v>
      </c>
      <c r="F5466" s="2" t="s">
        <v>783</v>
      </c>
      <c r="G5466" s="2" t="s">
        <v>4732</v>
      </c>
      <c r="H5466" s="2" t="s">
        <v>4733</v>
      </c>
      <c r="J5466" s="26"/>
      <c r="K5466" s="36">
        <v>1.5780000000000001E-5</v>
      </c>
      <c r="L5466" s="23">
        <v>1.5799999999999999E-6</v>
      </c>
    </row>
    <row r="5467" spans="1:12" ht="15.35" hidden="1" x14ac:dyDescent="0.55000000000000004">
      <c r="A5467" s="20">
        <v>13390</v>
      </c>
      <c r="B5467" s="2" t="s">
        <v>209</v>
      </c>
      <c r="C5467" s="2" t="s">
        <v>210</v>
      </c>
      <c r="D5467" s="20">
        <v>0</v>
      </c>
      <c r="E5467" s="2" t="s">
        <v>838</v>
      </c>
      <c r="F5467" s="2" t="s">
        <v>817</v>
      </c>
      <c r="G5467" s="2" t="s">
        <v>4734</v>
      </c>
      <c r="H5467" s="2" t="s">
        <v>1198</v>
      </c>
      <c r="J5467" s="26"/>
      <c r="K5467" s="36">
        <v>4.7299999999999996E-6</v>
      </c>
      <c r="L5467" s="23">
        <v>4.7E-7</v>
      </c>
    </row>
    <row r="5468" spans="1:12" ht="15.35" hidden="1" x14ac:dyDescent="0.55000000000000004">
      <c r="A5468" s="20">
        <v>13394</v>
      </c>
      <c r="B5468" s="2" t="s">
        <v>209</v>
      </c>
      <c r="C5468" s="2" t="s">
        <v>210</v>
      </c>
      <c r="D5468" s="20">
        <v>0</v>
      </c>
      <c r="E5468" s="2" t="s">
        <v>838</v>
      </c>
      <c r="F5468" s="2" t="s">
        <v>817</v>
      </c>
      <c r="G5468" s="2" t="s">
        <v>4735</v>
      </c>
      <c r="H5468" s="2" t="s">
        <v>1198</v>
      </c>
      <c r="J5468" s="26"/>
      <c r="K5468" s="36">
        <v>8.9600000000000006E-6</v>
      </c>
      <c r="L5468" s="23">
        <v>8.9999999999999996E-7</v>
      </c>
    </row>
    <row r="5469" spans="1:12" ht="15.35" hidden="1" x14ac:dyDescent="0.55000000000000004">
      <c r="A5469" s="20">
        <v>13391</v>
      </c>
      <c r="B5469" s="2" t="s">
        <v>209</v>
      </c>
      <c r="C5469" s="2" t="s">
        <v>210</v>
      </c>
      <c r="D5469" s="20">
        <v>0</v>
      </c>
      <c r="E5469" s="2" t="s">
        <v>838</v>
      </c>
      <c r="F5469" s="2" t="s">
        <v>848</v>
      </c>
      <c r="G5469" s="2" t="s">
        <v>4736</v>
      </c>
      <c r="H5469" s="2" t="s">
        <v>1007</v>
      </c>
      <c r="J5469" s="26"/>
      <c r="K5469" s="36">
        <v>2.8909999999999999E-5</v>
      </c>
      <c r="L5469" s="23">
        <v>2.8899999999999999E-6</v>
      </c>
    </row>
    <row r="5470" spans="1:12" ht="15.35" hidden="1" x14ac:dyDescent="0.55000000000000004">
      <c r="A5470" s="20">
        <v>13385</v>
      </c>
      <c r="B5470" s="2" t="s">
        <v>209</v>
      </c>
      <c r="C5470" s="2" t="s">
        <v>210</v>
      </c>
      <c r="D5470" s="20">
        <v>0</v>
      </c>
      <c r="E5470" s="2" t="s">
        <v>838</v>
      </c>
      <c r="F5470" s="2" t="s">
        <v>807</v>
      </c>
      <c r="G5470" s="2" t="s">
        <v>4737</v>
      </c>
      <c r="H5470" s="2" t="s">
        <v>1254</v>
      </c>
      <c r="J5470" s="26"/>
      <c r="K5470" s="36">
        <v>1.1440000000000001E-5</v>
      </c>
      <c r="L5470" s="23">
        <v>1.1400000000000001E-6</v>
      </c>
    </row>
    <row r="5471" spans="1:12" ht="15.35" hidden="1" x14ac:dyDescent="0.55000000000000004">
      <c r="A5471" s="20">
        <v>13387</v>
      </c>
      <c r="B5471" s="2" t="s">
        <v>209</v>
      </c>
      <c r="C5471" s="2" t="s">
        <v>210</v>
      </c>
      <c r="D5471" s="20">
        <v>0</v>
      </c>
      <c r="E5471" s="2" t="s">
        <v>838</v>
      </c>
      <c r="F5471" s="2" t="s">
        <v>848</v>
      </c>
      <c r="G5471" s="2" t="s">
        <v>4738</v>
      </c>
      <c r="H5471" s="2" t="s">
        <v>4738</v>
      </c>
      <c r="J5471" s="26"/>
      <c r="K5471" s="36">
        <v>2.8600000000000001E-6</v>
      </c>
      <c r="L5471" s="23">
        <v>2.8999999999999998E-7</v>
      </c>
    </row>
    <row r="5472" spans="1:12" ht="15.35" hidden="1" x14ac:dyDescent="0.55000000000000004">
      <c r="A5472" s="20">
        <v>13389</v>
      </c>
      <c r="B5472" s="2" t="s">
        <v>209</v>
      </c>
      <c r="C5472" s="2" t="s">
        <v>210</v>
      </c>
      <c r="D5472" s="20">
        <v>0</v>
      </c>
      <c r="E5472" s="2" t="s">
        <v>838</v>
      </c>
      <c r="F5472" s="2" t="s">
        <v>848</v>
      </c>
      <c r="G5472" s="2" t="s">
        <v>4739</v>
      </c>
      <c r="H5472" s="2" t="s">
        <v>1270</v>
      </c>
      <c r="J5472" s="26"/>
      <c r="K5472" s="36">
        <v>2.79E-6</v>
      </c>
      <c r="L5472" s="23">
        <v>2.8000000000000002E-7</v>
      </c>
    </row>
    <row r="5473" spans="1:12" ht="15.35" hidden="1" x14ac:dyDescent="0.55000000000000004">
      <c r="A5473" s="20">
        <v>13398</v>
      </c>
      <c r="B5473" s="2" t="s">
        <v>209</v>
      </c>
      <c r="C5473" s="2" t="s">
        <v>210</v>
      </c>
      <c r="D5473" s="20">
        <v>0</v>
      </c>
      <c r="E5473" s="2" t="s">
        <v>838</v>
      </c>
      <c r="F5473" s="2" t="s">
        <v>817</v>
      </c>
      <c r="G5473" s="2" t="s">
        <v>4740</v>
      </c>
      <c r="H5473" s="2" t="s">
        <v>810</v>
      </c>
      <c r="J5473" s="26"/>
      <c r="K5473" s="36">
        <v>9.4700000000000008E-6</v>
      </c>
      <c r="L5473" s="23">
        <v>9.5000000000000001E-7</v>
      </c>
    </row>
    <row r="5474" spans="1:12" ht="15.35" hidden="1" x14ac:dyDescent="0.55000000000000004">
      <c r="A5474" s="20">
        <v>13402</v>
      </c>
      <c r="B5474" s="2" t="s">
        <v>209</v>
      </c>
      <c r="C5474" s="2" t="s">
        <v>210</v>
      </c>
      <c r="D5474" s="20">
        <v>0</v>
      </c>
      <c r="E5474" s="2" t="s">
        <v>838</v>
      </c>
      <c r="F5474" s="2" t="s">
        <v>793</v>
      </c>
      <c r="G5474" s="2" t="s">
        <v>4741</v>
      </c>
      <c r="H5474" s="2" t="s">
        <v>2100</v>
      </c>
      <c r="J5474" s="26"/>
      <c r="K5474" s="36">
        <v>2.8600000000000001E-6</v>
      </c>
      <c r="L5474" s="23">
        <v>2.8999999999999998E-7</v>
      </c>
    </row>
    <row r="5475" spans="1:12" ht="15.35" hidden="1" x14ac:dyDescent="0.55000000000000004">
      <c r="A5475" s="20">
        <v>13395</v>
      </c>
      <c r="B5475" s="2" t="s">
        <v>209</v>
      </c>
      <c r="C5475" s="2" t="s">
        <v>210</v>
      </c>
      <c r="D5475" s="20">
        <v>0</v>
      </c>
      <c r="E5475" s="2" t="s">
        <v>838</v>
      </c>
      <c r="F5475" s="2" t="s">
        <v>793</v>
      </c>
      <c r="G5475" s="2" t="s">
        <v>4742</v>
      </c>
      <c r="H5475" s="2" t="s">
        <v>1098</v>
      </c>
      <c r="J5475" s="26"/>
      <c r="K5475" s="36">
        <v>2.92E-6</v>
      </c>
      <c r="L5475" s="23">
        <v>2.8999999999999998E-7</v>
      </c>
    </row>
    <row r="5476" spans="1:12" ht="15.35" hidden="1" x14ac:dyDescent="0.55000000000000004">
      <c r="A5476" s="20">
        <v>13400</v>
      </c>
      <c r="B5476" s="2" t="s">
        <v>209</v>
      </c>
      <c r="C5476" s="2" t="s">
        <v>210</v>
      </c>
      <c r="D5476" s="20">
        <v>0</v>
      </c>
      <c r="E5476" s="2" t="s">
        <v>838</v>
      </c>
      <c r="F5476" s="2" t="s">
        <v>793</v>
      </c>
      <c r="G5476" s="2" t="s">
        <v>4743</v>
      </c>
      <c r="H5476" s="2" t="s">
        <v>4744</v>
      </c>
      <c r="J5476" s="26"/>
      <c r="K5476" s="36">
        <v>1.39E-6</v>
      </c>
      <c r="L5476" s="23">
        <v>1.4000000000000001E-7</v>
      </c>
    </row>
    <row r="5477" spans="1:12" ht="15.35" hidden="1" x14ac:dyDescent="0.55000000000000004">
      <c r="A5477" s="20">
        <v>13384</v>
      </c>
      <c r="B5477" s="2" t="s">
        <v>209</v>
      </c>
      <c r="C5477" s="2" t="s">
        <v>210</v>
      </c>
      <c r="D5477" s="20">
        <v>0</v>
      </c>
      <c r="E5477" s="2" t="s">
        <v>838</v>
      </c>
      <c r="F5477" s="2" t="s">
        <v>793</v>
      </c>
      <c r="G5477" s="2" t="s">
        <v>4745</v>
      </c>
      <c r="H5477" s="2" t="s">
        <v>4744</v>
      </c>
      <c r="J5477" s="26"/>
      <c r="K5477" s="36">
        <v>1.39E-6</v>
      </c>
      <c r="L5477" s="23">
        <v>1.4000000000000001E-7</v>
      </c>
    </row>
    <row r="5478" spans="1:12" ht="15.35" hidden="1" x14ac:dyDescent="0.55000000000000004">
      <c r="A5478" s="20">
        <v>13397</v>
      </c>
      <c r="B5478" s="2" t="s">
        <v>209</v>
      </c>
      <c r="C5478" s="2" t="s">
        <v>210</v>
      </c>
      <c r="D5478" s="20">
        <v>0</v>
      </c>
      <c r="E5478" s="2" t="s">
        <v>838</v>
      </c>
      <c r="F5478" s="2" t="s">
        <v>798</v>
      </c>
      <c r="G5478" s="2" t="s">
        <v>4746</v>
      </c>
      <c r="H5478" s="2" t="s">
        <v>860</v>
      </c>
      <c r="J5478" s="26"/>
      <c r="K5478" s="36">
        <v>2.0099999999999998E-6</v>
      </c>
      <c r="L5478" s="23">
        <v>1.9999999999999999E-7</v>
      </c>
    </row>
    <row r="5479" spans="1:12" ht="15.35" hidden="1" x14ac:dyDescent="0.55000000000000004">
      <c r="A5479" s="20">
        <v>13399</v>
      </c>
      <c r="B5479" s="2" t="s">
        <v>209</v>
      </c>
      <c r="C5479" s="2" t="s">
        <v>210</v>
      </c>
      <c r="D5479" s="20">
        <v>0</v>
      </c>
      <c r="E5479" s="2" t="s">
        <v>838</v>
      </c>
      <c r="F5479" s="2" t="s">
        <v>848</v>
      </c>
      <c r="G5479" s="2" t="s">
        <v>4747</v>
      </c>
      <c r="H5479" s="2" t="s">
        <v>1480</v>
      </c>
      <c r="J5479" s="26"/>
      <c r="K5479" s="36">
        <v>2.8899999999999999E-6</v>
      </c>
      <c r="L5479" s="23">
        <v>2.8999999999999998E-7</v>
      </c>
    </row>
    <row r="5480" spans="1:12" ht="15.35" hidden="1" x14ac:dyDescent="0.55000000000000004">
      <c r="A5480" s="20">
        <v>13382</v>
      </c>
      <c r="B5480" s="2" t="s">
        <v>209</v>
      </c>
      <c r="C5480" s="2" t="s">
        <v>210</v>
      </c>
      <c r="D5480" s="20">
        <v>0</v>
      </c>
      <c r="E5480" s="2" t="s">
        <v>838</v>
      </c>
      <c r="F5480" s="2" t="s">
        <v>817</v>
      </c>
      <c r="G5480" s="2" t="s">
        <v>4748</v>
      </c>
      <c r="H5480" s="2" t="s">
        <v>862</v>
      </c>
      <c r="J5480" s="26"/>
      <c r="K5480" s="36">
        <v>2.0099999999999998E-6</v>
      </c>
      <c r="L5480" s="23">
        <v>1.9999999999999999E-7</v>
      </c>
    </row>
    <row r="5481" spans="1:12" ht="15.35" hidden="1" x14ac:dyDescent="0.55000000000000004">
      <c r="A5481" s="20">
        <v>13383</v>
      </c>
      <c r="B5481" s="2" t="s">
        <v>209</v>
      </c>
      <c r="C5481" s="2" t="s">
        <v>210</v>
      </c>
      <c r="D5481" s="20">
        <v>0</v>
      </c>
      <c r="E5481" s="2" t="s">
        <v>838</v>
      </c>
      <c r="F5481" s="2" t="s">
        <v>793</v>
      </c>
      <c r="G5481" s="2" t="s">
        <v>4749</v>
      </c>
      <c r="H5481" s="2" t="s">
        <v>864</v>
      </c>
      <c r="J5481" s="26"/>
      <c r="K5481" s="36">
        <v>2.92E-6</v>
      </c>
      <c r="L5481" s="23">
        <v>2.8999999999999998E-7</v>
      </c>
    </row>
    <row r="5482" spans="1:12" ht="15.35" hidden="1" x14ac:dyDescent="0.55000000000000004">
      <c r="A5482" s="20">
        <v>13388</v>
      </c>
      <c r="B5482" s="2" t="s">
        <v>209</v>
      </c>
      <c r="C5482" s="2" t="s">
        <v>210</v>
      </c>
      <c r="D5482" s="20">
        <v>0</v>
      </c>
      <c r="E5482" s="2" t="s">
        <v>838</v>
      </c>
      <c r="F5482" s="2" t="s">
        <v>833</v>
      </c>
      <c r="G5482" s="2" t="s">
        <v>4750</v>
      </c>
      <c r="H5482" s="2" t="s">
        <v>1166</v>
      </c>
      <c r="J5482" s="26"/>
      <c r="K5482" s="36">
        <v>7.8999999999999995E-7</v>
      </c>
      <c r="L5482" s="23">
        <v>8.0000000000000002E-8</v>
      </c>
    </row>
    <row r="5483" spans="1:12" ht="15.35" hidden="1" x14ac:dyDescent="0.55000000000000004">
      <c r="A5483" s="20">
        <v>13392</v>
      </c>
      <c r="B5483" s="2" t="s">
        <v>209</v>
      </c>
      <c r="C5483" s="2" t="s">
        <v>210</v>
      </c>
      <c r="D5483" s="20">
        <v>0</v>
      </c>
      <c r="E5483" s="2" t="s">
        <v>838</v>
      </c>
      <c r="F5483" s="2" t="s">
        <v>833</v>
      </c>
      <c r="G5483" s="2" t="s">
        <v>4751</v>
      </c>
      <c r="H5483" s="2" t="s">
        <v>1166</v>
      </c>
      <c r="J5483" s="26"/>
      <c r="K5483" s="36">
        <v>7.8999999999999995E-7</v>
      </c>
      <c r="L5483" s="23">
        <v>8.0000000000000002E-8</v>
      </c>
    </row>
    <row r="5484" spans="1:12" ht="15.35" hidden="1" x14ac:dyDescent="0.55000000000000004">
      <c r="A5484" s="20">
        <v>13396</v>
      </c>
      <c r="B5484" s="2" t="s">
        <v>209</v>
      </c>
      <c r="C5484" s="2" t="s">
        <v>210</v>
      </c>
      <c r="D5484" s="20">
        <v>0</v>
      </c>
      <c r="E5484" s="2" t="s">
        <v>838</v>
      </c>
      <c r="F5484" s="2" t="s">
        <v>833</v>
      </c>
      <c r="G5484" s="2" t="s">
        <v>4752</v>
      </c>
      <c r="H5484" s="2" t="s">
        <v>1166</v>
      </c>
      <c r="J5484" s="26"/>
      <c r="K5484" s="36">
        <v>7.8999999999999995E-7</v>
      </c>
      <c r="L5484" s="23">
        <v>8.0000000000000002E-8</v>
      </c>
    </row>
    <row r="5485" spans="1:12" ht="15.35" x14ac:dyDescent="0.55000000000000004">
      <c r="A5485" s="20">
        <v>13393</v>
      </c>
      <c r="B5485" s="2" t="s">
        <v>209</v>
      </c>
      <c r="C5485" s="2" t="s">
        <v>210</v>
      </c>
      <c r="D5485" s="20">
        <v>0</v>
      </c>
      <c r="E5485" s="2" t="s">
        <v>838</v>
      </c>
      <c r="F5485" s="2" t="s">
        <v>793</v>
      </c>
      <c r="G5485" s="2" t="s">
        <v>4753</v>
      </c>
      <c r="J5485" s="26"/>
      <c r="K5485" s="36">
        <v>1.7280000000000001E-5</v>
      </c>
      <c r="L5485" s="23">
        <v>1.73E-6</v>
      </c>
    </row>
    <row r="5486" spans="1:12" ht="15.35" hidden="1" x14ac:dyDescent="0.55000000000000004">
      <c r="A5486" s="20">
        <v>13386</v>
      </c>
      <c r="B5486" s="2" t="s">
        <v>209</v>
      </c>
      <c r="C5486" s="2" t="s">
        <v>210</v>
      </c>
      <c r="D5486" s="20">
        <v>0</v>
      </c>
      <c r="E5486" s="2" t="s">
        <v>838</v>
      </c>
      <c r="F5486" s="2" t="s">
        <v>783</v>
      </c>
      <c r="G5486" s="2" t="s">
        <v>4754</v>
      </c>
      <c r="H5486" s="2" t="s">
        <v>4733</v>
      </c>
      <c r="J5486" s="26"/>
      <c r="K5486" s="36">
        <v>5.7809999999999997E-5</v>
      </c>
      <c r="L5486" s="23">
        <v>5.7799999999999997E-6</v>
      </c>
    </row>
    <row r="5487" spans="1:12" ht="15.35" hidden="1" x14ac:dyDescent="0.55000000000000004">
      <c r="A5487" s="20">
        <v>1919</v>
      </c>
      <c r="B5487" s="2" t="s">
        <v>205</v>
      </c>
      <c r="C5487" s="2" t="s">
        <v>206</v>
      </c>
      <c r="D5487" s="20">
        <v>0</v>
      </c>
      <c r="E5487" s="2" t="s">
        <v>63</v>
      </c>
      <c r="F5487" s="2" t="s">
        <v>817</v>
      </c>
      <c r="G5487" s="2" t="s">
        <v>4012</v>
      </c>
      <c r="H5487" s="2" t="s">
        <v>1198</v>
      </c>
      <c r="I5487" s="2" t="s">
        <v>785</v>
      </c>
      <c r="J5487" s="26"/>
      <c r="K5487" s="36">
        <v>0.13089999999999999</v>
      </c>
      <c r="L5487" s="23">
        <v>1.8700000000000001E-2</v>
      </c>
    </row>
    <row r="5488" spans="1:12" ht="15.35" hidden="1" x14ac:dyDescent="0.55000000000000004">
      <c r="A5488" s="20">
        <v>1918</v>
      </c>
      <c r="B5488" s="2" t="s">
        <v>205</v>
      </c>
      <c r="C5488" s="2" t="s">
        <v>206</v>
      </c>
      <c r="D5488" s="20">
        <v>0</v>
      </c>
      <c r="E5488" s="2" t="s">
        <v>63</v>
      </c>
      <c r="F5488" s="2" t="s">
        <v>813</v>
      </c>
      <c r="G5488" s="2" t="s">
        <v>4755</v>
      </c>
      <c r="H5488" s="2" t="s">
        <v>4755</v>
      </c>
      <c r="I5488" s="2" t="s">
        <v>785</v>
      </c>
      <c r="J5488" s="26"/>
      <c r="K5488" s="36">
        <v>0.1497</v>
      </c>
      <c r="L5488" s="23">
        <v>2.1389999999999999E-2</v>
      </c>
    </row>
    <row r="5489" spans="1:12" ht="15.35" hidden="1" x14ac:dyDescent="0.55000000000000004">
      <c r="A5489" s="20">
        <v>1932</v>
      </c>
      <c r="B5489" s="2" t="s">
        <v>205</v>
      </c>
      <c r="C5489" s="2" t="s">
        <v>206</v>
      </c>
      <c r="D5489" s="20">
        <v>0</v>
      </c>
      <c r="E5489" s="2" t="s">
        <v>63</v>
      </c>
      <c r="F5489" s="2" t="s">
        <v>817</v>
      </c>
      <c r="G5489" s="2" t="s">
        <v>4756</v>
      </c>
      <c r="H5489" s="2" t="s">
        <v>1198</v>
      </c>
      <c r="I5489" s="2" t="s">
        <v>785</v>
      </c>
      <c r="J5489" s="26"/>
      <c r="K5489" s="36">
        <v>9.3700000000000006E-2</v>
      </c>
      <c r="L5489" s="23">
        <v>1.3390000000000001E-2</v>
      </c>
    </row>
    <row r="5490" spans="1:12" ht="15.35" hidden="1" x14ac:dyDescent="0.55000000000000004">
      <c r="A5490" s="20">
        <v>1940</v>
      </c>
      <c r="B5490" s="2" t="s">
        <v>205</v>
      </c>
      <c r="C5490" s="2" t="s">
        <v>206</v>
      </c>
      <c r="D5490" s="20">
        <v>0</v>
      </c>
      <c r="E5490" s="2" t="s">
        <v>63</v>
      </c>
      <c r="F5490" s="2" t="s">
        <v>813</v>
      </c>
      <c r="G5490" s="2" t="s">
        <v>4014</v>
      </c>
      <c r="H5490" s="2" t="s">
        <v>4014</v>
      </c>
      <c r="I5490" s="2" t="s">
        <v>785</v>
      </c>
      <c r="J5490" s="26"/>
      <c r="K5490" s="36">
        <v>0.37419999999999998</v>
      </c>
      <c r="L5490" s="23">
        <v>5.3460000000000001E-2</v>
      </c>
    </row>
    <row r="5491" spans="1:12" ht="15.35" hidden="1" x14ac:dyDescent="0.55000000000000004">
      <c r="A5491" s="20">
        <v>1943</v>
      </c>
      <c r="B5491" s="2" t="s">
        <v>205</v>
      </c>
      <c r="C5491" s="2" t="s">
        <v>206</v>
      </c>
      <c r="D5491" s="20">
        <v>0</v>
      </c>
      <c r="E5491" s="2" t="s">
        <v>63</v>
      </c>
      <c r="F5491" s="2" t="s">
        <v>807</v>
      </c>
      <c r="G5491" s="2" t="s">
        <v>4757</v>
      </c>
      <c r="H5491" s="2" t="s">
        <v>4757</v>
      </c>
      <c r="I5491" s="2" t="s">
        <v>809</v>
      </c>
      <c r="J5491" s="26"/>
      <c r="K5491" s="36">
        <v>1.4</v>
      </c>
      <c r="L5491" s="23">
        <v>0.2</v>
      </c>
    </row>
    <row r="5492" spans="1:12" ht="15.35" hidden="1" x14ac:dyDescent="0.55000000000000004">
      <c r="A5492" s="20">
        <v>1929</v>
      </c>
      <c r="B5492" s="2" t="s">
        <v>205</v>
      </c>
      <c r="C5492" s="2" t="s">
        <v>206</v>
      </c>
      <c r="D5492" s="20">
        <v>0</v>
      </c>
      <c r="E5492" s="2" t="s">
        <v>63</v>
      </c>
      <c r="F5492" s="2" t="s">
        <v>787</v>
      </c>
      <c r="G5492" s="2" t="s">
        <v>904</v>
      </c>
      <c r="H5492" s="2" t="s">
        <v>904</v>
      </c>
      <c r="I5492" s="2" t="s">
        <v>785</v>
      </c>
      <c r="J5492" s="26"/>
      <c r="K5492" s="36">
        <v>0.187</v>
      </c>
      <c r="L5492" s="23">
        <v>2.6710000000000001E-2</v>
      </c>
    </row>
    <row r="5493" spans="1:12" ht="15.35" hidden="1" x14ac:dyDescent="0.55000000000000004">
      <c r="A5493" s="20">
        <v>1930</v>
      </c>
      <c r="B5493" s="2" t="s">
        <v>205</v>
      </c>
      <c r="C5493" s="2" t="s">
        <v>206</v>
      </c>
      <c r="D5493" s="20">
        <v>0</v>
      </c>
      <c r="E5493" s="2" t="s">
        <v>63</v>
      </c>
      <c r="F5493" s="2" t="s">
        <v>787</v>
      </c>
      <c r="G5493" s="2" t="s">
        <v>788</v>
      </c>
      <c r="H5493" s="2" t="s">
        <v>788</v>
      </c>
      <c r="I5493" s="2" t="s">
        <v>785</v>
      </c>
      <c r="J5493" s="26"/>
      <c r="K5493" s="36">
        <v>0.11219999999999999</v>
      </c>
      <c r="L5493" s="23">
        <v>1.6029999999999999E-2</v>
      </c>
    </row>
    <row r="5494" spans="1:12" ht="15.35" hidden="1" x14ac:dyDescent="0.55000000000000004">
      <c r="A5494" s="20">
        <v>1921</v>
      </c>
      <c r="B5494" s="2" t="s">
        <v>205</v>
      </c>
      <c r="C5494" s="2" t="s">
        <v>206</v>
      </c>
      <c r="D5494" s="20">
        <v>0</v>
      </c>
      <c r="E5494" s="2" t="s">
        <v>63</v>
      </c>
      <c r="F5494" s="2" t="s">
        <v>817</v>
      </c>
      <c r="G5494" s="2" t="s">
        <v>4758</v>
      </c>
      <c r="H5494" s="2" t="s">
        <v>1868</v>
      </c>
      <c r="I5494" s="2" t="s">
        <v>785</v>
      </c>
      <c r="J5494" s="26"/>
      <c r="K5494" s="36">
        <v>7.4800000000000005E-2</v>
      </c>
      <c r="L5494" s="23">
        <v>1.069E-2</v>
      </c>
    </row>
    <row r="5495" spans="1:12" ht="15.35" hidden="1" x14ac:dyDescent="0.55000000000000004">
      <c r="A5495" s="20">
        <v>1928</v>
      </c>
      <c r="B5495" s="2" t="s">
        <v>205</v>
      </c>
      <c r="C5495" s="2" t="s">
        <v>206</v>
      </c>
      <c r="D5495" s="20">
        <v>0</v>
      </c>
      <c r="E5495" s="2" t="s">
        <v>63</v>
      </c>
      <c r="F5495" s="2" t="s">
        <v>787</v>
      </c>
      <c r="G5495" s="2" t="s">
        <v>968</v>
      </c>
      <c r="H5495" s="2" t="s">
        <v>968</v>
      </c>
      <c r="I5495" s="2" t="s">
        <v>785</v>
      </c>
      <c r="J5495" s="26"/>
      <c r="K5495" s="36">
        <v>0.11219999999999999</v>
      </c>
      <c r="L5495" s="23">
        <v>1.6029999999999999E-2</v>
      </c>
    </row>
    <row r="5496" spans="1:12" ht="15.35" hidden="1" x14ac:dyDescent="0.55000000000000004">
      <c r="A5496" s="20">
        <v>1935</v>
      </c>
      <c r="B5496" s="2" t="s">
        <v>205</v>
      </c>
      <c r="C5496" s="2" t="s">
        <v>206</v>
      </c>
      <c r="D5496" s="20">
        <v>0</v>
      </c>
      <c r="E5496" s="2" t="s">
        <v>63</v>
      </c>
      <c r="F5496" s="2" t="s">
        <v>789</v>
      </c>
      <c r="G5496" s="2" t="s">
        <v>4344</v>
      </c>
      <c r="H5496" s="2" t="s">
        <v>4344</v>
      </c>
      <c r="I5496" s="2" t="s">
        <v>785</v>
      </c>
      <c r="J5496" s="26"/>
      <c r="K5496" s="36">
        <v>7.4800000000000005E-2</v>
      </c>
      <c r="L5496" s="23">
        <v>1.069E-2</v>
      </c>
    </row>
    <row r="5497" spans="1:12" ht="15.35" hidden="1" x14ac:dyDescent="0.55000000000000004">
      <c r="A5497" s="20">
        <v>1941</v>
      </c>
      <c r="B5497" s="2" t="s">
        <v>205</v>
      </c>
      <c r="C5497" s="2" t="s">
        <v>206</v>
      </c>
      <c r="D5497" s="20">
        <v>0</v>
      </c>
      <c r="E5497" s="2" t="s">
        <v>63</v>
      </c>
      <c r="F5497" s="2" t="s">
        <v>787</v>
      </c>
      <c r="G5497" s="2" t="s">
        <v>972</v>
      </c>
      <c r="H5497" s="2" t="s">
        <v>972</v>
      </c>
      <c r="I5497" s="2" t="s">
        <v>785</v>
      </c>
      <c r="J5497" s="26"/>
      <c r="K5497" s="36">
        <v>7.4999999999999997E-2</v>
      </c>
      <c r="L5497" s="23">
        <v>1.0710000000000001E-2</v>
      </c>
    </row>
    <row r="5498" spans="1:12" ht="15.35" hidden="1" x14ac:dyDescent="0.55000000000000004">
      <c r="A5498" s="20">
        <v>1942</v>
      </c>
      <c r="B5498" s="2" t="s">
        <v>205</v>
      </c>
      <c r="C5498" s="2" t="s">
        <v>206</v>
      </c>
      <c r="D5498" s="20">
        <v>0</v>
      </c>
      <c r="E5498" s="2" t="s">
        <v>63</v>
      </c>
      <c r="F5498" s="2" t="s">
        <v>798</v>
      </c>
      <c r="G5498" s="2" t="s">
        <v>4759</v>
      </c>
      <c r="H5498" s="2" t="s">
        <v>1905</v>
      </c>
      <c r="I5498" s="2" t="s">
        <v>785</v>
      </c>
      <c r="J5498" s="26"/>
      <c r="K5498" s="36">
        <v>3.7499999999999999E-2</v>
      </c>
      <c r="L5498" s="23">
        <v>5.3600000000000002E-3</v>
      </c>
    </row>
    <row r="5499" spans="1:12" ht="15.35" hidden="1" x14ac:dyDescent="0.55000000000000004">
      <c r="A5499" s="20">
        <v>1922</v>
      </c>
      <c r="B5499" s="2" t="s">
        <v>205</v>
      </c>
      <c r="C5499" s="2" t="s">
        <v>206</v>
      </c>
      <c r="D5499" s="20">
        <v>0</v>
      </c>
      <c r="E5499" s="2" t="s">
        <v>63</v>
      </c>
      <c r="F5499" s="2" t="s">
        <v>798</v>
      </c>
      <c r="G5499" s="2" t="s">
        <v>4760</v>
      </c>
      <c r="H5499" s="2" t="s">
        <v>1184</v>
      </c>
      <c r="I5499" s="2" t="s">
        <v>785</v>
      </c>
      <c r="J5499" s="26"/>
      <c r="K5499" s="36">
        <v>0.18709999999999999</v>
      </c>
      <c r="L5499" s="23">
        <v>2.673E-2</v>
      </c>
    </row>
    <row r="5500" spans="1:12" ht="15.35" hidden="1" x14ac:dyDescent="0.55000000000000004">
      <c r="A5500" s="20">
        <v>1923</v>
      </c>
      <c r="B5500" s="2" t="s">
        <v>205</v>
      </c>
      <c r="C5500" s="2" t="s">
        <v>206</v>
      </c>
      <c r="D5500" s="20">
        <v>0</v>
      </c>
      <c r="E5500" s="2" t="s">
        <v>63</v>
      </c>
      <c r="F5500" s="2" t="s">
        <v>798</v>
      </c>
      <c r="G5500" s="2" t="s">
        <v>4562</v>
      </c>
      <c r="H5500" s="2" t="s">
        <v>1184</v>
      </c>
      <c r="I5500" s="2" t="s">
        <v>785</v>
      </c>
      <c r="J5500" s="26"/>
      <c r="K5500" s="36">
        <v>0.11219999999999999</v>
      </c>
      <c r="L5500" s="23">
        <v>1.6029999999999999E-2</v>
      </c>
    </row>
    <row r="5501" spans="1:12" ht="15.35" hidden="1" x14ac:dyDescent="0.55000000000000004">
      <c r="A5501" s="20">
        <v>1920</v>
      </c>
      <c r="B5501" s="2" t="s">
        <v>205</v>
      </c>
      <c r="C5501" s="2" t="s">
        <v>206</v>
      </c>
      <c r="D5501" s="20">
        <v>0</v>
      </c>
      <c r="E5501" s="2" t="s">
        <v>63</v>
      </c>
      <c r="F5501" s="2" t="s">
        <v>798</v>
      </c>
      <c r="G5501" s="2" t="s">
        <v>4761</v>
      </c>
      <c r="H5501" s="2" t="s">
        <v>1184</v>
      </c>
      <c r="I5501" s="2" t="s">
        <v>785</v>
      </c>
      <c r="J5501" s="26"/>
      <c r="K5501" s="36">
        <v>0.11219999999999999</v>
      </c>
      <c r="L5501" s="23">
        <v>1.6029999999999999E-2</v>
      </c>
    </row>
    <row r="5502" spans="1:12" ht="15.35" hidden="1" x14ac:dyDescent="0.55000000000000004">
      <c r="A5502" s="20">
        <v>1926</v>
      </c>
      <c r="B5502" s="2" t="s">
        <v>205</v>
      </c>
      <c r="C5502" s="2" t="s">
        <v>206</v>
      </c>
      <c r="D5502" s="20">
        <v>0</v>
      </c>
      <c r="E5502" s="2" t="s">
        <v>63</v>
      </c>
      <c r="F5502" s="2" t="s">
        <v>817</v>
      </c>
      <c r="G5502" s="2" t="s">
        <v>4762</v>
      </c>
      <c r="H5502" s="2" t="s">
        <v>977</v>
      </c>
      <c r="I5502" s="2" t="s">
        <v>785</v>
      </c>
      <c r="J5502" s="26"/>
      <c r="K5502" s="36">
        <v>7.4999999999999997E-2</v>
      </c>
      <c r="L5502" s="23">
        <v>1.0710000000000001E-2</v>
      </c>
    </row>
    <row r="5503" spans="1:12" ht="15.35" hidden="1" x14ac:dyDescent="0.55000000000000004">
      <c r="A5503" s="20">
        <v>1917</v>
      </c>
      <c r="B5503" s="2" t="s">
        <v>205</v>
      </c>
      <c r="C5503" s="2" t="s">
        <v>206</v>
      </c>
      <c r="D5503" s="20">
        <v>0</v>
      </c>
      <c r="E5503" s="2" t="s">
        <v>63</v>
      </c>
      <c r="F5503" s="2" t="s">
        <v>798</v>
      </c>
      <c r="G5503" s="2" t="s">
        <v>907</v>
      </c>
      <c r="H5503" s="2" t="s">
        <v>800</v>
      </c>
      <c r="I5503" s="2" t="s">
        <v>785</v>
      </c>
      <c r="J5503" s="26"/>
      <c r="K5503" s="36">
        <v>3.7499999999999999E-2</v>
      </c>
      <c r="L5503" s="23">
        <v>5.3600000000000002E-3</v>
      </c>
    </row>
    <row r="5504" spans="1:12" ht="15.35" hidden="1" x14ac:dyDescent="0.55000000000000004">
      <c r="A5504" s="20">
        <v>1916</v>
      </c>
      <c r="B5504" s="2" t="s">
        <v>205</v>
      </c>
      <c r="C5504" s="2" t="s">
        <v>206</v>
      </c>
      <c r="D5504" s="20">
        <v>0</v>
      </c>
      <c r="E5504" s="2" t="s">
        <v>63</v>
      </c>
      <c r="F5504" s="2" t="s">
        <v>798</v>
      </c>
      <c r="G5504" s="2" t="s">
        <v>4763</v>
      </c>
      <c r="H5504" s="2" t="s">
        <v>4720</v>
      </c>
      <c r="I5504" s="2" t="s">
        <v>785</v>
      </c>
      <c r="J5504" s="26"/>
      <c r="K5504" s="36">
        <v>7.4800000000000005E-2</v>
      </c>
      <c r="L5504" s="23">
        <v>1.069E-2</v>
      </c>
    </row>
    <row r="5505" spans="1:12" ht="15.35" hidden="1" x14ac:dyDescent="0.55000000000000004">
      <c r="A5505" s="20">
        <v>1925</v>
      </c>
      <c r="B5505" s="2" t="s">
        <v>205</v>
      </c>
      <c r="C5505" s="2" t="s">
        <v>206</v>
      </c>
      <c r="D5505" s="20">
        <v>0</v>
      </c>
      <c r="E5505" s="2" t="s">
        <v>63</v>
      </c>
      <c r="F5505" s="2" t="s">
        <v>798</v>
      </c>
      <c r="G5505" s="2" t="s">
        <v>4719</v>
      </c>
      <c r="H5505" s="2" t="s">
        <v>4720</v>
      </c>
      <c r="I5505" s="2" t="s">
        <v>785</v>
      </c>
      <c r="J5505" s="26"/>
      <c r="K5505" s="36">
        <v>0.11219999999999999</v>
      </c>
      <c r="L5505" s="23">
        <v>1.6029999999999999E-2</v>
      </c>
    </row>
    <row r="5506" spans="1:12" ht="15.35" x14ac:dyDescent="0.55000000000000004">
      <c r="A5506" s="20">
        <v>1927</v>
      </c>
      <c r="B5506" s="2" t="s">
        <v>205</v>
      </c>
      <c r="C5506" s="2" t="s">
        <v>206</v>
      </c>
      <c r="D5506" s="20">
        <v>0</v>
      </c>
      <c r="E5506" s="2" t="s">
        <v>63</v>
      </c>
      <c r="F5506" s="2" t="s">
        <v>811</v>
      </c>
      <c r="G5506" s="2" t="s">
        <v>4764</v>
      </c>
      <c r="I5506" s="2" t="s">
        <v>785</v>
      </c>
      <c r="J5506" s="26"/>
      <c r="K5506" s="36">
        <v>0.39300000000000002</v>
      </c>
      <c r="L5506" s="23">
        <v>5.6140000000000002E-2</v>
      </c>
    </row>
    <row r="5507" spans="1:12" ht="15.35" hidden="1" x14ac:dyDescent="0.55000000000000004">
      <c r="A5507" s="20">
        <v>1933</v>
      </c>
      <c r="B5507" s="2" t="s">
        <v>205</v>
      </c>
      <c r="C5507" s="2" t="s">
        <v>206</v>
      </c>
      <c r="D5507" s="20">
        <v>0</v>
      </c>
      <c r="E5507" s="2" t="s">
        <v>63</v>
      </c>
      <c r="F5507" s="2" t="s">
        <v>798</v>
      </c>
      <c r="G5507" s="2" t="s">
        <v>4765</v>
      </c>
      <c r="H5507" s="2" t="s">
        <v>1086</v>
      </c>
      <c r="I5507" s="2" t="s">
        <v>785</v>
      </c>
      <c r="J5507" s="26"/>
      <c r="K5507" s="36">
        <v>5.6099999999999997E-2</v>
      </c>
      <c r="L5507" s="23">
        <v>8.0099999999999998E-3</v>
      </c>
    </row>
    <row r="5508" spans="1:12" ht="15.35" hidden="1" x14ac:dyDescent="0.55000000000000004">
      <c r="A5508" s="20">
        <v>1934</v>
      </c>
      <c r="B5508" s="2" t="s">
        <v>205</v>
      </c>
      <c r="C5508" s="2" t="s">
        <v>206</v>
      </c>
      <c r="D5508" s="20">
        <v>0</v>
      </c>
      <c r="E5508" s="2" t="s">
        <v>63</v>
      </c>
      <c r="F5508" s="2" t="s">
        <v>798</v>
      </c>
      <c r="G5508" s="2" t="s">
        <v>4765</v>
      </c>
      <c r="H5508" s="2" t="s">
        <v>1086</v>
      </c>
      <c r="I5508" s="2" t="s">
        <v>785</v>
      </c>
      <c r="J5508" s="26"/>
      <c r="K5508" s="36">
        <v>5.6099999999999997E-2</v>
      </c>
      <c r="L5508" s="23">
        <v>8.0099999999999998E-3</v>
      </c>
    </row>
    <row r="5509" spans="1:12" ht="15.35" hidden="1" x14ac:dyDescent="0.55000000000000004">
      <c r="A5509" s="20">
        <v>1944</v>
      </c>
      <c r="B5509" s="2" t="s">
        <v>205</v>
      </c>
      <c r="C5509" s="2" t="s">
        <v>206</v>
      </c>
      <c r="D5509" s="20">
        <v>0</v>
      </c>
      <c r="E5509" s="2" t="s">
        <v>63</v>
      </c>
      <c r="F5509" s="2" t="s">
        <v>787</v>
      </c>
      <c r="G5509" s="2" t="s">
        <v>1090</v>
      </c>
      <c r="H5509" s="2" t="s">
        <v>1090</v>
      </c>
      <c r="I5509" s="2" t="s">
        <v>785</v>
      </c>
      <c r="J5509" s="26"/>
      <c r="K5509" s="36">
        <v>0.15</v>
      </c>
      <c r="L5509" s="23">
        <v>2.1430000000000001E-2</v>
      </c>
    </row>
    <row r="5510" spans="1:12" ht="15.35" hidden="1" x14ac:dyDescent="0.55000000000000004">
      <c r="A5510" s="20">
        <v>1931</v>
      </c>
      <c r="B5510" s="2" t="s">
        <v>205</v>
      </c>
      <c r="C5510" s="2" t="s">
        <v>206</v>
      </c>
      <c r="D5510" s="20">
        <v>0</v>
      </c>
      <c r="E5510" s="2" t="s">
        <v>63</v>
      </c>
      <c r="F5510" s="2" t="s">
        <v>793</v>
      </c>
      <c r="G5510" s="2" t="s">
        <v>4766</v>
      </c>
      <c r="H5510" s="2" t="s">
        <v>2017</v>
      </c>
      <c r="I5510" s="2" t="s">
        <v>785</v>
      </c>
      <c r="J5510" s="26"/>
      <c r="K5510" s="36">
        <v>3.7400000000000003E-2</v>
      </c>
      <c r="L5510" s="23">
        <v>5.3400000000000001E-3</v>
      </c>
    </row>
    <row r="5511" spans="1:12" ht="15.35" hidden="1" x14ac:dyDescent="0.55000000000000004">
      <c r="A5511" s="20">
        <v>1937</v>
      </c>
      <c r="B5511" s="2" t="s">
        <v>205</v>
      </c>
      <c r="C5511" s="2" t="s">
        <v>206</v>
      </c>
      <c r="D5511" s="20">
        <v>0</v>
      </c>
      <c r="E5511" s="2" t="s">
        <v>63</v>
      </c>
      <c r="F5511" s="2" t="s">
        <v>787</v>
      </c>
      <c r="G5511" s="2" t="s">
        <v>1191</v>
      </c>
      <c r="H5511" s="2" t="s">
        <v>1191</v>
      </c>
      <c r="I5511" s="2" t="s">
        <v>785</v>
      </c>
      <c r="J5511" s="26"/>
      <c r="K5511" s="36">
        <v>0.16869999999999999</v>
      </c>
      <c r="L5511" s="23">
        <v>2.41E-2</v>
      </c>
    </row>
    <row r="5512" spans="1:12" ht="15.35" hidden="1" x14ac:dyDescent="0.55000000000000004">
      <c r="A5512" s="20">
        <v>1938</v>
      </c>
      <c r="B5512" s="2" t="s">
        <v>205</v>
      </c>
      <c r="C5512" s="2" t="s">
        <v>206</v>
      </c>
      <c r="D5512" s="20">
        <v>0</v>
      </c>
      <c r="E5512" s="2" t="s">
        <v>63</v>
      </c>
      <c r="F5512" s="2" t="s">
        <v>787</v>
      </c>
      <c r="G5512" s="2" t="s">
        <v>1191</v>
      </c>
      <c r="H5512" s="2" t="s">
        <v>1191</v>
      </c>
      <c r="I5512" s="2" t="s">
        <v>785</v>
      </c>
      <c r="J5512" s="26"/>
      <c r="K5512" s="36">
        <v>9.3600000000000003E-2</v>
      </c>
      <c r="L5512" s="23">
        <v>1.337E-2</v>
      </c>
    </row>
    <row r="5513" spans="1:12" ht="15.35" hidden="1" x14ac:dyDescent="0.55000000000000004">
      <c r="A5513" s="20">
        <v>1915</v>
      </c>
      <c r="B5513" s="2" t="s">
        <v>205</v>
      </c>
      <c r="C5513" s="2" t="s">
        <v>206</v>
      </c>
      <c r="D5513" s="20">
        <v>0</v>
      </c>
      <c r="E5513" s="2" t="s">
        <v>63</v>
      </c>
      <c r="F5513" s="2" t="s">
        <v>811</v>
      </c>
      <c r="G5513" s="2" t="s">
        <v>2562</v>
      </c>
      <c r="H5513" s="2" t="s">
        <v>2562</v>
      </c>
      <c r="I5513" s="2" t="s">
        <v>785</v>
      </c>
      <c r="J5513" s="26"/>
      <c r="K5513" s="36">
        <v>0.15</v>
      </c>
      <c r="L5513" s="23">
        <v>2.1430000000000001E-2</v>
      </c>
    </row>
    <row r="5514" spans="1:12" ht="15.35" hidden="1" x14ac:dyDescent="0.55000000000000004">
      <c r="A5514" s="20">
        <v>1914</v>
      </c>
      <c r="B5514" s="2" t="s">
        <v>205</v>
      </c>
      <c r="C5514" s="2" t="s">
        <v>206</v>
      </c>
      <c r="D5514" s="20">
        <v>0</v>
      </c>
      <c r="E5514" s="2" t="s">
        <v>63</v>
      </c>
      <c r="F5514" s="2" t="s">
        <v>783</v>
      </c>
      <c r="G5514" s="2" t="s">
        <v>4702</v>
      </c>
      <c r="H5514" s="2" t="s">
        <v>4702</v>
      </c>
      <c r="I5514" s="2" t="s">
        <v>785</v>
      </c>
      <c r="J5514" s="26"/>
      <c r="K5514" s="36">
        <v>3.7400000000000003E-2</v>
      </c>
      <c r="L5514" s="23">
        <v>5.3400000000000001E-3</v>
      </c>
    </row>
    <row r="5515" spans="1:12" ht="15.35" hidden="1" x14ac:dyDescent="0.55000000000000004">
      <c r="A5515" s="20">
        <v>1936</v>
      </c>
      <c r="B5515" s="2" t="s">
        <v>205</v>
      </c>
      <c r="C5515" s="2" t="s">
        <v>206</v>
      </c>
      <c r="D5515" s="20">
        <v>0</v>
      </c>
      <c r="E5515" s="2" t="s">
        <v>63</v>
      </c>
      <c r="F5515" s="2" t="s">
        <v>783</v>
      </c>
      <c r="G5515" s="2" t="s">
        <v>2686</v>
      </c>
      <c r="H5515" s="2" t="s">
        <v>2686</v>
      </c>
      <c r="I5515" s="2" t="s">
        <v>785</v>
      </c>
      <c r="J5515" s="26"/>
      <c r="K5515" s="36">
        <v>0.11219999999999999</v>
      </c>
      <c r="L5515" s="23">
        <v>1.6029999999999999E-2</v>
      </c>
    </row>
    <row r="5516" spans="1:12" ht="15.35" hidden="1" x14ac:dyDescent="0.55000000000000004">
      <c r="A5516" s="20">
        <v>1939</v>
      </c>
      <c r="B5516" s="2" t="s">
        <v>205</v>
      </c>
      <c r="C5516" s="2" t="s">
        <v>206</v>
      </c>
      <c r="D5516" s="20">
        <v>0</v>
      </c>
      <c r="E5516" s="2" t="s">
        <v>63</v>
      </c>
      <c r="F5516" s="2" t="s">
        <v>787</v>
      </c>
      <c r="G5516" s="2" t="s">
        <v>864</v>
      </c>
      <c r="H5516" s="2" t="s">
        <v>864</v>
      </c>
      <c r="I5516" s="2" t="s">
        <v>785</v>
      </c>
      <c r="J5516" s="26"/>
      <c r="K5516" s="36">
        <v>3.7499999999999999E-2</v>
      </c>
      <c r="L5516" s="23">
        <v>5.3600000000000002E-3</v>
      </c>
    </row>
    <row r="5517" spans="1:12" ht="15.35" hidden="1" x14ac:dyDescent="0.55000000000000004">
      <c r="A5517" s="20">
        <v>1924</v>
      </c>
      <c r="B5517" s="2" t="s">
        <v>205</v>
      </c>
      <c r="C5517" s="2" t="s">
        <v>206</v>
      </c>
      <c r="D5517" s="20">
        <v>0</v>
      </c>
      <c r="E5517" s="2" t="s">
        <v>63</v>
      </c>
      <c r="F5517" s="2" t="s">
        <v>787</v>
      </c>
      <c r="G5517" s="2" t="s">
        <v>1179</v>
      </c>
      <c r="H5517" s="2" t="s">
        <v>1179</v>
      </c>
      <c r="I5517" s="2" t="s">
        <v>785</v>
      </c>
      <c r="J5517" s="26"/>
      <c r="K5517" s="36">
        <v>7.4999999999999997E-2</v>
      </c>
      <c r="L5517" s="23">
        <v>1.0710000000000001E-2</v>
      </c>
    </row>
    <row r="5518" spans="1:12" ht="15.35" hidden="1" x14ac:dyDescent="0.55000000000000004">
      <c r="A5518" s="20">
        <v>15905</v>
      </c>
      <c r="B5518" s="2" t="s">
        <v>205</v>
      </c>
      <c r="C5518" s="2" t="s">
        <v>206</v>
      </c>
      <c r="D5518" s="20">
        <v>0</v>
      </c>
      <c r="E5518" s="2" t="s">
        <v>838</v>
      </c>
      <c r="F5518" s="2" t="s">
        <v>793</v>
      </c>
      <c r="G5518" s="2" t="s">
        <v>4710</v>
      </c>
      <c r="H5518" s="2" t="s">
        <v>1003</v>
      </c>
      <c r="J5518" s="26"/>
      <c r="K5518" s="36">
        <v>2.4357690000000001E-2</v>
      </c>
      <c r="L5518" s="23">
        <v>3.4796699999999998E-3</v>
      </c>
    </row>
    <row r="5519" spans="1:12" ht="15.35" hidden="1" x14ac:dyDescent="0.55000000000000004">
      <c r="A5519" s="20">
        <v>15909</v>
      </c>
      <c r="B5519" s="2" t="s">
        <v>205</v>
      </c>
      <c r="C5519" s="2" t="s">
        <v>206</v>
      </c>
      <c r="D5519" s="20">
        <v>0</v>
      </c>
      <c r="E5519" s="2" t="s">
        <v>838</v>
      </c>
      <c r="F5519" s="2" t="s">
        <v>793</v>
      </c>
      <c r="G5519" s="2" t="s">
        <v>1002</v>
      </c>
      <c r="H5519" s="2" t="s">
        <v>1003</v>
      </c>
      <c r="J5519" s="26"/>
      <c r="K5519" s="36">
        <v>9.7517400000000001E-3</v>
      </c>
      <c r="L5519" s="23">
        <v>1.3931099999999999E-3</v>
      </c>
    </row>
    <row r="5520" spans="1:12" ht="15.35" hidden="1" x14ac:dyDescent="0.55000000000000004">
      <c r="A5520" s="20">
        <v>15901</v>
      </c>
      <c r="B5520" s="2" t="s">
        <v>205</v>
      </c>
      <c r="C5520" s="2" t="s">
        <v>206</v>
      </c>
      <c r="D5520" s="20">
        <v>0</v>
      </c>
      <c r="E5520" s="2" t="s">
        <v>838</v>
      </c>
      <c r="F5520" s="2" t="s">
        <v>817</v>
      </c>
      <c r="G5520" s="2" t="s">
        <v>4767</v>
      </c>
      <c r="H5520" s="2" t="s">
        <v>1198</v>
      </c>
      <c r="J5520" s="26"/>
      <c r="K5520" s="36">
        <v>6.4881620000000001E-2</v>
      </c>
      <c r="L5520" s="23">
        <v>9.2688000000000006E-3</v>
      </c>
    </row>
    <row r="5521" spans="1:12" ht="15.35" hidden="1" x14ac:dyDescent="0.55000000000000004">
      <c r="A5521" s="20">
        <v>15900</v>
      </c>
      <c r="B5521" s="2" t="s">
        <v>205</v>
      </c>
      <c r="C5521" s="2" t="s">
        <v>206</v>
      </c>
      <c r="D5521" s="20">
        <v>0</v>
      </c>
      <c r="E5521" s="2" t="s">
        <v>838</v>
      </c>
      <c r="F5521" s="2" t="s">
        <v>817</v>
      </c>
      <c r="G5521" s="2" t="s">
        <v>4768</v>
      </c>
      <c r="H5521" s="2" t="s">
        <v>1826</v>
      </c>
      <c r="J5521" s="26"/>
      <c r="K5521" s="36">
        <v>6.5011639999999996E-2</v>
      </c>
      <c r="L5521" s="23">
        <v>9.2873799999999996E-3</v>
      </c>
    </row>
    <row r="5522" spans="1:12" ht="15.35" hidden="1" x14ac:dyDescent="0.55000000000000004">
      <c r="A5522" s="20">
        <v>15895</v>
      </c>
      <c r="B5522" s="2" t="s">
        <v>205</v>
      </c>
      <c r="C5522" s="2" t="s">
        <v>206</v>
      </c>
      <c r="D5522" s="20">
        <v>0</v>
      </c>
      <c r="E5522" s="2" t="s">
        <v>838</v>
      </c>
      <c r="F5522" s="2" t="s">
        <v>787</v>
      </c>
      <c r="G5522" s="2" t="s">
        <v>1007</v>
      </c>
      <c r="H5522" s="2" t="s">
        <v>1007</v>
      </c>
      <c r="J5522" s="26"/>
      <c r="K5522" s="36">
        <v>0.63711423</v>
      </c>
      <c r="L5522" s="23">
        <v>9.1016319999999998E-2</v>
      </c>
    </row>
    <row r="5523" spans="1:12" ht="15.35" hidden="1" x14ac:dyDescent="0.55000000000000004">
      <c r="A5523" s="20">
        <v>15899</v>
      </c>
      <c r="B5523" s="2" t="s">
        <v>205</v>
      </c>
      <c r="C5523" s="2" t="s">
        <v>206</v>
      </c>
      <c r="D5523" s="20">
        <v>0</v>
      </c>
      <c r="E5523" s="2" t="s">
        <v>838</v>
      </c>
      <c r="F5523" s="2" t="s">
        <v>793</v>
      </c>
      <c r="G5523" s="2" t="s">
        <v>4396</v>
      </c>
      <c r="H5523" s="2" t="s">
        <v>4114</v>
      </c>
      <c r="J5523" s="26"/>
      <c r="K5523" s="36">
        <v>8.1047850000000005E-2</v>
      </c>
      <c r="L5523" s="23">
        <v>1.157826E-2</v>
      </c>
    </row>
    <row r="5524" spans="1:12" ht="15.35" hidden="1" x14ac:dyDescent="0.55000000000000004">
      <c r="A5524" s="20">
        <v>15913</v>
      </c>
      <c r="B5524" s="2" t="s">
        <v>205</v>
      </c>
      <c r="C5524" s="2" t="s">
        <v>206</v>
      </c>
      <c r="D5524" s="20">
        <v>0</v>
      </c>
      <c r="E5524" s="2" t="s">
        <v>838</v>
      </c>
      <c r="F5524" s="2" t="s">
        <v>793</v>
      </c>
      <c r="G5524" s="2" t="s">
        <v>4037</v>
      </c>
      <c r="H5524" s="2" t="s">
        <v>1226</v>
      </c>
      <c r="J5524" s="26"/>
      <c r="K5524" s="36">
        <v>4.3340999999999996E-3</v>
      </c>
      <c r="L5524" s="23">
        <v>6.1916E-4</v>
      </c>
    </row>
    <row r="5525" spans="1:12" ht="15.35" hidden="1" x14ac:dyDescent="0.55000000000000004">
      <c r="A5525" s="20">
        <v>15906</v>
      </c>
      <c r="B5525" s="2" t="s">
        <v>205</v>
      </c>
      <c r="C5525" s="2" t="s">
        <v>206</v>
      </c>
      <c r="D5525" s="20">
        <v>0</v>
      </c>
      <c r="E5525" s="2" t="s">
        <v>838</v>
      </c>
      <c r="F5525" s="2" t="s">
        <v>807</v>
      </c>
      <c r="G5525" s="2" t="s">
        <v>4041</v>
      </c>
      <c r="H5525" s="2" t="s">
        <v>1254</v>
      </c>
      <c r="J5525" s="26"/>
      <c r="K5525" s="36">
        <v>1.6469609999999999E-2</v>
      </c>
      <c r="L5525" s="23">
        <v>2.3527999999999999E-3</v>
      </c>
    </row>
    <row r="5526" spans="1:12" ht="15.35" hidden="1" x14ac:dyDescent="0.55000000000000004">
      <c r="A5526" s="20">
        <v>15908</v>
      </c>
      <c r="B5526" s="2" t="s">
        <v>205</v>
      </c>
      <c r="C5526" s="2" t="s">
        <v>206</v>
      </c>
      <c r="D5526" s="20">
        <v>0</v>
      </c>
      <c r="E5526" s="2" t="s">
        <v>838</v>
      </c>
      <c r="F5526" s="2" t="s">
        <v>787</v>
      </c>
      <c r="G5526" s="2" t="s">
        <v>1270</v>
      </c>
      <c r="H5526" s="2" t="s">
        <v>1270</v>
      </c>
      <c r="J5526" s="26"/>
      <c r="K5526" s="36">
        <v>1.620957E-2</v>
      </c>
      <c r="L5526" s="23">
        <v>2.3156499999999998E-3</v>
      </c>
    </row>
    <row r="5527" spans="1:12" ht="15.35" hidden="1" x14ac:dyDescent="0.55000000000000004">
      <c r="A5527" s="20">
        <v>15896</v>
      </c>
      <c r="B5527" s="2" t="s">
        <v>205</v>
      </c>
      <c r="C5527" s="2" t="s">
        <v>206</v>
      </c>
      <c r="D5527" s="20">
        <v>0</v>
      </c>
      <c r="E5527" s="2" t="s">
        <v>838</v>
      </c>
      <c r="F5527" s="2" t="s">
        <v>817</v>
      </c>
      <c r="G5527" s="2" t="s">
        <v>4045</v>
      </c>
      <c r="H5527" s="2" t="s">
        <v>1284</v>
      </c>
      <c r="J5527" s="26"/>
      <c r="K5527" s="36">
        <v>0.16222571999999999</v>
      </c>
      <c r="L5527" s="23">
        <v>2.3175100000000001E-2</v>
      </c>
    </row>
    <row r="5528" spans="1:12" ht="15.35" hidden="1" x14ac:dyDescent="0.55000000000000004">
      <c r="A5528" s="20">
        <v>15897</v>
      </c>
      <c r="B5528" s="2" t="s">
        <v>205</v>
      </c>
      <c r="C5528" s="2" t="s">
        <v>206</v>
      </c>
      <c r="D5528" s="20">
        <v>0</v>
      </c>
      <c r="E5528" s="2" t="s">
        <v>838</v>
      </c>
      <c r="F5528" s="2" t="s">
        <v>817</v>
      </c>
      <c r="G5528" s="2" t="s">
        <v>4769</v>
      </c>
      <c r="H5528" s="2" t="s">
        <v>810</v>
      </c>
      <c r="J5528" s="26"/>
      <c r="K5528" s="36">
        <v>0.13002329000000001</v>
      </c>
      <c r="L5528" s="23">
        <v>1.8574759999999999E-2</v>
      </c>
    </row>
    <row r="5529" spans="1:12" ht="15.35" hidden="1" x14ac:dyDescent="0.55000000000000004">
      <c r="A5529" s="20">
        <v>15910</v>
      </c>
      <c r="B5529" s="2" t="s">
        <v>205</v>
      </c>
      <c r="C5529" s="2" t="s">
        <v>206</v>
      </c>
      <c r="D5529" s="20">
        <v>0</v>
      </c>
      <c r="E5529" s="2" t="s">
        <v>838</v>
      </c>
      <c r="F5529" s="2" t="s">
        <v>817</v>
      </c>
      <c r="G5529" s="2" t="s">
        <v>851</v>
      </c>
      <c r="H5529" s="2" t="s">
        <v>852</v>
      </c>
      <c r="J5529" s="26"/>
      <c r="K5529" s="36">
        <v>8.2348000000000005E-3</v>
      </c>
      <c r="L5529" s="23">
        <v>1.1764E-3</v>
      </c>
    </row>
    <row r="5530" spans="1:12" ht="15.35" hidden="1" x14ac:dyDescent="0.55000000000000004">
      <c r="A5530" s="20">
        <v>15911</v>
      </c>
      <c r="B5530" s="2" t="s">
        <v>205</v>
      </c>
      <c r="C5530" s="2" t="s">
        <v>206</v>
      </c>
      <c r="D5530" s="20">
        <v>0</v>
      </c>
      <c r="E5530" s="2" t="s">
        <v>838</v>
      </c>
      <c r="F5530" s="2" t="s">
        <v>793</v>
      </c>
      <c r="G5530" s="2" t="s">
        <v>3739</v>
      </c>
      <c r="H5530" s="2" t="s">
        <v>1301</v>
      </c>
      <c r="J5530" s="26"/>
      <c r="K5530" s="36">
        <v>8.1047800000000007E-3</v>
      </c>
      <c r="L5530" s="23">
        <v>1.1578300000000001E-3</v>
      </c>
    </row>
    <row r="5531" spans="1:12" ht="15.35" hidden="1" x14ac:dyDescent="0.55000000000000004">
      <c r="A5531" s="20">
        <v>15912</v>
      </c>
      <c r="B5531" s="2" t="s">
        <v>205</v>
      </c>
      <c r="C5531" s="2" t="s">
        <v>206</v>
      </c>
      <c r="D5531" s="20">
        <v>0</v>
      </c>
      <c r="E5531" s="2" t="s">
        <v>838</v>
      </c>
      <c r="F5531" s="2" t="s">
        <v>793</v>
      </c>
      <c r="G5531" s="2" t="s">
        <v>3742</v>
      </c>
      <c r="H5531" s="2" t="s">
        <v>1301</v>
      </c>
      <c r="J5531" s="26"/>
      <c r="K5531" s="36">
        <v>8.1047800000000007E-3</v>
      </c>
      <c r="L5531" s="23">
        <v>1.1578300000000001E-3</v>
      </c>
    </row>
    <row r="5532" spans="1:12" ht="15.35" x14ac:dyDescent="0.55000000000000004">
      <c r="A5532" s="20">
        <v>15902</v>
      </c>
      <c r="B5532" s="2" t="s">
        <v>205</v>
      </c>
      <c r="C5532" s="2" t="s">
        <v>206</v>
      </c>
      <c r="D5532" s="20">
        <v>0</v>
      </c>
      <c r="E5532" s="2" t="s">
        <v>838</v>
      </c>
      <c r="F5532" s="2" t="s">
        <v>793</v>
      </c>
      <c r="G5532" s="2" t="s">
        <v>4770</v>
      </c>
      <c r="J5532" s="26"/>
      <c r="K5532" s="36">
        <v>4.8672050000000001E-2</v>
      </c>
      <c r="L5532" s="23">
        <v>6.95315E-3</v>
      </c>
    </row>
    <row r="5533" spans="1:12" ht="15.35" hidden="1" x14ac:dyDescent="0.55000000000000004">
      <c r="A5533" s="20">
        <v>15903</v>
      </c>
      <c r="B5533" s="2" t="s">
        <v>205</v>
      </c>
      <c r="C5533" s="2" t="s">
        <v>206</v>
      </c>
      <c r="D5533" s="20">
        <v>0</v>
      </c>
      <c r="E5533" s="2" t="s">
        <v>838</v>
      </c>
      <c r="F5533" s="2" t="s">
        <v>798</v>
      </c>
      <c r="G5533" s="2" t="s">
        <v>3011</v>
      </c>
      <c r="H5533" s="2" t="s">
        <v>860</v>
      </c>
      <c r="J5533" s="26"/>
      <c r="K5533" s="36">
        <v>3.3806049999999997E-2</v>
      </c>
      <c r="L5533" s="23">
        <v>4.8294399999999999E-3</v>
      </c>
    </row>
    <row r="5534" spans="1:12" ht="15.35" hidden="1" x14ac:dyDescent="0.55000000000000004">
      <c r="A5534" s="20">
        <v>15907</v>
      </c>
      <c r="B5534" s="2" t="s">
        <v>205</v>
      </c>
      <c r="C5534" s="2" t="s">
        <v>206</v>
      </c>
      <c r="D5534" s="20">
        <v>0</v>
      </c>
      <c r="E5534" s="2" t="s">
        <v>838</v>
      </c>
      <c r="F5534" s="2" t="s">
        <v>848</v>
      </c>
      <c r="G5534" s="2" t="s">
        <v>1480</v>
      </c>
      <c r="H5534" s="2" t="s">
        <v>1480</v>
      </c>
      <c r="J5534" s="26"/>
      <c r="K5534" s="36">
        <v>1.620957E-2</v>
      </c>
      <c r="L5534" s="23">
        <v>2.3156499999999998E-3</v>
      </c>
    </row>
    <row r="5535" spans="1:12" ht="15.35" hidden="1" x14ac:dyDescent="0.55000000000000004">
      <c r="A5535" s="20">
        <v>15904</v>
      </c>
      <c r="B5535" s="2" t="s">
        <v>205</v>
      </c>
      <c r="C5535" s="2" t="s">
        <v>206</v>
      </c>
      <c r="D5535" s="20">
        <v>0</v>
      </c>
      <c r="E5535" s="2" t="s">
        <v>838</v>
      </c>
      <c r="F5535" s="2" t="s">
        <v>817</v>
      </c>
      <c r="G5535" s="2" t="s">
        <v>1602</v>
      </c>
      <c r="H5535" s="2" t="s">
        <v>862</v>
      </c>
      <c r="J5535" s="26"/>
      <c r="K5535" s="36">
        <v>3.3806049999999997E-2</v>
      </c>
      <c r="L5535" s="23">
        <v>4.8294399999999999E-3</v>
      </c>
    </row>
    <row r="5536" spans="1:12" ht="15.35" hidden="1" x14ac:dyDescent="0.55000000000000004">
      <c r="A5536" s="20">
        <v>15914</v>
      </c>
      <c r="B5536" s="2" t="s">
        <v>205</v>
      </c>
      <c r="C5536" s="2" t="s">
        <v>206</v>
      </c>
      <c r="D5536" s="20">
        <v>0</v>
      </c>
      <c r="E5536" s="2" t="s">
        <v>838</v>
      </c>
      <c r="F5536" s="2" t="s">
        <v>793</v>
      </c>
      <c r="G5536" s="2" t="s">
        <v>3983</v>
      </c>
      <c r="H5536" s="2" t="s">
        <v>1166</v>
      </c>
      <c r="J5536" s="26"/>
      <c r="K5536" s="36">
        <v>4.3340999999999996E-3</v>
      </c>
      <c r="L5536" s="23">
        <v>6.1916E-4</v>
      </c>
    </row>
    <row r="5537" spans="1:12" ht="15.35" hidden="1" x14ac:dyDescent="0.55000000000000004">
      <c r="A5537" s="20">
        <v>15898</v>
      </c>
      <c r="B5537" s="2" t="s">
        <v>205</v>
      </c>
      <c r="C5537" s="2" t="s">
        <v>206</v>
      </c>
      <c r="D5537" s="20">
        <v>0</v>
      </c>
      <c r="E5537" s="2" t="s">
        <v>838</v>
      </c>
      <c r="F5537" s="2" t="s">
        <v>793</v>
      </c>
      <c r="G5537" s="2" t="s">
        <v>2601</v>
      </c>
      <c r="H5537" s="2" t="s">
        <v>2572</v>
      </c>
      <c r="J5537" s="26"/>
      <c r="K5537" s="36">
        <v>9.730076E-2</v>
      </c>
      <c r="L5537" s="23">
        <v>1.390011E-2</v>
      </c>
    </row>
  </sheetData>
  <autoFilter ref="A2:L5537" xr:uid="{00000000-0009-0000-0000-000007000000}">
    <filterColumn colId="7">
      <filters blank="1"/>
    </filterColumn>
  </autoFilter>
  <mergeCells count="1">
    <mergeCell ref="B1:C1"/>
  </mergeCells>
  <phoneticPr fontId="17" type="noConversion"/>
  <hyperlinks>
    <hyperlink ref="B1" location="'数据概览'!A1" tooltip="返回数据概览" display="⬅ 返回数据概览" xr:uid="{00000000-0004-0000-0700-000000000000}"/>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filterMode="1"/>
  <dimension ref="A1:K940"/>
  <sheetViews>
    <sheetView workbookViewId="0">
      <pane xSplit="3" ySplit="2" topLeftCell="D83" activePane="bottomRight" state="frozen"/>
      <selection pane="topRight"/>
      <selection pane="bottomLeft"/>
      <selection pane="bottomRight" activeCell="K53" sqref="K53"/>
    </sheetView>
  </sheetViews>
  <sheetFormatPr defaultRowHeight="14.35" x14ac:dyDescent="0.4"/>
  <cols>
    <col min="1" max="1" width="6" hidden="1" customWidth="1"/>
    <col min="2" max="2" width="8" customWidth="1"/>
    <col min="3" max="3" width="22" customWidth="1"/>
    <col min="4" max="5" width="6" customWidth="1"/>
    <col min="6" max="6" width="32.234375" customWidth="1"/>
    <col min="7" max="7" width="14" customWidth="1"/>
    <col min="8" max="8" width="8" customWidth="1"/>
    <col min="9" max="9" width="9" customWidth="1"/>
    <col min="10" max="10" width="8" customWidth="1"/>
    <col min="11" max="11" width="14" customWidth="1"/>
  </cols>
  <sheetData>
    <row r="1" spans="1:11" ht="15.35" x14ac:dyDescent="0.55000000000000004">
      <c r="B1" s="61" t="s">
        <v>87</v>
      </c>
      <c r="C1" s="62"/>
    </row>
    <row r="2" spans="1:11" ht="45" customHeight="1" x14ac:dyDescent="0.4">
      <c r="A2" s="6" t="s">
        <v>88</v>
      </c>
      <c r="B2" s="6" t="s">
        <v>89</v>
      </c>
      <c r="C2" s="6" t="s">
        <v>90</v>
      </c>
      <c r="D2" s="6" t="s">
        <v>758</v>
      </c>
      <c r="E2" s="6" t="s">
        <v>759</v>
      </c>
      <c r="F2" s="6" t="s">
        <v>4771</v>
      </c>
      <c r="G2" s="6" t="s">
        <v>4772</v>
      </c>
      <c r="H2" s="6" t="s">
        <v>4773</v>
      </c>
      <c r="I2" s="6" t="s">
        <v>4774</v>
      </c>
      <c r="J2" s="6" t="s">
        <v>4775</v>
      </c>
      <c r="K2" s="6" t="s">
        <v>4776</v>
      </c>
    </row>
    <row r="3" spans="1:11" ht="15.35" hidden="1" x14ac:dyDescent="0.55000000000000004">
      <c r="A3" s="20">
        <v>1131</v>
      </c>
      <c r="B3" s="2" t="s">
        <v>148</v>
      </c>
      <c r="C3" s="2" t="s">
        <v>149</v>
      </c>
      <c r="D3" s="20">
        <v>2024</v>
      </c>
      <c r="E3" s="2" t="s">
        <v>4777</v>
      </c>
      <c r="F3" s="2" t="s">
        <v>808</v>
      </c>
      <c r="G3" s="21">
        <v>300000000</v>
      </c>
      <c r="H3" s="23">
        <v>0.3</v>
      </c>
      <c r="I3" s="37" t="s">
        <v>4778</v>
      </c>
      <c r="J3" s="2" t="s">
        <v>4779</v>
      </c>
      <c r="K3" s="2" t="s">
        <v>807</v>
      </c>
    </row>
    <row r="4" spans="1:11" ht="15.35" hidden="1" x14ac:dyDescent="0.55000000000000004">
      <c r="A4" s="20">
        <v>1133</v>
      </c>
      <c r="B4" s="2" t="s">
        <v>148</v>
      </c>
      <c r="C4" s="2" t="s">
        <v>149</v>
      </c>
      <c r="D4" s="20">
        <v>2024</v>
      </c>
      <c r="E4" s="2" t="s">
        <v>4777</v>
      </c>
      <c r="F4" s="2" t="s">
        <v>788</v>
      </c>
      <c r="G4" s="21">
        <v>70440000</v>
      </c>
      <c r="H4" s="23">
        <v>7.0400000000000004E-2</v>
      </c>
      <c r="I4" s="37" t="s">
        <v>4778</v>
      </c>
      <c r="J4" s="2" t="s">
        <v>4779</v>
      </c>
      <c r="K4" s="2" t="s">
        <v>787</v>
      </c>
    </row>
    <row r="5" spans="1:11" ht="15.35" hidden="1" x14ac:dyDescent="0.55000000000000004">
      <c r="A5" s="20">
        <v>1134</v>
      </c>
      <c r="B5" s="2" t="s">
        <v>148</v>
      </c>
      <c r="C5" s="2" t="s">
        <v>149</v>
      </c>
      <c r="D5" s="20">
        <v>2024</v>
      </c>
      <c r="E5" s="2" t="s">
        <v>4777</v>
      </c>
      <c r="F5" s="2" t="s">
        <v>810</v>
      </c>
      <c r="G5" s="21">
        <v>65000000</v>
      </c>
      <c r="H5" s="23">
        <v>6.5000000000000002E-2</v>
      </c>
      <c r="I5" s="37" t="s">
        <v>4778</v>
      </c>
      <c r="J5" s="2" t="s">
        <v>4779</v>
      </c>
      <c r="K5" s="2" t="s">
        <v>817</v>
      </c>
    </row>
    <row r="6" spans="1:11" ht="15.35" hidden="1" x14ac:dyDescent="0.55000000000000004">
      <c r="A6" s="20">
        <v>1135</v>
      </c>
      <c r="B6" s="2" t="s">
        <v>148</v>
      </c>
      <c r="C6" s="2" t="s">
        <v>149</v>
      </c>
      <c r="D6" s="20">
        <v>2024</v>
      </c>
      <c r="E6" s="2" t="s">
        <v>4777</v>
      </c>
      <c r="F6" s="2" t="s">
        <v>4780</v>
      </c>
      <c r="G6" s="21">
        <v>57750000</v>
      </c>
      <c r="H6" s="23">
        <v>5.7799999999999997E-2</v>
      </c>
      <c r="I6" s="37" t="s">
        <v>4778</v>
      </c>
      <c r="J6" s="2" t="s">
        <v>4779</v>
      </c>
      <c r="K6" s="2" t="s">
        <v>789</v>
      </c>
    </row>
    <row r="7" spans="1:11" ht="15.35" hidden="1" x14ac:dyDescent="0.55000000000000004">
      <c r="A7" s="20">
        <v>1136</v>
      </c>
      <c r="B7" s="2" t="s">
        <v>148</v>
      </c>
      <c r="C7" s="2" t="s">
        <v>149</v>
      </c>
      <c r="D7" s="20">
        <v>2024</v>
      </c>
      <c r="E7" s="2" t="s">
        <v>4777</v>
      </c>
      <c r="F7" s="2" t="s">
        <v>4781</v>
      </c>
      <c r="G7" s="21">
        <v>56600000</v>
      </c>
      <c r="H7" s="23">
        <v>5.6599999999999998E-2</v>
      </c>
      <c r="I7" s="37" t="s">
        <v>4778</v>
      </c>
      <c r="J7" s="2" t="s">
        <v>4779</v>
      </c>
      <c r="K7" s="2" t="s">
        <v>817</v>
      </c>
    </row>
    <row r="8" spans="1:11" ht="15.35" x14ac:dyDescent="0.55000000000000004">
      <c r="A8" s="20">
        <v>852</v>
      </c>
      <c r="B8" s="2" t="s">
        <v>148</v>
      </c>
      <c r="C8" s="2" t="s">
        <v>149</v>
      </c>
      <c r="D8" s="20">
        <v>2024</v>
      </c>
      <c r="E8" s="2" t="s">
        <v>4777</v>
      </c>
      <c r="F8" s="2" t="s">
        <v>4782</v>
      </c>
      <c r="G8" s="21">
        <v>33096764</v>
      </c>
      <c r="H8" s="23">
        <v>3.3099999999999997E-2</v>
      </c>
      <c r="I8" s="37" t="s">
        <v>4778</v>
      </c>
      <c r="J8" s="2" t="s">
        <v>4783</v>
      </c>
      <c r="K8" s="2" t="s">
        <v>817</v>
      </c>
    </row>
    <row r="9" spans="1:11" ht="15.35" hidden="1" x14ac:dyDescent="0.55000000000000004">
      <c r="A9" s="20">
        <v>1137</v>
      </c>
      <c r="B9" s="2" t="s">
        <v>148</v>
      </c>
      <c r="C9" s="2" t="s">
        <v>149</v>
      </c>
      <c r="D9" s="20">
        <v>2024</v>
      </c>
      <c r="E9" s="2" t="s">
        <v>4777</v>
      </c>
      <c r="F9" s="2" t="s">
        <v>4784</v>
      </c>
      <c r="G9" s="21">
        <v>28850000</v>
      </c>
      <c r="H9" s="23">
        <v>2.8899999999999999E-2</v>
      </c>
      <c r="I9" s="37" t="s">
        <v>4778</v>
      </c>
      <c r="J9" s="2" t="s">
        <v>4779</v>
      </c>
      <c r="K9" s="2" t="s">
        <v>789</v>
      </c>
    </row>
    <row r="10" spans="1:11" ht="15.35" hidden="1" x14ac:dyDescent="0.55000000000000004">
      <c r="A10" s="20">
        <v>1138</v>
      </c>
      <c r="B10" s="2" t="s">
        <v>148</v>
      </c>
      <c r="C10" s="2" t="s">
        <v>149</v>
      </c>
      <c r="D10" s="20">
        <v>2024</v>
      </c>
      <c r="E10" s="2" t="s">
        <v>4777</v>
      </c>
      <c r="F10" s="2" t="s">
        <v>814</v>
      </c>
      <c r="G10" s="21">
        <v>28300000</v>
      </c>
      <c r="H10" s="23">
        <v>2.8299999999999999E-2</v>
      </c>
      <c r="I10" s="37" t="s">
        <v>4778</v>
      </c>
      <c r="J10" s="2" t="s">
        <v>4779</v>
      </c>
      <c r="K10" s="2" t="s">
        <v>813</v>
      </c>
    </row>
    <row r="11" spans="1:11" ht="15.35" x14ac:dyDescent="0.55000000000000004">
      <c r="A11" s="20">
        <v>853</v>
      </c>
      <c r="B11" s="2" t="s">
        <v>148</v>
      </c>
      <c r="C11" s="2" t="s">
        <v>149</v>
      </c>
      <c r="D11" s="20">
        <v>2024</v>
      </c>
      <c r="E11" s="2" t="s">
        <v>4777</v>
      </c>
      <c r="F11" s="2" t="s">
        <v>4785</v>
      </c>
      <c r="G11" s="21">
        <v>22958346</v>
      </c>
      <c r="H11" s="23">
        <v>2.3E-2</v>
      </c>
      <c r="I11" s="37" t="s">
        <v>4778</v>
      </c>
      <c r="J11" s="2" t="s">
        <v>4783</v>
      </c>
      <c r="K11" s="2" t="s">
        <v>789</v>
      </c>
    </row>
    <row r="12" spans="1:11" ht="15.35" x14ac:dyDescent="0.55000000000000004">
      <c r="A12" s="20">
        <v>1124</v>
      </c>
      <c r="B12" s="2" t="s">
        <v>148</v>
      </c>
      <c r="C12" s="2" t="s">
        <v>149</v>
      </c>
      <c r="D12" s="20">
        <v>2024</v>
      </c>
      <c r="E12" s="2" t="s">
        <v>4777</v>
      </c>
      <c r="F12" s="2" t="s">
        <v>4786</v>
      </c>
      <c r="G12" s="21">
        <v>22958346</v>
      </c>
      <c r="H12" s="23">
        <v>2.3E-2</v>
      </c>
      <c r="I12" s="37" t="s">
        <v>4778</v>
      </c>
      <c r="J12" s="2" t="s">
        <v>4783</v>
      </c>
      <c r="K12" s="2" t="s">
        <v>789</v>
      </c>
    </row>
    <row r="13" spans="1:11" ht="15.35" x14ac:dyDescent="0.55000000000000004">
      <c r="A13" s="20">
        <v>1125</v>
      </c>
      <c r="B13" s="2" t="s">
        <v>148</v>
      </c>
      <c r="C13" s="2" t="s">
        <v>149</v>
      </c>
      <c r="D13" s="20">
        <v>2024</v>
      </c>
      <c r="E13" s="2" t="s">
        <v>4777</v>
      </c>
      <c r="F13" s="2" t="s">
        <v>904</v>
      </c>
      <c r="G13" s="21">
        <v>22737975</v>
      </c>
      <c r="H13" s="23">
        <v>2.2700000000000001E-2</v>
      </c>
      <c r="I13" s="37" t="s">
        <v>4778</v>
      </c>
      <c r="J13" s="2" t="s">
        <v>4783</v>
      </c>
      <c r="K13" s="2" t="s">
        <v>787</v>
      </c>
    </row>
    <row r="14" spans="1:11" ht="15.35" hidden="1" x14ac:dyDescent="0.55000000000000004">
      <c r="A14" s="20">
        <v>1139</v>
      </c>
      <c r="B14" s="2" t="s">
        <v>148</v>
      </c>
      <c r="C14" s="2" t="s">
        <v>149</v>
      </c>
      <c r="D14" s="20">
        <v>2024</v>
      </c>
      <c r="E14" s="2" t="s">
        <v>4777</v>
      </c>
      <c r="F14" s="2" t="s">
        <v>4787</v>
      </c>
      <c r="G14" s="21">
        <v>21200000</v>
      </c>
      <c r="H14" s="23">
        <v>2.12E-2</v>
      </c>
      <c r="I14" s="37" t="s">
        <v>4778</v>
      </c>
      <c r="J14" s="2" t="s">
        <v>4779</v>
      </c>
      <c r="K14" s="2" t="s">
        <v>798</v>
      </c>
    </row>
    <row r="15" spans="1:11" ht="15.35" hidden="1" x14ac:dyDescent="0.55000000000000004">
      <c r="A15" s="20">
        <v>1132</v>
      </c>
      <c r="B15" s="2" t="s">
        <v>148</v>
      </c>
      <c r="C15" s="2" t="s">
        <v>149</v>
      </c>
      <c r="D15" s="20">
        <v>2024</v>
      </c>
      <c r="E15" s="2" t="s">
        <v>4777</v>
      </c>
      <c r="F15" s="2" t="s">
        <v>4788</v>
      </c>
      <c r="G15" s="21">
        <v>20000000</v>
      </c>
      <c r="H15" s="23">
        <v>0.02</v>
      </c>
      <c r="I15" s="37" t="s">
        <v>4778</v>
      </c>
      <c r="J15" s="2" t="s">
        <v>4779</v>
      </c>
      <c r="K15" s="2" t="s">
        <v>789</v>
      </c>
    </row>
    <row r="16" spans="1:11" ht="15.35" hidden="1" x14ac:dyDescent="0.55000000000000004">
      <c r="A16" s="20">
        <v>998</v>
      </c>
      <c r="B16" s="2" t="s">
        <v>148</v>
      </c>
      <c r="C16" s="2" t="s">
        <v>149</v>
      </c>
      <c r="D16" s="20">
        <v>2024</v>
      </c>
      <c r="E16" s="2" t="s">
        <v>4777</v>
      </c>
      <c r="F16" s="2" t="s">
        <v>4789</v>
      </c>
      <c r="G16" s="21">
        <v>15300000</v>
      </c>
      <c r="H16" s="23">
        <v>1.5299999999999999E-2</v>
      </c>
      <c r="I16" s="37" t="s">
        <v>4778</v>
      </c>
      <c r="J16" s="2" t="s">
        <v>4779</v>
      </c>
      <c r="K16" s="2" t="s">
        <v>798</v>
      </c>
    </row>
    <row r="17" spans="1:11" ht="15.35" x14ac:dyDescent="0.55000000000000004">
      <c r="A17" s="20">
        <v>1126</v>
      </c>
      <c r="B17" s="2" t="s">
        <v>148</v>
      </c>
      <c r="C17" s="2" t="s">
        <v>149</v>
      </c>
      <c r="D17" s="20">
        <v>2024</v>
      </c>
      <c r="E17" s="2" t="s">
        <v>4777</v>
      </c>
      <c r="F17" s="2" t="s">
        <v>4790</v>
      </c>
      <c r="G17" s="21">
        <v>9183338</v>
      </c>
      <c r="H17" s="23">
        <v>9.1999999999999998E-3</v>
      </c>
      <c r="I17" s="37" t="s">
        <v>4778</v>
      </c>
      <c r="J17" s="2" t="s">
        <v>4783</v>
      </c>
      <c r="K17" s="2" t="s">
        <v>789</v>
      </c>
    </row>
    <row r="18" spans="1:11" ht="15.35" x14ac:dyDescent="0.55000000000000004">
      <c r="A18" s="20">
        <v>1127</v>
      </c>
      <c r="B18" s="2" t="s">
        <v>148</v>
      </c>
      <c r="C18" s="2" t="s">
        <v>149</v>
      </c>
      <c r="D18" s="20">
        <v>2024</v>
      </c>
      <c r="E18" s="2" t="s">
        <v>4777</v>
      </c>
      <c r="F18" s="2" t="s">
        <v>804</v>
      </c>
      <c r="G18" s="21">
        <v>7244277</v>
      </c>
      <c r="H18" s="23">
        <v>7.1999999999999998E-3</v>
      </c>
      <c r="I18" s="37" t="s">
        <v>4778</v>
      </c>
      <c r="J18" s="2" t="s">
        <v>4783</v>
      </c>
      <c r="K18" s="2" t="s">
        <v>798</v>
      </c>
    </row>
    <row r="19" spans="1:11" ht="15.35" x14ac:dyDescent="0.55000000000000004">
      <c r="A19" s="20">
        <v>1128</v>
      </c>
      <c r="B19" s="2" t="s">
        <v>148</v>
      </c>
      <c r="C19" s="2" t="s">
        <v>149</v>
      </c>
      <c r="D19" s="20">
        <v>2024</v>
      </c>
      <c r="E19" s="2" t="s">
        <v>4777</v>
      </c>
      <c r="F19" s="2" t="s">
        <v>788</v>
      </c>
      <c r="G19" s="21">
        <v>5628495</v>
      </c>
      <c r="H19" s="23">
        <v>5.5999999999999999E-3</v>
      </c>
      <c r="I19" s="37" t="s">
        <v>4778</v>
      </c>
      <c r="J19" s="2" t="s">
        <v>4783</v>
      </c>
      <c r="K19" s="2" t="s">
        <v>787</v>
      </c>
    </row>
    <row r="20" spans="1:11" ht="15.35" x14ac:dyDescent="0.55000000000000004">
      <c r="A20" s="20">
        <v>1129</v>
      </c>
      <c r="B20" s="2" t="s">
        <v>148</v>
      </c>
      <c r="C20" s="2" t="s">
        <v>149</v>
      </c>
      <c r="D20" s="20">
        <v>2024</v>
      </c>
      <c r="E20" s="2" t="s">
        <v>4777</v>
      </c>
      <c r="F20" s="2" t="s">
        <v>4791</v>
      </c>
      <c r="G20" s="21">
        <v>5307969</v>
      </c>
      <c r="H20" s="23">
        <v>5.3E-3</v>
      </c>
      <c r="I20" s="37" t="s">
        <v>4778</v>
      </c>
      <c r="J20" s="2" t="s">
        <v>4783</v>
      </c>
      <c r="K20" s="2" t="s">
        <v>817</v>
      </c>
    </row>
    <row r="21" spans="1:11" ht="15.35" x14ac:dyDescent="0.55000000000000004">
      <c r="A21" s="20">
        <v>1123</v>
      </c>
      <c r="B21" s="2" t="s">
        <v>148</v>
      </c>
      <c r="C21" s="2" t="s">
        <v>149</v>
      </c>
      <c r="D21" s="20">
        <v>2024</v>
      </c>
      <c r="E21" s="2" t="s">
        <v>4777</v>
      </c>
      <c r="F21" s="2" t="s">
        <v>968</v>
      </c>
      <c r="G21" s="21">
        <v>4757026</v>
      </c>
      <c r="H21" s="23">
        <v>4.7999999999999996E-3</v>
      </c>
      <c r="I21" s="37" t="s">
        <v>4778</v>
      </c>
      <c r="J21" s="2" t="s">
        <v>4783</v>
      </c>
      <c r="K21" s="2" t="s">
        <v>787</v>
      </c>
    </row>
    <row r="22" spans="1:11" ht="15.35" x14ac:dyDescent="0.55000000000000004">
      <c r="A22" s="20">
        <v>1130</v>
      </c>
      <c r="B22" s="2" t="s">
        <v>148</v>
      </c>
      <c r="C22" s="2" t="s">
        <v>149</v>
      </c>
      <c r="D22" s="20">
        <v>2024</v>
      </c>
      <c r="E22" s="2" t="s">
        <v>4777</v>
      </c>
      <c r="F22" s="2" t="s">
        <v>850</v>
      </c>
      <c r="G22" s="21">
        <v>4839084</v>
      </c>
      <c r="H22" s="23">
        <v>4.7999999999999996E-3</v>
      </c>
      <c r="I22" s="37" t="s">
        <v>4778</v>
      </c>
      <c r="J22" s="2" t="s">
        <v>4783</v>
      </c>
      <c r="K22" s="2" t="s">
        <v>787</v>
      </c>
    </row>
    <row r="23" spans="1:11" ht="15.35" hidden="1" x14ac:dyDescent="0.55000000000000004">
      <c r="A23" s="20">
        <v>862</v>
      </c>
      <c r="B23" s="2" t="s">
        <v>148</v>
      </c>
      <c r="C23" s="2" t="s">
        <v>149</v>
      </c>
      <c r="D23" s="20">
        <v>2024</v>
      </c>
      <c r="E23" s="2" t="s">
        <v>4792</v>
      </c>
      <c r="F23" s="2" t="s">
        <v>808</v>
      </c>
      <c r="G23" s="21">
        <v>300000000</v>
      </c>
      <c r="H23" s="23">
        <v>0.3</v>
      </c>
      <c r="I23" s="23">
        <v>0</v>
      </c>
      <c r="J23" s="2" t="s">
        <v>4779</v>
      </c>
      <c r="K23" s="2" t="s">
        <v>807</v>
      </c>
    </row>
    <row r="24" spans="1:11" ht="15.35" hidden="1" x14ac:dyDescent="0.55000000000000004">
      <c r="A24" s="20">
        <v>863</v>
      </c>
      <c r="B24" s="2" t="s">
        <v>148</v>
      </c>
      <c r="C24" s="2" t="s">
        <v>149</v>
      </c>
      <c r="D24" s="20">
        <v>2024</v>
      </c>
      <c r="E24" s="2" t="s">
        <v>4792</v>
      </c>
      <c r="F24" s="2" t="s">
        <v>788</v>
      </c>
      <c r="G24" s="21">
        <v>70440000</v>
      </c>
      <c r="H24" s="23">
        <v>7.0400000000000004E-2</v>
      </c>
      <c r="I24" s="23">
        <v>0</v>
      </c>
      <c r="J24" s="2" t="s">
        <v>4779</v>
      </c>
      <c r="K24" s="2" t="s">
        <v>787</v>
      </c>
    </row>
    <row r="25" spans="1:11" ht="15.35" hidden="1" x14ac:dyDescent="0.55000000000000004">
      <c r="A25" s="20">
        <v>864</v>
      </c>
      <c r="B25" s="2" t="s">
        <v>148</v>
      </c>
      <c r="C25" s="2" t="s">
        <v>149</v>
      </c>
      <c r="D25" s="20">
        <v>2024</v>
      </c>
      <c r="E25" s="2" t="s">
        <v>4792</v>
      </c>
      <c r="F25" s="2" t="s">
        <v>810</v>
      </c>
      <c r="G25" s="21">
        <v>65000000</v>
      </c>
      <c r="H25" s="23">
        <v>6.5000000000000002E-2</v>
      </c>
      <c r="I25" s="23">
        <v>0</v>
      </c>
      <c r="J25" s="2" t="s">
        <v>4779</v>
      </c>
      <c r="K25" s="2" t="s">
        <v>817</v>
      </c>
    </row>
    <row r="26" spans="1:11" ht="15.35" hidden="1" x14ac:dyDescent="0.55000000000000004">
      <c r="A26" s="20">
        <v>865</v>
      </c>
      <c r="B26" s="2" t="s">
        <v>148</v>
      </c>
      <c r="C26" s="2" t="s">
        <v>149</v>
      </c>
      <c r="D26" s="20">
        <v>2024</v>
      </c>
      <c r="E26" s="2" t="s">
        <v>4792</v>
      </c>
      <c r="F26" s="2" t="s">
        <v>4780</v>
      </c>
      <c r="G26" s="21">
        <v>57750000</v>
      </c>
      <c r="H26" s="23">
        <v>5.7799999999999997E-2</v>
      </c>
      <c r="I26" s="23">
        <v>0</v>
      </c>
      <c r="J26" s="2" t="s">
        <v>4779</v>
      </c>
      <c r="K26" s="2" t="s">
        <v>789</v>
      </c>
    </row>
    <row r="27" spans="1:11" ht="15.35" hidden="1" x14ac:dyDescent="0.55000000000000004">
      <c r="A27" s="20">
        <v>866</v>
      </c>
      <c r="B27" s="2" t="s">
        <v>148</v>
      </c>
      <c r="C27" s="2" t="s">
        <v>149</v>
      </c>
      <c r="D27" s="20">
        <v>2024</v>
      </c>
      <c r="E27" s="2" t="s">
        <v>4792</v>
      </c>
      <c r="F27" s="2" t="s">
        <v>4781</v>
      </c>
      <c r="G27" s="21">
        <v>56600000</v>
      </c>
      <c r="H27" s="23">
        <v>5.6599999999999998E-2</v>
      </c>
      <c r="I27" s="23">
        <v>0</v>
      </c>
      <c r="J27" s="2" t="s">
        <v>4779</v>
      </c>
      <c r="K27" s="2" t="s">
        <v>817</v>
      </c>
    </row>
    <row r="28" spans="1:11" ht="15.35" hidden="1" x14ac:dyDescent="0.55000000000000004">
      <c r="A28" s="20">
        <v>867</v>
      </c>
      <c r="B28" s="2" t="s">
        <v>148</v>
      </c>
      <c r="C28" s="2" t="s">
        <v>149</v>
      </c>
      <c r="D28" s="20">
        <v>2024</v>
      </c>
      <c r="E28" s="2" t="s">
        <v>4792</v>
      </c>
      <c r="F28" s="2" t="s">
        <v>4784</v>
      </c>
      <c r="G28" s="21">
        <v>28850000</v>
      </c>
      <c r="H28" s="23">
        <v>2.8899999999999999E-2</v>
      </c>
      <c r="I28" s="23">
        <v>0</v>
      </c>
      <c r="J28" s="2" t="s">
        <v>4779</v>
      </c>
      <c r="K28" s="2" t="s">
        <v>789</v>
      </c>
    </row>
    <row r="29" spans="1:11" ht="15.35" hidden="1" x14ac:dyDescent="0.55000000000000004">
      <c r="A29" s="20">
        <v>868</v>
      </c>
      <c r="B29" s="2" t="s">
        <v>148</v>
      </c>
      <c r="C29" s="2" t="s">
        <v>149</v>
      </c>
      <c r="D29" s="20">
        <v>2024</v>
      </c>
      <c r="E29" s="2" t="s">
        <v>4792</v>
      </c>
      <c r="F29" s="2" t="s">
        <v>814</v>
      </c>
      <c r="G29" s="21">
        <v>28300000</v>
      </c>
      <c r="H29" s="23">
        <v>2.8299999999999999E-2</v>
      </c>
      <c r="I29" s="23">
        <v>0</v>
      </c>
      <c r="J29" s="2" t="s">
        <v>4779</v>
      </c>
      <c r="K29" s="2" t="s">
        <v>813</v>
      </c>
    </row>
    <row r="30" spans="1:11" ht="15.35" x14ac:dyDescent="0.55000000000000004">
      <c r="A30" s="20">
        <v>1145</v>
      </c>
      <c r="B30" s="2" t="s">
        <v>148</v>
      </c>
      <c r="C30" s="2" t="s">
        <v>149</v>
      </c>
      <c r="D30" s="20">
        <v>2024</v>
      </c>
      <c r="E30" s="2" t="s">
        <v>4792</v>
      </c>
      <c r="F30" s="2" t="s">
        <v>904</v>
      </c>
      <c r="G30" s="21">
        <v>24023132</v>
      </c>
      <c r="H30" s="23">
        <v>2.4E-2</v>
      </c>
      <c r="I30" s="23">
        <v>1.2999999999999999E-3</v>
      </c>
      <c r="J30" s="2" t="s">
        <v>4783</v>
      </c>
      <c r="K30" s="2" t="s">
        <v>787</v>
      </c>
    </row>
    <row r="31" spans="1:11" ht="15.35" x14ac:dyDescent="0.55000000000000004">
      <c r="A31" s="20">
        <v>997</v>
      </c>
      <c r="B31" s="2" t="s">
        <v>148</v>
      </c>
      <c r="C31" s="2" t="s">
        <v>149</v>
      </c>
      <c r="D31" s="20">
        <v>2024</v>
      </c>
      <c r="E31" s="2" t="s">
        <v>4792</v>
      </c>
      <c r="F31" s="2" t="s">
        <v>4782</v>
      </c>
      <c r="G31" s="21">
        <v>23473564</v>
      </c>
      <c r="H31" s="23">
        <v>2.35E-2</v>
      </c>
      <c r="I31" s="23">
        <v>-9.5999999999999992E-3</v>
      </c>
      <c r="J31" s="2" t="s">
        <v>4783</v>
      </c>
      <c r="K31" s="2" t="s">
        <v>817</v>
      </c>
    </row>
    <row r="32" spans="1:11" ht="15.35" x14ac:dyDescent="0.55000000000000004">
      <c r="A32" s="20">
        <v>855</v>
      </c>
      <c r="B32" s="2" t="s">
        <v>148</v>
      </c>
      <c r="C32" s="2" t="s">
        <v>149</v>
      </c>
      <c r="D32" s="20">
        <v>2024</v>
      </c>
      <c r="E32" s="2" t="s">
        <v>4792</v>
      </c>
      <c r="F32" s="2" t="s">
        <v>4785</v>
      </c>
      <c r="G32" s="21">
        <v>22958346</v>
      </c>
      <c r="H32" s="23">
        <v>2.3E-2</v>
      </c>
      <c r="I32" s="23">
        <v>0</v>
      </c>
      <c r="J32" s="2" t="s">
        <v>4783</v>
      </c>
      <c r="K32" s="2" t="s">
        <v>789</v>
      </c>
    </row>
    <row r="33" spans="1:11" ht="15.35" x14ac:dyDescent="0.55000000000000004">
      <c r="A33" s="20">
        <v>854</v>
      </c>
      <c r="B33" s="2" t="s">
        <v>148</v>
      </c>
      <c r="C33" s="2" t="s">
        <v>149</v>
      </c>
      <c r="D33" s="20">
        <v>2024</v>
      </c>
      <c r="E33" s="2" t="s">
        <v>4792</v>
      </c>
      <c r="F33" s="2" t="s">
        <v>4786</v>
      </c>
      <c r="G33" s="21">
        <v>22958346</v>
      </c>
      <c r="H33" s="23">
        <v>2.3E-2</v>
      </c>
      <c r="I33" s="23">
        <v>0</v>
      </c>
      <c r="J33" s="2" t="s">
        <v>4783</v>
      </c>
      <c r="K33" s="2" t="s">
        <v>789</v>
      </c>
    </row>
    <row r="34" spans="1:11" ht="15.35" hidden="1" x14ac:dyDescent="0.55000000000000004">
      <c r="A34" s="20">
        <v>869</v>
      </c>
      <c r="B34" s="2" t="s">
        <v>148</v>
      </c>
      <c r="C34" s="2" t="s">
        <v>149</v>
      </c>
      <c r="D34" s="20">
        <v>2024</v>
      </c>
      <c r="E34" s="2" t="s">
        <v>4792</v>
      </c>
      <c r="F34" s="2" t="s">
        <v>4787</v>
      </c>
      <c r="G34" s="21">
        <v>21200000</v>
      </c>
      <c r="H34" s="23">
        <v>2.12E-2</v>
      </c>
      <c r="I34" s="23">
        <v>0</v>
      </c>
      <c r="J34" s="2" t="s">
        <v>4779</v>
      </c>
      <c r="K34" s="2" t="s">
        <v>798</v>
      </c>
    </row>
    <row r="35" spans="1:11" ht="15.35" hidden="1" x14ac:dyDescent="0.55000000000000004">
      <c r="A35" s="20">
        <v>946</v>
      </c>
      <c r="B35" s="2" t="s">
        <v>148</v>
      </c>
      <c r="C35" s="2" t="s">
        <v>149</v>
      </c>
      <c r="D35" s="20">
        <v>2024</v>
      </c>
      <c r="E35" s="2" t="s">
        <v>4792</v>
      </c>
      <c r="F35" s="2" t="s">
        <v>4788</v>
      </c>
      <c r="G35" s="21">
        <v>20000000</v>
      </c>
      <c r="H35" s="23">
        <v>0.02</v>
      </c>
      <c r="I35" s="23">
        <v>0</v>
      </c>
      <c r="J35" s="2" t="s">
        <v>4779</v>
      </c>
      <c r="K35" s="2" t="s">
        <v>789</v>
      </c>
    </row>
    <row r="36" spans="1:11" ht="15.35" hidden="1" x14ac:dyDescent="0.55000000000000004">
      <c r="A36" s="20">
        <v>1140</v>
      </c>
      <c r="B36" s="2" t="s">
        <v>148</v>
      </c>
      <c r="C36" s="2" t="s">
        <v>149</v>
      </c>
      <c r="D36" s="20">
        <v>2024</v>
      </c>
      <c r="E36" s="2" t="s">
        <v>4792</v>
      </c>
      <c r="F36" s="2" t="s">
        <v>4789</v>
      </c>
      <c r="G36" s="21">
        <v>15300000</v>
      </c>
      <c r="H36" s="23">
        <v>1.5299999999999999E-2</v>
      </c>
      <c r="I36" s="23">
        <v>0</v>
      </c>
      <c r="J36" s="2" t="s">
        <v>4779</v>
      </c>
      <c r="K36" s="2" t="s">
        <v>798</v>
      </c>
    </row>
    <row r="37" spans="1:11" ht="15.35" x14ac:dyDescent="0.55000000000000004">
      <c r="A37" s="38">
        <v>856</v>
      </c>
      <c r="B37" s="39" t="s">
        <v>148</v>
      </c>
      <c r="C37" s="39" t="s">
        <v>149</v>
      </c>
      <c r="D37" s="38">
        <v>2024</v>
      </c>
      <c r="E37" s="39" t="s">
        <v>4792</v>
      </c>
      <c r="F37" s="39" t="s">
        <v>922</v>
      </c>
      <c r="G37" s="40">
        <v>10727444</v>
      </c>
      <c r="H37" s="41">
        <v>1.0699999999999999E-2</v>
      </c>
      <c r="I37" s="41">
        <v>1.0699999999999999E-2</v>
      </c>
      <c r="J37" s="39" t="s">
        <v>4783</v>
      </c>
      <c r="K37" s="39" t="s">
        <v>787</v>
      </c>
    </row>
    <row r="38" spans="1:11" ht="15.35" x14ac:dyDescent="0.55000000000000004">
      <c r="A38" s="20">
        <v>857</v>
      </c>
      <c r="B38" s="2" t="s">
        <v>148</v>
      </c>
      <c r="C38" s="2" t="s">
        <v>149</v>
      </c>
      <c r="D38" s="20">
        <v>2024</v>
      </c>
      <c r="E38" s="2" t="s">
        <v>4792</v>
      </c>
      <c r="F38" s="2" t="s">
        <v>4790</v>
      </c>
      <c r="G38" s="21">
        <v>9183338</v>
      </c>
      <c r="H38" s="23">
        <v>9.1999999999999998E-3</v>
      </c>
      <c r="I38" s="23">
        <v>0</v>
      </c>
      <c r="J38" s="2" t="s">
        <v>4783</v>
      </c>
      <c r="K38" s="2" t="s">
        <v>789</v>
      </c>
    </row>
    <row r="39" spans="1:11" ht="15.35" x14ac:dyDescent="0.55000000000000004">
      <c r="A39" s="20">
        <v>858</v>
      </c>
      <c r="B39" s="2" t="s">
        <v>148</v>
      </c>
      <c r="C39" s="2" t="s">
        <v>149</v>
      </c>
      <c r="D39" s="20">
        <v>2024</v>
      </c>
      <c r="E39" s="2" t="s">
        <v>4792</v>
      </c>
      <c r="F39" s="2" t="s">
        <v>804</v>
      </c>
      <c r="G39" s="21">
        <v>7244277</v>
      </c>
      <c r="H39" s="23">
        <v>7.1999999999999998E-3</v>
      </c>
      <c r="I39" s="23">
        <v>0</v>
      </c>
      <c r="J39" s="2" t="s">
        <v>4783</v>
      </c>
      <c r="K39" s="2" t="s">
        <v>798</v>
      </c>
    </row>
    <row r="40" spans="1:11" ht="15.35" x14ac:dyDescent="0.55000000000000004">
      <c r="A40" s="20">
        <v>859</v>
      </c>
      <c r="B40" s="2" t="s">
        <v>148</v>
      </c>
      <c r="C40" s="2" t="s">
        <v>149</v>
      </c>
      <c r="D40" s="20">
        <v>2024</v>
      </c>
      <c r="E40" s="2" t="s">
        <v>4792</v>
      </c>
      <c r="F40" s="2" t="s">
        <v>788</v>
      </c>
      <c r="G40" s="21">
        <v>6926650</v>
      </c>
      <c r="H40" s="23">
        <v>6.8999999999999999E-3</v>
      </c>
      <c r="I40" s="23">
        <v>1.2999999999999999E-3</v>
      </c>
      <c r="J40" s="2" t="s">
        <v>4783</v>
      </c>
      <c r="K40" s="2" t="s">
        <v>787</v>
      </c>
    </row>
    <row r="41" spans="1:11" ht="15.35" x14ac:dyDescent="0.55000000000000004">
      <c r="A41" s="38">
        <v>860</v>
      </c>
      <c r="B41" s="39" t="s">
        <v>148</v>
      </c>
      <c r="C41" s="39" t="s">
        <v>149</v>
      </c>
      <c r="D41" s="38">
        <v>2024</v>
      </c>
      <c r="E41" s="39" t="s">
        <v>4792</v>
      </c>
      <c r="F41" s="39" t="s">
        <v>4793</v>
      </c>
      <c r="G41" s="40">
        <v>4300000</v>
      </c>
      <c r="H41" s="41">
        <v>4.3E-3</v>
      </c>
      <c r="I41" s="41">
        <v>4.3E-3</v>
      </c>
      <c r="J41" s="39" t="s">
        <v>4783</v>
      </c>
      <c r="K41" s="39" t="s">
        <v>817</v>
      </c>
    </row>
    <row r="42" spans="1:11" ht="15.35" x14ac:dyDescent="0.55000000000000004">
      <c r="A42" s="38">
        <v>861</v>
      </c>
      <c r="B42" s="39" t="s">
        <v>148</v>
      </c>
      <c r="C42" s="39" t="s">
        <v>149</v>
      </c>
      <c r="D42" s="38">
        <v>2024</v>
      </c>
      <c r="E42" s="39" t="s">
        <v>4792</v>
      </c>
      <c r="F42" s="39" t="s">
        <v>1090</v>
      </c>
      <c r="G42" s="40">
        <v>3592944</v>
      </c>
      <c r="H42" s="41">
        <v>3.5999999999999999E-3</v>
      </c>
      <c r="I42" s="41">
        <v>3.5999999999999999E-3</v>
      </c>
      <c r="J42" s="39" t="s">
        <v>4783</v>
      </c>
      <c r="K42" s="39" t="s">
        <v>787</v>
      </c>
    </row>
    <row r="43" spans="1:11" ht="15.35" x14ac:dyDescent="0.55000000000000004">
      <c r="A43" s="42"/>
      <c r="B43" s="43" t="s">
        <v>148</v>
      </c>
      <c r="C43" s="43" t="s">
        <v>149</v>
      </c>
      <c r="D43" s="44">
        <v>2024</v>
      </c>
      <c r="E43" s="43" t="s">
        <v>4792</v>
      </c>
      <c r="F43" s="43" t="s">
        <v>968</v>
      </c>
      <c r="G43" s="45"/>
      <c r="H43" s="46">
        <v>0</v>
      </c>
      <c r="I43" s="46">
        <v>-4.7999999999999996E-3</v>
      </c>
      <c r="J43" s="43" t="s">
        <v>4783</v>
      </c>
      <c r="K43" s="43" t="s">
        <v>787</v>
      </c>
    </row>
    <row r="44" spans="1:11" ht="15.35" x14ac:dyDescent="0.55000000000000004">
      <c r="A44" s="42"/>
      <c r="B44" s="43" t="s">
        <v>148</v>
      </c>
      <c r="C44" s="43" t="s">
        <v>149</v>
      </c>
      <c r="D44" s="44">
        <v>2024</v>
      </c>
      <c r="E44" s="43" t="s">
        <v>4792</v>
      </c>
      <c r="F44" s="43" t="s">
        <v>850</v>
      </c>
      <c r="G44" s="45"/>
      <c r="H44" s="46">
        <v>0</v>
      </c>
      <c r="I44" s="46">
        <v>-4.7999999999999996E-3</v>
      </c>
      <c r="J44" s="43" t="s">
        <v>4783</v>
      </c>
      <c r="K44" s="43" t="s">
        <v>787</v>
      </c>
    </row>
    <row r="45" spans="1:11" ht="15.35" x14ac:dyDescent="0.55000000000000004">
      <c r="A45" s="42"/>
      <c r="B45" s="43" t="s">
        <v>148</v>
      </c>
      <c r="C45" s="43" t="s">
        <v>149</v>
      </c>
      <c r="D45" s="44">
        <v>2024</v>
      </c>
      <c r="E45" s="43" t="s">
        <v>4792</v>
      </c>
      <c r="F45" s="43" t="s">
        <v>4791</v>
      </c>
      <c r="G45" s="45"/>
      <c r="H45" s="46">
        <v>0</v>
      </c>
      <c r="I45" s="46">
        <v>-5.3E-3</v>
      </c>
      <c r="J45" s="43" t="s">
        <v>4783</v>
      </c>
      <c r="K45" s="43" t="s">
        <v>817</v>
      </c>
    </row>
    <row r="46" spans="1:11" ht="15.35" hidden="1" x14ac:dyDescent="0.55000000000000004">
      <c r="A46" s="20">
        <v>7264</v>
      </c>
      <c r="B46" s="2" t="s">
        <v>148</v>
      </c>
      <c r="C46" s="2" t="s">
        <v>149</v>
      </c>
      <c r="D46" s="20">
        <v>2025</v>
      </c>
      <c r="E46" s="2" t="s">
        <v>4777</v>
      </c>
      <c r="F46" s="2" t="s">
        <v>808</v>
      </c>
      <c r="G46" s="21">
        <v>300000000</v>
      </c>
      <c r="H46" s="23">
        <v>0.3</v>
      </c>
      <c r="I46" s="23">
        <v>0</v>
      </c>
      <c r="J46" s="2" t="s">
        <v>4779</v>
      </c>
      <c r="K46" s="2" t="s">
        <v>807</v>
      </c>
    </row>
    <row r="47" spans="1:11" ht="15.35" hidden="1" x14ac:dyDescent="0.55000000000000004">
      <c r="A47" s="20">
        <v>3692</v>
      </c>
      <c r="B47" s="2" t="s">
        <v>148</v>
      </c>
      <c r="C47" s="2" t="s">
        <v>149</v>
      </c>
      <c r="D47" s="20">
        <v>2025</v>
      </c>
      <c r="E47" s="2" t="s">
        <v>4777</v>
      </c>
      <c r="F47" s="2" t="s">
        <v>810</v>
      </c>
      <c r="G47" s="21">
        <v>65000000</v>
      </c>
      <c r="H47" s="23">
        <v>6.5000000000000002E-2</v>
      </c>
      <c r="I47" s="23">
        <v>0</v>
      </c>
      <c r="J47" s="2" t="s">
        <v>4779</v>
      </c>
      <c r="K47" s="2" t="s">
        <v>807</v>
      </c>
    </row>
    <row r="48" spans="1:11" s="58" customFormat="1" ht="15.35" x14ac:dyDescent="0.55000000000000004">
      <c r="A48" s="38">
        <v>3703</v>
      </c>
      <c r="B48" s="54" t="s">
        <v>148</v>
      </c>
      <c r="C48" s="54" t="s">
        <v>149</v>
      </c>
      <c r="D48" s="53">
        <v>2025</v>
      </c>
      <c r="E48" s="54" t="s">
        <v>4777</v>
      </c>
      <c r="F48" s="54" t="s">
        <v>4780</v>
      </c>
      <c r="G48" s="56">
        <v>57750000</v>
      </c>
      <c r="H48" s="57">
        <v>5.7799999999999997E-2</v>
      </c>
      <c r="I48" s="57">
        <v>5.7799999999999997E-2</v>
      </c>
      <c r="J48" s="54" t="s">
        <v>4783</v>
      </c>
      <c r="K48" s="54" t="s">
        <v>789</v>
      </c>
    </row>
    <row r="49" spans="1:11" s="58" customFormat="1" ht="15.35" x14ac:dyDescent="0.55000000000000004">
      <c r="A49" s="38">
        <v>3702</v>
      </c>
      <c r="B49" s="54" t="s">
        <v>148</v>
      </c>
      <c r="C49" s="54" t="s">
        <v>149</v>
      </c>
      <c r="D49" s="53">
        <v>2025</v>
      </c>
      <c r="E49" s="54" t="s">
        <v>4777</v>
      </c>
      <c r="F49" s="54" t="s">
        <v>4781</v>
      </c>
      <c r="G49" s="56">
        <v>31539100</v>
      </c>
      <c r="H49" s="57">
        <v>3.15E-2</v>
      </c>
      <c r="I49" s="57">
        <v>3.15E-2</v>
      </c>
      <c r="J49" s="54" t="s">
        <v>4783</v>
      </c>
      <c r="K49" s="54" t="s">
        <v>817</v>
      </c>
    </row>
    <row r="50" spans="1:11" s="58" customFormat="1" ht="15.35" x14ac:dyDescent="0.55000000000000004">
      <c r="A50" s="38">
        <v>3701</v>
      </c>
      <c r="B50" s="54" t="s">
        <v>148</v>
      </c>
      <c r="C50" s="54" t="s">
        <v>149</v>
      </c>
      <c r="D50" s="53">
        <v>2025</v>
      </c>
      <c r="E50" s="54" t="s">
        <v>4777</v>
      </c>
      <c r="F50" s="54" t="s">
        <v>4784</v>
      </c>
      <c r="G50" s="56">
        <v>28850000</v>
      </c>
      <c r="H50" s="57">
        <v>2.8899999999999999E-2</v>
      </c>
      <c r="I50" s="57">
        <v>2.8899999999999999E-2</v>
      </c>
      <c r="J50" s="54" t="s">
        <v>4783</v>
      </c>
      <c r="K50" s="54" t="s">
        <v>789</v>
      </c>
    </row>
    <row r="51" spans="1:11" s="58" customFormat="1" ht="15.35" x14ac:dyDescent="0.55000000000000004">
      <c r="A51" s="38">
        <v>3700</v>
      </c>
      <c r="B51" s="54" t="s">
        <v>148</v>
      </c>
      <c r="C51" s="54" t="s">
        <v>149</v>
      </c>
      <c r="D51" s="53">
        <v>2025</v>
      </c>
      <c r="E51" s="54" t="s">
        <v>4777</v>
      </c>
      <c r="F51" s="54" t="s">
        <v>814</v>
      </c>
      <c r="G51" s="56">
        <v>28300000</v>
      </c>
      <c r="H51" s="57">
        <v>2.8299999999999999E-2</v>
      </c>
      <c r="I51" s="57">
        <v>2.8299999999999999E-2</v>
      </c>
      <c r="J51" s="54" t="s">
        <v>4783</v>
      </c>
      <c r="K51" s="54" t="s">
        <v>813</v>
      </c>
    </row>
    <row r="52" spans="1:11" s="58" customFormat="1" ht="15.35" x14ac:dyDescent="0.55000000000000004">
      <c r="A52" s="20">
        <v>3699</v>
      </c>
      <c r="B52" s="54" t="s">
        <v>148</v>
      </c>
      <c r="C52" s="54" t="s">
        <v>149</v>
      </c>
      <c r="D52" s="53">
        <v>2025</v>
      </c>
      <c r="E52" s="54" t="s">
        <v>4777</v>
      </c>
      <c r="F52" s="54" t="s">
        <v>904</v>
      </c>
      <c r="G52" s="56">
        <v>23405443</v>
      </c>
      <c r="H52" s="57">
        <v>2.3400000000000001E-2</v>
      </c>
      <c r="I52" s="57">
        <v>-5.9999999999999995E-4</v>
      </c>
      <c r="J52" s="54" t="s">
        <v>4783</v>
      </c>
      <c r="K52" s="54" t="s">
        <v>787</v>
      </c>
    </row>
    <row r="53" spans="1:11" s="58" customFormat="1" ht="15.35" x14ac:dyDescent="0.55000000000000004">
      <c r="A53" s="20">
        <v>3697</v>
      </c>
      <c r="B53" s="54" t="s">
        <v>148</v>
      </c>
      <c r="C53" s="54" t="s">
        <v>149</v>
      </c>
      <c r="D53" s="53">
        <v>2025</v>
      </c>
      <c r="E53" s="54" t="s">
        <v>4777</v>
      </c>
      <c r="F53" s="54" t="s">
        <v>4785</v>
      </c>
      <c r="G53" s="56">
        <v>22958346</v>
      </c>
      <c r="H53" s="57">
        <v>2.3E-2</v>
      </c>
      <c r="I53" s="57">
        <v>0</v>
      </c>
      <c r="J53" s="54" t="s">
        <v>4783</v>
      </c>
      <c r="K53" s="54" t="s">
        <v>789</v>
      </c>
    </row>
    <row r="54" spans="1:11" s="58" customFormat="1" ht="15.35" x14ac:dyDescent="0.55000000000000004">
      <c r="A54" s="20">
        <v>3698</v>
      </c>
      <c r="B54" s="54" t="s">
        <v>148</v>
      </c>
      <c r="C54" s="54" t="s">
        <v>149</v>
      </c>
      <c r="D54" s="53">
        <v>2025</v>
      </c>
      <c r="E54" s="54" t="s">
        <v>4777</v>
      </c>
      <c r="F54" s="54" t="s">
        <v>4786</v>
      </c>
      <c r="G54" s="56">
        <v>22958346</v>
      </c>
      <c r="H54" s="57">
        <v>2.3E-2</v>
      </c>
      <c r="I54" s="57">
        <v>0</v>
      </c>
      <c r="J54" s="54" t="s">
        <v>4783</v>
      </c>
      <c r="K54" s="54" t="s">
        <v>789</v>
      </c>
    </row>
    <row r="55" spans="1:11" s="58" customFormat="1" ht="15.35" x14ac:dyDescent="0.55000000000000004">
      <c r="A55" s="20">
        <v>3696</v>
      </c>
      <c r="B55" s="54" t="s">
        <v>148</v>
      </c>
      <c r="C55" s="54" t="s">
        <v>149</v>
      </c>
      <c r="D55" s="53">
        <v>2025</v>
      </c>
      <c r="E55" s="54" t="s">
        <v>4777</v>
      </c>
      <c r="F55" s="54" t="s">
        <v>788</v>
      </c>
      <c r="G55" s="56">
        <v>22724272</v>
      </c>
      <c r="H55" s="57">
        <v>2.2700000000000001E-2</v>
      </c>
      <c r="I55" s="57">
        <v>1.5800000000000002E-2</v>
      </c>
      <c r="J55" s="54" t="s">
        <v>4783</v>
      </c>
      <c r="K55" s="54" t="s">
        <v>787</v>
      </c>
    </row>
    <row r="56" spans="1:11" s="58" customFormat="1" ht="15.35" x14ac:dyDescent="0.55000000000000004">
      <c r="A56" s="38">
        <v>3695</v>
      </c>
      <c r="B56" s="54" t="s">
        <v>148</v>
      </c>
      <c r="C56" s="54" t="s">
        <v>149</v>
      </c>
      <c r="D56" s="53">
        <v>2025</v>
      </c>
      <c r="E56" s="54" t="s">
        <v>4777</v>
      </c>
      <c r="F56" s="54" t="s">
        <v>784</v>
      </c>
      <c r="G56" s="56">
        <v>21730382</v>
      </c>
      <c r="H56" s="57">
        <v>2.1700000000000001E-2</v>
      </c>
      <c r="I56" s="57">
        <v>2.1700000000000001E-2</v>
      </c>
      <c r="J56" s="54" t="s">
        <v>4783</v>
      </c>
      <c r="K56" s="54" t="s">
        <v>783</v>
      </c>
    </row>
    <row r="57" spans="1:11" s="58" customFormat="1" ht="15.35" x14ac:dyDescent="0.55000000000000004">
      <c r="A57" s="38">
        <v>3694</v>
      </c>
      <c r="B57" s="54" t="s">
        <v>148</v>
      </c>
      <c r="C57" s="54" t="s">
        <v>149</v>
      </c>
      <c r="D57" s="53">
        <v>2025</v>
      </c>
      <c r="E57" s="54" t="s">
        <v>4777</v>
      </c>
      <c r="F57" s="54" t="s">
        <v>4788</v>
      </c>
      <c r="G57" s="56">
        <v>20000000</v>
      </c>
      <c r="H57" s="57">
        <v>0.02</v>
      </c>
      <c r="I57" s="57">
        <v>0.02</v>
      </c>
      <c r="J57" s="54" t="s">
        <v>4783</v>
      </c>
      <c r="K57" s="54" t="s">
        <v>789</v>
      </c>
    </row>
    <row r="58" spans="1:11" s="58" customFormat="1" ht="15.35" hidden="1" x14ac:dyDescent="0.55000000000000004">
      <c r="A58" s="42"/>
      <c r="B58" s="54" t="s">
        <v>148</v>
      </c>
      <c r="C58" s="54" t="s">
        <v>149</v>
      </c>
      <c r="D58" s="53">
        <v>2025</v>
      </c>
      <c r="E58" s="54" t="s">
        <v>4777</v>
      </c>
      <c r="F58" s="54" t="s">
        <v>788</v>
      </c>
      <c r="G58" s="60"/>
      <c r="H58" s="57">
        <v>0</v>
      </c>
      <c r="I58" s="57">
        <v>-7.0400000000000004E-2</v>
      </c>
      <c r="J58" s="54" t="s">
        <v>4779</v>
      </c>
      <c r="K58" s="54" t="s">
        <v>787</v>
      </c>
    </row>
    <row r="59" spans="1:11" s="58" customFormat="1" ht="15.35" hidden="1" x14ac:dyDescent="0.55000000000000004">
      <c r="A59" s="42"/>
      <c r="B59" s="54" t="s">
        <v>148</v>
      </c>
      <c r="C59" s="54" t="s">
        <v>149</v>
      </c>
      <c r="D59" s="53">
        <v>2025</v>
      </c>
      <c r="E59" s="54" t="s">
        <v>4777</v>
      </c>
      <c r="F59" s="54" t="s">
        <v>4780</v>
      </c>
      <c r="G59" s="60"/>
      <c r="H59" s="57">
        <v>0</v>
      </c>
      <c r="I59" s="57">
        <v>-5.7799999999999997E-2</v>
      </c>
      <c r="J59" s="54" t="s">
        <v>4779</v>
      </c>
      <c r="K59" s="54" t="s">
        <v>789</v>
      </c>
    </row>
    <row r="60" spans="1:11" s="58" customFormat="1" ht="15.35" hidden="1" x14ac:dyDescent="0.55000000000000004">
      <c r="A60" s="42"/>
      <c r="B60" s="54" t="s">
        <v>148</v>
      </c>
      <c r="C60" s="54" t="s">
        <v>149</v>
      </c>
      <c r="D60" s="53">
        <v>2025</v>
      </c>
      <c r="E60" s="54" t="s">
        <v>4777</v>
      </c>
      <c r="F60" s="54" t="s">
        <v>4784</v>
      </c>
      <c r="G60" s="60"/>
      <c r="H60" s="57">
        <v>0</v>
      </c>
      <c r="I60" s="57">
        <v>-2.8899999999999999E-2</v>
      </c>
      <c r="J60" s="54" t="s">
        <v>4779</v>
      </c>
      <c r="K60" s="54" t="s">
        <v>789</v>
      </c>
    </row>
    <row r="61" spans="1:11" s="58" customFormat="1" ht="15.35" x14ac:dyDescent="0.55000000000000004">
      <c r="A61" s="42"/>
      <c r="B61" s="54" t="s">
        <v>148</v>
      </c>
      <c r="C61" s="54" t="s">
        <v>149</v>
      </c>
      <c r="D61" s="53">
        <v>2025</v>
      </c>
      <c r="E61" s="54" t="s">
        <v>4777</v>
      </c>
      <c r="F61" s="54" t="s">
        <v>4790</v>
      </c>
      <c r="G61" s="60"/>
      <c r="H61" s="57">
        <v>0</v>
      </c>
      <c r="I61" s="57">
        <v>-9.1999999999999998E-3</v>
      </c>
      <c r="J61" s="54" t="s">
        <v>4783</v>
      </c>
      <c r="K61" s="54" t="s">
        <v>789</v>
      </c>
    </row>
    <row r="62" spans="1:11" s="58" customFormat="1" ht="15.35" hidden="1" x14ac:dyDescent="0.55000000000000004">
      <c r="A62" s="42"/>
      <c r="B62" s="54" t="s">
        <v>148</v>
      </c>
      <c r="C62" s="54" t="s">
        <v>149</v>
      </c>
      <c r="D62" s="53">
        <v>2025</v>
      </c>
      <c r="E62" s="54" t="s">
        <v>4777</v>
      </c>
      <c r="F62" s="54" t="s">
        <v>4789</v>
      </c>
      <c r="G62" s="60"/>
      <c r="H62" s="57">
        <v>0</v>
      </c>
      <c r="I62" s="57">
        <v>-1.5299999999999999E-2</v>
      </c>
      <c r="J62" s="54" t="s">
        <v>4779</v>
      </c>
      <c r="K62" s="54" t="s">
        <v>798</v>
      </c>
    </row>
    <row r="63" spans="1:11" s="58" customFormat="1" ht="15.35" x14ac:dyDescent="0.55000000000000004">
      <c r="A63" s="42"/>
      <c r="B63" s="54" t="s">
        <v>148</v>
      </c>
      <c r="C63" s="54" t="s">
        <v>149</v>
      </c>
      <c r="D63" s="53">
        <v>2025</v>
      </c>
      <c r="E63" s="54" t="s">
        <v>4777</v>
      </c>
      <c r="F63" s="54" t="s">
        <v>804</v>
      </c>
      <c r="G63" s="60"/>
      <c r="H63" s="57">
        <v>0</v>
      </c>
      <c r="I63" s="57">
        <v>-7.1999999999999998E-3</v>
      </c>
      <c r="J63" s="54" t="s">
        <v>4783</v>
      </c>
      <c r="K63" s="54" t="s">
        <v>798</v>
      </c>
    </row>
    <row r="64" spans="1:11" s="58" customFormat="1" ht="15.35" x14ac:dyDescent="0.55000000000000004">
      <c r="A64" s="42"/>
      <c r="B64" s="54" t="s">
        <v>148</v>
      </c>
      <c r="C64" s="54" t="s">
        <v>149</v>
      </c>
      <c r="D64" s="53">
        <v>2025</v>
      </c>
      <c r="E64" s="54" t="s">
        <v>4777</v>
      </c>
      <c r="F64" s="54" t="s">
        <v>922</v>
      </c>
      <c r="G64" s="60"/>
      <c r="H64" s="57">
        <v>0</v>
      </c>
      <c r="I64" s="57">
        <v>-1.0699999999999999E-2</v>
      </c>
      <c r="J64" s="54" t="s">
        <v>4783</v>
      </c>
      <c r="K64" s="54" t="s">
        <v>787</v>
      </c>
    </row>
    <row r="65" spans="1:11" s="58" customFormat="1" ht="15.35" x14ac:dyDescent="0.55000000000000004">
      <c r="A65" s="42"/>
      <c r="B65" s="54" t="s">
        <v>148</v>
      </c>
      <c r="C65" s="54" t="s">
        <v>149</v>
      </c>
      <c r="D65" s="53">
        <v>2025</v>
      </c>
      <c r="E65" s="54" t="s">
        <v>4777</v>
      </c>
      <c r="F65" s="54" t="s">
        <v>1090</v>
      </c>
      <c r="G65" s="60"/>
      <c r="H65" s="57">
        <v>0</v>
      </c>
      <c r="I65" s="57">
        <v>-3.5999999999999999E-3</v>
      </c>
      <c r="J65" s="54" t="s">
        <v>4783</v>
      </c>
      <c r="K65" s="54" t="s">
        <v>787</v>
      </c>
    </row>
    <row r="66" spans="1:11" s="58" customFormat="1" ht="15.35" hidden="1" x14ac:dyDescent="0.55000000000000004">
      <c r="A66" s="42"/>
      <c r="B66" s="54" t="s">
        <v>148</v>
      </c>
      <c r="C66" s="54" t="s">
        <v>149</v>
      </c>
      <c r="D66" s="53">
        <v>2025</v>
      </c>
      <c r="E66" s="54" t="s">
        <v>4777</v>
      </c>
      <c r="F66" s="54" t="s">
        <v>814</v>
      </c>
      <c r="G66" s="60"/>
      <c r="H66" s="57">
        <v>0</v>
      </c>
      <c r="I66" s="57">
        <v>-2.8299999999999999E-2</v>
      </c>
      <c r="J66" s="54" t="s">
        <v>4779</v>
      </c>
      <c r="K66" s="54" t="s">
        <v>813</v>
      </c>
    </row>
    <row r="67" spans="1:11" s="58" customFormat="1" ht="15.35" x14ac:dyDescent="0.55000000000000004">
      <c r="A67" s="42"/>
      <c r="B67" s="54" t="s">
        <v>148</v>
      </c>
      <c r="C67" s="54" t="s">
        <v>149</v>
      </c>
      <c r="D67" s="53">
        <v>2025</v>
      </c>
      <c r="E67" s="54" t="s">
        <v>4777</v>
      </c>
      <c r="F67" s="54" t="s">
        <v>4782</v>
      </c>
      <c r="G67" s="60"/>
      <c r="H67" s="57">
        <v>0</v>
      </c>
      <c r="I67" s="57">
        <v>-2.35E-2</v>
      </c>
      <c r="J67" s="54" t="s">
        <v>4783</v>
      </c>
      <c r="K67" s="54" t="s">
        <v>817</v>
      </c>
    </row>
    <row r="68" spans="1:11" s="58" customFormat="1" ht="15.35" x14ac:dyDescent="0.55000000000000004">
      <c r="A68" s="42"/>
      <c r="B68" s="54" t="s">
        <v>148</v>
      </c>
      <c r="C68" s="54" t="s">
        <v>149</v>
      </c>
      <c r="D68" s="53">
        <v>2025</v>
      </c>
      <c r="E68" s="54" t="s">
        <v>4777</v>
      </c>
      <c r="F68" s="54" t="s">
        <v>4793</v>
      </c>
      <c r="G68" s="60"/>
      <c r="H68" s="57">
        <v>0</v>
      </c>
      <c r="I68" s="57">
        <v>-4.3E-3</v>
      </c>
      <c r="J68" s="54" t="s">
        <v>4783</v>
      </c>
      <c r="K68" s="54" t="s">
        <v>817</v>
      </c>
    </row>
    <row r="69" spans="1:11" s="58" customFormat="1" ht="15.35" hidden="1" x14ac:dyDescent="0.55000000000000004">
      <c r="A69" s="42"/>
      <c r="B69" s="54" t="s">
        <v>148</v>
      </c>
      <c r="C69" s="54" t="s">
        <v>149</v>
      </c>
      <c r="D69" s="53">
        <v>2025</v>
      </c>
      <c r="E69" s="54" t="s">
        <v>4777</v>
      </c>
      <c r="F69" s="54" t="s">
        <v>4787</v>
      </c>
      <c r="G69" s="60"/>
      <c r="H69" s="57">
        <v>0</v>
      </c>
      <c r="I69" s="57">
        <v>-2.12E-2</v>
      </c>
      <c r="J69" s="54" t="s">
        <v>4779</v>
      </c>
      <c r="K69" s="54" t="s">
        <v>798</v>
      </c>
    </row>
    <row r="70" spans="1:11" s="58" customFormat="1" ht="15.35" hidden="1" x14ac:dyDescent="0.55000000000000004">
      <c r="A70" s="42"/>
      <c r="B70" s="54" t="s">
        <v>148</v>
      </c>
      <c r="C70" s="54" t="s">
        <v>149</v>
      </c>
      <c r="D70" s="53">
        <v>2025</v>
      </c>
      <c r="E70" s="54" t="s">
        <v>4777</v>
      </c>
      <c r="F70" s="54" t="s">
        <v>4788</v>
      </c>
      <c r="G70" s="60"/>
      <c r="H70" s="57">
        <v>0</v>
      </c>
      <c r="I70" s="57">
        <v>-0.02</v>
      </c>
      <c r="J70" s="54" t="s">
        <v>4779</v>
      </c>
      <c r="K70" s="54" t="s">
        <v>789</v>
      </c>
    </row>
    <row r="71" spans="1:11" s="58" customFormat="1" ht="15.35" hidden="1" x14ac:dyDescent="0.55000000000000004">
      <c r="A71" s="42"/>
      <c r="B71" s="54" t="s">
        <v>148</v>
      </c>
      <c r="C71" s="54" t="s">
        <v>149</v>
      </c>
      <c r="D71" s="53">
        <v>2025</v>
      </c>
      <c r="E71" s="54" t="s">
        <v>4777</v>
      </c>
      <c r="F71" s="54" t="s">
        <v>4781</v>
      </c>
      <c r="G71" s="60"/>
      <c r="H71" s="57">
        <v>0</v>
      </c>
      <c r="I71" s="57">
        <v>-5.6599999999999998E-2</v>
      </c>
      <c r="J71" s="54" t="s">
        <v>4779</v>
      </c>
      <c r="K71" s="54" t="s">
        <v>817</v>
      </c>
    </row>
    <row r="72" spans="1:11" s="58" customFormat="1" ht="15.35" hidden="1" x14ac:dyDescent="0.55000000000000004">
      <c r="A72" s="20">
        <v>5213</v>
      </c>
      <c r="B72" s="54" t="s">
        <v>148</v>
      </c>
      <c r="C72" s="54" t="s">
        <v>149</v>
      </c>
      <c r="D72" s="53">
        <v>2025</v>
      </c>
      <c r="E72" s="54" t="s">
        <v>4792</v>
      </c>
      <c r="F72" s="54" t="s">
        <v>808</v>
      </c>
      <c r="G72" s="56">
        <v>300000000</v>
      </c>
      <c r="H72" s="57">
        <v>0.3</v>
      </c>
      <c r="I72" s="57">
        <v>0</v>
      </c>
      <c r="J72" s="54" t="s">
        <v>4779</v>
      </c>
      <c r="K72" s="54" t="s">
        <v>807</v>
      </c>
    </row>
    <row r="73" spans="1:11" ht="15.35" x14ac:dyDescent="0.55000000000000004">
      <c r="A73" s="20">
        <v>5212</v>
      </c>
      <c r="B73" s="2" t="s">
        <v>148</v>
      </c>
      <c r="C73" s="2" t="s">
        <v>149</v>
      </c>
      <c r="D73" s="20">
        <v>2025</v>
      </c>
      <c r="E73" s="2" t="s">
        <v>4792</v>
      </c>
      <c r="F73" s="2" t="s">
        <v>4780</v>
      </c>
      <c r="G73" s="21">
        <v>49251900</v>
      </c>
      <c r="H73" s="23">
        <v>4.9299999999999997E-2</v>
      </c>
      <c r="I73" s="23">
        <v>-8.5000000000000006E-3</v>
      </c>
      <c r="J73" s="2" t="s">
        <v>4783</v>
      </c>
      <c r="K73" s="2" t="s">
        <v>789</v>
      </c>
    </row>
    <row r="74" spans="1:11" ht="15.35" x14ac:dyDescent="0.55000000000000004">
      <c r="A74" s="20">
        <v>5211</v>
      </c>
      <c r="B74" s="2" t="s">
        <v>148</v>
      </c>
      <c r="C74" s="2" t="s">
        <v>149</v>
      </c>
      <c r="D74" s="20">
        <v>2025</v>
      </c>
      <c r="E74" s="2" t="s">
        <v>4792</v>
      </c>
      <c r="F74" s="2" t="s">
        <v>4784</v>
      </c>
      <c r="G74" s="21">
        <v>24608000</v>
      </c>
      <c r="H74" s="23">
        <v>2.46E-2</v>
      </c>
      <c r="I74" s="23">
        <v>-4.3E-3</v>
      </c>
      <c r="J74" s="2" t="s">
        <v>4783</v>
      </c>
      <c r="K74" s="2" t="s">
        <v>789</v>
      </c>
    </row>
    <row r="75" spans="1:11" ht="15.35" x14ac:dyDescent="0.55000000000000004">
      <c r="A75" s="38">
        <v>5210</v>
      </c>
      <c r="B75" s="39" t="s">
        <v>148</v>
      </c>
      <c r="C75" s="39" t="s">
        <v>149</v>
      </c>
      <c r="D75" s="38">
        <v>2025</v>
      </c>
      <c r="E75" s="39" t="s">
        <v>4792</v>
      </c>
      <c r="F75" s="39" t="s">
        <v>922</v>
      </c>
      <c r="G75" s="40">
        <v>23108156</v>
      </c>
      <c r="H75" s="41">
        <v>2.3099999999999999E-2</v>
      </c>
      <c r="I75" s="41">
        <v>2.3099999999999999E-2</v>
      </c>
      <c r="J75" s="39" t="s">
        <v>4783</v>
      </c>
      <c r="K75" s="39" t="s">
        <v>787</v>
      </c>
    </row>
    <row r="76" spans="1:11" ht="15.35" x14ac:dyDescent="0.55000000000000004">
      <c r="A76" s="20">
        <v>5208</v>
      </c>
      <c r="B76" s="2" t="s">
        <v>148</v>
      </c>
      <c r="C76" s="2" t="s">
        <v>149</v>
      </c>
      <c r="D76" s="20">
        <v>2025</v>
      </c>
      <c r="E76" s="2" t="s">
        <v>4792</v>
      </c>
      <c r="F76" s="2" t="s">
        <v>4785</v>
      </c>
      <c r="G76" s="21">
        <v>22558346</v>
      </c>
      <c r="H76" s="23">
        <v>2.2599999999999999E-2</v>
      </c>
      <c r="I76" s="23">
        <v>-4.0000000000000002E-4</v>
      </c>
      <c r="J76" s="2" t="s">
        <v>4783</v>
      </c>
      <c r="K76" s="2" t="s">
        <v>789</v>
      </c>
    </row>
    <row r="77" spans="1:11" ht="15.35" x14ac:dyDescent="0.55000000000000004">
      <c r="A77" s="20">
        <v>5209</v>
      </c>
      <c r="B77" s="2" t="s">
        <v>148</v>
      </c>
      <c r="C77" s="2" t="s">
        <v>149</v>
      </c>
      <c r="D77" s="20">
        <v>2025</v>
      </c>
      <c r="E77" s="2" t="s">
        <v>4792</v>
      </c>
      <c r="F77" s="2" t="s">
        <v>4786</v>
      </c>
      <c r="G77" s="21">
        <v>22566746</v>
      </c>
      <c r="H77" s="23">
        <v>2.2599999999999999E-2</v>
      </c>
      <c r="I77" s="23">
        <v>-4.0000000000000002E-4</v>
      </c>
      <c r="J77" s="2" t="s">
        <v>4783</v>
      </c>
      <c r="K77" s="2" t="s">
        <v>789</v>
      </c>
    </row>
    <row r="78" spans="1:11" ht="15.35" x14ac:dyDescent="0.55000000000000004">
      <c r="A78" s="38">
        <v>5207</v>
      </c>
      <c r="B78" s="39" t="s">
        <v>148</v>
      </c>
      <c r="C78" s="39" t="s">
        <v>149</v>
      </c>
      <c r="D78" s="38">
        <v>2025</v>
      </c>
      <c r="E78" s="39" t="s">
        <v>4792</v>
      </c>
      <c r="F78" s="39" t="s">
        <v>1191</v>
      </c>
      <c r="G78" s="40">
        <v>21286317</v>
      </c>
      <c r="H78" s="41">
        <v>2.1299999999999999E-2</v>
      </c>
      <c r="I78" s="41">
        <v>2.1299999999999999E-2</v>
      </c>
      <c r="J78" s="39" t="s">
        <v>4783</v>
      </c>
      <c r="K78" s="39" t="s">
        <v>787</v>
      </c>
    </row>
    <row r="79" spans="1:11" ht="15.35" x14ac:dyDescent="0.55000000000000004">
      <c r="A79" s="20">
        <v>5206</v>
      </c>
      <c r="B79" s="2" t="s">
        <v>148</v>
      </c>
      <c r="C79" s="2" t="s">
        <v>149</v>
      </c>
      <c r="D79" s="20">
        <v>2025</v>
      </c>
      <c r="E79" s="2" t="s">
        <v>4792</v>
      </c>
      <c r="F79" s="2" t="s">
        <v>904</v>
      </c>
      <c r="G79" s="21">
        <v>20827743</v>
      </c>
      <c r="H79" s="23">
        <v>2.0799999999999999E-2</v>
      </c>
      <c r="I79" s="23">
        <v>-2.5999999999999999E-3</v>
      </c>
      <c r="J79" s="2" t="s">
        <v>4783</v>
      </c>
      <c r="K79" s="2" t="s">
        <v>787</v>
      </c>
    </row>
    <row r="80" spans="1:11" ht="15.35" x14ac:dyDescent="0.55000000000000004">
      <c r="A80" s="20">
        <v>5205</v>
      </c>
      <c r="B80" s="2" t="s">
        <v>148</v>
      </c>
      <c r="C80" s="2" t="s">
        <v>149</v>
      </c>
      <c r="D80" s="20">
        <v>2025</v>
      </c>
      <c r="E80" s="2" t="s">
        <v>4792</v>
      </c>
      <c r="F80" s="2" t="s">
        <v>4788</v>
      </c>
      <c r="G80" s="21">
        <v>20000000</v>
      </c>
      <c r="H80" s="23">
        <v>0.02</v>
      </c>
      <c r="I80" s="23">
        <v>0</v>
      </c>
      <c r="J80" s="2" t="s">
        <v>4783</v>
      </c>
      <c r="K80" s="2" t="s">
        <v>789</v>
      </c>
    </row>
    <row r="81" spans="1:11" ht="15.35" x14ac:dyDescent="0.55000000000000004">
      <c r="A81" s="20">
        <v>5217</v>
      </c>
      <c r="B81" s="2" t="s">
        <v>148</v>
      </c>
      <c r="C81" s="2" t="s">
        <v>149</v>
      </c>
      <c r="D81" s="20">
        <v>2025</v>
      </c>
      <c r="E81" s="2" t="s">
        <v>4792</v>
      </c>
      <c r="F81" s="2" t="s">
        <v>814</v>
      </c>
      <c r="G81" s="21">
        <v>18075100</v>
      </c>
      <c r="H81" s="23">
        <v>1.8100000000000002E-2</v>
      </c>
      <c r="I81" s="23">
        <v>-1.0200000000000001E-2</v>
      </c>
      <c r="J81" s="2" t="s">
        <v>4783</v>
      </c>
      <c r="K81" s="2" t="s">
        <v>813</v>
      </c>
    </row>
    <row r="82" spans="1:11" ht="15.35" x14ac:dyDescent="0.55000000000000004">
      <c r="A82" s="20">
        <v>5233</v>
      </c>
      <c r="B82" s="2" t="s">
        <v>148</v>
      </c>
      <c r="C82" s="2" t="s">
        <v>149</v>
      </c>
      <c r="D82" s="20">
        <v>2025</v>
      </c>
      <c r="E82" s="2" t="s">
        <v>4792</v>
      </c>
      <c r="F82" s="2" t="s">
        <v>788</v>
      </c>
      <c r="G82" s="21">
        <v>16811475</v>
      </c>
      <c r="H82" s="23">
        <v>1.6799999999999999E-2</v>
      </c>
      <c r="I82" s="23">
        <v>-5.8999999999999999E-3</v>
      </c>
      <c r="J82" s="2" t="s">
        <v>4783</v>
      </c>
      <c r="K82" s="2" t="s">
        <v>787</v>
      </c>
    </row>
    <row r="83" spans="1:11" ht="15.35" x14ac:dyDescent="0.55000000000000004">
      <c r="A83" s="42"/>
      <c r="B83" s="43" t="s">
        <v>148</v>
      </c>
      <c r="C83" s="43" t="s">
        <v>149</v>
      </c>
      <c r="D83" s="44">
        <v>2025</v>
      </c>
      <c r="E83" s="43" t="s">
        <v>4792</v>
      </c>
      <c r="F83" s="43" t="s">
        <v>784</v>
      </c>
      <c r="G83" s="45"/>
      <c r="H83" s="46">
        <v>0</v>
      </c>
      <c r="I83" s="46">
        <v>-2.1700000000000001E-2</v>
      </c>
      <c r="J83" s="43" t="s">
        <v>4783</v>
      </c>
      <c r="K83" s="43" t="s">
        <v>783</v>
      </c>
    </row>
    <row r="84" spans="1:11" s="58" customFormat="1" ht="15.35" hidden="1" x14ac:dyDescent="0.55000000000000004">
      <c r="A84" s="42"/>
      <c r="B84" s="54" t="s">
        <v>148</v>
      </c>
      <c r="C84" s="54" t="s">
        <v>149</v>
      </c>
      <c r="D84" s="53">
        <v>2025</v>
      </c>
      <c r="E84" s="54" t="s">
        <v>4792</v>
      </c>
      <c r="F84" s="54" t="s">
        <v>810</v>
      </c>
      <c r="G84" s="60"/>
      <c r="H84" s="57">
        <v>0</v>
      </c>
      <c r="I84" s="57">
        <v>-6.5000000000000002E-2</v>
      </c>
      <c r="J84" s="54" t="s">
        <v>4779</v>
      </c>
      <c r="K84" s="54" t="s">
        <v>807</v>
      </c>
    </row>
    <row r="85" spans="1:11" ht="15.35" x14ac:dyDescent="0.55000000000000004">
      <c r="A85" s="42"/>
      <c r="B85" s="43" t="s">
        <v>148</v>
      </c>
      <c r="C85" s="43" t="s">
        <v>149</v>
      </c>
      <c r="D85" s="44">
        <v>2025</v>
      </c>
      <c r="E85" s="43" t="s">
        <v>4792</v>
      </c>
      <c r="F85" s="43" t="s">
        <v>4781</v>
      </c>
      <c r="G85" s="45"/>
      <c r="H85" s="46">
        <v>0</v>
      </c>
      <c r="I85" s="46">
        <v>-3.15E-2</v>
      </c>
      <c r="J85" s="43" t="s">
        <v>4783</v>
      </c>
      <c r="K85" s="43" t="s">
        <v>817</v>
      </c>
    </row>
    <row r="86" spans="1:11" s="58" customFormat="1" ht="15.35" hidden="1" x14ac:dyDescent="0.55000000000000004">
      <c r="A86" s="20">
        <v>7062</v>
      </c>
      <c r="B86" s="54" t="s">
        <v>148</v>
      </c>
      <c r="C86" s="54" t="s">
        <v>149</v>
      </c>
      <c r="D86" s="53">
        <v>2026</v>
      </c>
      <c r="E86" s="54" t="s">
        <v>4777</v>
      </c>
      <c r="F86" s="54" t="s">
        <v>808</v>
      </c>
      <c r="G86" s="56">
        <v>300000000</v>
      </c>
      <c r="H86" s="57">
        <v>0.3</v>
      </c>
      <c r="I86" s="57">
        <v>0</v>
      </c>
      <c r="J86" s="54" t="s">
        <v>4779</v>
      </c>
      <c r="K86" s="54" t="s">
        <v>807</v>
      </c>
    </row>
    <row r="87" spans="1:11" ht="15.35" hidden="1" x14ac:dyDescent="0.55000000000000004">
      <c r="A87" s="38">
        <v>7085</v>
      </c>
      <c r="B87" s="39" t="s">
        <v>148</v>
      </c>
      <c r="C87" s="39" t="s">
        <v>149</v>
      </c>
      <c r="D87" s="38">
        <v>2026</v>
      </c>
      <c r="E87" s="39" t="s">
        <v>4777</v>
      </c>
      <c r="F87" s="39" t="s">
        <v>810</v>
      </c>
      <c r="G87" s="40">
        <v>65000000</v>
      </c>
      <c r="H87" s="41">
        <v>6.5000000000000002E-2</v>
      </c>
      <c r="I87" s="41">
        <v>6.5000000000000002E-2</v>
      </c>
      <c r="J87" s="39" t="s">
        <v>4779</v>
      </c>
      <c r="K87" s="39" t="s">
        <v>817</v>
      </c>
    </row>
    <row r="88" spans="1:11" ht="15.35" x14ac:dyDescent="0.55000000000000004">
      <c r="A88" s="38">
        <v>7063</v>
      </c>
      <c r="B88" s="39" t="s">
        <v>148</v>
      </c>
      <c r="C88" s="39" t="s">
        <v>149</v>
      </c>
      <c r="D88" s="38">
        <v>2026</v>
      </c>
      <c r="E88" s="39" t="s">
        <v>4777</v>
      </c>
      <c r="F88" s="39" t="s">
        <v>790</v>
      </c>
      <c r="G88" s="40">
        <v>49251900</v>
      </c>
      <c r="H88" s="41">
        <v>4.9299999999999997E-2</v>
      </c>
      <c r="I88" s="41">
        <v>4.9299999999999997E-2</v>
      </c>
      <c r="J88" s="39" t="s">
        <v>4783</v>
      </c>
      <c r="K88" s="39" t="s">
        <v>789</v>
      </c>
    </row>
    <row r="89" spans="1:11" ht="15.35" x14ac:dyDescent="0.55000000000000004">
      <c r="A89" s="20">
        <v>7088</v>
      </c>
      <c r="B89" s="2" t="s">
        <v>148</v>
      </c>
      <c r="C89" s="2" t="s">
        <v>149</v>
      </c>
      <c r="D89" s="20">
        <v>2026</v>
      </c>
      <c r="E89" s="2" t="s">
        <v>4777</v>
      </c>
      <c r="F89" s="2" t="s">
        <v>1191</v>
      </c>
      <c r="G89" s="21">
        <v>30025417</v>
      </c>
      <c r="H89" s="23">
        <v>0.03</v>
      </c>
      <c r="I89" s="23">
        <v>8.6999999999999994E-3</v>
      </c>
      <c r="J89" s="2" t="s">
        <v>4783</v>
      </c>
      <c r="K89" s="2" t="s">
        <v>787</v>
      </c>
    </row>
    <row r="90" spans="1:11" ht="15.35" x14ac:dyDescent="0.55000000000000004">
      <c r="A90" s="20">
        <v>7089</v>
      </c>
      <c r="B90" s="2" t="s">
        <v>148</v>
      </c>
      <c r="C90" s="2" t="s">
        <v>149</v>
      </c>
      <c r="D90" s="20">
        <v>2026</v>
      </c>
      <c r="E90" s="2" t="s">
        <v>4777</v>
      </c>
      <c r="F90" s="2" t="s">
        <v>922</v>
      </c>
      <c r="G90" s="21">
        <v>28572756</v>
      </c>
      <c r="H90" s="23">
        <v>2.86E-2</v>
      </c>
      <c r="I90" s="23">
        <v>5.4999999999999997E-3</v>
      </c>
      <c r="J90" s="2" t="s">
        <v>4783</v>
      </c>
      <c r="K90" s="2" t="s">
        <v>787</v>
      </c>
    </row>
    <row r="91" spans="1:11" ht="15.35" x14ac:dyDescent="0.55000000000000004">
      <c r="A91" s="38">
        <v>7090</v>
      </c>
      <c r="B91" s="39" t="s">
        <v>148</v>
      </c>
      <c r="C91" s="39" t="s">
        <v>149</v>
      </c>
      <c r="D91" s="38">
        <v>2026</v>
      </c>
      <c r="E91" s="39" t="s">
        <v>4777</v>
      </c>
      <c r="F91" s="39" t="s">
        <v>792</v>
      </c>
      <c r="G91" s="40">
        <v>24608000</v>
      </c>
      <c r="H91" s="41">
        <v>2.46E-2</v>
      </c>
      <c r="I91" s="41">
        <v>2.46E-2</v>
      </c>
      <c r="J91" s="39" t="s">
        <v>4783</v>
      </c>
      <c r="K91" s="39" t="s">
        <v>789</v>
      </c>
    </row>
    <row r="92" spans="1:11" ht="15.35" x14ac:dyDescent="0.55000000000000004">
      <c r="A92" s="38">
        <v>7091</v>
      </c>
      <c r="B92" s="39" t="s">
        <v>148</v>
      </c>
      <c r="C92" s="39" t="s">
        <v>149</v>
      </c>
      <c r="D92" s="38">
        <v>2026</v>
      </c>
      <c r="E92" s="39" t="s">
        <v>4777</v>
      </c>
      <c r="F92" s="39" t="s">
        <v>839</v>
      </c>
      <c r="G92" s="40">
        <v>23531346</v>
      </c>
      <c r="H92" s="41">
        <v>2.35E-2</v>
      </c>
      <c r="I92" s="41">
        <v>2.35E-2</v>
      </c>
      <c r="J92" s="39" t="s">
        <v>4783</v>
      </c>
      <c r="K92" s="39" t="s">
        <v>789</v>
      </c>
    </row>
    <row r="93" spans="1:11" ht="15.35" x14ac:dyDescent="0.55000000000000004">
      <c r="A93" s="38">
        <v>7092</v>
      </c>
      <c r="B93" s="39" t="s">
        <v>148</v>
      </c>
      <c r="C93" s="39" t="s">
        <v>149</v>
      </c>
      <c r="D93" s="38">
        <v>2026</v>
      </c>
      <c r="E93" s="39" t="s">
        <v>4777</v>
      </c>
      <c r="F93" s="39" t="s">
        <v>2592</v>
      </c>
      <c r="G93" s="40">
        <v>22649546</v>
      </c>
      <c r="H93" s="41">
        <v>2.2599999999999999E-2</v>
      </c>
      <c r="I93" s="41">
        <v>2.2599999999999999E-2</v>
      </c>
      <c r="J93" s="39" t="s">
        <v>4783</v>
      </c>
      <c r="K93" s="39" t="s">
        <v>789</v>
      </c>
    </row>
    <row r="94" spans="1:11" ht="15.35" x14ac:dyDescent="0.55000000000000004">
      <c r="A94" s="20">
        <v>7093</v>
      </c>
      <c r="B94" s="2" t="s">
        <v>148</v>
      </c>
      <c r="C94" s="2" t="s">
        <v>149</v>
      </c>
      <c r="D94" s="20">
        <v>2026</v>
      </c>
      <c r="E94" s="2" t="s">
        <v>4777</v>
      </c>
      <c r="F94" s="2" t="s">
        <v>788</v>
      </c>
      <c r="G94" s="21">
        <v>21000756</v>
      </c>
      <c r="H94" s="23">
        <v>2.1000000000000001E-2</v>
      </c>
      <c r="I94" s="23">
        <v>4.1999999999999997E-3</v>
      </c>
      <c r="J94" s="2" t="s">
        <v>4783</v>
      </c>
      <c r="K94" s="2" t="s">
        <v>787</v>
      </c>
    </row>
    <row r="95" spans="1:11" ht="15.35" x14ac:dyDescent="0.55000000000000004">
      <c r="A95" s="38">
        <v>7094</v>
      </c>
      <c r="B95" s="39" t="s">
        <v>148</v>
      </c>
      <c r="C95" s="39" t="s">
        <v>149</v>
      </c>
      <c r="D95" s="38">
        <v>2026</v>
      </c>
      <c r="E95" s="39" t="s">
        <v>4777</v>
      </c>
      <c r="F95" s="39" t="s">
        <v>4794</v>
      </c>
      <c r="G95" s="40">
        <v>20000000</v>
      </c>
      <c r="H95" s="41">
        <v>0.02</v>
      </c>
      <c r="I95" s="41">
        <v>0.02</v>
      </c>
      <c r="J95" s="39" t="s">
        <v>4783</v>
      </c>
      <c r="K95" s="39" t="s">
        <v>789</v>
      </c>
    </row>
    <row r="96" spans="1:11" ht="15.35" x14ac:dyDescent="0.55000000000000004">
      <c r="A96" s="20">
        <v>7095</v>
      </c>
      <c r="B96" s="2" t="s">
        <v>148</v>
      </c>
      <c r="C96" s="2" t="s">
        <v>149</v>
      </c>
      <c r="D96" s="20">
        <v>2026</v>
      </c>
      <c r="E96" s="2" t="s">
        <v>4777</v>
      </c>
      <c r="F96" s="2" t="s">
        <v>904</v>
      </c>
      <c r="G96" s="21">
        <v>16609443</v>
      </c>
      <c r="H96" s="23">
        <v>1.66E-2</v>
      </c>
      <c r="I96" s="23">
        <v>-4.1999999999999997E-3</v>
      </c>
      <c r="J96" s="2" t="s">
        <v>4783</v>
      </c>
      <c r="K96" s="2" t="s">
        <v>787</v>
      </c>
    </row>
    <row r="97" spans="1:11" ht="15.35" x14ac:dyDescent="0.55000000000000004">
      <c r="A97" s="38">
        <v>7096</v>
      </c>
      <c r="B97" s="39" t="s">
        <v>148</v>
      </c>
      <c r="C97" s="39" t="s">
        <v>149</v>
      </c>
      <c r="D97" s="38">
        <v>2026</v>
      </c>
      <c r="E97" s="39" t="s">
        <v>4777</v>
      </c>
      <c r="F97" s="39" t="s">
        <v>4795</v>
      </c>
      <c r="G97" s="40">
        <v>14625138</v>
      </c>
      <c r="H97" s="41">
        <v>1.46E-2</v>
      </c>
      <c r="I97" s="41">
        <v>1.46E-2</v>
      </c>
      <c r="J97" s="39" t="s">
        <v>4783</v>
      </c>
      <c r="K97" s="39" t="s">
        <v>789</v>
      </c>
    </row>
    <row r="98" spans="1:11" ht="15.35" x14ac:dyDescent="0.55000000000000004">
      <c r="A98" s="42"/>
      <c r="B98" s="43" t="s">
        <v>148</v>
      </c>
      <c r="C98" s="43" t="s">
        <v>149</v>
      </c>
      <c r="D98" s="44">
        <v>2026</v>
      </c>
      <c r="E98" s="43" t="s">
        <v>4777</v>
      </c>
      <c r="F98" s="43" t="s">
        <v>4780</v>
      </c>
      <c r="G98" s="45"/>
      <c r="H98" s="46">
        <v>0</v>
      </c>
      <c r="I98" s="46">
        <v>-4.9299999999999997E-2</v>
      </c>
      <c r="J98" s="43" t="s">
        <v>4783</v>
      </c>
      <c r="K98" s="43" t="s">
        <v>789</v>
      </c>
    </row>
    <row r="99" spans="1:11" ht="15.35" x14ac:dyDescent="0.55000000000000004">
      <c r="A99" s="42"/>
      <c r="B99" s="43" t="s">
        <v>148</v>
      </c>
      <c r="C99" s="43" t="s">
        <v>149</v>
      </c>
      <c r="D99" s="44">
        <v>2026</v>
      </c>
      <c r="E99" s="43" t="s">
        <v>4777</v>
      </c>
      <c r="F99" s="43" t="s">
        <v>4784</v>
      </c>
      <c r="G99" s="45"/>
      <c r="H99" s="46">
        <v>0</v>
      </c>
      <c r="I99" s="46">
        <v>-2.46E-2</v>
      </c>
      <c r="J99" s="43" t="s">
        <v>4783</v>
      </c>
      <c r="K99" s="43" t="s">
        <v>789</v>
      </c>
    </row>
    <row r="100" spans="1:11" ht="15.35" x14ac:dyDescent="0.55000000000000004">
      <c r="A100" s="42"/>
      <c r="B100" s="43" t="s">
        <v>148</v>
      </c>
      <c r="C100" s="43" t="s">
        <v>149</v>
      </c>
      <c r="D100" s="44">
        <v>2026</v>
      </c>
      <c r="E100" s="43" t="s">
        <v>4777</v>
      </c>
      <c r="F100" s="43" t="s">
        <v>4785</v>
      </c>
      <c r="G100" s="45"/>
      <c r="H100" s="46">
        <v>0</v>
      </c>
      <c r="I100" s="46">
        <v>-2.2599999999999999E-2</v>
      </c>
      <c r="J100" s="43" t="s">
        <v>4783</v>
      </c>
      <c r="K100" s="43" t="s">
        <v>789</v>
      </c>
    </row>
    <row r="101" spans="1:11" ht="15.35" x14ac:dyDescent="0.55000000000000004">
      <c r="A101" s="42"/>
      <c r="B101" s="43" t="s">
        <v>148</v>
      </c>
      <c r="C101" s="43" t="s">
        <v>149</v>
      </c>
      <c r="D101" s="44">
        <v>2026</v>
      </c>
      <c r="E101" s="43" t="s">
        <v>4777</v>
      </c>
      <c r="F101" s="43" t="s">
        <v>4786</v>
      </c>
      <c r="G101" s="45"/>
      <c r="H101" s="46">
        <v>0</v>
      </c>
      <c r="I101" s="46">
        <v>-2.2599999999999999E-2</v>
      </c>
      <c r="J101" s="43" t="s">
        <v>4783</v>
      </c>
      <c r="K101" s="43" t="s">
        <v>789</v>
      </c>
    </row>
    <row r="102" spans="1:11" ht="15.35" x14ac:dyDescent="0.55000000000000004">
      <c r="A102" s="42"/>
      <c r="B102" s="43" t="s">
        <v>148</v>
      </c>
      <c r="C102" s="43" t="s">
        <v>149</v>
      </c>
      <c r="D102" s="44">
        <v>2026</v>
      </c>
      <c r="E102" s="43" t="s">
        <v>4777</v>
      </c>
      <c r="F102" s="43" t="s">
        <v>814</v>
      </c>
      <c r="G102" s="45"/>
      <c r="H102" s="46">
        <v>0</v>
      </c>
      <c r="I102" s="46">
        <v>-1.8100000000000002E-2</v>
      </c>
      <c r="J102" s="43" t="s">
        <v>4783</v>
      </c>
      <c r="K102" s="43" t="s">
        <v>813</v>
      </c>
    </row>
    <row r="103" spans="1:11" ht="15.35" x14ac:dyDescent="0.55000000000000004">
      <c r="A103" s="42"/>
      <c r="B103" s="43" t="s">
        <v>148</v>
      </c>
      <c r="C103" s="43" t="s">
        <v>149</v>
      </c>
      <c r="D103" s="44">
        <v>2026</v>
      </c>
      <c r="E103" s="43" t="s">
        <v>4777</v>
      </c>
      <c r="F103" s="43" t="s">
        <v>4788</v>
      </c>
      <c r="G103" s="45"/>
      <c r="H103" s="46">
        <v>0</v>
      </c>
      <c r="I103" s="46">
        <v>-0.02</v>
      </c>
      <c r="J103" s="43" t="s">
        <v>4783</v>
      </c>
      <c r="K103" s="43" t="s">
        <v>789</v>
      </c>
    </row>
    <row r="104" spans="1:11" ht="15.35" hidden="1" x14ac:dyDescent="0.55000000000000004">
      <c r="A104" s="20">
        <v>873</v>
      </c>
      <c r="B104" s="2" t="s">
        <v>153</v>
      </c>
      <c r="C104" s="2" t="s">
        <v>154</v>
      </c>
      <c r="D104" s="20">
        <v>2024</v>
      </c>
      <c r="E104" s="2" t="s">
        <v>4777</v>
      </c>
      <c r="F104" s="2" t="s">
        <v>871</v>
      </c>
      <c r="G104" s="21">
        <v>330000000</v>
      </c>
      <c r="H104" s="23">
        <v>0.33</v>
      </c>
      <c r="I104" s="37" t="s">
        <v>4778</v>
      </c>
      <c r="J104" s="2" t="s">
        <v>4779</v>
      </c>
      <c r="K104" s="2" t="s">
        <v>807</v>
      </c>
    </row>
    <row r="105" spans="1:11" ht="15.35" hidden="1" x14ac:dyDescent="0.55000000000000004">
      <c r="A105" s="20">
        <v>895</v>
      </c>
      <c r="B105" s="2" t="s">
        <v>153</v>
      </c>
      <c r="C105" s="2" t="s">
        <v>154</v>
      </c>
      <c r="D105" s="20">
        <v>2024</v>
      </c>
      <c r="E105" s="2" t="s">
        <v>4777</v>
      </c>
      <c r="F105" s="2" t="s">
        <v>874</v>
      </c>
      <c r="G105" s="21">
        <v>297500000</v>
      </c>
      <c r="H105" s="23">
        <v>0.29749999999999999</v>
      </c>
      <c r="I105" s="37" t="s">
        <v>4778</v>
      </c>
      <c r="J105" s="2" t="s">
        <v>4779</v>
      </c>
      <c r="K105" s="2" t="s">
        <v>783</v>
      </c>
    </row>
    <row r="106" spans="1:11" ht="15.35" hidden="1" x14ac:dyDescent="0.55000000000000004">
      <c r="A106" s="20">
        <v>872</v>
      </c>
      <c r="B106" s="2" t="s">
        <v>153</v>
      </c>
      <c r="C106" s="2" t="s">
        <v>154</v>
      </c>
      <c r="D106" s="20">
        <v>2024</v>
      </c>
      <c r="E106" s="2" t="s">
        <v>4777</v>
      </c>
      <c r="F106" s="2" t="s">
        <v>4780</v>
      </c>
      <c r="G106" s="21">
        <v>95000000</v>
      </c>
      <c r="H106" s="23">
        <v>9.5000000000000001E-2</v>
      </c>
      <c r="I106" s="37" t="s">
        <v>4778</v>
      </c>
      <c r="J106" s="2" t="s">
        <v>4779</v>
      </c>
      <c r="K106" s="2" t="s">
        <v>789</v>
      </c>
    </row>
    <row r="107" spans="1:11" ht="15.35" hidden="1" x14ac:dyDescent="0.55000000000000004">
      <c r="A107" s="20">
        <v>870</v>
      </c>
      <c r="B107" s="2" t="s">
        <v>153</v>
      </c>
      <c r="C107" s="2" t="s">
        <v>154</v>
      </c>
      <c r="D107" s="20">
        <v>2024</v>
      </c>
      <c r="E107" s="2" t="s">
        <v>4777</v>
      </c>
      <c r="F107" s="2" t="s">
        <v>788</v>
      </c>
      <c r="G107" s="21">
        <v>29800000</v>
      </c>
      <c r="H107" s="23">
        <v>2.98E-2</v>
      </c>
      <c r="I107" s="37" t="s">
        <v>4778</v>
      </c>
      <c r="J107" s="2" t="s">
        <v>4779</v>
      </c>
      <c r="K107" s="2" t="s">
        <v>787</v>
      </c>
    </row>
    <row r="108" spans="1:11" ht="15.35" hidden="1" x14ac:dyDescent="0.55000000000000004">
      <c r="A108" s="20">
        <v>849</v>
      </c>
      <c r="B108" s="2" t="s">
        <v>153</v>
      </c>
      <c r="C108" s="2" t="s">
        <v>154</v>
      </c>
      <c r="D108" s="20">
        <v>2024</v>
      </c>
      <c r="E108" s="2" t="s">
        <v>4777</v>
      </c>
      <c r="F108" s="2" t="s">
        <v>870</v>
      </c>
      <c r="G108" s="21">
        <v>29750000</v>
      </c>
      <c r="H108" s="23">
        <v>2.98E-2</v>
      </c>
      <c r="I108" s="37" t="s">
        <v>4778</v>
      </c>
      <c r="J108" s="2" t="s">
        <v>4779</v>
      </c>
      <c r="K108" s="2" t="s">
        <v>813</v>
      </c>
    </row>
    <row r="109" spans="1:11" ht="15.35" hidden="1" x14ac:dyDescent="0.55000000000000004">
      <c r="A109" s="20">
        <v>850</v>
      </c>
      <c r="B109" s="2" t="s">
        <v>153</v>
      </c>
      <c r="C109" s="2" t="s">
        <v>154</v>
      </c>
      <c r="D109" s="20">
        <v>2024</v>
      </c>
      <c r="E109" s="2" t="s">
        <v>4777</v>
      </c>
      <c r="F109" s="2" t="s">
        <v>4796</v>
      </c>
      <c r="G109" s="21">
        <v>29750000</v>
      </c>
      <c r="H109" s="23">
        <v>2.98E-2</v>
      </c>
      <c r="I109" s="37" t="s">
        <v>4778</v>
      </c>
      <c r="J109" s="2" t="s">
        <v>4779</v>
      </c>
      <c r="K109" s="2" t="s">
        <v>789</v>
      </c>
    </row>
    <row r="110" spans="1:11" ht="15.35" hidden="1" x14ac:dyDescent="0.55000000000000004">
      <c r="A110" s="20">
        <v>816</v>
      </c>
      <c r="B110" s="2" t="s">
        <v>153</v>
      </c>
      <c r="C110" s="2" t="s">
        <v>154</v>
      </c>
      <c r="D110" s="20">
        <v>2024</v>
      </c>
      <c r="E110" s="2" t="s">
        <v>4777</v>
      </c>
      <c r="F110" s="2" t="s">
        <v>4797</v>
      </c>
      <c r="G110" s="21">
        <v>25869275</v>
      </c>
      <c r="H110" s="23">
        <v>2.5899999999999999E-2</v>
      </c>
      <c r="I110" s="37" t="s">
        <v>4778</v>
      </c>
      <c r="J110" s="2" t="s">
        <v>4783</v>
      </c>
      <c r="K110" s="2" t="s">
        <v>793</v>
      </c>
    </row>
    <row r="111" spans="1:11" ht="15.35" hidden="1" x14ac:dyDescent="0.55000000000000004">
      <c r="A111" s="20">
        <v>894</v>
      </c>
      <c r="B111" s="2" t="s">
        <v>153</v>
      </c>
      <c r="C111" s="2" t="s">
        <v>154</v>
      </c>
      <c r="D111" s="20">
        <v>2024</v>
      </c>
      <c r="E111" s="2" t="s">
        <v>4777</v>
      </c>
      <c r="F111" s="2" t="s">
        <v>875</v>
      </c>
      <c r="G111" s="21">
        <v>14870000</v>
      </c>
      <c r="H111" s="23">
        <v>1.49E-2</v>
      </c>
      <c r="I111" s="37" t="s">
        <v>4778</v>
      </c>
      <c r="J111" s="2" t="s">
        <v>4779</v>
      </c>
      <c r="K111" s="2" t="s">
        <v>813</v>
      </c>
    </row>
    <row r="112" spans="1:11" ht="15.35" hidden="1" x14ac:dyDescent="0.55000000000000004">
      <c r="A112" s="20">
        <v>817</v>
      </c>
      <c r="B112" s="2" t="s">
        <v>153</v>
      </c>
      <c r="C112" s="2" t="s">
        <v>154</v>
      </c>
      <c r="D112" s="20">
        <v>2024</v>
      </c>
      <c r="E112" s="2" t="s">
        <v>4777</v>
      </c>
      <c r="F112" s="2" t="s">
        <v>4782</v>
      </c>
      <c r="G112" s="21">
        <v>14110337</v>
      </c>
      <c r="H112" s="23">
        <v>1.41E-2</v>
      </c>
      <c r="I112" s="37" t="s">
        <v>4778</v>
      </c>
      <c r="J112" s="2" t="s">
        <v>4783</v>
      </c>
      <c r="K112" s="2" t="s">
        <v>817</v>
      </c>
    </row>
    <row r="113" spans="1:11" ht="15.35" hidden="1" x14ac:dyDescent="0.55000000000000004">
      <c r="A113" s="20">
        <v>887</v>
      </c>
      <c r="B113" s="2" t="s">
        <v>153</v>
      </c>
      <c r="C113" s="2" t="s">
        <v>154</v>
      </c>
      <c r="D113" s="20">
        <v>2024</v>
      </c>
      <c r="E113" s="2" t="s">
        <v>4777</v>
      </c>
      <c r="F113" s="2" t="s">
        <v>904</v>
      </c>
      <c r="G113" s="21">
        <v>12651282</v>
      </c>
      <c r="H113" s="23">
        <v>1.2699999999999999E-2</v>
      </c>
      <c r="I113" s="37" t="s">
        <v>4778</v>
      </c>
      <c r="J113" s="2" t="s">
        <v>4783</v>
      </c>
      <c r="K113" s="2" t="s">
        <v>787</v>
      </c>
    </row>
    <row r="114" spans="1:11" ht="15.35" hidden="1" x14ac:dyDescent="0.55000000000000004">
      <c r="A114" s="20">
        <v>888</v>
      </c>
      <c r="B114" s="2" t="s">
        <v>153</v>
      </c>
      <c r="C114" s="2" t="s">
        <v>154</v>
      </c>
      <c r="D114" s="20">
        <v>2024</v>
      </c>
      <c r="E114" s="2" t="s">
        <v>4777</v>
      </c>
      <c r="F114" s="2" t="s">
        <v>819</v>
      </c>
      <c r="G114" s="21">
        <v>12255422</v>
      </c>
      <c r="H114" s="23">
        <v>1.23E-2</v>
      </c>
      <c r="I114" s="37" t="s">
        <v>4778</v>
      </c>
      <c r="J114" s="2" t="s">
        <v>4783</v>
      </c>
      <c r="K114" s="2" t="s">
        <v>817</v>
      </c>
    </row>
    <row r="115" spans="1:11" ht="15.35" hidden="1" x14ac:dyDescent="0.55000000000000004">
      <c r="A115" s="20">
        <v>885</v>
      </c>
      <c r="B115" s="2" t="s">
        <v>153</v>
      </c>
      <c r="C115" s="2" t="s">
        <v>154</v>
      </c>
      <c r="D115" s="20">
        <v>2024</v>
      </c>
      <c r="E115" s="2" t="s">
        <v>4777</v>
      </c>
      <c r="F115" s="2" t="s">
        <v>968</v>
      </c>
      <c r="G115" s="21">
        <v>8900000</v>
      </c>
      <c r="H115" s="23">
        <v>8.8999999999999999E-3</v>
      </c>
      <c r="I115" s="37" t="s">
        <v>4778</v>
      </c>
      <c r="J115" s="2" t="s">
        <v>4779</v>
      </c>
      <c r="K115" s="2" t="s">
        <v>787</v>
      </c>
    </row>
    <row r="116" spans="1:11" ht="15.35" hidden="1" x14ac:dyDescent="0.55000000000000004">
      <c r="A116" s="20">
        <v>889</v>
      </c>
      <c r="B116" s="2" t="s">
        <v>153</v>
      </c>
      <c r="C116" s="2" t="s">
        <v>154</v>
      </c>
      <c r="D116" s="20">
        <v>2024</v>
      </c>
      <c r="E116" s="2" t="s">
        <v>4777</v>
      </c>
      <c r="F116" s="2" t="s">
        <v>4787</v>
      </c>
      <c r="G116" s="21">
        <v>8517440</v>
      </c>
      <c r="H116" s="23">
        <v>8.5000000000000006E-3</v>
      </c>
      <c r="I116" s="37" t="s">
        <v>4778</v>
      </c>
      <c r="J116" s="2" t="s">
        <v>4783</v>
      </c>
      <c r="K116" s="2" t="s">
        <v>798</v>
      </c>
    </row>
    <row r="117" spans="1:11" ht="15.35" hidden="1" x14ac:dyDescent="0.55000000000000004">
      <c r="A117" s="20">
        <v>890</v>
      </c>
      <c r="B117" s="2" t="s">
        <v>153</v>
      </c>
      <c r="C117" s="2" t="s">
        <v>154</v>
      </c>
      <c r="D117" s="20">
        <v>2024</v>
      </c>
      <c r="E117" s="2" t="s">
        <v>4777</v>
      </c>
      <c r="F117" s="2" t="s">
        <v>984</v>
      </c>
      <c r="G117" s="21">
        <v>7733089</v>
      </c>
      <c r="H117" s="23">
        <v>7.7000000000000002E-3</v>
      </c>
      <c r="I117" s="37" t="s">
        <v>4778</v>
      </c>
      <c r="J117" s="2" t="s">
        <v>4783</v>
      </c>
      <c r="K117" s="2" t="s">
        <v>789</v>
      </c>
    </row>
    <row r="118" spans="1:11" ht="15.35" hidden="1" x14ac:dyDescent="0.55000000000000004">
      <c r="A118" s="20">
        <v>891</v>
      </c>
      <c r="B118" s="2" t="s">
        <v>153</v>
      </c>
      <c r="C118" s="2" t="s">
        <v>154</v>
      </c>
      <c r="D118" s="20">
        <v>2024</v>
      </c>
      <c r="E118" s="2" t="s">
        <v>4777</v>
      </c>
      <c r="F118" s="2" t="s">
        <v>968</v>
      </c>
      <c r="G118" s="21">
        <v>5772581</v>
      </c>
      <c r="H118" s="23">
        <v>5.7999999999999996E-3</v>
      </c>
      <c r="I118" s="37" t="s">
        <v>4778</v>
      </c>
      <c r="J118" s="2" t="s">
        <v>4783</v>
      </c>
      <c r="K118" s="2" t="s">
        <v>787</v>
      </c>
    </row>
    <row r="119" spans="1:11" ht="15.35" hidden="1" x14ac:dyDescent="0.55000000000000004">
      <c r="A119" s="20">
        <v>892</v>
      </c>
      <c r="B119" s="2" t="s">
        <v>153</v>
      </c>
      <c r="C119" s="2" t="s">
        <v>154</v>
      </c>
      <c r="D119" s="20">
        <v>2024</v>
      </c>
      <c r="E119" s="2" t="s">
        <v>4777</v>
      </c>
      <c r="F119" s="2" t="s">
        <v>1198</v>
      </c>
      <c r="G119" s="21">
        <v>5285953</v>
      </c>
      <c r="H119" s="23">
        <v>5.3E-3</v>
      </c>
      <c r="I119" s="37" t="s">
        <v>4778</v>
      </c>
      <c r="J119" s="2" t="s">
        <v>4783</v>
      </c>
      <c r="K119" s="2" t="s">
        <v>817</v>
      </c>
    </row>
    <row r="120" spans="1:11" ht="15.35" hidden="1" x14ac:dyDescent="0.55000000000000004">
      <c r="A120" s="20">
        <v>886</v>
      </c>
      <c r="B120" s="2" t="s">
        <v>153</v>
      </c>
      <c r="C120" s="2" t="s">
        <v>154</v>
      </c>
      <c r="D120" s="20">
        <v>2024</v>
      </c>
      <c r="E120" s="2" t="s">
        <v>4777</v>
      </c>
      <c r="F120" s="2" t="s">
        <v>4798</v>
      </c>
      <c r="G120" s="21">
        <v>4815229</v>
      </c>
      <c r="H120" s="23">
        <v>4.7999999999999996E-3</v>
      </c>
      <c r="I120" s="37" t="s">
        <v>4778</v>
      </c>
      <c r="J120" s="2" t="s">
        <v>4783</v>
      </c>
      <c r="K120" s="2" t="s">
        <v>783</v>
      </c>
    </row>
    <row r="121" spans="1:11" ht="15.35" hidden="1" x14ac:dyDescent="0.55000000000000004">
      <c r="A121" s="20">
        <v>893</v>
      </c>
      <c r="B121" s="2" t="s">
        <v>153</v>
      </c>
      <c r="C121" s="2" t="s">
        <v>154</v>
      </c>
      <c r="D121" s="20">
        <v>2024</v>
      </c>
      <c r="E121" s="2" t="s">
        <v>4777</v>
      </c>
      <c r="F121" s="2" t="s">
        <v>4799</v>
      </c>
      <c r="G121" s="21">
        <v>4201254</v>
      </c>
      <c r="H121" s="23">
        <v>4.1999999999999997E-3</v>
      </c>
      <c r="I121" s="37" t="s">
        <v>4778</v>
      </c>
      <c r="J121" s="2" t="s">
        <v>4783</v>
      </c>
      <c r="K121" s="2" t="s">
        <v>783</v>
      </c>
    </row>
    <row r="122" spans="1:11" ht="15.35" hidden="1" x14ac:dyDescent="0.55000000000000004">
      <c r="A122" s="20">
        <v>876</v>
      </c>
      <c r="B122" s="2" t="s">
        <v>153</v>
      </c>
      <c r="C122" s="2" t="s">
        <v>154</v>
      </c>
      <c r="D122" s="20">
        <v>2024</v>
      </c>
      <c r="E122" s="2" t="s">
        <v>4792</v>
      </c>
      <c r="F122" s="2" t="s">
        <v>871</v>
      </c>
      <c r="G122" s="21">
        <v>330000000</v>
      </c>
      <c r="H122" s="23">
        <v>0.33</v>
      </c>
      <c r="I122" s="23">
        <v>0</v>
      </c>
      <c r="J122" s="2" t="s">
        <v>4779</v>
      </c>
      <c r="K122" s="2" t="s">
        <v>807</v>
      </c>
    </row>
    <row r="123" spans="1:11" ht="15.35" hidden="1" x14ac:dyDescent="0.55000000000000004">
      <c r="A123" s="20">
        <v>877</v>
      </c>
      <c r="B123" s="2" t="s">
        <v>153</v>
      </c>
      <c r="C123" s="2" t="s">
        <v>154</v>
      </c>
      <c r="D123" s="20">
        <v>2024</v>
      </c>
      <c r="E123" s="2" t="s">
        <v>4792</v>
      </c>
      <c r="F123" s="2" t="s">
        <v>874</v>
      </c>
      <c r="G123" s="21">
        <v>297500000</v>
      </c>
      <c r="H123" s="23">
        <v>0.29749999999999999</v>
      </c>
      <c r="I123" s="23">
        <v>0</v>
      </c>
      <c r="J123" s="2" t="s">
        <v>4779</v>
      </c>
      <c r="K123" s="2" t="s">
        <v>783</v>
      </c>
    </row>
    <row r="124" spans="1:11" ht="15.35" hidden="1" x14ac:dyDescent="0.55000000000000004">
      <c r="A124" s="20">
        <v>878</v>
      </c>
      <c r="B124" s="2" t="s">
        <v>153</v>
      </c>
      <c r="C124" s="2" t="s">
        <v>154</v>
      </c>
      <c r="D124" s="20">
        <v>2024</v>
      </c>
      <c r="E124" s="2" t="s">
        <v>4792</v>
      </c>
      <c r="F124" s="2" t="s">
        <v>4780</v>
      </c>
      <c r="G124" s="21">
        <v>95000000</v>
      </c>
      <c r="H124" s="23">
        <v>9.5000000000000001E-2</v>
      </c>
      <c r="I124" s="23">
        <v>0</v>
      </c>
      <c r="J124" s="2" t="s">
        <v>4779</v>
      </c>
      <c r="K124" s="2" t="s">
        <v>789</v>
      </c>
    </row>
    <row r="125" spans="1:11" ht="15.35" hidden="1" x14ac:dyDescent="0.55000000000000004">
      <c r="A125" s="20">
        <v>879</v>
      </c>
      <c r="B125" s="2" t="s">
        <v>153</v>
      </c>
      <c r="C125" s="2" t="s">
        <v>154</v>
      </c>
      <c r="D125" s="20">
        <v>2024</v>
      </c>
      <c r="E125" s="2" t="s">
        <v>4792</v>
      </c>
      <c r="F125" s="2" t="s">
        <v>788</v>
      </c>
      <c r="G125" s="21">
        <v>29800000</v>
      </c>
      <c r="H125" s="23">
        <v>2.98E-2</v>
      </c>
      <c r="I125" s="23">
        <v>0</v>
      </c>
      <c r="J125" s="2" t="s">
        <v>4779</v>
      </c>
      <c r="K125" s="2" t="s">
        <v>787</v>
      </c>
    </row>
    <row r="126" spans="1:11" ht="15.35" hidden="1" x14ac:dyDescent="0.55000000000000004">
      <c r="A126" s="20">
        <v>880</v>
      </c>
      <c r="B126" s="2" t="s">
        <v>153</v>
      </c>
      <c r="C126" s="2" t="s">
        <v>154</v>
      </c>
      <c r="D126" s="20">
        <v>2024</v>
      </c>
      <c r="E126" s="2" t="s">
        <v>4792</v>
      </c>
      <c r="F126" s="2" t="s">
        <v>870</v>
      </c>
      <c r="G126" s="21">
        <v>29750000</v>
      </c>
      <c r="H126" s="23">
        <v>2.98E-2</v>
      </c>
      <c r="I126" s="23">
        <v>0</v>
      </c>
      <c r="J126" s="2" t="s">
        <v>4779</v>
      </c>
      <c r="K126" s="2" t="s">
        <v>813</v>
      </c>
    </row>
    <row r="127" spans="1:11" ht="15.35" hidden="1" x14ac:dyDescent="0.55000000000000004">
      <c r="A127" s="20">
        <v>881</v>
      </c>
      <c r="B127" s="2" t="s">
        <v>153</v>
      </c>
      <c r="C127" s="2" t="s">
        <v>154</v>
      </c>
      <c r="D127" s="20">
        <v>2024</v>
      </c>
      <c r="E127" s="2" t="s">
        <v>4792</v>
      </c>
      <c r="F127" s="2" t="s">
        <v>4796</v>
      </c>
      <c r="G127" s="21">
        <v>29750000</v>
      </c>
      <c r="H127" s="23">
        <v>2.98E-2</v>
      </c>
      <c r="I127" s="23">
        <v>0</v>
      </c>
      <c r="J127" s="2" t="s">
        <v>4779</v>
      </c>
      <c r="K127" s="2" t="s">
        <v>789</v>
      </c>
    </row>
    <row r="128" spans="1:11" ht="15.35" hidden="1" x14ac:dyDescent="0.55000000000000004">
      <c r="A128" s="20">
        <v>882</v>
      </c>
      <c r="B128" s="2" t="s">
        <v>153</v>
      </c>
      <c r="C128" s="2" t="s">
        <v>154</v>
      </c>
      <c r="D128" s="20">
        <v>2024</v>
      </c>
      <c r="E128" s="2" t="s">
        <v>4792</v>
      </c>
      <c r="F128" s="2" t="s">
        <v>875</v>
      </c>
      <c r="G128" s="21">
        <v>14870000</v>
      </c>
      <c r="H128" s="23">
        <v>1.49E-2</v>
      </c>
      <c r="I128" s="23">
        <v>0</v>
      </c>
      <c r="J128" s="2" t="s">
        <v>4779</v>
      </c>
      <c r="K128" s="2" t="s">
        <v>813</v>
      </c>
    </row>
    <row r="129" spans="1:11" ht="15.35" hidden="1" x14ac:dyDescent="0.55000000000000004">
      <c r="A129" s="38">
        <v>884</v>
      </c>
      <c r="B129" s="39" t="s">
        <v>153</v>
      </c>
      <c r="C129" s="39" t="s">
        <v>154</v>
      </c>
      <c r="D129" s="38">
        <v>2024</v>
      </c>
      <c r="E129" s="39" t="s">
        <v>4792</v>
      </c>
      <c r="F129" s="39" t="s">
        <v>926</v>
      </c>
      <c r="G129" s="40">
        <v>13445580</v>
      </c>
      <c r="H129" s="41">
        <v>1.34E-2</v>
      </c>
      <c r="I129" s="41">
        <v>1.34E-2</v>
      </c>
      <c r="J129" s="39" t="s">
        <v>4783</v>
      </c>
      <c r="K129" s="39" t="s">
        <v>787</v>
      </c>
    </row>
    <row r="130" spans="1:11" ht="15.35" hidden="1" x14ac:dyDescent="0.55000000000000004">
      <c r="A130" s="20">
        <v>851</v>
      </c>
      <c r="B130" s="2" t="s">
        <v>153</v>
      </c>
      <c r="C130" s="2" t="s">
        <v>154</v>
      </c>
      <c r="D130" s="20">
        <v>2024</v>
      </c>
      <c r="E130" s="2" t="s">
        <v>4792</v>
      </c>
      <c r="F130" s="2" t="s">
        <v>968</v>
      </c>
      <c r="G130" s="21">
        <v>8900000</v>
      </c>
      <c r="H130" s="23">
        <v>8.8999999999999999E-3</v>
      </c>
      <c r="I130" s="23">
        <v>0</v>
      </c>
      <c r="J130" s="2" t="s">
        <v>4779</v>
      </c>
      <c r="K130" s="2" t="s">
        <v>787</v>
      </c>
    </row>
    <row r="131" spans="1:11" ht="15.35" hidden="1" x14ac:dyDescent="0.55000000000000004">
      <c r="A131" s="20">
        <v>883</v>
      </c>
      <c r="B131" s="2" t="s">
        <v>153</v>
      </c>
      <c r="C131" s="2" t="s">
        <v>154</v>
      </c>
      <c r="D131" s="20">
        <v>2024</v>
      </c>
      <c r="E131" s="2" t="s">
        <v>4792</v>
      </c>
      <c r="F131" s="2" t="s">
        <v>904</v>
      </c>
      <c r="G131" s="21">
        <v>8742082</v>
      </c>
      <c r="H131" s="23">
        <v>8.6999999999999994E-3</v>
      </c>
      <c r="I131" s="23">
        <v>-4.0000000000000001E-3</v>
      </c>
      <c r="J131" s="2" t="s">
        <v>4783</v>
      </c>
      <c r="K131" s="2" t="s">
        <v>787</v>
      </c>
    </row>
    <row r="132" spans="1:11" ht="15.35" hidden="1" x14ac:dyDescent="0.55000000000000004">
      <c r="A132" s="38">
        <v>818</v>
      </c>
      <c r="B132" s="39" t="s">
        <v>153</v>
      </c>
      <c r="C132" s="39" t="s">
        <v>154</v>
      </c>
      <c r="D132" s="38">
        <v>2024</v>
      </c>
      <c r="E132" s="39" t="s">
        <v>4792</v>
      </c>
      <c r="F132" s="39" t="s">
        <v>1179</v>
      </c>
      <c r="G132" s="40">
        <v>8000000</v>
      </c>
      <c r="H132" s="41">
        <v>8.0000000000000002E-3</v>
      </c>
      <c r="I132" s="41">
        <v>8.0000000000000002E-3</v>
      </c>
      <c r="J132" s="39" t="s">
        <v>4783</v>
      </c>
      <c r="K132" s="39" t="s">
        <v>787</v>
      </c>
    </row>
    <row r="133" spans="1:11" ht="15.35" hidden="1" x14ac:dyDescent="0.55000000000000004">
      <c r="A133" s="38">
        <v>845</v>
      </c>
      <c r="B133" s="39" t="s">
        <v>153</v>
      </c>
      <c r="C133" s="39" t="s">
        <v>154</v>
      </c>
      <c r="D133" s="38">
        <v>2024</v>
      </c>
      <c r="E133" s="39" t="s">
        <v>4792</v>
      </c>
      <c r="F133" s="39" t="s">
        <v>892</v>
      </c>
      <c r="G133" s="40">
        <v>6479111</v>
      </c>
      <c r="H133" s="41">
        <v>6.4999999999999997E-3</v>
      </c>
      <c r="I133" s="41">
        <v>6.4999999999999997E-3</v>
      </c>
      <c r="J133" s="39" t="s">
        <v>4783</v>
      </c>
      <c r="K133" s="39" t="s">
        <v>787</v>
      </c>
    </row>
    <row r="134" spans="1:11" ht="15.35" hidden="1" x14ac:dyDescent="0.55000000000000004">
      <c r="A134" s="20">
        <v>819</v>
      </c>
      <c r="B134" s="2" t="s">
        <v>153</v>
      </c>
      <c r="C134" s="2" t="s">
        <v>154</v>
      </c>
      <c r="D134" s="20">
        <v>2024</v>
      </c>
      <c r="E134" s="2" t="s">
        <v>4792</v>
      </c>
      <c r="F134" s="2" t="s">
        <v>4782</v>
      </c>
      <c r="G134" s="21">
        <v>6486769</v>
      </c>
      <c r="H134" s="23">
        <v>6.4999999999999997E-3</v>
      </c>
      <c r="I134" s="23">
        <v>-7.6E-3</v>
      </c>
      <c r="J134" s="2" t="s">
        <v>4783</v>
      </c>
      <c r="K134" s="2" t="s">
        <v>817</v>
      </c>
    </row>
    <row r="135" spans="1:11" ht="15.35" hidden="1" x14ac:dyDescent="0.55000000000000004">
      <c r="A135" s="20">
        <v>846</v>
      </c>
      <c r="B135" s="2" t="s">
        <v>153</v>
      </c>
      <c r="C135" s="2" t="s">
        <v>154</v>
      </c>
      <c r="D135" s="20">
        <v>2024</v>
      </c>
      <c r="E135" s="2" t="s">
        <v>4792</v>
      </c>
      <c r="F135" s="2" t="s">
        <v>968</v>
      </c>
      <c r="G135" s="21">
        <v>5979381</v>
      </c>
      <c r="H135" s="23">
        <v>6.0000000000000001E-3</v>
      </c>
      <c r="I135" s="23">
        <v>2.0000000000000001E-4</v>
      </c>
      <c r="J135" s="2" t="s">
        <v>4783</v>
      </c>
      <c r="K135" s="2" t="s">
        <v>787</v>
      </c>
    </row>
    <row r="136" spans="1:11" ht="15.35" hidden="1" x14ac:dyDescent="0.55000000000000004">
      <c r="A136" s="38">
        <v>848</v>
      </c>
      <c r="B136" s="39" t="s">
        <v>153</v>
      </c>
      <c r="C136" s="39" t="s">
        <v>154</v>
      </c>
      <c r="D136" s="38">
        <v>2024</v>
      </c>
      <c r="E136" s="39" t="s">
        <v>4792</v>
      </c>
      <c r="F136" s="39" t="s">
        <v>4800</v>
      </c>
      <c r="G136" s="40">
        <v>5786604</v>
      </c>
      <c r="H136" s="41">
        <v>5.7999999999999996E-3</v>
      </c>
      <c r="I136" s="41">
        <v>5.7999999999999996E-3</v>
      </c>
      <c r="J136" s="39" t="s">
        <v>4783</v>
      </c>
      <c r="K136" s="39" t="s">
        <v>793</v>
      </c>
    </row>
    <row r="137" spans="1:11" ht="15.35" hidden="1" x14ac:dyDescent="0.55000000000000004">
      <c r="A137" s="20">
        <v>847</v>
      </c>
      <c r="B137" s="2" t="s">
        <v>153</v>
      </c>
      <c r="C137" s="2" t="s">
        <v>154</v>
      </c>
      <c r="D137" s="20">
        <v>2024</v>
      </c>
      <c r="E137" s="2" t="s">
        <v>4792</v>
      </c>
      <c r="F137" s="2" t="s">
        <v>984</v>
      </c>
      <c r="G137" s="21">
        <v>5833089</v>
      </c>
      <c r="H137" s="23">
        <v>5.7999999999999996E-3</v>
      </c>
      <c r="I137" s="23">
        <v>-1.9E-3</v>
      </c>
      <c r="J137" s="2" t="s">
        <v>4783</v>
      </c>
      <c r="K137" s="2" t="s">
        <v>789</v>
      </c>
    </row>
    <row r="138" spans="1:11" ht="15.35" hidden="1" x14ac:dyDescent="0.55000000000000004">
      <c r="A138" s="20">
        <v>874</v>
      </c>
      <c r="B138" s="2" t="s">
        <v>153</v>
      </c>
      <c r="C138" s="2" t="s">
        <v>154</v>
      </c>
      <c r="D138" s="20">
        <v>2024</v>
      </c>
      <c r="E138" s="2" t="s">
        <v>4792</v>
      </c>
      <c r="F138" s="2" t="s">
        <v>1198</v>
      </c>
      <c r="G138" s="21">
        <v>5285953</v>
      </c>
      <c r="H138" s="23">
        <v>5.3E-3</v>
      </c>
      <c r="I138" s="23">
        <v>0</v>
      </c>
      <c r="J138" s="2" t="s">
        <v>4783</v>
      </c>
      <c r="K138" s="2" t="s">
        <v>817</v>
      </c>
    </row>
    <row r="139" spans="1:11" ht="15.35" hidden="1" x14ac:dyDescent="0.55000000000000004">
      <c r="A139" s="38">
        <v>875</v>
      </c>
      <c r="B139" s="39" t="s">
        <v>153</v>
      </c>
      <c r="C139" s="39" t="s">
        <v>154</v>
      </c>
      <c r="D139" s="38">
        <v>2024</v>
      </c>
      <c r="E139" s="39" t="s">
        <v>4792</v>
      </c>
      <c r="F139" s="39" t="s">
        <v>4801</v>
      </c>
      <c r="G139" s="40">
        <v>5217044</v>
      </c>
      <c r="H139" s="41">
        <v>5.1999999999999998E-3</v>
      </c>
      <c r="I139" s="41">
        <v>5.1999999999999998E-3</v>
      </c>
      <c r="J139" s="39" t="s">
        <v>4783</v>
      </c>
      <c r="K139" s="39" t="s">
        <v>789</v>
      </c>
    </row>
    <row r="140" spans="1:11" ht="15.35" hidden="1" x14ac:dyDescent="0.55000000000000004">
      <c r="A140" s="42"/>
      <c r="B140" s="43" t="s">
        <v>153</v>
      </c>
      <c r="C140" s="43" t="s">
        <v>154</v>
      </c>
      <c r="D140" s="44">
        <v>2024</v>
      </c>
      <c r="E140" s="43" t="s">
        <v>4792</v>
      </c>
      <c r="F140" s="43" t="s">
        <v>819</v>
      </c>
      <c r="G140" s="45"/>
      <c r="H140" s="46">
        <v>0</v>
      </c>
      <c r="I140" s="46">
        <v>-1.23E-2</v>
      </c>
      <c r="J140" s="43" t="s">
        <v>4783</v>
      </c>
      <c r="K140" s="43" t="s">
        <v>817</v>
      </c>
    </row>
    <row r="141" spans="1:11" ht="15.35" hidden="1" x14ac:dyDescent="0.55000000000000004">
      <c r="A141" s="42"/>
      <c r="B141" s="43" t="s">
        <v>153</v>
      </c>
      <c r="C141" s="43" t="s">
        <v>154</v>
      </c>
      <c r="D141" s="44">
        <v>2024</v>
      </c>
      <c r="E141" s="43" t="s">
        <v>4792</v>
      </c>
      <c r="F141" s="43" t="s">
        <v>4787</v>
      </c>
      <c r="G141" s="45"/>
      <c r="H141" s="46">
        <v>0</v>
      </c>
      <c r="I141" s="46">
        <v>-8.5000000000000006E-3</v>
      </c>
      <c r="J141" s="43" t="s">
        <v>4783</v>
      </c>
      <c r="K141" s="43" t="s">
        <v>798</v>
      </c>
    </row>
    <row r="142" spans="1:11" ht="15.35" hidden="1" x14ac:dyDescent="0.55000000000000004">
      <c r="A142" s="42"/>
      <c r="B142" s="43" t="s">
        <v>153</v>
      </c>
      <c r="C142" s="43" t="s">
        <v>154</v>
      </c>
      <c r="D142" s="44">
        <v>2024</v>
      </c>
      <c r="E142" s="43" t="s">
        <v>4792</v>
      </c>
      <c r="F142" s="43" t="s">
        <v>4799</v>
      </c>
      <c r="G142" s="45"/>
      <c r="H142" s="46">
        <v>0</v>
      </c>
      <c r="I142" s="46">
        <v>-4.1999999999999997E-3</v>
      </c>
      <c r="J142" s="43" t="s">
        <v>4783</v>
      </c>
      <c r="K142" s="43" t="s">
        <v>783</v>
      </c>
    </row>
    <row r="143" spans="1:11" ht="15.35" hidden="1" x14ac:dyDescent="0.55000000000000004">
      <c r="A143" s="42"/>
      <c r="B143" s="43" t="s">
        <v>153</v>
      </c>
      <c r="C143" s="43" t="s">
        <v>154</v>
      </c>
      <c r="D143" s="44">
        <v>2024</v>
      </c>
      <c r="E143" s="43" t="s">
        <v>4792</v>
      </c>
      <c r="F143" s="43" t="s">
        <v>4798</v>
      </c>
      <c r="G143" s="45"/>
      <c r="H143" s="46">
        <v>0</v>
      </c>
      <c r="I143" s="46">
        <v>-4.7999999999999996E-3</v>
      </c>
      <c r="J143" s="43" t="s">
        <v>4783</v>
      </c>
      <c r="K143" s="43" t="s">
        <v>783</v>
      </c>
    </row>
    <row r="144" spans="1:11" ht="15.35" hidden="1" x14ac:dyDescent="0.55000000000000004">
      <c r="A144" s="42"/>
      <c r="B144" s="43" t="s">
        <v>153</v>
      </c>
      <c r="C144" s="43" t="s">
        <v>154</v>
      </c>
      <c r="D144" s="44">
        <v>2024</v>
      </c>
      <c r="E144" s="43" t="s">
        <v>4792</v>
      </c>
      <c r="F144" s="43" t="s">
        <v>4797</v>
      </c>
      <c r="G144" s="45"/>
      <c r="H144" s="46">
        <v>0</v>
      </c>
      <c r="I144" s="46">
        <v>-2.5899999999999999E-2</v>
      </c>
      <c r="J144" s="43" t="s">
        <v>4783</v>
      </c>
      <c r="K144" s="43" t="s">
        <v>793</v>
      </c>
    </row>
    <row r="145" spans="1:11" ht="15.35" hidden="1" x14ac:dyDescent="0.55000000000000004">
      <c r="A145" s="20">
        <v>3704</v>
      </c>
      <c r="B145" s="2" t="s">
        <v>153</v>
      </c>
      <c r="C145" s="2" t="s">
        <v>154</v>
      </c>
      <c r="D145" s="20">
        <v>2025</v>
      </c>
      <c r="E145" s="2" t="s">
        <v>4777</v>
      </c>
      <c r="F145" s="2" t="s">
        <v>871</v>
      </c>
      <c r="G145" s="21">
        <v>330000000</v>
      </c>
      <c r="H145" s="23">
        <v>0.33</v>
      </c>
      <c r="I145" s="23">
        <v>0</v>
      </c>
      <c r="J145" s="2" t="s">
        <v>4779</v>
      </c>
      <c r="K145" s="2" t="s">
        <v>807</v>
      </c>
    </row>
    <row r="146" spans="1:11" ht="15.35" hidden="1" x14ac:dyDescent="0.55000000000000004">
      <c r="A146" s="38">
        <v>3682</v>
      </c>
      <c r="B146" s="39" t="s">
        <v>153</v>
      </c>
      <c r="C146" s="39" t="s">
        <v>154</v>
      </c>
      <c r="D146" s="38">
        <v>2025</v>
      </c>
      <c r="E146" s="39" t="s">
        <v>4777</v>
      </c>
      <c r="F146" s="39" t="s">
        <v>874</v>
      </c>
      <c r="G146" s="40">
        <v>297500000</v>
      </c>
      <c r="H146" s="41">
        <v>0.29749999999999999</v>
      </c>
      <c r="I146" s="41">
        <v>0.29749999999999999</v>
      </c>
      <c r="J146" s="39" t="s">
        <v>4783</v>
      </c>
      <c r="K146" s="39" t="s">
        <v>783</v>
      </c>
    </row>
    <row r="147" spans="1:11" ht="15.35" hidden="1" x14ac:dyDescent="0.55000000000000004">
      <c r="A147" s="38">
        <v>3683</v>
      </c>
      <c r="B147" s="39" t="s">
        <v>153</v>
      </c>
      <c r="C147" s="39" t="s">
        <v>154</v>
      </c>
      <c r="D147" s="38">
        <v>2025</v>
      </c>
      <c r="E147" s="39" t="s">
        <v>4777</v>
      </c>
      <c r="F147" s="39" t="s">
        <v>4780</v>
      </c>
      <c r="G147" s="40">
        <v>95000000</v>
      </c>
      <c r="H147" s="41">
        <v>9.5000000000000001E-2</v>
      </c>
      <c r="I147" s="41">
        <v>9.5000000000000001E-2</v>
      </c>
      <c r="J147" s="39" t="s">
        <v>4783</v>
      </c>
      <c r="K147" s="39" t="s">
        <v>789</v>
      </c>
    </row>
    <row r="148" spans="1:11" ht="15.35" hidden="1" x14ac:dyDescent="0.55000000000000004">
      <c r="A148" s="38">
        <v>3684</v>
      </c>
      <c r="B148" s="39" t="s">
        <v>153</v>
      </c>
      <c r="C148" s="39" t="s">
        <v>154</v>
      </c>
      <c r="D148" s="38">
        <v>2025</v>
      </c>
      <c r="E148" s="39" t="s">
        <v>4777</v>
      </c>
      <c r="F148" s="39" t="s">
        <v>788</v>
      </c>
      <c r="G148" s="40">
        <v>40856677</v>
      </c>
      <c r="H148" s="41">
        <v>4.0899999999999999E-2</v>
      </c>
      <c r="I148" s="41">
        <v>4.0899999999999999E-2</v>
      </c>
      <c r="J148" s="39" t="s">
        <v>4783</v>
      </c>
      <c r="K148" s="39" t="s">
        <v>787</v>
      </c>
    </row>
    <row r="149" spans="1:11" ht="15.35" hidden="1" x14ac:dyDescent="0.55000000000000004">
      <c r="A149" s="38">
        <v>3711</v>
      </c>
      <c r="B149" s="39" t="s">
        <v>153</v>
      </c>
      <c r="C149" s="39" t="s">
        <v>154</v>
      </c>
      <c r="D149" s="38">
        <v>2025</v>
      </c>
      <c r="E149" s="39" t="s">
        <v>4777</v>
      </c>
      <c r="F149" s="39" t="s">
        <v>1191</v>
      </c>
      <c r="G149" s="40">
        <v>30420014</v>
      </c>
      <c r="H149" s="41">
        <v>3.04E-2</v>
      </c>
      <c r="I149" s="41">
        <v>3.04E-2</v>
      </c>
      <c r="J149" s="39" t="s">
        <v>4783</v>
      </c>
      <c r="K149" s="39" t="s">
        <v>787</v>
      </c>
    </row>
    <row r="150" spans="1:11" ht="15.35" hidden="1" x14ac:dyDescent="0.55000000000000004">
      <c r="A150" s="38">
        <v>3710</v>
      </c>
      <c r="B150" s="39" t="s">
        <v>153</v>
      </c>
      <c r="C150" s="39" t="s">
        <v>154</v>
      </c>
      <c r="D150" s="38">
        <v>2025</v>
      </c>
      <c r="E150" s="39" t="s">
        <v>4777</v>
      </c>
      <c r="F150" s="39" t="s">
        <v>875</v>
      </c>
      <c r="G150" s="40">
        <v>14870000</v>
      </c>
      <c r="H150" s="41">
        <v>1.49E-2</v>
      </c>
      <c r="I150" s="41">
        <v>1.49E-2</v>
      </c>
      <c r="J150" s="39" t="s">
        <v>4783</v>
      </c>
      <c r="K150" s="39" t="s">
        <v>813</v>
      </c>
    </row>
    <row r="151" spans="1:11" ht="15.35" hidden="1" x14ac:dyDescent="0.55000000000000004">
      <c r="A151" s="38">
        <v>3709</v>
      </c>
      <c r="B151" s="39" t="s">
        <v>153</v>
      </c>
      <c r="C151" s="39" t="s">
        <v>154</v>
      </c>
      <c r="D151" s="38">
        <v>2025</v>
      </c>
      <c r="E151" s="39" t="s">
        <v>4777</v>
      </c>
      <c r="F151" s="39" t="s">
        <v>1341</v>
      </c>
      <c r="G151" s="40">
        <v>13823764</v>
      </c>
      <c r="H151" s="41">
        <v>1.38E-2</v>
      </c>
      <c r="I151" s="41">
        <v>1.38E-2</v>
      </c>
      <c r="J151" s="39" t="s">
        <v>4783</v>
      </c>
      <c r="K151" s="39" t="s">
        <v>787</v>
      </c>
    </row>
    <row r="152" spans="1:11" ht="15.35" hidden="1" x14ac:dyDescent="0.55000000000000004">
      <c r="A152" s="38">
        <v>3708</v>
      </c>
      <c r="B152" s="39" t="s">
        <v>153</v>
      </c>
      <c r="C152" s="39" t="s">
        <v>154</v>
      </c>
      <c r="D152" s="38">
        <v>2025</v>
      </c>
      <c r="E152" s="39" t="s">
        <v>4777</v>
      </c>
      <c r="F152" s="39" t="s">
        <v>4796</v>
      </c>
      <c r="G152" s="40">
        <v>7750000</v>
      </c>
      <c r="H152" s="41">
        <v>7.7999999999999996E-3</v>
      </c>
      <c r="I152" s="41">
        <v>7.7999999999999996E-3</v>
      </c>
      <c r="J152" s="39" t="s">
        <v>4783</v>
      </c>
      <c r="K152" s="39" t="s">
        <v>789</v>
      </c>
    </row>
    <row r="153" spans="1:11" ht="15.35" hidden="1" x14ac:dyDescent="0.55000000000000004">
      <c r="A153" s="38">
        <v>3707</v>
      </c>
      <c r="B153" s="39" t="s">
        <v>153</v>
      </c>
      <c r="C153" s="39" t="s">
        <v>154</v>
      </c>
      <c r="D153" s="38">
        <v>2025</v>
      </c>
      <c r="E153" s="39" t="s">
        <v>4777</v>
      </c>
      <c r="F153" s="39" t="s">
        <v>939</v>
      </c>
      <c r="G153" s="40">
        <v>7550900</v>
      </c>
      <c r="H153" s="41">
        <v>7.6E-3</v>
      </c>
      <c r="I153" s="41">
        <v>7.6E-3</v>
      </c>
      <c r="J153" s="39" t="s">
        <v>4783</v>
      </c>
      <c r="K153" s="39" t="s">
        <v>787</v>
      </c>
    </row>
    <row r="154" spans="1:11" ht="15.35" hidden="1" x14ac:dyDescent="0.55000000000000004">
      <c r="A154" s="38">
        <v>3706</v>
      </c>
      <c r="B154" s="39" t="s">
        <v>153</v>
      </c>
      <c r="C154" s="39" t="s">
        <v>154</v>
      </c>
      <c r="D154" s="38">
        <v>2025</v>
      </c>
      <c r="E154" s="39" t="s">
        <v>4777</v>
      </c>
      <c r="F154" s="39" t="s">
        <v>4802</v>
      </c>
      <c r="G154" s="40">
        <v>7004000</v>
      </c>
      <c r="H154" s="41">
        <v>7.0000000000000001E-3</v>
      </c>
      <c r="I154" s="41">
        <v>7.0000000000000001E-3</v>
      </c>
      <c r="J154" s="39" t="s">
        <v>4783</v>
      </c>
      <c r="K154" s="39" t="s">
        <v>817</v>
      </c>
    </row>
    <row r="155" spans="1:11" ht="15.35" hidden="1" x14ac:dyDescent="0.55000000000000004">
      <c r="A155" s="38">
        <v>3705</v>
      </c>
      <c r="B155" s="39" t="s">
        <v>153</v>
      </c>
      <c r="C155" s="39" t="s">
        <v>154</v>
      </c>
      <c r="D155" s="38">
        <v>2025</v>
      </c>
      <c r="E155" s="39" t="s">
        <v>4777</v>
      </c>
      <c r="F155" s="39" t="s">
        <v>4803</v>
      </c>
      <c r="G155" s="40">
        <v>6600599</v>
      </c>
      <c r="H155" s="41">
        <v>6.6E-3</v>
      </c>
      <c r="I155" s="41">
        <v>6.6E-3</v>
      </c>
      <c r="J155" s="39" t="s">
        <v>4783</v>
      </c>
      <c r="K155" s="39" t="s">
        <v>793</v>
      </c>
    </row>
    <row r="156" spans="1:11" ht="15.35" hidden="1" x14ac:dyDescent="0.55000000000000004">
      <c r="A156" s="42"/>
      <c r="B156" s="43" t="s">
        <v>153</v>
      </c>
      <c r="C156" s="43" t="s">
        <v>154</v>
      </c>
      <c r="D156" s="44">
        <v>2025</v>
      </c>
      <c r="E156" s="43" t="s">
        <v>4777</v>
      </c>
      <c r="F156" s="43" t="s">
        <v>1198</v>
      </c>
      <c r="G156" s="45"/>
      <c r="H156" s="46">
        <v>0</v>
      </c>
      <c r="I156" s="46">
        <v>-5.3E-3</v>
      </c>
      <c r="J156" s="43" t="s">
        <v>4783</v>
      </c>
      <c r="K156" s="43" t="s">
        <v>817</v>
      </c>
    </row>
    <row r="157" spans="1:11" ht="15.35" hidden="1" x14ac:dyDescent="0.55000000000000004">
      <c r="A157" s="42"/>
      <c r="B157" s="43" t="s">
        <v>153</v>
      </c>
      <c r="C157" s="43" t="s">
        <v>154</v>
      </c>
      <c r="D157" s="44">
        <v>2025</v>
      </c>
      <c r="E157" s="43" t="s">
        <v>4777</v>
      </c>
      <c r="F157" s="43" t="s">
        <v>904</v>
      </c>
      <c r="G157" s="45"/>
      <c r="H157" s="46">
        <v>0</v>
      </c>
      <c r="I157" s="46">
        <v>-8.6999999999999994E-3</v>
      </c>
      <c r="J157" s="43" t="s">
        <v>4783</v>
      </c>
      <c r="K157" s="43" t="s">
        <v>787</v>
      </c>
    </row>
    <row r="158" spans="1:11" ht="15.35" hidden="1" x14ac:dyDescent="0.55000000000000004">
      <c r="A158" s="42"/>
      <c r="B158" s="43" t="s">
        <v>153</v>
      </c>
      <c r="C158" s="43" t="s">
        <v>154</v>
      </c>
      <c r="D158" s="44">
        <v>2025</v>
      </c>
      <c r="E158" s="43" t="s">
        <v>4777</v>
      </c>
      <c r="F158" s="43" t="s">
        <v>788</v>
      </c>
      <c r="G158" s="45"/>
      <c r="H158" s="46">
        <v>0</v>
      </c>
      <c r="I158" s="46">
        <v>-2.98E-2</v>
      </c>
      <c r="J158" s="43" t="s">
        <v>4779</v>
      </c>
      <c r="K158" s="43" t="s">
        <v>787</v>
      </c>
    </row>
    <row r="159" spans="1:11" ht="15.35" hidden="1" x14ac:dyDescent="0.55000000000000004">
      <c r="A159" s="42"/>
      <c r="B159" s="43" t="s">
        <v>153</v>
      </c>
      <c r="C159" s="43" t="s">
        <v>154</v>
      </c>
      <c r="D159" s="44">
        <v>2025</v>
      </c>
      <c r="E159" s="43" t="s">
        <v>4777</v>
      </c>
      <c r="F159" s="43" t="s">
        <v>968</v>
      </c>
      <c r="G159" s="45"/>
      <c r="H159" s="46">
        <v>0</v>
      </c>
      <c r="I159" s="46">
        <v>-8.8999999999999999E-3</v>
      </c>
      <c r="J159" s="43" t="s">
        <v>4779</v>
      </c>
      <c r="K159" s="43" t="s">
        <v>787</v>
      </c>
    </row>
    <row r="160" spans="1:11" ht="15.35" hidden="1" x14ac:dyDescent="0.55000000000000004">
      <c r="A160" s="42"/>
      <c r="B160" s="43" t="s">
        <v>153</v>
      </c>
      <c r="C160" s="43" t="s">
        <v>154</v>
      </c>
      <c r="D160" s="44">
        <v>2025</v>
      </c>
      <c r="E160" s="43" t="s">
        <v>4777</v>
      </c>
      <c r="F160" s="43" t="s">
        <v>968</v>
      </c>
      <c r="G160" s="45"/>
      <c r="H160" s="46">
        <v>0</v>
      </c>
      <c r="I160" s="46">
        <v>-6.0000000000000001E-3</v>
      </c>
      <c r="J160" s="43" t="s">
        <v>4783</v>
      </c>
      <c r="K160" s="43" t="s">
        <v>787</v>
      </c>
    </row>
    <row r="161" spans="1:11" ht="15.35" hidden="1" x14ac:dyDescent="0.55000000000000004">
      <c r="A161" s="42"/>
      <c r="B161" s="43" t="s">
        <v>153</v>
      </c>
      <c r="C161" s="43" t="s">
        <v>154</v>
      </c>
      <c r="D161" s="44">
        <v>2025</v>
      </c>
      <c r="E161" s="43" t="s">
        <v>4777</v>
      </c>
      <c r="F161" s="43" t="s">
        <v>4780</v>
      </c>
      <c r="G161" s="45"/>
      <c r="H161" s="46">
        <v>0</v>
      </c>
      <c r="I161" s="46">
        <v>-9.5000000000000001E-2</v>
      </c>
      <c r="J161" s="43" t="s">
        <v>4779</v>
      </c>
      <c r="K161" s="43" t="s">
        <v>789</v>
      </c>
    </row>
    <row r="162" spans="1:11" ht="15.35" hidden="1" x14ac:dyDescent="0.55000000000000004">
      <c r="A162" s="42"/>
      <c r="B162" s="43" t="s">
        <v>153</v>
      </c>
      <c r="C162" s="43" t="s">
        <v>154</v>
      </c>
      <c r="D162" s="44">
        <v>2025</v>
      </c>
      <c r="E162" s="43" t="s">
        <v>4777</v>
      </c>
      <c r="F162" s="43" t="s">
        <v>892</v>
      </c>
      <c r="G162" s="45"/>
      <c r="H162" s="46">
        <v>0</v>
      </c>
      <c r="I162" s="46">
        <v>-6.4999999999999997E-3</v>
      </c>
      <c r="J162" s="43" t="s">
        <v>4783</v>
      </c>
      <c r="K162" s="43" t="s">
        <v>787</v>
      </c>
    </row>
    <row r="163" spans="1:11" ht="15.35" hidden="1" x14ac:dyDescent="0.55000000000000004">
      <c r="A163" s="42"/>
      <c r="B163" s="43" t="s">
        <v>153</v>
      </c>
      <c r="C163" s="43" t="s">
        <v>154</v>
      </c>
      <c r="D163" s="44">
        <v>2025</v>
      </c>
      <c r="E163" s="43" t="s">
        <v>4777</v>
      </c>
      <c r="F163" s="43" t="s">
        <v>870</v>
      </c>
      <c r="G163" s="45"/>
      <c r="H163" s="46">
        <v>0</v>
      </c>
      <c r="I163" s="46">
        <v>-2.98E-2</v>
      </c>
      <c r="J163" s="43" t="s">
        <v>4779</v>
      </c>
      <c r="K163" s="43" t="s">
        <v>813</v>
      </c>
    </row>
    <row r="164" spans="1:11" ht="15.35" hidden="1" x14ac:dyDescent="0.55000000000000004">
      <c r="A164" s="42"/>
      <c r="B164" s="43" t="s">
        <v>153</v>
      </c>
      <c r="C164" s="43" t="s">
        <v>154</v>
      </c>
      <c r="D164" s="44">
        <v>2025</v>
      </c>
      <c r="E164" s="43" t="s">
        <v>4777</v>
      </c>
      <c r="F164" s="43" t="s">
        <v>4800</v>
      </c>
      <c r="G164" s="45"/>
      <c r="H164" s="46">
        <v>0</v>
      </c>
      <c r="I164" s="46">
        <v>-5.7999999999999996E-3</v>
      </c>
      <c r="J164" s="43" t="s">
        <v>4783</v>
      </c>
      <c r="K164" s="43" t="s">
        <v>793</v>
      </c>
    </row>
    <row r="165" spans="1:11" ht="15.35" hidden="1" x14ac:dyDescent="0.55000000000000004">
      <c r="A165" s="42"/>
      <c r="B165" s="43" t="s">
        <v>153</v>
      </c>
      <c r="C165" s="43" t="s">
        <v>154</v>
      </c>
      <c r="D165" s="44">
        <v>2025</v>
      </c>
      <c r="E165" s="43" t="s">
        <v>4777</v>
      </c>
      <c r="F165" s="43" t="s">
        <v>926</v>
      </c>
      <c r="G165" s="45"/>
      <c r="H165" s="46">
        <v>0</v>
      </c>
      <c r="I165" s="46">
        <v>-1.34E-2</v>
      </c>
      <c r="J165" s="43" t="s">
        <v>4783</v>
      </c>
      <c r="K165" s="43" t="s">
        <v>787</v>
      </c>
    </row>
    <row r="166" spans="1:11" ht="15.35" hidden="1" x14ac:dyDescent="0.55000000000000004">
      <c r="A166" s="42"/>
      <c r="B166" s="43" t="s">
        <v>153</v>
      </c>
      <c r="C166" s="43" t="s">
        <v>154</v>
      </c>
      <c r="D166" s="44">
        <v>2025</v>
      </c>
      <c r="E166" s="43" t="s">
        <v>4777</v>
      </c>
      <c r="F166" s="43" t="s">
        <v>984</v>
      </c>
      <c r="G166" s="45"/>
      <c r="H166" s="46">
        <v>0</v>
      </c>
      <c r="I166" s="46">
        <v>-5.7999999999999996E-3</v>
      </c>
      <c r="J166" s="43" t="s">
        <v>4783</v>
      </c>
      <c r="K166" s="43" t="s">
        <v>789</v>
      </c>
    </row>
    <row r="167" spans="1:11" ht="15.35" hidden="1" x14ac:dyDescent="0.55000000000000004">
      <c r="A167" s="42"/>
      <c r="B167" s="43" t="s">
        <v>153</v>
      </c>
      <c r="C167" s="43" t="s">
        <v>154</v>
      </c>
      <c r="D167" s="44">
        <v>2025</v>
      </c>
      <c r="E167" s="43" t="s">
        <v>4777</v>
      </c>
      <c r="F167" s="43" t="s">
        <v>4796</v>
      </c>
      <c r="G167" s="45"/>
      <c r="H167" s="46">
        <v>0</v>
      </c>
      <c r="I167" s="46">
        <v>-2.98E-2</v>
      </c>
      <c r="J167" s="43" t="s">
        <v>4779</v>
      </c>
      <c r="K167" s="43" t="s">
        <v>789</v>
      </c>
    </row>
    <row r="168" spans="1:11" ht="15.35" hidden="1" x14ac:dyDescent="0.55000000000000004">
      <c r="A168" s="42"/>
      <c r="B168" s="43" t="s">
        <v>153</v>
      </c>
      <c r="C168" s="43" t="s">
        <v>154</v>
      </c>
      <c r="D168" s="44">
        <v>2025</v>
      </c>
      <c r="E168" s="43" t="s">
        <v>4777</v>
      </c>
      <c r="F168" s="43" t="s">
        <v>4782</v>
      </c>
      <c r="G168" s="45"/>
      <c r="H168" s="46">
        <v>0</v>
      </c>
      <c r="I168" s="46">
        <v>-6.4999999999999997E-3</v>
      </c>
      <c r="J168" s="43" t="s">
        <v>4783</v>
      </c>
      <c r="K168" s="43" t="s">
        <v>817</v>
      </c>
    </row>
    <row r="169" spans="1:11" ht="15.35" hidden="1" x14ac:dyDescent="0.55000000000000004">
      <c r="A169" s="42"/>
      <c r="B169" s="43" t="s">
        <v>153</v>
      </c>
      <c r="C169" s="43" t="s">
        <v>154</v>
      </c>
      <c r="D169" s="44">
        <v>2025</v>
      </c>
      <c r="E169" s="43" t="s">
        <v>4777</v>
      </c>
      <c r="F169" s="43" t="s">
        <v>874</v>
      </c>
      <c r="G169" s="45"/>
      <c r="H169" s="46">
        <v>0</v>
      </c>
      <c r="I169" s="46">
        <v>-0.29749999999999999</v>
      </c>
      <c r="J169" s="43" t="s">
        <v>4779</v>
      </c>
      <c r="K169" s="43" t="s">
        <v>783</v>
      </c>
    </row>
    <row r="170" spans="1:11" ht="15.35" hidden="1" x14ac:dyDescent="0.55000000000000004">
      <c r="A170" s="42"/>
      <c r="B170" s="43" t="s">
        <v>153</v>
      </c>
      <c r="C170" s="43" t="s">
        <v>154</v>
      </c>
      <c r="D170" s="44">
        <v>2025</v>
      </c>
      <c r="E170" s="43" t="s">
        <v>4777</v>
      </c>
      <c r="F170" s="43" t="s">
        <v>875</v>
      </c>
      <c r="G170" s="45"/>
      <c r="H170" s="46">
        <v>0</v>
      </c>
      <c r="I170" s="46">
        <v>-1.49E-2</v>
      </c>
      <c r="J170" s="43" t="s">
        <v>4779</v>
      </c>
      <c r="K170" s="43" t="s">
        <v>813</v>
      </c>
    </row>
    <row r="171" spans="1:11" ht="15.35" hidden="1" x14ac:dyDescent="0.55000000000000004">
      <c r="A171" s="42"/>
      <c r="B171" s="43" t="s">
        <v>153</v>
      </c>
      <c r="C171" s="43" t="s">
        <v>154</v>
      </c>
      <c r="D171" s="44">
        <v>2025</v>
      </c>
      <c r="E171" s="43" t="s">
        <v>4777</v>
      </c>
      <c r="F171" s="43" t="s">
        <v>4801</v>
      </c>
      <c r="G171" s="45"/>
      <c r="H171" s="46">
        <v>0</v>
      </c>
      <c r="I171" s="46">
        <v>-5.1999999999999998E-3</v>
      </c>
      <c r="J171" s="43" t="s">
        <v>4783</v>
      </c>
      <c r="K171" s="43" t="s">
        <v>789</v>
      </c>
    </row>
    <row r="172" spans="1:11" ht="15.35" hidden="1" x14ac:dyDescent="0.55000000000000004">
      <c r="A172" s="42"/>
      <c r="B172" s="43" t="s">
        <v>153</v>
      </c>
      <c r="C172" s="43" t="s">
        <v>154</v>
      </c>
      <c r="D172" s="44">
        <v>2025</v>
      </c>
      <c r="E172" s="43" t="s">
        <v>4777</v>
      </c>
      <c r="F172" s="43" t="s">
        <v>1179</v>
      </c>
      <c r="G172" s="45"/>
      <c r="H172" s="46">
        <v>0</v>
      </c>
      <c r="I172" s="46">
        <v>-8.0000000000000002E-3</v>
      </c>
      <c r="J172" s="43" t="s">
        <v>4783</v>
      </c>
      <c r="K172" s="43" t="s">
        <v>787</v>
      </c>
    </row>
    <row r="173" spans="1:11" ht="15.35" hidden="1" x14ac:dyDescent="0.55000000000000004">
      <c r="A173" s="20">
        <v>5224</v>
      </c>
      <c r="B173" s="2" t="s">
        <v>153</v>
      </c>
      <c r="C173" s="2" t="s">
        <v>154</v>
      </c>
      <c r="D173" s="20">
        <v>2025</v>
      </c>
      <c r="E173" s="2" t="s">
        <v>4792</v>
      </c>
      <c r="F173" s="2" t="s">
        <v>871</v>
      </c>
      <c r="G173" s="21">
        <v>330000000</v>
      </c>
      <c r="H173" s="23">
        <v>0.33</v>
      </c>
      <c r="I173" s="23">
        <v>0</v>
      </c>
      <c r="J173" s="2" t="s">
        <v>4779</v>
      </c>
      <c r="K173" s="2" t="s">
        <v>807</v>
      </c>
    </row>
    <row r="174" spans="1:11" ht="15.35" hidden="1" x14ac:dyDescent="0.55000000000000004">
      <c r="A174" s="20">
        <v>5223</v>
      </c>
      <c r="B174" s="2" t="s">
        <v>153</v>
      </c>
      <c r="C174" s="2" t="s">
        <v>154</v>
      </c>
      <c r="D174" s="20">
        <v>2025</v>
      </c>
      <c r="E174" s="2" t="s">
        <v>4792</v>
      </c>
      <c r="F174" s="2" t="s">
        <v>874</v>
      </c>
      <c r="G174" s="21">
        <v>297500000</v>
      </c>
      <c r="H174" s="23">
        <v>0.29749999999999999</v>
      </c>
      <c r="I174" s="23">
        <v>0</v>
      </c>
      <c r="J174" s="2" t="s">
        <v>4783</v>
      </c>
      <c r="K174" s="2" t="s">
        <v>783</v>
      </c>
    </row>
    <row r="175" spans="1:11" ht="15.35" hidden="1" x14ac:dyDescent="0.55000000000000004">
      <c r="A175" s="20">
        <v>5222</v>
      </c>
      <c r="B175" s="2" t="s">
        <v>153</v>
      </c>
      <c r="C175" s="2" t="s">
        <v>154</v>
      </c>
      <c r="D175" s="20">
        <v>2025</v>
      </c>
      <c r="E175" s="2" t="s">
        <v>4792</v>
      </c>
      <c r="F175" s="2" t="s">
        <v>4780</v>
      </c>
      <c r="G175" s="21">
        <v>72614825</v>
      </c>
      <c r="H175" s="23">
        <v>7.2599999999999998E-2</v>
      </c>
      <c r="I175" s="23">
        <v>-2.24E-2</v>
      </c>
      <c r="J175" s="2" t="s">
        <v>4783</v>
      </c>
      <c r="K175" s="2" t="s">
        <v>789</v>
      </c>
    </row>
    <row r="176" spans="1:11" ht="15.35" hidden="1" x14ac:dyDescent="0.55000000000000004">
      <c r="A176" s="20">
        <v>5221</v>
      </c>
      <c r="B176" s="2" t="s">
        <v>153</v>
      </c>
      <c r="C176" s="2" t="s">
        <v>154</v>
      </c>
      <c r="D176" s="20">
        <v>2025</v>
      </c>
      <c r="E176" s="2" t="s">
        <v>4792</v>
      </c>
      <c r="F176" s="2" t="s">
        <v>1191</v>
      </c>
      <c r="G176" s="21">
        <v>33127114</v>
      </c>
      <c r="H176" s="23">
        <v>3.3099999999999997E-2</v>
      </c>
      <c r="I176" s="23">
        <v>2.7000000000000001E-3</v>
      </c>
      <c r="J176" s="2" t="s">
        <v>4783</v>
      </c>
      <c r="K176" s="2" t="s">
        <v>787</v>
      </c>
    </row>
    <row r="177" spans="1:11" ht="15.35" hidden="1" x14ac:dyDescent="0.55000000000000004">
      <c r="A177" s="20">
        <v>5220</v>
      </c>
      <c r="B177" s="2" t="s">
        <v>153</v>
      </c>
      <c r="C177" s="2" t="s">
        <v>154</v>
      </c>
      <c r="D177" s="20">
        <v>2025</v>
      </c>
      <c r="E177" s="2" t="s">
        <v>4792</v>
      </c>
      <c r="F177" s="2" t="s">
        <v>788</v>
      </c>
      <c r="G177" s="21">
        <v>30290654</v>
      </c>
      <c r="H177" s="23">
        <v>3.0300000000000001E-2</v>
      </c>
      <c r="I177" s="23">
        <v>-1.06E-2</v>
      </c>
      <c r="J177" s="2" t="s">
        <v>4783</v>
      </c>
      <c r="K177" s="2" t="s">
        <v>787</v>
      </c>
    </row>
    <row r="178" spans="1:11" ht="15.35" hidden="1" x14ac:dyDescent="0.55000000000000004">
      <c r="A178" s="38">
        <v>5219</v>
      </c>
      <c r="B178" s="39" t="s">
        <v>153</v>
      </c>
      <c r="C178" s="39" t="s">
        <v>154</v>
      </c>
      <c r="D178" s="38">
        <v>2025</v>
      </c>
      <c r="E178" s="39" t="s">
        <v>4792</v>
      </c>
      <c r="F178" s="39" t="s">
        <v>864</v>
      </c>
      <c r="G178" s="40">
        <v>15576179</v>
      </c>
      <c r="H178" s="41">
        <v>1.5599999999999999E-2</v>
      </c>
      <c r="I178" s="41">
        <v>1.5599999999999999E-2</v>
      </c>
      <c r="J178" s="39" t="s">
        <v>4783</v>
      </c>
      <c r="K178" s="39" t="s">
        <v>787</v>
      </c>
    </row>
    <row r="179" spans="1:11" ht="15.35" hidden="1" x14ac:dyDescent="0.55000000000000004">
      <c r="A179" s="38">
        <v>5231</v>
      </c>
      <c r="B179" s="39" t="s">
        <v>153</v>
      </c>
      <c r="C179" s="39" t="s">
        <v>154</v>
      </c>
      <c r="D179" s="38">
        <v>2025</v>
      </c>
      <c r="E179" s="39" t="s">
        <v>4792</v>
      </c>
      <c r="F179" s="39" t="s">
        <v>4804</v>
      </c>
      <c r="G179" s="40">
        <v>14096563</v>
      </c>
      <c r="H179" s="41">
        <v>1.41E-2</v>
      </c>
      <c r="I179" s="41">
        <v>1.41E-2</v>
      </c>
      <c r="J179" s="39" t="s">
        <v>4783</v>
      </c>
      <c r="K179" s="39" t="s">
        <v>789</v>
      </c>
    </row>
    <row r="180" spans="1:11" ht="15.35" hidden="1" x14ac:dyDescent="0.55000000000000004">
      <c r="A180" s="20">
        <v>5218</v>
      </c>
      <c r="B180" s="2" t="s">
        <v>153</v>
      </c>
      <c r="C180" s="2" t="s">
        <v>154</v>
      </c>
      <c r="D180" s="20">
        <v>2025</v>
      </c>
      <c r="E180" s="2" t="s">
        <v>4792</v>
      </c>
      <c r="F180" s="2" t="s">
        <v>4803</v>
      </c>
      <c r="G180" s="21">
        <v>13586799</v>
      </c>
      <c r="H180" s="23">
        <v>1.3599999999999999E-2</v>
      </c>
      <c r="I180" s="23">
        <v>7.0000000000000001E-3</v>
      </c>
      <c r="J180" s="2" t="s">
        <v>4783</v>
      </c>
      <c r="K180" s="2" t="s">
        <v>793</v>
      </c>
    </row>
    <row r="181" spans="1:11" ht="15.35" hidden="1" x14ac:dyDescent="0.55000000000000004">
      <c r="A181" s="20">
        <v>5216</v>
      </c>
      <c r="B181" s="2" t="s">
        <v>153</v>
      </c>
      <c r="C181" s="2" t="s">
        <v>154</v>
      </c>
      <c r="D181" s="20">
        <v>2025</v>
      </c>
      <c r="E181" s="2" t="s">
        <v>4792</v>
      </c>
      <c r="F181" s="2" t="s">
        <v>1341</v>
      </c>
      <c r="G181" s="21">
        <v>11244855</v>
      </c>
      <c r="H181" s="23">
        <v>1.12E-2</v>
      </c>
      <c r="I181" s="23">
        <v>-2.5999999999999999E-3</v>
      </c>
      <c r="J181" s="2" t="s">
        <v>4783</v>
      </c>
      <c r="K181" s="2" t="s">
        <v>787</v>
      </c>
    </row>
    <row r="182" spans="1:11" ht="15.35" hidden="1" x14ac:dyDescent="0.55000000000000004">
      <c r="A182" s="38">
        <v>5215</v>
      </c>
      <c r="B182" s="39" t="s">
        <v>153</v>
      </c>
      <c r="C182" s="39" t="s">
        <v>154</v>
      </c>
      <c r="D182" s="38">
        <v>2025</v>
      </c>
      <c r="E182" s="39" t="s">
        <v>4792</v>
      </c>
      <c r="F182" s="39" t="s">
        <v>4805</v>
      </c>
      <c r="G182" s="40">
        <v>7815664</v>
      </c>
      <c r="H182" s="41">
        <v>7.7999999999999996E-3</v>
      </c>
      <c r="I182" s="41">
        <v>7.7999999999999996E-3</v>
      </c>
      <c r="J182" s="39" t="s">
        <v>4783</v>
      </c>
      <c r="K182" s="39" t="s">
        <v>817</v>
      </c>
    </row>
    <row r="183" spans="1:11" ht="15.35" hidden="1" x14ac:dyDescent="0.55000000000000004">
      <c r="A183" s="20">
        <v>5214</v>
      </c>
      <c r="B183" s="2" t="s">
        <v>153</v>
      </c>
      <c r="C183" s="2" t="s">
        <v>154</v>
      </c>
      <c r="D183" s="20">
        <v>2025</v>
      </c>
      <c r="E183" s="2" t="s">
        <v>4792</v>
      </c>
      <c r="F183" s="2" t="s">
        <v>4796</v>
      </c>
      <c r="G183" s="21">
        <v>7750000</v>
      </c>
      <c r="H183" s="23">
        <v>7.7999999999999996E-3</v>
      </c>
      <c r="I183" s="23">
        <v>0</v>
      </c>
      <c r="J183" s="2" t="s">
        <v>4783</v>
      </c>
      <c r="K183" s="2" t="s">
        <v>789</v>
      </c>
    </row>
    <row r="184" spans="1:11" ht="15.35" hidden="1" x14ac:dyDescent="0.55000000000000004">
      <c r="A184" s="42"/>
      <c r="B184" s="43" t="s">
        <v>153</v>
      </c>
      <c r="C184" s="43" t="s">
        <v>154</v>
      </c>
      <c r="D184" s="44">
        <v>2025</v>
      </c>
      <c r="E184" s="43" t="s">
        <v>4792</v>
      </c>
      <c r="F184" s="43" t="s">
        <v>4802</v>
      </c>
      <c r="G184" s="45"/>
      <c r="H184" s="46">
        <v>0</v>
      </c>
      <c r="I184" s="46">
        <v>-7.0000000000000001E-3</v>
      </c>
      <c r="J184" s="43" t="s">
        <v>4783</v>
      </c>
      <c r="K184" s="43" t="s">
        <v>817</v>
      </c>
    </row>
    <row r="185" spans="1:11" ht="15.35" hidden="1" x14ac:dyDescent="0.55000000000000004">
      <c r="A185" s="42"/>
      <c r="B185" s="43" t="s">
        <v>153</v>
      </c>
      <c r="C185" s="43" t="s">
        <v>154</v>
      </c>
      <c r="D185" s="44">
        <v>2025</v>
      </c>
      <c r="E185" s="43" t="s">
        <v>4792</v>
      </c>
      <c r="F185" s="43" t="s">
        <v>939</v>
      </c>
      <c r="G185" s="45"/>
      <c r="H185" s="46">
        <v>0</v>
      </c>
      <c r="I185" s="46">
        <v>-7.6E-3</v>
      </c>
      <c r="J185" s="43" t="s">
        <v>4783</v>
      </c>
      <c r="K185" s="43" t="s">
        <v>787</v>
      </c>
    </row>
    <row r="186" spans="1:11" ht="15.35" hidden="1" x14ac:dyDescent="0.55000000000000004">
      <c r="A186" s="42"/>
      <c r="B186" s="43" t="s">
        <v>153</v>
      </c>
      <c r="C186" s="43" t="s">
        <v>154</v>
      </c>
      <c r="D186" s="44">
        <v>2025</v>
      </c>
      <c r="E186" s="43" t="s">
        <v>4792</v>
      </c>
      <c r="F186" s="43" t="s">
        <v>875</v>
      </c>
      <c r="G186" s="45"/>
      <c r="H186" s="46">
        <v>0</v>
      </c>
      <c r="I186" s="46">
        <v>-1.49E-2</v>
      </c>
      <c r="J186" s="43" t="s">
        <v>4783</v>
      </c>
      <c r="K186" s="43" t="s">
        <v>813</v>
      </c>
    </row>
    <row r="187" spans="1:11" ht="15.35" hidden="1" x14ac:dyDescent="0.55000000000000004">
      <c r="A187" s="20">
        <v>6281</v>
      </c>
      <c r="B187" s="2" t="s">
        <v>153</v>
      </c>
      <c r="C187" s="2" t="s">
        <v>154</v>
      </c>
      <c r="D187" s="20">
        <v>2026</v>
      </c>
      <c r="E187" s="2" t="s">
        <v>4777</v>
      </c>
      <c r="F187" s="2" t="s">
        <v>871</v>
      </c>
      <c r="G187" s="21">
        <v>330000000</v>
      </c>
      <c r="H187" s="23">
        <v>0.33</v>
      </c>
      <c r="I187" s="23">
        <v>0</v>
      </c>
      <c r="J187" s="2" t="s">
        <v>4779</v>
      </c>
      <c r="K187" s="2" t="s">
        <v>807</v>
      </c>
    </row>
    <row r="188" spans="1:11" ht="15.35" hidden="1" x14ac:dyDescent="0.55000000000000004">
      <c r="A188" s="20">
        <v>6282</v>
      </c>
      <c r="B188" s="2" t="s">
        <v>153</v>
      </c>
      <c r="C188" s="2" t="s">
        <v>154</v>
      </c>
      <c r="D188" s="20">
        <v>2026</v>
      </c>
      <c r="E188" s="2" t="s">
        <v>4777</v>
      </c>
      <c r="F188" s="2" t="s">
        <v>874</v>
      </c>
      <c r="G188" s="21">
        <v>297500000</v>
      </c>
      <c r="H188" s="23">
        <v>0.29749999999999999</v>
      </c>
      <c r="I188" s="23">
        <v>0</v>
      </c>
      <c r="J188" s="2" t="s">
        <v>4783</v>
      </c>
      <c r="K188" s="2" t="s">
        <v>783</v>
      </c>
    </row>
    <row r="189" spans="1:11" ht="15.35" hidden="1" x14ac:dyDescent="0.55000000000000004">
      <c r="A189" s="20">
        <v>6283</v>
      </c>
      <c r="B189" s="2" t="s">
        <v>153</v>
      </c>
      <c r="C189" s="2" t="s">
        <v>154</v>
      </c>
      <c r="D189" s="20">
        <v>2026</v>
      </c>
      <c r="E189" s="2" t="s">
        <v>4777</v>
      </c>
      <c r="F189" s="2" t="s">
        <v>1191</v>
      </c>
      <c r="G189" s="21">
        <v>40270314</v>
      </c>
      <c r="H189" s="23">
        <v>4.0300000000000002E-2</v>
      </c>
      <c r="I189" s="23">
        <v>7.1999999999999998E-3</v>
      </c>
      <c r="J189" s="2" t="s">
        <v>4783</v>
      </c>
      <c r="K189" s="2" t="s">
        <v>787</v>
      </c>
    </row>
    <row r="190" spans="1:11" ht="15.35" hidden="1" x14ac:dyDescent="0.55000000000000004">
      <c r="A190" s="20">
        <v>6284</v>
      </c>
      <c r="B190" s="2" t="s">
        <v>153</v>
      </c>
      <c r="C190" s="2" t="s">
        <v>154</v>
      </c>
      <c r="D190" s="20">
        <v>2026</v>
      </c>
      <c r="E190" s="2" t="s">
        <v>4777</v>
      </c>
      <c r="F190" s="2" t="s">
        <v>788</v>
      </c>
      <c r="G190" s="21">
        <v>30905406</v>
      </c>
      <c r="H190" s="23">
        <v>3.09E-2</v>
      </c>
      <c r="I190" s="23">
        <v>5.9999999999999995E-4</v>
      </c>
      <c r="J190" s="2" t="s">
        <v>4783</v>
      </c>
      <c r="K190" s="2" t="s">
        <v>787</v>
      </c>
    </row>
    <row r="191" spans="1:11" ht="15.35" hidden="1" x14ac:dyDescent="0.55000000000000004">
      <c r="A191" s="20">
        <v>6285</v>
      </c>
      <c r="B191" s="2" t="s">
        <v>153</v>
      </c>
      <c r="C191" s="2" t="s">
        <v>154</v>
      </c>
      <c r="D191" s="20">
        <v>2026</v>
      </c>
      <c r="E191" s="2" t="s">
        <v>4777</v>
      </c>
      <c r="F191" s="2" t="s">
        <v>864</v>
      </c>
      <c r="G191" s="21">
        <v>23794870</v>
      </c>
      <c r="H191" s="23">
        <v>2.3800000000000002E-2</v>
      </c>
      <c r="I191" s="23">
        <v>8.2000000000000007E-3</v>
      </c>
      <c r="J191" s="2" t="s">
        <v>4783</v>
      </c>
      <c r="K191" s="2" t="s">
        <v>787</v>
      </c>
    </row>
    <row r="192" spans="1:11" ht="15.35" hidden="1" x14ac:dyDescent="0.55000000000000004">
      <c r="A192" s="38">
        <v>6286</v>
      </c>
      <c r="B192" s="39" t="s">
        <v>153</v>
      </c>
      <c r="C192" s="39" t="s">
        <v>154</v>
      </c>
      <c r="D192" s="38">
        <v>2026</v>
      </c>
      <c r="E192" s="39" t="s">
        <v>4777</v>
      </c>
      <c r="F192" s="39" t="s">
        <v>4806</v>
      </c>
      <c r="G192" s="40">
        <v>20269138</v>
      </c>
      <c r="H192" s="41">
        <v>2.0299999999999999E-2</v>
      </c>
      <c r="I192" s="41">
        <v>2.0299999999999999E-2</v>
      </c>
      <c r="J192" s="39" t="s">
        <v>4783</v>
      </c>
      <c r="K192" s="39" t="s">
        <v>789</v>
      </c>
    </row>
    <row r="193" spans="1:11" ht="15.35" hidden="1" x14ac:dyDescent="0.55000000000000004">
      <c r="A193" s="38">
        <v>6287</v>
      </c>
      <c r="B193" s="39" t="s">
        <v>153</v>
      </c>
      <c r="C193" s="39" t="s">
        <v>154</v>
      </c>
      <c r="D193" s="38">
        <v>2026</v>
      </c>
      <c r="E193" s="39" t="s">
        <v>4777</v>
      </c>
      <c r="F193" s="39" t="s">
        <v>1786</v>
      </c>
      <c r="G193" s="40">
        <v>18724546</v>
      </c>
      <c r="H193" s="41">
        <v>1.8700000000000001E-2</v>
      </c>
      <c r="I193" s="41">
        <v>1.8700000000000001E-2</v>
      </c>
      <c r="J193" s="39" t="s">
        <v>4783</v>
      </c>
      <c r="K193" s="39" t="s">
        <v>789</v>
      </c>
    </row>
    <row r="194" spans="1:11" ht="15.35" hidden="1" x14ac:dyDescent="0.55000000000000004">
      <c r="A194" s="38">
        <v>6260</v>
      </c>
      <c r="B194" s="39" t="s">
        <v>153</v>
      </c>
      <c r="C194" s="39" t="s">
        <v>154</v>
      </c>
      <c r="D194" s="38">
        <v>2026</v>
      </c>
      <c r="E194" s="39" t="s">
        <v>4777</v>
      </c>
      <c r="F194" s="39" t="s">
        <v>4807</v>
      </c>
      <c r="G194" s="40">
        <v>12916463</v>
      </c>
      <c r="H194" s="41">
        <v>1.29E-2</v>
      </c>
      <c r="I194" s="41">
        <v>1.29E-2</v>
      </c>
      <c r="J194" s="39" t="s">
        <v>4783</v>
      </c>
      <c r="K194" s="39" t="s">
        <v>811</v>
      </c>
    </row>
    <row r="195" spans="1:11" ht="15.35" hidden="1" x14ac:dyDescent="0.55000000000000004">
      <c r="A195" s="38">
        <v>6259</v>
      </c>
      <c r="B195" s="39" t="s">
        <v>153</v>
      </c>
      <c r="C195" s="39" t="s">
        <v>154</v>
      </c>
      <c r="D195" s="38">
        <v>2026</v>
      </c>
      <c r="E195" s="39" t="s">
        <v>4777</v>
      </c>
      <c r="F195" s="39" t="s">
        <v>2513</v>
      </c>
      <c r="G195" s="40">
        <v>8412740</v>
      </c>
      <c r="H195" s="41">
        <v>8.3999999999999995E-3</v>
      </c>
      <c r="I195" s="41">
        <v>8.3999999999999995E-3</v>
      </c>
      <c r="J195" s="39" t="s">
        <v>4783</v>
      </c>
      <c r="K195" s="39" t="s">
        <v>787</v>
      </c>
    </row>
    <row r="196" spans="1:11" ht="15.35" hidden="1" x14ac:dyDescent="0.55000000000000004">
      <c r="A196" s="38">
        <v>6258</v>
      </c>
      <c r="B196" s="39" t="s">
        <v>153</v>
      </c>
      <c r="C196" s="39" t="s">
        <v>154</v>
      </c>
      <c r="D196" s="38">
        <v>2026</v>
      </c>
      <c r="E196" s="39" t="s">
        <v>4777</v>
      </c>
      <c r="F196" s="39" t="s">
        <v>4808</v>
      </c>
      <c r="G196" s="40">
        <v>7750000</v>
      </c>
      <c r="H196" s="41">
        <v>7.7999999999999996E-3</v>
      </c>
      <c r="I196" s="41">
        <v>7.7999999999999996E-3</v>
      </c>
      <c r="J196" s="39" t="s">
        <v>4783</v>
      </c>
      <c r="K196" s="39" t="s">
        <v>789</v>
      </c>
    </row>
    <row r="197" spans="1:11" ht="15.35" hidden="1" x14ac:dyDescent="0.55000000000000004">
      <c r="A197" s="38">
        <v>6243</v>
      </c>
      <c r="B197" s="39" t="s">
        <v>153</v>
      </c>
      <c r="C197" s="39" t="s">
        <v>154</v>
      </c>
      <c r="D197" s="38">
        <v>2026</v>
      </c>
      <c r="E197" s="39" t="s">
        <v>4777</v>
      </c>
      <c r="F197" s="39" t="s">
        <v>939</v>
      </c>
      <c r="G197" s="40">
        <v>7178700</v>
      </c>
      <c r="H197" s="41">
        <v>7.1999999999999998E-3</v>
      </c>
      <c r="I197" s="41">
        <v>7.1999999999999998E-3</v>
      </c>
      <c r="J197" s="39" t="s">
        <v>4783</v>
      </c>
      <c r="K197" s="39" t="s">
        <v>787</v>
      </c>
    </row>
    <row r="198" spans="1:11" ht="15.35" hidden="1" x14ac:dyDescent="0.55000000000000004">
      <c r="A198" s="42"/>
      <c r="B198" s="43" t="s">
        <v>153</v>
      </c>
      <c r="C198" s="43" t="s">
        <v>154</v>
      </c>
      <c r="D198" s="44">
        <v>2026</v>
      </c>
      <c r="E198" s="43" t="s">
        <v>4777</v>
      </c>
      <c r="F198" s="43" t="s">
        <v>4803</v>
      </c>
      <c r="G198" s="45"/>
      <c r="H198" s="46">
        <v>0</v>
      </c>
      <c r="I198" s="46">
        <v>-1.3599999999999999E-2</v>
      </c>
      <c r="J198" s="43" t="s">
        <v>4783</v>
      </c>
      <c r="K198" s="43" t="s">
        <v>793</v>
      </c>
    </row>
    <row r="199" spans="1:11" ht="15.35" hidden="1" x14ac:dyDescent="0.55000000000000004">
      <c r="A199" s="42"/>
      <c r="B199" s="43" t="s">
        <v>153</v>
      </c>
      <c r="C199" s="43" t="s">
        <v>154</v>
      </c>
      <c r="D199" s="44">
        <v>2026</v>
      </c>
      <c r="E199" s="43" t="s">
        <v>4777</v>
      </c>
      <c r="F199" s="43" t="s">
        <v>4780</v>
      </c>
      <c r="G199" s="45"/>
      <c r="H199" s="46">
        <v>0</v>
      </c>
      <c r="I199" s="46">
        <v>-7.2599999999999998E-2</v>
      </c>
      <c r="J199" s="43" t="s">
        <v>4783</v>
      </c>
      <c r="K199" s="43" t="s">
        <v>789</v>
      </c>
    </row>
    <row r="200" spans="1:11" ht="15.35" hidden="1" x14ac:dyDescent="0.55000000000000004">
      <c r="A200" s="42"/>
      <c r="B200" s="43" t="s">
        <v>153</v>
      </c>
      <c r="C200" s="43" t="s">
        <v>154</v>
      </c>
      <c r="D200" s="44">
        <v>2026</v>
      </c>
      <c r="E200" s="43" t="s">
        <v>4777</v>
      </c>
      <c r="F200" s="43" t="s">
        <v>1341</v>
      </c>
      <c r="G200" s="45"/>
      <c r="H200" s="46">
        <v>0</v>
      </c>
      <c r="I200" s="46">
        <v>-1.12E-2</v>
      </c>
      <c r="J200" s="43" t="s">
        <v>4783</v>
      </c>
      <c r="K200" s="43" t="s">
        <v>787</v>
      </c>
    </row>
    <row r="201" spans="1:11" ht="15.35" hidden="1" x14ac:dyDescent="0.55000000000000004">
      <c r="A201" s="42"/>
      <c r="B201" s="43" t="s">
        <v>153</v>
      </c>
      <c r="C201" s="43" t="s">
        <v>154</v>
      </c>
      <c r="D201" s="44">
        <v>2026</v>
      </c>
      <c r="E201" s="43" t="s">
        <v>4777</v>
      </c>
      <c r="F201" s="43" t="s">
        <v>4805</v>
      </c>
      <c r="G201" s="45"/>
      <c r="H201" s="46">
        <v>0</v>
      </c>
      <c r="I201" s="46">
        <v>-7.7999999999999996E-3</v>
      </c>
      <c r="J201" s="43" t="s">
        <v>4783</v>
      </c>
      <c r="K201" s="43" t="s">
        <v>817</v>
      </c>
    </row>
    <row r="202" spans="1:11" ht="15.35" hidden="1" x14ac:dyDescent="0.55000000000000004">
      <c r="A202" s="42"/>
      <c r="B202" s="43" t="s">
        <v>153</v>
      </c>
      <c r="C202" s="43" t="s">
        <v>154</v>
      </c>
      <c r="D202" s="44">
        <v>2026</v>
      </c>
      <c r="E202" s="43" t="s">
        <v>4777</v>
      </c>
      <c r="F202" s="43" t="s">
        <v>4796</v>
      </c>
      <c r="G202" s="45"/>
      <c r="H202" s="46">
        <v>0</v>
      </c>
      <c r="I202" s="46">
        <v>-7.7999999999999996E-3</v>
      </c>
      <c r="J202" s="43" t="s">
        <v>4783</v>
      </c>
      <c r="K202" s="43" t="s">
        <v>789</v>
      </c>
    </row>
    <row r="203" spans="1:11" ht="15.35" hidden="1" x14ac:dyDescent="0.55000000000000004">
      <c r="A203" s="42"/>
      <c r="B203" s="43" t="s">
        <v>153</v>
      </c>
      <c r="C203" s="43" t="s">
        <v>154</v>
      </c>
      <c r="D203" s="44">
        <v>2026</v>
      </c>
      <c r="E203" s="43" t="s">
        <v>4777</v>
      </c>
      <c r="F203" s="43" t="s">
        <v>4804</v>
      </c>
      <c r="G203" s="45"/>
      <c r="H203" s="46">
        <v>0</v>
      </c>
      <c r="I203" s="46">
        <v>-1.41E-2</v>
      </c>
      <c r="J203" s="43" t="s">
        <v>4783</v>
      </c>
      <c r="K203" s="43" t="s">
        <v>789</v>
      </c>
    </row>
    <row r="204" spans="1:11" ht="15.35" hidden="1" x14ac:dyDescent="0.55000000000000004">
      <c r="A204" s="20">
        <v>806</v>
      </c>
      <c r="B204" s="2" t="s">
        <v>157</v>
      </c>
      <c r="C204" s="2" t="s">
        <v>158</v>
      </c>
      <c r="D204" s="20">
        <v>2024</v>
      </c>
      <c r="E204" s="2" t="s">
        <v>4792</v>
      </c>
      <c r="F204" s="2" t="s">
        <v>4809</v>
      </c>
      <c r="G204" s="21">
        <v>400000000</v>
      </c>
      <c r="H204" s="23">
        <v>0.4</v>
      </c>
      <c r="I204" s="37" t="s">
        <v>4778</v>
      </c>
      <c r="J204" s="2" t="s">
        <v>4779</v>
      </c>
      <c r="K204" s="2" t="s">
        <v>807</v>
      </c>
    </row>
    <row r="205" spans="1:11" ht="15.35" hidden="1" x14ac:dyDescent="0.55000000000000004">
      <c r="A205" s="20">
        <v>805</v>
      </c>
      <c r="B205" s="2" t="s">
        <v>157</v>
      </c>
      <c r="C205" s="2" t="s">
        <v>158</v>
      </c>
      <c r="D205" s="20">
        <v>2024</v>
      </c>
      <c r="E205" s="2" t="s">
        <v>4792</v>
      </c>
      <c r="F205" s="2" t="s">
        <v>4810</v>
      </c>
      <c r="G205" s="21">
        <v>89900000</v>
      </c>
      <c r="H205" s="23">
        <v>8.9899999999999994E-2</v>
      </c>
      <c r="I205" s="37" t="s">
        <v>4778</v>
      </c>
      <c r="J205" s="2" t="s">
        <v>4779</v>
      </c>
      <c r="K205" s="2" t="s">
        <v>789</v>
      </c>
    </row>
    <row r="206" spans="1:11" ht="15.35" hidden="1" x14ac:dyDescent="0.55000000000000004">
      <c r="A206" s="20">
        <v>803</v>
      </c>
      <c r="B206" s="2" t="s">
        <v>157</v>
      </c>
      <c r="C206" s="2" t="s">
        <v>158</v>
      </c>
      <c r="D206" s="20">
        <v>2024</v>
      </c>
      <c r="E206" s="2" t="s">
        <v>4792</v>
      </c>
      <c r="F206" s="2" t="s">
        <v>788</v>
      </c>
      <c r="G206" s="21">
        <v>59900000</v>
      </c>
      <c r="H206" s="23">
        <v>5.9900000000000002E-2</v>
      </c>
      <c r="I206" s="37" t="s">
        <v>4778</v>
      </c>
      <c r="J206" s="2" t="s">
        <v>4779</v>
      </c>
      <c r="K206" s="2" t="s">
        <v>787</v>
      </c>
    </row>
    <row r="207" spans="1:11" ht="15.35" hidden="1" x14ac:dyDescent="0.55000000000000004">
      <c r="A207" s="20">
        <v>804</v>
      </c>
      <c r="B207" s="2" t="s">
        <v>157</v>
      </c>
      <c r="C207" s="2" t="s">
        <v>158</v>
      </c>
      <c r="D207" s="20">
        <v>2024</v>
      </c>
      <c r="E207" s="2" t="s">
        <v>4792</v>
      </c>
      <c r="F207" s="2" t="s">
        <v>4811</v>
      </c>
      <c r="G207" s="21">
        <v>59900000</v>
      </c>
      <c r="H207" s="23">
        <v>5.9900000000000002E-2</v>
      </c>
      <c r="I207" s="37" t="s">
        <v>4778</v>
      </c>
      <c r="J207" s="2" t="s">
        <v>4779</v>
      </c>
      <c r="K207" s="2" t="s">
        <v>789</v>
      </c>
    </row>
    <row r="208" spans="1:11" ht="15.35" hidden="1" x14ac:dyDescent="0.55000000000000004">
      <c r="A208" s="20">
        <v>823</v>
      </c>
      <c r="B208" s="2" t="s">
        <v>157</v>
      </c>
      <c r="C208" s="2" t="s">
        <v>158</v>
      </c>
      <c r="D208" s="20">
        <v>2024</v>
      </c>
      <c r="E208" s="2" t="s">
        <v>4792</v>
      </c>
      <c r="F208" s="2" t="s">
        <v>926</v>
      </c>
      <c r="G208" s="21">
        <v>56676897</v>
      </c>
      <c r="H208" s="23">
        <v>5.67E-2</v>
      </c>
      <c r="I208" s="37" t="s">
        <v>4778</v>
      </c>
      <c r="J208" s="2" t="s">
        <v>4783</v>
      </c>
      <c r="K208" s="2" t="s">
        <v>787</v>
      </c>
    </row>
    <row r="209" spans="1:11" ht="15.35" hidden="1" x14ac:dyDescent="0.55000000000000004">
      <c r="A209" s="20">
        <v>802</v>
      </c>
      <c r="B209" s="2" t="s">
        <v>157</v>
      </c>
      <c r="C209" s="2" t="s">
        <v>158</v>
      </c>
      <c r="D209" s="20">
        <v>2024</v>
      </c>
      <c r="E209" s="2" t="s">
        <v>4792</v>
      </c>
      <c r="F209" s="2" t="s">
        <v>4812</v>
      </c>
      <c r="G209" s="21">
        <v>44900000</v>
      </c>
      <c r="H209" s="23">
        <v>4.4900000000000002E-2</v>
      </c>
      <c r="I209" s="37" t="s">
        <v>4778</v>
      </c>
      <c r="J209" s="2" t="s">
        <v>4779</v>
      </c>
      <c r="K209" s="2" t="s">
        <v>817</v>
      </c>
    </row>
    <row r="210" spans="1:11" ht="15.35" hidden="1" x14ac:dyDescent="0.55000000000000004">
      <c r="A210" s="20">
        <v>801</v>
      </c>
      <c r="B210" s="2" t="s">
        <v>157</v>
      </c>
      <c r="C210" s="2" t="s">
        <v>158</v>
      </c>
      <c r="D210" s="20">
        <v>2024</v>
      </c>
      <c r="E210" s="2" t="s">
        <v>4792</v>
      </c>
      <c r="F210" s="2" t="s">
        <v>4780</v>
      </c>
      <c r="G210" s="21">
        <v>30000000</v>
      </c>
      <c r="H210" s="23">
        <v>0.03</v>
      </c>
      <c r="I210" s="37" t="s">
        <v>4778</v>
      </c>
      <c r="J210" s="2" t="s">
        <v>4779</v>
      </c>
      <c r="K210" s="2" t="s">
        <v>789</v>
      </c>
    </row>
    <row r="211" spans="1:11" ht="15.35" hidden="1" x14ac:dyDescent="0.55000000000000004">
      <c r="A211" s="20">
        <v>800</v>
      </c>
      <c r="B211" s="2" t="s">
        <v>157</v>
      </c>
      <c r="C211" s="2" t="s">
        <v>158</v>
      </c>
      <c r="D211" s="20">
        <v>2024</v>
      </c>
      <c r="E211" s="2" t="s">
        <v>4792</v>
      </c>
      <c r="F211" s="2" t="s">
        <v>4813</v>
      </c>
      <c r="G211" s="21">
        <v>26900000</v>
      </c>
      <c r="H211" s="23">
        <v>2.69E-2</v>
      </c>
      <c r="I211" s="37" t="s">
        <v>4778</v>
      </c>
      <c r="J211" s="2" t="s">
        <v>4779</v>
      </c>
      <c r="K211" s="2" t="s">
        <v>789</v>
      </c>
    </row>
    <row r="212" spans="1:11" ht="15.35" hidden="1" x14ac:dyDescent="0.55000000000000004">
      <c r="A212" s="20">
        <v>822</v>
      </c>
      <c r="B212" s="2" t="s">
        <v>157</v>
      </c>
      <c r="C212" s="2" t="s">
        <v>158</v>
      </c>
      <c r="D212" s="20">
        <v>2024</v>
      </c>
      <c r="E212" s="2" t="s">
        <v>4792</v>
      </c>
      <c r="F212" s="2" t="s">
        <v>933</v>
      </c>
      <c r="G212" s="21">
        <v>15394457</v>
      </c>
      <c r="H212" s="23">
        <v>1.54E-2</v>
      </c>
      <c r="I212" s="37" t="s">
        <v>4778</v>
      </c>
      <c r="J212" s="2" t="s">
        <v>4783</v>
      </c>
      <c r="K212" s="2" t="s">
        <v>787</v>
      </c>
    </row>
    <row r="213" spans="1:11" ht="15.35" hidden="1" x14ac:dyDescent="0.55000000000000004">
      <c r="A213" s="20">
        <v>814</v>
      </c>
      <c r="B213" s="2" t="s">
        <v>157</v>
      </c>
      <c r="C213" s="2" t="s">
        <v>158</v>
      </c>
      <c r="D213" s="20">
        <v>2024</v>
      </c>
      <c r="E213" s="2" t="s">
        <v>4792</v>
      </c>
      <c r="F213" s="2" t="s">
        <v>922</v>
      </c>
      <c r="G213" s="21">
        <v>15103349</v>
      </c>
      <c r="H213" s="23">
        <v>1.5100000000000001E-2</v>
      </c>
      <c r="I213" s="37" t="s">
        <v>4778</v>
      </c>
      <c r="J213" s="2" t="s">
        <v>4783</v>
      </c>
      <c r="K213" s="2" t="s">
        <v>787</v>
      </c>
    </row>
    <row r="214" spans="1:11" ht="15.35" hidden="1" x14ac:dyDescent="0.55000000000000004">
      <c r="A214" s="20">
        <v>813</v>
      </c>
      <c r="B214" s="2" t="s">
        <v>157</v>
      </c>
      <c r="C214" s="2" t="s">
        <v>158</v>
      </c>
      <c r="D214" s="20">
        <v>2024</v>
      </c>
      <c r="E214" s="2" t="s">
        <v>4792</v>
      </c>
      <c r="F214" s="2" t="s">
        <v>4814</v>
      </c>
      <c r="G214" s="21">
        <v>12468000</v>
      </c>
      <c r="H214" s="23">
        <v>1.2500000000000001E-2</v>
      </c>
      <c r="I214" s="37" t="s">
        <v>4778</v>
      </c>
      <c r="J214" s="2" t="s">
        <v>4783</v>
      </c>
      <c r="K214" s="2" t="s">
        <v>789</v>
      </c>
    </row>
    <row r="215" spans="1:11" ht="15.35" hidden="1" x14ac:dyDescent="0.55000000000000004">
      <c r="A215" s="20">
        <v>809</v>
      </c>
      <c r="B215" s="2" t="s">
        <v>157</v>
      </c>
      <c r="C215" s="2" t="s">
        <v>158</v>
      </c>
      <c r="D215" s="20">
        <v>2024</v>
      </c>
      <c r="E215" s="2" t="s">
        <v>4792</v>
      </c>
      <c r="F215" s="2" t="s">
        <v>899</v>
      </c>
      <c r="G215" s="21">
        <v>10400000</v>
      </c>
      <c r="H215" s="23">
        <v>1.04E-2</v>
      </c>
      <c r="I215" s="37" t="s">
        <v>4778</v>
      </c>
      <c r="J215" s="2" t="s">
        <v>4779</v>
      </c>
      <c r="K215" s="2" t="s">
        <v>817</v>
      </c>
    </row>
    <row r="216" spans="1:11" ht="15.35" hidden="1" x14ac:dyDescent="0.55000000000000004">
      <c r="A216" s="20">
        <v>812</v>
      </c>
      <c r="B216" s="2" t="s">
        <v>157</v>
      </c>
      <c r="C216" s="2" t="s">
        <v>158</v>
      </c>
      <c r="D216" s="20">
        <v>2024</v>
      </c>
      <c r="E216" s="2" t="s">
        <v>4792</v>
      </c>
      <c r="F216" s="2" t="s">
        <v>4815</v>
      </c>
      <c r="G216" s="21">
        <v>9146145</v>
      </c>
      <c r="H216" s="23">
        <v>9.1000000000000004E-3</v>
      </c>
      <c r="I216" s="37" t="s">
        <v>4778</v>
      </c>
      <c r="J216" s="2" t="s">
        <v>4783</v>
      </c>
      <c r="K216" s="2" t="s">
        <v>789</v>
      </c>
    </row>
    <row r="217" spans="1:11" ht="15.35" hidden="1" x14ac:dyDescent="0.55000000000000004">
      <c r="A217" s="20">
        <v>821</v>
      </c>
      <c r="B217" s="2" t="s">
        <v>157</v>
      </c>
      <c r="C217" s="2" t="s">
        <v>158</v>
      </c>
      <c r="D217" s="20">
        <v>2024</v>
      </c>
      <c r="E217" s="2" t="s">
        <v>4792</v>
      </c>
      <c r="F217" s="2" t="s">
        <v>892</v>
      </c>
      <c r="G217" s="21">
        <v>8900000</v>
      </c>
      <c r="H217" s="23">
        <v>8.8999999999999999E-3</v>
      </c>
      <c r="I217" s="37" t="s">
        <v>4778</v>
      </c>
      <c r="J217" s="2" t="s">
        <v>4779</v>
      </c>
      <c r="K217" s="2" t="s">
        <v>787</v>
      </c>
    </row>
    <row r="218" spans="1:11" ht="15.35" hidden="1" x14ac:dyDescent="0.55000000000000004">
      <c r="A218" s="20">
        <v>811</v>
      </c>
      <c r="B218" s="2" t="s">
        <v>157</v>
      </c>
      <c r="C218" s="2" t="s">
        <v>158</v>
      </c>
      <c r="D218" s="20">
        <v>2024</v>
      </c>
      <c r="E218" s="2" t="s">
        <v>4792</v>
      </c>
      <c r="F218" s="2" t="s">
        <v>962</v>
      </c>
      <c r="G218" s="21">
        <v>8929945</v>
      </c>
      <c r="H218" s="23">
        <v>8.8999999999999999E-3</v>
      </c>
      <c r="I218" s="37" t="s">
        <v>4778</v>
      </c>
      <c r="J218" s="2" t="s">
        <v>4783</v>
      </c>
      <c r="K218" s="2" t="s">
        <v>787</v>
      </c>
    </row>
    <row r="219" spans="1:11" ht="15.35" hidden="1" x14ac:dyDescent="0.55000000000000004">
      <c r="A219" s="20">
        <v>820</v>
      </c>
      <c r="B219" s="2" t="s">
        <v>157</v>
      </c>
      <c r="C219" s="2" t="s">
        <v>158</v>
      </c>
      <c r="D219" s="20">
        <v>2024</v>
      </c>
      <c r="E219" s="2" t="s">
        <v>4792</v>
      </c>
      <c r="F219" s="2" t="s">
        <v>892</v>
      </c>
      <c r="G219" s="21">
        <v>8309373</v>
      </c>
      <c r="H219" s="23">
        <v>8.3000000000000001E-3</v>
      </c>
      <c r="I219" s="37" t="s">
        <v>4778</v>
      </c>
      <c r="J219" s="2" t="s">
        <v>4783</v>
      </c>
      <c r="K219" s="2" t="s">
        <v>787</v>
      </c>
    </row>
    <row r="220" spans="1:11" ht="15.35" hidden="1" x14ac:dyDescent="0.55000000000000004">
      <c r="A220" s="20">
        <v>810</v>
      </c>
      <c r="B220" s="2" t="s">
        <v>157</v>
      </c>
      <c r="C220" s="2" t="s">
        <v>158</v>
      </c>
      <c r="D220" s="20">
        <v>2024</v>
      </c>
      <c r="E220" s="2" t="s">
        <v>4792</v>
      </c>
      <c r="F220" s="2" t="s">
        <v>4816</v>
      </c>
      <c r="G220" s="21">
        <v>7262278</v>
      </c>
      <c r="H220" s="23">
        <v>7.3000000000000001E-3</v>
      </c>
      <c r="I220" s="37" t="s">
        <v>4778</v>
      </c>
      <c r="J220" s="2" t="s">
        <v>4783</v>
      </c>
      <c r="K220" s="2" t="s">
        <v>789</v>
      </c>
    </row>
    <row r="221" spans="1:11" ht="15.35" hidden="1" x14ac:dyDescent="0.55000000000000004">
      <c r="A221" s="20">
        <v>808</v>
      </c>
      <c r="B221" s="2" t="s">
        <v>157</v>
      </c>
      <c r="C221" s="2" t="s">
        <v>158</v>
      </c>
      <c r="D221" s="20">
        <v>2024</v>
      </c>
      <c r="E221" s="2" t="s">
        <v>4792</v>
      </c>
      <c r="F221" s="2" t="s">
        <v>864</v>
      </c>
      <c r="G221" s="21">
        <v>7126357</v>
      </c>
      <c r="H221" s="23">
        <v>7.1000000000000004E-3</v>
      </c>
      <c r="I221" s="37" t="s">
        <v>4778</v>
      </c>
      <c r="J221" s="2" t="s">
        <v>4783</v>
      </c>
      <c r="K221" s="2" t="s">
        <v>787</v>
      </c>
    </row>
    <row r="222" spans="1:11" ht="15.35" hidden="1" x14ac:dyDescent="0.55000000000000004">
      <c r="A222" s="20">
        <v>807</v>
      </c>
      <c r="B222" s="2" t="s">
        <v>157</v>
      </c>
      <c r="C222" s="2" t="s">
        <v>158</v>
      </c>
      <c r="D222" s="20">
        <v>2024</v>
      </c>
      <c r="E222" s="2" t="s">
        <v>4792</v>
      </c>
      <c r="F222" s="2" t="s">
        <v>1090</v>
      </c>
      <c r="G222" s="21">
        <v>6999512</v>
      </c>
      <c r="H222" s="23">
        <v>7.0000000000000001E-3</v>
      </c>
      <c r="I222" s="37" t="s">
        <v>4778</v>
      </c>
      <c r="J222" s="2" t="s">
        <v>4783</v>
      </c>
      <c r="K222" s="2" t="s">
        <v>787</v>
      </c>
    </row>
    <row r="223" spans="1:11" ht="15.35" hidden="1" x14ac:dyDescent="0.55000000000000004">
      <c r="A223" s="20">
        <v>815</v>
      </c>
      <c r="B223" s="2" t="s">
        <v>157</v>
      </c>
      <c r="C223" s="2" t="s">
        <v>158</v>
      </c>
      <c r="D223" s="20">
        <v>2024</v>
      </c>
      <c r="E223" s="2" t="s">
        <v>4792</v>
      </c>
      <c r="F223" s="2" t="s">
        <v>4817</v>
      </c>
      <c r="G223" s="21">
        <v>6000000</v>
      </c>
      <c r="H223" s="23">
        <v>6.0000000000000001E-3</v>
      </c>
      <c r="I223" s="37" t="s">
        <v>4778</v>
      </c>
      <c r="J223" s="2" t="s">
        <v>4779</v>
      </c>
      <c r="K223" s="2" t="s">
        <v>798</v>
      </c>
    </row>
    <row r="224" spans="1:11" ht="15.35" hidden="1" x14ac:dyDescent="0.55000000000000004">
      <c r="A224" s="20">
        <v>3665</v>
      </c>
      <c r="B224" s="2" t="s">
        <v>157</v>
      </c>
      <c r="C224" s="2" t="s">
        <v>158</v>
      </c>
      <c r="D224" s="20">
        <v>2025</v>
      </c>
      <c r="E224" s="2" t="s">
        <v>4777</v>
      </c>
      <c r="F224" s="2" t="s">
        <v>4809</v>
      </c>
      <c r="G224" s="21">
        <v>400000000</v>
      </c>
      <c r="H224" s="23">
        <v>0.4</v>
      </c>
      <c r="I224" s="23">
        <v>0</v>
      </c>
      <c r="J224" s="2" t="s">
        <v>4779</v>
      </c>
      <c r="K224" s="2" t="s">
        <v>807</v>
      </c>
    </row>
    <row r="225" spans="1:11" ht="15.35" hidden="1" x14ac:dyDescent="0.55000000000000004">
      <c r="A225" s="20">
        <v>3664</v>
      </c>
      <c r="B225" s="2" t="s">
        <v>157</v>
      </c>
      <c r="C225" s="2" t="s">
        <v>158</v>
      </c>
      <c r="D225" s="20">
        <v>2025</v>
      </c>
      <c r="E225" s="2" t="s">
        <v>4777</v>
      </c>
      <c r="F225" s="2" t="s">
        <v>4810</v>
      </c>
      <c r="G225" s="21">
        <v>89900000</v>
      </c>
      <c r="H225" s="23">
        <v>8.9899999999999994E-2</v>
      </c>
      <c r="I225" s="23">
        <v>0</v>
      </c>
      <c r="J225" s="2" t="s">
        <v>4779</v>
      </c>
      <c r="K225" s="2" t="s">
        <v>789</v>
      </c>
    </row>
    <row r="226" spans="1:11" ht="15.35" hidden="1" x14ac:dyDescent="0.55000000000000004">
      <c r="A226" s="20">
        <v>3662</v>
      </c>
      <c r="B226" s="2" t="s">
        <v>157</v>
      </c>
      <c r="C226" s="2" t="s">
        <v>158</v>
      </c>
      <c r="D226" s="20">
        <v>2025</v>
      </c>
      <c r="E226" s="2" t="s">
        <v>4777</v>
      </c>
      <c r="F226" s="2" t="s">
        <v>788</v>
      </c>
      <c r="G226" s="21">
        <v>59900000</v>
      </c>
      <c r="H226" s="23">
        <v>5.9900000000000002E-2</v>
      </c>
      <c r="I226" s="23">
        <v>0</v>
      </c>
      <c r="J226" s="2" t="s">
        <v>4779</v>
      </c>
      <c r="K226" s="2" t="s">
        <v>787</v>
      </c>
    </row>
    <row r="227" spans="1:11" ht="15.35" hidden="1" x14ac:dyDescent="0.55000000000000004">
      <c r="A227" s="20">
        <v>3663</v>
      </c>
      <c r="B227" s="2" t="s">
        <v>157</v>
      </c>
      <c r="C227" s="2" t="s">
        <v>158</v>
      </c>
      <c r="D227" s="20">
        <v>2025</v>
      </c>
      <c r="E227" s="2" t="s">
        <v>4777</v>
      </c>
      <c r="F227" s="2" t="s">
        <v>4811</v>
      </c>
      <c r="G227" s="21">
        <v>59900000</v>
      </c>
      <c r="H227" s="23">
        <v>5.9900000000000002E-2</v>
      </c>
      <c r="I227" s="23">
        <v>0</v>
      </c>
      <c r="J227" s="2" t="s">
        <v>4779</v>
      </c>
      <c r="K227" s="2" t="s">
        <v>789</v>
      </c>
    </row>
    <row r="228" spans="1:11" ht="15.35" hidden="1" x14ac:dyDescent="0.55000000000000004">
      <c r="A228" s="38">
        <v>3655</v>
      </c>
      <c r="B228" s="39" t="s">
        <v>157</v>
      </c>
      <c r="C228" s="39" t="s">
        <v>158</v>
      </c>
      <c r="D228" s="38">
        <v>2025</v>
      </c>
      <c r="E228" s="39" t="s">
        <v>4777</v>
      </c>
      <c r="F228" s="39" t="s">
        <v>1191</v>
      </c>
      <c r="G228" s="40">
        <v>56676897</v>
      </c>
      <c r="H228" s="41">
        <v>5.67E-2</v>
      </c>
      <c r="I228" s="41">
        <v>5.67E-2</v>
      </c>
      <c r="J228" s="39" t="s">
        <v>4783</v>
      </c>
      <c r="K228" s="39" t="s">
        <v>787</v>
      </c>
    </row>
    <row r="229" spans="1:11" ht="15.35" hidden="1" x14ac:dyDescent="0.55000000000000004">
      <c r="A229" s="20">
        <v>3661</v>
      </c>
      <c r="B229" s="2" t="s">
        <v>157</v>
      </c>
      <c r="C229" s="2" t="s">
        <v>158</v>
      </c>
      <c r="D229" s="20">
        <v>2025</v>
      </c>
      <c r="E229" s="2" t="s">
        <v>4777</v>
      </c>
      <c r="F229" s="2" t="s">
        <v>4812</v>
      </c>
      <c r="G229" s="21">
        <v>44900000</v>
      </c>
      <c r="H229" s="23">
        <v>4.4900000000000002E-2</v>
      </c>
      <c r="I229" s="23">
        <v>0</v>
      </c>
      <c r="J229" s="2" t="s">
        <v>4779</v>
      </c>
      <c r="K229" s="2" t="s">
        <v>817</v>
      </c>
    </row>
    <row r="230" spans="1:11" ht="15.35" hidden="1" x14ac:dyDescent="0.55000000000000004">
      <c r="A230" s="20">
        <v>3660</v>
      </c>
      <c r="B230" s="2" t="s">
        <v>157</v>
      </c>
      <c r="C230" s="2" t="s">
        <v>158</v>
      </c>
      <c r="D230" s="20">
        <v>2025</v>
      </c>
      <c r="E230" s="2" t="s">
        <v>4777</v>
      </c>
      <c r="F230" s="2" t="s">
        <v>4780</v>
      </c>
      <c r="G230" s="21">
        <v>30000000</v>
      </c>
      <c r="H230" s="23">
        <v>0.03</v>
      </c>
      <c r="I230" s="23">
        <v>0</v>
      </c>
      <c r="J230" s="2" t="s">
        <v>4779</v>
      </c>
      <c r="K230" s="2" t="s">
        <v>789</v>
      </c>
    </row>
    <row r="231" spans="1:11" ht="15.35" hidden="1" x14ac:dyDescent="0.55000000000000004">
      <c r="A231" s="20">
        <v>3659</v>
      </c>
      <c r="B231" s="2" t="s">
        <v>157</v>
      </c>
      <c r="C231" s="2" t="s">
        <v>158</v>
      </c>
      <c r="D231" s="20">
        <v>2025</v>
      </c>
      <c r="E231" s="2" t="s">
        <v>4777</v>
      </c>
      <c r="F231" s="2" t="s">
        <v>4813</v>
      </c>
      <c r="G231" s="21">
        <v>26900000</v>
      </c>
      <c r="H231" s="23">
        <v>2.69E-2</v>
      </c>
      <c r="I231" s="23">
        <v>0</v>
      </c>
      <c r="J231" s="2" t="s">
        <v>4779</v>
      </c>
      <c r="K231" s="2" t="s">
        <v>789</v>
      </c>
    </row>
    <row r="232" spans="1:11" ht="15.35" hidden="1" x14ac:dyDescent="0.55000000000000004">
      <c r="A232" s="20">
        <v>3656</v>
      </c>
      <c r="B232" s="2" t="s">
        <v>157</v>
      </c>
      <c r="C232" s="2" t="s">
        <v>158</v>
      </c>
      <c r="D232" s="20">
        <v>2025</v>
      </c>
      <c r="E232" s="2" t="s">
        <v>4777</v>
      </c>
      <c r="F232" s="2" t="s">
        <v>922</v>
      </c>
      <c r="G232" s="21">
        <v>19649631</v>
      </c>
      <c r="H232" s="23">
        <v>1.9599999999999999E-2</v>
      </c>
      <c r="I232" s="23">
        <v>4.4999999999999997E-3</v>
      </c>
      <c r="J232" s="2" t="s">
        <v>4783</v>
      </c>
      <c r="K232" s="2" t="s">
        <v>787</v>
      </c>
    </row>
    <row r="233" spans="1:11" ht="15.35" hidden="1" x14ac:dyDescent="0.55000000000000004">
      <c r="A233" s="20">
        <v>3673</v>
      </c>
      <c r="B233" s="2" t="s">
        <v>157</v>
      </c>
      <c r="C233" s="2" t="s">
        <v>158</v>
      </c>
      <c r="D233" s="20">
        <v>2025</v>
      </c>
      <c r="E233" s="2" t="s">
        <v>4777</v>
      </c>
      <c r="F233" s="2" t="s">
        <v>933</v>
      </c>
      <c r="G233" s="21">
        <v>10743169</v>
      </c>
      <c r="H233" s="23">
        <v>1.0699999999999999E-2</v>
      </c>
      <c r="I233" s="23">
        <v>-4.7000000000000002E-3</v>
      </c>
      <c r="J233" s="2" t="s">
        <v>4783</v>
      </c>
      <c r="K233" s="2" t="s">
        <v>787</v>
      </c>
    </row>
    <row r="234" spans="1:11" ht="15.35" hidden="1" x14ac:dyDescent="0.55000000000000004">
      <c r="A234" s="38">
        <v>3672</v>
      </c>
      <c r="B234" s="39" t="s">
        <v>157</v>
      </c>
      <c r="C234" s="39" t="s">
        <v>158</v>
      </c>
      <c r="D234" s="38">
        <v>2025</v>
      </c>
      <c r="E234" s="39" t="s">
        <v>4777</v>
      </c>
      <c r="F234" s="39" t="s">
        <v>939</v>
      </c>
      <c r="G234" s="40">
        <v>10408987</v>
      </c>
      <c r="H234" s="41">
        <v>1.04E-2</v>
      </c>
      <c r="I234" s="41">
        <v>1.04E-2</v>
      </c>
      <c r="J234" s="39" t="s">
        <v>4783</v>
      </c>
      <c r="K234" s="39" t="s">
        <v>787</v>
      </c>
    </row>
    <row r="235" spans="1:11" ht="15.35" hidden="1" x14ac:dyDescent="0.55000000000000004">
      <c r="A235" s="20">
        <v>3658</v>
      </c>
      <c r="B235" s="2" t="s">
        <v>157</v>
      </c>
      <c r="C235" s="2" t="s">
        <v>158</v>
      </c>
      <c r="D235" s="20">
        <v>2025</v>
      </c>
      <c r="E235" s="2" t="s">
        <v>4777</v>
      </c>
      <c r="F235" s="2" t="s">
        <v>899</v>
      </c>
      <c r="G235" s="21">
        <v>10400000</v>
      </c>
      <c r="H235" s="23">
        <v>1.04E-2</v>
      </c>
      <c r="I235" s="23">
        <v>0</v>
      </c>
      <c r="J235" s="2" t="s">
        <v>4779</v>
      </c>
      <c r="K235" s="2" t="s">
        <v>817</v>
      </c>
    </row>
    <row r="236" spans="1:11" ht="15.35" hidden="1" x14ac:dyDescent="0.55000000000000004">
      <c r="A236" s="20">
        <v>3671</v>
      </c>
      <c r="B236" s="2" t="s">
        <v>157</v>
      </c>
      <c r="C236" s="2" t="s">
        <v>158</v>
      </c>
      <c r="D236" s="20">
        <v>2025</v>
      </c>
      <c r="E236" s="2" t="s">
        <v>4777</v>
      </c>
      <c r="F236" s="2" t="s">
        <v>4815</v>
      </c>
      <c r="G236" s="21">
        <v>9146145</v>
      </c>
      <c r="H236" s="23">
        <v>9.1000000000000004E-3</v>
      </c>
      <c r="I236" s="23">
        <v>0</v>
      </c>
      <c r="J236" s="2" t="s">
        <v>4783</v>
      </c>
      <c r="K236" s="2" t="s">
        <v>789</v>
      </c>
    </row>
    <row r="237" spans="1:11" ht="15.35" hidden="1" x14ac:dyDescent="0.55000000000000004">
      <c r="A237" s="20">
        <v>3657</v>
      </c>
      <c r="B237" s="2" t="s">
        <v>157</v>
      </c>
      <c r="C237" s="2" t="s">
        <v>158</v>
      </c>
      <c r="D237" s="20">
        <v>2025</v>
      </c>
      <c r="E237" s="2" t="s">
        <v>4777</v>
      </c>
      <c r="F237" s="2" t="s">
        <v>892</v>
      </c>
      <c r="G237" s="21">
        <v>8900000</v>
      </c>
      <c r="H237" s="23">
        <v>8.8999999999999999E-3</v>
      </c>
      <c r="I237" s="23">
        <v>0</v>
      </c>
      <c r="J237" s="2" t="s">
        <v>4779</v>
      </c>
      <c r="K237" s="2" t="s">
        <v>787</v>
      </c>
    </row>
    <row r="238" spans="1:11" ht="15.35" hidden="1" x14ac:dyDescent="0.55000000000000004">
      <c r="A238" s="38">
        <v>3670</v>
      </c>
      <c r="B238" s="39" t="s">
        <v>157</v>
      </c>
      <c r="C238" s="39" t="s">
        <v>158</v>
      </c>
      <c r="D238" s="38">
        <v>2025</v>
      </c>
      <c r="E238" s="39" t="s">
        <v>4777</v>
      </c>
      <c r="F238" s="39" t="s">
        <v>4818</v>
      </c>
      <c r="G238" s="40">
        <v>7905643</v>
      </c>
      <c r="H238" s="41">
        <v>7.9000000000000008E-3</v>
      </c>
      <c r="I238" s="41">
        <v>7.9000000000000008E-3</v>
      </c>
      <c r="J238" s="39" t="s">
        <v>4783</v>
      </c>
      <c r="K238" s="39" t="s">
        <v>789</v>
      </c>
    </row>
    <row r="239" spans="1:11" ht="15.35" hidden="1" x14ac:dyDescent="0.55000000000000004">
      <c r="A239" s="20">
        <v>3669</v>
      </c>
      <c r="B239" s="2" t="s">
        <v>157</v>
      </c>
      <c r="C239" s="2" t="s">
        <v>158</v>
      </c>
      <c r="D239" s="20">
        <v>2025</v>
      </c>
      <c r="E239" s="2" t="s">
        <v>4777</v>
      </c>
      <c r="F239" s="2" t="s">
        <v>864</v>
      </c>
      <c r="G239" s="21">
        <v>7601191</v>
      </c>
      <c r="H239" s="23">
        <v>7.6E-3</v>
      </c>
      <c r="I239" s="23">
        <v>5.0000000000000001E-4</v>
      </c>
      <c r="J239" s="2" t="s">
        <v>4783</v>
      </c>
      <c r="K239" s="2" t="s">
        <v>787</v>
      </c>
    </row>
    <row r="240" spans="1:11" ht="15.35" hidden="1" x14ac:dyDescent="0.55000000000000004">
      <c r="A240" s="20">
        <v>3681</v>
      </c>
      <c r="B240" s="2" t="s">
        <v>157</v>
      </c>
      <c r="C240" s="2" t="s">
        <v>158</v>
      </c>
      <c r="D240" s="20">
        <v>2025</v>
      </c>
      <c r="E240" s="2" t="s">
        <v>4777</v>
      </c>
      <c r="F240" s="2" t="s">
        <v>892</v>
      </c>
      <c r="G240" s="21">
        <v>7439571</v>
      </c>
      <c r="H240" s="23">
        <v>7.4000000000000003E-3</v>
      </c>
      <c r="I240" s="23">
        <v>-8.9999999999999998E-4</v>
      </c>
      <c r="J240" s="2" t="s">
        <v>4783</v>
      </c>
      <c r="K240" s="2" t="s">
        <v>787</v>
      </c>
    </row>
    <row r="241" spans="1:11" ht="15.35" hidden="1" x14ac:dyDescent="0.55000000000000004">
      <c r="A241" s="20">
        <v>3668</v>
      </c>
      <c r="B241" s="2" t="s">
        <v>157</v>
      </c>
      <c r="C241" s="2" t="s">
        <v>158</v>
      </c>
      <c r="D241" s="20">
        <v>2025</v>
      </c>
      <c r="E241" s="2" t="s">
        <v>4777</v>
      </c>
      <c r="F241" s="2" t="s">
        <v>4816</v>
      </c>
      <c r="G241" s="21">
        <v>7000000</v>
      </c>
      <c r="H241" s="23">
        <v>7.0000000000000001E-3</v>
      </c>
      <c r="I241" s="23">
        <v>-2.9999999999999997E-4</v>
      </c>
      <c r="J241" s="2" t="s">
        <v>4783</v>
      </c>
      <c r="K241" s="2" t="s">
        <v>789</v>
      </c>
    </row>
    <row r="242" spans="1:11" ht="15.35" hidden="1" x14ac:dyDescent="0.55000000000000004">
      <c r="A242" s="20">
        <v>3666</v>
      </c>
      <c r="B242" s="2" t="s">
        <v>157</v>
      </c>
      <c r="C242" s="2" t="s">
        <v>158</v>
      </c>
      <c r="D242" s="20">
        <v>2025</v>
      </c>
      <c r="E242" s="2" t="s">
        <v>4777</v>
      </c>
      <c r="F242" s="2" t="s">
        <v>1090</v>
      </c>
      <c r="G242" s="21">
        <v>6801412</v>
      </c>
      <c r="H242" s="23">
        <v>6.7999999999999996E-3</v>
      </c>
      <c r="I242" s="23">
        <v>-2.0000000000000001E-4</v>
      </c>
      <c r="J242" s="2" t="s">
        <v>4783</v>
      </c>
      <c r="K242" s="2" t="s">
        <v>787</v>
      </c>
    </row>
    <row r="243" spans="1:11" ht="15.35" hidden="1" x14ac:dyDescent="0.55000000000000004">
      <c r="A243" s="20">
        <v>3667</v>
      </c>
      <c r="B243" s="2" t="s">
        <v>157</v>
      </c>
      <c r="C243" s="2" t="s">
        <v>158</v>
      </c>
      <c r="D243" s="20">
        <v>2025</v>
      </c>
      <c r="E243" s="2" t="s">
        <v>4777</v>
      </c>
      <c r="F243" s="2" t="s">
        <v>4817</v>
      </c>
      <c r="G243" s="21">
        <v>6000000</v>
      </c>
      <c r="H243" s="23">
        <v>6.0000000000000001E-3</v>
      </c>
      <c r="I243" s="23">
        <v>0</v>
      </c>
      <c r="J243" s="2" t="s">
        <v>4779</v>
      </c>
      <c r="K243" s="2" t="s">
        <v>798</v>
      </c>
    </row>
    <row r="244" spans="1:11" ht="15.35" hidden="1" x14ac:dyDescent="0.55000000000000004">
      <c r="A244" s="42"/>
      <c r="B244" s="43" t="s">
        <v>157</v>
      </c>
      <c r="C244" s="43" t="s">
        <v>158</v>
      </c>
      <c r="D244" s="44">
        <v>2025</v>
      </c>
      <c r="E244" s="43" t="s">
        <v>4777</v>
      </c>
      <c r="F244" s="43" t="s">
        <v>4814</v>
      </c>
      <c r="G244" s="45"/>
      <c r="H244" s="46">
        <v>0</v>
      </c>
      <c r="I244" s="46">
        <v>-1.2500000000000001E-2</v>
      </c>
      <c r="J244" s="43" t="s">
        <v>4783</v>
      </c>
      <c r="K244" s="43" t="s">
        <v>789</v>
      </c>
    </row>
    <row r="245" spans="1:11" ht="15.35" hidden="1" x14ac:dyDescent="0.55000000000000004">
      <c r="A245" s="42"/>
      <c r="B245" s="43" t="s">
        <v>157</v>
      </c>
      <c r="C245" s="43" t="s">
        <v>158</v>
      </c>
      <c r="D245" s="44">
        <v>2025</v>
      </c>
      <c r="E245" s="43" t="s">
        <v>4777</v>
      </c>
      <c r="F245" s="43" t="s">
        <v>926</v>
      </c>
      <c r="G245" s="45"/>
      <c r="H245" s="46">
        <v>0</v>
      </c>
      <c r="I245" s="46">
        <v>-5.67E-2</v>
      </c>
      <c r="J245" s="43" t="s">
        <v>4783</v>
      </c>
      <c r="K245" s="43" t="s">
        <v>787</v>
      </c>
    </row>
    <row r="246" spans="1:11" ht="15.35" hidden="1" x14ac:dyDescent="0.55000000000000004">
      <c r="A246" s="42"/>
      <c r="B246" s="43" t="s">
        <v>157</v>
      </c>
      <c r="C246" s="43" t="s">
        <v>158</v>
      </c>
      <c r="D246" s="44">
        <v>2025</v>
      </c>
      <c r="E246" s="43" t="s">
        <v>4777</v>
      </c>
      <c r="F246" s="43" t="s">
        <v>962</v>
      </c>
      <c r="G246" s="45"/>
      <c r="H246" s="46">
        <v>0</v>
      </c>
      <c r="I246" s="46">
        <v>-8.8999999999999999E-3</v>
      </c>
      <c r="J246" s="43" t="s">
        <v>4783</v>
      </c>
      <c r="K246" s="43" t="s">
        <v>787</v>
      </c>
    </row>
    <row r="247" spans="1:11" ht="15.35" hidden="1" x14ac:dyDescent="0.55000000000000004">
      <c r="A247" s="20">
        <v>5295</v>
      </c>
      <c r="B247" s="2" t="s">
        <v>157</v>
      </c>
      <c r="C247" s="2" t="s">
        <v>158</v>
      </c>
      <c r="D247" s="20">
        <v>2025</v>
      </c>
      <c r="E247" s="2" t="s">
        <v>4792</v>
      </c>
      <c r="F247" s="2" t="s">
        <v>4809</v>
      </c>
      <c r="G247" s="21">
        <v>400000000</v>
      </c>
      <c r="H247" s="23">
        <v>0.4</v>
      </c>
      <c r="I247" s="23">
        <v>0</v>
      </c>
      <c r="J247" s="2" t="s">
        <v>4779</v>
      </c>
      <c r="K247" s="2" t="s">
        <v>807</v>
      </c>
    </row>
    <row r="248" spans="1:11" ht="15.35" hidden="1" x14ac:dyDescent="0.55000000000000004">
      <c r="A248" s="38">
        <v>5264</v>
      </c>
      <c r="B248" s="39" t="s">
        <v>157</v>
      </c>
      <c r="C248" s="39" t="s">
        <v>158</v>
      </c>
      <c r="D248" s="38">
        <v>2025</v>
      </c>
      <c r="E248" s="39" t="s">
        <v>4792</v>
      </c>
      <c r="F248" s="39" t="s">
        <v>4819</v>
      </c>
      <c r="G248" s="40">
        <v>78262059</v>
      </c>
      <c r="H248" s="41">
        <v>7.8299999999999995E-2</v>
      </c>
      <c r="I248" s="41">
        <v>7.8299999999999995E-2</v>
      </c>
      <c r="J248" s="39" t="s">
        <v>4783</v>
      </c>
      <c r="K248" s="39" t="s">
        <v>789</v>
      </c>
    </row>
    <row r="249" spans="1:11" ht="15.35" hidden="1" x14ac:dyDescent="0.55000000000000004">
      <c r="A249" s="20">
        <v>5263</v>
      </c>
      <c r="B249" s="2" t="s">
        <v>157</v>
      </c>
      <c r="C249" s="2" t="s">
        <v>158</v>
      </c>
      <c r="D249" s="20">
        <v>2025</v>
      </c>
      <c r="E249" s="2" t="s">
        <v>4792</v>
      </c>
      <c r="F249" s="2" t="s">
        <v>1191</v>
      </c>
      <c r="G249" s="21">
        <v>57512397</v>
      </c>
      <c r="H249" s="23">
        <v>5.7500000000000002E-2</v>
      </c>
      <c r="I249" s="23">
        <v>8.0000000000000004E-4</v>
      </c>
      <c r="J249" s="2" t="s">
        <v>4783</v>
      </c>
      <c r="K249" s="2" t="s">
        <v>787</v>
      </c>
    </row>
    <row r="250" spans="1:11" ht="15.35" hidden="1" x14ac:dyDescent="0.55000000000000004">
      <c r="A250" s="38">
        <v>5262</v>
      </c>
      <c r="B250" s="39" t="s">
        <v>157</v>
      </c>
      <c r="C250" s="39" t="s">
        <v>158</v>
      </c>
      <c r="D250" s="38">
        <v>2025</v>
      </c>
      <c r="E250" s="39" t="s">
        <v>4792</v>
      </c>
      <c r="F250" s="39" t="s">
        <v>4811</v>
      </c>
      <c r="G250" s="40">
        <v>57160000</v>
      </c>
      <c r="H250" s="41">
        <v>5.7200000000000001E-2</v>
      </c>
      <c r="I250" s="41">
        <v>5.7200000000000001E-2</v>
      </c>
      <c r="J250" s="39" t="s">
        <v>4783</v>
      </c>
      <c r="K250" s="39" t="s">
        <v>789</v>
      </c>
    </row>
    <row r="251" spans="1:11" ht="15.35" hidden="1" x14ac:dyDescent="0.55000000000000004">
      <c r="A251" s="38">
        <v>5232</v>
      </c>
      <c r="B251" s="39" t="s">
        <v>157</v>
      </c>
      <c r="C251" s="39" t="s">
        <v>158</v>
      </c>
      <c r="D251" s="38">
        <v>2025</v>
      </c>
      <c r="E251" s="39" t="s">
        <v>4792</v>
      </c>
      <c r="F251" s="39" t="s">
        <v>4812</v>
      </c>
      <c r="G251" s="40">
        <v>44900000</v>
      </c>
      <c r="H251" s="41">
        <v>4.4900000000000002E-2</v>
      </c>
      <c r="I251" s="41">
        <v>4.4900000000000002E-2</v>
      </c>
      <c r="J251" s="39" t="s">
        <v>4783</v>
      </c>
      <c r="K251" s="39" t="s">
        <v>817</v>
      </c>
    </row>
    <row r="252" spans="1:11" ht="15.35" hidden="1" x14ac:dyDescent="0.55000000000000004">
      <c r="A252" s="38">
        <v>5230</v>
      </c>
      <c r="B252" s="39" t="s">
        <v>157</v>
      </c>
      <c r="C252" s="39" t="s">
        <v>158</v>
      </c>
      <c r="D252" s="38">
        <v>2025</v>
      </c>
      <c r="E252" s="39" t="s">
        <v>4792</v>
      </c>
      <c r="F252" s="39" t="s">
        <v>788</v>
      </c>
      <c r="G252" s="40">
        <v>38300075</v>
      </c>
      <c r="H252" s="41">
        <v>3.8300000000000001E-2</v>
      </c>
      <c r="I252" s="41">
        <v>3.8300000000000001E-2</v>
      </c>
      <c r="J252" s="39" t="s">
        <v>4783</v>
      </c>
      <c r="K252" s="39" t="s">
        <v>787</v>
      </c>
    </row>
    <row r="253" spans="1:11" ht="15.35" hidden="1" x14ac:dyDescent="0.55000000000000004">
      <c r="A253" s="38">
        <v>5229</v>
      </c>
      <c r="B253" s="39" t="s">
        <v>157</v>
      </c>
      <c r="C253" s="39" t="s">
        <v>158</v>
      </c>
      <c r="D253" s="38">
        <v>2025</v>
      </c>
      <c r="E253" s="39" t="s">
        <v>4792</v>
      </c>
      <c r="F253" s="39" t="s">
        <v>4780</v>
      </c>
      <c r="G253" s="40">
        <v>30000000</v>
      </c>
      <c r="H253" s="41">
        <v>0.03</v>
      </c>
      <c r="I253" s="41">
        <v>0.03</v>
      </c>
      <c r="J253" s="39" t="s">
        <v>4783</v>
      </c>
      <c r="K253" s="39" t="s">
        <v>789</v>
      </c>
    </row>
    <row r="254" spans="1:11" ht="15.35" hidden="1" x14ac:dyDescent="0.55000000000000004">
      <c r="A254" s="20">
        <v>5228</v>
      </c>
      <c r="B254" s="2" t="s">
        <v>157</v>
      </c>
      <c r="C254" s="2" t="s">
        <v>158</v>
      </c>
      <c r="D254" s="20">
        <v>2025</v>
      </c>
      <c r="E254" s="2" t="s">
        <v>4792</v>
      </c>
      <c r="F254" s="2" t="s">
        <v>922</v>
      </c>
      <c r="G254" s="21">
        <v>20723531</v>
      </c>
      <c r="H254" s="23">
        <v>2.07E-2</v>
      </c>
      <c r="I254" s="23">
        <v>1.1000000000000001E-3</v>
      </c>
      <c r="J254" s="2" t="s">
        <v>4783</v>
      </c>
      <c r="K254" s="2" t="s">
        <v>787</v>
      </c>
    </row>
    <row r="255" spans="1:11" ht="15.35" hidden="1" x14ac:dyDescent="0.55000000000000004">
      <c r="A255" s="20">
        <v>5227</v>
      </c>
      <c r="B255" s="2" t="s">
        <v>157</v>
      </c>
      <c r="C255" s="2" t="s">
        <v>158</v>
      </c>
      <c r="D255" s="20">
        <v>2025</v>
      </c>
      <c r="E255" s="2" t="s">
        <v>4792</v>
      </c>
      <c r="F255" s="2" t="s">
        <v>864</v>
      </c>
      <c r="G255" s="21">
        <v>19389270</v>
      </c>
      <c r="H255" s="23">
        <v>1.9400000000000001E-2</v>
      </c>
      <c r="I255" s="23">
        <v>1.18E-2</v>
      </c>
      <c r="J255" s="2" t="s">
        <v>4783</v>
      </c>
      <c r="K255" s="2" t="s">
        <v>787</v>
      </c>
    </row>
    <row r="256" spans="1:11" ht="15.35" hidden="1" x14ac:dyDescent="0.55000000000000004">
      <c r="A256" s="20">
        <v>5226</v>
      </c>
      <c r="B256" s="2" t="s">
        <v>157</v>
      </c>
      <c r="C256" s="2" t="s">
        <v>158</v>
      </c>
      <c r="D256" s="20">
        <v>2025</v>
      </c>
      <c r="E256" s="2" t="s">
        <v>4792</v>
      </c>
      <c r="F256" s="2" t="s">
        <v>892</v>
      </c>
      <c r="G256" s="21">
        <v>16899923</v>
      </c>
      <c r="H256" s="23">
        <v>1.6899999999999998E-2</v>
      </c>
      <c r="I256" s="23">
        <v>9.4999999999999998E-3</v>
      </c>
      <c r="J256" s="2" t="s">
        <v>4783</v>
      </c>
      <c r="K256" s="2" t="s">
        <v>787</v>
      </c>
    </row>
    <row r="257" spans="1:11" ht="15.35" hidden="1" x14ac:dyDescent="0.55000000000000004">
      <c r="A257" s="20">
        <v>5225</v>
      </c>
      <c r="B257" s="2" t="s">
        <v>157</v>
      </c>
      <c r="C257" s="2" t="s">
        <v>158</v>
      </c>
      <c r="D257" s="20">
        <v>2025</v>
      </c>
      <c r="E257" s="2" t="s">
        <v>4792</v>
      </c>
      <c r="F257" s="2" t="s">
        <v>939</v>
      </c>
      <c r="G257" s="21">
        <v>13802713</v>
      </c>
      <c r="H257" s="23">
        <v>1.38E-2</v>
      </c>
      <c r="I257" s="23">
        <v>3.3999999999999998E-3</v>
      </c>
      <c r="J257" s="2" t="s">
        <v>4783</v>
      </c>
      <c r="K257" s="2" t="s">
        <v>787</v>
      </c>
    </row>
    <row r="258" spans="1:11" ht="15.35" hidden="1" x14ac:dyDescent="0.55000000000000004">
      <c r="A258" s="42"/>
      <c r="B258" s="43" t="s">
        <v>157</v>
      </c>
      <c r="C258" s="43" t="s">
        <v>158</v>
      </c>
      <c r="D258" s="44">
        <v>2025</v>
      </c>
      <c r="E258" s="43" t="s">
        <v>4792</v>
      </c>
      <c r="F258" s="43" t="s">
        <v>788</v>
      </c>
      <c r="G258" s="45"/>
      <c r="H258" s="46">
        <v>0</v>
      </c>
      <c r="I258" s="46">
        <v>-5.9900000000000002E-2</v>
      </c>
      <c r="J258" s="43" t="s">
        <v>4779</v>
      </c>
      <c r="K258" s="43" t="s">
        <v>787</v>
      </c>
    </row>
    <row r="259" spans="1:11" ht="15.35" hidden="1" x14ac:dyDescent="0.55000000000000004">
      <c r="A259" s="42"/>
      <c r="B259" s="43" t="s">
        <v>157</v>
      </c>
      <c r="C259" s="43" t="s">
        <v>158</v>
      </c>
      <c r="D259" s="44">
        <v>2025</v>
      </c>
      <c r="E259" s="43" t="s">
        <v>4792</v>
      </c>
      <c r="F259" s="43" t="s">
        <v>4780</v>
      </c>
      <c r="G259" s="45"/>
      <c r="H259" s="46">
        <v>0</v>
      </c>
      <c r="I259" s="46">
        <v>-0.03</v>
      </c>
      <c r="J259" s="43" t="s">
        <v>4779</v>
      </c>
      <c r="K259" s="43" t="s">
        <v>789</v>
      </c>
    </row>
    <row r="260" spans="1:11" ht="15.35" hidden="1" x14ac:dyDescent="0.55000000000000004">
      <c r="A260" s="42"/>
      <c r="B260" s="43" t="s">
        <v>157</v>
      </c>
      <c r="C260" s="43" t="s">
        <v>158</v>
      </c>
      <c r="D260" s="44">
        <v>2025</v>
      </c>
      <c r="E260" s="43" t="s">
        <v>4792</v>
      </c>
      <c r="F260" s="43" t="s">
        <v>892</v>
      </c>
      <c r="G260" s="45"/>
      <c r="H260" s="46">
        <v>0</v>
      </c>
      <c r="I260" s="46">
        <v>-8.8999999999999999E-3</v>
      </c>
      <c r="J260" s="43" t="s">
        <v>4779</v>
      </c>
      <c r="K260" s="43" t="s">
        <v>787</v>
      </c>
    </row>
    <row r="261" spans="1:11" ht="15.35" hidden="1" x14ac:dyDescent="0.55000000000000004">
      <c r="A261" s="42"/>
      <c r="B261" s="43" t="s">
        <v>157</v>
      </c>
      <c r="C261" s="43" t="s">
        <v>158</v>
      </c>
      <c r="D261" s="44">
        <v>2025</v>
      </c>
      <c r="E261" s="43" t="s">
        <v>4792</v>
      </c>
      <c r="F261" s="43" t="s">
        <v>4818</v>
      </c>
      <c r="G261" s="45"/>
      <c r="H261" s="46">
        <v>0</v>
      </c>
      <c r="I261" s="46">
        <v>-7.9000000000000008E-3</v>
      </c>
      <c r="J261" s="43" t="s">
        <v>4783</v>
      </c>
      <c r="K261" s="43" t="s">
        <v>789</v>
      </c>
    </row>
    <row r="262" spans="1:11" ht="15.35" hidden="1" x14ac:dyDescent="0.55000000000000004">
      <c r="A262" s="42"/>
      <c r="B262" s="43" t="s">
        <v>157</v>
      </c>
      <c r="C262" s="43" t="s">
        <v>158</v>
      </c>
      <c r="D262" s="44">
        <v>2025</v>
      </c>
      <c r="E262" s="43" t="s">
        <v>4792</v>
      </c>
      <c r="F262" s="43" t="s">
        <v>4810</v>
      </c>
      <c r="G262" s="45"/>
      <c r="H262" s="46">
        <v>0</v>
      </c>
      <c r="I262" s="46">
        <v>-8.9899999999999994E-2</v>
      </c>
      <c r="J262" s="43" t="s">
        <v>4779</v>
      </c>
      <c r="K262" s="43" t="s">
        <v>789</v>
      </c>
    </row>
    <row r="263" spans="1:11" ht="15.35" hidden="1" x14ac:dyDescent="0.55000000000000004">
      <c r="A263" s="42"/>
      <c r="B263" s="43" t="s">
        <v>157</v>
      </c>
      <c r="C263" s="43" t="s">
        <v>158</v>
      </c>
      <c r="D263" s="44">
        <v>2025</v>
      </c>
      <c r="E263" s="43" t="s">
        <v>4792</v>
      </c>
      <c r="F263" s="43" t="s">
        <v>4812</v>
      </c>
      <c r="G263" s="45"/>
      <c r="H263" s="46">
        <v>0</v>
      </c>
      <c r="I263" s="46">
        <v>-4.4900000000000002E-2</v>
      </c>
      <c r="J263" s="43" t="s">
        <v>4779</v>
      </c>
      <c r="K263" s="43" t="s">
        <v>817</v>
      </c>
    </row>
    <row r="264" spans="1:11" ht="15.35" hidden="1" x14ac:dyDescent="0.55000000000000004">
      <c r="A264" s="42"/>
      <c r="B264" s="43" t="s">
        <v>157</v>
      </c>
      <c r="C264" s="43" t="s">
        <v>158</v>
      </c>
      <c r="D264" s="44">
        <v>2025</v>
      </c>
      <c r="E264" s="43" t="s">
        <v>4792</v>
      </c>
      <c r="F264" s="43" t="s">
        <v>4813</v>
      </c>
      <c r="G264" s="45"/>
      <c r="H264" s="46">
        <v>0</v>
      </c>
      <c r="I264" s="46">
        <v>-2.69E-2</v>
      </c>
      <c r="J264" s="43" t="s">
        <v>4779</v>
      </c>
      <c r="K264" s="43" t="s">
        <v>789</v>
      </c>
    </row>
    <row r="265" spans="1:11" ht="15.35" hidden="1" x14ac:dyDescent="0.55000000000000004">
      <c r="A265" s="42"/>
      <c r="B265" s="43" t="s">
        <v>157</v>
      </c>
      <c r="C265" s="43" t="s">
        <v>158</v>
      </c>
      <c r="D265" s="44">
        <v>2025</v>
      </c>
      <c r="E265" s="43" t="s">
        <v>4792</v>
      </c>
      <c r="F265" s="43" t="s">
        <v>1090</v>
      </c>
      <c r="G265" s="45"/>
      <c r="H265" s="46">
        <v>0</v>
      </c>
      <c r="I265" s="46">
        <v>-6.7999999999999996E-3</v>
      </c>
      <c r="J265" s="43" t="s">
        <v>4783</v>
      </c>
      <c r="K265" s="43" t="s">
        <v>787</v>
      </c>
    </row>
    <row r="266" spans="1:11" ht="15.35" hidden="1" x14ac:dyDescent="0.55000000000000004">
      <c r="A266" s="42"/>
      <c r="B266" s="43" t="s">
        <v>157</v>
      </c>
      <c r="C266" s="43" t="s">
        <v>158</v>
      </c>
      <c r="D266" s="44">
        <v>2025</v>
      </c>
      <c r="E266" s="43" t="s">
        <v>4792</v>
      </c>
      <c r="F266" s="43" t="s">
        <v>4817</v>
      </c>
      <c r="G266" s="45"/>
      <c r="H266" s="46">
        <v>0</v>
      </c>
      <c r="I266" s="46">
        <v>-6.0000000000000001E-3</v>
      </c>
      <c r="J266" s="43" t="s">
        <v>4779</v>
      </c>
      <c r="K266" s="43" t="s">
        <v>798</v>
      </c>
    </row>
    <row r="267" spans="1:11" ht="15.35" hidden="1" x14ac:dyDescent="0.55000000000000004">
      <c r="A267" s="42"/>
      <c r="B267" s="43" t="s">
        <v>157</v>
      </c>
      <c r="C267" s="43" t="s">
        <v>158</v>
      </c>
      <c r="D267" s="44">
        <v>2025</v>
      </c>
      <c r="E267" s="43" t="s">
        <v>4792</v>
      </c>
      <c r="F267" s="43" t="s">
        <v>933</v>
      </c>
      <c r="G267" s="45"/>
      <c r="H267" s="46">
        <v>0</v>
      </c>
      <c r="I267" s="46">
        <v>-1.0699999999999999E-2</v>
      </c>
      <c r="J267" s="43" t="s">
        <v>4783</v>
      </c>
      <c r="K267" s="43" t="s">
        <v>787</v>
      </c>
    </row>
    <row r="268" spans="1:11" ht="15.35" hidden="1" x14ac:dyDescent="0.55000000000000004">
      <c r="A268" s="42"/>
      <c r="B268" s="43" t="s">
        <v>157</v>
      </c>
      <c r="C268" s="43" t="s">
        <v>158</v>
      </c>
      <c r="D268" s="44">
        <v>2025</v>
      </c>
      <c r="E268" s="43" t="s">
        <v>4792</v>
      </c>
      <c r="F268" s="43" t="s">
        <v>4811</v>
      </c>
      <c r="G268" s="45"/>
      <c r="H268" s="46">
        <v>0</v>
      </c>
      <c r="I268" s="46">
        <v>-5.9900000000000002E-2</v>
      </c>
      <c r="J268" s="43" t="s">
        <v>4779</v>
      </c>
      <c r="K268" s="43" t="s">
        <v>789</v>
      </c>
    </row>
    <row r="269" spans="1:11" ht="15.35" hidden="1" x14ac:dyDescent="0.55000000000000004">
      <c r="A269" s="42"/>
      <c r="B269" s="43" t="s">
        <v>157</v>
      </c>
      <c r="C269" s="43" t="s">
        <v>158</v>
      </c>
      <c r="D269" s="44">
        <v>2025</v>
      </c>
      <c r="E269" s="43" t="s">
        <v>4792</v>
      </c>
      <c r="F269" s="43" t="s">
        <v>4815</v>
      </c>
      <c r="G269" s="45"/>
      <c r="H269" s="46">
        <v>0</v>
      </c>
      <c r="I269" s="46">
        <v>-9.1000000000000004E-3</v>
      </c>
      <c r="J269" s="43" t="s">
        <v>4783</v>
      </c>
      <c r="K269" s="43" t="s">
        <v>789</v>
      </c>
    </row>
    <row r="270" spans="1:11" ht="15.35" hidden="1" x14ac:dyDescent="0.55000000000000004">
      <c r="A270" s="42"/>
      <c r="B270" s="43" t="s">
        <v>157</v>
      </c>
      <c r="C270" s="43" t="s">
        <v>158</v>
      </c>
      <c r="D270" s="44">
        <v>2025</v>
      </c>
      <c r="E270" s="43" t="s">
        <v>4792</v>
      </c>
      <c r="F270" s="43" t="s">
        <v>4816</v>
      </c>
      <c r="G270" s="45"/>
      <c r="H270" s="46">
        <v>0</v>
      </c>
      <c r="I270" s="46">
        <v>-7.0000000000000001E-3</v>
      </c>
      <c r="J270" s="43" t="s">
        <v>4783</v>
      </c>
      <c r="K270" s="43" t="s">
        <v>789</v>
      </c>
    </row>
    <row r="271" spans="1:11" ht="15.35" hidden="1" x14ac:dyDescent="0.55000000000000004">
      <c r="A271" s="42"/>
      <c r="B271" s="43" t="s">
        <v>157</v>
      </c>
      <c r="C271" s="43" t="s">
        <v>158</v>
      </c>
      <c r="D271" s="44">
        <v>2025</v>
      </c>
      <c r="E271" s="43" t="s">
        <v>4792</v>
      </c>
      <c r="F271" s="43" t="s">
        <v>899</v>
      </c>
      <c r="G271" s="45"/>
      <c r="H271" s="46">
        <v>0</v>
      </c>
      <c r="I271" s="46">
        <v>-1.04E-2</v>
      </c>
      <c r="J271" s="43" t="s">
        <v>4779</v>
      </c>
      <c r="K271" s="43" t="s">
        <v>817</v>
      </c>
    </row>
    <row r="272" spans="1:11" ht="15.35" hidden="1" x14ac:dyDescent="0.55000000000000004">
      <c r="A272" s="38">
        <v>7052</v>
      </c>
      <c r="B272" s="39" t="s">
        <v>157</v>
      </c>
      <c r="C272" s="39" t="s">
        <v>158</v>
      </c>
      <c r="D272" s="38">
        <v>2026</v>
      </c>
      <c r="E272" s="39" t="s">
        <v>4777</v>
      </c>
      <c r="F272" s="39" t="s">
        <v>895</v>
      </c>
      <c r="G272" s="40">
        <v>400000000</v>
      </c>
      <c r="H272" s="41">
        <v>0.4</v>
      </c>
      <c r="I272" s="41">
        <v>0.4</v>
      </c>
      <c r="J272" s="39" t="s">
        <v>4779</v>
      </c>
      <c r="K272" s="39" t="s">
        <v>807</v>
      </c>
    </row>
    <row r="273" spans="1:11" ht="15.35" hidden="1" x14ac:dyDescent="0.55000000000000004">
      <c r="A273" s="38">
        <v>7053</v>
      </c>
      <c r="B273" s="39" t="s">
        <v>157</v>
      </c>
      <c r="C273" s="39" t="s">
        <v>158</v>
      </c>
      <c r="D273" s="38">
        <v>2026</v>
      </c>
      <c r="E273" s="39" t="s">
        <v>4777</v>
      </c>
      <c r="F273" s="39" t="s">
        <v>4820</v>
      </c>
      <c r="G273" s="40">
        <v>78262059</v>
      </c>
      <c r="H273" s="41">
        <v>7.8299999999999995E-2</v>
      </c>
      <c r="I273" s="41">
        <v>7.8299999999999995E-2</v>
      </c>
      <c r="J273" s="39" t="s">
        <v>4783</v>
      </c>
      <c r="K273" s="39" t="s">
        <v>789</v>
      </c>
    </row>
    <row r="274" spans="1:11" ht="15.35" hidden="1" x14ac:dyDescent="0.55000000000000004">
      <c r="A274" s="20">
        <v>7054</v>
      </c>
      <c r="B274" s="2" t="s">
        <v>157</v>
      </c>
      <c r="C274" s="2" t="s">
        <v>158</v>
      </c>
      <c r="D274" s="20">
        <v>2026</v>
      </c>
      <c r="E274" s="2" t="s">
        <v>4777</v>
      </c>
      <c r="F274" s="2" t="s">
        <v>1191</v>
      </c>
      <c r="G274" s="21">
        <v>57812597</v>
      </c>
      <c r="H274" s="23">
        <v>5.7799999999999997E-2</v>
      </c>
      <c r="I274" s="23">
        <v>2.9999999999999997E-4</v>
      </c>
      <c r="J274" s="2" t="s">
        <v>4783</v>
      </c>
      <c r="K274" s="2" t="s">
        <v>787</v>
      </c>
    </row>
    <row r="275" spans="1:11" ht="15.35" hidden="1" x14ac:dyDescent="0.55000000000000004">
      <c r="A275" s="38">
        <v>7055</v>
      </c>
      <c r="B275" s="39" t="s">
        <v>157</v>
      </c>
      <c r="C275" s="39" t="s">
        <v>158</v>
      </c>
      <c r="D275" s="38">
        <v>2026</v>
      </c>
      <c r="E275" s="39" t="s">
        <v>4777</v>
      </c>
      <c r="F275" s="39" t="s">
        <v>1473</v>
      </c>
      <c r="G275" s="40">
        <v>57160000</v>
      </c>
      <c r="H275" s="41">
        <v>5.7200000000000001E-2</v>
      </c>
      <c r="I275" s="41">
        <v>5.7200000000000001E-2</v>
      </c>
      <c r="J275" s="39" t="s">
        <v>4783</v>
      </c>
      <c r="K275" s="39" t="s">
        <v>789</v>
      </c>
    </row>
    <row r="276" spans="1:11" ht="15.35" hidden="1" x14ac:dyDescent="0.55000000000000004">
      <c r="A276" s="20">
        <v>7056</v>
      </c>
      <c r="B276" s="2" t="s">
        <v>157</v>
      </c>
      <c r="C276" s="2" t="s">
        <v>158</v>
      </c>
      <c r="D276" s="20">
        <v>2026</v>
      </c>
      <c r="E276" s="2" t="s">
        <v>4777</v>
      </c>
      <c r="F276" s="2" t="s">
        <v>788</v>
      </c>
      <c r="G276" s="21">
        <v>39098137</v>
      </c>
      <c r="H276" s="23">
        <v>3.9100000000000003E-2</v>
      </c>
      <c r="I276" s="23">
        <v>8.0000000000000004E-4</v>
      </c>
      <c r="J276" s="2" t="s">
        <v>4783</v>
      </c>
      <c r="K276" s="2" t="s">
        <v>787</v>
      </c>
    </row>
    <row r="277" spans="1:11" ht="15.35" hidden="1" x14ac:dyDescent="0.55000000000000004">
      <c r="A277" s="38">
        <v>7057</v>
      </c>
      <c r="B277" s="39" t="s">
        <v>157</v>
      </c>
      <c r="C277" s="39" t="s">
        <v>158</v>
      </c>
      <c r="D277" s="38">
        <v>2026</v>
      </c>
      <c r="E277" s="39" t="s">
        <v>4777</v>
      </c>
      <c r="F277" s="39" t="s">
        <v>4821</v>
      </c>
      <c r="G277" s="40">
        <v>35760200</v>
      </c>
      <c r="H277" s="41">
        <v>3.5799999999999998E-2</v>
      </c>
      <c r="I277" s="41">
        <v>3.5799999999999998E-2</v>
      </c>
      <c r="J277" s="39" t="s">
        <v>4783</v>
      </c>
      <c r="K277" s="39" t="s">
        <v>817</v>
      </c>
    </row>
    <row r="278" spans="1:11" ht="15.35" hidden="1" x14ac:dyDescent="0.55000000000000004">
      <c r="A278" s="20">
        <v>7058</v>
      </c>
      <c r="B278" s="2" t="s">
        <v>157</v>
      </c>
      <c r="C278" s="2" t="s">
        <v>158</v>
      </c>
      <c r="D278" s="20">
        <v>2026</v>
      </c>
      <c r="E278" s="2" t="s">
        <v>4777</v>
      </c>
      <c r="F278" s="2" t="s">
        <v>864</v>
      </c>
      <c r="G278" s="21">
        <v>21876770</v>
      </c>
      <c r="H278" s="23">
        <v>2.1899999999999999E-2</v>
      </c>
      <c r="I278" s="23">
        <v>2.5000000000000001E-3</v>
      </c>
      <c r="J278" s="2" t="s">
        <v>4783</v>
      </c>
      <c r="K278" s="2" t="s">
        <v>787</v>
      </c>
    </row>
    <row r="279" spans="1:11" ht="15.35" hidden="1" x14ac:dyDescent="0.55000000000000004">
      <c r="A279" s="20">
        <v>7059</v>
      </c>
      <c r="B279" s="2" t="s">
        <v>157</v>
      </c>
      <c r="C279" s="2" t="s">
        <v>158</v>
      </c>
      <c r="D279" s="20">
        <v>2026</v>
      </c>
      <c r="E279" s="2" t="s">
        <v>4777</v>
      </c>
      <c r="F279" s="2" t="s">
        <v>922</v>
      </c>
      <c r="G279" s="21">
        <v>21164831</v>
      </c>
      <c r="H279" s="23">
        <v>2.12E-2</v>
      </c>
      <c r="I279" s="23">
        <v>5.0000000000000001E-4</v>
      </c>
      <c r="J279" s="2" t="s">
        <v>4783</v>
      </c>
      <c r="K279" s="2" t="s">
        <v>787</v>
      </c>
    </row>
    <row r="280" spans="1:11" ht="15.35" hidden="1" x14ac:dyDescent="0.55000000000000004">
      <c r="A280" s="20">
        <v>7039</v>
      </c>
      <c r="B280" s="2" t="s">
        <v>157</v>
      </c>
      <c r="C280" s="2" t="s">
        <v>158</v>
      </c>
      <c r="D280" s="20">
        <v>2026</v>
      </c>
      <c r="E280" s="2" t="s">
        <v>4777</v>
      </c>
      <c r="F280" s="2" t="s">
        <v>939</v>
      </c>
      <c r="G280" s="21">
        <v>19663113</v>
      </c>
      <c r="H280" s="23">
        <v>1.9699999999999999E-2</v>
      </c>
      <c r="I280" s="23">
        <v>5.8999999999999999E-3</v>
      </c>
      <c r="J280" s="2" t="s">
        <v>4783</v>
      </c>
      <c r="K280" s="2" t="s">
        <v>787</v>
      </c>
    </row>
    <row r="281" spans="1:11" ht="15.35" hidden="1" x14ac:dyDescent="0.55000000000000004">
      <c r="A281" s="20">
        <v>7049</v>
      </c>
      <c r="B281" s="2" t="s">
        <v>157</v>
      </c>
      <c r="C281" s="2" t="s">
        <v>158</v>
      </c>
      <c r="D281" s="20">
        <v>2026</v>
      </c>
      <c r="E281" s="2" t="s">
        <v>4777</v>
      </c>
      <c r="F281" s="2" t="s">
        <v>892</v>
      </c>
      <c r="G281" s="21">
        <v>16928862</v>
      </c>
      <c r="H281" s="23">
        <v>1.6899999999999998E-2</v>
      </c>
      <c r="I281" s="23">
        <v>0</v>
      </c>
      <c r="J281" s="2" t="s">
        <v>4783</v>
      </c>
      <c r="K281" s="2" t="s">
        <v>787</v>
      </c>
    </row>
    <row r="282" spans="1:11" ht="15.35" hidden="1" x14ac:dyDescent="0.55000000000000004">
      <c r="A282" s="38">
        <v>7038</v>
      </c>
      <c r="B282" s="39" t="s">
        <v>157</v>
      </c>
      <c r="C282" s="39" t="s">
        <v>158</v>
      </c>
      <c r="D282" s="38">
        <v>2026</v>
      </c>
      <c r="E282" s="39" t="s">
        <v>4777</v>
      </c>
      <c r="F282" s="39" t="s">
        <v>4822</v>
      </c>
      <c r="G282" s="40">
        <v>11371645</v>
      </c>
      <c r="H282" s="41">
        <v>1.14E-2</v>
      </c>
      <c r="I282" s="41">
        <v>1.14E-2</v>
      </c>
      <c r="J282" s="39" t="s">
        <v>4783</v>
      </c>
      <c r="K282" s="39" t="s">
        <v>789</v>
      </c>
    </row>
    <row r="283" spans="1:11" ht="15.35" hidden="1" x14ac:dyDescent="0.55000000000000004">
      <c r="A283" s="42"/>
      <c r="B283" s="43" t="s">
        <v>157</v>
      </c>
      <c r="C283" s="43" t="s">
        <v>158</v>
      </c>
      <c r="D283" s="44">
        <v>2026</v>
      </c>
      <c r="E283" s="43" t="s">
        <v>4777</v>
      </c>
      <c r="F283" s="43" t="s">
        <v>4780</v>
      </c>
      <c r="G283" s="45"/>
      <c r="H283" s="46">
        <v>0</v>
      </c>
      <c r="I283" s="46">
        <v>-0.03</v>
      </c>
      <c r="J283" s="43" t="s">
        <v>4783</v>
      </c>
      <c r="K283" s="43" t="s">
        <v>789</v>
      </c>
    </row>
    <row r="284" spans="1:11" ht="15.35" hidden="1" x14ac:dyDescent="0.55000000000000004">
      <c r="A284" s="42"/>
      <c r="B284" s="43" t="s">
        <v>157</v>
      </c>
      <c r="C284" s="43" t="s">
        <v>158</v>
      </c>
      <c r="D284" s="44">
        <v>2026</v>
      </c>
      <c r="E284" s="43" t="s">
        <v>4777</v>
      </c>
      <c r="F284" s="43" t="s">
        <v>4819</v>
      </c>
      <c r="G284" s="45"/>
      <c r="H284" s="46">
        <v>0</v>
      </c>
      <c r="I284" s="46">
        <v>-7.8299999999999995E-2</v>
      </c>
      <c r="J284" s="43" t="s">
        <v>4783</v>
      </c>
      <c r="K284" s="43" t="s">
        <v>789</v>
      </c>
    </row>
    <row r="285" spans="1:11" ht="15.35" hidden="1" x14ac:dyDescent="0.55000000000000004">
      <c r="A285" s="42"/>
      <c r="B285" s="43" t="s">
        <v>157</v>
      </c>
      <c r="C285" s="43" t="s">
        <v>158</v>
      </c>
      <c r="D285" s="44">
        <v>2026</v>
      </c>
      <c r="E285" s="43" t="s">
        <v>4777</v>
      </c>
      <c r="F285" s="43" t="s">
        <v>4812</v>
      </c>
      <c r="G285" s="45"/>
      <c r="H285" s="46">
        <v>0</v>
      </c>
      <c r="I285" s="46">
        <v>-4.4900000000000002E-2</v>
      </c>
      <c r="J285" s="43" t="s">
        <v>4783</v>
      </c>
      <c r="K285" s="43" t="s">
        <v>817</v>
      </c>
    </row>
    <row r="286" spans="1:11" ht="15.35" hidden="1" x14ac:dyDescent="0.55000000000000004">
      <c r="A286" s="42"/>
      <c r="B286" s="43" t="s">
        <v>157</v>
      </c>
      <c r="C286" s="43" t="s">
        <v>158</v>
      </c>
      <c r="D286" s="44">
        <v>2026</v>
      </c>
      <c r="E286" s="43" t="s">
        <v>4777</v>
      </c>
      <c r="F286" s="43" t="s">
        <v>4809</v>
      </c>
      <c r="G286" s="45"/>
      <c r="H286" s="46">
        <v>0</v>
      </c>
      <c r="I286" s="46">
        <v>-0.4</v>
      </c>
      <c r="J286" s="43" t="s">
        <v>4779</v>
      </c>
      <c r="K286" s="43" t="s">
        <v>807</v>
      </c>
    </row>
    <row r="287" spans="1:11" ht="15.35" hidden="1" x14ac:dyDescent="0.55000000000000004">
      <c r="A287" s="42"/>
      <c r="B287" s="43" t="s">
        <v>157</v>
      </c>
      <c r="C287" s="43" t="s">
        <v>158</v>
      </c>
      <c r="D287" s="44">
        <v>2026</v>
      </c>
      <c r="E287" s="43" t="s">
        <v>4777</v>
      </c>
      <c r="F287" s="43" t="s">
        <v>4811</v>
      </c>
      <c r="G287" s="45"/>
      <c r="H287" s="46">
        <v>0</v>
      </c>
      <c r="I287" s="46">
        <v>-5.7200000000000001E-2</v>
      </c>
      <c r="J287" s="43" t="s">
        <v>4783</v>
      </c>
      <c r="K287" s="43" t="s">
        <v>789</v>
      </c>
    </row>
    <row r="288" spans="1:11" ht="15.35" hidden="1" x14ac:dyDescent="0.55000000000000004">
      <c r="A288" s="20">
        <v>4340</v>
      </c>
      <c r="B288" s="2" t="s">
        <v>161</v>
      </c>
      <c r="C288" s="2" t="s">
        <v>162</v>
      </c>
      <c r="D288" s="20">
        <v>2025</v>
      </c>
      <c r="E288" s="2" t="s">
        <v>4777</v>
      </c>
      <c r="F288" s="2" t="s">
        <v>4823</v>
      </c>
      <c r="G288" s="21">
        <v>170000000</v>
      </c>
      <c r="H288" s="23">
        <v>0.34</v>
      </c>
      <c r="I288" s="37" t="s">
        <v>4778</v>
      </c>
      <c r="J288" s="2" t="s">
        <v>4779</v>
      </c>
      <c r="K288" s="2" t="s">
        <v>807</v>
      </c>
    </row>
    <row r="289" spans="1:11" ht="15.35" hidden="1" x14ac:dyDescent="0.55000000000000004">
      <c r="A289" s="20">
        <v>4349</v>
      </c>
      <c r="B289" s="2" t="s">
        <v>161</v>
      </c>
      <c r="C289" s="2" t="s">
        <v>162</v>
      </c>
      <c r="D289" s="20">
        <v>2025</v>
      </c>
      <c r="E289" s="2" t="s">
        <v>4777</v>
      </c>
      <c r="F289" s="2" t="s">
        <v>982</v>
      </c>
      <c r="G289" s="21">
        <v>27090000</v>
      </c>
      <c r="H289" s="23">
        <v>5.4199999999999998E-2</v>
      </c>
      <c r="I289" s="37" t="s">
        <v>4778</v>
      </c>
      <c r="J289" s="2" t="s">
        <v>4779</v>
      </c>
      <c r="K289" s="2" t="s">
        <v>817</v>
      </c>
    </row>
    <row r="290" spans="1:11" ht="15.35" hidden="1" x14ac:dyDescent="0.55000000000000004">
      <c r="A290" s="20">
        <v>4343</v>
      </c>
      <c r="B290" s="2" t="s">
        <v>161</v>
      </c>
      <c r="C290" s="2" t="s">
        <v>162</v>
      </c>
      <c r="D290" s="20">
        <v>2025</v>
      </c>
      <c r="E290" s="2" t="s">
        <v>4777</v>
      </c>
      <c r="F290" s="2" t="s">
        <v>892</v>
      </c>
      <c r="G290" s="21">
        <v>16040000</v>
      </c>
      <c r="H290" s="23">
        <v>3.2099999999999997E-2</v>
      </c>
      <c r="I290" s="37" t="s">
        <v>4778</v>
      </c>
      <c r="J290" s="2" t="s">
        <v>4779</v>
      </c>
      <c r="K290" s="2" t="s">
        <v>787</v>
      </c>
    </row>
    <row r="291" spans="1:11" ht="15.35" hidden="1" x14ac:dyDescent="0.55000000000000004">
      <c r="A291" s="20">
        <v>4342</v>
      </c>
      <c r="B291" s="2" t="s">
        <v>161</v>
      </c>
      <c r="C291" s="2" t="s">
        <v>162</v>
      </c>
      <c r="D291" s="20">
        <v>2025</v>
      </c>
      <c r="E291" s="2" t="s">
        <v>4777</v>
      </c>
      <c r="F291" s="2" t="s">
        <v>797</v>
      </c>
      <c r="G291" s="21">
        <v>16040000</v>
      </c>
      <c r="H291" s="23">
        <v>3.2099999999999997E-2</v>
      </c>
      <c r="I291" s="37" t="s">
        <v>4778</v>
      </c>
      <c r="J291" s="2" t="s">
        <v>4779</v>
      </c>
      <c r="K291" s="2" t="s">
        <v>783</v>
      </c>
    </row>
    <row r="292" spans="1:11" ht="15.35" hidden="1" x14ac:dyDescent="0.55000000000000004">
      <c r="A292" s="20">
        <v>4341</v>
      </c>
      <c r="B292" s="2" t="s">
        <v>161</v>
      </c>
      <c r="C292" s="2" t="s">
        <v>162</v>
      </c>
      <c r="D292" s="20">
        <v>2025</v>
      </c>
      <c r="E292" s="2" t="s">
        <v>4777</v>
      </c>
      <c r="F292" s="2" t="s">
        <v>1000</v>
      </c>
      <c r="G292" s="21">
        <v>16040000</v>
      </c>
      <c r="H292" s="23">
        <v>3.2099999999999997E-2</v>
      </c>
      <c r="I292" s="37" t="s">
        <v>4778</v>
      </c>
      <c r="J292" s="2" t="s">
        <v>4779</v>
      </c>
      <c r="K292" s="2" t="s">
        <v>811</v>
      </c>
    </row>
    <row r="293" spans="1:11" ht="15.35" hidden="1" x14ac:dyDescent="0.55000000000000004">
      <c r="A293" s="20">
        <v>4350</v>
      </c>
      <c r="B293" s="2" t="s">
        <v>161</v>
      </c>
      <c r="C293" s="2" t="s">
        <v>162</v>
      </c>
      <c r="D293" s="20">
        <v>2025</v>
      </c>
      <c r="E293" s="2" t="s">
        <v>4777</v>
      </c>
      <c r="F293" s="2" t="s">
        <v>1007</v>
      </c>
      <c r="G293" s="21">
        <v>15778024</v>
      </c>
      <c r="H293" s="23">
        <v>3.1600000000000003E-2</v>
      </c>
      <c r="I293" s="37" t="s">
        <v>4778</v>
      </c>
      <c r="J293" s="2" t="s">
        <v>4783</v>
      </c>
      <c r="K293" s="2" t="s">
        <v>787</v>
      </c>
    </row>
    <row r="294" spans="1:11" ht="15.35" hidden="1" x14ac:dyDescent="0.55000000000000004">
      <c r="A294" s="20">
        <v>4344</v>
      </c>
      <c r="B294" s="2" t="s">
        <v>161</v>
      </c>
      <c r="C294" s="2" t="s">
        <v>162</v>
      </c>
      <c r="D294" s="20">
        <v>2025</v>
      </c>
      <c r="E294" s="2" t="s">
        <v>4777</v>
      </c>
      <c r="F294" s="2" t="s">
        <v>984</v>
      </c>
      <c r="G294" s="21">
        <v>12830000</v>
      </c>
      <c r="H294" s="23">
        <v>2.5700000000000001E-2</v>
      </c>
      <c r="I294" s="37" t="s">
        <v>4778</v>
      </c>
      <c r="J294" s="2" t="s">
        <v>4779</v>
      </c>
      <c r="K294" s="2" t="s">
        <v>789</v>
      </c>
    </row>
    <row r="295" spans="1:11" ht="15.35" hidden="1" x14ac:dyDescent="0.55000000000000004">
      <c r="A295" s="20">
        <v>4348</v>
      </c>
      <c r="B295" s="2" t="s">
        <v>161</v>
      </c>
      <c r="C295" s="2" t="s">
        <v>162</v>
      </c>
      <c r="D295" s="20">
        <v>2025</v>
      </c>
      <c r="E295" s="2" t="s">
        <v>4777</v>
      </c>
      <c r="F295" s="2" t="s">
        <v>904</v>
      </c>
      <c r="G295" s="21">
        <v>9620000</v>
      </c>
      <c r="H295" s="23">
        <v>1.9199999999999998E-2</v>
      </c>
      <c r="I295" s="37" t="s">
        <v>4778</v>
      </c>
      <c r="J295" s="2" t="s">
        <v>4779</v>
      </c>
      <c r="K295" s="2" t="s">
        <v>787</v>
      </c>
    </row>
    <row r="296" spans="1:11" ht="15.35" hidden="1" x14ac:dyDescent="0.55000000000000004">
      <c r="A296" s="20">
        <v>4347</v>
      </c>
      <c r="B296" s="2" t="s">
        <v>161</v>
      </c>
      <c r="C296" s="2" t="s">
        <v>162</v>
      </c>
      <c r="D296" s="20">
        <v>2025</v>
      </c>
      <c r="E296" s="2" t="s">
        <v>4777</v>
      </c>
      <c r="F296" s="2" t="s">
        <v>788</v>
      </c>
      <c r="G296" s="21">
        <v>9620000</v>
      </c>
      <c r="H296" s="23">
        <v>1.9199999999999998E-2</v>
      </c>
      <c r="I296" s="37" t="s">
        <v>4778</v>
      </c>
      <c r="J296" s="2" t="s">
        <v>4779</v>
      </c>
      <c r="K296" s="2" t="s">
        <v>787</v>
      </c>
    </row>
    <row r="297" spans="1:11" ht="15.35" hidden="1" x14ac:dyDescent="0.55000000000000004">
      <c r="A297" s="20">
        <v>4346</v>
      </c>
      <c r="B297" s="2" t="s">
        <v>161</v>
      </c>
      <c r="C297" s="2" t="s">
        <v>162</v>
      </c>
      <c r="D297" s="20">
        <v>2025</v>
      </c>
      <c r="E297" s="2" t="s">
        <v>4777</v>
      </c>
      <c r="F297" s="2" t="s">
        <v>970</v>
      </c>
      <c r="G297" s="21">
        <v>9620000</v>
      </c>
      <c r="H297" s="23">
        <v>1.9199999999999998E-2</v>
      </c>
      <c r="I297" s="37" t="s">
        <v>4778</v>
      </c>
      <c r="J297" s="2" t="s">
        <v>4779</v>
      </c>
      <c r="K297" s="2" t="s">
        <v>789</v>
      </c>
    </row>
    <row r="298" spans="1:11" ht="15.35" hidden="1" x14ac:dyDescent="0.55000000000000004">
      <c r="A298" s="20">
        <v>4330</v>
      </c>
      <c r="B298" s="2" t="s">
        <v>161</v>
      </c>
      <c r="C298" s="2" t="s">
        <v>162</v>
      </c>
      <c r="D298" s="20">
        <v>2025</v>
      </c>
      <c r="E298" s="2" t="s">
        <v>4777</v>
      </c>
      <c r="F298" s="2" t="s">
        <v>975</v>
      </c>
      <c r="G298" s="21">
        <v>9620000</v>
      </c>
      <c r="H298" s="23">
        <v>1.9199999999999998E-2</v>
      </c>
      <c r="I298" s="37" t="s">
        <v>4778</v>
      </c>
      <c r="J298" s="2" t="s">
        <v>4779</v>
      </c>
      <c r="K298" s="2" t="s">
        <v>787</v>
      </c>
    </row>
    <row r="299" spans="1:11" ht="15.35" hidden="1" x14ac:dyDescent="0.55000000000000004">
      <c r="A299" s="20">
        <v>4345</v>
      </c>
      <c r="B299" s="2" t="s">
        <v>161</v>
      </c>
      <c r="C299" s="2" t="s">
        <v>162</v>
      </c>
      <c r="D299" s="20">
        <v>2025</v>
      </c>
      <c r="E299" s="2" t="s">
        <v>4777</v>
      </c>
      <c r="F299" s="2" t="s">
        <v>998</v>
      </c>
      <c r="G299" s="21">
        <v>9620000</v>
      </c>
      <c r="H299" s="23">
        <v>1.9199999999999998E-2</v>
      </c>
      <c r="I299" s="37" t="s">
        <v>4778</v>
      </c>
      <c r="J299" s="2" t="s">
        <v>4779</v>
      </c>
      <c r="K299" s="2" t="s">
        <v>813</v>
      </c>
    </row>
    <row r="300" spans="1:11" ht="15.35" hidden="1" x14ac:dyDescent="0.55000000000000004">
      <c r="A300" s="20">
        <v>4339</v>
      </c>
      <c r="B300" s="2" t="s">
        <v>161</v>
      </c>
      <c r="C300" s="2" t="s">
        <v>162</v>
      </c>
      <c r="D300" s="20">
        <v>2025</v>
      </c>
      <c r="E300" s="2" t="s">
        <v>4777</v>
      </c>
      <c r="F300" s="2" t="s">
        <v>952</v>
      </c>
      <c r="G300" s="21">
        <v>7972716</v>
      </c>
      <c r="H300" s="23">
        <v>1.5900000000000001E-2</v>
      </c>
      <c r="I300" s="37" t="s">
        <v>4778</v>
      </c>
      <c r="J300" s="2" t="s">
        <v>4783</v>
      </c>
      <c r="K300" s="2" t="s">
        <v>787</v>
      </c>
    </row>
    <row r="301" spans="1:11" ht="15.35" hidden="1" x14ac:dyDescent="0.55000000000000004">
      <c r="A301" s="20">
        <v>4331</v>
      </c>
      <c r="B301" s="2" t="s">
        <v>161</v>
      </c>
      <c r="C301" s="2" t="s">
        <v>162</v>
      </c>
      <c r="D301" s="20">
        <v>2025</v>
      </c>
      <c r="E301" s="2" t="s">
        <v>4777</v>
      </c>
      <c r="F301" s="2" t="s">
        <v>922</v>
      </c>
      <c r="G301" s="21">
        <v>7114938</v>
      </c>
      <c r="H301" s="23">
        <v>1.4200000000000001E-2</v>
      </c>
      <c r="I301" s="37" t="s">
        <v>4778</v>
      </c>
      <c r="J301" s="2" t="s">
        <v>4783</v>
      </c>
      <c r="K301" s="2" t="s">
        <v>787</v>
      </c>
    </row>
    <row r="302" spans="1:11" ht="15.35" hidden="1" x14ac:dyDescent="0.55000000000000004">
      <c r="A302" s="20">
        <v>4332</v>
      </c>
      <c r="B302" s="2" t="s">
        <v>161</v>
      </c>
      <c r="C302" s="2" t="s">
        <v>162</v>
      </c>
      <c r="D302" s="20">
        <v>2025</v>
      </c>
      <c r="E302" s="2" t="s">
        <v>4777</v>
      </c>
      <c r="F302" s="2" t="s">
        <v>4814</v>
      </c>
      <c r="G302" s="21">
        <v>4901866</v>
      </c>
      <c r="H302" s="23">
        <v>9.7999999999999997E-3</v>
      </c>
      <c r="I302" s="37" t="s">
        <v>4778</v>
      </c>
      <c r="J302" s="2" t="s">
        <v>4783</v>
      </c>
      <c r="K302" s="2" t="s">
        <v>789</v>
      </c>
    </row>
    <row r="303" spans="1:11" ht="15.35" hidden="1" x14ac:dyDescent="0.55000000000000004">
      <c r="A303" s="20">
        <v>4333</v>
      </c>
      <c r="B303" s="2" t="s">
        <v>161</v>
      </c>
      <c r="C303" s="2" t="s">
        <v>162</v>
      </c>
      <c r="D303" s="20">
        <v>2025</v>
      </c>
      <c r="E303" s="2" t="s">
        <v>4777</v>
      </c>
      <c r="F303" s="2" t="s">
        <v>4824</v>
      </c>
      <c r="G303" s="21">
        <v>4530000</v>
      </c>
      <c r="H303" s="23">
        <v>9.1000000000000004E-3</v>
      </c>
      <c r="I303" s="37" t="s">
        <v>4778</v>
      </c>
      <c r="J303" s="2" t="s">
        <v>4783</v>
      </c>
      <c r="K303" s="2" t="s">
        <v>789</v>
      </c>
    </row>
    <row r="304" spans="1:11" ht="15.35" hidden="1" x14ac:dyDescent="0.55000000000000004">
      <c r="A304" s="20">
        <v>4334</v>
      </c>
      <c r="B304" s="2" t="s">
        <v>161</v>
      </c>
      <c r="C304" s="2" t="s">
        <v>162</v>
      </c>
      <c r="D304" s="20">
        <v>2025</v>
      </c>
      <c r="E304" s="2" t="s">
        <v>4777</v>
      </c>
      <c r="F304" s="2" t="s">
        <v>892</v>
      </c>
      <c r="G304" s="21">
        <v>3340456</v>
      </c>
      <c r="H304" s="23">
        <v>6.7000000000000002E-3</v>
      </c>
      <c r="I304" s="37" t="s">
        <v>4778</v>
      </c>
      <c r="J304" s="2" t="s">
        <v>4783</v>
      </c>
      <c r="K304" s="2" t="s">
        <v>787</v>
      </c>
    </row>
    <row r="305" spans="1:11" ht="15.35" hidden="1" x14ac:dyDescent="0.55000000000000004">
      <c r="A305" s="20">
        <v>4336</v>
      </c>
      <c r="B305" s="2" t="s">
        <v>161</v>
      </c>
      <c r="C305" s="2" t="s">
        <v>162</v>
      </c>
      <c r="D305" s="20">
        <v>2025</v>
      </c>
      <c r="E305" s="2" t="s">
        <v>4777</v>
      </c>
      <c r="F305" s="2" t="s">
        <v>1270</v>
      </c>
      <c r="G305" s="21">
        <v>2604443</v>
      </c>
      <c r="H305" s="23">
        <v>5.1999999999999998E-3</v>
      </c>
      <c r="I305" s="37" t="s">
        <v>4778</v>
      </c>
      <c r="J305" s="2" t="s">
        <v>4783</v>
      </c>
      <c r="K305" s="2" t="s">
        <v>787</v>
      </c>
    </row>
    <row r="306" spans="1:11" ht="15.35" hidden="1" x14ac:dyDescent="0.55000000000000004">
      <c r="A306" s="20">
        <v>4335</v>
      </c>
      <c r="B306" s="2" t="s">
        <v>161</v>
      </c>
      <c r="C306" s="2" t="s">
        <v>162</v>
      </c>
      <c r="D306" s="20">
        <v>2025</v>
      </c>
      <c r="E306" s="2" t="s">
        <v>4777</v>
      </c>
      <c r="F306" s="2" t="s">
        <v>4800</v>
      </c>
      <c r="G306" s="21">
        <v>2620736</v>
      </c>
      <c r="H306" s="23">
        <v>5.1999999999999998E-3</v>
      </c>
      <c r="I306" s="37" t="s">
        <v>4778</v>
      </c>
      <c r="J306" s="2" t="s">
        <v>4783</v>
      </c>
      <c r="K306" s="2" t="s">
        <v>793</v>
      </c>
    </row>
    <row r="307" spans="1:11" ht="15.35" hidden="1" x14ac:dyDescent="0.55000000000000004">
      <c r="A307" s="20">
        <v>4338</v>
      </c>
      <c r="B307" s="2" t="s">
        <v>161</v>
      </c>
      <c r="C307" s="2" t="s">
        <v>162</v>
      </c>
      <c r="D307" s="20">
        <v>2025</v>
      </c>
      <c r="E307" s="2" t="s">
        <v>4777</v>
      </c>
      <c r="F307" s="2" t="s">
        <v>1095</v>
      </c>
      <c r="G307" s="21">
        <v>2495932</v>
      </c>
      <c r="H307" s="23">
        <v>5.0000000000000001E-3</v>
      </c>
      <c r="I307" s="37" t="s">
        <v>4778</v>
      </c>
      <c r="J307" s="2" t="s">
        <v>4783</v>
      </c>
      <c r="K307" s="2" t="s">
        <v>787</v>
      </c>
    </row>
    <row r="308" spans="1:11" ht="15.35" hidden="1" x14ac:dyDescent="0.55000000000000004">
      <c r="A308" s="20">
        <v>4351</v>
      </c>
      <c r="B308" s="2" t="s">
        <v>161</v>
      </c>
      <c r="C308" s="2" t="s">
        <v>162</v>
      </c>
      <c r="D308" s="20">
        <v>2025</v>
      </c>
      <c r="E308" s="2" t="s">
        <v>4777</v>
      </c>
      <c r="F308" s="2" t="s">
        <v>4825</v>
      </c>
      <c r="G308" s="21">
        <v>2389274</v>
      </c>
      <c r="H308" s="23">
        <v>4.7999999999999996E-3</v>
      </c>
      <c r="I308" s="37" t="s">
        <v>4778</v>
      </c>
      <c r="J308" s="2" t="s">
        <v>4783</v>
      </c>
      <c r="K308" s="2" t="s">
        <v>817</v>
      </c>
    </row>
    <row r="309" spans="1:11" ht="15.35" hidden="1" x14ac:dyDescent="0.55000000000000004">
      <c r="A309" s="20">
        <v>5316</v>
      </c>
      <c r="B309" s="2" t="s">
        <v>161</v>
      </c>
      <c r="C309" s="2" t="s">
        <v>162</v>
      </c>
      <c r="D309" s="20">
        <v>2025</v>
      </c>
      <c r="E309" s="2" t="s">
        <v>4792</v>
      </c>
      <c r="F309" s="2" t="s">
        <v>4823</v>
      </c>
      <c r="G309" s="21">
        <v>170000000</v>
      </c>
      <c r="H309" s="23">
        <v>0.34</v>
      </c>
      <c r="I309" s="23">
        <v>0</v>
      </c>
      <c r="J309" s="2" t="s">
        <v>4779</v>
      </c>
      <c r="K309" s="2" t="s">
        <v>807</v>
      </c>
    </row>
    <row r="310" spans="1:11" ht="15.35" hidden="1" x14ac:dyDescent="0.55000000000000004">
      <c r="A310" s="20">
        <v>5315</v>
      </c>
      <c r="B310" s="2" t="s">
        <v>161</v>
      </c>
      <c r="C310" s="2" t="s">
        <v>162</v>
      </c>
      <c r="D310" s="20">
        <v>2025</v>
      </c>
      <c r="E310" s="2" t="s">
        <v>4792</v>
      </c>
      <c r="F310" s="2" t="s">
        <v>982</v>
      </c>
      <c r="G310" s="21">
        <v>27090000</v>
      </c>
      <c r="H310" s="23">
        <v>5.4199999999999998E-2</v>
      </c>
      <c r="I310" s="23">
        <v>0</v>
      </c>
      <c r="J310" s="2" t="s">
        <v>4779</v>
      </c>
      <c r="K310" s="2" t="s">
        <v>817</v>
      </c>
    </row>
    <row r="311" spans="1:11" ht="15.35" hidden="1" x14ac:dyDescent="0.55000000000000004">
      <c r="A311" s="20">
        <v>5312</v>
      </c>
      <c r="B311" s="2" t="s">
        <v>161</v>
      </c>
      <c r="C311" s="2" t="s">
        <v>162</v>
      </c>
      <c r="D311" s="20">
        <v>2025</v>
      </c>
      <c r="E311" s="2" t="s">
        <v>4792</v>
      </c>
      <c r="F311" s="2" t="s">
        <v>892</v>
      </c>
      <c r="G311" s="21">
        <v>16040000</v>
      </c>
      <c r="H311" s="23">
        <v>3.2099999999999997E-2</v>
      </c>
      <c r="I311" s="23">
        <v>0</v>
      </c>
      <c r="J311" s="2" t="s">
        <v>4779</v>
      </c>
      <c r="K311" s="2" t="s">
        <v>787</v>
      </c>
    </row>
    <row r="312" spans="1:11" ht="15.35" hidden="1" x14ac:dyDescent="0.55000000000000004">
      <c r="A312" s="20">
        <v>5313</v>
      </c>
      <c r="B312" s="2" t="s">
        <v>161</v>
      </c>
      <c r="C312" s="2" t="s">
        <v>162</v>
      </c>
      <c r="D312" s="20">
        <v>2025</v>
      </c>
      <c r="E312" s="2" t="s">
        <v>4792</v>
      </c>
      <c r="F312" s="2" t="s">
        <v>797</v>
      </c>
      <c r="G312" s="21">
        <v>16040000</v>
      </c>
      <c r="H312" s="23">
        <v>3.2099999999999997E-2</v>
      </c>
      <c r="I312" s="23">
        <v>0</v>
      </c>
      <c r="J312" s="2" t="s">
        <v>4779</v>
      </c>
      <c r="K312" s="2" t="s">
        <v>783</v>
      </c>
    </row>
    <row r="313" spans="1:11" ht="15.35" hidden="1" x14ac:dyDescent="0.55000000000000004">
      <c r="A313" s="20">
        <v>5314</v>
      </c>
      <c r="B313" s="2" t="s">
        <v>161</v>
      </c>
      <c r="C313" s="2" t="s">
        <v>162</v>
      </c>
      <c r="D313" s="20">
        <v>2025</v>
      </c>
      <c r="E313" s="2" t="s">
        <v>4792</v>
      </c>
      <c r="F313" s="2" t="s">
        <v>1000</v>
      </c>
      <c r="G313" s="21">
        <v>16040000</v>
      </c>
      <c r="H313" s="23">
        <v>3.2099999999999997E-2</v>
      </c>
      <c r="I313" s="23">
        <v>0</v>
      </c>
      <c r="J313" s="2" t="s">
        <v>4779</v>
      </c>
      <c r="K313" s="2" t="s">
        <v>811</v>
      </c>
    </row>
    <row r="314" spans="1:11" ht="15.35" hidden="1" x14ac:dyDescent="0.55000000000000004">
      <c r="A314" s="20">
        <v>5305</v>
      </c>
      <c r="B314" s="2" t="s">
        <v>161</v>
      </c>
      <c r="C314" s="2" t="s">
        <v>162</v>
      </c>
      <c r="D314" s="20">
        <v>2025</v>
      </c>
      <c r="E314" s="2" t="s">
        <v>4792</v>
      </c>
      <c r="F314" s="2" t="s">
        <v>1007</v>
      </c>
      <c r="G314" s="21">
        <v>14280832</v>
      </c>
      <c r="H314" s="23">
        <v>2.86E-2</v>
      </c>
      <c r="I314" s="23">
        <v>-3.0000000000000001E-3</v>
      </c>
      <c r="J314" s="2" t="s">
        <v>4783</v>
      </c>
      <c r="K314" s="2" t="s">
        <v>787</v>
      </c>
    </row>
    <row r="315" spans="1:11" ht="15.35" hidden="1" x14ac:dyDescent="0.55000000000000004">
      <c r="A315" s="20">
        <v>5311</v>
      </c>
      <c r="B315" s="2" t="s">
        <v>161</v>
      </c>
      <c r="C315" s="2" t="s">
        <v>162</v>
      </c>
      <c r="D315" s="20">
        <v>2025</v>
      </c>
      <c r="E315" s="2" t="s">
        <v>4792</v>
      </c>
      <c r="F315" s="2" t="s">
        <v>984</v>
      </c>
      <c r="G315" s="21">
        <v>12830000</v>
      </c>
      <c r="H315" s="23">
        <v>2.5700000000000001E-2</v>
      </c>
      <c r="I315" s="23">
        <v>0</v>
      </c>
      <c r="J315" s="2" t="s">
        <v>4779</v>
      </c>
      <c r="K315" s="2" t="s">
        <v>789</v>
      </c>
    </row>
    <row r="316" spans="1:11" ht="15.35" hidden="1" x14ac:dyDescent="0.55000000000000004">
      <c r="A316" s="20">
        <v>5307</v>
      </c>
      <c r="B316" s="2" t="s">
        <v>161</v>
      </c>
      <c r="C316" s="2" t="s">
        <v>162</v>
      </c>
      <c r="D316" s="20">
        <v>2025</v>
      </c>
      <c r="E316" s="2" t="s">
        <v>4792</v>
      </c>
      <c r="F316" s="2" t="s">
        <v>904</v>
      </c>
      <c r="G316" s="21">
        <v>9620000</v>
      </c>
      <c r="H316" s="23">
        <v>1.9199999999999998E-2</v>
      </c>
      <c r="I316" s="23">
        <v>0</v>
      </c>
      <c r="J316" s="2" t="s">
        <v>4779</v>
      </c>
      <c r="K316" s="2" t="s">
        <v>787</v>
      </c>
    </row>
    <row r="317" spans="1:11" ht="15.35" hidden="1" x14ac:dyDescent="0.55000000000000004">
      <c r="A317" s="20">
        <v>5308</v>
      </c>
      <c r="B317" s="2" t="s">
        <v>161</v>
      </c>
      <c r="C317" s="2" t="s">
        <v>162</v>
      </c>
      <c r="D317" s="20">
        <v>2025</v>
      </c>
      <c r="E317" s="2" t="s">
        <v>4792</v>
      </c>
      <c r="F317" s="2" t="s">
        <v>788</v>
      </c>
      <c r="G317" s="21">
        <v>9620000</v>
      </c>
      <c r="H317" s="23">
        <v>1.9199999999999998E-2</v>
      </c>
      <c r="I317" s="23">
        <v>0</v>
      </c>
      <c r="J317" s="2" t="s">
        <v>4779</v>
      </c>
      <c r="K317" s="2" t="s">
        <v>787</v>
      </c>
    </row>
    <row r="318" spans="1:11" ht="15.35" hidden="1" x14ac:dyDescent="0.55000000000000004">
      <c r="A318" s="20">
        <v>5309</v>
      </c>
      <c r="B318" s="2" t="s">
        <v>161</v>
      </c>
      <c r="C318" s="2" t="s">
        <v>162</v>
      </c>
      <c r="D318" s="20">
        <v>2025</v>
      </c>
      <c r="E318" s="2" t="s">
        <v>4792</v>
      </c>
      <c r="F318" s="2" t="s">
        <v>970</v>
      </c>
      <c r="G318" s="21">
        <v>9620000</v>
      </c>
      <c r="H318" s="23">
        <v>1.9199999999999998E-2</v>
      </c>
      <c r="I318" s="23">
        <v>0</v>
      </c>
      <c r="J318" s="2" t="s">
        <v>4779</v>
      </c>
      <c r="K318" s="2" t="s">
        <v>789</v>
      </c>
    </row>
    <row r="319" spans="1:11" ht="15.35" hidden="1" x14ac:dyDescent="0.55000000000000004">
      <c r="A319" s="20">
        <v>5306</v>
      </c>
      <c r="B319" s="2" t="s">
        <v>161</v>
      </c>
      <c r="C319" s="2" t="s">
        <v>162</v>
      </c>
      <c r="D319" s="20">
        <v>2025</v>
      </c>
      <c r="E319" s="2" t="s">
        <v>4792</v>
      </c>
      <c r="F319" s="2" t="s">
        <v>975</v>
      </c>
      <c r="G319" s="21">
        <v>9620000</v>
      </c>
      <c r="H319" s="23">
        <v>1.9199999999999998E-2</v>
      </c>
      <c r="I319" s="23">
        <v>0</v>
      </c>
      <c r="J319" s="2" t="s">
        <v>4779</v>
      </c>
      <c r="K319" s="2" t="s">
        <v>787</v>
      </c>
    </row>
    <row r="320" spans="1:11" ht="15.35" hidden="1" x14ac:dyDescent="0.55000000000000004">
      <c r="A320" s="20">
        <v>5310</v>
      </c>
      <c r="B320" s="2" t="s">
        <v>161</v>
      </c>
      <c r="C320" s="2" t="s">
        <v>162</v>
      </c>
      <c r="D320" s="20">
        <v>2025</v>
      </c>
      <c r="E320" s="2" t="s">
        <v>4792</v>
      </c>
      <c r="F320" s="2" t="s">
        <v>998</v>
      </c>
      <c r="G320" s="21">
        <v>9620000</v>
      </c>
      <c r="H320" s="23">
        <v>1.9199999999999998E-2</v>
      </c>
      <c r="I320" s="23">
        <v>0</v>
      </c>
      <c r="J320" s="2" t="s">
        <v>4779</v>
      </c>
      <c r="K320" s="2" t="s">
        <v>813</v>
      </c>
    </row>
    <row r="321" spans="1:11" ht="15.35" hidden="1" x14ac:dyDescent="0.55000000000000004">
      <c r="A321" s="20">
        <v>5304</v>
      </c>
      <c r="B321" s="2" t="s">
        <v>161</v>
      </c>
      <c r="C321" s="2" t="s">
        <v>162</v>
      </c>
      <c r="D321" s="20">
        <v>2025</v>
      </c>
      <c r="E321" s="2" t="s">
        <v>4792</v>
      </c>
      <c r="F321" s="2" t="s">
        <v>922</v>
      </c>
      <c r="G321" s="21">
        <v>6301246</v>
      </c>
      <c r="H321" s="23">
        <v>1.26E-2</v>
      </c>
      <c r="I321" s="23">
        <v>-1.6000000000000001E-3</v>
      </c>
      <c r="J321" s="2" t="s">
        <v>4783</v>
      </c>
      <c r="K321" s="2" t="s">
        <v>787</v>
      </c>
    </row>
    <row r="322" spans="1:11" ht="15.35" hidden="1" x14ac:dyDescent="0.55000000000000004">
      <c r="A322" s="20">
        <v>5303</v>
      </c>
      <c r="B322" s="2" t="s">
        <v>161</v>
      </c>
      <c r="C322" s="2" t="s">
        <v>162</v>
      </c>
      <c r="D322" s="20">
        <v>2025</v>
      </c>
      <c r="E322" s="2" t="s">
        <v>4792</v>
      </c>
      <c r="F322" s="2" t="s">
        <v>892</v>
      </c>
      <c r="G322" s="21">
        <v>5003115</v>
      </c>
      <c r="H322" s="23">
        <v>0.01</v>
      </c>
      <c r="I322" s="23">
        <v>3.3E-3</v>
      </c>
      <c r="J322" s="2" t="s">
        <v>4783</v>
      </c>
      <c r="K322" s="2" t="s">
        <v>787</v>
      </c>
    </row>
    <row r="323" spans="1:11" ht="15.35" hidden="1" x14ac:dyDescent="0.55000000000000004">
      <c r="A323" s="20">
        <v>5302</v>
      </c>
      <c r="B323" s="2" t="s">
        <v>161</v>
      </c>
      <c r="C323" s="2" t="s">
        <v>162</v>
      </c>
      <c r="D323" s="20">
        <v>2025</v>
      </c>
      <c r="E323" s="2" t="s">
        <v>4792</v>
      </c>
      <c r="F323" s="2" t="s">
        <v>4824</v>
      </c>
      <c r="G323" s="21">
        <v>4530000</v>
      </c>
      <c r="H323" s="23">
        <v>9.1000000000000004E-3</v>
      </c>
      <c r="I323" s="23">
        <v>0</v>
      </c>
      <c r="J323" s="2" t="s">
        <v>4783</v>
      </c>
      <c r="K323" s="2" t="s">
        <v>789</v>
      </c>
    </row>
    <row r="324" spans="1:11" ht="15.35" hidden="1" x14ac:dyDescent="0.55000000000000004">
      <c r="A324" s="20">
        <v>5301</v>
      </c>
      <c r="B324" s="2" t="s">
        <v>161</v>
      </c>
      <c r="C324" s="2" t="s">
        <v>162</v>
      </c>
      <c r="D324" s="20">
        <v>2025</v>
      </c>
      <c r="E324" s="2" t="s">
        <v>4792</v>
      </c>
      <c r="F324" s="2" t="s">
        <v>4800</v>
      </c>
      <c r="G324" s="21">
        <v>3893860</v>
      </c>
      <c r="H324" s="23">
        <v>7.7999999999999996E-3</v>
      </c>
      <c r="I324" s="23">
        <v>2.5999999999999999E-3</v>
      </c>
      <c r="J324" s="2" t="s">
        <v>4783</v>
      </c>
      <c r="K324" s="2" t="s">
        <v>793</v>
      </c>
    </row>
    <row r="325" spans="1:11" ht="15.35" hidden="1" x14ac:dyDescent="0.55000000000000004">
      <c r="A325" s="38">
        <v>5300</v>
      </c>
      <c r="B325" s="39" t="s">
        <v>161</v>
      </c>
      <c r="C325" s="39" t="s">
        <v>162</v>
      </c>
      <c r="D325" s="38">
        <v>2025</v>
      </c>
      <c r="E325" s="39" t="s">
        <v>4792</v>
      </c>
      <c r="F325" s="39" t="s">
        <v>4826</v>
      </c>
      <c r="G325" s="40">
        <v>3413510</v>
      </c>
      <c r="H325" s="41">
        <v>6.7999999999999996E-3</v>
      </c>
      <c r="I325" s="41">
        <v>6.7999999999999996E-3</v>
      </c>
      <c r="J325" s="39" t="s">
        <v>4783</v>
      </c>
      <c r="K325" s="39" t="s">
        <v>798</v>
      </c>
    </row>
    <row r="326" spans="1:11" ht="15.35" hidden="1" x14ac:dyDescent="0.55000000000000004">
      <c r="A326" s="38">
        <v>5299</v>
      </c>
      <c r="B326" s="39" t="s">
        <v>161</v>
      </c>
      <c r="C326" s="39" t="s">
        <v>162</v>
      </c>
      <c r="D326" s="38">
        <v>2025</v>
      </c>
      <c r="E326" s="39" t="s">
        <v>4792</v>
      </c>
      <c r="F326" s="39" t="s">
        <v>864</v>
      </c>
      <c r="G326" s="40">
        <v>3026984</v>
      </c>
      <c r="H326" s="41">
        <v>6.1000000000000004E-3</v>
      </c>
      <c r="I326" s="41">
        <v>6.1000000000000004E-3</v>
      </c>
      <c r="J326" s="39" t="s">
        <v>4783</v>
      </c>
      <c r="K326" s="39" t="s">
        <v>787</v>
      </c>
    </row>
    <row r="327" spans="1:11" ht="15.35" hidden="1" x14ac:dyDescent="0.55000000000000004">
      <c r="A327" s="20">
        <v>5298</v>
      </c>
      <c r="B327" s="2" t="s">
        <v>161</v>
      </c>
      <c r="C327" s="2" t="s">
        <v>162</v>
      </c>
      <c r="D327" s="20">
        <v>2025</v>
      </c>
      <c r="E327" s="2" t="s">
        <v>4792</v>
      </c>
      <c r="F327" s="2" t="s">
        <v>952</v>
      </c>
      <c r="G327" s="21">
        <v>2763370</v>
      </c>
      <c r="H327" s="23">
        <v>5.4999999999999997E-3</v>
      </c>
      <c r="I327" s="23">
        <v>-1.04E-2</v>
      </c>
      <c r="J327" s="2" t="s">
        <v>4783</v>
      </c>
      <c r="K327" s="2" t="s">
        <v>787</v>
      </c>
    </row>
    <row r="328" spans="1:11" ht="15.35" hidden="1" x14ac:dyDescent="0.55000000000000004">
      <c r="A328" s="20">
        <v>5297</v>
      </c>
      <c r="B328" s="2" t="s">
        <v>161</v>
      </c>
      <c r="C328" s="2" t="s">
        <v>162</v>
      </c>
      <c r="D328" s="20">
        <v>2025</v>
      </c>
      <c r="E328" s="2" t="s">
        <v>4792</v>
      </c>
      <c r="F328" s="2" t="s">
        <v>4825</v>
      </c>
      <c r="G328" s="21">
        <v>2132201</v>
      </c>
      <c r="H328" s="23">
        <v>4.3E-3</v>
      </c>
      <c r="I328" s="23">
        <v>-5.0000000000000001E-4</v>
      </c>
      <c r="J328" s="2" t="s">
        <v>4783</v>
      </c>
      <c r="K328" s="2" t="s">
        <v>817</v>
      </c>
    </row>
    <row r="329" spans="1:11" ht="15.35" hidden="1" x14ac:dyDescent="0.55000000000000004">
      <c r="A329" s="20">
        <v>5296</v>
      </c>
      <c r="B329" s="2" t="s">
        <v>161</v>
      </c>
      <c r="C329" s="2" t="s">
        <v>162</v>
      </c>
      <c r="D329" s="20">
        <v>2025</v>
      </c>
      <c r="E329" s="2" t="s">
        <v>4792</v>
      </c>
      <c r="F329" s="2" t="s">
        <v>1270</v>
      </c>
      <c r="G329" s="21">
        <v>2094125</v>
      </c>
      <c r="H329" s="23">
        <v>4.1999999999999997E-3</v>
      </c>
      <c r="I329" s="23">
        <v>-1E-3</v>
      </c>
      <c r="J329" s="2" t="s">
        <v>4783</v>
      </c>
      <c r="K329" s="2" t="s">
        <v>787</v>
      </c>
    </row>
    <row r="330" spans="1:11" ht="15.35" hidden="1" x14ac:dyDescent="0.55000000000000004">
      <c r="A330" s="42"/>
      <c r="B330" s="43" t="s">
        <v>161</v>
      </c>
      <c r="C330" s="43" t="s">
        <v>162</v>
      </c>
      <c r="D330" s="44">
        <v>2025</v>
      </c>
      <c r="E330" s="43" t="s">
        <v>4792</v>
      </c>
      <c r="F330" s="43" t="s">
        <v>4814</v>
      </c>
      <c r="G330" s="45"/>
      <c r="H330" s="46">
        <v>0</v>
      </c>
      <c r="I330" s="46">
        <v>-9.7999999999999997E-3</v>
      </c>
      <c r="J330" s="43" t="s">
        <v>4783</v>
      </c>
      <c r="K330" s="43" t="s">
        <v>789</v>
      </c>
    </row>
    <row r="331" spans="1:11" ht="15.35" hidden="1" x14ac:dyDescent="0.55000000000000004">
      <c r="A331" s="42"/>
      <c r="B331" s="43" t="s">
        <v>161</v>
      </c>
      <c r="C331" s="43" t="s">
        <v>162</v>
      </c>
      <c r="D331" s="44">
        <v>2025</v>
      </c>
      <c r="E331" s="43" t="s">
        <v>4792</v>
      </c>
      <c r="F331" s="43" t="s">
        <v>1095</v>
      </c>
      <c r="G331" s="45"/>
      <c r="H331" s="46">
        <v>0</v>
      </c>
      <c r="I331" s="46">
        <v>-5.0000000000000001E-3</v>
      </c>
      <c r="J331" s="43" t="s">
        <v>4783</v>
      </c>
      <c r="K331" s="43" t="s">
        <v>787</v>
      </c>
    </row>
    <row r="332" spans="1:11" ht="15.35" hidden="1" x14ac:dyDescent="0.55000000000000004">
      <c r="A332" s="38">
        <v>6915</v>
      </c>
      <c r="B332" s="39" t="s">
        <v>161</v>
      </c>
      <c r="C332" s="39" t="s">
        <v>162</v>
      </c>
      <c r="D332" s="38">
        <v>2026</v>
      </c>
      <c r="E332" s="39" t="s">
        <v>4777</v>
      </c>
      <c r="F332" s="39" t="s">
        <v>999</v>
      </c>
      <c r="G332" s="40">
        <v>170000000</v>
      </c>
      <c r="H332" s="41">
        <v>0.34</v>
      </c>
      <c r="I332" s="41">
        <v>0.34</v>
      </c>
      <c r="J332" s="39" t="s">
        <v>4779</v>
      </c>
      <c r="K332" s="39" t="s">
        <v>807</v>
      </c>
    </row>
    <row r="333" spans="1:11" ht="15.35" hidden="1" x14ac:dyDescent="0.55000000000000004">
      <c r="A333" s="38">
        <v>6916</v>
      </c>
      <c r="B333" s="39" t="s">
        <v>161</v>
      </c>
      <c r="C333" s="39" t="s">
        <v>162</v>
      </c>
      <c r="D333" s="38">
        <v>2026</v>
      </c>
      <c r="E333" s="39" t="s">
        <v>4777</v>
      </c>
      <c r="F333" s="39" t="s">
        <v>4827</v>
      </c>
      <c r="G333" s="40">
        <v>25090000</v>
      </c>
      <c r="H333" s="41">
        <v>5.0200000000000002E-2</v>
      </c>
      <c r="I333" s="41">
        <v>5.0200000000000002E-2</v>
      </c>
      <c r="J333" s="39" t="s">
        <v>4783</v>
      </c>
      <c r="K333" s="39" t="s">
        <v>817</v>
      </c>
    </row>
    <row r="334" spans="1:11" ht="15.35" hidden="1" x14ac:dyDescent="0.55000000000000004">
      <c r="A334" s="20">
        <v>6896</v>
      </c>
      <c r="B334" s="2" t="s">
        <v>161</v>
      </c>
      <c r="C334" s="2" t="s">
        <v>162</v>
      </c>
      <c r="D334" s="20">
        <v>2026</v>
      </c>
      <c r="E334" s="2" t="s">
        <v>4777</v>
      </c>
      <c r="F334" s="2" t="s">
        <v>892</v>
      </c>
      <c r="G334" s="21">
        <v>21003468</v>
      </c>
      <c r="H334" s="23">
        <v>4.2000000000000003E-2</v>
      </c>
      <c r="I334" s="23">
        <v>3.2000000000000001E-2</v>
      </c>
      <c r="J334" s="2" t="s">
        <v>4783</v>
      </c>
      <c r="K334" s="2" t="s">
        <v>787</v>
      </c>
    </row>
    <row r="335" spans="1:11" ht="15.35" hidden="1" x14ac:dyDescent="0.55000000000000004">
      <c r="A335" s="20">
        <v>6906</v>
      </c>
      <c r="B335" s="2" t="s">
        <v>161</v>
      </c>
      <c r="C335" s="2" t="s">
        <v>162</v>
      </c>
      <c r="D335" s="20">
        <v>2026</v>
      </c>
      <c r="E335" s="2" t="s">
        <v>4777</v>
      </c>
      <c r="F335" s="2" t="s">
        <v>1007</v>
      </c>
      <c r="G335" s="21">
        <v>14598240</v>
      </c>
      <c r="H335" s="23">
        <v>2.92E-2</v>
      </c>
      <c r="I335" s="23">
        <v>5.9999999999999995E-4</v>
      </c>
      <c r="J335" s="2" t="s">
        <v>4783</v>
      </c>
      <c r="K335" s="2" t="s">
        <v>787</v>
      </c>
    </row>
    <row r="336" spans="1:11" ht="15.35" hidden="1" x14ac:dyDescent="0.55000000000000004">
      <c r="A336" s="38">
        <v>6895</v>
      </c>
      <c r="B336" s="39" t="s">
        <v>161</v>
      </c>
      <c r="C336" s="39" t="s">
        <v>162</v>
      </c>
      <c r="D336" s="38">
        <v>2026</v>
      </c>
      <c r="E336" s="39" t="s">
        <v>4777</v>
      </c>
      <c r="F336" s="39" t="s">
        <v>2641</v>
      </c>
      <c r="G336" s="40">
        <v>14285702</v>
      </c>
      <c r="H336" s="41">
        <v>2.86E-2</v>
      </c>
      <c r="I336" s="41">
        <v>2.86E-2</v>
      </c>
      <c r="J336" s="39" t="s">
        <v>4783</v>
      </c>
      <c r="K336" s="39" t="s">
        <v>789</v>
      </c>
    </row>
    <row r="337" spans="1:11" ht="15.35" hidden="1" x14ac:dyDescent="0.55000000000000004">
      <c r="A337" s="38">
        <v>6882</v>
      </c>
      <c r="B337" s="39" t="s">
        <v>161</v>
      </c>
      <c r="C337" s="39" t="s">
        <v>162</v>
      </c>
      <c r="D337" s="38">
        <v>2026</v>
      </c>
      <c r="E337" s="39" t="s">
        <v>4777</v>
      </c>
      <c r="F337" s="39" t="s">
        <v>975</v>
      </c>
      <c r="G337" s="40">
        <v>9620000</v>
      </c>
      <c r="H337" s="41">
        <v>1.9199999999999998E-2</v>
      </c>
      <c r="I337" s="41">
        <v>1.9199999999999998E-2</v>
      </c>
      <c r="J337" s="39" t="s">
        <v>4783</v>
      </c>
      <c r="K337" s="39" t="s">
        <v>787</v>
      </c>
    </row>
    <row r="338" spans="1:11" ht="15.35" hidden="1" x14ac:dyDescent="0.55000000000000004">
      <c r="A338" s="38">
        <v>6874</v>
      </c>
      <c r="B338" s="39" t="s">
        <v>161</v>
      </c>
      <c r="C338" s="39" t="s">
        <v>162</v>
      </c>
      <c r="D338" s="38">
        <v>2026</v>
      </c>
      <c r="E338" s="39" t="s">
        <v>4777</v>
      </c>
      <c r="F338" s="39" t="s">
        <v>788</v>
      </c>
      <c r="G338" s="40">
        <v>9533643</v>
      </c>
      <c r="H338" s="41">
        <v>1.9099999999999999E-2</v>
      </c>
      <c r="I338" s="41">
        <v>1.9099999999999999E-2</v>
      </c>
      <c r="J338" s="39" t="s">
        <v>4783</v>
      </c>
      <c r="K338" s="39" t="s">
        <v>787</v>
      </c>
    </row>
    <row r="339" spans="1:11" ht="15.35" hidden="1" x14ac:dyDescent="0.55000000000000004">
      <c r="A339" s="38">
        <v>6873</v>
      </c>
      <c r="B339" s="39" t="s">
        <v>161</v>
      </c>
      <c r="C339" s="39" t="s">
        <v>162</v>
      </c>
      <c r="D339" s="38">
        <v>2026</v>
      </c>
      <c r="E339" s="39" t="s">
        <v>4777</v>
      </c>
      <c r="F339" s="39" t="s">
        <v>4828</v>
      </c>
      <c r="G339" s="40">
        <v>9567905</v>
      </c>
      <c r="H339" s="41">
        <v>1.9099999999999999E-2</v>
      </c>
      <c r="I339" s="41">
        <v>1.9099999999999999E-2</v>
      </c>
      <c r="J339" s="39" t="s">
        <v>4783</v>
      </c>
      <c r="K339" s="39" t="s">
        <v>817</v>
      </c>
    </row>
    <row r="340" spans="1:11" ht="15.35" hidden="1" x14ac:dyDescent="0.55000000000000004">
      <c r="A340" s="38">
        <v>6875</v>
      </c>
      <c r="B340" s="39" t="s">
        <v>161</v>
      </c>
      <c r="C340" s="39" t="s">
        <v>162</v>
      </c>
      <c r="D340" s="38">
        <v>2026</v>
      </c>
      <c r="E340" s="39" t="s">
        <v>4777</v>
      </c>
      <c r="F340" s="39" t="s">
        <v>1203</v>
      </c>
      <c r="G340" s="40">
        <v>9159938</v>
      </c>
      <c r="H340" s="41">
        <v>1.83E-2</v>
      </c>
      <c r="I340" s="41">
        <v>1.83E-2</v>
      </c>
      <c r="J340" s="39" t="s">
        <v>4783</v>
      </c>
      <c r="K340" s="39" t="s">
        <v>787</v>
      </c>
    </row>
    <row r="341" spans="1:11" ht="15.35" hidden="1" x14ac:dyDescent="0.55000000000000004">
      <c r="A341" s="38">
        <v>6876</v>
      </c>
      <c r="B341" s="39" t="s">
        <v>161</v>
      </c>
      <c r="C341" s="39" t="s">
        <v>162</v>
      </c>
      <c r="D341" s="38">
        <v>2026</v>
      </c>
      <c r="E341" s="39" t="s">
        <v>4777</v>
      </c>
      <c r="F341" s="39" t="s">
        <v>970</v>
      </c>
      <c r="G341" s="40">
        <v>8934800</v>
      </c>
      <c r="H341" s="41">
        <v>1.7899999999999999E-2</v>
      </c>
      <c r="I341" s="41">
        <v>1.7899999999999999E-2</v>
      </c>
      <c r="J341" s="39" t="s">
        <v>4783</v>
      </c>
      <c r="K341" s="39" t="s">
        <v>789</v>
      </c>
    </row>
    <row r="342" spans="1:11" ht="15.35" hidden="1" x14ac:dyDescent="0.55000000000000004">
      <c r="A342" s="38">
        <v>6877</v>
      </c>
      <c r="B342" s="39" t="s">
        <v>161</v>
      </c>
      <c r="C342" s="39" t="s">
        <v>162</v>
      </c>
      <c r="D342" s="38">
        <v>2026</v>
      </c>
      <c r="E342" s="39" t="s">
        <v>4777</v>
      </c>
      <c r="F342" s="39" t="s">
        <v>4829</v>
      </c>
      <c r="G342" s="40">
        <v>8053251</v>
      </c>
      <c r="H342" s="41">
        <v>1.61E-2</v>
      </c>
      <c r="I342" s="41">
        <v>1.61E-2</v>
      </c>
      <c r="J342" s="39" t="s">
        <v>4783</v>
      </c>
      <c r="K342" s="39" t="s">
        <v>793</v>
      </c>
    </row>
    <row r="343" spans="1:11" ht="15.35" hidden="1" x14ac:dyDescent="0.55000000000000004">
      <c r="A343" s="42"/>
      <c r="B343" s="43" t="s">
        <v>161</v>
      </c>
      <c r="C343" s="43" t="s">
        <v>162</v>
      </c>
      <c r="D343" s="44">
        <v>2026</v>
      </c>
      <c r="E343" s="43" t="s">
        <v>4777</v>
      </c>
      <c r="F343" s="43" t="s">
        <v>904</v>
      </c>
      <c r="G343" s="45"/>
      <c r="H343" s="46">
        <v>0</v>
      </c>
      <c r="I343" s="46">
        <v>-1.9199999999999998E-2</v>
      </c>
      <c r="J343" s="43" t="s">
        <v>4779</v>
      </c>
      <c r="K343" s="43" t="s">
        <v>787</v>
      </c>
    </row>
    <row r="344" spans="1:11" ht="15.35" hidden="1" x14ac:dyDescent="0.55000000000000004">
      <c r="A344" s="42"/>
      <c r="B344" s="43" t="s">
        <v>161</v>
      </c>
      <c r="C344" s="43" t="s">
        <v>162</v>
      </c>
      <c r="D344" s="44">
        <v>2026</v>
      </c>
      <c r="E344" s="43" t="s">
        <v>4777</v>
      </c>
      <c r="F344" s="43" t="s">
        <v>788</v>
      </c>
      <c r="G344" s="45"/>
      <c r="H344" s="46">
        <v>0</v>
      </c>
      <c r="I344" s="46">
        <v>-1.9199999999999998E-2</v>
      </c>
      <c r="J344" s="43" t="s">
        <v>4779</v>
      </c>
      <c r="K344" s="43" t="s">
        <v>787</v>
      </c>
    </row>
    <row r="345" spans="1:11" ht="15.35" hidden="1" x14ac:dyDescent="0.55000000000000004">
      <c r="A345" s="42"/>
      <c r="B345" s="43" t="s">
        <v>161</v>
      </c>
      <c r="C345" s="43" t="s">
        <v>162</v>
      </c>
      <c r="D345" s="44">
        <v>2026</v>
      </c>
      <c r="E345" s="43" t="s">
        <v>4777</v>
      </c>
      <c r="F345" s="43" t="s">
        <v>970</v>
      </c>
      <c r="G345" s="45"/>
      <c r="H345" s="46">
        <v>0</v>
      </c>
      <c r="I345" s="46">
        <v>-1.9199999999999998E-2</v>
      </c>
      <c r="J345" s="43" t="s">
        <v>4779</v>
      </c>
      <c r="K345" s="43" t="s">
        <v>789</v>
      </c>
    </row>
    <row r="346" spans="1:11" ht="15.35" hidden="1" x14ac:dyDescent="0.55000000000000004">
      <c r="A346" s="42"/>
      <c r="B346" s="43" t="s">
        <v>161</v>
      </c>
      <c r="C346" s="43" t="s">
        <v>162</v>
      </c>
      <c r="D346" s="44">
        <v>2026</v>
      </c>
      <c r="E346" s="43" t="s">
        <v>4777</v>
      </c>
      <c r="F346" s="43" t="s">
        <v>892</v>
      </c>
      <c r="G346" s="45"/>
      <c r="H346" s="46">
        <v>0</v>
      </c>
      <c r="I346" s="46">
        <v>-3.2099999999999997E-2</v>
      </c>
      <c r="J346" s="43" t="s">
        <v>4779</v>
      </c>
      <c r="K346" s="43" t="s">
        <v>787</v>
      </c>
    </row>
    <row r="347" spans="1:11" ht="15.35" hidden="1" x14ac:dyDescent="0.55000000000000004">
      <c r="A347" s="42"/>
      <c r="B347" s="43" t="s">
        <v>161</v>
      </c>
      <c r="C347" s="43" t="s">
        <v>162</v>
      </c>
      <c r="D347" s="44">
        <v>2026</v>
      </c>
      <c r="E347" s="43" t="s">
        <v>4777</v>
      </c>
      <c r="F347" s="43" t="s">
        <v>1270</v>
      </c>
      <c r="G347" s="45"/>
      <c r="H347" s="46">
        <v>0</v>
      </c>
      <c r="I347" s="46">
        <v>-4.1999999999999997E-3</v>
      </c>
      <c r="J347" s="43" t="s">
        <v>4783</v>
      </c>
      <c r="K347" s="43" t="s">
        <v>787</v>
      </c>
    </row>
    <row r="348" spans="1:11" ht="15.35" hidden="1" x14ac:dyDescent="0.55000000000000004">
      <c r="A348" s="42"/>
      <c r="B348" s="43" t="s">
        <v>161</v>
      </c>
      <c r="C348" s="43" t="s">
        <v>162</v>
      </c>
      <c r="D348" s="44">
        <v>2026</v>
      </c>
      <c r="E348" s="43" t="s">
        <v>4777</v>
      </c>
      <c r="F348" s="43" t="s">
        <v>975</v>
      </c>
      <c r="G348" s="45"/>
      <c r="H348" s="46">
        <v>0</v>
      </c>
      <c r="I348" s="46">
        <v>-1.9199999999999998E-2</v>
      </c>
      <c r="J348" s="43" t="s">
        <v>4779</v>
      </c>
      <c r="K348" s="43" t="s">
        <v>787</v>
      </c>
    </row>
    <row r="349" spans="1:11" ht="15.35" hidden="1" x14ac:dyDescent="0.55000000000000004">
      <c r="A349" s="42"/>
      <c r="B349" s="43" t="s">
        <v>161</v>
      </c>
      <c r="C349" s="43" t="s">
        <v>162</v>
      </c>
      <c r="D349" s="44">
        <v>2026</v>
      </c>
      <c r="E349" s="43" t="s">
        <v>4777</v>
      </c>
      <c r="F349" s="43" t="s">
        <v>797</v>
      </c>
      <c r="G349" s="45"/>
      <c r="H349" s="46">
        <v>0</v>
      </c>
      <c r="I349" s="46">
        <v>-3.2099999999999997E-2</v>
      </c>
      <c r="J349" s="43" t="s">
        <v>4779</v>
      </c>
      <c r="K349" s="43" t="s">
        <v>783</v>
      </c>
    </row>
    <row r="350" spans="1:11" ht="15.35" hidden="1" x14ac:dyDescent="0.55000000000000004">
      <c r="A350" s="42"/>
      <c r="B350" s="43" t="s">
        <v>161</v>
      </c>
      <c r="C350" s="43" t="s">
        <v>162</v>
      </c>
      <c r="D350" s="44">
        <v>2026</v>
      </c>
      <c r="E350" s="43" t="s">
        <v>4777</v>
      </c>
      <c r="F350" s="43" t="s">
        <v>4824</v>
      </c>
      <c r="G350" s="45"/>
      <c r="H350" s="46">
        <v>0</v>
      </c>
      <c r="I350" s="46">
        <v>-9.1000000000000004E-3</v>
      </c>
      <c r="J350" s="43" t="s">
        <v>4783</v>
      </c>
      <c r="K350" s="43" t="s">
        <v>789</v>
      </c>
    </row>
    <row r="351" spans="1:11" ht="15.35" hidden="1" x14ac:dyDescent="0.55000000000000004">
      <c r="A351" s="42"/>
      <c r="B351" s="43" t="s">
        <v>161</v>
      </c>
      <c r="C351" s="43" t="s">
        <v>162</v>
      </c>
      <c r="D351" s="44">
        <v>2026</v>
      </c>
      <c r="E351" s="43" t="s">
        <v>4777</v>
      </c>
      <c r="F351" s="43" t="s">
        <v>4800</v>
      </c>
      <c r="G351" s="45"/>
      <c r="H351" s="46">
        <v>0</v>
      </c>
      <c r="I351" s="46">
        <v>-7.7999999999999996E-3</v>
      </c>
      <c r="J351" s="43" t="s">
        <v>4783</v>
      </c>
      <c r="K351" s="43" t="s">
        <v>793</v>
      </c>
    </row>
    <row r="352" spans="1:11" ht="15.35" hidden="1" x14ac:dyDescent="0.55000000000000004">
      <c r="A352" s="42"/>
      <c r="B352" s="43" t="s">
        <v>161</v>
      </c>
      <c r="C352" s="43" t="s">
        <v>162</v>
      </c>
      <c r="D352" s="44">
        <v>2026</v>
      </c>
      <c r="E352" s="43" t="s">
        <v>4777</v>
      </c>
      <c r="F352" s="43" t="s">
        <v>922</v>
      </c>
      <c r="G352" s="45"/>
      <c r="H352" s="46">
        <v>0</v>
      </c>
      <c r="I352" s="46">
        <v>-1.26E-2</v>
      </c>
      <c r="J352" s="43" t="s">
        <v>4783</v>
      </c>
      <c r="K352" s="43" t="s">
        <v>787</v>
      </c>
    </row>
    <row r="353" spans="1:11" ht="15.35" hidden="1" x14ac:dyDescent="0.55000000000000004">
      <c r="A353" s="42"/>
      <c r="B353" s="43" t="s">
        <v>161</v>
      </c>
      <c r="C353" s="43" t="s">
        <v>162</v>
      </c>
      <c r="D353" s="44">
        <v>2026</v>
      </c>
      <c r="E353" s="43" t="s">
        <v>4777</v>
      </c>
      <c r="F353" s="43" t="s">
        <v>982</v>
      </c>
      <c r="G353" s="45"/>
      <c r="H353" s="46">
        <v>0</v>
      </c>
      <c r="I353" s="46">
        <v>-5.4199999999999998E-2</v>
      </c>
      <c r="J353" s="43" t="s">
        <v>4779</v>
      </c>
      <c r="K353" s="43" t="s">
        <v>817</v>
      </c>
    </row>
    <row r="354" spans="1:11" ht="15.35" hidden="1" x14ac:dyDescent="0.55000000000000004">
      <c r="A354" s="42"/>
      <c r="B354" s="43" t="s">
        <v>161</v>
      </c>
      <c r="C354" s="43" t="s">
        <v>162</v>
      </c>
      <c r="D354" s="44">
        <v>2026</v>
      </c>
      <c r="E354" s="43" t="s">
        <v>4777</v>
      </c>
      <c r="F354" s="43" t="s">
        <v>984</v>
      </c>
      <c r="G354" s="45"/>
      <c r="H354" s="46">
        <v>0</v>
      </c>
      <c r="I354" s="46">
        <v>-2.5700000000000001E-2</v>
      </c>
      <c r="J354" s="43" t="s">
        <v>4779</v>
      </c>
      <c r="K354" s="43" t="s">
        <v>789</v>
      </c>
    </row>
    <row r="355" spans="1:11" ht="15.35" hidden="1" x14ac:dyDescent="0.55000000000000004">
      <c r="A355" s="42"/>
      <c r="B355" s="43" t="s">
        <v>161</v>
      </c>
      <c r="C355" s="43" t="s">
        <v>162</v>
      </c>
      <c r="D355" s="44">
        <v>2026</v>
      </c>
      <c r="E355" s="43" t="s">
        <v>4777</v>
      </c>
      <c r="F355" s="43" t="s">
        <v>4826</v>
      </c>
      <c r="G355" s="45"/>
      <c r="H355" s="46">
        <v>0</v>
      </c>
      <c r="I355" s="46">
        <v>-6.7999999999999996E-3</v>
      </c>
      <c r="J355" s="43" t="s">
        <v>4783</v>
      </c>
      <c r="K355" s="43" t="s">
        <v>798</v>
      </c>
    </row>
    <row r="356" spans="1:11" ht="15.35" hidden="1" x14ac:dyDescent="0.55000000000000004">
      <c r="A356" s="42"/>
      <c r="B356" s="43" t="s">
        <v>161</v>
      </c>
      <c r="C356" s="43" t="s">
        <v>162</v>
      </c>
      <c r="D356" s="44">
        <v>2026</v>
      </c>
      <c r="E356" s="43" t="s">
        <v>4777</v>
      </c>
      <c r="F356" s="43" t="s">
        <v>952</v>
      </c>
      <c r="G356" s="45"/>
      <c r="H356" s="46">
        <v>0</v>
      </c>
      <c r="I356" s="46">
        <v>-5.4999999999999997E-3</v>
      </c>
      <c r="J356" s="43" t="s">
        <v>4783</v>
      </c>
      <c r="K356" s="43" t="s">
        <v>787</v>
      </c>
    </row>
    <row r="357" spans="1:11" ht="15.35" hidden="1" x14ac:dyDescent="0.55000000000000004">
      <c r="A357" s="42"/>
      <c r="B357" s="43" t="s">
        <v>161</v>
      </c>
      <c r="C357" s="43" t="s">
        <v>162</v>
      </c>
      <c r="D357" s="44">
        <v>2026</v>
      </c>
      <c r="E357" s="43" t="s">
        <v>4777</v>
      </c>
      <c r="F357" s="43" t="s">
        <v>864</v>
      </c>
      <c r="G357" s="45"/>
      <c r="H357" s="46">
        <v>0</v>
      </c>
      <c r="I357" s="46">
        <v>-6.1000000000000004E-3</v>
      </c>
      <c r="J357" s="43" t="s">
        <v>4783</v>
      </c>
      <c r="K357" s="43" t="s">
        <v>787</v>
      </c>
    </row>
    <row r="358" spans="1:11" ht="15.35" hidden="1" x14ac:dyDescent="0.55000000000000004">
      <c r="A358" s="42"/>
      <c r="B358" s="43" t="s">
        <v>161</v>
      </c>
      <c r="C358" s="43" t="s">
        <v>162</v>
      </c>
      <c r="D358" s="44">
        <v>2026</v>
      </c>
      <c r="E358" s="43" t="s">
        <v>4777</v>
      </c>
      <c r="F358" s="43" t="s">
        <v>998</v>
      </c>
      <c r="G358" s="45"/>
      <c r="H358" s="46">
        <v>0</v>
      </c>
      <c r="I358" s="46">
        <v>-1.9199999999999998E-2</v>
      </c>
      <c r="J358" s="43" t="s">
        <v>4779</v>
      </c>
      <c r="K358" s="43" t="s">
        <v>813</v>
      </c>
    </row>
    <row r="359" spans="1:11" ht="15.35" hidden="1" x14ac:dyDescent="0.55000000000000004">
      <c r="A359" s="42"/>
      <c r="B359" s="43" t="s">
        <v>161</v>
      </c>
      <c r="C359" s="43" t="s">
        <v>162</v>
      </c>
      <c r="D359" s="44">
        <v>2026</v>
      </c>
      <c r="E359" s="43" t="s">
        <v>4777</v>
      </c>
      <c r="F359" s="43" t="s">
        <v>4823</v>
      </c>
      <c r="G359" s="45"/>
      <c r="H359" s="46">
        <v>0</v>
      </c>
      <c r="I359" s="46">
        <v>-0.34</v>
      </c>
      <c r="J359" s="43" t="s">
        <v>4779</v>
      </c>
      <c r="K359" s="43" t="s">
        <v>807</v>
      </c>
    </row>
    <row r="360" spans="1:11" ht="15.35" hidden="1" x14ac:dyDescent="0.55000000000000004">
      <c r="A360" s="42"/>
      <c r="B360" s="43" t="s">
        <v>161</v>
      </c>
      <c r="C360" s="43" t="s">
        <v>162</v>
      </c>
      <c r="D360" s="44">
        <v>2026</v>
      </c>
      <c r="E360" s="43" t="s">
        <v>4777</v>
      </c>
      <c r="F360" s="43" t="s">
        <v>1000</v>
      </c>
      <c r="G360" s="45"/>
      <c r="H360" s="46">
        <v>0</v>
      </c>
      <c r="I360" s="46">
        <v>-3.2099999999999997E-2</v>
      </c>
      <c r="J360" s="43" t="s">
        <v>4779</v>
      </c>
      <c r="K360" s="43" t="s">
        <v>811</v>
      </c>
    </row>
    <row r="361" spans="1:11" ht="15.35" hidden="1" x14ac:dyDescent="0.55000000000000004">
      <c r="A361" s="42"/>
      <c r="B361" s="43" t="s">
        <v>161</v>
      </c>
      <c r="C361" s="43" t="s">
        <v>162</v>
      </c>
      <c r="D361" s="44">
        <v>2026</v>
      </c>
      <c r="E361" s="43" t="s">
        <v>4777</v>
      </c>
      <c r="F361" s="43" t="s">
        <v>4825</v>
      </c>
      <c r="G361" s="45"/>
      <c r="H361" s="46">
        <v>0</v>
      </c>
      <c r="I361" s="46">
        <v>-4.3E-3</v>
      </c>
      <c r="J361" s="43" t="s">
        <v>4783</v>
      </c>
      <c r="K361" s="43" t="s">
        <v>817</v>
      </c>
    </row>
    <row r="362" spans="1:11" ht="15.35" hidden="1" x14ac:dyDescent="0.55000000000000004">
      <c r="A362" s="20">
        <v>6116</v>
      </c>
      <c r="B362" s="2" t="s">
        <v>166</v>
      </c>
      <c r="C362" s="2" t="s">
        <v>167</v>
      </c>
      <c r="D362" s="20">
        <v>2025</v>
      </c>
      <c r="E362" s="2" t="s">
        <v>4792</v>
      </c>
      <c r="F362" s="2" t="s">
        <v>4830</v>
      </c>
      <c r="G362" s="21">
        <v>100000000</v>
      </c>
      <c r="H362" s="23">
        <v>0.2</v>
      </c>
      <c r="I362" s="37" t="s">
        <v>4778</v>
      </c>
      <c r="J362" s="2" t="s">
        <v>4779</v>
      </c>
      <c r="K362" s="2" t="s">
        <v>807</v>
      </c>
    </row>
    <row r="363" spans="1:11" ht="15.35" hidden="1" x14ac:dyDescent="0.55000000000000004">
      <c r="A363" s="20">
        <v>6115</v>
      </c>
      <c r="B363" s="2" t="s">
        <v>166</v>
      </c>
      <c r="C363" s="2" t="s">
        <v>167</v>
      </c>
      <c r="D363" s="20">
        <v>2025</v>
      </c>
      <c r="E363" s="2" t="s">
        <v>4792</v>
      </c>
      <c r="F363" s="2" t="s">
        <v>1180</v>
      </c>
      <c r="G363" s="21">
        <v>22900000</v>
      </c>
      <c r="H363" s="23">
        <v>4.58E-2</v>
      </c>
      <c r="I363" s="37" t="s">
        <v>4778</v>
      </c>
      <c r="J363" s="2" t="s">
        <v>4779</v>
      </c>
      <c r="K363" s="2" t="s">
        <v>783</v>
      </c>
    </row>
    <row r="364" spans="1:11" ht="15.35" hidden="1" x14ac:dyDescent="0.55000000000000004">
      <c r="A364" s="20">
        <v>6106</v>
      </c>
      <c r="B364" s="2" t="s">
        <v>166</v>
      </c>
      <c r="C364" s="2" t="s">
        <v>167</v>
      </c>
      <c r="D364" s="20">
        <v>2025</v>
      </c>
      <c r="E364" s="2" t="s">
        <v>4792</v>
      </c>
      <c r="F364" s="2" t="s">
        <v>1191</v>
      </c>
      <c r="G364" s="21">
        <v>21915480</v>
      </c>
      <c r="H364" s="23">
        <v>4.3799999999999999E-2</v>
      </c>
      <c r="I364" s="37" t="s">
        <v>4778</v>
      </c>
      <c r="J364" s="2" t="s">
        <v>4783</v>
      </c>
      <c r="K364" s="2" t="s">
        <v>787</v>
      </c>
    </row>
    <row r="365" spans="1:11" ht="15.35" hidden="1" x14ac:dyDescent="0.55000000000000004">
      <c r="A365" s="20">
        <v>6111</v>
      </c>
      <c r="B365" s="2" t="s">
        <v>166</v>
      </c>
      <c r="C365" s="2" t="s">
        <v>167</v>
      </c>
      <c r="D365" s="20">
        <v>2025</v>
      </c>
      <c r="E365" s="2" t="s">
        <v>4792</v>
      </c>
      <c r="F365" s="2" t="s">
        <v>788</v>
      </c>
      <c r="G365" s="21">
        <v>17975000</v>
      </c>
      <c r="H365" s="23">
        <v>3.5999999999999997E-2</v>
      </c>
      <c r="I365" s="37" t="s">
        <v>4778</v>
      </c>
      <c r="J365" s="2" t="s">
        <v>4779</v>
      </c>
      <c r="K365" s="2" t="s">
        <v>787</v>
      </c>
    </row>
    <row r="366" spans="1:11" ht="15.35" hidden="1" x14ac:dyDescent="0.55000000000000004">
      <c r="A366" s="20">
        <v>6113</v>
      </c>
      <c r="B366" s="2" t="s">
        <v>166</v>
      </c>
      <c r="C366" s="2" t="s">
        <v>167</v>
      </c>
      <c r="D366" s="20">
        <v>2025</v>
      </c>
      <c r="E366" s="2" t="s">
        <v>4792</v>
      </c>
      <c r="F366" s="2" t="s">
        <v>972</v>
      </c>
      <c r="G366" s="21">
        <v>17975000</v>
      </c>
      <c r="H366" s="23">
        <v>3.5999999999999997E-2</v>
      </c>
      <c r="I366" s="37" t="s">
        <v>4778</v>
      </c>
      <c r="J366" s="2" t="s">
        <v>4779</v>
      </c>
      <c r="K366" s="2" t="s">
        <v>787</v>
      </c>
    </row>
    <row r="367" spans="1:11" ht="15.35" hidden="1" x14ac:dyDescent="0.55000000000000004">
      <c r="A367" s="20">
        <v>6114</v>
      </c>
      <c r="B367" s="2" t="s">
        <v>166</v>
      </c>
      <c r="C367" s="2" t="s">
        <v>167</v>
      </c>
      <c r="D367" s="20">
        <v>2025</v>
      </c>
      <c r="E367" s="2" t="s">
        <v>4792</v>
      </c>
      <c r="F367" s="2" t="s">
        <v>1191</v>
      </c>
      <c r="G367" s="21">
        <v>17975000</v>
      </c>
      <c r="H367" s="23">
        <v>3.5999999999999997E-2</v>
      </c>
      <c r="I367" s="37" t="s">
        <v>4778</v>
      </c>
      <c r="J367" s="2" t="s">
        <v>4779</v>
      </c>
      <c r="K367" s="2" t="s">
        <v>787</v>
      </c>
    </row>
    <row r="368" spans="1:11" ht="15.35" hidden="1" x14ac:dyDescent="0.55000000000000004">
      <c r="A368" s="20">
        <v>6112</v>
      </c>
      <c r="B368" s="2" t="s">
        <v>166</v>
      </c>
      <c r="C368" s="2" t="s">
        <v>167</v>
      </c>
      <c r="D368" s="20">
        <v>2025</v>
      </c>
      <c r="E368" s="2" t="s">
        <v>4792</v>
      </c>
      <c r="F368" s="2" t="s">
        <v>864</v>
      </c>
      <c r="G368" s="21">
        <v>17975000</v>
      </c>
      <c r="H368" s="23">
        <v>3.5999999999999997E-2</v>
      </c>
      <c r="I368" s="37" t="s">
        <v>4778</v>
      </c>
      <c r="J368" s="2" t="s">
        <v>4779</v>
      </c>
      <c r="K368" s="2" t="s">
        <v>787</v>
      </c>
    </row>
    <row r="369" spans="1:11" ht="15.35" hidden="1" x14ac:dyDescent="0.55000000000000004">
      <c r="A369" s="20">
        <v>6120</v>
      </c>
      <c r="B369" s="2" t="s">
        <v>166</v>
      </c>
      <c r="C369" s="2" t="s">
        <v>167</v>
      </c>
      <c r="D369" s="20">
        <v>2025</v>
      </c>
      <c r="E369" s="2" t="s">
        <v>4792</v>
      </c>
      <c r="F369" s="2" t="s">
        <v>904</v>
      </c>
      <c r="G369" s="21">
        <v>16350000</v>
      </c>
      <c r="H369" s="23">
        <v>3.27E-2</v>
      </c>
      <c r="I369" s="37" t="s">
        <v>4778</v>
      </c>
      <c r="J369" s="2" t="s">
        <v>4779</v>
      </c>
      <c r="K369" s="2" t="s">
        <v>787</v>
      </c>
    </row>
    <row r="370" spans="1:11" ht="15.35" hidden="1" x14ac:dyDescent="0.55000000000000004">
      <c r="A370" s="20">
        <v>6110</v>
      </c>
      <c r="B370" s="2" t="s">
        <v>166</v>
      </c>
      <c r="C370" s="2" t="s">
        <v>167</v>
      </c>
      <c r="D370" s="20">
        <v>2025</v>
      </c>
      <c r="E370" s="2" t="s">
        <v>4792</v>
      </c>
      <c r="F370" s="2" t="s">
        <v>4831</v>
      </c>
      <c r="G370" s="21">
        <v>16350000</v>
      </c>
      <c r="H370" s="23">
        <v>3.27E-2</v>
      </c>
      <c r="I370" s="37" t="s">
        <v>4778</v>
      </c>
      <c r="J370" s="2" t="s">
        <v>4779</v>
      </c>
      <c r="K370" s="2" t="s">
        <v>798</v>
      </c>
    </row>
    <row r="371" spans="1:11" ht="15.35" hidden="1" x14ac:dyDescent="0.55000000000000004">
      <c r="A371" s="20">
        <v>6107</v>
      </c>
      <c r="B371" s="2" t="s">
        <v>166</v>
      </c>
      <c r="C371" s="2" t="s">
        <v>167</v>
      </c>
      <c r="D371" s="20">
        <v>2025</v>
      </c>
      <c r="E371" s="2" t="s">
        <v>4792</v>
      </c>
      <c r="F371" s="2" t="s">
        <v>4832</v>
      </c>
      <c r="G371" s="21">
        <v>14700000</v>
      </c>
      <c r="H371" s="23">
        <v>2.9399999999999999E-2</v>
      </c>
      <c r="I371" s="37" t="s">
        <v>4778</v>
      </c>
      <c r="J371" s="2" t="s">
        <v>4779</v>
      </c>
      <c r="K371" s="2" t="s">
        <v>798</v>
      </c>
    </row>
    <row r="372" spans="1:11" ht="15.35" hidden="1" x14ac:dyDescent="0.55000000000000004">
      <c r="A372" s="20">
        <v>6108</v>
      </c>
      <c r="B372" s="2" t="s">
        <v>166</v>
      </c>
      <c r="C372" s="2" t="s">
        <v>167</v>
      </c>
      <c r="D372" s="20">
        <v>2025</v>
      </c>
      <c r="E372" s="2" t="s">
        <v>4792</v>
      </c>
      <c r="F372" s="2" t="s">
        <v>4833</v>
      </c>
      <c r="G372" s="21">
        <v>14700000</v>
      </c>
      <c r="H372" s="23">
        <v>2.9399999999999999E-2</v>
      </c>
      <c r="I372" s="37" t="s">
        <v>4778</v>
      </c>
      <c r="J372" s="2" t="s">
        <v>4779</v>
      </c>
      <c r="K372" s="2" t="s">
        <v>793</v>
      </c>
    </row>
    <row r="373" spans="1:11" ht="15.35" hidden="1" x14ac:dyDescent="0.55000000000000004">
      <c r="A373" s="20">
        <v>6105</v>
      </c>
      <c r="B373" s="2" t="s">
        <v>166</v>
      </c>
      <c r="C373" s="2" t="s">
        <v>167</v>
      </c>
      <c r="D373" s="20">
        <v>2025</v>
      </c>
      <c r="E373" s="2" t="s">
        <v>4792</v>
      </c>
      <c r="F373" s="2" t="s">
        <v>4814</v>
      </c>
      <c r="G373" s="21">
        <v>9718107</v>
      </c>
      <c r="H373" s="23">
        <v>1.9400000000000001E-2</v>
      </c>
      <c r="I373" s="37" t="s">
        <v>4778</v>
      </c>
      <c r="J373" s="2" t="s">
        <v>4783</v>
      </c>
      <c r="K373" s="2" t="s">
        <v>789</v>
      </c>
    </row>
    <row r="374" spans="1:11" ht="15.35" hidden="1" x14ac:dyDescent="0.55000000000000004">
      <c r="A374" s="20">
        <v>6104</v>
      </c>
      <c r="B374" s="2" t="s">
        <v>166</v>
      </c>
      <c r="C374" s="2" t="s">
        <v>167</v>
      </c>
      <c r="D374" s="20">
        <v>2025</v>
      </c>
      <c r="E374" s="2" t="s">
        <v>4792</v>
      </c>
      <c r="F374" s="2" t="s">
        <v>892</v>
      </c>
      <c r="G374" s="21">
        <v>7082688</v>
      </c>
      <c r="H374" s="23">
        <v>1.4200000000000001E-2</v>
      </c>
      <c r="I374" s="37" t="s">
        <v>4778</v>
      </c>
      <c r="J374" s="2" t="s">
        <v>4783</v>
      </c>
      <c r="K374" s="2" t="s">
        <v>787</v>
      </c>
    </row>
    <row r="375" spans="1:11" ht="15.35" hidden="1" x14ac:dyDescent="0.55000000000000004">
      <c r="A375" s="20">
        <v>6103</v>
      </c>
      <c r="B375" s="2" t="s">
        <v>166</v>
      </c>
      <c r="C375" s="2" t="s">
        <v>167</v>
      </c>
      <c r="D375" s="20">
        <v>2025</v>
      </c>
      <c r="E375" s="2" t="s">
        <v>4792</v>
      </c>
      <c r="F375" s="2" t="s">
        <v>4834</v>
      </c>
      <c r="G375" s="21">
        <v>5222876</v>
      </c>
      <c r="H375" s="23">
        <v>1.04E-2</v>
      </c>
      <c r="I375" s="37" t="s">
        <v>4778</v>
      </c>
      <c r="J375" s="2" t="s">
        <v>4783</v>
      </c>
      <c r="K375" s="2" t="s">
        <v>817</v>
      </c>
    </row>
    <row r="376" spans="1:11" ht="15.35" hidden="1" x14ac:dyDescent="0.55000000000000004">
      <c r="A376" s="20">
        <v>6102</v>
      </c>
      <c r="B376" s="2" t="s">
        <v>166</v>
      </c>
      <c r="C376" s="2" t="s">
        <v>167</v>
      </c>
      <c r="D376" s="20">
        <v>2025</v>
      </c>
      <c r="E376" s="2" t="s">
        <v>4792</v>
      </c>
      <c r="F376" s="2" t="s">
        <v>4824</v>
      </c>
      <c r="G376" s="21">
        <v>5060216</v>
      </c>
      <c r="H376" s="23">
        <v>1.01E-2</v>
      </c>
      <c r="I376" s="37" t="s">
        <v>4778</v>
      </c>
      <c r="J376" s="2" t="s">
        <v>4783</v>
      </c>
      <c r="K376" s="2" t="s">
        <v>789</v>
      </c>
    </row>
    <row r="377" spans="1:11" ht="15.35" hidden="1" x14ac:dyDescent="0.55000000000000004">
      <c r="A377" s="20">
        <v>6101</v>
      </c>
      <c r="B377" s="2" t="s">
        <v>166</v>
      </c>
      <c r="C377" s="2" t="s">
        <v>167</v>
      </c>
      <c r="D377" s="20">
        <v>2025</v>
      </c>
      <c r="E377" s="2" t="s">
        <v>4792</v>
      </c>
      <c r="F377" s="2" t="s">
        <v>4835</v>
      </c>
      <c r="G377" s="21">
        <v>3867700</v>
      </c>
      <c r="H377" s="23">
        <v>7.7000000000000002E-3</v>
      </c>
      <c r="I377" s="37" t="s">
        <v>4778</v>
      </c>
      <c r="J377" s="2" t="s">
        <v>4783</v>
      </c>
      <c r="K377" s="2" t="s">
        <v>793</v>
      </c>
    </row>
    <row r="378" spans="1:11" ht="15.35" hidden="1" x14ac:dyDescent="0.55000000000000004">
      <c r="A378" s="20">
        <v>6075</v>
      </c>
      <c r="B378" s="2" t="s">
        <v>166</v>
      </c>
      <c r="C378" s="2" t="s">
        <v>167</v>
      </c>
      <c r="D378" s="20">
        <v>2025</v>
      </c>
      <c r="E378" s="2" t="s">
        <v>4792</v>
      </c>
      <c r="F378" s="2" t="s">
        <v>4836</v>
      </c>
      <c r="G378" s="21">
        <v>3112842</v>
      </c>
      <c r="H378" s="23">
        <v>6.1999999999999998E-3</v>
      </c>
      <c r="I378" s="37" t="s">
        <v>4778</v>
      </c>
      <c r="J378" s="2" t="s">
        <v>4783</v>
      </c>
      <c r="K378" s="2" t="s">
        <v>793</v>
      </c>
    </row>
    <row r="379" spans="1:11" ht="15.35" hidden="1" x14ac:dyDescent="0.55000000000000004">
      <c r="A379" s="20">
        <v>6100</v>
      </c>
      <c r="B379" s="2" t="s">
        <v>166</v>
      </c>
      <c r="C379" s="2" t="s">
        <v>167</v>
      </c>
      <c r="D379" s="20">
        <v>2025</v>
      </c>
      <c r="E379" s="2" t="s">
        <v>4792</v>
      </c>
      <c r="F379" s="2" t="s">
        <v>4837</v>
      </c>
      <c r="G379" s="21">
        <v>3121595</v>
      </c>
      <c r="H379" s="23">
        <v>6.1999999999999998E-3</v>
      </c>
      <c r="I379" s="37" t="s">
        <v>4778</v>
      </c>
      <c r="J379" s="2" t="s">
        <v>4783</v>
      </c>
      <c r="K379" s="2" t="s">
        <v>789</v>
      </c>
    </row>
    <row r="380" spans="1:11" ht="15.35" hidden="1" x14ac:dyDescent="0.55000000000000004">
      <c r="A380" s="20">
        <v>6074</v>
      </c>
      <c r="B380" s="2" t="s">
        <v>166</v>
      </c>
      <c r="C380" s="2" t="s">
        <v>167</v>
      </c>
      <c r="D380" s="20">
        <v>2025</v>
      </c>
      <c r="E380" s="2" t="s">
        <v>4792</v>
      </c>
      <c r="F380" s="2" t="s">
        <v>1111</v>
      </c>
      <c r="G380" s="21">
        <v>3002457</v>
      </c>
      <c r="H380" s="23">
        <v>6.0000000000000001E-3</v>
      </c>
      <c r="I380" s="37" t="s">
        <v>4778</v>
      </c>
      <c r="J380" s="2" t="s">
        <v>4783</v>
      </c>
      <c r="K380" s="2" t="s">
        <v>787</v>
      </c>
    </row>
    <row r="381" spans="1:11" ht="15.35" hidden="1" x14ac:dyDescent="0.55000000000000004">
      <c r="A381" s="20">
        <v>6073</v>
      </c>
      <c r="B381" s="2" t="s">
        <v>166</v>
      </c>
      <c r="C381" s="2" t="s">
        <v>167</v>
      </c>
      <c r="D381" s="20">
        <v>2025</v>
      </c>
      <c r="E381" s="2" t="s">
        <v>4792</v>
      </c>
      <c r="F381" s="2" t="s">
        <v>962</v>
      </c>
      <c r="G381" s="21">
        <v>2577757</v>
      </c>
      <c r="H381" s="23">
        <v>5.1999999999999998E-3</v>
      </c>
      <c r="I381" s="37" t="s">
        <v>4778</v>
      </c>
      <c r="J381" s="2" t="s">
        <v>4783</v>
      </c>
      <c r="K381" s="2" t="s">
        <v>787</v>
      </c>
    </row>
    <row r="382" spans="1:11" ht="15.35" hidden="1" x14ac:dyDescent="0.55000000000000004">
      <c r="A382" s="20">
        <v>6231</v>
      </c>
      <c r="B382" s="2" t="s">
        <v>166</v>
      </c>
      <c r="C382" s="2" t="s">
        <v>167</v>
      </c>
      <c r="D382" s="20">
        <v>2026</v>
      </c>
      <c r="E382" s="2" t="s">
        <v>4777</v>
      </c>
      <c r="F382" s="2" t="s">
        <v>4830</v>
      </c>
      <c r="G382" s="21">
        <v>100000000</v>
      </c>
      <c r="H382" s="23">
        <v>0.2</v>
      </c>
      <c r="I382" s="23">
        <v>0</v>
      </c>
      <c r="J382" s="2" t="s">
        <v>4779</v>
      </c>
      <c r="K382" s="2" t="s">
        <v>807</v>
      </c>
    </row>
    <row r="383" spans="1:11" ht="15.35" hidden="1" x14ac:dyDescent="0.55000000000000004">
      <c r="A383" s="20">
        <v>6232</v>
      </c>
      <c r="B383" s="2" t="s">
        <v>166</v>
      </c>
      <c r="C383" s="2" t="s">
        <v>167</v>
      </c>
      <c r="D383" s="20">
        <v>2026</v>
      </c>
      <c r="E383" s="2" t="s">
        <v>4777</v>
      </c>
      <c r="F383" s="2" t="s">
        <v>1180</v>
      </c>
      <c r="G383" s="21">
        <v>22900000</v>
      </c>
      <c r="H383" s="23">
        <v>4.58E-2</v>
      </c>
      <c r="I383" s="23">
        <v>0</v>
      </c>
      <c r="J383" s="2" t="s">
        <v>4779</v>
      </c>
      <c r="K383" s="2" t="s">
        <v>783</v>
      </c>
    </row>
    <row r="384" spans="1:11" ht="15.35" hidden="1" x14ac:dyDescent="0.55000000000000004">
      <c r="A384" s="20">
        <v>6236</v>
      </c>
      <c r="B384" s="2" t="s">
        <v>166</v>
      </c>
      <c r="C384" s="2" t="s">
        <v>167</v>
      </c>
      <c r="D384" s="20">
        <v>2026</v>
      </c>
      <c r="E384" s="2" t="s">
        <v>4777</v>
      </c>
      <c r="F384" s="2" t="s">
        <v>788</v>
      </c>
      <c r="G384" s="21">
        <v>17975000</v>
      </c>
      <c r="H384" s="23">
        <v>3.5999999999999997E-2</v>
      </c>
      <c r="I384" s="23">
        <v>0</v>
      </c>
      <c r="J384" s="2" t="s">
        <v>4779</v>
      </c>
      <c r="K384" s="2" t="s">
        <v>787</v>
      </c>
    </row>
    <row r="385" spans="1:11" ht="15.35" hidden="1" x14ac:dyDescent="0.55000000000000004">
      <c r="A385" s="20">
        <v>6235</v>
      </c>
      <c r="B385" s="2" t="s">
        <v>166</v>
      </c>
      <c r="C385" s="2" t="s">
        <v>167</v>
      </c>
      <c r="D385" s="20">
        <v>2026</v>
      </c>
      <c r="E385" s="2" t="s">
        <v>4777</v>
      </c>
      <c r="F385" s="2" t="s">
        <v>972</v>
      </c>
      <c r="G385" s="21">
        <v>17975000</v>
      </c>
      <c r="H385" s="23">
        <v>3.5999999999999997E-2</v>
      </c>
      <c r="I385" s="23">
        <v>0</v>
      </c>
      <c r="J385" s="2" t="s">
        <v>4779</v>
      </c>
      <c r="K385" s="2" t="s">
        <v>787</v>
      </c>
    </row>
    <row r="386" spans="1:11" ht="15.35" hidden="1" x14ac:dyDescent="0.55000000000000004">
      <c r="A386" s="20">
        <v>6233</v>
      </c>
      <c r="B386" s="2" t="s">
        <v>166</v>
      </c>
      <c r="C386" s="2" t="s">
        <v>167</v>
      </c>
      <c r="D386" s="20">
        <v>2026</v>
      </c>
      <c r="E386" s="2" t="s">
        <v>4777</v>
      </c>
      <c r="F386" s="2" t="s">
        <v>1191</v>
      </c>
      <c r="G386" s="21">
        <v>17975000</v>
      </c>
      <c r="H386" s="23">
        <v>3.5999999999999997E-2</v>
      </c>
      <c r="I386" s="23">
        <v>0</v>
      </c>
      <c r="J386" s="2" t="s">
        <v>4779</v>
      </c>
      <c r="K386" s="2" t="s">
        <v>787</v>
      </c>
    </row>
    <row r="387" spans="1:11" ht="15.35" hidden="1" x14ac:dyDescent="0.55000000000000004">
      <c r="A387" s="20">
        <v>6234</v>
      </c>
      <c r="B387" s="2" t="s">
        <v>166</v>
      </c>
      <c r="C387" s="2" t="s">
        <v>167</v>
      </c>
      <c r="D387" s="20">
        <v>2026</v>
      </c>
      <c r="E387" s="2" t="s">
        <v>4777</v>
      </c>
      <c r="F387" s="2" t="s">
        <v>864</v>
      </c>
      <c r="G387" s="21">
        <v>17975000</v>
      </c>
      <c r="H387" s="23">
        <v>3.5999999999999997E-2</v>
      </c>
      <c r="I387" s="23">
        <v>0</v>
      </c>
      <c r="J387" s="2" t="s">
        <v>4779</v>
      </c>
      <c r="K387" s="2" t="s">
        <v>787</v>
      </c>
    </row>
    <row r="388" spans="1:11" ht="15.35" hidden="1" x14ac:dyDescent="0.55000000000000004">
      <c r="A388" s="20">
        <v>6237</v>
      </c>
      <c r="B388" s="2" t="s">
        <v>166</v>
      </c>
      <c r="C388" s="2" t="s">
        <v>167</v>
      </c>
      <c r="D388" s="20">
        <v>2026</v>
      </c>
      <c r="E388" s="2" t="s">
        <v>4777</v>
      </c>
      <c r="F388" s="2" t="s">
        <v>904</v>
      </c>
      <c r="G388" s="21">
        <v>16350000</v>
      </c>
      <c r="H388" s="23">
        <v>3.27E-2</v>
      </c>
      <c r="I388" s="23">
        <v>0</v>
      </c>
      <c r="J388" s="2" t="s">
        <v>4779</v>
      </c>
      <c r="K388" s="2" t="s">
        <v>787</v>
      </c>
    </row>
    <row r="389" spans="1:11" ht="15.35" hidden="1" x14ac:dyDescent="0.55000000000000004">
      <c r="A389" s="38">
        <v>6238</v>
      </c>
      <c r="B389" s="39" t="s">
        <v>166</v>
      </c>
      <c r="C389" s="39" t="s">
        <v>167</v>
      </c>
      <c r="D389" s="38">
        <v>2026</v>
      </c>
      <c r="E389" s="39" t="s">
        <v>4777</v>
      </c>
      <c r="F389" s="39" t="s">
        <v>4838</v>
      </c>
      <c r="G389" s="40">
        <v>16350000</v>
      </c>
      <c r="H389" s="41">
        <v>3.27E-2</v>
      </c>
      <c r="I389" s="41">
        <v>3.27E-2</v>
      </c>
      <c r="J389" s="39" t="s">
        <v>4779</v>
      </c>
      <c r="K389" s="39" t="s">
        <v>798</v>
      </c>
    </row>
    <row r="390" spans="1:11" ht="15.35" hidden="1" x14ac:dyDescent="0.55000000000000004">
      <c r="A390" s="20">
        <v>6241</v>
      </c>
      <c r="B390" s="2" t="s">
        <v>166</v>
      </c>
      <c r="C390" s="2" t="s">
        <v>167</v>
      </c>
      <c r="D390" s="20">
        <v>2026</v>
      </c>
      <c r="E390" s="2" t="s">
        <v>4777</v>
      </c>
      <c r="F390" s="2" t="s">
        <v>1191</v>
      </c>
      <c r="G390" s="21">
        <v>15481189</v>
      </c>
      <c r="H390" s="23">
        <v>3.1E-2</v>
      </c>
      <c r="I390" s="23">
        <v>-1.2800000000000001E-2</v>
      </c>
      <c r="J390" s="2" t="s">
        <v>4783</v>
      </c>
      <c r="K390" s="2" t="s">
        <v>787</v>
      </c>
    </row>
    <row r="391" spans="1:11" ht="15.35" hidden="1" x14ac:dyDescent="0.55000000000000004">
      <c r="A391" s="38">
        <v>6240</v>
      </c>
      <c r="B391" s="39" t="s">
        <v>166</v>
      </c>
      <c r="C391" s="39" t="s">
        <v>167</v>
      </c>
      <c r="D391" s="38">
        <v>2026</v>
      </c>
      <c r="E391" s="39" t="s">
        <v>4777</v>
      </c>
      <c r="F391" s="39" t="s">
        <v>4839</v>
      </c>
      <c r="G391" s="40">
        <v>14700000</v>
      </c>
      <c r="H391" s="41">
        <v>2.9399999999999999E-2</v>
      </c>
      <c r="I391" s="41">
        <v>2.9399999999999999E-2</v>
      </c>
      <c r="J391" s="39" t="s">
        <v>4779</v>
      </c>
      <c r="K391" s="39" t="s">
        <v>798</v>
      </c>
    </row>
    <row r="392" spans="1:11" ht="15.35" hidden="1" x14ac:dyDescent="0.55000000000000004">
      <c r="A392" s="38">
        <v>6239</v>
      </c>
      <c r="B392" s="39" t="s">
        <v>166</v>
      </c>
      <c r="C392" s="39" t="s">
        <v>167</v>
      </c>
      <c r="D392" s="38">
        <v>2026</v>
      </c>
      <c r="E392" s="39" t="s">
        <v>4777</v>
      </c>
      <c r="F392" s="39" t="s">
        <v>4840</v>
      </c>
      <c r="G392" s="40">
        <v>14700000</v>
      </c>
      <c r="H392" s="41">
        <v>2.9399999999999999E-2</v>
      </c>
      <c r="I392" s="41">
        <v>2.9399999999999999E-2</v>
      </c>
      <c r="J392" s="39" t="s">
        <v>4779</v>
      </c>
      <c r="K392" s="39" t="s">
        <v>793</v>
      </c>
    </row>
    <row r="393" spans="1:11" ht="15.35" hidden="1" x14ac:dyDescent="0.55000000000000004">
      <c r="A393" s="38">
        <v>6245</v>
      </c>
      <c r="B393" s="39" t="s">
        <v>166</v>
      </c>
      <c r="C393" s="39" t="s">
        <v>167</v>
      </c>
      <c r="D393" s="38">
        <v>2026</v>
      </c>
      <c r="E393" s="39" t="s">
        <v>4777</v>
      </c>
      <c r="F393" s="39" t="s">
        <v>4841</v>
      </c>
      <c r="G393" s="40">
        <v>9800000</v>
      </c>
      <c r="H393" s="41">
        <v>1.9599999999999999E-2</v>
      </c>
      <c r="I393" s="41">
        <v>1.9599999999999999E-2</v>
      </c>
      <c r="J393" s="39" t="s">
        <v>4783</v>
      </c>
      <c r="K393" s="39" t="s">
        <v>811</v>
      </c>
    </row>
    <row r="394" spans="1:11" ht="15.35" hidden="1" x14ac:dyDescent="0.55000000000000004">
      <c r="A394" s="38">
        <v>6257</v>
      </c>
      <c r="B394" s="39" t="s">
        <v>166</v>
      </c>
      <c r="C394" s="39" t="s">
        <v>167</v>
      </c>
      <c r="D394" s="38">
        <v>2026</v>
      </c>
      <c r="E394" s="39" t="s">
        <v>4777</v>
      </c>
      <c r="F394" s="39" t="s">
        <v>4842</v>
      </c>
      <c r="G394" s="40">
        <v>9800000</v>
      </c>
      <c r="H394" s="41">
        <v>1.9599999999999999E-2</v>
      </c>
      <c r="I394" s="41">
        <v>1.9599999999999999E-2</v>
      </c>
      <c r="J394" s="39" t="s">
        <v>4783</v>
      </c>
      <c r="K394" s="39" t="s">
        <v>789</v>
      </c>
    </row>
    <row r="395" spans="1:11" ht="15.35" hidden="1" x14ac:dyDescent="0.55000000000000004">
      <c r="A395" s="38">
        <v>6244</v>
      </c>
      <c r="B395" s="39" t="s">
        <v>166</v>
      </c>
      <c r="C395" s="39" t="s">
        <v>167</v>
      </c>
      <c r="D395" s="38">
        <v>2026</v>
      </c>
      <c r="E395" s="39" t="s">
        <v>4777</v>
      </c>
      <c r="F395" s="39" t="s">
        <v>4843</v>
      </c>
      <c r="G395" s="40">
        <v>9800000</v>
      </c>
      <c r="H395" s="41">
        <v>1.9599999999999999E-2</v>
      </c>
      <c r="I395" s="41">
        <v>1.9599999999999999E-2</v>
      </c>
      <c r="J395" s="39" t="s">
        <v>4783</v>
      </c>
      <c r="K395" s="39" t="s">
        <v>811</v>
      </c>
    </row>
    <row r="396" spans="1:11" ht="15.35" hidden="1" x14ac:dyDescent="0.55000000000000004">
      <c r="A396" s="20">
        <v>6242</v>
      </c>
      <c r="B396" s="2" t="s">
        <v>166</v>
      </c>
      <c r="C396" s="2" t="s">
        <v>167</v>
      </c>
      <c r="D396" s="20">
        <v>2026</v>
      </c>
      <c r="E396" s="2" t="s">
        <v>4777</v>
      </c>
      <c r="F396" s="2" t="s">
        <v>962</v>
      </c>
      <c r="G396" s="21">
        <v>9800151</v>
      </c>
      <c r="H396" s="23">
        <v>1.9599999999999999E-2</v>
      </c>
      <c r="I396" s="23">
        <v>1.44E-2</v>
      </c>
      <c r="J396" s="2" t="s">
        <v>4783</v>
      </c>
      <c r="K396" s="2" t="s">
        <v>787</v>
      </c>
    </row>
    <row r="397" spans="1:11" ht="15.35" hidden="1" x14ac:dyDescent="0.55000000000000004">
      <c r="A397" s="38">
        <v>6246</v>
      </c>
      <c r="B397" s="39" t="s">
        <v>166</v>
      </c>
      <c r="C397" s="39" t="s">
        <v>167</v>
      </c>
      <c r="D397" s="38">
        <v>2026</v>
      </c>
      <c r="E397" s="39" t="s">
        <v>4777</v>
      </c>
      <c r="F397" s="39" t="s">
        <v>1316</v>
      </c>
      <c r="G397" s="40">
        <v>9718107</v>
      </c>
      <c r="H397" s="41">
        <v>1.9400000000000001E-2</v>
      </c>
      <c r="I397" s="41">
        <v>1.9400000000000001E-2</v>
      </c>
      <c r="J397" s="39" t="s">
        <v>4783</v>
      </c>
      <c r="K397" s="39" t="s">
        <v>789</v>
      </c>
    </row>
    <row r="398" spans="1:11" ht="15.35" hidden="1" x14ac:dyDescent="0.55000000000000004">
      <c r="A398" s="38">
        <v>6247</v>
      </c>
      <c r="B398" s="39" t="s">
        <v>166</v>
      </c>
      <c r="C398" s="39" t="s">
        <v>167</v>
      </c>
      <c r="D398" s="38">
        <v>2026</v>
      </c>
      <c r="E398" s="39" t="s">
        <v>4777</v>
      </c>
      <c r="F398" s="39" t="s">
        <v>1090</v>
      </c>
      <c r="G398" s="40">
        <v>7225417</v>
      </c>
      <c r="H398" s="41">
        <v>1.4500000000000001E-2</v>
      </c>
      <c r="I398" s="41">
        <v>1.4500000000000001E-2</v>
      </c>
      <c r="J398" s="39" t="s">
        <v>4783</v>
      </c>
      <c r="K398" s="39" t="s">
        <v>787</v>
      </c>
    </row>
    <row r="399" spans="1:11" ht="15.35" hidden="1" x14ac:dyDescent="0.55000000000000004">
      <c r="A399" s="38">
        <v>6248</v>
      </c>
      <c r="B399" s="39" t="s">
        <v>166</v>
      </c>
      <c r="C399" s="39" t="s">
        <v>167</v>
      </c>
      <c r="D399" s="38">
        <v>2026</v>
      </c>
      <c r="E399" s="39" t="s">
        <v>4777</v>
      </c>
      <c r="F399" s="39" t="s">
        <v>4844</v>
      </c>
      <c r="G399" s="40">
        <v>5481816</v>
      </c>
      <c r="H399" s="41">
        <v>1.0999999999999999E-2</v>
      </c>
      <c r="I399" s="41">
        <v>1.0999999999999999E-2</v>
      </c>
      <c r="J399" s="39" t="s">
        <v>4783</v>
      </c>
      <c r="K399" s="39" t="s">
        <v>789</v>
      </c>
    </row>
    <row r="400" spans="1:11" ht="15.35" hidden="1" x14ac:dyDescent="0.55000000000000004">
      <c r="A400" s="20">
        <v>6249</v>
      </c>
      <c r="B400" s="2" t="s">
        <v>166</v>
      </c>
      <c r="C400" s="2" t="s">
        <v>167</v>
      </c>
      <c r="D400" s="20">
        <v>2026</v>
      </c>
      <c r="E400" s="2" t="s">
        <v>4777</v>
      </c>
      <c r="F400" s="2" t="s">
        <v>892</v>
      </c>
      <c r="G400" s="21">
        <v>5452712</v>
      </c>
      <c r="H400" s="23">
        <v>1.09E-2</v>
      </c>
      <c r="I400" s="23">
        <v>-3.3E-3</v>
      </c>
      <c r="J400" s="2" t="s">
        <v>4783</v>
      </c>
      <c r="K400" s="2" t="s">
        <v>787</v>
      </c>
    </row>
    <row r="401" spans="1:11" ht="15.35" hidden="1" x14ac:dyDescent="0.55000000000000004">
      <c r="A401" s="38">
        <v>6250</v>
      </c>
      <c r="B401" s="39" t="s">
        <v>166</v>
      </c>
      <c r="C401" s="39" t="s">
        <v>167</v>
      </c>
      <c r="D401" s="38">
        <v>2026</v>
      </c>
      <c r="E401" s="39" t="s">
        <v>4777</v>
      </c>
      <c r="F401" s="39" t="s">
        <v>4845</v>
      </c>
      <c r="G401" s="40">
        <v>5222876</v>
      </c>
      <c r="H401" s="41">
        <v>1.04E-2</v>
      </c>
      <c r="I401" s="41">
        <v>1.04E-2</v>
      </c>
      <c r="J401" s="39" t="s">
        <v>4783</v>
      </c>
      <c r="K401" s="39" t="s">
        <v>817</v>
      </c>
    </row>
    <row r="402" spans="1:11" ht="15.35" hidden="1" x14ac:dyDescent="0.55000000000000004">
      <c r="A402" s="42"/>
      <c r="B402" s="43" t="s">
        <v>166</v>
      </c>
      <c r="C402" s="43" t="s">
        <v>167</v>
      </c>
      <c r="D402" s="44">
        <v>2026</v>
      </c>
      <c r="E402" s="43" t="s">
        <v>4777</v>
      </c>
      <c r="F402" s="43" t="s">
        <v>4835</v>
      </c>
      <c r="G402" s="45"/>
      <c r="H402" s="46">
        <v>0</v>
      </c>
      <c r="I402" s="46">
        <v>-7.7000000000000002E-3</v>
      </c>
      <c r="J402" s="43" t="s">
        <v>4783</v>
      </c>
      <c r="K402" s="43" t="s">
        <v>793</v>
      </c>
    </row>
    <row r="403" spans="1:11" ht="15.35" hidden="1" x14ac:dyDescent="0.55000000000000004">
      <c r="A403" s="42"/>
      <c r="B403" s="43" t="s">
        <v>166</v>
      </c>
      <c r="C403" s="43" t="s">
        <v>167</v>
      </c>
      <c r="D403" s="44">
        <v>2026</v>
      </c>
      <c r="E403" s="43" t="s">
        <v>4777</v>
      </c>
      <c r="F403" s="43" t="s">
        <v>4836</v>
      </c>
      <c r="G403" s="45"/>
      <c r="H403" s="46">
        <v>0</v>
      </c>
      <c r="I403" s="46">
        <v>-6.1999999999999998E-3</v>
      </c>
      <c r="J403" s="43" t="s">
        <v>4783</v>
      </c>
      <c r="K403" s="43" t="s">
        <v>793</v>
      </c>
    </row>
    <row r="404" spans="1:11" ht="15.35" hidden="1" x14ac:dyDescent="0.55000000000000004">
      <c r="A404" s="42"/>
      <c r="B404" s="43" t="s">
        <v>166</v>
      </c>
      <c r="C404" s="43" t="s">
        <v>167</v>
      </c>
      <c r="D404" s="44">
        <v>2026</v>
      </c>
      <c r="E404" s="43" t="s">
        <v>4777</v>
      </c>
      <c r="F404" s="43" t="s">
        <v>4832</v>
      </c>
      <c r="G404" s="45"/>
      <c r="H404" s="46">
        <v>0</v>
      </c>
      <c r="I404" s="46">
        <v>-2.9399999999999999E-2</v>
      </c>
      <c r="J404" s="43" t="s">
        <v>4779</v>
      </c>
      <c r="K404" s="43" t="s">
        <v>798</v>
      </c>
    </row>
    <row r="405" spans="1:11" ht="15.35" hidden="1" x14ac:dyDescent="0.55000000000000004">
      <c r="A405" s="42"/>
      <c r="B405" s="43" t="s">
        <v>166</v>
      </c>
      <c r="C405" s="43" t="s">
        <v>167</v>
      </c>
      <c r="D405" s="44">
        <v>2026</v>
      </c>
      <c r="E405" s="43" t="s">
        <v>4777</v>
      </c>
      <c r="F405" s="43" t="s">
        <v>4814</v>
      </c>
      <c r="G405" s="45"/>
      <c r="H405" s="46">
        <v>0</v>
      </c>
      <c r="I405" s="46">
        <v>-1.9400000000000001E-2</v>
      </c>
      <c r="J405" s="43" t="s">
        <v>4783</v>
      </c>
      <c r="K405" s="43" t="s">
        <v>789</v>
      </c>
    </row>
    <row r="406" spans="1:11" ht="15.35" hidden="1" x14ac:dyDescent="0.55000000000000004">
      <c r="A406" s="42"/>
      <c r="B406" s="43" t="s">
        <v>166</v>
      </c>
      <c r="C406" s="43" t="s">
        <v>167</v>
      </c>
      <c r="D406" s="44">
        <v>2026</v>
      </c>
      <c r="E406" s="43" t="s">
        <v>4777</v>
      </c>
      <c r="F406" s="43" t="s">
        <v>4824</v>
      </c>
      <c r="G406" s="45"/>
      <c r="H406" s="46">
        <v>0</v>
      </c>
      <c r="I406" s="46">
        <v>-1.01E-2</v>
      </c>
      <c r="J406" s="43" t="s">
        <v>4783</v>
      </c>
      <c r="K406" s="43" t="s">
        <v>789</v>
      </c>
    </row>
    <row r="407" spans="1:11" ht="15.35" hidden="1" x14ac:dyDescent="0.55000000000000004">
      <c r="A407" s="42"/>
      <c r="B407" s="43" t="s">
        <v>166</v>
      </c>
      <c r="C407" s="43" t="s">
        <v>167</v>
      </c>
      <c r="D407" s="44">
        <v>2026</v>
      </c>
      <c r="E407" s="43" t="s">
        <v>4777</v>
      </c>
      <c r="F407" s="43" t="s">
        <v>4831</v>
      </c>
      <c r="G407" s="45"/>
      <c r="H407" s="46">
        <v>0</v>
      </c>
      <c r="I407" s="46">
        <v>-3.27E-2</v>
      </c>
      <c r="J407" s="43" t="s">
        <v>4779</v>
      </c>
      <c r="K407" s="43" t="s">
        <v>798</v>
      </c>
    </row>
    <row r="408" spans="1:11" ht="15.35" hidden="1" x14ac:dyDescent="0.55000000000000004">
      <c r="A408" s="42"/>
      <c r="B408" s="43" t="s">
        <v>166</v>
      </c>
      <c r="C408" s="43" t="s">
        <v>167</v>
      </c>
      <c r="D408" s="44">
        <v>2026</v>
      </c>
      <c r="E408" s="43" t="s">
        <v>4777</v>
      </c>
      <c r="F408" s="43" t="s">
        <v>4833</v>
      </c>
      <c r="G408" s="45"/>
      <c r="H408" s="46">
        <v>0</v>
      </c>
      <c r="I408" s="46">
        <v>-2.9399999999999999E-2</v>
      </c>
      <c r="J408" s="43" t="s">
        <v>4779</v>
      </c>
      <c r="K408" s="43" t="s">
        <v>793</v>
      </c>
    </row>
    <row r="409" spans="1:11" ht="15.35" hidden="1" x14ac:dyDescent="0.55000000000000004">
      <c r="A409" s="42"/>
      <c r="B409" s="43" t="s">
        <v>166</v>
      </c>
      <c r="C409" s="43" t="s">
        <v>167</v>
      </c>
      <c r="D409" s="44">
        <v>2026</v>
      </c>
      <c r="E409" s="43" t="s">
        <v>4777</v>
      </c>
      <c r="F409" s="43" t="s">
        <v>4837</v>
      </c>
      <c r="G409" s="45"/>
      <c r="H409" s="46">
        <v>0</v>
      </c>
      <c r="I409" s="46">
        <v>-6.1999999999999998E-3</v>
      </c>
      <c r="J409" s="43" t="s">
        <v>4783</v>
      </c>
      <c r="K409" s="43" t="s">
        <v>789</v>
      </c>
    </row>
    <row r="410" spans="1:11" ht="15.35" hidden="1" x14ac:dyDescent="0.55000000000000004">
      <c r="A410" s="42"/>
      <c r="B410" s="43" t="s">
        <v>166</v>
      </c>
      <c r="C410" s="43" t="s">
        <v>167</v>
      </c>
      <c r="D410" s="44">
        <v>2026</v>
      </c>
      <c r="E410" s="43" t="s">
        <v>4777</v>
      </c>
      <c r="F410" s="43" t="s">
        <v>4834</v>
      </c>
      <c r="G410" s="45"/>
      <c r="H410" s="46">
        <v>0</v>
      </c>
      <c r="I410" s="46">
        <v>-1.04E-2</v>
      </c>
      <c r="J410" s="43" t="s">
        <v>4783</v>
      </c>
      <c r="K410" s="43" t="s">
        <v>817</v>
      </c>
    </row>
    <row r="411" spans="1:11" ht="15.35" hidden="1" x14ac:dyDescent="0.55000000000000004">
      <c r="A411" s="42"/>
      <c r="B411" s="43" t="s">
        <v>166</v>
      </c>
      <c r="C411" s="43" t="s">
        <v>167</v>
      </c>
      <c r="D411" s="44">
        <v>2026</v>
      </c>
      <c r="E411" s="43" t="s">
        <v>4777</v>
      </c>
      <c r="F411" s="43" t="s">
        <v>1111</v>
      </c>
      <c r="G411" s="45"/>
      <c r="H411" s="46">
        <v>0</v>
      </c>
      <c r="I411" s="46">
        <v>-6.0000000000000001E-3</v>
      </c>
      <c r="J411" s="43" t="s">
        <v>4783</v>
      </c>
      <c r="K411" s="43" t="s">
        <v>787</v>
      </c>
    </row>
    <row r="412" spans="1:11" ht="15.35" hidden="1" x14ac:dyDescent="0.55000000000000004">
      <c r="A412" s="20">
        <v>964</v>
      </c>
      <c r="B412" s="2" t="s">
        <v>128</v>
      </c>
      <c r="C412" s="2" t="s">
        <v>129</v>
      </c>
      <c r="D412" s="20">
        <v>2024</v>
      </c>
      <c r="E412" s="2" t="s">
        <v>4792</v>
      </c>
      <c r="F412" s="2" t="s">
        <v>2574</v>
      </c>
      <c r="G412" s="21">
        <v>300000000</v>
      </c>
      <c r="H412" s="23">
        <v>0.3</v>
      </c>
      <c r="I412" s="37" t="s">
        <v>4778</v>
      </c>
      <c r="J412" s="2" t="s">
        <v>4779</v>
      </c>
      <c r="K412" s="2" t="s">
        <v>807</v>
      </c>
    </row>
    <row r="413" spans="1:11" ht="15.35" hidden="1" x14ac:dyDescent="0.55000000000000004">
      <c r="A413" s="20">
        <v>962</v>
      </c>
      <c r="B413" s="2" t="s">
        <v>128</v>
      </c>
      <c r="C413" s="2" t="s">
        <v>129</v>
      </c>
      <c r="D413" s="20">
        <v>2024</v>
      </c>
      <c r="E413" s="2" t="s">
        <v>4792</v>
      </c>
      <c r="F413" s="2" t="s">
        <v>1007</v>
      </c>
      <c r="G413" s="21">
        <v>85000000</v>
      </c>
      <c r="H413" s="23">
        <v>8.5000000000000006E-2</v>
      </c>
      <c r="I413" s="37" t="s">
        <v>4778</v>
      </c>
      <c r="J413" s="2" t="s">
        <v>4779</v>
      </c>
      <c r="K413" s="2" t="s">
        <v>787</v>
      </c>
    </row>
    <row r="414" spans="1:11" ht="15.35" hidden="1" x14ac:dyDescent="0.55000000000000004">
      <c r="A414" s="20">
        <v>951</v>
      </c>
      <c r="B414" s="2" t="s">
        <v>128</v>
      </c>
      <c r="C414" s="2" t="s">
        <v>129</v>
      </c>
      <c r="D414" s="20">
        <v>2024</v>
      </c>
      <c r="E414" s="2" t="s">
        <v>4792</v>
      </c>
      <c r="F414" s="2" t="s">
        <v>926</v>
      </c>
      <c r="G414" s="21">
        <v>85000000</v>
      </c>
      <c r="H414" s="23">
        <v>8.5000000000000006E-2</v>
      </c>
      <c r="I414" s="37" t="s">
        <v>4778</v>
      </c>
      <c r="J414" s="2" t="s">
        <v>4779</v>
      </c>
      <c r="K414" s="2" t="s">
        <v>787</v>
      </c>
    </row>
    <row r="415" spans="1:11" ht="15.35" hidden="1" x14ac:dyDescent="0.55000000000000004">
      <c r="A415" s="20">
        <v>961</v>
      </c>
      <c r="B415" s="2" t="s">
        <v>128</v>
      </c>
      <c r="C415" s="2" t="s">
        <v>129</v>
      </c>
      <c r="D415" s="20">
        <v>2024</v>
      </c>
      <c r="E415" s="2" t="s">
        <v>4792</v>
      </c>
      <c r="F415" s="2" t="s">
        <v>4846</v>
      </c>
      <c r="G415" s="21">
        <v>42880000</v>
      </c>
      <c r="H415" s="23">
        <v>4.2900000000000001E-2</v>
      </c>
      <c r="I415" s="37" t="s">
        <v>4778</v>
      </c>
      <c r="J415" s="2" t="s">
        <v>4779</v>
      </c>
      <c r="K415" s="2" t="s">
        <v>789</v>
      </c>
    </row>
    <row r="416" spans="1:11" ht="15.35" hidden="1" x14ac:dyDescent="0.55000000000000004">
      <c r="A416" s="20">
        <v>3717</v>
      </c>
      <c r="B416" s="2" t="s">
        <v>128</v>
      </c>
      <c r="C416" s="2" t="s">
        <v>129</v>
      </c>
      <c r="D416" s="20">
        <v>2024</v>
      </c>
      <c r="E416" s="2" t="s">
        <v>4792</v>
      </c>
      <c r="F416" s="2" t="s">
        <v>4789</v>
      </c>
      <c r="G416" s="21">
        <v>42880000</v>
      </c>
      <c r="H416" s="23">
        <v>4.2900000000000001E-2</v>
      </c>
      <c r="I416" s="37" t="s">
        <v>4778</v>
      </c>
      <c r="J416" s="2" t="s">
        <v>4779</v>
      </c>
      <c r="K416" s="2" t="s">
        <v>798</v>
      </c>
    </row>
    <row r="417" spans="1:11" ht="15.35" hidden="1" x14ac:dyDescent="0.55000000000000004">
      <c r="A417" s="20">
        <v>959</v>
      </c>
      <c r="B417" s="2" t="s">
        <v>128</v>
      </c>
      <c r="C417" s="2" t="s">
        <v>129</v>
      </c>
      <c r="D417" s="20">
        <v>2024</v>
      </c>
      <c r="E417" s="2" t="s">
        <v>4792</v>
      </c>
      <c r="F417" s="2" t="s">
        <v>2575</v>
      </c>
      <c r="G417" s="21">
        <v>38600000</v>
      </c>
      <c r="H417" s="23">
        <v>3.8600000000000002E-2</v>
      </c>
      <c r="I417" s="37" t="s">
        <v>4778</v>
      </c>
      <c r="J417" s="2" t="s">
        <v>4779</v>
      </c>
      <c r="K417" s="2" t="s">
        <v>787</v>
      </c>
    </row>
    <row r="418" spans="1:11" ht="15.35" hidden="1" x14ac:dyDescent="0.55000000000000004">
      <c r="A418" s="20">
        <v>958</v>
      </c>
      <c r="B418" s="2" t="s">
        <v>128</v>
      </c>
      <c r="C418" s="2" t="s">
        <v>129</v>
      </c>
      <c r="D418" s="20">
        <v>2024</v>
      </c>
      <c r="E418" s="2" t="s">
        <v>4792</v>
      </c>
      <c r="F418" s="2" t="s">
        <v>788</v>
      </c>
      <c r="G418" s="21">
        <v>21440000</v>
      </c>
      <c r="H418" s="23">
        <v>2.1399999999999999E-2</v>
      </c>
      <c r="I418" s="37" t="s">
        <v>4778</v>
      </c>
      <c r="J418" s="2" t="s">
        <v>4779</v>
      </c>
      <c r="K418" s="2" t="s">
        <v>787</v>
      </c>
    </row>
    <row r="419" spans="1:11" ht="15.35" hidden="1" x14ac:dyDescent="0.55000000000000004">
      <c r="A419" s="20">
        <v>950</v>
      </c>
      <c r="B419" s="2" t="s">
        <v>128</v>
      </c>
      <c r="C419" s="2" t="s">
        <v>129</v>
      </c>
      <c r="D419" s="20">
        <v>2024</v>
      </c>
      <c r="E419" s="2" t="s">
        <v>4792</v>
      </c>
      <c r="F419" s="2" t="s">
        <v>4847</v>
      </c>
      <c r="G419" s="21">
        <v>20818379</v>
      </c>
      <c r="H419" s="23">
        <v>2.0799999999999999E-2</v>
      </c>
      <c r="I419" s="37" t="s">
        <v>4778</v>
      </c>
      <c r="J419" s="2" t="s">
        <v>4783</v>
      </c>
      <c r="K419" s="2" t="s">
        <v>789</v>
      </c>
    </row>
    <row r="420" spans="1:11" ht="15.35" hidden="1" x14ac:dyDescent="0.55000000000000004">
      <c r="A420" s="20">
        <v>957</v>
      </c>
      <c r="B420" s="2" t="s">
        <v>128</v>
      </c>
      <c r="C420" s="2" t="s">
        <v>129</v>
      </c>
      <c r="D420" s="20">
        <v>2024</v>
      </c>
      <c r="E420" s="2" t="s">
        <v>4792</v>
      </c>
      <c r="F420" s="2" t="s">
        <v>4848</v>
      </c>
      <c r="G420" s="21">
        <v>20420000</v>
      </c>
      <c r="H420" s="23">
        <v>2.0400000000000001E-2</v>
      </c>
      <c r="I420" s="37" t="s">
        <v>4778</v>
      </c>
      <c r="J420" s="2" t="s">
        <v>4779</v>
      </c>
      <c r="K420" s="2" t="s">
        <v>817</v>
      </c>
    </row>
    <row r="421" spans="1:11" ht="15.35" hidden="1" x14ac:dyDescent="0.55000000000000004">
      <c r="A421" s="20">
        <v>963</v>
      </c>
      <c r="B421" s="2" t="s">
        <v>128</v>
      </c>
      <c r="C421" s="2" t="s">
        <v>129</v>
      </c>
      <c r="D421" s="20">
        <v>2024</v>
      </c>
      <c r="E421" s="2" t="s">
        <v>4792</v>
      </c>
      <c r="F421" s="2" t="s">
        <v>4849</v>
      </c>
      <c r="G421" s="21">
        <v>18515494</v>
      </c>
      <c r="H421" s="23">
        <v>1.8499999999999999E-2</v>
      </c>
      <c r="I421" s="37" t="s">
        <v>4778</v>
      </c>
      <c r="J421" s="2" t="s">
        <v>4783</v>
      </c>
      <c r="K421" s="2" t="s">
        <v>798</v>
      </c>
    </row>
    <row r="422" spans="1:11" ht="15.35" hidden="1" x14ac:dyDescent="0.55000000000000004">
      <c r="A422" s="20">
        <v>871</v>
      </c>
      <c r="B422" s="2" t="s">
        <v>128</v>
      </c>
      <c r="C422" s="2" t="s">
        <v>129</v>
      </c>
      <c r="D422" s="20">
        <v>2024</v>
      </c>
      <c r="E422" s="2" t="s">
        <v>4792</v>
      </c>
      <c r="F422" s="2" t="s">
        <v>1198</v>
      </c>
      <c r="G422" s="21">
        <v>14498924</v>
      </c>
      <c r="H422" s="23">
        <v>1.4500000000000001E-2</v>
      </c>
      <c r="I422" s="37" t="s">
        <v>4778</v>
      </c>
      <c r="J422" s="2" t="s">
        <v>4783</v>
      </c>
      <c r="K422" s="2" t="s">
        <v>817</v>
      </c>
    </row>
    <row r="423" spans="1:11" ht="15.35" hidden="1" x14ac:dyDescent="0.55000000000000004">
      <c r="A423" s="20">
        <v>896</v>
      </c>
      <c r="B423" s="2" t="s">
        <v>128</v>
      </c>
      <c r="C423" s="2" t="s">
        <v>129</v>
      </c>
      <c r="D423" s="20">
        <v>2024</v>
      </c>
      <c r="E423" s="2" t="s">
        <v>4792</v>
      </c>
      <c r="F423" s="2" t="s">
        <v>4850</v>
      </c>
      <c r="G423" s="21">
        <v>12692800</v>
      </c>
      <c r="H423" s="23">
        <v>1.2699999999999999E-2</v>
      </c>
      <c r="I423" s="37" t="s">
        <v>4778</v>
      </c>
      <c r="J423" s="2" t="s">
        <v>4783</v>
      </c>
      <c r="K423" s="2" t="s">
        <v>811</v>
      </c>
    </row>
    <row r="424" spans="1:11" ht="15.35" hidden="1" x14ac:dyDescent="0.55000000000000004">
      <c r="A424" s="20">
        <v>956</v>
      </c>
      <c r="B424" s="2" t="s">
        <v>128</v>
      </c>
      <c r="C424" s="2" t="s">
        <v>129</v>
      </c>
      <c r="D424" s="20">
        <v>2024</v>
      </c>
      <c r="E424" s="2" t="s">
        <v>4792</v>
      </c>
      <c r="F424" s="2" t="s">
        <v>2586</v>
      </c>
      <c r="G424" s="21">
        <v>12260000</v>
      </c>
      <c r="H424" s="23">
        <v>1.23E-2</v>
      </c>
      <c r="I424" s="37" t="s">
        <v>4778</v>
      </c>
      <c r="J424" s="2" t="s">
        <v>4779</v>
      </c>
      <c r="K424" s="2" t="s">
        <v>813</v>
      </c>
    </row>
    <row r="425" spans="1:11" ht="15.35" hidden="1" x14ac:dyDescent="0.55000000000000004">
      <c r="A425" s="20">
        <v>955</v>
      </c>
      <c r="B425" s="2" t="s">
        <v>128</v>
      </c>
      <c r="C425" s="2" t="s">
        <v>129</v>
      </c>
      <c r="D425" s="20">
        <v>2024</v>
      </c>
      <c r="E425" s="2" t="s">
        <v>4792</v>
      </c>
      <c r="F425" s="2" t="s">
        <v>4851</v>
      </c>
      <c r="G425" s="21">
        <v>12000000</v>
      </c>
      <c r="H425" s="23">
        <v>1.2E-2</v>
      </c>
      <c r="I425" s="37" t="s">
        <v>4778</v>
      </c>
      <c r="J425" s="2" t="s">
        <v>4779</v>
      </c>
      <c r="K425" s="2" t="s">
        <v>789</v>
      </c>
    </row>
    <row r="426" spans="1:11" ht="15.35" hidden="1" x14ac:dyDescent="0.55000000000000004">
      <c r="A426" s="20">
        <v>897</v>
      </c>
      <c r="B426" s="2" t="s">
        <v>128</v>
      </c>
      <c r="C426" s="2" t="s">
        <v>129</v>
      </c>
      <c r="D426" s="20">
        <v>2024</v>
      </c>
      <c r="E426" s="2" t="s">
        <v>4792</v>
      </c>
      <c r="F426" s="2" t="s">
        <v>4852</v>
      </c>
      <c r="G426" s="21">
        <v>11800000</v>
      </c>
      <c r="H426" s="23">
        <v>1.18E-2</v>
      </c>
      <c r="I426" s="37" t="s">
        <v>4778</v>
      </c>
      <c r="J426" s="2" t="s">
        <v>4783</v>
      </c>
      <c r="K426" s="2" t="s">
        <v>811</v>
      </c>
    </row>
    <row r="427" spans="1:11" ht="15.35" hidden="1" x14ac:dyDescent="0.55000000000000004">
      <c r="A427" s="20">
        <v>969</v>
      </c>
      <c r="B427" s="2" t="s">
        <v>128</v>
      </c>
      <c r="C427" s="2" t="s">
        <v>129</v>
      </c>
      <c r="D427" s="20">
        <v>2024</v>
      </c>
      <c r="E427" s="2" t="s">
        <v>4792</v>
      </c>
      <c r="F427" s="2" t="s">
        <v>4785</v>
      </c>
      <c r="G427" s="21">
        <v>11653341</v>
      </c>
      <c r="H427" s="23">
        <v>1.17E-2</v>
      </c>
      <c r="I427" s="37" t="s">
        <v>4778</v>
      </c>
      <c r="J427" s="2" t="s">
        <v>4783</v>
      </c>
      <c r="K427" s="2" t="s">
        <v>789</v>
      </c>
    </row>
    <row r="428" spans="1:11" ht="15.35" hidden="1" x14ac:dyDescent="0.55000000000000004">
      <c r="A428" s="20">
        <v>898</v>
      </c>
      <c r="B428" s="2" t="s">
        <v>128</v>
      </c>
      <c r="C428" s="2" t="s">
        <v>129</v>
      </c>
      <c r="D428" s="20">
        <v>2024</v>
      </c>
      <c r="E428" s="2" t="s">
        <v>4792</v>
      </c>
      <c r="F428" s="2" t="s">
        <v>4853</v>
      </c>
      <c r="G428" s="21">
        <v>11653341</v>
      </c>
      <c r="H428" s="23">
        <v>1.17E-2</v>
      </c>
      <c r="I428" s="37" t="s">
        <v>4778</v>
      </c>
      <c r="J428" s="2" t="s">
        <v>4783</v>
      </c>
      <c r="K428" s="2" t="s">
        <v>789</v>
      </c>
    </row>
    <row r="429" spans="1:11" ht="15.35" hidden="1" x14ac:dyDescent="0.55000000000000004">
      <c r="A429" s="20">
        <v>968</v>
      </c>
      <c r="B429" s="2" t="s">
        <v>128</v>
      </c>
      <c r="C429" s="2" t="s">
        <v>129</v>
      </c>
      <c r="D429" s="20">
        <v>2024</v>
      </c>
      <c r="E429" s="2" t="s">
        <v>4792</v>
      </c>
      <c r="F429" s="2" t="s">
        <v>4854</v>
      </c>
      <c r="G429" s="21">
        <v>10955495</v>
      </c>
      <c r="H429" s="23">
        <v>1.0999999999999999E-2</v>
      </c>
      <c r="I429" s="37" t="s">
        <v>4778</v>
      </c>
      <c r="J429" s="2" t="s">
        <v>4783</v>
      </c>
      <c r="K429" s="2" t="s">
        <v>817</v>
      </c>
    </row>
    <row r="430" spans="1:11" ht="15.35" hidden="1" x14ac:dyDescent="0.55000000000000004">
      <c r="A430" s="20">
        <v>954</v>
      </c>
      <c r="B430" s="2" t="s">
        <v>128</v>
      </c>
      <c r="C430" s="2" t="s">
        <v>129</v>
      </c>
      <c r="D430" s="20">
        <v>2024</v>
      </c>
      <c r="E430" s="2" t="s">
        <v>4792</v>
      </c>
      <c r="F430" s="2" t="s">
        <v>4855</v>
      </c>
      <c r="G430" s="21">
        <v>10720000</v>
      </c>
      <c r="H430" s="23">
        <v>1.0699999999999999E-2</v>
      </c>
      <c r="I430" s="37" t="s">
        <v>4778</v>
      </c>
      <c r="J430" s="2" t="s">
        <v>4779</v>
      </c>
      <c r="K430" s="2" t="s">
        <v>817</v>
      </c>
    </row>
    <row r="431" spans="1:11" ht="15.35" hidden="1" x14ac:dyDescent="0.55000000000000004">
      <c r="A431" s="20">
        <v>953</v>
      </c>
      <c r="B431" s="2" t="s">
        <v>128</v>
      </c>
      <c r="C431" s="2" t="s">
        <v>129</v>
      </c>
      <c r="D431" s="20">
        <v>2024</v>
      </c>
      <c r="E431" s="2" t="s">
        <v>4792</v>
      </c>
      <c r="F431" s="2" t="s">
        <v>4856</v>
      </c>
      <c r="G431" s="21">
        <v>10720000</v>
      </c>
      <c r="H431" s="23">
        <v>1.0699999999999999E-2</v>
      </c>
      <c r="I431" s="37" t="s">
        <v>4778</v>
      </c>
      <c r="J431" s="2" t="s">
        <v>4779</v>
      </c>
      <c r="K431" s="2" t="s">
        <v>817</v>
      </c>
    </row>
    <row r="432" spans="1:11" ht="15.35" hidden="1" x14ac:dyDescent="0.55000000000000004">
      <c r="A432" s="20">
        <v>966</v>
      </c>
      <c r="B432" s="2" t="s">
        <v>128</v>
      </c>
      <c r="C432" s="2" t="s">
        <v>129</v>
      </c>
      <c r="D432" s="20">
        <v>2024</v>
      </c>
      <c r="E432" s="2" t="s">
        <v>4792</v>
      </c>
      <c r="F432" s="2" t="s">
        <v>926</v>
      </c>
      <c r="G432" s="21">
        <v>10615263</v>
      </c>
      <c r="H432" s="23">
        <v>1.06E-2</v>
      </c>
      <c r="I432" s="37" t="s">
        <v>4778</v>
      </c>
      <c r="J432" s="2" t="s">
        <v>4783</v>
      </c>
      <c r="K432" s="2" t="s">
        <v>787</v>
      </c>
    </row>
    <row r="433" spans="1:11" ht="15.35" hidden="1" x14ac:dyDescent="0.55000000000000004">
      <c r="A433" s="20">
        <v>967</v>
      </c>
      <c r="B433" s="2" t="s">
        <v>128</v>
      </c>
      <c r="C433" s="2" t="s">
        <v>129</v>
      </c>
      <c r="D433" s="20">
        <v>2024</v>
      </c>
      <c r="E433" s="2" t="s">
        <v>4792</v>
      </c>
      <c r="F433" s="2" t="s">
        <v>1111</v>
      </c>
      <c r="G433" s="21">
        <v>10629198</v>
      </c>
      <c r="H433" s="23">
        <v>1.06E-2</v>
      </c>
      <c r="I433" s="37" t="s">
        <v>4778</v>
      </c>
      <c r="J433" s="2" t="s">
        <v>4783</v>
      </c>
      <c r="K433" s="2" t="s">
        <v>787</v>
      </c>
    </row>
    <row r="434" spans="1:11" ht="15.35" hidden="1" x14ac:dyDescent="0.55000000000000004">
      <c r="A434" s="20">
        <v>965</v>
      </c>
      <c r="B434" s="2" t="s">
        <v>128</v>
      </c>
      <c r="C434" s="2" t="s">
        <v>129</v>
      </c>
      <c r="D434" s="20">
        <v>2024</v>
      </c>
      <c r="E434" s="2" t="s">
        <v>4792</v>
      </c>
      <c r="F434" s="2" t="s">
        <v>1153</v>
      </c>
      <c r="G434" s="21">
        <v>9351118</v>
      </c>
      <c r="H434" s="23">
        <v>9.4000000000000004E-3</v>
      </c>
      <c r="I434" s="37" t="s">
        <v>4778</v>
      </c>
      <c r="J434" s="2" t="s">
        <v>4783</v>
      </c>
      <c r="K434" s="2" t="s">
        <v>787</v>
      </c>
    </row>
    <row r="435" spans="1:11" ht="15.35" hidden="1" x14ac:dyDescent="0.55000000000000004">
      <c r="A435" s="20">
        <v>952</v>
      </c>
      <c r="B435" s="2" t="s">
        <v>128</v>
      </c>
      <c r="C435" s="2" t="s">
        <v>129</v>
      </c>
      <c r="D435" s="20">
        <v>2024</v>
      </c>
      <c r="E435" s="2" t="s">
        <v>4792</v>
      </c>
      <c r="F435" s="2" t="s">
        <v>1251</v>
      </c>
      <c r="G435" s="21">
        <v>8580000</v>
      </c>
      <c r="H435" s="23">
        <v>8.6E-3</v>
      </c>
      <c r="I435" s="37" t="s">
        <v>4778</v>
      </c>
      <c r="J435" s="2" t="s">
        <v>4779</v>
      </c>
      <c r="K435" s="2" t="s">
        <v>789</v>
      </c>
    </row>
    <row r="436" spans="1:11" ht="15.35" hidden="1" x14ac:dyDescent="0.55000000000000004">
      <c r="A436" s="20">
        <v>824</v>
      </c>
      <c r="B436" s="2" t="s">
        <v>128</v>
      </c>
      <c r="C436" s="2" t="s">
        <v>129</v>
      </c>
      <c r="D436" s="20">
        <v>2024</v>
      </c>
      <c r="E436" s="2" t="s">
        <v>4792</v>
      </c>
      <c r="F436" s="2" t="s">
        <v>4857</v>
      </c>
      <c r="G436" s="21">
        <v>8580000</v>
      </c>
      <c r="H436" s="23">
        <v>8.6E-3</v>
      </c>
      <c r="I436" s="37" t="s">
        <v>4778</v>
      </c>
      <c r="J436" s="2" t="s">
        <v>4779</v>
      </c>
      <c r="K436" s="2" t="s">
        <v>798</v>
      </c>
    </row>
    <row r="437" spans="1:11" ht="15.35" hidden="1" x14ac:dyDescent="0.55000000000000004">
      <c r="A437" s="20">
        <v>3738</v>
      </c>
      <c r="B437" s="2" t="s">
        <v>128</v>
      </c>
      <c r="C437" s="2" t="s">
        <v>129</v>
      </c>
      <c r="D437" s="20">
        <v>2025</v>
      </c>
      <c r="E437" s="2" t="s">
        <v>4777</v>
      </c>
      <c r="F437" s="2" t="s">
        <v>2574</v>
      </c>
      <c r="G437" s="21">
        <v>300000000</v>
      </c>
      <c r="H437" s="23">
        <v>0.3</v>
      </c>
      <c r="I437" s="23">
        <v>0</v>
      </c>
      <c r="J437" s="2" t="s">
        <v>4779</v>
      </c>
      <c r="K437" s="2" t="s">
        <v>807</v>
      </c>
    </row>
    <row r="438" spans="1:11" ht="15.35" hidden="1" x14ac:dyDescent="0.55000000000000004">
      <c r="A438" s="20">
        <v>3737</v>
      </c>
      <c r="B438" s="2" t="s">
        <v>128</v>
      </c>
      <c r="C438" s="2" t="s">
        <v>129</v>
      </c>
      <c r="D438" s="20">
        <v>2025</v>
      </c>
      <c r="E438" s="2" t="s">
        <v>4777</v>
      </c>
      <c r="F438" s="2" t="s">
        <v>1007</v>
      </c>
      <c r="G438" s="21">
        <v>85000000</v>
      </c>
      <c r="H438" s="23">
        <v>8.5000000000000006E-2</v>
      </c>
      <c r="I438" s="23">
        <v>0</v>
      </c>
      <c r="J438" s="2" t="s">
        <v>4779</v>
      </c>
      <c r="K438" s="2" t="s">
        <v>787</v>
      </c>
    </row>
    <row r="439" spans="1:11" ht="15.35" hidden="1" x14ac:dyDescent="0.55000000000000004">
      <c r="A439" s="38">
        <v>3736</v>
      </c>
      <c r="B439" s="39" t="s">
        <v>128</v>
      </c>
      <c r="C439" s="39" t="s">
        <v>129</v>
      </c>
      <c r="D439" s="38">
        <v>2025</v>
      </c>
      <c r="E439" s="39" t="s">
        <v>4777</v>
      </c>
      <c r="F439" s="39" t="s">
        <v>1191</v>
      </c>
      <c r="G439" s="40">
        <v>85000000</v>
      </c>
      <c r="H439" s="41">
        <v>8.5000000000000006E-2</v>
      </c>
      <c r="I439" s="41">
        <v>8.5000000000000006E-2</v>
      </c>
      <c r="J439" s="39" t="s">
        <v>4779</v>
      </c>
      <c r="K439" s="39" t="s">
        <v>787</v>
      </c>
    </row>
    <row r="440" spans="1:11" ht="15.35" hidden="1" x14ac:dyDescent="0.55000000000000004">
      <c r="A440" s="20">
        <v>3735</v>
      </c>
      <c r="B440" s="2" t="s">
        <v>128</v>
      </c>
      <c r="C440" s="2" t="s">
        <v>129</v>
      </c>
      <c r="D440" s="20">
        <v>2025</v>
      </c>
      <c r="E440" s="2" t="s">
        <v>4777</v>
      </c>
      <c r="F440" s="2" t="s">
        <v>4846</v>
      </c>
      <c r="G440" s="21">
        <v>42880000</v>
      </c>
      <c r="H440" s="23">
        <v>4.2900000000000001E-2</v>
      </c>
      <c r="I440" s="23">
        <v>0</v>
      </c>
      <c r="J440" s="2" t="s">
        <v>4779</v>
      </c>
      <c r="K440" s="2" t="s">
        <v>789</v>
      </c>
    </row>
    <row r="441" spans="1:11" ht="15.35" hidden="1" x14ac:dyDescent="0.55000000000000004">
      <c r="A441" s="38">
        <v>3734</v>
      </c>
      <c r="B441" s="39" t="s">
        <v>128</v>
      </c>
      <c r="C441" s="39" t="s">
        <v>129</v>
      </c>
      <c r="D441" s="38">
        <v>2025</v>
      </c>
      <c r="E441" s="39" t="s">
        <v>4777</v>
      </c>
      <c r="F441" s="39" t="s">
        <v>4858</v>
      </c>
      <c r="G441" s="40">
        <v>42880000</v>
      </c>
      <c r="H441" s="41">
        <v>4.2900000000000001E-2</v>
      </c>
      <c r="I441" s="41">
        <v>4.2900000000000001E-2</v>
      </c>
      <c r="J441" s="39" t="s">
        <v>4779</v>
      </c>
      <c r="K441" s="39" t="s">
        <v>798</v>
      </c>
    </row>
    <row r="442" spans="1:11" ht="15.35" hidden="1" x14ac:dyDescent="0.55000000000000004">
      <c r="A442" s="20">
        <v>3730</v>
      </c>
      <c r="B442" s="2" t="s">
        <v>128</v>
      </c>
      <c r="C442" s="2" t="s">
        <v>129</v>
      </c>
      <c r="D442" s="20">
        <v>2025</v>
      </c>
      <c r="E442" s="2" t="s">
        <v>4777</v>
      </c>
      <c r="F442" s="2" t="s">
        <v>2575</v>
      </c>
      <c r="G442" s="21">
        <v>38600000</v>
      </c>
      <c r="H442" s="23">
        <v>3.8600000000000002E-2</v>
      </c>
      <c r="I442" s="23">
        <v>0</v>
      </c>
      <c r="J442" s="2" t="s">
        <v>4779</v>
      </c>
      <c r="K442" s="2" t="s">
        <v>807</v>
      </c>
    </row>
    <row r="443" spans="1:11" ht="15.35" hidden="1" x14ac:dyDescent="0.55000000000000004">
      <c r="A443" s="20">
        <v>3726</v>
      </c>
      <c r="B443" s="2" t="s">
        <v>128</v>
      </c>
      <c r="C443" s="2" t="s">
        <v>129</v>
      </c>
      <c r="D443" s="20">
        <v>2025</v>
      </c>
      <c r="E443" s="2" t="s">
        <v>4777</v>
      </c>
      <c r="F443" s="2" t="s">
        <v>788</v>
      </c>
      <c r="G443" s="21">
        <v>21440000</v>
      </c>
      <c r="H443" s="23">
        <v>2.1399999999999999E-2</v>
      </c>
      <c r="I443" s="23">
        <v>0</v>
      </c>
      <c r="J443" s="2" t="s">
        <v>4779</v>
      </c>
      <c r="K443" s="2" t="s">
        <v>787</v>
      </c>
    </row>
    <row r="444" spans="1:11" ht="15.35" hidden="1" x14ac:dyDescent="0.55000000000000004">
      <c r="A444" s="20">
        <v>3724</v>
      </c>
      <c r="B444" s="2" t="s">
        <v>128</v>
      </c>
      <c r="C444" s="2" t="s">
        <v>129</v>
      </c>
      <c r="D444" s="20">
        <v>2025</v>
      </c>
      <c r="E444" s="2" t="s">
        <v>4777</v>
      </c>
      <c r="F444" s="2" t="s">
        <v>4848</v>
      </c>
      <c r="G444" s="21">
        <v>20420000</v>
      </c>
      <c r="H444" s="23">
        <v>2.0400000000000001E-2</v>
      </c>
      <c r="I444" s="23">
        <v>0</v>
      </c>
      <c r="J444" s="2" t="s">
        <v>4779</v>
      </c>
      <c r="K444" s="2" t="s">
        <v>817</v>
      </c>
    </row>
    <row r="445" spans="1:11" ht="15.35" hidden="1" x14ac:dyDescent="0.55000000000000004">
      <c r="A445" s="38">
        <v>3601</v>
      </c>
      <c r="B445" s="39" t="s">
        <v>128</v>
      </c>
      <c r="C445" s="39" t="s">
        <v>129</v>
      </c>
      <c r="D445" s="38">
        <v>2025</v>
      </c>
      <c r="E445" s="39" t="s">
        <v>4777</v>
      </c>
      <c r="F445" s="39" t="s">
        <v>1341</v>
      </c>
      <c r="G445" s="40">
        <v>18548326</v>
      </c>
      <c r="H445" s="41">
        <v>1.8499999999999999E-2</v>
      </c>
      <c r="I445" s="41">
        <v>1.8499999999999999E-2</v>
      </c>
      <c r="J445" s="39" t="s">
        <v>4783</v>
      </c>
      <c r="K445" s="39" t="s">
        <v>787</v>
      </c>
    </row>
    <row r="446" spans="1:11" ht="15.35" hidden="1" x14ac:dyDescent="0.55000000000000004">
      <c r="A446" s="38">
        <v>3718</v>
      </c>
      <c r="B446" s="39" t="s">
        <v>128</v>
      </c>
      <c r="C446" s="39" t="s">
        <v>129</v>
      </c>
      <c r="D446" s="38">
        <v>2025</v>
      </c>
      <c r="E446" s="39" t="s">
        <v>4777</v>
      </c>
      <c r="F446" s="39" t="s">
        <v>1090</v>
      </c>
      <c r="G446" s="40">
        <v>17803277</v>
      </c>
      <c r="H446" s="41">
        <v>1.78E-2</v>
      </c>
      <c r="I446" s="41">
        <v>1.78E-2</v>
      </c>
      <c r="J446" s="39" t="s">
        <v>4783</v>
      </c>
      <c r="K446" s="39" t="s">
        <v>787</v>
      </c>
    </row>
    <row r="447" spans="1:11" ht="15.35" hidden="1" x14ac:dyDescent="0.55000000000000004">
      <c r="A447" s="20">
        <v>3600</v>
      </c>
      <c r="B447" s="2" t="s">
        <v>128</v>
      </c>
      <c r="C447" s="2" t="s">
        <v>129</v>
      </c>
      <c r="D447" s="20">
        <v>2025</v>
      </c>
      <c r="E447" s="2" t="s">
        <v>4777</v>
      </c>
      <c r="F447" s="2" t="s">
        <v>1198</v>
      </c>
      <c r="G447" s="21">
        <v>14498924</v>
      </c>
      <c r="H447" s="23">
        <v>1.4500000000000001E-2</v>
      </c>
      <c r="I447" s="23">
        <v>0</v>
      </c>
      <c r="J447" s="2" t="s">
        <v>4783</v>
      </c>
      <c r="K447" s="2" t="s">
        <v>817</v>
      </c>
    </row>
    <row r="448" spans="1:11" ht="15.35" hidden="1" x14ac:dyDescent="0.55000000000000004">
      <c r="A448" s="38">
        <v>3599</v>
      </c>
      <c r="B448" s="39" t="s">
        <v>128</v>
      </c>
      <c r="C448" s="39" t="s">
        <v>129</v>
      </c>
      <c r="D448" s="38">
        <v>2025</v>
      </c>
      <c r="E448" s="39" t="s">
        <v>4777</v>
      </c>
      <c r="F448" s="39" t="s">
        <v>4859</v>
      </c>
      <c r="G448" s="40">
        <v>13154409</v>
      </c>
      <c r="H448" s="41">
        <v>1.32E-2</v>
      </c>
      <c r="I448" s="41">
        <v>1.32E-2</v>
      </c>
      <c r="J448" s="39" t="s">
        <v>4783</v>
      </c>
      <c r="K448" s="39" t="s">
        <v>793</v>
      </c>
    </row>
    <row r="449" spans="1:11" ht="15.35" hidden="1" x14ac:dyDescent="0.55000000000000004">
      <c r="A449" s="38">
        <v>3598</v>
      </c>
      <c r="B449" s="39" t="s">
        <v>128</v>
      </c>
      <c r="C449" s="39" t="s">
        <v>129</v>
      </c>
      <c r="D449" s="38">
        <v>2025</v>
      </c>
      <c r="E449" s="39" t="s">
        <v>4777</v>
      </c>
      <c r="F449" s="39" t="s">
        <v>864</v>
      </c>
      <c r="G449" s="40">
        <v>12443638</v>
      </c>
      <c r="H449" s="41">
        <v>1.24E-2</v>
      </c>
      <c r="I449" s="41">
        <v>1.24E-2</v>
      </c>
      <c r="J449" s="39" t="s">
        <v>4783</v>
      </c>
      <c r="K449" s="39" t="s">
        <v>787</v>
      </c>
    </row>
    <row r="450" spans="1:11" ht="15.35" hidden="1" x14ac:dyDescent="0.55000000000000004">
      <c r="A450" s="20">
        <v>3723</v>
      </c>
      <c r="B450" s="2" t="s">
        <v>128</v>
      </c>
      <c r="C450" s="2" t="s">
        <v>129</v>
      </c>
      <c r="D450" s="20">
        <v>2025</v>
      </c>
      <c r="E450" s="2" t="s">
        <v>4777</v>
      </c>
      <c r="F450" s="2" t="s">
        <v>2586</v>
      </c>
      <c r="G450" s="21">
        <v>12260000</v>
      </c>
      <c r="H450" s="23">
        <v>1.23E-2</v>
      </c>
      <c r="I450" s="23">
        <v>0</v>
      </c>
      <c r="J450" s="2" t="s">
        <v>4779</v>
      </c>
      <c r="K450" s="2" t="s">
        <v>813</v>
      </c>
    </row>
    <row r="451" spans="1:11" ht="15.35" hidden="1" x14ac:dyDescent="0.55000000000000004">
      <c r="A451" s="20">
        <v>3722</v>
      </c>
      <c r="B451" s="2" t="s">
        <v>128</v>
      </c>
      <c r="C451" s="2" t="s">
        <v>129</v>
      </c>
      <c r="D451" s="20">
        <v>2025</v>
      </c>
      <c r="E451" s="2" t="s">
        <v>4777</v>
      </c>
      <c r="F451" s="2" t="s">
        <v>4851</v>
      </c>
      <c r="G451" s="21">
        <v>12000000</v>
      </c>
      <c r="H451" s="23">
        <v>1.2E-2</v>
      </c>
      <c r="I451" s="23">
        <v>0</v>
      </c>
      <c r="J451" s="2" t="s">
        <v>4779</v>
      </c>
      <c r="K451" s="2" t="s">
        <v>789</v>
      </c>
    </row>
    <row r="452" spans="1:11" ht="15.35" hidden="1" x14ac:dyDescent="0.55000000000000004">
      <c r="A452" s="38">
        <v>3597</v>
      </c>
      <c r="B452" s="39" t="s">
        <v>128</v>
      </c>
      <c r="C452" s="39" t="s">
        <v>129</v>
      </c>
      <c r="D452" s="38">
        <v>2025</v>
      </c>
      <c r="E452" s="39" t="s">
        <v>4777</v>
      </c>
      <c r="F452" s="39" t="s">
        <v>1191</v>
      </c>
      <c r="G452" s="40">
        <v>11320638</v>
      </c>
      <c r="H452" s="41">
        <v>1.1299999999999999E-2</v>
      </c>
      <c r="I452" s="41">
        <v>1.1299999999999999E-2</v>
      </c>
      <c r="J452" s="39" t="s">
        <v>4783</v>
      </c>
      <c r="K452" s="39" t="s">
        <v>787</v>
      </c>
    </row>
    <row r="453" spans="1:11" ht="15.35" hidden="1" x14ac:dyDescent="0.55000000000000004">
      <c r="A453" s="20">
        <v>3721</v>
      </c>
      <c r="B453" s="2" t="s">
        <v>128</v>
      </c>
      <c r="C453" s="2" t="s">
        <v>129</v>
      </c>
      <c r="D453" s="20">
        <v>2025</v>
      </c>
      <c r="E453" s="2" t="s">
        <v>4777</v>
      </c>
      <c r="F453" s="2" t="s">
        <v>4855</v>
      </c>
      <c r="G453" s="21">
        <v>10720000</v>
      </c>
      <c r="H453" s="23">
        <v>1.0699999999999999E-2</v>
      </c>
      <c r="I453" s="23">
        <v>0</v>
      </c>
      <c r="J453" s="2" t="s">
        <v>4779</v>
      </c>
      <c r="K453" s="2" t="s">
        <v>817</v>
      </c>
    </row>
    <row r="454" spans="1:11" ht="15.35" hidden="1" x14ac:dyDescent="0.55000000000000004">
      <c r="A454" s="20">
        <v>3720</v>
      </c>
      <c r="B454" s="2" t="s">
        <v>128</v>
      </c>
      <c r="C454" s="2" t="s">
        <v>129</v>
      </c>
      <c r="D454" s="20">
        <v>2025</v>
      </c>
      <c r="E454" s="2" t="s">
        <v>4777</v>
      </c>
      <c r="F454" s="2" t="s">
        <v>4856</v>
      </c>
      <c r="G454" s="21">
        <v>10720000</v>
      </c>
      <c r="H454" s="23">
        <v>1.0699999999999999E-2</v>
      </c>
      <c r="I454" s="23">
        <v>0</v>
      </c>
      <c r="J454" s="2" t="s">
        <v>4779</v>
      </c>
      <c r="K454" s="2" t="s">
        <v>817</v>
      </c>
    </row>
    <row r="455" spans="1:11" ht="15.35" hidden="1" x14ac:dyDescent="0.55000000000000004">
      <c r="A455" s="38">
        <v>3590</v>
      </c>
      <c r="B455" s="39" t="s">
        <v>128</v>
      </c>
      <c r="C455" s="39" t="s">
        <v>129</v>
      </c>
      <c r="D455" s="38">
        <v>2025</v>
      </c>
      <c r="E455" s="39" t="s">
        <v>4777</v>
      </c>
      <c r="F455" s="39" t="s">
        <v>1164</v>
      </c>
      <c r="G455" s="40">
        <v>10314579</v>
      </c>
      <c r="H455" s="41">
        <v>1.03E-2</v>
      </c>
      <c r="I455" s="41">
        <v>1.03E-2</v>
      </c>
      <c r="J455" s="39" t="s">
        <v>4783</v>
      </c>
      <c r="K455" s="39" t="s">
        <v>787</v>
      </c>
    </row>
    <row r="456" spans="1:11" ht="15.35" hidden="1" x14ac:dyDescent="0.55000000000000004">
      <c r="A456" s="38">
        <v>3577</v>
      </c>
      <c r="B456" s="39" t="s">
        <v>128</v>
      </c>
      <c r="C456" s="39" t="s">
        <v>129</v>
      </c>
      <c r="D456" s="38">
        <v>2025</v>
      </c>
      <c r="E456" s="39" t="s">
        <v>4777</v>
      </c>
      <c r="F456" s="39" t="s">
        <v>1270</v>
      </c>
      <c r="G456" s="40">
        <v>10197873</v>
      </c>
      <c r="H456" s="41">
        <v>1.0200000000000001E-2</v>
      </c>
      <c r="I456" s="41">
        <v>1.0200000000000001E-2</v>
      </c>
      <c r="J456" s="39" t="s">
        <v>4783</v>
      </c>
      <c r="K456" s="39" t="s">
        <v>787</v>
      </c>
    </row>
    <row r="457" spans="1:11" ht="15.35" hidden="1" x14ac:dyDescent="0.55000000000000004">
      <c r="A457" s="20">
        <v>3569</v>
      </c>
      <c r="B457" s="2" t="s">
        <v>128</v>
      </c>
      <c r="C457" s="2" t="s">
        <v>129</v>
      </c>
      <c r="D457" s="20">
        <v>2025</v>
      </c>
      <c r="E457" s="2" t="s">
        <v>4777</v>
      </c>
      <c r="F457" s="2" t="s">
        <v>4785</v>
      </c>
      <c r="G457" s="21">
        <v>9670899</v>
      </c>
      <c r="H457" s="23">
        <v>9.7000000000000003E-3</v>
      </c>
      <c r="I457" s="23">
        <v>-2E-3</v>
      </c>
      <c r="J457" s="2" t="s">
        <v>4783</v>
      </c>
      <c r="K457" s="2" t="s">
        <v>789</v>
      </c>
    </row>
    <row r="458" spans="1:11" ht="15.35" hidden="1" x14ac:dyDescent="0.55000000000000004">
      <c r="A458" s="20">
        <v>3651</v>
      </c>
      <c r="B458" s="2" t="s">
        <v>128</v>
      </c>
      <c r="C458" s="2" t="s">
        <v>129</v>
      </c>
      <c r="D458" s="20">
        <v>2025</v>
      </c>
      <c r="E458" s="2" t="s">
        <v>4777</v>
      </c>
      <c r="F458" s="2" t="s">
        <v>4853</v>
      </c>
      <c r="G458" s="21">
        <v>9595141</v>
      </c>
      <c r="H458" s="23">
        <v>9.5999999999999992E-3</v>
      </c>
      <c r="I458" s="23">
        <v>-2.0999999999999999E-3</v>
      </c>
      <c r="J458" s="2" t="s">
        <v>4783</v>
      </c>
      <c r="K458" s="2" t="s">
        <v>789</v>
      </c>
    </row>
    <row r="459" spans="1:11" ht="15.35" hidden="1" x14ac:dyDescent="0.55000000000000004">
      <c r="A459" s="20">
        <v>3719</v>
      </c>
      <c r="B459" s="2" t="s">
        <v>128</v>
      </c>
      <c r="C459" s="2" t="s">
        <v>129</v>
      </c>
      <c r="D459" s="20">
        <v>2025</v>
      </c>
      <c r="E459" s="2" t="s">
        <v>4777</v>
      </c>
      <c r="F459" s="2" t="s">
        <v>1251</v>
      </c>
      <c r="G459" s="21">
        <v>8580000</v>
      </c>
      <c r="H459" s="23">
        <v>8.6E-3</v>
      </c>
      <c r="I459" s="23">
        <v>0</v>
      </c>
      <c r="J459" s="2" t="s">
        <v>4779</v>
      </c>
      <c r="K459" s="2" t="s">
        <v>789</v>
      </c>
    </row>
    <row r="460" spans="1:11" ht="15.35" hidden="1" x14ac:dyDescent="0.55000000000000004">
      <c r="A460" s="20">
        <v>3716</v>
      </c>
      <c r="B460" s="2" t="s">
        <v>128</v>
      </c>
      <c r="C460" s="2" t="s">
        <v>129</v>
      </c>
      <c r="D460" s="20">
        <v>2025</v>
      </c>
      <c r="E460" s="2" t="s">
        <v>4777</v>
      </c>
      <c r="F460" s="2" t="s">
        <v>4857</v>
      </c>
      <c r="G460" s="21">
        <v>8580000</v>
      </c>
      <c r="H460" s="23">
        <v>8.6E-3</v>
      </c>
      <c r="I460" s="23">
        <v>0</v>
      </c>
      <c r="J460" s="2" t="s">
        <v>4779</v>
      </c>
      <c r="K460" s="2" t="s">
        <v>798</v>
      </c>
    </row>
    <row r="461" spans="1:11" ht="15.35" hidden="1" x14ac:dyDescent="0.55000000000000004">
      <c r="A461" s="42"/>
      <c r="B461" s="43" t="s">
        <v>128</v>
      </c>
      <c r="C461" s="43" t="s">
        <v>129</v>
      </c>
      <c r="D461" s="44">
        <v>2025</v>
      </c>
      <c r="E461" s="43" t="s">
        <v>4777</v>
      </c>
      <c r="F461" s="43" t="s">
        <v>4854</v>
      </c>
      <c r="G461" s="45"/>
      <c r="H461" s="46">
        <v>0</v>
      </c>
      <c r="I461" s="46">
        <v>-1.0999999999999999E-2</v>
      </c>
      <c r="J461" s="43" t="s">
        <v>4783</v>
      </c>
      <c r="K461" s="43" t="s">
        <v>817</v>
      </c>
    </row>
    <row r="462" spans="1:11" ht="15.35" hidden="1" x14ac:dyDescent="0.55000000000000004">
      <c r="A462" s="42"/>
      <c r="B462" s="43" t="s">
        <v>128</v>
      </c>
      <c r="C462" s="43" t="s">
        <v>129</v>
      </c>
      <c r="D462" s="44">
        <v>2025</v>
      </c>
      <c r="E462" s="43" t="s">
        <v>4777</v>
      </c>
      <c r="F462" s="43" t="s">
        <v>4789</v>
      </c>
      <c r="G462" s="45"/>
      <c r="H462" s="46">
        <v>0</v>
      </c>
      <c r="I462" s="46">
        <v>-4.2900000000000001E-2</v>
      </c>
      <c r="J462" s="43" t="s">
        <v>4779</v>
      </c>
      <c r="K462" s="43" t="s">
        <v>798</v>
      </c>
    </row>
    <row r="463" spans="1:11" ht="15.35" hidden="1" x14ac:dyDescent="0.55000000000000004">
      <c r="A463" s="42"/>
      <c r="B463" s="43" t="s">
        <v>128</v>
      </c>
      <c r="C463" s="43" t="s">
        <v>129</v>
      </c>
      <c r="D463" s="44">
        <v>2025</v>
      </c>
      <c r="E463" s="43" t="s">
        <v>4777</v>
      </c>
      <c r="F463" s="43" t="s">
        <v>4852</v>
      </c>
      <c r="G463" s="45"/>
      <c r="H463" s="46">
        <v>0</v>
      </c>
      <c r="I463" s="46">
        <v>-1.18E-2</v>
      </c>
      <c r="J463" s="43" t="s">
        <v>4783</v>
      </c>
      <c r="K463" s="43" t="s">
        <v>811</v>
      </c>
    </row>
    <row r="464" spans="1:11" ht="15.35" hidden="1" x14ac:dyDescent="0.55000000000000004">
      <c r="A464" s="42"/>
      <c r="B464" s="43" t="s">
        <v>128</v>
      </c>
      <c r="C464" s="43" t="s">
        <v>129</v>
      </c>
      <c r="D464" s="44">
        <v>2025</v>
      </c>
      <c r="E464" s="43" t="s">
        <v>4777</v>
      </c>
      <c r="F464" s="43" t="s">
        <v>4850</v>
      </c>
      <c r="G464" s="45"/>
      <c r="H464" s="46">
        <v>0</v>
      </c>
      <c r="I464" s="46">
        <v>-1.2699999999999999E-2</v>
      </c>
      <c r="J464" s="43" t="s">
        <v>4783</v>
      </c>
      <c r="K464" s="43" t="s">
        <v>811</v>
      </c>
    </row>
    <row r="465" spans="1:11" ht="15.35" hidden="1" x14ac:dyDescent="0.55000000000000004">
      <c r="A465" s="42"/>
      <c r="B465" s="43" t="s">
        <v>128</v>
      </c>
      <c r="C465" s="43" t="s">
        <v>129</v>
      </c>
      <c r="D465" s="44">
        <v>2025</v>
      </c>
      <c r="E465" s="43" t="s">
        <v>4777</v>
      </c>
      <c r="F465" s="43" t="s">
        <v>926</v>
      </c>
      <c r="G465" s="45"/>
      <c r="H465" s="46">
        <v>0</v>
      </c>
      <c r="I465" s="46">
        <v>-8.5000000000000006E-2</v>
      </c>
      <c r="J465" s="43" t="s">
        <v>4779</v>
      </c>
      <c r="K465" s="43" t="s">
        <v>787</v>
      </c>
    </row>
    <row r="466" spans="1:11" ht="15.35" hidden="1" x14ac:dyDescent="0.55000000000000004">
      <c r="A466" s="42"/>
      <c r="B466" s="43" t="s">
        <v>128</v>
      </c>
      <c r="C466" s="43" t="s">
        <v>129</v>
      </c>
      <c r="D466" s="44">
        <v>2025</v>
      </c>
      <c r="E466" s="43" t="s">
        <v>4777</v>
      </c>
      <c r="F466" s="43" t="s">
        <v>926</v>
      </c>
      <c r="G466" s="45"/>
      <c r="H466" s="46">
        <v>0</v>
      </c>
      <c r="I466" s="46">
        <v>-1.06E-2</v>
      </c>
      <c r="J466" s="43" t="s">
        <v>4783</v>
      </c>
      <c r="K466" s="43" t="s">
        <v>787</v>
      </c>
    </row>
    <row r="467" spans="1:11" ht="15.35" hidden="1" x14ac:dyDescent="0.55000000000000004">
      <c r="A467" s="42"/>
      <c r="B467" s="43" t="s">
        <v>128</v>
      </c>
      <c r="C467" s="43" t="s">
        <v>129</v>
      </c>
      <c r="D467" s="44">
        <v>2025</v>
      </c>
      <c r="E467" s="43" t="s">
        <v>4777</v>
      </c>
      <c r="F467" s="43" t="s">
        <v>1111</v>
      </c>
      <c r="G467" s="45"/>
      <c r="H467" s="46">
        <v>0</v>
      </c>
      <c r="I467" s="46">
        <v>-1.06E-2</v>
      </c>
      <c r="J467" s="43" t="s">
        <v>4783</v>
      </c>
      <c r="K467" s="43" t="s">
        <v>787</v>
      </c>
    </row>
    <row r="468" spans="1:11" ht="15.35" hidden="1" x14ac:dyDescent="0.55000000000000004">
      <c r="A468" s="42"/>
      <c r="B468" s="43" t="s">
        <v>128</v>
      </c>
      <c r="C468" s="43" t="s">
        <v>129</v>
      </c>
      <c r="D468" s="44">
        <v>2025</v>
      </c>
      <c r="E468" s="43" t="s">
        <v>4777</v>
      </c>
      <c r="F468" s="43" t="s">
        <v>4847</v>
      </c>
      <c r="G468" s="45"/>
      <c r="H468" s="46">
        <v>0</v>
      </c>
      <c r="I468" s="46">
        <v>-2.0799999999999999E-2</v>
      </c>
      <c r="J468" s="43" t="s">
        <v>4783</v>
      </c>
      <c r="K468" s="43" t="s">
        <v>789</v>
      </c>
    </row>
    <row r="469" spans="1:11" ht="15.35" hidden="1" x14ac:dyDescent="0.55000000000000004">
      <c r="A469" s="42"/>
      <c r="B469" s="43" t="s">
        <v>128</v>
      </c>
      <c r="C469" s="43" t="s">
        <v>129</v>
      </c>
      <c r="D469" s="44">
        <v>2025</v>
      </c>
      <c r="E469" s="43" t="s">
        <v>4777</v>
      </c>
      <c r="F469" s="43" t="s">
        <v>1153</v>
      </c>
      <c r="G469" s="45"/>
      <c r="H469" s="46">
        <v>0</v>
      </c>
      <c r="I469" s="46">
        <v>-9.4000000000000004E-3</v>
      </c>
      <c r="J469" s="43" t="s">
        <v>4783</v>
      </c>
      <c r="K469" s="43" t="s">
        <v>787</v>
      </c>
    </row>
    <row r="470" spans="1:11" ht="15.35" hidden="1" x14ac:dyDescent="0.55000000000000004">
      <c r="A470" s="42"/>
      <c r="B470" s="43" t="s">
        <v>128</v>
      </c>
      <c r="C470" s="43" t="s">
        <v>129</v>
      </c>
      <c r="D470" s="44">
        <v>2025</v>
      </c>
      <c r="E470" s="43" t="s">
        <v>4777</v>
      </c>
      <c r="F470" s="43" t="s">
        <v>4849</v>
      </c>
      <c r="G470" s="45"/>
      <c r="H470" s="46">
        <v>0</v>
      </c>
      <c r="I470" s="46">
        <v>-1.8499999999999999E-2</v>
      </c>
      <c r="J470" s="43" t="s">
        <v>4783</v>
      </c>
      <c r="K470" s="43" t="s">
        <v>798</v>
      </c>
    </row>
    <row r="471" spans="1:11" ht="15.35" hidden="1" x14ac:dyDescent="0.55000000000000004">
      <c r="A471" s="20">
        <v>5075</v>
      </c>
      <c r="B471" s="2" t="s">
        <v>128</v>
      </c>
      <c r="C471" s="2" t="s">
        <v>129</v>
      </c>
      <c r="D471" s="20">
        <v>2025</v>
      </c>
      <c r="E471" s="2" t="s">
        <v>4792</v>
      </c>
      <c r="F471" s="2" t="s">
        <v>2574</v>
      </c>
      <c r="G471" s="21">
        <v>300000000</v>
      </c>
      <c r="H471" s="23">
        <v>0.3</v>
      </c>
      <c r="I471" s="23">
        <v>0</v>
      </c>
      <c r="J471" s="2" t="s">
        <v>4779</v>
      </c>
      <c r="K471" s="2" t="s">
        <v>807</v>
      </c>
    </row>
    <row r="472" spans="1:11" ht="15.35" hidden="1" x14ac:dyDescent="0.55000000000000004">
      <c r="A472" s="20">
        <v>5087</v>
      </c>
      <c r="B472" s="2" t="s">
        <v>128</v>
      </c>
      <c r="C472" s="2" t="s">
        <v>129</v>
      </c>
      <c r="D472" s="20">
        <v>2025</v>
      </c>
      <c r="E472" s="2" t="s">
        <v>4792</v>
      </c>
      <c r="F472" s="2" t="s">
        <v>1191</v>
      </c>
      <c r="G472" s="21">
        <v>97622840</v>
      </c>
      <c r="H472" s="23">
        <v>9.7600000000000006E-2</v>
      </c>
      <c r="I472" s="23">
        <v>8.6300000000000002E-2</v>
      </c>
      <c r="J472" s="2" t="s">
        <v>4783</v>
      </c>
      <c r="K472" s="2" t="s">
        <v>787</v>
      </c>
    </row>
    <row r="473" spans="1:11" ht="15.35" hidden="1" x14ac:dyDescent="0.55000000000000004">
      <c r="A473" s="38">
        <v>5103</v>
      </c>
      <c r="B473" s="39" t="s">
        <v>128</v>
      </c>
      <c r="C473" s="39" t="s">
        <v>129</v>
      </c>
      <c r="D473" s="38">
        <v>2025</v>
      </c>
      <c r="E473" s="39" t="s">
        <v>4792</v>
      </c>
      <c r="F473" s="39" t="s">
        <v>1007</v>
      </c>
      <c r="G473" s="40">
        <v>88228298</v>
      </c>
      <c r="H473" s="41">
        <v>8.8200000000000001E-2</v>
      </c>
      <c r="I473" s="41">
        <v>8.8200000000000001E-2</v>
      </c>
      <c r="J473" s="39" t="s">
        <v>4783</v>
      </c>
      <c r="K473" s="39" t="s">
        <v>787</v>
      </c>
    </row>
    <row r="474" spans="1:11" ht="15.35" hidden="1" x14ac:dyDescent="0.55000000000000004">
      <c r="A474" s="38">
        <v>5104</v>
      </c>
      <c r="B474" s="39" t="s">
        <v>128</v>
      </c>
      <c r="C474" s="39" t="s">
        <v>129</v>
      </c>
      <c r="D474" s="38">
        <v>2025</v>
      </c>
      <c r="E474" s="39" t="s">
        <v>4792</v>
      </c>
      <c r="F474" s="39" t="s">
        <v>4860</v>
      </c>
      <c r="G474" s="40">
        <v>42880000</v>
      </c>
      <c r="H474" s="41">
        <v>4.2900000000000001E-2</v>
      </c>
      <c r="I474" s="41">
        <v>4.2900000000000001E-2</v>
      </c>
      <c r="J474" s="39" t="s">
        <v>4783</v>
      </c>
      <c r="K474" s="39" t="s">
        <v>789</v>
      </c>
    </row>
    <row r="475" spans="1:11" ht="15.35" hidden="1" x14ac:dyDescent="0.55000000000000004">
      <c r="A475" s="20">
        <v>5074</v>
      </c>
      <c r="B475" s="2" t="s">
        <v>128</v>
      </c>
      <c r="C475" s="2" t="s">
        <v>129</v>
      </c>
      <c r="D475" s="20">
        <v>2025</v>
      </c>
      <c r="E475" s="2" t="s">
        <v>4792</v>
      </c>
      <c r="F475" s="2" t="s">
        <v>2575</v>
      </c>
      <c r="G475" s="21">
        <v>38600000</v>
      </c>
      <c r="H475" s="23">
        <v>3.8600000000000002E-2</v>
      </c>
      <c r="I475" s="23">
        <v>0</v>
      </c>
      <c r="J475" s="2" t="s">
        <v>4779</v>
      </c>
      <c r="K475" s="2" t="s">
        <v>787</v>
      </c>
    </row>
    <row r="476" spans="1:11" ht="15.35" hidden="1" x14ac:dyDescent="0.55000000000000004">
      <c r="A476" s="20">
        <v>5105</v>
      </c>
      <c r="B476" s="2" t="s">
        <v>128</v>
      </c>
      <c r="C476" s="2" t="s">
        <v>129</v>
      </c>
      <c r="D476" s="20">
        <v>2025</v>
      </c>
      <c r="E476" s="2" t="s">
        <v>4792</v>
      </c>
      <c r="F476" s="2" t="s">
        <v>864</v>
      </c>
      <c r="G476" s="21">
        <v>37991788</v>
      </c>
      <c r="H476" s="23">
        <v>3.7999999999999999E-2</v>
      </c>
      <c r="I476" s="23">
        <v>2.5600000000000001E-2</v>
      </c>
      <c r="J476" s="2" t="s">
        <v>4783</v>
      </c>
      <c r="K476" s="2" t="s">
        <v>787</v>
      </c>
    </row>
    <row r="477" spans="1:11" ht="15.35" hidden="1" x14ac:dyDescent="0.55000000000000004">
      <c r="A477" s="38">
        <v>5134</v>
      </c>
      <c r="B477" s="39" t="s">
        <v>128</v>
      </c>
      <c r="C477" s="39" t="s">
        <v>129</v>
      </c>
      <c r="D477" s="38">
        <v>2025</v>
      </c>
      <c r="E477" s="39" t="s">
        <v>4792</v>
      </c>
      <c r="F477" s="39" t="s">
        <v>4789</v>
      </c>
      <c r="G477" s="40">
        <v>37820000</v>
      </c>
      <c r="H477" s="41">
        <v>3.78E-2</v>
      </c>
      <c r="I477" s="41">
        <v>3.78E-2</v>
      </c>
      <c r="J477" s="39" t="s">
        <v>4783</v>
      </c>
      <c r="K477" s="39" t="s">
        <v>798</v>
      </c>
    </row>
    <row r="478" spans="1:11" ht="15.35" hidden="1" x14ac:dyDescent="0.55000000000000004">
      <c r="A478" s="38">
        <v>5133</v>
      </c>
      <c r="B478" s="39" t="s">
        <v>128</v>
      </c>
      <c r="C478" s="39" t="s">
        <v>129</v>
      </c>
      <c r="D478" s="38">
        <v>2025</v>
      </c>
      <c r="E478" s="39" t="s">
        <v>4792</v>
      </c>
      <c r="F478" s="39" t="s">
        <v>788</v>
      </c>
      <c r="G478" s="40">
        <v>21894974</v>
      </c>
      <c r="H478" s="41">
        <v>2.1899999999999999E-2</v>
      </c>
      <c r="I478" s="41">
        <v>2.1899999999999999E-2</v>
      </c>
      <c r="J478" s="39" t="s">
        <v>4783</v>
      </c>
      <c r="K478" s="39" t="s">
        <v>787</v>
      </c>
    </row>
    <row r="479" spans="1:11" ht="15.35" hidden="1" x14ac:dyDescent="0.55000000000000004">
      <c r="A479" s="38">
        <v>5132</v>
      </c>
      <c r="B479" s="39" t="s">
        <v>128</v>
      </c>
      <c r="C479" s="39" t="s">
        <v>129</v>
      </c>
      <c r="D479" s="38">
        <v>2025</v>
      </c>
      <c r="E479" s="39" t="s">
        <v>4792</v>
      </c>
      <c r="F479" s="39" t="s">
        <v>4790</v>
      </c>
      <c r="G479" s="40">
        <v>18116198</v>
      </c>
      <c r="H479" s="41">
        <v>1.8100000000000002E-2</v>
      </c>
      <c r="I479" s="41">
        <v>1.8100000000000002E-2</v>
      </c>
      <c r="J479" s="39" t="s">
        <v>4783</v>
      </c>
      <c r="K479" s="39" t="s">
        <v>789</v>
      </c>
    </row>
    <row r="480" spans="1:11" ht="15.35" hidden="1" x14ac:dyDescent="0.55000000000000004">
      <c r="A480" s="20">
        <v>5131</v>
      </c>
      <c r="B480" s="2" t="s">
        <v>128</v>
      </c>
      <c r="C480" s="2" t="s">
        <v>129</v>
      </c>
      <c r="D480" s="20">
        <v>2025</v>
      </c>
      <c r="E480" s="2" t="s">
        <v>4792</v>
      </c>
      <c r="F480" s="2" t="s">
        <v>1341</v>
      </c>
      <c r="G480" s="21">
        <v>16582298</v>
      </c>
      <c r="H480" s="23">
        <v>1.66E-2</v>
      </c>
      <c r="I480" s="23">
        <v>-1.9E-3</v>
      </c>
      <c r="J480" s="2" t="s">
        <v>4783</v>
      </c>
      <c r="K480" s="2" t="s">
        <v>787</v>
      </c>
    </row>
    <row r="481" spans="1:11" ht="15.35" hidden="1" x14ac:dyDescent="0.55000000000000004">
      <c r="A481" s="20">
        <v>5130</v>
      </c>
      <c r="B481" s="2" t="s">
        <v>128</v>
      </c>
      <c r="C481" s="2" t="s">
        <v>129</v>
      </c>
      <c r="D481" s="20">
        <v>2025</v>
      </c>
      <c r="E481" s="2" t="s">
        <v>4792</v>
      </c>
      <c r="F481" s="2" t="s">
        <v>1198</v>
      </c>
      <c r="G481" s="21">
        <v>14498924</v>
      </c>
      <c r="H481" s="23">
        <v>1.4500000000000001E-2</v>
      </c>
      <c r="I481" s="23">
        <v>0</v>
      </c>
      <c r="J481" s="2" t="s">
        <v>4783</v>
      </c>
      <c r="K481" s="2" t="s">
        <v>817</v>
      </c>
    </row>
    <row r="482" spans="1:11" ht="15.35" hidden="1" x14ac:dyDescent="0.55000000000000004">
      <c r="A482" s="38">
        <v>5129</v>
      </c>
      <c r="B482" s="39" t="s">
        <v>128</v>
      </c>
      <c r="C482" s="39" t="s">
        <v>129</v>
      </c>
      <c r="D482" s="38">
        <v>2025</v>
      </c>
      <c r="E482" s="39" t="s">
        <v>4792</v>
      </c>
      <c r="F482" s="39" t="s">
        <v>2586</v>
      </c>
      <c r="G482" s="40">
        <v>12260000</v>
      </c>
      <c r="H482" s="41">
        <v>1.23E-2</v>
      </c>
      <c r="I482" s="41">
        <v>1.23E-2</v>
      </c>
      <c r="J482" s="39" t="s">
        <v>4783</v>
      </c>
      <c r="K482" s="39" t="s">
        <v>813</v>
      </c>
    </row>
    <row r="483" spans="1:11" ht="15.35" hidden="1" x14ac:dyDescent="0.55000000000000004">
      <c r="A483" s="42"/>
      <c r="B483" s="43" t="s">
        <v>128</v>
      </c>
      <c r="C483" s="43" t="s">
        <v>129</v>
      </c>
      <c r="D483" s="44">
        <v>2025</v>
      </c>
      <c r="E483" s="43" t="s">
        <v>4792</v>
      </c>
      <c r="F483" s="43" t="s">
        <v>1007</v>
      </c>
      <c r="G483" s="45"/>
      <c r="H483" s="46">
        <v>0</v>
      </c>
      <c r="I483" s="46">
        <v>-8.5000000000000006E-2</v>
      </c>
      <c r="J483" s="43" t="s">
        <v>4779</v>
      </c>
      <c r="K483" s="43" t="s">
        <v>787</v>
      </c>
    </row>
    <row r="484" spans="1:11" ht="15.35" hidden="1" x14ac:dyDescent="0.55000000000000004">
      <c r="A484" s="42"/>
      <c r="B484" s="43" t="s">
        <v>128</v>
      </c>
      <c r="C484" s="43" t="s">
        <v>129</v>
      </c>
      <c r="D484" s="44">
        <v>2025</v>
      </c>
      <c r="E484" s="43" t="s">
        <v>4792</v>
      </c>
      <c r="F484" s="43" t="s">
        <v>788</v>
      </c>
      <c r="G484" s="45"/>
      <c r="H484" s="46">
        <v>0</v>
      </c>
      <c r="I484" s="46">
        <v>-2.1399999999999999E-2</v>
      </c>
      <c r="J484" s="43" t="s">
        <v>4779</v>
      </c>
      <c r="K484" s="43" t="s">
        <v>787</v>
      </c>
    </row>
    <row r="485" spans="1:11" ht="15.35" hidden="1" x14ac:dyDescent="0.55000000000000004">
      <c r="A485" s="42"/>
      <c r="B485" s="43" t="s">
        <v>128</v>
      </c>
      <c r="C485" s="43" t="s">
        <v>129</v>
      </c>
      <c r="D485" s="44">
        <v>2025</v>
      </c>
      <c r="E485" s="43" t="s">
        <v>4792</v>
      </c>
      <c r="F485" s="43" t="s">
        <v>4785</v>
      </c>
      <c r="G485" s="45"/>
      <c r="H485" s="46">
        <v>0</v>
      </c>
      <c r="I485" s="46">
        <v>-9.7000000000000003E-3</v>
      </c>
      <c r="J485" s="43" t="s">
        <v>4783</v>
      </c>
      <c r="K485" s="43" t="s">
        <v>789</v>
      </c>
    </row>
    <row r="486" spans="1:11" ht="15.35" hidden="1" x14ac:dyDescent="0.55000000000000004">
      <c r="A486" s="42"/>
      <c r="B486" s="43" t="s">
        <v>128</v>
      </c>
      <c r="C486" s="43" t="s">
        <v>129</v>
      </c>
      <c r="D486" s="44">
        <v>2025</v>
      </c>
      <c r="E486" s="43" t="s">
        <v>4792</v>
      </c>
      <c r="F486" s="43" t="s">
        <v>4853</v>
      </c>
      <c r="G486" s="45"/>
      <c r="H486" s="46">
        <v>0</v>
      </c>
      <c r="I486" s="46">
        <v>-9.5999999999999992E-3</v>
      </c>
      <c r="J486" s="43" t="s">
        <v>4783</v>
      </c>
      <c r="K486" s="43" t="s">
        <v>789</v>
      </c>
    </row>
    <row r="487" spans="1:11" ht="15.35" hidden="1" x14ac:dyDescent="0.55000000000000004">
      <c r="A487" s="42"/>
      <c r="B487" s="43" t="s">
        <v>128</v>
      </c>
      <c r="C487" s="43" t="s">
        <v>129</v>
      </c>
      <c r="D487" s="44">
        <v>2025</v>
      </c>
      <c r="E487" s="43" t="s">
        <v>4792</v>
      </c>
      <c r="F487" s="43" t="s">
        <v>4846</v>
      </c>
      <c r="G487" s="45"/>
      <c r="H487" s="46">
        <v>0</v>
      </c>
      <c r="I487" s="46">
        <v>-4.2900000000000001E-2</v>
      </c>
      <c r="J487" s="43" t="s">
        <v>4779</v>
      </c>
      <c r="K487" s="43" t="s">
        <v>789</v>
      </c>
    </row>
    <row r="488" spans="1:11" ht="15.35" hidden="1" x14ac:dyDescent="0.55000000000000004">
      <c r="A488" s="42"/>
      <c r="B488" s="43" t="s">
        <v>128</v>
      </c>
      <c r="C488" s="43" t="s">
        <v>129</v>
      </c>
      <c r="D488" s="44">
        <v>2025</v>
      </c>
      <c r="E488" s="43" t="s">
        <v>4792</v>
      </c>
      <c r="F488" s="43" t="s">
        <v>1251</v>
      </c>
      <c r="G488" s="45"/>
      <c r="H488" s="46">
        <v>0</v>
      </c>
      <c r="I488" s="46">
        <v>-8.6E-3</v>
      </c>
      <c r="J488" s="43" t="s">
        <v>4779</v>
      </c>
      <c r="K488" s="43" t="s">
        <v>789</v>
      </c>
    </row>
    <row r="489" spans="1:11" ht="15.35" hidden="1" x14ac:dyDescent="0.55000000000000004">
      <c r="A489" s="42"/>
      <c r="B489" s="43" t="s">
        <v>128</v>
      </c>
      <c r="C489" s="43" t="s">
        <v>129</v>
      </c>
      <c r="D489" s="44">
        <v>2025</v>
      </c>
      <c r="E489" s="43" t="s">
        <v>4792</v>
      </c>
      <c r="F489" s="43" t="s">
        <v>1270</v>
      </c>
      <c r="G489" s="45"/>
      <c r="H489" s="46">
        <v>0</v>
      </c>
      <c r="I489" s="46">
        <v>-1.0200000000000001E-2</v>
      </c>
      <c r="J489" s="43" t="s">
        <v>4783</v>
      </c>
      <c r="K489" s="43" t="s">
        <v>787</v>
      </c>
    </row>
    <row r="490" spans="1:11" ht="15.35" hidden="1" x14ac:dyDescent="0.55000000000000004">
      <c r="A490" s="42"/>
      <c r="B490" s="43" t="s">
        <v>128</v>
      </c>
      <c r="C490" s="43" t="s">
        <v>129</v>
      </c>
      <c r="D490" s="44">
        <v>2025</v>
      </c>
      <c r="E490" s="43" t="s">
        <v>4792</v>
      </c>
      <c r="F490" s="43" t="s">
        <v>4855</v>
      </c>
      <c r="G490" s="45"/>
      <c r="H490" s="46">
        <v>0</v>
      </c>
      <c r="I490" s="46">
        <v>-1.0699999999999999E-2</v>
      </c>
      <c r="J490" s="43" t="s">
        <v>4779</v>
      </c>
      <c r="K490" s="43" t="s">
        <v>817</v>
      </c>
    </row>
    <row r="491" spans="1:11" ht="15.35" hidden="1" x14ac:dyDescent="0.55000000000000004">
      <c r="A491" s="42"/>
      <c r="B491" s="43" t="s">
        <v>128</v>
      </c>
      <c r="C491" s="43" t="s">
        <v>129</v>
      </c>
      <c r="D491" s="44">
        <v>2025</v>
      </c>
      <c r="E491" s="43" t="s">
        <v>4792</v>
      </c>
      <c r="F491" s="43" t="s">
        <v>4856</v>
      </c>
      <c r="G491" s="45"/>
      <c r="H491" s="46">
        <v>0</v>
      </c>
      <c r="I491" s="46">
        <v>-1.0699999999999999E-2</v>
      </c>
      <c r="J491" s="43" t="s">
        <v>4779</v>
      </c>
      <c r="K491" s="43" t="s">
        <v>817</v>
      </c>
    </row>
    <row r="492" spans="1:11" ht="15.35" hidden="1" x14ac:dyDescent="0.55000000000000004">
      <c r="A492" s="42"/>
      <c r="B492" s="43" t="s">
        <v>128</v>
      </c>
      <c r="C492" s="43" t="s">
        <v>129</v>
      </c>
      <c r="D492" s="44">
        <v>2025</v>
      </c>
      <c r="E492" s="43" t="s">
        <v>4792</v>
      </c>
      <c r="F492" s="43" t="s">
        <v>4858</v>
      </c>
      <c r="G492" s="45"/>
      <c r="H492" s="46">
        <v>0</v>
      </c>
      <c r="I492" s="46">
        <v>-4.2900000000000001E-2</v>
      </c>
      <c r="J492" s="43" t="s">
        <v>4779</v>
      </c>
      <c r="K492" s="43" t="s">
        <v>798</v>
      </c>
    </row>
    <row r="493" spans="1:11" ht="15.35" hidden="1" x14ac:dyDescent="0.55000000000000004">
      <c r="A493" s="42"/>
      <c r="B493" s="43" t="s">
        <v>128</v>
      </c>
      <c r="C493" s="43" t="s">
        <v>129</v>
      </c>
      <c r="D493" s="44">
        <v>2025</v>
      </c>
      <c r="E493" s="43" t="s">
        <v>4792</v>
      </c>
      <c r="F493" s="43" t="s">
        <v>4857</v>
      </c>
      <c r="G493" s="45"/>
      <c r="H493" s="46">
        <v>0</v>
      </c>
      <c r="I493" s="46">
        <v>-8.6E-3</v>
      </c>
      <c r="J493" s="43" t="s">
        <v>4779</v>
      </c>
      <c r="K493" s="43" t="s">
        <v>798</v>
      </c>
    </row>
    <row r="494" spans="1:11" ht="15.35" hidden="1" x14ac:dyDescent="0.55000000000000004">
      <c r="A494" s="42"/>
      <c r="B494" s="43" t="s">
        <v>128</v>
      </c>
      <c r="C494" s="43" t="s">
        <v>129</v>
      </c>
      <c r="D494" s="44">
        <v>2025</v>
      </c>
      <c r="E494" s="43" t="s">
        <v>4792</v>
      </c>
      <c r="F494" s="43" t="s">
        <v>4848</v>
      </c>
      <c r="G494" s="45"/>
      <c r="H494" s="46">
        <v>0</v>
      </c>
      <c r="I494" s="46">
        <v>-2.0400000000000001E-2</v>
      </c>
      <c r="J494" s="43" t="s">
        <v>4779</v>
      </c>
      <c r="K494" s="43" t="s">
        <v>817</v>
      </c>
    </row>
    <row r="495" spans="1:11" ht="15.35" hidden="1" x14ac:dyDescent="0.55000000000000004">
      <c r="A495" s="42"/>
      <c r="B495" s="43" t="s">
        <v>128</v>
      </c>
      <c r="C495" s="43" t="s">
        <v>129</v>
      </c>
      <c r="D495" s="44">
        <v>2025</v>
      </c>
      <c r="E495" s="43" t="s">
        <v>4792</v>
      </c>
      <c r="F495" s="43" t="s">
        <v>4859</v>
      </c>
      <c r="G495" s="45"/>
      <c r="H495" s="46">
        <v>0</v>
      </c>
      <c r="I495" s="46">
        <v>-1.32E-2</v>
      </c>
      <c r="J495" s="43" t="s">
        <v>4783</v>
      </c>
      <c r="K495" s="43" t="s">
        <v>793</v>
      </c>
    </row>
    <row r="496" spans="1:11" ht="15.35" hidden="1" x14ac:dyDescent="0.55000000000000004">
      <c r="A496" s="42"/>
      <c r="B496" s="43" t="s">
        <v>128</v>
      </c>
      <c r="C496" s="43" t="s">
        <v>129</v>
      </c>
      <c r="D496" s="44">
        <v>2025</v>
      </c>
      <c r="E496" s="43" t="s">
        <v>4792</v>
      </c>
      <c r="F496" s="43" t="s">
        <v>1090</v>
      </c>
      <c r="G496" s="45"/>
      <c r="H496" s="46">
        <v>0</v>
      </c>
      <c r="I496" s="46">
        <v>-1.78E-2</v>
      </c>
      <c r="J496" s="43" t="s">
        <v>4783</v>
      </c>
      <c r="K496" s="43" t="s">
        <v>787</v>
      </c>
    </row>
    <row r="497" spans="1:11" ht="15.35" hidden="1" x14ac:dyDescent="0.55000000000000004">
      <c r="A497" s="42"/>
      <c r="B497" s="43" t="s">
        <v>128</v>
      </c>
      <c r="C497" s="43" t="s">
        <v>129</v>
      </c>
      <c r="D497" s="44">
        <v>2025</v>
      </c>
      <c r="E497" s="43" t="s">
        <v>4792</v>
      </c>
      <c r="F497" s="43" t="s">
        <v>2586</v>
      </c>
      <c r="G497" s="45"/>
      <c r="H497" s="46">
        <v>0</v>
      </c>
      <c r="I497" s="46">
        <v>-1.23E-2</v>
      </c>
      <c r="J497" s="43" t="s">
        <v>4779</v>
      </c>
      <c r="K497" s="43" t="s">
        <v>813</v>
      </c>
    </row>
    <row r="498" spans="1:11" ht="15.35" hidden="1" x14ac:dyDescent="0.55000000000000004">
      <c r="A498" s="42"/>
      <c r="B498" s="43" t="s">
        <v>128</v>
      </c>
      <c r="C498" s="43" t="s">
        <v>129</v>
      </c>
      <c r="D498" s="44">
        <v>2025</v>
      </c>
      <c r="E498" s="43" t="s">
        <v>4792</v>
      </c>
      <c r="F498" s="43" t="s">
        <v>1191</v>
      </c>
      <c r="G498" s="45"/>
      <c r="H498" s="46">
        <v>0</v>
      </c>
      <c r="I498" s="46">
        <v>-8.5000000000000006E-2</v>
      </c>
      <c r="J498" s="43" t="s">
        <v>4779</v>
      </c>
      <c r="K498" s="43" t="s">
        <v>787</v>
      </c>
    </row>
    <row r="499" spans="1:11" ht="15.35" hidden="1" x14ac:dyDescent="0.55000000000000004">
      <c r="A499" s="42"/>
      <c r="B499" s="43" t="s">
        <v>128</v>
      </c>
      <c r="C499" s="43" t="s">
        <v>129</v>
      </c>
      <c r="D499" s="44">
        <v>2025</v>
      </c>
      <c r="E499" s="43" t="s">
        <v>4792</v>
      </c>
      <c r="F499" s="43" t="s">
        <v>4851</v>
      </c>
      <c r="G499" s="45"/>
      <c r="H499" s="46">
        <v>0</v>
      </c>
      <c r="I499" s="46">
        <v>-1.2E-2</v>
      </c>
      <c r="J499" s="43" t="s">
        <v>4779</v>
      </c>
      <c r="K499" s="43" t="s">
        <v>789</v>
      </c>
    </row>
    <row r="500" spans="1:11" ht="15.35" hidden="1" x14ac:dyDescent="0.55000000000000004">
      <c r="A500" s="42"/>
      <c r="B500" s="43" t="s">
        <v>128</v>
      </c>
      <c r="C500" s="43" t="s">
        <v>129</v>
      </c>
      <c r="D500" s="44">
        <v>2025</v>
      </c>
      <c r="E500" s="43" t="s">
        <v>4792</v>
      </c>
      <c r="F500" s="43" t="s">
        <v>1164</v>
      </c>
      <c r="G500" s="45"/>
      <c r="H500" s="46">
        <v>0</v>
      </c>
      <c r="I500" s="46">
        <v>-1.03E-2</v>
      </c>
      <c r="J500" s="43" t="s">
        <v>4783</v>
      </c>
      <c r="K500" s="43" t="s">
        <v>787</v>
      </c>
    </row>
    <row r="501" spans="1:11" ht="15.35" hidden="1" x14ac:dyDescent="0.55000000000000004">
      <c r="A501" s="20">
        <v>6379</v>
      </c>
      <c r="B501" s="2" t="s">
        <v>128</v>
      </c>
      <c r="C501" s="2" t="s">
        <v>129</v>
      </c>
      <c r="D501" s="20">
        <v>2026</v>
      </c>
      <c r="E501" s="2" t="s">
        <v>4777</v>
      </c>
      <c r="F501" s="2" t="s">
        <v>2574</v>
      </c>
      <c r="G501" s="21">
        <v>300000000</v>
      </c>
      <c r="H501" s="23">
        <v>0.3</v>
      </c>
      <c r="I501" s="23">
        <v>0</v>
      </c>
      <c r="J501" s="2" t="s">
        <v>4779</v>
      </c>
      <c r="K501" s="2" t="s">
        <v>807</v>
      </c>
    </row>
    <row r="502" spans="1:11" ht="15.35" hidden="1" x14ac:dyDescent="0.55000000000000004">
      <c r="A502" s="20">
        <v>6381</v>
      </c>
      <c r="B502" s="2" t="s">
        <v>128</v>
      </c>
      <c r="C502" s="2" t="s">
        <v>129</v>
      </c>
      <c r="D502" s="20">
        <v>2026</v>
      </c>
      <c r="E502" s="2" t="s">
        <v>4777</v>
      </c>
      <c r="F502" s="2" t="s">
        <v>1191</v>
      </c>
      <c r="G502" s="21">
        <v>96934997</v>
      </c>
      <c r="H502" s="23">
        <v>9.69E-2</v>
      </c>
      <c r="I502" s="23">
        <v>-6.9999999999999999E-4</v>
      </c>
      <c r="J502" s="2" t="s">
        <v>4783</v>
      </c>
      <c r="K502" s="2" t="s">
        <v>787</v>
      </c>
    </row>
    <row r="503" spans="1:11" ht="15.35" hidden="1" x14ac:dyDescent="0.55000000000000004">
      <c r="A503" s="20">
        <v>6382</v>
      </c>
      <c r="B503" s="2" t="s">
        <v>128</v>
      </c>
      <c r="C503" s="2" t="s">
        <v>129</v>
      </c>
      <c r="D503" s="20">
        <v>2026</v>
      </c>
      <c r="E503" s="2" t="s">
        <v>4777</v>
      </c>
      <c r="F503" s="2" t="s">
        <v>1007</v>
      </c>
      <c r="G503" s="21">
        <v>62884673</v>
      </c>
      <c r="H503" s="23">
        <v>6.2899999999999998E-2</v>
      </c>
      <c r="I503" s="23">
        <v>-2.53E-2</v>
      </c>
      <c r="J503" s="2" t="s">
        <v>4783</v>
      </c>
      <c r="K503" s="2" t="s">
        <v>787</v>
      </c>
    </row>
    <row r="504" spans="1:11" ht="15.35" hidden="1" x14ac:dyDescent="0.55000000000000004">
      <c r="A504" s="38">
        <v>6383</v>
      </c>
      <c r="B504" s="39" t="s">
        <v>128</v>
      </c>
      <c r="C504" s="39" t="s">
        <v>129</v>
      </c>
      <c r="D504" s="38">
        <v>2026</v>
      </c>
      <c r="E504" s="39" t="s">
        <v>4777</v>
      </c>
      <c r="F504" s="39" t="s">
        <v>4861</v>
      </c>
      <c r="G504" s="40">
        <v>42880000</v>
      </c>
      <c r="H504" s="41">
        <v>4.2900000000000001E-2</v>
      </c>
      <c r="I504" s="41">
        <v>4.2900000000000001E-2</v>
      </c>
      <c r="J504" s="39" t="s">
        <v>4783</v>
      </c>
      <c r="K504" s="39" t="s">
        <v>789</v>
      </c>
    </row>
    <row r="505" spans="1:11" ht="15.35" hidden="1" x14ac:dyDescent="0.55000000000000004">
      <c r="A505" s="20">
        <v>6380</v>
      </c>
      <c r="B505" s="2" t="s">
        <v>128</v>
      </c>
      <c r="C505" s="2" t="s">
        <v>129</v>
      </c>
      <c r="D505" s="20">
        <v>2026</v>
      </c>
      <c r="E505" s="2" t="s">
        <v>4777</v>
      </c>
      <c r="F505" s="2" t="s">
        <v>2575</v>
      </c>
      <c r="G505" s="21">
        <v>38600000</v>
      </c>
      <c r="H505" s="23">
        <v>3.8600000000000002E-2</v>
      </c>
      <c r="I505" s="23">
        <v>0</v>
      </c>
      <c r="J505" s="2" t="s">
        <v>4779</v>
      </c>
      <c r="K505" s="2" t="s">
        <v>787</v>
      </c>
    </row>
    <row r="506" spans="1:11" ht="15.35" hidden="1" x14ac:dyDescent="0.55000000000000004">
      <c r="A506" s="20">
        <v>6385</v>
      </c>
      <c r="B506" s="2" t="s">
        <v>128</v>
      </c>
      <c r="C506" s="2" t="s">
        <v>129</v>
      </c>
      <c r="D506" s="20">
        <v>2026</v>
      </c>
      <c r="E506" s="2" t="s">
        <v>4777</v>
      </c>
      <c r="F506" s="2" t="s">
        <v>864</v>
      </c>
      <c r="G506" s="21">
        <v>33973838</v>
      </c>
      <c r="H506" s="23">
        <v>3.4000000000000002E-2</v>
      </c>
      <c r="I506" s="23">
        <v>-4.0000000000000001E-3</v>
      </c>
      <c r="J506" s="2" t="s">
        <v>4783</v>
      </c>
      <c r="K506" s="2" t="s">
        <v>787</v>
      </c>
    </row>
    <row r="507" spans="1:11" ht="15.35" hidden="1" x14ac:dyDescent="0.55000000000000004">
      <c r="A507" s="38">
        <v>6395</v>
      </c>
      <c r="B507" s="39" t="s">
        <v>128</v>
      </c>
      <c r="C507" s="39" t="s">
        <v>129</v>
      </c>
      <c r="D507" s="38">
        <v>2026</v>
      </c>
      <c r="E507" s="39" t="s">
        <v>4777</v>
      </c>
      <c r="F507" s="39" t="s">
        <v>1109</v>
      </c>
      <c r="G507" s="40">
        <v>26787400</v>
      </c>
      <c r="H507" s="41">
        <v>2.6800000000000001E-2</v>
      </c>
      <c r="I507" s="41">
        <v>2.6800000000000001E-2</v>
      </c>
      <c r="J507" s="39" t="s">
        <v>4783</v>
      </c>
      <c r="K507" s="39" t="s">
        <v>787</v>
      </c>
    </row>
    <row r="508" spans="1:11" ht="15.35" hidden="1" x14ac:dyDescent="0.55000000000000004">
      <c r="A508" s="38">
        <v>6373</v>
      </c>
      <c r="B508" s="39" t="s">
        <v>128</v>
      </c>
      <c r="C508" s="39" t="s">
        <v>129</v>
      </c>
      <c r="D508" s="38">
        <v>2026</v>
      </c>
      <c r="E508" s="39" t="s">
        <v>4777</v>
      </c>
      <c r="F508" s="39" t="s">
        <v>4862</v>
      </c>
      <c r="G508" s="40">
        <v>26719743</v>
      </c>
      <c r="H508" s="41">
        <v>2.6700000000000002E-2</v>
      </c>
      <c r="I508" s="41">
        <v>2.6700000000000002E-2</v>
      </c>
      <c r="J508" s="39" t="s">
        <v>4783</v>
      </c>
      <c r="K508" s="39" t="s">
        <v>789</v>
      </c>
    </row>
    <row r="509" spans="1:11" ht="15.35" hidden="1" x14ac:dyDescent="0.55000000000000004">
      <c r="A509" s="38">
        <v>6386</v>
      </c>
      <c r="B509" s="39" t="s">
        <v>128</v>
      </c>
      <c r="C509" s="39" t="s">
        <v>129</v>
      </c>
      <c r="D509" s="38">
        <v>2026</v>
      </c>
      <c r="E509" s="39" t="s">
        <v>4777</v>
      </c>
      <c r="F509" s="39" t="s">
        <v>4863</v>
      </c>
      <c r="G509" s="40">
        <v>26354100</v>
      </c>
      <c r="H509" s="41">
        <v>2.64E-2</v>
      </c>
      <c r="I509" s="41">
        <v>2.64E-2</v>
      </c>
      <c r="J509" s="39" t="s">
        <v>4783</v>
      </c>
      <c r="K509" s="39" t="s">
        <v>798</v>
      </c>
    </row>
    <row r="510" spans="1:11" ht="15.35" hidden="1" x14ac:dyDescent="0.55000000000000004">
      <c r="A510" s="38">
        <v>6387</v>
      </c>
      <c r="B510" s="39" t="s">
        <v>128</v>
      </c>
      <c r="C510" s="39" t="s">
        <v>129</v>
      </c>
      <c r="D510" s="38">
        <v>2026</v>
      </c>
      <c r="E510" s="39" t="s">
        <v>4777</v>
      </c>
      <c r="F510" s="39" t="s">
        <v>4864</v>
      </c>
      <c r="G510" s="40">
        <v>25678627</v>
      </c>
      <c r="H510" s="41">
        <v>2.5700000000000001E-2</v>
      </c>
      <c r="I510" s="41">
        <v>2.5700000000000001E-2</v>
      </c>
      <c r="J510" s="39" t="s">
        <v>4783</v>
      </c>
      <c r="K510" s="39" t="s">
        <v>789</v>
      </c>
    </row>
    <row r="511" spans="1:11" ht="15.35" hidden="1" x14ac:dyDescent="0.55000000000000004">
      <c r="A511" s="20">
        <v>6388</v>
      </c>
      <c r="B511" s="2" t="s">
        <v>128</v>
      </c>
      <c r="C511" s="2" t="s">
        <v>129</v>
      </c>
      <c r="D511" s="20">
        <v>2026</v>
      </c>
      <c r="E511" s="2" t="s">
        <v>4777</v>
      </c>
      <c r="F511" s="2" t="s">
        <v>788</v>
      </c>
      <c r="G511" s="21">
        <v>21838768</v>
      </c>
      <c r="H511" s="23">
        <v>2.18E-2</v>
      </c>
      <c r="I511" s="23">
        <v>-1E-4</v>
      </c>
      <c r="J511" s="2" t="s">
        <v>4783</v>
      </c>
      <c r="K511" s="2" t="s">
        <v>787</v>
      </c>
    </row>
    <row r="512" spans="1:11" ht="15.35" hidden="1" x14ac:dyDescent="0.55000000000000004">
      <c r="A512" s="38">
        <v>6389</v>
      </c>
      <c r="B512" s="39" t="s">
        <v>128</v>
      </c>
      <c r="C512" s="39" t="s">
        <v>129</v>
      </c>
      <c r="D512" s="38">
        <v>2026</v>
      </c>
      <c r="E512" s="39" t="s">
        <v>4777</v>
      </c>
      <c r="F512" s="39" t="s">
        <v>4795</v>
      </c>
      <c r="G512" s="40">
        <v>20193641</v>
      </c>
      <c r="H512" s="41">
        <v>2.0199999999999999E-2</v>
      </c>
      <c r="I512" s="41">
        <v>2.0199999999999999E-2</v>
      </c>
      <c r="J512" s="39" t="s">
        <v>4783</v>
      </c>
      <c r="K512" s="39" t="s">
        <v>789</v>
      </c>
    </row>
    <row r="513" spans="1:11" ht="15.35" hidden="1" x14ac:dyDescent="0.55000000000000004">
      <c r="A513" s="42"/>
      <c r="B513" s="43" t="s">
        <v>128</v>
      </c>
      <c r="C513" s="43" t="s">
        <v>129</v>
      </c>
      <c r="D513" s="44">
        <v>2026</v>
      </c>
      <c r="E513" s="43" t="s">
        <v>4777</v>
      </c>
      <c r="F513" s="43" t="s">
        <v>1198</v>
      </c>
      <c r="G513" s="45"/>
      <c r="H513" s="46">
        <v>0</v>
      </c>
      <c r="I513" s="46">
        <v>-1.4500000000000001E-2</v>
      </c>
      <c r="J513" s="43" t="s">
        <v>4783</v>
      </c>
      <c r="K513" s="43" t="s">
        <v>817</v>
      </c>
    </row>
    <row r="514" spans="1:11" ht="15.35" hidden="1" x14ac:dyDescent="0.55000000000000004">
      <c r="A514" s="42"/>
      <c r="B514" s="43" t="s">
        <v>128</v>
      </c>
      <c r="C514" s="43" t="s">
        <v>129</v>
      </c>
      <c r="D514" s="44">
        <v>2026</v>
      </c>
      <c r="E514" s="43" t="s">
        <v>4777</v>
      </c>
      <c r="F514" s="43" t="s">
        <v>4790</v>
      </c>
      <c r="G514" s="45"/>
      <c r="H514" s="46">
        <v>0</v>
      </c>
      <c r="I514" s="46">
        <v>-1.8100000000000002E-2</v>
      </c>
      <c r="J514" s="43" t="s">
        <v>4783</v>
      </c>
      <c r="K514" s="43" t="s">
        <v>789</v>
      </c>
    </row>
    <row r="515" spans="1:11" ht="15.35" hidden="1" x14ac:dyDescent="0.55000000000000004">
      <c r="A515" s="42"/>
      <c r="B515" s="43" t="s">
        <v>128</v>
      </c>
      <c r="C515" s="43" t="s">
        <v>129</v>
      </c>
      <c r="D515" s="44">
        <v>2026</v>
      </c>
      <c r="E515" s="43" t="s">
        <v>4777</v>
      </c>
      <c r="F515" s="43" t="s">
        <v>4860</v>
      </c>
      <c r="G515" s="45"/>
      <c r="H515" s="46">
        <v>0</v>
      </c>
      <c r="I515" s="46">
        <v>-4.2900000000000001E-2</v>
      </c>
      <c r="J515" s="43" t="s">
        <v>4783</v>
      </c>
      <c r="K515" s="43" t="s">
        <v>789</v>
      </c>
    </row>
    <row r="516" spans="1:11" ht="15.35" hidden="1" x14ac:dyDescent="0.55000000000000004">
      <c r="A516" s="42"/>
      <c r="B516" s="43" t="s">
        <v>128</v>
      </c>
      <c r="C516" s="43" t="s">
        <v>129</v>
      </c>
      <c r="D516" s="44">
        <v>2026</v>
      </c>
      <c r="E516" s="43" t="s">
        <v>4777</v>
      </c>
      <c r="F516" s="43" t="s">
        <v>4789</v>
      </c>
      <c r="G516" s="45"/>
      <c r="H516" s="46">
        <v>0</v>
      </c>
      <c r="I516" s="46">
        <v>-3.78E-2</v>
      </c>
      <c r="J516" s="43" t="s">
        <v>4783</v>
      </c>
      <c r="K516" s="43" t="s">
        <v>798</v>
      </c>
    </row>
    <row r="517" spans="1:11" ht="15.35" hidden="1" x14ac:dyDescent="0.55000000000000004">
      <c r="A517" s="42"/>
      <c r="B517" s="43" t="s">
        <v>128</v>
      </c>
      <c r="C517" s="43" t="s">
        <v>129</v>
      </c>
      <c r="D517" s="44">
        <v>2026</v>
      </c>
      <c r="E517" s="43" t="s">
        <v>4777</v>
      </c>
      <c r="F517" s="43" t="s">
        <v>1341</v>
      </c>
      <c r="G517" s="45"/>
      <c r="H517" s="46">
        <v>0</v>
      </c>
      <c r="I517" s="46">
        <v>-1.66E-2</v>
      </c>
      <c r="J517" s="43" t="s">
        <v>4783</v>
      </c>
      <c r="K517" s="43" t="s">
        <v>787</v>
      </c>
    </row>
    <row r="518" spans="1:11" ht="15.35" hidden="1" x14ac:dyDescent="0.55000000000000004">
      <c r="A518" s="42"/>
      <c r="B518" s="43" t="s">
        <v>128</v>
      </c>
      <c r="C518" s="43" t="s">
        <v>129</v>
      </c>
      <c r="D518" s="44">
        <v>2026</v>
      </c>
      <c r="E518" s="43" t="s">
        <v>4777</v>
      </c>
      <c r="F518" s="43" t="s">
        <v>2586</v>
      </c>
      <c r="G518" s="45"/>
      <c r="H518" s="46">
        <v>0</v>
      </c>
      <c r="I518" s="46">
        <v>-1.23E-2</v>
      </c>
      <c r="J518" s="43" t="s">
        <v>4783</v>
      </c>
      <c r="K518" s="43" t="s">
        <v>813</v>
      </c>
    </row>
    <row r="519" spans="1:11" ht="15.35" hidden="1" x14ac:dyDescent="0.55000000000000004">
      <c r="A519" s="20">
        <v>921</v>
      </c>
      <c r="B519" s="2" t="s">
        <v>135</v>
      </c>
      <c r="C519" s="2" t="s">
        <v>136</v>
      </c>
      <c r="D519" s="20">
        <v>2024</v>
      </c>
      <c r="E519" s="2" t="s">
        <v>4792</v>
      </c>
      <c r="F519" s="2" t="s">
        <v>2605</v>
      </c>
      <c r="G519" s="21">
        <v>272000000</v>
      </c>
      <c r="H519" s="23">
        <v>0.34</v>
      </c>
      <c r="I519" s="37" t="s">
        <v>4778</v>
      </c>
      <c r="J519" s="2" t="s">
        <v>4779</v>
      </c>
      <c r="K519" s="2" t="s">
        <v>807</v>
      </c>
    </row>
    <row r="520" spans="1:11" ht="15.35" hidden="1" x14ac:dyDescent="0.55000000000000004">
      <c r="A520" s="20">
        <v>919</v>
      </c>
      <c r="B520" s="2" t="s">
        <v>135</v>
      </c>
      <c r="C520" s="2" t="s">
        <v>136</v>
      </c>
      <c r="D520" s="20">
        <v>2024</v>
      </c>
      <c r="E520" s="2" t="s">
        <v>4792</v>
      </c>
      <c r="F520" s="2" t="s">
        <v>904</v>
      </c>
      <c r="G520" s="21">
        <v>80000000</v>
      </c>
      <c r="H520" s="23">
        <v>0.1</v>
      </c>
      <c r="I520" s="37" t="s">
        <v>4778</v>
      </c>
      <c r="J520" s="2" t="s">
        <v>4779</v>
      </c>
      <c r="K520" s="2" t="s">
        <v>787</v>
      </c>
    </row>
    <row r="521" spans="1:11" ht="15.35" hidden="1" x14ac:dyDescent="0.55000000000000004">
      <c r="A521" s="20">
        <v>918</v>
      </c>
      <c r="B521" s="2" t="s">
        <v>135</v>
      </c>
      <c r="C521" s="2" t="s">
        <v>136</v>
      </c>
      <c r="D521" s="20">
        <v>2024</v>
      </c>
      <c r="E521" s="2" t="s">
        <v>4792</v>
      </c>
      <c r="F521" s="2" t="s">
        <v>788</v>
      </c>
      <c r="G521" s="21">
        <v>55680000</v>
      </c>
      <c r="H521" s="23">
        <v>6.9599999999999995E-2</v>
      </c>
      <c r="I521" s="37" t="s">
        <v>4778</v>
      </c>
      <c r="J521" s="2" t="s">
        <v>4779</v>
      </c>
      <c r="K521" s="2" t="s">
        <v>787</v>
      </c>
    </row>
    <row r="522" spans="1:11" ht="15.35" hidden="1" x14ac:dyDescent="0.55000000000000004">
      <c r="A522" s="20">
        <v>917</v>
      </c>
      <c r="B522" s="2" t="s">
        <v>135</v>
      </c>
      <c r="C522" s="2" t="s">
        <v>136</v>
      </c>
      <c r="D522" s="20">
        <v>2024</v>
      </c>
      <c r="E522" s="2" t="s">
        <v>4792</v>
      </c>
      <c r="F522" s="2" t="s">
        <v>4780</v>
      </c>
      <c r="G522" s="21">
        <v>32800000</v>
      </c>
      <c r="H522" s="23">
        <v>4.1000000000000002E-2</v>
      </c>
      <c r="I522" s="37" t="s">
        <v>4778</v>
      </c>
      <c r="J522" s="2" t="s">
        <v>4779</v>
      </c>
      <c r="K522" s="2" t="s">
        <v>789</v>
      </c>
    </row>
    <row r="523" spans="1:11" ht="15.35" hidden="1" x14ac:dyDescent="0.55000000000000004">
      <c r="A523" s="20">
        <v>915</v>
      </c>
      <c r="B523" s="2" t="s">
        <v>135</v>
      </c>
      <c r="C523" s="2" t="s">
        <v>136</v>
      </c>
      <c r="D523" s="20">
        <v>2024</v>
      </c>
      <c r="E523" s="2" t="s">
        <v>4792</v>
      </c>
      <c r="F523" s="2" t="s">
        <v>2603</v>
      </c>
      <c r="G523" s="21">
        <v>32000000</v>
      </c>
      <c r="H523" s="23">
        <v>0.04</v>
      </c>
      <c r="I523" s="37" t="s">
        <v>4778</v>
      </c>
      <c r="J523" s="2" t="s">
        <v>4779</v>
      </c>
      <c r="K523" s="2" t="s">
        <v>813</v>
      </c>
    </row>
    <row r="524" spans="1:11" ht="15.35" hidden="1" x14ac:dyDescent="0.55000000000000004">
      <c r="A524" s="20">
        <v>916</v>
      </c>
      <c r="B524" s="2" t="s">
        <v>135</v>
      </c>
      <c r="C524" s="2" t="s">
        <v>136</v>
      </c>
      <c r="D524" s="20">
        <v>2024</v>
      </c>
      <c r="E524" s="2" t="s">
        <v>4792</v>
      </c>
      <c r="F524" s="2" t="s">
        <v>922</v>
      </c>
      <c r="G524" s="21">
        <v>32000000</v>
      </c>
      <c r="H524" s="23">
        <v>0.04</v>
      </c>
      <c r="I524" s="37" t="s">
        <v>4778</v>
      </c>
      <c r="J524" s="2" t="s">
        <v>4779</v>
      </c>
      <c r="K524" s="2" t="s">
        <v>787</v>
      </c>
    </row>
    <row r="525" spans="1:11" ht="15.35" hidden="1" x14ac:dyDescent="0.55000000000000004">
      <c r="A525" s="20">
        <v>913</v>
      </c>
      <c r="B525" s="2" t="s">
        <v>135</v>
      </c>
      <c r="C525" s="2" t="s">
        <v>136</v>
      </c>
      <c r="D525" s="20">
        <v>2024</v>
      </c>
      <c r="E525" s="2" t="s">
        <v>4792</v>
      </c>
      <c r="F525" s="2" t="s">
        <v>972</v>
      </c>
      <c r="G525" s="21">
        <v>20000000</v>
      </c>
      <c r="H525" s="23">
        <v>2.5000000000000001E-2</v>
      </c>
      <c r="I525" s="37" t="s">
        <v>4778</v>
      </c>
      <c r="J525" s="2" t="s">
        <v>4779</v>
      </c>
      <c r="K525" s="2" t="s">
        <v>787</v>
      </c>
    </row>
    <row r="526" spans="1:11" ht="15.35" hidden="1" x14ac:dyDescent="0.55000000000000004">
      <c r="A526" s="20">
        <v>914</v>
      </c>
      <c r="B526" s="2" t="s">
        <v>135</v>
      </c>
      <c r="C526" s="2" t="s">
        <v>136</v>
      </c>
      <c r="D526" s="20">
        <v>2024</v>
      </c>
      <c r="E526" s="2" t="s">
        <v>4792</v>
      </c>
      <c r="F526" s="2" t="s">
        <v>815</v>
      </c>
      <c r="G526" s="21">
        <v>20000000</v>
      </c>
      <c r="H526" s="23">
        <v>2.5000000000000001E-2</v>
      </c>
      <c r="I526" s="37" t="s">
        <v>4778</v>
      </c>
      <c r="J526" s="2" t="s">
        <v>4779</v>
      </c>
      <c r="K526" s="2" t="s">
        <v>813</v>
      </c>
    </row>
    <row r="527" spans="1:11" ht="15.35" hidden="1" x14ac:dyDescent="0.55000000000000004">
      <c r="A527" s="20">
        <v>910</v>
      </c>
      <c r="B527" s="2" t="s">
        <v>135</v>
      </c>
      <c r="C527" s="2" t="s">
        <v>136</v>
      </c>
      <c r="D527" s="20">
        <v>2024</v>
      </c>
      <c r="E527" s="2" t="s">
        <v>4792</v>
      </c>
      <c r="F527" s="2" t="s">
        <v>1097</v>
      </c>
      <c r="G527" s="21">
        <v>19266080</v>
      </c>
      <c r="H527" s="23">
        <v>2.41E-2</v>
      </c>
      <c r="I527" s="37" t="s">
        <v>4778</v>
      </c>
      <c r="J527" s="2" t="s">
        <v>4783</v>
      </c>
      <c r="K527" s="2" t="s">
        <v>787</v>
      </c>
    </row>
    <row r="528" spans="1:11" ht="15.35" hidden="1" x14ac:dyDescent="0.55000000000000004">
      <c r="A528" s="20">
        <v>911</v>
      </c>
      <c r="B528" s="2" t="s">
        <v>135</v>
      </c>
      <c r="C528" s="2" t="s">
        <v>136</v>
      </c>
      <c r="D528" s="20">
        <v>2024</v>
      </c>
      <c r="E528" s="2" t="s">
        <v>4792</v>
      </c>
      <c r="F528" s="2" t="s">
        <v>892</v>
      </c>
      <c r="G528" s="21">
        <v>16888328</v>
      </c>
      <c r="H528" s="23">
        <v>2.1100000000000001E-2</v>
      </c>
      <c r="I528" s="37" t="s">
        <v>4778</v>
      </c>
      <c r="J528" s="2" t="s">
        <v>4783</v>
      </c>
      <c r="K528" s="2" t="s">
        <v>787</v>
      </c>
    </row>
    <row r="529" spans="1:11" ht="15.35" hidden="1" x14ac:dyDescent="0.55000000000000004">
      <c r="A529" s="20">
        <v>978</v>
      </c>
      <c r="B529" s="2" t="s">
        <v>135</v>
      </c>
      <c r="C529" s="2" t="s">
        <v>136</v>
      </c>
      <c r="D529" s="20">
        <v>2024</v>
      </c>
      <c r="E529" s="2" t="s">
        <v>4792</v>
      </c>
      <c r="F529" s="2" t="s">
        <v>4814</v>
      </c>
      <c r="G529" s="21">
        <v>13179612</v>
      </c>
      <c r="H529" s="23">
        <v>1.6500000000000001E-2</v>
      </c>
      <c r="I529" s="37" t="s">
        <v>4778</v>
      </c>
      <c r="J529" s="2" t="s">
        <v>4783</v>
      </c>
      <c r="K529" s="2" t="s">
        <v>789</v>
      </c>
    </row>
    <row r="530" spans="1:11" ht="15.35" hidden="1" x14ac:dyDescent="0.55000000000000004">
      <c r="A530" s="20">
        <v>912</v>
      </c>
      <c r="B530" s="2" t="s">
        <v>135</v>
      </c>
      <c r="C530" s="2" t="s">
        <v>136</v>
      </c>
      <c r="D530" s="20">
        <v>2024</v>
      </c>
      <c r="E530" s="2" t="s">
        <v>4792</v>
      </c>
      <c r="F530" s="2" t="s">
        <v>4865</v>
      </c>
      <c r="G530" s="21">
        <v>12000000</v>
      </c>
      <c r="H530" s="23">
        <v>1.4999999999999999E-2</v>
      </c>
      <c r="I530" s="37" t="s">
        <v>4778</v>
      </c>
      <c r="J530" s="2" t="s">
        <v>4779</v>
      </c>
      <c r="K530" s="2" t="s">
        <v>789</v>
      </c>
    </row>
    <row r="531" spans="1:11" ht="15.35" hidden="1" x14ac:dyDescent="0.55000000000000004">
      <c r="A531" s="20">
        <v>979</v>
      </c>
      <c r="B531" s="2" t="s">
        <v>135</v>
      </c>
      <c r="C531" s="2" t="s">
        <v>136</v>
      </c>
      <c r="D531" s="20">
        <v>2024</v>
      </c>
      <c r="E531" s="2" t="s">
        <v>4792</v>
      </c>
      <c r="F531" s="2" t="s">
        <v>4866</v>
      </c>
      <c r="G531" s="21">
        <v>11520000</v>
      </c>
      <c r="H531" s="23">
        <v>1.44E-2</v>
      </c>
      <c r="I531" s="37" t="s">
        <v>4778</v>
      </c>
      <c r="J531" s="2" t="s">
        <v>4779</v>
      </c>
      <c r="K531" s="2" t="s">
        <v>811</v>
      </c>
    </row>
    <row r="532" spans="1:11" ht="15.35" hidden="1" x14ac:dyDescent="0.55000000000000004">
      <c r="A532" s="20">
        <v>977</v>
      </c>
      <c r="B532" s="2" t="s">
        <v>135</v>
      </c>
      <c r="C532" s="2" t="s">
        <v>136</v>
      </c>
      <c r="D532" s="20">
        <v>2024</v>
      </c>
      <c r="E532" s="2" t="s">
        <v>4792</v>
      </c>
      <c r="F532" s="2" t="s">
        <v>939</v>
      </c>
      <c r="G532" s="21">
        <v>11238532</v>
      </c>
      <c r="H532" s="23">
        <v>1.4E-2</v>
      </c>
      <c r="I532" s="37" t="s">
        <v>4778</v>
      </c>
      <c r="J532" s="2" t="s">
        <v>4783</v>
      </c>
      <c r="K532" s="2" t="s">
        <v>787</v>
      </c>
    </row>
    <row r="533" spans="1:11" ht="15.35" hidden="1" x14ac:dyDescent="0.55000000000000004">
      <c r="A533" s="20">
        <v>976</v>
      </c>
      <c r="B533" s="2" t="s">
        <v>135</v>
      </c>
      <c r="C533" s="2" t="s">
        <v>136</v>
      </c>
      <c r="D533" s="20">
        <v>2024</v>
      </c>
      <c r="E533" s="2" t="s">
        <v>4792</v>
      </c>
      <c r="F533" s="2" t="s">
        <v>922</v>
      </c>
      <c r="G533" s="21">
        <v>9973503</v>
      </c>
      <c r="H533" s="23">
        <v>1.2500000000000001E-2</v>
      </c>
      <c r="I533" s="37" t="s">
        <v>4778</v>
      </c>
      <c r="J533" s="2" t="s">
        <v>4783</v>
      </c>
      <c r="K533" s="2" t="s">
        <v>787</v>
      </c>
    </row>
    <row r="534" spans="1:11" ht="15.35" hidden="1" x14ac:dyDescent="0.55000000000000004">
      <c r="A534" s="20">
        <v>975</v>
      </c>
      <c r="B534" s="2" t="s">
        <v>135</v>
      </c>
      <c r="C534" s="2" t="s">
        <v>136</v>
      </c>
      <c r="D534" s="20">
        <v>2024</v>
      </c>
      <c r="E534" s="2" t="s">
        <v>4792</v>
      </c>
      <c r="F534" s="2" t="s">
        <v>4801</v>
      </c>
      <c r="G534" s="21">
        <v>9633027</v>
      </c>
      <c r="H534" s="23">
        <v>1.2E-2</v>
      </c>
      <c r="I534" s="37" t="s">
        <v>4778</v>
      </c>
      <c r="J534" s="2" t="s">
        <v>4783</v>
      </c>
      <c r="K534" s="2" t="s">
        <v>789</v>
      </c>
    </row>
    <row r="535" spans="1:11" ht="15.35" hidden="1" x14ac:dyDescent="0.55000000000000004">
      <c r="A535" s="20">
        <v>974</v>
      </c>
      <c r="B535" s="2" t="s">
        <v>135</v>
      </c>
      <c r="C535" s="2" t="s">
        <v>136</v>
      </c>
      <c r="D535" s="20">
        <v>2024</v>
      </c>
      <c r="E535" s="2" t="s">
        <v>4792</v>
      </c>
      <c r="F535" s="2" t="s">
        <v>952</v>
      </c>
      <c r="G535" s="21">
        <v>8941119</v>
      </c>
      <c r="H535" s="23">
        <v>1.12E-2</v>
      </c>
      <c r="I535" s="37" t="s">
        <v>4778</v>
      </c>
      <c r="J535" s="2" t="s">
        <v>4783</v>
      </c>
      <c r="K535" s="2" t="s">
        <v>787</v>
      </c>
    </row>
    <row r="536" spans="1:11" ht="15.35" hidden="1" x14ac:dyDescent="0.55000000000000004">
      <c r="A536" s="20">
        <v>971</v>
      </c>
      <c r="B536" s="2" t="s">
        <v>135</v>
      </c>
      <c r="C536" s="2" t="s">
        <v>136</v>
      </c>
      <c r="D536" s="20">
        <v>2024</v>
      </c>
      <c r="E536" s="2" t="s">
        <v>4792</v>
      </c>
      <c r="F536" s="2" t="s">
        <v>4867</v>
      </c>
      <c r="G536" s="21">
        <v>7656327</v>
      </c>
      <c r="H536" s="23">
        <v>9.5999999999999992E-3</v>
      </c>
      <c r="I536" s="37" t="s">
        <v>4778</v>
      </c>
      <c r="J536" s="2" t="s">
        <v>4783</v>
      </c>
      <c r="K536" s="2" t="s">
        <v>789</v>
      </c>
    </row>
    <row r="537" spans="1:11" ht="15.35" hidden="1" x14ac:dyDescent="0.55000000000000004">
      <c r="A537" s="20">
        <v>948</v>
      </c>
      <c r="B537" s="2" t="s">
        <v>135</v>
      </c>
      <c r="C537" s="2" t="s">
        <v>136</v>
      </c>
      <c r="D537" s="20">
        <v>2024</v>
      </c>
      <c r="E537" s="2" t="s">
        <v>4792</v>
      </c>
      <c r="F537" s="2" t="s">
        <v>962</v>
      </c>
      <c r="G537" s="21">
        <v>7693789</v>
      </c>
      <c r="H537" s="23">
        <v>9.5999999999999992E-3</v>
      </c>
      <c r="I537" s="37" t="s">
        <v>4778</v>
      </c>
      <c r="J537" s="2" t="s">
        <v>4783</v>
      </c>
      <c r="K537" s="2" t="s">
        <v>787</v>
      </c>
    </row>
    <row r="538" spans="1:11" ht="15.35" hidden="1" x14ac:dyDescent="0.55000000000000004">
      <c r="A538" s="20">
        <v>947</v>
      </c>
      <c r="B538" s="2" t="s">
        <v>135</v>
      </c>
      <c r="C538" s="2" t="s">
        <v>136</v>
      </c>
      <c r="D538" s="20">
        <v>2024</v>
      </c>
      <c r="E538" s="2" t="s">
        <v>4792</v>
      </c>
      <c r="F538" s="2" t="s">
        <v>1007</v>
      </c>
      <c r="G538" s="21">
        <v>7180659</v>
      </c>
      <c r="H538" s="23">
        <v>8.9999999999999993E-3</v>
      </c>
      <c r="I538" s="37" t="s">
        <v>4778</v>
      </c>
      <c r="J538" s="2" t="s">
        <v>4783</v>
      </c>
      <c r="K538" s="2" t="s">
        <v>787</v>
      </c>
    </row>
    <row r="539" spans="1:11" ht="15.35" hidden="1" x14ac:dyDescent="0.55000000000000004">
      <c r="A539" s="20">
        <v>3938</v>
      </c>
      <c r="B539" s="2" t="s">
        <v>135</v>
      </c>
      <c r="C539" s="2" t="s">
        <v>136</v>
      </c>
      <c r="D539" s="20">
        <v>2025</v>
      </c>
      <c r="E539" s="2" t="s">
        <v>4777</v>
      </c>
      <c r="F539" s="2" t="s">
        <v>2605</v>
      </c>
      <c r="G539" s="21">
        <v>272000000</v>
      </c>
      <c r="H539" s="23">
        <v>0.34</v>
      </c>
      <c r="I539" s="23">
        <v>0</v>
      </c>
      <c r="J539" s="2" t="s">
        <v>4779</v>
      </c>
      <c r="K539" s="2" t="s">
        <v>807</v>
      </c>
    </row>
    <row r="540" spans="1:11" ht="15.35" hidden="1" x14ac:dyDescent="0.55000000000000004">
      <c r="A540" s="20">
        <v>3937</v>
      </c>
      <c r="B540" s="2" t="s">
        <v>135</v>
      </c>
      <c r="C540" s="2" t="s">
        <v>136</v>
      </c>
      <c r="D540" s="20">
        <v>2025</v>
      </c>
      <c r="E540" s="2" t="s">
        <v>4777</v>
      </c>
      <c r="F540" s="2" t="s">
        <v>904</v>
      </c>
      <c r="G540" s="21">
        <v>80000000</v>
      </c>
      <c r="H540" s="23">
        <v>0.1</v>
      </c>
      <c r="I540" s="23">
        <v>0</v>
      </c>
      <c r="J540" s="2" t="s">
        <v>4779</v>
      </c>
      <c r="K540" s="2" t="s">
        <v>787</v>
      </c>
    </row>
    <row r="541" spans="1:11" ht="15.35" hidden="1" x14ac:dyDescent="0.55000000000000004">
      <c r="A541" s="20">
        <v>3936</v>
      </c>
      <c r="B541" s="2" t="s">
        <v>135</v>
      </c>
      <c r="C541" s="2" t="s">
        <v>136</v>
      </c>
      <c r="D541" s="20">
        <v>2025</v>
      </c>
      <c r="E541" s="2" t="s">
        <v>4777</v>
      </c>
      <c r="F541" s="2" t="s">
        <v>788</v>
      </c>
      <c r="G541" s="21">
        <v>55680000</v>
      </c>
      <c r="H541" s="23">
        <v>6.9599999999999995E-2</v>
      </c>
      <c r="I541" s="23">
        <v>0</v>
      </c>
      <c r="J541" s="2" t="s">
        <v>4779</v>
      </c>
      <c r="K541" s="2" t="s">
        <v>787</v>
      </c>
    </row>
    <row r="542" spans="1:11" ht="15.35" hidden="1" x14ac:dyDescent="0.55000000000000004">
      <c r="A542" s="20">
        <v>3935</v>
      </c>
      <c r="B542" s="2" t="s">
        <v>135</v>
      </c>
      <c r="C542" s="2" t="s">
        <v>136</v>
      </c>
      <c r="D542" s="20">
        <v>2025</v>
      </c>
      <c r="E542" s="2" t="s">
        <v>4777</v>
      </c>
      <c r="F542" s="2" t="s">
        <v>4780</v>
      </c>
      <c r="G542" s="21">
        <v>32800000</v>
      </c>
      <c r="H542" s="23">
        <v>4.1000000000000002E-2</v>
      </c>
      <c r="I542" s="23">
        <v>0</v>
      </c>
      <c r="J542" s="2" t="s">
        <v>4779</v>
      </c>
      <c r="K542" s="2" t="s">
        <v>789</v>
      </c>
    </row>
    <row r="543" spans="1:11" ht="15.35" hidden="1" x14ac:dyDescent="0.55000000000000004">
      <c r="A543" s="20">
        <v>3934</v>
      </c>
      <c r="B543" s="2" t="s">
        <v>135</v>
      </c>
      <c r="C543" s="2" t="s">
        <v>136</v>
      </c>
      <c r="D543" s="20">
        <v>2025</v>
      </c>
      <c r="E543" s="2" t="s">
        <v>4777</v>
      </c>
      <c r="F543" s="2" t="s">
        <v>2603</v>
      </c>
      <c r="G543" s="21">
        <v>32000000</v>
      </c>
      <c r="H543" s="23">
        <v>0.04</v>
      </c>
      <c r="I543" s="23">
        <v>0</v>
      </c>
      <c r="J543" s="2" t="s">
        <v>4779</v>
      </c>
      <c r="K543" s="2" t="s">
        <v>813</v>
      </c>
    </row>
    <row r="544" spans="1:11" ht="15.35" hidden="1" x14ac:dyDescent="0.55000000000000004">
      <c r="A544" s="20">
        <v>3933</v>
      </c>
      <c r="B544" s="2" t="s">
        <v>135</v>
      </c>
      <c r="C544" s="2" t="s">
        <v>136</v>
      </c>
      <c r="D544" s="20">
        <v>2025</v>
      </c>
      <c r="E544" s="2" t="s">
        <v>4777</v>
      </c>
      <c r="F544" s="2" t="s">
        <v>922</v>
      </c>
      <c r="G544" s="21">
        <v>32000000</v>
      </c>
      <c r="H544" s="23">
        <v>0.04</v>
      </c>
      <c r="I544" s="23">
        <v>0</v>
      </c>
      <c r="J544" s="2" t="s">
        <v>4779</v>
      </c>
      <c r="K544" s="2" t="s">
        <v>787</v>
      </c>
    </row>
    <row r="545" spans="1:11" ht="15.35" hidden="1" x14ac:dyDescent="0.55000000000000004">
      <c r="A545" s="20">
        <v>3931</v>
      </c>
      <c r="B545" s="2" t="s">
        <v>135</v>
      </c>
      <c r="C545" s="2" t="s">
        <v>136</v>
      </c>
      <c r="D545" s="20">
        <v>2025</v>
      </c>
      <c r="E545" s="2" t="s">
        <v>4777</v>
      </c>
      <c r="F545" s="2" t="s">
        <v>972</v>
      </c>
      <c r="G545" s="21">
        <v>20000000</v>
      </c>
      <c r="H545" s="23">
        <v>2.5000000000000001E-2</v>
      </c>
      <c r="I545" s="23">
        <v>0</v>
      </c>
      <c r="J545" s="2" t="s">
        <v>4779</v>
      </c>
      <c r="K545" s="2" t="s">
        <v>787</v>
      </c>
    </row>
    <row r="546" spans="1:11" ht="15.35" hidden="1" x14ac:dyDescent="0.55000000000000004">
      <c r="A546" s="20">
        <v>3932</v>
      </c>
      <c r="B546" s="2" t="s">
        <v>135</v>
      </c>
      <c r="C546" s="2" t="s">
        <v>136</v>
      </c>
      <c r="D546" s="20">
        <v>2025</v>
      </c>
      <c r="E546" s="2" t="s">
        <v>4777</v>
      </c>
      <c r="F546" s="2" t="s">
        <v>815</v>
      </c>
      <c r="G546" s="21">
        <v>20000000</v>
      </c>
      <c r="H546" s="23">
        <v>2.5000000000000001E-2</v>
      </c>
      <c r="I546" s="23">
        <v>0</v>
      </c>
      <c r="J546" s="2" t="s">
        <v>4779</v>
      </c>
      <c r="K546" s="2" t="s">
        <v>813</v>
      </c>
    </row>
    <row r="547" spans="1:11" ht="15.35" hidden="1" x14ac:dyDescent="0.55000000000000004">
      <c r="A547" s="20">
        <v>3776</v>
      </c>
      <c r="B547" s="2" t="s">
        <v>135</v>
      </c>
      <c r="C547" s="2" t="s">
        <v>136</v>
      </c>
      <c r="D547" s="20">
        <v>2025</v>
      </c>
      <c r="E547" s="2" t="s">
        <v>4777</v>
      </c>
      <c r="F547" s="2" t="s">
        <v>939</v>
      </c>
      <c r="G547" s="21">
        <v>19606332</v>
      </c>
      <c r="H547" s="23">
        <v>2.4500000000000001E-2</v>
      </c>
      <c r="I547" s="23">
        <v>1.0500000000000001E-2</v>
      </c>
      <c r="J547" s="2" t="s">
        <v>4783</v>
      </c>
      <c r="K547" s="2" t="s">
        <v>787</v>
      </c>
    </row>
    <row r="548" spans="1:11" ht="15.35" hidden="1" x14ac:dyDescent="0.55000000000000004">
      <c r="A548" s="20">
        <v>3929</v>
      </c>
      <c r="B548" s="2" t="s">
        <v>135</v>
      </c>
      <c r="C548" s="2" t="s">
        <v>136</v>
      </c>
      <c r="D548" s="20">
        <v>2025</v>
      </c>
      <c r="E548" s="2" t="s">
        <v>4777</v>
      </c>
      <c r="F548" s="2" t="s">
        <v>892</v>
      </c>
      <c r="G548" s="21">
        <v>16454236</v>
      </c>
      <c r="H548" s="23">
        <v>2.06E-2</v>
      </c>
      <c r="I548" s="23">
        <v>-5.0000000000000001E-4</v>
      </c>
      <c r="J548" s="2" t="s">
        <v>4783</v>
      </c>
      <c r="K548" s="2" t="s">
        <v>787</v>
      </c>
    </row>
    <row r="549" spans="1:11" ht="15.35" hidden="1" x14ac:dyDescent="0.55000000000000004">
      <c r="A549" s="20">
        <v>3930</v>
      </c>
      <c r="B549" s="2" t="s">
        <v>135</v>
      </c>
      <c r="C549" s="2" t="s">
        <v>136</v>
      </c>
      <c r="D549" s="20">
        <v>2025</v>
      </c>
      <c r="E549" s="2" t="s">
        <v>4777</v>
      </c>
      <c r="F549" s="2" t="s">
        <v>4865</v>
      </c>
      <c r="G549" s="21">
        <v>12000000</v>
      </c>
      <c r="H549" s="23">
        <v>1.4999999999999999E-2</v>
      </c>
      <c r="I549" s="23">
        <v>0</v>
      </c>
      <c r="J549" s="2" t="s">
        <v>4779</v>
      </c>
      <c r="K549" s="2" t="s">
        <v>789</v>
      </c>
    </row>
    <row r="550" spans="1:11" ht="15.35" hidden="1" x14ac:dyDescent="0.55000000000000004">
      <c r="A550" s="20">
        <v>3775</v>
      </c>
      <c r="B550" s="2" t="s">
        <v>135</v>
      </c>
      <c r="C550" s="2" t="s">
        <v>136</v>
      </c>
      <c r="D550" s="20">
        <v>2025</v>
      </c>
      <c r="E550" s="2" t="s">
        <v>4777</v>
      </c>
      <c r="F550" s="2" t="s">
        <v>4866</v>
      </c>
      <c r="G550" s="21">
        <v>11520000</v>
      </c>
      <c r="H550" s="23">
        <v>1.44E-2</v>
      </c>
      <c r="I550" s="23">
        <v>0</v>
      </c>
      <c r="J550" s="2" t="s">
        <v>4779</v>
      </c>
      <c r="K550" s="2" t="s">
        <v>811</v>
      </c>
    </row>
    <row r="551" spans="1:11" ht="15.35" hidden="1" x14ac:dyDescent="0.55000000000000004">
      <c r="A551" s="20">
        <v>3946</v>
      </c>
      <c r="B551" s="2" t="s">
        <v>135</v>
      </c>
      <c r="C551" s="2" t="s">
        <v>136</v>
      </c>
      <c r="D551" s="20">
        <v>2025</v>
      </c>
      <c r="E551" s="2" t="s">
        <v>4777</v>
      </c>
      <c r="F551" s="2" t="s">
        <v>922</v>
      </c>
      <c r="G551" s="21">
        <v>11238968</v>
      </c>
      <c r="H551" s="23">
        <v>1.4E-2</v>
      </c>
      <c r="I551" s="23">
        <v>1.5E-3</v>
      </c>
      <c r="J551" s="2" t="s">
        <v>4783</v>
      </c>
      <c r="K551" s="2" t="s">
        <v>787</v>
      </c>
    </row>
    <row r="552" spans="1:11" ht="15.35" hidden="1" x14ac:dyDescent="0.55000000000000004">
      <c r="A552" s="20">
        <v>3945</v>
      </c>
      <c r="B552" s="2" t="s">
        <v>135</v>
      </c>
      <c r="C552" s="2" t="s">
        <v>136</v>
      </c>
      <c r="D552" s="20">
        <v>2025</v>
      </c>
      <c r="E552" s="2" t="s">
        <v>4777</v>
      </c>
      <c r="F552" s="2" t="s">
        <v>1007</v>
      </c>
      <c r="G552" s="21">
        <v>10454359</v>
      </c>
      <c r="H552" s="23">
        <v>1.3100000000000001E-2</v>
      </c>
      <c r="I552" s="23">
        <v>4.1000000000000003E-3</v>
      </c>
      <c r="J552" s="2" t="s">
        <v>4783</v>
      </c>
      <c r="K552" s="2" t="s">
        <v>787</v>
      </c>
    </row>
    <row r="553" spans="1:11" ht="15.35" hidden="1" x14ac:dyDescent="0.55000000000000004">
      <c r="A553" s="20">
        <v>3944</v>
      </c>
      <c r="B553" s="2" t="s">
        <v>135</v>
      </c>
      <c r="C553" s="2" t="s">
        <v>136</v>
      </c>
      <c r="D553" s="20">
        <v>2025</v>
      </c>
      <c r="E553" s="2" t="s">
        <v>4777</v>
      </c>
      <c r="F553" s="2" t="s">
        <v>952</v>
      </c>
      <c r="G553" s="21">
        <v>9194819</v>
      </c>
      <c r="H553" s="23">
        <v>1.15E-2</v>
      </c>
      <c r="I553" s="23">
        <v>2.9999999999999997E-4</v>
      </c>
      <c r="J553" s="2" t="s">
        <v>4783</v>
      </c>
      <c r="K553" s="2" t="s">
        <v>787</v>
      </c>
    </row>
    <row r="554" spans="1:11" ht="15.35" hidden="1" x14ac:dyDescent="0.55000000000000004">
      <c r="A554" s="38">
        <v>3943</v>
      </c>
      <c r="B554" s="39" t="s">
        <v>135</v>
      </c>
      <c r="C554" s="39" t="s">
        <v>136</v>
      </c>
      <c r="D554" s="38">
        <v>2025</v>
      </c>
      <c r="E554" s="39" t="s">
        <v>4777</v>
      </c>
      <c r="F554" s="39" t="s">
        <v>4868</v>
      </c>
      <c r="G554" s="40">
        <v>9119791</v>
      </c>
      <c r="H554" s="41">
        <v>1.14E-2</v>
      </c>
      <c r="I554" s="41">
        <v>1.14E-2</v>
      </c>
      <c r="J554" s="39" t="s">
        <v>4783</v>
      </c>
      <c r="K554" s="39" t="s">
        <v>793</v>
      </c>
    </row>
    <row r="555" spans="1:11" ht="15.35" hidden="1" x14ac:dyDescent="0.55000000000000004">
      <c r="A555" s="38">
        <v>3942</v>
      </c>
      <c r="B555" s="39" t="s">
        <v>135</v>
      </c>
      <c r="C555" s="39" t="s">
        <v>136</v>
      </c>
      <c r="D555" s="38">
        <v>2025</v>
      </c>
      <c r="E555" s="39" t="s">
        <v>4777</v>
      </c>
      <c r="F555" s="39" t="s">
        <v>4818</v>
      </c>
      <c r="G555" s="40">
        <v>6850400</v>
      </c>
      <c r="H555" s="41">
        <v>8.6E-3</v>
      </c>
      <c r="I555" s="41">
        <v>8.6E-3</v>
      </c>
      <c r="J555" s="39" t="s">
        <v>4783</v>
      </c>
      <c r="K555" s="39" t="s">
        <v>789</v>
      </c>
    </row>
    <row r="556" spans="1:11" ht="15.35" hidden="1" x14ac:dyDescent="0.55000000000000004">
      <c r="A556" s="38">
        <v>3941</v>
      </c>
      <c r="B556" s="39" t="s">
        <v>135</v>
      </c>
      <c r="C556" s="39" t="s">
        <v>136</v>
      </c>
      <c r="D556" s="38">
        <v>2025</v>
      </c>
      <c r="E556" s="39" t="s">
        <v>4777</v>
      </c>
      <c r="F556" s="39" t="s">
        <v>1179</v>
      </c>
      <c r="G556" s="40">
        <v>5635909</v>
      </c>
      <c r="H556" s="41">
        <v>7.0000000000000001E-3</v>
      </c>
      <c r="I556" s="41">
        <v>7.0000000000000001E-3</v>
      </c>
      <c r="J556" s="39" t="s">
        <v>4783</v>
      </c>
      <c r="K556" s="39" t="s">
        <v>787</v>
      </c>
    </row>
    <row r="557" spans="1:11" ht="15.35" hidden="1" x14ac:dyDescent="0.55000000000000004">
      <c r="A557" s="38">
        <v>3940</v>
      </c>
      <c r="B557" s="39" t="s">
        <v>135</v>
      </c>
      <c r="C557" s="39" t="s">
        <v>136</v>
      </c>
      <c r="D557" s="38">
        <v>2025</v>
      </c>
      <c r="E557" s="39" t="s">
        <v>4777</v>
      </c>
      <c r="F557" s="39" t="s">
        <v>4826</v>
      </c>
      <c r="G557" s="40">
        <v>5123117</v>
      </c>
      <c r="H557" s="41">
        <v>6.4000000000000003E-3</v>
      </c>
      <c r="I557" s="41">
        <v>6.4000000000000003E-3</v>
      </c>
      <c r="J557" s="39" t="s">
        <v>4783</v>
      </c>
      <c r="K557" s="39" t="s">
        <v>798</v>
      </c>
    </row>
    <row r="558" spans="1:11" ht="15.35" hidden="1" x14ac:dyDescent="0.55000000000000004">
      <c r="A558" s="20">
        <v>3939</v>
      </c>
      <c r="B558" s="2" t="s">
        <v>135</v>
      </c>
      <c r="C558" s="2" t="s">
        <v>136</v>
      </c>
      <c r="D558" s="20">
        <v>2025</v>
      </c>
      <c r="E558" s="2" t="s">
        <v>4777</v>
      </c>
      <c r="F558" s="2" t="s">
        <v>962</v>
      </c>
      <c r="G558" s="21">
        <v>4583114</v>
      </c>
      <c r="H558" s="23">
        <v>5.7000000000000002E-3</v>
      </c>
      <c r="I558" s="23">
        <v>-3.8999999999999998E-3</v>
      </c>
      <c r="J558" s="2" t="s">
        <v>4783</v>
      </c>
      <c r="K558" s="2" t="s">
        <v>787</v>
      </c>
    </row>
    <row r="559" spans="1:11" ht="15.35" hidden="1" x14ac:dyDescent="0.55000000000000004">
      <c r="A559" s="42"/>
      <c r="B559" s="43" t="s">
        <v>135</v>
      </c>
      <c r="C559" s="43" t="s">
        <v>136</v>
      </c>
      <c r="D559" s="44">
        <v>2025</v>
      </c>
      <c r="E559" s="43" t="s">
        <v>4777</v>
      </c>
      <c r="F559" s="43" t="s">
        <v>4814</v>
      </c>
      <c r="G559" s="45"/>
      <c r="H559" s="46">
        <v>0</v>
      </c>
      <c r="I559" s="46">
        <v>-1.6500000000000001E-2</v>
      </c>
      <c r="J559" s="43" t="s">
        <v>4783</v>
      </c>
      <c r="K559" s="43" t="s">
        <v>789</v>
      </c>
    </row>
    <row r="560" spans="1:11" ht="15.35" hidden="1" x14ac:dyDescent="0.55000000000000004">
      <c r="A560" s="42"/>
      <c r="B560" s="43" t="s">
        <v>135</v>
      </c>
      <c r="C560" s="43" t="s">
        <v>136</v>
      </c>
      <c r="D560" s="44">
        <v>2025</v>
      </c>
      <c r="E560" s="43" t="s">
        <v>4777</v>
      </c>
      <c r="F560" s="43" t="s">
        <v>1097</v>
      </c>
      <c r="G560" s="45"/>
      <c r="H560" s="46">
        <v>0</v>
      </c>
      <c r="I560" s="46">
        <v>-2.41E-2</v>
      </c>
      <c r="J560" s="43" t="s">
        <v>4783</v>
      </c>
      <c r="K560" s="43" t="s">
        <v>787</v>
      </c>
    </row>
    <row r="561" spans="1:11" ht="15.35" hidden="1" x14ac:dyDescent="0.55000000000000004">
      <c r="A561" s="42"/>
      <c r="B561" s="43" t="s">
        <v>135</v>
      </c>
      <c r="C561" s="43" t="s">
        <v>136</v>
      </c>
      <c r="D561" s="44">
        <v>2025</v>
      </c>
      <c r="E561" s="43" t="s">
        <v>4777</v>
      </c>
      <c r="F561" s="43" t="s">
        <v>4867</v>
      </c>
      <c r="G561" s="45"/>
      <c r="H561" s="46">
        <v>0</v>
      </c>
      <c r="I561" s="46">
        <v>-9.5999999999999992E-3</v>
      </c>
      <c r="J561" s="43" t="s">
        <v>4783</v>
      </c>
      <c r="K561" s="43" t="s">
        <v>789</v>
      </c>
    </row>
    <row r="562" spans="1:11" ht="15.35" hidden="1" x14ac:dyDescent="0.55000000000000004">
      <c r="A562" s="42"/>
      <c r="B562" s="43" t="s">
        <v>135</v>
      </c>
      <c r="C562" s="43" t="s">
        <v>136</v>
      </c>
      <c r="D562" s="44">
        <v>2025</v>
      </c>
      <c r="E562" s="43" t="s">
        <v>4777</v>
      </c>
      <c r="F562" s="43" t="s">
        <v>4801</v>
      </c>
      <c r="G562" s="45"/>
      <c r="H562" s="46">
        <v>0</v>
      </c>
      <c r="I562" s="46">
        <v>-1.2E-2</v>
      </c>
      <c r="J562" s="43" t="s">
        <v>4783</v>
      </c>
      <c r="K562" s="43" t="s">
        <v>789</v>
      </c>
    </row>
    <row r="563" spans="1:11" ht="15.35" hidden="1" x14ac:dyDescent="0.55000000000000004">
      <c r="A563" s="20">
        <v>5097</v>
      </c>
      <c r="B563" s="2" t="s">
        <v>135</v>
      </c>
      <c r="C563" s="2" t="s">
        <v>136</v>
      </c>
      <c r="D563" s="20">
        <v>2025</v>
      </c>
      <c r="E563" s="2" t="s">
        <v>4792</v>
      </c>
      <c r="F563" s="2" t="s">
        <v>2605</v>
      </c>
      <c r="G563" s="21">
        <v>272000000</v>
      </c>
      <c r="H563" s="23">
        <v>0.34</v>
      </c>
      <c r="I563" s="23">
        <v>0</v>
      </c>
      <c r="J563" s="2" t="s">
        <v>4779</v>
      </c>
      <c r="K563" s="2" t="s">
        <v>807</v>
      </c>
    </row>
    <row r="564" spans="1:11" ht="15.35" hidden="1" x14ac:dyDescent="0.55000000000000004">
      <c r="A564" s="38">
        <v>5096</v>
      </c>
      <c r="B564" s="39" t="s">
        <v>135</v>
      </c>
      <c r="C564" s="39" t="s">
        <v>136</v>
      </c>
      <c r="D564" s="38">
        <v>2025</v>
      </c>
      <c r="E564" s="39" t="s">
        <v>4792</v>
      </c>
      <c r="F564" s="39" t="s">
        <v>904</v>
      </c>
      <c r="G564" s="40">
        <v>81488629</v>
      </c>
      <c r="H564" s="41">
        <v>0.1019</v>
      </c>
      <c r="I564" s="41">
        <v>0.1019</v>
      </c>
      <c r="J564" s="39" t="s">
        <v>4783</v>
      </c>
      <c r="K564" s="39" t="s">
        <v>787</v>
      </c>
    </row>
    <row r="565" spans="1:11" ht="15.35" hidden="1" x14ac:dyDescent="0.55000000000000004">
      <c r="A565" s="38">
        <v>5095</v>
      </c>
      <c r="B565" s="39" t="s">
        <v>135</v>
      </c>
      <c r="C565" s="39" t="s">
        <v>136</v>
      </c>
      <c r="D565" s="38">
        <v>2025</v>
      </c>
      <c r="E565" s="39" t="s">
        <v>4792</v>
      </c>
      <c r="F565" s="39" t="s">
        <v>788</v>
      </c>
      <c r="G565" s="40">
        <v>56553729</v>
      </c>
      <c r="H565" s="41">
        <v>7.0699999999999999E-2</v>
      </c>
      <c r="I565" s="41">
        <v>7.0699999999999999E-2</v>
      </c>
      <c r="J565" s="39" t="s">
        <v>4783</v>
      </c>
      <c r="K565" s="39" t="s">
        <v>787</v>
      </c>
    </row>
    <row r="566" spans="1:11" ht="15.35" hidden="1" x14ac:dyDescent="0.55000000000000004">
      <c r="A566" s="20">
        <v>5094</v>
      </c>
      <c r="B566" s="2" t="s">
        <v>135</v>
      </c>
      <c r="C566" s="2" t="s">
        <v>136</v>
      </c>
      <c r="D566" s="20">
        <v>2025</v>
      </c>
      <c r="E566" s="2" t="s">
        <v>4792</v>
      </c>
      <c r="F566" s="2" t="s">
        <v>922</v>
      </c>
      <c r="G566" s="21">
        <v>43590468</v>
      </c>
      <c r="H566" s="23">
        <v>5.45E-2</v>
      </c>
      <c r="I566" s="23">
        <v>4.0500000000000001E-2</v>
      </c>
      <c r="J566" s="2" t="s">
        <v>4783</v>
      </c>
      <c r="K566" s="2" t="s">
        <v>787</v>
      </c>
    </row>
    <row r="567" spans="1:11" ht="15.35" hidden="1" x14ac:dyDescent="0.55000000000000004">
      <c r="A567" s="38">
        <v>5093</v>
      </c>
      <c r="B567" s="39" t="s">
        <v>135</v>
      </c>
      <c r="C567" s="39" t="s">
        <v>136</v>
      </c>
      <c r="D567" s="38">
        <v>2025</v>
      </c>
      <c r="E567" s="39" t="s">
        <v>4792</v>
      </c>
      <c r="F567" s="39" t="s">
        <v>2603</v>
      </c>
      <c r="G567" s="40">
        <v>32000000</v>
      </c>
      <c r="H567" s="41">
        <v>0.04</v>
      </c>
      <c r="I567" s="41">
        <v>0.04</v>
      </c>
      <c r="J567" s="39" t="s">
        <v>4783</v>
      </c>
      <c r="K567" s="39" t="s">
        <v>813</v>
      </c>
    </row>
    <row r="568" spans="1:11" ht="15.35" hidden="1" x14ac:dyDescent="0.55000000000000004">
      <c r="A568" s="38">
        <v>5092</v>
      </c>
      <c r="B568" s="39" t="s">
        <v>135</v>
      </c>
      <c r="C568" s="39" t="s">
        <v>136</v>
      </c>
      <c r="D568" s="38">
        <v>2025</v>
      </c>
      <c r="E568" s="39" t="s">
        <v>4792</v>
      </c>
      <c r="F568" s="39" t="s">
        <v>972</v>
      </c>
      <c r="G568" s="40">
        <v>20466712</v>
      </c>
      <c r="H568" s="41">
        <v>2.5600000000000001E-2</v>
      </c>
      <c r="I568" s="41">
        <v>2.5600000000000001E-2</v>
      </c>
      <c r="J568" s="39" t="s">
        <v>4783</v>
      </c>
      <c r="K568" s="39" t="s">
        <v>787</v>
      </c>
    </row>
    <row r="569" spans="1:11" ht="15.35" hidden="1" x14ac:dyDescent="0.55000000000000004">
      <c r="A569" s="20">
        <v>5091</v>
      </c>
      <c r="B569" s="2" t="s">
        <v>135</v>
      </c>
      <c r="C569" s="2" t="s">
        <v>136</v>
      </c>
      <c r="D569" s="20">
        <v>2025</v>
      </c>
      <c r="E569" s="2" t="s">
        <v>4792</v>
      </c>
      <c r="F569" s="2" t="s">
        <v>939</v>
      </c>
      <c r="G569" s="21">
        <v>19721532</v>
      </c>
      <c r="H569" s="23">
        <v>2.47E-2</v>
      </c>
      <c r="I569" s="23">
        <v>2.0000000000000001E-4</v>
      </c>
      <c r="J569" s="2" t="s">
        <v>4783</v>
      </c>
      <c r="K569" s="2" t="s">
        <v>787</v>
      </c>
    </row>
    <row r="570" spans="1:11" ht="15.35" hidden="1" x14ac:dyDescent="0.55000000000000004">
      <c r="A570" s="20">
        <v>5089</v>
      </c>
      <c r="B570" s="2" t="s">
        <v>135</v>
      </c>
      <c r="C570" s="2" t="s">
        <v>136</v>
      </c>
      <c r="D570" s="20">
        <v>2025</v>
      </c>
      <c r="E570" s="2" t="s">
        <v>4792</v>
      </c>
      <c r="F570" s="2" t="s">
        <v>4826</v>
      </c>
      <c r="G570" s="21">
        <v>18906844</v>
      </c>
      <c r="H570" s="23">
        <v>2.3599999999999999E-2</v>
      </c>
      <c r="I570" s="23">
        <v>1.72E-2</v>
      </c>
      <c r="J570" s="2" t="s">
        <v>4783</v>
      </c>
      <c r="K570" s="2" t="s">
        <v>798</v>
      </c>
    </row>
    <row r="571" spans="1:11" ht="15.35" hidden="1" x14ac:dyDescent="0.55000000000000004">
      <c r="A571" s="38">
        <v>5090</v>
      </c>
      <c r="B571" s="39" t="s">
        <v>135</v>
      </c>
      <c r="C571" s="39" t="s">
        <v>136</v>
      </c>
      <c r="D571" s="38">
        <v>2025</v>
      </c>
      <c r="E571" s="39" t="s">
        <v>4792</v>
      </c>
      <c r="F571" s="39" t="s">
        <v>4869</v>
      </c>
      <c r="G571" s="40">
        <v>18907000</v>
      </c>
      <c r="H571" s="41">
        <v>2.3599999999999999E-2</v>
      </c>
      <c r="I571" s="41">
        <v>2.3599999999999999E-2</v>
      </c>
      <c r="J571" s="39" t="s">
        <v>4783</v>
      </c>
      <c r="K571" s="39" t="s">
        <v>783</v>
      </c>
    </row>
    <row r="572" spans="1:11" ht="15.35" hidden="1" x14ac:dyDescent="0.55000000000000004">
      <c r="A572" s="20">
        <v>5102</v>
      </c>
      <c r="B572" s="2" t="s">
        <v>135</v>
      </c>
      <c r="C572" s="2" t="s">
        <v>136</v>
      </c>
      <c r="D572" s="20">
        <v>2025</v>
      </c>
      <c r="E572" s="2" t="s">
        <v>4792</v>
      </c>
      <c r="F572" s="2" t="s">
        <v>1007</v>
      </c>
      <c r="G572" s="21">
        <v>18680232</v>
      </c>
      <c r="H572" s="23">
        <v>2.3400000000000001E-2</v>
      </c>
      <c r="I572" s="23">
        <v>1.03E-2</v>
      </c>
      <c r="J572" s="2" t="s">
        <v>4783</v>
      </c>
      <c r="K572" s="2" t="s">
        <v>787</v>
      </c>
    </row>
    <row r="573" spans="1:11" ht="15.35" hidden="1" x14ac:dyDescent="0.55000000000000004">
      <c r="A573" s="20">
        <v>5088</v>
      </c>
      <c r="B573" s="2" t="s">
        <v>135</v>
      </c>
      <c r="C573" s="2" t="s">
        <v>136</v>
      </c>
      <c r="D573" s="20">
        <v>2025</v>
      </c>
      <c r="E573" s="2" t="s">
        <v>4792</v>
      </c>
      <c r="F573" s="2" t="s">
        <v>892</v>
      </c>
      <c r="G573" s="21">
        <v>17123930</v>
      </c>
      <c r="H573" s="23">
        <v>2.1399999999999999E-2</v>
      </c>
      <c r="I573" s="23">
        <v>8.0000000000000004E-4</v>
      </c>
      <c r="J573" s="2" t="s">
        <v>4783</v>
      </c>
      <c r="K573" s="2" t="s">
        <v>787</v>
      </c>
    </row>
    <row r="574" spans="1:11" ht="15.35" hidden="1" x14ac:dyDescent="0.55000000000000004">
      <c r="A574" s="42"/>
      <c r="B574" s="43" t="s">
        <v>135</v>
      </c>
      <c r="C574" s="43" t="s">
        <v>136</v>
      </c>
      <c r="D574" s="44">
        <v>2025</v>
      </c>
      <c r="E574" s="43" t="s">
        <v>4792</v>
      </c>
      <c r="F574" s="43" t="s">
        <v>904</v>
      </c>
      <c r="G574" s="45"/>
      <c r="H574" s="46">
        <v>0</v>
      </c>
      <c r="I574" s="46">
        <v>-0.1</v>
      </c>
      <c r="J574" s="43" t="s">
        <v>4779</v>
      </c>
      <c r="K574" s="43" t="s">
        <v>787</v>
      </c>
    </row>
    <row r="575" spans="1:11" ht="15.35" hidden="1" x14ac:dyDescent="0.55000000000000004">
      <c r="A575" s="42"/>
      <c r="B575" s="43" t="s">
        <v>135</v>
      </c>
      <c r="C575" s="43" t="s">
        <v>136</v>
      </c>
      <c r="D575" s="44">
        <v>2025</v>
      </c>
      <c r="E575" s="43" t="s">
        <v>4792</v>
      </c>
      <c r="F575" s="43" t="s">
        <v>788</v>
      </c>
      <c r="G575" s="45"/>
      <c r="H575" s="46">
        <v>0</v>
      </c>
      <c r="I575" s="46">
        <v>-6.9599999999999995E-2</v>
      </c>
      <c r="J575" s="43" t="s">
        <v>4779</v>
      </c>
      <c r="K575" s="43" t="s">
        <v>787</v>
      </c>
    </row>
    <row r="576" spans="1:11" ht="15.35" hidden="1" x14ac:dyDescent="0.55000000000000004">
      <c r="A576" s="42"/>
      <c r="B576" s="43" t="s">
        <v>135</v>
      </c>
      <c r="C576" s="43" t="s">
        <v>136</v>
      </c>
      <c r="D576" s="44">
        <v>2025</v>
      </c>
      <c r="E576" s="43" t="s">
        <v>4792</v>
      </c>
      <c r="F576" s="43" t="s">
        <v>4865</v>
      </c>
      <c r="G576" s="45"/>
      <c r="H576" s="46">
        <v>0</v>
      </c>
      <c r="I576" s="46">
        <v>-1.4999999999999999E-2</v>
      </c>
      <c r="J576" s="43" t="s">
        <v>4779</v>
      </c>
      <c r="K576" s="43" t="s">
        <v>789</v>
      </c>
    </row>
    <row r="577" spans="1:11" ht="15.35" hidden="1" x14ac:dyDescent="0.55000000000000004">
      <c r="A577" s="42"/>
      <c r="B577" s="43" t="s">
        <v>135</v>
      </c>
      <c r="C577" s="43" t="s">
        <v>136</v>
      </c>
      <c r="D577" s="44">
        <v>2025</v>
      </c>
      <c r="E577" s="43" t="s">
        <v>4792</v>
      </c>
      <c r="F577" s="43" t="s">
        <v>4780</v>
      </c>
      <c r="G577" s="45"/>
      <c r="H577" s="46">
        <v>0</v>
      </c>
      <c r="I577" s="46">
        <v>-4.1000000000000002E-2</v>
      </c>
      <c r="J577" s="43" t="s">
        <v>4779</v>
      </c>
      <c r="K577" s="43" t="s">
        <v>789</v>
      </c>
    </row>
    <row r="578" spans="1:11" ht="15.35" hidden="1" x14ac:dyDescent="0.55000000000000004">
      <c r="A578" s="42"/>
      <c r="B578" s="43" t="s">
        <v>135</v>
      </c>
      <c r="C578" s="43" t="s">
        <v>136</v>
      </c>
      <c r="D578" s="44">
        <v>2025</v>
      </c>
      <c r="E578" s="43" t="s">
        <v>4792</v>
      </c>
      <c r="F578" s="43" t="s">
        <v>4818</v>
      </c>
      <c r="G578" s="45"/>
      <c r="H578" s="46">
        <v>0</v>
      </c>
      <c r="I578" s="46">
        <v>-8.6E-3</v>
      </c>
      <c r="J578" s="43" t="s">
        <v>4783</v>
      </c>
      <c r="K578" s="43" t="s">
        <v>789</v>
      </c>
    </row>
    <row r="579" spans="1:11" ht="15.35" hidden="1" x14ac:dyDescent="0.55000000000000004">
      <c r="A579" s="42"/>
      <c r="B579" s="43" t="s">
        <v>135</v>
      </c>
      <c r="C579" s="43" t="s">
        <v>136</v>
      </c>
      <c r="D579" s="44">
        <v>2025</v>
      </c>
      <c r="E579" s="43" t="s">
        <v>4792</v>
      </c>
      <c r="F579" s="43" t="s">
        <v>972</v>
      </c>
      <c r="G579" s="45"/>
      <c r="H579" s="46">
        <v>0</v>
      </c>
      <c r="I579" s="46">
        <v>-2.5000000000000001E-2</v>
      </c>
      <c r="J579" s="43" t="s">
        <v>4779</v>
      </c>
      <c r="K579" s="43" t="s">
        <v>787</v>
      </c>
    </row>
    <row r="580" spans="1:11" ht="15.35" hidden="1" x14ac:dyDescent="0.55000000000000004">
      <c r="A580" s="42"/>
      <c r="B580" s="43" t="s">
        <v>135</v>
      </c>
      <c r="C580" s="43" t="s">
        <v>136</v>
      </c>
      <c r="D580" s="44">
        <v>2025</v>
      </c>
      <c r="E580" s="43" t="s">
        <v>4792</v>
      </c>
      <c r="F580" s="43" t="s">
        <v>2603</v>
      </c>
      <c r="G580" s="45"/>
      <c r="H580" s="46">
        <v>0</v>
      </c>
      <c r="I580" s="46">
        <v>-0.04</v>
      </c>
      <c r="J580" s="43" t="s">
        <v>4779</v>
      </c>
      <c r="K580" s="43" t="s">
        <v>813</v>
      </c>
    </row>
    <row r="581" spans="1:11" ht="15.35" hidden="1" x14ac:dyDescent="0.55000000000000004">
      <c r="A581" s="42"/>
      <c r="B581" s="43" t="s">
        <v>135</v>
      </c>
      <c r="C581" s="43" t="s">
        <v>136</v>
      </c>
      <c r="D581" s="44">
        <v>2025</v>
      </c>
      <c r="E581" s="43" t="s">
        <v>4792</v>
      </c>
      <c r="F581" s="43" t="s">
        <v>922</v>
      </c>
      <c r="G581" s="45"/>
      <c r="H581" s="46">
        <v>0</v>
      </c>
      <c r="I581" s="46">
        <v>-0.04</v>
      </c>
      <c r="J581" s="43" t="s">
        <v>4779</v>
      </c>
      <c r="K581" s="43" t="s">
        <v>787</v>
      </c>
    </row>
    <row r="582" spans="1:11" ht="15.35" hidden="1" x14ac:dyDescent="0.55000000000000004">
      <c r="A582" s="42"/>
      <c r="B582" s="43" t="s">
        <v>135</v>
      </c>
      <c r="C582" s="43" t="s">
        <v>136</v>
      </c>
      <c r="D582" s="44">
        <v>2025</v>
      </c>
      <c r="E582" s="43" t="s">
        <v>4792</v>
      </c>
      <c r="F582" s="43" t="s">
        <v>4866</v>
      </c>
      <c r="G582" s="45"/>
      <c r="H582" s="46">
        <v>0</v>
      </c>
      <c r="I582" s="46">
        <v>-1.44E-2</v>
      </c>
      <c r="J582" s="43" t="s">
        <v>4779</v>
      </c>
      <c r="K582" s="43" t="s">
        <v>811</v>
      </c>
    </row>
    <row r="583" spans="1:11" ht="15.35" hidden="1" x14ac:dyDescent="0.55000000000000004">
      <c r="A583" s="42"/>
      <c r="B583" s="43" t="s">
        <v>135</v>
      </c>
      <c r="C583" s="43" t="s">
        <v>136</v>
      </c>
      <c r="D583" s="44">
        <v>2025</v>
      </c>
      <c r="E583" s="43" t="s">
        <v>4792</v>
      </c>
      <c r="F583" s="43" t="s">
        <v>815</v>
      </c>
      <c r="G583" s="45"/>
      <c r="H583" s="46">
        <v>0</v>
      </c>
      <c r="I583" s="46">
        <v>-2.5000000000000001E-2</v>
      </c>
      <c r="J583" s="43" t="s">
        <v>4779</v>
      </c>
      <c r="K583" s="43" t="s">
        <v>813</v>
      </c>
    </row>
    <row r="584" spans="1:11" ht="15.35" hidden="1" x14ac:dyDescent="0.55000000000000004">
      <c r="A584" s="42"/>
      <c r="B584" s="43" t="s">
        <v>135</v>
      </c>
      <c r="C584" s="43" t="s">
        <v>136</v>
      </c>
      <c r="D584" s="44">
        <v>2025</v>
      </c>
      <c r="E584" s="43" t="s">
        <v>4792</v>
      </c>
      <c r="F584" s="43" t="s">
        <v>4868</v>
      </c>
      <c r="G584" s="45"/>
      <c r="H584" s="46">
        <v>0</v>
      </c>
      <c r="I584" s="46">
        <v>-1.14E-2</v>
      </c>
      <c r="J584" s="43" t="s">
        <v>4783</v>
      </c>
      <c r="K584" s="43" t="s">
        <v>793</v>
      </c>
    </row>
    <row r="585" spans="1:11" ht="15.35" hidden="1" x14ac:dyDescent="0.55000000000000004">
      <c r="A585" s="42"/>
      <c r="B585" s="43" t="s">
        <v>135</v>
      </c>
      <c r="C585" s="43" t="s">
        <v>136</v>
      </c>
      <c r="D585" s="44">
        <v>2025</v>
      </c>
      <c r="E585" s="43" t="s">
        <v>4792</v>
      </c>
      <c r="F585" s="43" t="s">
        <v>952</v>
      </c>
      <c r="G585" s="45"/>
      <c r="H585" s="46">
        <v>0</v>
      </c>
      <c r="I585" s="46">
        <v>-1.15E-2</v>
      </c>
      <c r="J585" s="43" t="s">
        <v>4783</v>
      </c>
      <c r="K585" s="43" t="s">
        <v>787</v>
      </c>
    </row>
    <row r="586" spans="1:11" ht="15.35" hidden="1" x14ac:dyDescent="0.55000000000000004">
      <c r="A586" s="42"/>
      <c r="B586" s="43" t="s">
        <v>135</v>
      </c>
      <c r="C586" s="43" t="s">
        <v>136</v>
      </c>
      <c r="D586" s="44">
        <v>2025</v>
      </c>
      <c r="E586" s="43" t="s">
        <v>4792</v>
      </c>
      <c r="F586" s="43" t="s">
        <v>962</v>
      </c>
      <c r="G586" s="45"/>
      <c r="H586" s="46">
        <v>0</v>
      </c>
      <c r="I586" s="46">
        <v>-5.7000000000000002E-3</v>
      </c>
      <c r="J586" s="43" t="s">
        <v>4783</v>
      </c>
      <c r="K586" s="43" t="s">
        <v>787</v>
      </c>
    </row>
    <row r="587" spans="1:11" ht="15.35" hidden="1" x14ac:dyDescent="0.55000000000000004">
      <c r="A587" s="42"/>
      <c r="B587" s="43" t="s">
        <v>135</v>
      </c>
      <c r="C587" s="43" t="s">
        <v>136</v>
      </c>
      <c r="D587" s="44">
        <v>2025</v>
      </c>
      <c r="E587" s="43" t="s">
        <v>4792</v>
      </c>
      <c r="F587" s="43" t="s">
        <v>1179</v>
      </c>
      <c r="G587" s="45"/>
      <c r="H587" s="46">
        <v>0</v>
      </c>
      <c r="I587" s="46">
        <v>-7.0000000000000001E-3</v>
      </c>
      <c r="J587" s="43" t="s">
        <v>4783</v>
      </c>
      <c r="K587" s="43" t="s">
        <v>787</v>
      </c>
    </row>
    <row r="588" spans="1:11" ht="15.35" hidden="1" x14ac:dyDescent="0.55000000000000004">
      <c r="A588" s="20">
        <v>6369</v>
      </c>
      <c r="B588" s="2" t="s">
        <v>135</v>
      </c>
      <c r="C588" s="2" t="s">
        <v>136</v>
      </c>
      <c r="D588" s="20">
        <v>2026</v>
      </c>
      <c r="E588" s="2" t="s">
        <v>4777</v>
      </c>
      <c r="F588" s="2" t="s">
        <v>2605</v>
      </c>
      <c r="G588" s="21">
        <v>272000000</v>
      </c>
      <c r="H588" s="23">
        <v>0.34</v>
      </c>
      <c r="I588" s="23">
        <v>0</v>
      </c>
      <c r="J588" s="2" t="s">
        <v>4779</v>
      </c>
      <c r="K588" s="2" t="s">
        <v>807</v>
      </c>
    </row>
    <row r="589" spans="1:11" ht="15.35" hidden="1" x14ac:dyDescent="0.55000000000000004">
      <c r="A589" s="20">
        <v>6370</v>
      </c>
      <c r="B589" s="2" t="s">
        <v>135</v>
      </c>
      <c r="C589" s="2" t="s">
        <v>136</v>
      </c>
      <c r="D589" s="20">
        <v>2026</v>
      </c>
      <c r="E589" s="2" t="s">
        <v>4777</v>
      </c>
      <c r="F589" s="2" t="s">
        <v>904</v>
      </c>
      <c r="G589" s="21">
        <v>80674136</v>
      </c>
      <c r="H589" s="23">
        <v>0.1008</v>
      </c>
      <c r="I589" s="23">
        <v>-1.1000000000000001E-3</v>
      </c>
      <c r="J589" s="2" t="s">
        <v>4783</v>
      </c>
      <c r="K589" s="2" t="s">
        <v>787</v>
      </c>
    </row>
    <row r="590" spans="1:11" ht="15.35" hidden="1" x14ac:dyDescent="0.55000000000000004">
      <c r="A590" s="20">
        <v>6372</v>
      </c>
      <c r="B590" s="2" t="s">
        <v>135</v>
      </c>
      <c r="C590" s="2" t="s">
        <v>136</v>
      </c>
      <c r="D590" s="20">
        <v>2026</v>
      </c>
      <c r="E590" s="2" t="s">
        <v>4777</v>
      </c>
      <c r="F590" s="2" t="s">
        <v>788</v>
      </c>
      <c r="G590" s="21">
        <v>58450673</v>
      </c>
      <c r="H590" s="23">
        <v>7.3099999999999998E-2</v>
      </c>
      <c r="I590" s="23">
        <v>2.3999999999999998E-3</v>
      </c>
      <c r="J590" s="2" t="s">
        <v>4783</v>
      </c>
      <c r="K590" s="2" t="s">
        <v>787</v>
      </c>
    </row>
    <row r="591" spans="1:11" ht="15.35" hidden="1" x14ac:dyDescent="0.55000000000000004">
      <c r="A591" s="20">
        <v>6362</v>
      </c>
      <c r="B591" s="2" t="s">
        <v>135</v>
      </c>
      <c r="C591" s="2" t="s">
        <v>136</v>
      </c>
      <c r="D591" s="20">
        <v>2026</v>
      </c>
      <c r="E591" s="2" t="s">
        <v>4777</v>
      </c>
      <c r="F591" s="2" t="s">
        <v>922</v>
      </c>
      <c r="G591" s="21">
        <v>43520110</v>
      </c>
      <c r="H591" s="23">
        <v>5.4399999999999997E-2</v>
      </c>
      <c r="I591" s="23">
        <v>-1E-4</v>
      </c>
      <c r="J591" s="2" t="s">
        <v>4783</v>
      </c>
      <c r="K591" s="2" t="s">
        <v>787</v>
      </c>
    </row>
    <row r="592" spans="1:11" ht="15.35" hidden="1" x14ac:dyDescent="0.55000000000000004">
      <c r="A592" s="20">
        <v>6352</v>
      </c>
      <c r="B592" s="2" t="s">
        <v>135</v>
      </c>
      <c r="C592" s="2" t="s">
        <v>136</v>
      </c>
      <c r="D592" s="20">
        <v>2026</v>
      </c>
      <c r="E592" s="2" t="s">
        <v>4777</v>
      </c>
      <c r="F592" s="2" t="s">
        <v>1007</v>
      </c>
      <c r="G592" s="21">
        <v>24728010</v>
      </c>
      <c r="H592" s="23">
        <v>3.09E-2</v>
      </c>
      <c r="I592" s="23">
        <v>7.4999999999999997E-3</v>
      </c>
      <c r="J592" s="2" t="s">
        <v>4783</v>
      </c>
      <c r="K592" s="2" t="s">
        <v>787</v>
      </c>
    </row>
    <row r="593" spans="1:11" ht="15.35" hidden="1" x14ac:dyDescent="0.55000000000000004">
      <c r="A593" s="20">
        <v>6376</v>
      </c>
      <c r="B593" s="2" t="s">
        <v>135</v>
      </c>
      <c r="C593" s="2" t="s">
        <v>136</v>
      </c>
      <c r="D593" s="20">
        <v>2026</v>
      </c>
      <c r="E593" s="2" t="s">
        <v>4777</v>
      </c>
      <c r="F593" s="2" t="s">
        <v>939</v>
      </c>
      <c r="G593" s="21">
        <v>19721532</v>
      </c>
      <c r="H593" s="23">
        <v>2.47E-2</v>
      </c>
      <c r="I593" s="23">
        <v>0</v>
      </c>
      <c r="J593" s="2" t="s">
        <v>4783</v>
      </c>
      <c r="K593" s="2" t="s">
        <v>787</v>
      </c>
    </row>
    <row r="594" spans="1:11" ht="15.35" hidden="1" x14ac:dyDescent="0.55000000000000004">
      <c r="A594" s="20">
        <v>6396</v>
      </c>
      <c r="B594" s="2" t="s">
        <v>135</v>
      </c>
      <c r="C594" s="2" t="s">
        <v>136</v>
      </c>
      <c r="D594" s="20">
        <v>2026</v>
      </c>
      <c r="E594" s="2" t="s">
        <v>4777</v>
      </c>
      <c r="F594" s="2" t="s">
        <v>972</v>
      </c>
      <c r="G594" s="21">
        <v>19526099</v>
      </c>
      <c r="H594" s="23">
        <v>2.4400000000000002E-2</v>
      </c>
      <c r="I594" s="23">
        <v>-1.1999999999999999E-3</v>
      </c>
      <c r="J594" s="2" t="s">
        <v>4783</v>
      </c>
      <c r="K594" s="2" t="s">
        <v>787</v>
      </c>
    </row>
    <row r="595" spans="1:11" ht="15.35" hidden="1" x14ac:dyDescent="0.55000000000000004">
      <c r="A595" s="20">
        <v>6420</v>
      </c>
      <c r="B595" s="2" t="s">
        <v>135</v>
      </c>
      <c r="C595" s="2" t="s">
        <v>136</v>
      </c>
      <c r="D595" s="20">
        <v>2026</v>
      </c>
      <c r="E595" s="2" t="s">
        <v>4777</v>
      </c>
      <c r="F595" s="2" t="s">
        <v>892</v>
      </c>
      <c r="G595" s="21">
        <v>16862658</v>
      </c>
      <c r="H595" s="23">
        <v>2.1100000000000001E-2</v>
      </c>
      <c r="I595" s="23">
        <v>-2.9999999999999997E-4</v>
      </c>
      <c r="J595" s="2" t="s">
        <v>4783</v>
      </c>
      <c r="K595" s="2" t="s">
        <v>787</v>
      </c>
    </row>
    <row r="596" spans="1:11" ht="15.35" hidden="1" x14ac:dyDescent="0.55000000000000004">
      <c r="A596" s="38">
        <v>6398</v>
      </c>
      <c r="B596" s="39" t="s">
        <v>135</v>
      </c>
      <c r="C596" s="39" t="s">
        <v>136</v>
      </c>
      <c r="D596" s="38">
        <v>2026</v>
      </c>
      <c r="E596" s="39" t="s">
        <v>4777</v>
      </c>
      <c r="F596" s="39" t="s">
        <v>1090</v>
      </c>
      <c r="G596" s="40">
        <v>14909583</v>
      </c>
      <c r="H596" s="41">
        <v>1.8599999999999998E-2</v>
      </c>
      <c r="I596" s="41">
        <v>1.8599999999999998E-2</v>
      </c>
      <c r="J596" s="39" t="s">
        <v>4783</v>
      </c>
      <c r="K596" s="39" t="s">
        <v>787</v>
      </c>
    </row>
    <row r="597" spans="1:11" ht="15.35" hidden="1" x14ac:dyDescent="0.55000000000000004">
      <c r="A597" s="20">
        <v>6423</v>
      </c>
      <c r="B597" s="2" t="s">
        <v>135</v>
      </c>
      <c r="C597" s="2" t="s">
        <v>136</v>
      </c>
      <c r="D597" s="20">
        <v>2026</v>
      </c>
      <c r="E597" s="2" t="s">
        <v>4777</v>
      </c>
      <c r="F597" s="2" t="s">
        <v>4869</v>
      </c>
      <c r="G597" s="21">
        <v>12000000</v>
      </c>
      <c r="H597" s="23">
        <v>1.4999999999999999E-2</v>
      </c>
      <c r="I597" s="23">
        <v>-8.6E-3</v>
      </c>
      <c r="J597" s="2" t="s">
        <v>4783</v>
      </c>
      <c r="K597" s="2" t="s">
        <v>783</v>
      </c>
    </row>
    <row r="598" spans="1:11" ht="15.35" hidden="1" x14ac:dyDescent="0.55000000000000004">
      <c r="A598" s="38">
        <v>6424</v>
      </c>
      <c r="B598" s="39" t="s">
        <v>135</v>
      </c>
      <c r="C598" s="39" t="s">
        <v>136</v>
      </c>
      <c r="D598" s="38">
        <v>2026</v>
      </c>
      <c r="E598" s="39" t="s">
        <v>4777</v>
      </c>
      <c r="F598" s="39" t="s">
        <v>1191</v>
      </c>
      <c r="G598" s="40">
        <v>9301942</v>
      </c>
      <c r="H598" s="41">
        <v>1.1599999999999999E-2</v>
      </c>
      <c r="I598" s="41">
        <v>1.1599999999999999E-2</v>
      </c>
      <c r="J598" s="39" t="s">
        <v>4783</v>
      </c>
      <c r="K598" s="39" t="s">
        <v>787</v>
      </c>
    </row>
    <row r="599" spans="1:11" ht="15.35" hidden="1" x14ac:dyDescent="0.55000000000000004">
      <c r="A599" s="42"/>
      <c r="B599" s="43" t="s">
        <v>135</v>
      </c>
      <c r="C599" s="43" t="s">
        <v>136</v>
      </c>
      <c r="D599" s="44">
        <v>2026</v>
      </c>
      <c r="E599" s="43" t="s">
        <v>4777</v>
      </c>
      <c r="F599" s="43" t="s">
        <v>2603</v>
      </c>
      <c r="G599" s="45"/>
      <c r="H599" s="46">
        <v>0</v>
      </c>
      <c r="I599" s="46">
        <v>-0.04</v>
      </c>
      <c r="J599" s="43" t="s">
        <v>4783</v>
      </c>
      <c r="K599" s="43" t="s">
        <v>813</v>
      </c>
    </row>
    <row r="600" spans="1:11" ht="15.35" hidden="1" x14ac:dyDescent="0.55000000000000004">
      <c r="A600" s="42"/>
      <c r="B600" s="43" t="s">
        <v>135</v>
      </c>
      <c r="C600" s="43" t="s">
        <v>136</v>
      </c>
      <c r="D600" s="44">
        <v>2026</v>
      </c>
      <c r="E600" s="43" t="s">
        <v>4777</v>
      </c>
      <c r="F600" s="43" t="s">
        <v>4826</v>
      </c>
      <c r="G600" s="45"/>
      <c r="H600" s="46">
        <v>0</v>
      </c>
      <c r="I600" s="46">
        <v>-2.3599999999999999E-2</v>
      </c>
      <c r="J600" s="43" t="s">
        <v>4783</v>
      </c>
      <c r="K600" s="43" t="s">
        <v>798</v>
      </c>
    </row>
    <row r="601" spans="1:11" ht="15.35" hidden="1" x14ac:dyDescent="0.55000000000000004">
      <c r="A601" s="20">
        <v>902</v>
      </c>
      <c r="B601" s="2" t="s">
        <v>140</v>
      </c>
      <c r="C601" s="2" t="s">
        <v>141</v>
      </c>
      <c r="D601" s="20">
        <v>2024</v>
      </c>
      <c r="E601" s="2" t="s">
        <v>4777</v>
      </c>
      <c r="F601" s="2" t="s">
        <v>2630</v>
      </c>
      <c r="G601" s="21">
        <v>204000000</v>
      </c>
      <c r="H601" s="23">
        <v>0.51</v>
      </c>
      <c r="I601" s="37" t="s">
        <v>4778</v>
      </c>
      <c r="J601" s="2" t="s">
        <v>4779</v>
      </c>
      <c r="K601" s="2" t="s">
        <v>807</v>
      </c>
    </row>
    <row r="602" spans="1:11" ht="15.35" hidden="1" x14ac:dyDescent="0.55000000000000004">
      <c r="A602" s="20">
        <v>903</v>
      </c>
      <c r="B602" s="2" t="s">
        <v>140</v>
      </c>
      <c r="C602" s="2" t="s">
        <v>141</v>
      </c>
      <c r="D602" s="20">
        <v>2024</v>
      </c>
      <c r="E602" s="2" t="s">
        <v>4777</v>
      </c>
      <c r="F602" s="2" t="s">
        <v>4870</v>
      </c>
      <c r="G602" s="21">
        <v>48107484</v>
      </c>
      <c r="H602" s="23">
        <v>0.1203</v>
      </c>
      <c r="I602" s="37" t="s">
        <v>4778</v>
      </c>
      <c r="J602" s="2" t="s">
        <v>4779</v>
      </c>
      <c r="K602" s="2" t="s">
        <v>817</v>
      </c>
    </row>
    <row r="603" spans="1:11" ht="15.35" hidden="1" x14ac:dyDescent="0.55000000000000004">
      <c r="A603" s="20">
        <v>1195</v>
      </c>
      <c r="B603" s="2" t="s">
        <v>140</v>
      </c>
      <c r="C603" s="2" t="s">
        <v>141</v>
      </c>
      <c r="D603" s="20">
        <v>2024</v>
      </c>
      <c r="E603" s="2" t="s">
        <v>4777</v>
      </c>
      <c r="F603" s="2" t="s">
        <v>904</v>
      </c>
      <c r="G603" s="21">
        <v>18669550</v>
      </c>
      <c r="H603" s="23">
        <v>4.6699999999999998E-2</v>
      </c>
      <c r="I603" s="37" t="s">
        <v>4778</v>
      </c>
      <c r="J603" s="2" t="s">
        <v>4783</v>
      </c>
      <c r="K603" s="2" t="s">
        <v>787</v>
      </c>
    </row>
    <row r="604" spans="1:11" ht="15.35" hidden="1" x14ac:dyDescent="0.55000000000000004">
      <c r="A604" s="20">
        <v>932</v>
      </c>
      <c r="B604" s="2" t="s">
        <v>140</v>
      </c>
      <c r="C604" s="2" t="s">
        <v>141</v>
      </c>
      <c r="D604" s="20">
        <v>2024</v>
      </c>
      <c r="E604" s="2" t="s">
        <v>4777</v>
      </c>
      <c r="F604" s="2" t="s">
        <v>972</v>
      </c>
      <c r="G604" s="21">
        <v>9550051</v>
      </c>
      <c r="H604" s="23">
        <v>2.3900000000000001E-2</v>
      </c>
      <c r="I604" s="37" t="s">
        <v>4778</v>
      </c>
      <c r="J604" s="2" t="s">
        <v>4783</v>
      </c>
      <c r="K604" s="2" t="s">
        <v>787</v>
      </c>
    </row>
    <row r="605" spans="1:11" ht="15.35" hidden="1" x14ac:dyDescent="0.55000000000000004">
      <c r="A605" s="20">
        <v>944</v>
      </c>
      <c r="B605" s="2" t="s">
        <v>140</v>
      </c>
      <c r="C605" s="2" t="s">
        <v>141</v>
      </c>
      <c r="D605" s="20">
        <v>2024</v>
      </c>
      <c r="E605" s="2" t="s">
        <v>4777</v>
      </c>
      <c r="F605" s="2" t="s">
        <v>4871</v>
      </c>
      <c r="G605" s="21">
        <v>9037975</v>
      </c>
      <c r="H605" s="23">
        <v>2.2599999999999999E-2</v>
      </c>
      <c r="I605" s="37" t="s">
        <v>4778</v>
      </c>
      <c r="J605" s="2" t="s">
        <v>4783</v>
      </c>
      <c r="K605" s="2" t="s">
        <v>789</v>
      </c>
    </row>
    <row r="606" spans="1:11" ht="15.35" hidden="1" x14ac:dyDescent="0.55000000000000004">
      <c r="A606" s="20">
        <v>904</v>
      </c>
      <c r="B606" s="2" t="s">
        <v>140</v>
      </c>
      <c r="C606" s="2" t="s">
        <v>141</v>
      </c>
      <c r="D606" s="20">
        <v>2024</v>
      </c>
      <c r="E606" s="2" t="s">
        <v>4777</v>
      </c>
      <c r="F606" s="2" t="s">
        <v>4872</v>
      </c>
      <c r="G606" s="21">
        <v>7970000</v>
      </c>
      <c r="H606" s="23">
        <v>1.9900000000000001E-2</v>
      </c>
      <c r="I606" s="37" t="s">
        <v>4778</v>
      </c>
      <c r="J606" s="2" t="s">
        <v>4779</v>
      </c>
      <c r="K606" s="2" t="s">
        <v>798</v>
      </c>
    </row>
    <row r="607" spans="1:11" ht="15.35" hidden="1" x14ac:dyDescent="0.55000000000000004">
      <c r="A607" s="20">
        <v>923</v>
      </c>
      <c r="B607" s="2" t="s">
        <v>140</v>
      </c>
      <c r="C607" s="2" t="s">
        <v>141</v>
      </c>
      <c r="D607" s="20">
        <v>2024</v>
      </c>
      <c r="E607" s="2" t="s">
        <v>4777</v>
      </c>
      <c r="F607" s="2" t="s">
        <v>1095</v>
      </c>
      <c r="G607" s="21">
        <v>5996851</v>
      </c>
      <c r="H607" s="23">
        <v>1.4999999999999999E-2</v>
      </c>
      <c r="I607" s="37" t="s">
        <v>4778</v>
      </c>
      <c r="J607" s="2" t="s">
        <v>4783</v>
      </c>
      <c r="K607" s="2" t="s">
        <v>787</v>
      </c>
    </row>
    <row r="608" spans="1:11" ht="15.35" hidden="1" x14ac:dyDescent="0.55000000000000004">
      <c r="A608" s="20">
        <v>945</v>
      </c>
      <c r="B608" s="2" t="s">
        <v>140</v>
      </c>
      <c r="C608" s="2" t="s">
        <v>141</v>
      </c>
      <c r="D608" s="20">
        <v>2024</v>
      </c>
      <c r="E608" s="2" t="s">
        <v>4777</v>
      </c>
      <c r="F608" s="2" t="s">
        <v>4873</v>
      </c>
      <c r="G608" s="21">
        <v>5945685</v>
      </c>
      <c r="H608" s="23">
        <v>1.49E-2</v>
      </c>
      <c r="I608" s="37" t="s">
        <v>4778</v>
      </c>
      <c r="J608" s="2" t="s">
        <v>4783</v>
      </c>
      <c r="K608" s="2" t="s">
        <v>783</v>
      </c>
    </row>
    <row r="609" spans="1:11" ht="15.35" hidden="1" x14ac:dyDescent="0.55000000000000004">
      <c r="A609" s="20">
        <v>922</v>
      </c>
      <c r="B609" s="2" t="s">
        <v>140</v>
      </c>
      <c r="C609" s="2" t="s">
        <v>141</v>
      </c>
      <c r="D609" s="20">
        <v>2024</v>
      </c>
      <c r="E609" s="2" t="s">
        <v>4777</v>
      </c>
      <c r="F609" s="2" t="s">
        <v>922</v>
      </c>
      <c r="G609" s="21">
        <v>5547956</v>
      </c>
      <c r="H609" s="23">
        <v>1.3899999999999999E-2</v>
      </c>
      <c r="I609" s="37" t="s">
        <v>4778</v>
      </c>
      <c r="J609" s="2" t="s">
        <v>4783</v>
      </c>
      <c r="K609" s="2" t="s">
        <v>787</v>
      </c>
    </row>
    <row r="610" spans="1:11" ht="15.35" hidden="1" x14ac:dyDescent="0.55000000000000004">
      <c r="A610" s="20">
        <v>906</v>
      </c>
      <c r="B610" s="2" t="s">
        <v>140</v>
      </c>
      <c r="C610" s="2" t="s">
        <v>141</v>
      </c>
      <c r="D610" s="20">
        <v>2024</v>
      </c>
      <c r="E610" s="2" t="s">
        <v>4777</v>
      </c>
      <c r="F610" s="2" t="s">
        <v>4874</v>
      </c>
      <c r="G610" s="21">
        <v>3987240</v>
      </c>
      <c r="H610" s="23">
        <v>0.01</v>
      </c>
      <c r="I610" s="37" t="s">
        <v>4778</v>
      </c>
      <c r="J610" s="2" t="s">
        <v>4779</v>
      </c>
      <c r="K610" s="2" t="s">
        <v>789</v>
      </c>
    </row>
    <row r="611" spans="1:11" ht="15.35" hidden="1" x14ac:dyDescent="0.55000000000000004">
      <c r="A611" s="20">
        <v>905</v>
      </c>
      <c r="B611" s="2" t="s">
        <v>140</v>
      </c>
      <c r="C611" s="2" t="s">
        <v>141</v>
      </c>
      <c r="D611" s="20">
        <v>2024</v>
      </c>
      <c r="E611" s="2" t="s">
        <v>4777</v>
      </c>
      <c r="F611" s="2" t="s">
        <v>1086</v>
      </c>
      <c r="G611" s="21">
        <v>3987240</v>
      </c>
      <c r="H611" s="23">
        <v>0.01</v>
      </c>
      <c r="I611" s="37" t="s">
        <v>4778</v>
      </c>
      <c r="J611" s="2" t="s">
        <v>4779</v>
      </c>
      <c r="K611" s="2" t="s">
        <v>798</v>
      </c>
    </row>
    <row r="612" spans="1:11" ht="15.35" hidden="1" x14ac:dyDescent="0.55000000000000004">
      <c r="A612" s="20">
        <v>908</v>
      </c>
      <c r="B612" s="2" t="s">
        <v>140</v>
      </c>
      <c r="C612" s="2" t="s">
        <v>141</v>
      </c>
      <c r="D612" s="20">
        <v>2024</v>
      </c>
      <c r="E612" s="2" t="s">
        <v>4777</v>
      </c>
      <c r="F612" s="2" t="s">
        <v>4875</v>
      </c>
      <c r="G612" s="21">
        <v>3980000</v>
      </c>
      <c r="H612" s="23">
        <v>0.01</v>
      </c>
      <c r="I612" s="37" t="s">
        <v>4778</v>
      </c>
      <c r="J612" s="2" t="s">
        <v>4779</v>
      </c>
      <c r="K612" s="2" t="s">
        <v>817</v>
      </c>
    </row>
    <row r="613" spans="1:11" ht="15.35" hidden="1" x14ac:dyDescent="0.55000000000000004">
      <c r="A613" s="20">
        <v>907</v>
      </c>
      <c r="B613" s="2" t="s">
        <v>140</v>
      </c>
      <c r="C613" s="2" t="s">
        <v>141</v>
      </c>
      <c r="D613" s="20">
        <v>2024</v>
      </c>
      <c r="E613" s="2" t="s">
        <v>4777</v>
      </c>
      <c r="F613" s="2" t="s">
        <v>4876</v>
      </c>
      <c r="G613" s="21">
        <v>3980000</v>
      </c>
      <c r="H613" s="23">
        <v>0.01</v>
      </c>
      <c r="I613" s="37" t="s">
        <v>4778</v>
      </c>
      <c r="J613" s="2" t="s">
        <v>4779</v>
      </c>
      <c r="K613" s="2" t="s">
        <v>813</v>
      </c>
    </row>
    <row r="614" spans="1:11" ht="15.35" hidden="1" x14ac:dyDescent="0.55000000000000004">
      <c r="A614" s="20">
        <v>920</v>
      </c>
      <c r="B614" s="2" t="s">
        <v>140</v>
      </c>
      <c r="C614" s="2" t="s">
        <v>141</v>
      </c>
      <c r="D614" s="20">
        <v>2024</v>
      </c>
      <c r="E614" s="2" t="s">
        <v>4777</v>
      </c>
      <c r="F614" s="2" t="s">
        <v>4877</v>
      </c>
      <c r="G614" s="21">
        <v>3907520</v>
      </c>
      <c r="H614" s="23">
        <v>9.7999999999999997E-3</v>
      </c>
      <c r="I614" s="37" t="s">
        <v>4778</v>
      </c>
      <c r="J614" s="2" t="s">
        <v>4783</v>
      </c>
      <c r="K614" s="2" t="s">
        <v>783</v>
      </c>
    </row>
    <row r="615" spans="1:11" ht="15.35" hidden="1" x14ac:dyDescent="0.55000000000000004">
      <c r="A615" s="20">
        <v>899</v>
      </c>
      <c r="B615" s="2" t="s">
        <v>140</v>
      </c>
      <c r="C615" s="2" t="s">
        <v>141</v>
      </c>
      <c r="D615" s="20">
        <v>2024</v>
      </c>
      <c r="E615" s="2" t="s">
        <v>4777</v>
      </c>
      <c r="F615" s="2" t="s">
        <v>4800</v>
      </c>
      <c r="G615" s="21">
        <v>3485283</v>
      </c>
      <c r="H615" s="23">
        <v>8.6999999999999994E-3</v>
      </c>
      <c r="I615" s="37" t="s">
        <v>4778</v>
      </c>
      <c r="J615" s="2" t="s">
        <v>4783</v>
      </c>
      <c r="K615" s="2" t="s">
        <v>793</v>
      </c>
    </row>
    <row r="616" spans="1:11" ht="15.35" hidden="1" x14ac:dyDescent="0.55000000000000004">
      <c r="A616" s="20">
        <v>900</v>
      </c>
      <c r="B616" s="2" t="s">
        <v>140</v>
      </c>
      <c r="C616" s="2" t="s">
        <v>141</v>
      </c>
      <c r="D616" s="20">
        <v>2024</v>
      </c>
      <c r="E616" s="2" t="s">
        <v>4777</v>
      </c>
      <c r="F616" s="2" t="s">
        <v>892</v>
      </c>
      <c r="G616" s="21">
        <v>3228889</v>
      </c>
      <c r="H616" s="23">
        <v>8.0999999999999996E-3</v>
      </c>
      <c r="I616" s="37" t="s">
        <v>4778</v>
      </c>
      <c r="J616" s="2" t="s">
        <v>4783</v>
      </c>
      <c r="K616" s="2" t="s">
        <v>787</v>
      </c>
    </row>
    <row r="617" spans="1:11" ht="15.35" hidden="1" x14ac:dyDescent="0.55000000000000004">
      <c r="A617" s="20">
        <v>901</v>
      </c>
      <c r="B617" s="2" t="s">
        <v>140</v>
      </c>
      <c r="C617" s="2" t="s">
        <v>141</v>
      </c>
      <c r="D617" s="20">
        <v>2024</v>
      </c>
      <c r="E617" s="2" t="s">
        <v>4777</v>
      </c>
      <c r="F617" s="2" t="s">
        <v>1086</v>
      </c>
      <c r="G617" s="21">
        <v>3177078</v>
      </c>
      <c r="H617" s="23">
        <v>7.9000000000000008E-3</v>
      </c>
      <c r="I617" s="37" t="s">
        <v>4778</v>
      </c>
      <c r="J617" s="2" t="s">
        <v>4783</v>
      </c>
      <c r="K617" s="2" t="s">
        <v>798</v>
      </c>
    </row>
    <row r="618" spans="1:11" ht="15.35" hidden="1" x14ac:dyDescent="0.55000000000000004">
      <c r="A618" s="20">
        <v>943</v>
      </c>
      <c r="B618" s="2" t="s">
        <v>140</v>
      </c>
      <c r="C618" s="2" t="s">
        <v>141</v>
      </c>
      <c r="D618" s="20">
        <v>2024</v>
      </c>
      <c r="E618" s="2" t="s">
        <v>4777</v>
      </c>
      <c r="F618" s="2" t="s">
        <v>4878</v>
      </c>
      <c r="G618" s="21">
        <v>1994018</v>
      </c>
      <c r="H618" s="23">
        <v>5.0000000000000001E-3</v>
      </c>
      <c r="I618" s="37" t="s">
        <v>4778</v>
      </c>
      <c r="J618" s="2" t="s">
        <v>4779</v>
      </c>
      <c r="K618" s="2" t="s">
        <v>833</v>
      </c>
    </row>
    <row r="619" spans="1:11" ht="15.35" hidden="1" x14ac:dyDescent="0.55000000000000004">
      <c r="A619" s="20">
        <v>942</v>
      </c>
      <c r="B619" s="2" t="s">
        <v>140</v>
      </c>
      <c r="C619" s="2" t="s">
        <v>141</v>
      </c>
      <c r="D619" s="20">
        <v>2024</v>
      </c>
      <c r="E619" s="2" t="s">
        <v>4777</v>
      </c>
      <c r="F619" s="2" t="s">
        <v>4879</v>
      </c>
      <c r="G619" s="21">
        <v>1994018</v>
      </c>
      <c r="H619" s="23">
        <v>5.0000000000000001E-3</v>
      </c>
      <c r="I619" s="37" t="s">
        <v>4778</v>
      </c>
      <c r="J619" s="2" t="s">
        <v>4779</v>
      </c>
      <c r="K619" s="2" t="s">
        <v>833</v>
      </c>
    </row>
    <row r="620" spans="1:11" ht="15.35" hidden="1" x14ac:dyDescent="0.55000000000000004">
      <c r="A620" s="20">
        <v>931</v>
      </c>
      <c r="B620" s="2" t="s">
        <v>140</v>
      </c>
      <c r="C620" s="2" t="s">
        <v>141</v>
      </c>
      <c r="D620" s="20">
        <v>2024</v>
      </c>
      <c r="E620" s="2" t="s">
        <v>4792</v>
      </c>
      <c r="F620" s="2" t="s">
        <v>2630</v>
      </c>
      <c r="G620" s="21">
        <v>204000000</v>
      </c>
      <c r="H620" s="23">
        <v>0.51</v>
      </c>
      <c r="I620" s="23">
        <v>0</v>
      </c>
      <c r="J620" s="2" t="s">
        <v>4779</v>
      </c>
      <c r="K620" s="2" t="s">
        <v>807</v>
      </c>
    </row>
    <row r="621" spans="1:11" ht="15.35" hidden="1" x14ac:dyDescent="0.55000000000000004">
      <c r="A621" s="20">
        <v>933</v>
      </c>
      <c r="B621" s="2" t="s">
        <v>140</v>
      </c>
      <c r="C621" s="2" t="s">
        <v>141</v>
      </c>
      <c r="D621" s="20">
        <v>2024</v>
      </c>
      <c r="E621" s="2" t="s">
        <v>4792</v>
      </c>
      <c r="F621" s="2" t="s">
        <v>4870</v>
      </c>
      <c r="G621" s="21">
        <v>48107484</v>
      </c>
      <c r="H621" s="23">
        <v>0.1203</v>
      </c>
      <c r="I621" s="23">
        <v>0</v>
      </c>
      <c r="J621" s="2" t="s">
        <v>4779</v>
      </c>
      <c r="K621" s="2" t="s">
        <v>817</v>
      </c>
    </row>
    <row r="622" spans="1:11" ht="15.35" hidden="1" x14ac:dyDescent="0.55000000000000004">
      <c r="A622" s="38">
        <v>941</v>
      </c>
      <c r="B622" s="39" t="s">
        <v>140</v>
      </c>
      <c r="C622" s="39" t="s">
        <v>141</v>
      </c>
      <c r="D622" s="38">
        <v>2024</v>
      </c>
      <c r="E622" s="39" t="s">
        <v>4792</v>
      </c>
      <c r="F622" s="39" t="s">
        <v>864</v>
      </c>
      <c r="G622" s="40">
        <v>13644393</v>
      </c>
      <c r="H622" s="41">
        <v>3.4099999999999998E-2</v>
      </c>
      <c r="I622" s="41">
        <v>3.4099999999999998E-2</v>
      </c>
      <c r="J622" s="39" t="s">
        <v>4783</v>
      </c>
      <c r="K622" s="39" t="s">
        <v>787</v>
      </c>
    </row>
    <row r="623" spans="1:11" ht="15.35" hidden="1" x14ac:dyDescent="0.55000000000000004">
      <c r="A623" s="20">
        <v>940</v>
      </c>
      <c r="B623" s="2" t="s">
        <v>140</v>
      </c>
      <c r="C623" s="2" t="s">
        <v>141</v>
      </c>
      <c r="D623" s="20">
        <v>2024</v>
      </c>
      <c r="E623" s="2" t="s">
        <v>4792</v>
      </c>
      <c r="F623" s="2" t="s">
        <v>904</v>
      </c>
      <c r="G623" s="21">
        <v>13134700</v>
      </c>
      <c r="H623" s="23">
        <v>3.2800000000000003E-2</v>
      </c>
      <c r="I623" s="23">
        <v>-1.3899999999999999E-2</v>
      </c>
      <c r="J623" s="2" t="s">
        <v>4783</v>
      </c>
      <c r="K623" s="2" t="s">
        <v>787</v>
      </c>
    </row>
    <row r="624" spans="1:11" ht="15.35" hidden="1" x14ac:dyDescent="0.55000000000000004">
      <c r="A624" s="38">
        <v>924</v>
      </c>
      <c r="B624" s="39" t="s">
        <v>140</v>
      </c>
      <c r="C624" s="39" t="s">
        <v>141</v>
      </c>
      <c r="D624" s="38">
        <v>2024</v>
      </c>
      <c r="E624" s="39" t="s">
        <v>4792</v>
      </c>
      <c r="F624" s="39" t="s">
        <v>1090</v>
      </c>
      <c r="G624" s="40">
        <v>12908245</v>
      </c>
      <c r="H624" s="41">
        <v>3.2300000000000002E-2</v>
      </c>
      <c r="I624" s="41">
        <v>3.2300000000000002E-2</v>
      </c>
      <c r="J624" s="39" t="s">
        <v>4783</v>
      </c>
      <c r="K624" s="39" t="s">
        <v>787</v>
      </c>
    </row>
    <row r="625" spans="1:11" ht="15.35" hidden="1" x14ac:dyDescent="0.55000000000000004">
      <c r="A625" s="20">
        <v>925</v>
      </c>
      <c r="B625" s="2" t="s">
        <v>140</v>
      </c>
      <c r="C625" s="2" t="s">
        <v>141</v>
      </c>
      <c r="D625" s="20">
        <v>2024</v>
      </c>
      <c r="E625" s="2" t="s">
        <v>4792</v>
      </c>
      <c r="F625" s="2" t="s">
        <v>972</v>
      </c>
      <c r="G625" s="21">
        <v>8280431</v>
      </c>
      <c r="H625" s="23">
        <v>2.07E-2</v>
      </c>
      <c r="I625" s="23">
        <v>-3.2000000000000002E-3</v>
      </c>
      <c r="J625" s="2" t="s">
        <v>4783</v>
      </c>
      <c r="K625" s="2" t="s">
        <v>787</v>
      </c>
    </row>
    <row r="626" spans="1:11" ht="15.35" hidden="1" x14ac:dyDescent="0.55000000000000004">
      <c r="A626" s="20">
        <v>934</v>
      </c>
      <c r="B626" s="2" t="s">
        <v>140</v>
      </c>
      <c r="C626" s="2" t="s">
        <v>141</v>
      </c>
      <c r="D626" s="20">
        <v>2024</v>
      </c>
      <c r="E626" s="2" t="s">
        <v>4792</v>
      </c>
      <c r="F626" s="2" t="s">
        <v>4872</v>
      </c>
      <c r="G626" s="21">
        <v>7970000</v>
      </c>
      <c r="H626" s="23">
        <v>1.9900000000000001E-2</v>
      </c>
      <c r="I626" s="23">
        <v>0</v>
      </c>
      <c r="J626" s="2" t="s">
        <v>4779</v>
      </c>
      <c r="K626" s="2" t="s">
        <v>798</v>
      </c>
    </row>
    <row r="627" spans="1:11" ht="15.35" hidden="1" x14ac:dyDescent="0.55000000000000004">
      <c r="A627" s="20">
        <v>926</v>
      </c>
      <c r="B627" s="2" t="s">
        <v>140</v>
      </c>
      <c r="C627" s="2" t="s">
        <v>141</v>
      </c>
      <c r="D627" s="20">
        <v>2024</v>
      </c>
      <c r="E627" s="2" t="s">
        <v>4792</v>
      </c>
      <c r="F627" s="2" t="s">
        <v>4800</v>
      </c>
      <c r="G627" s="21">
        <v>7762128</v>
      </c>
      <c r="H627" s="23">
        <v>1.9400000000000001E-2</v>
      </c>
      <c r="I627" s="23">
        <v>1.0699999999999999E-2</v>
      </c>
      <c r="J627" s="2" t="s">
        <v>4783</v>
      </c>
      <c r="K627" s="2" t="s">
        <v>793</v>
      </c>
    </row>
    <row r="628" spans="1:11" ht="15.35" hidden="1" x14ac:dyDescent="0.55000000000000004">
      <c r="A628" s="20">
        <v>927</v>
      </c>
      <c r="B628" s="2" t="s">
        <v>140</v>
      </c>
      <c r="C628" s="2" t="s">
        <v>141</v>
      </c>
      <c r="D628" s="20">
        <v>2024</v>
      </c>
      <c r="E628" s="2" t="s">
        <v>4792</v>
      </c>
      <c r="F628" s="2" t="s">
        <v>922</v>
      </c>
      <c r="G628" s="21">
        <v>7391451</v>
      </c>
      <c r="H628" s="23">
        <v>1.8499999999999999E-2</v>
      </c>
      <c r="I628" s="23">
        <v>4.5999999999999999E-3</v>
      </c>
      <c r="J628" s="2" t="s">
        <v>4783</v>
      </c>
      <c r="K628" s="2" t="s">
        <v>787</v>
      </c>
    </row>
    <row r="629" spans="1:11" ht="15.35" hidden="1" x14ac:dyDescent="0.55000000000000004">
      <c r="A629" s="20">
        <v>928</v>
      </c>
      <c r="B629" s="2" t="s">
        <v>140</v>
      </c>
      <c r="C629" s="2" t="s">
        <v>141</v>
      </c>
      <c r="D629" s="20">
        <v>2024</v>
      </c>
      <c r="E629" s="2" t="s">
        <v>4792</v>
      </c>
      <c r="F629" s="2" t="s">
        <v>4873</v>
      </c>
      <c r="G629" s="21">
        <v>4377185</v>
      </c>
      <c r="H629" s="23">
        <v>1.09E-2</v>
      </c>
      <c r="I629" s="23">
        <v>-4.0000000000000001E-3</v>
      </c>
      <c r="J629" s="2" t="s">
        <v>4783</v>
      </c>
      <c r="K629" s="2" t="s">
        <v>783</v>
      </c>
    </row>
    <row r="630" spans="1:11" ht="15.35" hidden="1" x14ac:dyDescent="0.55000000000000004">
      <c r="A630" s="20">
        <v>935</v>
      </c>
      <c r="B630" s="2" t="s">
        <v>140</v>
      </c>
      <c r="C630" s="2" t="s">
        <v>141</v>
      </c>
      <c r="D630" s="20">
        <v>2024</v>
      </c>
      <c r="E630" s="2" t="s">
        <v>4792</v>
      </c>
      <c r="F630" s="2" t="s">
        <v>4874</v>
      </c>
      <c r="G630" s="21">
        <v>3987240</v>
      </c>
      <c r="H630" s="23">
        <v>0.01</v>
      </c>
      <c r="I630" s="23">
        <v>0</v>
      </c>
      <c r="J630" s="2" t="s">
        <v>4779</v>
      </c>
      <c r="K630" s="2" t="s">
        <v>789</v>
      </c>
    </row>
    <row r="631" spans="1:11" ht="15.35" hidden="1" x14ac:dyDescent="0.55000000000000004">
      <c r="A631" s="20">
        <v>936</v>
      </c>
      <c r="B631" s="2" t="s">
        <v>140</v>
      </c>
      <c r="C631" s="2" t="s">
        <v>141</v>
      </c>
      <c r="D631" s="20">
        <v>2024</v>
      </c>
      <c r="E631" s="2" t="s">
        <v>4792</v>
      </c>
      <c r="F631" s="2" t="s">
        <v>1086</v>
      </c>
      <c r="G631" s="21">
        <v>3987240</v>
      </c>
      <c r="H631" s="23">
        <v>0.01</v>
      </c>
      <c r="I631" s="23">
        <v>0</v>
      </c>
      <c r="J631" s="2" t="s">
        <v>4779</v>
      </c>
      <c r="K631" s="2" t="s">
        <v>798</v>
      </c>
    </row>
    <row r="632" spans="1:11" ht="15.35" hidden="1" x14ac:dyDescent="0.55000000000000004">
      <c r="A632" s="20">
        <v>937</v>
      </c>
      <c r="B632" s="2" t="s">
        <v>140</v>
      </c>
      <c r="C632" s="2" t="s">
        <v>141</v>
      </c>
      <c r="D632" s="20">
        <v>2024</v>
      </c>
      <c r="E632" s="2" t="s">
        <v>4792</v>
      </c>
      <c r="F632" s="2" t="s">
        <v>4875</v>
      </c>
      <c r="G632" s="21">
        <v>3980000</v>
      </c>
      <c r="H632" s="23">
        <v>0.01</v>
      </c>
      <c r="I632" s="23">
        <v>0</v>
      </c>
      <c r="J632" s="2" t="s">
        <v>4779</v>
      </c>
      <c r="K632" s="2" t="s">
        <v>817</v>
      </c>
    </row>
    <row r="633" spans="1:11" ht="15.35" hidden="1" x14ac:dyDescent="0.55000000000000004">
      <c r="A633" s="20">
        <v>938</v>
      </c>
      <c r="B633" s="2" t="s">
        <v>140</v>
      </c>
      <c r="C633" s="2" t="s">
        <v>141</v>
      </c>
      <c r="D633" s="20">
        <v>2024</v>
      </c>
      <c r="E633" s="2" t="s">
        <v>4792</v>
      </c>
      <c r="F633" s="2" t="s">
        <v>4876</v>
      </c>
      <c r="G633" s="21">
        <v>3980000</v>
      </c>
      <c r="H633" s="23">
        <v>0.01</v>
      </c>
      <c r="I633" s="23">
        <v>0</v>
      </c>
      <c r="J633" s="2" t="s">
        <v>4779</v>
      </c>
      <c r="K633" s="2" t="s">
        <v>813</v>
      </c>
    </row>
    <row r="634" spans="1:11" ht="15.35" hidden="1" x14ac:dyDescent="0.55000000000000004">
      <c r="A634" s="38">
        <v>929</v>
      </c>
      <c r="B634" s="39" t="s">
        <v>140</v>
      </c>
      <c r="C634" s="39" t="s">
        <v>141</v>
      </c>
      <c r="D634" s="38">
        <v>2024</v>
      </c>
      <c r="E634" s="39" t="s">
        <v>4792</v>
      </c>
      <c r="F634" s="39" t="s">
        <v>4880</v>
      </c>
      <c r="G634" s="40">
        <v>3603481</v>
      </c>
      <c r="H634" s="41">
        <v>8.9999999999999993E-3</v>
      </c>
      <c r="I634" s="41">
        <v>8.9999999999999993E-3</v>
      </c>
      <c r="J634" s="39" t="s">
        <v>4783</v>
      </c>
      <c r="K634" s="39" t="s">
        <v>789</v>
      </c>
    </row>
    <row r="635" spans="1:11" ht="15.35" hidden="1" x14ac:dyDescent="0.55000000000000004">
      <c r="A635" s="20">
        <v>930</v>
      </c>
      <c r="B635" s="2" t="s">
        <v>140</v>
      </c>
      <c r="C635" s="2" t="s">
        <v>141</v>
      </c>
      <c r="D635" s="20">
        <v>2024</v>
      </c>
      <c r="E635" s="2" t="s">
        <v>4792</v>
      </c>
      <c r="F635" s="2" t="s">
        <v>1086</v>
      </c>
      <c r="G635" s="21">
        <v>3177078</v>
      </c>
      <c r="H635" s="23">
        <v>7.9000000000000008E-3</v>
      </c>
      <c r="I635" s="23">
        <v>0</v>
      </c>
      <c r="J635" s="2" t="s">
        <v>4783</v>
      </c>
      <c r="K635" s="2" t="s">
        <v>798</v>
      </c>
    </row>
    <row r="636" spans="1:11" ht="15.35" hidden="1" x14ac:dyDescent="0.55000000000000004">
      <c r="A636" s="38">
        <v>996</v>
      </c>
      <c r="B636" s="39" t="s">
        <v>140</v>
      </c>
      <c r="C636" s="39" t="s">
        <v>141</v>
      </c>
      <c r="D636" s="38">
        <v>2024</v>
      </c>
      <c r="E636" s="39" t="s">
        <v>4792</v>
      </c>
      <c r="F636" s="39" t="s">
        <v>4881</v>
      </c>
      <c r="G636" s="40">
        <v>2914400</v>
      </c>
      <c r="H636" s="41">
        <v>7.4000000000000003E-3</v>
      </c>
      <c r="I636" s="41">
        <v>7.4000000000000003E-3</v>
      </c>
      <c r="J636" s="39" t="s">
        <v>4783</v>
      </c>
      <c r="K636" s="39" t="s">
        <v>783</v>
      </c>
    </row>
    <row r="637" spans="1:11" ht="15.35" hidden="1" x14ac:dyDescent="0.55000000000000004">
      <c r="A637" s="20">
        <v>939</v>
      </c>
      <c r="B637" s="2" t="s">
        <v>140</v>
      </c>
      <c r="C637" s="2" t="s">
        <v>141</v>
      </c>
      <c r="D637" s="20">
        <v>2024</v>
      </c>
      <c r="E637" s="2" t="s">
        <v>4792</v>
      </c>
      <c r="F637" s="2" t="s">
        <v>4878</v>
      </c>
      <c r="G637" s="21">
        <v>1994018</v>
      </c>
      <c r="H637" s="23">
        <v>5.0000000000000001E-3</v>
      </c>
      <c r="I637" s="23">
        <v>0</v>
      </c>
      <c r="J637" s="2" t="s">
        <v>4779</v>
      </c>
      <c r="K637" s="2" t="s">
        <v>833</v>
      </c>
    </row>
    <row r="638" spans="1:11" ht="15.35" hidden="1" x14ac:dyDescent="0.55000000000000004">
      <c r="A638" s="20">
        <v>909</v>
      </c>
      <c r="B638" s="2" t="s">
        <v>140</v>
      </c>
      <c r="C638" s="2" t="s">
        <v>141</v>
      </c>
      <c r="D638" s="20">
        <v>2024</v>
      </c>
      <c r="E638" s="2" t="s">
        <v>4792</v>
      </c>
      <c r="F638" s="2" t="s">
        <v>4879</v>
      </c>
      <c r="G638" s="21">
        <v>1994018</v>
      </c>
      <c r="H638" s="23">
        <v>5.0000000000000001E-3</v>
      </c>
      <c r="I638" s="23">
        <v>0</v>
      </c>
      <c r="J638" s="2" t="s">
        <v>4779</v>
      </c>
      <c r="K638" s="2" t="s">
        <v>833</v>
      </c>
    </row>
    <row r="639" spans="1:11" ht="15.35" hidden="1" x14ac:dyDescent="0.55000000000000004">
      <c r="A639" s="42"/>
      <c r="B639" s="43" t="s">
        <v>140</v>
      </c>
      <c r="C639" s="43" t="s">
        <v>141</v>
      </c>
      <c r="D639" s="44">
        <v>2024</v>
      </c>
      <c r="E639" s="43" t="s">
        <v>4792</v>
      </c>
      <c r="F639" s="43" t="s">
        <v>892</v>
      </c>
      <c r="G639" s="45"/>
      <c r="H639" s="46">
        <v>0</v>
      </c>
      <c r="I639" s="46">
        <v>-8.0999999999999996E-3</v>
      </c>
      <c r="J639" s="43" t="s">
        <v>4783</v>
      </c>
      <c r="K639" s="43" t="s">
        <v>787</v>
      </c>
    </row>
    <row r="640" spans="1:11" ht="15.35" hidden="1" x14ac:dyDescent="0.55000000000000004">
      <c r="A640" s="42"/>
      <c r="B640" s="43" t="s">
        <v>140</v>
      </c>
      <c r="C640" s="43" t="s">
        <v>141</v>
      </c>
      <c r="D640" s="44">
        <v>2024</v>
      </c>
      <c r="E640" s="43" t="s">
        <v>4792</v>
      </c>
      <c r="F640" s="43" t="s">
        <v>4871</v>
      </c>
      <c r="G640" s="45"/>
      <c r="H640" s="46">
        <v>0</v>
      </c>
      <c r="I640" s="46">
        <v>-2.2599999999999999E-2</v>
      </c>
      <c r="J640" s="43" t="s">
        <v>4783</v>
      </c>
      <c r="K640" s="43" t="s">
        <v>789</v>
      </c>
    </row>
    <row r="641" spans="1:11" ht="15.35" hidden="1" x14ac:dyDescent="0.55000000000000004">
      <c r="A641" s="42"/>
      <c r="B641" s="43" t="s">
        <v>140</v>
      </c>
      <c r="C641" s="43" t="s">
        <v>141</v>
      </c>
      <c r="D641" s="44">
        <v>2024</v>
      </c>
      <c r="E641" s="43" t="s">
        <v>4792</v>
      </c>
      <c r="F641" s="43" t="s">
        <v>1095</v>
      </c>
      <c r="G641" s="45"/>
      <c r="H641" s="46">
        <v>0</v>
      </c>
      <c r="I641" s="46">
        <v>-1.4999999999999999E-2</v>
      </c>
      <c r="J641" s="43" t="s">
        <v>4783</v>
      </c>
      <c r="K641" s="43" t="s">
        <v>787</v>
      </c>
    </row>
    <row r="642" spans="1:11" ht="15.35" hidden="1" x14ac:dyDescent="0.55000000000000004">
      <c r="A642" s="42"/>
      <c r="B642" s="43" t="s">
        <v>140</v>
      </c>
      <c r="C642" s="43" t="s">
        <v>141</v>
      </c>
      <c r="D642" s="44">
        <v>2024</v>
      </c>
      <c r="E642" s="43" t="s">
        <v>4792</v>
      </c>
      <c r="F642" s="43" t="s">
        <v>4877</v>
      </c>
      <c r="G642" s="45"/>
      <c r="H642" s="46">
        <v>0</v>
      </c>
      <c r="I642" s="46">
        <v>-9.7999999999999997E-3</v>
      </c>
      <c r="J642" s="43" t="s">
        <v>4783</v>
      </c>
      <c r="K642" s="43" t="s">
        <v>783</v>
      </c>
    </row>
    <row r="643" spans="1:11" ht="15.35" hidden="1" x14ac:dyDescent="0.55000000000000004">
      <c r="A643" s="20">
        <v>3947</v>
      </c>
      <c r="B643" s="2" t="s">
        <v>140</v>
      </c>
      <c r="C643" s="2" t="s">
        <v>141</v>
      </c>
      <c r="D643" s="20">
        <v>2025</v>
      </c>
      <c r="E643" s="2" t="s">
        <v>4777</v>
      </c>
      <c r="F643" s="2" t="s">
        <v>2630</v>
      </c>
      <c r="G643" s="21">
        <v>204000000</v>
      </c>
      <c r="H643" s="23">
        <v>0.51</v>
      </c>
      <c r="I643" s="23">
        <v>0</v>
      </c>
      <c r="J643" s="2" t="s">
        <v>4779</v>
      </c>
      <c r="K643" s="2" t="s">
        <v>807</v>
      </c>
    </row>
    <row r="644" spans="1:11" ht="15.35" hidden="1" x14ac:dyDescent="0.55000000000000004">
      <c r="A644" s="38">
        <v>3927</v>
      </c>
      <c r="B644" s="39" t="s">
        <v>140</v>
      </c>
      <c r="C644" s="39" t="s">
        <v>141</v>
      </c>
      <c r="D644" s="38">
        <v>2025</v>
      </c>
      <c r="E644" s="39" t="s">
        <v>4777</v>
      </c>
      <c r="F644" s="39" t="s">
        <v>4870</v>
      </c>
      <c r="G644" s="40">
        <v>43215384</v>
      </c>
      <c r="H644" s="41">
        <v>0.108</v>
      </c>
      <c r="I644" s="41">
        <v>0.108</v>
      </c>
      <c r="J644" s="39" t="s">
        <v>4783</v>
      </c>
      <c r="K644" s="39" t="s">
        <v>817</v>
      </c>
    </row>
    <row r="645" spans="1:11" ht="15.35" hidden="1" x14ac:dyDescent="0.55000000000000004">
      <c r="A645" s="20">
        <v>3928</v>
      </c>
      <c r="B645" s="2" t="s">
        <v>140</v>
      </c>
      <c r="C645" s="2" t="s">
        <v>141</v>
      </c>
      <c r="D645" s="20">
        <v>2025</v>
      </c>
      <c r="E645" s="2" t="s">
        <v>4777</v>
      </c>
      <c r="F645" s="2" t="s">
        <v>864</v>
      </c>
      <c r="G645" s="21">
        <v>15059465</v>
      </c>
      <c r="H645" s="23">
        <v>3.7600000000000001E-2</v>
      </c>
      <c r="I645" s="23">
        <v>3.5000000000000001E-3</v>
      </c>
      <c r="J645" s="2" t="s">
        <v>4783</v>
      </c>
      <c r="K645" s="2" t="s">
        <v>787</v>
      </c>
    </row>
    <row r="646" spans="1:11" ht="15.35" hidden="1" x14ac:dyDescent="0.55000000000000004">
      <c r="A646" s="20">
        <v>3955</v>
      </c>
      <c r="B646" s="2" t="s">
        <v>140</v>
      </c>
      <c r="C646" s="2" t="s">
        <v>141</v>
      </c>
      <c r="D646" s="20">
        <v>2025</v>
      </c>
      <c r="E646" s="2" t="s">
        <v>4777</v>
      </c>
      <c r="F646" s="2" t="s">
        <v>922</v>
      </c>
      <c r="G646" s="21">
        <v>13722113</v>
      </c>
      <c r="H646" s="23">
        <v>3.4299999999999997E-2</v>
      </c>
      <c r="I646" s="23">
        <v>1.5800000000000002E-2</v>
      </c>
      <c r="J646" s="2" t="s">
        <v>4783</v>
      </c>
      <c r="K646" s="2" t="s">
        <v>787</v>
      </c>
    </row>
    <row r="647" spans="1:11" ht="15.35" hidden="1" x14ac:dyDescent="0.55000000000000004">
      <c r="A647" s="20">
        <v>3954</v>
      </c>
      <c r="B647" s="2" t="s">
        <v>140</v>
      </c>
      <c r="C647" s="2" t="s">
        <v>141</v>
      </c>
      <c r="D647" s="20">
        <v>2025</v>
      </c>
      <c r="E647" s="2" t="s">
        <v>4777</v>
      </c>
      <c r="F647" s="2" t="s">
        <v>4800</v>
      </c>
      <c r="G647" s="21">
        <v>10608142</v>
      </c>
      <c r="H647" s="23">
        <v>2.6499999999999999E-2</v>
      </c>
      <c r="I647" s="23">
        <v>7.1000000000000004E-3</v>
      </c>
      <c r="J647" s="2" t="s">
        <v>4783</v>
      </c>
      <c r="K647" s="2" t="s">
        <v>793</v>
      </c>
    </row>
    <row r="648" spans="1:11" ht="15.35" hidden="1" x14ac:dyDescent="0.55000000000000004">
      <c r="A648" s="20">
        <v>3953</v>
      </c>
      <c r="B648" s="2" t="s">
        <v>140</v>
      </c>
      <c r="C648" s="2" t="s">
        <v>141</v>
      </c>
      <c r="D648" s="20">
        <v>2025</v>
      </c>
      <c r="E648" s="2" t="s">
        <v>4777</v>
      </c>
      <c r="F648" s="2" t="s">
        <v>904</v>
      </c>
      <c r="G648" s="21">
        <v>9540900</v>
      </c>
      <c r="H648" s="23">
        <v>2.3900000000000001E-2</v>
      </c>
      <c r="I648" s="23">
        <v>-8.8999999999999999E-3</v>
      </c>
      <c r="J648" s="2" t="s">
        <v>4783</v>
      </c>
      <c r="K648" s="2" t="s">
        <v>787</v>
      </c>
    </row>
    <row r="649" spans="1:11" ht="15.35" hidden="1" x14ac:dyDescent="0.55000000000000004">
      <c r="A649" s="38">
        <v>3952</v>
      </c>
      <c r="B649" s="39" t="s">
        <v>140</v>
      </c>
      <c r="C649" s="39" t="s">
        <v>141</v>
      </c>
      <c r="D649" s="38">
        <v>2025</v>
      </c>
      <c r="E649" s="39" t="s">
        <v>4777</v>
      </c>
      <c r="F649" s="39" t="s">
        <v>939</v>
      </c>
      <c r="G649" s="40">
        <v>9045587</v>
      </c>
      <c r="H649" s="41">
        <v>2.2599999999999999E-2</v>
      </c>
      <c r="I649" s="41">
        <v>2.2599999999999999E-2</v>
      </c>
      <c r="J649" s="39" t="s">
        <v>4783</v>
      </c>
      <c r="K649" s="39" t="s">
        <v>787</v>
      </c>
    </row>
    <row r="650" spans="1:11" ht="15.35" hidden="1" x14ac:dyDescent="0.55000000000000004">
      <c r="A650" s="20">
        <v>3951</v>
      </c>
      <c r="B650" s="2" t="s">
        <v>140</v>
      </c>
      <c r="C650" s="2" t="s">
        <v>141</v>
      </c>
      <c r="D650" s="20">
        <v>2025</v>
      </c>
      <c r="E650" s="2" t="s">
        <v>4777</v>
      </c>
      <c r="F650" s="2" t="s">
        <v>1090</v>
      </c>
      <c r="G650" s="21">
        <v>8765300</v>
      </c>
      <c r="H650" s="23">
        <v>2.1899999999999999E-2</v>
      </c>
      <c r="I650" s="23">
        <v>-1.04E-2</v>
      </c>
      <c r="J650" s="2" t="s">
        <v>4783</v>
      </c>
      <c r="K650" s="2" t="s">
        <v>787</v>
      </c>
    </row>
    <row r="651" spans="1:11" ht="15.35" hidden="1" x14ac:dyDescent="0.55000000000000004">
      <c r="A651" s="20">
        <v>3950</v>
      </c>
      <c r="B651" s="2" t="s">
        <v>140</v>
      </c>
      <c r="C651" s="2" t="s">
        <v>141</v>
      </c>
      <c r="D651" s="20">
        <v>2025</v>
      </c>
      <c r="E651" s="2" t="s">
        <v>4777</v>
      </c>
      <c r="F651" s="2" t="s">
        <v>1086</v>
      </c>
      <c r="G651" s="21">
        <v>7164318</v>
      </c>
      <c r="H651" s="23">
        <v>1.7899999999999999E-2</v>
      </c>
      <c r="I651" s="23">
        <v>0.01</v>
      </c>
      <c r="J651" s="2" t="s">
        <v>4783</v>
      </c>
      <c r="K651" s="2" t="s">
        <v>798</v>
      </c>
    </row>
    <row r="652" spans="1:11" ht="15.35" hidden="1" x14ac:dyDescent="0.55000000000000004">
      <c r="A652" s="38">
        <v>3949</v>
      </c>
      <c r="B652" s="39" t="s">
        <v>140</v>
      </c>
      <c r="C652" s="39" t="s">
        <v>141</v>
      </c>
      <c r="D652" s="38">
        <v>2025</v>
      </c>
      <c r="E652" s="39" t="s">
        <v>4777</v>
      </c>
      <c r="F652" s="39" t="s">
        <v>1007</v>
      </c>
      <c r="G652" s="40">
        <v>4986571</v>
      </c>
      <c r="H652" s="41">
        <v>1.2500000000000001E-2</v>
      </c>
      <c r="I652" s="41">
        <v>1.2500000000000001E-2</v>
      </c>
      <c r="J652" s="39" t="s">
        <v>4783</v>
      </c>
      <c r="K652" s="39" t="s">
        <v>787</v>
      </c>
    </row>
    <row r="653" spans="1:11" ht="15.35" hidden="1" x14ac:dyDescent="0.55000000000000004">
      <c r="A653" s="38">
        <v>3948</v>
      </c>
      <c r="B653" s="39" t="s">
        <v>140</v>
      </c>
      <c r="C653" s="39" t="s">
        <v>141</v>
      </c>
      <c r="D653" s="38">
        <v>2025</v>
      </c>
      <c r="E653" s="39" t="s">
        <v>4777</v>
      </c>
      <c r="F653" s="39" t="s">
        <v>4882</v>
      </c>
      <c r="G653" s="40">
        <v>4520890</v>
      </c>
      <c r="H653" s="41">
        <v>1.1299999999999999E-2</v>
      </c>
      <c r="I653" s="41">
        <v>1.1299999999999999E-2</v>
      </c>
      <c r="J653" s="39" t="s">
        <v>4783</v>
      </c>
      <c r="K653" s="39" t="s">
        <v>789</v>
      </c>
    </row>
    <row r="654" spans="1:11" ht="15.35" hidden="1" x14ac:dyDescent="0.55000000000000004">
      <c r="A654" s="42"/>
      <c r="B654" s="43" t="s">
        <v>140</v>
      </c>
      <c r="C654" s="43" t="s">
        <v>141</v>
      </c>
      <c r="D654" s="44">
        <v>2025</v>
      </c>
      <c r="E654" s="43" t="s">
        <v>4777</v>
      </c>
      <c r="F654" s="43" t="s">
        <v>4874</v>
      </c>
      <c r="G654" s="45"/>
      <c r="H654" s="46">
        <v>0</v>
      </c>
      <c r="I654" s="46">
        <v>-0.01</v>
      </c>
      <c r="J654" s="43" t="s">
        <v>4779</v>
      </c>
      <c r="K654" s="43" t="s">
        <v>789</v>
      </c>
    </row>
    <row r="655" spans="1:11" ht="15.35" hidden="1" x14ac:dyDescent="0.55000000000000004">
      <c r="A655" s="42"/>
      <c r="B655" s="43" t="s">
        <v>140</v>
      </c>
      <c r="C655" s="43" t="s">
        <v>141</v>
      </c>
      <c r="D655" s="44">
        <v>2025</v>
      </c>
      <c r="E655" s="43" t="s">
        <v>4777</v>
      </c>
      <c r="F655" s="43" t="s">
        <v>972</v>
      </c>
      <c r="G655" s="45"/>
      <c r="H655" s="46">
        <v>0</v>
      </c>
      <c r="I655" s="46">
        <v>-2.07E-2</v>
      </c>
      <c r="J655" s="43" t="s">
        <v>4783</v>
      </c>
      <c r="K655" s="43" t="s">
        <v>787</v>
      </c>
    </row>
    <row r="656" spans="1:11" ht="15.35" hidden="1" x14ac:dyDescent="0.55000000000000004">
      <c r="A656" s="42"/>
      <c r="B656" s="43" t="s">
        <v>140</v>
      </c>
      <c r="C656" s="43" t="s">
        <v>141</v>
      </c>
      <c r="D656" s="44">
        <v>2025</v>
      </c>
      <c r="E656" s="43" t="s">
        <v>4777</v>
      </c>
      <c r="F656" s="43" t="s">
        <v>4872</v>
      </c>
      <c r="G656" s="45"/>
      <c r="H656" s="46">
        <v>0</v>
      </c>
      <c r="I656" s="46">
        <v>-1.9900000000000001E-2</v>
      </c>
      <c r="J656" s="43" t="s">
        <v>4779</v>
      </c>
      <c r="K656" s="43" t="s">
        <v>798</v>
      </c>
    </row>
    <row r="657" spans="1:11" ht="15.35" hidden="1" x14ac:dyDescent="0.55000000000000004">
      <c r="A657" s="42"/>
      <c r="B657" s="43" t="s">
        <v>140</v>
      </c>
      <c r="C657" s="43" t="s">
        <v>141</v>
      </c>
      <c r="D657" s="44">
        <v>2025</v>
      </c>
      <c r="E657" s="43" t="s">
        <v>4777</v>
      </c>
      <c r="F657" s="43" t="s">
        <v>4873</v>
      </c>
      <c r="G657" s="45"/>
      <c r="H657" s="46">
        <v>0</v>
      </c>
      <c r="I657" s="46">
        <v>-1.09E-2</v>
      </c>
      <c r="J657" s="43" t="s">
        <v>4783</v>
      </c>
      <c r="K657" s="43" t="s">
        <v>783</v>
      </c>
    </row>
    <row r="658" spans="1:11" ht="15.35" hidden="1" x14ac:dyDescent="0.55000000000000004">
      <c r="A658" s="42"/>
      <c r="B658" s="43" t="s">
        <v>140</v>
      </c>
      <c r="C658" s="43" t="s">
        <v>141</v>
      </c>
      <c r="D658" s="44">
        <v>2025</v>
      </c>
      <c r="E658" s="43" t="s">
        <v>4777</v>
      </c>
      <c r="F658" s="43" t="s">
        <v>4870</v>
      </c>
      <c r="G658" s="45"/>
      <c r="H658" s="46">
        <v>0</v>
      </c>
      <c r="I658" s="46">
        <v>-0.1203</v>
      </c>
      <c r="J658" s="43" t="s">
        <v>4779</v>
      </c>
      <c r="K658" s="43" t="s">
        <v>817</v>
      </c>
    </row>
    <row r="659" spans="1:11" ht="15.35" hidden="1" x14ac:dyDescent="0.55000000000000004">
      <c r="A659" s="42"/>
      <c r="B659" s="43" t="s">
        <v>140</v>
      </c>
      <c r="C659" s="43" t="s">
        <v>141</v>
      </c>
      <c r="D659" s="44">
        <v>2025</v>
      </c>
      <c r="E659" s="43" t="s">
        <v>4777</v>
      </c>
      <c r="F659" s="43" t="s">
        <v>1086</v>
      </c>
      <c r="G659" s="45"/>
      <c r="H659" s="46">
        <v>0</v>
      </c>
      <c r="I659" s="46">
        <v>-0.01</v>
      </c>
      <c r="J659" s="43" t="s">
        <v>4779</v>
      </c>
      <c r="K659" s="43" t="s">
        <v>798</v>
      </c>
    </row>
    <row r="660" spans="1:11" ht="15.35" hidden="1" x14ac:dyDescent="0.55000000000000004">
      <c r="A660" s="42"/>
      <c r="B660" s="43" t="s">
        <v>140</v>
      </c>
      <c r="C660" s="43" t="s">
        <v>141</v>
      </c>
      <c r="D660" s="44">
        <v>2025</v>
      </c>
      <c r="E660" s="43" t="s">
        <v>4777</v>
      </c>
      <c r="F660" s="43" t="s">
        <v>4875</v>
      </c>
      <c r="G660" s="45"/>
      <c r="H660" s="46">
        <v>0</v>
      </c>
      <c r="I660" s="46">
        <v>-0.01</v>
      </c>
      <c r="J660" s="43" t="s">
        <v>4779</v>
      </c>
      <c r="K660" s="43" t="s">
        <v>817</v>
      </c>
    </row>
    <row r="661" spans="1:11" ht="15.35" hidden="1" x14ac:dyDescent="0.55000000000000004">
      <c r="A661" s="42"/>
      <c r="B661" s="43" t="s">
        <v>140</v>
      </c>
      <c r="C661" s="43" t="s">
        <v>141</v>
      </c>
      <c r="D661" s="44">
        <v>2025</v>
      </c>
      <c r="E661" s="43" t="s">
        <v>4777</v>
      </c>
      <c r="F661" s="43" t="s">
        <v>4876</v>
      </c>
      <c r="G661" s="45"/>
      <c r="H661" s="46">
        <v>0</v>
      </c>
      <c r="I661" s="46">
        <v>-0.01</v>
      </c>
      <c r="J661" s="43" t="s">
        <v>4779</v>
      </c>
      <c r="K661" s="43" t="s">
        <v>813</v>
      </c>
    </row>
    <row r="662" spans="1:11" ht="15.35" hidden="1" x14ac:dyDescent="0.55000000000000004">
      <c r="A662" s="42"/>
      <c r="B662" s="43" t="s">
        <v>140</v>
      </c>
      <c r="C662" s="43" t="s">
        <v>141</v>
      </c>
      <c r="D662" s="44">
        <v>2025</v>
      </c>
      <c r="E662" s="43" t="s">
        <v>4777</v>
      </c>
      <c r="F662" s="43" t="s">
        <v>4880</v>
      </c>
      <c r="G662" s="45"/>
      <c r="H662" s="46">
        <v>0</v>
      </c>
      <c r="I662" s="46">
        <v>-8.9999999999999993E-3</v>
      </c>
      <c r="J662" s="43" t="s">
        <v>4783</v>
      </c>
      <c r="K662" s="43" t="s">
        <v>789</v>
      </c>
    </row>
    <row r="663" spans="1:11" ht="15.35" hidden="1" x14ac:dyDescent="0.55000000000000004">
      <c r="A663" s="42"/>
      <c r="B663" s="43" t="s">
        <v>140</v>
      </c>
      <c r="C663" s="43" t="s">
        <v>141</v>
      </c>
      <c r="D663" s="44">
        <v>2025</v>
      </c>
      <c r="E663" s="43" t="s">
        <v>4777</v>
      </c>
      <c r="F663" s="43" t="s">
        <v>4881</v>
      </c>
      <c r="G663" s="45"/>
      <c r="H663" s="46">
        <v>0</v>
      </c>
      <c r="I663" s="46">
        <v>-7.4000000000000003E-3</v>
      </c>
      <c r="J663" s="43" t="s">
        <v>4783</v>
      </c>
      <c r="K663" s="43" t="s">
        <v>783</v>
      </c>
    </row>
    <row r="664" spans="1:11" ht="15.35" hidden="1" x14ac:dyDescent="0.55000000000000004">
      <c r="A664" s="42"/>
      <c r="B664" s="43" t="s">
        <v>140</v>
      </c>
      <c r="C664" s="43" t="s">
        <v>141</v>
      </c>
      <c r="D664" s="44">
        <v>2025</v>
      </c>
      <c r="E664" s="43" t="s">
        <v>4777</v>
      </c>
      <c r="F664" s="43" t="s">
        <v>4878</v>
      </c>
      <c r="G664" s="45"/>
      <c r="H664" s="46">
        <v>0</v>
      </c>
      <c r="I664" s="46">
        <v>-5.0000000000000001E-3</v>
      </c>
      <c r="J664" s="43" t="s">
        <v>4779</v>
      </c>
      <c r="K664" s="43" t="s">
        <v>833</v>
      </c>
    </row>
    <row r="665" spans="1:11" ht="15.35" hidden="1" x14ac:dyDescent="0.55000000000000004">
      <c r="A665" s="42"/>
      <c r="B665" s="43" t="s">
        <v>140</v>
      </c>
      <c r="C665" s="43" t="s">
        <v>141</v>
      </c>
      <c r="D665" s="44">
        <v>2025</v>
      </c>
      <c r="E665" s="43" t="s">
        <v>4777</v>
      </c>
      <c r="F665" s="43" t="s">
        <v>4879</v>
      </c>
      <c r="G665" s="45"/>
      <c r="H665" s="46">
        <v>0</v>
      </c>
      <c r="I665" s="46">
        <v>-5.0000000000000001E-3</v>
      </c>
      <c r="J665" s="43" t="s">
        <v>4779</v>
      </c>
      <c r="K665" s="43" t="s">
        <v>833</v>
      </c>
    </row>
    <row r="666" spans="1:11" ht="15.35" hidden="1" x14ac:dyDescent="0.55000000000000004">
      <c r="A666" s="20">
        <v>5290</v>
      </c>
      <c r="B666" s="2" t="s">
        <v>140</v>
      </c>
      <c r="C666" s="2" t="s">
        <v>141</v>
      </c>
      <c r="D666" s="20">
        <v>2025</v>
      </c>
      <c r="E666" s="2" t="s">
        <v>4792</v>
      </c>
      <c r="F666" s="2" t="s">
        <v>2630</v>
      </c>
      <c r="G666" s="21">
        <v>204000000</v>
      </c>
      <c r="H666" s="23">
        <v>0.51</v>
      </c>
      <c r="I666" s="23">
        <v>0</v>
      </c>
      <c r="J666" s="2" t="s">
        <v>4779</v>
      </c>
      <c r="K666" s="2" t="s">
        <v>807</v>
      </c>
    </row>
    <row r="667" spans="1:11" ht="15.35" hidden="1" x14ac:dyDescent="0.55000000000000004">
      <c r="A667" s="20">
        <v>5289</v>
      </c>
      <c r="B667" s="2" t="s">
        <v>140</v>
      </c>
      <c r="C667" s="2" t="s">
        <v>141</v>
      </c>
      <c r="D667" s="20">
        <v>2025</v>
      </c>
      <c r="E667" s="2" t="s">
        <v>4792</v>
      </c>
      <c r="F667" s="2" t="s">
        <v>4870</v>
      </c>
      <c r="G667" s="21">
        <v>43215384</v>
      </c>
      <c r="H667" s="23">
        <v>0.108</v>
      </c>
      <c r="I667" s="23">
        <v>0</v>
      </c>
      <c r="J667" s="2" t="s">
        <v>4783</v>
      </c>
      <c r="K667" s="2" t="s">
        <v>817</v>
      </c>
    </row>
    <row r="668" spans="1:11" ht="15.35" hidden="1" x14ac:dyDescent="0.55000000000000004">
      <c r="A668" s="20">
        <v>5288</v>
      </c>
      <c r="B668" s="2" t="s">
        <v>140</v>
      </c>
      <c r="C668" s="2" t="s">
        <v>141</v>
      </c>
      <c r="D668" s="20">
        <v>2025</v>
      </c>
      <c r="E668" s="2" t="s">
        <v>4792</v>
      </c>
      <c r="F668" s="2" t="s">
        <v>864</v>
      </c>
      <c r="G668" s="21">
        <v>19120777</v>
      </c>
      <c r="H668" s="23">
        <v>4.7800000000000002E-2</v>
      </c>
      <c r="I668" s="23">
        <v>1.0200000000000001E-2</v>
      </c>
      <c r="J668" s="2" t="s">
        <v>4783</v>
      </c>
      <c r="K668" s="2" t="s">
        <v>787</v>
      </c>
    </row>
    <row r="669" spans="1:11" ht="15.35" hidden="1" x14ac:dyDescent="0.55000000000000004">
      <c r="A669" s="20">
        <v>5287</v>
      </c>
      <c r="B669" s="2" t="s">
        <v>140</v>
      </c>
      <c r="C669" s="2" t="s">
        <v>141</v>
      </c>
      <c r="D669" s="20">
        <v>2025</v>
      </c>
      <c r="E669" s="2" t="s">
        <v>4792</v>
      </c>
      <c r="F669" s="2" t="s">
        <v>922</v>
      </c>
      <c r="G669" s="21">
        <v>14225302</v>
      </c>
      <c r="H669" s="23">
        <v>3.56E-2</v>
      </c>
      <c r="I669" s="23">
        <v>1.2999999999999999E-3</v>
      </c>
      <c r="J669" s="2" t="s">
        <v>4783</v>
      </c>
      <c r="K669" s="2" t="s">
        <v>787</v>
      </c>
    </row>
    <row r="670" spans="1:11" ht="15.35" hidden="1" x14ac:dyDescent="0.55000000000000004">
      <c r="A670" s="38">
        <v>5286</v>
      </c>
      <c r="B670" s="39" t="s">
        <v>140</v>
      </c>
      <c r="C670" s="39" t="s">
        <v>141</v>
      </c>
      <c r="D670" s="38">
        <v>2025</v>
      </c>
      <c r="E670" s="39" t="s">
        <v>4792</v>
      </c>
      <c r="F670" s="39" t="s">
        <v>1191</v>
      </c>
      <c r="G670" s="40">
        <v>12086162</v>
      </c>
      <c r="H670" s="41">
        <v>3.0200000000000001E-2</v>
      </c>
      <c r="I670" s="41">
        <v>3.0200000000000001E-2</v>
      </c>
      <c r="J670" s="39" t="s">
        <v>4783</v>
      </c>
      <c r="K670" s="39" t="s">
        <v>787</v>
      </c>
    </row>
    <row r="671" spans="1:11" ht="15.35" hidden="1" x14ac:dyDescent="0.55000000000000004">
      <c r="A671" s="20">
        <v>5285</v>
      </c>
      <c r="B671" s="2" t="s">
        <v>140</v>
      </c>
      <c r="C671" s="2" t="s">
        <v>141</v>
      </c>
      <c r="D671" s="20">
        <v>2025</v>
      </c>
      <c r="E671" s="2" t="s">
        <v>4792</v>
      </c>
      <c r="F671" s="2" t="s">
        <v>939</v>
      </c>
      <c r="G671" s="21">
        <v>9045000</v>
      </c>
      <c r="H671" s="23">
        <v>2.2599999999999999E-2</v>
      </c>
      <c r="I671" s="23">
        <v>0</v>
      </c>
      <c r="J671" s="2" t="s">
        <v>4783</v>
      </c>
      <c r="K671" s="2" t="s">
        <v>787</v>
      </c>
    </row>
    <row r="672" spans="1:11" ht="15.35" hidden="1" x14ac:dyDescent="0.55000000000000004">
      <c r="A672" s="20">
        <v>5284</v>
      </c>
      <c r="B672" s="2" t="s">
        <v>140</v>
      </c>
      <c r="C672" s="2" t="s">
        <v>141</v>
      </c>
      <c r="D672" s="20">
        <v>2025</v>
      </c>
      <c r="E672" s="2" t="s">
        <v>4792</v>
      </c>
      <c r="F672" s="2" t="s">
        <v>1090</v>
      </c>
      <c r="G672" s="21">
        <v>8765300</v>
      </c>
      <c r="H672" s="23">
        <v>2.1899999999999999E-2</v>
      </c>
      <c r="I672" s="23">
        <v>0</v>
      </c>
      <c r="J672" s="2" t="s">
        <v>4783</v>
      </c>
      <c r="K672" s="2" t="s">
        <v>787</v>
      </c>
    </row>
    <row r="673" spans="1:11" ht="15.35" hidden="1" x14ac:dyDescent="0.55000000000000004">
      <c r="A673" s="20">
        <v>5283</v>
      </c>
      <c r="B673" s="2" t="s">
        <v>140</v>
      </c>
      <c r="C673" s="2" t="s">
        <v>141</v>
      </c>
      <c r="D673" s="20">
        <v>2025</v>
      </c>
      <c r="E673" s="2" t="s">
        <v>4792</v>
      </c>
      <c r="F673" s="2" t="s">
        <v>904</v>
      </c>
      <c r="G673" s="21">
        <v>8254700</v>
      </c>
      <c r="H673" s="23">
        <v>2.06E-2</v>
      </c>
      <c r="I673" s="23">
        <v>-3.3E-3</v>
      </c>
      <c r="J673" s="2" t="s">
        <v>4783</v>
      </c>
      <c r="K673" s="2" t="s">
        <v>787</v>
      </c>
    </row>
    <row r="674" spans="1:11" ht="15.35" hidden="1" x14ac:dyDescent="0.55000000000000004">
      <c r="A674" s="20">
        <v>5282</v>
      </c>
      <c r="B674" s="2" t="s">
        <v>140</v>
      </c>
      <c r="C674" s="2" t="s">
        <v>141</v>
      </c>
      <c r="D674" s="20">
        <v>2025</v>
      </c>
      <c r="E674" s="2" t="s">
        <v>4792</v>
      </c>
      <c r="F674" s="2" t="s">
        <v>4800</v>
      </c>
      <c r="G674" s="21">
        <v>7717040</v>
      </c>
      <c r="H674" s="23">
        <v>1.9300000000000001E-2</v>
      </c>
      <c r="I674" s="23">
        <v>-7.1999999999999998E-3</v>
      </c>
      <c r="J674" s="2" t="s">
        <v>4783</v>
      </c>
      <c r="K674" s="2" t="s">
        <v>793</v>
      </c>
    </row>
    <row r="675" spans="1:11" ht="15.35" hidden="1" x14ac:dyDescent="0.55000000000000004">
      <c r="A675" s="38">
        <v>5281</v>
      </c>
      <c r="B675" s="39" t="s">
        <v>140</v>
      </c>
      <c r="C675" s="39" t="s">
        <v>141</v>
      </c>
      <c r="D675" s="38">
        <v>2025</v>
      </c>
      <c r="E675" s="39" t="s">
        <v>4792</v>
      </c>
      <c r="F675" s="39" t="s">
        <v>1341</v>
      </c>
      <c r="G675" s="40">
        <v>7386080</v>
      </c>
      <c r="H675" s="41">
        <v>1.8499999999999999E-2</v>
      </c>
      <c r="I675" s="41">
        <v>1.8499999999999999E-2</v>
      </c>
      <c r="J675" s="39" t="s">
        <v>4783</v>
      </c>
      <c r="K675" s="39" t="s">
        <v>787</v>
      </c>
    </row>
    <row r="676" spans="1:11" ht="15.35" hidden="1" x14ac:dyDescent="0.55000000000000004">
      <c r="A676" s="38">
        <v>5280</v>
      </c>
      <c r="B676" s="39" t="s">
        <v>140</v>
      </c>
      <c r="C676" s="39" t="s">
        <v>141</v>
      </c>
      <c r="D676" s="38">
        <v>2025</v>
      </c>
      <c r="E676" s="39" t="s">
        <v>4792</v>
      </c>
      <c r="F676" s="39" t="s">
        <v>4801</v>
      </c>
      <c r="G676" s="40">
        <v>7270681</v>
      </c>
      <c r="H676" s="41">
        <v>1.8200000000000001E-2</v>
      </c>
      <c r="I676" s="41">
        <v>1.8200000000000001E-2</v>
      </c>
      <c r="J676" s="39" t="s">
        <v>4783</v>
      </c>
      <c r="K676" s="39" t="s">
        <v>789</v>
      </c>
    </row>
    <row r="677" spans="1:11" ht="15.35" hidden="1" x14ac:dyDescent="0.55000000000000004">
      <c r="A677" s="42"/>
      <c r="B677" s="43" t="s">
        <v>140</v>
      </c>
      <c r="C677" s="43" t="s">
        <v>141</v>
      </c>
      <c r="D677" s="44">
        <v>2025</v>
      </c>
      <c r="E677" s="43" t="s">
        <v>4792</v>
      </c>
      <c r="F677" s="43" t="s">
        <v>1007</v>
      </c>
      <c r="G677" s="45"/>
      <c r="H677" s="46">
        <v>0</v>
      </c>
      <c r="I677" s="46">
        <v>-1.2500000000000001E-2</v>
      </c>
      <c r="J677" s="43" t="s">
        <v>4783</v>
      </c>
      <c r="K677" s="43" t="s">
        <v>787</v>
      </c>
    </row>
    <row r="678" spans="1:11" ht="15.35" hidden="1" x14ac:dyDescent="0.55000000000000004">
      <c r="A678" s="42"/>
      <c r="B678" s="43" t="s">
        <v>140</v>
      </c>
      <c r="C678" s="43" t="s">
        <v>141</v>
      </c>
      <c r="D678" s="44">
        <v>2025</v>
      </c>
      <c r="E678" s="43" t="s">
        <v>4792</v>
      </c>
      <c r="F678" s="43" t="s">
        <v>1086</v>
      </c>
      <c r="G678" s="45"/>
      <c r="H678" s="46">
        <v>0</v>
      </c>
      <c r="I678" s="46">
        <v>-1.7899999999999999E-2</v>
      </c>
      <c r="J678" s="43" t="s">
        <v>4783</v>
      </c>
      <c r="K678" s="43" t="s">
        <v>798</v>
      </c>
    </row>
    <row r="679" spans="1:11" ht="15.35" hidden="1" x14ac:dyDescent="0.55000000000000004">
      <c r="A679" s="42"/>
      <c r="B679" s="43" t="s">
        <v>140</v>
      </c>
      <c r="C679" s="43" t="s">
        <v>141</v>
      </c>
      <c r="D679" s="44">
        <v>2025</v>
      </c>
      <c r="E679" s="43" t="s">
        <v>4792</v>
      </c>
      <c r="F679" s="43" t="s">
        <v>4882</v>
      </c>
      <c r="G679" s="45"/>
      <c r="H679" s="46">
        <v>0</v>
      </c>
      <c r="I679" s="46">
        <v>-1.1299999999999999E-2</v>
      </c>
      <c r="J679" s="43" t="s">
        <v>4783</v>
      </c>
      <c r="K679" s="43" t="s">
        <v>789</v>
      </c>
    </row>
    <row r="680" spans="1:11" ht="15.35" hidden="1" x14ac:dyDescent="0.55000000000000004">
      <c r="A680" s="20">
        <v>6728</v>
      </c>
      <c r="B680" s="2" t="s">
        <v>140</v>
      </c>
      <c r="C680" s="2" t="s">
        <v>141</v>
      </c>
      <c r="D680" s="20">
        <v>2026</v>
      </c>
      <c r="E680" s="2" t="s">
        <v>4777</v>
      </c>
      <c r="F680" s="2" t="s">
        <v>2630</v>
      </c>
      <c r="G680" s="21">
        <v>204000000</v>
      </c>
      <c r="H680" s="23">
        <v>0.51</v>
      </c>
      <c r="I680" s="23">
        <v>0</v>
      </c>
      <c r="J680" s="2" t="s">
        <v>4779</v>
      </c>
      <c r="K680" s="2" t="s">
        <v>807</v>
      </c>
    </row>
    <row r="681" spans="1:11" ht="15.35" hidden="1" x14ac:dyDescent="0.55000000000000004">
      <c r="A681" s="38">
        <v>6397</v>
      </c>
      <c r="B681" s="39" t="s">
        <v>140</v>
      </c>
      <c r="C681" s="39" t="s">
        <v>141</v>
      </c>
      <c r="D681" s="38">
        <v>2026</v>
      </c>
      <c r="E681" s="39" t="s">
        <v>4777</v>
      </c>
      <c r="F681" s="39" t="s">
        <v>851</v>
      </c>
      <c r="G681" s="40">
        <v>41538682</v>
      </c>
      <c r="H681" s="41">
        <v>0.1038</v>
      </c>
      <c r="I681" s="41">
        <v>0.1038</v>
      </c>
      <c r="J681" s="39" t="s">
        <v>4783</v>
      </c>
      <c r="K681" s="39" t="s">
        <v>817</v>
      </c>
    </row>
    <row r="682" spans="1:11" ht="15.35" hidden="1" x14ac:dyDescent="0.55000000000000004">
      <c r="A682" s="20">
        <v>6470</v>
      </c>
      <c r="B682" s="2" t="s">
        <v>140</v>
      </c>
      <c r="C682" s="2" t="s">
        <v>141</v>
      </c>
      <c r="D682" s="20">
        <v>2026</v>
      </c>
      <c r="E682" s="2" t="s">
        <v>4777</v>
      </c>
      <c r="F682" s="2" t="s">
        <v>864</v>
      </c>
      <c r="G682" s="21">
        <v>16950976</v>
      </c>
      <c r="H682" s="23">
        <v>4.24E-2</v>
      </c>
      <c r="I682" s="23">
        <v>-5.4000000000000003E-3</v>
      </c>
      <c r="J682" s="2" t="s">
        <v>4783</v>
      </c>
      <c r="K682" s="2" t="s">
        <v>787</v>
      </c>
    </row>
    <row r="683" spans="1:11" ht="15.35" hidden="1" x14ac:dyDescent="0.55000000000000004">
      <c r="A683" s="20">
        <v>6471</v>
      </c>
      <c r="B683" s="2" t="s">
        <v>140</v>
      </c>
      <c r="C683" s="2" t="s">
        <v>141</v>
      </c>
      <c r="D683" s="20">
        <v>2026</v>
      </c>
      <c r="E683" s="2" t="s">
        <v>4777</v>
      </c>
      <c r="F683" s="2" t="s">
        <v>922</v>
      </c>
      <c r="G683" s="21">
        <v>14225302</v>
      </c>
      <c r="H683" s="23">
        <v>3.56E-2</v>
      </c>
      <c r="I683" s="23">
        <v>0</v>
      </c>
      <c r="J683" s="2" t="s">
        <v>4783</v>
      </c>
      <c r="K683" s="2" t="s">
        <v>787</v>
      </c>
    </row>
    <row r="684" spans="1:11" ht="15.35" hidden="1" x14ac:dyDescent="0.55000000000000004">
      <c r="A684" s="20">
        <v>6472</v>
      </c>
      <c r="B684" s="2" t="s">
        <v>140</v>
      </c>
      <c r="C684" s="2" t="s">
        <v>141</v>
      </c>
      <c r="D684" s="20">
        <v>2026</v>
      </c>
      <c r="E684" s="2" t="s">
        <v>4777</v>
      </c>
      <c r="F684" s="2" t="s">
        <v>1191</v>
      </c>
      <c r="G684" s="21">
        <v>12086162</v>
      </c>
      <c r="H684" s="23">
        <v>3.0200000000000001E-2</v>
      </c>
      <c r="I684" s="23">
        <v>0</v>
      </c>
      <c r="J684" s="2" t="s">
        <v>4783</v>
      </c>
      <c r="K684" s="2" t="s">
        <v>787</v>
      </c>
    </row>
    <row r="685" spans="1:11" ht="15.35" hidden="1" x14ac:dyDescent="0.55000000000000004">
      <c r="A685" s="20">
        <v>6473</v>
      </c>
      <c r="B685" s="2" t="s">
        <v>140</v>
      </c>
      <c r="C685" s="2" t="s">
        <v>141</v>
      </c>
      <c r="D685" s="20">
        <v>2026</v>
      </c>
      <c r="E685" s="2" t="s">
        <v>4777</v>
      </c>
      <c r="F685" s="2" t="s">
        <v>939</v>
      </c>
      <c r="G685" s="21">
        <v>9365100</v>
      </c>
      <c r="H685" s="23">
        <v>2.3400000000000001E-2</v>
      </c>
      <c r="I685" s="23">
        <v>8.0000000000000004E-4</v>
      </c>
      <c r="J685" s="2" t="s">
        <v>4783</v>
      </c>
      <c r="K685" s="2" t="s">
        <v>787</v>
      </c>
    </row>
    <row r="686" spans="1:11" ht="15.35" hidden="1" x14ac:dyDescent="0.55000000000000004">
      <c r="A686" s="20">
        <v>6474</v>
      </c>
      <c r="B686" s="2" t="s">
        <v>140</v>
      </c>
      <c r="C686" s="2" t="s">
        <v>141</v>
      </c>
      <c r="D686" s="20">
        <v>2026</v>
      </c>
      <c r="E686" s="2" t="s">
        <v>4777</v>
      </c>
      <c r="F686" s="2" t="s">
        <v>1090</v>
      </c>
      <c r="G686" s="21">
        <v>8765300</v>
      </c>
      <c r="H686" s="23">
        <v>2.1899999999999999E-2</v>
      </c>
      <c r="I686" s="23">
        <v>0</v>
      </c>
      <c r="J686" s="2" t="s">
        <v>4783</v>
      </c>
      <c r="K686" s="2" t="s">
        <v>787</v>
      </c>
    </row>
    <row r="687" spans="1:11" ht="15.35" hidden="1" x14ac:dyDescent="0.55000000000000004">
      <c r="A687" s="38">
        <v>6475</v>
      </c>
      <c r="B687" s="39" t="s">
        <v>140</v>
      </c>
      <c r="C687" s="39" t="s">
        <v>141</v>
      </c>
      <c r="D687" s="38">
        <v>2026</v>
      </c>
      <c r="E687" s="39" t="s">
        <v>4777</v>
      </c>
      <c r="F687" s="39" t="s">
        <v>4883</v>
      </c>
      <c r="G687" s="40">
        <v>8030079</v>
      </c>
      <c r="H687" s="41">
        <v>2.01E-2</v>
      </c>
      <c r="I687" s="41">
        <v>2.01E-2</v>
      </c>
      <c r="J687" s="39" t="s">
        <v>4783</v>
      </c>
      <c r="K687" s="39" t="s">
        <v>789</v>
      </c>
    </row>
    <row r="688" spans="1:11" ht="15.35" hidden="1" x14ac:dyDescent="0.55000000000000004">
      <c r="A688" s="38">
        <v>6476</v>
      </c>
      <c r="B688" s="39" t="s">
        <v>140</v>
      </c>
      <c r="C688" s="39" t="s">
        <v>141</v>
      </c>
      <c r="D688" s="38">
        <v>2026</v>
      </c>
      <c r="E688" s="39" t="s">
        <v>4777</v>
      </c>
      <c r="F688" s="39" t="s">
        <v>4884</v>
      </c>
      <c r="G688" s="40">
        <v>7442238</v>
      </c>
      <c r="H688" s="41">
        <v>1.8599999999999998E-2</v>
      </c>
      <c r="I688" s="41">
        <v>1.8599999999999998E-2</v>
      </c>
      <c r="J688" s="39" t="s">
        <v>4783</v>
      </c>
      <c r="K688" s="39" t="s">
        <v>793</v>
      </c>
    </row>
    <row r="689" spans="1:11" ht="15.35" hidden="1" x14ac:dyDescent="0.55000000000000004">
      <c r="A689" s="38">
        <v>6477</v>
      </c>
      <c r="B689" s="39" t="s">
        <v>140</v>
      </c>
      <c r="C689" s="39" t="s">
        <v>141</v>
      </c>
      <c r="D689" s="38">
        <v>2026</v>
      </c>
      <c r="E689" s="39" t="s">
        <v>4777</v>
      </c>
      <c r="F689" s="39" t="s">
        <v>1086</v>
      </c>
      <c r="G689" s="40">
        <v>7164318</v>
      </c>
      <c r="H689" s="41">
        <v>1.7899999999999999E-2</v>
      </c>
      <c r="I689" s="41">
        <v>1.7899999999999999E-2</v>
      </c>
      <c r="J689" s="39" t="s">
        <v>4783</v>
      </c>
      <c r="K689" s="39" t="s">
        <v>798</v>
      </c>
    </row>
    <row r="690" spans="1:11" ht="15.35" hidden="1" x14ac:dyDescent="0.55000000000000004">
      <c r="A690" s="38">
        <v>6478</v>
      </c>
      <c r="B690" s="39" t="s">
        <v>140</v>
      </c>
      <c r="C690" s="39" t="s">
        <v>141</v>
      </c>
      <c r="D690" s="38">
        <v>2026</v>
      </c>
      <c r="E690" s="39" t="s">
        <v>4777</v>
      </c>
      <c r="F690" s="39" t="s">
        <v>4017</v>
      </c>
      <c r="G690" s="40">
        <v>6693930</v>
      </c>
      <c r="H690" s="41">
        <v>1.67E-2</v>
      </c>
      <c r="I690" s="41">
        <v>1.67E-2</v>
      </c>
      <c r="J690" s="39" t="s">
        <v>4783</v>
      </c>
      <c r="K690" s="39" t="s">
        <v>787</v>
      </c>
    </row>
    <row r="691" spans="1:11" ht="15.35" hidden="1" x14ac:dyDescent="0.55000000000000004">
      <c r="A691" s="42"/>
      <c r="B691" s="43" t="s">
        <v>140</v>
      </c>
      <c r="C691" s="43" t="s">
        <v>141</v>
      </c>
      <c r="D691" s="44">
        <v>2026</v>
      </c>
      <c r="E691" s="43" t="s">
        <v>4777</v>
      </c>
      <c r="F691" s="43" t="s">
        <v>904</v>
      </c>
      <c r="G691" s="45"/>
      <c r="H691" s="46">
        <v>0</v>
      </c>
      <c r="I691" s="46">
        <v>-2.06E-2</v>
      </c>
      <c r="J691" s="43" t="s">
        <v>4783</v>
      </c>
      <c r="K691" s="43" t="s">
        <v>787</v>
      </c>
    </row>
    <row r="692" spans="1:11" ht="15.35" hidden="1" x14ac:dyDescent="0.55000000000000004">
      <c r="A692" s="42"/>
      <c r="B692" s="43" t="s">
        <v>140</v>
      </c>
      <c r="C692" s="43" t="s">
        <v>141</v>
      </c>
      <c r="D692" s="44">
        <v>2026</v>
      </c>
      <c r="E692" s="43" t="s">
        <v>4777</v>
      </c>
      <c r="F692" s="43" t="s">
        <v>1341</v>
      </c>
      <c r="G692" s="45"/>
      <c r="H692" s="46">
        <v>0</v>
      </c>
      <c r="I692" s="46">
        <v>-1.8499999999999999E-2</v>
      </c>
      <c r="J692" s="43" t="s">
        <v>4783</v>
      </c>
      <c r="K692" s="43" t="s">
        <v>787</v>
      </c>
    </row>
    <row r="693" spans="1:11" ht="15.35" hidden="1" x14ac:dyDescent="0.55000000000000004">
      <c r="A693" s="42"/>
      <c r="B693" s="43" t="s">
        <v>140</v>
      </c>
      <c r="C693" s="43" t="s">
        <v>141</v>
      </c>
      <c r="D693" s="44">
        <v>2026</v>
      </c>
      <c r="E693" s="43" t="s">
        <v>4777</v>
      </c>
      <c r="F693" s="43" t="s">
        <v>4870</v>
      </c>
      <c r="G693" s="45"/>
      <c r="H693" s="46">
        <v>0</v>
      </c>
      <c r="I693" s="46">
        <v>-0.108</v>
      </c>
      <c r="J693" s="43" t="s">
        <v>4783</v>
      </c>
      <c r="K693" s="43" t="s">
        <v>817</v>
      </c>
    </row>
    <row r="694" spans="1:11" ht="15.35" hidden="1" x14ac:dyDescent="0.55000000000000004">
      <c r="A694" s="42"/>
      <c r="B694" s="43" t="s">
        <v>140</v>
      </c>
      <c r="C694" s="43" t="s">
        <v>141</v>
      </c>
      <c r="D694" s="44">
        <v>2026</v>
      </c>
      <c r="E694" s="43" t="s">
        <v>4777</v>
      </c>
      <c r="F694" s="43" t="s">
        <v>4800</v>
      </c>
      <c r="G694" s="45"/>
      <c r="H694" s="46">
        <v>0</v>
      </c>
      <c r="I694" s="46">
        <v>-1.9300000000000001E-2</v>
      </c>
      <c r="J694" s="43" t="s">
        <v>4783</v>
      </c>
      <c r="K694" s="43" t="s">
        <v>793</v>
      </c>
    </row>
    <row r="695" spans="1:11" ht="15.35" hidden="1" x14ac:dyDescent="0.55000000000000004">
      <c r="A695" s="42"/>
      <c r="B695" s="43" t="s">
        <v>140</v>
      </c>
      <c r="C695" s="43" t="s">
        <v>141</v>
      </c>
      <c r="D695" s="44">
        <v>2026</v>
      </c>
      <c r="E695" s="43" t="s">
        <v>4777</v>
      </c>
      <c r="F695" s="43" t="s">
        <v>4801</v>
      </c>
      <c r="G695" s="45"/>
      <c r="H695" s="46">
        <v>0</v>
      </c>
      <c r="I695" s="46">
        <v>-1.8200000000000001E-2</v>
      </c>
      <c r="J695" s="43" t="s">
        <v>4783</v>
      </c>
      <c r="K695" s="43" t="s">
        <v>789</v>
      </c>
    </row>
    <row r="696" spans="1:11" ht="15.35" hidden="1" x14ac:dyDescent="0.55000000000000004">
      <c r="A696" s="20">
        <v>1490</v>
      </c>
      <c r="B696" s="2" t="s">
        <v>144</v>
      </c>
      <c r="C696" s="2" t="s">
        <v>145</v>
      </c>
      <c r="D696" s="20">
        <v>2024</v>
      </c>
      <c r="E696" s="2" t="s">
        <v>4777</v>
      </c>
      <c r="F696" s="2" t="s">
        <v>2642</v>
      </c>
      <c r="G696" s="21">
        <v>136000000</v>
      </c>
      <c r="H696" s="23">
        <v>0.34</v>
      </c>
      <c r="I696" s="37" t="s">
        <v>4778</v>
      </c>
      <c r="J696" s="2" t="s">
        <v>4779</v>
      </c>
      <c r="K696" s="2" t="s">
        <v>807</v>
      </c>
    </row>
    <row r="697" spans="1:11" ht="15.35" hidden="1" x14ac:dyDescent="0.55000000000000004">
      <c r="A697" s="20">
        <v>1489</v>
      </c>
      <c r="B697" s="2" t="s">
        <v>144</v>
      </c>
      <c r="C697" s="2" t="s">
        <v>145</v>
      </c>
      <c r="D697" s="20">
        <v>2024</v>
      </c>
      <c r="E697" s="2" t="s">
        <v>4777</v>
      </c>
      <c r="F697" s="2" t="s">
        <v>1254</v>
      </c>
      <c r="G697" s="21">
        <v>115200000</v>
      </c>
      <c r="H697" s="23">
        <v>0.28799999999999998</v>
      </c>
      <c r="I697" s="37" t="s">
        <v>4778</v>
      </c>
      <c r="J697" s="2" t="s">
        <v>4779</v>
      </c>
      <c r="K697" s="2" t="s">
        <v>817</v>
      </c>
    </row>
    <row r="698" spans="1:11" ht="15.35" hidden="1" x14ac:dyDescent="0.55000000000000004">
      <c r="A698" s="20">
        <v>1488</v>
      </c>
      <c r="B698" s="2" t="s">
        <v>144</v>
      </c>
      <c r="C698" s="2" t="s">
        <v>145</v>
      </c>
      <c r="D698" s="20">
        <v>2024</v>
      </c>
      <c r="E698" s="2" t="s">
        <v>4777</v>
      </c>
      <c r="F698" s="2" t="s">
        <v>788</v>
      </c>
      <c r="G698" s="21">
        <v>18000000</v>
      </c>
      <c r="H698" s="23">
        <v>4.4999999999999998E-2</v>
      </c>
      <c r="I698" s="37" t="s">
        <v>4778</v>
      </c>
      <c r="J698" s="2" t="s">
        <v>4779</v>
      </c>
      <c r="K698" s="2" t="s">
        <v>787</v>
      </c>
    </row>
    <row r="699" spans="1:11" ht="15.35" hidden="1" x14ac:dyDescent="0.55000000000000004">
      <c r="A699" s="20">
        <v>1416</v>
      </c>
      <c r="B699" s="2" t="s">
        <v>144</v>
      </c>
      <c r="C699" s="2" t="s">
        <v>145</v>
      </c>
      <c r="D699" s="20">
        <v>2024</v>
      </c>
      <c r="E699" s="2" t="s">
        <v>4777</v>
      </c>
      <c r="F699" s="2" t="s">
        <v>904</v>
      </c>
      <c r="G699" s="21">
        <v>12434405</v>
      </c>
      <c r="H699" s="23">
        <v>3.1099999999999999E-2</v>
      </c>
      <c r="I699" s="37" t="s">
        <v>4778</v>
      </c>
      <c r="J699" s="2" t="s">
        <v>4783</v>
      </c>
      <c r="K699" s="2" t="s">
        <v>787</v>
      </c>
    </row>
    <row r="700" spans="1:11" ht="15.35" hidden="1" x14ac:dyDescent="0.55000000000000004">
      <c r="A700" s="20">
        <v>1487</v>
      </c>
      <c r="B700" s="2" t="s">
        <v>144</v>
      </c>
      <c r="C700" s="2" t="s">
        <v>145</v>
      </c>
      <c r="D700" s="20">
        <v>2024</v>
      </c>
      <c r="E700" s="2" t="s">
        <v>4777</v>
      </c>
      <c r="F700" s="2" t="s">
        <v>2644</v>
      </c>
      <c r="G700" s="21">
        <v>10720000</v>
      </c>
      <c r="H700" s="23">
        <v>2.6800000000000001E-2</v>
      </c>
      <c r="I700" s="37" t="s">
        <v>4778</v>
      </c>
      <c r="J700" s="2" t="s">
        <v>4779</v>
      </c>
      <c r="K700" s="2" t="s">
        <v>811</v>
      </c>
    </row>
    <row r="701" spans="1:11" ht="15.35" hidden="1" x14ac:dyDescent="0.55000000000000004">
      <c r="A701" s="20">
        <v>1486</v>
      </c>
      <c r="B701" s="2" t="s">
        <v>144</v>
      </c>
      <c r="C701" s="2" t="s">
        <v>145</v>
      </c>
      <c r="D701" s="20">
        <v>2024</v>
      </c>
      <c r="E701" s="2" t="s">
        <v>4777</v>
      </c>
      <c r="F701" s="2" t="s">
        <v>2643</v>
      </c>
      <c r="G701" s="21">
        <v>10200000</v>
      </c>
      <c r="H701" s="23">
        <v>2.5499999999999998E-2</v>
      </c>
      <c r="I701" s="37" t="s">
        <v>4778</v>
      </c>
      <c r="J701" s="2" t="s">
        <v>4779</v>
      </c>
      <c r="K701" s="2" t="s">
        <v>783</v>
      </c>
    </row>
    <row r="702" spans="1:11" ht="15.35" hidden="1" x14ac:dyDescent="0.55000000000000004">
      <c r="A702" s="20">
        <v>1475</v>
      </c>
      <c r="B702" s="2" t="s">
        <v>144</v>
      </c>
      <c r="C702" s="2" t="s">
        <v>145</v>
      </c>
      <c r="D702" s="20">
        <v>2024</v>
      </c>
      <c r="E702" s="2" t="s">
        <v>4777</v>
      </c>
      <c r="F702" s="2" t="s">
        <v>4781</v>
      </c>
      <c r="G702" s="21">
        <v>9961709</v>
      </c>
      <c r="H702" s="23">
        <v>2.4899999999999999E-2</v>
      </c>
      <c r="I702" s="37" t="s">
        <v>4778</v>
      </c>
      <c r="J702" s="2" t="s">
        <v>4783</v>
      </c>
      <c r="K702" s="2" t="s">
        <v>817</v>
      </c>
    </row>
    <row r="703" spans="1:11" ht="15.35" hidden="1" x14ac:dyDescent="0.55000000000000004">
      <c r="A703" s="20">
        <v>1448</v>
      </c>
      <c r="B703" s="2" t="s">
        <v>144</v>
      </c>
      <c r="C703" s="2" t="s">
        <v>145</v>
      </c>
      <c r="D703" s="20">
        <v>2024</v>
      </c>
      <c r="E703" s="2" t="s">
        <v>4777</v>
      </c>
      <c r="F703" s="2" t="s">
        <v>4868</v>
      </c>
      <c r="G703" s="21">
        <v>7168856</v>
      </c>
      <c r="H703" s="23">
        <v>1.7899999999999999E-2</v>
      </c>
      <c r="I703" s="37" t="s">
        <v>4778</v>
      </c>
      <c r="J703" s="2" t="s">
        <v>4783</v>
      </c>
      <c r="K703" s="2" t="s">
        <v>793</v>
      </c>
    </row>
    <row r="704" spans="1:11" ht="15.35" hidden="1" x14ac:dyDescent="0.55000000000000004">
      <c r="A704" s="20">
        <v>1485</v>
      </c>
      <c r="B704" s="2" t="s">
        <v>144</v>
      </c>
      <c r="C704" s="2" t="s">
        <v>145</v>
      </c>
      <c r="D704" s="20">
        <v>2024</v>
      </c>
      <c r="E704" s="2" t="s">
        <v>4777</v>
      </c>
      <c r="F704" s="2" t="s">
        <v>4885</v>
      </c>
      <c r="G704" s="21">
        <v>7000000</v>
      </c>
      <c r="H704" s="23">
        <v>1.7500000000000002E-2</v>
      </c>
      <c r="I704" s="37" t="s">
        <v>4778</v>
      </c>
      <c r="J704" s="2" t="s">
        <v>4779</v>
      </c>
      <c r="K704" s="2" t="s">
        <v>789</v>
      </c>
    </row>
    <row r="705" spans="1:11" ht="15.35" hidden="1" x14ac:dyDescent="0.55000000000000004">
      <c r="A705" s="20">
        <v>1447</v>
      </c>
      <c r="B705" s="2" t="s">
        <v>144</v>
      </c>
      <c r="C705" s="2" t="s">
        <v>145</v>
      </c>
      <c r="D705" s="20">
        <v>2024</v>
      </c>
      <c r="E705" s="2" t="s">
        <v>4777</v>
      </c>
      <c r="F705" s="2" t="s">
        <v>4886</v>
      </c>
      <c r="G705" s="21">
        <v>5398951</v>
      </c>
      <c r="H705" s="23">
        <v>1.35E-2</v>
      </c>
      <c r="I705" s="37" t="s">
        <v>4778</v>
      </c>
      <c r="J705" s="2" t="s">
        <v>4783</v>
      </c>
      <c r="K705" s="2" t="s">
        <v>783</v>
      </c>
    </row>
    <row r="706" spans="1:11" ht="15.35" hidden="1" x14ac:dyDescent="0.55000000000000004">
      <c r="A706" s="20">
        <v>1468</v>
      </c>
      <c r="B706" s="2" t="s">
        <v>144</v>
      </c>
      <c r="C706" s="2" t="s">
        <v>145</v>
      </c>
      <c r="D706" s="20">
        <v>2024</v>
      </c>
      <c r="E706" s="2" t="s">
        <v>4777</v>
      </c>
      <c r="F706" s="2" t="s">
        <v>4887</v>
      </c>
      <c r="G706" s="21">
        <v>5394400</v>
      </c>
      <c r="H706" s="23">
        <v>1.35E-2</v>
      </c>
      <c r="I706" s="37" t="s">
        <v>4778</v>
      </c>
      <c r="J706" s="2" t="s">
        <v>4783</v>
      </c>
      <c r="K706" s="2" t="s">
        <v>798</v>
      </c>
    </row>
    <row r="707" spans="1:11" ht="15.35" hidden="1" x14ac:dyDescent="0.55000000000000004">
      <c r="A707" s="20">
        <v>1484</v>
      </c>
      <c r="B707" s="2" t="s">
        <v>144</v>
      </c>
      <c r="C707" s="2" t="s">
        <v>145</v>
      </c>
      <c r="D707" s="20">
        <v>2024</v>
      </c>
      <c r="E707" s="2" t="s">
        <v>4777</v>
      </c>
      <c r="F707" s="2" t="s">
        <v>2645</v>
      </c>
      <c r="G707" s="21">
        <v>4800000</v>
      </c>
      <c r="H707" s="23">
        <v>1.2E-2</v>
      </c>
      <c r="I707" s="37" t="s">
        <v>4778</v>
      </c>
      <c r="J707" s="2" t="s">
        <v>4779</v>
      </c>
      <c r="K707" s="2" t="s">
        <v>783</v>
      </c>
    </row>
    <row r="708" spans="1:11" ht="15.35" hidden="1" x14ac:dyDescent="0.55000000000000004">
      <c r="A708" s="20">
        <v>1470</v>
      </c>
      <c r="B708" s="2" t="s">
        <v>144</v>
      </c>
      <c r="C708" s="2" t="s">
        <v>145</v>
      </c>
      <c r="D708" s="20">
        <v>2024</v>
      </c>
      <c r="E708" s="2" t="s">
        <v>4777</v>
      </c>
      <c r="F708" s="2" t="s">
        <v>968</v>
      </c>
      <c r="G708" s="21">
        <v>4435921</v>
      </c>
      <c r="H708" s="23">
        <v>1.11E-2</v>
      </c>
      <c r="I708" s="37" t="s">
        <v>4778</v>
      </c>
      <c r="J708" s="2" t="s">
        <v>4783</v>
      </c>
      <c r="K708" s="2" t="s">
        <v>787</v>
      </c>
    </row>
    <row r="709" spans="1:11" ht="15.35" hidden="1" x14ac:dyDescent="0.55000000000000004">
      <c r="A709" s="20">
        <v>1493</v>
      </c>
      <c r="B709" s="2" t="s">
        <v>144</v>
      </c>
      <c r="C709" s="2" t="s">
        <v>145</v>
      </c>
      <c r="D709" s="20">
        <v>2024</v>
      </c>
      <c r="E709" s="2" t="s">
        <v>4777</v>
      </c>
      <c r="F709" s="2" t="s">
        <v>4803</v>
      </c>
      <c r="G709" s="21">
        <v>3769000</v>
      </c>
      <c r="H709" s="23">
        <v>9.4000000000000004E-3</v>
      </c>
      <c r="I709" s="37" t="s">
        <v>4778</v>
      </c>
      <c r="J709" s="2" t="s">
        <v>4783</v>
      </c>
      <c r="K709" s="2" t="s">
        <v>793</v>
      </c>
    </row>
    <row r="710" spans="1:11" ht="15.35" hidden="1" x14ac:dyDescent="0.55000000000000004">
      <c r="A710" s="20">
        <v>1471</v>
      </c>
      <c r="B710" s="2" t="s">
        <v>144</v>
      </c>
      <c r="C710" s="2" t="s">
        <v>145</v>
      </c>
      <c r="D710" s="20">
        <v>2024</v>
      </c>
      <c r="E710" s="2" t="s">
        <v>4777</v>
      </c>
      <c r="F710" s="2" t="s">
        <v>4791</v>
      </c>
      <c r="G710" s="21">
        <v>3628960</v>
      </c>
      <c r="H710" s="23">
        <v>9.1000000000000004E-3</v>
      </c>
      <c r="I710" s="37" t="s">
        <v>4778</v>
      </c>
      <c r="J710" s="2" t="s">
        <v>4783</v>
      </c>
      <c r="K710" s="2" t="s">
        <v>817</v>
      </c>
    </row>
    <row r="711" spans="1:11" ht="15.35" hidden="1" x14ac:dyDescent="0.55000000000000004">
      <c r="A711" s="20">
        <v>1492</v>
      </c>
      <c r="B711" s="2" t="s">
        <v>144</v>
      </c>
      <c r="C711" s="2" t="s">
        <v>145</v>
      </c>
      <c r="D711" s="20">
        <v>2024</v>
      </c>
      <c r="E711" s="2" t="s">
        <v>4777</v>
      </c>
      <c r="F711" s="2" t="s">
        <v>4785</v>
      </c>
      <c r="G711" s="21">
        <v>3579920</v>
      </c>
      <c r="H711" s="23">
        <v>8.8999999999999999E-3</v>
      </c>
      <c r="I711" s="37" t="s">
        <v>4778</v>
      </c>
      <c r="J711" s="2" t="s">
        <v>4783</v>
      </c>
      <c r="K711" s="2" t="s">
        <v>789</v>
      </c>
    </row>
    <row r="712" spans="1:11" ht="15.35" hidden="1" x14ac:dyDescent="0.55000000000000004">
      <c r="A712" s="20">
        <v>1491</v>
      </c>
      <c r="B712" s="2" t="s">
        <v>144</v>
      </c>
      <c r="C712" s="2" t="s">
        <v>145</v>
      </c>
      <c r="D712" s="20">
        <v>2024</v>
      </c>
      <c r="E712" s="2" t="s">
        <v>4777</v>
      </c>
      <c r="F712" s="2" t="s">
        <v>4853</v>
      </c>
      <c r="G712" s="21">
        <v>3579920</v>
      </c>
      <c r="H712" s="23">
        <v>8.8999999999999999E-3</v>
      </c>
      <c r="I712" s="37" t="s">
        <v>4778</v>
      </c>
      <c r="J712" s="2" t="s">
        <v>4783</v>
      </c>
      <c r="K712" s="2" t="s">
        <v>789</v>
      </c>
    </row>
    <row r="713" spans="1:11" ht="15.35" hidden="1" x14ac:dyDescent="0.55000000000000004">
      <c r="A713" s="20">
        <v>1476</v>
      </c>
      <c r="B713" s="2" t="s">
        <v>144</v>
      </c>
      <c r="C713" s="2" t="s">
        <v>145</v>
      </c>
      <c r="D713" s="20">
        <v>2024</v>
      </c>
      <c r="E713" s="2" t="s">
        <v>4792</v>
      </c>
      <c r="F713" s="2" t="s">
        <v>2642</v>
      </c>
      <c r="G713" s="21">
        <v>136000000</v>
      </c>
      <c r="H713" s="23">
        <v>0.34</v>
      </c>
      <c r="I713" s="23">
        <v>0</v>
      </c>
      <c r="J713" s="2" t="s">
        <v>4779</v>
      </c>
      <c r="K713" s="2" t="s">
        <v>807</v>
      </c>
    </row>
    <row r="714" spans="1:11" ht="15.35" hidden="1" x14ac:dyDescent="0.55000000000000004">
      <c r="A714" s="20">
        <v>1477</v>
      </c>
      <c r="B714" s="2" t="s">
        <v>144</v>
      </c>
      <c r="C714" s="2" t="s">
        <v>145</v>
      </c>
      <c r="D714" s="20">
        <v>2024</v>
      </c>
      <c r="E714" s="2" t="s">
        <v>4792</v>
      </c>
      <c r="F714" s="2" t="s">
        <v>1254</v>
      </c>
      <c r="G714" s="21">
        <v>115200000</v>
      </c>
      <c r="H714" s="23">
        <v>0.28799999999999998</v>
      </c>
      <c r="I714" s="23">
        <v>0</v>
      </c>
      <c r="J714" s="2" t="s">
        <v>4779</v>
      </c>
      <c r="K714" s="2" t="s">
        <v>817</v>
      </c>
    </row>
    <row r="715" spans="1:11" ht="15.35" hidden="1" x14ac:dyDescent="0.55000000000000004">
      <c r="A715" s="20">
        <v>1478</v>
      </c>
      <c r="B715" s="2" t="s">
        <v>144</v>
      </c>
      <c r="C715" s="2" t="s">
        <v>145</v>
      </c>
      <c r="D715" s="20">
        <v>2024</v>
      </c>
      <c r="E715" s="2" t="s">
        <v>4792</v>
      </c>
      <c r="F715" s="2" t="s">
        <v>788</v>
      </c>
      <c r="G715" s="21">
        <v>18000000</v>
      </c>
      <c r="H715" s="23">
        <v>4.4999999999999998E-2</v>
      </c>
      <c r="I715" s="23">
        <v>0</v>
      </c>
      <c r="J715" s="2" t="s">
        <v>4779</v>
      </c>
      <c r="K715" s="2" t="s">
        <v>787</v>
      </c>
    </row>
    <row r="716" spans="1:11" ht="15.35" hidden="1" x14ac:dyDescent="0.55000000000000004">
      <c r="A716" s="20">
        <v>1483</v>
      </c>
      <c r="B716" s="2" t="s">
        <v>144</v>
      </c>
      <c r="C716" s="2" t="s">
        <v>145</v>
      </c>
      <c r="D716" s="20">
        <v>2024</v>
      </c>
      <c r="E716" s="2" t="s">
        <v>4792</v>
      </c>
      <c r="F716" s="2" t="s">
        <v>904</v>
      </c>
      <c r="G716" s="21">
        <v>13035520</v>
      </c>
      <c r="H716" s="23">
        <v>3.2599999999999997E-2</v>
      </c>
      <c r="I716" s="23">
        <v>1.5E-3</v>
      </c>
      <c r="J716" s="2" t="s">
        <v>4783</v>
      </c>
      <c r="K716" s="2" t="s">
        <v>787</v>
      </c>
    </row>
    <row r="717" spans="1:11" ht="15.35" hidden="1" x14ac:dyDescent="0.55000000000000004">
      <c r="A717" s="20">
        <v>1479</v>
      </c>
      <c r="B717" s="2" t="s">
        <v>144</v>
      </c>
      <c r="C717" s="2" t="s">
        <v>145</v>
      </c>
      <c r="D717" s="20">
        <v>2024</v>
      </c>
      <c r="E717" s="2" t="s">
        <v>4792</v>
      </c>
      <c r="F717" s="2" t="s">
        <v>2644</v>
      </c>
      <c r="G717" s="21">
        <v>10720000</v>
      </c>
      <c r="H717" s="23">
        <v>2.6800000000000001E-2</v>
      </c>
      <c r="I717" s="23">
        <v>0</v>
      </c>
      <c r="J717" s="2" t="s">
        <v>4779</v>
      </c>
      <c r="K717" s="2" t="s">
        <v>811</v>
      </c>
    </row>
    <row r="718" spans="1:11" ht="15.35" hidden="1" x14ac:dyDescent="0.55000000000000004">
      <c r="A718" s="20">
        <v>1480</v>
      </c>
      <c r="B718" s="2" t="s">
        <v>144</v>
      </c>
      <c r="C718" s="2" t="s">
        <v>145</v>
      </c>
      <c r="D718" s="20">
        <v>2024</v>
      </c>
      <c r="E718" s="2" t="s">
        <v>4792</v>
      </c>
      <c r="F718" s="2" t="s">
        <v>2643</v>
      </c>
      <c r="G718" s="21">
        <v>10200000</v>
      </c>
      <c r="H718" s="23">
        <v>2.5499999999999998E-2</v>
      </c>
      <c r="I718" s="23">
        <v>0</v>
      </c>
      <c r="J718" s="2" t="s">
        <v>4779</v>
      </c>
      <c r="K718" s="2" t="s">
        <v>783</v>
      </c>
    </row>
    <row r="719" spans="1:11" ht="15.35" hidden="1" x14ac:dyDescent="0.55000000000000004">
      <c r="A719" s="20">
        <v>1482</v>
      </c>
      <c r="B719" s="2" t="s">
        <v>144</v>
      </c>
      <c r="C719" s="2" t="s">
        <v>145</v>
      </c>
      <c r="D719" s="20">
        <v>2024</v>
      </c>
      <c r="E719" s="2" t="s">
        <v>4792</v>
      </c>
      <c r="F719" s="2" t="s">
        <v>4868</v>
      </c>
      <c r="G719" s="21">
        <v>8097656</v>
      </c>
      <c r="H719" s="23">
        <v>2.0199999999999999E-2</v>
      </c>
      <c r="I719" s="23">
        <v>2.3E-3</v>
      </c>
      <c r="J719" s="2" t="s">
        <v>4783</v>
      </c>
      <c r="K719" s="2" t="s">
        <v>793</v>
      </c>
    </row>
    <row r="720" spans="1:11" ht="15.35" hidden="1" x14ac:dyDescent="0.55000000000000004">
      <c r="A720" s="20">
        <v>1481</v>
      </c>
      <c r="B720" s="2" t="s">
        <v>144</v>
      </c>
      <c r="C720" s="2" t="s">
        <v>145</v>
      </c>
      <c r="D720" s="20">
        <v>2024</v>
      </c>
      <c r="E720" s="2" t="s">
        <v>4792</v>
      </c>
      <c r="F720" s="2" t="s">
        <v>4885</v>
      </c>
      <c r="G720" s="21">
        <v>7000000</v>
      </c>
      <c r="H720" s="23">
        <v>1.7500000000000002E-2</v>
      </c>
      <c r="I720" s="23">
        <v>0</v>
      </c>
      <c r="J720" s="2" t="s">
        <v>4779</v>
      </c>
      <c r="K720" s="2" t="s">
        <v>789</v>
      </c>
    </row>
    <row r="721" spans="1:11" ht="15.35" hidden="1" x14ac:dyDescent="0.55000000000000004">
      <c r="A721" s="38">
        <v>1419</v>
      </c>
      <c r="B721" s="39" t="s">
        <v>144</v>
      </c>
      <c r="C721" s="39" t="s">
        <v>145</v>
      </c>
      <c r="D721" s="38">
        <v>2024</v>
      </c>
      <c r="E721" s="39" t="s">
        <v>4792</v>
      </c>
      <c r="F721" s="39" t="s">
        <v>4859</v>
      </c>
      <c r="G721" s="40">
        <v>5858387</v>
      </c>
      <c r="H721" s="41">
        <v>1.46E-2</v>
      </c>
      <c r="I721" s="41">
        <v>1.46E-2</v>
      </c>
      <c r="J721" s="39" t="s">
        <v>4783</v>
      </c>
      <c r="K721" s="39" t="s">
        <v>793</v>
      </c>
    </row>
    <row r="722" spans="1:11" ht="15.35" hidden="1" x14ac:dyDescent="0.55000000000000004">
      <c r="A722" s="20">
        <v>1445</v>
      </c>
      <c r="B722" s="2" t="s">
        <v>144</v>
      </c>
      <c r="C722" s="2" t="s">
        <v>145</v>
      </c>
      <c r="D722" s="20">
        <v>2024</v>
      </c>
      <c r="E722" s="2" t="s">
        <v>4792</v>
      </c>
      <c r="F722" s="2" t="s">
        <v>968</v>
      </c>
      <c r="G722" s="21">
        <v>5548694</v>
      </c>
      <c r="H722" s="23">
        <v>1.3899999999999999E-2</v>
      </c>
      <c r="I722" s="23">
        <v>2.8E-3</v>
      </c>
      <c r="J722" s="2" t="s">
        <v>4783</v>
      </c>
      <c r="K722" s="2" t="s">
        <v>787</v>
      </c>
    </row>
    <row r="723" spans="1:11" ht="15.35" hidden="1" x14ac:dyDescent="0.55000000000000004">
      <c r="A723" s="20">
        <v>1449</v>
      </c>
      <c r="B723" s="2" t="s">
        <v>144</v>
      </c>
      <c r="C723" s="2" t="s">
        <v>145</v>
      </c>
      <c r="D723" s="20">
        <v>2024</v>
      </c>
      <c r="E723" s="2" t="s">
        <v>4792</v>
      </c>
      <c r="F723" s="2" t="s">
        <v>2645</v>
      </c>
      <c r="G723" s="21">
        <v>4800000</v>
      </c>
      <c r="H723" s="23">
        <v>1.2E-2</v>
      </c>
      <c r="I723" s="23">
        <v>0</v>
      </c>
      <c r="J723" s="2" t="s">
        <v>4779</v>
      </c>
      <c r="K723" s="2" t="s">
        <v>783</v>
      </c>
    </row>
    <row r="724" spans="1:11" ht="15.35" hidden="1" x14ac:dyDescent="0.55000000000000004">
      <c r="A724" s="20">
        <v>1469</v>
      </c>
      <c r="B724" s="2" t="s">
        <v>144</v>
      </c>
      <c r="C724" s="2" t="s">
        <v>145</v>
      </c>
      <c r="D724" s="20">
        <v>2024</v>
      </c>
      <c r="E724" s="2" t="s">
        <v>4792</v>
      </c>
      <c r="F724" s="2" t="s">
        <v>4781</v>
      </c>
      <c r="G724" s="21">
        <v>3869152</v>
      </c>
      <c r="H724" s="23">
        <v>9.7000000000000003E-3</v>
      </c>
      <c r="I724" s="23">
        <v>-1.52E-2</v>
      </c>
      <c r="J724" s="2" t="s">
        <v>4783</v>
      </c>
      <c r="K724" s="2" t="s">
        <v>817</v>
      </c>
    </row>
    <row r="725" spans="1:11" ht="15.35" hidden="1" x14ac:dyDescent="0.55000000000000004">
      <c r="A725" s="20">
        <v>1446</v>
      </c>
      <c r="B725" s="2" t="s">
        <v>144</v>
      </c>
      <c r="C725" s="2" t="s">
        <v>145</v>
      </c>
      <c r="D725" s="20">
        <v>2024</v>
      </c>
      <c r="E725" s="2" t="s">
        <v>4792</v>
      </c>
      <c r="F725" s="2" t="s">
        <v>4785</v>
      </c>
      <c r="G725" s="21">
        <v>3649520</v>
      </c>
      <c r="H725" s="23">
        <v>9.1000000000000004E-3</v>
      </c>
      <c r="I725" s="23">
        <v>2.0000000000000001E-4</v>
      </c>
      <c r="J725" s="2" t="s">
        <v>4783</v>
      </c>
      <c r="K725" s="2" t="s">
        <v>789</v>
      </c>
    </row>
    <row r="726" spans="1:11" ht="15.35" hidden="1" x14ac:dyDescent="0.55000000000000004">
      <c r="A726" s="20">
        <v>1472</v>
      </c>
      <c r="B726" s="2" t="s">
        <v>144</v>
      </c>
      <c r="C726" s="2" t="s">
        <v>145</v>
      </c>
      <c r="D726" s="20">
        <v>2024</v>
      </c>
      <c r="E726" s="2" t="s">
        <v>4792</v>
      </c>
      <c r="F726" s="2" t="s">
        <v>4853</v>
      </c>
      <c r="G726" s="21">
        <v>3649420</v>
      </c>
      <c r="H726" s="23">
        <v>9.1000000000000004E-3</v>
      </c>
      <c r="I726" s="23">
        <v>2.0000000000000001E-4</v>
      </c>
      <c r="J726" s="2" t="s">
        <v>4783</v>
      </c>
      <c r="K726" s="2" t="s">
        <v>789</v>
      </c>
    </row>
    <row r="727" spans="1:11" ht="15.35" hidden="1" x14ac:dyDescent="0.55000000000000004">
      <c r="A727" s="38">
        <v>1473</v>
      </c>
      <c r="B727" s="39" t="s">
        <v>144</v>
      </c>
      <c r="C727" s="39" t="s">
        <v>145</v>
      </c>
      <c r="D727" s="38">
        <v>2024</v>
      </c>
      <c r="E727" s="39" t="s">
        <v>4792</v>
      </c>
      <c r="F727" s="39" t="s">
        <v>4888</v>
      </c>
      <c r="G727" s="40">
        <v>3636334</v>
      </c>
      <c r="H727" s="41">
        <v>9.1000000000000004E-3</v>
      </c>
      <c r="I727" s="41">
        <v>9.1000000000000004E-3</v>
      </c>
      <c r="J727" s="39" t="s">
        <v>4783</v>
      </c>
      <c r="K727" s="39" t="s">
        <v>787</v>
      </c>
    </row>
    <row r="728" spans="1:11" ht="15.35" hidden="1" x14ac:dyDescent="0.55000000000000004">
      <c r="A728" s="38">
        <v>1417</v>
      </c>
      <c r="B728" s="39" t="s">
        <v>144</v>
      </c>
      <c r="C728" s="39" t="s">
        <v>145</v>
      </c>
      <c r="D728" s="38">
        <v>2024</v>
      </c>
      <c r="E728" s="39" t="s">
        <v>4792</v>
      </c>
      <c r="F728" s="39" t="s">
        <v>804</v>
      </c>
      <c r="G728" s="40">
        <v>3536051</v>
      </c>
      <c r="H728" s="41">
        <v>8.8000000000000005E-3</v>
      </c>
      <c r="I728" s="41">
        <v>8.8000000000000005E-3</v>
      </c>
      <c r="J728" s="39" t="s">
        <v>4783</v>
      </c>
      <c r="K728" s="39" t="s">
        <v>798</v>
      </c>
    </row>
    <row r="729" spans="1:11" ht="15.35" hidden="1" x14ac:dyDescent="0.55000000000000004">
      <c r="A729" s="38">
        <v>1474</v>
      </c>
      <c r="B729" s="39" t="s">
        <v>144</v>
      </c>
      <c r="C729" s="39" t="s">
        <v>145</v>
      </c>
      <c r="D729" s="38">
        <v>2024</v>
      </c>
      <c r="E729" s="39" t="s">
        <v>4792</v>
      </c>
      <c r="F729" s="39" t="s">
        <v>4870</v>
      </c>
      <c r="G729" s="40">
        <v>3530880</v>
      </c>
      <c r="H729" s="41">
        <v>8.8000000000000005E-3</v>
      </c>
      <c r="I729" s="41">
        <v>8.8000000000000005E-3</v>
      </c>
      <c r="J729" s="39" t="s">
        <v>4783</v>
      </c>
      <c r="K729" s="39" t="s">
        <v>817</v>
      </c>
    </row>
    <row r="730" spans="1:11" ht="15.35" hidden="1" x14ac:dyDescent="0.55000000000000004">
      <c r="A730" s="42"/>
      <c r="B730" s="43" t="s">
        <v>144</v>
      </c>
      <c r="C730" s="43" t="s">
        <v>145</v>
      </c>
      <c r="D730" s="44">
        <v>2024</v>
      </c>
      <c r="E730" s="43" t="s">
        <v>4792</v>
      </c>
      <c r="F730" s="43" t="s">
        <v>4803</v>
      </c>
      <c r="G730" s="45"/>
      <c r="H730" s="46">
        <v>0</v>
      </c>
      <c r="I730" s="46">
        <v>-9.4000000000000004E-3</v>
      </c>
      <c r="J730" s="43" t="s">
        <v>4783</v>
      </c>
      <c r="K730" s="43" t="s">
        <v>793</v>
      </c>
    </row>
    <row r="731" spans="1:11" ht="15.35" hidden="1" x14ac:dyDescent="0.55000000000000004">
      <c r="A731" s="42"/>
      <c r="B731" s="43" t="s">
        <v>144</v>
      </c>
      <c r="C731" s="43" t="s">
        <v>145</v>
      </c>
      <c r="D731" s="44">
        <v>2024</v>
      </c>
      <c r="E731" s="43" t="s">
        <v>4792</v>
      </c>
      <c r="F731" s="43" t="s">
        <v>4791</v>
      </c>
      <c r="G731" s="45"/>
      <c r="H731" s="46">
        <v>0</v>
      </c>
      <c r="I731" s="46">
        <v>-9.1000000000000004E-3</v>
      </c>
      <c r="J731" s="43" t="s">
        <v>4783</v>
      </c>
      <c r="K731" s="43" t="s">
        <v>817</v>
      </c>
    </row>
    <row r="732" spans="1:11" ht="15.35" hidden="1" x14ac:dyDescent="0.55000000000000004">
      <c r="A732" s="42"/>
      <c r="B732" s="43" t="s">
        <v>144</v>
      </c>
      <c r="C732" s="43" t="s">
        <v>145</v>
      </c>
      <c r="D732" s="44">
        <v>2024</v>
      </c>
      <c r="E732" s="43" t="s">
        <v>4792</v>
      </c>
      <c r="F732" s="43" t="s">
        <v>4886</v>
      </c>
      <c r="G732" s="45"/>
      <c r="H732" s="46">
        <v>0</v>
      </c>
      <c r="I732" s="46">
        <v>-1.35E-2</v>
      </c>
      <c r="J732" s="43" t="s">
        <v>4783</v>
      </c>
      <c r="K732" s="43" t="s">
        <v>783</v>
      </c>
    </row>
    <row r="733" spans="1:11" ht="15.35" hidden="1" x14ac:dyDescent="0.55000000000000004">
      <c r="A733" s="42"/>
      <c r="B733" s="43" t="s">
        <v>144</v>
      </c>
      <c r="C733" s="43" t="s">
        <v>145</v>
      </c>
      <c r="D733" s="44">
        <v>2024</v>
      </c>
      <c r="E733" s="43" t="s">
        <v>4792</v>
      </c>
      <c r="F733" s="43" t="s">
        <v>4887</v>
      </c>
      <c r="G733" s="45"/>
      <c r="H733" s="46">
        <v>0</v>
      </c>
      <c r="I733" s="46">
        <v>-1.35E-2</v>
      </c>
      <c r="J733" s="43" t="s">
        <v>4783</v>
      </c>
      <c r="K733" s="43" t="s">
        <v>798</v>
      </c>
    </row>
    <row r="734" spans="1:11" ht="15.35" hidden="1" x14ac:dyDescent="0.55000000000000004">
      <c r="A734" s="20">
        <v>3918</v>
      </c>
      <c r="B734" s="2" t="s">
        <v>144</v>
      </c>
      <c r="C734" s="2" t="s">
        <v>145</v>
      </c>
      <c r="D734" s="20">
        <v>2025</v>
      </c>
      <c r="E734" s="2" t="s">
        <v>4777</v>
      </c>
      <c r="F734" s="2" t="s">
        <v>2642</v>
      </c>
      <c r="G734" s="21">
        <v>136000000</v>
      </c>
      <c r="H734" s="23">
        <v>0.34</v>
      </c>
      <c r="I734" s="23">
        <v>0</v>
      </c>
      <c r="J734" s="2" t="s">
        <v>4779</v>
      </c>
      <c r="K734" s="2" t="s">
        <v>807</v>
      </c>
    </row>
    <row r="735" spans="1:11" ht="15.35" hidden="1" x14ac:dyDescent="0.55000000000000004">
      <c r="A735" s="20">
        <v>3917</v>
      </c>
      <c r="B735" s="2" t="s">
        <v>144</v>
      </c>
      <c r="C735" s="2" t="s">
        <v>145</v>
      </c>
      <c r="D735" s="20">
        <v>2025</v>
      </c>
      <c r="E735" s="2" t="s">
        <v>4777</v>
      </c>
      <c r="F735" s="2" t="s">
        <v>1254</v>
      </c>
      <c r="G735" s="21">
        <v>115200000</v>
      </c>
      <c r="H735" s="23">
        <v>0.28799999999999998</v>
      </c>
      <c r="I735" s="23">
        <v>0</v>
      </c>
      <c r="J735" s="2" t="s">
        <v>4779</v>
      </c>
      <c r="K735" s="2" t="s">
        <v>807</v>
      </c>
    </row>
    <row r="736" spans="1:11" ht="15.35" hidden="1" x14ac:dyDescent="0.55000000000000004">
      <c r="A736" s="38">
        <v>3959</v>
      </c>
      <c r="B736" s="39" t="s">
        <v>144</v>
      </c>
      <c r="C736" s="39" t="s">
        <v>145</v>
      </c>
      <c r="D736" s="38">
        <v>2025</v>
      </c>
      <c r="E736" s="39" t="s">
        <v>4777</v>
      </c>
      <c r="F736" s="39" t="s">
        <v>2644</v>
      </c>
      <c r="G736" s="40">
        <v>10720000</v>
      </c>
      <c r="H736" s="41">
        <v>2.6800000000000001E-2</v>
      </c>
      <c r="I736" s="41">
        <v>2.6800000000000001E-2</v>
      </c>
      <c r="J736" s="39" t="s">
        <v>4783</v>
      </c>
      <c r="K736" s="39" t="s">
        <v>811</v>
      </c>
    </row>
    <row r="737" spans="1:11" ht="15.35" hidden="1" x14ac:dyDescent="0.55000000000000004">
      <c r="A737" s="20">
        <v>4017</v>
      </c>
      <c r="B737" s="2" t="s">
        <v>144</v>
      </c>
      <c r="C737" s="2" t="s">
        <v>145</v>
      </c>
      <c r="D737" s="20">
        <v>2025</v>
      </c>
      <c r="E737" s="2" t="s">
        <v>4777</v>
      </c>
      <c r="F737" s="2" t="s">
        <v>4868</v>
      </c>
      <c r="G737" s="21">
        <v>9951556</v>
      </c>
      <c r="H737" s="23">
        <v>2.4899999999999999E-2</v>
      </c>
      <c r="I737" s="23">
        <v>4.7000000000000002E-3</v>
      </c>
      <c r="J737" s="2" t="s">
        <v>4783</v>
      </c>
      <c r="K737" s="2" t="s">
        <v>793</v>
      </c>
    </row>
    <row r="738" spans="1:11" ht="15.35" hidden="1" x14ac:dyDescent="0.55000000000000004">
      <c r="A738" s="38">
        <v>3958</v>
      </c>
      <c r="B738" s="39" t="s">
        <v>144</v>
      </c>
      <c r="C738" s="39" t="s">
        <v>145</v>
      </c>
      <c r="D738" s="38">
        <v>2025</v>
      </c>
      <c r="E738" s="39" t="s">
        <v>4777</v>
      </c>
      <c r="F738" s="39" t="s">
        <v>788</v>
      </c>
      <c r="G738" s="40">
        <v>8782939</v>
      </c>
      <c r="H738" s="41">
        <v>2.1999999999999999E-2</v>
      </c>
      <c r="I738" s="41">
        <v>2.1999999999999999E-2</v>
      </c>
      <c r="J738" s="39" t="s">
        <v>4783</v>
      </c>
      <c r="K738" s="39" t="s">
        <v>787</v>
      </c>
    </row>
    <row r="739" spans="1:11" ht="15.35" hidden="1" x14ac:dyDescent="0.55000000000000004">
      <c r="A739" s="38">
        <v>3956</v>
      </c>
      <c r="B739" s="39" t="s">
        <v>144</v>
      </c>
      <c r="C739" s="39" t="s">
        <v>145</v>
      </c>
      <c r="D739" s="38">
        <v>2025</v>
      </c>
      <c r="E739" s="39" t="s">
        <v>4777</v>
      </c>
      <c r="F739" s="39" t="s">
        <v>4800</v>
      </c>
      <c r="G739" s="40">
        <v>7805987</v>
      </c>
      <c r="H739" s="41">
        <v>1.95E-2</v>
      </c>
      <c r="I739" s="41">
        <v>1.95E-2</v>
      </c>
      <c r="J739" s="39" t="s">
        <v>4783</v>
      </c>
      <c r="K739" s="39" t="s">
        <v>793</v>
      </c>
    </row>
    <row r="740" spans="1:11" ht="15.35" hidden="1" x14ac:dyDescent="0.55000000000000004">
      <c r="A740" s="38">
        <v>3924</v>
      </c>
      <c r="B740" s="39" t="s">
        <v>144</v>
      </c>
      <c r="C740" s="39" t="s">
        <v>145</v>
      </c>
      <c r="D740" s="38">
        <v>2025</v>
      </c>
      <c r="E740" s="39" t="s">
        <v>4777</v>
      </c>
      <c r="F740" s="39" t="s">
        <v>4885</v>
      </c>
      <c r="G740" s="40">
        <v>7000000</v>
      </c>
      <c r="H740" s="41">
        <v>1.7500000000000002E-2</v>
      </c>
      <c r="I740" s="41">
        <v>1.7500000000000002E-2</v>
      </c>
      <c r="J740" s="39" t="s">
        <v>4783</v>
      </c>
      <c r="K740" s="39" t="s">
        <v>789</v>
      </c>
    </row>
    <row r="741" spans="1:11" ht="15.35" hidden="1" x14ac:dyDescent="0.55000000000000004">
      <c r="A741" s="38">
        <v>3923</v>
      </c>
      <c r="B741" s="39" t="s">
        <v>144</v>
      </c>
      <c r="C741" s="39" t="s">
        <v>145</v>
      </c>
      <c r="D741" s="38">
        <v>2025</v>
      </c>
      <c r="E741" s="39" t="s">
        <v>4777</v>
      </c>
      <c r="F741" s="39" t="s">
        <v>1270</v>
      </c>
      <c r="G741" s="40">
        <v>6702717</v>
      </c>
      <c r="H741" s="41">
        <v>1.6799999999999999E-2</v>
      </c>
      <c r="I741" s="41">
        <v>1.6799999999999999E-2</v>
      </c>
      <c r="J741" s="39" t="s">
        <v>4783</v>
      </c>
      <c r="K741" s="39" t="s">
        <v>787</v>
      </c>
    </row>
    <row r="742" spans="1:11" ht="15.35" hidden="1" x14ac:dyDescent="0.55000000000000004">
      <c r="A742" s="38">
        <v>3922</v>
      </c>
      <c r="B742" s="39" t="s">
        <v>144</v>
      </c>
      <c r="C742" s="39" t="s">
        <v>145</v>
      </c>
      <c r="D742" s="38">
        <v>2025</v>
      </c>
      <c r="E742" s="39" t="s">
        <v>4777</v>
      </c>
      <c r="F742" s="39" t="s">
        <v>4790</v>
      </c>
      <c r="G742" s="40">
        <v>5089387</v>
      </c>
      <c r="H742" s="41">
        <v>1.2699999999999999E-2</v>
      </c>
      <c r="I742" s="41">
        <v>1.2699999999999999E-2</v>
      </c>
      <c r="J742" s="39" t="s">
        <v>4783</v>
      </c>
      <c r="K742" s="39" t="s">
        <v>789</v>
      </c>
    </row>
    <row r="743" spans="1:11" ht="15.35" hidden="1" x14ac:dyDescent="0.55000000000000004">
      <c r="A743" s="20">
        <v>3921</v>
      </c>
      <c r="B743" s="2" t="s">
        <v>144</v>
      </c>
      <c r="C743" s="2" t="s">
        <v>145</v>
      </c>
      <c r="D743" s="20">
        <v>2025</v>
      </c>
      <c r="E743" s="2" t="s">
        <v>4777</v>
      </c>
      <c r="F743" s="2" t="s">
        <v>4853</v>
      </c>
      <c r="G743" s="21">
        <v>4351125</v>
      </c>
      <c r="H743" s="23">
        <v>1.09E-2</v>
      </c>
      <c r="I743" s="23">
        <v>1.8E-3</v>
      </c>
      <c r="J743" s="2" t="s">
        <v>4783</v>
      </c>
      <c r="K743" s="2" t="s">
        <v>789</v>
      </c>
    </row>
    <row r="744" spans="1:11" ht="15.35" hidden="1" x14ac:dyDescent="0.55000000000000004">
      <c r="A744" s="20">
        <v>3920</v>
      </c>
      <c r="B744" s="2" t="s">
        <v>144</v>
      </c>
      <c r="C744" s="2" t="s">
        <v>145</v>
      </c>
      <c r="D744" s="20">
        <v>2025</v>
      </c>
      <c r="E744" s="2" t="s">
        <v>4777</v>
      </c>
      <c r="F744" s="2" t="s">
        <v>4785</v>
      </c>
      <c r="G744" s="21">
        <v>4288464</v>
      </c>
      <c r="H744" s="23">
        <v>1.0699999999999999E-2</v>
      </c>
      <c r="I744" s="23">
        <v>1.6000000000000001E-3</v>
      </c>
      <c r="J744" s="2" t="s">
        <v>4783</v>
      </c>
      <c r="K744" s="2" t="s">
        <v>789</v>
      </c>
    </row>
    <row r="745" spans="1:11" ht="15.35" hidden="1" x14ac:dyDescent="0.55000000000000004">
      <c r="A745" s="20">
        <v>3919</v>
      </c>
      <c r="B745" s="2" t="s">
        <v>144</v>
      </c>
      <c r="C745" s="2" t="s">
        <v>145</v>
      </c>
      <c r="D745" s="20">
        <v>2025</v>
      </c>
      <c r="E745" s="2" t="s">
        <v>4777</v>
      </c>
      <c r="F745" s="2" t="s">
        <v>4888</v>
      </c>
      <c r="G745" s="21">
        <v>3903186</v>
      </c>
      <c r="H745" s="23">
        <v>9.7999999999999997E-3</v>
      </c>
      <c r="I745" s="23">
        <v>6.9999999999999999E-4</v>
      </c>
      <c r="J745" s="2" t="s">
        <v>4783</v>
      </c>
      <c r="K745" s="2" t="s">
        <v>787</v>
      </c>
    </row>
    <row r="746" spans="1:11" ht="15.35" hidden="1" x14ac:dyDescent="0.55000000000000004">
      <c r="A746" s="42"/>
      <c r="B746" s="43" t="s">
        <v>144</v>
      </c>
      <c r="C746" s="43" t="s">
        <v>145</v>
      </c>
      <c r="D746" s="44">
        <v>2025</v>
      </c>
      <c r="E746" s="43" t="s">
        <v>4777</v>
      </c>
      <c r="F746" s="43" t="s">
        <v>2643</v>
      </c>
      <c r="G746" s="45"/>
      <c r="H746" s="46">
        <v>0</v>
      </c>
      <c r="I746" s="46">
        <v>-2.5499999999999998E-2</v>
      </c>
      <c r="J746" s="43" t="s">
        <v>4779</v>
      </c>
      <c r="K746" s="43" t="s">
        <v>783</v>
      </c>
    </row>
    <row r="747" spans="1:11" ht="15.35" hidden="1" x14ac:dyDescent="0.55000000000000004">
      <c r="A747" s="42"/>
      <c r="B747" s="43" t="s">
        <v>144</v>
      </c>
      <c r="C747" s="43" t="s">
        <v>145</v>
      </c>
      <c r="D747" s="44">
        <v>2025</v>
      </c>
      <c r="E747" s="43" t="s">
        <v>4777</v>
      </c>
      <c r="F747" s="43" t="s">
        <v>904</v>
      </c>
      <c r="G747" s="45"/>
      <c r="H747" s="46">
        <v>0</v>
      </c>
      <c r="I747" s="46">
        <v>-3.2599999999999997E-2</v>
      </c>
      <c r="J747" s="43" t="s">
        <v>4783</v>
      </c>
      <c r="K747" s="43" t="s">
        <v>787</v>
      </c>
    </row>
    <row r="748" spans="1:11" ht="15.35" hidden="1" x14ac:dyDescent="0.55000000000000004">
      <c r="A748" s="42"/>
      <c r="B748" s="43" t="s">
        <v>144</v>
      </c>
      <c r="C748" s="43" t="s">
        <v>145</v>
      </c>
      <c r="D748" s="44">
        <v>2025</v>
      </c>
      <c r="E748" s="43" t="s">
        <v>4777</v>
      </c>
      <c r="F748" s="43" t="s">
        <v>788</v>
      </c>
      <c r="G748" s="45"/>
      <c r="H748" s="46">
        <v>0</v>
      </c>
      <c r="I748" s="46">
        <v>-4.4999999999999998E-2</v>
      </c>
      <c r="J748" s="43" t="s">
        <v>4779</v>
      </c>
      <c r="K748" s="43" t="s">
        <v>787</v>
      </c>
    </row>
    <row r="749" spans="1:11" ht="15.35" hidden="1" x14ac:dyDescent="0.55000000000000004">
      <c r="A749" s="42"/>
      <c r="B749" s="43" t="s">
        <v>144</v>
      </c>
      <c r="C749" s="43" t="s">
        <v>145</v>
      </c>
      <c r="D749" s="44">
        <v>2025</v>
      </c>
      <c r="E749" s="43" t="s">
        <v>4777</v>
      </c>
      <c r="F749" s="43" t="s">
        <v>968</v>
      </c>
      <c r="G749" s="45"/>
      <c r="H749" s="46">
        <v>0</v>
      </c>
      <c r="I749" s="46">
        <v>-1.3899999999999999E-2</v>
      </c>
      <c r="J749" s="43" t="s">
        <v>4783</v>
      </c>
      <c r="K749" s="43" t="s">
        <v>787</v>
      </c>
    </row>
    <row r="750" spans="1:11" ht="15.35" hidden="1" x14ac:dyDescent="0.55000000000000004">
      <c r="A750" s="42"/>
      <c r="B750" s="43" t="s">
        <v>144</v>
      </c>
      <c r="C750" s="43" t="s">
        <v>145</v>
      </c>
      <c r="D750" s="44">
        <v>2025</v>
      </c>
      <c r="E750" s="43" t="s">
        <v>4777</v>
      </c>
      <c r="F750" s="43" t="s">
        <v>2644</v>
      </c>
      <c r="G750" s="45"/>
      <c r="H750" s="46">
        <v>0</v>
      </c>
      <c r="I750" s="46">
        <v>-2.6800000000000001E-2</v>
      </c>
      <c r="J750" s="43" t="s">
        <v>4779</v>
      </c>
      <c r="K750" s="43" t="s">
        <v>811</v>
      </c>
    </row>
    <row r="751" spans="1:11" ht="15.35" hidden="1" x14ac:dyDescent="0.55000000000000004">
      <c r="A751" s="42"/>
      <c r="B751" s="43" t="s">
        <v>144</v>
      </c>
      <c r="C751" s="43" t="s">
        <v>145</v>
      </c>
      <c r="D751" s="44">
        <v>2025</v>
      </c>
      <c r="E751" s="43" t="s">
        <v>4777</v>
      </c>
      <c r="F751" s="43" t="s">
        <v>804</v>
      </c>
      <c r="G751" s="45"/>
      <c r="H751" s="46">
        <v>0</v>
      </c>
      <c r="I751" s="46">
        <v>-8.8000000000000005E-3</v>
      </c>
      <c r="J751" s="43" t="s">
        <v>4783</v>
      </c>
      <c r="K751" s="43" t="s">
        <v>798</v>
      </c>
    </row>
    <row r="752" spans="1:11" ht="15.35" hidden="1" x14ac:dyDescent="0.55000000000000004">
      <c r="A752" s="42"/>
      <c r="B752" s="43" t="s">
        <v>144</v>
      </c>
      <c r="C752" s="43" t="s">
        <v>145</v>
      </c>
      <c r="D752" s="44">
        <v>2025</v>
      </c>
      <c r="E752" s="43" t="s">
        <v>4777</v>
      </c>
      <c r="F752" s="43" t="s">
        <v>4870</v>
      </c>
      <c r="G752" s="45"/>
      <c r="H752" s="46">
        <v>0</v>
      </c>
      <c r="I752" s="46">
        <v>-8.8000000000000005E-3</v>
      </c>
      <c r="J752" s="43" t="s">
        <v>4783</v>
      </c>
      <c r="K752" s="43" t="s">
        <v>817</v>
      </c>
    </row>
    <row r="753" spans="1:11" ht="15.35" hidden="1" x14ac:dyDescent="0.55000000000000004">
      <c r="A753" s="42"/>
      <c r="B753" s="43" t="s">
        <v>144</v>
      </c>
      <c r="C753" s="43" t="s">
        <v>145</v>
      </c>
      <c r="D753" s="44">
        <v>2025</v>
      </c>
      <c r="E753" s="43" t="s">
        <v>4777</v>
      </c>
      <c r="F753" s="43" t="s">
        <v>4859</v>
      </c>
      <c r="G753" s="45"/>
      <c r="H753" s="46">
        <v>0</v>
      </c>
      <c r="I753" s="46">
        <v>-1.46E-2</v>
      </c>
      <c r="J753" s="43" t="s">
        <v>4783</v>
      </c>
      <c r="K753" s="43" t="s">
        <v>793</v>
      </c>
    </row>
    <row r="754" spans="1:11" ht="15.35" hidden="1" x14ac:dyDescent="0.55000000000000004">
      <c r="A754" s="42"/>
      <c r="B754" s="43" t="s">
        <v>144</v>
      </c>
      <c r="C754" s="43" t="s">
        <v>145</v>
      </c>
      <c r="D754" s="44">
        <v>2025</v>
      </c>
      <c r="E754" s="43" t="s">
        <v>4777</v>
      </c>
      <c r="F754" s="43" t="s">
        <v>2645</v>
      </c>
      <c r="G754" s="45"/>
      <c r="H754" s="46">
        <v>0</v>
      </c>
      <c r="I754" s="46">
        <v>-1.2E-2</v>
      </c>
      <c r="J754" s="43" t="s">
        <v>4779</v>
      </c>
      <c r="K754" s="43" t="s">
        <v>783</v>
      </c>
    </row>
    <row r="755" spans="1:11" ht="15.35" hidden="1" x14ac:dyDescent="0.55000000000000004">
      <c r="A755" s="42"/>
      <c r="B755" s="43" t="s">
        <v>144</v>
      </c>
      <c r="C755" s="43" t="s">
        <v>145</v>
      </c>
      <c r="D755" s="44">
        <v>2025</v>
      </c>
      <c r="E755" s="43" t="s">
        <v>4777</v>
      </c>
      <c r="F755" s="43" t="s">
        <v>4885</v>
      </c>
      <c r="G755" s="45"/>
      <c r="H755" s="46">
        <v>0</v>
      </c>
      <c r="I755" s="46">
        <v>-1.7500000000000002E-2</v>
      </c>
      <c r="J755" s="43" t="s">
        <v>4779</v>
      </c>
      <c r="K755" s="43" t="s">
        <v>789</v>
      </c>
    </row>
    <row r="756" spans="1:11" ht="15.35" hidden="1" x14ac:dyDescent="0.55000000000000004">
      <c r="A756" s="42"/>
      <c r="B756" s="43" t="s">
        <v>144</v>
      </c>
      <c r="C756" s="43" t="s">
        <v>145</v>
      </c>
      <c r="D756" s="44">
        <v>2025</v>
      </c>
      <c r="E756" s="43" t="s">
        <v>4777</v>
      </c>
      <c r="F756" s="43" t="s">
        <v>4781</v>
      </c>
      <c r="G756" s="45"/>
      <c r="H756" s="46">
        <v>0</v>
      </c>
      <c r="I756" s="46">
        <v>-9.7000000000000003E-3</v>
      </c>
      <c r="J756" s="43" t="s">
        <v>4783</v>
      </c>
      <c r="K756" s="43" t="s">
        <v>817</v>
      </c>
    </row>
    <row r="757" spans="1:11" ht="15.35" hidden="1" x14ac:dyDescent="0.55000000000000004">
      <c r="A757" s="20">
        <v>6080</v>
      </c>
      <c r="B757" s="2" t="s">
        <v>144</v>
      </c>
      <c r="C757" s="2" t="s">
        <v>145</v>
      </c>
      <c r="D757" s="20">
        <v>2025</v>
      </c>
      <c r="E757" s="2" t="s">
        <v>4792</v>
      </c>
      <c r="F757" s="2" t="s">
        <v>2642</v>
      </c>
      <c r="G757" s="21">
        <v>136000000</v>
      </c>
      <c r="H757" s="23">
        <v>0.34</v>
      </c>
      <c r="I757" s="23">
        <v>0</v>
      </c>
      <c r="J757" s="2" t="s">
        <v>4779</v>
      </c>
      <c r="K757" s="2" t="s">
        <v>807</v>
      </c>
    </row>
    <row r="758" spans="1:11" ht="15.35" hidden="1" x14ac:dyDescent="0.55000000000000004">
      <c r="A758" s="20">
        <v>6079</v>
      </c>
      <c r="B758" s="2" t="s">
        <v>144</v>
      </c>
      <c r="C758" s="2" t="s">
        <v>145</v>
      </c>
      <c r="D758" s="20">
        <v>2025</v>
      </c>
      <c r="E758" s="2" t="s">
        <v>4792</v>
      </c>
      <c r="F758" s="2" t="s">
        <v>1254</v>
      </c>
      <c r="G758" s="21">
        <v>115200000</v>
      </c>
      <c r="H758" s="23">
        <v>0.28799999999999998</v>
      </c>
      <c r="I758" s="23">
        <v>0</v>
      </c>
      <c r="J758" s="2" t="s">
        <v>4779</v>
      </c>
      <c r="K758" s="2" t="s">
        <v>807</v>
      </c>
    </row>
    <row r="759" spans="1:11" ht="15.35" hidden="1" x14ac:dyDescent="0.55000000000000004">
      <c r="A759" s="20">
        <v>6078</v>
      </c>
      <c r="B759" s="2" t="s">
        <v>144</v>
      </c>
      <c r="C759" s="2" t="s">
        <v>145</v>
      </c>
      <c r="D759" s="20">
        <v>2025</v>
      </c>
      <c r="E759" s="2" t="s">
        <v>4792</v>
      </c>
      <c r="F759" s="2" t="s">
        <v>2644</v>
      </c>
      <c r="G759" s="21">
        <v>10720000</v>
      </c>
      <c r="H759" s="23">
        <v>2.6800000000000001E-2</v>
      </c>
      <c r="I759" s="23">
        <v>0</v>
      </c>
      <c r="J759" s="2" t="s">
        <v>4783</v>
      </c>
      <c r="K759" s="2" t="s">
        <v>811</v>
      </c>
    </row>
    <row r="760" spans="1:11" ht="15.35" hidden="1" x14ac:dyDescent="0.55000000000000004">
      <c r="A760" s="20">
        <v>6077</v>
      </c>
      <c r="B760" s="2" t="s">
        <v>144</v>
      </c>
      <c r="C760" s="2" t="s">
        <v>145</v>
      </c>
      <c r="D760" s="20">
        <v>2025</v>
      </c>
      <c r="E760" s="2" t="s">
        <v>4792</v>
      </c>
      <c r="F760" s="2" t="s">
        <v>788</v>
      </c>
      <c r="G760" s="21">
        <v>9851315</v>
      </c>
      <c r="H760" s="23">
        <v>2.46E-2</v>
      </c>
      <c r="I760" s="23">
        <v>2.5999999999999999E-3</v>
      </c>
      <c r="J760" s="2" t="s">
        <v>4783</v>
      </c>
      <c r="K760" s="2" t="s">
        <v>787</v>
      </c>
    </row>
    <row r="761" spans="1:11" ht="15.35" hidden="1" x14ac:dyDescent="0.55000000000000004">
      <c r="A761" s="20">
        <v>6076</v>
      </c>
      <c r="B761" s="2" t="s">
        <v>144</v>
      </c>
      <c r="C761" s="2" t="s">
        <v>145</v>
      </c>
      <c r="D761" s="20">
        <v>2025</v>
      </c>
      <c r="E761" s="2" t="s">
        <v>4792</v>
      </c>
      <c r="F761" s="2" t="s">
        <v>4868</v>
      </c>
      <c r="G761" s="21">
        <v>9126856</v>
      </c>
      <c r="H761" s="23">
        <v>2.2800000000000001E-2</v>
      </c>
      <c r="I761" s="23">
        <v>-2.0999999999999999E-3</v>
      </c>
      <c r="J761" s="2" t="s">
        <v>4783</v>
      </c>
      <c r="K761" s="2" t="s">
        <v>793</v>
      </c>
    </row>
    <row r="762" spans="1:11" ht="15.35" hidden="1" x14ac:dyDescent="0.55000000000000004">
      <c r="A762" s="38">
        <v>6085</v>
      </c>
      <c r="B762" s="39" t="s">
        <v>144</v>
      </c>
      <c r="C762" s="39" t="s">
        <v>145</v>
      </c>
      <c r="D762" s="38">
        <v>2025</v>
      </c>
      <c r="E762" s="39" t="s">
        <v>4792</v>
      </c>
      <c r="F762" s="39" t="s">
        <v>4837</v>
      </c>
      <c r="G762" s="40">
        <v>7960504</v>
      </c>
      <c r="H762" s="41">
        <v>1.9900000000000001E-2</v>
      </c>
      <c r="I762" s="41">
        <v>1.9900000000000001E-2</v>
      </c>
      <c r="J762" s="39" t="s">
        <v>4783</v>
      </c>
      <c r="K762" s="39" t="s">
        <v>789</v>
      </c>
    </row>
    <row r="763" spans="1:11" ht="15.35" hidden="1" x14ac:dyDescent="0.55000000000000004">
      <c r="A763" s="20">
        <v>6098</v>
      </c>
      <c r="B763" s="2" t="s">
        <v>144</v>
      </c>
      <c r="C763" s="2" t="s">
        <v>145</v>
      </c>
      <c r="D763" s="20">
        <v>2025</v>
      </c>
      <c r="E763" s="2" t="s">
        <v>4792</v>
      </c>
      <c r="F763" s="2" t="s">
        <v>4800</v>
      </c>
      <c r="G763" s="21">
        <v>6892339</v>
      </c>
      <c r="H763" s="23">
        <v>1.72E-2</v>
      </c>
      <c r="I763" s="23">
        <v>-2.3E-3</v>
      </c>
      <c r="J763" s="2" t="s">
        <v>4783</v>
      </c>
      <c r="K763" s="2" t="s">
        <v>793</v>
      </c>
    </row>
    <row r="764" spans="1:11" ht="15.35" hidden="1" x14ac:dyDescent="0.55000000000000004">
      <c r="A764" s="38">
        <v>6109</v>
      </c>
      <c r="B764" s="39" t="s">
        <v>144</v>
      </c>
      <c r="C764" s="39" t="s">
        <v>145</v>
      </c>
      <c r="D764" s="38">
        <v>2025</v>
      </c>
      <c r="E764" s="39" t="s">
        <v>4792</v>
      </c>
      <c r="F764" s="39" t="s">
        <v>4803</v>
      </c>
      <c r="G764" s="40">
        <v>5888356</v>
      </c>
      <c r="H764" s="41">
        <v>1.47E-2</v>
      </c>
      <c r="I764" s="41">
        <v>1.47E-2</v>
      </c>
      <c r="J764" s="39" t="s">
        <v>4783</v>
      </c>
      <c r="K764" s="39" t="s">
        <v>793</v>
      </c>
    </row>
    <row r="765" spans="1:11" ht="15.35" hidden="1" x14ac:dyDescent="0.55000000000000004">
      <c r="A765" s="38">
        <v>6099</v>
      </c>
      <c r="B765" s="39" t="s">
        <v>144</v>
      </c>
      <c r="C765" s="39" t="s">
        <v>145</v>
      </c>
      <c r="D765" s="38">
        <v>2025</v>
      </c>
      <c r="E765" s="39" t="s">
        <v>4792</v>
      </c>
      <c r="F765" s="39" t="s">
        <v>4889</v>
      </c>
      <c r="G765" s="40">
        <v>5318500</v>
      </c>
      <c r="H765" s="41">
        <v>1.3299999999999999E-2</v>
      </c>
      <c r="I765" s="41">
        <v>1.3299999999999999E-2</v>
      </c>
      <c r="J765" s="39" t="s">
        <v>4783</v>
      </c>
      <c r="K765" s="39" t="s">
        <v>817</v>
      </c>
    </row>
    <row r="766" spans="1:11" ht="15.35" hidden="1" x14ac:dyDescent="0.55000000000000004">
      <c r="A766" s="20">
        <v>6119</v>
      </c>
      <c r="B766" s="2" t="s">
        <v>144</v>
      </c>
      <c r="C766" s="2" t="s">
        <v>145</v>
      </c>
      <c r="D766" s="20">
        <v>2025</v>
      </c>
      <c r="E766" s="2" t="s">
        <v>4792</v>
      </c>
      <c r="F766" s="2" t="s">
        <v>4790</v>
      </c>
      <c r="G766" s="21">
        <v>4900587</v>
      </c>
      <c r="H766" s="23">
        <v>1.23E-2</v>
      </c>
      <c r="I766" s="23">
        <v>-4.0000000000000002E-4</v>
      </c>
      <c r="J766" s="2" t="s">
        <v>4783</v>
      </c>
      <c r="K766" s="2" t="s">
        <v>789</v>
      </c>
    </row>
    <row r="767" spans="1:11" ht="15.35" hidden="1" x14ac:dyDescent="0.55000000000000004">
      <c r="A767" s="20">
        <v>6118</v>
      </c>
      <c r="B767" s="2" t="s">
        <v>144</v>
      </c>
      <c r="C767" s="2" t="s">
        <v>145</v>
      </c>
      <c r="D767" s="20">
        <v>2025</v>
      </c>
      <c r="E767" s="2" t="s">
        <v>4792</v>
      </c>
      <c r="F767" s="2" t="s">
        <v>1270</v>
      </c>
      <c r="G767" s="21">
        <v>4590780</v>
      </c>
      <c r="H767" s="23">
        <v>1.15E-2</v>
      </c>
      <c r="I767" s="23">
        <v>-5.3E-3</v>
      </c>
      <c r="J767" s="2" t="s">
        <v>4783</v>
      </c>
      <c r="K767" s="2" t="s">
        <v>787</v>
      </c>
    </row>
    <row r="768" spans="1:11" ht="15.35" hidden="1" x14ac:dyDescent="0.55000000000000004">
      <c r="A768" s="38">
        <v>6117</v>
      </c>
      <c r="B768" s="39" t="s">
        <v>144</v>
      </c>
      <c r="C768" s="39" t="s">
        <v>145</v>
      </c>
      <c r="D768" s="38">
        <v>2025</v>
      </c>
      <c r="E768" s="39" t="s">
        <v>4792</v>
      </c>
      <c r="F768" s="39" t="s">
        <v>1191</v>
      </c>
      <c r="G768" s="40">
        <v>4266522</v>
      </c>
      <c r="H768" s="41">
        <v>1.0699999999999999E-2</v>
      </c>
      <c r="I768" s="41">
        <v>1.0699999999999999E-2</v>
      </c>
      <c r="J768" s="39" t="s">
        <v>4783</v>
      </c>
      <c r="K768" s="39" t="s">
        <v>787</v>
      </c>
    </row>
    <row r="769" spans="1:11" ht="15.35" hidden="1" x14ac:dyDescent="0.55000000000000004">
      <c r="A769" s="42"/>
      <c r="B769" s="43" t="s">
        <v>144</v>
      </c>
      <c r="C769" s="43" t="s">
        <v>145</v>
      </c>
      <c r="D769" s="44">
        <v>2025</v>
      </c>
      <c r="E769" s="43" t="s">
        <v>4792</v>
      </c>
      <c r="F769" s="43" t="s">
        <v>4785</v>
      </c>
      <c r="G769" s="45"/>
      <c r="H769" s="46">
        <v>0</v>
      </c>
      <c r="I769" s="46">
        <v>-1.0699999999999999E-2</v>
      </c>
      <c r="J769" s="43" t="s">
        <v>4783</v>
      </c>
      <c r="K769" s="43" t="s">
        <v>789</v>
      </c>
    </row>
    <row r="770" spans="1:11" ht="15.35" hidden="1" x14ac:dyDescent="0.55000000000000004">
      <c r="A770" s="42"/>
      <c r="B770" s="43" t="s">
        <v>144</v>
      </c>
      <c r="C770" s="43" t="s">
        <v>145</v>
      </c>
      <c r="D770" s="44">
        <v>2025</v>
      </c>
      <c r="E770" s="43" t="s">
        <v>4792</v>
      </c>
      <c r="F770" s="43" t="s">
        <v>4853</v>
      </c>
      <c r="G770" s="45"/>
      <c r="H770" s="46">
        <v>0</v>
      </c>
      <c r="I770" s="46">
        <v>-1.09E-2</v>
      </c>
      <c r="J770" s="43" t="s">
        <v>4783</v>
      </c>
      <c r="K770" s="43" t="s">
        <v>789</v>
      </c>
    </row>
    <row r="771" spans="1:11" ht="15.35" hidden="1" x14ac:dyDescent="0.55000000000000004">
      <c r="A771" s="42"/>
      <c r="B771" s="43" t="s">
        <v>144</v>
      </c>
      <c r="C771" s="43" t="s">
        <v>145</v>
      </c>
      <c r="D771" s="44">
        <v>2025</v>
      </c>
      <c r="E771" s="43" t="s">
        <v>4792</v>
      </c>
      <c r="F771" s="43" t="s">
        <v>4888</v>
      </c>
      <c r="G771" s="45"/>
      <c r="H771" s="46">
        <v>0</v>
      </c>
      <c r="I771" s="46">
        <v>-9.7999999999999997E-3</v>
      </c>
      <c r="J771" s="43" t="s">
        <v>4783</v>
      </c>
      <c r="K771" s="43" t="s">
        <v>787</v>
      </c>
    </row>
    <row r="772" spans="1:11" ht="15.35" hidden="1" x14ac:dyDescent="0.55000000000000004">
      <c r="A772" s="42"/>
      <c r="B772" s="43" t="s">
        <v>144</v>
      </c>
      <c r="C772" s="43" t="s">
        <v>145</v>
      </c>
      <c r="D772" s="44">
        <v>2025</v>
      </c>
      <c r="E772" s="43" t="s">
        <v>4792</v>
      </c>
      <c r="F772" s="43" t="s">
        <v>4885</v>
      </c>
      <c r="G772" s="45"/>
      <c r="H772" s="46">
        <v>0</v>
      </c>
      <c r="I772" s="46">
        <v>-1.7500000000000002E-2</v>
      </c>
      <c r="J772" s="43" t="s">
        <v>4783</v>
      </c>
      <c r="K772" s="43" t="s">
        <v>789</v>
      </c>
    </row>
    <row r="773" spans="1:11" ht="15.35" hidden="1" x14ac:dyDescent="0.55000000000000004">
      <c r="A773" s="20">
        <v>6425</v>
      </c>
      <c r="B773" s="2" t="s">
        <v>144</v>
      </c>
      <c r="C773" s="2" t="s">
        <v>145</v>
      </c>
      <c r="D773" s="20">
        <v>2026</v>
      </c>
      <c r="E773" s="2" t="s">
        <v>4777</v>
      </c>
      <c r="F773" s="2" t="s">
        <v>2642</v>
      </c>
      <c r="G773" s="21">
        <v>136000000</v>
      </c>
      <c r="H773" s="23">
        <v>0.34</v>
      </c>
      <c r="I773" s="23">
        <v>0</v>
      </c>
      <c r="J773" s="2" t="s">
        <v>4779</v>
      </c>
      <c r="K773" s="2" t="s">
        <v>807</v>
      </c>
    </row>
    <row r="774" spans="1:11" ht="15.35" hidden="1" x14ac:dyDescent="0.55000000000000004">
      <c r="A774" s="20">
        <v>6426</v>
      </c>
      <c r="B774" s="2" t="s">
        <v>144</v>
      </c>
      <c r="C774" s="2" t="s">
        <v>145</v>
      </c>
      <c r="D774" s="20">
        <v>2026</v>
      </c>
      <c r="E774" s="2" t="s">
        <v>4777</v>
      </c>
      <c r="F774" s="2" t="s">
        <v>1254</v>
      </c>
      <c r="G774" s="21">
        <v>115200000</v>
      </c>
      <c r="H774" s="23">
        <v>0.28799999999999998</v>
      </c>
      <c r="I774" s="23">
        <v>0</v>
      </c>
      <c r="J774" s="2" t="s">
        <v>4779</v>
      </c>
      <c r="K774" s="2" t="s">
        <v>817</v>
      </c>
    </row>
    <row r="775" spans="1:11" ht="15.35" hidden="1" x14ac:dyDescent="0.55000000000000004">
      <c r="A775" s="20">
        <v>6427</v>
      </c>
      <c r="B775" s="2" t="s">
        <v>144</v>
      </c>
      <c r="C775" s="2" t="s">
        <v>145</v>
      </c>
      <c r="D775" s="20">
        <v>2026</v>
      </c>
      <c r="E775" s="2" t="s">
        <v>4777</v>
      </c>
      <c r="F775" s="2" t="s">
        <v>2644</v>
      </c>
      <c r="G775" s="21">
        <v>10720000</v>
      </c>
      <c r="H775" s="23">
        <v>2.6800000000000001E-2</v>
      </c>
      <c r="I775" s="23">
        <v>0</v>
      </c>
      <c r="J775" s="2" t="s">
        <v>4783</v>
      </c>
      <c r="K775" s="2" t="s">
        <v>811</v>
      </c>
    </row>
    <row r="776" spans="1:11" ht="15.35" hidden="1" x14ac:dyDescent="0.55000000000000004">
      <c r="A776" s="38">
        <v>6428</v>
      </c>
      <c r="B776" s="39" t="s">
        <v>144</v>
      </c>
      <c r="C776" s="39" t="s">
        <v>145</v>
      </c>
      <c r="D776" s="38">
        <v>2026</v>
      </c>
      <c r="E776" s="39" t="s">
        <v>4777</v>
      </c>
      <c r="F776" s="39" t="s">
        <v>2620</v>
      </c>
      <c r="G776" s="40">
        <v>8853809</v>
      </c>
      <c r="H776" s="41">
        <v>2.2100000000000002E-2</v>
      </c>
      <c r="I776" s="41">
        <v>2.2100000000000002E-2</v>
      </c>
      <c r="J776" s="39" t="s">
        <v>4783</v>
      </c>
      <c r="K776" s="39" t="s">
        <v>789</v>
      </c>
    </row>
    <row r="777" spans="1:11" ht="15.35" hidden="1" x14ac:dyDescent="0.55000000000000004">
      <c r="A777" s="20">
        <v>6429</v>
      </c>
      <c r="B777" s="2" t="s">
        <v>144</v>
      </c>
      <c r="C777" s="2" t="s">
        <v>145</v>
      </c>
      <c r="D777" s="20">
        <v>2026</v>
      </c>
      <c r="E777" s="2" t="s">
        <v>4777</v>
      </c>
      <c r="F777" s="2" t="s">
        <v>1270</v>
      </c>
      <c r="G777" s="21">
        <v>8594998</v>
      </c>
      <c r="H777" s="23">
        <v>2.1499999999999998E-2</v>
      </c>
      <c r="I777" s="23">
        <v>0.01</v>
      </c>
      <c r="J777" s="2" t="s">
        <v>4783</v>
      </c>
      <c r="K777" s="2" t="s">
        <v>787</v>
      </c>
    </row>
    <row r="778" spans="1:11" ht="15.35" hidden="1" x14ac:dyDescent="0.55000000000000004">
      <c r="A778" s="38">
        <v>6430</v>
      </c>
      <c r="B778" s="39" t="s">
        <v>144</v>
      </c>
      <c r="C778" s="39" t="s">
        <v>145</v>
      </c>
      <c r="D778" s="38">
        <v>2026</v>
      </c>
      <c r="E778" s="39" t="s">
        <v>4777</v>
      </c>
      <c r="F778" s="39" t="s">
        <v>4795</v>
      </c>
      <c r="G778" s="40">
        <v>7040487</v>
      </c>
      <c r="H778" s="41">
        <v>1.7600000000000001E-2</v>
      </c>
      <c r="I778" s="41">
        <v>1.7600000000000001E-2</v>
      </c>
      <c r="J778" s="39" t="s">
        <v>4783</v>
      </c>
      <c r="K778" s="39" t="s">
        <v>789</v>
      </c>
    </row>
    <row r="779" spans="1:11" ht="15.35" hidden="1" x14ac:dyDescent="0.55000000000000004">
      <c r="A779" s="20">
        <v>6431</v>
      </c>
      <c r="B779" s="2" t="s">
        <v>144</v>
      </c>
      <c r="C779" s="2" t="s">
        <v>145</v>
      </c>
      <c r="D779" s="20">
        <v>2026</v>
      </c>
      <c r="E779" s="2" t="s">
        <v>4777</v>
      </c>
      <c r="F779" s="2" t="s">
        <v>788</v>
      </c>
      <c r="G779" s="21">
        <v>6213270</v>
      </c>
      <c r="H779" s="23">
        <v>1.55E-2</v>
      </c>
      <c r="I779" s="23">
        <v>-9.1000000000000004E-3</v>
      </c>
      <c r="J779" s="2" t="s">
        <v>4783</v>
      </c>
      <c r="K779" s="2" t="s">
        <v>787</v>
      </c>
    </row>
    <row r="780" spans="1:11" ht="15.35" hidden="1" x14ac:dyDescent="0.55000000000000004">
      <c r="A780" s="38">
        <v>6433</v>
      </c>
      <c r="B780" s="39" t="s">
        <v>144</v>
      </c>
      <c r="C780" s="39" t="s">
        <v>145</v>
      </c>
      <c r="D780" s="38">
        <v>2026</v>
      </c>
      <c r="E780" s="39" t="s">
        <v>4777</v>
      </c>
      <c r="F780" s="39" t="s">
        <v>4890</v>
      </c>
      <c r="G780" s="40">
        <v>5793956</v>
      </c>
      <c r="H780" s="41">
        <v>1.4500000000000001E-2</v>
      </c>
      <c r="I780" s="41">
        <v>1.4500000000000001E-2</v>
      </c>
      <c r="J780" s="39" t="s">
        <v>4783</v>
      </c>
      <c r="K780" s="39" t="s">
        <v>793</v>
      </c>
    </row>
    <row r="781" spans="1:11" ht="15.35" hidden="1" x14ac:dyDescent="0.55000000000000004">
      <c r="A781" s="38">
        <v>6443</v>
      </c>
      <c r="B781" s="39" t="s">
        <v>144</v>
      </c>
      <c r="C781" s="39" t="s">
        <v>145</v>
      </c>
      <c r="D781" s="38">
        <v>2026</v>
      </c>
      <c r="E781" s="39" t="s">
        <v>4777</v>
      </c>
      <c r="F781" s="39" t="s">
        <v>4864</v>
      </c>
      <c r="G781" s="40">
        <v>4641825</v>
      </c>
      <c r="H781" s="41">
        <v>1.1599999999999999E-2</v>
      </c>
      <c r="I781" s="41">
        <v>1.1599999999999999E-2</v>
      </c>
      <c r="J781" s="39" t="s">
        <v>4783</v>
      </c>
      <c r="K781" s="39" t="s">
        <v>789</v>
      </c>
    </row>
    <row r="782" spans="1:11" ht="15.35" hidden="1" x14ac:dyDescent="0.55000000000000004">
      <c r="A782" s="38">
        <v>6435</v>
      </c>
      <c r="B782" s="39" t="s">
        <v>144</v>
      </c>
      <c r="C782" s="39" t="s">
        <v>145</v>
      </c>
      <c r="D782" s="38">
        <v>2026</v>
      </c>
      <c r="E782" s="39" t="s">
        <v>4777</v>
      </c>
      <c r="F782" s="39" t="s">
        <v>4862</v>
      </c>
      <c r="G782" s="40">
        <v>4426164</v>
      </c>
      <c r="H782" s="41">
        <v>1.11E-2</v>
      </c>
      <c r="I782" s="41">
        <v>1.11E-2</v>
      </c>
      <c r="J782" s="39" t="s">
        <v>4783</v>
      </c>
      <c r="K782" s="39" t="s">
        <v>789</v>
      </c>
    </row>
    <row r="783" spans="1:11" ht="15.35" hidden="1" x14ac:dyDescent="0.55000000000000004">
      <c r="A783" s="38">
        <v>6434</v>
      </c>
      <c r="B783" s="39" t="s">
        <v>144</v>
      </c>
      <c r="C783" s="39" t="s">
        <v>145</v>
      </c>
      <c r="D783" s="38">
        <v>2026</v>
      </c>
      <c r="E783" s="39" t="s">
        <v>4777</v>
      </c>
      <c r="F783" s="39" t="s">
        <v>4891</v>
      </c>
      <c r="G783" s="40">
        <v>4445043</v>
      </c>
      <c r="H783" s="41">
        <v>1.11E-2</v>
      </c>
      <c r="I783" s="41">
        <v>1.11E-2</v>
      </c>
      <c r="J783" s="39" t="s">
        <v>4783</v>
      </c>
      <c r="K783" s="39" t="s">
        <v>793</v>
      </c>
    </row>
    <row r="784" spans="1:11" ht="15.35" hidden="1" x14ac:dyDescent="0.55000000000000004">
      <c r="A784" s="38">
        <v>6436</v>
      </c>
      <c r="B784" s="39" t="s">
        <v>144</v>
      </c>
      <c r="C784" s="39" t="s">
        <v>145</v>
      </c>
      <c r="D784" s="38">
        <v>2026</v>
      </c>
      <c r="E784" s="39" t="s">
        <v>4777</v>
      </c>
      <c r="F784" s="39" t="s">
        <v>4892</v>
      </c>
      <c r="G784" s="40">
        <v>3701414</v>
      </c>
      <c r="H784" s="41">
        <v>9.2999999999999992E-3</v>
      </c>
      <c r="I784" s="41">
        <v>9.2999999999999992E-3</v>
      </c>
      <c r="J784" s="39" t="s">
        <v>4783</v>
      </c>
      <c r="K784" s="39" t="s">
        <v>817</v>
      </c>
    </row>
    <row r="785" spans="1:11" ht="15.35" hidden="1" x14ac:dyDescent="0.55000000000000004">
      <c r="A785" s="42"/>
      <c r="B785" s="43" t="s">
        <v>144</v>
      </c>
      <c r="C785" s="43" t="s">
        <v>145</v>
      </c>
      <c r="D785" s="44">
        <v>2026</v>
      </c>
      <c r="E785" s="43" t="s">
        <v>4777</v>
      </c>
      <c r="F785" s="43" t="s">
        <v>4803</v>
      </c>
      <c r="G785" s="45"/>
      <c r="H785" s="46">
        <v>0</v>
      </c>
      <c r="I785" s="46">
        <v>-1.47E-2</v>
      </c>
      <c r="J785" s="43" t="s">
        <v>4783</v>
      </c>
      <c r="K785" s="43" t="s">
        <v>793</v>
      </c>
    </row>
    <row r="786" spans="1:11" ht="15.35" hidden="1" x14ac:dyDescent="0.55000000000000004">
      <c r="A786" s="42"/>
      <c r="B786" s="43" t="s">
        <v>144</v>
      </c>
      <c r="C786" s="43" t="s">
        <v>145</v>
      </c>
      <c r="D786" s="44">
        <v>2026</v>
      </c>
      <c r="E786" s="43" t="s">
        <v>4777</v>
      </c>
      <c r="F786" s="43" t="s">
        <v>4790</v>
      </c>
      <c r="G786" s="45"/>
      <c r="H786" s="46">
        <v>0</v>
      </c>
      <c r="I786" s="46">
        <v>-1.23E-2</v>
      </c>
      <c r="J786" s="43" t="s">
        <v>4783</v>
      </c>
      <c r="K786" s="43" t="s">
        <v>789</v>
      </c>
    </row>
    <row r="787" spans="1:11" ht="15.35" hidden="1" x14ac:dyDescent="0.55000000000000004">
      <c r="A787" s="42"/>
      <c r="B787" s="43" t="s">
        <v>144</v>
      </c>
      <c r="C787" s="43" t="s">
        <v>145</v>
      </c>
      <c r="D787" s="44">
        <v>2026</v>
      </c>
      <c r="E787" s="43" t="s">
        <v>4777</v>
      </c>
      <c r="F787" s="43" t="s">
        <v>4889</v>
      </c>
      <c r="G787" s="45"/>
      <c r="H787" s="46">
        <v>0</v>
      </c>
      <c r="I787" s="46">
        <v>-1.3299999999999999E-2</v>
      </c>
      <c r="J787" s="43" t="s">
        <v>4783</v>
      </c>
      <c r="K787" s="43" t="s">
        <v>817</v>
      </c>
    </row>
    <row r="788" spans="1:11" ht="15.35" hidden="1" x14ac:dyDescent="0.55000000000000004">
      <c r="A788" s="42"/>
      <c r="B788" s="43" t="s">
        <v>144</v>
      </c>
      <c r="C788" s="43" t="s">
        <v>145</v>
      </c>
      <c r="D788" s="44">
        <v>2026</v>
      </c>
      <c r="E788" s="43" t="s">
        <v>4777</v>
      </c>
      <c r="F788" s="43" t="s">
        <v>4800</v>
      </c>
      <c r="G788" s="45"/>
      <c r="H788" s="46">
        <v>0</v>
      </c>
      <c r="I788" s="46">
        <v>-1.72E-2</v>
      </c>
      <c r="J788" s="43" t="s">
        <v>4783</v>
      </c>
      <c r="K788" s="43" t="s">
        <v>793</v>
      </c>
    </row>
    <row r="789" spans="1:11" ht="15.35" hidden="1" x14ac:dyDescent="0.55000000000000004">
      <c r="A789" s="42"/>
      <c r="B789" s="43" t="s">
        <v>144</v>
      </c>
      <c r="C789" s="43" t="s">
        <v>145</v>
      </c>
      <c r="D789" s="44">
        <v>2026</v>
      </c>
      <c r="E789" s="43" t="s">
        <v>4777</v>
      </c>
      <c r="F789" s="43" t="s">
        <v>1191</v>
      </c>
      <c r="G789" s="45"/>
      <c r="H789" s="46">
        <v>0</v>
      </c>
      <c r="I789" s="46">
        <v>-1.0699999999999999E-2</v>
      </c>
      <c r="J789" s="43" t="s">
        <v>4783</v>
      </c>
      <c r="K789" s="43" t="s">
        <v>787</v>
      </c>
    </row>
    <row r="790" spans="1:11" ht="15.35" hidden="1" x14ac:dyDescent="0.55000000000000004">
      <c r="A790" s="42"/>
      <c r="B790" s="43" t="s">
        <v>144</v>
      </c>
      <c r="C790" s="43" t="s">
        <v>145</v>
      </c>
      <c r="D790" s="44">
        <v>2026</v>
      </c>
      <c r="E790" s="43" t="s">
        <v>4777</v>
      </c>
      <c r="F790" s="43" t="s">
        <v>4837</v>
      </c>
      <c r="G790" s="45"/>
      <c r="H790" s="46">
        <v>0</v>
      </c>
      <c r="I790" s="46">
        <v>-1.9900000000000001E-2</v>
      </c>
      <c r="J790" s="43" t="s">
        <v>4783</v>
      </c>
      <c r="K790" s="43" t="s">
        <v>789</v>
      </c>
    </row>
    <row r="791" spans="1:11" ht="15.35" hidden="1" x14ac:dyDescent="0.55000000000000004">
      <c r="A791" s="42"/>
      <c r="B791" s="43" t="s">
        <v>144</v>
      </c>
      <c r="C791" s="43" t="s">
        <v>145</v>
      </c>
      <c r="D791" s="44">
        <v>2026</v>
      </c>
      <c r="E791" s="43" t="s">
        <v>4777</v>
      </c>
      <c r="F791" s="43" t="s">
        <v>4868</v>
      </c>
      <c r="G791" s="45"/>
      <c r="H791" s="46">
        <v>0</v>
      </c>
      <c r="I791" s="46">
        <v>-2.2800000000000001E-2</v>
      </c>
      <c r="J791" s="43" t="s">
        <v>4783</v>
      </c>
      <c r="K791" s="43" t="s">
        <v>793</v>
      </c>
    </row>
    <row r="792" spans="1:11" ht="15.35" hidden="1" x14ac:dyDescent="0.55000000000000004">
      <c r="A792" s="20">
        <v>5899</v>
      </c>
      <c r="B792" s="2" t="s">
        <v>169</v>
      </c>
      <c r="C792" s="2" t="s">
        <v>170</v>
      </c>
      <c r="D792" s="20">
        <v>2025</v>
      </c>
      <c r="E792" s="2" t="s">
        <v>4792</v>
      </c>
      <c r="F792" s="2" t="s">
        <v>3421</v>
      </c>
      <c r="G792" s="21">
        <v>40000000</v>
      </c>
      <c r="H792" s="23">
        <v>0.1</v>
      </c>
      <c r="I792" s="37" t="s">
        <v>4778</v>
      </c>
      <c r="J792" s="2" t="s">
        <v>4779</v>
      </c>
      <c r="K792" s="2" t="s">
        <v>807</v>
      </c>
    </row>
    <row r="793" spans="1:11" ht="15.35" hidden="1" x14ac:dyDescent="0.55000000000000004">
      <c r="A793" s="20">
        <v>5898</v>
      </c>
      <c r="B793" s="2" t="s">
        <v>169</v>
      </c>
      <c r="C793" s="2" t="s">
        <v>170</v>
      </c>
      <c r="D793" s="20">
        <v>2025</v>
      </c>
      <c r="E793" s="2" t="s">
        <v>4792</v>
      </c>
      <c r="F793" s="2" t="s">
        <v>3404</v>
      </c>
      <c r="G793" s="21">
        <v>20000000</v>
      </c>
      <c r="H793" s="23">
        <v>0.05</v>
      </c>
      <c r="I793" s="37" t="s">
        <v>4778</v>
      </c>
      <c r="J793" s="2" t="s">
        <v>4779</v>
      </c>
      <c r="K793" s="2" t="s">
        <v>807</v>
      </c>
    </row>
    <row r="794" spans="1:11" ht="15.35" hidden="1" x14ac:dyDescent="0.55000000000000004">
      <c r="A794" s="20">
        <v>5897</v>
      </c>
      <c r="B794" s="2" t="s">
        <v>169</v>
      </c>
      <c r="C794" s="2" t="s">
        <v>170</v>
      </c>
      <c r="D794" s="20">
        <v>2025</v>
      </c>
      <c r="E794" s="2" t="s">
        <v>4792</v>
      </c>
      <c r="F794" s="2" t="s">
        <v>4893</v>
      </c>
      <c r="G794" s="21">
        <v>20000000</v>
      </c>
      <c r="H794" s="23">
        <v>0.05</v>
      </c>
      <c r="I794" s="37" t="s">
        <v>4778</v>
      </c>
      <c r="J794" s="2" t="s">
        <v>4779</v>
      </c>
      <c r="K794" s="2" t="s">
        <v>807</v>
      </c>
    </row>
    <row r="795" spans="1:11" ht="15.35" hidden="1" x14ac:dyDescent="0.55000000000000004">
      <c r="A795" s="20">
        <v>5911</v>
      </c>
      <c r="B795" s="2" t="s">
        <v>169</v>
      </c>
      <c r="C795" s="2" t="s">
        <v>170</v>
      </c>
      <c r="D795" s="20">
        <v>2025</v>
      </c>
      <c r="E795" s="2" t="s">
        <v>4792</v>
      </c>
      <c r="F795" s="2" t="s">
        <v>1191</v>
      </c>
      <c r="G795" s="21">
        <v>14207205</v>
      </c>
      <c r="H795" s="23">
        <v>3.5499999999999997E-2</v>
      </c>
      <c r="I795" s="37" t="s">
        <v>4778</v>
      </c>
      <c r="J795" s="2" t="s">
        <v>4783</v>
      </c>
      <c r="K795" s="2" t="s">
        <v>787</v>
      </c>
    </row>
    <row r="796" spans="1:11" ht="15.35" hidden="1" x14ac:dyDescent="0.55000000000000004">
      <c r="A796" s="20">
        <v>5896</v>
      </c>
      <c r="B796" s="2" t="s">
        <v>169</v>
      </c>
      <c r="C796" s="2" t="s">
        <v>170</v>
      </c>
      <c r="D796" s="20">
        <v>2025</v>
      </c>
      <c r="E796" s="2" t="s">
        <v>4792</v>
      </c>
      <c r="F796" s="2" t="s">
        <v>4894</v>
      </c>
      <c r="G796" s="21">
        <v>10320000</v>
      </c>
      <c r="H796" s="23">
        <v>2.58E-2</v>
      </c>
      <c r="I796" s="37" t="s">
        <v>4778</v>
      </c>
      <c r="J796" s="2" t="s">
        <v>4779</v>
      </c>
      <c r="K796" s="2" t="s">
        <v>811</v>
      </c>
    </row>
    <row r="797" spans="1:11" ht="15.35" hidden="1" x14ac:dyDescent="0.55000000000000004">
      <c r="A797" s="20">
        <v>5887</v>
      </c>
      <c r="B797" s="2" t="s">
        <v>169</v>
      </c>
      <c r="C797" s="2" t="s">
        <v>170</v>
      </c>
      <c r="D797" s="20">
        <v>2025</v>
      </c>
      <c r="E797" s="2" t="s">
        <v>4792</v>
      </c>
      <c r="F797" s="2" t="s">
        <v>864</v>
      </c>
      <c r="G797" s="21">
        <v>9049571</v>
      </c>
      <c r="H797" s="23">
        <v>2.2599999999999999E-2</v>
      </c>
      <c r="I797" s="37" t="s">
        <v>4778</v>
      </c>
      <c r="J797" s="2" t="s">
        <v>4783</v>
      </c>
      <c r="K797" s="2" t="s">
        <v>787</v>
      </c>
    </row>
    <row r="798" spans="1:11" ht="15.35" hidden="1" x14ac:dyDescent="0.55000000000000004">
      <c r="A798" s="20">
        <v>5920</v>
      </c>
      <c r="B798" s="2" t="s">
        <v>169</v>
      </c>
      <c r="C798" s="2" t="s">
        <v>170</v>
      </c>
      <c r="D798" s="20">
        <v>2025</v>
      </c>
      <c r="E798" s="2" t="s">
        <v>4792</v>
      </c>
      <c r="F798" s="2" t="s">
        <v>788</v>
      </c>
      <c r="G798" s="21">
        <v>8675819</v>
      </c>
      <c r="H798" s="23">
        <v>2.1700000000000001E-2</v>
      </c>
      <c r="I798" s="37" t="s">
        <v>4778</v>
      </c>
      <c r="J798" s="2" t="s">
        <v>4783</v>
      </c>
      <c r="K798" s="2" t="s">
        <v>787</v>
      </c>
    </row>
    <row r="799" spans="1:11" ht="15.35" hidden="1" x14ac:dyDescent="0.55000000000000004">
      <c r="A799" s="20">
        <v>5886</v>
      </c>
      <c r="B799" s="2" t="s">
        <v>169</v>
      </c>
      <c r="C799" s="2" t="s">
        <v>170</v>
      </c>
      <c r="D799" s="20">
        <v>2025</v>
      </c>
      <c r="E799" s="2" t="s">
        <v>4792</v>
      </c>
      <c r="F799" s="2" t="s">
        <v>4805</v>
      </c>
      <c r="G799" s="21">
        <v>7382180</v>
      </c>
      <c r="H799" s="23">
        <v>1.8499999999999999E-2</v>
      </c>
      <c r="I799" s="37" t="s">
        <v>4778</v>
      </c>
      <c r="J799" s="2" t="s">
        <v>4783</v>
      </c>
      <c r="K799" s="2" t="s">
        <v>817</v>
      </c>
    </row>
    <row r="800" spans="1:11" ht="15.35" hidden="1" x14ac:dyDescent="0.55000000000000004">
      <c r="A800" s="20">
        <v>5895</v>
      </c>
      <c r="B800" s="2" t="s">
        <v>169</v>
      </c>
      <c r="C800" s="2" t="s">
        <v>170</v>
      </c>
      <c r="D800" s="20">
        <v>2025</v>
      </c>
      <c r="E800" s="2" t="s">
        <v>4792</v>
      </c>
      <c r="F800" s="2" t="s">
        <v>4895</v>
      </c>
      <c r="G800" s="21">
        <v>7360000</v>
      </c>
      <c r="H800" s="23">
        <v>1.84E-2</v>
      </c>
      <c r="I800" s="37" t="s">
        <v>4778</v>
      </c>
      <c r="J800" s="2" t="s">
        <v>4779</v>
      </c>
      <c r="K800" s="2" t="s">
        <v>817</v>
      </c>
    </row>
    <row r="801" spans="1:11" ht="15.35" hidden="1" x14ac:dyDescent="0.55000000000000004">
      <c r="A801" s="20">
        <v>5913</v>
      </c>
      <c r="B801" s="2" t="s">
        <v>169</v>
      </c>
      <c r="C801" s="2" t="s">
        <v>170</v>
      </c>
      <c r="D801" s="20">
        <v>2025</v>
      </c>
      <c r="E801" s="2" t="s">
        <v>4792</v>
      </c>
      <c r="F801" s="2" t="s">
        <v>4896</v>
      </c>
      <c r="G801" s="21">
        <v>7360000</v>
      </c>
      <c r="H801" s="23">
        <v>1.84E-2</v>
      </c>
      <c r="I801" s="37" t="s">
        <v>4778</v>
      </c>
      <c r="J801" s="2" t="s">
        <v>4779</v>
      </c>
      <c r="K801" s="2" t="s">
        <v>789</v>
      </c>
    </row>
    <row r="802" spans="1:11" ht="15.35" hidden="1" x14ac:dyDescent="0.55000000000000004">
      <c r="A802" s="20">
        <v>5893</v>
      </c>
      <c r="B802" s="2" t="s">
        <v>169</v>
      </c>
      <c r="C802" s="2" t="s">
        <v>170</v>
      </c>
      <c r="D802" s="20">
        <v>2025</v>
      </c>
      <c r="E802" s="2" t="s">
        <v>4792</v>
      </c>
      <c r="F802" s="2" t="s">
        <v>4897</v>
      </c>
      <c r="G802" s="21">
        <v>7360000</v>
      </c>
      <c r="H802" s="23">
        <v>1.84E-2</v>
      </c>
      <c r="I802" s="37" t="s">
        <v>4778</v>
      </c>
      <c r="J802" s="2" t="s">
        <v>4779</v>
      </c>
      <c r="K802" s="2" t="s">
        <v>817</v>
      </c>
    </row>
    <row r="803" spans="1:11" ht="15.35" hidden="1" x14ac:dyDescent="0.55000000000000004">
      <c r="A803" s="20">
        <v>5890</v>
      </c>
      <c r="B803" s="2" t="s">
        <v>169</v>
      </c>
      <c r="C803" s="2" t="s">
        <v>170</v>
      </c>
      <c r="D803" s="20">
        <v>2025</v>
      </c>
      <c r="E803" s="2" t="s">
        <v>4792</v>
      </c>
      <c r="F803" s="2" t="s">
        <v>815</v>
      </c>
      <c r="G803" s="21">
        <v>7360000</v>
      </c>
      <c r="H803" s="23">
        <v>1.84E-2</v>
      </c>
      <c r="I803" s="37" t="s">
        <v>4778</v>
      </c>
      <c r="J803" s="2" t="s">
        <v>4779</v>
      </c>
      <c r="K803" s="2" t="s">
        <v>813</v>
      </c>
    </row>
    <row r="804" spans="1:11" ht="15.35" hidden="1" x14ac:dyDescent="0.55000000000000004">
      <c r="A804" s="20">
        <v>5894</v>
      </c>
      <c r="B804" s="2" t="s">
        <v>169</v>
      </c>
      <c r="C804" s="2" t="s">
        <v>170</v>
      </c>
      <c r="D804" s="20">
        <v>2025</v>
      </c>
      <c r="E804" s="2" t="s">
        <v>4792</v>
      </c>
      <c r="F804" s="2" t="s">
        <v>4898</v>
      </c>
      <c r="G804" s="21">
        <v>7360000</v>
      </c>
      <c r="H804" s="23">
        <v>1.84E-2</v>
      </c>
      <c r="I804" s="37" t="s">
        <v>4778</v>
      </c>
      <c r="J804" s="2" t="s">
        <v>4779</v>
      </c>
      <c r="K804" s="2" t="s">
        <v>789</v>
      </c>
    </row>
    <row r="805" spans="1:11" ht="15.35" hidden="1" x14ac:dyDescent="0.55000000000000004">
      <c r="A805" s="20">
        <v>5912</v>
      </c>
      <c r="B805" s="2" t="s">
        <v>169</v>
      </c>
      <c r="C805" s="2" t="s">
        <v>170</v>
      </c>
      <c r="D805" s="20">
        <v>2025</v>
      </c>
      <c r="E805" s="2" t="s">
        <v>4792</v>
      </c>
      <c r="F805" s="2" t="s">
        <v>4899</v>
      </c>
      <c r="G805" s="21">
        <v>7360000</v>
      </c>
      <c r="H805" s="23">
        <v>1.84E-2</v>
      </c>
      <c r="I805" s="37" t="s">
        <v>4778</v>
      </c>
      <c r="J805" s="2" t="s">
        <v>4779</v>
      </c>
      <c r="K805" s="2" t="s">
        <v>813</v>
      </c>
    </row>
    <row r="806" spans="1:11" ht="15.35" hidden="1" x14ac:dyDescent="0.55000000000000004">
      <c r="A806" s="20">
        <v>5873</v>
      </c>
      <c r="B806" s="2" t="s">
        <v>169</v>
      </c>
      <c r="C806" s="2" t="s">
        <v>170</v>
      </c>
      <c r="D806" s="20">
        <v>2025</v>
      </c>
      <c r="E806" s="2" t="s">
        <v>4792</v>
      </c>
      <c r="F806" s="2" t="s">
        <v>892</v>
      </c>
      <c r="G806" s="21">
        <v>6101441</v>
      </c>
      <c r="H806" s="23">
        <v>1.5299999999999999E-2</v>
      </c>
      <c r="I806" s="37" t="s">
        <v>4778</v>
      </c>
      <c r="J806" s="2" t="s">
        <v>4783</v>
      </c>
      <c r="K806" s="2" t="s">
        <v>787</v>
      </c>
    </row>
    <row r="807" spans="1:11" ht="15.35" hidden="1" x14ac:dyDescent="0.55000000000000004">
      <c r="A807" s="20">
        <v>5859</v>
      </c>
      <c r="B807" s="2" t="s">
        <v>169</v>
      </c>
      <c r="C807" s="2" t="s">
        <v>170</v>
      </c>
      <c r="D807" s="20">
        <v>2025</v>
      </c>
      <c r="E807" s="2" t="s">
        <v>4792</v>
      </c>
      <c r="F807" s="2" t="s">
        <v>1007</v>
      </c>
      <c r="G807" s="21">
        <v>6067897</v>
      </c>
      <c r="H807" s="23">
        <v>1.52E-2</v>
      </c>
      <c r="I807" s="37" t="s">
        <v>4778</v>
      </c>
      <c r="J807" s="2" t="s">
        <v>4783</v>
      </c>
      <c r="K807" s="2" t="s">
        <v>787</v>
      </c>
    </row>
    <row r="808" spans="1:11" ht="15.35" hidden="1" x14ac:dyDescent="0.55000000000000004">
      <c r="A808" s="20">
        <v>5858</v>
      </c>
      <c r="B808" s="2" t="s">
        <v>169</v>
      </c>
      <c r="C808" s="2" t="s">
        <v>170</v>
      </c>
      <c r="D808" s="20">
        <v>2025</v>
      </c>
      <c r="E808" s="2" t="s">
        <v>4792</v>
      </c>
      <c r="F808" s="2" t="s">
        <v>4804</v>
      </c>
      <c r="G808" s="21">
        <v>4918262</v>
      </c>
      <c r="H808" s="23">
        <v>1.23E-2</v>
      </c>
      <c r="I808" s="37" t="s">
        <v>4778</v>
      </c>
      <c r="J808" s="2" t="s">
        <v>4783</v>
      </c>
      <c r="K808" s="2" t="s">
        <v>789</v>
      </c>
    </row>
    <row r="809" spans="1:11" ht="15.35" hidden="1" x14ac:dyDescent="0.55000000000000004">
      <c r="A809" s="20">
        <v>5856</v>
      </c>
      <c r="B809" s="2" t="s">
        <v>169</v>
      </c>
      <c r="C809" s="2" t="s">
        <v>170</v>
      </c>
      <c r="D809" s="20">
        <v>2025</v>
      </c>
      <c r="E809" s="2" t="s">
        <v>4792</v>
      </c>
      <c r="F809" s="2" t="s">
        <v>904</v>
      </c>
      <c r="G809" s="21">
        <v>4675716</v>
      </c>
      <c r="H809" s="23">
        <v>1.17E-2</v>
      </c>
      <c r="I809" s="37" t="s">
        <v>4778</v>
      </c>
      <c r="J809" s="2" t="s">
        <v>4783</v>
      </c>
      <c r="K809" s="2" t="s">
        <v>787</v>
      </c>
    </row>
    <row r="810" spans="1:11" ht="15.35" hidden="1" x14ac:dyDescent="0.55000000000000004">
      <c r="A810" s="20">
        <v>5846</v>
      </c>
      <c r="B810" s="2" t="s">
        <v>169</v>
      </c>
      <c r="C810" s="2" t="s">
        <v>170</v>
      </c>
      <c r="D810" s="20">
        <v>2025</v>
      </c>
      <c r="E810" s="2" t="s">
        <v>4792</v>
      </c>
      <c r="F810" s="2" t="s">
        <v>4834</v>
      </c>
      <c r="G810" s="21">
        <v>4608384</v>
      </c>
      <c r="H810" s="23">
        <v>1.15E-2</v>
      </c>
      <c r="I810" s="37" t="s">
        <v>4778</v>
      </c>
      <c r="J810" s="2" t="s">
        <v>4783</v>
      </c>
      <c r="K810" s="2" t="s">
        <v>817</v>
      </c>
    </row>
    <row r="811" spans="1:11" ht="15.35" hidden="1" x14ac:dyDescent="0.55000000000000004">
      <c r="A811" s="20">
        <v>5844</v>
      </c>
      <c r="B811" s="2" t="s">
        <v>169</v>
      </c>
      <c r="C811" s="2" t="s">
        <v>170</v>
      </c>
      <c r="D811" s="20">
        <v>2025</v>
      </c>
      <c r="E811" s="2" t="s">
        <v>4792</v>
      </c>
      <c r="F811" s="2" t="s">
        <v>922</v>
      </c>
      <c r="G811" s="21">
        <v>3920884</v>
      </c>
      <c r="H811" s="23">
        <v>9.7999999999999997E-3</v>
      </c>
      <c r="I811" s="37" t="s">
        <v>4778</v>
      </c>
      <c r="J811" s="2" t="s">
        <v>4783</v>
      </c>
      <c r="K811" s="2" t="s">
        <v>787</v>
      </c>
    </row>
    <row r="812" spans="1:11" ht="15.35" hidden="1" x14ac:dyDescent="0.55000000000000004">
      <c r="A812" s="20">
        <v>7278</v>
      </c>
      <c r="B812" s="2" t="s">
        <v>169</v>
      </c>
      <c r="C812" s="2" t="s">
        <v>170</v>
      </c>
      <c r="D812" s="20">
        <v>2026</v>
      </c>
      <c r="E812" s="2" t="s">
        <v>4777</v>
      </c>
      <c r="F812" s="2" t="s">
        <v>3421</v>
      </c>
      <c r="G812" s="21">
        <v>40000000</v>
      </c>
      <c r="H812" s="23">
        <v>0.1</v>
      </c>
      <c r="I812" s="23">
        <v>0</v>
      </c>
      <c r="J812" s="2" t="s">
        <v>4779</v>
      </c>
      <c r="K812" s="2" t="s">
        <v>807</v>
      </c>
    </row>
    <row r="813" spans="1:11" ht="15.35" hidden="1" x14ac:dyDescent="0.55000000000000004">
      <c r="A813" s="20">
        <v>7279</v>
      </c>
      <c r="B813" s="2" t="s">
        <v>169</v>
      </c>
      <c r="C813" s="2" t="s">
        <v>170</v>
      </c>
      <c r="D813" s="20">
        <v>2026</v>
      </c>
      <c r="E813" s="2" t="s">
        <v>4777</v>
      </c>
      <c r="F813" s="2" t="s">
        <v>3404</v>
      </c>
      <c r="G813" s="21">
        <v>20000000</v>
      </c>
      <c r="H813" s="23">
        <v>0.05</v>
      </c>
      <c r="I813" s="23">
        <v>0</v>
      </c>
      <c r="J813" s="2" t="s">
        <v>4779</v>
      </c>
      <c r="K813" s="2" t="s">
        <v>807</v>
      </c>
    </row>
    <row r="814" spans="1:11" ht="15.35" hidden="1" x14ac:dyDescent="0.55000000000000004">
      <c r="A814" s="38">
        <v>7280</v>
      </c>
      <c r="B814" s="39" t="s">
        <v>169</v>
      </c>
      <c r="C814" s="39" t="s">
        <v>170</v>
      </c>
      <c r="D814" s="38">
        <v>2026</v>
      </c>
      <c r="E814" s="39" t="s">
        <v>4777</v>
      </c>
      <c r="F814" s="39" t="s">
        <v>4900</v>
      </c>
      <c r="G814" s="40">
        <v>20000000</v>
      </c>
      <c r="H814" s="41">
        <v>0.05</v>
      </c>
      <c r="I814" s="41">
        <v>0.05</v>
      </c>
      <c r="J814" s="39" t="s">
        <v>4779</v>
      </c>
      <c r="K814" s="39" t="s">
        <v>807</v>
      </c>
    </row>
    <row r="815" spans="1:11" ht="15.35" hidden="1" x14ac:dyDescent="0.55000000000000004">
      <c r="A815" s="20">
        <v>7167</v>
      </c>
      <c r="B815" s="2" t="s">
        <v>169</v>
      </c>
      <c r="C815" s="2" t="s">
        <v>170</v>
      </c>
      <c r="D815" s="20">
        <v>2026</v>
      </c>
      <c r="E815" s="2" t="s">
        <v>4777</v>
      </c>
      <c r="F815" s="2" t="s">
        <v>864</v>
      </c>
      <c r="G815" s="21">
        <v>15389746</v>
      </c>
      <c r="H815" s="23">
        <v>3.85E-2</v>
      </c>
      <c r="I815" s="23">
        <v>1.5900000000000001E-2</v>
      </c>
      <c r="J815" s="2" t="s">
        <v>4783</v>
      </c>
      <c r="K815" s="2" t="s">
        <v>787</v>
      </c>
    </row>
    <row r="816" spans="1:11" ht="15.35" hidden="1" x14ac:dyDescent="0.55000000000000004">
      <c r="A816" s="20">
        <v>7166</v>
      </c>
      <c r="B816" s="2" t="s">
        <v>169</v>
      </c>
      <c r="C816" s="2" t="s">
        <v>170</v>
      </c>
      <c r="D816" s="20">
        <v>2026</v>
      </c>
      <c r="E816" s="2" t="s">
        <v>4777</v>
      </c>
      <c r="F816" s="2" t="s">
        <v>1191</v>
      </c>
      <c r="G816" s="21">
        <v>14338518</v>
      </c>
      <c r="H816" s="23">
        <v>3.5799999999999998E-2</v>
      </c>
      <c r="I816" s="23">
        <v>2.9999999999999997E-4</v>
      </c>
      <c r="J816" s="2" t="s">
        <v>4783</v>
      </c>
      <c r="K816" s="2" t="s">
        <v>787</v>
      </c>
    </row>
    <row r="817" spans="1:11" ht="15.35" hidden="1" x14ac:dyDescent="0.55000000000000004">
      <c r="A817" s="38">
        <v>7290</v>
      </c>
      <c r="B817" s="39" t="s">
        <v>169</v>
      </c>
      <c r="C817" s="39" t="s">
        <v>170</v>
      </c>
      <c r="D817" s="38">
        <v>2026</v>
      </c>
      <c r="E817" s="39" t="s">
        <v>4777</v>
      </c>
      <c r="F817" s="39" t="s">
        <v>4901</v>
      </c>
      <c r="G817" s="40">
        <v>10320000</v>
      </c>
      <c r="H817" s="41">
        <v>2.58E-2</v>
      </c>
      <c r="I817" s="41">
        <v>2.58E-2</v>
      </c>
      <c r="J817" s="39" t="s">
        <v>4779</v>
      </c>
      <c r="K817" s="39" t="s">
        <v>811</v>
      </c>
    </row>
    <row r="818" spans="1:11" ht="15.35" hidden="1" x14ac:dyDescent="0.55000000000000004">
      <c r="A818" s="20">
        <v>7165</v>
      </c>
      <c r="B818" s="2" t="s">
        <v>169</v>
      </c>
      <c r="C818" s="2" t="s">
        <v>170</v>
      </c>
      <c r="D818" s="20">
        <v>2026</v>
      </c>
      <c r="E818" s="2" t="s">
        <v>4777</v>
      </c>
      <c r="F818" s="2" t="s">
        <v>788</v>
      </c>
      <c r="G818" s="21">
        <v>9823320</v>
      </c>
      <c r="H818" s="23">
        <v>2.46E-2</v>
      </c>
      <c r="I818" s="23">
        <v>2.8999999999999998E-3</v>
      </c>
      <c r="J818" s="2" t="s">
        <v>4783</v>
      </c>
      <c r="K818" s="2" t="s">
        <v>787</v>
      </c>
    </row>
    <row r="819" spans="1:11" ht="15.35" hidden="1" x14ac:dyDescent="0.55000000000000004">
      <c r="A819" s="38">
        <v>7164</v>
      </c>
      <c r="B819" s="39" t="s">
        <v>169</v>
      </c>
      <c r="C819" s="39" t="s">
        <v>170</v>
      </c>
      <c r="D819" s="38">
        <v>2026</v>
      </c>
      <c r="E819" s="39" t="s">
        <v>4777</v>
      </c>
      <c r="F819" s="39" t="s">
        <v>939</v>
      </c>
      <c r="G819" s="40">
        <v>9102275</v>
      </c>
      <c r="H819" s="41">
        <v>2.2800000000000001E-2</v>
      </c>
      <c r="I819" s="41">
        <v>2.2800000000000001E-2</v>
      </c>
      <c r="J819" s="39" t="s">
        <v>4783</v>
      </c>
      <c r="K819" s="39" t="s">
        <v>787</v>
      </c>
    </row>
    <row r="820" spans="1:11" ht="15.35" hidden="1" x14ac:dyDescent="0.55000000000000004">
      <c r="A820" s="38">
        <v>7173</v>
      </c>
      <c r="B820" s="39" t="s">
        <v>169</v>
      </c>
      <c r="C820" s="39" t="s">
        <v>170</v>
      </c>
      <c r="D820" s="38">
        <v>2026</v>
      </c>
      <c r="E820" s="39" t="s">
        <v>4777</v>
      </c>
      <c r="F820" s="39" t="s">
        <v>4902</v>
      </c>
      <c r="G820" s="40">
        <v>7360000</v>
      </c>
      <c r="H820" s="41">
        <v>1.84E-2</v>
      </c>
      <c r="I820" s="41">
        <v>1.84E-2</v>
      </c>
      <c r="J820" s="39" t="s">
        <v>4779</v>
      </c>
      <c r="K820" s="39" t="s">
        <v>817</v>
      </c>
    </row>
    <row r="821" spans="1:11" ht="15.35" hidden="1" x14ac:dyDescent="0.55000000000000004">
      <c r="A821" s="38">
        <v>7169</v>
      </c>
      <c r="B821" s="39" t="s">
        <v>169</v>
      </c>
      <c r="C821" s="39" t="s">
        <v>170</v>
      </c>
      <c r="D821" s="38">
        <v>2026</v>
      </c>
      <c r="E821" s="39" t="s">
        <v>4777</v>
      </c>
      <c r="F821" s="39" t="s">
        <v>4903</v>
      </c>
      <c r="G821" s="40">
        <v>7360000</v>
      </c>
      <c r="H821" s="41">
        <v>1.84E-2</v>
      </c>
      <c r="I821" s="41">
        <v>1.84E-2</v>
      </c>
      <c r="J821" s="39" t="s">
        <v>4779</v>
      </c>
      <c r="K821" s="39" t="s">
        <v>789</v>
      </c>
    </row>
    <row r="822" spans="1:11" ht="15.35" hidden="1" x14ac:dyDescent="0.55000000000000004">
      <c r="A822" s="38">
        <v>7171</v>
      </c>
      <c r="B822" s="39" t="s">
        <v>169</v>
      </c>
      <c r="C822" s="39" t="s">
        <v>170</v>
      </c>
      <c r="D822" s="38">
        <v>2026</v>
      </c>
      <c r="E822" s="39" t="s">
        <v>4777</v>
      </c>
      <c r="F822" s="39" t="s">
        <v>4077</v>
      </c>
      <c r="G822" s="40">
        <v>7360000</v>
      </c>
      <c r="H822" s="41">
        <v>1.84E-2</v>
      </c>
      <c r="I822" s="41">
        <v>1.84E-2</v>
      </c>
      <c r="J822" s="39" t="s">
        <v>4779</v>
      </c>
      <c r="K822" s="39" t="s">
        <v>817</v>
      </c>
    </row>
    <row r="823" spans="1:11" ht="15.35" hidden="1" x14ac:dyDescent="0.55000000000000004">
      <c r="A823" s="20">
        <v>7170</v>
      </c>
      <c r="B823" s="2" t="s">
        <v>169</v>
      </c>
      <c r="C823" s="2" t="s">
        <v>170</v>
      </c>
      <c r="D823" s="20">
        <v>2026</v>
      </c>
      <c r="E823" s="2" t="s">
        <v>4777</v>
      </c>
      <c r="F823" s="2" t="s">
        <v>815</v>
      </c>
      <c r="G823" s="21">
        <v>7360000</v>
      </c>
      <c r="H823" s="23">
        <v>1.84E-2</v>
      </c>
      <c r="I823" s="23">
        <v>0</v>
      </c>
      <c r="J823" s="2" t="s">
        <v>4779</v>
      </c>
      <c r="K823" s="2" t="s">
        <v>813</v>
      </c>
    </row>
    <row r="824" spans="1:11" ht="15.35" hidden="1" x14ac:dyDescent="0.55000000000000004">
      <c r="A824" s="38">
        <v>7172</v>
      </c>
      <c r="B824" s="39" t="s">
        <v>169</v>
      </c>
      <c r="C824" s="39" t="s">
        <v>170</v>
      </c>
      <c r="D824" s="38">
        <v>2026</v>
      </c>
      <c r="E824" s="39" t="s">
        <v>4777</v>
      </c>
      <c r="F824" s="39" t="s">
        <v>4904</v>
      </c>
      <c r="G824" s="40">
        <v>7360000</v>
      </c>
      <c r="H824" s="41">
        <v>1.84E-2</v>
      </c>
      <c r="I824" s="41">
        <v>1.84E-2</v>
      </c>
      <c r="J824" s="39" t="s">
        <v>4779</v>
      </c>
      <c r="K824" s="39" t="s">
        <v>789</v>
      </c>
    </row>
    <row r="825" spans="1:11" ht="15.35" hidden="1" x14ac:dyDescent="0.55000000000000004">
      <c r="A825" s="38">
        <v>7168</v>
      </c>
      <c r="B825" s="39" t="s">
        <v>169</v>
      </c>
      <c r="C825" s="39" t="s">
        <v>170</v>
      </c>
      <c r="D825" s="38">
        <v>2026</v>
      </c>
      <c r="E825" s="39" t="s">
        <v>4777</v>
      </c>
      <c r="F825" s="39" t="s">
        <v>4905</v>
      </c>
      <c r="G825" s="40">
        <v>7360000</v>
      </c>
      <c r="H825" s="41">
        <v>1.84E-2</v>
      </c>
      <c r="I825" s="41">
        <v>1.84E-2</v>
      </c>
      <c r="J825" s="39" t="s">
        <v>4779</v>
      </c>
      <c r="K825" s="39" t="s">
        <v>813</v>
      </c>
    </row>
    <row r="826" spans="1:11" ht="15.35" hidden="1" x14ac:dyDescent="0.55000000000000004">
      <c r="A826" s="20">
        <v>7163</v>
      </c>
      <c r="B826" s="2" t="s">
        <v>169</v>
      </c>
      <c r="C826" s="2" t="s">
        <v>170</v>
      </c>
      <c r="D826" s="20">
        <v>2026</v>
      </c>
      <c r="E826" s="2" t="s">
        <v>4777</v>
      </c>
      <c r="F826" s="2" t="s">
        <v>892</v>
      </c>
      <c r="G826" s="21">
        <v>6444169</v>
      </c>
      <c r="H826" s="23">
        <v>1.61E-2</v>
      </c>
      <c r="I826" s="23">
        <v>8.0000000000000004E-4</v>
      </c>
      <c r="J826" s="2" t="s">
        <v>4783</v>
      </c>
      <c r="K826" s="2" t="s">
        <v>787</v>
      </c>
    </row>
    <row r="827" spans="1:11" ht="15.35" hidden="1" x14ac:dyDescent="0.55000000000000004">
      <c r="A827" s="38">
        <v>7162</v>
      </c>
      <c r="B827" s="39" t="s">
        <v>169</v>
      </c>
      <c r="C827" s="39" t="s">
        <v>170</v>
      </c>
      <c r="D827" s="38">
        <v>2026</v>
      </c>
      <c r="E827" s="39" t="s">
        <v>4777</v>
      </c>
      <c r="F827" s="39" t="s">
        <v>4845</v>
      </c>
      <c r="G827" s="40">
        <v>4622284</v>
      </c>
      <c r="H827" s="41">
        <v>1.1599999999999999E-2</v>
      </c>
      <c r="I827" s="41">
        <v>1.1599999999999999E-2</v>
      </c>
      <c r="J827" s="39" t="s">
        <v>4783</v>
      </c>
      <c r="K827" s="39" t="s">
        <v>817</v>
      </c>
    </row>
    <row r="828" spans="1:11" ht="15.35" hidden="1" x14ac:dyDescent="0.55000000000000004">
      <c r="A828" s="38">
        <v>7161</v>
      </c>
      <c r="B828" s="39" t="s">
        <v>169</v>
      </c>
      <c r="C828" s="39" t="s">
        <v>170</v>
      </c>
      <c r="D828" s="38">
        <v>2026</v>
      </c>
      <c r="E828" s="39" t="s">
        <v>4777</v>
      </c>
      <c r="F828" s="39" t="s">
        <v>4807</v>
      </c>
      <c r="G828" s="40">
        <v>4462398</v>
      </c>
      <c r="H828" s="41">
        <v>1.12E-2</v>
      </c>
      <c r="I828" s="41">
        <v>1.12E-2</v>
      </c>
      <c r="J828" s="39" t="s">
        <v>4783</v>
      </c>
      <c r="K828" s="39" t="s">
        <v>811</v>
      </c>
    </row>
    <row r="829" spans="1:11" ht="15.35" hidden="1" x14ac:dyDescent="0.55000000000000004">
      <c r="A829" s="20">
        <v>7160</v>
      </c>
      <c r="B829" s="2" t="s">
        <v>169</v>
      </c>
      <c r="C829" s="2" t="s">
        <v>170</v>
      </c>
      <c r="D829" s="20">
        <v>2026</v>
      </c>
      <c r="E829" s="2" t="s">
        <v>4777</v>
      </c>
      <c r="F829" s="2" t="s">
        <v>904</v>
      </c>
      <c r="G829" s="21">
        <v>4250541</v>
      </c>
      <c r="H829" s="23">
        <v>1.06E-2</v>
      </c>
      <c r="I829" s="23">
        <v>-1.1000000000000001E-3</v>
      </c>
      <c r="J829" s="2" t="s">
        <v>4783</v>
      </c>
      <c r="K829" s="2" t="s">
        <v>787</v>
      </c>
    </row>
    <row r="830" spans="1:11" ht="15.35" hidden="1" x14ac:dyDescent="0.55000000000000004">
      <c r="A830" s="38">
        <v>7159</v>
      </c>
      <c r="B830" s="39" t="s">
        <v>169</v>
      </c>
      <c r="C830" s="39" t="s">
        <v>170</v>
      </c>
      <c r="D830" s="38">
        <v>2026</v>
      </c>
      <c r="E830" s="39" t="s">
        <v>4777</v>
      </c>
      <c r="F830" s="39" t="s">
        <v>4864</v>
      </c>
      <c r="G830" s="40">
        <v>4174769</v>
      </c>
      <c r="H830" s="41">
        <v>1.04E-2</v>
      </c>
      <c r="I830" s="41">
        <v>1.04E-2</v>
      </c>
      <c r="J830" s="39" t="s">
        <v>4783</v>
      </c>
      <c r="K830" s="39" t="s">
        <v>789</v>
      </c>
    </row>
    <row r="831" spans="1:11" ht="15.35" hidden="1" x14ac:dyDescent="0.55000000000000004">
      <c r="A831" s="38">
        <v>7158</v>
      </c>
      <c r="B831" s="39" t="s">
        <v>169</v>
      </c>
      <c r="C831" s="39" t="s">
        <v>170</v>
      </c>
      <c r="D831" s="38">
        <v>2026</v>
      </c>
      <c r="E831" s="39" t="s">
        <v>4777</v>
      </c>
      <c r="F831" s="39" t="s">
        <v>4906</v>
      </c>
      <c r="G831" s="40">
        <v>3704339</v>
      </c>
      <c r="H831" s="41">
        <v>9.2999999999999992E-3</v>
      </c>
      <c r="I831" s="41">
        <v>9.2999999999999992E-3</v>
      </c>
      <c r="J831" s="39" t="s">
        <v>4783</v>
      </c>
      <c r="K831" s="39" t="s">
        <v>817</v>
      </c>
    </row>
    <row r="832" spans="1:11" ht="15.35" hidden="1" x14ac:dyDescent="0.55000000000000004">
      <c r="A832" s="42"/>
      <c r="B832" s="43" t="s">
        <v>169</v>
      </c>
      <c r="C832" s="43" t="s">
        <v>170</v>
      </c>
      <c r="D832" s="44">
        <v>2026</v>
      </c>
      <c r="E832" s="43" t="s">
        <v>4777</v>
      </c>
      <c r="F832" s="43" t="s">
        <v>4895</v>
      </c>
      <c r="G832" s="45"/>
      <c r="H832" s="46">
        <v>0</v>
      </c>
      <c r="I832" s="46">
        <v>-1.84E-2</v>
      </c>
      <c r="J832" s="43" t="s">
        <v>4779</v>
      </c>
      <c r="K832" s="43" t="s">
        <v>817</v>
      </c>
    </row>
    <row r="833" spans="1:11" ht="15.35" hidden="1" x14ac:dyDescent="0.55000000000000004">
      <c r="A833" s="42"/>
      <c r="B833" s="43" t="s">
        <v>169</v>
      </c>
      <c r="C833" s="43" t="s">
        <v>170</v>
      </c>
      <c r="D833" s="44">
        <v>2026</v>
      </c>
      <c r="E833" s="43" t="s">
        <v>4777</v>
      </c>
      <c r="F833" s="43" t="s">
        <v>1007</v>
      </c>
      <c r="G833" s="45"/>
      <c r="H833" s="46">
        <v>0</v>
      </c>
      <c r="I833" s="46">
        <v>-1.52E-2</v>
      </c>
      <c r="J833" s="43" t="s">
        <v>4783</v>
      </c>
      <c r="K833" s="43" t="s">
        <v>787</v>
      </c>
    </row>
    <row r="834" spans="1:11" ht="15.35" hidden="1" x14ac:dyDescent="0.55000000000000004">
      <c r="A834" s="42"/>
      <c r="B834" s="43" t="s">
        <v>169</v>
      </c>
      <c r="C834" s="43" t="s">
        <v>170</v>
      </c>
      <c r="D834" s="44">
        <v>2026</v>
      </c>
      <c r="E834" s="43" t="s">
        <v>4777</v>
      </c>
      <c r="F834" s="43" t="s">
        <v>4896</v>
      </c>
      <c r="G834" s="45"/>
      <c r="H834" s="46">
        <v>0</v>
      </c>
      <c r="I834" s="46">
        <v>-1.84E-2</v>
      </c>
      <c r="J834" s="43" t="s">
        <v>4779</v>
      </c>
      <c r="K834" s="43" t="s">
        <v>789</v>
      </c>
    </row>
    <row r="835" spans="1:11" ht="15.35" hidden="1" x14ac:dyDescent="0.55000000000000004">
      <c r="A835" s="42"/>
      <c r="B835" s="43" t="s">
        <v>169</v>
      </c>
      <c r="C835" s="43" t="s">
        <v>170</v>
      </c>
      <c r="D835" s="44">
        <v>2026</v>
      </c>
      <c r="E835" s="43" t="s">
        <v>4777</v>
      </c>
      <c r="F835" s="43" t="s">
        <v>4893</v>
      </c>
      <c r="G835" s="45"/>
      <c r="H835" s="46">
        <v>0</v>
      </c>
      <c r="I835" s="46">
        <v>-0.05</v>
      </c>
      <c r="J835" s="43" t="s">
        <v>4779</v>
      </c>
      <c r="K835" s="43" t="s">
        <v>807</v>
      </c>
    </row>
    <row r="836" spans="1:11" ht="15.35" hidden="1" x14ac:dyDescent="0.55000000000000004">
      <c r="A836" s="42"/>
      <c r="B836" s="43" t="s">
        <v>169</v>
      </c>
      <c r="C836" s="43" t="s">
        <v>170</v>
      </c>
      <c r="D836" s="44">
        <v>2026</v>
      </c>
      <c r="E836" s="43" t="s">
        <v>4777</v>
      </c>
      <c r="F836" s="43" t="s">
        <v>4897</v>
      </c>
      <c r="G836" s="45"/>
      <c r="H836" s="46">
        <v>0</v>
      </c>
      <c r="I836" s="46">
        <v>-1.84E-2</v>
      </c>
      <c r="J836" s="43" t="s">
        <v>4779</v>
      </c>
      <c r="K836" s="43" t="s">
        <v>817</v>
      </c>
    </row>
    <row r="837" spans="1:11" ht="15.35" hidden="1" x14ac:dyDescent="0.55000000000000004">
      <c r="A837" s="42"/>
      <c r="B837" s="43" t="s">
        <v>169</v>
      </c>
      <c r="C837" s="43" t="s">
        <v>170</v>
      </c>
      <c r="D837" s="44">
        <v>2026</v>
      </c>
      <c r="E837" s="43" t="s">
        <v>4777</v>
      </c>
      <c r="F837" s="43" t="s">
        <v>4805</v>
      </c>
      <c r="G837" s="45"/>
      <c r="H837" s="46">
        <v>0</v>
      </c>
      <c r="I837" s="46">
        <v>-1.8499999999999999E-2</v>
      </c>
      <c r="J837" s="43" t="s">
        <v>4783</v>
      </c>
      <c r="K837" s="43" t="s">
        <v>817</v>
      </c>
    </row>
    <row r="838" spans="1:11" ht="15.35" hidden="1" x14ac:dyDescent="0.55000000000000004">
      <c r="A838" s="42"/>
      <c r="B838" s="43" t="s">
        <v>169</v>
      </c>
      <c r="C838" s="43" t="s">
        <v>170</v>
      </c>
      <c r="D838" s="44">
        <v>2026</v>
      </c>
      <c r="E838" s="43" t="s">
        <v>4777</v>
      </c>
      <c r="F838" s="43" t="s">
        <v>922</v>
      </c>
      <c r="G838" s="45"/>
      <c r="H838" s="46">
        <v>0</v>
      </c>
      <c r="I838" s="46">
        <v>-9.7999999999999997E-3</v>
      </c>
      <c r="J838" s="43" t="s">
        <v>4783</v>
      </c>
      <c r="K838" s="43" t="s">
        <v>787</v>
      </c>
    </row>
    <row r="839" spans="1:11" ht="15.35" hidden="1" x14ac:dyDescent="0.55000000000000004">
      <c r="A839" s="42"/>
      <c r="B839" s="43" t="s">
        <v>169</v>
      </c>
      <c r="C839" s="43" t="s">
        <v>170</v>
      </c>
      <c r="D839" s="44">
        <v>2026</v>
      </c>
      <c r="E839" s="43" t="s">
        <v>4777</v>
      </c>
      <c r="F839" s="43" t="s">
        <v>4894</v>
      </c>
      <c r="G839" s="45"/>
      <c r="H839" s="46">
        <v>0</v>
      </c>
      <c r="I839" s="46">
        <v>-2.58E-2</v>
      </c>
      <c r="J839" s="43" t="s">
        <v>4779</v>
      </c>
      <c r="K839" s="43" t="s">
        <v>811</v>
      </c>
    </row>
    <row r="840" spans="1:11" ht="15.35" hidden="1" x14ac:dyDescent="0.55000000000000004">
      <c r="A840" s="42"/>
      <c r="B840" s="43" t="s">
        <v>169</v>
      </c>
      <c r="C840" s="43" t="s">
        <v>170</v>
      </c>
      <c r="D840" s="44">
        <v>2026</v>
      </c>
      <c r="E840" s="43" t="s">
        <v>4777</v>
      </c>
      <c r="F840" s="43" t="s">
        <v>4804</v>
      </c>
      <c r="G840" s="45"/>
      <c r="H840" s="46">
        <v>0</v>
      </c>
      <c r="I840" s="46">
        <v>-1.23E-2</v>
      </c>
      <c r="J840" s="43" t="s">
        <v>4783</v>
      </c>
      <c r="K840" s="43" t="s">
        <v>789</v>
      </c>
    </row>
    <row r="841" spans="1:11" ht="15.35" hidden="1" x14ac:dyDescent="0.55000000000000004">
      <c r="A841" s="42"/>
      <c r="B841" s="43" t="s">
        <v>169</v>
      </c>
      <c r="C841" s="43" t="s">
        <v>170</v>
      </c>
      <c r="D841" s="44">
        <v>2026</v>
      </c>
      <c r="E841" s="43" t="s">
        <v>4777</v>
      </c>
      <c r="F841" s="43" t="s">
        <v>4898</v>
      </c>
      <c r="G841" s="45"/>
      <c r="H841" s="46">
        <v>0</v>
      </c>
      <c r="I841" s="46">
        <v>-1.84E-2</v>
      </c>
      <c r="J841" s="43" t="s">
        <v>4779</v>
      </c>
      <c r="K841" s="43" t="s">
        <v>789</v>
      </c>
    </row>
    <row r="842" spans="1:11" ht="15.35" hidden="1" x14ac:dyDescent="0.55000000000000004">
      <c r="A842" s="42"/>
      <c r="B842" s="43" t="s">
        <v>169</v>
      </c>
      <c r="C842" s="43" t="s">
        <v>170</v>
      </c>
      <c r="D842" s="44">
        <v>2026</v>
      </c>
      <c r="E842" s="43" t="s">
        <v>4777</v>
      </c>
      <c r="F842" s="43" t="s">
        <v>4834</v>
      </c>
      <c r="G842" s="45"/>
      <c r="H842" s="46">
        <v>0</v>
      </c>
      <c r="I842" s="46">
        <v>-1.15E-2</v>
      </c>
      <c r="J842" s="43" t="s">
        <v>4783</v>
      </c>
      <c r="K842" s="43" t="s">
        <v>817</v>
      </c>
    </row>
    <row r="843" spans="1:11" ht="15.35" hidden="1" x14ac:dyDescent="0.55000000000000004">
      <c r="A843" s="42"/>
      <c r="B843" s="43" t="s">
        <v>169</v>
      </c>
      <c r="C843" s="43" t="s">
        <v>170</v>
      </c>
      <c r="D843" s="44">
        <v>2026</v>
      </c>
      <c r="E843" s="43" t="s">
        <v>4777</v>
      </c>
      <c r="F843" s="43" t="s">
        <v>4899</v>
      </c>
      <c r="G843" s="45"/>
      <c r="H843" s="46">
        <v>0</v>
      </c>
      <c r="I843" s="46">
        <v>-1.84E-2</v>
      </c>
      <c r="J843" s="43" t="s">
        <v>4779</v>
      </c>
      <c r="K843" s="43" t="s">
        <v>813</v>
      </c>
    </row>
    <row r="844" spans="1:11" ht="15.35" hidden="1" x14ac:dyDescent="0.55000000000000004">
      <c r="A844" s="20">
        <v>5840</v>
      </c>
      <c r="B844" s="2" t="s">
        <v>176</v>
      </c>
      <c r="C844" s="2" t="s">
        <v>177</v>
      </c>
      <c r="D844" s="20">
        <v>2025</v>
      </c>
      <c r="E844" s="2" t="s">
        <v>4792</v>
      </c>
      <c r="F844" s="2" t="s">
        <v>2684</v>
      </c>
      <c r="G844" s="21">
        <v>510000000</v>
      </c>
      <c r="H844" s="23">
        <v>0.51</v>
      </c>
      <c r="I844" s="37" t="s">
        <v>4778</v>
      </c>
      <c r="J844" s="2" t="s">
        <v>4779</v>
      </c>
      <c r="K844" s="2" t="s">
        <v>807</v>
      </c>
    </row>
    <row r="845" spans="1:11" ht="15.35" hidden="1" x14ac:dyDescent="0.55000000000000004">
      <c r="A845" s="20">
        <v>5776</v>
      </c>
      <c r="B845" s="2" t="s">
        <v>176</v>
      </c>
      <c r="C845" s="2" t="s">
        <v>177</v>
      </c>
      <c r="D845" s="20">
        <v>2025</v>
      </c>
      <c r="E845" s="2" t="s">
        <v>4792</v>
      </c>
      <c r="F845" s="2" t="s">
        <v>1191</v>
      </c>
      <c r="G845" s="21">
        <v>21423743</v>
      </c>
      <c r="H845" s="23">
        <v>2.1399999999999999E-2</v>
      </c>
      <c r="I845" s="37" t="s">
        <v>4778</v>
      </c>
      <c r="J845" s="2" t="s">
        <v>4783</v>
      </c>
      <c r="K845" s="2" t="s">
        <v>787</v>
      </c>
    </row>
    <row r="846" spans="1:11" ht="15.35" hidden="1" x14ac:dyDescent="0.55000000000000004">
      <c r="A846" s="20">
        <v>5777</v>
      </c>
      <c r="B846" s="2" t="s">
        <v>176</v>
      </c>
      <c r="C846" s="2" t="s">
        <v>177</v>
      </c>
      <c r="D846" s="20">
        <v>2025</v>
      </c>
      <c r="E846" s="2" t="s">
        <v>4792</v>
      </c>
      <c r="F846" s="2" t="s">
        <v>4907</v>
      </c>
      <c r="G846" s="21">
        <v>15349771</v>
      </c>
      <c r="H846" s="23">
        <v>1.5299999999999999E-2</v>
      </c>
      <c r="I846" s="37" t="s">
        <v>4778</v>
      </c>
      <c r="J846" s="2" t="s">
        <v>4783</v>
      </c>
      <c r="K846" s="2" t="s">
        <v>811</v>
      </c>
    </row>
    <row r="847" spans="1:11" ht="15.35" hidden="1" x14ac:dyDescent="0.55000000000000004">
      <c r="A847" s="20">
        <v>5778</v>
      </c>
      <c r="B847" s="2" t="s">
        <v>176</v>
      </c>
      <c r="C847" s="2" t="s">
        <v>177</v>
      </c>
      <c r="D847" s="20">
        <v>2025</v>
      </c>
      <c r="E847" s="2" t="s">
        <v>4792</v>
      </c>
      <c r="F847" s="2" t="s">
        <v>788</v>
      </c>
      <c r="G847" s="21">
        <v>15080077</v>
      </c>
      <c r="H847" s="23">
        <v>1.5100000000000001E-2</v>
      </c>
      <c r="I847" s="37" t="s">
        <v>4778</v>
      </c>
      <c r="J847" s="2" t="s">
        <v>4783</v>
      </c>
      <c r="K847" s="2" t="s">
        <v>787</v>
      </c>
    </row>
    <row r="848" spans="1:11" ht="15.35" hidden="1" x14ac:dyDescent="0.55000000000000004">
      <c r="A848" s="20">
        <v>5780</v>
      </c>
      <c r="B848" s="2" t="s">
        <v>176</v>
      </c>
      <c r="C848" s="2" t="s">
        <v>177</v>
      </c>
      <c r="D848" s="20">
        <v>2025</v>
      </c>
      <c r="E848" s="2" t="s">
        <v>4792</v>
      </c>
      <c r="F848" s="2" t="s">
        <v>892</v>
      </c>
      <c r="G848" s="21">
        <v>10696126</v>
      </c>
      <c r="H848" s="23">
        <v>1.0699999999999999E-2</v>
      </c>
      <c r="I848" s="37" t="s">
        <v>4778</v>
      </c>
      <c r="J848" s="2" t="s">
        <v>4783</v>
      </c>
      <c r="K848" s="2" t="s">
        <v>787</v>
      </c>
    </row>
    <row r="849" spans="1:11" ht="15.35" hidden="1" x14ac:dyDescent="0.55000000000000004">
      <c r="A849" s="20">
        <v>5885</v>
      </c>
      <c r="B849" s="2" t="s">
        <v>176</v>
      </c>
      <c r="C849" s="2" t="s">
        <v>177</v>
      </c>
      <c r="D849" s="20">
        <v>2025</v>
      </c>
      <c r="E849" s="2" t="s">
        <v>4792</v>
      </c>
      <c r="F849" s="2" t="s">
        <v>4908</v>
      </c>
      <c r="G849" s="21">
        <v>9000000</v>
      </c>
      <c r="H849" s="23">
        <v>8.9999999999999993E-3</v>
      </c>
      <c r="I849" s="37" t="s">
        <v>4778</v>
      </c>
      <c r="J849" s="2" t="s">
        <v>4779</v>
      </c>
      <c r="K849" s="2" t="s">
        <v>813</v>
      </c>
    </row>
    <row r="850" spans="1:11" ht="15.35" hidden="1" x14ac:dyDescent="0.55000000000000004">
      <c r="A850" s="20">
        <v>5790</v>
      </c>
      <c r="B850" s="2" t="s">
        <v>176</v>
      </c>
      <c r="C850" s="2" t="s">
        <v>177</v>
      </c>
      <c r="D850" s="20">
        <v>2025</v>
      </c>
      <c r="E850" s="2" t="s">
        <v>4792</v>
      </c>
      <c r="F850" s="2" t="s">
        <v>922</v>
      </c>
      <c r="G850" s="21">
        <v>8895652</v>
      </c>
      <c r="H850" s="23">
        <v>8.8999999999999999E-3</v>
      </c>
      <c r="I850" s="37" t="s">
        <v>4778</v>
      </c>
      <c r="J850" s="2" t="s">
        <v>4783</v>
      </c>
      <c r="K850" s="2" t="s">
        <v>787</v>
      </c>
    </row>
    <row r="851" spans="1:11" ht="15.35" hidden="1" x14ac:dyDescent="0.55000000000000004">
      <c r="A851" s="20">
        <v>5839</v>
      </c>
      <c r="B851" s="2" t="s">
        <v>176</v>
      </c>
      <c r="C851" s="2" t="s">
        <v>177</v>
      </c>
      <c r="D851" s="20">
        <v>2025</v>
      </c>
      <c r="E851" s="2" t="s">
        <v>4792</v>
      </c>
      <c r="F851" s="2" t="s">
        <v>4894</v>
      </c>
      <c r="G851" s="21">
        <v>8800000</v>
      </c>
      <c r="H851" s="23">
        <v>8.8000000000000005E-3</v>
      </c>
      <c r="I851" s="37" t="s">
        <v>4778</v>
      </c>
      <c r="J851" s="2" t="s">
        <v>4779</v>
      </c>
      <c r="K851" s="2" t="s">
        <v>811</v>
      </c>
    </row>
    <row r="852" spans="1:11" ht="15.35" hidden="1" x14ac:dyDescent="0.55000000000000004">
      <c r="A852" s="20">
        <v>5781</v>
      </c>
      <c r="B852" s="2" t="s">
        <v>176</v>
      </c>
      <c r="C852" s="2" t="s">
        <v>177</v>
      </c>
      <c r="D852" s="20">
        <v>2025</v>
      </c>
      <c r="E852" s="2" t="s">
        <v>4792</v>
      </c>
      <c r="F852" s="2" t="s">
        <v>939</v>
      </c>
      <c r="G852" s="21">
        <v>8793469</v>
      </c>
      <c r="H852" s="23">
        <v>8.8000000000000005E-3</v>
      </c>
      <c r="I852" s="37" t="s">
        <v>4778</v>
      </c>
      <c r="J852" s="2" t="s">
        <v>4783</v>
      </c>
      <c r="K852" s="2" t="s">
        <v>787</v>
      </c>
    </row>
    <row r="853" spans="1:11" ht="15.35" hidden="1" x14ac:dyDescent="0.55000000000000004">
      <c r="A853" s="20">
        <v>5791</v>
      </c>
      <c r="B853" s="2" t="s">
        <v>176</v>
      </c>
      <c r="C853" s="2" t="s">
        <v>177</v>
      </c>
      <c r="D853" s="20">
        <v>2025</v>
      </c>
      <c r="E853" s="2" t="s">
        <v>4792</v>
      </c>
      <c r="F853" s="2" t="s">
        <v>4909</v>
      </c>
      <c r="G853" s="21">
        <v>7400000</v>
      </c>
      <c r="H853" s="23">
        <v>7.4000000000000003E-3</v>
      </c>
      <c r="I853" s="37" t="s">
        <v>4778</v>
      </c>
      <c r="J853" s="2" t="s">
        <v>4779</v>
      </c>
      <c r="K853" s="2" t="s">
        <v>789</v>
      </c>
    </row>
    <row r="854" spans="1:11" ht="15.35" hidden="1" x14ac:dyDescent="0.55000000000000004">
      <c r="A854" s="20">
        <v>5770</v>
      </c>
      <c r="B854" s="2" t="s">
        <v>176</v>
      </c>
      <c r="C854" s="2" t="s">
        <v>177</v>
      </c>
      <c r="D854" s="20">
        <v>2025</v>
      </c>
      <c r="E854" s="2" t="s">
        <v>4792</v>
      </c>
      <c r="F854" s="2" t="s">
        <v>4898</v>
      </c>
      <c r="G854" s="21">
        <v>7400000</v>
      </c>
      <c r="H854" s="23">
        <v>7.4000000000000003E-3</v>
      </c>
      <c r="I854" s="37" t="s">
        <v>4778</v>
      </c>
      <c r="J854" s="2" t="s">
        <v>4779</v>
      </c>
      <c r="K854" s="2" t="s">
        <v>789</v>
      </c>
    </row>
    <row r="855" spans="1:11" ht="15.35" hidden="1" x14ac:dyDescent="0.55000000000000004">
      <c r="A855" s="20">
        <v>5782</v>
      </c>
      <c r="B855" s="2" t="s">
        <v>176</v>
      </c>
      <c r="C855" s="2" t="s">
        <v>177</v>
      </c>
      <c r="D855" s="20">
        <v>2025</v>
      </c>
      <c r="E855" s="2" t="s">
        <v>4792</v>
      </c>
      <c r="F855" s="2" t="s">
        <v>4835</v>
      </c>
      <c r="G855" s="21">
        <v>7006122</v>
      </c>
      <c r="H855" s="23">
        <v>7.0000000000000001E-3</v>
      </c>
      <c r="I855" s="37" t="s">
        <v>4778</v>
      </c>
      <c r="J855" s="2" t="s">
        <v>4783</v>
      </c>
      <c r="K855" s="2" t="s">
        <v>793</v>
      </c>
    </row>
    <row r="856" spans="1:11" ht="15.35" hidden="1" x14ac:dyDescent="0.55000000000000004">
      <c r="A856" s="20">
        <v>5783</v>
      </c>
      <c r="B856" s="2" t="s">
        <v>176</v>
      </c>
      <c r="C856" s="2" t="s">
        <v>177</v>
      </c>
      <c r="D856" s="20">
        <v>2025</v>
      </c>
      <c r="E856" s="2" t="s">
        <v>4792</v>
      </c>
      <c r="F856" s="2" t="s">
        <v>972</v>
      </c>
      <c r="G856" s="21">
        <v>5763789</v>
      </c>
      <c r="H856" s="23">
        <v>5.7999999999999996E-3</v>
      </c>
      <c r="I856" s="37" t="s">
        <v>4778</v>
      </c>
      <c r="J856" s="2" t="s">
        <v>4783</v>
      </c>
      <c r="K856" s="2" t="s">
        <v>787</v>
      </c>
    </row>
    <row r="857" spans="1:11" ht="15.35" hidden="1" x14ac:dyDescent="0.55000000000000004">
      <c r="A857" s="20">
        <v>5784</v>
      </c>
      <c r="B857" s="2" t="s">
        <v>176</v>
      </c>
      <c r="C857" s="2" t="s">
        <v>177</v>
      </c>
      <c r="D857" s="20">
        <v>2025</v>
      </c>
      <c r="E857" s="2" t="s">
        <v>4792</v>
      </c>
      <c r="F857" s="2" t="s">
        <v>4837</v>
      </c>
      <c r="G857" s="21">
        <v>4945227</v>
      </c>
      <c r="H857" s="23">
        <v>4.8999999999999998E-3</v>
      </c>
      <c r="I857" s="37" t="s">
        <v>4778</v>
      </c>
      <c r="J857" s="2" t="s">
        <v>4783</v>
      </c>
      <c r="K857" s="2" t="s">
        <v>789</v>
      </c>
    </row>
    <row r="858" spans="1:11" ht="15.35" hidden="1" x14ac:dyDescent="0.55000000000000004">
      <c r="A858" s="20">
        <v>5785</v>
      </c>
      <c r="B858" s="2" t="s">
        <v>176</v>
      </c>
      <c r="C858" s="2" t="s">
        <v>177</v>
      </c>
      <c r="D858" s="20">
        <v>2025</v>
      </c>
      <c r="E858" s="2" t="s">
        <v>4792</v>
      </c>
      <c r="F858" s="2" t="s">
        <v>4910</v>
      </c>
      <c r="G858" s="21">
        <v>4756590</v>
      </c>
      <c r="H858" s="23">
        <v>4.7999999999999996E-3</v>
      </c>
      <c r="I858" s="37" t="s">
        <v>4778</v>
      </c>
      <c r="J858" s="2" t="s">
        <v>4783</v>
      </c>
      <c r="K858" s="2" t="s">
        <v>789</v>
      </c>
    </row>
    <row r="859" spans="1:11" ht="15.35" hidden="1" x14ac:dyDescent="0.55000000000000004">
      <c r="A859" s="20">
        <v>5775</v>
      </c>
      <c r="B859" s="2" t="s">
        <v>176</v>
      </c>
      <c r="C859" s="2" t="s">
        <v>177</v>
      </c>
      <c r="D859" s="20">
        <v>2025</v>
      </c>
      <c r="E859" s="2" t="s">
        <v>4792</v>
      </c>
      <c r="F859" s="2" t="s">
        <v>4910</v>
      </c>
      <c r="G859" s="21">
        <v>4500000</v>
      </c>
      <c r="H859" s="23">
        <v>4.4999999999999997E-3</v>
      </c>
      <c r="I859" s="37" t="s">
        <v>4778</v>
      </c>
      <c r="J859" s="2" t="s">
        <v>4779</v>
      </c>
      <c r="K859" s="2" t="s">
        <v>789</v>
      </c>
    </row>
    <row r="860" spans="1:11" ht="15.35" hidden="1" x14ac:dyDescent="0.55000000000000004">
      <c r="A860" s="20">
        <v>5772</v>
      </c>
      <c r="B860" s="2" t="s">
        <v>176</v>
      </c>
      <c r="C860" s="2" t="s">
        <v>177</v>
      </c>
      <c r="D860" s="20">
        <v>2025</v>
      </c>
      <c r="E860" s="2" t="s">
        <v>4792</v>
      </c>
      <c r="F860" s="2" t="s">
        <v>788</v>
      </c>
      <c r="G860" s="21">
        <v>4500000</v>
      </c>
      <c r="H860" s="23">
        <v>4.4999999999999997E-3</v>
      </c>
      <c r="I860" s="37" t="s">
        <v>4778</v>
      </c>
      <c r="J860" s="2" t="s">
        <v>4779</v>
      </c>
      <c r="K860" s="2" t="s">
        <v>787</v>
      </c>
    </row>
    <row r="861" spans="1:11" ht="15.35" hidden="1" x14ac:dyDescent="0.55000000000000004">
      <c r="A861" s="20">
        <v>5773</v>
      </c>
      <c r="B861" s="2" t="s">
        <v>176</v>
      </c>
      <c r="C861" s="2" t="s">
        <v>177</v>
      </c>
      <c r="D861" s="20">
        <v>2025</v>
      </c>
      <c r="E861" s="2" t="s">
        <v>4792</v>
      </c>
      <c r="F861" s="2" t="s">
        <v>892</v>
      </c>
      <c r="G861" s="21">
        <v>4500000</v>
      </c>
      <c r="H861" s="23">
        <v>4.4999999999999997E-3</v>
      </c>
      <c r="I861" s="37" t="s">
        <v>4778</v>
      </c>
      <c r="J861" s="2" t="s">
        <v>4779</v>
      </c>
      <c r="K861" s="2" t="s">
        <v>787</v>
      </c>
    </row>
    <row r="862" spans="1:11" ht="15.35" hidden="1" x14ac:dyDescent="0.55000000000000004">
      <c r="A862" s="20">
        <v>5774</v>
      </c>
      <c r="B862" s="2" t="s">
        <v>176</v>
      </c>
      <c r="C862" s="2" t="s">
        <v>177</v>
      </c>
      <c r="D862" s="20">
        <v>2025</v>
      </c>
      <c r="E862" s="2" t="s">
        <v>4792</v>
      </c>
      <c r="F862" s="2" t="s">
        <v>922</v>
      </c>
      <c r="G862" s="21">
        <v>4500000</v>
      </c>
      <c r="H862" s="23">
        <v>4.4999999999999997E-3</v>
      </c>
      <c r="I862" s="37" t="s">
        <v>4778</v>
      </c>
      <c r="J862" s="2" t="s">
        <v>4779</v>
      </c>
      <c r="K862" s="2" t="s">
        <v>787</v>
      </c>
    </row>
    <row r="863" spans="1:11" ht="15.35" hidden="1" x14ac:dyDescent="0.55000000000000004">
      <c r="A863" s="20">
        <v>5771</v>
      </c>
      <c r="B863" s="2" t="s">
        <v>176</v>
      </c>
      <c r="C863" s="2" t="s">
        <v>177</v>
      </c>
      <c r="D863" s="20">
        <v>2025</v>
      </c>
      <c r="E863" s="2" t="s">
        <v>4792</v>
      </c>
      <c r="F863" s="2" t="s">
        <v>1191</v>
      </c>
      <c r="G863" s="21">
        <v>4500000</v>
      </c>
      <c r="H863" s="23">
        <v>4.4999999999999997E-3</v>
      </c>
      <c r="I863" s="37" t="s">
        <v>4778</v>
      </c>
      <c r="J863" s="2" t="s">
        <v>4779</v>
      </c>
      <c r="K863" s="2" t="s">
        <v>787</v>
      </c>
    </row>
    <row r="864" spans="1:11" ht="15.35" hidden="1" x14ac:dyDescent="0.55000000000000004">
      <c r="A864" s="20">
        <v>6227</v>
      </c>
      <c r="B864" s="2" t="s">
        <v>176</v>
      </c>
      <c r="C864" s="2" t="s">
        <v>177</v>
      </c>
      <c r="D864" s="20">
        <v>2026</v>
      </c>
      <c r="E864" s="2" t="s">
        <v>4777</v>
      </c>
      <c r="F864" s="2" t="s">
        <v>2684</v>
      </c>
      <c r="G864" s="21">
        <v>510000000</v>
      </c>
      <c r="H864" s="23">
        <v>0.51</v>
      </c>
      <c r="I864" s="23">
        <v>0</v>
      </c>
      <c r="J864" s="2" t="s">
        <v>4779</v>
      </c>
      <c r="K864" s="2" t="s">
        <v>807</v>
      </c>
    </row>
    <row r="865" spans="1:11" ht="15.35" hidden="1" x14ac:dyDescent="0.55000000000000004">
      <c r="A865" s="20">
        <v>6208</v>
      </c>
      <c r="B865" s="2" t="s">
        <v>176</v>
      </c>
      <c r="C865" s="2" t="s">
        <v>177</v>
      </c>
      <c r="D865" s="20">
        <v>2026</v>
      </c>
      <c r="E865" s="2" t="s">
        <v>4777</v>
      </c>
      <c r="F865" s="2" t="s">
        <v>1191</v>
      </c>
      <c r="G865" s="21">
        <v>19191029</v>
      </c>
      <c r="H865" s="23">
        <v>1.9199999999999998E-2</v>
      </c>
      <c r="I865" s="23">
        <v>-2.2000000000000001E-3</v>
      </c>
      <c r="J865" s="2" t="s">
        <v>4783</v>
      </c>
      <c r="K865" s="2" t="s">
        <v>787</v>
      </c>
    </row>
    <row r="866" spans="1:11" ht="15.35" hidden="1" x14ac:dyDescent="0.55000000000000004">
      <c r="A866" s="20">
        <v>6209</v>
      </c>
      <c r="B866" s="2" t="s">
        <v>176</v>
      </c>
      <c r="C866" s="2" t="s">
        <v>177</v>
      </c>
      <c r="D866" s="20">
        <v>2026</v>
      </c>
      <c r="E866" s="2" t="s">
        <v>4777</v>
      </c>
      <c r="F866" s="2" t="s">
        <v>939</v>
      </c>
      <c r="G866" s="21">
        <v>12458373</v>
      </c>
      <c r="H866" s="23">
        <v>1.2500000000000001E-2</v>
      </c>
      <c r="I866" s="23">
        <v>3.7000000000000002E-3</v>
      </c>
      <c r="J866" s="2" t="s">
        <v>4783</v>
      </c>
      <c r="K866" s="2" t="s">
        <v>787</v>
      </c>
    </row>
    <row r="867" spans="1:11" ht="15.35" hidden="1" x14ac:dyDescent="0.55000000000000004">
      <c r="A867" s="20">
        <v>6210</v>
      </c>
      <c r="B867" s="2" t="s">
        <v>176</v>
      </c>
      <c r="C867" s="2" t="s">
        <v>177</v>
      </c>
      <c r="D867" s="20">
        <v>2026</v>
      </c>
      <c r="E867" s="2" t="s">
        <v>4777</v>
      </c>
      <c r="F867" s="2" t="s">
        <v>788</v>
      </c>
      <c r="G867" s="21">
        <v>11187458</v>
      </c>
      <c r="H867" s="23">
        <v>1.12E-2</v>
      </c>
      <c r="I867" s="23">
        <v>-3.8999999999999998E-3</v>
      </c>
      <c r="J867" s="2" t="s">
        <v>4783</v>
      </c>
      <c r="K867" s="2" t="s">
        <v>787</v>
      </c>
    </row>
    <row r="868" spans="1:11" ht="15.35" hidden="1" x14ac:dyDescent="0.55000000000000004">
      <c r="A868" s="20">
        <v>6211</v>
      </c>
      <c r="B868" s="2" t="s">
        <v>176</v>
      </c>
      <c r="C868" s="2" t="s">
        <v>177</v>
      </c>
      <c r="D868" s="20">
        <v>2026</v>
      </c>
      <c r="E868" s="2" t="s">
        <v>4777</v>
      </c>
      <c r="F868" s="2" t="s">
        <v>892</v>
      </c>
      <c r="G868" s="21">
        <v>11069954</v>
      </c>
      <c r="H868" s="23">
        <v>1.11E-2</v>
      </c>
      <c r="I868" s="23">
        <v>4.0000000000000002E-4</v>
      </c>
      <c r="J868" s="2" t="s">
        <v>4783</v>
      </c>
      <c r="K868" s="2" t="s">
        <v>787</v>
      </c>
    </row>
    <row r="869" spans="1:11" ht="15.35" hidden="1" x14ac:dyDescent="0.55000000000000004">
      <c r="A869" s="38">
        <v>6212</v>
      </c>
      <c r="B869" s="39" t="s">
        <v>176</v>
      </c>
      <c r="C869" s="39" t="s">
        <v>177</v>
      </c>
      <c r="D869" s="38">
        <v>2026</v>
      </c>
      <c r="E869" s="39" t="s">
        <v>4777</v>
      </c>
      <c r="F869" s="39" t="s">
        <v>864</v>
      </c>
      <c r="G869" s="40">
        <v>10298731</v>
      </c>
      <c r="H869" s="41">
        <v>1.03E-2</v>
      </c>
      <c r="I869" s="41">
        <v>1.03E-2</v>
      </c>
      <c r="J869" s="39" t="s">
        <v>4783</v>
      </c>
      <c r="K869" s="39" t="s">
        <v>787</v>
      </c>
    </row>
    <row r="870" spans="1:11" ht="15.35" hidden="1" x14ac:dyDescent="0.55000000000000004">
      <c r="A870" s="38">
        <v>6169</v>
      </c>
      <c r="B870" s="39" t="s">
        <v>176</v>
      </c>
      <c r="C870" s="39" t="s">
        <v>177</v>
      </c>
      <c r="D870" s="38">
        <v>2026</v>
      </c>
      <c r="E870" s="39" t="s">
        <v>4777</v>
      </c>
      <c r="F870" s="39" t="s">
        <v>4911</v>
      </c>
      <c r="G870" s="40">
        <v>9000000</v>
      </c>
      <c r="H870" s="41">
        <v>8.9999999999999993E-3</v>
      </c>
      <c r="I870" s="41">
        <v>8.9999999999999993E-3</v>
      </c>
      <c r="J870" s="39" t="s">
        <v>4779</v>
      </c>
      <c r="K870" s="39" t="s">
        <v>813</v>
      </c>
    </row>
    <row r="871" spans="1:11" ht="15.35" hidden="1" x14ac:dyDescent="0.55000000000000004">
      <c r="A871" s="38">
        <v>6200</v>
      </c>
      <c r="B871" s="39" t="s">
        <v>176</v>
      </c>
      <c r="C871" s="39" t="s">
        <v>177</v>
      </c>
      <c r="D871" s="38">
        <v>2026</v>
      </c>
      <c r="E871" s="39" t="s">
        <v>4777</v>
      </c>
      <c r="F871" s="39" t="s">
        <v>4901</v>
      </c>
      <c r="G871" s="40">
        <v>8800000</v>
      </c>
      <c r="H871" s="41">
        <v>8.8000000000000005E-3</v>
      </c>
      <c r="I871" s="41">
        <v>8.8000000000000005E-3</v>
      </c>
      <c r="J871" s="39" t="s">
        <v>4779</v>
      </c>
      <c r="K871" s="39" t="s">
        <v>811</v>
      </c>
    </row>
    <row r="872" spans="1:11" ht="15.35" hidden="1" x14ac:dyDescent="0.55000000000000004">
      <c r="A872" s="38">
        <v>6214</v>
      </c>
      <c r="B872" s="39" t="s">
        <v>176</v>
      </c>
      <c r="C872" s="39" t="s">
        <v>177</v>
      </c>
      <c r="D872" s="38">
        <v>2026</v>
      </c>
      <c r="E872" s="39" t="s">
        <v>4777</v>
      </c>
      <c r="F872" s="39" t="s">
        <v>4709</v>
      </c>
      <c r="G872" s="40">
        <v>8734188</v>
      </c>
      <c r="H872" s="41">
        <v>8.6999999999999994E-3</v>
      </c>
      <c r="I872" s="41">
        <v>8.6999999999999994E-3</v>
      </c>
      <c r="J872" s="39" t="s">
        <v>4783</v>
      </c>
      <c r="K872" s="39" t="s">
        <v>811</v>
      </c>
    </row>
    <row r="873" spans="1:11" ht="15.35" hidden="1" x14ac:dyDescent="0.55000000000000004">
      <c r="A873" s="20">
        <v>6215</v>
      </c>
      <c r="B873" s="2" t="s">
        <v>176</v>
      </c>
      <c r="C873" s="2" t="s">
        <v>177</v>
      </c>
      <c r="D873" s="20">
        <v>2026</v>
      </c>
      <c r="E873" s="2" t="s">
        <v>4777</v>
      </c>
      <c r="F873" s="2" t="s">
        <v>972</v>
      </c>
      <c r="G873" s="21">
        <v>8177342</v>
      </c>
      <c r="H873" s="23">
        <v>8.2000000000000007E-3</v>
      </c>
      <c r="I873" s="23">
        <v>2.3999999999999998E-3</v>
      </c>
      <c r="J873" s="2" t="s">
        <v>4783</v>
      </c>
      <c r="K873" s="2" t="s">
        <v>787</v>
      </c>
    </row>
    <row r="874" spans="1:11" ht="15.35" hidden="1" x14ac:dyDescent="0.55000000000000004">
      <c r="A874" s="38">
        <v>6201</v>
      </c>
      <c r="B874" s="39" t="s">
        <v>176</v>
      </c>
      <c r="C874" s="39" t="s">
        <v>177</v>
      </c>
      <c r="D874" s="38">
        <v>2026</v>
      </c>
      <c r="E874" s="39" t="s">
        <v>4777</v>
      </c>
      <c r="F874" s="39" t="s">
        <v>4912</v>
      </c>
      <c r="G874" s="40">
        <v>7400000</v>
      </c>
      <c r="H874" s="41">
        <v>7.4000000000000003E-3</v>
      </c>
      <c r="I874" s="41">
        <v>7.4000000000000003E-3</v>
      </c>
      <c r="J874" s="39" t="s">
        <v>4779</v>
      </c>
      <c r="K874" s="39" t="s">
        <v>789</v>
      </c>
    </row>
    <row r="875" spans="1:11" ht="15.35" hidden="1" x14ac:dyDescent="0.55000000000000004">
      <c r="A875" s="38">
        <v>6202</v>
      </c>
      <c r="B875" s="39" t="s">
        <v>176</v>
      </c>
      <c r="C875" s="39" t="s">
        <v>177</v>
      </c>
      <c r="D875" s="38">
        <v>2026</v>
      </c>
      <c r="E875" s="39" t="s">
        <v>4777</v>
      </c>
      <c r="F875" s="39" t="s">
        <v>4904</v>
      </c>
      <c r="G875" s="40">
        <v>7400000</v>
      </c>
      <c r="H875" s="41">
        <v>7.4000000000000003E-3</v>
      </c>
      <c r="I875" s="41">
        <v>7.4000000000000003E-3</v>
      </c>
      <c r="J875" s="39" t="s">
        <v>4779</v>
      </c>
      <c r="K875" s="39" t="s">
        <v>789</v>
      </c>
    </row>
    <row r="876" spans="1:11" ht="15.35" hidden="1" x14ac:dyDescent="0.55000000000000004">
      <c r="A876" s="20">
        <v>6216</v>
      </c>
      <c r="B876" s="2" t="s">
        <v>176</v>
      </c>
      <c r="C876" s="2" t="s">
        <v>177</v>
      </c>
      <c r="D876" s="20">
        <v>2026</v>
      </c>
      <c r="E876" s="2" t="s">
        <v>4777</v>
      </c>
      <c r="F876" s="2" t="s">
        <v>922</v>
      </c>
      <c r="G876" s="21">
        <v>7033588</v>
      </c>
      <c r="H876" s="23">
        <v>7.0000000000000001E-3</v>
      </c>
      <c r="I876" s="23">
        <v>-1.9E-3</v>
      </c>
      <c r="J876" s="2" t="s">
        <v>4783</v>
      </c>
      <c r="K876" s="2" t="s">
        <v>787</v>
      </c>
    </row>
    <row r="877" spans="1:11" ht="15.35" hidden="1" x14ac:dyDescent="0.55000000000000004">
      <c r="A877" s="38">
        <v>6217</v>
      </c>
      <c r="B877" s="39" t="s">
        <v>176</v>
      </c>
      <c r="C877" s="39" t="s">
        <v>177</v>
      </c>
      <c r="D877" s="38">
        <v>2026</v>
      </c>
      <c r="E877" s="39" t="s">
        <v>4777</v>
      </c>
      <c r="F877" s="39" t="s">
        <v>4913</v>
      </c>
      <c r="G877" s="40">
        <v>6850000</v>
      </c>
      <c r="H877" s="41">
        <v>6.8999999999999999E-3</v>
      </c>
      <c r="I877" s="41">
        <v>6.8999999999999999E-3</v>
      </c>
      <c r="J877" s="39" t="s">
        <v>4783</v>
      </c>
      <c r="K877" s="39" t="s">
        <v>793</v>
      </c>
    </row>
    <row r="878" spans="1:11" ht="15.35" hidden="1" x14ac:dyDescent="0.55000000000000004">
      <c r="A878" s="38">
        <v>6218</v>
      </c>
      <c r="B878" s="39" t="s">
        <v>176</v>
      </c>
      <c r="C878" s="39" t="s">
        <v>177</v>
      </c>
      <c r="D878" s="38">
        <v>2026</v>
      </c>
      <c r="E878" s="39" t="s">
        <v>4777</v>
      </c>
      <c r="F878" s="39" t="s">
        <v>4017</v>
      </c>
      <c r="G878" s="40">
        <v>6584908</v>
      </c>
      <c r="H878" s="41">
        <v>6.6E-3</v>
      </c>
      <c r="I878" s="41">
        <v>6.6E-3</v>
      </c>
      <c r="J878" s="39" t="s">
        <v>4783</v>
      </c>
      <c r="K878" s="39" t="s">
        <v>787</v>
      </c>
    </row>
    <row r="879" spans="1:11" ht="15.35" hidden="1" x14ac:dyDescent="0.55000000000000004">
      <c r="A879" s="38">
        <v>6207</v>
      </c>
      <c r="B879" s="39" t="s">
        <v>176</v>
      </c>
      <c r="C879" s="39" t="s">
        <v>177</v>
      </c>
      <c r="D879" s="38">
        <v>2026</v>
      </c>
      <c r="E879" s="39" t="s">
        <v>4777</v>
      </c>
      <c r="F879" s="39" t="s">
        <v>4914</v>
      </c>
      <c r="G879" s="40">
        <v>4500000</v>
      </c>
      <c r="H879" s="41">
        <v>4.4999999999999997E-3</v>
      </c>
      <c r="I879" s="41">
        <v>4.4999999999999997E-3</v>
      </c>
      <c r="J879" s="39" t="s">
        <v>4779</v>
      </c>
      <c r="K879" s="39" t="s">
        <v>789</v>
      </c>
    </row>
    <row r="880" spans="1:11" ht="15.35" hidden="1" x14ac:dyDescent="0.55000000000000004">
      <c r="A880" s="20">
        <v>6204</v>
      </c>
      <c r="B880" s="2" t="s">
        <v>176</v>
      </c>
      <c r="C880" s="2" t="s">
        <v>177</v>
      </c>
      <c r="D880" s="20">
        <v>2026</v>
      </c>
      <c r="E880" s="2" t="s">
        <v>4777</v>
      </c>
      <c r="F880" s="2" t="s">
        <v>788</v>
      </c>
      <c r="G880" s="21">
        <v>4500000</v>
      </c>
      <c r="H880" s="23">
        <v>4.4999999999999997E-3</v>
      </c>
      <c r="I880" s="23">
        <v>0</v>
      </c>
      <c r="J880" s="2" t="s">
        <v>4779</v>
      </c>
      <c r="K880" s="2" t="s">
        <v>787</v>
      </c>
    </row>
    <row r="881" spans="1:11" ht="15.35" hidden="1" x14ac:dyDescent="0.55000000000000004">
      <c r="A881" s="20">
        <v>6205</v>
      </c>
      <c r="B881" s="2" t="s">
        <v>176</v>
      </c>
      <c r="C881" s="2" t="s">
        <v>177</v>
      </c>
      <c r="D881" s="20">
        <v>2026</v>
      </c>
      <c r="E881" s="2" t="s">
        <v>4777</v>
      </c>
      <c r="F881" s="2" t="s">
        <v>892</v>
      </c>
      <c r="G881" s="21">
        <v>4500000</v>
      </c>
      <c r="H881" s="23">
        <v>4.4999999999999997E-3</v>
      </c>
      <c r="I881" s="23">
        <v>0</v>
      </c>
      <c r="J881" s="2" t="s">
        <v>4779</v>
      </c>
      <c r="K881" s="2" t="s">
        <v>787</v>
      </c>
    </row>
    <row r="882" spans="1:11" ht="15.35" hidden="1" x14ac:dyDescent="0.55000000000000004">
      <c r="A882" s="20">
        <v>6206</v>
      </c>
      <c r="B882" s="2" t="s">
        <v>176</v>
      </c>
      <c r="C882" s="2" t="s">
        <v>177</v>
      </c>
      <c r="D882" s="20">
        <v>2026</v>
      </c>
      <c r="E882" s="2" t="s">
        <v>4777</v>
      </c>
      <c r="F882" s="2" t="s">
        <v>922</v>
      </c>
      <c r="G882" s="21">
        <v>4500000</v>
      </c>
      <c r="H882" s="23">
        <v>4.4999999999999997E-3</v>
      </c>
      <c r="I882" s="23">
        <v>0</v>
      </c>
      <c r="J882" s="2" t="s">
        <v>4779</v>
      </c>
      <c r="K882" s="2" t="s">
        <v>787</v>
      </c>
    </row>
    <row r="883" spans="1:11" ht="15.35" hidden="1" x14ac:dyDescent="0.55000000000000004">
      <c r="A883" s="20">
        <v>6203</v>
      </c>
      <c r="B883" s="2" t="s">
        <v>176</v>
      </c>
      <c r="C883" s="2" t="s">
        <v>177</v>
      </c>
      <c r="D883" s="20">
        <v>2026</v>
      </c>
      <c r="E883" s="2" t="s">
        <v>4777</v>
      </c>
      <c r="F883" s="2" t="s">
        <v>1191</v>
      </c>
      <c r="G883" s="21">
        <v>4500000</v>
      </c>
      <c r="H883" s="23">
        <v>4.4999999999999997E-3</v>
      </c>
      <c r="I883" s="23">
        <v>0</v>
      </c>
      <c r="J883" s="2" t="s">
        <v>4779</v>
      </c>
      <c r="K883" s="2" t="s">
        <v>787</v>
      </c>
    </row>
    <row r="884" spans="1:11" ht="15.35" hidden="1" x14ac:dyDescent="0.55000000000000004">
      <c r="A884" s="42"/>
      <c r="B884" s="43" t="s">
        <v>176</v>
      </c>
      <c r="C884" s="43" t="s">
        <v>177</v>
      </c>
      <c r="D884" s="44">
        <v>2026</v>
      </c>
      <c r="E884" s="43" t="s">
        <v>4777</v>
      </c>
      <c r="F884" s="43" t="s">
        <v>4907</v>
      </c>
      <c r="G884" s="45"/>
      <c r="H884" s="46">
        <v>0</v>
      </c>
      <c r="I884" s="46">
        <v>-1.5299999999999999E-2</v>
      </c>
      <c r="J884" s="43" t="s">
        <v>4783</v>
      </c>
      <c r="K884" s="43" t="s">
        <v>811</v>
      </c>
    </row>
    <row r="885" spans="1:11" ht="15.35" hidden="1" x14ac:dyDescent="0.55000000000000004">
      <c r="A885" s="42"/>
      <c r="B885" s="43" t="s">
        <v>176</v>
      </c>
      <c r="C885" s="43" t="s">
        <v>177</v>
      </c>
      <c r="D885" s="44">
        <v>2026</v>
      </c>
      <c r="E885" s="43" t="s">
        <v>4777</v>
      </c>
      <c r="F885" s="43" t="s">
        <v>4910</v>
      </c>
      <c r="G885" s="45"/>
      <c r="H885" s="46">
        <v>0</v>
      </c>
      <c r="I885" s="46">
        <v>-4.4999999999999997E-3</v>
      </c>
      <c r="J885" s="43" t="s">
        <v>4779</v>
      </c>
      <c r="K885" s="43" t="s">
        <v>789</v>
      </c>
    </row>
    <row r="886" spans="1:11" ht="15.35" hidden="1" x14ac:dyDescent="0.55000000000000004">
      <c r="A886" s="42"/>
      <c r="B886" s="43" t="s">
        <v>176</v>
      </c>
      <c r="C886" s="43" t="s">
        <v>177</v>
      </c>
      <c r="D886" s="44">
        <v>2026</v>
      </c>
      <c r="E886" s="43" t="s">
        <v>4777</v>
      </c>
      <c r="F886" s="43" t="s">
        <v>4910</v>
      </c>
      <c r="G886" s="45"/>
      <c r="H886" s="46">
        <v>0</v>
      </c>
      <c r="I886" s="46">
        <v>-4.7999999999999996E-3</v>
      </c>
      <c r="J886" s="43" t="s">
        <v>4783</v>
      </c>
      <c r="K886" s="43" t="s">
        <v>789</v>
      </c>
    </row>
    <row r="887" spans="1:11" ht="15.35" hidden="1" x14ac:dyDescent="0.55000000000000004">
      <c r="A887" s="42"/>
      <c r="B887" s="43" t="s">
        <v>176</v>
      </c>
      <c r="C887" s="43" t="s">
        <v>177</v>
      </c>
      <c r="D887" s="44">
        <v>2026</v>
      </c>
      <c r="E887" s="43" t="s">
        <v>4777</v>
      </c>
      <c r="F887" s="43" t="s">
        <v>4835</v>
      </c>
      <c r="G887" s="45"/>
      <c r="H887" s="46">
        <v>0</v>
      </c>
      <c r="I887" s="46">
        <v>-7.0000000000000001E-3</v>
      </c>
      <c r="J887" s="43" t="s">
        <v>4783</v>
      </c>
      <c r="K887" s="43" t="s">
        <v>793</v>
      </c>
    </row>
    <row r="888" spans="1:11" ht="15.35" hidden="1" x14ac:dyDescent="0.55000000000000004">
      <c r="A888" s="42"/>
      <c r="B888" s="43" t="s">
        <v>176</v>
      </c>
      <c r="C888" s="43" t="s">
        <v>177</v>
      </c>
      <c r="D888" s="44">
        <v>2026</v>
      </c>
      <c r="E888" s="43" t="s">
        <v>4777</v>
      </c>
      <c r="F888" s="43" t="s">
        <v>4908</v>
      </c>
      <c r="G888" s="45"/>
      <c r="H888" s="46">
        <v>0</v>
      </c>
      <c r="I888" s="46">
        <v>-8.9999999999999993E-3</v>
      </c>
      <c r="J888" s="43" t="s">
        <v>4779</v>
      </c>
      <c r="K888" s="43" t="s">
        <v>813</v>
      </c>
    </row>
    <row r="889" spans="1:11" ht="15.35" hidden="1" x14ac:dyDescent="0.55000000000000004">
      <c r="A889" s="42"/>
      <c r="B889" s="43" t="s">
        <v>176</v>
      </c>
      <c r="C889" s="43" t="s">
        <v>177</v>
      </c>
      <c r="D889" s="44">
        <v>2026</v>
      </c>
      <c r="E889" s="43" t="s">
        <v>4777</v>
      </c>
      <c r="F889" s="43" t="s">
        <v>4894</v>
      </c>
      <c r="G889" s="45"/>
      <c r="H889" s="46">
        <v>0</v>
      </c>
      <c r="I889" s="46">
        <v>-8.8000000000000005E-3</v>
      </c>
      <c r="J889" s="43" t="s">
        <v>4779</v>
      </c>
      <c r="K889" s="43" t="s">
        <v>811</v>
      </c>
    </row>
    <row r="890" spans="1:11" ht="15.35" hidden="1" x14ac:dyDescent="0.55000000000000004">
      <c r="A890" s="42"/>
      <c r="B890" s="43" t="s">
        <v>176</v>
      </c>
      <c r="C890" s="43" t="s">
        <v>177</v>
      </c>
      <c r="D890" s="44">
        <v>2026</v>
      </c>
      <c r="E890" s="43" t="s">
        <v>4777</v>
      </c>
      <c r="F890" s="43" t="s">
        <v>4837</v>
      </c>
      <c r="G890" s="45"/>
      <c r="H890" s="46">
        <v>0</v>
      </c>
      <c r="I890" s="46">
        <v>-4.8999999999999998E-3</v>
      </c>
      <c r="J890" s="43" t="s">
        <v>4783</v>
      </c>
      <c r="K890" s="43" t="s">
        <v>789</v>
      </c>
    </row>
    <row r="891" spans="1:11" ht="15.35" hidden="1" x14ac:dyDescent="0.55000000000000004">
      <c r="A891" s="42"/>
      <c r="B891" s="43" t="s">
        <v>176</v>
      </c>
      <c r="C891" s="43" t="s">
        <v>177</v>
      </c>
      <c r="D891" s="44">
        <v>2026</v>
      </c>
      <c r="E891" s="43" t="s">
        <v>4777</v>
      </c>
      <c r="F891" s="43" t="s">
        <v>4909</v>
      </c>
      <c r="G891" s="45"/>
      <c r="H891" s="46">
        <v>0</v>
      </c>
      <c r="I891" s="46">
        <v>-7.4000000000000003E-3</v>
      </c>
      <c r="J891" s="43" t="s">
        <v>4779</v>
      </c>
      <c r="K891" s="43" t="s">
        <v>789</v>
      </c>
    </row>
    <row r="892" spans="1:11" ht="15.35" hidden="1" x14ac:dyDescent="0.55000000000000004">
      <c r="A892" s="42"/>
      <c r="B892" s="43" t="s">
        <v>176</v>
      </c>
      <c r="C892" s="43" t="s">
        <v>177</v>
      </c>
      <c r="D892" s="44">
        <v>2026</v>
      </c>
      <c r="E892" s="43" t="s">
        <v>4777</v>
      </c>
      <c r="F892" s="43" t="s">
        <v>4898</v>
      </c>
      <c r="G892" s="45"/>
      <c r="H892" s="46">
        <v>0</v>
      </c>
      <c r="I892" s="46">
        <v>-7.4000000000000003E-3</v>
      </c>
      <c r="J892" s="43" t="s">
        <v>4779</v>
      </c>
      <c r="K892" s="43" t="s">
        <v>789</v>
      </c>
    </row>
    <row r="893" spans="1:11" ht="15.35" hidden="1" x14ac:dyDescent="0.55000000000000004">
      <c r="A893" s="20">
        <v>5926</v>
      </c>
      <c r="B893" s="2" t="s">
        <v>173</v>
      </c>
      <c r="C893" s="2" t="s">
        <v>174</v>
      </c>
      <c r="D893" s="20">
        <v>2025</v>
      </c>
      <c r="E893" s="2" t="s">
        <v>4792</v>
      </c>
      <c r="F893" s="2" t="s">
        <v>1802</v>
      </c>
      <c r="G893" s="21">
        <v>60000000</v>
      </c>
      <c r="H893" s="23">
        <v>0.2</v>
      </c>
      <c r="I893" s="37" t="s">
        <v>4778</v>
      </c>
      <c r="J893" s="2" t="s">
        <v>4779</v>
      </c>
      <c r="K893" s="2" t="s">
        <v>807</v>
      </c>
    </row>
    <row r="894" spans="1:11" ht="15.35" hidden="1" x14ac:dyDescent="0.55000000000000004">
      <c r="A894" s="20">
        <v>5889</v>
      </c>
      <c r="B894" s="2" t="s">
        <v>173</v>
      </c>
      <c r="C894" s="2" t="s">
        <v>174</v>
      </c>
      <c r="D894" s="20">
        <v>2025</v>
      </c>
      <c r="E894" s="2" t="s">
        <v>4792</v>
      </c>
      <c r="F894" s="2" t="s">
        <v>1007</v>
      </c>
      <c r="G894" s="21">
        <v>13611758</v>
      </c>
      <c r="H894" s="23">
        <v>4.5400000000000003E-2</v>
      </c>
      <c r="I894" s="37" t="s">
        <v>4778</v>
      </c>
      <c r="J894" s="2" t="s">
        <v>4783</v>
      </c>
      <c r="K894" s="2" t="s">
        <v>787</v>
      </c>
    </row>
    <row r="895" spans="1:11" ht="15.35" hidden="1" x14ac:dyDescent="0.55000000000000004">
      <c r="A895" s="20">
        <v>5927</v>
      </c>
      <c r="B895" s="2" t="s">
        <v>173</v>
      </c>
      <c r="C895" s="2" t="s">
        <v>174</v>
      </c>
      <c r="D895" s="20">
        <v>2025</v>
      </c>
      <c r="E895" s="2" t="s">
        <v>4792</v>
      </c>
      <c r="F895" s="2" t="s">
        <v>788</v>
      </c>
      <c r="G895" s="21">
        <v>12141000</v>
      </c>
      <c r="H895" s="23">
        <v>4.0500000000000001E-2</v>
      </c>
      <c r="I895" s="37" t="s">
        <v>4778</v>
      </c>
      <c r="J895" s="2" t="s">
        <v>4779</v>
      </c>
      <c r="K895" s="2" t="s">
        <v>787</v>
      </c>
    </row>
    <row r="896" spans="1:11" ht="15.35" hidden="1" x14ac:dyDescent="0.55000000000000004">
      <c r="A896" s="20">
        <v>5928</v>
      </c>
      <c r="B896" s="2" t="s">
        <v>173</v>
      </c>
      <c r="C896" s="2" t="s">
        <v>174</v>
      </c>
      <c r="D896" s="20">
        <v>2025</v>
      </c>
      <c r="E896" s="2" t="s">
        <v>4792</v>
      </c>
      <c r="F896" s="2" t="s">
        <v>4915</v>
      </c>
      <c r="G896" s="21">
        <v>11610000</v>
      </c>
      <c r="H896" s="23">
        <v>3.8699999999999998E-2</v>
      </c>
      <c r="I896" s="37" t="s">
        <v>4778</v>
      </c>
      <c r="J896" s="2" t="s">
        <v>4779</v>
      </c>
      <c r="K896" s="2" t="s">
        <v>798</v>
      </c>
    </row>
    <row r="897" spans="1:11" ht="15.35" hidden="1" x14ac:dyDescent="0.55000000000000004">
      <c r="A897" s="20">
        <v>5929</v>
      </c>
      <c r="B897" s="2" t="s">
        <v>173</v>
      </c>
      <c r="C897" s="2" t="s">
        <v>174</v>
      </c>
      <c r="D897" s="20">
        <v>2025</v>
      </c>
      <c r="E897" s="2" t="s">
        <v>4792</v>
      </c>
      <c r="F897" s="2" t="s">
        <v>4897</v>
      </c>
      <c r="G897" s="21">
        <v>10710000</v>
      </c>
      <c r="H897" s="23">
        <v>3.5700000000000003E-2</v>
      </c>
      <c r="I897" s="37" t="s">
        <v>4778</v>
      </c>
      <c r="J897" s="2" t="s">
        <v>4779</v>
      </c>
      <c r="K897" s="2" t="s">
        <v>817</v>
      </c>
    </row>
    <row r="898" spans="1:11" ht="15.35" hidden="1" x14ac:dyDescent="0.55000000000000004">
      <c r="A898" s="20">
        <v>5930</v>
      </c>
      <c r="B898" s="2" t="s">
        <v>173</v>
      </c>
      <c r="C898" s="2" t="s">
        <v>174</v>
      </c>
      <c r="D898" s="20">
        <v>2025</v>
      </c>
      <c r="E898" s="2" t="s">
        <v>4792</v>
      </c>
      <c r="F898" s="2" t="s">
        <v>904</v>
      </c>
      <c r="G898" s="21">
        <v>10311000</v>
      </c>
      <c r="H898" s="23">
        <v>3.44E-2</v>
      </c>
      <c r="I898" s="37" t="s">
        <v>4778</v>
      </c>
      <c r="J898" s="2" t="s">
        <v>4779</v>
      </c>
      <c r="K898" s="2" t="s">
        <v>787</v>
      </c>
    </row>
    <row r="899" spans="1:11" ht="15.35" hidden="1" x14ac:dyDescent="0.55000000000000004">
      <c r="A899" s="20">
        <v>5909</v>
      </c>
      <c r="B899" s="2" t="s">
        <v>173</v>
      </c>
      <c r="C899" s="2" t="s">
        <v>174</v>
      </c>
      <c r="D899" s="20">
        <v>2025</v>
      </c>
      <c r="E899" s="2" t="s">
        <v>4792</v>
      </c>
      <c r="F899" s="2" t="s">
        <v>4916</v>
      </c>
      <c r="G899" s="21">
        <v>8793000</v>
      </c>
      <c r="H899" s="23">
        <v>2.93E-2</v>
      </c>
      <c r="I899" s="37" t="s">
        <v>4778</v>
      </c>
      <c r="J899" s="2" t="s">
        <v>4779</v>
      </c>
      <c r="K899" s="2" t="s">
        <v>798</v>
      </c>
    </row>
    <row r="900" spans="1:11" ht="15.35" hidden="1" x14ac:dyDescent="0.55000000000000004">
      <c r="A900" s="20">
        <v>5910</v>
      </c>
      <c r="B900" s="2" t="s">
        <v>173</v>
      </c>
      <c r="C900" s="2" t="s">
        <v>174</v>
      </c>
      <c r="D900" s="20">
        <v>2025</v>
      </c>
      <c r="E900" s="2" t="s">
        <v>4792</v>
      </c>
      <c r="F900" s="2" t="s">
        <v>1191</v>
      </c>
      <c r="G900" s="21">
        <v>8796000</v>
      </c>
      <c r="H900" s="23">
        <v>2.93E-2</v>
      </c>
      <c r="I900" s="37" t="s">
        <v>4778</v>
      </c>
      <c r="J900" s="2" t="s">
        <v>4779</v>
      </c>
      <c r="K900" s="2" t="s">
        <v>787</v>
      </c>
    </row>
    <row r="901" spans="1:11" ht="15.35" hidden="1" x14ac:dyDescent="0.55000000000000004">
      <c r="A901" s="20">
        <v>5908</v>
      </c>
      <c r="B901" s="2" t="s">
        <v>173</v>
      </c>
      <c r="C901" s="2" t="s">
        <v>174</v>
      </c>
      <c r="D901" s="20">
        <v>2025</v>
      </c>
      <c r="E901" s="2" t="s">
        <v>4792</v>
      </c>
      <c r="F901" s="2" t="s">
        <v>1180</v>
      </c>
      <c r="G901" s="21">
        <v>8061000</v>
      </c>
      <c r="H901" s="23">
        <v>2.69E-2</v>
      </c>
      <c r="I901" s="37" t="s">
        <v>4778</v>
      </c>
      <c r="J901" s="2" t="s">
        <v>4779</v>
      </c>
      <c r="K901" s="2" t="s">
        <v>783</v>
      </c>
    </row>
    <row r="902" spans="1:11" ht="15.35" hidden="1" x14ac:dyDescent="0.55000000000000004">
      <c r="A902" s="20">
        <v>5907</v>
      </c>
      <c r="B902" s="2" t="s">
        <v>173</v>
      </c>
      <c r="C902" s="2" t="s">
        <v>174</v>
      </c>
      <c r="D902" s="20">
        <v>2025</v>
      </c>
      <c r="E902" s="2" t="s">
        <v>4792</v>
      </c>
      <c r="F902" s="2" t="s">
        <v>4784</v>
      </c>
      <c r="G902" s="21">
        <v>7530000</v>
      </c>
      <c r="H902" s="23">
        <v>2.5100000000000001E-2</v>
      </c>
      <c r="I902" s="37" t="s">
        <v>4778</v>
      </c>
      <c r="J902" s="2" t="s">
        <v>4779</v>
      </c>
      <c r="K902" s="2" t="s">
        <v>789</v>
      </c>
    </row>
    <row r="903" spans="1:11" ht="15.35" hidden="1" x14ac:dyDescent="0.55000000000000004">
      <c r="A903" s="20">
        <v>5888</v>
      </c>
      <c r="B903" s="2" t="s">
        <v>173</v>
      </c>
      <c r="C903" s="2" t="s">
        <v>174</v>
      </c>
      <c r="D903" s="20">
        <v>2025</v>
      </c>
      <c r="E903" s="2" t="s">
        <v>4792</v>
      </c>
      <c r="F903" s="2" t="s">
        <v>1816</v>
      </c>
      <c r="G903" s="21">
        <v>7524000</v>
      </c>
      <c r="H903" s="23">
        <v>2.5100000000000001E-2</v>
      </c>
      <c r="I903" s="37" t="s">
        <v>4778</v>
      </c>
      <c r="J903" s="2" t="s">
        <v>4779</v>
      </c>
      <c r="K903" s="2" t="s">
        <v>783</v>
      </c>
    </row>
    <row r="904" spans="1:11" ht="15.35" hidden="1" x14ac:dyDescent="0.55000000000000004">
      <c r="A904" s="20">
        <v>5891</v>
      </c>
      <c r="B904" s="2" t="s">
        <v>173</v>
      </c>
      <c r="C904" s="2" t="s">
        <v>174</v>
      </c>
      <c r="D904" s="20">
        <v>2025</v>
      </c>
      <c r="E904" s="2" t="s">
        <v>4792</v>
      </c>
      <c r="F904" s="2" t="s">
        <v>864</v>
      </c>
      <c r="G904" s="21">
        <v>7119741</v>
      </c>
      <c r="H904" s="23">
        <v>2.3699999999999999E-2</v>
      </c>
      <c r="I904" s="37" t="s">
        <v>4778</v>
      </c>
      <c r="J904" s="2" t="s">
        <v>4783</v>
      </c>
      <c r="K904" s="2" t="s">
        <v>787</v>
      </c>
    </row>
    <row r="905" spans="1:11" ht="15.35" hidden="1" x14ac:dyDescent="0.55000000000000004">
      <c r="A905" s="20">
        <v>5892</v>
      </c>
      <c r="B905" s="2" t="s">
        <v>173</v>
      </c>
      <c r="C905" s="2" t="s">
        <v>174</v>
      </c>
      <c r="D905" s="20">
        <v>2025</v>
      </c>
      <c r="E905" s="2" t="s">
        <v>4792</v>
      </c>
      <c r="F905" s="2" t="s">
        <v>922</v>
      </c>
      <c r="G905" s="21">
        <v>5584229</v>
      </c>
      <c r="H905" s="23">
        <v>1.8599999999999998E-2</v>
      </c>
      <c r="I905" s="37" t="s">
        <v>4778</v>
      </c>
      <c r="J905" s="2" t="s">
        <v>4783</v>
      </c>
      <c r="K905" s="2" t="s">
        <v>787</v>
      </c>
    </row>
    <row r="906" spans="1:11" ht="15.35" hidden="1" x14ac:dyDescent="0.55000000000000004">
      <c r="A906" s="20">
        <v>5900</v>
      </c>
      <c r="B906" s="2" t="s">
        <v>173</v>
      </c>
      <c r="C906" s="2" t="s">
        <v>174</v>
      </c>
      <c r="D906" s="20">
        <v>2025</v>
      </c>
      <c r="E906" s="2" t="s">
        <v>4792</v>
      </c>
      <c r="F906" s="2" t="s">
        <v>939</v>
      </c>
      <c r="G906" s="21">
        <v>4190359</v>
      </c>
      <c r="H906" s="23">
        <v>1.4E-2</v>
      </c>
      <c r="I906" s="37" t="s">
        <v>4778</v>
      </c>
      <c r="J906" s="2" t="s">
        <v>4783</v>
      </c>
      <c r="K906" s="2" t="s">
        <v>787</v>
      </c>
    </row>
    <row r="907" spans="1:11" ht="15.35" hidden="1" x14ac:dyDescent="0.55000000000000004">
      <c r="A907" s="20">
        <v>5901</v>
      </c>
      <c r="B907" s="2" t="s">
        <v>173</v>
      </c>
      <c r="C907" s="2" t="s">
        <v>174</v>
      </c>
      <c r="D907" s="20">
        <v>2025</v>
      </c>
      <c r="E907" s="2" t="s">
        <v>4792</v>
      </c>
      <c r="F907" s="2" t="s">
        <v>4814</v>
      </c>
      <c r="G907" s="21">
        <v>3855789</v>
      </c>
      <c r="H907" s="23">
        <v>1.29E-2</v>
      </c>
      <c r="I907" s="37" t="s">
        <v>4778</v>
      </c>
      <c r="J907" s="2" t="s">
        <v>4783</v>
      </c>
      <c r="K907" s="2" t="s">
        <v>789</v>
      </c>
    </row>
    <row r="908" spans="1:11" ht="15.35" hidden="1" x14ac:dyDescent="0.55000000000000004">
      <c r="A908" s="20">
        <v>5902</v>
      </c>
      <c r="B908" s="2" t="s">
        <v>173</v>
      </c>
      <c r="C908" s="2" t="s">
        <v>174</v>
      </c>
      <c r="D908" s="20">
        <v>2025</v>
      </c>
      <c r="E908" s="2" t="s">
        <v>4792</v>
      </c>
      <c r="F908" s="2" t="s">
        <v>892</v>
      </c>
      <c r="G908" s="21">
        <v>3538771</v>
      </c>
      <c r="H908" s="23">
        <v>1.18E-2</v>
      </c>
      <c r="I908" s="37" t="s">
        <v>4778</v>
      </c>
      <c r="J908" s="2" t="s">
        <v>4783</v>
      </c>
      <c r="K908" s="2" t="s">
        <v>787</v>
      </c>
    </row>
    <row r="909" spans="1:11" ht="15.35" hidden="1" x14ac:dyDescent="0.55000000000000004">
      <c r="A909" s="20">
        <v>5903</v>
      </c>
      <c r="B909" s="2" t="s">
        <v>173</v>
      </c>
      <c r="C909" s="2" t="s">
        <v>174</v>
      </c>
      <c r="D909" s="20">
        <v>2025</v>
      </c>
      <c r="E909" s="2" t="s">
        <v>4792</v>
      </c>
      <c r="F909" s="2" t="s">
        <v>1090</v>
      </c>
      <c r="G909" s="21">
        <v>3483815</v>
      </c>
      <c r="H909" s="23">
        <v>1.1599999999999999E-2</v>
      </c>
      <c r="I909" s="37" t="s">
        <v>4778</v>
      </c>
      <c r="J909" s="2" t="s">
        <v>4783</v>
      </c>
      <c r="K909" s="2" t="s">
        <v>787</v>
      </c>
    </row>
    <row r="910" spans="1:11" ht="15.35" hidden="1" x14ac:dyDescent="0.55000000000000004">
      <c r="A910" s="20">
        <v>5904</v>
      </c>
      <c r="B910" s="2" t="s">
        <v>173</v>
      </c>
      <c r="C910" s="2" t="s">
        <v>174</v>
      </c>
      <c r="D910" s="20">
        <v>2025</v>
      </c>
      <c r="E910" s="2" t="s">
        <v>4792</v>
      </c>
      <c r="F910" s="2" t="s">
        <v>4805</v>
      </c>
      <c r="G910" s="21">
        <v>3295682</v>
      </c>
      <c r="H910" s="23">
        <v>1.0999999999999999E-2</v>
      </c>
      <c r="I910" s="37" t="s">
        <v>4778</v>
      </c>
      <c r="J910" s="2" t="s">
        <v>4783</v>
      </c>
      <c r="K910" s="2" t="s">
        <v>817</v>
      </c>
    </row>
    <row r="911" spans="1:11" ht="15.35" hidden="1" x14ac:dyDescent="0.55000000000000004">
      <c r="A911" s="20">
        <v>5905</v>
      </c>
      <c r="B911" s="2" t="s">
        <v>173</v>
      </c>
      <c r="C911" s="2" t="s">
        <v>174</v>
      </c>
      <c r="D911" s="20">
        <v>2025</v>
      </c>
      <c r="E911" s="2" t="s">
        <v>4792</v>
      </c>
      <c r="F911" s="2" t="s">
        <v>4917</v>
      </c>
      <c r="G911" s="21">
        <v>2687432</v>
      </c>
      <c r="H911" s="23">
        <v>8.9999999999999993E-3</v>
      </c>
      <c r="I911" s="37" t="s">
        <v>4778</v>
      </c>
      <c r="J911" s="2" t="s">
        <v>4783</v>
      </c>
      <c r="K911" s="2" t="s">
        <v>789</v>
      </c>
    </row>
    <row r="912" spans="1:11" ht="15.35" hidden="1" x14ac:dyDescent="0.55000000000000004">
      <c r="A912" s="20">
        <v>5906</v>
      </c>
      <c r="B912" s="2" t="s">
        <v>173</v>
      </c>
      <c r="C912" s="2" t="s">
        <v>174</v>
      </c>
      <c r="D912" s="20">
        <v>2025</v>
      </c>
      <c r="E912" s="2" t="s">
        <v>4792</v>
      </c>
      <c r="F912" s="2" t="s">
        <v>1191</v>
      </c>
      <c r="G912" s="21">
        <v>2647630</v>
      </c>
      <c r="H912" s="23">
        <v>8.8000000000000005E-3</v>
      </c>
      <c r="I912" s="37" t="s">
        <v>4778</v>
      </c>
      <c r="J912" s="2" t="s">
        <v>4783</v>
      </c>
      <c r="K912" s="2" t="s">
        <v>787</v>
      </c>
    </row>
    <row r="913" spans="1:11" ht="15.35" hidden="1" x14ac:dyDescent="0.55000000000000004">
      <c r="A913" s="38">
        <v>7098</v>
      </c>
      <c r="B913" s="39" t="s">
        <v>173</v>
      </c>
      <c r="C913" s="39" t="s">
        <v>174</v>
      </c>
      <c r="D913" s="38">
        <v>2026</v>
      </c>
      <c r="E913" s="39" t="s">
        <v>4777</v>
      </c>
      <c r="F913" s="39" t="s">
        <v>4918</v>
      </c>
      <c r="G913" s="40">
        <v>60000000</v>
      </c>
      <c r="H913" s="41">
        <v>0.2</v>
      </c>
      <c r="I913" s="41">
        <v>0.2</v>
      </c>
      <c r="J913" s="39" t="s">
        <v>4779</v>
      </c>
      <c r="K913" s="39" t="s">
        <v>807</v>
      </c>
    </row>
    <row r="914" spans="1:11" ht="15.35" hidden="1" x14ac:dyDescent="0.55000000000000004">
      <c r="A914" s="20">
        <v>7107</v>
      </c>
      <c r="B914" s="2" t="s">
        <v>173</v>
      </c>
      <c r="C914" s="2" t="s">
        <v>174</v>
      </c>
      <c r="D914" s="20">
        <v>2026</v>
      </c>
      <c r="E914" s="2" t="s">
        <v>4777</v>
      </c>
      <c r="F914" s="2" t="s">
        <v>1007</v>
      </c>
      <c r="G914" s="21">
        <v>13013142</v>
      </c>
      <c r="H914" s="23">
        <v>4.3400000000000001E-2</v>
      </c>
      <c r="I914" s="23">
        <v>-2E-3</v>
      </c>
      <c r="J914" s="2" t="s">
        <v>4783</v>
      </c>
      <c r="K914" s="2" t="s">
        <v>787</v>
      </c>
    </row>
    <row r="915" spans="1:11" ht="15.35" hidden="1" x14ac:dyDescent="0.55000000000000004">
      <c r="A915" s="20">
        <v>7108</v>
      </c>
      <c r="B915" s="2" t="s">
        <v>173</v>
      </c>
      <c r="C915" s="2" t="s">
        <v>174</v>
      </c>
      <c r="D915" s="20">
        <v>2026</v>
      </c>
      <c r="E915" s="2" t="s">
        <v>4777</v>
      </c>
      <c r="F915" s="2" t="s">
        <v>788</v>
      </c>
      <c r="G915" s="21">
        <v>12141000</v>
      </c>
      <c r="H915" s="23">
        <v>4.0500000000000001E-2</v>
      </c>
      <c r="I915" s="23">
        <v>0</v>
      </c>
      <c r="J915" s="2" t="s">
        <v>4779</v>
      </c>
      <c r="K915" s="2" t="s">
        <v>787</v>
      </c>
    </row>
    <row r="916" spans="1:11" ht="15.35" hidden="1" x14ac:dyDescent="0.55000000000000004">
      <c r="A916" s="38">
        <v>7099</v>
      </c>
      <c r="B916" s="39" t="s">
        <v>173</v>
      </c>
      <c r="C916" s="39" t="s">
        <v>174</v>
      </c>
      <c r="D916" s="38">
        <v>2026</v>
      </c>
      <c r="E916" s="39" t="s">
        <v>4777</v>
      </c>
      <c r="F916" s="39" t="s">
        <v>4919</v>
      </c>
      <c r="G916" s="40">
        <v>11610000</v>
      </c>
      <c r="H916" s="41">
        <v>3.8699999999999998E-2</v>
      </c>
      <c r="I916" s="41">
        <v>3.8699999999999998E-2</v>
      </c>
      <c r="J916" s="39" t="s">
        <v>4779</v>
      </c>
      <c r="K916" s="39" t="s">
        <v>798</v>
      </c>
    </row>
    <row r="917" spans="1:11" ht="15.35" hidden="1" x14ac:dyDescent="0.55000000000000004">
      <c r="A917" s="38">
        <v>7100</v>
      </c>
      <c r="B917" s="39" t="s">
        <v>173</v>
      </c>
      <c r="C917" s="39" t="s">
        <v>174</v>
      </c>
      <c r="D917" s="38">
        <v>2026</v>
      </c>
      <c r="E917" s="39" t="s">
        <v>4777</v>
      </c>
      <c r="F917" s="39" t="s">
        <v>4077</v>
      </c>
      <c r="G917" s="40">
        <v>10710000</v>
      </c>
      <c r="H917" s="41">
        <v>3.5700000000000003E-2</v>
      </c>
      <c r="I917" s="41">
        <v>3.5700000000000003E-2</v>
      </c>
      <c r="J917" s="39" t="s">
        <v>4779</v>
      </c>
      <c r="K917" s="39" t="s">
        <v>817</v>
      </c>
    </row>
    <row r="918" spans="1:11" ht="15.35" hidden="1" x14ac:dyDescent="0.55000000000000004">
      <c r="A918" s="20">
        <v>7101</v>
      </c>
      <c r="B918" s="2" t="s">
        <v>173</v>
      </c>
      <c r="C918" s="2" t="s">
        <v>174</v>
      </c>
      <c r="D918" s="20">
        <v>2026</v>
      </c>
      <c r="E918" s="2" t="s">
        <v>4777</v>
      </c>
      <c r="F918" s="2" t="s">
        <v>904</v>
      </c>
      <c r="G918" s="21">
        <v>10311000</v>
      </c>
      <c r="H918" s="23">
        <v>3.44E-2</v>
      </c>
      <c r="I918" s="23">
        <v>0</v>
      </c>
      <c r="J918" s="2" t="s">
        <v>4779</v>
      </c>
      <c r="K918" s="2" t="s">
        <v>787</v>
      </c>
    </row>
    <row r="919" spans="1:11" ht="15.35" hidden="1" x14ac:dyDescent="0.55000000000000004">
      <c r="A919" s="38">
        <v>7103</v>
      </c>
      <c r="B919" s="39" t="s">
        <v>173</v>
      </c>
      <c r="C919" s="39" t="s">
        <v>174</v>
      </c>
      <c r="D919" s="38">
        <v>2026</v>
      </c>
      <c r="E919" s="39" t="s">
        <v>4777</v>
      </c>
      <c r="F919" s="39" t="s">
        <v>4920</v>
      </c>
      <c r="G919" s="40">
        <v>8793000</v>
      </c>
      <c r="H919" s="41">
        <v>2.93E-2</v>
      </c>
      <c r="I919" s="41">
        <v>2.93E-2</v>
      </c>
      <c r="J919" s="39" t="s">
        <v>4779</v>
      </c>
      <c r="K919" s="39" t="s">
        <v>798</v>
      </c>
    </row>
    <row r="920" spans="1:11" ht="15.35" hidden="1" x14ac:dyDescent="0.55000000000000004">
      <c r="A920" s="20">
        <v>7102</v>
      </c>
      <c r="B920" s="2" t="s">
        <v>173</v>
      </c>
      <c r="C920" s="2" t="s">
        <v>174</v>
      </c>
      <c r="D920" s="20">
        <v>2026</v>
      </c>
      <c r="E920" s="2" t="s">
        <v>4777</v>
      </c>
      <c r="F920" s="2" t="s">
        <v>1191</v>
      </c>
      <c r="G920" s="21">
        <v>8796000</v>
      </c>
      <c r="H920" s="23">
        <v>2.93E-2</v>
      </c>
      <c r="I920" s="23">
        <v>0</v>
      </c>
      <c r="J920" s="2" t="s">
        <v>4779</v>
      </c>
      <c r="K920" s="2" t="s">
        <v>787</v>
      </c>
    </row>
    <row r="921" spans="1:11" ht="15.35" hidden="1" x14ac:dyDescent="0.55000000000000004">
      <c r="A921" s="20">
        <v>7104</v>
      </c>
      <c r="B921" s="2" t="s">
        <v>173</v>
      </c>
      <c r="C921" s="2" t="s">
        <v>174</v>
      </c>
      <c r="D921" s="20">
        <v>2026</v>
      </c>
      <c r="E921" s="2" t="s">
        <v>4777</v>
      </c>
      <c r="F921" s="2" t="s">
        <v>1180</v>
      </c>
      <c r="G921" s="21">
        <v>8061000</v>
      </c>
      <c r="H921" s="23">
        <v>2.69E-2</v>
      </c>
      <c r="I921" s="23">
        <v>0</v>
      </c>
      <c r="J921" s="2" t="s">
        <v>4779</v>
      </c>
      <c r="K921" s="2" t="s">
        <v>783</v>
      </c>
    </row>
    <row r="922" spans="1:11" ht="15.35" hidden="1" x14ac:dyDescent="0.55000000000000004">
      <c r="A922" s="38">
        <v>7105</v>
      </c>
      <c r="B922" s="39" t="s">
        <v>173</v>
      </c>
      <c r="C922" s="39" t="s">
        <v>174</v>
      </c>
      <c r="D922" s="38">
        <v>2026</v>
      </c>
      <c r="E922" s="39" t="s">
        <v>4777</v>
      </c>
      <c r="F922" s="39" t="s">
        <v>792</v>
      </c>
      <c r="G922" s="40">
        <v>7530000</v>
      </c>
      <c r="H922" s="41">
        <v>2.5100000000000001E-2</v>
      </c>
      <c r="I922" s="41">
        <v>2.5100000000000001E-2</v>
      </c>
      <c r="J922" s="39" t="s">
        <v>4779</v>
      </c>
      <c r="K922" s="39" t="s">
        <v>789</v>
      </c>
    </row>
    <row r="923" spans="1:11" ht="15.35" hidden="1" x14ac:dyDescent="0.55000000000000004">
      <c r="A923" s="20">
        <v>7106</v>
      </c>
      <c r="B923" s="2" t="s">
        <v>173</v>
      </c>
      <c r="C923" s="2" t="s">
        <v>174</v>
      </c>
      <c r="D923" s="20">
        <v>2026</v>
      </c>
      <c r="E923" s="2" t="s">
        <v>4777</v>
      </c>
      <c r="F923" s="2" t="s">
        <v>1816</v>
      </c>
      <c r="G923" s="21">
        <v>7524000</v>
      </c>
      <c r="H923" s="23">
        <v>2.5100000000000001E-2</v>
      </c>
      <c r="I923" s="23">
        <v>0</v>
      </c>
      <c r="J923" s="2" t="s">
        <v>4779</v>
      </c>
      <c r="K923" s="2" t="s">
        <v>783</v>
      </c>
    </row>
    <row r="924" spans="1:11" ht="15.35" hidden="1" x14ac:dyDescent="0.55000000000000004">
      <c r="A924" s="20">
        <v>7087</v>
      </c>
      <c r="B924" s="2" t="s">
        <v>173</v>
      </c>
      <c r="C924" s="2" t="s">
        <v>174</v>
      </c>
      <c r="D924" s="20">
        <v>2026</v>
      </c>
      <c r="E924" s="2" t="s">
        <v>4777</v>
      </c>
      <c r="F924" s="2" t="s">
        <v>939</v>
      </c>
      <c r="G924" s="21">
        <v>6680573</v>
      </c>
      <c r="H924" s="23">
        <v>2.23E-2</v>
      </c>
      <c r="I924" s="23">
        <v>8.3000000000000001E-3</v>
      </c>
      <c r="J924" s="2" t="s">
        <v>4783</v>
      </c>
      <c r="K924" s="2" t="s">
        <v>787</v>
      </c>
    </row>
    <row r="925" spans="1:11" ht="15.35" hidden="1" x14ac:dyDescent="0.55000000000000004">
      <c r="A925" s="20">
        <v>7097</v>
      </c>
      <c r="B925" s="2" t="s">
        <v>173</v>
      </c>
      <c r="C925" s="2" t="s">
        <v>174</v>
      </c>
      <c r="D925" s="20">
        <v>2026</v>
      </c>
      <c r="E925" s="2" t="s">
        <v>4777</v>
      </c>
      <c r="F925" s="2" t="s">
        <v>864</v>
      </c>
      <c r="G925" s="21">
        <v>6353724</v>
      </c>
      <c r="H925" s="23">
        <v>2.12E-2</v>
      </c>
      <c r="I925" s="23">
        <v>-2.5000000000000001E-3</v>
      </c>
      <c r="J925" s="2" t="s">
        <v>4783</v>
      </c>
      <c r="K925" s="2" t="s">
        <v>787</v>
      </c>
    </row>
    <row r="926" spans="1:11" ht="15.35" hidden="1" x14ac:dyDescent="0.55000000000000004">
      <c r="A926" s="20">
        <v>7086</v>
      </c>
      <c r="B926" s="2" t="s">
        <v>173</v>
      </c>
      <c r="C926" s="2" t="s">
        <v>174</v>
      </c>
      <c r="D926" s="20">
        <v>2026</v>
      </c>
      <c r="E926" s="2" t="s">
        <v>4777</v>
      </c>
      <c r="F926" s="2" t="s">
        <v>922</v>
      </c>
      <c r="G926" s="21">
        <v>5833698</v>
      </c>
      <c r="H926" s="23">
        <v>1.9400000000000001E-2</v>
      </c>
      <c r="I926" s="23">
        <v>8.0000000000000004E-4</v>
      </c>
      <c r="J926" s="2" t="s">
        <v>4783</v>
      </c>
      <c r="K926" s="2" t="s">
        <v>787</v>
      </c>
    </row>
    <row r="927" spans="1:11" ht="15.35" hidden="1" x14ac:dyDescent="0.55000000000000004">
      <c r="A927" s="38">
        <v>7073</v>
      </c>
      <c r="B927" s="39" t="s">
        <v>173</v>
      </c>
      <c r="C927" s="39" t="s">
        <v>174</v>
      </c>
      <c r="D927" s="38">
        <v>2026</v>
      </c>
      <c r="E927" s="39" t="s">
        <v>4777</v>
      </c>
      <c r="F927" s="39" t="s">
        <v>1316</v>
      </c>
      <c r="G927" s="40">
        <v>3805799</v>
      </c>
      <c r="H927" s="41">
        <v>1.2699999999999999E-2</v>
      </c>
      <c r="I927" s="41">
        <v>1.2699999999999999E-2</v>
      </c>
      <c r="J927" s="39" t="s">
        <v>4783</v>
      </c>
      <c r="K927" s="39" t="s">
        <v>789</v>
      </c>
    </row>
    <row r="928" spans="1:11" ht="15.35" hidden="1" x14ac:dyDescent="0.55000000000000004">
      <c r="A928" s="20">
        <v>7064</v>
      </c>
      <c r="B928" s="2" t="s">
        <v>173</v>
      </c>
      <c r="C928" s="2" t="s">
        <v>174</v>
      </c>
      <c r="D928" s="20">
        <v>2026</v>
      </c>
      <c r="E928" s="2" t="s">
        <v>4777</v>
      </c>
      <c r="F928" s="2" t="s">
        <v>1090</v>
      </c>
      <c r="G928" s="21">
        <v>3156715</v>
      </c>
      <c r="H928" s="23">
        <v>1.0500000000000001E-2</v>
      </c>
      <c r="I928" s="23">
        <v>-1.1000000000000001E-3</v>
      </c>
      <c r="J928" s="2" t="s">
        <v>4783</v>
      </c>
      <c r="K928" s="2" t="s">
        <v>787</v>
      </c>
    </row>
    <row r="929" spans="1:11" ht="15.35" hidden="1" x14ac:dyDescent="0.55000000000000004">
      <c r="A929" s="20">
        <v>7065</v>
      </c>
      <c r="B929" s="2" t="s">
        <v>173</v>
      </c>
      <c r="C929" s="2" t="s">
        <v>174</v>
      </c>
      <c r="D929" s="20">
        <v>2026</v>
      </c>
      <c r="E929" s="2" t="s">
        <v>4777</v>
      </c>
      <c r="F929" s="2" t="s">
        <v>892</v>
      </c>
      <c r="G929" s="21">
        <v>2959101</v>
      </c>
      <c r="H929" s="23">
        <v>9.9000000000000008E-3</v>
      </c>
      <c r="I929" s="23">
        <v>-1.9E-3</v>
      </c>
      <c r="J929" s="2" t="s">
        <v>4783</v>
      </c>
      <c r="K929" s="2" t="s">
        <v>787</v>
      </c>
    </row>
    <row r="930" spans="1:11" ht="15.35" hidden="1" x14ac:dyDescent="0.55000000000000004">
      <c r="A930" s="38">
        <v>7066</v>
      </c>
      <c r="B930" s="39" t="s">
        <v>173</v>
      </c>
      <c r="C930" s="39" t="s">
        <v>174</v>
      </c>
      <c r="D930" s="38">
        <v>2026</v>
      </c>
      <c r="E930" s="39" t="s">
        <v>4777</v>
      </c>
      <c r="F930" s="39" t="s">
        <v>2809</v>
      </c>
      <c r="G930" s="40">
        <v>2411332</v>
      </c>
      <c r="H930" s="41">
        <v>8.0000000000000002E-3</v>
      </c>
      <c r="I930" s="41">
        <v>8.0000000000000002E-3</v>
      </c>
      <c r="J930" s="39" t="s">
        <v>4783</v>
      </c>
      <c r="K930" s="39" t="s">
        <v>789</v>
      </c>
    </row>
    <row r="931" spans="1:11" ht="15.35" hidden="1" x14ac:dyDescent="0.55000000000000004">
      <c r="A931" s="38">
        <v>7067</v>
      </c>
      <c r="B931" s="39" t="s">
        <v>173</v>
      </c>
      <c r="C931" s="39" t="s">
        <v>174</v>
      </c>
      <c r="D931" s="38">
        <v>2026</v>
      </c>
      <c r="E931" s="39" t="s">
        <v>4777</v>
      </c>
      <c r="F931" s="39" t="s">
        <v>4795</v>
      </c>
      <c r="G931" s="40">
        <v>2102070</v>
      </c>
      <c r="H931" s="41">
        <v>7.0000000000000001E-3</v>
      </c>
      <c r="I931" s="41">
        <v>7.0000000000000001E-3</v>
      </c>
      <c r="J931" s="39" t="s">
        <v>4783</v>
      </c>
      <c r="K931" s="39" t="s">
        <v>789</v>
      </c>
    </row>
    <row r="932" spans="1:11" ht="15.35" hidden="1" x14ac:dyDescent="0.55000000000000004">
      <c r="A932" s="20">
        <v>7068</v>
      </c>
      <c r="B932" s="2" t="s">
        <v>173</v>
      </c>
      <c r="C932" s="2" t="s">
        <v>174</v>
      </c>
      <c r="D932" s="20">
        <v>2026</v>
      </c>
      <c r="E932" s="2" t="s">
        <v>4777</v>
      </c>
      <c r="F932" s="2" t="s">
        <v>1191</v>
      </c>
      <c r="G932" s="21">
        <v>2054853</v>
      </c>
      <c r="H932" s="23">
        <v>6.7999999999999996E-3</v>
      </c>
      <c r="I932" s="23">
        <v>-2E-3</v>
      </c>
      <c r="J932" s="2" t="s">
        <v>4783</v>
      </c>
      <c r="K932" s="2" t="s">
        <v>787</v>
      </c>
    </row>
    <row r="933" spans="1:11" ht="15.35" hidden="1" x14ac:dyDescent="0.55000000000000004">
      <c r="A933" s="42"/>
      <c r="B933" s="43" t="s">
        <v>173</v>
      </c>
      <c r="C933" s="43" t="s">
        <v>174</v>
      </c>
      <c r="D933" s="44">
        <v>2026</v>
      </c>
      <c r="E933" s="43" t="s">
        <v>4777</v>
      </c>
      <c r="F933" s="43" t="s">
        <v>4917</v>
      </c>
      <c r="G933" s="45"/>
      <c r="H933" s="46">
        <v>0</v>
      </c>
      <c r="I933" s="46">
        <v>-8.9999999999999993E-3</v>
      </c>
      <c r="J933" s="43" t="s">
        <v>4783</v>
      </c>
      <c r="K933" s="43" t="s">
        <v>789</v>
      </c>
    </row>
    <row r="934" spans="1:11" ht="15.35" hidden="1" x14ac:dyDescent="0.55000000000000004">
      <c r="A934" s="42"/>
      <c r="B934" s="43" t="s">
        <v>173</v>
      </c>
      <c r="C934" s="43" t="s">
        <v>174</v>
      </c>
      <c r="D934" s="44">
        <v>2026</v>
      </c>
      <c r="E934" s="43" t="s">
        <v>4777</v>
      </c>
      <c r="F934" s="43" t="s">
        <v>4784</v>
      </c>
      <c r="G934" s="45"/>
      <c r="H934" s="46">
        <v>0</v>
      </c>
      <c r="I934" s="46">
        <v>-2.5100000000000001E-2</v>
      </c>
      <c r="J934" s="43" t="s">
        <v>4779</v>
      </c>
      <c r="K934" s="43" t="s">
        <v>789</v>
      </c>
    </row>
    <row r="935" spans="1:11" ht="15.35" hidden="1" x14ac:dyDescent="0.55000000000000004">
      <c r="A935" s="42"/>
      <c r="B935" s="43" t="s">
        <v>173</v>
      </c>
      <c r="C935" s="43" t="s">
        <v>174</v>
      </c>
      <c r="D935" s="44">
        <v>2026</v>
      </c>
      <c r="E935" s="43" t="s">
        <v>4777</v>
      </c>
      <c r="F935" s="43" t="s">
        <v>1802</v>
      </c>
      <c r="G935" s="45"/>
      <c r="H935" s="46">
        <v>0</v>
      </c>
      <c r="I935" s="46">
        <v>-0.2</v>
      </c>
      <c r="J935" s="43" t="s">
        <v>4779</v>
      </c>
      <c r="K935" s="43" t="s">
        <v>807</v>
      </c>
    </row>
    <row r="936" spans="1:11" ht="15.35" hidden="1" x14ac:dyDescent="0.55000000000000004">
      <c r="A936" s="42"/>
      <c r="B936" s="43" t="s">
        <v>173</v>
      </c>
      <c r="C936" s="43" t="s">
        <v>174</v>
      </c>
      <c r="D936" s="44">
        <v>2026</v>
      </c>
      <c r="E936" s="43" t="s">
        <v>4777</v>
      </c>
      <c r="F936" s="43" t="s">
        <v>4814</v>
      </c>
      <c r="G936" s="45"/>
      <c r="H936" s="46">
        <v>0</v>
      </c>
      <c r="I936" s="46">
        <v>-1.29E-2</v>
      </c>
      <c r="J936" s="43" t="s">
        <v>4783</v>
      </c>
      <c r="K936" s="43" t="s">
        <v>789</v>
      </c>
    </row>
    <row r="937" spans="1:11" ht="15.35" hidden="1" x14ac:dyDescent="0.55000000000000004">
      <c r="A937" s="42"/>
      <c r="B937" s="43" t="s">
        <v>173</v>
      </c>
      <c r="C937" s="43" t="s">
        <v>174</v>
      </c>
      <c r="D937" s="44">
        <v>2026</v>
      </c>
      <c r="E937" s="43" t="s">
        <v>4777</v>
      </c>
      <c r="F937" s="43" t="s">
        <v>4916</v>
      </c>
      <c r="G937" s="45"/>
      <c r="H937" s="46">
        <v>0</v>
      </c>
      <c r="I937" s="46">
        <v>-2.93E-2</v>
      </c>
      <c r="J937" s="43" t="s">
        <v>4779</v>
      </c>
      <c r="K937" s="43" t="s">
        <v>798</v>
      </c>
    </row>
    <row r="938" spans="1:11" ht="15.35" hidden="1" x14ac:dyDescent="0.55000000000000004">
      <c r="A938" s="42"/>
      <c r="B938" s="43" t="s">
        <v>173</v>
      </c>
      <c r="C938" s="43" t="s">
        <v>174</v>
      </c>
      <c r="D938" s="44">
        <v>2026</v>
      </c>
      <c r="E938" s="43" t="s">
        <v>4777</v>
      </c>
      <c r="F938" s="43" t="s">
        <v>4897</v>
      </c>
      <c r="G938" s="45"/>
      <c r="H938" s="46">
        <v>0</v>
      </c>
      <c r="I938" s="46">
        <v>-3.5700000000000003E-2</v>
      </c>
      <c r="J938" s="43" t="s">
        <v>4779</v>
      </c>
      <c r="K938" s="43" t="s">
        <v>817</v>
      </c>
    </row>
    <row r="939" spans="1:11" ht="15.35" hidden="1" x14ac:dyDescent="0.55000000000000004">
      <c r="A939" s="42"/>
      <c r="B939" s="43" t="s">
        <v>173</v>
      </c>
      <c r="C939" s="43" t="s">
        <v>174</v>
      </c>
      <c r="D939" s="44">
        <v>2026</v>
      </c>
      <c r="E939" s="43" t="s">
        <v>4777</v>
      </c>
      <c r="F939" s="43" t="s">
        <v>4805</v>
      </c>
      <c r="G939" s="45"/>
      <c r="H939" s="46">
        <v>0</v>
      </c>
      <c r="I939" s="46">
        <v>-1.0999999999999999E-2</v>
      </c>
      <c r="J939" s="43" t="s">
        <v>4783</v>
      </c>
      <c r="K939" s="43" t="s">
        <v>817</v>
      </c>
    </row>
    <row r="940" spans="1:11" ht="15.35" hidden="1" x14ac:dyDescent="0.55000000000000004">
      <c r="A940" s="42"/>
      <c r="B940" s="43" t="s">
        <v>173</v>
      </c>
      <c r="C940" s="43" t="s">
        <v>174</v>
      </c>
      <c r="D940" s="44">
        <v>2026</v>
      </c>
      <c r="E940" s="43" t="s">
        <v>4777</v>
      </c>
      <c r="F940" s="43" t="s">
        <v>4915</v>
      </c>
      <c r="G940" s="45"/>
      <c r="H940" s="46">
        <v>0</v>
      </c>
      <c r="I940" s="46">
        <v>-3.8699999999999998E-2</v>
      </c>
      <c r="J940" s="43" t="s">
        <v>4779</v>
      </c>
      <c r="K940" s="43" t="s">
        <v>798</v>
      </c>
    </row>
  </sheetData>
  <autoFilter ref="A2:K940" xr:uid="{00000000-0009-0000-0000-000008000000}">
    <filterColumn colId="2">
      <filters>
        <filter val="华夏华润消费REIT"/>
      </filters>
    </filterColumn>
    <filterColumn colId="9">
      <filters>
        <filter val="流通"/>
      </filters>
    </filterColumn>
  </autoFilter>
  <mergeCells count="1">
    <mergeCell ref="B1:C1"/>
  </mergeCells>
  <phoneticPr fontId="17" type="noConversion"/>
  <hyperlinks>
    <hyperlink ref="B1" location="'数据概览'!A1" tooltip="返回数据概览" display="⬅ 返回数据概览" xr:uid="{00000000-0004-0000-0800-000000000000}"/>
  </hyperlink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931"/>
  <sheetViews>
    <sheetView workbookViewId="0">
      <pane xSplit="3" ySplit="2" topLeftCell="D3" activePane="bottomRight" state="frozen"/>
      <selection pane="topRight"/>
      <selection pane="bottomLeft"/>
      <selection pane="bottomRight"/>
    </sheetView>
  </sheetViews>
  <sheetFormatPr defaultRowHeight="14.35" x14ac:dyDescent="0.4"/>
  <cols>
    <col min="1" max="1" width="7" hidden="1" customWidth="1"/>
    <col min="2" max="2" width="8" customWidth="1"/>
    <col min="3" max="3" width="26" customWidth="1"/>
    <col min="4" max="6" width="14" customWidth="1"/>
    <col min="7" max="7" width="10" customWidth="1"/>
    <col min="8" max="8" width="14" customWidth="1"/>
    <col min="9" max="9" width="11" customWidth="1"/>
    <col min="10" max="11" width="14" customWidth="1"/>
  </cols>
  <sheetData>
    <row r="1" spans="1:11" ht="15.35" x14ac:dyDescent="0.55000000000000004">
      <c r="B1" s="61" t="s">
        <v>87</v>
      </c>
      <c r="C1" s="62"/>
    </row>
    <row r="2" spans="1:11" ht="45" customHeight="1" x14ac:dyDescent="0.4">
      <c r="A2" s="6" t="s">
        <v>88</v>
      </c>
      <c r="B2" s="6" t="s">
        <v>89</v>
      </c>
      <c r="C2" s="6" t="s">
        <v>90</v>
      </c>
      <c r="D2" s="6" t="s">
        <v>91</v>
      </c>
      <c r="E2" s="6" t="s">
        <v>286</v>
      </c>
      <c r="F2" s="6" t="s">
        <v>759</v>
      </c>
      <c r="G2" s="6" t="s">
        <v>4921</v>
      </c>
      <c r="H2" s="6" t="s">
        <v>4922</v>
      </c>
      <c r="I2" s="6" t="s">
        <v>4923</v>
      </c>
      <c r="J2" s="6" t="s">
        <v>4924</v>
      </c>
      <c r="K2" s="6" t="s">
        <v>4925</v>
      </c>
    </row>
    <row r="3" spans="1:11" ht="15.35" x14ac:dyDescent="0.55000000000000004">
      <c r="A3" s="20">
        <v>10737</v>
      </c>
      <c r="B3" s="2" t="s">
        <v>148</v>
      </c>
      <c r="C3" s="2" t="s">
        <v>149</v>
      </c>
      <c r="D3" s="2" t="s">
        <v>150</v>
      </c>
      <c r="E3" s="2" t="s">
        <v>4926</v>
      </c>
      <c r="F3" s="2" t="s">
        <v>4927</v>
      </c>
      <c r="G3" s="2" t="s">
        <v>4928</v>
      </c>
      <c r="H3" s="2" t="s">
        <v>4929</v>
      </c>
      <c r="I3" s="20">
        <v>2.17</v>
      </c>
      <c r="J3" s="2" t="s">
        <v>4930</v>
      </c>
    </row>
    <row r="4" spans="1:11" ht="15.35" x14ac:dyDescent="0.55000000000000004">
      <c r="A4" s="20">
        <v>10759</v>
      </c>
      <c r="B4" s="2" t="s">
        <v>148</v>
      </c>
      <c r="C4" s="2" t="s">
        <v>149</v>
      </c>
      <c r="D4" s="2" t="s">
        <v>150</v>
      </c>
      <c r="E4" s="2" t="s">
        <v>4926</v>
      </c>
      <c r="F4" s="2" t="s">
        <v>4927</v>
      </c>
      <c r="G4" s="2" t="s">
        <v>4931</v>
      </c>
      <c r="H4" s="2" t="s">
        <v>4932</v>
      </c>
      <c r="I4" s="20">
        <v>98.03</v>
      </c>
      <c r="J4" s="2" t="s">
        <v>4933</v>
      </c>
    </row>
    <row r="5" spans="1:11" ht="15.35" x14ac:dyDescent="0.55000000000000004">
      <c r="A5" s="20">
        <v>10776</v>
      </c>
      <c r="B5" s="2" t="s">
        <v>148</v>
      </c>
      <c r="C5" s="2" t="s">
        <v>149</v>
      </c>
      <c r="D5" s="2" t="s">
        <v>150</v>
      </c>
      <c r="E5" s="2" t="s">
        <v>4926</v>
      </c>
      <c r="F5" s="2" t="s">
        <v>4927</v>
      </c>
      <c r="G5" s="2" t="s">
        <v>4928</v>
      </c>
      <c r="H5" s="2" t="s">
        <v>4934</v>
      </c>
      <c r="I5" s="20">
        <v>136577.5</v>
      </c>
      <c r="J5" s="2" t="s">
        <v>4935</v>
      </c>
    </row>
    <row r="6" spans="1:11" ht="15.35" x14ac:dyDescent="0.55000000000000004">
      <c r="A6" s="20">
        <v>10777</v>
      </c>
      <c r="B6" s="2" t="s">
        <v>148</v>
      </c>
      <c r="C6" s="2" t="s">
        <v>149</v>
      </c>
      <c r="D6" s="2" t="s">
        <v>150</v>
      </c>
      <c r="E6" s="2" t="s">
        <v>4926</v>
      </c>
      <c r="F6" s="2" t="s">
        <v>4927</v>
      </c>
      <c r="G6" s="2" t="s">
        <v>4928</v>
      </c>
      <c r="H6" s="2" t="s">
        <v>4936</v>
      </c>
      <c r="I6" s="20">
        <v>135206.5</v>
      </c>
      <c r="J6" s="2" t="s">
        <v>4935</v>
      </c>
    </row>
    <row r="7" spans="1:11" ht="15.35" x14ac:dyDescent="0.55000000000000004">
      <c r="A7" s="20">
        <v>10778</v>
      </c>
      <c r="B7" s="2" t="s">
        <v>148</v>
      </c>
      <c r="C7" s="2" t="s">
        <v>149</v>
      </c>
      <c r="D7" s="2" t="s">
        <v>150</v>
      </c>
      <c r="E7" s="2" t="s">
        <v>4926</v>
      </c>
      <c r="F7" s="2" t="s">
        <v>4927</v>
      </c>
      <c r="G7" s="2" t="s">
        <v>4931</v>
      </c>
      <c r="H7" s="2" t="s">
        <v>4937</v>
      </c>
      <c r="I7" s="20">
        <v>99</v>
      </c>
      <c r="J7" s="2" t="s">
        <v>4933</v>
      </c>
    </row>
    <row r="8" spans="1:11" ht="15.35" x14ac:dyDescent="0.55000000000000004">
      <c r="A8" s="20">
        <v>10757</v>
      </c>
      <c r="B8" s="2" t="s">
        <v>148</v>
      </c>
      <c r="C8" s="2" t="s">
        <v>149</v>
      </c>
      <c r="D8" s="2" t="s">
        <v>150</v>
      </c>
      <c r="E8" s="2" t="s">
        <v>4926</v>
      </c>
      <c r="F8" s="2" t="s">
        <v>4938</v>
      </c>
      <c r="G8" s="2" t="s">
        <v>4928</v>
      </c>
      <c r="H8" s="2" t="s">
        <v>4934</v>
      </c>
      <c r="I8" s="20">
        <v>137729.5</v>
      </c>
      <c r="J8" s="2" t="s">
        <v>4935</v>
      </c>
    </row>
    <row r="9" spans="1:11" ht="15.35" x14ac:dyDescent="0.55000000000000004">
      <c r="A9" s="20">
        <v>10760</v>
      </c>
      <c r="B9" s="2" t="s">
        <v>148</v>
      </c>
      <c r="C9" s="2" t="s">
        <v>149</v>
      </c>
      <c r="D9" s="2" t="s">
        <v>150</v>
      </c>
      <c r="E9" s="2" t="s">
        <v>4926</v>
      </c>
      <c r="F9" s="2" t="s">
        <v>4938</v>
      </c>
      <c r="G9" s="2" t="s">
        <v>4931</v>
      </c>
      <c r="H9" s="2" t="s">
        <v>4937</v>
      </c>
      <c r="I9" s="20">
        <v>99.04</v>
      </c>
      <c r="J9" s="2" t="s">
        <v>4933</v>
      </c>
    </row>
    <row r="10" spans="1:11" ht="15.35" x14ac:dyDescent="0.55000000000000004">
      <c r="A10" s="20">
        <v>10761</v>
      </c>
      <c r="B10" s="2" t="s">
        <v>148</v>
      </c>
      <c r="C10" s="2" t="s">
        <v>149</v>
      </c>
      <c r="D10" s="2" t="s">
        <v>150</v>
      </c>
      <c r="E10" s="2" t="s">
        <v>4926</v>
      </c>
      <c r="F10" s="2" t="s">
        <v>4938</v>
      </c>
      <c r="G10" s="2" t="s">
        <v>4931</v>
      </c>
      <c r="H10" s="2" t="s">
        <v>4932</v>
      </c>
      <c r="I10" s="20">
        <v>100</v>
      </c>
      <c r="J10" s="2" t="s">
        <v>4933</v>
      </c>
    </row>
    <row r="11" spans="1:11" ht="15.35" x14ac:dyDescent="0.55000000000000004">
      <c r="A11" s="20">
        <v>10762</v>
      </c>
      <c r="B11" s="2" t="s">
        <v>148</v>
      </c>
      <c r="C11" s="2" t="s">
        <v>149</v>
      </c>
      <c r="D11" s="2" t="s">
        <v>150</v>
      </c>
      <c r="E11" s="2" t="s">
        <v>4926</v>
      </c>
      <c r="F11" s="2" t="s">
        <v>4938</v>
      </c>
      <c r="G11" s="2" t="s">
        <v>4928</v>
      </c>
      <c r="H11" s="2" t="s">
        <v>4929</v>
      </c>
      <c r="I11" s="20">
        <v>1.84</v>
      </c>
      <c r="J11" s="2" t="s">
        <v>4930</v>
      </c>
    </row>
    <row r="12" spans="1:11" ht="15.35" x14ac:dyDescent="0.55000000000000004">
      <c r="A12" s="20">
        <v>10763</v>
      </c>
      <c r="B12" s="2" t="s">
        <v>148</v>
      </c>
      <c r="C12" s="2" t="s">
        <v>149</v>
      </c>
      <c r="D12" s="2" t="s">
        <v>150</v>
      </c>
      <c r="E12" s="2" t="s">
        <v>4926</v>
      </c>
      <c r="F12" s="2" t="s">
        <v>4938</v>
      </c>
      <c r="G12" s="2" t="s">
        <v>4939</v>
      </c>
      <c r="H12" s="2" t="s">
        <v>4940</v>
      </c>
      <c r="I12" s="20">
        <v>383.23</v>
      </c>
      <c r="J12" s="2" t="s">
        <v>4941</v>
      </c>
    </row>
    <row r="13" spans="1:11" ht="15.35" x14ac:dyDescent="0.55000000000000004">
      <c r="A13" s="20">
        <v>10769</v>
      </c>
      <c r="B13" s="2" t="s">
        <v>148</v>
      </c>
      <c r="C13" s="2" t="s">
        <v>149</v>
      </c>
      <c r="D13" s="2" t="s">
        <v>150</v>
      </c>
      <c r="E13" s="2" t="s">
        <v>4926</v>
      </c>
      <c r="F13" s="2" t="s">
        <v>4938</v>
      </c>
      <c r="G13" s="2" t="s">
        <v>4928</v>
      </c>
      <c r="H13" s="2" t="s">
        <v>4936</v>
      </c>
      <c r="I13" s="20">
        <v>136403.5</v>
      </c>
      <c r="J13" s="2" t="s">
        <v>4935</v>
      </c>
    </row>
    <row r="14" spans="1:11" ht="15.35" x14ac:dyDescent="0.55000000000000004">
      <c r="A14" s="20">
        <v>13210</v>
      </c>
      <c r="B14" s="2" t="s">
        <v>148</v>
      </c>
      <c r="C14" s="2" t="s">
        <v>149</v>
      </c>
      <c r="D14" s="2" t="s">
        <v>150</v>
      </c>
      <c r="E14" s="2" t="s">
        <v>4926</v>
      </c>
      <c r="F14" s="2" t="s">
        <v>4942</v>
      </c>
      <c r="G14" s="2" t="s">
        <v>4931</v>
      </c>
      <c r="H14" s="2" t="s">
        <v>4932</v>
      </c>
      <c r="I14" s="20">
        <v>100</v>
      </c>
      <c r="J14" s="2" t="s">
        <v>4933</v>
      </c>
    </row>
    <row r="15" spans="1:11" ht="15.35" x14ac:dyDescent="0.55000000000000004">
      <c r="A15" s="20">
        <v>13211</v>
      </c>
      <c r="B15" s="2" t="s">
        <v>148</v>
      </c>
      <c r="C15" s="2" t="s">
        <v>149</v>
      </c>
      <c r="D15" s="2" t="s">
        <v>150</v>
      </c>
      <c r="E15" s="2" t="s">
        <v>4926</v>
      </c>
      <c r="F15" s="2" t="s">
        <v>4942</v>
      </c>
      <c r="G15" s="2" t="s">
        <v>4928</v>
      </c>
      <c r="H15" s="2" t="s">
        <v>4934</v>
      </c>
      <c r="I15" s="20">
        <v>137186</v>
      </c>
      <c r="J15" s="2" t="s">
        <v>4935</v>
      </c>
    </row>
    <row r="16" spans="1:11" ht="15.35" x14ac:dyDescent="0.55000000000000004">
      <c r="A16" s="20">
        <v>13212</v>
      </c>
      <c r="B16" s="2" t="s">
        <v>148</v>
      </c>
      <c r="C16" s="2" t="s">
        <v>149</v>
      </c>
      <c r="D16" s="2" t="s">
        <v>150</v>
      </c>
      <c r="E16" s="2" t="s">
        <v>4926</v>
      </c>
      <c r="F16" s="2" t="s">
        <v>4942</v>
      </c>
      <c r="G16" s="2" t="s">
        <v>4928</v>
      </c>
      <c r="H16" s="2" t="s">
        <v>4936</v>
      </c>
      <c r="I16" s="20">
        <v>136227</v>
      </c>
      <c r="J16" s="2" t="s">
        <v>4935</v>
      </c>
    </row>
    <row r="17" spans="1:10" ht="15.35" x14ac:dyDescent="0.55000000000000004">
      <c r="A17" s="20">
        <v>13213</v>
      </c>
      <c r="B17" s="2" t="s">
        <v>148</v>
      </c>
      <c r="C17" s="2" t="s">
        <v>149</v>
      </c>
      <c r="D17" s="2" t="s">
        <v>150</v>
      </c>
      <c r="E17" s="2" t="s">
        <v>4926</v>
      </c>
      <c r="F17" s="2" t="s">
        <v>4942</v>
      </c>
      <c r="G17" s="2" t="s">
        <v>4931</v>
      </c>
      <c r="H17" s="2" t="s">
        <v>4937</v>
      </c>
      <c r="I17" s="20">
        <v>99.3</v>
      </c>
      <c r="J17" s="2" t="s">
        <v>4933</v>
      </c>
    </row>
    <row r="18" spans="1:10" ht="15.35" x14ac:dyDescent="0.55000000000000004">
      <c r="A18" s="20">
        <v>13214</v>
      </c>
      <c r="B18" s="2" t="s">
        <v>148</v>
      </c>
      <c r="C18" s="2" t="s">
        <v>149</v>
      </c>
      <c r="D18" s="2" t="s">
        <v>150</v>
      </c>
      <c r="E18" s="2" t="s">
        <v>4926</v>
      </c>
      <c r="F18" s="2" t="s">
        <v>4942</v>
      </c>
      <c r="G18" s="2" t="s">
        <v>4928</v>
      </c>
      <c r="H18" s="2" t="s">
        <v>4929</v>
      </c>
      <c r="I18" s="20">
        <v>1.79</v>
      </c>
      <c r="J18" s="2" t="s">
        <v>4930</v>
      </c>
    </row>
    <row r="19" spans="1:10" ht="15.35" x14ac:dyDescent="0.55000000000000004">
      <c r="A19" s="20">
        <v>13215</v>
      </c>
      <c r="B19" s="2" t="s">
        <v>148</v>
      </c>
      <c r="C19" s="2" t="s">
        <v>149</v>
      </c>
      <c r="D19" s="2" t="s">
        <v>150</v>
      </c>
      <c r="E19" s="2" t="s">
        <v>4926</v>
      </c>
      <c r="F19" s="2" t="s">
        <v>4942</v>
      </c>
      <c r="G19" s="2" t="s">
        <v>4939</v>
      </c>
      <c r="H19" s="2" t="s">
        <v>4940</v>
      </c>
      <c r="I19" s="20">
        <v>412.61</v>
      </c>
      <c r="J19" s="2" t="s">
        <v>4941</v>
      </c>
    </row>
    <row r="20" spans="1:10" ht="15.35" x14ac:dyDescent="0.55000000000000004">
      <c r="A20" s="20">
        <v>10758</v>
      </c>
      <c r="B20" s="2" t="s">
        <v>148</v>
      </c>
      <c r="C20" s="2" t="s">
        <v>149</v>
      </c>
      <c r="D20" s="2" t="s">
        <v>150</v>
      </c>
      <c r="E20" s="2" t="s">
        <v>4926</v>
      </c>
      <c r="F20" s="2" t="s">
        <v>4943</v>
      </c>
      <c r="G20" s="2" t="s">
        <v>4928</v>
      </c>
      <c r="H20" s="2" t="s">
        <v>4934</v>
      </c>
      <c r="I20" s="20">
        <v>134150.5</v>
      </c>
      <c r="J20" s="2" t="s">
        <v>4935</v>
      </c>
    </row>
    <row r="21" spans="1:10" ht="15.35" x14ac:dyDescent="0.55000000000000004">
      <c r="A21" s="20">
        <v>10771</v>
      </c>
      <c r="B21" s="2" t="s">
        <v>148</v>
      </c>
      <c r="C21" s="2" t="s">
        <v>149</v>
      </c>
      <c r="D21" s="2" t="s">
        <v>150</v>
      </c>
      <c r="E21" s="2" t="s">
        <v>4926</v>
      </c>
      <c r="F21" s="2" t="s">
        <v>4943</v>
      </c>
      <c r="G21" s="2" t="s">
        <v>4928</v>
      </c>
      <c r="H21" s="2" t="s">
        <v>4936</v>
      </c>
      <c r="I21" s="20">
        <v>132949.5</v>
      </c>
      <c r="J21" s="2" t="s">
        <v>4935</v>
      </c>
    </row>
    <row r="22" spans="1:10" ht="15.35" x14ac:dyDescent="0.55000000000000004">
      <c r="A22" s="20">
        <v>10772</v>
      </c>
      <c r="B22" s="2" t="s">
        <v>148</v>
      </c>
      <c r="C22" s="2" t="s">
        <v>149</v>
      </c>
      <c r="D22" s="2" t="s">
        <v>150</v>
      </c>
      <c r="E22" s="2" t="s">
        <v>4926</v>
      </c>
      <c r="F22" s="2" t="s">
        <v>4943</v>
      </c>
      <c r="G22" s="2" t="s">
        <v>4931</v>
      </c>
      <c r="H22" s="2" t="s">
        <v>4937</v>
      </c>
      <c r="I22" s="20">
        <v>99.1</v>
      </c>
      <c r="J22" s="2" t="s">
        <v>4933</v>
      </c>
    </row>
    <row r="23" spans="1:10" ht="15.35" x14ac:dyDescent="0.55000000000000004">
      <c r="A23" s="20">
        <v>10773</v>
      </c>
      <c r="B23" s="2" t="s">
        <v>148</v>
      </c>
      <c r="C23" s="2" t="s">
        <v>149</v>
      </c>
      <c r="D23" s="2" t="s">
        <v>150</v>
      </c>
      <c r="E23" s="2" t="s">
        <v>4926</v>
      </c>
      <c r="F23" s="2" t="s">
        <v>4943</v>
      </c>
      <c r="G23" s="2" t="s">
        <v>4931</v>
      </c>
      <c r="H23" s="2" t="s">
        <v>4932</v>
      </c>
      <c r="I23" s="20">
        <v>100</v>
      </c>
      <c r="J23" s="2" t="s">
        <v>4933</v>
      </c>
    </row>
    <row r="24" spans="1:10" ht="15.35" x14ac:dyDescent="0.55000000000000004">
      <c r="A24" s="20">
        <v>10774</v>
      </c>
      <c r="B24" s="2" t="s">
        <v>148</v>
      </c>
      <c r="C24" s="2" t="s">
        <v>149</v>
      </c>
      <c r="D24" s="2" t="s">
        <v>150</v>
      </c>
      <c r="E24" s="2" t="s">
        <v>4926</v>
      </c>
      <c r="F24" s="2" t="s">
        <v>4943</v>
      </c>
      <c r="G24" s="2" t="s">
        <v>4928</v>
      </c>
      <c r="H24" s="2" t="s">
        <v>4929</v>
      </c>
      <c r="I24" s="20">
        <v>2.0299999999999998</v>
      </c>
      <c r="J24" s="2" t="s">
        <v>4930</v>
      </c>
    </row>
    <row r="25" spans="1:10" ht="15.35" x14ac:dyDescent="0.55000000000000004">
      <c r="A25" s="20">
        <v>10775</v>
      </c>
      <c r="B25" s="2" t="s">
        <v>148</v>
      </c>
      <c r="C25" s="2" t="s">
        <v>149</v>
      </c>
      <c r="D25" s="2" t="s">
        <v>150</v>
      </c>
      <c r="E25" s="2" t="s">
        <v>4926</v>
      </c>
      <c r="F25" s="2" t="s">
        <v>4943</v>
      </c>
      <c r="G25" s="2" t="s">
        <v>4939</v>
      </c>
      <c r="H25" s="2" t="s">
        <v>4940</v>
      </c>
      <c r="I25" s="20">
        <v>421.03</v>
      </c>
      <c r="J25" s="2" t="s">
        <v>4941</v>
      </c>
    </row>
    <row r="26" spans="1:10" ht="15.35" x14ac:dyDescent="0.55000000000000004">
      <c r="A26" s="20">
        <v>10764</v>
      </c>
      <c r="B26" s="2" t="s">
        <v>148</v>
      </c>
      <c r="C26" s="2" t="s">
        <v>149</v>
      </c>
      <c r="D26" s="2" t="s">
        <v>150</v>
      </c>
      <c r="E26" s="2" t="s">
        <v>4926</v>
      </c>
      <c r="F26" s="2" t="s">
        <v>4944</v>
      </c>
      <c r="G26" s="2" t="s">
        <v>4928</v>
      </c>
      <c r="H26" s="2" t="s">
        <v>4934</v>
      </c>
      <c r="I26" s="20">
        <v>136990</v>
      </c>
      <c r="J26" s="2" t="s">
        <v>4935</v>
      </c>
    </row>
    <row r="27" spans="1:10" ht="15.35" x14ac:dyDescent="0.55000000000000004">
      <c r="A27" s="20">
        <v>10765</v>
      </c>
      <c r="B27" s="2" t="s">
        <v>148</v>
      </c>
      <c r="C27" s="2" t="s">
        <v>149</v>
      </c>
      <c r="D27" s="2" t="s">
        <v>150</v>
      </c>
      <c r="E27" s="2" t="s">
        <v>4926</v>
      </c>
      <c r="F27" s="2" t="s">
        <v>4944</v>
      </c>
      <c r="G27" s="2" t="s">
        <v>4928</v>
      </c>
      <c r="H27" s="2" t="s">
        <v>4936</v>
      </c>
      <c r="I27" s="20">
        <v>135658</v>
      </c>
      <c r="J27" s="2" t="s">
        <v>4935</v>
      </c>
    </row>
    <row r="28" spans="1:10" ht="15.35" x14ac:dyDescent="0.55000000000000004">
      <c r="A28" s="20">
        <v>10766</v>
      </c>
      <c r="B28" s="2" t="s">
        <v>148</v>
      </c>
      <c r="C28" s="2" t="s">
        <v>149</v>
      </c>
      <c r="D28" s="2" t="s">
        <v>150</v>
      </c>
      <c r="E28" s="2" t="s">
        <v>4926</v>
      </c>
      <c r="F28" s="2" t="s">
        <v>4944</v>
      </c>
      <c r="G28" s="2" t="s">
        <v>4931</v>
      </c>
      <c r="H28" s="2" t="s">
        <v>4937</v>
      </c>
      <c r="I28" s="20">
        <v>99.03</v>
      </c>
      <c r="J28" s="2" t="s">
        <v>4933</v>
      </c>
    </row>
    <row r="29" spans="1:10" ht="15.35" x14ac:dyDescent="0.55000000000000004">
      <c r="A29" s="20">
        <v>10767</v>
      </c>
      <c r="B29" s="2" t="s">
        <v>148</v>
      </c>
      <c r="C29" s="2" t="s">
        <v>149</v>
      </c>
      <c r="D29" s="2" t="s">
        <v>150</v>
      </c>
      <c r="E29" s="2" t="s">
        <v>4926</v>
      </c>
      <c r="F29" s="2" t="s">
        <v>4944</v>
      </c>
      <c r="G29" s="2" t="s">
        <v>4931</v>
      </c>
      <c r="H29" s="2" t="s">
        <v>4932</v>
      </c>
      <c r="I29" s="20">
        <v>100</v>
      </c>
      <c r="J29" s="2" t="s">
        <v>4933</v>
      </c>
    </row>
    <row r="30" spans="1:10" ht="15.35" x14ac:dyDescent="0.55000000000000004">
      <c r="A30" s="20">
        <v>10768</v>
      </c>
      <c r="B30" s="2" t="s">
        <v>148</v>
      </c>
      <c r="C30" s="2" t="s">
        <v>149</v>
      </c>
      <c r="D30" s="2" t="s">
        <v>150</v>
      </c>
      <c r="E30" s="2" t="s">
        <v>4926</v>
      </c>
      <c r="F30" s="2" t="s">
        <v>4944</v>
      </c>
      <c r="G30" s="2" t="s">
        <v>4928</v>
      </c>
      <c r="H30" s="2" t="s">
        <v>4929</v>
      </c>
      <c r="I30" s="20">
        <v>1.99</v>
      </c>
      <c r="J30" s="2" t="s">
        <v>4930</v>
      </c>
    </row>
    <row r="31" spans="1:10" ht="15.35" x14ac:dyDescent="0.55000000000000004">
      <c r="A31" s="20">
        <v>10770</v>
      </c>
      <c r="B31" s="2" t="s">
        <v>148</v>
      </c>
      <c r="C31" s="2" t="s">
        <v>149</v>
      </c>
      <c r="D31" s="2" t="s">
        <v>150</v>
      </c>
      <c r="E31" s="2" t="s">
        <v>4926</v>
      </c>
      <c r="F31" s="2" t="s">
        <v>4944</v>
      </c>
      <c r="G31" s="2" t="s">
        <v>4939</v>
      </c>
      <c r="H31" s="2" t="s">
        <v>4940</v>
      </c>
      <c r="I31" s="20">
        <v>418.4</v>
      </c>
      <c r="J31" s="2" t="s">
        <v>4941</v>
      </c>
    </row>
    <row r="32" spans="1:10" ht="15.35" x14ac:dyDescent="0.55000000000000004">
      <c r="A32" s="20">
        <v>13216</v>
      </c>
      <c r="B32" s="2" t="s">
        <v>148</v>
      </c>
      <c r="C32" s="2" t="s">
        <v>149</v>
      </c>
      <c r="D32" s="2" t="s">
        <v>150</v>
      </c>
      <c r="E32" s="2" t="s">
        <v>4926</v>
      </c>
      <c r="F32" s="2" t="s">
        <v>4945</v>
      </c>
      <c r="G32" s="2" t="s">
        <v>4928</v>
      </c>
      <c r="H32" s="2" t="s">
        <v>4934</v>
      </c>
      <c r="I32" s="20">
        <v>139913</v>
      </c>
      <c r="J32" s="2" t="s">
        <v>4935</v>
      </c>
    </row>
    <row r="33" spans="1:10" ht="15.35" x14ac:dyDescent="0.55000000000000004">
      <c r="A33" s="20">
        <v>13217</v>
      </c>
      <c r="B33" s="2" t="s">
        <v>148</v>
      </c>
      <c r="C33" s="2" t="s">
        <v>149</v>
      </c>
      <c r="D33" s="2" t="s">
        <v>150</v>
      </c>
      <c r="E33" s="2" t="s">
        <v>4926</v>
      </c>
      <c r="F33" s="2" t="s">
        <v>4945</v>
      </c>
      <c r="G33" s="2" t="s">
        <v>4928</v>
      </c>
      <c r="H33" s="2" t="s">
        <v>4936</v>
      </c>
      <c r="I33" s="20">
        <v>138137</v>
      </c>
      <c r="J33" s="2" t="s">
        <v>4935</v>
      </c>
    </row>
    <row r="34" spans="1:10" ht="15.35" x14ac:dyDescent="0.55000000000000004">
      <c r="A34" s="20">
        <v>13218</v>
      </c>
      <c r="B34" s="2" t="s">
        <v>148</v>
      </c>
      <c r="C34" s="2" t="s">
        <v>149</v>
      </c>
      <c r="D34" s="2" t="s">
        <v>150</v>
      </c>
      <c r="E34" s="2" t="s">
        <v>4926</v>
      </c>
      <c r="F34" s="2" t="s">
        <v>4945</v>
      </c>
      <c r="G34" s="2" t="s">
        <v>4931</v>
      </c>
      <c r="H34" s="2" t="s">
        <v>4937</v>
      </c>
      <c r="I34" s="20">
        <v>98.73</v>
      </c>
      <c r="J34" s="2" t="s">
        <v>4933</v>
      </c>
    </row>
    <row r="35" spans="1:10" ht="15.35" x14ac:dyDescent="0.55000000000000004">
      <c r="A35" s="20">
        <v>13219</v>
      </c>
      <c r="B35" s="2" t="s">
        <v>148</v>
      </c>
      <c r="C35" s="2" t="s">
        <v>149</v>
      </c>
      <c r="D35" s="2" t="s">
        <v>150</v>
      </c>
      <c r="E35" s="2" t="s">
        <v>4926</v>
      </c>
      <c r="F35" s="2" t="s">
        <v>4945</v>
      </c>
      <c r="G35" s="2" t="s">
        <v>4931</v>
      </c>
      <c r="H35" s="2" t="s">
        <v>4932</v>
      </c>
      <c r="I35" s="20">
        <v>100</v>
      </c>
      <c r="J35" s="2" t="s">
        <v>4933</v>
      </c>
    </row>
    <row r="36" spans="1:10" ht="15.35" x14ac:dyDescent="0.55000000000000004">
      <c r="A36" s="20">
        <v>13220</v>
      </c>
      <c r="B36" s="2" t="s">
        <v>148</v>
      </c>
      <c r="C36" s="2" t="s">
        <v>149</v>
      </c>
      <c r="D36" s="2" t="s">
        <v>150</v>
      </c>
      <c r="E36" s="2" t="s">
        <v>4926</v>
      </c>
      <c r="F36" s="2" t="s">
        <v>4945</v>
      </c>
      <c r="G36" s="2" t="s">
        <v>4928</v>
      </c>
      <c r="H36" s="2" t="s">
        <v>4929</v>
      </c>
      <c r="I36" s="20">
        <v>1.92</v>
      </c>
      <c r="J36" s="2" t="s">
        <v>4930</v>
      </c>
    </row>
    <row r="37" spans="1:10" ht="15.35" x14ac:dyDescent="0.55000000000000004">
      <c r="A37" s="20">
        <v>13221</v>
      </c>
      <c r="B37" s="2" t="s">
        <v>148</v>
      </c>
      <c r="C37" s="2" t="s">
        <v>149</v>
      </c>
      <c r="D37" s="2" t="s">
        <v>150</v>
      </c>
      <c r="E37" s="2" t="s">
        <v>4926</v>
      </c>
      <c r="F37" s="2" t="s">
        <v>4945</v>
      </c>
      <c r="G37" s="2" t="s">
        <v>4939</v>
      </c>
      <c r="H37" s="2" t="s">
        <v>4940</v>
      </c>
      <c r="I37" s="20">
        <v>430.07</v>
      </c>
      <c r="J37" s="2" t="s">
        <v>4941</v>
      </c>
    </row>
    <row r="38" spans="1:10" ht="15.35" x14ac:dyDescent="0.55000000000000004">
      <c r="A38" s="20">
        <v>16365</v>
      </c>
      <c r="B38" s="2" t="s">
        <v>148</v>
      </c>
      <c r="C38" s="2" t="s">
        <v>149</v>
      </c>
      <c r="D38" s="2" t="s">
        <v>150</v>
      </c>
      <c r="E38" s="2" t="s">
        <v>311</v>
      </c>
      <c r="F38" s="2" t="s">
        <v>4927</v>
      </c>
      <c r="G38" s="2" t="s">
        <v>4928</v>
      </c>
      <c r="H38" s="2" t="s">
        <v>4929</v>
      </c>
      <c r="I38" s="20">
        <v>2.17</v>
      </c>
      <c r="J38" s="2" t="s">
        <v>4930</v>
      </c>
    </row>
    <row r="39" spans="1:10" ht="15.35" x14ac:dyDescent="0.55000000000000004">
      <c r="A39" s="20">
        <v>16366</v>
      </c>
      <c r="B39" s="2" t="s">
        <v>148</v>
      </c>
      <c r="C39" s="2" t="s">
        <v>149</v>
      </c>
      <c r="D39" s="2" t="s">
        <v>150</v>
      </c>
      <c r="E39" s="2" t="s">
        <v>311</v>
      </c>
      <c r="F39" s="2" t="s">
        <v>4927</v>
      </c>
      <c r="G39" s="2" t="s">
        <v>4928</v>
      </c>
      <c r="H39" s="2" t="s">
        <v>4934</v>
      </c>
      <c r="I39" s="20">
        <v>136577.5</v>
      </c>
      <c r="J39" s="2" t="s">
        <v>4935</v>
      </c>
    </row>
    <row r="40" spans="1:10" ht="15.35" x14ac:dyDescent="0.55000000000000004">
      <c r="A40" s="20">
        <v>16368</v>
      </c>
      <c r="B40" s="2" t="s">
        <v>148</v>
      </c>
      <c r="C40" s="2" t="s">
        <v>149</v>
      </c>
      <c r="D40" s="2" t="s">
        <v>150</v>
      </c>
      <c r="E40" s="2" t="s">
        <v>311</v>
      </c>
      <c r="F40" s="2" t="s">
        <v>4927</v>
      </c>
      <c r="G40" s="2" t="s">
        <v>4928</v>
      </c>
      <c r="H40" s="2" t="s">
        <v>4936</v>
      </c>
      <c r="I40" s="20">
        <v>135206.5</v>
      </c>
      <c r="J40" s="2" t="s">
        <v>4935</v>
      </c>
    </row>
    <row r="41" spans="1:10" ht="15.35" x14ac:dyDescent="0.55000000000000004">
      <c r="A41" s="20">
        <v>16369</v>
      </c>
      <c r="B41" s="2" t="s">
        <v>148</v>
      </c>
      <c r="C41" s="2" t="s">
        <v>149</v>
      </c>
      <c r="D41" s="2" t="s">
        <v>150</v>
      </c>
      <c r="E41" s="2" t="s">
        <v>311</v>
      </c>
      <c r="F41" s="2" t="s">
        <v>4927</v>
      </c>
      <c r="G41" s="2" t="s">
        <v>4931</v>
      </c>
      <c r="H41" s="2" t="s">
        <v>4932</v>
      </c>
      <c r="I41" s="20">
        <v>98.03</v>
      </c>
      <c r="J41" s="2" t="s">
        <v>4933</v>
      </c>
    </row>
    <row r="42" spans="1:10" ht="15.35" x14ac:dyDescent="0.55000000000000004">
      <c r="A42" s="20">
        <v>16375</v>
      </c>
      <c r="B42" s="2" t="s">
        <v>148</v>
      </c>
      <c r="C42" s="2" t="s">
        <v>149</v>
      </c>
      <c r="D42" s="2" t="s">
        <v>150</v>
      </c>
      <c r="E42" s="2" t="s">
        <v>311</v>
      </c>
      <c r="F42" s="2" t="s">
        <v>4927</v>
      </c>
      <c r="G42" s="2" t="s">
        <v>4931</v>
      </c>
      <c r="H42" s="2" t="s">
        <v>4937</v>
      </c>
      <c r="I42" s="20">
        <v>99</v>
      </c>
      <c r="J42" s="2" t="s">
        <v>4933</v>
      </c>
    </row>
    <row r="43" spans="1:10" ht="15.35" x14ac:dyDescent="0.55000000000000004">
      <c r="A43" s="20">
        <v>16367</v>
      </c>
      <c r="B43" s="2" t="s">
        <v>148</v>
      </c>
      <c r="C43" s="2" t="s">
        <v>149</v>
      </c>
      <c r="D43" s="2" t="s">
        <v>150</v>
      </c>
      <c r="E43" s="2" t="s">
        <v>311</v>
      </c>
      <c r="F43" s="2" t="s">
        <v>4938</v>
      </c>
      <c r="G43" s="2" t="s">
        <v>4928</v>
      </c>
      <c r="H43" s="2" t="s">
        <v>4934</v>
      </c>
      <c r="I43" s="20">
        <v>137729.5</v>
      </c>
      <c r="J43" s="2" t="s">
        <v>4935</v>
      </c>
    </row>
    <row r="44" spans="1:10" ht="15.35" x14ac:dyDescent="0.55000000000000004">
      <c r="A44" s="20">
        <v>16387</v>
      </c>
      <c r="B44" s="2" t="s">
        <v>148</v>
      </c>
      <c r="C44" s="2" t="s">
        <v>149</v>
      </c>
      <c r="D44" s="2" t="s">
        <v>150</v>
      </c>
      <c r="E44" s="2" t="s">
        <v>311</v>
      </c>
      <c r="F44" s="2" t="s">
        <v>4938</v>
      </c>
      <c r="G44" s="2" t="s">
        <v>4928</v>
      </c>
      <c r="H44" s="2" t="s">
        <v>4936</v>
      </c>
      <c r="I44" s="20">
        <v>136403.5</v>
      </c>
      <c r="J44" s="2" t="s">
        <v>4935</v>
      </c>
    </row>
    <row r="45" spans="1:10" ht="15.35" x14ac:dyDescent="0.55000000000000004">
      <c r="A45" s="20">
        <v>16436</v>
      </c>
      <c r="B45" s="2" t="s">
        <v>148</v>
      </c>
      <c r="C45" s="2" t="s">
        <v>149</v>
      </c>
      <c r="D45" s="2" t="s">
        <v>150</v>
      </c>
      <c r="E45" s="2" t="s">
        <v>311</v>
      </c>
      <c r="F45" s="2" t="s">
        <v>4938</v>
      </c>
      <c r="G45" s="2" t="s">
        <v>4931</v>
      </c>
      <c r="H45" s="2" t="s">
        <v>4937</v>
      </c>
      <c r="I45" s="20">
        <v>99.04</v>
      </c>
      <c r="J45" s="2" t="s">
        <v>4933</v>
      </c>
    </row>
    <row r="46" spans="1:10" ht="15.35" x14ac:dyDescent="0.55000000000000004">
      <c r="A46" s="20">
        <v>16437</v>
      </c>
      <c r="B46" s="2" t="s">
        <v>148</v>
      </c>
      <c r="C46" s="2" t="s">
        <v>149</v>
      </c>
      <c r="D46" s="2" t="s">
        <v>150</v>
      </c>
      <c r="E46" s="2" t="s">
        <v>311</v>
      </c>
      <c r="F46" s="2" t="s">
        <v>4938</v>
      </c>
      <c r="G46" s="2" t="s">
        <v>4928</v>
      </c>
      <c r="H46" s="2" t="s">
        <v>4929</v>
      </c>
      <c r="I46" s="20">
        <v>1.84</v>
      </c>
      <c r="J46" s="2" t="s">
        <v>4930</v>
      </c>
    </row>
    <row r="47" spans="1:10" ht="15.35" x14ac:dyDescent="0.55000000000000004">
      <c r="A47" s="20">
        <v>16483</v>
      </c>
      <c r="B47" s="2" t="s">
        <v>148</v>
      </c>
      <c r="C47" s="2" t="s">
        <v>149</v>
      </c>
      <c r="D47" s="2" t="s">
        <v>150</v>
      </c>
      <c r="E47" s="2" t="s">
        <v>311</v>
      </c>
      <c r="F47" s="2" t="s">
        <v>4938</v>
      </c>
      <c r="G47" s="2" t="s">
        <v>4931</v>
      </c>
      <c r="H47" s="2" t="s">
        <v>4932</v>
      </c>
      <c r="I47" s="20">
        <v>100</v>
      </c>
      <c r="J47" s="2" t="s">
        <v>4933</v>
      </c>
    </row>
    <row r="48" spans="1:10" ht="15.35" x14ac:dyDescent="0.55000000000000004">
      <c r="A48" s="20">
        <v>16505</v>
      </c>
      <c r="B48" s="2" t="s">
        <v>148</v>
      </c>
      <c r="C48" s="2" t="s">
        <v>149</v>
      </c>
      <c r="D48" s="2" t="s">
        <v>150</v>
      </c>
      <c r="E48" s="2" t="s">
        <v>311</v>
      </c>
      <c r="F48" s="2" t="s">
        <v>4938</v>
      </c>
      <c r="G48" s="2" t="s">
        <v>4939</v>
      </c>
      <c r="H48" s="2" t="s">
        <v>4946</v>
      </c>
      <c r="I48" s="20">
        <v>383.23</v>
      </c>
      <c r="J48" s="2" t="s">
        <v>4941</v>
      </c>
    </row>
    <row r="49" spans="1:10" ht="15.35" x14ac:dyDescent="0.55000000000000004">
      <c r="A49" s="20">
        <v>16380</v>
      </c>
      <c r="B49" s="2" t="s">
        <v>148</v>
      </c>
      <c r="C49" s="2" t="s">
        <v>149</v>
      </c>
      <c r="D49" s="2" t="s">
        <v>150</v>
      </c>
      <c r="E49" s="2" t="s">
        <v>311</v>
      </c>
      <c r="F49" s="2" t="s">
        <v>4942</v>
      </c>
      <c r="G49" s="2" t="s">
        <v>4939</v>
      </c>
      <c r="H49" s="2" t="s">
        <v>4946</v>
      </c>
      <c r="I49" s="20">
        <v>412.61</v>
      </c>
      <c r="J49" s="2" t="s">
        <v>4941</v>
      </c>
    </row>
    <row r="50" spans="1:10" ht="15.35" x14ac:dyDescent="0.55000000000000004">
      <c r="A50" s="20">
        <v>16381</v>
      </c>
      <c r="B50" s="2" t="s">
        <v>148</v>
      </c>
      <c r="C50" s="2" t="s">
        <v>149</v>
      </c>
      <c r="D50" s="2" t="s">
        <v>150</v>
      </c>
      <c r="E50" s="2" t="s">
        <v>311</v>
      </c>
      <c r="F50" s="2" t="s">
        <v>4942</v>
      </c>
      <c r="G50" s="2" t="s">
        <v>4928</v>
      </c>
      <c r="H50" s="2" t="s">
        <v>4929</v>
      </c>
      <c r="I50" s="20">
        <v>1.79</v>
      </c>
      <c r="J50" s="2" t="s">
        <v>4930</v>
      </c>
    </row>
    <row r="51" spans="1:10" ht="15.35" x14ac:dyDescent="0.55000000000000004">
      <c r="A51" s="20">
        <v>16382</v>
      </c>
      <c r="B51" s="2" t="s">
        <v>148</v>
      </c>
      <c r="C51" s="2" t="s">
        <v>149</v>
      </c>
      <c r="D51" s="2" t="s">
        <v>150</v>
      </c>
      <c r="E51" s="2" t="s">
        <v>311</v>
      </c>
      <c r="F51" s="2" t="s">
        <v>4942</v>
      </c>
      <c r="G51" s="2" t="s">
        <v>4931</v>
      </c>
      <c r="H51" s="2" t="s">
        <v>4932</v>
      </c>
      <c r="I51" s="20">
        <v>100</v>
      </c>
      <c r="J51" s="2" t="s">
        <v>4933</v>
      </c>
    </row>
    <row r="52" spans="1:10" ht="15.35" x14ac:dyDescent="0.55000000000000004">
      <c r="A52" s="20">
        <v>16383</v>
      </c>
      <c r="B52" s="2" t="s">
        <v>148</v>
      </c>
      <c r="C52" s="2" t="s">
        <v>149</v>
      </c>
      <c r="D52" s="2" t="s">
        <v>150</v>
      </c>
      <c r="E52" s="2" t="s">
        <v>311</v>
      </c>
      <c r="F52" s="2" t="s">
        <v>4942</v>
      </c>
      <c r="G52" s="2" t="s">
        <v>4931</v>
      </c>
      <c r="H52" s="2" t="s">
        <v>4937</v>
      </c>
      <c r="I52" s="20">
        <v>99.3</v>
      </c>
      <c r="J52" s="2" t="s">
        <v>4933</v>
      </c>
    </row>
    <row r="53" spans="1:10" ht="15.35" x14ac:dyDescent="0.55000000000000004">
      <c r="A53" s="20">
        <v>16384</v>
      </c>
      <c r="B53" s="2" t="s">
        <v>148</v>
      </c>
      <c r="C53" s="2" t="s">
        <v>149</v>
      </c>
      <c r="D53" s="2" t="s">
        <v>150</v>
      </c>
      <c r="E53" s="2" t="s">
        <v>311</v>
      </c>
      <c r="F53" s="2" t="s">
        <v>4942</v>
      </c>
      <c r="G53" s="2" t="s">
        <v>4928</v>
      </c>
      <c r="H53" s="2" t="s">
        <v>4936</v>
      </c>
      <c r="I53" s="20">
        <v>136227</v>
      </c>
      <c r="J53" s="2" t="s">
        <v>4935</v>
      </c>
    </row>
    <row r="54" spans="1:10" ht="15.35" x14ac:dyDescent="0.55000000000000004">
      <c r="A54" s="20">
        <v>16385</v>
      </c>
      <c r="B54" s="2" t="s">
        <v>148</v>
      </c>
      <c r="C54" s="2" t="s">
        <v>149</v>
      </c>
      <c r="D54" s="2" t="s">
        <v>150</v>
      </c>
      <c r="E54" s="2" t="s">
        <v>311</v>
      </c>
      <c r="F54" s="2" t="s">
        <v>4942</v>
      </c>
      <c r="G54" s="2" t="s">
        <v>4928</v>
      </c>
      <c r="H54" s="2" t="s">
        <v>4934</v>
      </c>
      <c r="I54" s="20">
        <v>137186</v>
      </c>
      <c r="J54" s="2" t="s">
        <v>4935</v>
      </c>
    </row>
    <row r="55" spans="1:10" ht="15.35" x14ac:dyDescent="0.55000000000000004">
      <c r="A55" s="20">
        <v>16364</v>
      </c>
      <c r="B55" s="2" t="s">
        <v>148</v>
      </c>
      <c r="C55" s="2" t="s">
        <v>149</v>
      </c>
      <c r="D55" s="2" t="s">
        <v>150</v>
      </c>
      <c r="E55" s="2" t="s">
        <v>311</v>
      </c>
      <c r="F55" s="2" t="s">
        <v>4947</v>
      </c>
      <c r="G55" s="2" t="s">
        <v>4939</v>
      </c>
      <c r="H55" s="2" t="s">
        <v>4946</v>
      </c>
      <c r="I55" s="20">
        <v>328.29</v>
      </c>
      <c r="J55" s="2" t="s">
        <v>4941</v>
      </c>
    </row>
    <row r="56" spans="1:10" ht="15.35" x14ac:dyDescent="0.55000000000000004">
      <c r="A56" s="20">
        <v>16370</v>
      </c>
      <c r="B56" s="2" t="s">
        <v>148</v>
      </c>
      <c r="C56" s="2" t="s">
        <v>149</v>
      </c>
      <c r="D56" s="2" t="s">
        <v>150</v>
      </c>
      <c r="E56" s="2" t="s">
        <v>311</v>
      </c>
      <c r="F56" s="2" t="s">
        <v>4947</v>
      </c>
      <c r="G56" s="2" t="s">
        <v>4931</v>
      </c>
      <c r="H56" s="2" t="s">
        <v>4932</v>
      </c>
      <c r="I56" s="20">
        <v>100</v>
      </c>
      <c r="J56" s="2" t="s">
        <v>4933</v>
      </c>
    </row>
    <row r="57" spans="1:10" ht="15.35" x14ac:dyDescent="0.55000000000000004">
      <c r="A57" s="20">
        <v>16371</v>
      </c>
      <c r="B57" s="2" t="s">
        <v>148</v>
      </c>
      <c r="C57" s="2" t="s">
        <v>149</v>
      </c>
      <c r="D57" s="2" t="s">
        <v>150</v>
      </c>
      <c r="E57" s="2" t="s">
        <v>311</v>
      </c>
      <c r="F57" s="2" t="s">
        <v>4947</v>
      </c>
      <c r="G57" s="2" t="s">
        <v>4931</v>
      </c>
      <c r="H57" s="2" t="s">
        <v>4937</v>
      </c>
      <c r="I57" s="20">
        <v>99</v>
      </c>
      <c r="J57" s="2" t="s">
        <v>4933</v>
      </c>
    </row>
    <row r="58" spans="1:10" ht="15.35" x14ac:dyDescent="0.55000000000000004">
      <c r="A58" s="20">
        <v>16372</v>
      </c>
      <c r="B58" s="2" t="s">
        <v>148</v>
      </c>
      <c r="C58" s="2" t="s">
        <v>149</v>
      </c>
      <c r="D58" s="2" t="s">
        <v>150</v>
      </c>
      <c r="E58" s="2" t="s">
        <v>311</v>
      </c>
      <c r="F58" s="2" t="s">
        <v>4947</v>
      </c>
      <c r="G58" s="2" t="s">
        <v>4928</v>
      </c>
      <c r="H58" s="2" t="s">
        <v>4936</v>
      </c>
      <c r="I58" s="20">
        <v>135207</v>
      </c>
      <c r="J58" s="2" t="s">
        <v>4935</v>
      </c>
    </row>
    <row r="59" spans="1:10" ht="15.35" x14ac:dyDescent="0.55000000000000004">
      <c r="A59" s="20">
        <v>16373</v>
      </c>
      <c r="B59" s="2" t="s">
        <v>148</v>
      </c>
      <c r="C59" s="2" t="s">
        <v>149</v>
      </c>
      <c r="D59" s="2" t="s">
        <v>150</v>
      </c>
      <c r="E59" s="2" t="s">
        <v>311</v>
      </c>
      <c r="F59" s="2" t="s">
        <v>4947</v>
      </c>
      <c r="G59" s="2" t="s">
        <v>4928</v>
      </c>
      <c r="H59" s="2" t="s">
        <v>4934</v>
      </c>
      <c r="I59" s="20">
        <v>136578</v>
      </c>
      <c r="J59" s="2" t="s">
        <v>4935</v>
      </c>
    </row>
    <row r="60" spans="1:10" ht="15.35" x14ac:dyDescent="0.55000000000000004">
      <c r="A60" s="20">
        <v>16492</v>
      </c>
      <c r="B60" s="2" t="s">
        <v>148</v>
      </c>
      <c r="C60" s="2" t="s">
        <v>149</v>
      </c>
      <c r="D60" s="2" t="s">
        <v>150</v>
      </c>
      <c r="E60" s="2" t="s">
        <v>311</v>
      </c>
      <c r="F60" s="2" t="s">
        <v>4947</v>
      </c>
      <c r="G60" s="2" t="s">
        <v>4928</v>
      </c>
      <c r="H60" s="2" t="s">
        <v>4929</v>
      </c>
      <c r="I60" s="20">
        <v>2.17</v>
      </c>
      <c r="J60" s="2" t="s">
        <v>4930</v>
      </c>
    </row>
    <row r="61" spans="1:10" ht="15.35" x14ac:dyDescent="0.55000000000000004">
      <c r="A61" s="20">
        <v>16493</v>
      </c>
      <c r="B61" s="2" t="s">
        <v>148</v>
      </c>
      <c r="C61" s="2" t="s">
        <v>149</v>
      </c>
      <c r="D61" s="2" t="s">
        <v>150</v>
      </c>
      <c r="E61" s="2" t="s">
        <v>311</v>
      </c>
      <c r="F61" s="2" t="s">
        <v>4943</v>
      </c>
      <c r="G61" s="2" t="s">
        <v>4939</v>
      </c>
      <c r="H61" s="2" t="s">
        <v>4946</v>
      </c>
      <c r="I61" s="20">
        <v>421.03</v>
      </c>
      <c r="J61" s="2" t="s">
        <v>4941</v>
      </c>
    </row>
    <row r="62" spans="1:10" ht="15.35" x14ac:dyDescent="0.55000000000000004">
      <c r="A62" s="20">
        <v>16494</v>
      </c>
      <c r="B62" s="2" t="s">
        <v>148</v>
      </c>
      <c r="C62" s="2" t="s">
        <v>149</v>
      </c>
      <c r="D62" s="2" t="s">
        <v>150</v>
      </c>
      <c r="E62" s="2" t="s">
        <v>311</v>
      </c>
      <c r="F62" s="2" t="s">
        <v>4943</v>
      </c>
      <c r="G62" s="2" t="s">
        <v>4928</v>
      </c>
      <c r="H62" s="2" t="s">
        <v>4929</v>
      </c>
      <c r="I62" s="20">
        <v>2.0299999999999998</v>
      </c>
      <c r="J62" s="2" t="s">
        <v>4930</v>
      </c>
    </row>
    <row r="63" spans="1:10" ht="15.35" x14ac:dyDescent="0.55000000000000004">
      <c r="A63" s="20">
        <v>16496</v>
      </c>
      <c r="B63" s="2" t="s">
        <v>148</v>
      </c>
      <c r="C63" s="2" t="s">
        <v>149</v>
      </c>
      <c r="D63" s="2" t="s">
        <v>150</v>
      </c>
      <c r="E63" s="2" t="s">
        <v>311</v>
      </c>
      <c r="F63" s="2" t="s">
        <v>4943</v>
      </c>
      <c r="G63" s="2" t="s">
        <v>4931</v>
      </c>
      <c r="H63" s="2" t="s">
        <v>4932</v>
      </c>
      <c r="I63" s="20">
        <v>100</v>
      </c>
      <c r="J63" s="2" t="s">
        <v>4933</v>
      </c>
    </row>
    <row r="64" spans="1:10" ht="15.35" x14ac:dyDescent="0.55000000000000004">
      <c r="A64" s="20">
        <v>16497</v>
      </c>
      <c r="B64" s="2" t="s">
        <v>148</v>
      </c>
      <c r="C64" s="2" t="s">
        <v>149</v>
      </c>
      <c r="D64" s="2" t="s">
        <v>150</v>
      </c>
      <c r="E64" s="2" t="s">
        <v>311</v>
      </c>
      <c r="F64" s="2" t="s">
        <v>4943</v>
      </c>
      <c r="G64" s="2" t="s">
        <v>4928</v>
      </c>
      <c r="H64" s="2" t="s">
        <v>4936</v>
      </c>
      <c r="I64" s="20">
        <v>132949.5</v>
      </c>
      <c r="J64" s="2" t="s">
        <v>4935</v>
      </c>
    </row>
    <row r="65" spans="1:10" ht="15.35" x14ac:dyDescent="0.55000000000000004">
      <c r="A65" s="20">
        <v>16498</v>
      </c>
      <c r="B65" s="2" t="s">
        <v>148</v>
      </c>
      <c r="C65" s="2" t="s">
        <v>149</v>
      </c>
      <c r="D65" s="2" t="s">
        <v>150</v>
      </c>
      <c r="E65" s="2" t="s">
        <v>311</v>
      </c>
      <c r="F65" s="2" t="s">
        <v>4943</v>
      </c>
      <c r="G65" s="2" t="s">
        <v>4928</v>
      </c>
      <c r="H65" s="2" t="s">
        <v>4934</v>
      </c>
      <c r="I65" s="20">
        <v>134150.5</v>
      </c>
      <c r="J65" s="2" t="s">
        <v>4935</v>
      </c>
    </row>
    <row r="66" spans="1:10" ht="15.35" x14ac:dyDescent="0.55000000000000004">
      <c r="A66" s="20">
        <v>16506</v>
      </c>
      <c r="B66" s="2" t="s">
        <v>148</v>
      </c>
      <c r="C66" s="2" t="s">
        <v>149</v>
      </c>
      <c r="D66" s="2" t="s">
        <v>150</v>
      </c>
      <c r="E66" s="2" t="s">
        <v>311</v>
      </c>
      <c r="F66" s="2" t="s">
        <v>4943</v>
      </c>
      <c r="G66" s="2" t="s">
        <v>4931</v>
      </c>
      <c r="H66" s="2" t="s">
        <v>4937</v>
      </c>
      <c r="I66" s="20">
        <v>99.1</v>
      </c>
      <c r="J66" s="2" t="s">
        <v>4933</v>
      </c>
    </row>
    <row r="67" spans="1:10" ht="15.35" x14ac:dyDescent="0.55000000000000004">
      <c r="A67" s="20">
        <v>16499</v>
      </c>
      <c r="B67" s="2" t="s">
        <v>148</v>
      </c>
      <c r="C67" s="2" t="s">
        <v>149</v>
      </c>
      <c r="D67" s="2" t="s">
        <v>150</v>
      </c>
      <c r="E67" s="2" t="s">
        <v>311</v>
      </c>
      <c r="F67" s="2" t="s">
        <v>4944</v>
      </c>
      <c r="G67" s="2" t="s">
        <v>4939</v>
      </c>
      <c r="H67" s="2" t="s">
        <v>4946</v>
      </c>
      <c r="I67" s="20">
        <v>418.4</v>
      </c>
      <c r="J67" s="2" t="s">
        <v>4941</v>
      </c>
    </row>
    <row r="68" spans="1:10" ht="15.35" x14ac:dyDescent="0.55000000000000004">
      <c r="A68" s="20">
        <v>16500</v>
      </c>
      <c r="B68" s="2" t="s">
        <v>148</v>
      </c>
      <c r="C68" s="2" t="s">
        <v>149</v>
      </c>
      <c r="D68" s="2" t="s">
        <v>150</v>
      </c>
      <c r="E68" s="2" t="s">
        <v>311</v>
      </c>
      <c r="F68" s="2" t="s">
        <v>4944</v>
      </c>
      <c r="G68" s="2" t="s">
        <v>4928</v>
      </c>
      <c r="H68" s="2" t="s">
        <v>4929</v>
      </c>
      <c r="I68" s="20">
        <v>1.99</v>
      </c>
      <c r="J68" s="2" t="s">
        <v>4930</v>
      </c>
    </row>
    <row r="69" spans="1:10" ht="15.35" x14ac:dyDescent="0.55000000000000004">
      <c r="A69" s="20">
        <v>16501</v>
      </c>
      <c r="B69" s="2" t="s">
        <v>148</v>
      </c>
      <c r="C69" s="2" t="s">
        <v>149</v>
      </c>
      <c r="D69" s="2" t="s">
        <v>150</v>
      </c>
      <c r="E69" s="2" t="s">
        <v>311</v>
      </c>
      <c r="F69" s="2" t="s">
        <v>4944</v>
      </c>
      <c r="G69" s="2" t="s">
        <v>4931</v>
      </c>
      <c r="H69" s="2" t="s">
        <v>4932</v>
      </c>
      <c r="I69" s="20">
        <v>100</v>
      </c>
      <c r="J69" s="2" t="s">
        <v>4933</v>
      </c>
    </row>
    <row r="70" spans="1:10" ht="15.35" x14ac:dyDescent="0.55000000000000004">
      <c r="A70" s="20">
        <v>16502</v>
      </c>
      <c r="B70" s="2" t="s">
        <v>148</v>
      </c>
      <c r="C70" s="2" t="s">
        <v>149</v>
      </c>
      <c r="D70" s="2" t="s">
        <v>150</v>
      </c>
      <c r="E70" s="2" t="s">
        <v>311</v>
      </c>
      <c r="F70" s="2" t="s">
        <v>4944</v>
      </c>
      <c r="G70" s="2" t="s">
        <v>4931</v>
      </c>
      <c r="H70" s="2" t="s">
        <v>4937</v>
      </c>
      <c r="I70" s="20">
        <v>99.03</v>
      </c>
      <c r="J70" s="2" t="s">
        <v>4933</v>
      </c>
    </row>
    <row r="71" spans="1:10" ht="15.35" x14ac:dyDescent="0.55000000000000004">
      <c r="A71" s="20">
        <v>16503</v>
      </c>
      <c r="B71" s="2" t="s">
        <v>148</v>
      </c>
      <c r="C71" s="2" t="s">
        <v>149</v>
      </c>
      <c r="D71" s="2" t="s">
        <v>150</v>
      </c>
      <c r="E71" s="2" t="s">
        <v>311</v>
      </c>
      <c r="F71" s="2" t="s">
        <v>4944</v>
      </c>
      <c r="G71" s="2" t="s">
        <v>4928</v>
      </c>
      <c r="H71" s="2" t="s">
        <v>4936</v>
      </c>
      <c r="I71" s="20">
        <v>135658</v>
      </c>
      <c r="J71" s="2" t="s">
        <v>4935</v>
      </c>
    </row>
    <row r="72" spans="1:10" ht="15.35" x14ac:dyDescent="0.55000000000000004">
      <c r="A72" s="20">
        <v>16504</v>
      </c>
      <c r="B72" s="2" t="s">
        <v>148</v>
      </c>
      <c r="C72" s="2" t="s">
        <v>149</v>
      </c>
      <c r="D72" s="2" t="s">
        <v>150</v>
      </c>
      <c r="E72" s="2" t="s">
        <v>311</v>
      </c>
      <c r="F72" s="2" t="s">
        <v>4944</v>
      </c>
      <c r="G72" s="2" t="s">
        <v>4928</v>
      </c>
      <c r="H72" s="2" t="s">
        <v>4934</v>
      </c>
      <c r="I72" s="20">
        <v>136990</v>
      </c>
      <c r="J72" s="2" t="s">
        <v>4935</v>
      </c>
    </row>
    <row r="73" spans="1:10" ht="15.35" x14ac:dyDescent="0.55000000000000004">
      <c r="A73" s="20">
        <v>16374</v>
      </c>
      <c r="B73" s="2" t="s">
        <v>148</v>
      </c>
      <c r="C73" s="2" t="s">
        <v>149</v>
      </c>
      <c r="D73" s="2" t="s">
        <v>150</v>
      </c>
      <c r="E73" s="2" t="s">
        <v>311</v>
      </c>
      <c r="F73" s="2" t="s">
        <v>4945</v>
      </c>
      <c r="G73" s="2" t="s">
        <v>4939</v>
      </c>
      <c r="H73" s="2" t="s">
        <v>4946</v>
      </c>
      <c r="I73" s="20">
        <v>430.07</v>
      </c>
      <c r="J73" s="2" t="s">
        <v>4941</v>
      </c>
    </row>
    <row r="74" spans="1:10" ht="15.35" x14ac:dyDescent="0.55000000000000004">
      <c r="A74" s="20">
        <v>16376</v>
      </c>
      <c r="B74" s="2" t="s">
        <v>148</v>
      </c>
      <c r="C74" s="2" t="s">
        <v>149</v>
      </c>
      <c r="D74" s="2" t="s">
        <v>150</v>
      </c>
      <c r="E74" s="2" t="s">
        <v>311</v>
      </c>
      <c r="F74" s="2" t="s">
        <v>4945</v>
      </c>
      <c r="G74" s="2" t="s">
        <v>4928</v>
      </c>
      <c r="H74" s="2" t="s">
        <v>4929</v>
      </c>
      <c r="I74" s="20">
        <v>1.92</v>
      </c>
      <c r="J74" s="2" t="s">
        <v>4930</v>
      </c>
    </row>
    <row r="75" spans="1:10" ht="15.35" x14ac:dyDescent="0.55000000000000004">
      <c r="A75" s="20">
        <v>16377</v>
      </c>
      <c r="B75" s="2" t="s">
        <v>148</v>
      </c>
      <c r="C75" s="2" t="s">
        <v>149</v>
      </c>
      <c r="D75" s="2" t="s">
        <v>150</v>
      </c>
      <c r="E75" s="2" t="s">
        <v>311</v>
      </c>
      <c r="F75" s="2" t="s">
        <v>4945</v>
      </c>
      <c r="G75" s="2" t="s">
        <v>4931</v>
      </c>
      <c r="H75" s="2" t="s">
        <v>4937</v>
      </c>
      <c r="I75" s="20">
        <v>98.73</v>
      </c>
      <c r="J75" s="2" t="s">
        <v>4933</v>
      </c>
    </row>
    <row r="76" spans="1:10" ht="15.35" x14ac:dyDescent="0.55000000000000004">
      <c r="A76" s="20">
        <v>16378</v>
      </c>
      <c r="B76" s="2" t="s">
        <v>148</v>
      </c>
      <c r="C76" s="2" t="s">
        <v>149</v>
      </c>
      <c r="D76" s="2" t="s">
        <v>150</v>
      </c>
      <c r="E76" s="2" t="s">
        <v>311</v>
      </c>
      <c r="F76" s="2" t="s">
        <v>4945</v>
      </c>
      <c r="G76" s="2" t="s">
        <v>4928</v>
      </c>
      <c r="H76" s="2" t="s">
        <v>4936</v>
      </c>
      <c r="I76" s="20">
        <v>138137</v>
      </c>
      <c r="J76" s="2" t="s">
        <v>4935</v>
      </c>
    </row>
    <row r="77" spans="1:10" ht="15.35" x14ac:dyDescent="0.55000000000000004">
      <c r="A77" s="20">
        <v>16379</v>
      </c>
      <c r="B77" s="2" t="s">
        <v>148</v>
      </c>
      <c r="C77" s="2" t="s">
        <v>149</v>
      </c>
      <c r="D77" s="2" t="s">
        <v>150</v>
      </c>
      <c r="E77" s="2" t="s">
        <v>311</v>
      </c>
      <c r="F77" s="2" t="s">
        <v>4945</v>
      </c>
      <c r="G77" s="2" t="s">
        <v>4928</v>
      </c>
      <c r="H77" s="2" t="s">
        <v>4934</v>
      </c>
      <c r="I77" s="20">
        <v>139913</v>
      </c>
      <c r="J77" s="2" t="s">
        <v>4935</v>
      </c>
    </row>
    <row r="78" spans="1:10" ht="15.35" x14ac:dyDescent="0.55000000000000004">
      <c r="A78" s="20">
        <v>16386</v>
      </c>
      <c r="B78" s="2" t="s">
        <v>148</v>
      </c>
      <c r="C78" s="2" t="s">
        <v>149</v>
      </c>
      <c r="D78" s="2" t="s">
        <v>150</v>
      </c>
      <c r="E78" s="2" t="s">
        <v>311</v>
      </c>
      <c r="F78" s="2" t="s">
        <v>4945</v>
      </c>
      <c r="G78" s="2" t="s">
        <v>4931</v>
      </c>
      <c r="H78" s="2" t="s">
        <v>4932</v>
      </c>
      <c r="I78" s="20">
        <v>100</v>
      </c>
      <c r="J78" s="2" t="s">
        <v>4933</v>
      </c>
    </row>
    <row r="79" spans="1:10" ht="15.35" x14ac:dyDescent="0.55000000000000004">
      <c r="A79" s="20">
        <v>14353</v>
      </c>
      <c r="B79" s="2" t="s">
        <v>148</v>
      </c>
      <c r="C79" s="2" t="s">
        <v>149</v>
      </c>
      <c r="D79" s="2" t="s">
        <v>150</v>
      </c>
      <c r="E79" s="2" t="s">
        <v>311</v>
      </c>
      <c r="F79" s="2" t="s">
        <v>4948</v>
      </c>
      <c r="G79" s="2" t="s">
        <v>4928</v>
      </c>
      <c r="H79" s="2" t="s">
        <v>4929</v>
      </c>
      <c r="I79" s="20">
        <v>2</v>
      </c>
      <c r="J79" s="2" t="s">
        <v>4930</v>
      </c>
    </row>
    <row r="80" spans="1:10" ht="15.35" x14ac:dyDescent="0.55000000000000004">
      <c r="A80" s="20">
        <v>14362</v>
      </c>
      <c r="B80" s="2" t="s">
        <v>148</v>
      </c>
      <c r="C80" s="2" t="s">
        <v>149</v>
      </c>
      <c r="D80" s="2" t="s">
        <v>150</v>
      </c>
      <c r="E80" s="2" t="s">
        <v>311</v>
      </c>
      <c r="F80" s="2" t="s">
        <v>4948</v>
      </c>
      <c r="G80" s="2" t="s">
        <v>4939</v>
      </c>
      <c r="H80" s="2" t="s">
        <v>4946</v>
      </c>
      <c r="I80" s="20">
        <v>436.44</v>
      </c>
      <c r="J80" s="2" t="s">
        <v>4941</v>
      </c>
    </row>
    <row r="81" spans="1:10" ht="15.35" x14ac:dyDescent="0.55000000000000004">
      <c r="A81" s="20">
        <v>14368</v>
      </c>
      <c r="B81" s="2" t="s">
        <v>148</v>
      </c>
      <c r="C81" s="2" t="s">
        <v>149</v>
      </c>
      <c r="D81" s="2" t="s">
        <v>150</v>
      </c>
      <c r="E81" s="2" t="s">
        <v>311</v>
      </c>
      <c r="F81" s="2" t="s">
        <v>4948</v>
      </c>
      <c r="G81" s="2" t="s">
        <v>4928</v>
      </c>
      <c r="H81" s="2" t="s">
        <v>4934</v>
      </c>
      <c r="I81" s="20">
        <v>139789</v>
      </c>
      <c r="J81" s="2" t="s">
        <v>4935</v>
      </c>
    </row>
    <row r="82" spans="1:10" ht="15.35" x14ac:dyDescent="0.55000000000000004">
      <c r="A82" s="20">
        <v>14369</v>
      </c>
      <c r="B82" s="2" t="s">
        <v>148</v>
      </c>
      <c r="C82" s="2" t="s">
        <v>149</v>
      </c>
      <c r="D82" s="2" t="s">
        <v>150</v>
      </c>
      <c r="E82" s="2" t="s">
        <v>311</v>
      </c>
      <c r="F82" s="2" t="s">
        <v>4948</v>
      </c>
      <c r="G82" s="2" t="s">
        <v>4928</v>
      </c>
      <c r="H82" s="2" t="s">
        <v>4936</v>
      </c>
      <c r="I82" s="20">
        <v>138513</v>
      </c>
      <c r="J82" s="2" t="s">
        <v>4935</v>
      </c>
    </row>
    <row r="83" spans="1:10" ht="15.35" x14ac:dyDescent="0.55000000000000004">
      <c r="A83" s="20">
        <v>14370</v>
      </c>
      <c r="B83" s="2" t="s">
        <v>148</v>
      </c>
      <c r="C83" s="2" t="s">
        <v>149</v>
      </c>
      <c r="D83" s="2" t="s">
        <v>150</v>
      </c>
      <c r="E83" s="2" t="s">
        <v>311</v>
      </c>
      <c r="F83" s="2" t="s">
        <v>4948</v>
      </c>
      <c r="G83" s="2" t="s">
        <v>4931</v>
      </c>
      <c r="H83" s="2" t="s">
        <v>4937</v>
      </c>
      <c r="I83" s="20">
        <v>99.09</v>
      </c>
      <c r="J83" s="2" t="s">
        <v>4933</v>
      </c>
    </row>
    <row r="84" spans="1:10" ht="15.35" x14ac:dyDescent="0.55000000000000004">
      <c r="A84" s="20">
        <v>14371</v>
      </c>
      <c r="B84" s="2" t="s">
        <v>148</v>
      </c>
      <c r="C84" s="2" t="s">
        <v>149</v>
      </c>
      <c r="D84" s="2" t="s">
        <v>150</v>
      </c>
      <c r="E84" s="2" t="s">
        <v>311</v>
      </c>
      <c r="F84" s="2" t="s">
        <v>4948</v>
      </c>
      <c r="G84" s="2" t="s">
        <v>4931</v>
      </c>
      <c r="H84" s="2" t="s">
        <v>4932</v>
      </c>
      <c r="I84" s="20">
        <v>100</v>
      </c>
      <c r="J84" s="2" t="s">
        <v>4933</v>
      </c>
    </row>
    <row r="85" spans="1:10" ht="15.35" x14ac:dyDescent="0.55000000000000004">
      <c r="A85" s="20">
        <v>16731</v>
      </c>
      <c r="B85" s="2" t="s">
        <v>148</v>
      </c>
      <c r="C85" s="2" t="s">
        <v>149</v>
      </c>
      <c r="D85" s="2" t="s">
        <v>150</v>
      </c>
      <c r="E85" s="2" t="s">
        <v>311</v>
      </c>
      <c r="F85" s="2" t="s">
        <v>4949</v>
      </c>
      <c r="G85" s="2" t="s">
        <v>4928</v>
      </c>
      <c r="H85" s="2" t="s">
        <v>4934</v>
      </c>
      <c r="I85" s="20">
        <v>139685</v>
      </c>
      <c r="J85" s="2" t="s">
        <v>4935</v>
      </c>
    </row>
    <row r="86" spans="1:10" ht="15.35" x14ac:dyDescent="0.55000000000000004">
      <c r="A86" s="20">
        <v>16732</v>
      </c>
      <c r="B86" s="2" t="s">
        <v>148</v>
      </c>
      <c r="C86" s="2" t="s">
        <v>149</v>
      </c>
      <c r="D86" s="2" t="s">
        <v>150</v>
      </c>
      <c r="E86" s="2" t="s">
        <v>311</v>
      </c>
      <c r="F86" s="2" t="s">
        <v>4949</v>
      </c>
      <c r="G86" s="2" t="s">
        <v>4928</v>
      </c>
      <c r="H86" s="2" t="s">
        <v>4936</v>
      </c>
      <c r="I86" s="20">
        <v>137414</v>
      </c>
      <c r="J86" s="2" t="s">
        <v>4935</v>
      </c>
    </row>
    <row r="87" spans="1:10" ht="15.35" x14ac:dyDescent="0.55000000000000004">
      <c r="A87" s="20">
        <v>16733</v>
      </c>
      <c r="B87" s="2" t="s">
        <v>148</v>
      </c>
      <c r="C87" s="2" t="s">
        <v>149</v>
      </c>
      <c r="D87" s="2" t="s">
        <v>150</v>
      </c>
      <c r="E87" s="2" t="s">
        <v>311</v>
      </c>
      <c r="F87" s="2" t="s">
        <v>4949</v>
      </c>
      <c r="G87" s="2" t="s">
        <v>4931</v>
      </c>
      <c r="H87" s="2" t="s">
        <v>4937</v>
      </c>
      <c r="I87" s="20">
        <v>98.37</v>
      </c>
      <c r="J87" s="2" t="s">
        <v>4933</v>
      </c>
    </row>
    <row r="88" spans="1:10" ht="15.35" x14ac:dyDescent="0.55000000000000004">
      <c r="A88" s="20">
        <v>16734</v>
      </c>
      <c r="B88" s="2" t="s">
        <v>148</v>
      </c>
      <c r="C88" s="2" t="s">
        <v>149</v>
      </c>
      <c r="D88" s="2" t="s">
        <v>150</v>
      </c>
      <c r="E88" s="2" t="s">
        <v>311</v>
      </c>
      <c r="F88" s="2" t="s">
        <v>4949</v>
      </c>
      <c r="G88" s="2" t="s">
        <v>4931</v>
      </c>
      <c r="H88" s="2" t="s">
        <v>4932</v>
      </c>
      <c r="I88" s="20">
        <v>100</v>
      </c>
      <c r="J88" s="2" t="s">
        <v>4933</v>
      </c>
    </row>
    <row r="89" spans="1:10" ht="15.35" x14ac:dyDescent="0.55000000000000004">
      <c r="A89" s="20">
        <v>16735</v>
      </c>
      <c r="B89" s="2" t="s">
        <v>148</v>
      </c>
      <c r="C89" s="2" t="s">
        <v>149</v>
      </c>
      <c r="D89" s="2" t="s">
        <v>150</v>
      </c>
      <c r="E89" s="2" t="s">
        <v>311</v>
      </c>
      <c r="F89" s="2" t="s">
        <v>4949</v>
      </c>
      <c r="G89" s="2" t="s">
        <v>4928</v>
      </c>
      <c r="H89" s="2" t="s">
        <v>4929</v>
      </c>
      <c r="I89" s="20">
        <v>1.83</v>
      </c>
      <c r="J89" s="2" t="s">
        <v>4930</v>
      </c>
    </row>
    <row r="90" spans="1:10" ht="15.35" x14ac:dyDescent="0.55000000000000004">
      <c r="A90" s="20">
        <v>16736</v>
      </c>
      <c r="B90" s="2" t="s">
        <v>148</v>
      </c>
      <c r="C90" s="2" t="s">
        <v>149</v>
      </c>
      <c r="D90" s="2" t="s">
        <v>150</v>
      </c>
      <c r="E90" s="2" t="s">
        <v>311</v>
      </c>
      <c r="F90" s="2" t="s">
        <v>4949</v>
      </c>
      <c r="G90" s="2" t="s">
        <v>4939</v>
      </c>
      <c r="H90" s="2" t="s">
        <v>4946</v>
      </c>
      <c r="I90" s="20">
        <v>459</v>
      </c>
      <c r="J90" s="2" t="s">
        <v>4941</v>
      </c>
    </row>
    <row r="91" spans="1:10" ht="15.35" x14ac:dyDescent="0.55000000000000004">
      <c r="A91" s="20">
        <v>18875</v>
      </c>
      <c r="B91" s="2" t="s">
        <v>148</v>
      </c>
      <c r="C91" s="2" t="s">
        <v>149</v>
      </c>
      <c r="D91" s="2" t="s">
        <v>150</v>
      </c>
      <c r="E91" s="2" t="s">
        <v>311</v>
      </c>
      <c r="F91" s="2" t="s">
        <v>4950</v>
      </c>
      <c r="G91" s="2" t="s">
        <v>4939</v>
      </c>
      <c r="H91" s="2" t="s">
        <v>4946</v>
      </c>
      <c r="I91" s="20">
        <v>444.53</v>
      </c>
      <c r="J91" s="2" t="s">
        <v>4941</v>
      </c>
    </row>
    <row r="92" spans="1:10" ht="15.35" x14ac:dyDescent="0.55000000000000004">
      <c r="A92" s="20">
        <v>18890</v>
      </c>
      <c r="B92" s="2" t="s">
        <v>148</v>
      </c>
      <c r="C92" s="2" t="s">
        <v>149</v>
      </c>
      <c r="D92" s="2" t="s">
        <v>150</v>
      </c>
      <c r="E92" s="2" t="s">
        <v>311</v>
      </c>
      <c r="F92" s="2" t="s">
        <v>4950</v>
      </c>
      <c r="G92" s="2" t="s">
        <v>4928</v>
      </c>
      <c r="H92" s="2" t="s">
        <v>4934</v>
      </c>
      <c r="I92" s="20">
        <v>139750</v>
      </c>
      <c r="J92" s="2" t="s">
        <v>4935</v>
      </c>
    </row>
    <row r="93" spans="1:10" ht="15.35" x14ac:dyDescent="0.55000000000000004">
      <c r="A93" s="20">
        <v>18891</v>
      </c>
      <c r="B93" s="2" t="s">
        <v>148</v>
      </c>
      <c r="C93" s="2" t="s">
        <v>149</v>
      </c>
      <c r="D93" s="2" t="s">
        <v>150</v>
      </c>
      <c r="E93" s="2" t="s">
        <v>311</v>
      </c>
      <c r="F93" s="2" t="s">
        <v>4950</v>
      </c>
      <c r="G93" s="2" t="s">
        <v>4928</v>
      </c>
      <c r="H93" s="2" t="s">
        <v>4936</v>
      </c>
      <c r="I93" s="20">
        <v>138471</v>
      </c>
      <c r="J93" s="2" t="s">
        <v>4935</v>
      </c>
    </row>
    <row r="94" spans="1:10" ht="15.35" x14ac:dyDescent="0.55000000000000004">
      <c r="A94" s="20">
        <v>18892</v>
      </c>
      <c r="B94" s="2" t="s">
        <v>148</v>
      </c>
      <c r="C94" s="2" t="s">
        <v>149</v>
      </c>
      <c r="D94" s="2" t="s">
        <v>150</v>
      </c>
      <c r="E94" s="2" t="s">
        <v>311</v>
      </c>
      <c r="F94" s="2" t="s">
        <v>4950</v>
      </c>
      <c r="G94" s="2" t="s">
        <v>4931</v>
      </c>
      <c r="H94" s="2" t="s">
        <v>4937</v>
      </c>
      <c r="I94" s="20">
        <v>99.08</v>
      </c>
      <c r="J94" s="2" t="s">
        <v>4933</v>
      </c>
    </row>
    <row r="95" spans="1:10" ht="15.35" x14ac:dyDescent="0.55000000000000004">
      <c r="A95" s="20">
        <v>18893</v>
      </c>
      <c r="B95" s="2" t="s">
        <v>148</v>
      </c>
      <c r="C95" s="2" t="s">
        <v>149</v>
      </c>
      <c r="D95" s="2" t="s">
        <v>150</v>
      </c>
      <c r="E95" s="2" t="s">
        <v>311</v>
      </c>
      <c r="F95" s="2" t="s">
        <v>4950</v>
      </c>
      <c r="G95" s="2" t="s">
        <v>4931</v>
      </c>
      <c r="H95" s="2" t="s">
        <v>4932</v>
      </c>
      <c r="I95" s="20">
        <v>100</v>
      </c>
      <c r="J95" s="2" t="s">
        <v>4933</v>
      </c>
    </row>
    <row r="96" spans="1:10" ht="15.35" x14ac:dyDescent="0.55000000000000004">
      <c r="A96" s="20">
        <v>18894</v>
      </c>
      <c r="B96" s="2" t="s">
        <v>148</v>
      </c>
      <c r="C96" s="2" t="s">
        <v>149</v>
      </c>
      <c r="D96" s="2" t="s">
        <v>150</v>
      </c>
      <c r="E96" s="2" t="s">
        <v>311</v>
      </c>
      <c r="F96" s="2" t="s">
        <v>4950</v>
      </c>
      <c r="G96" s="2" t="s">
        <v>4928</v>
      </c>
      <c r="H96" s="2" t="s">
        <v>4929</v>
      </c>
      <c r="I96" s="20">
        <v>1.74</v>
      </c>
      <c r="J96" s="2" t="s">
        <v>4930</v>
      </c>
    </row>
    <row r="97" spans="1:10" ht="15.35" x14ac:dyDescent="0.55000000000000004">
      <c r="A97" s="20">
        <v>13777</v>
      </c>
      <c r="B97" s="2" t="s">
        <v>153</v>
      </c>
      <c r="C97" s="2" t="s">
        <v>154</v>
      </c>
      <c r="D97" s="2" t="s">
        <v>155</v>
      </c>
      <c r="E97" s="2" t="s">
        <v>323</v>
      </c>
      <c r="F97" s="2" t="s">
        <v>4938</v>
      </c>
      <c r="G97" s="2" t="s">
        <v>4939</v>
      </c>
      <c r="H97" s="2" t="s">
        <v>4951</v>
      </c>
      <c r="I97" s="20">
        <v>246.02</v>
      </c>
      <c r="J97" s="2" t="s">
        <v>4941</v>
      </c>
    </row>
    <row r="98" spans="1:10" ht="15.35" x14ac:dyDescent="0.55000000000000004">
      <c r="A98" s="20">
        <v>8423</v>
      </c>
      <c r="B98" s="2" t="s">
        <v>153</v>
      </c>
      <c r="C98" s="2" t="s">
        <v>154</v>
      </c>
      <c r="D98" s="2" t="s">
        <v>155</v>
      </c>
      <c r="E98" s="2" t="s">
        <v>323</v>
      </c>
      <c r="F98" s="2" t="s">
        <v>4938</v>
      </c>
      <c r="G98" s="2" t="s">
        <v>4928</v>
      </c>
      <c r="H98" s="2" t="s">
        <v>4934</v>
      </c>
      <c r="I98" s="20">
        <v>100005.4</v>
      </c>
      <c r="J98" s="2" t="s">
        <v>4935</v>
      </c>
    </row>
    <row r="99" spans="1:10" ht="15.35" x14ac:dyDescent="0.55000000000000004">
      <c r="A99" s="20">
        <v>8424</v>
      </c>
      <c r="B99" s="2" t="s">
        <v>153</v>
      </c>
      <c r="C99" s="2" t="s">
        <v>154</v>
      </c>
      <c r="D99" s="2" t="s">
        <v>155</v>
      </c>
      <c r="E99" s="2" t="s">
        <v>323</v>
      </c>
      <c r="F99" s="2" t="s">
        <v>4938</v>
      </c>
      <c r="G99" s="2" t="s">
        <v>4928</v>
      </c>
      <c r="H99" s="2" t="s">
        <v>4936</v>
      </c>
      <c r="I99" s="20">
        <v>98400</v>
      </c>
      <c r="J99" s="2" t="s">
        <v>4935</v>
      </c>
    </row>
    <row r="100" spans="1:10" ht="15.35" x14ac:dyDescent="0.55000000000000004">
      <c r="A100" s="20">
        <v>8463</v>
      </c>
      <c r="B100" s="2" t="s">
        <v>153</v>
      </c>
      <c r="C100" s="2" t="s">
        <v>154</v>
      </c>
      <c r="D100" s="2" t="s">
        <v>155</v>
      </c>
      <c r="E100" s="2" t="s">
        <v>323</v>
      </c>
      <c r="F100" s="2" t="s">
        <v>4938</v>
      </c>
      <c r="G100" s="2" t="s">
        <v>4931</v>
      </c>
      <c r="H100" s="2" t="s">
        <v>4952</v>
      </c>
      <c r="I100" s="20">
        <v>100</v>
      </c>
      <c r="J100" s="2" t="s">
        <v>4933</v>
      </c>
    </row>
    <row r="101" spans="1:10" ht="15.35" x14ac:dyDescent="0.55000000000000004">
      <c r="A101" s="20">
        <v>8485</v>
      </c>
      <c r="B101" s="2" t="s">
        <v>153</v>
      </c>
      <c r="C101" s="2" t="s">
        <v>154</v>
      </c>
      <c r="D101" s="2" t="s">
        <v>155</v>
      </c>
      <c r="E101" s="2" t="s">
        <v>323</v>
      </c>
      <c r="F101" s="2" t="s">
        <v>4938</v>
      </c>
      <c r="G101" s="2" t="s">
        <v>4928</v>
      </c>
      <c r="H101" s="2" t="s">
        <v>4953</v>
      </c>
      <c r="I101" s="20">
        <v>3.87</v>
      </c>
      <c r="J101" s="2" t="s">
        <v>4930</v>
      </c>
    </row>
    <row r="102" spans="1:10" ht="15.35" x14ac:dyDescent="0.55000000000000004">
      <c r="A102" s="20">
        <v>8487</v>
      </c>
      <c r="B102" s="2" t="s">
        <v>153</v>
      </c>
      <c r="C102" s="2" t="s">
        <v>154</v>
      </c>
      <c r="D102" s="2" t="s">
        <v>155</v>
      </c>
      <c r="E102" s="2" t="s">
        <v>323</v>
      </c>
      <c r="F102" s="2" t="s">
        <v>4938</v>
      </c>
      <c r="G102" s="2" t="s">
        <v>4931</v>
      </c>
      <c r="H102" s="2" t="s">
        <v>4937</v>
      </c>
      <c r="I102" s="20">
        <v>98.4</v>
      </c>
      <c r="J102" s="2" t="s">
        <v>4933</v>
      </c>
    </row>
    <row r="103" spans="1:10" ht="15.35" x14ac:dyDescent="0.55000000000000004">
      <c r="A103" s="20">
        <v>16237</v>
      </c>
      <c r="B103" s="2" t="s">
        <v>153</v>
      </c>
      <c r="C103" s="2" t="s">
        <v>154</v>
      </c>
      <c r="D103" s="2" t="s">
        <v>155</v>
      </c>
      <c r="E103" s="2" t="s">
        <v>323</v>
      </c>
      <c r="F103" s="2" t="s">
        <v>4938</v>
      </c>
      <c r="G103" s="2" t="s">
        <v>4939</v>
      </c>
      <c r="H103" s="2" t="s">
        <v>4946</v>
      </c>
      <c r="I103" s="20">
        <v>246.02</v>
      </c>
      <c r="J103" s="2" t="s">
        <v>4941</v>
      </c>
    </row>
    <row r="104" spans="1:10" ht="15.35" x14ac:dyDescent="0.55000000000000004">
      <c r="A104" s="20">
        <v>16242</v>
      </c>
      <c r="B104" s="2" t="s">
        <v>153</v>
      </c>
      <c r="C104" s="2" t="s">
        <v>154</v>
      </c>
      <c r="D104" s="2" t="s">
        <v>155</v>
      </c>
      <c r="E104" s="2" t="s">
        <v>323</v>
      </c>
      <c r="F104" s="2" t="s">
        <v>4942</v>
      </c>
      <c r="G104" s="2" t="s">
        <v>4939</v>
      </c>
      <c r="H104" s="2" t="s">
        <v>4946</v>
      </c>
      <c r="I104" s="20">
        <v>250.34</v>
      </c>
      <c r="J104" s="2" t="s">
        <v>4941</v>
      </c>
    </row>
    <row r="105" spans="1:10" ht="15.35" x14ac:dyDescent="0.55000000000000004">
      <c r="A105" s="20">
        <v>13188</v>
      </c>
      <c r="B105" s="2" t="s">
        <v>153</v>
      </c>
      <c r="C105" s="2" t="s">
        <v>154</v>
      </c>
      <c r="D105" s="2" t="s">
        <v>155</v>
      </c>
      <c r="E105" s="2" t="s">
        <v>323</v>
      </c>
      <c r="F105" s="2" t="s">
        <v>4942</v>
      </c>
      <c r="G105" s="2" t="s">
        <v>4931</v>
      </c>
      <c r="H105" s="2" t="s">
        <v>4937</v>
      </c>
      <c r="I105" s="20">
        <v>98.98</v>
      </c>
      <c r="J105" s="2" t="s">
        <v>4933</v>
      </c>
    </row>
    <row r="106" spans="1:10" ht="15.35" x14ac:dyDescent="0.55000000000000004">
      <c r="A106" s="20">
        <v>13190</v>
      </c>
      <c r="B106" s="2" t="s">
        <v>153</v>
      </c>
      <c r="C106" s="2" t="s">
        <v>154</v>
      </c>
      <c r="D106" s="2" t="s">
        <v>155</v>
      </c>
      <c r="E106" s="2" t="s">
        <v>323</v>
      </c>
      <c r="F106" s="2" t="s">
        <v>4942</v>
      </c>
      <c r="G106" s="2" t="s">
        <v>4928</v>
      </c>
      <c r="H106" s="2" t="s">
        <v>4953</v>
      </c>
      <c r="I106" s="20">
        <v>3.67</v>
      </c>
      <c r="J106" s="2" t="s">
        <v>4930</v>
      </c>
    </row>
    <row r="107" spans="1:10" ht="15.35" x14ac:dyDescent="0.55000000000000004">
      <c r="A107" s="20">
        <v>13191</v>
      </c>
      <c r="B107" s="2" t="s">
        <v>153</v>
      </c>
      <c r="C107" s="2" t="s">
        <v>154</v>
      </c>
      <c r="D107" s="2" t="s">
        <v>155</v>
      </c>
      <c r="E107" s="2" t="s">
        <v>323</v>
      </c>
      <c r="F107" s="2" t="s">
        <v>4942</v>
      </c>
      <c r="G107" s="2" t="s">
        <v>4931</v>
      </c>
      <c r="H107" s="2" t="s">
        <v>4952</v>
      </c>
      <c r="I107" s="20">
        <v>99.6</v>
      </c>
      <c r="J107" s="2" t="s">
        <v>4933</v>
      </c>
    </row>
    <row r="108" spans="1:10" ht="15.35" x14ac:dyDescent="0.55000000000000004">
      <c r="A108" s="20">
        <v>13205</v>
      </c>
      <c r="B108" s="2" t="s">
        <v>153</v>
      </c>
      <c r="C108" s="2" t="s">
        <v>154</v>
      </c>
      <c r="D108" s="2" t="s">
        <v>155</v>
      </c>
      <c r="E108" s="2" t="s">
        <v>323</v>
      </c>
      <c r="F108" s="2" t="s">
        <v>4942</v>
      </c>
      <c r="G108" s="2" t="s">
        <v>4928</v>
      </c>
      <c r="H108" s="2" t="s">
        <v>4936</v>
      </c>
      <c r="I108" s="20">
        <v>98929.69</v>
      </c>
      <c r="J108" s="2" t="s">
        <v>4935</v>
      </c>
    </row>
    <row r="109" spans="1:10" ht="15.35" x14ac:dyDescent="0.55000000000000004">
      <c r="A109" s="20">
        <v>13207</v>
      </c>
      <c r="B109" s="2" t="s">
        <v>153</v>
      </c>
      <c r="C109" s="2" t="s">
        <v>154</v>
      </c>
      <c r="D109" s="2" t="s">
        <v>155</v>
      </c>
      <c r="E109" s="2" t="s">
        <v>323</v>
      </c>
      <c r="F109" s="2" t="s">
        <v>4942</v>
      </c>
      <c r="G109" s="2" t="s">
        <v>4928</v>
      </c>
      <c r="H109" s="2" t="s">
        <v>4934</v>
      </c>
      <c r="I109" s="20">
        <v>99945.33</v>
      </c>
      <c r="J109" s="2" t="s">
        <v>4935</v>
      </c>
    </row>
    <row r="110" spans="1:10" ht="15.35" x14ac:dyDescent="0.55000000000000004">
      <c r="A110" s="20">
        <v>13770</v>
      </c>
      <c r="B110" s="2" t="s">
        <v>153</v>
      </c>
      <c r="C110" s="2" t="s">
        <v>154</v>
      </c>
      <c r="D110" s="2" t="s">
        <v>155</v>
      </c>
      <c r="E110" s="2" t="s">
        <v>323</v>
      </c>
      <c r="F110" s="2" t="s">
        <v>4942</v>
      </c>
      <c r="G110" s="2" t="s">
        <v>4939</v>
      </c>
      <c r="H110" s="2" t="s">
        <v>4951</v>
      </c>
      <c r="I110" s="20">
        <v>250.34</v>
      </c>
      <c r="J110" s="2" t="s">
        <v>4941</v>
      </c>
    </row>
    <row r="111" spans="1:10" ht="15.35" x14ac:dyDescent="0.55000000000000004">
      <c r="A111" s="20">
        <v>13776</v>
      </c>
      <c r="B111" s="2" t="s">
        <v>153</v>
      </c>
      <c r="C111" s="2" t="s">
        <v>154</v>
      </c>
      <c r="D111" s="2" t="s">
        <v>155</v>
      </c>
      <c r="E111" s="2" t="s">
        <v>323</v>
      </c>
      <c r="F111" s="2" t="s">
        <v>4947</v>
      </c>
      <c r="G111" s="2" t="s">
        <v>4939</v>
      </c>
      <c r="H111" s="2" t="s">
        <v>4951</v>
      </c>
      <c r="I111" s="20">
        <v>249.08</v>
      </c>
      <c r="J111" s="2" t="s">
        <v>4941</v>
      </c>
    </row>
    <row r="112" spans="1:10" ht="15.35" x14ac:dyDescent="0.55000000000000004">
      <c r="A112" s="20">
        <v>16234</v>
      </c>
      <c r="B112" s="2" t="s">
        <v>153</v>
      </c>
      <c r="C112" s="2" t="s">
        <v>154</v>
      </c>
      <c r="D112" s="2" t="s">
        <v>155</v>
      </c>
      <c r="E112" s="2" t="s">
        <v>323</v>
      </c>
      <c r="F112" s="2" t="s">
        <v>4947</v>
      </c>
      <c r="G112" s="2" t="s">
        <v>4939</v>
      </c>
      <c r="H112" s="2" t="s">
        <v>4946</v>
      </c>
      <c r="I112" s="20">
        <v>249.08</v>
      </c>
      <c r="J112" s="2" t="s">
        <v>4941</v>
      </c>
    </row>
    <row r="113" spans="1:10" ht="15.35" x14ac:dyDescent="0.55000000000000004">
      <c r="A113" s="20">
        <v>8425</v>
      </c>
      <c r="B113" s="2" t="s">
        <v>153</v>
      </c>
      <c r="C113" s="2" t="s">
        <v>154</v>
      </c>
      <c r="D113" s="2" t="s">
        <v>155</v>
      </c>
      <c r="E113" s="2" t="s">
        <v>323</v>
      </c>
      <c r="F113" s="2" t="s">
        <v>4947</v>
      </c>
      <c r="G113" s="2" t="s">
        <v>4928</v>
      </c>
      <c r="H113" s="2" t="s">
        <v>4953</v>
      </c>
      <c r="I113" s="20">
        <v>3.06</v>
      </c>
      <c r="J113" s="2" t="s">
        <v>4930</v>
      </c>
    </row>
    <row r="114" spans="1:10" ht="15.35" x14ac:dyDescent="0.55000000000000004">
      <c r="A114" s="20">
        <v>8427</v>
      </c>
      <c r="B114" s="2" t="s">
        <v>153</v>
      </c>
      <c r="C114" s="2" t="s">
        <v>154</v>
      </c>
      <c r="D114" s="2" t="s">
        <v>155</v>
      </c>
      <c r="E114" s="2" t="s">
        <v>323</v>
      </c>
      <c r="F114" s="2" t="s">
        <v>4947</v>
      </c>
      <c r="G114" s="2" t="s">
        <v>4931</v>
      </c>
      <c r="H114" s="2" t="s">
        <v>4937</v>
      </c>
      <c r="I114" s="20">
        <v>97.85</v>
      </c>
      <c r="J114" s="2" t="s">
        <v>4933</v>
      </c>
    </row>
    <row r="115" spans="1:10" ht="15.35" x14ac:dyDescent="0.55000000000000004">
      <c r="A115" s="20">
        <v>8428</v>
      </c>
      <c r="B115" s="2" t="s">
        <v>153</v>
      </c>
      <c r="C115" s="2" t="s">
        <v>154</v>
      </c>
      <c r="D115" s="2" t="s">
        <v>155</v>
      </c>
      <c r="E115" s="2" t="s">
        <v>323</v>
      </c>
      <c r="F115" s="2" t="s">
        <v>4947</v>
      </c>
      <c r="G115" s="2" t="s">
        <v>4928</v>
      </c>
      <c r="H115" s="2" t="s">
        <v>4936</v>
      </c>
      <c r="I115" s="20">
        <v>97647.72</v>
      </c>
      <c r="J115" s="2" t="s">
        <v>4935</v>
      </c>
    </row>
    <row r="116" spans="1:10" ht="15.35" x14ac:dyDescent="0.55000000000000004">
      <c r="A116" s="20">
        <v>8429</v>
      </c>
      <c r="B116" s="2" t="s">
        <v>153</v>
      </c>
      <c r="C116" s="2" t="s">
        <v>154</v>
      </c>
      <c r="D116" s="2" t="s">
        <v>155</v>
      </c>
      <c r="E116" s="2" t="s">
        <v>323</v>
      </c>
      <c r="F116" s="2" t="s">
        <v>4947</v>
      </c>
      <c r="G116" s="2" t="s">
        <v>4928</v>
      </c>
      <c r="H116" s="2" t="s">
        <v>4934</v>
      </c>
      <c r="I116" s="20">
        <v>99795.839999999997</v>
      </c>
      <c r="J116" s="2" t="s">
        <v>4935</v>
      </c>
    </row>
    <row r="117" spans="1:10" ht="15.35" x14ac:dyDescent="0.55000000000000004">
      <c r="A117" s="20">
        <v>8488</v>
      </c>
      <c r="B117" s="2" t="s">
        <v>153</v>
      </c>
      <c r="C117" s="2" t="s">
        <v>154</v>
      </c>
      <c r="D117" s="2" t="s">
        <v>155</v>
      </c>
      <c r="E117" s="2" t="s">
        <v>323</v>
      </c>
      <c r="F117" s="2" t="s">
        <v>4947</v>
      </c>
      <c r="G117" s="2" t="s">
        <v>4931</v>
      </c>
      <c r="H117" s="2" t="s">
        <v>4952</v>
      </c>
      <c r="I117" s="20">
        <v>99.96</v>
      </c>
      <c r="J117" s="2" t="s">
        <v>4933</v>
      </c>
    </row>
    <row r="118" spans="1:10" ht="15.35" x14ac:dyDescent="0.55000000000000004">
      <c r="A118" s="20">
        <v>8430</v>
      </c>
      <c r="B118" s="2" t="s">
        <v>153</v>
      </c>
      <c r="C118" s="2" t="s">
        <v>154</v>
      </c>
      <c r="D118" s="2" t="s">
        <v>155</v>
      </c>
      <c r="E118" s="2" t="s">
        <v>323</v>
      </c>
      <c r="F118" s="2" t="s">
        <v>4943</v>
      </c>
      <c r="G118" s="2" t="s">
        <v>4931</v>
      </c>
      <c r="H118" s="2" t="s">
        <v>4952</v>
      </c>
      <c r="I118" s="20">
        <v>99.84</v>
      </c>
      <c r="J118" s="2" t="s">
        <v>4933</v>
      </c>
    </row>
    <row r="119" spans="1:10" ht="15.35" x14ac:dyDescent="0.55000000000000004">
      <c r="A119" s="20">
        <v>8431</v>
      </c>
      <c r="B119" s="2" t="s">
        <v>153</v>
      </c>
      <c r="C119" s="2" t="s">
        <v>154</v>
      </c>
      <c r="D119" s="2" t="s">
        <v>155</v>
      </c>
      <c r="E119" s="2" t="s">
        <v>323</v>
      </c>
      <c r="F119" s="2" t="s">
        <v>4943</v>
      </c>
      <c r="G119" s="2" t="s">
        <v>4928</v>
      </c>
      <c r="H119" s="2" t="s">
        <v>4953</v>
      </c>
      <c r="I119" s="20">
        <v>2.9</v>
      </c>
      <c r="J119" s="2" t="s">
        <v>4930</v>
      </c>
    </row>
    <row r="120" spans="1:10" ht="15.35" x14ac:dyDescent="0.55000000000000004">
      <c r="A120" s="20">
        <v>8433</v>
      </c>
      <c r="B120" s="2" t="s">
        <v>153</v>
      </c>
      <c r="C120" s="2" t="s">
        <v>154</v>
      </c>
      <c r="D120" s="2" t="s">
        <v>155</v>
      </c>
      <c r="E120" s="2" t="s">
        <v>323</v>
      </c>
      <c r="F120" s="2" t="s">
        <v>4943</v>
      </c>
      <c r="G120" s="2" t="s">
        <v>4931</v>
      </c>
      <c r="H120" s="2" t="s">
        <v>4937</v>
      </c>
      <c r="I120" s="20">
        <v>98.12</v>
      </c>
      <c r="J120" s="2" t="s">
        <v>4933</v>
      </c>
    </row>
    <row r="121" spans="1:10" ht="15.35" x14ac:dyDescent="0.55000000000000004">
      <c r="A121" s="20">
        <v>8434</v>
      </c>
      <c r="B121" s="2" t="s">
        <v>153</v>
      </c>
      <c r="C121" s="2" t="s">
        <v>154</v>
      </c>
      <c r="D121" s="2" t="s">
        <v>155</v>
      </c>
      <c r="E121" s="2" t="s">
        <v>323</v>
      </c>
      <c r="F121" s="2" t="s">
        <v>4943</v>
      </c>
      <c r="G121" s="2" t="s">
        <v>4928</v>
      </c>
      <c r="H121" s="2" t="s">
        <v>4936</v>
      </c>
      <c r="I121" s="20">
        <v>97568.67</v>
      </c>
      <c r="J121" s="2" t="s">
        <v>4935</v>
      </c>
    </row>
    <row r="122" spans="1:10" ht="15.35" x14ac:dyDescent="0.55000000000000004">
      <c r="A122" s="20">
        <v>8435</v>
      </c>
      <c r="B122" s="2" t="s">
        <v>153</v>
      </c>
      <c r="C122" s="2" t="s">
        <v>154</v>
      </c>
      <c r="D122" s="2" t="s">
        <v>155</v>
      </c>
      <c r="E122" s="2" t="s">
        <v>323</v>
      </c>
      <c r="F122" s="2" t="s">
        <v>4943</v>
      </c>
      <c r="G122" s="2" t="s">
        <v>4928</v>
      </c>
      <c r="H122" s="2" t="s">
        <v>4934</v>
      </c>
      <c r="I122" s="20">
        <v>99441.54</v>
      </c>
      <c r="J122" s="2" t="s">
        <v>4935</v>
      </c>
    </row>
    <row r="123" spans="1:10" ht="15.35" x14ac:dyDescent="0.55000000000000004">
      <c r="A123" s="20">
        <v>13779</v>
      </c>
      <c r="B123" s="2" t="s">
        <v>153</v>
      </c>
      <c r="C123" s="2" t="s">
        <v>154</v>
      </c>
      <c r="D123" s="2" t="s">
        <v>155</v>
      </c>
      <c r="E123" s="2" t="s">
        <v>323</v>
      </c>
      <c r="F123" s="2" t="s">
        <v>4943</v>
      </c>
      <c r="G123" s="2" t="s">
        <v>4939</v>
      </c>
      <c r="H123" s="2" t="s">
        <v>4951</v>
      </c>
      <c r="I123" s="20">
        <v>263.02999999999997</v>
      </c>
      <c r="J123" s="2" t="s">
        <v>4941</v>
      </c>
    </row>
    <row r="124" spans="1:10" ht="15.35" x14ac:dyDescent="0.55000000000000004">
      <c r="A124" s="20">
        <v>16235</v>
      </c>
      <c r="B124" s="2" t="s">
        <v>153</v>
      </c>
      <c r="C124" s="2" t="s">
        <v>154</v>
      </c>
      <c r="D124" s="2" t="s">
        <v>155</v>
      </c>
      <c r="E124" s="2" t="s">
        <v>323</v>
      </c>
      <c r="F124" s="2" t="s">
        <v>4943</v>
      </c>
      <c r="G124" s="2" t="s">
        <v>4939</v>
      </c>
      <c r="H124" s="2" t="s">
        <v>4946</v>
      </c>
      <c r="I124" s="20">
        <v>263.02999999999997</v>
      </c>
      <c r="J124" s="2" t="s">
        <v>4941</v>
      </c>
    </row>
    <row r="125" spans="1:10" ht="15.35" x14ac:dyDescent="0.55000000000000004">
      <c r="A125" s="20">
        <v>16236</v>
      </c>
      <c r="B125" s="2" t="s">
        <v>153</v>
      </c>
      <c r="C125" s="2" t="s">
        <v>154</v>
      </c>
      <c r="D125" s="2" t="s">
        <v>155</v>
      </c>
      <c r="E125" s="2" t="s">
        <v>323</v>
      </c>
      <c r="F125" s="2" t="s">
        <v>4944</v>
      </c>
      <c r="G125" s="2" t="s">
        <v>4939</v>
      </c>
      <c r="H125" s="2" t="s">
        <v>4946</v>
      </c>
      <c r="I125" s="20">
        <v>251.33</v>
      </c>
      <c r="J125" s="2" t="s">
        <v>4941</v>
      </c>
    </row>
    <row r="126" spans="1:10" ht="15.35" x14ac:dyDescent="0.55000000000000004">
      <c r="A126" s="20">
        <v>8436</v>
      </c>
      <c r="B126" s="2" t="s">
        <v>153</v>
      </c>
      <c r="C126" s="2" t="s">
        <v>154</v>
      </c>
      <c r="D126" s="2" t="s">
        <v>155</v>
      </c>
      <c r="E126" s="2" t="s">
        <v>323</v>
      </c>
      <c r="F126" s="2" t="s">
        <v>4944</v>
      </c>
      <c r="G126" s="2" t="s">
        <v>4931</v>
      </c>
      <c r="H126" s="2" t="s">
        <v>4952</v>
      </c>
      <c r="I126" s="20">
        <v>99.8</v>
      </c>
      <c r="J126" s="2" t="s">
        <v>4933</v>
      </c>
    </row>
    <row r="127" spans="1:10" ht="15.35" x14ac:dyDescent="0.55000000000000004">
      <c r="A127" s="20">
        <v>8437</v>
      </c>
      <c r="B127" s="2" t="s">
        <v>153</v>
      </c>
      <c r="C127" s="2" t="s">
        <v>154</v>
      </c>
      <c r="D127" s="2" t="s">
        <v>155</v>
      </c>
      <c r="E127" s="2" t="s">
        <v>323</v>
      </c>
      <c r="F127" s="2" t="s">
        <v>4944</v>
      </c>
      <c r="G127" s="2" t="s">
        <v>4928</v>
      </c>
      <c r="H127" s="2" t="s">
        <v>4953</v>
      </c>
      <c r="I127" s="20">
        <v>2.85</v>
      </c>
      <c r="J127" s="2" t="s">
        <v>4930</v>
      </c>
    </row>
    <row r="128" spans="1:10" ht="15.35" x14ac:dyDescent="0.55000000000000004">
      <c r="A128" s="20">
        <v>8440</v>
      </c>
      <c r="B128" s="2" t="s">
        <v>153</v>
      </c>
      <c r="C128" s="2" t="s">
        <v>154</v>
      </c>
      <c r="D128" s="2" t="s">
        <v>155</v>
      </c>
      <c r="E128" s="2" t="s">
        <v>323</v>
      </c>
      <c r="F128" s="2" t="s">
        <v>4944</v>
      </c>
      <c r="G128" s="2" t="s">
        <v>4931</v>
      </c>
      <c r="H128" s="2" t="s">
        <v>4937</v>
      </c>
      <c r="I128" s="20">
        <v>98.88</v>
      </c>
      <c r="J128" s="2" t="s">
        <v>4933</v>
      </c>
    </row>
    <row r="129" spans="1:10" ht="15.35" x14ac:dyDescent="0.55000000000000004">
      <c r="A129" s="20">
        <v>8462</v>
      </c>
      <c r="B129" s="2" t="s">
        <v>153</v>
      </c>
      <c r="C129" s="2" t="s">
        <v>154</v>
      </c>
      <c r="D129" s="2" t="s">
        <v>155</v>
      </c>
      <c r="E129" s="2" t="s">
        <v>323</v>
      </c>
      <c r="F129" s="2" t="s">
        <v>4944</v>
      </c>
      <c r="G129" s="2" t="s">
        <v>4928</v>
      </c>
      <c r="H129" s="2" t="s">
        <v>4936</v>
      </c>
      <c r="I129" s="20">
        <v>98329.05</v>
      </c>
      <c r="J129" s="2" t="s">
        <v>4935</v>
      </c>
    </row>
    <row r="130" spans="1:10" ht="15.35" x14ac:dyDescent="0.55000000000000004">
      <c r="A130" s="20">
        <v>8482</v>
      </c>
      <c r="B130" s="2" t="s">
        <v>153</v>
      </c>
      <c r="C130" s="2" t="s">
        <v>154</v>
      </c>
      <c r="D130" s="2" t="s">
        <v>155</v>
      </c>
      <c r="E130" s="2" t="s">
        <v>323</v>
      </c>
      <c r="F130" s="2" t="s">
        <v>4944</v>
      </c>
      <c r="G130" s="2" t="s">
        <v>4928</v>
      </c>
      <c r="H130" s="2" t="s">
        <v>4934</v>
      </c>
      <c r="I130" s="20">
        <v>99440.47</v>
      </c>
      <c r="J130" s="2" t="s">
        <v>4935</v>
      </c>
    </row>
    <row r="131" spans="1:10" ht="15.35" x14ac:dyDescent="0.55000000000000004">
      <c r="A131" s="20">
        <v>13778</v>
      </c>
      <c r="B131" s="2" t="s">
        <v>153</v>
      </c>
      <c r="C131" s="2" t="s">
        <v>154</v>
      </c>
      <c r="D131" s="2" t="s">
        <v>155</v>
      </c>
      <c r="E131" s="2" t="s">
        <v>323</v>
      </c>
      <c r="F131" s="2" t="s">
        <v>4944</v>
      </c>
      <c r="G131" s="2" t="s">
        <v>4939</v>
      </c>
      <c r="H131" s="2" t="s">
        <v>4951</v>
      </c>
      <c r="I131" s="20">
        <v>251.33</v>
      </c>
      <c r="J131" s="2" t="s">
        <v>4941</v>
      </c>
    </row>
    <row r="132" spans="1:10" ht="15.35" x14ac:dyDescent="0.55000000000000004">
      <c r="A132" s="20">
        <v>13208</v>
      </c>
      <c r="B132" s="2" t="s">
        <v>153</v>
      </c>
      <c r="C132" s="2" t="s">
        <v>154</v>
      </c>
      <c r="D132" s="2" t="s">
        <v>155</v>
      </c>
      <c r="E132" s="2" t="s">
        <v>323</v>
      </c>
      <c r="F132" s="2" t="s">
        <v>4945</v>
      </c>
      <c r="G132" s="2" t="s">
        <v>4928</v>
      </c>
      <c r="H132" s="2" t="s">
        <v>4953</v>
      </c>
      <c r="I132" s="20">
        <v>2.64</v>
      </c>
      <c r="J132" s="2" t="s">
        <v>4930</v>
      </c>
    </row>
    <row r="133" spans="1:10" ht="15.35" x14ac:dyDescent="0.55000000000000004">
      <c r="A133" s="20">
        <v>13222</v>
      </c>
      <c r="B133" s="2" t="s">
        <v>153</v>
      </c>
      <c r="C133" s="2" t="s">
        <v>154</v>
      </c>
      <c r="D133" s="2" t="s">
        <v>155</v>
      </c>
      <c r="E133" s="2" t="s">
        <v>323</v>
      </c>
      <c r="F133" s="2" t="s">
        <v>4945</v>
      </c>
      <c r="G133" s="2" t="s">
        <v>4928</v>
      </c>
      <c r="H133" s="2" t="s">
        <v>4934</v>
      </c>
      <c r="I133" s="20">
        <v>99520.31</v>
      </c>
      <c r="J133" s="2" t="s">
        <v>4935</v>
      </c>
    </row>
    <row r="134" spans="1:10" ht="15.35" x14ac:dyDescent="0.55000000000000004">
      <c r="A134" s="20">
        <v>13223</v>
      </c>
      <c r="B134" s="2" t="s">
        <v>153</v>
      </c>
      <c r="C134" s="2" t="s">
        <v>154</v>
      </c>
      <c r="D134" s="2" t="s">
        <v>155</v>
      </c>
      <c r="E134" s="2" t="s">
        <v>323</v>
      </c>
      <c r="F134" s="2" t="s">
        <v>4945</v>
      </c>
      <c r="G134" s="2" t="s">
        <v>4928</v>
      </c>
      <c r="H134" s="2" t="s">
        <v>4936</v>
      </c>
      <c r="I134" s="20">
        <v>98653.82</v>
      </c>
      <c r="J134" s="2" t="s">
        <v>4935</v>
      </c>
    </row>
    <row r="135" spans="1:10" ht="15.35" x14ac:dyDescent="0.55000000000000004">
      <c r="A135" s="20">
        <v>13224</v>
      </c>
      <c r="B135" s="2" t="s">
        <v>153</v>
      </c>
      <c r="C135" s="2" t="s">
        <v>154</v>
      </c>
      <c r="D135" s="2" t="s">
        <v>155</v>
      </c>
      <c r="E135" s="2" t="s">
        <v>323</v>
      </c>
      <c r="F135" s="2" t="s">
        <v>4945</v>
      </c>
      <c r="G135" s="2" t="s">
        <v>4931</v>
      </c>
      <c r="H135" s="2" t="s">
        <v>4937</v>
      </c>
      <c r="I135" s="20">
        <v>99.13</v>
      </c>
      <c r="J135" s="2" t="s">
        <v>4933</v>
      </c>
    </row>
    <row r="136" spans="1:10" ht="15.35" x14ac:dyDescent="0.55000000000000004">
      <c r="A136" s="20">
        <v>13226</v>
      </c>
      <c r="B136" s="2" t="s">
        <v>153</v>
      </c>
      <c r="C136" s="2" t="s">
        <v>154</v>
      </c>
      <c r="D136" s="2" t="s">
        <v>155</v>
      </c>
      <c r="E136" s="2" t="s">
        <v>323</v>
      </c>
      <c r="F136" s="2" t="s">
        <v>4945</v>
      </c>
      <c r="G136" s="2" t="s">
        <v>4931</v>
      </c>
      <c r="H136" s="2" t="s">
        <v>4952</v>
      </c>
      <c r="I136" s="20">
        <v>99.85</v>
      </c>
      <c r="J136" s="2" t="s">
        <v>4933</v>
      </c>
    </row>
    <row r="137" spans="1:10" ht="15.35" x14ac:dyDescent="0.55000000000000004">
      <c r="A137" s="20">
        <v>13769</v>
      </c>
      <c r="B137" s="2" t="s">
        <v>153</v>
      </c>
      <c r="C137" s="2" t="s">
        <v>154</v>
      </c>
      <c r="D137" s="2" t="s">
        <v>155</v>
      </c>
      <c r="E137" s="2" t="s">
        <v>323</v>
      </c>
      <c r="F137" s="2" t="s">
        <v>4945</v>
      </c>
      <c r="G137" s="2" t="s">
        <v>4939</v>
      </c>
      <c r="H137" s="2" t="s">
        <v>4951</v>
      </c>
      <c r="I137" s="20">
        <v>251.36</v>
      </c>
      <c r="J137" s="2" t="s">
        <v>4941</v>
      </c>
    </row>
    <row r="138" spans="1:10" ht="15.35" x14ac:dyDescent="0.55000000000000004">
      <c r="A138" s="20">
        <v>16233</v>
      </c>
      <c r="B138" s="2" t="s">
        <v>153</v>
      </c>
      <c r="C138" s="2" t="s">
        <v>154</v>
      </c>
      <c r="D138" s="2" t="s">
        <v>155</v>
      </c>
      <c r="E138" s="2" t="s">
        <v>323</v>
      </c>
      <c r="F138" s="2" t="s">
        <v>4945</v>
      </c>
      <c r="G138" s="2" t="s">
        <v>4939</v>
      </c>
      <c r="H138" s="2" t="s">
        <v>4946</v>
      </c>
      <c r="I138" s="20">
        <v>251.36</v>
      </c>
      <c r="J138" s="2" t="s">
        <v>4941</v>
      </c>
    </row>
    <row r="139" spans="1:10" ht="15.35" x14ac:dyDescent="0.55000000000000004">
      <c r="A139" s="20">
        <v>13771</v>
      </c>
      <c r="B139" s="2" t="s">
        <v>153</v>
      </c>
      <c r="C139" s="2" t="s">
        <v>154</v>
      </c>
      <c r="D139" s="2" t="s">
        <v>155</v>
      </c>
      <c r="E139" s="2" t="s">
        <v>323</v>
      </c>
      <c r="F139" s="2" t="s">
        <v>4948</v>
      </c>
      <c r="G139" s="2" t="s">
        <v>4928</v>
      </c>
      <c r="H139" s="2" t="s">
        <v>4934</v>
      </c>
      <c r="I139" s="20">
        <v>99426.95</v>
      </c>
      <c r="J139" s="2" t="s">
        <v>4935</v>
      </c>
    </row>
    <row r="140" spans="1:10" ht="15.35" x14ac:dyDescent="0.55000000000000004">
      <c r="A140" s="20">
        <v>13772</v>
      </c>
      <c r="B140" s="2" t="s">
        <v>153</v>
      </c>
      <c r="C140" s="2" t="s">
        <v>154</v>
      </c>
      <c r="D140" s="2" t="s">
        <v>155</v>
      </c>
      <c r="E140" s="2" t="s">
        <v>323</v>
      </c>
      <c r="F140" s="2" t="s">
        <v>4948</v>
      </c>
      <c r="G140" s="2" t="s">
        <v>4928</v>
      </c>
      <c r="H140" s="2" t="s">
        <v>4936</v>
      </c>
      <c r="I140" s="20">
        <v>97832.15</v>
      </c>
      <c r="J140" s="2" t="s">
        <v>4935</v>
      </c>
    </row>
    <row r="141" spans="1:10" ht="15.35" x14ac:dyDescent="0.55000000000000004">
      <c r="A141" s="20">
        <v>13773</v>
      </c>
      <c r="B141" s="2" t="s">
        <v>153</v>
      </c>
      <c r="C141" s="2" t="s">
        <v>154</v>
      </c>
      <c r="D141" s="2" t="s">
        <v>155</v>
      </c>
      <c r="E141" s="2" t="s">
        <v>323</v>
      </c>
      <c r="F141" s="2" t="s">
        <v>4948</v>
      </c>
      <c r="G141" s="2" t="s">
        <v>4931</v>
      </c>
      <c r="H141" s="2" t="s">
        <v>4937</v>
      </c>
      <c r="I141" s="20">
        <v>98.4</v>
      </c>
      <c r="J141" s="2" t="s">
        <v>4933</v>
      </c>
    </row>
    <row r="142" spans="1:10" ht="15.35" x14ac:dyDescent="0.55000000000000004">
      <c r="A142" s="20">
        <v>13774</v>
      </c>
      <c r="B142" s="2" t="s">
        <v>153</v>
      </c>
      <c r="C142" s="2" t="s">
        <v>154</v>
      </c>
      <c r="D142" s="2" t="s">
        <v>155</v>
      </c>
      <c r="E142" s="2" t="s">
        <v>323</v>
      </c>
      <c r="F142" s="2" t="s">
        <v>4948</v>
      </c>
      <c r="G142" s="2" t="s">
        <v>4939</v>
      </c>
      <c r="H142" s="2" t="s">
        <v>4951</v>
      </c>
      <c r="I142" s="20">
        <v>256.5</v>
      </c>
      <c r="J142" s="2" t="s">
        <v>4941</v>
      </c>
    </row>
    <row r="143" spans="1:10" ht="15.35" x14ac:dyDescent="0.55000000000000004">
      <c r="A143" s="20">
        <v>13775</v>
      </c>
      <c r="B143" s="2" t="s">
        <v>153</v>
      </c>
      <c r="C143" s="2" t="s">
        <v>154</v>
      </c>
      <c r="D143" s="2" t="s">
        <v>155</v>
      </c>
      <c r="E143" s="2" t="s">
        <v>323</v>
      </c>
      <c r="F143" s="2" t="s">
        <v>4948</v>
      </c>
      <c r="G143" s="2" t="s">
        <v>4928</v>
      </c>
      <c r="H143" s="2" t="s">
        <v>4953</v>
      </c>
      <c r="I143" s="20">
        <v>2.5299999999999998</v>
      </c>
      <c r="J143" s="2" t="s">
        <v>4930</v>
      </c>
    </row>
    <row r="144" spans="1:10" ht="15.35" x14ac:dyDescent="0.55000000000000004">
      <c r="A144" s="20">
        <v>13781</v>
      </c>
      <c r="B144" s="2" t="s">
        <v>153</v>
      </c>
      <c r="C144" s="2" t="s">
        <v>154</v>
      </c>
      <c r="D144" s="2" t="s">
        <v>155</v>
      </c>
      <c r="E144" s="2" t="s">
        <v>323</v>
      </c>
      <c r="F144" s="2" t="s">
        <v>4948</v>
      </c>
      <c r="G144" s="2" t="s">
        <v>4931</v>
      </c>
      <c r="H144" s="2" t="s">
        <v>4952</v>
      </c>
      <c r="I144" s="20">
        <v>99.89</v>
      </c>
      <c r="J144" s="2" t="s">
        <v>4933</v>
      </c>
    </row>
    <row r="145" spans="1:10" ht="15.35" x14ac:dyDescent="0.55000000000000004">
      <c r="A145" s="20">
        <v>14393</v>
      </c>
      <c r="B145" s="2" t="s">
        <v>153</v>
      </c>
      <c r="C145" s="2" t="s">
        <v>154</v>
      </c>
      <c r="D145" s="2" t="s">
        <v>155</v>
      </c>
      <c r="E145" s="2" t="s">
        <v>323</v>
      </c>
      <c r="F145" s="2" t="s">
        <v>4948</v>
      </c>
      <c r="G145" s="2" t="s">
        <v>4939</v>
      </c>
      <c r="H145" s="2" t="s">
        <v>4946</v>
      </c>
      <c r="I145" s="20">
        <v>256.5</v>
      </c>
      <c r="J145" s="2" t="s">
        <v>4941</v>
      </c>
    </row>
    <row r="146" spans="1:10" ht="15.35" x14ac:dyDescent="0.55000000000000004">
      <c r="A146" s="20">
        <v>17217</v>
      </c>
      <c r="B146" s="2" t="s">
        <v>153</v>
      </c>
      <c r="C146" s="2" t="s">
        <v>154</v>
      </c>
      <c r="D146" s="2" t="s">
        <v>155</v>
      </c>
      <c r="E146" s="2" t="s">
        <v>323</v>
      </c>
      <c r="F146" s="2" t="s">
        <v>4949</v>
      </c>
      <c r="G146" s="2" t="s">
        <v>4928</v>
      </c>
      <c r="H146" s="2" t="s">
        <v>4934</v>
      </c>
      <c r="I146" s="20">
        <v>99025.7</v>
      </c>
      <c r="J146" s="2" t="s">
        <v>4935</v>
      </c>
    </row>
    <row r="147" spans="1:10" ht="15.35" x14ac:dyDescent="0.55000000000000004">
      <c r="A147" s="20">
        <v>17218</v>
      </c>
      <c r="B147" s="2" t="s">
        <v>153</v>
      </c>
      <c r="C147" s="2" t="s">
        <v>154</v>
      </c>
      <c r="D147" s="2" t="s">
        <v>155</v>
      </c>
      <c r="E147" s="2" t="s">
        <v>323</v>
      </c>
      <c r="F147" s="2" t="s">
        <v>4949</v>
      </c>
      <c r="G147" s="2" t="s">
        <v>4931</v>
      </c>
      <c r="H147" s="2" t="s">
        <v>4937</v>
      </c>
      <c r="I147" s="20">
        <v>95.87</v>
      </c>
      <c r="J147" s="2" t="s">
        <v>4933</v>
      </c>
    </row>
    <row r="148" spans="1:10" ht="15.35" x14ac:dyDescent="0.55000000000000004">
      <c r="A148" s="20">
        <v>17284</v>
      </c>
      <c r="B148" s="2" t="s">
        <v>153</v>
      </c>
      <c r="C148" s="2" t="s">
        <v>154</v>
      </c>
      <c r="D148" s="2" t="s">
        <v>155</v>
      </c>
      <c r="E148" s="2" t="s">
        <v>323</v>
      </c>
      <c r="F148" s="2" t="s">
        <v>4949</v>
      </c>
      <c r="G148" s="2" t="s">
        <v>4931</v>
      </c>
      <c r="H148" s="2" t="s">
        <v>4952</v>
      </c>
      <c r="I148" s="20">
        <v>98.75</v>
      </c>
      <c r="J148" s="2" t="s">
        <v>4933</v>
      </c>
    </row>
    <row r="149" spans="1:10" ht="15.35" x14ac:dyDescent="0.55000000000000004">
      <c r="A149" s="20">
        <v>17285</v>
      </c>
      <c r="B149" s="2" t="s">
        <v>153</v>
      </c>
      <c r="C149" s="2" t="s">
        <v>154</v>
      </c>
      <c r="D149" s="2" t="s">
        <v>155</v>
      </c>
      <c r="E149" s="2" t="s">
        <v>323</v>
      </c>
      <c r="F149" s="2" t="s">
        <v>4949</v>
      </c>
      <c r="G149" s="2" t="s">
        <v>4928</v>
      </c>
      <c r="H149" s="2" t="s">
        <v>4953</v>
      </c>
      <c r="I149" s="20">
        <v>2.5099999999999998</v>
      </c>
      <c r="J149" s="2" t="s">
        <v>4930</v>
      </c>
    </row>
    <row r="150" spans="1:10" ht="15.35" x14ac:dyDescent="0.55000000000000004">
      <c r="A150" s="20">
        <v>17286</v>
      </c>
      <c r="B150" s="2" t="s">
        <v>153</v>
      </c>
      <c r="C150" s="2" t="s">
        <v>154</v>
      </c>
      <c r="D150" s="2" t="s">
        <v>155</v>
      </c>
      <c r="E150" s="2" t="s">
        <v>323</v>
      </c>
      <c r="F150" s="2" t="s">
        <v>4949</v>
      </c>
      <c r="G150" s="2" t="s">
        <v>4939</v>
      </c>
      <c r="H150" s="2" t="s">
        <v>4946</v>
      </c>
      <c r="I150" s="20">
        <v>277.08999999999997</v>
      </c>
      <c r="J150" s="2" t="s">
        <v>4941</v>
      </c>
    </row>
    <row r="151" spans="1:10" ht="15.35" x14ac:dyDescent="0.55000000000000004">
      <c r="A151" s="20">
        <v>17312</v>
      </c>
      <c r="B151" s="2" t="s">
        <v>153</v>
      </c>
      <c r="C151" s="2" t="s">
        <v>154</v>
      </c>
      <c r="D151" s="2" t="s">
        <v>155</v>
      </c>
      <c r="E151" s="2" t="s">
        <v>323</v>
      </c>
      <c r="F151" s="2" t="s">
        <v>4949</v>
      </c>
      <c r="G151" s="2" t="s">
        <v>4928</v>
      </c>
      <c r="H151" s="2" t="s">
        <v>4936</v>
      </c>
      <c r="I151" s="20">
        <v>94938.04</v>
      </c>
      <c r="J151" s="2" t="s">
        <v>4935</v>
      </c>
    </row>
    <row r="152" spans="1:10" ht="15.35" x14ac:dyDescent="0.55000000000000004">
      <c r="A152" s="20">
        <v>18679</v>
      </c>
      <c r="B152" s="2" t="s">
        <v>153</v>
      </c>
      <c r="C152" s="2" t="s">
        <v>154</v>
      </c>
      <c r="D152" s="2" t="s">
        <v>155</v>
      </c>
      <c r="E152" s="2" t="s">
        <v>323</v>
      </c>
      <c r="F152" s="2" t="s">
        <v>4950</v>
      </c>
      <c r="G152" s="2" t="s">
        <v>4928</v>
      </c>
      <c r="H152" s="2" t="s">
        <v>4936</v>
      </c>
      <c r="I152" s="20">
        <v>97864.92</v>
      </c>
      <c r="J152" s="2" t="s">
        <v>4935</v>
      </c>
    </row>
    <row r="153" spans="1:10" ht="15.35" x14ac:dyDescent="0.55000000000000004">
      <c r="A153" s="20">
        <v>18680</v>
      </c>
      <c r="B153" s="2" t="s">
        <v>153</v>
      </c>
      <c r="C153" s="2" t="s">
        <v>154</v>
      </c>
      <c r="D153" s="2" t="s">
        <v>155</v>
      </c>
      <c r="E153" s="2" t="s">
        <v>323</v>
      </c>
      <c r="F153" s="2" t="s">
        <v>4950</v>
      </c>
      <c r="G153" s="2" t="s">
        <v>4931</v>
      </c>
      <c r="H153" s="2" t="s">
        <v>4937</v>
      </c>
      <c r="I153" s="20">
        <v>98.66</v>
      </c>
      <c r="J153" s="2" t="s">
        <v>4933</v>
      </c>
    </row>
    <row r="154" spans="1:10" ht="15.35" x14ac:dyDescent="0.55000000000000004">
      <c r="A154" s="20">
        <v>18681</v>
      </c>
      <c r="B154" s="2" t="s">
        <v>153</v>
      </c>
      <c r="C154" s="2" t="s">
        <v>154</v>
      </c>
      <c r="D154" s="2" t="s">
        <v>155</v>
      </c>
      <c r="E154" s="2" t="s">
        <v>323</v>
      </c>
      <c r="F154" s="2" t="s">
        <v>4950</v>
      </c>
      <c r="G154" s="2" t="s">
        <v>4939</v>
      </c>
      <c r="H154" s="2" t="s">
        <v>4946</v>
      </c>
      <c r="I154" s="20">
        <v>264.29000000000002</v>
      </c>
      <c r="J154" s="2" t="s">
        <v>4941</v>
      </c>
    </row>
    <row r="155" spans="1:10" ht="15.35" x14ac:dyDescent="0.55000000000000004">
      <c r="A155" s="20">
        <v>18682</v>
      </c>
      <c r="B155" s="2" t="s">
        <v>153</v>
      </c>
      <c r="C155" s="2" t="s">
        <v>154</v>
      </c>
      <c r="D155" s="2" t="s">
        <v>155</v>
      </c>
      <c r="E155" s="2" t="s">
        <v>323</v>
      </c>
      <c r="F155" s="2" t="s">
        <v>4950</v>
      </c>
      <c r="G155" s="2" t="s">
        <v>4928</v>
      </c>
      <c r="H155" s="2" t="s">
        <v>4953</v>
      </c>
      <c r="I155" s="20">
        <v>2.42</v>
      </c>
      <c r="J155" s="2" t="s">
        <v>4930</v>
      </c>
    </row>
    <row r="156" spans="1:10" ht="15.35" x14ac:dyDescent="0.55000000000000004">
      <c r="A156" s="20">
        <v>18683</v>
      </c>
      <c r="B156" s="2" t="s">
        <v>153</v>
      </c>
      <c r="C156" s="2" t="s">
        <v>154</v>
      </c>
      <c r="D156" s="2" t="s">
        <v>155</v>
      </c>
      <c r="E156" s="2" t="s">
        <v>323</v>
      </c>
      <c r="F156" s="2" t="s">
        <v>4950</v>
      </c>
      <c r="G156" s="2" t="s">
        <v>4931</v>
      </c>
      <c r="H156" s="2" t="s">
        <v>4952</v>
      </c>
      <c r="I156" s="20">
        <v>98.93</v>
      </c>
      <c r="J156" s="2" t="s">
        <v>4933</v>
      </c>
    </row>
    <row r="157" spans="1:10" ht="15.35" x14ac:dyDescent="0.55000000000000004">
      <c r="A157" s="20">
        <v>18698</v>
      </c>
      <c r="B157" s="2" t="s">
        <v>153</v>
      </c>
      <c r="C157" s="2" t="s">
        <v>154</v>
      </c>
      <c r="D157" s="2" t="s">
        <v>155</v>
      </c>
      <c r="E157" s="2" t="s">
        <v>323</v>
      </c>
      <c r="F157" s="2" t="s">
        <v>4950</v>
      </c>
      <c r="G157" s="2" t="s">
        <v>4928</v>
      </c>
      <c r="H157" s="2" t="s">
        <v>4934</v>
      </c>
      <c r="I157" s="20">
        <v>99194.16</v>
      </c>
      <c r="J157" s="2" t="s">
        <v>4935</v>
      </c>
    </row>
    <row r="158" spans="1:10" ht="15.35" x14ac:dyDescent="0.55000000000000004">
      <c r="A158" s="20">
        <v>13276</v>
      </c>
      <c r="B158" s="2" t="s">
        <v>157</v>
      </c>
      <c r="C158" s="2" t="s">
        <v>158</v>
      </c>
      <c r="D158" s="2" t="s">
        <v>159</v>
      </c>
      <c r="E158" s="2" t="s">
        <v>331</v>
      </c>
      <c r="F158" s="2" t="s">
        <v>4954</v>
      </c>
      <c r="G158" s="2" t="s">
        <v>4928</v>
      </c>
      <c r="H158" s="2" t="s">
        <v>4955</v>
      </c>
      <c r="I158" s="20">
        <v>3.57</v>
      </c>
      <c r="J158" s="2" t="s">
        <v>4930</v>
      </c>
    </row>
    <row r="159" spans="1:10" ht="15.35" x14ac:dyDescent="0.55000000000000004">
      <c r="A159" s="20">
        <v>13277</v>
      </c>
      <c r="B159" s="2" t="s">
        <v>157</v>
      </c>
      <c r="C159" s="2" t="s">
        <v>158</v>
      </c>
      <c r="D159" s="2" t="s">
        <v>159</v>
      </c>
      <c r="E159" s="2" t="s">
        <v>331</v>
      </c>
      <c r="F159" s="2" t="s">
        <v>4954</v>
      </c>
      <c r="G159" s="2" t="s">
        <v>4939</v>
      </c>
      <c r="H159" s="2" t="s">
        <v>4946</v>
      </c>
      <c r="J159" s="2" t="s">
        <v>4941</v>
      </c>
    </row>
    <row r="160" spans="1:10" ht="15.35" x14ac:dyDescent="0.55000000000000004">
      <c r="A160" s="20">
        <v>13278</v>
      </c>
      <c r="B160" s="2" t="s">
        <v>157</v>
      </c>
      <c r="C160" s="2" t="s">
        <v>158</v>
      </c>
      <c r="D160" s="2" t="s">
        <v>159</v>
      </c>
      <c r="E160" s="2" t="s">
        <v>331</v>
      </c>
      <c r="F160" s="2" t="s">
        <v>4954</v>
      </c>
      <c r="G160" s="2" t="s">
        <v>4931</v>
      </c>
      <c r="H160" s="2" t="s">
        <v>4937</v>
      </c>
      <c r="I160" s="20">
        <v>97.26</v>
      </c>
      <c r="J160" s="2" t="s">
        <v>4933</v>
      </c>
    </row>
    <row r="161" spans="1:10" ht="15.35" x14ac:dyDescent="0.55000000000000004">
      <c r="A161" s="20">
        <v>13279</v>
      </c>
      <c r="B161" s="2" t="s">
        <v>157</v>
      </c>
      <c r="C161" s="2" t="s">
        <v>158</v>
      </c>
      <c r="D161" s="2" t="s">
        <v>159</v>
      </c>
      <c r="E161" s="2" t="s">
        <v>331</v>
      </c>
      <c r="F161" s="2" t="s">
        <v>4954</v>
      </c>
      <c r="G161" s="2" t="s">
        <v>4928</v>
      </c>
      <c r="H161" s="2" t="s">
        <v>4936</v>
      </c>
      <c r="I161" s="20">
        <v>82781.429999999993</v>
      </c>
      <c r="J161" s="2" t="s">
        <v>4935</v>
      </c>
    </row>
    <row r="162" spans="1:10" ht="15.35" x14ac:dyDescent="0.55000000000000004">
      <c r="A162" s="20">
        <v>13280</v>
      </c>
      <c r="B162" s="2" t="s">
        <v>157</v>
      </c>
      <c r="C162" s="2" t="s">
        <v>158</v>
      </c>
      <c r="D162" s="2" t="s">
        <v>159</v>
      </c>
      <c r="E162" s="2" t="s">
        <v>331</v>
      </c>
      <c r="F162" s="2" t="s">
        <v>4954</v>
      </c>
      <c r="G162" s="2" t="s">
        <v>4928</v>
      </c>
      <c r="H162" s="2" t="s">
        <v>4934</v>
      </c>
      <c r="I162" s="20">
        <v>85114.71</v>
      </c>
      <c r="J162" s="2" t="s">
        <v>4935</v>
      </c>
    </row>
    <row r="163" spans="1:10" ht="15.35" x14ac:dyDescent="0.55000000000000004">
      <c r="A163" s="20">
        <v>13287</v>
      </c>
      <c r="B163" s="2" t="s">
        <v>157</v>
      </c>
      <c r="C163" s="2" t="s">
        <v>158</v>
      </c>
      <c r="D163" s="2" t="s">
        <v>159</v>
      </c>
      <c r="E163" s="2" t="s">
        <v>331</v>
      </c>
      <c r="F163" s="2" t="s">
        <v>4954</v>
      </c>
      <c r="G163" s="2" t="s">
        <v>4931</v>
      </c>
      <c r="H163" s="2" t="s">
        <v>4952</v>
      </c>
      <c r="I163" s="20">
        <v>99.62</v>
      </c>
      <c r="J163" s="2" t="s">
        <v>4933</v>
      </c>
    </row>
    <row r="164" spans="1:10" ht="15.35" x14ac:dyDescent="0.55000000000000004">
      <c r="A164" s="20">
        <v>13488</v>
      </c>
      <c r="B164" s="2" t="s">
        <v>157</v>
      </c>
      <c r="C164" s="2" t="s">
        <v>158</v>
      </c>
      <c r="D164" s="2" t="s">
        <v>159</v>
      </c>
      <c r="E164" s="2" t="s">
        <v>331</v>
      </c>
      <c r="F164" s="2" t="s">
        <v>4947</v>
      </c>
      <c r="G164" s="2" t="s">
        <v>4931</v>
      </c>
      <c r="H164" s="2" t="s">
        <v>4952</v>
      </c>
      <c r="I164" s="20">
        <v>99.97</v>
      </c>
      <c r="J164" s="2" t="s">
        <v>4933</v>
      </c>
    </row>
    <row r="165" spans="1:10" ht="15.35" x14ac:dyDescent="0.55000000000000004">
      <c r="A165" s="20">
        <v>13489</v>
      </c>
      <c r="B165" s="2" t="s">
        <v>157</v>
      </c>
      <c r="C165" s="2" t="s">
        <v>158</v>
      </c>
      <c r="D165" s="2" t="s">
        <v>159</v>
      </c>
      <c r="E165" s="2" t="s">
        <v>331</v>
      </c>
      <c r="F165" s="2" t="s">
        <v>4947</v>
      </c>
      <c r="G165" s="2" t="s">
        <v>4939</v>
      </c>
      <c r="H165" s="2" t="s">
        <v>4946</v>
      </c>
      <c r="I165" s="20">
        <v>363.83</v>
      </c>
      <c r="J165" s="2" t="s">
        <v>4941</v>
      </c>
    </row>
    <row r="166" spans="1:10" ht="15.35" x14ac:dyDescent="0.55000000000000004">
      <c r="A166" s="20">
        <v>8064</v>
      </c>
      <c r="B166" s="2" t="s">
        <v>157</v>
      </c>
      <c r="C166" s="2" t="s">
        <v>158</v>
      </c>
      <c r="D166" s="2" t="s">
        <v>159</v>
      </c>
      <c r="E166" s="2" t="s">
        <v>331</v>
      </c>
      <c r="F166" s="2" t="s">
        <v>4947</v>
      </c>
      <c r="G166" s="2" t="s">
        <v>4928</v>
      </c>
      <c r="H166" s="2" t="s">
        <v>4934</v>
      </c>
      <c r="I166" s="20">
        <v>85114.71</v>
      </c>
      <c r="J166" s="2" t="s">
        <v>4935</v>
      </c>
    </row>
    <row r="167" spans="1:10" ht="15.35" x14ac:dyDescent="0.55000000000000004">
      <c r="A167" s="20">
        <v>8065</v>
      </c>
      <c r="B167" s="2" t="s">
        <v>157</v>
      </c>
      <c r="C167" s="2" t="s">
        <v>158</v>
      </c>
      <c r="D167" s="2" t="s">
        <v>159</v>
      </c>
      <c r="E167" s="2" t="s">
        <v>331</v>
      </c>
      <c r="F167" s="2" t="s">
        <v>4947</v>
      </c>
      <c r="G167" s="2" t="s">
        <v>4928</v>
      </c>
      <c r="H167" s="2" t="s">
        <v>4936</v>
      </c>
      <c r="I167" s="20">
        <v>83501.509999999995</v>
      </c>
      <c r="J167" s="2" t="s">
        <v>4935</v>
      </c>
    </row>
    <row r="168" spans="1:10" ht="15.35" x14ac:dyDescent="0.55000000000000004">
      <c r="A168" s="20">
        <v>8066</v>
      </c>
      <c r="B168" s="2" t="s">
        <v>157</v>
      </c>
      <c r="C168" s="2" t="s">
        <v>158</v>
      </c>
      <c r="D168" s="2" t="s">
        <v>159</v>
      </c>
      <c r="E168" s="2" t="s">
        <v>331</v>
      </c>
      <c r="F168" s="2" t="s">
        <v>4947</v>
      </c>
      <c r="G168" s="2" t="s">
        <v>4931</v>
      </c>
      <c r="H168" s="2" t="s">
        <v>4937</v>
      </c>
      <c r="I168" s="20">
        <v>98.1</v>
      </c>
      <c r="J168" s="2" t="s">
        <v>4933</v>
      </c>
    </row>
    <row r="169" spans="1:10" ht="15.35" x14ac:dyDescent="0.55000000000000004">
      <c r="A169" s="20">
        <v>8067</v>
      </c>
      <c r="B169" s="2" t="s">
        <v>157</v>
      </c>
      <c r="C169" s="2" t="s">
        <v>158</v>
      </c>
      <c r="D169" s="2" t="s">
        <v>159</v>
      </c>
      <c r="E169" s="2" t="s">
        <v>331</v>
      </c>
      <c r="F169" s="2" t="s">
        <v>4947</v>
      </c>
      <c r="G169" s="2" t="s">
        <v>4928</v>
      </c>
      <c r="H169" s="2" t="s">
        <v>4955</v>
      </c>
      <c r="I169" s="20">
        <v>3.43</v>
      </c>
      <c r="J169" s="2" t="s">
        <v>4930</v>
      </c>
    </row>
    <row r="170" spans="1:10" ht="15.35" x14ac:dyDescent="0.55000000000000004">
      <c r="A170" s="20">
        <v>8016</v>
      </c>
      <c r="B170" s="2" t="s">
        <v>157</v>
      </c>
      <c r="C170" s="2" t="s">
        <v>158</v>
      </c>
      <c r="D170" s="2" t="s">
        <v>159</v>
      </c>
      <c r="E170" s="2" t="s">
        <v>331</v>
      </c>
      <c r="F170" s="2" t="s">
        <v>4943</v>
      </c>
      <c r="G170" s="2" t="s">
        <v>4928</v>
      </c>
      <c r="H170" s="2" t="s">
        <v>4934</v>
      </c>
      <c r="I170" s="20">
        <v>85114.71</v>
      </c>
      <c r="J170" s="2" t="s">
        <v>4935</v>
      </c>
    </row>
    <row r="171" spans="1:10" ht="15.35" x14ac:dyDescent="0.55000000000000004">
      <c r="A171" s="20">
        <v>8017</v>
      </c>
      <c r="B171" s="2" t="s">
        <v>157</v>
      </c>
      <c r="C171" s="2" t="s">
        <v>158</v>
      </c>
      <c r="D171" s="2" t="s">
        <v>159</v>
      </c>
      <c r="E171" s="2" t="s">
        <v>331</v>
      </c>
      <c r="F171" s="2" t="s">
        <v>4943</v>
      </c>
      <c r="G171" s="2" t="s">
        <v>4928</v>
      </c>
      <c r="H171" s="2" t="s">
        <v>4936</v>
      </c>
      <c r="I171" s="20">
        <v>83735.360000000001</v>
      </c>
      <c r="J171" s="2" t="s">
        <v>4935</v>
      </c>
    </row>
    <row r="172" spans="1:10" ht="15.35" x14ac:dyDescent="0.55000000000000004">
      <c r="A172" s="20">
        <v>8019</v>
      </c>
      <c r="B172" s="2" t="s">
        <v>157</v>
      </c>
      <c r="C172" s="2" t="s">
        <v>158</v>
      </c>
      <c r="D172" s="2" t="s">
        <v>159</v>
      </c>
      <c r="E172" s="2" t="s">
        <v>331</v>
      </c>
      <c r="F172" s="2" t="s">
        <v>4943</v>
      </c>
      <c r="G172" s="2" t="s">
        <v>4931</v>
      </c>
      <c r="H172" s="2" t="s">
        <v>4937</v>
      </c>
      <c r="I172" s="20">
        <v>98.38</v>
      </c>
      <c r="J172" s="2" t="s">
        <v>4933</v>
      </c>
    </row>
    <row r="173" spans="1:10" ht="15.35" x14ac:dyDescent="0.55000000000000004">
      <c r="A173" s="20">
        <v>8040</v>
      </c>
      <c r="B173" s="2" t="s">
        <v>157</v>
      </c>
      <c r="C173" s="2" t="s">
        <v>158</v>
      </c>
      <c r="D173" s="2" t="s">
        <v>159</v>
      </c>
      <c r="E173" s="2" t="s">
        <v>331</v>
      </c>
      <c r="F173" s="2" t="s">
        <v>4943</v>
      </c>
      <c r="G173" s="2" t="s">
        <v>4939</v>
      </c>
      <c r="H173" s="2" t="s">
        <v>4946</v>
      </c>
      <c r="I173" s="20">
        <v>363.52</v>
      </c>
      <c r="J173" s="2" t="s">
        <v>4941</v>
      </c>
    </row>
    <row r="174" spans="1:10" ht="15.35" x14ac:dyDescent="0.55000000000000004">
      <c r="A174" s="20">
        <v>8041</v>
      </c>
      <c r="B174" s="2" t="s">
        <v>157</v>
      </c>
      <c r="C174" s="2" t="s">
        <v>158</v>
      </c>
      <c r="D174" s="2" t="s">
        <v>159</v>
      </c>
      <c r="E174" s="2" t="s">
        <v>331</v>
      </c>
      <c r="F174" s="2" t="s">
        <v>4943</v>
      </c>
      <c r="G174" s="2" t="s">
        <v>4928</v>
      </c>
      <c r="H174" s="2" t="s">
        <v>4955</v>
      </c>
      <c r="I174" s="20">
        <v>3.47</v>
      </c>
      <c r="J174" s="2" t="s">
        <v>4930</v>
      </c>
    </row>
    <row r="175" spans="1:10" ht="15.35" x14ac:dyDescent="0.55000000000000004">
      <c r="A175" s="20">
        <v>8042</v>
      </c>
      <c r="B175" s="2" t="s">
        <v>157</v>
      </c>
      <c r="C175" s="2" t="s">
        <v>158</v>
      </c>
      <c r="D175" s="2" t="s">
        <v>159</v>
      </c>
      <c r="E175" s="2" t="s">
        <v>331</v>
      </c>
      <c r="F175" s="2" t="s">
        <v>4943</v>
      </c>
      <c r="G175" s="2" t="s">
        <v>4931</v>
      </c>
      <c r="H175" s="2" t="s">
        <v>4952</v>
      </c>
      <c r="I175" s="20">
        <v>98.56</v>
      </c>
      <c r="J175" s="2" t="s">
        <v>4933</v>
      </c>
    </row>
    <row r="176" spans="1:10" ht="15.35" x14ac:dyDescent="0.55000000000000004">
      <c r="A176" s="20">
        <v>8010</v>
      </c>
      <c r="B176" s="2" t="s">
        <v>157</v>
      </c>
      <c r="C176" s="2" t="s">
        <v>158</v>
      </c>
      <c r="D176" s="2" t="s">
        <v>159</v>
      </c>
      <c r="E176" s="2" t="s">
        <v>331</v>
      </c>
      <c r="F176" s="2" t="s">
        <v>4944</v>
      </c>
      <c r="G176" s="2" t="s">
        <v>4928</v>
      </c>
      <c r="H176" s="2" t="s">
        <v>4934</v>
      </c>
      <c r="I176" s="20">
        <v>85251.35</v>
      </c>
      <c r="J176" s="2" t="s">
        <v>4935</v>
      </c>
    </row>
    <row r="177" spans="1:10" ht="15.35" x14ac:dyDescent="0.55000000000000004">
      <c r="A177" s="20">
        <v>8011</v>
      </c>
      <c r="B177" s="2" t="s">
        <v>157</v>
      </c>
      <c r="C177" s="2" t="s">
        <v>158</v>
      </c>
      <c r="D177" s="2" t="s">
        <v>159</v>
      </c>
      <c r="E177" s="2" t="s">
        <v>331</v>
      </c>
      <c r="F177" s="2" t="s">
        <v>4944</v>
      </c>
      <c r="G177" s="2" t="s">
        <v>4928</v>
      </c>
      <c r="H177" s="2" t="s">
        <v>4936</v>
      </c>
      <c r="I177" s="20">
        <v>83917.79</v>
      </c>
      <c r="J177" s="2" t="s">
        <v>4935</v>
      </c>
    </row>
    <row r="178" spans="1:10" ht="15.35" x14ac:dyDescent="0.55000000000000004">
      <c r="A178" s="20">
        <v>8012</v>
      </c>
      <c r="B178" s="2" t="s">
        <v>157</v>
      </c>
      <c r="C178" s="2" t="s">
        <v>158</v>
      </c>
      <c r="D178" s="2" t="s">
        <v>159</v>
      </c>
      <c r="E178" s="2" t="s">
        <v>331</v>
      </c>
      <c r="F178" s="2" t="s">
        <v>4944</v>
      </c>
      <c r="G178" s="2" t="s">
        <v>4931</v>
      </c>
      <c r="H178" s="2" t="s">
        <v>4937</v>
      </c>
      <c r="I178" s="20">
        <v>98.44</v>
      </c>
      <c r="J178" s="2" t="s">
        <v>4933</v>
      </c>
    </row>
    <row r="179" spans="1:10" ht="15.35" x14ac:dyDescent="0.55000000000000004">
      <c r="A179" s="20">
        <v>8013</v>
      </c>
      <c r="B179" s="2" t="s">
        <v>157</v>
      </c>
      <c r="C179" s="2" t="s">
        <v>158</v>
      </c>
      <c r="D179" s="2" t="s">
        <v>159</v>
      </c>
      <c r="E179" s="2" t="s">
        <v>331</v>
      </c>
      <c r="F179" s="2" t="s">
        <v>4944</v>
      </c>
      <c r="G179" s="2" t="s">
        <v>4939</v>
      </c>
      <c r="H179" s="2" t="s">
        <v>4946</v>
      </c>
      <c r="I179" s="20">
        <v>350.56</v>
      </c>
      <c r="J179" s="2" t="s">
        <v>4941</v>
      </c>
    </row>
    <row r="180" spans="1:10" ht="15.35" x14ac:dyDescent="0.55000000000000004">
      <c r="A180" s="20">
        <v>8014</v>
      </c>
      <c r="B180" s="2" t="s">
        <v>157</v>
      </c>
      <c r="C180" s="2" t="s">
        <v>158</v>
      </c>
      <c r="D180" s="2" t="s">
        <v>159</v>
      </c>
      <c r="E180" s="2" t="s">
        <v>331</v>
      </c>
      <c r="F180" s="2" t="s">
        <v>4944</v>
      </c>
      <c r="G180" s="2" t="s">
        <v>4928</v>
      </c>
      <c r="H180" s="2" t="s">
        <v>4955</v>
      </c>
      <c r="I180" s="20">
        <v>3.49</v>
      </c>
      <c r="J180" s="2" t="s">
        <v>4930</v>
      </c>
    </row>
    <row r="181" spans="1:10" ht="15.35" x14ac:dyDescent="0.55000000000000004">
      <c r="A181" s="20">
        <v>8015</v>
      </c>
      <c r="B181" s="2" t="s">
        <v>157</v>
      </c>
      <c r="C181" s="2" t="s">
        <v>158</v>
      </c>
      <c r="D181" s="2" t="s">
        <v>159</v>
      </c>
      <c r="E181" s="2" t="s">
        <v>331</v>
      </c>
      <c r="F181" s="2" t="s">
        <v>4944</v>
      </c>
      <c r="G181" s="2" t="s">
        <v>4931</v>
      </c>
      <c r="H181" s="2" t="s">
        <v>4952</v>
      </c>
      <c r="I181" s="20">
        <v>99.22</v>
      </c>
      <c r="J181" s="2" t="s">
        <v>4933</v>
      </c>
    </row>
    <row r="182" spans="1:10" ht="15.35" x14ac:dyDescent="0.55000000000000004">
      <c r="A182" s="20">
        <v>13281</v>
      </c>
      <c r="B182" s="2" t="s">
        <v>157</v>
      </c>
      <c r="C182" s="2" t="s">
        <v>158</v>
      </c>
      <c r="D182" s="2" t="s">
        <v>159</v>
      </c>
      <c r="E182" s="2" t="s">
        <v>331</v>
      </c>
      <c r="F182" s="2" t="s">
        <v>4945</v>
      </c>
      <c r="G182" s="2" t="s">
        <v>4931</v>
      </c>
      <c r="H182" s="2" t="s">
        <v>4952</v>
      </c>
      <c r="I182" s="20">
        <v>99.61</v>
      </c>
      <c r="J182" s="2" t="s">
        <v>4933</v>
      </c>
    </row>
    <row r="183" spans="1:10" ht="15.35" x14ac:dyDescent="0.55000000000000004">
      <c r="A183" s="20">
        <v>13282</v>
      </c>
      <c r="B183" s="2" t="s">
        <v>157</v>
      </c>
      <c r="C183" s="2" t="s">
        <v>158</v>
      </c>
      <c r="D183" s="2" t="s">
        <v>159</v>
      </c>
      <c r="E183" s="2" t="s">
        <v>331</v>
      </c>
      <c r="F183" s="2" t="s">
        <v>4945</v>
      </c>
      <c r="G183" s="2" t="s">
        <v>4928</v>
      </c>
      <c r="H183" s="2" t="s">
        <v>4955</v>
      </c>
      <c r="I183" s="20">
        <v>3.32</v>
      </c>
      <c r="J183" s="2" t="s">
        <v>4930</v>
      </c>
    </row>
    <row r="184" spans="1:10" ht="15.35" x14ac:dyDescent="0.55000000000000004">
      <c r="A184" s="20">
        <v>13283</v>
      </c>
      <c r="B184" s="2" t="s">
        <v>157</v>
      </c>
      <c r="C184" s="2" t="s">
        <v>158</v>
      </c>
      <c r="D184" s="2" t="s">
        <v>159</v>
      </c>
      <c r="E184" s="2" t="s">
        <v>331</v>
      </c>
      <c r="F184" s="2" t="s">
        <v>4945</v>
      </c>
      <c r="G184" s="2" t="s">
        <v>4939</v>
      </c>
      <c r="H184" s="2" t="s">
        <v>4946</v>
      </c>
      <c r="I184" s="20">
        <v>359.49</v>
      </c>
      <c r="J184" s="2" t="s">
        <v>4941</v>
      </c>
    </row>
    <row r="185" spans="1:10" ht="15.35" x14ac:dyDescent="0.55000000000000004">
      <c r="A185" s="20">
        <v>13284</v>
      </c>
      <c r="B185" s="2" t="s">
        <v>157</v>
      </c>
      <c r="C185" s="2" t="s">
        <v>158</v>
      </c>
      <c r="D185" s="2" t="s">
        <v>159</v>
      </c>
      <c r="E185" s="2" t="s">
        <v>331</v>
      </c>
      <c r="F185" s="2" t="s">
        <v>4945</v>
      </c>
      <c r="G185" s="2" t="s">
        <v>4931</v>
      </c>
      <c r="H185" s="2" t="s">
        <v>4937</v>
      </c>
      <c r="I185" s="20">
        <v>97.05</v>
      </c>
      <c r="J185" s="2" t="s">
        <v>4933</v>
      </c>
    </row>
    <row r="186" spans="1:10" ht="15.35" x14ac:dyDescent="0.55000000000000004">
      <c r="A186" s="20">
        <v>13285</v>
      </c>
      <c r="B186" s="2" t="s">
        <v>157</v>
      </c>
      <c r="C186" s="2" t="s">
        <v>158</v>
      </c>
      <c r="D186" s="2" t="s">
        <v>159</v>
      </c>
      <c r="E186" s="2" t="s">
        <v>331</v>
      </c>
      <c r="F186" s="2" t="s">
        <v>4945</v>
      </c>
      <c r="G186" s="2" t="s">
        <v>4928</v>
      </c>
      <c r="H186" s="2" t="s">
        <v>4936</v>
      </c>
      <c r="I186" s="20">
        <v>82952.22</v>
      </c>
      <c r="J186" s="2" t="s">
        <v>4935</v>
      </c>
    </row>
    <row r="187" spans="1:10" ht="15.35" x14ac:dyDescent="0.55000000000000004">
      <c r="A187" s="20">
        <v>13286</v>
      </c>
      <c r="B187" s="2" t="s">
        <v>157</v>
      </c>
      <c r="C187" s="2" t="s">
        <v>158</v>
      </c>
      <c r="D187" s="2" t="s">
        <v>159</v>
      </c>
      <c r="E187" s="2" t="s">
        <v>331</v>
      </c>
      <c r="F187" s="2" t="s">
        <v>4945</v>
      </c>
      <c r="G187" s="2" t="s">
        <v>4928</v>
      </c>
      <c r="H187" s="2" t="s">
        <v>4934</v>
      </c>
      <c r="I187" s="20">
        <v>85474.87</v>
      </c>
      <c r="J187" s="2" t="s">
        <v>4935</v>
      </c>
    </row>
    <row r="188" spans="1:10" ht="15.35" x14ac:dyDescent="0.55000000000000004">
      <c r="A188" s="20">
        <v>14401</v>
      </c>
      <c r="B188" s="2" t="s">
        <v>157</v>
      </c>
      <c r="C188" s="2" t="s">
        <v>158</v>
      </c>
      <c r="D188" s="2" t="s">
        <v>159</v>
      </c>
      <c r="E188" s="2" t="s">
        <v>331</v>
      </c>
      <c r="F188" s="2" t="s">
        <v>4948</v>
      </c>
      <c r="G188" s="2" t="s">
        <v>4928</v>
      </c>
      <c r="H188" s="2" t="s">
        <v>4934</v>
      </c>
      <c r="I188" s="20">
        <v>85590.84</v>
      </c>
      <c r="J188" s="2" t="s">
        <v>4935</v>
      </c>
    </row>
    <row r="189" spans="1:10" ht="15.35" x14ac:dyDescent="0.55000000000000004">
      <c r="A189" s="20">
        <v>14402</v>
      </c>
      <c r="B189" s="2" t="s">
        <v>157</v>
      </c>
      <c r="C189" s="2" t="s">
        <v>158</v>
      </c>
      <c r="D189" s="2" t="s">
        <v>159</v>
      </c>
      <c r="E189" s="2" t="s">
        <v>331</v>
      </c>
      <c r="F189" s="2" t="s">
        <v>4948</v>
      </c>
      <c r="G189" s="2" t="s">
        <v>4928</v>
      </c>
      <c r="H189" s="2" t="s">
        <v>4936</v>
      </c>
      <c r="I189" s="20">
        <v>83967.95</v>
      </c>
      <c r="J189" s="2" t="s">
        <v>4935</v>
      </c>
    </row>
    <row r="190" spans="1:10" ht="15.35" x14ac:dyDescent="0.55000000000000004">
      <c r="A190" s="20">
        <v>14403</v>
      </c>
      <c r="B190" s="2" t="s">
        <v>157</v>
      </c>
      <c r="C190" s="2" t="s">
        <v>158</v>
      </c>
      <c r="D190" s="2" t="s">
        <v>159</v>
      </c>
      <c r="E190" s="2" t="s">
        <v>331</v>
      </c>
      <c r="F190" s="2" t="s">
        <v>4948</v>
      </c>
      <c r="G190" s="2" t="s">
        <v>4931</v>
      </c>
      <c r="H190" s="2" t="s">
        <v>4937</v>
      </c>
      <c r="I190" s="20">
        <v>98.1</v>
      </c>
      <c r="J190" s="2" t="s">
        <v>4933</v>
      </c>
    </row>
    <row r="191" spans="1:10" ht="15.35" x14ac:dyDescent="0.55000000000000004">
      <c r="A191" s="20">
        <v>14404</v>
      </c>
      <c r="B191" s="2" t="s">
        <v>157</v>
      </c>
      <c r="C191" s="2" t="s">
        <v>158</v>
      </c>
      <c r="D191" s="2" t="s">
        <v>159</v>
      </c>
      <c r="E191" s="2" t="s">
        <v>331</v>
      </c>
      <c r="F191" s="2" t="s">
        <v>4948</v>
      </c>
      <c r="G191" s="2" t="s">
        <v>4939</v>
      </c>
      <c r="H191" s="2" t="s">
        <v>4946</v>
      </c>
      <c r="I191" s="20">
        <v>377.29</v>
      </c>
      <c r="J191" s="2" t="s">
        <v>4941</v>
      </c>
    </row>
    <row r="192" spans="1:10" ht="15.35" x14ac:dyDescent="0.55000000000000004">
      <c r="A192" s="20">
        <v>14405</v>
      </c>
      <c r="B192" s="2" t="s">
        <v>157</v>
      </c>
      <c r="C192" s="2" t="s">
        <v>158</v>
      </c>
      <c r="D192" s="2" t="s">
        <v>159</v>
      </c>
      <c r="E192" s="2" t="s">
        <v>331</v>
      </c>
      <c r="F192" s="2" t="s">
        <v>4948</v>
      </c>
      <c r="G192" s="2" t="s">
        <v>4928</v>
      </c>
      <c r="H192" s="2" t="s">
        <v>4955</v>
      </c>
      <c r="I192" s="20">
        <v>3.16</v>
      </c>
      <c r="J192" s="2" t="s">
        <v>4930</v>
      </c>
    </row>
    <row r="193" spans="1:11" ht="15.35" x14ac:dyDescent="0.55000000000000004">
      <c r="A193" s="20">
        <v>14407</v>
      </c>
      <c r="B193" s="2" t="s">
        <v>157</v>
      </c>
      <c r="C193" s="2" t="s">
        <v>158</v>
      </c>
      <c r="D193" s="2" t="s">
        <v>159</v>
      </c>
      <c r="E193" s="2" t="s">
        <v>331</v>
      </c>
      <c r="F193" s="2" t="s">
        <v>4948</v>
      </c>
      <c r="G193" s="2" t="s">
        <v>4931</v>
      </c>
      <c r="H193" s="2" t="s">
        <v>4952</v>
      </c>
      <c r="I193" s="20">
        <v>100</v>
      </c>
      <c r="J193" s="2" t="s">
        <v>4933</v>
      </c>
    </row>
    <row r="194" spans="1:11" ht="15.35" x14ac:dyDescent="0.55000000000000004">
      <c r="A194" s="20">
        <v>16675</v>
      </c>
      <c r="B194" s="2" t="s">
        <v>157</v>
      </c>
      <c r="C194" s="2" t="s">
        <v>158</v>
      </c>
      <c r="D194" s="2" t="s">
        <v>159</v>
      </c>
      <c r="E194" s="2" t="s">
        <v>331</v>
      </c>
      <c r="F194" s="2" t="s">
        <v>4949</v>
      </c>
      <c r="G194" s="2" t="s">
        <v>4928</v>
      </c>
      <c r="H194" s="2" t="s">
        <v>4934</v>
      </c>
      <c r="I194" s="20">
        <v>85591.29</v>
      </c>
      <c r="J194" s="2" t="s">
        <v>4935</v>
      </c>
    </row>
    <row r="195" spans="1:11" ht="15.35" x14ac:dyDescent="0.55000000000000004">
      <c r="A195" s="20">
        <v>16676</v>
      </c>
      <c r="B195" s="2" t="s">
        <v>157</v>
      </c>
      <c r="C195" s="2" t="s">
        <v>158</v>
      </c>
      <c r="D195" s="2" t="s">
        <v>159</v>
      </c>
      <c r="E195" s="2" t="s">
        <v>331</v>
      </c>
      <c r="F195" s="2" t="s">
        <v>4949</v>
      </c>
      <c r="G195" s="2" t="s">
        <v>4928</v>
      </c>
      <c r="H195" s="2" t="s">
        <v>4936</v>
      </c>
      <c r="I195" s="20">
        <v>82281.990000000005</v>
      </c>
      <c r="J195" s="2" t="s">
        <v>4935</v>
      </c>
    </row>
    <row r="196" spans="1:11" ht="15.35" x14ac:dyDescent="0.55000000000000004">
      <c r="A196" s="20">
        <v>16677</v>
      </c>
      <c r="B196" s="2" t="s">
        <v>157</v>
      </c>
      <c r="C196" s="2" t="s">
        <v>158</v>
      </c>
      <c r="D196" s="2" t="s">
        <v>159</v>
      </c>
      <c r="E196" s="2" t="s">
        <v>331</v>
      </c>
      <c r="F196" s="2" t="s">
        <v>4949</v>
      </c>
      <c r="G196" s="2" t="s">
        <v>4931</v>
      </c>
      <c r="H196" s="2" t="s">
        <v>4937</v>
      </c>
      <c r="I196" s="20">
        <v>96.13</v>
      </c>
      <c r="J196" s="2" t="s">
        <v>4933</v>
      </c>
    </row>
    <row r="197" spans="1:11" ht="15.35" x14ac:dyDescent="0.55000000000000004">
      <c r="A197" s="20">
        <v>16705</v>
      </c>
      <c r="B197" s="2" t="s">
        <v>157</v>
      </c>
      <c r="C197" s="2" t="s">
        <v>158</v>
      </c>
      <c r="D197" s="2" t="s">
        <v>159</v>
      </c>
      <c r="E197" s="2" t="s">
        <v>331</v>
      </c>
      <c r="F197" s="2" t="s">
        <v>4949</v>
      </c>
      <c r="G197" s="2" t="s">
        <v>4931</v>
      </c>
      <c r="H197" s="2" t="s">
        <v>4952</v>
      </c>
      <c r="I197" s="20">
        <v>98.2</v>
      </c>
      <c r="J197" s="2" t="s">
        <v>4933</v>
      </c>
    </row>
    <row r="198" spans="1:11" ht="15.35" x14ac:dyDescent="0.55000000000000004">
      <c r="A198" s="20">
        <v>16706</v>
      </c>
      <c r="B198" s="2" t="s">
        <v>157</v>
      </c>
      <c r="C198" s="2" t="s">
        <v>158</v>
      </c>
      <c r="D198" s="2" t="s">
        <v>159</v>
      </c>
      <c r="E198" s="2" t="s">
        <v>331</v>
      </c>
      <c r="F198" s="2" t="s">
        <v>4949</v>
      </c>
      <c r="G198" s="2" t="s">
        <v>4928</v>
      </c>
      <c r="H198" s="2" t="s">
        <v>4955</v>
      </c>
      <c r="I198" s="20">
        <v>3</v>
      </c>
      <c r="J198" s="2" t="s">
        <v>4930</v>
      </c>
    </row>
    <row r="199" spans="1:11" ht="15.35" x14ac:dyDescent="0.55000000000000004">
      <c r="A199" s="20">
        <v>16707</v>
      </c>
      <c r="B199" s="2" t="s">
        <v>157</v>
      </c>
      <c r="C199" s="2" t="s">
        <v>158</v>
      </c>
      <c r="D199" s="2" t="s">
        <v>159</v>
      </c>
      <c r="E199" s="2" t="s">
        <v>331</v>
      </c>
      <c r="F199" s="2" t="s">
        <v>4949</v>
      </c>
      <c r="G199" s="2" t="s">
        <v>4939</v>
      </c>
      <c r="H199" s="2" t="s">
        <v>4946</v>
      </c>
      <c r="I199" s="20">
        <v>389.79</v>
      </c>
      <c r="J199" s="2" t="s">
        <v>4941</v>
      </c>
    </row>
    <row r="200" spans="1:11" ht="15.35" x14ac:dyDescent="0.55000000000000004">
      <c r="A200" s="20">
        <v>18854</v>
      </c>
      <c r="B200" s="2" t="s">
        <v>157</v>
      </c>
      <c r="C200" s="2" t="s">
        <v>158</v>
      </c>
      <c r="D200" s="2" t="s">
        <v>159</v>
      </c>
      <c r="E200" s="2" t="s">
        <v>331</v>
      </c>
      <c r="F200" s="2" t="s">
        <v>4950</v>
      </c>
      <c r="G200" s="2" t="s">
        <v>4939</v>
      </c>
      <c r="H200" s="2" t="s">
        <v>4946</v>
      </c>
      <c r="I200" s="20">
        <v>374.35</v>
      </c>
      <c r="J200" s="2" t="s">
        <v>4956</v>
      </c>
    </row>
    <row r="201" spans="1:11" ht="15.35" x14ac:dyDescent="0.55000000000000004">
      <c r="A201" s="20">
        <v>18855</v>
      </c>
      <c r="B201" s="2" t="s">
        <v>157</v>
      </c>
      <c r="C201" s="2" t="s">
        <v>158</v>
      </c>
      <c r="D201" s="2" t="s">
        <v>159</v>
      </c>
      <c r="E201" s="2" t="s">
        <v>331</v>
      </c>
      <c r="F201" s="2" t="s">
        <v>4950</v>
      </c>
      <c r="G201" s="2" t="s">
        <v>4928</v>
      </c>
      <c r="H201" s="2" t="s">
        <v>4955</v>
      </c>
      <c r="I201" s="20">
        <v>2.93</v>
      </c>
      <c r="J201" s="2" t="s">
        <v>4930</v>
      </c>
    </row>
    <row r="202" spans="1:11" ht="15.35" x14ac:dyDescent="0.55000000000000004">
      <c r="A202" s="20">
        <v>18856</v>
      </c>
      <c r="B202" s="2" t="s">
        <v>157</v>
      </c>
      <c r="C202" s="2" t="s">
        <v>158</v>
      </c>
      <c r="D202" s="2" t="s">
        <v>159</v>
      </c>
      <c r="E202" s="2" t="s">
        <v>331</v>
      </c>
      <c r="F202" s="2" t="s">
        <v>4950</v>
      </c>
      <c r="G202" s="2" t="s">
        <v>4931</v>
      </c>
      <c r="H202" s="2" t="s">
        <v>4952</v>
      </c>
      <c r="I202" s="20">
        <v>99.53</v>
      </c>
      <c r="J202" s="2" t="s">
        <v>4933</v>
      </c>
    </row>
    <row r="203" spans="1:11" ht="15.35" x14ac:dyDescent="0.55000000000000004">
      <c r="A203" s="20">
        <v>18862</v>
      </c>
      <c r="B203" s="2" t="s">
        <v>157</v>
      </c>
      <c r="C203" s="2" t="s">
        <v>158</v>
      </c>
      <c r="D203" s="2" t="s">
        <v>159</v>
      </c>
      <c r="E203" s="2" t="s">
        <v>331</v>
      </c>
      <c r="F203" s="2" t="s">
        <v>4950</v>
      </c>
      <c r="G203" s="2" t="s">
        <v>4931</v>
      </c>
      <c r="H203" s="2" t="s">
        <v>4937</v>
      </c>
      <c r="I203" s="20">
        <v>97.17</v>
      </c>
      <c r="J203" s="2" t="s">
        <v>4933</v>
      </c>
    </row>
    <row r="204" spans="1:11" ht="15.35" x14ac:dyDescent="0.55000000000000004">
      <c r="A204" s="20">
        <v>18873</v>
      </c>
      <c r="B204" s="2" t="s">
        <v>157</v>
      </c>
      <c r="C204" s="2" t="s">
        <v>158</v>
      </c>
      <c r="D204" s="2" t="s">
        <v>159</v>
      </c>
      <c r="E204" s="2" t="s">
        <v>331</v>
      </c>
      <c r="F204" s="2" t="s">
        <v>4950</v>
      </c>
      <c r="G204" s="2" t="s">
        <v>4928</v>
      </c>
      <c r="H204" s="2" t="s">
        <v>4936</v>
      </c>
      <c r="I204" s="20">
        <v>81271.94</v>
      </c>
      <c r="J204" s="2" t="s">
        <v>4935</v>
      </c>
    </row>
    <row r="205" spans="1:11" ht="15.35" x14ac:dyDescent="0.55000000000000004">
      <c r="A205" s="20">
        <v>18874</v>
      </c>
      <c r="B205" s="2" t="s">
        <v>157</v>
      </c>
      <c r="C205" s="2" t="s">
        <v>158</v>
      </c>
      <c r="D205" s="2" t="s">
        <v>159</v>
      </c>
      <c r="E205" s="2" t="s">
        <v>331</v>
      </c>
      <c r="F205" s="2" t="s">
        <v>4950</v>
      </c>
      <c r="G205" s="2" t="s">
        <v>4928</v>
      </c>
      <c r="H205" s="2" t="s">
        <v>4934</v>
      </c>
      <c r="I205" s="20">
        <v>83643.17</v>
      </c>
      <c r="J205" s="2" t="s">
        <v>4935</v>
      </c>
    </row>
    <row r="206" spans="1:11" ht="15.35" x14ac:dyDescent="0.55000000000000004">
      <c r="A206" s="20">
        <v>6945</v>
      </c>
      <c r="B206" s="2" t="s">
        <v>161</v>
      </c>
      <c r="C206" s="2" t="s">
        <v>162</v>
      </c>
      <c r="D206" s="2" t="s">
        <v>163</v>
      </c>
      <c r="E206" s="2" t="s">
        <v>339</v>
      </c>
      <c r="F206" s="2" t="s">
        <v>4957</v>
      </c>
      <c r="G206" s="2" t="s">
        <v>4939</v>
      </c>
      <c r="H206" s="2" t="s">
        <v>4958</v>
      </c>
      <c r="I206" s="20">
        <v>165</v>
      </c>
      <c r="J206" s="2" t="s">
        <v>4941</v>
      </c>
      <c r="K206" s="2" t="s">
        <v>4959</v>
      </c>
    </row>
    <row r="207" spans="1:11" ht="15.35" x14ac:dyDescent="0.55000000000000004">
      <c r="A207" s="20">
        <v>7462</v>
      </c>
      <c r="B207" s="2" t="s">
        <v>161</v>
      </c>
      <c r="C207" s="2" t="s">
        <v>162</v>
      </c>
      <c r="D207" s="2" t="s">
        <v>163</v>
      </c>
      <c r="E207" s="2" t="s">
        <v>339</v>
      </c>
      <c r="F207" s="2" t="s">
        <v>4957</v>
      </c>
      <c r="G207" s="2" t="s">
        <v>4931</v>
      </c>
      <c r="H207" s="2" t="s">
        <v>4960</v>
      </c>
      <c r="I207" s="20">
        <v>100</v>
      </c>
      <c r="J207" s="2" t="s">
        <v>4933</v>
      </c>
      <c r="K207" s="2" t="s">
        <v>4959</v>
      </c>
    </row>
    <row r="208" spans="1:11" ht="15.35" x14ac:dyDescent="0.55000000000000004">
      <c r="A208" s="20">
        <v>7469</v>
      </c>
      <c r="B208" s="2" t="s">
        <v>161</v>
      </c>
      <c r="C208" s="2" t="s">
        <v>162</v>
      </c>
      <c r="D208" s="2" t="s">
        <v>163</v>
      </c>
      <c r="E208" s="2" t="s">
        <v>339</v>
      </c>
      <c r="F208" s="2" t="s">
        <v>4957</v>
      </c>
      <c r="G208" s="2" t="s">
        <v>4931</v>
      </c>
      <c r="H208" s="2" t="s">
        <v>4960</v>
      </c>
      <c r="I208" s="20">
        <v>98</v>
      </c>
      <c r="J208" s="2" t="s">
        <v>4933</v>
      </c>
      <c r="K208" s="2" t="s">
        <v>4961</v>
      </c>
    </row>
    <row r="209" spans="1:11" ht="15.35" x14ac:dyDescent="0.55000000000000004">
      <c r="A209" s="20">
        <v>7472</v>
      </c>
      <c r="B209" s="2" t="s">
        <v>161</v>
      </c>
      <c r="C209" s="2" t="s">
        <v>162</v>
      </c>
      <c r="D209" s="2" t="s">
        <v>163</v>
      </c>
      <c r="E209" s="2" t="s">
        <v>339</v>
      </c>
      <c r="F209" s="2" t="s">
        <v>4957</v>
      </c>
      <c r="G209" s="2" t="s">
        <v>4931</v>
      </c>
      <c r="H209" s="2" t="s">
        <v>4960</v>
      </c>
      <c r="I209" s="20">
        <v>99</v>
      </c>
      <c r="J209" s="2" t="s">
        <v>4933</v>
      </c>
      <c r="K209" s="2" t="s">
        <v>4962</v>
      </c>
    </row>
    <row r="210" spans="1:11" ht="15.35" x14ac:dyDescent="0.55000000000000004">
      <c r="A210" s="20">
        <v>7474</v>
      </c>
      <c r="B210" s="2" t="s">
        <v>161</v>
      </c>
      <c r="C210" s="2" t="s">
        <v>162</v>
      </c>
      <c r="D210" s="2" t="s">
        <v>163</v>
      </c>
      <c r="E210" s="2" t="s">
        <v>339</v>
      </c>
      <c r="F210" s="2" t="s">
        <v>4957</v>
      </c>
      <c r="G210" s="2" t="s">
        <v>4931</v>
      </c>
      <c r="H210" s="2" t="s">
        <v>4960</v>
      </c>
      <c r="I210" s="20">
        <v>100</v>
      </c>
      <c r="J210" s="2" t="s">
        <v>4933</v>
      </c>
      <c r="K210" s="2" t="s">
        <v>4963</v>
      </c>
    </row>
    <row r="211" spans="1:11" ht="15.35" x14ac:dyDescent="0.55000000000000004">
      <c r="A211" s="20">
        <v>7489</v>
      </c>
      <c r="B211" s="2" t="s">
        <v>161</v>
      </c>
      <c r="C211" s="2" t="s">
        <v>162</v>
      </c>
      <c r="D211" s="2" t="s">
        <v>163</v>
      </c>
      <c r="E211" s="2" t="s">
        <v>339</v>
      </c>
      <c r="F211" s="2" t="s">
        <v>4957</v>
      </c>
      <c r="G211" s="2" t="s">
        <v>4931</v>
      </c>
      <c r="H211" s="2" t="s">
        <v>4960</v>
      </c>
      <c r="I211" s="20">
        <v>100</v>
      </c>
      <c r="J211" s="2" t="s">
        <v>4933</v>
      </c>
      <c r="K211" s="2" t="s">
        <v>4964</v>
      </c>
    </row>
    <row r="212" spans="1:11" ht="15.35" x14ac:dyDescent="0.55000000000000004">
      <c r="A212" s="20">
        <v>7490</v>
      </c>
      <c r="B212" s="2" t="s">
        <v>161</v>
      </c>
      <c r="C212" s="2" t="s">
        <v>162</v>
      </c>
      <c r="D212" s="2" t="s">
        <v>163</v>
      </c>
      <c r="E212" s="2" t="s">
        <v>339</v>
      </c>
      <c r="F212" s="2" t="s">
        <v>4957</v>
      </c>
      <c r="G212" s="2" t="s">
        <v>4931</v>
      </c>
      <c r="H212" s="2" t="s">
        <v>4960</v>
      </c>
      <c r="I212" s="20">
        <v>73</v>
      </c>
      <c r="J212" s="2" t="s">
        <v>4933</v>
      </c>
      <c r="K212" s="2" t="s">
        <v>4965</v>
      </c>
    </row>
    <row r="213" spans="1:11" ht="15.35" x14ac:dyDescent="0.55000000000000004">
      <c r="A213" s="20">
        <v>7554</v>
      </c>
      <c r="B213" s="2" t="s">
        <v>161</v>
      </c>
      <c r="C213" s="2" t="s">
        <v>162</v>
      </c>
      <c r="D213" s="2" t="s">
        <v>163</v>
      </c>
      <c r="E213" s="2" t="s">
        <v>339</v>
      </c>
      <c r="F213" s="2" t="s">
        <v>4957</v>
      </c>
      <c r="G213" s="2" t="s">
        <v>4931</v>
      </c>
      <c r="H213" s="2" t="s">
        <v>4960</v>
      </c>
      <c r="I213" s="20">
        <v>96</v>
      </c>
      <c r="J213" s="2" t="s">
        <v>4933</v>
      </c>
      <c r="K213" s="2" t="s">
        <v>4966</v>
      </c>
    </row>
    <row r="214" spans="1:11" ht="15.35" x14ac:dyDescent="0.55000000000000004">
      <c r="A214" s="20">
        <v>7556</v>
      </c>
      <c r="B214" s="2" t="s">
        <v>161</v>
      </c>
      <c r="C214" s="2" t="s">
        <v>162</v>
      </c>
      <c r="D214" s="2" t="s">
        <v>163</v>
      </c>
      <c r="E214" s="2" t="s">
        <v>339</v>
      </c>
      <c r="F214" s="2" t="s">
        <v>4957</v>
      </c>
      <c r="G214" s="2" t="s">
        <v>4939</v>
      </c>
      <c r="H214" s="2" t="s">
        <v>4958</v>
      </c>
      <c r="I214" s="20">
        <v>31</v>
      </c>
      <c r="J214" s="2" t="s">
        <v>4941</v>
      </c>
      <c r="K214" s="2" t="s">
        <v>4967</v>
      </c>
    </row>
    <row r="215" spans="1:11" ht="15.35" x14ac:dyDescent="0.55000000000000004">
      <c r="A215" s="20">
        <v>7582</v>
      </c>
      <c r="B215" s="2" t="s">
        <v>161</v>
      </c>
      <c r="C215" s="2" t="s">
        <v>162</v>
      </c>
      <c r="D215" s="2" t="s">
        <v>163</v>
      </c>
      <c r="E215" s="2" t="s">
        <v>339</v>
      </c>
      <c r="F215" s="2" t="s">
        <v>4957</v>
      </c>
      <c r="G215" s="2" t="s">
        <v>4939</v>
      </c>
      <c r="H215" s="2" t="s">
        <v>4958</v>
      </c>
      <c r="I215" s="20">
        <v>31</v>
      </c>
      <c r="J215" s="2" t="s">
        <v>4941</v>
      </c>
      <c r="K215" s="2" t="s">
        <v>4965</v>
      </c>
    </row>
    <row r="216" spans="1:11" ht="15.35" x14ac:dyDescent="0.55000000000000004">
      <c r="A216" s="20">
        <v>7587</v>
      </c>
      <c r="B216" s="2" t="s">
        <v>161</v>
      </c>
      <c r="C216" s="2" t="s">
        <v>162</v>
      </c>
      <c r="D216" s="2" t="s">
        <v>163</v>
      </c>
      <c r="E216" s="2" t="s">
        <v>339</v>
      </c>
      <c r="F216" s="2" t="s">
        <v>4957</v>
      </c>
      <c r="G216" s="2" t="s">
        <v>4939</v>
      </c>
      <c r="H216" s="2" t="s">
        <v>4958</v>
      </c>
      <c r="I216" s="20">
        <v>120</v>
      </c>
      <c r="J216" s="2" t="s">
        <v>4941</v>
      </c>
      <c r="K216" s="2" t="s">
        <v>4964</v>
      </c>
    </row>
    <row r="217" spans="1:11" ht="15.35" x14ac:dyDescent="0.55000000000000004">
      <c r="A217" s="20">
        <v>7592</v>
      </c>
      <c r="B217" s="2" t="s">
        <v>161</v>
      </c>
      <c r="C217" s="2" t="s">
        <v>162</v>
      </c>
      <c r="D217" s="2" t="s">
        <v>163</v>
      </c>
      <c r="E217" s="2" t="s">
        <v>339</v>
      </c>
      <c r="F217" s="2" t="s">
        <v>4957</v>
      </c>
      <c r="G217" s="2" t="s">
        <v>4939</v>
      </c>
      <c r="H217" s="2" t="s">
        <v>4958</v>
      </c>
      <c r="I217" s="20">
        <v>228</v>
      </c>
      <c r="J217" s="2" t="s">
        <v>4941</v>
      </c>
      <c r="K217" s="2" t="s">
        <v>4963</v>
      </c>
    </row>
    <row r="218" spans="1:11" ht="15.35" x14ac:dyDescent="0.55000000000000004">
      <c r="A218" s="20">
        <v>7608</v>
      </c>
      <c r="B218" s="2" t="s">
        <v>161</v>
      </c>
      <c r="C218" s="2" t="s">
        <v>162</v>
      </c>
      <c r="D218" s="2" t="s">
        <v>163</v>
      </c>
      <c r="E218" s="2" t="s">
        <v>339</v>
      </c>
      <c r="F218" s="2" t="s">
        <v>4957</v>
      </c>
      <c r="G218" s="2" t="s">
        <v>4939</v>
      </c>
      <c r="H218" s="2" t="s">
        <v>4958</v>
      </c>
      <c r="I218" s="20">
        <v>148</v>
      </c>
      <c r="J218" s="2" t="s">
        <v>4941</v>
      </c>
      <c r="K218" s="2" t="s">
        <v>4966</v>
      </c>
    </row>
    <row r="219" spans="1:11" ht="15.35" x14ac:dyDescent="0.55000000000000004">
      <c r="A219" s="20">
        <v>7612</v>
      </c>
      <c r="B219" s="2" t="s">
        <v>161</v>
      </c>
      <c r="C219" s="2" t="s">
        <v>162</v>
      </c>
      <c r="D219" s="2" t="s">
        <v>163</v>
      </c>
      <c r="E219" s="2" t="s">
        <v>339</v>
      </c>
      <c r="F219" s="2" t="s">
        <v>4957</v>
      </c>
      <c r="G219" s="2" t="s">
        <v>4939</v>
      </c>
      <c r="H219" s="2" t="s">
        <v>4958</v>
      </c>
      <c r="I219" s="20">
        <v>212</v>
      </c>
      <c r="J219" s="2" t="s">
        <v>4941</v>
      </c>
      <c r="K219" s="2" t="s">
        <v>4962</v>
      </c>
    </row>
    <row r="220" spans="1:11" ht="15.35" x14ac:dyDescent="0.55000000000000004">
      <c r="A220" s="20">
        <v>7616</v>
      </c>
      <c r="B220" s="2" t="s">
        <v>161</v>
      </c>
      <c r="C220" s="2" t="s">
        <v>162</v>
      </c>
      <c r="D220" s="2" t="s">
        <v>163</v>
      </c>
      <c r="E220" s="2" t="s">
        <v>339</v>
      </c>
      <c r="F220" s="2" t="s">
        <v>4957</v>
      </c>
      <c r="G220" s="2" t="s">
        <v>4931</v>
      </c>
      <c r="H220" s="2" t="s">
        <v>4968</v>
      </c>
      <c r="I220" s="20">
        <v>92</v>
      </c>
      <c r="J220" s="2" t="s">
        <v>4933</v>
      </c>
    </row>
    <row r="221" spans="1:11" ht="15.35" x14ac:dyDescent="0.55000000000000004">
      <c r="A221" s="20">
        <v>7622</v>
      </c>
      <c r="B221" s="2" t="s">
        <v>161</v>
      </c>
      <c r="C221" s="2" t="s">
        <v>162</v>
      </c>
      <c r="D221" s="2" t="s">
        <v>163</v>
      </c>
      <c r="E221" s="2" t="s">
        <v>339</v>
      </c>
      <c r="F221" s="2" t="s">
        <v>4957</v>
      </c>
      <c r="G221" s="2" t="s">
        <v>4931</v>
      </c>
      <c r="H221" s="2" t="s">
        <v>4969</v>
      </c>
      <c r="I221" s="20">
        <v>0.85</v>
      </c>
      <c r="J221" s="2" t="s">
        <v>4933</v>
      </c>
    </row>
    <row r="222" spans="1:11" ht="15.35" x14ac:dyDescent="0.55000000000000004">
      <c r="A222" s="20">
        <v>7626</v>
      </c>
      <c r="B222" s="2" t="s">
        <v>161</v>
      </c>
      <c r="C222" s="2" t="s">
        <v>162</v>
      </c>
      <c r="D222" s="2" t="s">
        <v>163</v>
      </c>
      <c r="E222" s="2" t="s">
        <v>339</v>
      </c>
      <c r="F222" s="2" t="s">
        <v>4957</v>
      </c>
      <c r="G222" s="2" t="s">
        <v>4931</v>
      </c>
      <c r="H222" s="2" t="s">
        <v>4960</v>
      </c>
      <c r="I222" s="20">
        <v>95</v>
      </c>
      <c r="J222" s="2" t="s">
        <v>4933</v>
      </c>
      <c r="K222" s="2" t="s">
        <v>4967</v>
      </c>
    </row>
    <row r="223" spans="1:11" ht="15.35" x14ac:dyDescent="0.55000000000000004">
      <c r="A223" s="20">
        <v>7632</v>
      </c>
      <c r="B223" s="2" t="s">
        <v>161</v>
      </c>
      <c r="C223" s="2" t="s">
        <v>162</v>
      </c>
      <c r="D223" s="2" t="s">
        <v>163</v>
      </c>
      <c r="E223" s="2" t="s">
        <v>339</v>
      </c>
      <c r="F223" s="2" t="s">
        <v>4957</v>
      </c>
      <c r="G223" s="2" t="s">
        <v>4928</v>
      </c>
      <c r="H223" s="2" t="s">
        <v>4970</v>
      </c>
      <c r="I223" s="20">
        <v>40369.800000000003</v>
      </c>
      <c r="J223" s="2" t="s">
        <v>4935</v>
      </c>
    </row>
    <row r="224" spans="1:11" ht="15.35" x14ac:dyDescent="0.55000000000000004">
      <c r="A224" s="20">
        <v>7635</v>
      </c>
      <c r="B224" s="2" t="s">
        <v>161</v>
      </c>
      <c r="C224" s="2" t="s">
        <v>162</v>
      </c>
      <c r="D224" s="2" t="s">
        <v>163</v>
      </c>
      <c r="E224" s="2" t="s">
        <v>339</v>
      </c>
      <c r="F224" s="2" t="s">
        <v>4957</v>
      </c>
      <c r="G224" s="2" t="s">
        <v>4928</v>
      </c>
      <c r="H224" s="2" t="s">
        <v>4971</v>
      </c>
      <c r="I224" s="20">
        <v>342.6</v>
      </c>
      <c r="J224" s="2" t="s">
        <v>4935</v>
      </c>
    </row>
    <row r="225" spans="1:11" ht="15.35" x14ac:dyDescent="0.55000000000000004">
      <c r="A225" s="20">
        <v>7647</v>
      </c>
      <c r="B225" s="2" t="s">
        <v>161</v>
      </c>
      <c r="C225" s="2" t="s">
        <v>162</v>
      </c>
      <c r="D225" s="2" t="s">
        <v>163</v>
      </c>
      <c r="E225" s="2" t="s">
        <v>339</v>
      </c>
      <c r="F225" s="2" t="s">
        <v>4957</v>
      </c>
      <c r="G225" s="2" t="s">
        <v>4939</v>
      </c>
      <c r="H225" s="2" t="s">
        <v>4958</v>
      </c>
      <c r="I225" s="20">
        <v>198</v>
      </c>
      <c r="J225" s="2" t="s">
        <v>4941</v>
      </c>
      <c r="K225" s="2" t="s">
        <v>4961</v>
      </c>
    </row>
    <row r="226" spans="1:11" ht="15.35" x14ac:dyDescent="0.55000000000000004">
      <c r="A226" s="20">
        <v>7664</v>
      </c>
      <c r="B226" s="2" t="s">
        <v>161</v>
      </c>
      <c r="C226" s="2" t="s">
        <v>162</v>
      </c>
      <c r="D226" s="2" t="s">
        <v>163</v>
      </c>
      <c r="E226" s="2" t="s">
        <v>339</v>
      </c>
      <c r="F226" s="2" t="s">
        <v>4957</v>
      </c>
      <c r="G226" s="2" t="s">
        <v>4928</v>
      </c>
      <c r="H226" s="2" t="s">
        <v>4972</v>
      </c>
      <c r="I226" s="20">
        <v>14013.59</v>
      </c>
      <c r="J226" s="2" t="s">
        <v>4935</v>
      </c>
    </row>
    <row r="227" spans="1:11" ht="15.35" x14ac:dyDescent="0.55000000000000004">
      <c r="A227" s="20">
        <v>7669</v>
      </c>
      <c r="B227" s="2" t="s">
        <v>161</v>
      </c>
      <c r="C227" s="2" t="s">
        <v>162</v>
      </c>
      <c r="D227" s="2" t="s">
        <v>163</v>
      </c>
      <c r="E227" s="2" t="s">
        <v>339</v>
      </c>
      <c r="F227" s="2" t="s">
        <v>4957</v>
      </c>
      <c r="G227" s="2" t="s">
        <v>4928</v>
      </c>
      <c r="H227" s="2" t="s">
        <v>4973</v>
      </c>
      <c r="I227" s="20">
        <v>15232.56</v>
      </c>
      <c r="J227" s="2" t="s">
        <v>4935</v>
      </c>
    </row>
    <row r="228" spans="1:11" ht="15.35" x14ac:dyDescent="0.55000000000000004">
      <c r="A228" s="20">
        <v>7465</v>
      </c>
      <c r="B228" s="2" t="s">
        <v>161</v>
      </c>
      <c r="C228" s="2" t="s">
        <v>162</v>
      </c>
      <c r="D228" s="2" t="s">
        <v>163</v>
      </c>
      <c r="E228" s="2" t="s">
        <v>339</v>
      </c>
      <c r="F228" s="2" t="s">
        <v>4974</v>
      </c>
      <c r="G228" s="2" t="s">
        <v>4931</v>
      </c>
      <c r="H228" s="2" t="s">
        <v>4960</v>
      </c>
      <c r="I228" s="20">
        <v>100</v>
      </c>
      <c r="J228" s="2" t="s">
        <v>4933</v>
      </c>
      <c r="K228" s="2" t="s">
        <v>4962</v>
      </c>
    </row>
    <row r="229" spans="1:11" ht="15.35" x14ac:dyDescent="0.55000000000000004">
      <c r="A229" s="20">
        <v>7468</v>
      </c>
      <c r="B229" s="2" t="s">
        <v>161</v>
      </c>
      <c r="C229" s="2" t="s">
        <v>162</v>
      </c>
      <c r="D229" s="2" t="s">
        <v>163</v>
      </c>
      <c r="E229" s="2" t="s">
        <v>339</v>
      </c>
      <c r="F229" s="2" t="s">
        <v>4974</v>
      </c>
      <c r="G229" s="2" t="s">
        <v>4931</v>
      </c>
      <c r="H229" s="2" t="s">
        <v>4960</v>
      </c>
      <c r="I229" s="20">
        <v>99</v>
      </c>
      <c r="J229" s="2" t="s">
        <v>4933</v>
      </c>
      <c r="K229" s="2" t="s">
        <v>4961</v>
      </c>
    </row>
    <row r="230" spans="1:11" ht="15.35" x14ac:dyDescent="0.55000000000000004">
      <c r="A230" s="20">
        <v>7477</v>
      </c>
      <c r="B230" s="2" t="s">
        <v>161</v>
      </c>
      <c r="C230" s="2" t="s">
        <v>162</v>
      </c>
      <c r="D230" s="2" t="s">
        <v>163</v>
      </c>
      <c r="E230" s="2" t="s">
        <v>339</v>
      </c>
      <c r="F230" s="2" t="s">
        <v>4974</v>
      </c>
      <c r="G230" s="2" t="s">
        <v>4931</v>
      </c>
      <c r="H230" s="2" t="s">
        <v>4960</v>
      </c>
      <c r="I230" s="20">
        <v>100</v>
      </c>
      <c r="J230" s="2" t="s">
        <v>4933</v>
      </c>
      <c r="K230" s="2" t="s">
        <v>4965</v>
      </c>
    </row>
    <row r="231" spans="1:11" ht="15.35" x14ac:dyDescent="0.55000000000000004">
      <c r="A231" s="20">
        <v>7483</v>
      </c>
      <c r="B231" s="2" t="s">
        <v>161</v>
      </c>
      <c r="C231" s="2" t="s">
        <v>162</v>
      </c>
      <c r="D231" s="2" t="s">
        <v>163</v>
      </c>
      <c r="E231" s="2" t="s">
        <v>339</v>
      </c>
      <c r="F231" s="2" t="s">
        <v>4974</v>
      </c>
      <c r="G231" s="2" t="s">
        <v>4931</v>
      </c>
      <c r="H231" s="2" t="s">
        <v>4960</v>
      </c>
      <c r="I231" s="20">
        <v>100</v>
      </c>
      <c r="J231" s="2" t="s">
        <v>4933</v>
      </c>
      <c r="K231" s="2" t="s">
        <v>4963</v>
      </c>
    </row>
    <row r="232" spans="1:11" ht="15.35" x14ac:dyDescent="0.55000000000000004">
      <c r="A232" s="20">
        <v>7484</v>
      </c>
      <c r="B232" s="2" t="s">
        <v>161</v>
      </c>
      <c r="C232" s="2" t="s">
        <v>162</v>
      </c>
      <c r="D232" s="2" t="s">
        <v>163</v>
      </c>
      <c r="E232" s="2" t="s">
        <v>339</v>
      </c>
      <c r="F232" s="2" t="s">
        <v>4974</v>
      </c>
      <c r="G232" s="2" t="s">
        <v>4931</v>
      </c>
      <c r="H232" s="2" t="s">
        <v>4960</v>
      </c>
      <c r="I232" s="20">
        <v>100</v>
      </c>
      <c r="J232" s="2" t="s">
        <v>4933</v>
      </c>
      <c r="K232" s="2" t="s">
        <v>4959</v>
      </c>
    </row>
    <row r="233" spans="1:11" ht="15.35" x14ac:dyDescent="0.55000000000000004">
      <c r="A233" s="20">
        <v>7488</v>
      </c>
      <c r="B233" s="2" t="s">
        <v>161</v>
      </c>
      <c r="C233" s="2" t="s">
        <v>162</v>
      </c>
      <c r="D233" s="2" t="s">
        <v>163</v>
      </c>
      <c r="E233" s="2" t="s">
        <v>339</v>
      </c>
      <c r="F233" s="2" t="s">
        <v>4974</v>
      </c>
      <c r="G233" s="2" t="s">
        <v>4931</v>
      </c>
      <c r="H233" s="2" t="s">
        <v>4960</v>
      </c>
      <c r="I233" s="20">
        <v>100</v>
      </c>
      <c r="J233" s="2" t="s">
        <v>4933</v>
      </c>
      <c r="K233" s="2" t="s">
        <v>4964</v>
      </c>
    </row>
    <row r="234" spans="1:11" ht="15.35" x14ac:dyDescent="0.55000000000000004">
      <c r="A234" s="20">
        <v>7561</v>
      </c>
      <c r="B234" s="2" t="s">
        <v>161</v>
      </c>
      <c r="C234" s="2" t="s">
        <v>162</v>
      </c>
      <c r="D234" s="2" t="s">
        <v>163</v>
      </c>
      <c r="E234" s="2" t="s">
        <v>339</v>
      </c>
      <c r="F234" s="2" t="s">
        <v>4974</v>
      </c>
      <c r="G234" s="2" t="s">
        <v>4975</v>
      </c>
      <c r="H234" s="2" t="s">
        <v>4976</v>
      </c>
      <c r="I234" s="20">
        <v>827.36</v>
      </c>
      <c r="J234" s="2" t="s">
        <v>4977</v>
      </c>
    </row>
    <row r="235" spans="1:11" ht="15.35" x14ac:dyDescent="0.55000000000000004">
      <c r="A235" s="20">
        <v>7565</v>
      </c>
      <c r="B235" s="2" t="s">
        <v>161</v>
      </c>
      <c r="C235" s="2" t="s">
        <v>162</v>
      </c>
      <c r="D235" s="2" t="s">
        <v>163</v>
      </c>
      <c r="E235" s="2" t="s">
        <v>339</v>
      </c>
      <c r="F235" s="2" t="s">
        <v>4974</v>
      </c>
      <c r="G235" s="2" t="s">
        <v>4975</v>
      </c>
      <c r="H235" s="2" t="s">
        <v>4978</v>
      </c>
      <c r="I235" s="20">
        <v>6809.96</v>
      </c>
      <c r="J235" s="2" t="s">
        <v>4977</v>
      </c>
    </row>
    <row r="236" spans="1:11" ht="15.35" x14ac:dyDescent="0.55000000000000004">
      <c r="A236" s="20">
        <v>7580</v>
      </c>
      <c r="B236" s="2" t="s">
        <v>161</v>
      </c>
      <c r="C236" s="2" t="s">
        <v>162</v>
      </c>
      <c r="D236" s="2" t="s">
        <v>163</v>
      </c>
      <c r="E236" s="2" t="s">
        <v>339</v>
      </c>
      <c r="F236" s="2" t="s">
        <v>4974</v>
      </c>
      <c r="G236" s="2" t="s">
        <v>4939</v>
      </c>
      <c r="H236" s="2" t="s">
        <v>4958</v>
      </c>
      <c r="I236" s="20">
        <v>233</v>
      </c>
      <c r="J236" s="2" t="s">
        <v>4941</v>
      </c>
      <c r="K236" s="2" t="s">
        <v>4962</v>
      </c>
    </row>
    <row r="237" spans="1:11" ht="15.35" x14ac:dyDescent="0.55000000000000004">
      <c r="A237" s="20">
        <v>7583</v>
      </c>
      <c r="B237" s="2" t="s">
        <v>161</v>
      </c>
      <c r="C237" s="2" t="s">
        <v>162</v>
      </c>
      <c r="D237" s="2" t="s">
        <v>163</v>
      </c>
      <c r="E237" s="2" t="s">
        <v>339</v>
      </c>
      <c r="F237" s="2" t="s">
        <v>4974</v>
      </c>
      <c r="G237" s="2" t="s">
        <v>4939</v>
      </c>
      <c r="H237" s="2" t="s">
        <v>4958</v>
      </c>
      <c r="I237" s="20">
        <v>41</v>
      </c>
      <c r="J237" s="2" t="s">
        <v>4941</v>
      </c>
      <c r="K237" s="2" t="s">
        <v>4965</v>
      </c>
    </row>
    <row r="238" spans="1:11" ht="15.35" x14ac:dyDescent="0.55000000000000004">
      <c r="A238" s="20">
        <v>7586</v>
      </c>
      <c r="B238" s="2" t="s">
        <v>161</v>
      </c>
      <c r="C238" s="2" t="s">
        <v>162</v>
      </c>
      <c r="D238" s="2" t="s">
        <v>163</v>
      </c>
      <c r="E238" s="2" t="s">
        <v>339</v>
      </c>
      <c r="F238" s="2" t="s">
        <v>4974</v>
      </c>
      <c r="G238" s="2" t="s">
        <v>4939</v>
      </c>
      <c r="H238" s="2" t="s">
        <v>4958</v>
      </c>
      <c r="I238" s="20">
        <v>236</v>
      </c>
      <c r="J238" s="2" t="s">
        <v>4941</v>
      </c>
      <c r="K238" s="2" t="s">
        <v>4964</v>
      </c>
    </row>
    <row r="239" spans="1:11" ht="15.35" x14ac:dyDescent="0.55000000000000004">
      <c r="A239" s="20">
        <v>7591</v>
      </c>
      <c r="B239" s="2" t="s">
        <v>161</v>
      </c>
      <c r="C239" s="2" t="s">
        <v>162</v>
      </c>
      <c r="D239" s="2" t="s">
        <v>163</v>
      </c>
      <c r="E239" s="2" t="s">
        <v>339</v>
      </c>
      <c r="F239" s="2" t="s">
        <v>4974</v>
      </c>
      <c r="G239" s="2" t="s">
        <v>4939</v>
      </c>
      <c r="H239" s="2" t="s">
        <v>4958</v>
      </c>
      <c r="I239" s="20">
        <v>241</v>
      </c>
      <c r="J239" s="2" t="s">
        <v>4941</v>
      </c>
      <c r="K239" s="2" t="s">
        <v>4963</v>
      </c>
    </row>
    <row r="240" spans="1:11" ht="15.35" x14ac:dyDescent="0.55000000000000004">
      <c r="A240" s="20">
        <v>7596</v>
      </c>
      <c r="B240" s="2" t="s">
        <v>161</v>
      </c>
      <c r="C240" s="2" t="s">
        <v>162</v>
      </c>
      <c r="D240" s="2" t="s">
        <v>163</v>
      </c>
      <c r="E240" s="2" t="s">
        <v>339</v>
      </c>
      <c r="F240" s="2" t="s">
        <v>4974</v>
      </c>
      <c r="G240" s="2" t="s">
        <v>4939</v>
      </c>
      <c r="H240" s="2" t="s">
        <v>4958</v>
      </c>
      <c r="I240" s="20">
        <v>179</v>
      </c>
      <c r="J240" s="2" t="s">
        <v>4941</v>
      </c>
      <c r="K240" s="2" t="s">
        <v>4966</v>
      </c>
    </row>
    <row r="241" spans="1:11" ht="15.35" x14ac:dyDescent="0.55000000000000004">
      <c r="A241" s="20">
        <v>7597</v>
      </c>
      <c r="B241" s="2" t="s">
        <v>161</v>
      </c>
      <c r="C241" s="2" t="s">
        <v>162</v>
      </c>
      <c r="D241" s="2" t="s">
        <v>163</v>
      </c>
      <c r="E241" s="2" t="s">
        <v>339</v>
      </c>
      <c r="F241" s="2" t="s">
        <v>4974</v>
      </c>
      <c r="G241" s="2" t="s">
        <v>4939</v>
      </c>
      <c r="H241" s="2" t="s">
        <v>4958</v>
      </c>
      <c r="I241" s="20">
        <v>159</v>
      </c>
      <c r="J241" s="2" t="s">
        <v>4941</v>
      </c>
      <c r="K241" s="2" t="s">
        <v>4959</v>
      </c>
    </row>
    <row r="242" spans="1:11" ht="15.35" x14ac:dyDescent="0.55000000000000004">
      <c r="A242" s="20">
        <v>7609</v>
      </c>
      <c r="B242" s="2" t="s">
        <v>161</v>
      </c>
      <c r="C242" s="2" t="s">
        <v>162</v>
      </c>
      <c r="D242" s="2" t="s">
        <v>163</v>
      </c>
      <c r="E242" s="2" t="s">
        <v>339</v>
      </c>
      <c r="F242" s="2" t="s">
        <v>4974</v>
      </c>
      <c r="G242" s="2" t="s">
        <v>4939</v>
      </c>
      <c r="H242" s="2" t="s">
        <v>4958</v>
      </c>
      <c r="I242" s="20">
        <v>37</v>
      </c>
      <c r="J242" s="2" t="s">
        <v>4941</v>
      </c>
      <c r="K242" s="2" t="s">
        <v>4967</v>
      </c>
    </row>
    <row r="243" spans="1:11" ht="15.35" x14ac:dyDescent="0.55000000000000004">
      <c r="A243" s="20">
        <v>7617</v>
      </c>
      <c r="B243" s="2" t="s">
        <v>161</v>
      </c>
      <c r="C243" s="2" t="s">
        <v>162</v>
      </c>
      <c r="D243" s="2" t="s">
        <v>163</v>
      </c>
      <c r="E243" s="2" t="s">
        <v>339</v>
      </c>
      <c r="F243" s="2" t="s">
        <v>4974</v>
      </c>
      <c r="G243" s="2" t="s">
        <v>4931</v>
      </c>
      <c r="H243" s="2" t="s">
        <v>4968</v>
      </c>
      <c r="I243" s="20">
        <v>90.07</v>
      </c>
      <c r="J243" s="2" t="s">
        <v>4933</v>
      </c>
    </row>
    <row r="244" spans="1:11" ht="15.35" x14ac:dyDescent="0.55000000000000004">
      <c r="A244" s="20">
        <v>7621</v>
      </c>
      <c r="B244" s="2" t="s">
        <v>161</v>
      </c>
      <c r="C244" s="2" t="s">
        <v>162</v>
      </c>
      <c r="D244" s="2" t="s">
        <v>163</v>
      </c>
      <c r="E244" s="2" t="s">
        <v>339</v>
      </c>
      <c r="F244" s="2" t="s">
        <v>4974</v>
      </c>
      <c r="G244" s="2" t="s">
        <v>4931</v>
      </c>
      <c r="H244" s="2" t="s">
        <v>4969</v>
      </c>
      <c r="I244" s="20">
        <v>0.22</v>
      </c>
      <c r="J244" s="2" t="s">
        <v>4933</v>
      </c>
    </row>
    <row r="245" spans="1:11" ht="15.35" x14ac:dyDescent="0.55000000000000004">
      <c r="A245" s="20">
        <v>7627</v>
      </c>
      <c r="B245" s="2" t="s">
        <v>161</v>
      </c>
      <c r="C245" s="2" t="s">
        <v>162</v>
      </c>
      <c r="D245" s="2" t="s">
        <v>163</v>
      </c>
      <c r="E245" s="2" t="s">
        <v>339</v>
      </c>
      <c r="F245" s="2" t="s">
        <v>4974</v>
      </c>
      <c r="G245" s="2" t="s">
        <v>4928</v>
      </c>
      <c r="H245" s="2" t="s">
        <v>4971</v>
      </c>
      <c r="I245" s="20">
        <v>89.2</v>
      </c>
      <c r="J245" s="2" t="s">
        <v>4935</v>
      </c>
    </row>
    <row r="246" spans="1:11" ht="15.35" x14ac:dyDescent="0.55000000000000004">
      <c r="A246" s="20">
        <v>7631</v>
      </c>
      <c r="B246" s="2" t="s">
        <v>161</v>
      </c>
      <c r="C246" s="2" t="s">
        <v>162</v>
      </c>
      <c r="D246" s="2" t="s">
        <v>163</v>
      </c>
      <c r="E246" s="2" t="s">
        <v>339</v>
      </c>
      <c r="F246" s="2" t="s">
        <v>4974</v>
      </c>
      <c r="G246" s="2" t="s">
        <v>4928</v>
      </c>
      <c r="H246" s="2" t="s">
        <v>4970</v>
      </c>
      <c r="I246" s="20">
        <v>41413.230000000003</v>
      </c>
      <c r="J246" s="2" t="s">
        <v>4935</v>
      </c>
    </row>
    <row r="247" spans="1:11" ht="15.35" x14ac:dyDescent="0.55000000000000004">
      <c r="A247" s="20">
        <v>7641</v>
      </c>
      <c r="B247" s="2" t="s">
        <v>161</v>
      </c>
      <c r="C247" s="2" t="s">
        <v>162</v>
      </c>
      <c r="D247" s="2" t="s">
        <v>163</v>
      </c>
      <c r="E247" s="2" t="s">
        <v>339</v>
      </c>
      <c r="F247" s="2" t="s">
        <v>4974</v>
      </c>
      <c r="G247" s="2" t="s">
        <v>4931</v>
      </c>
      <c r="H247" s="2" t="s">
        <v>4960</v>
      </c>
      <c r="I247" s="20">
        <v>100</v>
      </c>
      <c r="J247" s="2" t="s">
        <v>4933</v>
      </c>
      <c r="K247" s="2" t="s">
        <v>4966</v>
      </c>
    </row>
    <row r="248" spans="1:11" ht="15.35" x14ac:dyDescent="0.55000000000000004">
      <c r="A248" s="20">
        <v>7643</v>
      </c>
      <c r="B248" s="2" t="s">
        <v>161</v>
      </c>
      <c r="C248" s="2" t="s">
        <v>162</v>
      </c>
      <c r="D248" s="2" t="s">
        <v>163</v>
      </c>
      <c r="E248" s="2" t="s">
        <v>339</v>
      </c>
      <c r="F248" s="2" t="s">
        <v>4974</v>
      </c>
      <c r="G248" s="2" t="s">
        <v>4931</v>
      </c>
      <c r="H248" s="2" t="s">
        <v>4960</v>
      </c>
      <c r="I248" s="20">
        <v>79</v>
      </c>
      <c r="J248" s="2" t="s">
        <v>4933</v>
      </c>
      <c r="K248" s="2" t="s">
        <v>4967</v>
      </c>
    </row>
    <row r="249" spans="1:11" ht="15.35" x14ac:dyDescent="0.55000000000000004">
      <c r="A249" s="20">
        <v>7646</v>
      </c>
      <c r="B249" s="2" t="s">
        <v>161</v>
      </c>
      <c r="C249" s="2" t="s">
        <v>162</v>
      </c>
      <c r="D249" s="2" t="s">
        <v>163</v>
      </c>
      <c r="E249" s="2" t="s">
        <v>339</v>
      </c>
      <c r="F249" s="2" t="s">
        <v>4974</v>
      </c>
      <c r="G249" s="2" t="s">
        <v>4939</v>
      </c>
      <c r="H249" s="2" t="s">
        <v>4958</v>
      </c>
      <c r="I249" s="20">
        <v>216</v>
      </c>
      <c r="J249" s="2" t="s">
        <v>4941</v>
      </c>
      <c r="K249" s="2" t="s">
        <v>4961</v>
      </c>
    </row>
    <row r="250" spans="1:11" ht="15.35" x14ac:dyDescent="0.55000000000000004">
      <c r="A250" s="20">
        <v>7663</v>
      </c>
      <c r="B250" s="2" t="s">
        <v>161</v>
      </c>
      <c r="C250" s="2" t="s">
        <v>162</v>
      </c>
      <c r="D250" s="2" t="s">
        <v>163</v>
      </c>
      <c r="E250" s="2" t="s">
        <v>339</v>
      </c>
      <c r="F250" s="2" t="s">
        <v>4974</v>
      </c>
      <c r="G250" s="2" t="s">
        <v>4928</v>
      </c>
      <c r="H250" s="2" t="s">
        <v>4972</v>
      </c>
      <c r="I250" s="20">
        <v>31785.81</v>
      </c>
      <c r="J250" s="2" t="s">
        <v>4935</v>
      </c>
    </row>
    <row r="251" spans="1:11" ht="15.35" x14ac:dyDescent="0.55000000000000004">
      <c r="A251" s="20">
        <v>7668</v>
      </c>
      <c r="B251" s="2" t="s">
        <v>161</v>
      </c>
      <c r="C251" s="2" t="s">
        <v>162</v>
      </c>
      <c r="D251" s="2" t="s">
        <v>163</v>
      </c>
      <c r="E251" s="2" t="s">
        <v>339</v>
      </c>
      <c r="F251" s="2" t="s">
        <v>4974</v>
      </c>
      <c r="G251" s="2" t="s">
        <v>4928</v>
      </c>
      <c r="H251" s="2" t="s">
        <v>4973</v>
      </c>
      <c r="I251" s="20">
        <v>35288.959999999999</v>
      </c>
      <c r="J251" s="2" t="s">
        <v>4935</v>
      </c>
    </row>
    <row r="252" spans="1:11" ht="15.35" x14ac:dyDescent="0.55000000000000004">
      <c r="A252" s="20">
        <v>7467</v>
      </c>
      <c r="B252" s="2" t="s">
        <v>161</v>
      </c>
      <c r="C252" s="2" t="s">
        <v>162</v>
      </c>
      <c r="D252" s="2" t="s">
        <v>163</v>
      </c>
      <c r="E252" s="2" t="s">
        <v>339</v>
      </c>
      <c r="F252" s="2" t="s">
        <v>4979</v>
      </c>
      <c r="G252" s="2" t="s">
        <v>4931</v>
      </c>
      <c r="H252" s="2" t="s">
        <v>4960</v>
      </c>
      <c r="I252" s="20">
        <v>95</v>
      </c>
      <c r="J252" s="2" t="s">
        <v>4933</v>
      </c>
      <c r="K252" s="2" t="s">
        <v>4961</v>
      </c>
    </row>
    <row r="253" spans="1:11" ht="15.35" x14ac:dyDescent="0.55000000000000004">
      <c r="A253" s="20">
        <v>7475</v>
      </c>
      <c r="B253" s="2" t="s">
        <v>161</v>
      </c>
      <c r="C253" s="2" t="s">
        <v>162</v>
      </c>
      <c r="D253" s="2" t="s">
        <v>163</v>
      </c>
      <c r="E253" s="2" t="s">
        <v>339</v>
      </c>
      <c r="F253" s="2" t="s">
        <v>4979</v>
      </c>
      <c r="G253" s="2" t="s">
        <v>4931</v>
      </c>
      <c r="H253" s="2" t="s">
        <v>4960</v>
      </c>
      <c r="I253" s="20">
        <v>99</v>
      </c>
      <c r="J253" s="2" t="s">
        <v>4933</v>
      </c>
      <c r="K253" s="2" t="s">
        <v>4963</v>
      </c>
    </row>
    <row r="254" spans="1:11" ht="15.35" x14ac:dyDescent="0.55000000000000004">
      <c r="A254" s="20">
        <v>7482</v>
      </c>
      <c r="B254" s="2" t="s">
        <v>161</v>
      </c>
      <c r="C254" s="2" t="s">
        <v>162</v>
      </c>
      <c r="D254" s="2" t="s">
        <v>163</v>
      </c>
      <c r="E254" s="2" t="s">
        <v>339</v>
      </c>
      <c r="F254" s="2" t="s">
        <v>4979</v>
      </c>
      <c r="G254" s="2" t="s">
        <v>4931</v>
      </c>
      <c r="H254" s="2" t="s">
        <v>4960</v>
      </c>
      <c r="I254" s="20">
        <v>50</v>
      </c>
      <c r="J254" s="2" t="s">
        <v>4933</v>
      </c>
      <c r="K254" s="2" t="s">
        <v>4959</v>
      </c>
    </row>
    <row r="255" spans="1:11" ht="15.35" x14ac:dyDescent="0.55000000000000004">
      <c r="A255" s="20">
        <v>7487</v>
      </c>
      <c r="B255" s="2" t="s">
        <v>161</v>
      </c>
      <c r="C255" s="2" t="s">
        <v>162</v>
      </c>
      <c r="D255" s="2" t="s">
        <v>163</v>
      </c>
      <c r="E255" s="2" t="s">
        <v>339</v>
      </c>
      <c r="F255" s="2" t="s">
        <v>4979</v>
      </c>
      <c r="G255" s="2" t="s">
        <v>4931</v>
      </c>
      <c r="H255" s="2" t="s">
        <v>4960</v>
      </c>
      <c r="I255" s="20">
        <v>99</v>
      </c>
      <c r="J255" s="2" t="s">
        <v>4933</v>
      </c>
      <c r="K255" s="2" t="s">
        <v>4964</v>
      </c>
    </row>
    <row r="256" spans="1:11" ht="15.35" x14ac:dyDescent="0.55000000000000004">
      <c r="A256" s="20">
        <v>7551</v>
      </c>
      <c r="B256" s="2" t="s">
        <v>161</v>
      </c>
      <c r="C256" s="2" t="s">
        <v>162</v>
      </c>
      <c r="D256" s="2" t="s">
        <v>163</v>
      </c>
      <c r="E256" s="2" t="s">
        <v>339</v>
      </c>
      <c r="F256" s="2" t="s">
        <v>4979</v>
      </c>
      <c r="G256" s="2" t="s">
        <v>4931</v>
      </c>
      <c r="H256" s="2" t="s">
        <v>4960</v>
      </c>
      <c r="I256" s="20">
        <v>95</v>
      </c>
      <c r="J256" s="2" t="s">
        <v>4933</v>
      </c>
      <c r="K256" s="2" t="s">
        <v>4962</v>
      </c>
    </row>
    <row r="257" spans="1:11" ht="15.35" x14ac:dyDescent="0.55000000000000004">
      <c r="A257" s="20">
        <v>7559</v>
      </c>
      <c r="B257" s="2" t="s">
        <v>161</v>
      </c>
      <c r="C257" s="2" t="s">
        <v>162</v>
      </c>
      <c r="D257" s="2" t="s">
        <v>163</v>
      </c>
      <c r="E257" s="2" t="s">
        <v>339</v>
      </c>
      <c r="F257" s="2" t="s">
        <v>4979</v>
      </c>
      <c r="G257" s="2" t="s">
        <v>4939</v>
      </c>
      <c r="H257" s="2" t="s">
        <v>4958</v>
      </c>
      <c r="I257" s="20">
        <v>234</v>
      </c>
      <c r="J257" s="2" t="s">
        <v>4941</v>
      </c>
      <c r="K257" s="2" t="s">
        <v>4962</v>
      </c>
    </row>
    <row r="258" spans="1:11" ht="15.35" x14ac:dyDescent="0.55000000000000004">
      <c r="A258" s="20">
        <v>7560</v>
      </c>
      <c r="B258" s="2" t="s">
        <v>161</v>
      </c>
      <c r="C258" s="2" t="s">
        <v>162</v>
      </c>
      <c r="D258" s="2" t="s">
        <v>163</v>
      </c>
      <c r="E258" s="2" t="s">
        <v>339</v>
      </c>
      <c r="F258" s="2" t="s">
        <v>4979</v>
      </c>
      <c r="G258" s="2" t="s">
        <v>4975</v>
      </c>
      <c r="H258" s="2" t="s">
        <v>4976</v>
      </c>
      <c r="I258" s="20">
        <v>626.71</v>
      </c>
      <c r="J258" s="2" t="s">
        <v>4977</v>
      </c>
    </row>
    <row r="259" spans="1:11" ht="15.35" x14ac:dyDescent="0.55000000000000004">
      <c r="A259" s="20">
        <v>7564</v>
      </c>
      <c r="B259" s="2" t="s">
        <v>161</v>
      </c>
      <c r="C259" s="2" t="s">
        <v>162</v>
      </c>
      <c r="D259" s="2" t="s">
        <v>163</v>
      </c>
      <c r="E259" s="2" t="s">
        <v>339</v>
      </c>
      <c r="F259" s="2" t="s">
        <v>4979</v>
      </c>
      <c r="G259" s="2" t="s">
        <v>4975</v>
      </c>
      <c r="H259" s="2" t="s">
        <v>4978</v>
      </c>
      <c r="I259" s="20">
        <v>6721.17</v>
      </c>
      <c r="J259" s="2" t="s">
        <v>4977</v>
      </c>
    </row>
    <row r="260" spans="1:11" ht="15.35" x14ac:dyDescent="0.55000000000000004">
      <c r="A260" s="20">
        <v>7584</v>
      </c>
      <c r="B260" s="2" t="s">
        <v>161</v>
      </c>
      <c r="C260" s="2" t="s">
        <v>162</v>
      </c>
      <c r="D260" s="2" t="s">
        <v>163</v>
      </c>
      <c r="E260" s="2" t="s">
        <v>339</v>
      </c>
      <c r="F260" s="2" t="s">
        <v>4979</v>
      </c>
      <c r="G260" s="2" t="s">
        <v>4939</v>
      </c>
      <c r="H260" s="2" t="s">
        <v>4958</v>
      </c>
      <c r="I260" s="20">
        <v>39</v>
      </c>
      <c r="J260" s="2" t="s">
        <v>4941</v>
      </c>
      <c r="K260" s="2" t="s">
        <v>4965</v>
      </c>
    </row>
    <row r="261" spans="1:11" ht="15.35" x14ac:dyDescent="0.55000000000000004">
      <c r="A261" s="20">
        <v>7585</v>
      </c>
      <c r="B261" s="2" t="s">
        <v>161</v>
      </c>
      <c r="C261" s="2" t="s">
        <v>162</v>
      </c>
      <c r="D261" s="2" t="s">
        <v>163</v>
      </c>
      <c r="E261" s="2" t="s">
        <v>339</v>
      </c>
      <c r="F261" s="2" t="s">
        <v>4979</v>
      </c>
      <c r="G261" s="2" t="s">
        <v>4939</v>
      </c>
      <c r="H261" s="2" t="s">
        <v>4958</v>
      </c>
      <c r="I261" s="20">
        <v>231</v>
      </c>
      <c r="J261" s="2" t="s">
        <v>4941</v>
      </c>
      <c r="K261" s="2" t="s">
        <v>4964</v>
      </c>
    </row>
    <row r="262" spans="1:11" ht="15.35" x14ac:dyDescent="0.55000000000000004">
      <c r="A262" s="20">
        <v>7590</v>
      </c>
      <c r="B262" s="2" t="s">
        <v>161</v>
      </c>
      <c r="C262" s="2" t="s">
        <v>162</v>
      </c>
      <c r="D262" s="2" t="s">
        <v>163</v>
      </c>
      <c r="E262" s="2" t="s">
        <v>339</v>
      </c>
      <c r="F262" s="2" t="s">
        <v>4979</v>
      </c>
      <c r="G262" s="2" t="s">
        <v>4939</v>
      </c>
      <c r="H262" s="2" t="s">
        <v>4958</v>
      </c>
      <c r="I262" s="20">
        <v>241</v>
      </c>
      <c r="J262" s="2" t="s">
        <v>4941</v>
      </c>
      <c r="K262" s="2" t="s">
        <v>4963</v>
      </c>
    </row>
    <row r="263" spans="1:11" ht="15.35" x14ac:dyDescent="0.55000000000000004">
      <c r="A263" s="20">
        <v>7595</v>
      </c>
      <c r="B263" s="2" t="s">
        <v>161</v>
      </c>
      <c r="C263" s="2" t="s">
        <v>162</v>
      </c>
      <c r="D263" s="2" t="s">
        <v>163</v>
      </c>
      <c r="E263" s="2" t="s">
        <v>339</v>
      </c>
      <c r="F263" s="2" t="s">
        <v>4979</v>
      </c>
      <c r="G263" s="2" t="s">
        <v>4939</v>
      </c>
      <c r="H263" s="2" t="s">
        <v>4958</v>
      </c>
      <c r="I263" s="20">
        <v>182</v>
      </c>
      <c r="J263" s="2" t="s">
        <v>4941</v>
      </c>
      <c r="K263" s="2" t="s">
        <v>4966</v>
      </c>
    </row>
    <row r="264" spans="1:11" ht="15.35" x14ac:dyDescent="0.55000000000000004">
      <c r="A264" s="20">
        <v>7598</v>
      </c>
      <c r="B264" s="2" t="s">
        <v>161</v>
      </c>
      <c r="C264" s="2" t="s">
        <v>162</v>
      </c>
      <c r="D264" s="2" t="s">
        <v>163</v>
      </c>
      <c r="E264" s="2" t="s">
        <v>339</v>
      </c>
      <c r="F264" s="2" t="s">
        <v>4979</v>
      </c>
      <c r="G264" s="2" t="s">
        <v>4939</v>
      </c>
      <c r="H264" s="2" t="s">
        <v>4958</v>
      </c>
      <c r="I264" s="20">
        <v>192</v>
      </c>
      <c r="J264" s="2" t="s">
        <v>4941</v>
      </c>
      <c r="K264" s="2" t="s">
        <v>4959</v>
      </c>
    </row>
    <row r="265" spans="1:11" ht="15.35" x14ac:dyDescent="0.55000000000000004">
      <c r="A265" s="20">
        <v>7607</v>
      </c>
      <c r="B265" s="2" t="s">
        <v>161</v>
      </c>
      <c r="C265" s="2" t="s">
        <v>162</v>
      </c>
      <c r="D265" s="2" t="s">
        <v>163</v>
      </c>
      <c r="E265" s="2" t="s">
        <v>339</v>
      </c>
      <c r="F265" s="2" t="s">
        <v>4979</v>
      </c>
      <c r="G265" s="2" t="s">
        <v>4939</v>
      </c>
      <c r="H265" s="2" t="s">
        <v>4958</v>
      </c>
      <c r="I265" s="20">
        <v>37</v>
      </c>
      <c r="J265" s="2" t="s">
        <v>4941</v>
      </c>
      <c r="K265" s="2" t="s">
        <v>4967</v>
      </c>
    </row>
    <row r="266" spans="1:11" ht="15.35" x14ac:dyDescent="0.55000000000000004">
      <c r="A266" s="20">
        <v>7615</v>
      </c>
      <c r="B266" s="2" t="s">
        <v>161</v>
      </c>
      <c r="C266" s="2" t="s">
        <v>162</v>
      </c>
      <c r="D266" s="2" t="s">
        <v>163</v>
      </c>
      <c r="E266" s="2" t="s">
        <v>339</v>
      </c>
      <c r="F266" s="2" t="s">
        <v>4979</v>
      </c>
      <c r="G266" s="2" t="s">
        <v>4939</v>
      </c>
      <c r="H266" s="2" t="s">
        <v>4958</v>
      </c>
      <c r="I266" s="20">
        <v>222</v>
      </c>
      <c r="J266" s="2" t="s">
        <v>4941</v>
      </c>
      <c r="K266" s="2" t="s">
        <v>4961</v>
      </c>
    </row>
    <row r="267" spans="1:11" ht="15.35" x14ac:dyDescent="0.55000000000000004">
      <c r="A267" s="20">
        <v>7618</v>
      </c>
      <c r="B267" s="2" t="s">
        <v>161</v>
      </c>
      <c r="C267" s="2" t="s">
        <v>162</v>
      </c>
      <c r="D267" s="2" t="s">
        <v>163</v>
      </c>
      <c r="E267" s="2" t="s">
        <v>339</v>
      </c>
      <c r="F267" s="2" t="s">
        <v>4979</v>
      </c>
      <c r="G267" s="2" t="s">
        <v>4931</v>
      </c>
      <c r="H267" s="2" t="s">
        <v>4968</v>
      </c>
      <c r="I267" s="20">
        <v>81.84</v>
      </c>
      <c r="J267" s="2" t="s">
        <v>4933</v>
      </c>
    </row>
    <row r="268" spans="1:11" ht="15.35" x14ac:dyDescent="0.55000000000000004">
      <c r="A268" s="20">
        <v>7620</v>
      </c>
      <c r="B268" s="2" t="s">
        <v>161</v>
      </c>
      <c r="C268" s="2" t="s">
        <v>162</v>
      </c>
      <c r="D268" s="2" t="s">
        <v>163</v>
      </c>
      <c r="E268" s="2" t="s">
        <v>339</v>
      </c>
      <c r="F268" s="2" t="s">
        <v>4979</v>
      </c>
      <c r="G268" s="2" t="s">
        <v>4931</v>
      </c>
      <c r="H268" s="2" t="s">
        <v>4969</v>
      </c>
      <c r="I268" s="20">
        <v>0.84</v>
      </c>
      <c r="J268" s="2" t="s">
        <v>4933</v>
      </c>
    </row>
    <row r="269" spans="1:11" ht="15.35" x14ac:dyDescent="0.55000000000000004">
      <c r="A269" s="20">
        <v>7625</v>
      </c>
      <c r="B269" s="2" t="s">
        <v>161</v>
      </c>
      <c r="C269" s="2" t="s">
        <v>162</v>
      </c>
      <c r="D269" s="2" t="s">
        <v>163</v>
      </c>
      <c r="E269" s="2" t="s">
        <v>339</v>
      </c>
      <c r="F269" s="2" t="s">
        <v>4979</v>
      </c>
      <c r="G269" s="2" t="s">
        <v>4928</v>
      </c>
      <c r="H269" s="2" t="s">
        <v>4971</v>
      </c>
      <c r="I269" s="20">
        <v>326.39999999999998</v>
      </c>
      <c r="J269" s="2" t="s">
        <v>4935</v>
      </c>
    </row>
    <row r="270" spans="1:11" ht="15.35" x14ac:dyDescent="0.55000000000000004">
      <c r="A270" s="20">
        <v>7630</v>
      </c>
      <c r="B270" s="2" t="s">
        <v>161</v>
      </c>
      <c r="C270" s="2" t="s">
        <v>162</v>
      </c>
      <c r="D270" s="2" t="s">
        <v>163</v>
      </c>
      <c r="E270" s="2" t="s">
        <v>339</v>
      </c>
      <c r="F270" s="2" t="s">
        <v>4979</v>
      </c>
      <c r="G270" s="2" t="s">
        <v>4928</v>
      </c>
      <c r="H270" s="2" t="s">
        <v>4970</v>
      </c>
      <c r="I270" s="20">
        <v>39010.639999999999</v>
      </c>
      <c r="J270" s="2" t="s">
        <v>4935</v>
      </c>
    </row>
    <row r="271" spans="1:11" ht="15.35" x14ac:dyDescent="0.55000000000000004">
      <c r="A271" s="20">
        <v>7638</v>
      </c>
      <c r="B271" s="2" t="s">
        <v>161</v>
      </c>
      <c r="C271" s="2" t="s">
        <v>162</v>
      </c>
      <c r="D271" s="2" t="s">
        <v>163</v>
      </c>
      <c r="E271" s="2" t="s">
        <v>339</v>
      </c>
      <c r="F271" s="2" t="s">
        <v>4979</v>
      </c>
      <c r="G271" s="2" t="s">
        <v>4931</v>
      </c>
      <c r="H271" s="2" t="s">
        <v>4960</v>
      </c>
      <c r="I271" s="20">
        <v>86</v>
      </c>
      <c r="J271" s="2" t="s">
        <v>4933</v>
      </c>
      <c r="K271" s="2" t="s">
        <v>4965</v>
      </c>
    </row>
    <row r="272" spans="1:11" ht="15.35" x14ac:dyDescent="0.55000000000000004">
      <c r="A272" s="20">
        <v>7640</v>
      </c>
      <c r="B272" s="2" t="s">
        <v>161</v>
      </c>
      <c r="C272" s="2" t="s">
        <v>162</v>
      </c>
      <c r="D272" s="2" t="s">
        <v>163</v>
      </c>
      <c r="E272" s="2" t="s">
        <v>339</v>
      </c>
      <c r="F272" s="2" t="s">
        <v>4979</v>
      </c>
      <c r="G272" s="2" t="s">
        <v>4931</v>
      </c>
      <c r="H272" s="2" t="s">
        <v>4960</v>
      </c>
      <c r="I272" s="20">
        <v>96</v>
      </c>
      <c r="J272" s="2" t="s">
        <v>4933</v>
      </c>
      <c r="K272" s="2" t="s">
        <v>4966</v>
      </c>
    </row>
    <row r="273" spans="1:11" ht="15.35" x14ac:dyDescent="0.55000000000000004">
      <c r="A273" s="20">
        <v>7644</v>
      </c>
      <c r="B273" s="2" t="s">
        <v>161</v>
      </c>
      <c r="C273" s="2" t="s">
        <v>162</v>
      </c>
      <c r="D273" s="2" t="s">
        <v>163</v>
      </c>
      <c r="E273" s="2" t="s">
        <v>339</v>
      </c>
      <c r="F273" s="2" t="s">
        <v>4979</v>
      </c>
      <c r="G273" s="2" t="s">
        <v>4931</v>
      </c>
      <c r="H273" s="2" t="s">
        <v>4960</v>
      </c>
      <c r="I273" s="20">
        <v>62</v>
      </c>
      <c r="J273" s="2" t="s">
        <v>4933</v>
      </c>
      <c r="K273" s="2" t="s">
        <v>4967</v>
      </c>
    </row>
    <row r="274" spans="1:11" ht="15.35" x14ac:dyDescent="0.55000000000000004">
      <c r="A274" s="20">
        <v>7662</v>
      </c>
      <c r="B274" s="2" t="s">
        <v>161</v>
      </c>
      <c r="C274" s="2" t="s">
        <v>162</v>
      </c>
      <c r="D274" s="2" t="s">
        <v>163</v>
      </c>
      <c r="E274" s="2" t="s">
        <v>339</v>
      </c>
      <c r="F274" s="2" t="s">
        <v>4979</v>
      </c>
      <c r="G274" s="2" t="s">
        <v>4928</v>
      </c>
      <c r="H274" s="2" t="s">
        <v>4972</v>
      </c>
      <c r="I274" s="20">
        <v>5512.92</v>
      </c>
      <c r="J274" s="2" t="s">
        <v>4935</v>
      </c>
    </row>
    <row r="275" spans="1:11" ht="15.35" x14ac:dyDescent="0.55000000000000004">
      <c r="A275" s="20">
        <v>7667</v>
      </c>
      <c r="B275" s="2" t="s">
        <v>161</v>
      </c>
      <c r="C275" s="2" t="s">
        <v>162</v>
      </c>
      <c r="D275" s="2" t="s">
        <v>163</v>
      </c>
      <c r="E275" s="2" t="s">
        <v>339</v>
      </c>
      <c r="F275" s="2" t="s">
        <v>4979</v>
      </c>
      <c r="G275" s="2" t="s">
        <v>4928</v>
      </c>
      <c r="H275" s="2" t="s">
        <v>4973</v>
      </c>
      <c r="I275" s="20">
        <v>6735.92</v>
      </c>
      <c r="J275" s="2" t="s">
        <v>4935</v>
      </c>
    </row>
    <row r="276" spans="1:11" ht="15.35" x14ac:dyDescent="0.55000000000000004">
      <c r="A276" s="20">
        <v>6947</v>
      </c>
      <c r="B276" s="2" t="s">
        <v>161</v>
      </c>
      <c r="C276" s="2" t="s">
        <v>162</v>
      </c>
      <c r="D276" s="2" t="s">
        <v>163</v>
      </c>
      <c r="E276" s="2" t="s">
        <v>339</v>
      </c>
      <c r="F276" s="2" t="s">
        <v>4980</v>
      </c>
      <c r="G276" s="2" t="s">
        <v>4939</v>
      </c>
      <c r="H276" s="2" t="s">
        <v>4958</v>
      </c>
      <c r="I276" s="20">
        <v>240</v>
      </c>
      <c r="J276" s="2" t="s">
        <v>4941</v>
      </c>
      <c r="K276" s="2" t="s">
        <v>4964</v>
      </c>
    </row>
    <row r="277" spans="1:11" ht="15.35" x14ac:dyDescent="0.55000000000000004">
      <c r="A277" s="20">
        <v>7466</v>
      </c>
      <c r="B277" s="2" t="s">
        <v>161</v>
      </c>
      <c r="C277" s="2" t="s">
        <v>162</v>
      </c>
      <c r="D277" s="2" t="s">
        <v>163</v>
      </c>
      <c r="E277" s="2" t="s">
        <v>339</v>
      </c>
      <c r="F277" s="2" t="s">
        <v>4980</v>
      </c>
      <c r="G277" s="2" t="s">
        <v>4931</v>
      </c>
      <c r="H277" s="2" t="s">
        <v>4960</v>
      </c>
      <c r="I277" s="20">
        <v>98</v>
      </c>
      <c r="J277" s="2" t="s">
        <v>4933</v>
      </c>
      <c r="K277" s="2" t="s">
        <v>4961</v>
      </c>
    </row>
    <row r="278" spans="1:11" ht="15.35" x14ac:dyDescent="0.55000000000000004">
      <c r="A278" s="20">
        <v>7476</v>
      </c>
      <c r="B278" s="2" t="s">
        <v>161</v>
      </c>
      <c r="C278" s="2" t="s">
        <v>162</v>
      </c>
      <c r="D278" s="2" t="s">
        <v>163</v>
      </c>
      <c r="E278" s="2" t="s">
        <v>339</v>
      </c>
      <c r="F278" s="2" t="s">
        <v>4980</v>
      </c>
      <c r="G278" s="2" t="s">
        <v>4931</v>
      </c>
      <c r="H278" s="2" t="s">
        <v>4960</v>
      </c>
      <c r="I278" s="20">
        <v>100</v>
      </c>
      <c r="J278" s="2" t="s">
        <v>4933</v>
      </c>
      <c r="K278" s="2" t="s">
        <v>4963</v>
      </c>
    </row>
    <row r="279" spans="1:11" ht="15.35" x14ac:dyDescent="0.55000000000000004">
      <c r="A279" s="20">
        <v>7479</v>
      </c>
      <c r="B279" s="2" t="s">
        <v>161</v>
      </c>
      <c r="C279" s="2" t="s">
        <v>162</v>
      </c>
      <c r="D279" s="2" t="s">
        <v>163</v>
      </c>
      <c r="E279" s="2" t="s">
        <v>339</v>
      </c>
      <c r="F279" s="2" t="s">
        <v>4980</v>
      </c>
      <c r="G279" s="2" t="s">
        <v>4931</v>
      </c>
      <c r="H279" s="2" t="s">
        <v>4960</v>
      </c>
      <c r="I279" s="20">
        <v>75</v>
      </c>
      <c r="J279" s="2" t="s">
        <v>4933</v>
      </c>
      <c r="K279" s="2" t="s">
        <v>4981</v>
      </c>
    </row>
    <row r="280" spans="1:11" ht="15.35" x14ac:dyDescent="0.55000000000000004">
      <c r="A280" s="20">
        <v>7481</v>
      </c>
      <c r="B280" s="2" t="s">
        <v>161</v>
      </c>
      <c r="C280" s="2" t="s">
        <v>162</v>
      </c>
      <c r="D280" s="2" t="s">
        <v>163</v>
      </c>
      <c r="E280" s="2" t="s">
        <v>339</v>
      </c>
      <c r="F280" s="2" t="s">
        <v>4980</v>
      </c>
      <c r="G280" s="2" t="s">
        <v>4931</v>
      </c>
      <c r="H280" s="2" t="s">
        <v>4960</v>
      </c>
      <c r="I280" s="20">
        <v>91</v>
      </c>
      <c r="J280" s="2" t="s">
        <v>4933</v>
      </c>
      <c r="K280" s="2" t="s">
        <v>4959</v>
      </c>
    </row>
    <row r="281" spans="1:11" ht="15.35" x14ac:dyDescent="0.55000000000000004">
      <c r="A281" s="20">
        <v>7486</v>
      </c>
      <c r="B281" s="2" t="s">
        <v>161</v>
      </c>
      <c r="C281" s="2" t="s">
        <v>162</v>
      </c>
      <c r="D281" s="2" t="s">
        <v>163</v>
      </c>
      <c r="E281" s="2" t="s">
        <v>339</v>
      </c>
      <c r="F281" s="2" t="s">
        <v>4980</v>
      </c>
      <c r="G281" s="2" t="s">
        <v>4931</v>
      </c>
      <c r="H281" s="2" t="s">
        <v>4960</v>
      </c>
      <c r="I281" s="20">
        <v>100</v>
      </c>
      <c r="J281" s="2" t="s">
        <v>4933</v>
      </c>
      <c r="K281" s="2" t="s">
        <v>4964</v>
      </c>
    </row>
    <row r="282" spans="1:11" ht="15.35" x14ac:dyDescent="0.55000000000000004">
      <c r="A282" s="20">
        <v>7552</v>
      </c>
      <c r="B282" s="2" t="s">
        <v>161</v>
      </c>
      <c r="C282" s="2" t="s">
        <v>162</v>
      </c>
      <c r="D282" s="2" t="s">
        <v>163</v>
      </c>
      <c r="E282" s="2" t="s">
        <v>339</v>
      </c>
      <c r="F282" s="2" t="s">
        <v>4980</v>
      </c>
      <c r="G282" s="2" t="s">
        <v>4931</v>
      </c>
      <c r="H282" s="2" t="s">
        <v>4960</v>
      </c>
      <c r="I282" s="20">
        <v>98</v>
      </c>
      <c r="J282" s="2" t="s">
        <v>4933</v>
      </c>
      <c r="K282" s="2" t="s">
        <v>4962</v>
      </c>
    </row>
    <row r="283" spans="1:11" ht="15.35" x14ac:dyDescent="0.55000000000000004">
      <c r="A283" s="20">
        <v>7555</v>
      </c>
      <c r="B283" s="2" t="s">
        <v>161</v>
      </c>
      <c r="C283" s="2" t="s">
        <v>162</v>
      </c>
      <c r="D283" s="2" t="s">
        <v>163</v>
      </c>
      <c r="E283" s="2" t="s">
        <v>339</v>
      </c>
      <c r="F283" s="2" t="s">
        <v>4980</v>
      </c>
      <c r="G283" s="2" t="s">
        <v>4939</v>
      </c>
      <c r="H283" s="2" t="s">
        <v>4958</v>
      </c>
      <c r="I283" s="20">
        <v>60</v>
      </c>
      <c r="J283" s="2" t="s">
        <v>4941</v>
      </c>
      <c r="K283" s="2" t="s">
        <v>4981</v>
      </c>
    </row>
    <row r="284" spans="1:11" ht="15.35" x14ac:dyDescent="0.55000000000000004">
      <c r="A284" s="20">
        <v>7558</v>
      </c>
      <c r="B284" s="2" t="s">
        <v>161</v>
      </c>
      <c r="C284" s="2" t="s">
        <v>162</v>
      </c>
      <c r="D284" s="2" t="s">
        <v>163</v>
      </c>
      <c r="E284" s="2" t="s">
        <v>339</v>
      </c>
      <c r="F284" s="2" t="s">
        <v>4980</v>
      </c>
      <c r="G284" s="2" t="s">
        <v>4939</v>
      </c>
      <c r="H284" s="2" t="s">
        <v>4958</v>
      </c>
      <c r="I284" s="20">
        <v>232</v>
      </c>
      <c r="J284" s="2" t="s">
        <v>4941</v>
      </c>
      <c r="K284" s="2" t="s">
        <v>4962</v>
      </c>
    </row>
    <row r="285" spans="1:11" ht="15.35" x14ac:dyDescent="0.55000000000000004">
      <c r="A285" s="20">
        <v>7563</v>
      </c>
      <c r="B285" s="2" t="s">
        <v>161</v>
      </c>
      <c r="C285" s="2" t="s">
        <v>162</v>
      </c>
      <c r="D285" s="2" t="s">
        <v>163</v>
      </c>
      <c r="E285" s="2" t="s">
        <v>339</v>
      </c>
      <c r="F285" s="2" t="s">
        <v>4980</v>
      </c>
      <c r="G285" s="2" t="s">
        <v>4975</v>
      </c>
      <c r="H285" s="2" t="s">
        <v>4978</v>
      </c>
      <c r="I285" s="20">
        <v>6845.92</v>
      </c>
      <c r="J285" s="2" t="s">
        <v>4977</v>
      </c>
    </row>
    <row r="286" spans="1:11" ht="15.35" x14ac:dyDescent="0.55000000000000004">
      <c r="A286" s="20">
        <v>7568</v>
      </c>
      <c r="B286" s="2" t="s">
        <v>161</v>
      </c>
      <c r="C286" s="2" t="s">
        <v>162</v>
      </c>
      <c r="D286" s="2" t="s">
        <v>163</v>
      </c>
      <c r="E286" s="2" t="s">
        <v>339</v>
      </c>
      <c r="F286" s="2" t="s">
        <v>4980</v>
      </c>
      <c r="G286" s="2" t="s">
        <v>4975</v>
      </c>
      <c r="H286" s="2" t="s">
        <v>4976</v>
      </c>
      <c r="I286" s="20">
        <v>1083.83</v>
      </c>
      <c r="J286" s="2" t="s">
        <v>4977</v>
      </c>
    </row>
    <row r="287" spans="1:11" ht="15.35" x14ac:dyDescent="0.55000000000000004">
      <c r="A287" s="20">
        <v>7589</v>
      </c>
      <c r="B287" s="2" t="s">
        <v>161</v>
      </c>
      <c r="C287" s="2" t="s">
        <v>162</v>
      </c>
      <c r="D287" s="2" t="s">
        <v>163</v>
      </c>
      <c r="E287" s="2" t="s">
        <v>339</v>
      </c>
      <c r="F287" s="2" t="s">
        <v>4980</v>
      </c>
      <c r="G287" s="2" t="s">
        <v>4939</v>
      </c>
      <c r="H287" s="2" t="s">
        <v>4958</v>
      </c>
      <c r="I287" s="20">
        <v>252</v>
      </c>
      <c r="J287" s="2" t="s">
        <v>4941</v>
      </c>
      <c r="K287" s="2" t="s">
        <v>4963</v>
      </c>
    </row>
    <row r="288" spans="1:11" ht="15.35" x14ac:dyDescent="0.55000000000000004">
      <c r="A288" s="20">
        <v>7594</v>
      </c>
      <c r="B288" s="2" t="s">
        <v>161</v>
      </c>
      <c r="C288" s="2" t="s">
        <v>162</v>
      </c>
      <c r="D288" s="2" t="s">
        <v>163</v>
      </c>
      <c r="E288" s="2" t="s">
        <v>339</v>
      </c>
      <c r="F288" s="2" t="s">
        <v>4980</v>
      </c>
      <c r="G288" s="2" t="s">
        <v>4939</v>
      </c>
      <c r="H288" s="2" t="s">
        <v>4958</v>
      </c>
      <c r="I288" s="20">
        <v>187</v>
      </c>
      <c r="J288" s="2" t="s">
        <v>4941</v>
      </c>
      <c r="K288" s="2" t="s">
        <v>4966</v>
      </c>
    </row>
    <row r="289" spans="1:11" ht="15.35" x14ac:dyDescent="0.55000000000000004">
      <c r="A289" s="20">
        <v>7599</v>
      </c>
      <c r="B289" s="2" t="s">
        <v>161</v>
      </c>
      <c r="C289" s="2" t="s">
        <v>162</v>
      </c>
      <c r="D289" s="2" t="s">
        <v>163</v>
      </c>
      <c r="E289" s="2" t="s">
        <v>339</v>
      </c>
      <c r="F289" s="2" t="s">
        <v>4980</v>
      </c>
      <c r="G289" s="2" t="s">
        <v>4939</v>
      </c>
      <c r="H289" s="2" t="s">
        <v>4958</v>
      </c>
      <c r="I289" s="20">
        <v>188</v>
      </c>
      <c r="J289" s="2" t="s">
        <v>4941</v>
      </c>
      <c r="K289" s="2" t="s">
        <v>4959</v>
      </c>
    </row>
    <row r="290" spans="1:11" ht="15.35" x14ac:dyDescent="0.55000000000000004">
      <c r="A290" s="20">
        <v>7604</v>
      </c>
      <c r="B290" s="2" t="s">
        <v>161</v>
      </c>
      <c r="C290" s="2" t="s">
        <v>162</v>
      </c>
      <c r="D290" s="2" t="s">
        <v>163</v>
      </c>
      <c r="E290" s="2" t="s">
        <v>339</v>
      </c>
      <c r="F290" s="2" t="s">
        <v>4980</v>
      </c>
      <c r="G290" s="2" t="s">
        <v>4939</v>
      </c>
      <c r="H290" s="2" t="s">
        <v>4958</v>
      </c>
      <c r="I290" s="20">
        <v>98</v>
      </c>
      <c r="J290" s="2" t="s">
        <v>4941</v>
      </c>
      <c r="K290" s="2" t="s">
        <v>4982</v>
      </c>
    </row>
    <row r="291" spans="1:11" ht="15.35" x14ac:dyDescent="0.55000000000000004">
      <c r="A291" s="20">
        <v>7606</v>
      </c>
      <c r="B291" s="2" t="s">
        <v>161</v>
      </c>
      <c r="C291" s="2" t="s">
        <v>162</v>
      </c>
      <c r="D291" s="2" t="s">
        <v>163</v>
      </c>
      <c r="E291" s="2" t="s">
        <v>339</v>
      </c>
      <c r="F291" s="2" t="s">
        <v>4980</v>
      </c>
      <c r="G291" s="2" t="s">
        <v>4939</v>
      </c>
      <c r="H291" s="2" t="s">
        <v>4958</v>
      </c>
      <c r="I291" s="20">
        <v>39</v>
      </c>
      <c r="J291" s="2" t="s">
        <v>4941</v>
      </c>
      <c r="K291" s="2" t="s">
        <v>4967</v>
      </c>
    </row>
    <row r="292" spans="1:11" ht="15.35" x14ac:dyDescent="0.55000000000000004">
      <c r="A292" s="20">
        <v>7611</v>
      </c>
      <c r="B292" s="2" t="s">
        <v>161</v>
      </c>
      <c r="C292" s="2" t="s">
        <v>162</v>
      </c>
      <c r="D292" s="2" t="s">
        <v>163</v>
      </c>
      <c r="E292" s="2" t="s">
        <v>339</v>
      </c>
      <c r="F292" s="2" t="s">
        <v>4980</v>
      </c>
      <c r="G292" s="2" t="s">
        <v>4939</v>
      </c>
      <c r="H292" s="2" t="s">
        <v>4958</v>
      </c>
      <c r="I292" s="20">
        <v>50</v>
      </c>
      <c r="J292" s="2" t="s">
        <v>4941</v>
      </c>
      <c r="K292" s="2" t="s">
        <v>4965</v>
      </c>
    </row>
    <row r="293" spans="1:11" ht="15.35" x14ac:dyDescent="0.55000000000000004">
      <c r="A293" s="20">
        <v>7619</v>
      </c>
      <c r="B293" s="2" t="s">
        <v>161</v>
      </c>
      <c r="C293" s="2" t="s">
        <v>162</v>
      </c>
      <c r="D293" s="2" t="s">
        <v>163</v>
      </c>
      <c r="E293" s="2" t="s">
        <v>339</v>
      </c>
      <c r="F293" s="2" t="s">
        <v>4980</v>
      </c>
      <c r="G293" s="2" t="s">
        <v>4931</v>
      </c>
      <c r="H293" s="2" t="s">
        <v>4969</v>
      </c>
      <c r="I293" s="20">
        <v>3.46</v>
      </c>
      <c r="J293" s="2" t="s">
        <v>4933</v>
      </c>
    </row>
    <row r="294" spans="1:11" ht="15.35" x14ac:dyDescent="0.55000000000000004">
      <c r="A294" s="20">
        <v>7624</v>
      </c>
      <c r="B294" s="2" t="s">
        <v>161</v>
      </c>
      <c r="C294" s="2" t="s">
        <v>162</v>
      </c>
      <c r="D294" s="2" t="s">
        <v>163</v>
      </c>
      <c r="E294" s="2" t="s">
        <v>339</v>
      </c>
      <c r="F294" s="2" t="s">
        <v>4980</v>
      </c>
      <c r="G294" s="2" t="s">
        <v>4928</v>
      </c>
      <c r="H294" s="2" t="s">
        <v>4971</v>
      </c>
      <c r="I294" s="20">
        <v>1233.47</v>
      </c>
      <c r="J294" s="2" t="s">
        <v>4935</v>
      </c>
    </row>
    <row r="295" spans="1:11" ht="15.35" x14ac:dyDescent="0.55000000000000004">
      <c r="A295" s="20">
        <v>7634</v>
      </c>
      <c r="B295" s="2" t="s">
        <v>161</v>
      </c>
      <c r="C295" s="2" t="s">
        <v>162</v>
      </c>
      <c r="D295" s="2" t="s">
        <v>163</v>
      </c>
      <c r="E295" s="2" t="s">
        <v>339</v>
      </c>
      <c r="F295" s="2" t="s">
        <v>4980</v>
      </c>
      <c r="G295" s="2" t="s">
        <v>4931</v>
      </c>
      <c r="H295" s="2" t="s">
        <v>4968</v>
      </c>
      <c r="I295" s="20">
        <v>90.42</v>
      </c>
      <c r="J295" s="2" t="s">
        <v>4933</v>
      </c>
    </row>
    <row r="296" spans="1:11" ht="15.35" x14ac:dyDescent="0.55000000000000004">
      <c r="A296" s="20">
        <v>7637</v>
      </c>
      <c r="B296" s="2" t="s">
        <v>161</v>
      </c>
      <c r="C296" s="2" t="s">
        <v>162</v>
      </c>
      <c r="D296" s="2" t="s">
        <v>163</v>
      </c>
      <c r="E296" s="2" t="s">
        <v>339</v>
      </c>
      <c r="F296" s="2" t="s">
        <v>4980</v>
      </c>
      <c r="G296" s="2" t="s">
        <v>4931</v>
      </c>
      <c r="H296" s="2" t="s">
        <v>4960</v>
      </c>
      <c r="I296" s="20">
        <v>100</v>
      </c>
      <c r="J296" s="2" t="s">
        <v>4933</v>
      </c>
      <c r="K296" s="2" t="s">
        <v>4965</v>
      </c>
    </row>
    <row r="297" spans="1:11" ht="15.35" x14ac:dyDescent="0.55000000000000004">
      <c r="A297" s="20">
        <v>7639</v>
      </c>
      <c r="B297" s="2" t="s">
        <v>161</v>
      </c>
      <c r="C297" s="2" t="s">
        <v>162</v>
      </c>
      <c r="D297" s="2" t="s">
        <v>163</v>
      </c>
      <c r="E297" s="2" t="s">
        <v>339</v>
      </c>
      <c r="F297" s="2" t="s">
        <v>4980</v>
      </c>
      <c r="G297" s="2" t="s">
        <v>4931</v>
      </c>
      <c r="H297" s="2" t="s">
        <v>4960</v>
      </c>
      <c r="I297" s="20">
        <v>100</v>
      </c>
      <c r="J297" s="2" t="s">
        <v>4933</v>
      </c>
      <c r="K297" s="2" t="s">
        <v>4966</v>
      </c>
    </row>
    <row r="298" spans="1:11" ht="15.35" x14ac:dyDescent="0.55000000000000004">
      <c r="A298" s="20">
        <v>7642</v>
      </c>
      <c r="B298" s="2" t="s">
        <v>161</v>
      </c>
      <c r="C298" s="2" t="s">
        <v>162</v>
      </c>
      <c r="D298" s="2" t="s">
        <v>163</v>
      </c>
      <c r="E298" s="2" t="s">
        <v>339</v>
      </c>
      <c r="F298" s="2" t="s">
        <v>4980</v>
      </c>
      <c r="G298" s="2" t="s">
        <v>4928</v>
      </c>
      <c r="H298" s="2" t="s">
        <v>4970</v>
      </c>
      <c r="I298" s="20">
        <v>35617.449999999997</v>
      </c>
      <c r="J298" s="2" t="s">
        <v>4935</v>
      </c>
    </row>
    <row r="299" spans="1:11" ht="15.35" x14ac:dyDescent="0.55000000000000004">
      <c r="A299" s="20">
        <v>7645</v>
      </c>
      <c r="B299" s="2" t="s">
        <v>161</v>
      </c>
      <c r="C299" s="2" t="s">
        <v>162</v>
      </c>
      <c r="D299" s="2" t="s">
        <v>163</v>
      </c>
      <c r="E299" s="2" t="s">
        <v>339</v>
      </c>
      <c r="F299" s="2" t="s">
        <v>4980</v>
      </c>
      <c r="G299" s="2" t="s">
        <v>4931</v>
      </c>
      <c r="H299" s="2" t="s">
        <v>4960</v>
      </c>
      <c r="I299" s="20">
        <v>56</v>
      </c>
      <c r="J299" s="2" t="s">
        <v>4933</v>
      </c>
      <c r="K299" s="2" t="s">
        <v>4967</v>
      </c>
    </row>
    <row r="300" spans="1:11" ht="15.35" x14ac:dyDescent="0.55000000000000004">
      <c r="A300" s="20">
        <v>7661</v>
      </c>
      <c r="B300" s="2" t="s">
        <v>161</v>
      </c>
      <c r="C300" s="2" t="s">
        <v>162</v>
      </c>
      <c r="D300" s="2" t="s">
        <v>163</v>
      </c>
      <c r="E300" s="2" t="s">
        <v>339</v>
      </c>
      <c r="F300" s="2" t="s">
        <v>4980</v>
      </c>
      <c r="G300" s="2" t="s">
        <v>4928</v>
      </c>
      <c r="H300" s="2" t="s">
        <v>4972</v>
      </c>
      <c r="I300" s="20">
        <v>2410</v>
      </c>
      <c r="J300" s="2" t="s">
        <v>4935</v>
      </c>
    </row>
    <row r="301" spans="1:11" ht="15.35" x14ac:dyDescent="0.55000000000000004">
      <c r="A301" s="20">
        <v>7666</v>
      </c>
      <c r="B301" s="2" t="s">
        <v>161</v>
      </c>
      <c r="C301" s="2" t="s">
        <v>162</v>
      </c>
      <c r="D301" s="2" t="s">
        <v>163</v>
      </c>
      <c r="E301" s="2" t="s">
        <v>339</v>
      </c>
      <c r="F301" s="2" t="s">
        <v>4980</v>
      </c>
      <c r="G301" s="2" t="s">
        <v>4928</v>
      </c>
      <c r="H301" s="2" t="s">
        <v>4973</v>
      </c>
      <c r="I301" s="20">
        <v>2665.45</v>
      </c>
      <c r="J301" s="2" t="s">
        <v>4935</v>
      </c>
    </row>
    <row r="302" spans="1:11" ht="15.35" x14ac:dyDescent="0.55000000000000004">
      <c r="A302" s="20">
        <v>7671</v>
      </c>
      <c r="B302" s="2" t="s">
        <v>161</v>
      </c>
      <c r="C302" s="2" t="s">
        <v>162</v>
      </c>
      <c r="D302" s="2" t="s">
        <v>163</v>
      </c>
      <c r="E302" s="2" t="s">
        <v>339</v>
      </c>
      <c r="F302" s="2" t="s">
        <v>4980</v>
      </c>
      <c r="G302" s="2" t="s">
        <v>4931</v>
      </c>
      <c r="H302" s="2" t="s">
        <v>4960</v>
      </c>
      <c r="I302" s="20">
        <v>100</v>
      </c>
      <c r="J302" s="2" t="s">
        <v>4933</v>
      </c>
      <c r="K302" s="2" t="s">
        <v>4982</v>
      </c>
    </row>
    <row r="303" spans="1:11" ht="15.35" x14ac:dyDescent="0.55000000000000004">
      <c r="A303" s="20">
        <v>7673</v>
      </c>
      <c r="B303" s="2" t="s">
        <v>161</v>
      </c>
      <c r="C303" s="2" t="s">
        <v>162</v>
      </c>
      <c r="D303" s="2" t="s">
        <v>163</v>
      </c>
      <c r="E303" s="2" t="s">
        <v>339</v>
      </c>
      <c r="F303" s="2" t="s">
        <v>4980</v>
      </c>
      <c r="G303" s="2" t="s">
        <v>4939</v>
      </c>
      <c r="H303" s="2" t="s">
        <v>4958</v>
      </c>
      <c r="I303" s="20">
        <v>233</v>
      </c>
      <c r="J303" s="2" t="s">
        <v>4941</v>
      </c>
      <c r="K303" s="2" t="s">
        <v>4961</v>
      </c>
    </row>
    <row r="304" spans="1:11" ht="15.35" x14ac:dyDescent="0.55000000000000004">
      <c r="A304" s="20">
        <v>11148</v>
      </c>
      <c r="B304" s="2" t="s">
        <v>161</v>
      </c>
      <c r="C304" s="2" t="s">
        <v>162</v>
      </c>
      <c r="D304" s="2" t="s">
        <v>163</v>
      </c>
      <c r="E304" s="2" t="s">
        <v>339</v>
      </c>
      <c r="F304" s="2" t="s">
        <v>4983</v>
      </c>
      <c r="G304" s="2" t="s">
        <v>4928</v>
      </c>
      <c r="H304" s="2" t="s">
        <v>4973</v>
      </c>
      <c r="I304" s="20">
        <v>263</v>
      </c>
      <c r="J304" s="2" t="s">
        <v>4935</v>
      </c>
    </row>
    <row r="305" spans="1:11" ht="15.35" x14ac:dyDescent="0.55000000000000004">
      <c r="A305" s="20">
        <v>11149</v>
      </c>
      <c r="B305" s="2" t="s">
        <v>161</v>
      </c>
      <c r="C305" s="2" t="s">
        <v>162</v>
      </c>
      <c r="D305" s="2" t="s">
        <v>163</v>
      </c>
      <c r="E305" s="2" t="s">
        <v>339</v>
      </c>
      <c r="F305" s="2" t="s">
        <v>4983</v>
      </c>
      <c r="G305" s="2" t="s">
        <v>4931</v>
      </c>
      <c r="H305" s="2" t="s">
        <v>4960</v>
      </c>
      <c r="I305" s="20">
        <v>100</v>
      </c>
      <c r="J305" s="2" t="s">
        <v>4933</v>
      </c>
      <c r="K305" s="2" t="s">
        <v>4982</v>
      </c>
    </row>
    <row r="306" spans="1:11" ht="15.35" x14ac:dyDescent="0.55000000000000004">
      <c r="A306" s="20">
        <v>11150</v>
      </c>
      <c r="B306" s="2" t="s">
        <v>161</v>
      </c>
      <c r="C306" s="2" t="s">
        <v>162</v>
      </c>
      <c r="D306" s="2" t="s">
        <v>163</v>
      </c>
      <c r="E306" s="2" t="s">
        <v>339</v>
      </c>
      <c r="F306" s="2" t="s">
        <v>4983</v>
      </c>
      <c r="G306" s="2" t="s">
        <v>4931</v>
      </c>
      <c r="H306" s="2" t="s">
        <v>4960</v>
      </c>
      <c r="I306" s="20">
        <v>63</v>
      </c>
      <c r="J306" s="2" t="s">
        <v>4933</v>
      </c>
      <c r="K306" s="2" t="s">
        <v>4967</v>
      </c>
    </row>
    <row r="307" spans="1:11" ht="15.35" x14ac:dyDescent="0.55000000000000004">
      <c r="A307" s="20">
        <v>11151</v>
      </c>
      <c r="B307" s="2" t="s">
        <v>161</v>
      </c>
      <c r="C307" s="2" t="s">
        <v>162</v>
      </c>
      <c r="D307" s="2" t="s">
        <v>163</v>
      </c>
      <c r="E307" s="2" t="s">
        <v>339</v>
      </c>
      <c r="F307" s="2" t="s">
        <v>4983</v>
      </c>
      <c r="G307" s="2" t="s">
        <v>4928</v>
      </c>
      <c r="H307" s="2" t="s">
        <v>4984</v>
      </c>
      <c r="I307" s="20">
        <v>5617.18</v>
      </c>
      <c r="J307" s="2" t="s">
        <v>4935</v>
      </c>
      <c r="K307" s="2" t="s">
        <v>4985</v>
      </c>
    </row>
    <row r="308" spans="1:11" ht="15.35" x14ac:dyDescent="0.55000000000000004">
      <c r="A308" s="20">
        <v>11152</v>
      </c>
      <c r="B308" s="2" t="s">
        <v>161</v>
      </c>
      <c r="C308" s="2" t="s">
        <v>162</v>
      </c>
      <c r="D308" s="2" t="s">
        <v>163</v>
      </c>
      <c r="E308" s="2" t="s">
        <v>339</v>
      </c>
      <c r="F308" s="2" t="s">
        <v>4983</v>
      </c>
      <c r="G308" s="2" t="s">
        <v>4928</v>
      </c>
      <c r="H308" s="2" t="s">
        <v>4972</v>
      </c>
      <c r="I308" s="20">
        <v>263</v>
      </c>
      <c r="J308" s="2" t="s">
        <v>4935</v>
      </c>
    </row>
    <row r="309" spans="1:11" ht="15.35" x14ac:dyDescent="0.55000000000000004">
      <c r="A309" s="20">
        <v>11153</v>
      </c>
      <c r="B309" s="2" t="s">
        <v>161</v>
      </c>
      <c r="C309" s="2" t="s">
        <v>162</v>
      </c>
      <c r="D309" s="2" t="s">
        <v>163</v>
      </c>
      <c r="E309" s="2" t="s">
        <v>339</v>
      </c>
      <c r="F309" s="2" t="s">
        <v>4983</v>
      </c>
      <c r="G309" s="2" t="s">
        <v>4928</v>
      </c>
      <c r="H309" s="2" t="s">
        <v>4970</v>
      </c>
      <c r="I309" s="20">
        <v>65048</v>
      </c>
      <c r="J309" s="2" t="s">
        <v>4935</v>
      </c>
    </row>
    <row r="310" spans="1:11" ht="15.35" x14ac:dyDescent="0.55000000000000004">
      <c r="A310" s="20">
        <v>11154</v>
      </c>
      <c r="B310" s="2" t="s">
        <v>161</v>
      </c>
      <c r="C310" s="2" t="s">
        <v>162</v>
      </c>
      <c r="D310" s="2" t="s">
        <v>163</v>
      </c>
      <c r="E310" s="2" t="s">
        <v>339</v>
      </c>
      <c r="F310" s="2" t="s">
        <v>4983</v>
      </c>
      <c r="G310" s="2" t="s">
        <v>4931</v>
      </c>
      <c r="H310" s="2" t="s">
        <v>4968</v>
      </c>
      <c r="I310" s="20">
        <v>100</v>
      </c>
      <c r="J310" s="2" t="s">
        <v>4933</v>
      </c>
    </row>
    <row r="311" spans="1:11" ht="15.35" x14ac:dyDescent="0.55000000000000004">
      <c r="A311" s="20">
        <v>11155</v>
      </c>
      <c r="B311" s="2" t="s">
        <v>161</v>
      </c>
      <c r="C311" s="2" t="s">
        <v>162</v>
      </c>
      <c r="D311" s="2" t="s">
        <v>163</v>
      </c>
      <c r="E311" s="2" t="s">
        <v>339</v>
      </c>
      <c r="F311" s="2" t="s">
        <v>4983</v>
      </c>
      <c r="G311" s="2" t="s">
        <v>4931</v>
      </c>
      <c r="H311" s="2" t="s">
        <v>4960</v>
      </c>
      <c r="I311" s="20">
        <v>100</v>
      </c>
      <c r="J311" s="2" t="s">
        <v>4933</v>
      </c>
      <c r="K311" s="2" t="s">
        <v>4965</v>
      </c>
    </row>
    <row r="312" spans="1:11" ht="15.35" x14ac:dyDescent="0.55000000000000004">
      <c r="A312" s="20">
        <v>11156</v>
      </c>
      <c r="B312" s="2" t="s">
        <v>161</v>
      </c>
      <c r="C312" s="2" t="s">
        <v>162</v>
      </c>
      <c r="D312" s="2" t="s">
        <v>163</v>
      </c>
      <c r="E312" s="2" t="s">
        <v>339</v>
      </c>
      <c r="F312" s="2" t="s">
        <v>4983</v>
      </c>
      <c r="G312" s="2" t="s">
        <v>4931</v>
      </c>
      <c r="H312" s="2" t="s">
        <v>4960</v>
      </c>
      <c r="I312" s="20">
        <v>97</v>
      </c>
      <c r="J312" s="2" t="s">
        <v>4933</v>
      </c>
      <c r="K312" s="2" t="s">
        <v>4962</v>
      </c>
    </row>
    <row r="313" spans="1:11" ht="15.35" x14ac:dyDescent="0.55000000000000004">
      <c r="A313" s="20">
        <v>11157</v>
      </c>
      <c r="B313" s="2" t="s">
        <v>161</v>
      </c>
      <c r="C313" s="2" t="s">
        <v>162</v>
      </c>
      <c r="D313" s="2" t="s">
        <v>163</v>
      </c>
      <c r="E313" s="2" t="s">
        <v>339</v>
      </c>
      <c r="F313" s="2" t="s">
        <v>4983</v>
      </c>
      <c r="G313" s="2" t="s">
        <v>4931</v>
      </c>
      <c r="H313" s="2" t="s">
        <v>4960</v>
      </c>
      <c r="I313" s="20">
        <v>100</v>
      </c>
      <c r="J313" s="2" t="s">
        <v>4933</v>
      </c>
      <c r="K313" s="2" t="s">
        <v>4966</v>
      </c>
    </row>
    <row r="314" spans="1:11" ht="15.35" x14ac:dyDescent="0.55000000000000004">
      <c r="A314" s="20">
        <v>11158</v>
      </c>
      <c r="B314" s="2" t="s">
        <v>161</v>
      </c>
      <c r="C314" s="2" t="s">
        <v>162</v>
      </c>
      <c r="D314" s="2" t="s">
        <v>163</v>
      </c>
      <c r="E314" s="2" t="s">
        <v>339</v>
      </c>
      <c r="F314" s="2" t="s">
        <v>4983</v>
      </c>
      <c r="G314" s="2" t="s">
        <v>4931</v>
      </c>
      <c r="H314" s="2" t="s">
        <v>4960</v>
      </c>
      <c r="I314" s="20">
        <v>98</v>
      </c>
      <c r="J314" s="2" t="s">
        <v>4933</v>
      </c>
      <c r="K314" s="2" t="s">
        <v>4961</v>
      </c>
    </row>
    <row r="315" spans="1:11" ht="15.35" x14ac:dyDescent="0.55000000000000004">
      <c r="A315" s="20">
        <v>11159</v>
      </c>
      <c r="B315" s="2" t="s">
        <v>161</v>
      </c>
      <c r="C315" s="2" t="s">
        <v>162</v>
      </c>
      <c r="D315" s="2" t="s">
        <v>163</v>
      </c>
      <c r="E315" s="2" t="s">
        <v>339</v>
      </c>
      <c r="F315" s="2" t="s">
        <v>4983</v>
      </c>
      <c r="G315" s="2" t="s">
        <v>4931</v>
      </c>
      <c r="H315" s="2" t="s">
        <v>4986</v>
      </c>
      <c r="I315" s="20">
        <v>14.63</v>
      </c>
      <c r="J315" s="2" t="s">
        <v>4933</v>
      </c>
      <c r="K315" s="2" t="s">
        <v>4965</v>
      </c>
    </row>
    <row r="316" spans="1:11" ht="15.35" x14ac:dyDescent="0.55000000000000004">
      <c r="A316" s="20">
        <v>11160</v>
      </c>
      <c r="B316" s="2" t="s">
        <v>161</v>
      </c>
      <c r="C316" s="2" t="s">
        <v>162</v>
      </c>
      <c r="D316" s="2" t="s">
        <v>163</v>
      </c>
      <c r="E316" s="2" t="s">
        <v>339</v>
      </c>
      <c r="F316" s="2" t="s">
        <v>4983</v>
      </c>
      <c r="G316" s="2" t="s">
        <v>4931</v>
      </c>
      <c r="H316" s="2" t="s">
        <v>4986</v>
      </c>
      <c r="I316" s="20">
        <v>7.11</v>
      </c>
      <c r="J316" s="2" t="s">
        <v>4933</v>
      </c>
      <c r="K316" s="2" t="s">
        <v>4967</v>
      </c>
    </row>
    <row r="317" spans="1:11" ht="15.35" x14ac:dyDescent="0.55000000000000004">
      <c r="A317" s="20">
        <v>11161</v>
      </c>
      <c r="B317" s="2" t="s">
        <v>161</v>
      </c>
      <c r="C317" s="2" t="s">
        <v>162</v>
      </c>
      <c r="D317" s="2" t="s">
        <v>163</v>
      </c>
      <c r="E317" s="2" t="s">
        <v>339</v>
      </c>
      <c r="F317" s="2" t="s">
        <v>4983</v>
      </c>
      <c r="G317" s="2" t="s">
        <v>4928</v>
      </c>
      <c r="H317" s="2" t="s">
        <v>4971</v>
      </c>
      <c r="I317" s="20">
        <v>1063.78</v>
      </c>
      <c r="J317" s="2" t="s">
        <v>4935</v>
      </c>
    </row>
    <row r="318" spans="1:11" ht="15.35" x14ac:dyDescent="0.55000000000000004">
      <c r="A318" s="20">
        <v>11162</v>
      </c>
      <c r="B318" s="2" t="s">
        <v>161</v>
      </c>
      <c r="C318" s="2" t="s">
        <v>162</v>
      </c>
      <c r="D318" s="2" t="s">
        <v>163</v>
      </c>
      <c r="E318" s="2" t="s">
        <v>339</v>
      </c>
      <c r="F318" s="2" t="s">
        <v>4983</v>
      </c>
      <c r="G318" s="2" t="s">
        <v>4928</v>
      </c>
      <c r="H318" s="2" t="s">
        <v>4984</v>
      </c>
      <c r="I318" s="20">
        <v>6512.16</v>
      </c>
      <c r="J318" s="2" t="s">
        <v>4935</v>
      </c>
      <c r="K318" s="2" t="s">
        <v>4987</v>
      </c>
    </row>
    <row r="319" spans="1:11" ht="15.35" x14ac:dyDescent="0.55000000000000004">
      <c r="A319" s="20">
        <v>11163</v>
      </c>
      <c r="B319" s="2" t="s">
        <v>161</v>
      </c>
      <c r="C319" s="2" t="s">
        <v>162</v>
      </c>
      <c r="D319" s="2" t="s">
        <v>163</v>
      </c>
      <c r="E319" s="2" t="s">
        <v>339</v>
      </c>
      <c r="F319" s="2" t="s">
        <v>4983</v>
      </c>
      <c r="G319" s="2" t="s">
        <v>4928</v>
      </c>
      <c r="H319" s="2" t="s">
        <v>4984</v>
      </c>
      <c r="I319" s="20">
        <v>6594.09</v>
      </c>
      <c r="J319" s="2" t="s">
        <v>4935</v>
      </c>
      <c r="K319" s="2" t="s">
        <v>4988</v>
      </c>
    </row>
    <row r="320" spans="1:11" ht="15.35" x14ac:dyDescent="0.55000000000000004">
      <c r="A320" s="20">
        <v>11164</v>
      </c>
      <c r="B320" s="2" t="s">
        <v>161</v>
      </c>
      <c r="C320" s="2" t="s">
        <v>162</v>
      </c>
      <c r="D320" s="2" t="s">
        <v>163</v>
      </c>
      <c r="E320" s="2" t="s">
        <v>339</v>
      </c>
      <c r="F320" s="2" t="s">
        <v>4983</v>
      </c>
      <c r="G320" s="2" t="s">
        <v>4928</v>
      </c>
      <c r="H320" s="2" t="s">
        <v>4984</v>
      </c>
      <c r="I320" s="20">
        <v>5840</v>
      </c>
      <c r="J320" s="2" t="s">
        <v>4935</v>
      </c>
      <c r="K320" s="2" t="s">
        <v>4989</v>
      </c>
    </row>
    <row r="321" spans="1:11" ht="15.35" x14ac:dyDescent="0.55000000000000004">
      <c r="A321" s="20">
        <v>11165</v>
      </c>
      <c r="B321" s="2" t="s">
        <v>161</v>
      </c>
      <c r="C321" s="2" t="s">
        <v>162</v>
      </c>
      <c r="D321" s="2" t="s">
        <v>163</v>
      </c>
      <c r="E321" s="2" t="s">
        <v>339</v>
      </c>
      <c r="F321" s="2" t="s">
        <v>4983</v>
      </c>
      <c r="G321" s="2" t="s">
        <v>4939</v>
      </c>
      <c r="H321" s="2" t="s">
        <v>4958</v>
      </c>
      <c r="I321" s="20">
        <v>240</v>
      </c>
      <c r="J321" s="2" t="s">
        <v>4941</v>
      </c>
      <c r="K321" s="2" t="s">
        <v>4964</v>
      </c>
    </row>
    <row r="322" spans="1:11" ht="15.35" x14ac:dyDescent="0.55000000000000004">
      <c r="A322" s="20">
        <v>11166</v>
      </c>
      <c r="B322" s="2" t="s">
        <v>161</v>
      </c>
      <c r="C322" s="2" t="s">
        <v>162</v>
      </c>
      <c r="D322" s="2" t="s">
        <v>163</v>
      </c>
      <c r="E322" s="2" t="s">
        <v>339</v>
      </c>
      <c r="F322" s="2" t="s">
        <v>4983</v>
      </c>
      <c r="G322" s="2" t="s">
        <v>4939</v>
      </c>
      <c r="H322" s="2" t="s">
        <v>4958</v>
      </c>
      <c r="I322" s="20">
        <v>252</v>
      </c>
      <c r="J322" s="2" t="s">
        <v>4941</v>
      </c>
      <c r="K322" s="2" t="s">
        <v>4963</v>
      </c>
    </row>
    <row r="323" spans="1:11" ht="15.35" x14ac:dyDescent="0.55000000000000004">
      <c r="A323" s="20">
        <v>11167</v>
      </c>
      <c r="B323" s="2" t="s">
        <v>161</v>
      </c>
      <c r="C323" s="2" t="s">
        <v>162</v>
      </c>
      <c r="D323" s="2" t="s">
        <v>163</v>
      </c>
      <c r="E323" s="2" t="s">
        <v>339</v>
      </c>
      <c r="F323" s="2" t="s">
        <v>4983</v>
      </c>
      <c r="G323" s="2" t="s">
        <v>4939</v>
      </c>
      <c r="H323" s="2" t="s">
        <v>4958</v>
      </c>
      <c r="I323" s="20">
        <v>187</v>
      </c>
      <c r="J323" s="2" t="s">
        <v>4941</v>
      </c>
      <c r="K323" s="2" t="s">
        <v>4966</v>
      </c>
    </row>
    <row r="324" spans="1:11" ht="15.35" x14ac:dyDescent="0.55000000000000004">
      <c r="A324" s="20">
        <v>11168</v>
      </c>
      <c r="B324" s="2" t="s">
        <v>161</v>
      </c>
      <c r="C324" s="2" t="s">
        <v>162</v>
      </c>
      <c r="D324" s="2" t="s">
        <v>163</v>
      </c>
      <c r="E324" s="2" t="s">
        <v>339</v>
      </c>
      <c r="F324" s="2" t="s">
        <v>4983</v>
      </c>
      <c r="G324" s="2" t="s">
        <v>4939</v>
      </c>
      <c r="H324" s="2" t="s">
        <v>4958</v>
      </c>
      <c r="I324" s="20">
        <v>191</v>
      </c>
      <c r="J324" s="2" t="s">
        <v>4941</v>
      </c>
      <c r="K324" s="2" t="s">
        <v>4959</v>
      </c>
    </row>
    <row r="325" spans="1:11" ht="15.35" x14ac:dyDescent="0.55000000000000004">
      <c r="A325" s="20">
        <v>11169</v>
      </c>
      <c r="B325" s="2" t="s">
        <v>161</v>
      </c>
      <c r="C325" s="2" t="s">
        <v>162</v>
      </c>
      <c r="D325" s="2" t="s">
        <v>163</v>
      </c>
      <c r="E325" s="2" t="s">
        <v>339</v>
      </c>
      <c r="F325" s="2" t="s">
        <v>4983</v>
      </c>
      <c r="G325" s="2" t="s">
        <v>4931</v>
      </c>
      <c r="H325" s="2" t="s">
        <v>4986</v>
      </c>
      <c r="I325" s="20">
        <v>4.46</v>
      </c>
      <c r="J325" s="2" t="s">
        <v>4933</v>
      </c>
      <c r="K325" s="2" t="s">
        <v>4962</v>
      </c>
    </row>
    <row r="326" spans="1:11" ht="15.35" x14ac:dyDescent="0.55000000000000004">
      <c r="A326" s="20">
        <v>11170</v>
      </c>
      <c r="B326" s="2" t="s">
        <v>161</v>
      </c>
      <c r="C326" s="2" t="s">
        <v>162</v>
      </c>
      <c r="D326" s="2" t="s">
        <v>163</v>
      </c>
      <c r="E326" s="2" t="s">
        <v>339</v>
      </c>
      <c r="F326" s="2" t="s">
        <v>4983</v>
      </c>
      <c r="G326" s="2" t="s">
        <v>4931</v>
      </c>
      <c r="H326" s="2" t="s">
        <v>4986</v>
      </c>
      <c r="I326" s="20">
        <v>4.76</v>
      </c>
      <c r="J326" s="2" t="s">
        <v>4933</v>
      </c>
      <c r="K326" s="2" t="s">
        <v>4961</v>
      </c>
    </row>
    <row r="327" spans="1:11" ht="15.35" x14ac:dyDescent="0.55000000000000004">
      <c r="A327" s="20">
        <v>11171</v>
      </c>
      <c r="B327" s="2" t="s">
        <v>161</v>
      </c>
      <c r="C327" s="2" t="s">
        <v>162</v>
      </c>
      <c r="D327" s="2" t="s">
        <v>163</v>
      </c>
      <c r="E327" s="2" t="s">
        <v>339</v>
      </c>
      <c r="F327" s="2" t="s">
        <v>4983</v>
      </c>
      <c r="G327" s="2" t="s">
        <v>4939</v>
      </c>
      <c r="H327" s="2" t="s">
        <v>4958</v>
      </c>
      <c r="I327" s="20">
        <v>97</v>
      </c>
      <c r="J327" s="2" t="s">
        <v>4941</v>
      </c>
      <c r="K327" s="2" t="s">
        <v>4982</v>
      </c>
    </row>
    <row r="328" spans="1:11" ht="15.35" x14ac:dyDescent="0.55000000000000004">
      <c r="A328" s="20">
        <v>11172</v>
      </c>
      <c r="B328" s="2" t="s">
        <v>161</v>
      </c>
      <c r="C328" s="2" t="s">
        <v>162</v>
      </c>
      <c r="D328" s="2" t="s">
        <v>163</v>
      </c>
      <c r="E328" s="2" t="s">
        <v>339</v>
      </c>
      <c r="F328" s="2" t="s">
        <v>4983</v>
      </c>
      <c r="G328" s="2" t="s">
        <v>4939</v>
      </c>
      <c r="H328" s="2" t="s">
        <v>4958</v>
      </c>
      <c r="I328" s="20">
        <v>39</v>
      </c>
      <c r="J328" s="2" t="s">
        <v>4941</v>
      </c>
      <c r="K328" s="2" t="s">
        <v>4967</v>
      </c>
    </row>
    <row r="329" spans="1:11" ht="15.35" x14ac:dyDescent="0.55000000000000004">
      <c r="A329" s="20">
        <v>11173</v>
      </c>
      <c r="B329" s="2" t="s">
        <v>161</v>
      </c>
      <c r="C329" s="2" t="s">
        <v>162</v>
      </c>
      <c r="D329" s="2" t="s">
        <v>163</v>
      </c>
      <c r="E329" s="2" t="s">
        <v>339</v>
      </c>
      <c r="F329" s="2" t="s">
        <v>4983</v>
      </c>
      <c r="G329" s="2" t="s">
        <v>4939</v>
      </c>
      <c r="H329" s="2" t="s">
        <v>4958</v>
      </c>
      <c r="I329" s="20">
        <v>50</v>
      </c>
      <c r="J329" s="2" t="s">
        <v>4941</v>
      </c>
      <c r="K329" s="2" t="s">
        <v>4965</v>
      </c>
    </row>
    <row r="330" spans="1:11" ht="15.35" x14ac:dyDescent="0.55000000000000004">
      <c r="A330" s="20">
        <v>11174</v>
      </c>
      <c r="B330" s="2" t="s">
        <v>161</v>
      </c>
      <c r="C330" s="2" t="s">
        <v>162</v>
      </c>
      <c r="D330" s="2" t="s">
        <v>163</v>
      </c>
      <c r="E330" s="2" t="s">
        <v>339</v>
      </c>
      <c r="F330" s="2" t="s">
        <v>4983</v>
      </c>
      <c r="G330" s="2" t="s">
        <v>4939</v>
      </c>
      <c r="H330" s="2" t="s">
        <v>4958</v>
      </c>
      <c r="I330" s="20">
        <v>60</v>
      </c>
      <c r="J330" s="2" t="s">
        <v>4941</v>
      </c>
      <c r="K330" s="2" t="s">
        <v>4981</v>
      </c>
    </row>
    <row r="331" spans="1:11" ht="15.35" x14ac:dyDescent="0.55000000000000004">
      <c r="A331" s="20">
        <v>11175</v>
      </c>
      <c r="B331" s="2" t="s">
        <v>161</v>
      </c>
      <c r="C331" s="2" t="s">
        <v>162</v>
      </c>
      <c r="D331" s="2" t="s">
        <v>163</v>
      </c>
      <c r="E331" s="2" t="s">
        <v>339</v>
      </c>
      <c r="F331" s="2" t="s">
        <v>4983</v>
      </c>
      <c r="G331" s="2" t="s">
        <v>4939</v>
      </c>
      <c r="H331" s="2" t="s">
        <v>4958</v>
      </c>
      <c r="I331" s="20">
        <v>247</v>
      </c>
      <c r="J331" s="2" t="s">
        <v>4941</v>
      </c>
      <c r="K331" s="2" t="s">
        <v>4962</v>
      </c>
    </row>
    <row r="332" spans="1:11" ht="15.35" x14ac:dyDescent="0.55000000000000004">
      <c r="A332" s="20">
        <v>11176</v>
      </c>
      <c r="B332" s="2" t="s">
        <v>161</v>
      </c>
      <c r="C332" s="2" t="s">
        <v>162</v>
      </c>
      <c r="D332" s="2" t="s">
        <v>163</v>
      </c>
      <c r="E332" s="2" t="s">
        <v>339</v>
      </c>
      <c r="F332" s="2" t="s">
        <v>4983</v>
      </c>
      <c r="G332" s="2" t="s">
        <v>4975</v>
      </c>
      <c r="H332" s="2" t="s">
        <v>4978</v>
      </c>
      <c r="I332" s="20">
        <v>4354.68</v>
      </c>
      <c r="J332" s="2" t="s">
        <v>4977</v>
      </c>
    </row>
    <row r="333" spans="1:11" ht="15.35" x14ac:dyDescent="0.55000000000000004">
      <c r="A333" s="20">
        <v>11177</v>
      </c>
      <c r="B333" s="2" t="s">
        <v>161</v>
      </c>
      <c r="C333" s="2" t="s">
        <v>162</v>
      </c>
      <c r="D333" s="2" t="s">
        <v>163</v>
      </c>
      <c r="E333" s="2" t="s">
        <v>339</v>
      </c>
      <c r="F333" s="2" t="s">
        <v>4983</v>
      </c>
      <c r="G333" s="2" t="s">
        <v>4931</v>
      </c>
      <c r="H333" s="2" t="s">
        <v>4986</v>
      </c>
      <c r="I333" s="20">
        <v>6.91</v>
      </c>
      <c r="J333" s="2" t="s">
        <v>4933</v>
      </c>
      <c r="K333" s="2" t="s">
        <v>4966</v>
      </c>
    </row>
    <row r="334" spans="1:11" ht="15.35" x14ac:dyDescent="0.55000000000000004">
      <c r="A334" s="20">
        <v>11178</v>
      </c>
      <c r="B334" s="2" t="s">
        <v>161</v>
      </c>
      <c r="C334" s="2" t="s">
        <v>162</v>
      </c>
      <c r="D334" s="2" t="s">
        <v>163</v>
      </c>
      <c r="E334" s="2" t="s">
        <v>339</v>
      </c>
      <c r="F334" s="2" t="s">
        <v>4983</v>
      </c>
      <c r="G334" s="2" t="s">
        <v>4975</v>
      </c>
      <c r="H334" s="2" t="s">
        <v>4976</v>
      </c>
      <c r="I334" s="20">
        <v>360.81</v>
      </c>
      <c r="J334" s="2" t="s">
        <v>4977</v>
      </c>
    </row>
    <row r="335" spans="1:11" ht="15.35" x14ac:dyDescent="0.55000000000000004">
      <c r="A335" s="20">
        <v>11179</v>
      </c>
      <c r="B335" s="2" t="s">
        <v>161</v>
      </c>
      <c r="C335" s="2" t="s">
        <v>162</v>
      </c>
      <c r="D335" s="2" t="s">
        <v>163</v>
      </c>
      <c r="E335" s="2" t="s">
        <v>339</v>
      </c>
      <c r="F335" s="2" t="s">
        <v>4983</v>
      </c>
      <c r="G335" s="2" t="s">
        <v>4928</v>
      </c>
      <c r="H335" s="2" t="s">
        <v>4984</v>
      </c>
      <c r="I335" s="20">
        <v>11417.52</v>
      </c>
      <c r="J335" s="2" t="s">
        <v>4935</v>
      </c>
      <c r="K335" s="2" t="s">
        <v>4990</v>
      </c>
    </row>
    <row r="336" spans="1:11" ht="15.35" x14ac:dyDescent="0.55000000000000004">
      <c r="A336" s="20">
        <v>11180</v>
      </c>
      <c r="B336" s="2" t="s">
        <v>161</v>
      </c>
      <c r="C336" s="2" t="s">
        <v>162</v>
      </c>
      <c r="D336" s="2" t="s">
        <v>163</v>
      </c>
      <c r="E336" s="2" t="s">
        <v>339</v>
      </c>
      <c r="F336" s="2" t="s">
        <v>4983</v>
      </c>
      <c r="G336" s="2" t="s">
        <v>4939</v>
      </c>
      <c r="H336" s="2" t="s">
        <v>4958</v>
      </c>
      <c r="I336" s="20">
        <v>233</v>
      </c>
      <c r="J336" s="2" t="s">
        <v>4941</v>
      </c>
      <c r="K336" s="2" t="s">
        <v>4961</v>
      </c>
    </row>
    <row r="337" spans="1:11" ht="15.35" x14ac:dyDescent="0.55000000000000004">
      <c r="A337" s="20">
        <v>11181</v>
      </c>
      <c r="B337" s="2" t="s">
        <v>161</v>
      </c>
      <c r="C337" s="2" t="s">
        <v>162</v>
      </c>
      <c r="D337" s="2" t="s">
        <v>163</v>
      </c>
      <c r="E337" s="2" t="s">
        <v>339</v>
      </c>
      <c r="F337" s="2" t="s">
        <v>4983</v>
      </c>
      <c r="G337" s="2" t="s">
        <v>4928</v>
      </c>
      <c r="H337" s="2" t="s">
        <v>4991</v>
      </c>
      <c r="I337" s="20">
        <v>395</v>
      </c>
    </row>
    <row r="338" spans="1:11" ht="15.35" x14ac:dyDescent="0.55000000000000004">
      <c r="A338" s="20">
        <v>11182</v>
      </c>
      <c r="B338" s="2" t="s">
        <v>161</v>
      </c>
      <c r="C338" s="2" t="s">
        <v>162</v>
      </c>
      <c r="D338" s="2" t="s">
        <v>163</v>
      </c>
      <c r="E338" s="2" t="s">
        <v>339</v>
      </c>
      <c r="F338" s="2" t="s">
        <v>4983</v>
      </c>
      <c r="G338" s="2" t="s">
        <v>4928</v>
      </c>
      <c r="H338" s="2" t="s">
        <v>4984</v>
      </c>
      <c r="I338" s="20">
        <v>1378.66</v>
      </c>
      <c r="J338" s="2" t="s">
        <v>4935</v>
      </c>
      <c r="K338" s="2" t="s">
        <v>4992</v>
      </c>
    </row>
    <row r="339" spans="1:11" ht="15.35" x14ac:dyDescent="0.55000000000000004">
      <c r="A339" s="20">
        <v>11183</v>
      </c>
      <c r="B339" s="2" t="s">
        <v>161</v>
      </c>
      <c r="C339" s="2" t="s">
        <v>162</v>
      </c>
      <c r="D339" s="2" t="s">
        <v>163</v>
      </c>
      <c r="E339" s="2" t="s">
        <v>339</v>
      </c>
      <c r="F339" s="2" t="s">
        <v>4983</v>
      </c>
      <c r="G339" s="2" t="s">
        <v>4928</v>
      </c>
      <c r="H339" s="2" t="s">
        <v>4984</v>
      </c>
      <c r="I339" s="20">
        <v>3813.28</v>
      </c>
      <c r="J339" s="2" t="s">
        <v>4935</v>
      </c>
      <c r="K339" s="2" t="s">
        <v>4993</v>
      </c>
    </row>
    <row r="340" spans="1:11" ht="15.35" x14ac:dyDescent="0.55000000000000004">
      <c r="A340" s="20">
        <v>11184</v>
      </c>
      <c r="B340" s="2" t="s">
        <v>161</v>
      </c>
      <c r="C340" s="2" t="s">
        <v>162</v>
      </c>
      <c r="D340" s="2" t="s">
        <v>163</v>
      </c>
      <c r="E340" s="2" t="s">
        <v>339</v>
      </c>
      <c r="F340" s="2" t="s">
        <v>4983</v>
      </c>
      <c r="G340" s="2" t="s">
        <v>4931</v>
      </c>
      <c r="H340" s="2" t="s">
        <v>4986</v>
      </c>
      <c r="I340" s="20">
        <v>21.9</v>
      </c>
      <c r="J340" s="2" t="s">
        <v>4933</v>
      </c>
      <c r="K340" s="2" t="s">
        <v>4964</v>
      </c>
    </row>
    <row r="341" spans="1:11" ht="15.35" x14ac:dyDescent="0.55000000000000004">
      <c r="A341" s="20">
        <v>11186</v>
      </c>
      <c r="B341" s="2" t="s">
        <v>161</v>
      </c>
      <c r="C341" s="2" t="s">
        <v>162</v>
      </c>
      <c r="D341" s="2" t="s">
        <v>163</v>
      </c>
      <c r="E341" s="2" t="s">
        <v>339</v>
      </c>
      <c r="F341" s="2" t="s">
        <v>4983</v>
      </c>
      <c r="G341" s="2" t="s">
        <v>4931</v>
      </c>
      <c r="H341" s="2" t="s">
        <v>4960</v>
      </c>
      <c r="I341" s="20">
        <v>75</v>
      </c>
      <c r="J341" s="2" t="s">
        <v>4933</v>
      </c>
      <c r="K341" s="2" t="s">
        <v>4981</v>
      </c>
    </row>
    <row r="342" spans="1:11" ht="15.35" x14ac:dyDescent="0.55000000000000004">
      <c r="A342" s="20">
        <v>11187</v>
      </c>
      <c r="B342" s="2" t="s">
        <v>161</v>
      </c>
      <c r="C342" s="2" t="s">
        <v>162</v>
      </c>
      <c r="D342" s="2" t="s">
        <v>163</v>
      </c>
      <c r="E342" s="2" t="s">
        <v>339</v>
      </c>
      <c r="F342" s="2" t="s">
        <v>4983</v>
      </c>
      <c r="G342" s="2" t="s">
        <v>4931</v>
      </c>
      <c r="H342" s="2" t="s">
        <v>4960</v>
      </c>
      <c r="I342" s="20">
        <v>100</v>
      </c>
      <c r="J342" s="2" t="s">
        <v>4933</v>
      </c>
      <c r="K342" s="2" t="s">
        <v>4964</v>
      </c>
    </row>
    <row r="343" spans="1:11" ht="15.35" x14ac:dyDescent="0.55000000000000004">
      <c r="A343" s="20">
        <v>11210</v>
      </c>
      <c r="B343" s="2" t="s">
        <v>161</v>
      </c>
      <c r="C343" s="2" t="s">
        <v>162</v>
      </c>
      <c r="D343" s="2" t="s">
        <v>163</v>
      </c>
      <c r="E343" s="2" t="s">
        <v>339</v>
      </c>
      <c r="F343" s="2" t="s">
        <v>4983</v>
      </c>
      <c r="G343" s="2" t="s">
        <v>4931</v>
      </c>
      <c r="H343" s="2" t="s">
        <v>4960</v>
      </c>
      <c r="I343" s="20">
        <v>100</v>
      </c>
      <c r="J343" s="2" t="s">
        <v>4933</v>
      </c>
      <c r="K343" s="2" t="s">
        <v>4963</v>
      </c>
    </row>
    <row r="344" spans="1:11" ht="15.35" x14ac:dyDescent="0.55000000000000004">
      <c r="A344" s="20">
        <v>11229</v>
      </c>
      <c r="B344" s="2" t="s">
        <v>161</v>
      </c>
      <c r="C344" s="2" t="s">
        <v>162</v>
      </c>
      <c r="D344" s="2" t="s">
        <v>163</v>
      </c>
      <c r="E344" s="2" t="s">
        <v>339</v>
      </c>
      <c r="F344" s="2" t="s">
        <v>4983</v>
      </c>
      <c r="G344" s="2" t="s">
        <v>4931</v>
      </c>
      <c r="H344" s="2" t="s">
        <v>4960</v>
      </c>
      <c r="I344" s="20">
        <v>92</v>
      </c>
      <c r="J344" s="2" t="s">
        <v>4933</v>
      </c>
      <c r="K344" s="2" t="s">
        <v>4959</v>
      </c>
    </row>
    <row r="345" spans="1:11" ht="15.35" x14ac:dyDescent="0.55000000000000004">
      <c r="A345" s="20">
        <v>10693</v>
      </c>
      <c r="B345" s="2" t="s">
        <v>161</v>
      </c>
      <c r="C345" s="2" t="s">
        <v>162</v>
      </c>
      <c r="D345" s="2" t="s">
        <v>163</v>
      </c>
      <c r="E345" s="2" t="s">
        <v>339</v>
      </c>
      <c r="F345" s="2" t="s">
        <v>4983</v>
      </c>
      <c r="G345" s="2" t="s">
        <v>4931</v>
      </c>
      <c r="H345" s="2" t="s">
        <v>4969</v>
      </c>
      <c r="I345" s="20">
        <v>1.63</v>
      </c>
      <c r="J345" s="2" t="s">
        <v>4933</v>
      </c>
    </row>
    <row r="346" spans="1:11" ht="15.35" x14ac:dyDescent="0.55000000000000004">
      <c r="A346" s="20">
        <v>11143</v>
      </c>
      <c r="B346" s="2" t="s">
        <v>161</v>
      </c>
      <c r="C346" s="2" t="s">
        <v>162</v>
      </c>
      <c r="D346" s="2" t="s">
        <v>163</v>
      </c>
      <c r="E346" s="2" t="s">
        <v>339</v>
      </c>
      <c r="F346" s="2" t="s">
        <v>4983</v>
      </c>
      <c r="G346" s="2" t="s">
        <v>4928</v>
      </c>
      <c r="H346" s="2" t="s">
        <v>4984</v>
      </c>
      <c r="I346" s="20">
        <v>15786.68</v>
      </c>
      <c r="J346" s="2" t="s">
        <v>4935</v>
      </c>
      <c r="K346" s="2" t="s">
        <v>4994</v>
      </c>
    </row>
    <row r="347" spans="1:11" ht="15.35" x14ac:dyDescent="0.55000000000000004">
      <c r="A347" s="20">
        <v>11144</v>
      </c>
      <c r="B347" s="2" t="s">
        <v>161</v>
      </c>
      <c r="C347" s="2" t="s">
        <v>162</v>
      </c>
      <c r="D347" s="2" t="s">
        <v>163</v>
      </c>
      <c r="E347" s="2" t="s">
        <v>339</v>
      </c>
      <c r="F347" s="2" t="s">
        <v>4983</v>
      </c>
      <c r="G347" s="2" t="s">
        <v>4928</v>
      </c>
      <c r="H347" s="2" t="s">
        <v>4984</v>
      </c>
      <c r="I347" s="20">
        <v>1324.26</v>
      </c>
      <c r="J347" s="2" t="s">
        <v>4935</v>
      </c>
      <c r="K347" s="2" t="s">
        <v>4995</v>
      </c>
    </row>
    <row r="348" spans="1:11" ht="15.35" x14ac:dyDescent="0.55000000000000004">
      <c r="A348" s="20">
        <v>11145</v>
      </c>
      <c r="B348" s="2" t="s">
        <v>161</v>
      </c>
      <c r="C348" s="2" t="s">
        <v>162</v>
      </c>
      <c r="D348" s="2" t="s">
        <v>163</v>
      </c>
      <c r="E348" s="2" t="s">
        <v>339</v>
      </c>
      <c r="F348" s="2" t="s">
        <v>4983</v>
      </c>
      <c r="G348" s="2" t="s">
        <v>4928</v>
      </c>
      <c r="H348" s="2" t="s">
        <v>4984</v>
      </c>
      <c r="I348" s="20">
        <v>17131.28</v>
      </c>
      <c r="J348" s="2" t="s">
        <v>4935</v>
      </c>
      <c r="K348" s="2" t="s">
        <v>4996</v>
      </c>
    </row>
    <row r="349" spans="1:11" ht="15.35" x14ac:dyDescent="0.55000000000000004">
      <c r="A349" s="20">
        <v>11146</v>
      </c>
      <c r="B349" s="2" t="s">
        <v>161</v>
      </c>
      <c r="C349" s="2" t="s">
        <v>162</v>
      </c>
      <c r="D349" s="2" t="s">
        <v>163</v>
      </c>
      <c r="E349" s="2" t="s">
        <v>339</v>
      </c>
      <c r="F349" s="2" t="s">
        <v>4983</v>
      </c>
      <c r="G349" s="2" t="s">
        <v>4931</v>
      </c>
      <c r="H349" s="2" t="s">
        <v>4986</v>
      </c>
      <c r="I349" s="20">
        <v>2.9</v>
      </c>
      <c r="J349" s="2" t="s">
        <v>4933</v>
      </c>
      <c r="K349" s="2" t="s">
        <v>4963</v>
      </c>
    </row>
    <row r="350" spans="1:11" ht="15.35" x14ac:dyDescent="0.55000000000000004">
      <c r="A350" s="20">
        <v>11147</v>
      </c>
      <c r="B350" s="2" t="s">
        <v>161</v>
      </c>
      <c r="C350" s="2" t="s">
        <v>162</v>
      </c>
      <c r="D350" s="2" t="s">
        <v>163</v>
      </c>
      <c r="E350" s="2" t="s">
        <v>339</v>
      </c>
      <c r="F350" s="2" t="s">
        <v>4983</v>
      </c>
      <c r="G350" s="2" t="s">
        <v>4931</v>
      </c>
      <c r="H350" s="2" t="s">
        <v>4986</v>
      </c>
      <c r="I350" s="20">
        <v>4.2699999999999996</v>
      </c>
      <c r="J350" s="2" t="s">
        <v>4933</v>
      </c>
      <c r="K350" s="2" t="s">
        <v>4959</v>
      </c>
    </row>
    <row r="351" spans="1:11" ht="15.35" x14ac:dyDescent="0.55000000000000004">
      <c r="A351" s="20">
        <v>7566</v>
      </c>
      <c r="B351" s="2" t="s">
        <v>161</v>
      </c>
      <c r="C351" s="2" t="s">
        <v>162</v>
      </c>
      <c r="D351" s="2" t="s">
        <v>163</v>
      </c>
      <c r="E351" s="2" t="s">
        <v>339</v>
      </c>
      <c r="F351" s="2" t="s">
        <v>4943</v>
      </c>
      <c r="G351" s="2" t="s">
        <v>4931</v>
      </c>
      <c r="H351" s="2" t="s">
        <v>4952</v>
      </c>
      <c r="I351" s="20">
        <v>100</v>
      </c>
      <c r="J351" s="2" t="s">
        <v>4933</v>
      </c>
    </row>
    <row r="352" spans="1:11" ht="15.35" x14ac:dyDescent="0.55000000000000004">
      <c r="A352" s="20">
        <v>7569</v>
      </c>
      <c r="B352" s="2" t="s">
        <v>161</v>
      </c>
      <c r="C352" s="2" t="s">
        <v>162</v>
      </c>
      <c r="D352" s="2" t="s">
        <v>163</v>
      </c>
      <c r="E352" s="2" t="s">
        <v>339</v>
      </c>
      <c r="F352" s="2" t="s">
        <v>4943</v>
      </c>
      <c r="G352" s="2" t="s">
        <v>4931</v>
      </c>
      <c r="H352" s="2" t="s">
        <v>4937</v>
      </c>
      <c r="I352" s="20">
        <v>87.71</v>
      </c>
      <c r="J352" s="2" t="s">
        <v>4933</v>
      </c>
    </row>
    <row r="353" spans="1:10" ht="15.35" x14ac:dyDescent="0.55000000000000004">
      <c r="A353" s="20">
        <v>7570</v>
      </c>
      <c r="B353" s="2" t="s">
        <v>161</v>
      </c>
      <c r="C353" s="2" t="s">
        <v>162</v>
      </c>
      <c r="D353" s="2" t="s">
        <v>163</v>
      </c>
      <c r="E353" s="2" t="s">
        <v>339</v>
      </c>
      <c r="F353" s="2" t="s">
        <v>4943</v>
      </c>
      <c r="G353" s="2" t="s">
        <v>4928</v>
      </c>
      <c r="H353" s="2" t="s">
        <v>4936</v>
      </c>
      <c r="I353" s="20">
        <v>66405.03</v>
      </c>
      <c r="J353" s="2" t="s">
        <v>4935</v>
      </c>
    </row>
    <row r="354" spans="1:10" ht="15.35" x14ac:dyDescent="0.55000000000000004">
      <c r="A354" s="20">
        <v>7571</v>
      </c>
      <c r="B354" s="2" t="s">
        <v>161</v>
      </c>
      <c r="C354" s="2" t="s">
        <v>162</v>
      </c>
      <c r="D354" s="2" t="s">
        <v>163</v>
      </c>
      <c r="E354" s="2" t="s">
        <v>339</v>
      </c>
      <c r="F354" s="2" t="s">
        <v>4943</v>
      </c>
      <c r="G354" s="2" t="s">
        <v>4928</v>
      </c>
      <c r="H354" s="2" t="s">
        <v>4934</v>
      </c>
      <c r="I354" s="20">
        <v>75708.070000000007</v>
      </c>
      <c r="J354" s="2" t="s">
        <v>4935</v>
      </c>
    </row>
    <row r="355" spans="1:10" ht="15.35" x14ac:dyDescent="0.55000000000000004">
      <c r="A355" s="20">
        <v>7576</v>
      </c>
      <c r="B355" s="2" t="s">
        <v>161</v>
      </c>
      <c r="C355" s="2" t="s">
        <v>162</v>
      </c>
      <c r="D355" s="2" t="s">
        <v>163</v>
      </c>
      <c r="E355" s="2" t="s">
        <v>339</v>
      </c>
      <c r="F355" s="2" t="s">
        <v>4943</v>
      </c>
      <c r="G355" s="2" t="s">
        <v>4939</v>
      </c>
      <c r="H355" s="2" t="s">
        <v>4946</v>
      </c>
      <c r="I355" s="20">
        <v>134.41999999999999</v>
      </c>
      <c r="J355" s="2" t="s">
        <v>4941</v>
      </c>
    </row>
    <row r="356" spans="1:10" ht="15.35" x14ac:dyDescent="0.55000000000000004">
      <c r="A356" s="20">
        <v>7581</v>
      </c>
      <c r="B356" s="2" t="s">
        <v>161</v>
      </c>
      <c r="C356" s="2" t="s">
        <v>162</v>
      </c>
      <c r="D356" s="2" t="s">
        <v>163</v>
      </c>
      <c r="E356" s="2" t="s">
        <v>339</v>
      </c>
      <c r="F356" s="2" t="s">
        <v>4943</v>
      </c>
      <c r="G356" s="2" t="s">
        <v>4928</v>
      </c>
      <c r="H356" s="2" t="s">
        <v>4953</v>
      </c>
      <c r="I356" s="20">
        <v>5.47</v>
      </c>
      <c r="J356" s="2" t="s">
        <v>4930</v>
      </c>
    </row>
    <row r="357" spans="1:10" ht="15.35" x14ac:dyDescent="0.55000000000000004">
      <c r="A357" s="20">
        <v>7446</v>
      </c>
      <c r="B357" s="2" t="s">
        <v>161</v>
      </c>
      <c r="C357" s="2" t="s">
        <v>162</v>
      </c>
      <c r="D357" s="2" t="s">
        <v>163</v>
      </c>
      <c r="E357" s="2" t="s">
        <v>339</v>
      </c>
      <c r="F357" s="2" t="s">
        <v>4944</v>
      </c>
      <c r="G357" s="2" t="s">
        <v>4928</v>
      </c>
      <c r="H357" s="2" t="s">
        <v>4934</v>
      </c>
      <c r="I357" s="20">
        <v>76016.070000000007</v>
      </c>
      <c r="J357" s="2" t="s">
        <v>4935</v>
      </c>
    </row>
    <row r="358" spans="1:10" ht="15.35" x14ac:dyDescent="0.55000000000000004">
      <c r="A358" s="20">
        <v>7572</v>
      </c>
      <c r="B358" s="2" t="s">
        <v>161</v>
      </c>
      <c r="C358" s="2" t="s">
        <v>162</v>
      </c>
      <c r="D358" s="2" t="s">
        <v>163</v>
      </c>
      <c r="E358" s="2" t="s">
        <v>339</v>
      </c>
      <c r="F358" s="2" t="s">
        <v>4944</v>
      </c>
      <c r="G358" s="2" t="s">
        <v>4931</v>
      </c>
      <c r="H358" s="2" t="s">
        <v>4952</v>
      </c>
      <c r="I358" s="20">
        <v>100</v>
      </c>
      <c r="J358" s="2" t="s">
        <v>4933</v>
      </c>
    </row>
    <row r="359" spans="1:10" ht="15.35" x14ac:dyDescent="0.55000000000000004">
      <c r="A359" s="20">
        <v>7573</v>
      </c>
      <c r="B359" s="2" t="s">
        <v>161</v>
      </c>
      <c r="C359" s="2" t="s">
        <v>162</v>
      </c>
      <c r="D359" s="2" t="s">
        <v>163</v>
      </c>
      <c r="E359" s="2" t="s">
        <v>339</v>
      </c>
      <c r="F359" s="2" t="s">
        <v>4944</v>
      </c>
      <c r="G359" s="2" t="s">
        <v>4928</v>
      </c>
      <c r="H359" s="2" t="s">
        <v>4953</v>
      </c>
      <c r="I359" s="20">
        <v>5.31</v>
      </c>
      <c r="J359" s="2" t="s">
        <v>4930</v>
      </c>
    </row>
    <row r="360" spans="1:10" ht="15.35" x14ac:dyDescent="0.55000000000000004">
      <c r="A360" s="20">
        <v>7574</v>
      </c>
      <c r="B360" s="2" t="s">
        <v>161</v>
      </c>
      <c r="C360" s="2" t="s">
        <v>162</v>
      </c>
      <c r="D360" s="2" t="s">
        <v>163</v>
      </c>
      <c r="E360" s="2" t="s">
        <v>339</v>
      </c>
      <c r="F360" s="2" t="s">
        <v>4944</v>
      </c>
      <c r="G360" s="2" t="s">
        <v>4939</v>
      </c>
      <c r="H360" s="2" t="s">
        <v>4946</v>
      </c>
      <c r="I360" s="20">
        <v>130.38999999999999</v>
      </c>
      <c r="J360" s="2" t="s">
        <v>4941</v>
      </c>
    </row>
    <row r="361" spans="1:10" ht="15.35" x14ac:dyDescent="0.55000000000000004">
      <c r="A361" s="20">
        <v>7575</v>
      </c>
      <c r="B361" s="2" t="s">
        <v>161</v>
      </c>
      <c r="C361" s="2" t="s">
        <v>162</v>
      </c>
      <c r="D361" s="2" t="s">
        <v>163</v>
      </c>
      <c r="E361" s="2" t="s">
        <v>339</v>
      </c>
      <c r="F361" s="2" t="s">
        <v>4944</v>
      </c>
      <c r="G361" s="2" t="s">
        <v>4931</v>
      </c>
      <c r="H361" s="2" t="s">
        <v>4937</v>
      </c>
      <c r="I361" s="20">
        <v>93.55</v>
      </c>
      <c r="J361" s="2" t="s">
        <v>4933</v>
      </c>
    </row>
    <row r="362" spans="1:10" ht="15.35" x14ac:dyDescent="0.55000000000000004">
      <c r="A362" s="20">
        <v>7658</v>
      </c>
      <c r="B362" s="2" t="s">
        <v>161</v>
      </c>
      <c r="C362" s="2" t="s">
        <v>162</v>
      </c>
      <c r="D362" s="2" t="s">
        <v>163</v>
      </c>
      <c r="E362" s="2" t="s">
        <v>339</v>
      </c>
      <c r="F362" s="2" t="s">
        <v>4944</v>
      </c>
      <c r="G362" s="2" t="s">
        <v>4928</v>
      </c>
      <c r="H362" s="2" t="s">
        <v>4936</v>
      </c>
      <c r="I362" s="20">
        <v>71115.009999999995</v>
      </c>
      <c r="J362" s="2" t="s">
        <v>4935</v>
      </c>
    </row>
    <row r="363" spans="1:10" ht="15.35" x14ac:dyDescent="0.55000000000000004">
      <c r="A363" s="20">
        <v>13090</v>
      </c>
      <c r="B363" s="2" t="s">
        <v>161</v>
      </c>
      <c r="C363" s="2" t="s">
        <v>162</v>
      </c>
      <c r="D363" s="2" t="s">
        <v>163</v>
      </c>
      <c r="E363" s="2" t="s">
        <v>339</v>
      </c>
      <c r="F363" s="2" t="s">
        <v>4945</v>
      </c>
      <c r="G363" s="2" t="s">
        <v>4928</v>
      </c>
      <c r="H363" s="2" t="s">
        <v>4934</v>
      </c>
      <c r="I363" s="20">
        <v>76314.34</v>
      </c>
      <c r="J363" s="2" t="s">
        <v>4935</v>
      </c>
    </row>
    <row r="364" spans="1:10" ht="15.35" x14ac:dyDescent="0.55000000000000004">
      <c r="A364" s="20">
        <v>13091</v>
      </c>
      <c r="B364" s="2" t="s">
        <v>161</v>
      </c>
      <c r="C364" s="2" t="s">
        <v>162</v>
      </c>
      <c r="D364" s="2" t="s">
        <v>163</v>
      </c>
      <c r="E364" s="2" t="s">
        <v>339</v>
      </c>
      <c r="F364" s="2" t="s">
        <v>4945</v>
      </c>
      <c r="G364" s="2" t="s">
        <v>4928</v>
      </c>
      <c r="H364" s="2" t="s">
        <v>4936</v>
      </c>
      <c r="I364" s="20">
        <v>72369.55</v>
      </c>
      <c r="J364" s="2" t="s">
        <v>4935</v>
      </c>
    </row>
    <row r="365" spans="1:10" ht="15.35" x14ac:dyDescent="0.55000000000000004">
      <c r="A365" s="20">
        <v>13092</v>
      </c>
      <c r="B365" s="2" t="s">
        <v>161</v>
      </c>
      <c r="C365" s="2" t="s">
        <v>162</v>
      </c>
      <c r="D365" s="2" t="s">
        <v>163</v>
      </c>
      <c r="E365" s="2" t="s">
        <v>339</v>
      </c>
      <c r="F365" s="2" t="s">
        <v>4945</v>
      </c>
      <c r="G365" s="2" t="s">
        <v>4931</v>
      </c>
      <c r="H365" s="2" t="s">
        <v>4937</v>
      </c>
      <c r="I365" s="20">
        <v>94.83</v>
      </c>
      <c r="J365" s="2" t="s">
        <v>4933</v>
      </c>
    </row>
    <row r="366" spans="1:10" ht="15.35" x14ac:dyDescent="0.55000000000000004">
      <c r="A366" s="20">
        <v>13093</v>
      </c>
      <c r="B366" s="2" t="s">
        <v>161</v>
      </c>
      <c r="C366" s="2" t="s">
        <v>162</v>
      </c>
      <c r="D366" s="2" t="s">
        <v>163</v>
      </c>
      <c r="E366" s="2" t="s">
        <v>339</v>
      </c>
      <c r="F366" s="2" t="s">
        <v>4945</v>
      </c>
      <c r="G366" s="2" t="s">
        <v>4939</v>
      </c>
      <c r="H366" s="2" t="s">
        <v>4946</v>
      </c>
      <c r="I366" s="20">
        <v>125.28</v>
      </c>
      <c r="J366" s="2" t="s">
        <v>4941</v>
      </c>
    </row>
    <row r="367" spans="1:10" ht="15.35" x14ac:dyDescent="0.55000000000000004">
      <c r="A367" s="20">
        <v>13094</v>
      </c>
      <c r="B367" s="2" t="s">
        <v>161</v>
      </c>
      <c r="C367" s="2" t="s">
        <v>162</v>
      </c>
      <c r="D367" s="2" t="s">
        <v>163</v>
      </c>
      <c r="E367" s="2" t="s">
        <v>339</v>
      </c>
      <c r="F367" s="2" t="s">
        <v>4945</v>
      </c>
      <c r="G367" s="2" t="s">
        <v>4928</v>
      </c>
      <c r="H367" s="2" t="s">
        <v>4953</v>
      </c>
      <c r="I367" s="20">
        <v>5.14</v>
      </c>
      <c r="J367" s="2" t="s">
        <v>4930</v>
      </c>
    </row>
    <row r="368" spans="1:10" ht="15.35" x14ac:dyDescent="0.55000000000000004">
      <c r="A368" s="20">
        <v>13095</v>
      </c>
      <c r="B368" s="2" t="s">
        <v>161</v>
      </c>
      <c r="C368" s="2" t="s">
        <v>162</v>
      </c>
      <c r="D368" s="2" t="s">
        <v>163</v>
      </c>
      <c r="E368" s="2" t="s">
        <v>339</v>
      </c>
      <c r="F368" s="2" t="s">
        <v>4945</v>
      </c>
      <c r="G368" s="2" t="s">
        <v>4931</v>
      </c>
      <c r="H368" s="2" t="s">
        <v>4952</v>
      </c>
      <c r="I368" s="20">
        <v>100</v>
      </c>
      <c r="J368" s="2" t="s">
        <v>4933</v>
      </c>
    </row>
    <row r="369" spans="1:10" ht="15.35" x14ac:dyDescent="0.55000000000000004">
      <c r="A369" s="20">
        <v>14309</v>
      </c>
      <c r="B369" s="2" t="s">
        <v>161</v>
      </c>
      <c r="C369" s="2" t="s">
        <v>162</v>
      </c>
      <c r="D369" s="2" t="s">
        <v>163</v>
      </c>
      <c r="E369" s="2" t="s">
        <v>339</v>
      </c>
      <c r="F369" s="2" t="s">
        <v>4948</v>
      </c>
      <c r="G369" s="2" t="s">
        <v>4928</v>
      </c>
      <c r="H369" s="2" t="s">
        <v>4934</v>
      </c>
      <c r="I369" s="20">
        <v>76314.34</v>
      </c>
      <c r="J369" s="2" t="s">
        <v>4935</v>
      </c>
    </row>
    <row r="370" spans="1:10" ht="15.35" x14ac:dyDescent="0.55000000000000004">
      <c r="A370" s="20">
        <v>14329</v>
      </c>
      <c r="B370" s="2" t="s">
        <v>161</v>
      </c>
      <c r="C370" s="2" t="s">
        <v>162</v>
      </c>
      <c r="D370" s="2" t="s">
        <v>163</v>
      </c>
      <c r="E370" s="2" t="s">
        <v>339</v>
      </c>
      <c r="F370" s="2" t="s">
        <v>4948</v>
      </c>
      <c r="G370" s="2" t="s">
        <v>4928</v>
      </c>
      <c r="H370" s="2" t="s">
        <v>4936</v>
      </c>
      <c r="I370" s="20">
        <v>72459.649999999994</v>
      </c>
      <c r="J370" s="2" t="s">
        <v>4935</v>
      </c>
    </row>
    <row r="371" spans="1:10" ht="15.35" x14ac:dyDescent="0.55000000000000004">
      <c r="A371" s="20">
        <v>14331</v>
      </c>
      <c r="B371" s="2" t="s">
        <v>161</v>
      </c>
      <c r="C371" s="2" t="s">
        <v>162</v>
      </c>
      <c r="D371" s="2" t="s">
        <v>163</v>
      </c>
      <c r="E371" s="2" t="s">
        <v>339</v>
      </c>
      <c r="F371" s="2" t="s">
        <v>4948</v>
      </c>
      <c r="G371" s="2" t="s">
        <v>4939</v>
      </c>
      <c r="H371" s="2" t="s">
        <v>4946</v>
      </c>
      <c r="I371" s="20">
        <v>128.49</v>
      </c>
      <c r="J371" s="2" t="s">
        <v>4941</v>
      </c>
    </row>
    <row r="372" spans="1:10" ht="15.35" x14ac:dyDescent="0.55000000000000004">
      <c r="A372" s="20">
        <v>14417</v>
      </c>
      <c r="B372" s="2" t="s">
        <v>161</v>
      </c>
      <c r="C372" s="2" t="s">
        <v>162</v>
      </c>
      <c r="D372" s="2" t="s">
        <v>163</v>
      </c>
      <c r="E372" s="2" t="s">
        <v>339</v>
      </c>
      <c r="F372" s="2" t="s">
        <v>4948</v>
      </c>
      <c r="G372" s="2" t="s">
        <v>4931</v>
      </c>
      <c r="H372" s="2" t="s">
        <v>4937</v>
      </c>
      <c r="I372" s="20">
        <v>94.95</v>
      </c>
      <c r="J372" s="2" t="s">
        <v>4933</v>
      </c>
    </row>
    <row r="373" spans="1:10" ht="15.35" x14ac:dyDescent="0.55000000000000004">
      <c r="A373" s="20">
        <v>14442</v>
      </c>
      <c r="B373" s="2" t="s">
        <v>161</v>
      </c>
      <c r="C373" s="2" t="s">
        <v>162</v>
      </c>
      <c r="D373" s="2" t="s">
        <v>163</v>
      </c>
      <c r="E373" s="2" t="s">
        <v>339</v>
      </c>
      <c r="F373" s="2" t="s">
        <v>4948</v>
      </c>
      <c r="G373" s="2" t="s">
        <v>4928</v>
      </c>
      <c r="H373" s="2" t="s">
        <v>4953</v>
      </c>
      <c r="I373" s="20">
        <v>4.92</v>
      </c>
      <c r="J373" s="2" t="s">
        <v>4930</v>
      </c>
    </row>
    <row r="374" spans="1:10" ht="15.35" x14ac:dyDescent="0.55000000000000004">
      <c r="A374" s="20">
        <v>14443</v>
      </c>
      <c r="B374" s="2" t="s">
        <v>161</v>
      </c>
      <c r="C374" s="2" t="s">
        <v>162</v>
      </c>
      <c r="D374" s="2" t="s">
        <v>163</v>
      </c>
      <c r="E374" s="2" t="s">
        <v>339</v>
      </c>
      <c r="F374" s="2" t="s">
        <v>4948</v>
      </c>
      <c r="G374" s="2" t="s">
        <v>4931</v>
      </c>
      <c r="H374" s="2" t="s">
        <v>4952</v>
      </c>
      <c r="I374" s="20">
        <v>100</v>
      </c>
      <c r="J374" s="2" t="s">
        <v>4933</v>
      </c>
    </row>
    <row r="375" spans="1:10" ht="15.35" x14ac:dyDescent="0.55000000000000004">
      <c r="A375" s="20">
        <v>17264</v>
      </c>
      <c r="B375" s="2" t="s">
        <v>161</v>
      </c>
      <c r="C375" s="2" t="s">
        <v>162</v>
      </c>
      <c r="D375" s="2" t="s">
        <v>163</v>
      </c>
      <c r="E375" s="2" t="s">
        <v>339</v>
      </c>
      <c r="F375" s="2" t="s">
        <v>4949</v>
      </c>
      <c r="G375" s="2" t="s">
        <v>4931</v>
      </c>
      <c r="H375" s="2" t="s">
        <v>4952</v>
      </c>
      <c r="I375" s="20">
        <v>100</v>
      </c>
      <c r="J375" s="2" t="s">
        <v>4933</v>
      </c>
    </row>
    <row r="376" spans="1:10" ht="15.35" x14ac:dyDescent="0.55000000000000004">
      <c r="A376" s="20">
        <v>17265</v>
      </c>
      <c r="B376" s="2" t="s">
        <v>161</v>
      </c>
      <c r="C376" s="2" t="s">
        <v>162</v>
      </c>
      <c r="D376" s="2" t="s">
        <v>163</v>
      </c>
      <c r="E376" s="2" t="s">
        <v>339</v>
      </c>
      <c r="F376" s="2" t="s">
        <v>4949</v>
      </c>
      <c r="G376" s="2" t="s">
        <v>4928</v>
      </c>
      <c r="H376" s="2" t="s">
        <v>4953</v>
      </c>
      <c r="I376" s="20">
        <v>4.72</v>
      </c>
      <c r="J376" s="2" t="s">
        <v>4930</v>
      </c>
    </row>
    <row r="377" spans="1:10" ht="15.35" x14ac:dyDescent="0.55000000000000004">
      <c r="A377" s="20">
        <v>17266</v>
      </c>
      <c r="B377" s="2" t="s">
        <v>161</v>
      </c>
      <c r="C377" s="2" t="s">
        <v>162</v>
      </c>
      <c r="D377" s="2" t="s">
        <v>163</v>
      </c>
      <c r="E377" s="2" t="s">
        <v>339</v>
      </c>
      <c r="F377" s="2" t="s">
        <v>4949</v>
      </c>
      <c r="G377" s="2" t="s">
        <v>4939</v>
      </c>
      <c r="H377" s="2" t="s">
        <v>4946</v>
      </c>
      <c r="I377" s="20">
        <v>127.84</v>
      </c>
      <c r="J377" s="2" t="s">
        <v>4941</v>
      </c>
    </row>
    <row r="378" spans="1:10" ht="15.35" x14ac:dyDescent="0.55000000000000004">
      <c r="A378" s="20">
        <v>17291</v>
      </c>
      <c r="B378" s="2" t="s">
        <v>161</v>
      </c>
      <c r="C378" s="2" t="s">
        <v>162</v>
      </c>
      <c r="D378" s="2" t="s">
        <v>163</v>
      </c>
      <c r="E378" s="2" t="s">
        <v>339</v>
      </c>
      <c r="F378" s="2" t="s">
        <v>4949</v>
      </c>
      <c r="G378" s="2" t="s">
        <v>4931</v>
      </c>
      <c r="H378" s="2" t="s">
        <v>4937</v>
      </c>
      <c r="I378" s="20">
        <v>93.78</v>
      </c>
      <c r="J378" s="2" t="s">
        <v>4933</v>
      </c>
    </row>
    <row r="379" spans="1:10" ht="15.35" x14ac:dyDescent="0.55000000000000004">
      <c r="A379" s="20">
        <v>17292</v>
      </c>
      <c r="B379" s="2" t="s">
        <v>161</v>
      </c>
      <c r="C379" s="2" t="s">
        <v>162</v>
      </c>
      <c r="D379" s="2" t="s">
        <v>163</v>
      </c>
      <c r="E379" s="2" t="s">
        <v>339</v>
      </c>
      <c r="F379" s="2" t="s">
        <v>4949</v>
      </c>
      <c r="G379" s="2" t="s">
        <v>4928</v>
      </c>
      <c r="H379" s="2" t="s">
        <v>4936</v>
      </c>
      <c r="I379" s="20">
        <v>71570.179999999993</v>
      </c>
      <c r="J379" s="2" t="s">
        <v>4935</v>
      </c>
    </row>
    <row r="380" spans="1:10" ht="15.35" x14ac:dyDescent="0.55000000000000004">
      <c r="A380" s="20">
        <v>17293</v>
      </c>
      <c r="B380" s="2" t="s">
        <v>161</v>
      </c>
      <c r="C380" s="2" t="s">
        <v>162</v>
      </c>
      <c r="D380" s="2" t="s">
        <v>163</v>
      </c>
      <c r="E380" s="2" t="s">
        <v>339</v>
      </c>
      <c r="F380" s="2" t="s">
        <v>4949</v>
      </c>
      <c r="G380" s="2" t="s">
        <v>4928</v>
      </c>
      <c r="H380" s="2" t="s">
        <v>4934</v>
      </c>
      <c r="I380" s="20">
        <v>76314.34</v>
      </c>
      <c r="J380" s="2" t="s">
        <v>4935</v>
      </c>
    </row>
    <row r="381" spans="1:10" ht="15.35" x14ac:dyDescent="0.55000000000000004">
      <c r="A381" s="20">
        <v>19108</v>
      </c>
      <c r="B381" s="2" t="s">
        <v>161</v>
      </c>
      <c r="C381" s="2" t="s">
        <v>162</v>
      </c>
      <c r="D381" s="2" t="s">
        <v>163</v>
      </c>
      <c r="E381" s="2" t="s">
        <v>339</v>
      </c>
      <c r="F381" s="2" t="s">
        <v>4950</v>
      </c>
      <c r="G381" s="2" t="s">
        <v>4928</v>
      </c>
      <c r="H381" s="2" t="s">
        <v>4934</v>
      </c>
      <c r="I381" s="20">
        <v>76622.34</v>
      </c>
      <c r="J381" s="2" t="s">
        <v>4935</v>
      </c>
    </row>
    <row r="382" spans="1:10" ht="15.35" x14ac:dyDescent="0.55000000000000004">
      <c r="A382" s="20">
        <v>19109</v>
      </c>
      <c r="B382" s="2" t="s">
        <v>161</v>
      </c>
      <c r="C382" s="2" t="s">
        <v>162</v>
      </c>
      <c r="D382" s="2" t="s">
        <v>163</v>
      </c>
      <c r="E382" s="2" t="s">
        <v>339</v>
      </c>
      <c r="F382" s="2" t="s">
        <v>4950</v>
      </c>
      <c r="G382" s="2" t="s">
        <v>4928</v>
      </c>
      <c r="H382" s="2" t="s">
        <v>4936</v>
      </c>
      <c r="I382" s="20">
        <v>71526.83</v>
      </c>
      <c r="J382" s="2" t="s">
        <v>4935</v>
      </c>
    </row>
    <row r="383" spans="1:10" ht="15.35" x14ac:dyDescent="0.55000000000000004">
      <c r="A383" s="20">
        <v>19110</v>
      </c>
      <c r="B383" s="2" t="s">
        <v>161</v>
      </c>
      <c r="C383" s="2" t="s">
        <v>162</v>
      </c>
      <c r="D383" s="2" t="s">
        <v>163</v>
      </c>
      <c r="E383" s="2" t="s">
        <v>339</v>
      </c>
      <c r="F383" s="2" t="s">
        <v>4950</v>
      </c>
      <c r="G383" s="2" t="s">
        <v>4931</v>
      </c>
      <c r="H383" s="2" t="s">
        <v>4937</v>
      </c>
      <c r="I383" s="20">
        <v>93.35</v>
      </c>
      <c r="J383" s="2" t="s">
        <v>4933</v>
      </c>
    </row>
    <row r="384" spans="1:10" ht="15.35" x14ac:dyDescent="0.55000000000000004">
      <c r="A384" s="20">
        <v>19111</v>
      </c>
      <c r="B384" s="2" t="s">
        <v>161</v>
      </c>
      <c r="C384" s="2" t="s">
        <v>162</v>
      </c>
      <c r="D384" s="2" t="s">
        <v>163</v>
      </c>
      <c r="E384" s="2" t="s">
        <v>339</v>
      </c>
      <c r="F384" s="2" t="s">
        <v>4950</v>
      </c>
      <c r="G384" s="2" t="s">
        <v>4939</v>
      </c>
      <c r="H384" s="2" t="s">
        <v>4946</v>
      </c>
      <c r="I384" s="20">
        <v>127.75</v>
      </c>
      <c r="J384" s="2" t="s">
        <v>4941</v>
      </c>
    </row>
    <row r="385" spans="1:11" ht="15.35" x14ac:dyDescent="0.55000000000000004">
      <c r="A385" s="20">
        <v>19112</v>
      </c>
      <c r="B385" s="2" t="s">
        <v>161</v>
      </c>
      <c r="C385" s="2" t="s">
        <v>162</v>
      </c>
      <c r="D385" s="2" t="s">
        <v>163</v>
      </c>
      <c r="E385" s="2" t="s">
        <v>339</v>
      </c>
      <c r="F385" s="2" t="s">
        <v>4950</v>
      </c>
      <c r="G385" s="2" t="s">
        <v>4928</v>
      </c>
      <c r="H385" s="2" t="s">
        <v>4953</v>
      </c>
      <c r="I385" s="20">
        <v>4.46</v>
      </c>
      <c r="J385" s="2" t="s">
        <v>4930</v>
      </c>
    </row>
    <row r="386" spans="1:11" ht="15.35" x14ac:dyDescent="0.55000000000000004">
      <c r="A386" s="20">
        <v>19113</v>
      </c>
      <c r="B386" s="2" t="s">
        <v>161</v>
      </c>
      <c r="C386" s="2" t="s">
        <v>162</v>
      </c>
      <c r="D386" s="2" t="s">
        <v>163</v>
      </c>
      <c r="E386" s="2" t="s">
        <v>339</v>
      </c>
      <c r="F386" s="2" t="s">
        <v>4950</v>
      </c>
      <c r="G386" s="2" t="s">
        <v>4931</v>
      </c>
      <c r="H386" s="2" t="s">
        <v>4952</v>
      </c>
      <c r="I386" s="20">
        <v>99.55</v>
      </c>
      <c r="J386" s="2" t="s">
        <v>4933</v>
      </c>
    </row>
    <row r="387" spans="1:11" ht="15.35" x14ac:dyDescent="0.55000000000000004">
      <c r="A387" s="20">
        <v>2206</v>
      </c>
      <c r="B387" s="2" t="s">
        <v>166</v>
      </c>
      <c r="C387" s="2" t="s">
        <v>167</v>
      </c>
      <c r="D387" s="2" t="s">
        <v>168</v>
      </c>
      <c r="E387" s="2" t="s">
        <v>348</v>
      </c>
      <c r="F387" s="2" t="s">
        <v>4979</v>
      </c>
      <c r="G387" s="2" t="s">
        <v>4975</v>
      </c>
      <c r="H387" s="2" t="s">
        <v>4997</v>
      </c>
      <c r="I387" s="20">
        <v>14.5</v>
      </c>
      <c r="J387" s="2" t="s">
        <v>4933</v>
      </c>
      <c r="K387" s="2" t="s">
        <v>4998</v>
      </c>
    </row>
    <row r="388" spans="1:11" ht="15.35" x14ac:dyDescent="0.55000000000000004">
      <c r="A388" s="20">
        <v>2207</v>
      </c>
      <c r="B388" s="2" t="s">
        <v>166</v>
      </c>
      <c r="C388" s="2" t="s">
        <v>167</v>
      </c>
      <c r="D388" s="2" t="s">
        <v>168</v>
      </c>
      <c r="E388" s="2" t="s">
        <v>348</v>
      </c>
      <c r="F388" s="2" t="s">
        <v>4979</v>
      </c>
      <c r="G388" s="2" t="s">
        <v>4975</v>
      </c>
      <c r="H388" s="2" t="s">
        <v>4997</v>
      </c>
      <c r="I388" s="20">
        <v>10.72</v>
      </c>
      <c r="J388" s="2" t="s">
        <v>4933</v>
      </c>
      <c r="K388" s="2" t="s">
        <v>4999</v>
      </c>
    </row>
    <row r="389" spans="1:11" ht="15.35" x14ac:dyDescent="0.55000000000000004">
      <c r="A389" s="20">
        <v>2208</v>
      </c>
      <c r="B389" s="2" t="s">
        <v>166</v>
      </c>
      <c r="C389" s="2" t="s">
        <v>167</v>
      </c>
      <c r="D389" s="2" t="s">
        <v>168</v>
      </c>
      <c r="E389" s="2" t="s">
        <v>348</v>
      </c>
      <c r="F389" s="2" t="s">
        <v>4979</v>
      </c>
      <c r="G389" s="2" t="s">
        <v>4975</v>
      </c>
      <c r="H389" s="2" t="s">
        <v>4997</v>
      </c>
      <c r="I389" s="20">
        <v>24.81</v>
      </c>
      <c r="J389" s="2" t="s">
        <v>4933</v>
      </c>
      <c r="K389" s="2" t="s">
        <v>5000</v>
      </c>
    </row>
    <row r="390" spans="1:11" ht="15.35" x14ac:dyDescent="0.55000000000000004">
      <c r="A390" s="20">
        <v>2209</v>
      </c>
      <c r="B390" s="2" t="s">
        <v>166</v>
      </c>
      <c r="C390" s="2" t="s">
        <v>167</v>
      </c>
      <c r="D390" s="2" t="s">
        <v>168</v>
      </c>
      <c r="E390" s="2" t="s">
        <v>348</v>
      </c>
      <c r="F390" s="2" t="s">
        <v>4979</v>
      </c>
      <c r="G390" s="2" t="s">
        <v>4975</v>
      </c>
      <c r="H390" s="2" t="s">
        <v>4997</v>
      </c>
      <c r="I390" s="20">
        <v>45.54</v>
      </c>
      <c r="J390" s="2" t="s">
        <v>4933</v>
      </c>
      <c r="K390" s="2" t="s">
        <v>5001</v>
      </c>
    </row>
    <row r="391" spans="1:11" ht="15.35" x14ac:dyDescent="0.55000000000000004">
      <c r="A391" s="20">
        <v>2217</v>
      </c>
      <c r="B391" s="2" t="s">
        <v>166</v>
      </c>
      <c r="C391" s="2" t="s">
        <v>167</v>
      </c>
      <c r="D391" s="2" t="s">
        <v>168</v>
      </c>
      <c r="E391" s="2" t="s">
        <v>348</v>
      </c>
      <c r="F391" s="2" t="s">
        <v>4979</v>
      </c>
      <c r="G391" s="2" t="s">
        <v>4975</v>
      </c>
      <c r="H391" s="2" t="s">
        <v>5002</v>
      </c>
      <c r="I391" s="20">
        <v>94358.15</v>
      </c>
      <c r="J391" s="2" t="s">
        <v>4977</v>
      </c>
    </row>
    <row r="392" spans="1:11" ht="15.35" x14ac:dyDescent="0.55000000000000004">
      <c r="A392" s="20">
        <v>2220</v>
      </c>
      <c r="B392" s="2" t="s">
        <v>166</v>
      </c>
      <c r="C392" s="2" t="s">
        <v>167</v>
      </c>
      <c r="D392" s="2" t="s">
        <v>168</v>
      </c>
      <c r="E392" s="2" t="s">
        <v>348</v>
      </c>
      <c r="F392" s="2" t="s">
        <v>4979</v>
      </c>
      <c r="G392" s="2" t="s">
        <v>4975</v>
      </c>
      <c r="H392" s="2" t="s">
        <v>5002</v>
      </c>
      <c r="I392" s="20">
        <v>10882.57</v>
      </c>
      <c r="J392" s="2" t="s">
        <v>4977</v>
      </c>
      <c r="K392" s="2" t="s">
        <v>5003</v>
      </c>
    </row>
    <row r="393" spans="1:11" ht="15.35" x14ac:dyDescent="0.55000000000000004">
      <c r="A393" s="20">
        <v>2221</v>
      </c>
      <c r="B393" s="2" t="s">
        <v>166</v>
      </c>
      <c r="C393" s="2" t="s">
        <v>167</v>
      </c>
      <c r="D393" s="2" t="s">
        <v>168</v>
      </c>
      <c r="E393" s="2" t="s">
        <v>348</v>
      </c>
      <c r="F393" s="2" t="s">
        <v>4979</v>
      </c>
      <c r="G393" s="2" t="s">
        <v>4975</v>
      </c>
      <c r="H393" s="2" t="s">
        <v>4997</v>
      </c>
      <c r="I393" s="20">
        <v>4.43</v>
      </c>
      <c r="J393" s="2" t="s">
        <v>4933</v>
      </c>
      <c r="K393" s="2" t="s">
        <v>5004</v>
      </c>
    </row>
    <row r="394" spans="1:11" ht="15.35" x14ac:dyDescent="0.55000000000000004">
      <c r="A394" s="20">
        <v>2225</v>
      </c>
      <c r="B394" s="2" t="s">
        <v>166</v>
      </c>
      <c r="C394" s="2" t="s">
        <v>167</v>
      </c>
      <c r="D394" s="2" t="s">
        <v>168</v>
      </c>
      <c r="E394" s="2" t="s">
        <v>348</v>
      </c>
      <c r="F394" s="2" t="s">
        <v>4979</v>
      </c>
      <c r="G394" s="2" t="s">
        <v>4975</v>
      </c>
      <c r="H394" s="2" t="s">
        <v>5005</v>
      </c>
      <c r="I394" s="20">
        <v>14.69</v>
      </c>
      <c r="J394" s="2" t="s">
        <v>4933</v>
      </c>
      <c r="K394" s="2" t="s">
        <v>4998</v>
      </c>
    </row>
    <row r="395" spans="1:11" ht="15.35" x14ac:dyDescent="0.55000000000000004">
      <c r="A395" s="20">
        <v>2226</v>
      </c>
      <c r="B395" s="2" t="s">
        <v>166</v>
      </c>
      <c r="C395" s="2" t="s">
        <v>167</v>
      </c>
      <c r="D395" s="2" t="s">
        <v>168</v>
      </c>
      <c r="E395" s="2" t="s">
        <v>348</v>
      </c>
      <c r="F395" s="2" t="s">
        <v>4979</v>
      </c>
      <c r="G395" s="2" t="s">
        <v>4975</v>
      </c>
      <c r="H395" s="2" t="s">
        <v>5005</v>
      </c>
      <c r="I395" s="20">
        <v>13.06</v>
      </c>
      <c r="J395" s="2" t="s">
        <v>4933</v>
      </c>
      <c r="K395" s="2" t="s">
        <v>5004</v>
      </c>
    </row>
    <row r="396" spans="1:11" ht="15.35" x14ac:dyDescent="0.55000000000000004">
      <c r="A396" s="20">
        <v>2242</v>
      </c>
      <c r="B396" s="2" t="s">
        <v>166</v>
      </c>
      <c r="C396" s="2" t="s">
        <v>167</v>
      </c>
      <c r="D396" s="2" t="s">
        <v>168</v>
      </c>
      <c r="E396" s="2" t="s">
        <v>348</v>
      </c>
      <c r="F396" s="2" t="s">
        <v>4979</v>
      </c>
      <c r="G396" s="2" t="s">
        <v>4975</v>
      </c>
      <c r="H396" s="2" t="s">
        <v>5005</v>
      </c>
      <c r="I396" s="20">
        <v>7.01</v>
      </c>
      <c r="J396" s="2" t="s">
        <v>4933</v>
      </c>
      <c r="K396" s="2" t="s">
        <v>4999</v>
      </c>
    </row>
    <row r="397" spans="1:11" ht="15.35" x14ac:dyDescent="0.55000000000000004">
      <c r="A397" s="20">
        <v>2245</v>
      </c>
      <c r="B397" s="2" t="s">
        <v>166</v>
      </c>
      <c r="C397" s="2" t="s">
        <v>167</v>
      </c>
      <c r="D397" s="2" t="s">
        <v>168</v>
      </c>
      <c r="E397" s="2" t="s">
        <v>348</v>
      </c>
      <c r="F397" s="2" t="s">
        <v>4979</v>
      </c>
      <c r="G397" s="2" t="s">
        <v>4939</v>
      </c>
      <c r="H397" s="2" t="s">
        <v>5006</v>
      </c>
      <c r="I397" s="20">
        <v>3.57</v>
      </c>
      <c r="J397" s="2" t="s">
        <v>5007</v>
      </c>
    </row>
    <row r="398" spans="1:11" ht="15.35" x14ac:dyDescent="0.55000000000000004">
      <c r="A398" s="20">
        <v>2246</v>
      </c>
      <c r="B398" s="2" t="s">
        <v>166</v>
      </c>
      <c r="C398" s="2" t="s">
        <v>167</v>
      </c>
      <c r="D398" s="2" t="s">
        <v>168</v>
      </c>
      <c r="E398" s="2" t="s">
        <v>348</v>
      </c>
      <c r="F398" s="2" t="s">
        <v>4979</v>
      </c>
      <c r="G398" s="2" t="s">
        <v>4939</v>
      </c>
      <c r="H398" s="2" t="s">
        <v>5008</v>
      </c>
      <c r="I398" s="20">
        <v>65.239999999999995</v>
      </c>
      <c r="J398" s="2" t="s">
        <v>4941</v>
      </c>
    </row>
    <row r="399" spans="1:11" ht="15.35" x14ac:dyDescent="0.55000000000000004">
      <c r="A399" s="20">
        <v>2262</v>
      </c>
      <c r="B399" s="2" t="s">
        <v>166</v>
      </c>
      <c r="C399" s="2" t="s">
        <v>167</v>
      </c>
      <c r="D399" s="2" t="s">
        <v>168</v>
      </c>
      <c r="E399" s="2" t="s">
        <v>348</v>
      </c>
      <c r="F399" s="2" t="s">
        <v>4979</v>
      </c>
      <c r="G399" s="2" t="s">
        <v>4931</v>
      </c>
      <c r="H399" s="2" t="s">
        <v>5009</v>
      </c>
      <c r="I399" s="20">
        <v>8.8000000000000007</v>
      </c>
      <c r="J399" s="2" t="s">
        <v>4933</v>
      </c>
    </row>
    <row r="400" spans="1:11" ht="15.35" x14ac:dyDescent="0.55000000000000004">
      <c r="A400" s="20">
        <v>2265</v>
      </c>
      <c r="B400" s="2" t="s">
        <v>166</v>
      </c>
      <c r="C400" s="2" t="s">
        <v>167</v>
      </c>
      <c r="D400" s="2" t="s">
        <v>168</v>
      </c>
      <c r="E400" s="2" t="s">
        <v>348</v>
      </c>
      <c r="F400" s="2" t="s">
        <v>4979</v>
      </c>
      <c r="G400" s="2" t="s">
        <v>4931</v>
      </c>
      <c r="H400" s="2" t="s">
        <v>5010</v>
      </c>
      <c r="I400" s="20">
        <v>93.04</v>
      </c>
      <c r="J400" s="2" t="s">
        <v>4933</v>
      </c>
    </row>
    <row r="401" spans="1:11" ht="15.35" x14ac:dyDescent="0.55000000000000004">
      <c r="A401" s="20">
        <v>2268</v>
      </c>
      <c r="B401" s="2" t="s">
        <v>166</v>
      </c>
      <c r="C401" s="2" t="s">
        <v>167</v>
      </c>
      <c r="D401" s="2" t="s">
        <v>168</v>
      </c>
      <c r="E401" s="2" t="s">
        <v>348</v>
      </c>
      <c r="F401" s="2" t="s">
        <v>4979</v>
      </c>
      <c r="G401" s="2" t="s">
        <v>4931</v>
      </c>
      <c r="H401" s="2" t="s">
        <v>4968</v>
      </c>
      <c r="I401" s="20">
        <v>66.709999999999994</v>
      </c>
      <c r="J401" s="2" t="s">
        <v>4933</v>
      </c>
    </row>
    <row r="402" spans="1:11" ht="15.35" x14ac:dyDescent="0.55000000000000004">
      <c r="A402" s="20">
        <v>2271</v>
      </c>
      <c r="B402" s="2" t="s">
        <v>166</v>
      </c>
      <c r="C402" s="2" t="s">
        <v>167</v>
      </c>
      <c r="D402" s="2" t="s">
        <v>168</v>
      </c>
      <c r="E402" s="2" t="s">
        <v>348</v>
      </c>
      <c r="F402" s="2" t="s">
        <v>4979</v>
      </c>
      <c r="G402" s="2" t="s">
        <v>4975</v>
      </c>
      <c r="H402" s="2" t="s">
        <v>5002</v>
      </c>
      <c r="I402" s="20">
        <v>83475.58</v>
      </c>
      <c r="J402" s="2" t="s">
        <v>4977</v>
      </c>
      <c r="K402" s="2" t="s">
        <v>5011</v>
      </c>
    </row>
    <row r="403" spans="1:11" ht="15.35" x14ac:dyDescent="0.55000000000000004">
      <c r="A403" s="20">
        <v>2275</v>
      </c>
      <c r="B403" s="2" t="s">
        <v>166</v>
      </c>
      <c r="C403" s="2" t="s">
        <v>167</v>
      </c>
      <c r="D403" s="2" t="s">
        <v>168</v>
      </c>
      <c r="E403" s="2" t="s">
        <v>348</v>
      </c>
      <c r="F403" s="2" t="s">
        <v>4979</v>
      </c>
      <c r="G403" s="2" t="s">
        <v>4939</v>
      </c>
      <c r="H403" s="2" t="s">
        <v>5012</v>
      </c>
      <c r="I403" s="20">
        <v>928.5</v>
      </c>
      <c r="J403" s="2" t="s">
        <v>4941</v>
      </c>
    </row>
    <row r="404" spans="1:11" ht="15.35" x14ac:dyDescent="0.55000000000000004">
      <c r="A404" s="20">
        <v>2280</v>
      </c>
      <c r="B404" s="2" t="s">
        <v>166</v>
      </c>
      <c r="C404" s="2" t="s">
        <v>167</v>
      </c>
      <c r="D404" s="2" t="s">
        <v>168</v>
      </c>
      <c r="E404" s="2" t="s">
        <v>348</v>
      </c>
      <c r="F404" s="2" t="s">
        <v>4979</v>
      </c>
      <c r="G404" s="2" t="s">
        <v>4931</v>
      </c>
      <c r="H404" s="2" t="s">
        <v>5013</v>
      </c>
      <c r="I404" s="20">
        <v>0.1106</v>
      </c>
    </row>
    <row r="405" spans="1:11" ht="15.35" x14ac:dyDescent="0.55000000000000004">
      <c r="A405" s="20">
        <v>2281</v>
      </c>
      <c r="B405" s="2" t="s">
        <v>166</v>
      </c>
      <c r="C405" s="2" t="s">
        <v>167</v>
      </c>
      <c r="D405" s="2" t="s">
        <v>168</v>
      </c>
      <c r="E405" s="2" t="s">
        <v>348</v>
      </c>
      <c r="F405" s="2" t="s">
        <v>4979</v>
      </c>
      <c r="G405" s="2" t="s">
        <v>4975</v>
      </c>
      <c r="H405" s="2" t="s">
        <v>5005</v>
      </c>
      <c r="I405" s="20">
        <v>20.61</v>
      </c>
      <c r="J405" s="2" t="s">
        <v>4933</v>
      </c>
      <c r="K405" s="2" t="s">
        <v>5000</v>
      </c>
    </row>
    <row r="406" spans="1:11" ht="15.35" x14ac:dyDescent="0.55000000000000004">
      <c r="A406" s="20">
        <v>2282</v>
      </c>
      <c r="B406" s="2" t="s">
        <v>166</v>
      </c>
      <c r="C406" s="2" t="s">
        <v>167</v>
      </c>
      <c r="D406" s="2" t="s">
        <v>168</v>
      </c>
      <c r="E406" s="2" t="s">
        <v>348</v>
      </c>
      <c r="F406" s="2" t="s">
        <v>4979</v>
      </c>
      <c r="G406" s="2" t="s">
        <v>4975</v>
      </c>
      <c r="H406" s="2" t="s">
        <v>5005</v>
      </c>
      <c r="I406" s="20">
        <v>44.64</v>
      </c>
      <c r="J406" s="2" t="s">
        <v>4933</v>
      </c>
      <c r="K406" s="2" t="s">
        <v>5001</v>
      </c>
    </row>
    <row r="407" spans="1:11" ht="15.35" x14ac:dyDescent="0.55000000000000004">
      <c r="A407" s="20">
        <v>2336</v>
      </c>
      <c r="B407" s="2" t="s">
        <v>166</v>
      </c>
      <c r="C407" s="2" t="s">
        <v>167</v>
      </c>
      <c r="D407" s="2" t="s">
        <v>168</v>
      </c>
      <c r="E407" s="2" t="s">
        <v>348</v>
      </c>
      <c r="F407" s="2" t="s">
        <v>4979</v>
      </c>
      <c r="G407" s="2" t="s">
        <v>4928</v>
      </c>
      <c r="H407" s="2" t="s">
        <v>5014</v>
      </c>
      <c r="I407" s="20">
        <v>1127.24</v>
      </c>
      <c r="J407" s="2" t="s">
        <v>5015</v>
      </c>
    </row>
    <row r="408" spans="1:11" ht="15.35" x14ac:dyDescent="0.55000000000000004">
      <c r="A408" s="20">
        <v>2211</v>
      </c>
      <c r="B408" s="2" t="s">
        <v>166</v>
      </c>
      <c r="C408" s="2" t="s">
        <v>167</v>
      </c>
      <c r="D408" s="2" t="s">
        <v>168</v>
      </c>
      <c r="E408" s="2" t="s">
        <v>348</v>
      </c>
      <c r="F408" s="2" t="s">
        <v>4980</v>
      </c>
      <c r="G408" s="2" t="s">
        <v>4975</v>
      </c>
      <c r="H408" s="2" t="s">
        <v>4997</v>
      </c>
      <c r="I408" s="20">
        <v>38.07</v>
      </c>
      <c r="J408" s="2" t="s">
        <v>4933</v>
      </c>
      <c r="K408" s="2" t="s">
        <v>5001</v>
      </c>
    </row>
    <row r="409" spans="1:11" ht="15.35" x14ac:dyDescent="0.55000000000000004">
      <c r="A409" s="20">
        <v>2215</v>
      </c>
      <c r="B409" s="2" t="s">
        <v>166</v>
      </c>
      <c r="C409" s="2" t="s">
        <v>167</v>
      </c>
      <c r="D409" s="2" t="s">
        <v>168</v>
      </c>
      <c r="E409" s="2" t="s">
        <v>348</v>
      </c>
      <c r="F409" s="2" t="s">
        <v>4980</v>
      </c>
      <c r="G409" s="2" t="s">
        <v>4928</v>
      </c>
      <c r="H409" s="2" t="s">
        <v>5014</v>
      </c>
      <c r="I409" s="20">
        <v>1385.42</v>
      </c>
      <c r="J409" s="2" t="s">
        <v>5015</v>
      </c>
    </row>
    <row r="410" spans="1:11" ht="15.35" x14ac:dyDescent="0.55000000000000004">
      <c r="A410" s="20">
        <v>2218</v>
      </c>
      <c r="B410" s="2" t="s">
        <v>166</v>
      </c>
      <c r="C410" s="2" t="s">
        <v>167</v>
      </c>
      <c r="D410" s="2" t="s">
        <v>168</v>
      </c>
      <c r="E410" s="2" t="s">
        <v>348</v>
      </c>
      <c r="F410" s="2" t="s">
        <v>4980</v>
      </c>
      <c r="G410" s="2" t="s">
        <v>4975</v>
      </c>
      <c r="H410" s="2" t="s">
        <v>5002</v>
      </c>
      <c r="I410" s="20">
        <v>188763.48</v>
      </c>
      <c r="J410" s="2" t="s">
        <v>4977</v>
      </c>
    </row>
    <row r="411" spans="1:11" ht="15.35" x14ac:dyDescent="0.55000000000000004">
      <c r="A411" s="20">
        <v>2222</v>
      </c>
      <c r="B411" s="2" t="s">
        <v>166</v>
      </c>
      <c r="C411" s="2" t="s">
        <v>167</v>
      </c>
      <c r="D411" s="2" t="s">
        <v>168</v>
      </c>
      <c r="E411" s="2" t="s">
        <v>348</v>
      </c>
      <c r="F411" s="2" t="s">
        <v>4980</v>
      </c>
      <c r="G411" s="2" t="s">
        <v>4975</v>
      </c>
      <c r="H411" s="2" t="s">
        <v>4997</v>
      </c>
      <c r="I411" s="20">
        <v>28.52</v>
      </c>
      <c r="J411" s="2" t="s">
        <v>4933</v>
      </c>
      <c r="K411" s="2" t="s">
        <v>5000</v>
      </c>
    </row>
    <row r="412" spans="1:11" ht="15.35" x14ac:dyDescent="0.55000000000000004">
      <c r="A412" s="20">
        <v>2224</v>
      </c>
      <c r="B412" s="2" t="s">
        <v>166</v>
      </c>
      <c r="C412" s="2" t="s">
        <v>167</v>
      </c>
      <c r="D412" s="2" t="s">
        <v>168</v>
      </c>
      <c r="E412" s="2" t="s">
        <v>348</v>
      </c>
      <c r="F412" s="2" t="s">
        <v>4980</v>
      </c>
      <c r="G412" s="2" t="s">
        <v>4975</v>
      </c>
      <c r="H412" s="2" t="s">
        <v>4997</v>
      </c>
      <c r="I412" s="20">
        <v>14.1</v>
      </c>
      <c r="J412" s="2" t="s">
        <v>4933</v>
      </c>
      <c r="K412" s="2" t="s">
        <v>4999</v>
      </c>
    </row>
    <row r="413" spans="1:11" ht="15.35" x14ac:dyDescent="0.55000000000000004">
      <c r="A413" s="20">
        <v>2227</v>
      </c>
      <c r="B413" s="2" t="s">
        <v>166</v>
      </c>
      <c r="C413" s="2" t="s">
        <v>167</v>
      </c>
      <c r="D413" s="2" t="s">
        <v>168</v>
      </c>
      <c r="E413" s="2" t="s">
        <v>348</v>
      </c>
      <c r="F413" s="2" t="s">
        <v>4980</v>
      </c>
      <c r="G413" s="2" t="s">
        <v>4975</v>
      </c>
      <c r="H413" s="2" t="s">
        <v>5005</v>
      </c>
      <c r="I413" s="20">
        <v>40.51</v>
      </c>
      <c r="J413" s="2" t="s">
        <v>4933</v>
      </c>
      <c r="K413" s="2" t="s">
        <v>5001</v>
      </c>
    </row>
    <row r="414" spans="1:11" ht="15.35" x14ac:dyDescent="0.55000000000000004">
      <c r="A414" s="20">
        <v>2228</v>
      </c>
      <c r="B414" s="2" t="s">
        <v>166</v>
      </c>
      <c r="C414" s="2" t="s">
        <v>167</v>
      </c>
      <c r="D414" s="2" t="s">
        <v>168</v>
      </c>
      <c r="E414" s="2" t="s">
        <v>348</v>
      </c>
      <c r="F414" s="2" t="s">
        <v>4980</v>
      </c>
      <c r="G414" s="2" t="s">
        <v>4975</v>
      </c>
      <c r="H414" s="2" t="s">
        <v>5005</v>
      </c>
      <c r="I414" s="20">
        <v>21.1</v>
      </c>
      <c r="J414" s="2" t="s">
        <v>4933</v>
      </c>
      <c r="K414" s="2" t="s">
        <v>5000</v>
      </c>
    </row>
    <row r="415" spans="1:11" ht="15.35" x14ac:dyDescent="0.55000000000000004">
      <c r="A415" s="20">
        <v>2229</v>
      </c>
      <c r="B415" s="2" t="s">
        <v>166</v>
      </c>
      <c r="C415" s="2" t="s">
        <v>167</v>
      </c>
      <c r="D415" s="2" t="s">
        <v>168</v>
      </c>
      <c r="E415" s="2" t="s">
        <v>348</v>
      </c>
      <c r="F415" s="2" t="s">
        <v>4980</v>
      </c>
      <c r="G415" s="2" t="s">
        <v>4975</v>
      </c>
      <c r="H415" s="2" t="s">
        <v>5005</v>
      </c>
      <c r="I415" s="20">
        <v>9.5399999999999991</v>
      </c>
      <c r="J415" s="2" t="s">
        <v>4933</v>
      </c>
      <c r="K415" s="2" t="s">
        <v>4999</v>
      </c>
    </row>
    <row r="416" spans="1:11" ht="15.35" x14ac:dyDescent="0.55000000000000004">
      <c r="A416" s="20">
        <v>2230</v>
      </c>
      <c r="B416" s="2" t="s">
        <v>166</v>
      </c>
      <c r="C416" s="2" t="s">
        <v>167</v>
      </c>
      <c r="D416" s="2" t="s">
        <v>168</v>
      </c>
      <c r="E416" s="2" t="s">
        <v>348</v>
      </c>
      <c r="F416" s="2" t="s">
        <v>4980</v>
      </c>
      <c r="G416" s="2" t="s">
        <v>4975</v>
      </c>
      <c r="H416" s="2" t="s">
        <v>5005</v>
      </c>
      <c r="I416" s="20">
        <v>16.75</v>
      </c>
      <c r="J416" s="2" t="s">
        <v>4933</v>
      </c>
      <c r="K416" s="2" t="s">
        <v>4998</v>
      </c>
    </row>
    <row r="417" spans="1:11" ht="15.35" x14ac:dyDescent="0.55000000000000004">
      <c r="A417" s="20">
        <v>2231</v>
      </c>
      <c r="B417" s="2" t="s">
        <v>166</v>
      </c>
      <c r="C417" s="2" t="s">
        <v>167</v>
      </c>
      <c r="D417" s="2" t="s">
        <v>168</v>
      </c>
      <c r="E417" s="2" t="s">
        <v>348</v>
      </c>
      <c r="F417" s="2" t="s">
        <v>4980</v>
      </c>
      <c r="G417" s="2" t="s">
        <v>4975</v>
      </c>
      <c r="H417" s="2" t="s">
        <v>5005</v>
      </c>
      <c r="I417" s="20">
        <v>12.11</v>
      </c>
      <c r="J417" s="2" t="s">
        <v>4933</v>
      </c>
      <c r="K417" s="2" t="s">
        <v>5004</v>
      </c>
    </row>
    <row r="418" spans="1:11" ht="15.35" x14ac:dyDescent="0.55000000000000004">
      <c r="A418" s="20">
        <v>2232</v>
      </c>
      <c r="B418" s="2" t="s">
        <v>166</v>
      </c>
      <c r="C418" s="2" t="s">
        <v>167</v>
      </c>
      <c r="D418" s="2" t="s">
        <v>168</v>
      </c>
      <c r="E418" s="2" t="s">
        <v>348</v>
      </c>
      <c r="F418" s="2" t="s">
        <v>4980</v>
      </c>
      <c r="G418" s="2" t="s">
        <v>4975</v>
      </c>
      <c r="H418" s="2" t="s">
        <v>5002</v>
      </c>
      <c r="I418" s="20">
        <v>94652.72</v>
      </c>
      <c r="J418" s="2" t="s">
        <v>4977</v>
      </c>
      <c r="K418" s="2" t="s">
        <v>5003</v>
      </c>
    </row>
    <row r="419" spans="1:11" ht="15.35" x14ac:dyDescent="0.55000000000000004">
      <c r="A419" s="20">
        <v>2239</v>
      </c>
      <c r="B419" s="2" t="s">
        <v>166</v>
      </c>
      <c r="C419" s="2" t="s">
        <v>167</v>
      </c>
      <c r="D419" s="2" t="s">
        <v>168</v>
      </c>
      <c r="E419" s="2" t="s">
        <v>348</v>
      </c>
      <c r="F419" s="2" t="s">
        <v>4980</v>
      </c>
      <c r="G419" s="2" t="s">
        <v>4975</v>
      </c>
      <c r="H419" s="2" t="s">
        <v>4997</v>
      </c>
      <c r="I419" s="20">
        <v>5.22</v>
      </c>
      <c r="J419" s="2" t="s">
        <v>4933</v>
      </c>
      <c r="K419" s="2" t="s">
        <v>5004</v>
      </c>
    </row>
    <row r="420" spans="1:11" ht="15.35" x14ac:dyDescent="0.55000000000000004">
      <c r="A420" s="20">
        <v>2240</v>
      </c>
      <c r="B420" s="2" t="s">
        <v>166</v>
      </c>
      <c r="C420" s="2" t="s">
        <v>167</v>
      </c>
      <c r="D420" s="2" t="s">
        <v>168</v>
      </c>
      <c r="E420" s="2" t="s">
        <v>348</v>
      </c>
      <c r="F420" s="2" t="s">
        <v>4980</v>
      </c>
      <c r="G420" s="2" t="s">
        <v>4975</v>
      </c>
      <c r="H420" s="2" t="s">
        <v>4997</v>
      </c>
      <c r="I420" s="20">
        <v>14.1</v>
      </c>
      <c r="J420" s="2" t="s">
        <v>4933</v>
      </c>
      <c r="K420" s="2" t="s">
        <v>4998</v>
      </c>
    </row>
    <row r="421" spans="1:11" ht="15.35" x14ac:dyDescent="0.55000000000000004">
      <c r="A421" s="20">
        <v>2244</v>
      </c>
      <c r="B421" s="2" t="s">
        <v>166</v>
      </c>
      <c r="C421" s="2" t="s">
        <v>167</v>
      </c>
      <c r="D421" s="2" t="s">
        <v>168</v>
      </c>
      <c r="E421" s="2" t="s">
        <v>348</v>
      </c>
      <c r="F421" s="2" t="s">
        <v>4980</v>
      </c>
      <c r="G421" s="2" t="s">
        <v>4975</v>
      </c>
      <c r="H421" s="2" t="s">
        <v>5002</v>
      </c>
      <c r="I421" s="20">
        <v>94110.76</v>
      </c>
      <c r="J421" s="2" t="s">
        <v>4977</v>
      </c>
      <c r="K421" s="2" t="s">
        <v>5011</v>
      </c>
    </row>
    <row r="422" spans="1:11" ht="15.35" x14ac:dyDescent="0.55000000000000004">
      <c r="A422" s="20">
        <v>2260</v>
      </c>
      <c r="B422" s="2" t="s">
        <v>166</v>
      </c>
      <c r="C422" s="2" t="s">
        <v>167</v>
      </c>
      <c r="D422" s="2" t="s">
        <v>168</v>
      </c>
      <c r="E422" s="2" t="s">
        <v>348</v>
      </c>
      <c r="F422" s="2" t="s">
        <v>4980</v>
      </c>
      <c r="G422" s="2" t="s">
        <v>4939</v>
      </c>
      <c r="H422" s="2" t="s">
        <v>5006</v>
      </c>
      <c r="I422" s="20">
        <v>3.76</v>
      </c>
      <c r="J422" s="2" t="s">
        <v>5007</v>
      </c>
    </row>
    <row r="423" spans="1:11" ht="15.35" x14ac:dyDescent="0.55000000000000004">
      <c r="A423" s="20">
        <v>2263</v>
      </c>
      <c r="B423" s="2" t="s">
        <v>166</v>
      </c>
      <c r="C423" s="2" t="s">
        <v>167</v>
      </c>
      <c r="D423" s="2" t="s">
        <v>168</v>
      </c>
      <c r="E423" s="2" t="s">
        <v>348</v>
      </c>
      <c r="F423" s="2" t="s">
        <v>4980</v>
      </c>
      <c r="G423" s="2" t="s">
        <v>4931</v>
      </c>
      <c r="H423" s="2" t="s">
        <v>5009</v>
      </c>
      <c r="I423" s="20">
        <v>5.3</v>
      </c>
      <c r="J423" s="2" t="s">
        <v>4933</v>
      </c>
    </row>
    <row r="424" spans="1:11" ht="15.35" x14ac:dyDescent="0.55000000000000004">
      <c r="A424" s="20">
        <v>2266</v>
      </c>
      <c r="B424" s="2" t="s">
        <v>166</v>
      </c>
      <c r="C424" s="2" t="s">
        <v>167</v>
      </c>
      <c r="D424" s="2" t="s">
        <v>168</v>
      </c>
      <c r="E424" s="2" t="s">
        <v>348</v>
      </c>
      <c r="F424" s="2" t="s">
        <v>4980</v>
      </c>
      <c r="G424" s="2" t="s">
        <v>4931</v>
      </c>
      <c r="H424" s="2" t="s">
        <v>5010</v>
      </c>
      <c r="I424" s="20">
        <v>95.17</v>
      </c>
      <c r="J424" s="2" t="s">
        <v>4933</v>
      </c>
    </row>
    <row r="425" spans="1:11" ht="15.35" x14ac:dyDescent="0.55000000000000004">
      <c r="A425" s="20">
        <v>2269</v>
      </c>
      <c r="B425" s="2" t="s">
        <v>166</v>
      </c>
      <c r="C425" s="2" t="s">
        <v>167</v>
      </c>
      <c r="D425" s="2" t="s">
        <v>168</v>
      </c>
      <c r="E425" s="2" t="s">
        <v>348</v>
      </c>
      <c r="F425" s="2" t="s">
        <v>4980</v>
      </c>
      <c r="G425" s="2" t="s">
        <v>4931</v>
      </c>
      <c r="H425" s="2" t="s">
        <v>4968</v>
      </c>
      <c r="I425" s="20">
        <v>71.42</v>
      </c>
      <c r="J425" s="2" t="s">
        <v>4933</v>
      </c>
    </row>
    <row r="426" spans="1:11" ht="15.35" x14ac:dyDescent="0.55000000000000004">
      <c r="A426" s="20">
        <v>2272</v>
      </c>
      <c r="B426" s="2" t="s">
        <v>166</v>
      </c>
      <c r="C426" s="2" t="s">
        <v>167</v>
      </c>
      <c r="D426" s="2" t="s">
        <v>168</v>
      </c>
      <c r="E426" s="2" t="s">
        <v>348</v>
      </c>
      <c r="F426" s="2" t="s">
        <v>4980</v>
      </c>
      <c r="G426" s="2" t="s">
        <v>4931</v>
      </c>
      <c r="H426" s="2" t="s">
        <v>5013</v>
      </c>
      <c r="I426" s="20">
        <v>7.6100000000000001E-2</v>
      </c>
    </row>
    <row r="427" spans="1:11" ht="15.35" x14ac:dyDescent="0.55000000000000004">
      <c r="A427" s="20">
        <v>2274</v>
      </c>
      <c r="B427" s="2" t="s">
        <v>166</v>
      </c>
      <c r="C427" s="2" t="s">
        <v>167</v>
      </c>
      <c r="D427" s="2" t="s">
        <v>168</v>
      </c>
      <c r="E427" s="2" t="s">
        <v>348</v>
      </c>
      <c r="F427" s="2" t="s">
        <v>4980</v>
      </c>
      <c r="G427" s="2" t="s">
        <v>4939</v>
      </c>
      <c r="H427" s="2" t="s">
        <v>5012</v>
      </c>
      <c r="I427" s="20">
        <v>1857.47</v>
      </c>
      <c r="J427" s="2" t="s">
        <v>4941</v>
      </c>
    </row>
    <row r="428" spans="1:11" ht="15.35" x14ac:dyDescent="0.55000000000000004">
      <c r="A428" s="20">
        <v>2278</v>
      </c>
      <c r="B428" s="2" t="s">
        <v>166</v>
      </c>
      <c r="C428" s="2" t="s">
        <v>167</v>
      </c>
      <c r="D428" s="2" t="s">
        <v>168</v>
      </c>
      <c r="E428" s="2" t="s">
        <v>348</v>
      </c>
      <c r="F428" s="2" t="s">
        <v>4980</v>
      </c>
      <c r="G428" s="2" t="s">
        <v>4939</v>
      </c>
      <c r="H428" s="2" t="s">
        <v>5008</v>
      </c>
      <c r="I428" s="20">
        <v>99.64</v>
      </c>
      <c r="J428" s="2" t="s">
        <v>4941</v>
      </c>
    </row>
    <row r="429" spans="1:11" ht="15.35" x14ac:dyDescent="0.55000000000000004">
      <c r="A429" s="20">
        <v>2210</v>
      </c>
      <c r="B429" s="2" t="s">
        <v>166</v>
      </c>
      <c r="C429" s="2" t="s">
        <v>167</v>
      </c>
      <c r="D429" s="2" t="s">
        <v>168</v>
      </c>
      <c r="E429" s="2" t="s">
        <v>348</v>
      </c>
      <c r="F429" s="2" t="s">
        <v>5016</v>
      </c>
      <c r="G429" s="2" t="s">
        <v>4975</v>
      </c>
      <c r="H429" s="2" t="s">
        <v>5005</v>
      </c>
      <c r="I429" s="20">
        <v>12.65</v>
      </c>
      <c r="J429" s="2" t="s">
        <v>4933</v>
      </c>
      <c r="K429" s="2" t="s">
        <v>5004</v>
      </c>
    </row>
    <row r="430" spans="1:11" ht="15.35" x14ac:dyDescent="0.55000000000000004">
      <c r="A430" s="20">
        <v>2212</v>
      </c>
      <c r="B430" s="2" t="s">
        <v>166</v>
      </c>
      <c r="C430" s="2" t="s">
        <v>167</v>
      </c>
      <c r="D430" s="2" t="s">
        <v>168</v>
      </c>
      <c r="E430" s="2" t="s">
        <v>348</v>
      </c>
      <c r="F430" s="2" t="s">
        <v>5016</v>
      </c>
      <c r="G430" s="2" t="s">
        <v>4975</v>
      </c>
      <c r="H430" s="2" t="s">
        <v>4997</v>
      </c>
      <c r="I430" s="20">
        <v>12.92</v>
      </c>
      <c r="J430" s="2" t="s">
        <v>4933</v>
      </c>
      <c r="K430" s="2" t="s">
        <v>4998</v>
      </c>
    </row>
    <row r="431" spans="1:11" ht="15.35" x14ac:dyDescent="0.55000000000000004">
      <c r="A431" s="20">
        <v>2213</v>
      </c>
      <c r="B431" s="2" t="s">
        <v>166</v>
      </c>
      <c r="C431" s="2" t="s">
        <v>167</v>
      </c>
      <c r="D431" s="2" t="s">
        <v>168</v>
      </c>
      <c r="E431" s="2" t="s">
        <v>348</v>
      </c>
      <c r="F431" s="2" t="s">
        <v>5016</v>
      </c>
      <c r="G431" s="2" t="s">
        <v>4975</v>
      </c>
      <c r="H431" s="2" t="s">
        <v>5017</v>
      </c>
      <c r="I431" s="20">
        <v>20.239999999999998</v>
      </c>
      <c r="J431" s="2" t="s">
        <v>4933</v>
      </c>
      <c r="K431" s="2" t="s">
        <v>5018</v>
      </c>
    </row>
    <row r="432" spans="1:11" ht="15.35" x14ac:dyDescent="0.55000000000000004">
      <c r="A432" s="20">
        <v>2214</v>
      </c>
      <c r="B432" s="2" t="s">
        <v>166</v>
      </c>
      <c r="C432" s="2" t="s">
        <v>167</v>
      </c>
      <c r="D432" s="2" t="s">
        <v>168</v>
      </c>
      <c r="E432" s="2" t="s">
        <v>348</v>
      </c>
      <c r="F432" s="2" t="s">
        <v>5016</v>
      </c>
      <c r="G432" s="2" t="s">
        <v>4931</v>
      </c>
      <c r="H432" s="2" t="s">
        <v>5013</v>
      </c>
      <c r="I432" s="20">
        <v>6.7299999999999999E-2</v>
      </c>
    </row>
    <row r="433" spans="1:11" ht="15.35" x14ac:dyDescent="0.55000000000000004">
      <c r="A433" s="20">
        <v>2216</v>
      </c>
      <c r="B433" s="2" t="s">
        <v>166</v>
      </c>
      <c r="C433" s="2" t="s">
        <v>167</v>
      </c>
      <c r="D433" s="2" t="s">
        <v>168</v>
      </c>
      <c r="E433" s="2" t="s">
        <v>348</v>
      </c>
      <c r="F433" s="2" t="s">
        <v>5016</v>
      </c>
      <c r="G433" s="2" t="s">
        <v>4928</v>
      </c>
      <c r="H433" s="2" t="s">
        <v>5014</v>
      </c>
      <c r="I433" s="20">
        <v>1424.13</v>
      </c>
      <c r="J433" s="2" t="s">
        <v>5015</v>
      </c>
    </row>
    <row r="434" spans="1:11" ht="15.35" x14ac:dyDescent="0.55000000000000004">
      <c r="A434" s="20">
        <v>2219</v>
      </c>
      <c r="B434" s="2" t="s">
        <v>166</v>
      </c>
      <c r="C434" s="2" t="s">
        <v>167</v>
      </c>
      <c r="D434" s="2" t="s">
        <v>168</v>
      </c>
      <c r="E434" s="2" t="s">
        <v>348</v>
      </c>
      <c r="F434" s="2" t="s">
        <v>5016</v>
      </c>
      <c r="G434" s="2" t="s">
        <v>4975</v>
      </c>
      <c r="H434" s="2" t="s">
        <v>5002</v>
      </c>
      <c r="I434" s="20">
        <v>223091.89</v>
      </c>
      <c r="J434" s="2" t="s">
        <v>4977</v>
      </c>
    </row>
    <row r="435" spans="1:11" ht="15.35" x14ac:dyDescent="0.55000000000000004">
      <c r="A435" s="20">
        <v>2223</v>
      </c>
      <c r="B435" s="2" t="s">
        <v>166</v>
      </c>
      <c r="C435" s="2" t="s">
        <v>167</v>
      </c>
      <c r="D435" s="2" t="s">
        <v>168</v>
      </c>
      <c r="E435" s="2" t="s">
        <v>348</v>
      </c>
      <c r="F435" s="2" t="s">
        <v>5016</v>
      </c>
      <c r="G435" s="2" t="s">
        <v>4975</v>
      </c>
      <c r="H435" s="2" t="s">
        <v>5017</v>
      </c>
      <c r="I435" s="20">
        <v>6.4</v>
      </c>
      <c r="J435" s="2" t="s">
        <v>4933</v>
      </c>
      <c r="K435" s="2" t="s">
        <v>5019</v>
      </c>
    </row>
    <row r="436" spans="1:11" ht="15.35" x14ac:dyDescent="0.55000000000000004">
      <c r="A436" s="20">
        <v>2233</v>
      </c>
      <c r="B436" s="2" t="s">
        <v>166</v>
      </c>
      <c r="C436" s="2" t="s">
        <v>167</v>
      </c>
      <c r="D436" s="2" t="s">
        <v>168</v>
      </c>
      <c r="E436" s="2" t="s">
        <v>348</v>
      </c>
      <c r="F436" s="2" t="s">
        <v>5016</v>
      </c>
      <c r="G436" s="2" t="s">
        <v>4975</v>
      </c>
      <c r="H436" s="2" t="s">
        <v>5005</v>
      </c>
      <c r="I436" s="20">
        <v>39.81</v>
      </c>
      <c r="J436" s="2" t="s">
        <v>4933</v>
      </c>
      <c r="K436" s="2" t="s">
        <v>5001</v>
      </c>
    </row>
    <row r="437" spans="1:11" ht="15.35" x14ac:dyDescent="0.55000000000000004">
      <c r="A437" s="20">
        <v>2234</v>
      </c>
      <c r="B437" s="2" t="s">
        <v>166</v>
      </c>
      <c r="C437" s="2" t="s">
        <v>167</v>
      </c>
      <c r="D437" s="2" t="s">
        <v>168</v>
      </c>
      <c r="E437" s="2" t="s">
        <v>348</v>
      </c>
      <c r="F437" s="2" t="s">
        <v>5016</v>
      </c>
      <c r="G437" s="2" t="s">
        <v>4975</v>
      </c>
      <c r="H437" s="2" t="s">
        <v>5005</v>
      </c>
      <c r="I437" s="20">
        <v>10.23</v>
      </c>
      <c r="J437" s="2" t="s">
        <v>4933</v>
      </c>
      <c r="K437" s="2" t="s">
        <v>4999</v>
      </c>
    </row>
    <row r="438" spans="1:11" ht="15.35" x14ac:dyDescent="0.55000000000000004">
      <c r="A438" s="20">
        <v>2235</v>
      </c>
      <c r="B438" s="2" t="s">
        <v>166</v>
      </c>
      <c r="C438" s="2" t="s">
        <v>167</v>
      </c>
      <c r="D438" s="2" t="s">
        <v>168</v>
      </c>
      <c r="E438" s="2" t="s">
        <v>348</v>
      </c>
      <c r="F438" s="2" t="s">
        <v>5016</v>
      </c>
      <c r="G438" s="2" t="s">
        <v>4975</v>
      </c>
      <c r="H438" s="2" t="s">
        <v>5005</v>
      </c>
      <c r="I438" s="20">
        <v>14.81</v>
      </c>
      <c r="J438" s="2" t="s">
        <v>4933</v>
      </c>
      <c r="K438" s="2" t="s">
        <v>4998</v>
      </c>
    </row>
    <row r="439" spans="1:11" ht="15.35" x14ac:dyDescent="0.55000000000000004">
      <c r="A439" s="20">
        <v>2236</v>
      </c>
      <c r="B439" s="2" t="s">
        <v>166</v>
      </c>
      <c r="C439" s="2" t="s">
        <v>167</v>
      </c>
      <c r="D439" s="2" t="s">
        <v>168</v>
      </c>
      <c r="E439" s="2" t="s">
        <v>348</v>
      </c>
      <c r="F439" s="2" t="s">
        <v>5016</v>
      </c>
      <c r="G439" s="2" t="s">
        <v>4975</v>
      </c>
      <c r="H439" s="2" t="s">
        <v>4997</v>
      </c>
      <c r="I439" s="20">
        <v>15.92</v>
      </c>
      <c r="J439" s="2" t="s">
        <v>4933</v>
      </c>
      <c r="K439" s="2" t="s">
        <v>4999</v>
      </c>
    </row>
    <row r="440" spans="1:11" ht="15.35" x14ac:dyDescent="0.55000000000000004">
      <c r="A440" s="20">
        <v>2237</v>
      </c>
      <c r="B440" s="2" t="s">
        <v>166</v>
      </c>
      <c r="C440" s="2" t="s">
        <v>167</v>
      </c>
      <c r="D440" s="2" t="s">
        <v>168</v>
      </c>
      <c r="E440" s="2" t="s">
        <v>348</v>
      </c>
      <c r="F440" s="2" t="s">
        <v>5016</v>
      </c>
      <c r="G440" s="2" t="s">
        <v>4975</v>
      </c>
      <c r="H440" s="2" t="s">
        <v>4997</v>
      </c>
      <c r="I440" s="20">
        <v>29.03</v>
      </c>
      <c r="J440" s="2" t="s">
        <v>4933</v>
      </c>
      <c r="K440" s="2" t="s">
        <v>5000</v>
      </c>
    </row>
    <row r="441" spans="1:11" ht="15.35" x14ac:dyDescent="0.55000000000000004">
      <c r="A441" s="20">
        <v>2238</v>
      </c>
      <c r="B441" s="2" t="s">
        <v>166</v>
      </c>
      <c r="C441" s="2" t="s">
        <v>167</v>
      </c>
      <c r="D441" s="2" t="s">
        <v>168</v>
      </c>
      <c r="E441" s="2" t="s">
        <v>348</v>
      </c>
      <c r="F441" s="2" t="s">
        <v>5016</v>
      </c>
      <c r="G441" s="2" t="s">
        <v>4975</v>
      </c>
      <c r="H441" s="2" t="s">
        <v>4997</v>
      </c>
      <c r="I441" s="20">
        <v>37.340000000000003</v>
      </c>
      <c r="J441" s="2" t="s">
        <v>4933</v>
      </c>
      <c r="K441" s="2" t="s">
        <v>5001</v>
      </c>
    </row>
    <row r="442" spans="1:11" ht="15.35" x14ac:dyDescent="0.55000000000000004">
      <c r="A442" s="20">
        <v>2241</v>
      </c>
      <c r="B442" s="2" t="s">
        <v>166</v>
      </c>
      <c r="C442" s="2" t="s">
        <v>167</v>
      </c>
      <c r="D442" s="2" t="s">
        <v>168</v>
      </c>
      <c r="E442" s="2" t="s">
        <v>348</v>
      </c>
      <c r="F442" s="2" t="s">
        <v>5016</v>
      </c>
      <c r="G442" s="2" t="s">
        <v>4975</v>
      </c>
      <c r="H442" s="2" t="s">
        <v>5005</v>
      </c>
      <c r="I442" s="20">
        <v>22.49</v>
      </c>
      <c r="J442" s="2" t="s">
        <v>4933</v>
      </c>
      <c r="K442" s="2" t="s">
        <v>5000</v>
      </c>
    </row>
    <row r="443" spans="1:11" ht="15.35" x14ac:dyDescent="0.55000000000000004">
      <c r="A443" s="20">
        <v>2243</v>
      </c>
      <c r="B443" s="2" t="s">
        <v>166</v>
      </c>
      <c r="C443" s="2" t="s">
        <v>167</v>
      </c>
      <c r="D443" s="2" t="s">
        <v>168</v>
      </c>
      <c r="E443" s="2" t="s">
        <v>348</v>
      </c>
      <c r="F443" s="2" t="s">
        <v>5016</v>
      </c>
      <c r="G443" s="2" t="s">
        <v>4975</v>
      </c>
      <c r="H443" s="2" t="s">
        <v>5002</v>
      </c>
      <c r="I443" s="20">
        <v>129940.27</v>
      </c>
      <c r="J443" s="2" t="s">
        <v>4977</v>
      </c>
      <c r="K443" s="2" t="s">
        <v>5003</v>
      </c>
    </row>
    <row r="444" spans="1:11" ht="15.35" x14ac:dyDescent="0.55000000000000004">
      <c r="A444" s="20">
        <v>2247</v>
      </c>
      <c r="B444" s="2" t="s">
        <v>166</v>
      </c>
      <c r="C444" s="2" t="s">
        <v>167</v>
      </c>
      <c r="D444" s="2" t="s">
        <v>168</v>
      </c>
      <c r="E444" s="2" t="s">
        <v>348</v>
      </c>
      <c r="F444" s="2" t="s">
        <v>5016</v>
      </c>
      <c r="G444" s="2" t="s">
        <v>4975</v>
      </c>
      <c r="H444" s="2" t="s">
        <v>4997</v>
      </c>
      <c r="I444" s="20">
        <v>4.8</v>
      </c>
      <c r="J444" s="2" t="s">
        <v>4933</v>
      </c>
      <c r="K444" s="2" t="s">
        <v>5004</v>
      </c>
    </row>
    <row r="445" spans="1:11" ht="15.35" x14ac:dyDescent="0.55000000000000004">
      <c r="A445" s="20">
        <v>2261</v>
      </c>
      <c r="B445" s="2" t="s">
        <v>166</v>
      </c>
      <c r="C445" s="2" t="s">
        <v>167</v>
      </c>
      <c r="D445" s="2" t="s">
        <v>168</v>
      </c>
      <c r="E445" s="2" t="s">
        <v>348</v>
      </c>
      <c r="F445" s="2" t="s">
        <v>5016</v>
      </c>
      <c r="G445" s="2" t="s">
        <v>4939</v>
      </c>
      <c r="H445" s="2" t="s">
        <v>5006</v>
      </c>
      <c r="I445" s="20">
        <v>3.93</v>
      </c>
      <c r="J445" s="2" t="s">
        <v>5007</v>
      </c>
    </row>
    <row r="446" spans="1:11" ht="15.35" x14ac:dyDescent="0.55000000000000004">
      <c r="A446" s="20">
        <v>2264</v>
      </c>
      <c r="B446" s="2" t="s">
        <v>166</v>
      </c>
      <c r="C446" s="2" t="s">
        <v>167</v>
      </c>
      <c r="D446" s="2" t="s">
        <v>168</v>
      </c>
      <c r="E446" s="2" t="s">
        <v>348</v>
      </c>
      <c r="F446" s="2" t="s">
        <v>5016</v>
      </c>
      <c r="G446" s="2" t="s">
        <v>4975</v>
      </c>
      <c r="H446" s="2" t="s">
        <v>5002</v>
      </c>
      <c r="I446" s="20">
        <v>93151.62</v>
      </c>
      <c r="J446" s="2" t="s">
        <v>4977</v>
      </c>
      <c r="K446" s="2" t="s">
        <v>5011</v>
      </c>
    </row>
    <row r="447" spans="1:11" ht="15.35" x14ac:dyDescent="0.55000000000000004">
      <c r="A447" s="20">
        <v>2267</v>
      </c>
      <c r="B447" s="2" t="s">
        <v>166</v>
      </c>
      <c r="C447" s="2" t="s">
        <v>167</v>
      </c>
      <c r="D447" s="2" t="s">
        <v>168</v>
      </c>
      <c r="E447" s="2" t="s">
        <v>348</v>
      </c>
      <c r="F447" s="2" t="s">
        <v>5016</v>
      </c>
      <c r="G447" s="2" t="s">
        <v>4931</v>
      </c>
      <c r="H447" s="2" t="s">
        <v>5010</v>
      </c>
      <c r="I447" s="20">
        <v>95.64</v>
      </c>
      <c r="J447" s="2" t="s">
        <v>4933</v>
      </c>
    </row>
    <row r="448" spans="1:11" ht="15.35" x14ac:dyDescent="0.55000000000000004">
      <c r="A448" s="20">
        <v>2270</v>
      </c>
      <c r="B448" s="2" t="s">
        <v>166</v>
      </c>
      <c r="C448" s="2" t="s">
        <v>167</v>
      </c>
      <c r="D448" s="2" t="s">
        <v>168</v>
      </c>
      <c r="E448" s="2" t="s">
        <v>348</v>
      </c>
      <c r="F448" s="2" t="s">
        <v>5016</v>
      </c>
      <c r="G448" s="2" t="s">
        <v>4931</v>
      </c>
      <c r="H448" s="2" t="s">
        <v>4968</v>
      </c>
      <c r="I448" s="20">
        <v>71.31</v>
      </c>
      <c r="J448" s="2" t="s">
        <v>4933</v>
      </c>
    </row>
    <row r="449" spans="1:11" ht="15.35" x14ac:dyDescent="0.55000000000000004">
      <c r="A449" s="20">
        <v>2273</v>
      </c>
      <c r="B449" s="2" t="s">
        <v>166</v>
      </c>
      <c r="C449" s="2" t="s">
        <v>167</v>
      </c>
      <c r="D449" s="2" t="s">
        <v>168</v>
      </c>
      <c r="E449" s="2" t="s">
        <v>348</v>
      </c>
      <c r="F449" s="2" t="s">
        <v>5016</v>
      </c>
      <c r="G449" s="2" t="s">
        <v>4939</v>
      </c>
      <c r="H449" s="2" t="s">
        <v>5012</v>
      </c>
      <c r="I449" s="20">
        <v>2195.2600000000002</v>
      </c>
      <c r="J449" s="2" t="s">
        <v>4941</v>
      </c>
    </row>
    <row r="450" spans="1:11" ht="15.35" x14ac:dyDescent="0.55000000000000004">
      <c r="A450" s="20">
        <v>2276</v>
      </c>
      <c r="B450" s="2" t="s">
        <v>166</v>
      </c>
      <c r="C450" s="2" t="s">
        <v>167</v>
      </c>
      <c r="D450" s="2" t="s">
        <v>168</v>
      </c>
      <c r="E450" s="2" t="s">
        <v>348</v>
      </c>
      <c r="F450" s="2" t="s">
        <v>5016</v>
      </c>
      <c r="G450" s="2" t="s">
        <v>4939</v>
      </c>
      <c r="H450" s="2" t="s">
        <v>5008</v>
      </c>
      <c r="I450" s="20">
        <v>104.56</v>
      </c>
      <c r="J450" s="2" t="s">
        <v>4941</v>
      </c>
    </row>
    <row r="451" spans="1:11" ht="15.35" x14ac:dyDescent="0.55000000000000004">
      <c r="A451" s="20">
        <v>2277</v>
      </c>
      <c r="B451" s="2" t="s">
        <v>166</v>
      </c>
      <c r="C451" s="2" t="s">
        <v>167</v>
      </c>
      <c r="D451" s="2" t="s">
        <v>168</v>
      </c>
      <c r="E451" s="2" t="s">
        <v>348</v>
      </c>
      <c r="F451" s="2" t="s">
        <v>5016</v>
      </c>
      <c r="G451" s="2" t="s">
        <v>4975</v>
      </c>
      <c r="H451" s="2" t="s">
        <v>5017</v>
      </c>
      <c r="I451" s="20">
        <v>66.47</v>
      </c>
      <c r="J451" s="2" t="s">
        <v>4933</v>
      </c>
      <c r="K451" s="2" t="s">
        <v>5020</v>
      </c>
    </row>
    <row r="452" spans="1:11" ht="15.35" x14ac:dyDescent="0.55000000000000004">
      <c r="A452" s="20">
        <v>2279</v>
      </c>
      <c r="B452" s="2" t="s">
        <v>166</v>
      </c>
      <c r="C452" s="2" t="s">
        <v>167</v>
      </c>
      <c r="D452" s="2" t="s">
        <v>168</v>
      </c>
      <c r="E452" s="2" t="s">
        <v>348</v>
      </c>
      <c r="F452" s="2" t="s">
        <v>5016</v>
      </c>
      <c r="G452" s="2" t="s">
        <v>4931</v>
      </c>
      <c r="H452" s="2" t="s">
        <v>5009</v>
      </c>
      <c r="I452" s="20">
        <v>4.5</v>
      </c>
      <c r="J452" s="2" t="s">
        <v>4933</v>
      </c>
    </row>
    <row r="453" spans="1:11" ht="15.35" x14ac:dyDescent="0.55000000000000004">
      <c r="A453" s="20">
        <v>2283</v>
      </c>
      <c r="B453" s="2" t="s">
        <v>166</v>
      </c>
      <c r="C453" s="2" t="s">
        <v>167</v>
      </c>
      <c r="D453" s="2" t="s">
        <v>168</v>
      </c>
      <c r="E453" s="2" t="s">
        <v>348</v>
      </c>
      <c r="F453" s="2" t="s">
        <v>5016</v>
      </c>
      <c r="G453" s="2" t="s">
        <v>4975</v>
      </c>
      <c r="H453" s="2" t="s">
        <v>5017</v>
      </c>
      <c r="I453" s="20">
        <v>0.06</v>
      </c>
      <c r="J453" s="2" t="s">
        <v>4933</v>
      </c>
      <c r="K453" s="2" t="s">
        <v>5021</v>
      </c>
    </row>
    <row r="454" spans="1:11" ht="15.35" x14ac:dyDescent="0.55000000000000004">
      <c r="A454" s="20">
        <v>2337</v>
      </c>
      <c r="B454" s="2" t="s">
        <v>166</v>
      </c>
      <c r="C454" s="2" t="s">
        <v>167</v>
      </c>
      <c r="D454" s="2" t="s">
        <v>168</v>
      </c>
      <c r="E454" s="2" t="s">
        <v>348</v>
      </c>
      <c r="F454" s="2" t="s">
        <v>5016</v>
      </c>
      <c r="G454" s="2" t="s">
        <v>4975</v>
      </c>
      <c r="H454" s="2" t="s">
        <v>5017</v>
      </c>
      <c r="I454" s="20">
        <v>4.3600000000000003</v>
      </c>
      <c r="J454" s="2" t="s">
        <v>4933</v>
      </c>
      <c r="K454" s="2" t="s">
        <v>5022</v>
      </c>
    </row>
    <row r="455" spans="1:11" ht="15.35" x14ac:dyDescent="0.55000000000000004">
      <c r="A455" s="20">
        <v>2338</v>
      </c>
      <c r="B455" s="2" t="s">
        <v>166</v>
      </c>
      <c r="C455" s="2" t="s">
        <v>167</v>
      </c>
      <c r="D455" s="2" t="s">
        <v>168</v>
      </c>
      <c r="E455" s="2" t="s">
        <v>348</v>
      </c>
      <c r="F455" s="2" t="s">
        <v>5016</v>
      </c>
      <c r="G455" s="2" t="s">
        <v>4975</v>
      </c>
      <c r="H455" s="2" t="s">
        <v>5017</v>
      </c>
      <c r="I455" s="20">
        <v>2.4700000000000002</v>
      </c>
      <c r="J455" s="2" t="s">
        <v>4933</v>
      </c>
      <c r="K455" s="2" t="s">
        <v>5023</v>
      </c>
    </row>
    <row r="456" spans="1:11" ht="15.35" x14ac:dyDescent="0.55000000000000004">
      <c r="A456" s="20">
        <v>13162</v>
      </c>
      <c r="B456" s="2" t="s">
        <v>166</v>
      </c>
      <c r="C456" s="2" t="s">
        <v>167</v>
      </c>
      <c r="D456" s="2" t="s">
        <v>168</v>
      </c>
      <c r="E456" s="2" t="s">
        <v>348</v>
      </c>
      <c r="F456" s="2" t="s">
        <v>4945</v>
      </c>
      <c r="G456" s="2" t="s">
        <v>4928</v>
      </c>
      <c r="H456" s="2" t="s">
        <v>4953</v>
      </c>
      <c r="I456" s="20">
        <v>3.24</v>
      </c>
      <c r="J456" s="2" t="s">
        <v>4930</v>
      </c>
    </row>
    <row r="457" spans="1:11" ht="15.35" x14ac:dyDescent="0.55000000000000004">
      <c r="A457" s="20">
        <v>13186</v>
      </c>
      <c r="B457" s="2" t="s">
        <v>166</v>
      </c>
      <c r="C457" s="2" t="s">
        <v>167</v>
      </c>
      <c r="D457" s="2" t="s">
        <v>168</v>
      </c>
      <c r="E457" s="2" t="s">
        <v>348</v>
      </c>
      <c r="F457" s="2" t="s">
        <v>4945</v>
      </c>
      <c r="G457" s="2" t="s">
        <v>4931</v>
      </c>
      <c r="H457" s="2" t="s">
        <v>4937</v>
      </c>
      <c r="I457" s="20">
        <v>97.01</v>
      </c>
      <c r="J457" s="2" t="s">
        <v>4933</v>
      </c>
    </row>
    <row r="458" spans="1:11" ht="15.35" x14ac:dyDescent="0.55000000000000004">
      <c r="A458" s="20">
        <v>13187</v>
      </c>
      <c r="B458" s="2" t="s">
        <v>166</v>
      </c>
      <c r="C458" s="2" t="s">
        <v>167</v>
      </c>
      <c r="D458" s="2" t="s">
        <v>168</v>
      </c>
      <c r="E458" s="2" t="s">
        <v>348</v>
      </c>
      <c r="F458" s="2" t="s">
        <v>4945</v>
      </c>
      <c r="G458" s="2" t="s">
        <v>4928</v>
      </c>
      <c r="H458" s="2" t="s">
        <v>4934</v>
      </c>
      <c r="I458" s="20">
        <v>84211.85</v>
      </c>
      <c r="J458" s="2" t="s">
        <v>4935</v>
      </c>
    </row>
    <row r="459" spans="1:11" ht="15.35" x14ac:dyDescent="0.55000000000000004">
      <c r="A459" s="20">
        <v>13206</v>
      </c>
      <c r="B459" s="2" t="s">
        <v>166</v>
      </c>
      <c r="C459" s="2" t="s">
        <v>167</v>
      </c>
      <c r="D459" s="2" t="s">
        <v>168</v>
      </c>
      <c r="E459" s="2" t="s">
        <v>348</v>
      </c>
      <c r="F459" s="2" t="s">
        <v>4945</v>
      </c>
      <c r="G459" s="2" t="s">
        <v>4928</v>
      </c>
      <c r="H459" s="2" t="s">
        <v>4936</v>
      </c>
      <c r="I459" s="20">
        <v>81692.350000000006</v>
      </c>
      <c r="J459" s="2" t="s">
        <v>4935</v>
      </c>
    </row>
    <row r="460" spans="1:11" ht="15.35" x14ac:dyDescent="0.55000000000000004">
      <c r="A460" s="20">
        <v>13209</v>
      </c>
      <c r="B460" s="2" t="s">
        <v>166</v>
      </c>
      <c r="C460" s="2" t="s">
        <v>167</v>
      </c>
      <c r="D460" s="2" t="s">
        <v>168</v>
      </c>
      <c r="E460" s="2" t="s">
        <v>348</v>
      </c>
      <c r="F460" s="2" t="s">
        <v>4945</v>
      </c>
      <c r="G460" s="2" t="s">
        <v>4931</v>
      </c>
      <c r="H460" s="2" t="s">
        <v>4952</v>
      </c>
      <c r="I460" s="20">
        <v>99.85</v>
      </c>
      <c r="J460" s="2" t="s">
        <v>4933</v>
      </c>
    </row>
    <row r="461" spans="1:11" ht="15.35" x14ac:dyDescent="0.55000000000000004">
      <c r="A461" s="20">
        <v>13793</v>
      </c>
      <c r="B461" s="2" t="s">
        <v>166</v>
      </c>
      <c r="C461" s="2" t="s">
        <v>167</v>
      </c>
      <c r="D461" s="2" t="s">
        <v>168</v>
      </c>
      <c r="E461" s="2" t="s">
        <v>348</v>
      </c>
      <c r="F461" s="2" t="s">
        <v>4945</v>
      </c>
      <c r="G461" s="2" t="s">
        <v>4939</v>
      </c>
      <c r="H461" s="2" t="s">
        <v>4951</v>
      </c>
      <c r="I461" s="20">
        <v>3.96</v>
      </c>
      <c r="J461" s="2" t="s">
        <v>5007</v>
      </c>
    </row>
    <row r="462" spans="1:11" ht="15.35" x14ac:dyDescent="0.55000000000000004">
      <c r="A462" s="20">
        <v>16351</v>
      </c>
      <c r="B462" s="2" t="s">
        <v>166</v>
      </c>
      <c r="C462" s="2" t="s">
        <v>167</v>
      </c>
      <c r="D462" s="2" t="s">
        <v>168</v>
      </c>
      <c r="E462" s="2" t="s">
        <v>348</v>
      </c>
      <c r="F462" s="2" t="s">
        <v>4945</v>
      </c>
      <c r="G462" s="2" t="s">
        <v>4939</v>
      </c>
      <c r="H462" s="2" t="s">
        <v>4946</v>
      </c>
      <c r="I462" s="20">
        <v>3.96</v>
      </c>
      <c r="J462" s="2" t="s">
        <v>5007</v>
      </c>
    </row>
    <row r="463" spans="1:11" ht="15.35" x14ac:dyDescent="0.55000000000000004">
      <c r="A463" s="20">
        <v>13767</v>
      </c>
      <c r="B463" s="2" t="s">
        <v>166</v>
      </c>
      <c r="C463" s="2" t="s">
        <v>167</v>
      </c>
      <c r="D463" s="2" t="s">
        <v>168</v>
      </c>
      <c r="E463" s="2" t="s">
        <v>348</v>
      </c>
      <c r="F463" s="2" t="s">
        <v>4948</v>
      </c>
      <c r="G463" s="2" t="s">
        <v>4931</v>
      </c>
      <c r="H463" s="2" t="s">
        <v>4937</v>
      </c>
      <c r="I463" s="20">
        <v>96.8</v>
      </c>
      <c r="J463" s="2" t="s">
        <v>4933</v>
      </c>
    </row>
    <row r="464" spans="1:11" ht="15.35" x14ac:dyDescent="0.55000000000000004">
      <c r="A464" s="20">
        <v>13782</v>
      </c>
      <c r="B464" s="2" t="s">
        <v>166</v>
      </c>
      <c r="C464" s="2" t="s">
        <v>167</v>
      </c>
      <c r="D464" s="2" t="s">
        <v>168</v>
      </c>
      <c r="E464" s="2" t="s">
        <v>348</v>
      </c>
      <c r="F464" s="2" t="s">
        <v>4948</v>
      </c>
      <c r="G464" s="2" t="s">
        <v>4928</v>
      </c>
      <c r="H464" s="2" t="s">
        <v>4953</v>
      </c>
      <c r="I464" s="20">
        <v>3.32</v>
      </c>
      <c r="J464" s="2" t="s">
        <v>4930</v>
      </c>
    </row>
    <row r="465" spans="1:10" ht="15.35" x14ac:dyDescent="0.55000000000000004">
      <c r="A465" s="20">
        <v>13783</v>
      </c>
      <c r="B465" s="2" t="s">
        <v>166</v>
      </c>
      <c r="C465" s="2" t="s">
        <v>167</v>
      </c>
      <c r="D465" s="2" t="s">
        <v>168</v>
      </c>
      <c r="E465" s="2" t="s">
        <v>348</v>
      </c>
      <c r="F465" s="2" t="s">
        <v>4948</v>
      </c>
      <c r="G465" s="2" t="s">
        <v>4939</v>
      </c>
      <c r="H465" s="2" t="s">
        <v>4951</v>
      </c>
      <c r="I465" s="20">
        <v>4.0199999999999996</v>
      </c>
      <c r="J465" s="2" t="s">
        <v>5007</v>
      </c>
    </row>
    <row r="466" spans="1:10" ht="15.35" x14ac:dyDescent="0.55000000000000004">
      <c r="A466" s="20">
        <v>13784</v>
      </c>
      <c r="B466" s="2" t="s">
        <v>166</v>
      </c>
      <c r="C466" s="2" t="s">
        <v>167</v>
      </c>
      <c r="D466" s="2" t="s">
        <v>168</v>
      </c>
      <c r="E466" s="2" t="s">
        <v>348</v>
      </c>
      <c r="F466" s="2" t="s">
        <v>4948</v>
      </c>
      <c r="G466" s="2" t="s">
        <v>4928</v>
      </c>
      <c r="H466" s="2" t="s">
        <v>4936</v>
      </c>
      <c r="I466" s="20">
        <v>82008.850000000006</v>
      </c>
      <c r="J466" s="2" t="s">
        <v>4935</v>
      </c>
    </row>
    <row r="467" spans="1:10" ht="15.35" x14ac:dyDescent="0.55000000000000004">
      <c r="A467" s="20">
        <v>13785</v>
      </c>
      <c r="B467" s="2" t="s">
        <v>166</v>
      </c>
      <c r="C467" s="2" t="s">
        <v>167</v>
      </c>
      <c r="D467" s="2" t="s">
        <v>168</v>
      </c>
      <c r="E467" s="2" t="s">
        <v>348</v>
      </c>
      <c r="F467" s="2" t="s">
        <v>4948</v>
      </c>
      <c r="G467" s="2" t="s">
        <v>4928</v>
      </c>
      <c r="H467" s="2" t="s">
        <v>4934</v>
      </c>
      <c r="I467" s="20">
        <v>84723.85</v>
      </c>
      <c r="J467" s="2" t="s">
        <v>4935</v>
      </c>
    </row>
    <row r="468" spans="1:10" ht="15.35" x14ac:dyDescent="0.55000000000000004">
      <c r="A468" s="20">
        <v>13786</v>
      </c>
      <c r="B468" s="2" t="s">
        <v>166</v>
      </c>
      <c r="C468" s="2" t="s">
        <v>167</v>
      </c>
      <c r="D468" s="2" t="s">
        <v>168</v>
      </c>
      <c r="E468" s="2" t="s">
        <v>348</v>
      </c>
      <c r="F468" s="2" t="s">
        <v>4948</v>
      </c>
      <c r="G468" s="2" t="s">
        <v>4931</v>
      </c>
      <c r="H468" s="2" t="s">
        <v>4952</v>
      </c>
      <c r="I468" s="20">
        <v>100</v>
      </c>
      <c r="J468" s="2" t="s">
        <v>4933</v>
      </c>
    </row>
    <row r="469" spans="1:10" ht="15.35" x14ac:dyDescent="0.55000000000000004">
      <c r="A469" s="20">
        <v>14905</v>
      </c>
      <c r="B469" s="2" t="s">
        <v>166</v>
      </c>
      <c r="C469" s="2" t="s">
        <v>167</v>
      </c>
      <c r="D469" s="2" t="s">
        <v>168</v>
      </c>
      <c r="E469" s="2" t="s">
        <v>348</v>
      </c>
      <c r="F469" s="2" t="s">
        <v>4948</v>
      </c>
      <c r="G469" s="2" t="s">
        <v>4939</v>
      </c>
      <c r="H469" s="2" t="s">
        <v>4946</v>
      </c>
      <c r="I469" s="20">
        <v>4.0199999999999996</v>
      </c>
      <c r="J469" s="2" t="s">
        <v>5007</v>
      </c>
    </row>
    <row r="470" spans="1:10" ht="15.35" x14ac:dyDescent="0.55000000000000004">
      <c r="A470" s="20">
        <v>17146</v>
      </c>
      <c r="B470" s="2" t="s">
        <v>166</v>
      </c>
      <c r="C470" s="2" t="s">
        <v>167</v>
      </c>
      <c r="D470" s="2" t="s">
        <v>168</v>
      </c>
      <c r="E470" s="2" t="s">
        <v>348</v>
      </c>
      <c r="F470" s="2" t="s">
        <v>4949</v>
      </c>
      <c r="G470" s="2" t="s">
        <v>4928</v>
      </c>
      <c r="H470" s="2" t="s">
        <v>4953</v>
      </c>
      <c r="I470" s="20">
        <v>3.32</v>
      </c>
      <c r="J470" s="2" t="s">
        <v>4930</v>
      </c>
    </row>
    <row r="471" spans="1:10" ht="15.35" x14ac:dyDescent="0.55000000000000004">
      <c r="A471" s="20">
        <v>17147</v>
      </c>
      <c r="B471" s="2" t="s">
        <v>166</v>
      </c>
      <c r="C471" s="2" t="s">
        <v>167</v>
      </c>
      <c r="D471" s="2" t="s">
        <v>168</v>
      </c>
      <c r="E471" s="2" t="s">
        <v>348</v>
      </c>
      <c r="F471" s="2" t="s">
        <v>4949</v>
      </c>
      <c r="G471" s="2" t="s">
        <v>4939</v>
      </c>
      <c r="H471" s="2" t="s">
        <v>4946</v>
      </c>
      <c r="I471" s="20">
        <v>3.95</v>
      </c>
      <c r="J471" s="2" t="s">
        <v>5007</v>
      </c>
    </row>
    <row r="472" spans="1:10" ht="15.35" x14ac:dyDescent="0.55000000000000004">
      <c r="A472" s="20">
        <v>17148</v>
      </c>
      <c r="B472" s="2" t="s">
        <v>166</v>
      </c>
      <c r="C472" s="2" t="s">
        <v>167</v>
      </c>
      <c r="D472" s="2" t="s">
        <v>168</v>
      </c>
      <c r="E472" s="2" t="s">
        <v>348</v>
      </c>
      <c r="F472" s="2" t="s">
        <v>4949</v>
      </c>
      <c r="G472" s="2" t="s">
        <v>4931</v>
      </c>
      <c r="H472" s="2" t="s">
        <v>4937</v>
      </c>
      <c r="I472" s="20">
        <v>97.15</v>
      </c>
      <c r="J472" s="2" t="s">
        <v>4933</v>
      </c>
    </row>
    <row r="473" spans="1:10" ht="15.35" x14ac:dyDescent="0.55000000000000004">
      <c r="A473" s="20">
        <v>17149</v>
      </c>
      <c r="B473" s="2" t="s">
        <v>166</v>
      </c>
      <c r="C473" s="2" t="s">
        <v>167</v>
      </c>
      <c r="D473" s="2" t="s">
        <v>168</v>
      </c>
      <c r="E473" s="2" t="s">
        <v>348</v>
      </c>
      <c r="F473" s="2" t="s">
        <v>4949</v>
      </c>
      <c r="G473" s="2" t="s">
        <v>4928</v>
      </c>
      <c r="H473" s="2" t="s">
        <v>4936</v>
      </c>
      <c r="I473" s="20">
        <v>82059.850000000006</v>
      </c>
      <c r="J473" s="2" t="s">
        <v>4935</v>
      </c>
    </row>
    <row r="474" spans="1:10" ht="15.35" x14ac:dyDescent="0.55000000000000004">
      <c r="A474" s="20">
        <v>17150</v>
      </c>
      <c r="B474" s="2" t="s">
        <v>166</v>
      </c>
      <c r="C474" s="2" t="s">
        <v>167</v>
      </c>
      <c r="D474" s="2" t="s">
        <v>168</v>
      </c>
      <c r="E474" s="2" t="s">
        <v>348</v>
      </c>
      <c r="F474" s="2" t="s">
        <v>4949</v>
      </c>
      <c r="G474" s="2" t="s">
        <v>4928</v>
      </c>
      <c r="H474" s="2" t="s">
        <v>4934</v>
      </c>
      <c r="I474" s="20">
        <v>84470.85</v>
      </c>
      <c r="J474" s="2" t="s">
        <v>4935</v>
      </c>
    </row>
    <row r="475" spans="1:10" ht="15.35" x14ac:dyDescent="0.55000000000000004">
      <c r="A475" s="20">
        <v>17215</v>
      </c>
      <c r="B475" s="2" t="s">
        <v>166</v>
      </c>
      <c r="C475" s="2" t="s">
        <v>167</v>
      </c>
      <c r="D475" s="2" t="s">
        <v>168</v>
      </c>
      <c r="E475" s="2" t="s">
        <v>348</v>
      </c>
      <c r="F475" s="2" t="s">
        <v>4949</v>
      </c>
      <c r="G475" s="2" t="s">
        <v>4931</v>
      </c>
      <c r="H475" s="2" t="s">
        <v>4952</v>
      </c>
      <c r="I475" s="20">
        <v>100</v>
      </c>
      <c r="J475" s="2" t="s">
        <v>4933</v>
      </c>
    </row>
    <row r="476" spans="1:10" ht="15.35" x14ac:dyDescent="0.55000000000000004">
      <c r="A476" s="20">
        <v>18671</v>
      </c>
      <c r="B476" s="2" t="s">
        <v>166</v>
      </c>
      <c r="C476" s="2" t="s">
        <v>167</v>
      </c>
      <c r="D476" s="2" t="s">
        <v>168</v>
      </c>
      <c r="E476" s="2" t="s">
        <v>348</v>
      </c>
      <c r="F476" s="2" t="s">
        <v>4950</v>
      </c>
      <c r="G476" s="2" t="s">
        <v>4928</v>
      </c>
      <c r="H476" s="2" t="s">
        <v>4934</v>
      </c>
      <c r="I476" s="20">
        <v>84478.85</v>
      </c>
      <c r="J476" s="2" t="s">
        <v>4935</v>
      </c>
    </row>
    <row r="477" spans="1:10" ht="15.35" x14ac:dyDescent="0.55000000000000004">
      <c r="A477" s="20">
        <v>18672</v>
      </c>
      <c r="B477" s="2" t="s">
        <v>166</v>
      </c>
      <c r="C477" s="2" t="s">
        <v>167</v>
      </c>
      <c r="D477" s="2" t="s">
        <v>168</v>
      </c>
      <c r="E477" s="2" t="s">
        <v>348</v>
      </c>
      <c r="F477" s="2" t="s">
        <v>4950</v>
      </c>
      <c r="G477" s="2" t="s">
        <v>4928</v>
      </c>
      <c r="H477" s="2" t="s">
        <v>4936</v>
      </c>
      <c r="I477" s="20">
        <v>72797.850000000006</v>
      </c>
      <c r="J477" s="2" t="s">
        <v>4935</v>
      </c>
    </row>
    <row r="478" spans="1:10" ht="15.35" x14ac:dyDescent="0.55000000000000004">
      <c r="A478" s="20">
        <v>18673</v>
      </c>
      <c r="B478" s="2" t="s">
        <v>166</v>
      </c>
      <c r="C478" s="2" t="s">
        <v>167</v>
      </c>
      <c r="D478" s="2" t="s">
        <v>168</v>
      </c>
      <c r="E478" s="2" t="s">
        <v>348</v>
      </c>
      <c r="F478" s="2" t="s">
        <v>4950</v>
      </c>
      <c r="G478" s="2" t="s">
        <v>4931</v>
      </c>
      <c r="H478" s="2" t="s">
        <v>4937</v>
      </c>
      <c r="I478" s="20">
        <v>86.17</v>
      </c>
      <c r="J478" s="2" t="s">
        <v>4933</v>
      </c>
    </row>
    <row r="479" spans="1:10" ht="15.35" x14ac:dyDescent="0.55000000000000004">
      <c r="A479" s="20">
        <v>18674</v>
      </c>
      <c r="B479" s="2" t="s">
        <v>166</v>
      </c>
      <c r="C479" s="2" t="s">
        <v>167</v>
      </c>
      <c r="D479" s="2" t="s">
        <v>168</v>
      </c>
      <c r="E479" s="2" t="s">
        <v>348</v>
      </c>
      <c r="F479" s="2" t="s">
        <v>4950</v>
      </c>
      <c r="G479" s="2" t="s">
        <v>4939</v>
      </c>
      <c r="H479" s="2" t="s">
        <v>4946</v>
      </c>
      <c r="I479" s="20">
        <v>4.3600000000000003</v>
      </c>
      <c r="J479" s="2" t="s">
        <v>5007</v>
      </c>
    </row>
    <row r="480" spans="1:10" ht="15.35" x14ac:dyDescent="0.55000000000000004">
      <c r="A480" s="20">
        <v>18687</v>
      </c>
      <c r="B480" s="2" t="s">
        <v>166</v>
      </c>
      <c r="C480" s="2" t="s">
        <v>167</v>
      </c>
      <c r="D480" s="2" t="s">
        <v>168</v>
      </c>
      <c r="E480" s="2" t="s">
        <v>348</v>
      </c>
      <c r="F480" s="2" t="s">
        <v>4950</v>
      </c>
      <c r="G480" s="2" t="s">
        <v>4928</v>
      </c>
      <c r="H480" s="2" t="s">
        <v>4953</v>
      </c>
      <c r="I480" s="20">
        <v>2.4</v>
      </c>
      <c r="J480" s="2" t="s">
        <v>4930</v>
      </c>
    </row>
    <row r="481" spans="1:10" ht="15.35" x14ac:dyDescent="0.55000000000000004">
      <c r="A481" s="20">
        <v>18699</v>
      </c>
      <c r="B481" s="2" t="s">
        <v>166</v>
      </c>
      <c r="C481" s="2" t="s">
        <v>167</v>
      </c>
      <c r="D481" s="2" t="s">
        <v>168</v>
      </c>
      <c r="E481" s="2" t="s">
        <v>348</v>
      </c>
      <c r="F481" s="2" t="s">
        <v>4950</v>
      </c>
      <c r="G481" s="2" t="s">
        <v>4931</v>
      </c>
      <c r="H481" s="2" t="s">
        <v>4952</v>
      </c>
      <c r="I481" s="20">
        <v>100</v>
      </c>
      <c r="J481" s="2" t="s">
        <v>4933</v>
      </c>
    </row>
    <row r="482" spans="1:10" ht="15.35" x14ac:dyDescent="0.55000000000000004">
      <c r="A482" s="20">
        <v>11624</v>
      </c>
      <c r="B482" s="2" t="s">
        <v>128</v>
      </c>
      <c r="C482" s="2" t="s">
        <v>129</v>
      </c>
      <c r="D482" s="2" t="s">
        <v>130</v>
      </c>
      <c r="E482" s="2" t="s">
        <v>355</v>
      </c>
      <c r="F482" s="2" t="s">
        <v>5024</v>
      </c>
      <c r="G482" s="2" t="s">
        <v>4931</v>
      </c>
      <c r="H482" s="2" t="s">
        <v>5025</v>
      </c>
      <c r="I482" s="20">
        <v>100</v>
      </c>
      <c r="J482" s="2" t="s">
        <v>4933</v>
      </c>
    </row>
    <row r="483" spans="1:10" ht="15.35" x14ac:dyDescent="0.55000000000000004">
      <c r="A483" s="20">
        <v>11661</v>
      </c>
      <c r="B483" s="2" t="s">
        <v>128</v>
      </c>
      <c r="C483" s="2" t="s">
        <v>129</v>
      </c>
      <c r="D483" s="2" t="s">
        <v>130</v>
      </c>
      <c r="E483" s="2" t="s">
        <v>355</v>
      </c>
      <c r="F483" s="2" t="s">
        <v>5024</v>
      </c>
      <c r="G483" s="2" t="s">
        <v>4928</v>
      </c>
      <c r="H483" s="2" t="s">
        <v>5026</v>
      </c>
      <c r="I483" s="20">
        <v>2.06</v>
      </c>
      <c r="J483" s="2" t="s">
        <v>4930</v>
      </c>
    </row>
    <row r="484" spans="1:10" ht="15.35" x14ac:dyDescent="0.55000000000000004">
      <c r="A484" s="20">
        <v>11662</v>
      </c>
      <c r="B484" s="2" t="s">
        <v>128</v>
      </c>
      <c r="C484" s="2" t="s">
        <v>129</v>
      </c>
      <c r="D484" s="2" t="s">
        <v>130</v>
      </c>
      <c r="E484" s="2" t="s">
        <v>355</v>
      </c>
      <c r="F484" s="2" t="s">
        <v>5024</v>
      </c>
      <c r="G484" s="2" t="s">
        <v>4939</v>
      </c>
      <c r="H484" s="2" t="s">
        <v>5027</v>
      </c>
      <c r="I484" s="20">
        <v>249</v>
      </c>
      <c r="J484" s="2" t="s">
        <v>4941</v>
      </c>
    </row>
    <row r="485" spans="1:10" ht="15.35" x14ac:dyDescent="0.55000000000000004">
      <c r="A485" s="20">
        <v>11663</v>
      </c>
      <c r="B485" s="2" t="s">
        <v>128</v>
      </c>
      <c r="C485" s="2" t="s">
        <v>129</v>
      </c>
      <c r="D485" s="2" t="s">
        <v>130</v>
      </c>
      <c r="E485" s="2" t="s">
        <v>355</v>
      </c>
      <c r="F485" s="2" t="s">
        <v>5024</v>
      </c>
      <c r="G485" s="2" t="s">
        <v>4931</v>
      </c>
      <c r="H485" s="2" t="s">
        <v>5028</v>
      </c>
      <c r="I485" s="20">
        <v>93.11</v>
      </c>
      <c r="J485" s="2" t="s">
        <v>4933</v>
      </c>
    </row>
    <row r="486" spans="1:10" ht="15.35" x14ac:dyDescent="0.55000000000000004">
      <c r="A486" s="20">
        <v>11664</v>
      </c>
      <c r="B486" s="2" t="s">
        <v>128</v>
      </c>
      <c r="C486" s="2" t="s">
        <v>129</v>
      </c>
      <c r="D486" s="2" t="s">
        <v>130</v>
      </c>
      <c r="E486" s="2" t="s">
        <v>355</v>
      </c>
      <c r="F486" s="2" t="s">
        <v>5024</v>
      </c>
      <c r="G486" s="2" t="s">
        <v>4928</v>
      </c>
      <c r="H486" s="2" t="s">
        <v>5029</v>
      </c>
      <c r="I486" s="20">
        <v>51917.91</v>
      </c>
      <c r="J486" s="2" t="s">
        <v>4935</v>
      </c>
    </row>
    <row r="487" spans="1:10" ht="15.35" x14ac:dyDescent="0.55000000000000004">
      <c r="A487" s="20">
        <v>11671</v>
      </c>
      <c r="B487" s="2" t="s">
        <v>128</v>
      </c>
      <c r="C487" s="2" t="s">
        <v>129</v>
      </c>
      <c r="D487" s="2" t="s">
        <v>130</v>
      </c>
      <c r="E487" s="2" t="s">
        <v>355</v>
      </c>
      <c r="F487" s="2" t="s">
        <v>5024</v>
      </c>
      <c r="G487" s="2" t="s">
        <v>4928</v>
      </c>
      <c r="H487" s="2" t="s">
        <v>5030</v>
      </c>
      <c r="I487" s="20">
        <v>55762.6</v>
      </c>
      <c r="J487" s="2" t="s">
        <v>4935</v>
      </c>
    </row>
    <row r="488" spans="1:10" ht="15.35" x14ac:dyDescent="0.55000000000000004">
      <c r="A488" s="20">
        <v>7524</v>
      </c>
      <c r="B488" s="2" t="s">
        <v>128</v>
      </c>
      <c r="C488" s="2" t="s">
        <v>129</v>
      </c>
      <c r="D488" s="2" t="s">
        <v>130</v>
      </c>
      <c r="E488" s="2" t="s">
        <v>355</v>
      </c>
      <c r="F488" s="2" t="s">
        <v>4947</v>
      </c>
      <c r="G488" s="2" t="s">
        <v>4931</v>
      </c>
      <c r="H488" s="2" t="s">
        <v>5025</v>
      </c>
      <c r="I488" s="20">
        <v>100</v>
      </c>
      <c r="J488" s="2" t="s">
        <v>4933</v>
      </c>
    </row>
    <row r="489" spans="1:10" ht="15.35" x14ac:dyDescent="0.55000000000000004">
      <c r="A489" s="20">
        <v>7535</v>
      </c>
      <c r="B489" s="2" t="s">
        <v>128</v>
      </c>
      <c r="C489" s="2" t="s">
        <v>129</v>
      </c>
      <c r="D489" s="2" t="s">
        <v>130</v>
      </c>
      <c r="E489" s="2" t="s">
        <v>355</v>
      </c>
      <c r="F489" s="2" t="s">
        <v>4947</v>
      </c>
      <c r="G489" s="2" t="s">
        <v>4928</v>
      </c>
      <c r="H489" s="2" t="s">
        <v>5030</v>
      </c>
      <c r="I489" s="20">
        <v>56311.71</v>
      </c>
      <c r="J489" s="2" t="s">
        <v>4935</v>
      </c>
    </row>
    <row r="490" spans="1:10" ht="15.35" x14ac:dyDescent="0.55000000000000004">
      <c r="A490" s="20">
        <v>7536</v>
      </c>
      <c r="B490" s="2" t="s">
        <v>128</v>
      </c>
      <c r="C490" s="2" t="s">
        <v>129</v>
      </c>
      <c r="D490" s="2" t="s">
        <v>130</v>
      </c>
      <c r="E490" s="2" t="s">
        <v>355</v>
      </c>
      <c r="F490" s="2" t="s">
        <v>4947</v>
      </c>
      <c r="G490" s="2" t="s">
        <v>4928</v>
      </c>
      <c r="H490" s="2" t="s">
        <v>5029</v>
      </c>
      <c r="I490" s="20">
        <v>53813.14</v>
      </c>
      <c r="J490" s="2" t="s">
        <v>4935</v>
      </c>
    </row>
    <row r="491" spans="1:10" ht="15.35" x14ac:dyDescent="0.55000000000000004">
      <c r="A491" s="20">
        <v>7537</v>
      </c>
      <c r="B491" s="2" t="s">
        <v>128</v>
      </c>
      <c r="C491" s="2" t="s">
        <v>129</v>
      </c>
      <c r="D491" s="2" t="s">
        <v>130</v>
      </c>
      <c r="E491" s="2" t="s">
        <v>355</v>
      </c>
      <c r="F491" s="2" t="s">
        <v>4947</v>
      </c>
      <c r="G491" s="2" t="s">
        <v>4931</v>
      </c>
      <c r="H491" s="2" t="s">
        <v>5028</v>
      </c>
      <c r="I491" s="20">
        <v>95.56</v>
      </c>
      <c r="J491" s="2" t="s">
        <v>4933</v>
      </c>
    </row>
    <row r="492" spans="1:10" ht="15.35" x14ac:dyDescent="0.55000000000000004">
      <c r="A492" s="20">
        <v>7538</v>
      </c>
      <c r="B492" s="2" t="s">
        <v>128</v>
      </c>
      <c r="C492" s="2" t="s">
        <v>129</v>
      </c>
      <c r="D492" s="2" t="s">
        <v>130</v>
      </c>
      <c r="E492" s="2" t="s">
        <v>355</v>
      </c>
      <c r="F492" s="2" t="s">
        <v>4947</v>
      </c>
      <c r="G492" s="2" t="s">
        <v>4939</v>
      </c>
      <c r="H492" s="2" t="s">
        <v>5027</v>
      </c>
      <c r="I492" s="20">
        <v>238</v>
      </c>
      <c r="J492" s="2" t="s">
        <v>4941</v>
      </c>
    </row>
    <row r="493" spans="1:10" ht="15.35" x14ac:dyDescent="0.55000000000000004">
      <c r="A493" s="20">
        <v>7539</v>
      </c>
      <c r="B493" s="2" t="s">
        <v>128</v>
      </c>
      <c r="C493" s="2" t="s">
        <v>129</v>
      </c>
      <c r="D493" s="2" t="s">
        <v>130</v>
      </c>
      <c r="E493" s="2" t="s">
        <v>355</v>
      </c>
      <c r="F493" s="2" t="s">
        <v>4947</v>
      </c>
      <c r="G493" s="2" t="s">
        <v>4928</v>
      </c>
      <c r="H493" s="2" t="s">
        <v>5026</v>
      </c>
      <c r="I493" s="20">
        <v>2.39</v>
      </c>
      <c r="J493" s="2" t="s">
        <v>4930</v>
      </c>
    </row>
    <row r="494" spans="1:10" ht="15.35" x14ac:dyDescent="0.55000000000000004">
      <c r="A494" s="20">
        <v>7529</v>
      </c>
      <c r="B494" s="2" t="s">
        <v>128</v>
      </c>
      <c r="C494" s="2" t="s">
        <v>129</v>
      </c>
      <c r="D494" s="2" t="s">
        <v>130</v>
      </c>
      <c r="E494" s="2" t="s">
        <v>355</v>
      </c>
      <c r="F494" s="2" t="s">
        <v>4943</v>
      </c>
      <c r="G494" s="2" t="s">
        <v>4928</v>
      </c>
      <c r="H494" s="2" t="s">
        <v>5030</v>
      </c>
      <c r="I494" s="20">
        <v>56175.71</v>
      </c>
      <c r="J494" s="2" t="s">
        <v>4935</v>
      </c>
    </row>
    <row r="495" spans="1:10" ht="15.35" x14ac:dyDescent="0.55000000000000004">
      <c r="A495" s="20">
        <v>7530</v>
      </c>
      <c r="B495" s="2" t="s">
        <v>128</v>
      </c>
      <c r="C495" s="2" t="s">
        <v>129</v>
      </c>
      <c r="D495" s="2" t="s">
        <v>130</v>
      </c>
      <c r="E495" s="2" t="s">
        <v>355</v>
      </c>
      <c r="F495" s="2" t="s">
        <v>4943</v>
      </c>
      <c r="G495" s="2" t="s">
        <v>4928</v>
      </c>
      <c r="H495" s="2" t="s">
        <v>5029</v>
      </c>
      <c r="I495" s="20">
        <v>53390</v>
      </c>
      <c r="J495" s="2" t="s">
        <v>4935</v>
      </c>
    </row>
    <row r="496" spans="1:10" ht="15.35" x14ac:dyDescent="0.55000000000000004">
      <c r="A496" s="20">
        <v>7531</v>
      </c>
      <c r="B496" s="2" t="s">
        <v>128</v>
      </c>
      <c r="C496" s="2" t="s">
        <v>129</v>
      </c>
      <c r="D496" s="2" t="s">
        <v>130</v>
      </c>
      <c r="E496" s="2" t="s">
        <v>355</v>
      </c>
      <c r="F496" s="2" t="s">
        <v>4943</v>
      </c>
      <c r="G496" s="2" t="s">
        <v>4931</v>
      </c>
      <c r="H496" s="2" t="s">
        <v>5028</v>
      </c>
      <c r="I496" s="20">
        <v>95.04</v>
      </c>
      <c r="J496" s="2" t="s">
        <v>4933</v>
      </c>
    </row>
    <row r="497" spans="1:10" ht="15.35" x14ac:dyDescent="0.55000000000000004">
      <c r="A497" s="20">
        <v>7532</v>
      </c>
      <c r="B497" s="2" t="s">
        <v>128</v>
      </c>
      <c r="C497" s="2" t="s">
        <v>129</v>
      </c>
      <c r="D497" s="2" t="s">
        <v>130</v>
      </c>
      <c r="E497" s="2" t="s">
        <v>355</v>
      </c>
      <c r="F497" s="2" t="s">
        <v>4943</v>
      </c>
      <c r="G497" s="2" t="s">
        <v>4939</v>
      </c>
      <c r="H497" s="2" t="s">
        <v>5027</v>
      </c>
      <c r="I497" s="20">
        <v>226</v>
      </c>
      <c r="J497" s="2" t="s">
        <v>4941</v>
      </c>
    </row>
    <row r="498" spans="1:10" ht="15.35" x14ac:dyDescent="0.55000000000000004">
      <c r="A498" s="20">
        <v>7533</v>
      </c>
      <c r="B498" s="2" t="s">
        <v>128</v>
      </c>
      <c r="C498" s="2" t="s">
        <v>129</v>
      </c>
      <c r="D498" s="2" t="s">
        <v>130</v>
      </c>
      <c r="E498" s="2" t="s">
        <v>355</v>
      </c>
      <c r="F498" s="2" t="s">
        <v>4943</v>
      </c>
      <c r="G498" s="2" t="s">
        <v>4928</v>
      </c>
      <c r="H498" s="2" t="s">
        <v>5026</v>
      </c>
      <c r="I498" s="20">
        <v>2.48</v>
      </c>
      <c r="J498" s="2" t="s">
        <v>4930</v>
      </c>
    </row>
    <row r="499" spans="1:10" ht="15.35" x14ac:dyDescent="0.55000000000000004">
      <c r="A499" s="20">
        <v>7534</v>
      </c>
      <c r="B499" s="2" t="s">
        <v>128</v>
      </c>
      <c r="C499" s="2" t="s">
        <v>129</v>
      </c>
      <c r="D499" s="2" t="s">
        <v>130</v>
      </c>
      <c r="E499" s="2" t="s">
        <v>355</v>
      </c>
      <c r="F499" s="2" t="s">
        <v>4943</v>
      </c>
      <c r="G499" s="2" t="s">
        <v>4931</v>
      </c>
      <c r="H499" s="2" t="s">
        <v>5025</v>
      </c>
      <c r="I499" s="20">
        <v>98.66</v>
      </c>
      <c r="J499" s="2" t="s">
        <v>4933</v>
      </c>
    </row>
    <row r="500" spans="1:10" ht="15.35" x14ac:dyDescent="0.55000000000000004">
      <c r="A500" s="20">
        <v>7525</v>
      </c>
      <c r="B500" s="2" t="s">
        <v>128</v>
      </c>
      <c r="C500" s="2" t="s">
        <v>129</v>
      </c>
      <c r="D500" s="2" t="s">
        <v>130</v>
      </c>
      <c r="E500" s="2" t="s">
        <v>355</v>
      </c>
      <c r="F500" s="2" t="s">
        <v>4944</v>
      </c>
      <c r="G500" s="2" t="s">
        <v>4931</v>
      </c>
      <c r="H500" s="2" t="s">
        <v>5028</v>
      </c>
      <c r="I500" s="20">
        <v>95.39</v>
      </c>
      <c r="J500" s="2" t="s">
        <v>4933</v>
      </c>
    </row>
    <row r="501" spans="1:10" ht="15.35" x14ac:dyDescent="0.55000000000000004">
      <c r="A501" s="20">
        <v>7526</v>
      </c>
      <c r="B501" s="2" t="s">
        <v>128</v>
      </c>
      <c r="C501" s="2" t="s">
        <v>129</v>
      </c>
      <c r="D501" s="2" t="s">
        <v>130</v>
      </c>
      <c r="E501" s="2" t="s">
        <v>355</v>
      </c>
      <c r="F501" s="2" t="s">
        <v>4944</v>
      </c>
      <c r="G501" s="2" t="s">
        <v>4939</v>
      </c>
      <c r="H501" s="2" t="s">
        <v>5027</v>
      </c>
      <c r="I501" s="20">
        <v>234</v>
      </c>
      <c r="J501" s="2" t="s">
        <v>4941</v>
      </c>
    </row>
    <row r="502" spans="1:10" ht="15.35" x14ac:dyDescent="0.55000000000000004">
      <c r="A502" s="20">
        <v>7527</v>
      </c>
      <c r="B502" s="2" t="s">
        <v>128</v>
      </c>
      <c r="C502" s="2" t="s">
        <v>129</v>
      </c>
      <c r="D502" s="2" t="s">
        <v>130</v>
      </c>
      <c r="E502" s="2" t="s">
        <v>355</v>
      </c>
      <c r="F502" s="2" t="s">
        <v>4944</v>
      </c>
      <c r="G502" s="2" t="s">
        <v>4928</v>
      </c>
      <c r="H502" s="2" t="s">
        <v>5026</v>
      </c>
      <c r="I502" s="20">
        <v>2.37</v>
      </c>
      <c r="J502" s="2" t="s">
        <v>4930</v>
      </c>
    </row>
    <row r="503" spans="1:10" ht="15.35" x14ac:dyDescent="0.55000000000000004">
      <c r="A503" s="20">
        <v>7528</v>
      </c>
      <c r="B503" s="2" t="s">
        <v>128</v>
      </c>
      <c r="C503" s="2" t="s">
        <v>129</v>
      </c>
      <c r="D503" s="2" t="s">
        <v>130</v>
      </c>
      <c r="E503" s="2" t="s">
        <v>355</v>
      </c>
      <c r="F503" s="2" t="s">
        <v>4944</v>
      </c>
      <c r="G503" s="2" t="s">
        <v>4931</v>
      </c>
      <c r="H503" s="2" t="s">
        <v>5025</v>
      </c>
      <c r="I503" s="20">
        <v>100</v>
      </c>
      <c r="J503" s="2" t="s">
        <v>4933</v>
      </c>
    </row>
    <row r="504" spans="1:10" ht="15.35" x14ac:dyDescent="0.55000000000000004">
      <c r="A504" s="20">
        <v>7540</v>
      </c>
      <c r="B504" s="2" t="s">
        <v>128</v>
      </c>
      <c r="C504" s="2" t="s">
        <v>129</v>
      </c>
      <c r="D504" s="2" t="s">
        <v>130</v>
      </c>
      <c r="E504" s="2" t="s">
        <v>355</v>
      </c>
      <c r="F504" s="2" t="s">
        <v>4944</v>
      </c>
      <c r="G504" s="2" t="s">
        <v>4928</v>
      </c>
      <c r="H504" s="2" t="s">
        <v>5029</v>
      </c>
      <c r="I504" s="20">
        <v>55885.14</v>
      </c>
      <c r="J504" s="2" t="s">
        <v>4935</v>
      </c>
    </row>
    <row r="505" spans="1:10" ht="15.35" x14ac:dyDescent="0.55000000000000004">
      <c r="A505" s="20">
        <v>7541</v>
      </c>
      <c r="B505" s="2" t="s">
        <v>128</v>
      </c>
      <c r="C505" s="2" t="s">
        <v>129</v>
      </c>
      <c r="D505" s="2" t="s">
        <v>130</v>
      </c>
      <c r="E505" s="2" t="s">
        <v>355</v>
      </c>
      <c r="F505" s="2" t="s">
        <v>4944</v>
      </c>
      <c r="G505" s="2" t="s">
        <v>4928</v>
      </c>
      <c r="H505" s="2" t="s">
        <v>5030</v>
      </c>
      <c r="I505" s="20">
        <v>58586.71</v>
      </c>
      <c r="J505" s="2" t="s">
        <v>4935</v>
      </c>
    </row>
    <row r="506" spans="1:10" ht="15.35" x14ac:dyDescent="0.55000000000000004">
      <c r="A506" s="20">
        <v>11620</v>
      </c>
      <c r="B506" s="2" t="s">
        <v>128</v>
      </c>
      <c r="C506" s="2" t="s">
        <v>129</v>
      </c>
      <c r="D506" s="2" t="s">
        <v>130</v>
      </c>
      <c r="E506" s="2" t="s">
        <v>355</v>
      </c>
      <c r="F506" s="2" t="s">
        <v>4945</v>
      </c>
      <c r="G506" s="2" t="s">
        <v>4931</v>
      </c>
      <c r="H506" s="2" t="s">
        <v>5028</v>
      </c>
      <c r="I506" s="20">
        <v>95.03</v>
      </c>
      <c r="J506" s="2" t="s">
        <v>4933</v>
      </c>
    </row>
    <row r="507" spans="1:10" ht="15.35" x14ac:dyDescent="0.55000000000000004">
      <c r="A507" s="20">
        <v>11621</v>
      </c>
      <c r="B507" s="2" t="s">
        <v>128</v>
      </c>
      <c r="C507" s="2" t="s">
        <v>129</v>
      </c>
      <c r="D507" s="2" t="s">
        <v>130</v>
      </c>
      <c r="E507" s="2" t="s">
        <v>355</v>
      </c>
      <c r="F507" s="2" t="s">
        <v>4945</v>
      </c>
      <c r="G507" s="2" t="s">
        <v>4928</v>
      </c>
      <c r="H507" s="2" t="s">
        <v>5029</v>
      </c>
      <c r="I507" s="20">
        <v>55316.51</v>
      </c>
      <c r="J507" s="2" t="s">
        <v>4935</v>
      </c>
    </row>
    <row r="508" spans="1:10" ht="15.35" x14ac:dyDescent="0.55000000000000004">
      <c r="A508" s="20">
        <v>11622</v>
      </c>
      <c r="B508" s="2" t="s">
        <v>128</v>
      </c>
      <c r="C508" s="2" t="s">
        <v>129</v>
      </c>
      <c r="D508" s="2" t="s">
        <v>130</v>
      </c>
      <c r="E508" s="2" t="s">
        <v>355</v>
      </c>
      <c r="F508" s="2" t="s">
        <v>4945</v>
      </c>
      <c r="G508" s="2" t="s">
        <v>4928</v>
      </c>
      <c r="H508" s="2" t="s">
        <v>5026</v>
      </c>
      <c r="I508" s="20">
        <v>2.25</v>
      </c>
      <c r="J508" s="2" t="s">
        <v>4930</v>
      </c>
    </row>
    <row r="509" spans="1:10" ht="15.35" x14ac:dyDescent="0.55000000000000004">
      <c r="A509" s="20">
        <v>11623</v>
      </c>
      <c r="B509" s="2" t="s">
        <v>128</v>
      </c>
      <c r="C509" s="2" t="s">
        <v>129</v>
      </c>
      <c r="D509" s="2" t="s">
        <v>130</v>
      </c>
      <c r="E509" s="2" t="s">
        <v>355</v>
      </c>
      <c r="F509" s="2" t="s">
        <v>4945</v>
      </c>
      <c r="G509" s="2" t="s">
        <v>4928</v>
      </c>
      <c r="H509" s="2" t="s">
        <v>5030</v>
      </c>
      <c r="I509" s="20">
        <v>58210.080000000002</v>
      </c>
      <c r="J509" s="2" t="s">
        <v>4935</v>
      </c>
    </row>
    <row r="510" spans="1:10" ht="15.35" x14ac:dyDescent="0.55000000000000004">
      <c r="A510" s="20">
        <v>11627</v>
      </c>
      <c r="B510" s="2" t="s">
        <v>128</v>
      </c>
      <c r="C510" s="2" t="s">
        <v>129</v>
      </c>
      <c r="D510" s="2" t="s">
        <v>130</v>
      </c>
      <c r="E510" s="2" t="s">
        <v>355</v>
      </c>
      <c r="F510" s="2" t="s">
        <v>4945</v>
      </c>
      <c r="G510" s="2" t="s">
        <v>4939</v>
      </c>
      <c r="H510" s="2" t="s">
        <v>5027</v>
      </c>
      <c r="I510" s="20">
        <v>223</v>
      </c>
      <c r="J510" s="2" t="s">
        <v>4941</v>
      </c>
    </row>
    <row r="511" spans="1:10" ht="15.35" x14ac:dyDescent="0.55000000000000004">
      <c r="A511" s="20">
        <v>11645</v>
      </c>
      <c r="B511" s="2" t="s">
        <v>128</v>
      </c>
      <c r="C511" s="2" t="s">
        <v>129</v>
      </c>
      <c r="D511" s="2" t="s">
        <v>130</v>
      </c>
      <c r="E511" s="2" t="s">
        <v>355</v>
      </c>
      <c r="F511" s="2" t="s">
        <v>4945</v>
      </c>
      <c r="G511" s="2" t="s">
        <v>4931</v>
      </c>
      <c r="H511" s="2" t="s">
        <v>5025</v>
      </c>
      <c r="I511" s="20">
        <v>100</v>
      </c>
      <c r="J511" s="2" t="s">
        <v>4933</v>
      </c>
    </row>
    <row r="512" spans="1:10" ht="15.35" x14ac:dyDescent="0.55000000000000004">
      <c r="A512" s="20">
        <v>14185</v>
      </c>
      <c r="B512" s="2" t="s">
        <v>128</v>
      </c>
      <c r="C512" s="2" t="s">
        <v>129</v>
      </c>
      <c r="D512" s="2" t="s">
        <v>130</v>
      </c>
      <c r="E512" s="2" t="s">
        <v>355</v>
      </c>
      <c r="F512" s="2" t="s">
        <v>4948</v>
      </c>
      <c r="G512" s="2" t="s">
        <v>4931</v>
      </c>
      <c r="H512" s="2" t="s">
        <v>5025</v>
      </c>
      <c r="I512" s="20">
        <v>100</v>
      </c>
      <c r="J512" s="2" t="s">
        <v>4933</v>
      </c>
    </row>
    <row r="513" spans="1:10" ht="15.35" x14ac:dyDescent="0.55000000000000004">
      <c r="A513" s="20">
        <v>14187</v>
      </c>
      <c r="B513" s="2" t="s">
        <v>128</v>
      </c>
      <c r="C513" s="2" t="s">
        <v>129</v>
      </c>
      <c r="D513" s="2" t="s">
        <v>130</v>
      </c>
      <c r="E513" s="2" t="s">
        <v>355</v>
      </c>
      <c r="F513" s="2" t="s">
        <v>4948</v>
      </c>
      <c r="G513" s="2" t="s">
        <v>4928</v>
      </c>
      <c r="H513" s="2" t="s">
        <v>5026</v>
      </c>
      <c r="I513" s="20">
        <v>2.15</v>
      </c>
      <c r="J513" s="2" t="s">
        <v>4930</v>
      </c>
    </row>
    <row r="514" spans="1:10" ht="15.35" x14ac:dyDescent="0.55000000000000004">
      <c r="A514" s="20">
        <v>14208</v>
      </c>
      <c r="B514" s="2" t="s">
        <v>128</v>
      </c>
      <c r="C514" s="2" t="s">
        <v>129</v>
      </c>
      <c r="D514" s="2" t="s">
        <v>130</v>
      </c>
      <c r="E514" s="2" t="s">
        <v>355</v>
      </c>
      <c r="F514" s="2" t="s">
        <v>4948</v>
      </c>
      <c r="G514" s="2" t="s">
        <v>4939</v>
      </c>
      <c r="H514" s="2" t="s">
        <v>5027</v>
      </c>
      <c r="I514" s="20">
        <v>221</v>
      </c>
      <c r="J514" s="2" t="s">
        <v>4941</v>
      </c>
    </row>
    <row r="515" spans="1:10" ht="15.35" x14ac:dyDescent="0.55000000000000004">
      <c r="A515" s="20">
        <v>14241</v>
      </c>
      <c r="B515" s="2" t="s">
        <v>128</v>
      </c>
      <c r="C515" s="2" t="s">
        <v>129</v>
      </c>
      <c r="D515" s="2" t="s">
        <v>130</v>
      </c>
      <c r="E515" s="2" t="s">
        <v>355</v>
      </c>
      <c r="F515" s="2" t="s">
        <v>4948</v>
      </c>
      <c r="G515" s="2" t="s">
        <v>4931</v>
      </c>
      <c r="H515" s="2" t="s">
        <v>5028</v>
      </c>
      <c r="I515" s="20">
        <v>95.55</v>
      </c>
      <c r="J515" s="2" t="s">
        <v>4933</v>
      </c>
    </row>
    <row r="516" spans="1:10" ht="15.35" x14ac:dyDescent="0.55000000000000004">
      <c r="A516" s="20">
        <v>14243</v>
      </c>
      <c r="B516" s="2" t="s">
        <v>128</v>
      </c>
      <c r="C516" s="2" t="s">
        <v>129</v>
      </c>
      <c r="D516" s="2" t="s">
        <v>130</v>
      </c>
      <c r="E516" s="2" t="s">
        <v>355</v>
      </c>
      <c r="F516" s="2" t="s">
        <v>4948</v>
      </c>
      <c r="G516" s="2" t="s">
        <v>4928</v>
      </c>
      <c r="H516" s="2" t="s">
        <v>5030</v>
      </c>
      <c r="I516" s="20">
        <v>58329.91</v>
      </c>
      <c r="J516" s="2" t="s">
        <v>4935</v>
      </c>
    </row>
    <row r="517" spans="1:10" ht="15.35" x14ac:dyDescent="0.55000000000000004">
      <c r="A517" s="20">
        <v>14285</v>
      </c>
      <c r="B517" s="2" t="s">
        <v>128</v>
      </c>
      <c r="C517" s="2" t="s">
        <v>129</v>
      </c>
      <c r="D517" s="2" t="s">
        <v>130</v>
      </c>
      <c r="E517" s="2" t="s">
        <v>355</v>
      </c>
      <c r="F517" s="2" t="s">
        <v>4948</v>
      </c>
      <c r="G517" s="2" t="s">
        <v>4928</v>
      </c>
      <c r="H517" s="2" t="s">
        <v>5029</v>
      </c>
      <c r="I517" s="20">
        <v>55732.34</v>
      </c>
      <c r="J517" s="2" t="s">
        <v>4935</v>
      </c>
    </row>
    <row r="518" spans="1:10" ht="15.35" x14ac:dyDescent="0.55000000000000004">
      <c r="A518" s="20">
        <v>16987</v>
      </c>
      <c r="B518" s="2" t="s">
        <v>128</v>
      </c>
      <c r="C518" s="2" t="s">
        <v>129</v>
      </c>
      <c r="D518" s="2" t="s">
        <v>130</v>
      </c>
      <c r="E518" s="2" t="s">
        <v>355</v>
      </c>
      <c r="F518" s="2" t="s">
        <v>4949</v>
      </c>
      <c r="G518" s="2" t="s">
        <v>4931</v>
      </c>
      <c r="H518" s="2" t="s">
        <v>5025</v>
      </c>
      <c r="I518" s="20">
        <v>100</v>
      </c>
      <c r="J518" s="2" t="s">
        <v>4933</v>
      </c>
    </row>
    <row r="519" spans="1:10" ht="15.35" x14ac:dyDescent="0.55000000000000004">
      <c r="A519" s="20">
        <v>16988</v>
      </c>
      <c r="B519" s="2" t="s">
        <v>128</v>
      </c>
      <c r="C519" s="2" t="s">
        <v>129</v>
      </c>
      <c r="D519" s="2" t="s">
        <v>130</v>
      </c>
      <c r="E519" s="2" t="s">
        <v>355</v>
      </c>
      <c r="F519" s="2" t="s">
        <v>4949</v>
      </c>
      <c r="G519" s="2" t="s">
        <v>4939</v>
      </c>
      <c r="H519" s="2" t="s">
        <v>5027</v>
      </c>
      <c r="I519" s="20">
        <v>209</v>
      </c>
      <c r="J519" s="2" t="s">
        <v>4941</v>
      </c>
    </row>
    <row r="520" spans="1:10" ht="15.35" x14ac:dyDescent="0.55000000000000004">
      <c r="A520" s="20">
        <v>16989</v>
      </c>
      <c r="B520" s="2" t="s">
        <v>128</v>
      </c>
      <c r="C520" s="2" t="s">
        <v>129</v>
      </c>
      <c r="D520" s="2" t="s">
        <v>130</v>
      </c>
      <c r="E520" s="2" t="s">
        <v>355</v>
      </c>
      <c r="F520" s="2" t="s">
        <v>4949</v>
      </c>
      <c r="G520" s="2" t="s">
        <v>4931</v>
      </c>
      <c r="H520" s="2" t="s">
        <v>5028</v>
      </c>
      <c r="I520" s="20">
        <v>95.16</v>
      </c>
      <c r="J520" s="2" t="s">
        <v>4933</v>
      </c>
    </row>
    <row r="521" spans="1:10" ht="15.35" x14ac:dyDescent="0.55000000000000004">
      <c r="A521" s="20">
        <v>16990</v>
      </c>
      <c r="B521" s="2" t="s">
        <v>128</v>
      </c>
      <c r="C521" s="2" t="s">
        <v>129</v>
      </c>
      <c r="D521" s="2" t="s">
        <v>130</v>
      </c>
      <c r="E521" s="2" t="s">
        <v>355</v>
      </c>
      <c r="F521" s="2" t="s">
        <v>4949</v>
      </c>
      <c r="G521" s="2" t="s">
        <v>4928</v>
      </c>
      <c r="H521" s="2" t="s">
        <v>5029</v>
      </c>
      <c r="I521" s="20">
        <v>55614.9</v>
      </c>
      <c r="J521" s="2" t="s">
        <v>4935</v>
      </c>
    </row>
    <row r="522" spans="1:10" ht="15.35" x14ac:dyDescent="0.55000000000000004">
      <c r="A522" s="20">
        <v>16991</v>
      </c>
      <c r="B522" s="2" t="s">
        <v>128</v>
      </c>
      <c r="C522" s="2" t="s">
        <v>129</v>
      </c>
      <c r="D522" s="2" t="s">
        <v>130</v>
      </c>
      <c r="E522" s="2" t="s">
        <v>355</v>
      </c>
      <c r="F522" s="2" t="s">
        <v>4949</v>
      </c>
      <c r="G522" s="2" t="s">
        <v>4928</v>
      </c>
      <c r="H522" s="2" t="s">
        <v>5030</v>
      </c>
      <c r="I522" s="20">
        <v>58444.9</v>
      </c>
      <c r="J522" s="2" t="s">
        <v>4935</v>
      </c>
    </row>
    <row r="523" spans="1:10" ht="15.35" x14ac:dyDescent="0.55000000000000004">
      <c r="A523" s="20">
        <v>16997</v>
      </c>
      <c r="B523" s="2" t="s">
        <v>128</v>
      </c>
      <c r="C523" s="2" t="s">
        <v>129</v>
      </c>
      <c r="D523" s="2" t="s">
        <v>130</v>
      </c>
      <c r="E523" s="2" t="s">
        <v>355</v>
      </c>
      <c r="F523" s="2" t="s">
        <v>4949</v>
      </c>
      <c r="G523" s="2" t="s">
        <v>4928</v>
      </c>
      <c r="H523" s="2" t="s">
        <v>5026</v>
      </c>
      <c r="I523" s="20">
        <v>1.99</v>
      </c>
      <c r="J523" s="2" t="s">
        <v>4930</v>
      </c>
    </row>
    <row r="524" spans="1:10" ht="15.35" x14ac:dyDescent="0.55000000000000004">
      <c r="A524" s="20">
        <v>18339</v>
      </c>
      <c r="B524" s="2" t="s">
        <v>128</v>
      </c>
      <c r="C524" s="2" t="s">
        <v>129</v>
      </c>
      <c r="D524" s="2" t="s">
        <v>130</v>
      </c>
      <c r="E524" s="2" t="s">
        <v>355</v>
      </c>
      <c r="F524" s="2" t="s">
        <v>4950</v>
      </c>
      <c r="G524" s="2" t="s">
        <v>4931</v>
      </c>
      <c r="H524" s="2" t="s">
        <v>5028</v>
      </c>
      <c r="I524" s="20">
        <v>94.56</v>
      </c>
      <c r="J524" s="2" t="s">
        <v>4933</v>
      </c>
    </row>
    <row r="525" spans="1:10" ht="15.35" x14ac:dyDescent="0.55000000000000004">
      <c r="A525" s="20">
        <v>18340</v>
      </c>
      <c r="B525" s="2" t="s">
        <v>128</v>
      </c>
      <c r="C525" s="2" t="s">
        <v>129</v>
      </c>
      <c r="D525" s="2" t="s">
        <v>130</v>
      </c>
      <c r="E525" s="2" t="s">
        <v>355</v>
      </c>
      <c r="F525" s="2" t="s">
        <v>4950</v>
      </c>
      <c r="G525" s="2" t="s">
        <v>4939</v>
      </c>
      <c r="H525" s="2" t="s">
        <v>5027</v>
      </c>
      <c r="I525" s="20">
        <v>199</v>
      </c>
      <c r="J525" s="2" t="s">
        <v>4941</v>
      </c>
    </row>
    <row r="526" spans="1:10" ht="15.35" x14ac:dyDescent="0.55000000000000004">
      <c r="A526" s="20">
        <v>18341</v>
      </c>
      <c r="B526" s="2" t="s">
        <v>128</v>
      </c>
      <c r="C526" s="2" t="s">
        <v>129</v>
      </c>
      <c r="D526" s="2" t="s">
        <v>130</v>
      </c>
      <c r="E526" s="2" t="s">
        <v>355</v>
      </c>
      <c r="F526" s="2" t="s">
        <v>4950</v>
      </c>
      <c r="G526" s="2" t="s">
        <v>4939</v>
      </c>
      <c r="H526" s="2" t="s">
        <v>5031</v>
      </c>
      <c r="I526" s="20">
        <v>297.23</v>
      </c>
      <c r="J526" s="2" t="s">
        <v>4941</v>
      </c>
    </row>
    <row r="527" spans="1:10" ht="15.35" x14ac:dyDescent="0.55000000000000004">
      <c r="A527" s="20">
        <v>18342</v>
      </c>
      <c r="B527" s="2" t="s">
        <v>128</v>
      </c>
      <c r="C527" s="2" t="s">
        <v>129</v>
      </c>
      <c r="D527" s="2" t="s">
        <v>130</v>
      </c>
      <c r="E527" s="2" t="s">
        <v>355</v>
      </c>
      <c r="F527" s="2" t="s">
        <v>4950</v>
      </c>
      <c r="G527" s="2" t="s">
        <v>4928</v>
      </c>
      <c r="H527" s="2" t="s">
        <v>5026</v>
      </c>
      <c r="I527" s="20">
        <v>2.0299999999999998</v>
      </c>
      <c r="J527" s="2" t="s">
        <v>4930</v>
      </c>
    </row>
    <row r="528" spans="1:10" ht="15.35" x14ac:dyDescent="0.55000000000000004">
      <c r="A528" s="20">
        <v>18343</v>
      </c>
      <c r="B528" s="2" t="s">
        <v>128</v>
      </c>
      <c r="C528" s="2" t="s">
        <v>129</v>
      </c>
      <c r="D528" s="2" t="s">
        <v>130</v>
      </c>
      <c r="E528" s="2" t="s">
        <v>355</v>
      </c>
      <c r="F528" s="2" t="s">
        <v>4950</v>
      </c>
      <c r="G528" s="2" t="s">
        <v>4931</v>
      </c>
      <c r="H528" s="2" t="s">
        <v>5025</v>
      </c>
      <c r="I528" s="20">
        <v>100</v>
      </c>
      <c r="J528" s="2" t="s">
        <v>4933</v>
      </c>
    </row>
    <row r="529" spans="1:10" ht="15.35" x14ac:dyDescent="0.55000000000000004">
      <c r="A529" s="20">
        <v>18352</v>
      </c>
      <c r="B529" s="2" t="s">
        <v>128</v>
      </c>
      <c r="C529" s="2" t="s">
        <v>129</v>
      </c>
      <c r="D529" s="2" t="s">
        <v>130</v>
      </c>
      <c r="E529" s="2" t="s">
        <v>355</v>
      </c>
      <c r="F529" s="2" t="s">
        <v>4950</v>
      </c>
      <c r="G529" s="2" t="s">
        <v>4928</v>
      </c>
      <c r="H529" s="2" t="s">
        <v>5029</v>
      </c>
      <c r="I529" s="20">
        <v>54757.8</v>
      </c>
      <c r="J529" s="2" t="s">
        <v>4935</v>
      </c>
    </row>
    <row r="530" spans="1:10" ht="15.35" x14ac:dyDescent="0.55000000000000004">
      <c r="A530" s="20">
        <v>18369</v>
      </c>
      <c r="B530" s="2" t="s">
        <v>128</v>
      </c>
      <c r="C530" s="2" t="s">
        <v>129</v>
      </c>
      <c r="D530" s="2" t="s">
        <v>130</v>
      </c>
      <c r="E530" s="2" t="s">
        <v>355</v>
      </c>
      <c r="F530" s="2" t="s">
        <v>4950</v>
      </c>
      <c r="G530" s="2" t="s">
        <v>4928</v>
      </c>
      <c r="H530" s="2" t="s">
        <v>5030</v>
      </c>
      <c r="I530" s="20">
        <v>57906.8</v>
      </c>
      <c r="J530" s="2" t="s">
        <v>4935</v>
      </c>
    </row>
    <row r="531" spans="1:10" ht="15.35" x14ac:dyDescent="0.55000000000000004">
      <c r="A531" s="20">
        <v>14265</v>
      </c>
      <c r="B531" s="2" t="s">
        <v>135</v>
      </c>
      <c r="C531" s="2" t="s">
        <v>136</v>
      </c>
      <c r="D531" s="2" t="s">
        <v>137</v>
      </c>
      <c r="E531" s="2" t="s">
        <v>4926</v>
      </c>
      <c r="F531" s="2" t="s">
        <v>4947</v>
      </c>
      <c r="G531" s="2" t="s">
        <v>4939</v>
      </c>
      <c r="H531" s="2" t="s">
        <v>4946</v>
      </c>
      <c r="I531" s="20">
        <v>199.84</v>
      </c>
      <c r="J531" s="2" t="s">
        <v>4941</v>
      </c>
    </row>
    <row r="532" spans="1:10" ht="15.35" x14ac:dyDescent="0.55000000000000004">
      <c r="A532" s="20">
        <v>14283</v>
      </c>
      <c r="B532" s="2" t="s">
        <v>135</v>
      </c>
      <c r="C532" s="2" t="s">
        <v>136</v>
      </c>
      <c r="D532" s="2" t="s">
        <v>137</v>
      </c>
      <c r="E532" s="2" t="s">
        <v>4926</v>
      </c>
      <c r="F532" s="2" t="s">
        <v>4947</v>
      </c>
      <c r="G532" s="2" t="s">
        <v>4931</v>
      </c>
      <c r="H532" s="2" t="s">
        <v>4952</v>
      </c>
      <c r="I532" s="20">
        <v>100</v>
      </c>
      <c r="J532" s="2" t="s">
        <v>4933</v>
      </c>
    </row>
    <row r="533" spans="1:10" ht="15.35" x14ac:dyDescent="0.55000000000000004">
      <c r="A533" s="20">
        <v>8303</v>
      </c>
      <c r="B533" s="2" t="s">
        <v>135</v>
      </c>
      <c r="C533" s="2" t="s">
        <v>136</v>
      </c>
      <c r="D533" s="2" t="s">
        <v>137</v>
      </c>
      <c r="E533" s="2" t="s">
        <v>4926</v>
      </c>
      <c r="F533" s="2" t="s">
        <v>4947</v>
      </c>
      <c r="G533" s="2" t="s">
        <v>4928</v>
      </c>
      <c r="H533" s="2" t="s">
        <v>4934</v>
      </c>
      <c r="I533" s="20">
        <v>99130.05</v>
      </c>
      <c r="J533" s="2" t="s">
        <v>4935</v>
      </c>
    </row>
    <row r="534" spans="1:10" ht="15.35" x14ac:dyDescent="0.55000000000000004">
      <c r="A534" s="20">
        <v>8304</v>
      </c>
      <c r="B534" s="2" t="s">
        <v>135</v>
      </c>
      <c r="C534" s="2" t="s">
        <v>136</v>
      </c>
      <c r="D534" s="2" t="s">
        <v>137</v>
      </c>
      <c r="E534" s="2" t="s">
        <v>4926</v>
      </c>
      <c r="F534" s="2" t="s">
        <v>4947</v>
      </c>
      <c r="G534" s="2" t="s">
        <v>4928</v>
      </c>
      <c r="H534" s="2" t="s">
        <v>4936</v>
      </c>
      <c r="I534" s="20">
        <v>97212.3</v>
      </c>
      <c r="J534" s="2" t="s">
        <v>4935</v>
      </c>
    </row>
    <row r="535" spans="1:10" ht="15.35" x14ac:dyDescent="0.55000000000000004">
      <c r="A535" s="20">
        <v>8305</v>
      </c>
      <c r="B535" s="2" t="s">
        <v>135</v>
      </c>
      <c r="C535" s="2" t="s">
        <v>136</v>
      </c>
      <c r="D535" s="2" t="s">
        <v>137</v>
      </c>
      <c r="E535" s="2" t="s">
        <v>4926</v>
      </c>
      <c r="F535" s="2" t="s">
        <v>4947</v>
      </c>
      <c r="G535" s="2" t="s">
        <v>4931</v>
      </c>
      <c r="H535" s="2" t="s">
        <v>4937</v>
      </c>
      <c r="I535" s="20">
        <v>98.07</v>
      </c>
      <c r="J535" s="2" t="s">
        <v>4933</v>
      </c>
    </row>
    <row r="536" spans="1:10" ht="15.35" x14ac:dyDescent="0.55000000000000004">
      <c r="A536" s="20">
        <v>8306</v>
      </c>
      <c r="B536" s="2" t="s">
        <v>135</v>
      </c>
      <c r="C536" s="2" t="s">
        <v>136</v>
      </c>
      <c r="D536" s="2" t="s">
        <v>137</v>
      </c>
      <c r="E536" s="2" t="s">
        <v>4926</v>
      </c>
      <c r="F536" s="2" t="s">
        <v>4947</v>
      </c>
      <c r="G536" s="2" t="s">
        <v>4928</v>
      </c>
      <c r="H536" s="2" t="s">
        <v>4955</v>
      </c>
      <c r="I536" s="20">
        <v>1.7</v>
      </c>
      <c r="J536" s="2" t="s">
        <v>4930</v>
      </c>
    </row>
    <row r="537" spans="1:10" ht="15.35" x14ac:dyDescent="0.55000000000000004">
      <c r="A537" s="20">
        <v>16211</v>
      </c>
      <c r="B537" s="2" t="s">
        <v>135</v>
      </c>
      <c r="C537" s="2" t="s">
        <v>136</v>
      </c>
      <c r="D537" s="2" t="s">
        <v>137</v>
      </c>
      <c r="E537" s="2" t="s">
        <v>4926</v>
      </c>
      <c r="F537" s="2" t="s">
        <v>4943</v>
      </c>
      <c r="G537" s="2" t="s">
        <v>4939</v>
      </c>
      <c r="H537" s="2" t="s">
        <v>4946</v>
      </c>
      <c r="I537" s="20">
        <v>199.07</v>
      </c>
      <c r="J537" s="2" t="s">
        <v>4941</v>
      </c>
    </row>
    <row r="538" spans="1:10" ht="15.35" x14ac:dyDescent="0.55000000000000004">
      <c r="A538" s="20">
        <v>8421</v>
      </c>
      <c r="B538" s="2" t="s">
        <v>135</v>
      </c>
      <c r="C538" s="2" t="s">
        <v>136</v>
      </c>
      <c r="D538" s="2" t="s">
        <v>137</v>
      </c>
      <c r="E538" s="2" t="s">
        <v>4926</v>
      </c>
      <c r="F538" s="2" t="s">
        <v>4943</v>
      </c>
      <c r="G538" s="2" t="s">
        <v>4931</v>
      </c>
      <c r="H538" s="2" t="s">
        <v>4952</v>
      </c>
      <c r="I538" s="20">
        <v>100</v>
      </c>
      <c r="J538" s="2" t="s">
        <v>4933</v>
      </c>
    </row>
    <row r="539" spans="1:10" ht="15.35" x14ac:dyDescent="0.55000000000000004">
      <c r="A539" s="20">
        <v>8523</v>
      </c>
      <c r="B539" s="2" t="s">
        <v>135</v>
      </c>
      <c r="C539" s="2" t="s">
        <v>136</v>
      </c>
      <c r="D539" s="2" t="s">
        <v>137</v>
      </c>
      <c r="E539" s="2" t="s">
        <v>4926</v>
      </c>
      <c r="F539" s="2" t="s">
        <v>4943</v>
      </c>
      <c r="G539" s="2" t="s">
        <v>4939</v>
      </c>
      <c r="H539" s="2" t="s">
        <v>5032</v>
      </c>
      <c r="I539" s="20">
        <v>199.07</v>
      </c>
      <c r="J539" s="2" t="s">
        <v>4941</v>
      </c>
    </row>
    <row r="540" spans="1:10" ht="15.35" x14ac:dyDescent="0.55000000000000004">
      <c r="A540" s="20">
        <v>8525</v>
      </c>
      <c r="B540" s="2" t="s">
        <v>135</v>
      </c>
      <c r="C540" s="2" t="s">
        <v>136</v>
      </c>
      <c r="D540" s="2" t="s">
        <v>137</v>
      </c>
      <c r="E540" s="2" t="s">
        <v>4926</v>
      </c>
      <c r="F540" s="2" t="s">
        <v>4943</v>
      </c>
      <c r="G540" s="2" t="s">
        <v>4931</v>
      </c>
      <c r="H540" s="2" t="s">
        <v>4937</v>
      </c>
      <c r="I540" s="20">
        <v>97.46</v>
      </c>
      <c r="J540" s="2" t="s">
        <v>4933</v>
      </c>
    </row>
    <row r="541" spans="1:10" ht="15.35" x14ac:dyDescent="0.55000000000000004">
      <c r="A541" s="20">
        <v>8526</v>
      </c>
      <c r="B541" s="2" t="s">
        <v>135</v>
      </c>
      <c r="C541" s="2" t="s">
        <v>136</v>
      </c>
      <c r="D541" s="2" t="s">
        <v>137</v>
      </c>
      <c r="E541" s="2" t="s">
        <v>4926</v>
      </c>
      <c r="F541" s="2" t="s">
        <v>4943</v>
      </c>
      <c r="G541" s="2" t="s">
        <v>4928</v>
      </c>
      <c r="H541" s="2" t="s">
        <v>4934</v>
      </c>
      <c r="I541" s="20">
        <v>99072.05</v>
      </c>
      <c r="J541" s="2" t="s">
        <v>4935</v>
      </c>
    </row>
    <row r="542" spans="1:10" ht="15.35" x14ac:dyDescent="0.55000000000000004">
      <c r="A542" s="20">
        <v>8538</v>
      </c>
      <c r="B542" s="2" t="s">
        <v>135</v>
      </c>
      <c r="C542" s="2" t="s">
        <v>136</v>
      </c>
      <c r="D542" s="2" t="s">
        <v>137</v>
      </c>
      <c r="E542" s="2" t="s">
        <v>4926</v>
      </c>
      <c r="F542" s="2" t="s">
        <v>4943</v>
      </c>
      <c r="G542" s="2" t="s">
        <v>4928</v>
      </c>
      <c r="H542" s="2" t="s">
        <v>4955</v>
      </c>
      <c r="I542" s="20">
        <v>1.52</v>
      </c>
      <c r="J542" s="2" t="s">
        <v>4930</v>
      </c>
    </row>
    <row r="543" spans="1:10" ht="15.35" x14ac:dyDescent="0.55000000000000004">
      <c r="A543" s="20">
        <v>8544</v>
      </c>
      <c r="B543" s="2" t="s">
        <v>135</v>
      </c>
      <c r="C543" s="2" t="s">
        <v>136</v>
      </c>
      <c r="D543" s="2" t="s">
        <v>137</v>
      </c>
      <c r="E543" s="2" t="s">
        <v>4926</v>
      </c>
      <c r="F543" s="2" t="s">
        <v>4943</v>
      </c>
      <c r="G543" s="2" t="s">
        <v>4928</v>
      </c>
      <c r="H543" s="2" t="s">
        <v>4936</v>
      </c>
      <c r="I543" s="20">
        <v>96552.95</v>
      </c>
      <c r="J543" s="2" t="s">
        <v>4935</v>
      </c>
    </row>
    <row r="544" spans="1:10" ht="15.35" x14ac:dyDescent="0.55000000000000004">
      <c r="A544" s="20">
        <v>8528</v>
      </c>
      <c r="B544" s="2" t="s">
        <v>135</v>
      </c>
      <c r="C544" s="2" t="s">
        <v>136</v>
      </c>
      <c r="D544" s="2" t="s">
        <v>137</v>
      </c>
      <c r="E544" s="2" t="s">
        <v>4926</v>
      </c>
      <c r="F544" s="2" t="s">
        <v>4944</v>
      </c>
      <c r="G544" s="2" t="s">
        <v>4931</v>
      </c>
      <c r="H544" s="2" t="s">
        <v>4937</v>
      </c>
      <c r="I544" s="20">
        <v>97.11</v>
      </c>
      <c r="J544" s="2" t="s">
        <v>4933</v>
      </c>
    </row>
    <row r="545" spans="1:10" ht="15.35" x14ac:dyDescent="0.55000000000000004">
      <c r="A545" s="20">
        <v>8529</v>
      </c>
      <c r="B545" s="2" t="s">
        <v>135</v>
      </c>
      <c r="C545" s="2" t="s">
        <v>136</v>
      </c>
      <c r="D545" s="2" t="s">
        <v>137</v>
      </c>
      <c r="E545" s="2" t="s">
        <v>4926</v>
      </c>
      <c r="F545" s="2" t="s">
        <v>4944</v>
      </c>
      <c r="G545" s="2" t="s">
        <v>4939</v>
      </c>
      <c r="H545" s="2" t="s">
        <v>5032</v>
      </c>
      <c r="I545" s="20">
        <v>153.03</v>
      </c>
      <c r="J545" s="2" t="s">
        <v>4941</v>
      </c>
    </row>
    <row r="546" spans="1:10" ht="15.35" x14ac:dyDescent="0.55000000000000004">
      <c r="A546" s="20">
        <v>8530</v>
      </c>
      <c r="B546" s="2" t="s">
        <v>135</v>
      </c>
      <c r="C546" s="2" t="s">
        <v>136</v>
      </c>
      <c r="D546" s="2" t="s">
        <v>137</v>
      </c>
      <c r="E546" s="2" t="s">
        <v>4926</v>
      </c>
      <c r="F546" s="2" t="s">
        <v>4944</v>
      </c>
      <c r="G546" s="2" t="s">
        <v>4928</v>
      </c>
      <c r="H546" s="2" t="s">
        <v>4955</v>
      </c>
      <c r="I546" s="20">
        <v>1.69</v>
      </c>
      <c r="J546" s="2" t="s">
        <v>4930</v>
      </c>
    </row>
    <row r="547" spans="1:10" ht="15.35" x14ac:dyDescent="0.55000000000000004">
      <c r="A547" s="20">
        <v>8531</v>
      </c>
      <c r="B547" s="2" t="s">
        <v>135</v>
      </c>
      <c r="C547" s="2" t="s">
        <v>136</v>
      </c>
      <c r="D547" s="2" t="s">
        <v>137</v>
      </c>
      <c r="E547" s="2" t="s">
        <v>4926</v>
      </c>
      <c r="F547" s="2" t="s">
        <v>4944</v>
      </c>
      <c r="G547" s="2" t="s">
        <v>4931</v>
      </c>
      <c r="H547" s="2" t="s">
        <v>4952</v>
      </c>
      <c r="I547" s="20">
        <v>100</v>
      </c>
      <c r="J547" s="2" t="s">
        <v>4933</v>
      </c>
    </row>
    <row r="548" spans="1:10" ht="15.35" x14ac:dyDescent="0.55000000000000004">
      <c r="A548" s="20">
        <v>16214</v>
      </c>
      <c r="B548" s="2" t="s">
        <v>135</v>
      </c>
      <c r="C548" s="2" t="s">
        <v>136</v>
      </c>
      <c r="D548" s="2" t="s">
        <v>137</v>
      </c>
      <c r="E548" s="2" t="s">
        <v>4926</v>
      </c>
      <c r="F548" s="2" t="s">
        <v>4944</v>
      </c>
      <c r="G548" s="2" t="s">
        <v>4939</v>
      </c>
      <c r="H548" s="2" t="s">
        <v>4946</v>
      </c>
      <c r="I548" s="20">
        <v>153.03</v>
      </c>
      <c r="J548" s="2" t="s">
        <v>4941</v>
      </c>
    </row>
    <row r="549" spans="1:10" ht="15.35" x14ac:dyDescent="0.55000000000000004">
      <c r="A549" s="20">
        <v>8316</v>
      </c>
      <c r="B549" s="2" t="s">
        <v>135</v>
      </c>
      <c r="C549" s="2" t="s">
        <v>136</v>
      </c>
      <c r="D549" s="2" t="s">
        <v>137</v>
      </c>
      <c r="E549" s="2" t="s">
        <v>4926</v>
      </c>
      <c r="F549" s="2" t="s">
        <v>4944</v>
      </c>
      <c r="G549" s="2" t="s">
        <v>4928</v>
      </c>
      <c r="H549" s="2" t="s">
        <v>4936</v>
      </c>
      <c r="I549" s="20">
        <v>96207.33</v>
      </c>
      <c r="J549" s="2" t="s">
        <v>4935</v>
      </c>
    </row>
    <row r="550" spans="1:10" ht="15.35" x14ac:dyDescent="0.55000000000000004">
      <c r="A550" s="20">
        <v>8333</v>
      </c>
      <c r="B550" s="2" t="s">
        <v>135</v>
      </c>
      <c r="C550" s="2" t="s">
        <v>136</v>
      </c>
      <c r="D550" s="2" t="s">
        <v>137</v>
      </c>
      <c r="E550" s="2" t="s">
        <v>4926</v>
      </c>
      <c r="F550" s="2" t="s">
        <v>4944</v>
      </c>
      <c r="G550" s="2" t="s">
        <v>4928</v>
      </c>
      <c r="H550" s="2" t="s">
        <v>4934</v>
      </c>
      <c r="I550" s="20">
        <v>99072.05</v>
      </c>
      <c r="J550" s="2" t="s">
        <v>4935</v>
      </c>
    </row>
    <row r="551" spans="1:10" ht="15.35" x14ac:dyDescent="0.55000000000000004">
      <c r="A551" s="20">
        <v>16218</v>
      </c>
      <c r="B551" s="2" t="s">
        <v>135</v>
      </c>
      <c r="C551" s="2" t="s">
        <v>136</v>
      </c>
      <c r="D551" s="2" t="s">
        <v>137</v>
      </c>
      <c r="E551" s="2" t="s">
        <v>4926</v>
      </c>
      <c r="F551" s="2" t="s">
        <v>4945</v>
      </c>
      <c r="G551" s="2" t="s">
        <v>4939</v>
      </c>
      <c r="H551" s="2" t="s">
        <v>4946</v>
      </c>
      <c r="I551" s="20">
        <v>128.19999999999999</v>
      </c>
      <c r="J551" s="2" t="s">
        <v>4941</v>
      </c>
    </row>
    <row r="552" spans="1:10" ht="15.35" x14ac:dyDescent="0.55000000000000004">
      <c r="A552" s="20">
        <v>11743</v>
      </c>
      <c r="B552" s="2" t="s">
        <v>135</v>
      </c>
      <c r="C552" s="2" t="s">
        <v>136</v>
      </c>
      <c r="D552" s="2" t="s">
        <v>137</v>
      </c>
      <c r="E552" s="2" t="s">
        <v>4926</v>
      </c>
      <c r="F552" s="2" t="s">
        <v>4945</v>
      </c>
      <c r="G552" s="2" t="s">
        <v>4939</v>
      </c>
      <c r="H552" s="2" t="s">
        <v>5032</v>
      </c>
      <c r="I552" s="20">
        <v>128.19999999999999</v>
      </c>
      <c r="J552" s="2" t="s">
        <v>4941</v>
      </c>
    </row>
    <row r="553" spans="1:10" ht="15.35" x14ac:dyDescent="0.55000000000000004">
      <c r="A553" s="20">
        <v>11744</v>
      </c>
      <c r="B553" s="2" t="s">
        <v>135</v>
      </c>
      <c r="C553" s="2" t="s">
        <v>136</v>
      </c>
      <c r="D553" s="2" t="s">
        <v>137</v>
      </c>
      <c r="E553" s="2" t="s">
        <v>4926</v>
      </c>
      <c r="F553" s="2" t="s">
        <v>4945</v>
      </c>
      <c r="G553" s="2" t="s">
        <v>4928</v>
      </c>
      <c r="H553" s="2" t="s">
        <v>4955</v>
      </c>
      <c r="I553" s="20">
        <v>1.79</v>
      </c>
      <c r="J553" s="2" t="s">
        <v>4930</v>
      </c>
    </row>
    <row r="554" spans="1:10" ht="15.35" x14ac:dyDescent="0.55000000000000004">
      <c r="A554" s="20">
        <v>11745</v>
      </c>
      <c r="B554" s="2" t="s">
        <v>135</v>
      </c>
      <c r="C554" s="2" t="s">
        <v>136</v>
      </c>
      <c r="D554" s="2" t="s">
        <v>137</v>
      </c>
      <c r="E554" s="2" t="s">
        <v>4926</v>
      </c>
      <c r="F554" s="2" t="s">
        <v>4945</v>
      </c>
      <c r="G554" s="2" t="s">
        <v>4931</v>
      </c>
      <c r="H554" s="2" t="s">
        <v>4952</v>
      </c>
      <c r="I554" s="20">
        <v>100</v>
      </c>
      <c r="J554" s="2" t="s">
        <v>4933</v>
      </c>
    </row>
    <row r="555" spans="1:10" ht="15.35" x14ac:dyDescent="0.55000000000000004">
      <c r="A555" s="20">
        <v>11757</v>
      </c>
      <c r="B555" s="2" t="s">
        <v>135</v>
      </c>
      <c r="C555" s="2" t="s">
        <v>136</v>
      </c>
      <c r="D555" s="2" t="s">
        <v>137</v>
      </c>
      <c r="E555" s="2" t="s">
        <v>4926</v>
      </c>
      <c r="F555" s="2" t="s">
        <v>4945</v>
      </c>
      <c r="G555" s="2" t="s">
        <v>4931</v>
      </c>
      <c r="H555" s="2" t="s">
        <v>4937</v>
      </c>
      <c r="I555" s="20">
        <v>98.67</v>
      </c>
      <c r="J555" s="2" t="s">
        <v>4933</v>
      </c>
    </row>
    <row r="556" spans="1:10" ht="15.35" x14ac:dyDescent="0.55000000000000004">
      <c r="A556" s="20">
        <v>11774</v>
      </c>
      <c r="B556" s="2" t="s">
        <v>135</v>
      </c>
      <c r="C556" s="2" t="s">
        <v>136</v>
      </c>
      <c r="D556" s="2" t="s">
        <v>137</v>
      </c>
      <c r="E556" s="2" t="s">
        <v>4926</v>
      </c>
      <c r="F556" s="2" t="s">
        <v>4945</v>
      </c>
      <c r="G556" s="2" t="s">
        <v>4928</v>
      </c>
      <c r="H556" s="2" t="s">
        <v>4934</v>
      </c>
      <c r="I556" s="20">
        <v>99188.87</v>
      </c>
      <c r="J556" s="2" t="s">
        <v>4935</v>
      </c>
    </row>
    <row r="557" spans="1:10" ht="15.35" x14ac:dyDescent="0.55000000000000004">
      <c r="A557" s="20">
        <v>11775</v>
      </c>
      <c r="B557" s="2" t="s">
        <v>135</v>
      </c>
      <c r="C557" s="2" t="s">
        <v>136</v>
      </c>
      <c r="D557" s="2" t="s">
        <v>137</v>
      </c>
      <c r="E557" s="2" t="s">
        <v>4926</v>
      </c>
      <c r="F557" s="2" t="s">
        <v>4945</v>
      </c>
      <c r="G557" s="2" t="s">
        <v>4928</v>
      </c>
      <c r="H557" s="2" t="s">
        <v>4936</v>
      </c>
      <c r="I557" s="20">
        <v>97873.919999999998</v>
      </c>
      <c r="J557" s="2" t="s">
        <v>4935</v>
      </c>
    </row>
    <row r="558" spans="1:10" ht="15.35" x14ac:dyDescent="0.55000000000000004">
      <c r="A558" s="20">
        <v>14254</v>
      </c>
      <c r="B558" s="2" t="s">
        <v>135</v>
      </c>
      <c r="C558" s="2" t="s">
        <v>136</v>
      </c>
      <c r="D558" s="2" t="s">
        <v>137</v>
      </c>
      <c r="E558" s="2" t="s">
        <v>4926</v>
      </c>
      <c r="F558" s="2" t="s">
        <v>4948</v>
      </c>
      <c r="G558" s="2" t="s">
        <v>4928</v>
      </c>
      <c r="H558" s="2" t="s">
        <v>4955</v>
      </c>
      <c r="I558" s="20">
        <v>1.59</v>
      </c>
      <c r="J558" s="2" t="s">
        <v>4930</v>
      </c>
    </row>
    <row r="559" spans="1:10" ht="15.35" x14ac:dyDescent="0.55000000000000004">
      <c r="A559" s="20">
        <v>14255</v>
      </c>
      <c r="B559" s="2" t="s">
        <v>135</v>
      </c>
      <c r="C559" s="2" t="s">
        <v>136</v>
      </c>
      <c r="D559" s="2" t="s">
        <v>137</v>
      </c>
      <c r="E559" s="2" t="s">
        <v>4926</v>
      </c>
      <c r="F559" s="2" t="s">
        <v>4948</v>
      </c>
      <c r="G559" s="2" t="s">
        <v>4939</v>
      </c>
      <c r="H559" s="2" t="s">
        <v>4946</v>
      </c>
      <c r="I559" s="20">
        <v>193.88</v>
      </c>
      <c r="J559" s="2" t="s">
        <v>4941</v>
      </c>
    </row>
    <row r="560" spans="1:10" ht="15.35" x14ac:dyDescent="0.55000000000000004">
      <c r="A560" s="20">
        <v>14256</v>
      </c>
      <c r="B560" s="2" t="s">
        <v>135</v>
      </c>
      <c r="C560" s="2" t="s">
        <v>136</v>
      </c>
      <c r="D560" s="2" t="s">
        <v>137</v>
      </c>
      <c r="E560" s="2" t="s">
        <v>4926</v>
      </c>
      <c r="F560" s="2" t="s">
        <v>4948</v>
      </c>
      <c r="G560" s="2" t="s">
        <v>4931</v>
      </c>
      <c r="H560" s="2" t="s">
        <v>4937</v>
      </c>
      <c r="I560" s="20">
        <v>98.96</v>
      </c>
      <c r="J560" s="2" t="s">
        <v>4933</v>
      </c>
    </row>
    <row r="561" spans="1:10" ht="15.35" x14ac:dyDescent="0.55000000000000004">
      <c r="A561" s="20">
        <v>14262</v>
      </c>
      <c r="B561" s="2" t="s">
        <v>135</v>
      </c>
      <c r="C561" s="2" t="s">
        <v>136</v>
      </c>
      <c r="D561" s="2" t="s">
        <v>137</v>
      </c>
      <c r="E561" s="2" t="s">
        <v>4926</v>
      </c>
      <c r="F561" s="2" t="s">
        <v>4948</v>
      </c>
      <c r="G561" s="2" t="s">
        <v>4931</v>
      </c>
      <c r="H561" s="2" t="s">
        <v>4952</v>
      </c>
      <c r="I561" s="20">
        <v>100</v>
      </c>
      <c r="J561" s="2" t="s">
        <v>4933</v>
      </c>
    </row>
    <row r="562" spans="1:10" ht="15.35" x14ac:dyDescent="0.55000000000000004">
      <c r="A562" s="20">
        <v>14278</v>
      </c>
      <c r="B562" s="2" t="s">
        <v>135</v>
      </c>
      <c r="C562" s="2" t="s">
        <v>136</v>
      </c>
      <c r="D562" s="2" t="s">
        <v>137</v>
      </c>
      <c r="E562" s="2" t="s">
        <v>4926</v>
      </c>
      <c r="F562" s="2" t="s">
        <v>4948</v>
      </c>
      <c r="G562" s="2" t="s">
        <v>4928</v>
      </c>
      <c r="H562" s="2" t="s">
        <v>4934</v>
      </c>
      <c r="I562" s="20">
        <v>99188.87</v>
      </c>
      <c r="J562" s="2" t="s">
        <v>4935</v>
      </c>
    </row>
    <row r="563" spans="1:10" ht="15.35" x14ac:dyDescent="0.55000000000000004">
      <c r="A563" s="20">
        <v>14279</v>
      </c>
      <c r="B563" s="2" t="s">
        <v>135</v>
      </c>
      <c r="C563" s="2" t="s">
        <v>136</v>
      </c>
      <c r="D563" s="2" t="s">
        <v>137</v>
      </c>
      <c r="E563" s="2" t="s">
        <v>4926</v>
      </c>
      <c r="F563" s="2" t="s">
        <v>4948</v>
      </c>
      <c r="G563" s="2" t="s">
        <v>4928</v>
      </c>
      <c r="H563" s="2" t="s">
        <v>4936</v>
      </c>
      <c r="I563" s="20">
        <v>98161.76</v>
      </c>
      <c r="J563" s="2" t="s">
        <v>4935</v>
      </c>
    </row>
    <row r="564" spans="1:10" ht="15.35" x14ac:dyDescent="0.55000000000000004">
      <c r="A564" s="20">
        <v>17495</v>
      </c>
      <c r="B564" s="2" t="s">
        <v>135</v>
      </c>
      <c r="C564" s="2" t="s">
        <v>136</v>
      </c>
      <c r="D564" s="2" t="s">
        <v>137</v>
      </c>
      <c r="E564" s="2" t="s">
        <v>4926</v>
      </c>
      <c r="F564" s="2" t="s">
        <v>4949</v>
      </c>
      <c r="G564" s="2" t="s">
        <v>4931</v>
      </c>
      <c r="H564" s="2" t="s">
        <v>4937</v>
      </c>
      <c r="I564" s="20">
        <v>97.73</v>
      </c>
      <c r="J564" s="2" t="s">
        <v>4933</v>
      </c>
    </row>
    <row r="565" spans="1:10" ht="15.35" x14ac:dyDescent="0.55000000000000004">
      <c r="A565" s="20">
        <v>17524</v>
      </c>
      <c r="B565" s="2" t="s">
        <v>135</v>
      </c>
      <c r="C565" s="2" t="s">
        <v>136</v>
      </c>
      <c r="D565" s="2" t="s">
        <v>137</v>
      </c>
      <c r="E565" s="2" t="s">
        <v>4926</v>
      </c>
      <c r="F565" s="2" t="s">
        <v>4949</v>
      </c>
      <c r="G565" s="2" t="s">
        <v>4939</v>
      </c>
      <c r="H565" s="2" t="s">
        <v>4946</v>
      </c>
      <c r="I565" s="20">
        <v>226.39</v>
      </c>
      <c r="J565" s="2" t="s">
        <v>4941</v>
      </c>
    </row>
    <row r="566" spans="1:10" ht="15.35" x14ac:dyDescent="0.55000000000000004">
      <c r="A566" s="20">
        <v>17525</v>
      </c>
      <c r="B566" s="2" t="s">
        <v>135</v>
      </c>
      <c r="C566" s="2" t="s">
        <v>136</v>
      </c>
      <c r="D566" s="2" t="s">
        <v>137</v>
      </c>
      <c r="E566" s="2" t="s">
        <v>4926</v>
      </c>
      <c r="F566" s="2" t="s">
        <v>4949</v>
      </c>
      <c r="G566" s="2" t="s">
        <v>4928</v>
      </c>
      <c r="H566" s="2" t="s">
        <v>4955</v>
      </c>
      <c r="I566" s="20">
        <v>1.54</v>
      </c>
      <c r="J566" s="2" t="s">
        <v>4930</v>
      </c>
    </row>
    <row r="567" spans="1:10" ht="15.35" x14ac:dyDescent="0.55000000000000004">
      <c r="A567" s="20">
        <v>17526</v>
      </c>
      <c r="B567" s="2" t="s">
        <v>135</v>
      </c>
      <c r="C567" s="2" t="s">
        <v>136</v>
      </c>
      <c r="D567" s="2" t="s">
        <v>137</v>
      </c>
      <c r="E567" s="2" t="s">
        <v>4926</v>
      </c>
      <c r="F567" s="2" t="s">
        <v>4949</v>
      </c>
      <c r="G567" s="2" t="s">
        <v>4931</v>
      </c>
      <c r="H567" s="2" t="s">
        <v>4952</v>
      </c>
      <c r="I567" s="20">
        <v>100</v>
      </c>
      <c r="J567" s="2" t="s">
        <v>4933</v>
      </c>
    </row>
    <row r="568" spans="1:10" ht="15.35" x14ac:dyDescent="0.55000000000000004">
      <c r="A568" s="20">
        <v>17538</v>
      </c>
      <c r="B568" s="2" t="s">
        <v>135</v>
      </c>
      <c r="C568" s="2" t="s">
        <v>136</v>
      </c>
      <c r="D568" s="2" t="s">
        <v>137</v>
      </c>
      <c r="E568" s="2" t="s">
        <v>4926</v>
      </c>
      <c r="F568" s="2" t="s">
        <v>4949</v>
      </c>
      <c r="G568" s="2" t="s">
        <v>4928</v>
      </c>
      <c r="H568" s="2" t="s">
        <v>4936</v>
      </c>
      <c r="I568" s="20">
        <v>96946.25</v>
      </c>
      <c r="J568" s="2" t="s">
        <v>4935</v>
      </c>
    </row>
    <row r="569" spans="1:10" ht="15.35" x14ac:dyDescent="0.55000000000000004">
      <c r="A569" s="20">
        <v>17539</v>
      </c>
      <c r="B569" s="2" t="s">
        <v>135</v>
      </c>
      <c r="C569" s="2" t="s">
        <v>136</v>
      </c>
      <c r="D569" s="2" t="s">
        <v>137</v>
      </c>
      <c r="E569" s="2" t="s">
        <v>4926</v>
      </c>
      <c r="F569" s="2" t="s">
        <v>4949</v>
      </c>
      <c r="G569" s="2" t="s">
        <v>4928</v>
      </c>
      <c r="H569" s="2" t="s">
        <v>4934</v>
      </c>
      <c r="I569" s="20">
        <v>99198.86</v>
      </c>
      <c r="J569" s="2" t="s">
        <v>4935</v>
      </c>
    </row>
    <row r="570" spans="1:10" ht="15.35" x14ac:dyDescent="0.55000000000000004">
      <c r="A570" s="20">
        <v>18178</v>
      </c>
      <c r="B570" s="2" t="s">
        <v>135</v>
      </c>
      <c r="C570" s="2" t="s">
        <v>136</v>
      </c>
      <c r="D570" s="2" t="s">
        <v>137</v>
      </c>
      <c r="E570" s="2" t="s">
        <v>4926</v>
      </c>
      <c r="F570" s="2" t="s">
        <v>4950</v>
      </c>
      <c r="G570" s="2" t="s">
        <v>4928</v>
      </c>
      <c r="H570" s="2" t="s">
        <v>4934</v>
      </c>
      <c r="I570" s="20">
        <v>99198.86</v>
      </c>
      <c r="J570" s="2" t="s">
        <v>4935</v>
      </c>
    </row>
    <row r="571" spans="1:10" ht="15.35" x14ac:dyDescent="0.55000000000000004">
      <c r="A571" s="20">
        <v>18191</v>
      </c>
      <c r="B571" s="2" t="s">
        <v>135</v>
      </c>
      <c r="C571" s="2" t="s">
        <v>136</v>
      </c>
      <c r="D571" s="2" t="s">
        <v>137</v>
      </c>
      <c r="E571" s="2" t="s">
        <v>4926</v>
      </c>
      <c r="F571" s="2" t="s">
        <v>4950</v>
      </c>
      <c r="G571" s="2" t="s">
        <v>4931</v>
      </c>
      <c r="H571" s="2" t="s">
        <v>4937</v>
      </c>
      <c r="I571" s="20">
        <v>97.85</v>
      </c>
      <c r="J571" s="2" t="s">
        <v>4933</v>
      </c>
    </row>
    <row r="572" spans="1:10" ht="15.35" x14ac:dyDescent="0.55000000000000004">
      <c r="A572" s="20">
        <v>18193</v>
      </c>
      <c r="B572" s="2" t="s">
        <v>135</v>
      </c>
      <c r="C572" s="2" t="s">
        <v>136</v>
      </c>
      <c r="D572" s="2" t="s">
        <v>137</v>
      </c>
      <c r="E572" s="2" t="s">
        <v>4926</v>
      </c>
      <c r="F572" s="2" t="s">
        <v>4950</v>
      </c>
      <c r="G572" s="2" t="s">
        <v>4939</v>
      </c>
      <c r="H572" s="2" t="s">
        <v>4946</v>
      </c>
      <c r="I572" s="20">
        <v>153.1</v>
      </c>
      <c r="J572" s="2" t="s">
        <v>4941</v>
      </c>
    </row>
    <row r="573" spans="1:10" ht="15.35" x14ac:dyDescent="0.55000000000000004">
      <c r="A573" s="20">
        <v>18194</v>
      </c>
      <c r="B573" s="2" t="s">
        <v>135</v>
      </c>
      <c r="C573" s="2" t="s">
        <v>136</v>
      </c>
      <c r="D573" s="2" t="s">
        <v>137</v>
      </c>
      <c r="E573" s="2" t="s">
        <v>4926</v>
      </c>
      <c r="F573" s="2" t="s">
        <v>4950</v>
      </c>
      <c r="G573" s="2" t="s">
        <v>4931</v>
      </c>
      <c r="H573" s="2" t="s">
        <v>4952</v>
      </c>
      <c r="I573" s="20">
        <v>99.83</v>
      </c>
      <c r="J573" s="2" t="s">
        <v>4933</v>
      </c>
    </row>
    <row r="574" spans="1:10" ht="15.35" x14ac:dyDescent="0.55000000000000004">
      <c r="A574" s="20">
        <v>18206</v>
      </c>
      <c r="B574" s="2" t="s">
        <v>135</v>
      </c>
      <c r="C574" s="2" t="s">
        <v>136</v>
      </c>
      <c r="D574" s="2" t="s">
        <v>137</v>
      </c>
      <c r="E574" s="2" t="s">
        <v>4926</v>
      </c>
      <c r="F574" s="2" t="s">
        <v>4950</v>
      </c>
      <c r="G574" s="2" t="s">
        <v>4928</v>
      </c>
      <c r="H574" s="2" t="s">
        <v>4936</v>
      </c>
      <c r="I574" s="20">
        <v>97064.67</v>
      </c>
      <c r="J574" s="2" t="s">
        <v>4935</v>
      </c>
    </row>
    <row r="575" spans="1:10" ht="15.35" x14ac:dyDescent="0.55000000000000004">
      <c r="A575" s="20">
        <v>18207</v>
      </c>
      <c r="B575" s="2" t="s">
        <v>135</v>
      </c>
      <c r="C575" s="2" t="s">
        <v>136</v>
      </c>
      <c r="D575" s="2" t="s">
        <v>137</v>
      </c>
      <c r="E575" s="2" t="s">
        <v>4926</v>
      </c>
      <c r="F575" s="2" t="s">
        <v>4950</v>
      </c>
      <c r="G575" s="2" t="s">
        <v>4928</v>
      </c>
      <c r="H575" s="2" t="s">
        <v>4955</v>
      </c>
      <c r="I575" s="20">
        <v>1.76</v>
      </c>
      <c r="J575" s="2" t="s">
        <v>4930</v>
      </c>
    </row>
    <row r="576" spans="1:10" ht="15.35" x14ac:dyDescent="0.55000000000000004">
      <c r="A576" s="20">
        <v>14257</v>
      </c>
      <c r="B576" s="2" t="s">
        <v>135</v>
      </c>
      <c r="C576" s="2" t="s">
        <v>136</v>
      </c>
      <c r="D576" s="2" t="s">
        <v>137</v>
      </c>
      <c r="E576" s="2" t="s">
        <v>363</v>
      </c>
      <c r="F576" s="2" t="s">
        <v>4947</v>
      </c>
      <c r="G576" s="2" t="s">
        <v>4931</v>
      </c>
      <c r="H576" s="2" t="s">
        <v>4952</v>
      </c>
      <c r="I576" s="20">
        <v>100</v>
      </c>
      <c r="J576" s="2" t="s">
        <v>4933</v>
      </c>
    </row>
    <row r="577" spans="1:10" ht="15.35" x14ac:dyDescent="0.55000000000000004">
      <c r="A577" s="20">
        <v>14280</v>
      </c>
      <c r="B577" s="2" t="s">
        <v>135</v>
      </c>
      <c r="C577" s="2" t="s">
        <v>136</v>
      </c>
      <c r="D577" s="2" t="s">
        <v>137</v>
      </c>
      <c r="E577" s="2" t="s">
        <v>363</v>
      </c>
      <c r="F577" s="2" t="s">
        <v>4947</v>
      </c>
      <c r="G577" s="2" t="s">
        <v>4939</v>
      </c>
      <c r="H577" s="2" t="s">
        <v>4946</v>
      </c>
      <c r="I577" s="20">
        <v>206.15</v>
      </c>
      <c r="J577" s="2" t="s">
        <v>4941</v>
      </c>
    </row>
    <row r="578" spans="1:10" ht="15.35" x14ac:dyDescent="0.55000000000000004">
      <c r="A578" s="20">
        <v>8311</v>
      </c>
      <c r="B578" s="2" t="s">
        <v>135</v>
      </c>
      <c r="C578" s="2" t="s">
        <v>136</v>
      </c>
      <c r="D578" s="2" t="s">
        <v>137</v>
      </c>
      <c r="E578" s="2" t="s">
        <v>363</v>
      </c>
      <c r="F578" s="2" t="s">
        <v>4947</v>
      </c>
      <c r="G578" s="2" t="s">
        <v>4928</v>
      </c>
      <c r="H578" s="2" t="s">
        <v>4934</v>
      </c>
      <c r="I578" s="20">
        <v>47208.52</v>
      </c>
      <c r="J578" s="2" t="s">
        <v>4935</v>
      </c>
    </row>
    <row r="579" spans="1:10" ht="15.35" x14ac:dyDescent="0.55000000000000004">
      <c r="A579" s="20">
        <v>8312</v>
      </c>
      <c r="B579" s="2" t="s">
        <v>135</v>
      </c>
      <c r="C579" s="2" t="s">
        <v>136</v>
      </c>
      <c r="D579" s="2" t="s">
        <v>137</v>
      </c>
      <c r="E579" s="2" t="s">
        <v>363</v>
      </c>
      <c r="F579" s="2" t="s">
        <v>4947</v>
      </c>
      <c r="G579" s="2" t="s">
        <v>4928</v>
      </c>
      <c r="H579" s="2" t="s">
        <v>4936</v>
      </c>
      <c r="I579" s="20">
        <v>46818.25</v>
      </c>
      <c r="J579" s="2" t="s">
        <v>4935</v>
      </c>
    </row>
    <row r="580" spans="1:10" ht="15.35" x14ac:dyDescent="0.55000000000000004">
      <c r="A580" s="20">
        <v>8335</v>
      </c>
      <c r="B580" s="2" t="s">
        <v>135</v>
      </c>
      <c r="C580" s="2" t="s">
        <v>136</v>
      </c>
      <c r="D580" s="2" t="s">
        <v>137</v>
      </c>
      <c r="E580" s="2" t="s">
        <v>363</v>
      </c>
      <c r="F580" s="2" t="s">
        <v>4947</v>
      </c>
      <c r="G580" s="2" t="s">
        <v>4931</v>
      </c>
      <c r="H580" s="2" t="s">
        <v>4937</v>
      </c>
      <c r="I580" s="20">
        <v>99.17</v>
      </c>
      <c r="J580" s="2" t="s">
        <v>4933</v>
      </c>
    </row>
    <row r="581" spans="1:10" ht="15.35" x14ac:dyDescent="0.55000000000000004">
      <c r="A581" s="20">
        <v>8506</v>
      </c>
      <c r="B581" s="2" t="s">
        <v>135</v>
      </c>
      <c r="C581" s="2" t="s">
        <v>136</v>
      </c>
      <c r="D581" s="2" t="s">
        <v>137</v>
      </c>
      <c r="E581" s="2" t="s">
        <v>363</v>
      </c>
      <c r="F581" s="2" t="s">
        <v>4947</v>
      </c>
      <c r="G581" s="2" t="s">
        <v>4928</v>
      </c>
      <c r="H581" s="2" t="s">
        <v>4955</v>
      </c>
      <c r="I581" s="20">
        <v>1.65</v>
      </c>
      <c r="J581" s="2" t="s">
        <v>4930</v>
      </c>
    </row>
    <row r="582" spans="1:10" ht="15.35" x14ac:dyDescent="0.55000000000000004">
      <c r="A582" s="20">
        <v>8297</v>
      </c>
      <c r="B582" s="2" t="s">
        <v>135</v>
      </c>
      <c r="C582" s="2" t="s">
        <v>136</v>
      </c>
      <c r="D582" s="2" t="s">
        <v>137</v>
      </c>
      <c r="E582" s="2" t="s">
        <v>363</v>
      </c>
      <c r="F582" s="2" t="s">
        <v>4943</v>
      </c>
      <c r="G582" s="2" t="s">
        <v>4928</v>
      </c>
      <c r="H582" s="2" t="s">
        <v>4934</v>
      </c>
      <c r="I582" s="20">
        <v>47208.52</v>
      </c>
      <c r="J582" s="2" t="s">
        <v>4935</v>
      </c>
    </row>
    <row r="583" spans="1:10" ht="15.35" x14ac:dyDescent="0.55000000000000004">
      <c r="A583" s="20">
        <v>8298</v>
      </c>
      <c r="B583" s="2" t="s">
        <v>135</v>
      </c>
      <c r="C583" s="2" t="s">
        <v>136</v>
      </c>
      <c r="D583" s="2" t="s">
        <v>137</v>
      </c>
      <c r="E583" s="2" t="s">
        <v>363</v>
      </c>
      <c r="F583" s="2" t="s">
        <v>4943</v>
      </c>
      <c r="G583" s="2" t="s">
        <v>4928</v>
      </c>
      <c r="H583" s="2" t="s">
        <v>4936</v>
      </c>
      <c r="I583" s="20">
        <v>46802.19</v>
      </c>
      <c r="J583" s="2" t="s">
        <v>4935</v>
      </c>
    </row>
    <row r="584" spans="1:10" ht="15.35" x14ac:dyDescent="0.55000000000000004">
      <c r="A584" s="20">
        <v>8299</v>
      </c>
      <c r="B584" s="2" t="s">
        <v>135</v>
      </c>
      <c r="C584" s="2" t="s">
        <v>136</v>
      </c>
      <c r="D584" s="2" t="s">
        <v>137</v>
      </c>
      <c r="E584" s="2" t="s">
        <v>363</v>
      </c>
      <c r="F584" s="2" t="s">
        <v>4943</v>
      </c>
      <c r="G584" s="2" t="s">
        <v>4931</v>
      </c>
      <c r="H584" s="2" t="s">
        <v>4937</v>
      </c>
      <c r="I584" s="20">
        <v>99.14</v>
      </c>
      <c r="J584" s="2" t="s">
        <v>4933</v>
      </c>
    </row>
    <row r="585" spans="1:10" ht="15.35" x14ac:dyDescent="0.55000000000000004">
      <c r="A585" s="20">
        <v>8300</v>
      </c>
      <c r="B585" s="2" t="s">
        <v>135</v>
      </c>
      <c r="C585" s="2" t="s">
        <v>136</v>
      </c>
      <c r="D585" s="2" t="s">
        <v>137</v>
      </c>
      <c r="E585" s="2" t="s">
        <v>363</v>
      </c>
      <c r="F585" s="2" t="s">
        <v>4943</v>
      </c>
      <c r="G585" s="2" t="s">
        <v>4939</v>
      </c>
      <c r="H585" s="2" t="s">
        <v>5032</v>
      </c>
      <c r="I585" s="20">
        <v>171.68</v>
      </c>
      <c r="J585" s="2" t="s">
        <v>4941</v>
      </c>
    </row>
    <row r="586" spans="1:10" ht="15.35" x14ac:dyDescent="0.55000000000000004">
      <c r="A586" s="20">
        <v>8301</v>
      </c>
      <c r="B586" s="2" t="s">
        <v>135</v>
      </c>
      <c r="C586" s="2" t="s">
        <v>136</v>
      </c>
      <c r="D586" s="2" t="s">
        <v>137</v>
      </c>
      <c r="E586" s="2" t="s">
        <v>363</v>
      </c>
      <c r="F586" s="2" t="s">
        <v>4943</v>
      </c>
      <c r="G586" s="2" t="s">
        <v>4928</v>
      </c>
      <c r="H586" s="2" t="s">
        <v>4955</v>
      </c>
      <c r="I586" s="20">
        <v>1.32</v>
      </c>
      <c r="J586" s="2" t="s">
        <v>4930</v>
      </c>
    </row>
    <row r="587" spans="1:10" ht="15.35" x14ac:dyDescent="0.55000000000000004">
      <c r="A587" s="20">
        <v>8302</v>
      </c>
      <c r="B587" s="2" t="s">
        <v>135</v>
      </c>
      <c r="C587" s="2" t="s">
        <v>136</v>
      </c>
      <c r="D587" s="2" t="s">
        <v>137</v>
      </c>
      <c r="E587" s="2" t="s">
        <v>363</v>
      </c>
      <c r="F587" s="2" t="s">
        <v>4943</v>
      </c>
      <c r="G587" s="2" t="s">
        <v>4931</v>
      </c>
      <c r="H587" s="2" t="s">
        <v>4952</v>
      </c>
      <c r="I587" s="20">
        <v>100</v>
      </c>
      <c r="J587" s="2" t="s">
        <v>4933</v>
      </c>
    </row>
    <row r="588" spans="1:10" ht="15.35" x14ac:dyDescent="0.55000000000000004">
      <c r="A588" s="20">
        <v>16209</v>
      </c>
      <c r="B588" s="2" t="s">
        <v>135</v>
      </c>
      <c r="C588" s="2" t="s">
        <v>136</v>
      </c>
      <c r="D588" s="2" t="s">
        <v>137</v>
      </c>
      <c r="E588" s="2" t="s">
        <v>363</v>
      </c>
      <c r="F588" s="2" t="s">
        <v>4943</v>
      </c>
      <c r="G588" s="2" t="s">
        <v>4939</v>
      </c>
      <c r="H588" s="2" t="s">
        <v>4946</v>
      </c>
      <c r="I588" s="20">
        <v>171.68</v>
      </c>
      <c r="J588" s="2" t="s">
        <v>4941</v>
      </c>
    </row>
    <row r="589" spans="1:10" ht="15.35" x14ac:dyDescent="0.55000000000000004">
      <c r="A589" s="20">
        <v>16212</v>
      </c>
      <c r="B589" s="2" t="s">
        <v>135</v>
      </c>
      <c r="C589" s="2" t="s">
        <v>136</v>
      </c>
      <c r="D589" s="2" t="s">
        <v>137</v>
      </c>
      <c r="E589" s="2" t="s">
        <v>363</v>
      </c>
      <c r="F589" s="2" t="s">
        <v>4944</v>
      </c>
      <c r="G589" s="2" t="s">
        <v>4939</v>
      </c>
      <c r="H589" s="2" t="s">
        <v>4946</v>
      </c>
      <c r="I589" s="20">
        <v>154.27000000000001</v>
      </c>
      <c r="J589" s="2" t="s">
        <v>4941</v>
      </c>
    </row>
    <row r="590" spans="1:10" ht="15.35" x14ac:dyDescent="0.55000000000000004">
      <c r="A590" s="20">
        <v>8537</v>
      </c>
      <c r="B590" s="2" t="s">
        <v>135</v>
      </c>
      <c r="C590" s="2" t="s">
        <v>136</v>
      </c>
      <c r="D590" s="2" t="s">
        <v>137</v>
      </c>
      <c r="E590" s="2" t="s">
        <v>363</v>
      </c>
      <c r="F590" s="2" t="s">
        <v>4944</v>
      </c>
      <c r="G590" s="2" t="s">
        <v>4928</v>
      </c>
      <c r="H590" s="2" t="s">
        <v>4934</v>
      </c>
      <c r="I590" s="20">
        <v>47208.52</v>
      </c>
      <c r="J590" s="2" t="s">
        <v>4935</v>
      </c>
    </row>
    <row r="591" spans="1:10" ht="15.35" x14ac:dyDescent="0.55000000000000004">
      <c r="A591" s="20">
        <v>8539</v>
      </c>
      <c r="B591" s="2" t="s">
        <v>135</v>
      </c>
      <c r="C591" s="2" t="s">
        <v>136</v>
      </c>
      <c r="D591" s="2" t="s">
        <v>137</v>
      </c>
      <c r="E591" s="2" t="s">
        <v>363</v>
      </c>
      <c r="F591" s="2" t="s">
        <v>4944</v>
      </c>
      <c r="G591" s="2" t="s">
        <v>4928</v>
      </c>
      <c r="H591" s="2" t="s">
        <v>4936</v>
      </c>
      <c r="I591" s="20">
        <v>45419.79</v>
      </c>
      <c r="J591" s="2" t="s">
        <v>4935</v>
      </c>
    </row>
    <row r="592" spans="1:10" ht="15.35" x14ac:dyDescent="0.55000000000000004">
      <c r="A592" s="20">
        <v>8540</v>
      </c>
      <c r="B592" s="2" t="s">
        <v>135</v>
      </c>
      <c r="C592" s="2" t="s">
        <v>136</v>
      </c>
      <c r="D592" s="2" t="s">
        <v>137</v>
      </c>
      <c r="E592" s="2" t="s">
        <v>363</v>
      </c>
      <c r="F592" s="2" t="s">
        <v>4944</v>
      </c>
      <c r="G592" s="2" t="s">
        <v>4931</v>
      </c>
      <c r="H592" s="2" t="s">
        <v>4937</v>
      </c>
      <c r="I592" s="20">
        <v>96.21</v>
      </c>
      <c r="J592" s="2" t="s">
        <v>4933</v>
      </c>
    </row>
    <row r="593" spans="1:10" ht="15.35" x14ac:dyDescent="0.55000000000000004">
      <c r="A593" s="20">
        <v>8541</v>
      </c>
      <c r="B593" s="2" t="s">
        <v>135</v>
      </c>
      <c r="C593" s="2" t="s">
        <v>136</v>
      </c>
      <c r="D593" s="2" t="s">
        <v>137</v>
      </c>
      <c r="E593" s="2" t="s">
        <v>363</v>
      </c>
      <c r="F593" s="2" t="s">
        <v>4944</v>
      </c>
      <c r="G593" s="2" t="s">
        <v>4939</v>
      </c>
      <c r="H593" s="2" t="s">
        <v>5032</v>
      </c>
      <c r="I593" s="20">
        <v>154.27000000000001</v>
      </c>
      <c r="J593" s="2" t="s">
        <v>4941</v>
      </c>
    </row>
    <row r="594" spans="1:10" ht="15.35" x14ac:dyDescent="0.55000000000000004">
      <c r="A594" s="20">
        <v>8542</v>
      </c>
      <c r="B594" s="2" t="s">
        <v>135</v>
      </c>
      <c r="C594" s="2" t="s">
        <v>136</v>
      </c>
      <c r="D594" s="2" t="s">
        <v>137</v>
      </c>
      <c r="E594" s="2" t="s">
        <v>363</v>
      </c>
      <c r="F594" s="2" t="s">
        <v>4944</v>
      </c>
      <c r="G594" s="2" t="s">
        <v>4928</v>
      </c>
      <c r="H594" s="2" t="s">
        <v>4955</v>
      </c>
      <c r="I594" s="20">
        <v>1.67</v>
      </c>
      <c r="J594" s="2" t="s">
        <v>4930</v>
      </c>
    </row>
    <row r="595" spans="1:10" ht="15.35" x14ac:dyDescent="0.55000000000000004">
      <c r="A595" s="20">
        <v>8543</v>
      </c>
      <c r="B595" s="2" t="s">
        <v>135</v>
      </c>
      <c r="C595" s="2" t="s">
        <v>136</v>
      </c>
      <c r="D595" s="2" t="s">
        <v>137</v>
      </c>
      <c r="E595" s="2" t="s">
        <v>363</v>
      </c>
      <c r="F595" s="2" t="s">
        <v>4944</v>
      </c>
      <c r="G595" s="2" t="s">
        <v>4931</v>
      </c>
      <c r="H595" s="2" t="s">
        <v>4952</v>
      </c>
      <c r="I595" s="20">
        <v>100</v>
      </c>
      <c r="J595" s="2" t="s">
        <v>4933</v>
      </c>
    </row>
    <row r="596" spans="1:10" ht="15.35" x14ac:dyDescent="0.55000000000000004">
      <c r="A596" s="20">
        <v>16206</v>
      </c>
      <c r="B596" s="2" t="s">
        <v>135</v>
      </c>
      <c r="C596" s="2" t="s">
        <v>136</v>
      </c>
      <c r="D596" s="2" t="s">
        <v>137</v>
      </c>
      <c r="E596" s="2" t="s">
        <v>363</v>
      </c>
      <c r="F596" s="2" t="s">
        <v>4945</v>
      </c>
      <c r="G596" s="2" t="s">
        <v>4939</v>
      </c>
      <c r="H596" s="2" t="s">
        <v>4946</v>
      </c>
      <c r="I596" s="20">
        <v>113.39</v>
      </c>
      <c r="J596" s="2" t="s">
        <v>4941</v>
      </c>
    </row>
    <row r="597" spans="1:10" ht="15.35" x14ac:dyDescent="0.55000000000000004">
      <c r="A597" s="20">
        <v>11752</v>
      </c>
      <c r="B597" s="2" t="s">
        <v>135</v>
      </c>
      <c r="C597" s="2" t="s">
        <v>136</v>
      </c>
      <c r="D597" s="2" t="s">
        <v>137</v>
      </c>
      <c r="E597" s="2" t="s">
        <v>363</v>
      </c>
      <c r="F597" s="2" t="s">
        <v>4945</v>
      </c>
      <c r="G597" s="2" t="s">
        <v>4928</v>
      </c>
      <c r="H597" s="2" t="s">
        <v>4934</v>
      </c>
      <c r="I597" s="20">
        <v>47325.34</v>
      </c>
      <c r="J597" s="2" t="s">
        <v>4935</v>
      </c>
    </row>
    <row r="598" spans="1:10" ht="15.35" x14ac:dyDescent="0.55000000000000004">
      <c r="A598" s="20">
        <v>11753</v>
      </c>
      <c r="B598" s="2" t="s">
        <v>135</v>
      </c>
      <c r="C598" s="2" t="s">
        <v>136</v>
      </c>
      <c r="D598" s="2" t="s">
        <v>137</v>
      </c>
      <c r="E598" s="2" t="s">
        <v>363</v>
      </c>
      <c r="F598" s="2" t="s">
        <v>4945</v>
      </c>
      <c r="G598" s="2" t="s">
        <v>4928</v>
      </c>
      <c r="H598" s="2" t="s">
        <v>4936</v>
      </c>
      <c r="I598" s="20">
        <v>46798.42</v>
      </c>
      <c r="J598" s="2" t="s">
        <v>4935</v>
      </c>
    </row>
    <row r="599" spans="1:10" ht="15.35" x14ac:dyDescent="0.55000000000000004">
      <c r="A599" s="20">
        <v>11754</v>
      </c>
      <c r="B599" s="2" t="s">
        <v>135</v>
      </c>
      <c r="C599" s="2" t="s">
        <v>136</v>
      </c>
      <c r="D599" s="2" t="s">
        <v>137</v>
      </c>
      <c r="E599" s="2" t="s">
        <v>363</v>
      </c>
      <c r="F599" s="2" t="s">
        <v>4945</v>
      </c>
      <c r="G599" s="2" t="s">
        <v>4931</v>
      </c>
      <c r="H599" s="2" t="s">
        <v>4937</v>
      </c>
      <c r="I599" s="20">
        <v>98.89</v>
      </c>
      <c r="J599" s="2" t="s">
        <v>4933</v>
      </c>
    </row>
    <row r="600" spans="1:10" ht="15.35" x14ac:dyDescent="0.55000000000000004">
      <c r="A600" s="20">
        <v>11755</v>
      </c>
      <c r="B600" s="2" t="s">
        <v>135</v>
      </c>
      <c r="C600" s="2" t="s">
        <v>136</v>
      </c>
      <c r="D600" s="2" t="s">
        <v>137</v>
      </c>
      <c r="E600" s="2" t="s">
        <v>363</v>
      </c>
      <c r="F600" s="2" t="s">
        <v>4945</v>
      </c>
      <c r="G600" s="2" t="s">
        <v>4939</v>
      </c>
      <c r="H600" s="2" t="s">
        <v>5032</v>
      </c>
      <c r="I600" s="20">
        <v>113.39</v>
      </c>
      <c r="J600" s="2" t="s">
        <v>4941</v>
      </c>
    </row>
    <row r="601" spans="1:10" ht="15.35" x14ac:dyDescent="0.55000000000000004">
      <c r="A601" s="20">
        <v>11756</v>
      </c>
      <c r="B601" s="2" t="s">
        <v>135</v>
      </c>
      <c r="C601" s="2" t="s">
        <v>136</v>
      </c>
      <c r="D601" s="2" t="s">
        <v>137</v>
      </c>
      <c r="E601" s="2" t="s">
        <v>363</v>
      </c>
      <c r="F601" s="2" t="s">
        <v>4945</v>
      </c>
      <c r="G601" s="2" t="s">
        <v>4928</v>
      </c>
      <c r="H601" s="2" t="s">
        <v>4955</v>
      </c>
      <c r="I601" s="20">
        <v>1.72</v>
      </c>
      <c r="J601" s="2" t="s">
        <v>4930</v>
      </c>
    </row>
    <row r="602" spans="1:10" ht="15.35" x14ac:dyDescent="0.55000000000000004">
      <c r="A602" s="20">
        <v>11758</v>
      </c>
      <c r="B602" s="2" t="s">
        <v>135</v>
      </c>
      <c r="C602" s="2" t="s">
        <v>136</v>
      </c>
      <c r="D602" s="2" t="s">
        <v>137</v>
      </c>
      <c r="E602" s="2" t="s">
        <v>363</v>
      </c>
      <c r="F602" s="2" t="s">
        <v>4945</v>
      </c>
      <c r="G602" s="2" t="s">
        <v>4931</v>
      </c>
      <c r="H602" s="2" t="s">
        <v>4952</v>
      </c>
      <c r="I602" s="20">
        <v>100</v>
      </c>
      <c r="J602" s="2" t="s">
        <v>4933</v>
      </c>
    </row>
    <row r="603" spans="1:10" ht="15.35" x14ac:dyDescent="0.55000000000000004">
      <c r="A603" s="20">
        <v>14244</v>
      </c>
      <c r="B603" s="2" t="s">
        <v>135</v>
      </c>
      <c r="C603" s="2" t="s">
        <v>136</v>
      </c>
      <c r="D603" s="2" t="s">
        <v>137</v>
      </c>
      <c r="E603" s="2" t="s">
        <v>363</v>
      </c>
      <c r="F603" s="2" t="s">
        <v>4948</v>
      </c>
      <c r="G603" s="2" t="s">
        <v>4931</v>
      </c>
      <c r="H603" s="2" t="s">
        <v>4937</v>
      </c>
      <c r="I603" s="20">
        <v>98.89</v>
      </c>
      <c r="J603" s="2" t="s">
        <v>4933</v>
      </c>
    </row>
    <row r="604" spans="1:10" ht="15.35" x14ac:dyDescent="0.55000000000000004">
      <c r="A604" s="20">
        <v>14245</v>
      </c>
      <c r="B604" s="2" t="s">
        <v>135</v>
      </c>
      <c r="C604" s="2" t="s">
        <v>136</v>
      </c>
      <c r="D604" s="2" t="s">
        <v>137</v>
      </c>
      <c r="E604" s="2" t="s">
        <v>363</v>
      </c>
      <c r="F604" s="2" t="s">
        <v>4948</v>
      </c>
      <c r="G604" s="2" t="s">
        <v>4928</v>
      </c>
      <c r="H604" s="2" t="s">
        <v>4936</v>
      </c>
      <c r="I604" s="20">
        <v>46798.42</v>
      </c>
      <c r="J604" s="2" t="s">
        <v>4935</v>
      </c>
    </row>
    <row r="605" spans="1:10" ht="15.35" x14ac:dyDescent="0.55000000000000004">
      <c r="A605" s="20">
        <v>14246</v>
      </c>
      <c r="B605" s="2" t="s">
        <v>135</v>
      </c>
      <c r="C605" s="2" t="s">
        <v>136</v>
      </c>
      <c r="D605" s="2" t="s">
        <v>137</v>
      </c>
      <c r="E605" s="2" t="s">
        <v>363</v>
      </c>
      <c r="F605" s="2" t="s">
        <v>4948</v>
      </c>
      <c r="G605" s="2" t="s">
        <v>4928</v>
      </c>
      <c r="H605" s="2" t="s">
        <v>4934</v>
      </c>
      <c r="I605" s="20">
        <v>47325.34</v>
      </c>
      <c r="J605" s="2" t="s">
        <v>4935</v>
      </c>
    </row>
    <row r="606" spans="1:10" ht="15.35" x14ac:dyDescent="0.55000000000000004">
      <c r="A606" s="20">
        <v>14252</v>
      </c>
      <c r="B606" s="2" t="s">
        <v>135</v>
      </c>
      <c r="C606" s="2" t="s">
        <v>136</v>
      </c>
      <c r="D606" s="2" t="s">
        <v>137</v>
      </c>
      <c r="E606" s="2" t="s">
        <v>363</v>
      </c>
      <c r="F606" s="2" t="s">
        <v>4948</v>
      </c>
      <c r="G606" s="2" t="s">
        <v>4939</v>
      </c>
      <c r="H606" s="2" t="s">
        <v>4946</v>
      </c>
      <c r="I606" s="20">
        <v>181.46</v>
      </c>
      <c r="J606" s="2" t="s">
        <v>4941</v>
      </c>
    </row>
    <row r="607" spans="1:10" ht="15.35" x14ac:dyDescent="0.55000000000000004">
      <c r="A607" s="20">
        <v>14264</v>
      </c>
      <c r="B607" s="2" t="s">
        <v>135</v>
      </c>
      <c r="C607" s="2" t="s">
        <v>136</v>
      </c>
      <c r="D607" s="2" t="s">
        <v>137</v>
      </c>
      <c r="E607" s="2" t="s">
        <v>363</v>
      </c>
      <c r="F607" s="2" t="s">
        <v>4948</v>
      </c>
      <c r="G607" s="2" t="s">
        <v>4928</v>
      </c>
      <c r="H607" s="2" t="s">
        <v>4955</v>
      </c>
      <c r="I607" s="20">
        <v>1.48</v>
      </c>
      <c r="J607" s="2" t="s">
        <v>4930</v>
      </c>
    </row>
    <row r="608" spans="1:10" ht="15.35" x14ac:dyDescent="0.55000000000000004">
      <c r="A608" s="20">
        <v>14274</v>
      </c>
      <c r="B608" s="2" t="s">
        <v>135</v>
      </c>
      <c r="C608" s="2" t="s">
        <v>136</v>
      </c>
      <c r="D608" s="2" t="s">
        <v>137</v>
      </c>
      <c r="E608" s="2" t="s">
        <v>363</v>
      </c>
      <c r="F608" s="2" t="s">
        <v>4948</v>
      </c>
      <c r="G608" s="2" t="s">
        <v>4931</v>
      </c>
      <c r="H608" s="2" t="s">
        <v>4952</v>
      </c>
      <c r="I608" s="20">
        <v>100</v>
      </c>
      <c r="J608" s="2" t="s">
        <v>4933</v>
      </c>
    </row>
    <row r="609" spans="1:10" ht="15.35" x14ac:dyDescent="0.55000000000000004">
      <c r="A609" s="20">
        <v>17494</v>
      </c>
      <c r="B609" s="2" t="s">
        <v>135</v>
      </c>
      <c r="C609" s="2" t="s">
        <v>136</v>
      </c>
      <c r="D609" s="2" t="s">
        <v>137</v>
      </c>
      <c r="E609" s="2" t="s">
        <v>363</v>
      </c>
      <c r="F609" s="2" t="s">
        <v>4949</v>
      </c>
      <c r="G609" s="2" t="s">
        <v>4931</v>
      </c>
      <c r="H609" s="2" t="s">
        <v>4952</v>
      </c>
      <c r="I609" s="20">
        <v>100</v>
      </c>
      <c r="J609" s="2" t="s">
        <v>4933</v>
      </c>
    </row>
    <row r="610" spans="1:10" ht="15.35" x14ac:dyDescent="0.55000000000000004">
      <c r="A610" s="20">
        <v>17533</v>
      </c>
      <c r="B610" s="2" t="s">
        <v>135</v>
      </c>
      <c r="C610" s="2" t="s">
        <v>136</v>
      </c>
      <c r="D610" s="2" t="s">
        <v>137</v>
      </c>
      <c r="E610" s="2" t="s">
        <v>363</v>
      </c>
      <c r="F610" s="2" t="s">
        <v>4949</v>
      </c>
      <c r="G610" s="2" t="s">
        <v>4928</v>
      </c>
      <c r="H610" s="2" t="s">
        <v>4934</v>
      </c>
      <c r="I610" s="20">
        <v>47335.33</v>
      </c>
      <c r="J610" s="2" t="s">
        <v>4935</v>
      </c>
    </row>
    <row r="611" spans="1:10" ht="15.35" x14ac:dyDescent="0.55000000000000004">
      <c r="A611" s="20">
        <v>17534</v>
      </c>
      <c r="B611" s="2" t="s">
        <v>135</v>
      </c>
      <c r="C611" s="2" t="s">
        <v>136</v>
      </c>
      <c r="D611" s="2" t="s">
        <v>137</v>
      </c>
      <c r="E611" s="2" t="s">
        <v>363</v>
      </c>
      <c r="F611" s="2" t="s">
        <v>4949</v>
      </c>
      <c r="G611" s="2" t="s">
        <v>4928</v>
      </c>
      <c r="H611" s="2" t="s">
        <v>4936</v>
      </c>
      <c r="I611" s="20">
        <v>46065.68</v>
      </c>
      <c r="J611" s="2" t="s">
        <v>4935</v>
      </c>
    </row>
    <row r="612" spans="1:10" ht="15.35" x14ac:dyDescent="0.55000000000000004">
      <c r="A612" s="20">
        <v>17536</v>
      </c>
      <c r="B612" s="2" t="s">
        <v>135</v>
      </c>
      <c r="C612" s="2" t="s">
        <v>136</v>
      </c>
      <c r="D612" s="2" t="s">
        <v>137</v>
      </c>
      <c r="E612" s="2" t="s">
        <v>363</v>
      </c>
      <c r="F612" s="2" t="s">
        <v>4949</v>
      </c>
      <c r="G612" s="2" t="s">
        <v>4931</v>
      </c>
      <c r="H612" s="2" t="s">
        <v>4937</v>
      </c>
      <c r="I612" s="20">
        <v>97.32</v>
      </c>
      <c r="J612" s="2" t="s">
        <v>4933</v>
      </c>
    </row>
    <row r="613" spans="1:10" ht="15.35" x14ac:dyDescent="0.55000000000000004">
      <c r="A613" s="20">
        <v>17537</v>
      </c>
      <c r="B613" s="2" t="s">
        <v>135</v>
      </c>
      <c r="C613" s="2" t="s">
        <v>136</v>
      </c>
      <c r="D613" s="2" t="s">
        <v>137</v>
      </c>
      <c r="E613" s="2" t="s">
        <v>363</v>
      </c>
      <c r="F613" s="2" t="s">
        <v>4949</v>
      </c>
      <c r="G613" s="2" t="s">
        <v>4928</v>
      </c>
      <c r="H613" s="2" t="s">
        <v>4955</v>
      </c>
      <c r="I613" s="20">
        <v>1.5</v>
      </c>
      <c r="J613" s="2" t="s">
        <v>4930</v>
      </c>
    </row>
    <row r="614" spans="1:10" ht="15.35" x14ac:dyDescent="0.55000000000000004">
      <c r="A614" s="20">
        <v>17548</v>
      </c>
      <c r="B614" s="2" t="s">
        <v>135</v>
      </c>
      <c r="C614" s="2" t="s">
        <v>136</v>
      </c>
      <c r="D614" s="2" t="s">
        <v>137</v>
      </c>
      <c r="E614" s="2" t="s">
        <v>363</v>
      </c>
      <c r="F614" s="2" t="s">
        <v>4949</v>
      </c>
      <c r="G614" s="2" t="s">
        <v>4939</v>
      </c>
      <c r="H614" s="2" t="s">
        <v>4946</v>
      </c>
      <c r="I614" s="20">
        <v>193.23</v>
      </c>
      <c r="J614" s="2" t="s">
        <v>4941</v>
      </c>
    </row>
    <row r="615" spans="1:10" ht="15.35" x14ac:dyDescent="0.55000000000000004">
      <c r="A615" s="20">
        <v>18190</v>
      </c>
      <c r="B615" s="2" t="s">
        <v>135</v>
      </c>
      <c r="C615" s="2" t="s">
        <v>136</v>
      </c>
      <c r="D615" s="2" t="s">
        <v>137</v>
      </c>
      <c r="E615" s="2" t="s">
        <v>363</v>
      </c>
      <c r="F615" s="2" t="s">
        <v>4950</v>
      </c>
      <c r="G615" s="2" t="s">
        <v>4931</v>
      </c>
      <c r="H615" s="2" t="s">
        <v>4952</v>
      </c>
      <c r="I615" s="20">
        <v>100</v>
      </c>
      <c r="J615" s="2" t="s">
        <v>4933</v>
      </c>
    </row>
    <row r="616" spans="1:10" ht="15.35" x14ac:dyDescent="0.55000000000000004">
      <c r="A616" s="20">
        <v>18201</v>
      </c>
      <c r="B616" s="2" t="s">
        <v>135</v>
      </c>
      <c r="C616" s="2" t="s">
        <v>136</v>
      </c>
      <c r="D616" s="2" t="s">
        <v>137</v>
      </c>
      <c r="E616" s="2" t="s">
        <v>363</v>
      </c>
      <c r="F616" s="2" t="s">
        <v>4950</v>
      </c>
      <c r="G616" s="2" t="s">
        <v>4928</v>
      </c>
      <c r="H616" s="2" t="s">
        <v>4934</v>
      </c>
      <c r="I616" s="20">
        <v>47335.33</v>
      </c>
      <c r="J616" s="2" t="s">
        <v>4935</v>
      </c>
    </row>
    <row r="617" spans="1:10" ht="15.35" x14ac:dyDescent="0.55000000000000004">
      <c r="A617" s="20">
        <v>18202</v>
      </c>
      <c r="B617" s="2" t="s">
        <v>135</v>
      </c>
      <c r="C617" s="2" t="s">
        <v>136</v>
      </c>
      <c r="D617" s="2" t="s">
        <v>137</v>
      </c>
      <c r="E617" s="2" t="s">
        <v>363</v>
      </c>
      <c r="F617" s="2" t="s">
        <v>4950</v>
      </c>
      <c r="G617" s="2" t="s">
        <v>4928</v>
      </c>
      <c r="H617" s="2" t="s">
        <v>4936</v>
      </c>
      <c r="I617" s="20">
        <v>46567.82</v>
      </c>
      <c r="J617" s="2" t="s">
        <v>4935</v>
      </c>
    </row>
    <row r="618" spans="1:10" ht="15.35" x14ac:dyDescent="0.55000000000000004">
      <c r="A618" s="20">
        <v>18203</v>
      </c>
      <c r="B618" s="2" t="s">
        <v>135</v>
      </c>
      <c r="C618" s="2" t="s">
        <v>136</v>
      </c>
      <c r="D618" s="2" t="s">
        <v>137</v>
      </c>
      <c r="E618" s="2" t="s">
        <v>363</v>
      </c>
      <c r="F618" s="2" t="s">
        <v>4950</v>
      </c>
      <c r="G618" s="2" t="s">
        <v>4931</v>
      </c>
      <c r="H618" s="2" t="s">
        <v>4937</v>
      </c>
      <c r="I618" s="20">
        <v>98.38</v>
      </c>
      <c r="J618" s="2" t="s">
        <v>4933</v>
      </c>
    </row>
    <row r="619" spans="1:10" ht="15.35" x14ac:dyDescent="0.55000000000000004">
      <c r="A619" s="20">
        <v>18204</v>
      </c>
      <c r="B619" s="2" t="s">
        <v>135</v>
      </c>
      <c r="C619" s="2" t="s">
        <v>136</v>
      </c>
      <c r="D619" s="2" t="s">
        <v>137</v>
      </c>
      <c r="E619" s="2" t="s">
        <v>363</v>
      </c>
      <c r="F619" s="2" t="s">
        <v>4950</v>
      </c>
      <c r="G619" s="2" t="s">
        <v>4939</v>
      </c>
      <c r="H619" s="2" t="s">
        <v>4946</v>
      </c>
      <c r="I619" s="20">
        <v>144.83000000000001</v>
      </c>
      <c r="J619" s="2" t="s">
        <v>4941</v>
      </c>
    </row>
    <row r="620" spans="1:10" ht="15.35" x14ac:dyDescent="0.55000000000000004">
      <c r="A620" s="20">
        <v>18205</v>
      </c>
      <c r="B620" s="2" t="s">
        <v>135</v>
      </c>
      <c r="C620" s="2" t="s">
        <v>136</v>
      </c>
      <c r="D620" s="2" t="s">
        <v>137</v>
      </c>
      <c r="E620" s="2" t="s">
        <v>363</v>
      </c>
      <c r="F620" s="2" t="s">
        <v>4950</v>
      </c>
      <c r="G620" s="2" t="s">
        <v>4928</v>
      </c>
      <c r="H620" s="2" t="s">
        <v>4955</v>
      </c>
      <c r="I620" s="20">
        <v>2.0299999999999998</v>
      </c>
      <c r="J620" s="2" t="s">
        <v>4930</v>
      </c>
    </row>
    <row r="621" spans="1:10" ht="15.35" x14ac:dyDescent="0.55000000000000004">
      <c r="A621" s="20">
        <v>14281</v>
      </c>
      <c r="B621" s="2" t="s">
        <v>135</v>
      </c>
      <c r="C621" s="2" t="s">
        <v>136</v>
      </c>
      <c r="D621" s="2" t="s">
        <v>137</v>
      </c>
      <c r="E621" s="2" t="s">
        <v>372</v>
      </c>
      <c r="F621" s="2" t="s">
        <v>4947</v>
      </c>
      <c r="G621" s="2" t="s">
        <v>4931</v>
      </c>
      <c r="H621" s="2" t="s">
        <v>4952</v>
      </c>
      <c r="I621" s="20">
        <v>100</v>
      </c>
      <c r="J621" s="2" t="s">
        <v>4933</v>
      </c>
    </row>
    <row r="622" spans="1:10" ht="15.35" x14ac:dyDescent="0.55000000000000004">
      <c r="A622" s="20">
        <v>14282</v>
      </c>
      <c r="B622" s="2" t="s">
        <v>135</v>
      </c>
      <c r="C622" s="2" t="s">
        <v>136</v>
      </c>
      <c r="D622" s="2" t="s">
        <v>137</v>
      </c>
      <c r="E622" s="2" t="s">
        <v>372</v>
      </c>
      <c r="F622" s="2" t="s">
        <v>4947</v>
      </c>
      <c r="G622" s="2" t="s">
        <v>4939</v>
      </c>
      <c r="H622" s="2" t="s">
        <v>4946</v>
      </c>
      <c r="I622" s="20">
        <v>194.19</v>
      </c>
      <c r="J622" s="2" t="s">
        <v>4941</v>
      </c>
    </row>
    <row r="623" spans="1:10" ht="15.35" x14ac:dyDescent="0.55000000000000004">
      <c r="A623" s="20">
        <v>8307</v>
      </c>
      <c r="B623" s="2" t="s">
        <v>135</v>
      </c>
      <c r="C623" s="2" t="s">
        <v>136</v>
      </c>
      <c r="D623" s="2" t="s">
        <v>137</v>
      </c>
      <c r="E623" s="2" t="s">
        <v>372</v>
      </c>
      <c r="F623" s="2" t="s">
        <v>4947</v>
      </c>
      <c r="G623" s="2" t="s">
        <v>4928</v>
      </c>
      <c r="H623" s="2" t="s">
        <v>4934</v>
      </c>
      <c r="I623" s="20">
        <v>51921.53</v>
      </c>
      <c r="J623" s="2" t="s">
        <v>4935</v>
      </c>
    </row>
    <row r="624" spans="1:10" ht="15.35" x14ac:dyDescent="0.55000000000000004">
      <c r="A624" s="20">
        <v>8308</v>
      </c>
      <c r="B624" s="2" t="s">
        <v>135</v>
      </c>
      <c r="C624" s="2" t="s">
        <v>136</v>
      </c>
      <c r="D624" s="2" t="s">
        <v>137</v>
      </c>
      <c r="E624" s="2" t="s">
        <v>372</v>
      </c>
      <c r="F624" s="2" t="s">
        <v>4947</v>
      </c>
      <c r="G624" s="2" t="s">
        <v>4928</v>
      </c>
      <c r="H624" s="2" t="s">
        <v>4936</v>
      </c>
      <c r="I624" s="20">
        <v>50394.05</v>
      </c>
      <c r="J624" s="2" t="s">
        <v>4935</v>
      </c>
    </row>
    <row r="625" spans="1:10" ht="15.35" x14ac:dyDescent="0.55000000000000004">
      <c r="A625" s="20">
        <v>8309</v>
      </c>
      <c r="B625" s="2" t="s">
        <v>135</v>
      </c>
      <c r="C625" s="2" t="s">
        <v>136</v>
      </c>
      <c r="D625" s="2" t="s">
        <v>137</v>
      </c>
      <c r="E625" s="2" t="s">
        <v>372</v>
      </c>
      <c r="F625" s="2" t="s">
        <v>4947</v>
      </c>
      <c r="G625" s="2" t="s">
        <v>4931</v>
      </c>
      <c r="H625" s="2" t="s">
        <v>4937</v>
      </c>
      <c r="I625" s="20">
        <v>97.06</v>
      </c>
      <c r="J625" s="2" t="s">
        <v>4933</v>
      </c>
    </row>
    <row r="626" spans="1:10" ht="15.35" x14ac:dyDescent="0.55000000000000004">
      <c r="A626" s="20">
        <v>8310</v>
      </c>
      <c r="B626" s="2" t="s">
        <v>135</v>
      </c>
      <c r="C626" s="2" t="s">
        <v>136</v>
      </c>
      <c r="D626" s="2" t="s">
        <v>137</v>
      </c>
      <c r="E626" s="2" t="s">
        <v>372</v>
      </c>
      <c r="F626" s="2" t="s">
        <v>4947</v>
      </c>
      <c r="G626" s="2" t="s">
        <v>4928</v>
      </c>
      <c r="H626" s="2" t="s">
        <v>4955</v>
      </c>
      <c r="I626" s="20">
        <v>1.75</v>
      </c>
      <c r="J626" s="2" t="s">
        <v>4930</v>
      </c>
    </row>
    <row r="627" spans="1:10" ht="15.35" x14ac:dyDescent="0.55000000000000004">
      <c r="A627" s="20">
        <v>8296</v>
      </c>
      <c r="B627" s="2" t="s">
        <v>135</v>
      </c>
      <c r="C627" s="2" t="s">
        <v>136</v>
      </c>
      <c r="D627" s="2" t="s">
        <v>137</v>
      </c>
      <c r="E627" s="2" t="s">
        <v>372</v>
      </c>
      <c r="F627" s="2" t="s">
        <v>4943</v>
      </c>
      <c r="G627" s="2" t="s">
        <v>4931</v>
      </c>
      <c r="H627" s="2" t="s">
        <v>4952</v>
      </c>
      <c r="I627" s="20">
        <v>99.99</v>
      </c>
      <c r="J627" s="2" t="s">
        <v>4933</v>
      </c>
    </row>
    <row r="628" spans="1:10" ht="15.35" x14ac:dyDescent="0.55000000000000004">
      <c r="A628" s="20">
        <v>8313</v>
      </c>
      <c r="B628" s="2" t="s">
        <v>135</v>
      </c>
      <c r="C628" s="2" t="s">
        <v>136</v>
      </c>
      <c r="D628" s="2" t="s">
        <v>137</v>
      </c>
      <c r="E628" s="2" t="s">
        <v>372</v>
      </c>
      <c r="F628" s="2" t="s">
        <v>4943</v>
      </c>
      <c r="G628" s="2" t="s">
        <v>4928</v>
      </c>
      <c r="H628" s="2" t="s">
        <v>4955</v>
      </c>
      <c r="I628" s="20">
        <v>1.71</v>
      </c>
      <c r="J628" s="2" t="s">
        <v>4930</v>
      </c>
    </row>
    <row r="629" spans="1:10" ht="15.35" x14ac:dyDescent="0.55000000000000004">
      <c r="A629" s="20">
        <v>8315</v>
      </c>
      <c r="B629" s="2" t="s">
        <v>135</v>
      </c>
      <c r="C629" s="2" t="s">
        <v>136</v>
      </c>
      <c r="D629" s="2" t="s">
        <v>137</v>
      </c>
      <c r="E629" s="2" t="s">
        <v>372</v>
      </c>
      <c r="F629" s="2" t="s">
        <v>4943</v>
      </c>
      <c r="G629" s="2" t="s">
        <v>4939</v>
      </c>
      <c r="H629" s="2" t="s">
        <v>5032</v>
      </c>
      <c r="I629" s="20">
        <v>225.09</v>
      </c>
      <c r="J629" s="2" t="s">
        <v>4941</v>
      </c>
    </row>
    <row r="630" spans="1:10" ht="15.35" x14ac:dyDescent="0.55000000000000004">
      <c r="A630" s="20">
        <v>16210</v>
      </c>
      <c r="B630" s="2" t="s">
        <v>135</v>
      </c>
      <c r="C630" s="2" t="s">
        <v>136</v>
      </c>
      <c r="D630" s="2" t="s">
        <v>137</v>
      </c>
      <c r="E630" s="2" t="s">
        <v>372</v>
      </c>
      <c r="F630" s="2" t="s">
        <v>4943</v>
      </c>
      <c r="G630" s="2" t="s">
        <v>4939</v>
      </c>
      <c r="H630" s="2" t="s">
        <v>4946</v>
      </c>
      <c r="I630" s="20">
        <v>225.09</v>
      </c>
      <c r="J630" s="2" t="s">
        <v>4941</v>
      </c>
    </row>
    <row r="631" spans="1:10" ht="15.35" x14ac:dyDescent="0.55000000000000004">
      <c r="A631" s="20">
        <v>8334</v>
      </c>
      <c r="B631" s="2" t="s">
        <v>135</v>
      </c>
      <c r="C631" s="2" t="s">
        <v>136</v>
      </c>
      <c r="D631" s="2" t="s">
        <v>137</v>
      </c>
      <c r="E631" s="2" t="s">
        <v>372</v>
      </c>
      <c r="F631" s="2" t="s">
        <v>4943</v>
      </c>
      <c r="G631" s="2" t="s">
        <v>4931</v>
      </c>
      <c r="H631" s="2" t="s">
        <v>4937</v>
      </c>
      <c r="I631" s="20">
        <v>95.93</v>
      </c>
      <c r="J631" s="2" t="s">
        <v>4933</v>
      </c>
    </row>
    <row r="632" spans="1:10" ht="15.35" x14ac:dyDescent="0.55000000000000004">
      <c r="A632" s="20">
        <v>8420</v>
      </c>
      <c r="B632" s="2" t="s">
        <v>135</v>
      </c>
      <c r="C632" s="2" t="s">
        <v>136</v>
      </c>
      <c r="D632" s="2" t="s">
        <v>137</v>
      </c>
      <c r="E632" s="2" t="s">
        <v>372</v>
      </c>
      <c r="F632" s="2" t="s">
        <v>4943</v>
      </c>
      <c r="G632" s="2" t="s">
        <v>4928</v>
      </c>
      <c r="H632" s="2" t="s">
        <v>4936</v>
      </c>
      <c r="I632" s="20">
        <v>49750.76</v>
      </c>
      <c r="J632" s="2" t="s">
        <v>4935</v>
      </c>
    </row>
    <row r="633" spans="1:10" ht="15.35" x14ac:dyDescent="0.55000000000000004">
      <c r="A633" s="20">
        <v>8503</v>
      </c>
      <c r="B633" s="2" t="s">
        <v>135</v>
      </c>
      <c r="C633" s="2" t="s">
        <v>136</v>
      </c>
      <c r="D633" s="2" t="s">
        <v>137</v>
      </c>
      <c r="E633" s="2" t="s">
        <v>372</v>
      </c>
      <c r="F633" s="2" t="s">
        <v>4943</v>
      </c>
      <c r="G633" s="2" t="s">
        <v>4928</v>
      </c>
      <c r="H633" s="2" t="s">
        <v>4934</v>
      </c>
      <c r="I633" s="20">
        <v>51863.53</v>
      </c>
      <c r="J633" s="2" t="s">
        <v>4935</v>
      </c>
    </row>
    <row r="634" spans="1:10" ht="15.35" x14ac:dyDescent="0.55000000000000004">
      <c r="A634" s="20">
        <v>8527</v>
      </c>
      <c r="B634" s="2" t="s">
        <v>135</v>
      </c>
      <c r="C634" s="2" t="s">
        <v>136</v>
      </c>
      <c r="D634" s="2" t="s">
        <v>137</v>
      </c>
      <c r="E634" s="2" t="s">
        <v>372</v>
      </c>
      <c r="F634" s="2" t="s">
        <v>4944</v>
      </c>
      <c r="G634" s="2" t="s">
        <v>4931</v>
      </c>
      <c r="H634" s="2" t="s">
        <v>4952</v>
      </c>
      <c r="I634" s="20">
        <v>100</v>
      </c>
      <c r="J634" s="2" t="s">
        <v>4933</v>
      </c>
    </row>
    <row r="635" spans="1:10" ht="15.35" x14ac:dyDescent="0.55000000000000004">
      <c r="A635" s="20">
        <v>8532</v>
      </c>
      <c r="B635" s="2" t="s">
        <v>135</v>
      </c>
      <c r="C635" s="2" t="s">
        <v>136</v>
      </c>
      <c r="D635" s="2" t="s">
        <v>137</v>
      </c>
      <c r="E635" s="2" t="s">
        <v>372</v>
      </c>
      <c r="F635" s="2" t="s">
        <v>4944</v>
      </c>
      <c r="G635" s="2" t="s">
        <v>4928</v>
      </c>
      <c r="H635" s="2" t="s">
        <v>4934</v>
      </c>
      <c r="I635" s="20">
        <v>51863.53</v>
      </c>
      <c r="J635" s="2" t="s">
        <v>4935</v>
      </c>
    </row>
    <row r="636" spans="1:10" ht="15.35" x14ac:dyDescent="0.55000000000000004">
      <c r="A636" s="20">
        <v>8533</v>
      </c>
      <c r="B636" s="2" t="s">
        <v>135</v>
      </c>
      <c r="C636" s="2" t="s">
        <v>136</v>
      </c>
      <c r="D636" s="2" t="s">
        <v>137</v>
      </c>
      <c r="E636" s="2" t="s">
        <v>372</v>
      </c>
      <c r="F636" s="2" t="s">
        <v>4944</v>
      </c>
      <c r="G636" s="2" t="s">
        <v>4928</v>
      </c>
      <c r="H636" s="2" t="s">
        <v>4936</v>
      </c>
      <c r="I636" s="20">
        <v>50787.54</v>
      </c>
      <c r="J636" s="2" t="s">
        <v>4935</v>
      </c>
    </row>
    <row r="637" spans="1:10" ht="15.35" x14ac:dyDescent="0.55000000000000004">
      <c r="A637" s="20">
        <v>8534</v>
      </c>
      <c r="B637" s="2" t="s">
        <v>135</v>
      </c>
      <c r="C637" s="2" t="s">
        <v>136</v>
      </c>
      <c r="D637" s="2" t="s">
        <v>137</v>
      </c>
      <c r="E637" s="2" t="s">
        <v>372</v>
      </c>
      <c r="F637" s="2" t="s">
        <v>4944</v>
      </c>
      <c r="G637" s="2" t="s">
        <v>4931</v>
      </c>
      <c r="H637" s="2" t="s">
        <v>4937</v>
      </c>
      <c r="I637" s="20">
        <v>97.93</v>
      </c>
      <c r="J637" s="2" t="s">
        <v>4933</v>
      </c>
    </row>
    <row r="638" spans="1:10" ht="15.35" x14ac:dyDescent="0.55000000000000004">
      <c r="A638" s="20">
        <v>8535</v>
      </c>
      <c r="B638" s="2" t="s">
        <v>135</v>
      </c>
      <c r="C638" s="2" t="s">
        <v>136</v>
      </c>
      <c r="D638" s="2" t="s">
        <v>137</v>
      </c>
      <c r="E638" s="2" t="s">
        <v>372</v>
      </c>
      <c r="F638" s="2" t="s">
        <v>4944</v>
      </c>
      <c r="G638" s="2" t="s">
        <v>4939</v>
      </c>
      <c r="H638" s="2" t="s">
        <v>5032</v>
      </c>
      <c r="I638" s="20">
        <v>151.9</v>
      </c>
      <c r="J638" s="2" t="s">
        <v>4941</v>
      </c>
    </row>
    <row r="639" spans="1:10" ht="15.35" x14ac:dyDescent="0.55000000000000004">
      <c r="A639" s="20">
        <v>8536</v>
      </c>
      <c r="B639" s="2" t="s">
        <v>135</v>
      </c>
      <c r="C639" s="2" t="s">
        <v>136</v>
      </c>
      <c r="D639" s="2" t="s">
        <v>137</v>
      </c>
      <c r="E639" s="2" t="s">
        <v>372</v>
      </c>
      <c r="F639" s="2" t="s">
        <v>4944</v>
      </c>
      <c r="G639" s="2" t="s">
        <v>4928</v>
      </c>
      <c r="H639" s="2" t="s">
        <v>4955</v>
      </c>
      <c r="I639" s="20">
        <v>1.71</v>
      </c>
      <c r="J639" s="2" t="s">
        <v>4930</v>
      </c>
    </row>
    <row r="640" spans="1:10" ht="15.35" x14ac:dyDescent="0.55000000000000004">
      <c r="A640" s="20">
        <v>16213</v>
      </c>
      <c r="B640" s="2" t="s">
        <v>135</v>
      </c>
      <c r="C640" s="2" t="s">
        <v>136</v>
      </c>
      <c r="D640" s="2" t="s">
        <v>137</v>
      </c>
      <c r="E640" s="2" t="s">
        <v>372</v>
      </c>
      <c r="F640" s="2" t="s">
        <v>4944</v>
      </c>
      <c r="G640" s="2" t="s">
        <v>4939</v>
      </c>
      <c r="H640" s="2" t="s">
        <v>4946</v>
      </c>
      <c r="I640" s="20">
        <v>151.9</v>
      </c>
      <c r="J640" s="2" t="s">
        <v>4941</v>
      </c>
    </row>
    <row r="641" spans="1:10" ht="15.35" x14ac:dyDescent="0.55000000000000004">
      <c r="A641" s="20">
        <v>16208</v>
      </c>
      <c r="B641" s="2" t="s">
        <v>135</v>
      </c>
      <c r="C641" s="2" t="s">
        <v>136</v>
      </c>
      <c r="D641" s="2" t="s">
        <v>137</v>
      </c>
      <c r="E641" s="2" t="s">
        <v>372</v>
      </c>
      <c r="F641" s="2" t="s">
        <v>4945</v>
      </c>
      <c r="G641" s="2" t="s">
        <v>4939</v>
      </c>
      <c r="H641" s="2" t="s">
        <v>4946</v>
      </c>
      <c r="I641" s="20">
        <v>141.65</v>
      </c>
      <c r="J641" s="2" t="s">
        <v>4941</v>
      </c>
    </row>
    <row r="642" spans="1:10" ht="15.35" x14ac:dyDescent="0.55000000000000004">
      <c r="A642" s="20">
        <v>11746</v>
      </c>
      <c r="B642" s="2" t="s">
        <v>135</v>
      </c>
      <c r="C642" s="2" t="s">
        <v>136</v>
      </c>
      <c r="D642" s="2" t="s">
        <v>137</v>
      </c>
      <c r="E642" s="2" t="s">
        <v>372</v>
      </c>
      <c r="F642" s="2" t="s">
        <v>4945</v>
      </c>
      <c r="G642" s="2" t="s">
        <v>4928</v>
      </c>
      <c r="H642" s="2" t="s">
        <v>4934</v>
      </c>
      <c r="I642" s="20">
        <v>51863.53</v>
      </c>
      <c r="J642" s="2" t="s">
        <v>4935</v>
      </c>
    </row>
    <row r="643" spans="1:10" ht="15.35" x14ac:dyDescent="0.55000000000000004">
      <c r="A643" s="20">
        <v>11747</v>
      </c>
      <c r="B643" s="2" t="s">
        <v>135</v>
      </c>
      <c r="C643" s="2" t="s">
        <v>136</v>
      </c>
      <c r="D643" s="2" t="s">
        <v>137</v>
      </c>
      <c r="E643" s="2" t="s">
        <v>372</v>
      </c>
      <c r="F643" s="2" t="s">
        <v>4945</v>
      </c>
      <c r="G643" s="2" t="s">
        <v>4928</v>
      </c>
      <c r="H643" s="2" t="s">
        <v>4936</v>
      </c>
      <c r="I643" s="20">
        <v>51075.5</v>
      </c>
      <c r="J643" s="2" t="s">
        <v>4935</v>
      </c>
    </row>
    <row r="644" spans="1:10" ht="15.35" x14ac:dyDescent="0.55000000000000004">
      <c r="A644" s="20">
        <v>11748</v>
      </c>
      <c r="B644" s="2" t="s">
        <v>135</v>
      </c>
      <c r="C644" s="2" t="s">
        <v>136</v>
      </c>
      <c r="D644" s="2" t="s">
        <v>137</v>
      </c>
      <c r="E644" s="2" t="s">
        <v>372</v>
      </c>
      <c r="F644" s="2" t="s">
        <v>4945</v>
      </c>
      <c r="G644" s="2" t="s">
        <v>4931</v>
      </c>
      <c r="H644" s="2" t="s">
        <v>4937</v>
      </c>
      <c r="I644" s="20">
        <v>98.48</v>
      </c>
      <c r="J644" s="2" t="s">
        <v>4933</v>
      </c>
    </row>
    <row r="645" spans="1:10" ht="15.35" x14ac:dyDescent="0.55000000000000004">
      <c r="A645" s="20">
        <v>11749</v>
      </c>
      <c r="B645" s="2" t="s">
        <v>135</v>
      </c>
      <c r="C645" s="2" t="s">
        <v>136</v>
      </c>
      <c r="D645" s="2" t="s">
        <v>137</v>
      </c>
      <c r="E645" s="2" t="s">
        <v>372</v>
      </c>
      <c r="F645" s="2" t="s">
        <v>4945</v>
      </c>
      <c r="G645" s="2" t="s">
        <v>4939</v>
      </c>
      <c r="H645" s="2" t="s">
        <v>5032</v>
      </c>
      <c r="I645" s="20">
        <v>141.65</v>
      </c>
      <c r="J645" s="2" t="s">
        <v>4941</v>
      </c>
    </row>
    <row r="646" spans="1:10" ht="15.35" x14ac:dyDescent="0.55000000000000004">
      <c r="A646" s="20">
        <v>11750</v>
      </c>
      <c r="B646" s="2" t="s">
        <v>135</v>
      </c>
      <c r="C646" s="2" t="s">
        <v>136</v>
      </c>
      <c r="D646" s="2" t="s">
        <v>137</v>
      </c>
      <c r="E646" s="2" t="s">
        <v>372</v>
      </c>
      <c r="F646" s="2" t="s">
        <v>4945</v>
      </c>
      <c r="G646" s="2" t="s">
        <v>4928</v>
      </c>
      <c r="H646" s="2" t="s">
        <v>4955</v>
      </c>
      <c r="I646" s="20">
        <v>1.86</v>
      </c>
      <c r="J646" s="2" t="s">
        <v>4930</v>
      </c>
    </row>
    <row r="647" spans="1:10" ht="15.35" x14ac:dyDescent="0.55000000000000004">
      <c r="A647" s="20">
        <v>11751</v>
      </c>
      <c r="B647" s="2" t="s">
        <v>135</v>
      </c>
      <c r="C647" s="2" t="s">
        <v>136</v>
      </c>
      <c r="D647" s="2" t="s">
        <v>137</v>
      </c>
      <c r="E647" s="2" t="s">
        <v>372</v>
      </c>
      <c r="F647" s="2" t="s">
        <v>4945</v>
      </c>
      <c r="G647" s="2" t="s">
        <v>4931</v>
      </c>
      <c r="H647" s="2" t="s">
        <v>4952</v>
      </c>
      <c r="I647" s="20">
        <v>100</v>
      </c>
      <c r="J647" s="2" t="s">
        <v>4933</v>
      </c>
    </row>
    <row r="648" spans="1:10" ht="15.35" x14ac:dyDescent="0.55000000000000004">
      <c r="A648" s="20">
        <v>14247</v>
      </c>
      <c r="B648" s="2" t="s">
        <v>135</v>
      </c>
      <c r="C648" s="2" t="s">
        <v>136</v>
      </c>
      <c r="D648" s="2" t="s">
        <v>137</v>
      </c>
      <c r="E648" s="2" t="s">
        <v>372</v>
      </c>
      <c r="F648" s="2" t="s">
        <v>4948</v>
      </c>
      <c r="G648" s="2" t="s">
        <v>4931</v>
      </c>
      <c r="H648" s="2" t="s">
        <v>4952</v>
      </c>
      <c r="I648" s="20">
        <v>100</v>
      </c>
      <c r="J648" s="2" t="s">
        <v>4933</v>
      </c>
    </row>
    <row r="649" spans="1:10" ht="15.35" x14ac:dyDescent="0.55000000000000004">
      <c r="A649" s="20">
        <v>14248</v>
      </c>
      <c r="B649" s="2" t="s">
        <v>135</v>
      </c>
      <c r="C649" s="2" t="s">
        <v>136</v>
      </c>
      <c r="D649" s="2" t="s">
        <v>137</v>
      </c>
      <c r="E649" s="2" t="s">
        <v>372</v>
      </c>
      <c r="F649" s="2" t="s">
        <v>4948</v>
      </c>
      <c r="G649" s="2" t="s">
        <v>4928</v>
      </c>
      <c r="H649" s="2" t="s">
        <v>4955</v>
      </c>
      <c r="I649" s="20">
        <v>1.7</v>
      </c>
      <c r="J649" s="2" t="s">
        <v>4930</v>
      </c>
    </row>
    <row r="650" spans="1:10" ht="15.35" x14ac:dyDescent="0.55000000000000004">
      <c r="A650" s="20">
        <v>14249</v>
      </c>
      <c r="B650" s="2" t="s">
        <v>135</v>
      </c>
      <c r="C650" s="2" t="s">
        <v>136</v>
      </c>
      <c r="D650" s="2" t="s">
        <v>137</v>
      </c>
      <c r="E650" s="2" t="s">
        <v>372</v>
      </c>
      <c r="F650" s="2" t="s">
        <v>4948</v>
      </c>
      <c r="G650" s="2" t="s">
        <v>4939</v>
      </c>
      <c r="H650" s="2" t="s">
        <v>4946</v>
      </c>
      <c r="I650" s="20">
        <v>205.23</v>
      </c>
      <c r="J650" s="2" t="s">
        <v>4941</v>
      </c>
    </row>
    <row r="651" spans="1:10" ht="15.35" x14ac:dyDescent="0.55000000000000004">
      <c r="A651" s="20">
        <v>14250</v>
      </c>
      <c r="B651" s="2" t="s">
        <v>135</v>
      </c>
      <c r="C651" s="2" t="s">
        <v>136</v>
      </c>
      <c r="D651" s="2" t="s">
        <v>137</v>
      </c>
      <c r="E651" s="2" t="s">
        <v>372</v>
      </c>
      <c r="F651" s="2" t="s">
        <v>4948</v>
      </c>
      <c r="G651" s="2" t="s">
        <v>4931</v>
      </c>
      <c r="H651" s="2" t="s">
        <v>4937</v>
      </c>
      <c r="I651" s="20">
        <v>99.04</v>
      </c>
      <c r="J651" s="2" t="s">
        <v>4933</v>
      </c>
    </row>
    <row r="652" spans="1:10" ht="15.35" x14ac:dyDescent="0.55000000000000004">
      <c r="A652" s="20">
        <v>14251</v>
      </c>
      <c r="B652" s="2" t="s">
        <v>135</v>
      </c>
      <c r="C652" s="2" t="s">
        <v>136</v>
      </c>
      <c r="D652" s="2" t="s">
        <v>137</v>
      </c>
      <c r="E652" s="2" t="s">
        <v>372</v>
      </c>
      <c r="F652" s="2" t="s">
        <v>4948</v>
      </c>
      <c r="G652" s="2" t="s">
        <v>4928</v>
      </c>
      <c r="H652" s="2" t="s">
        <v>4936</v>
      </c>
      <c r="I652" s="20">
        <v>51363.34</v>
      </c>
      <c r="J652" s="2" t="s">
        <v>4935</v>
      </c>
    </row>
    <row r="653" spans="1:10" ht="15.35" x14ac:dyDescent="0.55000000000000004">
      <c r="A653" s="20">
        <v>14253</v>
      </c>
      <c r="B653" s="2" t="s">
        <v>135</v>
      </c>
      <c r="C653" s="2" t="s">
        <v>136</v>
      </c>
      <c r="D653" s="2" t="s">
        <v>137</v>
      </c>
      <c r="E653" s="2" t="s">
        <v>372</v>
      </c>
      <c r="F653" s="2" t="s">
        <v>4948</v>
      </c>
      <c r="G653" s="2" t="s">
        <v>4928</v>
      </c>
      <c r="H653" s="2" t="s">
        <v>4934</v>
      </c>
      <c r="I653" s="20">
        <v>51863.53</v>
      </c>
      <c r="J653" s="2" t="s">
        <v>4935</v>
      </c>
    </row>
    <row r="654" spans="1:10" ht="15.35" x14ac:dyDescent="0.55000000000000004">
      <c r="A654" s="20">
        <v>17527</v>
      </c>
      <c r="B654" s="2" t="s">
        <v>135</v>
      </c>
      <c r="C654" s="2" t="s">
        <v>136</v>
      </c>
      <c r="D654" s="2" t="s">
        <v>137</v>
      </c>
      <c r="E654" s="2" t="s">
        <v>372</v>
      </c>
      <c r="F654" s="2" t="s">
        <v>4949</v>
      </c>
      <c r="G654" s="2" t="s">
        <v>4928</v>
      </c>
      <c r="H654" s="2" t="s">
        <v>4934</v>
      </c>
      <c r="I654" s="20">
        <v>51863.53</v>
      </c>
      <c r="J654" s="2" t="s">
        <v>4935</v>
      </c>
    </row>
    <row r="655" spans="1:10" ht="15.35" x14ac:dyDescent="0.55000000000000004">
      <c r="A655" s="20">
        <v>17528</v>
      </c>
      <c r="B655" s="2" t="s">
        <v>135</v>
      </c>
      <c r="C655" s="2" t="s">
        <v>136</v>
      </c>
      <c r="D655" s="2" t="s">
        <v>137</v>
      </c>
      <c r="E655" s="2" t="s">
        <v>372</v>
      </c>
      <c r="F655" s="2" t="s">
        <v>4949</v>
      </c>
      <c r="G655" s="2" t="s">
        <v>4928</v>
      </c>
      <c r="H655" s="2" t="s">
        <v>4936</v>
      </c>
      <c r="I655" s="20">
        <v>50880.57</v>
      </c>
      <c r="J655" s="2" t="s">
        <v>4935</v>
      </c>
    </row>
    <row r="656" spans="1:10" ht="15.35" x14ac:dyDescent="0.55000000000000004">
      <c r="A656" s="20">
        <v>17529</v>
      </c>
      <c r="B656" s="2" t="s">
        <v>135</v>
      </c>
      <c r="C656" s="2" t="s">
        <v>136</v>
      </c>
      <c r="D656" s="2" t="s">
        <v>137</v>
      </c>
      <c r="E656" s="2" t="s">
        <v>372</v>
      </c>
      <c r="F656" s="2" t="s">
        <v>4949</v>
      </c>
      <c r="G656" s="2" t="s">
        <v>4931</v>
      </c>
      <c r="H656" s="2" t="s">
        <v>4937</v>
      </c>
      <c r="I656" s="20">
        <v>98.1</v>
      </c>
      <c r="J656" s="2" t="s">
        <v>4933</v>
      </c>
    </row>
    <row r="657" spans="1:10" ht="15.35" x14ac:dyDescent="0.55000000000000004">
      <c r="A657" s="20">
        <v>17530</v>
      </c>
      <c r="B657" s="2" t="s">
        <v>135</v>
      </c>
      <c r="C657" s="2" t="s">
        <v>136</v>
      </c>
      <c r="D657" s="2" t="s">
        <v>137</v>
      </c>
      <c r="E657" s="2" t="s">
        <v>372</v>
      </c>
      <c r="F657" s="2" t="s">
        <v>4949</v>
      </c>
      <c r="G657" s="2" t="s">
        <v>4939</v>
      </c>
      <c r="H657" s="2" t="s">
        <v>4946</v>
      </c>
      <c r="I657" s="20">
        <v>256.48</v>
      </c>
      <c r="J657" s="2" t="s">
        <v>4941</v>
      </c>
    </row>
    <row r="658" spans="1:10" ht="15.35" x14ac:dyDescent="0.55000000000000004">
      <c r="A658" s="20">
        <v>17531</v>
      </c>
      <c r="B658" s="2" t="s">
        <v>135</v>
      </c>
      <c r="C658" s="2" t="s">
        <v>136</v>
      </c>
      <c r="D658" s="2" t="s">
        <v>137</v>
      </c>
      <c r="E658" s="2" t="s">
        <v>372</v>
      </c>
      <c r="F658" s="2" t="s">
        <v>4949</v>
      </c>
      <c r="G658" s="2" t="s">
        <v>4928</v>
      </c>
      <c r="H658" s="2" t="s">
        <v>4955</v>
      </c>
      <c r="I658" s="20">
        <v>1.58</v>
      </c>
      <c r="J658" s="2" t="s">
        <v>4930</v>
      </c>
    </row>
    <row r="659" spans="1:10" ht="15.35" x14ac:dyDescent="0.55000000000000004">
      <c r="A659" s="20">
        <v>17532</v>
      </c>
      <c r="B659" s="2" t="s">
        <v>135</v>
      </c>
      <c r="C659" s="2" t="s">
        <v>136</v>
      </c>
      <c r="D659" s="2" t="s">
        <v>137</v>
      </c>
      <c r="E659" s="2" t="s">
        <v>372</v>
      </c>
      <c r="F659" s="2" t="s">
        <v>4949</v>
      </c>
      <c r="G659" s="2" t="s">
        <v>4931</v>
      </c>
      <c r="H659" s="2" t="s">
        <v>4952</v>
      </c>
      <c r="I659" s="20">
        <v>100</v>
      </c>
      <c r="J659" s="2" t="s">
        <v>4933</v>
      </c>
    </row>
    <row r="660" spans="1:10" ht="15.35" x14ac:dyDescent="0.55000000000000004">
      <c r="A660" s="20">
        <v>18195</v>
      </c>
      <c r="B660" s="2" t="s">
        <v>135</v>
      </c>
      <c r="C660" s="2" t="s">
        <v>136</v>
      </c>
      <c r="D660" s="2" t="s">
        <v>137</v>
      </c>
      <c r="E660" s="2" t="s">
        <v>372</v>
      </c>
      <c r="F660" s="2" t="s">
        <v>4950</v>
      </c>
      <c r="G660" s="2" t="s">
        <v>4928</v>
      </c>
      <c r="H660" s="2" t="s">
        <v>4934</v>
      </c>
      <c r="I660" s="20">
        <v>51863.53</v>
      </c>
      <c r="J660" s="2" t="s">
        <v>4935</v>
      </c>
    </row>
    <row r="661" spans="1:10" ht="15.35" x14ac:dyDescent="0.55000000000000004">
      <c r="A661" s="20">
        <v>18196</v>
      </c>
      <c r="B661" s="2" t="s">
        <v>135</v>
      </c>
      <c r="C661" s="2" t="s">
        <v>136</v>
      </c>
      <c r="D661" s="2" t="s">
        <v>137</v>
      </c>
      <c r="E661" s="2" t="s">
        <v>372</v>
      </c>
      <c r="F661" s="2" t="s">
        <v>4950</v>
      </c>
      <c r="G661" s="2" t="s">
        <v>4928</v>
      </c>
      <c r="H661" s="2" t="s">
        <v>4936</v>
      </c>
      <c r="I661" s="20">
        <v>50496.85</v>
      </c>
      <c r="J661" s="2" t="s">
        <v>4935</v>
      </c>
    </row>
    <row r="662" spans="1:10" ht="15.35" x14ac:dyDescent="0.55000000000000004">
      <c r="A662" s="20">
        <v>18197</v>
      </c>
      <c r="B662" s="2" t="s">
        <v>135</v>
      </c>
      <c r="C662" s="2" t="s">
        <v>136</v>
      </c>
      <c r="D662" s="2" t="s">
        <v>137</v>
      </c>
      <c r="E662" s="2" t="s">
        <v>372</v>
      </c>
      <c r="F662" s="2" t="s">
        <v>4950</v>
      </c>
      <c r="G662" s="2" t="s">
        <v>4931</v>
      </c>
      <c r="H662" s="2" t="s">
        <v>4937</v>
      </c>
      <c r="I662" s="20">
        <v>97.36</v>
      </c>
      <c r="J662" s="2" t="s">
        <v>4933</v>
      </c>
    </row>
    <row r="663" spans="1:10" ht="15.35" x14ac:dyDescent="0.55000000000000004">
      <c r="A663" s="20">
        <v>18198</v>
      </c>
      <c r="B663" s="2" t="s">
        <v>135</v>
      </c>
      <c r="C663" s="2" t="s">
        <v>136</v>
      </c>
      <c r="D663" s="2" t="s">
        <v>137</v>
      </c>
      <c r="E663" s="2" t="s">
        <v>372</v>
      </c>
      <c r="F663" s="2" t="s">
        <v>4950</v>
      </c>
      <c r="G663" s="2" t="s">
        <v>4939</v>
      </c>
      <c r="H663" s="2" t="s">
        <v>4946</v>
      </c>
      <c r="I663" s="20">
        <v>160.66</v>
      </c>
      <c r="J663" s="2" t="s">
        <v>4941</v>
      </c>
    </row>
    <row r="664" spans="1:10" ht="15.35" x14ac:dyDescent="0.55000000000000004">
      <c r="A664" s="20">
        <v>18199</v>
      </c>
      <c r="B664" s="2" t="s">
        <v>135</v>
      </c>
      <c r="C664" s="2" t="s">
        <v>136</v>
      </c>
      <c r="D664" s="2" t="s">
        <v>137</v>
      </c>
      <c r="E664" s="2" t="s">
        <v>372</v>
      </c>
      <c r="F664" s="2" t="s">
        <v>4950</v>
      </c>
      <c r="G664" s="2" t="s">
        <v>4928</v>
      </c>
      <c r="H664" s="2" t="s">
        <v>4955</v>
      </c>
      <c r="I664" s="20">
        <v>1.51</v>
      </c>
      <c r="J664" s="2" t="s">
        <v>4930</v>
      </c>
    </row>
    <row r="665" spans="1:10" ht="15.35" x14ac:dyDescent="0.55000000000000004">
      <c r="A665" s="20">
        <v>18200</v>
      </c>
      <c r="B665" s="2" t="s">
        <v>135</v>
      </c>
      <c r="C665" s="2" t="s">
        <v>136</v>
      </c>
      <c r="D665" s="2" t="s">
        <v>137</v>
      </c>
      <c r="E665" s="2" t="s">
        <v>372</v>
      </c>
      <c r="F665" s="2" t="s">
        <v>4950</v>
      </c>
      <c r="G665" s="2" t="s">
        <v>4931</v>
      </c>
      <c r="H665" s="2" t="s">
        <v>4952</v>
      </c>
      <c r="I665" s="20">
        <v>99.7</v>
      </c>
      <c r="J665" s="2" t="s">
        <v>4933</v>
      </c>
    </row>
    <row r="666" spans="1:10" ht="15.35" x14ac:dyDescent="0.55000000000000004">
      <c r="A666" s="20">
        <v>8401</v>
      </c>
      <c r="B666" s="2" t="s">
        <v>140</v>
      </c>
      <c r="C666" s="2" t="s">
        <v>141</v>
      </c>
      <c r="D666" s="2" t="s">
        <v>142</v>
      </c>
      <c r="E666" s="2" t="s">
        <v>4926</v>
      </c>
      <c r="F666" s="2" t="s">
        <v>4927</v>
      </c>
      <c r="G666" s="2" t="s">
        <v>4931</v>
      </c>
      <c r="H666" s="2" t="s">
        <v>4952</v>
      </c>
      <c r="I666" s="20">
        <v>97.1</v>
      </c>
      <c r="J666" s="2" t="s">
        <v>4933</v>
      </c>
    </row>
    <row r="667" spans="1:10" ht="15.35" x14ac:dyDescent="0.55000000000000004">
      <c r="A667" s="20">
        <v>8402</v>
      </c>
      <c r="B667" s="2" t="s">
        <v>140</v>
      </c>
      <c r="C667" s="2" t="s">
        <v>141</v>
      </c>
      <c r="D667" s="2" t="s">
        <v>142</v>
      </c>
      <c r="E667" s="2" t="s">
        <v>4926</v>
      </c>
      <c r="F667" s="2" t="s">
        <v>4927</v>
      </c>
      <c r="G667" s="2" t="s">
        <v>4928</v>
      </c>
      <c r="H667" s="2" t="s">
        <v>4953</v>
      </c>
      <c r="I667" s="20">
        <v>7.33</v>
      </c>
      <c r="J667" s="2" t="s">
        <v>4930</v>
      </c>
    </row>
    <row r="668" spans="1:10" ht="15.35" x14ac:dyDescent="0.55000000000000004">
      <c r="A668" s="20">
        <v>8403</v>
      </c>
      <c r="B668" s="2" t="s">
        <v>140</v>
      </c>
      <c r="C668" s="2" t="s">
        <v>141</v>
      </c>
      <c r="D668" s="2" t="s">
        <v>142</v>
      </c>
      <c r="E668" s="2" t="s">
        <v>4926</v>
      </c>
      <c r="F668" s="2" t="s">
        <v>4927</v>
      </c>
      <c r="G668" s="2" t="s">
        <v>4939</v>
      </c>
      <c r="H668" s="2" t="s">
        <v>4946</v>
      </c>
      <c r="I668" s="20">
        <v>3.98</v>
      </c>
      <c r="J668" s="2" t="s">
        <v>5007</v>
      </c>
    </row>
    <row r="669" spans="1:10" ht="15.35" x14ac:dyDescent="0.55000000000000004">
      <c r="A669" s="20">
        <v>8404</v>
      </c>
      <c r="B669" s="2" t="s">
        <v>140</v>
      </c>
      <c r="C669" s="2" t="s">
        <v>141</v>
      </c>
      <c r="D669" s="2" t="s">
        <v>142</v>
      </c>
      <c r="E669" s="2" t="s">
        <v>4926</v>
      </c>
      <c r="F669" s="2" t="s">
        <v>4927</v>
      </c>
      <c r="G669" s="2" t="s">
        <v>4931</v>
      </c>
      <c r="H669" s="2" t="s">
        <v>4937</v>
      </c>
      <c r="I669" s="20">
        <v>96.43</v>
      </c>
      <c r="J669" s="2" t="s">
        <v>4933</v>
      </c>
    </row>
    <row r="670" spans="1:10" ht="15.35" x14ac:dyDescent="0.55000000000000004">
      <c r="A670" s="20">
        <v>8405</v>
      </c>
      <c r="B670" s="2" t="s">
        <v>140</v>
      </c>
      <c r="C670" s="2" t="s">
        <v>141</v>
      </c>
      <c r="D670" s="2" t="s">
        <v>142</v>
      </c>
      <c r="E670" s="2" t="s">
        <v>4926</v>
      </c>
      <c r="F670" s="2" t="s">
        <v>4927</v>
      </c>
      <c r="G670" s="2" t="s">
        <v>4928</v>
      </c>
      <c r="H670" s="2" t="s">
        <v>4936</v>
      </c>
      <c r="I670" s="20">
        <v>75110.17</v>
      </c>
      <c r="J670" s="2" t="s">
        <v>4935</v>
      </c>
    </row>
    <row r="671" spans="1:10" ht="15.35" x14ac:dyDescent="0.55000000000000004">
      <c r="A671" s="20">
        <v>8406</v>
      </c>
      <c r="B671" s="2" t="s">
        <v>140</v>
      </c>
      <c r="C671" s="2" t="s">
        <v>141</v>
      </c>
      <c r="D671" s="2" t="s">
        <v>142</v>
      </c>
      <c r="E671" s="2" t="s">
        <v>4926</v>
      </c>
      <c r="F671" s="2" t="s">
        <v>4927</v>
      </c>
      <c r="G671" s="2" t="s">
        <v>4928</v>
      </c>
      <c r="H671" s="2" t="s">
        <v>4934</v>
      </c>
      <c r="I671" s="20">
        <v>77894.28</v>
      </c>
      <c r="J671" s="2" t="s">
        <v>4935</v>
      </c>
    </row>
    <row r="672" spans="1:10" ht="15.35" x14ac:dyDescent="0.55000000000000004">
      <c r="A672" s="20">
        <v>8340</v>
      </c>
      <c r="B672" s="2" t="s">
        <v>140</v>
      </c>
      <c r="C672" s="2" t="s">
        <v>141</v>
      </c>
      <c r="D672" s="2" t="s">
        <v>142</v>
      </c>
      <c r="E672" s="2" t="s">
        <v>4926</v>
      </c>
      <c r="F672" s="2" t="s">
        <v>4938</v>
      </c>
      <c r="G672" s="2" t="s">
        <v>4928</v>
      </c>
      <c r="H672" s="2" t="s">
        <v>4934</v>
      </c>
      <c r="I672" s="20">
        <v>77894.28</v>
      </c>
      <c r="J672" s="2" t="s">
        <v>4935</v>
      </c>
    </row>
    <row r="673" spans="1:10" ht="15.35" x14ac:dyDescent="0.55000000000000004">
      <c r="A673" s="20">
        <v>8341</v>
      </c>
      <c r="B673" s="2" t="s">
        <v>140</v>
      </c>
      <c r="C673" s="2" t="s">
        <v>141</v>
      </c>
      <c r="D673" s="2" t="s">
        <v>142</v>
      </c>
      <c r="E673" s="2" t="s">
        <v>4926</v>
      </c>
      <c r="F673" s="2" t="s">
        <v>4938</v>
      </c>
      <c r="G673" s="2" t="s">
        <v>4928</v>
      </c>
      <c r="H673" s="2" t="s">
        <v>4936</v>
      </c>
      <c r="I673" s="20">
        <v>76434.34</v>
      </c>
      <c r="J673" s="2" t="s">
        <v>4935</v>
      </c>
    </row>
    <row r="674" spans="1:10" ht="15.35" x14ac:dyDescent="0.55000000000000004">
      <c r="A674" s="20">
        <v>8256</v>
      </c>
      <c r="B674" s="2" t="s">
        <v>140</v>
      </c>
      <c r="C674" s="2" t="s">
        <v>141</v>
      </c>
      <c r="D674" s="2" t="s">
        <v>142</v>
      </c>
      <c r="E674" s="2" t="s">
        <v>4926</v>
      </c>
      <c r="F674" s="2" t="s">
        <v>4938</v>
      </c>
      <c r="G674" s="2" t="s">
        <v>4931</v>
      </c>
      <c r="H674" s="2" t="s">
        <v>4952</v>
      </c>
      <c r="I674" s="20">
        <v>99.9</v>
      </c>
      <c r="J674" s="2" t="s">
        <v>4933</v>
      </c>
    </row>
    <row r="675" spans="1:10" ht="15.35" x14ac:dyDescent="0.55000000000000004">
      <c r="A675" s="20">
        <v>8257</v>
      </c>
      <c r="B675" s="2" t="s">
        <v>140</v>
      </c>
      <c r="C675" s="2" t="s">
        <v>141</v>
      </c>
      <c r="D675" s="2" t="s">
        <v>142</v>
      </c>
      <c r="E675" s="2" t="s">
        <v>4926</v>
      </c>
      <c r="F675" s="2" t="s">
        <v>4938</v>
      </c>
      <c r="G675" s="2" t="s">
        <v>4928</v>
      </c>
      <c r="H675" s="2" t="s">
        <v>4953</v>
      </c>
      <c r="I675" s="20">
        <v>7.95</v>
      </c>
      <c r="J675" s="2" t="s">
        <v>4930</v>
      </c>
    </row>
    <row r="676" spans="1:10" ht="15.35" x14ac:dyDescent="0.55000000000000004">
      <c r="A676" s="20">
        <v>8258</v>
      </c>
      <c r="B676" s="2" t="s">
        <v>140</v>
      </c>
      <c r="C676" s="2" t="s">
        <v>141</v>
      </c>
      <c r="D676" s="2" t="s">
        <v>142</v>
      </c>
      <c r="E676" s="2" t="s">
        <v>4926</v>
      </c>
      <c r="F676" s="2" t="s">
        <v>4938</v>
      </c>
      <c r="G676" s="2" t="s">
        <v>4939</v>
      </c>
      <c r="H676" s="2" t="s">
        <v>4946</v>
      </c>
      <c r="I676" s="20">
        <v>3.88</v>
      </c>
      <c r="J676" s="2" t="s">
        <v>5007</v>
      </c>
    </row>
    <row r="677" spans="1:10" ht="15.35" x14ac:dyDescent="0.55000000000000004">
      <c r="A677" s="20">
        <v>8259</v>
      </c>
      <c r="B677" s="2" t="s">
        <v>140</v>
      </c>
      <c r="C677" s="2" t="s">
        <v>141</v>
      </c>
      <c r="D677" s="2" t="s">
        <v>142</v>
      </c>
      <c r="E677" s="2" t="s">
        <v>4926</v>
      </c>
      <c r="F677" s="2" t="s">
        <v>4938</v>
      </c>
      <c r="G677" s="2" t="s">
        <v>4931</v>
      </c>
      <c r="H677" s="2" t="s">
        <v>4937</v>
      </c>
      <c r="I677" s="20">
        <v>98.13</v>
      </c>
      <c r="J677" s="2" t="s">
        <v>4933</v>
      </c>
    </row>
    <row r="678" spans="1:10" ht="15.35" x14ac:dyDescent="0.55000000000000004">
      <c r="A678" s="20">
        <v>12508</v>
      </c>
      <c r="B678" s="2" t="s">
        <v>140</v>
      </c>
      <c r="C678" s="2" t="s">
        <v>141</v>
      </c>
      <c r="D678" s="2" t="s">
        <v>142</v>
      </c>
      <c r="E678" s="2" t="s">
        <v>4926</v>
      </c>
      <c r="F678" s="2" t="s">
        <v>4942</v>
      </c>
      <c r="G678" s="2" t="s">
        <v>4939</v>
      </c>
      <c r="H678" s="2" t="s">
        <v>4946</v>
      </c>
      <c r="I678" s="20">
        <v>4.09</v>
      </c>
      <c r="J678" s="2" t="s">
        <v>5007</v>
      </c>
    </row>
    <row r="679" spans="1:10" ht="15.35" x14ac:dyDescent="0.55000000000000004">
      <c r="A679" s="20">
        <v>12510</v>
      </c>
      <c r="B679" s="2" t="s">
        <v>140</v>
      </c>
      <c r="C679" s="2" t="s">
        <v>141</v>
      </c>
      <c r="D679" s="2" t="s">
        <v>142</v>
      </c>
      <c r="E679" s="2" t="s">
        <v>4926</v>
      </c>
      <c r="F679" s="2" t="s">
        <v>4942</v>
      </c>
      <c r="G679" s="2" t="s">
        <v>4928</v>
      </c>
      <c r="H679" s="2" t="s">
        <v>4953</v>
      </c>
      <c r="I679" s="20">
        <v>7.72</v>
      </c>
      <c r="J679" s="2" t="s">
        <v>4930</v>
      </c>
    </row>
    <row r="680" spans="1:10" ht="15.35" x14ac:dyDescent="0.55000000000000004">
      <c r="A680" s="20">
        <v>12581</v>
      </c>
      <c r="B680" s="2" t="s">
        <v>140</v>
      </c>
      <c r="C680" s="2" t="s">
        <v>141</v>
      </c>
      <c r="D680" s="2" t="s">
        <v>142</v>
      </c>
      <c r="E680" s="2" t="s">
        <v>4926</v>
      </c>
      <c r="F680" s="2" t="s">
        <v>4942</v>
      </c>
      <c r="G680" s="2" t="s">
        <v>4931</v>
      </c>
      <c r="H680" s="2" t="s">
        <v>4952</v>
      </c>
      <c r="I680" s="20">
        <v>98.06</v>
      </c>
      <c r="J680" s="2" t="s">
        <v>4933</v>
      </c>
    </row>
    <row r="681" spans="1:10" ht="15.35" x14ac:dyDescent="0.55000000000000004">
      <c r="A681" s="20">
        <v>12146</v>
      </c>
      <c r="B681" s="2" t="s">
        <v>140</v>
      </c>
      <c r="C681" s="2" t="s">
        <v>141</v>
      </c>
      <c r="D681" s="2" t="s">
        <v>142</v>
      </c>
      <c r="E681" s="2" t="s">
        <v>4926</v>
      </c>
      <c r="F681" s="2" t="s">
        <v>4942</v>
      </c>
      <c r="G681" s="2" t="s">
        <v>4931</v>
      </c>
      <c r="H681" s="2" t="s">
        <v>4937</v>
      </c>
      <c r="I681" s="20">
        <v>96.69</v>
      </c>
      <c r="J681" s="2" t="s">
        <v>4933</v>
      </c>
    </row>
    <row r="682" spans="1:10" ht="15.35" x14ac:dyDescent="0.55000000000000004">
      <c r="A682" s="20">
        <v>12457</v>
      </c>
      <c r="B682" s="2" t="s">
        <v>140</v>
      </c>
      <c r="C682" s="2" t="s">
        <v>141</v>
      </c>
      <c r="D682" s="2" t="s">
        <v>142</v>
      </c>
      <c r="E682" s="2" t="s">
        <v>4926</v>
      </c>
      <c r="F682" s="2" t="s">
        <v>4942</v>
      </c>
      <c r="G682" s="2" t="s">
        <v>4928</v>
      </c>
      <c r="H682" s="2" t="s">
        <v>4936</v>
      </c>
      <c r="I682" s="20">
        <v>75312.23</v>
      </c>
      <c r="J682" s="2" t="s">
        <v>4935</v>
      </c>
    </row>
    <row r="683" spans="1:10" ht="15.35" x14ac:dyDescent="0.55000000000000004">
      <c r="A683" s="20">
        <v>12458</v>
      </c>
      <c r="B683" s="2" t="s">
        <v>140</v>
      </c>
      <c r="C683" s="2" t="s">
        <v>141</v>
      </c>
      <c r="D683" s="2" t="s">
        <v>142</v>
      </c>
      <c r="E683" s="2" t="s">
        <v>4926</v>
      </c>
      <c r="F683" s="2" t="s">
        <v>4942</v>
      </c>
      <c r="G683" s="2" t="s">
        <v>4928</v>
      </c>
      <c r="H683" s="2" t="s">
        <v>4934</v>
      </c>
      <c r="I683" s="20">
        <v>77894.28</v>
      </c>
      <c r="J683" s="2" t="s">
        <v>4935</v>
      </c>
    </row>
    <row r="684" spans="1:10" ht="15.35" x14ac:dyDescent="0.55000000000000004">
      <c r="A684" s="20">
        <v>14110</v>
      </c>
      <c r="B684" s="2" t="s">
        <v>140</v>
      </c>
      <c r="C684" s="2" t="s">
        <v>141</v>
      </c>
      <c r="D684" s="2" t="s">
        <v>142</v>
      </c>
      <c r="E684" s="2" t="s">
        <v>4926</v>
      </c>
      <c r="F684" s="2" t="s">
        <v>4947</v>
      </c>
      <c r="G684" s="2" t="s">
        <v>4931</v>
      </c>
      <c r="H684" s="2" t="s">
        <v>4952</v>
      </c>
      <c r="I684" s="20">
        <v>97.35</v>
      </c>
      <c r="J684" s="2" t="s">
        <v>4933</v>
      </c>
    </row>
    <row r="685" spans="1:10" ht="15.35" x14ac:dyDescent="0.55000000000000004">
      <c r="A685" s="20">
        <v>14111</v>
      </c>
      <c r="B685" s="2" t="s">
        <v>140</v>
      </c>
      <c r="C685" s="2" t="s">
        <v>141</v>
      </c>
      <c r="D685" s="2" t="s">
        <v>142</v>
      </c>
      <c r="E685" s="2" t="s">
        <v>4926</v>
      </c>
      <c r="F685" s="2" t="s">
        <v>4947</v>
      </c>
      <c r="G685" s="2" t="s">
        <v>4928</v>
      </c>
      <c r="H685" s="2" t="s">
        <v>4953</v>
      </c>
      <c r="I685" s="20">
        <v>7.33</v>
      </c>
      <c r="J685" s="2" t="s">
        <v>4930</v>
      </c>
    </row>
    <row r="686" spans="1:10" ht="15.35" x14ac:dyDescent="0.55000000000000004">
      <c r="A686" s="20">
        <v>14112</v>
      </c>
      <c r="B686" s="2" t="s">
        <v>140</v>
      </c>
      <c r="C686" s="2" t="s">
        <v>141</v>
      </c>
      <c r="D686" s="2" t="s">
        <v>142</v>
      </c>
      <c r="E686" s="2" t="s">
        <v>4926</v>
      </c>
      <c r="F686" s="2" t="s">
        <v>4947</v>
      </c>
      <c r="G686" s="2" t="s">
        <v>4939</v>
      </c>
      <c r="H686" s="2" t="s">
        <v>4946</v>
      </c>
      <c r="I686" s="20">
        <v>3.92</v>
      </c>
      <c r="J686" s="2" t="s">
        <v>5007</v>
      </c>
    </row>
    <row r="687" spans="1:10" ht="15.35" x14ac:dyDescent="0.55000000000000004">
      <c r="A687" s="20">
        <v>14113</v>
      </c>
      <c r="B687" s="2" t="s">
        <v>140</v>
      </c>
      <c r="C687" s="2" t="s">
        <v>141</v>
      </c>
      <c r="D687" s="2" t="s">
        <v>142</v>
      </c>
      <c r="E687" s="2" t="s">
        <v>4926</v>
      </c>
      <c r="F687" s="2" t="s">
        <v>4947</v>
      </c>
      <c r="G687" s="2" t="s">
        <v>4931</v>
      </c>
      <c r="H687" s="2" t="s">
        <v>4937</v>
      </c>
      <c r="I687" s="20">
        <v>96.43</v>
      </c>
      <c r="J687" s="2" t="s">
        <v>4933</v>
      </c>
    </row>
    <row r="688" spans="1:10" ht="15.35" x14ac:dyDescent="0.55000000000000004">
      <c r="A688" s="20">
        <v>14126</v>
      </c>
      <c r="B688" s="2" t="s">
        <v>140</v>
      </c>
      <c r="C688" s="2" t="s">
        <v>141</v>
      </c>
      <c r="D688" s="2" t="s">
        <v>142</v>
      </c>
      <c r="E688" s="2" t="s">
        <v>4926</v>
      </c>
      <c r="F688" s="2" t="s">
        <v>4947</v>
      </c>
      <c r="G688" s="2" t="s">
        <v>4928</v>
      </c>
      <c r="H688" s="2" t="s">
        <v>4934</v>
      </c>
      <c r="I688" s="20">
        <v>77894.28</v>
      </c>
      <c r="J688" s="2" t="s">
        <v>4935</v>
      </c>
    </row>
    <row r="689" spans="1:10" ht="15.35" x14ac:dyDescent="0.55000000000000004">
      <c r="A689" s="20">
        <v>14154</v>
      </c>
      <c r="B689" s="2" t="s">
        <v>140</v>
      </c>
      <c r="C689" s="2" t="s">
        <v>141</v>
      </c>
      <c r="D689" s="2" t="s">
        <v>142</v>
      </c>
      <c r="E689" s="2" t="s">
        <v>4926</v>
      </c>
      <c r="F689" s="2" t="s">
        <v>4947</v>
      </c>
      <c r="G689" s="2" t="s">
        <v>4928</v>
      </c>
      <c r="H689" s="2" t="s">
        <v>4936</v>
      </c>
      <c r="I689" s="20">
        <v>75110.17</v>
      </c>
      <c r="J689" s="2" t="s">
        <v>4935</v>
      </c>
    </row>
    <row r="690" spans="1:10" ht="15.35" x14ac:dyDescent="0.55000000000000004">
      <c r="A690" s="20">
        <v>8293</v>
      </c>
      <c r="B690" s="2" t="s">
        <v>140</v>
      </c>
      <c r="C690" s="2" t="s">
        <v>141</v>
      </c>
      <c r="D690" s="2" t="s">
        <v>142</v>
      </c>
      <c r="E690" s="2" t="s">
        <v>4926</v>
      </c>
      <c r="F690" s="2" t="s">
        <v>4943</v>
      </c>
      <c r="G690" s="2" t="s">
        <v>4928</v>
      </c>
      <c r="H690" s="2" t="s">
        <v>4934</v>
      </c>
      <c r="I690" s="20">
        <v>77894.28</v>
      </c>
      <c r="J690" s="2" t="s">
        <v>4935</v>
      </c>
    </row>
    <row r="691" spans="1:10" ht="15.35" x14ac:dyDescent="0.55000000000000004">
      <c r="A691" s="20">
        <v>8336</v>
      </c>
      <c r="B691" s="2" t="s">
        <v>140</v>
      </c>
      <c r="C691" s="2" t="s">
        <v>141</v>
      </c>
      <c r="D691" s="2" t="s">
        <v>142</v>
      </c>
      <c r="E691" s="2" t="s">
        <v>4926</v>
      </c>
      <c r="F691" s="2" t="s">
        <v>4943</v>
      </c>
      <c r="G691" s="2" t="s">
        <v>4928</v>
      </c>
      <c r="H691" s="2" t="s">
        <v>4936</v>
      </c>
      <c r="I691" s="20">
        <v>74229.38</v>
      </c>
      <c r="J691" s="2" t="s">
        <v>4935</v>
      </c>
    </row>
    <row r="692" spans="1:10" ht="15.35" x14ac:dyDescent="0.55000000000000004">
      <c r="A692" s="20">
        <v>8407</v>
      </c>
      <c r="B692" s="2" t="s">
        <v>140</v>
      </c>
      <c r="C692" s="2" t="s">
        <v>141</v>
      </c>
      <c r="D692" s="2" t="s">
        <v>142</v>
      </c>
      <c r="E692" s="2" t="s">
        <v>4926</v>
      </c>
      <c r="F692" s="2" t="s">
        <v>4943</v>
      </c>
      <c r="G692" s="2" t="s">
        <v>4931</v>
      </c>
      <c r="H692" s="2" t="s">
        <v>4952</v>
      </c>
      <c r="I692" s="20">
        <v>99.5</v>
      </c>
      <c r="J692" s="2" t="s">
        <v>4933</v>
      </c>
    </row>
    <row r="693" spans="1:10" ht="15.35" x14ac:dyDescent="0.55000000000000004">
      <c r="A693" s="20">
        <v>8408</v>
      </c>
      <c r="B693" s="2" t="s">
        <v>140</v>
      </c>
      <c r="C693" s="2" t="s">
        <v>141</v>
      </c>
      <c r="D693" s="2" t="s">
        <v>142</v>
      </c>
      <c r="E693" s="2" t="s">
        <v>4926</v>
      </c>
      <c r="F693" s="2" t="s">
        <v>4943</v>
      </c>
      <c r="G693" s="2" t="s">
        <v>4928</v>
      </c>
      <c r="H693" s="2" t="s">
        <v>4953</v>
      </c>
      <c r="I693" s="20">
        <v>7.18</v>
      </c>
      <c r="J693" s="2" t="s">
        <v>4930</v>
      </c>
    </row>
    <row r="694" spans="1:10" ht="15.35" x14ac:dyDescent="0.55000000000000004">
      <c r="A694" s="20">
        <v>8409</v>
      </c>
      <c r="B694" s="2" t="s">
        <v>140</v>
      </c>
      <c r="C694" s="2" t="s">
        <v>141</v>
      </c>
      <c r="D694" s="2" t="s">
        <v>142</v>
      </c>
      <c r="E694" s="2" t="s">
        <v>4926</v>
      </c>
      <c r="F694" s="2" t="s">
        <v>4943</v>
      </c>
      <c r="G694" s="2" t="s">
        <v>4939</v>
      </c>
      <c r="H694" s="2" t="s">
        <v>4946</v>
      </c>
      <c r="I694" s="20">
        <v>3.81</v>
      </c>
      <c r="J694" s="2" t="s">
        <v>5007</v>
      </c>
    </row>
    <row r="695" spans="1:10" ht="15.35" x14ac:dyDescent="0.55000000000000004">
      <c r="A695" s="20">
        <v>8410</v>
      </c>
      <c r="B695" s="2" t="s">
        <v>140</v>
      </c>
      <c r="C695" s="2" t="s">
        <v>141</v>
      </c>
      <c r="D695" s="2" t="s">
        <v>142</v>
      </c>
      <c r="E695" s="2" t="s">
        <v>4926</v>
      </c>
      <c r="F695" s="2" t="s">
        <v>4943</v>
      </c>
      <c r="G695" s="2" t="s">
        <v>4931</v>
      </c>
      <c r="H695" s="2" t="s">
        <v>4937</v>
      </c>
      <c r="I695" s="20">
        <v>95.3</v>
      </c>
      <c r="J695" s="2" t="s">
        <v>4933</v>
      </c>
    </row>
    <row r="696" spans="1:10" ht="15.35" x14ac:dyDescent="0.55000000000000004">
      <c r="A696" s="20">
        <v>8254</v>
      </c>
      <c r="B696" s="2" t="s">
        <v>140</v>
      </c>
      <c r="C696" s="2" t="s">
        <v>141</v>
      </c>
      <c r="D696" s="2" t="s">
        <v>142</v>
      </c>
      <c r="E696" s="2" t="s">
        <v>4926</v>
      </c>
      <c r="F696" s="2" t="s">
        <v>4944</v>
      </c>
      <c r="G696" s="2" t="s">
        <v>4928</v>
      </c>
      <c r="H696" s="2" t="s">
        <v>4936</v>
      </c>
      <c r="I696" s="20">
        <v>74448</v>
      </c>
      <c r="J696" s="2" t="s">
        <v>4935</v>
      </c>
    </row>
    <row r="697" spans="1:10" ht="15.35" x14ac:dyDescent="0.55000000000000004">
      <c r="A697" s="20">
        <v>8255</v>
      </c>
      <c r="B697" s="2" t="s">
        <v>140</v>
      </c>
      <c r="C697" s="2" t="s">
        <v>141</v>
      </c>
      <c r="D697" s="2" t="s">
        <v>142</v>
      </c>
      <c r="E697" s="2" t="s">
        <v>4926</v>
      </c>
      <c r="F697" s="2" t="s">
        <v>4944</v>
      </c>
      <c r="G697" s="2" t="s">
        <v>4928</v>
      </c>
      <c r="H697" s="2" t="s">
        <v>4934</v>
      </c>
      <c r="I697" s="20">
        <v>77894.28</v>
      </c>
      <c r="J697" s="2" t="s">
        <v>4935</v>
      </c>
    </row>
    <row r="698" spans="1:10" ht="15.35" x14ac:dyDescent="0.55000000000000004">
      <c r="A698" s="20">
        <v>8271</v>
      </c>
      <c r="B698" s="2" t="s">
        <v>140</v>
      </c>
      <c r="C698" s="2" t="s">
        <v>141</v>
      </c>
      <c r="D698" s="2" t="s">
        <v>142</v>
      </c>
      <c r="E698" s="2" t="s">
        <v>4926</v>
      </c>
      <c r="F698" s="2" t="s">
        <v>4944</v>
      </c>
      <c r="G698" s="2" t="s">
        <v>4931</v>
      </c>
      <c r="H698" s="2" t="s">
        <v>4937</v>
      </c>
      <c r="I698" s="20">
        <v>95.58</v>
      </c>
      <c r="J698" s="2" t="s">
        <v>4933</v>
      </c>
    </row>
    <row r="699" spans="1:10" ht="15.35" x14ac:dyDescent="0.55000000000000004">
      <c r="A699" s="20">
        <v>8273</v>
      </c>
      <c r="B699" s="2" t="s">
        <v>140</v>
      </c>
      <c r="C699" s="2" t="s">
        <v>141</v>
      </c>
      <c r="D699" s="2" t="s">
        <v>142</v>
      </c>
      <c r="E699" s="2" t="s">
        <v>4926</v>
      </c>
      <c r="F699" s="2" t="s">
        <v>4944</v>
      </c>
      <c r="G699" s="2" t="s">
        <v>4939</v>
      </c>
      <c r="H699" s="2" t="s">
        <v>4946</v>
      </c>
      <c r="I699" s="20">
        <v>3.82</v>
      </c>
      <c r="J699" s="2" t="s">
        <v>5007</v>
      </c>
    </row>
    <row r="700" spans="1:10" ht="15.35" x14ac:dyDescent="0.55000000000000004">
      <c r="A700" s="20">
        <v>8274</v>
      </c>
      <c r="B700" s="2" t="s">
        <v>140</v>
      </c>
      <c r="C700" s="2" t="s">
        <v>141</v>
      </c>
      <c r="D700" s="2" t="s">
        <v>142</v>
      </c>
      <c r="E700" s="2" t="s">
        <v>4926</v>
      </c>
      <c r="F700" s="2" t="s">
        <v>4944</v>
      </c>
      <c r="G700" s="2" t="s">
        <v>4931</v>
      </c>
      <c r="H700" s="2" t="s">
        <v>4952</v>
      </c>
      <c r="I700" s="20">
        <v>99.07</v>
      </c>
      <c r="J700" s="2" t="s">
        <v>4933</v>
      </c>
    </row>
    <row r="701" spans="1:10" ht="15.35" x14ac:dyDescent="0.55000000000000004">
      <c r="A701" s="20">
        <v>8292</v>
      </c>
      <c r="B701" s="2" t="s">
        <v>140</v>
      </c>
      <c r="C701" s="2" t="s">
        <v>141</v>
      </c>
      <c r="D701" s="2" t="s">
        <v>142</v>
      </c>
      <c r="E701" s="2" t="s">
        <v>4926</v>
      </c>
      <c r="F701" s="2" t="s">
        <v>4944</v>
      </c>
      <c r="G701" s="2" t="s">
        <v>4928</v>
      </c>
      <c r="H701" s="2" t="s">
        <v>4953</v>
      </c>
      <c r="I701" s="20">
        <v>6.96</v>
      </c>
      <c r="J701" s="2" t="s">
        <v>4930</v>
      </c>
    </row>
    <row r="702" spans="1:10" ht="15.35" x14ac:dyDescent="0.55000000000000004">
      <c r="A702" s="20">
        <v>12491</v>
      </c>
      <c r="B702" s="2" t="s">
        <v>140</v>
      </c>
      <c r="C702" s="2" t="s">
        <v>141</v>
      </c>
      <c r="D702" s="2" t="s">
        <v>142</v>
      </c>
      <c r="E702" s="2" t="s">
        <v>4926</v>
      </c>
      <c r="F702" s="2" t="s">
        <v>4945</v>
      </c>
      <c r="G702" s="2" t="s">
        <v>4931</v>
      </c>
      <c r="H702" s="2" t="s">
        <v>4937</v>
      </c>
      <c r="I702" s="20">
        <v>95.69</v>
      </c>
      <c r="J702" s="2" t="s">
        <v>4933</v>
      </c>
    </row>
    <row r="703" spans="1:10" ht="15.35" x14ac:dyDescent="0.55000000000000004">
      <c r="A703" s="20">
        <v>12492</v>
      </c>
      <c r="B703" s="2" t="s">
        <v>140</v>
      </c>
      <c r="C703" s="2" t="s">
        <v>141</v>
      </c>
      <c r="D703" s="2" t="s">
        <v>142</v>
      </c>
      <c r="E703" s="2" t="s">
        <v>4926</v>
      </c>
      <c r="F703" s="2" t="s">
        <v>4945</v>
      </c>
      <c r="G703" s="2" t="s">
        <v>4939</v>
      </c>
      <c r="H703" s="2" t="s">
        <v>4946</v>
      </c>
      <c r="I703" s="20">
        <v>3.92</v>
      </c>
      <c r="J703" s="2" t="s">
        <v>5007</v>
      </c>
    </row>
    <row r="704" spans="1:10" ht="15.35" x14ac:dyDescent="0.55000000000000004">
      <c r="A704" s="20">
        <v>12506</v>
      </c>
      <c r="B704" s="2" t="s">
        <v>140</v>
      </c>
      <c r="C704" s="2" t="s">
        <v>141</v>
      </c>
      <c r="D704" s="2" t="s">
        <v>142</v>
      </c>
      <c r="E704" s="2" t="s">
        <v>4926</v>
      </c>
      <c r="F704" s="2" t="s">
        <v>4945</v>
      </c>
      <c r="G704" s="2" t="s">
        <v>4931</v>
      </c>
      <c r="H704" s="2" t="s">
        <v>4952</v>
      </c>
      <c r="I704" s="20">
        <v>98.4</v>
      </c>
      <c r="J704" s="2" t="s">
        <v>4933</v>
      </c>
    </row>
    <row r="705" spans="1:10" ht="15.35" x14ac:dyDescent="0.55000000000000004">
      <c r="A705" s="20">
        <v>12507</v>
      </c>
      <c r="B705" s="2" t="s">
        <v>140</v>
      </c>
      <c r="C705" s="2" t="s">
        <v>141</v>
      </c>
      <c r="D705" s="2" t="s">
        <v>142</v>
      </c>
      <c r="E705" s="2" t="s">
        <v>4926</v>
      </c>
      <c r="F705" s="2" t="s">
        <v>4945</v>
      </c>
      <c r="G705" s="2" t="s">
        <v>4928</v>
      </c>
      <c r="H705" s="2" t="s">
        <v>4953</v>
      </c>
      <c r="I705" s="20">
        <v>6.77</v>
      </c>
      <c r="J705" s="2" t="s">
        <v>4930</v>
      </c>
    </row>
    <row r="706" spans="1:10" ht="15.35" x14ac:dyDescent="0.55000000000000004">
      <c r="A706" s="20">
        <v>12481</v>
      </c>
      <c r="B706" s="2" t="s">
        <v>140</v>
      </c>
      <c r="C706" s="2" t="s">
        <v>141</v>
      </c>
      <c r="D706" s="2" t="s">
        <v>142</v>
      </c>
      <c r="E706" s="2" t="s">
        <v>4926</v>
      </c>
      <c r="F706" s="2" t="s">
        <v>4945</v>
      </c>
      <c r="G706" s="2" t="s">
        <v>4928</v>
      </c>
      <c r="H706" s="2" t="s">
        <v>4934</v>
      </c>
      <c r="I706" s="20">
        <v>77894.28</v>
      </c>
      <c r="J706" s="2" t="s">
        <v>4935</v>
      </c>
    </row>
    <row r="707" spans="1:10" ht="15.35" x14ac:dyDescent="0.55000000000000004">
      <c r="A707" s="20">
        <v>12490</v>
      </c>
      <c r="B707" s="2" t="s">
        <v>140</v>
      </c>
      <c r="C707" s="2" t="s">
        <v>141</v>
      </c>
      <c r="D707" s="2" t="s">
        <v>142</v>
      </c>
      <c r="E707" s="2" t="s">
        <v>4926</v>
      </c>
      <c r="F707" s="2" t="s">
        <v>4945</v>
      </c>
      <c r="G707" s="2" t="s">
        <v>4928</v>
      </c>
      <c r="H707" s="2" t="s">
        <v>4936</v>
      </c>
      <c r="I707" s="20">
        <v>74540.899999999994</v>
      </c>
      <c r="J707" s="2" t="s">
        <v>4935</v>
      </c>
    </row>
    <row r="708" spans="1:10" ht="15.35" x14ac:dyDescent="0.55000000000000004">
      <c r="A708" s="20">
        <v>14128</v>
      </c>
      <c r="B708" s="2" t="s">
        <v>140</v>
      </c>
      <c r="C708" s="2" t="s">
        <v>141</v>
      </c>
      <c r="D708" s="2" t="s">
        <v>142</v>
      </c>
      <c r="E708" s="2" t="s">
        <v>4926</v>
      </c>
      <c r="F708" s="2" t="s">
        <v>4948</v>
      </c>
      <c r="G708" s="2" t="s">
        <v>4928</v>
      </c>
      <c r="H708" s="2" t="s">
        <v>4936</v>
      </c>
      <c r="I708" s="20">
        <v>74469.070000000007</v>
      </c>
      <c r="J708" s="2" t="s">
        <v>4935</v>
      </c>
    </row>
    <row r="709" spans="1:10" ht="15.35" x14ac:dyDescent="0.55000000000000004">
      <c r="A709" s="20">
        <v>14129</v>
      </c>
      <c r="B709" s="2" t="s">
        <v>140</v>
      </c>
      <c r="C709" s="2" t="s">
        <v>141</v>
      </c>
      <c r="D709" s="2" t="s">
        <v>142</v>
      </c>
      <c r="E709" s="2" t="s">
        <v>4926</v>
      </c>
      <c r="F709" s="2" t="s">
        <v>4948</v>
      </c>
      <c r="G709" s="2" t="s">
        <v>4931</v>
      </c>
      <c r="H709" s="2" t="s">
        <v>4937</v>
      </c>
      <c r="I709" s="20">
        <v>95.6</v>
      </c>
      <c r="J709" s="2" t="s">
        <v>4933</v>
      </c>
    </row>
    <row r="710" spans="1:10" ht="15.35" x14ac:dyDescent="0.55000000000000004">
      <c r="A710" s="20">
        <v>14131</v>
      </c>
      <c r="B710" s="2" t="s">
        <v>140</v>
      </c>
      <c r="C710" s="2" t="s">
        <v>141</v>
      </c>
      <c r="D710" s="2" t="s">
        <v>142</v>
      </c>
      <c r="E710" s="2" t="s">
        <v>4926</v>
      </c>
      <c r="F710" s="2" t="s">
        <v>4948</v>
      </c>
      <c r="G710" s="2" t="s">
        <v>4939</v>
      </c>
      <c r="H710" s="2" t="s">
        <v>4946</v>
      </c>
      <c r="I710" s="20">
        <v>4.0199999999999996</v>
      </c>
      <c r="J710" s="2" t="s">
        <v>5007</v>
      </c>
    </row>
    <row r="711" spans="1:10" ht="15.35" x14ac:dyDescent="0.55000000000000004">
      <c r="A711" s="20">
        <v>14132</v>
      </c>
      <c r="B711" s="2" t="s">
        <v>140</v>
      </c>
      <c r="C711" s="2" t="s">
        <v>141</v>
      </c>
      <c r="D711" s="2" t="s">
        <v>142</v>
      </c>
      <c r="E711" s="2" t="s">
        <v>4926</v>
      </c>
      <c r="F711" s="2" t="s">
        <v>4948</v>
      </c>
      <c r="G711" s="2" t="s">
        <v>4928</v>
      </c>
      <c r="H711" s="2" t="s">
        <v>4953</v>
      </c>
      <c r="I711" s="20">
        <v>6.27</v>
      </c>
      <c r="J711" s="2" t="s">
        <v>4930</v>
      </c>
    </row>
    <row r="712" spans="1:10" ht="15.35" x14ac:dyDescent="0.55000000000000004">
      <c r="A712" s="20">
        <v>14133</v>
      </c>
      <c r="B712" s="2" t="s">
        <v>140</v>
      </c>
      <c r="C712" s="2" t="s">
        <v>141</v>
      </c>
      <c r="D712" s="2" t="s">
        <v>142</v>
      </c>
      <c r="E712" s="2" t="s">
        <v>4926</v>
      </c>
      <c r="F712" s="2" t="s">
        <v>4948</v>
      </c>
      <c r="G712" s="2" t="s">
        <v>4931</v>
      </c>
      <c r="H712" s="2" t="s">
        <v>4952</v>
      </c>
      <c r="I712" s="20">
        <v>99.06</v>
      </c>
      <c r="J712" s="2" t="s">
        <v>4933</v>
      </c>
    </row>
    <row r="713" spans="1:10" ht="15.35" x14ac:dyDescent="0.55000000000000004">
      <c r="A713" s="20">
        <v>14155</v>
      </c>
      <c r="B713" s="2" t="s">
        <v>140</v>
      </c>
      <c r="C713" s="2" t="s">
        <v>141</v>
      </c>
      <c r="D713" s="2" t="s">
        <v>142</v>
      </c>
      <c r="E713" s="2" t="s">
        <v>4926</v>
      </c>
      <c r="F713" s="2" t="s">
        <v>4948</v>
      </c>
      <c r="G713" s="2" t="s">
        <v>4928</v>
      </c>
      <c r="H713" s="2" t="s">
        <v>4934</v>
      </c>
      <c r="I713" s="20">
        <v>77894.28</v>
      </c>
      <c r="J713" s="2" t="s">
        <v>4935</v>
      </c>
    </row>
    <row r="714" spans="1:10" ht="15.35" x14ac:dyDescent="0.55000000000000004">
      <c r="A714" s="20">
        <v>17348</v>
      </c>
      <c r="B714" s="2" t="s">
        <v>140</v>
      </c>
      <c r="C714" s="2" t="s">
        <v>141</v>
      </c>
      <c r="D714" s="2" t="s">
        <v>142</v>
      </c>
      <c r="E714" s="2" t="s">
        <v>4926</v>
      </c>
      <c r="F714" s="2" t="s">
        <v>4949</v>
      </c>
      <c r="G714" s="2" t="s">
        <v>4928</v>
      </c>
      <c r="H714" s="2" t="s">
        <v>4934</v>
      </c>
      <c r="I714" s="20">
        <v>77894.28</v>
      </c>
      <c r="J714" s="2" t="s">
        <v>4935</v>
      </c>
    </row>
    <row r="715" spans="1:10" ht="15.35" x14ac:dyDescent="0.55000000000000004">
      <c r="A715" s="20">
        <v>17349</v>
      </c>
      <c r="B715" s="2" t="s">
        <v>140</v>
      </c>
      <c r="C715" s="2" t="s">
        <v>141</v>
      </c>
      <c r="D715" s="2" t="s">
        <v>142</v>
      </c>
      <c r="E715" s="2" t="s">
        <v>4926</v>
      </c>
      <c r="F715" s="2" t="s">
        <v>4949</v>
      </c>
      <c r="G715" s="2" t="s">
        <v>4928</v>
      </c>
      <c r="H715" s="2" t="s">
        <v>4936</v>
      </c>
      <c r="I715" s="20">
        <v>73457.679999999993</v>
      </c>
      <c r="J715" s="2" t="s">
        <v>4935</v>
      </c>
    </row>
    <row r="716" spans="1:10" ht="15.35" x14ac:dyDescent="0.55000000000000004">
      <c r="A716" s="20">
        <v>17350</v>
      </c>
      <c r="B716" s="2" t="s">
        <v>140</v>
      </c>
      <c r="C716" s="2" t="s">
        <v>141</v>
      </c>
      <c r="D716" s="2" t="s">
        <v>142</v>
      </c>
      <c r="E716" s="2" t="s">
        <v>4926</v>
      </c>
      <c r="F716" s="2" t="s">
        <v>4949</v>
      </c>
      <c r="G716" s="2" t="s">
        <v>4931</v>
      </c>
      <c r="H716" s="2" t="s">
        <v>4937</v>
      </c>
      <c r="I716" s="20">
        <v>94.3</v>
      </c>
      <c r="J716" s="2" t="s">
        <v>4933</v>
      </c>
    </row>
    <row r="717" spans="1:10" ht="15.35" x14ac:dyDescent="0.55000000000000004">
      <c r="A717" s="20">
        <v>17351</v>
      </c>
      <c r="B717" s="2" t="s">
        <v>140</v>
      </c>
      <c r="C717" s="2" t="s">
        <v>141</v>
      </c>
      <c r="D717" s="2" t="s">
        <v>142</v>
      </c>
      <c r="E717" s="2" t="s">
        <v>4926</v>
      </c>
      <c r="F717" s="2" t="s">
        <v>4949</v>
      </c>
      <c r="G717" s="2" t="s">
        <v>4939</v>
      </c>
      <c r="H717" s="2" t="s">
        <v>4946</v>
      </c>
      <c r="I717" s="20">
        <v>4.03</v>
      </c>
      <c r="J717" s="2" t="s">
        <v>5007</v>
      </c>
    </row>
    <row r="718" spans="1:10" ht="15.35" x14ac:dyDescent="0.55000000000000004">
      <c r="A718" s="20">
        <v>17352</v>
      </c>
      <c r="B718" s="2" t="s">
        <v>140</v>
      </c>
      <c r="C718" s="2" t="s">
        <v>141</v>
      </c>
      <c r="D718" s="2" t="s">
        <v>142</v>
      </c>
      <c r="E718" s="2" t="s">
        <v>4926</v>
      </c>
      <c r="F718" s="2" t="s">
        <v>4949</v>
      </c>
      <c r="G718" s="2" t="s">
        <v>4928</v>
      </c>
      <c r="H718" s="2" t="s">
        <v>4953</v>
      </c>
      <c r="I718" s="20">
        <v>6.15</v>
      </c>
      <c r="J718" s="2" t="s">
        <v>4930</v>
      </c>
    </row>
    <row r="719" spans="1:10" ht="15.35" x14ac:dyDescent="0.55000000000000004">
      <c r="A719" s="20">
        <v>17354</v>
      </c>
      <c r="B719" s="2" t="s">
        <v>140</v>
      </c>
      <c r="C719" s="2" t="s">
        <v>141</v>
      </c>
      <c r="D719" s="2" t="s">
        <v>142</v>
      </c>
      <c r="E719" s="2" t="s">
        <v>4926</v>
      </c>
      <c r="F719" s="2" t="s">
        <v>4949</v>
      </c>
      <c r="G719" s="2" t="s">
        <v>4931</v>
      </c>
      <c r="H719" s="2" t="s">
        <v>4952</v>
      </c>
      <c r="I719" s="20">
        <v>99.52</v>
      </c>
      <c r="J719" s="2" t="s">
        <v>4933</v>
      </c>
    </row>
    <row r="720" spans="1:10" ht="15.35" x14ac:dyDescent="0.55000000000000004">
      <c r="A720" s="20">
        <v>18370</v>
      </c>
      <c r="B720" s="2" t="s">
        <v>140</v>
      </c>
      <c r="C720" s="2" t="s">
        <v>141</v>
      </c>
      <c r="D720" s="2" t="s">
        <v>142</v>
      </c>
      <c r="E720" s="2" t="s">
        <v>4926</v>
      </c>
      <c r="F720" s="2" t="s">
        <v>4950</v>
      </c>
      <c r="G720" s="2" t="s">
        <v>4928</v>
      </c>
      <c r="H720" s="2" t="s">
        <v>4936</v>
      </c>
      <c r="I720" s="20">
        <v>72953.289999999994</v>
      </c>
      <c r="J720" s="2" t="s">
        <v>4935</v>
      </c>
    </row>
    <row r="721" spans="1:10" ht="15.35" x14ac:dyDescent="0.55000000000000004">
      <c r="A721" s="20">
        <v>18372</v>
      </c>
      <c r="B721" s="2" t="s">
        <v>140</v>
      </c>
      <c r="C721" s="2" t="s">
        <v>141</v>
      </c>
      <c r="D721" s="2" t="s">
        <v>142</v>
      </c>
      <c r="E721" s="2" t="s">
        <v>4926</v>
      </c>
      <c r="F721" s="2" t="s">
        <v>4950</v>
      </c>
      <c r="G721" s="2" t="s">
        <v>4931</v>
      </c>
      <c r="H721" s="2" t="s">
        <v>4937</v>
      </c>
      <c r="I721" s="20">
        <v>93.66</v>
      </c>
      <c r="J721" s="2" t="s">
        <v>4933</v>
      </c>
    </row>
    <row r="722" spans="1:10" ht="15.35" x14ac:dyDescent="0.55000000000000004">
      <c r="A722" s="20">
        <v>18373</v>
      </c>
      <c r="B722" s="2" t="s">
        <v>140</v>
      </c>
      <c r="C722" s="2" t="s">
        <v>141</v>
      </c>
      <c r="D722" s="2" t="s">
        <v>142</v>
      </c>
      <c r="E722" s="2" t="s">
        <v>4926</v>
      </c>
      <c r="F722" s="2" t="s">
        <v>4950</v>
      </c>
      <c r="G722" s="2" t="s">
        <v>4939</v>
      </c>
      <c r="H722" s="2" t="s">
        <v>4946</v>
      </c>
      <c r="I722" s="20">
        <v>4.13</v>
      </c>
      <c r="J722" s="2" t="s">
        <v>5007</v>
      </c>
    </row>
    <row r="723" spans="1:10" ht="15.35" x14ac:dyDescent="0.55000000000000004">
      <c r="A723" s="20">
        <v>18374</v>
      </c>
      <c r="B723" s="2" t="s">
        <v>140</v>
      </c>
      <c r="C723" s="2" t="s">
        <v>141</v>
      </c>
      <c r="D723" s="2" t="s">
        <v>142</v>
      </c>
      <c r="E723" s="2" t="s">
        <v>4926</v>
      </c>
      <c r="F723" s="2" t="s">
        <v>4950</v>
      </c>
      <c r="G723" s="2" t="s">
        <v>4928</v>
      </c>
      <c r="H723" s="2" t="s">
        <v>4953</v>
      </c>
      <c r="I723" s="20">
        <v>5.94</v>
      </c>
      <c r="J723" s="2" t="s">
        <v>4930</v>
      </c>
    </row>
    <row r="724" spans="1:10" ht="15.35" x14ac:dyDescent="0.55000000000000004">
      <c r="A724" s="20">
        <v>18375</v>
      </c>
      <c r="B724" s="2" t="s">
        <v>140</v>
      </c>
      <c r="C724" s="2" t="s">
        <v>141</v>
      </c>
      <c r="D724" s="2" t="s">
        <v>142</v>
      </c>
      <c r="E724" s="2" t="s">
        <v>4926</v>
      </c>
      <c r="F724" s="2" t="s">
        <v>4950</v>
      </c>
      <c r="G724" s="2" t="s">
        <v>4931</v>
      </c>
      <c r="H724" s="2" t="s">
        <v>4952</v>
      </c>
      <c r="I724" s="20">
        <v>99.89</v>
      </c>
      <c r="J724" s="2" t="s">
        <v>4933</v>
      </c>
    </row>
    <row r="725" spans="1:10" ht="15.35" x14ac:dyDescent="0.55000000000000004">
      <c r="A725" s="20">
        <v>18384</v>
      </c>
      <c r="B725" s="2" t="s">
        <v>140</v>
      </c>
      <c r="C725" s="2" t="s">
        <v>141</v>
      </c>
      <c r="D725" s="2" t="s">
        <v>142</v>
      </c>
      <c r="E725" s="2" t="s">
        <v>4926</v>
      </c>
      <c r="F725" s="2" t="s">
        <v>4950</v>
      </c>
      <c r="G725" s="2" t="s">
        <v>4928</v>
      </c>
      <c r="H725" s="2" t="s">
        <v>4934</v>
      </c>
      <c r="I725" s="20">
        <v>77894.28</v>
      </c>
      <c r="J725" s="2" t="s">
        <v>4935</v>
      </c>
    </row>
    <row r="726" spans="1:10" ht="15.35" x14ac:dyDescent="0.55000000000000004">
      <c r="A726" s="20">
        <v>11050</v>
      </c>
      <c r="B726" s="2" t="s">
        <v>140</v>
      </c>
      <c r="C726" s="2" t="s">
        <v>141</v>
      </c>
      <c r="D726" s="2" t="s">
        <v>142</v>
      </c>
      <c r="E726" s="2" t="s">
        <v>378</v>
      </c>
      <c r="F726" s="2" t="s">
        <v>4927</v>
      </c>
      <c r="G726" s="2" t="s">
        <v>4928</v>
      </c>
      <c r="H726" s="2" t="s">
        <v>4953</v>
      </c>
      <c r="I726" s="20">
        <v>7.23</v>
      </c>
      <c r="J726" s="2" t="s">
        <v>4930</v>
      </c>
    </row>
    <row r="727" spans="1:10" ht="15.35" x14ac:dyDescent="0.55000000000000004">
      <c r="A727" s="20">
        <v>11281</v>
      </c>
      <c r="B727" s="2" t="s">
        <v>140</v>
      </c>
      <c r="C727" s="2" t="s">
        <v>141</v>
      </c>
      <c r="D727" s="2" t="s">
        <v>142</v>
      </c>
      <c r="E727" s="2" t="s">
        <v>378</v>
      </c>
      <c r="F727" s="2" t="s">
        <v>4927</v>
      </c>
      <c r="G727" s="2" t="s">
        <v>4928</v>
      </c>
      <c r="H727" s="2" t="s">
        <v>4934</v>
      </c>
      <c r="I727" s="20">
        <v>15280.73</v>
      </c>
      <c r="J727" s="2" t="s">
        <v>4935</v>
      </c>
    </row>
    <row r="728" spans="1:10" ht="15.35" x14ac:dyDescent="0.55000000000000004">
      <c r="A728" s="20">
        <v>11282</v>
      </c>
      <c r="B728" s="2" t="s">
        <v>140</v>
      </c>
      <c r="C728" s="2" t="s">
        <v>141</v>
      </c>
      <c r="D728" s="2" t="s">
        <v>142</v>
      </c>
      <c r="E728" s="2" t="s">
        <v>378</v>
      </c>
      <c r="F728" s="2" t="s">
        <v>4927</v>
      </c>
      <c r="G728" s="2" t="s">
        <v>4928</v>
      </c>
      <c r="H728" s="2" t="s">
        <v>4936</v>
      </c>
      <c r="I728" s="20">
        <v>13683.13</v>
      </c>
      <c r="J728" s="2" t="s">
        <v>4935</v>
      </c>
    </row>
    <row r="729" spans="1:10" ht="15.35" x14ac:dyDescent="0.55000000000000004">
      <c r="A729" s="20">
        <v>11283</v>
      </c>
      <c r="B729" s="2" t="s">
        <v>140</v>
      </c>
      <c r="C729" s="2" t="s">
        <v>141</v>
      </c>
      <c r="D729" s="2" t="s">
        <v>142</v>
      </c>
      <c r="E729" s="2" t="s">
        <v>378</v>
      </c>
      <c r="F729" s="2" t="s">
        <v>4927</v>
      </c>
      <c r="G729" s="2" t="s">
        <v>4931</v>
      </c>
      <c r="H729" s="2" t="s">
        <v>4937</v>
      </c>
      <c r="I729" s="20">
        <v>89.55</v>
      </c>
      <c r="J729" s="2" t="s">
        <v>4933</v>
      </c>
    </row>
    <row r="730" spans="1:10" ht="15.35" x14ac:dyDescent="0.55000000000000004">
      <c r="A730" s="20">
        <v>11285</v>
      </c>
      <c r="B730" s="2" t="s">
        <v>140</v>
      </c>
      <c r="C730" s="2" t="s">
        <v>141</v>
      </c>
      <c r="D730" s="2" t="s">
        <v>142</v>
      </c>
      <c r="E730" s="2" t="s">
        <v>378</v>
      </c>
      <c r="F730" s="2" t="s">
        <v>4927</v>
      </c>
      <c r="G730" s="2" t="s">
        <v>4939</v>
      </c>
      <c r="H730" s="2" t="s">
        <v>4946</v>
      </c>
      <c r="I730" s="20">
        <v>3.25</v>
      </c>
      <c r="J730" s="2" t="s">
        <v>5007</v>
      </c>
    </row>
    <row r="731" spans="1:10" ht="15.35" x14ac:dyDescent="0.55000000000000004">
      <c r="A731" s="20">
        <v>11287</v>
      </c>
      <c r="B731" s="2" t="s">
        <v>140</v>
      </c>
      <c r="C731" s="2" t="s">
        <v>141</v>
      </c>
      <c r="D731" s="2" t="s">
        <v>142</v>
      </c>
      <c r="E731" s="2" t="s">
        <v>378</v>
      </c>
      <c r="F731" s="2" t="s">
        <v>4927</v>
      </c>
      <c r="G731" s="2" t="s">
        <v>4931</v>
      </c>
      <c r="H731" s="2" t="s">
        <v>4952</v>
      </c>
      <c r="I731" s="20">
        <v>99.88</v>
      </c>
      <c r="J731" s="2" t="s">
        <v>4933</v>
      </c>
    </row>
    <row r="732" spans="1:10" ht="15.35" x14ac:dyDescent="0.55000000000000004">
      <c r="A732" s="20">
        <v>11233</v>
      </c>
      <c r="B732" s="2" t="s">
        <v>140</v>
      </c>
      <c r="C732" s="2" t="s">
        <v>141</v>
      </c>
      <c r="D732" s="2" t="s">
        <v>142</v>
      </c>
      <c r="E732" s="2" t="s">
        <v>378</v>
      </c>
      <c r="F732" s="2" t="s">
        <v>4938</v>
      </c>
      <c r="G732" s="2" t="s">
        <v>4931</v>
      </c>
      <c r="H732" s="2" t="s">
        <v>4952</v>
      </c>
      <c r="I732" s="20">
        <v>99.73</v>
      </c>
      <c r="J732" s="2" t="s">
        <v>4933</v>
      </c>
    </row>
    <row r="733" spans="1:10" ht="15.35" x14ac:dyDescent="0.55000000000000004">
      <c r="A733" s="20">
        <v>11241</v>
      </c>
      <c r="B733" s="2" t="s">
        <v>140</v>
      </c>
      <c r="C733" s="2" t="s">
        <v>141</v>
      </c>
      <c r="D733" s="2" t="s">
        <v>142</v>
      </c>
      <c r="E733" s="2" t="s">
        <v>378</v>
      </c>
      <c r="F733" s="2" t="s">
        <v>4938</v>
      </c>
      <c r="G733" s="2" t="s">
        <v>4928</v>
      </c>
      <c r="H733" s="2" t="s">
        <v>4953</v>
      </c>
      <c r="I733" s="20">
        <v>7.61</v>
      </c>
      <c r="J733" s="2" t="s">
        <v>4930</v>
      </c>
    </row>
    <row r="734" spans="1:10" ht="15.35" x14ac:dyDescent="0.55000000000000004">
      <c r="A734" s="20">
        <v>11252</v>
      </c>
      <c r="B734" s="2" t="s">
        <v>140</v>
      </c>
      <c r="C734" s="2" t="s">
        <v>141</v>
      </c>
      <c r="D734" s="2" t="s">
        <v>142</v>
      </c>
      <c r="E734" s="2" t="s">
        <v>378</v>
      </c>
      <c r="F734" s="2" t="s">
        <v>4938</v>
      </c>
      <c r="G734" s="2" t="s">
        <v>4939</v>
      </c>
      <c r="H734" s="2" t="s">
        <v>4946</v>
      </c>
      <c r="I734" s="20">
        <v>3.16</v>
      </c>
      <c r="J734" s="2" t="s">
        <v>5007</v>
      </c>
    </row>
    <row r="735" spans="1:10" ht="15.35" x14ac:dyDescent="0.55000000000000004">
      <c r="A735" s="20">
        <v>11253</v>
      </c>
      <c r="B735" s="2" t="s">
        <v>140</v>
      </c>
      <c r="C735" s="2" t="s">
        <v>141</v>
      </c>
      <c r="D735" s="2" t="s">
        <v>142</v>
      </c>
      <c r="E735" s="2" t="s">
        <v>378</v>
      </c>
      <c r="F735" s="2" t="s">
        <v>4938</v>
      </c>
      <c r="G735" s="2" t="s">
        <v>4931</v>
      </c>
      <c r="H735" s="2" t="s">
        <v>4937</v>
      </c>
      <c r="I735" s="20">
        <v>99.24</v>
      </c>
      <c r="J735" s="2" t="s">
        <v>4933</v>
      </c>
    </row>
    <row r="736" spans="1:10" ht="15.35" x14ac:dyDescent="0.55000000000000004">
      <c r="A736" s="20">
        <v>11254</v>
      </c>
      <c r="B736" s="2" t="s">
        <v>140</v>
      </c>
      <c r="C736" s="2" t="s">
        <v>141</v>
      </c>
      <c r="D736" s="2" t="s">
        <v>142</v>
      </c>
      <c r="E736" s="2" t="s">
        <v>378</v>
      </c>
      <c r="F736" s="2" t="s">
        <v>4938</v>
      </c>
      <c r="G736" s="2" t="s">
        <v>4928</v>
      </c>
      <c r="H736" s="2" t="s">
        <v>4936</v>
      </c>
      <c r="I736" s="20">
        <v>15164</v>
      </c>
      <c r="J736" s="2" t="s">
        <v>4935</v>
      </c>
    </row>
    <row r="737" spans="1:10" ht="15.35" x14ac:dyDescent="0.55000000000000004">
      <c r="A737" s="20">
        <v>11273</v>
      </c>
      <c r="B737" s="2" t="s">
        <v>140</v>
      </c>
      <c r="C737" s="2" t="s">
        <v>141</v>
      </c>
      <c r="D737" s="2" t="s">
        <v>142</v>
      </c>
      <c r="E737" s="2" t="s">
        <v>378</v>
      </c>
      <c r="F737" s="2" t="s">
        <v>4938</v>
      </c>
      <c r="G737" s="2" t="s">
        <v>4928</v>
      </c>
      <c r="H737" s="2" t="s">
        <v>4934</v>
      </c>
      <c r="I737" s="20">
        <v>15280.73</v>
      </c>
      <c r="J737" s="2" t="s">
        <v>4935</v>
      </c>
    </row>
    <row r="738" spans="1:10" ht="15.35" x14ac:dyDescent="0.55000000000000004">
      <c r="A738" s="20">
        <v>12444</v>
      </c>
      <c r="B738" s="2" t="s">
        <v>140</v>
      </c>
      <c r="C738" s="2" t="s">
        <v>141</v>
      </c>
      <c r="D738" s="2" t="s">
        <v>142</v>
      </c>
      <c r="E738" s="2" t="s">
        <v>378</v>
      </c>
      <c r="F738" s="2" t="s">
        <v>4942</v>
      </c>
      <c r="G738" s="2" t="s">
        <v>4931</v>
      </c>
      <c r="H738" s="2" t="s">
        <v>4952</v>
      </c>
      <c r="I738" s="20">
        <v>99.99</v>
      </c>
      <c r="J738" s="2" t="s">
        <v>4933</v>
      </c>
    </row>
    <row r="739" spans="1:10" ht="15.35" x14ac:dyDescent="0.55000000000000004">
      <c r="A739" s="20">
        <v>12446</v>
      </c>
      <c r="B739" s="2" t="s">
        <v>140</v>
      </c>
      <c r="C739" s="2" t="s">
        <v>141</v>
      </c>
      <c r="D739" s="2" t="s">
        <v>142</v>
      </c>
      <c r="E739" s="2" t="s">
        <v>378</v>
      </c>
      <c r="F739" s="2" t="s">
        <v>4942</v>
      </c>
      <c r="G739" s="2" t="s">
        <v>4928</v>
      </c>
      <c r="H739" s="2" t="s">
        <v>4953</v>
      </c>
      <c r="I739" s="20">
        <v>7.43</v>
      </c>
      <c r="J739" s="2" t="s">
        <v>4930</v>
      </c>
    </row>
    <row r="740" spans="1:10" ht="15.35" x14ac:dyDescent="0.55000000000000004">
      <c r="A740" s="20">
        <v>12447</v>
      </c>
      <c r="B740" s="2" t="s">
        <v>140</v>
      </c>
      <c r="C740" s="2" t="s">
        <v>141</v>
      </c>
      <c r="D740" s="2" t="s">
        <v>142</v>
      </c>
      <c r="E740" s="2" t="s">
        <v>378</v>
      </c>
      <c r="F740" s="2" t="s">
        <v>4942</v>
      </c>
      <c r="G740" s="2" t="s">
        <v>4931</v>
      </c>
      <c r="H740" s="2" t="s">
        <v>4937</v>
      </c>
      <c r="I740" s="20">
        <v>90.41</v>
      </c>
      <c r="J740" s="2" t="s">
        <v>4933</v>
      </c>
    </row>
    <row r="741" spans="1:10" ht="15.35" x14ac:dyDescent="0.55000000000000004">
      <c r="A741" s="20">
        <v>12448</v>
      </c>
      <c r="B741" s="2" t="s">
        <v>140</v>
      </c>
      <c r="C741" s="2" t="s">
        <v>141</v>
      </c>
      <c r="D741" s="2" t="s">
        <v>142</v>
      </c>
      <c r="E741" s="2" t="s">
        <v>378</v>
      </c>
      <c r="F741" s="2" t="s">
        <v>4942</v>
      </c>
      <c r="G741" s="2" t="s">
        <v>4928</v>
      </c>
      <c r="H741" s="2" t="s">
        <v>4936</v>
      </c>
      <c r="I741" s="20">
        <v>13815.41</v>
      </c>
      <c r="J741" s="2" t="s">
        <v>4935</v>
      </c>
    </row>
    <row r="742" spans="1:10" ht="15.35" x14ac:dyDescent="0.55000000000000004">
      <c r="A742" s="20">
        <v>12449</v>
      </c>
      <c r="B742" s="2" t="s">
        <v>140</v>
      </c>
      <c r="C742" s="2" t="s">
        <v>141</v>
      </c>
      <c r="D742" s="2" t="s">
        <v>142</v>
      </c>
      <c r="E742" s="2" t="s">
        <v>378</v>
      </c>
      <c r="F742" s="2" t="s">
        <v>4942</v>
      </c>
      <c r="G742" s="2" t="s">
        <v>4928</v>
      </c>
      <c r="H742" s="2" t="s">
        <v>4934</v>
      </c>
      <c r="I742" s="20">
        <v>15280.73</v>
      </c>
      <c r="J742" s="2" t="s">
        <v>4935</v>
      </c>
    </row>
    <row r="743" spans="1:10" ht="15.35" x14ac:dyDescent="0.55000000000000004">
      <c r="A743" s="20">
        <v>12453</v>
      </c>
      <c r="B743" s="2" t="s">
        <v>140</v>
      </c>
      <c r="C743" s="2" t="s">
        <v>141</v>
      </c>
      <c r="D743" s="2" t="s">
        <v>142</v>
      </c>
      <c r="E743" s="2" t="s">
        <v>378</v>
      </c>
      <c r="F743" s="2" t="s">
        <v>4942</v>
      </c>
      <c r="G743" s="2" t="s">
        <v>4939</v>
      </c>
      <c r="H743" s="2" t="s">
        <v>4946</v>
      </c>
      <c r="I743" s="20">
        <v>3.29</v>
      </c>
      <c r="J743" s="2" t="s">
        <v>5007</v>
      </c>
    </row>
    <row r="744" spans="1:10" ht="15.35" x14ac:dyDescent="0.55000000000000004">
      <c r="A744" s="20">
        <v>14125</v>
      </c>
      <c r="B744" s="2" t="s">
        <v>140</v>
      </c>
      <c r="C744" s="2" t="s">
        <v>141</v>
      </c>
      <c r="D744" s="2" t="s">
        <v>142</v>
      </c>
      <c r="E744" s="2" t="s">
        <v>378</v>
      </c>
      <c r="F744" s="2" t="s">
        <v>4947</v>
      </c>
      <c r="G744" s="2" t="s">
        <v>4931</v>
      </c>
      <c r="H744" s="2" t="s">
        <v>4952</v>
      </c>
      <c r="I744" s="20">
        <v>99.88</v>
      </c>
      <c r="J744" s="2" t="s">
        <v>4933</v>
      </c>
    </row>
    <row r="745" spans="1:10" ht="15.35" x14ac:dyDescent="0.55000000000000004">
      <c r="A745" s="20">
        <v>14136</v>
      </c>
      <c r="B745" s="2" t="s">
        <v>140</v>
      </c>
      <c r="C745" s="2" t="s">
        <v>141</v>
      </c>
      <c r="D745" s="2" t="s">
        <v>142</v>
      </c>
      <c r="E745" s="2" t="s">
        <v>378</v>
      </c>
      <c r="F745" s="2" t="s">
        <v>4947</v>
      </c>
      <c r="G745" s="2" t="s">
        <v>4928</v>
      </c>
      <c r="H745" s="2" t="s">
        <v>4953</v>
      </c>
      <c r="I745" s="20">
        <v>7.23</v>
      </c>
      <c r="J745" s="2" t="s">
        <v>4930</v>
      </c>
    </row>
    <row r="746" spans="1:10" ht="15.35" x14ac:dyDescent="0.55000000000000004">
      <c r="A746" s="20">
        <v>14137</v>
      </c>
      <c r="B746" s="2" t="s">
        <v>140</v>
      </c>
      <c r="C746" s="2" t="s">
        <v>141</v>
      </c>
      <c r="D746" s="2" t="s">
        <v>142</v>
      </c>
      <c r="E746" s="2" t="s">
        <v>378</v>
      </c>
      <c r="F746" s="2" t="s">
        <v>4947</v>
      </c>
      <c r="G746" s="2" t="s">
        <v>4939</v>
      </c>
      <c r="H746" s="2" t="s">
        <v>4946</v>
      </c>
      <c r="I746" s="20">
        <v>3.31</v>
      </c>
      <c r="J746" s="2" t="s">
        <v>5007</v>
      </c>
    </row>
    <row r="747" spans="1:10" ht="15.35" x14ac:dyDescent="0.55000000000000004">
      <c r="A747" s="20">
        <v>14151</v>
      </c>
      <c r="B747" s="2" t="s">
        <v>140</v>
      </c>
      <c r="C747" s="2" t="s">
        <v>141</v>
      </c>
      <c r="D747" s="2" t="s">
        <v>142</v>
      </c>
      <c r="E747" s="2" t="s">
        <v>378</v>
      </c>
      <c r="F747" s="2" t="s">
        <v>4947</v>
      </c>
      <c r="G747" s="2" t="s">
        <v>4928</v>
      </c>
      <c r="H747" s="2" t="s">
        <v>4934</v>
      </c>
      <c r="I747" s="20">
        <v>15280.73</v>
      </c>
      <c r="J747" s="2" t="s">
        <v>4935</v>
      </c>
    </row>
    <row r="748" spans="1:10" ht="15.35" x14ac:dyDescent="0.55000000000000004">
      <c r="A748" s="20">
        <v>14152</v>
      </c>
      <c r="B748" s="2" t="s">
        <v>140</v>
      </c>
      <c r="C748" s="2" t="s">
        <v>141</v>
      </c>
      <c r="D748" s="2" t="s">
        <v>142</v>
      </c>
      <c r="E748" s="2" t="s">
        <v>378</v>
      </c>
      <c r="F748" s="2" t="s">
        <v>4947</v>
      </c>
      <c r="G748" s="2" t="s">
        <v>4928</v>
      </c>
      <c r="H748" s="2" t="s">
        <v>4936</v>
      </c>
      <c r="I748" s="20">
        <v>13683.13</v>
      </c>
      <c r="J748" s="2" t="s">
        <v>4935</v>
      </c>
    </row>
    <row r="749" spans="1:10" ht="15.35" x14ac:dyDescent="0.55000000000000004">
      <c r="A749" s="20">
        <v>14153</v>
      </c>
      <c r="B749" s="2" t="s">
        <v>140</v>
      </c>
      <c r="C749" s="2" t="s">
        <v>141</v>
      </c>
      <c r="D749" s="2" t="s">
        <v>142</v>
      </c>
      <c r="E749" s="2" t="s">
        <v>378</v>
      </c>
      <c r="F749" s="2" t="s">
        <v>4947</v>
      </c>
      <c r="G749" s="2" t="s">
        <v>4931</v>
      </c>
      <c r="H749" s="2" t="s">
        <v>4937</v>
      </c>
      <c r="I749" s="20">
        <v>89.55</v>
      </c>
      <c r="J749" s="2" t="s">
        <v>4933</v>
      </c>
    </row>
    <row r="750" spans="1:10" ht="15.35" x14ac:dyDescent="0.55000000000000004">
      <c r="A750" s="20">
        <v>11278</v>
      </c>
      <c r="B750" s="2" t="s">
        <v>140</v>
      </c>
      <c r="C750" s="2" t="s">
        <v>141</v>
      </c>
      <c r="D750" s="2" t="s">
        <v>142</v>
      </c>
      <c r="E750" s="2" t="s">
        <v>378</v>
      </c>
      <c r="F750" s="2" t="s">
        <v>4943</v>
      </c>
      <c r="G750" s="2" t="s">
        <v>4939</v>
      </c>
      <c r="H750" s="2" t="s">
        <v>4946</v>
      </c>
      <c r="I750" s="20">
        <v>3.44</v>
      </c>
      <c r="J750" s="2" t="s">
        <v>5007</v>
      </c>
    </row>
    <row r="751" spans="1:10" ht="15.35" x14ac:dyDescent="0.55000000000000004">
      <c r="A751" s="20">
        <v>11279</v>
      </c>
      <c r="B751" s="2" t="s">
        <v>140</v>
      </c>
      <c r="C751" s="2" t="s">
        <v>141</v>
      </c>
      <c r="D751" s="2" t="s">
        <v>142</v>
      </c>
      <c r="E751" s="2" t="s">
        <v>378</v>
      </c>
      <c r="F751" s="2" t="s">
        <v>4943</v>
      </c>
      <c r="G751" s="2" t="s">
        <v>4928</v>
      </c>
      <c r="H751" s="2" t="s">
        <v>4953</v>
      </c>
      <c r="I751" s="20">
        <v>6.95</v>
      </c>
      <c r="J751" s="2" t="s">
        <v>4930</v>
      </c>
    </row>
    <row r="752" spans="1:10" ht="15.35" x14ac:dyDescent="0.55000000000000004">
      <c r="A752" s="20">
        <v>11280</v>
      </c>
      <c r="B752" s="2" t="s">
        <v>140</v>
      </c>
      <c r="C752" s="2" t="s">
        <v>141</v>
      </c>
      <c r="D752" s="2" t="s">
        <v>142</v>
      </c>
      <c r="E752" s="2" t="s">
        <v>378</v>
      </c>
      <c r="F752" s="2" t="s">
        <v>4943</v>
      </c>
      <c r="G752" s="2" t="s">
        <v>4931</v>
      </c>
      <c r="H752" s="2" t="s">
        <v>4952</v>
      </c>
      <c r="I752" s="20">
        <v>97.57</v>
      </c>
      <c r="J752" s="2" t="s">
        <v>4933</v>
      </c>
    </row>
    <row r="753" spans="1:10" ht="15.35" x14ac:dyDescent="0.55000000000000004">
      <c r="A753" s="20">
        <v>11286</v>
      </c>
      <c r="B753" s="2" t="s">
        <v>140</v>
      </c>
      <c r="C753" s="2" t="s">
        <v>141</v>
      </c>
      <c r="D753" s="2" t="s">
        <v>142</v>
      </c>
      <c r="E753" s="2" t="s">
        <v>378</v>
      </c>
      <c r="F753" s="2" t="s">
        <v>4943</v>
      </c>
      <c r="G753" s="2" t="s">
        <v>4931</v>
      </c>
      <c r="H753" s="2" t="s">
        <v>4937</v>
      </c>
      <c r="I753" s="20">
        <v>90.41</v>
      </c>
      <c r="J753" s="2" t="s">
        <v>4933</v>
      </c>
    </row>
    <row r="754" spans="1:10" ht="15.35" x14ac:dyDescent="0.55000000000000004">
      <c r="A754" s="20">
        <v>11297</v>
      </c>
      <c r="B754" s="2" t="s">
        <v>140</v>
      </c>
      <c r="C754" s="2" t="s">
        <v>141</v>
      </c>
      <c r="D754" s="2" t="s">
        <v>142</v>
      </c>
      <c r="E754" s="2" t="s">
        <v>378</v>
      </c>
      <c r="F754" s="2" t="s">
        <v>4943</v>
      </c>
      <c r="G754" s="2" t="s">
        <v>4928</v>
      </c>
      <c r="H754" s="2" t="s">
        <v>4936</v>
      </c>
      <c r="I754" s="20">
        <v>13815.41</v>
      </c>
      <c r="J754" s="2" t="s">
        <v>4935</v>
      </c>
    </row>
    <row r="755" spans="1:10" ht="15.35" x14ac:dyDescent="0.55000000000000004">
      <c r="A755" s="20">
        <v>11298</v>
      </c>
      <c r="B755" s="2" t="s">
        <v>140</v>
      </c>
      <c r="C755" s="2" t="s">
        <v>141</v>
      </c>
      <c r="D755" s="2" t="s">
        <v>142</v>
      </c>
      <c r="E755" s="2" t="s">
        <v>378</v>
      </c>
      <c r="F755" s="2" t="s">
        <v>4943</v>
      </c>
      <c r="G755" s="2" t="s">
        <v>4928</v>
      </c>
      <c r="H755" s="2" t="s">
        <v>4934</v>
      </c>
      <c r="I755" s="20">
        <v>15280.73</v>
      </c>
      <c r="J755" s="2" t="s">
        <v>4935</v>
      </c>
    </row>
    <row r="756" spans="1:10" ht="15.35" x14ac:dyDescent="0.55000000000000004">
      <c r="A756" s="20">
        <v>11234</v>
      </c>
      <c r="B756" s="2" t="s">
        <v>140</v>
      </c>
      <c r="C756" s="2" t="s">
        <v>141</v>
      </c>
      <c r="D756" s="2" t="s">
        <v>142</v>
      </c>
      <c r="E756" s="2" t="s">
        <v>378</v>
      </c>
      <c r="F756" s="2" t="s">
        <v>4944</v>
      </c>
      <c r="G756" s="2" t="s">
        <v>4928</v>
      </c>
      <c r="H756" s="2" t="s">
        <v>4934</v>
      </c>
      <c r="I756" s="20">
        <v>15280.73</v>
      </c>
      <c r="J756" s="2" t="s">
        <v>4935</v>
      </c>
    </row>
    <row r="757" spans="1:10" ht="15.35" x14ac:dyDescent="0.55000000000000004">
      <c r="A757" s="20">
        <v>11235</v>
      </c>
      <c r="B757" s="2" t="s">
        <v>140</v>
      </c>
      <c r="C757" s="2" t="s">
        <v>141</v>
      </c>
      <c r="D757" s="2" t="s">
        <v>142</v>
      </c>
      <c r="E757" s="2" t="s">
        <v>378</v>
      </c>
      <c r="F757" s="2" t="s">
        <v>4944</v>
      </c>
      <c r="G757" s="2" t="s">
        <v>4928</v>
      </c>
      <c r="H757" s="2" t="s">
        <v>4936</v>
      </c>
      <c r="I757" s="20">
        <v>13932.14</v>
      </c>
      <c r="J757" s="2" t="s">
        <v>4935</v>
      </c>
    </row>
    <row r="758" spans="1:10" ht="15.35" x14ac:dyDescent="0.55000000000000004">
      <c r="A758" s="20">
        <v>11237</v>
      </c>
      <c r="B758" s="2" t="s">
        <v>140</v>
      </c>
      <c r="C758" s="2" t="s">
        <v>141</v>
      </c>
      <c r="D758" s="2" t="s">
        <v>142</v>
      </c>
      <c r="E758" s="2" t="s">
        <v>378</v>
      </c>
      <c r="F758" s="2" t="s">
        <v>4944</v>
      </c>
      <c r="G758" s="2" t="s">
        <v>4931</v>
      </c>
      <c r="H758" s="2" t="s">
        <v>4937</v>
      </c>
      <c r="I758" s="20">
        <v>91.17</v>
      </c>
      <c r="J758" s="2" t="s">
        <v>4933</v>
      </c>
    </row>
    <row r="759" spans="1:10" ht="15.35" x14ac:dyDescent="0.55000000000000004">
      <c r="A759" s="20">
        <v>11238</v>
      </c>
      <c r="B759" s="2" t="s">
        <v>140</v>
      </c>
      <c r="C759" s="2" t="s">
        <v>141</v>
      </c>
      <c r="D759" s="2" t="s">
        <v>142</v>
      </c>
      <c r="E759" s="2" t="s">
        <v>378</v>
      </c>
      <c r="F759" s="2" t="s">
        <v>4944</v>
      </c>
      <c r="G759" s="2" t="s">
        <v>4928</v>
      </c>
      <c r="H759" s="2" t="s">
        <v>4953</v>
      </c>
      <c r="I759" s="20">
        <v>6.7</v>
      </c>
      <c r="J759" s="2" t="s">
        <v>4930</v>
      </c>
    </row>
    <row r="760" spans="1:10" ht="15.35" x14ac:dyDescent="0.55000000000000004">
      <c r="A760" s="20">
        <v>11239</v>
      </c>
      <c r="B760" s="2" t="s">
        <v>140</v>
      </c>
      <c r="C760" s="2" t="s">
        <v>141</v>
      </c>
      <c r="D760" s="2" t="s">
        <v>142</v>
      </c>
      <c r="E760" s="2" t="s">
        <v>378</v>
      </c>
      <c r="F760" s="2" t="s">
        <v>4944</v>
      </c>
      <c r="G760" s="2" t="s">
        <v>4931</v>
      </c>
      <c r="H760" s="2" t="s">
        <v>4952</v>
      </c>
      <c r="I760" s="20">
        <v>99.75</v>
      </c>
      <c r="J760" s="2" t="s">
        <v>4933</v>
      </c>
    </row>
    <row r="761" spans="1:10" ht="15.35" x14ac:dyDescent="0.55000000000000004">
      <c r="A761" s="20">
        <v>11250</v>
      </c>
      <c r="B761" s="2" t="s">
        <v>140</v>
      </c>
      <c r="C761" s="2" t="s">
        <v>141</v>
      </c>
      <c r="D761" s="2" t="s">
        <v>142</v>
      </c>
      <c r="E761" s="2" t="s">
        <v>378</v>
      </c>
      <c r="F761" s="2" t="s">
        <v>4944</v>
      </c>
      <c r="G761" s="2" t="s">
        <v>4939</v>
      </c>
      <c r="H761" s="2" t="s">
        <v>4946</v>
      </c>
      <c r="I761" s="20">
        <v>3.08</v>
      </c>
      <c r="J761" s="2" t="s">
        <v>5007</v>
      </c>
    </row>
    <row r="762" spans="1:10" ht="15.35" x14ac:dyDescent="0.55000000000000004">
      <c r="A762" s="20">
        <v>12465</v>
      </c>
      <c r="B762" s="2" t="s">
        <v>140</v>
      </c>
      <c r="C762" s="2" t="s">
        <v>141</v>
      </c>
      <c r="D762" s="2" t="s">
        <v>142</v>
      </c>
      <c r="E762" s="2" t="s">
        <v>378</v>
      </c>
      <c r="F762" s="2" t="s">
        <v>4945</v>
      </c>
      <c r="G762" s="2" t="s">
        <v>4931</v>
      </c>
      <c r="H762" s="2" t="s">
        <v>4952</v>
      </c>
      <c r="I762" s="20">
        <v>99.82</v>
      </c>
      <c r="J762" s="2" t="s">
        <v>4933</v>
      </c>
    </row>
    <row r="763" spans="1:10" ht="15.35" x14ac:dyDescent="0.55000000000000004">
      <c r="A763" s="20">
        <v>12466</v>
      </c>
      <c r="B763" s="2" t="s">
        <v>140</v>
      </c>
      <c r="C763" s="2" t="s">
        <v>141</v>
      </c>
      <c r="D763" s="2" t="s">
        <v>142</v>
      </c>
      <c r="E763" s="2" t="s">
        <v>378</v>
      </c>
      <c r="F763" s="2" t="s">
        <v>4945</v>
      </c>
      <c r="G763" s="2" t="s">
        <v>4928</v>
      </c>
      <c r="H763" s="2" t="s">
        <v>4953</v>
      </c>
      <c r="I763" s="20">
        <v>6.59</v>
      </c>
      <c r="J763" s="2" t="s">
        <v>4930</v>
      </c>
    </row>
    <row r="764" spans="1:10" ht="15.35" x14ac:dyDescent="0.55000000000000004">
      <c r="A764" s="20">
        <v>12467</v>
      </c>
      <c r="B764" s="2" t="s">
        <v>140</v>
      </c>
      <c r="C764" s="2" t="s">
        <v>141</v>
      </c>
      <c r="D764" s="2" t="s">
        <v>142</v>
      </c>
      <c r="E764" s="2" t="s">
        <v>378</v>
      </c>
      <c r="F764" s="2" t="s">
        <v>4945</v>
      </c>
      <c r="G764" s="2" t="s">
        <v>4939</v>
      </c>
      <c r="H764" s="2" t="s">
        <v>4946</v>
      </c>
      <c r="I764" s="20">
        <v>3.38</v>
      </c>
      <c r="J764" s="2" t="s">
        <v>5007</v>
      </c>
    </row>
    <row r="765" spans="1:10" ht="15.35" x14ac:dyDescent="0.55000000000000004">
      <c r="A765" s="20">
        <v>12468</v>
      </c>
      <c r="B765" s="2" t="s">
        <v>140</v>
      </c>
      <c r="C765" s="2" t="s">
        <v>141</v>
      </c>
      <c r="D765" s="2" t="s">
        <v>142</v>
      </c>
      <c r="E765" s="2" t="s">
        <v>378</v>
      </c>
      <c r="F765" s="2" t="s">
        <v>4945</v>
      </c>
      <c r="G765" s="2" t="s">
        <v>4931</v>
      </c>
      <c r="H765" s="2" t="s">
        <v>4937</v>
      </c>
      <c r="I765" s="20">
        <v>91.17</v>
      </c>
      <c r="J765" s="2" t="s">
        <v>4933</v>
      </c>
    </row>
    <row r="766" spans="1:10" ht="15.35" x14ac:dyDescent="0.55000000000000004">
      <c r="A766" s="20">
        <v>12469</v>
      </c>
      <c r="B766" s="2" t="s">
        <v>140</v>
      </c>
      <c r="C766" s="2" t="s">
        <v>141</v>
      </c>
      <c r="D766" s="2" t="s">
        <v>142</v>
      </c>
      <c r="E766" s="2" t="s">
        <v>378</v>
      </c>
      <c r="F766" s="2" t="s">
        <v>4945</v>
      </c>
      <c r="G766" s="2" t="s">
        <v>4928</v>
      </c>
      <c r="H766" s="2" t="s">
        <v>4936</v>
      </c>
      <c r="I766" s="20">
        <v>13932.14</v>
      </c>
      <c r="J766" s="2" t="s">
        <v>4935</v>
      </c>
    </row>
    <row r="767" spans="1:10" ht="15.35" x14ac:dyDescent="0.55000000000000004">
      <c r="A767" s="20">
        <v>12470</v>
      </c>
      <c r="B767" s="2" t="s">
        <v>140</v>
      </c>
      <c r="C767" s="2" t="s">
        <v>141</v>
      </c>
      <c r="D767" s="2" t="s">
        <v>142</v>
      </c>
      <c r="E767" s="2" t="s">
        <v>378</v>
      </c>
      <c r="F767" s="2" t="s">
        <v>4945</v>
      </c>
      <c r="G767" s="2" t="s">
        <v>4928</v>
      </c>
      <c r="H767" s="2" t="s">
        <v>4934</v>
      </c>
      <c r="I767" s="20">
        <v>15280.73</v>
      </c>
      <c r="J767" s="2" t="s">
        <v>4935</v>
      </c>
    </row>
    <row r="768" spans="1:10" ht="15.35" x14ac:dyDescent="0.55000000000000004">
      <c r="A768" s="20">
        <v>14098</v>
      </c>
      <c r="B768" s="2" t="s">
        <v>140</v>
      </c>
      <c r="C768" s="2" t="s">
        <v>141</v>
      </c>
      <c r="D768" s="2" t="s">
        <v>142</v>
      </c>
      <c r="E768" s="2" t="s">
        <v>378</v>
      </c>
      <c r="F768" s="2" t="s">
        <v>4948</v>
      </c>
      <c r="G768" s="2" t="s">
        <v>4931</v>
      </c>
      <c r="H768" s="2" t="s">
        <v>4937</v>
      </c>
      <c r="I768" s="20">
        <v>91.17</v>
      </c>
      <c r="J768" s="2" t="s">
        <v>4933</v>
      </c>
    </row>
    <row r="769" spans="1:10" ht="15.35" x14ac:dyDescent="0.55000000000000004">
      <c r="A769" s="20">
        <v>14100</v>
      </c>
      <c r="B769" s="2" t="s">
        <v>140</v>
      </c>
      <c r="C769" s="2" t="s">
        <v>141</v>
      </c>
      <c r="D769" s="2" t="s">
        <v>142</v>
      </c>
      <c r="E769" s="2" t="s">
        <v>378</v>
      </c>
      <c r="F769" s="2" t="s">
        <v>4948</v>
      </c>
      <c r="G769" s="2" t="s">
        <v>4931</v>
      </c>
      <c r="H769" s="2" t="s">
        <v>4952</v>
      </c>
      <c r="I769" s="20">
        <v>99.89</v>
      </c>
      <c r="J769" s="2" t="s">
        <v>4933</v>
      </c>
    </row>
    <row r="770" spans="1:10" ht="15.35" x14ac:dyDescent="0.55000000000000004">
      <c r="A770" s="20">
        <v>14101</v>
      </c>
      <c r="B770" s="2" t="s">
        <v>140</v>
      </c>
      <c r="C770" s="2" t="s">
        <v>141</v>
      </c>
      <c r="D770" s="2" t="s">
        <v>142</v>
      </c>
      <c r="E770" s="2" t="s">
        <v>378</v>
      </c>
      <c r="F770" s="2" t="s">
        <v>4948</v>
      </c>
      <c r="G770" s="2" t="s">
        <v>4928</v>
      </c>
      <c r="H770" s="2" t="s">
        <v>4953</v>
      </c>
      <c r="I770" s="20">
        <v>6.36</v>
      </c>
      <c r="J770" s="2" t="s">
        <v>4930</v>
      </c>
    </row>
    <row r="771" spans="1:10" ht="15.35" x14ac:dyDescent="0.55000000000000004">
      <c r="A771" s="20">
        <v>14102</v>
      </c>
      <c r="B771" s="2" t="s">
        <v>140</v>
      </c>
      <c r="C771" s="2" t="s">
        <v>141</v>
      </c>
      <c r="D771" s="2" t="s">
        <v>142</v>
      </c>
      <c r="E771" s="2" t="s">
        <v>378</v>
      </c>
      <c r="F771" s="2" t="s">
        <v>4948</v>
      </c>
      <c r="G771" s="2" t="s">
        <v>4939</v>
      </c>
      <c r="H771" s="2" t="s">
        <v>4946</v>
      </c>
      <c r="I771" s="20">
        <v>3.5</v>
      </c>
      <c r="J771" s="2" t="s">
        <v>5007</v>
      </c>
    </row>
    <row r="772" spans="1:10" ht="15.35" x14ac:dyDescent="0.55000000000000004">
      <c r="A772" s="20">
        <v>14108</v>
      </c>
      <c r="B772" s="2" t="s">
        <v>140</v>
      </c>
      <c r="C772" s="2" t="s">
        <v>141</v>
      </c>
      <c r="D772" s="2" t="s">
        <v>142</v>
      </c>
      <c r="E772" s="2" t="s">
        <v>378</v>
      </c>
      <c r="F772" s="2" t="s">
        <v>4948</v>
      </c>
      <c r="G772" s="2" t="s">
        <v>4928</v>
      </c>
      <c r="H772" s="2" t="s">
        <v>4936</v>
      </c>
      <c r="I772" s="20">
        <v>13932.14</v>
      </c>
      <c r="J772" s="2" t="s">
        <v>4935</v>
      </c>
    </row>
    <row r="773" spans="1:10" ht="15.35" x14ac:dyDescent="0.55000000000000004">
      <c r="A773" s="20">
        <v>14116</v>
      </c>
      <c r="B773" s="2" t="s">
        <v>140</v>
      </c>
      <c r="C773" s="2" t="s">
        <v>141</v>
      </c>
      <c r="D773" s="2" t="s">
        <v>142</v>
      </c>
      <c r="E773" s="2" t="s">
        <v>378</v>
      </c>
      <c r="F773" s="2" t="s">
        <v>4948</v>
      </c>
      <c r="G773" s="2" t="s">
        <v>4928</v>
      </c>
      <c r="H773" s="2" t="s">
        <v>4934</v>
      </c>
      <c r="I773" s="20">
        <v>15280.73</v>
      </c>
      <c r="J773" s="2" t="s">
        <v>4935</v>
      </c>
    </row>
    <row r="774" spans="1:10" ht="15.35" x14ac:dyDescent="0.55000000000000004">
      <c r="A774" s="20">
        <v>17353</v>
      </c>
      <c r="B774" s="2" t="s">
        <v>140</v>
      </c>
      <c r="C774" s="2" t="s">
        <v>141</v>
      </c>
      <c r="D774" s="2" t="s">
        <v>142</v>
      </c>
      <c r="E774" s="2" t="s">
        <v>378</v>
      </c>
      <c r="F774" s="2" t="s">
        <v>4949</v>
      </c>
      <c r="G774" s="2" t="s">
        <v>4931</v>
      </c>
      <c r="H774" s="2" t="s">
        <v>4952</v>
      </c>
      <c r="I774" s="20">
        <v>99.54</v>
      </c>
      <c r="J774" s="2" t="s">
        <v>4933</v>
      </c>
    </row>
    <row r="775" spans="1:10" ht="15.35" x14ac:dyDescent="0.55000000000000004">
      <c r="A775" s="20">
        <v>17390</v>
      </c>
      <c r="B775" s="2" t="s">
        <v>140</v>
      </c>
      <c r="C775" s="2" t="s">
        <v>141</v>
      </c>
      <c r="D775" s="2" t="s">
        <v>142</v>
      </c>
      <c r="E775" s="2" t="s">
        <v>378</v>
      </c>
      <c r="F775" s="2" t="s">
        <v>4949</v>
      </c>
      <c r="G775" s="2" t="s">
        <v>4928</v>
      </c>
      <c r="H775" s="2" t="s">
        <v>4934</v>
      </c>
      <c r="I775" s="20">
        <v>15280.73</v>
      </c>
      <c r="J775" s="2" t="s">
        <v>4935</v>
      </c>
    </row>
    <row r="776" spans="1:10" ht="15.35" x14ac:dyDescent="0.55000000000000004">
      <c r="A776" s="20">
        <v>17391</v>
      </c>
      <c r="B776" s="2" t="s">
        <v>140</v>
      </c>
      <c r="C776" s="2" t="s">
        <v>141</v>
      </c>
      <c r="D776" s="2" t="s">
        <v>142</v>
      </c>
      <c r="E776" s="2" t="s">
        <v>378</v>
      </c>
      <c r="F776" s="2" t="s">
        <v>4949</v>
      </c>
      <c r="G776" s="2" t="s">
        <v>4928</v>
      </c>
      <c r="H776" s="2" t="s">
        <v>4936</v>
      </c>
      <c r="I776" s="20">
        <v>13817.6</v>
      </c>
      <c r="J776" s="2" t="s">
        <v>4935</v>
      </c>
    </row>
    <row r="777" spans="1:10" ht="15.35" x14ac:dyDescent="0.55000000000000004">
      <c r="A777" s="20">
        <v>17416</v>
      </c>
      <c r="B777" s="2" t="s">
        <v>140</v>
      </c>
      <c r="C777" s="2" t="s">
        <v>141</v>
      </c>
      <c r="D777" s="2" t="s">
        <v>142</v>
      </c>
      <c r="E777" s="2" t="s">
        <v>378</v>
      </c>
      <c r="F777" s="2" t="s">
        <v>4949</v>
      </c>
      <c r="G777" s="2" t="s">
        <v>4931</v>
      </c>
      <c r="H777" s="2" t="s">
        <v>4937</v>
      </c>
      <c r="I777" s="20">
        <v>90.42</v>
      </c>
      <c r="J777" s="2" t="s">
        <v>4933</v>
      </c>
    </row>
    <row r="778" spans="1:10" ht="15.35" x14ac:dyDescent="0.55000000000000004">
      <c r="A778" s="20">
        <v>17417</v>
      </c>
      <c r="B778" s="2" t="s">
        <v>140</v>
      </c>
      <c r="C778" s="2" t="s">
        <v>141</v>
      </c>
      <c r="D778" s="2" t="s">
        <v>142</v>
      </c>
      <c r="E778" s="2" t="s">
        <v>378</v>
      </c>
      <c r="F778" s="2" t="s">
        <v>4949</v>
      </c>
      <c r="G778" s="2" t="s">
        <v>4939</v>
      </c>
      <c r="H778" s="2" t="s">
        <v>4946</v>
      </c>
      <c r="I778" s="20">
        <v>3.47</v>
      </c>
      <c r="J778" s="2" t="s">
        <v>5007</v>
      </c>
    </row>
    <row r="779" spans="1:10" ht="15.35" x14ac:dyDescent="0.55000000000000004">
      <c r="A779" s="20">
        <v>17418</v>
      </c>
      <c r="B779" s="2" t="s">
        <v>140</v>
      </c>
      <c r="C779" s="2" t="s">
        <v>141</v>
      </c>
      <c r="D779" s="2" t="s">
        <v>142</v>
      </c>
      <c r="E779" s="2" t="s">
        <v>378</v>
      </c>
      <c r="F779" s="2" t="s">
        <v>4949</v>
      </c>
      <c r="G779" s="2" t="s">
        <v>4928</v>
      </c>
      <c r="H779" s="2" t="s">
        <v>4953</v>
      </c>
      <c r="I779" s="20">
        <v>6.16</v>
      </c>
      <c r="J779" s="2" t="s">
        <v>4930</v>
      </c>
    </row>
    <row r="780" spans="1:10" ht="15.35" x14ac:dyDescent="0.55000000000000004">
      <c r="A780" s="20">
        <v>18388</v>
      </c>
      <c r="B780" s="2" t="s">
        <v>140</v>
      </c>
      <c r="C780" s="2" t="s">
        <v>141</v>
      </c>
      <c r="D780" s="2" t="s">
        <v>142</v>
      </c>
      <c r="E780" s="2" t="s">
        <v>378</v>
      </c>
      <c r="F780" s="2" t="s">
        <v>4950</v>
      </c>
      <c r="G780" s="2" t="s">
        <v>4928</v>
      </c>
      <c r="H780" s="2" t="s">
        <v>4934</v>
      </c>
      <c r="I780" s="20">
        <v>15280.73</v>
      </c>
      <c r="J780" s="2" t="s">
        <v>4935</v>
      </c>
    </row>
    <row r="781" spans="1:10" ht="15.35" x14ac:dyDescent="0.55000000000000004">
      <c r="A781" s="20">
        <v>18389</v>
      </c>
      <c r="B781" s="2" t="s">
        <v>140</v>
      </c>
      <c r="C781" s="2" t="s">
        <v>141</v>
      </c>
      <c r="D781" s="2" t="s">
        <v>142</v>
      </c>
      <c r="E781" s="2" t="s">
        <v>378</v>
      </c>
      <c r="F781" s="2" t="s">
        <v>4950</v>
      </c>
      <c r="G781" s="2" t="s">
        <v>4928</v>
      </c>
      <c r="H781" s="2" t="s">
        <v>4936</v>
      </c>
      <c r="I781" s="20">
        <v>13894.25</v>
      </c>
      <c r="J781" s="2" t="s">
        <v>4935</v>
      </c>
    </row>
    <row r="782" spans="1:10" ht="15.35" x14ac:dyDescent="0.55000000000000004">
      <c r="A782" s="20">
        <v>18390</v>
      </c>
      <c r="B782" s="2" t="s">
        <v>140</v>
      </c>
      <c r="C782" s="2" t="s">
        <v>141</v>
      </c>
      <c r="D782" s="2" t="s">
        <v>142</v>
      </c>
      <c r="E782" s="2" t="s">
        <v>378</v>
      </c>
      <c r="F782" s="2" t="s">
        <v>4950</v>
      </c>
      <c r="G782" s="2" t="s">
        <v>4931</v>
      </c>
      <c r="H782" s="2" t="s">
        <v>4937</v>
      </c>
      <c r="I782" s="20">
        <v>90.93</v>
      </c>
      <c r="J782" s="2" t="s">
        <v>4933</v>
      </c>
    </row>
    <row r="783" spans="1:10" ht="15.35" x14ac:dyDescent="0.55000000000000004">
      <c r="A783" s="20">
        <v>18391</v>
      </c>
      <c r="B783" s="2" t="s">
        <v>140</v>
      </c>
      <c r="C783" s="2" t="s">
        <v>141</v>
      </c>
      <c r="D783" s="2" t="s">
        <v>142</v>
      </c>
      <c r="E783" s="2" t="s">
        <v>378</v>
      </c>
      <c r="F783" s="2" t="s">
        <v>4950</v>
      </c>
      <c r="G783" s="2" t="s">
        <v>4939</v>
      </c>
      <c r="H783" s="2" t="s">
        <v>4946</v>
      </c>
      <c r="I783" s="20">
        <v>3.72</v>
      </c>
      <c r="J783" s="2" t="s">
        <v>5007</v>
      </c>
    </row>
    <row r="784" spans="1:10" ht="15.35" x14ac:dyDescent="0.55000000000000004">
      <c r="A784" s="20">
        <v>18392</v>
      </c>
      <c r="B784" s="2" t="s">
        <v>140</v>
      </c>
      <c r="C784" s="2" t="s">
        <v>141</v>
      </c>
      <c r="D784" s="2" t="s">
        <v>142</v>
      </c>
      <c r="E784" s="2" t="s">
        <v>378</v>
      </c>
      <c r="F784" s="2" t="s">
        <v>4950</v>
      </c>
      <c r="G784" s="2" t="s">
        <v>4928</v>
      </c>
      <c r="H784" s="2" t="s">
        <v>4953</v>
      </c>
      <c r="I784" s="20">
        <v>5.88</v>
      </c>
      <c r="J784" s="2" t="s">
        <v>4930</v>
      </c>
    </row>
    <row r="785" spans="1:10" ht="15.35" x14ac:dyDescent="0.55000000000000004">
      <c r="A785" s="20">
        <v>18393</v>
      </c>
      <c r="B785" s="2" t="s">
        <v>140</v>
      </c>
      <c r="C785" s="2" t="s">
        <v>141</v>
      </c>
      <c r="D785" s="2" t="s">
        <v>142</v>
      </c>
      <c r="E785" s="2" t="s">
        <v>378</v>
      </c>
      <c r="F785" s="2" t="s">
        <v>4950</v>
      </c>
      <c r="G785" s="2" t="s">
        <v>4931</v>
      </c>
      <c r="H785" s="2" t="s">
        <v>4952</v>
      </c>
      <c r="I785" s="20">
        <v>99.79</v>
      </c>
      <c r="J785" s="2" t="s">
        <v>4933</v>
      </c>
    </row>
    <row r="786" spans="1:10" ht="15.35" x14ac:dyDescent="0.55000000000000004">
      <c r="A786" s="20">
        <v>10813</v>
      </c>
      <c r="B786" s="2" t="s">
        <v>140</v>
      </c>
      <c r="C786" s="2" t="s">
        <v>141</v>
      </c>
      <c r="D786" s="2" t="s">
        <v>142</v>
      </c>
      <c r="E786" s="2" t="s">
        <v>385</v>
      </c>
      <c r="F786" s="2" t="s">
        <v>4927</v>
      </c>
      <c r="G786" s="2" t="s">
        <v>4928</v>
      </c>
      <c r="H786" s="2" t="s">
        <v>4934</v>
      </c>
      <c r="I786" s="20">
        <v>29043.4</v>
      </c>
      <c r="J786" s="2" t="s">
        <v>4935</v>
      </c>
    </row>
    <row r="787" spans="1:10" ht="15.35" x14ac:dyDescent="0.55000000000000004">
      <c r="A787" s="20">
        <v>10814</v>
      </c>
      <c r="B787" s="2" t="s">
        <v>140</v>
      </c>
      <c r="C787" s="2" t="s">
        <v>141</v>
      </c>
      <c r="D787" s="2" t="s">
        <v>142</v>
      </c>
      <c r="E787" s="2" t="s">
        <v>385</v>
      </c>
      <c r="F787" s="2" t="s">
        <v>4927</v>
      </c>
      <c r="G787" s="2" t="s">
        <v>4928</v>
      </c>
      <c r="H787" s="2" t="s">
        <v>4936</v>
      </c>
      <c r="I787" s="20">
        <v>27919.46</v>
      </c>
      <c r="J787" s="2" t="s">
        <v>4935</v>
      </c>
    </row>
    <row r="788" spans="1:10" ht="15.35" x14ac:dyDescent="0.55000000000000004">
      <c r="A788" s="20">
        <v>10815</v>
      </c>
      <c r="B788" s="2" t="s">
        <v>140</v>
      </c>
      <c r="C788" s="2" t="s">
        <v>141</v>
      </c>
      <c r="D788" s="2" t="s">
        <v>142</v>
      </c>
      <c r="E788" s="2" t="s">
        <v>385</v>
      </c>
      <c r="F788" s="2" t="s">
        <v>4927</v>
      </c>
      <c r="G788" s="2" t="s">
        <v>4931</v>
      </c>
      <c r="H788" s="2" t="s">
        <v>4937</v>
      </c>
      <c r="I788" s="20">
        <v>96.13</v>
      </c>
      <c r="J788" s="2" t="s">
        <v>4933</v>
      </c>
    </row>
    <row r="789" spans="1:10" ht="15.35" x14ac:dyDescent="0.55000000000000004">
      <c r="A789" s="20">
        <v>10816</v>
      </c>
      <c r="B789" s="2" t="s">
        <v>140</v>
      </c>
      <c r="C789" s="2" t="s">
        <v>141</v>
      </c>
      <c r="D789" s="2" t="s">
        <v>142</v>
      </c>
      <c r="E789" s="2" t="s">
        <v>385</v>
      </c>
      <c r="F789" s="2" t="s">
        <v>4927</v>
      </c>
      <c r="G789" s="2" t="s">
        <v>4939</v>
      </c>
      <c r="H789" s="2" t="s">
        <v>4946</v>
      </c>
      <c r="I789" s="20">
        <v>3.29</v>
      </c>
      <c r="J789" s="2" t="s">
        <v>5007</v>
      </c>
    </row>
    <row r="790" spans="1:10" ht="15.35" x14ac:dyDescent="0.55000000000000004">
      <c r="A790" s="20">
        <v>10817</v>
      </c>
      <c r="B790" s="2" t="s">
        <v>140</v>
      </c>
      <c r="C790" s="2" t="s">
        <v>141</v>
      </c>
      <c r="D790" s="2" t="s">
        <v>142</v>
      </c>
      <c r="E790" s="2" t="s">
        <v>385</v>
      </c>
      <c r="F790" s="2" t="s">
        <v>4927</v>
      </c>
      <c r="G790" s="2" t="s">
        <v>4928</v>
      </c>
      <c r="H790" s="2" t="s">
        <v>4953</v>
      </c>
      <c r="I790" s="20">
        <v>7.96</v>
      </c>
      <c r="J790" s="2" t="s">
        <v>4930</v>
      </c>
    </row>
    <row r="791" spans="1:10" ht="15.35" x14ac:dyDescent="0.55000000000000004">
      <c r="A791" s="20">
        <v>10818</v>
      </c>
      <c r="B791" s="2" t="s">
        <v>140</v>
      </c>
      <c r="C791" s="2" t="s">
        <v>141</v>
      </c>
      <c r="D791" s="2" t="s">
        <v>142</v>
      </c>
      <c r="E791" s="2" t="s">
        <v>385</v>
      </c>
      <c r="F791" s="2" t="s">
        <v>4927</v>
      </c>
      <c r="G791" s="2" t="s">
        <v>4931</v>
      </c>
      <c r="H791" s="2" t="s">
        <v>4952</v>
      </c>
      <c r="I791" s="20">
        <v>90.72</v>
      </c>
      <c r="J791" s="2" t="s">
        <v>4933</v>
      </c>
    </row>
    <row r="792" spans="1:10" ht="15.35" x14ac:dyDescent="0.55000000000000004">
      <c r="A792" s="20">
        <v>11277</v>
      </c>
      <c r="B792" s="2" t="s">
        <v>140</v>
      </c>
      <c r="C792" s="2" t="s">
        <v>141</v>
      </c>
      <c r="D792" s="2" t="s">
        <v>142</v>
      </c>
      <c r="E792" s="2" t="s">
        <v>385</v>
      </c>
      <c r="F792" s="2" t="s">
        <v>4938</v>
      </c>
      <c r="G792" s="2" t="s">
        <v>4928</v>
      </c>
      <c r="H792" s="2" t="s">
        <v>4934</v>
      </c>
      <c r="I792" s="20">
        <v>29043.4</v>
      </c>
      <c r="J792" s="2" t="s">
        <v>4935</v>
      </c>
    </row>
    <row r="793" spans="1:10" ht="15.35" x14ac:dyDescent="0.55000000000000004">
      <c r="A793" s="20">
        <v>11300</v>
      </c>
      <c r="B793" s="2" t="s">
        <v>140</v>
      </c>
      <c r="C793" s="2" t="s">
        <v>141</v>
      </c>
      <c r="D793" s="2" t="s">
        <v>142</v>
      </c>
      <c r="E793" s="2" t="s">
        <v>385</v>
      </c>
      <c r="F793" s="2" t="s">
        <v>4938</v>
      </c>
      <c r="G793" s="2" t="s">
        <v>4928</v>
      </c>
      <c r="H793" s="2" t="s">
        <v>4936</v>
      </c>
      <c r="I793" s="20">
        <v>28038.080000000002</v>
      </c>
      <c r="J793" s="2" t="s">
        <v>4935</v>
      </c>
    </row>
    <row r="794" spans="1:10" ht="15.35" x14ac:dyDescent="0.55000000000000004">
      <c r="A794" s="20">
        <v>11302</v>
      </c>
      <c r="B794" s="2" t="s">
        <v>140</v>
      </c>
      <c r="C794" s="2" t="s">
        <v>141</v>
      </c>
      <c r="D794" s="2" t="s">
        <v>142</v>
      </c>
      <c r="E794" s="2" t="s">
        <v>385</v>
      </c>
      <c r="F794" s="2" t="s">
        <v>4938</v>
      </c>
      <c r="G794" s="2" t="s">
        <v>4931</v>
      </c>
      <c r="H794" s="2" t="s">
        <v>4937</v>
      </c>
      <c r="I794" s="20">
        <v>96.54</v>
      </c>
      <c r="J794" s="2" t="s">
        <v>4933</v>
      </c>
    </row>
    <row r="795" spans="1:10" ht="15.35" x14ac:dyDescent="0.55000000000000004">
      <c r="A795" s="20">
        <v>11303</v>
      </c>
      <c r="B795" s="2" t="s">
        <v>140</v>
      </c>
      <c r="C795" s="2" t="s">
        <v>141</v>
      </c>
      <c r="D795" s="2" t="s">
        <v>142</v>
      </c>
      <c r="E795" s="2" t="s">
        <v>385</v>
      </c>
      <c r="F795" s="2" t="s">
        <v>4938</v>
      </c>
      <c r="G795" s="2" t="s">
        <v>4928</v>
      </c>
      <c r="H795" s="2" t="s">
        <v>4953</v>
      </c>
      <c r="I795" s="20">
        <v>8.86</v>
      </c>
      <c r="J795" s="2" t="s">
        <v>4930</v>
      </c>
    </row>
    <row r="796" spans="1:10" ht="15.35" x14ac:dyDescent="0.55000000000000004">
      <c r="A796" s="20">
        <v>11304</v>
      </c>
      <c r="B796" s="2" t="s">
        <v>140</v>
      </c>
      <c r="C796" s="2" t="s">
        <v>141</v>
      </c>
      <c r="D796" s="2" t="s">
        <v>142</v>
      </c>
      <c r="E796" s="2" t="s">
        <v>385</v>
      </c>
      <c r="F796" s="2" t="s">
        <v>4938</v>
      </c>
      <c r="G796" s="2" t="s">
        <v>4931</v>
      </c>
      <c r="H796" s="2" t="s">
        <v>4952</v>
      </c>
      <c r="I796" s="20">
        <v>99.88</v>
      </c>
      <c r="J796" s="2" t="s">
        <v>4933</v>
      </c>
    </row>
    <row r="797" spans="1:10" ht="15.35" x14ac:dyDescent="0.55000000000000004">
      <c r="A797" s="20">
        <v>11315</v>
      </c>
      <c r="B797" s="2" t="s">
        <v>140</v>
      </c>
      <c r="C797" s="2" t="s">
        <v>141</v>
      </c>
      <c r="D797" s="2" t="s">
        <v>142</v>
      </c>
      <c r="E797" s="2" t="s">
        <v>385</v>
      </c>
      <c r="F797" s="2" t="s">
        <v>4938</v>
      </c>
      <c r="G797" s="2" t="s">
        <v>4939</v>
      </c>
      <c r="H797" s="2" t="s">
        <v>4946</v>
      </c>
      <c r="I797" s="20">
        <v>3.24</v>
      </c>
      <c r="J797" s="2" t="s">
        <v>5007</v>
      </c>
    </row>
    <row r="798" spans="1:10" ht="15.35" x14ac:dyDescent="0.55000000000000004">
      <c r="A798" s="20">
        <v>12445</v>
      </c>
      <c r="B798" s="2" t="s">
        <v>140</v>
      </c>
      <c r="C798" s="2" t="s">
        <v>141</v>
      </c>
      <c r="D798" s="2" t="s">
        <v>142</v>
      </c>
      <c r="E798" s="2" t="s">
        <v>385</v>
      </c>
      <c r="F798" s="2" t="s">
        <v>4942</v>
      </c>
      <c r="G798" s="2" t="s">
        <v>4939</v>
      </c>
      <c r="H798" s="2" t="s">
        <v>4946</v>
      </c>
      <c r="I798" s="20">
        <v>3.38</v>
      </c>
      <c r="J798" s="2" t="s">
        <v>5007</v>
      </c>
    </row>
    <row r="799" spans="1:10" ht="15.35" x14ac:dyDescent="0.55000000000000004">
      <c r="A799" s="20">
        <v>12455</v>
      </c>
      <c r="B799" s="2" t="s">
        <v>140</v>
      </c>
      <c r="C799" s="2" t="s">
        <v>141</v>
      </c>
      <c r="D799" s="2" t="s">
        <v>142</v>
      </c>
      <c r="E799" s="2" t="s">
        <v>385</v>
      </c>
      <c r="F799" s="2" t="s">
        <v>4942</v>
      </c>
      <c r="G799" s="2" t="s">
        <v>4931</v>
      </c>
      <c r="H799" s="2" t="s">
        <v>4937</v>
      </c>
      <c r="I799" s="20">
        <v>96.31</v>
      </c>
      <c r="J799" s="2" t="s">
        <v>4933</v>
      </c>
    </row>
    <row r="800" spans="1:10" ht="15.35" x14ac:dyDescent="0.55000000000000004">
      <c r="A800" s="20">
        <v>12461</v>
      </c>
      <c r="B800" s="2" t="s">
        <v>140</v>
      </c>
      <c r="C800" s="2" t="s">
        <v>141</v>
      </c>
      <c r="D800" s="2" t="s">
        <v>142</v>
      </c>
      <c r="E800" s="2" t="s">
        <v>385</v>
      </c>
      <c r="F800" s="2" t="s">
        <v>4942</v>
      </c>
      <c r="G800" s="2" t="s">
        <v>4928</v>
      </c>
      <c r="H800" s="2" t="s">
        <v>4934</v>
      </c>
      <c r="I800" s="20">
        <v>29043.4</v>
      </c>
      <c r="J800" s="2" t="s">
        <v>4935</v>
      </c>
    </row>
    <row r="801" spans="1:10" ht="15.35" x14ac:dyDescent="0.55000000000000004">
      <c r="A801" s="20">
        <v>12463</v>
      </c>
      <c r="B801" s="2" t="s">
        <v>140</v>
      </c>
      <c r="C801" s="2" t="s">
        <v>141</v>
      </c>
      <c r="D801" s="2" t="s">
        <v>142</v>
      </c>
      <c r="E801" s="2" t="s">
        <v>385</v>
      </c>
      <c r="F801" s="2" t="s">
        <v>4942</v>
      </c>
      <c r="G801" s="2" t="s">
        <v>4928</v>
      </c>
      <c r="H801" s="2" t="s">
        <v>4936</v>
      </c>
      <c r="I801" s="20">
        <v>27972.37</v>
      </c>
      <c r="J801" s="2" t="s">
        <v>4935</v>
      </c>
    </row>
    <row r="802" spans="1:10" ht="15.35" x14ac:dyDescent="0.55000000000000004">
      <c r="A802" s="20">
        <v>12474</v>
      </c>
      <c r="B802" s="2" t="s">
        <v>140</v>
      </c>
      <c r="C802" s="2" t="s">
        <v>141</v>
      </c>
      <c r="D802" s="2" t="s">
        <v>142</v>
      </c>
      <c r="E802" s="2" t="s">
        <v>385</v>
      </c>
      <c r="F802" s="2" t="s">
        <v>4942</v>
      </c>
      <c r="G802" s="2" t="s">
        <v>4931</v>
      </c>
      <c r="H802" s="2" t="s">
        <v>4952</v>
      </c>
      <c r="I802" s="20">
        <v>93.72</v>
      </c>
      <c r="J802" s="2" t="s">
        <v>4933</v>
      </c>
    </row>
    <row r="803" spans="1:10" ht="15.35" x14ac:dyDescent="0.55000000000000004">
      <c r="A803" s="20">
        <v>12493</v>
      </c>
      <c r="B803" s="2" t="s">
        <v>140</v>
      </c>
      <c r="C803" s="2" t="s">
        <v>141</v>
      </c>
      <c r="D803" s="2" t="s">
        <v>142</v>
      </c>
      <c r="E803" s="2" t="s">
        <v>385</v>
      </c>
      <c r="F803" s="2" t="s">
        <v>4942</v>
      </c>
      <c r="G803" s="2" t="s">
        <v>4928</v>
      </c>
      <c r="H803" s="2" t="s">
        <v>4953</v>
      </c>
      <c r="I803" s="20">
        <v>8.6300000000000008</v>
      </c>
      <c r="J803" s="2" t="s">
        <v>4930</v>
      </c>
    </row>
    <row r="804" spans="1:10" ht="15.35" x14ac:dyDescent="0.55000000000000004">
      <c r="A804" s="20">
        <v>14105</v>
      </c>
      <c r="B804" s="2" t="s">
        <v>140</v>
      </c>
      <c r="C804" s="2" t="s">
        <v>141</v>
      </c>
      <c r="D804" s="2" t="s">
        <v>142</v>
      </c>
      <c r="E804" s="2" t="s">
        <v>385</v>
      </c>
      <c r="F804" s="2" t="s">
        <v>4947</v>
      </c>
      <c r="G804" s="2" t="s">
        <v>4928</v>
      </c>
      <c r="H804" s="2" t="s">
        <v>4936</v>
      </c>
      <c r="I804" s="20">
        <v>27919.45</v>
      </c>
      <c r="J804" s="2" t="s">
        <v>4935</v>
      </c>
    </row>
    <row r="805" spans="1:10" ht="15.35" x14ac:dyDescent="0.55000000000000004">
      <c r="A805" s="20">
        <v>14107</v>
      </c>
      <c r="B805" s="2" t="s">
        <v>140</v>
      </c>
      <c r="C805" s="2" t="s">
        <v>141</v>
      </c>
      <c r="D805" s="2" t="s">
        <v>142</v>
      </c>
      <c r="E805" s="2" t="s">
        <v>385</v>
      </c>
      <c r="F805" s="2" t="s">
        <v>4947</v>
      </c>
      <c r="G805" s="2" t="s">
        <v>4931</v>
      </c>
      <c r="H805" s="2" t="s">
        <v>4937</v>
      </c>
      <c r="I805" s="20">
        <v>96.13</v>
      </c>
      <c r="J805" s="2" t="s">
        <v>4933</v>
      </c>
    </row>
    <row r="806" spans="1:10" ht="15.35" x14ac:dyDescent="0.55000000000000004">
      <c r="A806" s="20">
        <v>14109</v>
      </c>
      <c r="B806" s="2" t="s">
        <v>140</v>
      </c>
      <c r="C806" s="2" t="s">
        <v>141</v>
      </c>
      <c r="D806" s="2" t="s">
        <v>142</v>
      </c>
      <c r="E806" s="2" t="s">
        <v>385</v>
      </c>
      <c r="F806" s="2" t="s">
        <v>4947</v>
      </c>
      <c r="G806" s="2" t="s">
        <v>4928</v>
      </c>
      <c r="H806" s="2" t="s">
        <v>4934</v>
      </c>
      <c r="I806" s="20">
        <v>29043.4</v>
      </c>
      <c r="J806" s="2" t="s">
        <v>4935</v>
      </c>
    </row>
    <row r="807" spans="1:10" ht="15.35" x14ac:dyDescent="0.55000000000000004">
      <c r="A807" s="20">
        <v>14140</v>
      </c>
      <c r="B807" s="2" t="s">
        <v>140</v>
      </c>
      <c r="C807" s="2" t="s">
        <v>141</v>
      </c>
      <c r="D807" s="2" t="s">
        <v>142</v>
      </c>
      <c r="E807" s="2" t="s">
        <v>385</v>
      </c>
      <c r="F807" s="2" t="s">
        <v>4947</v>
      </c>
      <c r="G807" s="2" t="s">
        <v>4939</v>
      </c>
      <c r="H807" s="2" t="s">
        <v>4946</v>
      </c>
      <c r="I807" s="20">
        <v>3.16</v>
      </c>
      <c r="J807" s="2" t="s">
        <v>5007</v>
      </c>
    </row>
    <row r="808" spans="1:10" ht="15.35" x14ac:dyDescent="0.55000000000000004">
      <c r="A808" s="20">
        <v>14142</v>
      </c>
      <c r="B808" s="2" t="s">
        <v>140</v>
      </c>
      <c r="C808" s="2" t="s">
        <v>141</v>
      </c>
      <c r="D808" s="2" t="s">
        <v>142</v>
      </c>
      <c r="E808" s="2" t="s">
        <v>385</v>
      </c>
      <c r="F808" s="2" t="s">
        <v>4947</v>
      </c>
      <c r="G808" s="2" t="s">
        <v>4928</v>
      </c>
      <c r="H808" s="2" t="s">
        <v>4953</v>
      </c>
      <c r="I808" s="20">
        <v>7.96</v>
      </c>
      <c r="J808" s="2" t="s">
        <v>4930</v>
      </c>
    </row>
    <row r="809" spans="1:10" ht="15.35" x14ac:dyDescent="0.55000000000000004">
      <c r="A809" s="20">
        <v>14143</v>
      </c>
      <c r="B809" s="2" t="s">
        <v>140</v>
      </c>
      <c r="C809" s="2" t="s">
        <v>141</v>
      </c>
      <c r="D809" s="2" t="s">
        <v>142</v>
      </c>
      <c r="E809" s="2" t="s">
        <v>385</v>
      </c>
      <c r="F809" s="2" t="s">
        <v>4947</v>
      </c>
      <c r="G809" s="2" t="s">
        <v>4931</v>
      </c>
      <c r="H809" s="2" t="s">
        <v>4952</v>
      </c>
      <c r="I809" s="20">
        <v>91.49</v>
      </c>
      <c r="J809" s="2" t="s">
        <v>4933</v>
      </c>
    </row>
    <row r="810" spans="1:10" ht="15.35" x14ac:dyDescent="0.55000000000000004">
      <c r="A810" s="20">
        <v>10807</v>
      </c>
      <c r="B810" s="2" t="s">
        <v>140</v>
      </c>
      <c r="C810" s="2" t="s">
        <v>141</v>
      </c>
      <c r="D810" s="2" t="s">
        <v>142</v>
      </c>
      <c r="E810" s="2" t="s">
        <v>385</v>
      </c>
      <c r="F810" s="2" t="s">
        <v>4943</v>
      </c>
      <c r="G810" s="2" t="s">
        <v>4928</v>
      </c>
      <c r="H810" s="2" t="s">
        <v>4934</v>
      </c>
      <c r="I810" s="20">
        <v>29043.4</v>
      </c>
      <c r="J810" s="2" t="s">
        <v>4935</v>
      </c>
    </row>
    <row r="811" spans="1:10" ht="15.35" x14ac:dyDescent="0.55000000000000004">
      <c r="A811" s="20">
        <v>10808</v>
      </c>
      <c r="B811" s="2" t="s">
        <v>140</v>
      </c>
      <c r="C811" s="2" t="s">
        <v>141</v>
      </c>
      <c r="D811" s="2" t="s">
        <v>142</v>
      </c>
      <c r="E811" s="2" t="s">
        <v>385</v>
      </c>
      <c r="F811" s="2" t="s">
        <v>4943</v>
      </c>
      <c r="G811" s="2" t="s">
        <v>4928</v>
      </c>
      <c r="H811" s="2" t="s">
        <v>4936</v>
      </c>
      <c r="I811" s="20">
        <v>27420.83</v>
      </c>
      <c r="J811" s="2" t="s">
        <v>4935</v>
      </c>
    </row>
    <row r="812" spans="1:10" ht="15.35" x14ac:dyDescent="0.55000000000000004">
      <c r="A812" s="20">
        <v>10809</v>
      </c>
      <c r="B812" s="2" t="s">
        <v>140</v>
      </c>
      <c r="C812" s="2" t="s">
        <v>141</v>
      </c>
      <c r="D812" s="2" t="s">
        <v>142</v>
      </c>
      <c r="E812" s="2" t="s">
        <v>385</v>
      </c>
      <c r="F812" s="2" t="s">
        <v>4943</v>
      </c>
      <c r="G812" s="2" t="s">
        <v>4931</v>
      </c>
      <c r="H812" s="2" t="s">
        <v>4937</v>
      </c>
      <c r="I812" s="20">
        <v>94.41</v>
      </c>
      <c r="J812" s="2" t="s">
        <v>4933</v>
      </c>
    </row>
    <row r="813" spans="1:10" ht="15.35" x14ac:dyDescent="0.55000000000000004">
      <c r="A813" s="20">
        <v>10810</v>
      </c>
      <c r="B813" s="2" t="s">
        <v>140</v>
      </c>
      <c r="C813" s="2" t="s">
        <v>141</v>
      </c>
      <c r="D813" s="2" t="s">
        <v>142</v>
      </c>
      <c r="E813" s="2" t="s">
        <v>385</v>
      </c>
      <c r="F813" s="2" t="s">
        <v>4943</v>
      </c>
      <c r="G813" s="2" t="s">
        <v>4939</v>
      </c>
      <c r="H813" s="2" t="s">
        <v>4946</v>
      </c>
      <c r="I813" s="20">
        <v>2.87</v>
      </c>
      <c r="J813" s="2" t="s">
        <v>5007</v>
      </c>
    </row>
    <row r="814" spans="1:10" ht="15.35" x14ac:dyDescent="0.55000000000000004">
      <c r="A814" s="20">
        <v>10811</v>
      </c>
      <c r="B814" s="2" t="s">
        <v>140</v>
      </c>
      <c r="C814" s="2" t="s">
        <v>141</v>
      </c>
      <c r="D814" s="2" t="s">
        <v>142</v>
      </c>
      <c r="E814" s="2" t="s">
        <v>385</v>
      </c>
      <c r="F814" s="2" t="s">
        <v>4943</v>
      </c>
      <c r="G814" s="2" t="s">
        <v>4928</v>
      </c>
      <c r="H814" s="2" t="s">
        <v>4953</v>
      </c>
      <c r="I814" s="20">
        <v>7.86</v>
      </c>
      <c r="J814" s="2" t="s">
        <v>4930</v>
      </c>
    </row>
    <row r="815" spans="1:10" ht="15.35" x14ac:dyDescent="0.55000000000000004">
      <c r="A815" s="20">
        <v>10812</v>
      </c>
      <c r="B815" s="2" t="s">
        <v>140</v>
      </c>
      <c r="C815" s="2" t="s">
        <v>141</v>
      </c>
      <c r="D815" s="2" t="s">
        <v>142</v>
      </c>
      <c r="E815" s="2" t="s">
        <v>385</v>
      </c>
      <c r="F815" s="2" t="s">
        <v>4943</v>
      </c>
      <c r="G815" s="2" t="s">
        <v>4931</v>
      </c>
      <c r="H815" s="2" t="s">
        <v>4952</v>
      </c>
      <c r="I815" s="20">
        <v>99.8</v>
      </c>
      <c r="J815" s="2" t="s">
        <v>4933</v>
      </c>
    </row>
    <row r="816" spans="1:10" ht="15.35" x14ac:dyDescent="0.55000000000000004">
      <c r="A816" s="20">
        <v>11305</v>
      </c>
      <c r="B816" s="2" t="s">
        <v>140</v>
      </c>
      <c r="C816" s="2" t="s">
        <v>141</v>
      </c>
      <c r="D816" s="2" t="s">
        <v>142</v>
      </c>
      <c r="E816" s="2" t="s">
        <v>385</v>
      </c>
      <c r="F816" s="2" t="s">
        <v>4944</v>
      </c>
      <c r="G816" s="2" t="s">
        <v>4928</v>
      </c>
      <c r="H816" s="2" t="s">
        <v>4934</v>
      </c>
      <c r="I816" s="20">
        <v>29043.4</v>
      </c>
      <c r="J816" s="2" t="s">
        <v>4935</v>
      </c>
    </row>
    <row r="817" spans="1:10" ht="15.35" x14ac:dyDescent="0.55000000000000004">
      <c r="A817" s="20">
        <v>11306</v>
      </c>
      <c r="B817" s="2" t="s">
        <v>140</v>
      </c>
      <c r="C817" s="2" t="s">
        <v>141</v>
      </c>
      <c r="D817" s="2" t="s">
        <v>142</v>
      </c>
      <c r="E817" s="2" t="s">
        <v>385</v>
      </c>
      <c r="F817" s="2" t="s">
        <v>4944</v>
      </c>
      <c r="G817" s="2" t="s">
        <v>4928</v>
      </c>
      <c r="H817" s="2" t="s">
        <v>4936</v>
      </c>
      <c r="I817" s="20">
        <v>27359.23</v>
      </c>
      <c r="J817" s="2" t="s">
        <v>4935</v>
      </c>
    </row>
    <row r="818" spans="1:10" ht="15.35" x14ac:dyDescent="0.55000000000000004">
      <c r="A818" s="20">
        <v>11307</v>
      </c>
      <c r="B818" s="2" t="s">
        <v>140</v>
      </c>
      <c r="C818" s="2" t="s">
        <v>141</v>
      </c>
      <c r="D818" s="2" t="s">
        <v>142</v>
      </c>
      <c r="E818" s="2" t="s">
        <v>385</v>
      </c>
      <c r="F818" s="2" t="s">
        <v>4944</v>
      </c>
      <c r="G818" s="2" t="s">
        <v>4931</v>
      </c>
      <c r="H818" s="2" t="s">
        <v>4937</v>
      </c>
      <c r="I818" s="20">
        <v>94.2</v>
      </c>
      <c r="J818" s="2" t="s">
        <v>4933</v>
      </c>
    </row>
    <row r="819" spans="1:10" ht="15.35" x14ac:dyDescent="0.55000000000000004">
      <c r="A819" s="20">
        <v>11308</v>
      </c>
      <c r="B819" s="2" t="s">
        <v>140</v>
      </c>
      <c r="C819" s="2" t="s">
        <v>141</v>
      </c>
      <c r="D819" s="2" t="s">
        <v>142</v>
      </c>
      <c r="E819" s="2" t="s">
        <v>385</v>
      </c>
      <c r="F819" s="2" t="s">
        <v>4944</v>
      </c>
      <c r="G819" s="2" t="s">
        <v>4939</v>
      </c>
      <c r="H819" s="2" t="s">
        <v>4946</v>
      </c>
      <c r="I819" s="20">
        <v>2.95</v>
      </c>
      <c r="J819" s="2" t="s">
        <v>5007</v>
      </c>
    </row>
    <row r="820" spans="1:10" ht="15.35" x14ac:dyDescent="0.55000000000000004">
      <c r="A820" s="20">
        <v>11309</v>
      </c>
      <c r="B820" s="2" t="s">
        <v>140</v>
      </c>
      <c r="C820" s="2" t="s">
        <v>141</v>
      </c>
      <c r="D820" s="2" t="s">
        <v>142</v>
      </c>
      <c r="E820" s="2" t="s">
        <v>385</v>
      </c>
      <c r="F820" s="2" t="s">
        <v>4944</v>
      </c>
      <c r="G820" s="2" t="s">
        <v>4928</v>
      </c>
      <c r="H820" s="2" t="s">
        <v>4953</v>
      </c>
      <c r="I820" s="20">
        <v>7.5</v>
      </c>
      <c r="J820" s="2" t="s">
        <v>4930</v>
      </c>
    </row>
    <row r="821" spans="1:10" ht="15.35" x14ac:dyDescent="0.55000000000000004">
      <c r="A821" s="20">
        <v>11310</v>
      </c>
      <c r="B821" s="2" t="s">
        <v>140</v>
      </c>
      <c r="C821" s="2" t="s">
        <v>141</v>
      </c>
      <c r="D821" s="2" t="s">
        <v>142</v>
      </c>
      <c r="E821" s="2" t="s">
        <v>385</v>
      </c>
      <c r="F821" s="2" t="s">
        <v>4944</v>
      </c>
      <c r="G821" s="2" t="s">
        <v>4931</v>
      </c>
      <c r="H821" s="2" t="s">
        <v>4952</v>
      </c>
      <c r="I821" s="20">
        <v>97.16</v>
      </c>
      <c r="J821" s="2" t="s">
        <v>4933</v>
      </c>
    </row>
    <row r="822" spans="1:10" ht="15.35" x14ac:dyDescent="0.55000000000000004">
      <c r="A822" s="20">
        <v>12500</v>
      </c>
      <c r="B822" s="2" t="s">
        <v>140</v>
      </c>
      <c r="C822" s="2" t="s">
        <v>141</v>
      </c>
      <c r="D822" s="2" t="s">
        <v>142</v>
      </c>
      <c r="E822" s="2" t="s">
        <v>385</v>
      </c>
      <c r="F822" s="2" t="s">
        <v>4945</v>
      </c>
      <c r="G822" s="2" t="s">
        <v>4931</v>
      </c>
      <c r="H822" s="2" t="s">
        <v>4952</v>
      </c>
      <c r="I822" s="20">
        <v>94.55</v>
      </c>
      <c r="J822" s="2" t="s">
        <v>4933</v>
      </c>
    </row>
    <row r="823" spans="1:10" ht="15.35" x14ac:dyDescent="0.55000000000000004">
      <c r="A823" s="20">
        <v>12501</v>
      </c>
      <c r="B823" s="2" t="s">
        <v>140</v>
      </c>
      <c r="C823" s="2" t="s">
        <v>141</v>
      </c>
      <c r="D823" s="2" t="s">
        <v>142</v>
      </c>
      <c r="E823" s="2" t="s">
        <v>385</v>
      </c>
      <c r="F823" s="2" t="s">
        <v>4945</v>
      </c>
      <c r="G823" s="2" t="s">
        <v>4928</v>
      </c>
      <c r="H823" s="2" t="s">
        <v>4953</v>
      </c>
      <c r="I823" s="20">
        <v>7.29</v>
      </c>
      <c r="J823" s="2" t="s">
        <v>4930</v>
      </c>
    </row>
    <row r="824" spans="1:10" ht="15.35" x14ac:dyDescent="0.55000000000000004">
      <c r="A824" s="20">
        <v>12502</v>
      </c>
      <c r="B824" s="2" t="s">
        <v>140</v>
      </c>
      <c r="C824" s="2" t="s">
        <v>141</v>
      </c>
      <c r="D824" s="2" t="s">
        <v>142</v>
      </c>
      <c r="E824" s="2" t="s">
        <v>385</v>
      </c>
      <c r="F824" s="2" t="s">
        <v>4945</v>
      </c>
      <c r="G824" s="2" t="s">
        <v>4939</v>
      </c>
      <c r="H824" s="2" t="s">
        <v>4946</v>
      </c>
      <c r="I824" s="20">
        <v>3.06</v>
      </c>
      <c r="J824" s="2" t="s">
        <v>5007</v>
      </c>
    </row>
    <row r="825" spans="1:10" ht="15.35" x14ac:dyDescent="0.55000000000000004">
      <c r="A825" s="20">
        <v>12503</v>
      </c>
      <c r="B825" s="2" t="s">
        <v>140</v>
      </c>
      <c r="C825" s="2" t="s">
        <v>141</v>
      </c>
      <c r="D825" s="2" t="s">
        <v>142</v>
      </c>
      <c r="E825" s="2" t="s">
        <v>385</v>
      </c>
      <c r="F825" s="2" t="s">
        <v>4945</v>
      </c>
      <c r="G825" s="2" t="s">
        <v>4931</v>
      </c>
      <c r="H825" s="2" t="s">
        <v>4937</v>
      </c>
      <c r="I825" s="20">
        <v>94.2</v>
      </c>
      <c r="J825" s="2" t="s">
        <v>4933</v>
      </c>
    </row>
    <row r="826" spans="1:10" ht="15.35" x14ac:dyDescent="0.55000000000000004">
      <c r="A826" s="20">
        <v>12504</v>
      </c>
      <c r="B826" s="2" t="s">
        <v>140</v>
      </c>
      <c r="C826" s="2" t="s">
        <v>141</v>
      </c>
      <c r="D826" s="2" t="s">
        <v>142</v>
      </c>
      <c r="E826" s="2" t="s">
        <v>385</v>
      </c>
      <c r="F826" s="2" t="s">
        <v>4945</v>
      </c>
      <c r="G826" s="2" t="s">
        <v>4928</v>
      </c>
      <c r="H826" s="2" t="s">
        <v>4936</v>
      </c>
      <c r="I826" s="20">
        <v>27359.23</v>
      </c>
      <c r="J826" s="2" t="s">
        <v>4935</v>
      </c>
    </row>
    <row r="827" spans="1:10" ht="15.35" x14ac:dyDescent="0.55000000000000004">
      <c r="A827" s="20">
        <v>12505</v>
      </c>
      <c r="B827" s="2" t="s">
        <v>140</v>
      </c>
      <c r="C827" s="2" t="s">
        <v>141</v>
      </c>
      <c r="D827" s="2" t="s">
        <v>142</v>
      </c>
      <c r="E827" s="2" t="s">
        <v>385</v>
      </c>
      <c r="F827" s="2" t="s">
        <v>4945</v>
      </c>
      <c r="G827" s="2" t="s">
        <v>4928</v>
      </c>
      <c r="H827" s="2" t="s">
        <v>4934</v>
      </c>
      <c r="I827" s="20">
        <v>29043.4</v>
      </c>
      <c r="J827" s="2" t="s">
        <v>4935</v>
      </c>
    </row>
    <row r="828" spans="1:10" ht="15.35" x14ac:dyDescent="0.55000000000000004">
      <c r="A828" s="20">
        <v>14097</v>
      </c>
      <c r="B828" s="2" t="s">
        <v>140</v>
      </c>
      <c r="C828" s="2" t="s">
        <v>141</v>
      </c>
      <c r="D828" s="2" t="s">
        <v>142</v>
      </c>
      <c r="E828" s="2" t="s">
        <v>385</v>
      </c>
      <c r="F828" s="2" t="s">
        <v>4948</v>
      </c>
      <c r="G828" s="2" t="s">
        <v>4928</v>
      </c>
      <c r="H828" s="2" t="s">
        <v>4934</v>
      </c>
      <c r="I828" s="20">
        <v>29043.4</v>
      </c>
      <c r="J828" s="2" t="s">
        <v>4935</v>
      </c>
    </row>
    <row r="829" spans="1:10" ht="15.35" x14ac:dyDescent="0.55000000000000004">
      <c r="A829" s="20">
        <v>14115</v>
      </c>
      <c r="B829" s="2" t="s">
        <v>140</v>
      </c>
      <c r="C829" s="2" t="s">
        <v>141</v>
      </c>
      <c r="D829" s="2" t="s">
        <v>142</v>
      </c>
      <c r="E829" s="2" t="s">
        <v>385</v>
      </c>
      <c r="F829" s="2" t="s">
        <v>4948</v>
      </c>
      <c r="G829" s="2" t="s">
        <v>4928</v>
      </c>
      <c r="H829" s="2" t="s">
        <v>4936</v>
      </c>
      <c r="I829" s="20">
        <v>27334.799999999999</v>
      </c>
      <c r="J829" s="2" t="s">
        <v>4935</v>
      </c>
    </row>
    <row r="830" spans="1:10" ht="15.35" x14ac:dyDescent="0.55000000000000004">
      <c r="A830" s="20">
        <v>14121</v>
      </c>
      <c r="B830" s="2" t="s">
        <v>140</v>
      </c>
      <c r="C830" s="2" t="s">
        <v>141</v>
      </c>
      <c r="D830" s="2" t="s">
        <v>142</v>
      </c>
      <c r="E830" s="2" t="s">
        <v>385</v>
      </c>
      <c r="F830" s="2" t="s">
        <v>4948</v>
      </c>
      <c r="G830" s="2" t="s">
        <v>4928</v>
      </c>
      <c r="H830" s="2" t="s">
        <v>4953</v>
      </c>
      <c r="I830" s="20">
        <v>6.19</v>
      </c>
      <c r="J830" s="2" t="s">
        <v>4930</v>
      </c>
    </row>
    <row r="831" spans="1:10" ht="15.35" x14ac:dyDescent="0.55000000000000004">
      <c r="A831" s="20">
        <v>14123</v>
      </c>
      <c r="B831" s="2" t="s">
        <v>140</v>
      </c>
      <c r="C831" s="2" t="s">
        <v>141</v>
      </c>
      <c r="D831" s="2" t="s">
        <v>142</v>
      </c>
      <c r="E831" s="2" t="s">
        <v>385</v>
      </c>
      <c r="F831" s="2" t="s">
        <v>4948</v>
      </c>
      <c r="G831" s="2" t="s">
        <v>4939</v>
      </c>
      <c r="H831" s="2" t="s">
        <v>4946</v>
      </c>
      <c r="I831" s="20">
        <v>3.13</v>
      </c>
      <c r="J831" s="2" t="s">
        <v>5007</v>
      </c>
    </row>
    <row r="832" spans="1:10" ht="15.35" x14ac:dyDescent="0.55000000000000004">
      <c r="A832" s="20">
        <v>14130</v>
      </c>
      <c r="B832" s="2" t="s">
        <v>140</v>
      </c>
      <c r="C832" s="2" t="s">
        <v>141</v>
      </c>
      <c r="D832" s="2" t="s">
        <v>142</v>
      </c>
      <c r="E832" s="2" t="s">
        <v>385</v>
      </c>
      <c r="F832" s="2" t="s">
        <v>4948</v>
      </c>
      <c r="G832" s="2" t="s">
        <v>4931</v>
      </c>
      <c r="H832" s="2" t="s">
        <v>4937</v>
      </c>
      <c r="I832" s="20">
        <v>94.12</v>
      </c>
      <c r="J832" s="2" t="s">
        <v>4933</v>
      </c>
    </row>
    <row r="833" spans="1:10" ht="15.35" x14ac:dyDescent="0.55000000000000004">
      <c r="A833" s="20">
        <v>14145</v>
      </c>
      <c r="B833" s="2" t="s">
        <v>140</v>
      </c>
      <c r="C833" s="2" t="s">
        <v>141</v>
      </c>
      <c r="D833" s="2" t="s">
        <v>142</v>
      </c>
      <c r="E833" s="2" t="s">
        <v>385</v>
      </c>
      <c r="F833" s="2" t="s">
        <v>4948</v>
      </c>
      <c r="G833" s="2" t="s">
        <v>4931</v>
      </c>
      <c r="H833" s="2" t="s">
        <v>4952</v>
      </c>
      <c r="I833" s="20">
        <v>97.01</v>
      </c>
      <c r="J833" s="2" t="s">
        <v>4933</v>
      </c>
    </row>
    <row r="834" spans="1:10" ht="15.35" x14ac:dyDescent="0.55000000000000004">
      <c r="A834" s="20">
        <v>17355</v>
      </c>
      <c r="B834" s="2" t="s">
        <v>140</v>
      </c>
      <c r="C834" s="2" t="s">
        <v>141</v>
      </c>
      <c r="D834" s="2" t="s">
        <v>142</v>
      </c>
      <c r="E834" s="2" t="s">
        <v>385</v>
      </c>
      <c r="F834" s="2" t="s">
        <v>4949</v>
      </c>
      <c r="G834" s="2" t="s">
        <v>4928</v>
      </c>
      <c r="H834" s="2" t="s">
        <v>4936</v>
      </c>
      <c r="I834" s="20">
        <v>26534.67</v>
      </c>
      <c r="J834" s="2" t="s">
        <v>4935</v>
      </c>
    </row>
    <row r="835" spans="1:10" ht="15.35" x14ac:dyDescent="0.55000000000000004">
      <c r="A835" s="20">
        <v>17356</v>
      </c>
      <c r="B835" s="2" t="s">
        <v>140</v>
      </c>
      <c r="C835" s="2" t="s">
        <v>141</v>
      </c>
      <c r="D835" s="2" t="s">
        <v>142</v>
      </c>
      <c r="E835" s="2" t="s">
        <v>385</v>
      </c>
      <c r="F835" s="2" t="s">
        <v>4949</v>
      </c>
      <c r="G835" s="2" t="s">
        <v>4931</v>
      </c>
      <c r="H835" s="2" t="s">
        <v>4937</v>
      </c>
      <c r="I835" s="20">
        <v>91.36</v>
      </c>
      <c r="J835" s="2" t="s">
        <v>4933</v>
      </c>
    </row>
    <row r="836" spans="1:10" ht="15.35" x14ac:dyDescent="0.55000000000000004">
      <c r="A836" s="20">
        <v>17357</v>
      </c>
      <c r="B836" s="2" t="s">
        <v>140</v>
      </c>
      <c r="C836" s="2" t="s">
        <v>141</v>
      </c>
      <c r="D836" s="2" t="s">
        <v>142</v>
      </c>
      <c r="E836" s="2" t="s">
        <v>385</v>
      </c>
      <c r="F836" s="2" t="s">
        <v>4949</v>
      </c>
      <c r="G836" s="2" t="s">
        <v>4939</v>
      </c>
      <c r="H836" s="2" t="s">
        <v>4946</v>
      </c>
      <c r="I836" s="20">
        <v>3.07</v>
      </c>
      <c r="J836" s="2" t="s">
        <v>5007</v>
      </c>
    </row>
    <row r="837" spans="1:10" ht="15.35" x14ac:dyDescent="0.55000000000000004">
      <c r="A837" s="20">
        <v>17358</v>
      </c>
      <c r="B837" s="2" t="s">
        <v>140</v>
      </c>
      <c r="C837" s="2" t="s">
        <v>141</v>
      </c>
      <c r="D837" s="2" t="s">
        <v>142</v>
      </c>
      <c r="E837" s="2" t="s">
        <v>385</v>
      </c>
      <c r="F837" s="2" t="s">
        <v>4949</v>
      </c>
      <c r="G837" s="2" t="s">
        <v>4928</v>
      </c>
      <c r="H837" s="2" t="s">
        <v>4953</v>
      </c>
      <c r="I837" s="20">
        <v>6.24</v>
      </c>
      <c r="J837" s="2" t="s">
        <v>4930</v>
      </c>
    </row>
    <row r="838" spans="1:10" ht="15.35" x14ac:dyDescent="0.55000000000000004">
      <c r="A838" s="20">
        <v>17359</v>
      </c>
      <c r="B838" s="2" t="s">
        <v>140</v>
      </c>
      <c r="C838" s="2" t="s">
        <v>141</v>
      </c>
      <c r="D838" s="2" t="s">
        <v>142</v>
      </c>
      <c r="E838" s="2" t="s">
        <v>385</v>
      </c>
      <c r="F838" s="2" t="s">
        <v>4949</v>
      </c>
      <c r="G838" s="2" t="s">
        <v>4931</v>
      </c>
      <c r="H838" s="2" t="s">
        <v>4952</v>
      </c>
      <c r="I838" s="20">
        <v>98.78</v>
      </c>
      <c r="J838" s="2" t="s">
        <v>4933</v>
      </c>
    </row>
    <row r="839" spans="1:10" ht="15.35" x14ac:dyDescent="0.55000000000000004">
      <c r="A839" s="20">
        <v>17364</v>
      </c>
      <c r="B839" s="2" t="s">
        <v>140</v>
      </c>
      <c r="C839" s="2" t="s">
        <v>141</v>
      </c>
      <c r="D839" s="2" t="s">
        <v>142</v>
      </c>
      <c r="E839" s="2" t="s">
        <v>385</v>
      </c>
      <c r="F839" s="2" t="s">
        <v>4949</v>
      </c>
      <c r="G839" s="2" t="s">
        <v>4928</v>
      </c>
      <c r="H839" s="2" t="s">
        <v>4934</v>
      </c>
      <c r="I839" s="20">
        <v>29043.4</v>
      </c>
      <c r="J839" s="2" t="s">
        <v>4935</v>
      </c>
    </row>
    <row r="840" spans="1:10" ht="15.35" x14ac:dyDescent="0.55000000000000004">
      <c r="A840" s="20">
        <v>18376</v>
      </c>
      <c r="B840" s="2" t="s">
        <v>140</v>
      </c>
      <c r="C840" s="2" t="s">
        <v>141</v>
      </c>
      <c r="D840" s="2" t="s">
        <v>142</v>
      </c>
      <c r="E840" s="2" t="s">
        <v>385</v>
      </c>
      <c r="F840" s="2" t="s">
        <v>4950</v>
      </c>
      <c r="G840" s="2" t="s">
        <v>4928</v>
      </c>
      <c r="H840" s="2" t="s">
        <v>4934</v>
      </c>
      <c r="I840" s="20">
        <v>29043.4</v>
      </c>
      <c r="J840" s="2" t="s">
        <v>4935</v>
      </c>
    </row>
    <row r="841" spans="1:10" ht="15.35" x14ac:dyDescent="0.55000000000000004">
      <c r="A841" s="20">
        <v>18377</v>
      </c>
      <c r="B841" s="2" t="s">
        <v>140</v>
      </c>
      <c r="C841" s="2" t="s">
        <v>141</v>
      </c>
      <c r="D841" s="2" t="s">
        <v>142</v>
      </c>
      <c r="E841" s="2" t="s">
        <v>385</v>
      </c>
      <c r="F841" s="2" t="s">
        <v>4950</v>
      </c>
      <c r="G841" s="2" t="s">
        <v>4928</v>
      </c>
      <c r="H841" s="2" t="s">
        <v>4936</v>
      </c>
      <c r="I841" s="20">
        <v>25941.919999999998</v>
      </c>
      <c r="J841" s="2" t="s">
        <v>4935</v>
      </c>
    </row>
    <row r="842" spans="1:10" ht="15.35" x14ac:dyDescent="0.55000000000000004">
      <c r="A842" s="20">
        <v>18378</v>
      </c>
      <c r="B842" s="2" t="s">
        <v>140</v>
      </c>
      <c r="C842" s="2" t="s">
        <v>141</v>
      </c>
      <c r="D842" s="2" t="s">
        <v>142</v>
      </c>
      <c r="E842" s="2" t="s">
        <v>385</v>
      </c>
      <c r="F842" s="2" t="s">
        <v>4950</v>
      </c>
      <c r="G842" s="2" t="s">
        <v>4931</v>
      </c>
      <c r="H842" s="2" t="s">
        <v>4937</v>
      </c>
      <c r="I842" s="20">
        <v>89.32</v>
      </c>
      <c r="J842" s="2" t="s">
        <v>4933</v>
      </c>
    </row>
    <row r="843" spans="1:10" ht="15.35" x14ac:dyDescent="0.55000000000000004">
      <c r="A843" s="20">
        <v>18379</v>
      </c>
      <c r="B843" s="2" t="s">
        <v>140</v>
      </c>
      <c r="C843" s="2" t="s">
        <v>141</v>
      </c>
      <c r="D843" s="2" t="s">
        <v>142</v>
      </c>
      <c r="E843" s="2" t="s">
        <v>385</v>
      </c>
      <c r="F843" s="2" t="s">
        <v>4950</v>
      </c>
      <c r="G843" s="2" t="s">
        <v>4939</v>
      </c>
      <c r="H843" s="2" t="s">
        <v>4946</v>
      </c>
      <c r="I843" s="20">
        <v>3.18</v>
      </c>
      <c r="J843" s="2" t="s">
        <v>5007</v>
      </c>
    </row>
    <row r="844" spans="1:10" ht="15.35" x14ac:dyDescent="0.55000000000000004">
      <c r="A844" s="20">
        <v>18380</v>
      </c>
      <c r="B844" s="2" t="s">
        <v>140</v>
      </c>
      <c r="C844" s="2" t="s">
        <v>141</v>
      </c>
      <c r="D844" s="2" t="s">
        <v>142</v>
      </c>
      <c r="E844" s="2" t="s">
        <v>385</v>
      </c>
      <c r="F844" s="2" t="s">
        <v>4950</v>
      </c>
      <c r="G844" s="2" t="s">
        <v>4928</v>
      </c>
      <c r="H844" s="2" t="s">
        <v>4953</v>
      </c>
      <c r="I844" s="20">
        <v>6.06</v>
      </c>
      <c r="J844" s="2" t="s">
        <v>4930</v>
      </c>
    </row>
    <row r="845" spans="1:10" ht="15.35" x14ac:dyDescent="0.55000000000000004">
      <c r="A845" s="20">
        <v>18381</v>
      </c>
      <c r="B845" s="2" t="s">
        <v>140</v>
      </c>
      <c r="C845" s="2" t="s">
        <v>141</v>
      </c>
      <c r="D845" s="2" t="s">
        <v>142</v>
      </c>
      <c r="E845" s="2" t="s">
        <v>385</v>
      </c>
      <c r="F845" s="2" t="s">
        <v>4950</v>
      </c>
      <c r="G845" s="2" t="s">
        <v>4931</v>
      </c>
      <c r="H845" s="2" t="s">
        <v>4952</v>
      </c>
      <c r="I845" s="20">
        <v>99.92</v>
      </c>
      <c r="J845" s="2" t="s">
        <v>4933</v>
      </c>
    </row>
    <row r="846" spans="1:10" ht="15.35" x14ac:dyDescent="0.55000000000000004">
      <c r="A846" s="20">
        <v>11268</v>
      </c>
      <c r="B846" s="2" t="s">
        <v>140</v>
      </c>
      <c r="C846" s="2" t="s">
        <v>141</v>
      </c>
      <c r="D846" s="2" t="s">
        <v>142</v>
      </c>
      <c r="E846" s="2" t="s">
        <v>390</v>
      </c>
      <c r="F846" s="2" t="s">
        <v>4927</v>
      </c>
      <c r="G846" s="2" t="s">
        <v>4931</v>
      </c>
      <c r="H846" s="2" t="s">
        <v>4952</v>
      </c>
      <c r="I846" s="20">
        <v>99.98</v>
      </c>
      <c r="J846" s="2" t="s">
        <v>4933</v>
      </c>
    </row>
    <row r="847" spans="1:10" ht="15.35" x14ac:dyDescent="0.55000000000000004">
      <c r="A847" s="20">
        <v>11293</v>
      </c>
      <c r="B847" s="2" t="s">
        <v>140</v>
      </c>
      <c r="C847" s="2" t="s">
        <v>141</v>
      </c>
      <c r="D847" s="2" t="s">
        <v>142</v>
      </c>
      <c r="E847" s="2" t="s">
        <v>390</v>
      </c>
      <c r="F847" s="2" t="s">
        <v>4927</v>
      </c>
      <c r="G847" s="2" t="s">
        <v>4928</v>
      </c>
      <c r="H847" s="2" t="s">
        <v>4934</v>
      </c>
      <c r="I847" s="20">
        <v>8729.74</v>
      </c>
      <c r="J847" s="2" t="s">
        <v>4935</v>
      </c>
    </row>
    <row r="848" spans="1:10" ht="15.35" x14ac:dyDescent="0.55000000000000004">
      <c r="A848" s="20">
        <v>11294</v>
      </c>
      <c r="B848" s="2" t="s">
        <v>140</v>
      </c>
      <c r="C848" s="2" t="s">
        <v>141</v>
      </c>
      <c r="D848" s="2" t="s">
        <v>142</v>
      </c>
      <c r="E848" s="2" t="s">
        <v>390</v>
      </c>
      <c r="F848" s="2" t="s">
        <v>4927</v>
      </c>
      <c r="G848" s="2" t="s">
        <v>4928</v>
      </c>
      <c r="H848" s="2" t="s">
        <v>4936</v>
      </c>
      <c r="I848" s="20">
        <v>8729.74</v>
      </c>
      <c r="J848" s="2" t="s">
        <v>4935</v>
      </c>
    </row>
    <row r="849" spans="1:10" ht="15.35" x14ac:dyDescent="0.55000000000000004">
      <c r="A849" s="20">
        <v>11295</v>
      </c>
      <c r="B849" s="2" t="s">
        <v>140</v>
      </c>
      <c r="C849" s="2" t="s">
        <v>141</v>
      </c>
      <c r="D849" s="2" t="s">
        <v>142</v>
      </c>
      <c r="E849" s="2" t="s">
        <v>390</v>
      </c>
      <c r="F849" s="2" t="s">
        <v>4927</v>
      </c>
      <c r="G849" s="2" t="s">
        <v>4931</v>
      </c>
      <c r="H849" s="2" t="s">
        <v>4937</v>
      </c>
      <c r="I849" s="20">
        <v>100</v>
      </c>
      <c r="J849" s="2" t="s">
        <v>4933</v>
      </c>
    </row>
    <row r="850" spans="1:10" ht="15.35" x14ac:dyDescent="0.55000000000000004">
      <c r="A850" s="20">
        <v>11051</v>
      </c>
      <c r="B850" s="2" t="s">
        <v>140</v>
      </c>
      <c r="C850" s="2" t="s">
        <v>141</v>
      </c>
      <c r="D850" s="2" t="s">
        <v>142</v>
      </c>
      <c r="E850" s="2" t="s">
        <v>390</v>
      </c>
      <c r="F850" s="2" t="s">
        <v>4927</v>
      </c>
      <c r="G850" s="2" t="s">
        <v>4928</v>
      </c>
      <c r="H850" s="2" t="s">
        <v>4953</v>
      </c>
      <c r="I850" s="20">
        <v>6.77</v>
      </c>
      <c r="J850" s="2" t="s">
        <v>4930</v>
      </c>
    </row>
    <row r="851" spans="1:10" ht="15.35" x14ac:dyDescent="0.55000000000000004">
      <c r="A851" s="20">
        <v>11052</v>
      </c>
      <c r="B851" s="2" t="s">
        <v>140</v>
      </c>
      <c r="C851" s="2" t="s">
        <v>141</v>
      </c>
      <c r="D851" s="2" t="s">
        <v>142</v>
      </c>
      <c r="E851" s="2" t="s">
        <v>390</v>
      </c>
      <c r="F851" s="2" t="s">
        <v>4927</v>
      </c>
      <c r="G851" s="2" t="s">
        <v>4939</v>
      </c>
      <c r="H851" s="2" t="s">
        <v>4946</v>
      </c>
      <c r="I851" s="20">
        <v>4.79</v>
      </c>
      <c r="J851" s="2" t="s">
        <v>5007</v>
      </c>
    </row>
    <row r="852" spans="1:10" ht="15.35" x14ac:dyDescent="0.55000000000000004">
      <c r="A852" s="20">
        <v>11240</v>
      </c>
      <c r="B852" s="2" t="s">
        <v>140</v>
      </c>
      <c r="C852" s="2" t="s">
        <v>141</v>
      </c>
      <c r="D852" s="2" t="s">
        <v>142</v>
      </c>
      <c r="E852" s="2" t="s">
        <v>390</v>
      </c>
      <c r="F852" s="2" t="s">
        <v>4938</v>
      </c>
      <c r="G852" s="2" t="s">
        <v>4928</v>
      </c>
      <c r="H852" s="2" t="s">
        <v>4934</v>
      </c>
      <c r="I852" s="20">
        <v>8729.74</v>
      </c>
      <c r="J852" s="2" t="s">
        <v>4935</v>
      </c>
    </row>
    <row r="853" spans="1:10" ht="15.35" x14ac:dyDescent="0.55000000000000004">
      <c r="A853" s="20">
        <v>11242</v>
      </c>
      <c r="B853" s="2" t="s">
        <v>140</v>
      </c>
      <c r="C853" s="2" t="s">
        <v>141</v>
      </c>
      <c r="D853" s="2" t="s">
        <v>142</v>
      </c>
      <c r="E853" s="2" t="s">
        <v>390</v>
      </c>
      <c r="F853" s="2" t="s">
        <v>4938</v>
      </c>
      <c r="G853" s="2" t="s">
        <v>4928</v>
      </c>
      <c r="H853" s="2" t="s">
        <v>4936</v>
      </c>
      <c r="I853" s="20">
        <v>8729.74</v>
      </c>
      <c r="J853" s="2" t="s">
        <v>4935</v>
      </c>
    </row>
    <row r="854" spans="1:10" ht="15.35" x14ac:dyDescent="0.55000000000000004">
      <c r="A854" s="20">
        <v>11243</v>
      </c>
      <c r="B854" s="2" t="s">
        <v>140</v>
      </c>
      <c r="C854" s="2" t="s">
        <v>141</v>
      </c>
      <c r="D854" s="2" t="s">
        <v>142</v>
      </c>
      <c r="E854" s="2" t="s">
        <v>390</v>
      </c>
      <c r="F854" s="2" t="s">
        <v>4938</v>
      </c>
      <c r="G854" s="2" t="s">
        <v>4939</v>
      </c>
      <c r="H854" s="2" t="s">
        <v>4946</v>
      </c>
      <c r="I854" s="20">
        <v>4.79</v>
      </c>
      <c r="J854" s="2" t="s">
        <v>5007</v>
      </c>
    </row>
    <row r="855" spans="1:10" ht="15.35" x14ac:dyDescent="0.55000000000000004">
      <c r="A855" s="20">
        <v>11244</v>
      </c>
      <c r="B855" s="2" t="s">
        <v>140</v>
      </c>
      <c r="C855" s="2" t="s">
        <v>141</v>
      </c>
      <c r="D855" s="2" t="s">
        <v>142</v>
      </c>
      <c r="E855" s="2" t="s">
        <v>390</v>
      </c>
      <c r="F855" s="2" t="s">
        <v>4938</v>
      </c>
      <c r="G855" s="2" t="s">
        <v>4928</v>
      </c>
      <c r="H855" s="2" t="s">
        <v>4953</v>
      </c>
      <c r="I855" s="20">
        <v>7.19</v>
      </c>
      <c r="J855" s="2" t="s">
        <v>4930</v>
      </c>
    </row>
    <row r="856" spans="1:10" ht="15.35" x14ac:dyDescent="0.55000000000000004">
      <c r="A856" s="20">
        <v>11245</v>
      </c>
      <c r="B856" s="2" t="s">
        <v>140</v>
      </c>
      <c r="C856" s="2" t="s">
        <v>141</v>
      </c>
      <c r="D856" s="2" t="s">
        <v>142</v>
      </c>
      <c r="E856" s="2" t="s">
        <v>390</v>
      </c>
      <c r="F856" s="2" t="s">
        <v>4938</v>
      </c>
      <c r="G856" s="2" t="s">
        <v>4931</v>
      </c>
      <c r="H856" s="2" t="s">
        <v>4952</v>
      </c>
      <c r="I856" s="20">
        <v>99.98</v>
      </c>
      <c r="J856" s="2" t="s">
        <v>4933</v>
      </c>
    </row>
    <row r="857" spans="1:10" ht="15.35" x14ac:dyDescent="0.55000000000000004">
      <c r="A857" s="20">
        <v>11251</v>
      </c>
      <c r="B857" s="2" t="s">
        <v>140</v>
      </c>
      <c r="C857" s="2" t="s">
        <v>141</v>
      </c>
      <c r="D857" s="2" t="s">
        <v>142</v>
      </c>
      <c r="E857" s="2" t="s">
        <v>390</v>
      </c>
      <c r="F857" s="2" t="s">
        <v>4938</v>
      </c>
      <c r="G857" s="2" t="s">
        <v>4931</v>
      </c>
      <c r="H857" s="2" t="s">
        <v>4937</v>
      </c>
      <c r="I857" s="20">
        <v>100</v>
      </c>
      <c r="J857" s="2" t="s">
        <v>4933</v>
      </c>
    </row>
    <row r="858" spans="1:10" ht="15.35" x14ac:dyDescent="0.55000000000000004">
      <c r="A858" s="20">
        <v>12439</v>
      </c>
      <c r="B858" s="2" t="s">
        <v>140</v>
      </c>
      <c r="C858" s="2" t="s">
        <v>141</v>
      </c>
      <c r="D858" s="2" t="s">
        <v>142</v>
      </c>
      <c r="E858" s="2" t="s">
        <v>390</v>
      </c>
      <c r="F858" s="2" t="s">
        <v>4942</v>
      </c>
      <c r="G858" s="2" t="s">
        <v>4928</v>
      </c>
      <c r="H858" s="2" t="s">
        <v>4953</v>
      </c>
      <c r="I858" s="20">
        <v>7.04</v>
      </c>
      <c r="J858" s="2" t="s">
        <v>4930</v>
      </c>
    </row>
    <row r="859" spans="1:10" ht="15.35" x14ac:dyDescent="0.55000000000000004">
      <c r="A859" s="20">
        <v>12440</v>
      </c>
      <c r="B859" s="2" t="s">
        <v>140</v>
      </c>
      <c r="C859" s="2" t="s">
        <v>141</v>
      </c>
      <c r="D859" s="2" t="s">
        <v>142</v>
      </c>
      <c r="E859" s="2" t="s">
        <v>390</v>
      </c>
      <c r="F859" s="2" t="s">
        <v>4942</v>
      </c>
      <c r="G859" s="2" t="s">
        <v>4939</v>
      </c>
      <c r="H859" s="2" t="s">
        <v>4946</v>
      </c>
      <c r="I859" s="20">
        <v>4.74</v>
      </c>
      <c r="J859" s="2" t="s">
        <v>5007</v>
      </c>
    </row>
    <row r="860" spans="1:10" ht="15.35" x14ac:dyDescent="0.55000000000000004">
      <c r="A860" s="20">
        <v>12441</v>
      </c>
      <c r="B860" s="2" t="s">
        <v>140</v>
      </c>
      <c r="C860" s="2" t="s">
        <v>141</v>
      </c>
      <c r="D860" s="2" t="s">
        <v>142</v>
      </c>
      <c r="E860" s="2" t="s">
        <v>390</v>
      </c>
      <c r="F860" s="2" t="s">
        <v>4942</v>
      </c>
      <c r="G860" s="2" t="s">
        <v>4931</v>
      </c>
      <c r="H860" s="2" t="s">
        <v>4937</v>
      </c>
      <c r="I860" s="20">
        <v>99.48</v>
      </c>
      <c r="J860" s="2" t="s">
        <v>4933</v>
      </c>
    </row>
    <row r="861" spans="1:10" ht="15.35" x14ac:dyDescent="0.55000000000000004">
      <c r="A861" s="20">
        <v>12442</v>
      </c>
      <c r="B861" s="2" t="s">
        <v>140</v>
      </c>
      <c r="C861" s="2" t="s">
        <v>141</v>
      </c>
      <c r="D861" s="2" t="s">
        <v>142</v>
      </c>
      <c r="E861" s="2" t="s">
        <v>390</v>
      </c>
      <c r="F861" s="2" t="s">
        <v>4942</v>
      </c>
      <c r="G861" s="2" t="s">
        <v>4928</v>
      </c>
      <c r="H861" s="2" t="s">
        <v>4936</v>
      </c>
      <c r="I861" s="20">
        <v>8684.0400000000009</v>
      </c>
      <c r="J861" s="2" t="s">
        <v>4935</v>
      </c>
    </row>
    <row r="862" spans="1:10" ht="15.35" x14ac:dyDescent="0.55000000000000004">
      <c r="A862" s="20">
        <v>12443</v>
      </c>
      <c r="B862" s="2" t="s">
        <v>140</v>
      </c>
      <c r="C862" s="2" t="s">
        <v>141</v>
      </c>
      <c r="D862" s="2" t="s">
        <v>142</v>
      </c>
      <c r="E862" s="2" t="s">
        <v>390</v>
      </c>
      <c r="F862" s="2" t="s">
        <v>4942</v>
      </c>
      <c r="G862" s="2" t="s">
        <v>4928</v>
      </c>
      <c r="H862" s="2" t="s">
        <v>4934</v>
      </c>
      <c r="I862" s="20">
        <v>8729.74</v>
      </c>
      <c r="J862" s="2" t="s">
        <v>4935</v>
      </c>
    </row>
    <row r="863" spans="1:10" ht="15.35" x14ac:dyDescent="0.55000000000000004">
      <c r="A863" s="20">
        <v>12511</v>
      </c>
      <c r="B863" s="2" t="s">
        <v>140</v>
      </c>
      <c r="C863" s="2" t="s">
        <v>141</v>
      </c>
      <c r="D863" s="2" t="s">
        <v>142</v>
      </c>
      <c r="E863" s="2" t="s">
        <v>390</v>
      </c>
      <c r="F863" s="2" t="s">
        <v>4942</v>
      </c>
      <c r="G863" s="2" t="s">
        <v>4931</v>
      </c>
      <c r="H863" s="2" t="s">
        <v>4952</v>
      </c>
      <c r="I863" s="20">
        <v>99.97</v>
      </c>
      <c r="J863" s="2" t="s">
        <v>4933</v>
      </c>
    </row>
    <row r="864" spans="1:10" ht="15.35" x14ac:dyDescent="0.55000000000000004">
      <c r="A864" s="20">
        <v>14106</v>
      </c>
      <c r="B864" s="2" t="s">
        <v>140</v>
      </c>
      <c r="C864" s="2" t="s">
        <v>141</v>
      </c>
      <c r="D864" s="2" t="s">
        <v>142</v>
      </c>
      <c r="E864" s="2" t="s">
        <v>390</v>
      </c>
      <c r="F864" s="2" t="s">
        <v>4947</v>
      </c>
      <c r="G864" s="2" t="s">
        <v>4931</v>
      </c>
      <c r="H864" s="2" t="s">
        <v>4952</v>
      </c>
      <c r="I864" s="20">
        <v>99.98</v>
      </c>
      <c r="J864" s="2" t="s">
        <v>4933</v>
      </c>
    </row>
    <row r="865" spans="1:10" ht="15.35" x14ac:dyDescent="0.55000000000000004">
      <c r="A865" s="20">
        <v>14114</v>
      </c>
      <c r="B865" s="2" t="s">
        <v>140</v>
      </c>
      <c r="C865" s="2" t="s">
        <v>141</v>
      </c>
      <c r="D865" s="2" t="s">
        <v>142</v>
      </c>
      <c r="E865" s="2" t="s">
        <v>390</v>
      </c>
      <c r="F865" s="2" t="s">
        <v>4947</v>
      </c>
      <c r="G865" s="2" t="s">
        <v>4928</v>
      </c>
      <c r="H865" s="2" t="s">
        <v>4953</v>
      </c>
      <c r="I865" s="20">
        <v>6.77</v>
      </c>
      <c r="J865" s="2" t="s">
        <v>4930</v>
      </c>
    </row>
    <row r="866" spans="1:10" ht="15.35" x14ac:dyDescent="0.55000000000000004">
      <c r="A866" s="20">
        <v>14118</v>
      </c>
      <c r="B866" s="2" t="s">
        <v>140</v>
      </c>
      <c r="C866" s="2" t="s">
        <v>141</v>
      </c>
      <c r="D866" s="2" t="s">
        <v>142</v>
      </c>
      <c r="E866" s="2" t="s">
        <v>390</v>
      </c>
      <c r="F866" s="2" t="s">
        <v>4947</v>
      </c>
      <c r="G866" s="2" t="s">
        <v>4928</v>
      </c>
      <c r="H866" s="2" t="s">
        <v>4934</v>
      </c>
      <c r="I866" s="20">
        <v>8729.74</v>
      </c>
      <c r="J866" s="2" t="s">
        <v>4935</v>
      </c>
    </row>
    <row r="867" spans="1:10" ht="15.35" x14ac:dyDescent="0.55000000000000004">
      <c r="A867" s="20">
        <v>14119</v>
      </c>
      <c r="B867" s="2" t="s">
        <v>140</v>
      </c>
      <c r="C867" s="2" t="s">
        <v>141</v>
      </c>
      <c r="D867" s="2" t="s">
        <v>142</v>
      </c>
      <c r="E867" s="2" t="s">
        <v>390</v>
      </c>
      <c r="F867" s="2" t="s">
        <v>4947</v>
      </c>
      <c r="G867" s="2" t="s">
        <v>4928</v>
      </c>
      <c r="H867" s="2" t="s">
        <v>4936</v>
      </c>
      <c r="I867" s="20">
        <v>8729.74</v>
      </c>
      <c r="J867" s="2" t="s">
        <v>4935</v>
      </c>
    </row>
    <row r="868" spans="1:10" ht="15.35" x14ac:dyDescent="0.55000000000000004">
      <c r="A868" s="20">
        <v>14120</v>
      </c>
      <c r="B868" s="2" t="s">
        <v>140</v>
      </c>
      <c r="C868" s="2" t="s">
        <v>141</v>
      </c>
      <c r="D868" s="2" t="s">
        <v>142</v>
      </c>
      <c r="E868" s="2" t="s">
        <v>390</v>
      </c>
      <c r="F868" s="2" t="s">
        <v>4947</v>
      </c>
      <c r="G868" s="2" t="s">
        <v>4931</v>
      </c>
      <c r="H868" s="2" t="s">
        <v>4937</v>
      </c>
      <c r="I868" s="20">
        <v>100</v>
      </c>
      <c r="J868" s="2" t="s">
        <v>4933</v>
      </c>
    </row>
    <row r="869" spans="1:10" ht="15.35" x14ac:dyDescent="0.55000000000000004">
      <c r="A869" s="20">
        <v>14122</v>
      </c>
      <c r="B869" s="2" t="s">
        <v>140</v>
      </c>
      <c r="C869" s="2" t="s">
        <v>141</v>
      </c>
      <c r="D869" s="2" t="s">
        <v>142</v>
      </c>
      <c r="E869" s="2" t="s">
        <v>390</v>
      </c>
      <c r="F869" s="2" t="s">
        <v>4947</v>
      </c>
      <c r="G869" s="2" t="s">
        <v>4939</v>
      </c>
      <c r="H869" s="2" t="s">
        <v>4946</v>
      </c>
      <c r="I869" s="20">
        <v>4.8099999999999996</v>
      </c>
      <c r="J869" s="2" t="s">
        <v>5007</v>
      </c>
    </row>
    <row r="870" spans="1:10" ht="15.35" x14ac:dyDescent="0.55000000000000004">
      <c r="A870" s="20">
        <v>11288</v>
      </c>
      <c r="B870" s="2" t="s">
        <v>140</v>
      </c>
      <c r="C870" s="2" t="s">
        <v>141</v>
      </c>
      <c r="D870" s="2" t="s">
        <v>142</v>
      </c>
      <c r="E870" s="2" t="s">
        <v>390</v>
      </c>
      <c r="F870" s="2" t="s">
        <v>4943</v>
      </c>
      <c r="G870" s="2" t="s">
        <v>4928</v>
      </c>
      <c r="H870" s="2" t="s">
        <v>4936</v>
      </c>
      <c r="I870" s="20">
        <v>8729.74</v>
      </c>
      <c r="J870" s="2" t="s">
        <v>4935</v>
      </c>
    </row>
    <row r="871" spans="1:10" ht="15.35" x14ac:dyDescent="0.55000000000000004">
      <c r="A871" s="20">
        <v>11289</v>
      </c>
      <c r="B871" s="2" t="s">
        <v>140</v>
      </c>
      <c r="C871" s="2" t="s">
        <v>141</v>
      </c>
      <c r="D871" s="2" t="s">
        <v>142</v>
      </c>
      <c r="E871" s="2" t="s">
        <v>390</v>
      </c>
      <c r="F871" s="2" t="s">
        <v>4943</v>
      </c>
      <c r="G871" s="2" t="s">
        <v>4931</v>
      </c>
      <c r="H871" s="2" t="s">
        <v>4937</v>
      </c>
      <c r="I871" s="20">
        <v>100</v>
      </c>
      <c r="J871" s="2" t="s">
        <v>4933</v>
      </c>
    </row>
    <row r="872" spans="1:10" ht="15.35" x14ac:dyDescent="0.55000000000000004">
      <c r="A872" s="20">
        <v>11290</v>
      </c>
      <c r="B872" s="2" t="s">
        <v>140</v>
      </c>
      <c r="C872" s="2" t="s">
        <v>141</v>
      </c>
      <c r="D872" s="2" t="s">
        <v>142</v>
      </c>
      <c r="E872" s="2" t="s">
        <v>390</v>
      </c>
      <c r="F872" s="2" t="s">
        <v>4943</v>
      </c>
      <c r="G872" s="2" t="s">
        <v>4939</v>
      </c>
      <c r="H872" s="2" t="s">
        <v>4946</v>
      </c>
      <c r="I872" s="20">
        <v>4.9400000000000004</v>
      </c>
      <c r="J872" s="2" t="s">
        <v>5007</v>
      </c>
    </row>
    <row r="873" spans="1:10" ht="15.35" x14ac:dyDescent="0.55000000000000004">
      <c r="A873" s="20">
        <v>11291</v>
      </c>
      <c r="B873" s="2" t="s">
        <v>140</v>
      </c>
      <c r="C873" s="2" t="s">
        <v>141</v>
      </c>
      <c r="D873" s="2" t="s">
        <v>142</v>
      </c>
      <c r="E873" s="2" t="s">
        <v>390</v>
      </c>
      <c r="F873" s="2" t="s">
        <v>4943</v>
      </c>
      <c r="G873" s="2" t="s">
        <v>4928</v>
      </c>
      <c r="H873" s="2" t="s">
        <v>4953</v>
      </c>
      <c r="I873" s="20">
        <v>6.55</v>
      </c>
      <c r="J873" s="2" t="s">
        <v>4930</v>
      </c>
    </row>
    <row r="874" spans="1:10" ht="15.35" x14ac:dyDescent="0.55000000000000004">
      <c r="A874" s="20">
        <v>11292</v>
      </c>
      <c r="B874" s="2" t="s">
        <v>140</v>
      </c>
      <c r="C874" s="2" t="s">
        <v>141</v>
      </c>
      <c r="D874" s="2" t="s">
        <v>142</v>
      </c>
      <c r="E874" s="2" t="s">
        <v>390</v>
      </c>
      <c r="F874" s="2" t="s">
        <v>4943</v>
      </c>
      <c r="G874" s="2" t="s">
        <v>4931</v>
      </c>
      <c r="H874" s="2" t="s">
        <v>4952</v>
      </c>
      <c r="I874" s="20">
        <v>99.91</v>
      </c>
      <c r="J874" s="2" t="s">
        <v>4933</v>
      </c>
    </row>
    <row r="875" spans="1:10" ht="15.35" x14ac:dyDescent="0.55000000000000004">
      <c r="A875" s="20">
        <v>11296</v>
      </c>
      <c r="B875" s="2" t="s">
        <v>140</v>
      </c>
      <c r="C875" s="2" t="s">
        <v>141</v>
      </c>
      <c r="D875" s="2" t="s">
        <v>142</v>
      </c>
      <c r="E875" s="2" t="s">
        <v>390</v>
      </c>
      <c r="F875" s="2" t="s">
        <v>4943</v>
      </c>
      <c r="G875" s="2" t="s">
        <v>4928</v>
      </c>
      <c r="H875" s="2" t="s">
        <v>4934</v>
      </c>
      <c r="I875" s="20">
        <v>8729.74</v>
      </c>
      <c r="J875" s="2" t="s">
        <v>4935</v>
      </c>
    </row>
    <row r="876" spans="1:10" ht="15.35" x14ac:dyDescent="0.55000000000000004">
      <c r="A876" s="20">
        <v>11246</v>
      </c>
      <c r="B876" s="2" t="s">
        <v>140</v>
      </c>
      <c r="C876" s="2" t="s">
        <v>141</v>
      </c>
      <c r="D876" s="2" t="s">
        <v>142</v>
      </c>
      <c r="E876" s="2" t="s">
        <v>390</v>
      </c>
      <c r="F876" s="2" t="s">
        <v>4944</v>
      </c>
      <c r="G876" s="2" t="s">
        <v>4928</v>
      </c>
      <c r="H876" s="2" t="s">
        <v>4934</v>
      </c>
      <c r="I876" s="20">
        <v>8729.74</v>
      </c>
      <c r="J876" s="2" t="s">
        <v>4935</v>
      </c>
    </row>
    <row r="877" spans="1:10" ht="15.35" x14ac:dyDescent="0.55000000000000004">
      <c r="A877" s="20">
        <v>11247</v>
      </c>
      <c r="B877" s="2" t="s">
        <v>140</v>
      </c>
      <c r="C877" s="2" t="s">
        <v>141</v>
      </c>
      <c r="D877" s="2" t="s">
        <v>142</v>
      </c>
      <c r="E877" s="2" t="s">
        <v>390</v>
      </c>
      <c r="F877" s="2" t="s">
        <v>4944</v>
      </c>
      <c r="G877" s="2" t="s">
        <v>4928</v>
      </c>
      <c r="H877" s="2" t="s">
        <v>4936</v>
      </c>
      <c r="I877" s="20">
        <v>8615.7800000000007</v>
      </c>
      <c r="J877" s="2" t="s">
        <v>4935</v>
      </c>
    </row>
    <row r="878" spans="1:10" ht="15.35" x14ac:dyDescent="0.55000000000000004">
      <c r="A878" s="20">
        <v>11248</v>
      </c>
      <c r="B878" s="2" t="s">
        <v>140</v>
      </c>
      <c r="C878" s="2" t="s">
        <v>141</v>
      </c>
      <c r="D878" s="2" t="s">
        <v>142</v>
      </c>
      <c r="E878" s="2" t="s">
        <v>390</v>
      </c>
      <c r="F878" s="2" t="s">
        <v>4944</v>
      </c>
      <c r="G878" s="2" t="s">
        <v>4931</v>
      </c>
      <c r="H878" s="2" t="s">
        <v>4937</v>
      </c>
      <c r="I878" s="20">
        <v>98.69</v>
      </c>
      <c r="J878" s="2" t="s">
        <v>4933</v>
      </c>
    </row>
    <row r="879" spans="1:10" ht="15.35" x14ac:dyDescent="0.55000000000000004">
      <c r="A879" s="20">
        <v>11249</v>
      </c>
      <c r="B879" s="2" t="s">
        <v>140</v>
      </c>
      <c r="C879" s="2" t="s">
        <v>141</v>
      </c>
      <c r="D879" s="2" t="s">
        <v>142</v>
      </c>
      <c r="E879" s="2" t="s">
        <v>390</v>
      </c>
      <c r="F879" s="2" t="s">
        <v>4944</v>
      </c>
      <c r="G879" s="2" t="s">
        <v>4939</v>
      </c>
      <c r="H879" s="2" t="s">
        <v>4946</v>
      </c>
      <c r="I879" s="20">
        <v>4.8600000000000003</v>
      </c>
      <c r="J879" s="2" t="s">
        <v>5007</v>
      </c>
    </row>
    <row r="880" spans="1:10" ht="15.35" x14ac:dyDescent="0.55000000000000004">
      <c r="A880" s="20">
        <v>11274</v>
      </c>
      <c r="B880" s="2" t="s">
        <v>140</v>
      </c>
      <c r="C880" s="2" t="s">
        <v>141</v>
      </c>
      <c r="D880" s="2" t="s">
        <v>142</v>
      </c>
      <c r="E880" s="2" t="s">
        <v>390</v>
      </c>
      <c r="F880" s="2" t="s">
        <v>4944</v>
      </c>
      <c r="G880" s="2" t="s">
        <v>4928</v>
      </c>
      <c r="H880" s="2" t="s">
        <v>4953</v>
      </c>
      <c r="I880" s="20">
        <v>6.49</v>
      </c>
      <c r="J880" s="2" t="s">
        <v>4930</v>
      </c>
    </row>
    <row r="881" spans="1:10" ht="15.35" x14ac:dyDescent="0.55000000000000004">
      <c r="A881" s="20">
        <v>11316</v>
      </c>
      <c r="B881" s="2" t="s">
        <v>140</v>
      </c>
      <c r="C881" s="2" t="s">
        <v>141</v>
      </c>
      <c r="D881" s="2" t="s">
        <v>142</v>
      </c>
      <c r="E881" s="2" t="s">
        <v>390</v>
      </c>
      <c r="F881" s="2" t="s">
        <v>4944</v>
      </c>
      <c r="G881" s="2" t="s">
        <v>4931</v>
      </c>
      <c r="H881" s="2" t="s">
        <v>4952</v>
      </c>
      <c r="I881" s="20">
        <v>99.43</v>
      </c>
      <c r="J881" s="2" t="s">
        <v>4933</v>
      </c>
    </row>
    <row r="882" spans="1:10" ht="15.35" x14ac:dyDescent="0.55000000000000004">
      <c r="A882" s="20">
        <v>12456</v>
      </c>
      <c r="B882" s="2" t="s">
        <v>140</v>
      </c>
      <c r="C882" s="2" t="s">
        <v>141</v>
      </c>
      <c r="D882" s="2" t="s">
        <v>142</v>
      </c>
      <c r="E882" s="2" t="s">
        <v>390</v>
      </c>
      <c r="F882" s="2" t="s">
        <v>4945</v>
      </c>
      <c r="G882" s="2" t="s">
        <v>4931</v>
      </c>
      <c r="H882" s="2" t="s">
        <v>4937</v>
      </c>
      <c r="I882" s="20">
        <v>98.69</v>
      </c>
      <c r="J882" s="2" t="s">
        <v>4933</v>
      </c>
    </row>
    <row r="883" spans="1:10" ht="15.35" x14ac:dyDescent="0.55000000000000004">
      <c r="A883" s="20">
        <v>12459</v>
      </c>
      <c r="B883" s="2" t="s">
        <v>140</v>
      </c>
      <c r="C883" s="2" t="s">
        <v>141</v>
      </c>
      <c r="D883" s="2" t="s">
        <v>142</v>
      </c>
      <c r="E883" s="2" t="s">
        <v>390</v>
      </c>
      <c r="F883" s="2" t="s">
        <v>4945</v>
      </c>
      <c r="G883" s="2" t="s">
        <v>4931</v>
      </c>
      <c r="H883" s="2" t="s">
        <v>4952</v>
      </c>
      <c r="I883" s="20">
        <v>99.98</v>
      </c>
      <c r="J883" s="2" t="s">
        <v>4933</v>
      </c>
    </row>
    <row r="884" spans="1:10" ht="15.35" x14ac:dyDescent="0.55000000000000004">
      <c r="A884" s="20">
        <v>12460</v>
      </c>
      <c r="B884" s="2" t="s">
        <v>140</v>
      </c>
      <c r="C884" s="2" t="s">
        <v>141</v>
      </c>
      <c r="D884" s="2" t="s">
        <v>142</v>
      </c>
      <c r="E884" s="2" t="s">
        <v>390</v>
      </c>
      <c r="F884" s="2" t="s">
        <v>4945</v>
      </c>
      <c r="G884" s="2" t="s">
        <v>4928</v>
      </c>
      <c r="H884" s="2" t="s">
        <v>4953</v>
      </c>
      <c r="I884" s="20">
        <v>6.28</v>
      </c>
      <c r="J884" s="2" t="s">
        <v>4930</v>
      </c>
    </row>
    <row r="885" spans="1:10" ht="15.35" x14ac:dyDescent="0.55000000000000004">
      <c r="A885" s="20">
        <v>12462</v>
      </c>
      <c r="B885" s="2" t="s">
        <v>140</v>
      </c>
      <c r="C885" s="2" t="s">
        <v>141</v>
      </c>
      <c r="D885" s="2" t="s">
        <v>142</v>
      </c>
      <c r="E885" s="2" t="s">
        <v>390</v>
      </c>
      <c r="F885" s="2" t="s">
        <v>4945</v>
      </c>
      <c r="G885" s="2" t="s">
        <v>4939</v>
      </c>
      <c r="H885" s="2" t="s">
        <v>4946</v>
      </c>
      <c r="I885" s="20">
        <v>4.75</v>
      </c>
      <c r="J885" s="2" t="s">
        <v>5007</v>
      </c>
    </row>
    <row r="886" spans="1:10" ht="15.35" x14ac:dyDescent="0.55000000000000004">
      <c r="A886" s="20">
        <v>12464</v>
      </c>
      <c r="B886" s="2" t="s">
        <v>140</v>
      </c>
      <c r="C886" s="2" t="s">
        <v>141</v>
      </c>
      <c r="D886" s="2" t="s">
        <v>142</v>
      </c>
      <c r="E886" s="2" t="s">
        <v>390</v>
      </c>
      <c r="F886" s="2" t="s">
        <v>4945</v>
      </c>
      <c r="G886" s="2" t="s">
        <v>4928</v>
      </c>
      <c r="H886" s="2" t="s">
        <v>4936</v>
      </c>
      <c r="I886" s="20">
        <v>8615.7800000000007</v>
      </c>
      <c r="J886" s="2" t="s">
        <v>4935</v>
      </c>
    </row>
    <row r="887" spans="1:10" ht="15.35" x14ac:dyDescent="0.55000000000000004">
      <c r="A887" s="20">
        <v>12471</v>
      </c>
      <c r="B887" s="2" t="s">
        <v>140</v>
      </c>
      <c r="C887" s="2" t="s">
        <v>141</v>
      </c>
      <c r="D887" s="2" t="s">
        <v>142</v>
      </c>
      <c r="E887" s="2" t="s">
        <v>390</v>
      </c>
      <c r="F887" s="2" t="s">
        <v>4945</v>
      </c>
      <c r="G887" s="2" t="s">
        <v>4928</v>
      </c>
      <c r="H887" s="2" t="s">
        <v>4934</v>
      </c>
      <c r="I887" s="20">
        <v>8729.74</v>
      </c>
      <c r="J887" s="2" t="s">
        <v>4935</v>
      </c>
    </row>
    <row r="888" spans="1:10" ht="15.35" x14ac:dyDescent="0.55000000000000004">
      <c r="A888" s="20">
        <v>14096</v>
      </c>
      <c r="B888" s="2" t="s">
        <v>140</v>
      </c>
      <c r="C888" s="2" t="s">
        <v>141</v>
      </c>
      <c r="D888" s="2" t="s">
        <v>142</v>
      </c>
      <c r="E888" s="2" t="s">
        <v>390</v>
      </c>
      <c r="F888" s="2" t="s">
        <v>4948</v>
      </c>
      <c r="G888" s="2" t="s">
        <v>4931</v>
      </c>
      <c r="H888" s="2" t="s">
        <v>4937</v>
      </c>
      <c r="I888" s="20">
        <v>99.67</v>
      </c>
      <c r="J888" s="2" t="s">
        <v>4933</v>
      </c>
    </row>
    <row r="889" spans="1:10" ht="15.35" x14ac:dyDescent="0.55000000000000004">
      <c r="A889" s="20">
        <v>14099</v>
      </c>
      <c r="B889" s="2" t="s">
        <v>140</v>
      </c>
      <c r="C889" s="2" t="s">
        <v>141</v>
      </c>
      <c r="D889" s="2" t="s">
        <v>142</v>
      </c>
      <c r="E889" s="2" t="s">
        <v>390</v>
      </c>
      <c r="F889" s="2" t="s">
        <v>4948</v>
      </c>
      <c r="G889" s="2" t="s">
        <v>4928</v>
      </c>
      <c r="H889" s="2" t="s">
        <v>4934</v>
      </c>
      <c r="I889" s="20">
        <v>8729.74</v>
      </c>
      <c r="J889" s="2" t="s">
        <v>4935</v>
      </c>
    </row>
    <row r="890" spans="1:10" ht="15.35" x14ac:dyDescent="0.55000000000000004">
      <c r="A890" s="20">
        <v>14103</v>
      </c>
      <c r="B890" s="2" t="s">
        <v>140</v>
      </c>
      <c r="C890" s="2" t="s">
        <v>141</v>
      </c>
      <c r="D890" s="2" t="s">
        <v>142</v>
      </c>
      <c r="E890" s="2" t="s">
        <v>390</v>
      </c>
      <c r="F890" s="2" t="s">
        <v>4948</v>
      </c>
      <c r="G890" s="2" t="s">
        <v>4928</v>
      </c>
      <c r="H890" s="2" t="s">
        <v>4936</v>
      </c>
      <c r="I890" s="20">
        <v>8701.27</v>
      </c>
      <c r="J890" s="2" t="s">
        <v>4935</v>
      </c>
    </row>
    <row r="891" spans="1:10" ht="15.35" x14ac:dyDescent="0.55000000000000004">
      <c r="A891" s="20">
        <v>14104</v>
      </c>
      <c r="B891" s="2" t="s">
        <v>140</v>
      </c>
      <c r="C891" s="2" t="s">
        <v>141</v>
      </c>
      <c r="D891" s="2" t="s">
        <v>142</v>
      </c>
      <c r="E891" s="2" t="s">
        <v>390</v>
      </c>
      <c r="F891" s="2" t="s">
        <v>4948</v>
      </c>
      <c r="G891" s="2" t="s">
        <v>4939</v>
      </c>
      <c r="H891" s="2" t="s">
        <v>4946</v>
      </c>
      <c r="I891" s="20">
        <v>4.92</v>
      </c>
      <c r="J891" s="2" t="s">
        <v>5007</v>
      </c>
    </row>
    <row r="892" spans="1:10" ht="15.35" x14ac:dyDescent="0.55000000000000004">
      <c r="A892" s="20">
        <v>14127</v>
      </c>
      <c r="B892" s="2" t="s">
        <v>140</v>
      </c>
      <c r="C892" s="2" t="s">
        <v>141</v>
      </c>
      <c r="D892" s="2" t="s">
        <v>142</v>
      </c>
      <c r="E892" s="2" t="s">
        <v>390</v>
      </c>
      <c r="F892" s="2" t="s">
        <v>4948</v>
      </c>
      <c r="G892" s="2" t="s">
        <v>4928</v>
      </c>
      <c r="H892" s="2" t="s">
        <v>4953</v>
      </c>
      <c r="I892" s="20">
        <v>6.25</v>
      </c>
      <c r="J892" s="2" t="s">
        <v>4930</v>
      </c>
    </row>
    <row r="893" spans="1:10" ht="15.35" x14ac:dyDescent="0.55000000000000004">
      <c r="A893" s="20">
        <v>14134</v>
      </c>
      <c r="B893" s="2" t="s">
        <v>140</v>
      </c>
      <c r="C893" s="2" t="s">
        <v>141</v>
      </c>
      <c r="D893" s="2" t="s">
        <v>142</v>
      </c>
      <c r="E893" s="2" t="s">
        <v>390</v>
      </c>
      <c r="F893" s="2" t="s">
        <v>4948</v>
      </c>
      <c r="G893" s="2" t="s">
        <v>4931</v>
      </c>
      <c r="H893" s="2" t="s">
        <v>4952</v>
      </c>
      <c r="I893" s="20">
        <v>99.63</v>
      </c>
      <c r="J893" s="2" t="s">
        <v>4933</v>
      </c>
    </row>
    <row r="894" spans="1:10" ht="15.35" x14ac:dyDescent="0.55000000000000004">
      <c r="A894" s="20">
        <v>17344</v>
      </c>
      <c r="B894" s="2" t="s">
        <v>140</v>
      </c>
      <c r="C894" s="2" t="s">
        <v>141</v>
      </c>
      <c r="D894" s="2" t="s">
        <v>142</v>
      </c>
      <c r="E894" s="2" t="s">
        <v>390</v>
      </c>
      <c r="F894" s="2" t="s">
        <v>4949</v>
      </c>
      <c r="G894" s="2" t="s">
        <v>4939</v>
      </c>
      <c r="H894" s="2" t="s">
        <v>4946</v>
      </c>
      <c r="I894" s="20">
        <v>4.97</v>
      </c>
      <c r="J894" s="2" t="s">
        <v>5007</v>
      </c>
    </row>
    <row r="895" spans="1:10" ht="15.35" x14ac:dyDescent="0.55000000000000004">
      <c r="A895" s="20">
        <v>17345</v>
      </c>
      <c r="B895" s="2" t="s">
        <v>140</v>
      </c>
      <c r="C895" s="2" t="s">
        <v>141</v>
      </c>
      <c r="D895" s="2" t="s">
        <v>142</v>
      </c>
      <c r="E895" s="2" t="s">
        <v>390</v>
      </c>
      <c r="F895" s="2" t="s">
        <v>4949</v>
      </c>
      <c r="G895" s="2" t="s">
        <v>4931</v>
      </c>
      <c r="H895" s="2" t="s">
        <v>4937</v>
      </c>
      <c r="I895" s="20">
        <v>99.67</v>
      </c>
      <c r="J895" s="2" t="s">
        <v>4933</v>
      </c>
    </row>
    <row r="896" spans="1:10" ht="15.35" x14ac:dyDescent="0.55000000000000004">
      <c r="A896" s="20">
        <v>17346</v>
      </c>
      <c r="B896" s="2" t="s">
        <v>140</v>
      </c>
      <c r="C896" s="2" t="s">
        <v>141</v>
      </c>
      <c r="D896" s="2" t="s">
        <v>142</v>
      </c>
      <c r="E896" s="2" t="s">
        <v>390</v>
      </c>
      <c r="F896" s="2" t="s">
        <v>4949</v>
      </c>
      <c r="G896" s="2" t="s">
        <v>4928</v>
      </c>
      <c r="H896" s="2" t="s">
        <v>4936</v>
      </c>
      <c r="I896" s="20">
        <v>8701.27</v>
      </c>
      <c r="J896" s="2" t="s">
        <v>4935</v>
      </c>
    </row>
    <row r="897" spans="1:10" ht="15.35" x14ac:dyDescent="0.55000000000000004">
      <c r="A897" s="20">
        <v>17347</v>
      </c>
      <c r="B897" s="2" t="s">
        <v>140</v>
      </c>
      <c r="C897" s="2" t="s">
        <v>141</v>
      </c>
      <c r="D897" s="2" t="s">
        <v>142</v>
      </c>
      <c r="E897" s="2" t="s">
        <v>390</v>
      </c>
      <c r="F897" s="2" t="s">
        <v>4949</v>
      </c>
      <c r="G897" s="2" t="s">
        <v>4928</v>
      </c>
      <c r="H897" s="2" t="s">
        <v>4934</v>
      </c>
      <c r="I897" s="20">
        <v>8729.74</v>
      </c>
      <c r="J897" s="2" t="s">
        <v>4935</v>
      </c>
    </row>
    <row r="898" spans="1:10" ht="15.35" x14ac:dyDescent="0.55000000000000004">
      <c r="A898" s="20">
        <v>17419</v>
      </c>
      <c r="B898" s="2" t="s">
        <v>140</v>
      </c>
      <c r="C898" s="2" t="s">
        <v>141</v>
      </c>
      <c r="D898" s="2" t="s">
        <v>142</v>
      </c>
      <c r="E898" s="2" t="s">
        <v>390</v>
      </c>
      <c r="F898" s="2" t="s">
        <v>4949</v>
      </c>
      <c r="G898" s="2" t="s">
        <v>4928</v>
      </c>
      <c r="H898" s="2" t="s">
        <v>4953</v>
      </c>
      <c r="I898" s="20">
        <v>6.01</v>
      </c>
      <c r="J898" s="2" t="s">
        <v>4930</v>
      </c>
    </row>
    <row r="899" spans="1:10" ht="15.35" x14ac:dyDescent="0.55000000000000004">
      <c r="A899" s="20">
        <v>17420</v>
      </c>
      <c r="B899" s="2" t="s">
        <v>140</v>
      </c>
      <c r="C899" s="2" t="s">
        <v>141</v>
      </c>
      <c r="D899" s="2" t="s">
        <v>142</v>
      </c>
      <c r="E899" s="2" t="s">
        <v>390</v>
      </c>
      <c r="F899" s="2" t="s">
        <v>4949</v>
      </c>
      <c r="G899" s="2" t="s">
        <v>4931</v>
      </c>
      <c r="H899" s="2" t="s">
        <v>4952</v>
      </c>
      <c r="I899" s="20">
        <v>99.94</v>
      </c>
      <c r="J899" s="2" t="s">
        <v>4933</v>
      </c>
    </row>
    <row r="900" spans="1:10" ht="15.35" x14ac:dyDescent="0.55000000000000004">
      <c r="A900" s="20">
        <v>18371</v>
      </c>
      <c r="B900" s="2" t="s">
        <v>140</v>
      </c>
      <c r="C900" s="2" t="s">
        <v>141</v>
      </c>
      <c r="D900" s="2" t="s">
        <v>142</v>
      </c>
      <c r="E900" s="2" t="s">
        <v>390</v>
      </c>
      <c r="F900" s="2" t="s">
        <v>4950</v>
      </c>
      <c r="G900" s="2" t="s">
        <v>4931</v>
      </c>
      <c r="H900" s="2" t="s">
        <v>4952</v>
      </c>
      <c r="I900" s="20">
        <v>99.93</v>
      </c>
      <c r="J900" s="2" t="s">
        <v>4933</v>
      </c>
    </row>
    <row r="901" spans="1:10" ht="15.35" x14ac:dyDescent="0.55000000000000004">
      <c r="A901" s="20">
        <v>18394</v>
      </c>
      <c r="B901" s="2" t="s">
        <v>140</v>
      </c>
      <c r="C901" s="2" t="s">
        <v>141</v>
      </c>
      <c r="D901" s="2" t="s">
        <v>142</v>
      </c>
      <c r="E901" s="2" t="s">
        <v>390</v>
      </c>
      <c r="F901" s="2" t="s">
        <v>4950</v>
      </c>
      <c r="G901" s="2" t="s">
        <v>4928</v>
      </c>
      <c r="H901" s="2" t="s">
        <v>4934</v>
      </c>
      <c r="I901" s="20">
        <v>8729.74</v>
      </c>
      <c r="J901" s="2" t="s">
        <v>4935</v>
      </c>
    </row>
    <row r="902" spans="1:10" ht="15.35" x14ac:dyDescent="0.55000000000000004">
      <c r="A902" s="20">
        <v>18395</v>
      </c>
      <c r="B902" s="2" t="s">
        <v>140</v>
      </c>
      <c r="C902" s="2" t="s">
        <v>141</v>
      </c>
      <c r="D902" s="2" t="s">
        <v>142</v>
      </c>
      <c r="E902" s="2" t="s">
        <v>390</v>
      </c>
      <c r="F902" s="2" t="s">
        <v>4950</v>
      </c>
      <c r="G902" s="2" t="s">
        <v>4928</v>
      </c>
      <c r="H902" s="2" t="s">
        <v>4936</v>
      </c>
      <c r="I902" s="20">
        <v>8712.36</v>
      </c>
      <c r="J902" s="2" t="s">
        <v>4935</v>
      </c>
    </row>
    <row r="903" spans="1:10" ht="15.35" x14ac:dyDescent="0.55000000000000004">
      <c r="A903" s="20">
        <v>18396</v>
      </c>
      <c r="B903" s="2" t="s">
        <v>140</v>
      </c>
      <c r="C903" s="2" t="s">
        <v>141</v>
      </c>
      <c r="D903" s="2" t="s">
        <v>142</v>
      </c>
      <c r="E903" s="2" t="s">
        <v>390</v>
      </c>
      <c r="F903" s="2" t="s">
        <v>4950</v>
      </c>
      <c r="G903" s="2" t="s">
        <v>4931</v>
      </c>
      <c r="H903" s="2" t="s">
        <v>4937</v>
      </c>
      <c r="I903" s="20">
        <v>99.8</v>
      </c>
      <c r="J903" s="2" t="s">
        <v>4933</v>
      </c>
    </row>
    <row r="904" spans="1:10" ht="15.35" x14ac:dyDescent="0.55000000000000004">
      <c r="A904" s="20">
        <v>18397</v>
      </c>
      <c r="B904" s="2" t="s">
        <v>140</v>
      </c>
      <c r="C904" s="2" t="s">
        <v>141</v>
      </c>
      <c r="D904" s="2" t="s">
        <v>142</v>
      </c>
      <c r="E904" s="2" t="s">
        <v>390</v>
      </c>
      <c r="F904" s="2" t="s">
        <v>4950</v>
      </c>
      <c r="G904" s="2" t="s">
        <v>4939</v>
      </c>
      <c r="H904" s="2" t="s">
        <v>4946</v>
      </c>
      <c r="I904" s="20">
        <v>4.8899999999999997</v>
      </c>
      <c r="J904" s="2" t="s">
        <v>5007</v>
      </c>
    </row>
    <row r="905" spans="1:10" ht="15.35" x14ac:dyDescent="0.55000000000000004">
      <c r="A905" s="20">
        <v>18398</v>
      </c>
      <c r="B905" s="2" t="s">
        <v>140</v>
      </c>
      <c r="C905" s="2" t="s">
        <v>141</v>
      </c>
      <c r="D905" s="2" t="s">
        <v>142</v>
      </c>
      <c r="E905" s="2" t="s">
        <v>390</v>
      </c>
      <c r="F905" s="2" t="s">
        <v>4950</v>
      </c>
      <c r="G905" s="2" t="s">
        <v>4928</v>
      </c>
      <c r="H905" s="2" t="s">
        <v>4953</v>
      </c>
      <c r="I905" s="20">
        <v>5.94</v>
      </c>
      <c r="J905" s="2" t="s">
        <v>4930</v>
      </c>
    </row>
    <row r="906" spans="1:10" ht="15.35" x14ac:dyDescent="0.55000000000000004">
      <c r="A906" s="20">
        <v>10805</v>
      </c>
      <c r="B906" s="2" t="s">
        <v>140</v>
      </c>
      <c r="C906" s="2" t="s">
        <v>141</v>
      </c>
      <c r="D906" s="2" t="s">
        <v>142</v>
      </c>
      <c r="E906" s="2" t="s">
        <v>395</v>
      </c>
      <c r="F906" s="2" t="s">
        <v>4927</v>
      </c>
      <c r="G906" s="2" t="s">
        <v>4928</v>
      </c>
      <c r="H906" s="2" t="s">
        <v>4934</v>
      </c>
      <c r="I906" s="20">
        <v>24840.41</v>
      </c>
      <c r="J906" s="2" t="s">
        <v>4935</v>
      </c>
    </row>
    <row r="907" spans="1:10" ht="15.35" x14ac:dyDescent="0.55000000000000004">
      <c r="A907" s="20">
        <v>10960</v>
      </c>
      <c r="B907" s="2" t="s">
        <v>140</v>
      </c>
      <c r="C907" s="2" t="s">
        <v>141</v>
      </c>
      <c r="D907" s="2" t="s">
        <v>142</v>
      </c>
      <c r="E907" s="2" t="s">
        <v>395</v>
      </c>
      <c r="F907" s="2" t="s">
        <v>4927</v>
      </c>
      <c r="G907" s="2" t="s">
        <v>4928</v>
      </c>
      <c r="H907" s="2" t="s">
        <v>4936</v>
      </c>
      <c r="I907" s="20">
        <v>24777.84</v>
      </c>
      <c r="J907" s="2" t="s">
        <v>4935</v>
      </c>
    </row>
    <row r="908" spans="1:10" ht="15.35" x14ac:dyDescent="0.55000000000000004">
      <c r="A908" s="20">
        <v>11284</v>
      </c>
      <c r="B908" s="2" t="s">
        <v>140</v>
      </c>
      <c r="C908" s="2" t="s">
        <v>141</v>
      </c>
      <c r="D908" s="2" t="s">
        <v>142</v>
      </c>
      <c r="E908" s="2" t="s">
        <v>395</v>
      </c>
      <c r="F908" s="2" t="s">
        <v>4927</v>
      </c>
      <c r="G908" s="2" t="s">
        <v>4931</v>
      </c>
      <c r="H908" s="2" t="s">
        <v>4937</v>
      </c>
      <c r="I908" s="20">
        <v>99.75</v>
      </c>
      <c r="J908" s="2" t="s">
        <v>4933</v>
      </c>
    </row>
    <row r="909" spans="1:10" ht="15.35" x14ac:dyDescent="0.55000000000000004">
      <c r="A909" s="20">
        <v>11299</v>
      </c>
      <c r="B909" s="2" t="s">
        <v>140</v>
      </c>
      <c r="C909" s="2" t="s">
        <v>141</v>
      </c>
      <c r="D909" s="2" t="s">
        <v>142</v>
      </c>
      <c r="E909" s="2" t="s">
        <v>395</v>
      </c>
      <c r="F909" s="2" t="s">
        <v>4927</v>
      </c>
      <c r="G909" s="2" t="s">
        <v>4931</v>
      </c>
      <c r="H909" s="2" t="s">
        <v>4952</v>
      </c>
      <c r="I909" s="20">
        <v>99.89</v>
      </c>
      <c r="J909" s="2" t="s">
        <v>4933</v>
      </c>
    </row>
    <row r="910" spans="1:10" ht="15.35" x14ac:dyDescent="0.55000000000000004">
      <c r="A910" s="20">
        <v>11317</v>
      </c>
      <c r="B910" s="2" t="s">
        <v>140</v>
      </c>
      <c r="C910" s="2" t="s">
        <v>141</v>
      </c>
      <c r="D910" s="2" t="s">
        <v>142</v>
      </c>
      <c r="E910" s="2" t="s">
        <v>395</v>
      </c>
      <c r="F910" s="2" t="s">
        <v>4927</v>
      </c>
      <c r="G910" s="2" t="s">
        <v>4939</v>
      </c>
      <c r="H910" s="2" t="s">
        <v>4946</v>
      </c>
      <c r="I910" s="20">
        <v>4.91</v>
      </c>
      <c r="J910" s="2" t="s">
        <v>5007</v>
      </c>
    </row>
    <row r="911" spans="1:10" ht="15.35" x14ac:dyDescent="0.55000000000000004">
      <c r="A911" s="20">
        <v>11318</v>
      </c>
      <c r="B911" s="2" t="s">
        <v>140</v>
      </c>
      <c r="C911" s="2" t="s">
        <v>141</v>
      </c>
      <c r="D911" s="2" t="s">
        <v>142</v>
      </c>
      <c r="E911" s="2" t="s">
        <v>395</v>
      </c>
      <c r="F911" s="2" t="s">
        <v>4927</v>
      </c>
      <c r="G911" s="2" t="s">
        <v>4928</v>
      </c>
      <c r="H911" s="2" t="s">
        <v>4953</v>
      </c>
      <c r="I911" s="20">
        <v>6.86</v>
      </c>
      <c r="J911" s="2" t="s">
        <v>4930</v>
      </c>
    </row>
    <row r="912" spans="1:10" ht="15.35" x14ac:dyDescent="0.55000000000000004">
      <c r="A912" s="20">
        <v>11301</v>
      </c>
      <c r="B912" s="2" t="s">
        <v>140</v>
      </c>
      <c r="C912" s="2" t="s">
        <v>141</v>
      </c>
      <c r="D912" s="2" t="s">
        <v>142</v>
      </c>
      <c r="E912" s="2" t="s">
        <v>395</v>
      </c>
      <c r="F912" s="2" t="s">
        <v>4938</v>
      </c>
      <c r="G912" s="2" t="s">
        <v>4931</v>
      </c>
      <c r="H912" s="2" t="s">
        <v>4952</v>
      </c>
      <c r="I912" s="20">
        <v>99.9</v>
      </c>
      <c r="J912" s="2" t="s">
        <v>4933</v>
      </c>
    </row>
    <row r="913" spans="1:10" ht="15.35" x14ac:dyDescent="0.55000000000000004">
      <c r="A913" s="20">
        <v>11311</v>
      </c>
      <c r="B913" s="2" t="s">
        <v>140</v>
      </c>
      <c r="C913" s="2" t="s">
        <v>141</v>
      </c>
      <c r="D913" s="2" t="s">
        <v>142</v>
      </c>
      <c r="E913" s="2" t="s">
        <v>395</v>
      </c>
      <c r="F913" s="2" t="s">
        <v>4938</v>
      </c>
      <c r="G913" s="2" t="s">
        <v>4928</v>
      </c>
      <c r="H913" s="2" t="s">
        <v>4934</v>
      </c>
      <c r="I913" s="20">
        <v>24840.41</v>
      </c>
      <c r="J913" s="2" t="s">
        <v>4935</v>
      </c>
    </row>
    <row r="914" spans="1:10" ht="15.35" x14ac:dyDescent="0.55000000000000004">
      <c r="A914" s="20">
        <v>11312</v>
      </c>
      <c r="B914" s="2" t="s">
        <v>140</v>
      </c>
      <c r="C914" s="2" t="s">
        <v>141</v>
      </c>
      <c r="D914" s="2" t="s">
        <v>142</v>
      </c>
      <c r="E914" s="2" t="s">
        <v>395</v>
      </c>
      <c r="F914" s="2" t="s">
        <v>4938</v>
      </c>
      <c r="G914" s="2" t="s">
        <v>4928</v>
      </c>
      <c r="H914" s="2" t="s">
        <v>4936</v>
      </c>
      <c r="I914" s="20">
        <v>24502.51</v>
      </c>
      <c r="J914" s="2" t="s">
        <v>4935</v>
      </c>
    </row>
    <row r="915" spans="1:10" ht="15.35" x14ac:dyDescent="0.55000000000000004">
      <c r="A915" s="20">
        <v>11313</v>
      </c>
      <c r="B915" s="2" t="s">
        <v>140</v>
      </c>
      <c r="C915" s="2" t="s">
        <v>141</v>
      </c>
      <c r="D915" s="2" t="s">
        <v>142</v>
      </c>
      <c r="E915" s="2" t="s">
        <v>395</v>
      </c>
      <c r="F915" s="2" t="s">
        <v>4938</v>
      </c>
      <c r="G915" s="2" t="s">
        <v>4931</v>
      </c>
      <c r="H915" s="2" t="s">
        <v>4937</v>
      </c>
      <c r="I915" s="20">
        <v>98.64</v>
      </c>
      <c r="J915" s="2" t="s">
        <v>4933</v>
      </c>
    </row>
    <row r="916" spans="1:10" ht="15.35" x14ac:dyDescent="0.55000000000000004">
      <c r="A916" s="20">
        <v>11314</v>
      </c>
      <c r="B916" s="2" t="s">
        <v>140</v>
      </c>
      <c r="C916" s="2" t="s">
        <v>141</v>
      </c>
      <c r="D916" s="2" t="s">
        <v>142</v>
      </c>
      <c r="E916" s="2" t="s">
        <v>395</v>
      </c>
      <c r="F916" s="2" t="s">
        <v>4938</v>
      </c>
      <c r="G916" s="2" t="s">
        <v>4939</v>
      </c>
      <c r="H916" s="2" t="s">
        <v>4946</v>
      </c>
      <c r="I916" s="20">
        <v>4.7300000000000004</v>
      </c>
      <c r="J916" s="2" t="s">
        <v>5007</v>
      </c>
    </row>
    <row r="917" spans="1:10" ht="15.35" x14ac:dyDescent="0.55000000000000004">
      <c r="A917" s="20">
        <v>11319</v>
      </c>
      <c r="B917" s="2" t="s">
        <v>140</v>
      </c>
      <c r="C917" s="2" t="s">
        <v>141</v>
      </c>
      <c r="D917" s="2" t="s">
        <v>142</v>
      </c>
      <c r="E917" s="2" t="s">
        <v>395</v>
      </c>
      <c r="F917" s="2" t="s">
        <v>4938</v>
      </c>
      <c r="G917" s="2" t="s">
        <v>4928</v>
      </c>
      <c r="H917" s="2" t="s">
        <v>4953</v>
      </c>
      <c r="I917" s="20">
        <v>7.4</v>
      </c>
      <c r="J917" s="2" t="s">
        <v>4930</v>
      </c>
    </row>
    <row r="918" spans="1:10" ht="15.35" x14ac:dyDescent="0.55000000000000004">
      <c r="A918" s="20">
        <v>12450</v>
      </c>
      <c r="B918" s="2" t="s">
        <v>140</v>
      </c>
      <c r="C918" s="2" t="s">
        <v>141</v>
      </c>
      <c r="D918" s="2" t="s">
        <v>142</v>
      </c>
      <c r="E918" s="2" t="s">
        <v>395</v>
      </c>
      <c r="F918" s="2" t="s">
        <v>4942</v>
      </c>
      <c r="G918" s="2" t="s">
        <v>4931</v>
      </c>
      <c r="H918" s="2" t="s">
        <v>4952</v>
      </c>
      <c r="I918" s="20">
        <v>99.98</v>
      </c>
      <c r="J918" s="2" t="s">
        <v>4933</v>
      </c>
    </row>
    <row r="919" spans="1:10" ht="15.35" x14ac:dyDescent="0.55000000000000004">
      <c r="A919" s="20">
        <v>12451</v>
      </c>
      <c r="B919" s="2" t="s">
        <v>140</v>
      </c>
      <c r="C919" s="2" t="s">
        <v>141</v>
      </c>
      <c r="D919" s="2" t="s">
        <v>142</v>
      </c>
      <c r="E919" s="2" t="s">
        <v>395</v>
      </c>
      <c r="F919" s="2" t="s">
        <v>4942</v>
      </c>
      <c r="G919" s="2" t="s">
        <v>4928</v>
      </c>
      <c r="H919" s="2" t="s">
        <v>4953</v>
      </c>
      <c r="I919" s="20">
        <v>7.09</v>
      </c>
      <c r="J919" s="2" t="s">
        <v>4930</v>
      </c>
    </row>
    <row r="920" spans="1:10" ht="15.35" x14ac:dyDescent="0.55000000000000004">
      <c r="A920" s="20">
        <v>12452</v>
      </c>
      <c r="B920" s="2" t="s">
        <v>140</v>
      </c>
      <c r="C920" s="2" t="s">
        <v>141</v>
      </c>
      <c r="D920" s="2" t="s">
        <v>142</v>
      </c>
      <c r="E920" s="2" t="s">
        <v>395</v>
      </c>
      <c r="F920" s="2" t="s">
        <v>4942</v>
      </c>
      <c r="G920" s="2" t="s">
        <v>4939</v>
      </c>
      <c r="H920" s="2" t="s">
        <v>4946</v>
      </c>
      <c r="I920" s="20">
        <v>5.12</v>
      </c>
      <c r="J920" s="2" t="s">
        <v>5007</v>
      </c>
    </row>
    <row r="921" spans="1:10" ht="15.35" x14ac:dyDescent="0.55000000000000004">
      <c r="A921" s="20">
        <v>12454</v>
      </c>
      <c r="B921" s="2" t="s">
        <v>140</v>
      </c>
      <c r="C921" s="2" t="s">
        <v>141</v>
      </c>
      <c r="D921" s="2" t="s">
        <v>142</v>
      </c>
      <c r="E921" s="2" t="s">
        <v>395</v>
      </c>
      <c r="F921" s="2" t="s">
        <v>4942</v>
      </c>
      <c r="G921" s="2" t="s">
        <v>4931</v>
      </c>
      <c r="H921" s="2" t="s">
        <v>4937</v>
      </c>
      <c r="I921" s="20">
        <v>100</v>
      </c>
      <c r="J921" s="2" t="s">
        <v>4933</v>
      </c>
    </row>
    <row r="922" spans="1:10" ht="15.35" x14ac:dyDescent="0.55000000000000004">
      <c r="A922" s="20">
        <v>12472</v>
      </c>
      <c r="B922" s="2" t="s">
        <v>140</v>
      </c>
      <c r="C922" s="2" t="s">
        <v>141</v>
      </c>
      <c r="D922" s="2" t="s">
        <v>142</v>
      </c>
      <c r="E922" s="2" t="s">
        <v>395</v>
      </c>
      <c r="F922" s="2" t="s">
        <v>4942</v>
      </c>
      <c r="G922" s="2" t="s">
        <v>4928</v>
      </c>
      <c r="H922" s="2" t="s">
        <v>4936</v>
      </c>
      <c r="I922" s="20">
        <v>24840.41</v>
      </c>
      <c r="J922" s="2" t="s">
        <v>4935</v>
      </c>
    </row>
    <row r="923" spans="1:10" ht="15.35" x14ac:dyDescent="0.55000000000000004">
      <c r="A923" s="20">
        <v>12473</v>
      </c>
      <c r="B923" s="2" t="s">
        <v>140</v>
      </c>
      <c r="C923" s="2" t="s">
        <v>141</v>
      </c>
      <c r="D923" s="2" t="s">
        <v>142</v>
      </c>
      <c r="E923" s="2" t="s">
        <v>395</v>
      </c>
      <c r="F923" s="2" t="s">
        <v>4942</v>
      </c>
      <c r="G923" s="2" t="s">
        <v>4928</v>
      </c>
      <c r="H923" s="2" t="s">
        <v>4934</v>
      </c>
      <c r="I923" s="20">
        <v>24840.41</v>
      </c>
      <c r="J923" s="2" t="s">
        <v>4935</v>
      </c>
    </row>
    <row r="924" spans="1:10" ht="15.35" x14ac:dyDescent="0.55000000000000004">
      <c r="A924" s="20">
        <v>14124</v>
      </c>
      <c r="B924" s="2" t="s">
        <v>140</v>
      </c>
      <c r="C924" s="2" t="s">
        <v>141</v>
      </c>
      <c r="D924" s="2" t="s">
        <v>142</v>
      </c>
      <c r="E924" s="2" t="s">
        <v>395</v>
      </c>
      <c r="F924" s="2" t="s">
        <v>4947</v>
      </c>
      <c r="G924" s="2" t="s">
        <v>4939</v>
      </c>
      <c r="H924" s="2" t="s">
        <v>4946</v>
      </c>
      <c r="I924" s="20">
        <v>4.79</v>
      </c>
      <c r="J924" s="2" t="s">
        <v>5007</v>
      </c>
    </row>
    <row r="925" spans="1:10" ht="15.35" x14ac:dyDescent="0.55000000000000004">
      <c r="A925" s="20">
        <v>14144</v>
      </c>
      <c r="B925" s="2" t="s">
        <v>140</v>
      </c>
      <c r="C925" s="2" t="s">
        <v>141</v>
      </c>
      <c r="D925" s="2" t="s">
        <v>142</v>
      </c>
      <c r="E925" s="2" t="s">
        <v>395</v>
      </c>
      <c r="F925" s="2" t="s">
        <v>4947</v>
      </c>
      <c r="G925" s="2" t="s">
        <v>4928</v>
      </c>
      <c r="H925" s="2" t="s">
        <v>4934</v>
      </c>
      <c r="I925" s="20">
        <v>24840.41</v>
      </c>
      <c r="J925" s="2" t="s">
        <v>4935</v>
      </c>
    </row>
    <row r="926" spans="1:10" ht="15.35" x14ac:dyDescent="0.55000000000000004">
      <c r="A926" s="20">
        <v>14146</v>
      </c>
      <c r="B926" s="2" t="s">
        <v>140</v>
      </c>
      <c r="C926" s="2" t="s">
        <v>141</v>
      </c>
      <c r="D926" s="2" t="s">
        <v>142</v>
      </c>
      <c r="E926" s="2" t="s">
        <v>395</v>
      </c>
      <c r="F926" s="2" t="s">
        <v>4947</v>
      </c>
      <c r="G926" s="2" t="s">
        <v>4928</v>
      </c>
      <c r="H926" s="2" t="s">
        <v>4936</v>
      </c>
      <c r="I926" s="20">
        <v>24777.84</v>
      </c>
      <c r="J926" s="2" t="s">
        <v>4935</v>
      </c>
    </row>
    <row r="927" spans="1:10" ht="15.35" x14ac:dyDescent="0.55000000000000004">
      <c r="A927" s="20">
        <v>14147</v>
      </c>
      <c r="B927" s="2" t="s">
        <v>140</v>
      </c>
      <c r="C927" s="2" t="s">
        <v>141</v>
      </c>
      <c r="D927" s="2" t="s">
        <v>142</v>
      </c>
      <c r="E927" s="2" t="s">
        <v>395</v>
      </c>
      <c r="F927" s="2" t="s">
        <v>4947</v>
      </c>
      <c r="G927" s="2" t="s">
        <v>4931</v>
      </c>
      <c r="H927" s="2" t="s">
        <v>4937</v>
      </c>
      <c r="I927" s="20">
        <v>99.75</v>
      </c>
      <c r="J927" s="2" t="s">
        <v>4933</v>
      </c>
    </row>
    <row r="928" spans="1:10" ht="15.35" x14ac:dyDescent="0.55000000000000004">
      <c r="A928" s="20">
        <v>14148</v>
      </c>
      <c r="B928" s="2" t="s">
        <v>140</v>
      </c>
      <c r="C928" s="2" t="s">
        <v>141</v>
      </c>
      <c r="D928" s="2" t="s">
        <v>142</v>
      </c>
      <c r="E928" s="2" t="s">
        <v>395</v>
      </c>
      <c r="F928" s="2" t="s">
        <v>4947</v>
      </c>
      <c r="G928" s="2" t="s">
        <v>4928</v>
      </c>
      <c r="H928" s="2" t="s">
        <v>4953</v>
      </c>
      <c r="I928" s="20">
        <v>6.86</v>
      </c>
      <c r="J928" s="2" t="s">
        <v>4930</v>
      </c>
    </row>
    <row r="929" spans="1:10" ht="15.35" x14ac:dyDescent="0.55000000000000004">
      <c r="A929" s="20">
        <v>14150</v>
      </c>
      <c r="B929" s="2" t="s">
        <v>140</v>
      </c>
      <c r="C929" s="2" t="s">
        <v>141</v>
      </c>
      <c r="D929" s="2" t="s">
        <v>142</v>
      </c>
      <c r="E929" s="2" t="s">
        <v>395</v>
      </c>
      <c r="F929" s="2" t="s">
        <v>4947</v>
      </c>
      <c r="G929" s="2" t="s">
        <v>4931</v>
      </c>
      <c r="H929" s="2" t="s">
        <v>4952</v>
      </c>
      <c r="I929" s="20">
        <v>99.89</v>
      </c>
      <c r="J929" s="2" t="s">
        <v>4933</v>
      </c>
    </row>
    <row r="930" spans="1:10" ht="15.35" x14ac:dyDescent="0.55000000000000004">
      <c r="A930" s="20">
        <v>10806</v>
      </c>
      <c r="B930" s="2" t="s">
        <v>140</v>
      </c>
      <c r="C930" s="2" t="s">
        <v>141</v>
      </c>
      <c r="D930" s="2" t="s">
        <v>142</v>
      </c>
      <c r="E930" s="2" t="s">
        <v>395</v>
      </c>
      <c r="F930" s="2" t="s">
        <v>4943</v>
      </c>
      <c r="G930" s="2" t="s">
        <v>4931</v>
      </c>
      <c r="H930" s="2" t="s">
        <v>4952</v>
      </c>
      <c r="I930" s="20">
        <v>99.93</v>
      </c>
      <c r="J930" s="2" t="s">
        <v>4933</v>
      </c>
    </row>
    <row r="931" spans="1:10" ht="15.35" x14ac:dyDescent="0.55000000000000004">
      <c r="A931" s="20">
        <v>10819</v>
      </c>
      <c r="B931" s="2" t="s">
        <v>140</v>
      </c>
      <c r="C931" s="2" t="s">
        <v>141</v>
      </c>
      <c r="D931" s="2" t="s">
        <v>142</v>
      </c>
      <c r="E931" s="2" t="s">
        <v>395</v>
      </c>
      <c r="F931" s="2" t="s">
        <v>4943</v>
      </c>
      <c r="G931" s="2" t="s">
        <v>4928</v>
      </c>
      <c r="H931" s="2" t="s">
        <v>4934</v>
      </c>
      <c r="I931" s="20">
        <v>24840.41</v>
      </c>
      <c r="J931" s="2" t="s">
        <v>4935</v>
      </c>
    </row>
    <row r="932" spans="1:10" ht="15.35" x14ac:dyDescent="0.55000000000000004">
      <c r="A932" s="20">
        <v>10820</v>
      </c>
      <c r="B932" s="2" t="s">
        <v>140</v>
      </c>
      <c r="C932" s="2" t="s">
        <v>141</v>
      </c>
      <c r="D932" s="2" t="s">
        <v>142</v>
      </c>
      <c r="E932" s="2" t="s">
        <v>395</v>
      </c>
      <c r="F932" s="2" t="s">
        <v>4943</v>
      </c>
      <c r="G932" s="2" t="s">
        <v>4928</v>
      </c>
      <c r="H932" s="2" t="s">
        <v>4936</v>
      </c>
      <c r="I932" s="20">
        <v>24263.4</v>
      </c>
      <c r="J932" s="2" t="s">
        <v>4935</v>
      </c>
    </row>
    <row r="933" spans="1:10" ht="15.35" x14ac:dyDescent="0.55000000000000004">
      <c r="A933" s="20">
        <v>10821</v>
      </c>
      <c r="B933" s="2" t="s">
        <v>140</v>
      </c>
      <c r="C933" s="2" t="s">
        <v>141</v>
      </c>
      <c r="D933" s="2" t="s">
        <v>142</v>
      </c>
      <c r="E933" s="2" t="s">
        <v>395</v>
      </c>
      <c r="F933" s="2" t="s">
        <v>4943</v>
      </c>
      <c r="G933" s="2" t="s">
        <v>4931</v>
      </c>
      <c r="H933" s="2" t="s">
        <v>4937</v>
      </c>
      <c r="I933" s="20">
        <v>97.68</v>
      </c>
      <c r="J933" s="2" t="s">
        <v>4933</v>
      </c>
    </row>
    <row r="934" spans="1:10" ht="15.35" x14ac:dyDescent="0.55000000000000004">
      <c r="A934" s="20">
        <v>10822</v>
      </c>
      <c r="B934" s="2" t="s">
        <v>140</v>
      </c>
      <c r="C934" s="2" t="s">
        <v>141</v>
      </c>
      <c r="D934" s="2" t="s">
        <v>142</v>
      </c>
      <c r="E934" s="2" t="s">
        <v>395</v>
      </c>
      <c r="F934" s="2" t="s">
        <v>4943</v>
      </c>
      <c r="G934" s="2" t="s">
        <v>4939</v>
      </c>
      <c r="H934" s="2" t="s">
        <v>4946</v>
      </c>
      <c r="I934" s="20">
        <v>4.83</v>
      </c>
      <c r="J934" s="2" t="s">
        <v>5007</v>
      </c>
    </row>
    <row r="935" spans="1:10" ht="15.35" x14ac:dyDescent="0.55000000000000004">
      <c r="A935" s="20">
        <v>10823</v>
      </c>
      <c r="B935" s="2" t="s">
        <v>140</v>
      </c>
      <c r="C935" s="2" t="s">
        <v>141</v>
      </c>
      <c r="D935" s="2" t="s">
        <v>142</v>
      </c>
      <c r="E935" s="2" t="s">
        <v>395</v>
      </c>
      <c r="F935" s="2" t="s">
        <v>4943</v>
      </c>
      <c r="G935" s="2" t="s">
        <v>4928</v>
      </c>
      <c r="H935" s="2" t="s">
        <v>4953</v>
      </c>
      <c r="I935" s="20">
        <v>6.78</v>
      </c>
      <c r="J935" s="2" t="s">
        <v>4930</v>
      </c>
    </row>
    <row r="936" spans="1:10" ht="15.35" x14ac:dyDescent="0.55000000000000004">
      <c r="A936" s="20">
        <v>11236</v>
      </c>
      <c r="B936" s="2" t="s">
        <v>140</v>
      </c>
      <c r="C936" s="2" t="s">
        <v>141</v>
      </c>
      <c r="D936" s="2" t="s">
        <v>142</v>
      </c>
      <c r="E936" s="2" t="s">
        <v>395</v>
      </c>
      <c r="F936" s="2" t="s">
        <v>4944</v>
      </c>
      <c r="G936" s="2" t="s">
        <v>4928</v>
      </c>
      <c r="H936" s="2" t="s">
        <v>4936</v>
      </c>
      <c r="I936" s="20">
        <v>24540.85</v>
      </c>
      <c r="J936" s="2" t="s">
        <v>4935</v>
      </c>
    </row>
    <row r="937" spans="1:10" ht="15.35" x14ac:dyDescent="0.55000000000000004">
      <c r="A937" s="20">
        <v>11269</v>
      </c>
      <c r="B937" s="2" t="s">
        <v>140</v>
      </c>
      <c r="C937" s="2" t="s">
        <v>141</v>
      </c>
      <c r="D937" s="2" t="s">
        <v>142</v>
      </c>
      <c r="E937" s="2" t="s">
        <v>395</v>
      </c>
      <c r="F937" s="2" t="s">
        <v>4944</v>
      </c>
      <c r="G937" s="2" t="s">
        <v>4931</v>
      </c>
      <c r="H937" s="2" t="s">
        <v>4937</v>
      </c>
      <c r="I937" s="20">
        <v>98.79</v>
      </c>
      <c r="J937" s="2" t="s">
        <v>4933</v>
      </c>
    </row>
    <row r="938" spans="1:10" ht="15.35" x14ac:dyDescent="0.55000000000000004">
      <c r="A938" s="20">
        <v>11270</v>
      </c>
      <c r="B938" s="2" t="s">
        <v>140</v>
      </c>
      <c r="C938" s="2" t="s">
        <v>141</v>
      </c>
      <c r="D938" s="2" t="s">
        <v>142</v>
      </c>
      <c r="E938" s="2" t="s">
        <v>395</v>
      </c>
      <c r="F938" s="2" t="s">
        <v>4944</v>
      </c>
      <c r="G938" s="2" t="s">
        <v>4939</v>
      </c>
      <c r="H938" s="2" t="s">
        <v>4946</v>
      </c>
      <c r="I938" s="20">
        <v>4.8499999999999996</v>
      </c>
      <c r="J938" s="2" t="s">
        <v>5007</v>
      </c>
    </row>
    <row r="939" spans="1:10" ht="15.35" x14ac:dyDescent="0.55000000000000004">
      <c r="A939" s="20">
        <v>11271</v>
      </c>
      <c r="B939" s="2" t="s">
        <v>140</v>
      </c>
      <c r="C939" s="2" t="s">
        <v>141</v>
      </c>
      <c r="D939" s="2" t="s">
        <v>142</v>
      </c>
      <c r="E939" s="2" t="s">
        <v>395</v>
      </c>
      <c r="F939" s="2" t="s">
        <v>4944</v>
      </c>
      <c r="G939" s="2" t="s">
        <v>4928</v>
      </c>
      <c r="H939" s="2" t="s">
        <v>4953</v>
      </c>
      <c r="I939" s="20">
        <v>6.67</v>
      </c>
      <c r="J939" s="2" t="s">
        <v>4930</v>
      </c>
    </row>
    <row r="940" spans="1:10" ht="15.35" x14ac:dyDescent="0.55000000000000004">
      <c r="A940" s="20">
        <v>11272</v>
      </c>
      <c r="B940" s="2" t="s">
        <v>140</v>
      </c>
      <c r="C940" s="2" t="s">
        <v>141</v>
      </c>
      <c r="D940" s="2" t="s">
        <v>142</v>
      </c>
      <c r="E940" s="2" t="s">
        <v>395</v>
      </c>
      <c r="F940" s="2" t="s">
        <v>4944</v>
      </c>
      <c r="G940" s="2" t="s">
        <v>4931</v>
      </c>
      <c r="H940" s="2" t="s">
        <v>4952</v>
      </c>
      <c r="I940" s="20">
        <v>99.97</v>
      </c>
      <c r="J940" s="2" t="s">
        <v>4933</v>
      </c>
    </row>
    <row r="941" spans="1:10" ht="15.35" x14ac:dyDescent="0.55000000000000004">
      <c r="A941" s="20">
        <v>11276</v>
      </c>
      <c r="B941" s="2" t="s">
        <v>140</v>
      </c>
      <c r="C941" s="2" t="s">
        <v>141</v>
      </c>
      <c r="D941" s="2" t="s">
        <v>142</v>
      </c>
      <c r="E941" s="2" t="s">
        <v>395</v>
      </c>
      <c r="F941" s="2" t="s">
        <v>4944</v>
      </c>
      <c r="G941" s="2" t="s">
        <v>4928</v>
      </c>
      <c r="H941" s="2" t="s">
        <v>4934</v>
      </c>
      <c r="I941" s="20">
        <v>24840.41</v>
      </c>
      <c r="J941" s="2" t="s">
        <v>4935</v>
      </c>
    </row>
    <row r="942" spans="1:10" ht="15.35" x14ac:dyDescent="0.55000000000000004">
      <c r="A942" s="20">
        <v>12494</v>
      </c>
      <c r="B942" s="2" t="s">
        <v>140</v>
      </c>
      <c r="C942" s="2" t="s">
        <v>141</v>
      </c>
      <c r="D942" s="2" t="s">
        <v>142</v>
      </c>
      <c r="E942" s="2" t="s">
        <v>395</v>
      </c>
      <c r="F942" s="2" t="s">
        <v>4945</v>
      </c>
      <c r="G942" s="2" t="s">
        <v>4931</v>
      </c>
      <c r="H942" s="2" t="s">
        <v>4952</v>
      </c>
      <c r="I942" s="20">
        <v>99.91</v>
      </c>
      <c r="J942" s="2" t="s">
        <v>4933</v>
      </c>
    </row>
    <row r="943" spans="1:10" ht="15.35" x14ac:dyDescent="0.55000000000000004">
      <c r="A943" s="20">
        <v>12495</v>
      </c>
      <c r="B943" s="2" t="s">
        <v>140</v>
      </c>
      <c r="C943" s="2" t="s">
        <v>141</v>
      </c>
      <c r="D943" s="2" t="s">
        <v>142</v>
      </c>
      <c r="E943" s="2" t="s">
        <v>395</v>
      </c>
      <c r="F943" s="2" t="s">
        <v>4945</v>
      </c>
      <c r="G943" s="2" t="s">
        <v>4928</v>
      </c>
      <c r="H943" s="2" t="s">
        <v>4953</v>
      </c>
      <c r="I943" s="20">
        <v>6.45</v>
      </c>
      <c r="J943" s="2" t="s">
        <v>4930</v>
      </c>
    </row>
    <row r="944" spans="1:10" ht="15.35" x14ac:dyDescent="0.55000000000000004">
      <c r="A944" s="20">
        <v>12496</v>
      </c>
      <c r="B944" s="2" t="s">
        <v>140</v>
      </c>
      <c r="C944" s="2" t="s">
        <v>141</v>
      </c>
      <c r="D944" s="2" t="s">
        <v>142</v>
      </c>
      <c r="E944" s="2" t="s">
        <v>395</v>
      </c>
      <c r="F944" s="2" t="s">
        <v>4945</v>
      </c>
      <c r="G944" s="2" t="s">
        <v>4939</v>
      </c>
      <c r="H944" s="2" t="s">
        <v>4946</v>
      </c>
      <c r="I944" s="20">
        <v>4.88</v>
      </c>
      <c r="J944" s="2" t="s">
        <v>5007</v>
      </c>
    </row>
    <row r="945" spans="1:10" ht="15.35" x14ac:dyDescent="0.55000000000000004">
      <c r="A945" s="20">
        <v>12497</v>
      </c>
      <c r="B945" s="2" t="s">
        <v>140</v>
      </c>
      <c r="C945" s="2" t="s">
        <v>141</v>
      </c>
      <c r="D945" s="2" t="s">
        <v>142</v>
      </c>
      <c r="E945" s="2" t="s">
        <v>395</v>
      </c>
      <c r="F945" s="2" t="s">
        <v>4945</v>
      </c>
      <c r="G945" s="2" t="s">
        <v>4931</v>
      </c>
      <c r="H945" s="2" t="s">
        <v>4937</v>
      </c>
      <c r="I945" s="20">
        <v>99.17</v>
      </c>
      <c r="J945" s="2" t="s">
        <v>4933</v>
      </c>
    </row>
    <row r="946" spans="1:10" ht="15.35" x14ac:dyDescent="0.55000000000000004">
      <c r="A946" s="20">
        <v>12498</v>
      </c>
      <c r="B946" s="2" t="s">
        <v>140</v>
      </c>
      <c r="C946" s="2" t="s">
        <v>141</v>
      </c>
      <c r="D946" s="2" t="s">
        <v>142</v>
      </c>
      <c r="E946" s="2" t="s">
        <v>395</v>
      </c>
      <c r="F946" s="2" t="s">
        <v>4945</v>
      </c>
      <c r="G946" s="2" t="s">
        <v>4928</v>
      </c>
      <c r="H946" s="2" t="s">
        <v>4936</v>
      </c>
      <c r="I946" s="20">
        <v>24633.75</v>
      </c>
      <c r="J946" s="2" t="s">
        <v>4935</v>
      </c>
    </row>
    <row r="947" spans="1:10" ht="15.35" x14ac:dyDescent="0.55000000000000004">
      <c r="A947" s="20">
        <v>12499</v>
      </c>
      <c r="B947" s="2" t="s">
        <v>140</v>
      </c>
      <c r="C947" s="2" t="s">
        <v>141</v>
      </c>
      <c r="D947" s="2" t="s">
        <v>142</v>
      </c>
      <c r="E947" s="2" t="s">
        <v>395</v>
      </c>
      <c r="F947" s="2" t="s">
        <v>4945</v>
      </c>
      <c r="G947" s="2" t="s">
        <v>4928</v>
      </c>
      <c r="H947" s="2" t="s">
        <v>4934</v>
      </c>
      <c r="I947" s="20">
        <v>24840.41</v>
      </c>
      <c r="J947" s="2" t="s">
        <v>4935</v>
      </c>
    </row>
    <row r="948" spans="1:10" ht="15.35" x14ac:dyDescent="0.55000000000000004">
      <c r="A948" s="20">
        <v>14117</v>
      </c>
      <c r="B948" s="2" t="s">
        <v>140</v>
      </c>
      <c r="C948" s="2" t="s">
        <v>141</v>
      </c>
      <c r="D948" s="2" t="s">
        <v>142</v>
      </c>
      <c r="E948" s="2" t="s">
        <v>395</v>
      </c>
      <c r="F948" s="2" t="s">
        <v>4948</v>
      </c>
      <c r="G948" s="2" t="s">
        <v>4928</v>
      </c>
      <c r="H948" s="2" t="s">
        <v>4953</v>
      </c>
      <c r="I948" s="20">
        <v>6.33</v>
      </c>
      <c r="J948" s="2" t="s">
        <v>4930</v>
      </c>
    </row>
    <row r="949" spans="1:10" ht="15.35" x14ac:dyDescent="0.55000000000000004">
      <c r="A949" s="20">
        <v>14135</v>
      </c>
      <c r="B949" s="2" t="s">
        <v>140</v>
      </c>
      <c r="C949" s="2" t="s">
        <v>141</v>
      </c>
      <c r="D949" s="2" t="s">
        <v>142</v>
      </c>
      <c r="E949" s="2" t="s">
        <v>395</v>
      </c>
      <c r="F949" s="2" t="s">
        <v>4948</v>
      </c>
      <c r="G949" s="2" t="s">
        <v>4931</v>
      </c>
      <c r="H949" s="2" t="s">
        <v>4952</v>
      </c>
      <c r="I949" s="20">
        <v>99.95</v>
      </c>
      <c r="J949" s="2" t="s">
        <v>4933</v>
      </c>
    </row>
    <row r="950" spans="1:10" ht="15.35" x14ac:dyDescent="0.55000000000000004">
      <c r="A950" s="20">
        <v>14138</v>
      </c>
      <c r="B950" s="2" t="s">
        <v>140</v>
      </c>
      <c r="C950" s="2" t="s">
        <v>141</v>
      </c>
      <c r="D950" s="2" t="s">
        <v>142</v>
      </c>
      <c r="E950" s="2" t="s">
        <v>395</v>
      </c>
      <c r="F950" s="2" t="s">
        <v>4948</v>
      </c>
      <c r="G950" s="2" t="s">
        <v>4939</v>
      </c>
      <c r="H950" s="2" t="s">
        <v>4946</v>
      </c>
      <c r="I950" s="20">
        <v>5</v>
      </c>
      <c r="J950" s="2" t="s">
        <v>5007</v>
      </c>
    </row>
    <row r="951" spans="1:10" ht="15.35" x14ac:dyDescent="0.55000000000000004">
      <c r="A951" s="20">
        <v>14139</v>
      </c>
      <c r="B951" s="2" t="s">
        <v>140</v>
      </c>
      <c r="C951" s="2" t="s">
        <v>141</v>
      </c>
      <c r="D951" s="2" t="s">
        <v>142</v>
      </c>
      <c r="E951" s="2" t="s">
        <v>395</v>
      </c>
      <c r="F951" s="2" t="s">
        <v>4948</v>
      </c>
      <c r="G951" s="2" t="s">
        <v>4931</v>
      </c>
      <c r="H951" s="2" t="s">
        <v>4937</v>
      </c>
      <c r="I951" s="20">
        <v>98.63</v>
      </c>
      <c r="J951" s="2" t="s">
        <v>4933</v>
      </c>
    </row>
    <row r="952" spans="1:10" ht="15.35" x14ac:dyDescent="0.55000000000000004">
      <c r="A952" s="20">
        <v>14141</v>
      </c>
      <c r="B952" s="2" t="s">
        <v>140</v>
      </c>
      <c r="C952" s="2" t="s">
        <v>141</v>
      </c>
      <c r="D952" s="2" t="s">
        <v>142</v>
      </c>
      <c r="E952" s="2" t="s">
        <v>395</v>
      </c>
      <c r="F952" s="2" t="s">
        <v>4948</v>
      </c>
      <c r="G952" s="2" t="s">
        <v>4928</v>
      </c>
      <c r="H952" s="2" t="s">
        <v>4936</v>
      </c>
      <c r="I952" s="20">
        <v>24500.86</v>
      </c>
      <c r="J952" s="2" t="s">
        <v>4935</v>
      </c>
    </row>
    <row r="953" spans="1:10" ht="15.35" x14ac:dyDescent="0.55000000000000004">
      <c r="A953" s="20">
        <v>14149</v>
      </c>
      <c r="B953" s="2" t="s">
        <v>140</v>
      </c>
      <c r="C953" s="2" t="s">
        <v>141</v>
      </c>
      <c r="D953" s="2" t="s">
        <v>142</v>
      </c>
      <c r="E953" s="2" t="s">
        <v>395</v>
      </c>
      <c r="F953" s="2" t="s">
        <v>4948</v>
      </c>
      <c r="G953" s="2" t="s">
        <v>4928</v>
      </c>
      <c r="H953" s="2" t="s">
        <v>4934</v>
      </c>
      <c r="I953" s="20">
        <v>24840.41</v>
      </c>
      <c r="J953" s="2" t="s">
        <v>4935</v>
      </c>
    </row>
    <row r="954" spans="1:10" ht="15.35" x14ac:dyDescent="0.55000000000000004">
      <c r="A954" s="20">
        <v>17360</v>
      </c>
      <c r="B954" s="2" t="s">
        <v>140</v>
      </c>
      <c r="C954" s="2" t="s">
        <v>141</v>
      </c>
      <c r="D954" s="2" t="s">
        <v>142</v>
      </c>
      <c r="E954" s="2" t="s">
        <v>395</v>
      </c>
      <c r="F954" s="2" t="s">
        <v>4949</v>
      </c>
      <c r="G954" s="2" t="s">
        <v>4928</v>
      </c>
      <c r="H954" s="2" t="s">
        <v>4934</v>
      </c>
      <c r="I954" s="20">
        <v>24840.41</v>
      </c>
      <c r="J954" s="2" t="s">
        <v>4935</v>
      </c>
    </row>
    <row r="955" spans="1:10" ht="15.35" x14ac:dyDescent="0.55000000000000004">
      <c r="A955" s="20">
        <v>17361</v>
      </c>
      <c r="B955" s="2" t="s">
        <v>140</v>
      </c>
      <c r="C955" s="2" t="s">
        <v>141</v>
      </c>
      <c r="D955" s="2" t="s">
        <v>142</v>
      </c>
      <c r="E955" s="2" t="s">
        <v>395</v>
      </c>
      <c r="F955" s="2" t="s">
        <v>4949</v>
      </c>
      <c r="G955" s="2" t="s">
        <v>4928</v>
      </c>
      <c r="H955" s="2" t="s">
        <v>4936</v>
      </c>
      <c r="I955" s="20">
        <v>24404.14</v>
      </c>
      <c r="J955" s="2" t="s">
        <v>4935</v>
      </c>
    </row>
    <row r="956" spans="1:10" ht="15.35" x14ac:dyDescent="0.55000000000000004">
      <c r="A956" s="20">
        <v>17362</v>
      </c>
      <c r="B956" s="2" t="s">
        <v>140</v>
      </c>
      <c r="C956" s="2" t="s">
        <v>141</v>
      </c>
      <c r="D956" s="2" t="s">
        <v>142</v>
      </c>
      <c r="E956" s="2" t="s">
        <v>395</v>
      </c>
      <c r="F956" s="2" t="s">
        <v>4949</v>
      </c>
      <c r="G956" s="2" t="s">
        <v>4931</v>
      </c>
      <c r="H956" s="2" t="s">
        <v>4937</v>
      </c>
      <c r="I956" s="20">
        <v>98.24</v>
      </c>
      <c r="J956" s="2" t="s">
        <v>4933</v>
      </c>
    </row>
    <row r="957" spans="1:10" ht="15.35" x14ac:dyDescent="0.55000000000000004">
      <c r="A957" s="20">
        <v>17363</v>
      </c>
      <c r="B957" s="2" t="s">
        <v>140</v>
      </c>
      <c r="C957" s="2" t="s">
        <v>141</v>
      </c>
      <c r="D957" s="2" t="s">
        <v>142</v>
      </c>
      <c r="E957" s="2" t="s">
        <v>395</v>
      </c>
      <c r="F957" s="2" t="s">
        <v>4949</v>
      </c>
      <c r="G957" s="2" t="s">
        <v>4939</v>
      </c>
      <c r="H957" s="2" t="s">
        <v>4946</v>
      </c>
      <c r="I957" s="20">
        <v>5.07</v>
      </c>
      <c r="J957" s="2" t="s">
        <v>5007</v>
      </c>
    </row>
    <row r="958" spans="1:10" ht="15.35" x14ac:dyDescent="0.55000000000000004">
      <c r="A958" s="20">
        <v>17365</v>
      </c>
      <c r="B958" s="2" t="s">
        <v>140</v>
      </c>
      <c r="C958" s="2" t="s">
        <v>141</v>
      </c>
      <c r="D958" s="2" t="s">
        <v>142</v>
      </c>
      <c r="E958" s="2" t="s">
        <v>395</v>
      </c>
      <c r="F958" s="2" t="s">
        <v>4949</v>
      </c>
      <c r="G958" s="2" t="s">
        <v>4928</v>
      </c>
      <c r="H958" s="2" t="s">
        <v>4953</v>
      </c>
      <c r="I958" s="20">
        <v>6.11</v>
      </c>
      <c r="J958" s="2" t="s">
        <v>4930</v>
      </c>
    </row>
    <row r="959" spans="1:10" ht="15.35" x14ac:dyDescent="0.55000000000000004">
      <c r="A959" s="20">
        <v>17389</v>
      </c>
      <c r="B959" s="2" t="s">
        <v>140</v>
      </c>
      <c r="C959" s="2" t="s">
        <v>141</v>
      </c>
      <c r="D959" s="2" t="s">
        <v>142</v>
      </c>
      <c r="E959" s="2" t="s">
        <v>395</v>
      </c>
      <c r="F959" s="2" t="s">
        <v>4949</v>
      </c>
      <c r="G959" s="2" t="s">
        <v>4931</v>
      </c>
      <c r="H959" s="2" t="s">
        <v>4952</v>
      </c>
      <c r="I959" s="20">
        <v>99.85</v>
      </c>
      <c r="J959" s="2" t="s">
        <v>4933</v>
      </c>
    </row>
    <row r="960" spans="1:10" ht="15.35" x14ac:dyDescent="0.55000000000000004">
      <c r="A960" s="20">
        <v>18382</v>
      </c>
      <c r="B960" s="2" t="s">
        <v>140</v>
      </c>
      <c r="C960" s="2" t="s">
        <v>141</v>
      </c>
      <c r="D960" s="2" t="s">
        <v>142</v>
      </c>
      <c r="E960" s="2" t="s">
        <v>395</v>
      </c>
      <c r="F960" s="2" t="s">
        <v>4950</v>
      </c>
      <c r="G960" s="2" t="s">
        <v>4928</v>
      </c>
      <c r="H960" s="2" t="s">
        <v>4934</v>
      </c>
      <c r="I960" s="20">
        <v>24840.41</v>
      </c>
      <c r="J960" s="2" t="s">
        <v>4935</v>
      </c>
    </row>
    <row r="961" spans="1:10" ht="15.35" x14ac:dyDescent="0.55000000000000004">
      <c r="A961" s="20">
        <v>18383</v>
      </c>
      <c r="B961" s="2" t="s">
        <v>140</v>
      </c>
      <c r="C961" s="2" t="s">
        <v>141</v>
      </c>
      <c r="D961" s="2" t="s">
        <v>142</v>
      </c>
      <c r="E961" s="2" t="s">
        <v>395</v>
      </c>
      <c r="F961" s="2" t="s">
        <v>4950</v>
      </c>
      <c r="G961" s="2" t="s">
        <v>4928</v>
      </c>
      <c r="H961" s="2" t="s">
        <v>4936</v>
      </c>
      <c r="I961" s="20">
        <v>24404.76</v>
      </c>
      <c r="J961" s="2" t="s">
        <v>4935</v>
      </c>
    </row>
    <row r="962" spans="1:10" ht="15.35" x14ac:dyDescent="0.55000000000000004">
      <c r="A962" s="20">
        <v>18385</v>
      </c>
      <c r="B962" s="2" t="s">
        <v>140</v>
      </c>
      <c r="C962" s="2" t="s">
        <v>141</v>
      </c>
      <c r="D962" s="2" t="s">
        <v>142</v>
      </c>
      <c r="E962" s="2" t="s">
        <v>395</v>
      </c>
      <c r="F962" s="2" t="s">
        <v>4950</v>
      </c>
      <c r="G962" s="2" t="s">
        <v>4931</v>
      </c>
      <c r="H962" s="2" t="s">
        <v>4937</v>
      </c>
      <c r="I962" s="20">
        <v>98.25</v>
      </c>
      <c r="J962" s="2" t="s">
        <v>4933</v>
      </c>
    </row>
    <row r="963" spans="1:10" ht="15.35" x14ac:dyDescent="0.55000000000000004">
      <c r="A963" s="20">
        <v>18386</v>
      </c>
      <c r="B963" s="2" t="s">
        <v>140</v>
      </c>
      <c r="C963" s="2" t="s">
        <v>141</v>
      </c>
      <c r="D963" s="2" t="s">
        <v>142</v>
      </c>
      <c r="E963" s="2" t="s">
        <v>395</v>
      </c>
      <c r="F963" s="2" t="s">
        <v>4950</v>
      </c>
      <c r="G963" s="2" t="s">
        <v>4928</v>
      </c>
      <c r="H963" s="2" t="s">
        <v>4953</v>
      </c>
      <c r="I963" s="20">
        <v>5.86</v>
      </c>
      <c r="J963" s="2" t="s">
        <v>4930</v>
      </c>
    </row>
    <row r="964" spans="1:10" ht="15.35" x14ac:dyDescent="0.55000000000000004">
      <c r="A964" s="20">
        <v>18387</v>
      </c>
      <c r="B964" s="2" t="s">
        <v>140</v>
      </c>
      <c r="C964" s="2" t="s">
        <v>141</v>
      </c>
      <c r="D964" s="2" t="s">
        <v>142</v>
      </c>
      <c r="E964" s="2" t="s">
        <v>395</v>
      </c>
      <c r="F964" s="2" t="s">
        <v>4950</v>
      </c>
      <c r="G964" s="2" t="s">
        <v>4931</v>
      </c>
      <c r="H964" s="2" t="s">
        <v>4952</v>
      </c>
      <c r="I964" s="20">
        <v>99.89</v>
      </c>
      <c r="J964" s="2" t="s">
        <v>4933</v>
      </c>
    </row>
    <row r="965" spans="1:10" ht="15.35" x14ac:dyDescent="0.55000000000000004">
      <c r="A965" s="20">
        <v>18399</v>
      </c>
      <c r="B965" s="2" t="s">
        <v>140</v>
      </c>
      <c r="C965" s="2" t="s">
        <v>141</v>
      </c>
      <c r="D965" s="2" t="s">
        <v>142</v>
      </c>
      <c r="E965" s="2" t="s">
        <v>395</v>
      </c>
      <c r="F965" s="2" t="s">
        <v>4950</v>
      </c>
      <c r="G965" s="2" t="s">
        <v>4939</v>
      </c>
      <c r="H965" s="2" t="s">
        <v>4946</v>
      </c>
      <c r="I965" s="20">
        <v>5.0999999999999996</v>
      </c>
      <c r="J965" s="2" t="s">
        <v>5007</v>
      </c>
    </row>
    <row r="966" spans="1:10" ht="15.35" x14ac:dyDescent="0.55000000000000004">
      <c r="A966" s="20">
        <v>8509</v>
      </c>
      <c r="B966" s="2" t="s">
        <v>144</v>
      </c>
      <c r="C966" s="2" t="s">
        <v>145</v>
      </c>
      <c r="D966" s="2" t="s">
        <v>146</v>
      </c>
      <c r="E966" s="2" t="s">
        <v>400</v>
      </c>
      <c r="F966" s="2" t="s">
        <v>4927</v>
      </c>
      <c r="G966" s="2" t="s">
        <v>4928</v>
      </c>
      <c r="H966" s="2" t="s">
        <v>4929</v>
      </c>
      <c r="I966" s="20">
        <v>4.3600000000000003</v>
      </c>
      <c r="J966" s="2" t="s">
        <v>4930</v>
      </c>
    </row>
    <row r="967" spans="1:10" ht="15.35" x14ac:dyDescent="0.55000000000000004">
      <c r="A967" s="20">
        <v>8510</v>
      </c>
      <c r="B967" s="2" t="s">
        <v>144</v>
      </c>
      <c r="C967" s="2" t="s">
        <v>145</v>
      </c>
      <c r="D967" s="2" t="s">
        <v>146</v>
      </c>
      <c r="E967" s="2" t="s">
        <v>400</v>
      </c>
      <c r="F967" s="2" t="s">
        <v>4927</v>
      </c>
      <c r="G967" s="2" t="s">
        <v>4939</v>
      </c>
      <c r="H967" s="2" t="s">
        <v>4951</v>
      </c>
      <c r="I967" s="20">
        <v>83.73</v>
      </c>
      <c r="J967" s="2" t="s">
        <v>4941</v>
      </c>
    </row>
    <row r="968" spans="1:10" ht="15.35" x14ac:dyDescent="0.55000000000000004">
      <c r="A968" s="20">
        <v>8511</v>
      </c>
      <c r="B968" s="2" t="s">
        <v>144</v>
      </c>
      <c r="C968" s="2" t="s">
        <v>145</v>
      </c>
      <c r="D968" s="2" t="s">
        <v>146</v>
      </c>
      <c r="E968" s="2" t="s">
        <v>400</v>
      </c>
      <c r="F968" s="2" t="s">
        <v>4927</v>
      </c>
      <c r="G968" s="2" t="s">
        <v>4931</v>
      </c>
      <c r="H968" s="2" t="s">
        <v>4937</v>
      </c>
      <c r="I968" s="20">
        <v>98.73</v>
      </c>
      <c r="J968" s="2" t="s">
        <v>4933</v>
      </c>
    </row>
    <row r="969" spans="1:10" ht="15.35" x14ac:dyDescent="0.55000000000000004">
      <c r="A969" s="20">
        <v>8512</v>
      </c>
      <c r="B969" s="2" t="s">
        <v>144</v>
      </c>
      <c r="C969" s="2" t="s">
        <v>145</v>
      </c>
      <c r="D969" s="2" t="s">
        <v>146</v>
      </c>
      <c r="E969" s="2" t="s">
        <v>400</v>
      </c>
      <c r="F969" s="2" t="s">
        <v>4927</v>
      </c>
      <c r="G969" s="2" t="s">
        <v>4928</v>
      </c>
      <c r="H969" s="2" t="s">
        <v>4936</v>
      </c>
      <c r="I969" s="20">
        <v>60400.33</v>
      </c>
      <c r="J969" s="2" t="s">
        <v>4935</v>
      </c>
    </row>
    <row r="970" spans="1:10" ht="15.35" x14ac:dyDescent="0.55000000000000004">
      <c r="A970" s="20">
        <v>8513</v>
      </c>
      <c r="B970" s="2" t="s">
        <v>144</v>
      </c>
      <c r="C970" s="2" t="s">
        <v>145</v>
      </c>
      <c r="D970" s="2" t="s">
        <v>146</v>
      </c>
      <c r="E970" s="2" t="s">
        <v>400</v>
      </c>
      <c r="F970" s="2" t="s">
        <v>4927</v>
      </c>
      <c r="G970" s="2" t="s">
        <v>4928</v>
      </c>
      <c r="H970" s="2" t="s">
        <v>4934</v>
      </c>
      <c r="I970" s="20">
        <v>61179.92</v>
      </c>
      <c r="J970" s="2" t="s">
        <v>4935</v>
      </c>
    </row>
    <row r="971" spans="1:10" ht="15.35" x14ac:dyDescent="0.55000000000000004">
      <c r="A971" s="20">
        <v>8572</v>
      </c>
      <c r="B971" s="2" t="s">
        <v>144</v>
      </c>
      <c r="C971" s="2" t="s">
        <v>145</v>
      </c>
      <c r="D971" s="2" t="s">
        <v>146</v>
      </c>
      <c r="E971" s="2" t="s">
        <v>400</v>
      </c>
      <c r="F971" s="2" t="s">
        <v>4927</v>
      </c>
      <c r="G971" s="2" t="s">
        <v>4931</v>
      </c>
      <c r="H971" s="2" t="s">
        <v>4932</v>
      </c>
      <c r="I971" s="20">
        <v>97.48</v>
      </c>
      <c r="J971" s="2" t="s">
        <v>4933</v>
      </c>
    </row>
    <row r="972" spans="1:10" ht="15.35" x14ac:dyDescent="0.55000000000000004">
      <c r="A972" s="20">
        <v>16202</v>
      </c>
      <c r="B972" s="2" t="s">
        <v>144</v>
      </c>
      <c r="C972" s="2" t="s">
        <v>145</v>
      </c>
      <c r="D972" s="2" t="s">
        <v>146</v>
      </c>
      <c r="E972" s="2" t="s">
        <v>400</v>
      </c>
      <c r="F972" s="2" t="s">
        <v>4927</v>
      </c>
      <c r="G972" s="2" t="s">
        <v>4939</v>
      </c>
      <c r="H972" s="2" t="s">
        <v>4946</v>
      </c>
      <c r="I972" s="20">
        <v>83.73</v>
      </c>
      <c r="J972" s="2" t="s">
        <v>4941</v>
      </c>
    </row>
    <row r="973" spans="1:10" ht="15.35" x14ac:dyDescent="0.55000000000000004">
      <c r="A973" s="20">
        <v>16205</v>
      </c>
      <c r="B973" s="2" t="s">
        <v>144</v>
      </c>
      <c r="C973" s="2" t="s">
        <v>145</v>
      </c>
      <c r="D973" s="2" t="s">
        <v>146</v>
      </c>
      <c r="E973" s="2" t="s">
        <v>400</v>
      </c>
      <c r="F973" s="2" t="s">
        <v>4938</v>
      </c>
      <c r="G973" s="2" t="s">
        <v>4939</v>
      </c>
      <c r="H973" s="2" t="s">
        <v>4946</v>
      </c>
      <c r="I973" s="20">
        <v>84.11</v>
      </c>
      <c r="J973" s="2" t="s">
        <v>4941</v>
      </c>
    </row>
    <row r="974" spans="1:10" ht="15.35" x14ac:dyDescent="0.55000000000000004">
      <c r="A974" s="20">
        <v>8507</v>
      </c>
      <c r="B974" s="2" t="s">
        <v>144</v>
      </c>
      <c r="C974" s="2" t="s">
        <v>145</v>
      </c>
      <c r="D974" s="2" t="s">
        <v>146</v>
      </c>
      <c r="E974" s="2" t="s">
        <v>400</v>
      </c>
      <c r="F974" s="2" t="s">
        <v>4938</v>
      </c>
      <c r="G974" s="2" t="s">
        <v>4928</v>
      </c>
      <c r="H974" s="2" t="s">
        <v>4934</v>
      </c>
      <c r="I974" s="20">
        <v>61179.92</v>
      </c>
      <c r="J974" s="2" t="s">
        <v>4935</v>
      </c>
    </row>
    <row r="975" spans="1:10" ht="15.35" x14ac:dyDescent="0.55000000000000004">
      <c r="A975" s="20">
        <v>8508</v>
      </c>
      <c r="B975" s="2" t="s">
        <v>144</v>
      </c>
      <c r="C975" s="2" t="s">
        <v>145</v>
      </c>
      <c r="D975" s="2" t="s">
        <v>146</v>
      </c>
      <c r="E975" s="2" t="s">
        <v>400</v>
      </c>
      <c r="F975" s="2" t="s">
        <v>4938</v>
      </c>
      <c r="G975" s="2" t="s">
        <v>4928</v>
      </c>
      <c r="H975" s="2" t="s">
        <v>4936</v>
      </c>
      <c r="I975" s="20">
        <v>60139.65</v>
      </c>
      <c r="J975" s="2" t="s">
        <v>4935</v>
      </c>
    </row>
    <row r="976" spans="1:10" ht="15.35" x14ac:dyDescent="0.55000000000000004">
      <c r="A976" s="20">
        <v>8547</v>
      </c>
      <c r="B976" s="2" t="s">
        <v>144</v>
      </c>
      <c r="C976" s="2" t="s">
        <v>145</v>
      </c>
      <c r="D976" s="2" t="s">
        <v>146</v>
      </c>
      <c r="E976" s="2" t="s">
        <v>400</v>
      </c>
      <c r="F976" s="2" t="s">
        <v>4938</v>
      </c>
      <c r="G976" s="2" t="s">
        <v>4931</v>
      </c>
      <c r="H976" s="2" t="s">
        <v>4932</v>
      </c>
      <c r="I976" s="20">
        <v>99.43</v>
      </c>
      <c r="J976" s="2" t="s">
        <v>4933</v>
      </c>
    </row>
    <row r="977" spans="1:10" ht="15.35" x14ac:dyDescent="0.55000000000000004">
      <c r="A977" s="20">
        <v>8569</v>
      </c>
      <c r="B977" s="2" t="s">
        <v>144</v>
      </c>
      <c r="C977" s="2" t="s">
        <v>145</v>
      </c>
      <c r="D977" s="2" t="s">
        <v>146</v>
      </c>
      <c r="E977" s="2" t="s">
        <v>400</v>
      </c>
      <c r="F977" s="2" t="s">
        <v>4938</v>
      </c>
      <c r="G977" s="2" t="s">
        <v>4928</v>
      </c>
      <c r="H977" s="2" t="s">
        <v>4929</v>
      </c>
      <c r="I977" s="20">
        <v>4.6399999999999997</v>
      </c>
      <c r="J977" s="2" t="s">
        <v>4930</v>
      </c>
    </row>
    <row r="978" spans="1:10" ht="15.35" x14ac:dyDescent="0.55000000000000004">
      <c r="A978" s="20">
        <v>8570</v>
      </c>
      <c r="B978" s="2" t="s">
        <v>144</v>
      </c>
      <c r="C978" s="2" t="s">
        <v>145</v>
      </c>
      <c r="D978" s="2" t="s">
        <v>146</v>
      </c>
      <c r="E978" s="2" t="s">
        <v>400</v>
      </c>
      <c r="F978" s="2" t="s">
        <v>4938</v>
      </c>
      <c r="G978" s="2" t="s">
        <v>4939</v>
      </c>
      <c r="H978" s="2" t="s">
        <v>4951</v>
      </c>
      <c r="I978" s="20">
        <v>84.11</v>
      </c>
      <c r="J978" s="2" t="s">
        <v>4941</v>
      </c>
    </row>
    <row r="979" spans="1:10" ht="15.35" x14ac:dyDescent="0.55000000000000004">
      <c r="A979" s="20">
        <v>8571</v>
      </c>
      <c r="B979" s="2" t="s">
        <v>144</v>
      </c>
      <c r="C979" s="2" t="s">
        <v>145</v>
      </c>
      <c r="D979" s="2" t="s">
        <v>146</v>
      </c>
      <c r="E979" s="2" t="s">
        <v>400</v>
      </c>
      <c r="F979" s="2" t="s">
        <v>4938</v>
      </c>
      <c r="G979" s="2" t="s">
        <v>4931</v>
      </c>
      <c r="H979" s="2" t="s">
        <v>4937</v>
      </c>
      <c r="I979" s="20">
        <v>98.3</v>
      </c>
      <c r="J979" s="2" t="s">
        <v>4933</v>
      </c>
    </row>
    <row r="980" spans="1:10" ht="15.35" x14ac:dyDescent="0.55000000000000004">
      <c r="A980" s="20">
        <v>16200</v>
      </c>
      <c r="B980" s="2" t="s">
        <v>144</v>
      </c>
      <c r="C980" s="2" t="s">
        <v>145</v>
      </c>
      <c r="D980" s="2" t="s">
        <v>146</v>
      </c>
      <c r="E980" s="2" t="s">
        <v>400</v>
      </c>
      <c r="F980" s="2" t="s">
        <v>4942</v>
      </c>
      <c r="G980" s="2" t="s">
        <v>4939</v>
      </c>
      <c r="H980" s="2" t="s">
        <v>4946</v>
      </c>
      <c r="I980" s="20">
        <v>87.01</v>
      </c>
      <c r="J980" s="2" t="s">
        <v>4941</v>
      </c>
    </row>
    <row r="981" spans="1:10" ht="15.35" x14ac:dyDescent="0.55000000000000004">
      <c r="A981" s="20">
        <v>11811</v>
      </c>
      <c r="B981" s="2" t="s">
        <v>144</v>
      </c>
      <c r="C981" s="2" t="s">
        <v>145</v>
      </c>
      <c r="D981" s="2" t="s">
        <v>146</v>
      </c>
      <c r="E981" s="2" t="s">
        <v>400</v>
      </c>
      <c r="F981" s="2" t="s">
        <v>4942</v>
      </c>
      <c r="G981" s="2" t="s">
        <v>4928</v>
      </c>
      <c r="H981" s="2" t="s">
        <v>4934</v>
      </c>
      <c r="I981" s="20">
        <v>61179.92</v>
      </c>
      <c r="J981" s="2" t="s">
        <v>4935</v>
      </c>
    </row>
    <row r="982" spans="1:10" ht="15.35" x14ac:dyDescent="0.55000000000000004">
      <c r="A982" s="20">
        <v>11847</v>
      </c>
      <c r="B982" s="2" t="s">
        <v>144</v>
      </c>
      <c r="C982" s="2" t="s">
        <v>145</v>
      </c>
      <c r="D982" s="2" t="s">
        <v>146</v>
      </c>
      <c r="E982" s="2" t="s">
        <v>400</v>
      </c>
      <c r="F982" s="2" t="s">
        <v>4942</v>
      </c>
      <c r="G982" s="2" t="s">
        <v>4928</v>
      </c>
      <c r="H982" s="2" t="s">
        <v>4936</v>
      </c>
      <c r="I982" s="20">
        <v>60138.65</v>
      </c>
      <c r="J982" s="2" t="s">
        <v>4935</v>
      </c>
    </row>
    <row r="983" spans="1:10" ht="15.35" x14ac:dyDescent="0.55000000000000004">
      <c r="A983" s="20">
        <v>11848</v>
      </c>
      <c r="B983" s="2" t="s">
        <v>144</v>
      </c>
      <c r="C983" s="2" t="s">
        <v>145</v>
      </c>
      <c r="D983" s="2" t="s">
        <v>146</v>
      </c>
      <c r="E983" s="2" t="s">
        <v>400</v>
      </c>
      <c r="F983" s="2" t="s">
        <v>4942</v>
      </c>
      <c r="G983" s="2" t="s">
        <v>4931</v>
      </c>
      <c r="H983" s="2" t="s">
        <v>4937</v>
      </c>
      <c r="I983" s="20">
        <v>98.3</v>
      </c>
      <c r="J983" s="2" t="s">
        <v>4933</v>
      </c>
    </row>
    <row r="984" spans="1:10" ht="15.35" x14ac:dyDescent="0.55000000000000004">
      <c r="A984" s="20">
        <v>11849</v>
      </c>
      <c r="B984" s="2" t="s">
        <v>144</v>
      </c>
      <c r="C984" s="2" t="s">
        <v>145</v>
      </c>
      <c r="D984" s="2" t="s">
        <v>146</v>
      </c>
      <c r="E984" s="2" t="s">
        <v>400</v>
      </c>
      <c r="F984" s="2" t="s">
        <v>4942</v>
      </c>
      <c r="G984" s="2" t="s">
        <v>4939</v>
      </c>
      <c r="H984" s="2" t="s">
        <v>4951</v>
      </c>
      <c r="I984" s="20">
        <v>87.01</v>
      </c>
      <c r="J984" s="2" t="s">
        <v>4941</v>
      </c>
    </row>
    <row r="985" spans="1:10" ht="15.35" x14ac:dyDescent="0.55000000000000004">
      <c r="A985" s="20">
        <v>11850</v>
      </c>
      <c r="B985" s="2" t="s">
        <v>144</v>
      </c>
      <c r="C985" s="2" t="s">
        <v>145</v>
      </c>
      <c r="D985" s="2" t="s">
        <v>146</v>
      </c>
      <c r="E985" s="2" t="s">
        <v>400</v>
      </c>
      <c r="F985" s="2" t="s">
        <v>4942</v>
      </c>
      <c r="G985" s="2" t="s">
        <v>4928</v>
      </c>
      <c r="H985" s="2" t="s">
        <v>4929</v>
      </c>
      <c r="I985" s="20">
        <v>4.46</v>
      </c>
      <c r="J985" s="2" t="s">
        <v>4930</v>
      </c>
    </row>
    <row r="986" spans="1:10" ht="15.35" x14ac:dyDescent="0.55000000000000004">
      <c r="A986" s="20">
        <v>11851</v>
      </c>
      <c r="B986" s="2" t="s">
        <v>144</v>
      </c>
      <c r="C986" s="2" t="s">
        <v>145</v>
      </c>
      <c r="D986" s="2" t="s">
        <v>146</v>
      </c>
      <c r="E986" s="2" t="s">
        <v>400</v>
      </c>
      <c r="F986" s="2" t="s">
        <v>4942</v>
      </c>
      <c r="G986" s="2" t="s">
        <v>4931</v>
      </c>
      <c r="H986" s="2" t="s">
        <v>4932</v>
      </c>
      <c r="I986" s="20">
        <v>99.06</v>
      </c>
      <c r="J986" s="2" t="s">
        <v>4933</v>
      </c>
    </row>
    <row r="987" spans="1:10" ht="15.35" x14ac:dyDescent="0.55000000000000004">
      <c r="A987" s="20">
        <v>14574</v>
      </c>
      <c r="B987" s="2" t="s">
        <v>144</v>
      </c>
      <c r="C987" s="2" t="s">
        <v>145</v>
      </c>
      <c r="D987" s="2" t="s">
        <v>146</v>
      </c>
      <c r="E987" s="2" t="s">
        <v>400</v>
      </c>
      <c r="F987" s="2" t="s">
        <v>4947</v>
      </c>
      <c r="G987" s="2" t="s">
        <v>4928</v>
      </c>
      <c r="H987" s="2" t="s">
        <v>4934</v>
      </c>
      <c r="I987" s="20">
        <v>61179.92</v>
      </c>
      <c r="J987" s="2" t="s">
        <v>4935</v>
      </c>
    </row>
    <row r="988" spans="1:10" ht="15.35" x14ac:dyDescent="0.55000000000000004">
      <c r="A988" s="20">
        <v>14575</v>
      </c>
      <c r="B988" s="2" t="s">
        <v>144</v>
      </c>
      <c r="C988" s="2" t="s">
        <v>145</v>
      </c>
      <c r="D988" s="2" t="s">
        <v>146</v>
      </c>
      <c r="E988" s="2" t="s">
        <v>400</v>
      </c>
      <c r="F988" s="2" t="s">
        <v>4947</v>
      </c>
      <c r="G988" s="2" t="s">
        <v>4928</v>
      </c>
      <c r="H988" s="2" t="s">
        <v>4936</v>
      </c>
      <c r="I988" s="20">
        <v>60400.33</v>
      </c>
      <c r="J988" s="2" t="s">
        <v>4935</v>
      </c>
    </row>
    <row r="989" spans="1:10" ht="15.35" x14ac:dyDescent="0.55000000000000004">
      <c r="A989" s="20">
        <v>14576</v>
      </c>
      <c r="B989" s="2" t="s">
        <v>144</v>
      </c>
      <c r="C989" s="2" t="s">
        <v>145</v>
      </c>
      <c r="D989" s="2" t="s">
        <v>146</v>
      </c>
      <c r="E989" s="2" t="s">
        <v>400</v>
      </c>
      <c r="F989" s="2" t="s">
        <v>4947</v>
      </c>
      <c r="G989" s="2" t="s">
        <v>4931</v>
      </c>
      <c r="H989" s="2" t="s">
        <v>4937</v>
      </c>
      <c r="I989" s="20">
        <v>98.73</v>
      </c>
      <c r="J989" s="2" t="s">
        <v>4933</v>
      </c>
    </row>
    <row r="990" spans="1:10" ht="15.35" x14ac:dyDescent="0.55000000000000004">
      <c r="A990" s="20">
        <v>14577</v>
      </c>
      <c r="B990" s="2" t="s">
        <v>144</v>
      </c>
      <c r="C990" s="2" t="s">
        <v>145</v>
      </c>
      <c r="D990" s="2" t="s">
        <v>146</v>
      </c>
      <c r="E990" s="2" t="s">
        <v>400</v>
      </c>
      <c r="F990" s="2" t="s">
        <v>4947</v>
      </c>
      <c r="G990" s="2" t="s">
        <v>4939</v>
      </c>
      <c r="H990" s="2" t="s">
        <v>4946</v>
      </c>
      <c r="I990" s="20">
        <v>91.58</v>
      </c>
      <c r="J990" s="2" t="s">
        <v>4941</v>
      </c>
    </row>
    <row r="991" spans="1:10" ht="15.35" x14ac:dyDescent="0.55000000000000004">
      <c r="A991" s="20">
        <v>14578</v>
      </c>
      <c r="B991" s="2" t="s">
        <v>144</v>
      </c>
      <c r="C991" s="2" t="s">
        <v>145</v>
      </c>
      <c r="D991" s="2" t="s">
        <v>146</v>
      </c>
      <c r="E991" s="2" t="s">
        <v>400</v>
      </c>
      <c r="F991" s="2" t="s">
        <v>4947</v>
      </c>
      <c r="G991" s="2" t="s">
        <v>4928</v>
      </c>
      <c r="H991" s="2" t="s">
        <v>4929</v>
      </c>
      <c r="I991" s="20">
        <v>4.3600000000000003</v>
      </c>
      <c r="J991" s="2" t="s">
        <v>4930</v>
      </c>
    </row>
    <row r="992" spans="1:10" ht="15.35" x14ac:dyDescent="0.55000000000000004">
      <c r="A992" s="20">
        <v>14605</v>
      </c>
      <c r="B992" s="2" t="s">
        <v>144</v>
      </c>
      <c r="C992" s="2" t="s">
        <v>145</v>
      </c>
      <c r="D992" s="2" t="s">
        <v>146</v>
      </c>
      <c r="E992" s="2" t="s">
        <v>400</v>
      </c>
      <c r="F992" s="2" t="s">
        <v>4947</v>
      </c>
      <c r="G992" s="2" t="s">
        <v>4931</v>
      </c>
      <c r="H992" s="2" t="s">
        <v>4932</v>
      </c>
      <c r="I992" s="20">
        <v>99.4</v>
      </c>
      <c r="J992" s="2" t="s">
        <v>4933</v>
      </c>
    </row>
    <row r="993" spans="1:10" ht="15.35" x14ac:dyDescent="0.55000000000000004">
      <c r="A993" s="20">
        <v>8514</v>
      </c>
      <c r="B993" s="2" t="s">
        <v>144</v>
      </c>
      <c r="C993" s="2" t="s">
        <v>145</v>
      </c>
      <c r="D993" s="2" t="s">
        <v>146</v>
      </c>
      <c r="E993" s="2" t="s">
        <v>400</v>
      </c>
      <c r="F993" s="2" t="s">
        <v>4943</v>
      </c>
      <c r="G993" s="2" t="s">
        <v>4931</v>
      </c>
      <c r="H993" s="2" t="s">
        <v>4932</v>
      </c>
      <c r="I993" s="20">
        <v>97.91</v>
      </c>
      <c r="J993" s="2" t="s">
        <v>4933</v>
      </c>
    </row>
    <row r="994" spans="1:10" ht="15.35" x14ac:dyDescent="0.55000000000000004">
      <c r="A994" s="20">
        <v>8515</v>
      </c>
      <c r="B994" s="2" t="s">
        <v>144</v>
      </c>
      <c r="C994" s="2" t="s">
        <v>145</v>
      </c>
      <c r="D994" s="2" t="s">
        <v>146</v>
      </c>
      <c r="E994" s="2" t="s">
        <v>400</v>
      </c>
      <c r="F994" s="2" t="s">
        <v>4943</v>
      </c>
      <c r="G994" s="2" t="s">
        <v>4928</v>
      </c>
      <c r="H994" s="2" t="s">
        <v>4929</v>
      </c>
      <c r="I994" s="20">
        <v>3.91</v>
      </c>
      <c r="J994" s="2" t="s">
        <v>4930</v>
      </c>
    </row>
    <row r="995" spans="1:10" ht="15.35" x14ac:dyDescent="0.55000000000000004">
      <c r="A995" s="20">
        <v>8516</v>
      </c>
      <c r="B995" s="2" t="s">
        <v>144</v>
      </c>
      <c r="C995" s="2" t="s">
        <v>145</v>
      </c>
      <c r="D995" s="2" t="s">
        <v>146</v>
      </c>
      <c r="E995" s="2" t="s">
        <v>400</v>
      </c>
      <c r="F995" s="2" t="s">
        <v>4943</v>
      </c>
      <c r="G995" s="2" t="s">
        <v>4939</v>
      </c>
      <c r="H995" s="2" t="s">
        <v>4951</v>
      </c>
      <c r="I995" s="20">
        <v>92.11</v>
      </c>
      <c r="J995" s="2" t="s">
        <v>4941</v>
      </c>
    </row>
    <row r="996" spans="1:10" ht="15.35" x14ac:dyDescent="0.55000000000000004">
      <c r="A996" s="20">
        <v>8517</v>
      </c>
      <c r="B996" s="2" t="s">
        <v>144</v>
      </c>
      <c r="C996" s="2" t="s">
        <v>145</v>
      </c>
      <c r="D996" s="2" t="s">
        <v>146</v>
      </c>
      <c r="E996" s="2" t="s">
        <v>400</v>
      </c>
      <c r="F996" s="2" t="s">
        <v>4943</v>
      </c>
      <c r="G996" s="2" t="s">
        <v>4931</v>
      </c>
      <c r="H996" s="2" t="s">
        <v>4937</v>
      </c>
      <c r="I996" s="20">
        <v>98.76</v>
      </c>
      <c r="J996" s="2" t="s">
        <v>4933</v>
      </c>
    </row>
    <row r="997" spans="1:10" ht="15.35" x14ac:dyDescent="0.55000000000000004">
      <c r="A997" s="20">
        <v>8518</v>
      </c>
      <c r="B997" s="2" t="s">
        <v>144</v>
      </c>
      <c r="C997" s="2" t="s">
        <v>145</v>
      </c>
      <c r="D997" s="2" t="s">
        <v>146</v>
      </c>
      <c r="E997" s="2" t="s">
        <v>400</v>
      </c>
      <c r="F997" s="2" t="s">
        <v>4943</v>
      </c>
      <c r="G997" s="2" t="s">
        <v>4928</v>
      </c>
      <c r="H997" s="2" t="s">
        <v>4936</v>
      </c>
      <c r="I997" s="20">
        <v>60423.27</v>
      </c>
      <c r="J997" s="2" t="s">
        <v>4935</v>
      </c>
    </row>
    <row r="998" spans="1:10" ht="15.35" x14ac:dyDescent="0.55000000000000004">
      <c r="A998" s="20">
        <v>8519</v>
      </c>
      <c r="B998" s="2" t="s">
        <v>144</v>
      </c>
      <c r="C998" s="2" t="s">
        <v>145</v>
      </c>
      <c r="D998" s="2" t="s">
        <v>146</v>
      </c>
      <c r="E998" s="2" t="s">
        <v>400</v>
      </c>
      <c r="F998" s="2" t="s">
        <v>4943</v>
      </c>
      <c r="G998" s="2" t="s">
        <v>4928</v>
      </c>
      <c r="H998" s="2" t="s">
        <v>4934</v>
      </c>
      <c r="I998" s="20">
        <v>61179.92</v>
      </c>
      <c r="J998" s="2" t="s">
        <v>4935</v>
      </c>
    </row>
    <row r="999" spans="1:10" ht="15.35" x14ac:dyDescent="0.55000000000000004">
      <c r="A999" s="20">
        <v>16203</v>
      </c>
      <c r="B999" s="2" t="s">
        <v>144</v>
      </c>
      <c r="C999" s="2" t="s">
        <v>145</v>
      </c>
      <c r="D999" s="2" t="s">
        <v>146</v>
      </c>
      <c r="E999" s="2" t="s">
        <v>400</v>
      </c>
      <c r="F999" s="2" t="s">
        <v>4943</v>
      </c>
      <c r="G999" s="2" t="s">
        <v>4939</v>
      </c>
      <c r="H999" s="2" t="s">
        <v>4946</v>
      </c>
      <c r="I999" s="20">
        <v>92.11</v>
      </c>
      <c r="J999" s="2" t="s">
        <v>4941</v>
      </c>
    </row>
    <row r="1000" spans="1:10" ht="15.35" x14ac:dyDescent="0.55000000000000004">
      <c r="A1000" s="20">
        <v>16204</v>
      </c>
      <c r="B1000" s="2" t="s">
        <v>144</v>
      </c>
      <c r="C1000" s="2" t="s">
        <v>145</v>
      </c>
      <c r="D1000" s="2" t="s">
        <v>146</v>
      </c>
      <c r="E1000" s="2" t="s">
        <v>400</v>
      </c>
      <c r="F1000" s="2" t="s">
        <v>4944</v>
      </c>
      <c r="G1000" s="2" t="s">
        <v>4939</v>
      </c>
      <c r="H1000" s="2" t="s">
        <v>4946</v>
      </c>
      <c r="I1000" s="20">
        <v>90.79</v>
      </c>
      <c r="J1000" s="2" t="s">
        <v>4941</v>
      </c>
    </row>
    <row r="1001" spans="1:10" ht="15.35" x14ac:dyDescent="0.55000000000000004">
      <c r="A1001" s="20">
        <v>8520</v>
      </c>
      <c r="B1001" s="2" t="s">
        <v>144</v>
      </c>
      <c r="C1001" s="2" t="s">
        <v>145</v>
      </c>
      <c r="D1001" s="2" t="s">
        <v>146</v>
      </c>
      <c r="E1001" s="2" t="s">
        <v>400</v>
      </c>
      <c r="F1001" s="2" t="s">
        <v>4944</v>
      </c>
      <c r="G1001" s="2" t="s">
        <v>4931</v>
      </c>
      <c r="H1001" s="2" t="s">
        <v>4932</v>
      </c>
      <c r="I1001" s="20">
        <v>97.88</v>
      </c>
      <c r="J1001" s="2" t="s">
        <v>4933</v>
      </c>
    </row>
    <row r="1002" spans="1:10" ht="15.35" x14ac:dyDescent="0.55000000000000004">
      <c r="A1002" s="20">
        <v>8521</v>
      </c>
      <c r="B1002" s="2" t="s">
        <v>144</v>
      </c>
      <c r="C1002" s="2" t="s">
        <v>145</v>
      </c>
      <c r="D1002" s="2" t="s">
        <v>146</v>
      </c>
      <c r="E1002" s="2" t="s">
        <v>400</v>
      </c>
      <c r="F1002" s="2" t="s">
        <v>4944</v>
      </c>
      <c r="G1002" s="2" t="s">
        <v>4928</v>
      </c>
      <c r="H1002" s="2" t="s">
        <v>4929</v>
      </c>
      <c r="I1002" s="20">
        <v>3.97</v>
      </c>
      <c r="J1002" s="2" t="s">
        <v>4930</v>
      </c>
    </row>
    <row r="1003" spans="1:10" ht="15.35" x14ac:dyDescent="0.55000000000000004">
      <c r="A1003" s="20">
        <v>8522</v>
      </c>
      <c r="B1003" s="2" t="s">
        <v>144</v>
      </c>
      <c r="C1003" s="2" t="s">
        <v>145</v>
      </c>
      <c r="D1003" s="2" t="s">
        <v>146</v>
      </c>
      <c r="E1003" s="2" t="s">
        <v>400</v>
      </c>
      <c r="F1003" s="2" t="s">
        <v>4944</v>
      </c>
      <c r="G1003" s="2" t="s">
        <v>4939</v>
      </c>
      <c r="H1003" s="2" t="s">
        <v>4951</v>
      </c>
      <c r="I1003" s="20">
        <v>90.79</v>
      </c>
      <c r="J1003" s="2" t="s">
        <v>4941</v>
      </c>
    </row>
    <row r="1004" spans="1:10" ht="15.35" x14ac:dyDescent="0.55000000000000004">
      <c r="A1004" s="20">
        <v>8524</v>
      </c>
      <c r="B1004" s="2" t="s">
        <v>144</v>
      </c>
      <c r="C1004" s="2" t="s">
        <v>145</v>
      </c>
      <c r="D1004" s="2" t="s">
        <v>146</v>
      </c>
      <c r="E1004" s="2" t="s">
        <v>400</v>
      </c>
      <c r="F1004" s="2" t="s">
        <v>4944</v>
      </c>
      <c r="G1004" s="2" t="s">
        <v>4931</v>
      </c>
      <c r="H1004" s="2" t="s">
        <v>4937</v>
      </c>
      <c r="I1004" s="20">
        <v>99.03</v>
      </c>
      <c r="J1004" s="2" t="s">
        <v>4933</v>
      </c>
    </row>
    <row r="1005" spans="1:10" ht="15.35" x14ac:dyDescent="0.55000000000000004">
      <c r="A1005" s="20">
        <v>8546</v>
      </c>
      <c r="B1005" s="2" t="s">
        <v>144</v>
      </c>
      <c r="C1005" s="2" t="s">
        <v>145</v>
      </c>
      <c r="D1005" s="2" t="s">
        <v>146</v>
      </c>
      <c r="E1005" s="2" t="s">
        <v>400</v>
      </c>
      <c r="F1005" s="2" t="s">
        <v>4944</v>
      </c>
      <c r="G1005" s="2" t="s">
        <v>4928</v>
      </c>
      <c r="H1005" s="2" t="s">
        <v>4936</v>
      </c>
      <c r="I1005" s="20">
        <v>60350.05</v>
      </c>
      <c r="J1005" s="2" t="s">
        <v>4935</v>
      </c>
    </row>
    <row r="1006" spans="1:10" ht="15.35" x14ac:dyDescent="0.55000000000000004">
      <c r="A1006" s="20">
        <v>8566</v>
      </c>
      <c r="B1006" s="2" t="s">
        <v>144</v>
      </c>
      <c r="C1006" s="2" t="s">
        <v>145</v>
      </c>
      <c r="D1006" s="2" t="s">
        <v>146</v>
      </c>
      <c r="E1006" s="2" t="s">
        <v>400</v>
      </c>
      <c r="F1006" s="2" t="s">
        <v>4944</v>
      </c>
      <c r="G1006" s="2" t="s">
        <v>4928</v>
      </c>
      <c r="H1006" s="2" t="s">
        <v>4934</v>
      </c>
      <c r="I1006" s="20">
        <v>60938.42</v>
      </c>
      <c r="J1006" s="2" t="s">
        <v>4935</v>
      </c>
    </row>
    <row r="1007" spans="1:10" ht="15.35" x14ac:dyDescent="0.55000000000000004">
      <c r="A1007" s="20">
        <v>16201</v>
      </c>
      <c r="B1007" s="2" t="s">
        <v>144</v>
      </c>
      <c r="C1007" s="2" t="s">
        <v>145</v>
      </c>
      <c r="D1007" s="2" t="s">
        <v>146</v>
      </c>
      <c r="E1007" s="2" t="s">
        <v>400</v>
      </c>
      <c r="F1007" s="2" t="s">
        <v>4945</v>
      </c>
      <c r="G1007" s="2" t="s">
        <v>4939</v>
      </c>
      <c r="H1007" s="2" t="s">
        <v>4946</v>
      </c>
      <c r="I1007" s="20">
        <v>91.53</v>
      </c>
      <c r="J1007" s="2" t="s">
        <v>4941</v>
      </c>
    </row>
    <row r="1008" spans="1:10" ht="15.35" x14ac:dyDescent="0.55000000000000004">
      <c r="A1008" s="20">
        <v>11741</v>
      </c>
      <c r="B1008" s="2" t="s">
        <v>144</v>
      </c>
      <c r="C1008" s="2" t="s">
        <v>145</v>
      </c>
      <c r="D1008" s="2" t="s">
        <v>146</v>
      </c>
      <c r="E1008" s="2" t="s">
        <v>400</v>
      </c>
      <c r="F1008" s="2" t="s">
        <v>4945</v>
      </c>
      <c r="G1008" s="2" t="s">
        <v>4939</v>
      </c>
      <c r="H1008" s="2" t="s">
        <v>4951</v>
      </c>
      <c r="I1008" s="20">
        <v>91.53</v>
      </c>
      <c r="J1008" s="2" t="s">
        <v>4941</v>
      </c>
    </row>
    <row r="1009" spans="1:10" ht="15.35" x14ac:dyDescent="0.55000000000000004">
      <c r="A1009" s="20">
        <v>11770</v>
      </c>
      <c r="B1009" s="2" t="s">
        <v>144</v>
      </c>
      <c r="C1009" s="2" t="s">
        <v>145</v>
      </c>
      <c r="D1009" s="2" t="s">
        <v>146</v>
      </c>
      <c r="E1009" s="2" t="s">
        <v>400</v>
      </c>
      <c r="F1009" s="2" t="s">
        <v>4945</v>
      </c>
      <c r="G1009" s="2" t="s">
        <v>4928</v>
      </c>
      <c r="H1009" s="2" t="s">
        <v>4934</v>
      </c>
      <c r="I1009" s="20">
        <v>60938.42</v>
      </c>
      <c r="J1009" s="2" t="s">
        <v>4935</v>
      </c>
    </row>
    <row r="1010" spans="1:10" ht="15.35" x14ac:dyDescent="0.55000000000000004">
      <c r="A1010" s="20">
        <v>11771</v>
      </c>
      <c r="B1010" s="2" t="s">
        <v>144</v>
      </c>
      <c r="C1010" s="2" t="s">
        <v>145</v>
      </c>
      <c r="D1010" s="2" t="s">
        <v>146</v>
      </c>
      <c r="E1010" s="2" t="s">
        <v>400</v>
      </c>
      <c r="F1010" s="2" t="s">
        <v>4945</v>
      </c>
      <c r="G1010" s="2" t="s">
        <v>4928</v>
      </c>
      <c r="H1010" s="2" t="s">
        <v>4936</v>
      </c>
      <c r="I1010" s="20">
        <v>60112.22</v>
      </c>
      <c r="J1010" s="2" t="s">
        <v>4935</v>
      </c>
    </row>
    <row r="1011" spans="1:10" ht="15.35" x14ac:dyDescent="0.55000000000000004">
      <c r="A1011" s="20">
        <v>11772</v>
      </c>
      <c r="B1011" s="2" t="s">
        <v>144</v>
      </c>
      <c r="C1011" s="2" t="s">
        <v>145</v>
      </c>
      <c r="D1011" s="2" t="s">
        <v>146</v>
      </c>
      <c r="E1011" s="2" t="s">
        <v>400</v>
      </c>
      <c r="F1011" s="2" t="s">
        <v>4945</v>
      </c>
      <c r="G1011" s="2" t="s">
        <v>4931</v>
      </c>
      <c r="H1011" s="2" t="s">
        <v>4937</v>
      </c>
      <c r="I1011" s="20">
        <v>98.64</v>
      </c>
      <c r="J1011" s="2" t="s">
        <v>4933</v>
      </c>
    </row>
    <row r="1012" spans="1:10" ht="15.35" x14ac:dyDescent="0.55000000000000004">
      <c r="A1012" s="20">
        <v>11809</v>
      </c>
      <c r="B1012" s="2" t="s">
        <v>144</v>
      </c>
      <c r="C1012" s="2" t="s">
        <v>145</v>
      </c>
      <c r="D1012" s="2" t="s">
        <v>146</v>
      </c>
      <c r="E1012" s="2" t="s">
        <v>400</v>
      </c>
      <c r="F1012" s="2" t="s">
        <v>4945</v>
      </c>
      <c r="G1012" s="2" t="s">
        <v>4928</v>
      </c>
      <c r="H1012" s="2" t="s">
        <v>4929</v>
      </c>
      <c r="I1012" s="20">
        <v>3.98</v>
      </c>
      <c r="J1012" s="2" t="s">
        <v>4930</v>
      </c>
    </row>
    <row r="1013" spans="1:10" ht="15.35" x14ac:dyDescent="0.55000000000000004">
      <c r="A1013" s="20">
        <v>11810</v>
      </c>
      <c r="B1013" s="2" t="s">
        <v>144</v>
      </c>
      <c r="C1013" s="2" t="s">
        <v>145</v>
      </c>
      <c r="D1013" s="2" t="s">
        <v>146</v>
      </c>
      <c r="E1013" s="2" t="s">
        <v>400</v>
      </c>
      <c r="F1013" s="2" t="s">
        <v>4945</v>
      </c>
      <c r="G1013" s="2" t="s">
        <v>4931</v>
      </c>
      <c r="H1013" s="2" t="s">
        <v>4932</v>
      </c>
      <c r="I1013" s="20">
        <v>99.13</v>
      </c>
      <c r="J1013" s="2" t="s">
        <v>4933</v>
      </c>
    </row>
    <row r="1014" spans="1:10" ht="15.35" x14ac:dyDescent="0.55000000000000004">
      <c r="A1014" s="20">
        <v>14568</v>
      </c>
      <c r="B1014" s="2" t="s">
        <v>144</v>
      </c>
      <c r="C1014" s="2" t="s">
        <v>145</v>
      </c>
      <c r="D1014" s="2" t="s">
        <v>146</v>
      </c>
      <c r="E1014" s="2" t="s">
        <v>400</v>
      </c>
      <c r="F1014" s="2" t="s">
        <v>4948</v>
      </c>
      <c r="G1014" s="2" t="s">
        <v>4928</v>
      </c>
      <c r="H1014" s="2" t="s">
        <v>4934</v>
      </c>
      <c r="I1014" s="20">
        <v>60938.42</v>
      </c>
      <c r="J1014" s="2" t="s">
        <v>4935</v>
      </c>
    </row>
    <row r="1015" spans="1:10" ht="15.35" x14ac:dyDescent="0.55000000000000004">
      <c r="A1015" s="20">
        <v>14569</v>
      </c>
      <c r="B1015" s="2" t="s">
        <v>144</v>
      </c>
      <c r="C1015" s="2" t="s">
        <v>145</v>
      </c>
      <c r="D1015" s="2" t="s">
        <v>146</v>
      </c>
      <c r="E1015" s="2" t="s">
        <v>400</v>
      </c>
      <c r="F1015" s="2" t="s">
        <v>4948</v>
      </c>
      <c r="G1015" s="2" t="s">
        <v>4928</v>
      </c>
      <c r="H1015" s="2" t="s">
        <v>4936</v>
      </c>
      <c r="I1015" s="20">
        <v>60448.42</v>
      </c>
      <c r="J1015" s="2" t="s">
        <v>4935</v>
      </c>
    </row>
    <row r="1016" spans="1:10" ht="15.35" x14ac:dyDescent="0.55000000000000004">
      <c r="A1016" s="20">
        <v>14570</v>
      </c>
      <c r="B1016" s="2" t="s">
        <v>144</v>
      </c>
      <c r="C1016" s="2" t="s">
        <v>145</v>
      </c>
      <c r="D1016" s="2" t="s">
        <v>146</v>
      </c>
      <c r="E1016" s="2" t="s">
        <v>400</v>
      </c>
      <c r="F1016" s="2" t="s">
        <v>4948</v>
      </c>
      <c r="G1016" s="2" t="s">
        <v>4931</v>
      </c>
      <c r="H1016" s="2" t="s">
        <v>4937</v>
      </c>
      <c r="I1016" s="20">
        <v>99.2</v>
      </c>
      <c r="J1016" s="2" t="s">
        <v>4933</v>
      </c>
    </row>
    <row r="1017" spans="1:10" ht="15.35" x14ac:dyDescent="0.55000000000000004">
      <c r="A1017" s="20">
        <v>14571</v>
      </c>
      <c r="B1017" s="2" t="s">
        <v>144</v>
      </c>
      <c r="C1017" s="2" t="s">
        <v>145</v>
      </c>
      <c r="D1017" s="2" t="s">
        <v>146</v>
      </c>
      <c r="E1017" s="2" t="s">
        <v>400</v>
      </c>
      <c r="F1017" s="2" t="s">
        <v>4948</v>
      </c>
      <c r="G1017" s="2" t="s">
        <v>4939</v>
      </c>
      <c r="H1017" s="2" t="s">
        <v>4946</v>
      </c>
      <c r="I1017" s="20">
        <v>92.01</v>
      </c>
      <c r="J1017" s="2" t="s">
        <v>4941</v>
      </c>
    </row>
    <row r="1018" spans="1:10" ht="15.35" x14ac:dyDescent="0.55000000000000004">
      <c r="A1018" s="20">
        <v>14572</v>
      </c>
      <c r="B1018" s="2" t="s">
        <v>144</v>
      </c>
      <c r="C1018" s="2" t="s">
        <v>145</v>
      </c>
      <c r="D1018" s="2" t="s">
        <v>146</v>
      </c>
      <c r="E1018" s="2" t="s">
        <v>400</v>
      </c>
      <c r="F1018" s="2" t="s">
        <v>4948</v>
      </c>
      <c r="G1018" s="2" t="s">
        <v>4928</v>
      </c>
      <c r="H1018" s="2" t="s">
        <v>4929</v>
      </c>
      <c r="I1018" s="20">
        <v>3.81</v>
      </c>
      <c r="J1018" s="2" t="s">
        <v>4930</v>
      </c>
    </row>
    <row r="1019" spans="1:10" ht="15.35" x14ac:dyDescent="0.55000000000000004">
      <c r="A1019" s="20">
        <v>14573</v>
      </c>
      <c r="B1019" s="2" t="s">
        <v>144</v>
      </c>
      <c r="C1019" s="2" t="s">
        <v>145</v>
      </c>
      <c r="D1019" s="2" t="s">
        <v>146</v>
      </c>
      <c r="E1019" s="2" t="s">
        <v>400</v>
      </c>
      <c r="F1019" s="2" t="s">
        <v>4948</v>
      </c>
      <c r="G1019" s="2" t="s">
        <v>4931</v>
      </c>
      <c r="H1019" s="2" t="s">
        <v>4932</v>
      </c>
      <c r="I1019" s="20">
        <v>99.57</v>
      </c>
      <c r="J1019" s="2" t="s">
        <v>4933</v>
      </c>
    </row>
    <row r="1020" spans="1:10" ht="15.35" x14ac:dyDescent="0.55000000000000004">
      <c r="A1020" s="20">
        <v>17485</v>
      </c>
      <c r="B1020" s="2" t="s">
        <v>144</v>
      </c>
      <c r="C1020" s="2" t="s">
        <v>145</v>
      </c>
      <c r="D1020" s="2" t="s">
        <v>146</v>
      </c>
      <c r="E1020" s="2" t="s">
        <v>400</v>
      </c>
      <c r="F1020" s="2" t="s">
        <v>4949</v>
      </c>
      <c r="G1020" s="2" t="s">
        <v>4931</v>
      </c>
      <c r="H1020" s="2" t="s">
        <v>4932</v>
      </c>
      <c r="I1020" s="20">
        <v>99.32</v>
      </c>
      <c r="J1020" s="2" t="s">
        <v>4933</v>
      </c>
    </row>
    <row r="1021" spans="1:10" ht="15.35" x14ac:dyDescent="0.55000000000000004">
      <c r="A1021" s="20">
        <v>17486</v>
      </c>
      <c r="B1021" s="2" t="s">
        <v>144</v>
      </c>
      <c r="C1021" s="2" t="s">
        <v>145</v>
      </c>
      <c r="D1021" s="2" t="s">
        <v>146</v>
      </c>
      <c r="E1021" s="2" t="s">
        <v>400</v>
      </c>
      <c r="F1021" s="2" t="s">
        <v>4949</v>
      </c>
      <c r="G1021" s="2" t="s">
        <v>4928</v>
      </c>
      <c r="H1021" s="2" t="s">
        <v>4929</v>
      </c>
      <c r="I1021" s="20">
        <v>3.9</v>
      </c>
      <c r="J1021" s="2" t="s">
        <v>4930</v>
      </c>
    </row>
    <row r="1022" spans="1:10" ht="15.35" x14ac:dyDescent="0.55000000000000004">
      <c r="A1022" s="20">
        <v>17487</v>
      </c>
      <c r="B1022" s="2" t="s">
        <v>144</v>
      </c>
      <c r="C1022" s="2" t="s">
        <v>145</v>
      </c>
      <c r="D1022" s="2" t="s">
        <v>146</v>
      </c>
      <c r="E1022" s="2" t="s">
        <v>400</v>
      </c>
      <c r="F1022" s="2" t="s">
        <v>4949</v>
      </c>
      <c r="G1022" s="2" t="s">
        <v>4939</v>
      </c>
      <c r="H1022" s="2" t="s">
        <v>4946</v>
      </c>
      <c r="I1022" s="20">
        <v>91.77</v>
      </c>
      <c r="J1022" s="2" t="s">
        <v>4941</v>
      </c>
    </row>
    <row r="1023" spans="1:10" ht="15.35" x14ac:dyDescent="0.55000000000000004">
      <c r="A1023" s="20">
        <v>17488</v>
      </c>
      <c r="B1023" s="2" t="s">
        <v>144</v>
      </c>
      <c r="C1023" s="2" t="s">
        <v>145</v>
      </c>
      <c r="D1023" s="2" t="s">
        <v>146</v>
      </c>
      <c r="E1023" s="2" t="s">
        <v>400</v>
      </c>
      <c r="F1023" s="2" t="s">
        <v>4949</v>
      </c>
      <c r="G1023" s="2" t="s">
        <v>4931</v>
      </c>
      <c r="H1023" s="2" t="s">
        <v>4937</v>
      </c>
      <c r="I1023" s="20">
        <v>99.22</v>
      </c>
      <c r="J1023" s="2" t="s">
        <v>4933</v>
      </c>
    </row>
    <row r="1024" spans="1:10" ht="15.35" x14ac:dyDescent="0.55000000000000004">
      <c r="A1024" s="20">
        <v>17489</v>
      </c>
      <c r="B1024" s="2" t="s">
        <v>144</v>
      </c>
      <c r="C1024" s="2" t="s">
        <v>145</v>
      </c>
      <c r="D1024" s="2" t="s">
        <v>146</v>
      </c>
      <c r="E1024" s="2" t="s">
        <v>400</v>
      </c>
      <c r="F1024" s="2" t="s">
        <v>4949</v>
      </c>
      <c r="G1024" s="2" t="s">
        <v>4928</v>
      </c>
      <c r="H1024" s="2" t="s">
        <v>4936</v>
      </c>
      <c r="I1024" s="20">
        <v>60465.32</v>
      </c>
      <c r="J1024" s="2" t="s">
        <v>4935</v>
      </c>
    </row>
    <row r="1025" spans="1:10" ht="15.35" x14ac:dyDescent="0.55000000000000004">
      <c r="A1025" s="20">
        <v>17490</v>
      </c>
      <c r="B1025" s="2" t="s">
        <v>144</v>
      </c>
      <c r="C1025" s="2" t="s">
        <v>145</v>
      </c>
      <c r="D1025" s="2" t="s">
        <v>146</v>
      </c>
      <c r="E1025" s="2" t="s">
        <v>400</v>
      </c>
      <c r="F1025" s="2" t="s">
        <v>4949</v>
      </c>
      <c r="G1025" s="2" t="s">
        <v>4928</v>
      </c>
      <c r="H1025" s="2" t="s">
        <v>4934</v>
      </c>
      <c r="I1025" s="20">
        <v>60938.42</v>
      </c>
      <c r="J1025" s="2" t="s">
        <v>4935</v>
      </c>
    </row>
    <row r="1026" spans="1:10" ht="15.35" x14ac:dyDescent="0.55000000000000004">
      <c r="A1026" s="20">
        <v>18295</v>
      </c>
      <c r="B1026" s="2" t="s">
        <v>144</v>
      </c>
      <c r="C1026" s="2" t="s">
        <v>145</v>
      </c>
      <c r="D1026" s="2" t="s">
        <v>146</v>
      </c>
      <c r="E1026" s="2" t="s">
        <v>400</v>
      </c>
      <c r="F1026" s="2" t="s">
        <v>4950</v>
      </c>
      <c r="G1026" s="2" t="s">
        <v>4931</v>
      </c>
      <c r="H1026" s="2" t="s">
        <v>4932</v>
      </c>
      <c r="I1026" s="20">
        <v>99.51</v>
      </c>
      <c r="J1026" s="2" t="s">
        <v>4933</v>
      </c>
    </row>
    <row r="1027" spans="1:10" ht="15.35" x14ac:dyDescent="0.55000000000000004">
      <c r="A1027" s="20">
        <v>18296</v>
      </c>
      <c r="B1027" s="2" t="s">
        <v>144</v>
      </c>
      <c r="C1027" s="2" t="s">
        <v>145</v>
      </c>
      <c r="D1027" s="2" t="s">
        <v>146</v>
      </c>
      <c r="E1027" s="2" t="s">
        <v>400</v>
      </c>
      <c r="F1027" s="2" t="s">
        <v>4950</v>
      </c>
      <c r="G1027" s="2" t="s">
        <v>4928</v>
      </c>
      <c r="H1027" s="2" t="s">
        <v>4929</v>
      </c>
      <c r="I1027" s="20">
        <v>3.73</v>
      </c>
      <c r="J1027" s="2" t="s">
        <v>4930</v>
      </c>
    </row>
    <row r="1028" spans="1:10" ht="15.35" x14ac:dyDescent="0.55000000000000004">
      <c r="A1028" s="20">
        <v>18297</v>
      </c>
      <c r="B1028" s="2" t="s">
        <v>144</v>
      </c>
      <c r="C1028" s="2" t="s">
        <v>145</v>
      </c>
      <c r="D1028" s="2" t="s">
        <v>146</v>
      </c>
      <c r="E1028" s="2" t="s">
        <v>400</v>
      </c>
      <c r="F1028" s="2" t="s">
        <v>4950</v>
      </c>
      <c r="G1028" s="2" t="s">
        <v>4939</v>
      </c>
      <c r="H1028" s="2" t="s">
        <v>4946</v>
      </c>
      <c r="I1028" s="20">
        <v>92.77</v>
      </c>
      <c r="J1028" s="2" t="s">
        <v>4941</v>
      </c>
    </row>
    <row r="1029" spans="1:10" ht="15.35" x14ac:dyDescent="0.55000000000000004">
      <c r="A1029" s="20">
        <v>18298</v>
      </c>
      <c r="B1029" s="2" t="s">
        <v>144</v>
      </c>
      <c r="C1029" s="2" t="s">
        <v>145</v>
      </c>
      <c r="D1029" s="2" t="s">
        <v>146</v>
      </c>
      <c r="E1029" s="2" t="s">
        <v>400</v>
      </c>
      <c r="F1029" s="2" t="s">
        <v>4950</v>
      </c>
      <c r="G1029" s="2" t="s">
        <v>4931</v>
      </c>
      <c r="H1029" s="2" t="s">
        <v>4937</v>
      </c>
      <c r="I1029" s="20">
        <v>99.67</v>
      </c>
      <c r="J1029" s="2" t="s">
        <v>4933</v>
      </c>
    </row>
    <row r="1030" spans="1:10" ht="15.35" x14ac:dyDescent="0.55000000000000004">
      <c r="A1030" s="20">
        <v>18299</v>
      </c>
      <c r="B1030" s="2" t="s">
        <v>144</v>
      </c>
      <c r="C1030" s="2" t="s">
        <v>145</v>
      </c>
      <c r="D1030" s="2" t="s">
        <v>146</v>
      </c>
      <c r="E1030" s="2" t="s">
        <v>400</v>
      </c>
      <c r="F1030" s="2" t="s">
        <v>4950</v>
      </c>
      <c r="G1030" s="2" t="s">
        <v>4928</v>
      </c>
      <c r="H1030" s="2" t="s">
        <v>4936</v>
      </c>
      <c r="I1030" s="20">
        <v>60735.72</v>
      </c>
      <c r="J1030" s="2" t="s">
        <v>4935</v>
      </c>
    </row>
    <row r="1031" spans="1:10" ht="15.35" x14ac:dyDescent="0.55000000000000004">
      <c r="A1031" s="20">
        <v>18300</v>
      </c>
      <c r="B1031" s="2" t="s">
        <v>144</v>
      </c>
      <c r="C1031" s="2" t="s">
        <v>145</v>
      </c>
      <c r="D1031" s="2" t="s">
        <v>146</v>
      </c>
      <c r="E1031" s="2" t="s">
        <v>400</v>
      </c>
      <c r="F1031" s="2" t="s">
        <v>4950</v>
      </c>
      <c r="G1031" s="2" t="s">
        <v>4928</v>
      </c>
      <c r="H1031" s="2" t="s">
        <v>4934</v>
      </c>
      <c r="I1031" s="20">
        <v>60938.42</v>
      </c>
      <c r="J1031" s="2" t="s">
        <v>4935</v>
      </c>
    </row>
    <row r="1032" spans="1:10" ht="15.35" x14ac:dyDescent="0.55000000000000004">
      <c r="A1032" s="20">
        <v>15539</v>
      </c>
      <c r="B1032" s="2" t="s">
        <v>169</v>
      </c>
      <c r="C1032" s="2" t="s">
        <v>170</v>
      </c>
      <c r="D1032" s="2" t="s">
        <v>171</v>
      </c>
      <c r="E1032" s="2" t="s">
        <v>4926</v>
      </c>
      <c r="F1032" s="2" t="s">
        <v>4948</v>
      </c>
      <c r="G1032" s="2" t="s">
        <v>4931</v>
      </c>
      <c r="H1032" s="2" t="s">
        <v>4937</v>
      </c>
      <c r="I1032" s="20">
        <v>98.52</v>
      </c>
      <c r="J1032" s="2" t="s">
        <v>4933</v>
      </c>
    </row>
    <row r="1033" spans="1:10" ht="15.35" x14ac:dyDescent="0.55000000000000004">
      <c r="A1033" s="20">
        <v>15540</v>
      </c>
      <c r="B1033" s="2" t="s">
        <v>169</v>
      </c>
      <c r="C1033" s="2" t="s">
        <v>170</v>
      </c>
      <c r="D1033" s="2" t="s">
        <v>171</v>
      </c>
      <c r="E1033" s="2" t="s">
        <v>4926</v>
      </c>
      <c r="F1033" s="2" t="s">
        <v>4948</v>
      </c>
      <c r="G1033" s="2" t="s">
        <v>4939</v>
      </c>
      <c r="H1033" s="2" t="s">
        <v>4946</v>
      </c>
      <c r="I1033" s="20">
        <v>213.67</v>
      </c>
      <c r="J1033" s="2" t="s">
        <v>4941</v>
      </c>
    </row>
    <row r="1034" spans="1:10" ht="15.35" x14ac:dyDescent="0.55000000000000004">
      <c r="A1034" s="20">
        <v>15541</v>
      </c>
      <c r="B1034" s="2" t="s">
        <v>169</v>
      </c>
      <c r="C1034" s="2" t="s">
        <v>170</v>
      </c>
      <c r="D1034" s="2" t="s">
        <v>171</v>
      </c>
      <c r="E1034" s="2" t="s">
        <v>4926</v>
      </c>
      <c r="F1034" s="2" t="s">
        <v>4948</v>
      </c>
      <c r="G1034" s="2" t="s">
        <v>4928</v>
      </c>
      <c r="H1034" s="2" t="s">
        <v>4953</v>
      </c>
      <c r="I1034" s="20">
        <v>2.95</v>
      </c>
      <c r="J1034" s="2" t="s">
        <v>4930</v>
      </c>
    </row>
    <row r="1035" spans="1:10" ht="15.35" x14ac:dyDescent="0.55000000000000004">
      <c r="A1035" s="20">
        <v>15542</v>
      </c>
      <c r="B1035" s="2" t="s">
        <v>169</v>
      </c>
      <c r="C1035" s="2" t="s">
        <v>170</v>
      </c>
      <c r="D1035" s="2" t="s">
        <v>171</v>
      </c>
      <c r="E1035" s="2" t="s">
        <v>4926</v>
      </c>
      <c r="F1035" s="2" t="s">
        <v>4948</v>
      </c>
      <c r="G1035" s="2" t="s">
        <v>4931</v>
      </c>
      <c r="H1035" s="2" t="s">
        <v>4952</v>
      </c>
      <c r="I1035" s="20">
        <v>99.25</v>
      </c>
      <c r="J1035" s="2" t="s">
        <v>4933</v>
      </c>
    </row>
    <row r="1036" spans="1:10" ht="15.35" x14ac:dyDescent="0.55000000000000004">
      <c r="A1036" s="20">
        <v>15606</v>
      </c>
      <c r="B1036" s="2" t="s">
        <v>169</v>
      </c>
      <c r="C1036" s="2" t="s">
        <v>170</v>
      </c>
      <c r="D1036" s="2" t="s">
        <v>171</v>
      </c>
      <c r="E1036" s="2" t="s">
        <v>4926</v>
      </c>
      <c r="F1036" s="2" t="s">
        <v>4948</v>
      </c>
      <c r="G1036" s="2" t="s">
        <v>4928</v>
      </c>
      <c r="H1036" s="2" t="s">
        <v>4936</v>
      </c>
      <c r="I1036" s="20">
        <v>86746.04</v>
      </c>
      <c r="J1036" s="2" t="s">
        <v>4935</v>
      </c>
    </row>
    <row r="1037" spans="1:10" ht="15.35" x14ac:dyDescent="0.55000000000000004">
      <c r="A1037" s="20">
        <v>15607</v>
      </c>
      <c r="B1037" s="2" t="s">
        <v>169</v>
      </c>
      <c r="C1037" s="2" t="s">
        <v>170</v>
      </c>
      <c r="D1037" s="2" t="s">
        <v>171</v>
      </c>
      <c r="E1037" s="2" t="s">
        <v>4926</v>
      </c>
      <c r="F1037" s="2" t="s">
        <v>4948</v>
      </c>
      <c r="G1037" s="2" t="s">
        <v>4928</v>
      </c>
      <c r="H1037" s="2" t="s">
        <v>4934</v>
      </c>
      <c r="I1037" s="20">
        <v>88051.47</v>
      </c>
      <c r="J1037" s="2" t="s">
        <v>4935</v>
      </c>
    </row>
    <row r="1038" spans="1:10" ht="15.35" x14ac:dyDescent="0.55000000000000004">
      <c r="A1038" s="20">
        <v>17443</v>
      </c>
      <c r="B1038" s="2" t="s">
        <v>169</v>
      </c>
      <c r="C1038" s="2" t="s">
        <v>170</v>
      </c>
      <c r="D1038" s="2" t="s">
        <v>171</v>
      </c>
      <c r="E1038" s="2" t="s">
        <v>4926</v>
      </c>
      <c r="F1038" s="2" t="s">
        <v>4949</v>
      </c>
      <c r="G1038" s="2" t="s">
        <v>4931</v>
      </c>
      <c r="H1038" s="2" t="s">
        <v>4937</v>
      </c>
      <c r="I1038" s="20">
        <v>98.04</v>
      </c>
      <c r="J1038" s="2" t="s">
        <v>4933</v>
      </c>
    </row>
    <row r="1039" spans="1:10" ht="15.35" x14ac:dyDescent="0.55000000000000004">
      <c r="A1039" s="20">
        <v>17444</v>
      </c>
      <c r="B1039" s="2" t="s">
        <v>169</v>
      </c>
      <c r="C1039" s="2" t="s">
        <v>170</v>
      </c>
      <c r="D1039" s="2" t="s">
        <v>171</v>
      </c>
      <c r="E1039" s="2" t="s">
        <v>4926</v>
      </c>
      <c r="F1039" s="2" t="s">
        <v>4949</v>
      </c>
      <c r="G1039" s="2" t="s">
        <v>4939</v>
      </c>
      <c r="H1039" s="2" t="s">
        <v>4946</v>
      </c>
      <c r="I1039" s="20">
        <v>218.58</v>
      </c>
      <c r="J1039" s="2" t="s">
        <v>4941</v>
      </c>
    </row>
    <row r="1040" spans="1:10" ht="15.35" x14ac:dyDescent="0.55000000000000004">
      <c r="A1040" s="20">
        <v>17445</v>
      </c>
      <c r="B1040" s="2" t="s">
        <v>169</v>
      </c>
      <c r="C1040" s="2" t="s">
        <v>170</v>
      </c>
      <c r="D1040" s="2" t="s">
        <v>171</v>
      </c>
      <c r="E1040" s="2" t="s">
        <v>4926</v>
      </c>
      <c r="F1040" s="2" t="s">
        <v>4949</v>
      </c>
      <c r="G1040" s="2" t="s">
        <v>4928</v>
      </c>
      <c r="H1040" s="2" t="s">
        <v>4953</v>
      </c>
      <c r="I1040" s="20">
        <v>2.84</v>
      </c>
      <c r="J1040" s="2" t="s">
        <v>4930</v>
      </c>
    </row>
    <row r="1041" spans="1:11" ht="15.35" x14ac:dyDescent="0.55000000000000004">
      <c r="A1041" s="20">
        <v>17446</v>
      </c>
      <c r="B1041" s="2" t="s">
        <v>169</v>
      </c>
      <c r="C1041" s="2" t="s">
        <v>170</v>
      </c>
      <c r="D1041" s="2" t="s">
        <v>171</v>
      </c>
      <c r="E1041" s="2" t="s">
        <v>4926</v>
      </c>
      <c r="F1041" s="2" t="s">
        <v>4949</v>
      </c>
      <c r="G1041" s="2" t="s">
        <v>4931</v>
      </c>
      <c r="H1041" s="2" t="s">
        <v>4952</v>
      </c>
      <c r="I1041" s="20">
        <v>97.27</v>
      </c>
      <c r="J1041" s="2" t="s">
        <v>4933</v>
      </c>
    </row>
    <row r="1042" spans="1:11" ht="15.35" x14ac:dyDescent="0.55000000000000004">
      <c r="A1042" s="20">
        <v>17458</v>
      </c>
      <c r="B1042" s="2" t="s">
        <v>169</v>
      </c>
      <c r="C1042" s="2" t="s">
        <v>170</v>
      </c>
      <c r="D1042" s="2" t="s">
        <v>171</v>
      </c>
      <c r="E1042" s="2" t="s">
        <v>4926</v>
      </c>
      <c r="F1042" s="2" t="s">
        <v>4949</v>
      </c>
      <c r="G1042" s="2" t="s">
        <v>4928</v>
      </c>
      <c r="H1042" s="2" t="s">
        <v>4936</v>
      </c>
      <c r="I1042" s="20">
        <v>85931.55</v>
      </c>
      <c r="J1042" s="2" t="s">
        <v>4935</v>
      </c>
    </row>
    <row r="1043" spans="1:11" ht="15.35" x14ac:dyDescent="0.55000000000000004">
      <c r="A1043" s="20">
        <v>17459</v>
      </c>
      <c r="B1043" s="2" t="s">
        <v>169</v>
      </c>
      <c r="C1043" s="2" t="s">
        <v>170</v>
      </c>
      <c r="D1043" s="2" t="s">
        <v>171</v>
      </c>
      <c r="E1043" s="2" t="s">
        <v>4926</v>
      </c>
      <c r="F1043" s="2" t="s">
        <v>4949</v>
      </c>
      <c r="G1043" s="2" t="s">
        <v>4928</v>
      </c>
      <c r="H1043" s="2" t="s">
        <v>4934</v>
      </c>
      <c r="I1043" s="20">
        <v>87649.87</v>
      </c>
      <c r="J1043" s="2" t="s">
        <v>4935</v>
      </c>
    </row>
    <row r="1044" spans="1:11" ht="15.35" x14ac:dyDescent="0.55000000000000004">
      <c r="A1044" s="20">
        <v>18479</v>
      </c>
      <c r="B1044" s="2" t="s">
        <v>169</v>
      </c>
      <c r="C1044" s="2" t="s">
        <v>170</v>
      </c>
      <c r="D1044" s="2" t="s">
        <v>171</v>
      </c>
      <c r="E1044" s="2" t="s">
        <v>4926</v>
      </c>
      <c r="F1044" s="2" t="s">
        <v>4950</v>
      </c>
      <c r="G1044" s="2" t="s">
        <v>4928</v>
      </c>
      <c r="H1044" s="2" t="s">
        <v>4934</v>
      </c>
      <c r="I1044" s="20">
        <v>87434.91</v>
      </c>
      <c r="J1044" s="2" t="s">
        <v>4935</v>
      </c>
    </row>
    <row r="1045" spans="1:11" ht="15.35" x14ac:dyDescent="0.55000000000000004">
      <c r="A1045" s="20">
        <v>18490</v>
      </c>
      <c r="B1045" s="2" t="s">
        <v>169</v>
      </c>
      <c r="C1045" s="2" t="s">
        <v>170</v>
      </c>
      <c r="D1045" s="2" t="s">
        <v>171</v>
      </c>
      <c r="E1045" s="2" t="s">
        <v>4926</v>
      </c>
      <c r="F1045" s="2" t="s">
        <v>4950</v>
      </c>
      <c r="G1045" s="2" t="s">
        <v>4931</v>
      </c>
      <c r="H1045" s="2" t="s">
        <v>4952</v>
      </c>
      <c r="I1045" s="20">
        <v>98.53</v>
      </c>
      <c r="J1045" s="2" t="s">
        <v>4933</v>
      </c>
    </row>
    <row r="1046" spans="1:11" ht="15.35" x14ac:dyDescent="0.55000000000000004">
      <c r="A1046" s="20">
        <v>18491</v>
      </c>
      <c r="B1046" s="2" t="s">
        <v>169</v>
      </c>
      <c r="C1046" s="2" t="s">
        <v>170</v>
      </c>
      <c r="D1046" s="2" t="s">
        <v>171</v>
      </c>
      <c r="E1046" s="2" t="s">
        <v>4926</v>
      </c>
      <c r="F1046" s="2" t="s">
        <v>4950</v>
      </c>
      <c r="G1046" s="2" t="s">
        <v>4928</v>
      </c>
      <c r="H1046" s="2" t="s">
        <v>4953</v>
      </c>
      <c r="I1046" s="20">
        <v>3.4</v>
      </c>
      <c r="J1046" s="2" t="s">
        <v>4930</v>
      </c>
    </row>
    <row r="1047" spans="1:11" ht="15.35" x14ac:dyDescent="0.55000000000000004">
      <c r="A1047" s="20">
        <v>18492</v>
      </c>
      <c r="B1047" s="2" t="s">
        <v>169</v>
      </c>
      <c r="C1047" s="2" t="s">
        <v>170</v>
      </c>
      <c r="D1047" s="2" t="s">
        <v>171</v>
      </c>
      <c r="E1047" s="2" t="s">
        <v>4926</v>
      </c>
      <c r="F1047" s="2" t="s">
        <v>4950</v>
      </c>
      <c r="G1047" s="2" t="s">
        <v>4939</v>
      </c>
      <c r="H1047" s="2" t="s">
        <v>4946</v>
      </c>
      <c r="I1047" s="20">
        <v>219.93</v>
      </c>
      <c r="J1047" s="2" t="s">
        <v>4941</v>
      </c>
    </row>
    <row r="1048" spans="1:11" ht="15.35" x14ac:dyDescent="0.55000000000000004">
      <c r="A1048" s="20">
        <v>18493</v>
      </c>
      <c r="B1048" s="2" t="s">
        <v>169</v>
      </c>
      <c r="C1048" s="2" t="s">
        <v>170</v>
      </c>
      <c r="D1048" s="2" t="s">
        <v>171</v>
      </c>
      <c r="E1048" s="2" t="s">
        <v>4926</v>
      </c>
      <c r="F1048" s="2" t="s">
        <v>4950</v>
      </c>
      <c r="G1048" s="2" t="s">
        <v>4931</v>
      </c>
      <c r="H1048" s="2" t="s">
        <v>4937</v>
      </c>
      <c r="I1048" s="20">
        <v>97.27</v>
      </c>
      <c r="J1048" s="2" t="s">
        <v>4933</v>
      </c>
    </row>
    <row r="1049" spans="1:11" ht="15.35" x14ac:dyDescent="0.55000000000000004">
      <c r="A1049" s="20">
        <v>18494</v>
      </c>
      <c r="B1049" s="2" t="s">
        <v>169</v>
      </c>
      <c r="C1049" s="2" t="s">
        <v>170</v>
      </c>
      <c r="D1049" s="2" t="s">
        <v>171</v>
      </c>
      <c r="E1049" s="2" t="s">
        <v>4926</v>
      </c>
      <c r="F1049" s="2" t="s">
        <v>4950</v>
      </c>
      <c r="G1049" s="2" t="s">
        <v>4928</v>
      </c>
      <c r="H1049" s="2" t="s">
        <v>4936</v>
      </c>
      <c r="I1049" s="20">
        <v>85048.75</v>
      </c>
      <c r="J1049" s="2" t="s">
        <v>4935</v>
      </c>
    </row>
    <row r="1050" spans="1:11" ht="15.35" x14ac:dyDescent="0.55000000000000004">
      <c r="A1050" s="20">
        <v>6122</v>
      </c>
      <c r="B1050" s="2" t="s">
        <v>169</v>
      </c>
      <c r="C1050" s="2" t="s">
        <v>170</v>
      </c>
      <c r="D1050" s="2" t="s">
        <v>171</v>
      </c>
      <c r="E1050" s="2" t="s">
        <v>407</v>
      </c>
      <c r="F1050" s="2" t="s">
        <v>4979</v>
      </c>
      <c r="G1050" s="2" t="s">
        <v>4928</v>
      </c>
      <c r="H1050" s="2" t="s">
        <v>5033</v>
      </c>
      <c r="I1050" s="20">
        <v>195</v>
      </c>
      <c r="K1050" s="2" t="s">
        <v>5034</v>
      </c>
    </row>
    <row r="1051" spans="1:11" ht="15.35" x14ac:dyDescent="0.55000000000000004">
      <c r="A1051" s="20">
        <v>6123</v>
      </c>
      <c r="B1051" s="2" t="s">
        <v>169</v>
      </c>
      <c r="C1051" s="2" t="s">
        <v>170</v>
      </c>
      <c r="D1051" s="2" t="s">
        <v>171</v>
      </c>
      <c r="E1051" s="2" t="s">
        <v>407</v>
      </c>
      <c r="F1051" s="2" t="s">
        <v>4979</v>
      </c>
      <c r="G1051" s="2" t="s">
        <v>4928</v>
      </c>
      <c r="H1051" s="2" t="s">
        <v>5033</v>
      </c>
      <c r="I1051" s="20">
        <v>2</v>
      </c>
      <c r="K1051" s="2" t="s">
        <v>5035</v>
      </c>
    </row>
    <row r="1052" spans="1:11" ht="15.35" x14ac:dyDescent="0.55000000000000004">
      <c r="A1052" s="20">
        <v>6140</v>
      </c>
      <c r="B1052" s="2" t="s">
        <v>169</v>
      </c>
      <c r="C1052" s="2" t="s">
        <v>170</v>
      </c>
      <c r="D1052" s="2" t="s">
        <v>171</v>
      </c>
      <c r="E1052" s="2" t="s">
        <v>407</v>
      </c>
      <c r="F1052" s="2" t="s">
        <v>4979</v>
      </c>
      <c r="G1052" s="2" t="s">
        <v>4975</v>
      </c>
      <c r="H1052" s="2" t="s">
        <v>5036</v>
      </c>
      <c r="I1052" s="20">
        <v>1211.27</v>
      </c>
      <c r="J1052" s="2" t="s">
        <v>4977</v>
      </c>
      <c r="K1052" s="2" t="s">
        <v>5021</v>
      </c>
    </row>
    <row r="1053" spans="1:11" ht="15.35" x14ac:dyDescent="0.55000000000000004">
      <c r="A1053" s="20">
        <v>6141</v>
      </c>
      <c r="B1053" s="2" t="s">
        <v>169</v>
      </c>
      <c r="C1053" s="2" t="s">
        <v>170</v>
      </c>
      <c r="D1053" s="2" t="s">
        <v>171</v>
      </c>
      <c r="E1053" s="2" t="s">
        <v>407</v>
      </c>
      <c r="F1053" s="2" t="s">
        <v>4979</v>
      </c>
      <c r="G1053" s="2" t="s">
        <v>4975</v>
      </c>
      <c r="H1053" s="2" t="s">
        <v>5036</v>
      </c>
      <c r="I1053" s="20">
        <v>3865.35</v>
      </c>
      <c r="J1053" s="2" t="s">
        <v>4977</v>
      </c>
      <c r="K1053" s="2" t="s">
        <v>5037</v>
      </c>
    </row>
    <row r="1054" spans="1:11" ht="15.35" x14ac:dyDescent="0.55000000000000004">
      <c r="A1054" s="20">
        <v>6162</v>
      </c>
      <c r="B1054" s="2" t="s">
        <v>169</v>
      </c>
      <c r="C1054" s="2" t="s">
        <v>170</v>
      </c>
      <c r="D1054" s="2" t="s">
        <v>171</v>
      </c>
      <c r="E1054" s="2" t="s">
        <v>407</v>
      </c>
      <c r="F1054" s="2" t="s">
        <v>4979</v>
      </c>
      <c r="G1054" s="2" t="s">
        <v>4939</v>
      </c>
      <c r="H1054" s="2" t="s">
        <v>5038</v>
      </c>
      <c r="I1054" s="20">
        <v>251</v>
      </c>
    </row>
    <row r="1055" spans="1:11" ht="15.35" x14ac:dyDescent="0.55000000000000004">
      <c r="A1055" s="20">
        <v>6184</v>
      </c>
      <c r="B1055" s="2" t="s">
        <v>169</v>
      </c>
      <c r="C1055" s="2" t="s">
        <v>170</v>
      </c>
      <c r="D1055" s="2" t="s">
        <v>171</v>
      </c>
      <c r="E1055" s="2" t="s">
        <v>407</v>
      </c>
      <c r="F1055" s="2" t="s">
        <v>4979</v>
      </c>
      <c r="G1055" s="2" t="s">
        <v>4939</v>
      </c>
      <c r="H1055" s="2" t="s">
        <v>5039</v>
      </c>
      <c r="I1055" s="20">
        <v>17</v>
      </c>
    </row>
    <row r="1056" spans="1:11" ht="15.35" x14ac:dyDescent="0.55000000000000004">
      <c r="A1056" s="20">
        <v>6195</v>
      </c>
      <c r="B1056" s="2" t="s">
        <v>169</v>
      </c>
      <c r="C1056" s="2" t="s">
        <v>170</v>
      </c>
      <c r="D1056" s="2" t="s">
        <v>171</v>
      </c>
      <c r="E1056" s="2" t="s">
        <v>407</v>
      </c>
      <c r="F1056" s="2" t="s">
        <v>4979</v>
      </c>
      <c r="G1056" s="2" t="s">
        <v>4975</v>
      </c>
      <c r="H1056" s="2" t="s">
        <v>5036</v>
      </c>
      <c r="I1056" s="20">
        <v>9716.3700000000008</v>
      </c>
      <c r="J1056" s="2" t="s">
        <v>4977</v>
      </c>
      <c r="K1056" s="2" t="s">
        <v>5040</v>
      </c>
    </row>
    <row r="1057" spans="1:11" ht="15.35" x14ac:dyDescent="0.55000000000000004">
      <c r="A1057" s="20">
        <v>6252</v>
      </c>
      <c r="B1057" s="2" t="s">
        <v>169</v>
      </c>
      <c r="C1057" s="2" t="s">
        <v>170</v>
      </c>
      <c r="D1057" s="2" t="s">
        <v>171</v>
      </c>
      <c r="E1057" s="2" t="s">
        <v>407</v>
      </c>
      <c r="F1057" s="2" t="s">
        <v>4979</v>
      </c>
      <c r="G1057" s="2" t="s">
        <v>4931</v>
      </c>
      <c r="H1057" s="2" t="s">
        <v>5041</v>
      </c>
      <c r="I1057" s="20">
        <v>92.9</v>
      </c>
      <c r="J1057" s="2" t="s">
        <v>4933</v>
      </c>
    </row>
    <row r="1058" spans="1:11" ht="15.35" x14ac:dyDescent="0.55000000000000004">
      <c r="A1058" s="20">
        <v>6253</v>
      </c>
      <c r="B1058" s="2" t="s">
        <v>169</v>
      </c>
      <c r="C1058" s="2" t="s">
        <v>170</v>
      </c>
      <c r="D1058" s="2" t="s">
        <v>171</v>
      </c>
      <c r="E1058" s="2" t="s">
        <v>407</v>
      </c>
      <c r="F1058" s="2" t="s">
        <v>4979</v>
      </c>
      <c r="G1058" s="2" t="s">
        <v>4931</v>
      </c>
      <c r="H1058" s="2" t="s">
        <v>5042</v>
      </c>
      <c r="I1058" s="20">
        <v>88.43</v>
      </c>
      <c r="J1058" s="2" t="s">
        <v>4933</v>
      </c>
    </row>
    <row r="1059" spans="1:11" ht="15.35" x14ac:dyDescent="0.55000000000000004">
      <c r="A1059" s="20">
        <v>6254</v>
      </c>
      <c r="B1059" s="2" t="s">
        <v>169</v>
      </c>
      <c r="C1059" s="2" t="s">
        <v>170</v>
      </c>
      <c r="D1059" s="2" t="s">
        <v>171</v>
      </c>
      <c r="E1059" s="2" t="s">
        <v>407</v>
      </c>
      <c r="F1059" s="2" t="s">
        <v>4979</v>
      </c>
      <c r="G1059" s="2" t="s">
        <v>4931</v>
      </c>
      <c r="H1059" s="2" t="s">
        <v>5043</v>
      </c>
      <c r="I1059" s="20">
        <v>97.9</v>
      </c>
      <c r="J1059" s="2" t="s">
        <v>4933</v>
      </c>
    </row>
    <row r="1060" spans="1:11" ht="15.35" x14ac:dyDescent="0.55000000000000004">
      <c r="A1060" s="20">
        <v>6255</v>
      </c>
      <c r="B1060" s="2" t="s">
        <v>169</v>
      </c>
      <c r="C1060" s="2" t="s">
        <v>170</v>
      </c>
      <c r="D1060" s="2" t="s">
        <v>171</v>
      </c>
      <c r="E1060" s="2" t="s">
        <v>407</v>
      </c>
      <c r="F1060" s="2" t="s">
        <v>4979</v>
      </c>
      <c r="G1060" s="2" t="s">
        <v>4939</v>
      </c>
      <c r="H1060" s="2" t="s">
        <v>5012</v>
      </c>
      <c r="I1060" s="20">
        <v>1159</v>
      </c>
      <c r="J1060" s="2" t="s">
        <v>5044</v>
      </c>
    </row>
    <row r="1061" spans="1:11" ht="15.35" x14ac:dyDescent="0.55000000000000004">
      <c r="A1061" s="20">
        <v>6256</v>
      </c>
      <c r="B1061" s="2" t="s">
        <v>169</v>
      </c>
      <c r="C1061" s="2" t="s">
        <v>170</v>
      </c>
      <c r="D1061" s="2" t="s">
        <v>171</v>
      </c>
      <c r="E1061" s="2" t="s">
        <v>407</v>
      </c>
      <c r="F1061" s="2" t="s">
        <v>4979</v>
      </c>
      <c r="G1061" s="2" t="s">
        <v>4939</v>
      </c>
      <c r="H1061" s="2" t="s">
        <v>5008</v>
      </c>
      <c r="I1061" s="20">
        <v>200</v>
      </c>
      <c r="J1061" s="2" t="s">
        <v>5044</v>
      </c>
    </row>
    <row r="1062" spans="1:11" ht="15.35" x14ac:dyDescent="0.55000000000000004">
      <c r="A1062" s="20">
        <v>6257</v>
      </c>
      <c r="B1062" s="2" t="s">
        <v>169</v>
      </c>
      <c r="C1062" s="2" t="s">
        <v>170</v>
      </c>
      <c r="D1062" s="2" t="s">
        <v>171</v>
      </c>
      <c r="E1062" s="2" t="s">
        <v>407</v>
      </c>
      <c r="F1062" s="2" t="s">
        <v>4979</v>
      </c>
      <c r="G1062" s="2" t="s">
        <v>4931</v>
      </c>
      <c r="H1062" s="2" t="s">
        <v>5013</v>
      </c>
      <c r="I1062" s="20">
        <v>24.2</v>
      </c>
      <c r="J1062" s="2" t="s">
        <v>4933</v>
      </c>
    </row>
    <row r="1063" spans="1:11" ht="15.35" x14ac:dyDescent="0.55000000000000004">
      <c r="A1063" s="20">
        <v>6258</v>
      </c>
      <c r="B1063" s="2" t="s">
        <v>169</v>
      </c>
      <c r="C1063" s="2" t="s">
        <v>170</v>
      </c>
      <c r="D1063" s="2" t="s">
        <v>171</v>
      </c>
      <c r="E1063" s="2" t="s">
        <v>407</v>
      </c>
      <c r="F1063" s="2" t="s">
        <v>4979</v>
      </c>
      <c r="G1063" s="2" t="s">
        <v>4928</v>
      </c>
      <c r="H1063" s="2" t="s">
        <v>5014</v>
      </c>
      <c r="I1063" s="20">
        <v>2.85</v>
      </c>
      <c r="J1063" s="2" t="s">
        <v>5045</v>
      </c>
    </row>
    <row r="1064" spans="1:11" ht="15.35" x14ac:dyDescent="0.55000000000000004">
      <c r="A1064" s="20">
        <v>6259</v>
      </c>
      <c r="B1064" s="2" t="s">
        <v>169</v>
      </c>
      <c r="C1064" s="2" t="s">
        <v>170</v>
      </c>
      <c r="D1064" s="2" t="s">
        <v>171</v>
      </c>
      <c r="E1064" s="2" t="s">
        <v>407</v>
      </c>
      <c r="F1064" s="2" t="s">
        <v>4979</v>
      </c>
      <c r="G1064" s="2" t="s">
        <v>4975</v>
      </c>
      <c r="H1064" s="2" t="s">
        <v>5046</v>
      </c>
      <c r="I1064" s="20">
        <v>61600</v>
      </c>
      <c r="J1064" s="2" t="s">
        <v>4977</v>
      </c>
    </row>
    <row r="1065" spans="1:11" ht="15.35" x14ac:dyDescent="0.55000000000000004">
      <c r="A1065" s="20">
        <v>6260</v>
      </c>
      <c r="B1065" s="2" t="s">
        <v>169</v>
      </c>
      <c r="C1065" s="2" t="s">
        <v>170</v>
      </c>
      <c r="D1065" s="2" t="s">
        <v>171</v>
      </c>
      <c r="E1065" s="2" t="s">
        <v>407</v>
      </c>
      <c r="F1065" s="2" t="s">
        <v>4979</v>
      </c>
      <c r="G1065" s="2" t="s">
        <v>4975</v>
      </c>
      <c r="H1065" s="2" t="s">
        <v>5036</v>
      </c>
      <c r="I1065" s="20">
        <v>15486.41</v>
      </c>
      <c r="J1065" s="2" t="s">
        <v>4977</v>
      </c>
    </row>
    <row r="1066" spans="1:11" ht="15.35" x14ac:dyDescent="0.55000000000000004">
      <c r="A1066" s="20">
        <v>6266</v>
      </c>
      <c r="B1066" s="2" t="s">
        <v>169</v>
      </c>
      <c r="C1066" s="2" t="s">
        <v>170</v>
      </c>
      <c r="D1066" s="2" t="s">
        <v>171</v>
      </c>
      <c r="E1066" s="2" t="s">
        <v>407</v>
      </c>
      <c r="F1066" s="2" t="s">
        <v>4979</v>
      </c>
      <c r="G1066" s="2" t="s">
        <v>4975</v>
      </c>
      <c r="H1066" s="2" t="s">
        <v>5036</v>
      </c>
      <c r="I1066" s="20">
        <v>421.25</v>
      </c>
      <c r="J1066" s="2" t="s">
        <v>4977</v>
      </c>
      <c r="K1066" s="2" t="s">
        <v>5047</v>
      </c>
    </row>
    <row r="1067" spans="1:11" ht="15.35" x14ac:dyDescent="0.55000000000000004">
      <c r="A1067" s="20">
        <v>6267</v>
      </c>
      <c r="B1067" s="2" t="s">
        <v>169</v>
      </c>
      <c r="C1067" s="2" t="s">
        <v>170</v>
      </c>
      <c r="D1067" s="2" t="s">
        <v>171</v>
      </c>
      <c r="E1067" s="2" t="s">
        <v>407</v>
      </c>
      <c r="F1067" s="2" t="s">
        <v>4979</v>
      </c>
      <c r="G1067" s="2" t="s">
        <v>4975</v>
      </c>
      <c r="H1067" s="2" t="s">
        <v>5036</v>
      </c>
      <c r="I1067" s="20">
        <v>272.17</v>
      </c>
      <c r="J1067" s="2" t="s">
        <v>4977</v>
      </c>
      <c r="K1067" s="2" t="s">
        <v>5048</v>
      </c>
    </row>
    <row r="1068" spans="1:11" ht="15.35" x14ac:dyDescent="0.55000000000000004">
      <c r="A1068" s="20">
        <v>6196</v>
      </c>
      <c r="B1068" s="2" t="s">
        <v>169</v>
      </c>
      <c r="C1068" s="2" t="s">
        <v>170</v>
      </c>
      <c r="D1068" s="2" t="s">
        <v>171</v>
      </c>
      <c r="E1068" s="2" t="s">
        <v>407</v>
      </c>
      <c r="F1068" s="2" t="s">
        <v>4980</v>
      </c>
      <c r="G1068" s="2" t="s">
        <v>4939</v>
      </c>
      <c r="H1068" s="2" t="s">
        <v>5038</v>
      </c>
      <c r="I1068" s="20">
        <v>236</v>
      </c>
    </row>
    <row r="1069" spans="1:11" ht="15.35" x14ac:dyDescent="0.55000000000000004">
      <c r="A1069" s="20">
        <v>6244</v>
      </c>
      <c r="B1069" s="2" t="s">
        <v>169</v>
      </c>
      <c r="C1069" s="2" t="s">
        <v>170</v>
      </c>
      <c r="D1069" s="2" t="s">
        <v>171</v>
      </c>
      <c r="E1069" s="2" t="s">
        <v>407</v>
      </c>
      <c r="F1069" s="2" t="s">
        <v>4980</v>
      </c>
      <c r="G1069" s="2" t="s">
        <v>4939</v>
      </c>
      <c r="H1069" s="2" t="s">
        <v>5039</v>
      </c>
      <c r="I1069" s="20">
        <v>21</v>
      </c>
    </row>
    <row r="1070" spans="1:11" ht="15.35" x14ac:dyDescent="0.55000000000000004">
      <c r="A1070" s="20">
        <v>6261</v>
      </c>
      <c r="B1070" s="2" t="s">
        <v>169</v>
      </c>
      <c r="C1070" s="2" t="s">
        <v>170</v>
      </c>
      <c r="D1070" s="2" t="s">
        <v>171</v>
      </c>
      <c r="E1070" s="2" t="s">
        <v>407</v>
      </c>
      <c r="F1070" s="2" t="s">
        <v>4980</v>
      </c>
      <c r="G1070" s="2" t="s">
        <v>4931</v>
      </c>
      <c r="H1070" s="2" t="s">
        <v>5041</v>
      </c>
      <c r="I1070" s="20">
        <v>93.1</v>
      </c>
      <c r="J1070" s="2" t="s">
        <v>4933</v>
      </c>
    </row>
    <row r="1071" spans="1:11" ht="15.35" x14ac:dyDescent="0.55000000000000004">
      <c r="A1071" s="20">
        <v>6262</v>
      </c>
      <c r="B1071" s="2" t="s">
        <v>169</v>
      </c>
      <c r="C1071" s="2" t="s">
        <v>170</v>
      </c>
      <c r="D1071" s="2" t="s">
        <v>171</v>
      </c>
      <c r="E1071" s="2" t="s">
        <v>407</v>
      </c>
      <c r="F1071" s="2" t="s">
        <v>4980</v>
      </c>
      <c r="G1071" s="2" t="s">
        <v>4931</v>
      </c>
      <c r="H1071" s="2" t="s">
        <v>5042</v>
      </c>
      <c r="I1071" s="20">
        <v>94.53</v>
      </c>
      <c r="J1071" s="2" t="s">
        <v>4933</v>
      </c>
    </row>
    <row r="1072" spans="1:11" ht="15.35" x14ac:dyDescent="0.55000000000000004">
      <c r="A1072" s="20">
        <v>6263</v>
      </c>
      <c r="B1072" s="2" t="s">
        <v>169</v>
      </c>
      <c r="C1072" s="2" t="s">
        <v>170</v>
      </c>
      <c r="D1072" s="2" t="s">
        <v>171</v>
      </c>
      <c r="E1072" s="2" t="s">
        <v>407</v>
      </c>
      <c r="F1072" s="2" t="s">
        <v>4980</v>
      </c>
      <c r="G1072" s="2" t="s">
        <v>4931</v>
      </c>
      <c r="H1072" s="2" t="s">
        <v>5043</v>
      </c>
      <c r="I1072" s="20">
        <v>99.29</v>
      </c>
      <c r="J1072" s="2" t="s">
        <v>4933</v>
      </c>
    </row>
    <row r="1073" spans="1:11" ht="15.35" x14ac:dyDescent="0.55000000000000004">
      <c r="A1073" s="20">
        <v>6264</v>
      </c>
      <c r="B1073" s="2" t="s">
        <v>169</v>
      </c>
      <c r="C1073" s="2" t="s">
        <v>170</v>
      </c>
      <c r="D1073" s="2" t="s">
        <v>171</v>
      </c>
      <c r="E1073" s="2" t="s">
        <v>407</v>
      </c>
      <c r="F1073" s="2" t="s">
        <v>4980</v>
      </c>
      <c r="G1073" s="2" t="s">
        <v>4939</v>
      </c>
      <c r="H1073" s="2" t="s">
        <v>5012</v>
      </c>
      <c r="I1073" s="20">
        <v>1434</v>
      </c>
      <c r="J1073" s="2" t="s">
        <v>5044</v>
      </c>
    </row>
    <row r="1074" spans="1:11" ht="15.35" x14ac:dyDescent="0.55000000000000004">
      <c r="A1074" s="20">
        <v>6265</v>
      </c>
      <c r="B1074" s="2" t="s">
        <v>169</v>
      </c>
      <c r="C1074" s="2" t="s">
        <v>170</v>
      </c>
      <c r="D1074" s="2" t="s">
        <v>171</v>
      </c>
      <c r="E1074" s="2" t="s">
        <v>407</v>
      </c>
      <c r="F1074" s="2" t="s">
        <v>4980</v>
      </c>
      <c r="G1074" s="2" t="s">
        <v>4939</v>
      </c>
      <c r="H1074" s="2" t="s">
        <v>5008</v>
      </c>
      <c r="I1074" s="20">
        <v>193</v>
      </c>
      <c r="J1074" s="2" t="s">
        <v>5044</v>
      </c>
    </row>
    <row r="1075" spans="1:11" ht="15.35" x14ac:dyDescent="0.55000000000000004">
      <c r="A1075" s="20">
        <v>6268</v>
      </c>
      <c r="B1075" s="2" t="s">
        <v>169</v>
      </c>
      <c r="C1075" s="2" t="s">
        <v>170</v>
      </c>
      <c r="D1075" s="2" t="s">
        <v>171</v>
      </c>
      <c r="E1075" s="2" t="s">
        <v>407</v>
      </c>
      <c r="F1075" s="2" t="s">
        <v>4980</v>
      </c>
      <c r="G1075" s="2" t="s">
        <v>4975</v>
      </c>
      <c r="H1075" s="2" t="s">
        <v>5036</v>
      </c>
      <c r="I1075" s="20">
        <v>10246.879999999999</v>
      </c>
      <c r="J1075" s="2" t="s">
        <v>4977</v>
      </c>
      <c r="K1075" s="2" t="s">
        <v>5040</v>
      </c>
    </row>
    <row r="1076" spans="1:11" ht="15.35" x14ac:dyDescent="0.55000000000000004">
      <c r="A1076" s="20">
        <v>6270</v>
      </c>
      <c r="B1076" s="2" t="s">
        <v>169</v>
      </c>
      <c r="C1076" s="2" t="s">
        <v>170</v>
      </c>
      <c r="D1076" s="2" t="s">
        <v>171</v>
      </c>
      <c r="E1076" s="2" t="s">
        <v>407</v>
      </c>
      <c r="F1076" s="2" t="s">
        <v>4980</v>
      </c>
      <c r="G1076" s="2" t="s">
        <v>4975</v>
      </c>
      <c r="H1076" s="2" t="s">
        <v>5036</v>
      </c>
      <c r="I1076" s="20">
        <v>521.5</v>
      </c>
      <c r="J1076" s="2" t="s">
        <v>4977</v>
      </c>
      <c r="K1076" s="2" t="s">
        <v>5047</v>
      </c>
    </row>
    <row r="1077" spans="1:11" ht="15.35" x14ac:dyDescent="0.55000000000000004">
      <c r="A1077" s="20">
        <v>6271</v>
      </c>
      <c r="B1077" s="2" t="s">
        <v>169</v>
      </c>
      <c r="C1077" s="2" t="s">
        <v>170</v>
      </c>
      <c r="D1077" s="2" t="s">
        <v>171</v>
      </c>
      <c r="E1077" s="2" t="s">
        <v>407</v>
      </c>
      <c r="F1077" s="2" t="s">
        <v>4980</v>
      </c>
      <c r="G1077" s="2" t="s">
        <v>4975</v>
      </c>
      <c r="H1077" s="2" t="s">
        <v>5036</v>
      </c>
      <c r="I1077" s="20">
        <v>266.76</v>
      </c>
      <c r="J1077" s="2" t="s">
        <v>4977</v>
      </c>
      <c r="K1077" s="2" t="s">
        <v>5048</v>
      </c>
    </row>
    <row r="1078" spans="1:11" ht="15.35" x14ac:dyDescent="0.55000000000000004">
      <c r="A1078" s="20">
        <v>6292</v>
      </c>
      <c r="B1078" s="2" t="s">
        <v>169</v>
      </c>
      <c r="C1078" s="2" t="s">
        <v>170</v>
      </c>
      <c r="D1078" s="2" t="s">
        <v>171</v>
      </c>
      <c r="E1078" s="2" t="s">
        <v>407</v>
      </c>
      <c r="F1078" s="2" t="s">
        <v>4980</v>
      </c>
      <c r="G1078" s="2" t="s">
        <v>4975</v>
      </c>
      <c r="H1078" s="2" t="s">
        <v>5036</v>
      </c>
      <c r="I1078" s="20">
        <v>1345.48</v>
      </c>
      <c r="J1078" s="2" t="s">
        <v>4977</v>
      </c>
      <c r="K1078" s="2" t="s">
        <v>5021</v>
      </c>
    </row>
    <row r="1079" spans="1:11" ht="15.35" x14ac:dyDescent="0.55000000000000004">
      <c r="A1079" s="20">
        <v>6293</v>
      </c>
      <c r="B1079" s="2" t="s">
        <v>169</v>
      </c>
      <c r="C1079" s="2" t="s">
        <v>170</v>
      </c>
      <c r="D1079" s="2" t="s">
        <v>171</v>
      </c>
      <c r="E1079" s="2" t="s">
        <v>407</v>
      </c>
      <c r="F1079" s="2" t="s">
        <v>4980</v>
      </c>
      <c r="G1079" s="2" t="s">
        <v>4975</v>
      </c>
      <c r="H1079" s="2" t="s">
        <v>5036</v>
      </c>
      <c r="I1079" s="20">
        <v>3893.97</v>
      </c>
      <c r="J1079" s="2" t="s">
        <v>4977</v>
      </c>
      <c r="K1079" s="2" t="s">
        <v>5037</v>
      </c>
    </row>
    <row r="1080" spans="1:11" ht="15.35" x14ac:dyDescent="0.55000000000000004">
      <c r="A1080" s="20">
        <v>6121</v>
      </c>
      <c r="B1080" s="2" t="s">
        <v>169</v>
      </c>
      <c r="C1080" s="2" t="s">
        <v>170</v>
      </c>
      <c r="D1080" s="2" t="s">
        <v>171</v>
      </c>
      <c r="E1080" s="2" t="s">
        <v>407</v>
      </c>
      <c r="F1080" s="2" t="s">
        <v>4980</v>
      </c>
      <c r="G1080" s="2" t="s">
        <v>4928</v>
      </c>
      <c r="H1080" s="2" t="s">
        <v>5014</v>
      </c>
      <c r="I1080" s="20">
        <v>4.07</v>
      </c>
      <c r="J1080" s="2" t="s">
        <v>5045</v>
      </c>
    </row>
    <row r="1081" spans="1:11" ht="15.35" x14ac:dyDescent="0.55000000000000004">
      <c r="A1081" s="20">
        <v>6124</v>
      </c>
      <c r="B1081" s="2" t="s">
        <v>169</v>
      </c>
      <c r="C1081" s="2" t="s">
        <v>170</v>
      </c>
      <c r="D1081" s="2" t="s">
        <v>171</v>
      </c>
      <c r="E1081" s="2" t="s">
        <v>407</v>
      </c>
      <c r="F1081" s="2" t="s">
        <v>4980</v>
      </c>
      <c r="G1081" s="2" t="s">
        <v>4928</v>
      </c>
      <c r="H1081" s="2" t="s">
        <v>5033</v>
      </c>
      <c r="I1081" s="20">
        <v>218</v>
      </c>
      <c r="K1081" s="2" t="s">
        <v>5034</v>
      </c>
    </row>
    <row r="1082" spans="1:11" ht="15.35" x14ac:dyDescent="0.55000000000000004">
      <c r="A1082" s="20">
        <v>6125</v>
      </c>
      <c r="B1082" s="2" t="s">
        <v>169</v>
      </c>
      <c r="C1082" s="2" t="s">
        <v>170</v>
      </c>
      <c r="D1082" s="2" t="s">
        <v>171</v>
      </c>
      <c r="E1082" s="2" t="s">
        <v>407</v>
      </c>
      <c r="F1082" s="2" t="s">
        <v>4980</v>
      </c>
      <c r="G1082" s="2" t="s">
        <v>4928</v>
      </c>
      <c r="H1082" s="2" t="s">
        <v>5033</v>
      </c>
      <c r="I1082" s="20">
        <v>2</v>
      </c>
      <c r="K1082" s="2" t="s">
        <v>5035</v>
      </c>
    </row>
    <row r="1083" spans="1:11" ht="15.35" x14ac:dyDescent="0.55000000000000004">
      <c r="A1083" s="20">
        <v>6142</v>
      </c>
      <c r="B1083" s="2" t="s">
        <v>169</v>
      </c>
      <c r="C1083" s="2" t="s">
        <v>170</v>
      </c>
      <c r="D1083" s="2" t="s">
        <v>171</v>
      </c>
      <c r="E1083" s="2" t="s">
        <v>407</v>
      </c>
      <c r="F1083" s="2" t="s">
        <v>4980</v>
      </c>
      <c r="G1083" s="2" t="s">
        <v>4931</v>
      </c>
      <c r="H1083" s="2" t="s">
        <v>5013</v>
      </c>
      <c r="I1083" s="20">
        <v>18.899999999999999</v>
      </c>
      <c r="J1083" s="2" t="s">
        <v>4933</v>
      </c>
    </row>
    <row r="1084" spans="1:11" ht="15.35" x14ac:dyDescent="0.55000000000000004">
      <c r="A1084" s="20">
        <v>6143</v>
      </c>
      <c r="B1084" s="2" t="s">
        <v>169</v>
      </c>
      <c r="C1084" s="2" t="s">
        <v>170</v>
      </c>
      <c r="D1084" s="2" t="s">
        <v>171</v>
      </c>
      <c r="E1084" s="2" t="s">
        <v>407</v>
      </c>
      <c r="F1084" s="2" t="s">
        <v>4980</v>
      </c>
      <c r="G1084" s="2" t="s">
        <v>4975</v>
      </c>
      <c r="H1084" s="2" t="s">
        <v>5046</v>
      </c>
      <c r="I1084" s="20">
        <v>74900</v>
      </c>
      <c r="J1084" s="2" t="s">
        <v>4977</v>
      </c>
    </row>
    <row r="1085" spans="1:11" ht="15.35" x14ac:dyDescent="0.55000000000000004">
      <c r="A1085" s="20">
        <v>6173</v>
      </c>
      <c r="B1085" s="2" t="s">
        <v>169</v>
      </c>
      <c r="C1085" s="2" t="s">
        <v>170</v>
      </c>
      <c r="D1085" s="2" t="s">
        <v>171</v>
      </c>
      <c r="E1085" s="2" t="s">
        <v>407</v>
      </c>
      <c r="F1085" s="2" t="s">
        <v>4980</v>
      </c>
      <c r="G1085" s="2" t="s">
        <v>4975</v>
      </c>
      <c r="H1085" s="2" t="s">
        <v>5036</v>
      </c>
      <c r="I1085" s="20">
        <v>16274.6</v>
      </c>
      <c r="J1085" s="2" t="s">
        <v>4977</v>
      </c>
    </row>
    <row r="1086" spans="1:11" ht="15.35" x14ac:dyDescent="0.55000000000000004">
      <c r="A1086" s="20">
        <v>6126</v>
      </c>
      <c r="B1086" s="2" t="s">
        <v>169</v>
      </c>
      <c r="C1086" s="2" t="s">
        <v>170</v>
      </c>
      <c r="D1086" s="2" t="s">
        <v>171</v>
      </c>
      <c r="E1086" s="2" t="s">
        <v>407</v>
      </c>
      <c r="F1086" s="2" t="s">
        <v>5016</v>
      </c>
      <c r="G1086" s="2" t="s">
        <v>4928</v>
      </c>
      <c r="H1086" s="2" t="s">
        <v>5033</v>
      </c>
      <c r="I1086" s="20">
        <v>227</v>
      </c>
      <c r="K1086" s="2" t="s">
        <v>5034</v>
      </c>
    </row>
    <row r="1087" spans="1:11" ht="15.35" x14ac:dyDescent="0.55000000000000004">
      <c r="A1087" s="20">
        <v>6127</v>
      </c>
      <c r="B1087" s="2" t="s">
        <v>169</v>
      </c>
      <c r="C1087" s="2" t="s">
        <v>170</v>
      </c>
      <c r="D1087" s="2" t="s">
        <v>171</v>
      </c>
      <c r="E1087" s="2" t="s">
        <v>407</v>
      </c>
      <c r="F1087" s="2" t="s">
        <v>5016</v>
      </c>
      <c r="G1087" s="2" t="s">
        <v>4928</v>
      </c>
      <c r="H1087" s="2" t="s">
        <v>5033</v>
      </c>
      <c r="I1087" s="20">
        <v>2</v>
      </c>
      <c r="K1087" s="2" t="s">
        <v>5035</v>
      </c>
    </row>
    <row r="1088" spans="1:11" ht="15.35" x14ac:dyDescent="0.55000000000000004">
      <c r="A1088" s="20">
        <v>6145</v>
      </c>
      <c r="B1088" s="2" t="s">
        <v>169</v>
      </c>
      <c r="C1088" s="2" t="s">
        <v>170</v>
      </c>
      <c r="D1088" s="2" t="s">
        <v>171</v>
      </c>
      <c r="E1088" s="2" t="s">
        <v>407</v>
      </c>
      <c r="F1088" s="2" t="s">
        <v>5016</v>
      </c>
      <c r="G1088" s="2" t="s">
        <v>4931</v>
      </c>
      <c r="H1088" s="2" t="s">
        <v>5041</v>
      </c>
      <c r="I1088" s="20">
        <v>95.5</v>
      </c>
      <c r="J1088" s="2" t="s">
        <v>4933</v>
      </c>
    </row>
    <row r="1089" spans="1:11" ht="15.35" x14ac:dyDescent="0.55000000000000004">
      <c r="A1089" s="20">
        <v>6174</v>
      </c>
      <c r="B1089" s="2" t="s">
        <v>169</v>
      </c>
      <c r="C1089" s="2" t="s">
        <v>170</v>
      </c>
      <c r="D1089" s="2" t="s">
        <v>171</v>
      </c>
      <c r="E1089" s="2" t="s">
        <v>407</v>
      </c>
      <c r="F1089" s="2" t="s">
        <v>5016</v>
      </c>
      <c r="G1089" s="2" t="s">
        <v>4939</v>
      </c>
      <c r="H1089" s="2" t="s">
        <v>5039</v>
      </c>
      <c r="I1089" s="20">
        <v>34</v>
      </c>
    </row>
    <row r="1090" spans="1:11" ht="15.35" x14ac:dyDescent="0.55000000000000004">
      <c r="A1090" s="20">
        <v>6175</v>
      </c>
      <c r="B1090" s="2" t="s">
        <v>169</v>
      </c>
      <c r="C1090" s="2" t="s">
        <v>170</v>
      </c>
      <c r="D1090" s="2" t="s">
        <v>171</v>
      </c>
      <c r="E1090" s="2" t="s">
        <v>407</v>
      </c>
      <c r="F1090" s="2" t="s">
        <v>5016</v>
      </c>
      <c r="G1090" s="2" t="s">
        <v>4931</v>
      </c>
      <c r="H1090" s="2" t="s">
        <v>5042</v>
      </c>
      <c r="I1090" s="20">
        <v>95.51</v>
      </c>
      <c r="J1090" s="2" t="s">
        <v>4933</v>
      </c>
    </row>
    <row r="1091" spans="1:11" ht="15.35" x14ac:dyDescent="0.55000000000000004">
      <c r="A1091" s="20">
        <v>6176</v>
      </c>
      <c r="B1091" s="2" t="s">
        <v>169</v>
      </c>
      <c r="C1091" s="2" t="s">
        <v>170</v>
      </c>
      <c r="D1091" s="2" t="s">
        <v>171</v>
      </c>
      <c r="E1091" s="2" t="s">
        <v>407</v>
      </c>
      <c r="F1091" s="2" t="s">
        <v>5016</v>
      </c>
      <c r="G1091" s="2" t="s">
        <v>4931</v>
      </c>
      <c r="H1091" s="2" t="s">
        <v>5043</v>
      </c>
      <c r="I1091" s="20">
        <v>99.87</v>
      </c>
      <c r="J1091" s="2" t="s">
        <v>4933</v>
      </c>
    </row>
    <row r="1092" spans="1:11" ht="15.35" x14ac:dyDescent="0.55000000000000004">
      <c r="A1092" s="20">
        <v>6177</v>
      </c>
      <c r="B1092" s="2" t="s">
        <v>169</v>
      </c>
      <c r="C1092" s="2" t="s">
        <v>170</v>
      </c>
      <c r="D1092" s="2" t="s">
        <v>171</v>
      </c>
      <c r="E1092" s="2" t="s">
        <v>407</v>
      </c>
      <c r="F1092" s="2" t="s">
        <v>5016</v>
      </c>
      <c r="G1092" s="2" t="s">
        <v>4939</v>
      </c>
      <c r="H1092" s="2" t="s">
        <v>5012</v>
      </c>
      <c r="I1092" s="20">
        <v>1375</v>
      </c>
      <c r="J1092" s="2" t="s">
        <v>5044</v>
      </c>
    </row>
    <row r="1093" spans="1:11" ht="15.35" x14ac:dyDescent="0.55000000000000004">
      <c r="A1093" s="20">
        <v>6178</v>
      </c>
      <c r="B1093" s="2" t="s">
        <v>169</v>
      </c>
      <c r="C1093" s="2" t="s">
        <v>170</v>
      </c>
      <c r="D1093" s="2" t="s">
        <v>171</v>
      </c>
      <c r="E1093" s="2" t="s">
        <v>407</v>
      </c>
      <c r="F1093" s="2" t="s">
        <v>5016</v>
      </c>
      <c r="G1093" s="2" t="s">
        <v>4939</v>
      </c>
      <c r="H1093" s="2" t="s">
        <v>5008</v>
      </c>
      <c r="I1093" s="20">
        <v>185</v>
      </c>
      <c r="J1093" s="2" t="s">
        <v>5044</v>
      </c>
    </row>
    <row r="1094" spans="1:11" ht="15.35" x14ac:dyDescent="0.55000000000000004">
      <c r="A1094" s="20">
        <v>6179</v>
      </c>
      <c r="B1094" s="2" t="s">
        <v>169</v>
      </c>
      <c r="C1094" s="2" t="s">
        <v>170</v>
      </c>
      <c r="D1094" s="2" t="s">
        <v>171</v>
      </c>
      <c r="E1094" s="2" t="s">
        <v>407</v>
      </c>
      <c r="F1094" s="2" t="s">
        <v>5016</v>
      </c>
      <c r="G1094" s="2" t="s">
        <v>4931</v>
      </c>
      <c r="H1094" s="2" t="s">
        <v>5013</v>
      </c>
      <c r="I1094" s="20">
        <v>19.3</v>
      </c>
      <c r="J1094" s="2" t="s">
        <v>4933</v>
      </c>
    </row>
    <row r="1095" spans="1:11" ht="15.35" x14ac:dyDescent="0.55000000000000004">
      <c r="A1095" s="20">
        <v>6180</v>
      </c>
      <c r="B1095" s="2" t="s">
        <v>169</v>
      </c>
      <c r="C1095" s="2" t="s">
        <v>170</v>
      </c>
      <c r="D1095" s="2" t="s">
        <v>171</v>
      </c>
      <c r="E1095" s="2" t="s">
        <v>407</v>
      </c>
      <c r="F1095" s="2" t="s">
        <v>5016</v>
      </c>
      <c r="G1095" s="2" t="s">
        <v>4928</v>
      </c>
      <c r="H1095" s="2" t="s">
        <v>5014</v>
      </c>
      <c r="I1095" s="20">
        <v>4.4400000000000004</v>
      </c>
      <c r="J1095" s="2" t="s">
        <v>5045</v>
      </c>
    </row>
    <row r="1096" spans="1:11" ht="15.35" x14ac:dyDescent="0.55000000000000004">
      <c r="A1096" s="20">
        <v>6181</v>
      </c>
      <c r="B1096" s="2" t="s">
        <v>169</v>
      </c>
      <c r="C1096" s="2" t="s">
        <v>170</v>
      </c>
      <c r="D1096" s="2" t="s">
        <v>171</v>
      </c>
      <c r="E1096" s="2" t="s">
        <v>407</v>
      </c>
      <c r="F1096" s="2" t="s">
        <v>5016</v>
      </c>
      <c r="G1096" s="2" t="s">
        <v>4975</v>
      </c>
      <c r="H1096" s="2" t="s">
        <v>5046</v>
      </c>
      <c r="I1096" s="20">
        <v>74300</v>
      </c>
      <c r="J1096" s="2" t="s">
        <v>4977</v>
      </c>
    </row>
    <row r="1097" spans="1:11" ht="15.35" x14ac:dyDescent="0.55000000000000004">
      <c r="A1097" s="20">
        <v>6182</v>
      </c>
      <c r="B1097" s="2" t="s">
        <v>169</v>
      </c>
      <c r="C1097" s="2" t="s">
        <v>170</v>
      </c>
      <c r="D1097" s="2" t="s">
        <v>171</v>
      </c>
      <c r="E1097" s="2" t="s">
        <v>407</v>
      </c>
      <c r="F1097" s="2" t="s">
        <v>5016</v>
      </c>
      <c r="G1097" s="2" t="s">
        <v>4975</v>
      </c>
      <c r="H1097" s="2" t="s">
        <v>5036</v>
      </c>
      <c r="I1097" s="20">
        <v>16470.689999999999</v>
      </c>
      <c r="J1097" s="2" t="s">
        <v>4977</v>
      </c>
    </row>
    <row r="1098" spans="1:11" ht="15.35" x14ac:dyDescent="0.55000000000000004">
      <c r="A1098" s="20">
        <v>6194</v>
      </c>
      <c r="B1098" s="2" t="s">
        <v>169</v>
      </c>
      <c r="C1098" s="2" t="s">
        <v>170</v>
      </c>
      <c r="D1098" s="2" t="s">
        <v>171</v>
      </c>
      <c r="E1098" s="2" t="s">
        <v>407</v>
      </c>
      <c r="F1098" s="2" t="s">
        <v>5016</v>
      </c>
      <c r="G1098" s="2" t="s">
        <v>4939</v>
      </c>
      <c r="H1098" s="2" t="s">
        <v>5038</v>
      </c>
      <c r="I1098" s="20">
        <v>229</v>
      </c>
    </row>
    <row r="1099" spans="1:11" ht="15.35" x14ac:dyDescent="0.55000000000000004">
      <c r="A1099" s="20">
        <v>6247</v>
      </c>
      <c r="B1099" s="2" t="s">
        <v>169</v>
      </c>
      <c r="C1099" s="2" t="s">
        <v>170</v>
      </c>
      <c r="D1099" s="2" t="s">
        <v>171</v>
      </c>
      <c r="E1099" s="2" t="s">
        <v>407</v>
      </c>
      <c r="F1099" s="2" t="s">
        <v>5016</v>
      </c>
      <c r="G1099" s="2" t="s">
        <v>4975</v>
      </c>
      <c r="H1099" s="2" t="s">
        <v>5036</v>
      </c>
      <c r="I1099" s="20">
        <v>1485.31</v>
      </c>
      <c r="J1099" s="2" t="s">
        <v>4977</v>
      </c>
      <c r="K1099" s="2" t="s">
        <v>5021</v>
      </c>
    </row>
    <row r="1100" spans="1:11" ht="15.35" x14ac:dyDescent="0.55000000000000004">
      <c r="A1100" s="20">
        <v>6248</v>
      </c>
      <c r="B1100" s="2" t="s">
        <v>169</v>
      </c>
      <c r="C1100" s="2" t="s">
        <v>170</v>
      </c>
      <c r="D1100" s="2" t="s">
        <v>171</v>
      </c>
      <c r="E1100" s="2" t="s">
        <v>407</v>
      </c>
      <c r="F1100" s="2" t="s">
        <v>5016</v>
      </c>
      <c r="G1100" s="2" t="s">
        <v>4975</v>
      </c>
      <c r="H1100" s="2" t="s">
        <v>5036</v>
      </c>
      <c r="I1100" s="20">
        <v>314.06</v>
      </c>
      <c r="J1100" s="2" t="s">
        <v>4977</v>
      </c>
      <c r="K1100" s="2" t="s">
        <v>5048</v>
      </c>
    </row>
    <row r="1101" spans="1:11" ht="15.35" x14ac:dyDescent="0.55000000000000004">
      <c r="A1101" s="20">
        <v>6249</v>
      </c>
      <c r="B1101" s="2" t="s">
        <v>169</v>
      </c>
      <c r="C1101" s="2" t="s">
        <v>170</v>
      </c>
      <c r="D1101" s="2" t="s">
        <v>171</v>
      </c>
      <c r="E1101" s="2" t="s">
        <v>407</v>
      </c>
      <c r="F1101" s="2" t="s">
        <v>5016</v>
      </c>
      <c r="G1101" s="2" t="s">
        <v>4975</v>
      </c>
      <c r="H1101" s="2" t="s">
        <v>5036</v>
      </c>
      <c r="I1101" s="20">
        <v>4096.75</v>
      </c>
      <c r="J1101" s="2" t="s">
        <v>4977</v>
      </c>
      <c r="K1101" s="2" t="s">
        <v>5037</v>
      </c>
    </row>
    <row r="1102" spans="1:11" ht="15.35" x14ac:dyDescent="0.55000000000000004">
      <c r="A1102" s="20">
        <v>6250</v>
      </c>
      <c r="B1102" s="2" t="s">
        <v>169</v>
      </c>
      <c r="C1102" s="2" t="s">
        <v>170</v>
      </c>
      <c r="D1102" s="2" t="s">
        <v>171</v>
      </c>
      <c r="E1102" s="2" t="s">
        <v>407</v>
      </c>
      <c r="F1102" s="2" t="s">
        <v>5016</v>
      </c>
      <c r="G1102" s="2" t="s">
        <v>4975</v>
      </c>
      <c r="H1102" s="2" t="s">
        <v>5036</v>
      </c>
      <c r="I1102" s="20">
        <v>500.02</v>
      </c>
      <c r="J1102" s="2" t="s">
        <v>4977</v>
      </c>
      <c r="K1102" s="2" t="s">
        <v>5047</v>
      </c>
    </row>
    <row r="1103" spans="1:11" ht="15.35" x14ac:dyDescent="0.55000000000000004">
      <c r="A1103" s="20">
        <v>6251</v>
      </c>
      <c r="B1103" s="2" t="s">
        <v>169</v>
      </c>
      <c r="C1103" s="2" t="s">
        <v>170</v>
      </c>
      <c r="D1103" s="2" t="s">
        <v>171</v>
      </c>
      <c r="E1103" s="2" t="s">
        <v>407</v>
      </c>
      <c r="F1103" s="2" t="s">
        <v>5016</v>
      </c>
      <c r="G1103" s="2" t="s">
        <v>4975</v>
      </c>
      <c r="H1103" s="2" t="s">
        <v>5036</v>
      </c>
      <c r="I1103" s="20">
        <v>10074.540000000001</v>
      </c>
      <c r="J1103" s="2" t="s">
        <v>4977</v>
      </c>
      <c r="K1103" s="2" t="s">
        <v>5040</v>
      </c>
    </row>
    <row r="1104" spans="1:11" ht="15.35" x14ac:dyDescent="0.55000000000000004">
      <c r="A1104" s="20">
        <v>15575</v>
      </c>
      <c r="B1104" s="2" t="s">
        <v>169</v>
      </c>
      <c r="C1104" s="2" t="s">
        <v>170</v>
      </c>
      <c r="D1104" s="2" t="s">
        <v>171</v>
      </c>
      <c r="E1104" s="2" t="s">
        <v>407</v>
      </c>
      <c r="F1104" s="2" t="s">
        <v>4948</v>
      </c>
      <c r="G1104" s="2" t="s">
        <v>4928</v>
      </c>
      <c r="H1104" s="2" t="s">
        <v>4934</v>
      </c>
      <c r="I1104" s="20">
        <v>44835.21</v>
      </c>
      <c r="J1104" s="2" t="s">
        <v>4935</v>
      </c>
    </row>
    <row r="1105" spans="1:10" ht="15.35" x14ac:dyDescent="0.55000000000000004">
      <c r="A1105" s="20">
        <v>15576</v>
      </c>
      <c r="B1105" s="2" t="s">
        <v>169</v>
      </c>
      <c r="C1105" s="2" t="s">
        <v>170</v>
      </c>
      <c r="D1105" s="2" t="s">
        <v>171</v>
      </c>
      <c r="E1105" s="2" t="s">
        <v>407</v>
      </c>
      <c r="F1105" s="2" t="s">
        <v>4948</v>
      </c>
      <c r="G1105" s="2" t="s">
        <v>4928</v>
      </c>
      <c r="H1105" s="2" t="s">
        <v>4936</v>
      </c>
      <c r="I1105" s="20">
        <v>44118.74</v>
      </c>
      <c r="J1105" s="2" t="s">
        <v>4935</v>
      </c>
    </row>
    <row r="1106" spans="1:10" ht="15.35" x14ac:dyDescent="0.55000000000000004">
      <c r="A1106" s="20">
        <v>15603</v>
      </c>
      <c r="B1106" s="2" t="s">
        <v>169</v>
      </c>
      <c r="C1106" s="2" t="s">
        <v>170</v>
      </c>
      <c r="D1106" s="2" t="s">
        <v>171</v>
      </c>
      <c r="E1106" s="2" t="s">
        <v>407</v>
      </c>
      <c r="F1106" s="2" t="s">
        <v>4948</v>
      </c>
      <c r="G1106" s="2" t="s">
        <v>4931</v>
      </c>
      <c r="H1106" s="2" t="s">
        <v>4937</v>
      </c>
      <c r="I1106" s="20">
        <v>98.4</v>
      </c>
      <c r="J1106" s="2" t="s">
        <v>4933</v>
      </c>
    </row>
    <row r="1107" spans="1:10" ht="15.35" x14ac:dyDescent="0.55000000000000004">
      <c r="A1107" s="20">
        <v>15604</v>
      </c>
      <c r="B1107" s="2" t="s">
        <v>169</v>
      </c>
      <c r="C1107" s="2" t="s">
        <v>170</v>
      </c>
      <c r="D1107" s="2" t="s">
        <v>171</v>
      </c>
      <c r="E1107" s="2" t="s">
        <v>407</v>
      </c>
      <c r="F1107" s="2" t="s">
        <v>4948</v>
      </c>
      <c r="G1107" s="2" t="s">
        <v>4939</v>
      </c>
      <c r="H1107" s="2" t="s">
        <v>4946</v>
      </c>
      <c r="I1107" s="20">
        <v>267.45</v>
      </c>
      <c r="J1107" s="2" t="s">
        <v>4941</v>
      </c>
    </row>
    <row r="1108" spans="1:10" ht="15.35" x14ac:dyDescent="0.55000000000000004">
      <c r="A1108" s="20">
        <v>15605</v>
      </c>
      <c r="B1108" s="2" t="s">
        <v>169</v>
      </c>
      <c r="C1108" s="2" t="s">
        <v>170</v>
      </c>
      <c r="D1108" s="2" t="s">
        <v>171</v>
      </c>
      <c r="E1108" s="2" t="s">
        <v>407</v>
      </c>
      <c r="F1108" s="2" t="s">
        <v>4948</v>
      </c>
      <c r="G1108" s="2" t="s">
        <v>4928</v>
      </c>
      <c r="H1108" s="2" t="s">
        <v>4953</v>
      </c>
      <c r="I1108" s="20">
        <v>1.87</v>
      </c>
      <c r="J1108" s="2" t="s">
        <v>4930</v>
      </c>
    </row>
    <row r="1109" spans="1:10" ht="15.35" x14ac:dyDescent="0.55000000000000004">
      <c r="A1109" s="20">
        <v>15538</v>
      </c>
      <c r="B1109" s="2" t="s">
        <v>169</v>
      </c>
      <c r="C1109" s="2" t="s">
        <v>170</v>
      </c>
      <c r="D1109" s="2" t="s">
        <v>171</v>
      </c>
      <c r="E1109" s="2" t="s">
        <v>407</v>
      </c>
      <c r="F1109" s="2" t="s">
        <v>4948</v>
      </c>
      <c r="G1109" s="2" t="s">
        <v>4931</v>
      </c>
      <c r="H1109" s="2" t="s">
        <v>4952</v>
      </c>
      <c r="I1109" s="20">
        <v>99.28</v>
      </c>
      <c r="J1109" s="2" t="s">
        <v>4933</v>
      </c>
    </row>
    <row r="1110" spans="1:10" ht="15.35" x14ac:dyDescent="0.55000000000000004">
      <c r="A1110" s="20">
        <v>17442</v>
      </c>
      <c r="B1110" s="2" t="s">
        <v>169</v>
      </c>
      <c r="C1110" s="2" t="s">
        <v>170</v>
      </c>
      <c r="D1110" s="2" t="s">
        <v>171</v>
      </c>
      <c r="E1110" s="2" t="s">
        <v>407</v>
      </c>
      <c r="F1110" s="2" t="s">
        <v>4949</v>
      </c>
      <c r="G1110" s="2" t="s">
        <v>4931</v>
      </c>
      <c r="H1110" s="2" t="s">
        <v>4952</v>
      </c>
      <c r="I1110" s="20">
        <v>96.73</v>
      </c>
      <c r="J1110" s="2" t="s">
        <v>4933</v>
      </c>
    </row>
    <row r="1111" spans="1:10" ht="15.35" x14ac:dyDescent="0.55000000000000004">
      <c r="A1111" s="20">
        <v>17453</v>
      </c>
      <c r="B1111" s="2" t="s">
        <v>169</v>
      </c>
      <c r="C1111" s="2" t="s">
        <v>170</v>
      </c>
      <c r="D1111" s="2" t="s">
        <v>171</v>
      </c>
      <c r="E1111" s="2" t="s">
        <v>407</v>
      </c>
      <c r="F1111" s="2" t="s">
        <v>4949</v>
      </c>
      <c r="G1111" s="2" t="s">
        <v>4928</v>
      </c>
      <c r="H1111" s="2" t="s">
        <v>4934</v>
      </c>
      <c r="I1111" s="20">
        <v>44433.61</v>
      </c>
      <c r="J1111" s="2" t="s">
        <v>4935</v>
      </c>
    </row>
    <row r="1112" spans="1:10" ht="15.35" x14ac:dyDescent="0.55000000000000004">
      <c r="A1112" s="20">
        <v>17454</v>
      </c>
      <c r="B1112" s="2" t="s">
        <v>169</v>
      </c>
      <c r="C1112" s="2" t="s">
        <v>170</v>
      </c>
      <c r="D1112" s="2" t="s">
        <v>171</v>
      </c>
      <c r="E1112" s="2" t="s">
        <v>407</v>
      </c>
      <c r="F1112" s="2" t="s">
        <v>4949</v>
      </c>
      <c r="G1112" s="2" t="s">
        <v>4928</v>
      </c>
      <c r="H1112" s="2" t="s">
        <v>4936</v>
      </c>
      <c r="I1112" s="20">
        <v>43139.14</v>
      </c>
      <c r="J1112" s="2" t="s">
        <v>4935</v>
      </c>
    </row>
    <row r="1113" spans="1:10" ht="15.35" x14ac:dyDescent="0.55000000000000004">
      <c r="A1113" s="20">
        <v>17455</v>
      </c>
      <c r="B1113" s="2" t="s">
        <v>169</v>
      </c>
      <c r="C1113" s="2" t="s">
        <v>170</v>
      </c>
      <c r="D1113" s="2" t="s">
        <v>171</v>
      </c>
      <c r="E1113" s="2" t="s">
        <v>407</v>
      </c>
      <c r="F1113" s="2" t="s">
        <v>4949</v>
      </c>
      <c r="G1113" s="2" t="s">
        <v>4931</v>
      </c>
      <c r="H1113" s="2" t="s">
        <v>4937</v>
      </c>
      <c r="I1113" s="20">
        <v>97.09</v>
      </c>
      <c r="J1113" s="2" t="s">
        <v>4933</v>
      </c>
    </row>
    <row r="1114" spans="1:10" ht="15.35" x14ac:dyDescent="0.55000000000000004">
      <c r="A1114" s="20">
        <v>17456</v>
      </c>
      <c r="B1114" s="2" t="s">
        <v>169</v>
      </c>
      <c r="C1114" s="2" t="s">
        <v>170</v>
      </c>
      <c r="D1114" s="2" t="s">
        <v>171</v>
      </c>
      <c r="E1114" s="2" t="s">
        <v>407</v>
      </c>
      <c r="F1114" s="2" t="s">
        <v>4949</v>
      </c>
      <c r="G1114" s="2" t="s">
        <v>4939</v>
      </c>
      <c r="H1114" s="2" t="s">
        <v>4946</v>
      </c>
      <c r="I1114" s="20">
        <v>280.47000000000003</v>
      </c>
      <c r="J1114" s="2" t="s">
        <v>4941</v>
      </c>
    </row>
    <row r="1115" spans="1:10" ht="15.35" x14ac:dyDescent="0.55000000000000004">
      <c r="A1115" s="20">
        <v>17457</v>
      </c>
      <c r="B1115" s="2" t="s">
        <v>169</v>
      </c>
      <c r="C1115" s="2" t="s">
        <v>170</v>
      </c>
      <c r="D1115" s="2" t="s">
        <v>171</v>
      </c>
      <c r="E1115" s="2" t="s">
        <v>407</v>
      </c>
      <c r="F1115" s="2" t="s">
        <v>4949</v>
      </c>
      <c r="G1115" s="2" t="s">
        <v>4928</v>
      </c>
      <c r="H1115" s="2" t="s">
        <v>4953</v>
      </c>
      <c r="I1115" s="20">
        <v>1.75</v>
      </c>
      <c r="J1115" s="2" t="s">
        <v>4930</v>
      </c>
    </row>
    <row r="1116" spans="1:10" ht="15.35" x14ac:dyDescent="0.55000000000000004">
      <c r="A1116" s="20">
        <v>18146</v>
      </c>
      <c r="B1116" s="2" t="s">
        <v>169</v>
      </c>
      <c r="C1116" s="2" t="s">
        <v>170</v>
      </c>
      <c r="D1116" s="2" t="s">
        <v>171</v>
      </c>
      <c r="E1116" s="2" t="s">
        <v>407</v>
      </c>
      <c r="F1116" s="2" t="s">
        <v>4950</v>
      </c>
      <c r="G1116" s="2" t="s">
        <v>4928</v>
      </c>
      <c r="H1116" s="2" t="s">
        <v>4953</v>
      </c>
      <c r="I1116" s="20">
        <v>2.94</v>
      </c>
      <c r="J1116" s="2" t="s">
        <v>4930</v>
      </c>
    </row>
    <row r="1117" spans="1:10" ht="15.35" x14ac:dyDescent="0.55000000000000004">
      <c r="A1117" s="20">
        <v>18481</v>
      </c>
      <c r="B1117" s="2" t="s">
        <v>169</v>
      </c>
      <c r="C1117" s="2" t="s">
        <v>170</v>
      </c>
      <c r="D1117" s="2" t="s">
        <v>171</v>
      </c>
      <c r="E1117" s="2" t="s">
        <v>407</v>
      </c>
      <c r="F1117" s="2" t="s">
        <v>4950</v>
      </c>
      <c r="G1117" s="2" t="s">
        <v>4939</v>
      </c>
      <c r="H1117" s="2" t="s">
        <v>4946</v>
      </c>
      <c r="I1117" s="20">
        <v>291.45999999999998</v>
      </c>
      <c r="J1117" s="2" t="s">
        <v>4941</v>
      </c>
    </row>
    <row r="1118" spans="1:10" ht="15.35" x14ac:dyDescent="0.55000000000000004">
      <c r="A1118" s="20">
        <v>18482</v>
      </c>
      <c r="B1118" s="2" t="s">
        <v>169</v>
      </c>
      <c r="C1118" s="2" t="s">
        <v>170</v>
      </c>
      <c r="D1118" s="2" t="s">
        <v>171</v>
      </c>
      <c r="E1118" s="2" t="s">
        <v>407</v>
      </c>
      <c r="F1118" s="2" t="s">
        <v>4950</v>
      </c>
      <c r="G1118" s="2" t="s">
        <v>4928</v>
      </c>
      <c r="H1118" s="2" t="s">
        <v>4936</v>
      </c>
      <c r="I1118" s="20">
        <v>42584.04</v>
      </c>
      <c r="J1118" s="2" t="s">
        <v>4935</v>
      </c>
    </row>
    <row r="1119" spans="1:10" ht="15.35" x14ac:dyDescent="0.55000000000000004">
      <c r="A1119" s="20">
        <v>18483</v>
      </c>
      <c r="B1119" s="2" t="s">
        <v>169</v>
      </c>
      <c r="C1119" s="2" t="s">
        <v>170</v>
      </c>
      <c r="D1119" s="2" t="s">
        <v>171</v>
      </c>
      <c r="E1119" s="2" t="s">
        <v>407</v>
      </c>
      <c r="F1119" s="2" t="s">
        <v>4950</v>
      </c>
      <c r="G1119" s="2" t="s">
        <v>4928</v>
      </c>
      <c r="H1119" s="2" t="s">
        <v>4934</v>
      </c>
      <c r="I1119" s="20">
        <v>44220.81</v>
      </c>
      <c r="J1119" s="2" t="s">
        <v>4935</v>
      </c>
    </row>
    <row r="1120" spans="1:10" ht="15.35" x14ac:dyDescent="0.55000000000000004">
      <c r="A1120" s="20">
        <v>18495</v>
      </c>
      <c r="B1120" s="2" t="s">
        <v>169</v>
      </c>
      <c r="C1120" s="2" t="s">
        <v>170</v>
      </c>
      <c r="D1120" s="2" t="s">
        <v>171</v>
      </c>
      <c r="E1120" s="2" t="s">
        <v>407</v>
      </c>
      <c r="F1120" s="2" t="s">
        <v>4950</v>
      </c>
      <c r="G1120" s="2" t="s">
        <v>4931</v>
      </c>
      <c r="H1120" s="2" t="s">
        <v>4937</v>
      </c>
      <c r="I1120" s="20">
        <v>96.3</v>
      </c>
      <c r="J1120" s="2" t="s">
        <v>4933</v>
      </c>
    </row>
    <row r="1121" spans="1:11" ht="15.35" x14ac:dyDescent="0.55000000000000004">
      <c r="A1121" s="20">
        <v>18656</v>
      </c>
      <c r="B1121" s="2" t="s">
        <v>169</v>
      </c>
      <c r="C1121" s="2" t="s">
        <v>170</v>
      </c>
      <c r="D1121" s="2" t="s">
        <v>171</v>
      </c>
      <c r="E1121" s="2" t="s">
        <v>407</v>
      </c>
      <c r="F1121" s="2" t="s">
        <v>4950</v>
      </c>
      <c r="G1121" s="2" t="s">
        <v>4931</v>
      </c>
      <c r="H1121" s="2" t="s">
        <v>4952</v>
      </c>
      <c r="I1121" s="20">
        <v>98.38</v>
      </c>
      <c r="J1121" s="2" t="s">
        <v>4933</v>
      </c>
    </row>
    <row r="1122" spans="1:11" ht="15.35" x14ac:dyDescent="0.55000000000000004">
      <c r="A1122" s="20">
        <v>6183</v>
      </c>
      <c r="B1122" s="2" t="s">
        <v>169</v>
      </c>
      <c r="C1122" s="2" t="s">
        <v>170</v>
      </c>
      <c r="D1122" s="2" t="s">
        <v>171</v>
      </c>
      <c r="E1122" s="2" t="s">
        <v>413</v>
      </c>
      <c r="F1122" s="2" t="s">
        <v>4979</v>
      </c>
      <c r="G1122" s="2" t="s">
        <v>4975</v>
      </c>
      <c r="H1122" s="2" t="s">
        <v>5036</v>
      </c>
      <c r="I1122" s="20">
        <v>674.29</v>
      </c>
      <c r="J1122" s="2" t="s">
        <v>4977</v>
      </c>
      <c r="K1122" s="2" t="s">
        <v>5021</v>
      </c>
    </row>
    <row r="1123" spans="1:11" ht="15.35" x14ac:dyDescent="0.55000000000000004">
      <c r="A1123" s="20">
        <v>6185</v>
      </c>
      <c r="B1123" s="2" t="s">
        <v>169</v>
      </c>
      <c r="C1123" s="2" t="s">
        <v>170</v>
      </c>
      <c r="D1123" s="2" t="s">
        <v>171</v>
      </c>
      <c r="E1123" s="2" t="s">
        <v>413</v>
      </c>
      <c r="F1123" s="2" t="s">
        <v>4979</v>
      </c>
      <c r="G1123" s="2" t="s">
        <v>4975</v>
      </c>
      <c r="H1123" s="2" t="s">
        <v>5036</v>
      </c>
      <c r="I1123" s="20">
        <v>211.18</v>
      </c>
      <c r="J1123" s="2" t="s">
        <v>4977</v>
      </c>
      <c r="K1123" s="2" t="s">
        <v>5048</v>
      </c>
    </row>
    <row r="1124" spans="1:11" ht="15.35" x14ac:dyDescent="0.55000000000000004">
      <c r="A1124" s="20">
        <v>6186</v>
      </c>
      <c r="B1124" s="2" t="s">
        <v>169</v>
      </c>
      <c r="C1124" s="2" t="s">
        <v>170</v>
      </c>
      <c r="D1124" s="2" t="s">
        <v>171</v>
      </c>
      <c r="E1124" s="2" t="s">
        <v>413</v>
      </c>
      <c r="F1124" s="2" t="s">
        <v>4979</v>
      </c>
      <c r="G1124" s="2" t="s">
        <v>4975</v>
      </c>
      <c r="H1124" s="2" t="s">
        <v>5036</v>
      </c>
      <c r="I1124" s="20">
        <v>196.79</v>
      </c>
      <c r="J1124" s="2" t="s">
        <v>4977</v>
      </c>
      <c r="K1124" s="2" t="s">
        <v>5047</v>
      </c>
    </row>
    <row r="1125" spans="1:11" ht="15.35" x14ac:dyDescent="0.55000000000000004">
      <c r="A1125" s="20">
        <v>6187</v>
      </c>
      <c r="B1125" s="2" t="s">
        <v>169</v>
      </c>
      <c r="C1125" s="2" t="s">
        <v>170</v>
      </c>
      <c r="D1125" s="2" t="s">
        <v>171</v>
      </c>
      <c r="E1125" s="2" t="s">
        <v>413</v>
      </c>
      <c r="F1125" s="2" t="s">
        <v>4979</v>
      </c>
      <c r="G1125" s="2" t="s">
        <v>4975</v>
      </c>
      <c r="H1125" s="2" t="s">
        <v>5036</v>
      </c>
      <c r="I1125" s="20">
        <v>4937.8900000000003</v>
      </c>
      <c r="J1125" s="2" t="s">
        <v>4977</v>
      </c>
      <c r="K1125" s="2" t="s">
        <v>5040</v>
      </c>
    </row>
    <row r="1126" spans="1:11" ht="15.35" x14ac:dyDescent="0.55000000000000004">
      <c r="A1126" s="20">
        <v>6099</v>
      </c>
      <c r="B1126" s="2" t="s">
        <v>169</v>
      </c>
      <c r="C1126" s="2" t="s">
        <v>170</v>
      </c>
      <c r="D1126" s="2" t="s">
        <v>171</v>
      </c>
      <c r="E1126" s="2" t="s">
        <v>413</v>
      </c>
      <c r="F1126" s="2" t="s">
        <v>4979</v>
      </c>
      <c r="G1126" s="2" t="s">
        <v>4928</v>
      </c>
      <c r="H1126" s="2" t="s">
        <v>5014</v>
      </c>
      <c r="I1126" s="20">
        <v>2.65</v>
      </c>
      <c r="J1126" s="2" t="s">
        <v>5045</v>
      </c>
    </row>
    <row r="1127" spans="1:11" ht="15.35" x14ac:dyDescent="0.55000000000000004">
      <c r="A1127" s="20">
        <v>6100</v>
      </c>
      <c r="B1127" s="2" t="s">
        <v>169</v>
      </c>
      <c r="C1127" s="2" t="s">
        <v>170</v>
      </c>
      <c r="D1127" s="2" t="s">
        <v>171</v>
      </c>
      <c r="E1127" s="2" t="s">
        <v>413</v>
      </c>
      <c r="F1127" s="2" t="s">
        <v>4979</v>
      </c>
      <c r="G1127" s="2" t="s">
        <v>4975</v>
      </c>
      <c r="H1127" s="2" t="s">
        <v>5046</v>
      </c>
      <c r="I1127" s="20">
        <v>49500</v>
      </c>
      <c r="J1127" s="2" t="s">
        <v>4977</v>
      </c>
    </row>
    <row r="1128" spans="1:11" ht="15.35" x14ac:dyDescent="0.55000000000000004">
      <c r="A1128" s="20">
        <v>6101</v>
      </c>
      <c r="B1128" s="2" t="s">
        <v>169</v>
      </c>
      <c r="C1128" s="2" t="s">
        <v>170</v>
      </c>
      <c r="D1128" s="2" t="s">
        <v>171</v>
      </c>
      <c r="E1128" s="2" t="s">
        <v>413</v>
      </c>
      <c r="F1128" s="2" t="s">
        <v>4979</v>
      </c>
      <c r="G1128" s="2" t="s">
        <v>4975</v>
      </c>
      <c r="H1128" s="2" t="s">
        <v>5036</v>
      </c>
      <c r="I1128" s="20">
        <v>7526.87</v>
      </c>
      <c r="J1128" s="2" t="s">
        <v>4977</v>
      </c>
    </row>
    <row r="1129" spans="1:11" ht="15.35" x14ac:dyDescent="0.55000000000000004">
      <c r="A1129" s="20">
        <v>6106</v>
      </c>
      <c r="B1129" s="2" t="s">
        <v>169</v>
      </c>
      <c r="C1129" s="2" t="s">
        <v>170</v>
      </c>
      <c r="D1129" s="2" t="s">
        <v>171</v>
      </c>
      <c r="E1129" s="2" t="s">
        <v>413</v>
      </c>
      <c r="F1129" s="2" t="s">
        <v>4979</v>
      </c>
      <c r="G1129" s="2" t="s">
        <v>4931</v>
      </c>
      <c r="H1129" s="2" t="s">
        <v>5013</v>
      </c>
      <c r="I1129" s="20">
        <v>14.5</v>
      </c>
      <c r="J1129" s="2" t="s">
        <v>4933</v>
      </c>
    </row>
    <row r="1130" spans="1:11" ht="15.35" x14ac:dyDescent="0.55000000000000004">
      <c r="A1130" s="20">
        <v>6112</v>
      </c>
      <c r="B1130" s="2" t="s">
        <v>169</v>
      </c>
      <c r="C1130" s="2" t="s">
        <v>170</v>
      </c>
      <c r="D1130" s="2" t="s">
        <v>171</v>
      </c>
      <c r="E1130" s="2" t="s">
        <v>413</v>
      </c>
      <c r="F1130" s="2" t="s">
        <v>4979</v>
      </c>
      <c r="G1130" s="2" t="s">
        <v>4939</v>
      </c>
      <c r="H1130" s="2" t="s">
        <v>5008</v>
      </c>
      <c r="I1130" s="20">
        <v>102.14</v>
      </c>
      <c r="J1130" s="2" t="s">
        <v>5044</v>
      </c>
    </row>
    <row r="1131" spans="1:11" ht="15.35" x14ac:dyDescent="0.55000000000000004">
      <c r="A1131" s="20">
        <v>6119</v>
      </c>
      <c r="B1131" s="2" t="s">
        <v>169</v>
      </c>
      <c r="C1131" s="2" t="s">
        <v>170</v>
      </c>
      <c r="D1131" s="2" t="s">
        <v>171</v>
      </c>
      <c r="E1131" s="2" t="s">
        <v>413</v>
      </c>
      <c r="F1131" s="2" t="s">
        <v>4979</v>
      </c>
      <c r="G1131" s="2" t="s">
        <v>4939</v>
      </c>
      <c r="H1131" s="2" t="s">
        <v>5012</v>
      </c>
      <c r="I1131" s="20">
        <v>974.26</v>
      </c>
      <c r="J1131" s="2" t="s">
        <v>5044</v>
      </c>
    </row>
    <row r="1132" spans="1:11" ht="15.35" x14ac:dyDescent="0.55000000000000004">
      <c r="A1132" s="20">
        <v>6128</v>
      </c>
      <c r="B1132" s="2" t="s">
        <v>169</v>
      </c>
      <c r="C1132" s="2" t="s">
        <v>170</v>
      </c>
      <c r="D1132" s="2" t="s">
        <v>171</v>
      </c>
      <c r="E1132" s="2" t="s">
        <v>413</v>
      </c>
      <c r="F1132" s="2" t="s">
        <v>4979</v>
      </c>
      <c r="G1132" s="2" t="s">
        <v>4939</v>
      </c>
      <c r="H1132" s="2" t="s">
        <v>5038</v>
      </c>
      <c r="I1132" s="20">
        <v>215.67</v>
      </c>
    </row>
    <row r="1133" spans="1:11" ht="15.35" x14ac:dyDescent="0.55000000000000004">
      <c r="A1133" s="20">
        <v>6129</v>
      </c>
      <c r="B1133" s="2" t="s">
        <v>169</v>
      </c>
      <c r="C1133" s="2" t="s">
        <v>170</v>
      </c>
      <c r="D1133" s="2" t="s">
        <v>171</v>
      </c>
      <c r="E1133" s="2" t="s">
        <v>413</v>
      </c>
      <c r="F1133" s="2" t="s">
        <v>4979</v>
      </c>
      <c r="G1133" s="2" t="s">
        <v>4939</v>
      </c>
      <c r="H1133" s="2" t="s">
        <v>5039</v>
      </c>
      <c r="I1133" s="20">
        <v>23.01</v>
      </c>
    </row>
    <row r="1134" spans="1:11" ht="15.35" x14ac:dyDescent="0.55000000000000004">
      <c r="A1134" s="20">
        <v>6134</v>
      </c>
      <c r="B1134" s="2" t="s">
        <v>169</v>
      </c>
      <c r="C1134" s="2" t="s">
        <v>170</v>
      </c>
      <c r="D1134" s="2" t="s">
        <v>171</v>
      </c>
      <c r="E1134" s="2" t="s">
        <v>413</v>
      </c>
      <c r="F1134" s="2" t="s">
        <v>4979</v>
      </c>
      <c r="G1134" s="2" t="s">
        <v>4928</v>
      </c>
      <c r="H1134" s="2" t="s">
        <v>5033</v>
      </c>
      <c r="I1134" s="20">
        <v>150</v>
      </c>
      <c r="K1134" s="2" t="s">
        <v>5034</v>
      </c>
    </row>
    <row r="1135" spans="1:11" ht="15.35" x14ac:dyDescent="0.55000000000000004">
      <c r="A1135" s="20">
        <v>6135</v>
      </c>
      <c r="B1135" s="2" t="s">
        <v>169</v>
      </c>
      <c r="C1135" s="2" t="s">
        <v>170</v>
      </c>
      <c r="D1135" s="2" t="s">
        <v>171</v>
      </c>
      <c r="E1135" s="2" t="s">
        <v>413</v>
      </c>
      <c r="F1135" s="2" t="s">
        <v>4979</v>
      </c>
      <c r="G1135" s="2" t="s">
        <v>4928</v>
      </c>
      <c r="H1135" s="2" t="s">
        <v>5033</v>
      </c>
      <c r="I1135" s="20">
        <v>6</v>
      </c>
      <c r="K1135" s="2" t="s">
        <v>5035</v>
      </c>
    </row>
    <row r="1136" spans="1:11" ht="15.35" x14ac:dyDescent="0.55000000000000004">
      <c r="A1136" s="20">
        <v>6144</v>
      </c>
      <c r="B1136" s="2" t="s">
        <v>169</v>
      </c>
      <c r="C1136" s="2" t="s">
        <v>170</v>
      </c>
      <c r="D1136" s="2" t="s">
        <v>171</v>
      </c>
      <c r="E1136" s="2" t="s">
        <v>413</v>
      </c>
      <c r="F1136" s="2" t="s">
        <v>4979</v>
      </c>
      <c r="G1136" s="2" t="s">
        <v>4931</v>
      </c>
      <c r="H1136" s="2" t="s">
        <v>5043</v>
      </c>
      <c r="I1136" s="20">
        <v>100</v>
      </c>
      <c r="J1136" s="2" t="s">
        <v>4933</v>
      </c>
    </row>
    <row r="1137" spans="1:11" ht="15.35" x14ac:dyDescent="0.55000000000000004">
      <c r="A1137" s="20">
        <v>6146</v>
      </c>
      <c r="B1137" s="2" t="s">
        <v>169</v>
      </c>
      <c r="C1137" s="2" t="s">
        <v>170</v>
      </c>
      <c r="D1137" s="2" t="s">
        <v>171</v>
      </c>
      <c r="E1137" s="2" t="s">
        <v>413</v>
      </c>
      <c r="F1137" s="2" t="s">
        <v>4979</v>
      </c>
      <c r="G1137" s="2" t="s">
        <v>4931</v>
      </c>
      <c r="H1137" s="2" t="s">
        <v>5041</v>
      </c>
      <c r="I1137" s="20">
        <v>95.63</v>
      </c>
      <c r="J1137" s="2" t="s">
        <v>4933</v>
      </c>
    </row>
    <row r="1138" spans="1:11" ht="15.35" x14ac:dyDescent="0.55000000000000004">
      <c r="A1138" s="20">
        <v>6149</v>
      </c>
      <c r="B1138" s="2" t="s">
        <v>169</v>
      </c>
      <c r="C1138" s="2" t="s">
        <v>170</v>
      </c>
      <c r="D1138" s="2" t="s">
        <v>171</v>
      </c>
      <c r="E1138" s="2" t="s">
        <v>413</v>
      </c>
      <c r="F1138" s="2" t="s">
        <v>4979</v>
      </c>
      <c r="G1138" s="2" t="s">
        <v>4975</v>
      </c>
      <c r="H1138" s="2" t="s">
        <v>5036</v>
      </c>
      <c r="I1138" s="20">
        <v>1506.72</v>
      </c>
      <c r="J1138" s="2" t="s">
        <v>4977</v>
      </c>
      <c r="K1138" s="2" t="s">
        <v>5037</v>
      </c>
    </row>
    <row r="1139" spans="1:11" ht="15.35" x14ac:dyDescent="0.55000000000000004">
      <c r="A1139" s="20">
        <v>6169</v>
      </c>
      <c r="B1139" s="2" t="s">
        <v>169</v>
      </c>
      <c r="C1139" s="2" t="s">
        <v>170</v>
      </c>
      <c r="D1139" s="2" t="s">
        <v>171</v>
      </c>
      <c r="E1139" s="2" t="s">
        <v>413</v>
      </c>
      <c r="F1139" s="2" t="s">
        <v>4979</v>
      </c>
      <c r="G1139" s="2" t="s">
        <v>4931</v>
      </c>
      <c r="H1139" s="2" t="s">
        <v>5042</v>
      </c>
      <c r="I1139" s="20">
        <v>86.85</v>
      </c>
      <c r="J1139" s="2" t="s">
        <v>4933</v>
      </c>
    </row>
    <row r="1140" spans="1:11" ht="15.35" x14ac:dyDescent="0.55000000000000004">
      <c r="A1140" s="20">
        <v>6098</v>
      </c>
      <c r="B1140" s="2" t="s">
        <v>169</v>
      </c>
      <c r="C1140" s="2" t="s">
        <v>170</v>
      </c>
      <c r="D1140" s="2" t="s">
        <v>171</v>
      </c>
      <c r="E1140" s="2" t="s">
        <v>413</v>
      </c>
      <c r="F1140" s="2" t="s">
        <v>4980</v>
      </c>
      <c r="G1140" s="2" t="s">
        <v>4939</v>
      </c>
      <c r="H1140" s="2" t="s">
        <v>5008</v>
      </c>
      <c r="I1140" s="20">
        <v>117.83</v>
      </c>
      <c r="J1140" s="2" t="s">
        <v>5044</v>
      </c>
    </row>
    <row r="1141" spans="1:11" ht="15.35" x14ac:dyDescent="0.55000000000000004">
      <c r="A1141" s="20">
        <v>6102</v>
      </c>
      <c r="B1141" s="2" t="s">
        <v>169</v>
      </c>
      <c r="C1141" s="2" t="s">
        <v>170</v>
      </c>
      <c r="D1141" s="2" t="s">
        <v>171</v>
      </c>
      <c r="E1141" s="2" t="s">
        <v>413</v>
      </c>
      <c r="F1141" s="2" t="s">
        <v>4980</v>
      </c>
      <c r="G1141" s="2" t="s">
        <v>4931</v>
      </c>
      <c r="H1141" s="2" t="s">
        <v>5041</v>
      </c>
      <c r="I1141" s="20">
        <v>95.15</v>
      </c>
      <c r="J1141" s="2" t="s">
        <v>4933</v>
      </c>
    </row>
    <row r="1142" spans="1:11" ht="15.35" x14ac:dyDescent="0.55000000000000004">
      <c r="A1142" s="20">
        <v>6103</v>
      </c>
      <c r="B1142" s="2" t="s">
        <v>169</v>
      </c>
      <c r="C1142" s="2" t="s">
        <v>170</v>
      </c>
      <c r="D1142" s="2" t="s">
        <v>171</v>
      </c>
      <c r="E1142" s="2" t="s">
        <v>413</v>
      </c>
      <c r="F1142" s="2" t="s">
        <v>4980</v>
      </c>
      <c r="G1142" s="2" t="s">
        <v>4931</v>
      </c>
      <c r="H1142" s="2" t="s">
        <v>5042</v>
      </c>
      <c r="I1142" s="20">
        <v>98.5</v>
      </c>
      <c r="J1142" s="2" t="s">
        <v>4933</v>
      </c>
    </row>
    <row r="1143" spans="1:11" ht="15.35" x14ac:dyDescent="0.55000000000000004">
      <c r="A1143" s="20">
        <v>6104</v>
      </c>
      <c r="B1143" s="2" t="s">
        <v>169</v>
      </c>
      <c r="C1143" s="2" t="s">
        <v>170</v>
      </c>
      <c r="D1143" s="2" t="s">
        <v>171</v>
      </c>
      <c r="E1143" s="2" t="s">
        <v>413</v>
      </c>
      <c r="F1143" s="2" t="s">
        <v>4980</v>
      </c>
      <c r="G1143" s="2" t="s">
        <v>4931</v>
      </c>
      <c r="H1143" s="2" t="s">
        <v>5043</v>
      </c>
      <c r="I1143" s="20">
        <v>99.75</v>
      </c>
      <c r="J1143" s="2" t="s">
        <v>4933</v>
      </c>
    </row>
    <row r="1144" spans="1:11" ht="15.35" x14ac:dyDescent="0.55000000000000004">
      <c r="A1144" s="20">
        <v>6105</v>
      </c>
      <c r="B1144" s="2" t="s">
        <v>169</v>
      </c>
      <c r="C1144" s="2" t="s">
        <v>170</v>
      </c>
      <c r="D1144" s="2" t="s">
        <v>171</v>
      </c>
      <c r="E1144" s="2" t="s">
        <v>413</v>
      </c>
      <c r="F1144" s="2" t="s">
        <v>4980</v>
      </c>
      <c r="G1144" s="2" t="s">
        <v>4939</v>
      </c>
      <c r="H1144" s="2" t="s">
        <v>5012</v>
      </c>
      <c r="I1144" s="20">
        <v>1130.08</v>
      </c>
      <c r="J1144" s="2" t="s">
        <v>5044</v>
      </c>
    </row>
    <row r="1145" spans="1:11" ht="15.35" x14ac:dyDescent="0.55000000000000004">
      <c r="A1145" s="20">
        <v>6107</v>
      </c>
      <c r="B1145" s="2" t="s">
        <v>169</v>
      </c>
      <c r="C1145" s="2" t="s">
        <v>170</v>
      </c>
      <c r="D1145" s="2" t="s">
        <v>171</v>
      </c>
      <c r="E1145" s="2" t="s">
        <v>413</v>
      </c>
      <c r="F1145" s="2" t="s">
        <v>4980</v>
      </c>
      <c r="G1145" s="2" t="s">
        <v>4931</v>
      </c>
      <c r="H1145" s="2" t="s">
        <v>5013</v>
      </c>
      <c r="I1145" s="20">
        <v>14.4</v>
      </c>
      <c r="J1145" s="2" t="s">
        <v>4933</v>
      </c>
    </row>
    <row r="1146" spans="1:11" ht="15.35" x14ac:dyDescent="0.55000000000000004">
      <c r="A1146" s="20">
        <v>6109</v>
      </c>
      <c r="B1146" s="2" t="s">
        <v>169</v>
      </c>
      <c r="C1146" s="2" t="s">
        <v>170</v>
      </c>
      <c r="D1146" s="2" t="s">
        <v>171</v>
      </c>
      <c r="E1146" s="2" t="s">
        <v>413</v>
      </c>
      <c r="F1146" s="2" t="s">
        <v>4980</v>
      </c>
      <c r="G1146" s="2" t="s">
        <v>4975</v>
      </c>
      <c r="H1146" s="2" t="s">
        <v>5046</v>
      </c>
      <c r="I1146" s="20">
        <v>55000</v>
      </c>
      <c r="J1146" s="2" t="s">
        <v>4977</v>
      </c>
    </row>
    <row r="1147" spans="1:11" ht="15.35" x14ac:dyDescent="0.55000000000000004">
      <c r="A1147" s="20">
        <v>6110</v>
      </c>
      <c r="B1147" s="2" t="s">
        <v>169</v>
      </c>
      <c r="C1147" s="2" t="s">
        <v>170</v>
      </c>
      <c r="D1147" s="2" t="s">
        <v>171</v>
      </c>
      <c r="E1147" s="2" t="s">
        <v>413</v>
      </c>
      <c r="F1147" s="2" t="s">
        <v>4980</v>
      </c>
      <c r="G1147" s="2" t="s">
        <v>4975</v>
      </c>
      <c r="H1147" s="2" t="s">
        <v>5036</v>
      </c>
      <c r="I1147" s="20">
        <v>8221.92</v>
      </c>
      <c r="J1147" s="2" t="s">
        <v>4977</v>
      </c>
    </row>
    <row r="1148" spans="1:11" ht="15.35" x14ac:dyDescent="0.55000000000000004">
      <c r="A1148" s="20">
        <v>6118</v>
      </c>
      <c r="B1148" s="2" t="s">
        <v>169</v>
      </c>
      <c r="C1148" s="2" t="s">
        <v>170</v>
      </c>
      <c r="D1148" s="2" t="s">
        <v>171</v>
      </c>
      <c r="E1148" s="2" t="s">
        <v>413</v>
      </c>
      <c r="F1148" s="2" t="s">
        <v>4980</v>
      </c>
      <c r="G1148" s="2" t="s">
        <v>4928</v>
      </c>
      <c r="H1148" s="2" t="s">
        <v>5014</v>
      </c>
      <c r="I1148" s="20">
        <v>2.93</v>
      </c>
      <c r="J1148" s="2" t="s">
        <v>5045</v>
      </c>
    </row>
    <row r="1149" spans="1:11" ht="15.35" x14ac:dyDescent="0.55000000000000004">
      <c r="A1149" s="20">
        <v>6130</v>
      </c>
      <c r="B1149" s="2" t="s">
        <v>169</v>
      </c>
      <c r="C1149" s="2" t="s">
        <v>170</v>
      </c>
      <c r="D1149" s="2" t="s">
        <v>171</v>
      </c>
      <c r="E1149" s="2" t="s">
        <v>413</v>
      </c>
      <c r="F1149" s="2" t="s">
        <v>4980</v>
      </c>
      <c r="G1149" s="2" t="s">
        <v>4939</v>
      </c>
      <c r="H1149" s="2" t="s">
        <v>5038</v>
      </c>
      <c r="I1149" s="20">
        <v>206.13</v>
      </c>
    </row>
    <row r="1150" spans="1:11" ht="15.35" x14ac:dyDescent="0.55000000000000004">
      <c r="A1150" s="20">
        <v>6131</v>
      </c>
      <c r="B1150" s="2" t="s">
        <v>169</v>
      </c>
      <c r="C1150" s="2" t="s">
        <v>170</v>
      </c>
      <c r="D1150" s="2" t="s">
        <v>171</v>
      </c>
      <c r="E1150" s="2" t="s">
        <v>413</v>
      </c>
      <c r="F1150" s="2" t="s">
        <v>4980</v>
      </c>
      <c r="G1150" s="2" t="s">
        <v>4939</v>
      </c>
      <c r="H1150" s="2" t="s">
        <v>5039</v>
      </c>
      <c r="I1150" s="20">
        <v>39.17</v>
      </c>
    </row>
    <row r="1151" spans="1:11" ht="15.35" x14ac:dyDescent="0.55000000000000004">
      <c r="A1151" s="20">
        <v>6136</v>
      </c>
      <c r="B1151" s="2" t="s">
        <v>169</v>
      </c>
      <c r="C1151" s="2" t="s">
        <v>170</v>
      </c>
      <c r="D1151" s="2" t="s">
        <v>171</v>
      </c>
      <c r="E1151" s="2" t="s">
        <v>413</v>
      </c>
      <c r="F1151" s="2" t="s">
        <v>4980</v>
      </c>
      <c r="G1151" s="2" t="s">
        <v>4928</v>
      </c>
      <c r="H1151" s="2" t="s">
        <v>5033</v>
      </c>
      <c r="I1151" s="20">
        <v>196</v>
      </c>
      <c r="K1151" s="2" t="s">
        <v>5034</v>
      </c>
    </row>
    <row r="1152" spans="1:11" ht="15.35" x14ac:dyDescent="0.55000000000000004">
      <c r="A1152" s="20">
        <v>6137</v>
      </c>
      <c r="B1152" s="2" t="s">
        <v>169</v>
      </c>
      <c r="C1152" s="2" t="s">
        <v>170</v>
      </c>
      <c r="D1152" s="2" t="s">
        <v>171</v>
      </c>
      <c r="E1152" s="2" t="s">
        <v>413</v>
      </c>
      <c r="F1152" s="2" t="s">
        <v>4980</v>
      </c>
      <c r="G1152" s="2" t="s">
        <v>4928</v>
      </c>
      <c r="H1152" s="2" t="s">
        <v>5033</v>
      </c>
      <c r="I1152" s="20">
        <v>7</v>
      </c>
      <c r="K1152" s="2" t="s">
        <v>5035</v>
      </c>
    </row>
    <row r="1153" spans="1:11" ht="15.35" x14ac:dyDescent="0.55000000000000004">
      <c r="A1153" s="20">
        <v>6171</v>
      </c>
      <c r="B1153" s="2" t="s">
        <v>169</v>
      </c>
      <c r="C1153" s="2" t="s">
        <v>170</v>
      </c>
      <c r="D1153" s="2" t="s">
        <v>171</v>
      </c>
      <c r="E1153" s="2" t="s">
        <v>413</v>
      </c>
      <c r="F1153" s="2" t="s">
        <v>4980</v>
      </c>
      <c r="G1153" s="2" t="s">
        <v>4975</v>
      </c>
      <c r="H1153" s="2" t="s">
        <v>5036</v>
      </c>
      <c r="I1153" s="20">
        <v>159.88</v>
      </c>
      <c r="J1153" s="2" t="s">
        <v>4977</v>
      </c>
      <c r="K1153" s="2" t="s">
        <v>5047</v>
      </c>
    </row>
    <row r="1154" spans="1:11" ht="15.35" x14ac:dyDescent="0.55000000000000004">
      <c r="A1154" s="20">
        <v>6188</v>
      </c>
      <c r="B1154" s="2" t="s">
        <v>169</v>
      </c>
      <c r="C1154" s="2" t="s">
        <v>170</v>
      </c>
      <c r="D1154" s="2" t="s">
        <v>171</v>
      </c>
      <c r="E1154" s="2" t="s">
        <v>413</v>
      </c>
      <c r="F1154" s="2" t="s">
        <v>4980</v>
      </c>
      <c r="G1154" s="2" t="s">
        <v>4975</v>
      </c>
      <c r="H1154" s="2" t="s">
        <v>5036</v>
      </c>
      <c r="I1154" s="20">
        <v>655.08000000000004</v>
      </c>
      <c r="J1154" s="2" t="s">
        <v>4977</v>
      </c>
      <c r="K1154" s="2" t="s">
        <v>5021</v>
      </c>
    </row>
    <row r="1155" spans="1:11" ht="15.35" x14ac:dyDescent="0.55000000000000004">
      <c r="A1155" s="20">
        <v>6189</v>
      </c>
      <c r="B1155" s="2" t="s">
        <v>169</v>
      </c>
      <c r="C1155" s="2" t="s">
        <v>170</v>
      </c>
      <c r="D1155" s="2" t="s">
        <v>171</v>
      </c>
      <c r="E1155" s="2" t="s">
        <v>413</v>
      </c>
      <c r="F1155" s="2" t="s">
        <v>4980</v>
      </c>
      <c r="G1155" s="2" t="s">
        <v>4975</v>
      </c>
      <c r="H1155" s="2" t="s">
        <v>5036</v>
      </c>
      <c r="I1155" s="20">
        <v>255.31</v>
      </c>
      <c r="J1155" s="2" t="s">
        <v>4977</v>
      </c>
      <c r="K1155" s="2" t="s">
        <v>5048</v>
      </c>
    </row>
    <row r="1156" spans="1:11" ht="15.35" x14ac:dyDescent="0.55000000000000004">
      <c r="A1156" s="20">
        <v>6190</v>
      </c>
      <c r="B1156" s="2" t="s">
        <v>169</v>
      </c>
      <c r="C1156" s="2" t="s">
        <v>170</v>
      </c>
      <c r="D1156" s="2" t="s">
        <v>171</v>
      </c>
      <c r="E1156" s="2" t="s">
        <v>413</v>
      </c>
      <c r="F1156" s="2" t="s">
        <v>4980</v>
      </c>
      <c r="G1156" s="2" t="s">
        <v>4975</v>
      </c>
      <c r="H1156" s="2" t="s">
        <v>5036</v>
      </c>
      <c r="I1156" s="20">
        <v>1740.9</v>
      </c>
      <c r="J1156" s="2" t="s">
        <v>4977</v>
      </c>
      <c r="K1156" s="2" t="s">
        <v>5037</v>
      </c>
    </row>
    <row r="1157" spans="1:11" ht="15.35" x14ac:dyDescent="0.55000000000000004">
      <c r="A1157" s="20">
        <v>6193</v>
      </c>
      <c r="B1157" s="2" t="s">
        <v>169</v>
      </c>
      <c r="C1157" s="2" t="s">
        <v>170</v>
      </c>
      <c r="D1157" s="2" t="s">
        <v>171</v>
      </c>
      <c r="E1157" s="2" t="s">
        <v>413</v>
      </c>
      <c r="F1157" s="2" t="s">
        <v>4980</v>
      </c>
      <c r="G1157" s="2" t="s">
        <v>4975</v>
      </c>
      <c r="H1157" s="2" t="s">
        <v>5036</v>
      </c>
      <c r="I1157" s="20">
        <v>5410.75</v>
      </c>
      <c r="J1157" s="2" t="s">
        <v>4977</v>
      </c>
      <c r="K1157" s="2" t="s">
        <v>5040</v>
      </c>
    </row>
    <row r="1158" spans="1:11" ht="15.35" x14ac:dyDescent="0.55000000000000004">
      <c r="A1158" s="20">
        <v>6291</v>
      </c>
      <c r="B1158" s="2" t="s">
        <v>169</v>
      </c>
      <c r="C1158" s="2" t="s">
        <v>170</v>
      </c>
      <c r="D1158" s="2" t="s">
        <v>171</v>
      </c>
      <c r="E1158" s="2" t="s">
        <v>413</v>
      </c>
      <c r="F1158" s="2" t="s">
        <v>5016</v>
      </c>
      <c r="G1158" s="2" t="s">
        <v>4975</v>
      </c>
      <c r="H1158" s="2" t="s">
        <v>5036</v>
      </c>
      <c r="I1158" s="20">
        <v>8725.5499999999993</v>
      </c>
      <c r="J1158" s="2" t="s">
        <v>4977</v>
      </c>
    </row>
    <row r="1159" spans="1:11" ht="15.35" x14ac:dyDescent="0.55000000000000004">
      <c r="A1159" s="20">
        <v>6108</v>
      </c>
      <c r="B1159" s="2" t="s">
        <v>169</v>
      </c>
      <c r="C1159" s="2" t="s">
        <v>170</v>
      </c>
      <c r="D1159" s="2" t="s">
        <v>171</v>
      </c>
      <c r="E1159" s="2" t="s">
        <v>413</v>
      </c>
      <c r="F1159" s="2" t="s">
        <v>5016</v>
      </c>
      <c r="G1159" s="2" t="s">
        <v>4931</v>
      </c>
      <c r="H1159" s="2" t="s">
        <v>5042</v>
      </c>
      <c r="I1159" s="20">
        <v>95.14</v>
      </c>
      <c r="J1159" s="2" t="s">
        <v>4933</v>
      </c>
    </row>
    <row r="1160" spans="1:11" ht="15.35" x14ac:dyDescent="0.55000000000000004">
      <c r="A1160" s="20">
        <v>6111</v>
      </c>
      <c r="B1160" s="2" t="s">
        <v>169</v>
      </c>
      <c r="C1160" s="2" t="s">
        <v>170</v>
      </c>
      <c r="D1160" s="2" t="s">
        <v>171</v>
      </c>
      <c r="E1160" s="2" t="s">
        <v>413</v>
      </c>
      <c r="F1160" s="2" t="s">
        <v>5016</v>
      </c>
      <c r="G1160" s="2" t="s">
        <v>4931</v>
      </c>
      <c r="H1160" s="2" t="s">
        <v>5041</v>
      </c>
      <c r="I1160" s="20">
        <v>97.46</v>
      </c>
      <c r="J1160" s="2" t="s">
        <v>4933</v>
      </c>
    </row>
    <row r="1161" spans="1:11" ht="15.35" x14ac:dyDescent="0.55000000000000004">
      <c r="A1161" s="20">
        <v>6113</v>
      </c>
      <c r="B1161" s="2" t="s">
        <v>169</v>
      </c>
      <c r="C1161" s="2" t="s">
        <v>170</v>
      </c>
      <c r="D1161" s="2" t="s">
        <v>171</v>
      </c>
      <c r="E1161" s="2" t="s">
        <v>413</v>
      </c>
      <c r="F1161" s="2" t="s">
        <v>5016</v>
      </c>
      <c r="G1161" s="2" t="s">
        <v>4931</v>
      </c>
      <c r="H1161" s="2" t="s">
        <v>5043</v>
      </c>
      <c r="I1161" s="20">
        <v>99.77</v>
      </c>
      <c r="J1161" s="2" t="s">
        <v>4933</v>
      </c>
    </row>
    <row r="1162" spans="1:11" ht="15.35" x14ac:dyDescent="0.55000000000000004">
      <c r="A1162" s="20">
        <v>6114</v>
      </c>
      <c r="B1162" s="2" t="s">
        <v>169</v>
      </c>
      <c r="C1162" s="2" t="s">
        <v>170</v>
      </c>
      <c r="D1162" s="2" t="s">
        <v>171</v>
      </c>
      <c r="E1162" s="2" t="s">
        <v>413</v>
      </c>
      <c r="F1162" s="2" t="s">
        <v>5016</v>
      </c>
      <c r="G1162" s="2" t="s">
        <v>4939</v>
      </c>
      <c r="H1162" s="2" t="s">
        <v>5012</v>
      </c>
      <c r="I1162" s="20">
        <v>1252.47</v>
      </c>
      <c r="J1162" s="2" t="s">
        <v>5044</v>
      </c>
    </row>
    <row r="1163" spans="1:11" ht="15.35" x14ac:dyDescent="0.55000000000000004">
      <c r="A1163" s="20">
        <v>6115</v>
      </c>
      <c r="B1163" s="2" t="s">
        <v>169</v>
      </c>
      <c r="C1163" s="2" t="s">
        <v>170</v>
      </c>
      <c r="D1163" s="2" t="s">
        <v>171</v>
      </c>
      <c r="E1163" s="2" t="s">
        <v>413</v>
      </c>
      <c r="F1163" s="2" t="s">
        <v>5016</v>
      </c>
      <c r="G1163" s="2" t="s">
        <v>4939</v>
      </c>
      <c r="H1163" s="2" t="s">
        <v>5008</v>
      </c>
      <c r="I1163" s="20">
        <v>122.42</v>
      </c>
      <c r="J1163" s="2" t="s">
        <v>5044</v>
      </c>
    </row>
    <row r="1164" spans="1:11" ht="15.35" x14ac:dyDescent="0.55000000000000004">
      <c r="A1164" s="20">
        <v>6116</v>
      </c>
      <c r="B1164" s="2" t="s">
        <v>169</v>
      </c>
      <c r="C1164" s="2" t="s">
        <v>170</v>
      </c>
      <c r="D1164" s="2" t="s">
        <v>171</v>
      </c>
      <c r="E1164" s="2" t="s">
        <v>413</v>
      </c>
      <c r="F1164" s="2" t="s">
        <v>5016</v>
      </c>
      <c r="G1164" s="2" t="s">
        <v>4931</v>
      </c>
      <c r="H1164" s="2" t="s">
        <v>5013</v>
      </c>
      <c r="I1164" s="20">
        <v>13.5</v>
      </c>
      <c r="J1164" s="2" t="s">
        <v>4933</v>
      </c>
    </row>
    <row r="1165" spans="1:11" ht="15.35" x14ac:dyDescent="0.55000000000000004">
      <c r="A1165" s="20">
        <v>6117</v>
      </c>
      <c r="B1165" s="2" t="s">
        <v>169</v>
      </c>
      <c r="C1165" s="2" t="s">
        <v>170</v>
      </c>
      <c r="D1165" s="2" t="s">
        <v>171</v>
      </c>
      <c r="E1165" s="2" t="s">
        <v>413</v>
      </c>
      <c r="F1165" s="2" t="s">
        <v>5016</v>
      </c>
      <c r="G1165" s="2" t="s">
        <v>4928</v>
      </c>
      <c r="H1165" s="2" t="s">
        <v>5014</v>
      </c>
      <c r="I1165" s="20">
        <v>3.16</v>
      </c>
      <c r="J1165" s="2" t="s">
        <v>5045</v>
      </c>
    </row>
    <row r="1166" spans="1:11" ht="15.35" x14ac:dyDescent="0.55000000000000004">
      <c r="A1166" s="20">
        <v>6120</v>
      </c>
      <c r="B1166" s="2" t="s">
        <v>169</v>
      </c>
      <c r="C1166" s="2" t="s">
        <v>170</v>
      </c>
      <c r="D1166" s="2" t="s">
        <v>171</v>
      </c>
      <c r="E1166" s="2" t="s">
        <v>413</v>
      </c>
      <c r="F1166" s="2" t="s">
        <v>5016</v>
      </c>
      <c r="G1166" s="2" t="s">
        <v>4928</v>
      </c>
      <c r="H1166" s="2" t="s">
        <v>5033</v>
      </c>
      <c r="I1166" s="20">
        <v>7</v>
      </c>
      <c r="K1166" s="2" t="s">
        <v>5035</v>
      </c>
    </row>
    <row r="1167" spans="1:11" ht="15.35" x14ac:dyDescent="0.55000000000000004">
      <c r="A1167" s="20">
        <v>6132</v>
      </c>
      <c r="B1167" s="2" t="s">
        <v>169</v>
      </c>
      <c r="C1167" s="2" t="s">
        <v>170</v>
      </c>
      <c r="D1167" s="2" t="s">
        <v>171</v>
      </c>
      <c r="E1167" s="2" t="s">
        <v>413</v>
      </c>
      <c r="F1167" s="2" t="s">
        <v>5016</v>
      </c>
      <c r="G1167" s="2" t="s">
        <v>4939</v>
      </c>
      <c r="H1167" s="2" t="s">
        <v>5038</v>
      </c>
      <c r="I1167" s="20">
        <v>210.95</v>
      </c>
    </row>
    <row r="1168" spans="1:11" ht="15.35" x14ac:dyDescent="0.55000000000000004">
      <c r="A1168" s="20">
        <v>6133</v>
      </c>
      <c r="B1168" s="2" t="s">
        <v>169</v>
      </c>
      <c r="C1168" s="2" t="s">
        <v>170</v>
      </c>
      <c r="D1168" s="2" t="s">
        <v>171</v>
      </c>
      <c r="E1168" s="2" t="s">
        <v>413</v>
      </c>
      <c r="F1168" s="2" t="s">
        <v>5016</v>
      </c>
      <c r="G1168" s="2" t="s">
        <v>4939</v>
      </c>
      <c r="H1168" s="2" t="s">
        <v>5039</v>
      </c>
      <c r="I1168" s="20">
        <v>39.76</v>
      </c>
    </row>
    <row r="1169" spans="1:11" ht="15.35" x14ac:dyDescent="0.55000000000000004">
      <c r="A1169" s="20">
        <v>6138</v>
      </c>
      <c r="B1169" s="2" t="s">
        <v>169</v>
      </c>
      <c r="C1169" s="2" t="s">
        <v>170</v>
      </c>
      <c r="D1169" s="2" t="s">
        <v>171</v>
      </c>
      <c r="E1169" s="2" t="s">
        <v>413</v>
      </c>
      <c r="F1169" s="2" t="s">
        <v>5016</v>
      </c>
      <c r="G1169" s="2" t="s">
        <v>4928</v>
      </c>
      <c r="H1169" s="2" t="s">
        <v>5033</v>
      </c>
      <c r="I1169" s="20">
        <v>186</v>
      </c>
      <c r="K1169" s="2" t="s">
        <v>5034</v>
      </c>
    </row>
    <row r="1170" spans="1:11" ht="15.35" x14ac:dyDescent="0.55000000000000004">
      <c r="A1170" s="20">
        <v>6139</v>
      </c>
      <c r="B1170" s="2" t="s">
        <v>169</v>
      </c>
      <c r="C1170" s="2" t="s">
        <v>170</v>
      </c>
      <c r="D1170" s="2" t="s">
        <v>171</v>
      </c>
      <c r="E1170" s="2" t="s">
        <v>413</v>
      </c>
      <c r="F1170" s="2" t="s">
        <v>5016</v>
      </c>
      <c r="G1170" s="2" t="s">
        <v>4975</v>
      </c>
      <c r="H1170" s="2" t="s">
        <v>5046</v>
      </c>
      <c r="I1170" s="20">
        <v>62400</v>
      </c>
      <c r="J1170" s="2" t="s">
        <v>4977</v>
      </c>
    </row>
    <row r="1171" spans="1:11" ht="15.35" x14ac:dyDescent="0.55000000000000004">
      <c r="A1171" s="20">
        <v>6147</v>
      </c>
      <c r="B1171" s="2" t="s">
        <v>169</v>
      </c>
      <c r="C1171" s="2" t="s">
        <v>170</v>
      </c>
      <c r="D1171" s="2" t="s">
        <v>171</v>
      </c>
      <c r="E1171" s="2" t="s">
        <v>413</v>
      </c>
      <c r="F1171" s="2" t="s">
        <v>5016</v>
      </c>
      <c r="G1171" s="2" t="s">
        <v>4975</v>
      </c>
      <c r="H1171" s="2" t="s">
        <v>5036</v>
      </c>
      <c r="I1171" s="20">
        <v>1848.17</v>
      </c>
      <c r="J1171" s="2" t="s">
        <v>4977</v>
      </c>
      <c r="K1171" s="2" t="s">
        <v>5037</v>
      </c>
    </row>
    <row r="1172" spans="1:11" ht="15.35" x14ac:dyDescent="0.55000000000000004">
      <c r="A1172" s="20">
        <v>6148</v>
      </c>
      <c r="B1172" s="2" t="s">
        <v>169</v>
      </c>
      <c r="C1172" s="2" t="s">
        <v>170</v>
      </c>
      <c r="D1172" s="2" t="s">
        <v>171</v>
      </c>
      <c r="E1172" s="2" t="s">
        <v>413</v>
      </c>
      <c r="F1172" s="2" t="s">
        <v>5016</v>
      </c>
      <c r="G1172" s="2" t="s">
        <v>4975</v>
      </c>
      <c r="H1172" s="2" t="s">
        <v>5036</v>
      </c>
      <c r="I1172" s="20">
        <v>165.73</v>
      </c>
      <c r="J1172" s="2" t="s">
        <v>4977</v>
      </c>
      <c r="K1172" s="2" t="s">
        <v>5047</v>
      </c>
    </row>
    <row r="1173" spans="1:11" ht="15.35" x14ac:dyDescent="0.55000000000000004">
      <c r="A1173" s="20">
        <v>6168</v>
      </c>
      <c r="B1173" s="2" t="s">
        <v>169</v>
      </c>
      <c r="C1173" s="2" t="s">
        <v>170</v>
      </c>
      <c r="D1173" s="2" t="s">
        <v>171</v>
      </c>
      <c r="E1173" s="2" t="s">
        <v>413</v>
      </c>
      <c r="F1173" s="2" t="s">
        <v>5016</v>
      </c>
      <c r="G1173" s="2" t="s">
        <v>4975</v>
      </c>
      <c r="H1173" s="2" t="s">
        <v>5036</v>
      </c>
      <c r="I1173" s="20">
        <v>265.45</v>
      </c>
      <c r="J1173" s="2" t="s">
        <v>4977</v>
      </c>
      <c r="K1173" s="2" t="s">
        <v>5048</v>
      </c>
    </row>
    <row r="1174" spans="1:11" ht="15.35" x14ac:dyDescent="0.55000000000000004">
      <c r="A1174" s="20">
        <v>6170</v>
      </c>
      <c r="B1174" s="2" t="s">
        <v>169</v>
      </c>
      <c r="C1174" s="2" t="s">
        <v>170</v>
      </c>
      <c r="D1174" s="2" t="s">
        <v>171</v>
      </c>
      <c r="E1174" s="2" t="s">
        <v>413</v>
      </c>
      <c r="F1174" s="2" t="s">
        <v>5016</v>
      </c>
      <c r="G1174" s="2" t="s">
        <v>4975</v>
      </c>
      <c r="H1174" s="2" t="s">
        <v>5036</v>
      </c>
      <c r="I1174" s="20">
        <v>676.73</v>
      </c>
      <c r="J1174" s="2" t="s">
        <v>4977</v>
      </c>
      <c r="K1174" s="2" t="s">
        <v>5021</v>
      </c>
    </row>
    <row r="1175" spans="1:11" ht="15.35" x14ac:dyDescent="0.55000000000000004">
      <c r="A1175" s="20">
        <v>6172</v>
      </c>
      <c r="B1175" s="2" t="s">
        <v>169</v>
      </c>
      <c r="C1175" s="2" t="s">
        <v>170</v>
      </c>
      <c r="D1175" s="2" t="s">
        <v>171</v>
      </c>
      <c r="E1175" s="2" t="s">
        <v>413</v>
      </c>
      <c r="F1175" s="2" t="s">
        <v>5016</v>
      </c>
      <c r="G1175" s="2" t="s">
        <v>4975</v>
      </c>
      <c r="H1175" s="2" t="s">
        <v>5036</v>
      </c>
      <c r="I1175" s="20">
        <v>5769.46</v>
      </c>
      <c r="J1175" s="2" t="s">
        <v>4977</v>
      </c>
      <c r="K1175" s="2" t="s">
        <v>5040</v>
      </c>
    </row>
    <row r="1176" spans="1:11" ht="15.35" x14ac:dyDescent="0.55000000000000004">
      <c r="A1176" s="20">
        <v>15543</v>
      </c>
      <c r="B1176" s="2" t="s">
        <v>169</v>
      </c>
      <c r="C1176" s="2" t="s">
        <v>170</v>
      </c>
      <c r="D1176" s="2" t="s">
        <v>171</v>
      </c>
      <c r="E1176" s="2" t="s">
        <v>413</v>
      </c>
      <c r="F1176" s="2" t="s">
        <v>4948</v>
      </c>
      <c r="G1176" s="2" t="s">
        <v>4928</v>
      </c>
      <c r="H1176" s="2" t="s">
        <v>4934</v>
      </c>
      <c r="I1176" s="20">
        <v>43216.26</v>
      </c>
      <c r="J1176" s="2" t="s">
        <v>4935</v>
      </c>
    </row>
    <row r="1177" spans="1:11" ht="15.35" x14ac:dyDescent="0.55000000000000004">
      <c r="A1177" s="20">
        <v>15544</v>
      </c>
      <c r="B1177" s="2" t="s">
        <v>169</v>
      </c>
      <c r="C1177" s="2" t="s">
        <v>170</v>
      </c>
      <c r="D1177" s="2" t="s">
        <v>171</v>
      </c>
      <c r="E1177" s="2" t="s">
        <v>413</v>
      </c>
      <c r="F1177" s="2" t="s">
        <v>4948</v>
      </c>
      <c r="G1177" s="2" t="s">
        <v>4928</v>
      </c>
      <c r="H1177" s="2" t="s">
        <v>4936</v>
      </c>
      <c r="I1177" s="20">
        <v>42627.3</v>
      </c>
      <c r="J1177" s="2" t="s">
        <v>4935</v>
      </c>
    </row>
    <row r="1178" spans="1:11" ht="15.35" x14ac:dyDescent="0.55000000000000004">
      <c r="A1178" s="20">
        <v>15545</v>
      </c>
      <c r="B1178" s="2" t="s">
        <v>169</v>
      </c>
      <c r="C1178" s="2" t="s">
        <v>170</v>
      </c>
      <c r="D1178" s="2" t="s">
        <v>171</v>
      </c>
      <c r="E1178" s="2" t="s">
        <v>413</v>
      </c>
      <c r="F1178" s="2" t="s">
        <v>4948</v>
      </c>
      <c r="G1178" s="2" t="s">
        <v>4931</v>
      </c>
      <c r="H1178" s="2" t="s">
        <v>4937</v>
      </c>
      <c r="I1178" s="20">
        <v>98.64</v>
      </c>
      <c r="J1178" s="2" t="s">
        <v>4933</v>
      </c>
    </row>
    <row r="1179" spans="1:11" ht="15.35" x14ac:dyDescent="0.55000000000000004">
      <c r="A1179" s="20">
        <v>15546</v>
      </c>
      <c r="B1179" s="2" t="s">
        <v>169</v>
      </c>
      <c r="C1179" s="2" t="s">
        <v>170</v>
      </c>
      <c r="D1179" s="2" t="s">
        <v>171</v>
      </c>
      <c r="E1179" s="2" t="s">
        <v>413</v>
      </c>
      <c r="F1179" s="2" t="s">
        <v>4948</v>
      </c>
      <c r="G1179" s="2" t="s">
        <v>4939</v>
      </c>
      <c r="H1179" s="2" t="s">
        <v>4946</v>
      </c>
      <c r="I1179" s="20">
        <v>155.58000000000001</v>
      </c>
      <c r="J1179" s="2" t="s">
        <v>4941</v>
      </c>
    </row>
    <row r="1180" spans="1:11" ht="15.35" x14ac:dyDescent="0.55000000000000004">
      <c r="A1180" s="20">
        <v>15548</v>
      </c>
      <c r="B1180" s="2" t="s">
        <v>169</v>
      </c>
      <c r="C1180" s="2" t="s">
        <v>170</v>
      </c>
      <c r="D1180" s="2" t="s">
        <v>171</v>
      </c>
      <c r="E1180" s="2" t="s">
        <v>413</v>
      </c>
      <c r="F1180" s="2" t="s">
        <v>4948</v>
      </c>
      <c r="G1180" s="2" t="s">
        <v>4928</v>
      </c>
      <c r="H1180" s="2" t="s">
        <v>4953</v>
      </c>
      <c r="I1180" s="20">
        <v>4.0999999999999996</v>
      </c>
      <c r="J1180" s="2" t="s">
        <v>4930</v>
      </c>
    </row>
    <row r="1181" spans="1:11" ht="15.35" x14ac:dyDescent="0.55000000000000004">
      <c r="A1181" s="20">
        <v>15574</v>
      </c>
      <c r="B1181" s="2" t="s">
        <v>169</v>
      </c>
      <c r="C1181" s="2" t="s">
        <v>170</v>
      </c>
      <c r="D1181" s="2" t="s">
        <v>171</v>
      </c>
      <c r="E1181" s="2" t="s">
        <v>413</v>
      </c>
      <c r="F1181" s="2" t="s">
        <v>4948</v>
      </c>
      <c r="G1181" s="2" t="s">
        <v>4931</v>
      </c>
      <c r="H1181" s="2" t="s">
        <v>4952</v>
      </c>
      <c r="I1181" s="20">
        <v>99.19</v>
      </c>
      <c r="J1181" s="2" t="s">
        <v>4933</v>
      </c>
    </row>
    <row r="1182" spans="1:11" ht="15.35" x14ac:dyDescent="0.55000000000000004">
      <c r="A1182" s="20">
        <v>17447</v>
      </c>
      <c r="B1182" s="2" t="s">
        <v>169</v>
      </c>
      <c r="C1182" s="2" t="s">
        <v>170</v>
      </c>
      <c r="D1182" s="2" t="s">
        <v>171</v>
      </c>
      <c r="E1182" s="2" t="s">
        <v>413</v>
      </c>
      <c r="F1182" s="2" t="s">
        <v>4949</v>
      </c>
      <c r="G1182" s="2" t="s">
        <v>4928</v>
      </c>
      <c r="H1182" s="2" t="s">
        <v>4934</v>
      </c>
      <c r="I1182" s="20">
        <v>43216.26</v>
      </c>
      <c r="J1182" s="2" t="s">
        <v>4935</v>
      </c>
    </row>
    <row r="1183" spans="1:11" ht="15.35" x14ac:dyDescent="0.55000000000000004">
      <c r="A1183" s="20">
        <v>17448</v>
      </c>
      <c r="B1183" s="2" t="s">
        <v>169</v>
      </c>
      <c r="C1183" s="2" t="s">
        <v>170</v>
      </c>
      <c r="D1183" s="2" t="s">
        <v>171</v>
      </c>
      <c r="E1183" s="2" t="s">
        <v>413</v>
      </c>
      <c r="F1183" s="2" t="s">
        <v>4949</v>
      </c>
      <c r="G1183" s="2" t="s">
        <v>4928</v>
      </c>
      <c r="H1183" s="2" t="s">
        <v>4936</v>
      </c>
      <c r="I1183" s="20">
        <v>42792.41</v>
      </c>
      <c r="J1183" s="2" t="s">
        <v>4935</v>
      </c>
    </row>
    <row r="1184" spans="1:11" ht="15.35" x14ac:dyDescent="0.55000000000000004">
      <c r="A1184" s="20">
        <v>17449</v>
      </c>
      <c r="B1184" s="2" t="s">
        <v>169</v>
      </c>
      <c r="C1184" s="2" t="s">
        <v>170</v>
      </c>
      <c r="D1184" s="2" t="s">
        <v>171</v>
      </c>
      <c r="E1184" s="2" t="s">
        <v>413</v>
      </c>
      <c r="F1184" s="2" t="s">
        <v>4949</v>
      </c>
      <c r="G1184" s="2" t="s">
        <v>4931</v>
      </c>
      <c r="H1184" s="2" t="s">
        <v>4937</v>
      </c>
      <c r="I1184" s="20">
        <v>99.02</v>
      </c>
      <c r="J1184" s="2" t="s">
        <v>4933</v>
      </c>
    </row>
    <row r="1185" spans="1:10" ht="15.35" x14ac:dyDescent="0.55000000000000004">
      <c r="A1185" s="20">
        <v>17450</v>
      </c>
      <c r="B1185" s="2" t="s">
        <v>169</v>
      </c>
      <c r="C1185" s="2" t="s">
        <v>170</v>
      </c>
      <c r="D1185" s="2" t="s">
        <v>171</v>
      </c>
      <c r="E1185" s="2" t="s">
        <v>413</v>
      </c>
      <c r="F1185" s="2" t="s">
        <v>4949</v>
      </c>
      <c r="G1185" s="2" t="s">
        <v>4939</v>
      </c>
      <c r="H1185" s="2" t="s">
        <v>4946</v>
      </c>
      <c r="I1185" s="20">
        <v>155.36000000000001</v>
      </c>
      <c r="J1185" s="2" t="s">
        <v>4941</v>
      </c>
    </row>
    <row r="1186" spans="1:10" ht="15.35" x14ac:dyDescent="0.55000000000000004">
      <c r="A1186" s="20">
        <v>17451</v>
      </c>
      <c r="B1186" s="2" t="s">
        <v>169</v>
      </c>
      <c r="C1186" s="2" t="s">
        <v>170</v>
      </c>
      <c r="D1186" s="2" t="s">
        <v>171</v>
      </c>
      <c r="E1186" s="2" t="s">
        <v>413</v>
      </c>
      <c r="F1186" s="2" t="s">
        <v>4949</v>
      </c>
      <c r="G1186" s="2" t="s">
        <v>4928</v>
      </c>
      <c r="H1186" s="2" t="s">
        <v>4953</v>
      </c>
      <c r="I1186" s="20">
        <v>3.95</v>
      </c>
      <c r="J1186" s="2" t="s">
        <v>4930</v>
      </c>
    </row>
    <row r="1187" spans="1:10" ht="15.35" x14ac:dyDescent="0.55000000000000004">
      <c r="A1187" s="20">
        <v>17452</v>
      </c>
      <c r="B1187" s="2" t="s">
        <v>169</v>
      </c>
      <c r="C1187" s="2" t="s">
        <v>170</v>
      </c>
      <c r="D1187" s="2" t="s">
        <v>171</v>
      </c>
      <c r="E1187" s="2" t="s">
        <v>413</v>
      </c>
      <c r="F1187" s="2" t="s">
        <v>4949</v>
      </c>
      <c r="G1187" s="2" t="s">
        <v>4931</v>
      </c>
      <c r="H1187" s="2" t="s">
        <v>4952</v>
      </c>
      <c r="I1187" s="20">
        <v>98.27</v>
      </c>
      <c r="J1187" s="2" t="s">
        <v>4933</v>
      </c>
    </row>
    <row r="1188" spans="1:10" ht="15.35" x14ac:dyDescent="0.55000000000000004">
      <c r="A1188" s="20">
        <v>18484</v>
      </c>
      <c r="B1188" s="2" t="s">
        <v>169</v>
      </c>
      <c r="C1188" s="2" t="s">
        <v>170</v>
      </c>
      <c r="D1188" s="2" t="s">
        <v>171</v>
      </c>
      <c r="E1188" s="2" t="s">
        <v>413</v>
      </c>
      <c r="F1188" s="2" t="s">
        <v>4950</v>
      </c>
      <c r="G1188" s="2" t="s">
        <v>4931</v>
      </c>
      <c r="H1188" s="2" t="s">
        <v>4952</v>
      </c>
      <c r="I1188" s="20">
        <v>98.81</v>
      </c>
      <c r="J1188" s="2" t="s">
        <v>4933</v>
      </c>
    </row>
    <row r="1189" spans="1:10" ht="15.35" x14ac:dyDescent="0.55000000000000004">
      <c r="A1189" s="20">
        <v>18485</v>
      </c>
      <c r="B1189" s="2" t="s">
        <v>169</v>
      </c>
      <c r="C1189" s="2" t="s">
        <v>170</v>
      </c>
      <c r="D1189" s="2" t="s">
        <v>171</v>
      </c>
      <c r="E1189" s="2" t="s">
        <v>413</v>
      </c>
      <c r="F1189" s="2" t="s">
        <v>4950</v>
      </c>
      <c r="G1189" s="2" t="s">
        <v>4928</v>
      </c>
      <c r="H1189" s="2" t="s">
        <v>4953</v>
      </c>
      <c r="I1189" s="20">
        <v>3.87</v>
      </c>
      <c r="J1189" s="2" t="s">
        <v>4930</v>
      </c>
    </row>
    <row r="1190" spans="1:10" ht="15.35" x14ac:dyDescent="0.55000000000000004">
      <c r="A1190" s="20">
        <v>18486</v>
      </c>
      <c r="B1190" s="2" t="s">
        <v>169</v>
      </c>
      <c r="C1190" s="2" t="s">
        <v>170</v>
      </c>
      <c r="D1190" s="2" t="s">
        <v>171</v>
      </c>
      <c r="E1190" s="2" t="s">
        <v>413</v>
      </c>
      <c r="F1190" s="2" t="s">
        <v>4950</v>
      </c>
      <c r="G1190" s="2" t="s">
        <v>4939</v>
      </c>
      <c r="H1190" s="2" t="s">
        <v>4946</v>
      </c>
      <c r="I1190" s="20">
        <v>150.6</v>
      </c>
      <c r="J1190" s="2" t="s">
        <v>4941</v>
      </c>
    </row>
    <row r="1191" spans="1:10" ht="15.35" x14ac:dyDescent="0.55000000000000004">
      <c r="A1191" s="20">
        <v>18487</v>
      </c>
      <c r="B1191" s="2" t="s">
        <v>169</v>
      </c>
      <c r="C1191" s="2" t="s">
        <v>170</v>
      </c>
      <c r="D1191" s="2" t="s">
        <v>171</v>
      </c>
      <c r="E1191" s="2" t="s">
        <v>413</v>
      </c>
      <c r="F1191" s="2" t="s">
        <v>4950</v>
      </c>
      <c r="G1191" s="2" t="s">
        <v>4931</v>
      </c>
      <c r="H1191" s="2" t="s">
        <v>4937</v>
      </c>
      <c r="I1191" s="20">
        <v>98.27</v>
      </c>
      <c r="J1191" s="2" t="s">
        <v>4933</v>
      </c>
    </row>
    <row r="1192" spans="1:10" ht="15.35" x14ac:dyDescent="0.55000000000000004">
      <c r="A1192" s="20">
        <v>18488</v>
      </c>
      <c r="B1192" s="2" t="s">
        <v>169</v>
      </c>
      <c r="C1192" s="2" t="s">
        <v>170</v>
      </c>
      <c r="D1192" s="2" t="s">
        <v>171</v>
      </c>
      <c r="E1192" s="2" t="s">
        <v>413</v>
      </c>
      <c r="F1192" s="2" t="s">
        <v>4950</v>
      </c>
      <c r="G1192" s="2" t="s">
        <v>4928</v>
      </c>
      <c r="H1192" s="2" t="s">
        <v>4936</v>
      </c>
      <c r="I1192" s="20">
        <v>42464.71</v>
      </c>
      <c r="J1192" s="2" t="s">
        <v>4935</v>
      </c>
    </row>
    <row r="1193" spans="1:10" ht="15.35" x14ac:dyDescent="0.55000000000000004">
      <c r="A1193" s="20">
        <v>18489</v>
      </c>
      <c r="B1193" s="2" t="s">
        <v>169</v>
      </c>
      <c r="C1193" s="2" t="s">
        <v>170</v>
      </c>
      <c r="D1193" s="2" t="s">
        <v>171</v>
      </c>
      <c r="E1193" s="2" t="s">
        <v>413</v>
      </c>
      <c r="F1193" s="2" t="s">
        <v>4950</v>
      </c>
      <c r="G1193" s="2" t="s">
        <v>4928</v>
      </c>
      <c r="H1193" s="2" t="s">
        <v>4934</v>
      </c>
      <c r="I1193" s="20">
        <v>43214.1</v>
      </c>
      <c r="J1193" s="2" t="s">
        <v>4935</v>
      </c>
    </row>
    <row r="1194" spans="1:10" ht="15.35" x14ac:dyDescent="0.55000000000000004">
      <c r="A1194" s="20">
        <v>5842</v>
      </c>
      <c r="B1194" s="2" t="s">
        <v>176</v>
      </c>
      <c r="C1194" s="2" t="s">
        <v>177</v>
      </c>
      <c r="D1194" s="2" t="s">
        <v>178</v>
      </c>
      <c r="E1194" s="2" t="s">
        <v>417</v>
      </c>
      <c r="F1194" s="2" t="s">
        <v>4979</v>
      </c>
      <c r="G1194" s="2" t="s">
        <v>4928</v>
      </c>
      <c r="H1194" s="2" t="s">
        <v>5049</v>
      </c>
      <c r="I1194" s="20">
        <v>10.76</v>
      </c>
      <c r="J1194" s="2" t="s">
        <v>4933</v>
      </c>
    </row>
    <row r="1195" spans="1:10" ht="15.35" x14ac:dyDescent="0.55000000000000004">
      <c r="A1195" s="20">
        <v>5843</v>
      </c>
      <c r="B1195" s="2" t="s">
        <v>176</v>
      </c>
      <c r="C1195" s="2" t="s">
        <v>177</v>
      </c>
      <c r="D1195" s="2" t="s">
        <v>178</v>
      </c>
      <c r="E1195" s="2" t="s">
        <v>417</v>
      </c>
      <c r="F1195" s="2" t="s">
        <v>4979</v>
      </c>
      <c r="G1195" s="2" t="s">
        <v>4975</v>
      </c>
      <c r="H1195" s="2" t="s">
        <v>5050</v>
      </c>
      <c r="I1195" s="20">
        <v>1998.74</v>
      </c>
      <c r="J1195" s="2" t="s">
        <v>4977</v>
      </c>
    </row>
    <row r="1196" spans="1:10" ht="15.35" x14ac:dyDescent="0.55000000000000004">
      <c r="A1196" s="20">
        <v>5850</v>
      </c>
      <c r="B1196" s="2" t="s">
        <v>176</v>
      </c>
      <c r="C1196" s="2" t="s">
        <v>177</v>
      </c>
      <c r="D1196" s="2" t="s">
        <v>178</v>
      </c>
      <c r="E1196" s="2" t="s">
        <v>417</v>
      </c>
      <c r="F1196" s="2" t="s">
        <v>4979</v>
      </c>
      <c r="G1196" s="2" t="s">
        <v>4928</v>
      </c>
      <c r="H1196" s="2" t="s">
        <v>5051</v>
      </c>
      <c r="I1196" s="20">
        <v>2676.79</v>
      </c>
      <c r="J1196" s="2" t="s">
        <v>5052</v>
      </c>
    </row>
    <row r="1197" spans="1:10" ht="15.35" x14ac:dyDescent="0.55000000000000004">
      <c r="A1197" s="20">
        <v>5854</v>
      </c>
      <c r="B1197" s="2" t="s">
        <v>176</v>
      </c>
      <c r="C1197" s="2" t="s">
        <v>177</v>
      </c>
      <c r="D1197" s="2" t="s">
        <v>178</v>
      </c>
      <c r="E1197" s="2" t="s">
        <v>417</v>
      </c>
      <c r="F1197" s="2" t="s">
        <v>4979</v>
      </c>
      <c r="G1197" s="2" t="s">
        <v>4928</v>
      </c>
      <c r="H1197" s="2" t="s">
        <v>5053</v>
      </c>
      <c r="I1197" s="20">
        <v>314.22000000000003</v>
      </c>
      <c r="J1197" s="2" t="s">
        <v>5052</v>
      </c>
    </row>
    <row r="1198" spans="1:10" ht="15.35" x14ac:dyDescent="0.55000000000000004">
      <c r="A1198" s="20">
        <v>5859</v>
      </c>
      <c r="B1198" s="2" t="s">
        <v>176</v>
      </c>
      <c r="C1198" s="2" t="s">
        <v>177</v>
      </c>
      <c r="D1198" s="2" t="s">
        <v>178</v>
      </c>
      <c r="E1198" s="2" t="s">
        <v>417</v>
      </c>
      <c r="F1198" s="2" t="s">
        <v>4979</v>
      </c>
      <c r="G1198" s="2" t="s">
        <v>4975</v>
      </c>
      <c r="H1198" s="2" t="s">
        <v>5054</v>
      </c>
      <c r="I1198" s="20">
        <v>19066.87</v>
      </c>
      <c r="J1198" s="2" t="s">
        <v>4977</v>
      </c>
    </row>
    <row r="1199" spans="1:10" ht="15.35" x14ac:dyDescent="0.55000000000000004">
      <c r="A1199" s="20">
        <v>5861</v>
      </c>
      <c r="B1199" s="2" t="s">
        <v>176</v>
      </c>
      <c r="C1199" s="2" t="s">
        <v>177</v>
      </c>
      <c r="D1199" s="2" t="s">
        <v>178</v>
      </c>
      <c r="E1199" s="2" t="s">
        <v>417</v>
      </c>
      <c r="F1199" s="2" t="s">
        <v>4979</v>
      </c>
      <c r="G1199" s="2" t="s">
        <v>4975</v>
      </c>
      <c r="H1199" s="2" t="s">
        <v>5055</v>
      </c>
      <c r="I1199" s="20">
        <v>163189.01999999999</v>
      </c>
      <c r="J1199" s="2" t="s">
        <v>4977</v>
      </c>
    </row>
    <row r="1200" spans="1:10" ht="15.35" x14ac:dyDescent="0.55000000000000004">
      <c r="A1200" s="20">
        <v>5865</v>
      </c>
      <c r="B1200" s="2" t="s">
        <v>176</v>
      </c>
      <c r="C1200" s="2" t="s">
        <v>177</v>
      </c>
      <c r="D1200" s="2" t="s">
        <v>178</v>
      </c>
      <c r="E1200" s="2" t="s">
        <v>417</v>
      </c>
      <c r="F1200" s="2" t="s">
        <v>4979</v>
      </c>
      <c r="G1200" s="2" t="s">
        <v>4975</v>
      </c>
      <c r="H1200" s="2" t="s">
        <v>5056</v>
      </c>
      <c r="I1200" s="20">
        <v>144122.15</v>
      </c>
      <c r="J1200" s="2" t="s">
        <v>4977</v>
      </c>
    </row>
    <row r="1201" spans="1:10" ht="15.35" x14ac:dyDescent="0.55000000000000004">
      <c r="A1201" s="20">
        <v>5869</v>
      </c>
      <c r="B1201" s="2" t="s">
        <v>176</v>
      </c>
      <c r="C1201" s="2" t="s">
        <v>177</v>
      </c>
      <c r="D1201" s="2" t="s">
        <v>178</v>
      </c>
      <c r="E1201" s="2" t="s">
        <v>417</v>
      </c>
      <c r="F1201" s="2" t="s">
        <v>4979</v>
      </c>
      <c r="G1201" s="2" t="s">
        <v>4975</v>
      </c>
      <c r="H1201" s="2" t="s">
        <v>5057</v>
      </c>
      <c r="I1201" s="20">
        <v>17157.72</v>
      </c>
      <c r="J1201" s="2" t="s">
        <v>4977</v>
      </c>
    </row>
    <row r="1202" spans="1:10" ht="15.35" x14ac:dyDescent="0.55000000000000004">
      <c r="A1202" s="20">
        <v>5873</v>
      </c>
      <c r="B1202" s="2" t="s">
        <v>176</v>
      </c>
      <c r="C1202" s="2" t="s">
        <v>177</v>
      </c>
      <c r="D1202" s="2" t="s">
        <v>178</v>
      </c>
      <c r="E1202" s="2" t="s">
        <v>417</v>
      </c>
      <c r="F1202" s="2" t="s">
        <v>4979</v>
      </c>
      <c r="G1202" s="2" t="s">
        <v>4931</v>
      </c>
      <c r="H1202" s="2" t="s">
        <v>5058</v>
      </c>
      <c r="I1202" s="20">
        <v>13.45</v>
      </c>
      <c r="J1202" s="2" t="s">
        <v>4933</v>
      </c>
    </row>
    <row r="1203" spans="1:10" ht="15.35" x14ac:dyDescent="0.55000000000000004">
      <c r="A1203" s="20">
        <v>5877</v>
      </c>
      <c r="B1203" s="2" t="s">
        <v>176</v>
      </c>
      <c r="C1203" s="2" t="s">
        <v>177</v>
      </c>
      <c r="D1203" s="2" t="s">
        <v>178</v>
      </c>
      <c r="E1203" s="2" t="s">
        <v>417</v>
      </c>
      <c r="F1203" s="2" t="s">
        <v>4979</v>
      </c>
      <c r="G1203" s="2" t="s">
        <v>4931</v>
      </c>
      <c r="H1203" s="2" t="s">
        <v>5041</v>
      </c>
      <c r="I1203" s="20">
        <v>98.26</v>
      </c>
      <c r="J1203" s="2" t="s">
        <v>4933</v>
      </c>
    </row>
    <row r="1204" spans="1:10" ht="15.35" x14ac:dyDescent="0.55000000000000004">
      <c r="A1204" s="20">
        <v>5841</v>
      </c>
      <c r="B1204" s="2" t="s">
        <v>176</v>
      </c>
      <c r="C1204" s="2" t="s">
        <v>177</v>
      </c>
      <c r="D1204" s="2" t="s">
        <v>178</v>
      </c>
      <c r="E1204" s="2" t="s">
        <v>417</v>
      </c>
      <c r="F1204" s="2" t="s">
        <v>4980</v>
      </c>
      <c r="G1204" s="2" t="s">
        <v>4975</v>
      </c>
      <c r="H1204" s="2" t="s">
        <v>5050</v>
      </c>
      <c r="I1204" s="20">
        <v>2237.5700000000002</v>
      </c>
      <c r="J1204" s="2" t="s">
        <v>4977</v>
      </c>
    </row>
    <row r="1205" spans="1:10" ht="15.35" x14ac:dyDescent="0.55000000000000004">
      <c r="A1205" s="20">
        <v>5846</v>
      </c>
      <c r="B1205" s="2" t="s">
        <v>176</v>
      </c>
      <c r="C1205" s="2" t="s">
        <v>177</v>
      </c>
      <c r="D1205" s="2" t="s">
        <v>178</v>
      </c>
      <c r="E1205" s="2" t="s">
        <v>417</v>
      </c>
      <c r="F1205" s="2" t="s">
        <v>4980</v>
      </c>
      <c r="G1205" s="2" t="s">
        <v>4928</v>
      </c>
      <c r="H1205" s="2" t="s">
        <v>5049</v>
      </c>
      <c r="I1205" s="20">
        <v>8.99</v>
      </c>
      <c r="J1205" s="2" t="s">
        <v>4933</v>
      </c>
    </row>
    <row r="1206" spans="1:10" ht="15.35" x14ac:dyDescent="0.55000000000000004">
      <c r="A1206" s="20">
        <v>5853</v>
      </c>
      <c r="B1206" s="2" t="s">
        <v>176</v>
      </c>
      <c r="C1206" s="2" t="s">
        <v>177</v>
      </c>
      <c r="D1206" s="2" t="s">
        <v>178</v>
      </c>
      <c r="E1206" s="2" t="s">
        <v>417</v>
      </c>
      <c r="F1206" s="2" t="s">
        <v>4980</v>
      </c>
      <c r="G1206" s="2" t="s">
        <v>4928</v>
      </c>
      <c r="H1206" s="2" t="s">
        <v>5053</v>
      </c>
      <c r="I1206" s="20">
        <v>362.83</v>
      </c>
      <c r="J1206" s="2" t="s">
        <v>5052</v>
      </c>
    </row>
    <row r="1207" spans="1:10" ht="15.35" x14ac:dyDescent="0.55000000000000004">
      <c r="A1207" s="20">
        <v>5857</v>
      </c>
      <c r="B1207" s="2" t="s">
        <v>176</v>
      </c>
      <c r="C1207" s="2" t="s">
        <v>177</v>
      </c>
      <c r="D1207" s="2" t="s">
        <v>178</v>
      </c>
      <c r="E1207" s="2" t="s">
        <v>417</v>
      </c>
      <c r="F1207" s="2" t="s">
        <v>4980</v>
      </c>
      <c r="G1207" s="2" t="s">
        <v>4928</v>
      </c>
      <c r="H1207" s="2" t="s">
        <v>5051</v>
      </c>
      <c r="I1207" s="20">
        <v>3259.49</v>
      </c>
      <c r="J1207" s="2" t="s">
        <v>5052</v>
      </c>
    </row>
    <row r="1208" spans="1:10" ht="15.35" x14ac:dyDescent="0.55000000000000004">
      <c r="A1208" s="20">
        <v>5860</v>
      </c>
      <c r="B1208" s="2" t="s">
        <v>176</v>
      </c>
      <c r="C1208" s="2" t="s">
        <v>177</v>
      </c>
      <c r="D1208" s="2" t="s">
        <v>178</v>
      </c>
      <c r="E1208" s="2" t="s">
        <v>417</v>
      </c>
      <c r="F1208" s="2" t="s">
        <v>4980</v>
      </c>
      <c r="G1208" s="2" t="s">
        <v>4975</v>
      </c>
      <c r="H1208" s="2" t="s">
        <v>5055</v>
      </c>
      <c r="I1208" s="20">
        <v>198816.73</v>
      </c>
      <c r="J1208" s="2" t="s">
        <v>4977</v>
      </c>
    </row>
    <row r="1209" spans="1:10" ht="15.35" x14ac:dyDescent="0.55000000000000004">
      <c r="A1209" s="20">
        <v>5864</v>
      </c>
      <c r="B1209" s="2" t="s">
        <v>176</v>
      </c>
      <c r="C1209" s="2" t="s">
        <v>177</v>
      </c>
      <c r="D1209" s="2" t="s">
        <v>178</v>
      </c>
      <c r="E1209" s="2" t="s">
        <v>417</v>
      </c>
      <c r="F1209" s="2" t="s">
        <v>4980</v>
      </c>
      <c r="G1209" s="2" t="s">
        <v>4975</v>
      </c>
      <c r="H1209" s="2" t="s">
        <v>5056</v>
      </c>
      <c r="I1209" s="20">
        <v>172642.18</v>
      </c>
      <c r="J1209" s="2" t="s">
        <v>4977</v>
      </c>
    </row>
    <row r="1210" spans="1:10" ht="15.35" x14ac:dyDescent="0.55000000000000004">
      <c r="A1210" s="20">
        <v>5868</v>
      </c>
      <c r="B1210" s="2" t="s">
        <v>176</v>
      </c>
      <c r="C1210" s="2" t="s">
        <v>177</v>
      </c>
      <c r="D1210" s="2" t="s">
        <v>178</v>
      </c>
      <c r="E1210" s="2" t="s">
        <v>417</v>
      </c>
      <c r="F1210" s="2" t="s">
        <v>4980</v>
      </c>
      <c r="G1210" s="2" t="s">
        <v>4975</v>
      </c>
      <c r="H1210" s="2" t="s">
        <v>5057</v>
      </c>
      <c r="I1210" s="20">
        <v>19893.419999999998</v>
      </c>
      <c r="J1210" s="2" t="s">
        <v>4977</v>
      </c>
    </row>
    <row r="1211" spans="1:10" ht="15.35" x14ac:dyDescent="0.55000000000000004">
      <c r="A1211" s="20">
        <v>5872</v>
      </c>
      <c r="B1211" s="2" t="s">
        <v>176</v>
      </c>
      <c r="C1211" s="2" t="s">
        <v>177</v>
      </c>
      <c r="D1211" s="2" t="s">
        <v>178</v>
      </c>
      <c r="E1211" s="2" t="s">
        <v>417</v>
      </c>
      <c r="F1211" s="2" t="s">
        <v>4980</v>
      </c>
      <c r="G1211" s="2" t="s">
        <v>4931</v>
      </c>
      <c r="H1211" s="2" t="s">
        <v>5058</v>
      </c>
      <c r="I1211" s="20">
        <v>13.02</v>
      </c>
      <c r="J1211" s="2" t="s">
        <v>4933</v>
      </c>
    </row>
    <row r="1212" spans="1:10" ht="15.35" x14ac:dyDescent="0.55000000000000004">
      <c r="A1212" s="20">
        <v>5876</v>
      </c>
      <c r="B1212" s="2" t="s">
        <v>176</v>
      </c>
      <c r="C1212" s="2" t="s">
        <v>177</v>
      </c>
      <c r="D1212" s="2" t="s">
        <v>178</v>
      </c>
      <c r="E1212" s="2" t="s">
        <v>417</v>
      </c>
      <c r="F1212" s="2" t="s">
        <v>4980</v>
      </c>
      <c r="G1212" s="2" t="s">
        <v>4931</v>
      </c>
      <c r="H1212" s="2" t="s">
        <v>5041</v>
      </c>
      <c r="I1212" s="20">
        <v>98.1</v>
      </c>
      <c r="J1212" s="2" t="s">
        <v>4933</v>
      </c>
    </row>
    <row r="1213" spans="1:10" ht="15.35" x14ac:dyDescent="0.55000000000000004">
      <c r="A1213" s="20">
        <v>5878</v>
      </c>
      <c r="B1213" s="2" t="s">
        <v>176</v>
      </c>
      <c r="C1213" s="2" t="s">
        <v>177</v>
      </c>
      <c r="D1213" s="2" t="s">
        <v>178</v>
      </c>
      <c r="E1213" s="2" t="s">
        <v>417</v>
      </c>
      <c r="F1213" s="2" t="s">
        <v>4980</v>
      </c>
      <c r="G1213" s="2" t="s">
        <v>4975</v>
      </c>
      <c r="H1213" s="2" t="s">
        <v>5054</v>
      </c>
      <c r="I1213" s="20">
        <v>26174.55</v>
      </c>
      <c r="J1213" s="2" t="s">
        <v>4977</v>
      </c>
    </row>
    <row r="1214" spans="1:10" ht="15.35" x14ac:dyDescent="0.55000000000000004">
      <c r="A1214" s="20">
        <v>5845</v>
      </c>
      <c r="B1214" s="2" t="s">
        <v>176</v>
      </c>
      <c r="C1214" s="2" t="s">
        <v>177</v>
      </c>
      <c r="D1214" s="2" t="s">
        <v>178</v>
      </c>
      <c r="E1214" s="2" t="s">
        <v>417</v>
      </c>
      <c r="F1214" s="2" t="s">
        <v>5016</v>
      </c>
      <c r="G1214" s="2" t="s">
        <v>4928</v>
      </c>
      <c r="H1214" s="2" t="s">
        <v>5049</v>
      </c>
      <c r="I1214" s="20">
        <v>8.7899999999999991</v>
      </c>
      <c r="J1214" s="2" t="s">
        <v>4933</v>
      </c>
    </row>
    <row r="1215" spans="1:10" ht="15.35" x14ac:dyDescent="0.55000000000000004">
      <c r="A1215" s="20">
        <v>5849</v>
      </c>
      <c r="B1215" s="2" t="s">
        <v>176</v>
      </c>
      <c r="C1215" s="2" t="s">
        <v>177</v>
      </c>
      <c r="D1215" s="2" t="s">
        <v>178</v>
      </c>
      <c r="E1215" s="2" t="s">
        <v>417</v>
      </c>
      <c r="F1215" s="2" t="s">
        <v>5016</v>
      </c>
      <c r="G1215" s="2" t="s">
        <v>4928</v>
      </c>
      <c r="H1215" s="2" t="s">
        <v>5051</v>
      </c>
      <c r="I1215" s="20">
        <v>3225.74</v>
      </c>
      <c r="J1215" s="2" t="s">
        <v>5052</v>
      </c>
    </row>
    <row r="1216" spans="1:10" ht="15.35" x14ac:dyDescent="0.55000000000000004">
      <c r="A1216" s="20">
        <v>5852</v>
      </c>
      <c r="B1216" s="2" t="s">
        <v>176</v>
      </c>
      <c r="C1216" s="2" t="s">
        <v>177</v>
      </c>
      <c r="D1216" s="2" t="s">
        <v>178</v>
      </c>
      <c r="E1216" s="2" t="s">
        <v>417</v>
      </c>
      <c r="F1216" s="2" t="s">
        <v>5016</v>
      </c>
      <c r="G1216" s="2" t="s">
        <v>4928</v>
      </c>
      <c r="H1216" s="2" t="s">
        <v>5053</v>
      </c>
      <c r="I1216" s="20">
        <v>369.93</v>
      </c>
      <c r="J1216" s="2" t="s">
        <v>5052</v>
      </c>
    </row>
    <row r="1217" spans="1:10" ht="15.35" x14ac:dyDescent="0.55000000000000004">
      <c r="A1217" s="20">
        <v>5855</v>
      </c>
      <c r="B1217" s="2" t="s">
        <v>176</v>
      </c>
      <c r="C1217" s="2" t="s">
        <v>177</v>
      </c>
      <c r="D1217" s="2" t="s">
        <v>178</v>
      </c>
      <c r="E1217" s="2" t="s">
        <v>417</v>
      </c>
      <c r="F1217" s="2" t="s">
        <v>5016</v>
      </c>
      <c r="G1217" s="2" t="s">
        <v>4931</v>
      </c>
      <c r="H1217" s="2" t="s">
        <v>5041</v>
      </c>
      <c r="I1217" s="20">
        <v>97.57</v>
      </c>
      <c r="J1217" s="2" t="s">
        <v>4933</v>
      </c>
    </row>
    <row r="1218" spans="1:10" ht="15.35" x14ac:dyDescent="0.55000000000000004">
      <c r="A1218" s="20">
        <v>5856</v>
      </c>
      <c r="B1218" s="2" t="s">
        <v>176</v>
      </c>
      <c r="C1218" s="2" t="s">
        <v>177</v>
      </c>
      <c r="D1218" s="2" t="s">
        <v>178</v>
      </c>
      <c r="E1218" s="2" t="s">
        <v>417</v>
      </c>
      <c r="F1218" s="2" t="s">
        <v>5016</v>
      </c>
      <c r="G1218" s="2" t="s">
        <v>4975</v>
      </c>
      <c r="H1218" s="2" t="s">
        <v>5050</v>
      </c>
      <c r="I1218" s="20">
        <v>2231.02</v>
      </c>
      <c r="J1218" s="2" t="s">
        <v>4977</v>
      </c>
    </row>
    <row r="1219" spans="1:10" ht="15.35" x14ac:dyDescent="0.55000000000000004">
      <c r="A1219" s="20">
        <v>5858</v>
      </c>
      <c r="B1219" s="2" t="s">
        <v>176</v>
      </c>
      <c r="C1219" s="2" t="s">
        <v>177</v>
      </c>
      <c r="D1219" s="2" t="s">
        <v>178</v>
      </c>
      <c r="E1219" s="2" t="s">
        <v>417</v>
      </c>
      <c r="F1219" s="2" t="s">
        <v>5016</v>
      </c>
      <c r="G1219" s="2" t="s">
        <v>4975</v>
      </c>
      <c r="H1219" s="2" t="s">
        <v>5055</v>
      </c>
      <c r="I1219" s="20">
        <v>197086.19</v>
      </c>
      <c r="J1219" s="2" t="s">
        <v>4977</v>
      </c>
    </row>
    <row r="1220" spans="1:10" ht="15.35" x14ac:dyDescent="0.55000000000000004">
      <c r="A1220" s="20">
        <v>5863</v>
      </c>
      <c r="B1220" s="2" t="s">
        <v>176</v>
      </c>
      <c r="C1220" s="2" t="s">
        <v>177</v>
      </c>
      <c r="D1220" s="2" t="s">
        <v>178</v>
      </c>
      <c r="E1220" s="2" t="s">
        <v>417</v>
      </c>
      <c r="F1220" s="2" t="s">
        <v>5016</v>
      </c>
      <c r="G1220" s="2" t="s">
        <v>4975</v>
      </c>
      <c r="H1220" s="2" t="s">
        <v>5056</v>
      </c>
      <c r="I1220" s="20">
        <v>173235.26</v>
      </c>
      <c r="J1220" s="2" t="s">
        <v>4977</v>
      </c>
    </row>
    <row r="1221" spans="1:10" ht="15.35" x14ac:dyDescent="0.55000000000000004">
      <c r="A1221" s="20">
        <v>5867</v>
      </c>
      <c r="B1221" s="2" t="s">
        <v>176</v>
      </c>
      <c r="C1221" s="2" t="s">
        <v>177</v>
      </c>
      <c r="D1221" s="2" t="s">
        <v>178</v>
      </c>
      <c r="E1221" s="2" t="s">
        <v>417</v>
      </c>
      <c r="F1221" s="2" t="s">
        <v>5016</v>
      </c>
      <c r="G1221" s="2" t="s">
        <v>4975</v>
      </c>
      <c r="H1221" s="2" t="s">
        <v>5057</v>
      </c>
      <c r="I1221" s="20">
        <v>20370.8</v>
      </c>
      <c r="J1221" s="2" t="s">
        <v>4977</v>
      </c>
    </row>
    <row r="1222" spans="1:10" ht="15.35" x14ac:dyDescent="0.55000000000000004">
      <c r="A1222" s="20">
        <v>5871</v>
      </c>
      <c r="B1222" s="2" t="s">
        <v>176</v>
      </c>
      <c r="C1222" s="2" t="s">
        <v>177</v>
      </c>
      <c r="D1222" s="2" t="s">
        <v>178</v>
      </c>
      <c r="E1222" s="2" t="s">
        <v>417</v>
      </c>
      <c r="F1222" s="2" t="s">
        <v>5016</v>
      </c>
      <c r="G1222" s="2" t="s">
        <v>4931</v>
      </c>
      <c r="H1222" s="2" t="s">
        <v>5058</v>
      </c>
      <c r="I1222" s="20">
        <v>13.29</v>
      </c>
      <c r="J1222" s="2" t="s">
        <v>4933</v>
      </c>
    </row>
    <row r="1223" spans="1:10" ht="15.35" x14ac:dyDescent="0.55000000000000004">
      <c r="A1223" s="20">
        <v>5875</v>
      </c>
      <c r="B1223" s="2" t="s">
        <v>176</v>
      </c>
      <c r="C1223" s="2" t="s">
        <v>177</v>
      </c>
      <c r="D1223" s="2" t="s">
        <v>178</v>
      </c>
      <c r="E1223" s="2" t="s">
        <v>417</v>
      </c>
      <c r="F1223" s="2" t="s">
        <v>5016</v>
      </c>
      <c r="G1223" s="2" t="s">
        <v>4975</v>
      </c>
      <c r="H1223" s="2" t="s">
        <v>5054</v>
      </c>
      <c r="I1223" s="20">
        <v>23850.93</v>
      </c>
      <c r="J1223" s="2" t="s">
        <v>4977</v>
      </c>
    </row>
    <row r="1224" spans="1:10" ht="15.35" x14ac:dyDescent="0.55000000000000004">
      <c r="A1224" s="20">
        <v>11516</v>
      </c>
      <c r="B1224" s="2" t="s">
        <v>176</v>
      </c>
      <c r="C1224" s="2" t="s">
        <v>177</v>
      </c>
      <c r="D1224" s="2" t="s">
        <v>178</v>
      </c>
      <c r="E1224" s="2" t="s">
        <v>417</v>
      </c>
      <c r="F1224" s="2" t="s">
        <v>4943</v>
      </c>
      <c r="G1224" s="2" t="s">
        <v>4975</v>
      </c>
      <c r="H1224" s="2" t="s">
        <v>5055</v>
      </c>
      <c r="I1224" s="20">
        <v>55221.36</v>
      </c>
      <c r="J1224" s="2" t="s">
        <v>4977</v>
      </c>
    </row>
    <row r="1225" spans="1:10" ht="15.35" x14ac:dyDescent="0.55000000000000004">
      <c r="A1225" s="20">
        <v>11544</v>
      </c>
      <c r="B1225" s="2" t="s">
        <v>176</v>
      </c>
      <c r="C1225" s="2" t="s">
        <v>177</v>
      </c>
      <c r="D1225" s="2" t="s">
        <v>178</v>
      </c>
      <c r="E1225" s="2" t="s">
        <v>417</v>
      </c>
      <c r="F1225" s="2" t="s">
        <v>4943</v>
      </c>
      <c r="G1225" s="2" t="s">
        <v>4928</v>
      </c>
      <c r="H1225" s="2" t="s">
        <v>5049</v>
      </c>
      <c r="I1225" s="20">
        <v>9.31</v>
      </c>
      <c r="J1225" s="2" t="s">
        <v>4933</v>
      </c>
    </row>
    <row r="1226" spans="1:10" ht="15.35" x14ac:dyDescent="0.55000000000000004">
      <c r="A1226" s="20">
        <v>11545</v>
      </c>
      <c r="B1226" s="2" t="s">
        <v>176</v>
      </c>
      <c r="C1226" s="2" t="s">
        <v>177</v>
      </c>
      <c r="D1226" s="2" t="s">
        <v>178</v>
      </c>
      <c r="E1226" s="2" t="s">
        <v>417</v>
      </c>
      <c r="F1226" s="2" t="s">
        <v>4943</v>
      </c>
      <c r="G1226" s="2" t="s">
        <v>4928</v>
      </c>
      <c r="H1226" s="2" t="s">
        <v>5051</v>
      </c>
      <c r="I1226" s="20">
        <v>3615.27</v>
      </c>
      <c r="J1226" s="2" t="s">
        <v>5052</v>
      </c>
    </row>
    <row r="1227" spans="1:10" ht="15.35" x14ac:dyDescent="0.55000000000000004">
      <c r="A1227" s="20">
        <v>11546</v>
      </c>
      <c r="B1227" s="2" t="s">
        <v>176</v>
      </c>
      <c r="C1227" s="2" t="s">
        <v>177</v>
      </c>
      <c r="D1227" s="2" t="s">
        <v>178</v>
      </c>
      <c r="E1227" s="2" t="s">
        <v>417</v>
      </c>
      <c r="F1227" s="2" t="s">
        <v>4943</v>
      </c>
      <c r="G1227" s="2" t="s">
        <v>4928</v>
      </c>
      <c r="H1227" s="2" t="s">
        <v>5053</v>
      </c>
      <c r="I1227" s="20">
        <v>393.73</v>
      </c>
      <c r="J1227" s="2" t="s">
        <v>5052</v>
      </c>
    </row>
    <row r="1228" spans="1:10" ht="15.35" x14ac:dyDescent="0.55000000000000004">
      <c r="A1228" s="20">
        <v>11547</v>
      </c>
      <c r="B1228" s="2" t="s">
        <v>176</v>
      </c>
      <c r="C1228" s="2" t="s">
        <v>177</v>
      </c>
      <c r="D1228" s="2" t="s">
        <v>178</v>
      </c>
      <c r="E1228" s="2" t="s">
        <v>417</v>
      </c>
      <c r="F1228" s="2" t="s">
        <v>4943</v>
      </c>
      <c r="G1228" s="2" t="s">
        <v>4931</v>
      </c>
      <c r="H1228" s="2" t="s">
        <v>5041</v>
      </c>
      <c r="I1228" s="20">
        <v>98.8</v>
      </c>
      <c r="J1228" s="2" t="s">
        <v>4933</v>
      </c>
    </row>
    <row r="1229" spans="1:10" ht="15.35" x14ac:dyDescent="0.55000000000000004">
      <c r="A1229" s="20">
        <v>11548</v>
      </c>
      <c r="B1229" s="2" t="s">
        <v>176</v>
      </c>
      <c r="C1229" s="2" t="s">
        <v>177</v>
      </c>
      <c r="D1229" s="2" t="s">
        <v>178</v>
      </c>
      <c r="E1229" s="2" t="s">
        <v>417</v>
      </c>
      <c r="F1229" s="2" t="s">
        <v>4943</v>
      </c>
      <c r="G1229" s="2" t="s">
        <v>4975</v>
      </c>
      <c r="H1229" s="2" t="s">
        <v>5050</v>
      </c>
      <c r="I1229" s="20">
        <v>594.9</v>
      </c>
      <c r="J1229" s="2" t="s">
        <v>4977</v>
      </c>
    </row>
    <row r="1230" spans="1:10" ht="15.35" x14ac:dyDescent="0.55000000000000004">
      <c r="A1230" s="20">
        <v>11549</v>
      </c>
      <c r="B1230" s="2" t="s">
        <v>176</v>
      </c>
      <c r="C1230" s="2" t="s">
        <v>177</v>
      </c>
      <c r="D1230" s="2" t="s">
        <v>178</v>
      </c>
      <c r="E1230" s="2" t="s">
        <v>417</v>
      </c>
      <c r="F1230" s="2" t="s">
        <v>4943</v>
      </c>
      <c r="G1230" s="2" t="s">
        <v>4975</v>
      </c>
      <c r="H1230" s="2" t="s">
        <v>5056</v>
      </c>
      <c r="I1230" s="20">
        <v>49014.02</v>
      </c>
      <c r="J1230" s="2" t="s">
        <v>4977</v>
      </c>
    </row>
    <row r="1231" spans="1:10" ht="15.35" x14ac:dyDescent="0.55000000000000004">
      <c r="A1231" s="20">
        <v>11550</v>
      </c>
      <c r="B1231" s="2" t="s">
        <v>176</v>
      </c>
      <c r="C1231" s="2" t="s">
        <v>177</v>
      </c>
      <c r="D1231" s="2" t="s">
        <v>178</v>
      </c>
      <c r="E1231" s="2" t="s">
        <v>417</v>
      </c>
      <c r="F1231" s="2" t="s">
        <v>4943</v>
      </c>
      <c r="G1231" s="2" t="s">
        <v>4975</v>
      </c>
      <c r="H1231" s="2" t="s">
        <v>5057</v>
      </c>
      <c r="I1231" s="20">
        <v>5419.08</v>
      </c>
      <c r="J1231" s="2" t="s">
        <v>4977</v>
      </c>
    </row>
    <row r="1232" spans="1:10" ht="15.35" x14ac:dyDescent="0.55000000000000004">
      <c r="A1232" s="20">
        <v>11551</v>
      </c>
      <c r="B1232" s="2" t="s">
        <v>176</v>
      </c>
      <c r="C1232" s="2" t="s">
        <v>177</v>
      </c>
      <c r="D1232" s="2" t="s">
        <v>178</v>
      </c>
      <c r="E1232" s="2" t="s">
        <v>417</v>
      </c>
      <c r="F1232" s="2" t="s">
        <v>4943</v>
      </c>
      <c r="G1232" s="2" t="s">
        <v>4931</v>
      </c>
      <c r="H1232" s="2" t="s">
        <v>5058</v>
      </c>
      <c r="I1232" s="20">
        <v>12.6</v>
      </c>
      <c r="J1232" s="2" t="s">
        <v>4933</v>
      </c>
    </row>
    <row r="1233" spans="1:10" ht="15.35" x14ac:dyDescent="0.55000000000000004">
      <c r="A1233" s="20">
        <v>11552</v>
      </c>
      <c r="B1233" s="2" t="s">
        <v>176</v>
      </c>
      <c r="C1233" s="2" t="s">
        <v>177</v>
      </c>
      <c r="D1233" s="2" t="s">
        <v>178</v>
      </c>
      <c r="E1233" s="2" t="s">
        <v>417</v>
      </c>
      <c r="F1233" s="2" t="s">
        <v>4943</v>
      </c>
      <c r="G1233" s="2" t="s">
        <v>4975</v>
      </c>
      <c r="H1233" s="2" t="s">
        <v>5054</v>
      </c>
      <c r="I1233" s="20">
        <v>6207.34</v>
      </c>
      <c r="J1233" s="2" t="s">
        <v>4977</v>
      </c>
    </row>
    <row r="1234" spans="1:10" ht="15.35" x14ac:dyDescent="0.55000000000000004">
      <c r="A1234" s="20">
        <v>14964</v>
      </c>
      <c r="B1234" s="2" t="s">
        <v>176</v>
      </c>
      <c r="C1234" s="2" t="s">
        <v>177</v>
      </c>
      <c r="D1234" s="2" t="s">
        <v>178</v>
      </c>
      <c r="E1234" s="2" t="s">
        <v>417</v>
      </c>
      <c r="F1234" s="2" t="s">
        <v>4948</v>
      </c>
      <c r="G1234" s="2" t="s">
        <v>4931</v>
      </c>
      <c r="H1234" s="2" t="s">
        <v>4937</v>
      </c>
      <c r="I1234" s="20">
        <v>100</v>
      </c>
      <c r="J1234" s="2" t="s">
        <v>4933</v>
      </c>
    </row>
    <row r="1235" spans="1:10" ht="15.35" x14ac:dyDescent="0.55000000000000004">
      <c r="A1235" s="20">
        <v>14965</v>
      </c>
      <c r="B1235" s="2" t="s">
        <v>176</v>
      </c>
      <c r="C1235" s="2" t="s">
        <v>177</v>
      </c>
      <c r="D1235" s="2" t="s">
        <v>178</v>
      </c>
      <c r="E1235" s="2" t="s">
        <v>417</v>
      </c>
      <c r="F1235" s="2" t="s">
        <v>4948</v>
      </c>
      <c r="G1235" s="2" t="s">
        <v>4939</v>
      </c>
      <c r="H1235" s="2" t="s">
        <v>4946</v>
      </c>
      <c r="I1235" s="20">
        <v>439.53</v>
      </c>
      <c r="J1235" s="2" t="s">
        <v>4941</v>
      </c>
    </row>
    <row r="1236" spans="1:10" ht="15.35" x14ac:dyDescent="0.55000000000000004">
      <c r="A1236" s="20">
        <v>14966</v>
      </c>
      <c r="B1236" s="2" t="s">
        <v>176</v>
      </c>
      <c r="C1236" s="2" t="s">
        <v>177</v>
      </c>
      <c r="D1236" s="2" t="s">
        <v>178</v>
      </c>
      <c r="E1236" s="2" t="s">
        <v>417</v>
      </c>
      <c r="F1236" s="2" t="s">
        <v>4948</v>
      </c>
      <c r="G1236" s="2" t="s">
        <v>4928</v>
      </c>
      <c r="H1236" s="2" t="s">
        <v>4953</v>
      </c>
      <c r="I1236" s="20">
        <v>1.72</v>
      </c>
      <c r="J1236" s="2" t="s">
        <v>4930</v>
      </c>
    </row>
    <row r="1237" spans="1:10" ht="15.35" x14ac:dyDescent="0.55000000000000004">
      <c r="A1237" s="20">
        <v>14967</v>
      </c>
      <c r="B1237" s="2" t="s">
        <v>176</v>
      </c>
      <c r="C1237" s="2" t="s">
        <v>177</v>
      </c>
      <c r="D1237" s="2" t="s">
        <v>178</v>
      </c>
      <c r="E1237" s="2" t="s">
        <v>417</v>
      </c>
      <c r="F1237" s="2" t="s">
        <v>4948</v>
      </c>
      <c r="G1237" s="2" t="s">
        <v>4931</v>
      </c>
      <c r="H1237" s="2" t="s">
        <v>4952</v>
      </c>
      <c r="I1237" s="20">
        <v>100</v>
      </c>
      <c r="J1237" s="2" t="s">
        <v>4933</v>
      </c>
    </row>
    <row r="1238" spans="1:10" ht="15.35" x14ac:dyDescent="0.55000000000000004">
      <c r="A1238" s="20">
        <v>14975</v>
      </c>
      <c r="B1238" s="2" t="s">
        <v>176</v>
      </c>
      <c r="C1238" s="2" t="s">
        <v>177</v>
      </c>
      <c r="D1238" s="2" t="s">
        <v>178</v>
      </c>
      <c r="E1238" s="2" t="s">
        <v>417</v>
      </c>
      <c r="F1238" s="2" t="s">
        <v>4948</v>
      </c>
      <c r="G1238" s="2" t="s">
        <v>4928</v>
      </c>
      <c r="H1238" s="2" t="s">
        <v>4936</v>
      </c>
      <c r="I1238" s="20">
        <v>50914.95</v>
      </c>
      <c r="J1238" s="2" t="s">
        <v>4935</v>
      </c>
    </row>
    <row r="1239" spans="1:10" ht="15.35" x14ac:dyDescent="0.55000000000000004">
      <c r="A1239" s="20">
        <v>14989</v>
      </c>
      <c r="B1239" s="2" t="s">
        <v>176</v>
      </c>
      <c r="C1239" s="2" t="s">
        <v>177</v>
      </c>
      <c r="D1239" s="2" t="s">
        <v>178</v>
      </c>
      <c r="E1239" s="2" t="s">
        <v>417</v>
      </c>
      <c r="F1239" s="2" t="s">
        <v>4948</v>
      </c>
      <c r="G1239" s="2" t="s">
        <v>4928</v>
      </c>
      <c r="H1239" s="2" t="s">
        <v>4934</v>
      </c>
      <c r="I1239" s="20">
        <v>50914.95</v>
      </c>
      <c r="J1239" s="2" t="s">
        <v>4935</v>
      </c>
    </row>
    <row r="1240" spans="1:10" ht="15.35" x14ac:dyDescent="0.55000000000000004">
      <c r="A1240" s="20">
        <v>18650</v>
      </c>
      <c r="B1240" s="2" t="s">
        <v>176</v>
      </c>
      <c r="C1240" s="2" t="s">
        <v>177</v>
      </c>
      <c r="D1240" s="2" t="s">
        <v>178</v>
      </c>
      <c r="E1240" s="2" t="s">
        <v>417</v>
      </c>
      <c r="F1240" s="2" t="s">
        <v>4950</v>
      </c>
      <c r="G1240" s="2" t="s">
        <v>4931</v>
      </c>
      <c r="H1240" s="2" t="s">
        <v>4952</v>
      </c>
      <c r="I1240" s="20">
        <v>100</v>
      </c>
      <c r="J1240" s="2" t="s">
        <v>4933</v>
      </c>
    </row>
    <row r="1241" spans="1:10" ht="15.35" x14ac:dyDescent="0.55000000000000004">
      <c r="A1241" s="20">
        <v>18651</v>
      </c>
      <c r="B1241" s="2" t="s">
        <v>176</v>
      </c>
      <c r="C1241" s="2" t="s">
        <v>177</v>
      </c>
      <c r="D1241" s="2" t="s">
        <v>178</v>
      </c>
      <c r="E1241" s="2" t="s">
        <v>417</v>
      </c>
      <c r="F1241" s="2" t="s">
        <v>4950</v>
      </c>
      <c r="G1241" s="2" t="s">
        <v>4928</v>
      </c>
      <c r="H1241" s="2" t="s">
        <v>4953</v>
      </c>
      <c r="I1241" s="20">
        <v>1.74</v>
      </c>
      <c r="J1241" s="2" t="s">
        <v>4930</v>
      </c>
    </row>
    <row r="1242" spans="1:10" ht="15.35" x14ac:dyDescent="0.55000000000000004">
      <c r="A1242" s="20">
        <v>18652</v>
      </c>
      <c r="B1242" s="2" t="s">
        <v>176</v>
      </c>
      <c r="C1242" s="2" t="s">
        <v>177</v>
      </c>
      <c r="D1242" s="2" t="s">
        <v>178</v>
      </c>
      <c r="E1242" s="2" t="s">
        <v>417</v>
      </c>
      <c r="F1242" s="2" t="s">
        <v>4950</v>
      </c>
      <c r="G1242" s="2" t="s">
        <v>4939</v>
      </c>
      <c r="H1242" s="2" t="s">
        <v>4946</v>
      </c>
      <c r="I1242" s="20">
        <v>351.45</v>
      </c>
      <c r="J1242" s="2" t="s">
        <v>4941</v>
      </c>
    </row>
    <row r="1243" spans="1:10" ht="15.35" x14ac:dyDescent="0.55000000000000004">
      <c r="A1243" s="20">
        <v>18653</v>
      </c>
      <c r="B1243" s="2" t="s">
        <v>176</v>
      </c>
      <c r="C1243" s="2" t="s">
        <v>177</v>
      </c>
      <c r="D1243" s="2" t="s">
        <v>178</v>
      </c>
      <c r="E1243" s="2" t="s">
        <v>417</v>
      </c>
      <c r="F1243" s="2" t="s">
        <v>4950</v>
      </c>
      <c r="G1243" s="2" t="s">
        <v>4931</v>
      </c>
      <c r="H1243" s="2" t="s">
        <v>4937</v>
      </c>
      <c r="I1243" s="20">
        <v>100</v>
      </c>
      <c r="J1243" s="2" t="s">
        <v>4933</v>
      </c>
    </row>
    <row r="1244" spans="1:10" ht="15.35" x14ac:dyDescent="0.55000000000000004">
      <c r="A1244" s="20">
        <v>18654</v>
      </c>
      <c r="B1244" s="2" t="s">
        <v>176</v>
      </c>
      <c r="C1244" s="2" t="s">
        <v>177</v>
      </c>
      <c r="D1244" s="2" t="s">
        <v>178</v>
      </c>
      <c r="E1244" s="2" t="s">
        <v>417</v>
      </c>
      <c r="F1244" s="2" t="s">
        <v>4950</v>
      </c>
      <c r="G1244" s="2" t="s">
        <v>4928</v>
      </c>
      <c r="H1244" s="2" t="s">
        <v>4936</v>
      </c>
      <c r="I1244" s="20">
        <v>51427.27</v>
      </c>
      <c r="J1244" s="2" t="s">
        <v>4935</v>
      </c>
    </row>
    <row r="1245" spans="1:10" ht="15.35" x14ac:dyDescent="0.55000000000000004">
      <c r="A1245" s="20">
        <v>18655</v>
      </c>
      <c r="B1245" s="2" t="s">
        <v>176</v>
      </c>
      <c r="C1245" s="2" t="s">
        <v>177</v>
      </c>
      <c r="D1245" s="2" t="s">
        <v>178</v>
      </c>
      <c r="E1245" s="2" t="s">
        <v>417</v>
      </c>
      <c r="F1245" s="2" t="s">
        <v>4950</v>
      </c>
      <c r="G1245" s="2" t="s">
        <v>4928</v>
      </c>
      <c r="H1245" s="2" t="s">
        <v>4934</v>
      </c>
      <c r="I1245" s="20">
        <v>51427.27</v>
      </c>
      <c r="J1245" s="2" t="s">
        <v>4935</v>
      </c>
    </row>
    <row r="1246" spans="1:10" ht="15.35" x14ac:dyDescent="0.55000000000000004">
      <c r="A1246" s="20">
        <v>10752</v>
      </c>
      <c r="B1246" s="2" t="s">
        <v>173</v>
      </c>
      <c r="C1246" s="2" t="s">
        <v>174</v>
      </c>
      <c r="D1246" s="2" t="s">
        <v>175</v>
      </c>
      <c r="E1246" s="2" t="s">
        <v>422</v>
      </c>
      <c r="F1246" s="2" t="s">
        <v>4979</v>
      </c>
      <c r="G1246" s="2" t="s">
        <v>4975</v>
      </c>
      <c r="H1246" s="2" t="s">
        <v>5036</v>
      </c>
      <c r="I1246" s="20">
        <v>10114.06</v>
      </c>
      <c r="J1246" s="2" t="s">
        <v>4977</v>
      </c>
    </row>
    <row r="1247" spans="1:10" ht="15.35" x14ac:dyDescent="0.55000000000000004">
      <c r="A1247" s="20">
        <v>10753</v>
      </c>
      <c r="B1247" s="2" t="s">
        <v>173</v>
      </c>
      <c r="C1247" s="2" t="s">
        <v>174</v>
      </c>
      <c r="D1247" s="2" t="s">
        <v>175</v>
      </c>
      <c r="E1247" s="2" t="s">
        <v>422</v>
      </c>
      <c r="F1247" s="2" t="s">
        <v>4979</v>
      </c>
      <c r="G1247" s="2" t="s">
        <v>4975</v>
      </c>
      <c r="H1247" s="2" t="s">
        <v>5046</v>
      </c>
      <c r="I1247" s="20">
        <v>104933.06</v>
      </c>
      <c r="J1247" s="2" t="s">
        <v>4977</v>
      </c>
    </row>
    <row r="1248" spans="1:10" ht="15.35" x14ac:dyDescent="0.55000000000000004">
      <c r="A1248" s="20">
        <v>10754</v>
      </c>
      <c r="B1248" s="2" t="s">
        <v>173</v>
      </c>
      <c r="C1248" s="2" t="s">
        <v>174</v>
      </c>
      <c r="D1248" s="2" t="s">
        <v>175</v>
      </c>
      <c r="E1248" s="2" t="s">
        <v>422</v>
      </c>
      <c r="F1248" s="2" t="s">
        <v>4979</v>
      </c>
      <c r="G1248" s="2" t="s">
        <v>4975</v>
      </c>
      <c r="H1248" s="2" t="s">
        <v>5059</v>
      </c>
      <c r="I1248" s="20">
        <v>34600.01</v>
      </c>
      <c r="J1248" s="2" t="s">
        <v>4977</v>
      </c>
    </row>
    <row r="1249" spans="1:11" ht="15.35" x14ac:dyDescent="0.55000000000000004">
      <c r="A1249" s="20">
        <v>10755</v>
      </c>
      <c r="B1249" s="2" t="s">
        <v>173</v>
      </c>
      <c r="C1249" s="2" t="s">
        <v>174</v>
      </c>
      <c r="D1249" s="2" t="s">
        <v>175</v>
      </c>
      <c r="E1249" s="2" t="s">
        <v>422</v>
      </c>
      <c r="F1249" s="2" t="s">
        <v>4979</v>
      </c>
      <c r="G1249" s="2" t="s">
        <v>4975</v>
      </c>
      <c r="H1249" s="2" t="s">
        <v>5060</v>
      </c>
      <c r="I1249" s="20">
        <v>70333.05</v>
      </c>
      <c r="J1249" s="2" t="s">
        <v>4977</v>
      </c>
    </row>
    <row r="1250" spans="1:11" ht="15.35" x14ac:dyDescent="0.55000000000000004">
      <c r="A1250" s="20">
        <v>10967</v>
      </c>
      <c r="B1250" s="2" t="s">
        <v>173</v>
      </c>
      <c r="C1250" s="2" t="s">
        <v>174</v>
      </c>
      <c r="D1250" s="2" t="s">
        <v>175</v>
      </c>
      <c r="E1250" s="2" t="s">
        <v>422</v>
      </c>
      <c r="F1250" s="2" t="s">
        <v>4979</v>
      </c>
      <c r="G1250" s="2" t="s">
        <v>4928</v>
      </c>
      <c r="H1250" s="2" t="s">
        <v>5033</v>
      </c>
      <c r="I1250" s="20">
        <v>12</v>
      </c>
      <c r="K1250" s="2" t="s">
        <v>5061</v>
      </c>
    </row>
    <row r="1251" spans="1:11" ht="15.35" x14ac:dyDescent="0.55000000000000004">
      <c r="A1251" s="20">
        <v>10968</v>
      </c>
      <c r="B1251" s="2" t="s">
        <v>173</v>
      </c>
      <c r="C1251" s="2" t="s">
        <v>174</v>
      </c>
      <c r="D1251" s="2" t="s">
        <v>175</v>
      </c>
      <c r="E1251" s="2" t="s">
        <v>422</v>
      </c>
      <c r="F1251" s="2" t="s">
        <v>4979</v>
      </c>
      <c r="G1251" s="2" t="s">
        <v>4928</v>
      </c>
      <c r="H1251" s="2" t="s">
        <v>5033</v>
      </c>
      <c r="I1251" s="20">
        <v>197</v>
      </c>
      <c r="K1251" s="2" t="s">
        <v>5034</v>
      </c>
    </row>
    <row r="1252" spans="1:11" ht="15.35" x14ac:dyDescent="0.55000000000000004">
      <c r="A1252" s="20">
        <v>10971</v>
      </c>
      <c r="B1252" s="2" t="s">
        <v>173</v>
      </c>
      <c r="C1252" s="2" t="s">
        <v>174</v>
      </c>
      <c r="D1252" s="2" t="s">
        <v>175</v>
      </c>
      <c r="E1252" s="2" t="s">
        <v>422</v>
      </c>
      <c r="F1252" s="2" t="s">
        <v>4979</v>
      </c>
      <c r="G1252" s="2" t="s">
        <v>4939</v>
      </c>
      <c r="H1252" s="2" t="s">
        <v>5012</v>
      </c>
      <c r="I1252" s="20">
        <v>915.28</v>
      </c>
      <c r="J1252" s="2" t="s">
        <v>5044</v>
      </c>
    </row>
    <row r="1253" spans="1:11" ht="15.35" x14ac:dyDescent="0.55000000000000004">
      <c r="A1253" s="20">
        <v>10975</v>
      </c>
      <c r="B1253" s="2" t="s">
        <v>173</v>
      </c>
      <c r="C1253" s="2" t="s">
        <v>174</v>
      </c>
      <c r="D1253" s="2" t="s">
        <v>175</v>
      </c>
      <c r="E1253" s="2" t="s">
        <v>422</v>
      </c>
      <c r="F1253" s="2" t="s">
        <v>4979</v>
      </c>
      <c r="G1253" s="2" t="s">
        <v>4939</v>
      </c>
      <c r="H1253" s="2" t="s">
        <v>5062</v>
      </c>
      <c r="I1253" s="20">
        <v>58.91</v>
      </c>
      <c r="J1253" s="2" t="s">
        <v>4941</v>
      </c>
    </row>
    <row r="1254" spans="1:11" ht="15.35" x14ac:dyDescent="0.55000000000000004">
      <c r="A1254" s="20">
        <v>10976</v>
      </c>
      <c r="B1254" s="2" t="s">
        <v>173</v>
      </c>
      <c r="C1254" s="2" t="s">
        <v>174</v>
      </c>
      <c r="D1254" s="2" t="s">
        <v>175</v>
      </c>
      <c r="E1254" s="2" t="s">
        <v>422</v>
      </c>
      <c r="F1254" s="2" t="s">
        <v>4979</v>
      </c>
      <c r="G1254" s="2" t="s">
        <v>4939</v>
      </c>
      <c r="H1254" s="2" t="s">
        <v>5063</v>
      </c>
      <c r="I1254" s="20">
        <v>169.24</v>
      </c>
      <c r="J1254" s="2" t="s">
        <v>4941</v>
      </c>
    </row>
    <row r="1255" spans="1:11" ht="15.35" x14ac:dyDescent="0.55000000000000004">
      <c r="A1255" s="20">
        <v>10982</v>
      </c>
      <c r="B1255" s="2" t="s">
        <v>173</v>
      </c>
      <c r="C1255" s="2" t="s">
        <v>174</v>
      </c>
      <c r="D1255" s="2" t="s">
        <v>175</v>
      </c>
      <c r="E1255" s="2" t="s">
        <v>422</v>
      </c>
      <c r="F1255" s="2" t="s">
        <v>4979</v>
      </c>
      <c r="G1255" s="2" t="s">
        <v>4931</v>
      </c>
      <c r="H1255" s="2" t="s">
        <v>5013</v>
      </c>
      <c r="I1255" s="20">
        <v>13.67</v>
      </c>
      <c r="J1255" s="2" t="s">
        <v>4933</v>
      </c>
    </row>
    <row r="1256" spans="1:11" ht="15.35" x14ac:dyDescent="0.55000000000000004">
      <c r="A1256" s="20">
        <v>10984</v>
      </c>
      <c r="B1256" s="2" t="s">
        <v>173</v>
      </c>
      <c r="C1256" s="2" t="s">
        <v>174</v>
      </c>
      <c r="D1256" s="2" t="s">
        <v>175</v>
      </c>
      <c r="E1256" s="2" t="s">
        <v>422</v>
      </c>
      <c r="F1256" s="2" t="s">
        <v>4979</v>
      </c>
      <c r="G1256" s="2" t="s">
        <v>4928</v>
      </c>
      <c r="H1256" s="2" t="s">
        <v>5014</v>
      </c>
      <c r="I1256" s="20">
        <v>1061</v>
      </c>
      <c r="J1256" s="2" t="s">
        <v>5064</v>
      </c>
    </row>
    <row r="1257" spans="1:11" ht="15.35" x14ac:dyDescent="0.55000000000000004">
      <c r="A1257" s="20">
        <v>11007</v>
      </c>
      <c r="B1257" s="2" t="s">
        <v>173</v>
      </c>
      <c r="C1257" s="2" t="s">
        <v>174</v>
      </c>
      <c r="D1257" s="2" t="s">
        <v>175</v>
      </c>
      <c r="E1257" s="2" t="s">
        <v>422</v>
      </c>
      <c r="F1257" s="2" t="s">
        <v>4979</v>
      </c>
      <c r="G1257" s="2" t="s">
        <v>4975</v>
      </c>
      <c r="H1257" s="2" t="s">
        <v>5036</v>
      </c>
      <c r="I1257" s="20">
        <v>0</v>
      </c>
      <c r="J1257" s="2" t="s">
        <v>4977</v>
      </c>
      <c r="K1257" s="2" t="s">
        <v>5065</v>
      </c>
    </row>
    <row r="1258" spans="1:11" ht="15.35" x14ac:dyDescent="0.55000000000000004">
      <c r="A1258" s="20">
        <v>11029</v>
      </c>
      <c r="B1258" s="2" t="s">
        <v>173</v>
      </c>
      <c r="C1258" s="2" t="s">
        <v>174</v>
      </c>
      <c r="D1258" s="2" t="s">
        <v>175</v>
      </c>
      <c r="E1258" s="2" t="s">
        <v>422</v>
      </c>
      <c r="F1258" s="2" t="s">
        <v>4979</v>
      </c>
      <c r="G1258" s="2" t="s">
        <v>4939</v>
      </c>
      <c r="H1258" s="2" t="s">
        <v>5008</v>
      </c>
      <c r="I1258" s="20">
        <v>114.8</v>
      </c>
      <c r="J1258" s="2" t="s">
        <v>5044</v>
      </c>
    </row>
    <row r="1259" spans="1:11" ht="15.35" x14ac:dyDescent="0.55000000000000004">
      <c r="A1259" s="20">
        <v>11030</v>
      </c>
      <c r="B1259" s="2" t="s">
        <v>173</v>
      </c>
      <c r="C1259" s="2" t="s">
        <v>174</v>
      </c>
      <c r="D1259" s="2" t="s">
        <v>175</v>
      </c>
      <c r="E1259" s="2" t="s">
        <v>422</v>
      </c>
      <c r="F1259" s="2" t="s">
        <v>4979</v>
      </c>
      <c r="G1259" s="2" t="s">
        <v>4931</v>
      </c>
      <c r="H1259" s="2" t="s">
        <v>5043</v>
      </c>
      <c r="I1259" s="20">
        <v>0.998</v>
      </c>
      <c r="J1259" s="2" t="s">
        <v>4933</v>
      </c>
    </row>
    <row r="1260" spans="1:11" ht="15.35" x14ac:dyDescent="0.55000000000000004">
      <c r="A1260" s="20">
        <v>11031</v>
      </c>
      <c r="B1260" s="2" t="s">
        <v>173</v>
      </c>
      <c r="C1260" s="2" t="s">
        <v>174</v>
      </c>
      <c r="D1260" s="2" t="s">
        <v>175</v>
      </c>
      <c r="E1260" s="2" t="s">
        <v>422</v>
      </c>
      <c r="F1260" s="2" t="s">
        <v>4979</v>
      </c>
      <c r="G1260" s="2" t="s">
        <v>4931</v>
      </c>
      <c r="H1260" s="2" t="s">
        <v>5042</v>
      </c>
      <c r="I1260" s="20">
        <v>94.26</v>
      </c>
      <c r="J1260" s="2" t="s">
        <v>4933</v>
      </c>
    </row>
    <row r="1261" spans="1:11" ht="15.35" x14ac:dyDescent="0.55000000000000004">
      <c r="A1261" s="20">
        <v>11032</v>
      </c>
      <c r="B1261" s="2" t="s">
        <v>173</v>
      </c>
      <c r="C1261" s="2" t="s">
        <v>174</v>
      </c>
      <c r="D1261" s="2" t="s">
        <v>175</v>
      </c>
      <c r="E1261" s="2" t="s">
        <v>422</v>
      </c>
      <c r="F1261" s="2" t="s">
        <v>4979</v>
      </c>
      <c r="G1261" s="2" t="s">
        <v>4931</v>
      </c>
      <c r="H1261" s="2" t="s">
        <v>5010</v>
      </c>
      <c r="I1261" s="20">
        <v>92.4</v>
      </c>
      <c r="J1261" s="2" t="s">
        <v>4933</v>
      </c>
    </row>
    <row r="1262" spans="1:11" ht="15.35" x14ac:dyDescent="0.55000000000000004">
      <c r="A1262" s="20">
        <v>11033</v>
      </c>
      <c r="B1262" s="2" t="s">
        <v>173</v>
      </c>
      <c r="C1262" s="2" t="s">
        <v>174</v>
      </c>
      <c r="D1262" s="2" t="s">
        <v>175</v>
      </c>
      <c r="E1262" s="2" t="s">
        <v>422</v>
      </c>
      <c r="F1262" s="2" t="s">
        <v>4979</v>
      </c>
      <c r="G1262" s="2" t="s">
        <v>4931</v>
      </c>
      <c r="H1262" s="2" t="s">
        <v>4968</v>
      </c>
      <c r="I1262" s="20">
        <v>34.950000000000003</v>
      </c>
      <c r="J1262" s="2" t="s">
        <v>4933</v>
      </c>
    </row>
    <row r="1263" spans="1:11" ht="15.35" x14ac:dyDescent="0.55000000000000004">
      <c r="A1263" s="20">
        <v>11034</v>
      </c>
      <c r="B1263" s="2" t="s">
        <v>173</v>
      </c>
      <c r="C1263" s="2" t="s">
        <v>174</v>
      </c>
      <c r="D1263" s="2" t="s">
        <v>175</v>
      </c>
      <c r="E1263" s="2" t="s">
        <v>422</v>
      </c>
      <c r="F1263" s="2" t="s">
        <v>4979</v>
      </c>
      <c r="G1263" s="2" t="s">
        <v>4939</v>
      </c>
      <c r="H1263" s="2" t="s">
        <v>5066</v>
      </c>
      <c r="I1263" s="20">
        <v>82.09</v>
      </c>
      <c r="J1263" s="2" t="s">
        <v>5044</v>
      </c>
    </row>
    <row r="1264" spans="1:11" ht="15.35" x14ac:dyDescent="0.55000000000000004">
      <c r="A1264" s="20">
        <v>11047</v>
      </c>
      <c r="B1264" s="2" t="s">
        <v>173</v>
      </c>
      <c r="C1264" s="2" t="s">
        <v>174</v>
      </c>
      <c r="D1264" s="2" t="s">
        <v>175</v>
      </c>
      <c r="E1264" s="2" t="s">
        <v>422</v>
      </c>
      <c r="F1264" s="2" t="s">
        <v>4979</v>
      </c>
      <c r="G1264" s="2" t="s">
        <v>4975</v>
      </c>
      <c r="H1264" s="2" t="s">
        <v>5036</v>
      </c>
      <c r="I1264" s="20">
        <v>6916.31</v>
      </c>
      <c r="J1264" s="2" t="s">
        <v>4977</v>
      </c>
      <c r="K1264" s="2" t="s">
        <v>5067</v>
      </c>
    </row>
    <row r="1265" spans="1:11" ht="15.35" x14ac:dyDescent="0.55000000000000004">
      <c r="A1265" s="20">
        <v>11048</v>
      </c>
      <c r="B1265" s="2" t="s">
        <v>173</v>
      </c>
      <c r="C1265" s="2" t="s">
        <v>174</v>
      </c>
      <c r="D1265" s="2" t="s">
        <v>175</v>
      </c>
      <c r="E1265" s="2" t="s">
        <v>422</v>
      </c>
      <c r="F1265" s="2" t="s">
        <v>4979</v>
      </c>
      <c r="G1265" s="2" t="s">
        <v>4975</v>
      </c>
      <c r="H1265" s="2" t="s">
        <v>5036</v>
      </c>
      <c r="I1265" s="20">
        <v>2757.36</v>
      </c>
      <c r="J1265" s="2" t="s">
        <v>4977</v>
      </c>
      <c r="K1265" s="2" t="s">
        <v>5068</v>
      </c>
    </row>
    <row r="1266" spans="1:11" ht="15.35" x14ac:dyDescent="0.55000000000000004">
      <c r="A1266" s="20">
        <v>11049</v>
      </c>
      <c r="B1266" s="2" t="s">
        <v>173</v>
      </c>
      <c r="C1266" s="2" t="s">
        <v>174</v>
      </c>
      <c r="D1266" s="2" t="s">
        <v>175</v>
      </c>
      <c r="E1266" s="2" t="s">
        <v>422</v>
      </c>
      <c r="F1266" s="2" t="s">
        <v>4979</v>
      </c>
      <c r="G1266" s="2" t="s">
        <v>4975</v>
      </c>
      <c r="H1266" s="2" t="s">
        <v>5036</v>
      </c>
      <c r="I1266" s="20">
        <v>440.4</v>
      </c>
      <c r="J1266" s="2" t="s">
        <v>4977</v>
      </c>
      <c r="K1266" s="2" t="s">
        <v>5069</v>
      </c>
    </row>
    <row r="1267" spans="1:11" ht="15.35" x14ac:dyDescent="0.55000000000000004">
      <c r="A1267" s="20">
        <v>10739</v>
      </c>
      <c r="B1267" s="2" t="s">
        <v>173</v>
      </c>
      <c r="C1267" s="2" t="s">
        <v>174</v>
      </c>
      <c r="D1267" s="2" t="s">
        <v>175</v>
      </c>
      <c r="E1267" s="2" t="s">
        <v>422</v>
      </c>
      <c r="F1267" s="2" t="s">
        <v>4980</v>
      </c>
      <c r="G1267" s="2" t="s">
        <v>4975</v>
      </c>
      <c r="H1267" s="2" t="s">
        <v>5036</v>
      </c>
      <c r="I1267" s="20">
        <v>11234.93</v>
      </c>
      <c r="J1267" s="2" t="s">
        <v>4977</v>
      </c>
    </row>
    <row r="1268" spans="1:11" ht="15.35" x14ac:dyDescent="0.55000000000000004">
      <c r="A1268" s="20">
        <v>10740</v>
      </c>
      <c r="B1268" s="2" t="s">
        <v>173</v>
      </c>
      <c r="C1268" s="2" t="s">
        <v>174</v>
      </c>
      <c r="D1268" s="2" t="s">
        <v>175</v>
      </c>
      <c r="E1268" s="2" t="s">
        <v>422</v>
      </c>
      <c r="F1268" s="2" t="s">
        <v>4980</v>
      </c>
      <c r="G1268" s="2" t="s">
        <v>4975</v>
      </c>
      <c r="H1268" s="2" t="s">
        <v>5046</v>
      </c>
      <c r="I1268" s="20">
        <v>169330.44</v>
      </c>
      <c r="J1268" s="2" t="s">
        <v>4977</v>
      </c>
    </row>
    <row r="1269" spans="1:11" ht="15.35" x14ac:dyDescent="0.55000000000000004">
      <c r="A1269" s="20">
        <v>10741</v>
      </c>
      <c r="B1269" s="2" t="s">
        <v>173</v>
      </c>
      <c r="C1269" s="2" t="s">
        <v>174</v>
      </c>
      <c r="D1269" s="2" t="s">
        <v>175</v>
      </c>
      <c r="E1269" s="2" t="s">
        <v>422</v>
      </c>
      <c r="F1269" s="2" t="s">
        <v>4980</v>
      </c>
      <c r="G1269" s="2" t="s">
        <v>4975</v>
      </c>
      <c r="H1269" s="2" t="s">
        <v>5059</v>
      </c>
      <c r="I1269" s="20">
        <v>82856.06</v>
      </c>
      <c r="J1269" s="2" t="s">
        <v>4977</v>
      </c>
    </row>
    <row r="1270" spans="1:11" ht="15.35" x14ac:dyDescent="0.55000000000000004">
      <c r="A1270" s="20">
        <v>10742</v>
      </c>
      <c r="B1270" s="2" t="s">
        <v>173</v>
      </c>
      <c r="C1270" s="2" t="s">
        <v>174</v>
      </c>
      <c r="D1270" s="2" t="s">
        <v>175</v>
      </c>
      <c r="E1270" s="2" t="s">
        <v>422</v>
      </c>
      <c r="F1270" s="2" t="s">
        <v>4980</v>
      </c>
      <c r="G1270" s="2" t="s">
        <v>4975</v>
      </c>
      <c r="H1270" s="2" t="s">
        <v>5060</v>
      </c>
      <c r="I1270" s="20">
        <v>86474.38</v>
      </c>
      <c r="J1270" s="2" t="s">
        <v>4977</v>
      </c>
    </row>
    <row r="1271" spans="1:11" ht="15.35" x14ac:dyDescent="0.55000000000000004">
      <c r="A1271" s="20">
        <v>10743</v>
      </c>
      <c r="B1271" s="2" t="s">
        <v>173</v>
      </c>
      <c r="C1271" s="2" t="s">
        <v>174</v>
      </c>
      <c r="D1271" s="2" t="s">
        <v>175</v>
      </c>
      <c r="E1271" s="2" t="s">
        <v>422</v>
      </c>
      <c r="F1271" s="2" t="s">
        <v>4980</v>
      </c>
      <c r="G1271" s="2" t="s">
        <v>4928</v>
      </c>
      <c r="H1271" s="2" t="s">
        <v>5014</v>
      </c>
      <c r="I1271" s="20">
        <v>1349</v>
      </c>
      <c r="J1271" s="2" t="s">
        <v>5064</v>
      </c>
    </row>
    <row r="1272" spans="1:11" ht="15.35" x14ac:dyDescent="0.55000000000000004">
      <c r="A1272" s="20">
        <v>10744</v>
      </c>
      <c r="B1272" s="2" t="s">
        <v>173</v>
      </c>
      <c r="C1272" s="2" t="s">
        <v>174</v>
      </c>
      <c r="D1272" s="2" t="s">
        <v>175</v>
      </c>
      <c r="E1272" s="2" t="s">
        <v>422</v>
      </c>
      <c r="F1272" s="2" t="s">
        <v>4980</v>
      </c>
      <c r="G1272" s="2" t="s">
        <v>4931</v>
      </c>
      <c r="H1272" s="2" t="s">
        <v>5013</v>
      </c>
      <c r="I1272" s="20">
        <v>12.74</v>
      </c>
      <c r="J1272" s="2" t="s">
        <v>4933</v>
      </c>
    </row>
    <row r="1273" spans="1:11" ht="15.35" x14ac:dyDescent="0.55000000000000004">
      <c r="A1273" s="20">
        <v>10745</v>
      </c>
      <c r="B1273" s="2" t="s">
        <v>173</v>
      </c>
      <c r="C1273" s="2" t="s">
        <v>174</v>
      </c>
      <c r="D1273" s="2" t="s">
        <v>175</v>
      </c>
      <c r="E1273" s="2" t="s">
        <v>422</v>
      </c>
      <c r="F1273" s="2" t="s">
        <v>4980</v>
      </c>
      <c r="G1273" s="2" t="s">
        <v>4939</v>
      </c>
      <c r="H1273" s="2" t="s">
        <v>5008</v>
      </c>
      <c r="I1273" s="20">
        <v>136.62</v>
      </c>
      <c r="J1273" s="2" t="s">
        <v>5044</v>
      </c>
    </row>
    <row r="1274" spans="1:11" ht="15.35" x14ac:dyDescent="0.55000000000000004">
      <c r="A1274" s="20">
        <v>10748</v>
      </c>
      <c r="B1274" s="2" t="s">
        <v>173</v>
      </c>
      <c r="C1274" s="2" t="s">
        <v>174</v>
      </c>
      <c r="D1274" s="2" t="s">
        <v>175</v>
      </c>
      <c r="E1274" s="2" t="s">
        <v>422</v>
      </c>
      <c r="F1274" s="2" t="s">
        <v>4980</v>
      </c>
      <c r="G1274" s="2" t="s">
        <v>4931</v>
      </c>
      <c r="H1274" s="2" t="s">
        <v>5042</v>
      </c>
      <c r="I1274" s="20">
        <v>98.56</v>
      </c>
      <c r="J1274" s="2" t="s">
        <v>4933</v>
      </c>
    </row>
    <row r="1275" spans="1:11" ht="15.35" x14ac:dyDescent="0.55000000000000004">
      <c r="A1275" s="20">
        <v>10749</v>
      </c>
      <c r="B1275" s="2" t="s">
        <v>173</v>
      </c>
      <c r="C1275" s="2" t="s">
        <v>174</v>
      </c>
      <c r="D1275" s="2" t="s">
        <v>175</v>
      </c>
      <c r="E1275" s="2" t="s">
        <v>422</v>
      </c>
      <c r="F1275" s="2" t="s">
        <v>4980</v>
      </c>
      <c r="G1275" s="2" t="s">
        <v>4931</v>
      </c>
      <c r="H1275" s="2" t="s">
        <v>5010</v>
      </c>
      <c r="I1275" s="20">
        <v>97.67</v>
      </c>
      <c r="J1275" s="2" t="s">
        <v>4933</v>
      </c>
    </row>
    <row r="1276" spans="1:11" ht="15.35" x14ac:dyDescent="0.55000000000000004">
      <c r="A1276" s="20">
        <v>10750</v>
      </c>
      <c r="B1276" s="2" t="s">
        <v>173</v>
      </c>
      <c r="C1276" s="2" t="s">
        <v>174</v>
      </c>
      <c r="D1276" s="2" t="s">
        <v>175</v>
      </c>
      <c r="E1276" s="2" t="s">
        <v>422</v>
      </c>
      <c r="F1276" s="2" t="s">
        <v>4980</v>
      </c>
      <c r="G1276" s="2" t="s">
        <v>4931</v>
      </c>
      <c r="H1276" s="2" t="s">
        <v>4968</v>
      </c>
      <c r="I1276" s="20">
        <v>39.81</v>
      </c>
      <c r="J1276" s="2" t="s">
        <v>4933</v>
      </c>
    </row>
    <row r="1277" spans="1:11" ht="15.35" x14ac:dyDescent="0.55000000000000004">
      <c r="A1277" s="20">
        <v>10751</v>
      </c>
      <c r="B1277" s="2" t="s">
        <v>173</v>
      </c>
      <c r="C1277" s="2" t="s">
        <v>174</v>
      </c>
      <c r="D1277" s="2" t="s">
        <v>175</v>
      </c>
      <c r="E1277" s="2" t="s">
        <v>422</v>
      </c>
      <c r="F1277" s="2" t="s">
        <v>4980</v>
      </c>
      <c r="G1277" s="2" t="s">
        <v>4939</v>
      </c>
      <c r="H1277" s="2" t="s">
        <v>5066</v>
      </c>
      <c r="I1277" s="20">
        <v>95.59</v>
      </c>
      <c r="J1277" s="2" t="s">
        <v>5044</v>
      </c>
    </row>
    <row r="1278" spans="1:11" ht="15.35" x14ac:dyDescent="0.55000000000000004">
      <c r="A1278" s="20">
        <v>10756</v>
      </c>
      <c r="B1278" s="2" t="s">
        <v>173</v>
      </c>
      <c r="C1278" s="2" t="s">
        <v>174</v>
      </c>
      <c r="D1278" s="2" t="s">
        <v>175</v>
      </c>
      <c r="E1278" s="2" t="s">
        <v>422</v>
      </c>
      <c r="F1278" s="2" t="s">
        <v>4980</v>
      </c>
      <c r="G1278" s="2" t="s">
        <v>4939</v>
      </c>
      <c r="H1278" s="2" t="s">
        <v>5012</v>
      </c>
      <c r="I1278" s="20">
        <v>1153.6600000000001</v>
      </c>
      <c r="J1278" s="2" t="s">
        <v>5044</v>
      </c>
    </row>
    <row r="1279" spans="1:11" ht="15.35" x14ac:dyDescent="0.55000000000000004">
      <c r="A1279" s="20">
        <v>10825</v>
      </c>
      <c r="B1279" s="2" t="s">
        <v>173</v>
      </c>
      <c r="C1279" s="2" t="s">
        <v>174</v>
      </c>
      <c r="D1279" s="2" t="s">
        <v>175</v>
      </c>
      <c r="E1279" s="2" t="s">
        <v>422</v>
      </c>
      <c r="F1279" s="2" t="s">
        <v>4980</v>
      </c>
      <c r="G1279" s="2" t="s">
        <v>4931</v>
      </c>
      <c r="H1279" s="2" t="s">
        <v>5043</v>
      </c>
      <c r="I1279" s="20">
        <v>0.99870000000000003</v>
      </c>
      <c r="J1279" s="2" t="s">
        <v>4933</v>
      </c>
    </row>
    <row r="1280" spans="1:11" ht="15.35" x14ac:dyDescent="0.55000000000000004">
      <c r="A1280" s="20">
        <v>10965</v>
      </c>
      <c r="B1280" s="2" t="s">
        <v>173</v>
      </c>
      <c r="C1280" s="2" t="s">
        <v>174</v>
      </c>
      <c r="D1280" s="2" t="s">
        <v>175</v>
      </c>
      <c r="E1280" s="2" t="s">
        <v>422</v>
      </c>
      <c r="F1280" s="2" t="s">
        <v>4980</v>
      </c>
      <c r="G1280" s="2" t="s">
        <v>4928</v>
      </c>
      <c r="H1280" s="2" t="s">
        <v>5033</v>
      </c>
      <c r="I1280" s="20">
        <v>12</v>
      </c>
      <c r="K1280" s="2" t="s">
        <v>5061</v>
      </c>
    </row>
    <row r="1281" spans="1:11" ht="15.35" x14ac:dyDescent="0.55000000000000004">
      <c r="A1281" s="20">
        <v>10966</v>
      </c>
      <c r="B1281" s="2" t="s">
        <v>173</v>
      </c>
      <c r="C1281" s="2" t="s">
        <v>174</v>
      </c>
      <c r="D1281" s="2" t="s">
        <v>175</v>
      </c>
      <c r="E1281" s="2" t="s">
        <v>422</v>
      </c>
      <c r="F1281" s="2" t="s">
        <v>4980</v>
      </c>
      <c r="G1281" s="2" t="s">
        <v>4928</v>
      </c>
      <c r="H1281" s="2" t="s">
        <v>5033</v>
      </c>
      <c r="I1281" s="20">
        <v>215</v>
      </c>
      <c r="K1281" s="2" t="s">
        <v>5034</v>
      </c>
    </row>
    <row r="1282" spans="1:11" ht="15.35" x14ac:dyDescent="0.55000000000000004">
      <c r="A1282" s="20">
        <v>10973</v>
      </c>
      <c r="B1282" s="2" t="s">
        <v>173</v>
      </c>
      <c r="C1282" s="2" t="s">
        <v>174</v>
      </c>
      <c r="D1282" s="2" t="s">
        <v>175</v>
      </c>
      <c r="E1282" s="2" t="s">
        <v>422</v>
      </c>
      <c r="F1282" s="2" t="s">
        <v>4980</v>
      </c>
      <c r="G1282" s="2" t="s">
        <v>4939</v>
      </c>
      <c r="H1282" s="2" t="s">
        <v>5062</v>
      </c>
      <c r="I1282" s="20">
        <v>58.71</v>
      </c>
      <c r="J1282" s="2" t="s">
        <v>4941</v>
      </c>
    </row>
    <row r="1283" spans="1:11" ht="15.35" x14ac:dyDescent="0.55000000000000004">
      <c r="A1283" s="20">
        <v>10974</v>
      </c>
      <c r="B1283" s="2" t="s">
        <v>173</v>
      </c>
      <c r="C1283" s="2" t="s">
        <v>174</v>
      </c>
      <c r="D1283" s="2" t="s">
        <v>175</v>
      </c>
      <c r="E1283" s="2" t="s">
        <v>422</v>
      </c>
      <c r="F1283" s="2" t="s">
        <v>4980</v>
      </c>
      <c r="G1283" s="2" t="s">
        <v>4939</v>
      </c>
      <c r="H1283" s="2" t="s">
        <v>5063</v>
      </c>
      <c r="I1283" s="20">
        <v>182.52</v>
      </c>
      <c r="J1283" s="2" t="s">
        <v>4941</v>
      </c>
    </row>
    <row r="1284" spans="1:11" ht="15.35" x14ac:dyDescent="0.55000000000000004">
      <c r="A1284" s="20">
        <v>11043</v>
      </c>
      <c r="B1284" s="2" t="s">
        <v>173</v>
      </c>
      <c r="C1284" s="2" t="s">
        <v>174</v>
      </c>
      <c r="D1284" s="2" t="s">
        <v>175</v>
      </c>
      <c r="E1284" s="2" t="s">
        <v>422</v>
      </c>
      <c r="F1284" s="2" t="s">
        <v>4980</v>
      </c>
      <c r="G1284" s="2" t="s">
        <v>4975</v>
      </c>
      <c r="H1284" s="2" t="s">
        <v>5036</v>
      </c>
      <c r="I1284" s="20">
        <v>6728</v>
      </c>
      <c r="J1284" s="2" t="s">
        <v>4977</v>
      </c>
      <c r="K1284" s="2" t="s">
        <v>5067</v>
      </c>
    </row>
    <row r="1285" spans="1:11" ht="15.35" x14ac:dyDescent="0.55000000000000004">
      <c r="A1285" s="20">
        <v>11044</v>
      </c>
      <c r="B1285" s="2" t="s">
        <v>173</v>
      </c>
      <c r="C1285" s="2" t="s">
        <v>174</v>
      </c>
      <c r="D1285" s="2" t="s">
        <v>175</v>
      </c>
      <c r="E1285" s="2" t="s">
        <v>422</v>
      </c>
      <c r="F1285" s="2" t="s">
        <v>4980</v>
      </c>
      <c r="G1285" s="2" t="s">
        <v>4975</v>
      </c>
      <c r="H1285" s="2" t="s">
        <v>5036</v>
      </c>
      <c r="I1285" s="20">
        <v>2984.47</v>
      </c>
      <c r="J1285" s="2" t="s">
        <v>4977</v>
      </c>
      <c r="K1285" s="2" t="s">
        <v>5068</v>
      </c>
    </row>
    <row r="1286" spans="1:11" ht="15.35" x14ac:dyDescent="0.55000000000000004">
      <c r="A1286" s="20">
        <v>11045</v>
      </c>
      <c r="B1286" s="2" t="s">
        <v>173</v>
      </c>
      <c r="C1286" s="2" t="s">
        <v>174</v>
      </c>
      <c r="D1286" s="2" t="s">
        <v>175</v>
      </c>
      <c r="E1286" s="2" t="s">
        <v>422</v>
      </c>
      <c r="F1286" s="2" t="s">
        <v>4980</v>
      </c>
      <c r="G1286" s="2" t="s">
        <v>4975</v>
      </c>
      <c r="H1286" s="2" t="s">
        <v>5036</v>
      </c>
      <c r="I1286" s="20">
        <v>1039.5999999999999</v>
      </c>
      <c r="J1286" s="2" t="s">
        <v>4977</v>
      </c>
      <c r="K1286" s="2" t="s">
        <v>5065</v>
      </c>
    </row>
    <row r="1287" spans="1:11" ht="15.35" x14ac:dyDescent="0.55000000000000004">
      <c r="A1287" s="20">
        <v>11046</v>
      </c>
      <c r="B1287" s="2" t="s">
        <v>173</v>
      </c>
      <c r="C1287" s="2" t="s">
        <v>174</v>
      </c>
      <c r="D1287" s="2" t="s">
        <v>175</v>
      </c>
      <c r="E1287" s="2" t="s">
        <v>422</v>
      </c>
      <c r="F1287" s="2" t="s">
        <v>4980</v>
      </c>
      <c r="G1287" s="2" t="s">
        <v>4975</v>
      </c>
      <c r="H1287" s="2" t="s">
        <v>5036</v>
      </c>
      <c r="I1287" s="20">
        <v>482.88</v>
      </c>
      <c r="J1287" s="2" t="s">
        <v>4977</v>
      </c>
      <c r="K1287" s="2" t="s">
        <v>5069</v>
      </c>
    </row>
    <row r="1288" spans="1:11" ht="15.35" x14ac:dyDescent="0.55000000000000004">
      <c r="A1288" s="20">
        <v>10738</v>
      </c>
      <c r="B1288" s="2" t="s">
        <v>173</v>
      </c>
      <c r="C1288" s="2" t="s">
        <v>174</v>
      </c>
      <c r="D1288" s="2" t="s">
        <v>175</v>
      </c>
      <c r="E1288" s="2" t="s">
        <v>422</v>
      </c>
      <c r="F1288" s="2" t="s">
        <v>5016</v>
      </c>
      <c r="G1288" s="2" t="s">
        <v>4939</v>
      </c>
      <c r="H1288" s="2" t="s">
        <v>5066</v>
      </c>
      <c r="I1288" s="20">
        <v>96.91</v>
      </c>
      <c r="J1288" s="2" t="s">
        <v>5044</v>
      </c>
    </row>
    <row r="1289" spans="1:11" ht="15.35" x14ac:dyDescent="0.55000000000000004">
      <c r="A1289" s="20">
        <v>10747</v>
      </c>
      <c r="B1289" s="2" t="s">
        <v>173</v>
      </c>
      <c r="C1289" s="2" t="s">
        <v>174</v>
      </c>
      <c r="D1289" s="2" t="s">
        <v>175</v>
      </c>
      <c r="E1289" s="2" t="s">
        <v>422</v>
      </c>
      <c r="F1289" s="2" t="s">
        <v>5016</v>
      </c>
      <c r="G1289" s="2" t="s">
        <v>4931</v>
      </c>
      <c r="H1289" s="2" t="s">
        <v>4968</v>
      </c>
      <c r="I1289" s="20">
        <v>39.29</v>
      </c>
      <c r="J1289" s="2" t="s">
        <v>4933</v>
      </c>
    </row>
    <row r="1290" spans="1:11" ht="15.35" x14ac:dyDescent="0.55000000000000004">
      <c r="A1290" s="20">
        <v>10870</v>
      </c>
      <c r="B1290" s="2" t="s">
        <v>173</v>
      </c>
      <c r="C1290" s="2" t="s">
        <v>174</v>
      </c>
      <c r="D1290" s="2" t="s">
        <v>175</v>
      </c>
      <c r="E1290" s="2" t="s">
        <v>422</v>
      </c>
      <c r="F1290" s="2" t="s">
        <v>5016</v>
      </c>
      <c r="G1290" s="2" t="s">
        <v>4931</v>
      </c>
      <c r="H1290" s="2" t="s">
        <v>5010</v>
      </c>
      <c r="I1290" s="20">
        <v>97.79</v>
      </c>
      <c r="J1290" s="2" t="s">
        <v>4933</v>
      </c>
    </row>
    <row r="1291" spans="1:11" ht="15.35" x14ac:dyDescent="0.55000000000000004">
      <c r="A1291" s="20">
        <v>10871</v>
      </c>
      <c r="B1291" s="2" t="s">
        <v>173</v>
      </c>
      <c r="C1291" s="2" t="s">
        <v>174</v>
      </c>
      <c r="D1291" s="2" t="s">
        <v>175</v>
      </c>
      <c r="E1291" s="2" t="s">
        <v>422</v>
      </c>
      <c r="F1291" s="2" t="s">
        <v>5016</v>
      </c>
      <c r="G1291" s="2" t="s">
        <v>4931</v>
      </c>
      <c r="H1291" s="2" t="s">
        <v>5042</v>
      </c>
      <c r="I1291" s="20">
        <v>98.64</v>
      </c>
      <c r="J1291" s="2" t="s">
        <v>4933</v>
      </c>
    </row>
    <row r="1292" spans="1:11" ht="15.35" x14ac:dyDescent="0.55000000000000004">
      <c r="A1292" s="20">
        <v>10872</v>
      </c>
      <c r="B1292" s="2" t="s">
        <v>173</v>
      </c>
      <c r="C1292" s="2" t="s">
        <v>174</v>
      </c>
      <c r="D1292" s="2" t="s">
        <v>175</v>
      </c>
      <c r="E1292" s="2" t="s">
        <v>422</v>
      </c>
      <c r="F1292" s="2" t="s">
        <v>5016</v>
      </c>
      <c r="G1292" s="2" t="s">
        <v>4931</v>
      </c>
      <c r="H1292" s="2" t="s">
        <v>5043</v>
      </c>
      <c r="I1292" s="20">
        <v>0.99009999999999998</v>
      </c>
      <c r="J1292" s="2" t="s">
        <v>4933</v>
      </c>
    </row>
    <row r="1293" spans="1:11" ht="15.35" x14ac:dyDescent="0.55000000000000004">
      <c r="A1293" s="20">
        <v>10963</v>
      </c>
      <c r="B1293" s="2" t="s">
        <v>173</v>
      </c>
      <c r="C1293" s="2" t="s">
        <v>174</v>
      </c>
      <c r="D1293" s="2" t="s">
        <v>175</v>
      </c>
      <c r="E1293" s="2" t="s">
        <v>422</v>
      </c>
      <c r="F1293" s="2" t="s">
        <v>5016</v>
      </c>
      <c r="G1293" s="2" t="s">
        <v>4928</v>
      </c>
      <c r="H1293" s="2" t="s">
        <v>5033</v>
      </c>
      <c r="I1293" s="20">
        <v>11</v>
      </c>
      <c r="K1293" s="2" t="s">
        <v>5061</v>
      </c>
    </row>
    <row r="1294" spans="1:11" ht="15.35" x14ac:dyDescent="0.55000000000000004">
      <c r="A1294" s="20">
        <v>10964</v>
      </c>
      <c r="B1294" s="2" t="s">
        <v>173</v>
      </c>
      <c r="C1294" s="2" t="s">
        <v>174</v>
      </c>
      <c r="D1294" s="2" t="s">
        <v>175</v>
      </c>
      <c r="E1294" s="2" t="s">
        <v>422</v>
      </c>
      <c r="F1294" s="2" t="s">
        <v>5016</v>
      </c>
      <c r="G1294" s="2" t="s">
        <v>4928</v>
      </c>
      <c r="H1294" s="2" t="s">
        <v>5033</v>
      </c>
      <c r="I1294" s="20">
        <v>219</v>
      </c>
      <c r="K1294" s="2" t="s">
        <v>5034</v>
      </c>
    </row>
    <row r="1295" spans="1:11" ht="15.35" x14ac:dyDescent="0.55000000000000004">
      <c r="A1295" s="20">
        <v>10981</v>
      </c>
      <c r="B1295" s="2" t="s">
        <v>173</v>
      </c>
      <c r="C1295" s="2" t="s">
        <v>174</v>
      </c>
      <c r="D1295" s="2" t="s">
        <v>175</v>
      </c>
      <c r="E1295" s="2" t="s">
        <v>422</v>
      </c>
      <c r="F1295" s="2" t="s">
        <v>5016</v>
      </c>
      <c r="G1295" s="2" t="s">
        <v>4939</v>
      </c>
      <c r="H1295" s="2" t="s">
        <v>5062</v>
      </c>
      <c r="I1295" s="20">
        <v>58.91</v>
      </c>
      <c r="J1295" s="2" t="s">
        <v>4941</v>
      </c>
    </row>
    <row r="1296" spans="1:11" ht="15.35" x14ac:dyDescent="0.55000000000000004">
      <c r="A1296" s="20">
        <v>10996</v>
      </c>
      <c r="B1296" s="2" t="s">
        <v>173</v>
      </c>
      <c r="C1296" s="2" t="s">
        <v>174</v>
      </c>
      <c r="D1296" s="2" t="s">
        <v>175</v>
      </c>
      <c r="E1296" s="2" t="s">
        <v>422</v>
      </c>
      <c r="F1296" s="2" t="s">
        <v>5016</v>
      </c>
      <c r="G1296" s="2" t="s">
        <v>4975</v>
      </c>
      <c r="H1296" s="2" t="s">
        <v>5036</v>
      </c>
      <c r="I1296" s="20">
        <v>13664.62</v>
      </c>
      <c r="J1296" s="2" t="s">
        <v>4977</v>
      </c>
    </row>
    <row r="1297" spans="1:11" ht="15.35" x14ac:dyDescent="0.55000000000000004">
      <c r="A1297" s="20">
        <v>10997</v>
      </c>
      <c r="B1297" s="2" t="s">
        <v>173</v>
      </c>
      <c r="C1297" s="2" t="s">
        <v>174</v>
      </c>
      <c r="D1297" s="2" t="s">
        <v>175</v>
      </c>
      <c r="E1297" s="2" t="s">
        <v>422</v>
      </c>
      <c r="F1297" s="2" t="s">
        <v>5016</v>
      </c>
      <c r="G1297" s="2" t="s">
        <v>4975</v>
      </c>
      <c r="H1297" s="2" t="s">
        <v>5046</v>
      </c>
      <c r="I1297" s="20">
        <v>158590.91</v>
      </c>
      <c r="J1297" s="2" t="s">
        <v>4977</v>
      </c>
    </row>
    <row r="1298" spans="1:11" ht="15.35" x14ac:dyDescent="0.55000000000000004">
      <c r="A1298" s="20">
        <v>10998</v>
      </c>
      <c r="B1298" s="2" t="s">
        <v>173</v>
      </c>
      <c r="C1298" s="2" t="s">
        <v>174</v>
      </c>
      <c r="D1298" s="2" t="s">
        <v>175</v>
      </c>
      <c r="E1298" s="2" t="s">
        <v>422</v>
      </c>
      <c r="F1298" s="2" t="s">
        <v>5016</v>
      </c>
      <c r="G1298" s="2" t="s">
        <v>4975</v>
      </c>
      <c r="H1298" s="2" t="s">
        <v>5059</v>
      </c>
      <c r="I1298" s="20">
        <v>62906</v>
      </c>
      <c r="J1298" s="2" t="s">
        <v>4977</v>
      </c>
    </row>
    <row r="1299" spans="1:11" ht="15.35" x14ac:dyDescent="0.55000000000000004">
      <c r="A1299" s="20">
        <v>10999</v>
      </c>
      <c r="B1299" s="2" t="s">
        <v>173</v>
      </c>
      <c r="C1299" s="2" t="s">
        <v>174</v>
      </c>
      <c r="D1299" s="2" t="s">
        <v>175</v>
      </c>
      <c r="E1299" s="2" t="s">
        <v>422</v>
      </c>
      <c r="F1299" s="2" t="s">
        <v>5016</v>
      </c>
      <c r="G1299" s="2" t="s">
        <v>4975</v>
      </c>
      <c r="H1299" s="2" t="s">
        <v>5060</v>
      </c>
      <c r="I1299" s="20">
        <v>95684.91</v>
      </c>
      <c r="J1299" s="2" t="s">
        <v>4977</v>
      </c>
    </row>
    <row r="1300" spans="1:11" ht="15.35" x14ac:dyDescent="0.55000000000000004">
      <c r="A1300" s="20">
        <v>11000</v>
      </c>
      <c r="B1300" s="2" t="s">
        <v>173</v>
      </c>
      <c r="C1300" s="2" t="s">
        <v>174</v>
      </c>
      <c r="D1300" s="2" t="s">
        <v>175</v>
      </c>
      <c r="E1300" s="2" t="s">
        <v>422</v>
      </c>
      <c r="F1300" s="2" t="s">
        <v>5016</v>
      </c>
      <c r="G1300" s="2" t="s">
        <v>4928</v>
      </c>
      <c r="H1300" s="2" t="s">
        <v>5014</v>
      </c>
      <c r="I1300" s="20">
        <v>1413.05</v>
      </c>
      <c r="J1300" s="2" t="s">
        <v>5064</v>
      </c>
    </row>
    <row r="1301" spans="1:11" ht="15.35" x14ac:dyDescent="0.55000000000000004">
      <c r="A1301" s="20">
        <v>11001</v>
      </c>
      <c r="B1301" s="2" t="s">
        <v>173</v>
      </c>
      <c r="C1301" s="2" t="s">
        <v>174</v>
      </c>
      <c r="D1301" s="2" t="s">
        <v>175</v>
      </c>
      <c r="E1301" s="2" t="s">
        <v>422</v>
      </c>
      <c r="F1301" s="2" t="s">
        <v>5016</v>
      </c>
      <c r="G1301" s="2" t="s">
        <v>4931</v>
      </c>
      <c r="H1301" s="2" t="s">
        <v>5013</v>
      </c>
      <c r="I1301" s="20">
        <v>12.07</v>
      </c>
      <c r="J1301" s="2" t="s">
        <v>4933</v>
      </c>
    </row>
    <row r="1302" spans="1:11" ht="15.35" x14ac:dyDescent="0.55000000000000004">
      <c r="A1302" s="20">
        <v>11002</v>
      </c>
      <c r="B1302" s="2" t="s">
        <v>173</v>
      </c>
      <c r="C1302" s="2" t="s">
        <v>174</v>
      </c>
      <c r="D1302" s="2" t="s">
        <v>175</v>
      </c>
      <c r="E1302" s="2" t="s">
        <v>422</v>
      </c>
      <c r="F1302" s="2" t="s">
        <v>5016</v>
      </c>
      <c r="G1302" s="2" t="s">
        <v>4939</v>
      </c>
      <c r="H1302" s="2" t="s">
        <v>5008</v>
      </c>
      <c r="I1302" s="20">
        <v>146.72999999999999</v>
      </c>
      <c r="J1302" s="2" t="s">
        <v>5044</v>
      </c>
    </row>
    <row r="1303" spans="1:11" ht="15.35" x14ac:dyDescent="0.55000000000000004">
      <c r="A1303" s="20">
        <v>11003</v>
      </c>
      <c r="B1303" s="2" t="s">
        <v>173</v>
      </c>
      <c r="C1303" s="2" t="s">
        <v>174</v>
      </c>
      <c r="D1303" s="2" t="s">
        <v>175</v>
      </c>
      <c r="E1303" s="2" t="s">
        <v>422</v>
      </c>
      <c r="F1303" s="2" t="s">
        <v>5016</v>
      </c>
      <c r="G1303" s="2" t="s">
        <v>4939</v>
      </c>
      <c r="H1303" s="2" t="s">
        <v>5012</v>
      </c>
      <c r="I1303" s="20">
        <v>1282.1500000000001</v>
      </c>
      <c r="J1303" s="2" t="s">
        <v>5044</v>
      </c>
    </row>
    <row r="1304" spans="1:11" ht="15.35" x14ac:dyDescent="0.55000000000000004">
      <c r="A1304" s="20">
        <v>11004</v>
      </c>
      <c r="B1304" s="2" t="s">
        <v>173</v>
      </c>
      <c r="C1304" s="2" t="s">
        <v>174</v>
      </c>
      <c r="D1304" s="2" t="s">
        <v>175</v>
      </c>
      <c r="E1304" s="2" t="s">
        <v>422</v>
      </c>
      <c r="F1304" s="2" t="s">
        <v>5016</v>
      </c>
      <c r="G1304" s="2" t="s">
        <v>4939</v>
      </c>
      <c r="H1304" s="2" t="s">
        <v>5063</v>
      </c>
      <c r="I1304" s="20">
        <v>193.66</v>
      </c>
      <c r="J1304" s="2" t="s">
        <v>4941</v>
      </c>
    </row>
    <row r="1305" spans="1:11" ht="15.35" x14ac:dyDescent="0.55000000000000004">
      <c r="A1305" s="20">
        <v>11039</v>
      </c>
      <c r="B1305" s="2" t="s">
        <v>173</v>
      </c>
      <c r="C1305" s="2" t="s">
        <v>174</v>
      </c>
      <c r="D1305" s="2" t="s">
        <v>175</v>
      </c>
      <c r="E1305" s="2" t="s">
        <v>422</v>
      </c>
      <c r="F1305" s="2" t="s">
        <v>5016</v>
      </c>
      <c r="G1305" s="2" t="s">
        <v>4975</v>
      </c>
      <c r="H1305" s="2" t="s">
        <v>5036</v>
      </c>
      <c r="I1305" s="20">
        <v>8852.44</v>
      </c>
      <c r="J1305" s="2" t="s">
        <v>4977</v>
      </c>
      <c r="K1305" s="2" t="s">
        <v>5067</v>
      </c>
    </row>
    <row r="1306" spans="1:11" ht="15.35" x14ac:dyDescent="0.55000000000000004">
      <c r="A1306" s="20">
        <v>11040</v>
      </c>
      <c r="B1306" s="2" t="s">
        <v>173</v>
      </c>
      <c r="C1306" s="2" t="s">
        <v>174</v>
      </c>
      <c r="D1306" s="2" t="s">
        <v>175</v>
      </c>
      <c r="E1306" s="2" t="s">
        <v>422</v>
      </c>
      <c r="F1306" s="2" t="s">
        <v>5016</v>
      </c>
      <c r="G1306" s="2" t="s">
        <v>4975</v>
      </c>
      <c r="H1306" s="2" t="s">
        <v>5036</v>
      </c>
      <c r="I1306" s="20">
        <v>3236.86</v>
      </c>
      <c r="J1306" s="2" t="s">
        <v>4977</v>
      </c>
      <c r="K1306" s="2" t="s">
        <v>5068</v>
      </c>
    </row>
    <row r="1307" spans="1:11" ht="15.35" x14ac:dyDescent="0.55000000000000004">
      <c r="A1307" s="20">
        <v>11041</v>
      </c>
      <c r="B1307" s="2" t="s">
        <v>173</v>
      </c>
      <c r="C1307" s="2" t="s">
        <v>174</v>
      </c>
      <c r="D1307" s="2" t="s">
        <v>175</v>
      </c>
      <c r="E1307" s="2" t="s">
        <v>422</v>
      </c>
      <c r="F1307" s="2" t="s">
        <v>5016</v>
      </c>
      <c r="G1307" s="2" t="s">
        <v>4975</v>
      </c>
      <c r="H1307" s="2" t="s">
        <v>5036</v>
      </c>
      <c r="I1307" s="20">
        <v>1071.76</v>
      </c>
      <c r="J1307" s="2" t="s">
        <v>4977</v>
      </c>
      <c r="K1307" s="2" t="s">
        <v>5065</v>
      </c>
    </row>
    <row r="1308" spans="1:11" ht="15.35" x14ac:dyDescent="0.55000000000000004">
      <c r="A1308" s="20">
        <v>11042</v>
      </c>
      <c r="B1308" s="2" t="s">
        <v>173</v>
      </c>
      <c r="C1308" s="2" t="s">
        <v>174</v>
      </c>
      <c r="D1308" s="2" t="s">
        <v>175</v>
      </c>
      <c r="E1308" s="2" t="s">
        <v>422</v>
      </c>
      <c r="F1308" s="2" t="s">
        <v>5016</v>
      </c>
      <c r="G1308" s="2" t="s">
        <v>4975</v>
      </c>
      <c r="H1308" s="2" t="s">
        <v>5036</v>
      </c>
      <c r="I1308" s="20">
        <v>503.55</v>
      </c>
      <c r="J1308" s="2" t="s">
        <v>4977</v>
      </c>
      <c r="K1308" s="2" t="s">
        <v>5069</v>
      </c>
    </row>
    <row r="1309" spans="1:11" ht="15.35" x14ac:dyDescent="0.55000000000000004">
      <c r="A1309" s="20">
        <v>10746</v>
      </c>
      <c r="B1309" s="2" t="s">
        <v>173</v>
      </c>
      <c r="C1309" s="2" t="s">
        <v>174</v>
      </c>
      <c r="D1309" s="2" t="s">
        <v>175</v>
      </c>
      <c r="E1309" s="2" t="s">
        <v>422</v>
      </c>
      <c r="F1309" s="2" t="s">
        <v>4943</v>
      </c>
      <c r="G1309" s="2" t="s">
        <v>4928</v>
      </c>
      <c r="H1309" s="2" t="s">
        <v>5070</v>
      </c>
      <c r="I1309" s="20">
        <v>2168.73</v>
      </c>
      <c r="J1309" s="2" t="s">
        <v>4935</v>
      </c>
      <c r="K1309" s="2" t="s">
        <v>5071</v>
      </c>
    </row>
    <row r="1310" spans="1:11" ht="15.35" x14ac:dyDescent="0.55000000000000004">
      <c r="A1310" s="20">
        <v>10969</v>
      </c>
      <c r="B1310" s="2" t="s">
        <v>173</v>
      </c>
      <c r="C1310" s="2" t="s">
        <v>174</v>
      </c>
      <c r="D1310" s="2" t="s">
        <v>175</v>
      </c>
      <c r="E1310" s="2" t="s">
        <v>422</v>
      </c>
      <c r="F1310" s="2" t="s">
        <v>4943</v>
      </c>
      <c r="G1310" s="2" t="s">
        <v>4939</v>
      </c>
      <c r="H1310" s="2" t="s">
        <v>5062</v>
      </c>
      <c r="I1310" s="20">
        <v>55.32</v>
      </c>
      <c r="J1310" s="2" t="s">
        <v>4941</v>
      </c>
    </row>
    <row r="1311" spans="1:11" ht="15.35" x14ac:dyDescent="0.55000000000000004">
      <c r="A1311" s="20">
        <v>10970</v>
      </c>
      <c r="B1311" s="2" t="s">
        <v>173</v>
      </c>
      <c r="C1311" s="2" t="s">
        <v>174</v>
      </c>
      <c r="D1311" s="2" t="s">
        <v>175</v>
      </c>
      <c r="E1311" s="2" t="s">
        <v>422</v>
      </c>
      <c r="F1311" s="2" t="s">
        <v>4943</v>
      </c>
      <c r="G1311" s="2" t="s">
        <v>4939</v>
      </c>
      <c r="H1311" s="2" t="s">
        <v>5063</v>
      </c>
      <c r="I1311" s="20">
        <v>201.08</v>
      </c>
      <c r="J1311" s="2" t="s">
        <v>4941</v>
      </c>
    </row>
    <row r="1312" spans="1:11" ht="15.35" x14ac:dyDescent="0.55000000000000004">
      <c r="A1312" s="20">
        <v>10972</v>
      </c>
      <c r="B1312" s="2" t="s">
        <v>173</v>
      </c>
      <c r="C1312" s="2" t="s">
        <v>174</v>
      </c>
      <c r="D1312" s="2" t="s">
        <v>175</v>
      </c>
      <c r="E1312" s="2" t="s">
        <v>422</v>
      </c>
      <c r="F1312" s="2" t="s">
        <v>4943</v>
      </c>
      <c r="G1312" s="2" t="s">
        <v>4928</v>
      </c>
      <c r="H1312" s="2" t="s">
        <v>5033</v>
      </c>
      <c r="I1312" s="20">
        <v>210</v>
      </c>
      <c r="K1312" s="2" t="s">
        <v>5034</v>
      </c>
    </row>
    <row r="1313" spans="1:11" ht="15.35" x14ac:dyDescent="0.55000000000000004">
      <c r="A1313" s="20">
        <v>10977</v>
      </c>
      <c r="B1313" s="2" t="s">
        <v>173</v>
      </c>
      <c r="C1313" s="2" t="s">
        <v>174</v>
      </c>
      <c r="D1313" s="2" t="s">
        <v>175</v>
      </c>
      <c r="E1313" s="2" t="s">
        <v>422</v>
      </c>
      <c r="F1313" s="2" t="s">
        <v>4943</v>
      </c>
      <c r="G1313" s="2" t="s">
        <v>4928</v>
      </c>
      <c r="H1313" s="2" t="s">
        <v>5070</v>
      </c>
      <c r="I1313" s="20">
        <v>30548.05</v>
      </c>
      <c r="J1313" s="2" t="s">
        <v>4935</v>
      </c>
      <c r="K1313" s="2" t="s">
        <v>5001</v>
      </c>
    </row>
    <row r="1314" spans="1:11" ht="15.35" x14ac:dyDescent="0.55000000000000004">
      <c r="A1314" s="20">
        <v>10978</v>
      </c>
      <c r="B1314" s="2" t="s">
        <v>173</v>
      </c>
      <c r="C1314" s="2" t="s">
        <v>174</v>
      </c>
      <c r="D1314" s="2" t="s">
        <v>175</v>
      </c>
      <c r="E1314" s="2" t="s">
        <v>422</v>
      </c>
      <c r="F1314" s="2" t="s">
        <v>4943</v>
      </c>
      <c r="G1314" s="2" t="s">
        <v>4928</v>
      </c>
      <c r="H1314" s="2" t="s">
        <v>5070</v>
      </c>
      <c r="I1314" s="20">
        <v>13360.84</v>
      </c>
      <c r="J1314" s="2" t="s">
        <v>4935</v>
      </c>
      <c r="K1314" s="2" t="s">
        <v>5000</v>
      </c>
    </row>
    <row r="1315" spans="1:11" ht="15.35" x14ac:dyDescent="0.55000000000000004">
      <c r="A1315" s="20">
        <v>10979</v>
      </c>
      <c r="B1315" s="2" t="s">
        <v>173</v>
      </c>
      <c r="C1315" s="2" t="s">
        <v>174</v>
      </c>
      <c r="D1315" s="2" t="s">
        <v>175</v>
      </c>
      <c r="E1315" s="2" t="s">
        <v>422</v>
      </c>
      <c r="F1315" s="2" t="s">
        <v>4943</v>
      </c>
      <c r="G1315" s="2" t="s">
        <v>4928</v>
      </c>
      <c r="H1315" s="2" t="s">
        <v>5070</v>
      </c>
      <c r="I1315" s="20">
        <v>8894.6</v>
      </c>
      <c r="J1315" s="2" t="s">
        <v>4935</v>
      </c>
      <c r="K1315" s="2" t="s">
        <v>5072</v>
      </c>
    </row>
    <row r="1316" spans="1:11" ht="15.35" x14ac:dyDescent="0.55000000000000004">
      <c r="A1316" s="20">
        <v>10980</v>
      </c>
      <c r="B1316" s="2" t="s">
        <v>173</v>
      </c>
      <c r="C1316" s="2" t="s">
        <v>174</v>
      </c>
      <c r="D1316" s="2" t="s">
        <v>175</v>
      </c>
      <c r="E1316" s="2" t="s">
        <v>422</v>
      </c>
      <c r="F1316" s="2" t="s">
        <v>4943</v>
      </c>
      <c r="G1316" s="2" t="s">
        <v>4928</v>
      </c>
      <c r="H1316" s="2" t="s">
        <v>5070</v>
      </c>
      <c r="I1316" s="20">
        <v>7576.92</v>
      </c>
      <c r="J1316" s="2" t="s">
        <v>4935</v>
      </c>
      <c r="K1316" s="2" t="s">
        <v>5073</v>
      </c>
    </row>
    <row r="1317" spans="1:11" ht="15.35" x14ac:dyDescent="0.55000000000000004">
      <c r="A1317" s="20">
        <v>10983</v>
      </c>
      <c r="B1317" s="2" t="s">
        <v>173</v>
      </c>
      <c r="C1317" s="2" t="s">
        <v>174</v>
      </c>
      <c r="D1317" s="2" t="s">
        <v>175</v>
      </c>
      <c r="E1317" s="2" t="s">
        <v>422</v>
      </c>
      <c r="F1317" s="2" t="s">
        <v>4943</v>
      </c>
      <c r="G1317" s="2" t="s">
        <v>4975</v>
      </c>
      <c r="H1317" s="2" t="s">
        <v>5046</v>
      </c>
      <c r="I1317" s="20">
        <v>26172.42</v>
      </c>
      <c r="J1317" s="2" t="s">
        <v>4977</v>
      </c>
    </row>
    <row r="1318" spans="1:11" ht="15.35" x14ac:dyDescent="0.55000000000000004">
      <c r="A1318" s="20">
        <v>10985</v>
      </c>
      <c r="B1318" s="2" t="s">
        <v>173</v>
      </c>
      <c r="C1318" s="2" t="s">
        <v>174</v>
      </c>
      <c r="D1318" s="2" t="s">
        <v>175</v>
      </c>
      <c r="E1318" s="2" t="s">
        <v>422</v>
      </c>
      <c r="F1318" s="2" t="s">
        <v>4943</v>
      </c>
      <c r="G1318" s="2" t="s">
        <v>4975</v>
      </c>
      <c r="H1318" s="2" t="s">
        <v>5059</v>
      </c>
      <c r="I1318" s="20">
        <v>4387.8599999999997</v>
      </c>
      <c r="J1318" s="2" t="s">
        <v>4977</v>
      </c>
    </row>
    <row r="1319" spans="1:11" ht="15.35" x14ac:dyDescent="0.55000000000000004">
      <c r="A1319" s="20">
        <v>10986</v>
      </c>
      <c r="B1319" s="2" t="s">
        <v>173</v>
      </c>
      <c r="C1319" s="2" t="s">
        <v>174</v>
      </c>
      <c r="D1319" s="2" t="s">
        <v>175</v>
      </c>
      <c r="E1319" s="2" t="s">
        <v>422</v>
      </c>
      <c r="F1319" s="2" t="s">
        <v>4943</v>
      </c>
      <c r="G1319" s="2" t="s">
        <v>4975</v>
      </c>
      <c r="H1319" s="2" t="s">
        <v>5060</v>
      </c>
      <c r="I1319" s="20">
        <v>21784.560000000001</v>
      </c>
      <c r="J1319" s="2" t="s">
        <v>4977</v>
      </c>
    </row>
    <row r="1320" spans="1:11" ht="15.35" x14ac:dyDescent="0.55000000000000004">
      <c r="A1320" s="20">
        <v>10987</v>
      </c>
      <c r="B1320" s="2" t="s">
        <v>173</v>
      </c>
      <c r="C1320" s="2" t="s">
        <v>174</v>
      </c>
      <c r="D1320" s="2" t="s">
        <v>175</v>
      </c>
      <c r="E1320" s="2" t="s">
        <v>422</v>
      </c>
      <c r="F1320" s="2" t="s">
        <v>4943</v>
      </c>
      <c r="G1320" s="2" t="s">
        <v>4928</v>
      </c>
      <c r="H1320" s="2" t="s">
        <v>5014</v>
      </c>
      <c r="I1320" s="20">
        <v>333.64</v>
      </c>
      <c r="J1320" s="2" t="s">
        <v>5064</v>
      </c>
    </row>
    <row r="1321" spans="1:11" ht="15.35" x14ac:dyDescent="0.55000000000000004">
      <c r="A1321" s="20">
        <v>10988</v>
      </c>
      <c r="B1321" s="2" t="s">
        <v>173</v>
      </c>
      <c r="C1321" s="2" t="s">
        <v>174</v>
      </c>
      <c r="D1321" s="2" t="s">
        <v>175</v>
      </c>
      <c r="E1321" s="2" t="s">
        <v>422</v>
      </c>
      <c r="F1321" s="2" t="s">
        <v>4943</v>
      </c>
      <c r="G1321" s="2" t="s">
        <v>4931</v>
      </c>
      <c r="H1321" s="2" t="s">
        <v>5013</v>
      </c>
      <c r="I1321" s="20">
        <v>13.12</v>
      </c>
      <c r="J1321" s="2" t="s">
        <v>4933</v>
      </c>
    </row>
    <row r="1322" spans="1:11" ht="15.35" x14ac:dyDescent="0.55000000000000004">
      <c r="A1322" s="20">
        <v>10989</v>
      </c>
      <c r="B1322" s="2" t="s">
        <v>173</v>
      </c>
      <c r="C1322" s="2" t="s">
        <v>174</v>
      </c>
      <c r="D1322" s="2" t="s">
        <v>175</v>
      </c>
      <c r="E1322" s="2" t="s">
        <v>422</v>
      </c>
      <c r="F1322" s="2" t="s">
        <v>4943</v>
      </c>
      <c r="G1322" s="2" t="s">
        <v>4939</v>
      </c>
      <c r="H1322" s="2" t="s">
        <v>5008</v>
      </c>
      <c r="I1322" s="20">
        <v>141.1</v>
      </c>
      <c r="J1322" s="2" t="s">
        <v>5044</v>
      </c>
    </row>
    <row r="1323" spans="1:11" ht="15.35" x14ac:dyDescent="0.55000000000000004">
      <c r="A1323" s="20">
        <v>10990</v>
      </c>
      <c r="B1323" s="2" t="s">
        <v>173</v>
      </c>
      <c r="C1323" s="2" t="s">
        <v>174</v>
      </c>
      <c r="D1323" s="2" t="s">
        <v>175</v>
      </c>
      <c r="E1323" s="2" t="s">
        <v>422</v>
      </c>
      <c r="F1323" s="2" t="s">
        <v>4943</v>
      </c>
      <c r="G1323" s="2" t="s">
        <v>4939</v>
      </c>
      <c r="H1323" s="2" t="s">
        <v>5012</v>
      </c>
      <c r="I1323" s="20">
        <v>1217.5</v>
      </c>
      <c r="J1323" s="2" t="s">
        <v>5044</v>
      </c>
    </row>
    <row r="1324" spans="1:11" ht="15.35" x14ac:dyDescent="0.55000000000000004">
      <c r="A1324" s="20">
        <v>10991</v>
      </c>
      <c r="B1324" s="2" t="s">
        <v>173</v>
      </c>
      <c r="C1324" s="2" t="s">
        <v>174</v>
      </c>
      <c r="D1324" s="2" t="s">
        <v>175</v>
      </c>
      <c r="E1324" s="2" t="s">
        <v>422</v>
      </c>
      <c r="F1324" s="2" t="s">
        <v>4943</v>
      </c>
      <c r="G1324" s="2" t="s">
        <v>4931</v>
      </c>
      <c r="H1324" s="2" t="s">
        <v>5043</v>
      </c>
      <c r="I1324" s="20">
        <v>0.98099999999999998</v>
      </c>
      <c r="J1324" s="2" t="s">
        <v>4933</v>
      </c>
    </row>
    <row r="1325" spans="1:11" ht="15.35" x14ac:dyDescent="0.55000000000000004">
      <c r="A1325" s="20">
        <v>10992</v>
      </c>
      <c r="B1325" s="2" t="s">
        <v>173</v>
      </c>
      <c r="C1325" s="2" t="s">
        <v>174</v>
      </c>
      <c r="D1325" s="2" t="s">
        <v>175</v>
      </c>
      <c r="E1325" s="2" t="s">
        <v>422</v>
      </c>
      <c r="F1325" s="2" t="s">
        <v>4943</v>
      </c>
      <c r="G1325" s="2" t="s">
        <v>4931</v>
      </c>
      <c r="H1325" s="2" t="s">
        <v>5042</v>
      </c>
      <c r="I1325" s="20">
        <v>97.92</v>
      </c>
      <c r="J1325" s="2" t="s">
        <v>4933</v>
      </c>
    </row>
    <row r="1326" spans="1:11" ht="15.35" x14ac:dyDescent="0.55000000000000004">
      <c r="A1326" s="20">
        <v>10993</v>
      </c>
      <c r="B1326" s="2" t="s">
        <v>173</v>
      </c>
      <c r="C1326" s="2" t="s">
        <v>174</v>
      </c>
      <c r="D1326" s="2" t="s">
        <v>175</v>
      </c>
      <c r="E1326" s="2" t="s">
        <v>422</v>
      </c>
      <c r="F1326" s="2" t="s">
        <v>4943</v>
      </c>
      <c r="G1326" s="2" t="s">
        <v>4931</v>
      </c>
      <c r="H1326" s="2" t="s">
        <v>5010</v>
      </c>
      <c r="I1326" s="20">
        <v>97.17</v>
      </c>
      <c r="J1326" s="2" t="s">
        <v>4933</v>
      </c>
    </row>
    <row r="1327" spans="1:11" ht="15.35" x14ac:dyDescent="0.55000000000000004">
      <c r="A1327" s="20">
        <v>10994</v>
      </c>
      <c r="B1327" s="2" t="s">
        <v>173</v>
      </c>
      <c r="C1327" s="2" t="s">
        <v>174</v>
      </c>
      <c r="D1327" s="2" t="s">
        <v>175</v>
      </c>
      <c r="E1327" s="2" t="s">
        <v>422</v>
      </c>
      <c r="F1327" s="2" t="s">
        <v>4943</v>
      </c>
      <c r="G1327" s="2" t="s">
        <v>4931</v>
      </c>
      <c r="H1327" s="2" t="s">
        <v>4968</v>
      </c>
      <c r="I1327" s="20">
        <v>35.619999999999997</v>
      </c>
      <c r="J1327" s="2" t="s">
        <v>4933</v>
      </c>
    </row>
    <row r="1328" spans="1:11" ht="15.35" x14ac:dyDescent="0.55000000000000004">
      <c r="A1328" s="20">
        <v>10995</v>
      </c>
      <c r="B1328" s="2" t="s">
        <v>173</v>
      </c>
      <c r="C1328" s="2" t="s">
        <v>174</v>
      </c>
      <c r="D1328" s="2" t="s">
        <v>175</v>
      </c>
      <c r="E1328" s="2" t="s">
        <v>422</v>
      </c>
      <c r="F1328" s="2" t="s">
        <v>4943</v>
      </c>
      <c r="G1328" s="2" t="s">
        <v>4939</v>
      </c>
      <c r="H1328" s="2" t="s">
        <v>5066</v>
      </c>
      <c r="I1328" s="20">
        <v>95.44</v>
      </c>
      <c r="J1328" s="2" t="s">
        <v>5044</v>
      </c>
    </row>
    <row r="1329" spans="1:11" ht="15.35" x14ac:dyDescent="0.55000000000000004">
      <c r="A1329" s="20">
        <v>11006</v>
      </c>
      <c r="B1329" s="2" t="s">
        <v>173</v>
      </c>
      <c r="C1329" s="2" t="s">
        <v>174</v>
      </c>
      <c r="D1329" s="2" t="s">
        <v>175</v>
      </c>
      <c r="E1329" s="2" t="s">
        <v>422</v>
      </c>
      <c r="F1329" s="2" t="s">
        <v>4943</v>
      </c>
      <c r="G1329" s="2" t="s">
        <v>4928</v>
      </c>
      <c r="H1329" s="2" t="s">
        <v>5033</v>
      </c>
      <c r="I1329" s="20">
        <v>11</v>
      </c>
      <c r="K1329" s="2" t="s">
        <v>5061</v>
      </c>
    </row>
    <row r="1330" spans="1:11" ht="15.35" x14ac:dyDescent="0.55000000000000004">
      <c r="A1330" s="20">
        <v>11028</v>
      </c>
      <c r="B1330" s="2" t="s">
        <v>173</v>
      </c>
      <c r="C1330" s="2" t="s">
        <v>174</v>
      </c>
      <c r="D1330" s="2" t="s">
        <v>175</v>
      </c>
      <c r="E1330" s="2" t="s">
        <v>422</v>
      </c>
      <c r="F1330" s="2" t="s">
        <v>4943</v>
      </c>
      <c r="G1330" s="2" t="s">
        <v>4975</v>
      </c>
      <c r="H1330" s="2" t="s">
        <v>5036</v>
      </c>
      <c r="I1330" s="20">
        <v>3245.56</v>
      </c>
      <c r="J1330" s="2" t="s">
        <v>4977</v>
      </c>
    </row>
    <row r="1331" spans="1:11" ht="15.35" x14ac:dyDescent="0.55000000000000004">
      <c r="A1331" s="20">
        <v>11035</v>
      </c>
      <c r="B1331" s="2" t="s">
        <v>173</v>
      </c>
      <c r="C1331" s="2" t="s">
        <v>174</v>
      </c>
      <c r="D1331" s="2" t="s">
        <v>175</v>
      </c>
      <c r="E1331" s="2" t="s">
        <v>422</v>
      </c>
      <c r="F1331" s="2" t="s">
        <v>4943</v>
      </c>
      <c r="G1331" s="2" t="s">
        <v>4975</v>
      </c>
      <c r="H1331" s="2" t="s">
        <v>5036</v>
      </c>
      <c r="I1331" s="20">
        <v>1873.15</v>
      </c>
      <c r="J1331" s="2" t="s">
        <v>4977</v>
      </c>
      <c r="K1331" s="2" t="s">
        <v>5067</v>
      </c>
    </row>
    <row r="1332" spans="1:11" ht="15.35" x14ac:dyDescent="0.55000000000000004">
      <c r="A1332" s="20">
        <v>11036</v>
      </c>
      <c r="B1332" s="2" t="s">
        <v>173</v>
      </c>
      <c r="C1332" s="2" t="s">
        <v>174</v>
      </c>
      <c r="D1332" s="2" t="s">
        <v>175</v>
      </c>
      <c r="E1332" s="2" t="s">
        <v>422</v>
      </c>
      <c r="F1332" s="2" t="s">
        <v>4943</v>
      </c>
      <c r="G1332" s="2" t="s">
        <v>4975</v>
      </c>
      <c r="H1332" s="2" t="s">
        <v>5036</v>
      </c>
      <c r="I1332" s="20">
        <v>800.02</v>
      </c>
      <c r="J1332" s="2" t="s">
        <v>4977</v>
      </c>
      <c r="K1332" s="2" t="s">
        <v>5068</v>
      </c>
    </row>
    <row r="1333" spans="1:11" ht="15.35" x14ac:dyDescent="0.55000000000000004">
      <c r="A1333" s="20">
        <v>11037</v>
      </c>
      <c r="B1333" s="2" t="s">
        <v>173</v>
      </c>
      <c r="C1333" s="2" t="s">
        <v>174</v>
      </c>
      <c r="D1333" s="2" t="s">
        <v>175</v>
      </c>
      <c r="E1333" s="2" t="s">
        <v>422</v>
      </c>
      <c r="F1333" s="2" t="s">
        <v>4943</v>
      </c>
      <c r="G1333" s="2" t="s">
        <v>4975</v>
      </c>
      <c r="H1333" s="2" t="s">
        <v>5036</v>
      </c>
      <c r="I1333" s="20">
        <v>459.66</v>
      </c>
      <c r="J1333" s="2" t="s">
        <v>4977</v>
      </c>
      <c r="K1333" s="2" t="s">
        <v>5065</v>
      </c>
    </row>
    <row r="1334" spans="1:11" ht="15.35" x14ac:dyDescent="0.55000000000000004">
      <c r="A1334" s="20">
        <v>11038</v>
      </c>
      <c r="B1334" s="2" t="s">
        <v>173</v>
      </c>
      <c r="C1334" s="2" t="s">
        <v>174</v>
      </c>
      <c r="D1334" s="2" t="s">
        <v>175</v>
      </c>
      <c r="E1334" s="2" t="s">
        <v>422</v>
      </c>
      <c r="F1334" s="2" t="s">
        <v>4943</v>
      </c>
      <c r="G1334" s="2" t="s">
        <v>4975</v>
      </c>
      <c r="H1334" s="2" t="s">
        <v>5036</v>
      </c>
      <c r="I1334" s="20">
        <v>112.72</v>
      </c>
      <c r="J1334" s="2" t="s">
        <v>4977</v>
      </c>
      <c r="K1334" s="2" t="s">
        <v>5069</v>
      </c>
    </row>
    <row r="1335" spans="1:11" ht="15.35" x14ac:dyDescent="0.55000000000000004">
      <c r="A1335" s="20">
        <v>14332</v>
      </c>
      <c r="B1335" s="2" t="s">
        <v>173</v>
      </c>
      <c r="C1335" s="2" t="s">
        <v>174</v>
      </c>
      <c r="D1335" s="2" t="s">
        <v>175</v>
      </c>
      <c r="E1335" s="2" t="s">
        <v>422</v>
      </c>
      <c r="F1335" s="2" t="s">
        <v>4948</v>
      </c>
      <c r="G1335" s="2" t="s">
        <v>4931</v>
      </c>
      <c r="H1335" s="2" t="s">
        <v>4937</v>
      </c>
      <c r="I1335" s="20">
        <v>99.27</v>
      </c>
      <c r="J1335" s="2" t="s">
        <v>4933</v>
      </c>
    </row>
    <row r="1336" spans="1:11" ht="15.35" x14ac:dyDescent="0.55000000000000004">
      <c r="A1336" s="20">
        <v>14333</v>
      </c>
      <c r="B1336" s="2" t="s">
        <v>173</v>
      </c>
      <c r="C1336" s="2" t="s">
        <v>174</v>
      </c>
      <c r="D1336" s="2" t="s">
        <v>175</v>
      </c>
      <c r="E1336" s="2" t="s">
        <v>422</v>
      </c>
      <c r="F1336" s="2" t="s">
        <v>4948</v>
      </c>
      <c r="G1336" s="2" t="s">
        <v>4939</v>
      </c>
      <c r="H1336" s="2" t="s">
        <v>4946</v>
      </c>
      <c r="I1336" s="20">
        <v>161.63</v>
      </c>
      <c r="J1336" s="2" t="s">
        <v>4941</v>
      </c>
    </row>
    <row r="1337" spans="1:11" ht="15.35" x14ac:dyDescent="0.55000000000000004">
      <c r="A1337" s="20">
        <v>14334</v>
      </c>
      <c r="B1337" s="2" t="s">
        <v>173</v>
      </c>
      <c r="C1337" s="2" t="s">
        <v>174</v>
      </c>
      <c r="D1337" s="2" t="s">
        <v>175</v>
      </c>
      <c r="E1337" s="2" t="s">
        <v>422</v>
      </c>
      <c r="F1337" s="2" t="s">
        <v>4948</v>
      </c>
      <c r="G1337" s="2" t="s">
        <v>4928</v>
      </c>
      <c r="H1337" s="2" t="s">
        <v>4929</v>
      </c>
      <c r="I1337" s="20">
        <v>4.0999999999999996</v>
      </c>
      <c r="J1337" s="2" t="s">
        <v>4930</v>
      </c>
    </row>
    <row r="1338" spans="1:11" ht="15.35" x14ac:dyDescent="0.55000000000000004">
      <c r="A1338" s="20">
        <v>14335</v>
      </c>
      <c r="B1338" s="2" t="s">
        <v>173</v>
      </c>
      <c r="C1338" s="2" t="s">
        <v>174</v>
      </c>
      <c r="D1338" s="2" t="s">
        <v>175</v>
      </c>
      <c r="E1338" s="2" t="s">
        <v>422</v>
      </c>
      <c r="F1338" s="2" t="s">
        <v>4948</v>
      </c>
      <c r="G1338" s="2" t="s">
        <v>4931</v>
      </c>
      <c r="H1338" s="2" t="s">
        <v>4952</v>
      </c>
      <c r="I1338" s="20">
        <v>99.85</v>
      </c>
      <c r="J1338" s="2" t="s">
        <v>4933</v>
      </c>
    </row>
    <row r="1339" spans="1:11" ht="15.35" x14ac:dyDescent="0.55000000000000004">
      <c r="A1339" s="20">
        <v>14340</v>
      </c>
      <c r="B1339" s="2" t="s">
        <v>173</v>
      </c>
      <c r="C1339" s="2" t="s">
        <v>174</v>
      </c>
      <c r="D1339" s="2" t="s">
        <v>175</v>
      </c>
      <c r="E1339" s="2" t="s">
        <v>422</v>
      </c>
      <c r="F1339" s="2" t="s">
        <v>4948</v>
      </c>
      <c r="G1339" s="2" t="s">
        <v>4928</v>
      </c>
      <c r="H1339" s="2" t="s">
        <v>4936</v>
      </c>
      <c r="I1339" s="20">
        <v>69213.289999999994</v>
      </c>
      <c r="J1339" s="2" t="s">
        <v>4935</v>
      </c>
    </row>
    <row r="1340" spans="1:11" ht="15.35" x14ac:dyDescent="0.55000000000000004">
      <c r="A1340" s="20">
        <v>14352</v>
      </c>
      <c r="B1340" s="2" t="s">
        <v>173</v>
      </c>
      <c r="C1340" s="2" t="s">
        <v>174</v>
      </c>
      <c r="D1340" s="2" t="s">
        <v>175</v>
      </c>
      <c r="E1340" s="2" t="s">
        <v>422</v>
      </c>
      <c r="F1340" s="2" t="s">
        <v>4948</v>
      </c>
      <c r="G1340" s="2" t="s">
        <v>4928</v>
      </c>
      <c r="H1340" s="2" t="s">
        <v>4934</v>
      </c>
      <c r="I1340" s="20">
        <v>69721.899999999994</v>
      </c>
      <c r="J1340" s="2" t="s">
        <v>4935</v>
      </c>
    </row>
    <row r="1341" spans="1:11" ht="15.35" x14ac:dyDescent="0.55000000000000004">
      <c r="A1341" s="20">
        <v>16643</v>
      </c>
      <c r="B1341" s="2" t="s">
        <v>173</v>
      </c>
      <c r="C1341" s="2" t="s">
        <v>174</v>
      </c>
      <c r="D1341" s="2" t="s">
        <v>175</v>
      </c>
      <c r="E1341" s="2" t="s">
        <v>422</v>
      </c>
      <c r="F1341" s="2" t="s">
        <v>4949</v>
      </c>
      <c r="G1341" s="2" t="s">
        <v>4928</v>
      </c>
      <c r="H1341" s="2" t="s">
        <v>4936</v>
      </c>
      <c r="I1341" s="20">
        <v>68943.509999999995</v>
      </c>
      <c r="J1341" s="2" t="s">
        <v>4935</v>
      </c>
    </row>
    <row r="1342" spans="1:11" ht="15.35" x14ac:dyDescent="0.55000000000000004">
      <c r="A1342" s="20">
        <v>16737</v>
      </c>
      <c r="B1342" s="2" t="s">
        <v>173</v>
      </c>
      <c r="C1342" s="2" t="s">
        <v>174</v>
      </c>
      <c r="D1342" s="2" t="s">
        <v>175</v>
      </c>
      <c r="E1342" s="2" t="s">
        <v>422</v>
      </c>
      <c r="F1342" s="2" t="s">
        <v>4949</v>
      </c>
      <c r="G1342" s="2" t="s">
        <v>4931</v>
      </c>
      <c r="H1342" s="2" t="s">
        <v>4952</v>
      </c>
      <c r="I1342" s="20">
        <v>99.67</v>
      </c>
      <c r="J1342" s="2" t="s">
        <v>4933</v>
      </c>
    </row>
    <row r="1343" spans="1:11" ht="15.35" x14ac:dyDescent="0.55000000000000004">
      <c r="A1343" s="20">
        <v>16738</v>
      </c>
      <c r="B1343" s="2" t="s">
        <v>173</v>
      </c>
      <c r="C1343" s="2" t="s">
        <v>174</v>
      </c>
      <c r="D1343" s="2" t="s">
        <v>175</v>
      </c>
      <c r="E1343" s="2" t="s">
        <v>422</v>
      </c>
      <c r="F1343" s="2" t="s">
        <v>4949</v>
      </c>
      <c r="G1343" s="2" t="s">
        <v>4928</v>
      </c>
      <c r="H1343" s="2" t="s">
        <v>4929</v>
      </c>
      <c r="I1343" s="20">
        <v>3.89</v>
      </c>
      <c r="J1343" s="2" t="s">
        <v>4930</v>
      </c>
    </row>
    <row r="1344" spans="1:11" ht="15.35" x14ac:dyDescent="0.55000000000000004">
      <c r="A1344" s="20">
        <v>16739</v>
      </c>
      <c r="B1344" s="2" t="s">
        <v>173</v>
      </c>
      <c r="C1344" s="2" t="s">
        <v>174</v>
      </c>
      <c r="D1344" s="2" t="s">
        <v>175</v>
      </c>
      <c r="E1344" s="2" t="s">
        <v>422</v>
      </c>
      <c r="F1344" s="2" t="s">
        <v>4949</v>
      </c>
      <c r="G1344" s="2" t="s">
        <v>4939</v>
      </c>
      <c r="H1344" s="2" t="s">
        <v>4946</v>
      </c>
      <c r="I1344" s="20">
        <v>158.56</v>
      </c>
      <c r="J1344" s="2" t="s">
        <v>4941</v>
      </c>
    </row>
    <row r="1345" spans="1:10" ht="15.35" x14ac:dyDescent="0.55000000000000004">
      <c r="A1345" s="20">
        <v>16740</v>
      </c>
      <c r="B1345" s="2" t="s">
        <v>173</v>
      </c>
      <c r="C1345" s="2" t="s">
        <v>174</v>
      </c>
      <c r="D1345" s="2" t="s">
        <v>175</v>
      </c>
      <c r="E1345" s="2" t="s">
        <v>422</v>
      </c>
      <c r="F1345" s="2" t="s">
        <v>4949</v>
      </c>
      <c r="G1345" s="2" t="s">
        <v>4931</v>
      </c>
      <c r="H1345" s="2" t="s">
        <v>4937</v>
      </c>
      <c r="I1345" s="20">
        <v>98.88</v>
      </c>
      <c r="J1345" s="2" t="s">
        <v>4933</v>
      </c>
    </row>
    <row r="1346" spans="1:10" ht="15.35" x14ac:dyDescent="0.55000000000000004">
      <c r="A1346" s="20">
        <v>16877</v>
      </c>
      <c r="B1346" s="2" t="s">
        <v>173</v>
      </c>
      <c r="C1346" s="2" t="s">
        <v>174</v>
      </c>
      <c r="D1346" s="2" t="s">
        <v>175</v>
      </c>
      <c r="E1346" s="2" t="s">
        <v>422</v>
      </c>
      <c r="F1346" s="2" t="s">
        <v>4949</v>
      </c>
      <c r="G1346" s="2" t="s">
        <v>4928</v>
      </c>
      <c r="H1346" s="2" t="s">
        <v>4934</v>
      </c>
      <c r="I1346" s="20">
        <v>69721.899999999994</v>
      </c>
      <c r="J1346" s="2" t="s">
        <v>4935</v>
      </c>
    </row>
    <row r="1347" spans="1:10" ht="15.35" x14ac:dyDescent="0.55000000000000004">
      <c r="A1347" s="20">
        <v>18857</v>
      </c>
      <c r="B1347" s="2" t="s">
        <v>173</v>
      </c>
      <c r="C1347" s="2" t="s">
        <v>174</v>
      </c>
      <c r="D1347" s="2" t="s">
        <v>175</v>
      </c>
      <c r="E1347" s="2" t="s">
        <v>422</v>
      </c>
      <c r="F1347" s="2" t="s">
        <v>4950</v>
      </c>
      <c r="G1347" s="2" t="s">
        <v>4928</v>
      </c>
      <c r="H1347" s="2" t="s">
        <v>4934</v>
      </c>
      <c r="I1347" s="20">
        <v>69721.899999999994</v>
      </c>
      <c r="J1347" s="2" t="s">
        <v>4935</v>
      </c>
    </row>
    <row r="1348" spans="1:10" ht="15.35" x14ac:dyDescent="0.55000000000000004">
      <c r="A1348" s="20">
        <v>18858</v>
      </c>
      <c r="B1348" s="2" t="s">
        <v>173</v>
      </c>
      <c r="C1348" s="2" t="s">
        <v>174</v>
      </c>
      <c r="D1348" s="2" t="s">
        <v>175</v>
      </c>
      <c r="E1348" s="2" t="s">
        <v>422</v>
      </c>
      <c r="F1348" s="2" t="s">
        <v>4950</v>
      </c>
      <c r="G1348" s="2" t="s">
        <v>4928</v>
      </c>
      <c r="H1348" s="2" t="s">
        <v>4936</v>
      </c>
      <c r="I1348" s="20">
        <v>69721.899999999994</v>
      </c>
      <c r="J1348" s="2" t="s">
        <v>4935</v>
      </c>
    </row>
    <row r="1349" spans="1:10" ht="15.35" x14ac:dyDescent="0.55000000000000004">
      <c r="A1349" s="20">
        <v>18859</v>
      </c>
      <c r="B1349" s="2" t="s">
        <v>173</v>
      </c>
      <c r="C1349" s="2" t="s">
        <v>174</v>
      </c>
      <c r="D1349" s="2" t="s">
        <v>175</v>
      </c>
      <c r="E1349" s="2" t="s">
        <v>422</v>
      </c>
      <c r="F1349" s="2" t="s">
        <v>4950</v>
      </c>
      <c r="G1349" s="2" t="s">
        <v>4931</v>
      </c>
      <c r="H1349" s="2" t="s">
        <v>4937</v>
      </c>
      <c r="I1349" s="20">
        <v>100</v>
      </c>
      <c r="J1349" s="2" t="s">
        <v>4933</v>
      </c>
    </row>
    <row r="1350" spans="1:10" ht="15.35" x14ac:dyDescent="0.55000000000000004">
      <c r="A1350" s="20">
        <v>18860</v>
      </c>
      <c r="B1350" s="2" t="s">
        <v>173</v>
      </c>
      <c r="C1350" s="2" t="s">
        <v>174</v>
      </c>
      <c r="D1350" s="2" t="s">
        <v>175</v>
      </c>
      <c r="E1350" s="2" t="s">
        <v>422</v>
      </c>
      <c r="F1350" s="2" t="s">
        <v>4950</v>
      </c>
      <c r="G1350" s="2" t="s">
        <v>4939</v>
      </c>
      <c r="H1350" s="2" t="s">
        <v>4946</v>
      </c>
      <c r="I1350" s="20">
        <v>156.38999999999999</v>
      </c>
      <c r="J1350" s="2" t="s">
        <v>4941</v>
      </c>
    </row>
    <row r="1351" spans="1:10" ht="15.35" x14ac:dyDescent="0.55000000000000004">
      <c r="A1351" s="20">
        <v>18861</v>
      </c>
      <c r="B1351" s="2" t="s">
        <v>173</v>
      </c>
      <c r="C1351" s="2" t="s">
        <v>174</v>
      </c>
      <c r="D1351" s="2" t="s">
        <v>175</v>
      </c>
      <c r="E1351" s="2" t="s">
        <v>422</v>
      </c>
      <c r="F1351" s="2" t="s">
        <v>4950</v>
      </c>
      <c r="G1351" s="2" t="s">
        <v>4928</v>
      </c>
      <c r="H1351" s="2" t="s">
        <v>4929</v>
      </c>
      <c r="I1351" s="20">
        <v>3.83</v>
      </c>
      <c r="J1351" s="2" t="s">
        <v>4930</v>
      </c>
    </row>
    <row r="1352" spans="1:10" ht="15.35" x14ac:dyDescent="0.55000000000000004">
      <c r="A1352" s="20">
        <v>18863</v>
      </c>
      <c r="B1352" s="2" t="s">
        <v>173</v>
      </c>
      <c r="C1352" s="2" t="s">
        <v>174</v>
      </c>
      <c r="D1352" s="2" t="s">
        <v>175</v>
      </c>
      <c r="E1352" s="2" t="s">
        <v>422</v>
      </c>
      <c r="F1352" s="2" t="s">
        <v>4950</v>
      </c>
      <c r="G1352" s="2" t="s">
        <v>4931</v>
      </c>
      <c r="H1352" s="2" t="s">
        <v>4952</v>
      </c>
      <c r="I1352" s="20">
        <v>100</v>
      </c>
      <c r="J1352" s="2" t="s">
        <v>4933</v>
      </c>
    </row>
    <row r="1353" spans="1:10" ht="15.35" x14ac:dyDescent="0.55000000000000004">
      <c r="A1353" s="20">
        <v>17788</v>
      </c>
      <c r="B1353" s="2" t="s">
        <v>188</v>
      </c>
      <c r="C1353" s="2" t="s">
        <v>189</v>
      </c>
      <c r="D1353" s="2" t="s">
        <v>190</v>
      </c>
      <c r="E1353" s="2" t="s">
        <v>429</v>
      </c>
      <c r="F1353" s="2" t="s">
        <v>4980</v>
      </c>
      <c r="G1353" s="2" t="s">
        <v>4931</v>
      </c>
      <c r="H1353" s="2" t="s">
        <v>4937</v>
      </c>
      <c r="I1353" s="20">
        <v>97.96</v>
      </c>
      <c r="J1353" s="2" t="s">
        <v>4933</v>
      </c>
    </row>
    <row r="1354" spans="1:10" ht="15.35" x14ac:dyDescent="0.55000000000000004">
      <c r="A1354" s="20">
        <v>17800</v>
      </c>
      <c r="B1354" s="2" t="s">
        <v>188</v>
      </c>
      <c r="C1354" s="2" t="s">
        <v>189</v>
      </c>
      <c r="D1354" s="2" t="s">
        <v>190</v>
      </c>
      <c r="E1354" s="2" t="s">
        <v>429</v>
      </c>
      <c r="F1354" s="2" t="s">
        <v>4980</v>
      </c>
      <c r="G1354" s="2" t="s">
        <v>4931</v>
      </c>
      <c r="H1354" s="2" t="s">
        <v>5010</v>
      </c>
      <c r="I1354" s="20">
        <v>98.69</v>
      </c>
      <c r="J1354" s="2" t="s">
        <v>4933</v>
      </c>
    </row>
    <row r="1355" spans="1:10" ht="15.35" x14ac:dyDescent="0.55000000000000004">
      <c r="A1355" s="20">
        <v>17803</v>
      </c>
      <c r="B1355" s="2" t="s">
        <v>188</v>
      </c>
      <c r="C1355" s="2" t="s">
        <v>189</v>
      </c>
      <c r="D1355" s="2" t="s">
        <v>190</v>
      </c>
      <c r="E1355" s="2" t="s">
        <v>429</v>
      </c>
      <c r="F1355" s="2" t="s">
        <v>4980</v>
      </c>
      <c r="G1355" s="2" t="s">
        <v>4939</v>
      </c>
      <c r="H1355" s="2" t="s">
        <v>5074</v>
      </c>
      <c r="I1355" s="20">
        <v>175.94</v>
      </c>
      <c r="J1355" s="2" t="s">
        <v>4941</v>
      </c>
    </row>
    <row r="1356" spans="1:10" ht="15.35" x14ac:dyDescent="0.55000000000000004">
      <c r="A1356" s="20">
        <v>17806</v>
      </c>
      <c r="B1356" s="2" t="s">
        <v>188</v>
      </c>
      <c r="C1356" s="2" t="s">
        <v>189</v>
      </c>
      <c r="D1356" s="2" t="s">
        <v>190</v>
      </c>
      <c r="E1356" s="2" t="s">
        <v>429</v>
      </c>
      <c r="F1356" s="2" t="s">
        <v>4980</v>
      </c>
      <c r="G1356" s="2" t="s">
        <v>4939</v>
      </c>
      <c r="H1356" s="2" t="s">
        <v>5075</v>
      </c>
      <c r="I1356" s="20">
        <v>167.03</v>
      </c>
      <c r="J1356" s="2" t="s">
        <v>4941</v>
      </c>
    </row>
    <row r="1357" spans="1:10" ht="15.35" x14ac:dyDescent="0.55000000000000004">
      <c r="A1357" s="20">
        <v>17798</v>
      </c>
      <c r="B1357" s="2" t="s">
        <v>188</v>
      </c>
      <c r="C1357" s="2" t="s">
        <v>189</v>
      </c>
      <c r="D1357" s="2" t="s">
        <v>190</v>
      </c>
      <c r="E1357" s="2" t="s">
        <v>429</v>
      </c>
      <c r="F1357" s="2" t="s">
        <v>5016</v>
      </c>
      <c r="G1357" s="2" t="s">
        <v>4931</v>
      </c>
      <c r="H1357" s="2" t="s">
        <v>4937</v>
      </c>
      <c r="I1357" s="20">
        <v>99.06</v>
      </c>
      <c r="J1357" s="2" t="s">
        <v>4933</v>
      </c>
    </row>
    <row r="1358" spans="1:10" ht="15.35" x14ac:dyDescent="0.55000000000000004">
      <c r="A1358" s="20">
        <v>17801</v>
      </c>
      <c r="B1358" s="2" t="s">
        <v>188</v>
      </c>
      <c r="C1358" s="2" t="s">
        <v>189</v>
      </c>
      <c r="D1358" s="2" t="s">
        <v>190</v>
      </c>
      <c r="E1358" s="2" t="s">
        <v>429</v>
      </c>
      <c r="F1358" s="2" t="s">
        <v>5016</v>
      </c>
      <c r="G1358" s="2" t="s">
        <v>4931</v>
      </c>
      <c r="H1358" s="2" t="s">
        <v>5010</v>
      </c>
      <c r="I1358" s="20">
        <v>98.69</v>
      </c>
      <c r="J1358" s="2" t="s">
        <v>4933</v>
      </c>
    </row>
    <row r="1359" spans="1:10" ht="15.35" x14ac:dyDescent="0.55000000000000004">
      <c r="A1359" s="20">
        <v>17804</v>
      </c>
      <c r="B1359" s="2" t="s">
        <v>188</v>
      </c>
      <c r="C1359" s="2" t="s">
        <v>189</v>
      </c>
      <c r="D1359" s="2" t="s">
        <v>190</v>
      </c>
      <c r="E1359" s="2" t="s">
        <v>429</v>
      </c>
      <c r="F1359" s="2" t="s">
        <v>5016</v>
      </c>
      <c r="G1359" s="2" t="s">
        <v>4939</v>
      </c>
      <c r="H1359" s="2" t="s">
        <v>5074</v>
      </c>
      <c r="I1359" s="20">
        <v>176.19</v>
      </c>
      <c r="J1359" s="2" t="s">
        <v>4941</v>
      </c>
    </row>
    <row r="1360" spans="1:10" ht="15.35" x14ac:dyDescent="0.55000000000000004">
      <c r="A1360" s="20">
        <v>17807</v>
      </c>
      <c r="B1360" s="2" t="s">
        <v>188</v>
      </c>
      <c r="C1360" s="2" t="s">
        <v>189</v>
      </c>
      <c r="D1360" s="2" t="s">
        <v>190</v>
      </c>
      <c r="E1360" s="2" t="s">
        <v>429</v>
      </c>
      <c r="F1360" s="2" t="s">
        <v>5016</v>
      </c>
      <c r="G1360" s="2" t="s">
        <v>4939</v>
      </c>
      <c r="H1360" s="2" t="s">
        <v>5075</v>
      </c>
      <c r="I1360" s="20">
        <v>167.23</v>
      </c>
      <c r="J1360" s="2" t="s">
        <v>4941</v>
      </c>
    </row>
    <row r="1361" spans="1:10" ht="15.35" x14ac:dyDescent="0.55000000000000004">
      <c r="A1361" s="20">
        <v>17796</v>
      </c>
      <c r="B1361" s="2" t="s">
        <v>188</v>
      </c>
      <c r="C1361" s="2" t="s">
        <v>189</v>
      </c>
      <c r="D1361" s="2" t="s">
        <v>190</v>
      </c>
      <c r="E1361" s="2" t="s">
        <v>429</v>
      </c>
      <c r="F1361" s="2" t="s">
        <v>5076</v>
      </c>
      <c r="G1361" s="2" t="s">
        <v>4939</v>
      </c>
      <c r="H1361" s="2" t="s">
        <v>5075</v>
      </c>
      <c r="I1361" s="20">
        <v>170.08</v>
      </c>
      <c r="J1361" s="2" t="s">
        <v>4941</v>
      </c>
    </row>
    <row r="1362" spans="1:10" ht="15.35" x14ac:dyDescent="0.55000000000000004">
      <c r="A1362" s="20">
        <v>17799</v>
      </c>
      <c r="B1362" s="2" t="s">
        <v>188</v>
      </c>
      <c r="C1362" s="2" t="s">
        <v>189</v>
      </c>
      <c r="D1362" s="2" t="s">
        <v>190</v>
      </c>
      <c r="E1362" s="2" t="s">
        <v>429</v>
      </c>
      <c r="F1362" s="2" t="s">
        <v>5076</v>
      </c>
      <c r="G1362" s="2" t="s">
        <v>4931</v>
      </c>
      <c r="H1362" s="2" t="s">
        <v>4937</v>
      </c>
      <c r="I1362" s="20">
        <v>100</v>
      </c>
      <c r="J1362" s="2" t="s">
        <v>4933</v>
      </c>
    </row>
    <row r="1363" spans="1:10" ht="15.35" x14ac:dyDescent="0.55000000000000004">
      <c r="A1363" s="20">
        <v>17802</v>
      </c>
      <c r="B1363" s="2" t="s">
        <v>188</v>
      </c>
      <c r="C1363" s="2" t="s">
        <v>189</v>
      </c>
      <c r="D1363" s="2" t="s">
        <v>190</v>
      </c>
      <c r="E1363" s="2" t="s">
        <v>429</v>
      </c>
      <c r="F1363" s="2" t="s">
        <v>5076</v>
      </c>
      <c r="G1363" s="2" t="s">
        <v>4931</v>
      </c>
      <c r="H1363" s="2" t="s">
        <v>5010</v>
      </c>
      <c r="I1363" s="20">
        <v>99.37</v>
      </c>
      <c r="J1363" s="2" t="s">
        <v>4933</v>
      </c>
    </row>
    <row r="1364" spans="1:10" ht="15.35" x14ac:dyDescent="0.55000000000000004">
      <c r="A1364" s="20">
        <v>17805</v>
      </c>
      <c r="B1364" s="2" t="s">
        <v>188</v>
      </c>
      <c r="C1364" s="2" t="s">
        <v>189</v>
      </c>
      <c r="D1364" s="2" t="s">
        <v>190</v>
      </c>
      <c r="E1364" s="2" t="s">
        <v>429</v>
      </c>
      <c r="F1364" s="2" t="s">
        <v>5076</v>
      </c>
      <c r="G1364" s="2" t="s">
        <v>4939</v>
      </c>
      <c r="H1364" s="2" t="s">
        <v>5074</v>
      </c>
      <c r="I1364" s="20">
        <v>179.11</v>
      </c>
      <c r="J1364" s="2" t="s">
        <v>4941</v>
      </c>
    </row>
    <row r="1365" spans="1:10" ht="15.35" x14ac:dyDescent="0.55000000000000004">
      <c r="A1365" s="20">
        <v>17787</v>
      </c>
      <c r="B1365" s="2" t="s">
        <v>188</v>
      </c>
      <c r="C1365" s="2" t="s">
        <v>189</v>
      </c>
      <c r="D1365" s="2" t="s">
        <v>190</v>
      </c>
      <c r="E1365" s="2" t="s">
        <v>434</v>
      </c>
      <c r="F1365" s="2" t="s">
        <v>4980</v>
      </c>
      <c r="G1365" s="2" t="s">
        <v>4939</v>
      </c>
      <c r="H1365" s="2" t="s">
        <v>5074</v>
      </c>
      <c r="I1365" s="20">
        <v>203.62</v>
      </c>
      <c r="J1365" s="2" t="s">
        <v>4941</v>
      </c>
    </row>
    <row r="1366" spans="1:10" ht="15.35" x14ac:dyDescent="0.55000000000000004">
      <c r="A1366" s="20">
        <v>17789</v>
      </c>
      <c r="B1366" s="2" t="s">
        <v>188</v>
      </c>
      <c r="C1366" s="2" t="s">
        <v>189</v>
      </c>
      <c r="D1366" s="2" t="s">
        <v>190</v>
      </c>
      <c r="E1366" s="2" t="s">
        <v>434</v>
      </c>
      <c r="F1366" s="2" t="s">
        <v>4980</v>
      </c>
      <c r="G1366" s="2" t="s">
        <v>4931</v>
      </c>
      <c r="H1366" s="2" t="s">
        <v>4937</v>
      </c>
      <c r="I1366" s="20">
        <v>23.68</v>
      </c>
      <c r="J1366" s="2" t="s">
        <v>4933</v>
      </c>
    </row>
    <row r="1367" spans="1:10" ht="15.35" x14ac:dyDescent="0.55000000000000004">
      <c r="A1367" s="20">
        <v>17792</v>
      </c>
      <c r="B1367" s="2" t="s">
        <v>188</v>
      </c>
      <c r="C1367" s="2" t="s">
        <v>189</v>
      </c>
      <c r="D1367" s="2" t="s">
        <v>190</v>
      </c>
      <c r="E1367" s="2" t="s">
        <v>434</v>
      </c>
      <c r="F1367" s="2" t="s">
        <v>4980</v>
      </c>
      <c r="G1367" s="2" t="s">
        <v>4931</v>
      </c>
      <c r="H1367" s="2" t="s">
        <v>5010</v>
      </c>
      <c r="I1367" s="20">
        <v>16.78</v>
      </c>
      <c r="J1367" s="2" t="s">
        <v>4933</v>
      </c>
    </row>
    <row r="1368" spans="1:10" ht="15.35" x14ac:dyDescent="0.55000000000000004">
      <c r="A1368" s="20">
        <v>17794</v>
      </c>
      <c r="B1368" s="2" t="s">
        <v>188</v>
      </c>
      <c r="C1368" s="2" t="s">
        <v>189</v>
      </c>
      <c r="D1368" s="2" t="s">
        <v>190</v>
      </c>
      <c r="E1368" s="2" t="s">
        <v>434</v>
      </c>
      <c r="F1368" s="2" t="s">
        <v>4980</v>
      </c>
      <c r="G1368" s="2" t="s">
        <v>4939</v>
      </c>
      <c r="H1368" s="2" t="s">
        <v>5075</v>
      </c>
      <c r="I1368" s="20">
        <v>194.3</v>
      </c>
      <c r="J1368" s="2" t="s">
        <v>4941</v>
      </c>
    </row>
    <row r="1369" spans="1:10" ht="15.35" x14ac:dyDescent="0.55000000000000004">
      <c r="A1369" s="20">
        <v>17790</v>
      </c>
      <c r="B1369" s="2" t="s">
        <v>188</v>
      </c>
      <c r="C1369" s="2" t="s">
        <v>189</v>
      </c>
      <c r="D1369" s="2" t="s">
        <v>190</v>
      </c>
      <c r="E1369" s="2" t="s">
        <v>434</v>
      </c>
      <c r="F1369" s="2" t="s">
        <v>5016</v>
      </c>
      <c r="G1369" s="2" t="s">
        <v>4931</v>
      </c>
      <c r="H1369" s="2" t="s">
        <v>4937</v>
      </c>
      <c r="I1369" s="20">
        <v>57</v>
      </c>
      <c r="J1369" s="2" t="s">
        <v>4933</v>
      </c>
    </row>
    <row r="1370" spans="1:10" ht="15.35" x14ac:dyDescent="0.55000000000000004">
      <c r="A1370" s="20">
        <v>17793</v>
      </c>
      <c r="B1370" s="2" t="s">
        <v>188</v>
      </c>
      <c r="C1370" s="2" t="s">
        <v>189</v>
      </c>
      <c r="D1370" s="2" t="s">
        <v>190</v>
      </c>
      <c r="E1370" s="2" t="s">
        <v>434</v>
      </c>
      <c r="F1370" s="2" t="s">
        <v>5016</v>
      </c>
      <c r="G1370" s="2" t="s">
        <v>4931</v>
      </c>
      <c r="H1370" s="2" t="s">
        <v>5010</v>
      </c>
      <c r="I1370" s="20">
        <v>38.590000000000003</v>
      </c>
      <c r="J1370" s="2" t="s">
        <v>4933</v>
      </c>
    </row>
    <row r="1371" spans="1:10" ht="15.35" x14ac:dyDescent="0.55000000000000004">
      <c r="A1371" s="20">
        <v>17797</v>
      </c>
      <c r="B1371" s="2" t="s">
        <v>188</v>
      </c>
      <c r="C1371" s="2" t="s">
        <v>189</v>
      </c>
      <c r="D1371" s="2" t="s">
        <v>190</v>
      </c>
      <c r="E1371" s="2" t="s">
        <v>434</v>
      </c>
      <c r="F1371" s="2" t="s">
        <v>5016</v>
      </c>
      <c r="G1371" s="2" t="s">
        <v>4939</v>
      </c>
      <c r="H1371" s="2" t="s">
        <v>5075</v>
      </c>
      <c r="I1371" s="20">
        <v>199.41</v>
      </c>
      <c r="J1371" s="2" t="s">
        <v>4941</v>
      </c>
    </row>
    <row r="1372" spans="1:10" ht="15.35" x14ac:dyDescent="0.55000000000000004">
      <c r="A1372" s="20">
        <v>17809</v>
      </c>
      <c r="B1372" s="2" t="s">
        <v>188</v>
      </c>
      <c r="C1372" s="2" t="s">
        <v>189</v>
      </c>
      <c r="D1372" s="2" t="s">
        <v>190</v>
      </c>
      <c r="E1372" s="2" t="s">
        <v>434</v>
      </c>
      <c r="F1372" s="2" t="s">
        <v>5016</v>
      </c>
      <c r="G1372" s="2" t="s">
        <v>4939</v>
      </c>
      <c r="H1372" s="2" t="s">
        <v>5074</v>
      </c>
      <c r="I1372" s="20">
        <v>210.97</v>
      </c>
      <c r="J1372" s="2" t="s">
        <v>4941</v>
      </c>
    </row>
    <row r="1373" spans="1:10" ht="15.35" x14ac:dyDescent="0.55000000000000004">
      <c r="A1373" s="20">
        <v>17786</v>
      </c>
      <c r="B1373" s="2" t="s">
        <v>188</v>
      </c>
      <c r="C1373" s="2" t="s">
        <v>189</v>
      </c>
      <c r="D1373" s="2" t="s">
        <v>190</v>
      </c>
      <c r="E1373" s="2" t="s">
        <v>434</v>
      </c>
      <c r="F1373" s="2" t="s">
        <v>5076</v>
      </c>
      <c r="G1373" s="2" t="s">
        <v>4939</v>
      </c>
      <c r="H1373" s="2" t="s">
        <v>5074</v>
      </c>
      <c r="I1373" s="20">
        <v>172.68</v>
      </c>
      <c r="J1373" s="2" t="s">
        <v>4941</v>
      </c>
    </row>
    <row r="1374" spans="1:10" ht="15.35" x14ac:dyDescent="0.55000000000000004">
      <c r="A1374" s="20">
        <v>17791</v>
      </c>
      <c r="B1374" s="2" t="s">
        <v>188</v>
      </c>
      <c r="C1374" s="2" t="s">
        <v>189</v>
      </c>
      <c r="D1374" s="2" t="s">
        <v>190</v>
      </c>
      <c r="E1374" s="2" t="s">
        <v>434</v>
      </c>
      <c r="F1374" s="2" t="s">
        <v>5076</v>
      </c>
      <c r="G1374" s="2" t="s">
        <v>4931</v>
      </c>
      <c r="H1374" s="2" t="s">
        <v>4937</v>
      </c>
      <c r="I1374" s="20">
        <v>99.33</v>
      </c>
      <c r="J1374" s="2" t="s">
        <v>4933</v>
      </c>
    </row>
    <row r="1375" spans="1:10" ht="15.35" x14ac:dyDescent="0.55000000000000004">
      <c r="A1375" s="20">
        <v>17795</v>
      </c>
      <c r="B1375" s="2" t="s">
        <v>188</v>
      </c>
      <c r="C1375" s="2" t="s">
        <v>189</v>
      </c>
      <c r="D1375" s="2" t="s">
        <v>190</v>
      </c>
      <c r="E1375" s="2" t="s">
        <v>434</v>
      </c>
      <c r="F1375" s="2" t="s">
        <v>5076</v>
      </c>
      <c r="G1375" s="2" t="s">
        <v>4931</v>
      </c>
      <c r="H1375" s="2" t="s">
        <v>5010</v>
      </c>
      <c r="I1375" s="20">
        <v>92.33</v>
      </c>
      <c r="J1375" s="2" t="s">
        <v>4933</v>
      </c>
    </row>
    <row r="1376" spans="1:10" ht="15.35" x14ac:dyDescent="0.55000000000000004">
      <c r="A1376" s="20">
        <v>17808</v>
      </c>
      <c r="B1376" s="2" t="s">
        <v>188</v>
      </c>
      <c r="C1376" s="2" t="s">
        <v>189</v>
      </c>
      <c r="D1376" s="2" t="s">
        <v>190</v>
      </c>
      <c r="E1376" s="2" t="s">
        <v>434</v>
      </c>
      <c r="F1376" s="2" t="s">
        <v>5076</v>
      </c>
      <c r="G1376" s="2" t="s">
        <v>4939</v>
      </c>
      <c r="H1376" s="2" t="s">
        <v>5075</v>
      </c>
      <c r="I1376" s="20">
        <v>160.71</v>
      </c>
      <c r="J1376" s="2" t="s">
        <v>4941</v>
      </c>
    </row>
    <row r="1377" spans="1:10" ht="15.35" x14ac:dyDescent="0.55000000000000004">
      <c r="A1377" s="20">
        <v>16060</v>
      </c>
      <c r="B1377" s="2" t="s">
        <v>184</v>
      </c>
      <c r="C1377" s="2" t="s">
        <v>185</v>
      </c>
      <c r="D1377" s="2" t="s">
        <v>186</v>
      </c>
      <c r="E1377" s="2" t="s">
        <v>437</v>
      </c>
      <c r="F1377" s="2" t="s">
        <v>4980</v>
      </c>
      <c r="G1377" s="2" t="s">
        <v>4975</v>
      </c>
      <c r="H1377" s="2" t="s">
        <v>5050</v>
      </c>
      <c r="I1377" s="20">
        <v>2718.15</v>
      </c>
      <c r="J1377" s="2" t="s">
        <v>4977</v>
      </c>
    </row>
    <row r="1378" spans="1:10" ht="15.35" x14ac:dyDescent="0.55000000000000004">
      <c r="A1378" s="20">
        <v>16063</v>
      </c>
      <c r="B1378" s="2" t="s">
        <v>184</v>
      </c>
      <c r="C1378" s="2" t="s">
        <v>185</v>
      </c>
      <c r="D1378" s="2" t="s">
        <v>186</v>
      </c>
      <c r="E1378" s="2" t="s">
        <v>437</v>
      </c>
      <c r="F1378" s="2" t="s">
        <v>4980</v>
      </c>
      <c r="G1378" s="2" t="s">
        <v>4931</v>
      </c>
      <c r="H1378" s="2" t="s">
        <v>5010</v>
      </c>
      <c r="I1378" s="20">
        <v>99.56</v>
      </c>
      <c r="J1378" s="2" t="s">
        <v>4933</v>
      </c>
    </row>
    <row r="1379" spans="1:10" ht="15.35" x14ac:dyDescent="0.55000000000000004">
      <c r="A1379" s="20">
        <v>16059</v>
      </c>
      <c r="B1379" s="2" t="s">
        <v>184</v>
      </c>
      <c r="C1379" s="2" t="s">
        <v>185</v>
      </c>
      <c r="D1379" s="2" t="s">
        <v>186</v>
      </c>
      <c r="E1379" s="2" t="s">
        <v>437</v>
      </c>
      <c r="F1379" s="2" t="s">
        <v>5016</v>
      </c>
      <c r="G1379" s="2" t="s">
        <v>4975</v>
      </c>
      <c r="H1379" s="2" t="s">
        <v>5050</v>
      </c>
      <c r="I1379" s="20">
        <v>2623.42</v>
      </c>
      <c r="J1379" s="2" t="s">
        <v>4977</v>
      </c>
    </row>
    <row r="1380" spans="1:10" ht="15.35" x14ac:dyDescent="0.55000000000000004">
      <c r="A1380" s="20">
        <v>16062</v>
      </c>
      <c r="B1380" s="2" t="s">
        <v>184</v>
      </c>
      <c r="C1380" s="2" t="s">
        <v>185</v>
      </c>
      <c r="D1380" s="2" t="s">
        <v>186</v>
      </c>
      <c r="E1380" s="2" t="s">
        <v>437</v>
      </c>
      <c r="F1380" s="2" t="s">
        <v>5016</v>
      </c>
      <c r="G1380" s="2" t="s">
        <v>4931</v>
      </c>
      <c r="H1380" s="2" t="s">
        <v>5010</v>
      </c>
      <c r="I1380" s="20">
        <v>99.61</v>
      </c>
      <c r="J1380" s="2" t="s">
        <v>4933</v>
      </c>
    </row>
    <row r="1381" spans="1:10" ht="15.35" x14ac:dyDescent="0.55000000000000004">
      <c r="A1381" s="20">
        <v>16058</v>
      </c>
      <c r="B1381" s="2" t="s">
        <v>184</v>
      </c>
      <c r="C1381" s="2" t="s">
        <v>185</v>
      </c>
      <c r="D1381" s="2" t="s">
        <v>186</v>
      </c>
      <c r="E1381" s="2" t="s">
        <v>437</v>
      </c>
      <c r="F1381" s="2" t="s">
        <v>5076</v>
      </c>
      <c r="G1381" s="2" t="s">
        <v>4975</v>
      </c>
      <c r="H1381" s="2" t="s">
        <v>5050</v>
      </c>
      <c r="I1381" s="20">
        <v>2703.93</v>
      </c>
      <c r="J1381" s="2" t="s">
        <v>4977</v>
      </c>
    </row>
    <row r="1382" spans="1:10" ht="15.35" x14ac:dyDescent="0.55000000000000004">
      <c r="A1382" s="20">
        <v>16061</v>
      </c>
      <c r="B1382" s="2" t="s">
        <v>184</v>
      </c>
      <c r="C1382" s="2" t="s">
        <v>185</v>
      </c>
      <c r="D1382" s="2" t="s">
        <v>186</v>
      </c>
      <c r="E1382" s="2" t="s">
        <v>437</v>
      </c>
      <c r="F1382" s="2" t="s">
        <v>5076</v>
      </c>
      <c r="G1382" s="2" t="s">
        <v>4931</v>
      </c>
      <c r="H1382" s="2" t="s">
        <v>5010</v>
      </c>
      <c r="I1382" s="20">
        <v>99.89</v>
      </c>
      <c r="J1382" s="2" t="s">
        <v>4933</v>
      </c>
    </row>
    <row r="1383" spans="1:10" ht="15.35" x14ac:dyDescent="0.55000000000000004">
      <c r="A1383" s="20">
        <v>16030</v>
      </c>
      <c r="B1383" s="2" t="s">
        <v>184</v>
      </c>
      <c r="C1383" s="2" t="s">
        <v>185</v>
      </c>
      <c r="D1383" s="2" t="s">
        <v>186</v>
      </c>
      <c r="E1383" s="2" t="s">
        <v>443</v>
      </c>
      <c r="F1383" s="2" t="s">
        <v>4980</v>
      </c>
      <c r="G1383" s="2" t="s">
        <v>4931</v>
      </c>
      <c r="H1383" s="2" t="s">
        <v>5010</v>
      </c>
      <c r="I1383" s="20">
        <v>99.44</v>
      </c>
      <c r="J1383" s="2" t="s">
        <v>4933</v>
      </c>
    </row>
    <row r="1384" spans="1:10" ht="15.35" x14ac:dyDescent="0.55000000000000004">
      <c r="A1384" s="20">
        <v>16045</v>
      </c>
      <c r="B1384" s="2" t="s">
        <v>184</v>
      </c>
      <c r="C1384" s="2" t="s">
        <v>185</v>
      </c>
      <c r="D1384" s="2" t="s">
        <v>186</v>
      </c>
      <c r="E1384" s="2" t="s">
        <v>443</v>
      </c>
      <c r="F1384" s="2" t="s">
        <v>4980</v>
      </c>
      <c r="G1384" s="2" t="s">
        <v>4975</v>
      </c>
      <c r="H1384" s="2" t="s">
        <v>5050</v>
      </c>
      <c r="I1384" s="20">
        <v>1995.33</v>
      </c>
      <c r="J1384" s="2" t="s">
        <v>4977</v>
      </c>
    </row>
    <row r="1385" spans="1:10" ht="15.35" x14ac:dyDescent="0.55000000000000004">
      <c r="A1385" s="20">
        <v>16029</v>
      </c>
      <c r="B1385" s="2" t="s">
        <v>184</v>
      </c>
      <c r="C1385" s="2" t="s">
        <v>185</v>
      </c>
      <c r="D1385" s="2" t="s">
        <v>186</v>
      </c>
      <c r="E1385" s="2" t="s">
        <v>443</v>
      </c>
      <c r="F1385" s="2" t="s">
        <v>5016</v>
      </c>
      <c r="G1385" s="2" t="s">
        <v>4931</v>
      </c>
      <c r="H1385" s="2" t="s">
        <v>5010</v>
      </c>
      <c r="I1385" s="20">
        <v>99.27</v>
      </c>
      <c r="J1385" s="2" t="s">
        <v>4933</v>
      </c>
    </row>
    <row r="1386" spans="1:10" ht="15.35" x14ac:dyDescent="0.55000000000000004">
      <c r="A1386" s="20">
        <v>16046</v>
      </c>
      <c r="B1386" s="2" t="s">
        <v>184</v>
      </c>
      <c r="C1386" s="2" t="s">
        <v>185</v>
      </c>
      <c r="D1386" s="2" t="s">
        <v>186</v>
      </c>
      <c r="E1386" s="2" t="s">
        <v>443</v>
      </c>
      <c r="F1386" s="2" t="s">
        <v>5016</v>
      </c>
      <c r="G1386" s="2" t="s">
        <v>4975</v>
      </c>
      <c r="H1386" s="2" t="s">
        <v>5050</v>
      </c>
      <c r="I1386" s="20">
        <v>2023.39</v>
      </c>
      <c r="J1386" s="2" t="s">
        <v>4977</v>
      </c>
    </row>
    <row r="1387" spans="1:10" ht="15.35" x14ac:dyDescent="0.55000000000000004">
      <c r="A1387" s="20">
        <v>16044</v>
      </c>
      <c r="B1387" s="2" t="s">
        <v>184</v>
      </c>
      <c r="C1387" s="2" t="s">
        <v>185</v>
      </c>
      <c r="D1387" s="2" t="s">
        <v>186</v>
      </c>
      <c r="E1387" s="2" t="s">
        <v>443</v>
      </c>
      <c r="F1387" s="2" t="s">
        <v>5076</v>
      </c>
      <c r="G1387" s="2" t="s">
        <v>4931</v>
      </c>
      <c r="H1387" s="2" t="s">
        <v>5010</v>
      </c>
      <c r="I1387" s="20">
        <v>99.52</v>
      </c>
      <c r="J1387" s="2" t="s">
        <v>4933</v>
      </c>
    </row>
    <row r="1388" spans="1:10" ht="15.35" x14ac:dyDescent="0.55000000000000004">
      <c r="A1388" s="20">
        <v>16047</v>
      </c>
      <c r="B1388" s="2" t="s">
        <v>184</v>
      </c>
      <c r="C1388" s="2" t="s">
        <v>185</v>
      </c>
      <c r="D1388" s="2" t="s">
        <v>186</v>
      </c>
      <c r="E1388" s="2" t="s">
        <v>443</v>
      </c>
      <c r="F1388" s="2" t="s">
        <v>5076</v>
      </c>
      <c r="G1388" s="2" t="s">
        <v>4975</v>
      </c>
      <c r="H1388" s="2" t="s">
        <v>5050</v>
      </c>
      <c r="I1388" s="20">
        <v>1909.17</v>
      </c>
      <c r="J1388" s="2" t="s">
        <v>4977</v>
      </c>
    </row>
    <row r="1389" spans="1:10" ht="15.35" x14ac:dyDescent="0.55000000000000004">
      <c r="A1389" s="20">
        <v>17821</v>
      </c>
      <c r="B1389" s="2" t="s">
        <v>180</v>
      </c>
      <c r="C1389" s="2" t="s">
        <v>181</v>
      </c>
      <c r="D1389" s="2" t="s">
        <v>182</v>
      </c>
      <c r="E1389" s="2" t="s">
        <v>450</v>
      </c>
      <c r="F1389" s="2" t="s">
        <v>4980</v>
      </c>
      <c r="G1389" s="2" t="s">
        <v>4928</v>
      </c>
      <c r="H1389" s="2" t="s">
        <v>5014</v>
      </c>
      <c r="I1389" s="20">
        <v>1057.04</v>
      </c>
      <c r="J1389" s="2" t="s">
        <v>5064</v>
      </c>
    </row>
    <row r="1390" spans="1:10" ht="15.35" x14ac:dyDescent="0.55000000000000004">
      <c r="A1390" s="20">
        <v>17824</v>
      </c>
      <c r="B1390" s="2" t="s">
        <v>180</v>
      </c>
      <c r="C1390" s="2" t="s">
        <v>181</v>
      </c>
      <c r="D1390" s="2" t="s">
        <v>182</v>
      </c>
      <c r="E1390" s="2" t="s">
        <v>450</v>
      </c>
      <c r="F1390" s="2" t="s">
        <v>4980</v>
      </c>
      <c r="G1390" s="2" t="s">
        <v>4931</v>
      </c>
      <c r="H1390" s="2" t="s">
        <v>5010</v>
      </c>
      <c r="I1390" s="20">
        <v>98.19</v>
      </c>
      <c r="J1390" s="2" t="s">
        <v>4933</v>
      </c>
    </row>
    <row r="1391" spans="1:10" ht="15.35" x14ac:dyDescent="0.55000000000000004">
      <c r="A1391" s="20">
        <v>17827</v>
      </c>
      <c r="B1391" s="2" t="s">
        <v>180</v>
      </c>
      <c r="C1391" s="2" t="s">
        <v>181</v>
      </c>
      <c r="D1391" s="2" t="s">
        <v>182</v>
      </c>
      <c r="E1391" s="2" t="s">
        <v>450</v>
      </c>
      <c r="F1391" s="2" t="s">
        <v>4980</v>
      </c>
      <c r="G1391" s="2" t="s">
        <v>4931</v>
      </c>
      <c r="H1391" s="2" t="s">
        <v>4937</v>
      </c>
      <c r="I1391" s="20">
        <v>98.82</v>
      </c>
      <c r="J1391" s="2" t="s">
        <v>4933</v>
      </c>
    </row>
    <row r="1392" spans="1:10" ht="15.35" x14ac:dyDescent="0.55000000000000004">
      <c r="A1392" s="20">
        <v>17820</v>
      </c>
      <c r="B1392" s="2" t="s">
        <v>180</v>
      </c>
      <c r="C1392" s="2" t="s">
        <v>181</v>
      </c>
      <c r="D1392" s="2" t="s">
        <v>182</v>
      </c>
      <c r="E1392" s="2" t="s">
        <v>450</v>
      </c>
      <c r="F1392" s="2" t="s">
        <v>5016</v>
      </c>
      <c r="G1392" s="2" t="s">
        <v>4928</v>
      </c>
      <c r="H1392" s="2" t="s">
        <v>5014</v>
      </c>
      <c r="I1392" s="20">
        <v>1164.48</v>
      </c>
      <c r="J1392" s="2" t="s">
        <v>5064</v>
      </c>
    </row>
    <row r="1393" spans="1:10" ht="15.35" x14ac:dyDescent="0.55000000000000004">
      <c r="A1393" s="20">
        <v>17823</v>
      </c>
      <c r="B1393" s="2" t="s">
        <v>180</v>
      </c>
      <c r="C1393" s="2" t="s">
        <v>181</v>
      </c>
      <c r="D1393" s="2" t="s">
        <v>182</v>
      </c>
      <c r="E1393" s="2" t="s">
        <v>450</v>
      </c>
      <c r="F1393" s="2" t="s">
        <v>5016</v>
      </c>
      <c r="G1393" s="2" t="s">
        <v>4931</v>
      </c>
      <c r="H1393" s="2" t="s">
        <v>5010</v>
      </c>
      <c r="I1393" s="20">
        <v>98.65</v>
      </c>
      <c r="J1393" s="2" t="s">
        <v>4933</v>
      </c>
    </row>
    <row r="1394" spans="1:10" ht="15.35" x14ac:dyDescent="0.55000000000000004">
      <c r="A1394" s="20">
        <v>17826</v>
      </c>
      <c r="B1394" s="2" t="s">
        <v>180</v>
      </c>
      <c r="C1394" s="2" t="s">
        <v>181</v>
      </c>
      <c r="D1394" s="2" t="s">
        <v>182</v>
      </c>
      <c r="E1394" s="2" t="s">
        <v>450</v>
      </c>
      <c r="F1394" s="2" t="s">
        <v>5016</v>
      </c>
      <c r="G1394" s="2" t="s">
        <v>4931</v>
      </c>
      <c r="H1394" s="2" t="s">
        <v>4937</v>
      </c>
      <c r="I1394" s="20">
        <v>98.54</v>
      </c>
      <c r="J1394" s="2" t="s">
        <v>4933</v>
      </c>
    </row>
    <row r="1395" spans="1:10" ht="15.35" x14ac:dyDescent="0.55000000000000004">
      <c r="A1395" s="20">
        <v>17819</v>
      </c>
      <c r="B1395" s="2" t="s">
        <v>180</v>
      </c>
      <c r="C1395" s="2" t="s">
        <v>181</v>
      </c>
      <c r="D1395" s="2" t="s">
        <v>182</v>
      </c>
      <c r="E1395" s="2" t="s">
        <v>450</v>
      </c>
      <c r="F1395" s="2" t="s">
        <v>5076</v>
      </c>
      <c r="G1395" s="2" t="s">
        <v>4928</v>
      </c>
      <c r="H1395" s="2" t="s">
        <v>5014</v>
      </c>
      <c r="I1395" s="20">
        <v>1258.82</v>
      </c>
      <c r="J1395" s="2" t="s">
        <v>5064</v>
      </c>
    </row>
    <row r="1396" spans="1:10" ht="15.35" x14ac:dyDescent="0.55000000000000004">
      <c r="A1396" s="20">
        <v>17822</v>
      </c>
      <c r="B1396" s="2" t="s">
        <v>180</v>
      </c>
      <c r="C1396" s="2" t="s">
        <v>181</v>
      </c>
      <c r="D1396" s="2" t="s">
        <v>182</v>
      </c>
      <c r="E1396" s="2" t="s">
        <v>450</v>
      </c>
      <c r="F1396" s="2" t="s">
        <v>5076</v>
      </c>
      <c r="G1396" s="2" t="s">
        <v>4931</v>
      </c>
      <c r="H1396" s="2" t="s">
        <v>5010</v>
      </c>
      <c r="I1396" s="20">
        <v>98.03</v>
      </c>
      <c r="J1396" s="2" t="s">
        <v>4933</v>
      </c>
    </row>
    <row r="1397" spans="1:10" ht="15.35" x14ac:dyDescent="0.55000000000000004">
      <c r="A1397" s="20">
        <v>17825</v>
      </c>
      <c r="B1397" s="2" t="s">
        <v>180</v>
      </c>
      <c r="C1397" s="2" t="s">
        <v>181</v>
      </c>
      <c r="D1397" s="2" t="s">
        <v>182</v>
      </c>
      <c r="E1397" s="2" t="s">
        <v>450</v>
      </c>
      <c r="F1397" s="2" t="s">
        <v>5076</v>
      </c>
      <c r="G1397" s="2" t="s">
        <v>4931</v>
      </c>
      <c r="H1397" s="2" t="s">
        <v>4937</v>
      </c>
      <c r="I1397" s="20">
        <v>94.36</v>
      </c>
      <c r="J1397" s="2" t="s">
        <v>4933</v>
      </c>
    </row>
    <row r="1398" spans="1:10" ht="15.35" x14ac:dyDescent="0.55000000000000004">
      <c r="A1398" s="20">
        <v>15924</v>
      </c>
      <c r="B1398" s="2" t="s">
        <v>193</v>
      </c>
      <c r="C1398" s="2" t="s">
        <v>194</v>
      </c>
      <c r="D1398" s="2" t="s">
        <v>195</v>
      </c>
      <c r="E1398" s="2" t="s">
        <v>458</v>
      </c>
      <c r="F1398" s="2" t="s">
        <v>4980</v>
      </c>
      <c r="G1398" s="2" t="s">
        <v>4931</v>
      </c>
      <c r="H1398" s="2" t="s">
        <v>4937</v>
      </c>
      <c r="I1398" s="20">
        <v>77.33</v>
      </c>
      <c r="J1398" s="2" t="s">
        <v>4933</v>
      </c>
    </row>
    <row r="1399" spans="1:10" ht="15.35" x14ac:dyDescent="0.55000000000000004">
      <c r="A1399" s="20">
        <v>15928</v>
      </c>
      <c r="B1399" s="2" t="s">
        <v>193</v>
      </c>
      <c r="C1399" s="2" t="s">
        <v>194</v>
      </c>
      <c r="D1399" s="2" t="s">
        <v>195</v>
      </c>
      <c r="E1399" s="2" t="s">
        <v>458</v>
      </c>
      <c r="F1399" s="2" t="s">
        <v>4980</v>
      </c>
      <c r="G1399" s="2" t="s">
        <v>4931</v>
      </c>
      <c r="H1399" s="2" t="s">
        <v>5010</v>
      </c>
      <c r="I1399" s="20">
        <v>87.82</v>
      </c>
      <c r="J1399" s="2" t="s">
        <v>4933</v>
      </c>
    </row>
    <row r="1400" spans="1:10" ht="15.35" x14ac:dyDescent="0.55000000000000004">
      <c r="A1400" s="20">
        <v>15931</v>
      </c>
      <c r="B1400" s="2" t="s">
        <v>193</v>
      </c>
      <c r="C1400" s="2" t="s">
        <v>194</v>
      </c>
      <c r="D1400" s="2" t="s">
        <v>195</v>
      </c>
      <c r="E1400" s="2" t="s">
        <v>458</v>
      </c>
      <c r="F1400" s="2" t="s">
        <v>4980</v>
      </c>
      <c r="G1400" s="2" t="s">
        <v>4939</v>
      </c>
      <c r="H1400" s="2" t="s">
        <v>5077</v>
      </c>
      <c r="I1400" s="20">
        <v>166.14</v>
      </c>
      <c r="J1400" s="2" t="s">
        <v>4941</v>
      </c>
    </row>
    <row r="1401" spans="1:10" ht="15.35" x14ac:dyDescent="0.55000000000000004">
      <c r="A1401" s="20">
        <v>15929</v>
      </c>
      <c r="B1401" s="2" t="s">
        <v>193</v>
      </c>
      <c r="C1401" s="2" t="s">
        <v>194</v>
      </c>
      <c r="D1401" s="2" t="s">
        <v>195</v>
      </c>
      <c r="E1401" s="2" t="s">
        <v>458</v>
      </c>
      <c r="F1401" s="2" t="s">
        <v>5016</v>
      </c>
      <c r="G1401" s="2" t="s">
        <v>4931</v>
      </c>
      <c r="H1401" s="2" t="s">
        <v>5010</v>
      </c>
      <c r="I1401" s="20">
        <v>79.38</v>
      </c>
      <c r="J1401" s="2" t="s">
        <v>4933</v>
      </c>
    </row>
    <row r="1402" spans="1:10" ht="15.35" x14ac:dyDescent="0.55000000000000004">
      <c r="A1402" s="20">
        <v>15932</v>
      </c>
      <c r="B1402" s="2" t="s">
        <v>193</v>
      </c>
      <c r="C1402" s="2" t="s">
        <v>194</v>
      </c>
      <c r="D1402" s="2" t="s">
        <v>195</v>
      </c>
      <c r="E1402" s="2" t="s">
        <v>458</v>
      </c>
      <c r="F1402" s="2" t="s">
        <v>5016</v>
      </c>
      <c r="G1402" s="2" t="s">
        <v>4939</v>
      </c>
      <c r="H1402" s="2" t="s">
        <v>5077</v>
      </c>
      <c r="I1402" s="20">
        <v>156.41</v>
      </c>
      <c r="J1402" s="2" t="s">
        <v>4941</v>
      </c>
    </row>
    <row r="1403" spans="1:10" ht="15.35" x14ac:dyDescent="0.55000000000000004">
      <c r="A1403" s="20">
        <v>15901</v>
      </c>
      <c r="B1403" s="2" t="s">
        <v>193</v>
      </c>
      <c r="C1403" s="2" t="s">
        <v>194</v>
      </c>
      <c r="D1403" s="2" t="s">
        <v>195</v>
      </c>
      <c r="E1403" s="2" t="s">
        <v>458</v>
      </c>
      <c r="F1403" s="2" t="s">
        <v>5016</v>
      </c>
      <c r="G1403" s="2" t="s">
        <v>4931</v>
      </c>
      <c r="H1403" s="2" t="s">
        <v>4937</v>
      </c>
      <c r="I1403" s="20">
        <v>99.51</v>
      </c>
      <c r="J1403" s="2" t="s">
        <v>4933</v>
      </c>
    </row>
    <row r="1404" spans="1:10" ht="15.35" x14ac:dyDescent="0.55000000000000004">
      <c r="A1404" s="20">
        <v>15927</v>
      </c>
      <c r="B1404" s="2" t="s">
        <v>193</v>
      </c>
      <c r="C1404" s="2" t="s">
        <v>194</v>
      </c>
      <c r="D1404" s="2" t="s">
        <v>195</v>
      </c>
      <c r="E1404" s="2" t="s">
        <v>458</v>
      </c>
      <c r="F1404" s="2" t="s">
        <v>5076</v>
      </c>
      <c r="G1404" s="2" t="s">
        <v>4931</v>
      </c>
      <c r="H1404" s="2" t="s">
        <v>4937</v>
      </c>
      <c r="I1404" s="20">
        <v>98.26</v>
      </c>
      <c r="J1404" s="2" t="s">
        <v>4933</v>
      </c>
    </row>
    <row r="1405" spans="1:10" ht="15.35" x14ac:dyDescent="0.55000000000000004">
      <c r="A1405" s="20">
        <v>15930</v>
      </c>
      <c r="B1405" s="2" t="s">
        <v>193</v>
      </c>
      <c r="C1405" s="2" t="s">
        <v>194</v>
      </c>
      <c r="D1405" s="2" t="s">
        <v>195</v>
      </c>
      <c r="E1405" s="2" t="s">
        <v>458</v>
      </c>
      <c r="F1405" s="2" t="s">
        <v>5076</v>
      </c>
      <c r="G1405" s="2" t="s">
        <v>4931</v>
      </c>
      <c r="H1405" s="2" t="s">
        <v>5010</v>
      </c>
      <c r="I1405" s="20">
        <v>96.89</v>
      </c>
      <c r="J1405" s="2" t="s">
        <v>4933</v>
      </c>
    </row>
    <row r="1406" spans="1:10" ht="15.35" x14ac:dyDescent="0.55000000000000004">
      <c r="A1406" s="20">
        <v>15933</v>
      </c>
      <c r="B1406" s="2" t="s">
        <v>193</v>
      </c>
      <c r="C1406" s="2" t="s">
        <v>194</v>
      </c>
      <c r="D1406" s="2" t="s">
        <v>195</v>
      </c>
      <c r="E1406" s="2" t="s">
        <v>458</v>
      </c>
      <c r="F1406" s="2" t="s">
        <v>5076</v>
      </c>
      <c r="G1406" s="2" t="s">
        <v>4939</v>
      </c>
      <c r="H1406" s="2" t="s">
        <v>5077</v>
      </c>
      <c r="I1406" s="20">
        <v>145.9</v>
      </c>
      <c r="J1406" s="2" t="s">
        <v>4941</v>
      </c>
    </row>
    <row r="1407" spans="1:10" ht="15.35" x14ac:dyDescent="0.55000000000000004">
      <c r="A1407" s="20">
        <v>16534</v>
      </c>
      <c r="B1407" s="2" t="s">
        <v>197</v>
      </c>
      <c r="C1407" s="2" t="s">
        <v>198</v>
      </c>
      <c r="D1407" s="2" t="s">
        <v>199</v>
      </c>
      <c r="E1407" s="2" t="s">
        <v>463</v>
      </c>
      <c r="F1407" s="2" t="s">
        <v>4980</v>
      </c>
      <c r="G1407" s="2" t="s">
        <v>4931</v>
      </c>
      <c r="H1407" s="2" t="s">
        <v>5043</v>
      </c>
      <c r="I1407" s="20">
        <v>100</v>
      </c>
      <c r="J1407" s="2" t="s">
        <v>4933</v>
      </c>
    </row>
    <row r="1408" spans="1:10" ht="15.35" x14ac:dyDescent="0.55000000000000004">
      <c r="A1408" s="20">
        <v>16547</v>
      </c>
      <c r="B1408" s="2" t="s">
        <v>197</v>
      </c>
      <c r="C1408" s="2" t="s">
        <v>198</v>
      </c>
      <c r="D1408" s="2" t="s">
        <v>199</v>
      </c>
      <c r="E1408" s="2" t="s">
        <v>463</v>
      </c>
      <c r="F1408" s="2" t="s">
        <v>4980</v>
      </c>
      <c r="G1408" s="2" t="s">
        <v>4939</v>
      </c>
      <c r="H1408" s="2" t="s">
        <v>5078</v>
      </c>
      <c r="I1408" s="20">
        <v>7.52</v>
      </c>
      <c r="J1408" s="2" t="s">
        <v>5007</v>
      </c>
    </row>
    <row r="1409" spans="1:10" ht="15.35" x14ac:dyDescent="0.55000000000000004">
      <c r="A1409" s="20">
        <v>16552</v>
      </c>
      <c r="B1409" s="2" t="s">
        <v>197</v>
      </c>
      <c r="C1409" s="2" t="s">
        <v>198</v>
      </c>
      <c r="D1409" s="2" t="s">
        <v>199</v>
      </c>
      <c r="E1409" s="2" t="s">
        <v>463</v>
      </c>
      <c r="F1409" s="2" t="s">
        <v>4980</v>
      </c>
      <c r="G1409" s="2" t="s">
        <v>4931</v>
      </c>
      <c r="H1409" s="2" t="s">
        <v>5010</v>
      </c>
      <c r="I1409" s="20">
        <v>81.540000000000006</v>
      </c>
      <c r="J1409" s="2" t="s">
        <v>4933</v>
      </c>
    </row>
    <row r="1410" spans="1:10" ht="15.35" x14ac:dyDescent="0.55000000000000004">
      <c r="A1410" s="20">
        <v>16555</v>
      </c>
      <c r="B1410" s="2" t="s">
        <v>197</v>
      </c>
      <c r="C1410" s="2" t="s">
        <v>198</v>
      </c>
      <c r="D1410" s="2" t="s">
        <v>199</v>
      </c>
      <c r="E1410" s="2" t="s">
        <v>463</v>
      </c>
      <c r="F1410" s="2" t="s">
        <v>4980</v>
      </c>
      <c r="G1410" s="2" t="s">
        <v>4931</v>
      </c>
      <c r="H1410" s="2" t="s">
        <v>4937</v>
      </c>
      <c r="I1410" s="20">
        <v>63.87</v>
      </c>
      <c r="J1410" s="2" t="s">
        <v>4933</v>
      </c>
    </row>
    <row r="1411" spans="1:10" ht="15.35" x14ac:dyDescent="0.55000000000000004">
      <c r="A1411" s="20">
        <v>16545</v>
      </c>
      <c r="B1411" s="2" t="s">
        <v>197</v>
      </c>
      <c r="C1411" s="2" t="s">
        <v>198</v>
      </c>
      <c r="D1411" s="2" t="s">
        <v>199</v>
      </c>
      <c r="E1411" s="2" t="s">
        <v>463</v>
      </c>
      <c r="F1411" s="2" t="s">
        <v>5016</v>
      </c>
      <c r="G1411" s="2" t="s">
        <v>4939</v>
      </c>
      <c r="H1411" s="2" t="s">
        <v>5078</v>
      </c>
      <c r="I1411" s="20">
        <v>7.64</v>
      </c>
      <c r="J1411" s="2" t="s">
        <v>5007</v>
      </c>
    </row>
    <row r="1412" spans="1:10" ht="15.35" x14ac:dyDescent="0.55000000000000004">
      <c r="A1412" s="20">
        <v>16546</v>
      </c>
      <c r="B1412" s="2" t="s">
        <v>197</v>
      </c>
      <c r="C1412" s="2" t="s">
        <v>198</v>
      </c>
      <c r="D1412" s="2" t="s">
        <v>199</v>
      </c>
      <c r="E1412" s="2" t="s">
        <v>463</v>
      </c>
      <c r="F1412" s="2" t="s">
        <v>5016</v>
      </c>
      <c r="G1412" s="2" t="s">
        <v>4931</v>
      </c>
      <c r="H1412" s="2" t="s">
        <v>5043</v>
      </c>
      <c r="I1412" s="20">
        <v>96.84</v>
      </c>
      <c r="J1412" s="2" t="s">
        <v>4933</v>
      </c>
    </row>
    <row r="1413" spans="1:10" ht="15.35" x14ac:dyDescent="0.55000000000000004">
      <c r="A1413" s="20">
        <v>16551</v>
      </c>
      <c r="B1413" s="2" t="s">
        <v>197</v>
      </c>
      <c r="C1413" s="2" t="s">
        <v>198</v>
      </c>
      <c r="D1413" s="2" t="s">
        <v>199</v>
      </c>
      <c r="E1413" s="2" t="s">
        <v>463</v>
      </c>
      <c r="F1413" s="2" t="s">
        <v>5016</v>
      </c>
      <c r="G1413" s="2" t="s">
        <v>4931</v>
      </c>
      <c r="H1413" s="2" t="s">
        <v>5010</v>
      </c>
      <c r="I1413" s="20">
        <v>86.9</v>
      </c>
      <c r="J1413" s="2" t="s">
        <v>4933</v>
      </c>
    </row>
    <row r="1414" spans="1:10" ht="15.35" x14ac:dyDescent="0.55000000000000004">
      <c r="A1414" s="20">
        <v>16554</v>
      </c>
      <c r="B1414" s="2" t="s">
        <v>197</v>
      </c>
      <c r="C1414" s="2" t="s">
        <v>198</v>
      </c>
      <c r="D1414" s="2" t="s">
        <v>199</v>
      </c>
      <c r="E1414" s="2" t="s">
        <v>463</v>
      </c>
      <c r="F1414" s="2" t="s">
        <v>5016</v>
      </c>
      <c r="G1414" s="2" t="s">
        <v>4931</v>
      </c>
      <c r="H1414" s="2" t="s">
        <v>4937</v>
      </c>
      <c r="I1414" s="20">
        <v>88.64</v>
      </c>
      <c r="J1414" s="2" t="s">
        <v>4933</v>
      </c>
    </row>
    <row r="1415" spans="1:10" ht="15.35" x14ac:dyDescent="0.55000000000000004">
      <c r="A1415" s="20">
        <v>16544</v>
      </c>
      <c r="B1415" s="2" t="s">
        <v>197</v>
      </c>
      <c r="C1415" s="2" t="s">
        <v>198</v>
      </c>
      <c r="D1415" s="2" t="s">
        <v>199</v>
      </c>
      <c r="E1415" s="2" t="s">
        <v>463</v>
      </c>
      <c r="F1415" s="2" t="s">
        <v>5076</v>
      </c>
      <c r="G1415" s="2" t="s">
        <v>4939</v>
      </c>
      <c r="H1415" s="2" t="s">
        <v>5078</v>
      </c>
      <c r="I1415" s="20">
        <v>7.19</v>
      </c>
      <c r="J1415" s="2" t="s">
        <v>5007</v>
      </c>
    </row>
    <row r="1416" spans="1:10" ht="15.35" x14ac:dyDescent="0.55000000000000004">
      <c r="A1416" s="20">
        <v>16550</v>
      </c>
      <c r="B1416" s="2" t="s">
        <v>197</v>
      </c>
      <c r="C1416" s="2" t="s">
        <v>198</v>
      </c>
      <c r="D1416" s="2" t="s">
        <v>199</v>
      </c>
      <c r="E1416" s="2" t="s">
        <v>463</v>
      </c>
      <c r="F1416" s="2" t="s">
        <v>5076</v>
      </c>
      <c r="G1416" s="2" t="s">
        <v>4931</v>
      </c>
      <c r="H1416" s="2" t="s">
        <v>5010</v>
      </c>
      <c r="I1416" s="20">
        <v>88.01</v>
      </c>
      <c r="J1416" s="2" t="s">
        <v>4933</v>
      </c>
    </row>
    <row r="1417" spans="1:10" ht="15.35" x14ac:dyDescent="0.55000000000000004">
      <c r="A1417" s="20">
        <v>16553</v>
      </c>
      <c r="B1417" s="2" t="s">
        <v>197</v>
      </c>
      <c r="C1417" s="2" t="s">
        <v>198</v>
      </c>
      <c r="D1417" s="2" t="s">
        <v>199</v>
      </c>
      <c r="E1417" s="2" t="s">
        <v>463</v>
      </c>
      <c r="F1417" s="2" t="s">
        <v>5076</v>
      </c>
      <c r="G1417" s="2" t="s">
        <v>4931</v>
      </c>
      <c r="H1417" s="2" t="s">
        <v>4937</v>
      </c>
      <c r="I1417" s="20">
        <v>82.65</v>
      </c>
      <c r="J1417" s="2" t="s">
        <v>4933</v>
      </c>
    </row>
    <row r="1418" spans="1:10" ht="15.35" x14ac:dyDescent="0.55000000000000004">
      <c r="A1418" s="20">
        <v>16561</v>
      </c>
      <c r="B1418" s="2" t="s">
        <v>197</v>
      </c>
      <c r="C1418" s="2" t="s">
        <v>198</v>
      </c>
      <c r="D1418" s="2" t="s">
        <v>199</v>
      </c>
      <c r="E1418" s="2" t="s">
        <v>463</v>
      </c>
      <c r="F1418" s="2" t="s">
        <v>5076</v>
      </c>
      <c r="G1418" s="2" t="s">
        <v>4931</v>
      </c>
      <c r="H1418" s="2" t="s">
        <v>5043</v>
      </c>
      <c r="I1418" s="20">
        <v>95.76</v>
      </c>
      <c r="J1418" s="2" t="s">
        <v>4933</v>
      </c>
    </row>
    <row r="1419" spans="1:10" ht="15.35" x14ac:dyDescent="0.55000000000000004">
      <c r="A1419" s="20">
        <v>16532</v>
      </c>
      <c r="B1419" s="2" t="s">
        <v>197</v>
      </c>
      <c r="C1419" s="2" t="s">
        <v>198</v>
      </c>
      <c r="D1419" s="2" t="s">
        <v>199</v>
      </c>
      <c r="E1419" s="2" t="s">
        <v>471</v>
      </c>
      <c r="F1419" s="2" t="s">
        <v>4980</v>
      </c>
      <c r="G1419" s="2" t="s">
        <v>4931</v>
      </c>
      <c r="H1419" s="2" t="s">
        <v>4937</v>
      </c>
      <c r="I1419" s="20">
        <v>91.27</v>
      </c>
      <c r="J1419" s="2" t="s">
        <v>4933</v>
      </c>
    </row>
    <row r="1420" spans="1:10" ht="15.35" x14ac:dyDescent="0.55000000000000004">
      <c r="A1420" s="20">
        <v>16537</v>
      </c>
      <c r="B1420" s="2" t="s">
        <v>197</v>
      </c>
      <c r="C1420" s="2" t="s">
        <v>198</v>
      </c>
      <c r="D1420" s="2" t="s">
        <v>199</v>
      </c>
      <c r="E1420" s="2" t="s">
        <v>471</v>
      </c>
      <c r="F1420" s="2" t="s">
        <v>4980</v>
      </c>
      <c r="G1420" s="2" t="s">
        <v>4931</v>
      </c>
      <c r="H1420" s="2" t="s">
        <v>5043</v>
      </c>
      <c r="I1420" s="20">
        <v>98.34</v>
      </c>
      <c r="J1420" s="2" t="s">
        <v>4933</v>
      </c>
    </row>
    <row r="1421" spans="1:10" ht="15.35" x14ac:dyDescent="0.55000000000000004">
      <c r="A1421" s="20">
        <v>16549</v>
      </c>
      <c r="B1421" s="2" t="s">
        <v>197</v>
      </c>
      <c r="C1421" s="2" t="s">
        <v>198</v>
      </c>
      <c r="D1421" s="2" t="s">
        <v>199</v>
      </c>
      <c r="E1421" s="2" t="s">
        <v>471</v>
      </c>
      <c r="F1421" s="2" t="s">
        <v>4980</v>
      </c>
      <c r="G1421" s="2" t="s">
        <v>4939</v>
      </c>
      <c r="H1421" s="2" t="s">
        <v>5078</v>
      </c>
      <c r="I1421" s="20">
        <v>8.0299999999999994</v>
      </c>
      <c r="J1421" s="2" t="s">
        <v>5007</v>
      </c>
    </row>
    <row r="1422" spans="1:10" ht="15.35" x14ac:dyDescent="0.55000000000000004">
      <c r="A1422" s="20">
        <v>16558</v>
      </c>
      <c r="B1422" s="2" t="s">
        <v>197</v>
      </c>
      <c r="C1422" s="2" t="s">
        <v>198</v>
      </c>
      <c r="D1422" s="2" t="s">
        <v>199</v>
      </c>
      <c r="E1422" s="2" t="s">
        <v>471</v>
      </c>
      <c r="F1422" s="2" t="s">
        <v>4980</v>
      </c>
      <c r="G1422" s="2" t="s">
        <v>4931</v>
      </c>
      <c r="H1422" s="2" t="s">
        <v>5010</v>
      </c>
      <c r="I1422" s="20">
        <v>84.99</v>
      </c>
      <c r="J1422" s="2" t="s">
        <v>4933</v>
      </c>
    </row>
    <row r="1423" spans="1:10" ht="15.35" x14ac:dyDescent="0.55000000000000004">
      <c r="A1423" s="20">
        <v>16533</v>
      </c>
      <c r="B1423" s="2" t="s">
        <v>197</v>
      </c>
      <c r="C1423" s="2" t="s">
        <v>198</v>
      </c>
      <c r="D1423" s="2" t="s">
        <v>199</v>
      </c>
      <c r="E1423" s="2" t="s">
        <v>471</v>
      </c>
      <c r="F1423" s="2" t="s">
        <v>5016</v>
      </c>
      <c r="G1423" s="2" t="s">
        <v>4931</v>
      </c>
      <c r="H1423" s="2" t="s">
        <v>4937</v>
      </c>
      <c r="I1423" s="20">
        <v>88.97</v>
      </c>
      <c r="J1423" s="2" t="s">
        <v>4933</v>
      </c>
    </row>
    <row r="1424" spans="1:10" ht="15.35" x14ac:dyDescent="0.55000000000000004">
      <c r="A1424" s="20">
        <v>16536</v>
      </c>
      <c r="B1424" s="2" t="s">
        <v>197</v>
      </c>
      <c r="C1424" s="2" t="s">
        <v>198</v>
      </c>
      <c r="D1424" s="2" t="s">
        <v>199</v>
      </c>
      <c r="E1424" s="2" t="s">
        <v>471</v>
      </c>
      <c r="F1424" s="2" t="s">
        <v>5016</v>
      </c>
      <c r="G1424" s="2" t="s">
        <v>4931</v>
      </c>
      <c r="H1424" s="2" t="s">
        <v>5043</v>
      </c>
      <c r="I1424" s="20">
        <v>99.44</v>
      </c>
      <c r="J1424" s="2" t="s">
        <v>4933</v>
      </c>
    </row>
    <row r="1425" spans="1:10" ht="15.35" x14ac:dyDescent="0.55000000000000004">
      <c r="A1425" s="20">
        <v>16548</v>
      </c>
      <c r="B1425" s="2" t="s">
        <v>197</v>
      </c>
      <c r="C1425" s="2" t="s">
        <v>198</v>
      </c>
      <c r="D1425" s="2" t="s">
        <v>199</v>
      </c>
      <c r="E1425" s="2" t="s">
        <v>471</v>
      </c>
      <c r="F1425" s="2" t="s">
        <v>5016</v>
      </c>
      <c r="G1425" s="2" t="s">
        <v>4939</v>
      </c>
      <c r="H1425" s="2" t="s">
        <v>5078</v>
      </c>
      <c r="I1425" s="20">
        <v>7.29</v>
      </c>
      <c r="J1425" s="2" t="s">
        <v>5007</v>
      </c>
    </row>
    <row r="1426" spans="1:10" ht="15.35" x14ac:dyDescent="0.55000000000000004">
      <c r="A1426" s="20">
        <v>16557</v>
      </c>
      <c r="B1426" s="2" t="s">
        <v>197</v>
      </c>
      <c r="C1426" s="2" t="s">
        <v>198</v>
      </c>
      <c r="D1426" s="2" t="s">
        <v>199</v>
      </c>
      <c r="E1426" s="2" t="s">
        <v>471</v>
      </c>
      <c r="F1426" s="2" t="s">
        <v>5016</v>
      </c>
      <c r="G1426" s="2" t="s">
        <v>4931</v>
      </c>
      <c r="H1426" s="2" t="s">
        <v>5010</v>
      </c>
      <c r="I1426" s="20">
        <v>89.39</v>
      </c>
      <c r="J1426" s="2" t="s">
        <v>4933</v>
      </c>
    </row>
    <row r="1427" spans="1:10" ht="15.35" x14ac:dyDescent="0.55000000000000004">
      <c r="A1427" s="20">
        <v>16535</v>
      </c>
      <c r="B1427" s="2" t="s">
        <v>197</v>
      </c>
      <c r="C1427" s="2" t="s">
        <v>198</v>
      </c>
      <c r="D1427" s="2" t="s">
        <v>199</v>
      </c>
      <c r="E1427" s="2" t="s">
        <v>471</v>
      </c>
      <c r="F1427" s="2" t="s">
        <v>5076</v>
      </c>
      <c r="G1427" s="2" t="s">
        <v>4931</v>
      </c>
      <c r="H1427" s="2" t="s">
        <v>5043</v>
      </c>
      <c r="I1427" s="20">
        <v>99.89</v>
      </c>
      <c r="J1427" s="2" t="s">
        <v>4933</v>
      </c>
    </row>
    <row r="1428" spans="1:10" ht="15.35" x14ac:dyDescent="0.55000000000000004">
      <c r="A1428" s="20">
        <v>16556</v>
      </c>
      <c r="B1428" s="2" t="s">
        <v>197</v>
      </c>
      <c r="C1428" s="2" t="s">
        <v>198</v>
      </c>
      <c r="D1428" s="2" t="s">
        <v>199</v>
      </c>
      <c r="E1428" s="2" t="s">
        <v>471</v>
      </c>
      <c r="F1428" s="2" t="s">
        <v>5076</v>
      </c>
      <c r="G1428" s="2" t="s">
        <v>4931</v>
      </c>
      <c r="H1428" s="2" t="s">
        <v>5010</v>
      </c>
      <c r="I1428" s="20">
        <v>91.9</v>
      </c>
      <c r="J1428" s="2" t="s">
        <v>4933</v>
      </c>
    </row>
    <row r="1429" spans="1:10" ht="15.35" x14ac:dyDescent="0.55000000000000004">
      <c r="A1429" s="20">
        <v>16559</v>
      </c>
      <c r="B1429" s="2" t="s">
        <v>197</v>
      </c>
      <c r="C1429" s="2" t="s">
        <v>198</v>
      </c>
      <c r="D1429" s="2" t="s">
        <v>199</v>
      </c>
      <c r="E1429" s="2" t="s">
        <v>471</v>
      </c>
      <c r="F1429" s="2" t="s">
        <v>5076</v>
      </c>
      <c r="G1429" s="2" t="s">
        <v>4931</v>
      </c>
      <c r="H1429" s="2" t="s">
        <v>4937</v>
      </c>
      <c r="I1429" s="20">
        <v>94.81</v>
      </c>
      <c r="J1429" s="2" t="s">
        <v>4933</v>
      </c>
    </row>
    <row r="1430" spans="1:10" ht="15.35" x14ac:dyDescent="0.55000000000000004">
      <c r="A1430" s="20">
        <v>16560</v>
      </c>
      <c r="B1430" s="2" t="s">
        <v>197</v>
      </c>
      <c r="C1430" s="2" t="s">
        <v>198</v>
      </c>
      <c r="D1430" s="2" t="s">
        <v>199</v>
      </c>
      <c r="E1430" s="2" t="s">
        <v>471</v>
      </c>
      <c r="F1430" s="2" t="s">
        <v>5076</v>
      </c>
      <c r="G1430" s="2" t="s">
        <v>4939</v>
      </c>
      <c r="H1430" s="2" t="s">
        <v>5078</v>
      </c>
      <c r="I1430" s="20">
        <v>6.32</v>
      </c>
      <c r="J1430" s="2" t="s">
        <v>5007</v>
      </c>
    </row>
    <row r="1431" spans="1:10" ht="15.35" x14ac:dyDescent="0.55000000000000004">
      <c r="A1431" s="20">
        <v>15718</v>
      </c>
      <c r="B1431" s="2" t="s">
        <v>205</v>
      </c>
      <c r="C1431" s="2" t="s">
        <v>206</v>
      </c>
      <c r="D1431" s="2" t="s">
        <v>207</v>
      </c>
      <c r="E1431" s="2" t="s">
        <v>4926</v>
      </c>
      <c r="F1431" s="2" t="s">
        <v>4979</v>
      </c>
      <c r="G1431" s="2" t="s">
        <v>4939</v>
      </c>
      <c r="H1431" s="2" t="s">
        <v>5079</v>
      </c>
      <c r="I1431" s="20">
        <v>252.79</v>
      </c>
      <c r="J1431" s="2" t="s">
        <v>5080</v>
      </c>
    </row>
    <row r="1432" spans="1:10" ht="15.35" x14ac:dyDescent="0.55000000000000004">
      <c r="A1432" s="20">
        <v>15722</v>
      </c>
      <c r="B1432" s="2" t="s">
        <v>205</v>
      </c>
      <c r="C1432" s="2" t="s">
        <v>206</v>
      </c>
      <c r="D1432" s="2" t="s">
        <v>207</v>
      </c>
      <c r="E1432" s="2" t="s">
        <v>4926</v>
      </c>
      <c r="F1432" s="2" t="s">
        <v>4979</v>
      </c>
      <c r="G1432" s="2" t="s">
        <v>4931</v>
      </c>
      <c r="H1432" s="2" t="s">
        <v>5081</v>
      </c>
      <c r="I1432" s="20">
        <v>58.4</v>
      </c>
      <c r="J1432" s="2" t="s">
        <v>4933</v>
      </c>
    </row>
    <row r="1433" spans="1:10" ht="15.35" x14ac:dyDescent="0.55000000000000004">
      <c r="A1433" s="20">
        <v>15891</v>
      </c>
      <c r="B1433" s="2" t="s">
        <v>205</v>
      </c>
      <c r="C1433" s="2" t="s">
        <v>206</v>
      </c>
      <c r="D1433" s="2" t="s">
        <v>207</v>
      </c>
      <c r="E1433" s="2" t="s">
        <v>4926</v>
      </c>
      <c r="F1433" s="2" t="s">
        <v>4979</v>
      </c>
      <c r="G1433" s="2" t="s">
        <v>4928</v>
      </c>
      <c r="H1433" s="2" t="s">
        <v>5082</v>
      </c>
      <c r="I1433" s="20">
        <v>1074857</v>
      </c>
      <c r="J1433" s="2" t="s">
        <v>5083</v>
      </c>
    </row>
    <row r="1434" spans="1:10" ht="15.35" x14ac:dyDescent="0.55000000000000004">
      <c r="A1434" s="20">
        <v>15628</v>
      </c>
      <c r="B1434" s="2" t="s">
        <v>205</v>
      </c>
      <c r="C1434" s="2" t="s">
        <v>206</v>
      </c>
      <c r="D1434" s="2" t="s">
        <v>207</v>
      </c>
      <c r="E1434" s="2" t="s">
        <v>4926</v>
      </c>
      <c r="F1434" s="2" t="s">
        <v>4980</v>
      </c>
      <c r="G1434" s="2" t="s">
        <v>4928</v>
      </c>
      <c r="H1434" s="2" t="s">
        <v>5082</v>
      </c>
      <c r="I1434" s="20">
        <v>1047297</v>
      </c>
      <c r="J1434" s="2" t="s">
        <v>5083</v>
      </c>
    </row>
    <row r="1435" spans="1:10" ht="15.35" x14ac:dyDescent="0.55000000000000004">
      <c r="A1435" s="20">
        <v>15717</v>
      </c>
      <c r="B1435" s="2" t="s">
        <v>205</v>
      </c>
      <c r="C1435" s="2" t="s">
        <v>206</v>
      </c>
      <c r="D1435" s="2" t="s">
        <v>207</v>
      </c>
      <c r="E1435" s="2" t="s">
        <v>4926</v>
      </c>
      <c r="F1435" s="2" t="s">
        <v>4980</v>
      </c>
      <c r="G1435" s="2" t="s">
        <v>4939</v>
      </c>
      <c r="H1435" s="2" t="s">
        <v>5079</v>
      </c>
      <c r="I1435" s="20">
        <v>279.83</v>
      </c>
      <c r="J1435" s="2" t="s">
        <v>5080</v>
      </c>
    </row>
    <row r="1436" spans="1:10" ht="15.35" x14ac:dyDescent="0.55000000000000004">
      <c r="A1436" s="20">
        <v>15721</v>
      </c>
      <c r="B1436" s="2" t="s">
        <v>205</v>
      </c>
      <c r="C1436" s="2" t="s">
        <v>206</v>
      </c>
      <c r="D1436" s="2" t="s">
        <v>207</v>
      </c>
      <c r="E1436" s="2" t="s">
        <v>4926</v>
      </c>
      <c r="F1436" s="2" t="s">
        <v>4980</v>
      </c>
      <c r="G1436" s="2" t="s">
        <v>4931</v>
      </c>
      <c r="H1436" s="2" t="s">
        <v>5081</v>
      </c>
      <c r="I1436" s="20">
        <v>69.37</v>
      </c>
      <c r="J1436" s="2" t="s">
        <v>4933</v>
      </c>
    </row>
    <row r="1437" spans="1:10" ht="15.35" x14ac:dyDescent="0.55000000000000004">
      <c r="A1437" s="20">
        <v>15716</v>
      </c>
      <c r="B1437" s="2" t="s">
        <v>205</v>
      </c>
      <c r="C1437" s="2" t="s">
        <v>206</v>
      </c>
      <c r="D1437" s="2" t="s">
        <v>207</v>
      </c>
      <c r="E1437" s="2" t="s">
        <v>4926</v>
      </c>
      <c r="F1437" s="2" t="s">
        <v>5016</v>
      </c>
      <c r="G1437" s="2" t="s">
        <v>4939</v>
      </c>
      <c r="H1437" s="2" t="s">
        <v>5079</v>
      </c>
      <c r="I1437" s="20">
        <v>273.58</v>
      </c>
      <c r="J1437" s="2" t="s">
        <v>5080</v>
      </c>
    </row>
    <row r="1438" spans="1:10" ht="15.35" x14ac:dyDescent="0.55000000000000004">
      <c r="A1438" s="20">
        <v>15720</v>
      </c>
      <c r="B1438" s="2" t="s">
        <v>205</v>
      </c>
      <c r="C1438" s="2" t="s">
        <v>206</v>
      </c>
      <c r="D1438" s="2" t="s">
        <v>207</v>
      </c>
      <c r="E1438" s="2" t="s">
        <v>4926</v>
      </c>
      <c r="F1438" s="2" t="s">
        <v>5016</v>
      </c>
      <c r="G1438" s="2" t="s">
        <v>4931</v>
      </c>
      <c r="H1438" s="2" t="s">
        <v>5081</v>
      </c>
      <c r="I1438" s="20">
        <v>62.39</v>
      </c>
      <c r="J1438" s="2" t="s">
        <v>4933</v>
      </c>
    </row>
    <row r="1439" spans="1:10" ht="15.35" x14ac:dyDescent="0.55000000000000004">
      <c r="A1439" s="20">
        <v>15724</v>
      </c>
      <c r="B1439" s="2" t="s">
        <v>205</v>
      </c>
      <c r="C1439" s="2" t="s">
        <v>206</v>
      </c>
      <c r="D1439" s="2" t="s">
        <v>207</v>
      </c>
      <c r="E1439" s="2" t="s">
        <v>4926</v>
      </c>
      <c r="F1439" s="2" t="s">
        <v>5016</v>
      </c>
      <c r="G1439" s="2" t="s">
        <v>4928</v>
      </c>
      <c r="H1439" s="2" t="s">
        <v>5082</v>
      </c>
      <c r="I1439" s="20">
        <v>1112275</v>
      </c>
      <c r="J1439" s="2" t="s">
        <v>5083</v>
      </c>
    </row>
    <row r="1440" spans="1:10" ht="15.35" x14ac:dyDescent="0.55000000000000004">
      <c r="A1440" s="20">
        <v>19264</v>
      </c>
      <c r="B1440" s="2" t="s">
        <v>205</v>
      </c>
      <c r="C1440" s="2" t="s">
        <v>206</v>
      </c>
      <c r="D1440" s="2" t="s">
        <v>207</v>
      </c>
      <c r="E1440" s="2" t="s">
        <v>4926</v>
      </c>
      <c r="F1440" s="2" t="s">
        <v>5076</v>
      </c>
      <c r="G1440" s="2" t="s">
        <v>4931</v>
      </c>
      <c r="H1440" s="2" t="s">
        <v>5081</v>
      </c>
      <c r="I1440" s="20">
        <v>61.93</v>
      </c>
      <c r="J1440" s="2" t="s">
        <v>4933</v>
      </c>
    </row>
    <row r="1441" spans="1:10" ht="15.35" x14ac:dyDescent="0.55000000000000004">
      <c r="A1441" s="20">
        <v>19275</v>
      </c>
      <c r="B1441" s="2" t="s">
        <v>205</v>
      </c>
      <c r="C1441" s="2" t="s">
        <v>206</v>
      </c>
      <c r="D1441" s="2" t="s">
        <v>207</v>
      </c>
      <c r="E1441" s="2" t="s">
        <v>4926</v>
      </c>
      <c r="F1441" s="2" t="s">
        <v>5076</v>
      </c>
      <c r="G1441" s="2" t="s">
        <v>4939</v>
      </c>
      <c r="H1441" s="2" t="s">
        <v>5079</v>
      </c>
      <c r="I1441" s="20">
        <v>255.99</v>
      </c>
      <c r="J1441" s="2" t="s">
        <v>5080</v>
      </c>
    </row>
    <row r="1442" spans="1:10" ht="15.35" x14ac:dyDescent="0.55000000000000004">
      <c r="A1442" s="20">
        <v>19302</v>
      </c>
      <c r="B1442" s="2" t="s">
        <v>205</v>
      </c>
      <c r="C1442" s="2" t="s">
        <v>206</v>
      </c>
      <c r="D1442" s="2" t="s">
        <v>207</v>
      </c>
      <c r="E1442" s="2" t="s">
        <v>4926</v>
      </c>
      <c r="F1442" s="2" t="s">
        <v>5076</v>
      </c>
      <c r="G1442" s="2" t="s">
        <v>4928</v>
      </c>
      <c r="H1442" s="2" t="s">
        <v>5082</v>
      </c>
      <c r="I1442" s="20">
        <v>1081345</v>
      </c>
      <c r="J1442" s="2" t="s">
        <v>5083</v>
      </c>
    </row>
    <row r="1443" spans="1:10" ht="15.35" x14ac:dyDescent="0.55000000000000004">
      <c r="A1443" s="20">
        <v>15659</v>
      </c>
      <c r="B1443" s="2" t="s">
        <v>205</v>
      </c>
      <c r="C1443" s="2" t="s">
        <v>206</v>
      </c>
      <c r="D1443" s="2" t="s">
        <v>207</v>
      </c>
      <c r="E1443" s="2" t="s">
        <v>479</v>
      </c>
      <c r="F1443" s="2" t="s">
        <v>4979</v>
      </c>
      <c r="G1443" s="2" t="s">
        <v>4928</v>
      </c>
      <c r="H1443" s="2" t="s">
        <v>5079</v>
      </c>
      <c r="I1443" s="20">
        <v>221.41</v>
      </c>
      <c r="J1443" s="2" t="s">
        <v>5080</v>
      </c>
    </row>
    <row r="1444" spans="1:10" ht="15.35" x14ac:dyDescent="0.55000000000000004">
      <c r="A1444" s="20">
        <v>15713</v>
      </c>
      <c r="B1444" s="2" t="s">
        <v>205</v>
      </c>
      <c r="C1444" s="2" t="s">
        <v>206</v>
      </c>
      <c r="D1444" s="2" t="s">
        <v>207</v>
      </c>
      <c r="E1444" s="2" t="s">
        <v>479</v>
      </c>
      <c r="F1444" s="2" t="s">
        <v>4979</v>
      </c>
      <c r="G1444" s="2" t="s">
        <v>4928</v>
      </c>
      <c r="H1444" s="2" t="s">
        <v>5081</v>
      </c>
      <c r="I1444" s="20">
        <v>52.58</v>
      </c>
      <c r="J1444" s="2" t="s">
        <v>4933</v>
      </c>
    </row>
    <row r="1445" spans="1:10" ht="15.35" x14ac:dyDescent="0.55000000000000004">
      <c r="A1445" s="20">
        <v>15810</v>
      </c>
      <c r="B1445" s="2" t="s">
        <v>205</v>
      </c>
      <c r="C1445" s="2" t="s">
        <v>206</v>
      </c>
      <c r="D1445" s="2" t="s">
        <v>207</v>
      </c>
      <c r="E1445" s="2" t="s">
        <v>479</v>
      </c>
      <c r="F1445" s="2" t="s">
        <v>4979</v>
      </c>
      <c r="G1445" s="2" t="s">
        <v>4928</v>
      </c>
      <c r="H1445" s="2" t="s">
        <v>5082</v>
      </c>
      <c r="I1445" s="20">
        <v>49979</v>
      </c>
      <c r="J1445" s="2" t="s">
        <v>5083</v>
      </c>
    </row>
    <row r="1446" spans="1:10" ht="15.35" x14ac:dyDescent="0.55000000000000004">
      <c r="A1446" s="20">
        <v>15650</v>
      </c>
      <c r="B1446" s="2" t="s">
        <v>205</v>
      </c>
      <c r="C1446" s="2" t="s">
        <v>206</v>
      </c>
      <c r="D1446" s="2" t="s">
        <v>207</v>
      </c>
      <c r="E1446" s="2" t="s">
        <v>479</v>
      </c>
      <c r="F1446" s="2" t="s">
        <v>4980</v>
      </c>
      <c r="G1446" s="2" t="s">
        <v>4928</v>
      </c>
      <c r="H1446" s="2" t="s">
        <v>5079</v>
      </c>
      <c r="I1446" s="20">
        <v>257.45999999999998</v>
      </c>
      <c r="J1446" s="2" t="s">
        <v>5080</v>
      </c>
    </row>
    <row r="1447" spans="1:10" ht="15.35" x14ac:dyDescent="0.55000000000000004">
      <c r="A1447" s="20">
        <v>15737</v>
      </c>
      <c r="B1447" s="2" t="s">
        <v>205</v>
      </c>
      <c r="C1447" s="2" t="s">
        <v>206</v>
      </c>
      <c r="D1447" s="2" t="s">
        <v>207</v>
      </c>
      <c r="E1447" s="2" t="s">
        <v>479</v>
      </c>
      <c r="F1447" s="2" t="s">
        <v>4980</v>
      </c>
      <c r="G1447" s="2" t="s">
        <v>4928</v>
      </c>
      <c r="H1447" s="2" t="s">
        <v>5081</v>
      </c>
      <c r="I1447" s="20">
        <v>64.97</v>
      </c>
      <c r="J1447" s="2" t="s">
        <v>4933</v>
      </c>
    </row>
    <row r="1448" spans="1:10" ht="15.35" x14ac:dyDescent="0.55000000000000004">
      <c r="A1448" s="20">
        <v>15829</v>
      </c>
      <c r="B1448" s="2" t="s">
        <v>205</v>
      </c>
      <c r="C1448" s="2" t="s">
        <v>206</v>
      </c>
      <c r="D1448" s="2" t="s">
        <v>207</v>
      </c>
      <c r="E1448" s="2" t="s">
        <v>479</v>
      </c>
      <c r="F1448" s="2" t="s">
        <v>4980</v>
      </c>
      <c r="G1448" s="2" t="s">
        <v>4928</v>
      </c>
      <c r="H1448" s="2" t="s">
        <v>5082</v>
      </c>
      <c r="I1448" s="20">
        <v>50420</v>
      </c>
      <c r="J1448" s="2" t="s">
        <v>5083</v>
      </c>
    </row>
    <row r="1449" spans="1:10" ht="15.35" x14ac:dyDescent="0.55000000000000004">
      <c r="A1449" s="20">
        <v>15674</v>
      </c>
      <c r="B1449" s="2" t="s">
        <v>205</v>
      </c>
      <c r="C1449" s="2" t="s">
        <v>206</v>
      </c>
      <c r="D1449" s="2" t="s">
        <v>207</v>
      </c>
      <c r="E1449" s="2" t="s">
        <v>479</v>
      </c>
      <c r="F1449" s="2" t="s">
        <v>5016</v>
      </c>
      <c r="G1449" s="2" t="s">
        <v>4928</v>
      </c>
      <c r="H1449" s="2" t="s">
        <v>5079</v>
      </c>
      <c r="I1449" s="20">
        <v>273.41000000000003</v>
      </c>
      <c r="J1449" s="2" t="s">
        <v>5080</v>
      </c>
    </row>
    <row r="1450" spans="1:10" ht="15.35" x14ac:dyDescent="0.55000000000000004">
      <c r="A1450" s="20">
        <v>15766</v>
      </c>
      <c r="B1450" s="2" t="s">
        <v>205</v>
      </c>
      <c r="C1450" s="2" t="s">
        <v>206</v>
      </c>
      <c r="D1450" s="2" t="s">
        <v>207</v>
      </c>
      <c r="E1450" s="2" t="s">
        <v>479</v>
      </c>
      <c r="F1450" s="2" t="s">
        <v>5016</v>
      </c>
      <c r="G1450" s="2" t="s">
        <v>4928</v>
      </c>
      <c r="H1450" s="2" t="s">
        <v>5081</v>
      </c>
      <c r="I1450" s="20">
        <v>58.8</v>
      </c>
      <c r="J1450" s="2" t="s">
        <v>4933</v>
      </c>
    </row>
    <row r="1451" spans="1:10" ht="15.35" x14ac:dyDescent="0.55000000000000004">
      <c r="A1451" s="20">
        <v>15850</v>
      </c>
      <c r="B1451" s="2" t="s">
        <v>205</v>
      </c>
      <c r="C1451" s="2" t="s">
        <v>206</v>
      </c>
      <c r="D1451" s="2" t="s">
        <v>207</v>
      </c>
      <c r="E1451" s="2" t="s">
        <v>479</v>
      </c>
      <c r="F1451" s="2" t="s">
        <v>5016</v>
      </c>
      <c r="G1451" s="2" t="s">
        <v>4928</v>
      </c>
      <c r="H1451" s="2" t="s">
        <v>5082</v>
      </c>
      <c r="I1451" s="20">
        <v>55632</v>
      </c>
      <c r="J1451" s="2" t="s">
        <v>5083</v>
      </c>
    </row>
    <row r="1452" spans="1:10" ht="15.35" x14ac:dyDescent="0.55000000000000004">
      <c r="A1452" s="20">
        <v>19252</v>
      </c>
      <c r="B1452" s="2" t="s">
        <v>205</v>
      </c>
      <c r="C1452" s="2" t="s">
        <v>206</v>
      </c>
      <c r="D1452" s="2" t="s">
        <v>207</v>
      </c>
      <c r="E1452" s="2" t="s">
        <v>479</v>
      </c>
      <c r="F1452" s="2" t="s">
        <v>5076</v>
      </c>
      <c r="G1452" s="2" t="s">
        <v>4928</v>
      </c>
      <c r="H1452" s="2" t="s">
        <v>5079</v>
      </c>
      <c r="I1452" s="20">
        <v>253.48</v>
      </c>
      <c r="J1452" s="2" t="s">
        <v>5080</v>
      </c>
    </row>
    <row r="1453" spans="1:10" ht="15.35" x14ac:dyDescent="0.55000000000000004">
      <c r="A1453" s="20">
        <v>19276</v>
      </c>
      <c r="B1453" s="2" t="s">
        <v>205</v>
      </c>
      <c r="C1453" s="2" t="s">
        <v>206</v>
      </c>
      <c r="D1453" s="2" t="s">
        <v>207</v>
      </c>
      <c r="E1453" s="2" t="s">
        <v>479</v>
      </c>
      <c r="F1453" s="2" t="s">
        <v>5076</v>
      </c>
      <c r="G1453" s="2" t="s">
        <v>4928</v>
      </c>
      <c r="H1453" s="2" t="s">
        <v>5081</v>
      </c>
      <c r="I1453" s="20">
        <v>46.63</v>
      </c>
      <c r="J1453" s="2" t="s">
        <v>4933</v>
      </c>
    </row>
    <row r="1454" spans="1:10" ht="15.35" x14ac:dyDescent="0.55000000000000004">
      <c r="A1454" s="20">
        <v>19286</v>
      </c>
      <c r="B1454" s="2" t="s">
        <v>205</v>
      </c>
      <c r="C1454" s="2" t="s">
        <v>206</v>
      </c>
      <c r="D1454" s="2" t="s">
        <v>207</v>
      </c>
      <c r="E1454" s="2" t="s">
        <v>479</v>
      </c>
      <c r="F1454" s="2" t="s">
        <v>5076</v>
      </c>
      <c r="G1454" s="2" t="s">
        <v>4928</v>
      </c>
      <c r="H1454" s="2" t="s">
        <v>5082</v>
      </c>
      <c r="I1454" s="20">
        <v>55480</v>
      </c>
      <c r="J1454" s="2" t="s">
        <v>5083</v>
      </c>
    </row>
    <row r="1455" spans="1:10" ht="15.35" x14ac:dyDescent="0.55000000000000004">
      <c r="A1455" s="20">
        <v>15636</v>
      </c>
      <c r="B1455" s="2" t="s">
        <v>205</v>
      </c>
      <c r="C1455" s="2" t="s">
        <v>206</v>
      </c>
      <c r="D1455" s="2" t="s">
        <v>207</v>
      </c>
      <c r="E1455" s="2" t="s">
        <v>485</v>
      </c>
      <c r="F1455" s="2" t="s">
        <v>4979</v>
      </c>
      <c r="G1455" s="2" t="s">
        <v>4928</v>
      </c>
      <c r="H1455" s="2" t="s">
        <v>5079</v>
      </c>
      <c r="I1455" s="20">
        <v>241.48</v>
      </c>
      <c r="J1455" s="2" t="s">
        <v>5080</v>
      </c>
    </row>
    <row r="1456" spans="1:10" ht="15.35" x14ac:dyDescent="0.55000000000000004">
      <c r="A1456" s="20">
        <v>15657</v>
      </c>
      <c r="B1456" s="2" t="s">
        <v>205</v>
      </c>
      <c r="C1456" s="2" t="s">
        <v>206</v>
      </c>
      <c r="D1456" s="2" t="s">
        <v>207</v>
      </c>
      <c r="E1456" s="2" t="s">
        <v>485</v>
      </c>
      <c r="F1456" s="2" t="s">
        <v>4979</v>
      </c>
      <c r="G1456" s="2" t="s">
        <v>4928</v>
      </c>
      <c r="H1456" s="2" t="s">
        <v>5081</v>
      </c>
      <c r="I1456" s="20">
        <v>50.04</v>
      </c>
      <c r="J1456" s="2" t="s">
        <v>4933</v>
      </c>
    </row>
    <row r="1457" spans="1:10" ht="15.35" x14ac:dyDescent="0.55000000000000004">
      <c r="A1457" s="20">
        <v>15817</v>
      </c>
      <c r="B1457" s="2" t="s">
        <v>205</v>
      </c>
      <c r="C1457" s="2" t="s">
        <v>206</v>
      </c>
      <c r="D1457" s="2" t="s">
        <v>207</v>
      </c>
      <c r="E1457" s="2" t="s">
        <v>485</v>
      </c>
      <c r="F1457" s="2" t="s">
        <v>4979</v>
      </c>
      <c r="G1457" s="2" t="s">
        <v>4928</v>
      </c>
      <c r="H1457" s="2" t="s">
        <v>5082</v>
      </c>
      <c r="I1457" s="20">
        <v>48496</v>
      </c>
      <c r="J1457" s="2" t="s">
        <v>5083</v>
      </c>
    </row>
    <row r="1458" spans="1:10" ht="15.35" x14ac:dyDescent="0.55000000000000004">
      <c r="A1458" s="20">
        <v>15744</v>
      </c>
      <c r="B1458" s="2" t="s">
        <v>205</v>
      </c>
      <c r="C1458" s="2" t="s">
        <v>206</v>
      </c>
      <c r="D1458" s="2" t="s">
        <v>207</v>
      </c>
      <c r="E1458" s="2" t="s">
        <v>485</v>
      </c>
      <c r="F1458" s="2" t="s">
        <v>4980</v>
      </c>
      <c r="G1458" s="2" t="s">
        <v>4928</v>
      </c>
      <c r="H1458" s="2" t="s">
        <v>5081</v>
      </c>
      <c r="I1458" s="20">
        <v>58.11</v>
      </c>
      <c r="J1458" s="2" t="s">
        <v>4933</v>
      </c>
    </row>
    <row r="1459" spans="1:10" ht="15.35" x14ac:dyDescent="0.55000000000000004">
      <c r="A1459" s="20">
        <v>15825</v>
      </c>
      <c r="B1459" s="2" t="s">
        <v>205</v>
      </c>
      <c r="C1459" s="2" t="s">
        <v>206</v>
      </c>
      <c r="D1459" s="2" t="s">
        <v>207</v>
      </c>
      <c r="E1459" s="2" t="s">
        <v>485</v>
      </c>
      <c r="F1459" s="2" t="s">
        <v>4980</v>
      </c>
      <c r="G1459" s="2" t="s">
        <v>4928</v>
      </c>
      <c r="H1459" s="2" t="s">
        <v>5079</v>
      </c>
      <c r="I1459" s="20">
        <v>239.91</v>
      </c>
      <c r="J1459" s="2" t="s">
        <v>5080</v>
      </c>
    </row>
    <row r="1460" spans="1:10" ht="15.35" x14ac:dyDescent="0.55000000000000004">
      <c r="A1460" s="20">
        <v>15836</v>
      </c>
      <c r="B1460" s="2" t="s">
        <v>205</v>
      </c>
      <c r="C1460" s="2" t="s">
        <v>206</v>
      </c>
      <c r="D1460" s="2" t="s">
        <v>207</v>
      </c>
      <c r="E1460" s="2" t="s">
        <v>485</v>
      </c>
      <c r="F1460" s="2" t="s">
        <v>4980</v>
      </c>
      <c r="G1460" s="2" t="s">
        <v>4928</v>
      </c>
      <c r="H1460" s="2" t="s">
        <v>5082</v>
      </c>
      <c r="I1460" s="20">
        <v>37427</v>
      </c>
      <c r="J1460" s="2" t="s">
        <v>5083</v>
      </c>
    </row>
    <row r="1461" spans="1:10" ht="15.35" x14ac:dyDescent="0.55000000000000004">
      <c r="A1461" s="20">
        <v>15681</v>
      </c>
      <c r="B1461" s="2" t="s">
        <v>205</v>
      </c>
      <c r="C1461" s="2" t="s">
        <v>206</v>
      </c>
      <c r="D1461" s="2" t="s">
        <v>207</v>
      </c>
      <c r="E1461" s="2" t="s">
        <v>485</v>
      </c>
      <c r="F1461" s="2" t="s">
        <v>5016</v>
      </c>
      <c r="G1461" s="2" t="s">
        <v>4928</v>
      </c>
      <c r="H1461" s="2" t="s">
        <v>5079</v>
      </c>
      <c r="I1461" s="20">
        <v>237.31</v>
      </c>
      <c r="J1461" s="2" t="s">
        <v>5080</v>
      </c>
    </row>
    <row r="1462" spans="1:10" ht="15.35" x14ac:dyDescent="0.55000000000000004">
      <c r="A1462" s="20">
        <v>15773</v>
      </c>
      <c r="B1462" s="2" t="s">
        <v>205</v>
      </c>
      <c r="C1462" s="2" t="s">
        <v>206</v>
      </c>
      <c r="D1462" s="2" t="s">
        <v>207</v>
      </c>
      <c r="E1462" s="2" t="s">
        <v>485</v>
      </c>
      <c r="F1462" s="2" t="s">
        <v>5016</v>
      </c>
      <c r="G1462" s="2" t="s">
        <v>4928</v>
      </c>
      <c r="H1462" s="2" t="s">
        <v>5081</v>
      </c>
      <c r="I1462" s="20">
        <v>44.45</v>
      </c>
      <c r="J1462" s="2" t="s">
        <v>4933</v>
      </c>
    </row>
    <row r="1463" spans="1:10" ht="15.35" x14ac:dyDescent="0.55000000000000004">
      <c r="A1463" s="20">
        <v>15827</v>
      </c>
      <c r="B1463" s="2" t="s">
        <v>205</v>
      </c>
      <c r="C1463" s="2" t="s">
        <v>206</v>
      </c>
      <c r="D1463" s="2" t="s">
        <v>207</v>
      </c>
      <c r="E1463" s="2" t="s">
        <v>485</v>
      </c>
      <c r="F1463" s="2" t="s">
        <v>5016</v>
      </c>
      <c r="G1463" s="2" t="s">
        <v>4928</v>
      </c>
      <c r="H1463" s="2" t="s">
        <v>5082</v>
      </c>
      <c r="I1463" s="20">
        <v>48312</v>
      </c>
      <c r="J1463" s="2" t="s">
        <v>5083</v>
      </c>
    </row>
    <row r="1464" spans="1:10" ht="15.35" x14ac:dyDescent="0.55000000000000004">
      <c r="A1464" s="20">
        <v>19283</v>
      </c>
      <c r="B1464" s="2" t="s">
        <v>205</v>
      </c>
      <c r="C1464" s="2" t="s">
        <v>206</v>
      </c>
      <c r="D1464" s="2" t="s">
        <v>207</v>
      </c>
      <c r="E1464" s="2" t="s">
        <v>485</v>
      </c>
      <c r="F1464" s="2" t="s">
        <v>5076</v>
      </c>
      <c r="G1464" s="2" t="s">
        <v>4928</v>
      </c>
      <c r="H1464" s="2" t="s">
        <v>5079</v>
      </c>
      <c r="I1464" s="20">
        <v>223.91</v>
      </c>
      <c r="J1464" s="2" t="s">
        <v>5080</v>
      </c>
    </row>
    <row r="1465" spans="1:10" ht="15.35" x14ac:dyDescent="0.55000000000000004">
      <c r="A1465" s="20">
        <v>19293</v>
      </c>
      <c r="B1465" s="2" t="s">
        <v>205</v>
      </c>
      <c r="C1465" s="2" t="s">
        <v>206</v>
      </c>
      <c r="D1465" s="2" t="s">
        <v>207</v>
      </c>
      <c r="E1465" s="2" t="s">
        <v>485</v>
      </c>
      <c r="F1465" s="2" t="s">
        <v>5076</v>
      </c>
      <c r="G1465" s="2" t="s">
        <v>4928</v>
      </c>
      <c r="H1465" s="2" t="s">
        <v>5081</v>
      </c>
      <c r="I1465" s="20">
        <v>45.12</v>
      </c>
      <c r="J1465" s="2" t="s">
        <v>4933</v>
      </c>
    </row>
    <row r="1466" spans="1:10" ht="15.35" x14ac:dyDescent="0.55000000000000004">
      <c r="A1466" s="20">
        <v>19310</v>
      </c>
      <c r="B1466" s="2" t="s">
        <v>205</v>
      </c>
      <c r="C1466" s="2" t="s">
        <v>206</v>
      </c>
      <c r="D1466" s="2" t="s">
        <v>207</v>
      </c>
      <c r="E1466" s="2" t="s">
        <v>485</v>
      </c>
      <c r="F1466" s="2" t="s">
        <v>5076</v>
      </c>
      <c r="G1466" s="2" t="s">
        <v>4928</v>
      </c>
      <c r="H1466" s="2" t="s">
        <v>5082</v>
      </c>
      <c r="I1466" s="20">
        <v>48487</v>
      </c>
      <c r="J1466" s="2" t="s">
        <v>5083</v>
      </c>
    </row>
    <row r="1467" spans="1:10" ht="15.35" x14ac:dyDescent="0.55000000000000004">
      <c r="A1467" s="20">
        <v>15639</v>
      </c>
      <c r="B1467" s="2" t="s">
        <v>205</v>
      </c>
      <c r="C1467" s="2" t="s">
        <v>206</v>
      </c>
      <c r="D1467" s="2" t="s">
        <v>207</v>
      </c>
      <c r="E1467" s="2" t="s">
        <v>491</v>
      </c>
      <c r="F1467" s="2" t="s">
        <v>4979</v>
      </c>
      <c r="G1467" s="2" t="s">
        <v>4928</v>
      </c>
      <c r="H1467" s="2" t="s">
        <v>5079</v>
      </c>
      <c r="I1467" s="20">
        <v>242.01</v>
      </c>
      <c r="J1467" s="2" t="s">
        <v>5080</v>
      </c>
    </row>
    <row r="1468" spans="1:10" ht="15.35" x14ac:dyDescent="0.55000000000000004">
      <c r="A1468" s="20">
        <v>15694</v>
      </c>
      <c r="B1468" s="2" t="s">
        <v>205</v>
      </c>
      <c r="C1468" s="2" t="s">
        <v>206</v>
      </c>
      <c r="D1468" s="2" t="s">
        <v>207</v>
      </c>
      <c r="E1468" s="2" t="s">
        <v>491</v>
      </c>
      <c r="F1468" s="2" t="s">
        <v>4979</v>
      </c>
      <c r="G1468" s="2" t="s">
        <v>4928</v>
      </c>
      <c r="H1468" s="2" t="s">
        <v>5081</v>
      </c>
      <c r="I1468" s="20">
        <v>49.16</v>
      </c>
      <c r="J1468" s="2" t="s">
        <v>4933</v>
      </c>
    </row>
    <row r="1469" spans="1:10" ht="15.35" x14ac:dyDescent="0.55000000000000004">
      <c r="A1469" s="20">
        <v>15820</v>
      </c>
      <c r="B1469" s="2" t="s">
        <v>205</v>
      </c>
      <c r="C1469" s="2" t="s">
        <v>206</v>
      </c>
      <c r="D1469" s="2" t="s">
        <v>207</v>
      </c>
      <c r="E1469" s="2" t="s">
        <v>491</v>
      </c>
      <c r="F1469" s="2" t="s">
        <v>4979</v>
      </c>
      <c r="G1469" s="2" t="s">
        <v>4928</v>
      </c>
      <c r="H1469" s="2" t="s">
        <v>5082</v>
      </c>
      <c r="I1469" s="20">
        <v>58340</v>
      </c>
      <c r="J1469" s="2" t="s">
        <v>5083</v>
      </c>
    </row>
    <row r="1470" spans="1:10" ht="15.35" x14ac:dyDescent="0.55000000000000004">
      <c r="A1470" s="20">
        <v>15663</v>
      </c>
      <c r="B1470" s="2" t="s">
        <v>205</v>
      </c>
      <c r="C1470" s="2" t="s">
        <v>206</v>
      </c>
      <c r="D1470" s="2" t="s">
        <v>207</v>
      </c>
      <c r="E1470" s="2" t="s">
        <v>491</v>
      </c>
      <c r="F1470" s="2" t="s">
        <v>4980</v>
      </c>
      <c r="G1470" s="2" t="s">
        <v>4928</v>
      </c>
      <c r="H1470" s="2" t="s">
        <v>5079</v>
      </c>
      <c r="I1470" s="20">
        <v>265.13</v>
      </c>
      <c r="J1470" s="2" t="s">
        <v>5080</v>
      </c>
    </row>
    <row r="1471" spans="1:10" ht="15.35" x14ac:dyDescent="0.55000000000000004">
      <c r="A1471" s="20">
        <v>15747</v>
      </c>
      <c r="B1471" s="2" t="s">
        <v>205</v>
      </c>
      <c r="C1471" s="2" t="s">
        <v>206</v>
      </c>
      <c r="D1471" s="2" t="s">
        <v>207</v>
      </c>
      <c r="E1471" s="2" t="s">
        <v>491</v>
      </c>
      <c r="F1471" s="2" t="s">
        <v>4980</v>
      </c>
      <c r="G1471" s="2" t="s">
        <v>4928</v>
      </c>
      <c r="H1471" s="2" t="s">
        <v>5081</v>
      </c>
      <c r="I1471" s="20">
        <v>69.489999999999995</v>
      </c>
      <c r="J1471" s="2" t="s">
        <v>4933</v>
      </c>
    </row>
    <row r="1472" spans="1:10" ht="15.35" x14ac:dyDescent="0.55000000000000004">
      <c r="A1472" s="20">
        <v>15839</v>
      </c>
      <c r="B1472" s="2" t="s">
        <v>205</v>
      </c>
      <c r="C1472" s="2" t="s">
        <v>206</v>
      </c>
      <c r="D1472" s="2" t="s">
        <v>207</v>
      </c>
      <c r="E1472" s="2" t="s">
        <v>491</v>
      </c>
      <c r="F1472" s="2" t="s">
        <v>4980</v>
      </c>
      <c r="G1472" s="2" t="s">
        <v>4928</v>
      </c>
      <c r="H1472" s="2" t="s">
        <v>5082</v>
      </c>
      <c r="I1472" s="20">
        <v>53732</v>
      </c>
      <c r="J1472" s="2" t="s">
        <v>5083</v>
      </c>
    </row>
    <row r="1473" spans="1:10" ht="15.35" x14ac:dyDescent="0.55000000000000004">
      <c r="A1473" s="20">
        <v>15684</v>
      </c>
      <c r="B1473" s="2" t="s">
        <v>205</v>
      </c>
      <c r="C1473" s="2" t="s">
        <v>206</v>
      </c>
      <c r="D1473" s="2" t="s">
        <v>207</v>
      </c>
      <c r="E1473" s="2" t="s">
        <v>491</v>
      </c>
      <c r="F1473" s="2" t="s">
        <v>5016</v>
      </c>
      <c r="G1473" s="2" t="s">
        <v>4928</v>
      </c>
      <c r="H1473" s="2" t="s">
        <v>5079</v>
      </c>
      <c r="I1473" s="20">
        <v>259.58</v>
      </c>
      <c r="J1473" s="2" t="s">
        <v>5080</v>
      </c>
    </row>
    <row r="1474" spans="1:10" ht="15.35" x14ac:dyDescent="0.55000000000000004">
      <c r="A1474" s="20">
        <v>15776</v>
      </c>
      <c r="B1474" s="2" t="s">
        <v>205</v>
      </c>
      <c r="C1474" s="2" t="s">
        <v>206</v>
      </c>
      <c r="D1474" s="2" t="s">
        <v>207</v>
      </c>
      <c r="E1474" s="2" t="s">
        <v>491</v>
      </c>
      <c r="F1474" s="2" t="s">
        <v>5016</v>
      </c>
      <c r="G1474" s="2" t="s">
        <v>4928</v>
      </c>
      <c r="H1474" s="2" t="s">
        <v>5081</v>
      </c>
      <c r="I1474" s="20">
        <v>60.28</v>
      </c>
      <c r="J1474" s="2" t="s">
        <v>4933</v>
      </c>
    </row>
    <row r="1475" spans="1:10" ht="15.35" x14ac:dyDescent="0.55000000000000004">
      <c r="A1475" s="20">
        <v>15863</v>
      </c>
      <c r="B1475" s="2" t="s">
        <v>205</v>
      </c>
      <c r="C1475" s="2" t="s">
        <v>206</v>
      </c>
      <c r="D1475" s="2" t="s">
        <v>207</v>
      </c>
      <c r="E1475" s="2" t="s">
        <v>491</v>
      </c>
      <c r="F1475" s="2" t="s">
        <v>5016</v>
      </c>
      <c r="G1475" s="2" t="s">
        <v>4928</v>
      </c>
      <c r="H1475" s="2" t="s">
        <v>5082</v>
      </c>
      <c r="I1475" s="20">
        <v>7923</v>
      </c>
      <c r="J1475" s="2" t="s">
        <v>5083</v>
      </c>
    </row>
    <row r="1476" spans="1:10" ht="15.35" x14ac:dyDescent="0.55000000000000004">
      <c r="A1476" s="20">
        <v>19280</v>
      </c>
      <c r="B1476" s="2" t="s">
        <v>205</v>
      </c>
      <c r="C1476" s="2" t="s">
        <v>206</v>
      </c>
      <c r="D1476" s="2" t="s">
        <v>207</v>
      </c>
      <c r="E1476" s="2" t="s">
        <v>491</v>
      </c>
      <c r="F1476" s="2" t="s">
        <v>5076</v>
      </c>
      <c r="G1476" s="2" t="s">
        <v>4928</v>
      </c>
      <c r="H1476" s="2" t="s">
        <v>5079</v>
      </c>
      <c r="I1476" s="20">
        <v>229.04</v>
      </c>
      <c r="J1476" s="2" t="s">
        <v>5080</v>
      </c>
    </row>
    <row r="1477" spans="1:10" ht="15.35" x14ac:dyDescent="0.55000000000000004">
      <c r="A1477" s="20">
        <v>19290</v>
      </c>
      <c r="B1477" s="2" t="s">
        <v>205</v>
      </c>
      <c r="C1477" s="2" t="s">
        <v>206</v>
      </c>
      <c r="D1477" s="2" t="s">
        <v>207</v>
      </c>
      <c r="E1477" s="2" t="s">
        <v>491</v>
      </c>
      <c r="F1477" s="2" t="s">
        <v>5076</v>
      </c>
      <c r="G1477" s="2" t="s">
        <v>4928</v>
      </c>
      <c r="H1477" s="2" t="s">
        <v>5081</v>
      </c>
      <c r="I1477" s="20">
        <v>62.33</v>
      </c>
      <c r="J1477" s="2" t="s">
        <v>4933</v>
      </c>
    </row>
    <row r="1478" spans="1:10" ht="15.35" x14ac:dyDescent="0.55000000000000004">
      <c r="A1478" s="20">
        <v>19307</v>
      </c>
      <c r="B1478" s="2" t="s">
        <v>205</v>
      </c>
      <c r="C1478" s="2" t="s">
        <v>206</v>
      </c>
      <c r="D1478" s="2" t="s">
        <v>207</v>
      </c>
      <c r="E1478" s="2" t="s">
        <v>491</v>
      </c>
      <c r="F1478" s="2" t="s">
        <v>5076</v>
      </c>
      <c r="G1478" s="2" t="s">
        <v>4928</v>
      </c>
      <c r="H1478" s="2" t="s">
        <v>5082</v>
      </c>
      <c r="I1478" s="20">
        <v>56812</v>
      </c>
      <c r="J1478" s="2" t="s">
        <v>5083</v>
      </c>
    </row>
    <row r="1479" spans="1:10" ht="15.35" x14ac:dyDescent="0.55000000000000004">
      <c r="A1479" s="20">
        <v>15707</v>
      </c>
      <c r="B1479" s="2" t="s">
        <v>205</v>
      </c>
      <c r="C1479" s="2" t="s">
        <v>206</v>
      </c>
      <c r="D1479" s="2" t="s">
        <v>207</v>
      </c>
      <c r="E1479" s="2" t="s">
        <v>495</v>
      </c>
      <c r="F1479" s="2" t="s">
        <v>4979</v>
      </c>
      <c r="G1479" s="2" t="s">
        <v>4928</v>
      </c>
      <c r="H1479" s="2" t="s">
        <v>5081</v>
      </c>
      <c r="I1479" s="20">
        <v>55.56</v>
      </c>
      <c r="J1479" s="2" t="s">
        <v>4933</v>
      </c>
    </row>
    <row r="1480" spans="1:10" ht="15.35" x14ac:dyDescent="0.55000000000000004">
      <c r="A1480" s="20">
        <v>15804</v>
      </c>
      <c r="B1480" s="2" t="s">
        <v>205</v>
      </c>
      <c r="C1480" s="2" t="s">
        <v>206</v>
      </c>
      <c r="D1480" s="2" t="s">
        <v>207</v>
      </c>
      <c r="E1480" s="2" t="s">
        <v>495</v>
      </c>
      <c r="F1480" s="2" t="s">
        <v>4979</v>
      </c>
      <c r="G1480" s="2" t="s">
        <v>4928</v>
      </c>
      <c r="H1480" s="2" t="s">
        <v>5082</v>
      </c>
      <c r="I1480" s="20">
        <v>46061</v>
      </c>
      <c r="J1480" s="2" t="s">
        <v>5083</v>
      </c>
    </row>
    <row r="1481" spans="1:10" ht="15.35" x14ac:dyDescent="0.55000000000000004">
      <c r="A1481" s="20">
        <v>15824</v>
      </c>
      <c r="B1481" s="2" t="s">
        <v>205</v>
      </c>
      <c r="C1481" s="2" t="s">
        <v>206</v>
      </c>
      <c r="D1481" s="2" t="s">
        <v>207</v>
      </c>
      <c r="E1481" s="2" t="s">
        <v>495</v>
      </c>
      <c r="F1481" s="2" t="s">
        <v>4979</v>
      </c>
      <c r="G1481" s="2" t="s">
        <v>4928</v>
      </c>
      <c r="H1481" s="2" t="s">
        <v>5079</v>
      </c>
      <c r="I1481" s="20">
        <v>302.99</v>
      </c>
      <c r="J1481" s="2" t="s">
        <v>5080</v>
      </c>
    </row>
    <row r="1482" spans="1:10" ht="15.35" x14ac:dyDescent="0.55000000000000004">
      <c r="A1482" s="20">
        <v>15644</v>
      </c>
      <c r="B1482" s="2" t="s">
        <v>205</v>
      </c>
      <c r="C1482" s="2" t="s">
        <v>206</v>
      </c>
      <c r="D1482" s="2" t="s">
        <v>207</v>
      </c>
      <c r="E1482" s="2" t="s">
        <v>495</v>
      </c>
      <c r="F1482" s="2" t="s">
        <v>4980</v>
      </c>
      <c r="G1482" s="2" t="s">
        <v>4928</v>
      </c>
      <c r="H1482" s="2" t="s">
        <v>5079</v>
      </c>
      <c r="I1482" s="20">
        <v>360.87</v>
      </c>
      <c r="J1482" s="2" t="s">
        <v>5080</v>
      </c>
    </row>
    <row r="1483" spans="1:10" ht="15.35" x14ac:dyDescent="0.55000000000000004">
      <c r="A1483" s="20">
        <v>15731</v>
      </c>
      <c r="B1483" s="2" t="s">
        <v>205</v>
      </c>
      <c r="C1483" s="2" t="s">
        <v>206</v>
      </c>
      <c r="D1483" s="2" t="s">
        <v>207</v>
      </c>
      <c r="E1483" s="2" t="s">
        <v>495</v>
      </c>
      <c r="F1483" s="2" t="s">
        <v>4980</v>
      </c>
      <c r="G1483" s="2" t="s">
        <v>4928</v>
      </c>
      <c r="H1483" s="2" t="s">
        <v>5081</v>
      </c>
      <c r="I1483" s="20">
        <v>64.45</v>
      </c>
      <c r="J1483" s="2" t="s">
        <v>4933</v>
      </c>
    </row>
    <row r="1484" spans="1:10" ht="15.35" x14ac:dyDescent="0.55000000000000004">
      <c r="A1484" s="20">
        <v>15792</v>
      </c>
      <c r="B1484" s="2" t="s">
        <v>205</v>
      </c>
      <c r="C1484" s="2" t="s">
        <v>206</v>
      </c>
      <c r="D1484" s="2" t="s">
        <v>207</v>
      </c>
      <c r="E1484" s="2" t="s">
        <v>495</v>
      </c>
      <c r="F1484" s="2" t="s">
        <v>4980</v>
      </c>
      <c r="G1484" s="2" t="s">
        <v>4928</v>
      </c>
      <c r="H1484" s="2" t="s">
        <v>5082</v>
      </c>
      <c r="I1484" s="20">
        <v>4438</v>
      </c>
      <c r="J1484" s="2" t="s">
        <v>5083</v>
      </c>
    </row>
    <row r="1485" spans="1:10" ht="15.35" x14ac:dyDescent="0.55000000000000004">
      <c r="A1485" s="20">
        <v>15668</v>
      </c>
      <c r="B1485" s="2" t="s">
        <v>205</v>
      </c>
      <c r="C1485" s="2" t="s">
        <v>206</v>
      </c>
      <c r="D1485" s="2" t="s">
        <v>207</v>
      </c>
      <c r="E1485" s="2" t="s">
        <v>495</v>
      </c>
      <c r="F1485" s="2" t="s">
        <v>5016</v>
      </c>
      <c r="G1485" s="2" t="s">
        <v>4928</v>
      </c>
      <c r="H1485" s="2" t="s">
        <v>5079</v>
      </c>
      <c r="I1485" s="20">
        <v>363.9</v>
      </c>
      <c r="J1485" s="2" t="s">
        <v>5080</v>
      </c>
    </row>
    <row r="1486" spans="1:10" ht="15.35" x14ac:dyDescent="0.55000000000000004">
      <c r="A1486" s="20">
        <v>15844</v>
      </c>
      <c r="B1486" s="2" t="s">
        <v>205</v>
      </c>
      <c r="C1486" s="2" t="s">
        <v>206</v>
      </c>
      <c r="D1486" s="2" t="s">
        <v>207</v>
      </c>
      <c r="E1486" s="2" t="s">
        <v>495</v>
      </c>
      <c r="F1486" s="2" t="s">
        <v>5016</v>
      </c>
      <c r="G1486" s="2" t="s">
        <v>4928</v>
      </c>
      <c r="H1486" s="2" t="s">
        <v>5082</v>
      </c>
      <c r="I1486" s="20">
        <v>55998</v>
      </c>
      <c r="J1486" s="2" t="s">
        <v>5083</v>
      </c>
    </row>
    <row r="1487" spans="1:10" ht="15.35" x14ac:dyDescent="0.55000000000000004">
      <c r="A1487" s="20">
        <v>15852</v>
      </c>
      <c r="B1487" s="2" t="s">
        <v>205</v>
      </c>
      <c r="C1487" s="2" t="s">
        <v>206</v>
      </c>
      <c r="D1487" s="2" t="s">
        <v>207</v>
      </c>
      <c r="E1487" s="2" t="s">
        <v>495</v>
      </c>
      <c r="F1487" s="2" t="s">
        <v>5016</v>
      </c>
      <c r="G1487" s="2" t="s">
        <v>4928</v>
      </c>
      <c r="H1487" s="2" t="s">
        <v>5081</v>
      </c>
      <c r="I1487" s="20">
        <v>59.05</v>
      </c>
      <c r="J1487" s="2" t="s">
        <v>4933</v>
      </c>
    </row>
    <row r="1488" spans="1:10" ht="15.35" x14ac:dyDescent="0.55000000000000004">
      <c r="A1488" s="20">
        <v>19259</v>
      </c>
      <c r="B1488" s="2" t="s">
        <v>205</v>
      </c>
      <c r="C1488" s="2" t="s">
        <v>206</v>
      </c>
      <c r="D1488" s="2" t="s">
        <v>207</v>
      </c>
      <c r="E1488" s="2" t="s">
        <v>495</v>
      </c>
      <c r="F1488" s="2" t="s">
        <v>5076</v>
      </c>
      <c r="G1488" s="2" t="s">
        <v>4928</v>
      </c>
      <c r="H1488" s="2" t="s">
        <v>5079</v>
      </c>
      <c r="I1488" s="20">
        <v>350.85</v>
      </c>
      <c r="J1488" s="2" t="s">
        <v>5080</v>
      </c>
    </row>
    <row r="1489" spans="1:10" ht="15.35" x14ac:dyDescent="0.55000000000000004">
      <c r="A1489" s="20">
        <v>19269</v>
      </c>
      <c r="B1489" s="2" t="s">
        <v>205</v>
      </c>
      <c r="C1489" s="2" t="s">
        <v>206</v>
      </c>
      <c r="D1489" s="2" t="s">
        <v>207</v>
      </c>
      <c r="E1489" s="2" t="s">
        <v>495</v>
      </c>
      <c r="F1489" s="2" t="s">
        <v>5076</v>
      </c>
      <c r="G1489" s="2" t="s">
        <v>4928</v>
      </c>
      <c r="H1489" s="2" t="s">
        <v>5081</v>
      </c>
      <c r="I1489" s="20">
        <v>57.96</v>
      </c>
      <c r="J1489" s="2" t="s">
        <v>4933</v>
      </c>
    </row>
    <row r="1490" spans="1:10" ht="15.35" x14ac:dyDescent="0.55000000000000004">
      <c r="A1490" s="20">
        <v>19322</v>
      </c>
      <c r="B1490" s="2" t="s">
        <v>205</v>
      </c>
      <c r="C1490" s="2" t="s">
        <v>206</v>
      </c>
      <c r="D1490" s="2" t="s">
        <v>207</v>
      </c>
      <c r="E1490" s="2" t="s">
        <v>495</v>
      </c>
      <c r="F1490" s="2" t="s">
        <v>5076</v>
      </c>
      <c r="G1490" s="2" t="s">
        <v>4928</v>
      </c>
      <c r="H1490" s="2" t="s">
        <v>5082</v>
      </c>
      <c r="I1490" s="20">
        <v>55845</v>
      </c>
      <c r="J1490" s="2" t="s">
        <v>5083</v>
      </c>
    </row>
    <row r="1491" spans="1:10" ht="15.35" x14ac:dyDescent="0.55000000000000004">
      <c r="A1491" s="20">
        <v>15631</v>
      </c>
      <c r="B1491" s="2" t="s">
        <v>205</v>
      </c>
      <c r="C1491" s="2" t="s">
        <v>206</v>
      </c>
      <c r="D1491" s="2" t="s">
        <v>207</v>
      </c>
      <c r="E1491" s="2" t="s">
        <v>501</v>
      </c>
      <c r="F1491" s="2" t="s">
        <v>4979</v>
      </c>
      <c r="G1491" s="2" t="s">
        <v>4928</v>
      </c>
      <c r="H1491" s="2" t="s">
        <v>5079</v>
      </c>
      <c r="I1491" s="20">
        <v>246.73</v>
      </c>
      <c r="J1491" s="2" t="s">
        <v>5080</v>
      </c>
    </row>
    <row r="1492" spans="1:10" ht="15.35" x14ac:dyDescent="0.55000000000000004">
      <c r="A1492" s="20">
        <v>15751</v>
      </c>
      <c r="B1492" s="2" t="s">
        <v>205</v>
      </c>
      <c r="C1492" s="2" t="s">
        <v>206</v>
      </c>
      <c r="D1492" s="2" t="s">
        <v>207</v>
      </c>
      <c r="E1492" s="2" t="s">
        <v>501</v>
      </c>
      <c r="F1492" s="2" t="s">
        <v>4979</v>
      </c>
      <c r="G1492" s="2" t="s">
        <v>4928</v>
      </c>
      <c r="H1492" s="2" t="s">
        <v>5081</v>
      </c>
      <c r="I1492" s="20">
        <v>49.91</v>
      </c>
      <c r="J1492" s="2" t="s">
        <v>4933</v>
      </c>
    </row>
    <row r="1493" spans="1:10" ht="15.35" x14ac:dyDescent="0.55000000000000004">
      <c r="A1493" s="20">
        <v>15812</v>
      </c>
      <c r="B1493" s="2" t="s">
        <v>205</v>
      </c>
      <c r="C1493" s="2" t="s">
        <v>206</v>
      </c>
      <c r="D1493" s="2" t="s">
        <v>207</v>
      </c>
      <c r="E1493" s="2" t="s">
        <v>501</v>
      </c>
      <c r="F1493" s="2" t="s">
        <v>4979</v>
      </c>
      <c r="G1493" s="2" t="s">
        <v>4928</v>
      </c>
      <c r="H1493" s="2" t="s">
        <v>5082</v>
      </c>
      <c r="I1493" s="20">
        <v>46674</v>
      </c>
      <c r="J1493" s="2" t="s">
        <v>5083</v>
      </c>
    </row>
    <row r="1494" spans="1:10" ht="15.35" x14ac:dyDescent="0.55000000000000004">
      <c r="A1494" s="20">
        <v>15688</v>
      </c>
      <c r="B1494" s="2" t="s">
        <v>205</v>
      </c>
      <c r="C1494" s="2" t="s">
        <v>206</v>
      </c>
      <c r="D1494" s="2" t="s">
        <v>207</v>
      </c>
      <c r="E1494" s="2" t="s">
        <v>501</v>
      </c>
      <c r="F1494" s="2" t="s">
        <v>4980</v>
      </c>
      <c r="G1494" s="2" t="s">
        <v>4928</v>
      </c>
      <c r="H1494" s="2" t="s">
        <v>5079</v>
      </c>
      <c r="I1494" s="20">
        <v>244.99</v>
      </c>
      <c r="J1494" s="2" t="s">
        <v>5080</v>
      </c>
    </row>
    <row r="1495" spans="1:10" ht="15.35" x14ac:dyDescent="0.55000000000000004">
      <c r="A1495" s="20">
        <v>15739</v>
      </c>
      <c r="B1495" s="2" t="s">
        <v>205</v>
      </c>
      <c r="C1495" s="2" t="s">
        <v>206</v>
      </c>
      <c r="D1495" s="2" t="s">
        <v>207</v>
      </c>
      <c r="E1495" s="2" t="s">
        <v>501</v>
      </c>
      <c r="F1495" s="2" t="s">
        <v>4980</v>
      </c>
      <c r="G1495" s="2" t="s">
        <v>4928</v>
      </c>
      <c r="H1495" s="2" t="s">
        <v>5081</v>
      </c>
      <c r="I1495" s="20">
        <v>62.49</v>
      </c>
      <c r="J1495" s="2" t="s">
        <v>4933</v>
      </c>
    </row>
    <row r="1496" spans="1:10" ht="15.35" x14ac:dyDescent="0.55000000000000004">
      <c r="A1496" s="20">
        <v>15831</v>
      </c>
      <c r="B1496" s="2" t="s">
        <v>205</v>
      </c>
      <c r="C1496" s="2" t="s">
        <v>206</v>
      </c>
      <c r="D1496" s="2" t="s">
        <v>207</v>
      </c>
      <c r="E1496" s="2" t="s">
        <v>501</v>
      </c>
      <c r="F1496" s="2" t="s">
        <v>4980</v>
      </c>
      <c r="G1496" s="2" t="s">
        <v>4928</v>
      </c>
      <c r="H1496" s="2" t="s">
        <v>5082</v>
      </c>
      <c r="I1496" s="20">
        <v>50735</v>
      </c>
      <c r="J1496" s="2" t="s">
        <v>5083</v>
      </c>
    </row>
    <row r="1497" spans="1:10" ht="15.35" x14ac:dyDescent="0.55000000000000004">
      <c r="A1497" s="20">
        <v>15676</v>
      </c>
      <c r="B1497" s="2" t="s">
        <v>205</v>
      </c>
      <c r="C1497" s="2" t="s">
        <v>206</v>
      </c>
      <c r="D1497" s="2" t="s">
        <v>207</v>
      </c>
      <c r="E1497" s="2" t="s">
        <v>501</v>
      </c>
      <c r="F1497" s="2" t="s">
        <v>5016</v>
      </c>
      <c r="G1497" s="2" t="s">
        <v>4928</v>
      </c>
      <c r="H1497" s="2" t="s">
        <v>5079</v>
      </c>
      <c r="I1497" s="20">
        <v>238.4</v>
      </c>
      <c r="J1497" s="2" t="s">
        <v>5080</v>
      </c>
    </row>
    <row r="1498" spans="1:10" ht="15.35" x14ac:dyDescent="0.55000000000000004">
      <c r="A1498" s="20">
        <v>15768</v>
      </c>
      <c r="B1498" s="2" t="s">
        <v>205</v>
      </c>
      <c r="C1498" s="2" t="s">
        <v>206</v>
      </c>
      <c r="D1498" s="2" t="s">
        <v>207</v>
      </c>
      <c r="E1498" s="2" t="s">
        <v>501</v>
      </c>
      <c r="F1498" s="2" t="s">
        <v>5016</v>
      </c>
      <c r="G1498" s="2" t="s">
        <v>4928</v>
      </c>
      <c r="H1498" s="2" t="s">
        <v>5081</v>
      </c>
      <c r="I1498" s="20">
        <v>50.78</v>
      </c>
      <c r="J1498" s="2" t="s">
        <v>4933</v>
      </c>
    </row>
    <row r="1499" spans="1:10" ht="15.35" x14ac:dyDescent="0.55000000000000004">
      <c r="A1499" s="20">
        <v>15860</v>
      </c>
      <c r="B1499" s="2" t="s">
        <v>205</v>
      </c>
      <c r="C1499" s="2" t="s">
        <v>206</v>
      </c>
      <c r="D1499" s="2" t="s">
        <v>207</v>
      </c>
      <c r="E1499" s="2" t="s">
        <v>501</v>
      </c>
      <c r="F1499" s="2" t="s">
        <v>5016</v>
      </c>
      <c r="G1499" s="2" t="s">
        <v>4928</v>
      </c>
      <c r="H1499" s="2" t="s">
        <v>5082</v>
      </c>
      <c r="I1499" s="20">
        <v>50796</v>
      </c>
      <c r="J1499" s="2" t="s">
        <v>5083</v>
      </c>
    </row>
    <row r="1500" spans="1:10" ht="15.35" x14ac:dyDescent="0.55000000000000004">
      <c r="A1500" s="20">
        <v>19254</v>
      </c>
      <c r="B1500" s="2" t="s">
        <v>205</v>
      </c>
      <c r="C1500" s="2" t="s">
        <v>206</v>
      </c>
      <c r="D1500" s="2" t="s">
        <v>207</v>
      </c>
      <c r="E1500" s="2" t="s">
        <v>501</v>
      </c>
      <c r="F1500" s="2" t="s">
        <v>5076</v>
      </c>
      <c r="G1500" s="2" t="s">
        <v>4928</v>
      </c>
      <c r="H1500" s="2" t="s">
        <v>5079</v>
      </c>
      <c r="I1500" s="20">
        <v>209.69</v>
      </c>
      <c r="J1500" s="2" t="s">
        <v>5080</v>
      </c>
    </row>
    <row r="1501" spans="1:10" ht="15.35" x14ac:dyDescent="0.55000000000000004">
      <c r="A1501" s="20">
        <v>19273</v>
      </c>
      <c r="B1501" s="2" t="s">
        <v>205</v>
      </c>
      <c r="C1501" s="2" t="s">
        <v>206</v>
      </c>
      <c r="D1501" s="2" t="s">
        <v>207</v>
      </c>
      <c r="E1501" s="2" t="s">
        <v>501</v>
      </c>
      <c r="F1501" s="2" t="s">
        <v>5076</v>
      </c>
      <c r="G1501" s="2" t="s">
        <v>4928</v>
      </c>
      <c r="H1501" s="2" t="s">
        <v>5081</v>
      </c>
      <c r="I1501" s="20">
        <v>58.31</v>
      </c>
      <c r="J1501" s="2" t="s">
        <v>4933</v>
      </c>
    </row>
    <row r="1502" spans="1:10" ht="15.35" x14ac:dyDescent="0.55000000000000004">
      <c r="A1502" s="20">
        <v>19315</v>
      </c>
      <c r="B1502" s="2" t="s">
        <v>205</v>
      </c>
      <c r="C1502" s="2" t="s">
        <v>206</v>
      </c>
      <c r="D1502" s="2" t="s">
        <v>207</v>
      </c>
      <c r="E1502" s="2" t="s">
        <v>501</v>
      </c>
      <c r="F1502" s="2" t="s">
        <v>5076</v>
      </c>
      <c r="G1502" s="2" t="s">
        <v>4928</v>
      </c>
      <c r="H1502" s="2" t="s">
        <v>5082</v>
      </c>
      <c r="I1502" s="20">
        <v>50370</v>
      </c>
      <c r="J1502" s="2" t="s">
        <v>5083</v>
      </c>
    </row>
    <row r="1503" spans="1:10" ht="15.35" x14ac:dyDescent="0.55000000000000004">
      <c r="A1503" s="20">
        <v>15642</v>
      </c>
      <c r="B1503" s="2" t="s">
        <v>205</v>
      </c>
      <c r="C1503" s="2" t="s">
        <v>206</v>
      </c>
      <c r="D1503" s="2" t="s">
        <v>207</v>
      </c>
      <c r="E1503" s="2" t="s">
        <v>506</v>
      </c>
      <c r="F1503" s="2" t="s">
        <v>4979</v>
      </c>
      <c r="G1503" s="2" t="s">
        <v>4928</v>
      </c>
      <c r="H1503" s="2" t="s">
        <v>5079</v>
      </c>
      <c r="I1503" s="20">
        <v>371.6</v>
      </c>
      <c r="J1503" s="2" t="s">
        <v>5080</v>
      </c>
    </row>
    <row r="1504" spans="1:10" ht="15.35" x14ac:dyDescent="0.55000000000000004">
      <c r="A1504" s="20">
        <v>15729</v>
      </c>
      <c r="B1504" s="2" t="s">
        <v>205</v>
      </c>
      <c r="C1504" s="2" t="s">
        <v>206</v>
      </c>
      <c r="D1504" s="2" t="s">
        <v>207</v>
      </c>
      <c r="E1504" s="2" t="s">
        <v>506</v>
      </c>
      <c r="F1504" s="2" t="s">
        <v>4979</v>
      </c>
      <c r="G1504" s="2" t="s">
        <v>4928</v>
      </c>
      <c r="H1504" s="2" t="s">
        <v>5081</v>
      </c>
      <c r="I1504" s="20">
        <v>64.08</v>
      </c>
      <c r="J1504" s="2" t="s">
        <v>4933</v>
      </c>
    </row>
    <row r="1505" spans="1:10" ht="15.35" x14ac:dyDescent="0.55000000000000004">
      <c r="A1505" s="20">
        <v>15789</v>
      </c>
      <c r="B1505" s="2" t="s">
        <v>205</v>
      </c>
      <c r="C1505" s="2" t="s">
        <v>206</v>
      </c>
      <c r="D1505" s="2" t="s">
        <v>207</v>
      </c>
      <c r="E1505" s="2" t="s">
        <v>506</v>
      </c>
      <c r="F1505" s="2" t="s">
        <v>4979</v>
      </c>
      <c r="G1505" s="2" t="s">
        <v>4928</v>
      </c>
      <c r="H1505" s="2" t="s">
        <v>5082</v>
      </c>
      <c r="I1505" s="20">
        <v>55631</v>
      </c>
      <c r="J1505" s="2" t="s">
        <v>5083</v>
      </c>
    </row>
    <row r="1506" spans="1:10" ht="15.35" x14ac:dyDescent="0.55000000000000004">
      <c r="A1506" s="20">
        <v>15666</v>
      </c>
      <c r="B1506" s="2" t="s">
        <v>205</v>
      </c>
      <c r="C1506" s="2" t="s">
        <v>206</v>
      </c>
      <c r="D1506" s="2" t="s">
        <v>207</v>
      </c>
      <c r="E1506" s="2" t="s">
        <v>506</v>
      </c>
      <c r="F1506" s="2" t="s">
        <v>4980</v>
      </c>
      <c r="G1506" s="2" t="s">
        <v>4928</v>
      </c>
      <c r="H1506" s="2" t="s">
        <v>5079</v>
      </c>
      <c r="I1506" s="20">
        <v>388.37</v>
      </c>
      <c r="J1506" s="2" t="s">
        <v>5080</v>
      </c>
    </row>
    <row r="1507" spans="1:10" ht="15.35" x14ac:dyDescent="0.55000000000000004">
      <c r="A1507" s="20">
        <v>15842</v>
      </c>
      <c r="B1507" s="2" t="s">
        <v>205</v>
      </c>
      <c r="C1507" s="2" t="s">
        <v>206</v>
      </c>
      <c r="D1507" s="2" t="s">
        <v>207</v>
      </c>
      <c r="E1507" s="2" t="s">
        <v>506</v>
      </c>
      <c r="F1507" s="2" t="s">
        <v>4980</v>
      </c>
      <c r="G1507" s="2" t="s">
        <v>4928</v>
      </c>
      <c r="H1507" s="2" t="s">
        <v>5082</v>
      </c>
      <c r="I1507" s="20">
        <v>56474</v>
      </c>
      <c r="J1507" s="2" t="s">
        <v>5083</v>
      </c>
    </row>
    <row r="1508" spans="1:10" ht="15.35" x14ac:dyDescent="0.55000000000000004">
      <c r="A1508" s="20">
        <v>15854</v>
      </c>
      <c r="B1508" s="2" t="s">
        <v>205</v>
      </c>
      <c r="C1508" s="2" t="s">
        <v>206</v>
      </c>
      <c r="D1508" s="2" t="s">
        <v>207</v>
      </c>
      <c r="E1508" s="2" t="s">
        <v>506</v>
      </c>
      <c r="F1508" s="2" t="s">
        <v>4980</v>
      </c>
      <c r="G1508" s="2" t="s">
        <v>4928</v>
      </c>
      <c r="H1508" s="2" t="s">
        <v>5081</v>
      </c>
      <c r="I1508" s="20">
        <v>83.13</v>
      </c>
      <c r="J1508" s="2" t="s">
        <v>4933</v>
      </c>
    </row>
    <row r="1509" spans="1:10" ht="15.35" x14ac:dyDescent="0.55000000000000004">
      <c r="A1509" s="20">
        <v>15672</v>
      </c>
      <c r="B1509" s="2" t="s">
        <v>205</v>
      </c>
      <c r="C1509" s="2" t="s">
        <v>206</v>
      </c>
      <c r="D1509" s="2" t="s">
        <v>207</v>
      </c>
      <c r="E1509" s="2" t="s">
        <v>506</v>
      </c>
      <c r="F1509" s="2" t="s">
        <v>5016</v>
      </c>
      <c r="G1509" s="2" t="s">
        <v>4928</v>
      </c>
      <c r="H1509" s="2" t="s">
        <v>5079</v>
      </c>
      <c r="I1509" s="20">
        <v>384.31</v>
      </c>
      <c r="J1509" s="2" t="s">
        <v>5080</v>
      </c>
    </row>
    <row r="1510" spans="1:10" ht="15.35" x14ac:dyDescent="0.55000000000000004">
      <c r="A1510" s="20">
        <v>15779</v>
      </c>
      <c r="B1510" s="2" t="s">
        <v>205</v>
      </c>
      <c r="C1510" s="2" t="s">
        <v>206</v>
      </c>
      <c r="D1510" s="2" t="s">
        <v>207</v>
      </c>
      <c r="E1510" s="2" t="s">
        <v>506</v>
      </c>
      <c r="F1510" s="2" t="s">
        <v>5016</v>
      </c>
      <c r="G1510" s="2" t="s">
        <v>4928</v>
      </c>
      <c r="H1510" s="2" t="s">
        <v>5081</v>
      </c>
      <c r="I1510" s="20">
        <v>75.84</v>
      </c>
      <c r="J1510" s="2" t="s">
        <v>4933</v>
      </c>
    </row>
    <row r="1511" spans="1:10" ht="15.35" x14ac:dyDescent="0.55000000000000004">
      <c r="A1511" s="20">
        <v>15866</v>
      </c>
      <c r="B1511" s="2" t="s">
        <v>205</v>
      </c>
      <c r="C1511" s="2" t="s">
        <v>206</v>
      </c>
      <c r="D1511" s="2" t="s">
        <v>207</v>
      </c>
      <c r="E1511" s="2" t="s">
        <v>506</v>
      </c>
      <c r="F1511" s="2" t="s">
        <v>5016</v>
      </c>
      <c r="G1511" s="2" t="s">
        <v>4928</v>
      </c>
      <c r="H1511" s="2" t="s">
        <v>5082</v>
      </c>
      <c r="I1511" s="20">
        <v>51980</v>
      </c>
      <c r="J1511" s="2" t="s">
        <v>5083</v>
      </c>
    </row>
    <row r="1512" spans="1:10" ht="15.35" x14ac:dyDescent="0.55000000000000004">
      <c r="A1512" s="20">
        <v>19277</v>
      </c>
      <c r="B1512" s="2" t="s">
        <v>205</v>
      </c>
      <c r="C1512" s="2" t="s">
        <v>206</v>
      </c>
      <c r="D1512" s="2" t="s">
        <v>207</v>
      </c>
      <c r="E1512" s="2" t="s">
        <v>506</v>
      </c>
      <c r="F1512" s="2" t="s">
        <v>5076</v>
      </c>
      <c r="G1512" s="2" t="s">
        <v>4928</v>
      </c>
      <c r="H1512" s="2" t="s">
        <v>5079</v>
      </c>
      <c r="I1512" s="20">
        <v>380.13</v>
      </c>
      <c r="J1512" s="2" t="s">
        <v>5080</v>
      </c>
    </row>
    <row r="1513" spans="1:10" ht="15.35" x14ac:dyDescent="0.55000000000000004">
      <c r="A1513" s="20">
        <v>19285</v>
      </c>
      <c r="B1513" s="2" t="s">
        <v>205</v>
      </c>
      <c r="C1513" s="2" t="s">
        <v>206</v>
      </c>
      <c r="D1513" s="2" t="s">
        <v>207</v>
      </c>
      <c r="E1513" s="2" t="s">
        <v>506</v>
      </c>
      <c r="F1513" s="2" t="s">
        <v>5076</v>
      </c>
      <c r="G1513" s="2" t="s">
        <v>4928</v>
      </c>
      <c r="H1513" s="2" t="s">
        <v>5082</v>
      </c>
      <c r="I1513" s="20">
        <v>47213</v>
      </c>
      <c r="J1513" s="2" t="s">
        <v>5083</v>
      </c>
    </row>
    <row r="1514" spans="1:10" ht="15.35" x14ac:dyDescent="0.55000000000000004">
      <c r="A1514" s="20">
        <v>19303</v>
      </c>
      <c r="B1514" s="2" t="s">
        <v>205</v>
      </c>
      <c r="C1514" s="2" t="s">
        <v>206</v>
      </c>
      <c r="D1514" s="2" t="s">
        <v>207</v>
      </c>
      <c r="E1514" s="2" t="s">
        <v>506</v>
      </c>
      <c r="F1514" s="2" t="s">
        <v>5076</v>
      </c>
      <c r="G1514" s="2" t="s">
        <v>4928</v>
      </c>
      <c r="H1514" s="2" t="s">
        <v>5081</v>
      </c>
      <c r="I1514" s="20">
        <v>72.13</v>
      </c>
      <c r="J1514" s="2" t="s">
        <v>4933</v>
      </c>
    </row>
    <row r="1515" spans="1:10" ht="15.35" x14ac:dyDescent="0.55000000000000004">
      <c r="A1515" s="20">
        <v>15691</v>
      </c>
      <c r="B1515" s="2" t="s">
        <v>205</v>
      </c>
      <c r="C1515" s="2" t="s">
        <v>206</v>
      </c>
      <c r="D1515" s="2" t="s">
        <v>207</v>
      </c>
      <c r="E1515" s="2" t="s">
        <v>510</v>
      </c>
      <c r="F1515" s="2" t="s">
        <v>4979</v>
      </c>
      <c r="G1515" s="2" t="s">
        <v>4928</v>
      </c>
      <c r="H1515" s="2" t="s">
        <v>5079</v>
      </c>
      <c r="I1515" s="20">
        <v>228.56</v>
      </c>
      <c r="J1515" s="2" t="s">
        <v>5080</v>
      </c>
    </row>
    <row r="1516" spans="1:10" ht="15.35" x14ac:dyDescent="0.55000000000000004">
      <c r="A1516" s="20">
        <v>15709</v>
      </c>
      <c r="B1516" s="2" t="s">
        <v>205</v>
      </c>
      <c r="C1516" s="2" t="s">
        <v>206</v>
      </c>
      <c r="D1516" s="2" t="s">
        <v>207</v>
      </c>
      <c r="E1516" s="2" t="s">
        <v>510</v>
      </c>
      <c r="F1516" s="2" t="s">
        <v>4979</v>
      </c>
      <c r="G1516" s="2" t="s">
        <v>4928</v>
      </c>
      <c r="H1516" s="2" t="s">
        <v>5081</v>
      </c>
      <c r="I1516" s="20">
        <v>70.12</v>
      </c>
      <c r="J1516" s="2" t="s">
        <v>4933</v>
      </c>
    </row>
    <row r="1517" spans="1:10" ht="15.35" x14ac:dyDescent="0.55000000000000004">
      <c r="A1517" s="20">
        <v>15806</v>
      </c>
      <c r="B1517" s="2" t="s">
        <v>205</v>
      </c>
      <c r="C1517" s="2" t="s">
        <v>206</v>
      </c>
      <c r="D1517" s="2" t="s">
        <v>207</v>
      </c>
      <c r="E1517" s="2" t="s">
        <v>510</v>
      </c>
      <c r="F1517" s="2" t="s">
        <v>4979</v>
      </c>
      <c r="G1517" s="2" t="s">
        <v>4928</v>
      </c>
      <c r="H1517" s="2" t="s">
        <v>5082</v>
      </c>
      <c r="I1517" s="20">
        <v>53459</v>
      </c>
      <c r="J1517" s="2" t="s">
        <v>5083</v>
      </c>
    </row>
    <row r="1518" spans="1:10" ht="15.35" x14ac:dyDescent="0.55000000000000004">
      <c r="A1518" s="20">
        <v>15646</v>
      </c>
      <c r="B1518" s="2" t="s">
        <v>205</v>
      </c>
      <c r="C1518" s="2" t="s">
        <v>206</v>
      </c>
      <c r="D1518" s="2" t="s">
        <v>207</v>
      </c>
      <c r="E1518" s="2" t="s">
        <v>510</v>
      </c>
      <c r="F1518" s="2" t="s">
        <v>4980</v>
      </c>
      <c r="G1518" s="2" t="s">
        <v>4928</v>
      </c>
      <c r="H1518" s="2" t="s">
        <v>5079</v>
      </c>
      <c r="I1518" s="20">
        <v>246.76</v>
      </c>
      <c r="J1518" s="2" t="s">
        <v>5080</v>
      </c>
    </row>
    <row r="1519" spans="1:10" ht="15.35" x14ac:dyDescent="0.55000000000000004">
      <c r="A1519" s="20">
        <v>15733</v>
      </c>
      <c r="B1519" s="2" t="s">
        <v>205</v>
      </c>
      <c r="C1519" s="2" t="s">
        <v>206</v>
      </c>
      <c r="D1519" s="2" t="s">
        <v>207</v>
      </c>
      <c r="E1519" s="2" t="s">
        <v>510</v>
      </c>
      <c r="F1519" s="2" t="s">
        <v>4980</v>
      </c>
      <c r="G1519" s="2" t="s">
        <v>4928</v>
      </c>
      <c r="H1519" s="2" t="s">
        <v>5081</v>
      </c>
      <c r="I1519" s="20">
        <v>73.709999999999994</v>
      </c>
      <c r="J1519" s="2" t="s">
        <v>4933</v>
      </c>
    </row>
    <row r="1520" spans="1:10" ht="15.35" x14ac:dyDescent="0.55000000000000004">
      <c r="A1520" s="20">
        <v>15890</v>
      </c>
      <c r="B1520" s="2" t="s">
        <v>205</v>
      </c>
      <c r="C1520" s="2" t="s">
        <v>206</v>
      </c>
      <c r="D1520" s="2" t="s">
        <v>207</v>
      </c>
      <c r="E1520" s="2" t="s">
        <v>510</v>
      </c>
      <c r="F1520" s="2" t="s">
        <v>4980</v>
      </c>
      <c r="G1520" s="2" t="s">
        <v>4928</v>
      </c>
      <c r="H1520" s="2" t="s">
        <v>5082</v>
      </c>
      <c r="I1520" s="20">
        <v>54949</v>
      </c>
      <c r="J1520" s="2" t="s">
        <v>5083</v>
      </c>
    </row>
    <row r="1521" spans="1:10" ht="15.35" x14ac:dyDescent="0.55000000000000004">
      <c r="A1521" s="20">
        <v>15670</v>
      </c>
      <c r="B1521" s="2" t="s">
        <v>205</v>
      </c>
      <c r="C1521" s="2" t="s">
        <v>206</v>
      </c>
      <c r="D1521" s="2" t="s">
        <v>207</v>
      </c>
      <c r="E1521" s="2" t="s">
        <v>510</v>
      </c>
      <c r="F1521" s="2" t="s">
        <v>5016</v>
      </c>
      <c r="G1521" s="2" t="s">
        <v>4928</v>
      </c>
      <c r="H1521" s="2" t="s">
        <v>5079</v>
      </c>
      <c r="I1521" s="20">
        <v>220.47</v>
      </c>
      <c r="J1521" s="2" t="s">
        <v>5080</v>
      </c>
    </row>
    <row r="1522" spans="1:10" ht="15.35" x14ac:dyDescent="0.55000000000000004">
      <c r="A1522" s="20">
        <v>15762</v>
      </c>
      <c r="B1522" s="2" t="s">
        <v>205</v>
      </c>
      <c r="C1522" s="2" t="s">
        <v>206</v>
      </c>
      <c r="D1522" s="2" t="s">
        <v>207</v>
      </c>
      <c r="E1522" s="2" t="s">
        <v>510</v>
      </c>
      <c r="F1522" s="2" t="s">
        <v>5016</v>
      </c>
      <c r="G1522" s="2" t="s">
        <v>4928</v>
      </c>
      <c r="H1522" s="2" t="s">
        <v>5081</v>
      </c>
      <c r="I1522" s="20">
        <v>65.03</v>
      </c>
      <c r="J1522" s="2" t="s">
        <v>4933</v>
      </c>
    </row>
    <row r="1523" spans="1:10" ht="15.35" x14ac:dyDescent="0.55000000000000004">
      <c r="A1523" s="20">
        <v>15846</v>
      </c>
      <c r="B1523" s="2" t="s">
        <v>205</v>
      </c>
      <c r="C1523" s="2" t="s">
        <v>206</v>
      </c>
      <c r="D1523" s="2" t="s">
        <v>207</v>
      </c>
      <c r="E1523" s="2" t="s">
        <v>510</v>
      </c>
      <c r="F1523" s="2" t="s">
        <v>5016</v>
      </c>
      <c r="G1523" s="2" t="s">
        <v>4928</v>
      </c>
      <c r="H1523" s="2" t="s">
        <v>5082</v>
      </c>
      <c r="I1523" s="20">
        <v>57096</v>
      </c>
      <c r="J1523" s="2" t="s">
        <v>5083</v>
      </c>
    </row>
    <row r="1524" spans="1:10" ht="15.35" x14ac:dyDescent="0.55000000000000004">
      <c r="A1524" s="20">
        <v>19257</v>
      </c>
      <c r="B1524" s="2" t="s">
        <v>205</v>
      </c>
      <c r="C1524" s="2" t="s">
        <v>206</v>
      </c>
      <c r="D1524" s="2" t="s">
        <v>207</v>
      </c>
      <c r="E1524" s="2" t="s">
        <v>510</v>
      </c>
      <c r="F1524" s="2" t="s">
        <v>5076</v>
      </c>
      <c r="G1524" s="2" t="s">
        <v>4928</v>
      </c>
      <c r="H1524" s="2" t="s">
        <v>5079</v>
      </c>
      <c r="I1524" s="20">
        <v>195.07</v>
      </c>
      <c r="J1524" s="2" t="s">
        <v>5080</v>
      </c>
    </row>
    <row r="1525" spans="1:10" ht="15.35" x14ac:dyDescent="0.55000000000000004">
      <c r="A1525" s="20">
        <v>19271</v>
      </c>
      <c r="B1525" s="2" t="s">
        <v>205</v>
      </c>
      <c r="C1525" s="2" t="s">
        <v>206</v>
      </c>
      <c r="D1525" s="2" t="s">
        <v>207</v>
      </c>
      <c r="E1525" s="2" t="s">
        <v>510</v>
      </c>
      <c r="F1525" s="2" t="s">
        <v>5076</v>
      </c>
      <c r="G1525" s="2" t="s">
        <v>4928</v>
      </c>
      <c r="H1525" s="2" t="s">
        <v>5081</v>
      </c>
      <c r="I1525" s="20">
        <v>71.510000000000005</v>
      </c>
      <c r="J1525" s="2" t="s">
        <v>4933</v>
      </c>
    </row>
    <row r="1526" spans="1:10" ht="15.35" x14ac:dyDescent="0.55000000000000004">
      <c r="A1526" s="20">
        <v>19321</v>
      </c>
      <c r="B1526" s="2" t="s">
        <v>205</v>
      </c>
      <c r="C1526" s="2" t="s">
        <v>206</v>
      </c>
      <c r="D1526" s="2" t="s">
        <v>207</v>
      </c>
      <c r="E1526" s="2" t="s">
        <v>510</v>
      </c>
      <c r="F1526" s="2" t="s">
        <v>5076</v>
      </c>
      <c r="G1526" s="2" t="s">
        <v>4928</v>
      </c>
      <c r="H1526" s="2" t="s">
        <v>5082</v>
      </c>
      <c r="I1526" s="20">
        <v>56940</v>
      </c>
      <c r="J1526" s="2" t="s">
        <v>5083</v>
      </c>
    </row>
    <row r="1527" spans="1:10" ht="15.35" x14ac:dyDescent="0.55000000000000004">
      <c r="A1527" s="20">
        <v>15629</v>
      </c>
      <c r="B1527" s="2" t="s">
        <v>205</v>
      </c>
      <c r="C1527" s="2" t="s">
        <v>206</v>
      </c>
      <c r="D1527" s="2" t="s">
        <v>207</v>
      </c>
      <c r="E1527" s="2" t="s">
        <v>518</v>
      </c>
      <c r="F1527" s="2" t="s">
        <v>4979</v>
      </c>
      <c r="G1527" s="2" t="s">
        <v>4928</v>
      </c>
      <c r="H1527" s="2" t="s">
        <v>5082</v>
      </c>
      <c r="I1527" s="20">
        <v>53655</v>
      </c>
      <c r="J1527" s="2" t="s">
        <v>5083</v>
      </c>
    </row>
    <row r="1528" spans="1:10" ht="15.35" x14ac:dyDescent="0.55000000000000004">
      <c r="A1528" s="20">
        <v>15692</v>
      </c>
      <c r="B1528" s="2" t="s">
        <v>205</v>
      </c>
      <c r="C1528" s="2" t="s">
        <v>206</v>
      </c>
      <c r="D1528" s="2" t="s">
        <v>207</v>
      </c>
      <c r="E1528" s="2" t="s">
        <v>518</v>
      </c>
      <c r="F1528" s="2" t="s">
        <v>4979</v>
      </c>
      <c r="G1528" s="2" t="s">
        <v>4928</v>
      </c>
      <c r="H1528" s="2" t="s">
        <v>5079</v>
      </c>
      <c r="I1528" s="20">
        <v>222.69</v>
      </c>
      <c r="J1528" s="2" t="s">
        <v>5080</v>
      </c>
    </row>
    <row r="1529" spans="1:10" ht="15.35" x14ac:dyDescent="0.55000000000000004">
      <c r="A1529" s="20">
        <v>15711</v>
      </c>
      <c r="B1529" s="2" t="s">
        <v>205</v>
      </c>
      <c r="C1529" s="2" t="s">
        <v>206</v>
      </c>
      <c r="D1529" s="2" t="s">
        <v>207</v>
      </c>
      <c r="E1529" s="2" t="s">
        <v>518</v>
      </c>
      <c r="F1529" s="2" t="s">
        <v>4979</v>
      </c>
      <c r="G1529" s="2" t="s">
        <v>4928</v>
      </c>
      <c r="H1529" s="2" t="s">
        <v>5081</v>
      </c>
      <c r="I1529" s="20">
        <v>59.88</v>
      </c>
      <c r="J1529" s="2" t="s">
        <v>4933</v>
      </c>
    </row>
    <row r="1530" spans="1:10" ht="15.35" x14ac:dyDescent="0.55000000000000004">
      <c r="A1530" s="20">
        <v>15648</v>
      </c>
      <c r="B1530" s="2" t="s">
        <v>205</v>
      </c>
      <c r="C1530" s="2" t="s">
        <v>206</v>
      </c>
      <c r="D1530" s="2" t="s">
        <v>207</v>
      </c>
      <c r="E1530" s="2" t="s">
        <v>518</v>
      </c>
      <c r="F1530" s="2" t="s">
        <v>4980</v>
      </c>
      <c r="G1530" s="2" t="s">
        <v>4928</v>
      </c>
      <c r="H1530" s="2" t="s">
        <v>5079</v>
      </c>
      <c r="I1530" s="20">
        <v>249.46</v>
      </c>
      <c r="J1530" s="2" t="s">
        <v>5080</v>
      </c>
    </row>
    <row r="1531" spans="1:10" ht="15.35" x14ac:dyDescent="0.55000000000000004">
      <c r="A1531" s="20">
        <v>15734</v>
      </c>
      <c r="B1531" s="2" t="s">
        <v>205</v>
      </c>
      <c r="C1531" s="2" t="s">
        <v>206</v>
      </c>
      <c r="D1531" s="2" t="s">
        <v>207</v>
      </c>
      <c r="E1531" s="2" t="s">
        <v>518</v>
      </c>
      <c r="F1531" s="2" t="s">
        <v>4980</v>
      </c>
      <c r="G1531" s="2" t="s">
        <v>4928</v>
      </c>
      <c r="H1531" s="2" t="s">
        <v>5081</v>
      </c>
      <c r="I1531" s="20">
        <v>68.61</v>
      </c>
      <c r="J1531" s="2" t="s">
        <v>4933</v>
      </c>
    </row>
    <row r="1532" spans="1:10" ht="15.35" x14ac:dyDescent="0.55000000000000004">
      <c r="A1532" s="20">
        <v>15857</v>
      </c>
      <c r="B1532" s="2" t="s">
        <v>205</v>
      </c>
      <c r="C1532" s="2" t="s">
        <v>206</v>
      </c>
      <c r="D1532" s="2" t="s">
        <v>207</v>
      </c>
      <c r="E1532" s="2" t="s">
        <v>518</v>
      </c>
      <c r="F1532" s="2" t="s">
        <v>4980</v>
      </c>
      <c r="G1532" s="2" t="s">
        <v>4928</v>
      </c>
      <c r="H1532" s="2" t="s">
        <v>5082</v>
      </c>
      <c r="I1532" s="20">
        <v>46892</v>
      </c>
      <c r="J1532" s="2" t="s">
        <v>5083</v>
      </c>
    </row>
    <row r="1533" spans="1:10" ht="15.35" x14ac:dyDescent="0.55000000000000004">
      <c r="A1533" s="20">
        <v>15671</v>
      </c>
      <c r="B1533" s="2" t="s">
        <v>205</v>
      </c>
      <c r="C1533" s="2" t="s">
        <v>206</v>
      </c>
      <c r="D1533" s="2" t="s">
        <v>207</v>
      </c>
      <c r="E1533" s="2" t="s">
        <v>518</v>
      </c>
      <c r="F1533" s="2" t="s">
        <v>5016</v>
      </c>
      <c r="G1533" s="2" t="s">
        <v>4928</v>
      </c>
      <c r="H1533" s="2" t="s">
        <v>5079</v>
      </c>
      <c r="I1533" s="20">
        <v>266.27</v>
      </c>
      <c r="J1533" s="2" t="s">
        <v>5080</v>
      </c>
    </row>
    <row r="1534" spans="1:10" ht="15.35" x14ac:dyDescent="0.55000000000000004">
      <c r="A1534" s="20">
        <v>15764</v>
      </c>
      <c r="B1534" s="2" t="s">
        <v>205</v>
      </c>
      <c r="C1534" s="2" t="s">
        <v>206</v>
      </c>
      <c r="D1534" s="2" t="s">
        <v>207</v>
      </c>
      <c r="E1534" s="2" t="s">
        <v>518</v>
      </c>
      <c r="F1534" s="2" t="s">
        <v>5016</v>
      </c>
      <c r="G1534" s="2" t="s">
        <v>4928</v>
      </c>
      <c r="H1534" s="2" t="s">
        <v>5081</v>
      </c>
      <c r="I1534" s="20">
        <v>86.71</v>
      </c>
      <c r="J1534" s="2" t="s">
        <v>4933</v>
      </c>
    </row>
    <row r="1535" spans="1:10" ht="15.35" x14ac:dyDescent="0.55000000000000004">
      <c r="A1535" s="20">
        <v>15848</v>
      </c>
      <c r="B1535" s="2" t="s">
        <v>205</v>
      </c>
      <c r="C1535" s="2" t="s">
        <v>206</v>
      </c>
      <c r="D1535" s="2" t="s">
        <v>207</v>
      </c>
      <c r="E1535" s="2" t="s">
        <v>518</v>
      </c>
      <c r="F1535" s="2" t="s">
        <v>5016</v>
      </c>
      <c r="G1535" s="2" t="s">
        <v>4928</v>
      </c>
      <c r="H1535" s="2" t="s">
        <v>5082</v>
      </c>
      <c r="I1535" s="20">
        <v>53068</v>
      </c>
      <c r="J1535" s="2" t="s">
        <v>5083</v>
      </c>
    </row>
    <row r="1536" spans="1:10" ht="15.35" x14ac:dyDescent="0.55000000000000004">
      <c r="A1536" s="20">
        <v>19250</v>
      </c>
      <c r="B1536" s="2" t="s">
        <v>205</v>
      </c>
      <c r="C1536" s="2" t="s">
        <v>206</v>
      </c>
      <c r="D1536" s="2" t="s">
        <v>207</v>
      </c>
      <c r="E1536" s="2" t="s">
        <v>518</v>
      </c>
      <c r="F1536" s="2" t="s">
        <v>5076</v>
      </c>
      <c r="G1536" s="2" t="s">
        <v>4928</v>
      </c>
      <c r="H1536" s="2" t="s">
        <v>5079</v>
      </c>
      <c r="I1536" s="20">
        <v>257.27</v>
      </c>
      <c r="J1536" s="2" t="s">
        <v>5080</v>
      </c>
    </row>
    <row r="1537" spans="1:10" ht="15.35" x14ac:dyDescent="0.55000000000000004">
      <c r="A1537" s="20">
        <v>19319</v>
      </c>
      <c r="B1537" s="2" t="s">
        <v>205</v>
      </c>
      <c r="C1537" s="2" t="s">
        <v>206</v>
      </c>
      <c r="D1537" s="2" t="s">
        <v>207</v>
      </c>
      <c r="E1537" s="2" t="s">
        <v>518</v>
      </c>
      <c r="F1537" s="2" t="s">
        <v>5076</v>
      </c>
      <c r="G1537" s="2" t="s">
        <v>4928</v>
      </c>
      <c r="H1537" s="2" t="s">
        <v>5082</v>
      </c>
      <c r="I1537" s="20">
        <v>52925</v>
      </c>
      <c r="J1537" s="2" t="s">
        <v>5083</v>
      </c>
    </row>
    <row r="1538" spans="1:10" ht="15.35" x14ac:dyDescent="0.55000000000000004">
      <c r="A1538" s="20">
        <v>19323</v>
      </c>
      <c r="B1538" s="2" t="s">
        <v>205</v>
      </c>
      <c r="C1538" s="2" t="s">
        <v>206</v>
      </c>
      <c r="D1538" s="2" t="s">
        <v>207</v>
      </c>
      <c r="E1538" s="2" t="s">
        <v>518</v>
      </c>
      <c r="F1538" s="2" t="s">
        <v>5076</v>
      </c>
      <c r="G1538" s="2" t="s">
        <v>4928</v>
      </c>
      <c r="H1538" s="2" t="s">
        <v>5081</v>
      </c>
      <c r="I1538" s="20">
        <v>80.48</v>
      </c>
      <c r="J1538" s="2" t="s">
        <v>4933</v>
      </c>
    </row>
    <row r="1539" spans="1:10" ht="15.35" x14ac:dyDescent="0.55000000000000004">
      <c r="A1539" s="20">
        <v>15638</v>
      </c>
      <c r="B1539" s="2" t="s">
        <v>205</v>
      </c>
      <c r="C1539" s="2" t="s">
        <v>206</v>
      </c>
      <c r="D1539" s="2" t="s">
        <v>207</v>
      </c>
      <c r="E1539" s="2" t="s">
        <v>522</v>
      </c>
      <c r="F1539" s="2" t="s">
        <v>4979</v>
      </c>
      <c r="G1539" s="2" t="s">
        <v>4928</v>
      </c>
      <c r="H1539" s="2" t="s">
        <v>5079</v>
      </c>
      <c r="I1539" s="20">
        <v>278.22000000000003</v>
      </c>
      <c r="J1539" s="2" t="s">
        <v>5080</v>
      </c>
    </row>
    <row r="1540" spans="1:10" ht="15.35" x14ac:dyDescent="0.55000000000000004">
      <c r="A1540" s="20">
        <v>15660</v>
      </c>
      <c r="B1540" s="2" t="s">
        <v>205</v>
      </c>
      <c r="C1540" s="2" t="s">
        <v>206</v>
      </c>
      <c r="D1540" s="2" t="s">
        <v>207</v>
      </c>
      <c r="E1540" s="2" t="s">
        <v>522</v>
      </c>
      <c r="F1540" s="2" t="s">
        <v>4979</v>
      </c>
      <c r="G1540" s="2" t="s">
        <v>4928</v>
      </c>
      <c r="H1540" s="2" t="s">
        <v>5081</v>
      </c>
      <c r="I1540" s="20">
        <v>55.93</v>
      </c>
      <c r="J1540" s="2" t="s">
        <v>4933</v>
      </c>
    </row>
    <row r="1541" spans="1:10" ht="15.35" x14ac:dyDescent="0.55000000000000004">
      <c r="A1541" s="20">
        <v>15819</v>
      </c>
      <c r="B1541" s="2" t="s">
        <v>205</v>
      </c>
      <c r="C1541" s="2" t="s">
        <v>206</v>
      </c>
      <c r="D1541" s="2" t="s">
        <v>207</v>
      </c>
      <c r="E1541" s="2" t="s">
        <v>522</v>
      </c>
      <c r="F1541" s="2" t="s">
        <v>4979</v>
      </c>
      <c r="G1541" s="2" t="s">
        <v>4928</v>
      </c>
      <c r="H1541" s="2" t="s">
        <v>5082</v>
      </c>
      <c r="I1541" s="20">
        <v>56371</v>
      </c>
      <c r="J1541" s="2" t="s">
        <v>5083</v>
      </c>
    </row>
    <row r="1542" spans="1:10" ht="15.35" x14ac:dyDescent="0.55000000000000004">
      <c r="A1542" s="20">
        <v>15693</v>
      </c>
      <c r="B1542" s="2" t="s">
        <v>205</v>
      </c>
      <c r="C1542" s="2" t="s">
        <v>206</v>
      </c>
      <c r="D1542" s="2" t="s">
        <v>207</v>
      </c>
      <c r="E1542" s="2" t="s">
        <v>522</v>
      </c>
      <c r="F1542" s="2" t="s">
        <v>4980</v>
      </c>
      <c r="G1542" s="2" t="s">
        <v>4928</v>
      </c>
      <c r="H1542" s="2" t="s">
        <v>5079</v>
      </c>
      <c r="I1542" s="20">
        <v>302.87</v>
      </c>
      <c r="J1542" s="2" t="s">
        <v>5080</v>
      </c>
    </row>
    <row r="1543" spans="1:10" ht="15.35" x14ac:dyDescent="0.55000000000000004">
      <c r="A1543" s="20">
        <v>15746</v>
      </c>
      <c r="B1543" s="2" t="s">
        <v>205</v>
      </c>
      <c r="C1543" s="2" t="s">
        <v>206</v>
      </c>
      <c r="D1543" s="2" t="s">
        <v>207</v>
      </c>
      <c r="E1543" s="2" t="s">
        <v>522</v>
      </c>
      <c r="F1543" s="2" t="s">
        <v>4980</v>
      </c>
      <c r="G1543" s="2" t="s">
        <v>4928</v>
      </c>
      <c r="H1543" s="2" t="s">
        <v>5081</v>
      </c>
      <c r="I1543" s="20">
        <v>66.78</v>
      </c>
      <c r="J1543" s="2" t="s">
        <v>4933</v>
      </c>
    </row>
    <row r="1544" spans="1:10" ht="15.35" x14ac:dyDescent="0.55000000000000004">
      <c r="A1544" s="20">
        <v>15838</v>
      </c>
      <c r="B1544" s="2" t="s">
        <v>205</v>
      </c>
      <c r="C1544" s="2" t="s">
        <v>206</v>
      </c>
      <c r="D1544" s="2" t="s">
        <v>207</v>
      </c>
      <c r="E1544" s="2" t="s">
        <v>522</v>
      </c>
      <c r="F1544" s="2" t="s">
        <v>4980</v>
      </c>
      <c r="G1544" s="2" t="s">
        <v>4928</v>
      </c>
      <c r="H1544" s="2" t="s">
        <v>5082</v>
      </c>
      <c r="I1544" s="20">
        <v>46461</v>
      </c>
      <c r="J1544" s="2" t="s">
        <v>5083</v>
      </c>
    </row>
    <row r="1545" spans="1:10" ht="15.35" x14ac:dyDescent="0.55000000000000004">
      <c r="A1545" s="20">
        <v>15683</v>
      </c>
      <c r="B1545" s="2" t="s">
        <v>205</v>
      </c>
      <c r="C1545" s="2" t="s">
        <v>206</v>
      </c>
      <c r="D1545" s="2" t="s">
        <v>207</v>
      </c>
      <c r="E1545" s="2" t="s">
        <v>522</v>
      </c>
      <c r="F1545" s="2" t="s">
        <v>5016</v>
      </c>
      <c r="G1545" s="2" t="s">
        <v>4928</v>
      </c>
      <c r="H1545" s="2" t="s">
        <v>5079</v>
      </c>
      <c r="I1545" s="20">
        <v>298.95999999999998</v>
      </c>
      <c r="J1545" s="2" t="s">
        <v>5080</v>
      </c>
    </row>
    <row r="1546" spans="1:10" ht="15.35" x14ac:dyDescent="0.55000000000000004">
      <c r="A1546" s="20">
        <v>15774</v>
      </c>
      <c r="B1546" s="2" t="s">
        <v>205</v>
      </c>
      <c r="C1546" s="2" t="s">
        <v>206</v>
      </c>
      <c r="D1546" s="2" t="s">
        <v>207</v>
      </c>
      <c r="E1546" s="2" t="s">
        <v>522</v>
      </c>
      <c r="F1546" s="2" t="s">
        <v>5016</v>
      </c>
      <c r="G1546" s="2" t="s">
        <v>4928</v>
      </c>
      <c r="H1546" s="2" t="s">
        <v>5081</v>
      </c>
      <c r="I1546" s="20">
        <v>61.72</v>
      </c>
      <c r="J1546" s="2" t="s">
        <v>4933</v>
      </c>
    </row>
    <row r="1547" spans="1:10" ht="15.35" x14ac:dyDescent="0.55000000000000004">
      <c r="A1547" s="20">
        <v>15862</v>
      </c>
      <c r="B1547" s="2" t="s">
        <v>205</v>
      </c>
      <c r="C1547" s="2" t="s">
        <v>206</v>
      </c>
      <c r="D1547" s="2" t="s">
        <v>207</v>
      </c>
      <c r="E1547" s="2" t="s">
        <v>522</v>
      </c>
      <c r="F1547" s="2" t="s">
        <v>5016</v>
      </c>
      <c r="G1547" s="2" t="s">
        <v>4928</v>
      </c>
      <c r="H1547" s="2" t="s">
        <v>5082</v>
      </c>
      <c r="I1547" s="20">
        <v>7542</v>
      </c>
      <c r="J1547" s="2" t="s">
        <v>5083</v>
      </c>
    </row>
    <row r="1548" spans="1:10" ht="15.35" x14ac:dyDescent="0.55000000000000004">
      <c r="A1548" s="20">
        <v>19282</v>
      </c>
      <c r="B1548" s="2" t="s">
        <v>205</v>
      </c>
      <c r="C1548" s="2" t="s">
        <v>206</v>
      </c>
      <c r="D1548" s="2" t="s">
        <v>207</v>
      </c>
      <c r="E1548" s="2" t="s">
        <v>522</v>
      </c>
      <c r="F1548" s="2" t="s">
        <v>5076</v>
      </c>
      <c r="G1548" s="2" t="s">
        <v>4928</v>
      </c>
      <c r="H1548" s="2" t="s">
        <v>5079</v>
      </c>
      <c r="I1548" s="20">
        <v>298.99</v>
      </c>
      <c r="J1548" s="2" t="s">
        <v>5080</v>
      </c>
    </row>
    <row r="1549" spans="1:10" ht="15.35" x14ac:dyDescent="0.55000000000000004">
      <c r="A1549" s="20">
        <v>19291</v>
      </c>
      <c r="B1549" s="2" t="s">
        <v>205</v>
      </c>
      <c r="C1549" s="2" t="s">
        <v>206</v>
      </c>
      <c r="D1549" s="2" t="s">
        <v>207</v>
      </c>
      <c r="E1549" s="2" t="s">
        <v>522</v>
      </c>
      <c r="F1549" s="2" t="s">
        <v>5076</v>
      </c>
      <c r="G1549" s="2" t="s">
        <v>4928</v>
      </c>
      <c r="H1549" s="2" t="s">
        <v>5081</v>
      </c>
      <c r="I1549" s="20">
        <v>66.02</v>
      </c>
      <c r="J1549" s="2" t="s">
        <v>4933</v>
      </c>
    </row>
    <row r="1550" spans="1:10" ht="15.35" x14ac:dyDescent="0.55000000000000004">
      <c r="A1550" s="20">
        <v>19308</v>
      </c>
      <c r="B1550" s="2" t="s">
        <v>205</v>
      </c>
      <c r="C1550" s="2" t="s">
        <v>206</v>
      </c>
      <c r="D1550" s="2" t="s">
        <v>207</v>
      </c>
      <c r="E1550" s="2" t="s">
        <v>522</v>
      </c>
      <c r="F1550" s="2" t="s">
        <v>5076</v>
      </c>
      <c r="G1550" s="2" t="s">
        <v>4928</v>
      </c>
      <c r="H1550" s="2" t="s">
        <v>5082</v>
      </c>
      <c r="I1550" s="20">
        <v>56936</v>
      </c>
      <c r="J1550" s="2" t="s">
        <v>5083</v>
      </c>
    </row>
    <row r="1551" spans="1:10" ht="15.35" x14ac:dyDescent="0.55000000000000004">
      <c r="A1551" s="20">
        <v>15637</v>
      </c>
      <c r="B1551" s="2" t="s">
        <v>205</v>
      </c>
      <c r="C1551" s="2" t="s">
        <v>206</v>
      </c>
      <c r="D1551" s="2" t="s">
        <v>207</v>
      </c>
      <c r="E1551" s="2" t="s">
        <v>526</v>
      </c>
      <c r="F1551" s="2" t="s">
        <v>4979</v>
      </c>
      <c r="G1551" s="2" t="s">
        <v>4928</v>
      </c>
      <c r="H1551" s="2" t="s">
        <v>5079</v>
      </c>
      <c r="I1551" s="20">
        <v>259.88</v>
      </c>
      <c r="J1551" s="2" t="s">
        <v>5080</v>
      </c>
    </row>
    <row r="1552" spans="1:10" ht="15.35" x14ac:dyDescent="0.55000000000000004">
      <c r="A1552" s="20">
        <v>15658</v>
      </c>
      <c r="B1552" s="2" t="s">
        <v>205</v>
      </c>
      <c r="C1552" s="2" t="s">
        <v>206</v>
      </c>
      <c r="D1552" s="2" t="s">
        <v>207</v>
      </c>
      <c r="E1552" s="2" t="s">
        <v>526</v>
      </c>
      <c r="F1552" s="2" t="s">
        <v>4979</v>
      </c>
      <c r="G1552" s="2" t="s">
        <v>4928</v>
      </c>
      <c r="H1552" s="2" t="s">
        <v>5081</v>
      </c>
      <c r="I1552" s="20">
        <v>66.47</v>
      </c>
      <c r="J1552" s="2" t="s">
        <v>4933</v>
      </c>
    </row>
    <row r="1553" spans="1:10" ht="15.35" x14ac:dyDescent="0.55000000000000004">
      <c r="A1553" s="20">
        <v>15818</v>
      </c>
      <c r="B1553" s="2" t="s">
        <v>205</v>
      </c>
      <c r="C1553" s="2" t="s">
        <v>206</v>
      </c>
      <c r="D1553" s="2" t="s">
        <v>207</v>
      </c>
      <c r="E1553" s="2" t="s">
        <v>526</v>
      </c>
      <c r="F1553" s="2" t="s">
        <v>4979</v>
      </c>
      <c r="G1553" s="2" t="s">
        <v>4928</v>
      </c>
      <c r="H1553" s="2" t="s">
        <v>5082</v>
      </c>
      <c r="I1553" s="20">
        <v>58393</v>
      </c>
      <c r="J1553" s="2" t="s">
        <v>5083</v>
      </c>
    </row>
    <row r="1554" spans="1:10" ht="15.35" x14ac:dyDescent="0.55000000000000004">
      <c r="A1554" s="20">
        <v>15745</v>
      </c>
      <c r="B1554" s="2" t="s">
        <v>205</v>
      </c>
      <c r="C1554" s="2" t="s">
        <v>206</v>
      </c>
      <c r="D1554" s="2" t="s">
        <v>207</v>
      </c>
      <c r="E1554" s="2" t="s">
        <v>526</v>
      </c>
      <c r="F1554" s="2" t="s">
        <v>4980</v>
      </c>
      <c r="G1554" s="2" t="s">
        <v>4928</v>
      </c>
      <c r="H1554" s="2" t="s">
        <v>5081</v>
      </c>
      <c r="I1554" s="20">
        <v>72.89</v>
      </c>
      <c r="J1554" s="2" t="s">
        <v>4933</v>
      </c>
    </row>
    <row r="1555" spans="1:10" ht="15.35" x14ac:dyDescent="0.55000000000000004">
      <c r="A1555" s="20">
        <v>15760</v>
      </c>
      <c r="B1555" s="2" t="s">
        <v>205</v>
      </c>
      <c r="C1555" s="2" t="s">
        <v>206</v>
      </c>
      <c r="D1555" s="2" t="s">
        <v>207</v>
      </c>
      <c r="E1555" s="2" t="s">
        <v>526</v>
      </c>
      <c r="F1555" s="2" t="s">
        <v>4980</v>
      </c>
      <c r="G1555" s="2" t="s">
        <v>4928</v>
      </c>
      <c r="H1555" s="2" t="s">
        <v>5079</v>
      </c>
      <c r="I1555" s="20">
        <v>315.97000000000003</v>
      </c>
      <c r="J1555" s="2" t="s">
        <v>5080</v>
      </c>
    </row>
    <row r="1556" spans="1:10" ht="15.35" x14ac:dyDescent="0.55000000000000004">
      <c r="A1556" s="20">
        <v>15837</v>
      </c>
      <c r="B1556" s="2" t="s">
        <v>205</v>
      </c>
      <c r="C1556" s="2" t="s">
        <v>206</v>
      </c>
      <c r="D1556" s="2" t="s">
        <v>207</v>
      </c>
      <c r="E1556" s="2" t="s">
        <v>526</v>
      </c>
      <c r="F1556" s="2" t="s">
        <v>4980</v>
      </c>
      <c r="G1556" s="2" t="s">
        <v>4928</v>
      </c>
      <c r="H1556" s="2" t="s">
        <v>5082</v>
      </c>
      <c r="I1556" s="20">
        <v>51343</v>
      </c>
      <c r="J1556" s="2" t="s">
        <v>5083</v>
      </c>
    </row>
    <row r="1557" spans="1:10" ht="15.35" x14ac:dyDescent="0.55000000000000004">
      <c r="A1557" s="20">
        <v>15682</v>
      </c>
      <c r="B1557" s="2" t="s">
        <v>205</v>
      </c>
      <c r="C1557" s="2" t="s">
        <v>206</v>
      </c>
      <c r="D1557" s="2" t="s">
        <v>207</v>
      </c>
      <c r="E1557" s="2" t="s">
        <v>526</v>
      </c>
      <c r="F1557" s="2" t="s">
        <v>5016</v>
      </c>
      <c r="G1557" s="2" t="s">
        <v>4928</v>
      </c>
      <c r="H1557" s="2" t="s">
        <v>5079</v>
      </c>
      <c r="I1557" s="20">
        <v>315.12</v>
      </c>
      <c r="J1557" s="2" t="s">
        <v>5080</v>
      </c>
    </row>
    <row r="1558" spans="1:10" ht="15.35" x14ac:dyDescent="0.55000000000000004">
      <c r="A1558" s="20">
        <v>15793</v>
      </c>
      <c r="B1558" s="2" t="s">
        <v>205</v>
      </c>
      <c r="C1558" s="2" t="s">
        <v>206</v>
      </c>
      <c r="D1558" s="2" t="s">
        <v>207</v>
      </c>
      <c r="E1558" s="2" t="s">
        <v>526</v>
      </c>
      <c r="F1558" s="2" t="s">
        <v>5016</v>
      </c>
      <c r="G1558" s="2" t="s">
        <v>4928</v>
      </c>
      <c r="H1558" s="2" t="s">
        <v>5081</v>
      </c>
      <c r="I1558" s="20">
        <v>63.37</v>
      </c>
      <c r="J1558" s="2" t="s">
        <v>4933</v>
      </c>
    </row>
    <row r="1559" spans="1:10" ht="15.35" x14ac:dyDescent="0.55000000000000004">
      <c r="A1559" s="20">
        <v>15861</v>
      </c>
      <c r="B1559" s="2" t="s">
        <v>205</v>
      </c>
      <c r="C1559" s="2" t="s">
        <v>206</v>
      </c>
      <c r="D1559" s="2" t="s">
        <v>207</v>
      </c>
      <c r="E1559" s="2" t="s">
        <v>526</v>
      </c>
      <c r="F1559" s="2" t="s">
        <v>5016</v>
      </c>
      <c r="G1559" s="2" t="s">
        <v>4928</v>
      </c>
      <c r="H1559" s="2" t="s">
        <v>5082</v>
      </c>
      <c r="I1559" s="20">
        <v>58191</v>
      </c>
      <c r="J1559" s="2" t="s">
        <v>5083</v>
      </c>
    </row>
    <row r="1560" spans="1:10" ht="15.35" x14ac:dyDescent="0.55000000000000004">
      <c r="A1560" s="20">
        <v>19260</v>
      </c>
      <c r="B1560" s="2" t="s">
        <v>205</v>
      </c>
      <c r="C1560" s="2" t="s">
        <v>206</v>
      </c>
      <c r="D1560" s="2" t="s">
        <v>207</v>
      </c>
      <c r="E1560" s="2" t="s">
        <v>526</v>
      </c>
      <c r="F1560" s="2" t="s">
        <v>5076</v>
      </c>
      <c r="G1560" s="2" t="s">
        <v>4928</v>
      </c>
      <c r="H1560" s="2" t="s">
        <v>5079</v>
      </c>
      <c r="I1560" s="20">
        <v>297.27999999999997</v>
      </c>
      <c r="J1560" s="2" t="s">
        <v>5080</v>
      </c>
    </row>
    <row r="1561" spans="1:10" ht="15.35" x14ac:dyDescent="0.55000000000000004">
      <c r="A1561" s="20">
        <v>19292</v>
      </c>
      <c r="B1561" s="2" t="s">
        <v>205</v>
      </c>
      <c r="C1561" s="2" t="s">
        <v>206</v>
      </c>
      <c r="D1561" s="2" t="s">
        <v>207</v>
      </c>
      <c r="E1561" s="2" t="s">
        <v>526</v>
      </c>
      <c r="F1561" s="2" t="s">
        <v>5076</v>
      </c>
      <c r="G1561" s="2" t="s">
        <v>4928</v>
      </c>
      <c r="H1561" s="2" t="s">
        <v>5081</v>
      </c>
      <c r="I1561" s="20">
        <v>63.24</v>
      </c>
      <c r="J1561" s="2" t="s">
        <v>4933</v>
      </c>
    </row>
    <row r="1562" spans="1:10" ht="15.35" x14ac:dyDescent="0.55000000000000004">
      <c r="A1562" s="20">
        <v>19309</v>
      </c>
      <c r="B1562" s="2" t="s">
        <v>205</v>
      </c>
      <c r="C1562" s="2" t="s">
        <v>206</v>
      </c>
      <c r="D1562" s="2" t="s">
        <v>207</v>
      </c>
      <c r="E1562" s="2" t="s">
        <v>526</v>
      </c>
      <c r="F1562" s="2" t="s">
        <v>5076</v>
      </c>
      <c r="G1562" s="2" t="s">
        <v>4928</v>
      </c>
      <c r="H1562" s="2" t="s">
        <v>5082</v>
      </c>
      <c r="I1562" s="20">
        <v>49698</v>
      </c>
      <c r="J1562" s="2" t="s">
        <v>5083</v>
      </c>
    </row>
    <row r="1563" spans="1:10" ht="15.35" x14ac:dyDescent="0.55000000000000004">
      <c r="A1563" s="20">
        <v>15630</v>
      </c>
      <c r="B1563" s="2" t="s">
        <v>205</v>
      </c>
      <c r="C1563" s="2" t="s">
        <v>206</v>
      </c>
      <c r="D1563" s="2" t="s">
        <v>207</v>
      </c>
      <c r="E1563" s="2" t="s">
        <v>531</v>
      </c>
      <c r="F1563" s="2" t="s">
        <v>4979</v>
      </c>
      <c r="G1563" s="2" t="s">
        <v>4928</v>
      </c>
      <c r="H1563" s="2" t="s">
        <v>5079</v>
      </c>
      <c r="I1563" s="20">
        <v>212.5</v>
      </c>
      <c r="J1563" s="2" t="s">
        <v>5080</v>
      </c>
    </row>
    <row r="1564" spans="1:10" ht="15.35" x14ac:dyDescent="0.55000000000000004">
      <c r="A1564" s="20">
        <v>15752</v>
      </c>
      <c r="B1564" s="2" t="s">
        <v>205</v>
      </c>
      <c r="C1564" s="2" t="s">
        <v>206</v>
      </c>
      <c r="D1564" s="2" t="s">
        <v>207</v>
      </c>
      <c r="E1564" s="2" t="s">
        <v>531</v>
      </c>
      <c r="F1564" s="2" t="s">
        <v>4979</v>
      </c>
      <c r="G1564" s="2" t="s">
        <v>4928</v>
      </c>
      <c r="H1564" s="2" t="s">
        <v>5081</v>
      </c>
      <c r="I1564" s="20">
        <v>56.12</v>
      </c>
      <c r="J1564" s="2" t="s">
        <v>4933</v>
      </c>
    </row>
    <row r="1565" spans="1:10" ht="15.35" x14ac:dyDescent="0.55000000000000004">
      <c r="A1565" s="20">
        <v>15811</v>
      </c>
      <c r="B1565" s="2" t="s">
        <v>205</v>
      </c>
      <c r="C1565" s="2" t="s">
        <v>206</v>
      </c>
      <c r="D1565" s="2" t="s">
        <v>207</v>
      </c>
      <c r="E1565" s="2" t="s">
        <v>531</v>
      </c>
      <c r="F1565" s="2" t="s">
        <v>4979</v>
      </c>
      <c r="G1565" s="2" t="s">
        <v>4928</v>
      </c>
      <c r="H1565" s="2" t="s">
        <v>5082</v>
      </c>
      <c r="I1565" s="20">
        <v>55959</v>
      </c>
      <c r="J1565" s="2" t="s">
        <v>5083</v>
      </c>
    </row>
    <row r="1566" spans="1:10" ht="15.35" x14ac:dyDescent="0.55000000000000004">
      <c r="A1566" s="20">
        <v>15689</v>
      </c>
      <c r="B1566" s="2" t="s">
        <v>205</v>
      </c>
      <c r="C1566" s="2" t="s">
        <v>206</v>
      </c>
      <c r="D1566" s="2" t="s">
        <v>207</v>
      </c>
      <c r="E1566" s="2" t="s">
        <v>531</v>
      </c>
      <c r="F1566" s="2" t="s">
        <v>4980</v>
      </c>
      <c r="G1566" s="2" t="s">
        <v>4928</v>
      </c>
      <c r="H1566" s="2" t="s">
        <v>5079</v>
      </c>
      <c r="I1566" s="20">
        <v>200.18</v>
      </c>
      <c r="J1566" s="2" t="s">
        <v>5080</v>
      </c>
    </row>
    <row r="1567" spans="1:10" ht="15.35" x14ac:dyDescent="0.55000000000000004">
      <c r="A1567" s="20">
        <v>15738</v>
      </c>
      <c r="B1567" s="2" t="s">
        <v>205</v>
      </c>
      <c r="C1567" s="2" t="s">
        <v>206</v>
      </c>
      <c r="D1567" s="2" t="s">
        <v>207</v>
      </c>
      <c r="E1567" s="2" t="s">
        <v>531</v>
      </c>
      <c r="F1567" s="2" t="s">
        <v>4980</v>
      </c>
      <c r="G1567" s="2" t="s">
        <v>4928</v>
      </c>
      <c r="H1567" s="2" t="s">
        <v>5081</v>
      </c>
      <c r="I1567" s="20">
        <v>54.25</v>
      </c>
      <c r="J1567" s="2" t="s">
        <v>4933</v>
      </c>
    </row>
    <row r="1568" spans="1:10" ht="15.35" x14ac:dyDescent="0.55000000000000004">
      <c r="A1568" s="20">
        <v>15830</v>
      </c>
      <c r="B1568" s="2" t="s">
        <v>205</v>
      </c>
      <c r="C1568" s="2" t="s">
        <v>206</v>
      </c>
      <c r="D1568" s="2" t="s">
        <v>207</v>
      </c>
      <c r="E1568" s="2" t="s">
        <v>531</v>
      </c>
      <c r="F1568" s="2" t="s">
        <v>4980</v>
      </c>
      <c r="G1568" s="2" t="s">
        <v>4928</v>
      </c>
      <c r="H1568" s="2" t="s">
        <v>5082</v>
      </c>
      <c r="I1568" s="20">
        <v>8765</v>
      </c>
      <c r="J1568" s="2" t="s">
        <v>5083</v>
      </c>
    </row>
    <row r="1569" spans="1:10" ht="15.35" x14ac:dyDescent="0.55000000000000004">
      <c r="A1569" s="20">
        <v>15675</v>
      </c>
      <c r="B1569" s="2" t="s">
        <v>205</v>
      </c>
      <c r="C1569" s="2" t="s">
        <v>206</v>
      </c>
      <c r="D1569" s="2" t="s">
        <v>207</v>
      </c>
      <c r="E1569" s="2" t="s">
        <v>531</v>
      </c>
      <c r="F1569" s="2" t="s">
        <v>5016</v>
      </c>
      <c r="G1569" s="2" t="s">
        <v>4928</v>
      </c>
      <c r="H1569" s="2" t="s">
        <v>5079</v>
      </c>
      <c r="I1569" s="20">
        <v>175.43</v>
      </c>
      <c r="J1569" s="2" t="s">
        <v>5080</v>
      </c>
    </row>
    <row r="1570" spans="1:10" ht="15.35" x14ac:dyDescent="0.55000000000000004">
      <c r="A1570" s="20">
        <v>15767</v>
      </c>
      <c r="B1570" s="2" t="s">
        <v>205</v>
      </c>
      <c r="C1570" s="2" t="s">
        <v>206</v>
      </c>
      <c r="D1570" s="2" t="s">
        <v>207</v>
      </c>
      <c r="E1570" s="2" t="s">
        <v>531</v>
      </c>
      <c r="F1570" s="2" t="s">
        <v>5016</v>
      </c>
      <c r="G1570" s="2" t="s">
        <v>4928</v>
      </c>
      <c r="H1570" s="2" t="s">
        <v>5081</v>
      </c>
      <c r="I1570" s="20">
        <v>53.32</v>
      </c>
      <c r="J1570" s="2" t="s">
        <v>4933</v>
      </c>
    </row>
    <row r="1571" spans="1:10" ht="15.35" x14ac:dyDescent="0.55000000000000004">
      <c r="A1571" s="20">
        <v>15851</v>
      </c>
      <c r="B1571" s="2" t="s">
        <v>205</v>
      </c>
      <c r="C1571" s="2" t="s">
        <v>206</v>
      </c>
      <c r="D1571" s="2" t="s">
        <v>207</v>
      </c>
      <c r="E1571" s="2" t="s">
        <v>531</v>
      </c>
      <c r="F1571" s="2" t="s">
        <v>5016</v>
      </c>
      <c r="G1571" s="2" t="s">
        <v>4928</v>
      </c>
      <c r="H1571" s="2" t="s">
        <v>5082</v>
      </c>
      <c r="I1571" s="20">
        <v>8926</v>
      </c>
      <c r="J1571" s="2" t="s">
        <v>5083</v>
      </c>
    </row>
    <row r="1572" spans="1:10" ht="15.35" x14ac:dyDescent="0.55000000000000004">
      <c r="A1572" s="20">
        <v>19253</v>
      </c>
      <c r="B1572" s="2" t="s">
        <v>205</v>
      </c>
      <c r="C1572" s="2" t="s">
        <v>206</v>
      </c>
      <c r="D1572" s="2" t="s">
        <v>207</v>
      </c>
      <c r="E1572" s="2" t="s">
        <v>531</v>
      </c>
      <c r="F1572" s="2" t="s">
        <v>5076</v>
      </c>
      <c r="G1572" s="2" t="s">
        <v>4928</v>
      </c>
      <c r="H1572" s="2" t="s">
        <v>5079</v>
      </c>
      <c r="I1572" s="20">
        <v>154.08000000000001</v>
      </c>
      <c r="J1572" s="2" t="s">
        <v>5080</v>
      </c>
    </row>
    <row r="1573" spans="1:10" ht="15.35" x14ac:dyDescent="0.55000000000000004">
      <c r="A1573" s="20">
        <v>19274</v>
      </c>
      <c r="B1573" s="2" t="s">
        <v>205</v>
      </c>
      <c r="C1573" s="2" t="s">
        <v>206</v>
      </c>
      <c r="D1573" s="2" t="s">
        <v>207</v>
      </c>
      <c r="E1573" s="2" t="s">
        <v>531</v>
      </c>
      <c r="F1573" s="2" t="s">
        <v>5076</v>
      </c>
      <c r="G1573" s="2" t="s">
        <v>4928</v>
      </c>
      <c r="H1573" s="2" t="s">
        <v>5081</v>
      </c>
      <c r="I1573" s="20">
        <v>48.84</v>
      </c>
      <c r="J1573" s="2" t="s">
        <v>4933</v>
      </c>
    </row>
    <row r="1574" spans="1:10" ht="15.35" x14ac:dyDescent="0.55000000000000004">
      <c r="A1574" s="20">
        <v>19317</v>
      </c>
      <c r="B1574" s="2" t="s">
        <v>205</v>
      </c>
      <c r="C1574" s="2" t="s">
        <v>206</v>
      </c>
      <c r="D1574" s="2" t="s">
        <v>207</v>
      </c>
      <c r="E1574" s="2" t="s">
        <v>531</v>
      </c>
      <c r="F1574" s="2" t="s">
        <v>5076</v>
      </c>
      <c r="G1574" s="2" t="s">
        <v>4928</v>
      </c>
      <c r="H1574" s="2" t="s">
        <v>5082</v>
      </c>
      <c r="I1574" s="20">
        <v>58109</v>
      </c>
      <c r="J1574" s="2" t="s">
        <v>5083</v>
      </c>
    </row>
    <row r="1575" spans="1:10" ht="15.35" x14ac:dyDescent="0.55000000000000004">
      <c r="A1575" s="20">
        <v>15635</v>
      </c>
      <c r="B1575" s="2" t="s">
        <v>205</v>
      </c>
      <c r="C1575" s="2" t="s">
        <v>206</v>
      </c>
      <c r="D1575" s="2" t="s">
        <v>207</v>
      </c>
      <c r="E1575" s="2" t="s">
        <v>535</v>
      </c>
      <c r="F1575" s="2" t="s">
        <v>4979</v>
      </c>
      <c r="G1575" s="2" t="s">
        <v>4928</v>
      </c>
      <c r="H1575" s="2" t="s">
        <v>5079</v>
      </c>
      <c r="I1575" s="20">
        <v>234.61</v>
      </c>
      <c r="J1575" s="2" t="s">
        <v>5080</v>
      </c>
    </row>
    <row r="1576" spans="1:10" ht="15.35" x14ac:dyDescent="0.55000000000000004">
      <c r="A1576" s="20">
        <v>15656</v>
      </c>
      <c r="B1576" s="2" t="s">
        <v>205</v>
      </c>
      <c r="C1576" s="2" t="s">
        <v>206</v>
      </c>
      <c r="D1576" s="2" t="s">
        <v>207</v>
      </c>
      <c r="E1576" s="2" t="s">
        <v>535</v>
      </c>
      <c r="F1576" s="2" t="s">
        <v>4979</v>
      </c>
      <c r="G1576" s="2" t="s">
        <v>4928</v>
      </c>
      <c r="H1576" s="2" t="s">
        <v>5081</v>
      </c>
      <c r="I1576" s="20">
        <v>69.13</v>
      </c>
      <c r="J1576" s="2" t="s">
        <v>4933</v>
      </c>
    </row>
    <row r="1577" spans="1:10" ht="15.35" x14ac:dyDescent="0.55000000000000004">
      <c r="A1577" s="20">
        <v>15816</v>
      </c>
      <c r="B1577" s="2" t="s">
        <v>205</v>
      </c>
      <c r="C1577" s="2" t="s">
        <v>206</v>
      </c>
      <c r="D1577" s="2" t="s">
        <v>207</v>
      </c>
      <c r="E1577" s="2" t="s">
        <v>535</v>
      </c>
      <c r="F1577" s="2" t="s">
        <v>4979</v>
      </c>
      <c r="G1577" s="2" t="s">
        <v>4928</v>
      </c>
      <c r="H1577" s="2" t="s">
        <v>5082</v>
      </c>
      <c r="I1577" s="20">
        <v>51027</v>
      </c>
      <c r="J1577" s="2" t="s">
        <v>5083</v>
      </c>
    </row>
    <row r="1578" spans="1:10" ht="15.35" x14ac:dyDescent="0.55000000000000004">
      <c r="A1578" s="20">
        <v>15743</v>
      </c>
      <c r="B1578" s="2" t="s">
        <v>205</v>
      </c>
      <c r="C1578" s="2" t="s">
        <v>206</v>
      </c>
      <c r="D1578" s="2" t="s">
        <v>207</v>
      </c>
      <c r="E1578" s="2" t="s">
        <v>535</v>
      </c>
      <c r="F1578" s="2" t="s">
        <v>4980</v>
      </c>
      <c r="G1578" s="2" t="s">
        <v>4928</v>
      </c>
      <c r="H1578" s="2" t="s">
        <v>5081</v>
      </c>
      <c r="I1578" s="20">
        <v>79.11</v>
      </c>
      <c r="J1578" s="2" t="s">
        <v>4933</v>
      </c>
    </row>
    <row r="1579" spans="1:10" ht="15.35" x14ac:dyDescent="0.55000000000000004">
      <c r="A1579" s="20">
        <v>15761</v>
      </c>
      <c r="B1579" s="2" t="s">
        <v>205</v>
      </c>
      <c r="C1579" s="2" t="s">
        <v>206</v>
      </c>
      <c r="D1579" s="2" t="s">
        <v>207</v>
      </c>
      <c r="E1579" s="2" t="s">
        <v>535</v>
      </c>
      <c r="F1579" s="2" t="s">
        <v>4980</v>
      </c>
      <c r="G1579" s="2" t="s">
        <v>4928</v>
      </c>
      <c r="H1579" s="2" t="s">
        <v>5079</v>
      </c>
      <c r="I1579" s="20">
        <v>248.28</v>
      </c>
      <c r="J1579" s="2" t="s">
        <v>5080</v>
      </c>
    </row>
    <row r="1580" spans="1:10" ht="15.35" x14ac:dyDescent="0.55000000000000004">
      <c r="A1580" s="20">
        <v>15835</v>
      </c>
      <c r="B1580" s="2" t="s">
        <v>205</v>
      </c>
      <c r="C1580" s="2" t="s">
        <v>206</v>
      </c>
      <c r="D1580" s="2" t="s">
        <v>207</v>
      </c>
      <c r="E1580" s="2" t="s">
        <v>535</v>
      </c>
      <c r="F1580" s="2" t="s">
        <v>4980</v>
      </c>
      <c r="G1580" s="2" t="s">
        <v>4928</v>
      </c>
      <c r="H1580" s="2" t="s">
        <v>5082</v>
      </c>
      <c r="I1580" s="20">
        <v>50735</v>
      </c>
      <c r="J1580" s="2" t="s">
        <v>5083</v>
      </c>
    </row>
    <row r="1581" spans="1:10" ht="15.35" x14ac:dyDescent="0.55000000000000004">
      <c r="A1581" s="20">
        <v>15680</v>
      </c>
      <c r="B1581" s="2" t="s">
        <v>205</v>
      </c>
      <c r="C1581" s="2" t="s">
        <v>206</v>
      </c>
      <c r="D1581" s="2" t="s">
        <v>207</v>
      </c>
      <c r="E1581" s="2" t="s">
        <v>535</v>
      </c>
      <c r="F1581" s="2" t="s">
        <v>5016</v>
      </c>
      <c r="G1581" s="2" t="s">
        <v>4928</v>
      </c>
      <c r="H1581" s="2" t="s">
        <v>5079</v>
      </c>
      <c r="I1581" s="20">
        <v>228.44</v>
      </c>
      <c r="J1581" s="2" t="s">
        <v>5080</v>
      </c>
    </row>
    <row r="1582" spans="1:10" ht="15.35" x14ac:dyDescent="0.55000000000000004">
      <c r="A1582" s="20">
        <v>15772</v>
      </c>
      <c r="B1582" s="2" t="s">
        <v>205</v>
      </c>
      <c r="C1582" s="2" t="s">
        <v>206</v>
      </c>
      <c r="D1582" s="2" t="s">
        <v>207</v>
      </c>
      <c r="E1582" s="2" t="s">
        <v>535</v>
      </c>
      <c r="F1582" s="2" t="s">
        <v>5016</v>
      </c>
      <c r="G1582" s="2" t="s">
        <v>4928</v>
      </c>
      <c r="H1582" s="2" t="s">
        <v>5081</v>
      </c>
      <c r="I1582" s="20">
        <v>74.430000000000007</v>
      </c>
      <c r="J1582" s="2" t="s">
        <v>4933</v>
      </c>
    </row>
    <row r="1583" spans="1:10" ht="15.35" x14ac:dyDescent="0.55000000000000004">
      <c r="A1583" s="20">
        <v>15858</v>
      </c>
      <c r="B1583" s="2" t="s">
        <v>205</v>
      </c>
      <c r="C1583" s="2" t="s">
        <v>206</v>
      </c>
      <c r="D1583" s="2" t="s">
        <v>207</v>
      </c>
      <c r="E1583" s="2" t="s">
        <v>535</v>
      </c>
      <c r="F1583" s="2" t="s">
        <v>5016</v>
      </c>
      <c r="G1583" s="2" t="s">
        <v>4928</v>
      </c>
      <c r="H1583" s="2" t="s">
        <v>5082</v>
      </c>
      <c r="I1583" s="20">
        <v>50874</v>
      </c>
      <c r="J1583" s="2" t="s">
        <v>5083</v>
      </c>
    </row>
    <row r="1584" spans="1:10" ht="15.35" x14ac:dyDescent="0.55000000000000004">
      <c r="A1584" s="20">
        <v>19263</v>
      </c>
      <c r="B1584" s="2" t="s">
        <v>205</v>
      </c>
      <c r="C1584" s="2" t="s">
        <v>206</v>
      </c>
      <c r="D1584" s="2" t="s">
        <v>207</v>
      </c>
      <c r="E1584" s="2" t="s">
        <v>535</v>
      </c>
      <c r="F1584" s="2" t="s">
        <v>5076</v>
      </c>
      <c r="G1584" s="2" t="s">
        <v>4928</v>
      </c>
      <c r="H1584" s="2" t="s">
        <v>5081</v>
      </c>
      <c r="I1584" s="20">
        <v>69.97</v>
      </c>
      <c r="J1584" s="2" t="s">
        <v>4933</v>
      </c>
    </row>
    <row r="1585" spans="1:10" ht="15.35" x14ac:dyDescent="0.55000000000000004">
      <c r="A1585" s="20">
        <v>19268</v>
      </c>
      <c r="B1585" s="2" t="s">
        <v>205</v>
      </c>
      <c r="C1585" s="2" t="s">
        <v>206</v>
      </c>
      <c r="D1585" s="2" t="s">
        <v>207</v>
      </c>
      <c r="E1585" s="2" t="s">
        <v>535</v>
      </c>
      <c r="F1585" s="2" t="s">
        <v>5076</v>
      </c>
      <c r="G1585" s="2" t="s">
        <v>4928</v>
      </c>
      <c r="H1585" s="2" t="s">
        <v>5079</v>
      </c>
      <c r="I1585" s="20">
        <v>217.64</v>
      </c>
      <c r="J1585" s="2" t="s">
        <v>5080</v>
      </c>
    </row>
    <row r="1586" spans="1:10" ht="15.35" x14ac:dyDescent="0.55000000000000004">
      <c r="A1586" s="20">
        <v>19311</v>
      </c>
      <c r="B1586" s="2" t="s">
        <v>205</v>
      </c>
      <c r="C1586" s="2" t="s">
        <v>206</v>
      </c>
      <c r="D1586" s="2" t="s">
        <v>207</v>
      </c>
      <c r="E1586" s="2" t="s">
        <v>535</v>
      </c>
      <c r="F1586" s="2" t="s">
        <v>5076</v>
      </c>
      <c r="G1586" s="2" t="s">
        <v>4928</v>
      </c>
      <c r="H1586" s="2" t="s">
        <v>5082</v>
      </c>
      <c r="I1586" s="20">
        <v>50735</v>
      </c>
      <c r="J1586" s="2" t="s">
        <v>5083</v>
      </c>
    </row>
    <row r="1587" spans="1:10" ht="15.35" x14ac:dyDescent="0.55000000000000004">
      <c r="A1587" s="20">
        <v>15662</v>
      </c>
      <c r="B1587" s="2" t="s">
        <v>205</v>
      </c>
      <c r="C1587" s="2" t="s">
        <v>206</v>
      </c>
      <c r="D1587" s="2" t="s">
        <v>207</v>
      </c>
      <c r="E1587" s="2" t="s">
        <v>542</v>
      </c>
      <c r="F1587" s="2" t="s">
        <v>4979</v>
      </c>
      <c r="G1587" s="2" t="s">
        <v>4928</v>
      </c>
      <c r="H1587" s="2" t="s">
        <v>5079</v>
      </c>
      <c r="I1587" s="20">
        <v>183.1</v>
      </c>
      <c r="J1587" s="2" t="s">
        <v>5080</v>
      </c>
    </row>
    <row r="1588" spans="1:10" ht="15.35" x14ac:dyDescent="0.55000000000000004">
      <c r="A1588" s="20">
        <v>15710</v>
      </c>
      <c r="B1588" s="2" t="s">
        <v>205</v>
      </c>
      <c r="C1588" s="2" t="s">
        <v>206</v>
      </c>
      <c r="D1588" s="2" t="s">
        <v>207</v>
      </c>
      <c r="E1588" s="2" t="s">
        <v>542</v>
      </c>
      <c r="F1588" s="2" t="s">
        <v>4979</v>
      </c>
      <c r="G1588" s="2" t="s">
        <v>4928</v>
      </c>
      <c r="H1588" s="2" t="s">
        <v>5081</v>
      </c>
      <c r="I1588" s="20">
        <v>57.25</v>
      </c>
      <c r="J1588" s="2" t="s">
        <v>4933</v>
      </c>
    </row>
    <row r="1589" spans="1:10" ht="15.35" x14ac:dyDescent="0.55000000000000004">
      <c r="A1589" s="20">
        <v>15807</v>
      </c>
      <c r="B1589" s="2" t="s">
        <v>205</v>
      </c>
      <c r="C1589" s="2" t="s">
        <v>206</v>
      </c>
      <c r="D1589" s="2" t="s">
        <v>207</v>
      </c>
      <c r="E1589" s="2" t="s">
        <v>542</v>
      </c>
      <c r="F1589" s="2" t="s">
        <v>4979</v>
      </c>
      <c r="G1589" s="2" t="s">
        <v>4928</v>
      </c>
      <c r="H1589" s="2" t="s">
        <v>5082</v>
      </c>
      <c r="I1589" s="20">
        <v>42870</v>
      </c>
      <c r="J1589" s="2" t="s">
        <v>5083</v>
      </c>
    </row>
    <row r="1590" spans="1:10" ht="15.35" x14ac:dyDescent="0.55000000000000004">
      <c r="A1590" s="20">
        <v>15647</v>
      </c>
      <c r="B1590" s="2" t="s">
        <v>205</v>
      </c>
      <c r="C1590" s="2" t="s">
        <v>206</v>
      </c>
      <c r="D1590" s="2" t="s">
        <v>207</v>
      </c>
      <c r="E1590" s="2" t="s">
        <v>542</v>
      </c>
      <c r="F1590" s="2" t="s">
        <v>4980</v>
      </c>
      <c r="G1590" s="2" t="s">
        <v>4928</v>
      </c>
      <c r="H1590" s="2" t="s">
        <v>5079</v>
      </c>
      <c r="I1590" s="20">
        <v>216.12</v>
      </c>
      <c r="J1590" s="2" t="s">
        <v>5080</v>
      </c>
    </row>
    <row r="1591" spans="1:10" ht="15.35" x14ac:dyDescent="0.55000000000000004">
      <c r="A1591" s="20">
        <v>15654</v>
      </c>
      <c r="B1591" s="2" t="s">
        <v>205</v>
      </c>
      <c r="C1591" s="2" t="s">
        <v>206</v>
      </c>
      <c r="D1591" s="2" t="s">
        <v>207</v>
      </c>
      <c r="E1591" s="2" t="s">
        <v>542</v>
      </c>
      <c r="F1591" s="2" t="s">
        <v>4980</v>
      </c>
      <c r="G1591" s="2" t="s">
        <v>4928</v>
      </c>
      <c r="H1591" s="2" t="s">
        <v>5081</v>
      </c>
      <c r="I1591" s="20">
        <v>70.22</v>
      </c>
      <c r="J1591" s="2" t="s">
        <v>4933</v>
      </c>
    </row>
    <row r="1592" spans="1:10" ht="15.35" x14ac:dyDescent="0.55000000000000004">
      <c r="A1592" s="20">
        <v>15859</v>
      </c>
      <c r="B1592" s="2" t="s">
        <v>205</v>
      </c>
      <c r="C1592" s="2" t="s">
        <v>206</v>
      </c>
      <c r="D1592" s="2" t="s">
        <v>207</v>
      </c>
      <c r="E1592" s="2" t="s">
        <v>542</v>
      </c>
      <c r="F1592" s="2" t="s">
        <v>4980</v>
      </c>
      <c r="G1592" s="2" t="s">
        <v>4928</v>
      </c>
      <c r="H1592" s="2" t="s">
        <v>5082</v>
      </c>
      <c r="I1592" s="20">
        <v>3476</v>
      </c>
      <c r="J1592" s="2" t="s">
        <v>5083</v>
      </c>
    </row>
    <row r="1593" spans="1:10" ht="15.35" x14ac:dyDescent="0.55000000000000004">
      <c r="A1593" s="20">
        <v>15763</v>
      </c>
      <c r="B1593" s="2" t="s">
        <v>205</v>
      </c>
      <c r="C1593" s="2" t="s">
        <v>206</v>
      </c>
      <c r="D1593" s="2" t="s">
        <v>207</v>
      </c>
      <c r="E1593" s="2" t="s">
        <v>542</v>
      </c>
      <c r="F1593" s="2" t="s">
        <v>5016</v>
      </c>
      <c r="G1593" s="2" t="s">
        <v>4928</v>
      </c>
      <c r="H1593" s="2" t="s">
        <v>5081</v>
      </c>
      <c r="I1593" s="20">
        <v>73.52</v>
      </c>
      <c r="J1593" s="2" t="s">
        <v>4933</v>
      </c>
    </row>
    <row r="1594" spans="1:10" ht="15.35" x14ac:dyDescent="0.55000000000000004">
      <c r="A1594" s="20">
        <v>15847</v>
      </c>
      <c r="B1594" s="2" t="s">
        <v>205</v>
      </c>
      <c r="C1594" s="2" t="s">
        <v>206</v>
      </c>
      <c r="D1594" s="2" t="s">
        <v>207</v>
      </c>
      <c r="E1594" s="2" t="s">
        <v>542</v>
      </c>
      <c r="F1594" s="2" t="s">
        <v>5016</v>
      </c>
      <c r="G1594" s="2" t="s">
        <v>4928</v>
      </c>
      <c r="H1594" s="2" t="s">
        <v>5082</v>
      </c>
      <c r="I1594" s="20">
        <v>42363</v>
      </c>
      <c r="J1594" s="2" t="s">
        <v>5083</v>
      </c>
    </row>
    <row r="1595" spans="1:10" ht="15.35" x14ac:dyDescent="0.55000000000000004">
      <c r="A1595" s="20">
        <v>15855</v>
      </c>
      <c r="B1595" s="2" t="s">
        <v>205</v>
      </c>
      <c r="C1595" s="2" t="s">
        <v>206</v>
      </c>
      <c r="D1595" s="2" t="s">
        <v>207</v>
      </c>
      <c r="E1595" s="2" t="s">
        <v>542</v>
      </c>
      <c r="F1595" s="2" t="s">
        <v>5016</v>
      </c>
      <c r="G1595" s="2" t="s">
        <v>4928</v>
      </c>
      <c r="H1595" s="2" t="s">
        <v>5079</v>
      </c>
      <c r="I1595" s="20">
        <v>208.85</v>
      </c>
      <c r="J1595" s="2" t="s">
        <v>5080</v>
      </c>
    </row>
    <row r="1596" spans="1:10" ht="15.35" x14ac:dyDescent="0.55000000000000004">
      <c r="A1596" s="20">
        <v>19255</v>
      </c>
      <c r="B1596" s="2" t="s">
        <v>205</v>
      </c>
      <c r="C1596" s="2" t="s">
        <v>206</v>
      </c>
      <c r="D1596" s="2" t="s">
        <v>207</v>
      </c>
      <c r="E1596" s="2" t="s">
        <v>542</v>
      </c>
      <c r="F1596" s="2" t="s">
        <v>5076</v>
      </c>
      <c r="G1596" s="2" t="s">
        <v>4928</v>
      </c>
      <c r="H1596" s="2" t="s">
        <v>5079</v>
      </c>
      <c r="I1596" s="20">
        <v>196.21</v>
      </c>
      <c r="J1596" s="2" t="s">
        <v>5080</v>
      </c>
    </row>
    <row r="1597" spans="1:10" ht="15.35" x14ac:dyDescent="0.55000000000000004">
      <c r="A1597" s="20">
        <v>19272</v>
      </c>
      <c r="B1597" s="2" t="s">
        <v>205</v>
      </c>
      <c r="C1597" s="2" t="s">
        <v>206</v>
      </c>
      <c r="D1597" s="2" t="s">
        <v>207</v>
      </c>
      <c r="E1597" s="2" t="s">
        <v>542</v>
      </c>
      <c r="F1597" s="2" t="s">
        <v>5076</v>
      </c>
      <c r="G1597" s="2" t="s">
        <v>4928</v>
      </c>
      <c r="H1597" s="2" t="s">
        <v>5081</v>
      </c>
      <c r="I1597" s="20">
        <v>71.84</v>
      </c>
      <c r="J1597" s="2" t="s">
        <v>4933</v>
      </c>
    </row>
    <row r="1598" spans="1:10" ht="15.35" x14ac:dyDescent="0.55000000000000004">
      <c r="A1598" s="20">
        <v>19320</v>
      </c>
      <c r="B1598" s="2" t="s">
        <v>205</v>
      </c>
      <c r="C1598" s="2" t="s">
        <v>206</v>
      </c>
      <c r="D1598" s="2" t="s">
        <v>207</v>
      </c>
      <c r="E1598" s="2" t="s">
        <v>542</v>
      </c>
      <c r="F1598" s="2" t="s">
        <v>5076</v>
      </c>
      <c r="G1598" s="2" t="s">
        <v>4928</v>
      </c>
      <c r="H1598" s="2" t="s">
        <v>5082</v>
      </c>
      <c r="I1598" s="20">
        <v>43005</v>
      </c>
      <c r="J1598" s="2" t="s">
        <v>5083</v>
      </c>
    </row>
    <row r="1599" spans="1:10" ht="15.35" x14ac:dyDescent="0.55000000000000004">
      <c r="A1599" s="20">
        <v>15634</v>
      </c>
      <c r="B1599" s="2" t="s">
        <v>205</v>
      </c>
      <c r="C1599" s="2" t="s">
        <v>206</v>
      </c>
      <c r="D1599" s="2" t="s">
        <v>207</v>
      </c>
      <c r="E1599" s="2" t="s">
        <v>547</v>
      </c>
      <c r="F1599" s="2" t="s">
        <v>4979</v>
      </c>
      <c r="G1599" s="2" t="s">
        <v>4928</v>
      </c>
      <c r="H1599" s="2" t="s">
        <v>5079</v>
      </c>
      <c r="I1599" s="20">
        <v>265.55</v>
      </c>
      <c r="J1599" s="2" t="s">
        <v>5080</v>
      </c>
    </row>
    <row r="1600" spans="1:10" ht="15.35" x14ac:dyDescent="0.55000000000000004">
      <c r="A1600" s="20">
        <v>15655</v>
      </c>
      <c r="B1600" s="2" t="s">
        <v>205</v>
      </c>
      <c r="C1600" s="2" t="s">
        <v>206</v>
      </c>
      <c r="D1600" s="2" t="s">
        <v>207</v>
      </c>
      <c r="E1600" s="2" t="s">
        <v>547</v>
      </c>
      <c r="F1600" s="2" t="s">
        <v>4979</v>
      </c>
      <c r="G1600" s="2" t="s">
        <v>4928</v>
      </c>
      <c r="H1600" s="2" t="s">
        <v>5081</v>
      </c>
      <c r="I1600" s="20">
        <v>73.52</v>
      </c>
      <c r="J1600" s="2" t="s">
        <v>4933</v>
      </c>
    </row>
    <row r="1601" spans="1:10" ht="15.35" x14ac:dyDescent="0.55000000000000004">
      <c r="A1601" s="20">
        <v>15815</v>
      </c>
      <c r="B1601" s="2" t="s">
        <v>205</v>
      </c>
      <c r="C1601" s="2" t="s">
        <v>206</v>
      </c>
      <c r="D1601" s="2" t="s">
        <v>207</v>
      </c>
      <c r="E1601" s="2" t="s">
        <v>547</v>
      </c>
      <c r="F1601" s="2" t="s">
        <v>4979</v>
      </c>
      <c r="G1601" s="2" t="s">
        <v>4928</v>
      </c>
      <c r="H1601" s="2" t="s">
        <v>5082</v>
      </c>
      <c r="I1601" s="20">
        <v>53220</v>
      </c>
      <c r="J1601" s="2" t="s">
        <v>5083</v>
      </c>
    </row>
    <row r="1602" spans="1:10" ht="15.35" x14ac:dyDescent="0.55000000000000004">
      <c r="A1602" s="20">
        <v>15742</v>
      </c>
      <c r="B1602" s="2" t="s">
        <v>205</v>
      </c>
      <c r="C1602" s="2" t="s">
        <v>206</v>
      </c>
      <c r="D1602" s="2" t="s">
        <v>207</v>
      </c>
      <c r="E1602" s="2" t="s">
        <v>547</v>
      </c>
      <c r="F1602" s="2" t="s">
        <v>4980</v>
      </c>
      <c r="G1602" s="2" t="s">
        <v>4928</v>
      </c>
      <c r="H1602" s="2" t="s">
        <v>5081</v>
      </c>
      <c r="I1602" s="20">
        <v>84.46</v>
      </c>
      <c r="J1602" s="2" t="s">
        <v>4933</v>
      </c>
    </row>
    <row r="1603" spans="1:10" ht="15.35" x14ac:dyDescent="0.55000000000000004">
      <c r="A1603" s="20">
        <v>15834</v>
      </c>
      <c r="B1603" s="2" t="s">
        <v>205</v>
      </c>
      <c r="C1603" s="2" t="s">
        <v>206</v>
      </c>
      <c r="D1603" s="2" t="s">
        <v>207</v>
      </c>
      <c r="E1603" s="2" t="s">
        <v>547</v>
      </c>
      <c r="F1603" s="2" t="s">
        <v>4980</v>
      </c>
      <c r="G1603" s="2" t="s">
        <v>4928</v>
      </c>
      <c r="H1603" s="2" t="s">
        <v>5082</v>
      </c>
      <c r="I1603" s="20">
        <v>53655</v>
      </c>
      <c r="J1603" s="2" t="s">
        <v>5083</v>
      </c>
    </row>
    <row r="1604" spans="1:10" ht="15.35" x14ac:dyDescent="0.55000000000000004">
      <c r="A1604" s="20">
        <v>15856</v>
      </c>
      <c r="B1604" s="2" t="s">
        <v>205</v>
      </c>
      <c r="C1604" s="2" t="s">
        <v>206</v>
      </c>
      <c r="D1604" s="2" t="s">
        <v>207</v>
      </c>
      <c r="E1604" s="2" t="s">
        <v>547</v>
      </c>
      <c r="F1604" s="2" t="s">
        <v>4980</v>
      </c>
      <c r="G1604" s="2" t="s">
        <v>4928</v>
      </c>
      <c r="H1604" s="2" t="s">
        <v>5079</v>
      </c>
      <c r="I1604" s="20">
        <v>295.07</v>
      </c>
      <c r="J1604" s="2" t="s">
        <v>5080</v>
      </c>
    </row>
    <row r="1605" spans="1:10" ht="15.35" x14ac:dyDescent="0.55000000000000004">
      <c r="A1605" s="20">
        <v>15679</v>
      </c>
      <c r="B1605" s="2" t="s">
        <v>205</v>
      </c>
      <c r="C1605" s="2" t="s">
        <v>206</v>
      </c>
      <c r="D1605" s="2" t="s">
        <v>207</v>
      </c>
      <c r="E1605" s="2" t="s">
        <v>547</v>
      </c>
      <c r="F1605" s="2" t="s">
        <v>5016</v>
      </c>
      <c r="G1605" s="2" t="s">
        <v>4928</v>
      </c>
      <c r="H1605" s="2" t="s">
        <v>5079</v>
      </c>
      <c r="I1605" s="20">
        <v>265.10000000000002</v>
      </c>
      <c r="J1605" s="2" t="s">
        <v>5080</v>
      </c>
    </row>
    <row r="1606" spans="1:10" ht="15.35" x14ac:dyDescent="0.55000000000000004">
      <c r="A1606" s="20">
        <v>15771</v>
      </c>
      <c r="B1606" s="2" t="s">
        <v>205</v>
      </c>
      <c r="C1606" s="2" t="s">
        <v>206</v>
      </c>
      <c r="D1606" s="2" t="s">
        <v>207</v>
      </c>
      <c r="E1606" s="2" t="s">
        <v>547</v>
      </c>
      <c r="F1606" s="2" t="s">
        <v>5016</v>
      </c>
      <c r="G1606" s="2" t="s">
        <v>4928</v>
      </c>
      <c r="H1606" s="2" t="s">
        <v>5081</v>
      </c>
      <c r="I1606" s="20">
        <v>74.36</v>
      </c>
      <c r="J1606" s="2" t="s">
        <v>4933</v>
      </c>
    </row>
    <row r="1607" spans="1:10" ht="15.35" x14ac:dyDescent="0.55000000000000004">
      <c r="A1607" s="20">
        <v>15887</v>
      </c>
      <c r="B1607" s="2" t="s">
        <v>205</v>
      </c>
      <c r="C1607" s="2" t="s">
        <v>206</v>
      </c>
      <c r="D1607" s="2" t="s">
        <v>207</v>
      </c>
      <c r="E1607" s="2" t="s">
        <v>547</v>
      </c>
      <c r="F1607" s="2" t="s">
        <v>5016</v>
      </c>
      <c r="G1607" s="2" t="s">
        <v>4928</v>
      </c>
      <c r="H1607" s="2" t="s">
        <v>5082</v>
      </c>
      <c r="I1607" s="20">
        <v>1702</v>
      </c>
      <c r="J1607" s="2" t="s">
        <v>5083</v>
      </c>
    </row>
    <row r="1608" spans="1:10" ht="15.35" x14ac:dyDescent="0.55000000000000004">
      <c r="A1608" s="20">
        <v>19284</v>
      </c>
      <c r="B1608" s="2" t="s">
        <v>205</v>
      </c>
      <c r="C1608" s="2" t="s">
        <v>206</v>
      </c>
      <c r="D1608" s="2" t="s">
        <v>207</v>
      </c>
      <c r="E1608" s="2" t="s">
        <v>547</v>
      </c>
      <c r="F1608" s="2" t="s">
        <v>5076</v>
      </c>
      <c r="G1608" s="2" t="s">
        <v>4928</v>
      </c>
      <c r="H1608" s="2" t="s">
        <v>5079</v>
      </c>
      <c r="I1608" s="20">
        <v>263.35000000000002</v>
      </c>
      <c r="J1608" s="2" t="s">
        <v>5080</v>
      </c>
    </row>
    <row r="1609" spans="1:10" ht="15.35" x14ac:dyDescent="0.55000000000000004">
      <c r="A1609" s="20">
        <v>19312</v>
      </c>
      <c r="B1609" s="2" t="s">
        <v>205</v>
      </c>
      <c r="C1609" s="2" t="s">
        <v>206</v>
      </c>
      <c r="D1609" s="2" t="s">
        <v>207</v>
      </c>
      <c r="E1609" s="2" t="s">
        <v>547</v>
      </c>
      <c r="F1609" s="2" t="s">
        <v>5076</v>
      </c>
      <c r="G1609" s="2" t="s">
        <v>4928</v>
      </c>
      <c r="H1609" s="2" t="s">
        <v>5082</v>
      </c>
      <c r="I1609" s="20">
        <v>40761</v>
      </c>
      <c r="J1609" s="2" t="s">
        <v>5083</v>
      </c>
    </row>
    <row r="1610" spans="1:10" ht="15.35" x14ac:dyDescent="0.55000000000000004">
      <c r="A1610" s="20">
        <v>19316</v>
      </c>
      <c r="B1610" s="2" t="s">
        <v>205</v>
      </c>
      <c r="C1610" s="2" t="s">
        <v>206</v>
      </c>
      <c r="D1610" s="2" t="s">
        <v>207</v>
      </c>
      <c r="E1610" s="2" t="s">
        <v>547</v>
      </c>
      <c r="F1610" s="2" t="s">
        <v>5076</v>
      </c>
      <c r="G1610" s="2" t="s">
        <v>4928</v>
      </c>
      <c r="H1610" s="2" t="s">
        <v>5081</v>
      </c>
      <c r="I1610" s="20">
        <v>84.75</v>
      </c>
      <c r="J1610" s="2" t="s">
        <v>4933</v>
      </c>
    </row>
    <row r="1611" spans="1:10" ht="15.35" x14ac:dyDescent="0.55000000000000004">
      <c r="A1611" s="20">
        <v>15633</v>
      </c>
      <c r="B1611" s="2" t="s">
        <v>205</v>
      </c>
      <c r="C1611" s="2" t="s">
        <v>206</v>
      </c>
      <c r="D1611" s="2" t="s">
        <v>207</v>
      </c>
      <c r="E1611" s="2" t="s">
        <v>553</v>
      </c>
      <c r="F1611" s="2" t="s">
        <v>4979</v>
      </c>
      <c r="G1611" s="2" t="s">
        <v>4928</v>
      </c>
      <c r="H1611" s="2" t="s">
        <v>5079</v>
      </c>
      <c r="I1611" s="20">
        <v>329.21</v>
      </c>
      <c r="J1611" s="2" t="s">
        <v>5080</v>
      </c>
    </row>
    <row r="1612" spans="1:10" ht="15.35" x14ac:dyDescent="0.55000000000000004">
      <c r="A1612" s="20">
        <v>15749</v>
      </c>
      <c r="B1612" s="2" t="s">
        <v>205</v>
      </c>
      <c r="C1612" s="2" t="s">
        <v>206</v>
      </c>
      <c r="D1612" s="2" t="s">
        <v>207</v>
      </c>
      <c r="E1612" s="2" t="s">
        <v>553</v>
      </c>
      <c r="F1612" s="2" t="s">
        <v>4979</v>
      </c>
      <c r="G1612" s="2" t="s">
        <v>4928</v>
      </c>
      <c r="H1612" s="2" t="s">
        <v>5081</v>
      </c>
      <c r="I1612" s="20">
        <v>73.23</v>
      </c>
      <c r="J1612" s="2" t="s">
        <v>4933</v>
      </c>
    </row>
    <row r="1613" spans="1:10" ht="15.35" x14ac:dyDescent="0.55000000000000004">
      <c r="A1613" s="20">
        <v>15814</v>
      </c>
      <c r="B1613" s="2" t="s">
        <v>205</v>
      </c>
      <c r="C1613" s="2" t="s">
        <v>206</v>
      </c>
      <c r="D1613" s="2" t="s">
        <v>207</v>
      </c>
      <c r="E1613" s="2" t="s">
        <v>553</v>
      </c>
      <c r="F1613" s="2" t="s">
        <v>4979</v>
      </c>
      <c r="G1613" s="2" t="s">
        <v>4928</v>
      </c>
      <c r="H1613" s="2" t="s">
        <v>5082</v>
      </c>
      <c r="I1613" s="20">
        <v>45409</v>
      </c>
      <c r="J1613" s="2" t="s">
        <v>5083</v>
      </c>
    </row>
    <row r="1614" spans="1:10" ht="15.35" x14ac:dyDescent="0.55000000000000004">
      <c r="A1614" s="20">
        <v>15686</v>
      </c>
      <c r="B1614" s="2" t="s">
        <v>205</v>
      </c>
      <c r="C1614" s="2" t="s">
        <v>206</v>
      </c>
      <c r="D1614" s="2" t="s">
        <v>207</v>
      </c>
      <c r="E1614" s="2" t="s">
        <v>553</v>
      </c>
      <c r="F1614" s="2" t="s">
        <v>4980</v>
      </c>
      <c r="G1614" s="2" t="s">
        <v>4928</v>
      </c>
      <c r="H1614" s="2" t="s">
        <v>5079</v>
      </c>
      <c r="I1614" s="20">
        <v>338.24</v>
      </c>
      <c r="J1614" s="2" t="s">
        <v>5080</v>
      </c>
    </row>
    <row r="1615" spans="1:10" ht="15.35" x14ac:dyDescent="0.55000000000000004">
      <c r="A1615" s="20">
        <v>15741</v>
      </c>
      <c r="B1615" s="2" t="s">
        <v>205</v>
      </c>
      <c r="C1615" s="2" t="s">
        <v>206</v>
      </c>
      <c r="D1615" s="2" t="s">
        <v>207</v>
      </c>
      <c r="E1615" s="2" t="s">
        <v>553</v>
      </c>
      <c r="F1615" s="2" t="s">
        <v>4980</v>
      </c>
      <c r="G1615" s="2" t="s">
        <v>4928</v>
      </c>
      <c r="H1615" s="2" t="s">
        <v>5081</v>
      </c>
      <c r="I1615" s="20">
        <v>69.010000000000005</v>
      </c>
      <c r="J1615" s="2" t="s">
        <v>4933</v>
      </c>
    </row>
    <row r="1616" spans="1:10" ht="15.35" x14ac:dyDescent="0.55000000000000004">
      <c r="A1616" s="20">
        <v>15833</v>
      </c>
      <c r="B1616" s="2" t="s">
        <v>205</v>
      </c>
      <c r="C1616" s="2" t="s">
        <v>206</v>
      </c>
      <c r="D1616" s="2" t="s">
        <v>207</v>
      </c>
      <c r="E1616" s="2" t="s">
        <v>553</v>
      </c>
      <c r="F1616" s="2" t="s">
        <v>4980</v>
      </c>
      <c r="G1616" s="2" t="s">
        <v>4928</v>
      </c>
      <c r="H1616" s="2" t="s">
        <v>5082</v>
      </c>
      <c r="I1616" s="20">
        <v>56993</v>
      </c>
      <c r="J1616" s="2" t="s">
        <v>5083</v>
      </c>
    </row>
    <row r="1617" spans="1:10" ht="15.35" x14ac:dyDescent="0.55000000000000004">
      <c r="A1617" s="20">
        <v>15678</v>
      </c>
      <c r="B1617" s="2" t="s">
        <v>205</v>
      </c>
      <c r="C1617" s="2" t="s">
        <v>206</v>
      </c>
      <c r="D1617" s="2" t="s">
        <v>207</v>
      </c>
      <c r="E1617" s="2" t="s">
        <v>553</v>
      </c>
      <c r="F1617" s="2" t="s">
        <v>5016</v>
      </c>
      <c r="G1617" s="2" t="s">
        <v>4928</v>
      </c>
      <c r="H1617" s="2" t="s">
        <v>5079</v>
      </c>
      <c r="I1617" s="20">
        <v>350.35</v>
      </c>
      <c r="J1617" s="2" t="s">
        <v>5080</v>
      </c>
    </row>
    <row r="1618" spans="1:10" ht="15.35" x14ac:dyDescent="0.55000000000000004">
      <c r="A1618" s="20">
        <v>15770</v>
      </c>
      <c r="B1618" s="2" t="s">
        <v>205</v>
      </c>
      <c r="C1618" s="2" t="s">
        <v>206</v>
      </c>
      <c r="D1618" s="2" t="s">
        <v>207</v>
      </c>
      <c r="E1618" s="2" t="s">
        <v>553</v>
      </c>
      <c r="F1618" s="2" t="s">
        <v>5016</v>
      </c>
      <c r="G1618" s="2" t="s">
        <v>4928</v>
      </c>
      <c r="H1618" s="2" t="s">
        <v>5081</v>
      </c>
      <c r="I1618" s="20">
        <v>63.45</v>
      </c>
      <c r="J1618" s="2" t="s">
        <v>4933</v>
      </c>
    </row>
    <row r="1619" spans="1:10" ht="15.35" x14ac:dyDescent="0.55000000000000004">
      <c r="A1619" s="20">
        <v>15888</v>
      </c>
      <c r="B1619" s="2" t="s">
        <v>205</v>
      </c>
      <c r="C1619" s="2" t="s">
        <v>206</v>
      </c>
      <c r="D1619" s="2" t="s">
        <v>207</v>
      </c>
      <c r="E1619" s="2" t="s">
        <v>553</v>
      </c>
      <c r="F1619" s="2" t="s">
        <v>5016</v>
      </c>
      <c r="G1619" s="2" t="s">
        <v>4928</v>
      </c>
      <c r="H1619" s="2" t="s">
        <v>5082</v>
      </c>
      <c r="I1619" s="20">
        <v>6934</v>
      </c>
      <c r="J1619" s="2" t="s">
        <v>5083</v>
      </c>
    </row>
    <row r="1620" spans="1:10" ht="15.35" x14ac:dyDescent="0.55000000000000004">
      <c r="A1620" s="20">
        <v>19262</v>
      </c>
      <c r="B1620" s="2" t="s">
        <v>205</v>
      </c>
      <c r="C1620" s="2" t="s">
        <v>206</v>
      </c>
      <c r="D1620" s="2" t="s">
        <v>207</v>
      </c>
      <c r="E1620" s="2" t="s">
        <v>553</v>
      </c>
      <c r="F1620" s="2" t="s">
        <v>5076</v>
      </c>
      <c r="G1620" s="2" t="s">
        <v>4928</v>
      </c>
      <c r="H1620" s="2" t="s">
        <v>5081</v>
      </c>
      <c r="I1620" s="20">
        <v>62.4</v>
      </c>
      <c r="J1620" s="2" t="s">
        <v>4933</v>
      </c>
    </row>
    <row r="1621" spans="1:10" ht="15.35" x14ac:dyDescent="0.55000000000000004">
      <c r="A1621" s="20">
        <v>19266</v>
      </c>
      <c r="B1621" s="2" t="s">
        <v>205</v>
      </c>
      <c r="C1621" s="2" t="s">
        <v>206</v>
      </c>
      <c r="D1621" s="2" t="s">
        <v>207</v>
      </c>
      <c r="E1621" s="2" t="s">
        <v>553</v>
      </c>
      <c r="F1621" s="2" t="s">
        <v>5076</v>
      </c>
      <c r="G1621" s="2" t="s">
        <v>4928</v>
      </c>
      <c r="H1621" s="2" t="s">
        <v>5079</v>
      </c>
      <c r="I1621" s="20">
        <v>321.58</v>
      </c>
      <c r="J1621" s="2" t="s">
        <v>5080</v>
      </c>
    </row>
    <row r="1622" spans="1:10" ht="15.35" x14ac:dyDescent="0.55000000000000004">
      <c r="A1622" s="20">
        <v>19313</v>
      </c>
      <c r="B1622" s="2" t="s">
        <v>205</v>
      </c>
      <c r="C1622" s="2" t="s">
        <v>206</v>
      </c>
      <c r="D1622" s="2" t="s">
        <v>207</v>
      </c>
      <c r="E1622" s="2" t="s">
        <v>553</v>
      </c>
      <c r="F1622" s="2" t="s">
        <v>5076</v>
      </c>
      <c r="G1622" s="2" t="s">
        <v>4928</v>
      </c>
      <c r="H1622" s="2" t="s">
        <v>5082</v>
      </c>
      <c r="I1622" s="20">
        <v>56575</v>
      </c>
      <c r="J1622" s="2" t="s">
        <v>5083</v>
      </c>
    </row>
    <row r="1623" spans="1:10" ht="15.35" x14ac:dyDescent="0.55000000000000004">
      <c r="A1623" s="20">
        <v>15632</v>
      </c>
      <c r="B1623" s="2" t="s">
        <v>205</v>
      </c>
      <c r="C1623" s="2" t="s">
        <v>206</v>
      </c>
      <c r="D1623" s="2" t="s">
        <v>207</v>
      </c>
      <c r="E1623" s="2" t="s">
        <v>556</v>
      </c>
      <c r="F1623" s="2" t="s">
        <v>4979</v>
      </c>
      <c r="G1623" s="2" t="s">
        <v>4928</v>
      </c>
      <c r="H1623" s="2" t="s">
        <v>5079</v>
      </c>
      <c r="I1623" s="20">
        <v>342.61</v>
      </c>
      <c r="J1623" s="2" t="s">
        <v>5080</v>
      </c>
    </row>
    <row r="1624" spans="1:10" ht="15.35" x14ac:dyDescent="0.55000000000000004">
      <c r="A1624" s="20">
        <v>15750</v>
      </c>
      <c r="B1624" s="2" t="s">
        <v>205</v>
      </c>
      <c r="C1624" s="2" t="s">
        <v>206</v>
      </c>
      <c r="D1624" s="2" t="s">
        <v>207</v>
      </c>
      <c r="E1624" s="2" t="s">
        <v>556</v>
      </c>
      <c r="F1624" s="2" t="s">
        <v>4979</v>
      </c>
      <c r="G1624" s="2" t="s">
        <v>4928</v>
      </c>
      <c r="H1624" s="2" t="s">
        <v>5081</v>
      </c>
      <c r="I1624" s="20">
        <v>65.39</v>
      </c>
      <c r="J1624" s="2" t="s">
        <v>4933</v>
      </c>
    </row>
    <row r="1625" spans="1:10" ht="15.35" x14ac:dyDescent="0.55000000000000004">
      <c r="A1625" s="20">
        <v>15813</v>
      </c>
      <c r="B1625" s="2" t="s">
        <v>205</v>
      </c>
      <c r="C1625" s="2" t="s">
        <v>206</v>
      </c>
      <c r="D1625" s="2" t="s">
        <v>207</v>
      </c>
      <c r="E1625" s="2" t="s">
        <v>556</v>
      </c>
      <c r="F1625" s="2" t="s">
        <v>4979</v>
      </c>
      <c r="G1625" s="2" t="s">
        <v>4928</v>
      </c>
      <c r="H1625" s="2" t="s">
        <v>5082</v>
      </c>
      <c r="I1625" s="20">
        <v>40140</v>
      </c>
      <c r="J1625" s="2" t="s">
        <v>5083</v>
      </c>
    </row>
    <row r="1626" spans="1:10" ht="15.35" x14ac:dyDescent="0.55000000000000004">
      <c r="A1626" s="20">
        <v>15687</v>
      </c>
      <c r="B1626" s="2" t="s">
        <v>205</v>
      </c>
      <c r="C1626" s="2" t="s">
        <v>206</v>
      </c>
      <c r="D1626" s="2" t="s">
        <v>207</v>
      </c>
      <c r="E1626" s="2" t="s">
        <v>556</v>
      </c>
      <c r="F1626" s="2" t="s">
        <v>4980</v>
      </c>
      <c r="G1626" s="2" t="s">
        <v>4928</v>
      </c>
      <c r="H1626" s="2" t="s">
        <v>5079</v>
      </c>
      <c r="I1626" s="20">
        <v>347.51</v>
      </c>
      <c r="J1626" s="2" t="s">
        <v>5080</v>
      </c>
    </row>
    <row r="1627" spans="1:10" ht="15.35" x14ac:dyDescent="0.55000000000000004">
      <c r="A1627" s="20">
        <v>15740</v>
      </c>
      <c r="B1627" s="2" t="s">
        <v>205</v>
      </c>
      <c r="C1627" s="2" t="s">
        <v>206</v>
      </c>
      <c r="D1627" s="2" t="s">
        <v>207</v>
      </c>
      <c r="E1627" s="2" t="s">
        <v>556</v>
      </c>
      <c r="F1627" s="2" t="s">
        <v>4980</v>
      </c>
      <c r="G1627" s="2" t="s">
        <v>4928</v>
      </c>
      <c r="H1627" s="2" t="s">
        <v>5081</v>
      </c>
      <c r="I1627" s="20">
        <v>70.680000000000007</v>
      </c>
      <c r="J1627" s="2" t="s">
        <v>4933</v>
      </c>
    </row>
    <row r="1628" spans="1:10" ht="15.35" x14ac:dyDescent="0.55000000000000004">
      <c r="A1628" s="20">
        <v>15832</v>
      </c>
      <c r="B1628" s="2" t="s">
        <v>205</v>
      </c>
      <c r="C1628" s="2" t="s">
        <v>206</v>
      </c>
      <c r="D1628" s="2" t="s">
        <v>207</v>
      </c>
      <c r="E1628" s="2" t="s">
        <v>556</v>
      </c>
      <c r="F1628" s="2" t="s">
        <v>4980</v>
      </c>
      <c r="G1628" s="2" t="s">
        <v>4928</v>
      </c>
      <c r="H1628" s="2" t="s">
        <v>5082</v>
      </c>
      <c r="I1628" s="20">
        <v>8891</v>
      </c>
      <c r="J1628" s="2" t="s">
        <v>5083</v>
      </c>
    </row>
    <row r="1629" spans="1:10" ht="15.35" x14ac:dyDescent="0.55000000000000004">
      <c r="A1629" s="20">
        <v>15677</v>
      </c>
      <c r="B1629" s="2" t="s">
        <v>205</v>
      </c>
      <c r="C1629" s="2" t="s">
        <v>206</v>
      </c>
      <c r="D1629" s="2" t="s">
        <v>207</v>
      </c>
      <c r="E1629" s="2" t="s">
        <v>556</v>
      </c>
      <c r="F1629" s="2" t="s">
        <v>5016</v>
      </c>
      <c r="G1629" s="2" t="s">
        <v>4928</v>
      </c>
      <c r="H1629" s="2" t="s">
        <v>5079</v>
      </c>
      <c r="I1629" s="20">
        <v>346.48</v>
      </c>
      <c r="J1629" s="2" t="s">
        <v>5080</v>
      </c>
    </row>
    <row r="1630" spans="1:10" ht="15.35" x14ac:dyDescent="0.55000000000000004">
      <c r="A1630" s="20">
        <v>15769</v>
      </c>
      <c r="B1630" s="2" t="s">
        <v>205</v>
      </c>
      <c r="C1630" s="2" t="s">
        <v>206</v>
      </c>
      <c r="D1630" s="2" t="s">
        <v>207</v>
      </c>
      <c r="E1630" s="2" t="s">
        <v>556</v>
      </c>
      <c r="F1630" s="2" t="s">
        <v>5016</v>
      </c>
      <c r="G1630" s="2" t="s">
        <v>4928</v>
      </c>
      <c r="H1630" s="2" t="s">
        <v>5081</v>
      </c>
      <c r="I1630" s="20">
        <v>62.71</v>
      </c>
      <c r="J1630" s="2" t="s">
        <v>4933</v>
      </c>
    </row>
    <row r="1631" spans="1:10" ht="15.35" x14ac:dyDescent="0.55000000000000004">
      <c r="A1631" s="20">
        <v>15889</v>
      </c>
      <c r="B1631" s="2" t="s">
        <v>205</v>
      </c>
      <c r="C1631" s="2" t="s">
        <v>206</v>
      </c>
      <c r="D1631" s="2" t="s">
        <v>207</v>
      </c>
      <c r="E1631" s="2" t="s">
        <v>556</v>
      </c>
      <c r="F1631" s="2" t="s">
        <v>5016</v>
      </c>
      <c r="G1631" s="2" t="s">
        <v>4928</v>
      </c>
      <c r="H1631" s="2" t="s">
        <v>5082</v>
      </c>
      <c r="I1631" s="20">
        <v>9044</v>
      </c>
      <c r="J1631" s="2" t="s">
        <v>5083</v>
      </c>
    </row>
    <row r="1632" spans="1:10" ht="15.35" x14ac:dyDescent="0.55000000000000004">
      <c r="A1632" s="20">
        <v>19265</v>
      </c>
      <c r="B1632" s="2" t="s">
        <v>205</v>
      </c>
      <c r="C1632" s="2" t="s">
        <v>206</v>
      </c>
      <c r="D1632" s="2" t="s">
        <v>207</v>
      </c>
      <c r="E1632" s="2" t="s">
        <v>556</v>
      </c>
      <c r="F1632" s="2" t="s">
        <v>5076</v>
      </c>
      <c r="G1632" s="2" t="s">
        <v>4928</v>
      </c>
      <c r="H1632" s="2" t="s">
        <v>5079</v>
      </c>
      <c r="I1632" s="20">
        <v>333.35</v>
      </c>
      <c r="J1632" s="2" t="s">
        <v>5080</v>
      </c>
    </row>
    <row r="1633" spans="1:10" ht="15.35" x14ac:dyDescent="0.55000000000000004">
      <c r="A1633" s="20">
        <v>19281</v>
      </c>
      <c r="B1633" s="2" t="s">
        <v>205</v>
      </c>
      <c r="C1633" s="2" t="s">
        <v>206</v>
      </c>
      <c r="D1633" s="2" t="s">
        <v>207</v>
      </c>
      <c r="E1633" s="2" t="s">
        <v>556</v>
      </c>
      <c r="F1633" s="2" t="s">
        <v>5076</v>
      </c>
      <c r="G1633" s="2" t="s">
        <v>4928</v>
      </c>
      <c r="H1633" s="2" t="s">
        <v>5081</v>
      </c>
      <c r="I1633" s="20">
        <v>58.15</v>
      </c>
      <c r="J1633" s="2" t="s">
        <v>4933</v>
      </c>
    </row>
    <row r="1634" spans="1:10" ht="15.35" x14ac:dyDescent="0.55000000000000004">
      <c r="A1634" s="20">
        <v>19314</v>
      </c>
      <c r="B1634" s="2" t="s">
        <v>205</v>
      </c>
      <c r="C1634" s="2" t="s">
        <v>206</v>
      </c>
      <c r="D1634" s="2" t="s">
        <v>207</v>
      </c>
      <c r="E1634" s="2" t="s">
        <v>556</v>
      </c>
      <c r="F1634" s="2" t="s">
        <v>5076</v>
      </c>
      <c r="G1634" s="2" t="s">
        <v>4928</v>
      </c>
      <c r="H1634" s="2" t="s">
        <v>5082</v>
      </c>
      <c r="I1634" s="20">
        <v>48763</v>
      </c>
      <c r="J1634" s="2" t="s">
        <v>5083</v>
      </c>
    </row>
    <row r="1635" spans="1:10" ht="15.35" x14ac:dyDescent="0.55000000000000004">
      <c r="A1635" s="20">
        <v>15661</v>
      </c>
      <c r="B1635" s="2" t="s">
        <v>205</v>
      </c>
      <c r="C1635" s="2" t="s">
        <v>206</v>
      </c>
      <c r="D1635" s="2" t="s">
        <v>207</v>
      </c>
      <c r="E1635" s="2" t="s">
        <v>560</v>
      </c>
      <c r="F1635" s="2" t="s">
        <v>4979</v>
      </c>
      <c r="G1635" s="2" t="s">
        <v>4928</v>
      </c>
      <c r="H1635" s="2" t="s">
        <v>5079</v>
      </c>
      <c r="I1635" s="20">
        <v>193.61</v>
      </c>
      <c r="J1635" s="2" t="s">
        <v>5080</v>
      </c>
    </row>
    <row r="1636" spans="1:10" ht="15.35" x14ac:dyDescent="0.55000000000000004">
      <c r="A1636" s="20">
        <v>15712</v>
      </c>
      <c r="B1636" s="2" t="s">
        <v>205</v>
      </c>
      <c r="C1636" s="2" t="s">
        <v>206</v>
      </c>
      <c r="D1636" s="2" t="s">
        <v>207</v>
      </c>
      <c r="E1636" s="2" t="s">
        <v>560</v>
      </c>
      <c r="F1636" s="2" t="s">
        <v>4979</v>
      </c>
      <c r="G1636" s="2" t="s">
        <v>4928</v>
      </c>
      <c r="H1636" s="2" t="s">
        <v>5081</v>
      </c>
      <c r="I1636" s="20">
        <v>51.37</v>
      </c>
      <c r="J1636" s="2" t="s">
        <v>4933</v>
      </c>
    </row>
    <row r="1637" spans="1:10" ht="15.35" x14ac:dyDescent="0.55000000000000004">
      <c r="A1637" s="20">
        <v>15808</v>
      </c>
      <c r="B1637" s="2" t="s">
        <v>205</v>
      </c>
      <c r="C1637" s="2" t="s">
        <v>206</v>
      </c>
      <c r="D1637" s="2" t="s">
        <v>207</v>
      </c>
      <c r="E1637" s="2" t="s">
        <v>560</v>
      </c>
      <c r="F1637" s="2" t="s">
        <v>4979</v>
      </c>
      <c r="G1637" s="2" t="s">
        <v>4928</v>
      </c>
      <c r="H1637" s="2" t="s">
        <v>5082</v>
      </c>
      <c r="I1637" s="20">
        <v>59130</v>
      </c>
      <c r="J1637" s="2" t="s">
        <v>5083</v>
      </c>
    </row>
    <row r="1638" spans="1:10" ht="15.35" x14ac:dyDescent="0.55000000000000004">
      <c r="A1638" s="20">
        <v>15649</v>
      </c>
      <c r="B1638" s="2" t="s">
        <v>205</v>
      </c>
      <c r="C1638" s="2" t="s">
        <v>206</v>
      </c>
      <c r="D1638" s="2" t="s">
        <v>207</v>
      </c>
      <c r="E1638" s="2" t="s">
        <v>560</v>
      </c>
      <c r="F1638" s="2" t="s">
        <v>4980</v>
      </c>
      <c r="G1638" s="2" t="s">
        <v>4928</v>
      </c>
      <c r="H1638" s="2" t="s">
        <v>5079</v>
      </c>
      <c r="I1638" s="20">
        <v>201.77</v>
      </c>
      <c r="J1638" s="2" t="s">
        <v>5080</v>
      </c>
    </row>
    <row r="1639" spans="1:10" ht="15.35" x14ac:dyDescent="0.55000000000000004">
      <c r="A1639" s="20">
        <v>15736</v>
      </c>
      <c r="B1639" s="2" t="s">
        <v>205</v>
      </c>
      <c r="C1639" s="2" t="s">
        <v>206</v>
      </c>
      <c r="D1639" s="2" t="s">
        <v>207</v>
      </c>
      <c r="E1639" s="2" t="s">
        <v>560</v>
      </c>
      <c r="F1639" s="2" t="s">
        <v>4980</v>
      </c>
      <c r="G1639" s="2" t="s">
        <v>4928</v>
      </c>
      <c r="H1639" s="2" t="s">
        <v>5081</v>
      </c>
      <c r="I1639" s="20">
        <v>54.56</v>
      </c>
      <c r="J1639" s="2" t="s">
        <v>4933</v>
      </c>
    </row>
    <row r="1640" spans="1:10" ht="15.35" x14ac:dyDescent="0.55000000000000004">
      <c r="A1640" s="20">
        <v>15828</v>
      </c>
      <c r="B1640" s="2" t="s">
        <v>205</v>
      </c>
      <c r="C1640" s="2" t="s">
        <v>206</v>
      </c>
      <c r="D1640" s="2" t="s">
        <v>207</v>
      </c>
      <c r="E1640" s="2" t="s">
        <v>560</v>
      </c>
      <c r="F1640" s="2" t="s">
        <v>4980</v>
      </c>
      <c r="G1640" s="2" t="s">
        <v>4928</v>
      </c>
      <c r="H1640" s="2" t="s">
        <v>5082</v>
      </c>
      <c r="I1640" s="20">
        <v>45149</v>
      </c>
      <c r="J1640" s="2" t="s">
        <v>5083</v>
      </c>
    </row>
    <row r="1641" spans="1:10" ht="15.35" x14ac:dyDescent="0.55000000000000004">
      <c r="A1641" s="20">
        <v>15673</v>
      </c>
      <c r="B1641" s="2" t="s">
        <v>205</v>
      </c>
      <c r="C1641" s="2" t="s">
        <v>206</v>
      </c>
      <c r="D1641" s="2" t="s">
        <v>207</v>
      </c>
      <c r="E1641" s="2" t="s">
        <v>560</v>
      </c>
      <c r="F1641" s="2" t="s">
        <v>5016</v>
      </c>
      <c r="G1641" s="2" t="s">
        <v>4928</v>
      </c>
      <c r="H1641" s="2" t="s">
        <v>5079</v>
      </c>
      <c r="I1641" s="20">
        <v>224.58</v>
      </c>
      <c r="J1641" s="2" t="s">
        <v>5080</v>
      </c>
    </row>
    <row r="1642" spans="1:10" ht="15.35" x14ac:dyDescent="0.55000000000000004">
      <c r="A1642" s="20">
        <v>15765</v>
      </c>
      <c r="B1642" s="2" t="s">
        <v>205</v>
      </c>
      <c r="C1642" s="2" t="s">
        <v>206</v>
      </c>
      <c r="D1642" s="2" t="s">
        <v>207</v>
      </c>
      <c r="E1642" s="2" t="s">
        <v>560</v>
      </c>
      <c r="F1642" s="2" t="s">
        <v>5016</v>
      </c>
      <c r="G1642" s="2" t="s">
        <v>4928</v>
      </c>
      <c r="H1642" s="2" t="s">
        <v>5081</v>
      </c>
      <c r="I1642" s="20">
        <v>35.479999999999997</v>
      </c>
      <c r="J1642" s="2" t="s">
        <v>4933</v>
      </c>
    </row>
    <row r="1643" spans="1:10" ht="15.35" x14ac:dyDescent="0.55000000000000004">
      <c r="A1643" s="20">
        <v>15849</v>
      </c>
      <c r="B1643" s="2" t="s">
        <v>205</v>
      </c>
      <c r="C1643" s="2" t="s">
        <v>206</v>
      </c>
      <c r="D1643" s="2" t="s">
        <v>207</v>
      </c>
      <c r="E1643" s="2" t="s">
        <v>560</v>
      </c>
      <c r="F1643" s="2" t="s">
        <v>5016</v>
      </c>
      <c r="G1643" s="2" t="s">
        <v>4928</v>
      </c>
      <c r="H1643" s="2" t="s">
        <v>5082</v>
      </c>
      <c r="I1643" s="20">
        <v>52593</v>
      </c>
      <c r="J1643" s="2" t="s">
        <v>5083</v>
      </c>
    </row>
    <row r="1644" spans="1:10" ht="15.35" x14ac:dyDescent="0.55000000000000004">
      <c r="A1644" s="20">
        <v>19251</v>
      </c>
      <c r="B1644" s="2" t="s">
        <v>205</v>
      </c>
      <c r="C1644" s="2" t="s">
        <v>206</v>
      </c>
      <c r="D1644" s="2" t="s">
        <v>207</v>
      </c>
      <c r="E1644" s="2" t="s">
        <v>560</v>
      </c>
      <c r="F1644" s="2" t="s">
        <v>5076</v>
      </c>
      <c r="G1644" s="2" t="s">
        <v>4928</v>
      </c>
      <c r="H1644" s="2" t="s">
        <v>5079</v>
      </c>
      <c r="I1644" s="20">
        <v>217.57</v>
      </c>
      <c r="J1644" s="2" t="s">
        <v>5080</v>
      </c>
    </row>
    <row r="1645" spans="1:10" ht="15.35" x14ac:dyDescent="0.55000000000000004">
      <c r="A1645" s="20">
        <v>19267</v>
      </c>
      <c r="B1645" s="2" t="s">
        <v>205</v>
      </c>
      <c r="C1645" s="2" t="s">
        <v>206</v>
      </c>
      <c r="D1645" s="2" t="s">
        <v>207</v>
      </c>
      <c r="E1645" s="2" t="s">
        <v>560</v>
      </c>
      <c r="F1645" s="2" t="s">
        <v>5076</v>
      </c>
      <c r="G1645" s="2" t="s">
        <v>4928</v>
      </c>
      <c r="H1645" s="2" t="s">
        <v>5081</v>
      </c>
      <c r="I1645" s="20">
        <v>43.93</v>
      </c>
      <c r="J1645" s="2" t="s">
        <v>4933</v>
      </c>
    </row>
    <row r="1646" spans="1:10" ht="15.35" x14ac:dyDescent="0.55000000000000004">
      <c r="A1646" s="20">
        <v>19318</v>
      </c>
      <c r="B1646" s="2" t="s">
        <v>205</v>
      </c>
      <c r="C1646" s="2" t="s">
        <v>206</v>
      </c>
      <c r="D1646" s="2" t="s">
        <v>207</v>
      </c>
      <c r="E1646" s="2" t="s">
        <v>560</v>
      </c>
      <c r="F1646" s="2" t="s">
        <v>5076</v>
      </c>
      <c r="G1646" s="2" t="s">
        <v>4928</v>
      </c>
      <c r="H1646" s="2" t="s">
        <v>5082</v>
      </c>
      <c r="I1646" s="20">
        <v>58524</v>
      </c>
      <c r="J1646" s="2" t="s">
        <v>5083</v>
      </c>
    </row>
    <row r="1647" spans="1:10" ht="15.35" x14ac:dyDescent="0.55000000000000004">
      <c r="A1647" s="20">
        <v>15690</v>
      </c>
      <c r="B1647" s="2" t="s">
        <v>205</v>
      </c>
      <c r="C1647" s="2" t="s">
        <v>206</v>
      </c>
      <c r="D1647" s="2" t="s">
        <v>207</v>
      </c>
      <c r="E1647" s="2" t="s">
        <v>565</v>
      </c>
      <c r="F1647" s="2" t="s">
        <v>4979</v>
      </c>
      <c r="G1647" s="2" t="s">
        <v>4928</v>
      </c>
      <c r="H1647" s="2" t="s">
        <v>5079</v>
      </c>
      <c r="I1647" s="20">
        <v>190.34</v>
      </c>
      <c r="J1647" s="2" t="s">
        <v>5080</v>
      </c>
    </row>
    <row r="1648" spans="1:10" ht="15.35" x14ac:dyDescent="0.55000000000000004">
      <c r="A1648" s="20">
        <v>15708</v>
      </c>
      <c r="B1648" s="2" t="s">
        <v>205</v>
      </c>
      <c r="C1648" s="2" t="s">
        <v>206</v>
      </c>
      <c r="D1648" s="2" t="s">
        <v>207</v>
      </c>
      <c r="E1648" s="2" t="s">
        <v>565</v>
      </c>
      <c r="F1648" s="2" t="s">
        <v>4979</v>
      </c>
      <c r="G1648" s="2" t="s">
        <v>4928</v>
      </c>
      <c r="H1648" s="2" t="s">
        <v>5081</v>
      </c>
      <c r="I1648" s="20">
        <v>67.959999999999994</v>
      </c>
      <c r="J1648" s="2" t="s">
        <v>4933</v>
      </c>
    </row>
    <row r="1649" spans="1:10" ht="15.35" x14ac:dyDescent="0.55000000000000004">
      <c r="A1649" s="20">
        <v>15805</v>
      </c>
      <c r="B1649" s="2" t="s">
        <v>205</v>
      </c>
      <c r="C1649" s="2" t="s">
        <v>206</v>
      </c>
      <c r="D1649" s="2" t="s">
        <v>207</v>
      </c>
      <c r="E1649" s="2" t="s">
        <v>565</v>
      </c>
      <c r="F1649" s="2" t="s">
        <v>4979</v>
      </c>
      <c r="G1649" s="2" t="s">
        <v>4928</v>
      </c>
      <c r="H1649" s="2" t="s">
        <v>5082</v>
      </c>
      <c r="I1649" s="20">
        <v>51391</v>
      </c>
      <c r="J1649" s="2" t="s">
        <v>5083</v>
      </c>
    </row>
    <row r="1650" spans="1:10" ht="15.35" x14ac:dyDescent="0.55000000000000004">
      <c r="A1650" s="20">
        <v>15645</v>
      </c>
      <c r="B1650" s="2" t="s">
        <v>205</v>
      </c>
      <c r="C1650" s="2" t="s">
        <v>206</v>
      </c>
      <c r="D1650" s="2" t="s">
        <v>207</v>
      </c>
      <c r="E1650" s="2" t="s">
        <v>565</v>
      </c>
      <c r="F1650" s="2" t="s">
        <v>4980</v>
      </c>
      <c r="G1650" s="2" t="s">
        <v>4928</v>
      </c>
      <c r="H1650" s="2" t="s">
        <v>5079</v>
      </c>
      <c r="I1650" s="20">
        <v>241.29</v>
      </c>
      <c r="J1650" s="2" t="s">
        <v>5080</v>
      </c>
    </row>
    <row r="1651" spans="1:10" ht="15.35" x14ac:dyDescent="0.55000000000000004">
      <c r="A1651" s="20">
        <v>15732</v>
      </c>
      <c r="B1651" s="2" t="s">
        <v>205</v>
      </c>
      <c r="C1651" s="2" t="s">
        <v>206</v>
      </c>
      <c r="D1651" s="2" t="s">
        <v>207</v>
      </c>
      <c r="E1651" s="2" t="s">
        <v>565</v>
      </c>
      <c r="F1651" s="2" t="s">
        <v>4980</v>
      </c>
      <c r="G1651" s="2" t="s">
        <v>4928</v>
      </c>
      <c r="H1651" s="2" t="s">
        <v>5081</v>
      </c>
      <c r="I1651" s="20">
        <v>68.459999999999994</v>
      </c>
      <c r="J1651" s="2" t="s">
        <v>4933</v>
      </c>
    </row>
    <row r="1652" spans="1:10" ht="15.35" x14ac:dyDescent="0.55000000000000004">
      <c r="A1652" s="20">
        <v>15873</v>
      </c>
      <c r="B1652" s="2" t="s">
        <v>205</v>
      </c>
      <c r="C1652" s="2" t="s">
        <v>206</v>
      </c>
      <c r="D1652" s="2" t="s">
        <v>207</v>
      </c>
      <c r="E1652" s="2" t="s">
        <v>565</v>
      </c>
      <c r="F1652" s="2" t="s">
        <v>4980</v>
      </c>
      <c r="G1652" s="2" t="s">
        <v>4928</v>
      </c>
      <c r="H1652" s="2" t="s">
        <v>5082</v>
      </c>
      <c r="I1652" s="20">
        <v>50109</v>
      </c>
      <c r="J1652" s="2" t="s">
        <v>5083</v>
      </c>
    </row>
    <row r="1653" spans="1:10" ht="15.35" x14ac:dyDescent="0.55000000000000004">
      <c r="A1653" s="20">
        <v>15669</v>
      </c>
      <c r="B1653" s="2" t="s">
        <v>205</v>
      </c>
      <c r="C1653" s="2" t="s">
        <v>206</v>
      </c>
      <c r="D1653" s="2" t="s">
        <v>207</v>
      </c>
      <c r="E1653" s="2" t="s">
        <v>565</v>
      </c>
      <c r="F1653" s="2" t="s">
        <v>5016</v>
      </c>
      <c r="G1653" s="2" t="s">
        <v>4928</v>
      </c>
      <c r="H1653" s="2" t="s">
        <v>5079</v>
      </c>
      <c r="I1653" s="20">
        <v>234.15</v>
      </c>
      <c r="J1653" s="2" t="s">
        <v>5080</v>
      </c>
    </row>
    <row r="1654" spans="1:10" ht="15.35" x14ac:dyDescent="0.55000000000000004">
      <c r="A1654" s="20">
        <v>15791</v>
      </c>
      <c r="B1654" s="2" t="s">
        <v>205</v>
      </c>
      <c r="C1654" s="2" t="s">
        <v>206</v>
      </c>
      <c r="D1654" s="2" t="s">
        <v>207</v>
      </c>
      <c r="E1654" s="2" t="s">
        <v>565</v>
      </c>
      <c r="F1654" s="2" t="s">
        <v>5016</v>
      </c>
      <c r="G1654" s="2" t="s">
        <v>4928</v>
      </c>
      <c r="H1654" s="2" t="s">
        <v>5081</v>
      </c>
      <c r="I1654" s="20">
        <v>61.57</v>
      </c>
      <c r="J1654" s="2" t="s">
        <v>4933</v>
      </c>
    </row>
    <row r="1655" spans="1:10" ht="15.35" x14ac:dyDescent="0.55000000000000004">
      <c r="A1655" s="20">
        <v>15845</v>
      </c>
      <c r="B1655" s="2" t="s">
        <v>205</v>
      </c>
      <c r="C1655" s="2" t="s">
        <v>206</v>
      </c>
      <c r="D1655" s="2" t="s">
        <v>207</v>
      </c>
      <c r="E1655" s="2" t="s">
        <v>565</v>
      </c>
      <c r="F1655" s="2" t="s">
        <v>5016</v>
      </c>
      <c r="G1655" s="2" t="s">
        <v>4928</v>
      </c>
      <c r="H1655" s="2" t="s">
        <v>5082</v>
      </c>
      <c r="I1655" s="20">
        <v>53436</v>
      </c>
      <c r="J1655" s="2" t="s">
        <v>5083</v>
      </c>
    </row>
    <row r="1656" spans="1:10" ht="15.35" x14ac:dyDescent="0.55000000000000004">
      <c r="A1656" s="20">
        <v>19258</v>
      </c>
      <c r="B1656" s="2" t="s">
        <v>205</v>
      </c>
      <c r="C1656" s="2" t="s">
        <v>206</v>
      </c>
      <c r="D1656" s="2" t="s">
        <v>207</v>
      </c>
      <c r="E1656" s="2" t="s">
        <v>565</v>
      </c>
      <c r="F1656" s="2" t="s">
        <v>5076</v>
      </c>
      <c r="G1656" s="2" t="s">
        <v>4928</v>
      </c>
      <c r="H1656" s="2" t="s">
        <v>5079</v>
      </c>
      <c r="I1656" s="20">
        <v>213.72</v>
      </c>
      <c r="J1656" s="2" t="s">
        <v>5080</v>
      </c>
    </row>
    <row r="1657" spans="1:10" ht="15.35" x14ac:dyDescent="0.55000000000000004">
      <c r="A1657" s="20">
        <v>19270</v>
      </c>
      <c r="B1657" s="2" t="s">
        <v>205</v>
      </c>
      <c r="C1657" s="2" t="s">
        <v>206</v>
      </c>
      <c r="D1657" s="2" t="s">
        <v>207</v>
      </c>
      <c r="E1657" s="2" t="s">
        <v>565</v>
      </c>
      <c r="F1657" s="2" t="s">
        <v>5076</v>
      </c>
      <c r="G1657" s="2" t="s">
        <v>4928</v>
      </c>
      <c r="H1657" s="2" t="s">
        <v>5081</v>
      </c>
      <c r="I1657" s="20">
        <v>59.62</v>
      </c>
      <c r="J1657" s="2" t="s">
        <v>4933</v>
      </c>
    </row>
    <row r="1658" spans="1:10" ht="15.35" x14ac:dyDescent="0.55000000000000004">
      <c r="A1658" s="20">
        <v>19306</v>
      </c>
      <c r="B1658" s="2" t="s">
        <v>205</v>
      </c>
      <c r="C1658" s="2" t="s">
        <v>206</v>
      </c>
      <c r="D1658" s="2" t="s">
        <v>207</v>
      </c>
      <c r="E1658" s="2" t="s">
        <v>565</v>
      </c>
      <c r="F1658" s="2" t="s">
        <v>5076</v>
      </c>
      <c r="G1658" s="2" t="s">
        <v>4928</v>
      </c>
      <c r="H1658" s="2" t="s">
        <v>5082</v>
      </c>
      <c r="I1658" s="20">
        <v>53290</v>
      </c>
      <c r="J1658" s="2" t="s">
        <v>5083</v>
      </c>
    </row>
    <row r="1659" spans="1:10" ht="15.35" x14ac:dyDescent="0.55000000000000004">
      <c r="A1659" s="20">
        <v>15641</v>
      </c>
      <c r="B1659" s="2" t="s">
        <v>205</v>
      </c>
      <c r="C1659" s="2" t="s">
        <v>206</v>
      </c>
      <c r="D1659" s="2" t="s">
        <v>207</v>
      </c>
      <c r="E1659" s="2" t="s">
        <v>570</v>
      </c>
      <c r="F1659" s="2" t="s">
        <v>4979</v>
      </c>
      <c r="G1659" s="2" t="s">
        <v>4928</v>
      </c>
      <c r="H1659" s="2" t="s">
        <v>5079</v>
      </c>
      <c r="I1659" s="20">
        <v>215.41</v>
      </c>
      <c r="J1659" s="2" t="s">
        <v>5080</v>
      </c>
    </row>
    <row r="1660" spans="1:10" ht="15.35" x14ac:dyDescent="0.55000000000000004">
      <c r="A1660" s="20">
        <v>15695</v>
      </c>
      <c r="B1660" s="2" t="s">
        <v>205</v>
      </c>
      <c r="C1660" s="2" t="s">
        <v>206</v>
      </c>
      <c r="D1660" s="2" t="s">
        <v>207</v>
      </c>
      <c r="E1660" s="2" t="s">
        <v>570</v>
      </c>
      <c r="F1660" s="2" t="s">
        <v>4979</v>
      </c>
      <c r="G1660" s="2" t="s">
        <v>4928</v>
      </c>
      <c r="H1660" s="2" t="s">
        <v>5081</v>
      </c>
      <c r="I1660" s="20">
        <v>49.13</v>
      </c>
      <c r="J1660" s="2" t="s">
        <v>4933</v>
      </c>
    </row>
    <row r="1661" spans="1:10" ht="15.35" x14ac:dyDescent="0.55000000000000004">
      <c r="A1661" s="20">
        <v>15822</v>
      </c>
      <c r="B1661" s="2" t="s">
        <v>205</v>
      </c>
      <c r="C1661" s="2" t="s">
        <v>206</v>
      </c>
      <c r="D1661" s="2" t="s">
        <v>207</v>
      </c>
      <c r="E1661" s="2" t="s">
        <v>570</v>
      </c>
      <c r="F1661" s="2" t="s">
        <v>4979</v>
      </c>
      <c r="G1661" s="2" t="s">
        <v>4928</v>
      </c>
      <c r="H1661" s="2" t="s">
        <v>5082</v>
      </c>
      <c r="I1661" s="20">
        <v>46428</v>
      </c>
      <c r="J1661" s="2" t="s">
        <v>5083</v>
      </c>
    </row>
    <row r="1662" spans="1:10" ht="15.35" x14ac:dyDescent="0.55000000000000004">
      <c r="A1662" s="20">
        <v>15653</v>
      </c>
      <c r="B1662" s="2" t="s">
        <v>205</v>
      </c>
      <c r="C1662" s="2" t="s">
        <v>206</v>
      </c>
      <c r="D1662" s="2" t="s">
        <v>207</v>
      </c>
      <c r="E1662" s="2" t="s">
        <v>570</v>
      </c>
      <c r="F1662" s="2" t="s">
        <v>4980</v>
      </c>
      <c r="G1662" s="2" t="s">
        <v>4928</v>
      </c>
      <c r="H1662" s="2" t="s">
        <v>5081</v>
      </c>
      <c r="I1662" s="20">
        <v>72.650000000000006</v>
      </c>
      <c r="J1662" s="2" t="s">
        <v>4933</v>
      </c>
    </row>
    <row r="1663" spans="1:10" ht="15.35" x14ac:dyDescent="0.55000000000000004">
      <c r="A1663" s="20">
        <v>15665</v>
      </c>
      <c r="B1663" s="2" t="s">
        <v>205</v>
      </c>
      <c r="C1663" s="2" t="s">
        <v>206</v>
      </c>
      <c r="D1663" s="2" t="s">
        <v>207</v>
      </c>
      <c r="E1663" s="2" t="s">
        <v>570</v>
      </c>
      <c r="F1663" s="2" t="s">
        <v>4980</v>
      </c>
      <c r="G1663" s="2" t="s">
        <v>4928</v>
      </c>
      <c r="H1663" s="2" t="s">
        <v>5079</v>
      </c>
      <c r="I1663" s="20">
        <v>223.76</v>
      </c>
      <c r="J1663" s="2" t="s">
        <v>5080</v>
      </c>
    </row>
    <row r="1664" spans="1:10" ht="15.35" x14ac:dyDescent="0.55000000000000004">
      <c r="A1664" s="20">
        <v>15841</v>
      </c>
      <c r="B1664" s="2" t="s">
        <v>205</v>
      </c>
      <c r="C1664" s="2" t="s">
        <v>206</v>
      </c>
      <c r="D1664" s="2" t="s">
        <v>207</v>
      </c>
      <c r="E1664" s="2" t="s">
        <v>570</v>
      </c>
      <c r="F1664" s="2" t="s">
        <v>4980</v>
      </c>
      <c r="G1664" s="2" t="s">
        <v>4928</v>
      </c>
      <c r="H1664" s="2" t="s">
        <v>5082</v>
      </c>
      <c r="I1664" s="20">
        <v>48910</v>
      </c>
      <c r="J1664" s="2" t="s">
        <v>5083</v>
      </c>
    </row>
    <row r="1665" spans="1:10" ht="15.35" x14ac:dyDescent="0.55000000000000004">
      <c r="A1665" s="20">
        <v>15651</v>
      </c>
      <c r="B1665" s="2" t="s">
        <v>205</v>
      </c>
      <c r="C1665" s="2" t="s">
        <v>206</v>
      </c>
      <c r="D1665" s="2" t="s">
        <v>207</v>
      </c>
      <c r="E1665" s="2" t="s">
        <v>570</v>
      </c>
      <c r="F1665" s="2" t="s">
        <v>5016</v>
      </c>
      <c r="G1665" s="2" t="s">
        <v>4928</v>
      </c>
      <c r="H1665" s="2" t="s">
        <v>5079</v>
      </c>
      <c r="I1665" s="20">
        <v>214.61</v>
      </c>
      <c r="J1665" s="2" t="s">
        <v>5080</v>
      </c>
    </row>
    <row r="1666" spans="1:10" ht="15.35" x14ac:dyDescent="0.55000000000000004">
      <c r="A1666" s="20">
        <v>15778</v>
      </c>
      <c r="B1666" s="2" t="s">
        <v>205</v>
      </c>
      <c r="C1666" s="2" t="s">
        <v>206</v>
      </c>
      <c r="D1666" s="2" t="s">
        <v>207</v>
      </c>
      <c r="E1666" s="2" t="s">
        <v>570</v>
      </c>
      <c r="F1666" s="2" t="s">
        <v>5016</v>
      </c>
      <c r="G1666" s="2" t="s">
        <v>4928</v>
      </c>
      <c r="H1666" s="2" t="s">
        <v>5081</v>
      </c>
      <c r="I1666" s="20">
        <v>65.67</v>
      </c>
      <c r="J1666" s="2" t="s">
        <v>4933</v>
      </c>
    </row>
    <row r="1667" spans="1:10" ht="15.35" x14ac:dyDescent="0.55000000000000004">
      <c r="A1667" s="20">
        <v>15865</v>
      </c>
      <c r="B1667" s="2" t="s">
        <v>205</v>
      </c>
      <c r="C1667" s="2" t="s">
        <v>206</v>
      </c>
      <c r="D1667" s="2" t="s">
        <v>207</v>
      </c>
      <c r="E1667" s="2" t="s">
        <v>570</v>
      </c>
      <c r="F1667" s="2" t="s">
        <v>5016</v>
      </c>
      <c r="G1667" s="2" t="s">
        <v>4928</v>
      </c>
      <c r="H1667" s="2" t="s">
        <v>5082</v>
      </c>
      <c r="I1667" s="20">
        <v>47737</v>
      </c>
      <c r="J1667" s="2" t="s">
        <v>5083</v>
      </c>
    </row>
    <row r="1668" spans="1:10" ht="15.35" x14ac:dyDescent="0.55000000000000004">
      <c r="A1668" s="20">
        <v>19278</v>
      </c>
      <c r="B1668" s="2" t="s">
        <v>205</v>
      </c>
      <c r="C1668" s="2" t="s">
        <v>206</v>
      </c>
      <c r="D1668" s="2" t="s">
        <v>207</v>
      </c>
      <c r="E1668" s="2" t="s">
        <v>570</v>
      </c>
      <c r="F1668" s="2" t="s">
        <v>5076</v>
      </c>
      <c r="G1668" s="2" t="s">
        <v>4928</v>
      </c>
      <c r="H1668" s="2" t="s">
        <v>5079</v>
      </c>
      <c r="I1668" s="20">
        <v>212.83</v>
      </c>
      <c r="J1668" s="2" t="s">
        <v>5080</v>
      </c>
    </row>
    <row r="1669" spans="1:10" ht="15.35" x14ac:dyDescent="0.55000000000000004">
      <c r="A1669" s="20">
        <v>19288</v>
      </c>
      <c r="B1669" s="2" t="s">
        <v>205</v>
      </c>
      <c r="C1669" s="2" t="s">
        <v>206</v>
      </c>
      <c r="D1669" s="2" t="s">
        <v>207</v>
      </c>
      <c r="E1669" s="2" t="s">
        <v>570</v>
      </c>
      <c r="F1669" s="2" t="s">
        <v>5076</v>
      </c>
      <c r="G1669" s="2" t="s">
        <v>4928</v>
      </c>
      <c r="H1669" s="2" t="s">
        <v>5081</v>
      </c>
      <c r="I1669" s="20">
        <v>71.709999999999994</v>
      </c>
      <c r="J1669" s="2" t="s">
        <v>4933</v>
      </c>
    </row>
    <row r="1670" spans="1:10" ht="15.35" x14ac:dyDescent="0.55000000000000004">
      <c r="A1670" s="20">
        <v>19304</v>
      </c>
      <c r="B1670" s="2" t="s">
        <v>205</v>
      </c>
      <c r="C1670" s="2" t="s">
        <v>206</v>
      </c>
      <c r="D1670" s="2" t="s">
        <v>207</v>
      </c>
      <c r="E1670" s="2" t="s">
        <v>570</v>
      </c>
      <c r="F1670" s="2" t="s">
        <v>5076</v>
      </c>
      <c r="G1670" s="2" t="s">
        <v>4928</v>
      </c>
      <c r="H1670" s="2" t="s">
        <v>5082</v>
      </c>
      <c r="I1670" s="20">
        <v>44003</v>
      </c>
      <c r="J1670" s="2" t="s">
        <v>5083</v>
      </c>
    </row>
    <row r="1671" spans="1:10" ht="15.35" x14ac:dyDescent="0.55000000000000004">
      <c r="A1671" s="20">
        <v>15706</v>
      </c>
      <c r="B1671" s="2" t="s">
        <v>205</v>
      </c>
      <c r="C1671" s="2" t="s">
        <v>206</v>
      </c>
      <c r="D1671" s="2" t="s">
        <v>207</v>
      </c>
      <c r="E1671" s="2" t="s">
        <v>574</v>
      </c>
      <c r="F1671" s="2" t="s">
        <v>4979</v>
      </c>
      <c r="G1671" s="2" t="s">
        <v>4928</v>
      </c>
      <c r="H1671" s="2" t="s">
        <v>5081</v>
      </c>
      <c r="I1671" s="20">
        <v>30.84</v>
      </c>
      <c r="J1671" s="2" t="s">
        <v>4933</v>
      </c>
    </row>
    <row r="1672" spans="1:10" ht="15.35" x14ac:dyDescent="0.55000000000000004">
      <c r="A1672" s="20">
        <v>15759</v>
      </c>
      <c r="B1672" s="2" t="s">
        <v>205</v>
      </c>
      <c r="C1672" s="2" t="s">
        <v>206</v>
      </c>
      <c r="D1672" s="2" t="s">
        <v>207</v>
      </c>
      <c r="E1672" s="2" t="s">
        <v>574</v>
      </c>
      <c r="F1672" s="2" t="s">
        <v>4979</v>
      </c>
      <c r="G1672" s="2" t="s">
        <v>4928</v>
      </c>
      <c r="H1672" s="2" t="s">
        <v>5079</v>
      </c>
      <c r="I1672" s="20">
        <v>183.09</v>
      </c>
      <c r="J1672" s="2" t="s">
        <v>5080</v>
      </c>
    </row>
    <row r="1673" spans="1:10" ht="15.35" x14ac:dyDescent="0.55000000000000004">
      <c r="A1673" s="20">
        <v>15803</v>
      </c>
      <c r="B1673" s="2" t="s">
        <v>205</v>
      </c>
      <c r="C1673" s="2" t="s">
        <v>206</v>
      </c>
      <c r="D1673" s="2" t="s">
        <v>207</v>
      </c>
      <c r="E1673" s="2" t="s">
        <v>574</v>
      </c>
      <c r="F1673" s="2" t="s">
        <v>4979</v>
      </c>
      <c r="G1673" s="2" t="s">
        <v>4928</v>
      </c>
      <c r="H1673" s="2" t="s">
        <v>5082</v>
      </c>
      <c r="I1673" s="20">
        <v>45898</v>
      </c>
      <c r="J1673" s="2" t="s">
        <v>5083</v>
      </c>
    </row>
    <row r="1674" spans="1:10" ht="15.35" x14ac:dyDescent="0.55000000000000004">
      <c r="A1674" s="20">
        <v>15643</v>
      </c>
      <c r="B1674" s="2" t="s">
        <v>205</v>
      </c>
      <c r="C1674" s="2" t="s">
        <v>206</v>
      </c>
      <c r="D1674" s="2" t="s">
        <v>207</v>
      </c>
      <c r="E1674" s="2" t="s">
        <v>574</v>
      </c>
      <c r="F1674" s="2" t="s">
        <v>4980</v>
      </c>
      <c r="G1674" s="2" t="s">
        <v>4928</v>
      </c>
      <c r="H1674" s="2" t="s">
        <v>5079</v>
      </c>
      <c r="I1674" s="20">
        <v>223.53</v>
      </c>
      <c r="J1674" s="2" t="s">
        <v>5080</v>
      </c>
    </row>
    <row r="1675" spans="1:10" ht="15.35" x14ac:dyDescent="0.55000000000000004">
      <c r="A1675" s="20">
        <v>15730</v>
      </c>
      <c r="B1675" s="2" t="s">
        <v>205</v>
      </c>
      <c r="C1675" s="2" t="s">
        <v>206</v>
      </c>
      <c r="D1675" s="2" t="s">
        <v>207</v>
      </c>
      <c r="E1675" s="2" t="s">
        <v>574</v>
      </c>
      <c r="F1675" s="2" t="s">
        <v>4980</v>
      </c>
      <c r="G1675" s="2" t="s">
        <v>4928</v>
      </c>
      <c r="H1675" s="2" t="s">
        <v>5081</v>
      </c>
      <c r="I1675" s="20">
        <v>58.05</v>
      </c>
      <c r="J1675" s="2" t="s">
        <v>4933</v>
      </c>
    </row>
    <row r="1676" spans="1:10" ht="15.35" x14ac:dyDescent="0.55000000000000004">
      <c r="A1676" s="20">
        <v>15790</v>
      </c>
      <c r="B1676" s="2" t="s">
        <v>205</v>
      </c>
      <c r="C1676" s="2" t="s">
        <v>206</v>
      </c>
      <c r="D1676" s="2" t="s">
        <v>207</v>
      </c>
      <c r="E1676" s="2" t="s">
        <v>574</v>
      </c>
      <c r="F1676" s="2" t="s">
        <v>4980</v>
      </c>
      <c r="G1676" s="2" t="s">
        <v>4928</v>
      </c>
      <c r="H1676" s="2" t="s">
        <v>5082</v>
      </c>
      <c r="I1676" s="20">
        <v>1168</v>
      </c>
      <c r="J1676" s="2" t="s">
        <v>5083</v>
      </c>
    </row>
    <row r="1677" spans="1:10" ht="15.35" x14ac:dyDescent="0.55000000000000004">
      <c r="A1677" s="20">
        <v>15667</v>
      </c>
      <c r="B1677" s="2" t="s">
        <v>205</v>
      </c>
      <c r="C1677" s="2" t="s">
        <v>206</v>
      </c>
      <c r="D1677" s="2" t="s">
        <v>207</v>
      </c>
      <c r="E1677" s="2" t="s">
        <v>574</v>
      </c>
      <c r="F1677" s="2" t="s">
        <v>5016</v>
      </c>
      <c r="G1677" s="2" t="s">
        <v>4928</v>
      </c>
      <c r="H1677" s="2" t="s">
        <v>5079</v>
      </c>
      <c r="I1677" s="20">
        <v>229.13</v>
      </c>
      <c r="J1677" s="2" t="s">
        <v>5080</v>
      </c>
    </row>
    <row r="1678" spans="1:10" ht="15.35" x14ac:dyDescent="0.55000000000000004">
      <c r="A1678" s="20">
        <v>15843</v>
      </c>
      <c r="B1678" s="2" t="s">
        <v>205</v>
      </c>
      <c r="C1678" s="2" t="s">
        <v>206</v>
      </c>
      <c r="D1678" s="2" t="s">
        <v>207</v>
      </c>
      <c r="E1678" s="2" t="s">
        <v>574</v>
      </c>
      <c r="F1678" s="2" t="s">
        <v>5016</v>
      </c>
      <c r="G1678" s="2" t="s">
        <v>4928</v>
      </c>
      <c r="H1678" s="2" t="s">
        <v>5082</v>
      </c>
      <c r="I1678" s="20">
        <v>46848</v>
      </c>
      <c r="J1678" s="2" t="s">
        <v>5083</v>
      </c>
    </row>
    <row r="1679" spans="1:10" ht="15.35" x14ac:dyDescent="0.55000000000000004">
      <c r="A1679" s="20">
        <v>15853</v>
      </c>
      <c r="B1679" s="2" t="s">
        <v>205</v>
      </c>
      <c r="C1679" s="2" t="s">
        <v>206</v>
      </c>
      <c r="D1679" s="2" t="s">
        <v>207</v>
      </c>
      <c r="E1679" s="2" t="s">
        <v>574</v>
      </c>
      <c r="F1679" s="2" t="s">
        <v>5016</v>
      </c>
      <c r="G1679" s="2" t="s">
        <v>4928</v>
      </c>
      <c r="H1679" s="2" t="s">
        <v>5081</v>
      </c>
      <c r="I1679" s="20">
        <v>52.05</v>
      </c>
      <c r="J1679" s="2" t="s">
        <v>4933</v>
      </c>
    </row>
    <row r="1680" spans="1:10" ht="15.35" x14ac:dyDescent="0.55000000000000004">
      <c r="A1680" s="20">
        <v>19256</v>
      </c>
      <c r="B1680" s="2" t="s">
        <v>205</v>
      </c>
      <c r="C1680" s="2" t="s">
        <v>206</v>
      </c>
      <c r="D1680" s="2" t="s">
        <v>207</v>
      </c>
      <c r="E1680" s="2" t="s">
        <v>574</v>
      </c>
      <c r="F1680" s="2" t="s">
        <v>5076</v>
      </c>
      <c r="G1680" s="2" t="s">
        <v>4928</v>
      </c>
      <c r="H1680" s="2" t="s">
        <v>5081</v>
      </c>
      <c r="I1680" s="20">
        <v>51.17</v>
      </c>
      <c r="J1680" s="2" t="s">
        <v>4933</v>
      </c>
    </row>
    <row r="1681" spans="1:10" ht="15.35" x14ac:dyDescent="0.55000000000000004">
      <c r="A1681" s="20">
        <v>19261</v>
      </c>
      <c r="B1681" s="2" t="s">
        <v>205</v>
      </c>
      <c r="C1681" s="2" t="s">
        <v>206</v>
      </c>
      <c r="D1681" s="2" t="s">
        <v>207</v>
      </c>
      <c r="E1681" s="2" t="s">
        <v>574</v>
      </c>
      <c r="F1681" s="2" t="s">
        <v>5076</v>
      </c>
      <c r="G1681" s="2" t="s">
        <v>4928</v>
      </c>
      <c r="H1681" s="2" t="s">
        <v>5079</v>
      </c>
      <c r="I1681" s="20">
        <v>221.16</v>
      </c>
      <c r="J1681" s="2" t="s">
        <v>5080</v>
      </c>
    </row>
    <row r="1682" spans="1:10" ht="15.35" x14ac:dyDescent="0.55000000000000004">
      <c r="A1682" s="20">
        <v>19305</v>
      </c>
      <c r="B1682" s="2" t="s">
        <v>205</v>
      </c>
      <c r="C1682" s="2" t="s">
        <v>206</v>
      </c>
      <c r="D1682" s="2" t="s">
        <v>207</v>
      </c>
      <c r="E1682" s="2" t="s">
        <v>574</v>
      </c>
      <c r="F1682" s="2" t="s">
        <v>5076</v>
      </c>
      <c r="G1682" s="2" t="s">
        <v>4928</v>
      </c>
      <c r="H1682" s="2" t="s">
        <v>5082</v>
      </c>
      <c r="I1682" s="20">
        <v>46720</v>
      </c>
      <c r="J1682" s="2" t="s">
        <v>5083</v>
      </c>
    </row>
    <row r="1683" spans="1:10" ht="15.35" x14ac:dyDescent="0.55000000000000004">
      <c r="A1683" s="20">
        <v>15640</v>
      </c>
      <c r="B1683" s="2" t="s">
        <v>205</v>
      </c>
      <c r="C1683" s="2" t="s">
        <v>206</v>
      </c>
      <c r="D1683" s="2" t="s">
        <v>207</v>
      </c>
      <c r="E1683" s="2" t="s">
        <v>579</v>
      </c>
      <c r="F1683" s="2" t="s">
        <v>4979</v>
      </c>
      <c r="G1683" s="2" t="s">
        <v>4928</v>
      </c>
      <c r="H1683" s="2" t="s">
        <v>5079</v>
      </c>
      <c r="I1683" s="20">
        <v>279.88</v>
      </c>
      <c r="J1683" s="2" t="s">
        <v>5080</v>
      </c>
    </row>
    <row r="1684" spans="1:10" ht="15.35" x14ac:dyDescent="0.55000000000000004">
      <c r="A1684" s="20">
        <v>15726</v>
      </c>
      <c r="B1684" s="2" t="s">
        <v>205</v>
      </c>
      <c r="C1684" s="2" t="s">
        <v>206</v>
      </c>
      <c r="D1684" s="2" t="s">
        <v>207</v>
      </c>
      <c r="E1684" s="2" t="s">
        <v>579</v>
      </c>
      <c r="F1684" s="2" t="s">
        <v>4979</v>
      </c>
      <c r="G1684" s="2" t="s">
        <v>4928</v>
      </c>
      <c r="H1684" s="2" t="s">
        <v>5081</v>
      </c>
      <c r="I1684" s="20">
        <v>56.66</v>
      </c>
      <c r="J1684" s="2" t="s">
        <v>4933</v>
      </c>
    </row>
    <row r="1685" spans="1:10" ht="15.35" x14ac:dyDescent="0.55000000000000004">
      <c r="A1685" s="20">
        <v>15821</v>
      </c>
      <c r="B1685" s="2" t="s">
        <v>205</v>
      </c>
      <c r="C1685" s="2" t="s">
        <v>206</v>
      </c>
      <c r="D1685" s="2" t="s">
        <v>207</v>
      </c>
      <c r="E1685" s="2" t="s">
        <v>579</v>
      </c>
      <c r="F1685" s="2" t="s">
        <v>4979</v>
      </c>
      <c r="G1685" s="2" t="s">
        <v>4928</v>
      </c>
      <c r="H1685" s="2" t="s">
        <v>5082</v>
      </c>
      <c r="I1685" s="20">
        <v>56326</v>
      </c>
      <c r="J1685" s="2" t="s">
        <v>5083</v>
      </c>
    </row>
    <row r="1686" spans="1:10" ht="15.35" x14ac:dyDescent="0.55000000000000004">
      <c r="A1686" s="20">
        <v>15664</v>
      </c>
      <c r="B1686" s="2" t="s">
        <v>205</v>
      </c>
      <c r="C1686" s="2" t="s">
        <v>206</v>
      </c>
      <c r="D1686" s="2" t="s">
        <v>207</v>
      </c>
      <c r="E1686" s="2" t="s">
        <v>579</v>
      </c>
      <c r="F1686" s="2" t="s">
        <v>4980</v>
      </c>
      <c r="G1686" s="2" t="s">
        <v>4928</v>
      </c>
      <c r="H1686" s="2" t="s">
        <v>5079</v>
      </c>
      <c r="I1686" s="20">
        <v>346.92</v>
      </c>
      <c r="J1686" s="2" t="s">
        <v>5080</v>
      </c>
    </row>
    <row r="1687" spans="1:10" ht="15.35" x14ac:dyDescent="0.55000000000000004">
      <c r="A1687" s="20">
        <v>15748</v>
      </c>
      <c r="B1687" s="2" t="s">
        <v>205</v>
      </c>
      <c r="C1687" s="2" t="s">
        <v>206</v>
      </c>
      <c r="D1687" s="2" t="s">
        <v>207</v>
      </c>
      <c r="E1687" s="2" t="s">
        <v>579</v>
      </c>
      <c r="F1687" s="2" t="s">
        <v>4980</v>
      </c>
      <c r="G1687" s="2" t="s">
        <v>4928</v>
      </c>
      <c r="H1687" s="2" t="s">
        <v>5081</v>
      </c>
      <c r="I1687" s="20">
        <v>81.55</v>
      </c>
      <c r="J1687" s="2" t="s">
        <v>4933</v>
      </c>
    </row>
    <row r="1688" spans="1:10" ht="15.35" x14ac:dyDescent="0.55000000000000004">
      <c r="A1688" s="20">
        <v>15840</v>
      </c>
      <c r="B1688" s="2" t="s">
        <v>205</v>
      </c>
      <c r="C1688" s="2" t="s">
        <v>206</v>
      </c>
      <c r="D1688" s="2" t="s">
        <v>207</v>
      </c>
      <c r="E1688" s="2" t="s">
        <v>579</v>
      </c>
      <c r="F1688" s="2" t="s">
        <v>4980</v>
      </c>
      <c r="G1688" s="2" t="s">
        <v>4928</v>
      </c>
      <c r="H1688" s="2" t="s">
        <v>5082</v>
      </c>
      <c r="I1688" s="20">
        <v>56575</v>
      </c>
      <c r="J1688" s="2" t="s">
        <v>5083</v>
      </c>
    </row>
    <row r="1689" spans="1:10" ht="15.35" x14ac:dyDescent="0.55000000000000004">
      <c r="A1689" s="20">
        <v>15685</v>
      </c>
      <c r="B1689" s="2" t="s">
        <v>205</v>
      </c>
      <c r="C1689" s="2" t="s">
        <v>206</v>
      </c>
      <c r="D1689" s="2" t="s">
        <v>207</v>
      </c>
      <c r="E1689" s="2" t="s">
        <v>579</v>
      </c>
      <c r="F1689" s="2" t="s">
        <v>5016</v>
      </c>
      <c r="G1689" s="2" t="s">
        <v>4928</v>
      </c>
      <c r="H1689" s="2" t="s">
        <v>5079</v>
      </c>
      <c r="I1689" s="20">
        <v>314.36</v>
      </c>
      <c r="J1689" s="2" t="s">
        <v>5080</v>
      </c>
    </row>
    <row r="1690" spans="1:10" ht="15.35" x14ac:dyDescent="0.55000000000000004">
      <c r="A1690" s="20">
        <v>15777</v>
      </c>
      <c r="B1690" s="2" t="s">
        <v>205</v>
      </c>
      <c r="C1690" s="2" t="s">
        <v>206</v>
      </c>
      <c r="D1690" s="2" t="s">
        <v>207</v>
      </c>
      <c r="E1690" s="2" t="s">
        <v>579</v>
      </c>
      <c r="F1690" s="2" t="s">
        <v>5016</v>
      </c>
      <c r="G1690" s="2" t="s">
        <v>4928</v>
      </c>
      <c r="H1690" s="2" t="s">
        <v>5081</v>
      </c>
      <c r="I1690" s="20">
        <v>68.78</v>
      </c>
      <c r="J1690" s="2" t="s">
        <v>4933</v>
      </c>
    </row>
    <row r="1691" spans="1:10" ht="15.35" x14ac:dyDescent="0.55000000000000004">
      <c r="A1691" s="20">
        <v>15864</v>
      </c>
      <c r="B1691" s="2" t="s">
        <v>205</v>
      </c>
      <c r="C1691" s="2" t="s">
        <v>206</v>
      </c>
      <c r="D1691" s="2" t="s">
        <v>207</v>
      </c>
      <c r="E1691" s="2" t="s">
        <v>579</v>
      </c>
      <c r="F1691" s="2" t="s">
        <v>5016</v>
      </c>
      <c r="G1691" s="2" t="s">
        <v>4928</v>
      </c>
      <c r="H1691" s="2" t="s">
        <v>5082</v>
      </c>
      <c r="I1691" s="20">
        <v>5280</v>
      </c>
      <c r="J1691" s="2" t="s">
        <v>5083</v>
      </c>
    </row>
    <row r="1692" spans="1:10" ht="15.35" x14ac:dyDescent="0.55000000000000004">
      <c r="A1692" s="20">
        <v>19279</v>
      </c>
      <c r="B1692" s="2" t="s">
        <v>205</v>
      </c>
      <c r="C1692" s="2" t="s">
        <v>206</v>
      </c>
      <c r="D1692" s="2" t="s">
        <v>207</v>
      </c>
      <c r="E1692" s="2" t="s">
        <v>579</v>
      </c>
      <c r="F1692" s="2" t="s">
        <v>5076</v>
      </c>
      <c r="G1692" s="2" t="s">
        <v>4928</v>
      </c>
      <c r="H1692" s="2" t="s">
        <v>5079</v>
      </c>
      <c r="I1692" s="20">
        <v>291.58</v>
      </c>
      <c r="J1692" s="2" t="s">
        <v>5080</v>
      </c>
    </row>
    <row r="1693" spans="1:10" ht="15.35" x14ac:dyDescent="0.55000000000000004">
      <c r="A1693" s="20">
        <v>19287</v>
      </c>
      <c r="B1693" s="2" t="s">
        <v>205</v>
      </c>
      <c r="C1693" s="2" t="s">
        <v>206</v>
      </c>
      <c r="D1693" s="2" t="s">
        <v>207</v>
      </c>
      <c r="E1693" s="2" t="s">
        <v>579</v>
      </c>
      <c r="F1693" s="2" t="s">
        <v>5076</v>
      </c>
      <c r="G1693" s="2" t="s">
        <v>4928</v>
      </c>
      <c r="H1693" s="2" t="s">
        <v>5082</v>
      </c>
      <c r="I1693" s="20">
        <v>50154</v>
      </c>
      <c r="J1693" s="2" t="s">
        <v>5083</v>
      </c>
    </row>
    <row r="1694" spans="1:10" ht="15.35" x14ac:dyDescent="0.55000000000000004">
      <c r="A1694" s="20">
        <v>19289</v>
      </c>
      <c r="B1694" s="2" t="s">
        <v>205</v>
      </c>
      <c r="C1694" s="2" t="s">
        <v>206</v>
      </c>
      <c r="D1694" s="2" t="s">
        <v>207</v>
      </c>
      <c r="E1694" s="2" t="s">
        <v>579</v>
      </c>
      <c r="F1694" s="2" t="s">
        <v>5076</v>
      </c>
      <c r="G1694" s="2" t="s">
        <v>4928</v>
      </c>
      <c r="H1694" s="2" t="s">
        <v>5081</v>
      </c>
      <c r="I1694" s="20">
        <v>64.709999999999994</v>
      </c>
      <c r="J1694" s="2" t="s">
        <v>4933</v>
      </c>
    </row>
    <row r="1695" spans="1:10" ht="15.35" x14ac:dyDescent="0.55000000000000004">
      <c r="A1695" s="20">
        <v>16004</v>
      </c>
      <c r="B1695" s="2" t="s">
        <v>201</v>
      </c>
      <c r="C1695" s="2" t="s">
        <v>202</v>
      </c>
      <c r="D1695" s="2" t="s">
        <v>203</v>
      </c>
      <c r="E1695" s="2" t="s">
        <v>583</v>
      </c>
      <c r="F1695" s="2" t="s">
        <v>4979</v>
      </c>
      <c r="G1695" s="2" t="s">
        <v>4975</v>
      </c>
      <c r="H1695" s="2" t="s">
        <v>5050</v>
      </c>
      <c r="I1695" s="20">
        <v>5550.28</v>
      </c>
      <c r="J1695" s="2" t="s">
        <v>4977</v>
      </c>
    </row>
    <row r="1696" spans="1:10" ht="15.35" x14ac:dyDescent="0.55000000000000004">
      <c r="A1696" s="20">
        <v>16074</v>
      </c>
      <c r="B1696" s="2" t="s">
        <v>201</v>
      </c>
      <c r="C1696" s="2" t="s">
        <v>202</v>
      </c>
      <c r="D1696" s="2" t="s">
        <v>203</v>
      </c>
      <c r="E1696" s="2" t="s">
        <v>583</v>
      </c>
      <c r="F1696" s="2" t="s">
        <v>4979</v>
      </c>
      <c r="G1696" s="2" t="s">
        <v>4931</v>
      </c>
      <c r="H1696" s="2" t="s">
        <v>5028</v>
      </c>
      <c r="I1696" s="20">
        <v>90.09</v>
      </c>
      <c r="J1696" s="2" t="s">
        <v>4933</v>
      </c>
    </row>
    <row r="1697" spans="1:10" ht="15.35" x14ac:dyDescent="0.55000000000000004">
      <c r="A1697" s="20">
        <v>16078</v>
      </c>
      <c r="B1697" s="2" t="s">
        <v>201</v>
      </c>
      <c r="C1697" s="2" t="s">
        <v>202</v>
      </c>
      <c r="D1697" s="2" t="s">
        <v>203</v>
      </c>
      <c r="E1697" s="2" t="s">
        <v>583</v>
      </c>
      <c r="F1697" s="2" t="s">
        <v>4979</v>
      </c>
      <c r="G1697" s="2" t="s">
        <v>4931</v>
      </c>
      <c r="H1697" s="2" t="s">
        <v>5010</v>
      </c>
      <c r="I1697" s="20">
        <v>82.36</v>
      </c>
      <c r="J1697" s="2" t="s">
        <v>4933</v>
      </c>
    </row>
    <row r="1698" spans="1:10" ht="15.35" x14ac:dyDescent="0.55000000000000004">
      <c r="A1698" s="20">
        <v>16082</v>
      </c>
      <c r="B1698" s="2" t="s">
        <v>201</v>
      </c>
      <c r="C1698" s="2" t="s">
        <v>202</v>
      </c>
      <c r="D1698" s="2" t="s">
        <v>203</v>
      </c>
      <c r="E1698" s="2" t="s">
        <v>583</v>
      </c>
      <c r="F1698" s="2" t="s">
        <v>4979</v>
      </c>
      <c r="G1698" s="2" t="s">
        <v>4928</v>
      </c>
      <c r="H1698" s="2" t="s">
        <v>5014</v>
      </c>
      <c r="I1698" s="20">
        <v>3.24</v>
      </c>
      <c r="J1698" s="2" t="s">
        <v>5045</v>
      </c>
    </row>
    <row r="1699" spans="1:10" ht="15.35" x14ac:dyDescent="0.55000000000000004">
      <c r="A1699" s="20">
        <v>16003</v>
      </c>
      <c r="B1699" s="2" t="s">
        <v>201</v>
      </c>
      <c r="C1699" s="2" t="s">
        <v>202</v>
      </c>
      <c r="D1699" s="2" t="s">
        <v>203</v>
      </c>
      <c r="E1699" s="2" t="s">
        <v>583</v>
      </c>
      <c r="F1699" s="2" t="s">
        <v>4980</v>
      </c>
      <c r="G1699" s="2" t="s">
        <v>4975</v>
      </c>
      <c r="H1699" s="2" t="s">
        <v>5050</v>
      </c>
      <c r="I1699" s="20">
        <v>7530.85</v>
      </c>
      <c r="J1699" s="2" t="s">
        <v>4977</v>
      </c>
    </row>
    <row r="1700" spans="1:10" ht="15.35" x14ac:dyDescent="0.55000000000000004">
      <c r="A1700" s="20">
        <v>16076</v>
      </c>
      <c r="B1700" s="2" t="s">
        <v>201</v>
      </c>
      <c r="C1700" s="2" t="s">
        <v>202</v>
      </c>
      <c r="D1700" s="2" t="s">
        <v>203</v>
      </c>
      <c r="E1700" s="2" t="s">
        <v>583</v>
      </c>
      <c r="F1700" s="2" t="s">
        <v>4980</v>
      </c>
      <c r="G1700" s="2" t="s">
        <v>4931</v>
      </c>
      <c r="H1700" s="2" t="s">
        <v>5028</v>
      </c>
      <c r="I1700" s="20">
        <v>92.85</v>
      </c>
      <c r="J1700" s="2" t="s">
        <v>4933</v>
      </c>
    </row>
    <row r="1701" spans="1:10" ht="15.35" x14ac:dyDescent="0.55000000000000004">
      <c r="A1701" s="20">
        <v>16079</v>
      </c>
      <c r="B1701" s="2" t="s">
        <v>201</v>
      </c>
      <c r="C1701" s="2" t="s">
        <v>202</v>
      </c>
      <c r="D1701" s="2" t="s">
        <v>203</v>
      </c>
      <c r="E1701" s="2" t="s">
        <v>583</v>
      </c>
      <c r="F1701" s="2" t="s">
        <v>4980</v>
      </c>
      <c r="G1701" s="2" t="s">
        <v>4931</v>
      </c>
      <c r="H1701" s="2" t="s">
        <v>5010</v>
      </c>
      <c r="I1701" s="20">
        <v>88.7</v>
      </c>
      <c r="J1701" s="2" t="s">
        <v>4933</v>
      </c>
    </row>
    <row r="1702" spans="1:10" ht="15.35" x14ac:dyDescent="0.55000000000000004">
      <c r="A1702" s="20">
        <v>16083</v>
      </c>
      <c r="B1702" s="2" t="s">
        <v>201</v>
      </c>
      <c r="C1702" s="2" t="s">
        <v>202</v>
      </c>
      <c r="D1702" s="2" t="s">
        <v>203</v>
      </c>
      <c r="E1702" s="2" t="s">
        <v>583</v>
      </c>
      <c r="F1702" s="2" t="s">
        <v>4980</v>
      </c>
      <c r="G1702" s="2" t="s">
        <v>4928</v>
      </c>
      <c r="H1702" s="2" t="s">
        <v>5014</v>
      </c>
      <c r="I1702" s="20">
        <v>3.71</v>
      </c>
      <c r="J1702" s="2" t="s">
        <v>5045</v>
      </c>
    </row>
    <row r="1703" spans="1:10" ht="15.35" x14ac:dyDescent="0.55000000000000004">
      <c r="A1703" s="20">
        <v>16028</v>
      </c>
      <c r="B1703" s="2" t="s">
        <v>201</v>
      </c>
      <c r="C1703" s="2" t="s">
        <v>202</v>
      </c>
      <c r="D1703" s="2" t="s">
        <v>203</v>
      </c>
      <c r="E1703" s="2" t="s">
        <v>583</v>
      </c>
      <c r="F1703" s="2" t="s">
        <v>5016</v>
      </c>
      <c r="G1703" s="2" t="s">
        <v>4928</v>
      </c>
      <c r="H1703" s="2" t="s">
        <v>5014</v>
      </c>
      <c r="I1703" s="20">
        <v>3.85</v>
      </c>
      <c r="J1703" s="2" t="s">
        <v>5045</v>
      </c>
    </row>
    <row r="1704" spans="1:10" ht="15.35" x14ac:dyDescent="0.55000000000000004">
      <c r="A1704" s="20">
        <v>16080</v>
      </c>
      <c r="B1704" s="2" t="s">
        <v>201</v>
      </c>
      <c r="C1704" s="2" t="s">
        <v>202</v>
      </c>
      <c r="D1704" s="2" t="s">
        <v>203</v>
      </c>
      <c r="E1704" s="2" t="s">
        <v>583</v>
      </c>
      <c r="F1704" s="2" t="s">
        <v>5016</v>
      </c>
      <c r="G1704" s="2" t="s">
        <v>4931</v>
      </c>
      <c r="H1704" s="2" t="s">
        <v>5010</v>
      </c>
      <c r="I1704" s="20">
        <v>90.09</v>
      </c>
      <c r="J1704" s="2" t="s">
        <v>4933</v>
      </c>
    </row>
    <row r="1705" spans="1:10" ht="15.35" x14ac:dyDescent="0.55000000000000004">
      <c r="A1705" s="20">
        <v>16084</v>
      </c>
      <c r="B1705" s="2" t="s">
        <v>201</v>
      </c>
      <c r="C1705" s="2" t="s">
        <v>202</v>
      </c>
      <c r="D1705" s="2" t="s">
        <v>203</v>
      </c>
      <c r="E1705" s="2" t="s">
        <v>583</v>
      </c>
      <c r="F1705" s="2" t="s">
        <v>5016</v>
      </c>
      <c r="G1705" s="2" t="s">
        <v>4931</v>
      </c>
      <c r="H1705" s="2" t="s">
        <v>5028</v>
      </c>
      <c r="I1705" s="20">
        <v>95.7</v>
      </c>
      <c r="J1705" s="2" t="s">
        <v>4933</v>
      </c>
    </row>
    <row r="1706" spans="1:10" ht="15.35" x14ac:dyDescent="0.55000000000000004">
      <c r="A1706" s="20">
        <v>16098</v>
      </c>
      <c r="B1706" s="2" t="s">
        <v>201</v>
      </c>
      <c r="C1706" s="2" t="s">
        <v>202</v>
      </c>
      <c r="D1706" s="2" t="s">
        <v>203</v>
      </c>
      <c r="E1706" s="2" t="s">
        <v>583</v>
      </c>
      <c r="F1706" s="2" t="s">
        <v>5016</v>
      </c>
      <c r="G1706" s="2" t="s">
        <v>4975</v>
      </c>
      <c r="H1706" s="2" t="s">
        <v>5050</v>
      </c>
      <c r="I1706" s="20">
        <v>6907.59</v>
      </c>
      <c r="J1706" s="2" t="s">
        <v>4977</v>
      </c>
    </row>
    <row r="1707" spans="1:10" ht="15.35" x14ac:dyDescent="0.55000000000000004">
      <c r="A1707" s="20">
        <v>17852</v>
      </c>
      <c r="B1707" s="2" t="s">
        <v>201</v>
      </c>
      <c r="C1707" s="2" t="s">
        <v>202</v>
      </c>
      <c r="D1707" s="2" t="s">
        <v>203</v>
      </c>
      <c r="E1707" s="2" t="s">
        <v>583</v>
      </c>
      <c r="F1707" s="2" t="s">
        <v>5076</v>
      </c>
      <c r="G1707" s="2" t="s">
        <v>4928</v>
      </c>
      <c r="H1707" s="2" t="s">
        <v>5014</v>
      </c>
      <c r="I1707" s="20">
        <v>3.83</v>
      </c>
      <c r="J1707" s="2" t="s">
        <v>5045</v>
      </c>
    </row>
    <row r="1708" spans="1:10" ht="15.35" x14ac:dyDescent="0.55000000000000004">
      <c r="A1708" s="20">
        <v>17853</v>
      </c>
      <c r="B1708" s="2" t="s">
        <v>201</v>
      </c>
      <c r="C1708" s="2" t="s">
        <v>202</v>
      </c>
      <c r="D1708" s="2" t="s">
        <v>203</v>
      </c>
      <c r="E1708" s="2" t="s">
        <v>583</v>
      </c>
      <c r="F1708" s="2" t="s">
        <v>5076</v>
      </c>
      <c r="G1708" s="2" t="s">
        <v>4931</v>
      </c>
      <c r="H1708" s="2" t="s">
        <v>5010</v>
      </c>
      <c r="I1708" s="20">
        <v>89.43</v>
      </c>
      <c r="J1708" s="2" t="s">
        <v>4933</v>
      </c>
    </row>
    <row r="1709" spans="1:10" ht="15.35" x14ac:dyDescent="0.55000000000000004">
      <c r="A1709" s="20">
        <v>17854</v>
      </c>
      <c r="B1709" s="2" t="s">
        <v>201</v>
      </c>
      <c r="C1709" s="2" t="s">
        <v>202</v>
      </c>
      <c r="D1709" s="2" t="s">
        <v>203</v>
      </c>
      <c r="E1709" s="2" t="s">
        <v>583</v>
      </c>
      <c r="F1709" s="2" t="s">
        <v>5076</v>
      </c>
      <c r="G1709" s="2" t="s">
        <v>4931</v>
      </c>
      <c r="H1709" s="2" t="s">
        <v>5028</v>
      </c>
      <c r="I1709" s="20">
        <v>92.74</v>
      </c>
      <c r="J1709" s="2" t="s">
        <v>4933</v>
      </c>
    </row>
    <row r="1710" spans="1:10" ht="15.35" x14ac:dyDescent="0.55000000000000004">
      <c r="A1710" s="20">
        <v>17858</v>
      </c>
      <c r="B1710" s="2" t="s">
        <v>201</v>
      </c>
      <c r="C1710" s="2" t="s">
        <v>202</v>
      </c>
      <c r="D1710" s="2" t="s">
        <v>203</v>
      </c>
      <c r="E1710" s="2" t="s">
        <v>583</v>
      </c>
      <c r="F1710" s="2" t="s">
        <v>5076</v>
      </c>
      <c r="G1710" s="2" t="s">
        <v>4975</v>
      </c>
      <c r="H1710" s="2" t="s">
        <v>5050</v>
      </c>
      <c r="I1710" s="20">
        <v>6016.24</v>
      </c>
      <c r="J1710" s="2" t="s">
        <v>4977</v>
      </c>
    </row>
    <row r="1711" spans="1:10" ht="15.35" x14ac:dyDescent="0.55000000000000004">
      <c r="A1711" s="20">
        <v>16002</v>
      </c>
      <c r="B1711" s="2" t="s">
        <v>201</v>
      </c>
      <c r="C1711" s="2" t="s">
        <v>202</v>
      </c>
      <c r="D1711" s="2" t="s">
        <v>203</v>
      </c>
      <c r="E1711" s="2" t="s">
        <v>587</v>
      </c>
      <c r="F1711" s="2" t="s">
        <v>4979</v>
      </c>
      <c r="G1711" s="2" t="s">
        <v>4931</v>
      </c>
      <c r="H1711" s="2" t="s">
        <v>5028</v>
      </c>
      <c r="I1711" s="20">
        <v>90.99</v>
      </c>
      <c r="J1711" s="2" t="s">
        <v>4933</v>
      </c>
    </row>
    <row r="1712" spans="1:10" ht="15.35" x14ac:dyDescent="0.55000000000000004">
      <c r="A1712" s="20">
        <v>16070</v>
      </c>
      <c r="B1712" s="2" t="s">
        <v>201</v>
      </c>
      <c r="C1712" s="2" t="s">
        <v>202</v>
      </c>
      <c r="D1712" s="2" t="s">
        <v>203</v>
      </c>
      <c r="E1712" s="2" t="s">
        <v>587</v>
      </c>
      <c r="F1712" s="2" t="s">
        <v>4979</v>
      </c>
      <c r="G1712" s="2" t="s">
        <v>4975</v>
      </c>
      <c r="H1712" s="2" t="s">
        <v>5050</v>
      </c>
      <c r="I1712" s="20">
        <v>11096.68</v>
      </c>
      <c r="J1712" s="2" t="s">
        <v>4977</v>
      </c>
    </row>
    <row r="1713" spans="1:10" ht="15.35" x14ac:dyDescent="0.55000000000000004">
      <c r="A1713" s="20">
        <v>16086</v>
      </c>
      <c r="B1713" s="2" t="s">
        <v>201</v>
      </c>
      <c r="C1713" s="2" t="s">
        <v>202</v>
      </c>
      <c r="D1713" s="2" t="s">
        <v>203</v>
      </c>
      <c r="E1713" s="2" t="s">
        <v>587</v>
      </c>
      <c r="F1713" s="2" t="s">
        <v>4979</v>
      </c>
      <c r="G1713" s="2" t="s">
        <v>4939</v>
      </c>
      <c r="H1713" s="2" t="s">
        <v>5078</v>
      </c>
      <c r="I1713" s="20">
        <v>145.85</v>
      </c>
      <c r="J1713" s="2" t="s">
        <v>4941</v>
      </c>
    </row>
    <row r="1714" spans="1:10" ht="15.35" x14ac:dyDescent="0.55000000000000004">
      <c r="A1714" s="20">
        <v>16102</v>
      </c>
      <c r="B1714" s="2" t="s">
        <v>201</v>
      </c>
      <c r="C1714" s="2" t="s">
        <v>202</v>
      </c>
      <c r="D1714" s="2" t="s">
        <v>203</v>
      </c>
      <c r="E1714" s="2" t="s">
        <v>587</v>
      </c>
      <c r="F1714" s="2" t="s">
        <v>4979</v>
      </c>
      <c r="G1714" s="2" t="s">
        <v>4931</v>
      </c>
      <c r="H1714" s="2" t="s">
        <v>5010</v>
      </c>
      <c r="I1714" s="20">
        <v>95.3</v>
      </c>
      <c r="J1714" s="2" t="s">
        <v>4933</v>
      </c>
    </row>
    <row r="1715" spans="1:10" ht="15.35" x14ac:dyDescent="0.55000000000000004">
      <c r="A1715" s="20">
        <v>16071</v>
      </c>
      <c r="B1715" s="2" t="s">
        <v>201</v>
      </c>
      <c r="C1715" s="2" t="s">
        <v>202</v>
      </c>
      <c r="D1715" s="2" t="s">
        <v>203</v>
      </c>
      <c r="E1715" s="2" t="s">
        <v>587</v>
      </c>
      <c r="F1715" s="2" t="s">
        <v>4980</v>
      </c>
      <c r="G1715" s="2" t="s">
        <v>4975</v>
      </c>
      <c r="H1715" s="2" t="s">
        <v>5050</v>
      </c>
      <c r="I1715" s="20">
        <v>10161.950000000001</v>
      </c>
      <c r="J1715" s="2" t="s">
        <v>4977</v>
      </c>
    </row>
    <row r="1716" spans="1:10" ht="15.35" x14ac:dyDescent="0.55000000000000004">
      <c r="A1716" s="20">
        <v>16075</v>
      </c>
      <c r="B1716" s="2" t="s">
        <v>201</v>
      </c>
      <c r="C1716" s="2" t="s">
        <v>202</v>
      </c>
      <c r="D1716" s="2" t="s">
        <v>203</v>
      </c>
      <c r="E1716" s="2" t="s">
        <v>587</v>
      </c>
      <c r="F1716" s="2" t="s">
        <v>4980</v>
      </c>
      <c r="G1716" s="2" t="s">
        <v>4939</v>
      </c>
      <c r="H1716" s="2" t="s">
        <v>5078</v>
      </c>
      <c r="I1716" s="20">
        <v>133.56</v>
      </c>
      <c r="J1716" s="2" t="s">
        <v>4941</v>
      </c>
    </row>
    <row r="1717" spans="1:10" ht="15.35" x14ac:dyDescent="0.55000000000000004">
      <c r="A1717" s="20">
        <v>16099</v>
      </c>
      <c r="B1717" s="2" t="s">
        <v>201</v>
      </c>
      <c r="C1717" s="2" t="s">
        <v>202</v>
      </c>
      <c r="D1717" s="2" t="s">
        <v>203</v>
      </c>
      <c r="E1717" s="2" t="s">
        <v>587</v>
      </c>
      <c r="F1717" s="2" t="s">
        <v>4980</v>
      </c>
      <c r="G1717" s="2" t="s">
        <v>4931</v>
      </c>
      <c r="H1717" s="2" t="s">
        <v>5028</v>
      </c>
      <c r="I1717" s="20">
        <v>76.569999999999993</v>
      </c>
      <c r="J1717" s="2" t="s">
        <v>4933</v>
      </c>
    </row>
    <row r="1718" spans="1:10" ht="15.35" x14ac:dyDescent="0.55000000000000004">
      <c r="A1718" s="20">
        <v>16103</v>
      </c>
      <c r="B1718" s="2" t="s">
        <v>201</v>
      </c>
      <c r="C1718" s="2" t="s">
        <v>202</v>
      </c>
      <c r="D1718" s="2" t="s">
        <v>203</v>
      </c>
      <c r="E1718" s="2" t="s">
        <v>587</v>
      </c>
      <c r="F1718" s="2" t="s">
        <v>4980</v>
      </c>
      <c r="G1718" s="2" t="s">
        <v>4931</v>
      </c>
      <c r="H1718" s="2" t="s">
        <v>5010</v>
      </c>
      <c r="I1718" s="20">
        <v>85.91</v>
      </c>
      <c r="J1718" s="2" t="s">
        <v>4933</v>
      </c>
    </row>
    <row r="1719" spans="1:10" ht="15.35" x14ac:dyDescent="0.55000000000000004">
      <c r="A1719" s="20">
        <v>16068</v>
      </c>
      <c r="B1719" s="2" t="s">
        <v>201</v>
      </c>
      <c r="C1719" s="2" t="s">
        <v>202</v>
      </c>
      <c r="D1719" s="2" t="s">
        <v>203</v>
      </c>
      <c r="E1719" s="2" t="s">
        <v>587</v>
      </c>
      <c r="F1719" s="2" t="s">
        <v>5016</v>
      </c>
      <c r="G1719" s="2" t="s">
        <v>4939</v>
      </c>
      <c r="H1719" s="2" t="s">
        <v>5078</v>
      </c>
      <c r="I1719" s="20">
        <v>116.7</v>
      </c>
      <c r="J1719" s="2" t="s">
        <v>4941</v>
      </c>
    </row>
    <row r="1720" spans="1:10" ht="15.35" x14ac:dyDescent="0.55000000000000004">
      <c r="A1720" s="20">
        <v>16072</v>
      </c>
      <c r="B1720" s="2" t="s">
        <v>201</v>
      </c>
      <c r="C1720" s="2" t="s">
        <v>202</v>
      </c>
      <c r="D1720" s="2" t="s">
        <v>203</v>
      </c>
      <c r="E1720" s="2" t="s">
        <v>587</v>
      </c>
      <c r="F1720" s="2" t="s">
        <v>5016</v>
      </c>
      <c r="G1720" s="2" t="s">
        <v>4975</v>
      </c>
      <c r="H1720" s="2" t="s">
        <v>5050</v>
      </c>
      <c r="I1720" s="20">
        <v>8878.73</v>
      </c>
      <c r="J1720" s="2" t="s">
        <v>4977</v>
      </c>
    </row>
    <row r="1721" spans="1:10" ht="15.35" x14ac:dyDescent="0.55000000000000004">
      <c r="A1721" s="20">
        <v>16087</v>
      </c>
      <c r="B1721" s="2" t="s">
        <v>201</v>
      </c>
      <c r="C1721" s="2" t="s">
        <v>202</v>
      </c>
      <c r="D1721" s="2" t="s">
        <v>203</v>
      </c>
      <c r="E1721" s="2" t="s">
        <v>587</v>
      </c>
      <c r="F1721" s="2" t="s">
        <v>5016</v>
      </c>
      <c r="G1721" s="2" t="s">
        <v>4931</v>
      </c>
      <c r="H1721" s="2" t="s">
        <v>5010</v>
      </c>
      <c r="I1721" s="20">
        <v>72.73</v>
      </c>
      <c r="J1721" s="2" t="s">
        <v>4933</v>
      </c>
    </row>
    <row r="1722" spans="1:10" ht="15.35" x14ac:dyDescent="0.55000000000000004">
      <c r="A1722" s="20">
        <v>16100</v>
      </c>
      <c r="B1722" s="2" t="s">
        <v>201</v>
      </c>
      <c r="C1722" s="2" t="s">
        <v>202</v>
      </c>
      <c r="D1722" s="2" t="s">
        <v>203</v>
      </c>
      <c r="E1722" s="2" t="s">
        <v>587</v>
      </c>
      <c r="F1722" s="2" t="s">
        <v>5016</v>
      </c>
      <c r="G1722" s="2" t="s">
        <v>4931</v>
      </c>
      <c r="H1722" s="2" t="s">
        <v>5028</v>
      </c>
      <c r="I1722" s="20">
        <v>71.73</v>
      </c>
      <c r="J1722" s="2" t="s">
        <v>4933</v>
      </c>
    </row>
    <row r="1723" spans="1:10" ht="15.35" x14ac:dyDescent="0.55000000000000004">
      <c r="A1723" s="20">
        <v>17855</v>
      </c>
      <c r="B1723" s="2" t="s">
        <v>201</v>
      </c>
      <c r="C1723" s="2" t="s">
        <v>202</v>
      </c>
      <c r="D1723" s="2" t="s">
        <v>203</v>
      </c>
      <c r="E1723" s="2" t="s">
        <v>587</v>
      </c>
      <c r="F1723" s="2" t="s">
        <v>5076</v>
      </c>
      <c r="G1723" s="2" t="s">
        <v>4975</v>
      </c>
      <c r="H1723" s="2" t="s">
        <v>5050</v>
      </c>
      <c r="I1723" s="20">
        <v>8244.7000000000007</v>
      </c>
      <c r="J1723" s="2" t="s">
        <v>4977</v>
      </c>
    </row>
    <row r="1724" spans="1:10" ht="15.35" x14ac:dyDescent="0.55000000000000004">
      <c r="A1724" s="20">
        <v>17856</v>
      </c>
      <c r="B1724" s="2" t="s">
        <v>201</v>
      </c>
      <c r="C1724" s="2" t="s">
        <v>202</v>
      </c>
      <c r="D1724" s="2" t="s">
        <v>203</v>
      </c>
      <c r="E1724" s="2" t="s">
        <v>587</v>
      </c>
      <c r="F1724" s="2" t="s">
        <v>5076</v>
      </c>
      <c r="G1724" s="2" t="s">
        <v>4939</v>
      </c>
      <c r="H1724" s="2" t="s">
        <v>5078</v>
      </c>
      <c r="I1724" s="20">
        <v>108.36</v>
      </c>
      <c r="J1724" s="2" t="s">
        <v>4941</v>
      </c>
    </row>
    <row r="1725" spans="1:10" ht="15.35" x14ac:dyDescent="0.55000000000000004">
      <c r="A1725" s="20">
        <v>17857</v>
      </c>
      <c r="B1725" s="2" t="s">
        <v>201</v>
      </c>
      <c r="C1725" s="2" t="s">
        <v>202</v>
      </c>
      <c r="D1725" s="2" t="s">
        <v>203</v>
      </c>
      <c r="E1725" s="2" t="s">
        <v>587</v>
      </c>
      <c r="F1725" s="2" t="s">
        <v>5076</v>
      </c>
      <c r="G1725" s="2" t="s">
        <v>4931</v>
      </c>
      <c r="H1725" s="2" t="s">
        <v>5028</v>
      </c>
      <c r="I1725" s="20">
        <v>67.27</v>
      </c>
      <c r="J1725" s="2" t="s">
        <v>4933</v>
      </c>
    </row>
    <row r="1726" spans="1:10" ht="15.35" x14ac:dyDescent="0.55000000000000004">
      <c r="A1726" s="20">
        <v>17859</v>
      </c>
      <c r="B1726" s="2" t="s">
        <v>201</v>
      </c>
      <c r="C1726" s="2" t="s">
        <v>202</v>
      </c>
      <c r="D1726" s="2" t="s">
        <v>203</v>
      </c>
      <c r="E1726" s="2" t="s">
        <v>587</v>
      </c>
      <c r="F1726" s="2" t="s">
        <v>5076</v>
      </c>
      <c r="G1726" s="2" t="s">
        <v>4931</v>
      </c>
      <c r="H1726" s="2" t="s">
        <v>5010</v>
      </c>
      <c r="I1726" s="20">
        <v>69</v>
      </c>
      <c r="J1726" s="2" t="s">
        <v>4933</v>
      </c>
    </row>
    <row r="1727" spans="1:10" ht="15.35" x14ac:dyDescent="0.55000000000000004">
      <c r="A1727" s="20">
        <v>15992</v>
      </c>
      <c r="B1727" s="2" t="s">
        <v>214</v>
      </c>
      <c r="C1727" s="2" t="s">
        <v>215</v>
      </c>
      <c r="D1727" s="2" t="s">
        <v>216</v>
      </c>
      <c r="E1727" s="2" t="s">
        <v>599</v>
      </c>
      <c r="F1727" s="2" t="s">
        <v>4979</v>
      </c>
      <c r="G1727" s="2" t="s">
        <v>4928</v>
      </c>
      <c r="H1727" s="2" t="s">
        <v>5014</v>
      </c>
      <c r="I1727" s="20">
        <v>3.21</v>
      </c>
      <c r="J1727" s="2" t="s">
        <v>5045</v>
      </c>
    </row>
    <row r="1728" spans="1:10" ht="15.35" x14ac:dyDescent="0.55000000000000004">
      <c r="A1728" s="20">
        <v>15996</v>
      </c>
      <c r="B1728" s="2" t="s">
        <v>214</v>
      </c>
      <c r="C1728" s="2" t="s">
        <v>215</v>
      </c>
      <c r="D1728" s="2" t="s">
        <v>216</v>
      </c>
      <c r="E1728" s="2" t="s">
        <v>599</v>
      </c>
      <c r="F1728" s="2" t="s">
        <v>4979</v>
      </c>
      <c r="G1728" s="2" t="s">
        <v>4931</v>
      </c>
      <c r="H1728" s="2" t="s">
        <v>5010</v>
      </c>
      <c r="I1728" s="20">
        <v>91.58</v>
      </c>
      <c r="J1728" s="2" t="s">
        <v>4933</v>
      </c>
    </row>
    <row r="1729" spans="1:10" ht="15.35" x14ac:dyDescent="0.55000000000000004">
      <c r="A1729" s="20">
        <v>19335</v>
      </c>
      <c r="B1729" s="2" t="s">
        <v>214</v>
      </c>
      <c r="C1729" s="2" t="s">
        <v>215</v>
      </c>
      <c r="D1729" s="2" t="s">
        <v>216</v>
      </c>
      <c r="E1729" s="2" t="s">
        <v>599</v>
      </c>
      <c r="F1729" s="2" t="s">
        <v>4979</v>
      </c>
      <c r="G1729" s="2" t="s">
        <v>4931</v>
      </c>
      <c r="H1729" s="2" t="s">
        <v>4937</v>
      </c>
      <c r="I1729" s="20">
        <v>86.76</v>
      </c>
      <c r="J1729" s="2" t="s">
        <v>4933</v>
      </c>
    </row>
    <row r="1730" spans="1:10" ht="15.35" x14ac:dyDescent="0.55000000000000004">
      <c r="A1730" s="20">
        <v>19333</v>
      </c>
      <c r="B1730" s="2" t="s">
        <v>214</v>
      </c>
      <c r="C1730" s="2" t="s">
        <v>215</v>
      </c>
      <c r="D1730" s="2" t="s">
        <v>216</v>
      </c>
      <c r="E1730" s="2" t="s">
        <v>599</v>
      </c>
      <c r="F1730" s="2" t="s">
        <v>4980</v>
      </c>
      <c r="G1730" s="2" t="s">
        <v>4931</v>
      </c>
      <c r="H1730" s="2" t="s">
        <v>4937</v>
      </c>
      <c r="I1730" s="20">
        <v>94.79</v>
      </c>
      <c r="J1730" s="2" t="s">
        <v>4933</v>
      </c>
    </row>
    <row r="1731" spans="1:10" ht="15.35" x14ac:dyDescent="0.55000000000000004">
      <c r="A1731" s="20">
        <v>15991</v>
      </c>
      <c r="B1731" s="2" t="s">
        <v>214</v>
      </c>
      <c r="C1731" s="2" t="s">
        <v>215</v>
      </c>
      <c r="D1731" s="2" t="s">
        <v>216</v>
      </c>
      <c r="E1731" s="2" t="s">
        <v>599</v>
      </c>
      <c r="F1731" s="2" t="s">
        <v>4980</v>
      </c>
      <c r="G1731" s="2" t="s">
        <v>4928</v>
      </c>
      <c r="H1731" s="2" t="s">
        <v>5014</v>
      </c>
      <c r="I1731" s="20">
        <v>4.55</v>
      </c>
      <c r="J1731" s="2" t="s">
        <v>5045</v>
      </c>
    </row>
    <row r="1732" spans="1:10" ht="15.35" x14ac:dyDescent="0.55000000000000004">
      <c r="A1732" s="20">
        <v>15995</v>
      </c>
      <c r="B1732" s="2" t="s">
        <v>214</v>
      </c>
      <c r="C1732" s="2" t="s">
        <v>215</v>
      </c>
      <c r="D1732" s="2" t="s">
        <v>216</v>
      </c>
      <c r="E1732" s="2" t="s">
        <v>599</v>
      </c>
      <c r="F1732" s="2" t="s">
        <v>4980</v>
      </c>
      <c r="G1732" s="2" t="s">
        <v>4931</v>
      </c>
      <c r="H1732" s="2" t="s">
        <v>5010</v>
      </c>
      <c r="I1732" s="20">
        <v>95.01</v>
      </c>
      <c r="J1732" s="2" t="s">
        <v>4933</v>
      </c>
    </row>
    <row r="1733" spans="1:10" ht="15.35" x14ac:dyDescent="0.55000000000000004">
      <c r="A1733" s="20">
        <v>15990</v>
      </c>
      <c r="B1733" s="2" t="s">
        <v>214</v>
      </c>
      <c r="C1733" s="2" t="s">
        <v>215</v>
      </c>
      <c r="D1733" s="2" t="s">
        <v>216</v>
      </c>
      <c r="E1733" s="2" t="s">
        <v>599</v>
      </c>
      <c r="F1733" s="2" t="s">
        <v>5016</v>
      </c>
      <c r="G1733" s="2" t="s">
        <v>4928</v>
      </c>
      <c r="H1733" s="2" t="s">
        <v>5014</v>
      </c>
      <c r="I1733" s="20">
        <v>5.15</v>
      </c>
      <c r="J1733" s="2" t="s">
        <v>5045</v>
      </c>
    </row>
    <row r="1734" spans="1:10" ht="15.35" x14ac:dyDescent="0.55000000000000004">
      <c r="A1734" s="20">
        <v>15994</v>
      </c>
      <c r="B1734" s="2" t="s">
        <v>214</v>
      </c>
      <c r="C1734" s="2" t="s">
        <v>215</v>
      </c>
      <c r="D1734" s="2" t="s">
        <v>216</v>
      </c>
      <c r="E1734" s="2" t="s">
        <v>599</v>
      </c>
      <c r="F1734" s="2" t="s">
        <v>5016</v>
      </c>
      <c r="G1734" s="2" t="s">
        <v>4931</v>
      </c>
      <c r="H1734" s="2" t="s">
        <v>5010</v>
      </c>
      <c r="I1734" s="20">
        <v>98.31</v>
      </c>
      <c r="J1734" s="2" t="s">
        <v>4933</v>
      </c>
    </row>
    <row r="1735" spans="1:10" ht="15.35" x14ac:dyDescent="0.55000000000000004">
      <c r="A1735" s="20">
        <v>19332</v>
      </c>
      <c r="B1735" s="2" t="s">
        <v>214</v>
      </c>
      <c r="C1735" s="2" t="s">
        <v>215</v>
      </c>
      <c r="D1735" s="2" t="s">
        <v>216</v>
      </c>
      <c r="E1735" s="2" t="s">
        <v>599</v>
      </c>
      <c r="F1735" s="2" t="s">
        <v>5016</v>
      </c>
      <c r="G1735" s="2" t="s">
        <v>4931</v>
      </c>
      <c r="H1735" s="2" t="s">
        <v>4937</v>
      </c>
      <c r="I1735" s="20">
        <v>94.14</v>
      </c>
      <c r="J1735" s="2" t="s">
        <v>4933</v>
      </c>
    </row>
    <row r="1736" spans="1:10" ht="15.35" x14ac:dyDescent="0.55000000000000004">
      <c r="A1736" s="20">
        <v>19329</v>
      </c>
      <c r="B1736" s="2" t="s">
        <v>214</v>
      </c>
      <c r="C1736" s="2" t="s">
        <v>215</v>
      </c>
      <c r="D1736" s="2" t="s">
        <v>216</v>
      </c>
      <c r="E1736" s="2" t="s">
        <v>599</v>
      </c>
      <c r="F1736" s="2" t="s">
        <v>5076</v>
      </c>
      <c r="G1736" s="2" t="s">
        <v>4928</v>
      </c>
      <c r="H1736" s="2" t="s">
        <v>5014</v>
      </c>
      <c r="I1736" s="20">
        <v>5</v>
      </c>
      <c r="J1736" s="2" t="s">
        <v>5045</v>
      </c>
    </row>
    <row r="1737" spans="1:10" ht="15.35" x14ac:dyDescent="0.55000000000000004">
      <c r="A1737" s="20">
        <v>19330</v>
      </c>
      <c r="B1737" s="2" t="s">
        <v>214</v>
      </c>
      <c r="C1737" s="2" t="s">
        <v>215</v>
      </c>
      <c r="D1737" s="2" t="s">
        <v>216</v>
      </c>
      <c r="E1737" s="2" t="s">
        <v>599</v>
      </c>
      <c r="F1737" s="2" t="s">
        <v>5076</v>
      </c>
      <c r="G1737" s="2" t="s">
        <v>4931</v>
      </c>
      <c r="H1737" s="2" t="s">
        <v>5010</v>
      </c>
      <c r="I1737" s="20">
        <v>95.63</v>
      </c>
      <c r="J1737" s="2" t="s">
        <v>4933</v>
      </c>
    </row>
    <row r="1738" spans="1:10" ht="15.35" x14ac:dyDescent="0.55000000000000004">
      <c r="A1738" s="20">
        <v>19331</v>
      </c>
      <c r="B1738" s="2" t="s">
        <v>214</v>
      </c>
      <c r="C1738" s="2" t="s">
        <v>215</v>
      </c>
      <c r="D1738" s="2" t="s">
        <v>216</v>
      </c>
      <c r="E1738" s="2" t="s">
        <v>599</v>
      </c>
      <c r="F1738" s="2" t="s">
        <v>5076</v>
      </c>
      <c r="G1738" s="2" t="s">
        <v>4931</v>
      </c>
      <c r="H1738" s="2" t="s">
        <v>4937</v>
      </c>
      <c r="I1738" s="20">
        <v>87.97</v>
      </c>
      <c r="J1738" s="2" t="s">
        <v>4933</v>
      </c>
    </row>
    <row r="1739" spans="1:10" ht="15.35" x14ac:dyDescent="0.55000000000000004">
      <c r="A1739" s="20">
        <v>19370</v>
      </c>
      <c r="B1739" s="2" t="s">
        <v>214</v>
      </c>
      <c r="C1739" s="2" t="s">
        <v>215</v>
      </c>
      <c r="D1739" s="2" t="s">
        <v>216</v>
      </c>
      <c r="E1739" s="2" t="s">
        <v>599</v>
      </c>
      <c r="F1739" s="2" t="s">
        <v>4949</v>
      </c>
      <c r="G1739" s="2" t="s">
        <v>4928</v>
      </c>
      <c r="H1739" s="2" t="s">
        <v>5014</v>
      </c>
      <c r="I1739" s="20">
        <v>4.8099999999999996</v>
      </c>
      <c r="J1739" s="2" t="s">
        <v>5045</v>
      </c>
    </row>
    <row r="1740" spans="1:10" ht="15.35" x14ac:dyDescent="0.55000000000000004">
      <c r="A1740" s="20">
        <v>19371</v>
      </c>
      <c r="B1740" s="2" t="s">
        <v>214</v>
      </c>
      <c r="C1740" s="2" t="s">
        <v>215</v>
      </c>
      <c r="D1740" s="2" t="s">
        <v>216</v>
      </c>
      <c r="E1740" s="2" t="s">
        <v>599</v>
      </c>
      <c r="F1740" s="2" t="s">
        <v>4949</v>
      </c>
      <c r="G1740" s="2" t="s">
        <v>4931</v>
      </c>
      <c r="H1740" s="2" t="s">
        <v>5010</v>
      </c>
      <c r="I1740" s="20">
        <v>95.75</v>
      </c>
      <c r="J1740" s="2" t="s">
        <v>4933</v>
      </c>
    </row>
    <row r="1741" spans="1:10" ht="15.35" x14ac:dyDescent="0.55000000000000004">
      <c r="A1741" s="20">
        <v>19372</v>
      </c>
      <c r="B1741" s="2" t="s">
        <v>214</v>
      </c>
      <c r="C1741" s="2" t="s">
        <v>215</v>
      </c>
      <c r="D1741" s="2" t="s">
        <v>216</v>
      </c>
      <c r="E1741" s="2" t="s">
        <v>599</v>
      </c>
      <c r="F1741" s="2" t="s">
        <v>4949</v>
      </c>
      <c r="G1741" s="2" t="s">
        <v>4931</v>
      </c>
      <c r="H1741" s="2" t="s">
        <v>4937</v>
      </c>
      <c r="I1741" s="20">
        <v>84.49</v>
      </c>
      <c r="J1741" s="2" t="s">
        <v>4933</v>
      </c>
    </row>
    <row r="1742" spans="1:10" ht="15.35" x14ac:dyDescent="0.55000000000000004">
      <c r="A1742" s="20">
        <v>19328</v>
      </c>
      <c r="B1742" s="2" t="s">
        <v>214</v>
      </c>
      <c r="C1742" s="2" t="s">
        <v>215</v>
      </c>
      <c r="D1742" s="2" t="s">
        <v>216</v>
      </c>
      <c r="E1742" s="2" t="s">
        <v>605</v>
      </c>
      <c r="F1742" s="2" t="s">
        <v>4979</v>
      </c>
      <c r="G1742" s="2" t="s">
        <v>4931</v>
      </c>
      <c r="H1742" s="2" t="s">
        <v>4937</v>
      </c>
      <c r="I1742" s="20">
        <v>98.69</v>
      </c>
      <c r="J1742" s="2" t="s">
        <v>4933</v>
      </c>
    </row>
    <row r="1743" spans="1:10" ht="15.35" x14ac:dyDescent="0.55000000000000004">
      <c r="A1743" s="20">
        <v>16019</v>
      </c>
      <c r="B1743" s="2" t="s">
        <v>214</v>
      </c>
      <c r="C1743" s="2" t="s">
        <v>215</v>
      </c>
      <c r="D1743" s="2" t="s">
        <v>216</v>
      </c>
      <c r="E1743" s="2" t="s">
        <v>605</v>
      </c>
      <c r="F1743" s="2" t="s">
        <v>4979</v>
      </c>
      <c r="G1743" s="2" t="s">
        <v>4928</v>
      </c>
      <c r="H1743" s="2" t="s">
        <v>5014</v>
      </c>
      <c r="I1743" s="20">
        <v>2.79</v>
      </c>
      <c r="J1743" s="2" t="s">
        <v>5045</v>
      </c>
    </row>
    <row r="1744" spans="1:10" ht="15.35" x14ac:dyDescent="0.55000000000000004">
      <c r="A1744" s="20">
        <v>16023</v>
      </c>
      <c r="B1744" s="2" t="s">
        <v>214</v>
      </c>
      <c r="C1744" s="2" t="s">
        <v>215</v>
      </c>
      <c r="D1744" s="2" t="s">
        <v>216</v>
      </c>
      <c r="E1744" s="2" t="s">
        <v>605</v>
      </c>
      <c r="F1744" s="2" t="s">
        <v>4979</v>
      </c>
      <c r="G1744" s="2" t="s">
        <v>4931</v>
      </c>
      <c r="H1744" s="2" t="s">
        <v>5010</v>
      </c>
      <c r="I1744" s="20">
        <v>96.96</v>
      </c>
      <c r="J1744" s="2" t="s">
        <v>4933</v>
      </c>
    </row>
    <row r="1745" spans="1:10" ht="15.35" x14ac:dyDescent="0.55000000000000004">
      <c r="A1745" s="20">
        <v>16018</v>
      </c>
      <c r="B1745" s="2" t="s">
        <v>214</v>
      </c>
      <c r="C1745" s="2" t="s">
        <v>215</v>
      </c>
      <c r="D1745" s="2" t="s">
        <v>216</v>
      </c>
      <c r="E1745" s="2" t="s">
        <v>605</v>
      </c>
      <c r="F1745" s="2" t="s">
        <v>4980</v>
      </c>
      <c r="G1745" s="2" t="s">
        <v>4928</v>
      </c>
      <c r="H1745" s="2" t="s">
        <v>5014</v>
      </c>
      <c r="I1745" s="20">
        <v>3.23</v>
      </c>
      <c r="J1745" s="2" t="s">
        <v>5045</v>
      </c>
    </row>
    <row r="1746" spans="1:10" ht="15.35" x14ac:dyDescent="0.55000000000000004">
      <c r="A1746" s="20">
        <v>16022</v>
      </c>
      <c r="B1746" s="2" t="s">
        <v>214</v>
      </c>
      <c r="C1746" s="2" t="s">
        <v>215</v>
      </c>
      <c r="D1746" s="2" t="s">
        <v>216</v>
      </c>
      <c r="E1746" s="2" t="s">
        <v>605</v>
      </c>
      <c r="F1746" s="2" t="s">
        <v>4980</v>
      </c>
      <c r="G1746" s="2" t="s">
        <v>4931</v>
      </c>
      <c r="H1746" s="2" t="s">
        <v>5010</v>
      </c>
      <c r="I1746" s="20">
        <v>98.96</v>
      </c>
      <c r="J1746" s="2" t="s">
        <v>4933</v>
      </c>
    </row>
    <row r="1747" spans="1:10" ht="15.35" x14ac:dyDescent="0.55000000000000004">
      <c r="A1747" s="20">
        <v>19327</v>
      </c>
      <c r="B1747" s="2" t="s">
        <v>214</v>
      </c>
      <c r="C1747" s="2" t="s">
        <v>215</v>
      </c>
      <c r="D1747" s="2" t="s">
        <v>216</v>
      </c>
      <c r="E1747" s="2" t="s">
        <v>605</v>
      </c>
      <c r="F1747" s="2" t="s">
        <v>4980</v>
      </c>
      <c r="G1747" s="2" t="s">
        <v>4931</v>
      </c>
      <c r="H1747" s="2" t="s">
        <v>4937</v>
      </c>
      <c r="I1747" s="20">
        <v>98.2</v>
      </c>
      <c r="J1747" s="2" t="s">
        <v>4933</v>
      </c>
    </row>
    <row r="1748" spans="1:10" ht="15.35" x14ac:dyDescent="0.55000000000000004">
      <c r="A1748" s="20">
        <v>19326</v>
      </c>
      <c r="B1748" s="2" t="s">
        <v>214</v>
      </c>
      <c r="C1748" s="2" t="s">
        <v>215</v>
      </c>
      <c r="D1748" s="2" t="s">
        <v>216</v>
      </c>
      <c r="E1748" s="2" t="s">
        <v>605</v>
      </c>
      <c r="F1748" s="2" t="s">
        <v>5016</v>
      </c>
      <c r="G1748" s="2" t="s">
        <v>4931</v>
      </c>
      <c r="H1748" s="2" t="s">
        <v>4937</v>
      </c>
      <c r="I1748" s="20">
        <v>98.6</v>
      </c>
      <c r="J1748" s="2" t="s">
        <v>4933</v>
      </c>
    </row>
    <row r="1749" spans="1:10" ht="15.35" x14ac:dyDescent="0.55000000000000004">
      <c r="A1749" s="20">
        <v>16000</v>
      </c>
      <c r="B1749" s="2" t="s">
        <v>214</v>
      </c>
      <c r="C1749" s="2" t="s">
        <v>215</v>
      </c>
      <c r="D1749" s="2" t="s">
        <v>216</v>
      </c>
      <c r="E1749" s="2" t="s">
        <v>605</v>
      </c>
      <c r="F1749" s="2" t="s">
        <v>5016</v>
      </c>
      <c r="G1749" s="2" t="s">
        <v>4928</v>
      </c>
      <c r="H1749" s="2" t="s">
        <v>5014</v>
      </c>
      <c r="I1749" s="20">
        <v>3.29</v>
      </c>
      <c r="J1749" s="2" t="s">
        <v>5045</v>
      </c>
    </row>
    <row r="1750" spans="1:10" ht="15.35" x14ac:dyDescent="0.55000000000000004">
      <c r="A1750" s="20">
        <v>16021</v>
      </c>
      <c r="B1750" s="2" t="s">
        <v>214</v>
      </c>
      <c r="C1750" s="2" t="s">
        <v>215</v>
      </c>
      <c r="D1750" s="2" t="s">
        <v>216</v>
      </c>
      <c r="E1750" s="2" t="s">
        <v>605</v>
      </c>
      <c r="F1750" s="2" t="s">
        <v>5016</v>
      </c>
      <c r="G1750" s="2" t="s">
        <v>4931</v>
      </c>
      <c r="H1750" s="2" t="s">
        <v>5010</v>
      </c>
      <c r="I1750" s="20">
        <v>99.05</v>
      </c>
      <c r="J1750" s="2" t="s">
        <v>4933</v>
      </c>
    </row>
    <row r="1751" spans="1:10" ht="15.35" x14ac:dyDescent="0.55000000000000004">
      <c r="A1751" s="20">
        <v>19324</v>
      </c>
      <c r="B1751" s="2" t="s">
        <v>214</v>
      </c>
      <c r="C1751" s="2" t="s">
        <v>215</v>
      </c>
      <c r="D1751" s="2" t="s">
        <v>216</v>
      </c>
      <c r="E1751" s="2" t="s">
        <v>605</v>
      </c>
      <c r="F1751" s="2" t="s">
        <v>5076</v>
      </c>
      <c r="G1751" s="2" t="s">
        <v>4931</v>
      </c>
      <c r="H1751" s="2" t="s">
        <v>5010</v>
      </c>
      <c r="I1751" s="20">
        <v>99.27</v>
      </c>
      <c r="J1751" s="2" t="s">
        <v>4933</v>
      </c>
    </row>
    <row r="1752" spans="1:10" ht="15.35" x14ac:dyDescent="0.55000000000000004">
      <c r="A1752" s="20">
        <v>19325</v>
      </c>
      <c r="B1752" s="2" t="s">
        <v>214</v>
      </c>
      <c r="C1752" s="2" t="s">
        <v>215</v>
      </c>
      <c r="D1752" s="2" t="s">
        <v>216</v>
      </c>
      <c r="E1752" s="2" t="s">
        <v>605</v>
      </c>
      <c r="F1752" s="2" t="s">
        <v>5076</v>
      </c>
      <c r="G1752" s="2" t="s">
        <v>4931</v>
      </c>
      <c r="H1752" s="2" t="s">
        <v>4937</v>
      </c>
      <c r="I1752" s="20">
        <v>99.34</v>
      </c>
      <c r="J1752" s="2" t="s">
        <v>4933</v>
      </c>
    </row>
    <row r="1753" spans="1:10" ht="15.35" x14ac:dyDescent="0.55000000000000004">
      <c r="A1753" s="20">
        <v>19334</v>
      </c>
      <c r="B1753" s="2" t="s">
        <v>214</v>
      </c>
      <c r="C1753" s="2" t="s">
        <v>215</v>
      </c>
      <c r="D1753" s="2" t="s">
        <v>216</v>
      </c>
      <c r="E1753" s="2" t="s">
        <v>605</v>
      </c>
      <c r="F1753" s="2" t="s">
        <v>5076</v>
      </c>
      <c r="G1753" s="2" t="s">
        <v>4928</v>
      </c>
      <c r="H1753" s="2" t="s">
        <v>5014</v>
      </c>
      <c r="I1753" s="20">
        <v>3.38</v>
      </c>
      <c r="J1753" s="2" t="s">
        <v>5045</v>
      </c>
    </row>
    <row r="1754" spans="1:10" ht="15.35" x14ac:dyDescent="0.55000000000000004">
      <c r="A1754" s="20">
        <v>19367</v>
      </c>
      <c r="B1754" s="2" t="s">
        <v>214</v>
      </c>
      <c r="C1754" s="2" t="s">
        <v>215</v>
      </c>
      <c r="D1754" s="2" t="s">
        <v>216</v>
      </c>
      <c r="E1754" s="2" t="s">
        <v>605</v>
      </c>
      <c r="F1754" s="2" t="s">
        <v>4949</v>
      </c>
      <c r="G1754" s="2" t="s">
        <v>4928</v>
      </c>
      <c r="H1754" s="2" t="s">
        <v>5014</v>
      </c>
      <c r="I1754" s="20">
        <v>3.51</v>
      </c>
      <c r="J1754" s="2" t="s">
        <v>5045</v>
      </c>
    </row>
    <row r="1755" spans="1:10" ht="15.35" x14ac:dyDescent="0.55000000000000004">
      <c r="A1755" s="20">
        <v>19368</v>
      </c>
      <c r="B1755" s="2" t="s">
        <v>214</v>
      </c>
      <c r="C1755" s="2" t="s">
        <v>215</v>
      </c>
      <c r="D1755" s="2" t="s">
        <v>216</v>
      </c>
      <c r="E1755" s="2" t="s">
        <v>605</v>
      </c>
      <c r="F1755" s="2" t="s">
        <v>4949</v>
      </c>
      <c r="G1755" s="2" t="s">
        <v>4931</v>
      </c>
      <c r="H1755" s="2" t="s">
        <v>5010</v>
      </c>
      <c r="I1755" s="20">
        <v>99.9</v>
      </c>
      <c r="J1755" s="2" t="s">
        <v>4933</v>
      </c>
    </row>
    <row r="1756" spans="1:10" ht="15.35" x14ac:dyDescent="0.55000000000000004">
      <c r="A1756" s="20">
        <v>19369</v>
      </c>
      <c r="B1756" s="2" t="s">
        <v>214</v>
      </c>
      <c r="C1756" s="2" t="s">
        <v>215</v>
      </c>
      <c r="D1756" s="2" t="s">
        <v>216</v>
      </c>
      <c r="E1756" s="2" t="s">
        <v>605</v>
      </c>
      <c r="F1756" s="2" t="s">
        <v>4949</v>
      </c>
      <c r="G1756" s="2" t="s">
        <v>4931</v>
      </c>
      <c r="H1756" s="2" t="s">
        <v>4937</v>
      </c>
      <c r="I1756" s="20">
        <v>98.09</v>
      </c>
      <c r="J1756" s="2" t="s">
        <v>4933</v>
      </c>
    </row>
    <row r="1757" spans="1:10" ht="15.35" x14ac:dyDescent="0.55000000000000004">
      <c r="A1757" s="20">
        <v>16055</v>
      </c>
      <c r="B1757" s="2" t="s">
        <v>217</v>
      </c>
      <c r="C1757" s="2" t="s">
        <v>218</v>
      </c>
      <c r="D1757" s="2" t="s">
        <v>219</v>
      </c>
      <c r="E1757" s="2" t="s">
        <v>615</v>
      </c>
      <c r="F1757" s="2" t="s">
        <v>4980</v>
      </c>
      <c r="G1757" s="2" t="s">
        <v>4939</v>
      </c>
      <c r="H1757" s="2" t="s">
        <v>5079</v>
      </c>
      <c r="I1757" s="20">
        <v>369.61</v>
      </c>
      <c r="J1757" s="2" t="s">
        <v>5080</v>
      </c>
    </row>
    <row r="1758" spans="1:10" ht="15.35" x14ac:dyDescent="0.55000000000000004">
      <c r="A1758" s="20">
        <v>16067</v>
      </c>
      <c r="B1758" s="2" t="s">
        <v>217</v>
      </c>
      <c r="C1758" s="2" t="s">
        <v>218</v>
      </c>
      <c r="D1758" s="2" t="s">
        <v>219</v>
      </c>
      <c r="E1758" s="2" t="s">
        <v>615</v>
      </c>
      <c r="F1758" s="2" t="s">
        <v>4980</v>
      </c>
      <c r="G1758" s="2" t="s">
        <v>4931</v>
      </c>
      <c r="H1758" s="2" t="s">
        <v>5081</v>
      </c>
      <c r="I1758" s="20">
        <v>80.819999999999993</v>
      </c>
      <c r="J1758" s="2" t="s">
        <v>4933</v>
      </c>
    </row>
    <row r="1759" spans="1:10" ht="15.35" x14ac:dyDescent="0.55000000000000004">
      <c r="A1759" s="20">
        <v>16032</v>
      </c>
      <c r="B1759" s="2" t="s">
        <v>217</v>
      </c>
      <c r="C1759" s="2" t="s">
        <v>218</v>
      </c>
      <c r="D1759" s="2" t="s">
        <v>219</v>
      </c>
      <c r="E1759" s="2" t="s">
        <v>615</v>
      </c>
      <c r="F1759" s="2" t="s">
        <v>5016</v>
      </c>
      <c r="G1759" s="2" t="s">
        <v>4931</v>
      </c>
      <c r="H1759" s="2" t="s">
        <v>5081</v>
      </c>
      <c r="I1759" s="20">
        <v>83.07</v>
      </c>
      <c r="J1759" s="2" t="s">
        <v>4933</v>
      </c>
    </row>
    <row r="1760" spans="1:10" ht="15.35" x14ac:dyDescent="0.55000000000000004">
      <c r="A1760" s="20">
        <v>16065</v>
      </c>
      <c r="B1760" s="2" t="s">
        <v>217</v>
      </c>
      <c r="C1760" s="2" t="s">
        <v>218</v>
      </c>
      <c r="D1760" s="2" t="s">
        <v>219</v>
      </c>
      <c r="E1760" s="2" t="s">
        <v>615</v>
      </c>
      <c r="F1760" s="2" t="s">
        <v>5016</v>
      </c>
      <c r="G1760" s="2" t="s">
        <v>4939</v>
      </c>
      <c r="H1760" s="2" t="s">
        <v>5079</v>
      </c>
      <c r="I1760" s="20">
        <v>372.82</v>
      </c>
      <c r="J1760" s="2" t="s">
        <v>5080</v>
      </c>
    </row>
    <row r="1761" spans="1:11" ht="15.35" x14ac:dyDescent="0.55000000000000004">
      <c r="A1761" s="20">
        <v>16031</v>
      </c>
      <c r="B1761" s="2" t="s">
        <v>217</v>
      </c>
      <c r="C1761" s="2" t="s">
        <v>218</v>
      </c>
      <c r="D1761" s="2" t="s">
        <v>219</v>
      </c>
      <c r="E1761" s="2" t="s">
        <v>615</v>
      </c>
      <c r="F1761" s="2" t="s">
        <v>5076</v>
      </c>
      <c r="G1761" s="2" t="s">
        <v>4931</v>
      </c>
      <c r="H1761" s="2" t="s">
        <v>5081</v>
      </c>
      <c r="I1761" s="20">
        <v>90.36</v>
      </c>
      <c r="J1761" s="2" t="s">
        <v>4933</v>
      </c>
    </row>
    <row r="1762" spans="1:11" ht="15.35" x14ac:dyDescent="0.55000000000000004">
      <c r="A1762" s="20">
        <v>16066</v>
      </c>
      <c r="B1762" s="2" t="s">
        <v>217</v>
      </c>
      <c r="C1762" s="2" t="s">
        <v>218</v>
      </c>
      <c r="D1762" s="2" t="s">
        <v>219</v>
      </c>
      <c r="E1762" s="2" t="s">
        <v>615</v>
      </c>
      <c r="F1762" s="2" t="s">
        <v>5076</v>
      </c>
      <c r="G1762" s="2" t="s">
        <v>4939</v>
      </c>
      <c r="H1762" s="2" t="s">
        <v>5079</v>
      </c>
      <c r="I1762" s="20">
        <v>359.71</v>
      </c>
      <c r="J1762" s="2" t="s">
        <v>5080</v>
      </c>
    </row>
    <row r="1763" spans="1:11" ht="15.35" x14ac:dyDescent="0.55000000000000004">
      <c r="A1763" s="20">
        <v>19400</v>
      </c>
      <c r="B1763" s="2" t="s">
        <v>217</v>
      </c>
      <c r="C1763" s="2" t="s">
        <v>218</v>
      </c>
      <c r="D1763" s="2" t="s">
        <v>219</v>
      </c>
      <c r="E1763" s="2" t="s">
        <v>615</v>
      </c>
      <c r="F1763" s="2" t="s">
        <v>4949</v>
      </c>
      <c r="G1763" s="2" t="s">
        <v>4939</v>
      </c>
      <c r="H1763" s="2" t="s">
        <v>5079</v>
      </c>
      <c r="I1763" s="20">
        <v>338.22</v>
      </c>
      <c r="J1763" s="2" t="s">
        <v>5080</v>
      </c>
    </row>
    <row r="1764" spans="1:11" ht="15.35" x14ac:dyDescent="0.55000000000000004">
      <c r="A1764" s="20">
        <v>19401</v>
      </c>
      <c r="B1764" s="2" t="s">
        <v>217</v>
      </c>
      <c r="C1764" s="2" t="s">
        <v>218</v>
      </c>
      <c r="D1764" s="2" t="s">
        <v>219</v>
      </c>
      <c r="E1764" s="2" t="s">
        <v>615</v>
      </c>
      <c r="F1764" s="2" t="s">
        <v>4949</v>
      </c>
      <c r="G1764" s="2" t="s">
        <v>4931</v>
      </c>
      <c r="H1764" s="2" t="s">
        <v>5081</v>
      </c>
      <c r="I1764" s="20">
        <v>90.09</v>
      </c>
      <c r="J1764" s="2" t="s">
        <v>4933</v>
      </c>
    </row>
    <row r="1765" spans="1:11" ht="15.35" x14ac:dyDescent="0.55000000000000004">
      <c r="A1765" s="20">
        <v>16035</v>
      </c>
      <c r="B1765" s="2" t="s">
        <v>217</v>
      </c>
      <c r="C1765" s="2" t="s">
        <v>218</v>
      </c>
      <c r="D1765" s="2" t="s">
        <v>219</v>
      </c>
      <c r="E1765" s="2" t="s">
        <v>619</v>
      </c>
      <c r="F1765" s="2" t="s">
        <v>4980</v>
      </c>
      <c r="G1765" s="2" t="s">
        <v>4931</v>
      </c>
      <c r="H1765" s="2" t="s">
        <v>5081</v>
      </c>
      <c r="I1765" s="20">
        <v>91.69</v>
      </c>
      <c r="J1765" s="2" t="s">
        <v>4933</v>
      </c>
      <c r="K1765" s="2" t="s">
        <v>5084</v>
      </c>
    </row>
    <row r="1766" spans="1:11" ht="15.35" x14ac:dyDescent="0.55000000000000004">
      <c r="A1766" s="20">
        <v>16038</v>
      </c>
      <c r="B1766" s="2" t="s">
        <v>217</v>
      </c>
      <c r="C1766" s="2" t="s">
        <v>218</v>
      </c>
      <c r="D1766" s="2" t="s">
        <v>219</v>
      </c>
      <c r="E1766" s="2" t="s">
        <v>619</v>
      </c>
      <c r="F1766" s="2" t="s">
        <v>4980</v>
      </c>
      <c r="G1766" s="2" t="s">
        <v>4939</v>
      </c>
      <c r="H1766" s="2" t="s">
        <v>5079</v>
      </c>
      <c r="I1766" s="20">
        <v>485.27</v>
      </c>
      <c r="J1766" s="2" t="s">
        <v>5080</v>
      </c>
      <c r="K1766" s="2" t="s">
        <v>5085</v>
      </c>
    </row>
    <row r="1767" spans="1:11" ht="15.35" x14ac:dyDescent="0.55000000000000004">
      <c r="A1767" s="20">
        <v>16041</v>
      </c>
      <c r="B1767" s="2" t="s">
        <v>217</v>
      </c>
      <c r="C1767" s="2" t="s">
        <v>218</v>
      </c>
      <c r="D1767" s="2" t="s">
        <v>219</v>
      </c>
      <c r="E1767" s="2" t="s">
        <v>619</v>
      </c>
      <c r="F1767" s="2" t="s">
        <v>4980</v>
      </c>
      <c r="G1767" s="2" t="s">
        <v>4931</v>
      </c>
      <c r="H1767" s="2" t="s">
        <v>5081</v>
      </c>
      <c r="I1767" s="20">
        <v>91</v>
      </c>
      <c r="J1767" s="2" t="s">
        <v>4933</v>
      </c>
      <c r="K1767" s="2" t="s">
        <v>5085</v>
      </c>
    </row>
    <row r="1768" spans="1:11" ht="15.35" x14ac:dyDescent="0.55000000000000004">
      <c r="A1768" s="20">
        <v>16088</v>
      </c>
      <c r="B1768" s="2" t="s">
        <v>217</v>
      </c>
      <c r="C1768" s="2" t="s">
        <v>218</v>
      </c>
      <c r="D1768" s="2" t="s">
        <v>219</v>
      </c>
      <c r="E1768" s="2" t="s">
        <v>619</v>
      </c>
      <c r="F1768" s="2" t="s">
        <v>4980</v>
      </c>
      <c r="G1768" s="2" t="s">
        <v>4939</v>
      </c>
      <c r="H1768" s="2" t="s">
        <v>5079</v>
      </c>
      <c r="I1768" s="20">
        <v>522.03</v>
      </c>
      <c r="J1768" s="2" t="s">
        <v>5080</v>
      </c>
      <c r="K1768" s="2" t="s">
        <v>5084</v>
      </c>
    </row>
    <row r="1769" spans="1:11" ht="15.35" x14ac:dyDescent="0.55000000000000004">
      <c r="A1769" s="20">
        <v>16033</v>
      </c>
      <c r="B1769" s="2" t="s">
        <v>217</v>
      </c>
      <c r="C1769" s="2" t="s">
        <v>218</v>
      </c>
      <c r="D1769" s="2" t="s">
        <v>219</v>
      </c>
      <c r="E1769" s="2" t="s">
        <v>619</v>
      </c>
      <c r="F1769" s="2" t="s">
        <v>5016</v>
      </c>
      <c r="G1769" s="2" t="s">
        <v>4939</v>
      </c>
      <c r="H1769" s="2" t="s">
        <v>5079</v>
      </c>
      <c r="I1769" s="20">
        <v>502.25</v>
      </c>
      <c r="J1769" s="2" t="s">
        <v>5080</v>
      </c>
      <c r="K1769" s="2" t="s">
        <v>5084</v>
      </c>
    </row>
    <row r="1770" spans="1:11" ht="15.35" x14ac:dyDescent="0.55000000000000004">
      <c r="A1770" s="20">
        <v>16036</v>
      </c>
      <c r="B1770" s="2" t="s">
        <v>217</v>
      </c>
      <c r="C1770" s="2" t="s">
        <v>218</v>
      </c>
      <c r="D1770" s="2" t="s">
        <v>219</v>
      </c>
      <c r="E1770" s="2" t="s">
        <v>619</v>
      </c>
      <c r="F1770" s="2" t="s">
        <v>5016</v>
      </c>
      <c r="G1770" s="2" t="s">
        <v>4931</v>
      </c>
      <c r="H1770" s="2" t="s">
        <v>5081</v>
      </c>
      <c r="I1770" s="20">
        <v>96.22</v>
      </c>
      <c r="J1770" s="2" t="s">
        <v>4933</v>
      </c>
      <c r="K1770" s="2" t="s">
        <v>5084</v>
      </c>
    </row>
    <row r="1771" spans="1:11" ht="15.35" x14ac:dyDescent="0.55000000000000004">
      <c r="A1771" s="20">
        <v>16039</v>
      </c>
      <c r="B1771" s="2" t="s">
        <v>217</v>
      </c>
      <c r="C1771" s="2" t="s">
        <v>218</v>
      </c>
      <c r="D1771" s="2" t="s">
        <v>219</v>
      </c>
      <c r="E1771" s="2" t="s">
        <v>619</v>
      </c>
      <c r="F1771" s="2" t="s">
        <v>5016</v>
      </c>
      <c r="G1771" s="2" t="s">
        <v>4939</v>
      </c>
      <c r="H1771" s="2" t="s">
        <v>5079</v>
      </c>
      <c r="I1771" s="20">
        <v>471.71</v>
      </c>
      <c r="J1771" s="2" t="s">
        <v>5080</v>
      </c>
      <c r="K1771" s="2" t="s">
        <v>5085</v>
      </c>
    </row>
    <row r="1772" spans="1:11" ht="15.35" x14ac:dyDescent="0.55000000000000004">
      <c r="A1772" s="20">
        <v>16042</v>
      </c>
      <c r="B1772" s="2" t="s">
        <v>217</v>
      </c>
      <c r="C1772" s="2" t="s">
        <v>218</v>
      </c>
      <c r="D1772" s="2" t="s">
        <v>219</v>
      </c>
      <c r="E1772" s="2" t="s">
        <v>619</v>
      </c>
      <c r="F1772" s="2" t="s">
        <v>5016</v>
      </c>
      <c r="G1772" s="2" t="s">
        <v>4931</v>
      </c>
      <c r="H1772" s="2" t="s">
        <v>5081</v>
      </c>
      <c r="I1772" s="20">
        <v>97.54</v>
      </c>
      <c r="J1772" s="2" t="s">
        <v>4933</v>
      </c>
      <c r="K1772" s="2" t="s">
        <v>5085</v>
      </c>
    </row>
    <row r="1773" spans="1:11" ht="15.35" x14ac:dyDescent="0.55000000000000004">
      <c r="A1773" s="20">
        <v>16034</v>
      </c>
      <c r="B1773" s="2" t="s">
        <v>217</v>
      </c>
      <c r="C1773" s="2" t="s">
        <v>218</v>
      </c>
      <c r="D1773" s="2" t="s">
        <v>219</v>
      </c>
      <c r="E1773" s="2" t="s">
        <v>619</v>
      </c>
      <c r="F1773" s="2" t="s">
        <v>5076</v>
      </c>
      <c r="G1773" s="2" t="s">
        <v>4939</v>
      </c>
      <c r="H1773" s="2" t="s">
        <v>5079</v>
      </c>
      <c r="I1773" s="20">
        <v>495.58</v>
      </c>
      <c r="J1773" s="2" t="s">
        <v>5080</v>
      </c>
      <c r="K1773" s="2" t="s">
        <v>5084</v>
      </c>
    </row>
    <row r="1774" spans="1:11" ht="15.35" x14ac:dyDescent="0.55000000000000004">
      <c r="A1774" s="20">
        <v>16037</v>
      </c>
      <c r="B1774" s="2" t="s">
        <v>217</v>
      </c>
      <c r="C1774" s="2" t="s">
        <v>218</v>
      </c>
      <c r="D1774" s="2" t="s">
        <v>219</v>
      </c>
      <c r="E1774" s="2" t="s">
        <v>619</v>
      </c>
      <c r="F1774" s="2" t="s">
        <v>5076</v>
      </c>
      <c r="G1774" s="2" t="s">
        <v>4931</v>
      </c>
      <c r="H1774" s="2" t="s">
        <v>5081</v>
      </c>
      <c r="I1774" s="20">
        <v>92.46</v>
      </c>
      <c r="J1774" s="2" t="s">
        <v>4933</v>
      </c>
      <c r="K1774" s="2" t="s">
        <v>5084</v>
      </c>
    </row>
    <row r="1775" spans="1:11" ht="15.35" x14ac:dyDescent="0.55000000000000004">
      <c r="A1775" s="20">
        <v>16040</v>
      </c>
      <c r="B1775" s="2" t="s">
        <v>217</v>
      </c>
      <c r="C1775" s="2" t="s">
        <v>218</v>
      </c>
      <c r="D1775" s="2" t="s">
        <v>219</v>
      </c>
      <c r="E1775" s="2" t="s">
        <v>619</v>
      </c>
      <c r="F1775" s="2" t="s">
        <v>5076</v>
      </c>
      <c r="G1775" s="2" t="s">
        <v>4939</v>
      </c>
      <c r="H1775" s="2" t="s">
        <v>5079</v>
      </c>
      <c r="I1775" s="20">
        <v>443.91</v>
      </c>
      <c r="J1775" s="2" t="s">
        <v>5080</v>
      </c>
      <c r="K1775" s="2" t="s">
        <v>5085</v>
      </c>
    </row>
    <row r="1776" spans="1:11" ht="15.35" x14ac:dyDescent="0.55000000000000004">
      <c r="A1776" s="20">
        <v>16043</v>
      </c>
      <c r="B1776" s="2" t="s">
        <v>217</v>
      </c>
      <c r="C1776" s="2" t="s">
        <v>218</v>
      </c>
      <c r="D1776" s="2" t="s">
        <v>219</v>
      </c>
      <c r="E1776" s="2" t="s">
        <v>619</v>
      </c>
      <c r="F1776" s="2" t="s">
        <v>5076</v>
      </c>
      <c r="G1776" s="2" t="s">
        <v>4931</v>
      </c>
      <c r="H1776" s="2" t="s">
        <v>5081</v>
      </c>
      <c r="I1776" s="20">
        <v>94.96</v>
      </c>
      <c r="J1776" s="2" t="s">
        <v>4933</v>
      </c>
      <c r="K1776" s="2" t="s">
        <v>5085</v>
      </c>
    </row>
    <row r="1777" spans="1:11" ht="15.35" x14ac:dyDescent="0.55000000000000004">
      <c r="A1777" s="20">
        <v>19397</v>
      </c>
      <c r="B1777" s="2" t="s">
        <v>217</v>
      </c>
      <c r="C1777" s="2" t="s">
        <v>218</v>
      </c>
      <c r="D1777" s="2" t="s">
        <v>219</v>
      </c>
      <c r="E1777" s="2" t="s">
        <v>619</v>
      </c>
      <c r="F1777" s="2" t="s">
        <v>4949</v>
      </c>
      <c r="G1777" s="2" t="s">
        <v>4931</v>
      </c>
      <c r="H1777" s="2" t="s">
        <v>5081</v>
      </c>
      <c r="I1777" s="20">
        <v>88.88</v>
      </c>
      <c r="J1777" s="2" t="s">
        <v>4933</v>
      </c>
      <c r="K1777" s="2" t="s">
        <v>5084</v>
      </c>
    </row>
    <row r="1778" spans="1:11" ht="15.35" x14ac:dyDescent="0.55000000000000004">
      <c r="A1778" s="20">
        <v>19398</v>
      </c>
      <c r="B1778" s="2" t="s">
        <v>217</v>
      </c>
      <c r="C1778" s="2" t="s">
        <v>218</v>
      </c>
      <c r="D1778" s="2" t="s">
        <v>219</v>
      </c>
      <c r="E1778" s="2" t="s">
        <v>619</v>
      </c>
      <c r="F1778" s="2" t="s">
        <v>4949</v>
      </c>
      <c r="G1778" s="2" t="s">
        <v>4939</v>
      </c>
      <c r="H1778" s="2" t="s">
        <v>5079</v>
      </c>
      <c r="I1778" s="20">
        <v>454.99</v>
      </c>
      <c r="J1778" s="2" t="s">
        <v>5080</v>
      </c>
      <c r="K1778" s="2" t="s">
        <v>5085</v>
      </c>
    </row>
    <row r="1779" spans="1:11" ht="15.35" x14ac:dyDescent="0.55000000000000004">
      <c r="A1779" s="20">
        <v>19399</v>
      </c>
      <c r="B1779" s="2" t="s">
        <v>217</v>
      </c>
      <c r="C1779" s="2" t="s">
        <v>218</v>
      </c>
      <c r="D1779" s="2" t="s">
        <v>219</v>
      </c>
      <c r="E1779" s="2" t="s">
        <v>619</v>
      </c>
      <c r="F1779" s="2" t="s">
        <v>4949</v>
      </c>
      <c r="G1779" s="2" t="s">
        <v>4931</v>
      </c>
      <c r="H1779" s="2" t="s">
        <v>5081</v>
      </c>
      <c r="I1779" s="20">
        <v>96.72</v>
      </c>
      <c r="J1779" s="2" t="s">
        <v>4933</v>
      </c>
      <c r="K1779" s="2" t="s">
        <v>5085</v>
      </c>
    </row>
    <row r="1780" spans="1:11" ht="15.35" x14ac:dyDescent="0.55000000000000004">
      <c r="A1780" s="20">
        <v>19418</v>
      </c>
      <c r="B1780" s="2" t="s">
        <v>217</v>
      </c>
      <c r="C1780" s="2" t="s">
        <v>218</v>
      </c>
      <c r="D1780" s="2" t="s">
        <v>219</v>
      </c>
      <c r="E1780" s="2" t="s">
        <v>619</v>
      </c>
      <c r="F1780" s="2" t="s">
        <v>4949</v>
      </c>
      <c r="G1780" s="2" t="s">
        <v>4939</v>
      </c>
      <c r="H1780" s="2" t="s">
        <v>5079</v>
      </c>
      <c r="I1780" s="20">
        <v>507.02</v>
      </c>
      <c r="J1780" s="2" t="s">
        <v>5080</v>
      </c>
      <c r="K1780" s="2" t="s">
        <v>5084</v>
      </c>
    </row>
    <row r="1781" spans="1:11" ht="15.35" x14ac:dyDescent="0.55000000000000004">
      <c r="A1781" s="20">
        <v>19428</v>
      </c>
      <c r="B1781" s="2" t="s">
        <v>220</v>
      </c>
      <c r="C1781" s="2" t="s">
        <v>221</v>
      </c>
      <c r="D1781" s="2" t="s">
        <v>222</v>
      </c>
      <c r="E1781" s="2" t="s">
        <v>623</v>
      </c>
      <c r="F1781" s="2" t="s">
        <v>4979</v>
      </c>
      <c r="G1781" s="2" t="s">
        <v>4931</v>
      </c>
      <c r="H1781" s="2" t="s">
        <v>4937</v>
      </c>
      <c r="I1781" s="20">
        <v>100</v>
      </c>
      <c r="J1781" s="2" t="s">
        <v>4933</v>
      </c>
    </row>
    <row r="1782" spans="1:11" ht="15.35" x14ac:dyDescent="0.55000000000000004">
      <c r="A1782" s="20">
        <v>16117</v>
      </c>
      <c r="B1782" s="2" t="s">
        <v>220</v>
      </c>
      <c r="C1782" s="2" t="s">
        <v>221</v>
      </c>
      <c r="D1782" s="2" t="s">
        <v>222</v>
      </c>
      <c r="E1782" s="2" t="s">
        <v>623</v>
      </c>
      <c r="F1782" s="2" t="s">
        <v>4979</v>
      </c>
      <c r="G1782" s="2" t="s">
        <v>4931</v>
      </c>
      <c r="H1782" s="2" t="s">
        <v>5010</v>
      </c>
      <c r="I1782" s="20">
        <v>100</v>
      </c>
      <c r="J1782" s="2" t="s">
        <v>4933</v>
      </c>
    </row>
    <row r="1783" spans="1:11" ht="15.35" x14ac:dyDescent="0.55000000000000004">
      <c r="A1783" s="20">
        <v>16118</v>
      </c>
      <c r="B1783" s="2" t="s">
        <v>220</v>
      </c>
      <c r="C1783" s="2" t="s">
        <v>221</v>
      </c>
      <c r="D1783" s="2" t="s">
        <v>222</v>
      </c>
      <c r="E1783" s="2" t="s">
        <v>623</v>
      </c>
      <c r="F1783" s="2" t="s">
        <v>4979</v>
      </c>
      <c r="G1783" s="2" t="s">
        <v>4928</v>
      </c>
      <c r="H1783" s="2" t="s">
        <v>5014</v>
      </c>
      <c r="I1783" s="20">
        <v>2.4</v>
      </c>
      <c r="J1783" s="2" t="s">
        <v>5045</v>
      </c>
    </row>
    <row r="1784" spans="1:11" ht="15.35" x14ac:dyDescent="0.55000000000000004">
      <c r="A1784" s="20">
        <v>16119</v>
      </c>
      <c r="B1784" s="2" t="s">
        <v>220</v>
      </c>
      <c r="C1784" s="2" t="s">
        <v>221</v>
      </c>
      <c r="D1784" s="2" t="s">
        <v>222</v>
      </c>
      <c r="E1784" s="2" t="s">
        <v>623</v>
      </c>
      <c r="F1784" s="2" t="s">
        <v>4980</v>
      </c>
      <c r="G1784" s="2" t="s">
        <v>4928</v>
      </c>
      <c r="H1784" s="2" t="s">
        <v>5014</v>
      </c>
      <c r="I1784" s="20">
        <v>2.96</v>
      </c>
      <c r="J1784" s="2" t="s">
        <v>5045</v>
      </c>
    </row>
    <row r="1785" spans="1:11" ht="15.35" x14ac:dyDescent="0.55000000000000004">
      <c r="A1785" s="20">
        <v>16126</v>
      </c>
      <c r="B1785" s="2" t="s">
        <v>220</v>
      </c>
      <c r="C1785" s="2" t="s">
        <v>221</v>
      </c>
      <c r="D1785" s="2" t="s">
        <v>222</v>
      </c>
      <c r="E1785" s="2" t="s">
        <v>623</v>
      </c>
      <c r="F1785" s="2" t="s">
        <v>4980</v>
      </c>
      <c r="G1785" s="2" t="s">
        <v>4931</v>
      </c>
      <c r="H1785" s="2" t="s">
        <v>5010</v>
      </c>
      <c r="I1785" s="20">
        <v>98.77</v>
      </c>
      <c r="J1785" s="2" t="s">
        <v>4933</v>
      </c>
    </row>
    <row r="1786" spans="1:11" ht="15.35" x14ac:dyDescent="0.55000000000000004">
      <c r="A1786" s="20">
        <v>19407</v>
      </c>
      <c r="B1786" s="2" t="s">
        <v>220</v>
      </c>
      <c r="C1786" s="2" t="s">
        <v>221</v>
      </c>
      <c r="D1786" s="2" t="s">
        <v>222</v>
      </c>
      <c r="E1786" s="2" t="s">
        <v>623</v>
      </c>
      <c r="F1786" s="2" t="s">
        <v>4980</v>
      </c>
      <c r="G1786" s="2" t="s">
        <v>4931</v>
      </c>
      <c r="H1786" s="2" t="s">
        <v>4937</v>
      </c>
      <c r="I1786" s="20">
        <v>100</v>
      </c>
      <c r="J1786" s="2" t="s">
        <v>4933</v>
      </c>
    </row>
    <row r="1787" spans="1:11" ht="15.35" x14ac:dyDescent="0.55000000000000004">
      <c r="A1787" s="20">
        <v>19396</v>
      </c>
      <c r="B1787" s="2" t="s">
        <v>220</v>
      </c>
      <c r="C1787" s="2" t="s">
        <v>221</v>
      </c>
      <c r="D1787" s="2" t="s">
        <v>222</v>
      </c>
      <c r="E1787" s="2" t="s">
        <v>623</v>
      </c>
      <c r="F1787" s="2" t="s">
        <v>5016</v>
      </c>
      <c r="G1787" s="2" t="s">
        <v>4931</v>
      </c>
      <c r="H1787" s="2" t="s">
        <v>4937</v>
      </c>
      <c r="I1787" s="20">
        <v>100</v>
      </c>
      <c r="J1787" s="2" t="s">
        <v>4933</v>
      </c>
    </row>
    <row r="1788" spans="1:11" ht="15.35" x14ac:dyDescent="0.55000000000000004">
      <c r="A1788" s="20">
        <v>16110</v>
      </c>
      <c r="B1788" s="2" t="s">
        <v>220</v>
      </c>
      <c r="C1788" s="2" t="s">
        <v>221</v>
      </c>
      <c r="D1788" s="2" t="s">
        <v>222</v>
      </c>
      <c r="E1788" s="2" t="s">
        <v>623</v>
      </c>
      <c r="F1788" s="2" t="s">
        <v>5016</v>
      </c>
      <c r="G1788" s="2" t="s">
        <v>4931</v>
      </c>
      <c r="H1788" s="2" t="s">
        <v>5010</v>
      </c>
      <c r="I1788" s="20">
        <v>100</v>
      </c>
      <c r="J1788" s="2" t="s">
        <v>4933</v>
      </c>
    </row>
    <row r="1789" spans="1:11" ht="15.35" x14ac:dyDescent="0.55000000000000004">
      <c r="A1789" s="20">
        <v>16120</v>
      </c>
      <c r="B1789" s="2" t="s">
        <v>220</v>
      </c>
      <c r="C1789" s="2" t="s">
        <v>221</v>
      </c>
      <c r="D1789" s="2" t="s">
        <v>222</v>
      </c>
      <c r="E1789" s="2" t="s">
        <v>623</v>
      </c>
      <c r="F1789" s="2" t="s">
        <v>5016</v>
      </c>
      <c r="G1789" s="2" t="s">
        <v>4928</v>
      </c>
      <c r="H1789" s="2" t="s">
        <v>5014</v>
      </c>
      <c r="I1789" s="20">
        <v>3.04</v>
      </c>
      <c r="J1789" s="2" t="s">
        <v>5045</v>
      </c>
    </row>
    <row r="1790" spans="1:11" ht="15.35" x14ac:dyDescent="0.55000000000000004">
      <c r="A1790" s="20">
        <v>19403</v>
      </c>
      <c r="B1790" s="2" t="s">
        <v>220</v>
      </c>
      <c r="C1790" s="2" t="s">
        <v>221</v>
      </c>
      <c r="D1790" s="2" t="s">
        <v>222</v>
      </c>
      <c r="E1790" s="2" t="s">
        <v>623</v>
      </c>
      <c r="F1790" s="2" t="s">
        <v>5076</v>
      </c>
      <c r="G1790" s="2" t="s">
        <v>4931</v>
      </c>
      <c r="H1790" s="2" t="s">
        <v>5010</v>
      </c>
      <c r="I1790" s="20">
        <v>99.67</v>
      </c>
      <c r="J1790" s="2" t="s">
        <v>4933</v>
      </c>
    </row>
    <row r="1791" spans="1:11" ht="15.35" x14ac:dyDescent="0.55000000000000004">
      <c r="A1791" s="20">
        <v>19404</v>
      </c>
      <c r="B1791" s="2" t="s">
        <v>220</v>
      </c>
      <c r="C1791" s="2" t="s">
        <v>221</v>
      </c>
      <c r="D1791" s="2" t="s">
        <v>222</v>
      </c>
      <c r="E1791" s="2" t="s">
        <v>623</v>
      </c>
      <c r="F1791" s="2" t="s">
        <v>5076</v>
      </c>
      <c r="G1791" s="2" t="s">
        <v>4931</v>
      </c>
      <c r="H1791" s="2" t="s">
        <v>4937</v>
      </c>
      <c r="I1791" s="20">
        <v>100</v>
      </c>
      <c r="J1791" s="2" t="s">
        <v>4933</v>
      </c>
    </row>
    <row r="1792" spans="1:11" ht="15.35" x14ac:dyDescent="0.55000000000000004">
      <c r="A1792" s="20">
        <v>19406</v>
      </c>
      <c r="B1792" s="2" t="s">
        <v>220</v>
      </c>
      <c r="C1792" s="2" t="s">
        <v>221</v>
      </c>
      <c r="D1792" s="2" t="s">
        <v>222</v>
      </c>
      <c r="E1792" s="2" t="s">
        <v>623</v>
      </c>
      <c r="F1792" s="2" t="s">
        <v>5076</v>
      </c>
      <c r="G1792" s="2" t="s">
        <v>4928</v>
      </c>
      <c r="H1792" s="2" t="s">
        <v>5014</v>
      </c>
      <c r="I1792" s="20">
        <v>3.02</v>
      </c>
      <c r="J1792" s="2" t="s">
        <v>5045</v>
      </c>
    </row>
    <row r="1793" spans="1:10" ht="15.35" x14ac:dyDescent="0.55000000000000004">
      <c r="A1793" s="20">
        <v>19402</v>
      </c>
      <c r="B1793" s="2" t="s">
        <v>220</v>
      </c>
      <c r="C1793" s="2" t="s">
        <v>221</v>
      </c>
      <c r="D1793" s="2" t="s">
        <v>222</v>
      </c>
      <c r="E1793" s="2" t="s">
        <v>623</v>
      </c>
      <c r="F1793" s="2" t="s">
        <v>4949</v>
      </c>
      <c r="G1793" s="2" t="s">
        <v>4931</v>
      </c>
      <c r="H1793" s="2" t="s">
        <v>5010</v>
      </c>
      <c r="I1793" s="20">
        <v>100</v>
      </c>
      <c r="J1793" s="2" t="s">
        <v>4933</v>
      </c>
    </row>
    <row r="1794" spans="1:10" ht="15.35" x14ac:dyDescent="0.55000000000000004">
      <c r="A1794" s="20">
        <v>19405</v>
      </c>
      <c r="B1794" s="2" t="s">
        <v>220</v>
      </c>
      <c r="C1794" s="2" t="s">
        <v>221</v>
      </c>
      <c r="D1794" s="2" t="s">
        <v>222</v>
      </c>
      <c r="E1794" s="2" t="s">
        <v>623</v>
      </c>
      <c r="F1794" s="2" t="s">
        <v>4949</v>
      </c>
      <c r="G1794" s="2" t="s">
        <v>4931</v>
      </c>
      <c r="H1794" s="2" t="s">
        <v>4937</v>
      </c>
      <c r="I1794" s="20">
        <v>100</v>
      </c>
      <c r="J1794" s="2" t="s">
        <v>4933</v>
      </c>
    </row>
    <row r="1795" spans="1:10" ht="15.35" x14ac:dyDescent="0.55000000000000004">
      <c r="A1795" s="20">
        <v>19408</v>
      </c>
      <c r="B1795" s="2" t="s">
        <v>220</v>
      </c>
      <c r="C1795" s="2" t="s">
        <v>221</v>
      </c>
      <c r="D1795" s="2" t="s">
        <v>222</v>
      </c>
      <c r="E1795" s="2" t="s">
        <v>623</v>
      </c>
      <c r="F1795" s="2" t="s">
        <v>4949</v>
      </c>
      <c r="G1795" s="2" t="s">
        <v>4928</v>
      </c>
      <c r="H1795" s="2" t="s">
        <v>5014</v>
      </c>
      <c r="I1795" s="20">
        <v>3.07</v>
      </c>
      <c r="J1795" s="2" t="s">
        <v>5045</v>
      </c>
    </row>
    <row r="1796" spans="1:10" ht="15.35" x14ac:dyDescent="0.55000000000000004">
      <c r="A1796" s="20">
        <v>19415</v>
      </c>
      <c r="B1796" s="2" t="s">
        <v>220</v>
      </c>
      <c r="C1796" s="2" t="s">
        <v>221</v>
      </c>
      <c r="D1796" s="2" t="s">
        <v>222</v>
      </c>
      <c r="E1796" s="2" t="s">
        <v>628</v>
      </c>
      <c r="F1796" s="2" t="s">
        <v>4979</v>
      </c>
      <c r="G1796" s="2" t="s">
        <v>4931</v>
      </c>
      <c r="H1796" s="2" t="s">
        <v>4937</v>
      </c>
      <c r="I1796" s="20">
        <v>97.39</v>
      </c>
      <c r="J1796" s="2" t="s">
        <v>4933</v>
      </c>
    </row>
    <row r="1797" spans="1:10" ht="15.35" x14ac:dyDescent="0.55000000000000004">
      <c r="A1797" s="20">
        <v>16106</v>
      </c>
      <c r="B1797" s="2" t="s">
        <v>220</v>
      </c>
      <c r="C1797" s="2" t="s">
        <v>221</v>
      </c>
      <c r="D1797" s="2" t="s">
        <v>222</v>
      </c>
      <c r="E1797" s="2" t="s">
        <v>628</v>
      </c>
      <c r="F1797" s="2" t="s">
        <v>4979</v>
      </c>
      <c r="G1797" s="2" t="s">
        <v>4931</v>
      </c>
      <c r="H1797" s="2" t="s">
        <v>5010</v>
      </c>
      <c r="I1797" s="20">
        <v>95.15</v>
      </c>
      <c r="J1797" s="2" t="s">
        <v>4933</v>
      </c>
    </row>
    <row r="1798" spans="1:10" ht="15.35" x14ac:dyDescent="0.55000000000000004">
      <c r="A1798" s="20">
        <v>16127</v>
      </c>
      <c r="B1798" s="2" t="s">
        <v>220</v>
      </c>
      <c r="C1798" s="2" t="s">
        <v>221</v>
      </c>
      <c r="D1798" s="2" t="s">
        <v>222</v>
      </c>
      <c r="E1798" s="2" t="s">
        <v>628</v>
      </c>
      <c r="F1798" s="2" t="s">
        <v>4979</v>
      </c>
      <c r="G1798" s="2" t="s">
        <v>4928</v>
      </c>
      <c r="H1798" s="2" t="s">
        <v>5014</v>
      </c>
      <c r="I1798" s="20">
        <v>3.15</v>
      </c>
      <c r="J1798" s="2" t="s">
        <v>5045</v>
      </c>
    </row>
    <row r="1799" spans="1:10" ht="15.35" x14ac:dyDescent="0.55000000000000004">
      <c r="A1799" s="20">
        <v>16113</v>
      </c>
      <c r="B1799" s="2" t="s">
        <v>220</v>
      </c>
      <c r="C1799" s="2" t="s">
        <v>221</v>
      </c>
      <c r="D1799" s="2" t="s">
        <v>222</v>
      </c>
      <c r="E1799" s="2" t="s">
        <v>628</v>
      </c>
      <c r="F1799" s="2" t="s">
        <v>4980</v>
      </c>
      <c r="G1799" s="2" t="s">
        <v>4928</v>
      </c>
      <c r="H1799" s="2" t="s">
        <v>5014</v>
      </c>
      <c r="I1799" s="20">
        <v>3.92</v>
      </c>
      <c r="J1799" s="2" t="s">
        <v>5045</v>
      </c>
    </row>
    <row r="1800" spans="1:10" ht="15.35" x14ac:dyDescent="0.55000000000000004">
      <c r="A1800" s="20">
        <v>16114</v>
      </c>
      <c r="B1800" s="2" t="s">
        <v>220</v>
      </c>
      <c r="C1800" s="2" t="s">
        <v>221</v>
      </c>
      <c r="D1800" s="2" t="s">
        <v>222</v>
      </c>
      <c r="E1800" s="2" t="s">
        <v>628</v>
      </c>
      <c r="F1800" s="2" t="s">
        <v>4980</v>
      </c>
      <c r="G1800" s="2" t="s">
        <v>4931</v>
      </c>
      <c r="H1800" s="2" t="s">
        <v>5010</v>
      </c>
      <c r="I1800" s="20">
        <v>97.57</v>
      </c>
      <c r="J1800" s="2" t="s">
        <v>4933</v>
      </c>
    </row>
    <row r="1801" spans="1:10" ht="15.35" x14ac:dyDescent="0.55000000000000004">
      <c r="A1801" s="20">
        <v>19414</v>
      </c>
      <c r="B1801" s="2" t="s">
        <v>220</v>
      </c>
      <c r="C1801" s="2" t="s">
        <v>221</v>
      </c>
      <c r="D1801" s="2" t="s">
        <v>222</v>
      </c>
      <c r="E1801" s="2" t="s">
        <v>628</v>
      </c>
      <c r="F1801" s="2" t="s">
        <v>4980</v>
      </c>
      <c r="G1801" s="2" t="s">
        <v>4931</v>
      </c>
      <c r="H1801" s="2" t="s">
        <v>4937</v>
      </c>
      <c r="I1801" s="20">
        <v>99.76</v>
      </c>
      <c r="J1801" s="2" t="s">
        <v>4933</v>
      </c>
    </row>
    <row r="1802" spans="1:10" ht="15.35" x14ac:dyDescent="0.55000000000000004">
      <c r="A1802" s="20">
        <v>19413</v>
      </c>
      <c r="B1802" s="2" t="s">
        <v>220</v>
      </c>
      <c r="C1802" s="2" t="s">
        <v>221</v>
      </c>
      <c r="D1802" s="2" t="s">
        <v>222</v>
      </c>
      <c r="E1802" s="2" t="s">
        <v>628</v>
      </c>
      <c r="F1802" s="2" t="s">
        <v>5016</v>
      </c>
      <c r="G1802" s="2" t="s">
        <v>4931</v>
      </c>
      <c r="H1802" s="2" t="s">
        <v>4937</v>
      </c>
      <c r="I1802" s="20">
        <v>97.77</v>
      </c>
      <c r="J1802" s="2" t="s">
        <v>4933</v>
      </c>
    </row>
    <row r="1803" spans="1:10" ht="15.35" x14ac:dyDescent="0.55000000000000004">
      <c r="A1803" s="20">
        <v>16112</v>
      </c>
      <c r="B1803" s="2" t="s">
        <v>220</v>
      </c>
      <c r="C1803" s="2" t="s">
        <v>221</v>
      </c>
      <c r="D1803" s="2" t="s">
        <v>222</v>
      </c>
      <c r="E1803" s="2" t="s">
        <v>628</v>
      </c>
      <c r="F1803" s="2" t="s">
        <v>5016</v>
      </c>
      <c r="G1803" s="2" t="s">
        <v>4928</v>
      </c>
      <c r="H1803" s="2" t="s">
        <v>5014</v>
      </c>
      <c r="I1803" s="20">
        <v>3.9</v>
      </c>
      <c r="J1803" s="2" t="s">
        <v>5045</v>
      </c>
    </row>
    <row r="1804" spans="1:10" ht="15.35" x14ac:dyDescent="0.55000000000000004">
      <c r="A1804" s="20">
        <v>16116</v>
      </c>
      <c r="B1804" s="2" t="s">
        <v>220</v>
      </c>
      <c r="C1804" s="2" t="s">
        <v>221</v>
      </c>
      <c r="D1804" s="2" t="s">
        <v>222</v>
      </c>
      <c r="E1804" s="2" t="s">
        <v>628</v>
      </c>
      <c r="F1804" s="2" t="s">
        <v>5016</v>
      </c>
      <c r="G1804" s="2" t="s">
        <v>4931</v>
      </c>
      <c r="H1804" s="2" t="s">
        <v>5010</v>
      </c>
      <c r="I1804" s="20">
        <v>97.83</v>
      </c>
      <c r="J1804" s="2" t="s">
        <v>4933</v>
      </c>
    </row>
    <row r="1805" spans="1:10" ht="15.35" x14ac:dyDescent="0.55000000000000004">
      <c r="A1805" s="20">
        <v>19410</v>
      </c>
      <c r="B1805" s="2" t="s">
        <v>220</v>
      </c>
      <c r="C1805" s="2" t="s">
        <v>221</v>
      </c>
      <c r="D1805" s="2" t="s">
        <v>222</v>
      </c>
      <c r="E1805" s="2" t="s">
        <v>628</v>
      </c>
      <c r="F1805" s="2" t="s">
        <v>5076</v>
      </c>
      <c r="G1805" s="2" t="s">
        <v>4931</v>
      </c>
      <c r="H1805" s="2" t="s">
        <v>5010</v>
      </c>
      <c r="I1805" s="20">
        <v>97.17</v>
      </c>
      <c r="J1805" s="2" t="s">
        <v>4933</v>
      </c>
    </row>
    <row r="1806" spans="1:10" ht="15.35" x14ac:dyDescent="0.55000000000000004">
      <c r="A1806" s="20">
        <v>19412</v>
      </c>
      <c r="B1806" s="2" t="s">
        <v>220</v>
      </c>
      <c r="C1806" s="2" t="s">
        <v>221</v>
      </c>
      <c r="D1806" s="2" t="s">
        <v>222</v>
      </c>
      <c r="E1806" s="2" t="s">
        <v>628</v>
      </c>
      <c r="F1806" s="2" t="s">
        <v>5076</v>
      </c>
      <c r="G1806" s="2" t="s">
        <v>4931</v>
      </c>
      <c r="H1806" s="2" t="s">
        <v>4937</v>
      </c>
      <c r="I1806" s="20">
        <v>96.95</v>
      </c>
      <c r="J1806" s="2" t="s">
        <v>4933</v>
      </c>
    </row>
    <row r="1807" spans="1:10" ht="15.35" x14ac:dyDescent="0.55000000000000004">
      <c r="A1807" s="20">
        <v>19417</v>
      </c>
      <c r="B1807" s="2" t="s">
        <v>220</v>
      </c>
      <c r="C1807" s="2" t="s">
        <v>221</v>
      </c>
      <c r="D1807" s="2" t="s">
        <v>222</v>
      </c>
      <c r="E1807" s="2" t="s">
        <v>628</v>
      </c>
      <c r="F1807" s="2" t="s">
        <v>5076</v>
      </c>
      <c r="G1807" s="2" t="s">
        <v>4928</v>
      </c>
      <c r="H1807" s="2" t="s">
        <v>5014</v>
      </c>
      <c r="I1807" s="20">
        <v>4.1399999999999997</v>
      </c>
      <c r="J1807" s="2" t="s">
        <v>5045</v>
      </c>
    </row>
    <row r="1808" spans="1:10" ht="15.35" x14ac:dyDescent="0.55000000000000004">
      <c r="A1808" s="20">
        <v>19409</v>
      </c>
      <c r="B1808" s="2" t="s">
        <v>220</v>
      </c>
      <c r="C1808" s="2" t="s">
        <v>221</v>
      </c>
      <c r="D1808" s="2" t="s">
        <v>222</v>
      </c>
      <c r="E1808" s="2" t="s">
        <v>628</v>
      </c>
      <c r="F1808" s="2" t="s">
        <v>4949</v>
      </c>
      <c r="G1808" s="2" t="s">
        <v>4931</v>
      </c>
      <c r="H1808" s="2" t="s">
        <v>5010</v>
      </c>
      <c r="I1808" s="20">
        <v>95.56</v>
      </c>
      <c r="J1808" s="2" t="s">
        <v>4933</v>
      </c>
    </row>
    <row r="1809" spans="1:10" ht="15.35" x14ac:dyDescent="0.55000000000000004">
      <c r="A1809" s="20">
        <v>19411</v>
      </c>
      <c r="B1809" s="2" t="s">
        <v>220</v>
      </c>
      <c r="C1809" s="2" t="s">
        <v>221</v>
      </c>
      <c r="D1809" s="2" t="s">
        <v>222</v>
      </c>
      <c r="E1809" s="2" t="s">
        <v>628</v>
      </c>
      <c r="F1809" s="2" t="s">
        <v>4949</v>
      </c>
      <c r="G1809" s="2" t="s">
        <v>4931</v>
      </c>
      <c r="H1809" s="2" t="s">
        <v>4937</v>
      </c>
      <c r="I1809" s="20">
        <v>94.38</v>
      </c>
      <c r="J1809" s="2" t="s">
        <v>4933</v>
      </c>
    </row>
    <row r="1810" spans="1:10" ht="15.35" x14ac:dyDescent="0.55000000000000004">
      <c r="A1810" s="20">
        <v>19416</v>
      </c>
      <c r="B1810" s="2" t="s">
        <v>220</v>
      </c>
      <c r="C1810" s="2" t="s">
        <v>221</v>
      </c>
      <c r="D1810" s="2" t="s">
        <v>222</v>
      </c>
      <c r="E1810" s="2" t="s">
        <v>628</v>
      </c>
      <c r="F1810" s="2" t="s">
        <v>4949</v>
      </c>
      <c r="G1810" s="2" t="s">
        <v>4928</v>
      </c>
      <c r="H1810" s="2" t="s">
        <v>5014</v>
      </c>
      <c r="I1810" s="20">
        <v>3.63</v>
      </c>
      <c r="J1810" s="2" t="s">
        <v>5045</v>
      </c>
    </row>
    <row r="1811" spans="1:10" ht="15.35" x14ac:dyDescent="0.55000000000000004">
      <c r="A1811" s="20">
        <v>17837</v>
      </c>
      <c r="C1811" s="2" t="s">
        <v>227</v>
      </c>
      <c r="D1811" s="2" t="s">
        <v>228</v>
      </c>
      <c r="E1811" s="2" t="s">
        <v>632</v>
      </c>
      <c r="F1811" s="2" t="s">
        <v>4980</v>
      </c>
      <c r="G1811" s="2" t="s">
        <v>4931</v>
      </c>
      <c r="H1811" s="2" t="s">
        <v>4937</v>
      </c>
      <c r="I1811" s="20">
        <v>95.09</v>
      </c>
      <c r="J1811" s="2" t="s">
        <v>4933</v>
      </c>
    </row>
    <row r="1812" spans="1:10" ht="15.35" x14ac:dyDescent="0.55000000000000004">
      <c r="A1812" s="20">
        <v>17841</v>
      </c>
      <c r="C1812" s="2" t="s">
        <v>227</v>
      </c>
      <c r="D1812" s="2" t="s">
        <v>228</v>
      </c>
      <c r="E1812" s="2" t="s">
        <v>632</v>
      </c>
      <c r="F1812" s="2" t="s">
        <v>4980</v>
      </c>
      <c r="G1812" s="2" t="s">
        <v>4931</v>
      </c>
      <c r="H1812" s="2" t="s">
        <v>5010</v>
      </c>
      <c r="I1812" s="20">
        <v>99.06</v>
      </c>
      <c r="J1812" s="2" t="s">
        <v>4933</v>
      </c>
    </row>
    <row r="1813" spans="1:10" ht="15.35" x14ac:dyDescent="0.55000000000000004">
      <c r="A1813" s="20">
        <v>17850</v>
      </c>
      <c r="C1813" s="2" t="s">
        <v>227</v>
      </c>
      <c r="D1813" s="2" t="s">
        <v>228</v>
      </c>
      <c r="E1813" s="2" t="s">
        <v>632</v>
      </c>
      <c r="F1813" s="2" t="s">
        <v>4980</v>
      </c>
      <c r="G1813" s="2" t="s">
        <v>4928</v>
      </c>
      <c r="H1813" s="2" t="s">
        <v>5014</v>
      </c>
      <c r="I1813" s="20">
        <v>1141.74</v>
      </c>
      <c r="J1813" s="2" t="s">
        <v>5064</v>
      </c>
    </row>
    <row r="1814" spans="1:10" ht="15.35" x14ac:dyDescent="0.55000000000000004">
      <c r="A1814" s="20">
        <v>17834</v>
      </c>
      <c r="C1814" s="2" t="s">
        <v>227</v>
      </c>
      <c r="D1814" s="2" t="s">
        <v>228</v>
      </c>
      <c r="E1814" s="2" t="s">
        <v>632</v>
      </c>
      <c r="F1814" s="2" t="s">
        <v>5016</v>
      </c>
      <c r="G1814" s="2" t="s">
        <v>4928</v>
      </c>
      <c r="H1814" s="2" t="s">
        <v>5014</v>
      </c>
      <c r="I1814" s="20">
        <v>1253.03</v>
      </c>
      <c r="J1814" s="2" t="s">
        <v>5064</v>
      </c>
    </row>
    <row r="1815" spans="1:10" ht="15.35" x14ac:dyDescent="0.55000000000000004">
      <c r="A1815" s="20">
        <v>17838</v>
      </c>
      <c r="C1815" s="2" t="s">
        <v>227</v>
      </c>
      <c r="D1815" s="2" t="s">
        <v>228</v>
      </c>
      <c r="E1815" s="2" t="s">
        <v>632</v>
      </c>
      <c r="F1815" s="2" t="s">
        <v>5016</v>
      </c>
      <c r="G1815" s="2" t="s">
        <v>4931</v>
      </c>
      <c r="H1815" s="2" t="s">
        <v>4937</v>
      </c>
      <c r="I1815" s="20">
        <v>97.28</v>
      </c>
      <c r="J1815" s="2" t="s">
        <v>4933</v>
      </c>
    </row>
    <row r="1816" spans="1:10" ht="15.35" x14ac:dyDescent="0.55000000000000004">
      <c r="A1816" s="20">
        <v>17842</v>
      </c>
      <c r="C1816" s="2" t="s">
        <v>227</v>
      </c>
      <c r="D1816" s="2" t="s">
        <v>228</v>
      </c>
      <c r="E1816" s="2" t="s">
        <v>632</v>
      </c>
      <c r="F1816" s="2" t="s">
        <v>5016</v>
      </c>
      <c r="G1816" s="2" t="s">
        <v>4931</v>
      </c>
      <c r="H1816" s="2" t="s">
        <v>5010</v>
      </c>
      <c r="I1816" s="20">
        <v>97.74</v>
      </c>
      <c r="J1816" s="2" t="s">
        <v>4933</v>
      </c>
    </row>
    <row r="1817" spans="1:10" ht="15.35" x14ac:dyDescent="0.55000000000000004">
      <c r="A1817" s="20">
        <v>17835</v>
      </c>
      <c r="C1817" s="2" t="s">
        <v>227</v>
      </c>
      <c r="D1817" s="2" t="s">
        <v>228</v>
      </c>
      <c r="E1817" s="2" t="s">
        <v>632</v>
      </c>
      <c r="F1817" s="2" t="s">
        <v>5076</v>
      </c>
      <c r="G1817" s="2" t="s">
        <v>4928</v>
      </c>
      <c r="H1817" s="2" t="s">
        <v>5014</v>
      </c>
      <c r="I1817" s="20">
        <v>1306.69</v>
      </c>
      <c r="J1817" s="2" t="s">
        <v>5064</v>
      </c>
    </row>
    <row r="1818" spans="1:10" ht="15.35" x14ac:dyDescent="0.55000000000000004">
      <c r="A1818" s="20">
        <v>17839</v>
      </c>
      <c r="C1818" s="2" t="s">
        <v>227</v>
      </c>
      <c r="D1818" s="2" t="s">
        <v>228</v>
      </c>
      <c r="E1818" s="2" t="s">
        <v>632</v>
      </c>
      <c r="F1818" s="2" t="s">
        <v>5076</v>
      </c>
      <c r="G1818" s="2" t="s">
        <v>4931</v>
      </c>
      <c r="H1818" s="2" t="s">
        <v>4937</v>
      </c>
      <c r="I1818" s="20">
        <v>92.16</v>
      </c>
      <c r="J1818" s="2" t="s">
        <v>4933</v>
      </c>
    </row>
    <row r="1819" spans="1:10" ht="15.35" x14ac:dyDescent="0.55000000000000004">
      <c r="A1819" s="20">
        <v>17843</v>
      </c>
      <c r="C1819" s="2" t="s">
        <v>227</v>
      </c>
      <c r="D1819" s="2" t="s">
        <v>228</v>
      </c>
      <c r="E1819" s="2" t="s">
        <v>632</v>
      </c>
      <c r="F1819" s="2" t="s">
        <v>5076</v>
      </c>
      <c r="G1819" s="2" t="s">
        <v>4931</v>
      </c>
      <c r="H1819" s="2" t="s">
        <v>5010</v>
      </c>
      <c r="I1819" s="20">
        <v>94.42</v>
      </c>
      <c r="J1819" s="2" t="s">
        <v>4933</v>
      </c>
    </row>
    <row r="1820" spans="1:10" ht="15.35" x14ac:dyDescent="0.55000000000000004">
      <c r="A1820" s="20">
        <v>17836</v>
      </c>
      <c r="C1820" s="2" t="s">
        <v>227</v>
      </c>
      <c r="D1820" s="2" t="s">
        <v>228</v>
      </c>
      <c r="E1820" s="2" t="s">
        <v>632</v>
      </c>
      <c r="F1820" s="2" t="s">
        <v>4949</v>
      </c>
      <c r="G1820" s="2" t="s">
        <v>4928</v>
      </c>
      <c r="H1820" s="2" t="s">
        <v>5014</v>
      </c>
      <c r="I1820" s="20">
        <v>343.84</v>
      </c>
      <c r="J1820" s="2" t="s">
        <v>5064</v>
      </c>
    </row>
    <row r="1821" spans="1:10" ht="15.35" x14ac:dyDescent="0.55000000000000004">
      <c r="A1821" s="20">
        <v>17840</v>
      </c>
      <c r="C1821" s="2" t="s">
        <v>227</v>
      </c>
      <c r="D1821" s="2" t="s">
        <v>228</v>
      </c>
      <c r="E1821" s="2" t="s">
        <v>632</v>
      </c>
      <c r="F1821" s="2" t="s">
        <v>4949</v>
      </c>
      <c r="G1821" s="2" t="s">
        <v>4931</v>
      </c>
      <c r="H1821" s="2" t="s">
        <v>4937</v>
      </c>
      <c r="I1821" s="20">
        <v>96.05</v>
      </c>
      <c r="J1821" s="2" t="s">
        <v>4933</v>
      </c>
    </row>
    <row r="1822" spans="1:10" ht="15.35" x14ac:dyDescent="0.55000000000000004">
      <c r="A1822" s="20">
        <v>17844</v>
      </c>
      <c r="C1822" s="2" t="s">
        <v>227</v>
      </c>
      <c r="D1822" s="2" t="s">
        <v>228</v>
      </c>
      <c r="E1822" s="2" t="s">
        <v>632</v>
      </c>
      <c r="F1822" s="2" t="s">
        <v>4949</v>
      </c>
      <c r="G1822" s="2" t="s">
        <v>4931</v>
      </c>
      <c r="H1822" s="2" t="s">
        <v>5010</v>
      </c>
      <c r="I1822" s="20">
        <v>93.29</v>
      </c>
      <c r="J1822" s="2" t="s">
        <v>4933</v>
      </c>
    </row>
    <row r="1823" spans="1:10" ht="15.35" x14ac:dyDescent="0.55000000000000004">
      <c r="A1823" s="20">
        <v>17845</v>
      </c>
      <c r="C1823" s="2" t="s">
        <v>227</v>
      </c>
      <c r="D1823" s="2" t="s">
        <v>228</v>
      </c>
      <c r="E1823" s="2" t="s">
        <v>637</v>
      </c>
      <c r="F1823" s="2" t="s">
        <v>4980</v>
      </c>
      <c r="G1823" s="2" t="s">
        <v>4931</v>
      </c>
      <c r="H1823" s="2" t="s">
        <v>4937</v>
      </c>
      <c r="I1823" s="20">
        <v>79.38</v>
      </c>
      <c r="J1823" s="2" t="s">
        <v>4933</v>
      </c>
    </row>
    <row r="1824" spans="1:10" ht="15.35" x14ac:dyDescent="0.55000000000000004">
      <c r="A1824" s="20">
        <v>17849</v>
      </c>
      <c r="C1824" s="2" t="s">
        <v>227</v>
      </c>
      <c r="D1824" s="2" t="s">
        <v>228</v>
      </c>
      <c r="E1824" s="2" t="s">
        <v>637</v>
      </c>
      <c r="F1824" s="2" t="s">
        <v>4980</v>
      </c>
      <c r="G1824" s="2" t="s">
        <v>4931</v>
      </c>
      <c r="H1824" s="2" t="s">
        <v>5010</v>
      </c>
      <c r="I1824" s="20">
        <v>71</v>
      </c>
      <c r="J1824" s="2" t="s">
        <v>4933</v>
      </c>
    </row>
    <row r="1825" spans="1:10" ht="15.35" x14ac:dyDescent="0.55000000000000004">
      <c r="A1825" s="20">
        <v>17832</v>
      </c>
      <c r="C1825" s="2" t="s">
        <v>227</v>
      </c>
      <c r="D1825" s="2" t="s">
        <v>228</v>
      </c>
      <c r="E1825" s="2" t="s">
        <v>637</v>
      </c>
      <c r="F1825" s="2" t="s">
        <v>5016</v>
      </c>
      <c r="G1825" s="2" t="s">
        <v>4931</v>
      </c>
      <c r="H1825" s="2" t="s">
        <v>5010</v>
      </c>
      <c r="I1825" s="20">
        <v>77.5</v>
      </c>
      <c r="J1825" s="2" t="s">
        <v>4933</v>
      </c>
    </row>
    <row r="1826" spans="1:10" ht="15.35" x14ac:dyDescent="0.55000000000000004">
      <c r="A1826" s="20">
        <v>17846</v>
      </c>
      <c r="C1826" s="2" t="s">
        <v>227</v>
      </c>
      <c r="D1826" s="2" t="s">
        <v>228</v>
      </c>
      <c r="E1826" s="2" t="s">
        <v>637</v>
      </c>
      <c r="F1826" s="2" t="s">
        <v>5016</v>
      </c>
      <c r="G1826" s="2" t="s">
        <v>4931</v>
      </c>
      <c r="H1826" s="2" t="s">
        <v>4937</v>
      </c>
      <c r="I1826" s="20">
        <v>67.66</v>
      </c>
      <c r="J1826" s="2" t="s">
        <v>4933</v>
      </c>
    </row>
    <row r="1827" spans="1:10" ht="15.35" x14ac:dyDescent="0.55000000000000004">
      <c r="A1827" s="20">
        <v>17833</v>
      </c>
      <c r="C1827" s="2" t="s">
        <v>227</v>
      </c>
      <c r="D1827" s="2" t="s">
        <v>228</v>
      </c>
      <c r="E1827" s="2" t="s">
        <v>637</v>
      </c>
      <c r="F1827" s="2" t="s">
        <v>5076</v>
      </c>
      <c r="G1827" s="2" t="s">
        <v>4931</v>
      </c>
      <c r="H1827" s="2" t="s">
        <v>5010</v>
      </c>
      <c r="I1827" s="20">
        <v>74.59</v>
      </c>
      <c r="J1827" s="2" t="s">
        <v>4933</v>
      </c>
    </row>
    <row r="1828" spans="1:10" ht="15.35" x14ac:dyDescent="0.55000000000000004">
      <c r="A1828" s="20">
        <v>17847</v>
      </c>
      <c r="C1828" s="2" t="s">
        <v>227</v>
      </c>
      <c r="D1828" s="2" t="s">
        <v>228</v>
      </c>
      <c r="E1828" s="2" t="s">
        <v>637</v>
      </c>
      <c r="F1828" s="2" t="s">
        <v>5076</v>
      </c>
      <c r="G1828" s="2" t="s">
        <v>4931</v>
      </c>
      <c r="H1828" s="2" t="s">
        <v>4937</v>
      </c>
      <c r="I1828" s="20">
        <v>79.42</v>
      </c>
      <c r="J1828" s="2" t="s">
        <v>4933</v>
      </c>
    </row>
    <row r="1829" spans="1:10" ht="15.35" x14ac:dyDescent="0.55000000000000004">
      <c r="A1829" s="20">
        <v>17848</v>
      </c>
      <c r="C1829" s="2" t="s">
        <v>227</v>
      </c>
      <c r="D1829" s="2" t="s">
        <v>228</v>
      </c>
      <c r="E1829" s="2" t="s">
        <v>637</v>
      </c>
      <c r="F1829" s="2" t="s">
        <v>4949</v>
      </c>
      <c r="G1829" s="2" t="s">
        <v>4931</v>
      </c>
      <c r="H1829" s="2" t="s">
        <v>4937</v>
      </c>
      <c r="I1829" s="20">
        <v>84.59</v>
      </c>
      <c r="J1829" s="2" t="s">
        <v>4933</v>
      </c>
    </row>
    <row r="1830" spans="1:10" ht="15.35" x14ac:dyDescent="0.55000000000000004">
      <c r="A1830" s="20">
        <v>17851</v>
      </c>
      <c r="C1830" s="2" t="s">
        <v>227</v>
      </c>
      <c r="D1830" s="2" t="s">
        <v>228</v>
      </c>
      <c r="E1830" s="2" t="s">
        <v>637</v>
      </c>
      <c r="F1830" s="2" t="s">
        <v>4949</v>
      </c>
      <c r="G1830" s="2" t="s">
        <v>4931</v>
      </c>
      <c r="H1830" s="2" t="s">
        <v>5010</v>
      </c>
      <c r="I1830" s="20">
        <v>83.54</v>
      </c>
      <c r="J1830" s="2" t="s">
        <v>4933</v>
      </c>
    </row>
    <row r="1831" spans="1:10" ht="15.35" x14ac:dyDescent="0.55000000000000004">
      <c r="A1831" s="20">
        <v>15961</v>
      </c>
      <c r="C1831" s="2" t="s">
        <v>223</v>
      </c>
      <c r="D1831" s="2" t="s">
        <v>224</v>
      </c>
      <c r="E1831" s="2" t="s">
        <v>655</v>
      </c>
      <c r="F1831" s="2" t="s">
        <v>4980</v>
      </c>
      <c r="G1831" s="2" t="s">
        <v>4975</v>
      </c>
      <c r="H1831" s="2" t="s">
        <v>5050</v>
      </c>
      <c r="I1831" s="20">
        <v>8848.36</v>
      </c>
      <c r="J1831" s="2" t="s">
        <v>4977</v>
      </c>
    </row>
    <row r="1832" spans="1:10" ht="15.35" x14ac:dyDescent="0.55000000000000004">
      <c r="A1832" s="20">
        <v>15964</v>
      </c>
      <c r="C1832" s="2" t="s">
        <v>223</v>
      </c>
      <c r="D1832" s="2" t="s">
        <v>224</v>
      </c>
      <c r="E1832" s="2" t="s">
        <v>655</v>
      </c>
      <c r="F1832" s="2" t="s">
        <v>4980</v>
      </c>
      <c r="G1832" s="2" t="s">
        <v>4931</v>
      </c>
      <c r="H1832" s="2" t="s">
        <v>5028</v>
      </c>
      <c r="I1832" s="20">
        <v>95.04</v>
      </c>
      <c r="J1832" s="2" t="s">
        <v>4933</v>
      </c>
    </row>
    <row r="1833" spans="1:10" ht="15.35" x14ac:dyDescent="0.55000000000000004">
      <c r="A1833" s="20">
        <v>15988</v>
      </c>
      <c r="C1833" s="2" t="s">
        <v>223</v>
      </c>
      <c r="D1833" s="2" t="s">
        <v>224</v>
      </c>
      <c r="E1833" s="2" t="s">
        <v>655</v>
      </c>
      <c r="F1833" s="2" t="s">
        <v>4980</v>
      </c>
      <c r="G1833" s="2" t="s">
        <v>4928</v>
      </c>
      <c r="H1833" s="2" t="s">
        <v>4984</v>
      </c>
      <c r="I1833" s="20">
        <v>52018</v>
      </c>
      <c r="J1833" s="2" t="s">
        <v>4935</v>
      </c>
    </row>
    <row r="1834" spans="1:10" ht="15.35" x14ac:dyDescent="0.55000000000000004">
      <c r="A1834" s="20">
        <v>15963</v>
      </c>
      <c r="C1834" s="2" t="s">
        <v>223</v>
      </c>
      <c r="D1834" s="2" t="s">
        <v>224</v>
      </c>
      <c r="E1834" s="2" t="s">
        <v>655</v>
      </c>
      <c r="F1834" s="2" t="s">
        <v>5016</v>
      </c>
      <c r="G1834" s="2" t="s">
        <v>4931</v>
      </c>
      <c r="H1834" s="2" t="s">
        <v>5028</v>
      </c>
      <c r="I1834" s="20">
        <v>93.6</v>
      </c>
      <c r="J1834" s="2" t="s">
        <v>4933</v>
      </c>
    </row>
    <row r="1835" spans="1:10" ht="15.35" x14ac:dyDescent="0.55000000000000004">
      <c r="A1835" s="20">
        <v>15977</v>
      </c>
      <c r="C1835" s="2" t="s">
        <v>223</v>
      </c>
      <c r="D1835" s="2" t="s">
        <v>224</v>
      </c>
      <c r="E1835" s="2" t="s">
        <v>655</v>
      </c>
      <c r="F1835" s="2" t="s">
        <v>5016</v>
      </c>
      <c r="G1835" s="2" t="s">
        <v>4928</v>
      </c>
      <c r="H1835" s="2" t="s">
        <v>4984</v>
      </c>
      <c r="I1835" s="20">
        <v>52018</v>
      </c>
      <c r="J1835" s="2" t="s">
        <v>4935</v>
      </c>
    </row>
    <row r="1836" spans="1:10" ht="15.35" x14ac:dyDescent="0.55000000000000004">
      <c r="A1836" s="20">
        <v>16015</v>
      </c>
      <c r="C1836" s="2" t="s">
        <v>223</v>
      </c>
      <c r="D1836" s="2" t="s">
        <v>224</v>
      </c>
      <c r="E1836" s="2" t="s">
        <v>655</v>
      </c>
      <c r="F1836" s="2" t="s">
        <v>5016</v>
      </c>
      <c r="G1836" s="2" t="s">
        <v>4975</v>
      </c>
      <c r="H1836" s="2" t="s">
        <v>5050</v>
      </c>
      <c r="I1836" s="20">
        <v>11345.6</v>
      </c>
      <c r="J1836" s="2" t="s">
        <v>4977</v>
      </c>
    </row>
    <row r="1837" spans="1:10" ht="15.35" x14ac:dyDescent="0.55000000000000004">
      <c r="A1837" s="20">
        <v>15962</v>
      </c>
      <c r="C1837" s="2" t="s">
        <v>223</v>
      </c>
      <c r="D1837" s="2" t="s">
        <v>224</v>
      </c>
      <c r="E1837" s="2" t="s">
        <v>655</v>
      </c>
      <c r="F1837" s="2" t="s">
        <v>5076</v>
      </c>
      <c r="G1837" s="2" t="s">
        <v>4931</v>
      </c>
      <c r="H1837" s="2" t="s">
        <v>5028</v>
      </c>
      <c r="I1837" s="20">
        <v>89.15</v>
      </c>
      <c r="J1837" s="2" t="s">
        <v>4933</v>
      </c>
    </row>
    <row r="1838" spans="1:10" ht="15.35" x14ac:dyDescent="0.55000000000000004">
      <c r="A1838" s="20">
        <v>15965</v>
      </c>
      <c r="C1838" s="2" t="s">
        <v>223</v>
      </c>
      <c r="D1838" s="2" t="s">
        <v>224</v>
      </c>
      <c r="E1838" s="2" t="s">
        <v>655</v>
      </c>
      <c r="F1838" s="2" t="s">
        <v>5076</v>
      </c>
      <c r="G1838" s="2" t="s">
        <v>4928</v>
      </c>
      <c r="H1838" s="2" t="s">
        <v>4984</v>
      </c>
      <c r="I1838" s="20">
        <v>52978</v>
      </c>
      <c r="J1838" s="2" t="s">
        <v>4935</v>
      </c>
    </row>
    <row r="1839" spans="1:10" ht="15.35" x14ac:dyDescent="0.55000000000000004">
      <c r="A1839" s="20">
        <v>16017</v>
      </c>
      <c r="C1839" s="2" t="s">
        <v>223</v>
      </c>
      <c r="D1839" s="2" t="s">
        <v>224</v>
      </c>
      <c r="E1839" s="2" t="s">
        <v>655</v>
      </c>
      <c r="F1839" s="2" t="s">
        <v>5076</v>
      </c>
      <c r="G1839" s="2" t="s">
        <v>4975</v>
      </c>
      <c r="H1839" s="2" t="s">
        <v>5050</v>
      </c>
      <c r="I1839" s="20">
        <v>10493.52</v>
      </c>
      <c r="J1839" s="2" t="s">
        <v>4977</v>
      </c>
    </row>
    <row r="1840" spans="1:10" ht="15.35" x14ac:dyDescent="0.55000000000000004">
      <c r="A1840" s="20">
        <v>15960</v>
      </c>
      <c r="C1840" s="2" t="s">
        <v>223</v>
      </c>
      <c r="D1840" s="2" t="s">
        <v>224</v>
      </c>
      <c r="E1840" s="2" t="s">
        <v>660</v>
      </c>
      <c r="F1840" s="2" t="s">
        <v>4980</v>
      </c>
      <c r="G1840" s="2" t="s">
        <v>4928</v>
      </c>
      <c r="H1840" s="2" t="s">
        <v>4984</v>
      </c>
      <c r="I1840" s="20">
        <v>85037</v>
      </c>
      <c r="J1840" s="2" t="s">
        <v>4935</v>
      </c>
    </row>
    <row r="1841" spans="1:10" ht="15.35" x14ac:dyDescent="0.55000000000000004">
      <c r="A1841" s="20">
        <v>16009</v>
      </c>
      <c r="C1841" s="2" t="s">
        <v>223</v>
      </c>
      <c r="D1841" s="2" t="s">
        <v>224</v>
      </c>
      <c r="E1841" s="2" t="s">
        <v>660</v>
      </c>
      <c r="F1841" s="2" t="s">
        <v>4980</v>
      </c>
      <c r="G1841" s="2" t="s">
        <v>4975</v>
      </c>
      <c r="H1841" s="2" t="s">
        <v>5050</v>
      </c>
      <c r="I1841" s="20">
        <v>19863.52</v>
      </c>
      <c r="J1841" s="2" t="s">
        <v>4977</v>
      </c>
    </row>
    <row r="1842" spans="1:10" ht="15.35" x14ac:dyDescent="0.55000000000000004">
      <c r="A1842" s="20">
        <v>16012</v>
      </c>
      <c r="C1842" s="2" t="s">
        <v>223</v>
      </c>
      <c r="D1842" s="2" t="s">
        <v>224</v>
      </c>
      <c r="E1842" s="2" t="s">
        <v>660</v>
      </c>
      <c r="F1842" s="2" t="s">
        <v>4980</v>
      </c>
      <c r="G1842" s="2" t="s">
        <v>4931</v>
      </c>
      <c r="H1842" s="2" t="s">
        <v>5028</v>
      </c>
      <c r="I1842" s="20">
        <v>89.5</v>
      </c>
      <c r="J1842" s="2" t="s">
        <v>4933</v>
      </c>
    </row>
    <row r="1843" spans="1:10" ht="15.35" x14ac:dyDescent="0.55000000000000004">
      <c r="A1843" s="20">
        <v>15989</v>
      </c>
      <c r="C1843" s="2" t="s">
        <v>223</v>
      </c>
      <c r="D1843" s="2" t="s">
        <v>224</v>
      </c>
      <c r="E1843" s="2" t="s">
        <v>660</v>
      </c>
      <c r="F1843" s="2" t="s">
        <v>5016</v>
      </c>
      <c r="G1843" s="2" t="s">
        <v>4975</v>
      </c>
      <c r="H1843" s="2" t="s">
        <v>5050</v>
      </c>
      <c r="I1843" s="20">
        <v>16745.080000000002</v>
      </c>
      <c r="J1843" s="2" t="s">
        <v>4977</v>
      </c>
    </row>
    <row r="1844" spans="1:10" ht="15.35" x14ac:dyDescent="0.55000000000000004">
      <c r="A1844" s="20">
        <v>16011</v>
      </c>
      <c r="C1844" s="2" t="s">
        <v>223</v>
      </c>
      <c r="D1844" s="2" t="s">
        <v>224</v>
      </c>
      <c r="E1844" s="2" t="s">
        <v>660</v>
      </c>
      <c r="F1844" s="2" t="s">
        <v>5016</v>
      </c>
      <c r="G1844" s="2" t="s">
        <v>4931</v>
      </c>
      <c r="H1844" s="2" t="s">
        <v>5028</v>
      </c>
      <c r="I1844" s="20">
        <v>90.4</v>
      </c>
      <c r="J1844" s="2" t="s">
        <v>4933</v>
      </c>
    </row>
    <row r="1845" spans="1:10" ht="15.35" x14ac:dyDescent="0.55000000000000004">
      <c r="A1845" s="20">
        <v>16014</v>
      </c>
      <c r="C1845" s="2" t="s">
        <v>223</v>
      </c>
      <c r="D1845" s="2" t="s">
        <v>224</v>
      </c>
      <c r="E1845" s="2" t="s">
        <v>660</v>
      </c>
      <c r="F1845" s="2" t="s">
        <v>5016</v>
      </c>
      <c r="G1845" s="2" t="s">
        <v>4928</v>
      </c>
      <c r="H1845" s="2" t="s">
        <v>4984</v>
      </c>
      <c r="I1845" s="20">
        <v>83881</v>
      </c>
      <c r="J1845" s="2" t="s">
        <v>4935</v>
      </c>
    </row>
    <row r="1846" spans="1:10" ht="15.35" x14ac:dyDescent="0.55000000000000004">
      <c r="A1846" s="20">
        <v>16010</v>
      </c>
      <c r="C1846" s="2" t="s">
        <v>223</v>
      </c>
      <c r="D1846" s="2" t="s">
        <v>224</v>
      </c>
      <c r="E1846" s="2" t="s">
        <v>660</v>
      </c>
      <c r="F1846" s="2" t="s">
        <v>5076</v>
      </c>
      <c r="G1846" s="2" t="s">
        <v>4931</v>
      </c>
      <c r="H1846" s="2" t="s">
        <v>5028</v>
      </c>
      <c r="I1846" s="20">
        <v>91.73</v>
      </c>
      <c r="J1846" s="2" t="s">
        <v>4933</v>
      </c>
    </row>
    <row r="1847" spans="1:10" ht="15.35" x14ac:dyDescent="0.55000000000000004">
      <c r="A1847" s="20">
        <v>16013</v>
      </c>
      <c r="C1847" s="2" t="s">
        <v>223</v>
      </c>
      <c r="D1847" s="2" t="s">
        <v>224</v>
      </c>
      <c r="E1847" s="2" t="s">
        <v>660</v>
      </c>
      <c r="F1847" s="2" t="s">
        <v>5076</v>
      </c>
      <c r="G1847" s="2" t="s">
        <v>4928</v>
      </c>
      <c r="H1847" s="2" t="s">
        <v>4984</v>
      </c>
      <c r="I1847" s="20">
        <v>84126</v>
      </c>
      <c r="J1847" s="2" t="s">
        <v>4935</v>
      </c>
    </row>
    <row r="1848" spans="1:10" ht="15.35" x14ac:dyDescent="0.55000000000000004">
      <c r="A1848" s="20">
        <v>16016</v>
      </c>
      <c r="C1848" s="2" t="s">
        <v>223</v>
      </c>
      <c r="D1848" s="2" t="s">
        <v>224</v>
      </c>
      <c r="E1848" s="2" t="s">
        <v>660</v>
      </c>
      <c r="F1848" s="2" t="s">
        <v>5076</v>
      </c>
      <c r="G1848" s="2" t="s">
        <v>4975</v>
      </c>
      <c r="H1848" s="2" t="s">
        <v>5050</v>
      </c>
      <c r="I1848" s="20">
        <v>13622.25</v>
      </c>
      <c r="J1848" s="2" t="s">
        <v>4977</v>
      </c>
    </row>
    <row r="1849" spans="1:10" ht="15.35" x14ac:dyDescent="0.55000000000000004">
      <c r="A1849" s="20">
        <v>16092</v>
      </c>
      <c r="C1849" s="2" t="s">
        <v>233</v>
      </c>
      <c r="D1849" s="2" t="s">
        <v>234</v>
      </c>
      <c r="E1849" s="2" t="s">
        <v>665</v>
      </c>
      <c r="F1849" s="2" t="s">
        <v>4979</v>
      </c>
      <c r="G1849" s="2" t="s">
        <v>4939</v>
      </c>
      <c r="H1849" s="2" t="s">
        <v>5078</v>
      </c>
      <c r="I1849" s="20">
        <v>130.29</v>
      </c>
      <c r="J1849" s="2" t="s">
        <v>4941</v>
      </c>
    </row>
    <row r="1850" spans="1:10" ht="15.35" x14ac:dyDescent="0.55000000000000004">
      <c r="A1850" s="20">
        <v>16104</v>
      </c>
      <c r="C1850" s="2" t="s">
        <v>233</v>
      </c>
      <c r="D1850" s="2" t="s">
        <v>234</v>
      </c>
      <c r="E1850" s="2" t="s">
        <v>665</v>
      </c>
      <c r="F1850" s="2" t="s">
        <v>4979</v>
      </c>
      <c r="G1850" s="2" t="s">
        <v>4931</v>
      </c>
      <c r="H1850" s="2" t="s">
        <v>5028</v>
      </c>
      <c r="I1850" s="20">
        <v>92.36</v>
      </c>
      <c r="J1850" s="2" t="s">
        <v>4933</v>
      </c>
    </row>
    <row r="1851" spans="1:10" ht="15.35" x14ac:dyDescent="0.55000000000000004">
      <c r="A1851" s="20">
        <v>16091</v>
      </c>
      <c r="C1851" s="2" t="s">
        <v>233</v>
      </c>
      <c r="D1851" s="2" t="s">
        <v>234</v>
      </c>
      <c r="E1851" s="2" t="s">
        <v>665</v>
      </c>
      <c r="F1851" s="2" t="s">
        <v>4980</v>
      </c>
      <c r="G1851" s="2" t="s">
        <v>4939</v>
      </c>
      <c r="H1851" s="2" t="s">
        <v>5078</v>
      </c>
      <c r="I1851" s="20">
        <v>160.32</v>
      </c>
      <c r="J1851" s="2" t="s">
        <v>4941</v>
      </c>
    </row>
    <row r="1852" spans="1:10" ht="15.35" x14ac:dyDescent="0.55000000000000004">
      <c r="A1852" s="20">
        <v>16096</v>
      </c>
      <c r="C1852" s="2" t="s">
        <v>233</v>
      </c>
      <c r="D1852" s="2" t="s">
        <v>234</v>
      </c>
      <c r="E1852" s="2" t="s">
        <v>665</v>
      </c>
      <c r="F1852" s="2" t="s">
        <v>4980</v>
      </c>
      <c r="G1852" s="2" t="s">
        <v>4931</v>
      </c>
      <c r="H1852" s="2" t="s">
        <v>5028</v>
      </c>
      <c r="I1852" s="20">
        <v>91.35</v>
      </c>
      <c r="J1852" s="2" t="s">
        <v>4933</v>
      </c>
    </row>
    <row r="1853" spans="1:10" ht="15.35" x14ac:dyDescent="0.55000000000000004">
      <c r="A1853" s="20">
        <v>16090</v>
      </c>
      <c r="C1853" s="2" t="s">
        <v>233</v>
      </c>
      <c r="D1853" s="2" t="s">
        <v>234</v>
      </c>
      <c r="E1853" s="2" t="s">
        <v>665</v>
      </c>
      <c r="F1853" s="2" t="s">
        <v>5016</v>
      </c>
      <c r="G1853" s="2" t="s">
        <v>4939</v>
      </c>
      <c r="H1853" s="2" t="s">
        <v>5078</v>
      </c>
      <c r="I1853" s="20">
        <v>154.15</v>
      </c>
      <c r="J1853" s="2" t="s">
        <v>4941</v>
      </c>
    </row>
    <row r="1854" spans="1:10" ht="15.35" x14ac:dyDescent="0.55000000000000004">
      <c r="A1854" s="20">
        <v>16094</v>
      </c>
      <c r="C1854" s="2" t="s">
        <v>233</v>
      </c>
      <c r="D1854" s="2" t="s">
        <v>234</v>
      </c>
      <c r="E1854" s="2" t="s">
        <v>665</v>
      </c>
      <c r="F1854" s="2" t="s">
        <v>5016</v>
      </c>
      <c r="G1854" s="2" t="s">
        <v>4931</v>
      </c>
      <c r="H1854" s="2" t="s">
        <v>5028</v>
      </c>
      <c r="I1854" s="20">
        <v>83.05</v>
      </c>
      <c r="J1854" s="2" t="s">
        <v>4933</v>
      </c>
    </row>
    <row r="1855" spans="1:10" ht="15.35" x14ac:dyDescent="0.55000000000000004">
      <c r="A1855" s="20">
        <v>16089</v>
      </c>
      <c r="C1855" s="2" t="s">
        <v>233</v>
      </c>
      <c r="D1855" s="2" t="s">
        <v>234</v>
      </c>
      <c r="E1855" s="2" t="s">
        <v>665</v>
      </c>
      <c r="F1855" s="2" t="s">
        <v>5086</v>
      </c>
      <c r="G1855" s="2" t="s">
        <v>4939</v>
      </c>
      <c r="H1855" s="2" t="s">
        <v>5078</v>
      </c>
      <c r="I1855" s="20">
        <v>140.1</v>
      </c>
      <c r="J1855" s="2" t="s">
        <v>4941</v>
      </c>
    </row>
    <row r="1856" spans="1:10" ht="15.35" x14ac:dyDescent="0.55000000000000004">
      <c r="A1856" s="20">
        <v>16093</v>
      </c>
      <c r="C1856" s="2" t="s">
        <v>233</v>
      </c>
      <c r="D1856" s="2" t="s">
        <v>234</v>
      </c>
      <c r="E1856" s="2" t="s">
        <v>665</v>
      </c>
      <c r="F1856" s="2" t="s">
        <v>5086</v>
      </c>
      <c r="G1856" s="2" t="s">
        <v>4931</v>
      </c>
      <c r="H1856" s="2" t="s">
        <v>5028</v>
      </c>
      <c r="I1856" s="20">
        <v>86.27</v>
      </c>
      <c r="J1856" s="2" t="s">
        <v>4933</v>
      </c>
    </row>
    <row r="1857" spans="1:10" ht="15.35" x14ac:dyDescent="0.55000000000000004">
      <c r="A1857" s="20">
        <v>15914</v>
      </c>
      <c r="C1857" s="2" t="s">
        <v>236</v>
      </c>
      <c r="D1857" s="2" t="s">
        <v>237</v>
      </c>
      <c r="E1857" s="2" t="s">
        <v>670</v>
      </c>
      <c r="F1857" s="2" t="s">
        <v>4979</v>
      </c>
      <c r="G1857" s="2" t="s">
        <v>4939</v>
      </c>
      <c r="H1857" s="2" t="s">
        <v>5078</v>
      </c>
      <c r="I1857" s="20">
        <v>223.64</v>
      </c>
      <c r="J1857" s="2" t="s">
        <v>4941</v>
      </c>
    </row>
    <row r="1858" spans="1:10" ht="15.35" x14ac:dyDescent="0.55000000000000004">
      <c r="A1858" s="20">
        <v>15910</v>
      </c>
      <c r="C1858" s="2" t="s">
        <v>236</v>
      </c>
      <c r="D1858" s="2" t="s">
        <v>237</v>
      </c>
      <c r="E1858" s="2" t="s">
        <v>670</v>
      </c>
      <c r="F1858" s="2" t="s">
        <v>4979</v>
      </c>
      <c r="G1858" s="2" t="s">
        <v>4931</v>
      </c>
      <c r="H1858" s="2" t="s">
        <v>5043</v>
      </c>
      <c r="I1858" s="20">
        <v>44.99</v>
      </c>
      <c r="J1858" s="2" t="s">
        <v>4933</v>
      </c>
    </row>
    <row r="1859" spans="1:10" ht="15.35" x14ac:dyDescent="0.55000000000000004">
      <c r="A1859" s="20">
        <v>15909</v>
      </c>
      <c r="C1859" s="2" t="s">
        <v>236</v>
      </c>
      <c r="D1859" s="2" t="s">
        <v>237</v>
      </c>
      <c r="E1859" s="2" t="s">
        <v>670</v>
      </c>
      <c r="F1859" s="2" t="s">
        <v>4980</v>
      </c>
      <c r="G1859" s="2" t="s">
        <v>4931</v>
      </c>
      <c r="H1859" s="2" t="s">
        <v>5043</v>
      </c>
      <c r="I1859" s="20">
        <v>85.63</v>
      </c>
      <c r="J1859" s="2" t="s">
        <v>4933</v>
      </c>
    </row>
    <row r="1860" spans="1:10" ht="15.35" x14ac:dyDescent="0.55000000000000004">
      <c r="A1860" s="20">
        <v>15913</v>
      </c>
      <c r="C1860" s="2" t="s">
        <v>236</v>
      </c>
      <c r="D1860" s="2" t="s">
        <v>237</v>
      </c>
      <c r="E1860" s="2" t="s">
        <v>670</v>
      </c>
      <c r="F1860" s="2" t="s">
        <v>4980</v>
      </c>
      <c r="G1860" s="2" t="s">
        <v>4939</v>
      </c>
      <c r="H1860" s="2" t="s">
        <v>5078</v>
      </c>
      <c r="I1860" s="20">
        <v>211.34</v>
      </c>
      <c r="J1860" s="2" t="s">
        <v>4941</v>
      </c>
    </row>
    <row r="1861" spans="1:10" ht="15.35" x14ac:dyDescent="0.55000000000000004">
      <c r="A1861" s="20">
        <v>15908</v>
      </c>
      <c r="C1861" s="2" t="s">
        <v>236</v>
      </c>
      <c r="D1861" s="2" t="s">
        <v>237</v>
      </c>
      <c r="E1861" s="2" t="s">
        <v>670</v>
      </c>
      <c r="F1861" s="2" t="s">
        <v>5016</v>
      </c>
      <c r="G1861" s="2" t="s">
        <v>4931</v>
      </c>
      <c r="H1861" s="2" t="s">
        <v>5043</v>
      </c>
      <c r="I1861" s="20">
        <v>94.67</v>
      </c>
      <c r="J1861" s="2" t="s">
        <v>4933</v>
      </c>
    </row>
    <row r="1862" spans="1:10" ht="15.35" x14ac:dyDescent="0.55000000000000004">
      <c r="A1862" s="20">
        <v>15912</v>
      </c>
      <c r="C1862" s="2" t="s">
        <v>236</v>
      </c>
      <c r="D1862" s="2" t="s">
        <v>237</v>
      </c>
      <c r="E1862" s="2" t="s">
        <v>670</v>
      </c>
      <c r="F1862" s="2" t="s">
        <v>5016</v>
      </c>
      <c r="G1862" s="2" t="s">
        <v>4939</v>
      </c>
      <c r="H1862" s="2" t="s">
        <v>5078</v>
      </c>
      <c r="I1862" s="20">
        <v>211.69</v>
      </c>
      <c r="J1862" s="2" t="s">
        <v>4941</v>
      </c>
    </row>
    <row r="1863" spans="1:10" ht="15.35" x14ac:dyDescent="0.55000000000000004">
      <c r="A1863" s="20">
        <v>15907</v>
      </c>
      <c r="C1863" s="2" t="s">
        <v>236</v>
      </c>
      <c r="D1863" s="2" t="s">
        <v>237</v>
      </c>
      <c r="E1863" s="2" t="s">
        <v>670</v>
      </c>
      <c r="F1863" s="2" t="s">
        <v>5086</v>
      </c>
      <c r="G1863" s="2" t="s">
        <v>4931</v>
      </c>
      <c r="H1863" s="2" t="s">
        <v>5043</v>
      </c>
      <c r="I1863" s="20">
        <v>100</v>
      </c>
      <c r="J1863" s="2" t="s">
        <v>4933</v>
      </c>
    </row>
    <row r="1864" spans="1:10" ht="15.35" x14ac:dyDescent="0.55000000000000004">
      <c r="A1864" s="20">
        <v>15911</v>
      </c>
      <c r="C1864" s="2" t="s">
        <v>236</v>
      </c>
      <c r="D1864" s="2" t="s">
        <v>237</v>
      </c>
      <c r="E1864" s="2" t="s">
        <v>670</v>
      </c>
      <c r="F1864" s="2" t="s">
        <v>5086</v>
      </c>
      <c r="G1864" s="2" t="s">
        <v>4939</v>
      </c>
      <c r="H1864" s="2" t="s">
        <v>5078</v>
      </c>
      <c r="I1864" s="20">
        <v>206.5</v>
      </c>
      <c r="J1864" s="2" t="s">
        <v>4941</v>
      </c>
    </row>
    <row r="1865" spans="1:10" ht="15.35" x14ac:dyDescent="0.55000000000000004">
      <c r="A1865" s="20">
        <v>15918</v>
      </c>
      <c r="C1865" s="2" t="s">
        <v>236</v>
      </c>
      <c r="D1865" s="2" t="s">
        <v>237</v>
      </c>
      <c r="E1865" s="2" t="s">
        <v>678</v>
      </c>
      <c r="F1865" s="2" t="s">
        <v>4979</v>
      </c>
      <c r="G1865" s="2" t="s">
        <v>4931</v>
      </c>
      <c r="H1865" s="2" t="s">
        <v>5043</v>
      </c>
      <c r="I1865" s="20">
        <v>92.9</v>
      </c>
      <c r="J1865" s="2" t="s">
        <v>4933</v>
      </c>
    </row>
    <row r="1866" spans="1:10" ht="15.35" x14ac:dyDescent="0.55000000000000004">
      <c r="A1866" s="20">
        <v>15925</v>
      </c>
      <c r="C1866" s="2" t="s">
        <v>236</v>
      </c>
      <c r="D1866" s="2" t="s">
        <v>237</v>
      </c>
      <c r="E1866" s="2" t="s">
        <v>678</v>
      </c>
      <c r="F1866" s="2" t="s">
        <v>4979</v>
      </c>
      <c r="G1866" s="2" t="s">
        <v>4939</v>
      </c>
      <c r="H1866" s="2" t="s">
        <v>5078</v>
      </c>
      <c r="I1866" s="20">
        <v>206.52</v>
      </c>
      <c r="J1866" s="2" t="s">
        <v>4941</v>
      </c>
    </row>
    <row r="1867" spans="1:10" ht="15.35" x14ac:dyDescent="0.55000000000000004">
      <c r="A1867" s="20">
        <v>15917</v>
      </c>
      <c r="C1867" s="2" t="s">
        <v>236</v>
      </c>
      <c r="D1867" s="2" t="s">
        <v>237</v>
      </c>
      <c r="E1867" s="2" t="s">
        <v>678</v>
      </c>
      <c r="F1867" s="2" t="s">
        <v>4980</v>
      </c>
      <c r="G1867" s="2" t="s">
        <v>4931</v>
      </c>
      <c r="H1867" s="2" t="s">
        <v>5043</v>
      </c>
      <c r="I1867" s="20">
        <v>95.69</v>
      </c>
      <c r="J1867" s="2" t="s">
        <v>4933</v>
      </c>
    </row>
    <row r="1868" spans="1:10" ht="15.35" x14ac:dyDescent="0.55000000000000004">
      <c r="A1868" s="20">
        <v>15921</v>
      </c>
      <c r="C1868" s="2" t="s">
        <v>236</v>
      </c>
      <c r="D1868" s="2" t="s">
        <v>237</v>
      </c>
      <c r="E1868" s="2" t="s">
        <v>678</v>
      </c>
      <c r="F1868" s="2" t="s">
        <v>4980</v>
      </c>
      <c r="G1868" s="2" t="s">
        <v>4939</v>
      </c>
      <c r="H1868" s="2" t="s">
        <v>5078</v>
      </c>
      <c r="I1868" s="20">
        <v>195.97</v>
      </c>
      <c r="J1868" s="2" t="s">
        <v>4941</v>
      </c>
    </row>
    <row r="1869" spans="1:10" ht="15.35" x14ac:dyDescent="0.55000000000000004">
      <c r="A1869" s="20">
        <v>15916</v>
      </c>
      <c r="C1869" s="2" t="s">
        <v>236</v>
      </c>
      <c r="D1869" s="2" t="s">
        <v>237</v>
      </c>
      <c r="E1869" s="2" t="s">
        <v>678</v>
      </c>
      <c r="F1869" s="2" t="s">
        <v>5016</v>
      </c>
      <c r="G1869" s="2" t="s">
        <v>4931</v>
      </c>
      <c r="H1869" s="2" t="s">
        <v>5043</v>
      </c>
      <c r="I1869" s="20">
        <v>99.48</v>
      </c>
      <c r="J1869" s="2" t="s">
        <v>4933</v>
      </c>
    </row>
    <row r="1870" spans="1:10" ht="15.35" x14ac:dyDescent="0.55000000000000004">
      <c r="A1870" s="20">
        <v>15920</v>
      </c>
      <c r="C1870" s="2" t="s">
        <v>236</v>
      </c>
      <c r="D1870" s="2" t="s">
        <v>237</v>
      </c>
      <c r="E1870" s="2" t="s">
        <v>678</v>
      </c>
      <c r="F1870" s="2" t="s">
        <v>5016</v>
      </c>
      <c r="G1870" s="2" t="s">
        <v>4939</v>
      </c>
      <c r="H1870" s="2" t="s">
        <v>5078</v>
      </c>
      <c r="I1870" s="20">
        <v>194.5</v>
      </c>
      <c r="J1870" s="2" t="s">
        <v>4941</v>
      </c>
    </row>
    <row r="1871" spans="1:10" ht="15.35" x14ac:dyDescent="0.55000000000000004">
      <c r="A1871" s="20">
        <v>15915</v>
      </c>
      <c r="C1871" s="2" t="s">
        <v>236</v>
      </c>
      <c r="D1871" s="2" t="s">
        <v>237</v>
      </c>
      <c r="E1871" s="2" t="s">
        <v>678</v>
      </c>
      <c r="F1871" s="2" t="s">
        <v>5086</v>
      </c>
      <c r="G1871" s="2" t="s">
        <v>4931</v>
      </c>
      <c r="H1871" s="2" t="s">
        <v>5043</v>
      </c>
      <c r="I1871" s="20">
        <v>99.57</v>
      </c>
      <c r="J1871" s="2" t="s">
        <v>4933</v>
      </c>
    </row>
    <row r="1872" spans="1:10" ht="15.35" x14ac:dyDescent="0.55000000000000004">
      <c r="A1872" s="20">
        <v>15919</v>
      </c>
      <c r="C1872" s="2" t="s">
        <v>236</v>
      </c>
      <c r="D1872" s="2" t="s">
        <v>237</v>
      </c>
      <c r="E1872" s="2" t="s">
        <v>678</v>
      </c>
      <c r="F1872" s="2" t="s">
        <v>5086</v>
      </c>
      <c r="G1872" s="2" t="s">
        <v>4939</v>
      </c>
      <c r="H1872" s="2" t="s">
        <v>5078</v>
      </c>
      <c r="I1872" s="20">
        <v>189.87</v>
      </c>
      <c r="J1872" s="2" t="s">
        <v>4941</v>
      </c>
    </row>
    <row r="1873" spans="1:10" ht="15.35" x14ac:dyDescent="0.55000000000000004">
      <c r="A1873" s="20">
        <v>15902</v>
      </c>
      <c r="C1873" s="2" t="s">
        <v>236</v>
      </c>
      <c r="D1873" s="2" t="s">
        <v>237</v>
      </c>
      <c r="E1873" s="2" t="s">
        <v>682</v>
      </c>
      <c r="F1873" s="2" t="s">
        <v>4979</v>
      </c>
      <c r="G1873" s="2" t="s">
        <v>4931</v>
      </c>
      <c r="H1873" s="2" t="s">
        <v>5043</v>
      </c>
      <c r="I1873" s="20">
        <v>88.05</v>
      </c>
      <c r="J1873" s="2" t="s">
        <v>4933</v>
      </c>
    </row>
    <row r="1874" spans="1:10" ht="15.35" x14ac:dyDescent="0.55000000000000004">
      <c r="A1874" s="20">
        <v>15906</v>
      </c>
      <c r="C1874" s="2" t="s">
        <v>236</v>
      </c>
      <c r="D1874" s="2" t="s">
        <v>237</v>
      </c>
      <c r="E1874" s="2" t="s">
        <v>682</v>
      </c>
      <c r="F1874" s="2" t="s">
        <v>4979</v>
      </c>
      <c r="G1874" s="2" t="s">
        <v>4939</v>
      </c>
      <c r="H1874" s="2" t="s">
        <v>5078</v>
      </c>
      <c r="I1874" s="20">
        <v>218.62</v>
      </c>
      <c r="J1874" s="2" t="s">
        <v>4941</v>
      </c>
    </row>
    <row r="1875" spans="1:10" ht="15.35" x14ac:dyDescent="0.55000000000000004">
      <c r="A1875" s="20">
        <v>15905</v>
      </c>
      <c r="C1875" s="2" t="s">
        <v>236</v>
      </c>
      <c r="D1875" s="2" t="s">
        <v>237</v>
      </c>
      <c r="E1875" s="2" t="s">
        <v>682</v>
      </c>
      <c r="F1875" s="2" t="s">
        <v>4980</v>
      </c>
      <c r="G1875" s="2" t="s">
        <v>4939</v>
      </c>
      <c r="H1875" s="2" t="s">
        <v>5078</v>
      </c>
      <c r="I1875" s="20">
        <v>209.34</v>
      </c>
      <c r="J1875" s="2" t="s">
        <v>4941</v>
      </c>
    </row>
    <row r="1876" spans="1:10" ht="15.35" x14ac:dyDescent="0.55000000000000004">
      <c r="A1876" s="20">
        <v>15923</v>
      </c>
      <c r="C1876" s="2" t="s">
        <v>236</v>
      </c>
      <c r="D1876" s="2" t="s">
        <v>237</v>
      </c>
      <c r="E1876" s="2" t="s">
        <v>682</v>
      </c>
      <c r="F1876" s="2" t="s">
        <v>4980</v>
      </c>
      <c r="G1876" s="2" t="s">
        <v>4931</v>
      </c>
      <c r="H1876" s="2" t="s">
        <v>5043</v>
      </c>
      <c r="I1876" s="20">
        <v>85.7</v>
      </c>
      <c r="J1876" s="2" t="s">
        <v>4933</v>
      </c>
    </row>
    <row r="1877" spans="1:10" ht="15.35" x14ac:dyDescent="0.55000000000000004">
      <c r="A1877" s="20">
        <v>15922</v>
      </c>
      <c r="C1877" s="2" t="s">
        <v>236</v>
      </c>
      <c r="D1877" s="2" t="s">
        <v>237</v>
      </c>
      <c r="E1877" s="2" t="s">
        <v>682</v>
      </c>
      <c r="F1877" s="2" t="s">
        <v>5016</v>
      </c>
      <c r="G1877" s="2" t="s">
        <v>4931</v>
      </c>
      <c r="H1877" s="2" t="s">
        <v>5043</v>
      </c>
      <c r="I1877" s="20">
        <v>97.03</v>
      </c>
      <c r="J1877" s="2" t="s">
        <v>4933</v>
      </c>
    </row>
    <row r="1878" spans="1:10" ht="15.35" x14ac:dyDescent="0.55000000000000004">
      <c r="A1878" s="20">
        <v>15904</v>
      </c>
      <c r="C1878" s="2" t="s">
        <v>236</v>
      </c>
      <c r="D1878" s="2" t="s">
        <v>237</v>
      </c>
      <c r="E1878" s="2" t="s">
        <v>682</v>
      </c>
      <c r="F1878" s="2" t="s">
        <v>5016</v>
      </c>
      <c r="G1878" s="2" t="s">
        <v>4939</v>
      </c>
      <c r="H1878" s="2" t="s">
        <v>5078</v>
      </c>
      <c r="I1878" s="20">
        <v>216.59</v>
      </c>
      <c r="J1878" s="2" t="s">
        <v>4941</v>
      </c>
    </row>
    <row r="1879" spans="1:10" ht="15.35" x14ac:dyDescent="0.55000000000000004">
      <c r="A1879" s="20">
        <v>15903</v>
      </c>
      <c r="C1879" s="2" t="s">
        <v>236</v>
      </c>
      <c r="D1879" s="2" t="s">
        <v>237</v>
      </c>
      <c r="E1879" s="2" t="s">
        <v>682</v>
      </c>
      <c r="F1879" s="2" t="s">
        <v>5086</v>
      </c>
      <c r="G1879" s="2" t="s">
        <v>4939</v>
      </c>
      <c r="H1879" s="2" t="s">
        <v>5078</v>
      </c>
      <c r="I1879" s="20">
        <v>209.98</v>
      </c>
      <c r="J1879" s="2" t="s">
        <v>4941</v>
      </c>
    </row>
    <row r="1880" spans="1:10" ht="15.35" x14ac:dyDescent="0.55000000000000004">
      <c r="A1880" s="20">
        <v>15949</v>
      </c>
      <c r="C1880" s="2" t="s">
        <v>236</v>
      </c>
      <c r="D1880" s="2" t="s">
        <v>237</v>
      </c>
      <c r="E1880" s="2" t="s">
        <v>682</v>
      </c>
      <c r="F1880" s="2" t="s">
        <v>5086</v>
      </c>
      <c r="G1880" s="2" t="s">
        <v>4931</v>
      </c>
      <c r="H1880" s="2" t="s">
        <v>5043</v>
      </c>
      <c r="I1880" s="20">
        <v>98.7</v>
      </c>
      <c r="J1880" s="2" t="s">
        <v>4933</v>
      </c>
    </row>
    <row r="1881" spans="1:10" ht="15.35" x14ac:dyDescent="0.55000000000000004">
      <c r="A1881" s="20">
        <v>16132</v>
      </c>
      <c r="C1881" s="2" t="s">
        <v>239</v>
      </c>
      <c r="D1881" s="2" t="s">
        <v>240</v>
      </c>
      <c r="E1881" s="2" t="s">
        <v>689</v>
      </c>
      <c r="F1881" s="2" t="s">
        <v>4980</v>
      </c>
      <c r="G1881" s="2" t="s">
        <v>4928</v>
      </c>
      <c r="H1881" s="2" t="s">
        <v>4984</v>
      </c>
      <c r="I1881" s="20">
        <v>49978.1</v>
      </c>
      <c r="J1881" s="2" t="s">
        <v>4935</v>
      </c>
    </row>
    <row r="1882" spans="1:10" ht="15.35" x14ac:dyDescent="0.55000000000000004">
      <c r="A1882" s="20">
        <v>16135</v>
      </c>
      <c r="C1882" s="2" t="s">
        <v>239</v>
      </c>
      <c r="D1882" s="2" t="s">
        <v>240</v>
      </c>
      <c r="E1882" s="2" t="s">
        <v>689</v>
      </c>
      <c r="F1882" s="2" t="s">
        <v>4980</v>
      </c>
      <c r="G1882" s="2" t="s">
        <v>4931</v>
      </c>
      <c r="H1882" s="2" t="s">
        <v>5028</v>
      </c>
      <c r="I1882" s="20">
        <v>99.87</v>
      </c>
      <c r="J1882" s="2" t="s">
        <v>4933</v>
      </c>
    </row>
    <row r="1883" spans="1:10" ht="15.35" x14ac:dyDescent="0.55000000000000004">
      <c r="A1883" s="20">
        <v>16138</v>
      </c>
      <c r="C1883" s="2" t="s">
        <v>239</v>
      </c>
      <c r="D1883" s="2" t="s">
        <v>240</v>
      </c>
      <c r="E1883" s="2" t="s">
        <v>689</v>
      </c>
      <c r="F1883" s="2" t="s">
        <v>4980</v>
      </c>
      <c r="G1883" s="2" t="s">
        <v>4931</v>
      </c>
      <c r="H1883" s="2" t="s">
        <v>5010</v>
      </c>
      <c r="I1883" s="20">
        <v>97.61</v>
      </c>
      <c r="J1883" s="2" t="s">
        <v>4933</v>
      </c>
    </row>
    <row r="1884" spans="1:10" ht="15.35" x14ac:dyDescent="0.55000000000000004">
      <c r="A1884" s="20">
        <v>16141</v>
      </c>
      <c r="C1884" s="2" t="s">
        <v>239</v>
      </c>
      <c r="D1884" s="2" t="s">
        <v>240</v>
      </c>
      <c r="E1884" s="2" t="s">
        <v>689</v>
      </c>
      <c r="F1884" s="2" t="s">
        <v>4980</v>
      </c>
      <c r="G1884" s="2" t="s">
        <v>4939</v>
      </c>
      <c r="H1884" s="2" t="s">
        <v>5078</v>
      </c>
      <c r="I1884" s="20">
        <v>160.22999999999999</v>
      </c>
      <c r="J1884" s="2" t="s">
        <v>4941</v>
      </c>
    </row>
    <row r="1885" spans="1:10" ht="15.35" x14ac:dyDescent="0.55000000000000004">
      <c r="A1885" s="20">
        <v>16143</v>
      </c>
      <c r="C1885" s="2" t="s">
        <v>239</v>
      </c>
      <c r="D1885" s="2" t="s">
        <v>240</v>
      </c>
      <c r="E1885" s="2" t="s">
        <v>689</v>
      </c>
      <c r="F1885" s="2" t="s">
        <v>4980</v>
      </c>
      <c r="G1885" s="2" t="s">
        <v>4928</v>
      </c>
      <c r="H1885" s="2" t="s">
        <v>5014</v>
      </c>
      <c r="I1885" s="20">
        <v>1324</v>
      </c>
      <c r="J1885" s="2" t="s">
        <v>5087</v>
      </c>
    </row>
    <row r="1886" spans="1:10" ht="15.35" x14ac:dyDescent="0.55000000000000004">
      <c r="A1886" s="20">
        <v>16130</v>
      </c>
      <c r="C1886" s="2" t="s">
        <v>239</v>
      </c>
      <c r="D1886" s="2" t="s">
        <v>240</v>
      </c>
      <c r="E1886" s="2" t="s">
        <v>689</v>
      </c>
      <c r="F1886" s="2" t="s">
        <v>5016</v>
      </c>
      <c r="G1886" s="2" t="s">
        <v>4928</v>
      </c>
      <c r="H1886" s="2" t="s">
        <v>5014</v>
      </c>
      <c r="I1886" s="20">
        <v>1440</v>
      </c>
      <c r="J1886" s="2" t="s">
        <v>5087</v>
      </c>
    </row>
    <row r="1887" spans="1:10" ht="15.35" x14ac:dyDescent="0.55000000000000004">
      <c r="A1887" s="20">
        <v>16133</v>
      </c>
      <c r="C1887" s="2" t="s">
        <v>239</v>
      </c>
      <c r="D1887" s="2" t="s">
        <v>240</v>
      </c>
      <c r="E1887" s="2" t="s">
        <v>689</v>
      </c>
      <c r="F1887" s="2" t="s">
        <v>5016</v>
      </c>
      <c r="G1887" s="2" t="s">
        <v>4928</v>
      </c>
      <c r="H1887" s="2" t="s">
        <v>4984</v>
      </c>
      <c r="I1887" s="20">
        <v>49952.5</v>
      </c>
      <c r="J1887" s="2" t="s">
        <v>4935</v>
      </c>
    </row>
    <row r="1888" spans="1:10" ht="15.35" x14ac:dyDescent="0.55000000000000004">
      <c r="A1888" s="20">
        <v>16136</v>
      </c>
      <c r="C1888" s="2" t="s">
        <v>239</v>
      </c>
      <c r="D1888" s="2" t="s">
        <v>240</v>
      </c>
      <c r="E1888" s="2" t="s">
        <v>689</v>
      </c>
      <c r="F1888" s="2" t="s">
        <v>5016</v>
      </c>
      <c r="G1888" s="2" t="s">
        <v>4931</v>
      </c>
      <c r="H1888" s="2" t="s">
        <v>5028</v>
      </c>
      <c r="I1888" s="20">
        <v>99.01</v>
      </c>
      <c r="J1888" s="2" t="s">
        <v>4933</v>
      </c>
    </row>
    <row r="1889" spans="1:10" ht="15.35" x14ac:dyDescent="0.55000000000000004">
      <c r="A1889" s="20">
        <v>16139</v>
      </c>
      <c r="C1889" s="2" t="s">
        <v>239</v>
      </c>
      <c r="D1889" s="2" t="s">
        <v>240</v>
      </c>
      <c r="E1889" s="2" t="s">
        <v>689</v>
      </c>
      <c r="F1889" s="2" t="s">
        <v>5016</v>
      </c>
      <c r="G1889" s="2" t="s">
        <v>4931</v>
      </c>
      <c r="H1889" s="2" t="s">
        <v>5010</v>
      </c>
      <c r="I1889" s="20">
        <v>99.03</v>
      </c>
      <c r="J1889" s="2" t="s">
        <v>4933</v>
      </c>
    </row>
    <row r="1890" spans="1:10" ht="15.35" x14ac:dyDescent="0.55000000000000004">
      <c r="A1890" s="20">
        <v>16142</v>
      </c>
      <c r="C1890" s="2" t="s">
        <v>239</v>
      </c>
      <c r="D1890" s="2" t="s">
        <v>240</v>
      </c>
      <c r="E1890" s="2" t="s">
        <v>689</v>
      </c>
      <c r="F1890" s="2" t="s">
        <v>5016</v>
      </c>
      <c r="G1890" s="2" t="s">
        <v>4939</v>
      </c>
      <c r="H1890" s="2" t="s">
        <v>5078</v>
      </c>
      <c r="I1890" s="20">
        <v>162.38</v>
      </c>
      <c r="J1890" s="2" t="s">
        <v>4941</v>
      </c>
    </row>
    <row r="1891" spans="1:10" ht="15.35" x14ac:dyDescent="0.55000000000000004">
      <c r="A1891" s="20">
        <v>16131</v>
      </c>
      <c r="C1891" s="2" t="s">
        <v>239</v>
      </c>
      <c r="D1891" s="2" t="s">
        <v>240</v>
      </c>
      <c r="E1891" s="2" t="s">
        <v>689</v>
      </c>
      <c r="F1891" s="2" t="s">
        <v>5076</v>
      </c>
      <c r="G1891" s="2" t="s">
        <v>4928</v>
      </c>
      <c r="H1891" s="2" t="s">
        <v>5014</v>
      </c>
      <c r="I1891" s="20">
        <v>1489</v>
      </c>
      <c r="J1891" s="2" t="s">
        <v>5087</v>
      </c>
    </row>
    <row r="1892" spans="1:10" ht="15.35" x14ac:dyDescent="0.55000000000000004">
      <c r="A1892" s="20">
        <v>16134</v>
      </c>
      <c r="C1892" s="2" t="s">
        <v>239</v>
      </c>
      <c r="D1892" s="2" t="s">
        <v>240</v>
      </c>
      <c r="E1892" s="2" t="s">
        <v>689</v>
      </c>
      <c r="F1892" s="2" t="s">
        <v>5076</v>
      </c>
      <c r="G1892" s="2" t="s">
        <v>4928</v>
      </c>
      <c r="H1892" s="2" t="s">
        <v>4984</v>
      </c>
      <c r="I1892" s="20">
        <v>49963.51</v>
      </c>
      <c r="J1892" s="2" t="s">
        <v>4935</v>
      </c>
    </row>
    <row r="1893" spans="1:10" ht="15.35" x14ac:dyDescent="0.55000000000000004">
      <c r="A1893" s="20">
        <v>16137</v>
      </c>
      <c r="C1893" s="2" t="s">
        <v>239</v>
      </c>
      <c r="D1893" s="2" t="s">
        <v>240</v>
      </c>
      <c r="E1893" s="2" t="s">
        <v>689</v>
      </c>
      <c r="F1893" s="2" t="s">
        <v>5076</v>
      </c>
      <c r="G1893" s="2" t="s">
        <v>4931</v>
      </c>
      <c r="H1893" s="2" t="s">
        <v>5028</v>
      </c>
      <c r="I1893" s="20">
        <v>99.34</v>
      </c>
      <c r="J1893" s="2" t="s">
        <v>4933</v>
      </c>
    </row>
    <row r="1894" spans="1:10" ht="15.35" x14ac:dyDescent="0.55000000000000004">
      <c r="A1894" s="20">
        <v>16140</v>
      </c>
      <c r="C1894" s="2" t="s">
        <v>239</v>
      </c>
      <c r="D1894" s="2" t="s">
        <v>240</v>
      </c>
      <c r="E1894" s="2" t="s">
        <v>689</v>
      </c>
      <c r="F1894" s="2" t="s">
        <v>5076</v>
      </c>
      <c r="G1894" s="2" t="s">
        <v>4931</v>
      </c>
      <c r="H1894" s="2" t="s">
        <v>5010</v>
      </c>
      <c r="I1894" s="20">
        <v>97.99</v>
      </c>
      <c r="J1894" s="2" t="s">
        <v>4933</v>
      </c>
    </row>
    <row r="1895" spans="1:10" ht="15.35" x14ac:dyDescent="0.55000000000000004">
      <c r="A1895" s="20">
        <v>16144</v>
      </c>
      <c r="C1895" s="2" t="s">
        <v>239</v>
      </c>
      <c r="D1895" s="2" t="s">
        <v>240</v>
      </c>
      <c r="E1895" s="2" t="s">
        <v>689</v>
      </c>
      <c r="F1895" s="2" t="s">
        <v>5076</v>
      </c>
      <c r="G1895" s="2" t="s">
        <v>4939</v>
      </c>
      <c r="H1895" s="2" t="s">
        <v>5078</v>
      </c>
      <c r="I1895" s="20">
        <v>154</v>
      </c>
      <c r="J1895" s="2" t="s">
        <v>4941</v>
      </c>
    </row>
    <row r="1896" spans="1:10" ht="15.35" x14ac:dyDescent="0.55000000000000004">
      <c r="A1896" s="20">
        <v>18827</v>
      </c>
      <c r="C1896" s="2" t="s">
        <v>257</v>
      </c>
      <c r="D1896" s="2" t="s">
        <v>258</v>
      </c>
      <c r="E1896" s="2" t="s">
        <v>695</v>
      </c>
      <c r="F1896" s="2" t="s">
        <v>4980</v>
      </c>
      <c r="G1896" s="2" t="s">
        <v>4939</v>
      </c>
      <c r="H1896" s="2" t="s">
        <v>5088</v>
      </c>
      <c r="I1896" s="20">
        <v>467.79</v>
      </c>
      <c r="J1896" s="2" t="s">
        <v>4941</v>
      </c>
    </row>
    <row r="1897" spans="1:10" ht="15.35" x14ac:dyDescent="0.55000000000000004">
      <c r="A1897" s="20">
        <v>18835</v>
      </c>
      <c r="C1897" s="2" t="s">
        <v>257</v>
      </c>
      <c r="D1897" s="2" t="s">
        <v>258</v>
      </c>
      <c r="E1897" s="2" t="s">
        <v>695</v>
      </c>
      <c r="F1897" s="2" t="s">
        <v>4980</v>
      </c>
      <c r="G1897" s="2" t="s">
        <v>4931</v>
      </c>
      <c r="H1897" s="2" t="s">
        <v>4937</v>
      </c>
      <c r="I1897" s="20">
        <v>96.56</v>
      </c>
      <c r="J1897" s="2" t="s">
        <v>4933</v>
      </c>
    </row>
    <row r="1898" spans="1:10" ht="15.35" x14ac:dyDescent="0.55000000000000004">
      <c r="A1898" s="20">
        <v>18836</v>
      </c>
      <c r="C1898" s="2" t="s">
        <v>257</v>
      </c>
      <c r="D1898" s="2" t="s">
        <v>258</v>
      </c>
      <c r="E1898" s="2" t="s">
        <v>695</v>
      </c>
      <c r="F1898" s="2" t="s">
        <v>4980</v>
      </c>
      <c r="G1898" s="2" t="s">
        <v>4931</v>
      </c>
      <c r="H1898" s="2" t="s">
        <v>5010</v>
      </c>
      <c r="I1898" s="20">
        <v>96.47</v>
      </c>
      <c r="J1898" s="2" t="s">
        <v>4933</v>
      </c>
    </row>
    <row r="1899" spans="1:10" ht="15.35" x14ac:dyDescent="0.55000000000000004">
      <c r="A1899" s="20">
        <v>18839</v>
      </c>
      <c r="C1899" s="2" t="s">
        <v>257</v>
      </c>
      <c r="D1899" s="2" t="s">
        <v>258</v>
      </c>
      <c r="E1899" s="2" t="s">
        <v>695</v>
      </c>
      <c r="F1899" s="2" t="s">
        <v>4980</v>
      </c>
      <c r="G1899" s="2" t="s">
        <v>4939</v>
      </c>
      <c r="H1899" s="2" t="s">
        <v>5089</v>
      </c>
      <c r="I1899" s="20">
        <v>464.62</v>
      </c>
      <c r="J1899" s="2" t="s">
        <v>4941</v>
      </c>
    </row>
    <row r="1900" spans="1:10" ht="15.35" x14ac:dyDescent="0.55000000000000004">
      <c r="A1900" s="20">
        <v>18830</v>
      </c>
      <c r="C1900" s="2" t="s">
        <v>257</v>
      </c>
      <c r="D1900" s="2" t="s">
        <v>258</v>
      </c>
      <c r="E1900" s="2" t="s">
        <v>695</v>
      </c>
      <c r="F1900" s="2" t="s">
        <v>5016</v>
      </c>
      <c r="G1900" s="2" t="s">
        <v>4931</v>
      </c>
      <c r="H1900" s="2" t="s">
        <v>5010</v>
      </c>
      <c r="I1900" s="20">
        <v>96.91</v>
      </c>
      <c r="J1900" s="2" t="s">
        <v>4933</v>
      </c>
    </row>
    <row r="1901" spans="1:10" ht="15.35" x14ac:dyDescent="0.55000000000000004">
      <c r="A1901" s="20">
        <v>18833</v>
      </c>
      <c r="C1901" s="2" t="s">
        <v>257</v>
      </c>
      <c r="D1901" s="2" t="s">
        <v>258</v>
      </c>
      <c r="E1901" s="2" t="s">
        <v>695</v>
      </c>
      <c r="F1901" s="2" t="s">
        <v>5016</v>
      </c>
      <c r="G1901" s="2" t="s">
        <v>4939</v>
      </c>
      <c r="H1901" s="2" t="s">
        <v>5088</v>
      </c>
      <c r="I1901" s="20">
        <v>448.13</v>
      </c>
      <c r="J1901" s="2" t="s">
        <v>4941</v>
      </c>
    </row>
    <row r="1902" spans="1:10" ht="15.35" x14ac:dyDescent="0.55000000000000004">
      <c r="A1902" s="20">
        <v>18834</v>
      </c>
      <c r="C1902" s="2" t="s">
        <v>257</v>
      </c>
      <c r="D1902" s="2" t="s">
        <v>258</v>
      </c>
      <c r="E1902" s="2" t="s">
        <v>695</v>
      </c>
      <c r="F1902" s="2" t="s">
        <v>5016</v>
      </c>
      <c r="G1902" s="2" t="s">
        <v>4931</v>
      </c>
      <c r="H1902" s="2" t="s">
        <v>4937</v>
      </c>
      <c r="I1902" s="20">
        <v>99.07</v>
      </c>
      <c r="J1902" s="2" t="s">
        <v>4933</v>
      </c>
    </row>
    <row r="1903" spans="1:10" ht="15.35" x14ac:dyDescent="0.55000000000000004">
      <c r="A1903" s="20">
        <v>18840</v>
      </c>
      <c r="C1903" s="2" t="s">
        <v>257</v>
      </c>
      <c r="D1903" s="2" t="s">
        <v>258</v>
      </c>
      <c r="E1903" s="2" t="s">
        <v>695</v>
      </c>
      <c r="F1903" s="2" t="s">
        <v>5016</v>
      </c>
      <c r="G1903" s="2" t="s">
        <v>4939</v>
      </c>
      <c r="H1903" s="2" t="s">
        <v>5089</v>
      </c>
      <c r="I1903" s="20">
        <v>451.6</v>
      </c>
      <c r="J1903" s="2" t="s">
        <v>4941</v>
      </c>
    </row>
    <row r="1904" spans="1:10" ht="15.35" x14ac:dyDescent="0.55000000000000004">
      <c r="A1904" s="20">
        <v>18829</v>
      </c>
      <c r="C1904" s="2" t="s">
        <v>257</v>
      </c>
      <c r="D1904" s="2" t="s">
        <v>258</v>
      </c>
      <c r="E1904" s="2" t="s">
        <v>695</v>
      </c>
      <c r="F1904" s="2" t="s">
        <v>5076</v>
      </c>
      <c r="G1904" s="2" t="s">
        <v>4931</v>
      </c>
      <c r="H1904" s="2" t="s">
        <v>5010</v>
      </c>
      <c r="I1904" s="20">
        <v>97.84</v>
      </c>
      <c r="J1904" s="2" t="s">
        <v>4933</v>
      </c>
    </row>
    <row r="1905" spans="1:10" ht="15.35" x14ac:dyDescent="0.55000000000000004">
      <c r="A1905" s="20">
        <v>18831</v>
      </c>
      <c r="C1905" s="2" t="s">
        <v>257</v>
      </c>
      <c r="D1905" s="2" t="s">
        <v>258</v>
      </c>
      <c r="E1905" s="2" t="s">
        <v>695</v>
      </c>
      <c r="F1905" s="2" t="s">
        <v>5076</v>
      </c>
      <c r="G1905" s="2" t="s">
        <v>4931</v>
      </c>
      <c r="H1905" s="2" t="s">
        <v>4937</v>
      </c>
      <c r="I1905" s="20">
        <v>97.83</v>
      </c>
      <c r="J1905" s="2" t="s">
        <v>4933</v>
      </c>
    </row>
    <row r="1906" spans="1:10" ht="15.35" x14ac:dyDescent="0.55000000000000004">
      <c r="A1906" s="20">
        <v>18837</v>
      </c>
      <c r="C1906" s="2" t="s">
        <v>257</v>
      </c>
      <c r="D1906" s="2" t="s">
        <v>258</v>
      </c>
      <c r="E1906" s="2" t="s">
        <v>695</v>
      </c>
      <c r="F1906" s="2" t="s">
        <v>5076</v>
      </c>
      <c r="G1906" s="2" t="s">
        <v>4939</v>
      </c>
      <c r="H1906" s="2" t="s">
        <v>5088</v>
      </c>
      <c r="I1906" s="20">
        <v>441.62</v>
      </c>
      <c r="J1906" s="2" t="s">
        <v>4941</v>
      </c>
    </row>
    <row r="1907" spans="1:10" ht="15.35" x14ac:dyDescent="0.55000000000000004">
      <c r="A1907" s="20">
        <v>18838</v>
      </c>
      <c r="C1907" s="2" t="s">
        <v>257</v>
      </c>
      <c r="D1907" s="2" t="s">
        <v>258</v>
      </c>
      <c r="E1907" s="2" t="s">
        <v>695</v>
      </c>
      <c r="F1907" s="2" t="s">
        <v>5076</v>
      </c>
      <c r="G1907" s="2" t="s">
        <v>4939</v>
      </c>
      <c r="H1907" s="2" t="s">
        <v>5089</v>
      </c>
      <c r="I1907" s="20">
        <v>445.29</v>
      </c>
      <c r="J1907" s="2" t="s">
        <v>4941</v>
      </c>
    </row>
    <row r="1908" spans="1:10" ht="15.35" x14ac:dyDescent="0.55000000000000004">
      <c r="A1908" s="20">
        <v>18828</v>
      </c>
      <c r="C1908" s="2" t="s">
        <v>257</v>
      </c>
      <c r="D1908" s="2" t="s">
        <v>258</v>
      </c>
      <c r="E1908" s="2" t="s">
        <v>695</v>
      </c>
      <c r="F1908" s="2" t="s">
        <v>4949</v>
      </c>
      <c r="G1908" s="2" t="s">
        <v>4931</v>
      </c>
      <c r="H1908" s="2" t="s">
        <v>5010</v>
      </c>
      <c r="I1908" s="20">
        <v>97.68</v>
      </c>
      <c r="J1908" s="2" t="s">
        <v>4933</v>
      </c>
    </row>
    <row r="1909" spans="1:10" ht="15.35" x14ac:dyDescent="0.55000000000000004">
      <c r="A1909" s="20">
        <v>18832</v>
      </c>
      <c r="C1909" s="2" t="s">
        <v>257</v>
      </c>
      <c r="D1909" s="2" t="s">
        <v>258</v>
      </c>
      <c r="E1909" s="2" t="s">
        <v>695</v>
      </c>
      <c r="F1909" s="2" t="s">
        <v>4949</v>
      </c>
      <c r="G1909" s="2" t="s">
        <v>4931</v>
      </c>
      <c r="H1909" s="2" t="s">
        <v>4937</v>
      </c>
      <c r="I1909" s="20">
        <v>98.43</v>
      </c>
      <c r="J1909" s="2" t="s">
        <v>4933</v>
      </c>
    </row>
    <row r="1910" spans="1:10" ht="15.35" x14ac:dyDescent="0.55000000000000004">
      <c r="A1910" s="20">
        <v>18841</v>
      </c>
      <c r="C1910" s="2" t="s">
        <v>257</v>
      </c>
      <c r="D1910" s="2" t="s">
        <v>258</v>
      </c>
      <c r="E1910" s="2" t="s">
        <v>695</v>
      </c>
      <c r="F1910" s="2" t="s">
        <v>4949</v>
      </c>
      <c r="G1910" s="2" t="s">
        <v>4939</v>
      </c>
      <c r="H1910" s="2" t="s">
        <v>5089</v>
      </c>
      <c r="I1910" s="20">
        <v>451.58</v>
      </c>
      <c r="J1910" s="2" t="s">
        <v>4941</v>
      </c>
    </row>
    <row r="1911" spans="1:10" ht="15.35" x14ac:dyDescent="0.55000000000000004">
      <c r="A1911" s="20">
        <v>18849</v>
      </c>
      <c r="C1911" s="2" t="s">
        <v>257</v>
      </c>
      <c r="D1911" s="2" t="s">
        <v>258</v>
      </c>
      <c r="E1911" s="2" t="s">
        <v>695</v>
      </c>
      <c r="F1911" s="2" t="s">
        <v>4949</v>
      </c>
      <c r="G1911" s="2" t="s">
        <v>4939</v>
      </c>
      <c r="H1911" s="2" t="s">
        <v>5088</v>
      </c>
      <c r="I1911" s="20">
        <v>433.68</v>
      </c>
      <c r="J1911" s="2" t="s">
        <v>4941</v>
      </c>
    </row>
    <row r="1912" spans="1:10" ht="15.35" x14ac:dyDescent="0.55000000000000004">
      <c r="A1912" s="20">
        <v>19219</v>
      </c>
      <c r="C1912" s="2" t="s">
        <v>253</v>
      </c>
      <c r="D1912" s="2" t="s">
        <v>254</v>
      </c>
      <c r="E1912" s="2" t="s">
        <v>700</v>
      </c>
      <c r="F1912" s="2" t="s">
        <v>4980</v>
      </c>
      <c r="G1912" s="2" t="s">
        <v>4931</v>
      </c>
      <c r="H1912" s="2" t="s">
        <v>5043</v>
      </c>
      <c r="I1912" s="20">
        <v>100</v>
      </c>
      <c r="J1912" s="2" t="s">
        <v>4933</v>
      </c>
    </row>
    <row r="1913" spans="1:10" ht="15.35" x14ac:dyDescent="0.55000000000000004">
      <c r="A1913" s="20">
        <v>19224</v>
      </c>
      <c r="C1913" s="2" t="s">
        <v>253</v>
      </c>
      <c r="D1913" s="2" t="s">
        <v>254</v>
      </c>
      <c r="E1913" s="2" t="s">
        <v>700</v>
      </c>
      <c r="F1913" s="2" t="s">
        <v>4980</v>
      </c>
      <c r="G1913" s="2" t="s">
        <v>4939</v>
      </c>
      <c r="H1913" s="2" t="s">
        <v>5090</v>
      </c>
      <c r="I1913" s="20">
        <v>122.7</v>
      </c>
      <c r="J1913" s="2" t="s">
        <v>5052</v>
      </c>
    </row>
    <row r="1914" spans="1:10" ht="15.35" x14ac:dyDescent="0.55000000000000004">
      <c r="A1914" s="20">
        <v>19231</v>
      </c>
      <c r="C1914" s="2" t="s">
        <v>253</v>
      </c>
      <c r="D1914" s="2" t="s">
        <v>254</v>
      </c>
      <c r="E1914" s="2" t="s">
        <v>700</v>
      </c>
      <c r="F1914" s="2" t="s">
        <v>4980</v>
      </c>
      <c r="G1914" s="2" t="s">
        <v>4931</v>
      </c>
      <c r="H1914" s="2" t="s">
        <v>5010</v>
      </c>
      <c r="I1914" s="20">
        <v>92.17</v>
      </c>
      <c r="J1914" s="2" t="s">
        <v>4933</v>
      </c>
    </row>
    <row r="1915" spans="1:10" ht="15.35" x14ac:dyDescent="0.55000000000000004">
      <c r="A1915" s="20">
        <v>19236</v>
      </c>
      <c r="C1915" s="2" t="s">
        <v>253</v>
      </c>
      <c r="D1915" s="2" t="s">
        <v>254</v>
      </c>
      <c r="E1915" s="2" t="s">
        <v>700</v>
      </c>
      <c r="F1915" s="2" t="s">
        <v>4980</v>
      </c>
      <c r="G1915" s="2" t="s">
        <v>4928</v>
      </c>
      <c r="H1915" s="2" t="s">
        <v>4929</v>
      </c>
      <c r="I1915" s="20">
        <v>6.05</v>
      </c>
      <c r="J1915" s="2" t="s">
        <v>4930</v>
      </c>
    </row>
    <row r="1916" spans="1:10" ht="15.35" x14ac:dyDescent="0.55000000000000004">
      <c r="A1916" s="20">
        <v>19237</v>
      </c>
      <c r="C1916" s="2" t="s">
        <v>253</v>
      </c>
      <c r="D1916" s="2" t="s">
        <v>254</v>
      </c>
      <c r="E1916" s="2" t="s">
        <v>700</v>
      </c>
      <c r="F1916" s="2" t="s">
        <v>4980</v>
      </c>
      <c r="G1916" s="2" t="s">
        <v>4931</v>
      </c>
      <c r="H1916" s="2" t="s">
        <v>4937</v>
      </c>
      <c r="I1916" s="20">
        <v>94.56</v>
      </c>
      <c r="J1916" s="2" t="s">
        <v>4933</v>
      </c>
    </row>
    <row r="1917" spans="1:10" ht="15.35" x14ac:dyDescent="0.55000000000000004">
      <c r="A1917" s="20">
        <v>19218</v>
      </c>
      <c r="C1917" s="2" t="s">
        <v>253</v>
      </c>
      <c r="D1917" s="2" t="s">
        <v>254</v>
      </c>
      <c r="E1917" s="2" t="s">
        <v>700</v>
      </c>
      <c r="F1917" s="2" t="s">
        <v>5016</v>
      </c>
      <c r="G1917" s="2" t="s">
        <v>4931</v>
      </c>
      <c r="H1917" s="2" t="s">
        <v>5043</v>
      </c>
      <c r="I1917" s="20">
        <v>100</v>
      </c>
      <c r="J1917" s="2" t="s">
        <v>4933</v>
      </c>
    </row>
    <row r="1918" spans="1:10" ht="15.35" x14ac:dyDescent="0.55000000000000004">
      <c r="A1918" s="20">
        <v>19223</v>
      </c>
      <c r="C1918" s="2" t="s">
        <v>253</v>
      </c>
      <c r="D1918" s="2" t="s">
        <v>254</v>
      </c>
      <c r="E1918" s="2" t="s">
        <v>700</v>
      </c>
      <c r="F1918" s="2" t="s">
        <v>5016</v>
      </c>
      <c r="G1918" s="2" t="s">
        <v>4939</v>
      </c>
      <c r="H1918" s="2" t="s">
        <v>5090</v>
      </c>
      <c r="I1918" s="20">
        <v>123.41</v>
      </c>
      <c r="J1918" s="2" t="s">
        <v>5052</v>
      </c>
    </row>
    <row r="1919" spans="1:10" ht="15.35" x14ac:dyDescent="0.55000000000000004">
      <c r="A1919" s="20">
        <v>19226</v>
      </c>
      <c r="C1919" s="2" t="s">
        <v>253</v>
      </c>
      <c r="D1919" s="2" t="s">
        <v>254</v>
      </c>
      <c r="E1919" s="2" t="s">
        <v>700</v>
      </c>
      <c r="F1919" s="2" t="s">
        <v>5016</v>
      </c>
      <c r="G1919" s="2" t="s">
        <v>4928</v>
      </c>
      <c r="H1919" s="2" t="s">
        <v>4929</v>
      </c>
      <c r="I1919" s="20">
        <v>6.36</v>
      </c>
      <c r="J1919" s="2" t="s">
        <v>4930</v>
      </c>
    </row>
    <row r="1920" spans="1:10" ht="15.35" x14ac:dyDescent="0.55000000000000004">
      <c r="A1920" s="20">
        <v>19230</v>
      </c>
      <c r="C1920" s="2" t="s">
        <v>253</v>
      </c>
      <c r="D1920" s="2" t="s">
        <v>254</v>
      </c>
      <c r="E1920" s="2" t="s">
        <v>700</v>
      </c>
      <c r="F1920" s="2" t="s">
        <v>5016</v>
      </c>
      <c r="G1920" s="2" t="s">
        <v>4931</v>
      </c>
      <c r="H1920" s="2" t="s">
        <v>5010</v>
      </c>
      <c r="I1920" s="20">
        <v>96.72</v>
      </c>
      <c r="J1920" s="2" t="s">
        <v>4933</v>
      </c>
    </row>
    <row r="1921" spans="1:10" ht="15.35" x14ac:dyDescent="0.55000000000000004">
      <c r="A1921" s="20">
        <v>19233</v>
      </c>
      <c r="C1921" s="2" t="s">
        <v>253</v>
      </c>
      <c r="D1921" s="2" t="s">
        <v>254</v>
      </c>
      <c r="E1921" s="2" t="s">
        <v>700</v>
      </c>
      <c r="F1921" s="2" t="s">
        <v>5016</v>
      </c>
      <c r="G1921" s="2" t="s">
        <v>4931</v>
      </c>
      <c r="H1921" s="2" t="s">
        <v>4937</v>
      </c>
      <c r="I1921" s="20">
        <v>96.67</v>
      </c>
      <c r="J1921" s="2" t="s">
        <v>4933</v>
      </c>
    </row>
    <row r="1922" spans="1:10" ht="15.35" x14ac:dyDescent="0.55000000000000004">
      <c r="A1922" s="20">
        <v>19221</v>
      </c>
      <c r="C1922" s="2" t="s">
        <v>253</v>
      </c>
      <c r="D1922" s="2" t="s">
        <v>254</v>
      </c>
      <c r="E1922" s="2" t="s">
        <v>700</v>
      </c>
      <c r="F1922" s="2" t="s">
        <v>5076</v>
      </c>
      <c r="G1922" s="2" t="s">
        <v>4939</v>
      </c>
      <c r="H1922" s="2" t="s">
        <v>5090</v>
      </c>
      <c r="I1922" s="20">
        <v>120.46</v>
      </c>
      <c r="J1922" s="2" t="s">
        <v>5052</v>
      </c>
    </row>
    <row r="1923" spans="1:10" ht="15.35" x14ac:dyDescent="0.55000000000000004">
      <c r="A1923" s="20">
        <v>19222</v>
      </c>
      <c r="C1923" s="2" t="s">
        <v>253</v>
      </c>
      <c r="D1923" s="2" t="s">
        <v>254</v>
      </c>
      <c r="E1923" s="2" t="s">
        <v>700</v>
      </c>
      <c r="F1923" s="2" t="s">
        <v>5076</v>
      </c>
      <c r="G1923" s="2" t="s">
        <v>4928</v>
      </c>
      <c r="H1923" s="2" t="s">
        <v>4929</v>
      </c>
      <c r="I1923" s="20">
        <v>5.59</v>
      </c>
      <c r="J1923" s="2" t="s">
        <v>4930</v>
      </c>
    </row>
    <row r="1924" spans="1:10" ht="15.35" x14ac:dyDescent="0.55000000000000004">
      <c r="A1924" s="20">
        <v>19229</v>
      </c>
      <c r="C1924" s="2" t="s">
        <v>253</v>
      </c>
      <c r="D1924" s="2" t="s">
        <v>254</v>
      </c>
      <c r="E1924" s="2" t="s">
        <v>700</v>
      </c>
      <c r="F1924" s="2" t="s">
        <v>5076</v>
      </c>
      <c r="G1924" s="2" t="s">
        <v>4931</v>
      </c>
      <c r="H1924" s="2" t="s">
        <v>5010</v>
      </c>
      <c r="I1924" s="20">
        <v>95.87</v>
      </c>
      <c r="J1924" s="2" t="s">
        <v>4933</v>
      </c>
    </row>
    <row r="1925" spans="1:10" ht="15.35" x14ac:dyDescent="0.55000000000000004">
      <c r="A1925" s="20">
        <v>19232</v>
      </c>
      <c r="C1925" s="2" t="s">
        <v>253</v>
      </c>
      <c r="D1925" s="2" t="s">
        <v>254</v>
      </c>
      <c r="E1925" s="2" t="s">
        <v>700</v>
      </c>
      <c r="F1925" s="2" t="s">
        <v>5076</v>
      </c>
      <c r="G1925" s="2" t="s">
        <v>4931</v>
      </c>
      <c r="H1925" s="2" t="s">
        <v>4937</v>
      </c>
      <c r="I1925" s="20">
        <v>96.16</v>
      </c>
      <c r="J1925" s="2" t="s">
        <v>4933</v>
      </c>
    </row>
    <row r="1926" spans="1:10" ht="15.35" x14ac:dyDescent="0.55000000000000004">
      <c r="A1926" s="20">
        <v>19234</v>
      </c>
      <c r="C1926" s="2" t="s">
        <v>253</v>
      </c>
      <c r="D1926" s="2" t="s">
        <v>254</v>
      </c>
      <c r="E1926" s="2" t="s">
        <v>700</v>
      </c>
      <c r="F1926" s="2" t="s">
        <v>5076</v>
      </c>
      <c r="G1926" s="2" t="s">
        <v>4931</v>
      </c>
      <c r="H1926" s="2" t="s">
        <v>5043</v>
      </c>
      <c r="I1926" s="20">
        <v>100</v>
      </c>
      <c r="J1926" s="2" t="s">
        <v>4933</v>
      </c>
    </row>
    <row r="1927" spans="1:10" ht="15.35" x14ac:dyDescent="0.55000000000000004">
      <c r="A1927" s="20">
        <v>19220</v>
      </c>
      <c r="C1927" s="2" t="s">
        <v>253</v>
      </c>
      <c r="D1927" s="2" t="s">
        <v>254</v>
      </c>
      <c r="E1927" s="2" t="s">
        <v>700</v>
      </c>
      <c r="F1927" s="2" t="s">
        <v>5091</v>
      </c>
      <c r="G1927" s="2" t="s">
        <v>4939</v>
      </c>
      <c r="H1927" s="2" t="s">
        <v>5090</v>
      </c>
      <c r="I1927" s="20">
        <v>107.7</v>
      </c>
      <c r="J1927" s="2" t="s">
        <v>5052</v>
      </c>
    </row>
    <row r="1928" spans="1:10" ht="15.35" x14ac:dyDescent="0.55000000000000004">
      <c r="A1928" s="20">
        <v>19225</v>
      </c>
      <c r="C1928" s="2" t="s">
        <v>253</v>
      </c>
      <c r="D1928" s="2" t="s">
        <v>254</v>
      </c>
      <c r="E1928" s="2" t="s">
        <v>700</v>
      </c>
      <c r="F1928" s="2" t="s">
        <v>5091</v>
      </c>
      <c r="G1928" s="2" t="s">
        <v>4928</v>
      </c>
      <c r="H1928" s="2" t="s">
        <v>4929</v>
      </c>
      <c r="I1928" s="20">
        <v>5.75</v>
      </c>
      <c r="J1928" s="2" t="s">
        <v>4930</v>
      </c>
    </row>
    <row r="1929" spans="1:10" ht="15.35" x14ac:dyDescent="0.55000000000000004">
      <c r="A1929" s="20">
        <v>19227</v>
      </c>
      <c r="C1929" s="2" t="s">
        <v>253</v>
      </c>
      <c r="D1929" s="2" t="s">
        <v>254</v>
      </c>
      <c r="E1929" s="2" t="s">
        <v>700</v>
      </c>
      <c r="F1929" s="2" t="s">
        <v>5091</v>
      </c>
      <c r="G1929" s="2" t="s">
        <v>4931</v>
      </c>
      <c r="H1929" s="2" t="s">
        <v>4937</v>
      </c>
      <c r="I1929" s="20">
        <v>95.31</v>
      </c>
      <c r="J1929" s="2" t="s">
        <v>4933</v>
      </c>
    </row>
    <row r="1930" spans="1:10" ht="15.35" x14ac:dyDescent="0.55000000000000004">
      <c r="A1930" s="20">
        <v>19228</v>
      </c>
      <c r="C1930" s="2" t="s">
        <v>253</v>
      </c>
      <c r="D1930" s="2" t="s">
        <v>254</v>
      </c>
      <c r="E1930" s="2" t="s">
        <v>700</v>
      </c>
      <c r="F1930" s="2" t="s">
        <v>5091</v>
      </c>
      <c r="G1930" s="2" t="s">
        <v>4931</v>
      </c>
      <c r="H1930" s="2" t="s">
        <v>5010</v>
      </c>
      <c r="I1930" s="20">
        <v>93.89</v>
      </c>
      <c r="J1930" s="2" t="s">
        <v>4933</v>
      </c>
    </row>
    <row r="1931" spans="1:10" ht="15.35" x14ac:dyDescent="0.55000000000000004">
      <c r="A1931" s="20">
        <v>19235</v>
      </c>
      <c r="C1931" s="2" t="s">
        <v>253</v>
      </c>
      <c r="D1931" s="2" t="s">
        <v>254</v>
      </c>
      <c r="E1931" s="2" t="s">
        <v>700</v>
      </c>
      <c r="F1931" s="2" t="s">
        <v>5091</v>
      </c>
      <c r="G1931" s="2" t="s">
        <v>4931</v>
      </c>
      <c r="H1931" s="2" t="s">
        <v>5043</v>
      </c>
      <c r="I1931" s="20">
        <v>100</v>
      </c>
      <c r="J1931" s="2" t="s">
        <v>4933</v>
      </c>
    </row>
  </sheetData>
  <autoFilter ref="A2:K1931" xr:uid="{00000000-0009-0000-0000-000009000000}"/>
  <mergeCells count="1">
    <mergeCell ref="B1:C1"/>
  </mergeCells>
  <phoneticPr fontId="17" type="noConversion"/>
  <hyperlinks>
    <hyperlink ref="B1" location="'数据概览'!A1" tooltip="返回数据概览" display="⬅ 返回数据概览" xr:uid="{00000000-0004-0000-0900-000000000000}"/>
  </hyperlink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R3288"/>
  <sheetViews>
    <sheetView workbookViewId="0"/>
  </sheetViews>
  <sheetFormatPr defaultRowHeight="14.35" x14ac:dyDescent="0.4"/>
  <sheetData>
    <row r="1" spans="1:96" x14ac:dyDescent="0.4">
      <c r="A1" t="s">
        <v>91</v>
      </c>
      <c r="B1" t="s">
        <v>286</v>
      </c>
      <c r="C1" t="s">
        <v>759</v>
      </c>
      <c r="D1" t="s">
        <v>4922</v>
      </c>
      <c r="E1" t="s">
        <v>4923</v>
      </c>
      <c r="F1" t="s">
        <v>4924</v>
      </c>
      <c r="G1" t="s">
        <v>4925</v>
      </c>
      <c r="H1" t="s">
        <v>5092</v>
      </c>
      <c r="I1" t="s">
        <v>5093</v>
      </c>
      <c r="J1" t="s">
        <v>5094</v>
      </c>
      <c r="K1" t="s">
        <v>5095</v>
      </c>
      <c r="L1" t="s">
        <v>5096</v>
      </c>
      <c r="M1" t="s">
        <v>5097</v>
      </c>
      <c r="N1" t="s">
        <v>5098</v>
      </c>
      <c r="O1" t="s">
        <v>5099</v>
      </c>
      <c r="P1" t="s">
        <v>5100</v>
      </c>
      <c r="Q1" t="s">
        <v>5101</v>
      </c>
      <c r="R1" t="s">
        <v>5102</v>
      </c>
      <c r="S1" t="s">
        <v>5103</v>
      </c>
      <c r="T1" t="s">
        <v>5104</v>
      </c>
      <c r="U1" t="s">
        <v>5105</v>
      </c>
      <c r="V1" t="s">
        <v>5106</v>
      </c>
      <c r="W1" t="s">
        <v>5107</v>
      </c>
      <c r="X1" t="s">
        <v>5108</v>
      </c>
      <c r="Y1" t="s">
        <v>5109</v>
      </c>
      <c r="Z1" t="s">
        <v>5110</v>
      </c>
      <c r="AA1" t="s">
        <v>5111</v>
      </c>
      <c r="AB1" t="s">
        <v>5112</v>
      </c>
      <c r="AC1" t="s">
        <v>5113</v>
      </c>
      <c r="AD1" t="s">
        <v>5114</v>
      </c>
      <c r="AE1" t="s">
        <v>5115</v>
      </c>
      <c r="AH1" t="str">
        <f t="shared" ref="AH1:AH30" si="0">IFERROR(INDEX($A$2:$A$3000,MATCH(ROW(),$AD$2:$AD$3000,0)),"")</f>
        <v>华夏华润消费封闭式基础设施证券投资基金</v>
      </c>
      <c r="AI1" t="str">
        <f t="shared" ref="AI1:AI30" si="1">IFERROR(INDEX($I$2:$I$3000,MATCH(ROW(),$U$2:$U$3000,0)),"")</f>
        <v>基金整体</v>
      </c>
      <c r="AJ1" t="str">
        <f t="shared" ref="AJ1:AJ20" si="2">IFERROR(INDEX($C$2:$C$3000,MATCH(ROW(),$Q$2:$Q$3000,0)),"")</f>
        <v>2024Q1</v>
      </c>
      <c r="AK1" t="str">
        <f>IF(COUNTIFS($A$2:$A$3000,经营数据!$B$3,$J$2:$J$3000,"年度")&gt;0,"年度","")</f>
        <v/>
      </c>
      <c r="AL1" t="str">
        <f>IF($AK$1&lt;&gt;"",$AK$1,IF($AK$2&lt;&gt;"",$AK$2,$AK$3))</f>
        <v>季度</v>
      </c>
      <c r="BA1" t="s">
        <v>5116</v>
      </c>
      <c r="BB1" t="s">
        <v>5117</v>
      </c>
      <c r="BD1" t="s">
        <v>6</v>
      </c>
      <c r="BH1" t="s">
        <v>5118</v>
      </c>
      <c r="BI1" t="s">
        <v>81</v>
      </c>
      <c r="BJ1" t="s">
        <v>5119</v>
      </c>
      <c r="BK1" t="s">
        <v>5120</v>
      </c>
      <c r="BL1" t="s">
        <v>5121</v>
      </c>
      <c r="BM1" t="s">
        <v>5122</v>
      </c>
      <c r="BN1" t="s">
        <v>103</v>
      </c>
      <c r="BO1" t="s">
        <v>104</v>
      </c>
      <c r="BP1" t="s">
        <v>5123</v>
      </c>
      <c r="BQ1" t="s">
        <v>5124</v>
      </c>
      <c r="BR1" t="s">
        <v>5125</v>
      </c>
      <c r="BT1" t="s">
        <v>5126</v>
      </c>
      <c r="BU1" t="s">
        <v>90</v>
      </c>
      <c r="BV1" t="s">
        <v>286</v>
      </c>
      <c r="BW1" t="s">
        <v>83</v>
      </c>
      <c r="BX1" t="s">
        <v>287</v>
      </c>
      <c r="BY1" t="s">
        <v>85</v>
      </c>
      <c r="BZ1" t="s">
        <v>67</v>
      </c>
      <c r="CA1" t="s">
        <v>5127</v>
      </c>
      <c r="CB1" t="s">
        <v>5128</v>
      </c>
      <c r="CC1" t="s">
        <v>5126</v>
      </c>
      <c r="CD1" t="s">
        <v>5129</v>
      </c>
      <c r="CE1" t="s">
        <v>5130</v>
      </c>
      <c r="CF1" t="s">
        <v>67</v>
      </c>
      <c r="CG1" t="s">
        <v>5131</v>
      </c>
      <c r="CH1" t="s">
        <v>5132</v>
      </c>
      <c r="CI1" t="s">
        <v>5133</v>
      </c>
      <c r="CJ1" t="s">
        <v>5134</v>
      </c>
      <c r="CK1" t="s">
        <v>5135</v>
      </c>
      <c r="CL1" t="s">
        <v>72</v>
      </c>
      <c r="CM1" t="s">
        <v>73</v>
      </c>
      <c r="CN1" t="s">
        <v>5136</v>
      </c>
      <c r="CO1" t="s">
        <v>72</v>
      </c>
      <c r="CP1" t="s">
        <v>73</v>
      </c>
      <c r="CR1" t="s">
        <v>759</v>
      </c>
    </row>
    <row r="2" spans="1:96" x14ac:dyDescent="0.4">
      <c r="A2" t="str">
        <f>IF(原始经营数据!$D3="","",原始经营数据!$D3)</f>
        <v>华夏华润消费封闭式基础设施证券投资基金</v>
      </c>
      <c r="B2" t="str">
        <f>IF(原始经营数据!$D3="","",T(原始经营数据!$E3))</f>
        <v>基金整体</v>
      </c>
      <c r="C2" t="str">
        <f>IF(原始经营数据!$D3="","",原始经营数据!$F3)</f>
        <v>2024Q1</v>
      </c>
      <c r="D2" t="str">
        <f>IF(原始经营数据!$D3="","",原始经营数据!$H3)</f>
        <v>期末加权平均剩余租期</v>
      </c>
      <c r="E2">
        <f>IF(原始经营数据!$D3="","",原始经营数据!$I3)</f>
        <v>2.17</v>
      </c>
      <c r="F2" t="str">
        <f>IF(原始经营数据!$D3="","",T(原始经营数据!$J3))</f>
        <v>年</v>
      </c>
      <c r="G2" t="str">
        <f>IF(原始经营数据!$D3="","",T(原始经营数据!$K3))</f>
        <v/>
      </c>
      <c r="H2" t="str">
        <f>IF(原始经营数据!$D3="","",原始经营数据!$G3)</f>
        <v>服务量</v>
      </c>
      <c r="I2" t="str">
        <f>IF($A2="","",IF($B2&lt;&gt;"",$B2,IF(COUNTIFS(原始经营数据!$D$3:$D$3001,$A2,原始经营数据!$E$3:$E$3001,"",原始经营数据!$F$3:$F$3001,$C2,原始经营数据!$H$3:$H$3001,$D2,原始经营数据!$K$3:$K$3001,$G2)&gt;1,"基金整体·来源"&amp;原始经营数据!$A3,"基金整体")))</f>
        <v>基金整体</v>
      </c>
      <c r="J2" t="str">
        <f t="shared" ref="J2:J65" si="3">IF($A2="","",IF(LEN($C2)=4,"年度",IF(AND(LEN($C2)=6,ISNUMBER(SEARCH("Q",$C2))),"季度","其他期间")))</f>
        <v>季度</v>
      </c>
      <c r="K2" t="str">
        <f t="shared" ref="K2:K65" si="4">IF($A2="","",$D2&amp;IF($G2="","","-"&amp;SUBSTITUTE($G2,CHAR(10),""))&amp;IF($F2="","","（"&amp;$F2&amp;"）"))</f>
        <v>期末加权平均剩余租期（年）</v>
      </c>
      <c r="L2" t="str">
        <f t="shared" ref="L2:L65" si="5">IF($A2="","",$I2&amp;"|"&amp;$K2&amp;"|"&amp;$J2)</f>
        <v>基金整体|期末加权平均剩余租期（年）|季度</v>
      </c>
      <c r="M2">
        <f>IF($A2="",0,IF(COUNTIF($L$2:$L2,$L2)=1,1,0))</f>
        <v>1</v>
      </c>
      <c r="N2">
        <f t="shared" ref="N2:N65" si="6">IF($A2="","",IF($J2="年度",VALUE($C2)*10,IF($J2="季度",VALUE(LEFT($C2,4))*10+VALUE(RIGHT($C2,1)),VALUE(LEFT($C2,4))*10+9)))</f>
        <v>20241</v>
      </c>
      <c r="O2" t="str">
        <f t="shared" ref="O2:O65" si="7">IF($A2="","",$A2&amp;"|"&amp;$C2&amp;"|"&amp;$J2)</f>
        <v>华夏华润消费封闭式基础设施证券投资基金|2024Q1|季度</v>
      </c>
      <c r="P2">
        <f>IF($A2="",0,IF(COUNTIF($O$2:$O2,$O2)=1,1,0))</f>
        <v>1</v>
      </c>
      <c r="Q2">
        <f>IF(AND($P2=1,$A2=经营数据!$B$3,$J2=经营数据!$BA$5),COUNTIFS($P$2:$P$3000,1,$A$2:$A$3000,$A2,$J$2:$J$3000,$J2,$N$2:$N$3000,"&lt;"&amp;$N2)+1,"")</f>
        <v>1</v>
      </c>
      <c r="R2" t="str">
        <f t="shared" ref="R2:R65" si="8">IF($A2="","",$A2&amp;"|"&amp;$I2)</f>
        <v>华夏华润消费封闭式基础设施证券投资基金|基金整体</v>
      </c>
      <c r="S2">
        <f>IF($A2="",0,IF(COUNTIF($R$2:$R2,$R2)=1,1,0))</f>
        <v>1</v>
      </c>
      <c r="T2">
        <f t="shared" ref="T2:T65" si="9">IF($A2="","",MATCH($R2,$R$2:$R$3000,0))</f>
        <v>1</v>
      </c>
      <c r="U2">
        <f>IF($A2="","",IF($A2=经营数据!$B$3,COUNTIFS($S$2:$S$3000,1,$A$2:$A$3000,$A2,$T$2:$T$3000,"&lt;"&amp;$T2)+1,""))</f>
        <v>1</v>
      </c>
      <c r="V2" t="str">
        <f t="shared" ref="V2:V65" si="10">IF($A2="","",$I2&amp;"|"&amp;$H2)</f>
        <v>基金整体|服务量</v>
      </c>
      <c r="W2">
        <f t="shared" ref="W2:W65" si="11">IF($A2="","",MATCH($V2,$V$2:$V$3000,0))</f>
        <v>1</v>
      </c>
      <c r="X2" t="str">
        <f t="shared" ref="X2:X65" si="12">IF($A2="","",$I2&amp;"|"&amp;$D2)</f>
        <v>基金整体|期末加权平均剩余租期</v>
      </c>
      <c r="Y2">
        <f t="shared" ref="Y2:Y65" si="13">IF($A2="","",MATCH($X2,$X$2:$X$3000,0))</f>
        <v>1</v>
      </c>
      <c r="Z2">
        <f>IF($A2="",0,IF(AND($M2=1,$A2=经营数据!$B$3,$J2=经营数据!$BA$5,OR($I2=经营数据!$BA$4,COUNTIF(经营数据!$AA$9:$AA$38,$I2)&gt;0)),1,0))</f>
        <v>1</v>
      </c>
      <c r="AA2">
        <f t="shared" ref="AA2:AA65" si="14">IF($Z2=1,$U2*1000000000000+$W2*100000000+$Y2*10000+ROW(),"")</f>
        <v>1000100010002</v>
      </c>
      <c r="AB2">
        <f t="shared" ref="AB2:AB65" si="15">IF($Z2=1,COUNTIFS($Z$2:$Z$3000,1,$AA$2:$AA$3000,"&lt;"&amp;$AA2)+1,"")</f>
        <v>1</v>
      </c>
      <c r="AC2">
        <f>IF($A2="",0,IF(COUNTIF($A$2:$A2,$A2)=1,1,0))</f>
        <v>1</v>
      </c>
      <c r="AD2">
        <f t="shared" ref="AD2:AD65" si="16">IF($A2="",N(AD1),IF($AC2=1,N(AD1)+1,N(AD1)))</f>
        <v>1</v>
      </c>
      <c r="AE2" t="str">
        <f t="shared" ref="AE2:AE65" si="17">IF($A2="","",$I2&amp;"|"&amp;$K2)</f>
        <v>基金整体|期末加权平均剩余租期（年）</v>
      </c>
      <c r="AH2" t="str">
        <f t="shared" si="0"/>
        <v>中金印力消费基础设施封闭式基础设施证券投资基金</v>
      </c>
      <c r="AI2" t="str">
        <f t="shared" si="1"/>
        <v>青岛万象城</v>
      </c>
      <c r="AJ2" t="str">
        <f t="shared" si="2"/>
        <v>2024Q2</v>
      </c>
      <c r="AK2" t="str">
        <f>IF(COUNTIFS($A$2:$A$3000,经营数据!$B$3,$J$2:$J$3000,"季度")&gt;0,"季度","")</f>
        <v>季度</v>
      </c>
      <c r="BA2" t="s">
        <v>5137</v>
      </c>
      <c r="BB2" t="s">
        <v>5138</v>
      </c>
      <c r="BD2" t="s">
        <v>5139</v>
      </c>
      <c r="BH2" t="s">
        <v>31</v>
      </c>
      <c r="BI2" t="s">
        <v>215</v>
      </c>
      <c r="BJ2" s="29">
        <v>4.7E-2</v>
      </c>
      <c r="BK2" s="29">
        <v>4.7300000000000002E-2</v>
      </c>
      <c r="BL2" s="29">
        <v>5.2214000000000003E-2</v>
      </c>
      <c r="BM2" s="29">
        <v>5.2547000000000003E-2</v>
      </c>
      <c r="BN2" s="29"/>
      <c r="BO2" s="29"/>
      <c r="BP2" s="47">
        <v>45363</v>
      </c>
      <c r="BQ2" s="29">
        <v>5.8781690956923677E-2</v>
      </c>
      <c r="BR2">
        <f>MIN($BS$2,COUNT($BP$2:$BP$3000))</f>
        <v>60</v>
      </c>
      <c r="BS2">
        <f>IFERROR(VLOOKUP(数据概览!$C$46,$BR$6:$BS$10,2,0),60)</f>
        <v>60</v>
      </c>
      <c r="CC2" t="s">
        <v>78</v>
      </c>
      <c r="CD2">
        <v>10</v>
      </c>
      <c r="CE2">
        <v>4</v>
      </c>
    </row>
    <row r="3" spans="1:96" x14ac:dyDescent="0.4">
      <c r="A3" t="str">
        <f>IF(原始经营数据!$D4="","",原始经营数据!$D4)</f>
        <v>华夏华润消费封闭式基础设施证券投资基金</v>
      </c>
      <c r="B3" t="str">
        <f>IF(原始经营数据!$D4="","",T(原始经营数据!$E4))</f>
        <v>基金整体</v>
      </c>
      <c r="C3" t="str">
        <f>IF(原始经营数据!$D4="","",原始经营数据!$F4)</f>
        <v>2024Q1</v>
      </c>
      <c r="D3" t="str">
        <f>IF(原始经营数据!$D4="","",原始经营数据!$H4)</f>
        <v>期末收缴率</v>
      </c>
      <c r="E3">
        <f>IF(原始经营数据!$D4="","",原始经营数据!$I4)</f>
        <v>98.03</v>
      </c>
      <c r="F3" t="str">
        <f>IF(原始经营数据!$D4="","",T(原始经营数据!$J4))</f>
        <v>%</v>
      </c>
      <c r="G3" t="str">
        <f>IF(原始经营数据!$D4="","",T(原始经营数据!$K4))</f>
        <v/>
      </c>
      <c r="H3" t="str">
        <f>IF(原始经营数据!$D4="","",原始经营数据!$G4)</f>
        <v>服务效率</v>
      </c>
      <c r="I3" t="str">
        <f>IF($A3="","",IF($B3&lt;&gt;"",$B3,IF(COUNTIFS(原始经营数据!$D$3:$D$3001,$A3,原始经营数据!$E$3:$E$3001,"",原始经营数据!$F$3:$F$3001,$C3,原始经营数据!$H$3:$H$3001,$D3,原始经营数据!$K$3:$K$3001,$G3)&gt;1,"基金整体·来源"&amp;原始经营数据!$A4,"基金整体")))</f>
        <v>基金整体</v>
      </c>
      <c r="J3" t="str">
        <f t="shared" si="3"/>
        <v>季度</v>
      </c>
      <c r="K3" t="str">
        <f t="shared" si="4"/>
        <v>期末收缴率（%）</v>
      </c>
      <c r="L3" t="str">
        <f t="shared" si="5"/>
        <v>基金整体|期末收缴率（%）|季度</v>
      </c>
      <c r="M3">
        <f>IF($A3="",0,IF(COUNTIF($L$2:$L3,$L3)=1,1,0))</f>
        <v>1</v>
      </c>
      <c r="N3">
        <f t="shared" si="6"/>
        <v>20241</v>
      </c>
      <c r="O3" t="str">
        <f t="shared" si="7"/>
        <v>华夏华润消费封闭式基础设施证券投资基金|2024Q1|季度</v>
      </c>
      <c r="P3">
        <f>IF($A3="",0,IF(COUNTIF($O$2:$O3,$O3)=1,1,0))</f>
        <v>0</v>
      </c>
      <c r="Q3" t="str">
        <f>IF(AND($P3=1,$A3=经营数据!$B$3,$J3=经营数据!$BA$5),COUNTIFS($P$2:$P$3000,1,$A$2:$A$3000,$A3,$J$2:$J$3000,$J3,$N$2:$N$3000,"&lt;"&amp;$N3)+1,"")</f>
        <v/>
      </c>
      <c r="R3" t="str">
        <f t="shared" si="8"/>
        <v>华夏华润消费封闭式基础设施证券投资基金|基金整体</v>
      </c>
      <c r="S3">
        <f>IF($A3="",0,IF(COUNTIF($R$2:$R3,$R3)=1,1,0))</f>
        <v>0</v>
      </c>
      <c r="T3">
        <f t="shared" si="9"/>
        <v>1</v>
      </c>
      <c r="U3">
        <f>IF($A3="","",IF($A3=经营数据!$B$3,COUNTIFS($S$2:$S$3000,1,$A$2:$A$3000,$A3,$T$2:$T$3000,"&lt;"&amp;$T3)+1,""))</f>
        <v>1</v>
      </c>
      <c r="V3" t="str">
        <f t="shared" si="10"/>
        <v>基金整体|服务效率</v>
      </c>
      <c r="W3">
        <f t="shared" si="11"/>
        <v>2</v>
      </c>
      <c r="X3" t="str">
        <f t="shared" si="12"/>
        <v>基金整体|期末收缴率</v>
      </c>
      <c r="Y3">
        <f t="shared" si="13"/>
        <v>2</v>
      </c>
      <c r="Z3">
        <f>IF($A3="",0,IF(AND($M3=1,$A3=经营数据!$B$3,$J3=经营数据!$BA$5,OR($I3=经营数据!$BA$4,COUNTIF(经营数据!$AA$9:$AA$38,$I3)&gt;0)),1,0))</f>
        <v>1</v>
      </c>
      <c r="AA3">
        <f t="shared" si="14"/>
        <v>1000200020003</v>
      </c>
      <c r="AB3">
        <f t="shared" si="15"/>
        <v>4</v>
      </c>
      <c r="AC3">
        <f>IF($A3="",0,IF(COUNTIF($A$2:$A3,$A3)=1,1,0))</f>
        <v>0</v>
      </c>
      <c r="AD3">
        <f t="shared" si="16"/>
        <v>1</v>
      </c>
      <c r="AE3" t="str">
        <f t="shared" si="17"/>
        <v>基金整体|期末收缴率（%）</v>
      </c>
      <c r="AH3" t="str">
        <f t="shared" si="0"/>
        <v>华夏大悦城购物中心封闭式基础设施证券投资基金</v>
      </c>
      <c r="AI3" t="str">
        <f t="shared" si="1"/>
        <v/>
      </c>
      <c r="AJ3" t="str">
        <f t="shared" si="2"/>
        <v>2024Q3</v>
      </c>
      <c r="AK3" t="str">
        <f>IF(COUNTIFS($A$2:$A$3000,经营数据!$B$3,$J$2:$J$3000,"其他期间")&gt;0,"其他期间","")</f>
        <v/>
      </c>
      <c r="BA3" t="s">
        <v>5140</v>
      </c>
      <c r="BB3" t="s">
        <v>5141</v>
      </c>
      <c r="BD3" t="s">
        <v>5142</v>
      </c>
      <c r="BI3" t="s">
        <v>218</v>
      </c>
      <c r="BJ3" s="29">
        <v>5.5100000000000003E-2</v>
      </c>
      <c r="BK3" s="29">
        <v>5.6399999999999999E-2</v>
      </c>
      <c r="BL3" s="29">
        <v>5.8624999999999997E-2</v>
      </c>
      <c r="BM3" s="29">
        <v>6.0007999999999999E-2</v>
      </c>
      <c r="BN3" s="29"/>
      <c r="BO3" s="29"/>
      <c r="BP3" s="47">
        <v>45364</v>
      </c>
      <c r="BQ3" s="29">
        <v>5.8677815987630083E-2</v>
      </c>
      <c r="BR3">
        <f>COUNT($BP$2:$BP$3000)-$BR$2</f>
        <v>563</v>
      </c>
      <c r="BT3" t="s">
        <v>357</v>
      </c>
      <c r="BU3" t="s">
        <v>129</v>
      </c>
      <c r="BV3" t="s">
        <v>355</v>
      </c>
      <c r="BW3" t="s">
        <v>357</v>
      </c>
      <c r="BX3" t="s">
        <v>356</v>
      </c>
      <c r="BY3">
        <v>21.25</v>
      </c>
      <c r="BZ3" t="str">
        <f>IF($BT3=数据概览!$C$92,COUNTIFS($BT$3:$BT3,数据概览!$C$92),"")</f>
        <v/>
      </c>
      <c r="CA3">
        <f>IF(AND($BT3=数据概览!$C$92,COUNTIFS($BT$3:$BT3,数据概览!$C$92,$BU$3:$BU3,$BU3)=1),1,0)</f>
        <v>0</v>
      </c>
      <c r="CB3">
        <v>17.329999999999998</v>
      </c>
      <c r="CC3" t="s">
        <v>408</v>
      </c>
      <c r="CD3">
        <v>10</v>
      </c>
      <c r="CE3">
        <v>9</v>
      </c>
    </row>
    <row r="4" spans="1:96" x14ac:dyDescent="0.4">
      <c r="A4" t="str">
        <f>IF(原始经营数据!$D5="","",原始经营数据!$D5)</f>
        <v>华夏华润消费封闭式基础设施证券投资基金</v>
      </c>
      <c r="B4" t="str">
        <f>IF(原始经营数据!$D5="","",T(原始经营数据!$E5))</f>
        <v>基金整体</v>
      </c>
      <c r="C4" t="str">
        <f>IF(原始经营数据!$D5="","",原始经营数据!$F5)</f>
        <v>2024Q1</v>
      </c>
      <c r="D4" t="str">
        <f>IF(原始经营数据!$D5="","",原始经营数据!$H5)</f>
        <v>期末可供出租面积</v>
      </c>
      <c r="E4">
        <f>IF(原始经营数据!$D5="","",原始经营数据!$I5)</f>
        <v>136577.5</v>
      </c>
      <c r="F4" t="str">
        <f>IF(原始经营数据!$D5="","",T(原始经营数据!$J5))</f>
        <v>平方米</v>
      </c>
      <c r="G4" t="str">
        <f>IF(原始经营数据!$D5="","",T(原始经营数据!$K5))</f>
        <v/>
      </c>
      <c r="H4" t="str">
        <f>IF(原始经营数据!$D5="","",原始经营数据!$G5)</f>
        <v>服务量</v>
      </c>
      <c r="I4" t="str">
        <f>IF($A4="","",IF($B4&lt;&gt;"",$B4,IF(COUNTIFS(原始经营数据!$D$3:$D$3001,$A4,原始经营数据!$E$3:$E$3001,"",原始经营数据!$F$3:$F$3001,$C4,原始经营数据!$H$3:$H$3001,$D4,原始经营数据!$K$3:$K$3001,$G4)&gt;1,"基金整体·来源"&amp;原始经营数据!$A5,"基金整体")))</f>
        <v>基金整体</v>
      </c>
      <c r="J4" t="str">
        <f t="shared" si="3"/>
        <v>季度</v>
      </c>
      <c r="K4" t="str">
        <f t="shared" si="4"/>
        <v>期末可供出租面积（平方米）</v>
      </c>
      <c r="L4" t="str">
        <f t="shared" si="5"/>
        <v>基金整体|期末可供出租面积（平方米）|季度</v>
      </c>
      <c r="M4">
        <f>IF($A4="",0,IF(COUNTIF($L$2:$L4,$L4)=1,1,0))</f>
        <v>1</v>
      </c>
      <c r="N4">
        <f t="shared" si="6"/>
        <v>20241</v>
      </c>
      <c r="O4" t="str">
        <f t="shared" si="7"/>
        <v>华夏华润消费封闭式基础设施证券投资基金|2024Q1|季度</v>
      </c>
      <c r="P4">
        <f>IF($A4="",0,IF(COUNTIF($O$2:$O4,$O4)=1,1,0))</f>
        <v>0</v>
      </c>
      <c r="Q4" t="str">
        <f>IF(AND($P4=1,$A4=经营数据!$B$3,$J4=经营数据!$BA$5),COUNTIFS($P$2:$P$3000,1,$A$2:$A$3000,$A4,$J$2:$J$3000,$J4,$N$2:$N$3000,"&lt;"&amp;$N4)+1,"")</f>
        <v/>
      </c>
      <c r="R4" t="str">
        <f t="shared" si="8"/>
        <v>华夏华润消费封闭式基础设施证券投资基金|基金整体</v>
      </c>
      <c r="S4">
        <f>IF($A4="",0,IF(COUNTIF($R$2:$R4,$R4)=1,1,0))</f>
        <v>0</v>
      </c>
      <c r="T4">
        <f t="shared" si="9"/>
        <v>1</v>
      </c>
      <c r="U4">
        <f>IF($A4="","",IF($A4=经营数据!$B$3,COUNTIFS($S$2:$S$3000,1,$A$2:$A$3000,$A4,$T$2:$T$3000,"&lt;"&amp;$T4)+1,""))</f>
        <v>1</v>
      </c>
      <c r="V4" t="str">
        <f t="shared" si="10"/>
        <v>基金整体|服务量</v>
      </c>
      <c r="W4">
        <f t="shared" si="11"/>
        <v>1</v>
      </c>
      <c r="X4" t="str">
        <f t="shared" si="12"/>
        <v>基金整体|期末可供出租面积</v>
      </c>
      <c r="Y4">
        <f t="shared" si="13"/>
        <v>3</v>
      </c>
      <c r="Z4">
        <f>IF($A4="",0,IF(AND($M4=1,$A4=经营数据!$B$3,$J4=经营数据!$BA$5,OR($I4=经营数据!$BA$4,COUNTIF(经营数据!$AA$9:$AA$38,$I4)&gt;0)),1,0))</f>
        <v>1</v>
      </c>
      <c r="AA4">
        <f t="shared" si="14"/>
        <v>1000100030004</v>
      </c>
      <c r="AB4">
        <f t="shared" si="15"/>
        <v>2</v>
      </c>
      <c r="AC4">
        <f>IF($A4="",0,IF(COUNTIF($A$2:$A4,$A4)=1,1,0))</f>
        <v>0</v>
      </c>
      <c r="AD4">
        <f t="shared" si="16"/>
        <v>1</v>
      </c>
      <c r="AE4" t="str">
        <f t="shared" si="17"/>
        <v>基金整体|期末可供出租面积（平方米）</v>
      </c>
      <c r="AH4" t="str">
        <f t="shared" si="0"/>
        <v>易方达华威农贸市场封闭式基础设施证券投资基金</v>
      </c>
      <c r="AI4" t="str">
        <f t="shared" si="1"/>
        <v/>
      </c>
      <c r="AJ4" t="str">
        <f t="shared" si="2"/>
        <v>2024Q4</v>
      </c>
      <c r="BA4" t="s">
        <v>5143</v>
      </c>
      <c r="BB4" t="s">
        <v>5144</v>
      </c>
      <c r="BI4" t="s">
        <v>221</v>
      </c>
      <c r="BJ4" s="29">
        <v>5.6500000000000002E-2</v>
      </c>
      <c r="BK4" s="29">
        <v>5.7700000000000001E-2</v>
      </c>
      <c r="BL4" s="29">
        <v>5.6063000000000002E-2</v>
      </c>
      <c r="BM4" s="29">
        <v>5.7253999999999999E-2</v>
      </c>
      <c r="BN4" s="29"/>
      <c r="BO4" s="29"/>
      <c r="BP4" s="47">
        <v>45365</v>
      </c>
      <c r="BQ4" s="29">
        <v>5.4171728180842253E-2</v>
      </c>
      <c r="BT4" t="s">
        <v>357</v>
      </c>
      <c r="BU4" t="s">
        <v>189</v>
      </c>
      <c r="BV4" t="s">
        <v>429</v>
      </c>
      <c r="BW4" t="s">
        <v>357</v>
      </c>
      <c r="BX4" t="s">
        <v>191</v>
      </c>
      <c r="BY4">
        <v>17.72</v>
      </c>
      <c r="BZ4" t="str">
        <f>IF($BT4=数据概览!$C$92,COUNTIFS($BT$3:$BT4,数据概览!$C$92),"")</f>
        <v/>
      </c>
      <c r="CA4">
        <f>IF(AND($BT4=数据概览!$C$92,COUNTIFS($BT$3:$BT4,数据概览!$C$92,$BU$3:$BU4,$BU4)=1),1,0)</f>
        <v>0</v>
      </c>
      <c r="CB4">
        <v>38.51</v>
      </c>
      <c r="CC4" t="s">
        <v>357</v>
      </c>
      <c r="CD4">
        <v>9</v>
      </c>
      <c r="CE4">
        <v>8</v>
      </c>
    </row>
    <row r="5" spans="1:96" x14ac:dyDescent="0.4">
      <c r="A5" t="str">
        <f>IF(原始经营数据!$D6="","",原始经营数据!$D6)</f>
        <v>华夏华润消费封闭式基础设施证券投资基金</v>
      </c>
      <c r="B5" t="str">
        <f>IF(原始经营数据!$D6="","",T(原始经营数据!$E6))</f>
        <v>基金整体</v>
      </c>
      <c r="C5" t="str">
        <f>IF(原始经营数据!$D6="","",原始经营数据!$F6)</f>
        <v>2024Q1</v>
      </c>
      <c r="D5" t="str">
        <f>IF(原始经营数据!$D6="","",原始经营数据!$H6)</f>
        <v>期末实际出租面积</v>
      </c>
      <c r="E5">
        <f>IF(原始经营数据!$D6="","",原始经营数据!$I6)</f>
        <v>135206.5</v>
      </c>
      <c r="F5" t="str">
        <f>IF(原始经营数据!$D6="","",T(原始经营数据!$J6))</f>
        <v>平方米</v>
      </c>
      <c r="G5" t="str">
        <f>IF(原始经营数据!$D6="","",T(原始经营数据!$K6))</f>
        <v/>
      </c>
      <c r="H5" t="str">
        <f>IF(原始经营数据!$D6="","",原始经营数据!$G6)</f>
        <v>服务量</v>
      </c>
      <c r="I5" t="str">
        <f>IF($A5="","",IF($B5&lt;&gt;"",$B5,IF(COUNTIFS(原始经营数据!$D$3:$D$3001,$A5,原始经营数据!$E$3:$E$3001,"",原始经营数据!$F$3:$F$3001,$C5,原始经营数据!$H$3:$H$3001,$D5,原始经营数据!$K$3:$K$3001,$G5)&gt;1,"基金整体·来源"&amp;原始经营数据!$A6,"基金整体")))</f>
        <v>基金整体</v>
      </c>
      <c r="J5" t="str">
        <f t="shared" si="3"/>
        <v>季度</v>
      </c>
      <c r="K5" t="str">
        <f t="shared" si="4"/>
        <v>期末实际出租面积（平方米）</v>
      </c>
      <c r="L5" t="str">
        <f t="shared" si="5"/>
        <v>基金整体|期末实际出租面积（平方米）|季度</v>
      </c>
      <c r="M5">
        <f>IF($A5="",0,IF(COUNTIF($L$2:$L5,$L5)=1,1,0))</f>
        <v>1</v>
      </c>
      <c r="N5">
        <f t="shared" si="6"/>
        <v>20241</v>
      </c>
      <c r="O5" t="str">
        <f t="shared" si="7"/>
        <v>华夏华润消费封闭式基础设施证券投资基金|2024Q1|季度</v>
      </c>
      <c r="P5">
        <f>IF($A5="",0,IF(COUNTIF($O$2:$O5,$O5)=1,1,0))</f>
        <v>0</v>
      </c>
      <c r="Q5" t="str">
        <f>IF(AND($P5=1,$A5=经营数据!$B$3,$J5=经营数据!$BA$5),COUNTIFS($P$2:$P$3000,1,$A$2:$A$3000,$A5,$J$2:$J$3000,$J5,$N$2:$N$3000,"&lt;"&amp;$N5)+1,"")</f>
        <v/>
      </c>
      <c r="R5" t="str">
        <f t="shared" si="8"/>
        <v>华夏华润消费封闭式基础设施证券投资基金|基金整体</v>
      </c>
      <c r="S5">
        <f>IF($A5="",0,IF(COUNTIF($R$2:$R5,$R5)=1,1,0))</f>
        <v>0</v>
      </c>
      <c r="T5">
        <f t="shared" si="9"/>
        <v>1</v>
      </c>
      <c r="U5">
        <f>IF($A5="","",IF($A5=经营数据!$B$3,COUNTIFS($S$2:$S$3000,1,$A$2:$A$3000,$A5,$T$2:$T$3000,"&lt;"&amp;$T5)+1,""))</f>
        <v>1</v>
      </c>
      <c r="V5" t="str">
        <f t="shared" si="10"/>
        <v>基金整体|服务量</v>
      </c>
      <c r="W5">
        <f t="shared" si="11"/>
        <v>1</v>
      </c>
      <c r="X5" t="str">
        <f t="shared" si="12"/>
        <v>基金整体|期末实际出租面积</v>
      </c>
      <c r="Y5">
        <f t="shared" si="13"/>
        <v>4</v>
      </c>
      <c r="Z5">
        <f>IF($A5="",0,IF(AND($M5=1,$A5=经营数据!$B$3,$J5=经营数据!$BA$5,OR($I5=经营数据!$BA$4,COUNTIF(经营数据!$AA$9:$AA$38,$I5)&gt;0)),1,0))</f>
        <v>1</v>
      </c>
      <c r="AA5">
        <f t="shared" si="14"/>
        <v>1000100040005</v>
      </c>
      <c r="AB5">
        <f t="shared" si="15"/>
        <v>3</v>
      </c>
      <c r="AC5">
        <f>IF($A5="",0,IF(COUNTIF($A$2:$A5,$A5)=1,1,0))</f>
        <v>0</v>
      </c>
      <c r="AD5">
        <f t="shared" si="16"/>
        <v>1</v>
      </c>
      <c r="AE5" t="str">
        <f t="shared" si="17"/>
        <v>基金整体|期末实际出租面积（平方米）</v>
      </c>
      <c r="AH5" t="str">
        <f t="shared" si="0"/>
        <v>中金中国绿发消费封闭式基础设施证券投资基金</v>
      </c>
      <c r="AI5" t="str">
        <f t="shared" si="1"/>
        <v/>
      </c>
      <c r="AJ5" t="str">
        <f t="shared" si="2"/>
        <v>2025Q1</v>
      </c>
      <c r="BA5" t="s">
        <v>5145</v>
      </c>
      <c r="BB5" t="s">
        <v>5146</v>
      </c>
      <c r="BI5" t="s">
        <v>206</v>
      </c>
      <c r="BJ5" s="29">
        <v>4.5600000000000002E-2</v>
      </c>
      <c r="BK5" s="29">
        <v>4.3200000000000002E-2</v>
      </c>
      <c r="BL5" s="29">
        <v>4.1445999999999997E-2</v>
      </c>
      <c r="BM5" s="29">
        <v>3.9265000000000001E-2</v>
      </c>
      <c r="BN5" s="29"/>
      <c r="BO5" s="29"/>
      <c r="BP5" s="47">
        <v>45366</v>
      </c>
      <c r="BQ5" s="29">
        <v>5.4257884551543387E-2</v>
      </c>
      <c r="BR5" t="s">
        <v>5147</v>
      </c>
      <c r="BS5" t="s">
        <v>5148</v>
      </c>
      <c r="BT5" t="s">
        <v>357</v>
      </c>
      <c r="BU5" t="s">
        <v>189</v>
      </c>
      <c r="BV5" t="s">
        <v>434</v>
      </c>
      <c r="BW5" t="s">
        <v>357</v>
      </c>
      <c r="BX5" t="s">
        <v>191</v>
      </c>
      <c r="BY5">
        <v>19.170000000000002</v>
      </c>
      <c r="BZ5" t="str">
        <f>IF($BT5=数据概览!$C$92,COUNTIFS($BT$3:$BT5,数据概览!$C$92),"")</f>
        <v/>
      </c>
      <c r="CA5">
        <f>IF(AND($BT5=数据概览!$C$92,COUNTIFS($BT$3:$BT5,数据概览!$C$92,$BU$3:$BU5,$BU5)=1),1,0)</f>
        <v>0</v>
      </c>
      <c r="CB5">
        <v>38.5</v>
      </c>
      <c r="CC5" t="s">
        <v>306</v>
      </c>
      <c r="CD5">
        <v>9</v>
      </c>
      <c r="CE5">
        <v>5</v>
      </c>
    </row>
    <row r="6" spans="1:96" x14ac:dyDescent="0.4">
      <c r="A6" t="str">
        <f>IF(原始经营数据!$D7="","",原始经营数据!$D7)</f>
        <v>华夏华润消费封闭式基础设施证券投资基金</v>
      </c>
      <c r="B6" t="str">
        <f>IF(原始经营数据!$D7="","",T(原始经营数据!$E7))</f>
        <v>基金整体</v>
      </c>
      <c r="C6" t="str">
        <f>IF(原始经营数据!$D7="","",原始经营数据!$F7)</f>
        <v>2024Q1</v>
      </c>
      <c r="D6" t="str">
        <f>IF(原始经营数据!$D7="","",原始经营数据!$H7)</f>
        <v>期末出租率</v>
      </c>
      <c r="E6">
        <f>IF(原始经营数据!$D7="","",原始经营数据!$I7)</f>
        <v>99</v>
      </c>
      <c r="F6" t="str">
        <f>IF(原始经营数据!$D7="","",T(原始经营数据!$J7))</f>
        <v>%</v>
      </c>
      <c r="G6" t="str">
        <f>IF(原始经营数据!$D7="","",T(原始经营数据!$K7))</f>
        <v/>
      </c>
      <c r="H6" t="str">
        <f>IF(原始经营数据!$D7="","",原始经营数据!$G7)</f>
        <v>服务效率</v>
      </c>
      <c r="I6" t="str">
        <f>IF($A6="","",IF($B6&lt;&gt;"",$B6,IF(COUNTIFS(原始经营数据!$D$3:$D$3001,$A6,原始经营数据!$E$3:$E$3001,"",原始经营数据!$F$3:$F$3001,$C6,原始经营数据!$H$3:$H$3001,$D6,原始经营数据!$K$3:$K$3001,$G6)&gt;1,"基金整体·来源"&amp;原始经营数据!$A7,"基金整体")))</f>
        <v>基金整体</v>
      </c>
      <c r="J6" t="str">
        <f t="shared" si="3"/>
        <v>季度</v>
      </c>
      <c r="K6" t="str">
        <f t="shared" si="4"/>
        <v>期末出租率（%）</v>
      </c>
      <c r="L6" t="str">
        <f t="shared" si="5"/>
        <v>基金整体|期末出租率（%）|季度</v>
      </c>
      <c r="M6">
        <f>IF($A6="",0,IF(COUNTIF($L$2:$L6,$L6)=1,1,0))</f>
        <v>1</v>
      </c>
      <c r="N6">
        <f t="shared" si="6"/>
        <v>20241</v>
      </c>
      <c r="O6" t="str">
        <f t="shared" si="7"/>
        <v>华夏华润消费封闭式基础设施证券投资基金|2024Q1|季度</v>
      </c>
      <c r="P6">
        <f>IF($A6="",0,IF(COUNTIF($O$2:$O6,$O6)=1,1,0))</f>
        <v>0</v>
      </c>
      <c r="Q6" t="str">
        <f>IF(AND($P6=1,$A6=经营数据!$B$3,$J6=经营数据!$BA$5),COUNTIFS($P$2:$P$3000,1,$A$2:$A$3000,$A6,$J$2:$J$3000,$J6,$N$2:$N$3000,"&lt;"&amp;$N6)+1,"")</f>
        <v/>
      </c>
      <c r="R6" t="str">
        <f t="shared" si="8"/>
        <v>华夏华润消费封闭式基础设施证券投资基金|基金整体</v>
      </c>
      <c r="S6">
        <f>IF($A6="",0,IF(COUNTIF($R$2:$R6,$R6)=1,1,0))</f>
        <v>0</v>
      </c>
      <c r="T6">
        <f t="shared" si="9"/>
        <v>1</v>
      </c>
      <c r="U6">
        <f>IF($A6="","",IF($A6=经营数据!$B$3,COUNTIFS($S$2:$S$3000,1,$A$2:$A$3000,$A6,$T$2:$T$3000,"&lt;"&amp;$T6)+1,""))</f>
        <v>1</v>
      </c>
      <c r="V6" t="str">
        <f t="shared" si="10"/>
        <v>基金整体|服务效率</v>
      </c>
      <c r="W6">
        <f t="shared" si="11"/>
        <v>2</v>
      </c>
      <c r="X6" t="str">
        <f t="shared" si="12"/>
        <v>基金整体|期末出租率</v>
      </c>
      <c r="Y6">
        <f t="shared" si="13"/>
        <v>5</v>
      </c>
      <c r="Z6">
        <f>IF($A6="",0,IF(AND($M6=1,$A6=经营数据!$B$3,$J6=经营数据!$BA$5,OR($I6=经营数据!$BA$4,COUNTIF(经营数据!$AA$9:$AA$38,$I6)&gt;0)),1,0))</f>
        <v>1</v>
      </c>
      <c r="AA6">
        <f t="shared" si="14"/>
        <v>1000200050006</v>
      </c>
      <c r="AB6">
        <f t="shared" si="15"/>
        <v>5</v>
      </c>
      <c r="AC6">
        <f>IF($A6="",0,IF(COUNTIF($A$2:$A6,$A6)=1,1,0))</f>
        <v>0</v>
      </c>
      <c r="AD6">
        <f t="shared" si="16"/>
        <v>1</v>
      </c>
      <c r="AE6" t="str">
        <f t="shared" si="17"/>
        <v>基金整体|期末出租率（%）</v>
      </c>
      <c r="AH6" t="str">
        <f t="shared" si="0"/>
        <v>华安百联消费封闭式基础设施证券投资基金</v>
      </c>
      <c r="AI6" t="str">
        <f t="shared" si="1"/>
        <v/>
      </c>
      <c r="AJ6" t="str">
        <f t="shared" si="2"/>
        <v>2025Q2</v>
      </c>
      <c r="BA6" t="s">
        <v>5149</v>
      </c>
      <c r="BB6" t="s">
        <v>5150</v>
      </c>
      <c r="BI6" t="s">
        <v>210</v>
      </c>
      <c r="BJ6" s="29">
        <v>4.5400000000000003E-2</v>
      </c>
      <c r="BK6" s="29">
        <v>4.8300000000000003E-2</v>
      </c>
      <c r="BL6" s="29">
        <v>4.2805999999999997E-2</v>
      </c>
      <c r="BM6" s="29">
        <v>4.5539999999999997E-2</v>
      </c>
      <c r="BN6" s="29"/>
      <c r="BO6" s="29"/>
      <c r="BP6" s="47">
        <v>45369</v>
      </c>
      <c r="BQ6" s="29">
        <v>5.4387023579800603E-2</v>
      </c>
      <c r="BR6" t="s">
        <v>5151</v>
      </c>
      <c r="BS6">
        <v>20</v>
      </c>
      <c r="BT6" t="s">
        <v>357</v>
      </c>
      <c r="BU6" t="s">
        <v>210</v>
      </c>
      <c r="BV6" t="s">
        <v>592</v>
      </c>
      <c r="BW6" t="s">
        <v>357</v>
      </c>
      <c r="BX6" t="s">
        <v>212</v>
      </c>
      <c r="BY6">
        <v>26.74</v>
      </c>
      <c r="BZ6" t="str">
        <f>IF($BT6=数据概览!$C$92,COUNTIFS($BT$3:$BT6,数据概览!$C$92),"")</f>
        <v/>
      </c>
      <c r="CA6">
        <f>IF(AND($BT6=数据概览!$C$92,COUNTIFS($BT$3:$BT6,数据概览!$C$92,$BU$3:$BU6,$BU6)=1),1,0)</f>
        <v>0</v>
      </c>
      <c r="CB6">
        <v>36.44</v>
      </c>
      <c r="CC6" t="s">
        <v>340</v>
      </c>
      <c r="CD6">
        <v>5</v>
      </c>
      <c r="CE6">
        <v>2</v>
      </c>
    </row>
    <row r="7" spans="1:96" x14ac:dyDescent="0.4">
      <c r="A7" t="str">
        <f>IF(原始经营数据!$D8="","",原始经营数据!$D8)</f>
        <v>华夏华润消费封闭式基础设施证券投资基金</v>
      </c>
      <c r="B7" t="str">
        <f>IF(原始经营数据!$D8="","",T(原始经营数据!$E8))</f>
        <v>基金整体</v>
      </c>
      <c r="C7" t="str">
        <f>IF(原始经营数据!$D8="","",原始经营数据!$F8)</f>
        <v>2024Q2</v>
      </c>
      <c r="D7" t="str">
        <f>IF(原始经营数据!$D8="","",原始经营数据!$H8)</f>
        <v>期末可供出租面积</v>
      </c>
      <c r="E7">
        <f>IF(原始经营数据!$D8="","",原始经营数据!$I8)</f>
        <v>137729.5</v>
      </c>
      <c r="F7" t="str">
        <f>IF(原始经营数据!$D8="","",T(原始经营数据!$J8))</f>
        <v>平方米</v>
      </c>
      <c r="G7" t="str">
        <f>IF(原始经营数据!$D8="","",T(原始经营数据!$K8))</f>
        <v/>
      </c>
      <c r="H7" t="str">
        <f>IF(原始经营数据!$D8="","",原始经营数据!$G8)</f>
        <v>服务量</v>
      </c>
      <c r="I7" t="str">
        <f>IF($A7="","",IF($B7&lt;&gt;"",$B7,IF(COUNTIFS(原始经营数据!$D$3:$D$3001,$A7,原始经营数据!$E$3:$E$3001,"",原始经营数据!$F$3:$F$3001,$C7,原始经营数据!$H$3:$H$3001,$D7,原始经营数据!$K$3:$K$3001,$G7)&gt;1,"基金整体·来源"&amp;原始经营数据!$A8,"基金整体")))</f>
        <v>基金整体</v>
      </c>
      <c r="J7" t="str">
        <f t="shared" si="3"/>
        <v>季度</v>
      </c>
      <c r="K7" t="str">
        <f t="shared" si="4"/>
        <v>期末可供出租面积（平方米）</v>
      </c>
      <c r="L7" t="str">
        <f t="shared" si="5"/>
        <v>基金整体|期末可供出租面积（平方米）|季度</v>
      </c>
      <c r="M7">
        <f>IF($A7="",0,IF(COUNTIF($L$2:$L7,$L7)=1,1,0))</f>
        <v>0</v>
      </c>
      <c r="N7">
        <f t="shared" si="6"/>
        <v>20242</v>
      </c>
      <c r="O7" t="str">
        <f t="shared" si="7"/>
        <v>华夏华润消费封闭式基础设施证券投资基金|2024Q2|季度</v>
      </c>
      <c r="P7">
        <f>IF($A7="",0,IF(COUNTIF($O$2:$O7,$O7)=1,1,0))</f>
        <v>1</v>
      </c>
      <c r="Q7">
        <f>IF(AND($P7=1,$A7=经营数据!$B$3,$J7=经营数据!$BA$5),COUNTIFS($P$2:$P$3000,1,$A$2:$A$3000,$A7,$J$2:$J$3000,$J7,$N$2:$N$3000,"&lt;"&amp;$N7)+1,"")</f>
        <v>2</v>
      </c>
      <c r="R7" t="str">
        <f t="shared" si="8"/>
        <v>华夏华润消费封闭式基础设施证券投资基金|基金整体</v>
      </c>
      <c r="S7">
        <f>IF($A7="",0,IF(COUNTIF($R$2:$R7,$R7)=1,1,0))</f>
        <v>0</v>
      </c>
      <c r="T7">
        <f t="shared" si="9"/>
        <v>1</v>
      </c>
      <c r="U7">
        <f>IF($A7="","",IF($A7=经营数据!$B$3,COUNTIFS($S$2:$S$3000,1,$A$2:$A$3000,$A7,$T$2:$T$3000,"&lt;"&amp;$T7)+1,""))</f>
        <v>1</v>
      </c>
      <c r="V7" t="str">
        <f t="shared" si="10"/>
        <v>基金整体|服务量</v>
      </c>
      <c r="W7">
        <f t="shared" si="11"/>
        <v>1</v>
      </c>
      <c r="X7" t="str">
        <f t="shared" si="12"/>
        <v>基金整体|期末可供出租面积</v>
      </c>
      <c r="Y7">
        <f t="shared" si="13"/>
        <v>3</v>
      </c>
      <c r="Z7">
        <f>IF($A7="",0,IF(AND($M7=1,$A7=经营数据!$B$3,$J7=经营数据!$BA$5,OR($I7=经营数据!$BA$4,COUNTIF(经营数据!$AA$9:$AA$38,$I7)&gt;0)),1,0))</f>
        <v>0</v>
      </c>
      <c r="AA7" t="str">
        <f t="shared" si="14"/>
        <v/>
      </c>
      <c r="AB7" t="str">
        <f t="shared" si="15"/>
        <v/>
      </c>
      <c r="AC7">
        <f>IF($A7="",0,IF(COUNTIF($A$2:$A7,$A7)=1,1,0))</f>
        <v>0</v>
      </c>
      <c r="AD7">
        <f t="shared" si="16"/>
        <v>1</v>
      </c>
      <c r="AE7" t="str">
        <f t="shared" si="17"/>
        <v>基金整体|期末可供出租面积（平方米）</v>
      </c>
      <c r="AH7" t="str">
        <f t="shared" si="0"/>
        <v>华夏首创奥特莱斯封闭式基础设施证券投资基金</v>
      </c>
      <c r="AI7" t="str">
        <f t="shared" si="1"/>
        <v/>
      </c>
      <c r="AJ7" t="str">
        <f t="shared" si="2"/>
        <v>2025Q3</v>
      </c>
      <c r="BA7" t="s">
        <v>5152</v>
      </c>
      <c r="BB7" t="s">
        <v>5153</v>
      </c>
      <c r="BI7" t="s">
        <v>202</v>
      </c>
      <c r="BJ7" s="29">
        <v>5.3900000000000003E-2</v>
      </c>
      <c r="BK7" s="29">
        <v>5.4100000000000002E-2</v>
      </c>
      <c r="BL7" s="29">
        <v>5.9886000000000002E-2</v>
      </c>
      <c r="BM7" s="29">
        <v>6.0108000000000002E-2</v>
      </c>
      <c r="BN7" s="29"/>
      <c r="BO7" s="29"/>
      <c r="BP7" s="47">
        <v>45370</v>
      </c>
      <c r="BQ7" s="29">
        <v>5.4712576678864262E-2</v>
      </c>
      <c r="BR7" t="s">
        <v>56</v>
      </c>
      <c r="BS7">
        <v>60</v>
      </c>
      <c r="BT7" t="s">
        <v>357</v>
      </c>
      <c r="BU7" t="s">
        <v>218</v>
      </c>
      <c r="BV7" t="s">
        <v>615</v>
      </c>
      <c r="BW7" t="s">
        <v>357</v>
      </c>
      <c r="BX7" t="s">
        <v>208</v>
      </c>
      <c r="BY7">
        <v>3.3</v>
      </c>
      <c r="BZ7" t="str">
        <f>IF($BT7=数据概览!$C$92,COUNTIFS($BT$3:$BT7,数据概览!$C$92),"")</f>
        <v/>
      </c>
      <c r="CA7">
        <f>IF(AND($BT7=数据概览!$C$92,COUNTIFS($BT$3:$BT7,数据概览!$C$92,$BU$3:$BU7,$BU7)=1),1,0)</f>
        <v>0</v>
      </c>
      <c r="CB7">
        <v>29.93</v>
      </c>
      <c r="CC7" t="s">
        <v>486</v>
      </c>
      <c r="CD7">
        <v>4</v>
      </c>
      <c r="CE7">
        <v>2</v>
      </c>
    </row>
    <row r="8" spans="1:96" x14ac:dyDescent="0.4">
      <c r="A8" t="str">
        <f>IF(原始经营数据!$D9="","",原始经营数据!$D9)</f>
        <v>华夏华润消费封闭式基础设施证券投资基金</v>
      </c>
      <c r="B8" t="str">
        <f>IF(原始经营数据!$D9="","",T(原始经营数据!$E9))</f>
        <v>基金整体</v>
      </c>
      <c r="C8" t="str">
        <f>IF(原始经营数据!$D9="","",原始经营数据!$F9)</f>
        <v>2024Q2</v>
      </c>
      <c r="D8" t="str">
        <f>IF(原始经营数据!$D9="","",原始经营数据!$H9)</f>
        <v>期末出租率</v>
      </c>
      <c r="E8">
        <f>IF(原始经营数据!$D9="","",原始经营数据!$I9)</f>
        <v>99.04</v>
      </c>
      <c r="F8" t="str">
        <f>IF(原始经营数据!$D9="","",T(原始经营数据!$J9))</f>
        <v>%</v>
      </c>
      <c r="G8" t="str">
        <f>IF(原始经营数据!$D9="","",T(原始经营数据!$K9))</f>
        <v/>
      </c>
      <c r="H8" t="str">
        <f>IF(原始经营数据!$D9="","",原始经营数据!$G9)</f>
        <v>服务效率</v>
      </c>
      <c r="I8" t="str">
        <f>IF($A8="","",IF($B8&lt;&gt;"",$B8,IF(COUNTIFS(原始经营数据!$D$3:$D$3001,$A8,原始经营数据!$E$3:$E$3001,"",原始经营数据!$F$3:$F$3001,$C8,原始经营数据!$H$3:$H$3001,$D8,原始经营数据!$K$3:$K$3001,$G8)&gt;1,"基金整体·来源"&amp;原始经营数据!$A9,"基金整体")))</f>
        <v>基金整体</v>
      </c>
      <c r="J8" t="str">
        <f t="shared" si="3"/>
        <v>季度</v>
      </c>
      <c r="K8" t="str">
        <f t="shared" si="4"/>
        <v>期末出租率（%）</v>
      </c>
      <c r="L8" t="str">
        <f t="shared" si="5"/>
        <v>基金整体|期末出租率（%）|季度</v>
      </c>
      <c r="M8">
        <f>IF($A8="",0,IF(COUNTIF($L$2:$L8,$L8)=1,1,0))</f>
        <v>0</v>
      </c>
      <c r="N8">
        <f t="shared" si="6"/>
        <v>20242</v>
      </c>
      <c r="O8" t="str">
        <f t="shared" si="7"/>
        <v>华夏华润消费封闭式基础设施证券投资基金|2024Q2|季度</v>
      </c>
      <c r="P8">
        <f>IF($A8="",0,IF(COUNTIF($O$2:$O8,$O8)=1,1,0))</f>
        <v>0</v>
      </c>
      <c r="Q8" t="str">
        <f>IF(AND($P8=1,$A8=经营数据!$B$3,$J8=经营数据!$BA$5),COUNTIFS($P$2:$P$3000,1,$A$2:$A$3000,$A8,$J$2:$J$3000,$J8,$N$2:$N$3000,"&lt;"&amp;$N8)+1,"")</f>
        <v/>
      </c>
      <c r="R8" t="str">
        <f t="shared" si="8"/>
        <v>华夏华润消费封闭式基础设施证券投资基金|基金整体</v>
      </c>
      <c r="S8">
        <f>IF($A8="",0,IF(COUNTIF($R$2:$R8,$R8)=1,1,0))</f>
        <v>0</v>
      </c>
      <c r="T8">
        <f t="shared" si="9"/>
        <v>1</v>
      </c>
      <c r="U8">
        <f>IF($A8="","",IF($A8=经营数据!$B$3,COUNTIFS($S$2:$S$3000,1,$A$2:$A$3000,$A8,$T$2:$T$3000,"&lt;"&amp;$T8)+1,""))</f>
        <v>1</v>
      </c>
      <c r="V8" t="str">
        <f t="shared" si="10"/>
        <v>基金整体|服务效率</v>
      </c>
      <c r="W8">
        <f t="shared" si="11"/>
        <v>2</v>
      </c>
      <c r="X8" t="str">
        <f t="shared" si="12"/>
        <v>基金整体|期末出租率</v>
      </c>
      <c r="Y8">
        <f t="shared" si="13"/>
        <v>5</v>
      </c>
      <c r="Z8">
        <f>IF($A8="",0,IF(AND($M8=1,$A8=经营数据!$B$3,$J8=经营数据!$BA$5,OR($I8=经营数据!$BA$4,COUNTIF(经营数据!$AA$9:$AA$38,$I8)&gt;0)),1,0))</f>
        <v>0</v>
      </c>
      <c r="AA8" t="str">
        <f t="shared" si="14"/>
        <v/>
      </c>
      <c r="AB8" t="str">
        <f t="shared" si="15"/>
        <v/>
      </c>
      <c r="AC8">
        <f>IF($A8="",0,IF(COUNTIF($A$2:$A8,$A8)=1,1,0))</f>
        <v>0</v>
      </c>
      <c r="AD8">
        <f t="shared" si="16"/>
        <v>1</v>
      </c>
      <c r="AE8" t="str">
        <f t="shared" si="17"/>
        <v>基金整体|期末出租率（%）</v>
      </c>
      <c r="AH8" t="str">
        <f t="shared" si="0"/>
        <v>嘉实物美消费封闭式基础设施证券投资基金</v>
      </c>
      <c r="AI8" t="str">
        <f t="shared" si="1"/>
        <v/>
      </c>
      <c r="AJ8" t="str">
        <f t="shared" si="2"/>
        <v>2025Q4</v>
      </c>
      <c r="BA8" t="s">
        <v>5154</v>
      </c>
      <c r="BB8" t="s">
        <v>5155</v>
      </c>
      <c r="BH8" t="s">
        <v>39</v>
      </c>
      <c r="BI8" t="s">
        <v>5156</v>
      </c>
      <c r="BJ8" s="29">
        <v>5.0099999999999999E-2</v>
      </c>
      <c r="BK8" s="29">
        <v>5.28E-2</v>
      </c>
      <c r="BL8" s="29"/>
      <c r="BM8" s="29"/>
      <c r="BN8" s="29"/>
      <c r="BO8" s="29"/>
      <c r="BP8" s="47">
        <v>45371</v>
      </c>
      <c r="BQ8" s="29">
        <v>5.4892364641027959E-2</v>
      </c>
      <c r="BR8" t="s">
        <v>5157</v>
      </c>
      <c r="BS8">
        <v>120</v>
      </c>
      <c r="BT8" t="s">
        <v>357</v>
      </c>
      <c r="BU8" t="s">
        <v>223</v>
      </c>
      <c r="BV8" t="s">
        <v>660</v>
      </c>
      <c r="BW8" t="s">
        <v>357</v>
      </c>
      <c r="BX8" t="s">
        <v>133</v>
      </c>
      <c r="BY8">
        <v>39</v>
      </c>
      <c r="BZ8" t="str">
        <f>IF($BT8=数据概览!$C$92,COUNTIFS($BT$3:$BT8,数据概览!$C$92),"")</f>
        <v/>
      </c>
      <c r="CA8">
        <f>IF(AND($BT8=数据概览!$C$92,COUNTIFS($BT$3:$BT8,数据概览!$C$92,$BU$3:$BU8,$BU8)=1),1,0)</f>
        <v>0</v>
      </c>
      <c r="CB8">
        <v>26.97</v>
      </c>
      <c r="CC8" t="s">
        <v>312</v>
      </c>
      <c r="CD8">
        <v>4</v>
      </c>
      <c r="CE8">
        <v>4</v>
      </c>
    </row>
    <row r="9" spans="1:96" x14ac:dyDescent="0.4">
      <c r="A9" t="str">
        <f>IF(原始经营数据!$D10="","",原始经营数据!$D10)</f>
        <v>华夏华润消费封闭式基础设施证券投资基金</v>
      </c>
      <c r="B9" t="str">
        <f>IF(原始经营数据!$D10="","",T(原始经营数据!$E10))</f>
        <v>基金整体</v>
      </c>
      <c r="C9" t="str">
        <f>IF(原始经营数据!$D10="","",原始经营数据!$F10)</f>
        <v>2024Q2</v>
      </c>
      <c r="D9" t="str">
        <f>IF(原始经营数据!$D10="","",原始经营数据!$H10)</f>
        <v>期末收缴率</v>
      </c>
      <c r="E9">
        <f>IF(原始经营数据!$D10="","",原始经营数据!$I10)</f>
        <v>100</v>
      </c>
      <c r="F9" t="str">
        <f>IF(原始经营数据!$D10="","",T(原始经营数据!$J10))</f>
        <v>%</v>
      </c>
      <c r="G9" t="str">
        <f>IF(原始经营数据!$D10="","",T(原始经营数据!$K10))</f>
        <v/>
      </c>
      <c r="H9" t="str">
        <f>IF(原始经营数据!$D10="","",原始经营数据!$G10)</f>
        <v>服务效率</v>
      </c>
      <c r="I9" t="str">
        <f>IF($A9="","",IF($B9&lt;&gt;"",$B9,IF(COUNTIFS(原始经营数据!$D$3:$D$3001,$A9,原始经营数据!$E$3:$E$3001,"",原始经营数据!$F$3:$F$3001,$C9,原始经营数据!$H$3:$H$3001,$D9,原始经营数据!$K$3:$K$3001,$G9)&gt;1,"基金整体·来源"&amp;原始经营数据!$A10,"基金整体")))</f>
        <v>基金整体</v>
      </c>
      <c r="J9" t="str">
        <f t="shared" si="3"/>
        <v>季度</v>
      </c>
      <c r="K9" t="str">
        <f t="shared" si="4"/>
        <v>期末收缴率（%）</v>
      </c>
      <c r="L9" t="str">
        <f t="shared" si="5"/>
        <v>基金整体|期末收缴率（%）|季度</v>
      </c>
      <c r="M9">
        <f>IF($A9="",0,IF(COUNTIF($L$2:$L9,$L9)=1,1,0))</f>
        <v>0</v>
      </c>
      <c r="N9">
        <f t="shared" si="6"/>
        <v>20242</v>
      </c>
      <c r="O9" t="str">
        <f t="shared" si="7"/>
        <v>华夏华润消费封闭式基础设施证券投资基金|2024Q2|季度</v>
      </c>
      <c r="P9">
        <f>IF($A9="",0,IF(COUNTIF($O$2:$O9,$O9)=1,1,0))</f>
        <v>0</v>
      </c>
      <c r="Q9" t="str">
        <f>IF(AND($P9=1,$A9=经营数据!$B$3,$J9=经营数据!$BA$5),COUNTIFS($P$2:$P$3000,1,$A$2:$A$3000,$A9,$J$2:$J$3000,$J9,$N$2:$N$3000,"&lt;"&amp;$N9)+1,"")</f>
        <v/>
      </c>
      <c r="R9" t="str">
        <f t="shared" si="8"/>
        <v>华夏华润消费封闭式基础设施证券投资基金|基金整体</v>
      </c>
      <c r="S9">
        <f>IF($A9="",0,IF(COUNTIF($R$2:$R9,$R9)=1,1,0))</f>
        <v>0</v>
      </c>
      <c r="T9">
        <f t="shared" si="9"/>
        <v>1</v>
      </c>
      <c r="U9">
        <f>IF($A9="","",IF($A9=经营数据!$B$3,COUNTIFS($S$2:$S$3000,1,$A$2:$A$3000,$A9,$T$2:$T$3000,"&lt;"&amp;$T9)+1,""))</f>
        <v>1</v>
      </c>
      <c r="V9" t="str">
        <f t="shared" si="10"/>
        <v>基金整体|服务效率</v>
      </c>
      <c r="W9">
        <f t="shared" si="11"/>
        <v>2</v>
      </c>
      <c r="X9" t="str">
        <f t="shared" si="12"/>
        <v>基金整体|期末收缴率</v>
      </c>
      <c r="Y9">
        <f t="shared" si="13"/>
        <v>2</v>
      </c>
      <c r="Z9">
        <f>IF($A9="",0,IF(AND($M9=1,$A9=经营数据!$B$3,$J9=经营数据!$BA$5,OR($I9=经营数据!$BA$4,COUNTIF(经营数据!$AA$9:$AA$38,$I9)&gt;0)),1,0))</f>
        <v>0</v>
      </c>
      <c r="AA9" t="str">
        <f t="shared" si="14"/>
        <v/>
      </c>
      <c r="AB9" t="str">
        <f t="shared" si="15"/>
        <v/>
      </c>
      <c r="AC9">
        <f>IF($A9="",0,IF(COUNTIF($A$2:$A9,$A9)=1,1,0))</f>
        <v>0</v>
      </c>
      <c r="AD9">
        <f t="shared" si="16"/>
        <v>1</v>
      </c>
      <c r="AE9" t="str">
        <f t="shared" si="17"/>
        <v>基金整体|期末收缴率（%）</v>
      </c>
      <c r="AH9" t="str">
        <f t="shared" si="0"/>
        <v>华夏金茂消费封闭式基础设施证券投资基金</v>
      </c>
      <c r="AI9" t="str">
        <f t="shared" si="1"/>
        <v/>
      </c>
      <c r="AJ9" t="str">
        <f t="shared" si="2"/>
        <v>2026Q1</v>
      </c>
      <c r="BA9" t="s">
        <v>5158</v>
      </c>
      <c r="BB9" t="s">
        <v>5159</v>
      </c>
      <c r="BI9" t="s">
        <v>5160</v>
      </c>
      <c r="BJ9" s="29">
        <v>0.04</v>
      </c>
      <c r="BK9" s="29">
        <v>5.3600000000000002E-2</v>
      </c>
      <c r="BL9" s="29"/>
      <c r="BM9" s="29"/>
      <c r="BN9" s="29"/>
      <c r="BO9" s="29"/>
      <c r="BP9" s="47">
        <v>45372</v>
      </c>
      <c r="BQ9" s="29">
        <v>5.5141040411364313E-2</v>
      </c>
      <c r="BR9" t="s">
        <v>5161</v>
      </c>
      <c r="BS9">
        <v>252</v>
      </c>
      <c r="BT9" t="s">
        <v>357</v>
      </c>
      <c r="BU9" t="s">
        <v>233</v>
      </c>
      <c r="BV9" t="s">
        <v>665</v>
      </c>
      <c r="BW9" t="s">
        <v>357</v>
      </c>
      <c r="BX9" t="s">
        <v>666</v>
      </c>
      <c r="BY9">
        <v>12.6</v>
      </c>
      <c r="BZ9" t="str">
        <f>IF($BT9=数据概览!$C$92,COUNTIFS($BT$3:$BT9,数据概览!$C$92),"")</f>
        <v/>
      </c>
      <c r="CA9">
        <f>IF(AND($BT9=数据概览!$C$92,COUNTIFS($BT$3:$BT9,数据概览!$C$92,$BU$3:$BU9,$BU9)=1),1,0)</f>
        <v>0</v>
      </c>
      <c r="CB9">
        <v>20.55</v>
      </c>
      <c r="CC9" t="s">
        <v>324</v>
      </c>
      <c r="CD9">
        <v>3</v>
      </c>
      <c r="CE9">
        <v>3</v>
      </c>
    </row>
    <row r="10" spans="1:96" x14ac:dyDescent="0.4">
      <c r="A10" t="str">
        <f>IF(原始经营数据!$D11="","",原始经营数据!$D11)</f>
        <v>华夏华润消费封闭式基础设施证券投资基金</v>
      </c>
      <c r="B10" t="str">
        <f>IF(原始经营数据!$D11="","",T(原始经营数据!$E11))</f>
        <v>基金整体</v>
      </c>
      <c r="C10" t="str">
        <f>IF(原始经营数据!$D11="","",原始经营数据!$F11)</f>
        <v>2024Q2</v>
      </c>
      <c r="D10" t="str">
        <f>IF(原始经营数据!$D11="","",原始经营数据!$H11)</f>
        <v>期末加权平均剩余租期</v>
      </c>
      <c r="E10">
        <f>IF(原始经营数据!$D11="","",原始经营数据!$I11)</f>
        <v>1.84</v>
      </c>
      <c r="F10" t="str">
        <f>IF(原始经营数据!$D11="","",T(原始经营数据!$J11))</f>
        <v>年</v>
      </c>
      <c r="G10" t="str">
        <f>IF(原始经营数据!$D11="","",T(原始经营数据!$K11))</f>
        <v/>
      </c>
      <c r="H10" t="str">
        <f>IF(原始经营数据!$D11="","",原始经营数据!$G11)</f>
        <v>服务量</v>
      </c>
      <c r="I10" t="str">
        <f>IF($A10="","",IF($B10&lt;&gt;"",$B10,IF(COUNTIFS(原始经营数据!$D$3:$D$3001,$A10,原始经营数据!$E$3:$E$3001,"",原始经营数据!$F$3:$F$3001,$C10,原始经营数据!$H$3:$H$3001,$D10,原始经营数据!$K$3:$K$3001,$G10)&gt;1,"基金整体·来源"&amp;原始经营数据!$A11,"基金整体")))</f>
        <v>基金整体</v>
      </c>
      <c r="J10" t="str">
        <f t="shared" si="3"/>
        <v>季度</v>
      </c>
      <c r="K10" t="str">
        <f t="shared" si="4"/>
        <v>期末加权平均剩余租期（年）</v>
      </c>
      <c r="L10" t="str">
        <f t="shared" si="5"/>
        <v>基金整体|期末加权平均剩余租期（年）|季度</v>
      </c>
      <c r="M10">
        <f>IF($A10="",0,IF(COUNTIF($L$2:$L10,$L10)=1,1,0))</f>
        <v>0</v>
      </c>
      <c r="N10">
        <f t="shared" si="6"/>
        <v>20242</v>
      </c>
      <c r="O10" t="str">
        <f t="shared" si="7"/>
        <v>华夏华润消费封闭式基础设施证券投资基金|2024Q2|季度</v>
      </c>
      <c r="P10">
        <f>IF($A10="",0,IF(COUNTIF($O$2:$O10,$O10)=1,1,0))</f>
        <v>0</v>
      </c>
      <c r="Q10" t="str">
        <f>IF(AND($P10=1,$A10=经营数据!$B$3,$J10=经营数据!$BA$5),COUNTIFS($P$2:$P$3000,1,$A$2:$A$3000,$A10,$J$2:$J$3000,$J10,$N$2:$N$3000,"&lt;"&amp;$N10)+1,"")</f>
        <v/>
      </c>
      <c r="R10" t="str">
        <f t="shared" si="8"/>
        <v>华夏华润消费封闭式基础设施证券投资基金|基金整体</v>
      </c>
      <c r="S10">
        <f>IF($A10="",0,IF(COUNTIF($R$2:$R10,$R10)=1,1,0))</f>
        <v>0</v>
      </c>
      <c r="T10">
        <f t="shared" si="9"/>
        <v>1</v>
      </c>
      <c r="U10">
        <f>IF($A10="","",IF($A10=经营数据!$B$3,COUNTIFS($S$2:$S$3000,1,$A$2:$A$3000,$A10,$T$2:$T$3000,"&lt;"&amp;$T10)+1,""))</f>
        <v>1</v>
      </c>
      <c r="V10" t="str">
        <f t="shared" si="10"/>
        <v>基金整体|服务量</v>
      </c>
      <c r="W10">
        <f t="shared" si="11"/>
        <v>1</v>
      </c>
      <c r="X10" t="str">
        <f t="shared" si="12"/>
        <v>基金整体|期末加权平均剩余租期</v>
      </c>
      <c r="Y10">
        <f t="shared" si="13"/>
        <v>1</v>
      </c>
      <c r="Z10">
        <f>IF($A10="",0,IF(AND($M10=1,$A10=经营数据!$B$3,$J10=经营数据!$BA$5,OR($I10=经营数据!$BA$4,COUNTIF(经营数据!$AA$9:$AA$38,$I10)&gt;0)),1,0))</f>
        <v>0</v>
      </c>
      <c r="AA10" t="str">
        <f t="shared" si="14"/>
        <v/>
      </c>
      <c r="AB10" t="str">
        <f t="shared" si="15"/>
        <v/>
      </c>
      <c r="AC10">
        <f>IF($A10="",0,IF(COUNTIF($A$2:$A10,$A10)=1,1,0))</f>
        <v>0</v>
      </c>
      <c r="AD10">
        <f t="shared" si="16"/>
        <v>1</v>
      </c>
      <c r="AE10" t="str">
        <f t="shared" si="17"/>
        <v>基金整体|期末加权平均剩余租期（年）</v>
      </c>
      <c r="AH10" t="str">
        <f t="shared" si="0"/>
        <v>华夏凯德消费封闭式基础设施证券投资基金</v>
      </c>
      <c r="AI10" t="str">
        <f t="shared" si="1"/>
        <v/>
      </c>
      <c r="AJ10" t="str">
        <f t="shared" si="2"/>
        <v>2026Q2</v>
      </c>
      <c r="BA10" t="s">
        <v>5162</v>
      </c>
      <c r="BB10" t="s">
        <v>5163</v>
      </c>
      <c r="BI10" t="s">
        <v>5164</v>
      </c>
      <c r="BJ10" s="29">
        <v>5.7799999999999997E-2</v>
      </c>
      <c r="BK10" s="29">
        <v>5.8099999999999999E-2</v>
      </c>
      <c r="BL10" s="29"/>
      <c r="BM10" s="29"/>
      <c r="BN10" s="29"/>
      <c r="BO10" s="29"/>
      <c r="BP10" s="47">
        <v>45373</v>
      </c>
      <c r="BQ10" s="29">
        <v>5.5583920007113839E-2</v>
      </c>
      <c r="BR10" t="s">
        <v>5165</v>
      </c>
      <c r="BS10">
        <v>9999</v>
      </c>
      <c r="BT10" t="s">
        <v>357</v>
      </c>
      <c r="BU10" t="s">
        <v>253</v>
      </c>
      <c r="BV10" t="s">
        <v>700</v>
      </c>
      <c r="BW10" t="s">
        <v>357</v>
      </c>
      <c r="BX10" t="s">
        <v>133</v>
      </c>
      <c r="BY10">
        <v>11.03</v>
      </c>
      <c r="BZ10" t="str">
        <f>IF($BT10=数据概览!$C$92,COUNTIFS($BT$3:$BT10,数据概览!$C$92),"")</f>
        <v/>
      </c>
      <c r="CA10">
        <f>IF(AND($BT10=数据概览!$C$92,COUNTIFS($BT$3:$BT10,数据概览!$C$92,$BU$3:$BU10,$BU10)=1),1,0)</f>
        <v>0</v>
      </c>
      <c r="CB10">
        <v>19.23</v>
      </c>
      <c r="CC10" t="s">
        <v>365</v>
      </c>
      <c r="CD10">
        <v>3</v>
      </c>
      <c r="CE10">
        <v>2</v>
      </c>
    </row>
    <row r="11" spans="1:96" x14ac:dyDescent="0.4">
      <c r="A11" t="str">
        <f>IF(原始经营数据!$D12="","",原始经营数据!$D12)</f>
        <v>华夏华润消费封闭式基础设施证券投资基金</v>
      </c>
      <c r="B11" t="str">
        <f>IF(原始经营数据!$D12="","",T(原始经营数据!$E12))</f>
        <v>基金整体</v>
      </c>
      <c r="C11" t="str">
        <f>IF(原始经营数据!$D12="","",原始经营数据!$F12)</f>
        <v>2024Q2</v>
      </c>
      <c r="D11" t="str">
        <f>IF(原始经营数据!$D12="","",原始经营数据!$H12)</f>
        <v>本期租金单价水平</v>
      </c>
      <c r="E11">
        <f>IF(原始经营数据!$D12="","",原始经营数据!$I12)</f>
        <v>383.23</v>
      </c>
      <c r="F11" t="str">
        <f>IF(原始经营数据!$D12="","",T(原始经营数据!$J12))</f>
        <v>元/平方米/月</v>
      </c>
      <c r="G11" t="str">
        <f>IF(原始经营数据!$D12="","",T(原始经营数据!$K12))</f>
        <v/>
      </c>
      <c r="H11" t="str">
        <f>IF(原始经营数据!$D12="","",原始经营数据!$G12)</f>
        <v>服务价格</v>
      </c>
      <c r="I11" t="str">
        <f>IF($A11="","",IF($B11&lt;&gt;"",$B11,IF(COUNTIFS(原始经营数据!$D$3:$D$3001,$A11,原始经营数据!$E$3:$E$3001,"",原始经营数据!$F$3:$F$3001,$C11,原始经营数据!$H$3:$H$3001,$D11,原始经营数据!$K$3:$K$3001,$G11)&gt;1,"基金整体·来源"&amp;原始经营数据!$A12,"基金整体")))</f>
        <v>基金整体</v>
      </c>
      <c r="J11" t="str">
        <f t="shared" si="3"/>
        <v>季度</v>
      </c>
      <c r="K11" t="str">
        <f t="shared" si="4"/>
        <v>本期租金单价水平（元/平方米/月）</v>
      </c>
      <c r="L11" t="str">
        <f t="shared" si="5"/>
        <v>基金整体|本期租金单价水平（元/平方米/月）|季度</v>
      </c>
      <c r="M11">
        <f>IF($A11="",0,IF(COUNTIF($L$2:$L11,$L11)=1,1,0))</f>
        <v>1</v>
      </c>
      <c r="N11">
        <f t="shared" si="6"/>
        <v>20242</v>
      </c>
      <c r="O11" t="str">
        <f t="shared" si="7"/>
        <v>华夏华润消费封闭式基础设施证券投资基金|2024Q2|季度</v>
      </c>
      <c r="P11">
        <f>IF($A11="",0,IF(COUNTIF($O$2:$O11,$O11)=1,1,0))</f>
        <v>0</v>
      </c>
      <c r="Q11" t="str">
        <f>IF(AND($P11=1,$A11=经营数据!$B$3,$J11=经营数据!$BA$5),COUNTIFS($P$2:$P$3000,1,$A$2:$A$3000,$A11,$J$2:$J$3000,$J11,$N$2:$N$3000,"&lt;"&amp;$N11)+1,"")</f>
        <v/>
      </c>
      <c r="R11" t="str">
        <f t="shared" si="8"/>
        <v>华夏华润消费封闭式基础设施证券投资基金|基金整体</v>
      </c>
      <c r="S11">
        <f>IF($A11="",0,IF(COUNTIF($R$2:$R11,$R11)=1,1,0))</f>
        <v>0</v>
      </c>
      <c r="T11">
        <f t="shared" si="9"/>
        <v>1</v>
      </c>
      <c r="U11">
        <f>IF($A11="","",IF($A11=经营数据!$B$3,COUNTIFS($S$2:$S$3000,1,$A$2:$A$3000,$A11,$T$2:$T$3000,"&lt;"&amp;$T11)+1,""))</f>
        <v>1</v>
      </c>
      <c r="V11" t="str">
        <f t="shared" si="10"/>
        <v>基金整体|服务价格</v>
      </c>
      <c r="W11">
        <f t="shared" si="11"/>
        <v>10</v>
      </c>
      <c r="X11" t="str">
        <f t="shared" si="12"/>
        <v>基金整体|本期租金单价水平</v>
      </c>
      <c r="Y11">
        <f t="shared" si="13"/>
        <v>10</v>
      </c>
      <c r="Z11">
        <f>IF($A11="",0,IF(AND($M11=1,$A11=经营数据!$B$3,$J11=经营数据!$BA$5,OR($I11=经营数据!$BA$4,COUNTIF(经营数据!$AA$9:$AA$38,$I11)&gt;0)),1,0))</f>
        <v>1</v>
      </c>
      <c r="AA11">
        <f t="shared" si="14"/>
        <v>1001000100011</v>
      </c>
      <c r="AB11">
        <f t="shared" si="15"/>
        <v>6</v>
      </c>
      <c r="AC11">
        <f>IF($A11="",0,IF(COUNTIF($A$2:$A11,$A11)=1,1,0))</f>
        <v>0</v>
      </c>
      <c r="AD11">
        <f t="shared" si="16"/>
        <v>1</v>
      </c>
      <c r="AE11" t="str">
        <f t="shared" si="17"/>
        <v>基金整体|本期租金单价水平（元/平方米/月）</v>
      </c>
      <c r="AH11" t="str">
        <f t="shared" si="0"/>
        <v>中金唯品会奥特莱斯封闭式基础设施证券投资基金</v>
      </c>
      <c r="AI11" t="str">
        <f t="shared" si="1"/>
        <v/>
      </c>
      <c r="AJ11" t="str">
        <f t="shared" si="2"/>
        <v/>
      </c>
      <c r="BA11" t="s">
        <v>5166</v>
      </c>
      <c r="BB11" t="s">
        <v>5167</v>
      </c>
      <c r="BI11" t="s">
        <v>5168</v>
      </c>
      <c r="BJ11" s="29">
        <v>5.0700000000000002E-2</v>
      </c>
      <c r="BK11" s="29">
        <v>5.0200000000000002E-2</v>
      </c>
      <c r="BL11" s="29"/>
      <c r="BM11" s="29"/>
      <c r="BN11" s="29"/>
      <c r="BO11" s="29"/>
      <c r="BP11" s="47">
        <v>45376</v>
      </c>
      <c r="BQ11" s="29">
        <v>5.57836181145068E-2</v>
      </c>
      <c r="BT11" t="s">
        <v>357</v>
      </c>
      <c r="BU11" t="s">
        <v>259</v>
      </c>
      <c r="BV11" t="s">
        <v>704</v>
      </c>
      <c r="BW11" t="s">
        <v>357</v>
      </c>
      <c r="BX11" t="s">
        <v>208</v>
      </c>
      <c r="BY11">
        <v>10.02</v>
      </c>
      <c r="BZ11" t="str">
        <f>IF($BT11=数据概览!$C$92,COUNTIFS($BT$3:$BT11,数据概览!$C$92),"")</f>
        <v/>
      </c>
      <c r="CA11">
        <f>IF(AND($BT11=数据概览!$C$92,COUNTIFS($BT$3:$BT11,数据概览!$C$92,$BU$3:$BU11,$BU11)=1),1,0)</f>
        <v>0</v>
      </c>
      <c r="CB11">
        <v>27.23</v>
      </c>
      <c r="CC11" t="s">
        <v>401</v>
      </c>
      <c r="CD11">
        <v>3</v>
      </c>
      <c r="CE11">
        <v>3</v>
      </c>
    </row>
    <row r="12" spans="1:96" x14ac:dyDescent="0.4">
      <c r="A12" t="str">
        <f>IF(原始经营数据!$D13="","",原始经营数据!$D13)</f>
        <v>华夏华润消费封闭式基础设施证券投资基金</v>
      </c>
      <c r="B12" t="str">
        <f>IF(原始经营数据!$D13="","",T(原始经营数据!$E13))</f>
        <v>基金整体</v>
      </c>
      <c r="C12" t="str">
        <f>IF(原始经营数据!$D13="","",原始经营数据!$F13)</f>
        <v>2024Q2</v>
      </c>
      <c r="D12" t="str">
        <f>IF(原始经营数据!$D13="","",原始经营数据!$H13)</f>
        <v>期末实际出租面积</v>
      </c>
      <c r="E12">
        <f>IF(原始经营数据!$D13="","",原始经营数据!$I13)</f>
        <v>136403.5</v>
      </c>
      <c r="F12" t="str">
        <f>IF(原始经营数据!$D13="","",T(原始经营数据!$J13))</f>
        <v>平方米</v>
      </c>
      <c r="G12" t="str">
        <f>IF(原始经营数据!$D13="","",T(原始经营数据!$K13))</f>
        <v/>
      </c>
      <c r="H12" t="str">
        <f>IF(原始经营数据!$D13="","",原始经营数据!$G13)</f>
        <v>服务量</v>
      </c>
      <c r="I12" t="str">
        <f>IF($A12="","",IF($B12&lt;&gt;"",$B12,IF(COUNTIFS(原始经营数据!$D$3:$D$3001,$A12,原始经营数据!$E$3:$E$3001,"",原始经营数据!$F$3:$F$3001,$C12,原始经营数据!$H$3:$H$3001,$D12,原始经营数据!$K$3:$K$3001,$G12)&gt;1,"基金整体·来源"&amp;原始经营数据!$A13,"基金整体")))</f>
        <v>基金整体</v>
      </c>
      <c r="J12" t="str">
        <f t="shared" si="3"/>
        <v>季度</v>
      </c>
      <c r="K12" t="str">
        <f t="shared" si="4"/>
        <v>期末实际出租面积（平方米）</v>
      </c>
      <c r="L12" t="str">
        <f t="shared" si="5"/>
        <v>基金整体|期末实际出租面积（平方米）|季度</v>
      </c>
      <c r="M12">
        <f>IF($A12="",0,IF(COUNTIF($L$2:$L12,$L12)=1,1,0))</f>
        <v>0</v>
      </c>
      <c r="N12">
        <f t="shared" si="6"/>
        <v>20242</v>
      </c>
      <c r="O12" t="str">
        <f t="shared" si="7"/>
        <v>华夏华润消费封闭式基础设施证券投资基金|2024Q2|季度</v>
      </c>
      <c r="P12">
        <f>IF($A12="",0,IF(COUNTIF($O$2:$O12,$O12)=1,1,0))</f>
        <v>0</v>
      </c>
      <c r="Q12" t="str">
        <f>IF(AND($P12=1,$A12=经营数据!$B$3,$J12=经营数据!$BA$5),COUNTIFS($P$2:$P$3000,1,$A$2:$A$3000,$A12,$J$2:$J$3000,$J12,$N$2:$N$3000,"&lt;"&amp;$N12)+1,"")</f>
        <v/>
      </c>
      <c r="R12" t="str">
        <f t="shared" si="8"/>
        <v>华夏华润消费封闭式基础设施证券投资基金|基金整体</v>
      </c>
      <c r="S12">
        <f>IF($A12="",0,IF(COUNTIF($R$2:$R12,$R12)=1,1,0))</f>
        <v>0</v>
      </c>
      <c r="T12">
        <f t="shared" si="9"/>
        <v>1</v>
      </c>
      <c r="U12">
        <f>IF($A12="","",IF($A12=经营数据!$B$3,COUNTIFS($S$2:$S$3000,1,$A$2:$A$3000,$A12,$T$2:$T$3000,"&lt;"&amp;$T12)+1,""))</f>
        <v>1</v>
      </c>
      <c r="V12" t="str">
        <f t="shared" si="10"/>
        <v>基金整体|服务量</v>
      </c>
      <c r="W12">
        <f t="shared" si="11"/>
        <v>1</v>
      </c>
      <c r="X12" t="str">
        <f t="shared" si="12"/>
        <v>基金整体|期末实际出租面积</v>
      </c>
      <c r="Y12">
        <f t="shared" si="13"/>
        <v>4</v>
      </c>
      <c r="Z12">
        <f>IF($A12="",0,IF(AND($M12=1,$A12=经营数据!$B$3,$J12=经营数据!$BA$5,OR($I12=经营数据!$BA$4,COUNTIF(经营数据!$AA$9:$AA$38,$I12)&gt;0)),1,0))</f>
        <v>0</v>
      </c>
      <c r="AA12" t="str">
        <f t="shared" si="14"/>
        <v/>
      </c>
      <c r="AB12" t="str">
        <f t="shared" si="15"/>
        <v/>
      </c>
      <c r="AC12">
        <f>IF($A12="",0,IF(COUNTIF($A$2:$A12,$A12)=1,1,0))</f>
        <v>0</v>
      </c>
      <c r="AD12">
        <f t="shared" si="16"/>
        <v>1</v>
      </c>
      <c r="AE12" t="str">
        <f t="shared" si="17"/>
        <v>基金整体|期末实际出租面积（平方米）</v>
      </c>
      <c r="AH12" t="str">
        <f t="shared" si="0"/>
        <v>华夏中海消费封闭式基础设施证券投资基金</v>
      </c>
      <c r="AI12" t="str">
        <f t="shared" si="1"/>
        <v/>
      </c>
      <c r="AJ12" t="str">
        <f t="shared" si="2"/>
        <v/>
      </c>
      <c r="BA12" t="s">
        <v>5169</v>
      </c>
      <c r="BB12" t="s">
        <v>5170</v>
      </c>
      <c r="BI12" t="s">
        <v>5171</v>
      </c>
      <c r="BJ12" s="29">
        <v>4.99E-2</v>
      </c>
      <c r="BK12" s="29">
        <v>5.1900000000000002E-2</v>
      </c>
      <c r="BL12" s="29"/>
      <c r="BM12" s="29"/>
      <c r="BN12" s="29"/>
      <c r="BO12" s="29"/>
      <c r="BP12" s="47">
        <v>45377</v>
      </c>
      <c r="BQ12" s="29">
        <v>5.6105357225748158E-2</v>
      </c>
      <c r="BT12" t="s">
        <v>78</v>
      </c>
      <c r="BU12" t="s">
        <v>141</v>
      </c>
      <c r="BV12" t="s">
        <v>378</v>
      </c>
      <c r="BW12" t="s">
        <v>78</v>
      </c>
      <c r="BX12" t="s">
        <v>132</v>
      </c>
      <c r="BY12">
        <v>1.67</v>
      </c>
      <c r="BZ12">
        <f>IF($BT12=数据概览!$C$92,COUNTIFS($BT$3:$BT12,数据概览!$C$92),"")</f>
        <v>1</v>
      </c>
      <c r="CA12">
        <f>IF(AND($BT12=数据概览!$C$92,COUNTIFS($BT$3:$BT12,数据概览!$C$92,$BU$3:$BU12,$BU12)=1),1,0)</f>
        <v>1</v>
      </c>
      <c r="CB12">
        <v>16.11</v>
      </c>
      <c r="CC12" t="s">
        <v>332</v>
      </c>
      <c r="CD12">
        <v>2</v>
      </c>
      <c r="CE12">
        <v>2</v>
      </c>
    </row>
    <row r="13" spans="1:96" x14ac:dyDescent="0.4">
      <c r="A13" t="str">
        <f>IF(原始经营数据!$D14="","",原始经营数据!$D14)</f>
        <v>华夏华润消费封闭式基础设施证券投资基金</v>
      </c>
      <c r="B13" t="str">
        <f>IF(原始经营数据!$D14="","",T(原始经营数据!$E14))</f>
        <v>基金整体</v>
      </c>
      <c r="C13" t="str">
        <f>IF(原始经营数据!$D14="","",原始经营数据!$F14)</f>
        <v>2024Q3</v>
      </c>
      <c r="D13" t="str">
        <f>IF(原始经营数据!$D14="","",原始经营数据!$H14)</f>
        <v>期末收缴率</v>
      </c>
      <c r="E13">
        <f>IF(原始经营数据!$D14="","",原始经营数据!$I14)</f>
        <v>100</v>
      </c>
      <c r="F13" t="str">
        <f>IF(原始经营数据!$D14="","",T(原始经营数据!$J14))</f>
        <v>%</v>
      </c>
      <c r="G13" t="str">
        <f>IF(原始经营数据!$D14="","",T(原始经营数据!$K14))</f>
        <v/>
      </c>
      <c r="H13" t="str">
        <f>IF(原始经营数据!$D14="","",原始经营数据!$G14)</f>
        <v>服务效率</v>
      </c>
      <c r="I13" t="str">
        <f>IF($A13="","",IF($B13&lt;&gt;"",$B13,IF(COUNTIFS(原始经营数据!$D$3:$D$3001,$A13,原始经营数据!$E$3:$E$3001,"",原始经营数据!$F$3:$F$3001,$C13,原始经营数据!$H$3:$H$3001,$D13,原始经营数据!$K$3:$K$3001,$G13)&gt;1,"基金整体·来源"&amp;原始经营数据!$A14,"基金整体")))</f>
        <v>基金整体</v>
      </c>
      <c r="J13" t="str">
        <f t="shared" si="3"/>
        <v>季度</v>
      </c>
      <c r="K13" t="str">
        <f t="shared" si="4"/>
        <v>期末收缴率（%）</v>
      </c>
      <c r="L13" t="str">
        <f t="shared" si="5"/>
        <v>基金整体|期末收缴率（%）|季度</v>
      </c>
      <c r="M13">
        <f>IF($A13="",0,IF(COUNTIF($L$2:$L13,$L13)=1,1,0))</f>
        <v>0</v>
      </c>
      <c r="N13">
        <f t="shared" si="6"/>
        <v>20243</v>
      </c>
      <c r="O13" t="str">
        <f t="shared" si="7"/>
        <v>华夏华润消费封闭式基础设施证券投资基金|2024Q3|季度</v>
      </c>
      <c r="P13">
        <f>IF($A13="",0,IF(COUNTIF($O$2:$O13,$O13)=1,1,0))</f>
        <v>1</v>
      </c>
      <c r="Q13">
        <f>IF(AND($P13=1,$A13=经营数据!$B$3,$J13=经营数据!$BA$5),COUNTIFS($P$2:$P$3000,1,$A$2:$A$3000,$A13,$J$2:$J$3000,$J13,$N$2:$N$3000,"&lt;"&amp;$N13)+1,"")</f>
        <v>3</v>
      </c>
      <c r="R13" t="str">
        <f t="shared" si="8"/>
        <v>华夏华润消费封闭式基础设施证券投资基金|基金整体</v>
      </c>
      <c r="S13">
        <f>IF($A13="",0,IF(COUNTIF($R$2:$R13,$R13)=1,1,0))</f>
        <v>0</v>
      </c>
      <c r="T13">
        <f t="shared" si="9"/>
        <v>1</v>
      </c>
      <c r="U13">
        <f>IF($A13="","",IF($A13=经营数据!$B$3,COUNTIFS($S$2:$S$3000,1,$A$2:$A$3000,$A13,$T$2:$T$3000,"&lt;"&amp;$T13)+1,""))</f>
        <v>1</v>
      </c>
      <c r="V13" t="str">
        <f t="shared" si="10"/>
        <v>基金整体|服务效率</v>
      </c>
      <c r="W13">
        <f t="shared" si="11"/>
        <v>2</v>
      </c>
      <c r="X13" t="str">
        <f t="shared" si="12"/>
        <v>基金整体|期末收缴率</v>
      </c>
      <c r="Y13">
        <f t="shared" si="13"/>
        <v>2</v>
      </c>
      <c r="Z13">
        <f>IF($A13="",0,IF(AND($M13=1,$A13=经营数据!$B$3,$J13=经营数据!$BA$5,OR($I13=经营数据!$BA$4,COUNTIF(经营数据!$AA$9:$AA$38,$I13)&gt;0)),1,0))</f>
        <v>0</v>
      </c>
      <c r="AA13" t="str">
        <f t="shared" si="14"/>
        <v/>
      </c>
      <c r="AB13" t="str">
        <f t="shared" si="15"/>
        <v/>
      </c>
      <c r="AC13">
        <f>IF($A13="",0,IF(COUNTIF($A$2:$A13,$A13)=1,1,0))</f>
        <v>0</v>
      </c>
      <c r="AD13">
        <f t="shared" si="16"/>
        <v>1</v>
      </c>
      <c r="AE13" t="str">
        <f t="shared" si="17"/>
        <v>基金整体|期末收缴率（%）</v>
      </c>
      <c r="AH13" t="str">
        <f t="shared" si="0"/>
        <v>汇添富上海地产封闭式商业不动产证券投资基金</v>
      </c>
      <c r="AI13" t="str">
        <f t="shared" si="1"/>
        <v/>
      </c>
      <c r="AJ13" t="str">
        <f t="shared" si="2"/>
        <v/>
      </c>
      <c r="BA13" t="s">
        <v>5172</v>
      </c>
      <c r="BB13" t="s">
        <v>5173</v>
      </c>
      <c r="BI13" t="s">
        <v>5174</v>
      </c>
      <c r="BJ13" s="29">
        <v>4.7899999999999998E-2</v>
      </c>
      <c r="BK13" s="29">
        <v>4.7500000000000001E-2</v>
      </c>
      <c r="BL13" s="29"/>
      <c r="BM13" s="29"/>
      <c r="BN13" s="29"/>
      <c r="BO13" s="29"/>
      <c r="BP13" s="47">
        <v>45378</v>
      </c>
      <c r="BQ13" s="29">
        <v>5.5752801982966962E-2</v>
      </c>
      <c r="BT13" t="s">
        <v>78</v>
      </c>
      <c r="BU13" t="s">
        <v>141</v>
      </c>
      <c r="BV13" t="s">
        <v>385</v>
      </c>
      <c r="BW13" t="s">
        <v>78</v>
      </c>
      <c r="BX13" t="s">
        <v>132</v>
      </c>
      <c r="BY13">
        <v>2.87</v>
      </c>
      <c r="BZ13">
        <f>IF($BT13=数据概览!$C$92,COUNTIFS($BT$3:$BT13,数据概览!$C$92),"")</f>
        <v>2</v>
      </c>
      <c r="CA13">
        <f>IF(AND($BT13=数据概览!$C$92,COUNTIFS($BT$3:$BT13,数据概览!$C$92,$BU$3:$BU13,$BU13)=1),1,0)</f>
        <v>0</v>
      </c>
      <c r="CB13">
        <v>17.89</v>
      </c>
      <c r="CC13" t="s">
        <v>511</v>
      </c>
      <c r="CD13">
        <v>2</v>
      </c>
      <c r="CE13">
        <v>1</v>
      </c>
    </row>
    <row r="14" spans="1:96" x14ac:dyDescent="0.4">
      <c r="A14" t="str">
        <f>IF(原始经营数据!$D15="","",原始经营数据!$D15)</f>
        <v>华夏华润消费封闭式基础设施证券投资基金</v>
      </c>
      <c r="B14" t="str">
        <f>IF(原始经营数据!$D15="","",T(原始经营数据!$E15))</f>
        <v>基金整体</v>
      </c>
      <c r="C14" t="str">
        <f>IF(原始经营数据!$D15="","",原始经营数据!$F15)</f>
        <v>2024Q3</v>
      </c>
      <c r="D14" t="str">
        <f>IF(原始经营数据!$D15="","",原始经营数据!$H15)</f>
        <v>期末可供出租面积</v>
      </c>
      <c r="E14">
        <f>IF(原始经营数据!$D15="","",原始经营数据!$I15)</f>
        <v>137186</v>
      </c>
      <c r="F14" t="str">
        <f>IF(原始经营数据!$D15="","",T(原始经营数据!$J15))</f>
        <v>平方米</v>
      </c>
      <c r="G14" t="str">
        <f>IF(原始经营数据!$D15="","",T(原始经营数据!$K15))</f>
        <v/>
      </c>
      <c r="H14" t="str">
        <f>IF(原始经营数据!$D15="","",原始经营数据!$G15)</f>
        <v>服务量</v>
      </c>
      <c r="I14" t="str">
        <f>IF($A14="","",IF($B14&lt;&gt;"",$B14,IF(COUNTIFS(原始经营数据!$D$3:$D$3001,$A14,原始经营数据!$E$3:$E$3001,"",原始经营数据!$F$3:$F$3001,$C14,原始经营数据!$H$3:$H$3001,$D14,原始经营数据!$K$3:$K$3001,$G14)&gt;1,"基金整体·来源"&amp;原始经营数据!$A15,"基金整体")))</f>
        <v>基金整体</v>
      </c>
      <c r="J14" t="str">
        <f t="shared" si="3"/>
        <v>季度</v>
      </c>
      <c r="K14" t="str">
        <f t="shared" si="4"/>
        <v>期末可供出租面积（平方米）</v>
      </c>
      <c r="L14" t="str">
        <f t="shared" si="5"/>
        <v>基金整体|期末可供出租面积（平方米）|季度</v>
      </c>
      <c r="M14">
        <f>IF($A14="",0,IF(COUNTIF($L$2:$L14,$L14)=1,1,0))</f>
        <v>0</v>
      </c>
      <c r="N14">
        <f t="shared" si="6"/>
        <v>20243</v>
      </c>
      <c r="O14" t="str">
        <f t="shared" si="7"/>
        <v>华夏华润消费封闭式基础设施证券投资基金|2024Q3|季度</v>
      </c>
      <c r="P14">
        <f>IF($A14="",0,IF(COUNTIF($O$2:$O14,$O14)=1,1,0))</f>
        <v>0</v>
      </c>
      <c r="Q14" t="str">
        <f>IF(AND($P14=1,$A14=经营数据!$B$3,$J14=经营数据!$BA$5),COUNTIFS($P$2:$P$3000,1,$A$2:$A$3000,$A14,$J$2:$J$3000,$J14,$N$2:$N$3000,"&lt;"&amp;$N14)+1,"")</f>
        <v/>
      </c>
      <c r="R14" t="str">
        <f t="shared" si="8"/>
        <v>华夏华润消费封闭式基础设施证券投资基金|基金整体</v>
      </c>
      <c r="S14">
        <f>IF($A14="",0,IF(COUNTIF($R$2:$R14,$R14)=1,1,0))</f>
        <v>0</v>
      </c>
      <c r="T14">
        <f t="shared" si="9"/>
        <v>1</v>
      </c>
      <c r="U14">
        <f>IF($A14="","",IF($A14=经营数据!$B$3,COUNTIFS($S$2:$S$3000,1,$A$2:$A$3000,$A14,$T$2:$T$3000,"&lt;"&amp;$T14)+1,""))</f>
        <v>1</v>
      </c>
      <c r="V14" t="str">
        <f t="shared" si="10"/>
        <v>基金整体|服务量</v>
      </c>
      <c r="W14">
        <f t="shared" si="11"/>
        <v>1</v>
      </c>
      <c r="X14" t="str">
        <f t="shared" si="12"/>
        <v>基金整体|期末可供出租面积</v>
      </c>
      <c r="Y14">
        <f t="shared" si="13"/>
        <v>3</v>
      </c>
      <c r="Z14">
        <f>IF($A14="",0,IF(AND($M14=1,$A14=经营数据!$B$3,$J14=经营数据!$BA$5,OR($I14=经营数据!$BA$4,COUNTIF(经营数据!$AA$9:$AA$38,$I14)&gt;0)),1,0))</f>
        <v>0</v>
      </c>
      <c r="AA14" t="str">
        <f t="shared" si="14"/>
        <v/>
      </c>
      <c r="AB14" t="str">
        <f t="shared" si="15"/>
        <v/>
      </c>
      <c r="AC14">
        <f>IF($A14="",0,IF(COUNTIF($A$2:$A14,$A14)=1,1,0))</f>
        <v>0</v>
      </c>
      <c r="AD14">
        <f t="shared" si="16"/>
        <v>1</v>
      </c>
      <c r="AE14" t="str">
        <f t="shared" si="17"/>
        <v>基金整体|期末可供出租面积（平方米）</v>
      </c>
      <c r="AH14" t="str">
        <f t="shared" si="0"/>
        <v>中金唯品会封闭式商业不动产证券投资基金</v>
      </c>
      <c r="AI14" t="str">
        <f t="shared" si="1"/>
        <v/>
      </c>
      <c r="AJ14" t="str">
        <f t="shared" si="2"/>
        <v/>
      </c>
      <c r="BA14" t="s">
        <v>5175</v>
      </c>
      <c r="BB14" t="s">
        <v>5176</v>
      </c>
      <c r="BI14" t="s">
        <v>5177</v>
      </c>
      <c r="BJ14" s="29">
        <v>5.5500000000000001E-2</v>
      </c>
      <c r="BK14" s="29">
        <v>4.82E-2</v>
      </c>
      <c r="BL14" s="29"/>
      <c r="BM14" s="29"/>
      <c r="BN14" s="29"/>
      <c r="BO14" s="29"/>
      <c r="BP14" s="47">
        <v>45379</v>
      </c>
      <c r="BQ14" s="29">
        <v>5.6111855865591767E-2</v>
      </c>
      <c r="BT14" t="s">
        <v>78</v>
      </c>
      <c r="BU14" t="s">
        <v>141</v>
      </c>
      <c r="BV14" t="s">
        <v>390</v>
      </c>
      <c r="BW14" t="s">
        <v>78</v>
      </c>
      <c r="BX14" t="s">
        <v>132</v>
      </c>
      <c r="BY14">
        <v>1.39</v>
      </c>
      <c r="BZ14">
        <f>IF($BT14=数据概览!$C$92,COUNTIFS($BT$3:$BT14,数据概览!$C$92),"")</f>
        <v>3</v>
      </c>
      <c r="CA14">
        <f>IF(AND($BT14=数据概览!$C$92,COUNTIFS($BT$3:$BT14,数据概览!$C$92,$BU$3:$BU14,$BU14)=1),1,0)</f>
        <v>0</v>
      </c>
      <c r="CB14">
        <v>15.84</v>
      </c>
      <c r="CC14" t="s">
        <v>444</v>
      </c>
      <c r="CD14">
        <v>2</v>
      </c>
      <c r="CE14">
        <v>2</v>
      </c>
    </row>
    <row r="15" spans="1:96" x14ac:dyDescent="0.4">
      <c r="A15" t="str">
        <f>IF(原始经营数据!$D16="","",原始经营数据!$D16)</f>
        <v>华夏华润消费封闭式基础设施证券投资基金</v>
      </c>
      <c r="B15" t="str">
        <f>IF(原始经营数据!$D16="","",T(原始经营数据!$E16))</f>
        <v>基金整体</v>
      </c>
      <c r="C15" t="str">
        <f>IF(原始经营数据!$D16="","",原始经营数据!$F16)</f>
        <v>2024Q3</v>
      </c>
      <c r="D15" t="str">
        <f>IF(原始经营数据!$D16="","",原始经营数据!$H16)</f>
        <v>期末实际出租面积</v>
      </c>
      <c r="E15">
        <f>IF(原始经营数据!$D16="","",原始经营数据!$I16)</f>
        <v>136227</v>
      </c>
      <c r="F15" t="str">
        <f>IF(原始经营数据!$D16="","",T(原始经营数据!$J16))</f>
        <v>平方米</v>
      </c>
      <c r="G15" t="str">
        <f>IF(原始经营数据!$D16="","",T(原始经营数据!$K16))</f>
        <v/>
      </c>
      <c r="H15" t="str">
        <f>IF(原始经营数据!$D16="","",原始经营数据!$G16)</f>
        <v>服务量</v>
      </c>
      <c r="I15" t="str">
        <f>IF($A15="","",IF($B15&lt;&gt;"",$B15,IF(COUNTIFS(原始经营数据!$D$3:$D$3001,$A15,原始经营数据!$E$3:$E$3001,"",原始经营数据!$F$3:$F$3001,$C15,原始经营数据!$H$3:$H$3001,$D15,原始经营数据!$K$3:$K$3001,$G15)&gt;1,"基金整体·来源"&amp;原始经营数据!$A16,"基金整体")))</f>
        <v>基金整体</v>
      </c>
      <c r="J15" t="str">
        <f t="shared" si="3"/>
        <v>季度</v>
      </c>
      <c r="K15" t="str">
        <f t="shared" si="4"/>
        <v>期末实际出租面积（平方米）</v>
      </c>
      <c r="L15" t="str">
        <f t="shared" si="5"/>
        <v>基金整体|期末实际出租面积（平方米）|季度</v>
      </c>
      <c r="M15">
        <f>IF($A15="",0,IF(COUNTIF($L$2:$L15,$L15)=1,1,0))</f>
        <v>0</v>
      </c>
      <c r="N15">
        <f t="shared" si="6"/>
        <v>20243</v>
      </c>
      <c r="O15" t="str">
        <f t="shared" si="7"/>
        <v>华夏华润消费封闭式基础设施证券投资基金|2024Q3|季度</v>
      </c>
      <c r="P15">
        <f>IF($A15="",0,IF(COUNTIF($O$2:$O15,$O15)=1,1,0))</f>
        <v>0</v>
      </c>
      <c r="Q15" t="str">
        <f>IF(AND($P15=1,$A15=经营数据!$B$3,$J15=经营数据!$BA$5),COUNTIFS($P$2:$P$3000,1,$A$2:$A$3000,$A15,$J$2:$J$3000,$J15,$N$2:$N$3000,"&lt;"&amp;$N15)+1,"")</f>
        <v/>
      </c>
      <c r="R15" t="str">
        <f t="shared" si="8"/>
        <v>华夏华润消费封闭式基础设施证券投资基金|基金整体</v>
      </c>
      <c r="S15">
        <f>IF($A15="",0,IF(COUNTIF($R$2:$R15,$R15)=1,1,0))</f>
        <v>0</v>
      </c>
      <c r="T15">
        <f t="shared" si="9"/>
        <v>1</v>
      </c>
      <c r="U15">
        <f>IF($A15="","",IF($A15=经营数据!$B$3,COUNTIFS($S$2:$S$3000,1,$A$2:$A$3000,$A15,$T$2:$T$3000,"&lt;"&amp;$T15)+1,""))</f>
        <v>1</v>
      </c>
      <c r="V15" t="str">
        <f t="shared" si="10"/>
        <v>基金整体|服务量</v>
      </c>
      <c r="W15">
        <f t="shared" si="11"/>
        <v>1</v>
      </c>
      <c r="X15" t="str">
        <f t="shared" si="12"/>
        <v>基金整体|期末实际出租面积</v>
      </c>
      <c r="Y15">
        <f t="shared" si="13"/>
        <v>4</v>
      </c>
      <c r="Z15">
        <f>IF($A15="",0,IF(AND($M15=1,$A15=经营数据!$B$3,$J15=经营数据!$BA$5,OR($I15=经营数据!$BA$4,COUNTIF(经营数据!$AA$9:$AA$38,$I15)&gt;0)),1,0))</f>
        <v>0</v>
      </c>
      <c r="AA15" t="str">
        <f t="shared" si="14"/>
        <v/>
      </c>
      <c r="AB15" t="str">
        <f t="shared" si="15"/>
        <v/>
      </c>
      <c r="AC15">
        <f>IF($A15="",0,IF(COUNTIF($A$2:$A15,$A15)=1,1,0))</f>
        <v>0</v>
      </c>
      <c r="AD15">
        <f t="shared" si="16"/>
        <v>1</v>
      </c>
      <c r="AE15" t="str">
        <f t="shared" si="17"/>
        <v>基金整体|期末实际出租面积（平方米）</v>
      </c>
      <c r="AH15" t="str">
        <f t="shared" si="0"/>
        <v>国泰海通砂之船封闭式商业不动产证券投资基金</v>
      </c>
      <c r="AI15" t="str">
        <f t="shared" si="1"/>
        <v/>
      </c>
      <c r="AJ15" t="str">
        <f t="shared" si="2"/>
        <v/>
      </c>
      <c r="BA15" t="s">
        <v>5178</v>
      </c>
      <c r="BB15" t="s">
        <v>5179</v>
      </c>
      <c r="BI15" t="s">
        <v>5180</v>
      </c>
      <c r="BJ15" s="29">
        <v>4.6399999999999997E-2</v>
      </c>
      <c r="BK15" s="29">
        <v>5.3999999999999999E-2</v>
      </c>
      <c r="BL15" s="29"/>
      <c r="BM15" s="29"/>
      <c r="BN15" s="29"/>
      <c r="BO15" s="29"/>
      <c r="BP15" s="47">
        <v>45380</v>
      </c>
      <c r="BQ15" s="29">
        <v>5.6272197801087262E-2</v>
      </c>
      <c r="BT15" t="s">
        <v>78</v>
      </c>
      <c r="BU15" t="s">
        <v>141</v>
      </c>
      <c r="BV15" t="s">
        <v>395</v>
      </c>
      <c r="BW15" t="s">
        <v>78</v>
      </c>
      <c r="BX15" t="s">
        <v>132</v>
      </c>
      <c r="BY15">
        <v>4.08</v>
      </c>
      <c r="BZ15">
        <f>IF($BT15=数据概览!$C$92,COUNTIFS($BT$3:$BT15,数据概览!$C$92),"")</f>
        <v>4</v>
      </c>
      <c r="CA15">
        <f>IF(AND($BT15=数据概览!$C$92,COUNTIFS($BT$3:$BT15,数据概览!$C$92,$BU$3:$BU15,$BU15)=1),1,0)</f>
        <v>0</v>
      </c>
      <c r="CB15">
        <v>16.489999999999998</v>
      </c>
      <c r="CC15" t="s">
        <v>696</v>
      </c>
      <c r="CD15">
        <v>1</v>
      </c>
      <c r="CE15">
        <v>1</v>
      </c>
    </row>
    <row r="16" spans="1:96" x14ac:dyDescent="0.4">
      <c r="A16" t="str">
        <f>IF(原始经营数据!$D17="","",原始经营数据!$D17)</f>
        <v>华夏华润消费封闭式基础设施证券投资基金</v>
      </c>
      <c r="B16" t="str">
        <f>IF(原始经营数据!$D17="","",T(原始经营数据!$E17))</f>
        <v>基金整体</v>
      </c>
      <c r="C16" t="str">
        <f>IF(原始经营数据!$D17="","",原始经营数据!$F17)</f>
        <v>2024Q3</v>
      </c>
      <c r="D16" t="str">
        <f>IF(原始经营数据!$D17="","",原始经营数据!$H17)</f>
        <v>期末出租率</v>
      </c>
      <c r="E16">
        <f>IF(原始经营数据!$D17="","",原始经营数据!$I17)</f>
        <v>99.3</v>
      </c>
      <c r="F16" t="str">
        <f>IF(原始经营数据!$D17="","",T(原始经营数据!$J17))</f>
        <v>%</v>
      </c>
      <c r="G16" t="str">
        <f>IF(原始经营数据!$D17="","",T(原始经营数据!$K17))</f>
        <v/>
      </c>
      <c r="H16" t="str">
        <f>IF(原始经营数据!$D17="","",原始经营数据!$G17)</f>
        <v>服务效率</v>
      </c>
      <c r="I16" t="str">
        <f>IF($A16="","",IF($B16&lt;&gt;"",$B16,IF(COUNTIFS(原始经营数据!$D$3:$D$3001,$A16,原始经营数据!$E$3:$E$3001,"",原始经营数据!$F$3:$F$3001,$C16,原始经营数据!$H$3:$H$3001,$D16,原始经营数据!$K$3:$K$3001,$G16)&gt;1,"基金整体·来源"&amp;原始经营数据!$A17,"基金整体")))</f>
        <v>基金整体</v>
      </c>
      <c r="J16" t="str">
        <f t="shared" si="3"/>
        <v>季度</v>
      </c>
      <c r="K16" t="str">
        <f t="shared" si="4"/>
        <v>期末出租率（%）</v>
      </c>
      <c r="L16" t="str">
        <f t="shared" si="5"/>
        <v>基金整体|期末出租率（%）|季度</v>
      </c>
      <c r="M16">
        <f>IF($A16="",0,IF(COUNTIF($L$2:$L16,$L16)=1,1,0))</f>
        <v>0</v>
      </c>
      <c r="N16">
        <f t="shared" si="6"/>
        <v>20243</v>
      </c>
      <c r="O16" t="str">
        <f t="shared" si="7"/>
        <v>华夏华润消费封闭式基础设施证券投资基金|2024Q3|季度</v>
      </c>
      <c r="P16">
        <f>IF($A16="",0,IF(COUNTIF($O$2:$O16,$O16)=1,1,0))</f>
        <v>0</v>
      </c>
      <c r="Q16" t="str">
        <f>IF(AND($P16=1,$A16=经营数据!$B$3,$J16=经营数据!$BA$5),COUNTIFS($P$2:$P$3000,1,$A$2:$A$3000,$A16,$J$2:$J$3000,$J16,$N$2:$N$3000,"&lt;"&amp;$N16)+1,"")</f>
        <v/>
      </c>
      <c r="R16" t="str">
        <f t="shared" si="8"/>
        <v>华夏华润消费封闭式基础设施证券投资基金|基金整体</v>
      </c>
      <c r="S16">
        <f>IF($A16="",0,IF(COUNTIF($R$2:$R16,$R16)=1,1,0))</f>
        <v>0</v>
      </c>
      <c r="T16">
        <f t="shared" si="9"/>
        <v>1</v>
      </c>
      <c r="U16">
        <f>IF($A16="","",IF($A16=经营数据!$B$3,COUNTIFS($S$2:$S$3000,1,$A$2:$A$3000,$A16,$T$2:$T$3000,"&lt;"&amp;$T16)+1,""))</f>
        <v>1</v>
      </c>
      <c r="V16" t="str">
        <f t="shared" si="10"/>
        <v>基金整体|服务效率</v>
      </c>
      <c r="W16">
        <f t="shared" si="11"/>
        <v>2</v>
      </c>
      <c r="X16" t="str">
        <f t="shared" si="12"/>
        <v>基金整体|期末出租率</v>
      </c>
      <c r="Y16">
        <f t="shared" si="13"/>
        <v>5</v>
      </c>
      <c r="Z16">
        <f>IF($A16="",0,IF(AND($M16=1,$A16=经营数据!$B$3,$J16=经营数据!$BA$5,OR($I16=经营数据!$BA$4,COUNTIF(经营数据!$AA$9:$AA$38,$I16)&gt;0)),1,0))</f>
        <v>0</v>
      </c>
      <c r="AA16" t="str">
        <f t="shared" si="14"/>
        <v/>
      </c>
      <c r="AB16" t="str">
        <f t="shared" si="15"/>
        <v/>
      </c>
      <c r="AC16">
        <f>IF($A16="",0,IF(COUNTIF($A$2:$A16,$A16)=1,1,0))</f>
        <v>0</v>
      </c>
      <c r="AD16">
        <f t="shared" si="16"/>
        <v>1</v>
      </c>
      <c r="AE16" t="str">
        <f t="shared" si="17"/>
        <v>基金整体|期末出租率（%）</v>
      </c>
      <c r="AH16" t="str">
        <f t="shared" si="0"/>
        <v>中信建投首农食品集团封闭式商业不动产证券投资基金</v>
      </c>
      <c r="AI16" t="str">
        <f t="shared" si="1"/>
        <v/>
      </c>
      <c r="AJ16" t="str">
        <f t="shared" si="2"/>
        <v/>
      </c>
      <c r="BA16" t="s">
        <v>5181</v>
      </c>
      <c r="BB16" t="s">
        <v>5182</v>
      </c>
      <c r="BI16" t="s">
        <v>5183</v>
      </c>
      <c r="BJ16" s="29">
        <v>4.6100000000000002E-2</v>
      </c>
      <c r="BK16" s="29">
        <v>4.6899999999999997E-2</v>
      </c>
      <c r="BL16" s="29"/>
      <c r="BM16" s="29"/>
      <c r="BN16" s="29"/>
      <c r="BO16" s="29"/>
      <c r="BP16" s="47">
        <v>45383</v>
      </c>
      <c r="BQ16" s="29">
        <v>5.6071588549238383E-2</v>
      </c>
      <c r="BT16" t="s">
        <v>78</v>
      </c>
      <c r="BU16" t="s">
        <v>194</v>
      </c>
      <c r="BV16" t="s">
        <v>458</v>
      </c>
      <c r="BW16" t="s">
        <v>78</v>
      </c>
      <c r="BX16" t="s">
        <v>133</v>
      </c>
      <c r="BY16">
        <v>27.03</v>
      </c>
      <c r="BZ16">
        <f>IF($BT16=数据概览!$C$92,COUNTIFS($BT$3:$BT16,数据概览!$C$92),"")</f>
        <v>5</v>
      </c>
      <c r="CA16">
        <f>IF(AND($BT16=数据概览!$C$92,COUNTIFS($BT$3:$BT16,数据概览!$C$92,$BU$3:$BU16,$BU16)=1),1,0)</f>
        <v>1</v>
      </c>
      <c r="CB16">
        <v>28.47</v>
      </c>
      <c r="CC16" t="s">
        <v>480</v>
      </c>
      <c r="CD16">
        <v>1</v>
      </c>
      <c r="CE16">
        <v>1</v>
      </c>
    </row>
    <row r="17" spans="1:83" x14ac:dyDescent="0.4">
      <c r="A17" t="str">
        <f>IF(原始经营数据!$D18="","",原始经营数据!$D18)</f>
        <v>华夏华润消费封闭式基础设施证券投资基金</v>
      </c>
      <c r="B17" t="str">
        <f>IF(原始经营数据!$D18="","",T(原始经营数据!$E18))</f>
        <v>基金整体</v>
      </c>
      <c r="C17" t="str">
        <f>IF(原始经营数据!$D18="","",原始经营数据!$F18)</f>
        <v>2024Q3</v>
      </c>
      <c r="D17" t="str">
        <f>IF(原始经营数据!$D18="","",原始经营数据!$H18)</f>
        <v>期末加权平均剩余租期</v>
      </c>
      <c r="E17">
        <f>IF(原始经营数据!$D18="","",原始经营数据!$I18)</f>
        <v>1.79</v>
      </c>
      <c r="F17" t="str">
        <f>IF(原始经营数据!$D18="","",T(原始经营数据!$J18))</f>
        <v>年</v>
      </c>
      <c r="G17" t="str">
        <f>IF(原始经营数据!$D18="","",T(原始经营数据!$K18))</f>
        <v/>
      </c>
      <c r="H17" t="str">
        <f>IF(原始经营数据!$D18="","",原始经营数据!$G18)</f>
        <v>服务量</v>
      </c>
      <c r="I17" t="str">
        <f>IF($A17="","",IF($B17&lt;&gt;"",$B17,IF(COUNTIFS(原始经营数据!$D$3:$D$3001,$A17,原始经营数据!$E$3:$E$3001,"",原始经营数据!$F$3:$F$3001,$C17,原始经营数据!$H$3:$H$3001,$D17,原始经营数据!$K$3:$K$3001,$G17)&gt;1,"基金整体·来源"&amp;原始经营数据!$A18,"基金整体")))</f>
        <v>基金整体</v>
      </c>
      <c r="J17" t="str">
        <f t="shared" si="3"/>
        <v>季度</v>
      </c>
      <c r="K17" t="str">
        <f t="shared" si="4"/>
        <v>期末加权平均剩余租期（年）</v>
      </c>
      <c r="L17" t="str">
        <f t="shared" si="5"/>
        <v>基金整体|期末加权平均剩余租期（年）|季度</v>
      </c>
      <c r="M17">
        <f>IF($A17="",0,IF(COUNTIF($L$2:$L17,$L17)=1,1,0))</f>
        <v>0</v>
      </c>
      <c r="N17">
        <f t="shared" si="6"/>
        <v>20243</v>
      </c>
      <c r="O17" t="str">
        <f t="shared" si="7"/>
        <v>华夏华润消费封闭式基础设施证券投资基金|2024Q3|季度</v>
      </c>
      <c r="P17">
        <f>IF($A17="",0,IF(COUNTIF($O$2:$O17,$O17)=1,1,0))</f>
        <v>0</v>
      </c>
      <c r="Q17" t="str">
        <f>IF(AND($P17=1,$A17=经营数据!$B$3,$J17=经营数据!$BA$5),COUNTIFS($P$2:$P$3000,1,$A$2:$A$3000,$A17,$J$2:$J$3000,$J17,$N$2:$N$3000,"&lt;"&amp;$N17)+1,"")</f>
        <v/>
      </c>
      <c r="R17" t="str">
        <f t="shared" si="8"/>
        <v>华夏华润消费封闭式基础设施证券投资基金|基金整体</v>
      </c>
      <c r="S17">
        <f>IF($A17="",0,IF(COUNTIF($R$2:$R17,$R17)=1,1,0))</f>
        <v>0</v>
      </c>
      <c r="T17">
        <f t="shared" si="9"/>
        <v>1</v>
      </c>
      <c r="U17">
        <f>IF($A17="","",IF($A17=经营数据!$B$3,COUNTIFS($S$2:$S$3000,1,$A$2:$A$3000,$A17,$T$2:$T$3000,"&lt;"&amp;$T17)+1,""))</f>
        <v>1</v>
      </c>
      <c r="V17" t="str">
        <f t="shared" si="10"/>
        <v>基金整体|服务量</v>
      </c>
      <c r="W17">
        <f t="shared" si="11"/>
        <v>1</v>
      </c>
      <c r="X17" t="str">
        <f t="shared" si="12"/>
        <v>基金整体|期末加权平均剩余租期</v>
      </c>
      <c r="Y17">
        <f t="shared" si="13"/>
        <v>1</v>
      </c>
      <c r="Z17">
        <f>IF($A17="",0,IF(AND($M17=1,$A17=经营数据!$B$3,$J17=经营数据!$BA$5,OR($I17=经营数据!$BA$4,COUNTIF(经营数据!$AA$9:$AA$38,$I17)&gt;0)),1,0))</f>
        <v>0</v>
      </c>
      <c r="AA17" t="str">
        <f t="shared" si="14"/>
        <v/>
      </c>
      <c r="AB17" t="str">
        <f t="shared" si="15"/>
        <v/>
      </c>
      <c r="AC17">
        <f>IF($A17="",0,IF(COUNTIF($A$2:$A17,$A17)=1,1,0))</f>
        <v>0</v>
      </c>
      <c r="AD17">
        <f t="shared" si="16"/>
        <v>1</v>
      </c>
      <c r="AE17" t="str">
        <f t="shared" si="17"/>
        <v>基金整体|期末加权平均剩余租期（年）</v>
      </c>
      <c r="AH17" t="str">
        <f t="shared" si="0"/>
        <v>创金合信北京国资封闭式商业不动产证券投资基金</v>
      </c>
      <c r="AI17" t="str">
        <f t="shared" si="1"/>
        <v/>
      </c>
      <c r="AJ17" t="str">
        <f t="shared" si="2"/>
        <v/>
      </c>
      <c r="BA17" t="s">
        <v>5184</v>
      </c>
      <c r="BB17" t="s">
        <v>5185</v>
      </c>
      <c r="BI17" t="s">
        <v>5186</v>
      </c>
      <c r="BJ17" s="29">
        <v>4.5699999999999998E-2</v>
      </c>
      <c r="BK17" s="29">
        <v>4.6399999999999997E-2</v>
      </c>
      <c r="BL17" s="29"/>
      <c r="BM17" s="29"/>
      <c r="BN17" s="29"/>
      <c r="BO17" s="29"/>
      <c r="BP17" s="47">
        <v>45384</v>
      </c>
      <c r="BQ17" s="29">
        <v>5.5917549279728508E-2</v>
      </c>
      <c r="BT17" t="s">
        <v>78</v>
      </c>
      <c r="BU17" t="s">
        <v>198</v>
      </c>
      <c r="BV17" t="s">
        <v>463</v>
      </c>
      <c r="BW17" t="s">
        <v>78</v>
      </c>
      <c r="BX17" t="s">
        <v>191</v>
      </c>
      <c r="BY17">
        <v>14.64</v>
      </c>
      <c r="BZ17">
        <f>IF($BT17=数据概览!$C$92,COUNTIFS($BT$3:$BT17,数据概览!$C$92),"")</f>
        <v>6</v>
      </c>
      <c r="CA17">
        <f>IF(AND($BT17=数据概览!$C$92,COUNTIFS($BT$3:$BT17,数据概览!$C$92,$BU$3:$BU17,$BU17)=1),1,0)</f>
        <v>1</v>
      </c>
      <c r="CB17">
        <v>38.64</v>
      </c>
      <c r="CC17" t="s">
        <v>536</v>
      </c>
      <c r="CD17">
        <v>1</v>
      </c>
      <c r="CE17">
        <v>1</v>
      </c>
    </row>
    <row r="18" spans="1:83" x14ac:dyDescent="0.4">
      <c r="A18" t="str">
        <f>IF(原始经营数据!$D19="","",原始经营数据!$D19)</f>
        <v>华夏华润消费封闭式基础设施证券投资基金</v>
      </c>
      <c r="B18" t="str">
        <f>IF(原始经营数据!$D19="","",T(原始经营数据!$E19))</f>
        <v>基金整体</v>
      </c>
      <c r="C18" t="str">
        <f>IF(原始经营数据!$D19="","",原始经营数据!$F19)</f>
        <v>2024Q3</v>
      </c>
      <c r="D18" t="str">
        <f>IF(原始经营数据!$D19="","",原始经营数据!$H19)</f>
        <v>本期租金单价水平</v>
      </c>
      <c r="E18">
        <f>IF(原始经营数据!$D19="","",原始经营数据!$I19)</f>
        <v>412.61</v>
      </c>
      <c r="F18" t="str">
        <f>IF(原始经营数据!$D19="","",T(原始经营数据!$J19))</f>
        <v>元/平方米/月</v>
      </c>
      <c r="G18" t="str">
        <f>IF(原始经营数据!$D19="","",T(原始经营数据!$K19))</f>
        <v/>
      </c>
      <c r="H18" t="str">
        <f>IF(原始经营数据!$D19="","",原始经营数据!$G19)</f>
        <v>服务价格</v>
      </c>
      <c r="I18" t="str">
        <f>IF($A18="","",IF($B18&lt;&gt;"",$B18,IF(COUNTIFS(原始经营数据!$D$3:$D$3001,$A18,原始经营数据!$E$3:$E$3001,"",原始经营数据!$F$3:$F$3001,$C18,原始经营数据!$H$3:$H$3001,$D18,原始经营数据!$K$3:$K$3001,$G18)&gt;1,"基金整体·来源"&amp;原始经营数据!$A19,"基金整体")))</f>
        <v>基金整体</v>
      </c>
      <c r="J18" t="str">
        <f t="shared" si="3"/>
        <v>季度</v>
      </c>
      <c r="K18" t="str">
        <f t="shared" si="4"/>
        <v>本期租金单价水平（元/平方米/月）</v>
      </c>
      <c r="L18" t="str">
        <f t="shared" si="5"/>
        <v>基金整体|本期租金单价水平（元/平方米/月）|季度</v>
      </c>
      <c r="M18">
        <f>IF($A18="",0,IF(COUNTIF($L$2:$L18,$L18)=1,1,0))</f>
        <v>0</v>
      </c>
      <c r="N18">
        <f t="shared" si="6"/>
        <v>20243</v>
      </c>
      <c r="O18" t="str">
        <f t="shared" si="7"/>
        <v>华夏华润消费封闭式基础设施证券投资基金|2024Q3|季度</v>
      </c>
      <c r="P18">
        <f>IF($A18="",0,IF(COUNTIF($O$2:$O18,$O18)=1,1,0))</f>
        <v>0</v>
      </c>
      <c r="Q18" t="str">
        <f>IF(AND($P18=1,$A18=经营数据!$B$3,$J18=经营数据!$BA$5),COUNTIFS($P$2:$P$3000,1,$A$2:$A$3000,$A18,$J$2:$J$3000,$J18,$N$2:$N$3000,"&lt;"&amp;$N18)+1,"")</f>
        <v/>
      </c>
      <c r="R18" t="str">
        <f t="shared" si="8"/>
        <v>华夏华润消费封闭式基础设施证券投资基金|基金整体</v>
      </c>
      <c r="S18">
        <f>IF($A18="",0,IF(COUNTIF($R$2:$R18,$R18)=1,1,0))</f>
        <v>0</v>
      </c>
      <c r="T18">
        <f t="shared" si="9"/>
        <v>1</v>
      </c>
      <c r="U18">
        <f>IF($A18="","",IF($A18=经营数据!$B$3,COUNTIFS($S$2:$S$3000,1,$A$2:$A$3000,$A18,$T$2:$T$3000,"&lt;"&amp;$T18)+1,""))</f>
        <v>1</v>
      </c>
      <c r="V18" t="str">
        <f t="shared" si="10"/>
        <v>基金整体|服务价格</v>
      </c>
      <c r="W18">
        <f t="shared" si="11"/>
        <v>10</v>
      </c>
      <c r="X18" t="str">
        <f t="shared" si="12"/>
        <v>基金整体|本期租金单价水平</v>
      </c>
      <c r="Y18">
        <f t="shared" si="13"/>
        <v>10</v>
      </c>
      <c r="Z18">
        <f>IF($A18="",0,IF(AND($M18=1,$A18=经营数据!$B$3,$J18=经营数据!$BA$5,OR($I18=经营数据!$BA$4,COUNTIF(经营数据!$AA$9:$AA$38,$I18)&gt;0)),1,0))</f>
        <v>0</v>
      </c>
      <c r="AA18" t="str">
        <f t="shared" si="14"/>
        <v/>
      </c>
      <c r="AB18" t="str">
        <f t="shared" si="15"/>
        <v/>
      </c>
      <c r="AC18">
        <f>IF($A18="",0,IF(COUNTIF($A$2:$A18,$A18)=1,1,0))</f>
        <v>0</v>
      </c>
      <c r="AD18">
        <f t="shared" si="16"/>
        <v>1</v>
      </c>
      <c r="AE18" t="str">
        <f t="shared" si="17"/>
        <v>基金整体|本期租金单价水平（元/平方米/月）</v>
      </c>
      <c r="AH18" t="str">
        <f t="shared" si="0"/>
        <v>华安锦江封闭式商业不动产证券投资基金</v>
      </c>
      <c r="AI18" t="str">
        <f t="shared" si="1"/>
        <v/>
      </c>
      <c r="AJ18" t="str">
        <f t="shared" si="2"/>
        <v/>
      </c>
      <c r="BA18" t="s">
        <v>5187</v>
      </c>
      <c r="BB18" t="s">
        <v>5188</v>
      </c>
      <c r="BI18" t="s">
        <v>5189</v>
      </c>
      <c r="BJ18" s="29">
        <v>5.2299999999999999E-2</v>
      </c>
      <c r="BK18" s="29">
        <v>5.4800000000000001E-2</v>
      </c>
      <c r="BL18" s="29"/>
      <c r="BM18" s="29"/>
      <c r="BN18" s="29"/>
      <c r="BO18" s="29"/>
      <c r="BP18" s="47">
        <v>45385</v>
      </c>
      <c r="BQ18" s="29">
        <v>5.5787472526371548E-2</v>
      </c>
      <c r="BT18" t="s">
        <v>78</v>
      </c>
      <c r="BU18" t="s">
        <v>198</v>
      </c>
      <c r="BV18" t="s">
        <v>471</v>
      </c>
      <c r="BW18" t="s">
        <v>78</v>
      </c>
      <c r="BX18" t="s">
        <v>249</v>
      </c>
      <c r="BY18">
        <v>11.05</v>
      </c>
      <c r="BZ18">
        <f>IF($BT18=数据概览!$C$92,COUNTIFS($BT$3:$BT18,数据概览!$C$92),"")</f>
        <v>7</v>
      </c>
      <c r="CA18">
        <f>IF(AND($BT18=数据概览!$C$92,COUNTIFS($BT$3:$BT18,数据概览!$C$92,$BU$3:$BU18,$BU18)=1),1,0)</f>
        <v>0</v>
      </c>
      <c r="CB18">
        <v>26.36</v>
      </c>
      <c r="CC18" t="s">
        <v>451</v>
      </c>
      <c r="CD18">
        <v>1</v>
      </c>
      <c r="CE18">
        <v>1</v>
      </c>
    </row>
    <row r="19" spans="1:83" x14ac:dyDescent="0.4">
      <c r="A19" t="str">
        <f>IF(原始经营数据!$D20="","",原始经营数据!$D20)</f>
        <v>华夏华润消费封闭式基础设施证券投资基金</v>
      </c>
      <c r="B19" t="str">
        <f>IF(原始经营数据!$D20="","",T(原始经营数据!$E20))</f>
        <v>基金整体</v>
      </c>
      <c r="C19" t="str">
        <f>IF(原始经营数据!$D20="","",原始经营数据!$F20)</f>
        <v>2025Q1</v>
      </c>
      <c r="D19" t="str">
        <f>IF(原始经营数据!$D20="","",原始经营数据!$H20)</f>
        <v>期末可供出租面积</v>
      </c>
      <c r="E19">
        <f>IF(原始经营数据!$D20="","",原始经营数据!$I20)</f>
        <v>134150.5</v>
      </c>
      <c r="F19" t="str">
        <f>IF(原始经营数据!$D20="","",T(原始经营数据!$J20))</f>
        <v>平方米</v>
      </c>
      <c r="G19" t="str">
        <f>IF(原始经营数据!$D20="","",T(原始经营数据!$K20))</f>
        <v/>
      </c>
      <c r="H19" t="str">
        <f>IF(原始经营数据!$D20="","",原始经营数据!$G20)</f>
        <v>服务量</v>
      </c>
      <c r="I19" t="str">
        <f>IF($A19="","",IF($B19&lt;&gt;"",$B19,IF(COUNTIFS(原始经营数据!$D$3:$D$3001,$A19,原始经营数据!$E$3:$E$3001,"",原始经营数据!$F$3:$F$3001,$C19,原始经营数据!$H$3:$H$3001,$D19,原始经营数据!$K$3:$K$3001,$G19)&gt;1,"基金整体·来源"&amp;原始经营数据!$A20,"基金整体")))</f>
        <v>基金整体</v>
      </c>
      <c r="J19" t="str">
        <f t="shared" si="3"/>
        <v>季度</v>
      </c>
      <c r="K19" t="str">
        <f t="shared" si="4"/>
        <v>期末可供出租面积（平方米）</v>
      </c>
      <c r="L19" t="str">
        <f t="shared" si="5"/>
        <v>基金整体|期末可供出租面积（平方米）|季度</v>
      </c>
      <c r="M19">
        <f>IF($A19="",0,IF(COUNTIF($L$2:$L19,$L19)=1,1,0))</f>
        <v>0</v>
      </c>
      <c r="N19">
        <f t="shared" si="6"/>
        <v>20251</v>
      </c>
      <c r="O19" t="str">
        <f t="shared" si="7"/>
        <v>华夏华润消费封闭式基础设施证券投资基金|2025Q1|季度</v>
      </c>
      <c r="P19">
        <f>IF($A19="",0,IF(COUNTIF($O$2:$O19,$O19)=1,1,0))</f>
        <v>1</v>
      </c>
      <c r="Q19">
        <f>IF(AND($P19=1,$A19=经营数据!$B$3,$J19=经营数据!$BA$5),COUNTIFS($P$2:$P$3000,1,$A$2:$A$3000,$A19,$J$2:$J$3000,$J19,$N$2:$N$3000,"&lt;"&amp;$N19)+1,"")</f>
        <v>5</v>
      </c>
      <c r="R19" t="str">
        <f t="shared" si="8"/>
        <v>华夏华润消费封闭式基础设施证券投资基金|基金整体</v>
      </c>
      <c r="S19">
        <f>IF($A19="",0,IF(COUNTIF($R$2:$R19,$R19)=1,1,0))</f>
        <v>0</v>
      </c>
      <c r="T19">
        <f t="shared" si="9"/>
        <v>1</v>
      </c>
      <c r="U19">
        <f>IF($A19="","",IF($A19=经营数据!$B$3,COUNTIFS($S$2:$S$3000,1,$A$2:$A$3000,$A19,$T$2:$T$3000,"&lt;"&amp;$T19)+1,""))</f>
        <v>1</v>
      </c>
      <c r="V19" t="str">
        <f t="shared" si="10"/>
        <v>基金整体|服务量</v>
      </c>
      <c r="W19">
        <f t="shared" si="11"/>
        <v>1</v>
      </c>
      <c r="X19" t="str">
        <f t="shared" si="12"/>
        <v>基金整体|期末可供出租面积</v>
      </c>
      <c r="Y19">
        <f t="shared" si="13"/>
        <v>3</v>
      </c>
      <c r="Z19">
        <f>IF($A19="",0,IF(AND($M19=1,$A19=经营数据!$B$3,$J19=经营数据!$BA$5,OR($I19=经营数据!$BA$4,COUNTIF(经营数据!$AA$9:$AA$38,$I19)&gt;0)),1,0))</f>
        <v>0</v>
      </c>
      <c r="AA19" t="str">
        <f t="shared" si="14"/>
        <v/>
      </c>
      <c r="AB19" t="str">
        <f t="shared" si="15"/>
        <v/>
      </c>
      <c r="AC19">
        <f>IF($A19="",0,IF(COUNTIF($A$2:$A19,$A19)=1,1,0))</f>
        <v>0</v>
      </c>
      <c r="AD19">
        <f t="shared" si="16"/>
        <v>1</v>
      </c>
      <c r="AE19" t="str">
        <f t="shared" si="17"/>
        <v>基金整体|期末可供出租面积（平方米）</v>
      </c>
      <c r="AH19" t="str">
        <f t="shared" si="0"/>
        <v>华夏保利发展封闭式商业不动产证券投资基金</v>
      </c>
      <c r="AI19" t="str">
        <f t="shared" si="1"/>
        <v/>
      </c>
      <c r="AJ19" t="str">
        <f t="shared" si="2"/>
        <v/>
      </c>
      <c r="BA19" t="s">
        <v>5190</v>
      </c>
      <c r="BB19" t="s">
        <v>5191</v>
      </c>
      <c r="BI19" t="s">
        <v>5192</v>
      </c>
      <c r="BJ19" s="29">
        <v>5.9799999999999999E-2</v>
      </c>
      <c r="BK19" s="29">
        <v>6.0699999999999997E-2</v>
      </c>
      <c r="BL19" s="29"/>
      <c r="BM19" s="29"/>
      <c r="BN19" s="29"/>
      <c r="BO19" s="29"/>
      <c r="BP19" s="47">
        <v>45390</v>
      </c>
      <c r="BQ19" s="29">
        <v>5.5619657906036873E-2</v>
      </c>
      <c r="BT19" t="s">
        <v>78</v>
      </c>
      <c r="BU19" t="s">
        <v>236</v>
      </c>
      <c r="BV19" t="s">
        <v>670</v>
      </c>
      <c r="BW19" t="s">
        <v>78</v>
      </c>
      <c r="BX19" t="s">
        <v>143</v>
      </c>
      <c r="BY19">
        <v>3.6</v>
      </c>
      <c r="BZ19">
        <f>IF($BT19=数据概览!$C$92,COUNTIFS($BT$3:$BT19,数据概览!$C$92),"")</f>
        <v>8</v>
      </c>
      <c r="CA19">
        <f>IF(AND($BT19=数据概览!$C$92,COUNTIFS($BT$3:$BT19,数据概览!$C$92,$BU$3:$BU19,$BU19)=1),1,0)</f>
        <v>1</v>
      </c>
      <c r="CB19">
        <v>31.01</v>
      </c>
      <c r="CC19" t="s">
        <v>438</v>
      </c>
      <c r="CD19">
        <v>1</v>
      </c>
      <c r="CE19">
        <v>1</v>
      </c>
    </row>
    <row r="20" spans="1:83" x14ac:dyDescent="0.4">
      <c r="A20" t="str">
        <f>IF(原始经营数据!$D21="","",原始经营数据!$D21)</f>
        <v>华夏华润消费封闭式基础设施证券投资基金</v>
      </c>
      <c r="B20" t="str">
        <f>IF(原始经营数据!$D21="","",T(原始经营数据!$E21))</f>
        <v>基金整体</v>
      </c>
      <c r="C20" t="str">
        <f>IF(原始经营数据!$D21="","",原始经营数据!$F21)</f>
        <v>2025Q1</v>
      </c>
      <c r="D20" t="str">
        <f>IF(原始经营数据!$D21="","",原始经营数据!$H21)</f>
        <v>期末实际出租面积</v>
      </c>
      <c r="E20">
        <f>IF(原始经营数据!$D21="","",原始经营数据!$I21)</f>
        <v>132949.5</v>
      </c>
      <c r="F20" t="str">
        <f>IF(原始经营数据!$D21="","",T(原始经营数据!$J21))</f>
        <v>平方米</v>
      </c>
      <c r="G20" t="str">
        <f>IF(原始经营数据!$D21="","",T(原始经营数据!$K21))</f>
        <v/>
      </c>
      <c r="H20" t="str">
        <f>IF(原始经营数据!$D21="","",原始经营数据!$G21)</f>
        <v>服务量</v>
      </c>
      <c r="I20" t="str">
        <f>IF($A20="","",IF($B20&lt;&gt;"",$B20,IF(COUNTIFS(原始经营数据!$D$3:$D$3001,$A20,原始经营数据!$E$3:$E$3001,"",原始经营数据!$F$3:$F$3001,$C20,原始经营数据!$H$3:$H$3001,$D20,原始经营数据!$K$3:$K$3001,$G20)&gt;1,"基金整体·来源"&amp;原始经营数据!$A21,"基金整体")))</f>
        <v>基金整体</v>
      </c>
      <c r="J20" t="str">
        <f t="shared" si="3"/>
        <v>季度</v>
      </c>
      <c r="K20" t="str">
        <f t="shared" si="4"/>
        <v>期末实际出租面积（平方米）</v>
      </c>
      <c r="L20" t="str">
        <f t="shared" si="5"/>
        <v>基金整体|期末实际出租面积（平方米）|季度</v>
      </c>
      <c r="M20">
        <f>IF($A20="",0,IF(COUNTIF($L$2:$L20,$L20)=1,1,0))</f>
        <v>0</v>
      </c>
      <c r="N20">
        <f t="shared" si="6"/>
        <v>20251</v>
      </c>
      <c r="O20" t="str">
        <f t="shared" si="7"/>
        <v>华夏华润消费封闭式基础设施证券投资基金|2025Q1|季度</v>
      </c>
      <c r="P20">
        <f>IF($A20="",0,IF(COUNTIF($O$2:$O20,$O20)=1,1,0))</f>
        <v>0</v>
      </c>
      <c r="Q20" t="str">
        <f>IF(AND($P20=1,$A20=经营数据!$B$3,$J20=经营数据!$BA$5),COUNTIFS($P$2:$P$3000,1,$A$2:$A$3000,$A20,$J$2:$J$3000,$J20,$N$2:$N$3000,"&lt;"&amp;$N20)+1,"")</f>
        <v/>
      </c>
      <c r="R20" t="str">
        <f t="shared" si="8"/>
        <v>华夏华润消费封闭式基础设施证券投资基金|基金整体</v>
      </c>
      <c r="S20">
        <f>IF($A20="",0,IF(COUNTIF($R$2:$R20,$R20)=1,1,0))</f>
        <v>0</v>
      </c>
      <c r="T20">
        <f t="shared" si="9"/>
        <v>1</v>
      </c>
      <c r="U20">
        <f>IF($A20="","",IF($A20=经营数据!$B$3,COUNTIFS($S$2:$S$3000,1,$A$2:$A$3000,$A20,$T$2:$T$3000,"&lt;"&amp;$T20)+1,""))</f>
        <v>1</v>
      </c>
      <c r="V20" t="str">
        <f t="shared" si="10"/>
        <v>基金整体|服务量</v>
      </c>
      <c r="W20">
        <f t="shared" si="11"/>
        <v>1</v>
      </c>
      <c r="X20" t="str">
        <f t="shared" si="12"/>
        <v>基金整体|期末实际出租面积</v>
      </c>
      <c r="Y20">
        <f t="shared" si="13"/>
        <v>4</v>
      </c>
      <c r="Z20">
        <f>IF($A20="",0,IF(AND($M20=1,$A20=经营数据!$B$3,$J20=经营数据!$BA$5,OR($I20=经营数据!$BA$4,COUNTIF(经营数据!$AA$9:$AA$38,$I20)&gt;0)),1,0))</f>
        <v>0</v>
      </c>
      <c r="AA20" t="str">
        <f t="shared" si="14"/>
        <v/>
      </c>
      <c r="AB20" t="str">
        <f t="shared" si="15"/>
        <v/>
      </c>
      <c r="AC20">
        <f>IF($A20="",0,IF(COUNTIF($A$2:$A20,$A20)=1,1,0))</f>
        <v>0</v>
      </c>
      <c r="AD20">
        <f t="shared" si="16"/>
        <v>1</v>
      </c>
      <c r="AE20" t="str">
        <f t="shared" si="17"/>
        <v>基金整体|期末实际出租面积（平方米）</v>
      </c>
      <c r="AH20" t="str">
        <f t="shared" si="0"/>
        <v>华夏凯德封闭式商业不动产证券投资基金</v>
      </c>
      <c r="AI20" t="str">
        <f t="shared" si="1"/>
        <v/>
      </c>
      <c r="AJ20" t="str">
        <f t="shared" si="2"/>
        <v/>
      </c>
      <c r="BA20" t="s">
        <v>5193</v>
      </c>
      <c r="BB20" t="s">
        <v>5194</v>
      </c>
      <c r="BI20" t="s">
        <v>5195</v>
      </c>
      <c r="BJ20" s="29">
        <v>4.9500000000000002E-2</v>
      </c>
      <c r="BK20" s="29">
        <v>5.04E-2</v>
      </c>
      <c r="BL20" s="29"/>
      <c r="BM20" s="29"/>
      <c r="BN20" s="29"/>
      <c r="BO20" s="29"/>
      <c r="BP20" s="47">
        <v>45391</v>
      </c>
      <c r="BQ20" s="29">
        <v>5.5284515603816212E-2</v>
      </c>
      <c r="BT20" t="s">
        <v>78</v>
      </c>
      <c r="BU20" t="s">
        <v>236</v>
      </c>
      <c r="BV20" t="s">
        <v>678</v>
      </c>
      <c r="BW20" t="s">
        <v>78</v>
      </c>
      <c r="BX20" t="s">
        <v>133</v>
      </c>
      <c r="BY20">
        <v>3.96</v>
      </c>
      <c r="BZ20">
        <f>IF($BT20=数据概览!$C$92,COUNTIFS($BT$3:$BT20,数据概览!$C$92),"")</f>
        <v>9</v>
      </c>
      <c r="CA20">
        <f>IF(AND($BT20=数据概览!$C$92,COUNTIFS($BT$3:$BT20,数据概览!$C$92,$BU$3:$BU20,$BU20)=1),1,0)</f>
        <v>0</v>
      </c>
      <c r="CB20">
        <v>31.15</v>
      </c>
    </row>
    <row r="21" spans="1:83" x14ac:dyDescent="0.4">
      <c r="A21" t="str">
        <f>IF(原始经营数据!$D22="","",原始经营数据!$D22)</f>
        <v>华夏华润消费封闭式基础设施证券投资基金</v>
      </c>
      <c r="B21" t="str">
        <f>IF(原始经营数据!$D22="","",T(原始经营数据!$E22))</f>
        <v>基金整体</v>
      </c>
      <c r="C21" t="str">
        <f>IF(原始经营数据!$D22="","",原始经营数据!$F22)</f>
        <v>2025Q1</v>
      </c>
      <c r="D21" t="str">
        <f>IF(原始经营数据!$D22="","",原始经营数据!$H22)</f>
        <v>期末出租率</v>
      </c>
      <c r="E21">
        <f>IF(原始经营数据!$D22="","",原始经营数据!$I22)</f>
        <v>99.1</v>
      </c>
      <c r="F21" t="str">
        <f>IF(原始经营数据!$D22="","",T(原始经营数据!$J22))</f>
        <v>%</v>
      </c>
      <c r="G21" t="str">
        <f>IF(原始经营数据!$D22="","",T(原始经营数据!$K22))</f>
        <v/>
      </c>
      <c r="H21" t="str">
        <f>IF(原始经营数据!$D22="","",原始经营数据!$G22)</f>
        <v>服务效率</v>
      </c>
      <c r="I21" t="str">
        <f>IF($A21="","",IF($B21&lt;&gt;"",$B21,IF(COUNTIFS(原始经营数据!$D$3:$D$3001,$A21,原始经营数据!$E$3:$E$3001,"",原始经营数据!$F$3:$F$3001,$C21,原始经营数据!$H$3:$H$3001,$D21,原始经营数据!$K$3:$K$3001,$G21)&gt;1,"基金整体·来源"&amp;原始经营数据!$A22,"基金整体")))</f>
        <v>基金整体</v>
      </c>
      <c r="J21" t="str">
        <f t="shared" si="3"/>
        <v>季度</v>
      </c>
      <c r="K21" t="str">
        <f t="shared" si="4"/>
        <v>期末出租率（%）</v>
      </c>
      <c r="L21" t="str">
        <f t="shared" si="5"/>
        <v>基金整体|期末出租率（%）|季度</v>
      </c>
      <c r="M21">
        <f>IF($A21="",0,IF(COUNTIF($L$2:$L21,$L21)=1,1,0))</f>
        <v>0</v>
      </c>
      <c r="N21">
        <f t="shared" si="6"/>
        <v>20251</v>
      </c>
      <c r="O21" t="str">
        <f t="shared" si="7"/>
        <v>华夏华润消费封闭式基础设施证券投资基金|2025Q1|季度</v>
      </c>
      <c r="P21">
        <f>IF($A21="",0,IF(COUNTIF($O$2:$O21,$O21)=1,1,0))</f>
        <v>0</v>
      </c>
      <c r="Q21" t="str">
        <f>IF(AND($P21=1,$A21=经营数据!$B$3,$J21=经营数据!$BA$5),COUNTIFS($P$2:$P$3000,1,$A$2:$A$3000,$A21,$J$2:$J$3000,$J21,$N$2:$N$3000,"&lt;"&amp;$N21)+1,"")</f>
        <v/>
      </c>
      <c r="R21" t="str">
        <f t="shared" si="8"/>
        <v>华夏华润消费封闭式基础设施证券投资基金|基金整体</v>
      </c>
      <c r="S21">
        <f>IF($A21="",0,IF(COUNTIF($R$2:$R21,$R21)=1,1,0))</f>
        <v>0</v>
      </c>
      <c r="T21">
        <f t="shared" si="9"/>
        <v>1</v>
      </c>
      <c r="U21">
        <f>IF($A21="","",IF($A21=经营数据!$B$3,COUNTIFS($S$2:$S$3000,1,$A$2:$A$3000,$A21,$T$2:$T$3000,"&lt;"&amp;$T21)+1,""))</f>
        <v>1</v>
      </c>
      <c r="V21" t="str">
        <f t="shared" si="10"/>
        <v>基金整体|服务效率</v>
      </c>
      <c r="W21">
        <f t="shared" si="11"/>
        <v>2</v>
      </c>
      <c r="X21" t="str">
        <f t="shared" si="12"/>
        <v>基金整体|期末出租率</v>
      </c>
      <c r="Y21">
        <f t="shared" si="13"/>
        <v>5</v>
      </c>
      <c r="Z21">
        <f>IF($A21="",0,IF(AND($M21=1,$A21=经营数据!$B$3,$J21=经营数据!$BA$5,OR($I21=经营数据!$BA$4,COUNTIF(经营数据!$AA$9:$AA$38,$I21)&gt;0)),1,0))</f>
        <v>0</v>
      </c>
      <c r="AA21" t="str">
        <f t="shared" si="14"/>
        <v/>
      </c>
      <c r="AB21" t="str">
        <f t="shared" si="15"/>
        <v/>
      </c>
      <c r="AC21">
        <f>IF($A21="",0,IF(COUNTIF($A$2:$A21,$A21)=1,1,0))</f>
        <v>0</v>
      </c>
      <c r="AD21">
        <f t="shared" si="16"/>
        <v>1</v>
      </c>
      <c r="AE21" t="str">
        <f t="shared" si="17"/>
        <v>基金整体|期末出租率（%）</v>
      </c>
      <c r="AH21" t="str">
        <f t="shared" si="0"/>
        <v>华泰紫金华住安住封闭式商业不动产证券投资基金</v>
      </c>
      <c r="AI21" t="str">
        <f t="shared" si="1"/>
        <v/>
      </c>
      <c r="BA21" t="s">
        <v>5196</v>
      </c>
      <c r="BB21" t="s">
        <v>5197</v>
      </c>
      <c r="BI21" t="s">
        <v>5198</v>
      </c>
      <c r="BJ21" s="29">
        <v>4.4299999999999999E-2</v>
      </c>
      <c r="BK21" s="29">
        <v>4.4999999999999998E-2</v>
      </c>
      <c r="BL21" s="29"/>
      <c r="BM21" s="29"/>
      <c r="BN21" s="29"/>
      <c r="BO21" s="29"/>
      <c r="BP21" s="47">
        <v>45392</v>
      </c>
      <c r="BQ21" s="29">
        <v>5.4711340850876387E-2</v>
      </c>
      <c r="BT21" t="s">
        <v>78</v>
      </c>
      <c r="BU21" t="s">
        <v>236</v>
      </c>
      <c r="BV21" t="s">
        <v>682</v>
      </c>
      <c r="BW21" t="s">
        <v>78</v>
      </c>
      <c r="BX21" t="s">
        <v>143</v>
      </c>
      <c r="BY21">
        <v>2.83</v>
      </c>
      <c r="BZ21">
        <f>IF($BT21=数据概览!$C$92,COUNTIFS($BT$3:$BT21,数据概览!$C$92),"")</f>
        <v>10</v>
      </c>
      <c r="CA21">
        <f>IF(AND($BT21=数据概览!$C$92,COUNTIFS($BT$3:$BT21,数据概览!$C$92,$BU$3:$BU21,$BU21)=1),1,0)</f>
        <v>0</v>
      </c>
      <c r="CB21">
        <v>17.89</v>
      </c>
    </row>
    <row r="22" spans="1:83" x14ac:dyDescent="0.4">
      <c r="A22" t="str">
        <f>IF(原始经营数据!$D23="","",原始经营数据!$D23)</f>
        <v>华夏华润消费封闭式基础设施证券投资基金</v>
      </c>
      <c r="B22" t="str">
        <f>IF(原始经营数据!$D23="","",T(原始经营数据!$E23))</f>
        <v>基金整体</v>
      </c>
      <c r="C22" t="str">
        <f>IF(原始经营数据!$D23="","",原始经营数据!$F23)</f>
        <v>2025Q1</v>
      </c>
      <c r="D22" t="str">
        <f>IF(原始经营数据!$D23="","",原始经营数据!$H23)</f>
        <v>期末收缴率</v>
      </c>
      <c r="E22">
        <f>IF(原始经营数据!$D23="","",原始经营数据!$I23)</f>
        <v>100</v>
      </c>
      <c r="F22" t="str">
        <f>IF(原始经营数据!$D23="","",T(原始经营数据!$J23))</f>
        <v>%</v>
      </c>
      <c r="G22" t="str">
        <f>IF(原始经营数据!$D23="","",T(原始经营数据!$K23))</f>
        <v/>
      </c>
      <c r="H22" t="str">
        <f>IF(原始经营数据!$D23="","",原始经营数据!$G23)</f>
        <v>服务效率</v>
      </c>
      <c r="I22" t="str">
        <f>IF($A22="","",IF($B22&lt;&gt;"",$B22,IF(COUNTIFS(原始经营数据!$D$3:$D$3001,$A22,原始经营数据!$E$3:$E$3001,"",原始经营数据!$F$3:$F$3001,$C22,原始经营数据!$H$3:$H$3001,$D22,原始经营数据!$K$3:$K$3001,$G22)&gt;1,"基金整体·来源"&amp;原始经营数据!$A23,"基金整体")))</f>
        <v>基金整体</v>
      </c>
      <c r="J22" t="str">
        <f t="shared" si="3"/>
        <v>季度</v>
      </c>
      <c r="K22" t="str">
        <f t="shared" si="4"/>
        <v>期末收缴率（%）</v>
      </c>
      <c r="L22" t="str">
        <f t="shared" si="5"/>
        <v>基金整体|期末收缴率（%）|季度</v>
      </c>
      <c r="M22">
        <f>IF($A22="",0,IF(COUNTIF($L$2:$L22,$L22)=1,1,0))</f>
        <v>0</v>
      </c>
      <c r="N22">
        <f t="shared" si="6"/>
        <v>20251</v>
      </c>
      <c r="O22" t="str">
        <f t="shared" si="7"/>
        <v>华夏华润消费封闭式基础设施证券投资基金|2025Q1|季度</v>
      </c>
      <c r="P22">
        <f>IF($A22="",0,IF(COUNTIF($O$2:$O22,$O22)=1,1,0))</f>
        <v>0</v>
      </c>
      <c r="Q22" t="str">
        <f>IF(AND($P22=1,$A22=经营数据!$B$3,$J22=经营数据!$BA$5),COUNTIFS($P$2:$P$3000,1,$A$2:$A$3000,$A22,$J$2:$J$3000,$J22,$N$2:$N$3000,"&lt;"&amp;$N22)+1,"")</f>
        <v/>
      </c>
      <c r="R22" t="str">
        <f t="shared" si="8"/>
        <v>华夏华润消费封闭式基础设施证券投资基金|基金整体</v>
      </c>
      <c r="S22">
        <f>IF($A22="",0,IF(COUNTIF($R$2:$R22,$R22)=1,1,0))</f>
        <v>0</v>
      </c>
      <c r="T22">
        <f t="shared" si="9"/>
        <v>1</v>
      </c>
      <c r="U22">
        <f>IF($A22="","",IF($A22=经营数据!$B$3,COUNTIFS($S$2:$S$3000,1,$A$2:$A$3000,$A22,$T$2:$T$3000,"&lt;"&amp;$T22)+1,""))</f>
        <v>1</v>
      </c>
      <c r="V22" t="str">
        <f t="shared" si="10"/>
        <v>基金整体|服务效率</v>
      </c>
      <c r="W22">
        <f t="shared" si="11"/>
        <v>2</v>
      </c>
      <c r="X22" t="str">
        <f t="shared" si="12"/>
        <v>基金整体|期末收缴率</v>
      </c>
      <c r="Y22">
        <f t="shared" si="13"/>
        <v>2</v>
      </c>
      <c r="Z22">
        <f>IF($A22="",0,IF(AND($M22=1,$A22=经营数据!$B$3,$J22=经营数据!$BA$5,OR($I22=经营数据!$BA$4,COUNTIF(经营数据!$AA$9:$AA$38,$I22)&gt;0)),1,0))</f>
        <v>0</v>
      </c>
      <c r="AA22" t="str">
        <f t="shared" si="14"/>
        <v/>
      </c>
      <c r="AB22" t="str">
        <f t="shared" si="15"/>
        <v/>
      </c>
      <c r="AC22">
        <f>IF($A22="",0,IF(COUNTIF($A$2:$A22,$A22)=1,1,0))</f>
        <v>0</v>
      </c>
      <c r="AD22">
        <f t="shared" si="16"/>
        <v>1</v>
      </c>
      <c r="AE22" t="str">
        <f t="shared" si="17"/>
        <v>基金整体|期末收缴率（%）</v>
      </c>
      <c r="AH22" t="str">
        <f t="shared" si="0"/>
        <v>广发新城吾悦封闭式商业不动产证券投资基金</v>
      </c>
      <c r="AI22" t="str">
        <f t="shared" si="1"/>
        <v/>
      </c>
      <c r="BA22" t="s">
        <v>5199</v>
      </c>
      <c r="BB22" t="s">
        <v>5200</v>
      </c>
      <c r="BI22" t="s">
        <v>5201</v>
      </c>
      <c r="BJ22" s="29">
        <v>4.7699999999999999E-2</v>
      </c>
      <c r="BK22" s="29">
        <v>4.8399999999999999E-2</v>
      </c>
      <c r="BL22" s="29"/>
      <c r="BM22" s="29"/>
      <c r="BN22" s="29"/>
      <c r="BO22" s="29"/>
      <c r="BP22" s="47">
        <v>45393</v>
      </c>
      <c r="BQ22" s="29">
        <v>5.441634799941588E-2</v>
      </c>
      <c r="BT22" t="s">
        <v>332</v>
      </c>
      <c r="BU22" t="s">
        <v>158</v>
      </c>
      <c r="BV22" t="s">
        <v>331</v>
      </c>
      <c r="BW22" t="s">
        <v>333</v>
      </c>
      <c r="BX22" t="s">
        <v>133</v>
      </c>
      <c r="BY22">
        <v>32.479999999999997</v>
      </c>
      <c r="BZ22" t="str">
        <f>IF($BT22=数据概览!$C$92,COUNTIFS($BT$3:$BT22,数据概览!$C$92),"")</f>
        <v/>
      </c>
      <c r="CA22">
        <f>IF(AND($BT22=数据概览!$C$92,COUNTIFS($BT$3:$BT22,数据概览!$C$92,$BU$3:$BU22,$BU22)=1),1,0)</f>
        <v>0</v>
      </c>
      <c r="CB22">
        <v>20.9</v>
      </c>
    </row>
    <row r="23" spans="1:83" x14ac:dyDescent="0.4">
      <c r="A23" t="str">
        <f>IF(原始经营数据!$D24="","",原始经营数据!$D24)</f>
        <v>华夏华润消费封闭式基础设施证券投资基金</v>
      </c>
      <c r="B23" t="str">
        <f>IF(原始经营数据!$D24="","",T(原始经营数据!$E24))</f>
        <v>基金整体</v>
      </c>
      <c r="C23" t="str">
        <f>IF(原始经营数据!$D24="","",原始经营数据!$F24)</f>
        <v>2025Q1</v>
      </c>
      <c r="D23" t="str">
        <f>IF(原始经营数据!$D24="","",原始经营数据!$H24)</f>
        <v>期末加权平均剩余租期</v>
      </c>
      <c r="E23">
        <f>IF(原始经营数据!$D24="","",原始经营数据!$I24)</f>
        <v>2.0299999999999998</v>
      </c>
      <c r="F23" t="str">
        <f>IF(原始经营数据!$D24="","",T(原始经营数据!$J24))</f>
        <v>年</v>
      </c>
      <c r="G23" t="str">
        <f>IF(原始经营数据!$D24="","",T(原始经营数据!$K24))</f>
        <v/>
      </c>
      <c r="H23" t="str">
        <f>IF(原始经营数据!$D24="","",原始经营数据!$G24)</f>
        <v>服务量</v>
      </c>
      <c r="I23" t="str">
        <f>IF($A23="","",IF($B23&lt;&gt;"",$B23,IF(COUNTIFS(原始经营数据!$D$3:$D$3001,$A23,原始经营数据!$E$3:$E$3001,"",原始经营数据!$F$3:$F$3001,$C23,原始经营数据!$H$3:$H$3001,$D23,原始经营数据!$K$3:$K$3001,$G23)&gt;1,"基金整体·来源"&amp;原始经营数据!$A24,"基金整体")))</f>
        <v>基金整体</v>
      </c>
      <c r="J23" t="str">
        <f t="shared" si="3"/>
        <v>季度</v>
      </c>
      <c r="K23" t="str">
        <f t="shared" si="4"/>
        <v>期末加权平均剩余租期（年）</v>
      </c>
      <c r="L23" t="str">
        <f t="shared" si="5"/>
        <v>基金整体|期末加权平均剩余租期（年）|季度</v>
      </c>
      <c r="M23">
        <f>IF($A23="",0,IF(COUNTIF($L$2:$L23,$L23)=1,1,0))</f>
        <v>0</v>
      </c>
      <c r="N23">
        <f t="shared" si="6"/>
        <v>20251</v>
      </c>
      <c r="O23" t="str">
        <f t="shared" si="7"/>
        <v>华夏华润消费封闭式基础设施证券投资基金|2025Q1|季度</v>
      </c>
      <c r="P23">
        <f>IF($A23="",0,IF(COUNTIF($O$2:$O23,$O23)=1,1,0))</f>
        <v>0</v>
      </c>
      <c r="Q23" t="str">
        <f>IF(AND($P23=1,$A23=经营数据!$B$3,$J23=经营数据!$BA$5),COUNTIFS($P$2:$P$3000,1,$A$2:$A$3000,$A23,$J$2:$J$3000,$J23,$N$2:$N$3000,"&lt;"&amp;$N23)+1,"")</f>
        <v/>
      </c>
      <c r="R23" t="str">
        <f t="shared" si="8"/>
        <v>华夏华润消费封闭式基础设施证券投资基金|基金整体</v>
      </c>
      <c r="S23">
        <f>IF($A23="",0,IF(COUNTIF($R$2:$R23,$R23)=1,1,0))</f>
        <v>0</v>
      </c>
      <c r="T23">
        <f t="shared" si="9"/>
        <v>1</v>
      </c>
      <c r="U23">
        <f>IF($A23="","",IF($A23=经营数据!$B$3,COUNTIFS($S$2:$S$3000,1,$A$2:$A$3000,$A23,$T$2:$T$3000,"&lt;"&amp;$T23)+1,""))</f>
        <v>1</v>
      </c>
      <c r="V23" t="str">
        <f t="shared" si="10"/>
        <v>基金整体|服务量</v>
      </c>
      <c r="W23">
        <f t="shared" si="11"/>
        <v>1</v>
      </c>
      <c r="X23" t="str">
        <f t="shared" si="12"/>
        <v>基金整体|期末加权平均剩余租期</v>
      </c>
      <c r="Y23">
        <f t="shared" si="13"/>
        <v>1</v>
      </c>
      <c r="Z23">
        <f>IF($A23="",0,IF(AND($M23=1,$A23=经营数据!$B$3,$J23=经营数据!$BA$5,OR($I23=经营数据!$BA$4,COUNTIF(经营数据!$AA$9:$AA$38,$I23)&gt;0)),1,0))</f>
        <v>0</v>
      </c>
      <c r="AA23" t="str">
        <f t="shared" si="14"/>
        <v/>
      </c>
      <c r="AB23" t="str">
        <f t="shared" si="15"/>
        <v/>
      </c>
      <c r="AC23">
        <f>IF($A23="",0,IF(COUNTIF($A$2:$A23,$A23)=1,1,0))</f>
        <v>0</v>
      </c>
      <c r="AD23">
        <f t="shared" si="16"/>
        <v>1</v>
      </c>
      <c r="AE23" t="str">
        <f t="shared" si="17"/>
        <v>基金整体|期末加权平均剩余租期（年）</v>
      </c>
      <c r="AH23" t="str">
        <f t="shared" si="0"/>
        <v>招商资管招商蛇口封闭式商业不动产证券投资基金</v>
      </c>
      <c r="AI23" t="str">
        <f t="shared" si="1"/>
        <v/>
      </c>
      <c r="BA23" t="s">
        <v>5202</v>
      </c>
      <c r="BB23" t="s">
        <v>5203</v>
      </c>
      <c r="BI23" t="s">
        <v>5204</v>
      </c>
      <c r="BJ23" s="29">
        <v>5.3199999999999997E-2</v>
      </c>
      <c r="BK23" s="29">
        <v>0.06</v>
      </c>
      <c r="BL23" s="29"/>
      <c r="BM23" s="29"/>
      <c r="BN23" s="29"/>
      <c r="BO23" s="29"/>
      <c r="BP23" s="47">
        <v>45394</v>
      </c>
      <c r="BQ23" s="29">
        <v>5.4634828396941393E-2</v>
      </c>
      <c r="BT23" t="s">
        <v>332</v>
      </c>
      <c r="BU23" t="s">
        <v>215</v>
      </c>
      <c r="BV23" t="s">
        <v>605</v>
      </c>
      <c r="BW23" t="s">
        <v>606</v>
      </c>
      <c r="BX23" t="s">
        <v>133</v>
      </c>
      <c r="BY23">
        <v>11.48</v>
      </c>
      <c r="BZ23" t="str">
        <f>IF($BT23=数据概览!$C$92,COUNTIFS($BT$3:$BT23,数据概览!$C$92),"")</f>
        <v/>
      </c>
      <c r="CA23">
        <f>IF(AND($BT23=数据概览!$C$92,COUNTIFS($BT$3:$BT23,数据概览!$C$92,$BU$3:$BU23,$BU23)=1),1,0)</f>
        <v>0</v>
      </c>
      <c r="CB23">
        <v>20.72</v>
      </c>
    </row>
    <row r="24" spans="1:83" x14ac:dyDescent="0.4">
      <c r="A24" t="str">
        <f>IF(原始经营数据!$D25="","",原始经营数据!$D25)</f>
        <v>华夏华润消费封闭式基础设施证券投资基金</v>
      </c>
      <c r="B24" t="str">
        <f>IF(原始经营数据!$D25="","",T(原始经营数据!$E25))</f>
        <v>基金整体</v>
      </c>
      <c r="C24" t="str">
        <f>IF(原始经营数据!$D25="","",原始经营数据!$F25)</f>
        <v>2025Q1</v>
      </c>
      <c r="D24" t="str">
        <f>IF(原始经营数据!$D25="","",原始经营数据!$H25)</f>
        <v>本期租金单价水平</v>
      </c>
      <c r="E24">
        <f>IF(原始经营数据!$D25="","",原始经营数据!$I25)</f>
        <v>421.03</v>
      </c>
      <c r="F24" t="str">
        <f>IF(原始经营数据!$D25="","",T(原始经营数据!$J25))</f>
        <v>元/平方米/月</v>
      </c>
      <c r="G24" t="str">
        <f>IF(原始经营数据!$D25="","",T(原始经营数据!$K25))</f>
        <v/>
      </c>
      <c r="H24" t="str">
        <f>IF(原始经营数据!$D25="","",原始经营数据!$G25)</f>
        <v>服务价格</v>
      </c>
      <c r="I24" t="str">
        <f>IF($A24="","",IF($B24&lt;&gt;"",$B24,IF(COUNTIFS(原始经营数据!$D$3:$D$3001,$A24,原始经营数据!$E$3:$E$3001,"",原始经营数据!$F$3:$F$3001,$C24,原始经营数据!$H$3:$H$3001,$D24,原始经营数据!$K$3:$K$3001,$G24)&gt;1,"基金整体·来源"&amp;原始经营数据!$A25,"基金整体")))</f>
        <v>基金整体</v>
      </c>
      <c r="J24" t="str">
        <f t="shared" si="3"/>
        <v>季度</v>
      </c>
      <c r="K24" t="str">
        <f t="shared" si="4"/>
        <v>本期租金单价水平（元/平方米/月）</v>
      </c>
      <c r="L24" t="str">
        <f t="shared" si="5"/>
        <v>基金整体|本期租金单价水平（元/平方米/月）|季度</v>
      </c>
      <c r="M24">
        <f>IF($A24="",0,IF(COUNTIF($L$2:$L24,$L24)=1,1,0))</f>
        <v>0</v>
      </c>
      <c r="N24">
        <f t="shared" si="6"/>
        <v>20251</v>
      </c>
      <c r="O24" t="str">
        <f t="shared" si="7"/>
        <v>华夏华润消费封闭式基础设施证券投资基金|2025Q1|季度</v>
      </c>
      <c r="P24">
        <f>IF($A24="",0,IF(COUNTIF($O$2:$O24,$O24)=1,1,0))</f>
        <v>0</v>
      </c>
      <c r="Q24" t="str">
        <f>IF(AND($P24=1,$A24=经营数据!$B$3,$J24=经营数据!$BA$5),COUNTIFS($P$2:$P$3000,1,$A$2:$A$3000,$A24,$J$2:$J$3000,$J24,$N$2:$N$3000,"&lt;"&amp;$N24)+1,"")</f>
        <v/>
      </c>
      <c r="R24" t="str">
        <f t="shared" si="8"/>
        <v>华夏华润消费封闭式基础设施证券投资基金|基金整体</v>
      </c>
      <c r="S24">
        <f>IF($A24="",0,IF(COUNTIF($R$2:$R24,$R24)=1,1,0))</f>
        <v>0</v>
      </c>
      <c r="T24">
        <f t="shared" si="9"/>
        <v>1</v>
      </c>
      <c r="U24">
        <f>IF($A24="","",IF($A24=经营数据!$B$3,COUNTIFS($S$2:$S$3000,1,$A$2:$A$3000,$A24,$T$2:$T$3000,"&lt;"&amp;$T24)+1,""))</f>
        <v>1</v>
      </c>
      <c r="V24" t="str">
        <f t="shared" si="10"/>
        <v>基金整体|服务价格</v>
      </c>
      <c r="W24">
        <f t="shared" si="11"/>
        <v>10</v>
      </c>
      <c r="X24" t="str">
        <f t="shared" si="12"/>
        <v>基金整体|本期租金单价水平</v>
      </c>
      <c r="Y24">
        <f t="shared" si="13"/>
        <v>10</v>
      </c>
      <c r="Z24">
        <f>IF($A24="",0,IF(AND($M24=1,$A24=经营数据!$B$3,$J24=经营数据!$BA$5,OR($I24=经营数据!$BA$4,COUNTIF(经营数据!$AA$9:$AA$38,$I24)&gt;0)),1,0))</f>
        <v>0</v>
      </c>
      <c r="AA24" t="str">
        <f t="shared" si="14"/>
        <v/>
      </c>
      <c r="AB24" t="str">
        <f t="shared" si="15"/>
        <v/>
      </c>
      <c r="AC24">
        <f>IF($A24="",0,IF(COUNTIF($A$2:$A24,$A24)=1,1,0))</f>
        <v>0</v>
      </c>
      <c r="AD24">
        <f t="shared" si="16"/>
        <v>1</v>
      </c>
      <c r="AE24" t="str">
        <f t="shared" si="17"/>
        <v>基金整体|本期租金单价水平（元/平方米/月）</v>
      </c>
      <c r="AH24" t="str">
        <f t="shared" si="0"/>
        <v>光大保德信光大安石封闭式商业不动产证券投资基金</v>
      </c>
      <c r="AI24" t="str">
        <f t="shared" si="1"/>
        <v/>
      </c>
      <c r="BA24" t="s">
        <v>5205</v>
      </c>
      <c r="BB24" t="s">
        <v>5206</v>
      </c>
      <c r="BI24" t="s">
        <v>5207</v>
      </c>
      <c r="BJ24" s="29">
        <v>4.4900000000000002E-2</v>
      </c>
      <c r="BK24" s="29">
        <v>4.7100000000000003E-2</v>
      </c>
      <c r="BL24" s="29"/>
      <c r="BM24" s="29"/>
      <c r="BN24" s="29"/>
      <c r="BO24" s="29"/>
      <c r="BP24" s="47">
        <v>45397</v>
      </c>
      <c r="BQ24" s="29">
        <v>5.4770723637617577E-2</v>
      </c>
      <c r="BT24" t="s">
        <v>696</v>
      </c>
      <c r="BU24" t="s">
        <v>257</v>
      </c>
      <c r="BV24" t="s">
        <v>695</v>
      </c>
      <c r="BW24" t="s">
        <v>696</v>
      </c>
      <c r="BX24" t="s">
        <v>133</v>
      </c>
      <c r="BY24">
        <v>65.010000000000005</v>
      </c>
      <c r="BZ24" t="str">
        <f>IF($BT24=数据概览!$C$92,COUNTIFS($BT$3:$BT24,数据概览!$C$92),"")</f>
        <v/>
      </c>
      <c r="CA24">
        <f>IF(AND($BT24=数据概览!$C$92,COUNTIFS($BT$3:$BT24,数据概览!$C$92,$BU$3:$BU24,$BU24)=1),1,0)</f>
        <v>0</v>
      </c>
      <c r="CB24">
        <v>39.700000000000003</v>
      </c>
    </row>
    <row r="25" spans="1:83" x14ac:dyDescent="0.4">
      <c r="A25" t="str">
        <f>IF(原始经营数据!$D26="","",原始经营数据!$D26)</f>
        <v>华夏华润消费封闭式基础设施证券投资基金</v>
      </c>
      <c r="B25" t="str">
        <f>IF(原始经营数据!$D26="","",T(原始经营数据!$E26))</f>
        <v>基金整体</v>
      </c>
      <c r="C25" t="str">
        <f>IF(原始经营数据!$D26="","",原始经营数据!$F26)</f>
        <v>2025Q2</v>
      </c>
      <c r="D25" t="str">
        <f>IF(原始经营数据!$D26="","",原始经营数据!$H26)</f>
        <v>期末可供出租面积</v>
      </c>
      <c r="E25">
        <f>IF(原始经营数据!$D26="","",原始经营数据!$I26)</f>
        <v>136990</v>
      </c>
      <c r="F25" t="str">
        <f>IF(原始经营数据!$D26="","",T(原始经营数据!$J26))</f>
        <v>平方米</v>
      </c>
      <c r="G25" t="str">
        <f>IF(原始经营数据!$D26="","",T(原始经营数据!$K26))</f>
        <v/>
      </c>
      <c r="H25" t="str">
        <f>IF(原始经营数据!$D26="","",原始经营数据!$G26)</f>
        <v>服务量</v>
      </c>
      <c r="I25" t="str">
        <f>IF($A25="","",IF($B25&lt;&gt;"",$B25,IF(COUNTIFS(原始经营数据!$D$3:$D$3001,$A25,原始经营数据!$E$3:$E$3001,"",原始经营数据!$F$3:$F$3001,$C25,原始经营数据!$H$3:$H$3001,$D25,原始经营数据!$K$3:$K$3001,$G25)&gt;1,"基金整体·来源"&amp;原始经营数据!$A26,"基金整体")))</f>
        <v>基金整体</v>
      </c>
      <c r="J25" t="str">
        <f t="shared" si="3"/>
        <v>季度</v>
      </c>
      <c r="K25" t="str">
        <f t="shared" si="4"/>
        <v>期末可供出租面积（平方米）</v>
      </c>
      <c r="L25" t="str">
        <f t="shared" si="5"/>
        <v>基金整体|期末可供出租面积（平方米）|季度</v>
      </c>
      <c r="M25">
        <f>IF($A25="",0,IF(COUNTIF($L$2:$L25,$L25)=1,1,0))</f>
        <v>0</v>
      </c>
      <c r="N25">
        <f t="shared" si="6"/>
        <v>20252</v>
      </c>
      <c r="O25" t="str">
        <f t="shared" si="7"/>
        <v>华夏华润消费封闭式基础设施证券投资基金|2025Q2|季度</v>
      </c>
      <c r="P25">
        <f>IF($A25="",0,IF(COUNTIF($O$2:$O25,$O25)=1,1,0))</f>
        <v>1</v>
      </c>
      <c r="Q25">
        <f>IF(AND($P25=1,$A25=经营数据!$B$3,$J25=经营数据!$BA$5),COUNTIFS($P$2:$P$3000,1,$A$2:$A$3000,$A25,$J$2:$J$3000,$J25,$N$2:$N$3000,"&lt;"&amp;$N25)+1,"")</f>
        <v>6</v>
      </c>
      <c r="R25" t="str">
        <f t="shared" si="8"/>
        <v>华夏华润消费封闭式基础设施证券投资基金|基金整体</v>
      </c>
      <c r="S25">
        <f>IF($A25="",0,IF(COUNTIF($R$2:$R25,$R25)=1,1,0))</f>
        <v>0</v>
      </c>
      <c r="T25">
        <f t="shared" si="9"/>
        <v>1</v>
      </c>
      <c r="U25">
        <f>IF($A25="","",IF($A25=经营数据!$B$3,COUNTIFS($S$2:$S$3000,1,$A$2:$A$3000,$A25,$T$2:$T$3000,"&lt;"&amp;$T25)+1,""))</f>
        <v>1</v>
      </c>
      <c r="V25" t="str">
        <f t="shared" si="10"/>
        <v>基金整体|服务量</v>
      </c>
      <c r="W25">
        <f t="shared" si="11"/>
        <v>1</v>
      </c>
      <c r="X25" t="str">
        <f t="shared" si="12"/>
        <v>基金整体|期末可供出租面积</v>
      </c>
      <c r="Y25">
        <f t="shared" si="13"/>
        <v>3</v>
      </c>
      <c r="Z25">
        <f>IF($A25="",0,IF(AND($M25=1,$A25=经营数据!$B$3,$J25=经营数据!$BA$5,OR($I25=经营数据!$BA$4,COUNTIF(经营数据!$AA$9:$AA$38,$I25)&gt;0)),1,0))</f>
        <v>0</v>
      </c>
      <c r="AA25" t="str">
        <f t="shared" si="14"/>
        <v/>
      </c>
      <c r="AB25" t="str">
        <f t="shared" si="15"/>
        <v/>
      </c>
      <c r="AC25">
        <f>IF($A25="",0,IF(COUNTIF($A$2:$A25,$A25)=1,1,0))</f>
        <v>0</v>
      </c>
      <c r="AD25">
        <f t="shared" si="16"/>
        <v>1</v>
      </c>
      <c r="AE25" t="str">
        <f t="shared" si="17"/>
        <v>基金整体|期末可供出租面积（平方米）</v>
      </c>
      <c r="AH25" t="str">
        <f t="shared" si="0"/>
        <v>国泰海通崇邦封闭式商业不动产证券投资基金</v>
      </c>
      <c r="AI25" t="str">
        <f t="shared" si="1"/>
        <v/>
      </c>
      <c r="BA25" t="s">
        <v>5208</v>
      </c>
      <c r="BB25" t="s">
        <v>5209</v>
      </c>
      <c r="BI25" t="s">
        <v>5210</v>
      </c>
      <c r="BJ25" s="29">
        <v>4.5600000000000002E-2</v>
      </c>
      <c r="BK25" s="29">
        <v>4.1200000000000001E-2</v>
      </c>
      <c r="BL25" s="29"/>
      <c r="BM25" s="29"/>
      <c r="BN25" s="29"/>
      <c r="BO25" s="29"/>
      <c r="BP25" s="47">
        <v>45398</v>
      </c>
      <c r="BQ25" s="29">
        <v>5.4828994321705862E-2</v>
      </c>
      <c r="BT25" t="s">
        <v>486</v>
      </c>
      <c r="BU25" t="s">
        <v>206</v>
      </c>
      <c r="BV25" t="s">
        <v>485</v>
      </c>
      <c r="BW25" t="s">
        <v>487</v>
      </c>
      <c r="BX25" t="s">
        <v>208</v>
      </c>
      <c r="BY25">
        <v>0.51</v>
      </c>
      <c r="BZ25" t="str">
        <f>IF($BT25=数据概览!$C$92,COUNTIFS($BT$3:$BT25,数据概览!$C$92),"")</f>
        <v/>
      </c>
      <c r="CA25">
        <f>IF(AND($BT25=数据概览!$C$92,COUNTIFS($BT$3:$BT25,数据概览!$C$92,$BU$3:$BU25,$BU25)=1),1,0)</f>
        <v>0</v>
      </c>
      <c r="CB25">
        <v>22.7</v>
      </c>
    </row>
    <row r="26" spans="1:83" x14ac:dyDescent="0.4">
      <c r="A26" t="str">
        <f>IF(原始经营数据!$D27="","",原始经营数据!$D27)</f>
        <v>华夏华润消费封闭式基础设施证券投资基金</v>
      </c>
      <c r="B26" t="str">
        <f>IF(原始经营数据!$D27="","",T(原始经营数据!$E27))</f>
        <v>基金整体</v>
      </c>
      <c r="C26" t="str">
        <f>IF(原始经营数据!$D27="","",原始经营数据!$F27)</f>
        <v>2025Q2</v>
      </c>
      <c r="D26" t="str">
        <f>IF(原始经营数据!$D27="","",原始经营数据!$H27)</f>
        <v>期末实际出租面积</v>
      </c>
      <c r="E26">
        <f>IF(原始经营数据!$D27="","",原始经营数据!$I27)</f>
        <v>135658</v>
      </c>
      <c r="F26" t="str">
        <f>IF(原始经营数据!$D27="","",T(原始经营数据!$J27))</f>
        <v>平方米</v>
      </c>
      <c r="G26" t="str">
        <f>IF(原始经营数据!$D27="","",T(原始经营数据!$K27))</f>
        <v/>
      </c>
      <c r="H26" t="str">
        <f>IF(原始经营数据!$D27="","",原始经营数据!$G27)</f>
        <v>服务量</v>
      </c>
      <c r="I26" t="str">
        <f>IF($A26="","",IF($B26&lt;&gt;"",$B26,IF(COUNTIFS(原始经营数据!$D$3:$D$3001,$A26,原始经营数据!$E$3:$E$3001,"",原始经营数据!$F$3:$F$3001,$C26,原始经营数据!$H$3:$H$3001,$D26,原始经营数据!$K$3:$K$3001,$G26)&gt;1,"基金整体·来源"&amp;原始经营数据!$A27,"基金整体")))</f>
        <v>基金整体</v>
      </c>
      <c r="J26" t="str">
        <f t="shared" si="3"/>
        <v>季度</v>
      </c>
      <c r="K26" t="str">
        <f t="shared" si="4"/>
        <v>期末实际出租面积（平方米）</v>
      </c>
      <c r="L26" t="str">
        <f t="shared" si="5"/>
        <v>基金整体|期末实际出租面积（平方米）|季度</v>
      </c>
      <c r="M26">
        <f>IF($A26="",0,IF(COUNTIF($L$2:$L26,$L26)=1,1,0))</f>
        <v>0</v>
      </c>
      <c r="N26">
        <f t="shared" si="6"/>
        <v>20252</v>
      </c>
      <c r="O26" t="str">
        <f t="shared" si="7"/>
        <v>华夏华润消费封闭式基础设施证券投资基金|2025Q2|季度</v>
      </c>
      <c r="P26">
        <f>IF($A26="",0,IF(COUNTIF($O$2:$O26,$O26)=1,1,0))</f>
        <v>0</v>
      </c>
      <c r="Q26" t="str">
        <f>IF(AND($P26=1,$A26=经营数据!$B$3,$J26=经营数据!$BA$5),COUNTIFS($P$2:$P$3000,1,$A$2:$A$3000,$A26,$J$2:$J$3000,$J26,$N$2:$N$3000,"&lt;"&amp;$N26)+1,"")</f>
        <v/>
      </c>
      <c r="R26" t="str">
        <f t="shared" si="8"/>
        <v>华夏华润消费封闭式基础设施证券投资基金|基金整体</v>
      </c>
      <c r="S26">
        <f>IF($A26="",0,IF(COUNTIF($R$2:$R26,$R26)=1,1,0))</f>
        <v>0</v>
      </c>
      <c r="T26">
        <f t="shared" si="9"/>
        <v>1</v>
      </c>
      <c r="U26">
        <f>IF($A26="","",IF($A26=经营数据!$B$3,COUNTIFS($S$2:$S$3000,1,$A$2:$A$3000,$A26,$T$2:$T$3000,"&lt;"&amp;$T26)+1,""))</f>
        <v>1</v>
      </c>
      <c r="V26" t="str">
        <f t="shared" si="10"/>
        <v>基金整体|服务量</v>
      </c>
      <c r="W26">
        <f t="shared" si="11"/>
        <v>1</v>
      </c>
      <c r="X26" t="str">
        <f t="shared" si="12"/>
        <v>基金整体|期末实际出租面积</v>
      </c>
      <c r="Y26">
        <f t="shared" si="13"/>
        <v>4</v>
      </c>
      <c r="Z26">
        <f>IF($A26="",0,IF(AND($M26=1,$A26=经营数据!$B$3,$J26=经营数据!$BA$5,OR($I26=经营数据!$BA$4,COUNTIF(经营数据!$AA$9:$AA$38,$I26)&gt;0)),1,0))</f>
        <v>0</v>
      </c>
      <c r="AA26" t="str">
        <f t="shared" si="14"/>
        <v/>
      </c>
      <c r="AB26" t="str">
        <f t="shared" si="15"/>
        <v/>
      </c>
      <c r="AC26">
        <f>IF($A26="",0,IF(COUNTIF($A$2:$A26,$A26)=1,1,0))</f>
        <v>0</v>
      </c>
      <c r="AD26">
        <f t="shared" si="16"/>
        <v>1</v>
      </c>
      <c r="AE26" t="str">
        <f t="shared" si="17"/>
        <v>基金整体|期末实际出租面积（平方米）</v>
      </c>
      <c r="AH26" t="str">
        <f t="shared" si="0"/>
        <v>嘉实首开封闭式商业不动产证券投资基金</v>
      </c>
      <c r="AI26" t="str">
        <f t="shared" si="1"/>
        <v/>
      </c>
      <c r="BA26" t="s">
        <v>5211</v>
      </c>
      <c r="BB26" t="s">
        <v>5212</v>
      </c>
      <c r="BI26" t="s">
        <v>5213</v>
      </c>
      <c r="BJ26" s="29">
        <v>4.2299999999999997E-2</v>
      </c>
      <c r="BK26" s="29">
        <v>4.19E-2</v>
      </c>
      <c r="BL26" s="29"/>
      <c r="BM26" s="29"/>
      <c r="BN26" s="29"/>
      <c r="BO26" s="29"/>
      <c r="BP26" s="47">
        <v>45399</v>
      </c>
      <c r="BQ26" s="29">
        <v>5.4691575193054537E-2</v>
      </c>
      <c r="BT26" t="s">
        <v>486</v>
      </c>
      <c r="BU26" t="s">
        <v>206</v>
      </c>
      <c r="BV26" t="s">
        <v>491</v>
      </c>
      <c r="BW26" t="s">
        <v>487</v>
      </c>
      <c r="BX26" t="s">
        <v>208</v>
      </c>
      <c r="BY26">
        <v>0.69</v>
      </c>
      <c r="BZ26" t="str">
        <f>IF($BT26=数据概览!$C$92,COUNTIFS($BT$3:$BT26,数据概览!$C$92),"")</f>
        <v/>
      </c>
      <c r="CA26">
        <f>IF(AND($BT26=数据概览!$C$92,COUNTIFS($BT$3:$BT26,数据概览!$C$92,$BU$3:$BU26,$BU26)=1),1,0)</f>
        <v>0</v>
      </c>
      <c r="CB26">
        <v>23.95</v>
      </c>
    </row>
    <row r="27" spans="1:83" x14ac:dyDescent="0.4">
      <c r="A27" t="str">
        <f>IF(原始经营数据!$D28="","",原始经营数据!$D28)</f>
        <v>华夏华润消费封闭式基础设施证券投资基金</v>
      </c>
      <c r="B27" t="str">
        <f>IF(原始经营数据!$D28="","",T(原始经营数据!$E28))</f>
        <v>基金整体</v>
      </c>
      <c r="C27" t="str">
        <f>IF(原始经营数据!$D28="","",原始经营数据!$F28)</f>
        <v>2025Q2</v>
      </c>
      <c r="D27" t="str">
        <f>IF(原始经营数据!$D28="","",原始经营数据!$H28)</f>
        <v>期末出租率</v>
      </c>
      <c r="E27">
        <f>IF(原始经营数据!$D28="","",原始经营数据!$I28)</f>
        <v>99.03</v>
      </c>
      <c r="F27" t="str">
        <f>IF(原始经营数据!$D28="","",T(原始经营数据!$J28))</f>
        <v>%</v>
      </c>
      <c r="G27" t="str">
        <f>IF(原始经营数据!$D28="","",T(原始经营数据!$K28))</f>
        <v/>
      </c>
      <c r="H27" t="str">
        <f>IF(原始经营数据!$D28="","",原始经营数据!$G28)</f>
        <v>服务效率</v>
      </c>
      <c r="I27" t="str">
        <f>IF($A27="","",IF($B27&lt;&gt;"",$B27,IF(COUNTIFS(原始经营数据!$D$3:$D$3001,$A27,原始经营数据!$E$3:$E$3001,"",原始经营数据!$F$3:$F$3001,$C27,原始经营数据!$H$3:$H$3001,$D27,原始经营数据!$K$3:$K$3001,$G27)&gt;1,"基金整体·来源"&amp;原始经营数据!$A28,"基金整体")))</f>
        <v>基金整体</v>
      </c>
      <c r="J27" t="str">
        <f t="shared" si="3"/>
        <v>季度</v>
      </c>
      <c r="K27" t="str">
        <f t="shared" si="4"/>
        <v>期末出租率（%）</v>
      </c>
      <c r="L27" t="str">
        <f t="shared" si="5"/>
        <v>基金整体|期末出租率（%）|季度</v>
      </c>
      <c r="M27">
        <f>IF($A27="",0,IF(COUNTIF($L$2:$L27,$L27)=1,1,0))</f>
        <v>0</v>
      </c>
      <c r="N27">
        <f t="shared" si="6"/>
        <v>20252</v>
      </c>
      <c r="O27" t="str">
        <f t="shared" si="7"/>
        <v>华夏华润消费封闭式基础设施证券投资基金|2025Q2|季度</v>
      </c>
      <c r="P27">
        <f>IF($A27="",0,IF(COUNTIF($O$2:$O27,$O27)=1,1,0))</f>
        <v>0</v>
      </c>
      <c r="Q27" t="str">
        <f>IF(AND($P27=1,$A27=经营数据!$B$3,$J27=经营数据!$BA$5),COUNTIFS($P$2:$P$3000,1,$A$2:$A$3000,$A27,$J$2:$J$3000,$J27,$N$2:$N$3000,"&lt;"&amp;$N27)+1,"")</f>
        <v/>
      </c>
      <c r="R27" t="str">
        <f t="shared" si="8"/>
        <v>华夏华润消费封闭式基础设施证券投资基金|基金整体</v>
      </c>
      <c r="S27">
        <f>IF($A27="",0,IF(COUNTIF($R$2:$R27,$R27)=1,1,0))</f>
        <v>0</v>
      </c>
      <c r="T27">
        <f t="shared" si="9"/>
        <v>1</v>
      </c>
      <c r="U27">
        <f>IF($A27="","",IF($A27=经营数据!$B$3,COUNTIFS($S$2:$S$3000,1,$A$2:$A$3000,$A27,$T$2:$T$3000,"&lt;"&amp;$T27)+1,""))</f>
        <v>1</v>
      </c>
      <c r="V27" t="str">
        <f t="shared" si="10"/>
        <v>基金整体|服务效率</v>
      </c>
      <c r="W27">
        <f t="shared" si="11"/>
        <v>2</v>
      </c>
      <c r="X27" t="str">
        <f t="shared" si="12"/>
        <v>基金整体|期末出租率</v>
      </c>
      <c r="Y27">
        <f t="shared" si="13"/>
        <v>5</v>
      </c>
      <c r="Z27">
        <f>IF($A27="",0,IF(AND($M27=1,$A27=经营数据!$B$3,$J27=经营数据!$BA$5,OR($I27=经营数据!$BA$4,COUNTIF(经营数据!$AA$9:$AA$38,$I27)&gt;0)),1,0))</f>
        <v>0</v>
      </c>
      <c r="AA27" t="str">
        <f t="shared" si="14"/>
        <v/>
      </c>
      <c r="AB27" t="str">
        <f t="shared" si="15"/>
        <v/>
      </c>
      <c r="AC27">
        <f>IF($A27="",0,IF(COUNTIF($A$2:$A27,$A27)=1,1,0))</f>
        <v>0</v>
      </c>
      <c r="AD27">
        <f t="shared" si="16"/>
        <v>1</v>
      </c>
      <c r="AE27" t="str">
        <f t="shared" si="17"/>
        <v>基金整体|期末出租率（%）</v>
      </c>
      <c r="AH27" t="str">
        <f t="shared" si="0"/>
        <v>红土创新星河集团封闭式商业不动产证券投资基金</v>
      </c>
      <c r="AI27" t="str">
        <f t="shared" si="1"/>
        <v/>
      </c>
      <c r="BA27" t="s">
        <v>5214</v>
      </c>
      <c r="BB27" t="s">
        <v>5215</v>
      </c>
      <c r="BI27" t="s">
        <v>5216</v>
      </c>
      <c r="BJ27" s="29">
        <v>5.4600000000000003E-2</v>
      </c>
      <c r="BK27" s="29">
        <v>5.7200000000000001E-2</v>
      </c>
      <c r="BL27" s="29"/>
      <c r="BM27" s="29"/>
      <c r="BN27" s="29"/>
      <c r="BO27" s="29"/>
      <c r="BP27" s="47">
        <v>45400</v>
      </c>
      <c r="BQ27" s="29">
        <v>5.468169771875564E-2</v>
      </c>
      <c r="BT27" t="s">
        <v>486</v>
      </c>
      <c r="BU27" t="s">
        <v>206</v>
      </c>
      <c r="BV27" t="s">
        <v>565</v>
      </c>
      <c r="BW27" t="s">
        <v>566</v>
      </c>
      <c r="BX27" t="s">
        <v>208</v>
      </c>
      <c r="BY27">
        <v>0.55000000000000004</v>
      </c>
      <c r="BZ27" t="str">
        <f>IF($BT27=数据概览!$C$92,COUNTIFS($BT$3:$BT27,数据概览!$C$92),"")</f>
        <v/>
      </c>
      <c r="CA27">
        <f>IF(AND($BT27=数据概览!$C$92,COUNTIFS($BT$3:$BT27,数据概览!$C$92,$BU$3:$BU27,$BU27)=1),1,0)</f>
        <v>0</v>
      </c>
      <c r="CB27">
        <v>24.45</v>
      </c>
    </row>
    <row r="28" spans="1:83" x14ac:dyDescent="0.4">
      <c r="A28" t="str">
        <f>IF(原始经营数据!$D29="","",原始经营数据!$D29)</f>
        <v>华夏华润消费封闭式基础设施证券投资基金</v>
      </c>
      <c r="B28" t="str">
        <f>IF(原始经营数据!$D29="","",T(原始经营数据!$E29))</f>
        <v>基金整体</v>
      </c>
      <c r="C28" t="str">
        <f>IF(原始经营数据!$D29="","",原始经营数据!$F29)</f>
        <v>2025Q2</v>
      </c>
      <c r="D28" t="str">
        <f>IF(原始经营数据!$D29="","",原始经营数据!$H29)</f>
        <v>期末收缴率</v>
      </c>
      <c r="E28">
        <f>IF(原始经营数据!$D29="","",原始经营数据!$I29)</f>
        <v>100</v>
      </c>
      <c r="F28" t="str">
        <f>IF(原始经营数据!$D29="","",T(原始经营数据!$J29))</f>
        <v>%</v>
      </c>
      <c r="G28" t="str">
        <f>IF(原始经营数据!$D29="","",T(原始经营数据!$K29))</f>
        <v/>
      </c>
      <c r="H28" t="str">
        <f>IF(原始经营数据!$D29="","",原始经营数据!$G29)</f>
        <v>服务效率</v>
      </c>
      <c r="I28" t="str">
        <f>IF($A28="","",IF($B28&lt;&gt;"",$B28,IF(COUNTIFS(原始经营数据!$D$3:$D$3001,$A28,原始经营数据!$E$3:$E$3001,"",原始经营数据!$F$3:$F$3001,$C28,原始经营数据!$H$3:$H$3001,$D28,原始经营数据!$K$3:$K$3001,$G28)&gt;1,"基金整体·来源"&amp;原始经营数据!$A29,"基金整体")))</f>
        <v>基金整体</v>
      </c>
      <c r="J28" t="str">
        <f t="shared" si="3"/>
        <v>季度</v>
      </c>
      <c r="K28" t="str">
        <f t="shared" si="4"/>
        <v>期末收缴率（%）</v>
      </c>
      <c r="L28" t="str">
        <f t="shared" si="5"/>
        <v>基金整体|期末收缴率（%）|季度</v>
      </c>
      <c r="M28">
        <f>IF($A28="",0,IF(COUNTIF($L$2:$L28,$L28)=1,1,0))</f>
        <v>0</v>
      </c>
      <c r="N28">
        <f t="shared" si="6"/>
        <v>20252</v>
      </c>
      <c r="O28" t="str">
        <f t="shared" si="7"/>
        <v>华夏华润消费封闭式基础设施证券投资基金|2025Q2|季度</v>
      </c>
      <c r="P28">
        <f>IF($A28="",0,IF(COUNTIF($O$2:$O28,$O28)=1,1,0))</f>
        <v>0</v>
      </c>
      <c r="Q28" t="str">
        <f>IF(AND($P28=1,$A28=经营数据!$B$3,$J28=经营数据!$BA$5),COUNTIFS($P$2:$P$3000,1,$A$2:$A$3000,$A28,$J$2:$J$3000,$J28,$N$2:$N$3000,"&lt;"&amp;$N28)+1,"")</f>
        <v/>
      </c>
      <c r="R28" t="str">
        <f t="shared" si="8"/>
        <v>华夏华润消费封闭式基础设施证券投资基金|基金整体</v>
      </c>
      <c r="S28">
        <f>IF($A28="",0,IF(COUNTIF($R$2:$R28,$R28)=1,1,0))</f>
        <v>0</v>
      </c>
      <c r="T28">
        <f t="shared" si="9"/>
        <v>1</v>
      </c>
      <c r="U28">
        <f>IF($A28="","",IF($A28=经营数据!$B$3,COUNTIFS($S$2:$S$3000,1,$A$2:$A$3000,$A28,$T$2:$T$3000,"&lt;"&amp;$T28)+1,""))</f>
        <v>1</v>
      </c>
      <c r="V28" t="str">
        <f t="shared" si="10"/>
        <v>基金整体|服务效率</v>
      </c>
      <c r="W28">
        <f t="shared" si="11"/>
        <v>2</v>
      </c>
      <c r="X28" t="str">
        <f t="shared" si="12"/>
        <v>基金整体|期末收缴率</v>
      </c>
      <c r="Y28">
        <f t="shared" si="13"/>
        <v>2</v>
      </c>
      <c r="Z28">
        <f>IF($A28="",0,IF(AND($M28=1,$A28=经营数据!$B$3,$J28=经营数据!$BA$5,OR($I28=经营数据!$BA$4,COUNTIF(经营数据!$AA$9:$AA$38,$I28)&gt;0)),1,0))</f>
        <v>0</v>
      </c>
      <c r="AA28" t="str">
        <f t="shared" si="14"/>
        <v/>
      </c>
      <c r="AB28" t="str">
        <f t="shared" si="15"/>
        <v/>
      </c>
      <c r="AC28">
        <f>IF($A28="",0,IF(COUNTIF($A$2:$A28,$A28)=1,1,0))</f>
        <v>0</v>
      </c>
      <c r="AD28">
        <f t="shared" si="16"/>
        <v>1</v>
      </c>
      <c r="AE28" t="str">
        <f t="shared" si="17"/>
        <v>基金整体|期末收缴率（%）</v>
      </c>
      <c r="AH28" t="str">
        <f t="shared" si="0"/>
        <v>华夏大悦城封闭式商业不动产证券投资基金</v>
      </c>
      <c r="AI28" t="str">
        <f t="shared" si="1"/>
        <v/>
      </c>
      <c r="BA28" t="s">
        <v>5217</v>
      </c>
      <c r="BB28" t="s">
        <v>5218</v>
      </c>
      <c r="BI28" t="s">
        <v>5219</v>
      </c>
      <c r="BJ28" s="29">
        <v>5.2600000000000001E-2</v>
      </c>
      <c r="BK28" s="29">
        <v>5.2499999999999998E-2</v>
      </c>
      <c r="BL28" s="29"/>
      <c r="BM28" s="29"/>
      <c r="BN28" s="29"/>
      <c r="BO28" s="29"/>
      <c r="BP28" s="47">
        <v>45401</v>
      </c>
      <c r="BQ28" s="29">
        <v>5.4634828396941393E-2</v>
      </c>
      <c r="BT28" t="s">
        <v>486</v>
      </c>
      <c r="BU28" t="s">
        <v>230</v>
      </c>
      <c r="BV28" t="s">
        <v>646</v>
      </c>
      <c r="BW28" t="s">
        <v>487</v>
      </c>
      <c r="BX28" t="s">
        <v>133</v>
      </c>
      <c r="BY28">
        <v>42.73</v>
      </c>
      <c r="BZ28" t="str">
        <f>IF($BT28=数据概览!$C$92,COUNTIFS($BT$3:$BT28,数据概览!$C$92),"")</f>
        <v/>
      </c>
      <c r="CA28">
        <f>IF(AND($BT28=数据概览!$C$92,COUNTIFS($BT$3:$BT28,数据概览!$C$92,$BU$3:$BU28,$BU28)=1),1,0)</f>
        <v>0</v>
      </c>
      <c r="CB28">
        <v>31.53</v>
      </c>
    </row>
    <row r="29" spans="1:83" x14ac:dyDescent="0.4">
      <c r="A29" t="str">
        <f>IF(原始经营数据!$D30="","",原始经营数据!$D30)</f>
        <v>华夏华润消费封闭式基础设施证券投资基金</v>
      </c>
      <c r="B29" t="str">
        <f>IF(原始经营数据!$D30="","",T(原始经营数据!$E30))</f>
        <v>基金整体</v>
      </c>
      <c r="C29" t="str">
        <f>IF(原始经营数据!$D30="","",原始经营数据!$F30)</f>
        <v>2025Q2</v>
      </c>
      <c r="D29" t="str">
        <f>IF(原始经营数据!$D30="","",原始经营数据!$H30)</f>
        <v>期末加权平均剩余租期</v>
      </c>
      <c r="E29">
        <f>IF(原始经营数据!$D30="","",原始经营数据!$I30)</f>
        <v>1.99</v>
      </c>
      <c r="F29" t="str">
        <f>IF(原始经营数据!$D30="","",T(原始经营数据!$J30))</f>
        <v>年</v>
      </c>
      <c r="G29" t="str">
        <f>IF(原始经营数据!$D30="","",T(原始经营数据!$K30))</f>
        <v/>
      </c>
      <c r="H29" t="str">
        <f>IF(原始经营数据!$D30="","",原始经营数据!$G30)</f>
        <v>服务量</v>
      </c>
      <c r="I29" t="str">
        <f>IF($A29="","",IF($B29&lt;&gt;"",$B29,IF(COUNTIFS(原始经营数据!$D$3:$D$3001,$A29,原始经营数据!$E$3:$E$3001,"",原始经营数据!$F$3:$F$3001,$C29,原始经营数据!$H$3:$H$3001,$D29,原始经营数据!$K$3:$K$3001,$G29)&gt;1,"基金整体·来源"&amp;原始经营数据!$A30,"基金整体")))</f>
        <v>基金整体</v>
      </c>
      <c r="J29" t="str">
        <f t="shared" si="3"/>
        <v>季度</v>
      </c>
      <c r="K29" t="str">
        <f t="shared" si="4"/>
        <v>期末加权平均剩余租期（年）</v>
      </c>
      <c r="L29" t="str">
        <f t="shared" si="5"/>
        <v>基金整体|期末加权平均剩余租期（年）|季度</v>
      </c>
      <c r="M29">
        <f>IF($A29="",0,IF(COUNTIF($L$2:$L29,$L29)=1,1,0))</f>
        <v>0</v>
      </c>
      <c r="N29">
        <f t="shared" si="6"/>
        <v>20252</v>
      </c>
      <c r="O29" t="str">
        <f t="shared" si="7"/>
        <v>华夏华润消费封闭式基础设施证券投资基金|2025Q2|季度</v>
      </c>
      <c r="P29">
        <f>IF($A29="",0,IF(COUNTIF($O$2:$O29,$O29)=1,1,0))</f>
        <v>0</v>
      </c>
      <c r="Q29" t="str">
        <f>IF(AND($P29=1,$A29=经营数据!$B$3,$J29=经营数据!$BA$5),COUNTIFS($P$2:$P$3000,1,$A$2:$A$3000,$A29,$J$2:$J$3000,$J29,$N$2:$N$3000,"&lt;"&amp;$N29)+1,"")</f>
        <v/>
      </c>
      <c r="R29" t="str">
        <f t="shared" si="8"/>
        <v>华夏华润消费封闭式基础设施证券投资基金|基金整体</v>
      </c>
      <c r="S29">
        <f>IF($A29="",0,IF(COUNTIF($R$2:$R29,$R29)=1,1,0))</f>
        <v>0</v>
      </c>
      <c r="T29">
        <f t="shared" si="9"/>
        <v>1</v>
      </c>
      <c r="U29">
        <f>IF($A29="","",IF($A29=经营数据!$B$3,COUNTIFS($S$2:$S$3000,1,$A$2:$A$3000,$A29,$T$2:$T$3000,"&lt;"&amp;$T29)+1,""))</f>
        <v>1</v>
      </c>
      <c r="V29" t="str">
        <f t="shared" si="10"/>
        <v>基金整体|服务量</v>
      </c>
      <c r="W29">
        <f t="shared" si="11"/>
        <v>1</v>
      </c>
      <c r="X29" t="str">
        <f t="shared" si="12"/>
        <v>基金整体|期末加权平均剩余租期</v>
      </c>
      <c r="Y29">
        <f t="shared" si="13"/>
        <v>1</v>
      </c>
      <c r="Z29">
        <f>IF($A29="",0,IF(AND($M29=1,$A29=经营数据!$B$3,$J29=经营数据!$BA$5,OR($I29=经营数据!$BA$4,COUNTIF(经营数据!$AA$9:$AA$38,$I29)&gt;0)),1,0))</f>
        <v>0</v>
      </c>
      <c r="AA29" t="str">
        <f t="shared" si="14"/>
        <v/>
      </c>
      <c r="AB29" t="str">
        <f t="shared" si="15"/>
        <v/>
      </c>
      <c r="AC29">
        <f>IF($A29="",0,IF(COUNTIF($A$2:$A29,$A29)=1,1,0))</f>
        <v>0</v>
      </c>
      <c r="AD29">
        <f t="shared" si="16"/>
        <v>1</v>
      </c>
      <c r="AE29" t="str">
        <f t="shared" si="17"/>
        <v>基金整体|期末加权平均剩余租期（年）</v>
      </c>
      <c r="AH29" t="str">
        <f t="shared" si="0"/>
        <v>华安中电浦软封闭式商业不动产证券投资基金</v>
      </c>
      <c r="AI29" t="str">
        <f t="shared" si="1"/>
        <v/>
      </c>
      <c r="BA29" t="s">
        <v>5220</v>
      </c>
      <c r="BB29" t="s">
        <v>5221</v>
      </c>
      <c r="BI29" t="s">
        <v>5222</v>
      </c>
      <c r="BJ29" s="29">
        <v>4.5999999999999999E-2</v>
      </c>
      <c r="BK29" s="29">
        <v>4.6399999999999997E-2</v>
      </c>
      <c r="BL29" s="29"/>
      <c r="BM29" s="29"/>
      <c r="BN29" s="29"/>
      <c r="BO29" s="29"/>
      <c r="BP29" s="47">
        <v>45404</v>
      </c>
      <c r="BQ29" s="29">
        <v>5.4502058461590383E-2</v>
      </c>
      <c r="BT29" t="s">
        <v>312</v>
      </c>
      <c r="BU29" t="s">
        <v>149</v>
      </c>
      <c r="BV29" t="s">
        <v>311</v>
      </c>
      <c r="BW29" t="s">
        <v>313</v>
      </c>
      <c r="BX29" t="s">
        <v>133</v>
      </c>
      <c r="BZ29" t="str">
        <f>IF($BT29=数据概览!$C$92,COUNTIFS($BT$3:$BT29,数据概览!$C$92),"")</f>
        <v/>
      </c>
      <c r="CA29">
        <f>IF(AND($BT29=数据概览!$C$92,COUNTIFS($BT$3:$BT29,数据概览!$C$92,$BU$3:$BU29,$BU29)=1),1,0)</f>
        <v>0</v>
      </c>
    </row>
    <row r="30" spans="1:83" x14ac:dyDescent="0.4">
      <c r="A30" t="str">
        <f>IF(原始经营数据!$D31="","",原始经营数据!$D31)</f>
        <v>华夏华润消费封闭式基础设施证券投资基金</v>
      </c>
      <c r="B30" t="str">
        <f>IF(原始经营数据!$D31="","",T(原始经营数据!$E31))</f>
        <v>基金整体</v>
      </c>
      <c r="C30" t="str">
        <f>IF(原始经营数据!$D31="","",原始经营数据!$F31)</f>
        <v>2025Q2</v>
      </c>
      <c r="D30" t="str">
        <f>IF(原始经营数据!$D31="","",原始经营数据!$H31)</f>
        <v>本期租金单价水平</v>
      </c>
      <c r="E30">
        <f>IF(原始经营数据!$D31="","",原始经营数据!$I31)</f>
        <v>418.4</v>
      </c>
      <c r="F30" t="str">
        <f>IF(原始经营数据!$D31="","",T(原始经营数据!$J31))</f>
        <v>元/平方米/月</v>
      </c>
      <c r="G30" t="str">
        <f>IF(原始经营数据!$D31="","",T(原始经营数据!$K31))</f>
        <v/>
      </c>
      <c r="H30" t="str">
        <f>IF(原始经营数据!$D31="","",原始经营数据!$G31)</f>
        <v>服务价格</v>
      </c>
      <c r="I30" t="str">
        <f>IF($A30="","",IF($B30&lt;&gt;"",$B30,IF(COUNTIFS(原始经营数据!$D$3:$D$3001,$A30,原始经营数据!$E$3:$E$3001,"",原始经营数据!$F$3:$F$3001,$C30,原始经营数据!$H$3:$H$3001,$D30,原始经营数据!$K$3:$K$3001,$G30)&gt;1,"基金整体·来源"&amp;原始经营数据!$A31,"基金整体")))</f>
        <v>基金整体</v>
      </c>
      <c r="J30" t="str">
        <f t="shared" si="3"/>
        <v>季度</v>
      </c>
      <c r="K30" t="str">
        <f t="shared" si="4"/>
        <v>本期租金单价水平（元/平方米/月）</v>
      </c>
      <c r="L30" t="str">
        <f t="shared" si="5"/>
        <v>基金整体|本期租金单价水平（元/平方米/月）|季度</v>
      </c>
      <c r="M30">
        <f>IF($A30="",0,IF(COUNTIF($L$2:$L30,$L30)=1,1,0))</f>
        <v>0</v>
      </c>
      <c r="N30">
        <f t="shared" si="6"/>
        <v>20252</v>
      </c>
      <c r="O30" t="str">
        <f t="shared" si="7"/>
        <v>华夏华润消费封闭式基础设施证券投资基金|2025Q2|季度</v>
      </c>
      <c r="P30">
        <f>IF($A30="",0,IF(COUNTIF($O$2:$O30,$O30)=1,1,0))</f>
        <v>0</v>
      </c>
      <c r="Q30" t="str">
        <f>IF(AND($P30=1,$A30=经营数据!$B$3,$J30=经营数据!$BA$5),COUNTIFS($P$2:$P$3000,1,$A$2:$A$3000,$A30,$J$2:$J$3000,$J30,$N$2:$N$3000,"&lt;"&amp;$N30)+1,"")</f>
        <v/>
      </c>
      <c r="R30" t="str">
        <f t="shared" si="8"/>
        <v>华夏华润消费封闭式基础设施证券投资基金|基金整体</v>
      </c>
      <c r="S30">
        <f>IF($A30="",0,IF(COUNTIF($R$2:$R30,$R30)=1,1,0))</f>
        <v>0</v>
      </c>
      <c r="T30">
        <f t="shared" si="9"/>
        <v>1</v>
      </c>
      <c r="U30">
        <f>IF($A30="","",IF($A30=经营数据!$B$3,COUNTIFS($S$2:$S$3000,1,$A$2:$A$3000,$A30,$T$2:$T$3000,"&lt;"&amp;$T30)+1,""))</f>
        <v>1</v>
      </c>
      <c r="V30" t="str">
        <f t="shared" si="10"/>
        <v>基金整体|服务价格</v>
      </c>
      <c r="W30">
        <f t="shared" si="11"/>
        <v>10</v>
      </c>
      <c r="X30" t="str">
        <f t="shared" si="12"/>
        <v>基金整体|本期租金单价水平</v>
      </c>
      <c r="Y30">
        <f t="shared" si="13"/>
        <v>10</v>
      </c>
      <c r="Z30">
        <f>IF($A30="",0,IF(AND($M30=1,$A30=经营数据!$B$3,$J30=经营数据!$BA$5,OR($I30=经营数据!$BA$4,COUNTIF(经营数据!$AA$9:$AA$38,$I30)&gt;0)),1,0))</f>
        <v>0</v>
      </c>
      <c r="AA30" t="str">
        <f t="shared" si="14"/>
        <v/>
      </c>
      <c r="AB30" t="str">
        <f t="shared" si="15"/>
        <v/>
      </c>
      <c r="AC30">
        <f>IF($A30="",0,IF(COUNTIF($A$2:$A30,$A30)=1,1,0))</f>
        <v>0</v>
      </c>
      <c r="AD30">
        <f t="shared" si="16"/>
        <v>1</v>
      </c>
      <c r="AE30" t="str">
        <f t="shared" si="17"/>
        <v>基金整体|本期租金单价水平（元/平方米/月）</v>
      </c>
      <c r="AH30" t="str">
        <f t="shared" si="0"/>
        <v/>
      </c>
      <c r="AI30" t="str">
        <f t="shared" si="1"/>
        <v/>
      </c>
      <c r="BA30" t="s">
        <v>5223</v>
      </c>
      <c r="BB30" t="s">
        <v>5224</v>
      </c>
      <c r="BI30" t="s">
        <v>5225</v>
      </c>
      <c r="BJ30" s="29">
        <v>4.6399999999999997E-2</v>
      </c>
      <c r="BK30" s="29">
        <v>5.1900000000000002E-2</v>
      </c>
      <c r="BL30" s="29"/>
      <c r="BM30" s="29"/>
      <c r="BN30" s="29"/>
      <c r="BO30" s="29"/>
      <c r="BP30" s="47">
        <v>45405</v>
      </c>
      <c r="BQ30" s="29">
        <v>5.4579429057662401E-2</v>
      </c>
      <c r="BT30" t="s">
        <v>312</v>
      </c>
      <c r="BU30" t="s">
        <v>167</v>
      </c>
      <c r="BV30" t="s">
        <v>348</v>
      </c>
      <c r="BW30" t="s">
        <v>349</v>
      </c>
      <c r="BX30" t="s">
        <v>133</v>
      </c>
      <c r="BY30">
        <v>15.3</v>
      </c>
      <c r="BZ30" t="str">
        <f>IF($BT30=数据概览!$C$92,COUNTIFS($BT$3:$BT30,数据概览!$C$92),"")</f>
        <v/>
      </c>
      <c r="CA30">
        <f>IF(AND($BT30=数据概览!$C$92,COUNTIFS($BT$3:$BT30,数据概览!$C$92,$BU$3:$BU30,$BU30)=1),1,0)</f>
        <v>0</v>
      </c>
      <c r="CB30">
        <v>27.88</v>
      </c>
    </row>
    <row r="31" spans="1:83" x14ac:dyDescent="0.4">
      <c r="A31" t="str">
        <f>IF(原始经营数据!$D32="","",原始经营数据!$D32)</f>
        <v>华夏华润消费封闭式基础设施证券投资基金</v>
      </c>
      <c r="B31" t="str">
        <f>IF(原始经营数据!$D32="","",T(原始经营数据!$E32))</f>
        <v>基金整体</v>
      </c>
      <c r="C31" t="str">
        <f>IF(原始经营数据!$D32="","",原始经营数据!$F32)</f>
        <v>2025Q3</v>
      </c>
      <c r="D31" t="str">
        <f>IF(原始经营数据!$D32="","",原始经营数据!$H32)</f>
        <v>期末可供出租面积</v>
      </c>
      <c r="E31">
        <f>IF(原始经营数据!$D32="","",原始经营数据!$I32)</f>
        <v>139913</v>
      </c>
      <c r="F31" t="str">
        <f>IF(原始经营数据!$D32="","",T(原始经营数据!$J32))</f>
        <v>平方米</v>
      </c>
      <c r="G31" t="str">
        <f>IF(原始经营数据!$D32="","",T(原始经营数据!$K32))</f>
        <v/>
      </c>
      <c r="H31" t="str">
        <f>IF(原始经营数据!$D32="","",原始经营数据!$G32)</f>
        <v>服务量</v>
      </c>
      <c r="I31" t="str">
        <f>IF($A31="","",IF($B31&lt;&gt;"",$B31,IF(COUNTIFS(原始经营数据!$D$3:$D$3001,$A31,原始经营数据!$E$3:$E$3001,"",原始经营数据!$F$3:$F$3001,$C31,原始经营数据!$H$3:$H$3001,$D31,原始经营数据!$K$3:$K$3001,$G31)&gt;1,"基金整体·来源"&amp;原始经营数据!$A32,"基金整体")))</f>
        <v>基金整体</v>
      </c>
      <c r="J31" t="str">
        <f t="shared" si="3"/>
        <v>季度</v>
      </c>
      <c r="K31" t="str">
        <f t="shared" si="4"/>
        <v>期末可供出租面积（平方米）</v>
      </c>
      <c r="L31" t="str">
        <f t="shared" si="5"/>
        <v>基金整体|期末可供出租面积（平方米）|季度</v>
      </c>
      <c r="M31">
        <f>IF($A31="",0,IF(COUNTIF($L$2:$L31,$L31)=1,1,0))</f>
        <v>0</v>
      </c>
      <c r="N31">
        <f t="shared" si="6"/>
        <v>20253</v>
      </c>
      <c r="O31" t="str">
        <f t="shared" si="7"/>
        <v>华夏华润消费封闭式基础设施证券投资基金|2025Q3|季度</v>
      </c>
      <c r="P31">
        <f>IF($A31="",0,IF(COUNTIF($O$2:$O31,$O31)=1,1,0))</f>
        <v>1</v>
      </c>
      <c r="Q31">
        <f>IF(AND($P31=1,$A31=经营数据!$B$3,$J31=经营数据!$BA$5),COUNTIFS($P$2:$P$3000,1,$A$2:$A$3000,$A31,$J$2:$J$3000,$J31,$N$2:$N$3000,"&lt;"&amp;$N31)+1,"")</f>
        <v>7</v>
      </c>
      <c r="R31" t="str">
        <f t="shared" si="8"/>
        <v>华夏华润消费封闭式基础设施证券投资基金|基金整体</v>
      </c>
      <c r="S31">
        <f>IF($A31="",0,IF(COUNTIF($R$2:$R31,$R31)=1,1,0))</f>
        <v>0</v>
      </c>
      <c r="T31">
        <f t="shared" si="9"/>
        <v>1</v>
      </c>
      <c r="U31">
        <f>IF($A31="","",IF($A31=经营数据!$B$3,COUNTIFS($S$2:$S$3000,1,$A$2:$A$3000,$A31,$T$2:$T$3000,"&lt;"&amp;$T31)+1,""))</f>
        <v>1</v>
      </c>
      <c r="V31" t="str">
        <f t="shared" si="10"/>
        <v>基金整体|服务量</v>
      </c>
      <c r="W31">
        <f t="shared" si="11"/>
        <v>1</v>
      </c>
      <c r="X31" t="str">
        <f t="shared" si="12"/>
        <v>基金整体|期末可供出租面积</v>
      </c>
      <c r="Y31">
        <f t="shared" si="13"/>
        <v>3</v>
      </c>
      <c r="Z31">
        <f>IF($A31="",0,IF(AND($M31=1,$A31=经营数据!$B$3,$J31=经营数据!$BA$5,OR($I31=经营数据!$BA$4,COUNTIF(经营数据!$AA$9:$AA$38,$I31)&gt;0)),1,0))</f>
        <v>0</v>
      </c>
      <c r="AA31" t="str">
        <f t="shared" si="14"/>
        <v/>
      </c>
      <c r="AB31" t="str">
        <f t="shared" si="15"/>
        <v/>
      </c>
      <c r="AC31">
        <f>IF($A31="",0,IF(COUNTIF($A$2:$A31,$A31)=1,1,0))</f>
        <v>0</v>
      </c>
      <c r="AD31">
        <f t="shared" si="16"/>
        <v>1</v>
      </c>
      <c r="AE31" t="str">
        <f t="shared" si="17"/>
        <v>基金整体|期末可供出租面积（平方米）</v>
      </c>
      <c r="BA31" t="s">
        <v>5226</v>
      </c>
      <c r="BB31" t="s">
        <v>5227</v>
      </c>
      <c r="BP31" s="47">
        <v>45406</v>
      </c>
      <c r="BQ31" s="29">
        <v>5.454870016552562E-2</v>
      </c>
      <c r="BT31" t="s">
        <v>312</v>
      </c>
      <c r="BU31" t="s">
        <v>136</v>
      </c>
      <c r="BV31" t="s">
        <v>372</v>
      </c>
      <c r="BW31" t="s">
        <v>349</v>
      </c>
      <c r="BX31" t="s">
        <v>183</v>
      </c>
      <c r="BY31">
        <v>11.15</v>
      </c>
      <c r="BZ31" t="str">
        <f>IF($BT31=数据概览!$C$92,COUNTIFS($BT$3:$BT31,数据概览!$C$92),"")</f>
        <v/>
      </c>
      <c r="CA31">
        <f>IF(AND($BT31=数据概览!$C$92,COUNTIFS($BT$3:$BT31,数据概览!$C$92,$BU$3:$BU31,$BU31)=1),1,0)</f>
        <v>0</v>
      </c>
      <c r="CB31">
        <v>30.27</v>
      </c>
    </row>
    <row r="32" spans="1:83" x14ac:dyDescent="0.4">
      <c r="A32" t="str">
        <f>IF(原始经营数据!$D33="","",原始经营数据!$D33)</f>
        <v>华夏华润消费封闭式基础设施证券投资基金</v>
      </c>
      <c r="B32" t="str">
        <f>IF(原始经营数据!$D33="","",T(原始经营数据!$E33))</f>
        <v>基金整体</v>
      </c>
      <c r="C32" t="str">
        <f>IF(原始经营数据!$D33="","",原始经营数据!$F33)</f>
        <v>2025Q3</v>
      </c>
      <c r="D32" t="str">
        <f>IF(原始经营数据!$D33="","",原始经营数据!$H33)</f>
        <v>期末实际出租面积</v>
      </c>
      <c r="E32">
        <f>IF(原始经营数据!$D33="","",原始经营数据!$I33)</f>
        <v>138137</v>
      </c>
      <c r="F32" t="str">
        <f>IF(原始经营数据!$D33="","",T(原始经营数据!$J33))</f>
        <v>平方米</v>
      </c>
      <c r="G32" t="str">
        <f>IF(原始经营数据!$D33="","",T(原始经营数据!$K33))</f>
        <v/>
      </c>
      <c r="H32" t="str">
        <f>IF(原始经营数据!$D33="","",原始经营数据!$G33)</f>
        <v>服务量</v>
      </c>
      <c r="I32" t="str">
        <f>IF($A32="","",IF($B32&lt;&gt;"",$B32,IF(COUNTIFS(原始经营数据!$D$3:$D$3001,$A32,原始经营数据!$E$3:$E$3001,"",原始经营数据!$F$3:$F$3001,$C32,原始经营数据!$H$3:$H$3001,$D32,原始经营数据!$K$3:$K$3001,$G32)&gt;1,"基金整体·来源"&amp;原始经营数据!$A33,"基金整体")))</f>
        <v>基金整体</v>
      </c>
      <c r="J32" t="str">
        <f t="shared" si="3"/>
        <v>季度</v>
      </c>
      <c r="K32" t="str">
        <f t="shared" si="4"/>
        <v>期末实际出租面积（平方米）</v>
      </c>
      <c r="L32" t="str">
        <f t="shared" si="5"/>
        <v>基金整体|期末实际出租面积（平方米）|季度</v>
      </c>
      <c r="M32">
        <f>IF($A32="",0,IF(COUNTIF($L$2:$L32,$L32)=1,1,0))</f>
        <v>0</v>
      </c>
      <c r="N32">
        <f t="shared" si="6"/>
        <v>20253</v>
      </c>
      <c r="O32" t="str">
        <f t="shared" si="7"/>
        <v>华夏华润消费封闭式基础设施证券投资基金|2025Q3|季度</v>
      </c>
      <c r="P32">
        <f>IF($A32="",0,IF(COUNTIF($O$2:$O32,$O32)=1,1,0))</f>
        <v>0</v>
      </c>
      <c r="Q32" t="str">
        <f>IF(AND($P32=1,$A32=经营数据!$B$3,$J32=经营数据!$BA$5),COUNTIFS($P$2:$P$3000,1,$A$2:$A$3000,$A32,$J$2:$J$3000,$J32,$N$2:$N$3000,"&lt;"&amp;$N32)+1,"")</f>
        <v/>
      </c>
      <c r="R32" t="str">
        <f t="shared" si="8"/>
        <v>华夏华润消费封闭式基础设施证券投资基金|基金整体</v>
      </c>
      <c r="S32">
        <f>IF($A32="",0,IF(COUNTIF($R$2:$R32,$R32)=1,1,0))</f>
        <v>0</v>
      </c>
      <c r="T32">
        <f t="shared" si="9"/>
        <v>1</v>
      </c>
      <c r="U32">
        <f>IF($A32="","",IF($A32=经营数据!$B$3,COUNTIFS($S$2:$S$3000,1,$A$2:$A$3000,$A32,$T$2:$T$3000,"&lt;"&amp;$T32)+1,""))</f>
        <v>1</v>
      </c>
      <c r="V32" t="str">
        <f t="shared" si="10"/>
        <v>基金整体|服务量</v>
      </c>
      <c r="W32">
        <f t="shared" si="11"/>
        <v>1</v>
      </c>
      <c r="X32" t="str">
        <f t="shared" si="12"/>
        <v>基金整体|期末实际出租面积</v>
      </c>
      <c r="Y32">
        <f t="shared" si="13"/>
        <v>4</v>
      </c>
      <c r="Z32">
        <f>IF($A32="",0,IF(AND($M32=1,$A32=经营数据!$B$3,$J32=经营数据!$BA$5,OR($I32=经营数据!$BA$4,COUNTIF(经营数据!$AA$9:$AA$38,$I32)&gt;0)),1,0))</f>
        <v>0</v>
      </c>
      <c r="AA32" t="str">
        <f t="shared" si="14"/>
        <v/>
      </c>
      <c r="AB32" t="str">
        <f t="shared" si="15"/>
        <v/>
      </c>
      <c r="AC32">
        <f>IF($A32="",0,IF(COUNTIF($A$2:$A32,$A32)=1,1,0))</f>
        <v>0</v>
      </c>
      <c r="AD32">
        <f t="shared" si="16"/>
        <v>1</v>
      </c>
      <c r="AE32" t="str">
        <f t="shared" si="17"/>
        <v>基金整体|期末实际出租面积（平方米）</v>
      </c>
      <c r="BA32" t="s">
        <v>5228</v>
      </c>
      <c r="BB32" t="s">
        <v>5229</v>
      </c>
      <c r="BP32" s="47">
        <v>45407</v>
      </c>
      <c r="BQ32" s="29">
        <v>5.4371152711620907E-2</v>
      </c>
      <c r="BT32" t="s">
        <v>312</v>
      </c>
      <c r="BU32" t="s">
        <v>259</v>
      </c>
      <c r="BV32" t="s">
        <v>707</v>
      </c>
      <c r="BW32" t="s">
        <v>349</v>
      </c>
      <c r="BX32" t="s">
        <v>212</v>
      </c>
      <c r="BY32">
        <v>18.86</v>
      </c>
      <c r="BZ32" t="str">
        <f>IF($BT32=数据概览!$C$92,COUNTIFS($BT$3:$BT32,数据概览!$C$92),"")</f>
        <v/>
      </c>
      <c r="CA32">
        <f>IF(AND($BT32=数据概览!$C$92,COUNTIFS($BT$3:$BT32,数据概览!$C$92,$BU$3:$BU32,$BU32)=1),1,0)</f>
        <v>0</v>
      </c>
      <c r="CB32">
        <v>39.65</v>
      </c>
    </row>
    <row r="33" spans="1:80" x14ac:dyDescent="0.4">
      <c r="A33" t="str">
        <f>IF(原始经营数据!$D34="","",原始经营数据!$D34)</f>
        <v>华夏华润消费封闭式基础设施证券投资基金</v>
      </c>
      <c r="B33" t="str">
        <f>IF(原始经营数据!$D34="","",T(原始经营数据!$E34))</f>
        <v>基金整体</v>
      </c>
      <c r="C33" t="str">
        <f>IF(原始经营数据!$D34="","",原始经营数据!$F34)</f>
        <v>2025Q3</v>
      </c>
      <c r="D33" t="str">
        <f>IF(原始经营数据!$D34="","",原始经营数据!$H34)</f>
        <v>期末出租率</v>
      </c>
      <c r="E33">
        <f>IF(原始经营数据!$D34="","",原始经营数据!$I34)</f>
        <v>98.73</v>
      </c>
      <c r="F33" t="str">
        <f>IF(原始经营数据!$D34="","",T(原始经营数据!$J34))</f>
        <v>%</v>
      </c>
      <c r="G33" t="str">
        <f>IF(原始经营数据!$D34="","",T(原始经营数据!$K34))</f>
        <v/>
      </c>
      <c r="H33" t="str">
        <f>IF(原始经营数据!$D34="","",原始经营数据!$G34)</f>
        <v>服务效率</v>
      </c>
      <c r="I33" t="str">
        <f>IF($A33="","",IF($B33&lt;&gt;"",$B33,IF(COUNTIFS(原始经营数据!$D$3:$D$3001,$A33,原始经营数据!$E$3:$E$3001,"",原始经营数据!$F$3:$F$3001,$C33,原始经营数据!$H$3:$H$3001,$D33,原始经营数据!$K$3:$K$3001,$G33)&gt;1,"基金整体·来源"&amp;原始经营数据!$A34,"基金整体")))</f>
        <v>基金整体</v>
      </c>
      <c r="J33" t="str">
        <f t="shared" si="3"/>
        <v>季度</v>
      </c>
      <c r="K33" t="str">
        <f t="shared" si="4"/>
        <v>期末出租率（%）</v>
      </c>
      <c r="L33" t="str">
        <f t="shared" si="5"/>
        <v>基金整体|期末出租率（%）|季度</v>
      </c>
      <c r="M33">
        <f>IF($A33="",0,IF(COUNTIF($L$2:$L33,$L33)=1,1,0))</f>
        <v>0</v>
      </c>
      <c r="N33">
        <f t="shared" si="6"/>
        <v>20253</v>
      </c>
      <c r="O33" t="str">
        <f t="shared" si="7"/>
        <v>华夏华润消费封闭式基础设施证券投资基金|2025Q3|季度</v>
      </c>
      <c r="P33">
        <f>IF($A33="",0,IF(COUNTIF($O$2:$O33,$O33)=1,1,0))</f>
        <v>0</v>
      </c>
      <c r="Q33" t="str">
        <f>IF(AND($P33=1,$A33=经营数据!$B$3,$J33=经营数据!$BA$5),COUNTIFS($P$2:$P$3000,1,$A$2:$A$3000,$A33,$J$2:$J$3000,$J33,$N$2:$N$3000,"&lt;"&amp;$N33)+1,"")</f>
        <v/>
      </c>
      <c r="R33" t="str">
        <f t="shared" si="8"/>
        <v>华夏华润消费封闭式基础设施证券投资基金|基金整体</v>
      </c>
      <c r="S33">
        <f>IF($A33="",0,IF(COUNTIF($R$2:$R33,$R33)=1,1,0))</f>
        <v>0</v>
      </c>
      <c r="T33">
        <f t="shared" si="9"/>
        <v>1</v>
      </c>
      <c r="U33">
        <f>IF($A33="","",IF($A33=经营数据!$B$3,COUNTIFS($S$2:$S$3000,1,$A$2:$A$3000,$A33,$T$2:$T$3000,"&lt;"&amp;$T33)+1,""))</f>
        <v>1</v>
      </c>
      <c r="V33" t="str">
        <f t="shared" si="10"/>
        <v>基金整体|服务效率</v>
      </c>
      <c r="W33">
        <f t="shared" si="11"/>
        <v>2</v>
      </c>
      <c r="X33" t="str">
        <f t="shared" si="12"/>
        <v>基金整体|期末出租率</v>
      </c>
      <c r="Y33">
        <f t="shared" si="13"/>
        <v>5</v>
      </c>
      <c r="Z33">
        <f>IF($A33="",0,IF(AND($M33=1,$A33=经营数据!$B$3,$J33=经营数据!$BA$5,OR($I33=经营数据!$BA$4,COUNTIF(经营数据!$AA$9:$AA$38,$I33)&gt;0)),1,0))</f>
        <v>0</v>
      </c>
      <c r="AA33" t="str">
        <f t="shared" si="14"/>
        <v/>
      </c>
      <c r="AB33" t="str">
        <f t="shared" si="15"/>
        <v/>
      </c>
      <c r="AC33">
        <f>IF($A33="",0,IF(COUNTIF($A$2:$A33,$A33)=1,1,0))</f>
        <v>0</v>
      </c>
      <c r="AD33">
        <f t="shared" si="16"/>
        <v>1</v>
      </c>
      <c r="AE33" t="str">
        <f t="shared" si="17"/>
        <v>基金整体|期末出租率（%）</v>
      </c>
      <c r="BA33" t="s">
        <v>5230</v>
      </c>
      <c r="BB33" t="s">
        <v>5231</v>
      </c>
      <c r="BP33" s="47">
        <v>45408</v>
      </c>
      <c r="BQ33" s="29">
        <v>5.3962939048923943E-2</v>
      </c>
      <c r="BT33" t="s">
        <v>408</v>
      </c>
      <c r="BU33" t="s">
        <v>170</v>
      </c>
      <c r="BV33" t="s">
        <v>407</v>
      </c>
      <c r="BW33" t="s">
        <v>409</v>
      </c>
      <c r="BX33" t="s">
        <v>133</v>
      </c>
      <c r="BY33">
        <v>18.010000000000002</v>
      </c>
      <c r="BZ33" t="str">
        <f>IF($BT33=数据概览!$C$92,COUNTIFS($BT$3:$BT33,数据概览!$C$92),"")</f>
        <v/>
      </c>
      <c r="CA33">
        <f>IF(AND($BT33=数据概览!$C$92,COUNTIFS($BT$3:$BT33,数据概览!$C$92,$BU$3:$BU33,$BU33)=1),1,0)</f>
        <v>0</v>
      </c>
      <c r="CB33">
        <v>34.47</v>
      </c>
    </row>
    <row r="34" spans="1:80" x14ac:dyDescent="0.4">
      <c r="A34" t="str">
        <f>IF(原始经营数据!$D35="","",原始经营数据!$D35)</f>
        <v>华夏华润消费封闭式基础设施证券投资基金</v>
      </c>
      <c r="B34" t="str">
        <f>IF(原始经营数据!$D35="","",T(原始经营数据!$E35))</f>
        <v>基金整体</v>
      </c>
      <c r="C34" t="str">
        <f>IF(原始经营数据!$D35="","",原始经营数据!$F35)</f>
        <v>2025Q3</v>
      </c>
      <c r="D34" t="str">
        <f>IF(原始经营数据!$D35="","",原始经营数据!$H35)</f>
        <v>期末收缴率</v>
      </c>
      <c r="E34">
        <f>IF(原始经营数据!$D35="","",原始经营数据!$I35)</f>
        <v>100</v>
      </c>
      <c r="F34" t="str">
        <f>IF(原始经营数据!$D35="","",T(原始经营数据!$J35))</f>
        <v>%</v>
      </c>
      <c r="G34" t="str">
        <f>IF(原始经营数据!$D35="","",T(原始经营数据!$K35))</f>
        <v/>
      </c>
      <c r="H34" t="str">
        <f>IF(原始经营数据!$D35="","",原始经营数据!$G35)</f>
        <v>服务效率</v>
      </c>
      <c r="I34" t="str">
        <f>IF($A34="","",IF($B34&lt;&gt;"",$B34,IF(COUNTIFS(原始经营数据!$D$3:$D$3001,$A34,原始经营数据!$E$3:$E$3001,"",原始经营数据!$F$3:$F$3001,$C34,原始经营数据!$H$3:$H$3001,$D34,原始经营数据!$K$3:$K$3001,$G34)&gt;1,"基金整体·来源"&amp;原始经营数据!$A35,"基金整体")))</f>
        <v>基金整体</v>
      </c>
      <c r="J34" t="str">
        <f t="shared" si="3"/>
        <v>季度</v>
      </c>
      <c r="K34" t="str">
        <f t="shared" si="4"/>
        <v>期末收缴率（%）</v>
      </c>
      <c r="L34" t="str">
        <f t="shared" si="5"/>
        <v>基金整体|期末收缴率（%）|季度</v>
      </c>
      <c r="M34">
        <f>IF($A34="",0,IF(COUNTIF($L$2:$L34,$L34)=1,1,0))</f>
        <v>0</v>
      </c>
      <c r="N34">
        <f t="shared" si="6"/>
        <v>20253</v>
      </c>
      <c r="O34" t="str">
        <f t="shared" si="7"/>
        <v>华夏华润消费封闭式基础设施证券投资基金|2025Q3|季度</v>
      </c>
      <c r="P34">
        <f>IF($A34="",0,IF(COUNTIF($O$2:$O34,$O34)=1,1,0))</f>
        <v>0</v>
      </c>
      <c r="Q34" t="str">
        <f>IF(AND($P34=1,$A34=经营数据!$B$3,$J34=经营数据!$BA$5),COUNTIFS($P$2:$P$3000,1,$A$2:$A$3000,$A34,$J$2:$J$3000,$J34,$N$2:$N$3000,"&lt;"&amp;$N34)+1,"")</f>
        <v/>
      </c>
      <c r="R34" t="str">
        <f t="shared" si="8"/>
        <v>华夏华润消费封闭式基础设施证券投资基金|基金整体</v>
      </c>
      <c r="S34">
        <f>IF($A34="",0,IF(COUNTIF($R$2:$R34,$R34)=1,1,0))</f>
        <v>0</v>
      </c>
      <c r="T34">
        <f t="shared" si="9"/>
        <v>1</v>
      </c>
      <c r="U34">
        <f>IF($A34="","",IF($A34=经营数据!$B$3,COUNTIFS($S$2:$S$3000,1,$A$2:$A$3000,$A34,$T$2:$T$3000,"&lt;"&amp;$T34)+1,""))</f>
        <v>1</v>
      </c>
      <c r="V34" t="str">
        <f t="shared" si="10"/>
        <v>基金整体|服务效率</v>
      </c>
      <c r="W34">
        <f t="shared" si="11"/>
        <v>2</v>
      </c>
      <c r="X34" t="str">
        <f t="shared" si="12"/>
        <v>基金整体|期末收缴率</v>
      </c>
      <c r="Y34">
        <f t="shared" si="13"/>
        <v>2</v>
      </c>
      <c r="Z34">
        <f>IF($A34="",0,IF(AND($M34=1,$A34=经营数据!$B$3,$J34=经营数据!$BA$5,OR($I34=经营数据!$BA$4,COUNTIF(经营数据!$AA$9:$AA$38,$I34)&gt;0)),1,0))</f>
        <v>0</v>
      </c>
      <c r="AA34" t="str">
        <f t="shared" si="14"/>
        <v/>
      </c>
      <c r="AB34" t="str">
        <f t="shared" si="15"/>
        <v/>
      </c>
      <c r="AC34">
        <f>IF($A34="",0,IF(COUNTIF($A$2:$A34,$A34)=1,1,0))</f>
        <v>0</v>
      </c>
      <c r="AD34">
        <f t="shared" si="16"/>
        <v>1</v>
      </c>
      <c r="AE34" t="str">
        <f t="shared" si="17"/>
        <v>基金整体|期末收缴率（%）</v>
      </c>
      <c r="BA34" t="s">
        <v>5232</v>
      </c>
      <c r="BB34" t="s">
        <v>5233</v>
      </c>
      <c r="BP34" s="47">
        <v>45411</v>
      </c>
      <c r="BQ34" s="29">
        <v>5.3900495842049041E-2</v>
      </c>
      <c r="BT34" t="s">
        <v>408</v>
      </c>
      <c r="BU34" t="s">
        <v>174</v>
      </c>
      <c r="BV34" t="s">
        <v>422</v>
      </c>
      <c r="BW34" t="s">
        <v>423</v>
      </c>
      <c r="BX34" t="s">
        <v>133</v>
      </c>
      <c r="BY34">
        <v>12.9</v>
      </c>
      <c r="BZ34" t="str">
        <f>IF($BT34=数据概览!$C$92,COUNTIFS($BT$3:$BT34,数据概览!$C$92),"")</f>
        <v/>
      </c>
      <c r="CA34">
        <f>IF(AND($BT34=数据概览!$C$92,COUNTIFS($BT$3:$BT34,数据概览!$C$92,$BU$3:$BU34,$BU34)=1),1,0)</f>
        <v>0</v>
      </c>
      <c r="CB34">
        <v>22.17</v>
      </c>
    </row>
    <row r="35" spans="1:80" x14ac:dyDescent="0.4">
      <c r="A35" t="str">
        <f>IF(原始经营数据!$D36="","",原始经营数据!$D36)</f>
        <v>华夏华润消费封闭式基础设施证券投资基金</v>
      </c>
      <c r="B35" t="str">
        <f>IF(原始经营数据!$D36="","",T(原始经营数据!$E36))</f>
        <v>基金整体</v>
      </c>
      <c r="C35" t="str">
        <f>IF(原始经营数据!$D36="","",原始经营数据!$F36)</f>
        <v>2025Q3</v>
      </c>
      <c r="D35" t="str">
        <f>IF(原始经营数据!$D36="","",原始经营数据!$H36)</f>
        <v>期末加权平均剩余租期</v>
      </c>
      <c r="E35">
        <f>IF(原始经营数据!$D36="","",原始经营数据!$I36)</f>
        <v>1.92</v>
      </c>
      <c r="F35" t="str">
        <f>IF(原始经营数据!$D36="","",T(原始经营数据!$J36))</f>
        <v>年</v>
      </c>
      <c r="G35" t="str">
        <f>IF(原始经营数据!$D36="","",T(原始经营数据!$K36))</f>
        <v/>
      </c>
      <c r="H35" t="str">
        <f>IF(原始经营数据!$D36="","",原始经营数据!$G36)</f>
        <v>服务量</v>
      </c>
      <c r="I35" t="str">
        <f>IF($A35="","",IF($B35&lt;&gt;"",$B35,IF(COUNTIFS(原始经营数据!$D$3:$D$3001,$A35,原始经营数据!$E$3:$E$3001,"",原始经营数据!$F$3:$F$3001,$C35,原始经营数据!$H$3:$H$3001,$D35,原始经营数据!$K$3:$K$3001,$G35)&gt;1,"基金整体·来源"&amp;原始经营数据!$A36,"基金整体")))</f>
        <v>基金整体</v>
      </c>
      <c r="J35" t="str">
        <f t="shared" si="3"/>
        <v>季度</v>
      </c>
      <c r="K35" t="str">
        <f t="shared" si="4"/>
        <v>期末加权平均剩余租期（年）</v>
      </c>
      <c r="L35" t="str">
        <f t="shared" si="5"/>
        <v>基金整体|期末加权平均剩余租期（年）|季度</v>
      </c>
      <c r="M35">
        <f>IF($A35="",0,IF(COUNTIF($L$2:$L35,$L35)=1,1,0))</f>
        <v>0</v>
      </c>
      <c r="N35">
        <f t="shared" si="6"/>
        <v>20253</v>
      </c>
      <c r="O35" t="str">
        <f t="shared" si="7"/>
        <v>华夏华润消费封闭式基础设施证券投资基金|2025Q3|季度</v>
      </c>
      <c r="P35">
        <f>IF($A35="",0,IF(COUNTIF($O$2:$O35,$O35)=1,1,0))</f>
        <v>0</v>
      </c>
      <c r="Q35" t="str">
        <f>IF(AND($P35=1,$A35=经营数据!$B$3,$J35=经营数据!$BA$5),COUNTIFS($P$2:$P$3000,1,$A$2:$A$3000,$A35,$J$2:$J$3000,$J35,$N$2:$N$3000,"&lt;"&amp;$N35)+1,"")</f>
        <v/>
      </c>
      <c r="R35" t="str">
        <f t="shared" si="8"/>
        <v>华夏华润消费封闭式基础设施证券投资基金|基金整体</v>
      </c>
      <c r="S35">
        <f>IF($A35="",0,IF(COUNTIF($R$2:$R35,$R35)=1,1,0))</f>
        <v>0</v>
      </c>
      <c r="T35">
        <f t="shared" si="9"/>
        <v>1</v>
      </c>
      <c r="U35">
        <f>IF($A35="","",IF($A35=经营数据!$B$3,COUNTIFS($S$2:$S$3000,1,$A$2:$A$3000,$A35,$T$2:$T$3000,"&lt;"&amp;$T35)+1,""))</f>
        <v>1</v>
      </c>
      <c r="V35" t="str">
        <f t="shared" si="10"/>
        <v>基金整体|服务量</v>
      </c>
      <c r="W35">
        <f t="shared" si="11"/>
        <v>1</v>
      </c>
      <c r="X35" t="str">
        <f t="shared" si="12"/>
        <v>基金整体|期末加权平均剩余租期</v>
      </c>
      <c r="Y35">
        <f t="shared" si="13"/>
        <v>1</v>
      </c>
      <c r="Z35">
        <f>IF($A35="",0,IF(AND($M35=1,$A35=经营数据!$B$3,$J35=经营数据!$BA$5,OR($I35=经营数据!$BA$4,COUNTIF(经营数据!$AA$9:$AA$38,$I35)&gt;0)),1,0))</f>
        <v>0</v>
      </c>
      <c r="AA35" t="str">
        <f t="shared" si="14"/>
        <v/>
      </c>
      <c r="AB35" t="str">
        <f t="shared" si="15"/>
        <v/>
      </c>
      <c r="AC35">
        <f>IF($A35="",0,IF(COUNTIF($A$2:$A35,$A35)=1,1,0))</f>
        <v>0</v>
      </c>
      <c r="AD35">
        <f t="shared" si="16"/>
        <v>1</v>
      </c>
      <c r="AE35" t="str">
        <f t="shared" si="17"/>
        <v>基金整体|期末加权平均剩余租期（年）</v>
      </c>
      <c r="BA35" t="s">
        <v>5234</v>
      </c>
      <c r="BB35" t="s">
        <v>5235</v>
      </c>
      <c r="BP35" s="47">
        <v>45412</v>
      </c>
      <c r="BQ35" s="29">
        <v>5.3452509642973857E-2</v>
      </c>
      <c r="BT35" t="s">
        <v>408</v>
      </c>
      <c r="BU35" t="s">
        <v>206</v>
      </c>
      <c r="BV35" t="s">
        <v>506</v>
      </c>
      <c r="BW35" t="s">
        <v>409</v>
      </c>
      <c r="BX35" t="s">
        <v>208</v>
      </c>
      <c r="BY35">
        <v>1.87</v>
      </c>
      <c r="BZ35" t="str">
        <f>IF($BT35=数据概览!$C$92,COUNTIFS($BT$3:$BT35,数据概览!$C$92),"")</f>
        <v/>
      </c>
      <c r="CA35">
        <f>IF(AND($BT35=数据概览!$C$92,COUNTIFS($BT$3:$BT35,数据概览!$C$92,$BU$3:$BU35,$BU35)=1),1,0)</f>
        <v>0</v>
      </c>
      <c r="CB35">
        <v>23.14</v>
      </c>
    </row>
    <row r="36" spans="1:80" x14ac:dyDescent="0.4">
      <c r="A36" t="str">
        <f>IF(原始经营数据!$D37="","",原始经营数据!$D37)</f>
        <v>华夏华润消费封闭式基础设施证券投资基金</v>
      </c>
      <c r="B36" t="str">
        <f>IF(原始经营数据!$D37="","",T(原始经营数据!$E37))</f>
        <v>基金整体</v>
      </c>
      <c r="C36" t="str">
        <f>IF(原始经营数据!$D37="","",原始经营数据!$F37)</f>
        <v>2025Q3</v>
      </c>
      <c r="D36" t="str">
        <f>IF(原始经营数据!$D37="","",原始经营数据!$H37)</f>
        <v>本期租金单价水平</v>
      </c>
      <c r="E36">
        <f>IF(原始经营数据!$D37="","",原始经营数据!$I37)</f>
        <v>430.07</v>
      </c>
      <c r="F36" t="str">
        <f>IF(原始经营数据!$D37="","",T(原始经营数据!$J37))</f>
        <v>元/平方米/月</v>
      </c>
      <c r="G36" t="str">
        <f>IF(原始经营数据!$D37="","",T(原始经营数据!$K37))</f>
        <v/>
      </c>
      <c r="H36" t="str">
        <f>IF(原始经营数据!$D37="","",原始经营数据!$G37)</f>
        <v>服务价格</v>
      </c>
      <c r="I36" t="str">
        <f>IF($A36="","",IF($B36&lt;&gt;"",$B36,IF(COUNTIFS(原始经营数据!$D$3:$D$3001,$A36,原始经营数据!$E$3:$E$3001,"",原始经营数据!$F$3:$F$3001,$C36,原始经营数据!$H$3:$H$3001,$D36,原始经营数据!$K$3:$K$3001,$G36)&gt;1,"基金整体·来源"&amp;原始经营数据!$A37,"基金整体")))</f>
        <v>基金整体</v>
      </c>
      <c r="J36" t="str">
        <f t="shared" si="3"/>
        <v>季度</v>
      </c>
      <c r="K36" t="str">
        <f t="shared" si="4"/>
        <v>本期租金单价水平（元/平方米/月）</v>
      </c>
      <c r="L36" t="str">
        <f t="shared" si="5"/>
        <v>基金整体|本期租金单价水平（元/平方米/月）|季度</v>
      </c>
      <c r="M36">
        <f>IF($A36="",0,IF(COUNTIF($L$2:$L36,$L36)=1,1,0))</f>
        <v>0</v>
      </c>
      <c r="N36">
        <f t="shared" si="6"/>
        <v>20253</v>
      </c>
      <c r="O36" t="str">
        <f t="shared" si="7"/>
        <v>华夏华润消费封闭式基础设施证券投资基金|2025Q3|季度</v>
      </c>
      <c r="P36">
        <f>IF($A36="",0,IF(COUNTIF($O$2:$O36,$O36)=1,1,0))</f>
        <v>0</v>
      </c>
      <c r="Q36" t="str">
        <f>IF(AND($P36=1,$A36=经营数据!$B$3,$J36=经营数据!$BA$5),COUNTIFS($P$2:$P$3000,1,$A$2:$A$3000,$A36,$J$2:$J$3000,$J36,$N$2:$N$3000,"&lt;"&amp;$N36)+1,"")</f>
        <v/>
      </c>
      <c r="R36" t="str">
        <f t="shared" si="8"/>
        <v>华夏华润消费封闭式基础设施证券投资基金|基金整体</v>
      </c>
      <c r="S36">
        <f>IF($A36="",0,IF(COUNTIF($R$2:$R36,$R36)=1,1,0))</f>
        <v>0</v>
      </c>
      <c r="T36">
        <f t="shared" si="9"/>
        <v>1</v>
      </c>
      <c r="U36">
        <f>IF($A36="","",IF($A36=经营数据!$B$3,COUNTIFS($S$2:$S$3000,1,$A$2:$A$3000,$A36,$T$2:$T$3000,"&lt;"&amp;$T36)+1,""))</f>
        <v>1</v>
      </c>
      <c r="V36" t="str">
        <f t="shared" si="10"/>
        <v>基金整体|服务价格</v>
      </c>
      <c r="W36">
        <f t="shared" si="11"/>
        <v>10</v>
      </c>
      <c r="X36" t="str">
        <f t="shared" si="12"/>
        <v>基金整体|本期租金单价水平</v>
      </c>
      <c r="Y36">
        <f t="shared" si="13"/>
        <v>10</v>
      </c>
      <c r="Z36">
        <f>IF($A36="",0,IF(AND($M36=1,$A36=经营数据!$B$3,$J36=经营数据!$BA$5,OR($I36=经营数据!$BA$4,COUNTIF(经营数据!$AA$9:$AA$38,$I36)&gt;0)),1,0))</f>
        <v>0</v>
      </c>
      <c r="AA36" t="str">
        <f t="shared" si="14"/>
        <v/>
      </c>
      <c r="AB36" t="str">
        <f t="shared" si="15"/>
        <v/>
      </c>
      <c r="AC36">
        <f>IF($A36="",0,IF(COUNTIF($A$2:$A36,$A36)=1,1,0))</f>
        <v>0</v>
      </c>
      <c r="AD36">
        <f t="shared" si="16"/>
        <v>1</v>
      </c>
      <c r="AE36" t="str">
        <f t="shared" si="17"/>
        <v>基金整体|本期租金单价水平（元/平方米/月）</v>
      </c>
      <c r="BA36" t="s">
        <v>5236</v>
      </c>
      <c r="BB36" t="s">
        <v>5237</v>
      </c>
      <c r="BP36" s="47">
        <v>45418</v>
      </c>
      <c r="BQ36" s="29">
        <v>5.376437817651409E-2</v>
      </c>
      <c r="BT36" t="s">
        <v>408</v>
      </c>
      <c r="BU36" t="s">
        <v>202</v>
      </c>
      <c r="BV36" t="s">
        <v>583</v>
      </c>
      <c r="BW36" t="s">
        <v>423</v>
      </c>
      <c r="BX36" t="s">
        <v>235</v>
      </c>
      <c r="BY36">
        <v>9.18</v>
      </c>
      <c r="BZ36" t="str">
        <f>IF($BT36=数据概览!$C$92,COUNTIFS($BT$3:$BT36,数据概览!$C$92),"")</f>
        <v/>
      </c>
      <c r="CA36">
        <f>IF(AND($BT36=数据概览!$C$92,COUNTIFS($BT$3:$BT36,数据概览!$C$92,$BU$3:$BU36,$BU36)=1),1,0)</f>
        <v>0</v>
      </c>
      <c r="CB36">
        <v>18.87</v>
      </c>
    </row>
    <row r="37" spans="1:80" x14ac:dyDescent="0.4">
      <c r="A37" t="str">
        <f>IF(原始经营数据!$D38="","",原始经营数据!$D38)</f>
        <v>华夏华润消费封闭式基础设施证券投资基金</v>
      </c>
      <c r="B37" t="str">
        <f>IF(原始经营数据!$D38="","",T(原始经营数据!$E38))</f>
        <v>青岛万象城</v>
      </c>
      <c r="C37" t="str">
        <f>IF(原始经营数据!$D38="","",原始经营数据!$F38)</f>
        <v>2024Q1</v>
      </c>
      <c r="D37" t="str">
        <f>IF(原始经营数据!$D38="","",原始经营数据!$H38)</f>
        <v>期末加权平均剩余租期</v>
      </c>
      <c r="E37">
        <f>IF(原始经营数据!$D38="","",原始经营数据!$I38)</f>
        <v>2.17</v>
      </c>
      <c r="F37" t="str">
        <f>IF(原始经营数据!$D38="","",T(原始经营数据!$J38))</f>
        <v>年</v>
      </c>
      <c r="G37" t="str">
        <f>IF(原始经营数据!$D38="","",T(原始经营数据!$K38))</f>
        <v/>
      </c>
      <c r="H37" t="str">
        <f>IF(原始经营数据!$D38="","",原始经营数据!$G38)</f>
        <v>服务量</v>
      </c>
      <c r="I37" t="str">
        <f>IF($A37="","",IF($B37&lt;&gt;"",$B37,IF(COUNTIFS(原始经营数据!$D$3:$D$3001,$A37,原始经营数据!$E$3:$E$3001,"",原始经营数据!$F$3:$F$3001,$C37,原始经营数据!$H$3:$H$3001,$D37,原始经营数据!$K$3:$K$3001,$G37)&gt;1,"基金整体·来源"&amp;原始经营数据!$A38,"基金整体")))</f>
        <v>青岛万象城</v>
      </c>
      <c r="J37" t="str">
        <f t="shared" si="3"/>
        <v>季度</v>
      </c>
      <c r="K37" t="str">
        <f t="shared" si="4"/>
        <v>期末加权平均剩余租期（年）</v>
      </c>
      <c r="L37" t="str">
        <f t="shared" si="5"/>
        <v>青岛万象城|期末加权平均剩余租期（年）|季度</v>
      </c>
      <c r="M37">
        <f>IF($A37="",0,IF(COUNTIF($L$2:$L37,$L37)=1,1,0))</f>
        <v>1</v>
      </c>
      <c r="N37">
        <f t="shared" si="6"/>
        <v>20241</v>
      </c>
      <c r="O37" t="str">
        <f t="shared" si="7"/>
        <v>华夏华润消费封闭式基础设施证券投资基金|2024Q1|季度</v>
      </c>
      <c r="P37">
        <f>IF($A37="",0,IF(COUNTIF($O$2:$O37,$O37)=1,1,0))</f>
        <v>0</v>
      </c>
      <c r="Q37" t="str">
        <f>IF(AND($P37=1,$A37=经营数据!$B$3,$J37=经营数据!$BA$5),COUNTIFS($P$2:$P$3000,1,$A$2:$A$3000,$A37,$J$2:$J$3000,$J37,$N$2:$N$3000,"&lt;"&amp;$N37)+1,"")</f>
        <v/>
      </c>
      <c r="R37" t="str">
        <f t="shared" si="8"/>
        <v>华夏华润消费封闭式基础设施证券投资基金|青岛万象城</v>
      </c>
      <c r="S37">
        <f>IF($A37="",0,IF(COUNTIF($R$2:$R37,$R37)=1,1,0))</f>
        <v>1</v>
      </c>
      <c r="T37">
        <f t="shared" si="9"/>
        <v>36</v>
      </c>
      <c r="U37">
        <f>IF($A37="","",IF($A37=经营数据!$B$3,COUNTIFS($S$2:$S$3000,1,$A$2:$A$3000,$A37,$T$2:$T$3000,"&lt;"&amp;$T37)+1,""))</f>
        <v>2</v>
      </c>
      <c r="V37" t="str">
        <f t="shared" si="10"/>
        <v>青岛万象城|服务量</v>
      </c>
      <c r="W37">
        <f t="shared" si="11"/>
        <v>36</v>
      </c>
      <c r="X37" t="str">
        <f t="shared" si="12"/>
        <v>青岛万象城|期末加权平均剩余租期</v>
      </c>
      <c r="Y37">
        <f t="shared" si="13"/>
        <v>36</v>
      </c>
      <c r="Z37">
        <f>IF($A37="",0,IF(AND($M37=1,$A37=经营数据!$B$3,$J37=经营数据!$BA$5,OR($I37=经营数据!$BA$4,COUNTIF(经营数据!$AA$9:$AA$38,$I37)&gt;0)),1,0))</f>
        <v>0</v>
      </c>
      <c r="AA37" t="str">
        <f t="shared" si="14"/>
        <v/>
      </c>
      <c r="AB37" t="str">
        <f t="shared" si="15"/>
        <v/>
      </c>
      <c r="AC37">
        <f>IF($A37="",0,IF(COUNTIF($A$2:$A37,$A37)=1,1,0))</f>
        <v>0</v>
      </c>
      <c r="AD37">
        <f t="shared" si="16"/>
        <v>1</v>
      </c>
      <c r="AE37" t="str">
        <f t="shared" si="17"/>
        <v>青岛万象城|期末加权平均剩余租期（年）</v>
      </c>
      <c r="BA37" t="s">
        <v>5238</v>
      </c>
      <c r="BB37" t="s">
        <v>5239</v>
      </c>
      <c r="BP37" s="47">
        <v>45419</v>
      </c>
      <c r="BQ37" s="29">
        <v>5.3537364616303623E-2</v>
      </c>
      <c r="BT37" t="s">
        <v>408</v>
      </c>
      <c r="BU37" t="s">
        <v>202</v>
      </c>
      <c r="BV37" t="s">
        <v>587</v>
      </c>
      <c r="BW37" t="s">
        <v>409</v>
      </c>
      <c r="BX37" t="s">
        <v>588</v>
      </c>
      <c r="BY37">
        <v>10.119999999999999</v>
      </c>
      <c r="BZ37" t="str">
        <f>IF($BT37=数据概览!$C$92,COUNTIFS($BT$3:$BT37,数据概览!$C$92),"")</f>
        <v/>
      </c>
      <c r="CA37">
        <f>IF(AND($BT37=数据概览!$C$92,COUNTIFS($BT$3:$BT37,数据概览!$C$92,$BU$3:$BU37,$BU37)=1),1,0)</f>
        <v>0</v>
      </c>
      <c r="CB37">
        <v>30.55</v>
      </c>
    </row>
    <row r="38" spans="1:80" x14ac:dyDescent="0.4">
      <c r="A38" t="str">
        <f>IF(原始经营数据!$D39="","",原始经营数据!$D39)</f>
        <v>华夏华润消费封闭式基础设施证券投资基金</v>
      </c>
      <c r="B38" t="str">
        <f>IF(原始经营数据!$D39="","",T(原始经营数据!$E39))</f>
        <v>青岛万象城</v>
      </c>
      <c r="C38" t="str">
        <f>IF(原始经营数据!$D39="","",原始经营数据!$F39)</f>
        <v>2024Q1</v>
      </c>
      <c r="D38" t="str">
        <f>IF(原始经营数据!$D39="","",原始经营数据!$H39)</f>
        <v>期末可供出租面积</v>
      </c>
      <c r="E38">
        <f>IF(原始经营数据!$D39="","",原始经营数据!$I39)</f>
        <v>136577.5</v>
      </c>
      <c r="F38" t="str">
        <f>IF(原始经营数据!$D39="","",T(原始经营数据!$J39))</f>
        <v>平方米</v>
      </c>
      <c r="G38" t="str">
        <f>IF(原始经营数据!$D39="","",T(原始经营数据!$K39))</f>
        <v/>
      </c>
      <c r="H38" t="str">
        <f>IF(原始经营数据!$D39="","",原始经营数据!$G39)</f>
        <v>服务量</v>
      </c>
      <c r="I38" t="str">
        <f>IF($A38="","",IF($B38&lt;&gt;"",$B38,IF(COUNTIFS(原始经营数据!$D$3:$D$3001,$A38,原始经营数据!$E$3:$E$3001,"",原始经营数据!$F$3:$F$3001,$C38,原始经营数据!$H$3:$H$3001,$D38,原始经营数据!$K$3:$K$3001,$G38)&gt;1,"基金整体·来源"&amp;原始经营数据!$A39,"基金整体")))</f>
        <v>青岛万象城</v>
      </c>
      <c r="J38" t="str">
        <f t="shared" si="3"/>
        <v>季度</v>
      </c>
      <c r="K38" t="str">
        <f t="shared" si="4"/>
        <v>期末可供出租面积（平方米）</v>
      </c>
      <c r="L38" t="str">
        <f t="shared" si="5"/>
        <v>青岛万象城|期末可供出租面积（平方米）|季度</v>
      </c>
      <c r="M38">
        <f>IF($A38="",0,IF(COUNTIF($L$2:$L38,$L38)=1,1,0))</f>
        <v>1</v>
      </c>
      <c r="N38">
        <f t="shared" si="6"/>
        <v>20241</v>
      </c>
      <c r="O38" t="str">
        <f t="shared" si="7"/>
        <v>华夏华润消费封闭式基础设施证券投资基金|2024Q1|季度</v>
      </c>
      <c r="P38">
        <f>IF($A38="",0,IF(COUNTIF($O$2:$O38,$O38)=1,1,0))</f>
        <v>0</v>
      </c>
      <c r="Q38" t="str">
        <f>IF(AND($P38=1,$A38=经营数据!$B$3,$J38=经营数据!$BA$5),COUNTIFS($P$2:$P$3000,1,$A$2:$A$3000,$A38,$J$2:$J$3000,$J38,$N$2:$N$3000,"&lt;"&amp;$N38)+1,"")</f>
        <v/>
      </c>
      <c r="R38" t="str">
        <f t="shared" si="8"/>
        <v>华夏华润消费封闭式基础设施证券投资基金|青岛万象城</v>
      </c>
      <c r="S38">
        <f>IF($A38="",0,IF(COUNTIF($R$2:$R38,$R38)=1,1,0))</f>
        <v>0</v>
      </c>
      <c r="T38">
        <f t="shared" si="9"/>
        <v>36</v>
      </c>
      <c r="U38">
        <f>IF($A38="","",IF($A38=经营数据!$B$3,COUNTIFS($S$2:$S$3000,1,$A$2:$A$3000,$A38,$T$2:$T$3000,"&lt;"&amp;$T38)+1,""))</f>
        <v>2</v>
      </c>
      <c r="V38" t="str">
        <f t="shared" si="10"/>
        <v>青岛万象城|服务量</v>
      </c>
      <c r="W38">
        <f t="shared" si="11"/>
        <v>36</v>
      </c>
      <c r="X38" t="str">
        <f t="shared" si="12"/>
        <v>青岛万象城|期末可供出租面积</v>
      </c>
      <c r="Y38">
        <f t="shared" si="13"/>
        <v>37</v>
      </c>
      <c r="Z38">
        <f>IF($A38="",0,IF(AND($M38=1,$A38=经营数据!$B$3,$J38=经营数据!$BA$5,OR($I38=经营数据!$BA$4,COUNTIF(经营数据!$AA$9:$AA$38,$I38)&gt;0)),1,0))</f>
        <v>0</v>
      </c>
      <c r="AA38" t="str">
        <f t="shared" si="14"/>
        <v/>
      </c>
      <c r="AB38" t="str">
        <f t="shared" si="15"/>
        <v/>
      </c>
      <c r="AC38">
        <f>IF($A38="",0,IF(COUNTIF($A$2:$A38,$A38)=1,1,0))</f>
        <v>0</v>
      </c>
      <c r="AD38">
        <f t="shared" si="16"/>
        <v>1</v>
      </c>
      <c r="AE38" t="str">
        <f t="shared" si="17"/>
        <v>青岛万象城|期末可供出租面积（平方米）</v>
      </c>
      <c r="BA38" t="s">
        <v>5240</v>
      </c>
      <c r="BB38" t="s">
        <v>5241</v>
      </c>
      <c r="BP38" s="47">
        <v>45420</v>
      </c>
      <c r="BQ38" s="29">
        <v>5.3518971110365812E-2</v>
      </c>
      <c r="BT38" t="s">
        <v>408</v>
      </c>
      <c r="BU38" t="s">
        <v>215</v>
      </c>
      <c r="BV38" t="s">
        <v>599</v>
      </c>
      <c r="BW38" t="s">
        <v>600</v>
      </c>
      <c r="BX38" t="s">
        <v>212</v>
      </c>
      <c r="BY38">
        <v>33.409999999999997</v>
      </c>
      <c r="BZ38" t="str">
        <f>IF($BT38=数据概览!$C$92,COUNTIFS($BT$3:$BT38,数据概览!$C$92),"")</f>
        <v/>
      </c>
      <c r="CA38">
        <f>IF(AND($BT38=数据概览!$C$92,COUNTIFS($BT$3:$BT38,数据概览!$C$92,$BU$3:$BU38,$BU38)=1),1,0)</f>
        <v>0</v>
      </c>
      <c r="CB38">
        <v>30.2</v>
      </c>
    </row>
    <row r="39" spans="1:80" x14ac:dyDescent="0.4">
      <c r="A39" t="str">
        <f>IF(原始经营数据!$D40="","",原始经营数据!$D40)</f>
        <v>华夏华润消费封闭式基础设施证券投资基金</v>
      </c>
      <c r="B39" t="str">
        <f>IF(原始经营数据!$D40="","",T(原始经营数据!$E40))</f>
        <v>青岛万象城</v>
      </c>
      <c r="C39" t="str">
        <f>IF(原始经营数据!$D40="","",原始经营数据!$F40)</f>
        <v>2024Q1</v>
      </c>
      <c r="D39" t="str">
        <f>IF(原始经营数据!$D40="","",原始经营数据!$H40)</f>
        <v>期末实际出租面积</v>
      </c>
      <c r="E39">
        <f>IF(原始经营数据!$D40="","",原始经营数据!$I40)</f>
        <v>135206.5</v>
      </c>
      <c r="F39" t="str">
        <f>IF(原始经营数据!$D40="","",T(原始经营数据!$J40))</f>
        <v>平方米</v>
      </c>
      <c r="G39" t="str">
        <f>IF(原始经营数据!$D40="","",T(原始经营数据!$K40))</f>
        <v/>
      </c>
      <c r="H39" t="str">
        <f>IF(原始经营数据!$D40="","",原始经营数据!$G40)</f>
        <v>服务量</v>
      </c>
      <c r="I39" t="str">
        <f>IF($A39="","",IF($B39&lt;&gt;"",$B39,IF(COUNTIFS(原始经营数据!$D$3:$D$3001,$A39,原始经营数据!$E$3:$E$3001,"",原始经营数据!$F$3:$F$3001,$C39,原始经营数据!$H$3:$H$3001,$D39,原始经营数据!$K$3:$K$3001,$G39)&gt;1,"基金整体·来源"&amp;原始经营数据!$A40,"基金整体")))</f>
        <v>青岛万象城</v>
      </c>
      <c r="J39" t="str">
        <f t="shared" si="3"/>
        <v>季度</v>
      </c>
      <c r="K39" t="str">
        <f t="shared" si="4"/>
        <v>期末实际出租面积（平方米）</v>
      </c>
      <c r="L39" t="str">
        <f t="shared" si="5"/>
        <v>青岛万象城|期末实际出租面积（平方米）|季度</v>
      </c>
      <c r="M39">
        <f>IF($A39="",0,IF(COUNTIF($L$2:$L39,$L39)=1,1,0))</f>
        <v>1</v>
      </c>
      <c r="N39">
        <f t="shared" si="6"/>
        <v>20241</v>
      </c>
      <c r="O39" t="str">
        <f t="shared" si="7"/>
        <v>华夏华润消费封闭式基础设施证券投资基金|2024Q1|季度</v>
      </c>
      <c r="P39">
        <f>IF($A39="",0,IF(COUNTIF($O$2:$O39,$O39)=1,1,0))</f>
        <v>0</v>
      </c>
      <c r="Q39" t="str">
        <f>IF(AND($P39=1,$A39=经营数据!$B$3,$J39=经营数据!$BA$5),COUNTIFS($P$2:$P$3000,1,$A$2:$A$3000,$A39,$J$2:$J$3000,$J39,$N$2:$N$3000,"&lt;"&amp;$N39)+1,"")</f>
        <v/>
      </c>
      <c r="R39" t="str">
        <f t="shared" si="8"/>
        <v>华夏华润消费封闭式基础设施证券投资基金|青岛万象城</v>
      </c>
      <c r="S39">
        <f>IF($A39="",0,IF(COUNTIF($R$2:$R39,$R39)=1,1,0))</f>
        <v>0</v>
      </c>
      <c r="T39">
        <f t="shared" si="9"/>
        <v>36</v>
      </c>
      <c r="U39">
        <f>IF($A39="","",IF($A39=经营数据!$B$3,COUNTIFS($S$2:$S$3000,1,$A$2:$A$3000,$A39,$T$2:$T$3000,"&lt;"&amp;$T39)+1,""))</f>
        <v>2</v>
      </c>
      <c r="V39" t="str">
        <f t="shared" si="10"/>
        <v>青岛万象城|服务量</v>
      </c>
      <c r="W39">
        <f t="shared" si="11"/>
        <v>36</v>
      </c>
      <c r="X39" t="str">
        <f t="shared" si="12"/>
        <v>青岛万象城|期末实际出租面积</v>
      </c>
      <c r="Y39">
        <f t="shared" si="13"/>
        <v>38</v>
      </c>
      <c r="Z39">
        <f>IF($A39="",0,IF(AND($M39=1,$A39=经营数据!$B$3,$J39=经营数据!$BA$5,OR($I39=经营数据!$BA$4,COUNTIF(经营数据!$AA$9:$AA$38,$I39)&gt;0)),1,0))</f>
        <v>0</v>
      </c>
      <c r="AA39" t="str">
        <f t="shared" si="14"/>
        <v/>
      </c>
      <c r="AB39" t="str">
        <f t="shared" si="15"/>
        <v/>
      </c>
      <c r="AC39">
        <f>IF($A39="",0,IF(COUNTIF($A$2:$A39,$A39)=1,1,0))</f>
        <v>0</v>
      </c>
      <c r="AD39">
        <f t="shared" si="16"/>
        <v>1</v>
      </c>
      <c r="AE39" t="str">
        <f t="shared" si="17"/>
        <v>青岛万象城|期末实际出租面积（平方米）</v>
      </c>
      <c r="BA39" t="s">
        <v>5242</v>
      </c>
      <c r="BB39" t="s">
        <v>5243</v>
      </c>
      <c r="BP39" s="47">
        <v>45421</v>
      </c>
      <c r="BQ39" s="29">
        <v>5.3473479634987567E-2</v>
      </c>
      <c r="BT39" t="s">
        <v>408</v>
      </c>
      <c r="BU39" t="s">
        <v>218</v>
      </c>
      <c r="BV39" t="s">
        <v>619</v>
      </c>
      <c r="BW39" t="s">
        <v>409</v>
      </c>
      <c r="BX39" t="s">
        <v>208</v>
      </c>
      <c r="BY39">
        <v>11.64</v>
      </c>
      <c r="BZ39" t="str">
        <f>IF($BT39=数据概览!$C$92,COUNTIFS($BT$3:$BT39,数据概览!$C$92),"")</f>
        <v/>
      </c>
      <c r="CA39">
        <f>IF(AND($BT39=数据概览!$C$92,COUNTIFS($BT$3:$BT39,数据概览!$C$92,$BU$3:$BU39,$BU39)=1),1,0)</f>
        <v>0</v>
      </c>
      <c r="CB39">
        <v>18.510000000000002</v>
      </c>
    </row>
    <row r="40" spans="1:80" x14ac:dyDescent="0.4">
      <c r="A40" t="str">
        <f>IF(原始经营数据!$D41="","",原始经营数据!$D41)</f>
        <v>华夏华润消费封闭式基础设施证券投资基金</v>
      </c>
      <c r="B40" t="str">
        <f>IF(原始经营数据!$D41="","",T(原始经营数据!$E41))</f>
        <v>青岛万象城</v>
      </c>
      <c r="C40" t="str">
        <f>IF(原始经营数据!$D41="","",原始经营数据!$F41)</f>
        <v>2024Q1</v>
      </c>
      <c r="D40" t="str">
        <f>IF(原始经营数据!$D41="","",原始经营数据!$H41)</f>
        <v>期末收缴率</v>
      </c>
      <c r="E40">
        <f>IF(原始经营数据!$D41="","",原始经营数据!$I41)</f>
        <v>98.03</v>
      </c>
      <c r="F40" t="str">
        <f>IF(原始经营数据!$D41="","",T(原始经营数据!$J41))</f>
        <v>%</v>
      </c>
      <c r="G40" t="str">
        <f>IF(原始经营数据!$D41="","",T(原始经营数据!$K41))</f>
        <v/>
      </c>
      <c r="H40" t="str">
        <f>IF(原始经营数据!$D41="","",原始经营数据!$G41)</f>
        <v>服务效率</v>
      </c>
      <c r="I40" t="str">
        <f>IF($A40="","",IF($B40&lt;&gt;"",$B40,IF(COUNTIFS(原始经营数据!$D$3:$D$3001,$A40,原始经营数据!$E$3:$E$3001,"",原始经营数据!$F$3:$F$3001,$C40,原始经营数据!$H$3:$H$3001,$D40,原始经营数据!$K$3:$K$3001,$G40)&gt;1,"基金整体·来源"&amp;原始经营数据!$A41,"基金整体")))</f>
        <v>青岛万象城</v>
      </c>
      <c r="J40" t="str">
        <f t="shared" si="3"/>
        <v>季度</v>
      </c>
      <c r="K40" t="str">
        <f t="shared" si="4"/>
        <v>期末收缴率（%）</v>
      </c>
      <c r="L40" t="str">
        <f t="shared" si="5"/>
        <v>青岛万象城|期末收缴率（%）|季度</v>
      </c>
      <c r="M40">
        <f>IF($A40="",0,IF(COUNTIF($L$2:$L40,$L40)=1,1,0))</f>
        <v>1</v>
      </c>
      <c r="N40">
        <f t="shared" si="6"/>
        <v>20241</v>
      </c>
      <c r="O40" t="str">
        <f t="shared" si="7"/>
        <v>华夏华润消费封闭式基础设施证券投资基金|2024Q1|季度</v>
      </c>
      <c r="P40">
        <f>IF($A40="",0,IF(COUNTIF($O$2:$O40,$O40)=1,1,0))</f>
        <v>0</v>
      </c>
      <c r="Q40" t="str">
        <f>IF(AND($P40=1,$A40=经营数据!$B$3,$J40=经营数据!$BA$5),COUNTIFS($P$2:$P$3000,1,$A$2:$A$3000,$A40,$J$2:$J$3000,$J40,$N$2:$N$3000,"&lt;"&amp;$N40)+1,"")</f>
        <v/>
      </c>
      <c r="R40" t="str">
        <f t="shared" si="8"/>
        <v>华夏华润消费封闭式基础设施证券投资基金|青岛万象城</v>
      </c>
      <c r="S40">
        <f>IF($A40="",0,IF(COUNTIF($R$2:$R40,$R40)=1,1,0))</f>
        <v>0</v>
      </c>
      <c r="T40">
        <f t="shared" si="9"/>
        <v>36</v>
      </c>
      <c r="U40">
        <f>IF($A40="","",IF($A40=经营数据!$B$3,COUNTIFS($S$2:$S$3000,1,$A$2:$A$3000,$A40,$T$2:$T$3000,"&lt;"&amp;$T40)+1,""))</f>
        <v>2</v>
      </c>
      <c r="V40" t="str">
        <f t="shared" si="10"/>
        <v>青岛万象城|服务效率</v>
      </c>
      <c r="W40">
        <f t="shared" si="11"/>
        <v>39</v>
      </c>
      <c r="X40" t="str">
        <f t="shared" si="12"/>
        <v>青岛万象城|期末收缴率</v>
      </c>
      <c r="Y40">
        <f t="shared" si="13"/>
        <v>39</v>
      </c>
      <c r="Z40">
        <f>IF($A40="",0,IF(AND($M40=1,$A40=经营数据!$B$3,$J40=经营数据!$BA$5,OR($I40=经营数据!$BA$4,COUNTIF(经营数据!$AA$9:$AA$38,$I40)&gt;0)),1,0))</f>
        <v>0</v>
      </c>
      <c r="AA40" t="str">
        <f t="shared" si="14"/>
        <v/>
      </c>
      <c r="AB40" t="str">
        <f t="shared" si="15"/>
        <v/>
      </c>
      <c r="AC40">
        <f>IF($A40="",0,IF(COUNTIF($A$2:$A40,$A40)=1,1,0))</f>
        <v>0</v>
      </c>
      <c r="AD40">
        <f t="shared" si="16"/>
        <v>1</v>
      </c>
      <c r="AE40" t="str">
        <f t="shared" si="17"/>
        <v>青岛万象城|期末收缴率（%）</v>
      </c>
      <c r="BA40" t="s">
        <v>5244</v>
      </c>
      <c r="BB40" t="s">
        <v>5245</v>
      </c>
      <c r="BP40" s="47">
        <v>45422</v>
      </c>
      <c r="BQ40" s="29">
        <v>5.3220322939951513E-2</v>
      </c>
      <c r="BT40" t="s">
        <v>408</v>
      </c>
      <c r="BU40" t="s">
        <v>227</v>
      </c>
      <c r="BV40" t="s">
        <v>637</v>
      </c>
      <c r="BW40" t="s">
        <v>600</v>
      </c>
      <c r="BX40" t="s">
        <v>249</v>
      </c>
      <c r="BY40">
        <v>14.63</v>
      </c>
      <c r="BZ40" t="str">
        <f>IF($BT40=数据概览!$C$92,COUNTIFS($BT$3:$BT40,数据概览!$C$92),"")</f>
        <v/>
      </c>
      <c r="CA40">
        <f>IF(AND($BT40=数据概览!$C$92,COUNTIFS($BT$3:$BT40,数据概览!$C$92,$BU$3:$BU40,$BU40)=1),1,0)</f>
        <v>0</v>
      </c>
      <c r="CB40">
        <v>17.89</v>
      </c>
    </row>
    <row r="41" spans="1:80" x14ac:dyDescent="0.4">
      <c r="A41" t="str">
        <f>IF(原始经营数据!$D42="","",原始经营数据!$D42)</f>
        <v>华夏华润消费封闭式基础设施证券投资基金</v>
      </c>
      <c r="B41" t="str">
        <f>IF(原始经营数据!$D42="","",T(原始经营数据!$E42))</f>
        <v>青岛万象城</v>
      </c>
      <c r="C41" t="str">
        <f>IF(原始经营数据!$D42="","",原始经营数据!$F42)</f>
        <v>2024Q1</v>
      </c>
      <c r="D41" t="str">
        <f>IF(原始经营数据!$D42="","",原始经营数据!$H42)</f>
        <v>期末出租率</v>
      </c>
      <c r="E41">
        <f>IF(原始经营数据!$D42="","",原始经营数据!$I42)</f>
        <v>99</v>
      </c>
      <c r="F41" t="str">
        <f>IF(原始经营数据!$D42="","",T(原始经营数据!$J42))</f>
        <v>%</v>
      </c>
      <c r="G41" t="str">
        <f>IF(原始经营数据!$D42="","",T(原始经营数据!$K42))</f>
        <v/>
      </c>
      <c r="H41" t="str">
        <f>IF(原始经营数据!$D42="","",原始经营数据!$G42)</f>
        <v>服务效率</v>
      </c>
      <c r="I41" t="str">
        <f>IF($A41="","",IF($B41&lt;&gt;"",$B41,IF(COUNTIFS(原始经营数据!$D$3:$D$3001,$A41,原始经营数据!$E$3:$E$3001,"",原始经营数据!$F$3:$F$3001,$C41,原始经营数据!$H$3:$H$3001,$D41,原始经营数据!$K$3:$K$3001,$G41)&gt;1,"基金整体·来源"&amp;原始经营数据!$A42,"基金整体")))</f>
        <v>青岛万象城</v>
      </c>
      <c r="J41" t="str">
        <f t="shared" si="3"/>
        <v>季度</v>
      </c>
      <c r="K41" t="str">
        <f t="shared" si="4"/>
        <v>期末出租率（%）</v>
      </c>
      <c r="L41" t="str">
        <f t="shared" si="5"/>
        <v>青岛万象城|期末出租率（%）|季度</v>
      </c>
      <c r="M41">
        <f>IF($A41="",0,IF(COUNTIF($L$2:$L41,$L41)=1,1,0))</f>
        <v>1</v>
      </c>
      <c r="N41">
        <f t="shared" si="6"/>
        <v>20241</v>
      </c>
      <c r="O41" t="str">
        <f t="shared" si="7"/>
        <v>华夏华润消费封闭式基础设施证券投资基金|2024Q1|季度</v>
      </c>
      <c r="P41">
        <f>IF($A41="",0,IF(COUNTIF($O$2:$O41,$O41)=1,1,0))</f>
        <v>0</v>
      </c>
      <c r="Q41" t="str">
        <f>IF(AND($P41=1,$A41=经营数据!$B$3,$J41=经营数据!$BA$5),COUNTIFS($P$2:$P$3000,1,$A$2:$A$3000,$A41,$J$2:$J$3000,$J41,$N$2:$N$3000,"&lt;"&amp;$N41)+1,"")</f>
        <v/>
      </c>
      <c r="R41" t="str">
        <f t="shared" si="8"/>
        <v>华夏华润消费封闭式基础设施证券投资基金|青岛万象城</v>
      </c>
      <c r="S41">
        <f>IF($A41="",0,IF(COUNTIF($R$2:$R41,$R41)=1,1,0))</f>
        <v>0</v>
      </c>
      <c r="T41">
        <f t="shared" si="9"/>
        <v>36</v>
      </c>
      <c r="U41">
        <f>IF($A41="","",IF($A41=经营数据!$B$3,COUNTIFS($S$2:$S$3000,1,$A$2:$A$3000,$A41,$T$2:$T$3000,"&lt;"&amp;$T41)+1,""))</f>
        <v>2</v>
      </c>
      <c r="V41" t="str">
        <f t="shared" si="10"/>
        <v>青岛万象城|服务效率</v>
      </c>
      <c r="W41">
        <f t="shared" si="11"/>
        <v>39</v>
      </c>
      <c r="X41" t="str">
        <f t="shared" si="12"/>
        <v>青岛万象城|期末出租率</v>
      </c>
      <c r="Y41">
        <f t="shared" si="13"/>
        <v>40</v>
      </c>
      <c r="Z41">
        <f>IF($A41="",0,IF(AND($M41=1,$A41=经营数据!$B$3,$J41=经营数据!$BA$5,OR($I41=经营数据!$BA$4,COUNTIF(经营数据!$AA$9:$AA$38,$I41)&gt;0)),1,0))</f>
        <v>0</v>
      </c>
      <c r="AA41" t="str">
        <f t="shared" si="14"/>
        <v/>
      </c>
      <c r="AB41" t="str">
        <f t="shared" si="15"/>
        <v/>
      </c>
      <c r="AC41">
        <f>IF($A41="",0,IF(COUNTIF($A$2:$A41,$A41)=1,1,0))</f>
        <v>0</v>
      </c>
      <c r="AD41">
        <f t="shared" si="16"/>
        <v>1</v>
      </c>
      <c r="AE41" t="str">
        <f t="shared" si="17"/>
        <v>青岛万象城|期末出租率（%）</v>
      </c>
      <c r="BA41" t="s">
        <v>5246</v>
      </c>
      <c r="BB41" t="s">
        <v>5247</v>
      </c>
      <c r="BP41" s="47">
        <v>45425</v>
      </c>
      <c r="BQ41" s="29">
        <v>5.3021923110524012E-2</v>
      </c>
      <c r="BT41" t="s">
        <v>408</v>
      </c>
      <c r="BU41" t="s">
        <v>223</v>
      </c>
      <c r="BV41" t="s">
        <v>655</v>
      </c>
      <c r="BW41" t="s">
        <v>656</v>
      </c>
      <c r="BX41" t="s">
        <v>133</v>
      </c>
      <c r="BY41">
        <v>22.05</v>
      </c>
      <c r="BZ41" t="str">
        <f>IF($BT41=数据概览!$C$92,COUNTIFS($BT$3:$BT41,数据概览!$C$92),"")</f>
        <v/>
      </c>
      <c r="CA41">
        <f>IF(AND($BT41=数据概览!$C$92,COUNTIFS($BT$3:$BT41,数据概览!$C$92,$BU$3:$BU41,$BU41)=1),1,0)</f>
        <v>0</v>
      </c>
      <c r="CB41">
        <v>23.91</v>
      </c>
    </row>
    <row r="42" spans="1:80" x14ac:dyDescent="0.4">
      <c r="A42" t="str">
        <f>IF(原始经营数据!$D43="","",原始经营数据!$D43)</f>
        <v>华夏华润消费封闭式基础设施证券投资基金</v>
      </c>
      <c r="B42" t="str">
        <f>IF(原始经营数据!$D43="","",T(原始经营数据!$E43))</f>
        <v>青岛万象城</v>
      </c>
      <c r="C42" t="str">
        <f>IF(原始经营数据!$D43="","",原始经营数据!$F43)</f>
        <v>2024Q2</v>
      </c>
      <c r="D42" t="str">
        <f>IF(原始经营数据!$D43="","",原始经营数据!$H43)</f>
        <v>期末可供出租面积</v>
      </c>
      <c r="E42">
        <f>IF(原始经营数据!$D43="","",原始经营数据!$I43)</f>
        <v>137729.5</v>
      </c>
      <c r="F42" t="str">
        <f>IF(原始经营数据!$D43="","",T(原始经营数据!$J43))</f>
        <v>平方米</v>
      </c>
      <c r="G42" t="str">
        <f>IF(原始经营数据!$D43="","",T(原始经营数据!$K43))</f>
        <v/>
      </c>
      <c r="H42" t="str">
        <f>IF(原始经营数据!$D43="","",原始经营数据!$G43)</f>
        <v>服务量</v>
      </c>
      <c r="I42" t="str">
        <f>IF($A42="","",IF($B42&lt;&gt;"",$B42,IF(COUNTIFS(原始经营数据!$D$3:$D$3001,$A42,原始经营数据!$E$3:$E$3001,"",原始经营数据!$F$3:$F$3001,$C42,原始经营数据!$H$3:$H$3001,$D42,原始经营数据!$K$3:$K$3001,$G42)&gt;1,"基金整体·来源"&amp;原始经营数据!$A43,"基金整体")))</f>
        <v>青岛万象城</v>
      </c>
      <c r="J42" t="str">
        <f t="shared" si="3"/>
        <v>季度</v>
      </c>
      <c r="K42" t="str">
        <f t="shared" si="4"/>
        <v>期末可供出租面积（平方米）</v>
      </c>
      <c r="L42" t="str">
        <f t="shared" si="5"/>
        <v>青岛万象城|期末可供出租面积（平方米）|季度</v>
      </c>
      <c r="M42">
        <f>IF($A42="",0,IF(COUNTIF($L$2:$L42,$L42)=1,1,0))</f>
        <v>0</v>
      </c>
      <c r="N42">
        <f t="shared" si="6"/>
        <v>20242</v>
      </c>
      <c r="O42" t="str">
        <f t="shared" si="7"/>
        <v>华夏华润消费封闭式基础设施证券投资基金|2024Q2|季度</v>
      </c>
      <c r="P42">
        <f>IF($A42="",0,IF(COUNTIF($O$2:$O42,$O42)=1,1,0))</f>
        <v>0</v>
      </c>
      <c r="Q42" t="str">
        <f>IF(AND($P42=1,$A42=经营数据!$B$3,$J42=经营数据!$BA$5),COUNTIFS($P$2:$P$3000,1,$A$2:$A$3000,$A42,$J$2:$J$3000,$J42,$N$2:$N$3000,"&lt;"&amp;$N42)+1,"")</f>
        <v/>
      </c>
      <c r="R42" t="str">
        <f t="shared" si="8"/>
        <v>华夏华润消费封闭式基础设施证券投资基金|青岛万象城</v>
      </c>
      <c r="S42">
        <f>IF($A42="",0,IF(COUNTIF($R$2:$R42,$R42)=1,1,0))</f>
        <v>0</v>
      </c>
      <c r="T42">
        <f t="shared" si="9"/>
        <v>36</v>
      </c>
      <c r="U42">
        <f>IF($A42="","",IF($A42=经营数据!$B$3,COUNTIFS($S$2:$S$3000,1,$A$2:$A$3000,$A42,$T$2:$T$3000,"&lt;"&amp;$T42)+1,""))</f>
        <v>2</v>
      </c>
      <c r="V42" t="str">
        <f t="shared" si="10"/>
        <v>青岛万象城|服务量</v>
      </c>
      <c r="W42">
        <f t="shared" si="11"/>
        <v>36</v>
      </c>
      <c r="X42" t="str">
        <f t="shared" si="12"/>
        <v>青岛万象城|期末可供出租面积</v>
      </c>
      <c r="Y42">
        <f t="shared" si="13"/>
        <v>37</v>
      </c>
      <c r="Z42">
        <f>IF($A42="",0,IF(AND($M42=1,$A42=经营数据!$B$3,$J42=经营数据!$BA$5,OR($I42=经营数据!$BA$4,COUNTIF(经营数据!$AA$9:$AA$38,$I42)&gt;0)),1,0))</f>
        <v>0</v>
      </c>
      <c r="AA42" t="str">
        <f t="shared" si="14"/>
        <v/>
      </c>
      <c r="AB42" t="str">
        <f t="shared" si="15"/>
        <v/>
      </c>
      <c r="AC42">
        <f>IF($A42="",0,IF(COUNTIF($A$2:$A42,$A42)=1,1,0))</f>
        <v>0</v>
      </c>
      <c r="AD42">
        <f t="shared" si="16"/>
        <v>1</v>
      </c>
      <c r="AE42" t="str">
        <f t="shared" si="17"/>
        <v>青岛万象城|期末可供出租面积（平方米）</v>
      </c>
      <c r="BA42" t="s">
        <v>5248</v>
      </c>
      <c r="BB42" t="s">
        <v>5249</v>
      </c>
      <c r="BP42" s="47">
        <v>45426</v>
      </c>
      <c r="BQ42" s="29">
        <v>5.2688865465395328E-2</v>
      </c>
      <c r="BT42" t="s">
        <v>408</v>
      </c>
      <c r="BU42" t="s">
        <v>239</v>
      </c>
      <c r="BV42" t="s">
        <v>689</v>
      </c>
      <c r="BW42" t="s">
        <v>600</v>
      </c>
      <c r="BX42" t="s">
        <v>133</v>
      </c>
      <c r="BY42">
        <v>22.35</v>
      </c>
      <c r="BZ42" t="str">
        <f>IF($BT42=数据概览!$C$92,COUNTIFS($BT$3:$BT42,数据概览!$C$92),"")</f>
        <v/>
      </c>
      <c r="CA42">
        <f>IF(AND($BT42=数据概览!$C$92,COUNTIFS($BT$3:$BT42,数据概览!$C$92,$BU$3:$BU42,$BU42)=1),1,0)</f>
        <v>0</v>
      </c>
      <c r="CB42">
        <v>45.43</v>
      </c>
    </row>
    <row r="43" spans="1:80" x14ac:dyDescent="0.4">
      <c r="A43" t="str">
        <f>IF(原始经营数据!$D44="","",原始经营数据!$D44)</f>
        <v>华夏华润消费封闭式基础设施证券投资基金</v>
      </c>
      <c r="B43" t="str">
        <f>IF(原始经营数据!$D44="","",T(原始经营数据!$E44))</f>
        <v>青岛万象城</v>
      </c>
      <c r="C43" t="str">
        <f>IF(原始经营数据!$D44="","",原始经营数据!$F44)</f>
        <v>2024Q2</v>
      </c>
      <c r="D43" t="str">
        <f>IF(原始经营数据!$D44="","",原始经营数据!$H44)</f>
        <v>期末实际出租面积</v>
      </c>
      <c r="E43">
        <f>IF(原始经营数据!$D44="","",原始经营数据!$I44)</f>
        <v>136403.5</v>
      </c>
      <c r="F43" t="str">
        <f>IF(原始经营数据!$D44="","",T(原始经营数据!$J44))</f>
        <v>平方米</v>
      </c>
      <c r="G43" t="str">
        <f>IF(原始经营数据!$D44="","",T(原始经营数据!$K44))</f>
        <v/>
      </c>
      <c r="H43" t="str">
        <f>IF(原始经营数据!$D44="","",原始经营数据!$G44)</f>
        <v>服务量</v>
      </c>
      <c r="I43" t="str">
        <f>IF($A43="","",IF($B43&lt;&gt;"",$B43,IF(COUNTIFS(原始经营数据!$D$3:$D$3001,$A43,原始经营数据!$E$3:$E$3001,"",原始经营数据!$F$3:$F$3001,$C43,原始经营数据!$H$3:$H$3001,$D43,原始经营数据!$K$3:$K$3001,$G43)&gt;1,"基金整体·来源"&amp;原始经营数据!$A44,"基金整体")))</f>
        <v>青岛万象城</v>
      </c>
      <c r="J43" t="str">
        <f t="shared" si="3"/>
        <v>季度</v>
      </c>
      <c r="K43" t="str">
        <f t="shared" si="4"/>
        <v>期末实际出租面积（平方米）</v>
      </c>
      <c r="L43" t="str">
        <f t="shared" si="5"/>
        <v>青岛万象城|期末实际出租面积（平方米）|季度</v>
      </c>
      <c r="M43">
        <f>IF($A43="",0,IF(COUNTIF($L$2:$L43,$L43)=1,1,0))</f>
        <v>0</v>
      </c>
      <c r="N43">
        <f t="shared" si="6"/>
        <v>20242</v>
      </c>
      <c r="O43" t="str">
        <f t="shared" si="7"/>
        <v>华夏华润消费封闭式基础设施证券投资基金|2024Q2|季度</v>
      </c>
      <c r="P43">
        <f>IF($A43="",0,IF(COUNTIF($O$2:$O43,$O43)=1,1,0))</f>
        <v>0</v>
      </c>
      <c r="Q43" t="str">
        <f>IF(AND($P43=1,$A43=经营数据!$B$3,$J43=经营数据!$BA$5),COUNTIFS($P$2:$P$3000,1,$A$2:$A$3000,$A43,$J$2:$J$3000,$J43,$N$2:$N$3000,"&lt;"&amp;$N43)+1,"")</f>
        <v/>
      </c>
      <c r="R43" t="str">
        <f t="shared" si="8"/>
        <v>华夏华润消费封闭式基础设施证券投资基金|青岛万象城</v>
      </c>
      <c r="S43">
        <f>IF($A43="",0,IF(COUNTIF($R$2:$R43,$R43)=1,1,0))</f>
        <v>0</v>
      </c>
      <c r="T43">
        <f t="shared" si="9"/>
        <v>36</v>
      </c>
      <c r="U43">
        <f>IF($A43="","",IF($A43=经营数据!$B$3,COUNTIFS($S$2:$S$3000,1,$A$2:$A$3000,$A43,$T$2:$T$3000,"&lt;"&amp;$T43)+1,""))</f>
        <v>2</v>
      </c>
      <c r="V43" t="str">
        <f t="shared" si="10"/>
        <v>青岛万象城|服务量</v>
      </c>
      <c r="W43">
        <f t="shared" si="11"/>
        <v>36</v>
      </c>
      <c r="X43" t="str">
        <f t="shared" si="12"/>
        <v>青岛万象城|期末实际出租面积</v>
      </c>
      <c r="Y43">
        <f t="shared" si="13"/>
        <v>38</v>
      </c>
      <c r="Z43">
        <f>IF($A43="",0,IF(AND($M43=1,$A43=经营数据!$B$3,$J43=经营数据!$BA$5,OR($I43=经营数据!$BA$4,COUNTIF(经营数据!$AA$9:$AA$38,$I43)&gt;0)),1,0))</f>
        <v>0</v>
      </c>
      <c r="AA43" t="str">
        <f t="shared" si="14"/>
        <v/>
      </c>
      <c r="AB43" t="str">
        <f t="shared" si="15"/>
        <v/>
      </c>
      <c r="AC43">
        <f>IF($A43="",0,IF(COUNTIF($A$2:$A43,$A43)=1,1,0))</f>
        <v>0</v>
      </c>
      <c r="AD43">
        <f t="shared" si="16"/>
        <v>1</v>
      </c>
      <c r="AE43" t="str">
        <f t="shared" si="17"/>
        <v>青岛万象城|期末实际出租面积（平方米）</v>
      </c>
      <c r="BA43" t="s">
        <v>5250</v>
      </c>
      <c r="BB43" t="s">
        <v>5251</v>
      </c>
      <c r="BP43" s="47">
        <v>45427</v>
      </c>
      <c r="BQ43" s="29">
        <v>5.2699899960530983E-2</v>
      </c>
      <c r="BT43" t="s">
        <v>306</v>
      </c>
      <c r="BU43" t="s">
        <v>149</v>
      </c>
      <c r="BV43" t="s">
        <v>305</v>
      </c>
      <c r="BW43" t="s">
        <v>307</v>
      </c>
      <c r="BX43" t="s">
        <v>133</v>
      </c>
      <c r="BZ43" t="str">
        <f>IF($BT43=数据概览!$C$92,COUNTIFS($BT$3:$BT43,数据概览!$C$92),"")</f>
        <v/>
      </c>
      <c r="CA43">
        <f>IF(AND($BT43=数据概览!$C$92,COUNTIFS($BT$3:$BT43,数据概览!$C$92,$BU$3:$BU43,$BU43)=1),1,0)</f>
        <v>0</v>
      </c>
      <c r="CB43">
        <v>26.37</v>
      </c>
    </row>
    <row r="44" spans="1:80" x14ac:dyDescent="0.4">
      <c r="A44" t="str">
        <f>IF(原始经营数据!$D45="","",原始经营数据!$D45)</f>
        <v>华夏华润消费封闭式基础设施证券投资基金</v>
      </c>
      <c r="B44" t="str">
        <f>IF(原始经营数据!$D45="","",T(原始经营数据!$E45))</f>
        <v>青岛万象城</v>
      </c>
      <c r="C44" t="str">
        <f>IF(原始经营数据!$D45="","",原始经营数据!$F45)</f>
        <v>2024Q2</v>
      </c>
      <c r="D44" t="str">
        <f>IF(原始经营数据!$D45="","",原始经营数据!$H45)</f>
        <v>期末出租率</v>
      </c>
      <c r="E44">
        <f>IF(原始经营数据!$D45="","",原始经营数据!$I45)</f>
        <v>99.04</v>
      </c>
      <c r="F44" t="str">
        <f>IF(原始经营数据!$D45="","",T(原始经营数据!$J45))</f>
        <v>%</v>
      </c>
      <c r="G44" t="str">
        <f>IF(原始经营数据!$D45="","",T(原始经营数据!$K45))</f>
        <v/>
      </c>
      <c r="H44" t="str">
        <f>IF(原始经营数据!$D45="","",原始经营数据!$G45)</f>
        <v>服务效率</v>
      </c>
      <c r="I44" t="str">
        <f>IF($A44="","",IF($B44&lt;&gt;"",$B44,IF(COUNTIFS(原始经营数据!$D$3:$D$3001,$A44,原始经营数据!$E$3:$E$3001,"",原始经营数据!$F$3:$F$3001,$C44,原始经营数据!$H$3:$H$3001,$D44,原始经营数据!$K$3:$K$3001,$G44)&gt;1,"基金整体·来源"&amp;原始经营数据!$A45,"基金整体")))</f>
        <v>青岛万象城</v>
      </c>
      <c r="J44" t="str">
        <f t="shared" si="3"/>
        <v>季度</v>
      </c>
      <c r="K44" t="str">
        <f t="shared" si="4"/>
        <v>期末出租率（%）</v>
      </c>
      <c r="L44" t="str">
        <f t="shared" si="5"/>
        <v>青岛万象城|期末出租率（%）|季度</v>
      </c>
      <c r="M44">
        <f>IF($A44="",0,IF(COUNTIF($L$2:$L44,$L44)=1,1,0))</f>
        <v>0</v>
      </c>
      <c r="N44">
        <f t="shared" si="6"/>
        <v>20242</v>
      </c>
      <c r="O44" t="str">
        <f t="shared" si="7"/>
        <v>华夏华润消费封闭式基础设施证券投资基金|2024Q2|季度</v>
      </c>
      <c r="P44">
        <f>IF($A44="",0,IF(COUNTIF($O$2:$O44,$O44)=1,1,0))</f>
        <v>0</v>
      </c>
      <c r="Q44" t="str">
        <f>IF(AND($P44=1,$A44=经营数据!$B$3,$J44=经营数据!$BA$5),COUNTIFS($P$2:$P$3000,1,$A$2:$A$3000,$A44,$J$2:$J$3000,$J44,$N$2:$N$3000,"&lt;"&amp;$N44)+1,"")</f>
        <v/>
      </c>
      <c r="R44" t="str">
        <f t="shared" si="8"/>
        <v>华夏华润消费封闭式基础设施证券投资基金|青岛万象城</v>
      </c>
      <c r="S44">
        <f>IF($A44="",0,IF(COUNTIF($R$2:$R44,$R44)=1,1,0))</f>
        <v>0</v>
      </c>
      <c r="T44">
        <f t="shared" si="9"/>
        <v>36</v>
      </c>
      <c r="U44">
        <f>IF($A44="","",IF($A44=经营数据!$B$3,COUNTIFS($S$2:$S$3000,1,$A$2:$A$3000,$A44,$T$2:$T$3000,"&lt;"&amp;$T44)+1,""))</f>
        <v>2</v>
      </c>
      <c r="V44" t="str">
        <f t="shared" si="10"/>
        <v>青岛万象城|服务效率</v>
      </c>
      <c r="W44">
        <f t="shared" si="11"/>
        <v>39</v>
      </c>
      <c r="X44" t="str">
        <f t="shared" si="12"/>
        <v>青岛万象城|期末出租率</v>
      </c>
      <c r="Y44">
        <f t="shared" si="13"/>
        <v>40</v>
      </c>
      <c r="Z44">
        <f>IF($A44="",0,IF(AND($M44=1,$A44=经营数据!$B$3,$J44=经营数据!$BA$5,OR($I44=经营数据!$BA$4,COUNTIF(经营数据!$AA$9:$AA$38,$I44)&gt;0)),1,0))</f>
        <v>0</v>
      </c>
      <c r="AA44" t="str">
        <f t="shared" si="14"/>
        <v/>
      </c>
      <c r="AB44" t="str">
        <f t="shared" si="15"/>
        <v/>
      </c>
      <c r="AC44">
        <f>IF($A44="",0,IF(COUNTIF($A$2:$A44,$A44)=1,1,0))</f>
        <v>0</v>
      </c>
      <c r="AD44">
        <f t="shared" si="16"/>
        <v>1</v>
      </c>
      <c r="AE44" t="str">
        <f t="shared" si="17"/>
        <v>青岛万象城|期末出租率（%）</v>
      </c>
      <c r="BA44" t="s">
        <v>5252</v>
      </c>
      <c r="BB44" t="s">
        <v>5253</v>
      </c>
      <c r="BP44" s="47">
        <v>45428</v>
      </c>
      <c r="BQ44" s="29">
        <v>5.3028799140041168E-2</v>
      </c>
      <c r="BT44" t="s">
        <v>306</v>
      </c>
      <c r="BU44" t="s">
        <v>206</v>
      </c>
      <c r="BV44" t="s">
        <v>501</v>
      </c>
      <c r="BW44" t="s">
        <v>502</v>
      </c>
      <c r="BX44" t="s">
        <v>208</v>
      </c>
      <c r="BY44">
        <v>0.61</v>
      </c>
      <c r="BZ44" t="str">
        <f>IF($BT44=数据概览!$C$92,COUNTIFS($BT$3:$BT44,数据概览!$C$92),"")</f>
        <v/>
      </c>
      <c r="CA44">
        <f>IF(AND($BT44=数据概览!$C$92,COUNTIFS($BT$3:$BT44,数据概览!$C$92,$BU$3:$BU44,$BU44)=1),1,0)</f>
        <v>0</v>
      </c>
      <c r="CB44">
        <v>23.72</v>
      </c>
    </row>
    <row r="45" spans="1:80" x14ac:dyDescent="0.4">
      <c r="A45" t="str">
        <f>IF(原始经营数据!$D46="","",原始经营数据!$D46)</f>
        <v>华夏华润消费封闭式基础设施证券投资基金</v>
      </c>
      <c r="B45" t="str">
        <f>IF(原始经营数据!$D46="","",T(原始经营数据!$E46))</f>
        <v>青岛万象城</v>
      </c>
      <c r="C45" t="str">
        <f>IF(原始经营数据!$D46="","",原始经营数据!$F46)</f>
        <v>2024Q2</v>
      </c>
      <c r="D45" t="str">
        <f>IF(原始经营数据!$D46="","",原始经营数据!$H46)</f>
        <v>期末加权平均剩余租期</v>
      </c>
      <c r="E45">
        <f>IF(原始经营数据!$D46="","",原始经营数据!$I46)</f>
        <v>1.84</v>
      </c>
      <c r="F45" t="str">
        <f>IF(原始经营数据!$D46="","",T(原始经营数据!$J46))</f>
        <v>年</v>
      </c>
      <c r="G45" t="str">
        <f>IF(原始经营数据!$D46="","",T(原始经营数据!$K46))</f>
        <v/>
      </c>
      <c r="H45" t="str">
        <f>IF(原始经营数据!$D46="","",原始经营数据!$G46)</f>
        <v>服务量</v>
      </c>
      <c r="I45" t="str">
        <f>IF($A45="","",IF($B45&lt;&gt;"",$B45,IF(COUNTIFS(原始经营数据!$D$3:$D$3001,$A45,原始经营数据!$E$3:$E$3001,"",原始经营数据!$F$3:$F$3001,$C45,原始经营数据!$H$3:$H$3001,$D45,原始经营数据!$K$3:$K$3001,$G45)&gt;1,"基金整体·来源"&amp;原始经营数据!$A46,"基金整体")))</f>
        <v>青岛万象城</v>
      </c>
      <c r="J45" t="str">
        <f t="shared" si="3"/>
        <v>季度</v>
      </c>
      <c r="K45" t="str">
        <f t="shared" si="4"/>
        <v>期末加权平均剩余租期（年）</v>
      </c>
      <c r="L45" t="str">
        <f t="shared" si="5"/>
        <v>青岛万象城|期末加权平均剩余租期（年）|季度</v>
      </c>
      <c r="M45">
        <f>IF($A45="",0,IF(COUNTIF($L$2:$L45,$L45)=1,1,0))</f>
        <v>0</v>
      </c>
      <c r="N45">
        <f t="shared" si="6"/>
        <v>20242</v>
      </c>
      <c r="O45" t="str">
        <f t="shared" si="7"/>
        <v>华夏华润消费封闭式基础设施证券投资基金|2024Q2|季度</v>
      </c>
      <c r="P45">
        <f>IF($A45="",0,IF(COUNTIF($O$2:$O45,$O45)=1,1,0))</f>
        <v>0</v>
      </c>
      <c r="Q45" t="str">
        <f>IF(AND($P45=1,$A45=经营数据!$B$3,$J45=经营数据!$BA$5),COUNTIFS($P$2:$P$3000,1,$A$2:$A$3000,$A45,$J$2:$J$3000,$J45,$N$2:$N$3000,"&lt;"&amp;$N45)+1,"")</f>
        <v/>
      </c>
      <c r="R45" t="str">
        <f t="shared" si="8"/>
        <v>华夏华润消费封闭式基础设施证券投资基金|青岛万象城</v>
      </c>
      <c r="S45">
        <f>IF($A45="",0,IF(COUNTIF($R$2:$R45,$R45)=1,1,0))</f>
        <v>0</v>
      </c>
      <c r="T45">
        <f t="shared" si="9"/>
        <v>36</v>
      </c>
      <c r="U45">
        <f>IF($A45="","",IF($A45=经营数据!$B$3,COUNTIFS($S$2:$S$3000,1,$A$2:$A$3000,$A45,$T$2:$T$3000,"&lt;"&amp;$T45)+1,""))</f>
        <v>2</v>
      </c>
      <c r="V45" t="str">
        <f t="shared" si="10"/>
        <v>青岛万象城|服务量</v>
      </c>
      <c r="W45">
        <f t="shared" si="11"/>
        <v>36</v>
      </c>
      <c r="X45" t="str">
        <f t="shared" si="12"/>
        <v>青岛万象城|期末加权平均剩余租期</v>
      </c>
      <c r="Y45">
        <f t="shared" si="13"/>
        <v>36</v>
      </c>
      <c r="Z45">
        <f>IF($A45="",0,IF(AND($M45=1,$A45=经营数据!$B$3,$J45=经营数据!$BA$5,OR($I45=经营数据!$BA$4,COUNTIF(经营数据!$AA$9:$AA$38,$I45)&gt;0)),1,0))</f>
        <v>0</v>
      </c>
      <c r="AA45" t="str">
        <f t="shared" si="14"/>
        <v/>
      </c>
      <c r="AB45" t="str">
        <f t="shared" si="15"/>
        <v/>
      </c>
      <c r="AC45">
        <f>IF($A45="",0,IF(COUNTIF($A$2:$A45,$A45)=1,1,0))</f>
        <v>0</v>
      </c>
      <c r="AD45">
        <f t="shared" si="16"/>
        <v>1</v>
      </c>
      <c r="AE45" t="str">
        <f t="shared" si="17"/>
        <v>青岛万象城|期末加权平均剩余租期（年）</v>
      </c>
      <c r="BA45" t="s">
        <v>5254</v>
      </c>
      <c r="BB45" t="s">
        <v>5255</v>
      </c>
      <c r="BP45" s="47">
        <v>45429</v>
      </c>
      <c r="BQ45" s="29">
        <v>5.3130428126065839E-2</v>
      </c>
      <c r="BT45" t="s">
        <v>306</v>
      </c>
      <c r="BU45" t="s">
        <v>206</v>
      </c>
      <c r="BV45" t="s">
        <v>531</v>
      </c>
      <c r="BW45" t="s">
        <v>532</v>
      </c>
      <c r="BX45" t="s">
        <v>208</v>
      </c>
      <c r="BY45">
        <v>0.3</v>
      </c>
      <c r="BZ45" t="str">
        <f>IF($BT45=数据概览!$C$92,COUNTIFS($BT$3:$BT45,数据概览!$C$92),"")</f>
        <v/>
      </c>
      <c r="CA45">
        <f>IF(AND($BT45=数据概览!$C$92,COUNTIFS($BT$3:$BT45,数据概览!$C$92,$BU$3:$BU45,$BU45)=1),1,0)</f>
        <v>0</v>
      </c>
      <c r="CB45">
        <v>24.19</v>
      </c>
    </row>
    <row r="46" spans="1:80" x14ac:dyDescent="0.4">
      <c r="A46" t="str">
        <f>IF(原始经营数据!$D47="","",原始经营数据!$D47)</f>
        <v>华夏华润消费封闭式基础设施证券投资基金</v>
      </c>
      <c r="B46" t="str">
        <f>IF(原始经营数据!$D47="","",T(原始经营数据!$E47))</f>
        <v>青岛万象城</v>
      </c>
      <c r="C46" t="str">
        <f>IF(原始经营数据!$D47="","",原始经营数据!$F47)</f>
        <v>2024Q2</v>
      </c>
      <c r="D46" t="str">
        <f>IF(原始经营数据!$D47="","",原始经营数据!$H47)</f>
        <v>期末收缴率</v>
      </c>
      <c r="E46">
        <f>IF(原始经营数据!$D47="","",原始经营数据!$I47)</f>
        <v>100</v>
      </c>
      <c r="F46" t="str">
        <f>IF(原始经营数据!$D47="","",T(原始经营数据!$J47))</f>
        <v>%</v>
      </c>
      <c r="G46" t="str">
        <f>IF(原始经营数据!$D47="","",T(原始经营数据!$K47))</f>
        <v/>
      </c>
      <c r="H46" t="str">
        <f>IF(原始经营数据!$D47="","",原始经营数据!$G47)</f>
        <v>服务效率</v>
      </c>
      <c r="I46" t="str">
        <f>IF($A46="","",IF($B46&lt;&gt;"",$B46,IF(COUNTIFS(原始经营数据!$D$3:$D$3001,$A46,原始经营数据!$E$3:$E$3001,"",原始经营数据!$F$3:$F$3001,$C46,原始经营数据!$H$3:$H$3001,$D46,原始经营数据!$K$3:$K$3001,$G46)&gt;1,"基金整体·来源"&amp;原始经营数据!$A47,"基金整体")))</f>
        <v>青岛万象城</v>
      </c>
      <c r="J46" t="str">
        <f t="shared" si="3"/>
        <v>季度</v>
      </c>
      <c r="K46" t="str">
        <f t="shared" si="4"/>
        <v>期末收缴率（%）</v>
      </c>
      <c r="L46" t="str">
        <f t="shared" si="5"/>
        <v>青岛万象城|期末收缴率（%）|季度</v>
      </c>
      <c r="M46">
        <f>IF($A46="",0,IF(COUNTIF($L$2:$L46,$L46)=1,1,0))</f>
        <v>0</v>
      </c>
      <c r="N46">
        <f t="shared" si="6"/>
        <v>20242</v>
      </c>
      <c r="O46" t="str">
        <f t="shared" si="7"/>
        <v>华夏华润消费封闭式基础设施证券投资基金|2024Q2|季度</v>
      </c>
      <c r="P46">
        <f>IF($A46="",0,IF(COUNTIF($O$2:$O46,$O46)=1,1,0))</f>
        <v>0</v>
      </c>
      <c r="Q46" t="str">
        <f>IF(AND($P46=1,$A46=经营数据!$B$3,$J46=经营数据!$BA$5),COUNTIFS($P$2:$P$3000,1,$A$2:$A$3000,$A46,$J$2:$J$3000,$J46,$N$2:$N$3000,"&lt;"&amp;$N46)+1,"")</f>
        <v/>
      </c>
      <c r="R46" t="str">
        <f t="shared" si="8"/>
        <v>华夏华润消费封闭式基础设施证券投资基金|青岛万象城</v>
      </c>
      <c r="S46">
        <f>IF($A46="",0,IF(COUNTIF($R$2:$R46,$R46)=1,1,0))</f>
        <v>0</v>
      </c>
      <c r="T46">
        <f t="shared" si="9"/>
        <v>36</v>
      </c>
      <c r="U46">
        <f>IF($A46="","",IF($A46=经营数据!$B$3,COUNTIFS($S$2:$S$3000,1,$A$2:$A$3000,$A46,$T$2:$T$3000,"&lt;"&amp;$T46)+1,""))</f>
        <v>2</v>
      </c>
      <c r="V46" t="str">
        <f t="shared" si="10"/>
        <v>青岛万象城|服务效率</v>
      </c>
      <c r="W46">
        <f t="shared" si="11"/>
        <v>39</v>
      </c>
      <c r="X46" t="str">
        <f t="shared" si="12"/>
        <v>青岛万象城|期末收缴率</v>
      </c>
      <c r="Y46">
        <f t="shared" si="13"/>
        <v>39</v>
      </c>
      <c r="Z46">
        <f>IF($A46="",0,IF(AND($M46=1,$A46=经营数据!$B$3,$J46=经营数据!$BA$5,OR($I46=经营数据!$BA$4,COUNTIF(经营数据!$AA$9:$AA$38,$I46)&gt;0)),1,0))</f>
        <v>0</v>
      </c>
      <c r="AA46" t="str">
        <f t="shared" si="14"/>
        <v/>
      </c>
      <c r="AB46" t="str">
        <f t="shared" si="15"/>
        <v/>
      </c>
      <c r="AC46">
        <f>IF($A46="",0,IF(COUNTIF($A$2:$A46,$A46)=1,1,0))</f>
        <v>0</v>
      </c>
      <c r="AD46">
        <f t="shared" si="16"/>
        <v>1</v>
      </c>
      <c r="AE46" t="str">
        <f t="shared" si="17"/>
        <v>青岛万象城|期末收缴率（%）</v>
      </c>
      <c r="BA46" t="s">
        <v>5256</v>
      </c>
      <c r="BB46" t="s">
        <v>5257</v>
      </c>
      <c r="BP46" s="47">
        <v>45432</v>
      </c>
      <c r="BQ46" s="29">
        <v>5.3441157763056857E-2</v>
      </c>
      <c r="BT46" t="s">
        <v>306</v>
      </c>
      <c r="BU46" t="s">
        <v>206</v>
      </c>
      <c r="BV46" t="s">
        <v>542</v>
      </c>
      <c r="BW46" t="s">
        <v>543</v>
      </c>
      <c r="BX46" t="s">
        <v>208</v>
      </c>
      <c r="BY46">
        <v>0.44</v>
      </c>
      <c r="BZ46" t="str">
        <f>IF($BT46=数据概览!$C$92,COUNTIFS($BT$3:$BT46,数据概览!$C$92),"")</f>
        <v/>
      </c>
      <c r="CA46">
        <f>IF(AND($BT46=数据概览!$C$92,COUNTIFS($BT$3:$BT46,数据概览!$C$92,$BU$3:$BU46,$BU46)=1),1,0)</f>
        <v>0</v>
      </c>
      <c r="CB46">
        <v>23.47</v>
      </c>
    </row>
    <row r="47" spans="1:80" x14ac:dyDescent="0.4">
      <c r="A47" t="str">
        <f>IF(原始经营数据!$D48="","",原始经营数据!$D48)</f>
        <v>华夏华润消费封闭式基础设施证券投资基金</v>
      </c>
      <c r="B47" t="str">
        <f>IF(原始经营数据!$D48="","",T(原始经营数据!$E48))</f>
        <v>青岛万象城</v>
      </c>
      <c r="C47" t="str">
        <f>IF(原始经营数据!$D48="","",原始经营数据!$F48)</f>
        <v>2024Q2</v>
      </c>
      <c r="D47" t="str">
        <f>IF(原始经营数据!$D48="","",原始经营数据!$H48)</f>
        <v>期内租金单价水平</v>
      </c>
      <c r="E47">
        <f>IF(原始经营数据!$D48="","",原始经营数据!$I48)</f>
        <v>383.23</v>
      </c>
      <c r="F47" t="str">
        <f>IF(原始经营数据!$D48="","",T(原始经营数据!$J48))</f>
        <v>元/平方米/月</v>
      </c>
      <c r="G47" t="str">
        <f>IF(原始经营数据!$D48="","",T(原始经营数据!$K48))</f>
        <v/>
      </c>
      <c r="H47" t="str">
        <f>IF(原始经营数据!$D48="","",原始经营数据!$G48)</f>
        <v>服务价格</v>
      </c>
      <c r="I47" t="str">
        <f>IF($A47="","",IF($B47&lt;&gt;"",$B47,IF(COUNTIFS(原始经营数据!$D$3:$D$3001,$A47,原始经营数据!$E$3:$E$3001,"",原始经营数据!$F$3:$F$3001,$C47,原始经营数据!$H$3:$H$3001,$D47,原始经营数据!$K$3:$K$3001,$G47)&gt;1,"基金整体·来源"&amp;原始经营数据!$A48,"基金整体")))</f>
        <v>青岛万象城</v>
      </c>
      <c r="J47" t="str">
        <f t="shared" si="3"/>
        <v>季度</v>
      </c>
      <c r="K47" t="str">
        <f t="shared" si="4"/>
        <v>期内租金单价水平（元/平方米/月）</v>
      </c>
      <c r="L47" t="str">
        <f t="shared" si="5"/>
        <v>青岛万象城|期内租金单价水平（元/平方米/月）|季度</v>
      </c>
      <c r="M47">
        <f>IF($A47="",0,IF(COUNTIF($L$2:$L47,$L47)=1,1,0))</f>
        <v>1</v>
      </c>
      <c r="N47">
        <f t="shared" si="6"/>
        <v>20242</v>
      </c>
      <c r="O47" t="str">
        <f t="shared" si="7"/>
        <v>华夏华润消费封闭式基础设施证券投资基金|2024Q2|季度</v>
      </c>
      <c r="P47">
        <f>IF($A47="",0,IF(COUNTIF($O$2:$O47,$O47)=1,1,0))</f>
        <v>0</v>
      </c>
      <c r="Q47" t="str">
        <f>IF(AND($P47=1,$A47=经营数据!$B$3,$J47=经营数据!$BA$5),COUNTIFS($P$2:$P$3000,1,$A$2:$A$3000,$A47,$J$2:$J$3000,$J47,$N$2:$N$3000,"&lt;"&amp;$N47)+1,"")</f>
        <v/>
      </c>
      <c r="R47" t="str">
        <f t="shared" si="8"/>
        <v>华夏华润消费封闭式基础设施证券投资基金|青岛万象城</v>
      </c>
      <c r="S47">
        <f>IF($A47="",0,IF(COUNTIF($R$2:$R47,$R47)=1,1,0))</f>
        <v>0</v>
      </c>
      <c r="T47">
        <f t="shared" si="9"/>
        <v>36</v>
      </c>
      <c r="U47">
        <f>IF($A47="","",IF($A47=经营数据!$B$3,COUNTIFS($S$2:$S$3000,1,$A$2:$A$3000,$A47,$T$2:$T$3000,"&lt;"&amp;$T47)+1,""))</f>
        <v>2</v>
      </c>
      <c r="V47" t="str">
        <f t="shared" si="10"/>
        <v>青岛万象城|服务价格</v>
      </c>
      <c r="W47">
        <f t="shared" si="11"/>
        <v>46</v>
      </c>
      <c r="X47" t="str">
        <f t="shared" si="12"/>
        <v>青岛万象城|期内租金单价水平</v>
      </c>
      <c r="Y47">
        <f t="shared" si="13"/>
        <v>46</v>
      </c>
      <c r="Z47">
        <f>IF($A47="",0,IF(AND($M47=1,$A47=经营数据!$B$3,$J47=经营数据!$BA$5,OR($I47=经营数据!$BA$4,COUNTIF(经营数据!$AA$9:$AA$38,$I47)&gt;0)),1,0))</f>
        <v>0</v>
      </c>
      <c r="AA47" t="str">
        <f t="shared" si="14"/>
        <v/>
      </c>
      <c r="AB47" t="str">
        <f t="shared" si="15"/>
        <v/>
      </c>
      <c r="AC47">
        <f>IF($A47="",0,IF(COUNTIF($A$2:$A47,$A47)=1,1,0))</f>
        <v>0</v>
      </c>
      <c r="AD47">
        <f t="shared" si="16"/>
        <v>1</v>
      </c>
      <c r="AE47" t="str">
        <f t="shared" si="17"/>
        <v>青岛万象城|期内租金单价水平（元/平方米/月）</v>
      </c>
      <c r="BA47" t="s">
        <v>5258</v>
      </c>
      <c r="BB47" t="s">
        <v>5259</v>
      </c>
      <c r="BP47" s="47">
        <v>45433</v>
      </c>
      <c r="BQ47" s="29">
        <v>5.3401028259521047E-2</v>
      </c>
      <c r="BT47" t="s">
        <v>306</v>
      </c>
      <c r="BU47" t="s">
        <v>206</v>
      </c>
      <c r="BV47" t="s">
        <v>574</v>
      </c>
      <c r="BW47" t="s">
        <v>575</v>
      </c>
      <c r="BX47" t="s">
        <v>208</v>
      </c>
      <c r="BY47">
        <v>0.52</v>
      </c>
      <c r="BZ47" t="str">
        <f>IF($BT47=数据概览!$C$92,COUNTIFS($BT$3:$BT47,数据概览!$C$92),"")</f>
        <v/>
      </c>
      <c r="CA47">
        <f>IF(AND($BT47=数据概览!$C$92,COUNTIFS($BT$3:$BT47,数据概览!$C$92,$BU$3:$BU47,$BU47)=1),1,0)</f>
        <v>0</v>
      </c>
      <c r="CB47">
        <v>23.2</v>
      </c>
    </row>
    <row r="48" spans="1:80" x14ac:dyDescent="0.4">
      <c r="A48" t="str">
        <f>IF(原始经营数据!$D49="","",原始经营数据!$D49)</f>
        <v>华夏华润消费封闭式基础设施证券投资基金</v>
      </c>
      <c r="B48" t="str">
        <f>IF(原始经营数据!$D49="","",T(原始经营数据!$E49))</f>
        <v>青岛万象城</v>
      </c>
      <c r="C48" t="str">
        <f>IF(原始经营数据!$D49="","",原始经营数据!$F49)</f>
        <v>2024Q3</v>
      </c>
      <c r="D48" t="str">
        <f>IF(原始经营数据!$D49="","",原始经营数据!$H49)</f>
        <v>期内租金单价水平</v>
      </c>
      <c r="E48">
        <f>IF(原始经营数据!$D49="","",原始经营数据!$I49)</f>
        <v>412.61</v>
      </c>
      <c r="F48" t="str">
        <f>IF(原始经营数据!$D49="","",T(原始经营数据!$J49))</f>
        <v>元/平方米/月</v>
      </c>
      <c r="G48" t="str">
        <f>IF(原始经营数据!$D49="","",T(原始经营数据!$K49))</f>
        <v/>
      </c>
      <c r="H48" t="str">
        <f>IF(原始经营数据!$D49="","",原始经营数据!$G49)</f>
        <v>服务价格</v>
      </c>
      <c r="I48" t="str">
        <f>IF($A48="","",IF($B48&lt;&gt;"",$B48,IF(COUNTIFS(原始经营数据!$D$3:$D$3001,$A48,原始经营数据!$E$3:$E$3001,"",原始经营数据!$F$3:$F$3001,$C48,原始经营数据!$H$3:$H$3001,$D48,原始经营数据!$K$3:$K$3001,$G48)&gt;1,"基金整体·来源"&amp;原始经营数据!$A49,"基金整体")))</f>
        <v>青岛万象城</v>
      </c>
      <c r="J48" t="str">
        <f t="shared" si="3"/>
        <v>季度</v>
      </c>
      <c r="K48" t="str">
        <f t="shared" si="4"/>
        <v>期内租金单价水平（元/平方米/月）</v>
      </c>
      <c r="L48" t="str">
        <f t="shared" si="5"/>
        <v>青岛万象城|期内租金单价水平（元/平方米/月）|季度</v>
      </c>
      <c r="M48">
        <f>IF($A48="",0,IF(COUNTIF($L$2:$L48,$L48)=1,1,0))</f>
        <v>0</v>
      </c>
      <c r="N48">
        <f t="shared" si="6"/>
        <v>20243</v>
      </c>
      <c r="O48" t="str">
        <f t="shared" si="7"/>
        <v>华夏华润消费封闭式基础设施证券投资基金|2024Q3|季度</v>
      </c>
      <c r="P48">
        <f>IF($A48="",0,IF(COUNTIF($O$2:$O48,$O48)=1,1,0))</f>
        <v>0</v>
      </c>
      <c r="Q48" t="str">
        <f>IF(AND($P48=1,$A48=经营数据!$B$3,$J48=经营数据!$BA$5),COUNTIFS($P$2:$P$3000,1,$A$2:$A$3000,$A48,$J$2:$J$3000,$J48,$N$2:$N$3000,"&lt;"&amp;$N48)+1,"")</f>
        <v/>
      </c>
      <c r="R48" t="str">
        <f t="shared" si="8"/>
        <v>华夏华润消费封闭式基础设施证券投资基金|青岛万象城</v>
      </c>
      <c r="S48">
        <f>IF($A48="",0,IF(COUNTIF($R$2:$R48,$R48)=1,1,0))</f>
        <v>0</v>
      </c>
      <c r="T48">
        <f t="shared" si="9"/>
        <v>36</v>
      </c>
      <c r="U48">
        <f>IF($A48="","",IF($A48=经营数据!$B$3,COUNTIFS($S$2:$S$3000,1,$A$2:$A$3000,$A48,$T$2:$T$3000,"&lt;"&amp;$T48)+1,""))</f>
        <v>2</v>
      </c>
      <c r="V48" t="str">
        <f t="shared" si="10"/>
        <v>青岛万象城|服务价格</v>
      </c>
      <c r="W48">
        <f t="shared" si="11"/>
        <v>46</v>
      </c>
      <c r="X48" t="str">
        <f t="shared" si="12"/>
        <v>青岛万象城|期内租金单价水平</v>
      </c>
      <c r="Y48">
        <f t="shared" si="13"/>
        <v>46</v>
      </c>
      <c r="Z48">
        <f>IF($A48="",0,IF(AND($M48=1,$A48=经营数据!$B$3,$J48=经营数据!$BA$5,OR($I48=经营数据!$BA$4,COUNTIF(经营数据!$AA$9:$AA$38,$I48)&gt;0)),1,0))</f>
        <v>0</v>
      </c>
      <c r="AA48" t="str">
        <f t="shared" si="14"/>
        <v/>
      </c>
      <c r="AB48" t="str">
        <f t="shared" si="15"/>
        <v/>
      </c>
      <c r="AC48">
        <f>IF($A48="",0,IF(COUNTIF($A$2:$A48,$A48)=1,1,0))</f>
        <v>0</v>
      </c>
      <c r="AD48">
        <f t="shared" si="16"/>
        <v>1</v>
      </c>
      <c r="AE48" t="str">
        <f t="shared" si="17"/>
        <v>青岛万象城|期内租金单价水平（元/平方米/月）</v>
      </c>
      <c r="BA48" t="s">
        <v>5260</v>
      </c>
      <c r="BB48" t="s">
        <v>5261</v>
      </c>
      <c r="BP48" s="47">
        <v>45434</v>
      </c>
      <c r="BQ48" s="29">
        <v>5.3408874941224489E-2</v>
      </c>
      <c r="BT48" t="s">
        <v>306</v>
      </c>
      <c r="BU48" t="s">
        <v>221</v>
      </c>
      <c r="BV48" t="s">
        <v>623</v>
      </c>
      <c r="BW48" t="s">
        <v>624</v>
      </c>
      <c r="BX48" t="s">
        <v>133</v>
      </c>
      <c r="BY48">
        <v>9.9</v>
      </c>
      <c r="BZ48" t="str">
        <f>IF($BT48=数据概览!$C$92,COUNTIFS($BT$3:$BT48,数据概览!$C$92),"")</f>
        <v/>
      </c>
      <c r="CA48">
        <f>IF(AND($BT48=数据概览!$C$92,COUNTIFS($BT$3:$BT48,数据概览!$C$92,$BU$3:$BU48,$BU48)=1),1,0)</f>
        <v>0</v>
      </c>
      <c r="CB48">
        <v>30.43</v>
      </c>
    </row>
    <row r="49" spans="1:80" x14ac:dyDescent="0.4">
      <c r="A49" t="str">
        <f>IF(原始经营数据!$D50="","",原始经营数据!$D50)</f>
        <v>华夏华润消费封闭式基础设施证券投资基金</v>
      </c>
      <c r="B49" t="str">
        <f>IF(原始经营数据!$D50="","",T(原始经营数据!$E50))</f>
        <v>青岛万象城</v>
      </c>
      <c r="C49" t="str">
        <f>IF(原始经营数据!$D50="","",原始经营数据!$F50)</f>
        <v>2024Q3</v>
      </c>
      <c r="D49" t="str">
        <f>IF(原始经营数据!$D50="","",原始经营数据!$H50)</f>
        <v>期末加权平均剩余租期</v>
      </c>
      <c r="E49">
        <f>IF(原始经营数据!$D50="","",原始经营数据!$I50)</f>
        <v>1.79</v>
      </c>
      <c r="F49" t="str">
        <f>IF(原始经营数据!$D50="","",T(原始经营数据!$J50))</f>
        <v>年</v>
      </c>
      <c r="G49" t="str">
        <f>IF(原始经营数据!$D50="","",T(原始经营数据!$K50))</f>
        <v/>
      </c>
      <c r="H49" t="str">
        <f>IF(原始经营数据!$D50="","",原始经营数据!$G50)</f>
        <v>服务量</v>
      </c>
      <c r="I49" t="str">
        <f>IF($A49="","",IF($B49&lt;&gt;"",$B49,IF(COUNTIFS(原始经营数据!$D$3:$D$3001,$A49,原始经营数据!$E$3:$E$3001,"",原始经营数据!$F$3:$F$3001,$C49,原始经营数据!$H$3:$H$3001,$D49,原始经营数据!$K$3:$K$3001,$G49)&gt;1,"基金整体·来源"&amp;原始经营数据!$A50,"基金整体")))</f>
        <v>青岛万象城</v>
      </c>
      <c r="J49" t="str">
        <f t="shared" si="3"/>
        <v>季度</v>
      </c>
      <c r="K49" t="str">
        <f t="shared" si="4"/>
        <v>期末加权平均剩余租期（年）</v>
      </c>
      <c r="L49" t="str">
        <f t="shared" si="5"/>
        <v>青岛万象城|期末加权平均剩余租期（年）|季度</v>
      </c>
      <c r="M49">
        <f>IF($A49="",0,IF(COUNTIF($L$2:$L49,$L49)=1,1,0))</f>
        <v>0</v>
      </c>
      <c r="N49">
        <f t="shared" si="6"/>
        <v>20243</v>
      </c>
      <c r="O49" t="str">
        <f t="shared" si="7"/>
        <v>华夏华润消费封闭式基础设施证券投资基金|2024Q3|季度</v>
      </c>
      <c r="P49">
        <f>IF($A49="",0,IF(COUNTIF($O$2:$O49,$O49)=1,1,0))</f>
        <v>0</v>
      </c>
      <c r="Q49" t="str">
        <f>IF(AND($P49=1,$A49=经营数据!$B$3,$J49=经营数据!$BA$5),COUNTIFS($P$2:$P$3000,1,$A$2:$A$3000,$A49,$J$2:$J$3000,$J49,$N$2:$N$3000,"&lt;"&amp;$N49)+1,"")</f>
        <v/>
      </c>
      <c r="R49" t="str">
        <f t="shared" si="8"/>
        <v>华夏华润消费封闭式基础设施证券投资基金|青岛万象城</v>
      </c>
      <c r="S49">
        <f>IF($A49="",0,IF(COUNTIF($R$2:$R49,$R49)=1,1,0))</f>
        <v>0</v>
      </c>
      <c r="T49">
        <f t="shared" si="9"/>
        <v>36</v>
      </c>
      <c r="U49">
        <f>IF($A49="","",IF($A49=经营数据!$B$3,COUNTIFS($S$2:$S$3000,1,$A$2:$A$3000,$A49,$T$2:$T$3000,"&lt;"&amp;$T49)+1,""))</f>
        <v>2</v>
      </c>
      <c r="V49" t="str">
        <f t="shared" si="10"/>
        <v>青岛万象城|服务量</v>
      </c>
      <c r="W49">
        <f t="shared" si="11"/>
        <v>36</v>
      </c>
      <c r="X49" t="str">
        <f t="shared" si="12"/>
        <v>青岛万象城|期末加权平均剩余租期</v>
      </c>
      <c r="Y49">
        <f t="shared" si="13"/>
        <v>36</v>
      </c>
      <c r="Z49">
        <f>IF($A49="",0,IF(AND($M49=1,$A49=经营数据!$B$3,$J49=经营数据!$BA$5,OR($I49=经营数据!$BA$4,COUNTIF(经营数据!$AA$9:$AA$38,$I49)&gt;0)),1,0))</f>
        <v>0</v>
      </c>
      <c r="AA49" t="str">
        <f t="shared" si="14"/>
        <v/>
      </c>
      <c r="AB49" t="str">
        <f t="shared" si="15"/>
        <v/>
      </c>
      <c r="AC49">
        <f>IF($A49="",0,IF(COUNTIF($A$2:$A49,$A49)=1,1,0))</f>
        <v>0</v>
      </c>
      <c r="AD49">
        <f t="shared" si="16"/>
        <v>1</v>
      </c>
      <c r="AE49" t="str">
        <f t="shared" si="17"/>
        <v>青岛万象城|期末加权平均剩余租期（年）</v>
      </c>
      <c r="BA49" t="s">
        <v>5262</v>
      </c>
      <c r="BB49" t="s">
        <v>5263</v>
      </c>
      <c r="BP49" s="47">
        <v>45435</v>
      </c>
      <c r="BQ49" s="29">
        <v>5.3701713673747452E-2</v>
      </c>
      <c r="BT49" t="s">
        <v>306</v>
      </c>
      <c r="BU49" t="s">
        <v>221</v>
      </c>
      <c r="BV49" t="s">
        <v>628</v>
      </c>
      <c r="BW49" t="s">
        <v>502</v>
      </c>
      <c r="BX49" t="s">
        <v>133</v>
      </c>
      <c r="BY49">
        <v>10.39</v>
      </c>
      <c r="BZ49" t="str">
        <f>IF($BT49=数据概览!$C$92,COUNTIFS($BT$3:$BT49,数据概览!$C$92),"")</f>
        <v/>
      </c>
      <c r="CA49">
        <f>IF(AND($BT49=数据概览!$C$92,COUNTIFS($BT$3:$BT49,数据概览!$C$92,$BU$3:$BU49,$BU49)=1),1,0)</f>
        <v>0</v>
      </c>
      <c r="CB49">
        <v>31.16</v>
      </c>
    </row>
    <row r="50" spans="1:80" x14ac:dyDescent="0.4">
      <c r="A50" t="str">
        <f>IF(原始经营数据!$D51="","",原始经营数据!$D51)</f>
        <v>华夏华润消费封闭式基础设施证券投资基金</v>
      </c>
      <c r="B50" t="str">
        <f>IF(原始经营数据!$D51="","",T(原始经营数据!$E51))</f>
        <v>青岛万象城</v>
      </c>
      <c r="C50" t="str">
        <f>IF(原始经营数据!$D51="","",原始经营数据!$F51)</f>
        <v>2024Q3</v>
      </c>
      <c r="D50" t="str">
        <f>IF(原始经营数据!$D51="","",原始经营数据!$H51)</f>
        <v>期末收缴率</v>
      </c>
      <c r="E50">
        <f>IF(原始经营数据!$D51="","",原始经营数据!$I51)</f>
        <v>100</v>
      </c>
      <c r="F50" t="str">
        <f>IF(原始经营数据!$D51="","",T(原始经营数据!$J51))</f>
        <v>%</v>
      </c>
      <c r="G50" t="str">
        <f>IF(原始经营数据!$D51="","",T(原始经营数据!$K51))</f>
        <v/>
      </c>
      <c r="H50" t="str">
        <f>IF(原始经营数据!$D51="","",原始经营数据!$G51)</f>
        <v>服务效率</v>
      </c>
      <c r="I50" t="str">
        <f>IF($A50="","",IF($B50&lt;&gt;"",$B50,IF(COUNTIFS(原始经营数据!$D$3:$D$3001,$A50,原始经营数据!$E$3:$E$3001,"",原始经营数据!$F$3:$F$3001,$C50,原始经营数据!$H$3:$H$3001,$D50,原始经营数据!$K$3:$K$3001,$G50)&gt;1,"基金整体·来源"&amp;原始经营数据!$A51,"基金整体")))</f>
        <v>青岛万象城</v>
      </c>
      <c r="J50" t="str">
        <f t="shared" si="3"/>
        <v>季度</v>
      </c>
      <c r="K50" t="str">
        <f t="shared" si="4"/>
        <v>期末收缴率（%）</v>
      </c>
      <c r="L50" t="str">
        <f t="shared" si="5"/>
        <v>青岛万象城|期末收缴率（%）|季度</v>
      </c>
      <c r="M50">
        <f>IF($A50="",0,IF(COUNTIF($L$2:$L50,$L50)=1,1,0))</f>
        <v>0</v>
      </c>
      <c r="N50">
        <f t="shared" si="6"/>
        <v>20243</v>
      </c>
      <c r="O50" t="str">
        <f t="shared" si="7"/>
        <v>华夏华润消费封闭式基础设施证券投资基金|2024Q3|季度</v>
      </c>
      <c r="P50">
        <f>IF($A50="",0,IF(COUNTIF($O$2:$O50,$O50)=1,1,0))</f>
        <v>0</v>
      </c>
      <c r="Q50" t="str">
        <f>IF(AND($P50=1,$A50=经营数据!$B$3,$J50=经营数据!$BA$5),COUNTIFS($P$2:$P$3000,1,$A$2:$A$3000,$A50,$J$2:$J$3000,$J50,$N$2:$N$3000,"&lt;"&amp;$N50)+1,"")</f>
        <v/>
      </c>
      <c r="R50" t="str">
        <f t="shared" si="8"/>
        <v>华夏华润消费封闭式基础设施证券投资基金|青岛万象城</v>
      </c>
      <c r="S50">
        <f>IF($A50="",0,IF(COUNTIF($R$2:$R50,$R50)=1,1,0))</f>
        <v>0</v>
      </c>
      <c r="T50">
        <f t="shared" si="9"/>
        <v>36</v>
      </c>
      <c r="U50">
        <f>IF($A50="","",IF($A50=经营数据!$B$3,COUNTIFS($S$2:$S$3000,1,$A$2:$A$3000,$A50,$T$2:$T$3000,"&lt;"&amp;$T50)+1,""))</f>
        <v>2</v>
      </c>
      <c r="V50" t="str">
        <f t="shared" si="10"/>
        <v>青岛万象城|服务效率</v>
      </c>
      <c r="W50">
        <f t="shared" si="11"/>
        <v>39</v>
      </c>
      <c r="X50" t="str">
        <f t="shared" si="12"/>
        <v>青岛万象城|期末收缴率</v>
      </c>
      <c r="Y50">
        <f t="shared" si="13"/>
        <v>39</v>
      </c>
      <c r="Z50">
        <f>IF($A50="",0,IF(AND($M50=1,$A50=经营数据!$B$3,$J50=经营数据!$BA$5,OR($I50=经营数据!$BA$4,COUNTIF(经营数据!$AA$9:$AA$38,$I50)&gt;0)),1,0))</f>
        <v>0</v>
      </c>
      <c r="AA50" t="str">
        <f t="shared" si="14"/>
        <v/>
      </c>
      <c r="AB50" t="str">
        <f t="shared" si="15"/>
        <v/>
      </c>
      <c r="AC50">
        <f>IF($A50="",0,IF(COUNTIF($A$2:$A50,$A50)=1,1,0))</f>
        <v>0</v>
      </c>
      <c r="AD50">
        <f t="shared" si="16"/>
        <v>1</v>
      </c>
      <c r="AE50" t="str">
        <f t="shared" si="17"/>
        <v>青岛万象城|期末收缴率（%）</v>
      </c>
      <c r="BA50" t="s">
        <v>5264</v>
      </c>
      <c r="BB50" t="s">
        <v>5265</v>
      </c>
      <c r="BP50" s="47">
        <v>45436</v>
      </c>
      <c r="BQ50" s="29">
        <v>5.3532108038914068E-2</v>
      </c>
      <c r="BT50" t="s">
        <v>306</v>
      </c>
      <c r="BU50" t="s">
        <v>227</v>
      </c>
      <c r="BV50" t="s">
        <v>632</v>
      </c>
      <c r="BW50" t="s">
        <v>307</v>
      </c>
      <c r="BX50" t="s">
        <v>235</v>
      </c>
      <c r="BY50">
        <v>15.29</v>
      </c>
      <c r="BZ50" t="str">
        <f>IF($BT50=数据概览!$C$92,COUNTIFS($BT$3:$BT50,数据概览!$C$92),"")</f>
        <v/>
      </c>
      <c r="CA50">
        <f>IF(AND($BT50=数据概览!$C$92,COUNTIFS($BT$3:$BT50,数据概览!$C$92,$BU$3:$BU50,$BU50)=1),1,0)</f>
        <v>0</v>
      </c>
      <c r="CB50">
        <v>26.19</v>
      </c>
    </row>
    <row r="51" spans="1:80" x14ac:dyDescent="0.4">
      <c r="A51" t="str">
        <f>IF(原始经营数据!$D52="","",原始经营数据!$D52)</f>
        <v>华夏华润消费封闭式基础设施证券投资基金</v>
      </c>
      <c r="B51" t="str">
        <f>IF(原始经营数据!$D52="","",T(原始经营数据!$E52))</f>
        <v>青岛万象城</v>
      </c>
      <c r="C51" t="str">
        <f>IF(原始经营数据!$D52="","",原始经营数据!$F52)</f>
        <v>2024Q3</v>
      </c>
      <c r="D51" t="str">
        <f>IF(原始经营数据!$D52="","",原始经营数据!$H52)</f>
        <v>期末出租率</v>
      </c>
      <c r="E51">
        <f>IF(原始经营数据!$D52="","",原始经营数据!$I52)</f>
        <v>99.3</v>
      </c>
      <c r="F51" t="str">
        <f>IF(原始经营数据!$D52="","",T(原始经营数据!$J52))</f>
        <v>%</v>
      </c>
      <c r="G51" t="str">
        <f>IF(原始经营数据!$D52="","",T(原始经营数据!$K52))</f>
        <v/>
      </c>
      <c r="H51" t="str">
        <f>IF(原始经营数据!$D52="","",原始经营数据!$G52)</f>
        <v>服务效率</v>
      </c>
      <c r="I51" t="str">
        <f>IF($A51="","",IF($B51&lt;&gt;"",$B51,IF(COUNTIFS(原始经营数据!$D$3:$D$3001,$A51,原始经营数据!$E$3:$E$3001,"",原始经营数据!$F$3:$F$3001,$C51,原始经营数据!$H$3:$H$3001,$D51,原始经营数据!$K$3:$K$3001,$G51)&gt;1,"基金整体·来源"&amp;原始经营数据!$A52,"基金整体")))</f>
        <v>青岛万象城</v>
      </c>
      <c r="J51" t="str">
        <f t="shared" si="3"/>
        <v>季度</v>
      </c>
      <c r="K51" t="str">
        <f t="shared" si="4"/>
        <v>期末出租率（%）</v>
      </c>
      <c r="L51" t="str">
        <f t="shared" si="5"/>
        <v>青岛万象城|期末出租率（%）|季度</v>
      </c>
      <c r="M51">
        <f>IF($A51="",0,IF(COUNTIF($L$2:$L51,$L51)=1,1,0))</f>
        <v>0</v>
      </c>
      <c r="N51">
        <f t="shared" si="6"/>
        <v>20243</v>
      </c>
      <c r="O51" t="str">
        <f t="shared" si="7"/>
        <v>华夏华润消费封闭式基础设施证券投资基金|2024Q3|季度</v>
      </c>
      <c r="P51">
        <f>IF($A51="",0,IF(COUNTIF($O$2:$O51,$O51)=1,1,0))</f>
        <v>0</v>
      </c>
      <c r="Q51" t="str">
        <f>IF(AND($P51=1,$A51=经营数据!$B$3,$J51=经营数据!$BA$5),COUNTIFS($P$2:$P$3000,1,$A$2:$A$3000,$A51,$J$2:$J$3000,$J51,$N$2:$N$3000,"&lt;"&amp;$N51)+1,"")</f>
        <v/>
      </c>
      <c r="R51" t="str">
        <f t="shared" si="8"/>
        <v>华夏华润消费封闭式基础设施证券投资基金|青岛万象城</v>
      </c>
      <c r="S51">
        <f>IF($A51="",0,IF(COUNTIF($R$2:$R51,$R51)=1,1,0))</f>
        <v>0</v>
      </c>
      <c r="T51">
        <f t="shared" si="9"/>
        <v>36</v>
      </c>
      <c r="U51">
        <f>IF($A51="","",IF($A51=经营数据!$B$3,COUNTIFS($S$2:$S$3000,1,$A$2:$A$3000,$A51,$T$2:$T$3000,"&lt;"&amp;$T51)+1,""))</f>
        <v>2</v>
      </c>
      <c r="V51" t="str">
        <f t="shared" si="10"/>
        <v>青岛万象城|服务效率</v>
      </c>
      <c r="W51">
        <f t="shared" si="11"/>
        <v>39</v>
      </c>
      <c r="X51" t="str">
        <f t="shared" si="12"/>
        <v>青岛万象城|期末出租率</v>
      </c>
      <c r="Y51">
        <f t="shared" si="13"/>
        <v>40</v>
      </c>
      <c r="Z51">
        <f>IF($A51="",0,IF(AND($M51=1,$A51=经营数据!$B$3,$J51=经营数据!$BA$5,OR($I51=经营数据!$BA$4,COUNTIF(经营数据!$AA$9:$AA$38,$I51)&gt;0)),1,0))</f>
        <v>0</v>
      </c>
      <c r="AA51" t="str">
        <f t="shared" si="14"/>
        <v/>
      </c>
      <c r="AB51" t="str">
        <f t="shared" si="15"/>
        <v/>
      </c>
      <c r="AC51">
        <f>IF($A51="",0,IF(COUNTIF($A$2:$A51,$A51)=1,1,0))</f>
        <v>0</v>
      </c>
      <c r="AD51">
        <f t="shared" si="16"/>
        <v>1</v>
      </c>
      <c r="AE51" t="str">
        <f t="shared" si="17"/>
        <v>青岛万象城|期末出租率（%）</v>
      </c>
      <c r="BA51" t="s">
        <v>5266</v>
      </c>
      <c r="BB51" t="s">
        <v>5267</v>
      </c>
      <c r="BP51" s="47">
        <v>45439</v>
      </c>
      <c r="BQ51" s="29">
        <v>5.3476976233407442E-2</v>
      </c>
      <c r="BT51" t="s">
        <v>306</v>
      </c>
      <c r="BU51" t="s">
        <v>283</v>
      </c>
      <c r="BV51" t="s">
        <v>641</v>
      </c>
      <c r="BW51" t="s">
        <v>307</v>
      </c>
      <c r="BX51" t="s">
        <v>133</v>
      </c>
      <c r="BY51">
        <v>11.47</v>
      </c>
      <c r="BZ51" t="str">
        <f>IF($BT51=数据概览!$C$92,COUNTIFS($BT$3:$BT51,数据概览!$C$92),"")</f>
        <v/>
      </c>
      <c r="CA51">
        <f>IF(AND($BT51=数据概览!$C$92,COUNTIFS($BT$3:$BT51,数据概览!$C$92,$BU$3:$BU51,$BU51)=1),1,0)</f>
        <v>0</v>
      </c>
      <c r="CB51">
        <v>27.26</v>
      </c>
    </row>
    <row r="52" spans="1:80" x14ac:dyDescent="0.4">
      <c r="A52" t="str">
        <f>IF(原始经营数据!$D53="","",原始经营数据!$D53)</f>
        <v>华夏华润消费封闭式基础设施证券投资基金</v>
      </c>
      <c r="B52" t="str">
        <f>IF(原始经营数据!$D53="","",T(原始经营数据!$E53))</f>
        <v>青岛万象城</v>
      </c>
      <c r="C52" t="str">
        <f>IF(原始经营数据!$D53="","",原始经营数据!$F53)</f>
        <v>2024Q3</v>
      </c>
      <c r="D52" t="str">
        <f>IF(原始经营数据!$D53="","",原始经营数据!$H53)</f>
        <v>期末实际出租面积</v>
      </c>
      <c r="E52">
        <f>IF(原始经营数据!$D53="","",原始经营数据!$I53)</f>
        <v>136227</v>
      </c>
      <c r="F52" t="str">
        <f>IF(原始经营数据!$D53="","",T(原始经营数据!$J53))</f>
        <v>平方米</v>
      </c>
      <c r="G52" t="str">
        <f>IF(原始经营数据!$D53="","",T(原始经营数据!$K53))</f>
        <v/>
      </c>
      <c r="H52" t="str">
        <f>IF(原始经营数据!$D53="","",原始经营数据!$G53)</f>
        <v>服务量</v>
      </c>
      <c r="I52" t="str">
        <f>IF($A52="","",IF($B52&lt;&gt;"",$B52,IF(COUNTIFS(原始经营数据!$D$3:$D$3001,$A52,原始经营数据!$E$3:$E$3001,"",原始经营数据!$F$3:$F$3001,$C52,原始经营数据!$H$3:$H$3001,$D52,原始经营数据!$K$3:$K$3001,$G52)&gt;1,"基金整体·来源"&amp;原始经营数据!$A53,"基金整体")))</f>
        <v>青岛万象城</v>
      </c>
      <c r="J52" t="str">
        <f t="shared" si="3"/>
        <v>季度</v>
      </c>
      <c r="K52" t="str">
        <f t="shared" si="4"/>
        <v>期末实际出租面积（平方米）</v>
      </c>
      <c r="L52" t="str">
        <f t="shared" si="5"/>
        <v>青岛万象城|期末实际出租面积（平方米）|季度</v>
      </c>
      <c r="M52">
        <f>IF($A52="",0,IF(COUNTIF($L$2:$L52,$L52)=1,1,0))</f>
        <v>0</v>
      </c>
      <c r="N52">
        <f t="shared" si="6"/>
        <v>20243</v>
      </c>
      <c r="O52" t="str">
        <f t="shared" si="7"/>
        <v>华夏华润消费封闭式基础设施证券投资基金|2024Q3|季度</v>
      </c>
      <c r="P52">
        <f>IF($A52="",0,IF(COUNTIF($O$2:$O52,$O52)=1,1,0))</f>
        <v>0</v>
      </c>
      <c r="Q52" t="str">
        <f>IF(AND($P52=1,$A52=经营数据!$B$3,$J52=经营数据!$BA$5),COUNTIFS($P$2:$P$3000,1,$A$2:$A$3000,$A52,$J$2:$J$3000,$J52,$N$2:$N$3000,"&lt;"&amp;$N52)+1,"")</f>
        <v/>
      </c>
      <c r="R52" t="str">
        <f t="shared" si="8"/>
        <v>华夏华润消费封闭式基础设施证券投资基金|青岛万象城</v>
      </c>
      <c r="S52">
        <f>IF($A52="",0,IF(COUNTIF($R$2:$R52,$R52)=1,1,0))</f>
        <v>0</v>
      </c>
      <c r="T52">
        <f t="shared" si="9"/>
        <v>36</v>
      </c>
      <c r="U52">
        <f>IF($A52="","",IF($A52=经营数据!$B$3,COUNTIFS($S$2:$S$3000,1,$A$2:$A$3000,$A52,$T$2:$T$3000,"&lt;"&amp;$T52)+1,""))</f>
        <v>2</v>
      </c>
      <c r="V52" t="str">
        <f t="shared" si="10"/>
        <v>青岛万象城|服务量</v>
      </c>
      <c r="W52">
        <f t="shared" si="11"/>
        <v>36</v>
      </c>
      <c r="X52" t="str">
        <f t="shared" si="12"/>
        <v>青岛万象城|期末实际出租面积</v>
      </c>
      <c r="Y52">
        <f t="shared" si="13"/>
        <v>38</v>
      </c>
      <c r="Z52">
        <f>IF($A52="",0,IF(AND($M52=1,$A52=经营数据!$B$3,$J52=经营数据!$BA$5,OR($I52=经营数据!$BA$4,COUNTIF(经营数据!$AA$9:$AA$38,$I52)&gt;0)),1,0))</f>
        <v>0</v>
      </c>
      <c r="AA52" t="str">
        <f t="shared" si="14"/>
        <v/>
      </c>
      <c r="AB52" t="str">
        <f t="shared" si="15"/>
        <v/>
      </c>
      <c r="AC52">
        <f>IF($A52="",0,IF(COUNTIF($A$2:$A52,$A52)=1,1,0))</f>
        <v>0</v>
      </c>
      <c r="AD52">
        <f t="shared" si="16"/>
        <v>1</v>
      </c>
      <c r="AE52" t="str">
        <f t="shared" si="17"/>
        <v>青岛万象城|期末实际出租面积（平方米）</v>
      </c>
      <c r="BA52" t="s">
        <v>5268</v>
      </c>
      <c r="BB52" t="s">
        <v>5269</v>
      </c>
      <c r="BP52" s="47">
        <v>45440</v>
      </c>
      <c r="BQ52" s="29">
        <v>5.3409746937092849E-2</v>
      </c>
      <c r="BT52" t="s">
        <v>480</v>
      </c>
      <c r="BU52" t="s">
        <v>206</v>
      </c>
      <c r="BV52" t="s">
        <v>479</v>
      </c>
      <c r="BW52" t="s">
        <v>481</v>
      </c>
      <c r="BX52" t="s">
        <v>208</v>
      </c>
      <c r="BY52">
        <v>0.75</v>
      </c>
      <c r="BZ52" t="str">
        <f>IF($BT52=数据概览!$C$92,COUNTIFS($BT$3:$BT52,数据概览!$C$92),"")</f>
        <v/>
      </c>
      <c r="CA52">
        <f>IF(AND($BT52=数据概览!$C$92,COUNTIFS($BT$3:$BT52,数据概览!$C$92,$BU$3:$BU52,$BU52)=1),1,0)</f>
        <v>0</v>
      </c>
      <c r="CB52">
        <v>24.05</v>
      </c>
    </row>
    <row r="53" spans="1:80" x14ac:dyDescent="0.4">
      <c r="A53" t="str">
        <f>IF(原始经营数据!$D54="","",原始经营数据!$D54)</f>
        <v>华夏华润消费封闭式基础设施证券投资基金</v>
      </c>
      <c r="B53" t="str">
        <f>IF(原始经营数据!$D54="","",T(原始经营数据!$E54))</f>
        <v>青岛万象城</v>
      </c>
      <c r="C53" t="str">
        <f>IF(原始经营数据!$D54="","",原始经营数据!$F54)</f>
        <v>2024Q3</v>
      </c>
      <c r="D53" t="str">
        <f>IF(原始经营数据!$D54="","",原始经营数据!$H54)</f>
        <v>期末可供出租面积</v>
      </c>
      <c r="E53">
        <f>IF(原始经营数据!$D54="","",原始经营数据!$I54)</f>
        <v>137186</v>
      </c>
      <c r="F53" t="str">
        <f>IF(原始经营数据!$D54="","",T(原始经营数据!$J54))</f>
        <v>平方米</v>
      </c>
      <c r="G53" t="str">
        <f>IF(原始经营数据!$D54="","",T(原始经营数据!$K54))</f>
        <v/>
      </c>
      <c r="H53" t="str">
        <f>IF(原始经营数据!$D54="","",原始经营数据!$G54)</f>
        <v>服务量</v>
      </c>
      <c r="I53" t="str">
        <f>IF($A53="","",IF($B53&lt;&gt;"",$B53,IF(COUNTIFS(原始经营数据!$D$3:$D$3001,$A53,原始经营数据!$E$3:$E$3001,"",原始经营数据!$F$3:$F$3001,$C53,原始经营数据!$H$3:$H$3001,$D53,原始经营数据!$K$3:$K$3001,$G53)&gt;1,"基金整体·来源"&amp;原始经营数据!$A54,"基金整体")))</f>
        <v>青岛万象城</v>
      </c>
      <c r="J53" t="str">
        <f t="shared" si="3"/>
        <v>季度</v>
      </c>
      <c r="K53" t="str">
        <f t="shared" si="4"/>
        <v>期末可供出租面积（平方米）</v>
      </c>
      <c r="L53" t="str">
        <f t="shared" si="5"/>
        <v>青岛万象城|期末可供出租面积（平方米）|季度</v>
      </c>
      <c r="M53">
        <f>IF($A53="",0,IF(COUNTIF($L$2:$L53,$L53)=1,1,0))</f>
        <v>0</v>
      </c>
      <c r="N53">
        <f t="shared" si="6"/>
        <v>20243</v>
      </c>
      <c r="O53" t="str">
        <f t="shared" si="7"/>
        <v>华夏华润消费封闭式基础设施证券投资基金|2024Q3|季度</v>
      </c>
      <c r="P53">
        <f>IF($A53="",0,IF(COUNTIF($O$2:$O53,$O53)=1,1,0))</f>
        <v>0</v>
      </c>
      <c r="Q53" t="str">
        <f>IF(AND($P53=1,$A53=经营数据!$B$3,$J53=经营数据!$BA$5),COUNTIFS($P$2:$P$3000,1,$A$2:$A$3000,$A53,$J$2:$J$3000,$J53,$N$2:$N$3000,"&lt;"&amp;$N53)+1,"")</f>
        <v/>
      </c>
      <c r="R53" t="str">
        <f t="shared" si="8"/>
        <v>华夏华润消费封闭式基础设施证券投资基金|青岛万象城</v>
      </c>
      <c r="S53">
        <f>IF($A53="",0,IF(COUNTIF($R$2:$R53,$R53)=1,1,0))</f>
        <v>0</v>
      </c>
      <c r="T53">
        <f t="shared" si="9"/>
        <v>36</v>
      </c>
      <c r="U53">
        <f>IF($A53="","",IF($A53=经营数据!$B$3,COUNTIFS($S$2:$S$3000,1,$A$2:$A$3000,$A53,$T$2:$T$3000,"&lt;"&amp;$T53)+1,""))</f>
        <v>2</v>
      </c>
      <c r="V53" t="str">
        <f t="shared" si="10"/>
        <v>青岛万象城|服务量</v>
      </c>
      <c r="W53">
        <f t="shared" si="11"/>
        <v>36</v>
      </c>
      <c r="X53" t="str">
        <f t="shared" si="12"/>
        <v>青岛万象城|期末可供出租面积</v>
      </c>
      <c r="Y53">
        <f t="shared" si="13"/>
        <v>37</v>
      </c>
      <c r="Z53">
        <f>IF($A53="",0,IF(AND($M53=1,$A53=经营数据!$B$3,$J53=经营数据!$BA$5,OR($I53=经营数据!$BA$4,COUNTIF(经营数据!$AA$9:$AA$38,$I53)&gt;0)),1,0))</f>
        <v>0</v>
      </c>
      <c r="AA53" t="str">
        <f t="shared" si="14"/>
        <v/>
      </c>
      <c r="AB53" t="str">
        <f t="shared" si="15"/>
        <v/>
      </c>
      <c r="AC53">
        <f>IF($A53="",0,IF(COUNTIF($A$2:$A53,$A53)=1,1,0))</f>
        <v>0</v>
      </c>
      <c r="AD53">
        <f t="shared" si="16"/>
        <v>1</v>
      </c>
      <c r="AE53" t="str">
        <f t="shared" si="17"/>
        <v>青岛万象城|期末可供出租面积（平方米）</v>
      </c>
      <c r="BA53" t="s">
        <v>5270</v>
      </c>
      <c r="BB53" t="s">
        <v>5271</v>
      </c>
      <c r="BP53" s="47">
        <v>45441</v>
      </c>
      <c r="BQ53" s="29">
        <v>5.3434174387056728E-2</v>
      </c>
      <c r="BT53" t="s">
        <v>511</v>
      </c>
      <c r="BU53" t="s">
        <v>206</v>
      </c>
      <c r="BV53" t="s">
        <v>510</v>
      </c>
      <c r="BW53" t="s">
        <v>512</v>
      </c>
      <c r="BX53" t="s">
        <v>208</v>
      </c>
      <c r="BY53">
        <v>0.52</v>
      </c>
      <c r="BZ53" t="str">
        <f>IF($BT53=数据概览!$C$92,COUNTIFS($BT$3:$BT53,数据概览!$C$92),"")</f>
        <v/>
      </c>
      <c r="CA53">
        <f>IF(AND($BT53=数据概览!$C$92,COUNTIFS($BT$3:$BT53,数据概览!$C$92,$BU$3:$BU53,$BU53)=1),1,0)</f>
        <v>0</v>
      </c>
      <c r="CB53">
        <v>23.71</v>
      </c>
    </row>
    <row r="54" spans="1:80" x14ac:dyDescent="0.4">
      <c r="A54" t="str">
        <f>IF(原始经营数据!$D55="","",原始经营数据!$D55)</f>
        <v>华夏华润消费封闭式基础设施证券投资基金</v>
      </c>
      <c r="B54" t="str">
        <f>IF(原始经营数据!$D55="","",T(原始经营数据!$E55))</f>
        <v>青岛万象城</v>
      </c>
      <c r="C54" t="str">
        <f>IF(原始经营数据!$D55="","",原始经营数据!$F55)</f>
        <v>2024Q4</v>
      </c>
      <c r="D54" t="str">
        <f>IF(原始经营数据!$D55="","",原始经营数据!$H55)</f>
        <v>期内租金单价水平</v>
      </c>
      <c r="E54">
        <f>IF(原始经营数据!$D55="","",原始经营数据!$I55)</f>
        <v>328.29</v>
      </c>
      <c r="F54" t="str">
        <f>IF(原始经营数据!$D55="","",T(原始经营数据!$J55))</f>
        <v>元/平方米/月</v>
      </c>
      <c r="G54" t="str">
        <f>IF(原始经营数据!$D55="","",T(原始经营数据!$K55))</f>
        <v/>
      </c>
      <c r="H54" t="str">
        <f>IF(原始经营数据!$D55="","",原始经营数据!$G55)</f>
        <v>服务价格</v>
      </c>
      <c r="I54" t="str">
        <f>IF($A54="","",IF($B54&lt;&gt;"",$B54,IF(COUNTIFS(原始经营数据!$D$3:$D$3001,$A54,原始经营数据!$E$3:$E$3001,"",原始经营数据!$F$3:$F$3001,$C54,原始经营数据!$H$3:$H$3001,$D54,原始经营数据!$K$3:$K$3001,$G54)&gt;1,"基金整体·来源"&amp;原始经营数据!$A55,"基金整体")))</f>
        <v>青岛万象城</v>
      </c>
      <c r="J54" t="str">
        <f t="shared" si="3"/>
        <v>季度</v>
      </c>
      <c r="K54" t="str">
        <f t="shared" si="4"/>
        <v>期内租金单价水平（元/平方米/月）</v>
      </c>
      <c r="L54" t="str">
        <f t="shared" si="5"/>
        <v>青岛万象城|期内租金单价水平（元/平方米/月）|季度</v>
      </c>
      <c r="M54">
        <f>IF($A54="",0,IF(COUNTIF($L$2:$L54,$L54)=1,1,0))</f>
        <v>0</v>
      </c>
      <c r="N54">
        <f t="shared" si="6"/>
        <v>20244</v>
      </c>
      <c r="O54" t="str">
        <f t="shared" si="7"/>
        <v>华夏华润消费封闭式基础设施证券投资基金|2024Q4|季度</v>
      </c>
      <c r="P54">
        <f>IF($A54="",0,IF(COUNTIF($O$2:$O54,$O54)=1,1,0))</f>
        <v>1</v>
      </c>
      <c r="Q54">
        <f>IF(AND($P54=1,$A54=经营数据!$B$3,$J54=经营数据!$BA$5),COUNTIFS($P$2:$P$3000,1,$A$2:$A$3000,$A54,$J$2:$J$3000,$J54,$N$2:$N$3000,"&lt;"&amp;$N54)+1,"")</f>
        <v>4</v>
      </c>
      <c r="R54" t="str">
        <f t="shared" si="8"/>
        <v>华夏华润消费封闭式基础设施证券投资基金|青岛万象城</v>
      </c>
      <c r="S54">
        <f>IF($A54="",0,IF(COUNTIF($R$2:$R54,$R54)=1,1,0))</f>
        <v>0</v>
      </c>
      <c r="T54">
        <f t="shared" si="9"/>
        <v>36</v>
      </c>
      <c r="U54">
        <f>IF($A54="","",IF($A54=经营数据!$B$3,COUNTIFS($S$2:$S$3000,1,$A$2:$A$3000,$A54,$T$2:$T$3000,"&lt;"&amp;$T54)+1,""))</f>
        <v>2</v>
      </c>
      <c r="V54" t="str">
        <f t="shared" si="10"/>
        <v>青岛万象城|服务价格</v>
      </c>
      <c r="W54">
        <f t="shared" si="11"/>
        <v>46</v>
      </c>
      <c r="X54" t="str">
        <f t="shared" si="12"/>
        <v>青岛万象城|期内租金单价水平</v>
      </c>
      <c r="Y54">
        <f t="shared" si="13"/>
        <v>46</v>
      </c>
      <c r="Z54">
        <f>IF($A54="",0,IF(AND($M54=1,$A54=经营数据!$B$3,$J54=经营数据!$BA$5,OR($I54=经营数据!$BA$4,COUNTIF(经营数据!$AA$9:$AA$38,$I54)&gt;0)),1,0))</f>
        <v>0</v>
      </c>
      <c r="AA54" t="str">
        <f t="shared" si="14"/>
        <v/>
      </c>
      <c r="AB54" t="str">
        <f t="shared" si="15"/>
        <v/>
      </c>
      <c r="AC54">
        <f>IF($A54="",0,IF(COUNTIF($A$2:$A54,$A54)=1,1,0))</f>
        <v>0</v>
      </c>
      <c r="AD54">
        <f t="shared" si="16"/>
        <v>1</v>
      </c>
      <c r="AE54" t="str">
        <f t="shared" si="17"/>
        <v>青岛万象城|期内租金单价水平（元/平方米/月）</v>
      </c>
      <c r="BA54" t="s">
        <v>5272</v>
      </c>
      <c r="BB54" t="s">
        <v>5273</v>
      </c>
      <c r="BP54" s="47">
        <v>45442</v>
      </c>
      <c r="BQ54" s="29">
        <v>5.3539117038182683E-2</v>
      </c>
      <c r="BT54" t="s">
        <v>511</v>
      </c>
      <c r="BU54" t="s">
        <v>206</v>
      </c>
      <c r="BV54" t="s">
        <v>547</v>
      </c>
      <c r="BW54" t="s">
        <v>548</v>
      </c>
      <c r="BX54" t="s">
        <v>208</v>
      </c>
      <c r="BY54">
        <v>1</v>
      </c>
      <c r="BZ54" t="str">
        <f>IF($BT54=数据概览!$C$92,COUNTIFS($BT$3:$BT54,数据概览!$C$92),"")</f>
        <v/>
      </c>
      <c r="CA54">
        <f>IF(AND($BT54=数据概览!$C$92,COUNTIFS($BT$3:$BT54,数据概览!$C$92,$BU$3:$BU54,$BU54)=1),1,0)</f>
        <v>0</v>
      </c>
      <c r="CB54">
        <v>22.23</v>
      </c>
    </row>
    <row r="55" spans="1:80" x14ac:dyDescent="0.4">
      <c r="A55" t="str">
        <f>IF(原始经营数据!$D56="","",原始经营数据!$D56)</f>
        <v>华夏华润消费封闭式基础设施证券投资基金</v>
      </c>
      <c r="B55" t="str">
        <f>IF(原始经营数据!$D56="","",T(原始经营数据!$E56))</f>
        <v>青岛万象城</v>
      </c>
      <c r="C55" t="str">
        <f>IF(原始经营数据!$D56="","",原始经营数据!$F56)</f>
        <v>2024Q4</v>
      </c>
      <c r="D55" t="str">
        <f>IF(原始经营数据!$D56="","",原始经营数据!$H56)</f>
        <v>期末收缴率</v>
      </c>
      <c r="E55">
        <f>IF(原始经营数据!$D56="","",原始经营数据!$I56)</f>
        <v>100</v>
      </c>
      <c r="F55" t="str">
        <f>IF(原始经营数据!$D56="","",T(原始经营数据!$J56))</f>
        <v>%</v>
      </c>
      <c r="G55" t="str">
        <f>IF(原始经营数据!$D56="","",T(原始经营数据!$K56))</f>
        <v/>
      </c>
      <c r="H55" t="str">
        <f>IF(原始经营数据!$D56="","",原始经营数据!$G56)</f>
        <v>服务效率</v>
      </c>
      <c r="I55" t="str">
        <f>IF($A55="","",IF($B55&lt;&gt;"",$B55,IF(COUNTIFS(原始经营数据!$D$3:$D$3001,$A55,原始经营数据!$E$3:$E$3001,"",原始经营数据!$F$3:$F$3001,$C55,原始经营数据!$H$3:$H$3001,$D55,原始经营数据!$K$3:$K$3001,$G55)&gt;1,"基金整体·来源"&amp;原始经营数据!$A56,"基金整体")))</f>
        <v>青岛万象城</v>
      </c>
      <c r="J55" t="str">
        <f t="shared" si="3"/>
        <v>季度</v>
      </c>
      <c r="K55" t="str">
        <f t="shared" si="4"/>
        <v>期末收缴率（%）</v>
      </c>
      <c r="L55" t="str">
        <f t="shared" si="5"/>
        <v>青岛万象城|期末收缴率（%）|季度</v>
      </c>
      <c r="M55">
        <f>IF($A55="",0,IF(COUNTIF($L$2:$L55,$L55)=1,1,0))</f>
        <v>0</v>
      </c>
      <c r="N55">
        <f t="shared" si="6"/>
        <v>20244</v>
      </c>
      <c r="O55" t="str">
        <f t="shared" si="7"/>
        <v>华夏华润消费封闭式基础设施证券投资基金|2024Q4|季度</v>
      </c>
      <c r="P55">
        <f>IF($A55="",0,IF(COUNTIF($O$2:$O55,$O55)=1,1,0))</f>
        <v>0</v>
      </c>
      <c r="Q55" t="str">
        <f>IF(AND($P55=1,$A55=经营数据!$B$3,$J55=经营数据!$BA$5),COUNTIFS($P$2:$P$3000,1,$A$2:$A$3000,$A55,$J$2:$J$3000,$J55,$N$2:$N$3000,"&lt;"&amp;$N55)+1,"")</f>
        <v/>
      </c>
      <c r="R55" t="str">
        <f t="shared" si="8"/>
        <v>华夏华润消费封闭式基础设施证券投资基金|青岛万象城</v>
      </c>
      <c r="S55">
        <f>IF($A55="",0,IF(COUNTIF($R$2:$R55,$R55)=1,1,0))</f>
        <v>0</v>
      </c>
      <c r="T55">
        <f t="shared" si="9"/>
        <v>36</v>
      </c>
      <c r="U55">
        <f>IF($A55="","",IF($A55=经营数据!$B$3,COUNTIFS($S$2:$S$3000,1,$A$2:$A$3000,$A55,$T$2:$T$3000,"&lt;"&amp;$T55)+1,""))</f>
        <v>2</v>
      </c>
      <c r="V55" t="str">
        <f t="shared" si="10"/>
        <v>青岛万象城|服务效率</v>
      </c>
      <c r="W55">
        <f t="shared" si="11"/>
        <v>39</v>
      </c>
      <c r="X55" t="str">
        <f t="shared" si="12"/>
        <v>青岛万象城|期末收缴率</v>
      </c>
      <c r="Y55">
        <f t="shared" si="13"/>
        <v>39</v>
      </c>
      <c r="Z55">
        <f>IF($A55="",0,IF(AND($M55=1,$A55=经营数据!$B$3,$J55=经营数据!$BA$5,OR($I55=经营数据!$BA$4,COUNTIF(经营数据!$AA$9:$AA$38,$I55)&gt;0)),1,0))</f>
        <v>0</v>
      </c>
      <c r="AA55" t="str">
        <f t="shared" si="14"/>
        <v/>
      </c>
      <c r="AB55" t="str">
        <f t="shared" si="15"/>
        <v/>
      </c>
      <c r="AC55">
        <f>IF($A55="",0,IF(COUNTIF($A$2:$A55,$A55)=1,1,0))</f>
        <v>0</v>
      </c>
      <c r="AD55">
        <f t="shared" si="16"/>
        <v>1</v>
      </c>
      <c r="AE55" t="str">
        <f t="shared" si="17"/>
        <v>青岛万象城|期末收缴率（%）</v>
      </c>
      <c r="BA55" t="s">
        <v>5274</v>
      </c>
      <c r="BB55" t="s">
        <v>5275</v>
      </c>
      <c r="BP55" s="47">
        <v>45443</v>
      </c>
      <c r="BQ55" s="29">
        <v>5.3400156548318638E-2</v>
      </c>
      <c r="BT55" t="s">
        <v>444</v>
      </c>
      <c r="BU55" t="s">
        <v>185</v>
      </c>
      <c r="BV55" t="s">
        <v>443</v>
      </c>
      <c r="BW55" t="s">
        <v>445</v>
      </c>
      <c r="BX55" t="s">
        <v>138</v>
      </c>
      <c r="BY55">
        <v>43.09</v>
      </c>
      <c r="BZ55" t="str">
        <f>IF($BT55=数据概览!$C$92,COUNTIFS($BT$3:$BT55,数据概览!$C$92),"")</f>
        <v/>
      </c>
      <c r="CA55">
        <f>IF(AND($BT55=数据概览!$C$92,COUNTIFS($BT$3:$BT55,数据概览!$C$92,$BU$3:$BU55,$BU55)=1),1,0)</f>
        <v>0</v>
      </c>
      <c r="CB55">
        <v>29.91</v>
      </c>
    </row>
    <row r="56" spans="1:80" x14ac:dyDescent="0.4">
      <c r="A56" t="str">
        <f>IF(原始经营数据!$D57="","",原始经营数据!$D57)</f>
        <v>华夏华润消费封闭式基础设施证券投资基金</v>
      </c>
      <c r="B56" t="str">
        <f>IF(原始经营数据!$D57="","",T(原始经营数据!$E57))</f>
        <v>青岛万象城</v>
      </c>
      <c r="C56" t="str">
        <f>IF(原始经营数据!$D57="","",原始经营数据!$F57)</f>
        <v>2024Q4</v>
      </c>
      <c r="D56" t="str">
        <f>IF(原始经营数据!$D57="","",原始经营数据!$H57)</f>
        <v>期末出租率</v>
      </c>
      <c r="E56">
        <f>IF(原始经营数据!$D57="","",原始经营数据!$I57)</f>
        <v>99</v>
      </c>
      <c r="F56" t="str">
        <f>IF(原始经营数据!$D57="","",T(原始经营数据!$J57))</f>
        <v>%</v>
      </c>
      <c r="G56" t="str">
        <f>IF(原始经营数据!$D57="","",T(原始经营数据!$K57))</f>
        <v/>
      </c>
      <c r="H56" t="str">
        <f>IF(原始经营数据!$D57="","",原始经营数据!$G57)</f>
        <v>服务效率</v>
      </c>
      <c r="I56" t="str">
        <f>IF($A56="","",IF($B56&lt;&gt;"",$B56,IF(COUNTIFS(原始经营数据!$D$3:$D$3001,$A56,原始经营数据!$E$3:$E$3001,"",原始经营数据!$F$3:$F$3001,$C56,原始经营数据!$H$3:$H$3001,$D56,原始经营数据!$K$3:$K$3001,$G56)&gt;1,"基金整体·来源"&amp;原始经营数据!$A57,"基金整体")))</f>
        <v>青岛万象城</v>
      </c>
      <c r="J56" t="str">
        <f t="shared" si="3"/>
        <v>季度</v>
      </c>
      <c r="K56" t="str">
        <f t="shared" si="4"/>
        <v>期末出租率（%）</v>
      </c>
      <c r="L56" t="str">
        <f t="shared" si="5"/>
        <v>青岛万象城|期末出租率（%）|季度</v>
      </c>
      <c r="M56">
        <f>IF($A56="",0,IF(COUNTIF($L$2:$L56,$L56)=1,1,0))</f>
        <v>0</v>
      </c>
      <c r="N56">
        <f t="shared" si="6"/>
        <v>20244</v>
      </c>
      <c r="O56" t="str">
        <f t="shared" si="7"/>
        <v>华夏华润消费封闭式基础设施证券投资基金|2024Q4|季度</v>
      </c>
      <c r="P56">
        <f>IF($A56="",0,IF(COUNTIF($O$2:$O56,$O56)=1,1,0))</f>
        <v>0</v>
      </c>
      <c r="Q56" t="str">
        <f>IF(AND($P56=1,$A56=经营数据!$B$3,$J56=经营数据!$BA$5),COUNTIFS($P$2:$P$3000,1,$A$2:$A$3000,$A56,$J$2:$J$3000,$J56,$N$2:$N$3000,"&lt;"&amp;$N56)+1,"")</f>
        <v/>
      </c>
      <c r="R56" t="str">
        <f t="shared" si="8"/>
        <v>华夏华润消费封闭式基础设施证券投资基金|青岛万象城</v>
      </c>
      <c r="S56">
        <f>IF($A56="",0,IF(COUNTIF($R$2:$R56,$R56)=1,1,0))</f>
        <v>0</v>
      </c>
      <c r="T56">
        <f t="shared" si="9"/>
        <v>36</v>
      </c>
      <c r="U56">
        <f>IF($A56="","",IF($A56=经营数据!$B$3,COUNTIFS($S$2:$S$3000,1,$A$2:$A$3000,$A56,$T$2:$T$3000,"&lt;"&amp;$T56)+1,""))</f>
        <v>2</v>
      </c>
      <c r="V56" t="str">
        <f t="shared" si="10"/>
        <v>青岛万象城|服务效率</v>
      </c>
      <c r="W56">
        <f t="shared" si="11"/>
        <v>39</v>
      </c>
      <c r="X56" t="str">
        <f t="shared" si="12"/>
        <v>青岛万象城|期末出租率</v>
      </c>
      <c r="Y56">
        <f t="shared" si="13"/>
        <v>40</v>
      </c>
      <c r="Z56">
        <f>IF($A56="",0,IF(AND($M56=1,$A56=经营数据!$B$3,$J56=经营数据!$BA$5,OR($I56=经营数据!$BA$4,COUNTIF(经营数据!$AA$9:$AA$38,$I56)&gt;0)),1,0))</f>
        <v>0</v>
      </c>
      <c r="AA56" t="str">
        <f t="shared" si="14"/>
        <v/>
      </c>
      <c r="AB56" t="str">
        <f t="shared" si="15"/>
        <v/>
      </c>
      <c r="AC56">
        <f>IF($A56="",0,IF(COUNTIF($A$2:$A56,$A56)=1,1,0))</f>
        <v>0</v>
      </c>
      <c r="AD56">
        <f t="shared" si="16"/>
        <v>1</v>
      </c>
      <c r="AE56" t="str">
        <f t="shared" si="17"/>
        <v>青岛万象城|期末出租率（%）</v>
      </c>
      <c r="BA56" t="s">
        <v>5276</v>
      </c>
      <c r="BB56" t="s">
        <v>5277</v>
      </c>
      <c r="BP56" s="47">
        <v>45446</v>
      </c>
      <c r="BQ56" s="29">
        <v>5.3455129992483287E-2</v>
      </c>
      <c r="BT56" t="s">
        <v>444</v>
      </c>
      <c r="BU56" t="s">
        <v>206</v>
      </c>
      <c r="BV56" t="s">
        <v>570</v>
      </c>
      <c r="BW56" t="s">
        <v>445</v>
      </c>
      <c r="BX56" t="s">
        <v>208</v>
      </c>
      <c r="BY56">
        <v>0.6</v>
      </c>
      <c r="BZ56" t="str">
        <f>IF($BT56=数据概览!$C$92,COUNTIFS($BT$3:$BT56,数据概览!$C$92),"")</f>
        <v/>
      </c>
      <c r="CA56">
        <f>IF(AND($BT56=数据概览!$C$92,COUNTIFS($BT$3:$BT56,数据概览!$C$92,$BU$3:$BU56,$BU56)=1),1,0)</f>
        <v>0</v>
      </c>
      <c r="CB56">
        <v>24.41</v>
      </c>
    </row>
    <row r="57" spans="1:80" x14ac:dyDescent="0.4">
      <c r="A57" t="str">
        <f>IF(原始经营数据!$D58="","",原始经营数据!$D58)</f>
        <v>华夏华润消费封闭式基础设施证券投资基金</v>
      </c>
      <c r="B57" t="str">
        <f>IF(原始经营数据!$D58="","",T(原始经营数据!$E58))</f>
        <v>青岛万象城</v>
      </c>
      <c r="C57" t="str">
        <f>IF(原始经营数据!$D58="","",原始经营数据!$F58)</f>
        <v>2024Q4</v>
      </c>
      <c r="D57" t="str">
        <f>IF(原始经营数据!$D58="","",原始经营数据!$H58)</f>
        <v>期末实际出租面积</v>
      </c>
      <c r="E57">
        <f>IF(原始经营数据!$D58="","",原始经营数据!$I58)</f>
        <v>135207</v>
      </c>
      <c r="F57" t="str">
        <f>IF(原始经营数据!$D58="","",T(原始经营数据!$J58))</f>
        <v>平方米</v>
      </c>
      <c r="G57" t="str">
        <f>IF(原始经营数据!$D58="","",T(原始经营数据!$K58))</f>
        <v/>
      </c>
      <c r="H57" t="str">
        <f>IF(原始经营数据!$D58="","",原始经营数据!$G58)</f>
        <v>服务量</v>
      </c>
      <c r="I57" t="str">
        <f>IF($A57="","",IF($B57&lt;&gt;"",$B57,IF(COUNTIFS(原始经营数据!$D$3:$D$3001,$A57,原始经营数据!$E$3:$E$3001,"",原始经营数据!$F$3:$F$3001,$C57,原始经营数据!$H$3:$H$3001,$D57,原始经营数据!$K$3:$K$3001,$G57)&gt;1,"基金整体·来源"&amp;原始经营数据!$A58,"基金整体")))</f>
        <v>青岛万象城</v>
      </c>
      <c r="J57" t="str">
        <f t="shared" si="3"/>
        <v>季度</v>
      </c>
      <c r="K57" t="str">
        <f t="shared" si="4"/>
        <v>期末实际出租面积（平方米）</v>
      </c>
      <c r="L57" t="str">
        <f t="shared" si="5"/>
        <v>青岛万象城|期末实际出租面积（平方米）|季度</v>
      </c>
      <c r="M57">
        <f>IF($A57="",0,IF(COUNTIF($L$2:$L57,$L57)=1,1,0))</f>
        <v>0</v>
      </c>
      <c r="N57">
        <f t="shared" si="6"/>
        <v>20244</v>
      </c>
      <c r="O57" t="str">
        <f t="shared" si="7"/>
        <v>华夏华润消费封闭式基础设施证券投资基金|2024Q4|季度</v>
      </c>
      <c r="P57">
        <f>IF($A57="",0,IF(COUNTIF($O$2:$O57,$O57)=1,1,0))</f>
        <v>0</v>
      </c>
      <c r="Q57" t="str">
        <f>IF(AND($P57=1,$A57=经营数据!$B$3,$J57=经营数据!$BA$5),COUNTIFS($P$2:$P$3000,1,$A$2:$A$3000,$A57,$J$2:$J$3000,$J57,$N$2:$N$3000,"&lt;"&amp;$N57)+1,"")</f>
        <v/>
      </c>
      <c r="R57" t="str">
        <f t="shared" si="8"/>
        <v>华夏华润消费封闭式基础设施证券投资基金|青岛万象城</v>
      </c>
      <c r="S57">
        <f>IF($A57="",0,IF(COUNTIF($R$2:$R57,$R57)=1,1,0))</f>
        <v>0</v>
      </c>
      <c r="T57">
        <f t="shared" si="9"/>
        <v>36</v>
      </c>
      <c r="U57">
        <f>IF($A57="","",IF($A57=经营数据!$B$3,COUNTIFS($S$2:$S$3000,1,$A$2:$A$3000,$A57,$T$2:$T$3000,"&lt;"&amp;$T57)+1,""))</f>
        <v>2</v>
      </c>
      <c r="V57" t="str">
        <f t="shared" si="10"/>
        <v>青岛万象城|服务量</v>
      </c>
      <c r="W57">
        <f t="shared" si="11"/>
        <v>36</v>
      </c>
      <c r="X57" t="str">
        <f t="shared" si="12"/>
        <v>青岛万象城|期末实际出租面积</v>
      </c>
      <c r="Y57">
        <f t="shared" si="13"/>
        <v>38</v>
      </c>
      <c r="Z57">
        <f>IF($A57="",0,IF(AND($M57=1,$A57=经营数据!$B$3,$J57=经营数据!$BA$5,OR($I57=经营数据!$BA$4,COUNTIF(经营数据!$AA$9:$AA$38,$I57)&gt;0)),1,0))</f>
        <v>0</v>
      </c>
      <c r="AA57" t="str">
        <f t="shared" si="14"/>
        <v/>
      </c>
      <c r="AB57" t="str">
        <f t="shared" si="15"/>
        <v/>
      </c>
      <c r="AC57">
        <f>IF($A57="",0,IF(COUNTIF($A$2:$A57,$A57)=1,1,0))</f>
        <v>0</v>
      </c>
      <c r="AD57">
        <f t="shared" si="16"/>
        <v>1</v>
      </c>
      <c r="AE57" t="str">
        <f t="shared" si="17"/>
        <v>青岛万象城|期末实际出租面积（平方米）</v>
      </c>
      <c r="BA57" t="s">
        <v>5278</v>
      </c>
      <c r="BB57" t="s">
        <v>5279</v>
      </c>
      <c r="BP57" s="47">
        <v>45447</v>
      </c>
      <c r="BQ57" s="29">
        <v>5.3399284865575158E-2</v>
      </c>
      <c r="BT57" t="s">
        <v>324</v>
      </c>
      <c r="BU57" t="s">
        <v>154</v>
      </c>
      <c r="BV57" t="s">
        <v>323</v>
      </c>
      <c r="BW57" t="s">
        <v>325</v>
      </c>
      <c r="BX57" t="s">
        <v>133</v>
      </c>
      <c r="BY57">
        <v>39.590000000000003</v>
      </c>
      <c r="BZ57" t="str">
        <f>IF($BT57=数据概览!$C$92,COUNTIFS($BT$3:$BT57,数据概览!$C$92),"")</f>
        <v/>
      </c>
      <c r="CA57">
        <f>IF(AND($BT57=数据概览!$C$92,COUNTIFS($BT$3:$BT57,数据概览!$C$92,$BU$3:$BU57,$BU57)=1),1,0)</f>
        <v>0</v>
      </c>
      <c r="CB57">
        <v>21.72</v>
      </c>
    </row>
    <row r="58" spans="1:80" x14ac:dyDescent="0.4">
      <c r="A58" t="str">
        <f>IF(原始经营数据!$D59="","",原始经营数据!$D59)</f>
        <v>华夏华润消费封闭式基础设施证券投资基金</v>
      </c>
      <c r="B58" t="str">
        <f>IF(原始经营数据!$D59="","",T(原始经营数据!$E59))</f>
        <v>青岛万象城</v>
      </c>
      <c r="C58" t="str">
        <f>IF(原始经营数据!$D59="","",原始经营数据!$F59)</f>
        <v>2024Q4</v>
      </c>
      <c r="D58" t="str">
        <f>IF(原始经营数据!$D59="","",原始经营数据!$H59)</f>
        <v>期末可供出租面积</v>
      </c>
      <c r="E58">
        <f>IF(原始经营数据!$D59="","",原始经营数据!$I59)</f>
        <v>136578</v>
      </c>
      <c r="F58" t="str">
        <f>IF(原始经营数据!$D59="","",T(原始经营数据!$J59))</f>
        <v>平方米</v>
      </c>
      <c r="G58" t="str">
        <f>IF(原始经营数据!$D59="","",T(原始经营数据!$K59))</f>
        <v/>
      </c>
      <c r="H58" t="str">
        <f>IF(原始经营数据!$D59="","",原始经营数据!$G59)</f>
        <v>服务量</v>
      </c>
      <c r="I58" t="str">
        <f>IF($A58="","",IF($B58&lt;&gt;"",$B58,IF(COUNTIFS(原始经营数据!$D$3:$D$3001,$A58,原始经营数据!$E$3:$E$3001,"",原始经营数据!$F$3:$F$3001,$C58,原始经营数据!$H$3:$H$3001,$D58,原始经营数据!$K$3:$K$3001,$G58)&gt;1,"基金整体·来源"&amp;原始经营数据!$A59,"基金整体")))</f>
        <v>青岛万象城</v>
      </c>
      <c r="J58" t="str">
        <f t="shared" si="3"/>
        <v>季度</v>
      </c>
      <c r="K58" t="str">
        <f t="shared" si="4"/>
        <v>期末可供出租面积（平方米）</v>
      </c>
      <c r="L58" t="str">
        <f t="shared" si="5"/>
        <v>青岛万象城|期末可供出租面积（平方米）|季度</v>
      </c>
      <c r="M58">
        <f>IF($A58="",0,IF(COUNTIF($L$2:$L58,$L58)=1,1,0))</f>
        <v>0</v>
      </c>
      <c r="N58">
        <f t="shared" si="6"/>
        <v>20244</v>
      </c>
      <c r="O58" t="str">
        <f t="shared" si="7"/>
        <v>华夏华润消费封闭式基础设施证券投资基金|2024Q4|季度</v>
      </c>
      <c r="P58">
        <f>IF($A58="",0,IF(COUNTIF($O$2:$O58,$O58)=1,1,0))</f>
        <v>0</v>
      </c>
      <c r="Q58" t="str">
        <f>IF(AND($P58=1,$A58=经营数据!$B$3,$J58=经营数据!$BA$5),COUNTIFS($P$2:$P$3000,1,$A$2:$A$3000,$A58,$J$2:$J$3000,$J58,$N$2:$N$3000,"&lt;"&amp;$N58)+1,"")</f>
        <v/>
      </c>
      <c r="R58" t="str">
        <f t="shared" si="8"/>
        <v>华夏华润消费封闭式基础设施证券投资基金|青岛万象城</v>
      </c>
      <c r="S58">
        <f>IF($A58="",0,IF(COUNTIF($R$2:$R58,$R58)=1,1,0))</f>
        <v>0</v>
      </c>
      <c r="T58">
        <f t="shared" si="9"/>
        <v>36</v>
      </c>
      <c r="U58">
        <f>IF($A58="","",IF($A58=经营数据!$B$3,COUNTIFS($S$2:$S$3000,1,$A$2:$A$3000,$A58,$T$2:$T$3000,"&lt;"&amp;$T58)+1,""))</f>
        <v>2</v>
      </c>
      <c r="V58" t="str">
        <f t="shared" si="10"/>
        <v>青岛万象城|服务量</v>
      </c>
      <c r="W58">
        <f t="shared" si="11"/>
        <v>36</v>
      </c>
      <c r="X58" t="str">
        <f t="shared" si="12"/>
        <v>青岛万象城|期末可供出租面积</v>
      </c>
      <c r="Y58">
        <f t="shared" si="13"/>
        <v>37</v>
      </c>
      <c r="Z58">
        <f>IF($A58="",0,IF(AND($M58=1,$A58=经营数据!$B$3,$J58=经营数据!$BA$5,OR($I58=经营数据!$BA$4,COUNTIF(经营数据!$AA$9:$AA$38,$I58)&gt;0)),1,0))</f>
        <v>0</v>
      </c>
      <c r="AA58" t="str">
        <f t="shared" si="14"/>
        <v/>
      </c>
      <c r="AB58" t="str">
        <f t="shared" si="15"/>
        <v/>
      </c>
      <c r="AC58">
        <f>IF($A58="",0,IF(COUNTIF($A$2:$A58,$A58)=1,1,0))</f>
        <v>0</v>
      </c>
      <c r="AD58">
        <f t="shared" si="16"/>
        <v>1</v>
      </c>
      <c r="AE58" t="str">
        <f t="shared" si="17"/>
        <v>青岛万象城|期末可供出租面积（平方米）</v>
      </c>
      <c r="BA58" t="s">
        <v>5280</v>
      </c>
      <c r="BB58" t="s">
        <v>5281</v>
      </c>
      <c r="BP58" s="47">
        <v>45448</v>
      </c>
      <c r="BQ58" s="29">
        <v>5.3489217929788412E-2</v>
      </c>
      <c r="BT58" t="s">
        <v>324</v>
      </c>
      <c r="BU58" t="s">
        <v>177</v>
      </c>
      <c r="BV58" t="s">
        <v>417</v>
      </c>
      <c r="BW58" t="s">
        <v>418</v>
      </c>
      <c r="BX58" t="s">
        <v>138</v>
      </c>
      <c r="BY58">
        <v>29.7</v>
      </c>
      <c r="BZ58" t="str">
        <f>IF($BT58=数据概览!$C$92,COUNTIFS($BT$3:$BT58,数据概览!$C$92),"")</f>
        <v/>
      </c>
      <c r="CA58">
        <f>IF(AND($BT58=数据概览!$C$92,COUNTIFS($BT$3:$BT58,数据概览!$C$92,$BU$3:$BU58,$BU58)=1),1,0)</f>
        <v>0</v>
      </c>
      <c r="CB58">
        <v>23.06</v>
      </c>
    </row>
    <row r="59" spans="1:80" x14ac:dyDescent="0.4">
      <c r="A59" t="str">
        <f>IF(原始经营数据!$D60="","",原始经营数据!$D60)</f>
        <v>华夏华润消费封闭式基础设施证券投资基金</v>
      </c>
      <c r="B59" t="str">
        <f>IF(原始经营数据!$D60="","",T(原始经营数据!$E60))</f>
        <v>青岛万象城</v>
      </c>
      <c r="C59" t="str">
        <f>IF(原始经营数据!$D60="","",原始经营数据!$F60)</f>
        <v>2024Q4</v>
      </c>
      <c r="D59" t="str">
        <f>IF(原始经营数据!$D60="","",原始经营数据!$H60)</f>
        <v>期末加权平均剩余租期</v>
      </c>
      <c r="E59">
        <f>IF(原始经营数据!$D60="","",原始经营数据!$I60)</f>
        <v>2.17</v>
      </c>
      <c r="F59" t="str">
        <f>IF(原始经营数据!$D60="","",T(原始经营数据!$J60))</f>
        <v>年</v>
      </c>
      <c r="G59" t="str">
        <f>IF(原始经营数据!$D60="","",T(原始经营数据!$K60))</f>
        <v/>
      </c>
      <c r="H59" t="str">
        <f>IF(原始经营数据!$D60="","",原始经营数据!$G60)</f>
        <v>服务量</v>
      </c>
      <c r="I59" t="str">
        <f>IF($A59="","",IF($B59&lt;&gt;"",$B59,IF(COUNTIFS(原始经营数据!$D$3:$D$3001,$A59,原始经营数据!$E$3:$E$3001,"",原始经营数据!$F$3:$F$3001,$C59,原始经营数据!$H$3:$H$3001,$D59,原始经营数据!$K$3:$K$3001,$G59)&gt;1,"基金整体·来源"&amp;原始经营数据!$A60,"基金整体")))</f>
        <v>青岛万象城</v>
      </c>
      <c r="J59" t="str">
        <f t="shared" si="3"/>
        <v>季度</v>
      </c>
      <c r="K59" t="str">
        <f t="shared" si="4"/>
        <v>期末加权平均剩余租期（年）</v>
      </c>
      <c r="L59" t="str">
        <f t="shared" si="5"/>
        <v>青岛万象城|期末加权平均剩余租期（年）|季度</v>
      </c>
      <c r="M59">
        <f>IF($A59="",0,IF(COUNTIF($L$2:$L59,$L59)=1,1,0))</f>
        <v>0</v>
      </c>
      <c r="N59">
        <f t="shared" si="6"/>
        <v>20244</v>
      </c>
      <c r="O59" t="str">
        <f t="shared" si="7"/>
        <v>华夏华润消费封闭式基础设施证券投资基金|2024Q4|季度</v>
      </c>
      <c r="P59">
        <f>IF($A59="",0,IF(COUNTIF($O$2:$O59,$O59)=1,1,0))</f>
        <v>0</v>
      </c>
      <c r="Q59" t="str">
        <f>IF(AND($P59=1,$A59=经营数据!$B$3,$J59=经营数据!$BA$5),COUNTIFS($P$2:$P$3000,1,$A$2:$A$3000,$A59,$J$2:$J$3000,$J59,$N$2:$N$3000,"&lt;"&amp;$N59)+1,"")</f>
        <v/>
      </c>
      <c r="R59" t="str">
        <f t="shared" si="8"/>
        <v>华夏华润消费封闭式基础设施证券投资基金|青岛万象城</v>
      </c>
      <c r="S59">
        <f>IF($A59="",0,IF(COUNTIF($R$2:$R59,$R59)=1,1,0))</f>
        <v>0</v>
      </c>
      <c r="T59">
        <f t="shared" si="9"/>
        <v>36</v>
      </c>
      <c r="U59">
        <f>IF($A59="","",IF($A59=经营数据!$B$3,COUNTIFS($S$2:$S$3000,1,$A$2:$A$3000,$A59,$T$2:$T$3000,"&lt;"&amp;$T59)+1,""))</f>
        <v>2</v>
      </c>
      <c r="V59" t="str">
        <f t="shared" si="10"/>
        <v>青岛万象城|服务量</v>
      </c>
      <c r="W59">
        <f t="shared" si="11"/>
        <v>36</v>
      </c>
      <c r="X59" t="str">
        <f t="shared" si="12"/>
        <v>青岛万象城|期末加权平均剩余租期</v>
      </c>
      <c r="Y59">
        <f t="shared" si="13"/>
        <v>36</v>
      </c>
      <c r="Z59">
        <f>IF($A59="",0,IF(AND($M59=1,$A59=经营数据!$B$3,$J59=经营数据!$BA$5,OR($I59=经营数据!$BA$4,COUNTIF(经营数据!$AA$9:$AA$38,$I59)&gt;0)),1,0))</f>
        <v>0</v>
      </c>
      <c r="AA59" t="str">
        <f t="shared" si="14"/>
        <v/>
      </c>
      <c r="AB59" t="str">
        <f t="shared" si="15"/>
        <v/>
      </c>
      <c r="AC59">
        <f>IF($A59="",0,IF(COUNTIF($A$2:$A59,$A59)=1,1,0))</f>
        <v>0</v>
      </c>
      <c r="AD59">
        <f t="shared" si="16"/>
        <v>1</v>
      </c>
      <c r="AE59" t="str">
        <f t="shared" si="17"/>
        <v>青岛万象城|期末加权平均剩余租期（年）</v>
      </c>
      <c r="BA59" t="s">
        <v>5282</v>
      </c>
      <c r="BB59" t="s">
        <v>5283</v>
      </c>
      <c r="BP59" s="47">
        <v>45449</v>
      </c>
      <c r="BQ59" s="29">
        <v>5.3497965430594617E-2</v>
      </c>
      <c r="BT59" t="s">
        <v>324</v>
      </c>
      <c r="BU59" t="s">
        <v>206</v>
      </c>
      <c r="BV59" t="s">
        <v>560</v>
      </c>
      <c r="BW59" t="s">
        <v>561</v>
      </c>
      <c r="BX59" t="s">
        <v>208</v>
      </c>
      <c r="BY59">
        <v>0.6</v>
      </c>
      <c r="BZ59" t="str">
        <f>IF($BT59=数据概览!$C$92,COUNTIFS($BT$3:$BT59,数据概览!$C$92),"")</f>
        <v/>
      </c>
      <c r="CA59">
        <f>IF(AND($BT59=数据概览!$C$92,COUNTIFS($BT$3:$BT59,数据概览!$C$92,$BU$3:$BU59,$BU59)=1),1,0)</f>
        <v>0</v>
      </c>
      <c r="CB59">
        <v>22.97</v>
      </c>
    </row>
    <row r="60" spans="1:80" x14ac:dyDescent="0.4">
      <c r="A60" t="str">
        <f>IF(原始经营数据!$D61="","",原始经营数据!$D61)</f>
        <v>华夏华润消费封闭式基础设施证券投资基金</v>
      </c>
      <c r="B60" t="str">
        <f>IF(原始经营数据!$D61="","",T(原始经营数据!$E61))</f>
        <v>青岛万象城</v>
      </c>
      <c r="C60" t="str">
        <f>IF(原始经营数据!$D61="","",原始经营数据!$F61)</f>
        <v>2025Q1</v>
      </c>
      <c r="D60" t="str">
        <f>IF(原始经营数据!$D61="","",原始经营数据!$H61)</f>
        <v>期内租金单价水平</v>
      </c>
      <c r="E60">
        <f>IF(原始经营数据!$D61="","",原始经营数据!$I61)</f>
        <v>421.03</v>
      </c>
      <c r="F60" t="str">
        <f>IF(原始经营数据!$D61="","",T(原始经营数据!$J61))</f>
        <v>元/平方米/月</v>
      </c>
      <c r="G60" t="str">
        <f>IF(原始经营数据!$D61="","",T(原始经营数据!$K61))</f>
        <v/>
      </c>
      <c r="H60" t="str">
        <f>IF(原始经营数据!$D61="","",原始经营数据!$G61)</f>
        <v>服务价格</v>
      </c>
      <c r="I60" t="str">
        <f>IF($A60="","",IF($B60&lt;&gt;"",$B60,IF(COUNTIFS(原始经营数据!$D$3:$D$3001,$A60,原始经营数据!$E$3:$E$3001,"",原始经营数据!$F$3:$F$3001,$C60,原始经营数据!$H$3:$H$3001,$D60,原始经营数据!$K$3:$K$3001,$G60)&gt;1,"基金整体·来源"&amp;原始经营数据!$A61,"基金整体")))</f>
        <v>青岛万象城</v>
      </c>
      <c r="J60" t="str">
        <f t="shared" si="3"/>
        <v>季度</v>
      </c>
      <c r="K60" t="str">
        <f t="shared" si="4"/>
        <v>期内租金单价水平（元/平方米/月）</v>
      </c>
      <c r="L60" t="str">
        <f t="shared" si="5"/>
        <v>青岛万象城|期内租金单价水平（元/平方米/月）|季度</v>
      </c>
      <c r="M60">
        <f>IF($A60="",0,IF(COUNTIF($L$2:$L60,$L60)=1,1,0))</f>
        <v>0</v>
      </c>
      <c r="N60">
        <f t="shared" si="6"/>
        <v>20251</v>
      </c>
      <c r="O60" t="str">
        <f t="shared" si="7"/>
        <v>华夏华润消费封闭式基础设施证券投资基金|2025Q1|季度</v>
      </c>
      <c r="P60">
        <f>IF($A60="",0,IF(COUNTIF($O$2:$O60,$O60)=1,1,0))</f>
        <v>0</v>
      </c>
      <c r="Q60" t="str">
        <f>IF(AND($P60=1,$A60=经营数据!$B$3,$J60=经营数据!$BA$5),COUNTIFS($P$2:$P$3000,1,$A$2:$A$3000,$A60,$J$2:$J$3000,$J60,$N$2:$N$3000,"&lt;"&amp;$N60)+1,"")</f>
        <v/>
      </c>
      <c r="R60" t="str">
        <f t="shared" si="8"/>
        <v>华夏华润消费封闭式基础设施证券投资基金|青岛万象城</v>
      </c>
      <c r="S60">
        <f>IF($A60="",0,IF(COUNTIF($R$2:$R60,$R60)=1,1,0))</f>
        <v>0</v>
      </c>
      <c r="T60">
        <f t="shared" si="9"/>
        <v>36</v>
      </c>
      <c r="U60">
        <f>IF($A60="","",IF($A60=经营数据!$B$3,COUNTIFS($S$2:$S$3000,1,$A$2:$A$3000,$A60,$T$2:$T$3000,"&lt;"&amp;$T60)+1,""))</f>
        <v>2</v>
      </c>
      <c r="V60" t="str">
        <f t="shared" si="10"/>
        <v>青岛万象城|服务价格</v>
      </c>
      <c r="W60">
        <f t="shared" si="11"/>
        <v>46</v>
      </c>
      <c r="X60" t="str">
        <f t="shared" si="12"/>
        <v>青岛万象城|期内租金单价水平</v>
      </c>
      <c r="Y60">
        <f t="shared" si="13"/>
        <v>46</v>
      </c>
      <c r="Z60">
        <f>IF($A60="",0,IF(AND($M60=1,$A60=经营数据!$B$3,$J60=经营数据!$BA$5,OR($I60=经营数据!$BA$4,COUNTIF(经营数据!$AA$9:$AA$38,$I60)&gt;0)),1,0))</f>
        <v>0</v>
      </c>
      <c r="AA60" t="str">
        <f t="shared" si="14"/>
        <v/>
      </c>
      <c r="AB60" t="str">
        <f t="shared" si="15"/>
        <v/>
      </c>
      <c r="AC60">
        <f>IF($A60="",0,IF(COUNTIF($A$2:$A60,$A60)=1,1,0))</f>
        <v>0</v>
      </c>
      <c r="AD60">
        <f t="shared" si="16"/>
        <v>1</v>
      </c>
      <c r="AE60" t="str">
        <f t="shared" si="17"/>
        <v>青岛万象城|期内租金单价水平（元/平方米/月）</v>
      </c>
      <c r="BA60" t="s">
        <v>5284</v>
      </c>
      <c r="BB60" t="s">
        <v>5285</v>
      </c>
      <c r="BP60" s="47">
        <v>45450</v>
      </c>
      <c r="BQ60" s="29">
        <v>5.3477850454463717E-2</v>
      </c>
      <c r="BT60" t="s">
        <v>365</v>
      </c>
      <c r="BU60" t="s">
        <v>136</v>
      </c>
      <c r="BV60" t="s">
        <v>363</v>
      </c>
      <c r="BW60" t="s">
        <v>366</v>
      </c>
      <c r="BX60" t="s">
        <v>364</v>
      </c>
      <c r="BY60">
        <v>10.18</v>
      </c>
      <c r="BZ60" t="str">
        <f>IF($BT60=数据概览!$C$92,COUNTIFS($BT$3:$BT60,数据概览!$C$92),"")</f>
        <v/>
      </c>
      <c r="CA60">
        <f>IF(AND($BT60=数据概览!$C$92,COUNTIFS($BT$3:$BT60,数据概览!$C$92,$BU$3:$BU60,$BU60)=1),1,0)</f>
        <v>0</v>
      </c>
      <c r="CB60">
        <v>29.26</v>
      </c>
    </row>
    <row r="61" spans="1:80" x14ac:dyDescent="0.4">
      <c r="A61" t="str">
        <f>IF(原始经营数据!$D62="","",原始经营数据!$D62)</f>
        <v>华夏华润消费封闭式基础设施证券投资基金</v>
      </c>
      <c r="B61" t="str">
        <f>IF(原始经营数据!$D62="","",T(原始经营数据!$E62))</f>
        <v>青岛万象城</v>
      </c>
      <c r="C61" t="str">
        <f>IF(原始经营数据!$D62="","",原始经营数据!$F62)</f>
        <v>2025Q1</v>
      </c>
      <c r="D61" t="str">
        <f>IF(原始经营数据!$D62="","",原始经营数据!$H62)</f>
        <v>期末加权平均剩余租期</v>
      </c>
      <c r="E61">
        <f>IF(原始经营数据!$D62="","",原始经营数据!$I62)</f>
        <v>2.0299999999999998</v>
      </c>
      <c r="F61" t="str">
        <f>IF(原始经营数据!$D62="","",T(原始经营数据!$J62))</f>
        <v>年</v>
      </c>
      <c r="G61" t="str">
        <f>IF(原始经营数据!$D62="","",T(原始经营数据!$K62))</f>
        <v/>
      </c>
      <c r="H61" t="str">
        <f>IF(原始经营数据!$D62="","",原始经营数据!$G62)</f>
        <v>服务量</v>
      </c>
      <c r="I61" t="str">
        <f>IF($A61="","",IF($B61&lt;&gt;"",$B61,IF(COUNTIFS(原始经营数据!$D$3:$D$3001,$A61,原始经营数据!$E$3:$E$3001,"",原始经营数据!$F$3:$F$3001,$C61,原始经营数据!$H$3:$H$3001,$D61,原始经营数据!$K$3:$K$3001,$G61)&gt;1,"基金整体·来源"&amp;原始经营数据!$A62,"基金整体")))</f>
        <v>青岛万象城</v>
      </c>
      <c r="J61" t="str">
        <f t="shared" si="3"/>
        <v>季度</v>
      </c>
      <c r="K61" t="str">
        <f t="shared" si="4"/>
        <v>期末加权平均剩余租期（年）</v>
      </c>
      <c r="L61" t="str">
        <f t="shared" si="5"/>
        <v>青岛万象城|期末加权平均剩余租期（年）|季度</v>
      </c>
      <c r="M61">
        <f>IF($A61="",0,IF(COUNTIF($L$2:$L61,$L61)=1,1,0))</f>
        <v>0</v>
      </c>
      <c r="N61">
        <f t="shared" si="6"/>
        <v>20251</v>
      </c>
      <c r="O61" t="str">
        <f t="shared" si="7"/>
        <v>华夏华润消费封闭式基础设施证券投资基金|2025Q1|季度</v>
      </c>
      <c r="P61">
        <f>IF($A61="",0,IF(COUNTIF($O$2:$O61,$O61)=1,1,0))</f>
        <v>0</v>
      </c>
      <c r="Q61" t="str">
        <f>IF(AND($P61=1,$A61=经营数据!$B$3,$J61=经营数据!$BA$5),COUNTIFS($P$2:$P$3000,1,$A$2:$A$3000,$A61,$J$2:$J$3000,$J61,$N$2:$N$3000,"&lt;"&amp;$N61)+1,"")</f>
        <v/>
      </c>
      <c r="R61" t="str">
        <f t="shared" si="8"/>
        <v>华夏华润消费封闭式基础设施证券投资基金|青岛万象城</v>
      </c>
      <c r="S61">
        <f>IF($A61="",0,IF(COUNTIF($R$2:$R61,$R61)=1,1,0))</f>
        <v>0</v>
      </c>
      <c r="T61">
        <f t="shared" si="9"/>
        <v>36</v>
      </c>
      <c r="U61">
        <f>IF($A61="","",IF($A61=经营数据!$B$3,COUNTIFS($S$2:$S$3000,1,$A$2:$A$3000,$A61,$T$2:$T$3000,"&lt;"&amp;$T61)+1,""))</f>
        <v>2</v>
      </c>
      <c r="V61" t="str">
        <f t="shared" si="10"/>
        <v>青岛万象城|服务量</v>
      </c>
      <c r="W61">
        <f t="shared" si="11"/>
        <v>36</v>
      </c>
      <c r="X61" t="str">
        <f t="shared" si="12"/>
        <v>青岛万象城|期末加权平均剩余租期</v>
      </c>
      <c r="Y61">
        <f t="shared" si="13"/>
        <v>36</v>
      </c>
      <c r="Z61">
        <f>IF($A61="",0,IF(AND($M61=1,$A61=经营数据!$B$3,$J61=经营数据!$BA$5,OR($I61=经营数据!$BA$4,COUNTIF(经营数据!$AA$9:$AA$38,$I61)&gt;0)),1,0))</f>
        <v>0</v>
      </c>
      <c r="AA61" t="str">
        <f t="shared" si="14"/>
        <v/>
      </c>
      <c r="AB61" t="str">
        <f t="shared" si="15"/>
        <v/>
      </c>
      <c r="AC61">
        <f>IF($A61="",0,IF(COUNTIF($A$2:$A61,$A61)=1,1,0))</f>
        <v>0</v>
      </c>
      <c r="AD61">
        <f t="shared" si="16"/>
        <v>1</v>
      </c>
      <c r="AE61" t="str">
        <f t="shared" si="17"/>
        <v>青岛万象城|期末加权平均剩余租期（年）</v>
      </c>
      <c r="BA61" t="s">
        <v>5286</v>
      </c>
      <c r="BB61" t="s">
        <v>5287</v>
      </c>
      <c r="BP61" s="47">
        <v>45454</v>
      </c>
      <c r="BQ61" s="29">
        <v>5.350234025399473E-2</v>
      </c>
      <c r="BT61" t="s">
        <v>365</v>
      </c>
      <c r="BU61" t="s">
        <v>206</v>
      </c>
      <c r="BV61" t="s">
        <v>522</v>
      </c>
      <c r="BW61" t="s">
        <v>366</v>
      </c>
      <c r="BX61" t="s">
        <v>208</v>
      </c>
      <c r="BY61">
        <v>1.07</v>
      </c>
      <c r="BZ61" t="str">
        <f>IF($BT61=数据概览!$C$92,COUNTIFS($BT$3:$BT61,数据概览!$C$92),"")</f>
        <v/>
      </c>
      <c r="CA61">
        <f>IF(AND($BT61=数据概览!$C$92,COUNTIFS($BT$3:$BT61,数据概览!$C$92,$BU$3:$BU61,$BU61)=1),1,0)</f>
        <v>0</v>
      </c>
      <c r="CB61">
        <v>23.65</v>
      </c>
    </row>
    <row r="62" spans="1:80" x14ac:dyDescent="0.4">
      <c r="A62" t="str">
        <f>IF(原始经营数据!$D63="","",原始经营数据!$D63)</f>
        <v>华夏华润消费封闭式基础设施证券投资基金</v>
      </c>
      <c r="B62" t="str">
        <f>IF(原始经营数据!$D63="","",T(原始经营数据!$E63))</f>
        <v>青岛万象城</v>
      </c>
      <c r="C62" t="str">
        <f>IF(原始经营数据!$D63="","",原始经营数据!$F63)</f>
        <v>2025Q1</v>
      </c>
      <c r="D62" t="str">
        <f>IF(原始经营数据!$D63="","",原始经营数据!$H63)</f>
        <v>期末收缴率</v>
      </c>
      <c r="E62">
        <f>IF(原始经营数据!$D63="","",原始经营数据!$I63)</f>
        <v>100</v>
      </c>
      <c r="F62" t="str">
        <f>IF(原始经营数据!$D63="","",T(原始经营数据!$J63))</f>
        <v>%</v>
      </c>
      <c r="G62" t="str">
        <f>IF(原始经营数据!$D63="","",T(原始经营数据!$K63))</f>
        <v/>
      </c>
      <c r="H62" t="str">
        <f>IF(原始经营数据!$D63="","",原始经营数据!$G63)</f>
        <v>服务效率</v>
      </c>
      <c r="I62" t="str">
        <f>IF($A62="","",IF($B62&lt;&gt;"",$B62,IF(COUNTIFS(原始经营数据!$D$3:$D$3001,$A62,原始经营数据!$E$3:$E$3001,"",原始经营数据!$F$3:$F$3001,$C62,原始经营数据!$H$3:$H$3001,$D62,原始经营数据!$K$3:$K$3001,$G62)&gt;1,"基金整体·来源"&amp;原始经营数据!$A63,"基金整体")))</f>
        <v>青岛万象城</v>
      </c>
      <c r="J62" t="str">
        <f t="shared" si="3"/>
        <v>季度</v>
      </c>
      <c r="K62" t="str">
        <f t="shared" si="4"/>
        <v>期末收缴率（%）</v>
      </c>
      <c r="L62" t="str">
        <f t="shared" si="5"/>
        <v>青岛万象城|期末收缴率（%）|季度</v>
      </c>
      <c r="M62">
        <f>IF($A62="",0,IF(COUNTIF($L$2:$L62,$L62)=1,1,0))</f>
        <v>0</v>
      </c>
      <c r="N62">
        <f t="shared" si="6"/>
        <v>20251</v>
      </c>
      <c r="O62" t="str">
        <f t="shared" si="7"/>
        <v>华夏华润消费封闭式基础设施证券投资基金|2025Q1|季度</v>
      </c>
      <c r="P62">
        <f>IF($A62="",0,IF(COUNTIF($O$2:$O62,$O62)=1,1,0))</f>
        <v>0</v>
      </c>
      <c r="Q62" t="str">
        <f>IF(AND($P62=1,$A62=经营数据!$B$3,$J62=经营数据!$BA$5),COUNTIFS($P$2:$P$3000,1,$A$2:$A$3000,$A62,$J$2:$J$3000,$J62,$N$2:$N$3000,"&lt;"&amp;$N62)+1,"")</f>
        <v/>
      </c>
      <c r="R62" t="str">
        <f t="shared" si="8"/>
        <v>华夏华润消费封闭式基础设施证券投资基金|青岛万象城</v>
      </c>
      <c r="S62">
        <f>IF($A62="",0,IF(COUNTIF($R$2:$R62,$R62)=1,1,0))</f>
        <v>0</v>
      </c>
      <c r="T62">
        <f t="shared" si="9"/>
        <v>36</v>
      </c>
      <c r="U62">
        <f>IF($A62="","",IF($A62=经营数据!$B$3,COUNTIFS($S$2:$S$3000,1,$A$2:$A$3000,$A62,$T$2:$T$3000,"&lt;"&amp;$T62)+1,""))</f>
        <v>2</v>
      </c>
      <c r="V62" t="str">
        <f t="shared" si="10"/>
        <v>青岛万象城|服务效率</v>
      </c>
      <c r="W62">
        <f t="shared" si="11"/>
        <v>39</v>
      </c>
      <c r="X62" t="str">
        <f t="shared" si="12"/>
        <v>青岛万象城|期末收缴率</v>
      </c>
      <c r="Y62">
        <f t="shared" si="13"/>
        <v>39</v>
      </c>
      <c r="Z62">
        <f>IF($A62="",0,IF(AND($M62=1,$A62=经营数据!$B$3,$J62=经营数据!$BA$5,OR($I62=经营数据!$BA$4,COUNTIF(经营数据!$AA$9:$AA$38,$I62)&gt;0)),1,0))</f>
        <v>0</v>
      </c>
      <c r="AA62" t="str">
        <f t="shared" si="14"/>
        <v/>
      </c>
      <c r="AB62" t="str">
        <f t="shared" si="15"/>
        <v/>
      </c>
      <c r="AC62">
        <f>IF($A62="",0,IF(COUNTIF($A$2:$A62,$A62)=1,1,0))</f>
        <v>0</v>
      </c>
      <c r="AD62">
        <f t="shared" si="16"/>
        <v>1</v>
      </c>
      <c r="AE62" t="str">
        <f t="shared" si="17"/>
        <v>青岛万象城|期末收缴率（%）</v>
      </c>
      <c r="BA62" t="s">
        <v>5288</v>
      </c>
      <c r="BB62" t="s">
        <v>5289</v>
      </c>
      <c r="BP62" s="47">
        <v>45455</v>
      </c>
      <c r="BQ62" s="29">
        <v>5.3537364616303623E-2</v>
      </c>
      <c r="BT62" t="s">
        <v>365</v>
      </c>
      <c r="BU62" t="s">
        <v>206</v>
      </c>
      <c r="BV62" t="s">
        <v>526</v>
      </c>
      <c r="BW62" t="s">
        <v>366</v>
      </c>
      <c r="BX62" t="s">
        <v>208</v>
      </c>
      <c r="BY62">
        <v>1.1000000000000001</v>
      </c>
      <c r="BZ62" t="str">
        <f>IF($BT62=数据概览!$C$92,COUNTIFS($BT$3:$BT62,数据概览!$C$92),"")</f>
        <v/>
      </c>
      <c r="CA62">
        <f>IF(AND($BT62=数据概览!$C$92,COUNTIFS($BT$3:$BT62,数据概览!$C$92,$BU$3:$BU62,$BU62)=1),1,0)</f>
        <v>0</v>
      </c>
      <c r="CB62">
        <v>23.8</v>
      </c>
    </row>
    <row r="63" spans="1:80" x14ac:dyDescent="0.4">
      <c r="A63" t="str">
        <f>IF(原始经营数据!$D64="","",原始经营数据!$D64)</f>
        <v>华夏华润消费封闭式基础设施证券投资基金</v>
      </c>
      <c r="B63" t="str">
        <f>IF(原始经营数据!$D64="","",T(原始经营数据!$E64))</f>
        <v>青岛万象城</v>
      </c>
      <c r="C63" t="str">
        <f>IF(原始经营数据!$D64="","",原始经营数据!$F64)</f>
        <v>2025Q1</v>
      </c>
      <c r="D63" t="str">
        <f>IF(原始经营数据!$D64="","",原始经营数据!$H64)</f>
        <v>期末实际出租面积</v>
      </c>
      <c r="E63">
        <f>IF(原始经营数据!$D64="","",原始经营数据!$I64)</f>
        <v>132949.5</v>
      </c>
      <c r="F63" t="str">
        <f>IF(原始经营数据!$D64="","",T(原始经营数据!$J64))</f>
        <v>平方米</v>
      </c>
      <c r="G63" t="str">
        <f>IF(原始经营数据!$D64="","",T(原始经营数据!$K64))</f>
        <v/>
      </c>
      <c r="H63" t="str">
        <f>IF(原始经营数据!$D64="","",原始经营数据!$G64)</f>
        <v>服务量</v>
      </c>
      <c r="I63" t="str">
        <f>IF($A63="","",IF($B63&lt;&gt;"",$B63,IF(COUNTIFS(原始经营数据!$D$3:$D$3001,$A63,原始经营数据!$E$3:$E$3001,"",原始经营数据!$F$3:$F$3001,$C63,原始经营数据!$H$3:$H$3001,$D63,原始经营数据!$K$3:$K$3001,$G63)&gt;1,"基金整体·来源"&amp;原始经营数据!$A64,"基金整体")))</f>
        <v>青岛万象城</v>
      </c>
      <c r="J63" t="str">
        <f t="shared" si="3"/>
        <v>季度</v>
      </c>
      <c r="K63" t="str">
        <f t="shared" si="4"/>
        <v>期末实际出租面积（平方米）</v>
      </c>
      <c r="L63" t="str">
        <f t="shared" si="5"/>
        <v>青岛万象城|期末实际出租面积（平方米）|季度</v>
      </c>
      <c r="M63">
        <f>IF($A63="",0,IF(COUNTIF($L$2:$L63,$L63)=1,1,0))</f>
        <v>0</v>
      </c>
      <c r="N63">
        <f t="shared" si="6"/>
        <v>20251</v>
      </c>
      <c r="O63" t="str">
        <f t="shared" si="7"/>
        <v>华夏华润消费封闭式基础设施证券投资基金|2025Q1|季度</v>
      </c>
      <c r="P63">
        <f>IF($A63="",0,IF(COUNTIF($O$2:$O63,$O63)=1,1,0))</f>
        <v>0</v>
      </c>
      <c r="Q63" t="str">
        <f>IF(AND($P63=1,$A63=经营数据!$B$3,$J63=经营数据!$BA$5),COUNTIFS($P$2:$P$3000,1,$A$2:$A$3000,$A63,$J$2:$J$3000,$J63,$N$2:$N$3000,"&lt;"&amp;$N63)+1,"")</f>
        <v/>
      </c>
      <c r="R63" t="str">
        <f t="shared" si="8"/>
        <v>华夏华润消费封闭式基础设施证券投资基金|青岛万象城</v>
      </c>
      <c r="S63">
        <f>IF($A63="",0,IF(COUNTIF($R$2:$R63,$R63)=1,1,0))</f>
        <v>0</v>
      </c>
      <c r="T63">
        <f t="shared" si="9"/>
        <v>36</v>
      </c>
      <c r="U63">
        <f>IF($A63="","",IF($A63=经营数据!$B$3,COUNTIFS($S$2:$S$3000,1,$A$2:$A$3000,$A63,$T$2:$T$3000,"&lt;"&amp;$T63)+1,""))</f>
        <v>2</v>
      </c>
      <c r="V63" t="str">
        <f t="shared" si="10"/>
        <v>青岛万象城|服务量</v>
      </c>
      <c r="W63">
        <f t="shared" si="11"/>
        <v>36</v>
      </c>
      <c r="X63" t="str">
        <f t="shared" si="12"/>
        <v>青岛万象城|期末实际出租面积</v>
      </c>
      <c r="Y63">
        <f t="shared" si="13"/>
        <v>38</v>
      </c>
      <c r="Z63">
        <f>IF($A63="",0,IF(AND($M63=1,$A63=经营数据!$B$3,$J63=经营数据!$BA$5,OR($I63=经营数据!$BA$4,COUNTIF(经营数据!$AA$9:$AA$38,$I63)&gt;0)),1,0))</f>
        <v>0</v>
      </c>
      <c r="AA63" t="str">
        <f t="shared" si="14"/>
        <v/>
      </c>
      <c r="AB63" t="str">
        <f t="shared" si="15"/>
        <v/>
      </c>
      <c r="AC63">
        <f>IF($A63="",0,IF(COUNTIF($A$2:$A63,$A63)=1,1,0))</f>
        <v>0</v>
      </c>
      <c r="AD63">
        <f t="shared" si="16"/>
        <v>1</v>
      </c>
      <c r="AE63" t="str">
        <f t="shared" si="17"/>
        <v>青岛万象城|期末实际出租面积（平方米）</v>
      </c>
      <c r="BA63" t="s">
        <v>5290</v>
      </c>
      <c r="BB63" t="s">
        <v>5237</v>
      </c>
      <c r="BP63" s="47">
        <v>45456</v>
      </c>
      <c r="BQ63" s="29">
        <v>5.352510087455209E-2</v>
      </c>
      <c r="BT63" t="s">
        <v>401</v>
      </c>
      <c r="BU63" t="s">
        <v>145</v>
      </c>
      <c r="BV63" t="s">
        <v>400</v>
      </c>
      <c r="BW63" t="s">
        <v>402</v>
      </c>
      <c r="BX63" t="s">
        <v>132</v>
      </c>
      <c r="BY63">
        <v>10.65</v>
      </c>
      <c r="BZ63" t="str">
        <f>IF($BT63=数据概览!$C$92,COUNTIFS($BT$3:$BT63,数据概览!$C$92),"")</f>
        <v/>
      </c>
      <c r="CA63">
        <f>IF(AND($BT63=数据概览!$C$92,COUNTIFS($BT$3:$BT63,数据概览!$C$92,$BU$3:$BU63,$BU63)=1),1,0)</f>
        <v>0</v>
      </c>
      <c r="CB63">
        <v>25.85</v>
      </c>
    </row>
    <row r="64" spans="1:80" x14ac:dyDescent="0.4">
      <c r="A64" t="str">
        <f>IF(原始经营数据!$D65="","",原始经营数据!$D65)</f>
        <v>华夏华润消费封闭式基础设施证券投资基金</v>
      </c>
      <c r="B64" t="str">
        <f>IF(原始经营数据!$D65="","",T(原始经营数据!$E65))</f>
        <v>青岛万象城</v>
      </c>
      <c r="C64" t="str">
        <f>IF(原始经营数据!$D65="","",原始经营数据!$F65)</f>
        <v>2025Q1</v>
      </c>
      <c r="D64" t="str">
        <f>IF(原始经营数据!$D65="","",原始经营数据!$H65)</f>
        <v>期末可供出租面积</v>
      </c>
      <c r="E64">
        <f>IF(原始经营数据!$D65="","",原始经营数据!$I65)</f>
        <v>134150.5</v>
      </c>
      <c r="F64" t="str">
        <f>IF(原始经营数据!$D65="","",T(原始经营数据!$J65))</f>
        <v>平方米</v>
      </c>
      <c r="G64" t="str">
        <f>IF(原始经营数据!$D65="","",T(原始经营数据!$K65))</f>
        <v/>
      </c>
      <c r="H64" t="str">
        <f>IF(原始经营数据!$D65="","",原始经营数据!$G65)</f>
        <v>服务量</v>
      </c>
      <c r="I64" t="str">
        <f>IF($A64="","",IF($B64&lt;&gt;"",$B64,IF(COUNTIFS(原始经营数据!$D$3:$D$3001,$A64,原始经营数据!$E$3:$E$3001,"",原始经营数据!$F$3:$F$3001,$C64,原始经营数据!$H$3:$H$3001,$D64,原始经营数据!$K$3:$K$3001,$G64)&gt;1,"基金整体·来源"&amp;原始经营数据!$A65,"基金整体")))</f>
        <v>青岛万象城</v>
      </c>
      <c r="J64" t="str">
        <f t="shared" si="3"/>
        <v>季度</v>
      </c>
      <c r="K64" t="str">
        <f t="shared" si="4"/>
        <v>期末可供出租面积（平方米）</v>
      </c>
      <c r="L64" t="str">
        <f t="shared" si="5"/>
        <v>青岛万象城|期末可供出租面积（平方米）|季度</v>
      </c>
      <c r="M64">
        <f>IF($A64="",0,IF(COUNTIF($L$2:$L64,$L64)=1,1,0))</f>
        <v>0</v>
      </c>
      <c r="N64">
        <f t="shared" si="6"/>
        <v>20251</v>
      </c>
      <c r="O64" t="str">
        <f t="shared" si="7"/>
        <v>华夏华润消费封闭式基础设施证券投资基金|2025Q1|季度</v>
      </c>
      <c r="P64">
        <f>IF($A64="",0,IF(COUNTIF($O$2:$O64,$O64)=1,1,0))</f>
        <v>0</v>
      </c>
      <c r="Q64" t="str">
        <f>IF(AND($P64=1,$A64=经营数据!$B$3,$J64=经营数据!$BA$5),COUNTIFS($P$2:$P$3000,1,$A$2:$A$3000,$A64,$J$2:$J$3000,$J64,$N$2:$N$3000,"&lt;"&amp;$N64)+1,"")</f>
        <v/>
      </c>
      <c r="R64" t="str">
        <f t="shared" si="8"/>
        <v>华夏华润消费封闭式基础设施证券投资基金|青岛万象城</v>
      </c>
      <c r="S64">
        <f>IF($A64="",0,IF(COUNTIF($R$2:$R64,$R64)=1,1,0))</f>
        <v>0</v>
      </c>
      <c r="T64">
        <f t="shared" si="9"/>
        <v>36</v>
      </c>
      <c r="U64">
        <f>IF($A64="","",IF($A64=经营数据!$B$3,COUNTIFS($S$2:$S$3000,1,$A$2:$A$3000,$A64,$T$2:$T$3000,"&lt;"&amp;$T64)+1,""))</f>
        <v>2</v>
      </c>
      <c r="V64" t="str">
        <f t="shared" si="10"/>
        <v>青岛万象城|服务量</v>
      </c>
      <c r="W64">
        <f t="shared" si="11"/>
        <v>36</v>
      </c>
      <c r="X64" t="str">
        <f t="shared" si="12"/>
        <v>青岛万象城|期末可供出租面积</v>
      </c>
      <c r="Y64">
        <f t="shared" si="13"/>
        <v>37</v>
      </c>
      <c r="Z64">
        <f>IF($A64="",0,IF(AND($M64=1,$A64=经营数据!$B$3,$J64=经营数据!$BA$5,OR($I64=经营数据!$BA$4,COUNTIF(经营数据!$AA$9:$AA$38,$I64)&gt;0)),1,0))</f>
        <v>0</v>
      </c>
      <c r="AA64" t="str">
        <f t="shared" si="14"/>
        <v/>
      </c>
      <c r="AB64" t="str">
        <f t="shared" si="15"/>
        <v/>
      </c>
      <c r="AC64">
        <f>IF($A64="",0,IF(COUNTIF($A$2:$A64,$A64)=1,1,0))</f>
        <v>0</v>
      </c>
      <c r="AD64">
        <f t="shared" si="16"/>
        <v>1</v>
      </c>
      <c r="AE64" t="str">
        <f t="shared" si="17"/>
        <v>青岛万象城|期末可供出租面积（平方米）</v>
      </c>
      <c r="BA64" t="s">
        <v>5291</v>
      </c>
      <c r="BB64" t="s">
        <v>5292</v>
      </c>
      <c r="BP64" s="47">
        <v>45457</v>
      </c>
      <c r="BQ64" s="29">
        <v>5.341934077125314E-2</v>
      </c>
      <c r="BT64" t="s">
        <v>401</v>
      </c>
      <c r="BU64" t="s">
        <v>170</v>
      </c>
      <c r="BV64" t="s">
        <v>413</v>
      </c>
      <c r="BW64" t="s">
        <v>402</v>
      </c>
      <c r="BX64" t="s">
        <v>133</v>
      </c>
      <c r="BY64">
        <v>7.56</v>
      </c>
      <c r="BZ64" t="str">
        <f>IF($BT64=数据概览!$C$92,COUNTIFS($BT$3:$BT64,数据概览!$C$92),"")</f>
        <v/>
      </c>
      <c r="CA64">
        <f>IF(AND($BT64=数据概览!$C$92,COUNTIFS($BT$3:$BT64,数据概览!$C$92,$BU$3:$BU64,$BU64)=1),1,0)</f>
        <v>0</v>
      </c>
      <c r="CB64">
        <v>17.399999999999999</v>
      </c>
    </row>
    <row r="65" spans="1:80" x14ac:dyDescent="0.4">
      <c r="A65" t="str">
        <f>IF(原始经营数据!$D66="","",原始经营数据!$D66)</f>
        <v>华夏华润消费封闭式基础设施证券投资基金</v>
      </c>
      <c r="B65" t="str">
        <f>IF(原始经营数据!$D66="","",T(原始经营数据!$E66))</f>
        <v>青岛万象城</v>
      </c>
      <c r="C65" t="str">
        <f>IF(原始经营数据!$D66="","",原始经营数据!$F66)</f>
        <v>2025Q1</v>
      </c>
      <c r="D65" t="str">
        <f>IF(原始经营数据!$D66="","",原始经营数据!$H66)</f>
        <v>期末出租率</v>
      </c>
      <c r="E65">
        <f>IF(原始经营数据!$D66="","",原始经营数据!$I66)</f>
        <v>99.1</v>
      </c>
      <c r="F65" t="str">
        <f>IF(原始经营数据!$D66="","",T(原始经营数据!$J66))</f>
        <v>%</v>
      </c>
      <c r="G65" t="str">
        <f>IF(原始经营数据!$D66="","",T(原始经营数据!$K66))</f>
        <v/>
      </c>
      <c r="H65" t="str">
        <f>IF(原始经营数据!$D66="","",原始经营数据!$G66)</f>
        <v>服务效率</v>
      </c>
      <c r="I65" t="str">
        <f>IF($A65="","",IF($B65&lt;&gt;"",$B65,IF(COUNTIFS(原始经营数据!$D$3:$D$3001,$A65,原始经营数据!$E$3:$E$3001,"",原始经营数据!$F$3:$F$3001,$C65,原始经营数据!$H$3:$H$3001,$D65,原始经营数据!$K$3:$K$3001,$G65)&gt;1,"基金整体·来源"&amp;原始经营数据!$A66,"基金整体")))</f>
        <v>青岛万象城</v>
      </c>
      <c r="J65" t="str">
        <f t="shared" si="3"/>
        <v>季度</v>
      </c>
      <c r="K65" t="str">
        <f t="shared" si="4"/>
        <v>期末出租率（%）</v>
      </c>
      <c r="L65" t="str">
        <f t="shared" si="5"/>
        <v>青岛万象城|期末出租率（%）|季度</v>
      </c>
      <c r="M65">
        <f>IF($A65="",0,IF(COUNTIF($L$2:$L65,$L65)=1,1,0))</f>
        <v>0</v>
      </c>
      <c r="N65">
        <f t="shared" si="6"/>
        <v>20251</v>
      </c>
      <c r="O65" t="str">
        <f t="shared" si="7"/>
        <v>华夏华润消费封闭式基础设施证券投资基金|2025Q1|季度</v>
      </c>
      <c r="P65">
        <f>IF($A65="",0,IF(COUNTIF($O$2:$O65,$O65)=1,1,0))</f>
        <v>0</v>
      </c>
      <c r="Q65" t="str">
        <f>IF(AND($P65=1,$A65=经营数据!$B$3,$J65=经营数据!$BA$5),COUNTIFS($P$2:$P$3000,1,$A$2:$A$3000,$A65,$J$2:$J$3000,$J65,$N$2:$N$3000,"&lt;"&amp;$N65)+1,"")</f>
        <v/>
      </c>
      <c r="R65" t="str">
        <f t="shared" si="8"/>
        <v>华夏华润消费封闭式基础设施证券投资基金|青岛万象城</v>
      </c>
      <c r="S65">
        <f>IF($A65="",0,IF(COUNTIF($R$2:$R65,$R65)=1,1,0))</f>
        <v>0</v>
      </c>
      <c r="T65">
        <f t="shared" si="9"/>
        <v>36</v>
      </c>
      <c r="U65">
        <f>IF($A65="","",IF($A65=经营数据!$B$3,COUNTIFS($S$2:$S$3000,1,$A$2:$A$3000,$A65,$T$2:$T$3000,"&lt;"&amp;$T65)+1,""))</f>
        <v>2</v>
      </c>
      <c r="V65" t="str">
        <f t="shared" si="10"/>
        <v>青岛万象城|服务效率</v>
      </c>
      <c r="W65">
        <f t="shared" si="11"/>
        <v>39</v>
      </c>
      <c r="X65" t="str">
        <f t="shared" si="12"/>
        <v>青岛万象城|期末出租率</v>
      </c>
      <c r="Y65">
        <f t="shared" si="13"/>
        <v>40</v>
      </c>
      <c r="Z65">
        <f>IF($A65="",0,IF(AND($M65=1,$A65=经营数据!$B$3,$J65=经营数据!$BA$5,OR($I65=经营数据!$BA$4,COUNTIF(经营数据!$AA$9:$AA$38,$I65)&gt;0)),1,0))</f>
        <v>0</v>
      </c>
      <c r="AA65" t="str">
        <f t="shared" si="14"/>
        <v/>
      </c>
      <c r="AB65" t="str">
        <f t="shared" si="15"/>
        <v/>
      </c>
      <c r="AC65">
        <f>IF($A65="",0,IF(COUNTIF($A$2:$A65,$A65)=1,1,0))</f>
        <v>0</v>
      </c>
      <c r="AD65">
        <f t="shared" si="16"/>
        <v>1</v>
      </c>
      <c r="AE65" t="str">
        <f t="shared" si="17"/>
        <v>青岛万象城|期末出租率（%）</v>
      </c>
      <c r="BA65" t="s">
        <v>5293</v>
      </c>
      <c r="BB65" t="s">
        <v>5239</v>
      </c>
      <c r="BP65" s="47">
        <v>45460</v>
      </c>
      <c r="BQ65" s="29">
        <v>5.3497965430594617E-2</v>
      </c>
      <c r="BT65" t="s">
        <v>401</v>
      </c>
      <c r="BU65" t="s">
        <v>206</v>
      </c>
      <c r="BV65" t="s">
        <v>579</v>
      </c>
      <c r="BW65" t="s">
        <v>402</v>
      </c>
      <c r="BX65" t="s">
        <v>208</v>
      </c>
      <c r="BY65">
        <v>0.88</v>
      </c>
      <c r="BZ65" t="str">
        <f>IF($BT65=数据概览!$C$92,COUNTIFS($BT$3:$BT65,数据概览!$C$92),"")</f>
        <v/>
      </c>
      <c r="CA65">
        <f>IF(AND($BT65=数据概览!$C$92,COUNTIFS($BT$3:$BT65,数据概览!$C$92,$BU$3:$BU65,$BU65)=1),1,0)</f>
        <v>0</v>
      </c>
      <c r="CB65">
        <v>23.8</v>
      </c>
    </row>
    <row r="66" spans="1:80" x14ac:dyDescent="0.4">
      <c r="A66" t="str">
        <f>IF(原始经营数据!$D67="","",原始经营数据!$D67)</f>
        <v>华夏华润消费封闭式基础设施证券投资基金</v>
      </c>
      <c r="B66" t="str">
        <f>IF(原始经营数据!$D67="","",T(原始经营数据!$E67))</f>
        <v>青岛万象城</v>
      </c>
      <c r="C66" t="str">
        <f>IF(原始经营数据!$D67="","",原始经营数据!$F67)</f>
        <v>2025Q2</v>
      </c>
      <c r="D66" t="str">
        <f>IF(原始经营数据!$D67="","",原始经营数据!$H67)</f>
        <v>期内租金单价水平</v>
      </c>
      <c r="E66">
        <f>IF(原始经营数据!$D67="","",原始经营数据!$I67)</f>
        <v>418.4</v>
      </c>
      <c r="F66" t="str">
        <f>IF(原始经营数据!$D67="","",T(原始经营数据!$J67))</f>
        <v>元/平方米/月</v>
      </c>
      <c r="G66" t="str">
        <f>IF(原始经营数据!$D67="","",T(原始经营数据!$K67))</f>
        <v/>
      </c>
      <c r="H66" t="str">
        <f>IF(原始经营数据!$D67="","",原始经营数据!$G67)</f>
        <v>服务价格</v>
      </c>
      <c r="I66" t="str">
        <f>IF($A66="","",IF($B66&lt;&gt;"",$B66,IF(COUNTIFS(原始经营数据!$D$3:$D$3001,$A66,原始经营数据!$E$3:$E$3001,"",原始经营数据!$F$3:$F$3001,$C66,原始经营数据!$H$3:$H$3001,$D66,原始经营数据!$K$3:$K$3001,$G66)&gt;1,"基金整体·来源"&amp;原始经营数据!$A67,"基金整体")))</f>
        <v>青岛万象城</v>
      </c>
      <c r="J66" t="str">
        <f t="shared" ref="J66:J129" si="18">IF($A66="","",IF(LEN($C66)=4,"年度",IF(AND(LEN($C66)=6,ISNUMBER(SEARCH("Q",$C66))),"季度","其他期间")))</f>
        <v>季度</v>
      </c>
      <c r="K66" t="str">
        <f t="shared" ref="K66:K129" si="19">IF($A66="","",$D66&amp;IF($G66="","","-"&amp;SUBSTITUTE($G66,CHAR(10),""))&amp;IF($F66="","","（"&amp;$F66&amp;"）"))</f>
        <v>期内租金单价水平（元/平方米/月）</v>
      </c>
      <c r="L66" t="str">
        <f t="shared" ref="L66:L129" si="20">IF($A66="","",$I66&amp;"|"&amp;$K66&amp;"|"&amp;$J66)</f>
        <v>青岛万象城|期内租金单价水平（元/平方米/月）|季度</v>
      </c>
      <c r="M66">
        <f>IF($A66="",0,IF(COUNTIF($L$2:$L66,$L66)=1,1,0))</f>
        <v>0</v>
      </c>
      <c r="N66">
        <f t="shared" ref="N66:N129" si="21">IF($A66="","",IF($J66="年度",VALUE($C66)*10,IF($J66="季度",VALUE(LEFT($C66,4))*10+VALUE(RIGHT($C66,1)),VALUE(LEFT($C66,4))*10+9)))</f>
        <v>20252</v>
      </c>
      <c r="O66" t="str">
        <f t="shared" ref="O66:O129" si="22">IF($A66="","",$A66&amp;"|"&amp;$C66&amp;"|"&amp;$J66)</f>
        <v>华夏华润消费封闭式基础设施证券投资基金|2025Q2|季度</v>
      </c>
      <c r="P66">
        <f>IF($A66="",0,IF(COUNTIF($O$2:$O66,$O66)=1,1,0))</f>
        <v>0</v>
      </c>
      <c r="Q66" t="str">
        <f>IF(AND($P66=1,$A66=经营数据!$B$3,$J66=经营数据!$BA$5),COUNTIFS($P$2:$P$3000,1,$A$2:$A$3000,$A66,$J$2:$J$3000,$J66,$N$2:$N$3000,"&lt;"&amp;$N66)+1,"")</f>
        <v/>
      </c>
      <c r="R66" t="str">
        <f t="shared" ref="R66:R129" si="23">IF($A66="","",$A66&amp;"|"&amp;$I66)</f>
        <v>华夏华润消费封闭式基础设施证券投资基金|青岛万象城</v>
      </c>
      <c r="S66">
        <f>IF($A66="",0,IF(COUNTIF($R$2:$R66,$R66)=1,1,0))</f>
        <v>0</v>
      </c>
      <c r="T66">
        <f t="shared" ref="T66:T129" si="24">IF($A66="","",MATCH($R66,$R$2:$R$3000,0))</f>
        <v>36</v>
      </c>
      <c r="U66">
        <f>IF($A66="","",IF($A66=经营数据!$B$3,COUNTIFS($S$2:$S$3000,1,$A$2:$A$3000,$A66,$T$2:$T$3000,"&lt;"&amp;$T66)+1,""))</f>
        <v>2</v>
      </c>
      <c r="V66" t="str">
        <f t="shared" ref="V66:V129" si="25">IF($A66="","",$I66&amp;"|"&amp;$H66)</f>
        <v>青岛万象城|服务价格</v>
      </c>
      <c r="W66">
        <f t="shared" ref="W66:W129" si="26">IF($A66="","",MATCH($V66,$V$2:$V$3000,0))</f>
        <v>46</v>
      </c>
      <c r="X66" t="str">
        <f t="shared" ref="X66:X129" si="27">IF($A66="","",$I66&amp;"|"&amp;$D66)</f>
        <v>青岛万象城|期内租金单价水平</v>
      </c>
      <c r="Y66">
        <f t="shared" ref="Y66:Y129" si="28">IF($A66="","",MATCH($X66,$X$2:$X$3000,0))</f>
        <v>46</v>
      </c>
      <c r="Z66">
        <f>IF($A66="",0,IF(AND($M66=1,$A66=经营数据!$B$3,$J66=经营数据!$BA$5,OR($I66=经营数据!$BA$4,COUNTIF(经营数据!$AA$9:$AA$38,$I66)&gt;0)),1,0))</f>
        <v>0</v>
      </c>
      <c r="AA66" t="str">
        <f t="shared" ref="AA66:AA129" si="29">IF($Z66=1,$U66*1000000000000+$W66*100000000+$Y66*10000+ROW(),"")</f>
        <v/>
      </c>
      <c r="AB66" t="str">
        <f t="shared" ref="AB66:AB129" si="30">IF($Z66=1,COUNTIFS($Z$2:$Z$3000,1,$AA$2:$AA$3000,"&lt;"&amp;$AA66)+1,"")</f>
        <v/>
      </c>
      <c r="AC66">
        <f>IF($A66="",0,IF(COUNTIF($A$2:$A66,$A66)=1,1,0))</f>
        <v>0</v>
      </c>
      <c r="AD66">
        <f t="shared" ref="AD66:AD129" si="31">IF($A66="",N(AD65),IF($AC66=1,N(AD65)+1,N(AD65)))</f>
        <v>1</v>
      </c>
      <c r="AE66" t="str">
        <f t="shared" ref="AE66:AE129" si="32">IF($A66="","",$I66&amp;"|"&amp;$K66)</f>
        <v>青岛万象城|期内租金单价水平（元/平方米/月）</v>
      </c>
      <c r="BA66" t="s">
        <v>5294</v>
      </c>
      <c r="BB66" t="s">
        <v>5295</v>
      </c>
      <c r="BP66" s="47">
        <v>45461</v>
      </c>
      <c r="BQ66" s="29">
        <v>5.3493591322584327E-2</v>
      </c>
      <c r="BT66" t="s">
        <v>340</v>
      </c>
      <c r="BU66" t="s">
        <v>162</v>
      </c>
      <c r="BV66" t="s">
        <v>339</v>
      </c>
      <c r="BW66" t="s">
        <v>341</v>
      </c>
      <c r="BX66" t="s">
        <v>164</v>
      </c>
      <c r="BY66">
        <v>14.61</v>
      </c>
      <c r="BZ66" t="str">
        <f>IF($BT66=数据概览!$C$92,COUNTIFS($BT$3:$BT66,数据概览!$C$92),"")</f>
        <v/>
      </c>
      <c r="CA66">
        <f>IF(AND($BT66=数据概览!$C$92,COUNTIFS($BT$3:$BT66,数据概览!$C$92,$BU$3:$BU66,$BU66)=1),1,0)</f>
        <v>0</v>
      </c>
      <c r="CB66">
        <v>28.8</v>
      </c>
    </row>
    <row r="67" spans="1:80" x14ac:dyDescent="0.4">
      <c r="A67" t="str">
        <f>IF(原始经营数据!$D68="","",原始经营数据!$D68)</f>
        <v>华夏华润消费封闭式基础设施证券投资基金</v>
      </c>
      <c r="B67" t="str">
        <f>IF(原始经营数据!$D68="","",T(原始经营数据!$E68))</f>
        <v>青岛万象城</v>
      </c>
      <c r="C67" t="str">
        <f>IF(原始经营数据!$D68="","",原始经营数据!$F68)</f>
        <v>2025Q2</v>
      </c>
      <c r="D67" t="str">
        <f>IF(原始经营数据!$D68="","",原始经营数据!$H68)</f>
        <v>期末加权平均剩余租期</v>
      </c>
      <c r="E67">
        <f>IF(原始经营数据!$D68="","",原始经营数据!$I68)</f>
        <v>1.99</v>
      </c>
      <c r="F67" t="str">
        <f>IF(原始经营数据!$D68="","",T(原始经营数据!$J68))</f>
        <v>年</v>
      </c>
      <c r="G67" t="str">
        <f>IF(原始经营数据!$D68="","",T(原始经营数据!$K68))</f>
        <v/>
      </c>
      <c r="H67" t="str">
        <f>IF(原始经营数据!$D68="","",原始经营数据!$G68)</f>
        <v>服务量</v>
      </c>
      <c r="I67" t="str">
        <f>IF($A67="","",IF($B67&lt;&gt;"",$B67,IF(COUNTIFS(原始经营数据!$D$3:$D$3001,$A67,原始经营数据!$E$3:$E$3001,"",原始经营数据!$F$3:$F$3001,$C67,原始经营数据!$H$3:$H$3001,$D67,原始经营数据!$K$3:$K$3001,$G67)&gt;1,"基金整体·来源"&amp;原始经营数据!$A68,"基金整体")))</f>
        <v>青岛万象城</v>
      </c>
      <c r="J67" t="str">
        <f t="shared" si="18"/>
        <v>季度</v>
      </c>
      <c r="K67" t="str">
        <f t="shared" si="19"/>
        <v>期末加权平均剩余租期（年）</v>
      </c>
      <c r="L67" t="str">
        <f t="shared" si="20"/>
        <v>青岛万象城|期末加权平均剩余租期（年）|季度</v>
      </c>
      <c r="M67">
        <f>IF($A67="",0,IF(COUNTIF($L$2:$L67,$L67)=1,1,0))</f>
        <v>0</v>
      </c>
      <c r="N67">
        <f t="shared" si="21"/>
        <v>20252</v>
      </c>
      <c r="O67" t="str">
        <f t="shared" si="22"/>
        <v>华夏华润消费封闭式基础设施证券投资基金|2025Q2|季度</v>
      </c>
      <c r="P67">
        <f>IF($A67="",0,IF(COUNTIF($O$2:$O67,$O67)=1,1,0))</f>
        <v>0</v>
      </c>
      <c r="Q67" t="str">
        <f>IF(AND($P67=1,$A67=经营数据!$B$3,$J67=经营数据!$BA$5),COUNTIFS($P$2:$P$3000,1,$A$2:$A$3000,$A67,$J$2:$J$3000,$J67,$N$2:$N$3000,"&lt;"&amp;$N67)+1,"")</f>
        <v/>
      </c>
      <c r="R67" t="str">
        <f t="shared" si="23"/>
        <v>华夏华润消费封闭式基础设施证券投资基金|青岛万象城</v>
      </c>
      <c r="S67">
        <f>IF($A67="",0,IF(COUNTIF($R$2:$R67,$R67)=1,1,0))</f>
        <v>0</v>
      </c>
      <c r="T67">
        <f t="shared" si="24"/>
        <v>36</v>
      </c>
      <c r="U67">
        <f>IF($A67="","",IF($A67=经营数据!$B$3,COUNTIFS($S$2:$S$3000,1,$A$2:$A$3000,$A67,$T$2:$T$3000,"&lt;"&amp;$T67)+1,""))</f>
        <v>2</v>
      </c>
      <c r="V67" t="str">
        <f t="shared" si="25"/>
        <v>青岛万象城|服务量</v>
      </c>
      <c r="W67">
        <f t="shared" si="26"/>
        <v>36</v>
      </c>
      <c r="X67" t="str">
        <f t="shared" si="27"/>
        <v>青岛万象城|期末加权平均剩余租期</v>
      </c>
      <c r="Y67">
        <f t="shared" si="28"/>
        <v>36</v>
      </c>
      <c r="Z67">
        <f>IF($A67="",0,IF(AND($M67=1,$A67=经营数据!$B$3,$J67=经营数据!$BA$5,OR($I67=经营数据!$BA$4,COUNTIF(经营数据!$AA$9:$AA$38,$I67)&gt;0)),1,0))</f>
        <v>0</v>
      </c>
      <c r="AA67" t="str">
        <f t="shared" si="29"/>
        <v/>
      </c>
      <c r="AB67" t="str">
        <f t="shared" si="30"/>
        <v/>
      </c>
      <c r="AC67">
        <f>IF($A67="",0,IF(COUNTIF($A$2:$A67,$A67)=1,1,0))</f>
        <v>0</v>
      </c>
      <c r="AD67">
        <f t="shared" si="31"/>
        <v>1</v>
      </c>
      <c r="AE67" t="str">
        <f t="shared" si="32"/>
        <v>青岛万象城|期末加权平均剩余租期（年）</v>
      </c>
      <c r="BA67" t="s">
        <v>5296</v>
      </c>
      <c r="BB67" t="s">
        <v>5297</v>
      </c>
      <c r="BP67" s="47">
        <v>45462</v>
      </c>
      <c r="BQ67" s="29">
        <v>5.3561908966844041E-2</v>
      </c>
      <c r="BT67" t="s">
        <v>340</v>
      </c>
      <c r="BU67" t="s">
        <v>206</v>
      </c>
      <c r="BV67" t="s">
        <v>495</v>
      </c>
      <c r="BW67" t="s">
        <v>496</v>
      </c>
      <c r="BX67" t="s">
        <v>208</v>
      </c>
      <c r="BY67">
        <v>1.19</v>
      </c>
      <c r="BZ67" t="str">
        <f>IF($BT67=数据概览!$C$92,COUNTIFS($BT$3:$BT67,数据概览!$C$92),"")</f>
        <v/>
      </c>
      <c r="CA67">
        <f>IF(AND($BT67=数据概览!$C$92,COUNTIFS($BT$3:$BT67,数据概览!$C$92,$BU$3:$BU67,$BU67)=1),1,0)</f>
        <v>0</v>
      </c>
      <c r="CB67">
        <v>24.24</v>
      </c>
    </row>
    <row r="68" spans="1:80" x14ac:dyDescent="0.4">
      <c r="A68" t="str">
        <f>IF(原始经营数据!$D69="","",原始经营数据!$D69)</f>
        <v>华夏华润消费封闭式基础设施证券投资基金</v>
      </c>
      <c r="B68" t="str">
        <f>IF(原始经营数据!$D69="","",T(原始经营数据!$E69))</f>
        <v>青岛万象城</v>
      </c>
      <c r="C68" t="str">
        <f>IF(原始经营数据!$D69="","",原始经营数据!$F69)</f>
        <v>2025Q2</v>
      </c>
      <c r="D68" t="str">
        <f>IF(原始经营数据!$D69="","",原始经营数据!$H69)</f>
        <v>期末收缴率</v>
      </c>
      <c r="E68">
        <f>IF(原始经营数据!$D69="","",原始经营数据!$I69)</f>
        <v>100</v>
      </c>
      <c r="F68" t="str">
        <f>IF(原始经营数据!$D69="","",T(原始经营数据!$J69))</f>
        <v>%</v>
      </c>
      <c r="G68" t="str">
        <f>IF(原始经营数据!$D69="","",T(原始经营数据!$K69))</f>
        <v/>
      </c>
      <c r="H68" t="str">
        <f>IF(原始经营数据!$D69="","",原始经营数据!$G69)</f>
        <v>服务效率</v>
      </c>
      <c r="I68" t="str">
        <f>IF($A68="","",IF($B68&lt;&gt;"",$B68,IF(COUNTIFS(原始经营数据!$D$3:$D$3001,$A68,原始经营数据!$E$3:$E$3001,"",原始经营数据!$F$3:$F$3001,$C68,原始经营数据!$H$3:$H$3001,$D68,原始经营数据!$K$3:$K$3001,$G68)&gt;1,"基金整体·来源"&amp;原始经营数据!$A69,"基金整体")))</f>
        <v>青岛万象城</v>
      </c>
      <c r="J68" t="str">
        <f t="shared" si="18"/>
        <v>季度</v>
      </c>
      <c r="K68" t="str">
        <f t="shared" si="19"/>
        <v>期末收缴率（%）</v>
      </c>
      <c r="L68" t="str">
        <f t="shared" si="20"/>
        <v>青岛万象城|期末收缴率（%）|季度</v>
      </c>
      <c r="M68">
        <f>IF($A68="",0,IF(COUNTIF($L$2:$L68,$L68)=1,1,0))</f>
        <v>0</v>
      </c>
      <c r="N68">
        <f t="shared" si="21"/>
        <v>20252</v>
      </c>
      <c r="O68" t="str">
        <f t="shared" si="22"/>
        <v>华夏华润消费封闭式基础设施证券投资基金|2025Q2|季度</v>
      </c>
      <c r="P68">
        <f>IF($A68="",0,IF(COUNTIF($O$2:$O68,$O68)=1,1,0))</f>
        <v>0</v>
      </c>
      <c r="Q68" t="str">
        <f>IF(AND($P68=1,$A68=经营数据!$B$3,$J68=经营数据!$BA$5),COUNTIFS($P$2:$P$3000,1,$A$2:$A$3000,$A68,$J$2:$J$3000,$J68,$N$2:$N$3000,"&lt;"&amp;$N68)+1,"")</f>
        <v/>
      </c>
      <c r="R68" t="str">
        <f t="shared" si="23"/>
        <v>华夏华润消费封闭式基础设施证券投资基金|青岛万象城</v>
      </c>
      <c r="S68">
        <f>IF($A68="",0,IF(COUNTIF($R$2:$R68,$R68)=1,1,0))</f>
        <v>0</v>
      </c>
      <c r="T68">
        <f t="shared" si="24"/>
        <v>36</v>
      </c>
      <c r="U68">
        <f>IF($A68="","",IF($A68=经营数据!$B$3,COUNTIFS($S$2:$S$3000,1,$A$2:$A$3000,$A68,$T$2:$T$3000,"&lt;"&amp;$T68)+1,""))</f>
        <v>2</v>
      </c>
      <c r="V68" t="str">
        <f t="shared" si="25"/>
        <v>青岛万象城|服务效率</v>
      </c>
      <c r="W68">
        <f t="shared" si="26"/>
        <v>39</v>
      </c>
      <c r="X68" t="str">
        <f t="shared" si="27"/>
        <v>青岛万象城|期末收缴率</v>
      </c>
      <c r="Y68">
        <f t="shared" si="28"/>
        <v>39</v>
      </c>
      <c r="Z68">
        <f>IF($A68="",0,IF(AND($M68=1,$A68=经营数据!$B$3,$J68=经营数据!$BA$5,OR($I68=经营数据!$BA$4,COUNTIF(经营数据!$AA$9:$AA$38,$I68)&gt;0)),1,0))</f>
        <v>0</v>
      </c>
      <c r="AA68" t="str">
        <f t="shared" si="29"/>
        <v/>
      </c>
      <c r="AB68" t="str">
        <f t="shared" si="30"/>
        <v/>
      </c>
      <c r="AC68">
        <f>IF($A68="",0,IF(COUNTIF($A$2:$A68,$A68)=1,1,0))</f>
        <v>0</v>
      </c>
      <c r="AD68">
        <f t="shared" si="31"/>
        <v>1</v>
      </c>
      <c r="AE68" t="str">
        <f t="shared" si="32"/>
        <v>青岛万象城|期末收缴率（%）</v>
      </c>
      <c r="BA68" t="s">
        <v>5298</v>
      </c>
      <c r="BB68" t="s">
        <v>5299</v>
      </c>
      <c r="BP68" s="47">
        <v>45463</v>
      </c>
      <c r="BQ68" s="29">
        <v>5.3557524396692861E-2</v>
      </c>
      <c r="BT68" t="s">
        <v>340</v>
      </c>
      <c r="BU68" t="s">
        <v>206</v>
      </c>
      <c r="BV68" t="s">
        <v>518</v>
      </c>
      <c r="BW68" t="s">
        <v>519</v>
      </c>
      <c r="BX68" t="s">
        <v>208</v>
      </c>
      <c r="BY68">
        <v>0.8</v>
      </c>
      <c r="BZ68" t="str">
        <f>IF($BT68=数据概览!$C$92,COUNTIFS($BT$3:$BT68,数据概览!$C$92),"")</f>
        <v/>
      </c>
      <c r="CA68">
        <f>IF(AND($BT68=数据概览!$C$92,COUNTIFS($BT$3:$BT68,数据概览!$C$92,$BU$3:$BU68,$BU68)=1),1,0)</f>
        <v>0</v>
      </c>
      <c r="CB68">
        <v>24.09</v>
      </c>
    </row>
    <row r="69" spans="1:80" x14ac:dyDescent="0.4">
      <c r="A69" t="str">
        <f>IF(原始经营数据!$D70="","",原始经营数据!$D70)</f>
        <v>华夏华润消费封闭式基础设施证券投资基金</v>
      </c>
      <c r="B69" t="str">
        <f>IF(原始经营数据!$D70="","",T(原始经营数据!$E70))</f>
        <v>青岛万象城</v>
      </c>
      <c r="C69" t="str">
        <f>IF(原始经营数据!$D70="","",原始经营数据!$F70)</f>
        <v>2025Q2</v>
      </c>
      <c r="D69" t="str">
        <f>IF(原始经营数据!$D70="","",原始经营数据!$H70)</f>
        <v>期末出租率</v>
      </c>
      <c r="E69">
        <f>IF(原始经营数据!$D70="","",原始经营数据!$I70)</f>
        <v>99.03</v>
      </c>
      <c r="F69" t="str">
        <f>IF(原始经营数据!$D70="","",T(原始经营数据!$J70))</f>
        <v>%</v>
      </c>
      <c r="G69" t="str">
        <f>IF(原始经营数据!$D70="","",T(原始经营数据!$K70))</f>
        <v/>
      </c>
      <c r="H69" t="str">
        <f>IF(原始经营数据!$D70="","",原始经营数据!$G70)</f>
        <v>服务效率</v>
      </c>
      <c r="I69" t="str">
        <f>IF($A69="","",IF($B69&lt;&gt;"",$B69,IF(COUNTIFS(原始经营数据!$D$3:$D$3001,$A69,原始经营数据!$E$3:$E$3001,"",原始经营数据!$F$3:$F$3001,$C69,原始经营数据!$H$3:$H$3001,$D69,原始经营数据!$K$3:$K$3001,$G69)&gt;1,"基金整体·来源"&amp;原始经营数据!$A70,"基金整体")))</f>
        <v>青岛万象城</v>
      </c>
      <c r="J69" t="str">
        <f t="shared" si="18"/>
        <v>季度</v>
      </c>
      <c r="K69" t="str">
        <f t="shared" si="19"/>
        <v>期末出租率（%）</v>
      </c>
      <c r="L69" t="str">
        <f t="shared" si="20"/>
        <v>青岛万象城|期末出租率（%）|季度</v>
      </c>
      <c r="M69">
        <f>IF($A69="",0,IF(COUNTIF($L$2:$L69,$L69)=1,1,0))</f>
        <v>0</v>
      </c>
      <c r="N69">
        <f t="shared" si="21"/>
        <v>20252</v>
      </c>
      <c r="O69" t="str">
        <f t="shared" si="22"/>
        <v>华夏华润消费封闭式基础设施证券投资基金|2025Q2|季度</v>
      </c>
      <c r="P69">
        <f>IF($A69="",0,IF(COUNTIF($O$2:$O69,$O69)=1,1,0))</f>
        <v>0</v>
      </c>
      <c r="Q69" t="str">
        <f>IF(AND($P69=1,$A69=经营数据!$B$3,$J69=经营数据!$BA$5),COUNTIFS($P$2:$P$3000,1,$A$2:$A$3000,$A69,$J$2:$J$3000,$J69,$N$2:$N$3000,"&lt;"&amp;$N69)+1,"")</f>
        <v/>
      </c>
      <c r="R69" t="str">
        <f t="shared" si="23"/>
        <v>华夏华润消费封闭式基础设施证券投资基金|青岛万象城</v>
      </c>
      <c r="S69">
        <f>IF($A69="",0,IF(COUNTIF($R$2:$R69,$R69)=1,1,0))</f>
        <v>0</v>
      </c>
      <c r="T69">
        <f t="shared" si="24"/>
        <v>36</v>
      </c>
      <c r="U69">
        <f>IF($A69="","",IF($A69=经营数据!$B$3,COUNTIFS($S$2:$S$3000,1,$A$2:$A$3000,$A69,$T$2:$T$3000,"&lt;"&amp;$T69)+1,""))</f>
        <v>2</v>
      </c>
      <c r="V69" t="str">
        <f t="shared" si="25"/>
        <v>青岛万象城|服务效率</v>
      </c>
      <c r="W69">
        <f t="shared" si="26"/>
        <v>39</v>
      </c>
      <c r="X69" t="str">
        <f t="shared" si="27"/>
        <v>青岛万象城|期末出租率</v>
      </c>
      <c r="Y69">
        <f t="shared" si="28"/>
        <v>40</v>
      </c>
      <c r="Z69">
        <f>IF($A69="",0,IF(AND($M69=1,$A69=经营数据!$B$3,$J69=经营数据!$BA$5,OR($I69=经营数据!$BA$4,COUNTIF(经营数据!$AA$9:$AA$38,$I69)&gt;0)),1,0))</f>
        <v>0</v>
      </c>
      <c r="AA69" t="str">
        <f t="shared" si="29"/>
        <v/>
      </c>
      <c r="AB69" t="str">
        <f t="shared" si="30"/>
        <v/>
      </c>
      <c r="AC69">
        <f>IF($A69="",0,IF(COUNTIF($A$2:$A69,$A69)=1,1,0))</f>
        <v>0</v>
      </c>
      <c r="AD69">
        <f t="shared" si="31"/>
        <v>1</v>
      </c>
      <c r="AE69" t="str">
        <f t="shared" si="32"/>
        <v>青岛万象城|期末出租率（%）</v>
      </c>
      <c r="BA69" t="s">
        <v>5300</v>
      </c>
      <c r="BB69" t="s">
        <v>5301</v>
      </c>
      <c r="BP69" s="47">
        <v>45464</v>
      </c>
      <c r="BQ69" s="29">
        <v>5.3530356075829233E-2</v>
      </c>
      <c r="BT69" t="s">
        <v>340</v>
      </c>
      <c r="BU69" t="s">
        <v>206</v>
      </c>
      <c r="BV69" t="s">
        <v>553</v>
      </c>
      <c r="BW69" t="s">
        <v>341</v>
      </c>
      <c r="BX69" t="s">
        <v>208</v>
      </c>
      <c r="BY69">
        <v>1.21</v>
      </c>
      <c r="BZ69" t="str">
        <f>IF($BT69=数据概览!$C$92,COUNTIFS($BT$3:$BT69,数据概览!$C$92),"")</f>
        <v/>
      </c>
      <c r="CA69">
        <f>IF(AND($BT69=数据概览!$C$92,COUNTIFS($BT$3:$BT69,数据概览!$C$92,$BU$3:$BU69,$BU69)=1),1,0)</f>
        <v>0</v>
      </c>
      <c r="CB69">
        <v>23.8</v>
      </c>
    </row>
    <row r="70" spans="1:80" x14ac:dyDescent="0.4">
      <c r="A70" t="str">
        <f>IF(原始经营数据!$D71="","",原始经营数据!$D71)</f>
        <v>华夏华润消费封闭式基础设施证券投资基金</v>
      </c>
      <c r="B70" t="str">
        <f>IF(原始经营数据!$D71="","",T(原始经营数据!$E71))</f>
        <v>青岛万象城</v>
      </c>
      <c r="C70" t="str">
        <f>IF(原始经营数据!$D71="","",原始经营数据!$F71)</f>
        <v>2025Q2</v>
      </c>
      <c r="D70" t="str">
        <f>IF(原始经营数据!$D71="","",原始经营数据!$H71)</f>
        <v>期末实际出租面积</v>
      </c>
      <c r="E70">
        <f>IF(原始经营数据!$D71="","",原始经营数据!$I71)</f>
        <v>135658</v>
      </c>
      <c r="F70" t="str">
        <f>IF(原始经营数据!$D71="","",T(原始经营数据!$J71))</f>
        <v>平方米</v>
      </c>
      <c r="G70" t="str">
        <f>IF(原始经营数据!$D71="","",T(原始经营数据!$K71))</f>
        <v/>
      </c>
      <c r="H70" t="str">
        <f>IF(原始经营数据!$D71="","",原始经营数据!$G71)</f>
        <v>服务量</v>
      </c>
      <c r="I70" t="str">
        <f>IF($A70="","",IF($B70&lt;&gt;"",$B70,IF(COUNTIFS(原始经营数据!$D$3:$D$3001,$A70,原始经营数据!$E$3:$E$3001,"",原始经营数据!$F$3:$F$3001,$C70,原始经营数据!$H$3:$H$3001,$D70,原始经营数据!$K$3:$K$3001,$G70)&gt;1,"基金整体·来源"&amp;原始经营数据!$A71,"基金整体")))</f>
        <v>青岛万象城</v>
      </c>
      <c r="J70" t="str">
        <f t="shared" si="18"/>
        <v>季度</v>
      </c>
      <c r="K70" t="str">
        <f t="shared" si="19"/>
        <v>期末实际出租面积（平方米）</v>
      </c>
      <c r="L70" t="str">
        <f t="shared" si="20"/>
        <v>青岛万象城|期末实际出租面积（平方米）|季度</v>
      </c>
      <c r="M70">
        <f>IF($A70="",0,IF(COUNTIF($L$2:$L70,$L70)=1,1,0))</f>
        <v>0</v>
      </c>
      <c r="N70">
        <f t="shared" si="21"/>
        <v>20252</v>
      </c>
      <c r="O70" t="str">
        <f t="shared" si="22"/>
        <v>华夏华润消费封闭式基础设施证券投资基金|2025Q2|季度</v>
      </c>
      <c r="P70">
        <f>IF($A70="",0,IF(COUNTIF($O$2:$O70,$O70)=1,1,0))</f>
        <v>0</v>
      </c>
      <c r="Q70" t="str">
        <f>IF(AND($P70=1,$A70=经营数据!$B$3,$J70=经营数据!$BA$5),COUNTIFS($P$2:$P$3000,1,$A$2:$A$3000,$A70,$J$2:$J$3000,$J70,$N$2:$N$3000,"&lt;"&amp;$N70)+1,"")</f>
        <v/>
      </c>
      <c r="R70" t="str">
        <f t="shared" si="23"/>
        <v>华夏华润消费封闭式基础设施证券投资基金|青岛万象城</v>
      </c>
      <c r="S70">
        <f>IF($A70="",0,IF(COUNTIF($R$2:$R70,$R70)=1,1,0))</f>
        <v>0</v>
      </c>
      <c r="T70">
        <f t="shared" si="24"/>
        <v>36</v>
      </c>
      <c r="U70">
        <f>IF($A70="","",IF($A70=经营数据!$B$3,COUNTIFS($S$2:$S$3000,1,$A$2:$A$3000,$A70,$T$2:$T$3000,"&lt;"&amp;$T70)+1,""))</f>
        <v>2</v>
      </c>
      <c r="V70" t="str">
        <f t="shared" si="25"/>
        <v>青岛万象城|服务量</v>
      </c>
      <c r="W70">
        <f t="shared" si="26"/>
        <v>36</v>
      </c>
      <c r="X70" t="str">
        <f t="shared" si="27"/>
        <v>青岛万象城|期末实际出租面积</v>
      </c>
      <c r="Y70">
        <f t="shared" si="28"/>
        <v>38</v>
      </c>
      <c r="Z70">
        <f>IF($A70="",0,IF(AND($M70=1,$A70=经营数据!$B$3,$J70=经营数据!$BA$5,OR($I70=经营数据!$BA$4,COUNTIF(经营数据!$AA$9:$AA$38,$I70)&gt;0)),1,0))</f>
        <v>0</v>
      </c>
      <c r="AA70" t="str">
        <f t="shared" si="29"/>
        <v/>
      </c>
      <c r="AB70" t="str">
        <f t="shared" si="30"/>
        <v/>
      </c>
      <c r="AC70">
        <f>IF($A70="",0,IF(COUNTIF($A$2:$A70,$A70)=1,1,0))</f>
        <v>0</v>
      </c>
      <c r="AD70">
        <f t="shared" si="31"/>
        <v>1</v>
      </c>
      <c r="AE70" t="str">
        <f t="shared" si="32"/>
        <v>青岛万象城|期末实际出租面积（平方米）</v>
      </c>
      <c r="BA70" t="s">
        <v>5302</v>
      </c>
      <c r="BB70" t="s">
        <v>5303</v>
      </c>
      <c r="BP70" s="47">
        <v>45467</v>
      </c>
      <c r="BQ70" s="29">
        <v>5.3589109333431618E-2</v>
      </c>
      <c r="BT70" t="s">
        <v>340</v>
      </c>
      <c r="BU70" t="s">
        <v>206</v>
      </c>
      <c r="BV70" t="s">
        <v>556</v>
      </c>
      <c r="BW70" t="s">
        <v>341</v>
      </c>
      <c r="BX70" t="s">
        <v>208</v>
      </c>
      <c r="BY70">
        <v>1.0900000000000001</v>
      </c>
      <c r="BZ70" t="str">
        <f>IF($BT70=数据概览!$C$92,COUNTIFS($BT$3:$BT70,数据概览!$C$92),"")</f>
        <v/>
      </c>
      <c r="CA70">
        <f>IF(AND($BT70=数据概览!$C$92,COUNTIFS($BT$3:$BT70,数据概览!$C$92,$BU$3:$BU70,$BU70)=1),1,0)</f>
        <v>0</v>
      </c>
      <c r="CB70">
        <v>22.78</v>
      </c>
    </row>
    <row r="71" spans="1:80" x14ac:dyDescent="0.4">
      <c r="A71" t="str">
        <f>IF(原始经营数据!$D72="","",原始经营数据!$D72)</f>
        <v>华夏华润消费封闭式基础设施证券投资基金</v>
      </c>
      <c r="B71" t="str">
        <f>IF(原始经营数据!$D72="","",T(原始经营数据!$E72))</f>
        <v>青岛万象城</v>
      </c>
      <c r="C71" t="str">
        <f>IF(原始经营数据!$D72="","",原始经营数据!$F72)</f>
        <v>2025Q2</v>
      </c>
      <c r="D71" t="str">
        <f>IF(原始经营数据!$D72="","",原始经营数据!$H72)</f>
        <v>期末可供出租面积</v>
      </c>
      <c r="E71">
        <f>IF(原始经营数据!$D72="","",原始经营数据!$I72)</f>
        <v>136990</v>
      </c>
      <c r="F71" t="str">
        <f>IF(原始经营数据!$D72="","",T(原始经营数据!$J72))</f>
        <v>平方米</v>
      </c>
      <c r="G71" t="str">
        <f>IF(原始经营数据!$D72="","",T(原始经营数据!$K72))</f>
        <v/>
      </c>
      <c r="H71" t="str">
        <f>IF(原始经营数据!$D72="","",原始经营数据!$G72)</f>
        <v>服务量</v>
      </c>
      <c r="I71" t="str">
        <f>IF($A71="","",IF($B71&lt;&gt;"",$B71,IF(COUNTIFS(原始经营数据!$D$3:$D$3001,$A71,原始经营数据!$E$3:$E$3001,"",原始经营数据!$F$3:$F$3001,$C71,原始经营数据!$H$3:$H$3001,$D71,原始经营数据!$K$3:$K$3001,$G71)&gt;1,"基金整体·来源"&amp;原始经营数据!$A72,"基金整体")))</f>
        <v>青岛万象城</v>
      </c>
      <c r="J71" t="str">
        <f t="shared" si="18"/>
        <v>季度</v>
      </c>
      <c r="K71" t="str">
        <f t="shared" si="19"/>
        <v>期末可供出租面积（平方米）</v>
      </c>
      <c r="L71" t="str">
        <f t="shared" si="20"/>
        <v>青岛万象城|期末可供出租面积（平方米）|季度</v>
      </c>
      <c r="M71">
        <f>IF($A71="",0,IF(COUNTIF($L$2:$L71,$L71)=1,1,0))</f>
        <v>0</v>
      </c>
      <c r="N71">
        <f t="shared" si="21"/>
        <v>20252</v>
      </c>
      <c r="O71" t="str">
        <f t="shared" si="22"/>
        <v>华夏华润消费封闭式基础设施证券投资基金|2025Q2|季度</v>
      </c>
      <c r="P71">
        <f>IF($A71="",0,IF(COUNTIF($O$2:$O71,$O71)=1,1,0))</f>
        <v>0</v>
      </c>
      <c r="Q71" t="str">
        <f>IF(AND($P71=1,$A71=经营数据!$B$3,$J71=经营数据!$BA$5),COUNTIFS($P$2:$P$3000,1,$A$2:$A$3000,$A71,$J$2:$J$3000,$J71,$N$2:$N$3000,"&lt;"&amp;$N71)+1,"")</f>
        <v/>
      </c>
      <c r="R71" t="str">
        <f t="shared" si="23"/>
        <v>华夏华润消费封闭式基础设施证券投资基金|青岛万象城</v>
      </c>
      <c r="S71">
        <f>IF($A71="",0,IF(COUNTIF($R$2:$R71,$R71)=1,1,0))</f>
        <v>0</v>
      </c>
      <c r="T71">
        <f t="shared" si="24"/>
        <v>36</v>
      </c>
      <c r="U71">
        <f>IF($A71="","",IF($A71=经营数据!$B$3,COUNTIFS($S$2:$S$3000,1,$A$2:$A$3000,$A71,$T$2:$T$3000,"&lt;"&amp;$T71)+1,""))</f>
        <v>2</v>
      </c>
      <c r="V71" t="str">
        <f t="shared" si="25"/>
        <v>青岛万象城|服务量</v>
      </c>
      <c r="W71">
        <f t="shared" si="26"/>
        <v>36</v>
      </c>
      <c r="X71" t="str">
        <f t="shared" si="27"/>
        <v>青岛万象城|期末可供出租面积</v>
      </c>
      <c r="Y71">
        <f t="shared" si="28"/>
        <v>37</v>
      </c>
      <c r="Z71">
        <f>IF($A71="",0,IF(AND($M71=1,$A71=经营数据!$B$3,$J71=经营数据!$BA$5,OR($I71=经营数据!$BA$4,COUNTIF(经营数据!$AA$9:$AA$38,$I71)&gt;0)),1,0))</f>
        <v>0</v>
      </c>
      <c r="AA71" t="str">
        <f t="shared" si="29"/>
        <v/>
      </c>
      <c r="AB71" t="str">
        <f t="shared" si="30"/>
        <v/>
      </c>
      <c r="AC71">
        <f>IF($A71="",0,IF(COUNTIF($A$2:$A71,$A71)=1,1,0))</f>
        <v>0</v>
      </c>
      <c r="AD71">
        <f t="shared" si="31"/>
        <v>1</v>
      </c>
      <c r="AE71" t="str">
        <f t="shared" si="32"/>
        <v>青岛万象城|期末可供出租面积（平方米）</v>
      </c>
      <c r="BA71" t="s">
        <v>5304</v>
      </c>
      <c r="BB71" t="s">
        <v>5247</v>
      </c>
      <c r="BP71" s="47">
        <v>45468</v>
      </c>
      <c r="BQ71" s="29">
        <v>5.3633039153851203E-2</v>
      </c>
      <c r="BT71" t="s">
        <v>536</v>
      </c>
      <c r="BU71" t="s">
        <v>206</v>
      </c>
      <c r="BV71" t="s">
        <v>535</v>
      </c>
      <c r="BW71" t="s">
        <v>537</v>
      </c>
      <c r="BX71" t="s">
        <v>208</v>
      </c>
      <c r="BY71">
        <v>0.54</v>
      </c>
      <c r="BZ71" t="str">
        <f>IF($BT71=数据概览!$C$92,COUNTIFS($BT$3:$BT71,数据概览!$C$92),"")</f>
        <v/>
      </c>
      <c r="CA71">
        <f>IF(AND($BT71=数据概览!$C$92,COUNTIFS($BT$3:$BT71,数据概览!$C$92,$BU$3:$BU71,$BU71)=1),1,0)</f>
        <v>0</v>
      </c>
      <c r="CB71">
        <v>23.68</v>
      </c>
    </row>
    <row r="72" spans="1:80" x14ac:dyDescent="0.4">
      <c r="A72" t="str">
        <f>IF(原始经营数据!$D73="","",原始经营数据!$D73)</f>
        <v>华夏华润消费封闭式基础设施证券投资基金</v>
      </c>
      <c r="B72" t="str">
        <f>IF(原始经营数据!$D73="","",T(原始经营数据!$E73))</f>
        <v>青岛万象城</v>
      </c>
      <c r="C72" t="str">
        <f>IF(原始经营数据!$D73="","",原始经营数据!$F73)</f>
        <v>2025Q3</v>
      </c>
      <c r="D72" t="str">
        <f>IF(原始经营数据!$D73="","",原始经营数据!$H73)</f>
        <v>期内租金单价水平</v>
      </c>
      <c r="E72">
        <f>IF(原始经营数据!$D73="","",原始经营数据!$I73)</f>
        <v>430.07</v>
      </c>
      <c r="F72" t="str">
        <f>IF(原始经营数据!$D73="","",T(原始经营数据!$J73))</f>
        <v>元/平方米/月</v>
      </c>
      <c r="G72" t="str">
        <f>IF(原始经营数据!$D73="","",T(原始经营数据!$K73))</f>
        <v/>
      </c>
      <c r="H72" t="str">
        <f>IF(原始经营数据!$D73="","",原始经营数据!$G73)</f>
        <v>服务价格</v>
      </c>
      <c r="I72" t="str">
        <f>IF($A72="","",IF($B72&lt;&gt;"",$B72,IF(COUNTIFS(原始经营数据!$D$3:$D$3001,$A72,原始经营数据!$E$3:$E$3001,"",原始经营数据!$F$3:$F$3001,$C72,原始经营数据!$H$3:$H$3001,$D72,原始经营数据!$K$3:$K$3001,$G72)&gt;1,"基金整体·来源"&amp;原始经营数据!$A73,"基金整体")))</f>
        <v>青岛万象城</v>
      </c>
      <c r="J72" t="str">
        <f t="shared" si="18"/>
        <v>季度</v>
      </c>
      <c r="K72" t="str">
        <f t="shared" si="19"/>
        <v>期内租金单价水平（元/平方米/月）</v>
      </c>
      <c r="L72" t="str">
        <f t="shared" si="20"/>
        <v>青岛万象城|期内租金单价水平（元/平方米/月）|季度</v>
      </c>
      <c r="M72">
        <f>IF($A72="",0,IF(COUNTIF($L$2:$L72,$L72)=1,1,0))</f>
        <v>0</v>
      </c>
      <c r="N72">
        <f t="shared" si="21"/>
        <v>20253</v>
      </c>
      <c r="O72" t="str">
        <f t="shared" si="22"/>
        <v>华夏华润消费封闭式基础设施证券投资基金|2025Q3|季度</v>
      </c>
      <c r="P72">
        <f>IF($A72="",0,IF(COUNTIF($O$2:$O72,$O72)=1,1,0))</f>
        <v>0</v>
      </c>
      <c r="Q72" t="str">
        <f>IF(AND($P72=1,$A72=经营数据!$B$3,$J72=经营数据!$BA$5),COUNTIFS($P$2:$P$3000,1,$A$2:$A$3000,$A72,$J$2:$J$3000,$J72,$N$2:$N$3000,"&lt;"&amp;$N72)+1,"")</f>
        <v/>
      </c>
      <c r="R72" t="str">
        <f t="shared" si="23"/>
        <v>华夏华润消费封闭式基础设施证券投资基金|青岛万象城</v>
      </c>
      <c r="S72">
        <f>IF($A72="",0,IF(COUNTIF($R$2:$R72,$R72)=1,1,0))</f>
        <v>0</v>
      </c>
      <c r="T72">
        <f t="shared" si="24"/>
        <v>36</v>
      </c>
      <c r="U72">
        <f>IF($A72="","",IF($A72=经营数据!$B$3,COUNTIFS($S$2:$S$3000,1,$A$2:$A$3000,$A72,$T$2:$T$3000,"&lt;"&amp;$T72)+1,""))</f>
        <v>2</v>
      </c>
      <c r="V72" t="str">
        <f t="shared" si="25"/>
        <v>青岛万象城|服务价格</v>
      </c>
      <c r="W72">
        <f t="shared" si="26"/>
        <v>46</v>
      </c>
      <c r="X72" t="str">
        <f t="shared" si="27"/>
        <v>青岛万象城|期内租金单价水平</v>
      </c>
      <c r="Y72">
        <f t="shared" si="28"/>
        <v>46</v>
      </c>
      <c r="Z72">
        <f>IF($A72="",0,IF(AND($M72=1,$A72=经营数据!$B$3,$J72=经营数据!$BA$5,OR($I72=经营数据!$BA$4,COUNTIF(经营数据!$AA$9:$AA$38,$I72)&gt;0)),1,0))</f>
        <v>0</v>
      </c>
      <c r="AA72" t="str">
        <f t="shared" si="29"/>
        <v/>
      </c>
      <c r="AB72" t="str">
        <f t="shared" si="30"/>
        <v/>
      </c>
      <c r="AC72">
        <f>IF($A72="",0,IF(COUNTIF($A$2:$A72,$A72)=1,1,0))</f>
        <v>0</v>
      </c>
      <c r="AD72">
        <f t="shared" si="31"/>
        <v>1</v>
      </c>
      <c r="AE72" t="str">
        <f t="shared" si="32"/>
        <v>青岛万象城|期内租金单价水平（元/平方米/月）</v>
      </c>
      <c r="BA72" t="s">
        <v>5305</v>
      </c>
      <c r="BB72" t="s">
        <v>5306</v>
      </c>
      <c r="BP72" s="47">
        <v>45469</v>
      </c>
      <c r="BQ72" s="29">
        <v>5.3748477566830419E-2</v>
      </c>
      <c r="BT72" t="s">
        <v>451</v>
      </c>
      <c r="BU72" t="s">
        <v>181</v>
      </c>
      <c r="BV72" t="s">
        <v>450</v>
      </c>
      <c r="BW72" t="s">
        <v>452</v>
      </c>
      <c r="BX72" t="s">
        <v>138</v>
      </c>
      <c r="BY72">
        <v>50.28</v>
      </c>
      <c r="BZ72" t="str">
        <f>IF($BT72=数据概览!$C$92,COUNTIFS($BT$3:$BT72,数据概览!$C$92),"")</f>
        <v/>
      </c>
      <c r="CA72">
        <f>IF(AND($BT72=数据概览!$C$92,COUNTIFS($BT$3:$BT72,数据概览!$C$92,$BU$3:$BU72,$BU72)=1),1,0)</f>
        <v>0</v>
      </c>
      <c r="CB72">
        <v>28.36</v>
      </c>
    </row>
    <row r="73" spans="1:80" x14ac:dyDescent="0.4">
      <c r="A73" t="str">
        <f>IF(原始经营数据!$D74="","",原始经营数据!$D74)</f>
        <v>华夏华润消费封闭式基础设施证券投资基金</v>
      </c>
      <c r="B73" t="str">
        <f>IF(原始经营数据!$D74="","",T(原始经营数据!$E74))</f>
        <v>青岛万象城</v>
      </c>
      <c r="C73" t="str">
        <f>IF(原始经营数据!$D74="","",原始经营数据!$F74)</f>
        <v>2025Q3</v>
      </c>
      <c r="D73" t="str">
        <f>IF(原始经营数据!$D74="","",原始经营数据!$H74)</f>
        <v>期末加权平均剩余租期</v>
      </c>
      <c r="E73">
        <f>IF(原始经营数据!$D74="","",原始经营数据!$I74)</f>
        <v>1.92</v>
      </c>
      <c r="F73" t="str">
        <f>IF(原始经营数据!$D74="","",T(原始经营数据!$J74))</f>
        <v>年</v>
      </c>
      <c r="G73" t="str">
        <f>IF(原始经营数据!$D74="","",T(原始经营数据!$K74))</f>
        <v/>
      </c>
      <c r="H73" t="str">
        <f>IF(原始经营数据!$D74="","",原始经营数据!$G74)</f>
        <v>服务量</v>
      </c>
      <c r="I73" t="str">
        <f>IF($A73="","",IF($B73&lt;&gt;"",$B73,IF(COUNTIFS(原始经营数据!$D$3:$D$3001,$A73,原始经营数据!$E$3:$E$3001,"",原始经营数据!$F$3:$F$3001,$C73,原始经营数据!$H$3:$H$3001,$D73,原始经营数据!$K$3:$K$3001,$G73)&gt;1,"基金整体·来源"&amp;原始经营数据!$A74,"基金整体")))</f>
        <v>青岛万象城</v>
      </c>
      <c r="J73" t="str">
        <f t="shared" si="18"/>
        <v>季度</v>
      </c>
      <c r="K73" t="str">
        <f t="shared" si="19"/>
        <v>期末加权平均剩余租期（年）</v>
      </c>
      <c r="L73" t="str">
        <f t="shared" si="20"/>
        <v>青岛万象城|期末加权平均剩余租期（年）|季度</v>
      </c>
      <c r="M73">
        <f>IF($A73="",0,IF(COUNTIF($L$2:$L73,$L73)=1,1,0))</f>
        <v>0</v>
      </c>
      <c r="N73">
        <f t="shared" si="21"/>
        <v>20253</v>
      </c>
      <c r="O73" t="str">
        <f t="shared" si="22"/>
        <v>华夏华润消费封闭式基础设施证券投资基金|2025Q3|季度</v>
      </c>
      <c r="P73">
        <f>IF($A73="",0,IF(COUNTIF($O$2:$O73,$O73)=1,1,0))</f>
        <v>0</v>
      </c>
      <c r="Q73" t="str">
        <f>IF(AND($P73=1,$A73=经营数据!$B$3,$J73=经营数据!$BA$5),COUNTIFS($P$2:$P$3000,1,$A$2:$A$3000,$A73,$J$2:$J$3000,$J73,$N$2:$N$3000,"&lt;"&amp;$N73)+1,"")</f>
        <v/>
      </c>
      <c r="R73" t="str">
        <f t="shared" si="23"/>
        <v>华夏华润消费封闭式基础设施证券投资基金|青岛万象城</v>
      </c>
      <c r="S73">
        <f>IF($A73="",0,IF(COUNTIF($R$2:$R73,$R73)=1,1,0))</f>
        <v>0</v>
      </c>
      <c r="T73">
        <f t="shared" si="24"/>
        <v>36</v>
      </c>
      <c r="U73">
        <f>IF($A73="","",IF($A73=经营数据!$B$3,COUNTIFS($S$2:$S$3000,1,$A$2:$A$3000,$A73,$T$2:$T$3000,"&lt;"&amp;$T73)+1,""))</f>
        <v>2</v>
      </c>
      <c r="V73" t="str">
        <f t="shared" si="25"/>
        <v>青岛万象城|服务量</v>
      </c>
      <c r="W73">
        <f t="shared" si="26"/>
        <v>36</v>
      </c>
      <c r="X73" t="str">
        <f t="shared" si="27"/>
        <v>青岛万象城|期末加权平均剩余租期</v>
      </c>
      <c r="Y73">
        <f t="shared" si="28"/>
        <v>36</v>
      </c>
      <c r="Z73">
        <f>IF($A73="",0,IF(AND($M73=1,$A73=经营数据!$B$3,$J73=经营数据!$BA$5,OR($I73=经营数据!$BA$4,COUNTIF(经营数据!$AA$9:$AA$38,$I73)&gt;0)),1,0))</f>
        <v>0</v>
      </c>
      <c r="AA73" t="str">
        <f t="shared" si="29"/>
        <v/>
      </c>
      <c r="AB73" t="str">
        <f t="shared" si="30"/>
        <v/>
      </c>
      <c r="AC73">
        <f>IF($A73="",0,IF(COUNTIF($A$2:$A73,$A73)=1,1,0))</f>
        <v>0</v>
      </c>
      <c r="AD73">
        <f t="shared" si="31"/>
        <v>1</v>
      </c>
      <c r="AE73" t="str">
        <f t="shared" si="32"/>
        <v>青岛万象城|期末加权平均剩余租期（年）</v>
      </c>
      <c r="BA73" t="s">
        <v>5307</v>
      </c>
      <c r="BB73" t="s">
        <v>5308</v>
      </c>
      <c r="BP73" s="47">
        <v>45470</v>
      </c>
      <c r="BQ73" s="29">
        <v>5.3607551089753042E-2</v>
      </c>
      <c r="BT73" t="s">
        <v>438</v>
      </c>
      <c r="BU73" t="s">
        <v>185</v>
      </c>
      <c r="BV73" t="s">
        <v>437</v>
      </c>
      <c r="BW73" t="s">
        <v>439</v>
      </c>
      <c r="BX73" t="s">
        <v>138</v>
      </c>
      <c r="BY73">
        <v>26.9</v>
      </c>
      <c r="BZ73" t="str">
        <f>IF($BT73=数据概览!$C$92,COUNTIFS($BT$3:$BT73,数据概览!$C$92),"")</f>
        <v/>
      </c>
      <c r="CA73">
        <f>IF(AND($BT73=数据概览!$C$92,COUNTIFS($BT$3:$BT73,数据概览!$C$92,$BU$3:$BU73,$BU73)=1),1,0)</f>
        <v>0</v>
      </c>
      <c r="CB73">
        <v>26.37</v>
      </c>
    </row>
    <row r="74" spans="1:80" x14ac:dyDescent="0.4">
      <c r="A74" t="str">
        <f>IF(原始经营数据!$D75="","",原始经营数据!$D75)</f>
        <v>华夏华润消费封闭式基础设施证券投资基金</v>
      </c>
      <c r="B74" t="str">
        <f>IF(原始经营数据!$D75="","",T(原始经营数据!$E75))</f>
        <v>青岛万象城</v>
      </c>
      <c r="C74" t="str">
        <f>IF(原始经营数据!$D75="","",原始经营数据!$F75)</f>
        <v>2025Q3</v>
      </c>
      <c r="D74" t="str">
        <f>IF(原始经营数据!$D75="","",原始经营数据!$H75)</f>
        <v>期末出租率</v>
      </c>
      <c r="E74">
        <f>IF(原始经营数据!$D75="","",原始经营数据!$I75)</f>
        <v>98.73</v>
      </c>
      <c r="F74" t="str">
        <f>IF(原始经营数据!$D75="","",T(原始经营数据!$J75))</f>
        <v>%</v>
      </c>
      <c r="G74" t="str">
        <f>IF(原始经营数据!$D75="","",T(原始经营数据!$K75))</f>
        <v/>
      </c>
      <c r="H74" t="str">
        <f>IF(原始经营数据!$D75="","",原始经营数据!$G75)</f>
        <v>服务效率</v>
      </c>
      <c r="I74" t="str">
        <f>IF($A74="","",IF($B74&lt;&gt;"",$B74,IF(COUNTIFS(原始经营数据!$D$3:$D$3001,$A74,原始经营数据!$E$3:$E$3001,"",原始经营数据!$F$3:$F$3001,$C74,原始经营数据!$H$3:$H$3001,$D74,原始经营数据!$K$3:$K$3001,$G74)&gt;1,"基金整体·来源"&amp;原始经营数据!$A75,"基金整体")))</f>
        <v>青岛万象城</v>
      </c>
      <c r="J74" t="str">
        <f t="shared" si="18"/>
        <v>季度</v>
      </c>
      <c r="K74" t="str">
        <f t="shared" si="19"/>
        <v>期末出租率（%）</v>
      </c>
      <c r="L74" t="str">
        <f t="shared" si="20"/>
        <v>青岛万象城|期末出租率（%）|季度</v>
      </c>
      <c r="M74">
        <f>IF($A74="",0,IF(COUNTIF($L$2:$L74,$L74)=1,1,0))</f>
        <v>0</v>
      </c>
      <c r="N74">
        <f t="shared" si="21"/>
        <v>20253</v>
      </c>
      <c r="O74" t="str">
        <f t="shared" si="22"/>
        <v>华夏华润消费封闭式基础设施证券投资基金|2025Q3|季度</v>
      </c>
      <c r="P74">
        <f>IF($A74="",0,IF(COUNTIF($O$2:$O74,$O74)=1,1,0))</f>
        <v>0</v>
      </c>
      <c r="Q74" t="str">
        <f>IF(AND($P74=1,$A74=经营数据!$B$3,$J74=经营数据!$BA$5),COUNTIFS($P$2:$P$3000,1,$A$2:$A$3000,$A74,$J$2:$J$3000,$J74,$N$2:$N$3000,"&lt;"&amp;$N74)+1,"")</f>
        <v/>
      </c>
      <c r="R74" t="str">
        <f t="shared" si="23"/>
        <v>华夏华润消费封闭式基础设施证券投资基金|青岛万象城</v>
      </c>
      <c r="S74">
        <f>IF($A74="",0,IF(COUNTIF($R$2:$R74,$R74)=1,1,0))</f>
        <v>0</v>
      </c>
      <c r="T74">
        <f t="shared" si="24"/>
        <v>36</v>
      </c>
      <c r="U74">
        <f>IF($A74="","",IF($A74=经营数据!$B$3,COUNTIFS($S$2:$S$3000,1,$A$2:$A$3000,$A74,$T$2:$T$3000,"&lt;"&amp;$T74)+1,""))</f>
        <v>2</v>
      </c>
      <c r="V74" t="str">
        <f t="shared" si="25"/>
        <v>青岛万象城|服务效率</v>
      </c>
      <c r="W74">
        <f t="shared" si="26"/>
        <v>39</v>
      </c>
      <c r="X74" t="str">
        <f t="shared" si="27"/>
        <v>青岛万象城|期末出租率</v>
      </c>
      <c r="Y74">
        <f t="shared" si="28"/>
        <v>40</v>
      </c>
      <c r="Z74">
        <f>IF($A74="",0,IF(AND($M74=1,$A74=经营数据!$B$3,$J74=经营数据!$BA$5,OR($I74=经营数据!$BA$4,COUNTIF(经营数据!$AA$9:$AA$38,$I74)&gt;0)),1,0))</f>
        <v>0</v>
      </c>
      <c r="AA74" t="str">
        <f t="shared" si="29"/>
        <v/>
      </c>
      <c r="AB74" t="str">
        <f t="shared" si="30"/>
        <v/>
      </c>
      <c r="AC74">
        <f>IF($A74="",0,IF(COUNTIF($A$2:$A74,$A74)=1,1,0))</f>
        <v>0</v>
      </c>
      <c r="AD74">
        <f t="shared" si="31"/>
        <v>1</v>
      </c>
      <c r="AE74" t="str">
        <f t="shared" si="32"/>
        <v>青岛万象城|期末出租率（%）</v>
      </c>
      <c r="BA74" t="s">
        <v>5309</v>
      </c>
      <c r="BB74" t="s">
        <v>5310</v>
      </c>
      <c r="BP74" s="47">
        <v>45471</v>
      </c>
      <c r="BQ74" s="29">
        <v>5.3592621070609428E-2</v>
      </c>
    </row>
    <row r="75" spans="1:80" x14ac:dyDescent="0.4">
      <c r="A75" t="str">
        <f>IF(原始经营数据!$D76="","",原始经营数据!$D76)</f>
        <v>华夏华润消费封闭式基础设施证券投资基金</v>
      </c>
      <c r="B75" t="str">
        <f>IF(原始经营数据!$D76="","",T(原始经营数据!$E76))</f>
        <v>青岛万象城</v>
      </c>
      <c r="C75" t="str">
        <f>IF(原始经营数据!$D76="","",原始经营数据!$F76)</f>
        <v>2025Q3</v>
      </c>
      <c r="D75" t="str">
        <f>IF(原始经营数据!$D76="","",原始经营数据!$H76)</f>
        <v>期末实际出租面积</v>
      </c>
      <c r="E75">
        <f>IF(原始经营数据!$D76="","",原始经营数据!$I76)</f>
        <v>138137</v>
      </c>
      <c r="F75" t="str">
        <f>IF(原始经营数据!$D76="","",T(原始经营数据!$J76))</f>
        <v>平方米</v>
      </c>
      <c r="G75" t="str">
        <f>IF(原始经营数据!$D76="","",T(原始经营数据!$K76))</f>
        <v/>
      </c>
      <c r="H75" t="str">
        <f>IF(原始经营数据!$D76="","",原始经营数据!$G76)</f>
        <v>服务量</v>
      </c>
      <c r="I75" t="str">
        <f>IF($A75="","",IF($B75&lt;&gt;"",$B75,IF(COUNTIFS(原始经营数据!$D$3:$D$3001,$A75,原始经营数据!$E$3:$E$3001,"",原始经营数据!$F$3:$F$3001,$C75,原始经营数据!$H$3:$H$3001,$D75,原始经营数据!$K$3:$K$3001,$G75)&gt;1,"基金整体·来源"&amp;原始经营数据!$A76,"基金整体")))</f>
        <v>青岛万象城</v>
      </c>
      <c r="J75" t="str">
        <f t="shared" si="18"/>
        <v>季度</v>
      </c>
      <c r="K75" t="str">
        <f t="shared" si="19"/>
        <v>期末实际出租面积（平方米）</v>
      </c>
      <c r="L75" t="str">
        <f t="shared" si="20"/>
        <v>青岛万象城|期末实际出租面积（平方米）|季度</v>
      </c>
      <c r="M75">
        <f>IF($A75="",0,IF(COUNTIF($L$2:$L75,$L75)=1,1,0))</f>
        <v>0</v>
      </c>
      <c r="N75">
        <f t="shared" si="21"/>
        <v>20253</v>
      </c>
      <c r="O75" t="str">
        <f t="shared" si="22"/>
        <v>华夏华润消费封闭式基础设施证券投资基金|2025Q3|季度</v>
      </c>
      <c r="P75">
        <f>IF($A75="",0,IF(COUNTIF($O$2:$O75,$O75)=1,1,0))</f>
        <v>0</v>
      </c>
      <c r="Q75" t="str">
        <f>IF(AND($P75=1,$A75=经营数据!$B$3,$J75=经营数据!$BA$5),COUNTIFS($P$2:$P$3000,1,$A$2:$A$3000,$A75,$J$2:$J$3000,$J75,$N$2:$N$3000,"&lt;"&amp;$N75)+1,"")</f>
        <v/>
      </c>
      <c r="R75" t="str">
        <f t="shared" si="23"/>
        <v>华夏华润消费封闭式基础设施证券投资基金|青岛万象城</v>
      </c>
      <c r="S75">
        <f>IF($A75="",0,IF(COUNTIF($R$2:$R75,$R75)=1,1,0))</f>
        <v>0</v>
      </c>
      <c r="T75">
        <f t="shared" si="24"/>
        <v>36</v>
      </c>
      <c r="U75">
        <f>IF($A75="","",IF($A75=经营数据!$B$3,COUNTIFS($S$2:$S$3000,1,$A$2:$A$3000,$A75,$T$2:$T$3000,"&lt;"&amp;$T75)+1,""))</f>
        <v>2</v>
      </c>
      <c r="V75" t="str">
        <f t="shared" si="25"/>
        <v>青岛万象城|服务量</v>
      </c>
      <c r="W75">
        <f t="shared" si="26"/>
        <v>36</v>
      </c>
      <c r="X75" t="str">
        <f t="shared" si="27"/>
        <v>青岛万象城|期末实际出租面积</v>
      </c>
      <c r="Y75">
        <f t="shared" si="28"/>
        <v>38</v>
      </c>
      <c r="Z75">
        <f>IF($A75="",0,IF(AND($M75=1,$A75=经营数据!$B$3,$J75=经营数据!$BA$5,OR($I75=经营数据!$BA$4,COUNTIF(经营数据!$AA$9:$AA$38,$I75)&gt;0)),1,0))</f>
        <v>0</v>
      </c>
      <c r="AA75" t="str">
        <f t="shared" si="29"/>
        <v/>
      </c>
      <c r="AB75" t="str">
        <f t="shared" si="30"/>
        <v/>
      </c>
      <c r="AC75">
        <f>IF($A75="",0,IF(COUNTIF($A$2:$A75,$A75)=1,1,0))</f>
        <v>0</v>
      </c>
      <c r="AD75">
        <f t="shared" si="31"/>
        <v>1</v>
      </c>
      <c r="AE75" t="str">
        <f t="shared" si="32"/>
        <v>青岛万象城|期末实际出租面积（平方米）</v>
      </c>
      <c r="BA75" t="s">
        <v>5311</v>
      </c>
      <c r="BB75" t="s">
        <v>5312</v>
      </c>
      <c r="BP75" s="47">
        <v>45474</v>
      </c>
      <c r="BQ75" s="29">
        <v>5.3679683466795747E-2</v>
      </c>
    </row>
    <row r="76" spans="1:80" x14ac:dyDescent="0.4">
      <c r="A76" t="str">
        <f>IF(原始经营数据!$D77="","",原始经营数据!$D77)</f>
        <v>华夏华润消费封闭式基础设施证券投资基金</v>
      </c>
      <c r="B76" t="str">
        <f>IF(原始经营数据!$D77="","",T(原始经营数据!$E77))</f>
        <v>青岛万象城</v>
      </c>
      <c r="C76" t="str">
        <f>IF(原始经营数据!$D77="","",原始经营数据!$F77)</f>
        <v>2025Q3</v>
      </c>
      <c r="D76" t="str">
        <f>IF(原始经营数据!$D77="","",原始经营数据!$H77)</f>
        <v>期末可供出租面积</v>
      </c>
      <c r="E76">
        <f>IF(原始经营数据!$D77="","",原始经营数据!$I77)</f>
        <v>139913</v>
      </c>
      <c r="F76" t="str">
        <f>IF(原始经营数据!$D77="","",T(原始经营数据!$J77))</f>
        <v>平方米</v>
      </c>
      <c r="G76" t="str">
        <f>IF(原始经营数据!$D77="","",T(原始经营数据!$K77))</f>
        <v/>
      </c>
      <c r="H76" t="str">
        <f>IF(原始经营数据!$D77="","",原始经营数据!$G77)</f>
        <v>服务量</v>
      </c>
      <c r="I76" t="str">
        <f>IF($A76="","",IF($B76&lt;&gt;"",$B76,IF(COUNTIFS(原始经营数据!$D$3:$D$3001,$A76,原始经营数据!$E$3:$E$3001,"",原始经营数据!$F$3:$F$3001,$C76,原始经营数据!$H$3:$H$3001,$D76,原始经营数据!$K$3:$K$3001,$G76)&gt;1,"基金整体·来源"&amp;原始经营数据!$A77,"基金整体")))</f>
        <v>青岛万象城</v>
      </c>
      <c r="J76" t="str">
        <f t="shared" si="18"/>
        <v>季度</v>
      </c>
      <c r="K76" t="str">
        <f t="shared" si="19"/>
        <v>期末可供出租面积（平方米）</v>
      </c>
      <c r="L76" t="str">
        <f t="shared" si="20"/>
        <v>青岛万象城|期末可供出租面积（平方米）|季度</v>
      </c>
      <c r="M76">
        <f>IF($A76="",0,IF(COUNTIF($L$2:$L76,$L76)=1,1,0))</f>
        <v>0</v>
      </c>
      <c r="N76">
        <f t="shared" si="21"/>
        <v>20253</v>
      </c>
      <c r="O76" t="str">
        <f t="shared" si="22"/>
        <v>华夏华润消费封闭式基础设施证券投资基金|2025Q3|季度</v>
      </c>
      <c r="P76">
        <f>IF($A76="",0,IF(COUNTIF($O$2:$O76,$O76)=1,1,0))</f>
        <v>0</v>
      </c>
      <c r="Q76" t="str">
        <f>IF(AND($P76=1,$A76=经营数据!$B$3,$J76=经营数据!$BA$5),COUNTIFS($P$2:$P$3000,1,$A$2:$A$3000,$A76,$J$2:$J$3000,$J76,$N$2:$N$3000,"&lt;"&amp;$N76)+1,"")</f>
        <v/>
      </c>
      <c r="R76" t="str">
        <f t="shared" si="23"/>
        <v>华夏华润消费封闭式基础设施证券投资基金|青岛万象城</v>
      </c>
      <c r="S76">
        <f>IF($A76="",0,IF(COUNTIF($R$2:$R76,$R76)=1,1,0))</f>
        <v>0</v>
      </c>
      <c r="T76">
        <f t="shared" si="24"/>
        <v>36</v>
      </c>
      <c r="U76">
        <f>IF($A76="","",IF($A76=经营数据!$B$3,COUNTIFS($S$2:$S$3000,1,$A$2:$A$3000,$A76,$T$2:$T$3000,"&lt;"&amp;$T76)+1,""))</f>
        <v>2</v>
      </c>
      <c r="V76" t="str">
        <f t="shared" si="25"/>
        <v>青岛万象城|服务量</v>
      </c>
      <c r="W76">
        <f t="shared" si="26"/>
        <v>36</v>
      </c>
      <c r="X76" t="str">
        <f t="shared" si="27"/>
        <v>青岛万象城|期末可供出租面积</v>
      </c>
      <c r="Y76">
        <f t="shared" si="28"/>
        <v>37</v>
      </c>
      <c r="Z76">
        <f>IF($A76="",0,IF(AND($M76=1,$A76=经营数据!$B$3,$J76=经营数据!$BA$5,OR($I76=经营数据!$BA$4,COUNTIF(经营数据!$AA$9:$AA$38,$I76)&gt;0)),1,0))</f>
        <v>0</v>
      </c>
      <c r="AA76" t="str">
        <f t="shared" si="29"/>
        <v/>
      </c>
      <c r="AB76" t="str">
        <f t="shared" si="30"/>
        <v/>
      </c>
      <c r="AC76">
        <f>IF($A76="",0,IF(COUNTIF($A$2:$A76,$A76)=1,1,0))</f>
        <v>0</v>
      </c>
      <c r="AD76">
        <f t="shared" si="31"/>
        <v>1</v>
      </c>
      <c r="AE76" t="str">
        <f t="shared" si="32"/>
        <v>青岛万象城|期末可供出租面积（平方米）</v>
      </c>
      <c r="BA76" t="s">
        <v>5313</v>
      </c>
      <c r="BB76" t="s">
        <v>5314</v>
      </c>
      <c r="BP76" s="47">
        <v>45475</v>
      </c>
      <c r="BQ76" s="29">
        <v>5.3636556651090343E-2</v>
      </c>
    </row>
    <row r="77" spans="1:80" x14ac:dyDescent="0.4">
      <c r="A77" t="str">
        <f>IF(原始经营数据!$D78="","",原始经营数据!$D78)</f>
        <v>华夏华润消费封闭式基础设施证券投资基金</v>
      </c>
      <c r="B77" t="str">
        <f>IF(原始经营数据!$D78="","",T(原始经营数据!$E78))</f>
        <v>青岛万象城</v>
      </c>
      <c r="C77" t="str">
        <f>IF(原始经营数据!$D78="","",原始经营数据!$F78)</f>
        <v>2025Q3</v>
      </c>
      <c r="D77" t="str">
        <f>IF(原始经营数据!$D78="","",原始经营数据!$H78)</f>
        <v>期末收缴率</v>
      </c>
      <c r="E77">
        <f>IF(原始经营数据!$D78="","",原始经营数据!$I78)</f>
        <v>100</v>
      </c>
      <c r="F77" t="str">
        <f>IF(原始经营数据!$D78="","",T(原始经营数据!$J78))</f>
        <v>%</v>
      </c>
      <c r="G77" t="str">
        <f>IF(原始经营数据!$D78="","",T(原始经营数据!$K78))</f>
        <v/>
      </c>
      <c r="H77" t="str">
        <f>IF(原始经营数据!$D78="","",原始经营数据!$G78)</f>
        <v>服务效率</v>
      </c>
      <c r="I77" t="str">
        <f>IF($A77="","",IF($B77&lt;&gt;"",$B77,IF(COUNTIFS(原始经营数据!$D$3:$D$3001,$A77,原始经营数据!$E$3:$E$3001,"",原始经营数据!$F$3:$F$3001,$C77,原始经营数据!$H$3:$H$3001,$D77,原始经营数据!$K$3:$K$3001,$G77)&gt;1,"基金整体·来源"&amp;原始经营数据!$A78,"基金整体")))</f>
        <v>青岛万象城</v>
      </c>
      <c r="J77" t="str">
        <f t="shared" si="18"/>
        <v>季度</v>
      </c>
      <c r="K77" t="str">
        <f t="shared" si="19"/>
        <v>期末收缴率（%）</v>
      </c>
      <c r="L77" t="str">
        <f t="shared" si="20"/>
        <v>青岛万象城|期末收缴率（%）|季度</v>
      </c>
      <c r="M77">
        <f>IF($A77="",0,IF(COUNTIF($L$2:$L77,$L77)=1,1,0))</f>
        <v>0</v>
      </c>
      <c r="N77">
        <f t="shared" si="21"/>
        <v>20253</v>
      </c>
      <c r="O77" t="str">
        <f t="shared" si="22"/>
        <v>华夏华润消费封闭式基础设施证券投资基金|2025Q3|季度</v>
      </c>
      <c r="P77">
        <f>IF($A77="",0,IF(COUNTIF($O$2:$O77,$O77)=1,1,0))</f>
        <v>0</v>
      </c>
      <c r="Q77" t="str">
        <f>IF(AND($P77=1,$A77=经营数据!$B$3,$J77=经营数据!$BA$5),COUNTIFS($P$2:$P$3000,1,$A$2:$A$3000,$A77,$J$2:$J$3000,$J77,$N$2:$N$3000,"&lt;"&amp;$N77)+1,"")</f>
        <v/>
      </c>
      <c r="R77" t="str">
        <f t="shared" si="23"/>
        <v>华夏华润消费封闭式基础设施证券投资基金|青岛万象城</v>
      </c>
      <c r="S77">
        <f>IF($A77="",0,IF(COUNTIF($R$2:$R77,$R77)=1,1,0))</f>
        <v>0</v>
      </c>
      <c r="T77">
        <f t="shared" si="24"/>
        <v>36</v>
      </c>
      <c r="U77">
        <f>IF($A77="","",IF($A77=经营数据!$B$3,COUNTIFS($S$2:$S$3000,1,$A$2:$A$3000,$A77,$T$2:$T$3000,"&lt;"&amp;$T77)+1,""))</f>
        <v>2</v>
      </c>
      <c r="V77" t="str">
        <f t="shared" si="25"/>
        <v>青岛万象城|服务效率</v>
      </c>
      <c r="W77">
        <f t="shared" si="26"/>
        <v>39</v>
      </c>
      <c r="X77" t="str">
        <f t="shared" si="27"/>
        <v>青岛万象城|期末收缴率</v>
      </c>
      <c r="Y77">
        <f t="shared" si="28"/>
        <v>39</v>
      </c>
      <c r="Z77">
        <f>IF($A77="",0,IF(AND($M77=1,$A77=经营数据!$B$3,$J77=经营数据!$BA$5,OR($I77=经营数据!$BA$4,COUNTIF(经营数据!$AA$9:$AA$38,$I77)&gt;0)),1,0))</f>
        <v>0</v>
      </c>
      <c r="AA77" t="str">
        <f t="shared" si="29"/>
        <v/>
      </c>
      <c r="AB77" t="str">
        <f t="shared" si="30"/>
        <v/>
      </c>
      <c r="AC77">
        <f>IF($A77="",0,IF(COUNTIF($A$2:$A77,$A77)=1,1,0))</f>
        <v>0</v>
      </c>
      <c r="AD77">
        <f t="shared" si="31"/>
        <v>1</v>
      </c>
      <c r="AE77" t="str">
        <f t="shared" si="32"/>
        <v>青岛万象城|期末收缴率（%）</v>
      </c>
      <c r="BA77" t="s">
        <v>5315</v>
      </c>
      <c r="BB77" t="s">
        <v>5316</v>
      </c>
      <c r="BP77" s="47">
        <v>45476</v>
      </c>
      <c r="BQ77" s="29">
        <v>5.3607551089753042E-2</v>
      </c>
    </row>
    <row r="78" spans="1:80" x14ac:dyDescent="0.4">
      <c r="A78" t="str">
        <f>IF(原始经营数据!$D79="","",原始经营数据!$D79)</f>
        <v>华夏华润消费封闭式基础设施证券投资基金</v>
      </c>
      <c r="B78" t="str">
        <f>IF(原始经营数据!$D79="","",T(原始经营数据!$E79))</f>
        <v>青岛万象城</v>
      </c>
      <c r="C78" t="str">
        <f>IF(原始经营数据!$D79="","",原始经营数据!$F79)</f>
        <v>2025Q4</v>
      </c>
      <c r="D78" t="str">
        <f>IF(原始经营数据!$D79="","",原始经营数据!$H79)</f>
        <v>期末加权平均剩余租期</v>
      </c>
      <c r="E78">
        <f>IF(原始经营数据!$D79="","",原始经营数据!$I79)</f>
        <v>2</v>
      </c>
      <c r="F78" t="str">
        <f>IF(原始经营数据!$D79="","",T(原始经营数据!$J79))</f>
        <v>年</v>
      </c>
      <c r="G78" t="str">
        <f>IF(原始经营数据!$D79="","",T(原始经营数据!$K79))</f>
        <v/>
      </c>
      <c r="H78" t="str">
        <f>IF(原始经营数据!$D79="","",原始经营数据!$G79)</f>
        <v>服务量</v>
      </c>
      <c r="I78" t="str">
        <f>IF($A78="","",IF($B78&lt;&gt;"",$B78,IF(COUNTIFS(原始经营数据!$D$3:$D$3001,$A78,原始经营数据!$E$3:$E$3001,"",原始经营数据!$F$3:$F$3001,$C78,原始经营数据!$H$3:$H$3001,$D78,原始经营数据!$K$3:$K$3001,$G78)&gt;1,"基金整体·来源"&amp;原始经营数据!$A79,"基金整体")))</f>
        <v>青岛万象城</v>
      </c>
      <c r="J78" t="str">
        <f t="shared" si="18"/>
        <v>季度</v>
      </c>
      <c r="K78" t="str">
        <f t="shared" si="19"/>
        <v>期末加权平均剩余租期（年）</v>
      </c>
      <c r="L78" t="str">
        <f t="shared" si="20"/>
        <v>青岛万象城|期末加权平均剩余租期（年）|季度</v>
      </c>
      <c r="M78">
        <f>IF($A78="",0,IF(COUNTIF($L$2:$L78,$L78)=1,1,0))</f>
        <v>0</v>
      </c>
      <c r="N78">
        <f t="shared" si="21"/>
        <v>20254</v>
      </c>
      <c r="O78" t="str">
        <f t="shared" si="22"/>
        <v>华夏华润消费封闭式基础设施证券投资基金|2025Q4|季度</v>
      </c>
      <c r="P78">
        <f>IF($A78="",0,IF(COUNTIF($O$2:$O78,$O78)=1,1,0))</f>
        <v>1</v>
      </c>
      <c r="Q78">
        <f>IF(AND($P78=1,$A78=经营数据!$B$3,$J78=经营数据!$BA$5),COUNTIFS($P$2:$P$3000,1,$A$2:$A$3000,$A78,$J$2:$J$3000,$J78,$N$2:$N$3000,"&lt;"&amp;$N78)+1,"")</f>
        <v>8</v>
      </c>
      <c r="R78" t="str">
        <f t="shared" si="23"/>
        <v>华夏华润消费封闭式基础设施证券投资基金|青岛万象城</v>
      </c>
      <c r="S78">
        <f>IF($A78="",0,IF(COUNTIF($R$2:$R78,$R78)=1,1,0))</f>
        <v>0</v>
      </c>
      <c r="T78">
        <f t="shared" si="24"/>
        <v>36</v>
      </c>
      <c r="U78">
        <f>IF($A78="","",IF($A78=经营数据!$B$3,COUNTIFS($S$2:$S$3000,1,$A$2:$A$3000,$A78,$T$2:$T$3000,"&lt;"&amp;$T78)+1,""))</f>
        <v>2</v>
      </c>
      <c r="V78" t="str">
        <f t="shared" si="25"/>
        <v>青岛万象城|服务量</v>
      </c>
      <c r="W78">
        <f t="shared" si="26"/>
        <v>36</v>
      </c>
      <c r="X78" t="str">
        <f t="shared" si="27"/>
        <v>青岛万象城|期末加权平均剩余租期</v>
      </c>
      <c r="Y78">
        <f t="shared" si="28"/>
        <v>36</v>
      </c>
      <c r="Z78">
        <f>IF($A78="",0,IF(AND($M78=1,$A78=经营数据!$B$3,$J78=经营数据!$BA$5,OR($I78=经营数据!$BA$4,COUNTIF(经营数据!$AA$9:$AA$38,$I78)&gt;0)),1,0))</f>
        <v>0</v>
      </c>
      <c r="AA78" t="str">
        <f t="shared" si="29"/>
        <v/>
      </c>
      <c r="AB78" t="str">
        <f t="shared" si="30"/>
        <v/>
      </c>
      <c r="AC78">
        <f>IF($A78="",0,IF(COUNTIF($A$2:$A78,$A78)=1,1,0))</f>
        <v>0</v>
      </c>
      <c r="AD78">
        <f t="shared" si="31"/>
        <v>1</v>
      </c>
      <c r="AE78" t="str">
        <f t="shared" si="32"/>
        <v>青岛万象城|期末加权平均剩余租期（年）</v>
      </c>
      <c r="BA78" t="s">
        <v>5317</v>
      </c>
      <c r="BB78" t="s">
        <v>5318</v>
      </c>
      <c r="BP78" s="47">
        <v>45477</v>
      </c>
      <c r="BQ78" s="29">
        <v>5.3639195076819648E-2</v>
      </c>
    </row>
    <row r="79" spans="1:80" x14ac:dyDescent="0.4">
      <c r="A79" t="str">
        <f>IF(原始经营数据!$D80="","",原始经营数据!$D80)</f>
        <v>华夏华润消费封闭式基础设施证券投资基金</v>
      </c>
      <c r="B79" t="str">
        <f>IF(原始经营数据!$D80="","",T(原始经营数据!$E80))</f>
        <v>青岛万象城</v>
      </c>
      <c r="C79" t="str">
        <f>IF(原始经营数据!$D80="","",原始经营数据!$F80)</f>
        <v>2025Q4</v>
      </c>
      <c r="D79" t="str">
        <f>IF(原始经营数据!$D80="","",原始经营数据!$H80)</f>
        <v>期内租金单价水平</v>
      </c>
      <c r="E79">
        <f>IF(原始经营数据!$D80="","",原始经营数据!$I80)</f>
        <v>436.44</v>
      </c>
      <c r="F79" t="str">
        <f>IF(原始经营数据!$D80="","",T(原始经营数据!$J80))</f>
        <v>元/平方米/月</v>
      </c>
      <c r="G79" t="str">
        <f>IF(原始经营数据!$D80="","",T(原始经营数据!$K80))</f>
        <v/>
      </c>
      <c r="H79" t="str">
        <f>IF(原始经营数据!$D80="","",原始经营数据!$G80)</f>
        <v>服务价格</v>
      </c>
      <c r="I79" t="str">
        <f>IF($A79="","",IF($B79&lt;&gt;"",$B79,IF(COUNTIFS(原始经营数据!$D$3:$D$3001,$A79,原始经营数据!$E$3:$E$3001,"",原始经营数据!$F$3:$F$3001,$C79,原始经营数据!$H$3:$H$3001,$D79,原始经营数据!$K$3:$K$3001,$G79)&gt;1,"基金整体·来源"&amp;原始经营数据!$A80,"基金整体")))</f>
        <v>青岛万象城</v>
      </c>
      <c r="J79" t="str">
        <f t="shared" si="18"/>
        <v>季度</v>
      </c>
      <c r="K79" t="str">
        <f t="shared" si="19"/>
        <v>期内租金单价水平（元/平方米/月）</v>
      </c>
      <c r="L79" t="str">
        <f t="shared" si="20"/>
        <v>青岛万象城|期内租金单价水平（元/平方米/月）|季度</v>
      </c>
      <c r="M79">
        <f>IF($A79="",0,IF(COUNTIF($L$2:$L79,$L79)=1,1,0))</f>
        <v>0</v>
      </c>
      <c r="N79">
        <f t="shared" si="21"/>
        <v>20254</v>
      </c>
      <c r="O79" t="str">
        <f t="shared" si="22"/>
        <v>华夏华润消费封闭式基础设施证券投资基金|2025Q4|季度</v>
      </c>
      <c r="P79">
        <f>IF($A79="",0,IF(COUNTIF($O$2:$O79,$O79)=1,1,0))</f>
        <v>0</v>
      </c>
      <c r="Q79" t="str">
        <f>IF(AND($P79=1,$A79=经营数据!$B$3,$J79=经营数据!$BA$5),COUNTIFS($P$2:$P$3000,1,$A$2:$A$3000,$A79,$J$2:$J$3000,$J79,$N$2:$N$3000,"&lt;"&amp;$N79)+1,"")</f>
        <v/>
      </c>
      <c r="R79" t="str">
        <f t="shared" si="23"/>
        <v>华夏华润消费封闭式基础设施证券投资基金|青岛万象城</v>
      </c>
      <c r="S79">
        <f>IF($A79="",0,IF(COUNTIF($R$2:$R79,$R79)=1,1,0))</f>
        <v>0</v>
      </c>
      <c r="T79">
        <f t="shared" si="24"/>
        <v>36</v>
      </c>
      <c r="U79">
        <f>IF($A79="","",IF($A79=经营数据!$B$3,COUNTIFS($S$2:$S$3000,1,$A$2:$A$3000,$A79,$T$2:$T$3000,"&lt;"&amp;$T79)+1,""))</f>
        <v>2</v>
      </c>
      <c r="V79" t="str">
        <f t="shared" si="25"/>
        <v>青岛万象城|服务价格</v>
      </c>
      <c r="W79">
        <f t="shared" si="26"/>
        <v>46</v>
      </c>
      <c r="X79" t="str">
        <f t="shared" si="27"/>
        <v>青岛万象城|期内租金单价水平</v>
      </c>
      <c r="Y79">
        <f t="shared" si="28"/>
        <v>46</v>
      </c>
      <c r="Z79">
        <f>IF($A79="",0,IF(AND($M79=1,$A79=经营数据!$B$3,$J79=经营数据!$BA$5,OR($I79=经营数据!$BA$4,COUNTIF(经营数据!$AA$9:$AA$38,$I79)&gt;0)),1,0))</f>
        <v>0</v>
      </c>
      <c r="AA79" t="str">
        <f t="shared" si="29"/>
        <v/>
      </c>
      <c r="AB79" t="str">
        <f t="shared" si="30"/>
        <v/>
      </c>
      <c r="AC79">
        <f>IF($A79="",0,IF(COUNTIF($A$2:$A79,$A79)=1,1,0))</f>
        <v>0</v>
      </c>
      <c r="AD79">
        <f t="shared" si="31"/>
        <v>1</v>
      </c>
      <c r="AE79" t="str">
        <f t="shared" si="32"/>
        <v>青岛万象城|期内租金单价水平（元/平方米/月）</v>
      </c>
      <c r="BA79" t="s">
        <v>5319</v>
      </c>
      <c r="BB79" t="s">
        <v>5320</v>
      </c>
      <c r="BP79" s="47">
        <v>45478</v>
      </c>
      <c r="BQ79" s="29">
        <v>5.3644472707072691E-2</v>
      </c>
    </row>
    <row r="80" spans="1:80" x14ac:dyDescent="0.4">
      <c r="A80" t="str">
        <f>IF(原始经营数据!$D81="","",原始经营数据!$D81)</f>
        <v>华夏华润消费封闭式基础设施证券投资基金</v>
      </c>
      <c r="B80" t="str">
        <f>IF(原始经营数据!$D81="","",T(原始经营数据!$E81))</f>
        <v>青岛万象城</v>
      </c>
      <c r="C80" t="str">
        <f>IF(原始经营数据!$D81="","",原始经营数据!$F81)</f>
        <v>2025Q4</v>
      </c>
      <c r="D80" t="str">
        <f>IF(原始经营数据!$D81="","",原始经营数据!$H81)</f>
        <v>期末可供出租面积</v>
      </c>
      <c r="E80">
        <f>IF(原始经营数据!$D81="","",原始经营数据!$I81)</f>
        <v>139789</v>
      </c>
      <c r="F80" t="str">
        <f>IF(原始经营数据!$D81="","",T(原始经营数据!$J81))</f>
        <v>平方米</v>
      </c>
      <c r="G80" t="str">
        <f>IF(原始经营数据!$D81="","",T(原始经营数据!$K81))</f>
        <v/>
      </c>
      <c r="H80" t="str">
        <f>IF(原始经营数据!$D81="","",原始经营数据!$G81)</f>
        <v>服务量</v>
      </c>
      <c r="I80" t="str">
        <f>IF($A80="","",IF($B80&lt;&gt;"",$B80,IF(COUNTIFS(原始经营数据!$D$3:$D$3001,$A80,原始经营数据!$E$3:$E$3001,"",原始经营数据!$F$3:$F$3001,$C80,原始经营数据!$H$3:$H$3001,$D80,原始经营数据!$K$3:$K$3001,$G80)&gt;1,"基金整体·来源"&amp;原始经营数据!$A81,"基金整体")))</f>
        <v>青岛万象城</v>
      </c>
      <c r="J80" t="str">
        <f t="shared" si="18"/>
        <v>季度</v>
      </c>
      <c r="K80" t="str">
        <f t="shared" si="19"/>
        <v>期末可供出租面积（平方米）</v>
      </c>
      <c r="L80" t="str">
        <f t="shared" si="20"/>
        <v>青岛万象城|期末可供出租面积（平方米）|季度</v>
      </c>
      <c r="M80">
        <f>IF($A80="",0,IF(COUNTIF($L$2:$L80,$L80)=1,1,0))</f>
        <v>0</v>
      </c>
      <c r="N80">
        <f t="shared" si="21"/>
        <v>20254</v>
      </c>
      <c r="O80" t="str">
        <f t="shared" si="22"/>
        <v>华夏华润消费封闭式基础设施证券投资基金|2025Q4|季度</v>
      </c>
      <c r="P80">
        <f>IF($A80="",0,IF(COUNTIF($O$2:$O80,$O80)=1,1,0))</f>
        <v>0</v>
      </c>
      <c r="Q80" t="str">
        <f>IF(AND($P80=1,$A80=经营数据!$B$3,$J80=经营数据!$BA$5),COUNTIFS($P$2:$P$3000,1,$A$2:$A$3000,$A80,$J$2:$J$3000,$J80,$N$2:$N$3000,"&lt;"&amp;$N80)+1,"")</f>
        <v/>
      </c>
      <c r="R80" t="str">
        <f t="shared" si="23"/>
        <v>华夏华润消费封闭式基础设施证券投资基金|青岛万象城</v>
      </c>
      <c r="S80">
        <f>IF($A80="",0,IF(COUNTIF($R$2:$R80,$R80)=1,1,0))</f>
        <v>0</v>
      </c>
      <c r="T80">
        <f t="shared" si="24"/>
        <v>36</v>
      </c>
      <c r="U80">
        <f>IF($A80="","",IF($A80=经营数据!$B$3,COUNTIFS($S$2:$S$3000,1,$A$2:$A$3000,$A80,$T$2:$T$3000,"&lt;"&amp;$T80)+1,""))</f>
        <v>2</v>
      </c>
      <c r="V80" t="str">
        <f t="shared" si="25"/>
        <v>青岛万象城|服务量</v>
      </c>
      <c r="W80">
        <f t="shared" si="26"/>
        <v>36</v>
      </c>
      <c r="X80" t="str">
        <f t="shared" si="27"/>
        <v>青岛万象城|期末可供出租面积</v>
      </c>
      <c r="Y80">
        <f t="shared" si="28"/>
        <v>37</v>
      </c>
      <c r="Z80">
        <f>IF($A80="",0,IF(AND($M80=1,$A80=经营数据!$B$3,$J80=经营数据!$BA$5,OR($I80=经营数据!$BA$4,COUNTIF(经营数据!$AA$9:$AA$38,$I80)&gt;0)),1,0))</f>
        <v>0</v>
      </c>
      <c r="AA80" t="str">
        <f t="shared" si="29"/>
        <v/>
      </c>
      <c r="AB80" t="str">
        <f t="shared" si="30"/>
        <v/>
      </c>
      <c r="AC80">
        <f>IF($A80="",0,IF(COUNTIF($A$2:$A80,$A80)=1,1,0))</f>
        <v>0</v>
      </c>
      <c r="AD80">
        <f t="shared" si="31"/>
        <v>1</v>
      </c>
      <c r="AE80" t="str">
        <f t="shared" si="32"/>
        <v>青岛万象城|期末可供出租面积（平方米）</v>
      </c>
      <c r="BA80" t="s">
        <v>5321</v>
      </c>
      <c r="BB80" t="s">
        <v>5322</v>
      </c>
      <c r="BP80" s="47">
        <v>45481</v>
      </c>
      <c r="BQ80" s="29">
        <v>5.3703476871490949E-2</v>
      </c>
    </row>
    <row r="81" spans="1:69" x14ac:dyDescent="0.4">
      <c r="A81" t="str">
        <f>IF(原始经营数据!$D82="","",原始经营数据!$D82)</f>
        <v>华夏华润消费封闭式基础设施证券投资基金</v>
      </c>
      <c r="B81" t="str">
        <f>IF(原始经营数据!$D82="","",T(原始经营数据!$E82))</f>
        <v>青岛万象城</v>
      </c>
      <c r="C81" t="str">
        <f>IF(原始经营数据!$D82="","",原始经营数据!$F82)</f>
        <v>2025Q4</v>
      </c>
      <c r="D81" t="str">
        <f>IF(原始经营数据!$D82="","",原始经营数据!$H82)</f>
        <v>期末实际出租面积</v>
      </c>
      <c r="E81">
        <f>IF(原始经营数据!$D82="","",原始经营数据!$I82)</f>
        <v>138513</v>
      </c>
      <c r="F81" t="str">
        <f>IF(原始经营数据!$D82="","",T(原始经营数据!$J82))</f>
        <v>平方米</v>
      </c>
      <c r="G81" t="str">
        <f>IF(原始经营数据!$D82="","",T(原始经营数据!$K82))</f>
        <v/>
      </c>
      <c r="H81" t="str">
        <f>IF(原始经营数据!$D82="","",原始经营数据!$G82)</f>
        <v>服务量</v>
      </c>
      <c r="I81" t="str">
        <f>IF($A81="","",IF($B81&lt;&gt;"",$B81,IF(COUNTIFS(原始经营数据!$D$3:$D$3001,$A81,原始经营数据!$E$3:$E$3001,"",原始经营数据!$F$3:$F$3001,$C81,原始经营数据!$H$3:$H$3001,$D81,原始经营数据!$K$3:$K$3001,$G81)&gt;1,"基金整体·来源"&amp;原始经营数据!$A82,"基金整体")))</f>
        <v>青岛万象城</v>
      </c>
      <c r="J81" t="str">
        <f t="shared" si="18"/>
        <v>季度</v>
      </c>
      <c r="K81" t="str">
        <f t="shared" si="19"/>
        <v>期末实际出租面积（平方米）</v>
      </c>
      <c r="L81" t="str">
        <f t="shared" si="20"/>
        <v>青岛万象城|期末实际出租面积（平方米）|季度</v>
      </c>
      <c r="M81">
        <f>IF($A81="",0,IF(COUNTIF($L$2:$L81,$L81)=1,1,0))</f>
        <v>0</v>
      </c>
      <c r="N81">
        <f t="shared" si="21"/>
        <v>20254</v>
      </c>
      <c r="O81" t="str">
        <f t="shared" si="22"/>
        <v>华夏华润消费封闭式基础设施证券投资基金|2025Q4|季度</v>
      </c>
      <c r="P81">
        <f>IF($A81="",0,IF(COUNTIF($O$2:$O81,$O81)=1,1,0))</f>
        <v>0</v>
      </c>
      <c r="Q81" t="str">
        <f>IF(AND($P81=1,$A81=经营数据!$B$3,$J81=经营数据!$BA$5),COUNTIFS($P$2:$P$3000,1,$A$2:$A$3000,$A81,$J$2:$J$3000,$J81,$N$2:$N$3000,"&lt;"&amp;$N81)+1,"")</f>
        <v/>
      </c>
      <c r="R81" t="str">
        <f t="shared" si="23"/>
        <v>华夏华润消费封闭式基础设施证券投资基金|青岛万象城</v>
      </c>
      <c r="S81">
        <f>IF($A81="",0,IF(COUNTIF($R$2:$R81,$R81)=1,1,0))</f>
        <v>0</v>
      </c>
      <c r="T81">
        <f t="shared" si="24"/>
        <v>36</v>
      </c>
      <c r="U81">
        <f>IF($A81="","",IF($A81=经营数据!$B$3,COUNTIFS($S$2:$S$3000,1,$A$2:$A$3000,$A81,$T$2:$T$3000,"&lt;"&amp;$T81)+1,""))</f>
        <v>2</v>
      </c>
      <c r="V81" t="str">
        <f t="shared" si="25"/>
        <v>青岛万象城|服务量</v>
      </c>
      <c r="W81">
        <f t="shared" si="26"/>
        <v>36</v>
      </c>
      <c r="X81" t="str">
        <f t="shared" si="27"/>
        <v>青岛万象城|期末实际出租面积</v>
      </c>
      <c r="Y81">
        <f t="shared" si="28"/>
        <v>38</v>
      </c>
      <c r="Z81">
        <f>IF($A81="",0,IF(AND($M81=1,$A81=经营数据!$B$3,$J81=经营数据!$BA$5,OR($I81=经营数据!$BA$4,COUNTIF(经营数据!$AA$9:$AA$38,$I81)&gt;0)),1,0))</f>
        <v>0</v>
      </c>
      <c r="AA81" t="str">
        <f t="shared" si="29"/>
        <v/>
      </c>
      <c r="AB81" t="str">
        <f t="shared" si="30"/>
        <v/>
      </c>
      <c r="AC81">
        <f>IF($A81="",0,IF(COUNTIF($A$2:$A81,$A81)=1,1,0))</f>
        <v>0</v>
      </c>
      <c r="AD81">
        <f t="shared" si="31"/>
        <v>1</v>
      </c>
      <c r="AE81" t="str">
        <f t="shared" si="32"/>
        <v>青岛万象城|期末实际出租面积（平方米）</v>
      </c>
      <c r="BA81" t="s">
        <v>5323</v>
      </c>
      <c r="BB81" t="s">
        <v>5324</v>
      </c>
      <c r="BP81" s="47">
        <v>45482</v>
      </c>
      <c r="BQ81" s="29">
        <v>5.3746711412963111E-2</v>
      </c>
    </row>
    <row r="82" spans="1:69" x14ac:dyDescent="0.4">
      <c r="A82" t="str">
        <f>IF(原始经营数据!$D83="","",原始经营数据!$D83)</f>
        <v>华夏华润消费封闭式基础设施证券投资基金</v>
      </c>
      <c r="B82" t="str">
        <f>IF(原始经营数据!$D83="","",T(原始经营数据!$E83))</f>
        <v>青岛万象城</v>
      </c>
      <c r="C82" t="str">
        <f>IF(原始经营数据!$D83="","",原始经营数据!$F83)</f>
        <v>2025Q4</v>
      </c>
      <c r="D82" t="str">
        <f>IF(原始经营数据!$D83="","",原始经营数据!$H83)</f>
        <v>期末出租率</v>
      </c>
      <c r="E82">
        <f>IF(原始经营数据!$D83="","",原始经营数据!$I83)</f>
        <v>99.09</v>
      </c>
      <c r="F82" t="str">
        <f>IF(原始经营数据!$D83="","",T(原始经营数据!$J83))</f>
        <v>%</v>
      </c>
      <c r="G82" t="str">
        <f>IF(原始经营数据!$D83="","",T(原始经营数据!$K83))</f>
        <v/>
      </c>
      <c r="H82" t="str">
        <f>IF(原始经营数据!$D83="","",原始经营数据!$G83)</f>
        <v>服务效率</v>
      </c>
      <c r="I82" t="str">
        <f>IF($A82="","",IF($B82&lt;&gt;"",$B82,IF(COUNTIFS(原始经营数据!$D$3:$D$3001,$A82,原始经营数据!$E$3:$E$3001,"",原始经营数据!$F$3:$F$3001,$C82,原始经营数据!$H$3:$H$3001,$D82,原始经营数据!$K$3:$K$3001,$G82)&gt;1,"基金整体·来源"&amp;原始经营数据!$A83,"基金整体")))</f>
        <v>青岛万象城</v>
      </c>
      <c r="J82" t="str">
        <f t="shared" si="18"/>
        <v>季度</v>
      </c>
      <c r="K82" t="str">
        <f t="shared" si="19"/>
        <v>期末出租率（%）</v>
      </c>
      <c r="L82" t="str">
        <f t="shared" si="20"/>
        <v>青岛万象城|期末出租率（%）|季度</v>
      </c>
      <c r="M82">
        <f>IF($A82="",0,IF(COUNTIF($L$2:$L82,$L82)=1,1,0))</f>
        <v>0</v>
      </c>
      <c r="N82">
        <f t="shared" si="21"/>
        <v>20254</v>
      </c>
      <c r="O82" t="str">
        <f t="shared" si="22"/>
        <v>华夏华润消费封闭式基础设施证券投资基金|2025Q4|季度</v>
      </c>
      <c r="P82">
        <f>IF($A82="",0,IF(COUNTIF($O$2:$O82,$O82)=1,1,0))</f>
        <v>0</v>
      </c>
      <c r="Q82" t="str">
        <f>IF(AND($P82=1,$A82=经营数据!$B$3,$J82=经营数据!$BA$5),COUNTIFS($P$2:$P$3000,1,$A$2:$A$3000,$A82,$J$2:$J$3000,$J82,$N$2:$N$3000,"&lt;"&amp;$N82)+1,"")</f>
        <v/>
      </c>
      <c r="R82" t="str">
        <f t="shared" si="23"/>
        <v>华夏华润消费封闭式基础设施证券投资基金|青岛万象城</v>
      </c>
      <c r="S82">
        <f>IF($A82="",0,IF(COUNTIF($R$2:$R82,$R82)=1,1,0))</f>
        <v>0</v>
      </c>
      <c r="T82">
        <f t="shared" si="24"/>
        <v>36</v>
      </c>
      <c r="U82">
        <f>IF($A82="","",IF($A82=经营数据!$B$3,COUNTIFS($S$2:$S$3000,1,$A$2:$A$3000,$A82,$T$2:$T$3000,"&lt;"&amp;$T82)+1,""))</f>
        <v>2</v>
      </c>
      <c r="V82" t="str">
        <f t="shared" si="25"/>
        <v>青岛万象城|服务效率</v>
      </c>
      <c r="W82">
        <f t="shared" si="26"/>
        <v>39</v>
      </c>
      <c r="X82" t="str">
        <f t="shared" si="27"/>
        <v>青岛万象城|期末出租率</v>
      </c>
      <c r="Y82">
        <f t="shared" si="28"/>
        <v>40</v>
      </c>
      <c r="Z82">
        <f>IF($A82="",0,IF(AND($M82=1,$A82=经营数据!$B$3,$J82=经营数据!$BA$5,OR($I82=经营数据!$BA$4,COUNTIF(经营数据!$AA$9:$AA$38,$I82)&gt;0)),1,0))</f>
        <v>0</v>
      </c>
      <c r="AA82" t="str">
        <f t="shared" si="29"/>
        <v/>
      </c>
      <c r="AB82" t="str">
        <f t="shared" si="30"/>
        <v/>
      </c>
      <c r="AC82">
        <f>IF($A82="",0,IF(COUNTIF($A$2:$A82,$A82)=1,1,0))</f>
        <v>0</v>
      </c>
      <c r="AD82">
        <f t="shared" si="31"/>
        <v>1</v>
      </c>
      <c r="AE82" t="str">
        <f t="shared" si="32"/>
        <v>青岛万象城|期末出租率（%）</v>
      </c>
      <c r="BA82" t="s">
        <v>5325</v>
      </c>
      <c r="BB82" t="s">
        <v>5326</v>
      </c>
      <c r="BP82" s="47">
        <v>45483</v>
      </c>
      <c r="BQ82" s="29">
        <v>5.3701713673747452E-2</v>
      </c>
    </row>
    <row r="83" spans="1:69" x14ac:dyDescent="0.4">
      <c r="A83" t="str">
        <f>IF(原始经营数据!$D84="","",原始经营数据!$D84)</f>
        <v>华夏华润消费封闭式基础设施证券投资基金</v>
      </c>
      <c r="B83" t="str">
        <f>IF(原始经营数据!$D84="","",T(原始经营数据!$E84))</f>
        <v>青岛万象城</v>
      </c>
      <c r="C83" t="str">
        <f>IF(原始经营数据!$D84="","",原始经营数据!$F84)</f>
        <v>2025Q4</v>
      </c>
      <c r="D83" t="str">
        <f>IF(原始经营数据!$D84="","",原始经营数据!$H84)</f>
        <v>期末收缴率</v>
      </c>
      <c r="E83">
        <f>IF(原始经营数据!$D84="","",原始经营数据!$I84)</f>
        <v>100</v>
      </c>
      <c r="F83" t="str">
        <f>IF(原始经营数据!$D84="","",T(原始经营数据!$J84))</f>
        <v>%</v>
      </c>
      <c r="G83" t="str">
        <f>IF(原始经营数据!$D84="","",T(原始经营数据!$K84))</f>
        <v/>
      </c>
      <c r="H83" t="str">
        <f>IF(原始经营数据!$D84="","",原始经营数据!$G84)</f>
        <v>服务效率</v>
      </c>
      <c r="I83" t="str">
        <f>IF($A83="","",IF($B83&lt;&gt;"",$B83,IF(COUNTIFS(原始经营数据!$D$3:$D$3001,$A83,原始经营数据!$E$3:$E$3001,"",原始经营数据!$F$3:$F$3001,$C83,原始经营数据!$H$3:$H$3001,$D83,原始经营数据!$K$3:$K$3001,$G83)&gt;1,"基金整体·来源"&amp;原始经营数据!$A84,"基金整体")))</f>
        <v>青岛万象城</v>
      </c>
      <c r="J83" t="str">
        <f t="shared" si="18"/>
        <v>季度</v>
      </c>
      <c r="K83" t="str">
        <f t="shared" si="19"/>
        <v>期末收缴率（%）</v>
      </c>
      <c r="L83" t="str">
        <f t="shared" si="20"/>
        <v>青岛万象城|期末收缴率（%）|季度</v>
      </c>
      <c r="M83">
        <f>IF($A83="",0,IF(COUNTIF($L$2:$L83,$L83)=1,1,0))</f>
        <v>0</v>
      </c>
      <c r="N83">
        <f t="shared" si="21"/>
        <v>20254</v>
      </c>
      <c r="O83" t="str">
        <f t="shared" si="22"/>
        <v>华夏华润消费封闭式基础设施证券投资基金|2025Q4|季度</v>
      </c>
      <c r="P83">
        <f>IF($A83="",0,IF(COUNTIF($O$2:$O83,$O83)=1,1,0))</f>
        <v>0</v>
      </c>
      <c r="Q83" t="str">
        <f>IF(AND($P83=1,$A83=经营数据!$B$3,$J83=经营数据!$BA$5),COUNTIFS($P$2:$P$3000,1,$A$2:$A$3000,$A83,$J$2:$J$3000,$J83,$N$2:$N$3000,"&lt;"&amp;$N83)+1,"")</f>
        <v/>
      </c>
      <c r="R83" t="str">
        <f t="shared" si="23"/>
        <v>华夏华润消费封闭式基础设施证券投资基金|青岛万象城</v>
      </c>
      <c r="S83">
        <f>IF($A83="",0,IF(COUNTIF($R$2:$R83,$R83)=1,1,0))</f>
        <v>0</v>
      </c>
      <c r="T83">
        <f t="shared" si="24"/>
        <v>36</v>
      </c>
      <c r="U83">
        <f>IF($A83="","",IF($A83=经营数据!$B$3,COUNTIFS($S$2:$S$3000,1,$A$2:$A$3000,$A83,$T$2:$T$3000,"&lt;"&amp;$T83)+1,""))</f>
        <v>2</v>
      </c>
      <c r="V83" t="str">
        <f t="shared" si="25"/>
        <v>青岛万象城|服务效率</v>
      </c>
      <c r="W83">
        <f t="shared" si="26"/>
        <v>39</v>
      </c>
      <c r="X83" t="str">
        <f t="shared" si="27"/>
        <v>青岛万象城|期末收缴率</v>
      </c>
      <c r="Y83">
        <f t="shared" si="28"/>
        <v>39</v>
      </c>
      <c r="Z83">
        <f>IF($A83="",0,IF(AND($M83=1,$A83=经营数据!$B$3,$J83=经营数据!$BA$5,OR($I83=经营数据!$BA$4,COUNTIF(经营数据!$AA$9:$AA$38,$I83)&gt;0)),1,0))</f>
        <v>0</v>
      </c>
      <c r="AA83" t="str">
        <f t="shared" si="29"/>
        <v/>
      </c>
      <c r="AB83" t="str">
        <f t="shared" si="30"/>
        <v/>
      </c>
      <c r="AC83">
        <f>IF($A83="",0,IF(COUNTIF($A$2:$A83,$A83)=1,1,0))</f>
        <v>0</v>
      </c>
      <c r="AD83">
        <f t="shared" si="31"/>
        <v>1</v>
      </c>
      <c r="AE83" t="str">
        <f t="shared" si="32"/>
        <v>青岛万象城|期末收缴率（%）</v>
      </c>
      <c r="BA83" t="s">
        <v>5327</v>
      </c>
      <c r="BB83" t="s">
        <v>5328</v>
      </c>
      <c r="BP83" s="47">
        <v>45484</v>
      </c>
      <c r="BQ83" s="29">
        <v>5.3725526616466027E-2</v>
      </c>
    </row>
    <row r="84" spans="1:69" x14ac:dyDescent="0.4">
      <c r="A84" t="str">
        <f>IF(原始经营数据!$D85="","",原始经营数据!$D85)</f>
        <v>华夏华润消费封闭式基础设施证券投资基金</v>
      </c>
      <c r="B84" t="str">
        <f>IF(原始经营数据!$D85="","",T(原始经营数据!$E85))</f>
        <v>青岛万象城</v>
      </c>
      <c r="C84" t="str">
        <f>IF(原始经营数据!$D85="","",原始经营数据!$F85)</f>
        <v>2026Q1</v>
      </c>
      <c r="D84" t="str">
        <f>IF(原始经营数据!$D85="","",原始经营数据!$H85)</f>
        <v>期末可供出租面积</v>
      </c>
      <c r="E84">
        <f>IF(原始经营数据!$D85="","",原始经营数据!$I85)</f>
        <v>139685</v>
      </c>
      <c r="F84" t="str">
        <f>IF(原始经营数据!$D85="","",T(原始经营数据!$J85))</f>
        <v>平方米</v>
      </c>
      <c r="G84" t="str">
        <f>IF(原始经营数据!$D85="","",T(原始经营数据!$K85))</f>
        <v/>
      </c>
      <c r="H84" t="str">
        <f>IF(原始经营数据!$D85="","",原始经营数据!$G85)</f>
        <v>服务量</v>
      </c>
      <c r="I84" t="str">
        <f>IF($A84="","",IF($B84&lt;&gt;"",$B84,IF(COUNTIFS(原始经营数据!$D$3:$D$3001,$A84,原始经营数据!$E$3:$E$3001,"",原始经营数据!$F$3:$F$3001,$C84,原始经营数据!$H$3:$H$3001,$D84,原始经营数据!$K$3:$K$3001,$G84)&gt;1,"基金整体·来源"&amp;原始经营数据!$A85,"基金整体")))</f>
        <v>青岛万象城</v>
      </c>
      <c r="J84" t="str">
        <f t="shared" si="18"/>
        <v>季度</v>
      </c>
      <c r="K84" t="str">
        <f t="shared" si="19"/>
        <v>期末可供出租面积（平方米）</v>
      </c>
      <c r="L84" t="str">
        <f t="shared" si="20"/>
        <v>青岛万象城|期末可供出租面积（平方米）|季度</v>
      </c>
      <c r="M84">
        <f>IF($A84="",0,IF(COUNTIF($L$2:$L84,$L84)=1,1,0))</f>
        <v>0</v>
      </c>
      <c r="N84">
        <f t="shared" si="21"/>
        <v>20261</v>
      </c>
      <c r="O84" t="str">
        <f t="shared" si="22"/>
        <v>华夏华润消费封闭式基础设施证券投资基金|2026Q1|季度</v>
      </c>
      <c r="P84">
        <f>IF($A84="",0,IF(COUNTIF($O$2:$O84,$O84)=1,1,0))</f>
        <v>1</v>
      </c>
      <c r="Q84">
        <f>IF(AND($P84=1,$A84=经营数据!$B$3,$J84=经营数据!$BA$5),COUNTIFS($P$2:$P$3000,1,$A$2:$A$3000,$A84,$J$2:$J$3000,$J84,$N$2:$N$3000,"&lt;"&amp;$N84)+1,"")</f>
        <v>9</v>
      </c>
      <c r="R84" t="str">
        <f t="shared" si="23"/>
        <v>华夏华润消费封闭式基础设施证券投资基金|青岛万象城</v>
      </c>
      <c r="S84">
        <f>IF($A84="",0,IF(COUNTIF($R$2:$R84,$R84)=1,1,0))</f>
        <v>0</v>
      </c>
      <c r="T84">
        <f t="shared" si="24"/>
        <v>36</v>
      </c>
      <c r="U84">
        <f>IF($A84="","",IF($A84=经营数据!$B$3,COUNTIFS($S$2:$S$3000,1,$A$2:$A$3000,$A84,$T$2:$T$3000,"&lt;"&amp;$T84)+1,""))</f>
        <v>2</v>
      </c>
      <c r="V84" t="str">
        <f t="shared" si="25"/>
        <v>青岛万象城|服务量</v>
      </c>
      <c r="W84">
        <f t="shared" si="26"/>
        <v>36</v>
      </c>
      <c r="X84" t="str">
        <f t="shared" si="27"/>
        <v>青岛万象城|期末可供出租面积</v>
      </c>
      <c r="Y84">
        <f t="shared" si="28"/>
        <v>37</v>
      </c>
      <c r="Z84">
        <f>IF($A84="",0,IF(AND($M84=1,$A84=经营数据!$B$3,$J84=经营数据!$BA$5,OR($I84=经营数据!$BA$4,COUNTIF(经营数据!$AA$9:$AA$38,$I84)&gt;0)),1,0))</f>
        <v>0</v>
      </c>
      <c r="AA84" t="str">
        <f t="shared" si="29"/>
        <v/>
      </c>
      <c r="AB84" t="str">
        <f t="shared" si="30"/>
        <v/>
      </c>
      <c r="AC84">
        <f>IF($A84="",0,IF(COUNTIF($A$2:$A84,$A84)=1,1,0))</f>
        <v>0</v>
      </c>
      <c r="AD84">
        <f t="shared" si="31"/>
        <v>1</v>
      </c>
      <c r="AE84" t="str">
        <f t="shared" si="32"/>
        <v>青岛万象城|期末可供出租面积（平方米）</v>
      </c>
      <c r="BA84" t="s">
        <v>5329</v>
      </c>
      <c r="BB84" t="s">
        <v>5330</v>
      </c>
      <c r="BP84" s="47">
        <v>45485</v>
      </c>
      <c r="BQ84" s="29">
        <v>5.3782056558158653E-2</v>
      </c>
    </row>
    <row r="85" spans="1:69" x14ac:dyDescent="0.4">
      <c r="A85" t="str">
        <f>IF(原始经营数据!$D86="","",原始经营数据!$D86)</f>
        <v>华夏华润消费封闭式基础设施证券投资基金</v>
      </c>
      <c r="B85" t="str">
        <f>IF(原始经营数据!$D86="","",T(原始经营数据!$E86))</f>
        <v>青岛万象城</v>
      </c>
      <c r="C85" t="str">
        <f>IF(原始经营数据!$D86="","",原始经营数据!$F86)</f>
        <v>2026Q1</v>
      </c>
      <c r="D85" t="str">
        <f>IF(原始经营数据!$D86="","",原始经营数据!$H86)</f>
        <v>期末实际出租面积</v>
      </c>
      <c r="E85">
        <f>IF(原始经营数据!$D86="","",原始经营数据!$I86)</f>
        <v>137414</v>
      </c>
      <c r="F85" t="str">
        <f>IF(原始经营数据!$D86="","",T(原始经营数据!$J86))</f>
        <v>平方米</v>
      </c>
      <c r="G85" t="str">
        <f>IF(原始经营数据!$D86="","",T(原始经营数据!$K86))</f>
        <v/>
      </c>
      <c r="H85" t="str">
        <f>IF(原始经营数据!$D86="","",原始经营数据!$G86)</f>
        <v>服务量</v>
      </c>
      <c r="I85" t="str">
        <f>IF($A85="","",IF($B85&lt;&gt;"",$B85,IF(COUNTIFS(原始经营数据!$D$3:$D$3001,$A85,原始经营数据!$E$3:$E$3001,"",原始经营数据!$F$3:$F$3001,$C85,原始经营数据!$H$3:$H$3001,$D85,原始经营数据!$K$3:$K$3001,$G85)&gt;1,"基金整体·来源"&amp;原始经营数据!$A86,"基金整体")))</f>
        <v>青岛万象城</v>
      </c>
      <c r="J85" t="str">
        <f t="shared" si="18"/>
        <v>季度</v>
      </c>
      <c r="K85" t="str">
        <f t="shared" si="19"/>
        <v>期末实际出租面积（平方米）</v>
      </c>
      <c r="L85" t="str">
        <f t="shared" si="20"/>
        <v>青岛万象城|期末实际出租面积（平方米）|季度</v>
      </c>
      <c r="M85">
        <f>IF($A85="",0,IF(COUNTIF($L$2:$L85,$L85)=1,1,0))</f>
        <v>0</v>
      </c>
      <c r="N85">
        <f t="shared" si="21"/>
        <v>20261</v>
      </c>
      <c r="O85" t="str">
        <f t="shared" si="22"/>
        <v>华夏华润消费封闭式基础设施证券投资基金|2026Q1|季度</v>
      </c>
      <c r="P85">
        <f>IF($A85="",0,IF(COUNTIF($O$2:$O85,$O85)=1,1,0))</f>
        <v>0</v>
      </c>
      <c r="Q85" t="str">
        <f>IF(AND($P85=1,$A85=经营数据!$B$3,$J85=经营数据!$BA$5),COUNTIFS($P$2:$P$3000,1,$A$2:$A$3000,$A85,$J$2:$J$3000,$J85,$N$2:$N$3000,"&lt;"&amp;$N85)+1,"")</f>
        <v/>
      </c>
      <c r="R85" t="str">
        <f t="shared" si="23"/>
        <v>华夏华润消费封闭式基础设施证券投资基金|青岛万象城</v>
      </c>
      <c r="S85">
        <f>IF($A85="",0,IF(COUNTIF($R$2:$R85,$R85)=1,1,0))</f>
        <v>0</v>
      </c>
      <c r="T85">
        <f t="shared" si="24"/>
        <v>36</v>
      </c>
      <c r="U85">
        <f>IF($A85="","",IF($A85=经营数据!$B$3,COUNTIFS($S$2:$S$3000,1,$A$2:$A$3000,$A85,$T$2:$T$3000,"&lt;"&amp;$T85)+1,""))</f>
        <v>2</v>
      </c>
      <c r="V85" t="str">
        <f t="shared" si="25"/>
        <v>青岛万象城|服务量</v>
      </c>
      <c r="W85">
        <f t="shared" si="26"/>
        <v>36</v>
      </c>
      <c r="X85" t="str">
        <f t="shared" si="27"/>
        <v>青岛万象城|期末实际出租面积</v>
      </c>
      <c r="Y85">
        <f t="shared" si="28"/>
        <v>38</v>
      </c>
      <c r="Z85">
        <f>IF($A85="",0,IF(AND($M85=1,$A85=经营数据!$B$3,$J85=经营数据!$BA$5,OR($I85=经营数据!$BA$4,COUNTIF(经营数据!$AA$9:$AA$38,$I85)&gt;0)),1,0))</f>
        <v>0</v>
      </c>
      <c r="AA85" t="str">
        <f t="shared" si="29"/>
        <v/>
      </c>
      <c r="AB85" t="str">
        <f t="shared" si="30"/>
        <v/>
      </c>
      <c r="AC85">
        <f>IF($A85="",0,IF(COUNTIF($A$2:$A85,$A85)=1,1,0))</f>
        <v>0</v>
      </c>
      <c r="AD85">
        <f t="shared" si="31"/>
        <v>1</v>
      </c>
      <c r="AE85" t="str">
        <f t="shared" si="32"/>
        <v>青岛万象城|期末实际出租面积（平方米）</v>
      </c>
      <c r="BA85" t="s">
        <v>5331</v>
      </c>
      <c r="BB85" t="s">
        <v>5332</v>
      </c>
      <c r="BP85" s="47">
        <v>45488</v>
      </c>
      <c r="BQ85" s="29">
        <v>5.3762610977533813E-2</v>
      </c>
    </row>
    <row r="86" spans="1:69" x14ac:dyDescent="0.4">
      <c r="A86" t="str">
        <f>IF(原始经营数据!$D87="","",原始经营数据!$D87)</f>
        <v>华夏华润消费封闭式基础设施证券投资基金</v>
      </c>
      <c r="B86" t="str">
        <f>IF(原始经营数据!$D87="","",T(原始经营数据!$E87))</f>
        <v>青岛万象城</v>
      </c>
      <c r="C86" t="str">
        <f>IF(原始经营数据!$D87="","",原始经营数据!$F87)</f>
        <v>2026Q1</v>
      </c>
      <c r="D86" t="str">
        <f>IF(原始经营数据!$D87="","",原始经营数据!$H87)</f>
        <v>期末出租率</v>
      </c>
      <c r="E86">
        <f>IF(原始经营数据!$D87="","",原始经营数据!$I87)</f>
        <v>98.37</v>
      </c>
      <c r="F86" t="str">
        <f>IF(原始经营数据!$D87="","",T(原始经营数据!$J87))</f>
        <v>%</v>
      </c>
      <c r="G86" t="str">
        <f>IF(原始经营数据!$D87="","",T(原始经营数据!$K87))</f>
        <v/>
      </c>
      <c r="H86" t="str">
        <f>IF(原始经营数据!$D87="","",原始经营数据!$G87)</f>
        <v>服务效率</v>
      </c>
      <c r="I86" t="str">
        <f>IF($A86="","",IF($B86&lt;&gt;"",$B86,IF(COUNTIFS(原始经营数据!$D$3:$D$3001,$A86,原始经营数据!$E$3:$E$3001,"",原始经营数据!$F$3:$F$3001,$C86,原始经营数据!$H$3:$H$3001,$D86,原始经营数据!$K$3:$K$3001,$G86)&gt;1,"基金整体·来源"&amp;原始经营数据!$A87,"基金整体")))</f>
        <v>青岛万象城</v>
      </c>
      <c r="J86" t="str">
        <f t="shared" si="18"/>
        <v>季度</v>
      </c>
      <c r="K86" t="str">
        <f t="shared" si="19"/>
        <v>期末出租率（%）</v>
      </c>
      <c r="L86" t="str">
        <f t="shared" si="20"/>
        <v>青岛万象城|期末出租率（%）|季度</v>
      </c>
      <c r="M86">
        <f>IF($A86="",0,IF(COUNTIF($L$2:$L86,$L86)=1,1,0))</f>
        <v>0</v>
      </c>
      <c r="N86">
        <f t="shared" si="21"/>
        <v>20261</v>
      </c>
      <c r="O86" t="str">
        <f t="shared" si="22"/>
        <v>华夏华润消费封闭式基础设施证券投资基金|2026Q1|季度</v>
      </c>
      <c r="P86">
        <f>IF($A86="",0,IF(COUNTIF($O$2:$O86,$O86)=1,1,0))</f>
        <v>0</v>
      </c>
      <c r="Q86" t="str">
        <f>IF(AND($P86=1,$A86=经营数据!$B$3,$J86=经营数据!$BA$5),COUNTIFS($P$2:$P$3000,1,$A$2:$A$3000,$A86,$J$2:$J$3000,$J86,$N$2:$N$3000,"&lt;"&amp;$N86)+1,"")</f>
        <v/>
      </c>
      <c r="R86" t="str">
        <f t="shared" si="23"/>
        <v>华夏华润消费封闭式基础设施证券投资基金|青岛万象城</v>
      </c>
      <c r="S86">
        <f>IF($A86="",0,IF(COUNTIF($R$2:$R86,$R86)=1,1,0))</f>
        <v>0</v>
      </c>
      <c r="T86">
        <f t="shared" si="24"/>
        <v>36</v>
      </c>
      <c r="U86">
        <f>IF($A86="","",IF($A86=经营数据!$B$3,COUNTIFS($S$2:$S$3000,1,$A$2:$A$3000,$A86,$T$2:$T$3000,"&lt;"&amp;$T86)+1,""))</f>
        <v>2</v>
      </c>
      <c r="V86" t="str">
        <f t="shared" si="25"/>
        <v>青岛万象城|服务效率</v>
      </c>
      <c r="W86">
        <f t="shared" si="26"/>
        <v>39</v>
      </c>
      <c r="X86" t="str">
        <f t="shared" si="27"/>
        <v>青岛万象城|期末出租率</v>
      </c>
      <c r="Y86">
        <f t="shared" si="28"/>
        <v>40</v>
      </c>
      <c r="Z86">
        <f>IF($A86="",0,IF(AND($M86=1,$A86=经营数据!$B$3,$J86=经营数据!$BA$5,OR($I86=经营数据!$BA$4,COUNTIF(经营数据!$AA$9:$AA$38,$I86)&gt;0)),1,0))</f>
        <v>0</v>
      </c>
      <c r="AA86" t="str">
        <f t="shared" si="29"/>
        <v/>
      </c>
      <c r="AB86" t="str">
        <f t="shared" si="30"/>
        <v/>
      </c>
      <c r="AC86">
        <f>IF($A86="",0,IF(COUNTIF($A$2:$A86,$A86)=1,1,0))</f>
        <v>0</v>
      </c>
      <c r="AD86">
        <f t="shared" si="31"/>
        <v>1</v>
      </c>
      <c r="AE86" t="str">
        <f t="shared" si="32"/>
        <v>青岛万象城|期末出租率（%）</v>
      </c>
      <c r="BA86" t="s">
        <v>5333</v>
      </c>
      <c r="BB86" t="s">
        <v>5334</v>
      </c>
      <c r="BP86" s="47">
        <v>45489</v>
      </c>
      <c r="BQ86" s="29">
        <v>5.3751127015280967E-2</v>
      </c>
    </row>
    <row r="87" spans="1:69" x14ac:dyDescent="0.4">
      <c r="A87" t="str">
        <f>IF(原始经营数据!$D88="","",原始经营数据!$D88)</f>
        <v>华夏华润消费封闭式基础设施证券投资基金</v>
      </c>
      <c r="B87" t="str">
        <f>IF(原始经营数据!$D88="","",T(原始经营数据!$E88))</f>
        <v>青岛万象城</v>
      </c>
      <c r="C87" t="str">
        <f>IF(原始经营数据!$D88="","",原始经营数据!$F88)</f>
        <v>2026Q1</v>
      </c>
      <c r="D87" t="str">
        <f>IF(原始经营数据!$D88="","",原始经营数据!$H88)</f>
        <v>期末收缴率</v>
      </c>
      <c r="E87">
        <f>IF(原始经营数据!$D88="","",原始经营数据!$I88)</f>
        <v>100</v>
      </c>
      <c r="F87" t="str">
        <f>IF(原始经营数据!$D88="","",T(原始经营数据!$J88))</f>
        <v>%</v>
      </c>
      <c r="G87" t="str">
        <f>IF(原始经营数据!$D88="","",T(原始经营数据!$K88))</f>
        <v/>
      </c>
      <c r="H87" t="str">
        <f>IF(原始经营数据!$D88="","",原始经营数据!$G88)</f>
        <v>服务效率</v>
      </c>
      <c r="I87" t="str">
        <f>IF($A87="","",IF($B87&lt;&gt;"",$B87,IF(COUNTIFS(原始经营数据!$D$3:$D$3001,$A87,原始经营数据!$E$3:$E$3001,"",原始经营数据!$F$3:$F$3001,$C87,原始经营数据!$H$3:$H$3001,$D87,原始经营数据!$K$3:$K$3001,$G87)&gt;1,"基金整体·来源"&amp;原始经营数据!$A88,"基金整体")))</f>
        <v>青岛万象城</v>
      </c>
      <c r="J87" t="str">
        <f t="shared" si="18"/>
        <v>季度</v>
      </c>
      <c r="K87" t="str">
        <f t="shared" si="19"/>
        <v>期末收缴率（%）</v>
      </c>
      <c r="L87" t="str">
        <f t="shared" si="20"/>
        <v>青岛万象城|期末收缴率（%）|季度</v>
      </c>
      <c r="M87">
        <f>IF($A87="",0,IF(COUNTIF($L$2:$L87,$L87)=1,1,0))</f>
        <v>0</v>
      </c>
      <c r="N87">
        <f t="shared" si="21"/>
        <v>20261</v>
      </c>
      <c r="O87" t="str">
        <f t="shared" si="22"/>
        <v>华夏华润消费封闭式基础设施证券投资基金|2026Q1|季度</v>
      </c>
      <c r="P87">
        <f>IF($A87="",0,IF(COUNTIF($O$2:$O87,$O87)=1,1,0))</f>
        <v>0</v>
      </c>
      <c r="Q87" t="str">
        <f>IF(AND($P87=1,$A87=经营数据!$B$3,$J87=经营数据!$BA$5),COUNTIFS($P$2:$P$3000,1,$A$2:$A$3000,$A87,$J$2:$J$3000,$J87,$N$2:$N$3000,"&lt;"&amp;$N87)+1,"")</f>
        <v/>
      </c>
      <c r="R87" t="str">
        <f t="shared" si="23"/>
        <v>华夏华润消费封闭式基础设施证券投资基金|青岛万象城</v>
      </c>
      <c r="S87">
        <f>IF($A87="",0,IF(COUNTIF($R$2:$R87,$R87)=1,1,0))</f>
        <v>0</v>
      </c>
      <c r="T87">
        <f t="shared" si="24"/>
        <v>36</v>
      </c>
      <c r="U87">
        <f>IF($A87="","",IF($A87=经营数据!$B$3,COUNTIFS($S$2:$S$3000,1,$A$2:$A$3000,$A87,$T$2:$T$3000,"&lt;"&amp;$T87)+1,""))</f>
        <v>2</v>
      </c>
      <c r="V87" t="str">
        <f t="shared" si="25"/>
        <v>青岛万象城|服务效率</v>
      </c>
      <c r="W87">
        <f t="shared" si="26"/>
        <v>39</v>
      </c>
      <c r="X87" t="str">
        <f t="shared" si="27"/>
        <v>青岛万象城|期末收缴率</v>
      </c>
      <c r="Y87">
        <f t="shared" si="28"/>
        <v>39</v>
      </c>
      <c r="Z87">
        <f>IF($A87="",0,IF(AND($M87=1,$A87=经营数据!$B$3,$J87=经营数据!$BA$5,OR($I87=经营数据!$BA$4,COUNTIF(经营数据!$AA$9:$AA$38,$I87)&gt;0)),1,0))</f>
        <v>0</v>
      </c>
      <c r="AA87" t="str">
        <f t="shared" si="29"/>
        <v/>
      </c>
      <c r="AB87" t="str">
        <f t="shared" si="30"/>
        <v/>
      </c>
      <c r="AC87">
        <f>IF($A87="",0,IF(COUNTIF($A$2:$A87,$A87)=1,1,0))</f>
        <v>0</v>
      </c>
      <c r="AD87">
        <f t="shared" si="31"/>
        <v>1</v>
      </c>
      <c r="AE87" t="str">
        <f t="shared" si="32"/>
        <v>青岛万象城|期末收缴率（%）</v>
      </c>
      <c r="BA87" t="s">
        <v>5335</v>
      </c>
      <c r="BB87" t="s">
        <v>5336</v>
      </c>
      <c r="BP87" s="47">
        <v>45490</v>
      </c>
      <c r="BQ87" s="29">
        <v>5.3722879691092421E-2</v>
      </c>
    </row>
    <row r="88" spans="1:69" x14ac:dyDescent="0.4">
      <c r="A88" t="str">
        <f>IF(原始经营数据!$D89="","",原始经营数据!$D89)</f>
        <v>华夏华润消费封闭式基础设施证券投资基金</v>
      </c>
      <c r="B88" t="str">
        <f>IF(原始经营数据!$D89="","",T(原始经营数据!$E89))</f>
        <v>青岛万象城</v>
      </c>
      <c r="C88" t="str">
        <f>IF(原始经营数据!$D89="","",原始经营数据!$F89)</f>
        <v>2026Q1</v>
      </c>
      <c r="D88" t="str">
        <f>IF(原始经营数据!$D89="","",原始经营数据!$H89)</f>
        <v>期末加权平均剩余租期</v>
      </c>
      <c r="E88">
        <f>IF(原始经营数据!$D89="","",原始经营数据!$I89)</f>
        <v>1.83</v>
      </c>
      <c r="F88" t="str">
        <f>IF(原始经营数据!$D89="","",T(原始经营数据!$J89))</f>
        <v>年</v>
      </c>
      <c r="G88" t="str">
        <f>IF(原始经营数据!$D89="","",T(原始经营数据!$K89))</f>
        <v/>
      </c>
      <c r="H88" t="str">
        <f>IF(原始经营数据!$D89="","",原始经营数据!$G89)</f>
        <v>服务量</v>
      </c>
      <c r="I88" t="str">
        <f>IF($A88="","",IF($B88&lt;&gt;"",$B88,IF(COUNTIFS(原始经营数据!$D$3:$D$3001,$A88,原始经营数据!$E$3:$E$3001,"",原始经营数据!$F$3:$F$3001,$C88,原始经营数据!$H$3:$H$3001,$D88,原始经营数据!$K$3:$K$3001,$G88)&gt;1,"基金整体·来源"&amp;原始经营数据!$A89,"基金整体")))</f>
        <v>青岛万象城</v>
      </c>
      <c r="J88" t="str">
        <f t="shared" si="18"/>
        <v>季度</v>
      </c>
      <c r="K88" t="str">
        <f t="shared" si="19"/>
        <v>期末加权平均剩余租期（年）</v>
      </c>
      <c r="L88" t="str">
        <f t="shared" si="20"/>
        <v>青岛万象城|期末加权平均剩余租期（年）|季度</v>
      </c>
      <c r="M88">
        <f>IF($A88="",0,IF(COUNTIF($L$2:$L88,$L88)=1,1,0))</f>
        <v>0</v>
      </c>
      <c r="N88">
        <f t="shared" si="21"/>
        <v>20261</v>
      </c>
      <c r="O88" t="str">
        <f t="shared" si="22"/>
        <v>华夏华润消费封闭式基础设施证券投资基金|2026Q1|季度</v>
      </c>
      <c r="P88">
        <f>IF($A88="",0,IF(COUNTIF($O$2:$O88,$O88)=1,1,0))</f>
        <v>0</v>
      </c>
      <c r="Q88" t="str">
        <f>IF(AND($P88=1,$A88=经营数据!$B$3,$J88=经营数据!$BA$5),COUNTIFS($P$2:$P$3000,1,$A$2:$A$3000,$A88,$J$2:$J$3000,$J88,$N$2:$N$3000,"&lt;"&amp;$N88)+1,"")</f>
        <v/>
      </c>
      <c r="R88" t="str">
        <f t="shared" si="23"/>
        <v>华夏华润消费封闭式基础设施证券投资基金|青岛万象城</v>
      </c>
      <c r="S88">
        <f>IF($A88="",0,IF(COUNTIF($R$2:$R88,$R88)=1,1,0))</f>
        <v>0</v>
      </c>
      <c r="T88">
        <f t="shared" si="24"/>
        <v>36</v>
      </c>
      <c r="U88">
        <f>IF($A88="","",IF($A88=经营数据!$B$3,COUNTIFS($S$2:$S$3000,1,$A$2:$A$3000,$A88,$T$2:$T$3000,"&lt;"&amp;$T88)+1,""))</f>
        <v>2</v>
      </c>
      <c r="V88" t="str">
        <f t="shared" si="25"/>
        <v>青岛万象城|服务量</v>
      </c>
      <c r="W88">
        <f t="shared" si="26"/>
        <v>36</v>
      </c>
      <c r="X88" t="str">
        <f t="shared" si="27"/>
        <v>青岛万象城|期末加权平均剩余租期</v>
      </c>
      <c r="Y88">
        <f t="shared" si="28"/>
        <v>36</v>
      </c>
      <c r="Z88">
        <f>IF($A88="",0,IF(AND($M88=1,$A88=经营数据!$B$3,$J88=经营数据!$BA$5,OR($I88=经营数据!$BA$4,COUNTIF(经营数据!$AA$9:$AA$38,$I88)&gt;0)),1,0))</f>
        <v>0</v>
      </c>
      <c r="AA88" t="str">
        <f t="shared" si="29"/>
        <v/>
      </c>
      <c r="AB88" t="str">
        <f t="shared" si="30"/>
        <v/>
      </c>
      <c r="AC88">
        <f>IF($A88="",0,IF(COUNTIF($A$2:$A88,$A88)=1,1,0))</f>
        <v>0</v>
      </c>
      <c r="AD88">
        <f t="shared" si="31"/>
        <v>1</v>
      </c>
      <c r="AE88" t="str">
        <f t="shared" si="32"/>
        <v>青岛万象城|期末加权平均剩余租期（年）</v>
      </c>
      <c r="BA88" t="s">
        <v>5337</v>
      </c>
      <c r="BB88" t="s">
        <v>5338</v>
      </c>
      <c r="BP88" s="47">
        <v>45491</v>
      </c>
      <c r="BQ88" s="29">
        <v>5.3692899421429283E-2</v>
      </c>
    </row>
    <row r="89" spans="1:69" x14ac:dyDescent="0.4">
      <c r="A89" t="str">
        <f>IF(原始经营数据!$D90="","",原始经营数据!$D90)</f>
        <v>华夏华润消费封闭式基础设施证券投资基金</v>
      </c>
      <c r="B89" t="str">
        <f>IF(原始经营数据!$D90="","",T(原始经营数据!$E90))</f>
        <v>青岛万象城</v>
      </c>
      <c r="C89" t="str">
        <f>IF(原始经营数据!$D90="","",原始经营数据!$F90)</f>
        <v>2026Q1</v>
      </c>
      <c r="D89" t="str">
        <f>IF(原始经营数据!$D90="","",原始经营数据!$H90)</f>
        <v>期内租金单价水平</v>
      </c>
      <c r="E89">
        <f>IF(原始经营数据!$D90="","",原始经营数据!$I90)</f>
        <v>459</v>
      </c>
      <c r="F89" t="str">
        <f>IF(原始经营数据!$D90="","",T(原始经营数据!$J90))</f>
        <v>元/平方米/月</v>
      </c>
      <c r="G89" t="str">
        <f>IF(原始经营数据!$D90="","",T(原始经营数据!$K90))</f>
        <v/>
      </c>
      <c r="H89" t="str">
        <f>IF(原始经营数据!$D90="","",原始经营数据!$G90)</f>
        <v>服务价格</v>
      </c>
      <c r="I89" t="str">
        <f>IF($A89="","",IF($B89&lt;&gt;"",$B89,IF(COUNTIFS(原始经营数据!$D$3:$D$3001,$A89,原始经营数据!$E$3:$E$3001,"",原始经营数据!$F$3:$F$3001,$C89,原始经营数据!$H$3:$H$3001,$D89,原始经营数据!$K$3:$K$3001,$G89)&gt;1,"基金整体·来源"&amp;原始经营数据!$A90,"基金整体")))</f>
        <v>青岛万象城</v>
      </c>
      <c r="J89" t="str">
        <f t="shared" si="18"/>
        <v>季度</v>
      </c>
      <c r="K89" t="str">
        <f t="shared" si="19"/>
        <v>期内租金单价水平（元/平方米/月）</v>
      </c>
      <c r="L89" t="str">
        <f t="shared" si="20"/>
        <v>青岛万象城|期内租金单价水平（元/平方米/月）|季度</v>
      </c>
      <c r="M89">
        <f>IF($A89="",0,IF(COUNTIF($L$2:$L89,$L89)=1,1,0))</f>
        <v>0</v>
      </c>
      <c r="N89">
        <f t="shared" si="21"/>
        <v>20261</v>
      </c>
      <c r="O89" t="str">
        <f t="shared" si="22"/>
        <v>华夏华润消费封闭式基础设施证券投资基金|2026Q1|季度</v>
      </c>
      <c r="P89">
        <f>IF($A89="",0,IF(COUNTIF($O$2:$O89,$O89)=1,1,0))</f>
        <v>0</v>
      </c>
      <c r="Q89" t="str">
        <f>IF(AND($P89=1,$A89=经营数据!$B$3,$J89=经营数据!$BA$5),COUNTIFS($P$2:$P$3000,1,$A$2:$A$3000,$A89,$J$2:$J$3000,$J89,$N$2:$N$3000,"&lt;"&amp;$N89)+1,"")</f>
        <v/>
      </c>
      <c r="R89" t="str">
        <f t="shared" si="23"/>
        <v>华夏华润消费封闭式基础设施证券投资基金|青岛万象城</v>
      </c>
      <c r="S89">
        <f>IF($A89="",0,IF(COUNTIF($R$2:$R89,$R89)=1,1,0))</f>
        <v>0</v>
      </c>
      <c r="T89">
        <f t="shared" si="24"/>
        <v>36</v>
      </c>
      <c r="U89">
        <f>IF($A89="","",IF($A89=经营数据!$B$3,COUNTIFS($S$2:$S$3000,1,$A$2:$A$3000,$A89,$T$2:$T$3000,"&lt;"&amp;$T89)+1,""))</f>
        <v>2</v>
      </c>
      <c r="V89" t="str">
        <f t="shared" si="25"/>
        <v>青岛万象城|服务价格</v>
      </c>
      <c r="W89">
        <f t="shared" si="26"/>
        <v>46</v>
      </c>
      <c r="X89" t="str">
        <f t="shared" si="27"/>
        <v>青岛万象城|期内租金单价水平</v>
      </c>
      <c r="Y89">
        <f t="shared" si="28"/>
        <v>46</v>
      </c>
      <c r="Z89">
        <f>IF($A89="",0,IF(AND($M89=1,$A89=经营数据!$B$3,$J89=经营数据!$BA$5,OR($I89=经营数据!$BA$4,COUNTIF(经营数据!$AA$9:$AA$38,$I89)&gt;0)),1,0))</f>
        <v>0</v>
      </c>
      <c r="AA89" t="str">
        <f t="shared" si="29"/>
        <v/>
      </c>
      <c r="AB89" t="str">
        <f t="shared" si="30"/>
        <v/>
      </c>
      <c r="AC89">
        <f>IF($A89="",0,IF(COUNTIF($A$2:$A89,$A89)=1,1,0))</f>
        <v>0</v>
      </c>
      <c r="AD89">
        <f t="shared" si="31"/>
        <v>1</v>
      </c>
      <c r="AE89" t="str">
        <f t="shared" si="32"/>
        <v>青岛万象城|期内租金单价水平（元/平方米/月）</v>
      </c>
      <c r="BA89" t="s">
        <v>5339</v>
      </c>
      <c r="BB89" t="s">
        <v>5340</v>
      </c>
      <c r="BP89" s="47">
        <v>45492</v>
      </c>
      <c r="BQ89" s="29">
        <v>5.3706121885209568E-2</v>
      </c>
    </row>
    <row r="90" spans="1:69" x14ac:dyDescent="0.4">
      <c r="A90" t="str">
        <f>IF(原始经营数据!$D91="","",原始经营数据!$D91)</f>
        <v>华夏华润消费封闭式基础设施证券投资基金</v>
      </c>
      <c r="B90" t="str">
        <f>IF(原始经营数据!$D91="","",T(原始经营数据!$E91))</f>
        <v>青岛万象城</v>
      </c>
      <c r="C90" t="str">
        <f>IF(原始经营数据!$D91="","",原始经营数据!$F91)</f>
        <v>2026Q2</v>
      </c>
      <c r="D90" t="str">
        <f>IF(原始经营数据!$D91="","",原始经营数据!$H91)</f>
        <v>期内租金单价水平</v>
      </c>
      <c r="E90">
        <f>IF(原始经营数据!$D91="","",原始经营数据!$I91)</f>
        <v>444.53</v>
      </c>
      <c r="F90" t="str">
        <f>IF(原始经营数据!$D91="","",T(原始经营数据!$J91))</f>
        <v>元/平方米/月</v>
      </c>
      <c r="G90" t="str">
        <f>IF(原始经营数据!$D91="","",T(原始经营数据!$K91))</f>
        <v/>
      </c>
      <c r="H90" t="str">
        <f>IF(原始经营数据!$D91="","",原始经营数据!$G91)</f>
        <v>服务价格</v>
      </c>
      <c r="I90" t="str">
        <f>IF($A90="","",IF($B90&lt;&gt;"",$B90,IF(COUNTIFS(原始经营数据!$D$3:$D$3001,$A90,原始经营数据!$E$3:$E$3001,"",原始经营数据!$F$3:$F$3001,$C90,原始经营数据!$H$3:$H$3001,$D90,原始经营数据!$K$3:$K$3001,$G90)&gt;1,"基金整体·来源"&amp;原始经营数据!$A91,"基金整体")))</f>
        <v>青岛万象城</v>
      </c>
      <c r="J90" t="str">
        <f t="shared" si="18"/>
        <v>季度</v>
      </c>
      <c r="K90" t="str">
        <f t="shared" si="19"/>
        <v>期内租金单价水平（元/平方米/月）</v>
      </c>
      <c r="L90" t="str">
        <f t="shared" si="20"/>
        <v>青岛万象城|期内租金单价水平（元/平方米/月）|季度</v>
      </c>
      <c r="M90">
        <f>IF($A90="",0,IF(COUNTIF($L$2:$L90,$L90)=1,1,0))</f>
        <v>0</v>
      </c>
      <c r="N90">
        <f t="shared" si="21"/>
        <v>20262</v>
      </c>
      <c r="O90" t="str">
        <f t="shared" si="22"/>
        <v>华夏华润消费封闭式基础设施证券投资基金|2026Q2|季度</v>
      </c>
      <c r="P90">
        <f>IF($A90="",0,IF(COUNTIF($O$2:$O90,$O90)=1,1,0))</f>
        <v>1</v>
      </c>
      <c r="Q90">
        <f>IF(AND($P90=1,$A90=经营数据!$B$3,$J90=经营数据!$BA$5),COUNTIFS($P$2:$P$3000,1,$A$2:$A$3000,$A90,$J$2:$J$3000,$J90,$N$2:$N$3000,"&lt;"&amp;$N90)+1,"")</f>
        <v>10</v>
      </c>
      <c r="R90" t="str">
        <f t="shared" si="23"/>
        <v>华夏华润消费封闭式基础设施证券投资基金|青岛万象城</v>
      </c>
      <c r="S90">
        <f>IF($A90="",0,IF(COUNTIF($R$2:$R90,$R90)=1,1,0))</f>
        <v>0</v>
      </c>
      <c r="T90">
        <f t="shared" si="24"/>
        <v>36</v>
      </c>
      <c r="U90">
        <f>IF($A90="","",IF($A90=经营数据!$B$3,COUNTIFS($S$2:$S$3000,1,$A$2:$A$3000,$A90,$T$2:$T$3000,"&lt;"&amp;$T90)+1,""))</f>
        <v>2</v>
      </c>
      <c r="V90" t="str">
        <f t="shared" si="25"/>
        <v>青岛万象城|服务价格</v>
      </c>
      <c r="W90">
        <f t="shared" si="26"/>
        <v>46</v>
      </c>
      <c r="X90" t="str">
        <f t="shared" si="27"/>
        <v>青岛万象城|期内租金单价水平</v>
      </c>
      <c r="Y90">
        <f t="shared" si="28"/>
        <v>46</v>
      </c>
      <c r="Z90">
        <f>IF($A90="",0,IF(AND($M90=1,$A90=经营数据!$B$3,$J90=经营数据!$BA$5,OR($I90=经营数据!$BA$4,COUNTIF(经营数据!$AA$9:$AA$38,$I90)&gt;0)),1,0))</f>
        <v>0</v>
      </c>
      <c r="AA90" t="str">
        <f t="shared" si="29"/>
        <v/>
      </c>
      <c r="AB90" t="str">
        <f t="shared" si="30"/>
        <v/>
      </c>
      <c r="AC90">
        <f>IF($A90="",0,IF(COUNTIF($A$2:$A90,$A90)=1,1,0))</f>
        <v>0</v>
      </c>
      <c r="AD90">
        <f t="shared" si="31"/>
        <v>1</v>
      </c>
      <c r="AE90" t="str">
        <f t="shared" si="32"/>
        <v>青岛万象城|期内租金单价水平（元/平方米/月）</v>
      </c>
      <c r="BA90" t="s">
        <v>5341</v>
      </c>
      <c r="BB90" t="s">
        <v>5342</v>
      </c>
      <c r="BP90" s="47">
        <v>45495</v>
      </c>
      <c r="BQ90" s="29">
        <v>5.3723761970570362E-2</v>
      </c>
    </row>
    <row r="91" spans="1:69" x14ac:dyDescent="0.4">
      <c r="A91" t="str">
        <f>IF(原始经营数据!$D92="","",原始经营数据!$D92)</f>
        <v>华夏华润消费封闭式基础设施证券投资基金</v>
      </c>
      <c r="B91" t="str">
        <f>IF(原始经营数据!$D92="","",T(原始经营数据!$E92))</f>
        <v>青岛万象城</v>
      </c>
      <c r="C91" t="str">
        <f>IF(原始经营数据!$D92="","",原始经营数据!$F92)</f>
        <v>2026Q2</v>
      </c>
      <c r="D91" t="str">
        <f>IF(原始经营数据!$D92="","",原始经营数据!$H92)</f>
        <v>期末可供出租面积</v>
      </c>
      <c r="E91">
        <f>IF(原始经营数据!$D92="","",原始经营数据!$I92)</f>
        <v>139750</v>
      </c>
      <c r="F91" t="str">
        <f>IF(原始经营数据!$D92="","",T(原始经营数据!$J92))</f>
        <v>平方米</v>
      </c>
      <c r="G91" t="str">
        <f>IF(原始经营数据!$D92="","",T(原始经营数据!$K92))</f>
        <v/>
      </c>
      <c r="H91" t="str">
        <f>IF(原始经营数据!$D92="","",原始经营数据!$G92)</f>
        <v>服务量</v>
      </c>
      <c r="I91" t="str">
        <f>IF($A91="","",IF($B91&lt;&gt;"",$B91,IF(COUNTIFS(原始经营数据!$D$3:$D$3001,$A91,原始经营数据!$E$3:$E$3001,"",原始经营数据!$F$3:$F$3001,$C91,原始经营数据!$H$3:$H$3001,$D91,原始经营数据!$K$3:$K$3001,$G91)&gt;1,"基金整体·来源"&amp;原始经营数据!$A92,"基金整体")))</f>
        <v>青岛万象城</v>
      </c>
      <c r="J91" t="str">
        <f t="shared" si="18"/>
        <v>季度</v>
      </c>
      <c r="K91" t="str">
        <f t="shared" si="19"/>
        <v>期末可供出租面积（平方米）</v>
      </c>
      <c r="L91" t="str">
        <f t="shared" si="20"/>
        <v>青岛万象城|期末可供出租面积（平方米）|季度</v>
      </c>
      <c r="M91">
        <f>IF($A91="",0,IF(COUNTIF($L$2:$L91,$L91)=1,1,0))</f>
        <v>0</v>
      </c>
      <c r="N91">
        <f t="shared" si="21"/>
        <v>20262</v>
      </c>
      <c r="O91" t="str">
        <f t="shared" si="22"/>
        <v>华夏华润消费封闭式基础设施证券投资基金|2026Q2|季度</v>
      </c>
      <c r="P91">
        <f>IF($A91="",0,IF(COUNTIF($O$2:$O91,$O91)=1,1,0))</f>
        <v>0</v>
      </c>
      <c r="Q91" t="str">
        <f>IF(AND($P91=1,$A91=经营数据!$B$3,$J91=经营数据!$BA$5),COUNTIFS($P$2:$P$3000,1,$A$2:$A$3000,$A91,$J$2:$J$3000,$J91,$N$2:$N$3000,"&lt;"&amp;$N91)+1,"")</f>
        <v/>
      </c>
      <c r="R91" t="str">
        <f t="shared" si="23"/>
        <v>华夏华润消费封闭式基础设施证券投资基金|青岛万象城</v>
      </c>
      <c r="S91">
        <f>IF($A91="",0,IF(COUNTIF($R$2:$R91,$R91)=1,1,0))</f>
        <v>0</v>
      </c>
      <c r="T91">
        <f t="shared" si="24"/>
        <v>36</v>
      </c>
      <c r="U91">
        <f>IF($A91="","",IF($A91=经营数据!$B$3,COUNTIFS($S$2:$S$3000,1,$A$2:$A$3000,$A91,$T$2:$T$3000,"&lt;"&amp;$T91)+1,""))</f>
        <v>2</v>
      </c>
      <c r="V91" t="str">
        <f t="shared" si="25"/>
        <v>青岛万象城|服务量</v>
      </c>
      <c r="W91">
        <f t="shared" si="26"/>
        <v>36</v>
      </c>
      <c r="X91" t="str">
        <f t="shared" si="27"/>
        <v>青岛万象城|期末可供出租面积</v>
      </c>
      <c r="Y91">
        <f t="shared" si="28"/>
        <v>37</v>
      </c>
      <c r="Z91">
        <f>IF($A91="",0,IF(AND($M91=1,$A91=经营数据!$B$3,$J91=经营数据!$BA$5,OR($I91=经营数据!$BA$4,COUNTIF(经营数据!$AA$9:$AA$38,$I91)&gt;0)),1,0))</f>
        <v>0</v>
      </c>
      <c r="AA91" t="str">
        <f t="shared" si="29"/>
        <v/>
      </c>
      <c r="AB91" t="str">
        <f t="shared" si="30"/>
        <v/>
      </c>
      <c r="AC91">
        <f>IF($A91="",0,IF(COUNTIF($A$2:$A91,$A91)=1,1,0))</f>
        <v>0</v>
      </c>
      <c r="AD91">
        <f t="shared" si="31"/>
        <v>1</v>
      </c>
      <c r="AE91" t="str">
        <f t="shared" si="32"/>
        <v>青岛万象城|期末可供出租面积（平方米）</v>
      </c>
      <c r="BA91" t="s">
        <v>5343</v>
      </c>
      <c r="BB91" t="s">
        <v>5344</v>
      </c>
      <c r="BP91" s="47">
        <v>45496</v>
      </c>
      <c r="BQ91" s="29">
        <v>5.3777635872924542E-2</v>
      </c>
    </row>
    <row r="92" spans="1:69" x14ac:dyDescent="0.4">
      <c r="A92" t="str">
        <f>IF(原始经营数据!$D93="","",原始经营数据!$D93)</f>
        <v>华夏华润消费封闭式基础设施证券投资基金</v>
      </c>
      <c r="B92" t="str">
        <f>IF(原始经营数据!$D93="","",T(原始经营数据!$E93))</f>
        <v>青岛万象城</v>
      </c>
      <c r="C92" t="str">
        <f>IF(原始经营数据!$D93="","",原始经营数据!$F93)</f>
        <v>2026Q2</v>
      </c>
      <c r="D92" t="str">
        <f>IF(原始经营数据!$D93="","",原始经营数据!$H93)</f>
        <v>期末实际出租面积</v>
      </c>
      <c r="E92">
        <f>IF(原始经营数据!$D93="","",原始经营数据!$I93)</f>
        <v>138471</v>
      </c>
      <c r="F92" t="str">
        <f>IF(原始经营数据!$D93="","",T(原始经营数据!$J93))</f>
        <v>平方米</v>
      </c>
      <c r="G92" t="str">
        <f>IF(原始经营数据!$D93="","",T(原始经营数据!$K93))</f>
        <v/>
      </c>
      <c r="H92" t="str">
        <f>IF(原始经营数据!$D93="","",原始经营数据!$G93)</f>
        <v>服务量</v>
      </c>
      <c r="I92" t="str">
        <f>IF($A92="","",IF($B92&lt;&gt;"",$B92,IF(COUNTIFS(原始经营数据!$D$3:$D$3001,$A92,原始经营数据!$E$3:$E$3001,"",原始经营数据!$F$3:$F$3001,$C92,原始经营数据!$H$3:$H$3001,$D92,原始经营数据!$K$3:$K$3001,$G92)&gt;1,"基金整体·来源"&amp;原始经营数据!$A93,"基金整体")))</f>
        <v>青岛万象城</v>
      </c>
      <c r="J92" t="str">
        <f t="shared" si="18"/>
        <v>季度</v>
      </c>
      <c r="K92" t="str">
        <f t="shared" si="19"/>
        <v>期末实际出租面积（平方米）</v>
      </c>
      <c r="L92" t="str">
        <f t="shared" si="20"/>
        <v>青岛万象城|期末实际出租面积（平方米）|季度</v>
      </c>
      <c r="M92">
        <f>IF($A92="",0,IF(COUNTIF($L$2:$L92,$L92)=1,1,0))</f>
        <v>0</v>
      </c>
      <c r="N92">
        <f t="shared" si="21"/>
        <v>20262</v>
      </c>
      <c r="O92" t="str">
        <f t="shared" si="22"/>
        <v>华夏华润消费封闭式基础设施证券投资基金|2026Q2|季度</v>
      </c>
      <c r="P92">
        <f>IF($A92="",0,IF(COUNTIF($O$2:$O92,$O92)=1,1,0))</f>
        <v>0</v>
      </c>
      <c r="Q92" t="str">
        <f>IF(AND($P92=1,$A92=经营数据!$B$3,$J92=经营数据!$BA$5),COUNTIFS($P$2:$P$3000,1,$A$2:$A$3000,$A92,$J$2:$J$3000,$J92,$N$2:$N$3000,"&lt;"&amp;$N92)+1,"")</f>
        <v/>
      </c>
      <c r="R92" t="str">
        <f t="shared" si="23"/>
        <v>华夏华润消费封闭式基础设施证券投资基金|青岛万象城</v>
      </c>
      <c r="S92">
        <f>IF($A92="",0,IF(COUNTIF($R$2:$R92,$R92)=1,1,0))</f>
        <v>0</v>
      </c>
      <c r="T92">
        <f t="shared" si="24"/>
        <v>36</v>
      </c>
      <c r="U92">
        <f>IF($A92="","",IF($A92=经营数据!$B$3,COUNTIFS($S$2:$S$3000,1,$A$2:$A$3000,$A92,$T$2:$T$3000,"&lt;"&amp;$T92)+1,""))</f>
        <v>2</v>
      </c>
      <c r="V92" t="str">
        <f t="shared" si="25"/>
        <v>青岛万象城|服务量</v>
      </c>
      <c r="W92">
        <f t="shared" si="26"/>
        <v>36</v>
      </c>
      <c r="X92" t="str">
        <f t="shared" si="27"/>
        <v>青岛万象城|期末实际出租面积</v>
      </c>
      <c r="Y92">
        <f t="shared" si="28"/>
        <v>38</v>
      </c>
      <c r="Z92">
        <f>IF($A92="",0,IF(AND($M92=1,$A92=经营数据!$B$3,$J92=经营数据!$BA$5,OR($I92=经营数据!$BA$4,COUNTIF(经营数据!$AA$9:$AA$38,$I92)&gt;0)),1,0))</f>
        <v>0</v>
      </c>
      <c r="AA92" t="str">
        <f t="shared" si="29"/>
        <v/>
      </c>
      <c r="AB92" t="str">
        <f t="shared" si="30"/>
        <v/>
      </c>
      <c r="AC92">
        <f>IF($A92="",0,IF(COUNTIF($A$2:$A92,$A92)=1,1,0))</f>
        <v>0</v>
      </c>
      <c r="AD92">
        <f t="shared" si="31"/>
        <v>1</v>
      </c>
      <c r="AE92" t="str">
        <f t="shared" si="32"/>
        <v>青岛万象城|期末实际出租面积（平方米）</v>
      </c>
      <c r="BA92" t="s">
        <v>5345</v>
      </c>
      <c r="BB92" t="s">
        <v>5346</v>
      </c>
      <c r="BP92" s="47">
        <v>45497</v>
      </c>
      <c r="BQ92" s="29">
        <v>5.3774983810596221E-2</v>
      </c>
    </row>
    <row r="93" spans="1:69" x14ac:dyDescent="0.4">
      <c r="A93" t="str">
        <f>IF(原始经营数据!$D94="","",原始经营数据!$D94)</f>
        <v>华夏华润消费封闭式基础设施证券投资基金</v>
      </c>
      <c r="B93" t="str">
        <f>IF(原始经营数据!$D94="","",T(原始经营数据!$E94))</f>
        <v>青岛万象城</v>
      </c>
      <c r="C93" t="str">
        <f>IF(原始经营数据!$D94="","",原始经营数据!$F94)</f>
        <v>2026Q2</v>
      </c>
      <c r="D93" t="str">
        <f>IF(原始经营数据!$D94="","",原始经营数据!$H94)</f>
        <v>期末出租率</v>
      </c>
      <c r="E93">
        <f>IF(原始经营数据!$D94="","",原始经营数据!$I94)</f>
        <v>99.08</v>
      </c>
      <c r="F93" t="str">
        <f>IF(原始经营数据!$D94="","",T(原始经营数据!$J94))</f>
        <v>%</v>
      </c>
      <c r="G93" t="str">
        <f>IF(原始经营数据!$D94="","",T(原始经营数据!$K94))</f>
        <v/>
      </c>
      <c r="H93" t="str">
        <f>IF(原始经营数据!$D94="","",原始经营数据!$G94)</f>
        <v>服务效率</v>
      </c>
      <c r="I93" t="str">
        <f>IF($A93="","",IF($B93&lt;&gt;"",$B93,IF(COUNTIFS(原始经营数据!$D$3:$D$3001,$A93,原始经营数据!$E$3:$E$3001,"",原始经营数据!$F$3:$F$3001,$C93,原始经营数据!$H$3:$H$3001,$D93,原始经营数据!$K$3:$K$3001,$G93)&gt;1,"基金整体·来源"&amp;原始经营数据!$A94,"基金整体")))</f>
        <v>青岛万象城</v>
      </c>
      <c r="J93" t="str">
        <f t="shared" si="18"/>
        <v>季度</v>
      </c>
      <c r="K93" t="str">
        <f t="shared" si="19"/>
        <v>期末出租率（%）</v>
      </c>
      <c r="L93" t="str">
        <f t="shared" si="20"/>
        <v>青岛万象城|期末出租率（%）|季度</v>
      </c>
      <c r="M93">
        <f>IF($A93="",0,IF(COUNTIF($L$2:$L93,$L93)=1,1,0))</f>
        <v>0</v>
      </c>
      <c r="N93">
        <f t="shared" si="21"/>
        <v>20262</v>
      </c>
      <c r="O93" t="str">
        <f t="shared" si="22"/>
        <v>华夏华润消费封闭式基础设施证券投资基金|2026Q2|季度</v>
      </c>
      <c r="P93">
        <f>IF($A93="",0,IF(COUNTIF($O$2:$O93,$O93)=1,1,0))</f>
        <v>0</v>
      </c>
      <c r="Q93" t="str">
        <f>IF(AND($P93=1,$A93=经营数据!$B$3,$J93=经营数据!$BA$5),COUNTIFS($P$2:$P$3000,1,$A$2:$A$3000,$A93,$J$2:$J$3000,$J93,$N$2:$N$3000,"&lt;"&amp;$N93)+1,"")</f>
        <v/>
      </c>
      <c r="R93" t="str">
        <f t="shared" si="23"/>
        <v>华夏华润消费封闭式基础设施证券投资基金|青岛万象城</v>
      </c>
      <c r="S93">
        <f>IF($A93="",0,IF(COUNTIF($R$2:$R93,$R93)=1,1,0))</f>
        <v>0</v>
      </c>
      <c r="T93">
        <f t="shared" si="24"/>
        <v>36</v>
      </c>
      <c r="U93">
        <f>IF($A93="","",IF($A93=经营数据!$B$3,COUNTIFS($S$2:$S$3000,1,$A$2:$A$3000,$A93,$T$2:$T$3000,"&lt;"&amp;$T93)+1,""))</f>
        <v>2</v>
      </c>
      <c r="V93" t="str">
        <f t="shared" si="25"/>
        <v>青岛万象城|服务效率</v>
      </c>
      <c r="W93">
        <f t="shared" si="26"/>
        <v>39</v>
      </c>
      <c r="X93" t="str">
        <f t="shared" si="27"/>
        <v>青岛万象城|期末出租率</v>
      </c>
      <c r="Y93">
        <f t="shared" si="28"/>
        <v>40</v>
      </c>
      <c r="Z93">
        <f>IF($A93="",0,IF(AND($M93=1,$A93=经营数据!$B$3,$J93=经营数据!$BA$5,OR($I93=经营数据!$BA$4,COUNTIF(经营数据!$AA$9:$AA$38,$I93)&gt;0)),1,0))</f>
        <v>0</v>
      </c>
      <c r="AA93" t="str">
        <f t="shared" si="29"/>
        <v/>
      </c>
      <c r="AB93" t="str">
        <f t="shared" si="30"/>
        <v/>
      </c>
      <c r="AC93">
        <f>IF($A93="",0,IF(COUNTIF($A$2:$A93,$A93)=1,1,0))</f>
        <v>0</v>
      </c>
      <c r="AD93">
        <f t="shared" si="31"/>
        <v>1</v>
      </c>
      <c r="AE93" t="str">
        <f t="shared" si="32"/>
        <v>青岛万象城|期末出租率（%）</v>
      </c>
      <c r="BA93" t="s">
        <v>5347</v>
      </c>
      <c r="BB93" t="s">
        <v>5348</v>
      </c>
      <c r="BP93" s="47">
        <v>45498</v>
      </c>
      <c r="BQ93" s="29">
        <v>5.3851999969545317E-2</v>
      </c>
    </row>
    <row r="94" spans="1:69" x14ac:dyDescent="0.4">
      <c r="A94" t="str">
        <f>IF(原始经营数据!$D95="","",原始经营数据!$D95)</f>
        <v>华夏华润消费封闭式基础设施证券投资基金</v>
      </c>
      <c r="B94" t="str">
        <f>IF(原始经营数据!$D95="","",T(原始经营数据!$E95))</f>
        <v>青岛万象城</v>
      </c>
      <c r="C94" t="str">
        <f>IF(原始经营数据!$D95="","",原始经营数据!$F95)</f>
        <v>2026Q2</v>
      </c>
      <c r="D94" t="str">
        <f>IF(原始经营数据!$D95="","",原始经营数据!$H95)</f>
        <v>期末收缴率</v>
      </c>
      <c r="E94">
        <f>IF(原始经营数据!$D95="","",原始经营数据!$I95)</f>
        <v>100</v>
      </c>
      <c r="F94" t="str">
        <f>IF(原始经营数据!$D95="","",T(原始经营数据!$J95))</f>
        <v>%</v>
      </c>
      <c r="G94" t="str">
        <f>IF(原始经营数据!$D95="","",T(原始经营数据!$K95))</f>
        <v/>
      </c>
      <c r="H94" t="str">
        <f>IF(原始经营数据!$D95="","",原始经营数据!$G95)</f>
        <v>服务效率</v>
      </c>
      <c r="I94" t="str">
        <f>IF($A94="","",IF($B94&lt;&gt;"",$B94,IF(COUNTIFS(原始经营数据!$D$3:$D$3001,$A94,原始经营数据!$E$3:$E$3001,"",原始经营数据!$F$3:$F$3001,$C94,原始经营数据!$H$3:$H$3001,$D94,原始经营数据!$K$3:$K$3001,$G94)&gt;1,"基金整体·来源"&amp;原始经营数据!$A95,"基金整体")))</f>
        <v>青岛万象城</v>
      </c>
      <c r="J94" t="str">
        <f t="shared" si="18"/>
        <v>季度</v>
      </c>
      <c r="K94" t="str">
        <f t="shared" si="19"/>
        <v>期末收缴率（%）</v>
      </c>
      <c r="L94" t="str">
        <f t="shared" si="20"/>
        <v>青岛万象城|期末收缴率（%）|季度</v>
      </c>
      <c r="M94">
        <f>IF($A94="",0,IF(COUNTIF($L$2:$L94,$L94)=1,1,0))</f>
        <v>0</v>
      </c>
      <c r="N94">
        <f t="shared" si="21"/>
        <v>20262</v>
      </c>
      <c r="O94" t="str">
        <f t="shared" si="22"/>
        <v>华夏华润消费封闭式基础设施证券投资基金|2026Q2|季度</v>
      </c>
      <c r="P94">
        <f>IF($A94="",0,IF(COUNTIF($O$2:$O94,$O94)=1,1,0))</f>
        <v>0</v>
      </c>
      <c r="Q94" t="str">
        <f>IF(AND($P94=1,$A94=经营数据!$B$3,$J94=经营数据!$BA$5),COUNTIFS($P$2:$P$3000,1,$A$2:$A$3000,$A94,$J$2:$J$3000,$J94,$N$2:$N$3000,"&lt;"&amp;$N94)+1,"")</f>
        <v/>
      </c>
      <c r="R94" t="str">
        <f t="shared" si="23"/>
        <v>华夏华润消费封闭式基础设施证券投资基金|青岛万象城</v>
      </c>
      <c r="S94">
        <f>IF($A94="",0,IF(COUNTIF($R$2:$R94,$R94)=1,1,0))</f>
        <v>0</v>
      </c>
      <c r="T94">
        <f t="shared" si="24"/>
        <v>36</v>
      </c>
      <c r="U94">
        <f>IF($A94="","",IF($A94=经营数据!$B$3,COUNTIFS($S$2:$S$3000,1,$A$2:$A$3000,$A94,$T$2:$T$3000,"&lt;"&amp;$T94)+1,""))</f>
        <v>2</v>
      </c>
      <c r="V94" t="str">
        <f t="shared" si="25"/>
        <v>青岛万象城|服务效率</v>
      </c>
      <c r="W94">
        <f t="shared" si="26"/>
        <v>39</v>
      </c>
      <c r="X94" t="str">
        <f t="shared" si="27"/>
        <v>青岛万象城|期末收缴率</v>
      </c>
      <c r="Y94">
        <f t="shared" si="28"/>
        <v>39</v>
      </c>
      <c r="Z94">
        <f>IF($A94="",0,IF(AND($M94=1,$A94=经营数据!$B$3,$J94=经营数据!$BA$5,OR($I94=经营数据!$BA$4,COUNTIF(经营数据!$AA$9:$AA$38,$I94)&gt;0)),1,0))</f>
        <v>0</v>
      </c>
      <c r="AA94" t="str">
        <f t="shared" si="29"/>
        <v/>
      </c>
      <c r="AB94" t="str">
        <f t="shared" si="30"/>
        <v/>
      </c>
      <c r="AC94">
        <f>IF($A94="",0,IF(COUNTIF($A$2:$A94,$A94)=1,1,0))</f>
        <v>0</v>
      </c>
      <c r="AD94">
        <f t="shared" si="31"/>
        <v>1</v>
      </c>
      <c r="AE94" t="str">
        <f t="shared" si="32"/>
        <v>青岛万象城|期末收缴率（%）</v>
      </c>
      <c r="BA94" t="s">
        <v>5349</v>
      </c>
      <c r="BB94" t="s">
        <v>5350</v>
      </c>
      <c r="BP94" s="47">
        <v>45499</v>
      </c>
      <c r="BQ94" s="29">
        <v>5.3728173802680419E-2</v>
      </c>
    </row>
    <row r="95" spans="1:69" x14ac:dyDescent="0.4">
      <c r="A95" t="str">
        <f>IF(原始经营数据!$D96="","",原始经营数据!$D96)</f>
        <v>华夏华润消费封闭式基础设施证券投资基金</v>
      </c>
      <c r="B95" t="str">
        <f>IF(原始经营数据!$D96="","",T(原始经营数据!$E96))</f>
        <v>青岛万象城</v>
      </c>
      <c r="C95" t="str">
        <f>IF(原始经营数据!$D96="","",原始经营数据!$F96)</f>
        <v>2026Q2</v>
      </c>
      <c r="D95" t="str">
        <f>IF(原始经营数据!$D96="","",原始经营数据!$H96)</f>
        <v>期末加权平均剩余租期</v>
      </c>
      <c r="E95">
        <f>IF(原始经营数据!$D96="","",原始经营数据!$I96)</f>
        <v>1.74</v>
      </c>
      <c r="F95" t="str">
        <f>IF(原始经营数据!$D96="","",T(原始经营数据!$J96))</f>
        <v>年</v>
      </c>
      <c r="G95" t="str">
        <f>IF(原始经营数据!$D96="","",T(原始经营数据!$K96))</f>
        <v/>
      </c>
      <c r="H95" t="str">
        <f>IF(原始经营数据!$D96="","",原始经营数据!$G96)</f>
        <v>服务量</v>
      </c>
      <c r="I95" t="str">
        <f>IF($A95="","",IF($B95&lt;&gt;"",$B95,IF(COUNTIFS(原始经营数据!$D$3:$D$3001,$A95,原始经营数据!$E$3:$E$3001,"",原始经营数据!$F$3:$F$3001,$C95,原始经营数据!$H$3:$H$3001,$D95,原始经营数据!$K$3:$K$3001,$G95)&gt;1,"基金整体·来源"&amp;原始经营数据!$A96,"基金整体")))</f>
        <v>青岛万象城</v>
      </c>
      <c r="J95" t="str">
        <f t="shared" si="18"/>
        <v>季度</v>
      </c>
      <c r="K95" t="str">
        <f t="shared" si="19"/>
        <v>期末加权平均剩余租期（年）</v>
      </c>
      <c r="L95" t="str">
        <f t="shared" si="20"/>
        <v>青岛万象城|期末加权平均剩余租期（年）|季度</v>
      </c>
      <c r="M95">
        <f>IF($A95="",0,IF(COUNTIF($L$2:$L95,$L95)=1,1,0))</f>
        <v>0</v>
      </c>
      <c r="N95">
        <f t="shared" si="21"/>
        <v>20262</v>
      </c>
      <c r="O95" t="str">
        <f t="shared" si="22"/>
        <v>华夏华润消费封闭式基础设施证券投资基金|2026Q2|季度</v>
      </c>
      <c r="P95">
        <f>IF($A95="",0,IF(COUNTIF($O$2:$O95,$O95)=1,1,0))</f>
        <v>0</v>
      </c>
      <c r="Q95" t="str">
        <f>IF(AND($P95=1,$A95=经营数据!$B$3,$J95=经营数据!$BA$5),COUNTIFS($P$2:$P$3000,1,$A$2:$A$3000,$A95,$J$2:$J$3000,$J95,$N$2:$N$3000,"&lt;"&amp;$N95)+1,"")</f>
        <v/>
      </c>
      <c r="R95" t="str">
        <f t="shared" si="23"/>
        <v>华夏华润消费封闭式基础设施证券投资基金|青岛万象城</v>
      </c>
      <c r="S95">
        <f>IF($A95="",0,IF(COUNTIF($R$2:$R95,$R95)=1,1,0))</f>
        <v>0</v>
      </c>
      <c r="T95">
        <f t="shared" si="24"/>
        <v>36</v>
      </c>
      <c r="U95">
        <f>IF($A95="","",IF($A95=经营数据!$B$3,COUNTIFS($S$2:$S$3000,1,$A$2:$A$3000,$A95,$T$2:$T$3000,"&lt;"&amp;$T95)+1,""))</f>
        <v>2</v>
      </c>
      <c r="V95" t="str">
        <f t="shared" si="25"/>
        <v>青岛万象城|服务量</v>
      </c>
      <c r="W95">
        <f t="shared" si="26"/>
        <v>36</v>
      </c>
      <c r="X95" t="str">
        <f t="shared" si="27"/>
        <v>青岛万象城|期末加权平均剩余租期</v>
      </c>
      <c r="Y95">
        <f t="shared" si="28"/>
        <v>36</v>
      </c>
      <c r="Z95">
        <f>IF($A95="",0,IF(AND($M95=1,$A95=经营数据!$B$3,$J95=经营数据!$BA$5,OR($I95=经营数据!$BA$4,COUNTIF(经营数据!$AA$9:$AA$38,$I95)&gt;0)),1,0))</f>
        <v>0</v>
      </c>
      <c r="AA95" t="str">
        <f t="shared" si="29"/>
        <v/>
      </c>
      <c r="AB95" t="str">
        <f t="shared" si="30"/>
        <v/>
      </c>
      <c r="AC95">
        <f>IF($A95="",0,IF(COUNTIF($A$2:$A95,$A95)=1,1,0))</f>
        <v>0</v>
      </c>
      <c r="AD95">
        <f t="shared" si="31"/>
        <v>1</v>
      </c>
      <c r="AE95" t="str">
        <f t="shared" si="32"/>
        <v>青岛万象城|期末加权平均剩余租期（年）</v>
      </c>
      <c r="BA95" t="s">
        <v>5351</v>
      </c>
      <c r="BB95" t="s">
        <v>5352</v>
      </c>
      <c r="BP95" s="47">
        <v>45502</v>
      </c>
      <c r="BQ95" s="29">
        <v>5.3652391100013123E-2</v>
      </c>
    </row>
    <row r="96" spans="1:69" x14ac:dyDescent="0.4">
      <c r="A96" t="str">
        <f>IF(原始经营数据!$D97="","",原始经营数据!$D97)</f>
        <v>中金印力消费基础设施封闭式基础设施证券投资基金</v>
      </c>
      <c r="B96" t="str">
        <f>IF(原始经营数据!$D97="","",T(原始经营数据!$E97))</f>
        <v>杭州西溪印象城</v>
      </c>
      <c r="C96" t="str">
        <f>IF(原始经营数据!$D97="","",原始经营数据!$F97)</f>
        <v>2024Q2</v>
      </c>
      <c r="D96" t="str">
        <f>IF(原始经营数据!$D97="","",原始经营数据!$H97)</f>
        <v>期内平均租金单价</v>
      </c>
      <c r="E96">
        <f>IF(原始经营数据!$D97="","",原始经营数据!$I97)</f>
        <v>246.02</v>
      </c>
      <c r="F96" t="str">
        <f>IF(原始经营数据!$D97="","",T(原始经营数据!$J97))</f>
        <v>元/平方米/月</v>
      </c>
      <c r="G96" t="str">
        <f>IF(原始经营数据!$D97="","",T(原始经营数据!$K97))</f>
        <v/>
      </c>
      <c r="H96" t="str">
        <f>IF(原始经营数据!$D97="","",原始经营数据!$G97)</f>
        <v>服务价格</v>
      </c>
      <c r="I96" t="str">
        <f>IF($A96="","",IF($B96&lt;&gt;"",$B96,IF(COUNTIFS(原始经营数据!$D$3:$D$3001,$A96,原始经营数据!$E$3:$E$3001,"",原始经营数据!$F$3:$F$3001,$C96,原始经营数据!$H$3:$H$3001,$D96,原始经营数据!$K$3:$K$3001,$G96)&gt;1,"基金整体·来源"&amp;原始经营数据!$A97,"基金整体")))</f>
        <v>杭州西溪印象城</v>
      </c>
      <c r="J96" t="str">
        <f t="shared" si="18"/>
        <v>季度</v>
      </c>
      <c r="K96" t="str">
        <f t="shared" si="19"/>
        <v>期内平均租金单价（元/平方米/月）</v>
      </c>
      <c r="L96" t="str">
        <f t="shared" si="20"/>
        <v>杭州西溪印象城|期内平均租金单价（元/平方米/月）|季度</v>
      </c>
      <c r="M96">
        <f>IF($A96="",0,IF(COUNTIF($L$2:$L96,$L96)=1,1,0))</f>
        <v>1</v>
      </c>
      <c r="N96">
        <f t="shared" si="21"/>
        <v>20242</v>
      </c>
      <c r="O96" t="str">
        <f t="shared" si="22"/>
        <v>中金印力消费基础设施封闭式基础设施证券投资基金|2024Q2|季度</v>
      </c>
      <c r="P96">
        <f>IF($A96="",0,IF(COUNTIF($O$2:$O96,$O96)=1,1,0))</f>
        <v>1</v>
      </c>
      <c r="Q96" t="str">
        <f>IF(AND($P96=1,$A96=经营数据!$B$3,$J96=经营数据!$BA$5),COUNTIFS($P$2:$P$3000,1,$A$2:$A$3000,$A96,$J$2:$J$3000,$J96,$N$2:$N$3000,"&lt;"&amp;$N96)+1,"")</f>
        <v/>
      </c>
      <c r="R96" t="str">
        <f t="shared" si="23"/>
        <v>中金印力消费基础设施封闭式基础设施证券投资基金|杭州西溪印象城</v>
      </c>
      <c r="S96">
        <f>IF($A96="",0,IF(COUNTIF($R$2:$R96,$R96)=1,1,0))</f>
        <v>1</v>
      </c>
      <c r="T96">
        <f t="shared" si="24"/>
        <v>95</v>
      </c>
      <c r="U96" t="str">
        <f>IF($A96="","",IF($A96=经营数据!$B$3,COUNTIFS($S$2:$S$3000,1,$A$2:$A$3000,$A96,$T$2:$T$3000,"&lt;"&amp;$T96)+1,""))</f>
        <v/>
      </c>
      <c r="V96" t="str">
        <f t="shared" si="25"/>
        <v>杭州西溪印象城|服务价格</v>
      </c>
      <c r="W96">
        <f t="shared" si="26"/>
        <v>95</v>
      </c>
      <c r="X96" t="str">
        <f t="shared" si="27"/>
        <v>杭州西溪印象城|期内平均租金单价</v>
      </c>
      <c r="Y96">
        <f t="shared" si="28"/>
        <v>95</v>
      </c>
      <c r="Z96">
        <f>IF($A96="",0,IF(AND($M96=1,$A96=经营数据!$B$3,$J96=经营数据!$BA$5,OR($I96=经营数据!$BA$4,COUNTIF(经营数据!$AA$9:$AA$38,$I96)&gt;0)),1,0))</f>
        <v>0</v>
      </c>
      <c r="AA96" t="str">
        <f t="shared" si="29"/>
        <v/>
      </c>
      <c r="AB96" t="str">
        <f t="shared" si="30"/>
        <v/>
      </c>
      <c r="AC96">
        <f>IF($A96="",0,IF(COUNTIF($A$2:$A96,$A96)=1,1,0))</f>
        <v>1</v>
      </c>
      <c r="AD96">
        <f t="shared" si="31"/>
        <v>2</v>
      </c>
      <c r="AE96" t="str">
        <f t="shared" si="32"/>
        <v>杭州西溪印象城|期内平均租金单价（元/平方米/月）</v>
      </c>
      <c r="BA96" t="s">
        <v>5353</v>
      </c>
      <c r="BB96" t="s">
        <v>5354</v>
      </c>
      <c r="BP96" s="47">
        <v>45503</v>
      </c>
      <c r="BQ96" s="29">
        <v>5.344814296462707E-2</v>
      </c>
    </row>
    <row r="97" spans="1:69" x14ac:dyDescent="0.4">
      <c r="A97" t="str">
        <f>IF(原始经营数据!$D98="","",原始经营数据!$D98)</f>
        <v>中金印力消费基础设施封闭式基础设施证券投资基金</v>
      </c>
      <c r="B97" t="str">
        <f>IF(原始经营数据!$D98="","",T(原始经营数据!$E98))</f>
        <v>杭州西溪印象城</v>
      </c>
      <c r="C97" t="str">
        <f>IF(原始经营数据!$D98="","",原始经营数据!$F98)</f>
        <v>2024Q2</v>
      </c>
      <c r="D97" t="str">
        <f>IF(原始经营数据!$D98="","",原始经营数据!$H98)</f>
        <v>期末可供出租面积</v>
      </c>
      <c r="E97">
        <f>IF(原始经营数据!$D98="","",原始经营数据!$I98)</f>
        <v>100005.4</v>
      </c>
      <c r="F97" t="str">
        <f>IF(原始经营数据!$D98="","",T(原始经营数据!$J98))</f>
        <v>平方米</v>
      </c>
      <c r="G97" t="str">
        <f>IF(原始经营数据!$D98="","",T(原始经营数据!$K98))</f>
        <v/>
      </c>
      <c r="H97" t="str">
        <f>IF(原始经营数据!$D98="","",原始经营数据!$G98)</f>
        <v>服务量</v>
      </c>
      <c r="I97" t="str">
        <f>IF($A97="","",IF($B97&lt;&gt;"",$B97,IF(COUNTIFS(原始经营数据!$D$3:$D$3001,$A97,原始经营数据!$E$3:$E$3001,"",原始经营数据!$F$3:$F$3001,$C97,原始经营数据!$H$3:$H$3001,$D97,原始经营数据!$K$3:$K$3001,$G97)&gt;1,"基金整体·来源"&amp;原始经营数据!$A98,"基金整体")))</f>
        <v>杭州西溪印象城</v>
      </c>
      <c r="J97" t="str">
        <f t="shared" si="18"/>
        <v>季度</v>
      </c>
      <c r="K97" t="str">
        <f t="shared" si="19"/>
        <v>期末可供出租面积（平方米）</v>
      </c>
      <c r="L97" t="str">
        <f t="shared" si="20"/>
        <v>杭州西溪印象城|期末可供出租面积（平方米）|季度</v>
      </c>
      <c r="M97">
        <f>IF($A97="",0,IF(COUNTIF($L$2:$L97,$L97)=1,1,0))</f>
        <v>1</v>
      </c>
      <c r="N97">
        <f t="shared" si="21"/>
        <v>20242</v>
      </c>
      <c r="O97" t="str">
        <f t="shared" si="22"/>
        <v>中金印力消费基础设施封闭式基础设施证券投资基金|2024Q2|季度</v>
      </c>
      <c r="P97">
        <f>IF($A97="",0,IF(COUNTIF($O$2:$O97,$O97)=1,1,0))</f>
        <v>0</v>
      </c>
      <c r="Q97" t="str">
        <f>IF(AND($P97=1,$A97=经营数据!$B$3,$J97=经营数据!$BA$5),COUNTIFS($P$2:$P$3000,1,$A$2:$A$3000,$A97,$J$2:$J$3000,$J97,$N$2:$N$3000,"&lt;"&amp;$N97)+1,"")</f>
        <v/>
      </c>
      <c r="R97" t="str">
        <f t="shared" si="23"/>
        <v>中金印力消费基础设施封闭式基础设施证券投资基金|杭州西溪印象城</v>
      </c>
      <c r="S97">
        <f>IF($A97="",0,IF(COUNTIF($R$2:$R97,$R97)=1,1,0))</f>
        <v>0</v>
      </c>
      <c r="T97">
        <f t="shared" si="24"/>
        <v>95</v>
      </c>
      <c r="U97" t="str">
        <f>IF($A97="","",IF($A97=经营数据!$B$3,COUNTIFS($S$2:$S$3000,1,$A$2:$A$3000,$A97,$T$2:$T$3000,"&lt;"&amp;$T97)+1,""))</f>
        <v/>
      </c>
      <c r="V97" t="str">
        <f t="shared" si="25"/>
        <v>杭州西溪印象城|服务量</v>
      </c>
      <c r="W97">
        <f t="shared" si="26"/>
        <v>96</v>
      </c>
      <c r="X97" t="str">
        <f t="shared" si="27"/>
        <v>杭州西溪印象城|期末可供出租面积</v>
      </c>
      <c r="Y97">
        <f t="shared" si="28"/>
        <v>96</v>
      </c>
      <c r="Z97">
        <f>IF($A97="",0,IF(AND($M97=1,$A97=经营数据!$B$3,$J97=经营数据!$BA$5,OR($I97=经营数据!$BA$4,COUNTIF(经营数据!$AA$9:$AA$38,$I97)&gt;0)),1,0))</f>
        <v>0</v>
      </c>
      <c r="AA97" t="str">
        <f t="shared" si="29"/>
        <v/>
      </c>
      <c r="AB97" t="str">
        <f t="shared" si="30"/>
        <v/>
      </c>
      <c r="AC97">
        <f>IF($A97="",0,IF(COUNTIF($A$2:$A97,$A97)=1,1,0))</f>
        <v>0</v>
      </c>
      <c r="AD97">
        <f t="shared" si="31"/>
        <v>2</v>
      </c>
      <c r="AE97" t="str">
        <f t="shared" si="32"/>
        <v>杭州西溪印象城|期末可供出租面积（平方米）</v>
      </c>
      <c r="BA97" t="s">
        <v>5355</v>
      </c>
      <c r="BB97" t="s">
        <v>5356</v>
      </c>
      <c r="BP97" s="47">
        <v>45504</v>
      </c>
      <c r="BQ97" s="29">
        <v>5.3427192835911089E-2</v>
      </c>
    </row>
    <row r="98" spans="1:69" x14ac:dyDescent="0.4">
      <c r="A98" t="str">
        <f>IF(原始经营数据!$D99="","",原始经营数据!$D99)</f>
        <v>中金印力消费基础设施封闭式基础设施证券投资基金</v>
      </c>
      <c r="B98" t="str">
        <f>IF(原始经营数据!$D99="","",T(原始经营数据!$E99))</f>
        <v>杭州西溪印象城</v>
      </c>
      <c r="C98" t="str">
        <f>IF(原始经营数据!$D99="","",原始经营数据!$F99)</f>
        <v>2024Q2</v>
      </c>
      <c r="D98" t="str">
        <f>IF(原始经营数据!$D99="","",原始经营数据!$H99)</f>
        <v>期末实际出租面积</v>
      </c>
      <c r="E98">
        <f>IF(原始经营数据!$D99="","",原始经营数据!$I99)</f>
        <v>98400</v>
      </c>
      <c r="F98" t="str">
        <f>IF(原始经营数据!$D99="","",T(原始经营数据!$J99))</f>
        <v>平方米</v>
      </c>
      <c r="G98" t="str">
        <f>IF(原始经营数据!$D99="","",T(原始经营数据!$K99))</f>
        <v/>
      </c>
      <c r="H98" t="str">
        <f>IF(原始经营数据!$D99="","",原始经营数据!$G99)</f>
        <v>服务量</v>
      </c>
      <c r="I98" t="str">
        <f>IF($A98="","",IF($B98&lt;&gt;"",$B98,IF(COUNTIFS(原始经营数据!$D$3:$D$3001,$A98,原始经营数据!$E$3:$E$3001,"",原始经营数据!$F$3:$F$3001,$C98,原始经营数据!$H$3:$H$3001,$D98,原始经营数据!$K$3:$K$3001,$G98)&gt;1,"基金整体·来源"&amp;原始经营数据!$A99,"基金整体")))</f>
        <v>杭州西溪印象城</v>
      </c>
      <c r="J98" t="str">
        <f t="shared" si="18"/>
        <v>季度</v>
      </c>
      <c r="K98" t="str">
        <f t="shared" si="19"/>
        <v>期末实际出租面积（平方米）</v>
      </c>
      <c r="L98" t="str">
        <f t="shared" si="20"/>
        <v>杭州西溪印象城|期末实际出租面积（平方米）|季度</v>
      </c>
      <c r="M98">
        <f>IF($A98="",0,IF(COUNTIF($L$2:$L98,$L98)=1,1,0))</f>
        <v>1</v>
      </c>
      <c r="N98">
        <f t="shared" si="21"/>
        <v>20242</v>
      </c>
      <c r="O98" t="str">
        <f t="shared" si="22"/>
        <v>中金印力消费基础设施封闭式基础设施证券投资基金|2024Q2|季度</v>
      </c>
      <c r="P98">
        <f>IF($A98="",0,IF(COUNTIF($O$2:$O98,$O98)=1,1,0))</f>
        <v>0</v>
      </c>
      <c r="Q98" t="str">
        <f>IF(AND($P98=1,$A98=经营数据!$B$3,$J98=经营数据!$BA$5),COUNTIFS($P$2:$P$3000,1,$A$2:$A$3000,$A98,$J$2:$J$3000,$J98,$N$2:$N$3000,"&lt;"&amp;$N98)+1,"")</f>
        <v/>
      </c>
      <c r="R98" t="str">
        <f t="shared" si="23"/>
        <v>中金印力消费基础设施封闭式基础设施证券投资基金|杭州西溪印象城</v>
      </c>
      <c r="S98">
        <f>IF($A98="",0,IF(COUNTIF($R$2:$R98,$R98)=1,1,0))</f>
        <v>0</v>
      </c>
      <c r="T98">
        <f t="shared" si="24"/>
        <v>95</v>
      </c>
      <c r="U98" t="str">
        <f>IF($A98="","",IF($A98=经营数据!$B$3,COUNTIFS($S$2:$S$3000,1,$A$2:$A$3000,$A98,$T$2:$T$3000,"&lt;"&amp;$T98)+1,""))</f>
        <v/>
      </c>
      <c r="V98" t="str">
        <f t="shared" si="25"/>
        <v>杭州西溪印象城|服务量</v>
      </c>
      <c r="W98">
        <f t="shared" si="26"/>
        <v>96</v>
      </c>
      <c r="X98" t="str">
        <f t="shared" si="27"/>
        <v>杭州西溪印象城|期末实际出租面积</v>
      </c>
      <c r="Y98">
        <f t="shared" si="28"/>
        <v>97</v>
      </c>
      <c r="Z98">
        <f>IF($A98="",0,IF(AND($M98=1,$A98=经营数据!$B$3,$J98=经营数据!$BA$5,OR($I98=经营数据!$BA$4,COUNTIF(经营数据!$AA$9:$AA$38,$I98)&gt;0)),1,0))</f>
        <v>0</v>
      </c>
      <c r="AA98" t="str">
        <f t="shared" si="29"/>
        <v/>
      </c>
      <c r="AB98" t="str">
        <f t="shared" si="30"/>
        <v/>
      </c>
      <c r="AC98">
        <f>IF($A98="",0,IF(COUNTIF($A$2:$A98,$A98)=1,1,0))</f>
        <v>0</v>
      </c>
      <c r="AD98">
        <f t="shared" si="31"/>
        <v>2</v>
      </c>
      <c r="AE98" t="str">
        <f t="shared" si="32"/>
        <v>杭州西溪印象城|期末实际出租面积（平方米）</v>
      </c>
      <c r="BA98" t="s">
        <v>5357</v>
      </c>
      <c r="BB98" t="s">
        <v>5358</v>
      </c>
      <c r="BP98" s="47">
        <v>45505</v>
      </c>
      <c r="BQ98" s="29">
        <v>5.3376631098764817E-2</v>
      </c>
    </row>
    <row r="99" spans="1:69" x14ac:dyDescent="0.4">
      <c r="A99" t="str">
        <f>IF(原始经营数据!$D100="","",原始经营数据!$D100)</f>
        <v>中金印力消费基础设施封闭式基础设施证券投资基金</v>
      </c>
      <c r="B99" t="str">
        <f>IF(原始经营数据!$D100="","",T(原始经营数据!$E100))</f>
        <v>杭州西溪印象城</v>
      </c>
      <c r="C99" t="str">
        <f>IF(原始经营数据!$D100="","",原始经营数据!$F100)</f>
        <v>2024Q2</v>
      </c>
      <c r="D99" t="str">
        <f>IF(原始经营数据!$D100="","",原始经营数据!$H100)</f>
        <v>期末租金收缴率</v>
      </c>
      <c r="E99">
        <f>IF(原始经营数据!$D100="","",原始经营数据!$I100)</f>
        <v>100</v>
      </c>
      <c r="F99" t="str">
        <f>IF(原始经营数据!$D100="","",T(原始经营数据!$J100))</f>
        <v>%</v>
      </c>
      <c r="G99" t="str">
        <f>IF(原始经营数据!$D100="","",T(原始经营数据!$K100))</f>
        <v/>
      </c>
      <c r="H99" t="str">
        <f>IF(原始经营数据!$D100="","",原始经营数据!$G100)</f>
        <v>服务效率</v>
      </c>
      <c r="I99" t="str">
        <f>IF($A99="","",IF($B99&lt;&gt;"",$B99,IF(COUNTIFS(原始经营数据!$D$3:$D$3001,$A99,原始经营数据!$E$3:$E$3001,"",原始经营数据!$F$3:$F$3001,$C99,原始经营数据!$H$3:$H$3001,$D99,原始经营数据!$K$3:$K$3001,$G99)&gt;1,"基金整体·来源"&amp;原始经营数据!$A100,"基金整体")))</f>
        <v>杭州西溪印象城</v>
      </c>
      <c r="J99" t="str">
        <f t="shared" si="18"/>
        <v>季度</v>
      </c>
      <c r="K99" t="str">
        <f t="shared" si="19"/>
        <v>期末租金收缴率（%）</v>
      </c>
      <c r="L99" t="str">
        <f t="shared" si="20"/>
        <v>杭州西溪印象城|期末租金收缴率（%）|季度</v>
      </c>
      <c r="M99">
        <f>IF($A99="",0,IF(COUNTIF($L$2:$L99,$L99)=1,1,0))</f>
        <v>1</v>
      </c>
      <c r="N99">
        <f t="shared" si="21"/>
        <v>20242</v>
      </c>
      <c r="O99" t="str">
        <f t="shared" si="22"/>
        <v>中金印力消费基础设施封闭式基础设施证券投资基金|2024Q2|季度</v>
      </c>
      <c r="P99">
        <f>IF($A99="",0,IF(COUNTIF($O$2:$O99,$O99)=1,1,0))</f>
        <v>0</v>
      </c>
      <c r="Q99" t="str">
        <f>IF(AND($P99=1,$A99=经营数据!$B$3,$J99=经营数据!$BA$5),COUNTIFS($P$2:$P$3000,1,$A$2:$A$3000,$A99,$J$2:$J$3000,$J99,$N$2:$N$3000,"&lt;"&amp;$N99)+1,"")</f>
        <v/>
      </c>
      <c r="R99" t="str">
        <f t="shared" si="23"/>
        <v>中金印力消费基础设施封闭式基础设施证券投资基金|杭州西溪印象城</v>
      </c>
      <c r="S99">
        <f>IF($A99="",0,IF(COUNTIF($R$2:$R99,$R99)=1,1,0))</f>
        <v>0</v>
      </c>
      <c r="T99">
        <f t="shared" si="24"/>
        <v>95</v>
      </c>
      <c r="U99" t="str">
        <f>IF($A99="","",IF($A99=经营数据!$B$3,COUNTIFS($S$2:$S$3000,1,$A$2:$A$3000,$A99,$T$2:$T$3000,"&lt;"&amp;$T99)+1,""))</f>
        <v/>
      </c>
      <c r="V99" t="str">
        <f t="shared" si="25"/>
        <v>杭州西溪印象城|服务效率</v>
      </c>
      <c r="W99">
        <f t="shared" si="26"/>
        <v>98</v>
      </c>
      <c r="X99" t="str">
        <f t="shared" si="27"/>
        <v>杭州西溪印象城|期末租金收缴率</v>
      </c>
      <c r="Y99">
        <f t="shared" si="28"/>
        <v>98</v>
      </c>
      <c r="Z99">
        <f>IF($A99="",0,IF(AND($M99=1,$A99=经营数据!$B$3,$J99=经营数据!$BA$5,OR($I99=经营数据!$BA$4,COUNTIF(经营数据!$AA$9:$AA$38,$I99)&gt;0)),1,0))</f>
        <v>0</v>
      </c>
      <c r="AA99" t="str">
        <f t="shared" si="29"/>
        <v/>
      </c>
      <c r="AB99" t="str">
        <f t="shared" si="30"/>
        <v/>
      </c>
      <c r="AC99">
        <f>IF($A99="",0,IF(COUNTIF($A$2:$A99,$A99)=1,1,0))</f>
        <v>0</v>
      </c>
      <c r="AD99">
        <f t="shared" si="31"/>
        <v>2</v>
      </c>
      <c r="AE99" t="str">
        <f t="shared" si="32"/>
        <v>杭州西溪印象城|期末租金收缴率（%）</v>
      </c>
      <c r="BA99" t="s">
        <v>5359</v>
      </c>
      <c r="BB99" t="s">
        <v>5360</v>
      </c>
      <c r="BP99" s="47">
        <v>45506</v>
      </c>
      <c r="BQ99" s="29">
        <v>5.3278397233713352E-2</v>
      </c>
    </row>
    <row r="100" spans="1:69" x14ac:dyDescent="0.4">
      <c r="A100" t="str">
        <f>IF(原始经营数据!$D101="","",原始经营数据!$D101)</f>
        <v>中金印力消费基础设施封闭式基础设施证券投资基金</v>
      </c>
      <c r="B100" t="str">
        <f>IF(原始经营数据!$D101="","",T(原始经营数据!$E101))</f>
        <v>杭州西溪印象城</v>
      </c>
      <c r="C100" t="str">
        <f>IF(原始经营数据!$D101="","",原始经营数据!$F101)</f>
        <v>2024Q2</v>
      </c>
      <c r="D100" t="str">
        <f>IF(原始经营数据!$D101="","",原始经营数据!$H101)</f>
        <v>期末剩余租期情况</v>
      </c>
      <c r="E100">
        <f>IF(原始经营数据!$D101="","",原始经营数据!$I101)</f>
        <v>3.87</v>
      </c>
      <c r="F100" t="str">
        <f>IF(原始经营数据!$D101="","",T(原始经营数据!$J101))</f>
        <v>年</v>
      </c>
      <c r="G100" t="str">
        <f>IF(原始经营数据!$D101="","",T(原始经营数据!$K101))</f>
        <v/>
      </c>
      <c r="H100" t="str">
        <f>IF(原始经营数据!$D101="","",原始经营数据!$G101)</f>
        <v>服务量</v>
      </c>
      <c r="I100" t="str">
        <f>IF($A100="","",IF($B100&lt;&gt;"",$B100,IF(COUNTIFS(原始经营数据!$D$3:$D$3001,$A100,原始经营数据!$E$3:$E$3001,"",原始经营数据!$F$3:$F$3001,$C100,原始经营数据!$H$3:$H$3001,$D100,原始经营数据!$K$3:$K$3001,$G100)&gt;1,"基金整体·来源"&amp;原始经营数据!$A101,"基金整体")))</f>
        <v>杭州西溪印象城</v>
      </c>
      <c r="J100" t="str">
        <f t="shared" si="18"/>
        <v>季度</v>
      </c>
      <c r="K100" t="str">
        <f t="shared" si="19"/>
        <v>期末剩余租期情况（年）</v>
      </c>
      <c r="L100" t="str">
        <f t="shared" si="20"/>
        <v>杭州西溪印象城|期末剩余租期情况（年）|季度</v>
      </c>
      <c r="M100">
        <f>IF($A100="",0,IF(COUNTIF($L$2:$L100,$L100)=1,1,0))</f>
        <v>1</v>
      </c>
      <c r="N100">
        <f t="shared" si="21"/>
        <v>20242</v>
      </c>
      <c r="O100" t="str">
        <f t="shared" si="22"/>
        <v>中金印力消费基础设施封闭式基础设施证券投资基金|2024Q2|季度</v>
      </c>
      <c r="P100">
        <f>IF($A100="",0,IF(COUNTIF($O$2:$O100,$O100)=1,1,0))</f>
        <v>0</v>
      </c>
      <c r="Q100" t="str">
        <f>IF(AND($P100=1,$A100=经营数据!$B$3,$J100=经营数据!$BA$5),COUNTIFS($P$2:$P$3000,1,$A$2:$A$3000,$A100,$J$2:$J$3000,$J100,$N$2:$N$3000,"&lt;"&amp;$N100)+1,"")</f>
        <v/>
      </c>
      <c r="R100" t="str">
        <f t="shared" si="23"/>
        <v>中金印力消费基础设施封闭式基础设施证券投资基金|杭州西溪印象城</v>
      </c>
      <c r="S100">
        <f>IF($A100="",0,IF(COUNTIF($R$2:$R100,$R100)=1,1,0))</f>
        <v>0</v>
      </c>
      <c r="T100">
        <f t="shared" si="24"/>
        <v>95</v>
      </c>
      <c r="U100" t="str">
        <f>IF($A100="","",IF($A100=经营数据!$B$3,COUNTIFS($S$2:$S$3000,1,$A$2:$A$3000,$A100,$T$2:$T$3000,"&lt;"&amp;$T100)+1,""))</f>
        <v/>
      </c>
      <c r="V100" t="str">
        <f t="shared" si="25"/>
        <v>杭州西溪印象城|服务量</v>
      </c>
      <c r="W100">
        <f t="shared" si="26"/>
        <v>96</v>
      </c>
      <c r="X100" t="str">
        <f t="shared" si="27"/>
        <v>杭州西溪印象城|期末剩余租期情况</v>
      </c>
      <c r="Y100">
        <f t="shared" si="28"/>
        <v>99</v>
      </c>
      <c r="Z100">
        <f>IF($A100="",0,IF(AND($M100=1,$A100=经营数据!$B$3,$J100=经营数据!$BA$5,OR($I100=经营数据!$BA$4,COUNTIF(经营数据!$AA$9:$AA$38,$I100)&gt;0)),1,0))</f>
        <v>0</v>
      </c>
      <c r="AA100" t="str">
        <f t="shared" si="29"/>
        <v/>
      </c>
      <c r="AB100" t="str">
        <f t="shared" si="30"/>
        <v/>
      </c>
      <c r="AC100">
        <f>IF($A100="",0,IF(COUNTIF($A$2:$A100,$A100)=1,1,0))</f>
        <v>0</v>
      </c>
      <c r="AD100">
        <f t="shared" si="31"/>
        <v>2</v>
      </c>
      <c r="AE100" t="str">
        <f t="shared" si="32"/>
        <v>杭州西溪印象城|期末剩余租期情况（年）</v>
      </c>
      <c r="BA100" t="s">
        <v>5361</v>
      </c>
      <c r="BB100" t="s">
        <v>5362</v>
      </c>
      <c r="BP100" s="47">
        <v>45509</v>
      </c>
      <c r="BQ100" s="29">
        <v>5.2848038613085617E-2</v>
      </c>
    </row>
    <row r="101" spans="1:69" x14ac:dyDescent="0.4">
      <c r="A101" t="str">
        <f>IF(原始经营数据!$D102="","",原始经营数据!$D102)</f>
        <v>中金印力消费基础设施封闭式基础设施证券投资基金</v>
      </c>
      <c r="B101" t="str">
        <f>IF(原始经营数据!$D102="","",T(原始经营数据!$E102))</f>
        <v>杭州西溪印象城</v>
      </c>
      <c r="C101" t="str">
        <f>IF(原始经营数据!$D102="","",原始经营数据!$F102)</f>
        <v>2024Q2</v>
      </c>
      <c r="D101" t="str">
        <f>IF(原始经营数据!$D102="","",原始经营数据!$H102)</f>
        <v>期末出租率</v>
      </c>
      <c r="E101">
        <f>IF(原始经营数据!$D102="","",原始经营数据!$I102)</f>
        <v>98.4</v>
      </c>
      <c r="F101" t="str">
        <f>IF(原始经营数据!$D102="","",T(原始经营数据!$J102))</f>
        <v>%</v>
      </c>
      <c r="G101" t="str">
        <f>IF(原始经营数据!$D102="","",T(原始经营数据!$K102))</f>
        <v/>
      </c>
      <c r="H101" t="str">
        <f>IF(原始经营数据!$D102="","",原始经营数据!$G102)</f>
        <v>服务效率</v>
      </c>
      <c r="I101" t="str">
        <f>IF($A101="","",IF($B101&lt;&gt;"",$B101,IF(COUNTIFS(原始经营数据!$D$3:$D$3001,$A101,原始经营数据!$E$3:$E$3001,"",原始经营数据!$F$3:$F$3001,$C101,原始经营数据!$H$3:$H$3001,$D101,原始经营数据!$K$3:$K$3001,$G101)&gt;1,"基金整体·来源"&amp;原始经营数据!$A102,"基金整体")))</f>
        <v>杭州西溪印象城</v>
      </c>
      <c r="J101" t="str">
        <f t="shared" si="18"/>
        <v>季度</v>
      </c>
      <c r="K101" t="str">
        <f t="shared" si="19"/>
        <v>期末出租率（%）</v>
      </c>
      <c r="L101" t="str">
        <f t="shared" si="20"/>
        <v>杭州西溪印象城|期末出租率（%）|季度</v>
      </c>
      <c r="M101">
        <f>IF($A101="",0,IF(COUNTIF($L$2:$L101,$L101)=1,1,0))</f>
        <v>1</v>
      </c>
      <c r="N101">
        <f t="shared" si="21"/>
        <v>20242</v>
      </c>
      <c r="O101" t="str">
        <f t="shared" si="22"/>
        <v>中金印力消费基础设施封闭式基础设施证券投资基金|2024Q2|季度</v>
      </c>
      <c r="P101">
        <f>IF($A101="",0,IF(COUNTIF($O$2:$O101,$O101)=1,1,0))</f>
        <v>0</v>
      </c>
      <c r="Q101" t="str">
        <f>IF(AND($P101=1,$A101=经营数据!$B$3,$J101=经营数据!$BA$5),COUNTIFS($P$2:$P$3000,1,$A$2:$A$3000,$A101,$J$2:$J$3000,$J101,$N$2:$N$3000,"&lt;"&amp;$N101)+1,"")</f>
        <v/>
      </c>
      <c r="R101" t="str">
        <f t="shared" si="23"/>
        <v>中金印力消费基础设施封闭式基础设施证券投资基金|杭州西溪印象城</v>
      </c>
      <c r="S101">
        <f>IF($A101="",0,IF(COUNTIF($R$2:$R101,$R101)=1,1,0))</f>
        <v>0</v>
      </c>
      <c r="T101">
        <f t="shared" si="24"/>
        <v>95</v>
      </c>
      <c r="U101" t="str">
        <f>IF($A101="","",IF($A101=经营数据!$B$3,COUNTIFS($S$2:$S$3000,1,$A$2:$A$3000,$A101,$T$2:$T$3000,"&lt;"&amp;$T101)+1,""))</f>
        <v/>
      </c>
      <c r="V101" t="str">
        <f t="shared" si="25"/>
        <v>杭州西溪印象城|服务效率</v>
      </c>
      <c r="W101">
        <f t="shared" si="26"/>
        <v>98</v>
      </c>
      <c r="X101" t="str">
        <f t="shared" si="27"/>
        <v>杭州西溪印象城|期末出租率</v>
      </c>
      <c r="Y101">
        <f t="shared" si="28"/>
        <v>100</v>
      </c>
      <c r="Z101">
        <f>IF($A101="",0,IF(AND($M101=1,$A101=经营数据!$B$3,$J101=经营数据!$BA$5,OR($I101=经营数据!$BA$4,COUNTIF(经营数据!$AA$9:$AA$38,$I101)&gt;0)),1,0))</f>
        <v>0</v>
      </c>
      <c r="AA101" t="str">
        <f t="shared" si="29"/>
        <v/>
      </c>
      <c r="AB101" t="str">
        <f t="shared" si="30"/>
        <v/>
      </c>
      <c r="AC101">
        <f>IF($A101="",0,IF(COUNTIF($A$2:$A101,$A101)=1,1,0))</f>
        <v>0</v>
      </c>
      <c r="AD101">
        <f t="shared" si="31"/>
        <v>2</v>
      </c>
      <c r="AE101" t="str">
        <f t="shared" si="32"/>
        <v>杭州西溪印象城|期末出租率（%）</v>
      </c>
      <c r="BA101" t="s">
        <v>5363</v>
      </c>
      <c r="BB101" t="s">
        <v>5364</v>
      </c>
      <c r="BP101" s="47">
        <v>45510</v>
      </c>
      <c r="BQ101" s="29">
        <v>5.2178734650046257E-2</v>
      </c>
    </row>
    <row r="102" spans="1:69" x14ac:dyDescent="0.4">
      <c r="A102" t="str">
        <f>IF(原始经营数据!$D103="","",原始经营数据!$D103)</f>
        <v>中金印力消费基础设施封闭式基础设施证券投资基金</v>
      </c>
      <c r="B102" t="str">
        <f>IF(原始经营数据!$D103="","",T(原始经营数据!$E103))</f>
        <v>杭州西溪印象城</v>
      </c>
      <c r="C102" t="str">
        <f>IF(原始经营数据!$D103="","",原始经营数据!$F103)</f>
        <v>2024Q2</v>
      </c>
      <c r="D102" t="str">
        <f>IF(原始经营数据!$D103="","",原始经营数据!$H103)</f>
        <v>期内租金单价水平</v>
      </c>
      <c r="E102">
        <f>IF(原始经营数据!$D103="","",原始经营数据!$I103)</f>
        <v>246.02</v>
      </c>
      <c r="F102" t="str">
        <f>IF(原始经营数据!$D103="","",T(原始经营数据!$J103))</f>
        <v>元/平方米/月</v>
      </c>
      <c r="G102" t="str">
        <f>IF(原始经营数据!$D103="","",T(原始经营数据!$K103))</f>
        <v/>
      </c>
      <c r="H102" t="str">
        <f>IF(原始经营数据!$D103="","",原始经营数据!$G103)</f>
        <v>服务价格</v>
      </c>
      <c r="I102" t="str">
        <f>IF($A102="","",IF($B102&lt;&gt;"",$B102,IF(COUNTIFS(原始经营数据!$D$3:$D$3001,$A102,原始经营数据!$E$3:$E$3001,"",原始经营数据!$F$3:$F$3001,$C102,原始经营数据!$H$3:$H$3001,$D102,原始经营数据!$K$3:$K$3001,$G102)&gt;1,"基金整体·来源"&amp;原始经营数据!$A103,"基金整体")))</f>
        <v>杭州西溪印象城</v>
      </c>
      <c r="J102" t="str">
        <f t="shared" si="18"/>
        <v>季度</v>
      </c>
      <c r="K102" t="str">
        <f t="shared" si="19"/>
        <v>期内租金单价水平（元/平方米/月）</v>
      </c>
      <c r="L102" t="str">
        <f t="shared" si="20"/>
        <v>杭州西溪印象城|期内租金单价水平（元/平方米/月）|季度</v>
      </c>
      <c r="M102">
        <f>IF($A102="",0,IF(COUNTIF($L$2:$L102,$L102)=1,1,0))</f>
        <v>1</v>
      </c>
      <c r="N102">
        <f t="shared" si="21"/>
        <v>20242</v>
      </c>
      <c r="O102" t="str">
        <f t="shared" si="22"/>
        <v>中金印力消费基础设施封闭式基础设施证券投资基金|2024Q2|季度</v>
      </c>
      <c r="P102">
        <f>IF($A102="",0,IF(COUNTIF($O$2:$O102,$O102)=1,1,0))</f>
        <v>0</v>
      </c>
      <c r="Q102" t="str">
        <f>IF(AND($P102=1,$A102=经营数据!$B$3,$J102=经营数据!$BA$5),COUNTIFS($P$2:$P$3000,1,$A$2:$A$3000,$A102,$J$2:$J$3000,$J102,$N$2:$N$3000,"&lt;"&amp;$N102)+1,"")</f>
        <v/>
      </c>
      <c r="R102" t="str">
        <f t="shared" si="23"/>
        <v>中金印力消费基础设施封闭式基础设施证券投资基金|杭州西溪印象城</v>
      </c>
      <c r="S102">
        <f>IF($A102="",0,IF(COUNTIF($R$2:$R102,$R102)=1,1,0))</f>
        <v>0</v>
      </c>
      <c r="T102">
        <f t="shared" si="24"/>
        <v>95</v>
      </c>
      <c r="U102" t="str">
        <f>IF($A102="","",IF($A102=经营数据!$B$3,COUNTIFS($S$2:$S$3000,1,$A$2:$A$3000,$A102,$T$2:$T$3000,"&lt;"&amp;$T102)+1,""))</f>
        <v/>
      </c>
      <c r="V102" t="str">
        <f t="shared" si="25"/>
        <v>杭州西溪印象城|服务价格</v>
      </c>
      <c r="W102">
        <f t="shared" si="26"/>
        <v>95</v>
      </c>
      <c r="X102" t="str">
        <f t="shared" si="27"/>
        <v>杭州西溪印象城|期内租金单价水平</v>
      </c>
      <c r="Y102">
        <f t="shared" si="28"/>
        <v>101</v>
      </c>
      <c r="Z102">
        <f>IF($A102="",0,IF(AND($M102=1,$A102=经营数据!$B$3,$J102=经营数据!$BA$5,OR($I102=经营数据!$BA$4,COUNTIF(经营数据!$AA$9:$AA$38,$I102)&gt;0)),1,0))</f>
        <v>0</v>
      </c>
      <c r="AA102" t="str">
        <f t="shared" si="29"/>
        <v/>
      </c>
      <c r="AB102" t="str">
        <f t="shared" si="30"/>
        <v/>
      </c>
      <c r="AC102">
        <f>IF($A102="",0,IF(COUNTIF($A$2:$A102,$A102)=1,1,0))</f>
        <v>0</v>
      </c>
      <c r="AD102">
        <f t="shared" si="31"/>
        <v>2</v>
      </c>
      <c r="AE102" t="str">
        <f t="shared" si="32"/>
        <v>杭州西溪印象城|期内租金单价水平（元/平方米/月）</v>
      </c>
      <c r="BA102" t="s">
        <v>5365</v>
      </c>
      <c r="BB102" t="s">
        <v>5366</v>
      </c>
      <c r="BP102" s="47">
        <v>45511</v>
      </c>
      <c r="BQ102" s="29">
        <v>5.0560951934312211E-2</v>
      </c>
    </row>
    <row r="103" spans="1:69" x14ac:dyDescent="0.4">
      <c r="A103" t="str">
        <f>IF(原始经营数据!$D104="","",原始经营数据!$D104)</f>
        <v>中金印力消费基础设施封闭式基础设施证券投资基金</v>
      </c>
      <c r="B103" t="str">
        <f>IF(原始经营数据!$D104="","",T(原始经营数据!$E104))</f>
        <v>杭州西溪印象城</v>
      </c>
      <c r="C103" t="str">
        <f>IF(原始经营数据!$D104="","",原始经营数据!$F104)</f>
        <v>2024Q3</v>
      </c>
      <c r="D103" t="str">
        <f>IF(原始经营数据!$D104="","",原始经营数据!$H104)</f>
        <v>期内租金单价水平</v>
      </c>
      <c r="E103">
        <f>IF(原始经营数据!$D104="","",原始经营数据!$I104)</f>
        <v>250.34</v>
      </c>
      <c r="F103" t="str">
        <f>IF(原始经营数据!$D104="","",T(原始经营数据!$J104))</f>
        <v>元/平方米/月</v>
      </c>
      <c r="G103" t="str">
        <f>IF(原始经营数据!$D104="","",T(原始经营数据!$K104))</f>
        <v/>
      </c>
      <c r="H103" t="str">
        <f>IF(原始经营数据!$D104="","",原始经营数据!$G104)</f>
        <v>服务价格</v>
      </c>
      <c r="I103" t="str">
        <f>IF($A103="","",IF($B103&lt;&gt;"",$B103,IF(COUNTIFS(原始经营数据!$D$3:$D$3001,$A103,原始经营数据!$E$3:$E$3001,"",原始经营数据!$F$3:$F$3001,$C103,原始经营数据!$H$3:$H$3001,$D103,原始经营数据!$K$3:$K$3001,$G103)&gt;1,"基金整体·来源"&amp;原始经营数据!$A104,"基金整体")))</f>
        <v>杭州西溪印象城</v>
      </c>
      <c r="J103" t="str">
        <f t="shared" si="18"/>
        <v>季度</v>
      </c>
      <c r="K103" t="str">
        <f t="shared" si="19"/>
        <v>期内租金单价水平（元/平方米/月）</v>
      </c>
      <c r="L103" t="str">
        <f t="shared" si="20"/>
        <v>杭州西溪印象城|期内租金单价水平（元/平方米/月）|季度</v>
      </c>
      <c r="M103">
        <f>IF($A103="",0,IF(COUNTIF($L$2:$L103,$L103)=1,1,0))</f>
        <v>0</v>
      </c>
      <c r="N103">
        <f t="shared" si="21"/>
        <v>20243</v>
      </c>
      <c r="O103" t="str">
        <f t="shared" si="22"/>
        <v>中金印力消费基础设施封闭式基础设施证券投资基金|2024Q3|季度</v>
      </c>
      <c r="P103">
        <f>IF($A103="",0,IF(COUNTIF($O$2:$O103,$O103)=1,1,0))</f>
        <v>1</v>
      </c>
      <c r="Q103" t="str">
        <f>IF(AND($P103=1,$A103=经营数据!$B$3,$J103=经营数据!$BA$5),COUNTIFS($P$2:$P$3000,1,$A$2:$A$3000,$A103,$J$2:$J$3000,$J103,$N$2:$N$3000,"&lt;"&amp;$N103)+1,"")</f>
        <v/>
      </c>
      <c r="R103" t="str">
        <f t="shared" si="23"/>
        <v>中金印力消费基础设施封闭式基础设施证券投资基金|杭州西溪印象城</v>
      </c>
      <c r="S103">
        <f>IF($A103="",0,IF(COUNTIF($R$2:$R103,$R103)=1,1,0))</f>
        <v>0</v>
      </c>
      <c r="T103">
        <f t="shared" si="24"/>
        <v>95</v>
      </c>
      <c r="U103" t="str">
        <f>IF($A103="","",IF($A103=经营数据!$B$3,COUNTIFS($S$2:$S$3000,1,$A$2:$A$3000,$A103,$T$2:$T$3000,"&lt;"&amp;$T103)+1,""))</f>
        <v/>
      </c>
      <c r="V103" t="str">
        <f t="shared" si="25"/>
        <v>杭州西溪印象城|服务价格</v>
      </c>
      <c r="W103">
        <f t="shared" si="26"/>
        <v>95</v>
      </c>
      <c r="X103" t="str">
        <f t="shared" si="27"/>
        <v>杭州西溪印象城|期内租金单价水平</v>
      </c>
      <c r="Y103">
        <f t="shared" si="28"/>
        <v>101</v>
      </c>
      <c r="Z103">
        <f>IF($A103="",0,IF(AND($M103=1,$A103=经营数据!$B$3,$J103=经营数据!$BA$5,OR($I103=经营数据!$BA$4,COUNTIF(经营数据!$AA$9:$AA$38,$I103)&gt;0)),1,0))</f>
        <v>0</v>
      </c>
      <c r="AA103" t="str">
        <f t="shared" si="29"/>
        <v/>
      </c>
      <c r="AB103" t="str">
        <f t="shared" si="30"/>
        <v/>
      </c>
      <c r="AC103">
        <f>IF($A103="",0,IF(COUNTIF($A$2:$A103,$A103)=1,1,0))</f>
        <v>0</v>
      </c>
      <c r="AD103">
        <f t="shared" si="31"/>
        <v>2</v>
      </c>
      <c r="AE103" t="str">
        <f t="shared" si="32"/>
        <v>杭州西溪印象城|期内租金单价水平（元/平方米/月）</v>
      </c>
      <c r="BA103" t="s">
        <v>5367</v>
      </c>
      <c r="BB103" t="s">
        <v>5368</v>
      </c>
      <c r="BP103" s="47">
        <v>45512</v>
      </c>
      <c r="BQ103" s="29">
        <v>5.1002394607888989E-2</v>
      </c>
    </row>
    <row r="104" spans="1:69" x14ac:dyDescent="0.4">
      <c r="A104" t="str">
        <f>IF(原始经营数据!$D105="","",原始经营数据!$D105)</f>
        <v>中金印力消费基础设施封闭式基础设施证券投资基金</v>
      </c>
      <c r="B104" t="str">
        <f>IF(原始经营数据!$D105="","",T(原始经营数据!$E105))</f>
        <v>杭州西溪印象城</v>
      </c>
      <c r="C104" t="str">
        <f>IF(原始经营数据!$D105="","",原始经营数据!$F105)</f>
        <v>2024Q3</v>
      </c>
      <c r="D104" t="str">
        <f>IF(原始经营数据!$D105="","",原始经营数据!$H105)</f>
        <v>期末出租率</v>
      </c>
      <c r="E104">
        <f>IF(原始经营数据!$D105="","",原始经营数据!$I105)</f>
        <v>98.98</v>
      </c>
      <c r="F104" t="str">
        <f>IF(原始经营数据!$D105="","",T(原始经营数据!$J105))</f>
        <v>%</v>
      </c>
      <c r="G104" t="str">
        <f>IF(原始经营数据!$D105="","",T(原始经营数据!$K105))</f>
        <v/>
      </c>
      <c r="H104" t="str">
        <f>IF(原始经营数据!$D105="","",原始经营数据!$G105)</f>
        <v>服务效率</v>
      </c>
      <c r="I104" t="str">
        <f>IF($A104="","",IF($B104&lt;&gt;"",$B104,IF(COUNTIFS(原始经营数据!$D$3:$D$3001,$A104,原始经营数据!$E$3:$E$3001,"",原始经营数据!$F$3:$F$3001,$C104,原始经营数据!$H$3:$H$3001,$D104,原始经营数据!$K$3:$K$3001,$G104)&gt;1,"基金整体·来源"&amp;原始经营数据!$A105,"基金整体")))</f>
        <v>杭州西溪印象城</v>
      </c>
      <c r="J104" t="str">
        <f t="shared" si="18"/>
        <v>季度</v>
      </c>
      <c r="K104" t="str">
        <f t="shared" si="19"/>
        <v>期末出租率（%）</v>
      </c>
      <c r="L104" t="str">
        <f t="shared" si="20"/>
        <v>杭州西溪印象城|期末出租率（%）|季度</v>
      </c>
      <c r="M104">
        <f>IF($A104="",0,IF(COUNTIF($L$2:$L104,$L104)=1,1,0))</f>
        <v>0</v>
      </c>
      <c r="N104">
        <f t="shared" si="21"/>
        <v>20243</v>
      </c>
      <c r="O104" t="str">
        <f t="shared" si="22"/>
        <v>中金印力消费基础设施封闭式基础设施证券投资基金|2024Q3|季度</v>
      </c>
      <c r="P104">
        <f>IF($A104="",0,IF(COUNTIF($O$2:$O104,$O104)=1,1,0))</f>
        <v>0</v>
      </c>
      <c r="Q104" t="str">
        <f>IF(AND($P104=1,$A104=经营数据!$B$3,$J104=经营数据!$BA$5),COUNTIFS($P$2:$P$3000,1,$A$2:$A$3000,$A104,$J$2:$J$3000,$J104,$N$2:$N$3000,"&lt;"&amp;$N104)+1,"")</f>
        <v/>
      </c>
      <c r="R104" t="str">
        <f t="shared" si="23"/>
        <v>中金印力消费基础设施封闭式基础设施证券投资基金|杭州西溪印象城</v>
      </c>
      <c r="S104">
        <f>IF($A104="",0,IF(COUNTIF($R$2:$R104,$R104)=1,1,0))</f>
        <v>0</v>
      </c>
      <c r="T104">
        <f t="shared" si="24"/>
        <v>95</v>
      </c>
      <c r="U104" t="str">
        <f>IF($A104="","",IF($A104=经营数据!$B$3,COUNTIFS($S$2:$S$3000,1,$A$2:$A$3000,$A104,$T$2:$T$3000,"&lt;"&amp;$T104)+1,""))</f>
        <v/>
      </c>
      <c r="V104" t="str">
        <f t="shared" si="25"/>
        <v>杭州西溪印象城|服务效率</v>
      </c>
      <c r="W104">
        <f t="shared" si="26"/>
        <v>98</v>
      </c>
      <c r="X104" t="str">
        <f t="shared" si="27"/>
        <v>杭州西溪印象城|期末出租率</v>
      </c>
      <c r="Y104">
        <f t="shared" si="28"/>
        <v>100</v>
      </c>
      <c r="Z104">
        <f>IF($A104="",0,IF(AND($M104=1,$A104=经营数据!$B$3,$J104=经营数据!$BA$5,OR($I104=经营数据!$BA$4,COUNTIF(经营数据!$AA$9:$AA$38,$I104)&gt;0)),1,0))</f>
        <v>0</v>
      </c>
      <c r="AA104" t="str">
        <f t="shared" si="29"/>
        <v/>
      </c>
      <c r="AB104" t="str">
        <f t="shared" si="30"/>
        <v/>
      </c>
      <c r="AC104">
        <f>IF($A104="",0,IF(COUNTIF($A$2:$A104,$A104)=1,1,0))</f>
        <v>0</v>
      </c>
      <c r="AD104">
        <f t="shared" si="31"/>
        <v>2</v>
      </c>
      <c r="AE104" t="str">
        <f t="shared" si="32"/>
        <v>杭州西溪印象城|期末出租率（%）</v>
      </c>
      <c r="BA104" t="s">
        <v>5369</v>
      </c>
      <c r="BB104" t="s">
        <v>5370</v>
      </c>
      <c r="BP104" s="47">
        <v>45513</v>
      </c>
      <c r="BQ104" s="29">
        <v>5.1232437357482917E-2</v>
      </c>
    </row>
    <row r="105" spans="1:69" x14ac:dyDescent="0.4">
      <c r="A105" t="str">
        <f>IF(原始经营数据!$D106="","",原始经营数据!$D106)</f>
        <v>中金印力消费基础设施封闭式基础设施证券投资基金</v>
      </c>
      <c r="B105" t="str">
        <f>IF(原始经营数据!$D106="","",T(原始经营数据!$E106))</f>
        <v>杭州西溪印象城</v>
      </c>
      <c r="C105" t="str">
        <f>IF(原始经营数据!$D106="","",原始经营数据!$F106)</f>
        <v>2024Q3</v>
      </c>
      <c r="D105" t="str">
        <f>IF(原始经营数据!$D106="","",原始经营数据!$H106)</f>
        <v>期末剩余租期情况</v>
      </c>
      <c r="E105">
        <f>IF(原始经营数据!$D106="","",原始经营数据!$I106)</f>
        <v>3.67</v>
      </c>
      <c r="F105" t="str">
        <f>IF(原始经营数据!$D106="","",T(原始经营数据!$J106))</f>
        <v>年</v>
      </c>
      <c r="G105" t="str">
        <f>IF(原始经营数据!$D106="","",T(原始经营数据!$K106))</f>
        <v/>
      </c>
      <c r="H105" t="str">
        <f>IF(原始经营数据!$D106="","",原始经营数据!$G106)</f>
        <v>服务量</v>
      </c>
      <c r="I105" t="str">
        <f>IF($A105="","",IF($B105&lt;&gt;"",$B105,IF(COUNTIFS(原始经营数据!$D$3:$D$3001,$A105,原始经营数据!$E$3:$E$3001,"",原始经营数据!$F$3:$F$3001,$C105,原始经营数据!$H$3:$H$3001,$D105,原始经营数据!$K$3:$K$3001,$G105)&gt;1,"基金整体·来源"&amp;原始经营数据!$A106,"基金整体")))</f>
        <v>杭州西溪印象城</v>
      </c>
      <c r="J105" t="str">
        <f t="shared" si="18"/>
        <v>季度</v>
      </c>
      <c r="K105" t="str">
        <f t="shared" si="19"/>
        <v>期末剩余租期情况（年）</v>
      </c>
      <c r="L105" t="str">
        <f t="shared" si="20"/>
        <v>杭州西溪印象城|期末剩余租期情况（年）|季度</v>
      </c>
      <c r="M105">
        <f>IF($A105="",0,IF(COUNTIF($L$2:$L105,$L105)=1,1,0))</f>
        <v>0</v>
      </c>
      <c r="N105">
        <f t="shared" si="21"/>
        <v>20243</v>
      </c>
      <c r="O105" t="str">
        <f t="shared" si="22"/>
        <v>中金印力消费基础设施封闭式基础设施证券投资基金|2024Q3|季度</v>
      </c>
      <c r="P105">
        <f>IF($A105="",0,IF(COUNTIF($O$2:$O105,$O105)=1,1,0))</f>
        <v>0</v>
      </c>
      <c r="Q105" t="str">
        <f>IF(AND($P105=1,$A105=经营数据!$B$3,$J105=经营数据!$BA$5),COUNTIFS($P$2:$P$3000,1,$A$2:$A$3000,$A105,$J$2:$J$3000,$J105,$N$2:$N$3000,"&lt;"&amp;$N105)+1,"")</f>
        <v/>
      </c>
      <c r="R105" t="str">
        <f t="shared" si="23"/>
        <v>中金印力消费基础设施封闭式基础设施证券投资基金|杭州西溪印象城</v>
      </c>
      <c r="S105">
        <f>IF($A105="",0,IF(COUNTIF($R$2:$R105,$R105)=1,1,0))</f>
        <v>0</v>
      </c>
      <c r="T105">
        <f t="shared" si="24"/>
        <v>95</v>
      </c>
      <c r="U105" t="str">
        <f>IF($A105="","",IF($A105=经营数据!$B$3,COUNTIFS($S$2:$S$3000,1,$A$2:$A$3000,$A105,$T$2:$T$3000,"&lt;"&amp;$T105)+1,""))</f>
        <v/>
      </c>
      <c r="V105" t="str">
        <f t="shared" si="25"/>
        <v>杭州西溪印象城|服务量</v>
      </c>
      <c r="W105">
        <f t="shared" si="26"/>
        <v>96</v>
      </c>
      <c r="X105" t="str">
        <f t="shared" si="27"/>
        <v>杭州西溪印象城|期末剩余租期情况</v>
      </c>
      <c r="Y105">
        <f t="shared" si="28"/>
        <v>99</v>
      </c>
      <c r="Z105">
        <f>IF($A105="",0,IF(AND($M105=1,$A105=经营数据!$B$3,$J105=经营数据!$BA$5,OR($I105=经营数据!$BA$4,COUNTIF(经营数据!$AA$9:$AA$38,$I105)&gt;0)),1,0))</f>
        <v>0</v>
      </c>
      <c r="AA105" t="str">
        <f t="shared" si="29"/>
        <v/>
      </c>
      <c r="AB105" t="str">
        <f t="shared" si="30"/>
        <v/>
      </c>
      <c r="AC105">
        <f>IF($A105="",0,IF(COUNTIF($A$2:$A105,$A105)=1,1,0))</f>
        <v>0</v>
      </c>
      <c r="AD105">
        <f t="shared" si="31"/>
        <v>2</v>
      </c>
      <c r="AE105" t="str">
        <f t="shared" si="32"/>
        <v>杭州西溪印象城|期末剩余租期情况（年）</v>
      </c>
      <c r="BA105" t="s">
        <v>5371</v>
      </c>
      <c r="BB105" t="s">
        <v>5372</v>
      </c>
      <c r="BP105" s="47">
        <v>45516</v>
      </c>
      <c r="BQ105" s="29">
        <v>5.1353075102037612E-2</v>
      </c>
    </row>
    <row r="106" spans="1:69" x14ac:dyDescent="0.4">
      <c r="A106" t="str">
        <f>IF(原始经营数据!$D107="","",原始经营数据!$D107)</f>
        <v>中金印力消费基础设施封闭式基础设施证券投资基金</v>
      </c>
      <c r="B106" t="str">
        <f>IF(原始经营数据!$D107="","",T(原始经营数据!$E107))</f>
        <v>杭州西溪印象城</v>
      </c>
      <c r="C106" t="str">
        <f>IF(原始经营数据!$D107="","",原始经营数据!$F107)</f>
        <v>2024Q3</v>
      </c>
      <c r="D106" t="str">
        <f>IF(原始经营数据!$D107="","",原始经营数据!$H107)</f>
        <v>期末租金收缴率</v>
      </c>
      <c r="E106">
        <f>IF(原始经营数据!$D107="","",原始经营数据!$I107)</f>
        <v>99.6</v>
      </c>
      <c r="F106" t="str">
        <f>IF(原始经营数据!$D107="","",T(原始经营数据!$J107))</f>
        <v>%</v>
      </c>
      <c r="G106" t="str">
        <f>IF(原始经营数据!$D107="","",T(原始经营数据!$K107))</f>
        <v/>
      </c>
      <c r="H106" t="str">
        <f>IF(原始经营数据!$D107="","",原始经营数据!$G107)</f>
        <v>服务效率</v>
      </c>
      <c r="I106" t="str">
        <f>IF($A106="","",IF($B106&lt;&gt;"",$B106,IF(COUNTIFS(原始经营数据!$D$3:$D$3001,$A106,原始经营数据!$E$3:$E$3001,"",原始经营数据!$F$3:$F$3001,$C106,原始经营数据!$H$3:$H$3001,$D106,原始经营数据!$K$3:$K$3001,$G106)&gt;1,"基金整体·来源"&amp;原始经营数据!$A107,"基金整体")))</f>
        <v>杭州西溪印象城</v>
      </c>
      <c r="J106" t="str">
        <f t="shared" si="18"/>
        <v>季度</v>
      </c>
      <c r="K106" t="str">
        <f t="shared" si="19"/>
        <v>期末租金收缴率（%）</v>
      </c>
      <c r="L106" t="str">
        <f t="shared" si="20"/>
        <v>杭州西溪印象城|期末租金收缴率（%）|季度</v>
      </c>
      <c r="M106">
        <f>IF($A106="",0,IF(COUNTIF($L$2:$L106,$L106)=1,1,0))</f>
        <v>0</v>
      </c>
      <c r="N106">
        <f t="shared" si="21"/>
        <v>20243</v>
      </c>
      <c r="O106" t="str">
        <f t="shared" si="22"/>
        <v>中金印力消费基础设施封闭式基础设施证券投资基金|2024Q3|季度</v>
      </c>
      <c r="P106">
        <f>IF($A106="",0,IF(COUNTIF($O$2:$O106,$O106)=1,1,0))</f>
        <v>0</v>
      </c>
      <c r="Q106" t="str">
        <f>IF(AND($P106=1,$A106=经营数据!$B$3,$J106=经营数据!$BA$5),COUNTIFS($P$2:$P$3000,1,$A$2:$A$3000,$A106,$J$2:$J$3000,$J106,$N$2:$N$3000,"&lt;"&amp;$N106)+1,"")</f>
        <v/>
      </c>
      <c r="R106" t="str">
        <f t="shared" si="23"/>
        <v>中金印力消费基础设施封闭式基础设施证券投资基金|杭州西溪印象城</v>
      </c>
      <c r="S106">
        <f>IF($A106="",0,IF(COUNTIF($R$2:$R106,$R106)=1,1,0))</f>
        <v>0</v>
      </c>
      <c r="T106">
        <f t="shared" si="24"/>
        <v>95</v>
      </c>
      <c r="U106" t="str">
        <f>IF($A106="","",IF($A106=经营数据!$B$3,COUNTIFS($S$2:$S$3000,1,$A$2:$A$3000,$A106,$T$2:$T$3000,"&lt;"&amp;$T106)+1,""))</f>
        <v/>
      </c>
      <c r="V106" t="str">
        <f t="shared" si="25"/>
        <v>杭州西溪印象城|服务效率</v>
      </c>
      <c r="W106">
        <f t="shared" si="26"/>
        <v>98</v>
      </c>
      <c r="X106" t="str">
        <f t="shared" si="27"/>
        <v>杭州西溪印象城|期末租金收缴率</v>
      </c>
      <c r="Y106">
        <f t="shared" si="28"/>
        <v>98</v>
      </c>
      <c r="Z106">
        <f>IF($A106="",0,IF(AND($M106=1,$A106=经营数据!$B$3,$J106=经营数据!$BA$5,OR($I106=经营数据!$BA$4,COUNTIF(经营数据!$AA$9:$AA$38,$I106)&gt;0)),1,0))</f>
        <v>0</v>
      </c>
      <c r="AA106" t="str">
        <f t="shared" si="29"/>
        <v/>
      </c>
      <c r="AB106" t="str">
        <f t="shared" si="30"/>
        <v/>
      </c>
      <c r="AC106">
        <f>IF($A106="",0,IF(COUNTIF($A$2:$A106,$A106)=1,1,0))</f>
        <v>0</v>
      </c>
      <c r="AD106">
        <f t="shared" si="31"/>
        <v>2</v>
      </c>
      <c r="AE106" t="str">
        <f t="shared" si="32"/>
        <v>杭州西溪印象城|期末租金收缴率（%）</v>
      </c>
      <c r="BA106" t="s">
        <v>5373</v>
      </c>
      <c r="BB106" t="s">
        <v>5374</v>
      </c>
      <c r="BP106" s="47">
        <v>45517</v>
      </c>
      <c r="BQ106" s="29">
        <v>5.1508322943630919E-2</v>
      </c>
    </row>
    <row r="107" spans="1:69" x14ac:dyDescent="0.4">
      <c r="A107" t="str">
        <f>IF(原始经营数据!$D108="","",原始经营数据!$D108)</f>
        <v>中金印力消费基础设施封闭式基础设施证券投资基金</v>
      </c>
      <c r="B107" t="str">
        <f>IF(原始经营数据!$D108="","",T(原始经营数据!$E108))</f>
        <v>杭州西溪印象城</v>
      </c>
      <c r="C107" t="str">
        <f>IF(原始经营数据!$D108="","",原始经营数据!$F108)</f>
        <v>2024Q3</v>
      </c>
      <c r="D107" t="str">
        <f>IF(原始经营数据!$D108="","",原始经营数据!$H108)</f>
        <v>期末实际出租面积</v>
      </c>
      <c r="E107">
        <f>IF(原始经营数据!$D108="","",原始经营数据!$I108)</f>
        <v>98929.69</v>
      </c>
      <c r="F107" t="str">
        <f>IF(原始经营数据!$D108="","",T(原始经营数据!$J108))</f>
        <v>平方米</v>
      </c>
      <c r="G107" t="str">
        <f>IF(原始经营数据!$D108="","",T(原始经营数据!$K108))</f>
        <v/>
      </c>
      <c r="H107" t="str">
        <f>IF(原始经营数据!$D108="","",原始经营数据!$G108)</f>
        <v>服务量</v>
      </c>
      <c r="I107" t="str">
        <f>IF($A107="","",IF($B107&lt;&gt;"",$B107,IF(COUNTIFS(原始经营数据!$D$3:$D$3001,$A107,原始经营数据!$E$3:$E$3001,"",原始经营数据!$F$3:$F$3001,$C107,原始经营数据!$H$3:$H$3001,$D107,原始经营数据!$K$3:$K$3001,$G107)&gt;1,"基金整体·来源"&amp;原始经营数据!$A108,"基金整体")))</f>
        <v>杭州西溪印象城</v>
      </c>
      <c r="J107" t="str">
        <f t="shared" si="18"/>
        <v>季度</v>
      </c>
      <c r="K107" t="str">
        <f t="shared" si="19"/>
        <v>期末实际出租面积（平方米）</v>
      </c>
      <c r="L107" t="str">
        <f t="shared" si="20"/>
        <v>杭州西溪印象城|期末实际出租面积（平方米）|季度</v>
      </c>
      <c r="M107">
        <f>IF($A107="",0,IF(COUNTIF($L$2:$L107,$L107)=1,1,0))</f>
        <v>0</v>
      </c>
      <c r="N107">
        <f t="shared" si="21"/>
        <v>20243</v>
      </c>
      <c r="O107" t="str">
        <f t="shared" si="22"/>
        <v>中金印力消费基础设施封闭式基础设施证券投资基金|2024Q3|季度</v>
      </c>
      <c r="P107">
        <f>IF($A107="",0,IF(COUNTIF($O$2:$O107,$O107)=1,1,0))</f>
        <v>0</v>
      </c>
      <c r="Q107" t="str">
        <f>IF(AND($P107=1,$A107=经营数据!$B$3,$J107=经营数据!$BA$5),COUNTIFS($P$2:$P$3000,1,$A$2:$A$3000,$A107,$J$2:$J$3000,$J107,$N$2:$N$3000,"&lt;"&amp;$N107)+1,"")</f>
        <v/>
      </c>
      <c r="R107" t="str">
        <f t="shared" si="23"/>
        <v>中金印力消费基础设施封闭式基础设施证券投资基金|杭州西溪印象城</v>
      </c>
      <c r="S107">
        <f>IF($A107="",0,IF(COUNTIF($R$2:$R107,$R107)=1,1,0))</f>
        <v>0</v>
      </c>
      <c r="T107">
        <f t="shared" si="24"/>
        <v>95</v>
      </c>
      <c r="U107" t="str">
        <f>IF($A107="","",IF($A107=经营数据!$B$3,COUNTIFS($S$2:$S$3000,1,$A$2:$A$3000,$A107,$T$2:$T$3000,"&lt;"&amp;$T107)+1,""))</f>
        <v/>
      </c>
      <c r="V107" t="str">
        <f t="shared" si="25"/>
        <v>杭州西溪印象城|服务量</v>
      </c>
      <c r="W107">
        <f t="shared" si="26"/>
        <v>96</v>
      </c>
      <c r="X107" t="str">
        <f t="shared" si="27"/>
        <v>杭州西溪印象城|期末实际出租面积</v>
      </c>
      <c r="Y107">
        <f t="shared" si="28"/>
        <v>97</v>
      </c>
      <c r="Z107">
        <f>IF($A107="",0,IF(AND($M107=1,$A107=经营数据!$B$3,$J107=经营数据!$BA$5,OR($I107=经营数据!$BA$4,COUNTIF(经营数据!$AA$9:$AA$38,$I107)&gt;0)),1,0))</f>
        <v>0</v>
      </c>
      <c r="AA107" t="str">
        <f t="shared" si="29"/>
        <v/>
      </c>
      <c r="AB107" t="str">
        <f t="shared" si="30"/>
        <v/>
      </c>
      <c r="AC107">
        <f>IF($A107="",0,IF(COUNTIF($A$2:$A107,$A107)=1,1,0))</f>
        <v>0</v>
      </c>
      <c r="AD107">
        <f t="shared" si="31"/>
        <v>2</v>
      </c>
      <c r="AE107" t="str">
        <f t="shared" si="32"/>
        <v>杭州西溪印象城|期末实际出租面积（平方米）</v>
      </c>
      <c r="BA107" t="s">
        <v>5375</v>
      </c>
      <c r="BB107" t="s">
        <v>5376</v>
      </c>
      <c r="BP107" s="47">
        <v>45518</v>
      </c>
      <c r="BQ107" s="29">
        <v>5.1589553542816587E-2</v>
      </c>
    </row>
    <row r="108" spans="1:69" x14ac:dyDescent="0.4">
      <c r="A108" t="str">
        <f>IF(原始经营数据!$D109="","",原始经营数据!$D109)</f>
        <v>中金印力消费基础设施封闭式基础设施证券投资基金</v>
      </c>
      <c r="B108" t="str">
        <f>IF(原始经营数据!$D109="","",T(原始经营数据!$E109))</f>
        <v>杭州西溪印象城</v>
      </c>
      <c r="C108" t="str">
        <f>IF(原始经营数据!$D109="","",原始经营数据!$F109)</f>
        <v>2024Q3</v>
      </c>
      <c r="D108" t="str">
        <f>IF(原始经营数据!$D109="","",原始经营数据!$H109)</f>
        <v>期末可供出租面积</v>
      </c>
      <c r="E108">
        <f>IF(原始经营数据!$D109="","",原始经营数据!$I109)</f>
        <v>99945.33</v>
      </c>
      <c r="F108" t="str">
        <f>IF(原始经营数据!$D109="","",T(原始经营数据!$J109))</f>
        <v>平方米</v>
      </c>
      <c r="G108" t="str">
        <f>IF(原始经营数据!$D109="","",T(原始经营数据!$K109))</f>
        <v/>
      </c>
      <c r="H108" t="str">
        <f>IF(原始经营数据!$D109="","",原始经营数据!$G109)</f>
        <v>服务量</v>
      </c>
      <c r="I108" t="str">
        <f>IF($A108="","",IF($B108&lt;&gt;"",$B108,IF(COUNTIFS(原始经营数据!$D$3:$D$3001,$A108,原始经营数据!$E$3:$E$3001,"",原始经营数据!$F$3:$F$3001,$C108,原始经营数据!$H$3:$H$3001,$D108,原始经营数据!$K$3:$K$3001,$G108)&gt;1,"基金整体·来源"&amp;原始经营数据!$A109,"基金整体")))</f>
        <v>杭州西溪印象城</v>
      </c>
      <c r="J108" t="str">
        <f t="shared" si="18"/>
        <v>季度</v>
      </c>
      <c r="K108" t="str">
        <f t="shared" si="19"/>
        <v>期末可供出租面积（平方米）</v>
      </c>
      <c r="L108" t="str">
        <f t="shared" si="20"/>
        <v>杭州西溪印象城|期末可供出租面积（平方米）|季度</v>
      </c>
      <c r="M108">
        <f>IF($A108="",0,IF(COUNTIF($L$2:$L108,$L108)=1,1,0))</f>
        <v>0</v>
      </c>
      <c r="N108">
        <f t="shared" si="21"/>
        <v>20243</v>
      </c>
      <c r="O108" t="str">
        <f t="shared" si="22"/>
        <v>中金印力消费基础设施封闭式基础设施证券投资基金|2024Q3|季度</v>
      </c>
      <c r="P108">
        <f>IF($A108="",0,IF(COUNTIF($O$2:$O108,$O108)=1,1,0))</f>
        <v>0</v>
      </c>
      <c r="Q108" t="str">
        <f>IF(AND($P108=1,$A108=经营数据!$B$3,$J108=经营数据!$BA$5),COUNTIFS($P$2:$P$3000,1,$A$2:$A$3000,$A108,$J$2:$J$3000,$J108,$N$2:$N$3000,"&lt;"&amp;$N108)+1,"")</f>
        <v/>
      </c>
      <c r="R108" t="str">
        <f t="shared" si="23"/>
        <v>中金印力消费基础设施封闭式基础设施证券投资基金|杭州西溪印象城</v>
      </c>
      <c r="S108">
        <f>IF($A108="",0,IF(COUNTIF($R$2:$R108,$R108)=1,1,0))</f>
        <v>0</v>
      </c>
      <c r="T108">
        <f t="shared" si="24"/>
        <v>95</v>
      </c>
      <c r="U108" t="str">
        <f>IF($A108="","",IF($A108=经营数据!$B$3,COUNTIFS($S$2:$S$3000,1,$A$2:$A$3000,$A108,$T$2:$T$3000,"&lt;"&amp;$T108)+1,""))</f>
        <v/>
      </c>
      <c r="V108" t="str">
        <f t="shared" si="25"/>
        <v>杭州西溪印象城|服务量</v>
      </c>
      <c r="W108">
        <f t="shared" si="26"/>
        <v>96</v>
      </c>
      <c r="X108" t="str">
        <f t="shared" si="27"/>
        <v>杭州西溪印象城|期末可供出租面积</v>
      </c>
      <c r="Y108">
        <f t="shared" si="28"/>
        <v>96</v>
      </c>
      <c r="Z108">
        <f>IF($A108="",0,IF(AND($M108=1,$A108=经营数据!$B$3,$J108=经营数据!$BA$5,OR($I108=经营数据!$BA$4,COUNTIF(经营数据!$AA$9:$AA$38,$I108)&gt;0)),1,0))</f>
        <v>0</v>
      </c>
      <c r="AA108" t="str">
        <f t="shared" si="29"/>
        <v/>
      </c>
      <c r="AB108" t="str">
        <f t="shared" si="30"/>
        <v/>
      </c>
      <c r="AC108">
        <f>IF($A108="",0,IF(COUNTIF($A$2:$A108,$A108)=1,1,0))</f>
        <v>0</v>
      </c>
      <c r="AD108">
        <f t="shared" si="31"/>
        <v>2</v>
      </c>
      <c r="AE108" t="str">
        <f t="shared" si="32"/>
        <v>杭州西溪印象城|期末可供出租面积（平方米）</v>
      </c>
      <c r="BA108" t="s">
        <v>5377</v>
      </c>
      <c r="BB108" t="s">
        <v>5378</v>
      </c>
      <c r="BP108" s="47">
        <v>45519</v>
      </c>
      <c r="BQ108" s="29">
        <v>5.1558655751954348E-2</v>
      </c>
    </row>
    <row r="109" spans="1:69" x14ac:dyDescent="0.4">
      <c r="A109" t="str">
        <f>IF(原始经营数据!$D110="","",原始经营数据!$D110)</f>
        <v>中金印力消费基础设施封闭式基础设施证券投资基金</v>
      </c>
      <c r="B109" t="str">
        <f>IF(原始经营数据!$D110="","",T(原始经营数据!$E110))</f>
        <v>杭州西溪印象城</v>
      </c>
      <c r="C109" t="str">
        <f>IF(原始经营数据!$D110="","",原始经营数据!$F110)</f>
        <v>2024Q3</v>
      </c>
      <c r="D109" t="str">
        <f>IF(原始经营数据!$D110="","",原始经营数据!$H110)</f>
        <v>期内平均租金单价</v>
      </c>
      <c r="E109">
        <f>IF(原始经营数据!$D110="","",原始经营数据!$I110)</f>
        <v>250.34</v>
      </c>
      <c r="F109" t="str">
        <f>IF(原始经营数据!$D110="","",T(原始经营数据!$J110))</f>
        <v>元/平方米/月</v>
      </c>
      <c r="G109" t="str">
        <f>IF(原始经营数据!$D110="","",T(原始经营数据!$K110))</f>
        <v/>
      </c>
      <c r="H109" t="str">
        <f>IF(原始经营数据!$D110="","",原始经营数据!$G110)</f>
        <v>服务价格</v>
      </c>
      <c r="I109" t="str">
        <f>IF($A109="","",IF($B109&lt;&gt;"",$B109,IF(COUNTIFS(原始经营数据!$D$3:$D$3001,$A109,原始经营数据!$E$3:$E$3001,"",原始经营数据!$F$3:$F$3001,$C109,原始经营数据!$H$3:$H$3001,$D109,原始经营数据!$K$3:$K$3001,$G109)&gt;1,"基金整体·来源"&amp;原始经营数据!$A110,"基金整体")))</f>
        <v>杭州西溪印象城</v>
      </c>
      <c r="J109" t="str">
        <f t="shared" si="18"/>
        <v>季度</v>
      </c>
      <c r="K109" t="str">
        <f t="shared" si="19"/>
        <v>期内平均租金单价（元/平方米/月）</v>
      </c>
      <c r="L109" t="str">
        <f t="shared" si="20"/>
        <v>杭州西溪印象城|期内平均租金单价（元/平方米/月）|季度</v>
      </c>
      <c r="M109">
        <f>IF($A109="",0,IF(COUNTIF($L$2:$L109,$L109)=1,1,0))</f>
        <v>0</v>
      </c>
      <c r="N109">
        <f t="shared" si="21"/>
        <v>20243</v>
      </c>
      <c r="O109" t="str">
        <f t="shared" si="22"/>
        <v>中金印力消费基础设施封闭式基础设施证券投资基金|2024Q3|季度</v>
      </c>
      <c r="P109">
        <f>IF($A109="",0,IF(COUNTIF($O$2:$O109,$O109)=1,1,0))</f>
        <v>0</v>
      </c>
      <c r="Q109" t="str">
        <f>IF(AND($P109=1,$A109=经营数据!$B$3,$J109=经营数据!$BA$5),COUNTIFS($P$2:$P$3000,1,$A$2:$A$3000,$A109,$J$2:$J$3000,$J109,$N$2:$N$3000,"&lt;"&amp;$N109)+1,"")</f>
        <v/>
      </c>
      <c r="R109" t="str">
        <f t="shared" si="23"/>
        <v>中金印力消费基础设施封闭式基础设施证券投资基金|杭州西溪印象城</v>
      </c>
      <c r="S109">
        <f>IF($A109="",0,IF(COUNTIF($R$2:$R109,$R109)=1,1,0))</f>
        <v>0</v>
      </c>
      <c r="T109">
        <f t="shared" si="24"/>
        <v>95</v>
      </c>
      <c r="U109" t="str">
        <f>IF($A109="","",IF($A109=经营数据!$B$3,COUNTIFS($S$2:$S$3000,1,$A$2:$A$3000,$A109,$T$2:$T$3000,"&lt;"&amp;$T109)+1,""))</f>
        <v/>
      </c>
      <c r="V109" t="str">
        <f t="shared" si="25"/>
        <v>杭州西溪印象城|服务价格</v>
      </c>
      <c r="W109">
        <f t="shared" si="26"/>
        <v>95</v>
      </c>
      <c r="X109" t="str">
        <f t="shared" si="27"/>
        <v>杭州西溪印象城|期内平均租金单价</v>
      </c>
      <c r="Y109">
        <f t="shared" si="28"/>
        <v>95</v>
      </c>
      <c r="Z109">
        <f>IF($A109="",0,IF(AND($M109=1,$A109=经营数据!$B$3,$J109=经营数据!$BA$5,OR($I109=经营数据!$BA$4,COUNTIF(经营数据!$AA$9:$AA$38,$I109)&gt;0)),1,0))</f>
        <v>0</v>
      </c>
      <c r="AA109" t="str">
        <f t="shared" si="29"/>
        <v/>
      </c>
      <c r="AB109" t="str">
        <f t="shared" si="30"/>
        <v/>
      </c>
      <c r="AC109">
        <f>IF($A109="",0,IF(COUNTIF($A$2:$A109,$A109)=1,1,0))</f>
        <v>0</v>
      </c>
      <c r="AD109">
        <f t="shared" si="31"/>
        <v>2</v>
      </c>
      <c r="AE109" t="str">
        <f t="shared" si="32"/>
        <v>杭州西溪印象城|期内平均租金单价（元/平方米/月）</v>
      </c>
      <c r="BA109" t="s">
        <v>5379</v>
      </c>
      <c r="BB109" t="s">
        <v>5380</v>
      </c>
      <c r="BP109" s="47">
        <v>45520</v>
      </c>
      <c r="BQ109" s="29">
        <v>5.2876342068112363E-2</v>
      </c>
    </row>
    <row r="110" spans="1:69" x14ac:dyDescent="0.4">
      <c r="A110" t="str">
        <f>IF(原始经营数据!$D111="","",原始经营数据!$D111)</f>
        <v>中金印力消费基础设施封闭式基础设施证券投资基金</v>
      </c>
      <c r="B110" t="str">
        <f>IF(原始经营数据!$D111="","",T(原始经营数据!$E111))</f>
        <v>杭州西溪印象城</v>
      </c>
      <c r="C110" t="str">
        <f>IF(原始经营数据!$D111="","",原始经营数据!$F111)</f>
        <v>2024Q4</v>
      </c>
      <c r="D110" t="str">
        <f>IF(原始经营数据!$D111="","",原始经营数据!$H111)</f>
        <v>期内平均租金单价</v>
      </c>
      <c r="E110">
        <f>IF(原始经营数据!$D111="","",原始经营数据!$I111)</f>
        <v>249.08</v>
      </c>
      <c r="F110" t="str">
        <f>IF(原始经营数据!$D111="","",T(原始经营数据!$J111))</f>
        <v>元/平方米/月</v>
      </c>
      <c r="G110" t="str">
        <f>IF(原始经营数据!$D111="","",T(原始经营数据!$K111))</f>
        <v/>
      </c>
      <c r="H110" t="str">
        <f>IF(原始经营数据!$D111="","",原始经营数据!$G111)</f>
        <v>服务价格</v>
      </c>
      <c r="I110" t="str">
        <f>IF($A110="","",IF($B110&lt;&gt;"",$B110,IF(COUNTIFS(原始经营数据!$D$3:$D$3001,$A110,原始经营数据!$E$3:$E$3001,"",原始经营数据!$F$3:$F$3001,$C110,原始经营数据!$H$3:$H$3001,$D110,原始经营数据!$K$3:$K$3001,$G110)&gt;1,"基金整体·来源"&amp;原始经营数据!$A111,"基金整体")))</f>
        <v>杭州西溪印象城</v>
      </c>
      <c r="J110" t="str">
        <f t="shared" si="18"/>
        <v>季度</v>
      </c>
      <c r="K110" t="str">
        <f t="shared" si="19"/>
        <v>期内平均租金单价（元/平方米/月）</v>
      </c>
      <c r="L110" t="str">
        <f t="shared" si="20"/>
        <v>杭州西溪印象城|期内平均租金单价（元/平方米/月）|季度</v>
      </c>
      <c r="M110">
        <f>IF($A110="",0,IF(COUNTIF($L$2:$L110,$L110)=1,1,0))</f>
        <v>0</v>
      </c>
      <c r="N110">
        <f t="shared" si="21"/>
        <v>20244</v>
      </c>
      <c r="O110" t="str">
        <f t="shared" si="22"/>
        <v>中金印力消费基础设施封闭式基础设施证券投资基金|2024Q4|季度</v>
      </c>
      <c r="P110">
        <f>IF($A110="",0,IF(COUNTIF($O$2:$O110,$O110)=1,1,0))</f>
        <v>1</v>
      </c>
      <c r="Q110" t="str">
        <f>IF(AND($P110=1,$A110=经营数据!$B$3,$J110=经营数据!$BA$5),COUNTIFS($P$2:$P$3000,1,$A$2:$A$3000,$A110,$J$2:$J$3000,$J110,$N$2:$N$3000,"&lt;"&amp;$N110)+1,"")</f>
        <v/>
      </c>
      <c r="R110" t="str">
        <f t="shared" si="23"/>
        <v>中金印力消费基础设施封闭式基础设施证券投资基金|杭州西溪印象城</v>
      </c>
      <c r="S110">
        <f>IF($A110="",0,IF(COUNTIF($R$2:$R110,$R110)=1,1,0))</f>
        <v>0</v>
      </c>
      <c r="T110">
        <f t="shared" si="24"/>
        <v>95</v>
      </c>
      <c r="U110" t="str">
        <f>IF($A110="","",IF($A110=经营数据!$B$3,COUNTIFS($S$2:$S$3000,1,$A$2:$A$3000,$A110,$T$2:$T$3000,"&lt;"&amp;$T110)+1,""))</f>
        <v/>
      </c>
      <c r="V110" t="str">
        <f t="shared" si="25"/>
        <v>杭州西溪印象城|服务价格</v>
      </c>
      <c r="W110">
        <f t="shared" si="26"/>
        <v>95</v>
      </c>
      <c r="X110" t="str">
        <f t="shared" si="27"/>
        <v>杭州西溪印象城|期内平均租金单价</v>
      </c>
      <c r="Y110">
        <f t="shared" si="28"/>
        <v>95</v>
      </c>
      <c r="Z110">
        <f>IF($A110="",0,IF(AND($M110=1,$A110=经营数据!$B$3,$J110=经营数据!$BA$5,OR($I110=经营数据!$BA$4,COUNTIF(经营数据!$AA$9:$AA$38,$I110)&gt;0)),1,0))</f>
        <v>0</v>
      </c>
      <c r="AA110" t="str">
        <f t="shared" si="29"/>
        <v/>
      </c>
      <c r="AB110" t="str">
        <f t="shared" si="30"/>
        <v/>
      </c>
      <c r="AC110">
        <f>IF($A110="",0,IF(COUNTIF($A$2:$A110,$A110)=1,1,0))</f>
        <v>0</v>
      </c>
      <c r="AD110">
        <f t="shared" si="31"/>
        <v>2</v>
      </c>
      <c r="AE110" t="str">
        <f t="shared" si="32"/>
        <v>杭州西溪印象城|期内平均租金单价（元/平方米/月）</v>
      </c>
      <c r="BA110" t="s">
        <v>5381</v>
      </c>
      <c r="BB110" t="s">
        <v>5382</v>
      </c>
      <c r="BP110" s="47">
        <v>45523</v>
      </c>
      <c r="BQ110" s="29">
        <v>5.2958321979354399E-2</v>
      </c>
    </row>
    <row r="111" spans="1:69" x14ac:dyDescent="0.4">
      <c r="A111" t="str">
        <f>IF(原始经营数据!$D112="","",原始经营数据!$D112)</f>
        <v>中金印力消费基础设施封闭式基础设施证券投资基金</v>
      </c>
      <c r="B111" t="str">
        <f>IF(原始经营数据!$D112="","",T(原始经营数据!$E112))</f>
        <v>杭州西溪印象城</v>
      </c>
      <c r="C111" t="str">
        <f>IF(原始经营数据!$D112="","",原始经营数据!$F112)</f>
        <v>2024Q4</v>
      </c>
      <c r="D111" t="str">
        <f>IF(原始经营数据!$D112="","",原始经营数据!$H112)</f>
        <v>期内租金单价水平</v>
      </c>
      <c r="E111">
        <f>IF(原始经营数据!$D112="","",原始经营数据!$I112)</f>
        <v>249.08</v>
      </c>
      <c r="F111" t="str">
        <f>IF(原始经营数据!$D112="","",T(原始经营数据!$J112))</f>
        <v>元/平方米/月</v>
      </c>
      <c r="G111" t="str">
        <f>IF(原始经营数据!$D112="","",T(原始经营数据!$K112))</f>
        <v/>
      </c>
      <c r="H111" t="str">
        <f>IF(原始经营数据!$D112="","",原始经营数据!$G112)</f>
        <v>服务价格</v>
      </c>
      <c r="I111" t="str">
        <f>IF($A111="","",IF($B111&lt;&gt;"",$B111,IF(COUNTIFS(原始经营数据!$D$3:$D$3001,$A111,原始经营数据!$E$3:$E$3001,"",原始经营数据!$F$3:$F$3001,$C111,原始经营数据!$H$3:$H$3001,$D111,原始经营数据!$K$3:$K$3001,$G111)&gt;1,"基金整体·来源"&amp;原始经营数据!$A112,"基金整体")))</f>
        <v>杭州西溪印象城</v>
      </c>
      <c r="J111" t="str">
        <f t="shared" si="18"/>
        <v>季度</v>
      </c>
      <c r="K111" t="str">
        <f t="shared" si="19"/>
        <v>期内租金单价水平（元/平方米/月）</v>
      </c>
      <c r="L111" t="str">
        <f t="shared" si="20"/>
        <v>杭州西溪印象城|期内租金单价水平（元/平方米/月）|季度</v>
      </c>
      <c r="M111">
        <f>IF($A111="",0,IF(COUNTIF($L$2:$L111,$L111)=1,1,0))</f>
        <v>0</v>
      </c>
      <c r="N111">
        <f t="shared" si="21"/>
        <v>20244</v>
      </c>
      <c r="O111" t="str">
        <f t="shared" si="22"/>
        <v>中金印力消费基础设施封闭式基础设施证券投资基金|2024Q4|季度</v>
      </c>
      <c r="P111">
        <f>IF($A111="",0,IF(COUNTIF($O$2:$O111,$O111)=1,1,0))</f>
        <v>0</v>
      </c>
      <c r="Q111" t="str">
        <f>IF(AND($P111=1,$A111=经营数据!$B$3,$J111=经营数据!$BA$5),COUNTIFS($P$2:$P$3000,1,$A$2:$A$3000,$A111,$J$2:$J$3000,$J111,$N$2:$N$3000,"&lt;"&amp;$N111)+1,"")</f>
        <v/>
      </c>
      <c r="R111" t="str">
        <f t="shared" si="23"/>
        <v>中金印力消费基础设施封闭式基础设施证券投资基金|杭州西溪印象城</v>
      </c>
      <c r="S111">
        <f>IF($A111="",0,IF(COUNTIF($R$2:$R111,$R111)=1,1,0))</f>
        <v>0</v>
      </c>
      <c r="T111">
        <f t="shared" si="24"/>
        <v>95</v>
      </c>
      <c r="U111" t="str">
        <f>IF($A111="","",IF($A111=经营数据!$B$3,COUNTIFS($S$2:$S$3000,1,$A$2:$A$3000,$A111,$T$2:$T$3000,"&lt;"&amp;$T111)+1,""))</f>
        <v/>
      </c>
      <c r="V111" t="str">
        <f t="shared" si="25"/>
        <v>杭州西溪印象城|服务价格</v>
      </c>
      <c r="W111">
        <f t="shared" si="26"/>
        <v>95</v>
      </c>
      <c r="X111" t="str">
        <f t="shared" si="27"/>
        <v>杭州西溪印象城|期内租金单价水平</v>
      </c>
      <c r="Y111">
        <f t="shared" si="28"/>
        <v>101</v>
      </c>
      <c r="Z111">
        <f>IF($A111="",0,IF(AND($M111=1,$A111=经营数据!$B$3,$J111=经营数据!$BA$5,OR($I111=经营数据!$BA$4,COUNTIF(经营数据!$AA$9:$AA$38,$I111)&gt;0)),1,0))</f>
        <v>0</v>
      </c>
      <c r="AA111" t="str">
        <f t="shared" si="29"/>
        <v/>
      </c>
      <c r="AB111" t="str">
        <f t="shared" si="30"/>
        <v/>
      </c>
      <c r="AC111">
        <f>IF($A111="",0,IF(COUNTIF($A$2:$A111,$A111)=1,1,0))</f>
        <v>0</v>
      </c>
      <c r="AD111">
        <f t="shared" si="31"/>
        <v>2</v>
      </c>
      <c r="AE111" t="str">
        <f t="shared" si="32"/>
        <v>杭州西溪印象城|期内租金单价水平（元/平方米/月）</v>
      </c>
      <c r="BA111" t="s">
        <v>5383</v>
      </c>
      <c r="BB111" t="s">
        <v>5384</v>
      </c>
      <c r="BP111" s="47">
        <v>45524</v>
      </c>
      <c r="BQ111" s="29">
        <v>5.3255424354703297E-2</v>
      </c>
    </row>
    <row r="112" spans="1:69" x14ac:dyDescent="0.4">
      <c r="A112" t="str">
        <f>IF(原始经营数据!$D113="","",原始经营数据!$D113)</f>
        <v>中金印力消费基础设施封闭式基础设施证券投资基金</v>
      </c>
      <c r="B112" t="str">
        <f>IF(原始经营数据!$D113="","",T(原始经营数据!$E113))</f>
        <v>杭州西溪印象城</v>
      </c>
      <c r="C112" t="str">
        <f>IF(原始经营数据!$D113="","",原始经营数据!$F113)</f>
        <v>2024Q4</v>
      </c>
      <c r="D112" t="str">
        <f>IF(原始经营数据!$D113="","",原始经营数据!$H113)</f>
        <v>期末剩余租期情况</v>
      </c>
      <c r="E112">
        <f>IF(原始经营数据!$D113="","",原始经营数据!$I113)</f>
        <v>3.06</v>
      </c>
      <c r="F112" t="str">
        <f>IF(原始经营数据!$D113="","",T(原始经营数据!$J113))</f>
        <v>年</v>
      </c>
      <c r="G112" t="str">
        <f>IF(原始经营数据!$D113="","",T(原始经营数据!$K113))</f>
        <v/>
      </c>
      <c r="H112" t="str">
        <f>IF(原始经营数据!$D113="","",原始经营数据!$G113)</f>
        <v>服务量</v>
      </c>
      <c r="I112" t="str">
        <f>IF($A112="","",IF($B112&lt;&gt;"",$B112,IF(COUNTIFS(原始经营数据!$D$3:$D$3001,$A112,原始经营数据!$E$3:$E$3001,"",原始经营数据!$F$3:$F$3001,$C112,原始经营数据!$H$3:$H$3001,$D112,原始经营数据!$K$3:$K$3001,$G112)&gt;1,"基金整体·来源"&amp;原始经营数据!$A113,"基金整体")))</f>
        <v>杭州西溪印象城</v>
      </c>
      <c r="J112" t="str">
        <f t="shared" si="18"/>
        <v>季度</v>
      </c>
      <c r="K112" t="str">
        <f t="shared" si="19"/>
        <v>期末剩余租期情况（年）</v>
      </c>
      <c r="L112" t="str">
        <f t="shared" si="20"/>
        <v>杭州西溪印象城|期末剩余租期情况（年）|季度</v>
      </c>
      <c r="M112">
        <f>IF($A112="",0,IF(COUNTIF($L$2:$L112,$L112)=1,1,0))</f>
        <v>0</v>
      </c>
      <c r="N112">
        <f t="shared" si="21"/>
        <v>20244</v>
      </c>
      <c r="O112" t="str">
        <f t="shared" si="22"/>
        <v>中金印力消费基础设施封闭式基础设施证券投资基金|2024Q4|季度</v>
      </c>
      <c r="P112">
        <f>IF($A112="",0,IF(COUNTIF($O$2:$O112,$O112)=1,1,0))</f>
        <v>0</v>
      </c>
      <c r="Q112" t="str">
        <f>IF(AND($P112=1,$A112=经营数据!$B$3,$J112=经营数据!$BA$5),COUNTIFS($P$2:$P$3000,1,$A$2:$A$3000,$A112,$J$2:$J$3000,$J112,$N$2:$N$3000,"&lt;"&amp;$N112)+1,"")</f>
        <v/>
      </c>
      <c r="R112" t="str">
        <f t="shared" si="23"/>
        <v>中金印力消费基础设施封闭式基础设施证券投资基金|杭州西溪印象城</v>
      </c>
      <c r="S112">
        <f>IF($A112="",0,IF(COUNTIF($R$2:$R112,$R112)=1,1,0))</f>
        <v>0</v>
      </c>
      <c r="T112">
        <f t="shared" si="24"/>
        <v>95</v>
      </c>
      <c r="U112" t="str">
        <f>IF($A112="","",IF($A112=经营数据!$B$3,COUNTIFS($S$2:$S$3000,1,$A$2:$A$3000,$A112,$T$2:$T$3000,"&lt;"&amp;$T112)+1,""))</f>
        <v/>
      </c>
      <c r="V112" t="str">
        <f t="shared" si="25"/>
        <v>杭州西溪印象城|服务量</v>
      </c>
      <c r="W112">
        <f t="shared" si="26"/>
        <v>96</v>
      </c>
      <c r="X112" t="str">
        <f t="shared" si="27"/>
        <v>杭州西溪印象城|期末剩余租期情况</v>
      </c>
      <c r="Y112">
        <f t="shared" si="28"/>
        <v>99</v>
      </c>
      <c r="Z112">
        <f>IF($A112="",0,IF(AND($M112=1,$A112=经营数据!$B$3,$J112=经营数据!$BA$5,OR($I112=经营数据!$BA$4,COUNTIF(经营数据!$AA$9:$AA$38,$I112)&gt;0)),1,0))</f>
        <v>0</v>
      </c>
      <c r="AA112" t="str">
        <f t="shared" si="29"/>
        <v/>
      </c>
      <c r="AB112" t="str">
        <f t="shared" si="30"/>
        <v/>
      </c>
      <c r="AC112">
        <f>IF($A112="",0,IF(COUNTIF($A$2:$A112,$A112)=1,1,0))</f>
        <v>0</v>
      </c>
      <c r="AD112">
        <f t="shared" si="31"/>
        <v>2</v>
      </c>
      <c r="AE112" t="str">
        <f t="shared" si="32"/>
        <v>杭州西溪印象城|期末剩余租期情况（年）</v>
      </c>
      <c r="BA112" t="s">
        <v>5385</v>
      </c>
      <c r="BB112" t="s">
        <v>5386</v>
      </c>
      <c r="BP112" s="47">
        <v>45525</v>
      </c>
      <c r="BQ112" s="29">
        <v>5.3515718281823298E-2</v>
      </c>
    </row>
    <row r="113" spans="1:69" x14ac:dyDescent="0.4">
      <c r="A113" t="str">
        <f>IF(原始经营数据!$D114="","",原始经营数据!$D114)</f>
        <v>中金印力消费基础设施封闭式基础设施证券投资基金</v>
      </c>
      <c r="B113" t="str">
        <f>IF(原始经营数据!$D114="","",T(原始经营数据!$E114))</f>
        <v>杭州西溪印象城</v>
      </c>
      <c r="C113" t="str">
        <f>IF(原始经营数据!$D114="","",原始经营数据!$F114)</f>
        <v>2024Q4</v>
      </c>
      <c r="D113" t="str">
        <f>IF(原始经营数据!$D114="","",原始经营数据!$H114)</f>
        <v>期末出租率</v>
      </c>
      <c r="E113">
        <f>IF(原始经营数据!$D114="","",原始经营数据!$I114)</f>
        <v>97.85</v>
      </c>
      <c r="F113" t="str">
        <f>IF(原始经营数据!$D114="","",T(原始经营数据!$J114))</f>
        <v>%</v>
      </c>
      <c r="G113" t="str">
        <f>IF(原始经营数据!$D114="","",T(原始经营数据!$K114))</f>
        <v/>
      </c>
      <c r="H113" t="str">
        <f>IF(原始经营数据!$D114="","",原始经营数据!$G114)</f>
        <v>服务效率</v>
      </c>
      <c r="I113" t="str">
        <f>IF($A113="","",IF($B113&lt;&gt;"",$B113,IF(COUNTIFS(原始经营数据!$D$3:$D$3001,$A113,原始经营数据!$E$3:$E$3001,"",原始经营数据!$F$3:$F$3001,$C113,原始经营数据!$H$3:$H$3001,$D113,原始经营数据!$K$3:$K$3001,$G113)&gt;1,"基金整体·来源"&amp;原始经营数据!$A114,"基金整体")))</f>
        <v>杭州西溪印象城</v>
      </c>
      <c r="J113" t="str">
        <f t="shared" si="18"/>
        <v>季度</v>
      </c>
      <c r="K113" t="str">
        <f t="shared" si="19"/>
        <v>期末出租率（%）</v>
      </c>
      <c r="L113" t="str">
        <f t="shared" si="20"/>
        <v>杭州西溪印象城|期末出租率（%）|季度</v>
      </c>
      <c r="M113">
        <f>IF($A113="",0,IF(COUNTIF($L$2:$L113,$L113)=1,1,0))</f>
        <v>0</v>
      </c>
      <c r="N113">
        <f t="shared" si="21"/>
        <v>20244</v>
      </c>
      <c r="O113" t="str">
        <f t="shared" si="22"/>
        <v>中金印力消费基础设施封闭式基础设施证券投资基金|2024Q4|季度</v>
      </c>
      <c r="P113">
        <f>IF($A113="",0,IF(COUNTIF($O$2:$O113,$O113)=1,1,0))</f>
        <v>0</v>
      </c>
      <c r="Q113" t="str">
        <f>IF(AND($P113=1,$A113=经营数据!$B$3,$J113=经营数据!$BA$5),COUNTIFS($P$2:$P$3000,1,$A$2:$A$3000,$A113,$J$2:$J$3000,$J113,$N$2:$N$3000,"&lt;"&amp;$N113)+1,"")</f>
        <v/>
      </c>
      <c r="R113" t="str">
        <f t="shared" si="23"/>
        <v>中金印力消费基础设施封闭式基础设施证券投资基金|杭州西溪印象城</v>
      </c>
      <c r="S113">
        <f>IF($A113="",0,IF(COUNTIF($R$2:$R113,$R113)=1,1,0))</f>
        <v>0</v>
      </c>
      <c r="T113">
        <f t="shared" si="24"/>
        <v>95</v>
      </c>
      <c r="U113" t="str">
        <f>IF($A113="","",IF($A113=经营数据!$B$3,COUNTIFS($S$2:$S$3000,1,$A$2:$A$3000,$A113,$T$2:$T$3000,"&lt;"&amp;$T113)+1,""))</f>
        <v/>
      </c>
      <c r="V113" t="str">
        <f t="shared" si="25"/>
        <v>杭州西溪印象城|服务效率</v>
      </c>
      <c r="W113">
        <f t="shared" si="26"/>
        <v>98</v>
      </c>
      <c r="X113" t="str">
        <f t="shared" si="27"/>
        <v>杭州西溪印象城|期末出租率</v>
      </c>
      <c r="Y113">
        <f t="shared" si="28"/>
        <v>100</v>
      </c>
      <c r="Z113">
        <f>IF($A113="",0,IF(AND($M113=1,$A113=经营数据!$B$3,$J113=经营数据!$BA$5,OR($I113=经营数据!$BA$4,COUNTIF(经营数据!$AA$9:$AA$38,$I113)&gt;0)),1,0))</f>
        <v>0</v>
      </c>
      <c r="AA113" t="str">
        <f t="shared" si="29"/>
        <v/>
      </c>
      <c r="AB113" t="str">
        <f t="shared" si="30"/>
        <v/>
      </c>
      <c r="AC113">
        <f>IF($A113="",0,IF(COUNTIF($A$2:$A113,$A113)=1,1,0))</f>
        <v>0</v>
      </c>
      <c r="AD113">
        <f t="shared" si="31"/>
        <v>2</v>
      </c>
      <c r="AE113" t="str">
        <f t="shared" si="32"/>
        <v>杭州西溪印象城|期末出租率（%）</v>
      </c>
      <c r="BA113" t="s">
        <v>5387</v>
      </c>
      <c r="BB113" t="s">
        <v>5388</v>
      </c>
      <c r="BP113" s="47">
        <v>45526</v>
      </c>
      <c r="BQ113" s="29">
        <v>5.3349977437591782E-2</v>
      </c>
    </row>
    <row r="114" spans="1:69" x14ac:dyDescent="0.4">
      <c r="A114" t="str">
        <f>IF(原始经营数据!$D115="","",原始经营数据!$D115)</f>
        <v>中金印力消费基础设施封闭式基础设施证券投资基金</v>
      </c>
      <c r="B114" t="str">
        <f>IF(原始经营数据!$D115="","",T(原始经营数据!$E115))</f>
        <v>杭州西溪印象城</v>
      </c>
      <c r="C114" t="str">
        <f>IF(原始经营数据!$D115="","",原始经营数据!$F115)</f>
        <v>2024Q4</v>
      </c>
      <c r="D114" t="str">
        <f>IF(原始经营数据!$D115="","",原始经营数据!$H115)</f>
        <v>期末实际出租面积</v>
      </c>
      <c r="E114">
        <f>IF(原始经营数据!$D115="","",原始经营数据!$I115)</f>
        <v>97647.72</v>
      </c>
      <c r="F114" t="str">
        <f>IF(原始经营数据!$D115="","",T(原始经营数据!$J115))</f>
        <v>平方米</v>
      </c>
      <c r="G114" t="str">
        <f>IF(原始经营数据!$D115="","",T(原始经营数据!$K115))</f>
        <v/>
      </c>
      <c r="H114" t="str">
        <f>IF(原始经营数据!$D115="","",原始经营数据!$G115)</f>
        <v>服务量</v>
      </c>
      <c r="I114" t="str">
        <f>IF($A114="","",IF($B114&lt;&gt;"",$B114,IF(COUNTIFS(原始经营数据!$D$3:$D$3001,$A114,原始经营数据!$E$3:$E$3001,"",原始经营数据!$F$3:$F$3001,$C114,原始经营数据!$H$3:$H$3001,$D114,原始经营数据!$K$3:$K$3001,$G114)&gt;1,"基金整体·来源"&amp;原始经营数据!$A115,"基金整体")))</f>
        <v>杭州西溪印象城</v>
      </c>
      <c r="J114" t="str">
        <f t="shared" si="18"/>
        <v>季度</v>
      </c>
      <c r="K114" t="str">
        <f t="shared" si="19"/>
        <v>期末实际出租面积（平方米）</v>
      </c>
      <c r="L114" t="str">
        <f t="shared" si="20"/>
        <v>杭州西溪印象城|期末实际出租面积（平方米）|季度</v>
      </c>
      <c r="M114">
        <f>IF($A114="",0,IF(COUNTIF($L$2:$L114,$L114)=1,1,0))</f>
        <v>0</v>
      </c>
      <c r="N114">
        <f t="shared" si="21"/>
        <v>20244</v>
      </c>
      <c r="O114" t="str">
        <f t="shared" si="22"/>
        <v>中金印力消费基础设施封闭式基础设施证券投资基金|2024Q4|季度</v>
      </c>
      <c r="P114">
        <f>IF($A114="",0,IF(COUNTIF($O$2:$O114,$O114)=1,1,0))</f>
        <v>0</v>
      </c>
      <c r="Q114" t="str">
        <f>IF(AND($P114=1,$A114=经营数据!$B$3,$J114=经营数据!$BA$5),COUNTIFS($P$2:$P$3000,1,$A$2:$A$3000,$A114,$J$2:$J$3000,$J114,$N$2:$N$3000,"&lt;"&amp;$N114)+1,"")</f>
        <v/>
      </c>
      <c r="R114" t="str">
        <f t="shared" si="23"/>
        <v>中金印力消费基础设施封闭式基础设施证券投资基金|杭州西溪印象城</v>
      </c>
      <c r="S114">
        <f>IF($A114="",0,IF(COUNTIF($R$2:$R114,$R114)=1,1,0))</f>
        <v>0</v>
      </c>
      <c r="T114">
        <f t="shared" si="24"/>
        <v>95</v>
      </c>
      <c r="U114" t="str">
        <f>IF($A114="","",IF($A114=经营数据!$B$3,COUNTIFS($S$2:$S$3000,1,$A$2:$A$3000,$A114,$T$2:$T$3000,"&lt;"&amp;$T114)+1,""))</f>
        <v/>
      </c>
      <c r="V114" t="str">
        <f t="shared" si="25"/>
        <v>杭州西溪印象城|服务量</v>
      </c>
      <c r="W114">
        <f t="shared" si="26"/>
        <v>96</v>
      </c>
      <c r="X114" t="str">
        <f t="shared" si="27"/>
        <v>杭州西溪印象城|期末实际出租面积</v>
      </c>
      <c r="Y114">
        <f t="shared" si="28"/>
        <v>97</v>
      </c>
      <c r="Z114">
        <f>IF($A114="",0,IF(AND($M114=1,$A114=经营数据!$B$3,$J114=经营数据!$BA$5,OR($I114=经营数据!$BA$4,COUNTIF(经营数据!$AA$9:$AA$38,$I114)&gt;0)),1,0))</f>
        <v>0</v>
      </c>
      <c r="AA114" t="str">
        <f t="shared" si="29"/>
        <v/>
      </c>
      <c r="AB114" t="str">
        <f t="shared" si="30"/>
        <v/>
      </c>
      <c r="AC114">
        <f>IF($A114="",0,IF(COUNTIF($A$2:$A114,$A114)=1,1,0))</f>
        <v>0</v>
      </c>
      <c r="AD114">
        <f t="shared" si="31"/>
        <v>2</v>
      </c>
      <c r="AE114" t="str">
        <f t="shared" si="32"/>
        <v>杭州西溪印象城|期末实际出租面积（平方米）</v>
      </c>
      <c r="BA114" t="s">
        <v>5389</v>
      </c>
      <c r="BB114" t="s">
        <v>5390</v>
      </c>
      <c r="BP114" s="47">
        <v>45527</v>
      </c>
      <c r="BQ114" s="29">
        <v>5.2801590871075998E-2</v>
      </c>
    </row>
    <row r="115" spans="1:69" x14ac:dyDescent="0.4">
      <c r="A115" t="str">
        <f>IF(原始经营数据!$D116="","",原始经营数据!$D116)</f>
        <v>中金印力消费基础设施封闭式基础设施证券投资基金</v>
      </c>
      <c r="B115" t="str">
        <f>IF(原始经营数据!$D116="","",T(原始经营数据!$E116))</f>
        <v>杭州西溪印象城</v>
      </c>
      <c r="C115" t="str">
        <f>IF(原始经营数据!$D116="","",原始经营数据!$F116)</f>
        <v>2024Q4</v>
      </c>
      <c r="D115" t="str">
        <f>IF(原始经营数据!$D116="","",原始经营数据!$H116)</f>
        <v>期末可供出租面积</v>
      </c>
      <c r="E115">
        <f>IF(原始经营数据!$D116="","",原始经营数据!$I116)</f>
        <v>99795.839999999997</v>
      </c>
      <c r="F115" t="str">
        <f>IF(原始经营数据!$D116="","",T(原始经营数据!$J116))</f>
        <v>平方米</v>
      </c>
      <c r="G115" t="str">
        <f>IF(原始经营数据!$D116="","",T(原始经营数据!$K116))</f>
        <v/>
      </c>
      <c r="H115" t="str">
        <f>IF(原始经营数据!$D116="","",原始经营数据!$G116)</f>
        <v>服务量</v>
      </c>
      <c r="I115" t="str">
        <f>IF($A115="","",IF($B115&lt;&gt;"",$B115,IF(COUNTIFS(原始经营数据!$D$3:$D$3001,$A115,原始经营数据!$E$3:$E$3001,"",原始经营数据!$F$3:$F$3001,$C115,原始经营数据!$H$3:$H$3001,$D115,原始经营数据!$K$3:$K$3001,$G115)&gt;1,"基金整体·来源"&amp;原始经营数据!$A116,"基金整体")))</f>
        <v>杭州西溪印象城</v>
      </c>
      <c r="J115" t="str">
        <f t="shared" si="18"/>
        <v>季度</v>
      </c>
      <c r="K115" t="str">
        <f t="shared" si="19"/>
        <v>期末可供出租面积（平方米）</v>
      </c>
      <c r="L115" t="str">
        <f t="shared" si="20"/>
        <v>杭州西溪印象城|期末可供出租面积（平方米）|季度</v>
      </c>
      <c r="M115">
        <f>IF($A115="",0,IF(COUNTIF($L$2:$L115,$L115)=1,1,0))</f>
        <v>0</v>
      </c>
      <c r="N115">
        <f t="shared" si="21"/>
        <v>20244</v>
      </c>
      <c r="O115" t="str">
        <f t="shared" si="22"/>
        <v>中金印力消费基础设施封闭式基础设施证券投资基金|2024Q4|季度</v>
      </c>
      <c r="P115">
        <f>IF($A115="",0,IF(COUNTIF($O$2:$O115,$O115)=1,1,0))</f>
        <v>0</v>
      </c>
      <c r="Q115" t="str">
        <f>IF(AND($P115=1,$A115=经营数据!$B$3,$J115=经营数据!$BA$5),COUNTIFS($P$2:$P$3000,1,$A$2:$A$3000,$A115,$J$2:$J$3000,$J115,$N$2:$N$3000,"&lt;"&amp;$N115)+1,"")</f>
        <v/>
      </c>
      <c r="R115" t="str">
        <f t="shared" si="23"/>
        <v>中金印力消费基础设施封闭式基础设施证券投资基金|杭州西溪印象城</v>
      </c>
      <c r="S115">
        <f>IF($A115="",0,IF(COUNTIF($R$2:$R115,$R115)=1,1,0))</f>
        <v>0</v>
      </c>
      <c r="T115">
        <f t="shared" si="24"/>
        <v>95</v>
      </c>
      <c r="U115" t="str">
        <f>IF($A115="","",IF($A115=经营数据!$B$3,COUNTIFS($S$2:$S$3000,1,$A$2:$A$3000,$A115,$T$2:$T$3000,"&lt;"&amp;$T115)+1,""))</f>
        <v/>
      </c>
      <c r="V115" t="str">
        <f t="shared" si="25"/>
        <v>杭州西溪印象城|服务量</v>
      </c>
      <c r="W115">
        <f t="shared" si="26"/>
        <v>96</v>
      </c>
      <c r="X115" t="str">
        <f t="shared" si="27"/>
        <v>杭州西溪印象城|期末可供出租面积</v>
      </c>
      <c r="Y115">
        <f t="shared" si="28"/>
        <v>96</v>
      </c>
      <c r="Z115">
        <f>IF($A115="",0,IF(AND($M115=1,$A115=经营数据!$B$3,$J115=经营数据!$BA$5,OR($I115=经营数据!$BA$4,COUNTIF(经营数据!$AA$9:$AA$38,$I115)&gt;0)),1,0))</f>
        <v>0</v>
      </c>
      <c r="AA115" t="str">
        <f t="shared" si="29"/>
        <v/>
      </c>
      <c r="AB115" t="str">
        <f t="shared" si="30"/>
        <v/>
      </c>
      <c r="AC115">
        <f>IF($A115="",0,IF(COUNTIF($A$2:$A115,$A115)=1,1,0))</f>
        <v>0</v>
      </c>
      <c r="AD115">
        <f t="shared" si="31"/>
        <v>2</v>
      </c>
      <c r="AE115" t="str">
        <f t="shared" si="32"/>
        <v>杭州西溪印象城|期末可供出租面积（平方米）</v>
      </c>
      <c r="BA115" t="s">
        <v>5391</v>
      </c>
      <c r="BB115" t="s">
        <v>5392</v>
      </c>
      <c r="BP115" s="47">
        <v>45530</v>
      </c>
      <c r="BQ115" s="29">
        <v>5.2900839354168318E-2</v>
      </c>
    </row>
    <row r="116" spans="1:69" x14ac:dyDescent="0.4">
      <c r="A116" t="str">
        <f>IF(原始经营数据!$D117="","",原始经营数据!$D117)</f>
        <v>中金印力消费基础设施封闭式基础设施证券投资基金</v>
      </c>
      <c r="B116" t="str">
        <f>IF(原始经营数据!$D117="","",T(原始经营数据!$E117))</f>
        <v>杭州西溪印象城</v>
      </c>
      <c r="C116" t="str">
        <f>IF(原始经营数据!$D117="","",原始经营数据!$F117)</f>
        <v>2024Q4</v>
      </c>
      <c r="D116" t="str">
        <f>IF(原始经营数据!$D117="","",原始经营数据!$H117)</f>
        <v>期末租金收缴率</v>
      </c>
      <c r="E116">
        <f>IF(原始经营数据!$D117="","",原始经营数据!$I117)</f>
        <v>99.96</v>
      </c>
      <c r="F116" t="str">
        <f>IF(原始经营数据!$D117="","",T(原始经营数据!$J117))</f>
        <v>%</v>
      </c>
      <c r="G116" t="str">
        <f>IF(原始经营数据!$D117="","",T(原始经营数据!$K117))</f>
        <v/>
      </c>
      <c r="H116" t="str">
        <f>IF(原始经营数据!$D117="","",原始经营数据!$G117)</f>
        <v>服务效率</v>
      </c>
      <c r="I116" t="str">
        <f>IF($A116="","",IF($B116&lt;&gt;"",$B116,IF(COUNTIFS(原始经营数据!$D$3:$D$3001,$A116,原始经营数据!$E$3:$E$3001,"",原始经营数据!$F$3:$F$3001,$C116,原始经营数据!$H$3:$H$3001,$D116,原始经营数据!$K$3:$K$3001,$G116)&gt;1,"基金整体·来源"&amp;原始经营数据!$A117,"基金整体")))</f>
        <v>杭州西溪印象城</v>
      </c>
      <c r="J116" t="str">
        <f t="shared" si="18"/>
        <v>季度</v>
      </c>
      <c r="K116" t="str">
        <f t="shared" si="19"/>
        <v>期末租金收缴率（%）</v>
      </c>
      <c r="L116" t="str">
        <f t="shared" si="20"/>
        <v>杭州西溪印象城|期末租金收缴率（%）|季度</v>
      </c>
      <c r="M116">
        <f>IF($A116="",0,IF(COUNTIF($L$2:$L116,$L116)=1,1,0))</f>
        <v>0</v>
      </c>
      <c r="N116">
        <f t="shared" si="21"/>
        <v>20244</v>
      </c>
      <c r="O116" t="str">
        <f t="shared" si="22"/>
        <v>中金印力消费基础设施封闭式基础设施证券投资基金|2024Q4|季度</v>
      </c>
      <c r="P116">
        <f>IF($A116="",0,IF(COUNTIF($O$2:$O116,$O116)=1,1,0))</f>
        <v>0</v>
      </c>
      <c r="Q116" t="str">
        <f>IF(AND($P116=1,$A116=经营数据!$B$3,$J116=经营数据!$BA$5),COUNTIFS($P$2:$P$3000,1,$A$2:$A$3000,$A116,$J$2:$J$3000,$J116,$N$2:$N$3000,"&lt;"&amp;$N116)+1,"")</f>
        <v/>
      </c>
      <c r="R116" t="str">
        <f t="shared" si="23"/>
        <v>中金印力消费基础设施封闭式基础设施证券投资基金|杭州西溪印象城</v>
      </c>
      <c r="S116">
        <f>IF($A116="",0,IF(COUNTIF($R$2:$R116,$R116)=1,1,0))</f>
        <v>0</v>
      </c>
      <c r="T116">
        <f t="shared" si="24"/>
        <v>95</v>
      </c>
      <c r="U116" t="str">
        <f>IF($A116="","",IF($A116=经营数据!$B$3,COUNTIFS($S$2:$S$3000,1,$A$2:$A$3000,$A116,$T$2:$T$3000,"&lt;"&amp;$T116)+1,""))</f>
        <v/>
      </c>
      <c r="V116" t="str">
        <f t="shared" si="25"/>
        <v>杭州西溪印象城|服务效率</v>
      </c>
      <c r="W116">
        <f t="shared" si="26"/>
        <v>98</v>
      </c>
      <c r="X116" t="str">
        <f t="shared" si="27"/>
        <v>杭州西溪印象城|期末租金收缴率</v>
      </c>
      <c r="Y116">
        <f t="shared" si="28"/>
        <v>98</v>
      </c>
      <c r="Z116">
        <f>IF($A116="",0,IF(AND($M116=1,$A116=经营数据!$B$3,$J116=经营数据!$BA$5,OR($I116=经营数据!$BA$4,COUNTIF(经营数据!$AA$9:$AA$38,$I116)&gt;0)),1,0))</f>
        <v>0</v>
      </c>
      <c r="AA116" t="str">
        <f t="shared" si="29"/>
        <v/>
      </c>
      <c r="AB116" t="str">
        <f t="shared" si="30"/>
        <v/>
      </c>
      <c r="AC116">
        <f>IF($A116="",0,IF(COUNTIF($A$2:$A116,$A116)=1,1,0))</f>
        <v>0</v>
      </c>
      <c r="AD116">
        <f t="shared" si="31"/>
        <v>2</v>
      </c>
      <c r="AE116" t="str">
        <f t="shared" si="32"/>
        <v>杭州西溪印象城|期末租金收缴率（%）</v>
      </c>
      <c r="BA116" t="s">
        <v>5393</v>
      </c>
      <c r="BB116" t="s">
        <v>5394</v>
      </c>
      <c r="BP116" s="47">
        <v>45531</v>
      </c>
      <c r="BQ116" s="29">
        <v>5.33364493033405E-2</v>
      </c>
    </row>
    <row r="117" spans="1:69" x14ac:dyDescent="0.4">
      <c r="A117" t="str">
        <f>IF(原始经营数据!$D118="","",原始经营数据!$D118)</f>
        <v>中金印力消费基础设施封闭式基础设施证券投资基金</v>
      </c>
      <c r="B117" t="str">
        <f>IF(原始经营数据!$D118="","",T(原始经营数据!$E118))</f>
        <v>杭州西溪印象城</v>
      </c>
      <c r="C117" t="str">
        <f>IF(原始经营数据!$D118="","",原始经营数据!$F118)</f>
        <v>2025Q1</v>
      </c>
      <c r="D117" t="str">
        <f>IF(原始经营数据!$D118="","",原始经营数据!$H118)</f>
        <v>期末租金收缴率</v>
      </c>
      <c r="E117">
        <f>IF(原始经营数据!$D118="","",原始经营数据!$I118)</f>
        <v>99.84</v>
      </c>
      <c r="F117" t="str">
        <f>IF(原始经营数据!$D118="","",T(原始经营数据!$J118))</f>
        <v>%</v>
      </c>
      <c r="G117" t="str">
        <f>IF(原始经营数据!$D118="","",T(原始经营数据!$K118))</f>
        <v/>
      </c>
      <c r="H117" t="str">
        <f>IF(原始经营数据!$D118="","",原始经营数据!$G118)</f>
        <v>服务效率</v>
      </c>
      <c r="I117" t="str">
        <f>IF($A117="","",IF($B117&lt;&gt;"",$B117,IF(COUNTIFS(原始经营数据!$D$3:$D$3001,$A117,原始经营数据!$E$3:$E$3001,"",原始经营数据!$F$3:$F$3001,$C117,原始经营数据!$H$3:$H$3001,$D117,原始经营数据!$K$3:$K$3001,$G117)&gt;1,"基金整体·来源"&amp;原始经营数据!$A118,"基金整体")))</f>
        <v>杭州西溪印象城</v>
      </c>
      <c r="J117" t="str">
        <f t="shared" si="18"/>
        <v>季度</v>
      </c>
      <c r="K117" t="str">
        <f t="shared" si="19"/>
        <v>期末租金收缴率（%）</v>
      </c>
      <c r="L117" t="str">
        <f t="shared" si="20"/>
        <v>杭州西溪印象城|期末租金收缴率（%）|季度</v>
      </c>
      <c r="M117">
        <f>IF($A117="",0,IF(COUNTIF($L$2:$L117,$L117)=1,1,0))</f>
        <v>0</v>
      </c>
      <c r="N117">
        <f t="shared" si="21"/>
        <v>20251</v>
      </c>
      <c r="O117" t="str">
        <f t="shared" si="22"/>
        <v>中金印力消费基础设施封闭式基础设施证券投资基金|2025Q1|季度</v>
      </c>
      <c r="P117">
        <f>IF($A117="",0,IF(COUNTIF($O$2:$O117,$O117)=1,1,0))</f>
        <v>1</v>
      </c>
      <c r="Q117" t="str">
        <f>IF(AND($P117=1,$A117=经营数据!$B$3,$J117=经营数据!$BA$5),COUNTIFS($P$2:$P$3000,1,$A$2:$A$3000,$A117,$J$2:$J$3000,$J117,$N$2:$N$3000,"&lt;"&amp;$N117)+1,"")</f>
        <v/>
      </c>
      <c r="R117" t="str">
        <f t="shared" si="23"/>
        <v>中金印力消费基础设施封闭式基础设施证券投资基金|杭州西溪印象城</v>
      </c>
      <c r="S117">
        <f>IF($A117="",0,IF(COUNTIF($R$2:$R117,$R117)=1,1,0))</f>
        <v>0</v>
      </c>
      <c r="T117">
        <f t="shared" si="24"/>
        <v>95</v>
      </c>
      <c r="U117" t="str">
        <f>IF($A117="","",IF($A117=经营数据!$B$3,COUNTIFS($S$2:$S$3000,1,$A$2:$A$3000,$A117,$T$2:$T$3000,"&lt;"&amp;$T117)+1,""))</f>
        <v/>
      </c>
      <c r="V117" t="str">
        <f t="shared" si="25"/>
        <v>杭州西溪印象城|服务效率</v>
      </c>
      <c r="W117">
        <f t="shared" si="26"/>
        <v>98</v>
      </c>
      <c r="X117" t="str">
        <f t="shared" si="27"/>
        <v>杭州西溪印象城|期末租金收缴率</v>
      </c>
      <c r="Y117">
        <f t="shared" si="28"/>
        <v>98</v>
      </c>
      <c r="Z117">
        <f>IF($A117="",0,IF(AND($M117=1,$A117=经营数据!$B$3,$J117=经营数据!$BA$5,OR($I117=经营数据!$BA$4,COUNTIF(经营数据!$AA$9:$AA$38,$I117)&gt;0)),1,0))</f>
        <v>0</v>
      </c>
      <c r="AA117" t="str">
        <f t="shared" si="29"/>
        <v/>
      </c>
      <c r="AB117" t="str">
        <f t="shared" si="30"/>
        <v/>
      </c>
      <c r="AC117">
        <f>IF($A117="",0,IF(COUNTIF($A$2:$A117,$A117)=1,1,0))</f>
        <v>0</v>
      </c>
      <c r="AD117">
        <f t="shared" si="31"/>
        <v>2</v>
      </c>
      <c r="AE117" t="str">
        <f t="shared" si="32"/>
        <v>杭州西溪印象城|期末租金收缴率（%）</v>
      </c>
      <c r="BA117" t="s">
        <v>5395</v>
      </c>
      <c r="BB117" t="s">
        <v>5396</v>
      </c>
      <c r="BP117" s="47">
        <v>45532</v>
      </c>
      <c r="BQ117" s="29">
        <v>5.3432547928911119E-2</v>
      </c>
    </row>
    <row r="118" spans="1:69" x14ac:dyDescent="0.4">
      <c r="A118" t="str">
        <f>IF(原始经营数据!$D119="","",原始经营数据!$D119)</f>
        <v>中金印力消费基础设施封闭式基础设施证券投资基金</v>
      </c>
      <c r="B118" t="str">
        <f>IF(原始经营数据!$D119="","",T(原始经营数据!$E119))</f>
        <v>杭州西溪印象城</v>
      </c>
      <c r="C118" t="str">
        <f>IF(原始经营数据!$D119="","",原始经营数据!$F119)</f>
        <v>2025Q1</v>
      </c>
      <c r="D118" t="str">
        <f>IF(原始经营数据!$D119="","",原始经营数据!$H119)</f>
        <v>期末剩余租期情况</v>
      </c>
      <c r="E118">
        <f>IF(原始经营数据!$D119="","",原始经营数据!$I119)</f>
        <v>2.9</v>
      </c>
      <c r="F118" t="str">
        <f>IF(原始经营数据!$D119="","",T(原始经营数据!$J119))</f>
        <v>年</v>
      </c>
      <c r="G118" t="str">
        <f>IF(原始经营数据!$D119="","",T(原始经营数据!$K119))</f>
        <v/>
      </c>
      <c r="H118" t="str">
        <f>IF(原始经营数据!$D119="","",原始经营数据!$G119)</f>
        <v>服务量</v>
      </c>
      <c r="I118" t="str">
        <f>IF($A118="","",IF($B118&lt;&gt;"",$B118,IF(COUNTIFS(原始经营数据!$D$3:$D$3001,$A118,原始经营数据!$E$3:$E$3001,"",原始经营数据!$F$3:$F$3001,$C118,原始经营数据!$H$3:$H$3001,$D118,原始经营数据!$K$3:$K$3001,$G118)&gt;1,"基金整体·来源"&amp;原始经营数据!$A119,"基金整体")))</f>
        <v>杭州西溪印象城</v>
      </c>
      <c r="J118" t="str">
        <f t="shared" si="18"/>
        <v>季度</v>
      </c>
      <c r="K118" t="str">
        <f t="shared" si="19"/>
        <v>期末剩余租期情况（年）</v>
      </c>
      <c r="L118" t="str">
        <f t="shared" si="20"/>
        <v>杭州西溪印象城|期末剩余租期情况（年）|季度</v>
      </c>
      <c r="M118">
        <f>IF($A118="",0,IF(COUNTIF($L$2:$L118,$L118)=1,1,0))</f>
        <v>0</v>
      </c>
      <c r="N118">
        <f t="shared" si="21"/>
        <v>20251</v>
      </c>
      <c r="O118" t="str">
        <f t="shared" si="22"/>
        <v>中金印力消费基础设施封闭式基础设施证券投资基金|2025Q1|季度</v>
      </c>
      <c r="P118">
        <f>IF($A118="",0,IF(COUNTIF($O$2:$O118,$O118)=1,1,0))</f>
        <v>0</v>
      </c>
      <c r="Q118" t="str">
        <f>IF(AND($P118=1,$A118=经营数据!$B$3,$J118=经营数据!$BA$5),COUNTIFS($P$2:$P$3000,1,$A$2:$A$3000,$A118,$J$2:$J$3000,$J118,$N$2:$N$3000,"&lt;"&amp;$N118)+1,"")</f>
        <v/>
      </c>
      <c r="R118" t="str">
        <f t="shared" si="23"/>
        <v>中金印力消费基础设施封闭式基础设施证券投资基金|杭州西溪印象城</v>
      </c>
      <c r="S118">
        <f>IF($A118="",0,IF(COUNTIF($R$2:$R118,$R118)=1,1,0))</f>
        <v>0</v>
      </c>
      <c r="T118">
        <f t="shared" si="24"/>
        <v>95</v>
      </c>
      <c r="U118" t="str">
        <f>IF($A118="","",IF($A118=经营数据!$B$3,COUNTIFS($S$2:$S$3000,1,$A$2:$A$3000,$A118,$T$2:$T$3000,"&lt;"&amp;$T118)+1,""))</f>
        <v/>
      </c>
      <c r="V118" t="str">
        <f t="shared" si="25"/>
        <v>杭州西溪印象城|服务量</v>
      </c>
      <c r="W118">
        <f t="shared" si="26"/>
        <v>96</v>
      </c>
      <c r="X118" t="str">
        <f t="shared" si="27"/>
        <v>杭州西溪印象城|期末剩余租期情况</v>
      </c>
      <c r="Y118">
        <f t="shared" si="28"/>
        <v>99</v>
      </c>
      <c r="Z118">
        <f>IF($A118="",0,IF(AND($M118=1,$A118=经营数据!$B$3,$J118=经营数据!$BA$5,OR($I118=经营数据!$BA$4,COUNTIF(经营数据!$AA$9:$AA$38,$I118)&gt;0)),1,0))</f>
        <v>0</v>
      </c>
      <c r="AA118" t="str">
        <f t="shared" si="29"/>
        <v/>
      </c>
      <c r="AB118" t="str">
        <f t="shared" si="30"/>
        <v/>
      </c>
      <c r="AC118">
        <f>IF($A118="",0,IF(COUNTIF($A$2:$A118,$A118)=1,1,0))</f>
        <v>0</v>
      </c>
      <c r="AD118">
        <f t="shared" si="31"/>
        <v>2</v>
      </c>
      <c r="AE118" t="str">
        <f t="shared" si="32"/>
        <v>杭州西溪印象城|期末剩余租期情况（年）</v>
      </c>
      <c r="BA118" t="s">
        <v>5397</v>
      </c>
      <c r="BB118" t="s">
        <v>5398</v>
      </c>
      <c r="BP118" s="47">
        <v>45533</v>
      </c>
      <c r="BQ118" s="29">
        <v>5.3605422174030269E-2</v>
      </c>
    </row>
    <row r="119" spans="1:69" x14ac:dyDescent="0.4">
      <c r="A119" t="str">
        <f>IF(原始经营数据!$D120="","",原始经营数据!$D120)</f>
        <v>中金印力消费基础设施封闭式基础设施证券投资基金</v>
      </c>
      <c r="B119" t="str">
        <f>IF(原始经营数据!$D120="","",T(原始经营数据!$E120))</f>
        <v>杭州西溪印象城</v>
      </c>
      <c r="C119" t="str">
        <f>IF(原始经营数据!$D120="","",原始经营数据!$F120)</f>
        <v>2025Q1</v>
      </c>
      <c r="D119" t="str">
        <f>IF(原始经营数据!$D120="","",原始经营数据!$H120)</f>
        <v>期末出租率</v>
      </c>
      <c r="E119">
        <f>IF(原始经营数据!$D120="","",原始经营数据!$I120)</f>
        <v>98.12</v>
      </c>
      <c r="F119" t="str">
        <f>IF(原始经营数据!$D120="","",T(原始经营数据!$J120))</f>
        <v>%</v>
      </c>
      <c r="G119" t="str">
        <f>IF(原始经营数据!$D120="","",T(原始经营数据!$K120))</f>
        <v/>
      </c>
      <c r="H119" t="str">
        <f>IF(原始经营数据!$D120="","",原始经营数据!$G120)</f>
        <v>服务效率</v>
      </c>
      <c r="I119" t="str">
        <f>IF($A119="","",IF($B119&lt;&gt;"",$B119,IF(COUNTIFS(原始经营数据!$D$3:$D$3001,$A119,原始经营数据!$E$3:$E$3001,"",原始经营数据!$F$3:$F$3001,$C119,原始经营数据!$H$3:$H$3001,$D119,原始经营数据!$K$3:$K$3001,$G119)&gt;1,"基金整体·来源"&amp;原始经营数据!$A120,"基金整体")))</f>
        <v>杭州西溪印象城</v>
      </c>
      <c r="J119" t="str">
        <f t="shared" si="18"/>
        <v>季度</v>
      </c>
      <c r="K119" t="str">
        <f t="shared" si="19"/>
        <v>期末出租率（%）</v>
      </c>
      <c r="L119" t="str">
        <f t="shared" si="20"/>
        <v>杭州西溪印象城|期末出租率（%）|季度</v>
      </c>
      <c r="M119">
        <f>IF($A119="",0,IF(COUNTIF($L$2:$L119,$L119)=1,1,0))</f>
        <v>0</v>
      </c>
      <c r="N119">
        <f t="shared" si="21"/>
        <v>20251</v>
      </c>
      <c r="O119" t="str">
        <f t="shared" si="22"/>
        <v>中金印力消费基础设施封闭式基础设施证券投资基金|2025Q1|季度</v>
      </c>
      <c r="P119">
        <f>IF($A119="",0,IF(COUNTIF($O$2:$O119,$O119)=1,1,0))</f>
        <v>0</v>
      </c>
      <c r="Q119" t="str">
        <f>IF(AND($P119=1,$A119=经营数据!$B$3,$J119=经营数据!$BA$5),COUNTIFS($P$2:$P$3000,1,$A$2:$A$3000,$A119,$J$2:$J$3000,$J119,$N$2:$N$3000,"&lt;"&amp;$N119)+1,"")</f>
        <v/>
      </c>
      <c r="R119" t="str">
        <f t="shared" si="23"/>
        <v>中金印力消费基础设施封闭式基础设施证券投资基金|杭州西溪印象城</v>
      </c>
      <c r="S119">
        <f>IF($A119="",0,IF(COUNTIF($R$2:$R119,$R119)=1,1,0))</f>
        <v>0</v>
      </c>
      <c r="T119">
        <f t="shared" si="24"/>
        <v>95</v>
      </c>
      <c r="U119" t="str">
        <f>IF($A119="","",IF($A119=经营数据!$B$3,COUNTIFS($S$2:$S$3000,1,$A$2:$A$3000,$A119,$T$2:$T$3000,"&lt;"&amp;$T119)+1,""))</f>
        <v/>
      </c>
      <c r="V119" t="str">
        <f t="shared" si="25"/>
        <v>杭州西溪印象城|服务效率</v>
      </c>
      <c r="W119">
        <f t="shared" si="26"/>
        <v>98</v>
      </c>
      <c r="X119" t="str">
        <f t="shared" si="27"/>
        <v>杭州西溪印象城|期末出租率</v>
      </c>
      <c r="Y119">
        <f t="shared" si="28"/>
        <v>100</v>
      </c>
      <c r="Z119">
        <f>IF($A119="",0,IF(AND($M119=1,$A119=经营数据!$B$3,$J119=经营数据!$BA$5,OR($I119=经营数据!$BA$4,COUNTIF(经营数据!$AA$9:$AA$38,$I119)&gt;0)),1,0))</f>
        <v>0</v>
      </c>
      <c r="AA119" t="str">
        <f t="shared" si="29"/>
        <v/>
      </c>
      <c r="AB119" t="str">
        <f t="shared" si="30"/>
        <v/>
      </c>
      <c r="AC119">
        <f>IF($A119="",0,IF(COUNTIF($A$2:$A119,$A119)=1,1,0))</f>
        <v>0</v>
      </c>
      <c r="AD119">
        <f t="shared" si="31"/>
        <v>2</v>
      </c>
      <c r="AE119" t="str">
        <f t="shared" si="32"/>
        <v>杭州西溪印象城|期末出租率（%）</v>
      </c>
      <c r="BA119" t="s">
        <v>5399</v>
      </c>
      <c r="BB119" t="s">
        <v>5400</v>
      </c>
      <c r="BP119" s="47">
        <v>45534</v>
      </c>
      <c r="BQ119" s="29">
        <v>5.3601023857749022E-2</v>
      </c>
    </row>
    <row r="120" spans="1:69" x14ac:dyDescent="0.4">
      <c r="A120" t="str">
        <f>IF(原始经营数据!$D121="","",原始经营数据!$D121)</f>
        <v>中金印力消费基础设施封闭式基础设施证券投资基金</v>
      </c>
      <c r="B120" t="str">
        <f>IF(原始经营数据!$D121="","",T(原始经营数据!$E121))</f>
        <v>杭州西溪印象城</v>
      </c>
      <c r="C120" t="str">
        <f>IF(原始经营数据!$D121="","",原始经营数据!$F121)</f>
        <v>2025Q1</v>
      </c>
      <c r="D120" t="str">
        <f>IF(原始经营数据!$D121="","",原始经营数据!$H121)</f>
        <v>期末实际出租面积</v>
      </c>
      <c r="E120">
        <f>IF(原始经营数据!$D121="","",原始经营数据!$I121)</f>
        <v>97568.67</v>
      </c>
      <c r="F120" t="str">
        <f>IF(原始经营数据!$D121="","",T(原始经营数据!$J121))</f>
        <v>平方米</v>
      </c>
      <c r="G120" t="str">
        <f>IF(原始经营数据!$D121="","",T(原始经营数据!$K121))</f>
        <v/>
      </c>
      <c r="H120" t="str">
        <f>IF(原始经营数据!$D121="","",原始经营数据!$G121)</f>
        <v>服务量</v>
      </c>
      <c r="I120" t="str">
        <f>IF($A120="","",IF($B120&lt;&gt;"",$B120,IF(COUNTIFS(原始经营数据!$D$3:$D$3001,$A120,原始经营数据!$E$3:$E$3001,"",原始经营数据!$F$3:$F$3001,$C120,原始经营数据!$H$3:$H$3001,$D120,原始经营数据!$K$3:$K$3001,$G120)&gt;1,"基金整体·来源"&amp;原始经营数据!$A121,"基金整体")))</f>
        <v>杭州西溪印象城</v>
      </c>
      <c r="J120" t="str">
        <f t="shared" si="18"/>
        <v>季度</v>
      </c>
      <c r="K120" t="str">
        <f t="shared" si="19"/>
        <v>期末实际出租面积（平方米）</v>
      </c>
      <c r="L120" t="str">
        <f t="shared" si="20"/>
        <v>杭州西溪印象城|期末实际出租面积（平方米）|季度</v>
      </c>
      <c r="M120">
        <f>IF($A120="",0,IF(COUNTIF($L$2:$L120,$L120)=1,1,0))</f>
        <v>0</v>
      </c>
      <c r="N120">
        <f t="shared" si="21"/>
        <v>20251</v>
      </c>
      <c r="O120" t="str">
        <f t="shared" si="22"/>
        <v>中金印力消费基础设施封闭式基础设施证券投资基金|2025Q1|季度</v>
      </c>
      <c r="P120">
        <f>IF($A120="",0,IF(COUNTIF($O$2:$O120,$O120)=1,1,0))</f>
        <v>0</v>
      </c>
      <c r="Q120" t="str">
        <f>IF(AND($P120=1,$A120=经营数据!$B$3,$J120=经营数据!$BA$5),COUNTIFS($P$2:$P$3000,1,$A$2:$A$3000,$A120,$J$2:$J$3000,$J120,$N$2:$N$3000,"&lt;"&amp;$N120)+1,"")</f>
        <v/>
      </c>
      <c r="R120" t="str">
        <f t="shared" si="23"/>
        <v>中金印力消费基础设施封闭式基础设施证券投资基金|杭州西溪印象城</v>
      </c>
      <c r="S120">
        <f>IF($A120="",0,IF(COUNTIF($R$2:$R120,$R120)=1,1,0))</f>
        <v>0</v>
      </c>
      <c r="T120">
        <f t="shared" si="24"/>
        <v>95</v>
      </c>
      <c r="U120" t="str">
        <f>IF($A120="","",IF($A120=经营数据!$B$3,COUNTIFS($S$2:$S$3000,1,$A$2:$A$3000,$A120,$T$2:$T$3000,"&lt;"&amp;$T120)+1,""))</f>
        <v/>
      </c>
      <c r="V120" t="str">
        <f t="shared" si="25"/>
        <v>杭州西溪印象城|服务量</v>
      </c>
      <c r="W120">
        <f t="shared" si="26"/>
        <v>96</v>
      </c>
      <c r="X120" t="str">
        <f t="shared" si="27"/>
        <v>杭州西溪印象城|期末实际出租面积</v>
      </c>
      <c r="Y120">
        <f t="shared" si="28"/>
        <v>97</v>
      </c>
      <c r="Z120">
        <f>IF($A120="",0,IF(AND($M120=1,$A120=经营数据!$B$3,$J120=经营数据!$BA$5,OR($I120=经营数据!$BA$4,COUNTIF(经营数据!$AA$9:$AA$38,$I120)&gt;0)),1,0))</f>
        <v>0</v>
      </c>
      <c r="AA120" t="str">
        <f t="shared" si="29"/>
        <v/>
      </c>
      <c r="AB120" t="str">
        <f t="shared" si="30"/>
        <v/>
      </c>
      <c r="AC120">
        <f>IF($A120="",0,IF(COUNTIF($A$2:$A120,$A120)=1,1,0))</f>
        <v>0</v>
      </c>
      <c r="AD120">
        <f t="shared" si="31"/>
        <v>2</v>
      </c>
      <c r="AE120" t="str">
        <f t="shared" si="32"/>
        <v>杭州西溪印象城|期末实际出租面积（平方米）</v>
      </c>
      <c r="BA120" t="s">
        <v>5401</v>
      </c>
      <c r="BB120" t="s">
        <v>5402</v>
      </c>
      <c r="BP120" s="47">
        <v>45537</v>
      </c>
      <c r="BQ120" s="29">
        <v>5.3685345731392338E-2</v>
      </c>
    </row>
    <row r="121" spans="1:69" x14ac:dyDescent="0.4">
      <c r="A121" t="str">
        <f>IF(原始经营数据!$D122="","",原始经营数据!$D122)</f>
        <v>中金印力消费基础设施封闭式基础设施证券投资基金</v>
      </c>
      <c r="B121" t="str">
        <f>IF(原始经营数据!$D122="","",T(原始经营数据!$E122))</f>
        <v>杭州西溪印象城</v>
      </c>
      <c r="C121" t="str">
        <f>IF(原始经营数据!$D122="","",原始经营数据!$F122)</f>
        <v>2025Q1</v>
      </c>
      <c r="D121" t="str">
        <f>IF(原始经营数据!$D122="","",原始经营数据!$H122)</f>
        <v>期末可供出租面积</v>
      </c>
      <c r="E121">
        <f>IF(原始经营数据!$D122="","",原始经营数据!$I122)</f>
        <v>99441.54</v>
      </c>
      <c r="F121" t="str">
        <f>IF(原始经营数据!$D122="","",T(原始经营数据!$J122))</f>
        <v>平方米</v>
      </c>
      <c r="G121" t="str">
        <f>IF(原始经营数据!$D122="","",T(原始经营数据!$K122))</f>
        <v/>
      </c>
      <c r="H121" t="str">
        <f>IF(原始经营数据!$D122="","",原始经营数据!$G122)</f>
        <v>服务量</v>
      </c>
      <c r="I121" t="str">
        <f>IF($A121="","",IF($B121&lt;&gt;"",$B121,IF(COUNTIFS(原始经营数据!$D$3:$D$3001,$A121,原始经营数据!$E$3:$E$3001,"",原始经营数据!$F$3:$F$3001,$C121,原始经营数据!$H$3:$H$3001,$D121,原始经营数据!$K$3:$K$3001,$G121)&gt;1,"基金整体·来源"&amp;原始经营数据!$A122,"基金整体")))</f>
        <v>杭州西溪印象城</v>
      </c>
      <c r="J121" t="str">
        <f t="shared" si="18"/>
        <v>季度</v>
      </c>
      <c r="K121" t="str">
        <f t="shared" si="19"/>
        <v>期末可供出租面积（平方米）</v>
      </c>
      <c r="L121" t="str">
        <f t="shared" si="20"/>
        <v>杭州西溪印象城|期末可供出租面积（平方米）|季度</v>
      </c>
      <c r="M121">
        <f>IF($A121="",0,IF(COUNTIF($L$2:$L121,$L121)=1,1,0))</f>
        <v>0</v>
      </c>
      <c r="N121">
        <f t="shared" si="21"/>
        <v>20251</v>
      </c>
      <c r="O121" t="str">
        <f t="shared" si="22"/>
        <v>中金印力消费基础设施封闭式基础设施证券投资基金|2025Q1|季度</v>
      </c>
      <c r="P121">
        <f>IF($A121="",0,IF(COUNTIF($O$2:$O121,$O121)=1,1,0))</f>
        <v>0</v>
      </c>
      <c r="Q121" t="str">
        <f>IF(AND($P121=1,$A121=经营数据!$B$3,$J121=经营数据!$BA$5),COUNTIFS($P$2:$P$3000,1,$A$2:$A$3000,$A121,$J$2:$J$3000,$J121,$N$2:$N$3000,"&lt;"&amp;$N121)+1,"")</f>
        <v/>
      </c>
      <c r="R121" t="str">
        <f t="shared" si="23"/>
        <v>中金印力消费基础设施封闭式基础设施证券投资基金|杭州西溪印象城</v>
      </c>
      <c r="S121">
        <f>IF($A121="",0,IF(COUNTIF($R$2:$R121,$R121)=1,1,0))</f>
        <v>0</v>
      </c>
      <c r="T121">
        <f t="shared" si="24"/>
        <v>95</v>
      </c>
      <c r="U121" t="str">
        <f>IF($A121="","",IF($A121=经营数据!$B$3,COUNTIFS($S$2:$S$3000,1,$A$2:$A$3000,$A121,$T$2:$T$3000,"&lt;"&amp;$T121)+1,""))</f>
        <v/>
      </c>
      <c r="V121" t="str">
        <f t="shared" si="25"/>
        <v>杭州西溪印象城|服务量</v>
      </c>
      <c r="W121">
        <f t="shared" si="26"/>
        <v>96</v>
      </c>
      <c r="X121" t="str">
        <f t="shared" si="27"/>
        <v>杭州西溪印象城|期末可供出租面积</v>
      </c>
      <c r="Y121">
        <f t="shared" si="28"/>
        <v>96</v>
      </c>
      <c r="Z121">
        <f>IF($A121="",0,IF(AND($M121=1,$A121=经营数据!$B$3,$J121=经营数据!$BA$5,OR($I121=经营数据!$BA$4,COUNTIF(经营数据!$AA$9:$AA$38,$I121)&gt;0)),1,0))</f>
        <v>0</v>
      </c>
      <c r="AA121" t="str">
        <f t="shared" si="29"/>
        <v/>
      </c>
      <c r="AB121" t="str">
        <f t="shared" si="30"/>
        <v/>
      </c>
      <c r="AC121">
        <f>IF($A121="",0,IF(COUNTIF($A$2:$A121,$A121)=1,1,0))</f>
        <v>0</v>
      </c>
      <c r="AD121">
        <f t="shared" si="31"/>
        <v>2</v>
      </c>
      <c r="AE121" t="str">
        <f t="shared" si="32"/>
        <v>杭州西溪印象城|期末可供出租面积（平方米）</v>
      </c>
      <c r="BA121" t="s">
        <v>5403</v>
      </c>
      <c r="BB121" t="s">
        <v>5404</v>
      </c>
      <c r="BP121" s="47">
        <v>45538</v>
      </c>
      <c r="BQ121" s="29">
        <v>5.3714984194143278E-2</v>
      </c>
    </row>
    <row r="122" spans="1:69" x14ac:dyDescent="0.4">
      <c r="A122" t="str">
        <f>IF(原始经营数据!$D123="","",原始经营数据!$D123)</f>
        <v>中金印力消费基础设施封闭式基础设施证券投资基金</v>
      </c>
      <c r="B122" t="str">
        <f>IF(原始经营数据!$D123="","",T(原始经营数据!$E123))</f>
        <v>杭州西溪印象城</v>
      </c>
      <c r="C122" t="str">
        <f>IF(原始经营数据!$D123="","",原始经营数据!$F123)</f>
        <v>2025Q1</v>
      </c>
      <c r="D122" t="str">
        <f>IF(原始经营数据!$D123="","",原始经营数据!$H123)</f>
        <v>期内平均租金单价</v>
      </c>
      <c r="E122">
        <f>IF(原始经营数据!$D123="","",原始经营数据!$I123)</f>
        <v>263.02999999999997</v>
      </c>
      <c r="F122" t="str">
        <f>IF(原始经营数据!$D123="","",T(原始经营数据!$J123))</f>
        <v>元/平方米/月</v>
      </c>
      <c r="G122" t="str">
        <f>IF(原始经营数据!$D123="","",T(原始经营数据!$K123))</f>
        <v/>
      </c>
      <c r="H122" t="str">
        <f>IF(原始经营数据!$D123="","",原始经营数据!$G123)</f>
        <v>服务价格</v>
      </c>
      <c r="I122" t="str">
        <f>IF($A122="","",IF($B122&lt;&gt;"",$B122,IF(COUNTIFS(原始经营数据!$D$3:$D$3001,$A122,原始经营数据!$E$3:$E$3001,"",原始经营数据!$F$3:$F$3001,$C122,原始经营数据!$H$3:$H$3001,$D122,原始经营数据!$K$3:$K$3001,$G122)&gt;1,"基金整体·来源"&amp;原始经营数据!$A123,"基金整体")))</f>
        <v>杭州西溪印象城</v>
      </c>
      <c r="J122" t="str">
        <f t="shared" si="18"/>
        <v>季度</v>
      </c>
      <c r="K122" t="str">
        <f t="shared" si="19"/>
        <v>期内平均租金单价（元/平方米/月）</v>
      </c>
      <c r="L122" t="str">
        <f t="shared" si="20"/>
        <v>杭州西溪印象城|期内平均租金单价（元/平方米/月）|季度</v>
      </c>
      <c r="M122">
        <f>IF($A122="",0,IF(COUNTIF($L$2:$L122,$L122)=1,1,0))</f>
        <v>0</v>
      </c>
      <c r="N122">
        <f t="shared" si="21"/>
        <v>20251</v>
      </c>
      <c r="O122" t="str">
        <f t="shared" si="22"/>
        <v>中金印力消费基础设施封闭式基础设施证券投资基金|2025Q1|季度</v>
      </c>
      <c r="P122">
        <f>IF($A122="",0,IF(COUNTIF($O$2:$O122,$O122)=1,1,0))</f>
        <v>0</v>
      </c>
      <c r="Q122" t="str">
        <f>IF(AND($P122=1,$A122=经营数据!$B$3,$J122=经营数据!$BA$5),COUNTIFS($P$2:$P$3000,1,$A$2:$A$3000,$A122,$J$2:$J$3000,$J122,$N$2:$N$3000,"&lt;"&amp;$N122)+1,"")</f>
        <v/>
      </c>
      <c r="R122" t="str">
        <f t="shared" si="23"/>
        <v>中金印力消费基础设施封闭式基础设施证券投资基金|杭州西溪印象城</v>
      </c>
      <c r="S122">
        <f>IF($A122="",0,IF(COUNTIF($R$2:$R122,$R122)=1,1,0))</f>
        <v>0</v>
      </c>
      <c r="T122">
        <f t="shared" si="24"/>
        <v>95</v>
      </c>
      <c r="U122" t="str">
        <f>IF($A122="","",IF($A122=经营数据!$B$3,COUNTIFS($S$2:$S$3000,1,$A$2:$A$3000,$A122,$T$2:$T$3000,"&lt;"&amp;$T122)+1,""))</f>
        <v/>
      </c>
      <c r="V122" t="str">
        <f t="shared" si="25"/>
        <v>杭州西溪印象城|服务价格</v>
      </c>
      <c r="W122">
        <f t="shared" si="26"/>
        <v>95</v>
      </c>
      <c r="X122" t="str">
        <f t="shared" si="27"/>
        <v>杭州西溪印象城|期内平均租金单价</v>
      </c>
      <c r="Y122">
        <f t="shared" si="28"/>
        <v>95</v>
      </c>
      <c r="Z122">
        <f>IF($A122="",0,IF(AND($M122=1,$A122=经营数据!$B$3,$J122=经营数据!$BA$5,OR($I122=经营数据!$BA$4,COUNTIF(经营数据!$AA$9:$AA$38,$I122)&gt;0)),1,0))</f>
        <v>0</v>
      </c>
      <c r="AA122" t="str">
        <f t="shared" si="29"/>
        <v/>
      </c>
      <c r="AB122" t="str">
        <f t="shared" si="30"/>
        <v/>
      </c>
      <c r="AC122">
        <f>IF($A122="",0,IF(COUNTIF($A$2:$A122,$A122)=1,1,0))</f>
        <v>0</v>
      </c>
      <c r="AD122">
        <f t="shared" si="31"/>
        <v>2</v>
      </c>
      <c r="AE122" t="str">
        <f t="shared" si="32"/>
        <v>杭州西溪印象城|期内平均租金单价（元/平方米/月）</v>
      </c>
      <c r="BA122" t="s">
        <v>5405</v>
      </c>
      <c r="BB122" t="s">
        <v>5406</v>
      </c>
      <c r="BP122" s="47">
        <v>45539</v>
      </c>
      <c r="BQ122" s="29">
        <v>5.3606050563852481E-2</v>
      </c>
    </row>
    <row r="123" spans="1:69" x14ac:dyDescent="0.4">
      <c r="A123" t="str">
        <f>IF(原始经营数据!$D124="","",原始经营数据!$D124)</f>
        <v>中金印力消费基础设施封闭式基础设施证券投资基金</v>
      </c>
      <c r="B123" t="str">
        <f>IF(原始经营数据!$D124="","",T(原始经营数据!$E124))</f>
        <v>杭州西溪印象城</v>
      </c>
      <c r="C123" t="str">
        <f>IF(原始经营数据!$D124="","",原始经营数据!$F124)</f>
        <v>2025Q1</v>
      </c>
      <c r="D123" t="str">
        <f>IF(原始经营数据!$D124="","",原始经营数据!$H124)</f>
        <v>期内租金单价水平</v>
      </c>
      <c r="E123">
        <f>IF(原始经营数据!$D124="","",原始经营数据!$I124)</f>
        <v>263.02999999999997</v>
      </c>
      <c r="F123" t="str">
        <f>IF(原始经营数据!$D124="","",T(原始经营数据!$J124))</f>
        <v>元/平方米/月</v>
      </c>
      <c r="G123" t="str">
        <f>IF(原始经营数据!$D124="","",T(原始经营数据!$K124))</f>
        <v/>
      </c>
      <c r="H123" t="str">
        <f>IF(原始经营数据!$D124="","",原始经营数据!$G124)</f>
        <v>服务价格</v>
      </c>
      <c r="I123" t="str">
        <f>IF($A123="","",IF($B123&lt;&gt;"",$B123,IF(COUNTIFS(原始经营数据!$D$3:$D$3001,$A123,原始经营数据!$E$3:$E$3001,"",原始经营数据!$F$3:$F$3001,$C123,原始经营数据!$H$3:$H$3001,$D123,原始经营数据!$K$3:$K$3001,$G123)&gt;1,"基金整体·来源"&amp;原始经营数据!$A124,"基金整体")))</f>
        <v>杭州西溪印象城</v>
      </c>
      <c r="J123" t="str">
        <f t="shared" si="18"/>
        <v>季度</v>
      </c>
      <c r="K123" t="str">
        <f t="shared" si="19"/>
        <v>期内租金单价水平（元/平方米/月）</v>
      </c>
      <c r="L123" t="str">
        <f t="shared" si="20"/>
        <v>杭州西溪印象城|期内租金单价水平（元/平方米/月）|季度</v>
      </c>
      <c r="M123">
        <f>IF($A123="",0,IF(COUNTIF($L$2:$L123,$L123)=1,1,0))</f>
        <v>0</v>
      </c>
      <c r="N123">
        <f t="shared" si="21"/>
        <v>20251</v>
      </c>
      <c r="O123" t="str">
        <f t="shared" si="22"/>
        <v>中金印力消费基础设施封闭式基础设施证券投资基金|2025Q1|季度</v>
      </c>
      <c r="P123">
        <f>IF($A123="",0,IF(COUNTIF($O$2:$O123,$O123)=1,1,0))</f>
        <v>0</v>
      </c>
      <c r="Q123" t="str">
        <f>IF(AND($P123=1,$A123=经营数据!$B$3,$J123=经营数据!$BA$5),COUNTIFS($P$2:$P$3000,1,$A$2:$A$3000,$A123,$J$2:$J$3000,$J123,$N$2:$N$3000,"&lt;"&amp;$N123)+1,"")</f>
        <v/>
      </c>
      <c r="R123" t="str">
        <f t="shared" si="23"/>
        <v>中金印力消费基础设施封闭式基础设施证券投资基金|杭州西溪印象城</v>
      </c>
      <c r="S123">
        <f>IF($A123="",0,IF(COUNTIF($R$2:$R123,$R123)=1,1,0))</f>
        <v>0</v>
      </c>
      <c r="T123">
        <f t="shared" si="24"/>
        <v>95</v>
      </c>
      <c r="U123" t="str">
        <f>IF($A123="","",IF($A123=经营数据!$B$3,COUNTIFS($S$2:$S$3000,1,$A$2:$A$3000,$A123,$T$2:$T$3000,"&lt;"&amp;$T123)+1,""))</f>
        <v/>
      </c>
      <c r="V123" t="str">
        <f t="shared" si="25"/>
        <v>杭州西溪印象城|服务价格</v>
      </c>
      <c r="W123">
        <f t="shared" si="26"/>
        <v>95</v>
      </c>
      <c r="X123" t="str">
        <f t="shared" si="27"/>
        <v>杭州西溪印象城|期内租金单价水平</v>
      </c>
      <c r="Y123">
        <f t="shared" si="28"/>
        <v>101</v>
      </c>
      <c r="Z123">
        <f>IF($A123="",0,IF(AND($M123=1,$A123=经营数据!$B$3,$J123=经营数据!$BA$5,OR($I123=经营数据!$BA$4,COUNTIF(经营数据!$AA$9:$AA$38,$I123)&gt;0)),1,0))</f>
        <v>0</v>
      </c>
      <c r="AA123" t="str">
        <f t="shared" si="29"/>
        <v/>
      </c>
      <c r="AB123" t="str">
        <f t="shared" si="30"/>
        <v/>
      </c>
      <c r="AC123">
        <f>IF($A123="",0,IF(COUNTIF($A$2:$A123,$A123)=1,1,0))</f>
        <v>0</v>
      </c>
      <c r="AD123">
        <f t="shared" si="31"/>
        <v>2</v>
      </c>
      <c r="AE123" t="str">
        <f t="shared" si="32"/>
        <v>杭州西溪印象城|期内租金单价水平（元/平方米/月）</v>
      </c>
      <c r="BA123" t="s">
        <v>5407</v>
      </c>
      <c r="BB123" t="s">
        <v>5408</v>
      </c>
      <c r="BP123" s="47">
        <v>45540</v>
      </c>
      <c r="BQ123" s="29">
        <v>5.3401349355972579E-2</v>
      </c>
    </row>
    <row r="124" spans="1:69" x14ac:dyDescent="0.4">
      <c r="A124" t="str">
        <f>IF(原始经营数据!$D125="","",原始经营数据!$D125)</f>
        <v>中金印力消费基础设施封闭式基础设施证券投资基金</v>
      </c>
      <c r="B124" t="str">
        <f>IF(原始经营数据!$D125="","",T(原始经营数据!$E125))</f>
        <v>杭州西溪印象城</v>
      </c>
      <c r="C124" t="str">
        <f>IF(原始经营数据!$D125="","",原始经营数据!$F125)</f>
        <v>2025Q2</v>
      </c>
      <c r="D124" t="str">
        <f>IF(原始经营数据!$D125="","",原始经营数据!$H125)</f>
        <v>期内租金单价水平</v>
      </c>
      <c r="E124">
        <f>IF(原始经营数据!$D125="","",原始经营数据!$I125)</f>
        <v>251.33</v>
      </c>
      <c r="F124" t="str">
        <f>IF(原始经营数据!$D125="","",T(原始经营数据!$J125))</f>
        <v>元/平方米/月</v>
      </c>
      <c r="G124" t="str">
        <f>IF(原始经营数据!$D125="","",T(原始经营数据!$K125))</f>
        <v/>
      </c>
      <c r="H124" t="str">
        <f>IF(原始经营数据!$D125="","",原始经营数据!$G125)</f>
        <v>服务价格</v>
      </c>
      <c r="I124" t="str">
        <f>IF($A124="","",IF($B124&lt;&gt;"",$B124,IF(COUNTIFS(原始经营数据!$D$3:$D$3001,$A124,原始经营数据!$E$3:$E$3001,"",原始经营数据!$F$3:$F$3001,$C124,原始经营数据!$H$3:$H$3001,$D124,原始经营数据!$K$3:$K$3001,$G124)&gt;1,"基金整体·来源"&amp;原始经营数据!$A125,"基金整体")))</f>
        <v>杭州西溪印象城</v>
      </c>
      <c r="J124" t="str">
        <f t="shared" si="18"/>
        <v>季度</v>
      </c>
      <c r="K124" t="str">
        <f t="shared" si="19"/>
        <v>期内租金单价水平（元/平方米/月）</v>
      </c>
      <c r="L124" t="str">
        <f t="shared" si="20"/>
        <v>杭州西溪印象城|期内租金单价水平（元/平方米/月）|季度</v>
      </c>
      <c r="M124">
        <f>IF($A124="",0,IF(COUNTIF($L$2:$L124,$L124)=1,1,0))</f>
        <v>0</v>
      </c>
      <c r="N124">
        <f t="shared" si="21"/>
        <v>20252</v>
      </c>
      <c r="O124" t="str">
        <f t="shared" si="22"/>
        <v>中金印力消费基础设施封闭式基础设施证券投资基金|2025Q2|季度</v>
      </c>
      <c r="P124">
        <f>IF($A124="",0,IF(COUNTIF($O$2:$O124,$O124)=1,1,0))</f>
        <v>1</v>
      </c>
      <c r="Q124" t="str">
        <f>IF(AND($P124=1,$A124=经营数据!$B$3,$J124=经营数据!$BA$5),COUNTIFS($P$2:$P$3000,1,$A$2:$A$3000,$A124,$J$2:$J$3000,$J124,$N$2:$N$3000,"&lt;"&amp;$N124)+1,"")</f>
        <v/>
      </c>
      <c r="R124" t="str">
        <f t="shared" si="23"/>
        <v>中金印力消费基础设施封闭式基础设施证券投资基金|杭州西溪印象城</v>
      </c>
      <c r="S124">
        <f>IF($A124="",0,IF(COUNTIF($R$2:$R124,$R124)=1,1,0))</f>
        <v>0</v>
      </c>
      <c r="T124">
        <f t="shared" si="24"/>
        <v>95</v>
      </c>
      <c r="U124" t="str">
        <f>IF($A124="","",IF($A124=经营数据!$B$3,COUNTIFS($S$2:$S$3000,1,$A$2:$A$3000,$A124,$T$2:$T$3000,"&lt;"&amp;$T124)+1,""))</f>
        <v/>
      </c>
      <c r="V124" t="str">
        <f t="shared" si="25"/>
        <v>杭州西溪印象城|服务价格</v>
      </c>
      <c r="W124">
        <f t="shared" si="26"/>
        <v>95</v>
      </c>
      <c r="X124" t="str">
        <f t="shared" si="27"/>
        <v>杭州西溪印象城|期内租金单价水平</v>
      </c>
      <c r="Y124">
        <f t="shared" si="28"/>
        <v>101</v>
      </c>
      <c r="Z124">
        <f>IF($A124="",0,IF(AND($M124=1,$A124=经营数据!$B$3,$J124=经营数据!$BA$5,OR($I124=经营数据!$BA$4,COUNTIF(经营数据!$AA$9:$AA$38,$I124)&gt;0)),1,0))</f>
        <v>0</v>
      </c>
      <c r="AA124" t="str">
        <f t="shared" si="29"/>
        <v/>
      </c>
      <c r="AB124" t="str">
        <f t="shared" si="30"/>
        <v/>
      </c>
      <c r="AC124">
        <f>IF($A124="",0,IF(COUNTIF($A$2:$A124,$A124)=1,1,0))</f>
        <v>0</v>
      </c>
      <c r="AD124">
        <f t="shared" si="31"/>
        <v>2</v>
      </c>
      <c r="AE124" t="str">
        <f t="shared" si="32"/>
        <v>杭州西溪印象城|期内租金单价水平（元/平方米/月）</v>
      </c>
      <c r="BA124" t="s">
        <v>5409</v>
      </c>
      <c r="BB124" t="s">
        <v>5410</v>
      </c>
      <c r="BP124" s="47">
        <v>45541</v>
      </c>
      <c r="BQ124" s="29">
        <v>5.3276918544149683E-2</v>
      </c>
    </row>
    <row r="125" spans="1:69" x14ac:dyDescent="0.4">
      <c r="A125" t="str">
        <f>IF(原始经营数据!$D126="","",原始经营数据!$D126)</f>
        <v>中金印力消费基础设施封闭式基础设施证券投资基金</v>
      </c>
      <c r="B125" t="str">
        <f>IF(原始经营数据!$D126="","",T(原始经营数据!$E126))</f>
        <v>杭州西溪印象城</v>
      </c>
      <c r="C125" t="str">
        <f>IF(原始经营数据!$D126="","",原始经营数据!$F126)</f>
        <v>2025Q2</v>
      </c>
      <c r="D125" t="str">
        <f>IF(原始经营数据!$D126="","",原始经营数据!$H126)</f>
        <v>期末租金收缴率</v>
      </c>
      <c r="E125">
        <f>IF(原始经营数据!$D126="","",原始经营数据!$I126)</f>
        <v>99.8</v>
      </c>
      <c r="F125" t="str">
        <f>IF(原始经营数据!$D126="","",T(原始经营数据!$J126))</f>
        <v>%</v>
      </c>
      <c r="G125" t="str">
        <f>IF(原始经营数据!$D126="","",T(原始经营数据!$K126))</f>
        <v/>
      </c>
      <c r="H125" t="str">
        <f>IF(原始经营数据!$D126="","",原始经营数据!$G126)</f>
        <v>服务效率</v>
      </c>
      <c r="I125" t="str">
        <f>IF($A125="","",IF($B125&lt;&gt;"",$B125,IF(COUNTIFS(原始经营数据!$D$3:$D$3001,$A125,原始经营数据!$E$3:$E$3001,"",原始经营数据!$F$3:$F$3001,$C125,原始经营数据!$H$3:$H$3001,$D125,原始经营数据!$K$3:$K$3001,$G125)&gt;1,"基金整体·来源"&amp;原始经营数据!$A126,"基金整体")))</f>
        <v>杭州西溪印象城</v>
      </c>
      <c r="J125" t="str">
        <f t="shared" si="18"/>
        <v>季度</v>
      </c>
      <c r="K125" t="str">
        <f t="shared" si="19"/>
        <v>期末租金收缴率（%）</v>
      </c>
      <c r="L125" t="str">
        <f t="shared" si="20"/>
        <v>杭州西溪印象城|期末租金收缴率（%）|季度</v>
      </c>
      <c r="M125">
        <f>IF($A125="",0,IF(COUNTIF($L$2:$L125,$L125)=1,1,0))</f>
        <v>0</v>
      </c>
      <c r="N125">
        <f t="shared" si="21"/>
        <v>20252</v>
      </c>
      <c r="O125" t="str">
        <f t="shared" si="22"/>
        <v>中金印力消费基础设施封闭式基础设施证券投资基金|2025Q2|季度</v>
      </c>
      <c r="P125">
        <f>IF($A125="",0,IF(COUNTIF($O$2:$O125,$O125)=1,1,0))</f>
        <v>0</v>
      </c>
      <c r="Q125" t="str">
        <f>IF(AND($P125=1,$A125=经营数据!$B$3,$J125=经营数据!$BA$5),COUNTIFS($P$2:$P$3000,1,$A$2:$A$3000,$A125,$J$2:$J$3000,$J125,$N$2:$N$3000,"&lt;"&amp;$N125)+1,"")</f>
        <v/>
      </c>
      <c r="R125" t="str">
        <f t="shared" si="23"/>
        <v>中金印力消费基础设施封闭式基础设施证券投资基金|杭州西溪印象城</v>
      </c>
      <c r="S125">
        <f>IF($A125="",0,IF(COUNTIF($R$2:$R125,$R125)=1,1,0))</f>
        <v>0</v>
      </c>
      <c r="T125">
        <f t="shared" si="24"/>
        <v>95</v>
      </c>
      <c r="U125" t="str">
        <f>IF($A125="","",IF($A125=经营数据!$B$3,COUNTIFS($S$2:$S$3000,1,$A$2:$A$3000,$A125,$T$2:$T$3000,"&lt;"&amp;$T125)+1,""))</f>
        <v/>
      </c>
      <c r="V125" t="str">
        <f t="shared" si="25"/>
        <v>杭州西溪印象城|服务效率</v>
      </c>
      <c r="W125">
        <f t="shared" si="26"/>
        <v>98</v>
      </c>
      <c r="X125" t="str">
        <f t="shared" si="27"/>
        <v>杭州西溪印象城|期末租金收缴率</v>
      </c>
      <c r="Y125">
        <f t="shared" si="28"/>
        <v>98</v>
      </c>
      <c r="Z125">
        <f>IF($A125="",0,IF(AND($M125=1,$A125=经营数据!$B$3,$J125=经营数据!$BA$5,OR($I125=经营数据!$BA$4,COUNTIF(经营数据!$AA$9:$AA$38,$I125)&gt;0)),1,0))</f>
        <v>0</v>
      </c>
      <c r="AA125" t="str">
        <f t="shared" si="29"/>
        <v/>
      </c>
      <c r="AB125" t="str">
        <f t="shared" si="30"/>
        <v/>
      </c>
      <c r="AC125">
        <f>IF($A125="",0,IF(COUNTIF($A$2:$A125,$A125)=1,1,0))</f>
        <v>0</v>
      </c>
      <c r="AD125">
        <f t="shared" si="31"/>
        <v>2</v>
      </c>
      <c r="AE125" t="str">
        <f t="shared" si="32"/>
        <v>杭州西溪印象城|期末租金收缴率（%）</v>
      </c>
      <c r="BA125" t="s">
        <v>5411</v>
      </c>
      <c r="BB125" t="s">
        <v>5412</v>
      </c>
      <c r="BP125" s="47">
        <v>45544</v>
      </c>
      <c r="BQ125" s="29">
        <v>5.3461907844650207E-2</v>
      </c>
    </row>
    <row r="126" spans="1:69" x14ac:dyDescent="0.4">
      <c r="A126" t="str">
        <f>IF(原始经营数据!$D127="","",原始经营数据!$D127)</f>
        <v>中金印力消费基础设施封闭式基础设施证券投资基金</v>
      </c>
      <c r="B126" t="str">
        <f>IF(原始经营数据!$D127="","",T(原始经营数据!$E127))</f>
        <v>杭州西溪印象城</v>
      </c>
      <c r="C126" t="str">
        <f>IF(原始经营数据!$D127="","",原始经营数据!$F127)</f>
        <v>2025Q2</v>
      </c>
      <c r="D126" t="str">
        <f>IF(原始经营数据!$D127="","",原始经营数据!$H127)</f>
        <v>期末剩余租期情况</v>
      </c>
      <c r="E126">
        <f>IF(原始经营数据!$D127="","",原始经营数据!$I127)</f>
        <v>2.85</v>
      </c>
      <c r="F126" t="str">
        <f>IF(原始经营数据!$D127="","",T(原始经营数据!$J127))</f>
        <v>年</v>
      </c>
      <c r="G126" t="str">
        <f>IF(原始经营数据!$D127="","",T(原始经营数据!$K127))</f>
        <v/>
      </c>
      <c r="H126" t="str">
        <f>IF(原始经营数据!$D127="","",原始经营数据!$G127)</f>
        <v>服务量</v>
      </c>
      <c r="I126" t="str">
        <f>IF($A126="","",IF($B126&lt;&gt;"",$B126,IF(COUNTIFS(原始经营数据!$D$3:$D$3001,$A126,原始经营数据!$E$3:$E$3001,"",原始经营数据!$F$3:$F$3001,$C126,原始经营数据!$H$3:$H$3001,$D126,原始经营数据!$K$3:$K$3001,$G126)&gt;1,"基金整体·来源"&amp;原始经营数据!$A127,"基金整体")))</f>
        <v>杭州西溪印象城</v>
      </c>
      <c r="J126" t="str">
        <f t="shared" si="18"/>
        <v>季度</v>
      </c>
      <c r="K126" t="str">
        <f t="shared" si="19"/>
        <v>期末剩余租期情况（年）</v>
      </c>
      <c r="L126" t="str">
        <f t="shared" si="20"/>
        <v>杭州西溪印象城|期末剩余租期情况（年）|季度</v>
      </c>
      <c r="M126">
        <f>IF($A126="",0,IF(COUNTIF($L$2:$L126,$L126)=1,1,0))</f>
        <v>0</v>
      </c>
      <c r="N126">
        <f t="shared" si="21"/>
        <v>20252</v>
      </c>
      <c r="O126" t="str">
        <f t="shared" si="22"/>
        <v>中金印力消费基础设施封闭式基础设施证券投资基金|2025Q2|季度</v>
      </c>
      <c r="P126">
        <f>IF($A126="",0,IF(COUNTIF($O$2:$O126,$O126)=1,1,0))</f>
        <v>0</v>
      </c>
      <c r="Q126" t="str">
        <f>IF(AND($P126=1,$A126=经营数据!$B$3,$J126=经营数据!$BA$5),COUNTIFS($P$2:$P$3000,1,$A$2:$A$3000,$A126,$J$2:$J$3000,$J126,$N$2:$N$3000,"&lt;"&amp;$N126)+1,"")</f>
        <v/>
      </c>
      <c r="R126" t="str">
        <f t="shared" si="23"/>
        <v>中金印力消费基础设施封闭式基础设施证券投资基金|杭州西溪印象城</v>
      </c>
      <c r="S126">
        <f>IF($A126="",0,IF(COUNTIF($R$2:$R126,$R126)=1,1,0))</f>
        <v>0</v>
      </c>
      <c r="T126">
        <f t="shared" si="24"/>
        <v>95</v>
      </c>
      <c r="U126" t="str">
        <f>IF($A126="","",IF($A126=经营数据!$B$3,COUNTIFS($S$2:$S$3000,1,$A$2:$A$3000,$A126,$T$2:$T$3000,"&lt;"&amp;$T126)+1,""))</f>
        <v/>
      </c>
      <c r="V126" t="str">
        <f t="shared" si="25"/>
        <v>杭州西溪印象城|服务量</v>
      </c>
      <c r="W126">
        <f t="shared" si="26"/>
        <v>96</v>
      </c>
      <c r="X126" t="str">
        <f t="shared" si="27"/>
        <v>杭州西溪印象城|期末剩余租期情况</v>
      </c>
      <c r="Y126">
        <f t="shared" si="28"/>
        <v>99</v>
      </c>
      <c r="Z126">
        <f>IF($A126="",0,IF(AND($M126=1,$A126=经营数据!$B$3,$J126=经营数据!$BA$5,OR($I126=经营数据!$BA$4,COUNTIF(经营数据!$AA$9:$AA$38,$I126)&gt;0)),1,0))</f>
        <v>0</v>
      </c>
      <c r="AA126" t="str">
        <f t="shared" si="29"/>
        <v/>
      </c>
      <c r="AB126" t="str">
        <f t="shared" si="30"/>
        <v/>
      </c>
      <c r="AC126">
        <f>IF($A126="",0,IF(COUNTIF($A$2:$A126,$A126)=1,1,0))</f>
        <v>0</v>
      </c>
      <c r="AD126">
        <f t="shared" si="31"/>
        <v>2</v>
      </c>
      <c r="AE126" t="str">
        <f t="shared" si="32"/>
        <v>杭州西溪印象城|期末剩余租期情况（年）</v>
      </c>
      <c r="BA126" t="s">
        <v>5413</v>
      </c>
      <c r="BB126" t="s">
        <v>5414</v>
      </c>
      <c r="BP126" s="47">
        <v>45545</v>
      </c>
      <c r="BQ126" s="29">
        <v>5.347003436970172E-2</v>
      </c>
    </row>
    <row r="127" spans="1:69" x14ac:dyDescent="0.4">
      <c r="A127" t="str">
        <f>IF(原始经营数据!$D128="","",原始经营数据!$D128)</f>
        <v>中金印力消费基础设施封闭式基础设施证券投资基金</v>
      </c>
      <c r="B127" t="str">
        <f>IF(原始经营数据!$D128="","",T(原始经营数据!$E128))</f>
        <v>杭州西溪印象城</v>
      </c>
      <c r="C127" t="str">
        <f>IF(原始经营数据!$D128="","",原始经营数据!$F128)</f>
        <v>2025Q2</v>
      </c>
      <c r="D127" t="str">
        <f>IF(原始经营数据!$D128="","",原始经营数据!$H128)</f>
        <v>期末出租率</v>
      </c>
      <c r="E127">
        <f>IF(原始经营数据!$D128="","",原始经营数据!$I128)</f>
        <v>98.88</v>
      </c>
      <c r="F127" t="str">
        <f>IF(原始经营数据!$D128="","",T(原始经营数据!$J128))</f>
        <v>%</v>
      </c>
      <c r="G127" t="str">
        <f>IF(原始经营数据!$D128="","",T(原始经营数据!$K128))</f>
        <v/>
      </c>
      <c r="H127" t="str">
        <f>IF(原始经营数据!$D128="","",原始经营数据!$G128)</f>
        <v>服务效率</v>
      </c>
      <c r="I127" t="str">
        <f>IF($A127="","",IF($B127&lt;&gt;"",$B127,IF(COUNTIFS(原始经营数据!$D$3:$D$3001,$A127,原始经营数据!$E$3:$E$3001,"",原始经营数据!$F$3:$F$3001,$C127,原始经营数据!$H$3:$H$3001,$D127,原始经营数据!$K$3:$K$3001,$G127)&gt;1,"基金整体·来源"&amp;原始经营数据!$A128,"基金整体")))</f>
        <v>杭州西溪印象城</v>
      </c>
      <c r="J127" t="str">
        <f t="shared" si="18"/>
        <v>季度</v>
      </c>
      <c r="K127" t="str">
        <f t="shared" si="19"/>
        <v>期末出租率（%）</v>
      </c>
      <c r="L127" t="str">
        <f t="shared" si="20"/>
        <v>杭州西溪印象城|期末出租率（%）|季度</v>
      </c>
      <c r="M127">
        <f>IF($A127="",0,IF(COUNTIF($L$2:$L127,$L127)=1,1,0))</f>
        <v>0</v>
      </c>
      <c r="N127">
        <f t="shared" si="21"/>
        <v>20252</v>
      </c>
      <c r="O127" t="str">
        <f t="shared" si="22"/>
        <v>中金印力消费基础设施封闭式基础设施证券投资基金|2025Q2|季度</v>
      </c>
      <c r="P127">
        <f>IF($A127="",0,IF(COUNTIF($O$2:$O127,$O127)=1,1,0))</f>
        <v>0</v>
      </c>
      <c r="Q127" t="str">
        <f>IF(AND($P127=1,$A127=经营数据!$B$3,$J127=经营数据!$BA$5),COUNTIFS($P$2:$P$3000,1,$A$2:$A$3000,$A127,$J$2:$J$3000,$J127,$N$2:$N$3000,"&lt;"&amp;$N127)+1,"")</f>
        <v/>
      </c>
      <c r="R127" t="str">
        <f t="shared" si="23"/>
        <v>中金印力消费基础设施封闭式基础设施证券投资基金|杭州西溪印象城</v>
      </c>
      <c r="S127">
        <f>IF($A127="",0,IF(COUNTIF($R$2:$R127,$R127)=1,1,0))</f>
        <v>0</v>
      </c>
      <c r="T127">
        <f t="shared" si="24"/>
        <v>95</v>
      </c>
      <c r="U127" t="str">
        <f>IF($A127="","",IF($A127=经营数据!$B$3,COUNTIFS($S$2:$S$3000,1,$A$2:$A$3000,$A127,$T$2:$T$3000,"&lt;"&amp;$T127)+1,""))</f>
        <v/>
      </c>
      <c r="V127" t="str">
        <f t="shared" si="25"/>
        <v>杭州西溪印象城|服务效率</v>
      </c>
      <c r="W127">
        <f t="shared" si="26"/>
        <v>98</v>
      </c>
      <c r="X127" t="str">
        <f t="shared" si="27"/>
        <v>杭州西溪印象城|期末出租率</v>
      </c>
      <c r="Y127">
        <f t="shared" si="28"/>
        <v>100</v>
      </c>
      <c r="Z127">
        <f>IF($A127="",0,IF(AND($M127=1,$A127=经营数据!$B$3,$J127=经营数据!$BA$5,OR($I127=经营数据!$BA$4,COUNTIF(经营数据!$AA$9:$AA$38,$I127)&gt;0)),1,0))</f>
        <v>0</v>
      </c>
      <c r="AA127" t="str">
        <f t="shared" si="29"/>
        <v/>
      </c>
      <c r="AB127" t="str">
        <f t="shared" si="30"/>
        <v/>
      </c>
      <c r="AC127">
        <f>IF($A127="",0,IF(COUNTIF($A$2:$A127,$A127)=1,1,0))</f>
        <v>0</v>
      </c>
      <c r="AD127">
        <f t="shared" si="31"/>
        <v>2</v>
      </c>
      <c r="AE127" t="str">
        <f t="shared" si="32"/>
        <v>杭州西溪印象城|期末出租率（%）</v>
      </c>
      <c r="BA127" t="s">
        <v>5415</v>
      </c>
      <c r="BB127" t="s">
        <v>5416</v>
      </c>
      <c r="BP127" s="47">
        <v>45546</v>
      </c>
      <c r="BQ127" s="29">
        <v>5.3569000754407542E-2</v>
      </c>
    </row>
    <row r="128" spans="1:69" x14ac:dyDescent="0.4">
      <c r="A128" t="str">
        <f>IF(原始经营数据!$D129="","",原始经营数据!$D129)</f>
        <v>中金印力消费基础设施封闭式基础设施证券投资基金</v>
      </c>
      <c r="B128" t="str">
        <f>IF(原始经营数据!$D129="","",T(原始经营数据!$E129))</f>
        <v>杭州西溪印象城</v>
      </c>
      <c r="C128" t="str">
        <f>IF(原始经营数据!$D129="","",原始经营数据!$F129)</f>
        <v>2025Q2</v>
      </c>
      <c r="D128" t="str">
        <f>IF(原始经营数据!$D129="","",原始经营数据!$H129)</f>
        <v>期末实际出租面积</v>
      </c>
      <c r="E128">
        <f>IF(原始经营数据!$D129="","",原始经营数据!$I129)</f>
        <v>98329.05</v>
      </c>
      <c r="F128" t="str">
        <f>IF(原始经营数据!$D129="","",T(原始经营数据!$J129))</f>
        <v>平方米</v>
      </c>
      <c r="G128" t="str">
        <f>IF(原始经营数据!$D129="","",T(原始经营数据!$K129))</f>
        <v/>
      </c>
      <c r="H128" t="str">
        <f>IF(原始经营数据!$D129="","",原始经营数据!$G129)</f>
        <v>服务量</v>
      </c>
      <c r="I128" t="str">
        <f>IF($A128="","",IF($B128&lt;&gt;"",$B128,IF(COUNTIFS(原始经营数据!$D$3:$D$3001,$A128,原始经营数据!$E$3:$E$3001,"",原始经营数据!$F$3:$F$3001,$C128,原始经营数据!$H$3:$H$3001,$D128,原始经营数据!$K$3:$K$3001,$G128)&gt;1,"基金整体·来源"&amp;原始经营数据!$A129,"基金整体")))</f>
        <v>杭州西溪印象城</v>
      </c>
      <c r="J128" t="str">
        <f t="shared" si="18"/>
        <v>季度</v>
      </c>
      <c r="K128" t="str">
        <f t="shared" si="19"/>
        <v>期末实际出租面积（平方米）</v>
      </c>
      <c r="L128" t="str">
        <f t="shared" si="20"/>
        <v>杭州西溪印象城|期末实际出租面积（平方米）|季度</v>
      </c>
      <c r="M128">
        <f>IF($A128="",0,IF(COUNTIF($L$2:$L128,$L128)=1,1,0))</f>
        <v>0</v>
      </c>
      <c r="N128">
        <f t="shared" si="21"/>
        <v>20252</v>
      </c>
      <c r="O128" t="str">
        <f t="shared" si="22"/>
        <v>中金印力消费基础设施封闭式基础设施证券投资基金|2025Q2|季度</v>
      </c>
      <c r="P128">
        <f>IF($A128="",0,IF(COUNTIF($O$2:$O128,$O128)=1,1,0))</f>
        <v>0</v>
      </c>
      <c r="Q128" t="str">
        <f>IF(AND($P128=1,$A128=经营数据!$B$3,$J128=经营数据!$BA$5),COUNTIFS($P$2:$P$3000,1,$A$2:$A$3000,$A128,$J$2:$J$3000,$J128,$N$2:$N$3000,"&lt;"&amp;$N128)+1,"")</f>
        <v/>
      </c>
      <c r="R128" t="str">
        <f t="shared" si="23"/>
        <v>中金印力消费基础设施封闭式基础设施证券投资基金|杭州西溪印象城</v>
      </c>
      <c r="S128">
        <f>IF($A128="",0,IF(COUNTIF($R$2:$R128,$R128)=1,1,0))</f>
        <v>0</v>
      </c>
      <c r="T128">
        <f t="shared" si="24"/>
        <v>95</v>
      </c>
      <c r="U128" t="str">
        <f>IF($A128="","",IF($A128=经营数据!$B$3,COUNTIFS($S$2:$S$3000,1,$A$2:$A$3000,$A128,$T$2:$T$3000,"&lt;"&amp;$T128)+1,""))</f>
        <v/>
      </c>
      <c r="V128" t="str">
        <f t="shared" si="25"/>
        <v>杭州西溪印象城|服务量</v>
      </c>
      <c r="W128">
        <f t="shared" si="26"/>
        <v>96</v>
      </c>
      <c r="X128" t="str">
        <f t="shared" si="27"/>
        <v>杭州西溪印象城|期末实际出租面积</v>
      </c>
      <c r="Y128">
        <f t="shared" si="28"/>
        <v>97</v>
      </c>
      <c r="Z128">
        <f>IF($A128="",0,IF(AND($M128=1,$A128=经营数据!$B$3,$J128=经营数据!$BA$5,OR($I128=经营数据!$BA$4,COUNTIF(经营数据!$AA$9:$AA$38,$I128)&gt;0)),1,0))</f>
        <v>0</v>
      </c>
      <c r="AA128" t="str">
        <f t="shared" si="29"/>
        <v/>
      </c>
      <c r="AB128" t="str">
        <f t="shared" si="30"/>
        <v/>
      </c>
      <c r="AC128">
        <f>IF($A128="",0,IF(COUNTIF($A$2:$A128,$A128)=1,1,0))</f>
        <v>0</v>
      </c>
      <c r="AD128">
        <f t="shared" si="31"/>
        <v>2</v>
      </c>
      <c r="AE128" t="str">
        <f t="shared" si="32"/>
        <v>杭州西溪印象城|期末实际出租面积（平方米）</v>
      </c>
      <c r="BA128" t="s">
        <v>5417</v>
      </c>
      <c r="BB128" t="s">
        <v>5418</v>
      </c>
      <c r="BP128" s="47">
        <v>45547</v>
      </c>
      <c r="BQ128" s="29">
        <v>5.3795235035173992E-2</v>
      </c>
    </row>
    <row r="129" spans="1:69" x14ac:dyDescent="0.4">
      <c r="A129" t="str">
        <f>IF(原始经营数据!$D130="","",原始经营数据!$D130)</f>
        <v>中金印力消费基础设施封闭式基础设施证券投资基金</v>
      </c>
      <c r="B129" t="str">
        <f>IF(原始经营数据!$D130="","",T(原始经营数据!$E130))</f>
        <v>杭州西溪印象城</v>
      </c>
      <c r="C129" t="str">
        <f>IF(原始经营数据!$D130="","",原始经营数据!$F130)</f>
        <v>2025Q2</v>
      </c>
      <c r="D129" t="str">
        <f>IF(原始经营数据!$D130="","",原始经营数据!$H130)</f>
        <v>期末可供出租面积</v>
      </c>
      <c r="E129">
        <f>IF(原始经营数据!$D130="","",原始经营数据!$I130)</f>
        <v>99440.47</v>
      </c>
      <c r="F129" t="str">
        <f>IF(原始经营数据!$D130="","",T(原始经营数据!$J130))</f>
        <v>平方米</v>
      </c>
      <c r="G129" t="str">
        <f>IF(原始经营数据!$D130="","",T(原始经营数据!$K130))</f>
        <v/>
      </c>
      <c r="H129" t="str">
        <f>IF(原始经营数据!$D130="","",原始经营数据!$G130)</f>
        <v>服务量</v>
      </c>
      <c r="I129" t="str">
        <f>IF($A129="","",IF($B129&lt;&gt;"",$B129,IF(COUNTIFS(原始经营数据!$D$3:$D$3001,$A129,原始经营数据!$E$3:$E$3001,"",原始经营数据!$F$3:$F$3001,$C129,原始经营数据!$H$3:$H$3001,$D129,原始经营数据!$K$3:$K$3001,$G129)&gt;1,"基金整体·来源"&amp;原始经营数据!$A130,"基金整体")))</f>
        <v>杭州西溪印象城</v>
      </c>
      <c r="J129" t="str">
        <f t="shared" si="18"/>
        <v>季度</v>
      </c>
      <c r="K129" t="str">
        <f t="shared" si="19"/>
        <v>期末可供出租面积（平方米）</v>
      </c>
      <c r="L129" t="str">
        <f t="shared" si="20"/>
        <v>杭州西溪印象城|期末可供出租面积（平方米）|季度</v>
      </c>
      <c r="M129">
        <f>IF($A129="",0,IF(COUNTIF($L$2:$L129,$L129)=1,1,0))</f>
        <v>0</v>
      </c>
      <c r="N129">
        <f t="shared" si="21"/>
        <v>20252</v>
      </c>
      <c r="O129" t="str">
        <f t="shared" si="22"/>
        <v>中金印力消费基础设施封闭式基础设施证券投资基金|2025Q2|季度</v>
      </c>
      <c r="P129">
        <f>IF($A129="",0,IF(COUNTIF($O$2:$O129,$O129)=1,1,0))</f>
        <v>0</v>
      </c>
      <c r="Q129" t="str">
        <f>IF(AND($P129=1,$A129=经营数据!$B$3,$J129=经营数据!$BA$5),COUNTIFS($P$2:$P$3000,1,$A$2:$A$3000,$A129,$J$2:$J$3000,$J129,$N$2:$N$3000,"&lt;"&amp;$N129)+1,"")</f>
        <v/>
      </c>
      <c r="R129" t="str">
        <f t="shared" si="23"/>
        <v>中金印力消费基础设施封闭式基础设施证券投资基金|杭州西溪印象城</v>
      </c>
      <c r="S129">
        <f>IF($A129="",0,IF(COUNTIF($R$2:$R129,$R129)=1,1,0))</f>
        <v>0</v>
      </c>
      <c r="T129">
        <f t="shared" si="24"/>
        <v>95</v>
      </c>
      <c r="U129" t="str">
        <f>IF($A129="","",IF($A129=经营数据!$B$3,COUNTIFS($S$2:$S$3000,1,$A$2:$A$3000,$A129,$T$2:$T$3000,"&lt;"&amp;$T129)+1,""))</f>
        <v/>
      </c>
      <c r="V129" t="str">
        <f t="shared" si="25"/>
        <v>杭州西溪印象城|服务量</v>
      </c>
      <c r="W129">
        <f t="shared" si="26"/>
        <v>96</v>
      </c>
      <c r="X129" t="str">
        <f t="shared" si="27"/>
        <v>杭州西溪印象城|期末可供出租面积</v>
      </c>
      <c r="Y129">
        <f t="shared" si="28"/>
        <v>96</v>
      </c>
      <c r="Z129">
        <f>IF($A129="",0,IF(AND($M129=1,$A129=经营数据!$B$3,$J129=经营数据!$BA$5,OR($I129=经营数据!$BA$4,COUNTIF(经营数据!$AA$9:$AA$38,$I129)&gt;0)),1,0))</f>
        <v>0</v>
      </c>
      <c r="AA129" t="str">
        <f t="shared" si="29"/>
        <v/>
      </c>
      <c r="AB129" t="str">
        <f t="shared" si="30"/>
        <v/>
      </c>
      <c r="AC129">
        <f>IF($A129="",0,IF(COUNTIF($A$2:$A129,$A129)=1,1,0))</f>
        <v>0</v>
      </c>
      <c r="AD129">
        <f t="shared" si="31"/>
        <v>2</v>
      </c>
      <c r="AE129" t="str">
        <f t="shared" si="32"/>
        <v>杭州西溪印象城|期末可供出租面积（平方米）</v>
      </c>
      <c r="BA129" t="s">
        <v>5419</v>
      </c>
      <c r="BB129" t="s">
        <v>5420</v>
      </c>
      <c r="BP129" s="47">
        <v>45548</v>
      </c>
      <c r="BQ129" s="29">
        <v>5.3731394002843477E-2</v>
      </c>
    </row>
    <row r="130" spans="1:69" x14ac:dyDescent="0.4">
      <c r="A130" t="str">
        <f>IF(原始经营数据!$D131="","",原始经营数据!$D131)</f>
        <v>中金印力消费基础设施封闭式基础设施证券投资基金</v>
      </c>
      <c r="B130" t="str">
        <f>IF(原始经营数据!$D131="","",T(原始经营数据!$E131))</f>
        <v>杭州西溪印象城</v>
      </c>
      <c r="C130" t="str">
        <f>IF(原始经营数据!$D131="","",原始经营数据!$F131)</f>
        <v>2025Q2</v>
      </c>
      <c r="D130" t="str">
        <f>IF(原始经营数据!$D131="","",原始经营数据!$H131)</f>
        <v>期内平均租金单价</v>
      </c>
      <c r="E130">
        <f>IF(原始经营数据!$D131="","",原始经营数据!$I131)</f>
        <v>251.33</v>
      </c>
      <c r="F130" t="str">
        <f>IF(原始经营数据!$D131="","",T(原始经营数据!$J131))</f>
        <v>元/平方米/月</v>
      </c>
      <c r="G130" t="str">
        <f>IF(原始经营数据!$D131="","",T(原始经营数据!$K131))</f>
        <v/>
      </c>
      <c r="H130" t="str">
        <f>IF(原始经营数据!$D131="","",原始经营数据!$G131)</f>
        <v>服务价格</v>
      </c>
      <c r="I130" t="str">
        <f>IF($A130="","",IF($B130&lt;&gt;"",$B130,IF(COUNTIFS(原始经营数据!$D$3:$D$3001,$A130,原始经营数据!$E$3:$E$3001,"",原始经营数据!$F$3:$F$3001,$C130,原始经营数据!$H$3:$H$3001,$D130,原始经营数据!$K$3:$K$3001,$G130)&gt;1,"基金整体·来源"&amp;原始经营数据!$A131,"基金整体")))</f>
        <v>杭州西溪印象城</v>
      </c>
      <c r="J130" t="str">
        <f t="shared" ref="J130:J193" si="33">IF($A130="","",IF(LEN($C130)=4,"年度",IF(AND(LEN($C130)=6,ISNUMBER(SEARCH("Q",$C130))),"季度","其他期间")))</f>
        <v>季度</v>
      </c>
      <c r="K130" t="str">
        <f t="shared" ref="K130:K193" si="34">IF($A130="","",$D130&amp;IF($G130="","","-"&amp;SUBSTITUTE($G130,CHAR(10),""))&amp;IF($F130="","","（"&amp;$F130&amp;"）"))</f>
        <v>期内平均租金单价（元/平方米/月）</v>
      </c>
      <c r="L130" t="str">
        <f t="shared" ref="L130:L193" si="35">IF($A130="","",$I130&amp;"|"&amp;$K130&amp;"|"&amp;$J130)</f>
        <v>杭州西溪印象城|期内平均租金单价（元/平方米/月）|季度</v>
      </c>
      <c r="M130">
        <f>IF($A130="",0,IF(COUNTIF($L$2:$L130,$L130)=1,1,0))</f>
        <v>0</v>
      </c>
      <c r="N130">
        <f t="shared" ref="N130:N193" si="36">IF($A130="","",IF($J130="年度",VALUE($C130)*10,IF($J130="季度",VALUE(LEFT($C130,4))*10+VALUE(RIGHT($C130,1)),VALUE(LEFT($C130,4))*10+9)))</f>
        <v>20252</v>
      </c>
      <c r="O130" t="str">
        <f t="shared" ref="O130:O193" si="37">IF($A130="","",$A130&amp;"|"&amp;$C130&amp;"|"&amp;$J130)</f>
        <v>中金印力消费基础设施封闭式基础设施证券投资基金|2025Q2|季度</v>
      </c>
      <c r="P130">
        <f>IF($A130="",0,IF(COUNTIF($O$2:$O130,$O130)=1,1,0))</f>
        <v>0</v>
      </c>
      <c r="Q130" t="str">
        <f>IF(AND($P130=1,$A130=经营数据!$B$3,$J130=经营数据!$BA$5),COUNTIFS($P$2:$P$3000,1,$A$2:$A$3000,$A130,$J$2:$J$3000,$J130,$N$2:$N$3000,"&lt;"&amp;$N130)+1,"")</f>
        <v/>
      </c>
      <c r="R130" t="str">
        <f t="shared" ref="R130:R193" si="38">IF($A130="","",$A130&amp;"|"&amp;$I130)</f>
        <v>中金印力消费基础设施封闭式基础设施证券投资基金|杭州西溪印象城</v>
      </c>
      <c r="S130">
        <f>IF($A130="",0,IF(COUNTIF($R$2:$R130,$R130)=1,1,0))</f>
        <v>0</v>
      </c>
      <c r="T130">
        <f t="shared" ref="T130:T193" si="39">IF($A130="","",MATCH($R130,$R$2:$R$3000,0))</f>
        <v>95</v>
      </c>
      <c r="U130" t="str">
        <f>IF($A130="","",IF($A130=经营数据!$B$3,COUNTIFS($S$2:$S$3000,1,$A$2:$A$3000,$A130,$T$2:$T$3000,"&lt;"&amp;$T130)+1,""))</f>
        <v/>
      </c>
      <c r="V130" t="str">
        <f t="shared" ref="V130:V193" si="40">IF($A130="","",$I130&amp;"|"&amp;$H130)</f>
        <v>杭州西溪印象城|服务价格</v>
      </c>
      <c r="W130">
        <f t="shared" ref="W130:W193" si="41">IF($A130="","",MATCH($V130,$V$2:$V$3000,0))</f>
        <v>95</v>
      </c>
      <c r="X130" t="str">
        <f t="shared" ref="X130:X193" si="42">IF($A130="","",$I130&amp;"|"&amp;$D130)</f>
        <v>杭州西溪印象城|期内平均租金单价</v>
      </c>
      <c r="Y130">
        <f t="shared" ref="Y130:Y193" si="43">IF($A130="","",MATCH($X130,$X$2:$X$3000,0))</f>
        <v>95</v>
      </c>
      <c r="Z130">
        <f>IF($A130="",0,IF(AND($M130=1,$A130=经营数据!$B$3,$J130=经营数据!$BA$5,OR($I130=经营数据!$BA$4,COUNTIF(经营数据!$AA$9:$AA$38,$I130)&gt;0)),1,0))</f>
        <v>0</v>
      </c>
      <c r="AA130" t="str">
        <f t="shared" ref="AA130:AA193" si="44">IF($Z130=1,$U130*1000000000000+$W130*100000000+$Y130*10000+ROW(),"")</f>
        <v/>
      </c>
      <c r="AB130" t="str">
        <f t="shared" ref="AB130:AB193" si="45">IF($Z130=1,COUNTIFS($Z$2:$Z$3000,1,$AA$2:$AA$3000,"&lt;"&amp;$AA130)+1,"")</f>
        <v/>
      </c>
      <c r="AC130">
        <f>IF($A130="",0,IF(COUNTIF($A$2:$A130,$A130)=1,1,0))</f>
        <v>0</v>
      </c>
      <c r="AD130">
        <f t="shared" ref="AD130:AD193" si="46">IF($A130="",N(AD129),IF($AC130=1,N(AD129)+1,N(AD129)))</f>
        <v>2</v>
      </c>
      <c r="AE130" t="str">
        <f t="shared" ref="AE130:AE193" si="47">IF($A130="","",$I130&amp;"|"&amp;$K130)</f>
        <v>杭州西溪印象城|期内平均租金单价（元/平方米/月）</v>
      </c>
      <c r="BA130" t="s">
        <v>5421</v>
      </c>
      <c r="BB130" t="s">
        <v>5422</v>
      </c>
      <c r="BP130" s="47">
        <v>45553</v>
      </c>
      <c r="BQ130" s="29">
        <v>5.3815493555675852E-2</v>
      </c>
    </row>
    <row r="131" spans="1:69" x14ac:dyDescent="0.4">
      <c r="A131" t="str">
        <f>IF(原始经营数据!$D132="","",原始经营数据!$D132)</f>
        <v>中金印力消费基础设施封闭式基础设施证券投资基金</v>
      </c>
      <c r="B131" t="str">
        <f>IF(原始经营数据!$D132="","",T(原始经营数据!$E132))</f>
        <v>杭州西溪印象城</v>
      </c>
      <c r="C131" t="str">
        <f>IF(原始经营数据!$D132="","",原始经营数据!$F132)</f>
        <v>2025Q3</v>
      </c>
      <c r="D131" t="str">
        <f>IF(原始经营数据!$D132="","",原始经营数据!$H132)</f>
        <v>期末剩余租期情况</v>
      </c>
      <c r="E131">
        <f>IF(原始经营数据!$D132="","",原始经营数据!$I132)</f>
        <v>2.64</v>
      </c>
      <c r="F131" t="str">
        <f>IF(原始经营数据!$D132="","",T(原始经营数据!$J132))</f>
        <v>年</v>
      </c>
      <c r="G131" t="str">
        <f>IF(原始经营数据!$D132="","",T(原始经营数据!$K132))</f>
        <v/>
      </c>
      <c r="H131" t="str">
        <f>IF(原始经营数据!$D132="","",原始经营数据!$G132)</f>
        <v>服务量</v>
      </c>
      <c r="I131" t="str">
        <f>IF($A131="","",IF($B131&lt;&gt;"",$B131,IF(COUNTIFS(原始经营数据!$D$3:$D$3001,$A131,原始经营数据!$E$3:$E$3001,"",原始经营数据!$F$3:$F$3001,$C131,原始经营数据!$H$3:$H$3001,$D131,原始经营数据!$K$3:$K$3001,$G131)&gt;1,"基金整体·来源"&amp;原始经营数据!$A132,"基金整体")))</f>
        <v>杭州西溪印象城</v>
      </c>
      <c r="J131" t="str">
        <f t="shared" si="33"/>
        <v>季度</v>
      </c>
      <c r="K131" t="str">
        <f t="shared" si="34"/>
        <v>期末剩余租期情况（年）</v>
      </c>
      <c r="L131" t="str">
        <f t="shared" si="35"/>
        <v>杭州西溪印象城|期末剩余租期情况（年）|季度</v>
      </c>
      <c r="M131">
        <f>IF($A131="",0,IF(COUNTIF($L$2:$L131,$L131)=1,1,0))</f>
        <v>0</v>
      </c>
      <c r="N131">
        <f t="shared" si="36"/>
        <v>20253</v>
      </c>
      <c r="O131" t="str">
        <f t="shared" si="37"/>
        <v>中金印力消费基础设施封闭式基础设施证券投资基金|2025Q3|季度</v>
      </c>
      <c r="P131">
        <f>IF($A131="",0,IF(COUNTIF($O$2:$O131,$O131)=1,1,0))</f>
        <v>1</v>
      </c>
      <c r="Q131" t="str">
        <f>IF(AND($P131=1,$A131=经营数据!$B$3,$J131=经营数据!$BA$5),COUNTIFS($P$2:$P$3000,1,$A$2:$A$3000,$A131,$J$2:$J$3000,$J131,$N$2:$N$3000,"&lt;"&amp;$N131)+1,"")</f>
        <v/>
      </c>
      <c r="R131" t="str">
        <f t="shared" si="38"/>
        <v>中金印力消费基础设施封闭式基础设施证券投资基金|杭州西溪印象城</v>
      </c>
      <c r="S131">
        <f>IF($A131="",0,IF(COUNTIF($R$2:$R131,$R131)=1,1,0))</f>
        <v>0</v>
      </c>
      <c r="T131">
        <f t="shared" si="39"/>
        <v>95</v>
      </c>
      <c r="U131" t="str">
        <f>IF($A131="","",IF($A131=经营数据!$B$3,COUNTIFS($S$2:$S$3000,1,$A$2:$A$3000,$A131,$T$2:$T$3000,"&lt;"&amp;$T131)+1,""))</f>
        <v/>
      </c>
      <c r="V131" t="str">
        <f t="shared" si="40"/>
        <v>杭州西溪印象城|服务量</v>
      </c>
      <c r="W131">
        <f t="shared" si="41"/>
        <v>96</v>
      </c>
      <c r="X131" t="str">
        <f t="shared" si="42"/>
        <v>杭州西溪印象城|期末剩余租期情况</v>
      </c>
      <c r="Y131">
        <f t="shared" si="43"/>
        <v>99</v>
      </c>
      <c r="Z131">
        <f>IF($A131="",0,IF(AND($M131=1,$A131=经营数据!$B$3,$J131=经营数据!$BA$5,OR($I131=经营数据!$BA$4,COUNTIF(经营数据!$AA$9:$AA$38,$I131)&gt;0)),1,0))</f>
        <v>0</v>
      </c>
      <c r="AA131" t="str">
        <f t="shared" si="44"/>
        <v/>
      </c>
      <c r="AB131" t="str">
        <f t="shared" si="45"/>
        <v/>
      </c>
      <c r="AC131">
        <f>IF($A131="",0,IF(COUNTIF($A$2:$A131,$A131)=1,1,0))</f>
        <v>0</v>
      </c>
      <c r="AD131">
        <f t="shared" si="46"/>
        <v>2</v>
      </c>
      <c r="AE131" t="str">
        <f t="shared" si="47"/>
        <v>杭州西溪印象城|期末剩余租期情况（年）</v>
      </c>
      <c r="BA131" t="s">
        <v>5423</v>
      </c>
      <c r="BB131" t="s">
        <v>5424</v>
      </c>
      <c r="BP131" s="47">
        <v>45554</v>
      </c>
      <c r="BQ131" s="29">
        <v>5.3946910347187002E-2</v>
      </c>
    </row>
    <row r="132" spans="1:69" x14ac:dyDescent="0.4">
      <c r="A132" t="str">
        <f>IF(原始经营数据!$D133="","",原始经营数据!$D133)</f>
        <v>中金印力消费基础设施封闭式基础设施证券投资基金</v>
      </c>
      <c r="B132" t="str">
        <f>IF(原始经营数据!$D133="","",T(原始经营数据!$E133))</f>
        <v>杭州西溪印象城</v>
      </c>
      <c r="C132" t="str">
        <f>IF(原始经营数据!$D133="","",原始经营数据!$F133)</f>
        <v>2025Q3</v>
      </c>
      <c r="D132" t="str">
        <f>IF(原始经营数据!$D133="","",原始经营数据!$H133)</f>
        <v>期末可供出租面积</v>
      </c>
      <c r="E132">
        <f>IF(原始经营数据!$D133="","",原始经营数据!$I133)</f>
        <v>99520.31</v>
      </c>
      <c r="F132" t="str">
        <f>IF(原始经营数据!$D133="","",T(原始经营数据!$J133))</f>
        <v>平方米</v>
      </c>
      <c r="G132" t="str">
        <f>IF(原始经营数据!$D133="","",T(原始经营数据!$K133))</f>
        <v/>
      </c>
      <c r="H132" t="str">
        <f>IF(原始经营数据!$D133="","",原始经营数据!$G133)</f>
        <v>服务量</v>
      </c>
      <c r="I132" t="str">
        <f>IF($A132="","",IF($B132&lt;&gt;"",$B132,IF(COUNTIFS(原始经营数据!$D$3:$D$3001,$A132,原始经营数据!$E$3:$E$3001,"",原始经营数据!$F$3:$F$3001,$C132,原始经营数据!$H$3:$H$3001,$D132,原始经营数据!$K$3:$K$3001,$G132)&gt;1,"基金整体·来源"&amp;原始经营数据!$A133,"基金整体")))</f>
        <v>杭州西溪印象城</v>
      </c>
      <c r="J132" t="str">
        <f t="shared" si="33"/>
        <v>季度</v>
      </c>
      <c r="K132" t="str">
        <f t="shared" si="34"/>
        <v>期末可供出租面积（平方米）</v>
      </c>
      <c r="L132" t="str">
        <f t="shared" si="35"/>
        <v>杭州西溪印象城|期末可供出租面积（平方米）|季度</v>
      </c>
      <c r="M132">
        <f>IF($A132="",0,IF(COUNTIF($L$2:$L132,$L132)=1,1,0))</f>
        <v>0</v>
      </c>
      <c r="N132">
        <f t="shared" si="36"/>
        <v>20253</v>
      </c>
      <c r="O132" t="str">
        <f t="shared" si="37"/>
        <v>中金印力消费基础设施封闭式基础设施证券投资基金|2025Q3|季度</v>
      </c>
      <c r="P132">
        <f>IF($A132="",0,IF(COUNTIF($O$2:$O132,$O132)=1,1,0))</f>
        <v>0</v>
      </c>
      <c r="Q132" t="str">
        <f>IF(AND($P132=1,$A132=经营数据!$B$3,$J132=经营数据!$BA$5),COUNTIFS($P$2:$P$3000,1,$A$2:$A$3000,$A132,$J$2:$J$3000,$J132,$N$2:$N$3000,"&lt;"&amp;$N132)+1,"")</f>
        <v/>
      </c>
      <c r="R132" t="str">
        <f t="shared" si="38"/>
        <v>中金印力消费基础设施封闭式基础设施证券投资基金|杭州西溪印象城</v>
      </c>
      <c r="S132">
        <f>IF($A132="",0,IF(COUNTIF($R$2:$R132,$R132)=1,1,0))</f>
        <v>0</v>
      </c>
      <c r="T132">
        <f t="shared" si="39"/>
        <v>95</v>
      </c>
      <c r="U132" t="str">
        <f>IF($A132="","",IF($A132=经营数据!$B$3,COUNTIFS($S$2:$S$3000,1,$A$2:$A$3000,$A132,$T$2:$T$3000,"&lt;"&amp;$T132)+1,""))</f>
        <v/>
      </c>
      <c r="V132" t="str">
        <f t="shared" si="40"/>
        <v>杭州西溪印象城|服务量</v>
      </c>
      <c r="W132">
        <f t="shared" si="41"/>
        <v>96</v>
      </c>
      <c r="X132" t="str">
        <f t="shared" si="42"/>
        <v>杭州西溪印象城|期末可供出租面积</v>
      </c>
      <c r="Y132">
        <f t="shared" si="43"/>
        <v>96</v>
      </c>
      <c r="Z132">
        <f>IF($A132="",0,IF(AND($M132=1,$A132=经营数据!$B$3,$J132=经营数据!$BA$5,OR($I132=经营数据!$BA$4,COUNTIF(经营数据!$AA$9:$AA$38,$I132)&gt;0)),1,0))</f>
        <v>0</v>
      </c>
      <c r="AA132" t="str">
        <f t="shared" si="44"/>
        <v/>
      </c>
      <c r="AB132" t="str">
        <f t="shared" si="45"/>
        <v/>
      </c>
      <c r="AC132">
        <f>IF($A132="",0,IF(COUNTIF($A$2:$A132,$A132)=1,1,0))</f>
        <v>0</v>
      </c>
      <c r="AD132">
        <f t="shared" si="46"/>
        <v>2</v>
      </c>
      <c r="AE132" t="str">
        <f t="shared" si="47"/>
        <v>杭州西溪印象城|期末可供出租面积（平方米）</v>
      </c>
      <c r="BA132" t="s">
        <v>5425</v>
      </c>
      <c r="BB132" t="s">
        <v>5426</v>
      </c>
      <c r="BP132" s="47">
        <v>45555</v>
      </c>
      <c r="BQ132" s="29">
        <v>5.4037275323511651E-2</v>
      </c>
    </row>
    <row r="133" spans="1:69" x14ac:dyDescent="0.4">
      <c r="A133" t="str">
        <f>IF(原始经营数据!$D134="","",原始经营数据!$D134)</f>
        <v>中金印力消费基础设施封闭式基础设施证券投资基金</v>
      </c>
      <c r="B133" t="str">
        <f>IF(原始经营数据!$D134="","",T(原始经营数据!$E134))</f>
        <v>杭州西溪印象城</v>
      </c>
      <c r="C133" t="str">
        <f>IF(原始经营数据!$D134="","",原始经营数据!$F134)</f>
        <v>2025Q3</v>
      </c>
      <c r="D133" t="str">
        <f>IF(原始经营数据!$D134="","",原始经营数据!$H134)</f>
        <v>期末实际出租面积</v>
      </c>
      <c r="E133">
        <f>IF(原始经营数据!$D134="","",原始经营数据!$I134)</f>
        <v>98653.82</v>
      </c>
      <c r="F133" t="str">
        <f>IF(原始经营数据!$D134="","",T(原始经营数据!$J134))</f>
        <v>平方米</v>
      </c>
      <c r="G133" t="str">
        <f>IF(原始经营数据!$D134="","",T(原始经营数据!$K134))</f>
        <v/>
      </c>
      <c r="H133" t="str">
        <f>IF(原始经营数据!$D134="","",原始经营数据!$G134)</f>
        <v>服务量</v>
      </c>
      <c r="I133" t="str">
        <f>IF($A133="","",IF($B133&lt;&gt;"",$B133,IF(COUNTIFS(原始经营数据!$D$3:$D$3001,$A133,原始经营数据!$E$3:$E$3001,"",原始经营数据!$F$3:$F$3001,$C133,原始经营数据!$H$3:$H$3001,$D133,原始经营数据!$K$3:$K$3001,$G133)&gt;1,"基金整体·来源"&amp;原始经营数据!$A134,"基金整体")))</f>
        <v>杭州西溪印象城</v>
      </c>
      <c r="J133" t="str">
        <f t="shared" si="33"/>
        <v>季度</v>
      </c>
      <c r="K133" t="str">
        <f t="shared" si="34"/>
        <v>期末实际出租面积（平方米）</v>
      </c>
      <c r="L133" t="str">
        <f t="shared" si="35"/>
        <v>杭州西溪印象城|期末实际出租面积（平方米）|季度</v>
      </c>
      <c r="M133">
        <f>IF($A133="",0,IF(COUNTIF($L$2:$L133,$L133)=1,1,0))</f>
        <v>0</v>
      </c>
      <c r="N133">
        <f t="shared" si="36"/>
        <v>20253</v>
      </c>
      <c r="O133" t="str">
        <f t="shared" si="37"/>
        <v>中金印力消费基础设施封闭式基础设施证券投资基金|2025Q3|季度</v>
      </c>
      <c r="P133">
        <f>IF($A133="",0,IF(COUNTIF($O$2:$O133,$O133)=1,1,0))</f>
        <v>0</v>
      </c>
      <c r="Q133" t="str">
        <f>IF(AND($P133=1,$A133=经营数据!$B$3,$J133=经营数据!$BA$5),COUNTIFS($P$2:$P$3000,1,$A$2:$A$3000,$A133,$J$2:$J$3000,$J133,$N$2:$N$3000,"&lt;"&amp;$N133)+1,"")</f>
        <v/>
      </c>
      <c r="R133" t="str">
        <f t="shared" si="38"/>
        <v>中金印力消费基础设施封闭式基础设施证券投资基金|杭州西溪印象城</v>
      </c>
      <c r="S133">
        <f>IF($A133="",0,IF(COUNTIF($R$2:$R133,$R133)=1,1,0))</f>
        <v>0</v>
      </c>
      <c r="T133">
        <f t="shared" si="39"/>
        <v>95</v>
      </c>
      <c r="U133" t="str">
        <f>IF($A133="","",IF($A133=经营数据!$B$3,COUNTIFS($S$2:$S$3000,1,$A$2:$A$3000,$A133,$T$2:$T$3000,"&lt;"&amp;$T133)+1,""))</f>
        <v/>
      </c>
      <c r="V133" t="str">
        <f t="shared" si="40"/>
        <v>杭州西溪印象城|服务量</v>
      </c>
      <c r="W133">
        <f t="shared" si="41"/>
        <v>96</v>
      </c>
      <c r="X133" t="str">
        <f t="shared" si="42"/>
        <v>杭州西溪印象城|期末实际出租面积</v>
      </c>
      <c r="Y133">
        <f t="shared" si="43"/>
        <v>97</v>
      </c>
      <c r="Z133">
        <f>IF($A133="",0,IF(AND($M133=1,$A133=经营数据!$B$3,$J133=经营数据!$BA$5,OR($I133=经营数据!$BA$4,COUNTIF(经营数据!$AA$9:$AA$38,$I133)&gt;0)),1,0))</f>
        <v>0</v>
      </c>
      <c r="AA133" t="str">
        <f t="shared" si="44"/>
        <v/>
      </c>
      <c r="AB133" t="str">
        <f t="shared" si="45"/>
        <v/>
      </c>
      <c r="AC133">
        <f>IF($A133="",0,IF(COUNTIF($A$2:$A133,$A133)=1,1,0))</f>
        <v>0</v>
      </c>
      <c r="AD133">
        <f t="shared" si="46"/>
        <v>2</v>
      </c>
      <c r="AE133" t="str">
        <f t="shared" si="47"/>
        <v>杭州西溪印象城|期末实际出租面积（平方米）</v>
      </c>
      <c r="BA133" t="s">
        <v>5427</v>
      </c>
      <c r="BB133" t="s">
        <v>5428</v>
      </c>
      <c r="BP133" s="47">
        <v>45558</v>
      </c>
      <c r="BQ133" s="29">
        <v>5.4364535823712812E-2</v>
      </c>
    </row>
    <row r="134" spans="1:69" x14ac:dyDescent="0.4">
      <c r="A134" t="str">
        <f>IF(原始经营数据!$D135="","",原始经营数据!$D135)</f>
        <v>中金印力消费基础设施封闭式基础设施证券投资基金</v>
      </c>
      <c r="B134" t="str">
        <f>IF(原始经营数据!$D135="","",T(原始经营数据!$E135))</f>
        <v>杭州西溪印象城</v>
      </c>
      <c r="C134" t="str">
        <f>IF(原始经营数据!$D135="","",原始经营数据!$F135)</f>
        <v>2025Q3</v>
      </c>
      <c r="D134" t="str">
        <f>IF(原始经营数据!$D135="","",原始经营数据!$H135)</f>
        <v>期末出租率</v>
      </c>
      <c r="E134">
        <f>IF(原始经营数据!$D135="","",原始经营数据!$I135)</f>
        <v>99.13</v>
      </c>
      <c r="F134" t="str">
        <f>IF(原始经营数据!$D135="","",T(原始经营数据!$J135))</f>
        <v>%</v>
      </c>
      <c r="G134" t="str">
        <f>IF(原始经营数据!$D135="","",T(原始经营数据!$K135))</f>
        <v/>
      </c>
      <c r="H134" t="str">
        <f>IF(原始经营数据!$D135="","",原始经营数据!$G135)</f>
        <v>服务效率</v>
      </c>
      <c r="I134" t="str">
        <f>IF($A134="","",IF($B134&lt;&gt;"",$B134,IF(COUNTIFS(原始经营数据!$D$3:$D$3001,$A134,原始经营数据!$E$3:$E$3001,"",原始经营数据!$F$3:$F$3001,$C134,原始经营数据!$H$3:$H$3001,$D134,原始经营数据!$K$3:$K$3001,$G134)&gt;1,"基金整体·来源"&amp;原始经营数据!$A135,"基金整体")))</f>
        <v>杭州西溪印象城</v>
      </c>
      <c r="J134" t="str">
        <f t="shared" si="33"/>
        <v>季度</v>
      </c>
      <c r="K134" t="str">
        <f t="shared" si="34"/>
        <v>期末出租率（%）</v>
      </c>
      <c r="L134" t="str">
        <f t="shared" si="35"/>
        <v>杭州西溪印象城|期末出租率（%）|季度</v>
      </c>
      <c r="M134">
        <f>IF($A134="",0,IF(COUNTIF($L$2:$L134,$L134)=1,1,0))</f>
        <v>0</v>
      </c>
      <c r="N134">
        <f t="shared" si="36"/>
        <v>20253</v>
      </c>
      <c r="O134" t="str">
        <f t="shared" si="37"/>
        <v>中金印力消费基础设施封闭式基础设施证券投资基金|2025Q3|季度</v>
      </c>
      <c r="P134">
        <f>IF($A134="",0,IF(COUNTIF($O$2:$O134,$O134)=1,1,0))</f>
        <v>0</v>
      </c>
      <c r="Q134" t="str">
        <f>IF(AND($P134=1,$A134=经营数据!$B$3,$J134=经营数据!$BA$5),COUNTIFS($P$2:$P$3000,1,$A$2:$A$3000,$A134,$J$2:$J$3000,$J134,$N$2:$N$3000,"&lt;"&amp;$N134)+1,"")</f>
        <v/>
      </c>
      <c r="R134" t="str">
        <f t="shared" si="38"/>
        <v>中金印力消费基础设施封闭式基础设施证券投资基金|杭州西溪印象城</v>
      </c>
      <c r="S134">
        <f>IF($A134="",0,IF(COUNTIF($R$2:$R134,$R134)=1,1,0))</f>
        <v>0</v>
      </c>
      <c r="T134">
        <f t="shared" si="39"/>
        <v>95</v>
      </c>
      <c r="U134" t="str">
        <f>IF($A134="","",IF($A134=经营数据!$B$3,COUNTIFS($S$2:$S$3000,1,$A$2:$A$3000,$A134,$T$2:$T$3000,"&lt;"&amp;$T134)+1,""))</f>
        <v/>
      </c>
      <c r="V134" t="str">
        <f t="shared" si="40"/>
        <v>杭州西溪印象城|服务效率</v>
      </c>
      <c r="W134">
        <f t="shared" si="41"/>
        <v>98</v>
      </c>
      <c r="X134" t="str">
        <f t="shared" si="42"/>
        <v>杭州西溪印象城|期末出租率</v>
      </c>
      <c r="Y134">
        <f t="shared" si="43"/>
        <v>100</v>
      </c>
      <c r="Z134">
        <f>IF($A134="",0,IF(AND($M134=1,$A134=经营数据!$B$3,$J134=经营数据!$BA$5,OR($I134=经营数据!$BA$4,COUNTIF(经营数据!$AA$9:$AA$38,$I134)&gt;0)),1,0))</f>
        <v>0</v>
      </c>
      <c r="AA134" t="str">
        <f t="shared" si="44"/>
        <v/>
      </c>
      <c r="AB134" t="str">
        <f t="shared" si="45"/>
        <v/>
      </c>
      <c r="AC134">
        <f>IF($A134="",0,IF(COUNTIF($A$2:$A134,$A134)=1,1,0))</f>
        <v>0</v>
      </c>
      <c r="AD134">
        <f t="shared" si="46"/>
        <v>2</v>
      </c>
      <c r="AE134" t="str">
        <f t="shared" si="47"/>
        <v>杭州西溪印象城|期末出租率（%）</v>
      </c>
      <c r="BA134" t="s">
        <v>5429</v>
      </c>
      <c r="BB134" t="s">
        <v>5430</v>
      </c>
      <c r="BP134" s="47">
        <v>45559</v>
      </c>
      <c r="BQ134" s="29">
        <v>5.3949141460075518E-2</v>
      </c>
    </row>
    <row r="135" spans="1:69" x14ac:dyDescent="0.4">
      <c r="A135" t="str">
        <f>IF(原始经营数据!$D136="","",原始经营数据!$D136)</f>
        <v>中金印力消费基础设施封闭式基础设施证券投资基金</v>
      </c>
      <c r="B135" t="str">
        <f>IF(原始经营数据!$D136="","",T(原始经营数据!$E136))</f>
        <v>杭州西溪印象城</v>
      </c>
      <c r="C135" t="str">
        <f>IF(原始经营数据!$D136="","",原始经营数据!$F136)</f>
        <v>2025Q3</v>
      </c>
      <c r="D135" t="str">
        <f>IF(原始经营数据!$D136="","",原始经营数据!$H136)</f>
        <v>期末租金收缴率</v>
      </c>
      <c r="E135">
        <f>IF(原始经营数据!$D136="","",原始经营数据!$I136)</f>
        <v>99.85</v>
      </c>
      <c r="F135" t="str">
        <f>IF(原始经营数据!$D136="","",T(原始经营数据!$J136))</f>
        <v>%</v>
      </c>
      <c r="G135" t="str">
        <f>IF(原始经营数据!$D136="","",T(原始经营数据!$K136))</f>
        <v/>
      </c>
      <c r="H135" t="str">
        <f>IF(原始经营数据!$D136="","",原始经营数据!$G136)</f>
        <v>服务效率</v>
      </c>
      <c r="I135" t="str">
        <f>IF($A135="","",IF($B135&lt;&gt;"",$B135,IF(COUNTIFS(原始经营数据!$D$3:$D$3001,$A135,原始经营数据!$E$3:$E$3001,"",原始经营数据!$F$3:$F$3001,$C135,原始经营数据!$H$3:$H$3001,$D135,原始经营数据!$K$3:$K$3001,$G135)&gt;1,"基金整体·来源"&amp;原始经营数据!$A136,"基金整体")))</f>
        <v>杭州西溪印象城</v>
      </c>
      <c r="J135" t="str">
        <f t="shared" si="33"/>
        <v>季度</v>
      </c>
      <c r="K135" t="str">
        <f t="shared" si="34"/>
        <v>期末租金收缴率（%）</v>
      </c>
      <c r="L135" t="str">
        <f t="shared" si="35"/>
        <v>杭州西溪印象城|期末租金收缴率（%）|季度</v>
      </c>
      <c r="M135">
        <f>IF($A135="",0,IF(COUNTIF($L$2:$L135,$L135)=1,1,0))</f>
        <v>0</v>
      </c>
      <c r="N135">
        <f t="shared" si="36"/>
        <v>20253</v>
      </c>
      <c r="O135" t="str">
        <f t="shared" si="37"/>
        <v>中金印力消费基础设施封闭式基础设施证券投资基金|2025Q3|季度</v>
      </c>
      <c r="P135">
        <f>IF($A135="",0,IF(COUNTIF($O$2:$O135,$O135)=1,1,0))</f>
        <v>0</v>
      </c>
      <c r="Q135" t="str">
        <f>IF(AND($P135=1,$A135=经营数据!$B$3,$J135=经营数据!$BA$5),COUNTIFS($P$2:$P$3000,1,$A$2:$A$3000,$A135,$J$2:$J$3000,$J135,$N$2:$N$3000,"&lt;"&amp;$N135)+1,"")</f>
        <v/>
      </c>
      <c r="R135" t="str">
        <f t="shared" si="38"/>
        <v>中金印力消费基础设施封闭式基础设施证券投资基金|杭州西溪印象城</v>
      </c>
      <c r="S135">
        <f>IF($A135="",0,IF(COUNTIF($R$2:$R135,$R135)=1,1,0))</f>
        <v>0</v>
      </c>
      <c r="T135">
        <f t="shared" si="39"/>
        <v>95</v>
      </c>
      <c r="U135" t="str">
        <f>IF($A135="","",IF($A135=经营数据!$B$3,COUNTIFS($S$2:$S$3000,1,$A$2:$A$3000,$A135,$T$2:$T$3000,"&lt;"&amp;$T135)+1,""))</f>
        <v/>
      </c>
      <c r="V135" t="str">
        <f t="shared" si="40"/>
        <v>杭州西溪印象城|服务效率</v>
      </c>
      <c r="W135">
        <f t="shared" si="41"/>
        <v>98</v>
      </c>
      <c r="X135" t="str">
        <f t="shared" si="42"/>
        <v>杭州西溪印象城|期末租金收缴率</v>
      </c>
      <c r="Y135">
        <f t="shared" si="43"/>
        <v>98</v>
      </c>
      <c r="Z135">
        <f>IF($A135="",0,IF(AND($M135=1,$A135=经营数据!$B$3,$J135=经营数据!$BA$5,OR($I135=经营数据!$BA$4,COUNTIF(经营数据!$AA$9:$AA$38,$I135)&gt;0)),1,0))</f>
        <v>0</v>
      </c>
      <c r="AA135" t="str">
        <f t="shared" si="44"/>
        <v/>
      </c>
      <c r="AB135" t="str">
        <f t="shared" si="45"/>
        <v/>
      </c>
      <c r="AC135">
        <f>IF($A135="",0,IF(COUNTIF($A$2:$A135,$A135)=1,1,0))</f>
        <v>0</v>
      </c>
      <c r="AD135">
        <f t="shared" si="46"/>
        <v>2</v>
      </c>
      <c r="AE135" t="str">
        <f t="shared" si="47"/>
        <v>杭州西溪印象城|期末租金收缴率（%）</v>
      </c>
      <c r="BA135" t="s">
        <v>5431</v>
      </c>
      <c r="BB135" t="s">
        <v>5432</v>
      </c>
      <c r="BP135" s="47">
        <v>45560</v>
      </c>
      <c r="BQ135" s="29">
        <v>5.3659009614798497E-2</v>
      </c>
    </row>
    <row r="136" spans="1:69" x14ac:dyDescent="0.4">
      <c r="A136" t="str">
        <f>IF(原始经营数据!$D137="","",原始经营数据!$D137)</f>
        <v>中金印力消费基础设施封闭式基础设施证券投资基金</v>
      </c>
      <c r="B136" t="str">
        <f>IF(原始经营数据!$D137="","",T(原始经营数据!$E137))</f>
        <v>杭州西溪印象城</v>
      </c>
      <c r="C136" t="str">
        <f>IF(原始经营数据!$D137="","",原始经营数据!$F137)</f>
        <v>2025Q3</v>
      </c>
      <c r="D136" t="str">
        <f>IF(原始经营数据!$D137="","",原始经营数据!$H137)</f>
        <v>期内平均租金单价</v>
      </c>
      <c r="E136">
        <f>IF(原始经营数据!$D137="","",原始经营数据!$I137)</f>
        <v>251.36</v>
      </c>
      <c r="F136" t="str">
        <f>IF(原始经营数据!$D137="","",T(原始经营数据!$J137))</f>
        <v>元/平方米/月</v>
      </c>
      <c r="G136" t="str">
        <f>IF(原始经营数据!$D137="","",T(原始经营数据!$K137))</f>
        <v/>
      </c>
      <c r="H136" t="str">
        <f>IF(原始经营数据!$D137="","",原始经营数据!$G137)</f>
        <v>服务价格</v>
      </c>
      <c r="I136" t="str">
        <f>IF($A136="","",IF($B136&lt;&gt;"",$B136,IF(COUNTIFS(原始经营数据!$D$3:$D$3001,$A136,原始经营数据!$E$3:$E$3001,"",原始经营数据!$F$3:$F$3001,$C136,原始经营数据!$H$3:$H$3001,$D136,原始经营数据!$K$3:$K$3001,$G136)&gt;1,"基金整体·来源"&amp;原始经营数据!$A137,"基金整体")))</f>
        <v>杭州西溪印象城</v>
      </c>
      <c r="J136" t="str">
        <f t="shared" si="33"/>
        <v>季度</v>
      </c>
      <c r="K136" t="str">
        <f t="shared" si="34"/>
        <v>期内平均租金单价（元/平方米/月）</v>
      </c>
      <c r="L136" t="str">
        <f t="shared" si="35"/>
        <v>杭州西溪印象城|期内平均租金单价（元/平方米/月）|季度</v>
      </c>
      <c r="M136">
        <f>IF($A136="",0,IF(COUNTIF($L$2:$L136,$L136)=1,1,0))</f>
        <v>0</v>
      </c>
      <c r="N136">
        <f t="shared" si="36"/>
        <v>20253</v>
      </c>
      <c r="O136" t="str">
        <f t="shared" si="37"/>
        <v>中金印力消费基础设施封闭式基础设施证券投资基金|2025Q3|季度</v>
      </c>
      <c r="P136">
        <f>IF($A136="",0,IF(COUNTIF($O$2:$O136,$O136)=1,1,0))</f>
        <v>0</v>
      </c>
      <c r="Q136" t="str">
        <f>IF(AND($P136=1,$A136=经营数据!$B$3,$J136=经营数据!$BA$5),COUNTIFS($P$2:$P$3000,1,$A$2:$A$3000,$A136,$J$2:$J$3000,$J136,$N$2:$N$3000,"&lt;"&amp;$N136)+1,"")</f>
        <v/>
      </c>
      <c r="R136" t="str">
        <f t="shared" si="38"/>
        <v>中金印力消费基础设施封闭式基础设施证券投资基金|杭州西溪印象城</v>
      </c>
      <c r="S136">
        <f>IF($A136="",0,IF(COUNTIF($R$2:$R136,$R136)=1,1,0))</f>
        <v>0</v>
      </c>
      <c r="T136">
        <f t="shared" si="39"/>
        <v>95</v>
      </c>
      <c r="U136" t="str">
        <f>IF($A136="","",IF($A136=经营数据!$B$3,COUNTIFS($S$2:$S$3000,1,$A$2:$A$3000,$A136,$T$2:$T$3000,"&lt;"&amp;$T136)+1,""))</f>
        <v/>
      </c>
      <c r="V136" t="str">
        <f t="shared" si="40"/>
        <v>杭州西溪印象城|服务价格</v>
      </c>
      <c r="W136">
        <f t="shared" si="41"/>
        <v>95</v>
      </c>
      <c r="X136" t="str">
        <f t="shared" si="42"/>
        <v>杭州西溪印象城|期内平均租金单价</v>
      </c>
      <c r="Y136">
        <f t="shared" si="43"/>
        <v>95</v>
      </c>
      <c r="Z136">
        <f>IF($A136="",0,IF(AND($M136=1,$A136=经营数据!$B$3,$J136=经营数据!$BA$5,OR($I136=经营数据!$BA$4,COUNTIF(经营数据!$AA$9:$AA$38,$I136)&gt;0)),1,0))</f>
        <v>0</v>
      </c>
      <c r="AA136" t="str">
        <f t="shared" si="44"/>
        <v/>
      </c>
      <c r="AB136" t="str">
        <f t="shared" si="45"/>
        <v/>
      </c>
      <c r="AC136">
        <f>IF($A136="",0,IF(COUNTIF($A$2:$A136,$A136)=1,1,0))</f>
        <v>0</v>
      </c>
      <c r="AD136">
        <f t="shared" si="46"/>
        <v>2</v>
      </c>
      <c r="AE136" t="str">
        <f t="shared" si="47"/>
        <v>杭州西溪印象城|期内平均租金单价（元/平方米/月）</v>
      </c>
      <c r="BA136" t="s">
        <v>5433</v>
      </c>
      <c r="BB136" t="s">
        <v>5434</v>
      </c>
      <c r="BP136" s="47">
        <v>45561</v>
      </c>
      <c r="BQ136" s="29">
        <v>5.3515897876648517E-2</v>
      </c>
    </row>
    <row r="137" spans="1:69" x14ac:dyDescent="0.4">
      <c r="A137" t="str">
        <f>IF(原始经营数据!$D138="","",原始经营数据!$D138)</f>
        <v>中金印力消费基础设施封闭式基础设施证券投资基金</v>
      </c>
      <c r="B137" t="str">
        <f>IF(原始经营数据!$D138="","",T(原始经营数据!$E138))</f>
        <v>杭州西溪印象城</v>
      </c>
      <c r="C137" t="str">
        <f>IF(原始经营数据!$D138="","",原始经营数据!$F138)</f>
        <v>2025Q3</v>
      </c>
      <c r="D137" t="str">
        <f>IF(原始经营数据!$D138="","",原始经营数据!$H138)</f>
        <v>期内租金单价水平</v>
      </c>
      <c r="E137">
        <f>IF(原始经营数据!$D138="","",原始经营数据!$I138)</f>
        <v>251.36</v>
      </c>
      <c r="F137" t="str">
        <f>IF(原始经营数据!$D138="","",T(原始经营数据!$J138))</f>
        <v>元/平方米/月</v>
      </c>
      <c r="G137" t="str">
        <f>IF(原始经营数据!$D138="","",T(原始经营数据!$K138))</f>
        <v/>
      </c>
      <c r="H137" t="str">
        <f>IF(原始经营数据!$D138="","",原始经营数据!$G138)</f>
        <v>服务价格</v>
      </c>
      <c r="I137" t="str">
        <f>IF($A137="","",IF($B137&lt;&gt;"",$B137,IF(COUNTIFS(原始经营数据!$D$3:$D$3001,$A137,原始经营数据!$E$3:$E$3001,"",原始经营数据!$F$3:$F$3001,$C137,原始经营数据!$H$3:$H$3001,$D137,原始经营数据!$K$3:$K$3001,$G137)&gt;1,"基金整体·来源"&amp;原始经营数据!$A138,"基金整体")))</f>
        <v>杭州西溪印象城</v>
      </c>
      <c r="J137" t="str">
        <f t="shared" si="33"/>
        <v>季度</v>
      </c>
      <c r="K137" t="str">
        <f t="shared" si="34"/>
        <v>期内租金单价水平（元/平方米/月）</v>
      </c>
      <c r="L137" t="str">
        <f t="shared" si="35"/>
        <v>杭州西溪印象城|期内租金单价水平（元/平方米/月）|季度</v>
      </c>
      <c r="M137">
        <f>IF($A137="",0,IF(COUNTIF($L$2:$L137,$L137)=1,1,0))</f>
        <v>0</v>
      </c>
      <c r="N137">
        <f t="shared" si="36"/>
        <v>20253</v>
      </c>
      <c r="O137" t="str">
        <f t="shared" si="37"/>
        <v>中金印力消费基础设施封闭式基础设施证券投资基金|2025Q3|季度</v>
      </c>
      <c r="P137">
        <f>IF($A137="",0,IF(COUNTIF($O$2:$O137,$O137)=1,1,0))</f>
        <v>0</v>
      </c>
      <c r="Q137" t="str">
        <f>IF(AND($P137=1,$A137=经营数据!$B$3,$J137=经营数据!$BA$5),COUNTIFS($P$2:$P$3000,1,$A$2:$A$3000,$A137,$J$2:$J$3000,$J137,$N$2:$N$3000,"&lt;"&amp;$N137)+1,"")</f>
        <v/>
      </c>
      <c r="R137" t="str">
        <f t="shared" si="38"/>
        <v>中金印力消费基础设施封闭式基础设施证券投资基金|杭州西溪印象城</v>
      </c>
      <c r="S137">
        <f>IF($A137="",0,IF(COUNTIF($R$2:$R137,$R137)=1,1,0))</f>
        <v>0</v>
      </c>
      <c r="T137">
        <f t="shared" si="39"/>
        <v>95</v>
      </c>
      <c r="U137" t="str">
        <f>IF($A137="","",IF($A137=经营数据!$B$3,COUNTIFS($S$2:$S$3000,1,$A$2:$A$3000,$A137,$T$2:$T$3000,"&lt;"&amp;$T137)+1,""))</f>
        <v/>
      </c>
      <c r="V137" t="str">
        <f t="shared" si="40"/>
        <v>杭州西溪印象城|服务价格</v>
      </c>
      <c r="W137">
        <f t="shared" si="41"/>
        <v>95</v>
      </c>
      <c r="X137" t="str">
        <f t="shared" si="42"/>
        <v>杭州西溪印象城|期内租金单价水平</v>
      </c>
      <c r="Y137">
        <f t="shared" si="43"/>
        <v>101</v>
      </c>
      <c r="Z137">
        <f>IF($A137="",0,IF(AND($M137=1,$A137=经营数据!$B$3,$J137=经营数据!$BA$5,OR($I137=经营数据!$BA$4,COUNTIF(经营数据!$AA$9:$AA$38,$I137)&gt;0)),1,0))</f>
        <v>0</v>
      </c>
      <c r="AA137" t="str">
        <f t="shared" si="44"/>
        <v/>
      </c>
      <c r="AB137" t="str">
        <f t="shared" si="45"/>
        <v/>
      </c>
      <c r="AC137">
        <f>IF($A137="",0,IF(COUNTIF($A$2:$A137,$A137)=1,1,0))</f>
        <v>0</v>
      </c>
      <c r="AD137">
        <f t="shared" si="46"/>
        <v>2</v>
      </c>
      <c r="AE137" t="str">
        <f t="shared" si="47"/>
        <v>杭州西溪印象城|期内租金单价水平（元/平方米/月）</v>
      </c>
      <c r="BA137" t="s">
        <v>5435</v>
      </c>
      <c r="BB137" t="s">
        <v>5436</v>
      </c>
      <c r="BP137" s="47">
        <v>45562</v>
      </c>
      <c r="BQ137" s="29">
        <v>5.373773034687488E-2</v>
      </c>
    </row>
    <row r="138" spans="1:69" x14ac:dyDescent="0.4">
      <c r="A138" t="str">
        <f>IF(原始经营数据!$D139="","",原始经营数据!$D139)</f>
        <v>中金印力消费基础设施封闭式基础设施证券投资基金</v>
      </c>
      <c r="B138" t="str">
        <f>IF(原始经营数据!$D139="","",T(原始经营数据!$E139))</f>
        <v>杭州西溪印象城</v>
      </c>
      <c r="C138" t="str">
        <f>IF(原始经营数据!$D139="","",原始经营数据!$F139)</f>
        <v>2025Q4</v>
      </c>
      <c r="D138" t="str">
        <f>IF(原始经营数据!$D139="","",原始经营数据!$H139)</f>
        <v>期末可供出租面积</v>
      </c>
      <c r="E138">
        <f>IF(原始经营数据!$D139="","",原始经营数据!$I139)</f>
        <v>99426.95</v>
      </c>
      <c r="F138" t="str">
        <f>IF(原始经营数据!$D139="","",T(原始经营数据!$J139))</f>
        <v>平方米</v>
      </c>
      <c r="G138" t="str">
        <f>IF(原始经营数据!$D139="","",T(原始经营数据!$K139))</f>
        <v/>
      </c>
      <c r="H138" t="str">
        <f>IF(原始经营数据!$D139="","",原始经营数据!$G139)</f>
        <v>服务量</v>
      </c>
      <c r="I138" t="str">
        <f>IF($A138="","",IF($B138&lt;&gt;"",$B138,IF(COUNTIFS(原始经营数据!$D$3:$D$3001,$A138,原始经营数据!$E$3:$E$3001,"",原始经营数据!$F$3:$F$3001,$C138,原始经营数据!$H$3:$H$3001,$D138,原始经营数据!$K$3:$K$3001,$G138)&gt;1,"基金整体·来源"&amp;原始经营数据!$A139,"基金整体")))</f>
        <v>杭州西溪印象城</v>
      </c>
      <c r="J138" t="str">
        <f t="shared" si="33"/>
        <v>季度</v>
      </c>
      <c r="K138" t="str">
        <f t="shared" si="34"/>
        <v>期末可供出租面积（平方米）</v>
      </c>
      <c r="L138" t="str">
        <f t="shared" si="35"/>
        <v>杭州西溪印象城|期末可供出租面积（平方米）|季度</v>
      </c>
      <c r="M138">
        <f>IF($A138="",0,IF(COUNTIF($L$2:$L138,$L138)=1,1,0))</f>
        <v>0</v>
      </c>
      <c r="N138">
        <f t="shared" si="36"/>
        <v>20254</v>
      </c>
      <c r="O138" t="str">
        <f t="shared" si="37"/>
        <v>中金印力消费基础设施封闭式基础设施证券投资基金|2025Q4|季度</v>
      </c>
      <c r="P138">
        <f>IF($A138="",0,IF(COUNTIF($O$2:$O138,$O138)=1,1,0))</f>
        <v>1</v>
      </c>
      <c r="Q138" t="str">
        <f>IF(AND($P138=1,$A138=经营数据!$B$3,$J138=经营数据!$BA$5),COUNTIFS($P$2:$P$3000,1,$A$2:$A$3000,$A138,$J$2:$J$3000,$J138,$N$2:$N$3000,"&lt;"&amp;$N138)+1,"")</f>
        <v/>
      </c>
      <c r="R138" t="str">
        <f t="shared" si="38"/>
        <v>中金印力消费基础设施封闭式基础设施证券投资基金|杭州西溪印象城</v>
      </c>
      <c r="S138">
        <f>IF($A138="",0,IF(COUNTIF($R$2:$R138,$R138)=1,1,0))</f>
        <v>0</v>
      </c>
      <c r="T138">
        <f t="shared" si="39"/>
        <v>95</v>
      </c>
      <c r="U138" t="str">
        <f>IF($A138="","",IF($A138=经营数据!$B$3,COUNTIFS($S$2:$S$3000,1,$A$2:$A$3000,$A138,$T$2:$T$3000,"&lt;"&amp;$T138)+1,""))</f>
        <v/>
      </c>
      <c r="V138" t="str">
        <f t="shared" si="40"/>
        <v>杭州西溪印象城|服务量</v>
      </c>
      <c r="W138">
        <f t="shared" si="41"/>
        <v>96</v>
      </c>
      <c r="X138" t="str">
        <f t="shared" si="42"/>
        <v>杭州西溪印象城|期末可供出租面积</v>
      </c>
      <c r="Y138">
        <f t="shared" si="43"/>
        <v>96</v>
      </c>
      <c r="Z138">
        <f>IF($A138="",0,IF(AND($M138=1,$A138=经营数据!$B$3,$J138=经营数据!$BA$5,OR($I138=经营数据!$BA$4,COUNTIF(经营数据!$AA$9:$AA$38,$I138)&gt;0)),1,0))</f>
        <v>0</v>
      </c>
      <c r="AA138" t="str">
        <f t="shared" si="44"/>
        <v/>
      </c>
      <c r="AB138" t="str">
        <f t="shared" si="45"/>
        <v/>
      </c>
      <c r="AC138">
        <f>IF($A138="",0,IF(COUNTIF($A$2:$A138,$A138)=1,1,0))</f>
        <v>0</v>
      </c>
      <c r="AD138">
        <f t="shared" si="46"/>
        <v>2</v>
      </c>
      <c r="AE138" t="str">
        <f t="shared" si="47"/>
        <v>杭州西溪印象城|期末可供出租面积（平方米）</v>
      </c>
      <c r="BA138" t="s">
        <v>5437</v>
      </c>
      <c r="BB138" t="s">
        <v>5438</v>
      </c>
      <c r="BP138" s="47">
        <v>45565</v>
      </c>
      <c r="BQ138" s="29">
        <v>5.3811906895310777E-2</v>
      </c>
    </row>
    <row r="139" spans="1:69" x14ac:dyDescent="0.4">
      <c r="A139" t="str">
        <f>IF(原始经营数据!$D140="","",原始经营数据!$D140)</f>
        <v>中金印力消费基础设施封闭式基础设施证券投资基金</v>
      </c>
      <c r="B139" t="str">
        <f>IF(原始经营数据!$D140="","",T(原始经营数据!$E140))</f>
        <v>杭州西溪印象城</v>
      </c>
      <c r="C139" t="str">
        <f>IF(原始经营数据!$D140="","",原始经营数据!$F140)</f>
        <v>2025Q4</v>
      </c>
      <c r="D139" t="str">
        <f>IF(原始经营数据!$D140="","",原始经营数据!$H140)</f>
        <v>期末实际出租面积</v>
      </c>
      <c r="E139">
        <f>IF(原始经营数据!$D140="","",原始经营数据!$I140)</f>
        <v>97832.15</v>
      </c>
      <c r="F139" t="str">
        <f>IF(原始经营数据!$D140="","",T(原始经营数据!$J140))</f>
        <v>平方米</v>
      </c>
      <c r="G139" t="str">
        <f>IF(原始经营数据!$D140="","",T(原始经营数据!$K140))</f>
        <v/>
      </c>
      <c r="H139" t="str">
        <f>IF(原始经营数据!$D140="","",原始经营数据!$G140)</f>
        <v>服务量</v>
      </c>
      <c r="I139" t="str">
        <f>IF($A139="","",IF($B139&lt;&gt;"",$B139,IF(COUNTIFS(原始经营数据!$D$3:$D$3001,$A139,原始经营数据!$E$3:$E$3001,"",原始经营数据!$F$3:$F$3001,$C139,原始经营数据!$H$3:$H$3001,$D139,原始经营数据!$K$3:$K$3001,$G139)&gt;1,"基金整体·来源"&amp;原始经营数据!$A140,"基金整体")))</f>
        <v>杭州西溪印象城</v>
      </c>
      <c r="J139" t="str">
        <f t="shared" si="33"/>
        <v>季度</v>
      </c>
      <c r="K139" t="str">
        <f t="shared" si="34"/>
        <v>期末实际出租面积（平方米）</v>
      </c>
      <c r="L139" t="str">
        <f t="shared" si="35"/>
        <v>杭州西溪印象城|期末实际出租面积（平方米）|季度</v>
      </c>
      <c r="M139">
        <f>IF($A139="",0,IF(COUNTIF($L$2:$L139,$L139)=1,1,0))</f>
        <v>0</v>
      </c>
      <c r="N139">
        <f t="shared" si="36"/>
        <v>20254</v>
      </c>
      <c r="O139" t="str">
        <f t="shared" si="37"/>
        <v>中金印力消费基础设施封闭式基础设施证券投资基金|2025Q4|季度</v>
      </c>
      <c r="P139">
        <f>IF($A139="",0,IF(COUNTIF($O$2:$O139,$O139)=1,1,0))</f>
        <v>0</v>
      </c>
      <c r="Q139" t="str">
        <f>IF(AND($P139=1,$A139=经营数据!$B$3,$J139=经营数据!$BA$5),COUNTIFS($P$2:$P$3000,1,$A$2:$A$3000,$A139,$J$2:$J$3000,$J139,$N$2:$N$3000,"&lt;"&amp;$N139)+1,"")</f>
        <v/>
      </c>
      <c r="R139" t="str">
        <f t="shared" si="38"/>
        <v>中金印力消费基础设施封闭式基础设施证券投资基金|杭州西溪印象城</v>
      </c>
      <c r="S139">
        <f>IF($A139="",0,IF(COUNTIF($R$2:$R139,$R139)=1,1,0))</f>
        <v>0</v>
      </c>
      <c r="T139">
        <f t="shared" si="39"/>
        <v>95</v>
      </c>
      <c r="U139" t="str">
        <f>IF($A139="","",IF($A139=经营数据!$B$3,COUNTIFS($S$2:$S$3000,1,$A$2:$A$3000,$A139,$T$2:$T$3000,"&lt;"&amp;$T139)+1,""))</f>
        <v/>
      </c>
      <c r="V139" t="str">
        <f t="shared" si="40"/>
        <v>杭州西溪印象城|服务量</v>
      </c>
      <c r="W139">
        <f t="shared" si="41"/>
        <v>96</v>
      </c>
      <c r="X139" t="str">
        <f t="shared" si="42"/>
        <v>杭州西溪印象城|期末实际出租面积</v>
      </c>
      <c r="Y139">
        <f t="shared" si="43"/>
        <v>97</v>
      </c>
      <c r="Z139">
        <f>IF($A139="",0,IF(AND($M139=1,$A139=经营数据!$B$3,$J139=经营数据!$BA$5,OR($I139=经营数据!$BA$4,COUNTIF(经营数据!$AA$9:$AA$38,$I139)&gt;0)),1,0))</f>
        <v>0</v>
      </c>
      <c r="AA139" t="str">
        <f t="shared" si="44"/>
        <v/>
      </c>
      <c r="AB139" t="str">
        <f t="shared" si="45"/>
        <v/>
      </c>
      <c r="AC139">
        <f>IF($A139="",0,IF(COUNTIF($A$2:$A139,$A139)=1,1,0))</f>
        <v>0</v>
      </c>
      <c r="AD139">
        <f t="shared" si="46"/>
        <v>2</v>
      </c>
      <c r="AE139" t="str">
        <f t="shared" si="47"/>
        <v>杭州西溪印象城|期末实际出租面积（平方米）</v>
      </c>
      <c r="BA139" t="s">
        <v>5439</v>
      </c>
      <c r="BB139" t="s">
        <v>5440</v>
      </c>
      <c r="BP139" s="47">
        <v>45573</v>
      </c>
      <c r="BQ139" s="29">
        <v>5.3699661979515131E-2</v>
      </c>
    </row>
    <row r="140" spans="1:69" x14ac:dyDescent="0.4">
      <c r="A140" t="str">
        <f>IF(原始经营数据!$D141="","",原始经营数据!$D141)</f>
        <v>中金印力消费基础设施封闭式基础设施证券投资基金</v>
      </c>
      <c r="B140" t="str">
        <f>IF(原始经营数据!$D141="","",T(原始经营数据!$E141))</f>
        <v>杭州西溪印象城</v>
      </c>
      <c r="C140" t="str">
        <f>IF(原始经营数据!$D141="","",原始经营数据!$F141)</f>
        <v>2025Q4</v>
      </c>
      <c r="D140" t="str">
        <f>IF(原始经营数据!$D141="","",原始经营数据!$H141)</f>
        <v>期末出租率</v>
      </c>
      <c r="E140">
        <f>IF(原始经营数据!$D141="","",原始经营数据!$I141)</f>
        <v>98.4</v>
      </c>
      <c r="F140" t="str">
        <f>IF(原始经营数据!$D141="","",T(原始经营数据!$J141))</f>
        <v>%</v>
      </c>
      <c r="G140" t="str">
        <f>IF(原始经营数据!$D141="","",T(原始经营数据!$K141))</f>
        <v/>
      </c>
      <c r="H140" t="str">
        <f>IF(原始经营数据!$D141="","",原始经营数据!$G141)</f>
        <v>服务效率</v>
      </c>
      <c r="I140" t="str">
        <f>IF($A140="","",IF($B140&lt;&gt;"",$B140,IF(COUNTIFS(原始经营数据!$D$3:$D$3001,$A140,原始经营数据!$E$3:$E$3001,"",原始经营数据!$F$3:$F$3001,$C140,原始经营数据!$H$3:$H$3001,$D140,原始经营数据!$K$3:$K$3001,$G140)&gt;1,"基金整体·来源"&amp;原始经营数据!$A141,"基金整体")))</f>
        <v>杭州西溪印象城</v>
      </c>
      <c r="J140" t="str">
        <f t="shared" si="33"/>
        <v>季度</v>
      </c>
      <c r="K140" t="str">
        <f t="shared" si="34"/>
        <v>期末出租率（%）</v>
      </c>
      <c r="L140" t="str">
        <f t="shared" si="35"/>
        <v>杭州西溪印象城|期末出租率（%）|季度</v>
      </c>
      <c r="M140">
        <f>IF($A140="",0,IF(COUNTIF($L$2:$L140,$L140)=1,1,0))</f>
        <v>0</v>
      </c>
      <c r="N140">
        <f t="shared" si="36"/>
        <v>20254</v>
      </c>
      <c r="O140" t="str">
        <f t="shared" si="37"/>
        <v>中金印力消费基础设施封闭式基础设施证券投资基金|2025Q4|季度</v>
      </c>
      <c r="P140">
        <f>IF($A140="",0,IF(COUNTIF($O$2:$O140,$O140)=1,1,0))</f>
        <v>0</v>
      </c>
      <c r="Q140" t="str">
        <f>IF(AND($P140=1,$A140=经营数据!$B$3,$J140=经营数据!$BA$5),COUNTIFS($P$2:$P$3000,1,$A$2:$A$3000,$A140,$J$2:$J$3000,$J140,$N$2:$N$3000,"&lt;"&amp;$N140)+1,"")</f>
        <v/>
      </c>
      <c r="R140" t="str">
        <f t="shared" si="38"/>
        <v>中金印力消费基础设施封闭式基础设施证券投资基金|杭州西溪印象城</v>
      </c>
      <c r="S140">
        <f>IF($A140="",0,IF(COUNTIF($R$2:$R140,$R140)=1,1,0))</f>
        <v>0</v>
      </c>
      <c r="T140">
        <f t="shared" si="39"/>
        <v>95</v>
      </c>
      <c r="U140" t="str">
        <f>IF($A140="","",IF($A140=经营数据!$B$3,COUNTIFS($S$2:$S$3000,1,$A$2:$A$3000,$A140,$T$2:$T$3000,"&lt;"&amp;$T140)+1,""))</f>
        <v/>
      </c>
      <c r="V140" t="str">
        <f t="shared" si="40"/>
        <v>杭州西溪印象城|服务效率</v>
      </c>
      <c r="W140">
        <f t="shared" si="41"/>
        <v>98</v>
      </c>
      <c r="X140" t="str">
        <f t="shared" si="42"/>
        <v>杭州西溪印象城|期末出租率</v>
      </c>
      <c r="Y140">
        <f t="shared" si="43"/>
        <v>100</v>
      </c>
      <c r="Z140">
        <f>IF($A140="",0,IF(AND($M140=1,$A140=经营数据!$B$3,$J140=经营数据!$BA$5,OR($I140=经营数据!$BA$4,COUNTIF(经营数据!$AA$9:$AA$38,$I140)&gt;0)),1,0))</f>
        <v>0</v>
      </c>
      <c r="AA140" t="str">
        <f t="shared" si="44"/>
        <v/>
      </c>
      <c r="AB140" t="str">
        <f t="shared" si="45"/>
        <v/>
      </c>
      <c r="AC140">
        <f>IF($A140="",0,IF(COUNTIF($A$2:$A140,$A140)=1,1,0))</f>
        <v>0</v>
      </c>
      <c r="AD140">
        <f t="shared" si="46"/>
        <v>2</v>
      </c>
      <c r="AE140" t="str">
        <f t="shared" si="47"/>
        <v>杭州西溪印象城|期末出租率（%）</v>
      </c>
      <c r="BA140" t="s">
        <v>5441</v>
      </c>
      <c r="BB140" t="s">
        <v>5442</v>
      </c>
      <c r="BP140" s="47">
        <v>45574</v>
      </c>
      <c r="BQ140" s="29">
        <v>5.3882032588457127E-2</v>
      </c>
    </row>
    <row r="141" spans="1:69" x14ac:dyDescent="0.4">
      <c r="A141" t="str">
        <f>IF(原始经营数据!$D142="","",原始经营数据!$D142)</f>
        <v>中金印力消费基础设施封闭式基础设施证券投资基金</v>
      </c>
      <c r="B141" t="str">
        <f>IF(原始经营数据!$D142="","",T(原始经营数据!$E142))</f>
        <v>杭州西溪印象城</v>
      </c>
      <c r="C141" t="str">
        <f>IF(原始经营数据!$D142="","",原始经营数据!$F142)</f>
        <v>2025Q4</v>
      </c>
      <c r="D141" t="str">
        <f>IF(原始经营数据!$D142="","",原始经营数据!$H142)</f>
        <v>期内平均租金单价</v>
      </c>
      <c r="E141">
        <f>IF(原始经营数据!$D142="","",原始经营数据!$I142)</f>
        <v>256.5</v>
      </c>
      <c r="F141" t="str">
        <f>IF(原始经营数据!$D142="","",T(原始经营数据!$J142))</f>
        <v>元/平方米/月</v>
      </c>
      <c r="G141" t="str">
        <f>IF(原始经营数据!$D142="","",T(原始经营数据!$K142))</f>
        <v/>
      </c>
      <c r="H141" t="str">
        <f>IF(原始经营数据!$D142="","",原始经营数据!$G142)</f>
        <v>服务价格</v>
      </c>
      <c r="I141" t="str">
        <f>IF($A141="","",IF($B141&lt;&gt;"",$B141,IF(COUNTIFS(原始经营数据!$D$3:$D$3001,$A141,原始经营数据!$E$3:$E$3001,"",原始经营数据!$F$3:$F$3001,$C141,原始经营数据!$H$3:$H$3001,$D141,原始经营数据!$K$3:$K$3001,$G141)&gt;1,"基金整体·来源"&amp;原始经营数据!$A142,"基金整体")))</f>
        <v>杭州西溪印象城</v>
      </c>
      <c r="J141" t="str">
        <f t="shared" si="33"/>
        <v>季度</v>
      </c>
      <c r="K141" t="str">
        <f t="shared" si="34"/>
        <v>期内平均租金单价（元/平方米/月）</v>
      </c>
      <c r="L141" t="str">
        <f t="shared" si="35"/>
        <v>杭州西溪印象城|期内平均租金单价（元/平方米/月）|季度</v>
      </c>
      <c r="M141">
        <f>IF($A141="",0,IF(COUNTIF($L$2:$L141,$L141)=1,1,0))</f>
        <v>0</v>
      </c>
      <c r="N141">
        <f t="shared" si="36"/>
        <v>20254</v>
      </c>
      <c r="O141" t="str">
        <f t="shared" si="37"/>
        <v>中金印力消费基础设施封闭式基础设施证券投资基金|2025Q4|季度</v>
      </c>
      <c r="P141">
        <f>IF($A141="",0,IF(COUNTIF($O$2:$O141,$O141)=1,1,0))</f>
        <v>0</v>
      </c>
      <c r="Q141" t="str">
        <f>IF(AND($P141=1,$A141=经营数据!$B$3,$J141=经营数据!$BA$5),COUNTIFS($P$2:$P$3000,1,$A$2:$A$3000,$A141,$J$2:$J$3000,$J141,$N$2:$N$3000,"&lt;"&amp;$N141)+1,"")</f>
        <v/>
      </c>
      <c r="R141" t="str">
        <f t="shared" si="38"/>
        <v>中金印力消费基础设施封闭式基础设施证券投资基金|杭州西溪印象城</v>
      </c>
      <c r="S141">
        <f>IF($A141="",0,IF(COUNTIF($R$2:$R141,$R141)=1,1,0))</f>
        <v>0</v>
      </c>
      <c r="T141">
        <f t="shared" si="39"/>
        <v>95</v>
      </c>
      <c r="U141" t="str">
        <f>IF($A141="","",IF($A141=经营数据!$B$3,COUNTIFS($S$2:$S$3000,1,$A$2:$A$3000,$A141,$T$2:$T$3000,"&lt;"&amp;$T141)+1,""))</f>
        <v/>
      </c>
      <c r="V141" t="str">
        <f t="shared" si="40"/>
        <v>杭州西溪印象城|服务价格</v>
      </c>
      <c r="W141">
        <f t="shared" si="41"/>
        <v>95</v>
      </c>
      <c r="X141" t="str">
        <f t="shared" si="42"/>
        <v>杭州西溪印象城|期内平均租金单价</v>
      </c>
      <c r="Y141">
        <f t="shared" si="43"/>
        <v>95</v>
      </c>
      <c r="Z141">
        <f>IF($A141="",0,IF(AND($M141=1,$A141=经营数据!$B$3,$J141=经营数据!$BA$5,OR($I141=经营数据!$BA$4,COUNTIF(经营数据!$AA$9:$AA$38,$I141)&gt;0)),1,0))</f>
        <v>0</v>
      </c>
      <c r="AA141" t="str">
        <f t="shared" si="44"/>
        <v/>
      </c>
      <c r="AB141" t="str">
        <f t="shared" si="45"/>
        <v/>
      </c>
      <c r="AC141">
        <f>IF($A141="",0,IF(COUNTIF($A$2:$A141,$A141)=1,1,0))</f>
        <v>0</v>
      </c>
      <c r="AD141">
        <f t="shared" si="46"/>
        <v>2</v>
      </c>
      <c r="AE141" t="str">
        <f t="shared" si="47"/>
        <v>杭州西溪印象城|期内平均租金单价（元/平方米/月）</v>
      </c>
      <c r="BA141" t="s">
        <v>5443</v>
      </c>
      <c r="BB141" t="s">
        <v>5444</v>
      </c>
      <c r="BP141" s="47">
        <v>45575</v>
      </c>
      <c r="BQ141" s="29">
        <v>5.4091902248287888E-2</v>
      </c>
    </row>
    <row r="142" spans="1:69" x14ac:dyDescent="0.4">
      <c r="A142" t="str">
        <f>IF(原始经营数据!$D143="","",原始经营数据!$D143)</f>
        <v>中金印力消费基础设施封闭式基础设施证券投资基金</v>
      </c>
      <c r="B142" t="str">
        <f>IF(原始经营数据!$D143="","",T(原始经营数据!$E143))</f>
        <v>杭州西溪印象城</v>
      </c>
      <c r="C142" t="str">
        <f>IF(原始经营数据!$D143="","",原始经营数据!$F143)</f>
        <v>2025Q4</v>
      </c>
      <c r="D142" t="str">
        <f>IF(原始经营数据!$D143="","",原始经营数据!$H143)</f>
        <v>期末剩余租期情况</v>
      </c>
      <c r="E142">
        <f>IF(原始经营数据!$D143="","",原始经营数据!$I143)</f>
        <v>2.5299999999999998</v>
      </c>
      <c r="F142" t="str">
        <f>IF(原始经营数据!$D143="","",T(原始经营数据!$J143))</f>
        <v>年</v>
      </c>
      <c r="G142" t="str">
        <f>IF(原始经营数据!$D143="","",T(原始经营数据!$K143))</f>
        <v/>
      </c>
      <c r="H142" t="str">
        <f>IF(原始经营数据!$D143="","",原始经营数据!$G143)</f>
        <v>服务量</v>
      </c>
      <c r="I142" t="str">
        <f>IF($A142="","",IF($B142&lt;&gt;"",$B142,IF(COUNTIFS(原始经营数据!$D$3:$D$3001,$A142,原始经营数据!$E$3:$E$3001,"",原始经营数据!$F$3:$F$3001,$C142,原始经营数据!$H$3:$H$3001,$D142,原始经营数据!$K$3:$K$3001,$G142)&gt;1,"基金整体·来源"&amp;原始经营数据!$A143,"基金整体")))</f>
        <v>杭州西溪印象城</v>
      </c>
      <c r="J142" t="str">
        <f t="shared" si="33"/>
        <v>季度</v>
      </c>
      <c r="K142" t="str">
        <f t="shared" si="34"/>
        <v>期末剩余租期情况（年）</v>
      </c>
      <c r="L142" t="str">
        <f t="shared" si="35"/>
        <v>杭州西溪印象城|期末剩余租期情况（年）|季度</v>
      </c>
      <c r="M142">
        <f>IF($A142="",0,IF(COUNTIF($L$2:$L142,$L142)=1,1,0))</f>
        <v>0</v>
      </c>
      <c r="N142">
        <f t="shared" si="36"/>
        <v>20254</v>
      </c>
      <c r="O142" t="str">
        <f t="shared" si="37"/>
        <v>中金印力消费基础设施封闭式基础设施证券投资基金|2025Q4|季度</v>
      </c>
      <c r="P142">
        <f>IF($A142="",0,IF(COUNTIF($O$2:$O142,$O142)=1,1,0))</f>
        <v>0</v>
      </c>
      <c r="Q142" t="str">
        <f>IF(AND($P142=1,$A142=经营数据!$B$3,$J142=经营数据!$BA$5),COUNTIFS($P$2:$P$3000,1,$A$2:$A$3000,$A142,$J$2:$J$3000,$J142,$N$2:$N$3000,"&lt;"&amp;$N142)+1,"")</f>
        <v/>
      </c>
      <c r="R142" t="str">
        <f t="shared" si="38"/>
        <v>中金印力消费基础设施封闭式基础设施证券投资基金|杭州西溪印象城</v>
      </c>
      <c r="S142">
        <f>IF($A142="",0,IF(COUNTIF($R$2:$R142,$R142)=1,1,0))</f>
        <v>0</v>
      </c>
      <c r="T142">
        <f t="shared" si="39"/>
        <v>95</v>
      </c>
      <c r="U142" t="str">
        <f>IF($A142="","",IF($A142=经营数据!$B$3,COUNTIFS($S$2:$S$3000,1,$A$2:$A$3000,$A142,$T$2:$T$3000,"&lt;"&amp;$T142)+1,""))</f>
        <v/>
      </c>
      <c r="V142" t="str">
        <f t="shared" si="40"/>
        <v>杭州西溪印象城|服务量</v>
      </c>
      <c r="W142">
        <f t="shared" si="41"/>
        <v>96</v>
      </c>
      <c r="X142" t="str">
        <f t="shared" si="42"/>
        <v>杭州西溪印象城|期末剩余租期情况</v>
      </c>
      <c r="Y142">
        <f t="shared" si="43"/>
        <v>99</v>
      </c>
      <c r="Z142">
        <f>IF($A142="",0,IF(AND($M142=1,$A142=经营数据!$B$3,$J142=经营数据!$BA$5,OR($I142=经营数据!$BA$4,COUNTIF(经营数据!$AA$9:$AA$38,$I142)&gt;0)),1,0))</f>
        <v>0</v>
      </c>
      <c r="AA142" t="str">
        <f t="shared" si="44"/>
        <v/>
      </c>
      <c r="AB142" t="str">
        <f t="shared" si="45"/>
        <v/>
      </c>
      <c r="AC142">
        <f>IF($A142="",0,IF(COUNTIF($A$2:$A142,$A142)=1,1,0))</f>
        <v>0</v>
      </c>
      <c r="AD142">
        <f t="shared" si="46"/>
        <v>2</v>
      </c>
      <c r="AE142" t="str">
        <f t="shared" si="47"/>
        <v>杭州西溪印象城|期末剩余租期情况（年）</v>
      </c>
      <c r="BA142" t="s">
        <v>5445</v>
      </c>
      <c r="BB142" t="s">
        <v>5446</v>
      </c>
      <c r="BP142" s="47">
        <v>45576</v>
      </c>
      <c r="BQ142" s="29">
        <v>5.4120867122316417E-2</v>
      </c>
    </row>
    <row r="143" spans="1:69" x14ac:dyDescent="0.4">
      <c r="A143" t="str">
        <f>IF(原始经营数据!$D144="","",原始经营数据!$D144)</f>
        <v>中金印力消费基础设施封闭式基础设施证券投资基金</v>
      </c>
      <c r="B143" t="str">
        <f>IF(原始经营数据!$D144="","",T(原始经营数据!$E144))</f>
        <v>杭州西溪印象城</v>
      </c>
      <c r="C143" t="str">
        <f>IF(原始经营数据!$D144="","",原始经营数据!$F144)</f>
        <v>2025Q4</v>
      </c>
      <c r="D143" t="str">
        <f>IF(原始经营数据!$D144="","",原始经营数据!$H144)</f>
        <v>期末租金收缴率</v>
      </c>
      <c r="E143">
        <f>IF(原始经营数据!$D144="","",原始经营数据!$I144)</f>
        <v>99.89</v>
      </c>
      <c r="F143" t="str">
        <f>IF(原始经营数据!$D144="","",T(原始经营数据!$J144))</f>
        <v>%</v>
      </c>
      <c r="G143" t="str">
        <f>IF(原始经营数据!$D144="","",T(原始经营数据!$K144))</f>
        <v/>
      </c>
      <c r="H143" t="str">
        <f>IF(原始经营数据!$D144="","",原始经营数据!$G144)</f>
        <v>服务效率</v>
      </c>
      <c r="I143" t="str">
        <f>IF($A143="","",IF($B143&lt;&gt;"",$B143,IF(COUNTIFS(原始经营数据!$D$3:$D$3001,$A143,原始经营数据!$E$3:$E$3001,"",原始经营数据!$F$3:$F$3001,$C143,原始经营数据!$H$3:$H$3001,$D143,原始经营数据!$K$3:$K$3001,$G143)&gt;1,"基金整体·来源"&amp;原始经营数据!$A144,"基金整体")))</f>
        <v>杭州西溪印象城</v>
      </c>
      <c r="J143" t="str">
        <f t="shared" si="33"/>
        <v>季度</v>
      </c>
      <c r="K143" t="str">
        <f t="shared" si="34"/>
        <v>期末租金收缴率（%）</v>
      </c>
      <c r="L143" t="str">
        <f t="shared" si="35"/>
        <v>杭州西溪印象城|期末租金收缴率（%）|季度</v>
      </c>
      <c r="M143">
        <f>IF($A143="",0,IF(COUNTIF($L$2:$L143,$L143)=1,1,0))</f>
        <v>0</v>
      </c>
      <c r="N143">
        <f t="shared" si="36"/>
        <v>20254</v>
      </c>
      <c r="O143" t="str">
        <f t="shared" si="37"/>
        <v>中金印力消费基础设施封闭式基础设施证券投资基金|2025Q4|季度</v>
      </c>
      <c r="P143">
        <f>IF($A143="",0,IF(COUNTIF($O$2:$O143,$O143)=1,1,0))</f>
        <v>0</v>
      </c>
      <c r="Q143" t="str">
        <f>IF(AND($P143=1,$A143=经营数据!$B$3,$J143=经营数据!$BA$5),COUNTIFS($P$2:$P$3000,1,$A$2:$A$3000,$A143,$J$2:$J$3000,$J143,$N$2:$N$3000,"&lt;"&amp;$N143)+1,"")</f>
        <v/>
      </c>
      <c r="R143" t="str">
        <f t="shared" si="38"/>
        <v>中金印力消费基础设施封闭式基础设施证券投资基金|杭州西溪印象城</v>
      </c>
      <c r="S143">
        <f>IF($A143="",0,IF(COUNTIF($R$2:$R143,$R143)=1,1,0))</f>
        <v>0</v>
      </c>
      <c r="T143">
        <f t="shared" si="39"/>
        <v>95</v>
      </c>
      <c r="U143" t="str">
        <f>IF($A143="","",IF($A143=经营数据!$B$3,COUNTIFS($S$2:$S$3000,1,$A$2:$A$3000,$A143,$T$2:$T$3000,"&lt;"&amp;$T143)+1,""))</f>
        <v/>
      </c>
      <c r="V143" t="str">
        <f t="shared" si="40"/>
        <v>杭州西溪印象城|服务效率</v>
      </c>
      <c r="W143">
        <f t="shared" si="41"/>
        <v>98</v>
      </c>
      <c r="X143" t="str">
        <f t="shared" si="42"/>
        <v>杭州西溪印象城|期末租金收缴率</v>
      </c>
      <c r="Y143">
        <f t="shared" si="43"/>
        <v>98</v>
      </c>
      <c r="Z143">
        <f>IF($A143="",0,IF(AND($M143=1,$A143=经营数据!$B$3,$J143=经营数据!$BA$5,OR($I143=经营数据!$BA$4,COUNTIF(经营数据!$AA$9:$AA$38,$I143)&gt;0)),1,0))</f>
        <v>0</v>
      </c>
      <c r="AA143" t="str">
        <f t="shared" si="44"/>
        <v/>
      </c>
      <c r="AB143" t="str">
        <f t="shared" si="45"/>
        <v/>
      </c>
      <c r="AC143">
        <f>IF($A143="",0,IF(COUNTIF($A$2:$A143,$A143)=1,1,0))</f>
        <v>0</v>
      </c>
      <c r="AD143">
        <f t="shared" si="46"/>
        <v>2</v>
      </c>
      <c r="AE143" t="str">
        <f t="shared" si="47"/>
        <v>杭州西溪印象城|期末租金收缴率（%）</v>
      </c>
      <c r="BA143" t="s">
        <v>5447</v>
      </c>
      <c r="BB143" t="s">
        <v>5448</v>
      </c>
      <c r="BP143" s="47">
        <v>45579</v>
      </c>
      <c r="BQ143" s="29">
        <v>5.3993439499718063E-2</v>
      </c>
    </row>
    <row r="144" spans="1:69" x14ac:dyDescent="0.4">
      <c r="A144" t="str">
        <f>IF(原始经营数据!$D145="","",原始经营数据!$D145)</f>
        <v>中金印力消费基础设施封闭式基础设施证券投资基金</v>
      </c>
      <c r="B144" t="str">
        <f>IF(原始经营数据!$D145="","",T(原始经营数据!$E145))</f>
        <v>杭州西溪印象城</v>
      </c>
      <c r="C144" t="str">
        <f>IF(原始经营数据!$D145="","",原始经营数据!$F145)</f>
        <v>2025Q4</v>
      </c>
      <c r="D144" t="str">
        <f>IF(原始经营数据!$D145="","",原始经营数据!$H145)</f>
        <v>期内租金单价水平</v>
      </c>
      <c r="E144">
        <f>IF(原始经营数据!$D145="","",原始经营数据!$I145)</f>
        <v>256.5</v>
      </c>
      <c r="F144" t="str">
        <f>IF(原始经营数据!$D145="","",T(原始经营数据!$J145))</f>
        <v>元/平方米/月</v>
      </c>
      <c r="G144" t="str">
        <f>IF(原始经营数据!$D145="","",T(原始经营数据!$K145))</f>
        <v/>
      </c>
      <c r="H144" t="str">
        <f>IF(原始经营数据!$D145="","",原始经营数据!$G145)</f>
        <v>服务价格</v>
      </c>
      <c r="I144" t="str">
        <f>IF($A144="","",IF($B144&lt;&gt;"",$B144,IF(COUNTIFS(原始经营数据!$D$3:$D$3001,$A144,原始经营数据!$E$3:$E$3001,"",原始经营数据!$F$3:$F$3001,$C144,原始经营数据!$H$3:$H$3001,$D144,原始经营数据!$K$3:$K$3001,$G144)&gt;1,"基金整体·来源"&amp;原始经营数据!$A145,"基金整体")))</f>
        <v>杭州西溪印象城</v>
      </c>
      <c r="J144" t="str">
        <f t="shared" si="33"/>
        <v>季度</v>
      </c>
      <c r="K144" t="str">
        <f t="shared" si="34"/>
        <v>期内租金单价水平（元/平方米/月）</v>
      </c>
      <c r="L144" t="str">
        <f t="shared" si="35"/>
        <v>杭州西溪印象城|期内租金单价水平（元/平方米/月）|季度</v>
      </c>
      <c r="M144">
        <f>IF($A144="",0,IF(COUNTIF($L$2:$L144,$L144)=1,1,0))</f>
        <v>0</v>
      </c>
      <c r="N144">
        <f t="shared" si="36"/>
        <v>20254</v>
      </c>
      <c r="O144" t="str">
        <f t="shared" si="37"/>
        <v>中金印力消费基础设施封闭式基础设施证券投资基金|2025Q4|季度</v>
      </c>
      <c r="P144">
        <f>IF($A144="",0,IF(COUNTIF($O$2:$O144,$O144)=1,1,0))</f>
        <v>0</v>
      </c>
      <c r="Q144" t="str">
        <f>IF(AND($P144=1,$A144=经营数据!$B$3,$J144=经营数据!$BA$5),COUNTIFS($P$2:$P$3000,1,$A$2:$A$3000,$A144,$J$2:$J$3000,$J144,$N$2:$N$3000,"&lt;"&amp;$N144)+1,"")</f>
        <v/>
      </c>
      <c r="R144" t="str">
        <f t="shared" si="38"/>
        <v>中金印力消费基础设施封闭式基础设施证券投资基金|杭州西溪印象城</v>
      </c>
      <c r="S144">
        <f>IF($A144="",0,IF(COUNTIF($R$2:$R144,$R144)=1,1,0))</f>
        <v>0</v>
      </c>
      <c r="T144">
        <f t="shared" si="39"/>
        <v>95</v>
      </c>
      <c r="U144" t="str">
        <f>IF($A144="","",IF($A144=经营数据!$B$3,COUNTIFS($S$2:$S$3000,1,$A$2:$A$3000,$A144,$T$2:$T$3000,"&lt;"&amp;$T144)+1,""))</f>
        <v/>
      </c>
      <c r="V144" t="str">
        <f t="shared" si="40"/>
        <v>杭州西溪印象城|服务价格</v>
      </c>
      <c r="W144">
        <f t="shared" si="41"/>
        <v>95</v>
      </c>
      <c r="X144" t="str">
        <f t="shared" si="42"/>
        <v>杭州西溪印象城|期内租金单价水平</v>
      </c>
      <c r="Y144">
        <f t="shared" si="43"/>
        <v>101</v>
      </c>
      <c r="Z144">
        <f>IF($A144="",0,IF(AND($M144=1,$A144=经营数据!$B$3,$J144=经营数据!$BA$5,OR($I144=经营数据!$BA$4,COUNTIF(经营数据!$AA$9:$AA$38,$I144)&gt;0)),1,0))</f>
        <v>0</v>
      </c>
      <c r="AA144" t="str">
        <f t="shared" si="44"/>
        <v/>
      </c>
      <c r="AB144" t="str">
        <f t="shared" si="45"/>
        <v/>
      </c>
      <c r="AC144">
        <f>IF($A144="",0,IF(COUNTIF($A$2:$A144,$A144)=1,1,0))</f>
        <v>0</v>
      </c>
      <c r="AD144">
        <f t="shared" si="46"/>
        <v>2</v>
      </c>
      <c r="AE144" t="str">
        <f t="shared" si="47"/>
        <v>杭州西溪印象城|期内租金单价水平（元/平方米/月）</v>
      </c>
      <c r="BA144" t="s">
        <v>5449</v>
      </c>
      <c r="BB144" t="s">
        <v>5450</v>
      </c>
      <c r="BP144" s="47">
        <v>45580</v>
      </c>
      <c r="BQ144" s="29">
        <v>5.3680648014694313E-2</v>
      </c>
    </row>
    <row r="145" spans="1:69" x14ac:dyDescent="0.4">
      <c r="A145" t="str">
        <f>IF(原始经营数据!$D146="","",原始经营数据!$D146)</f>
        <v>中金印力消费基础设施封闭式基础设施证券投资基金</v>
      </c>
      <c r="B145" t="str">
        <f>IF(原始经营数据!$D146="","",T(原始经营数据!$E146))</f>
        <v>杭州西溪印象城</v>
      </c>
      <c r="C145" t="str">
        <f>IF(原始经营数据!$D146="","",原始经营数据!$F146)</f>
        <v>2026Q1</v>
      </c>
      <c r="D145" t="str">
        <f>IF(原始经营数据!$D146="","",原始经营数据!$H146)</f>
        <v>期末可供出租面积</v>
      </c>
      <c r="E145">
        <f>IF(原始经营数据!$D146="","",原始经营数据!$I146)</f>
        <v>99025.7</v>
      </c>
      <c r="F145" t="str">
        <f>IF(原始经营数据!$D146="","",T(原始经营数据!$J146))</f>
        <v>平方米</v>
      </c>
      <c r="G145" t="str">
        <f>IF(原始经营数据!$D146="","",T(原始经营数据!$K146))</f>
        <v/>
      </c>
      <c r="H145" t="str">
        <f>IF(原始经营数据!$D146="","",原始经营数据!$G146)</f>
        <v>服务量</v>
      </c>
      <c r="I145" t="str">
        <f>IF($A145="","",IF($B145&lt;&gt;"",$B145,IF(COUNTIFS(原始经营数据!$D$3:$D$3001,$A145,原始经营数据!$E$3:$E$3001,"",原始经营数据!$F$3:$F$3001,$C145,原始经营数据!$H$3:$H$3001,$D145,原始经营数据!$K$3:$K$3001,$G145)&gt;1,"基金整体·来源"&amp;原始经营数据!$A146,"基金整体")))</f>
        <v>杭州西溪印象城</v>
      </c>
      <c r="J145" t="str">
        <f t="shared" si="33"/>
        <v>季度</v>
      </c>
      <c r="K145" t="str">
        <f t="shared" si="34"/>
        <v>期末可供出租面积（平方米）</v>
      </c>
      <c r="L145" t="str">
        <f t="shared" si="35"/>
        <v>杭州西溪印象城|期末可供出租面积（平方米）|季度</v>
      </c>
      <c r="M145">
        <f>IF($A145="",0,IF(COUNTIF($L$2:$L145,$L145)=1,1,0))</f>
        <v>0</v>
      </c>
      <c r="N145">
        <f t="shared" si="36"/>
        <v>20261</v>
      </c>
      <c r="O145" t="str">
        <f t="shared" si="37"/>
        <v>中金印力消费基础设施封闭式基础设施证券投资基金|2026Q1|季度</v>
      </c>
      <c r="P145">
        <f>IF($A145="",0,IF(COUNTIF($O$2:$O145,$O145)=1,1,0))</f>
        <v>1</v>
      </c>
      <c r="Q145" t="str">
        <f>IF(AND($P145=1,$A145=经营数据!$B$3,$J145=经营数据!$BA$5),COUNTIFS($P$2:$P$3000,1,$A$2:$A$3000,$A145,$J$2:$J$3000,$J145,$N$2:$N$3000,"&lt;"&amp;$N145)+1,"")</f>
        <v/>
      </c>
      <c r="R145" t="str">
        <f t="shared" si="38"/>
        <v>中金印力消费基础设施封闭式基础设施证券投资基金|杭州西溪印象城</v>
      </c>
      <c r="S145">
        <f>IF($A145="",0,IF(COUNTIF($R$2:$R145,$R145)=1,1,0))</f>
        <v>0</v>
      </c>
      <c r="T145">
        <f t="shared" si="39"/>
        <v>95</v>
      </c>
      <c r="U145" t="str">
        <f>IF($A145="","",IF($A145=经营数据!$B$3,COUNTIFS($S$2:$S$3000,1,$A$2:$A$3000,$A145,$T$2:$T$3000,"&lt;"&amp;$T145)+1,""))</f>
        <v/>
      </c>
      <c r="V145" t="str">
        <f t="shared" si="40"/>
        <v>杭州西溪印象城|服务量</v>
      </c>
      <c r="W145">
        <f t="shared" si="41"/>
        <v>96</v>
      </c>
      <c r="X145" t="str">
        <f t="shared" si="42"/>
        <v>杭州西溪印象城|期末可供出租面积</v>
      </c>
      <c r="Y145">
        <f t="shared" si="43"/>
        <v>96</v>
      </c>
      <c r="Z145">
        <f>IF($A145="",0,IF(AND($M145=1,$A145=经营数据!$B$3,$J145=经营数据!$BA$5,OR($I145=经营数据!$BA$4,COUNTIF(经营数据!$AA$9:$AA$38,$I145)&gt;0)),1,0))</f>
        <v>0</v>
      </c>
      <c r="AA145" t="str">
        <f t="shared" si="44"/>
        <v/>
      </c>
      <c r="AB145" t="str">
        <f t="shared" si="45"/>
        <v/>
      </c>
      <c r="AC145">
        <f>IF($A145="",0,IF(COUNTIF($A$2:$A145,$A145)=1,1,0))</f>
        <v>0</v>
      </c>
      <c r="AD145">
        <f t="shared" si="46"/>
        <v>2</v>
      </c>
      <c r="AE145" t="str">
        <f t="shared" si="47"/>
        <v>杭州西溪印象城|期末可供出租面积（平方米）</v>
      </c>
      <c r="BA145" t="s">
        <v>5451</v>
      </c>
      <c r="BB145" t="s">
        <v>5452</v>
      </c>
      <c r="BP145" s="47">
        <v>45581</v>
      </c>
      <c r="BQ145" s="29">
        <v>5.3615785106832362E-2</v>
      </c>
    </row>
    <row r="146" spans="1:69" x14ac:dyDescent="0.4">
      <c r="A146" t="str">
        <f>IF(原始经营数据!$D147="","",原始经营数据!$D147)</f>
        <v>中金印力消费基础设施封闭式基础设施证券投资基金</v>
      </c>
      <c r="B146" t="str">
        <f>IF(原始经营数据!$D147="","",T(原始经营数据!$E147))</f>
        <v>杭州西溪印象城</v>
      </c>
      <c r="C146" t="str">
        <f>IF(原始经营数据!$D147="","",原始经营数据!$F147)</f>
        <v>2026Q1</v>
      </c>
      <c r="D146" t="str">
        <f>IF(原始经营数据!$D147="","",原始经营数据!$H147)</f>
        <v>期末出租率</v>
      </c>
      <c r="E146">
        <f>IF(原始经营数据!$D147="","",原始经营数据!$I147)</f>
        <v>95.87</v>
      </c>
      <c r="F146" t="str">
        <f>IF(原始经营数据!$D147="","",T(原始经营数据!$J147))</f>
        <v>%</v>
      </c>
      <c r="G146" t="str">
        <f>IF(原始经营数据!$D147="","",T(原始经营数据!$K147))</f>
        <v/>
      </c>
      <c r="H146" t="str">
        <f>IF(原始经营数据!$D147="","",原始经营数据!$G147)</f>
        <v>服务效率</v>
      </c>
      <c r="I146" t="str">
        <f>IF($A146="","",IF($B146&lt;&gt;"",$B146,IF(COUNTIFS(原始经营数据!$D$3:$D$3001,$A146,原始经营数据!$E$3:$E$3001,"",原始经营数据!$F$3:$F$3001,$C146,原始经营数据!$H$3:$H$3001,$D146,原始经营数据!$K$3:$K$3001,$G146)&gt;1,"基金整体·来源"&amp;原始经营数据!$A147,"基金整体")))</f>
        <v>杭州西溪印象城</v>
      </c>
      <c r="J146" t="str">
        <f t="shared" si="33"/>
        <v>季度</v>
      </c>
      <c r="K146" t="str">
        <f t="shared" si="34"/>
        <v>期末出租率（%）</v>
      </c>
      <c r="L146" t="str">
        <f t="shared" si="35"/>
        <v>杭州西溪印象城|期末出租率（%）|季度</v>
      </c>
      <c r="M146">
        <f>IF($A146="",0,IF(COUNTIF($L$2:$L146,$L146)=1,1,0))</f>
        <v>0</v>
      </c>
      <c r="N146">
        <f t="shared" si="36"/>
        <v>20261</v>
      </c>
      <c r="O146" t="str">
        <f t="shared" si="37"/>
        <v>中金印力消费基础设施封闭式基础设施证券投资基金|2026Q1|季度</v>
      </c>
      <c r="P146">
        <f>IF($A146="",0,IF(COUNTIF($O$2:$O146,$O146)=1,1,0))</f>
        <v>0</v>
      </c>
      <c r="Q146" t="str">
        <f>IF(AND($P146=1,$A146=经营数据!$B$3,$J146=经营数据!$BA$5),COUNTIFS($P$2:$P$3000,1,$A$2:$A$3000,$A146,$J$2:$J$3000,$J146,$N$2:$N$3000,"&lt;"&amp;$N146)+1,"")</f>
        <v/>
      </c>
      <c r="R146" t="str">
        <f t="shared" si="38"/>
        <v>中金印力消费基础设施封闭式基础设施证券投资基金|杭州西溪印象城</v>
      </c>
      <c r="S146">
        <f>IF($A146="",0,IF(COUNTIF($R$2:$R146,$R146)=1,1,0))</f>
        <v>0</v>
      </c>
      <c r="T146">
        <f t="shared" si="39"/>
        <v>95</v>
      </c>
      <c r="U146" t="str">
        <f>IF($A146="","",IF($A146=经营数据!$B$3,COUNTIFS($S$2:$S$3000,1,$A$2:$A$3000,$A146,$T$2:$T$3000,"&lt;"&amp;$T146)+1,""))</f>
        <v/>
      </c>
      <c r="V146" t="str">
        <f t="shared" si="40"/>
        <v>杭州西溪印象城|服务效率</v>
      </c>
      <c r="W146">
        <f t="shared" si="41"/>
        <v>98</v>
      </c>
      <c r="X146" t="str">
        <f t="shared" si="42"/>
        <v>杭州西溪印象城|期末出租率</v>
      </c>
      <c r="Y146">
        <f t="shared" si="43"/>
        <v>100</v>
      </c>
      <c r="Z146">
        <f>IF($A146="",0,IF(AND($M146=1,$A146=经营数据!$B$3,$J146=经营数据!$BA$5,OR($I146=经营数据!$BA$4,COUNTIF(经营数据!$AA$9:$AA$38,$I146)&gt;0)),1,0))</f>
        <v>0</v>
      </c>
      <c r="AA146" t="str">
        <f t="shared" si="44"/>
        <v/>
      </c>
      <c r="AB146" t="str">
        <f t="shared" si="45"/>
        <v/>
      </c>
      <c r="AC146">
        <f>IF($A146="",0,IF(COUNTIF($A$2:$A146,$A146)=1,1,0))</f>
        <v>0</v>
      </c>
      <c r="AD146">
        <f t="shared" si="46"/>
        <v>2</v>
      </c>
      <c r="AE146" t="str">
        <f t="shared" si="47"/>
        <v>杭州西溪印象城|期末出租率（%）</v>
      </c>
      <c r="BA146" t="s">
        <v>5453</v>
      </c>
      <c r="BB146" t="s">
        <v>5454</v>
      </c>
      <c r="BP146" s="47">
        <v>45582</v>
      </c>
      <c r="BQ146" s="29">
        <v>5.3843228382084538E-2</v>
      </c>
    </row>
    <row r="147" spans="1:69" x14ac:dyDescent="0.4">
      <c r="A147" t="str">
        <f>IF(原始经营数据!$D148="","",原始经营数据!$D148)</f>
        <v>中金印力消费基础设施封闭式基础设施证券投资基金</v>
      </c>
      <c r="B147" t="str">
        <f>IF(原始经营数据!$D148="","",T(原始经营数据!$E148))</f>
        <v>杭州西溪印象城</v>
      </c>
      <c r="C147" t="str">
        <f>IF(原始经营数据!$D148="","",原始经营数据!$F148)</f>
        <v>2026Q1</v>
      </c>
      <c r="D147" t="str">
        <f>IF(原始经营数据!$D148="","",原始经营数据!$H148)</f>
        <v>期末租金收缴率</v>
      </c>
      <c r="E147">
        <f>IF(原始经营数据!$D148="","",原始经营数据!$I148)</f>
        <v>98.75</v>
      </c>
      <c r="F147" t="str">
        <f>IF(原始经营数据!$D148="","",T(原始经营数据!$J148))</f>
        <v>%</v>
      </c>
      <c r="G147" t="str">
        <f>IF(原始经营数据!$D148="","",T(原始经营数据!$K148))</f>
        <v/>
      </c>
      <c r="H147" t="str">
        <f>IF(原始经营数据!$D148="","",原始经营数据!$G148)</f>
        <v>服务效率</v>
      </c>
      <c r="I147" t="str">
        <f>IF($A147="","",IF($B147&lt;&gt;"",$B147,IF(COUNTIFS(原始经营数据!$D$3:$D$3001,$A147,原始经营数据!$E$3:$E$3001,"",原始经营数据!$F$3:$F$3001,$C147,原始经营数据!$H$3:$H$3001,$D147,原始经营数据!$K$3:$K$3001,$G147)&gt;1,"基金整体·来源"&amp;原始经营数据!$A148,"基金整体")))</f>
        <v>杭州西溪印象城</v>
      </c>
      <c r="J147" t="str">
        <f t="shared" si="33"/>
        <v>季度</v>
      </c>
      <c r="K147" t="str">
        <f t="shared" si="34"/>
        <v>期末租金收缴率（%）</v>
      </c>
      <c r="L147" t="str">
        <f t="shared" si="35"/>
        <v>杭州西溪印象城|期末租金收缴率（%）|季度</v>
      </c>
      <c r="M147">
        <f>IF($A147="",0,IF(COUNTIF($L$2:$L147,$L147)=1,1,0))</f>
        <v>0</v>
      </c>
      <c r="N147">
        <f t="shared" si="36"/>
        <v>20261</v>
      </c>
      <c r="O147" t="str">
        <f t="shared" si="37"/>
        <v>中金印力消费基础设施封闭式基础设施证券投资基金|2026Q1|季度</v>
      </c>
      <c r="P147">
        <f>IF($A147="",0,IF(COUNTIF($O$2:$O147,$O147)=1,1,0))</f>
        <v>0</v>
      </c>
      <c r="Q147" t="str">
        <f>IF(AND($P147=1,$A147=经营数据!$B$3,$J147=经营数据!$BA$5),COUNTIFS($P$2:$P$3000,1,$A$2:$A$3000,$A147,$J$2:$J$3000,$J147,$N$2:$N$3000,"&lt;"&amp;$N147)+1,"")</f>
        <v/>
      </c>
      <c r="R147" t="str">
        <f t="shared" si="38"/>
        <v>中金印力消费基础设施封闭式基础设施证券投资基金|杭州西溪印象城</v>
      </c>
      <c r="S147">
        <f>IF($A147="",0,IF(COUNTIF($R$2:$R147,$R147)=1,1,0))</f>
        <v>0</v>
      </c>
      <c r="T147">
        <f t="shared" si="39"/>
        <v>95</v>
      </c>
      <c r="U147" t="str">
        <f>IF($A147="","",IF($A147=经营数据!$B$3,COUNTIFS($S$2:$S$3000,1,$A$2:$A$3000,$A147,$T$2:$T$3000,"&lt;"&amp;$T147)+1,""))</f>
        <v/>
      </c>
      <c r="V147" t="str">
        <f t="shared" si="40"/>
        <v>杭州西溪印象城|服务效率</v>
      </c>
      <c r="W147">
        <f t="shared" si="41"/>
        <v>98</v>
      </c>
      <c r="X147" t="str">
        <f t="shared" si="42"/>
        <v>杭州西溪印象城|期末租金收缴率</v>
      </c>
      <c r="Y147">
        <f t="shared" si="43"/>
        <v>98</v>
      </c>
      <c r="Z147">
        <f>IF($A147="",0,IF(AND($M147=1,$A147=经营数据!$B$3,$J147=经营数据!$BA$5,OR($I147=经营数据!$BA$4,COUNTIF(经营数据!$AA$9:$AA$38,$I147)&gt;0)),1,0))</f>
        <v>0</v>
      </c>
      <c r="AA147" t="str">
        <f t="shared" si="44"/>
        <v/>
      </c>
      <c r="AB147" t="str">
        <f t="shared" si="45"/>
        <v/>
      </c>
      <c r="AC147">
        <f>IF($A147="",0,IF(COUNTIF($A$2:$A147,$A147)=1,1,0))</f>
        <v>0</v>
      </c>
      <c r="AD147">
        <f t="shared" si="46"/>
        <v>2</v>
      </c>
      <c r="AE147" t="str">
        <f t="shared" si="47"/>
        <v>杭州西溪印象城|期末租金收缴率（%）</v>
      </c>
      <c r="BA147" t="s">
        <v>5455</v>
      </c>
      <c r="BB147" t="s">
        <v>5456</v>
      </c>
      <c r="BP147" s="47">
        <v>45583</v>
      </c>
      <c r="BQ147" s="29">
        <v>5.3767376413189107E-2</v>
      </c>
    </row>
    <row r="148" spans="1:69" x14ac:dyDescent="0.4">
      <c r="A148" t="str">
        <f>IF(原始经营数据!$D149="","",原始经营数据!$D149)</f>
        <v>中金印力消费基础设施封闭式基础设施证券投资基金</v>
      </c>
      <c r="B148" t="str">
        <f>IF(原始经营数据!$D149="","",T(原始经营数据!$E149))</f>
        <v>杭州西溪印象城</v>
      </c>
      <c r="C148" t="str">
        <f>IF(原始经营数据!$D149="","",原始经营数据!$F149)</f>
        <v>2026Q1</v>
      </c>
      <c r="D148" t="str">
        <f>IF(原始经营数据!$D149="","",原始经营数据!$H149)</f>
        <v>期末剩余租期情况</v>
      </c>
      <c r="E148">
        <f>IF(原始经营数据!$D149="","",原始经营数据!$I149)</f>
        <v>2.5099999999999998</v>
      </c>
      <c r="F148" t="str">
        <f>IF(原始经营数据!$D149="","",T(原始经营数据!$J149))</f>
        <v>年</v>
      </c>
      <c r="G148" t="str">
        <f>IF(原始经营数据!$D149="","",T(原始经营数据!$K149))</f>
        <v/>
      </c>
      <c r="H148" t="str">
        <f>IF(原始经营数据!$D149="","",原始经营数据!$G149)</f>
        <v>服务量</v>
      </c>
      <c r="I148" t="str">
        <f>IF($A148="","",IF($B148&lt;&gt;"",$B148,IF(COUNTIFS(原始经营数据!$D$3:$D$3001,$A148,原始经营数据!$E$3:$E$3001,"",原始经营数据!$F$3:$F$3001,$C148,原始经营数据!$H$3:$H$3001,$D148,原始经营数据!$K$3:$K$3001,$G148)&gt;1,"基金整体·来源"&amp;原始经营数据!$A149,"基金整体")))</f>
        <v>杭州西溪印象城</v>
      </c>
      <c r="J148" t="str">
        <f t="shared" si="33"/>
        <v>季度</v>
      </c>
      <c r="K148" t="str">
        <f t="shared" si="34"/>
        <v>期末剩余租期情况（年）</v>
      </c>
      <c r="L148" t="str">
        <f t="shared" si="35"/>
        <v>杭州西溪印象城|期末剩余租期情况（年）|季度</v>
      </c>
      <c r="M148">
        <f>IF($A148="",0,IF(COUNTIF($L$2:$L148,$L148)=1,1,0))</f>
        <v>0</v>
      </c>
      <c r="N148">
        <f t="shared" si="36"/>
        <v>20261</v>
      </c>
      <c r="O148" t="str">
        <f t="shared" si="37"/>
        <v>中金印力消费基础设施封闭式基础设施证券投资基金|2026Q1|季度</v>
      </c>
      <c r="P148">
        <f>IF($A148="",0,IF(COUNTIF($O$2:$O148,$O148)=1,1,0))</f>
        <v>0</v>
      </c>
      <c r="Q148" t="str">
        <f>IF(AND($P148=1,$A148=经营数据!$B$3,$J148=经营数据!$BA$5),COUNTIFS($P$2:$P$3000,1,$A$2:$A$3000,$A148,$J$2:$J$3000,$J148,$N$2:$N$3000,"&lt;"&amp;$N148)+1,"")</f>
        <v/>
      </c>
      <c r="R148" t="str">
        <f t="shared" si="38"/>
        <v>中金印力消费基础设施封闭式基础设施证券投资基金|杭州西溪印象城</v>
      </c>
      <c r="S148">
        <f>IF($A148="",0,IF(COUNTIF($R$2:$R148,$R148)=1,1,0))</f>
        <v>0</v>
      </c>
      <c r="T148">
        <f t="shared" si="39"/>
        <v>95</v>
      </c>
      <c r="U148" t="str">
        <f>IF($A148="","",IF($A148=经营数据!$B$3,COUNTIFS($S$2:$S$3000,1,$A$2:$A$3000,$A148,$T$2:$T$3000,"&lt;"&amp;$T148)+1,""))</f>
        <v/>
      </c>
      <c r="V148" t="str">
        <f t="shared" si="40"/>
        <v>杭州西溪印象城|服务量</v>
      </c>
      <c r="W148">
        <f t="shared" si="41"/>
        <v>96</v>
      </c>
      <c r="X148" t="str">
        <f t="shared" si="42"/>
        <v>杭州西溪印象城|期末剩余租期情况</v>
      </c>
      <c r="Y148">
        <f t="shared" si="43"/>
        <v>99</v>
      </c>
      <c r="Z148">
        <f>IF($A148="",0,IF(AND($M148=1,$A148=经营数据!$B$3,$J148=经营数据!$BA$5,OR($I148=经营数据!$BA$4,COUNTIF(经营数据!$AA$9:$AA$38,$I148)&gt;0)),1,0))</f>
        <v>0</v>
      </c>
      <c r="AA148" t="str">
        <f t="shared" si="44"/>
        <v/>
      </c>
      <c r="AB148" t="str">
        <f t="shared" si="45"/>
        <v/>
      </c>
      <c r="AC148">
        <f>IF($A148="",0,IF(COUNTIF($A$2:$A148,$A148)=1,1,0))</f>
        <v>0</v>
      </c>
      <c r="AD148">
        <f t="shared" si="46"/>
        <v>2</v>
      </c>
      <c r="AE148" t="str">
        <f t="shared" si="47"/>
        <v>杭州西溪印象城|期末剩余租期情况（年）</v>
      </c>
      <c r="BA148" t="s">
        <v>5457</v>
      </c>
      <c r="BB148" t="s">
        <v>5458</v>
      </c>
      <c r="BP148" s="47">
        <v>45586</v>
      </c>
      <c r="BQ148" s="29">
        <v>5.3627375089169031E-2</v>
      </c>
    </row>
    <row r="149" spans="1:69" x14ac:dyDescent="0.4">
      <c r="A149" t="str">
        <f>IF(原始经营数据!$D150="","",原始经营数据!$D150)</f>
        <v>中金印力消费基础设施封闭式基础设施证券投资基金</v>
      </c>
      <c r="B149" t="str">
        <f>IF(原始经营数据!$D150="","",T(原始经营数据!$E150))</f>
        <v>杭州西溪印象城</v>
      </c>
      <c r="C149" t="str">
        <f>IF(原始经营数据!$D150="","",原始经营数据!$F150)</f>
        <v>2026Q1</v>
      </c>
      <c r="D149" t="str">
        <f>IF(原始经营数据!$D150="","",原始经营数据!$H150)</f>
        <v>期内租金单价水平</v>
      </c>
      <c r="E149">
        <f>IF(原始经营数据!$D150="","",原始经营数据!$I150)</f>
        <v>277.08999999999997</v>
      </c>
      <c r="F149" t="str">
        <f>IF(原始经营数据!$D150="","",T(原始经营数据!$J150))</f>
        <v>元/平方米/月</v>
      </c>
      <c r="G149" t="str">
        <f>IF(原始经营数据!$D150="","",T(原始经营数据!$K150))</f>
        <v/>
      </c>
      <c r="H149" t="str">
        <f>IF(原始经营数据!$D150="","",原始经营数据!$G150)</f>
        <v>服务价格</v>
      </c>
      <c r="I149" t="str">
        <f>IF($A149="","",IF($B149&lt;&gt;"",$B149,IF(COUNTIFS(原始经营数据!$D$3:$D$3001,$A149,原始经营数据!$E$3:$E$3001,"",原始经营数据!$F$3:$F$3001,$C149,原始经营数据!$H$3:$H$3001,$D149,原始经营数据!$K$3:$K$3001,$G149)&gt;1,"基金整体·来源"&amp;原始经营数据!$A150,"基金整体")))</f>
        <v>杭州西溪印象城</v>
      </c>
      <c r="J149" t="str">
        <f t="shared" si="33"/>
        <v>季度</v>
      </c>
      <c r="K149" t="str">
        <f t="shared" si="34"/>
        <v>期内租金单价水平（元/平方米/月）</v>
      </c>
      <c r="L149" t="str">
        <f t="shared" si="35"/>
        <v>杭州西溪印象城|期内租金单价水平（元/平方米/月）|季度</v>
      </c>
      <c r="M149">
        <f>IF($A149="",0,IF(COUNTIF($L$2:$L149,$L149)=1,1,0))</f>
        <v>0</v>
      </c>
      <c r="N149">
        <f t="shared" si="36"/>
        <v>20261</v>
      </c>
      <c r="O149" t="str">
        <f t="shared" si="37"/>
        <v>中金印力消费基础设施封闭式基础设施证券投资基金|2026Q1|季度</v>
      </c>
      <c r="P149">
        <f>IF($A149="",0,IF(COUNTIF($O$2:$O149,$O149)=1,1,0))</f>
        <v>0</v>
      </c>
      <c r="Q149" t="str">
        <f>IF(AND($P149=1,$A149=经营数据!$B$3,$J149=经营数据!$BA$5),COUNTIFS($P$2:$P$3000,1,$A$2:$A$3000,$A149,$J$2:$J$3000,$J149,$N$2:$N$3000,"&lt;"&amp;$N149)+1,"")</f>
        <v/>
      </c>
      <c r="R149" t="str">
        <f t="shared" si="38"/>
        <v>中金印力消费基础设施封闭式基础设施证券投资基金|杭州西溪印象城</v>
      </c>
      <c r="S149">
        <f>IF($A149="",0,IF(COUNTIF($R$2:$R149,$R149)=1,1,0))</f>
        <v>0</v>
      </c>
      <c r="T149">
        <f t="shared" si="39"/>
        <v>95</v>
      </c>
      <c r="U149" t="str">
        <f>IF($A149="","",IF($A149=经营数据!$B$3,COUNTIFS($S$2:$S$3000,1,$A$2:$A$3000,$A149,$T$2:$T$3000,"&lt;"&amp;$T149)+1,""))</f>
        <v/>
      </c>
      <c r="V149" t="str">
        <f t="shared" si="40"/>
        <v>杭州西溪印象城|服务价格</v>
      </c>
      <c r="W149">
        <f t="shared" si="41"/>
        <v>95</v>
      </c>
      <c r="X149" t="str">
        <f t="shared" si="42"/>
        <v>杭州西溪印象城|期内租金单价水平</v>
      </c>
      <c r="Y149">
        <f t="shared" si="43"/>
        <v>101</v>
      </c>
      <c r="Z149">
        <f>IF($A149="",0,IF(AND($M149=1,$A149=经营数据!$B$3,$J149=经营数据!$BA$5,OR($I149=经营数据!$BA$4,COUNTIF(经营数据!$AA$9:$AA$38,$I149)&gt;0)),1,0))</f>
        <v>0</v>
      </c>
      <c r="AA149" t="str">
        <f t="shared" si="44"/>
        <v/>
      </c>
      <c r="AB149" t="str">
        <f t="shared" si="45"/>
        <v/>
      </c>
      <c r="AC149">
        <f>IF($A149="",0,IF(COUNTIF($A$2:$A149,$A149)=1,1,0))</f>
        <v>0</v>
      </c>
      <c r="AD149">
        <f t="shared" si="46"/>
        <v>2</v>
      </c>
      <c r="AE149" t="str">
        <f t="shared" si="47"/>
        <v>杭州西溪印象城|期内租金单价水平（元/平方米/月）</v>
      </c>
      <c r="BA149" t="s">
        <v>5459</v>
      </c>
      <c r="BB149" t="s">
        <v>5460</v>
      </c>
      <c r="BP149" s="47">
        <v>45587</v>
      </c>
      <c r="BQ149" s="29">
        <v>5.3613151718565823E-2</v>
      </c>
    </row>
    <row r="150" spans="1:69" x14ac:dyDescent="0.4">
      <c r="A150" t="str">
        <f>IF(原始经营数据!$D151="","",原始经营数据!$D151)</f>
        <v>中金印力消费基础设施封闭式基础设施证券投资基金</v>
      </c>
      <c r="B150" t="str">
        <f>IF(原始经营数据!$D151="","",T(原始经营数据!$E151))</f>
        <v>杭州西溪印象城</v>
      </c>
      <c r="C150" t="str">
        <f>IF(原始经营数据!$D151="","",原始经营数据!$F151)</f>
        <v>2026Q1</v>
      </c>
      <c r="D150" t="str">
        <f>IF(原始经营数据!$D151="","",原始经营数据!$H151)</f>
        <v>期末实际出租面积</v>
      </c>
      <c r="E150">
        <f>IF(原始经营数据!$D151="","",原始经营数据!$I151)</f>
        <v>94938.04</v>
      </c>
      <c r="F150" t="str">
        <f>IF(原始经营数据!$D151="","",T(原始经营数据!$J151))</f>
        <v>平方米</v>
      </c>
      <c r="G150" t="str">
        <f>IF(原始经营数据!$D151="","",T(原始经营数据!$K151))</f>
        <v/>
      </c>
      <c r="H150" t="str">
        <f>IF(原始经营数据!$D151="","",原始经营数据!$G151)</f>
        <v>服务量</v>
      </c>
      <c r="I150" t="str">
        <f>IF($A150="","",IF($B150&lt;&gt;"",$B150,IF(COUNTIFS(原始经营数据!$D$3:$D$3001,$A150,原始经营数据!$E$3:$E$3001,"",原始经营数据!$F$3:$F$3001,$C150,原始经营数据!$H$3:$H$3001,$D150,原始经营数据!$K$3:$K$3001,$G150)&gt;1,"基金整体·来源"&amp;原始经营数据!$A151,"基金整体")))</f>
        <v>杭州西溪印象城</v>
      </c>
      <c r="J150" t="str">
        <f t="shared" si="33"/>
        <v>季度</v>
      </c>
      <c r="K150" t="str">
        <f t="shared" si="34"/>
        <v>期末实际出租面积（平方米）</v>
      </c>
      <c r="L150" t="str">
        <f t="shared" si="35"/>
        <v>杭州西溪印象城|期末实际出租面积（平方米）|季度</v>
      </c>
      <c r="M150">
        <f>IF($A150="",0,IF(COUNTIF($L$2:$L150,$L150)=1,1,0))</f>
        <v>0</v>
      </c>
      <c r="N150">
        <f t="shared" si="36"/>
        <v>20261</v>
      </c>
      <c r="O150" t="str">
        <f t="shared" si="37"/>
        <v>中金印力消费基础设施封闭式基础设施证券投资基金|2026Q1|季度</v>
      </c>
      <c r="P150">
        <f>IF($A150="",0,IF(COUNTIF($O$2:$O150,$O150)=1,1,0))</f>
        <v>0</v>
      </c>
      <c r="Q150" t="str">
        <f>IF(AND($P150=1,$A150=经营数据!$B$3,$J150=经营数据!$BA$5),COUNTIFS($P$2:$P$3000,1,$A$2:$A$3000,$A150,$J$2:$J$3000,$J150,$N$2:$N$3000,"&lt;"&amp;$N150)+1,"")</f>
        <v/>
      </c>
      <c r="R150" t="str">
        <f t="shared" si="38"/>
        <v>中金印力消费基础设施封闭式基础设施证券投资基金|杭州西溪印象城</v>
      </c>
      <c r="S150">
        <f>IF($A150="",0,IF(COUNTIF($R$2:$R150,$R150)=1,1,0))</f>
        <v>0</v>
      </c>
      <c r="T150">
        <f t="shared" si="39"/>
        <v>95</v>
      </c>
      <c r="U150" t="str">
        <f>IF($A150="","",IF($A150=经营数据!$B$3,COUNTIFS($S$2:$S$3000,1,$A$2:$A$3000,$A150,$T$2:$T$3000,"&lt;"&amp;$T150)+1,""))</f>
        <v/>
      </c>
      <c r="V150" t="str">
        <f t="shared" si="40"/>
        <v>杭州西溪印象城|服务量</v>
      </c>
      <c r="W150">
        <f t="shared" si="41"/>
        <v>96</v>
      </c>
      <c r="X150" t="str">
        <f t="shared" si="42"/>
        <v>杭州西溪印象城|期末实际出租面积</v>
      </c>
      <c r="Y150">
        <f t="shared" si="43"/>
        <v>97</v>
      </c>
      <c r="Z150">
        <f>IF($A150="",0,IF(AND($M150=1,$A150=经营数据!$B$3,$J150=经营数据!$BA$5,OR($I150=经营数据!$BA$4,COUNTIF(经营数据!$AA$9:$AA$38,$I150)&gt;0)),1,0))</f>
        <v>0</v>
      </c>
      <c r="AA150" t="str">
        <f t="shared" si="44"/>
        <v/>
      </c>
      <c r="AB150" t="str">
        <f t="shared" si="45"/>
        <v/>
      </c>
      <c r="AC150">
        <f>IF($A150="",0,IF(COUNTIF($A$2:$A150,$A150)=1,1,0))</f>
        <v>0</v>
      </c>
      <c r="AD150">
        <f t="shared" si="46"/>
        <v>2</v>
      </c>
      <c r="AE150" t="str">
        <f t="shared" si="47"/>
        <v>杭州西溪印象城|期末实际出租面积（平方米）</v>
      </c>
      <c r="BA150" t="s">
        <v>5461</v>
      </c>
      <c r="BB150" t="s">
        <v>5462</v>
      </c>
      <c r="BP150" s="47">
        <v>45588</v>
      </c>
      <c r="BQ150" s="29">
        <v>5.3618945514250067E-2</v>
      </c>
    </row>
    <row r="151" spans="1:69" x14ac:dyDescent="0.4">
      <c r="A151" t="str">
        <f>IF(原始经营数据!$D152="","",原始经营数据!$D152)</f>
        <v>中金印力消费基础设施封闭式基础设施证券投资基金</v>
      </c>
      <c r="B151" t="str">
        <f>IF(原始经营数据!$D152="","",T(原始经营数据!$E152))</f>
        <v>杭州西溪印象城</v>
      </c>
      <c r="C151" t="str">
        <f>IF(原始经营数据!$D152="","",原始经营数据!$F152)</f>
        <v>2026Q2</v>
      </c>
      <c r="D151" t="str">
        <f>IF(原始经营数据!$D152="","",原始经营数据!$H152)</f>
        <v>期末实际出租面积</v>
      </c>
      <c r="E151">
        <f>IF(原始经营数据!$D152="","",原始经营数据!$I152)</f>
        <v>97864.92</v>
      </c>
      <c r="F151" t="str">
        <f>IF(原始经营数据!$D152="","",T(原始经营数据!$J152))</f>
        <v>平方米</v>
      </c>
      <c r="G151" t="str">
        <f>IF(原始经营数据!$D152="","",T(原始经营数据!$K152))</f>
        <v/>
      </c>
      <c r="H151" t="str">
        <f>IF(原始经营数据!$D152="","",原始经营数据!$G152)</f>
        <v>服务量</v>
      </c>
      <c r="I151" t="str">
        <f>IF($A151="","",IF($B151&lt;&gt;"",$B151,IF(COUNTIFS(原始经营数据!$D$3:$D$3001,$A151,原始经营数据!$E$3:$E$3001,"",原始经营数据!$F$3:$F$3001,$C151,原始经营数据!$H$3:$H$3001,$D151,原始经营数据!$K$3:$K$3001,$G151)&gt;1,"基金整体·来源"&amp;原始经营数据!$A152,"基金整体")))</f>
        <v>杭州西溪印象城</v>
      </c>
      <c r="J151" t="str">
        <f t="shared" si="33"/>
        <v>季度</v>
      </c>
      <c r="K151" t="str">
        <f t="shared" si="34"/>
        <v>期末实际出租面积（平方米）</v>
      </c>
      <c r="L151" t="str">
        <f t="shared" si="35"/>
        <v>杭州西溪印象城|期末实际出租面积（平方米）|季度</v>
      </c>
      <c r="M151">
        <f>IF($A151="",0,IF(COUNTIF($L$2:$L151,$L151)=1,1,0))</f>
        <v>0</v>
      </c>
      <c r="N151">
        <f t="shared" si="36"/>
        <v>20262</v>
      </c>
      <c r="O151" t="str">
        <f t="shared" si="37"/>
        <v>中金印力消费基础设施封闭式基础设施证券投资基金|2026Q2|季度</v>
      </c>
      <c r="P151">
        <f>IF($A151="",0,IF(COUNTIF($O$2:$O151,$O151)=1,1,0))</f>
        <v>1</v>
      </c>
      <c r="Q151" t="str">
        <f>IF(AND($P151=1,$A151=经营数据!$B$3,$J151=经营数据!$BA$5),COUNTIFS($P$2:$P$3000,1,$A$2:$A$3000,$A151,$J$2:$J$3000,$J151,$N$2:$N$3000,"&lt;"&amp;$N151)+1,"")</f>
        <v/>
      </c>
      <c r="R151" t="str">
        <f t="shared" si="38"/>
        <v>中金印力消费基础设施封闭式基础设施证券投资基金|杭州西溪印象城</v>
      </c>
      <c r="S151">
        <f>IF($A151="",0,IF(COUNTIF($R$2:$R151,$R151)=1,1,0))</f>
        <v>0</v>
      </c>
      <c r="T151">
        <f t="shared" si="39"/>
        <v>95</v>
      </c>
      <c r="U151" t="str">
        <f>IF($A151="","",IF($A151=经营数据!$B$3,COUNTIFS($S$2:$S$3000,1,$A$2:$A$3000,$A151,$T$2:$T$3000,"&lt;"&amp;$T151)+1,""))</f>
        <v/>
      </c>
      <c r="V151" t="str">
        <f t="shared" si="40"/>
        <v>杭州西溪印象城|服务量</v>
      </c>
      <c r="W151">
        <f t="shared" si="41"/>
        <v>96</v>
      </c>
      <c r="X151" t="str">
        <f t="shared" si="42"/>
        <v>杭州西溪印象城|期末实际出租面积</v>
      </c>
      <c r="Y151">
        <f t="shared" si="43"/>
        <v>97</v>
      </c>
      <c r="Z151">
        <f>IF($A151="",0,IF(AND($M151=1,$A151=经营数据!$B$3,$J151=经营数据!$BA$5,OR($I151=经营数据!$BA$4,COUNTIF(经营数据!$AA$9:$AA$38,$I151)&gt;0)),1,0))</f>
        <v>0</v>
      </c>
      <c r="AA151" t="str">
        <f t="shared" si="44"/>
        <v/>
      </c>
      <c r="AB151" t="str">
        <f t="shared" si="45"/>
        <v/>
      </c>
      <c r="AC151">
        <f>IF($A151="",0,IF(COUNTIF($A$2:$A151,$A151)=1,1,0))</f>
        <v>0</v>
      </c>
      <c r="AD151">
        <f t="shared" si="46"/>
        <v>2</v>
      </c>
      <c r="AE151" t="str">
        <f t="shared" si="47"/>
        <v>杭州西溪印象城|期末实际出租面积（平方米）</v>
      </c>
      <c r="BA151" t="s">
        <v>5463</v>
      </c>
      <c r="BB151" t="s">
        <v>5464</v>
      </c>
      <c r="BP151" s="47">
        <v>45589</v>
      </c>
      <c r="BQ151" s="29">
        <v>5.3771084471581562E-2</v>
      </c>
    </row>
    <row r="152" spans="1:69" x14ac:dyDescent="0.4">
      <c r="A152" t="str">
        <f>IF(原始经营数据!$D153="","",原始经营数据!$D153)</f>
        <v>中金印力消费基础设施封闭式基础设施证券投资基金</v>
      </c>
      <c r="B152" t="str">
        <f>IF(原始经营数据!$D153="","",T(原始经营数据!$E153))</f>
        <v>杭州西溪印象城</v>
      </c>
      <c r="C152" t="str">
        <f>IF(原始经营数据!$D153="","",原始经营数据!$F153)</f>
        <v>2026Q2</v>
      </c>
      <c r="D152" t="str">
        <f>IF(原始经营数据!$D153="","",原始经营数据!$H153)</f>
        <v>期末出租率</v>
      </c>
      <c r="E152">
        <f>IF(原始经营数据!$D153="","",原始经营数据!$I153)</f>
        <v>98.66</v>
      </c>
      <c r="F152" t="str">
        <f>IF(原始经营数据!$D153="","",T(原始经营数据!$J153))</f>
        <v>%</v>
      </c>
      <c r="G152" t="str">
        <f>IF(原始经营数据!$D153="","",T(原始经营数据!$K153))</f>
        <v/>
      </c>
      <c r="H152" t="str">
        <f>IF(原始经营数据!$D153="","",原始经营数据!$G153)</f>
        <v>服务效率</v>
      </c>
      <c r="I152" t="str">
        <f>IF($A152="","",IF($B152&lt;&gt;"",$B152,IF(COUNTIFS(原始经营数据!$D$3:$D$3001,$A152,原始经营数据!$E$3:$E$3001,"",原始经营数据!$F$3:$F$3001,$C152,原始经营数据!$H$3:$H$3001,$D152,原始经营数据!$K$3:$K$3001,$G152)&gt;1,"基金整体·来源"&amp;原始经营数据!$A153,"基金整体")))</f>
        <v>杭州西溪印象城</v>
      </c>
      <c r="J152" t="str">
        <f t="shared" si="33"/>
        <v>季度</v>
      </c>
      <c r="K152" t="str">
        <f t="shared" si="34"/>
        <v>期末出租率（%）</v>
      </c>
      <c r="L152" t="str">
        <f t="shared" si="35"/>
        <v>杭州西溪印象城|期末出租率（%）|季度</v>
      </c>
      <c r="M152">
        <f>IF($A152="",0,IF(COUNTIF($L$2:$L152,$L152)=1,1,0))</f>
        <v>0</v>
      </c>
      <c r="N152">
        <f t="shared" si="36"/>
        <v>20262</v>
      </c>
      <c r="O152" t="str">
        <f t="shared" si="37"/>
        <v>中金印力消费基础设施封闭式基础设施证券投资基金|2026Q2|季度</v>
      </c>
      <c r="P152">
        <f>IF($A152="",0,IF(COUNTIF($O$2:$O152,$O152)=1,1,0))</f>
        <v>0</v>
      </c>
      <c r="Q152" t="str">
        <f>IF(AND($P152=1,$A152=经营数据!$B$3,$J152=经营数据!$BA$5),COUNTIFS($P$2:$P$3000,1,$A$2:$A$3000,$A152,$J$2:$J$3000,$J152,$N$2:$N$3000,"&lt;"&amp;$N152)+1,"")</f>
        <v/>
      </c>
      <c r="R152" t="str">
        <f t="shared" si="38"/>
        <v>中金印力消费基础设施封闭式基础设施证券投资基金|杭州西溪印象城</v>
      </c>
      <c r="S152">
        <f>IF($A152="",0,IF(COUNTIF($R$2:$R152,$R152)=1,1,0))</f>
        <v>0</v>
      </c>
      <c r="T152">
        <f t="shared" si="39"/>
        <v>95</v>
      </c>
      <c r="U152" t="str">
        <f>IF($A152="","",IF($A152=经营数据!$B$3,COUNTIFS($S$2:$S$3000,1,$A$2:$A$3000,$A152,$T$2:$T$3000,"&lt;"&amp;$T152)+1,""))</f>
        <v/>
      </c>
      <c r="V152" t="str">
        <f t="shared" si="40"/>
        <v>杭州西溪印象城|服务效率</v>
      </c>
      <c r="W152">
        <f t="shared" si="41"/>
        <v>98</v>
      </c>
      <c r="X152" t="str">
        <f t="shared" si="42"/>
        <v>杭州西溪印象城|期末出租率</v>
      </c>
      <c r="Y152">
        <f t="shared" si="43"/>
        <v>100</v>
      </c>
      <c r="Z152">
        <f>IF($A152="",0,IF(AND($M152=1,$A152=经营数据!$B$3,$J152=经营数据!$BA$5,OR($I152=经营数据!$BA$4,COUNTIF(经营数据!$AA$9:$AA$38,$I152)&gt;0)),1,0))</f>
        <v>0</v>
      </c>
      <c r="AA152" t="str">
        <f t="shared" si="44"/>
        <v/>
      </c>
      <c r="AB152" t="str">
        <f t="shared" si="45"/>
        <v/>
      </c>
      <c r="AC152">
        <f>IF($A152="",0,IF(COUNTIF($A$2:$A152,$A152)=1,1,0))</f>
        <v>0</v>
      </c>
      <c r="AD152">
        <f t="shared" si="46"/>
        <v>2</v>
      </c>
      <c r="AE152" t="str">
        <f t="shared" si="47"/>
        <v>杭州西溪印象城|期末出租率（%）</v>
      </c>
      <c r="BA152" t="s">
        <v>5465</v>
      </c>
      <c r="BB152" t="s">
        <v>5466</v>
      </c>
      <c r="BP152" s="47">
        <v>45590</v>
      </c>
      <c r="BQ152" s="29">
        <v>5.3576837359255523E-2</v>
      </c>
    </row>
    <row r="153" spans="1:69" x14ac:dyDescent="0.4">
      <c r="A153" t="str">
        <f>IF(原始经营数据!$D154="","",原始经营数据!$D154)</f>
        <v>中金印力消费基础设施封闭式基础设施证券投资基金</v>
      </c>
      <c r="B153" t="str">
        <f>IF(原始经营数据!$D154="","",T(原始经营数据!$E154))</f>
        <v>杭州西溪印象城</v>
      </c>
      <c r="C153" t="str">
        <f>IF(原始经营数据!$D154="","",原始经营数据!$F154)</f>
        <v>2026Q2</v>
      </c>
      <c r="D153" t="str">
        <f>IF(原始经营数据!$D154="","",原始经营数据!$H154)</f>
        <v>期内租金单价水平</v>
      </c>
      <c r="E153">
        <f>IF(原始经营数据!$D154="","",原始经营数据!$I154)</f>
        <v>264.29000000000002</v>
      </c>
      <c r="F153" t="str">
        <f>IF(原始经营数据!$D154="","",T(原始经营数据!$J154))</f>
        <v>元/平方米/月</v>
      </c>
      <c r="G153" t="str">
        <f>IF(原始经营数据!$D154="","",T(原始经营数据!$K154))</f>
        <v/>
      </c>
      <c r="H153" t="str">
        <f>IF(原始经营数据!$D154="","",原始经营数据!$G154)</f>
        <v>服务价格</v>
      </c>
      <c r="I153" t="str">
        <f>IF($A153="","",IF($B153&lt;&gt;"",$B153,IF(COUNTIFS(原始经营数据!$D$3:$D$3001,$A153,原始经营数据!$E$3:$E$3001,"",原始经营数据!$F$3:$F$3001,$C153,原始经营数据!$H$3:$H$3001,$D153,原始经营数据!$K$3:$K$3001,$G153)&gt;1,"基金整体·来源"&amp;原始经营数据!$A154,"基金整体")))</f>
        <v>杭州西溪印象城</v>
      </c>
      <c r="J153" t="str">
        <f t="shared" si="33"/>
        <v>季度</v>
      </c>
      <c r="K153" t="str">
        <f t="shared" si="34"/>
        <v>期内租金单价水平（元/平方米/月）</v>
      </c>
      <c r="L153" t="str">
        <f t="shared" si="35"/>
        <v>杭州西溪印象城|期内租金单价水平（元/平方米/月）|季度</v>
      </c>
      <c r="M153">
        <f>IF($A153="",0,IF(COUNTIF($L$2:$L153,$L153)=1,1,0))</f>
        <v>0</v>
      </c>
      <c r="N153">
        <f t="shared" si="36"/>
        <v>20262</v>
      </c>
      <c r="O153" t="str">
        <f t="shared" si="37"/>
        <v>中金印力消费基础设施封闭式基础设施证券投资基金|2026Q2|季度</v>
      </c>
      <c r="P153">
        <f>IF($A153="",0,IF(COUNTIF($O$2:$O153,$O153)=1,1,0))</f>
        <v>0</v>
      </c>
      <c r="Q153" t="str">
        <f>IF(AND($P153=1,$A153=经营数据!$B$3,$J153=经营数据!$BA$5),COUNTIFS($P$2:$P$3000,1,$A$2:$A$3000,$A153,$J$2:$J$3000,$J153,$N$2:$N$3000,"&lt;"&amp;$N153)+1,"")</f>
        <v/>
      </c>
      <c r="R153" t="str">
        <f t="shared" si="38"/>
        <v>中金印力消费基础设施封闭式基础设施证券投资基金|杭州西溪印象城</v>
      </c>
      <c r="S153">
        <f>IF($A153="",0,IF(COUNTIF($R$2:$R153,$R153)=1,1,0))</f>
        <v>0</v>
      </c>
      <c r="T153">
        <f t="shared" si="39"/>
        <v>95</v>
      </c>
      <c r="U153" t="str">
        <f>IF($A153="","",IF($A153=经营数据!$B$3,COUNTIFS($S$2:$S$3000,1,$A$2:$A$3000,$A153,$T$2:$T$3000,"&lt;"&amp;$T153)+1,""))</f>
        <v/>
      </c>
      <c r="V153" t="str">
        <f t="shared" si="40"/>
        <v>杭州西溪印象城|服务价格</v>
      </c>
      <c r="W153">
        <f t="shared" si="41"/>
        <v>95</v>
      </c>
      <c r="X153" t="str">
        <f t="shared" si="42"/>
        <v>杭州西溪印象城|期内租金单价水平</v>
      </c>
      <c r="Y153">
        <f t="shared" si="43"/>
        <v>101</v>
      </c>
      <c r="Z153">
        <f>IF($A153="",0,IF(AND($M153=1,$A153=经营数据!$B$3,$J153=经营数据!$BA$5,OR($I153=经营数据!$BA$4,COUNTIF(经营数据!$AA$9:$AA$38,$I153)&gt;0)),1,0))</f>
        <v>0</v>
      </c>
      <c r="AA153" t="str">
        <f t="shared" si="44"/>
        <v/>
      </c>
      <c r="AB153" t="str">
        <f t="shared" si="45"/>
        <v/>
      </c>
      <c r="AC153">
        <f>IF($A153="",0,IF(COUNTIF($A$2:$A153,$A153)=1,1,0))</f>
        <v>0</v>
      </c>
      <c r="AD153">
        <f t="shared" si="46"/>
        <v>2</v>
      </c>
      <c r="AE153" t="str">
        <f t="shared" si="47"/>
        <v>杭州西溪印象城|期内租金单价水平（元/平方米/月）</v>
      </c>
      <c r="BA153" t="s">
        <v>5467</v>
      </c>
      <c r="BB153" t="s">
        <v>5468</v>
      </c>
      <c r="BP153" s="47">
        <v>45593</v>
      </c>
      <c r="BQ153" s="29">
        <v>5.3304217647719497E-2</v>
      </c>
    </row>
    <row r="154" spans="1:69" x14ac:dyDescent="0.4">
      <c r="A154" t="str">
        <f>IF(原始经营数据!$D155="","",原始经营数据!$D155)</f>
        <v>中金印力消费基础设施封闭式基础设施证券投资基金</v>
      </c>
      <c r="B154" t="str">
        <f>IF(原始经营数据!$D155="","",T(原始经营数据!$E155))</f>
        <v>杭州西溪印象城</v>
      </c>
      <c r="C154" t="str">
        <f>IF(原始经营数据!$D155="","",原始经营数据!$F155)</f>
        <v>2026Q2</v>
      </c>
      <c r="D154" t="str">
        <f>IF(原始经营数据!$D155="","",原始经营数据!$H155)</f>
        <v>期末剩余租期情况</v>
      </c>
      <c r="E154">
        <f>IF(原始经营数据!$D155="","",原始经营数据!$I155)</f>
        <v>2.42</v>
      </c>
      <c r="F154" t="str">
        <f>IF(原始经营数据!$D155="","",T(原始经营数据!$J155))</f>
        <v>年</v>
      </c>
      <c r="G154" t="str">
        <f>IF(原始经营数据!$D155="","",T(原始经营数据!$K155))</f>
        <v/>
      </c>
      <c r="H154" t="str">
        <f>IF(原始经营数据!$D155="","",原始经营数据!$G155)</f>
        <v>服务量</v>
      </c>
      <c r="I154" t="str">
        <f>IF($A154="","",IF($B154&lt;&gt;"",$B154,IF(COUNTIFS(原始经营数据!$D$3:$D$3001,$A154,原始经营数据!$E$3:$E$3001,"",原始经营数据!$F$3:$F$3001,$C154,原始经营数据!$H$3:$H$3001,$D154,原始经营数据!$K$3:$K$3001,$G154)&gt;1,"基金整体·来源"&amp;原始经营数据!$A155,"基金整体")))</f>
        <v>杭州西溪印象城</v>
      </c>
      <c r="J154" t="str">
        <f t="shared" si="33"/>
        <v>季度</v>
      </c>
      <c r="K154" t="str">
        <f t="shared" si="34"/>
        <v>期末剩余租期情况（年）</v>
      </c>
      <c r="L154" t="str">
        <f t="shared" si="35"/>
        <v>杭州西溪印象城|期末剩余租期情况（年）|季度</v>
      </c>
      <c r="M154">
        <f>IF($A154="",0,IF(COUNTIF($L$2:$L154,$L154)=1,1,0))</f>
        <v>0</v>
      </c>
      <c r="N154">
        <f t="shared" si="36"/>
        <v>20262</v>
      </c>
      <c r="O154" t="str">
        <f t="shared" si="37"/>
        <v>中金印力消费基础设施封闭式基础设施证券投资基金|2026Q2|季度</v>
      </c>
      <c r="P154">
        <f>IF($A154="",0,IF(COUNTIF($O$2:$O154,$O154)=1,1,0))</f>
        <v>0</v>
      </c>
      <c r="Q154" t="str">
        <f>IF(AND($P154=1,$A154=经营数据!$B$3,$J154=经营数据!$BA$5),COUNTIFS($P$2:$P$3000,1,$A$2:$A$3000,$A154,$J$2:$J$3000,$J154,$N$2:$N$3000,"&lt;"&amp;$N154)+1,"")</f>
        <v/>
      </c>
      <c r="R154" t="str">
        <f t="shared" si="38"/>
        <v>中金印力消费基础设施封闭式基础设施证券投资基金|杭州西溪印象城</v>
      </c>
      <c r="S154">
        <f>IF($A154="",0,IF(COUNTIF($R$2:$R154,$R154)=1,1,0))</f>
        <v>0</v>
      </c>
      <c r="T154">
        <f t="shared" si="39"/>
        <v>95</v>
      </c>
      <c r="U154" t="str">
        <f>IF($A154="","",IF($A154=经营数据!$B$3,COUNTIFS($S$2:$S$3000,1,$A$2:$A$3000,$A154,$T$2:$T$3000,"&lt;"&amp;$T154)+1,""))</f>
        <v/>
      </c>
      <c r="V154" t="str">
        <f t="shared" si="40"/>
        <v>杭州西溪印象城|服务量</v>
      </c>
      <c r="W154">
        <f t="shared" si="41"/>
        <v>96</v>
      </c>
      <c r="X154" t="str">
        <f t="shared" si="42"/>
        <v>杭州西溪印象城|期末剩余租期情况</v>
      </c>
      <c r="Y154">
        <f t="shared" si="43"/>
        <v>99</v>
      </c>
      <c r="Z154">
        <f>IF($A154="",0,IF(AND($M154=1,$A154=经营数据!$B$3,$J154=经营数据!$BA$5,OR($I154=经营数据!$BA$4,COUNTIF(经营数据!$AA$9:$AA$38,$I154)&gt;0)),1,0))</f>
        <v>0</v>
      </c>
      <c r="AA154" t="str">
        <f t="shared" si="44"/>
        <v/>
      </c>
      <c r="AB154" t="str">
        <f t="shared" si="45"/>
        <v/>
      </c>
      <c r="AC154">
        <f>IF($A154="",0,IF(COUNTIF($A$2:$A154,$A154)=1,1,0))</f>
        <v>0</v>
      </c>
      <c r="AD154">
        <f t="shared" si="46"/>
        <v>2</v>
      </c>
      <c r="AE154" t="str">
        <f t="shared" si="47"/>
        <v>杭州西溪印象城|期末剩余租期情况（年）</v>
      </c>
      <c r="BA154" t="s">
        <v>5469</v>
      </c>
      <c r="BB154" t="s">
        <v>5470</v>
      </c>
      <c r="BP154" s="47">
        <v>45594</v>
      </c>
      <c r="BQ154" s="29">
        <v>5.3075101572953948E-2</v>
      </c>
    </row>
    <row r="155" spans="1:69" x14ac:dyDescent="0.4">
      <c r="A155" t="str">
        <f>IF(原始经营数据!$D156="","",原始经营数据!$D156)</f>
        <v>中金印力消费基础设施封闭式基础设施证券投资基金</v>
      </c>
      <c r="B155" t="str">
        <f>IF(原始经营数据!$D156="","",T(原始经营数据!$E156))</f>
        <v>杭州西溪印象城</v>
      </c>
      <c r="C155" t="str">
        <f>IF(原始经营数据!$D156="","",原始经营数据!$F156)</f>
        <v>2026Q2</v>
      </c>
      <c r="D155" t="str">
        <f>IF(原始经营数据!$D156="","",原始经营数据!$H156)</f>
        <v>期末租金收缴率</v>
      </c>
      <c r="E155">
        <f>IF(原始经营数据!$D156="","",原始经营数据!$I156)</f>
        <v>98.93</v>
      </c>
      <c r="F155" t="str">
        <f>IF(原始经营数据!$D156="","",T(原始经营数据!$J156))</f>
        <v>%</v>
      </c>
      <c r="G155" t="str">
        <f>IF(原始经营数据!$D156="","",T(原始经营数据!$K156))</f>
        <v/>
      </c>
      <c r="H155" t="str">
        <f>IF(原始经营数据!$D156="","",原始经营数据!$G156)</f>
        <v>服务效率</v>
      </c>
      <c r="I155" t="str">
        <f>IF($A155="","",IF($B155&lt;&gt;"",$B155,IF(COUNTIFS(原始经营数据!$D$3:$D$3001,$A155,原始经营数据!$E$3:$E$3001,"",原始经营数据!$F$3:$F$3001,$C155,原始经营数据!$H$3:$H$3001,$D155,原始经营数据!$K$3:$K$3001,$G155)&gt;1,"基金整体·来源"&amp;原始经营数据!$A156,"基金整体")))</f>
        <v>杭州西溪印象城</v>
      </c>
      <c r="J155" t="str">
        <f t="shared" si="33"/>
        <v>季度</v>
      </c>
      <c r="K155" t="str">
        <f t="shared" si="34"/>
        <v>期末租金收缴率（%）</v>
      </c>
      <c r="L155" t="str">
        <f t="shared" si="35"/>
        <v>杭州西溪印象城|期末租金收缴率（%）|季度</v>
      </c>
      <c r="M155">
        <f>IF($A155="",0,IF(COUNTIF($L$2:$L155,$L155)=1,1,0))</f>
        <v>0</v>
      </c>
      <c r="N155">
        <f t="shared" si="36"/>
        <v>20262</v>
      </c>
      <c r="O155" t="str">
        <f t="shared" si="37"/>
        <v>中金印力消费基础设施封闭式基础设施证券投资基金|2026Q2|季度</v>
      </c>
      <c r="P155">
        <f>IF($A155="",0,IF(COUNTIF($O$2:$O155,$O155)=1,1,0))</f>
        <v>0</v>
      </c>
      <c r="Q155" t="str">
        <f>IF(AND($P155=1,$A155=经营数据!$B$3,$J155=经营数据!$BA$5),COUNTIFS($P$2:$P$3000,1,$A$2:$A$3000,$A155,$J$2:$J$3000,$J155,$N$2:$N$3000,"&lt;"&amp;$N155)+1,"")</f>
        <v/>
      </c>
      <c r="R155" t="str">
        <f t="shared" si="38"/>
        <v>中金印力消费基础设施封闭式基础设施证券投资基金|杭州西溪印象城</v>
      </c>
      <c r="S155">
        <f>IF($A155="",0,IF(COUNTIF($R$2:$R155,$R155)=1,1,0))</f>
        <v>0</v>
      </c>
      <c r="T155">
        <f t="shared" si="39"/>
        <v>95</v>
      </c>
      <c r="U155" t="str">
        <f>IF($A155="","",IF($A155=经营数据!$B$3,COUNTIFS($S$2:$S$3000,1,$A$2:$A$3000,$A155,$T$2:$T$3000,"&lt;"&amp;$T155)+1,""))</f>
        <v/>
      </c>
      <c r="V155" t="str">
        <f t="shared" si="40"/>
        <v>杭州西溪印象城|服务效率</v>
      </c>
      <c r="W155">
        <f t="shared" si="41"/>
        <v>98</v>
      </c>
      <c r="X155" t="str">
        <f t="shared" si="42"/>
        <v>杭州西溪印象城|期末租金收缴率</v>
      </c>
      <c r="Y155">
        <f t="shared" si="43"/>
        <v>98</v>
      </c>
      <c r="Z155">
        <f>IF($A155="",0,IF(AND($M155=1,$A155=经营数据!$B$3,$J155=经营数据!$BA$5,OR($I155=经营数据!$BA$4,COUNTIF(经营数据!$AA$9:$AA$38,$I155)&gt;0)),1,0))</f>
        <v>0</v>
      </c>
      <c r="AA155" t="str">
        <f t="shared" si="44"/>
        <v/>
      </c>
      <c r="AB155" t="str">
        <f t="shared" si="45"/>
        <v/>
      </c>
      <c r="AC155">
        <f>IF($A155="",0,IF(COUNTIF($A$2:$A155,$A155)=1,1,0))</f>
        <v>0</v>
      </c>
      <c r="AD155">
        <f t="shared" si="46"/>
        <v>2</v>
      </c>
      <c r="AE155" t="str">
        <f t="shared" si="47"/>
        <v>杭州西溪印象城|期末租金收缴率（%）</v>
      </c>
      <c r="BA155" t="s">
        <v>5471</v>
      </c>
      <c r="BB155" t="s">
        <v>5472</v>
      </c>
      <c r="BP155" s="47">
        <v>45595</v>
      </c>
      <c r="BQ155" s="29">
        <v>5.2956655653393102E-2</v>
      </c>
    </row>
    <row r="156" spans="1:69" x14ac:dyDescent="0.4">
      <c r="A156" t="str">
        <f>IF(原始经营数据!$D157="","",原始经营数据!$D157)</f>
        <v>中金印力消费基础设施封闭式基础设施证券投资基金</v>
      </c>
      <c r="B156" t="str">
        <f>IF(原始经营数据!$D157="","",T(原始经营数据!$E157))</f>
        <v>杭州西溪印象城</v>
      </c>
      <c r="C156" t="str">
        <f>IF(原始经营数据!$D157="","",原始经营数据!$F157)</f>
        <v>2026Q2</v>
      </c>
      <c r="D156" t="str">
        <f>IF(原始经营数据!$D157="","",原始经营数据!$H157)</f>
        <v>期末可供出租面积</v>
      </c>
      <c r="E156">
        <f>IF(原始经营数据!$D157="","",原始经营数据!$I157)</f>
        <v>99194.16</v>
      </c>
      <c r="F156" t="str">
        <f>IF(原始经营数据!$D157="","",T(原始经营数据!$J157))</f>
        <v>平方米</v>
      </c>
      <c r="G156" t="str">
        <f>IF(原始经营数据!$D157="","",T(原始经营数据!$K157))</f>
        <v/>
      </c>
      <c r="H156" t="str">
        <f>IF(原始经营数据!$D157="","",原始经营数据!$G157)</f>
        <v>服务量</v>
      </c>
      <c r="I156" t="str">
        <f>IF($A156="","",IF($B156&lt;&gt;"",$B156,IF(COUNTIFS(原始经营数据!$D$3:$D$3001,$A156,原始经营数据!$E$3:$E$3001,"",原始经营数据!$F$3:$F$3001,$C156,原始经营数据!$H$3:$H$3001,$D156,原始经营数据!$K$3:$K$3001,$G156)&gt;1,"基金整体·来源"&amp;原始经营数据!$A157,"基金整体")))</f>
        <v>杭州西溪印象城</v>
      </c>
      <c r="J156" t="str">
        <f t="shared" si="33"/>
        <v>季度</v>
      </c>
      <c r="K156" t="str">
        <f t="shared" si="34"/>
        <v>期末可供出租面积（平方米）</v>
      </c>
      <c r="L156" t="str">
        <f t="shared" si="35"/>
        <v>杭州西溪印象城|期末可供出租面积（平方米）|季度</v>
      </c>
      <c r="M156">
        <f>IF($A156="",0,IF(COUNTIF($L$2:$L156,$L156)=1,1,0))</f>
        <v>0</v>
      </c>
      <c r="N156">
        <f t="shared" si="36"/>
        <v>20262</v>
      </c>
      <c r="O156" t="str">
        <f t="shared" si="37"/>
        <v>中金印力消费基础设施封闭式基础设施证券投资基金|2026Q2|季度</v>
      </c>
      <c r="P156">
        <f>IF($A156="",0,IF(COUNTIF($O$2:$O156,$O156)=1,1,0))</f>
        <v>0</v>
      </c>
      <c r="Q156" t="str">
        <f>IF(AND($P156=1,$A156=经营数据!$B$3,$J156=经营数据!$BA$5),COUNTIFS($P$2:$P$3000,1,$A$2:$A$3000,$A156,$J$2:$J$3000,$J156,$N$2:$N$3000,"&lt;"&amp;$N156)+1,"")</f>
        <v/>
      </c>
      <c r="R156" t="str">
        <f t="shared" si="38"/>
        <v>中金印力消费基础设施封闭式基础设施证券投资基金|杭州西溪印象城</v>
      </c>
      <c r="S156">
        <f>IF($A156="",0,IF(COUNTIF($R$2:$R156,$R156)=1,1,0))</f>
        <v>0</v>
      </c>
      <c r="T156">
        <f t="shared" si="39"/>
        <v>95</v>
      </c>
      <c r="U156" t="str">
        <f>IF($A156="","",IF($A156=经营数据!$B$3,COUNTIFS($S$2:$S$3000,1,$A$2:$A$3000,$A156,$T$2:$T$3000,"&lt;"&amp;$T156)+1,""))</f>
        <v/>
      </c>
      <c r="V156" t="str">
        <f t="shared" si="40"/>
        <v>杭州西溪印象城|服务量</v>
      </c>
      <c r="W156">
        <f t="shared" si="41"/>
        <v>96</v>
      </c>
      <c r="X156" t="str">
        <f t="shared" si="42"/>
        <v>杭州西溪印象城|期末可供出租面积</v>
      </c>
      <c r="Y156">
        <f t="shared" si="43"/>
        <v>96</v>
      </c>
      <c r="Z156">
        <f>IF($A156="",0,IF(AND($M156=1,$A156=经营数据!$B$3,$J156=经营数据!$BA$5,OR($I156=经营数据!$BA$4,COUNTIF(经营数据!$AA$9:$AA$38,$I156)&gt;0)),1,0))</f>
        <v>0</v>
      </c>
      <c r="AA156" t="str">
        <f t="shared" si="44"/>
        <v/>
      </c>
      <c r="AB156" t="str">
        <f t="shared" si="45"/>
        <v/>
      </c>
      <c r="AC156">
        <f>IF($A156="",0,IF(COUNTIF($A$2:$A156,$A156)=1,1,0))</f>
        <v>0</v>
      </c>
      <c r="AD156">
        <f t="shared" si="46"/>
        <v>2</v>
      </c>
      <c r="AE156" t="str">
        <f t="shared" si="47"/>
        <v>杭州西溪印象城|期末可供出租面积（平方米）</v>
      </c>
      <c r="BA156" t="s">
        <v>5473</v>
      </c>
      <c r="BB156" t="s">
        <v>5474</v>
      </c>
      <c r="BP156" s="47">
        <v>45596</v>
      </c>
      <c r="BQ156" s="29">
        <v>5.300088219536591E-2</v>
      </c>
    </row>
    <row r="157" spans="1:69" x14ac:dyDescent="0.4">
      <c r="A157" t="str">
        <f>IF(原始经营数据!$D158="","",原始经营数据!$D158)</f>
        <v>华夏大悦城购物中心封闭式基础设施证券投资基金</v>
      </c>
      <c r="B157" t="str">
        <f>IF(原始经营数据!$D158="","",T(原始经营数据!$E158))</f>
        <v>成都大悦城</v>
      </c>
      <c r="C157" t="str">
        <f>IF(原始经营数据!$D158="","",原始经营数据!$F158)</f>
        <v>2024Q3(0903-0930)</v>
      </c>
      <c r="D157" t="str">
        <f>IF(原始经营数据!$D158="","",原始经营数据!$H158)</f>
        <v>期末剩余租期</v>
      </c>
      <c r="E157">
        <f>IF(原始经营数据!$D158="","",原始经营数据!$I158)</f>
        <v>3.57</v>
      </c>
      <c r="F157" t="str">
        <f>IF(原始经营数据!$D158="","",T(原始经营数据!$J158))</f>
        <v>年</v>
      </c>
      <c r="G157" t="str">
        <f>IF(原始经营数据!$D158="","",T(原始经营数据!$K158))</f>
        <v/>
      </c>
      <c r="H157" t="str">
        <f>IF(原始经营数据!$D158="","",原始经营数据!$G158)</f>
        <v>服务量</v>
      </c>
      <c r="I157" t="str">
        <f>IF($A157="","",IF($B157&lt;&gt;"",$B157,IF(COUNTIFS(原始经营数据!$D$3:$D$3001,$A157,原始经营数据!$E$3:$E$3001,"",原始经营数据!$F$3:$F$3001,$C157,原始经营数据!$H$3:$H$3001,$D157,原始经营数据!$K$3:$K$3001,$G157)&gt;1,"基金整体·来源"&amp;原始经营数据!$A158,"基金整体")))</f>
        <v>成都大悦城</v>
      </c>
      <c r="J157" t="str">
        <f t="shared" si="33"/>
        <v>其他期间</v>
      </c>
      <c r="K157" t="str">
        <f t="shared" si="34"/>
        <v>期末剩余租期（年）</v>
      </c>
      <c r="L157" t="str">
        <f t="shared" si="35"/>
        <v>成都大悦城|期末剩余租期（年）|其他期间</v>
      </c>
      <c r="M157">
        <f>IF($A157="",0,IF(COUNTIF($L$2:$L157,$L157)=1,1,0))</f>
        <v>1</v>
      </c>
      <c r="N157">
        <f t="shared" si="36"/>
        <v>20249</v>
      </c>
      <c r="O157" t="str">
        <f t="shared" si="37"/>
        <v>华夏大悦城购物中心封闭式基础设施证券投资基金|2024Q3(0903-0930)|其他期间</v>
      </c>
      <c r="P157">
        <f>IF($A157="",0,IF(COUNTIF($O$2:$O157,$O157)=1,1,0))</f>
        <v>1</v>
      </c>
      <c r="Q157" t="str">
        <f>IF(AND($P157=1,$A157=经营数据!$B$3,$J157=经营数据!$BA$5),COUNTIFS($P$2:$P$3000,1,$A$2:$A$3000,$A157,$J$2:$J$3000,$J157,$N$2:$N$3000,"&lt;"&amp;$N157)+1,"")</f>
        <v/>
      </c>
      <c r="R157" t="str">
        <f t="shared" si="38"/>
        <v>华夏大悦城购物中心封闭式基础设施证券投资基金|成都大悦城</v>
      </c>
      <c r="S157">
        <f>IF($A157="",0,IF(COUNTIF($R$2:$R157,$R157)=1,1,0))</f>
        <v>1</v>
      </c>
      <c r="T157">
        <f t="shared" si="39"/>
        <v>156</v>
      </c>
      <c r="U157" t="str">
        <f>IF($A157="","",IF($A157=经营数据!$B$3,COUNTIFS($S$2:$S$3000,1,$A$2:$A$3000,$A157,$T$2:$T$3000,"&lt;"&amp;$T157)+1,""))</f>
        <v/>
      </c>
      <c r="V157" t="str">
        <f t="shared" si="40"/>
        <v>成都大悦城|服务量</v>
      </c>
      <c r="W157">
        <f t="shared" si="41"/>
        <v>156</v>
      </c>
      <c r="X157" t="str">
        <f t="shared" si="42"/>
        <v>成都大悦城|期末剩余租期</v>
      </c>
      <c r="Y157">
        <f t="shared" si="43"/>
        <v>156</v>
      </c>
      <c r="Z157">
        <f>IF($A157="",0,IF(AND($M157=1,$A157=经营数据!$B$3,$J157=经营数据!$BA$5,OR($I157=经营数据!$BA$4,COUNTIF(经营数据!$AA$9:$AA$38,$I157)&gt;0)),1,0))</f>
        <v>0</v>
      </c>
      <c r="AA157" t="str">
        <f t="shared" si="44"/>
        <v/>
      </c>
      <c r="AB157" t="str">
        <f t="shared" si="45"/>
        <v/>
      </c>
      <c r="AC157">
        <f>IF($A157="",0,IF(COUNTIF($A$2:$A157,$A157)=1,1,0))</f>
        <v>1</v>
      </c>
      <c r="AD157">
        <f t="shared" si="46"/>
        <v>3</v>
      </c>
      <c r="AE157" t="str">
        <f t="shared" si="47"/>
        <v>成都大悦城|期末剩余租期（年）</v>
      </c>
      <c r="BA157" t="s">
        <v>5475</v>
      </c>
      <c r="BB157" t="s">
        <v>5476</v>
      </c>
      <c r="BP157" s="47">
        <v>45597</v>
      </c>
      <c r="BQ157" s="29">
        <v>5.292994981234362E-2</v>
      </c>
    </row>
    <row r="158" spans="1:69" x14ac:dyDescent="0.4">
      <c r="A158" t="str">
        <f>IF(原始经营数据!$D159="","",原始经营数据!$D159)</f>
        <v>华夏大悦城购物中心封闭式基础设施证券投资基金</v>
      </c>
      <c r="B158" t="str">
        <f>IF(原始经营数据!$D159="","",T(原始经营数据!$E159))</f>
        <v>成都大悦城</v>
      </c>
      <c r="C158" t="str">
        <f>IF(原始经营数据!$D159="","",原始经营数据!$F159)</f>
        <v>2024Q3(0903-0930)</v>
      </c>
      <c r="D158" t="str">
        <f>IF(原始经营数据!$D159="","",原始经营数据!$H159)</f>
        <v>期内租金单价水平</v>
      </c>
      <c r="E158">
        <f>IF(原始经营数据!$D159="","",原始经营数据!$I159)</f>
        <v>0</v>
      </c>
      <c r="F158" t="str">
        <f>IF(原始经营数据!$D159="","",T(原始经营数据!$J159))</f>
        <v>元/平方米/月</v>
      </c>
      <c r="G158" t="str">
        <f>IF(原始经营数据!$D159="","",T(原始经营数据!$K159))</f>
        <v/>
      </c>
      <c r="H158" t="str">
        <f>IF(原始经营数据!$D159="","",原始经营数据!$G159)</f>
        <v>服务价格</v>
      </c>
      <c r="I158" t="str">
        <f>IF($A158="","",IF($B158&lt;&gt;"",$B158,IF(COUNTIFS(原始经营数据!$D$3:$D$3001,$A158,原始经营数据!$E$3:$E$3001,"",原始经营数据!$F$3:$F$3001,$C158,原始经营数据!$H$3:$H$3001,$D158,原始经营数据!$K$3:$K$3001,$G158)&gt;1,"基金整体·来源"&amp;原始经营数据!$A159,"基金整体")))</f>
        <v>成都大悦城</v>
      </c>
      <c r="J158" t="str">
        <f t="shared" si="33"/>
        <v>其他期间</v>
      </c>
      <c r="K158" t="str">
        <f t="shared" si="34"/>
        <v>期内租金单价水平（元/平方米/月）</v>
      </c>
      <c r="L158" t="str">
        <f t="shared" si="35"/>
        <v>成都大悦城|期内租金单价水平（元/平方米/月）|其他期间</v>
      </c>
      <c r="M158">
        <f>IF($A158="",0,IF(COUNTIF($L$2:$L158,$L158)=1,1,0))</f>
        <v>1</v>
      </c>
      <c r="N158">
        <f t="shared" si="36"/>
        <v>20249</v>
      </c>
      <c r="O158" t="str">
        <f t="shared" si="37"/>
        <v>华夏大悦城购物中心封闭式基础设施证券投资基金|2024Q3(0903-0930)|其他期间</v>
      </c>
      <c r="P158">
        <f>IF($A158="",0,IF(COUNTIF($O$2:$O158,$O158)=1,1,0))</f>
        <v>0</v>
      </c>
      <c r="Q158" t="str">
        <f>IF(AND($P158=1,$A158=经营数据!$B$3,$J158=经营数据!$BA$5),COUNTIFS($P$2:$P$3000,1,$A$2:$A$3000,$A158,$J$2:$J$3000,$J158,$N$2:$N$3000,"&lt;"&amp;$N158)+1,"")</f>
        <v/>
      </c>
      <c r="R158" t="str">
        <f t="shared" si="38"/>
        <v>华夏大悦城购物中心封闭式基础设施证券投资基金|成都大悦城</v>
      </c>
      <c r="S158">
        <f>IF($A158="",0,IF(COUNTIF($R$2:$R158,$R158)=1,1,0))</f>
        <v>0</v>
      </c>
      <c r="T158">
        <f t="shared" si="39"/>
        <v>156</v>
      </c>
      <c r="U158" t="str">
        <f>IF($A158="","",IF($A158=经营数据!$B$3,COUNTIFS($S$2:$S$3000,1,$A$2:$A$3000,$A158,$T$2:$T$3000,"&lt;"&amp;$T158)+1,""))</f>
        <v/>
      </c>
      <c r="V158" t="str">
        <f t="shared" si="40"/>
        <v>成都大悦城|服务价格</v>
      </c>
      <c r="W158">
        <f t="shared" si="41"/>
        <v>157</v>
      </c>
      <c r="X158" t="str">
        <f t="shared" si="42"/>
        <v>成都大悦城|期内租金单价水平</v>
      </c>
      <c r="Y158">
        <f t="shared" si="43"/>
        <v>157</v>
      </c>
      <c r="Z158">
        <f>IF($A158="",0,IF(AND($M158=1,$A158=经营数据!$B$3,$J158=经营数据!$BA$5,OR($I158=经营数据!$BA$4,COUNTIF(经营数据!$AA$9:$AA$38,$I158)&gt;0)),1,0))</f>
        <v>0</v>
      </c>
      <c r="AA158" t="str">
        <f t="shared" si="44"/>
        <v/>
      </c>
      <c r="AB158" t="str">
        <f t="shared" si="45"/>
        <v/>
      </c>
      <c r="AC158">
        <f>IF($A158="",0,IF(COUNTIF($A$2:$A158,$A158)=1,1,0))</f>
        <v>0</v>
      </c>
      <c r="AD158">
        <f t="shared" si="46"/>
        <v>3</v>
      </c>
      <c r="AE158" t="str">
        <f t="shared" si="47"/>
        <v>成都大悦城|期内租金单价水平（元/平方米/月）</v>
      </c>
      <c r="BA158" t="s">
        <v>5477</v>
      </c>
      <c r="BB158" t="s">
        <v>5478</v>
      </c>
      <c r="BP158" s="47">
        <v>45600</v>
      </c>
      <c r="BQ158" s="29">
        <v>5.2699961810571239E-2</v>
      </c>
    </row>
    <row r="159" spans="1:69" x14ac:dyDescent="0.4">
      <c r="A159" t="str">
        <f>IF(原始经营数据!$D160="","",原始经营数据!$D160)</f>
        <v>华夏大悦城购物中心封闭式基础设施证券投资基金</v>
      </c>
      <c r="B159" t="str">
        <f>IF(原始经营数据!$D160="","",T(原始经营数据!$E160))</f>
        <v>成都大悦城</v>
      </c>
      <c r="C159" t="str">
        <f>IF(原始经营数据!$D160="","",原始经营数据!$F160)</f>
        <v>2024Q3(0903-0930)</v>
      </c>
      <c r="D159" t="str">
        <f>IF(原始经营数据!$D160="","",原始经营数据!$H160)</f>
        <v>期末出租率</v>
      </c>
      <c r="E159">
        <f>IF(原始经营数据!$D160="","",原始经营数据!$I160)</f>
        <v>97.26</v>
      </c>
      <c r="F159" t="str">
        <f>IF(原始经营数据!$D160="","",T(原始经营数据!$J160))</f>
        <v>%</v>
      </c>
      <c r="G159" t="str">
        <f>IF(原始经营数据!$D160="","",T(原始经营数据!$K160))</f>
        <v/>
      </c>
      <c r="H159" t="str">
        <f>IF(原始经营数据!$D160="","",原始经营数据!$G160)</f>
        <v>服务效率</v>
      </c>
      <c r="I159" t="str">
        <f>IF($A159="","",IF($B159&lt;&gt;"",$B159,IF(COUNTIFS(原始经营数据!$D$3:$D$3001,$A159,原始经营数据!$E$3:$E$3001,"",原始经营数据!$F$3:$F$3001,$C159,原始经营数据!$H$3:$H$3001,$D159,原始经营数据!$K$3:$K$3001,$G159)&gt;1,"基金整体·来源"&amp;原始经营数据!$A160,"基金整体")))</f>
        <v>成都大悦城</v>
      </c>
      <c r="J159" t="str">
        <f t="shared" si="33"/>
        <v>其他期间</v>
      </c>
      <c r="K159" t="str">
        <f t="shared" si="34"/>
        <v>期末出租率（%）</v>
      </c>
      <c r="L159" t="str">
        <f t="shared" si="35"/>
        <v>成都大悦城|期末出租率（%）|其他期间</v>
      </c>
      <c r="M159">
        <f>IF($A159="",0,IF(COUNTIF($L$2:$L159,$L159)=1,1,0))</f>
        <v>1</v>
      </c>
      <c r="N159">
        <f t="shared" si="36"/>
        <v>20249</v>
      </c>
      <c r="O159" t="str">
        <f t="shared" si="37"/>
        <v>华夏大悦城购物中心封闭式基础设施证券投资基金|2024Q3(0903-0930)|其他期间</v>
      </c>
      <c r="P159">
        <f>IF($A159="",0,IF(COUNTIF($O$2:$O159,$O159)=1,1,0))</f>
        <v>0</v>
      </c>
      <c r="Q159" t="str">
        <f>IF(AND($P159=1,$A159=经营数据!$B$3,$J159=经营数据!$BA$5),COUNTIFS($P$2:$P$3000,1,$A$2:$A$3000,$A159,$J$2:$J$3000,$J159,$N$2:$N$3000,"&lt;"&amp;$N159)+1,"")</f>
        <v/>
      </c>
      <c r="R159" t="str">
        <f t="shared" si="38"/>
        <v>华夏大悦城购物中心封闭式基础设施证券投资基金|成都大悦城</v>
      </c>
      <c r="S159">
        <f>IF($A159="",0,IF(COUNTIF($R$2:$R159,$R159)=1,1,0))</f>
        <v>0</v>
      </c>
      <c r="T159">
        <f t="shared" si="39"/>
        <v>156</v>
      </c>
      <c r="U159" t="str">
        <f>IF($A159="","",IF($A159=经营数据!$B$3,COUNTIFS($S$2:$S$3000,1,$A$2:$A$3000,$A159,$T$2:$T$3000,"&lt;"&amp;$T159)+1,""))</f>
        <v/>
      </c>
      <c r="V159" t="str">
        <f t="shared" si="40"/>
        <v>成都大悦城|服务效率</v>
      </c>
      <c r="W159">
        <f t="shared" si="41"/>
        <v>158</v>
      </c>
      <c r="X159" t="str">
        <f t="shared" si="42"/>
        <v>成都大悦城|期末出租率</v>
      </c>
      <c r="Y159">
        <f t="shared" si="43"/>
        <v>158</v>
      </c>
      <c r="Z159">
        <f>IF($A159="",0,IF(AND($M159=1,$A159=经营数据!$B$3,$J159=经营数据!$BA$5,OR($I159=经营数据!$BA$4,COUNTIF(经营数据!$AA$9:$AA$38,$I159)&gt;0)),1,0))</f>
        <v>0</v>
      </c>
      <c r="AA159" t="str">
        <f t="shared" si="44"/>
        <v/>
      </c>
      <c r="AB159" t="str">
        <f t="shared" si="45"/>
        <v/>
      </c>
      <c r="AC159">
        <f>IF($A159="",0,IF(COUNTIF($A$2:$A159,$A159)=1,1,0))</f>
        <v>0</v>
      </c>
      <c r="AD159">
        <f t="shared" si="46"/>
        <v>3</v>
      </c>
      <c r="AE159" t="str">
        <f t="shared" si="47"/>
        <v>成都大悦城|期末出租率（%）</v>
      </c>
      <c r="BA159" t="s">
        <v>5479</v>
      </c>
      <c r="BB159" t="s">
        <v>5480</v>
      </c>
      <c r="BP159" s="47">
        <v>45601</v>
      </c>
      <c r="BQ159" s="29">
        <v>5.2717778061702518E-2</v>
      </c>
    </row>
    <row r="160" spans="1:69" x14ac:dyDescent="0.4">
      <c r="A160" t="str">
        <f>IF(原始经营数据!$D161="","",原始经营数据!$D161)</f>
        <v>华夏大悦城购物中心封闭式基础设施证券投资基金</v>
      </c>
      <c r="B160" t="str">
        <f>IF(原始经营数据!$D161="","",T(原始经营数据!$E161))</f>
        <v>成都大悦城</v>
      </c>
      <c r="C160" t="str">
        <f>IF(原始经营数据!$D161="","",原始经营数据!$F161)</f>
        <v>2024Q3(0903-0930)</v>
      </c>
      <c r="D160" t="str">
        <f>IF(原始经营数据!$D161="","",原始经营数据!$H161)</f>
        <v>期末实际出租面积</v>
      </c>
      <c r="E160">
        <f>IF(原始经营数据!$D161="","",原始经营数据!$I161)</f>
        <v>82781.429999999993</v>
      </c>
      <c r="F160" t="str">
        <f>IF(原始经营数据!$D161="","",T(原始经营数据!$J161))</f>
        <v>平方米</v>
      </c>
      <c r="G160" t="str">
        <f>IF(原始经营数据!$D161="","",T(原始经营数据!$K161))</f>
        <v/>
      </c>
      <c r="H160" t="str">
        <f>IF(原始经营数据!$D161="","",原始经营数据!$G161)</f>
        <v>服务量</v>
      </c>
      <c r="I160" t="str">
        <f>IF($A160="","",IF($B160&lt;&gt;"",$B160,IF(COUNTIFS(原始经营数据!$D$3:$D$3001,$A160,原始经营数据!$E$3:$E$3001,"",原始经营数据!$F$3:$F$3001,$C160,原始经营数据!$H$3:$H$3001,$D160,原始经营数据!$K$3:$K$3001,$G160)&gt;1,"基金整体·来源"&amp;原始经营数据!$A161,"基金整体")))</f>
        <v>成都大悦城</v>
      </c>
      <c r="J160" t="str">
        <f t="shared" si="33"/>
        <v>其他期间</v>
      </c>
      <c r="K160" t="str">
        <f t="shared" si="34"/>
        <v>期末实际出租面积（平方米）</v>
      </c>
      <c r="L160" t="str">
        <f t="shared" si="35"/>
        <v>成都大悦城|期末实际出租面积（平方米）|其他期间</v>
      </c>
      <c r="M160">
        <f>IF($A160="",0,IF(COUNTIF($L$2:$L160,$L160)=1,1,0))</f>
        <v>1</v>
      </c>
      <c r="N160">
        <f t="shared" si="36"/>
        <v>20249</v>
      </c>
      <c r="O160" t="str">
        <f t="shared" si="37"/>
        <v>华夏大悦城购物中心封闭式基础设施证券投资基金|2024Q3(0903-0930)|其他期间</v>
      </c>
      <c r="P160">
        <f>IF($A160="",0,IF(COUNTIF($O$2:$O160,$O160)=1,1,0))</f>
        <v>0</v>
      </c>
      <c r="Q160" t="str">
        <f>IF(AND($P160=1,$A160=经营数据!$B$3,$J160=经营数据!$BA$5),COUNTIFS($P$2:$P$3000,1,$A$2:$A$3000,$A160,$J$2:$J$3000,$J160,$N$2:$N$3000,"&lt;"&amp;$N160)+1,"")</f>
        <v/>
      </c>
      <c r="R160" t="str">
        <f t="shared" si="38"/>
        <v>华夏大悦城购物中心封闭式基础设施证券投资基金|成都大悦城</v>
      </c>
      <c r="S160">
        <f>IF($A160="",0,IF(COUNTIF($R$2:$R160,$R160)=1,1,0))</f>
        <v>0</v>
      </c>
      <c r="T160">
        <f t="shared" si="39"/>
        <v>156</v>
      </c>
      <c r="U160" t="str">
        <f>IF($A160="","",IF($A160=经营数据!$B$3,COUNTIFS($S$2:$S$3000,1,$A$2:$A$3000,$A160,$T$2:$T$3000,"&lt;"&amp;$T160)+1,""))</f>
        <v/>
      </c>
      <c r="V160" t="str">
        <f t="shared" si="40"/>
        <v>成都大悦城|服务量</v>
      </c>
      <c r="W160">
        <f t="shared" si="41"/>
        <v>156</v>
      </c>
      <c r="X160" t="str">
        <f t="shared" si="42"/>
        <v>成都大悦城|期末实际出租面积</v>
      </c>
      <c r="Y160">
        <f t="shared" si="43"/>
        <v>159</v>
      </c>
      <c r="Z160">
        <f>IF($A160="",0,IF(AND($M160=1,$A160=经营数据!$B$3,$J160=经营数据!$BA$5,OR($I160=经营数据!$BA$4,COUNTIF(经营数据!$AA$9:$AA$38,$I160)&gt;0)),1,0))</f>
        <v>0</v>
      </c>
      <c r="AA160" t="str">
        <f t="shared" si="44"/>
        <v/>
      </c>
      <c r="AB160" t="str">
        <f t="shared" si="45"/>
        <v/>
      </c>
      <c r="AC160">
        <f>IF($A160="",0,IF(COUNTIF($A$2:$A160,$A160)=1,1,0))</f>
        <v>0</v>
      </c>
      <c r="AD160">
        <f t="shared" si="46"/>
        <v>3</v>
      </c>
      <c r="AE160" t="str">
        <f t="shared" si="47"/>
        <v>成都大悦城|期末实际出租面积（平方米）</v>
      </c>
      <c r="BA160" t="s">
        <v>5481</v>
      </c>
      <c r="BB160" t="s">
        <v>5482</v>
      </c>
      <c r="BP160" s="47">
        <v>45602</v>
      </c>
      <c r="BQ160" s="29">
        <v>5.2760586253081353E-2</v>
      </c>
    </row>
    <row r="161" spans="1:69" x14ac:dyDescent="0.4">
      <c r="A161" t="str">
        <f>IF(原始经营数据!$D162="","",原始经营数据!$D162)</f>
        <v>华夏大悦城购物中心封闭式基础设施证券投资基金</v>
      </c>
      <c r="B161" t="str">
        <f>IF(原始经营数据!$D162="","",T(原始经营数据!$E162))</f>
        <v>成都大悦城</v>
      </c>
      <c r="C161" t="str">
        <f>IF(原始经营数据!$D162="","",原始经营数据!$F162)</f>
        <v>2024Q3(0903-0930)</v>
      </c>
      <c r="D161" t="str">
        <f>IF(原始经营数据!$D162="","",原始经营数据!$H162)</f>
        <v>期末可供出租面积</v>
      </c>
      <c r="E161">
        <f>IF(原始经营数据!$D162="","",原始经营数据!$I162)</f>
        <v>85114.71</v>
      </c>
      <c r="F161" t="str">
        <f>IF(原始经营数据!$D162="","",T(原始经营数据!$J162))</f>
        <v>平方米</v>
      </c>
      <c r="G161" t="str">
        <f>IF(原始经营数据!$D162="","",T(原始经营数据!$K162))</f>
        <v/>
      </c>
      <c r="H161" t="str">
        <f>IF(原始经营数据!$D162="","",原始经营数据!$G162)</f>
        <v>服务量</v>
      </c>
      <c r="I161" t="str">
        <f>IF($A161="","",IF($B161&lt;&gt;"",$B161,IF(COUNTIFS(原始经营数据!$D$3:$D$3001,$A161,原始经营数据!$E$3:$E$3001,"",原始经营数据!$F$3:$F$3001,$C161,原始经营数据!$H$3:$H$3001,$D161,原始经营数据!$K$3:$K$3001,$G161)&gt;1,"基金整体·来源"&amp;原始经营数据!$A162,"基金整体")))</f>
        <v>成都大悦城</v>
      </c>
      <c r="J161" t="str">
        <f t="shared" si="33"/>
        <v>其他期间</v>
      </c>
      <c r="K161" t="str">
        <f t="shared" si="34"/>
        <v>期末可供出租面积（平方米）</v>
      </c>
      <c r="L161" t="str">
        <f t="shared" si="35"/>
        <v>成都大悦城|期末可供出租面积（平方米）|其他期间</v>
      </c>
      <c r="M161">
        <f>IF($A161="",0,IF(COUNTIF($L$2:$L161,$L161)=1,1,0))</f>
        <v>1</v>
      </c>
      <c r="N161">
        <f t="shared" si="36"/>
        <v>20249</v>
      </c>
      <c r="O161" t="str">
        <f t="shared" si="37"/>
        <v>华夏大悦城购物中心封闭式基础设施证券投资基金|2024Q3(0903-0930)|其他期间</v>
      </c>
      <c r="P161">
        <f>IF($A161="",0,IF(COUNTIF($O$2:$O161,$O161)=1,1,0))</f>
        <v>0</v>
      </c>
      <c r="Q161" t="str">
        <f>IF(AND($P161=1,$A161=经营数据!$B$3,$J161=经营数据!$BA$5),COUNTIFS($P$2:$P$3000,1,$A$2:$A$3000,$A161,$J$2:$J$3000,$J161,$N$2:$N$3000,"&lt;"&amp;$N161)+1,"")</f>
        <v/>
      </c>
      <c r="R161" t="str">
        <f t="shared" si="38"/>
        <v>华夏大悦城购物中心封闭式基础设施证券投资基金|成都大悦城</v>
      </c>
      <c r="S161">
        <f>IF($A161="",0,IF(COUNTIF($R$2:$R161,$R161)=1,1,0))</f>
        <v>0</v>
      </c>
      <c r="T161">
        <f t="shared" si="39"/>
        <v>156</v>
      </c>
      <c r="U161" t="str">
        <f>IF($A161="","",IF($A161=经营数据!$B$3,COUNTIFS($S$2:$S$3000,1,$A$2:$A$3000,$A161,$T$2:$T$3000,"&lt;"&amp;$T161)+1,""))</f>
        <v/>
      </c>
      <c r="V161" t="str">
        <f t="shared" si="40"/>
        <v>成都大悦城|服务量</v>
      </c>
      <c r="W161">
        <f t="shared" si="41"/>
        <v>156</v>
      </c>
      <c r="X161" t="str">
        <f t="shared" si="42"/>
        <v>成都大悦城|期末可供出租面积</v>
      </c>
      <c r="Y161">
        <f t="shared" si="43"/>
        <v>160</v>
      </c>
      <c r="Z161">
        <f>IF($A161="",0,IF(AND($M161=1,$A161=经营数据!$B$3,$J161=经营数据!$BA$5,OR($I161=经营数据!$BA$4,COUNTIF(经营数据!$AA$9:$AA$38,$I161)&gt;0)),1,0))</f>
        <v>0</v>
      </c>
      <c r="AA161" t="str">
        <f t="shared" si="44"/>
        <v/>
      </c>
      <c r="AB161" t="str">
        <f t="shared" si="45"/>
        <v/>
      </c>
      <c r="AC161">
        <f>IF($A161="",0,IF(COUNTIF($A$2:$A161,$A161)=1,1,0))</f>
        <v>0</v>
      </c>
      <c r="AD161">
        <f t="shared" si="46"/>
        <v>3</v>
      </c>
      <c r="AE161" t="str">
        <f t="shared" si="47"/>
        <v>成都大悦城|期末可供出租面积（平方米）</v>
      </c>
      <c r="BA161" t="s">
        <v>5483</v>
      </c>
      <c r="BB161" t="s">
        <v>5484</v>
      </c>
      <c r="BP161" s="47">
        <v>45603</v>
      </c>
      <c r="BQ161" s="29">
        <v>5.2744270175497938E-2</v>
      </c>
    </row>
    <row r="162" spans="1:69" x14ac:dyDescent="0.4">
      <c r="A162" t="str">
        <f>IF(原始经营数据!$D163="","",原始经营数据!$D163)</f>
        <v>华夏大悦城购物中心封闭式基础设施证券投资基金</v>
      </c>
      <c r="B162" t="str">
        <f>IF(原始经营数据!$D163="","",T(原始经营数据!$E163))</f>
        <v>成都大悦城</v>
      </c>
      <c r="C162" t="str">
        <f>IF(原始经营数据!$D163="","",原始经营数据!$F163)</f>
        <v>2024Q3(0903-0930)</v>
      </c>
      <c r="D162" t="str">
        <f>IF(原始经营数据!$D163="","",原始经营数据!$H163)</f>
        <v>期末租金收缴率</v>
      </c>
      <c r="E162">
        <f>IF(原始经营数据!$D163="","",原始经营数据!$I163)</f>
        <v>99.62</v>
      </c>
      <c r="F162" t="str">
        <f>IF(原始经营数据!$D163="","",T(原始经营数据!$J163))</f>
        <v>%</v>
      </c>
      <c r="G162" t="str">
        <f>IF(原始经营数据!$D163="","",T(原始经营数据!$K163))</f>
        <v/>
      </c>
      <c r="H162" t="str">
        <f>IF(原始经营数据!$D163="","",原始经营数据!$G163)</f>
        <v>服务效率</v>
      </c>
      <c r="I162" t="str">
        <f>IF($A162="","",IF($B162&lt;&gt;"",$B162,IF(COUNTIFS(原始经营数据!$D$3:$D$3001,$A162,原始经营数据!$E$3:$E$3001,"",原始经营数据!$F$3:$F$3001,$C162,原始经营数据!$H$3:$H$3001,$D162,原始经营数据!$K$3:$K$3001,$G162)&gt;1,"基金整体·来源"&amp;原始经营数据!$A163,"基金整体")))</f>
        <v>成都大悦城</v>
      </c>
      <c r="J162" t="str">
        <f t="shared" si="33"/>
        <v>其他期间</v>
      </c>
      <c r="K162" t="str">
        <f t="shared" si="34"/>
        <v>期末租金收缴率（%）</v>
      </c>
      <c r="L162" t="str">
        <f t="shared" si="35"/>
        <v>成都大悦城|期末租金收缴率（%）|其他期间</v>
      </c>
      <c r="M162">
        <f>IF($A162="",0,IF(COUNTIF($L$2:$L162,$L162)=1,1,0))</f>
        <v>1</v>
      </c>
      <c r="N162">
        <f t="shared" si="36"/>
        <v>20249</v>
      </c>
      <c r="O162" t="str">
        <f t="shared" si="37"/>
        <v>华夏大悦城购物中心封闭式基础设施证券投资基金|2024Q3(0903-0930)|其他期间</v>
      </c>
      <c r="P162">
        <f>IF($A162="",0,IF(COUNTIF($O$2:$O162,$O162)=1,1,0))</f>
        <v>0</v>
      </c>
      <c r="Q162" t="str">
        <f>IF(AND($P162=1,$A162=经营数据!$B$3,$J162=经营数据!$BA$5),COUNTIFS($P$2:$P$3000,1,$A$2:$A$3000,$A162,$J$2:$J$3000,$J162,$N$2:$N$3000,"&lt;"&amp;$N162)+1,"")</f>
        <v/>
      </c>
      <c r="R162" t="str">
        <f t="shared" si="38"/>
        <v>华夏大悦城购物中心封闭式基础设施证券投资基金|成都大悦城</v>
      </c>
      <c r="S162">
        <f>IF($A162="",0,IF(COUNTIF($R$2:$R162,$R162)=1,1,0))</f>
        <v>0</v>
      </c>
      <c r="T162">
        <f t="shared" si="39"/>
        <v>156</v>
      </c>
      <c r="U162" t="str">
        <f>IF($A162="","",IF($A162=经营数据!$B$3,COUNTIFS($S$2:$S$3000,1,$A$2:$A$3000,$A162,$T$2:$T$3000,"&lt;"&amp;$T162)+1,""))</f>
        <v/>
      </c>
      <c r="V162" t="str">
        <f t="shared" si="40"/>
        <v>成都大悦城|服务效率</v>
      </c>
      <c r="W162">
        <f t="shared" si="41"/>
        <v>158</v>
      </c>
      <c r="X162" t="str">
        <f t="shared" si="42"/>
        <v>成都大悦城|期末租金收缴率</v>
      </c>
      <c r="Y162">
        <f t="shared" si="43"/>
        <v>161</v>
      </c>
      <c r="Z162">
        <f>IF($A162="",0,IF(AND($M162=1,$A162=经营数据!$B$3,$J162=经营数据!$BA$5,OR($I162=经营数据!$BA$4,COUNTIF(经营数据!$AA$9:$AA$38,$I162)&gt;0)),1,0))</f>
        <v>0</v>
      </c>
      <c r="AA162" t="str">
        <f t="shared" si="44"/>
        <v/>
      </c>
      <c r="AB162" t="str">
        <f t="shared" si="45"/>
        <v/>
      </c>
      <c r="AC162">
        <f>IF($A162="",0,IF(COUNTIF($A$2:$A162,$A162)=1,1,0))</f>
        <v>0</v>
      </c>
      <c r="AD162">
        <f t="shared" si="46"/>
        <v>3</v>
      </c>
      <c r="AE162" t="str">
        <f t="shared" si="47"/>
        <v>成都大悦城|期末租金收缴率（%）</v>
      </c>
      <c r="BA162" t="s">
        <v>5485</v>
      </c>
      <c r="BB162" t="s">
        <v>5486</v>
      </c>
      <c r="BP162" s="47">
        <v>45604</v>
      </c>
      <c r="BQ162" s="29">
        <v>5.2694873664722808E-2</v>
      </c>
    </row>
    <row r="163" spans="1:69" x14ac:dyDescent="0.4">
      <c r="A163" t="str">
        <f>IF(原始经营数据!$D164="","",原始经营数据!$D164)</f>
        <v>华夏大悦城购物中心封闭式基础设施证券投资基金</v>
      </c>
      <c r="B163" t="str">
        <f>IF(原始经营数据!$D164="","",T(原始经营数据!$E164))</f>
        <v>成都大悦城</v>
      </c>
      <c r="C163" t="str">
        <f>IF(原始经营数据!$D164="","",原始经营数据!$F164)</f>
        <v>2024Q4</v>
      </c>
      <c r="D163" t="str">
        <f>IF(原始经营数据!$D164="","",原始经营数据!$H164)</f>
        <v>期末租金收缴率</v>
      </c>
      <c r="E163">
        <f>IF(原始经营数据!$D164="","",原始经营数据!$I164)</f>
        <v>99.97</v>
      </c>
      <c r="F163" t="str">
        <f>IF(原始经营数据!$D164="","",T(原始经营数据!$J164))</f>
        <v>%</v>
      </c>
      <c r="G163" t="str">
        <f>IF(原始经营数据!$D164="","",T(原始经营数据!$K164))</f>
        <v/>
      </c>
      <c r="H163" t="str">
        <f>IF(原始经营数据!$D164="","",原始经营数据!$G164)</f>
        <v>服务效率</v>
      </c>
      <c r="I163" t="str">
        <f>IF($A163="","",IF($B163&lt;&gt;"",$B163,IF(COUNTIFS(原始经营数据!$D$3:$D$3001,$A163,原始经营数据!$E$3:$E$3001,"",原始经营数据!$F$3:$F$3001,$C163,原始经营数据!$H$3:$H$3001,$D163,原始经营数据!$K$3:$K$3001,$G163)&gt;1,"基金整体·来源"&amp;原始经营数据!$A164,"基金整体")))</f>
        <v>成都大悦城</v>
      </c>
      <c r="J163" t="str">
        <f t="shared" si="33"/>
        <v>季度</v>
      </c>
      <c r="K163" t="str">
        <f t="shared" si="34"/>
        <v>期末租金收缴率（%）</v>
      </c>
      <c r="L163" t="str">
        <f t="shared" si="35"/>
        <v>成都大悦城|期末租金收缴率（%）|季度</v>
      </c>
      <c r="M163">
        <f>IF($A163="",0,IF(COUNTIF($L$2:$L163,$L163)=1,1,0))</f>
        <v>1</v>
      </c>
      <c r="N163">
        <f t="shared" si="36"/>
        <v>20244</v>
      </c>
      <c r="O163" t="str">
        <f t="shared" si="37"/>
        <v>华夏大悦城购物中心封闭式基础设施证券投资基金|2024Q4|季度</v>
      </c>
      <c r="P163">
        <f>IF($A163="",0,IF(COUNTIF($O$2:$O163,$O163)=1,1,0))</f>
        <v>1</v>
      </c>
      <c r="Q163" t="str">
        <f>IF(AND($P163=1,$A163=经营数据!$B$3,$J163=经营数据!$BA$5),COUNTIFS($P$2:$P$3000,1,$A$2:$A$3000,$A163,$J$2:$J$3000,$J163,$N$2:$N$3000,"&lt;"&amp;$N163)+1,"")</f>
        <v/>
      </c>
      <c r="R163" t="str">
        <f t="shared" si="38"/>
        <v>华夏大悦城购物中心封闭式基础设施证券投资基金|成都大悦城</v>
      </c>
      <c r="S163">
        <f>IF($A163="",0,IF(COUNTIF($R$2:$R163,$R163)=1,1,0))</f>
        <v>0</v>
      </c>
      <c r="T163">
        <f t="shared" si="39"/>
        <v>156</v>
      </c>
      <c r="U163" t="str">
        <f>IF($A163="","",IF($A163=经营数据!$B$3,COUNTIFS($S$2:$S$3000,1,$A$2:$A$3000,$A163,$T$2:$T$3000,"&lt;"&amp;$T163)+1,""))</f>
        <v/>
      </c>
      <c r="V163" t="str">
        <f t="shared" si="40"/>
        <v>成都大悦城|服务效率</v>
      </c>
      <c r="W163">
        <f t="shared" si="41"/>
        <v>158</v>
      </c>
      <c r="X163" t="str">
        <f t="shared" si="42"/>
        <v>成都大悦城|期末租金收缴率</v>
      </c>
      <c r="Y163">
        <f t="shared" si="43"/>
        <v>161</v>
      </c>
      <c r="Z163">
        <f>IF($A163="",0,IF(AND($M163=1,$A163=经营数据!$B$3,$J163=经营数据!$BA$5,OR($I163=经营数据!$BA$4,COUNTIF(经营数据!$AA$9:$AA$38,$I163)&gt;0)),1,0))</f>
        <v>0</v>
      </c>
      <c r="AA163" t="str">
        <f t="shared" si="44"/>
        <v/>
      </c>
      <c r="AB163" t="str">
        <f t="shared" si="45"/>
        <v/>
      </c>
      <c r="AC163">
        <f>IF($A163="",0,IF(COUNTIF($A$2:$A163,$A163)=1,1,0))</f>
        <v>0</v>
      </c>
      <c r="AD163">
        <f t="shared" si="46"/>
        <v>3</v>
      </c>
      <c r="AE163" t="str">
        <f t="shared" si="47"/>
        <v>成都大悦城|期末租金收缴率（%）</v>
      </c>
      <c r="BA163" t="s">
        <v>5487</v>
      </c>
      <c r="BB163" t="s">
        <v>5488</v>
      </c>
      <c r="BP163" s="47">
        <v>45607</v>
      </c>
      <c r="BQ163" s="29">
        <v>5.2667414646138111E-2</v>
      </c>
    </row>
    <row r="164" spans="1:69" x14ac:dyDescent="0.4">
      <c r="A164" t="str">
        <f>IF(原始经营数据!$D165="","",原始经营数据!$D165)</f>
        <v>华夏大悦城购物中心封闭式基础设施证券投资基金</v>
      </c>
      <c r="B164" t="str">
        <f>IF(原始经营数据!$D165="","",T(原始经营数据!$E165))</f>
        <v>成都大悦城</v>
      </c>
      <c r="C164" t="str">
        <f>IF(原始经营数据!$D165="","",原始经营数据!$F165)</f>
        <v>2024Q4</v>
      </c>
      <c r="D164" t="str">
        <f>IF(原始经营数据!$D165="","",原始经营数据!$H165)</f>
        <v>期内租金单价水平</v>
      </c>
      <c r="E164">
        <f>IF(原始经营数据!$D165="","",原始经营数据!$I165)</f>
        <v>363.83</v>
      </c>
      <c r="F164" t="str">
        <f>IF(原始经营数据!$D165="","",T(原始经营数据!$J165))</f>
        <v>元/平方米/月</v>
      </c>
      <c r="G164" t="str">
        <f>IF(原始经营数据!$D165="","",T(原始经营数据!$K165))</f>
        <v/>
      </c>
      <c r="H164" t="str">
        <f>IF(原始经营数据!$D165="","",原始经营数据!$G165)</f>
        <v>服务价格</v>
      </c>
      <c r="I164" t="str">
        <f>IF($A164="","",IF($B164&lt;&gt;"",$B164,IF(COUNTIFS(原始经营数据!$D$3:$D$3001,$A164,原始经营数据!$E$3:$E$3001,"",原始经营数据!$F$3:$F$3001,$C164,原始经营数据!$H$3:$H$3001,$D164,原始经营数据!$K$3:$K$3001,$G164)&gt;1,"基金整体·来源"&amp;原始经营数据!$A165,"基金整体")))</f>
        <v>成都大悦城</v>
      </c>
      <c r="J164" t="str">
        <f t="shared" si="33"/>
        <v>季度</v>
      </c>
      <c r="K164" t="str">
        <f t="shared" si="34"/>
        <v>期内租金单价水平（元/平方米/月）</v>
      </c>
      <c r="L164" t="str">
        <f t="shared" si="35"/>
        <v>成都大悦城|期内租金单价水平（元/平方米/月）|季度</v>
      </c>
      <c r="M164">
        <f>IF($A164="",0,IF(COUNTIF($L$2:$L164,$L164)=1,1,0))</f>
        <v>1</v>
      </c>
      <c r="N164">
        <f t="shared" si="36"/>
        <v>20244</v>
      </c>
      <c r="O164" t="str">
        <f t="shared" si="37"/>
        <v>华夏大悦城购物中心封闭式基础设施证券投资基金|2024Q4|季度</v>
      </c>
      <c r="P164">
        <f>IF($A164="",0,IF(COUNTIF($O$2:$O164,$O164)=1,1,0))</f>
        <v>0</v>
      </c>
      <c r="Q164" t="str">
        <f>IF(AND($P164=1,$A164=经营数据!$B$3,$J164=经营数据!$BA$5),COUNTIFS($P$2:$P$3000,1,$A$2:$A$3000,$A164,$J$2:$J$3000,$J164,$N$2:$N$3000,"&lt;"&amp;$N164)+1,"")</f>
        <v/>
      </c>
      <c r="R164" t="str">
        <f t="shared" si="38"/>
        <v>华夏大悦城购物中心封闭式基础设施证券投资基金|成都大悦城</v>
      </c>
      <c r="S164">
        <f>IF($A164="",0,IF(COUNTIF($R$2:$R164,$R164)=1,1,0))</f>
        <v>0</v>
      </c>
      <c r="T164">
        <f t="shared" si="39"/>
        <v>156</v>
      </c>
      <c r="U164" t="str">
        <f>IF($A164="","",IF($A164=经营数据!$B$3,COUNTIFS($S$2:$S$3000,1,$A$2:$A$3000,$A164,$T$2:$T$3000,"&lt;"&amp;$T164)+1,""))</f>
        <v/>
      </c>
      <c r="V164" t="str">
        <f t="shared" si="40"/>
        <v>成都大悦城|服务价格</v>
      </c>
      <c r="W164">
        <f t="shared" si="41"/>
        <v>157</v>
      </c>
      <c r="X164" t="str">
        <f t="shared" si="42"/>
        <v>成都大悦城|期内租金单价水平</v>
      </c>
      <c r="Y164">
        <f t="shared" si="43"/>
        <v>157</v>
      </c>
      <c r="Z164">
        <f>IF($A164="",0,IF(AND($M164=1,$A164=经营数据!$B$3,$J164=经营数据!$BA$5,OR($I164=经营数据!$BA$4,COUNTIF(经营数据!$AA$9:$AA$38,$I164)&gt;0)),1,0))</f>
        <v>0</v>
      </c>
      <c r="AA164" t="str">
        <f t="shared" si="44"/>
        <v/>
      </c>
      <c r="AB164" t="str">
        <f t="shared" si="45"/>
        <v/>
      </c>
      <c r="AC164">
        <f>IF($A164="",0,IF(COUNTIF($A$2:$A164,$A164)=1,1,0))</f>
        <v>0</v>
      </c>
      <c r="AD164">
        <f t="shared" si="46"/>
        <v>3</v>
      </c>
      <c r="AE164" t="str">
        <f t="shared" si="47"/>
        <v>成都大悦城|期内租金单价水平（元/平方米/月）</v>
      </c>
      <c r="BA164" t="s">
        <v>5489</v>
      </c>
      <c r="BB164" t="s">
        <v>5490</v>
      </c>
      <c r="BP164" s="47">
        <v>45608</v>
      </c>
      <c r="BQ164" s="29">
        <v>5.2692838681476763E-2</v>
      </c>
    </row>
    <row r="165" spans="1:69" x14ac:dyDescent="0.4">
      <c r="A165" t="str">
        <f>IF(原始经营数据!$D166="","",原始经营数据!$D166)</f>
        <v>华夏大悦城购物中心封闭式基础设施证券投资基金</v>
      </c>
      <c r="B165" t="str">
        <f>IF(原始经营数据!$D166="","",T(原始经营数据!$E166))</f>
        <v>成都大悦城</v>
      </c>
      <c r="C165" t="str">
        <f>IF(原始经营数据!$D166="","",原始经营数据!$F166)</f>
        <v>2024Q4</v>
      </c>
      <c r="D165" t="str">
        <f>IF(原始经营数据!$D166="","",原始经营数据!$H166)</f>
        <v>期末可供出租面积</v>
      </c>
      <c r="E165">
        <f>IF(原始经营数据!$D166="","",原始经营数据!$I166)</f>
        <v>85114.71</v>
      </c>
      <c r="F165" t="str">
        <f>IF(原始经营数据!$D166="","",T(原始经营数据!$J166))</f>
        <v>平方米</v>
      </c>
      <c r="G165" t="str">
        <f>IF(原始经营数据!$D166="","",T(原始经营数据!$K166))</f>
        <v/>
      </c>
      <c r="H165" t="str">
        <f>IF(原始经营数据!$D166="","",原始经营数据!$G166)</f>
        <v>服务量</v>
      </c>
      <c r="I165" t="str">
        <f>IF($A165="","",IF($B165&lt;&gt;"",$B165,IF(COUNTIFS(原始经营数据!$D$3:$D$3001,$A165,原始经营数据!$E$3:$E$3001,"",原始经营数据!$F$3:$F$3001,$C165,原始经营数据!$H$3:$H$3001,$D165,原始经营数据!$K$3:$K$3001,$G165)&gt;1,"基金整体·来源"&amp;原始经营数据!$A166,"基金整体")))</f>
        <v>成都大悦城</v>
      </c>
      <c r="J165" t="str">
        <f t="shared" si="33"/>
        <v>季度</v>
      </c>
      <c r="K165" t="str">
        <f t="shared" si="34"/>
        <v>期末可供出租面积（平方米）</v>
      </c>
      <c r="L165" t="str">
        <f t="shared" si="35"/>
        <v>成都大悦城|期末可供出租面积（平方米）|季度</v>
      </c>
      <c r="M165">
        <f>IF($A165="",0,IF(COUNTIF($L$2:$L165,$L165)=1,1,0))</f>
        <v>1</v>
      </c>
      <c r="N165">
        <f t="shared" si="36"/>
        <v>20244</v>
      </c>
      <c r="O165" t="str">
        <f t="shared" si="37"/>
        <v>华夏大悦城购物中心封闭式基础设施证券投资基金|2024Q4|季度</v>
      </c>
      <c r="P165">
        <f>IF($A165="",0,IF(COUNTIF($O$2:$O165,$O165)=1,1,0))</f>
        <v>0</v>
      </c>
      <c r="Q165" t="str">
        <f>IF(AND($P165=1,$A165=经营数据!$B$3,$J165=经营数据!$BA$5),COUNTIFS($P$2:$P$3000,1,$A$2:$A$3000,$A165,$J$2:$J$3000,$J165,$N$2:$N$3000,"&lt;"&amp;$N165)+1,"")</f>
        <v/>
      </c>
      <c r="R165" t="str">
        <f t="shared" si="38"/>
        <v>华夏大悦城购物中心封闭式基础设施证券投资基金|成都大悦城</v>
      </c>
      <c r="S165">
        <f>IF($A165="",0,IF(COUNTIF($R$2:$R165,$R165)=1,1,0))</f>
        <v>0</v>
      </c>
      <c r="T165">
        <f t="shared" si="39"/>
        <v>156</v>
      </c>
      <c r="U165" t="str">
        <f>IF($A165="","",IF($A165=经营数据!$B$3,COUNTIFS($S$2:$S$3000,1,$A$2:$A$3000,$A165,$T$2:$T$3000,"&lt;"&amp;$T165)+1,""))</f>
        <v/>
      </c>
      <c r="V165" t="str">
        <f t="shared" si="40"/>
        <v>成都大悦城|服务量</v>
      </c>
      <c r="W165">
        <f t="shared" si="41"/>
        <v>156</v>
      </c>
      <c r="X165" t="str">
        <f t="shared" si="42"/>
        <v>成都大悦城|期末可供出租面积</v>
      </c>
      <c r="Y165">
        <f t="shared" si="43"/>
        <v>160</v>
      </c>
      <c r="Z165">
        <f>IF($A165="",0,IF(AND($M165=1,$A165=经营数据!$B$3,$J165=经营数据!$BA$5,OR($I165=经营数据!$BA$4,COUNTIF(经营数据!$AA$9:$AA$38,$I165)&gt;0)),1,0))</f>
        <v>0</v>
      </c>
      <c r="AA165" t="str">
        <f t="shared" si="44"/>
        <v/>
      </c>
      <c r="AB165" t="str">
        <f t="shared" si="45"/>
        <v/>
      </c>
      <c r="AC165">
        <f>IF($A165="",0,IF(COUNTIF($A$2:$A165,$A165)=1,1,0))</f>
        <v>0</v>
      </c>
      <c r="AD165">
        <f t="shared" si="46"/>
        <v>3</v>
      </c>
      <c r="AE165" t="str">
        <f t="shared" si="47"/>
        <v>成都大悦城|期末可供出租面积（平方米）</v>
      </c>
      <c r="BA165" t="s">
        <v>5491</v>
      </c>
      <c r="BB165" t="s">
        <v>5492</v>
      </c>
      <c r="BP165" s="47">
        <v>45609</v>
      </c>
      <c r="BQ165" s="29">
        <v>5.2821350337281997E-2</v>
      </c>
    </row>
    <row r="166" spans="1:69" x14ac:dyDescent="0.4">
      <c r="A166" t="str">
        <f>IF(原始经营数据!$D167="","",原始经营数据!$D167)</f>
        <v>华夏大悦城购物中心封闭式基础设施证券投资基金</v>
      </c>
      <c r="B166" t="str">
        <f>IF(原始经营数据!$D167="","",T(原始经营数据!$E167))</f>
        <v>成都大悦城</v>
      </c>
      <c r="C166" t="str">
        <f>IF(原始经营数据!$D167="","",原始经营数据!$F167)</f>
        <v>2024Q4</v>
      </c>
      <c r="D166" t="str">
        <f>IF(原始经营数据!$D167="","",原始经营数据!$H167)</f>
        <v>期末实际出租面积</v>
      </c>
      <c r="E166">
        <f>IF(原始经营数据!$D167="","",原始经营数据!$I167)</f>
        <v>83501.509999999995</v>
      </c>
      <c r="F166" t="str">
        <f>IF(原始经营数据!$D167="","",T(原始经营数据!$J167))</f>
        <v>平方米</v>
      </c>
      <c r="G166" t="str">
        <f>IF(原始经营数据!$D167="","",T(原始经营数据!$K167))</f>
        <v/>
      </c>
      <c r="H166" t="str">
        <f>IF(原始经营数据!$D167="","",原始经营数据!$G167)</f>
        <v>服务量</v>
      </c>
      <c r="I166" t="str">
        <f>IF($A166="","",IF($B166&lt;&gt;"",$B166,IF(COUNTIFS(原始经营数据!$D$3:$D$3001,$A166,原始经营数据!$E$3:$E$3001,"",原始经营数据!$F$3:$F$3001,$C166,原始经营数据!$H$3:$H$3001,$D166,原始经营数据!$K$3:$K$3001,$G166)&gt;1,"基金整体·来源"&amp;原始经营数据!$A167,"基金整体")))</f>
        <v>成都大悦城</v>
      </c>
      <c r="J166" t="str">
        <f t="shared" si="33"/>
        <v>季度</v>
      </c>
      <c r="K166" t="str">
        <f t="shared" si="34"/>
        <v>期末实际出租面积（平方米）</v>
      </c>
      <c r="L166" t="str">
        <f t="shared" si="35"/>
        <v>成都大悦城|期末实际出租面积（平方米）|季度</v>
      </c>
      <c r="M166">
        <f>IF($A166="",0,IF(COUNTIF($L$2:$L166,$L166)=1,1,0))</f>
        <v>1</v>
      </c>
      <c r="N166">
        <f t="shared" si="36"/>
        <v>20244</v>
      </c>
      <c r="O166" t="str">
        <f t="shared" si="37"/>
        <v>华夏大悦城购物中心封闭式基础设施证券投资基金|2024Q4|季度</v>
      </c>
      <c r="P166">
        <f>IF($A166="",0,IF(COUNTIF($O$2:$O166,$O166)=1,1,0))</f>
        <v>0</v>
      </c>
      <c r="Q166" t="str">
        <f>IF(AND($P166=1,$A166=经营数据!$B$3,$J166=经营数据!$BA$5),COUNTIFS($P$2:$P$3000,1,$A$2:$A$3000,$A166,$J$2:$J$3000,$J166,$N$2:$N$3000,"&lt;"&amp;$N166)+1,"")</f>
        <v/>
      </c>
      <c r="R166" t="str">
        <f t="shared" si="38"/>
        <v>华夏大悦城购物中心封闭式基础设施证券投资基金|成都大悦城</v>
      </c>
      <c r="S166">
        <f>IF($A166="",0,IF(COUNTIF($R$2:$R166,$R166)=1,1,0))</f>
        <v>0</v>
      </c>
      <c r="T166">
        <f t="shared" si="39"/>
        <v>156</v>
      </c>
      <c r="U166" t="str">
        <f>IF($A166="","",IF($A166=经营数据!$B$3,COUNTIFS($S$2:$S$3000,1,$A$2:$A$3000,$A166,$T$2:$T$3000,"&lt;"&amp;$T166)+1,""))</f>
        <v/>
      </c>
      <c r="V166" t="str">
        <f t="shared" si="40"/>
        <v>成都大悦城|服务量</v>
      </c>
      <c r="W166">
        <f t="shared" si="41"/>
        <v>156</v>
      </c>
      <c r="X166" t="str">
        <f t="shared" si="42"/>
        <v>成都大悦城|期末实际出租面积</v>
      </c>
      <c r="Y166">
        <f t="shared" si="43"/>
        <v>159</v>
      </c>
      <c r="Z166">
        <f>IF($A166="",0,IF(AND($M166=1,$A166=经营数据!$B$3,$J166=经营数据!$BA$5,OR($I166=经营数据!$BA$4,COUNTIF(经营数据!$AA$9:$AA$38,$I166)&gt;0)),1,0))</f>
        <v>0</v>
      </c>
      <c r="AA166" t="str">
        <f t="shared" si="44"/>
        <v/>
      </c>
      <c r="AB166" t="str">
        <f t="shared" si="45"/>
        <v/>
      </c>
      <c r="AC166">
        <f>IF($A166="",0,IF(COUNTIF($A$2:$A166,$A166)=1,1,0))</f>
        <v>0</v>
      </c>
      <c r="AD166">
        <f t="shared" si="46"/>
        <v>3</v>
      </c>
      <c r="AE166" t="str">
        <f t="shared" si="47"/>
        <v>成都大悦城|期末实际出租面积（平方米）</v>
      </c>
      <c r="BA166" t="s">
        <v>5493</v>
      </c>
      <c r="BB166" t="s">
        <v>5494</v>
      </c>
      <c r="BP166" s="47">
        <v>45610</v>
      </c>
      <c r="BQ166" s="29">
        <v>5.2916093938879777E-2</v>
      </c>
    </row>
    <row r="167" spans="1:69" x14ac:dyDescent="0.4">
      <c r="A167" t="str">
        <f>IF(原始经营数据!$D168="","",原始经营数据!$D168)</f>
        <v>华夏大悦城购物中心封闭式基础设施证券投资基金</v>
      </c>
      <c r="B167" t="str">
        <f>IF(原始经营数据!$D168="","",T(原始经营数据!$E168))</f>
        <v>成都大悦城</v>
      </c>
      <c r="C167" t="str">
        <f>IF(原始经营数据!$D168="","",原始经营数据!$F168)</f>
        <v>2024Q4</v>
      </c>
      <c r="D167" t="str">
        <f>IF(原始经营数据!$D168="","",原始经营数据!$H168)</f>
        <v>期末出租率</v>
      </c>
      <c r="E167">
        <f>IF(原始经营数据!$D168="","",原始经营数据!$I168)</f>
        <v>98.1</v>
      </c>
      <c r="F167" t="str">
        <f>IF(原始经营数据!$D168="","",T(原始经营数据!$J168))</f>
        <v>%</v>
      </c>
      <c r="G167" t="str">
        <f>IF(原始经营数据!$D168="","",T(原始经营数据!$K168))</f>
        <v/>
      </c>
      <c r="H167" t="str">
        <f>IF(原始经营数据!$D168="","",原始经营数据!$G168)</f>
        <v>服务效率</v>
      </c>
      <c r="I167" t="str">
        <f>IF($A167="","",IF($B167&lt;&gt;"",$B167,IF(COUNTIFS(原始经营数据!$D$3:$D$3001,$A167,原始经营数据!$E$3:$E$3001,"",原始经营数据!$F$3:$F$3001,$C167,原始经营数据!$H$3:$H$3001,$D167,原始经营数据!$K$3:$K$3001,$G167)&gt;1,"基金整体·来源"&amp;原始经营数据!$A168,"基金整体")))</f>
        <v>成都大悦城</v>
      </c>
      <c r="J167" t="str">
        <f t="shared" si="33"/>
        <v>季度</v>
      </c>
      <c r="K167" t="str">
        <f t="shared" si="34"/>
        <v>期末出租率（%）</v>
      </c>
      <c r="L167" t="str">
        <f t="shared" si="35"/>
        <v>成都大悦城|期末出租率（%）|季度</v>
      </c>
      <c r="M167">
        <f>IF($A167="",0,IF(COUNTIF($L$2:$L167,$L167)=1,1,0))</f>
        <v>1</v>
      </c>
      <c r="N167">
        <f t="shared" si="36"/>
        <v>20244</v>
      </c>
      <c r="O167" t="str">
        <f t="shared" si="37"/>
        <v>华夏大悦城购物中心封闭式基础设施证券投资基金|2024Q4|季度</v>
      </c>
      <c r="P167">
        <f>IF($A167="",0,IF(COUNTIF($O$2:$O167,$O167)=1,1,0))</f>
        <v>0</v>
      </c>
      <c r="Q167" t="str">
        <f>IF(AND($P167=1,$A167=经营数据!$B$3,$J167=经营数据!$BA$5),COUNTIFS($P$2:$P$3000,1,$A$2:$A$3000,$A167,$J$2:$J$3000,$J167,$N$2:$N$3000,"&lt;"&amp;$N167)+1,"")</f>
        <v/>
      </c>
      <c r="R167" t="str">
        <f t="shared" si="38"/>
        <v>华夏大悦城购物中心封闭式基础设施证券投资基金|成都大悦城</v>
      </c>
      <c r="S167">
        <f>IF($A167="",0,IF(COUNTIF($R$2:$R167,$R167)=1,1,0))</f>
        <v>0</v>
      </c>
      <c r="T167">
        <f t="shared" si="39"/>
        <v>156</v>
      </c>
      <c r="U167" t="str">
        <f>IF($A167="","",IF($A167=经营数据!$B$3,COUNTIFS($S$2:$S$3000,1,$A$2:$A$3000,$A167,$T$2:$T$3000,"&lt;"&amp;$T167)+1,""))</f>
        <v/>
      </c>
      <c r="V167" t="str">
        <f t="shared" si="40"/>
        <v>成都大悦城|服务效率</v>
      </c>
      <c r="W167">
        <f t="shared" si="41"/>
        <v>158</v>
      </c>
      <c r="X167" t="str">
        <f t="shared" si="42"/>
        <v>成都大悦城|期末出租率</v>
      </c>
      <c r="Y167">
        <f t="shared" si="43"/>
        <v>158</v>
      </c>
      <c r="Z167">
        <f>IF($A167="",0,IF(AND($M167=1,$A167=经营数据!$B$3,$J167=经营数据!$BA$5,OR($I167=经营数据!$BA$4,COUNTIF(经营数据!$AA$9:$AA$38,$I167)&gt;0)),1,0))</f>
        <v>0</v>
      </c>
      <c r="AA167" t="str">
        <f t="shared" si="44"/>
        <v/>
      </c>
      <c r="AB167" t="str">
        <f t="shared" si="45"/>
        <v/>
      </c>
      <c r="AC167">
        <f>IF($A167="",0,IF(COUNTIF($A$2:$A167,$A167)=1,1,0))</f>
        <v>0</v>
      </c>
      <c r="AD167">
        <f t="shared" si="46"/>
        <v>3</v>
      </c>
      <c r="AE167" t="str">
        <f t="shared" si="47"/>
        <v>成都大悦城|期末出租率（%）</v>
      </c>
      <c r="BA167" t="s">
        <v>5495</v>
      </c>
      <c r="BB167" t="s">
        <v>5496</v>
      </c>
      <c r="BP167" s="47">
        <v>45611</v>
      </c>
      <c r="BQ167" s="29">
        <v>5.2770278701196993E-2</v>
      </c>
    </row>
    <row r="168" spans="1:69" x14ac:dyDescent="0.4">
      <c r="A168" t="str">
        <f>IF(原始经营数据!$D169="","",原始经营数据!$D169)</f>
        <v>华夏大悦城购物中心封闭式基础设施证券投资基金</v>
      </c>
      <c r="B168" t="str">
        <f>IF(原始经营数据!$D169="","",T(原始经营数据!$E169))</f>
        <v>成都大悦城</v>
      </c>
      <c r="C168" t="str">
        <f>IF(原始经营数据!$D169="","",原始经营数据!$F169)</f>
        <v>2024Q4</v>
      </c>
      <c r="D168" t="str">
        <f>IF(原始经营数据!$D169="","",原始经营数据!$H169)</f>
        <v>期末剩余租期</v>
      </c>
      <c r="E168">
        <f>IF(原始经营数据!$D169="","",原始经营数据!$I169)</f>
        <v>3.43</v>
      </c>
      <c r="F168" t="str">
        <f>IF(原始经营数据!$D169="","",T(原始经营数据!$J169))</f>
        <v>年</v>
      </c>
      <c r="G168" t="str">
        <f>IF(原始经营数据!$D169="","",T(原始经营数据!$K169))</f>
        <v/>
      </c>
      <c r="H168" t="str">
        <f>IF(原始经营数据!$D169="","",原始经营数据!$G169)</f>
        <v>服务量</v>
      </c>
      <c r="I168" t="str">
        <f>IF($A168="","",IF($B168&lt;&gt;"",$B168,IF(COUNTIFS(原始经营数据!$D$3:$D$3001,$A168,原始经营数据!$E$3:$E$3001,"",原始经营数据!$F$3:$F$3001,$C168,原始经营数据!$H$3:$H$3001,$D168,原始经营数据!$K$3:$K$3001,$G168)&gt;1,"基金整体·来源"&amp;原始经营数据!$A169,"基金整体")))</f>
        <v>成都大悦城</v>
      </c>
      <c r="J168" t="str">
        <f t="shared" si="33"/>
        <v>季度</v>
      </c>
      <c r="K168" t="str">
        <f t="shared" si="34"/>
        <v>期末剩余租期（年）</v>
      </c>
      <c r="L168" t="str">
        <f t="shared" si="35"/>
        <v>成都大悦城|期末剩余租期（年）|季度</v>
      </c>
      <c r="M168">
        <f>IF($A168="",0,IF(COUNTIF($L$2:$L168,$L168)=1,1,0))</f>
        <v>1</v>
      </c>
      <c r="N168">
        <f t="shared" si="36"/>
        <v>20244</v>
      </c>
      <c r="O168" t="str">
        <f t="shared" si="37"/>
        <v>华夏大悦城购物中心封闭式基础设施证券投资基金|2024Q4|季度</v>
      </c>
      <c r="P168">
        <f>IF($A168="",0,IF(COUNTIF($O$2:$O168,$O168)=1,1,0))</f>
        <v>0</v>
      </c>
      <c r="Q168" t="str">
        <f>IF(AND($P168=1,$A168=经营数据!$B$3,$J168=经营数据!$BA$5),COUNTIFS($P$2:$P$3000,1,$A$2:$A$3000,$A168,$J$2:$J$3000,$J168,$N$2:$N$3000,"&lt;"&amp;$N168)+1,"")</f>
        <v/>
      </c>
      <c r="R168" t="str">
        <f t="shared" si="38"/>
        <v>华夏大悦城购物中心封闭式基础设施证券投资基金|成都大悦城</v>
      </c>
      <c r="S168">
        <f>IF($A168="",0,IF(COUNTIF($R$2:$R168,$R168)=1,1,0))</f>
        <v>0</v>
      </c>
      <c r="T168">
        <f t="shared" si="39"/>
        <v>156</v>
      </c>
      <c r="U168" t="str">
        <f>IF($A168="","",IF($A168=经营数据!$B$3,COUNTIFS($S$2:$S$3000,1,$A$2:$A$3000,$A168,$T$2:$T$3000,"&lt;"&amp;$T168)+1,""))</f>
        <v/>
      </c>
      <c r="V168" t="str">
        <f t="shared" si="40"/>
        <v>成都大悦城|服务量</v>
      </c>
      <c r="W168">
        <f t="shared" si="41"/>
        <v>156</v>
      </c>
      <c r="X168" t="str">
        <f t="shared" si="42"/>
        <v>成都大悦城|期末剩余租期</v>
      </c>
      <c r="Y168">
        <f t="shared" si="43"/>
        <v>156</v>
      </c>
      <c r="Z168">
        <f>IF($A168="",0,IF(AND($M168=1,$A168=经营数据!$B$3,$J168=经营数据!$BA$5,OR($I168=经营数据!$BA$4,COUNTIF(经营数据!$AA$9:$AA$38,$I168)&gt;0)),1,0))</f>
        <v>0</v>
      </c>
      <c r="AA168" t="str">
        <f t="shared" si="44"/>
        <v/>
      </c>
      <c r="AB168" t="str">
        <f t="shared" si="45"/>
        <v/>
      </c>
      <c r="AC168">
        <f>IF($A168="",0,IF(COUNTIF($A$2:$A168,$A168)=1,1,0))</f>
        <v>0</v>
      </c>
      <c r="AD168">
        <f t="shared" si="46"/>
        <v>3</v>
      </c>
      <c r="AE168" t="str">
        <f t="shared" si="47"/>
        <v>成都大悦城|期末剩余租期（年）</v>
      </c>
      <c r="BA168" t="s">
        <v>5497</v>
      </c>
      <c r="BB168" t="s">
        <v>5498</v>
      </c>
      <c r="BP168" s="47">
        <v>45614</v>
      </c>
      <c r="BQ168" s="29">
        <v>5.294586735882735E-2</v>
      </c>
    </row>
    <row r="169" spans="1:69" x14ac:dyDescent="0.4">
      <c r="A169" t="str">
        <f>IF(原始经营数据!$D170="","",原始经营数据!$D170)</f>
        <v>华夏大悦城购物中心封闭式基础设施证券投资基金</v>
      </c>
      <c r="B169" t="str">
        <f>IF(原始经营数据!$D170="","",T(原始经营数据!$E170))</f>
        <v>成都大悦城</v>
      </c>
      <c r="C169" t="str">
        <f>IF(原始经营数据!$D170="","",原始经营数据!$F170)</f>
        <v>2025Q1</v>
      </c>
      <c r="D169" t="str">
        <f>IF(原始经营数据!$D170="","",原始经营数据!$H170)</f>
        <v>期末可供出租面积</v>
      </c>
      <c r="E169">
        <f>IF(原始经营数据!$D170="","",原始经营数据!$I170)</f>
        <v>85114.71</v>
      </c>
      <c r="F169" t="str">
        <f>IF(原始经营数据!$D170="","",T(原始经营数据!$J170))</f>
        <v>平方米</v>
      </c>
      <c r="G169" t="str">
        <f>IF(原始经营数据!$D170="","",T(原始经营数据!$K170))</f>
        <v/>
      </c>
      <c r="H169" t="str">
        <f>IF(原始经营数据!$D170="","",原始经营数据!$G170)</f>
        <v>服务量</v>
      </c>
      <c r="I169" t="str">
        <f>IF($A169="","",IF($B169&lt;&gt;"",$B169,IF(COUNTIFS(原始经营数据!$D$3:$D$3001,$A169,原始经营数据!$E$3:$E$3001,"",原始经营数据!$F$3:$F$3001,$C169,原始经营数据!$H$3:$H$3001,$D169,原始经营数据!$K$3:$K$3001,$G169)&gt;1,"基金整体·来源"&amp;原始经营数据!$A170,"基金整体")))</f>
        <v>成都大悦城</v>
      </c>
      <c r="J169" t="str">
        <f t="shared" si="33"/>
        <v>季度</v>
      </c>
      <c r="K169" t="str">
        <f t="shared" si="34"/>
        <v>期末可供出租面积（平方米）</v>
      </c>
      <c r="L169" t="str">
        <f t="shared" si="35"/>
        <v>成都大悦城|期末可供出租面积（平方米）|季度</v>
      </c>
      <c r="M169">
        <f>IF($A169="",0,IF(COUNTIF($L$2:$L169,$L169)=1,1,0))</f>
        <v>0</v>
      </c>
      <c r="N169">
        <f t="shared" si="36"/>
        <v>20251</v>
      </c>
      <c r="O169" t="str">
        <f t="shared" si="37"/>
        <v>华夏大悦城购物中心封闭式基础设施证券投资基金|2025Q1|季度</v>
      </c>
      <c r="P169">
        <f>IF($A169="",0,IF(COUNTIF($O$2:$O169,$O169)=1,1,0))</f>
        <v>1</v>
      </c>
      <c r="Q169" t="str">
        <f>IF(AND($P169=1,$A169=经营数据!$B$3,$J169=经营数据!$BA$5),COUNTIFS($P$2:$P$3000,1,$A$2:$A$3000,$A169,$J$2:$J$3000,$J169,$N$2:$N$3000,"&lt;"&amp;$N169)+1,"")</f>
        <v/>
      </c>
      <c r="R169" t="str">
        <f t="shared" si="38"/>
        <v>华夏大悦城购物中心封闭式基础设施证券投资基金|成都大悦城</v>
      </c>
      <c r="S169">
        <f>IF($A169="",0,IF(COUNTIF($R$2:$R169,$R169)=1,1,0))</f>
        <v>0</v>
      </c>
      <c r="T169">
        <f t="shared" si="39"/>
        <v>156</v>
      </c>
      <c r="U169" t="str">
        <f>IF($A169="","",IF($A169=经营数据!$B$3,COUNTIFS($S$2:$S$3000,1,$A$2:$A$3000,$A169,$T$2:$T$3000,"&lt;"&amp;$T169)+1,""))</f>
        <v/>
      </c>
      <c r="V169" t="str">
        <f t="shared" si="40"/>
        <v>成都大悦城|服务量</v>
      </c>
      <c r="W169">
        <f t="shared" si="41"/>
        <v>156</v>
      </c>
      <c r="X169" t="str">
        <f t="shared" si="42"/>
        <v>成都大悦城|期末可供出租面积</v>
      </c>
      <c r="Y169">
        <f t="shared" si="43"/>
        <v>160</v>
      </c>
      <c r="Z169">
        <f>IF($A169="",0,IF(AND($M169=1,$A169=经营数据!$B$3,$J169=经营数据!$BA$5,OR($I169=经营数据!$BA$4,COUNTIF(经营数据!$AA$9:$AA$38,$I169)&gt;0)),1,0))</f>
        <v>0</v>
      </c>
      <c r="AA169" t="str">
        <f t="shared" si="44"/>
        <v/>
      </c>
      <c r="AB169" t="str">
        <f t="shared" si="45"/>
        <v/>
      </c>
      <c r="AC169">
        <f>IF($A169="",0,IF(COUNTIF($A$2:$A169,$A169)=1,1,0))</f>
        <v>0</v>
      </c>
      <c r="AD169">
        <f t="shared" si="46"/>
        <v>3</v>
      </c>
      <c r="AE169" t="str">
        <f t="shared" si="47"/>
        <v>成都大悦城|期末可供出租面积（平方米）</v>
      </c>
      <c r="BA169" t="s">
        <v>5499</v>
      </c>
      <c r="BB169" t="s">
        <v>5500</v>
      </c>
      <c r="BP169" s="47">
        <v>45615</v>
      </c>
      <c r="BQ169" s="29">
        <v>5.2936623747102347E-2</v>
      </c>
    </row>
    <row r="170" spans="1:69" x14ac:dyDescent="0.4">
      <c r="A170" t="str">
        <f>IF(原始经营数据!$D171="","",原始经营数据!$D171)</f>
        <v>华夏大悦城购物中心封闭式基础设施证券投资基金</v>
      </c>
      <c r="B170" t="str">
        <f>IF(原始经营数据!$D171="","",T(原始经营数据!$E171))</f>
        <v>成都大悦城</v>
      </c>
      <c r="C170" t="str">
        <f>IF(原始经营数据!$D171="","",原始经营数据!$F171)</f>
        <v>2025Q1</v>
      </c>
      <c r="D170" t="str">
        <f>IF(原始经营数据!$D171="","",原始经营数据!$H171)</f>
        <v>期末实际出租面积</v>
      </c>
      <c r="E170">
        <f>IF(原始经营数据!$D171="","",原始经营数据!$I171)</f>
        <v>83735.360000000001</v>
      </c>
      <c r="F170" t="str">
        <f>IF(原始经营数据!$D171="","",T(原始经营数据!$J171))</f>
        <v>平方米</v>
      </c>
      <c r="G170" t="str">
        <f>IF(原始经营数据!$D171="","",T(原始经营数据!$K171))</f>
        <v/>
      </c>
      <c r="H170" t="str">
        <f>IF(原始经营数据!$D171="","",原始经营数据!$G171)</f>
        <v>服务量</v>
      </c>
      <c r="I170" t="str">
        <f>IF($A170="","",IF($B170&lt;&gt;"",$B170,IF(COUNTIFS(原始经营数据!$D$3:$D$3001,$A170,原始经营数据!$E$3:$E$3001,"",原始经营数据!$F$3:$F$3001,$C170,原始经营数据!$H$3:$H$3001,$D170,原始经营数据!$K$3:$K$3001,$G170)&gt;1,"基金整体·来源"&amp;原始经营数据!$A171,"基金整体")))</f>
        <v>成都大悦城</v>
      </c>
      <c r="J170" t="str">
        <f t="shared" si="33"/>
        <v>季度</v>
      </c>
      <c r="K170" t="str">
        <f t="shared" si="34"/>
        <v>期末实际出租面积（平方米）</v>
      </c>
      <c r="L170" t="str">
        <f t="shared" si="35"/>
        <v>成都大悦城|期末实际出租面积（平方米）|季度</v>
      </c>
      <c r="M170">
        <f>IF($A170="",0,IF(COUNTIF($L$2:$L170,$L170)=1,1,0))</f>
        <v>0</v>
      </c>
      <c r="N170">
        <f t="shared" si="36"/>
        <v>20251</v>
      </c>
      <c r="O170" t="str">
        <f t="shared" si="37"/>
        <v>华夏大悦城购物中心封闭式基础设施证券投资基金|2025Q1|季度</v>
      </c>
      <c r="P170">
        <f>IF($A170="",0,IF(COUNTIF($O$2:$O170,$O170)=1,1,0))</f>
        <v>0</v>
      </c>
      <c r="Q170" t="str">
        <f>IF(AND($P170=1,$A170=经营数据!$B$3,$J170=经营数据!$BA$5),COUNTIFS($P$2:$P$3000,1,$A$2:$A$3000,$A170,$J$2:$J$3000,$J170,$N$2:$N$3000,"&lt;"&amp;$N170)+1,"")</f>
        <v/>
      </c>
      <c r="R170" t="str">
        <f t="shared" si="38"/>
        <v>华夏大悦城购物中心封闭式基础设施证券投资基金|成都大悦城</v>
      </c>
      <c r="S170">
        <f>IF($A170="",0,IF(COUNTIF($R$2:$R170,$R170)=1,1,0))</f>
        <v>0</v>
      </c>
      <c r="T170">
        <f t="shared" si="39"/>
        <v>156</v>
      </c>
      <c r="U170" t="str">
        <f>IF($A170="","",IF($A170=经营数据!$B$3,COUNTIFS($S$2:$S$3000,1,$A$2:$A$3000,$A170,$T$2:$T$3000,"&lt;"&amp;$T170)+1,""))</f>
        <v/>
      </c>
      <c r="V170" t="str">
        <f t="shared" si="40"/>
        <v>成都大悦城|服务量</v>
      </c>
      <c r="W170">
        <f t="shared" si="41"/>
        <v>156</v>
      </c>
      <c r="X170" t="str">
        <f t="shared" si="42"/>
        <v>成都大悦城|期末实际出租面积</v>
      </c>
      <c r="Y170">
        <f t="shared" si="43"/>
        <v>159</v>
      </c>
      <c r="Z170">
        <f>IF($A170="",0,IF(AND($M170=1,$A170=经营数据!$B$3,$J170=经营数据!$BA$5,OR($I170=经营数据!$BA$4,COUNTIF(经营数据!$AA$9:$AA$38,$I170)&gt;0)),1,0))</f>
        <v>0</v>
      </c>
      <c r="AA170" t="str">
        <f t="shared" si="44"/>
        <v/>
      </c>
      <c r="AB170" t="str">
        <f t="shared" si="45"/>
        <v/>
      </c>
      <c r="AC170">
        <f>IF($A170="",0,IF(COUNTIF($A$2:$A170,$A170)=1,1,0))</f>
        <v>0</v>
      </c>
      <c r="AD170">
        <f t="shared" si="46"/>
        <v>3</v>
      </c>
      <c r="AE170" t="str">
        <f t="shared" si="47"/>
        <v>成都大悦城|期末实际出租面积（平方米）</v>
      </c>
      <c r="BA170" t="s">
        <v>5501</v>
      </c>
      <c r="BB170" t="s">
        <v>5502</v>
      </c>
      <c r="BP170" s="47">
        <v>45616</v>
      </c>
      <c r="BQ170" s="29">
        <v>5.3266240935264428E-2</v>
      </c>
    </row>
    <row r="171" spans="1:69" x14ac:dyDescent="0.4">
      <c r="A171" t="str">
        <f>IF(原始经营数据!$D172="","",原始经营数据!$D172)</f>
        <v>华夏大悦城购物中心封闭式基础设施证券投资基金</v>
      </c>
      <c r="B171" t="str">
        <f>IF(原始经营数据!$D172="","",T(原始经营数据!$E172))</f>
        <v>成都大悦城</v>
      </c>
      <c r="C171" t="str">
        <f>IF(原始经营数据!$D172="","",原始经营数据!$F172)</f>
        <v>2025Q1</v>
      </c>
      <c r="D171" t="str">
        <f>IF(原始经营数据!$D172="","",原始经营数据!$H172)</f>
        <v>期末出租率</v>
      </c>
      <c r="E171">
        <f>IF(原始经营数据!$D172="","",原始经营数据!$I172)</f>
        <v>98.38</v>
      </c>
      <c r="F171" t="str">
        <f>IF(原始经营数据!$D172="","",T(原始经营数据!$J172))</f>
        <v>%</v>
      </c>
      <c r="G171" t="str">
        <f>IF(原始经营数据!$D172="","",T(原始经营数据!$K172))</f>
        <v/>
      </c>
      <c r="H171" t="str">
        <f>IF(原始经营数据!$D172="","",原始经营数据!$G172)</f>
        <v>服务效率</v>
      </c>
      <c r="I171" t="str">
        <f>IF($A171="","",IF($B171&lt;&gt;"",$B171,IF(COUNTIFS(原始经营数据!$D$3:$D$3001,$A171,原始经营数据!$E$3:$E$3001,"",原始经营数据!$F$3:$F$3001,$C171,原始经营数据!$H$3:$H$3001,$D171,原始经营数据!$K$3:$K$3001,$G171)&gt;1,"基金整体·来源"&amp;原始经营数据!$A172,"基金整体")))</f>
        <v>成都大悦城</v>
      </c>
      <c r="J171" t="str">
        <f t="shared" si="33"/>
        <v>季度</v>
      </c>
      <c r="K171" t="str">
        <f t="shared" si="34"/>
        <v>期末出租率（%）</v>
      </c>
      <c r="L171" t="str">
        <f t="shared" si="35"/>
        <v>成都大悦城|期末出租率（%）|季度</v>
      </c>
      <c r="M171">
        <f>IF($A171="",0,IF(COUNTIF($L$2:$L171,$L171)=1,1,0))</f>
        <v>0</v>
      </c>
      <c r="N171">
        <f t="shared" si="36"/>
        <v>20251</v>
      </c>
      <c r="O171" t="str">
        <f t="shared" si="37"/>
        <v>华夏大悦城购物中心封闭式基础设施证券投资基金|2025Q1|季度</v>
      </c>
      <c r="P171">
        <f>IF($A171="",0,IF(COUNTIF($O$2:$O171,$O171)=1,1,0))</f>
        <v>0</v>
      </c>
      <c r="Q171" t="str">
        <f>IF(AND($P171=1,$A171=经营数据!$B$3,$J171=经营数据!$BA$5),COUNTIFS($P$2:$P$3000,1,$A$2:$A$3000,$A171,$J$2:$J$3000,$J171,$N$2:$N$3000,"&lt;"&amp;$N171)+1,"")</f>
        <v/>
      </c>
      <c r="R171" t="str">
        <f t="shared" si="38"/>
        <v>华夏大悦城购物中心封闭式基础设施证券投资基金|成都大悦城</v>
      </c>
      <c r="S171">
        <f>IF($A171="",0,IF(COUNTIF($R$2:$R171,$R171)=1,1,0))</f>
        <v>0</v>
      </c>
      <c r="T171">
        <f t="shared" si="39"/>
        <v>156</v>
      </c>
      <c r="U171" t="str">
        <f>IF($A171="","",IF($A171=经营数据!$B$3,COUNTIFS($S$2:$S$3000,1,$A$2:$A$3000,$A171,$T$2:$T$3000,"&lt;"&amp;$T171)+1,""))</f>
        <v/>
      </c>
      <c r="V171" t="str">
        <f t="shared" si="40"/>
        <v>成都大悦城|服务效率</v>
      </c>
      <c r="W171">
        <f t="shared" si="41"/>
        <v>158</v>
      </c>
      <c r="X171" t="str">
        <f t="shared" si="42"/>
        <v>成都大悦城|期末出租率</v>
      </c>
      <c r="Y171">
        <f t="shared" si="43"/>
        <v>158</v>
      </c>
      <c r="Z171">
        <f>IF($A171="",0,IF(AND($M171=1,$A171=经营数据!$B$3,$J171=经营数据!$BA$5,OR($I171=经营数据!$BA$4,COUNTIF(经营数据!$AA$9:$AA$38,$I171)&gt;0)),1,0))</f>
        <v>0</v>
      </c>
      <c r="AA171" t="str">
        <f t="shared" si="44"/>
        <v/>
      </c>
      <c r="AB171" t="str">
        <f t="shared" si="45"/>
        <v/>
      </c>
      <c r="AC171">
        <f>IF($A171="",0,IF(COUNTIF($A$2:$A171,$A171)=1,1,0))</f>
        <v>0</v>
      </c>
      <c r="AD171">
        <f t="shared" si="46"/>
        <v>3</v>
      </c>
      <c r="AE171" t="str">
        <f t="shared" si="47"/>
        <v>成都大悦城|期末出租率（%）</v>
      </c>
      <c r="BA171" t="s">
        <v>5503</v>
      </c>
      <c r="BB171" t="s">
        <v>5504</v>
      </c>
      <c r="BP171" s="47">
        <v>45617</v>
      </c>
      <c r="BQ171" s="29">
        <v>5.3360501798459158E-2</v>
      </c>
    </row>
    <row r="172" spans="1:69" x14ac:dyDescent="0.4">
      <c r="A172" t="str">
        <f>IF(原始经营数据!$D173="","",原始经营数据!$D173)</f>
        <v>华夏大悦城购物中心封闭式基础设施证券投资基金</v>
      </c>
      <c r="B172" t="str">
        <f>IF(原始经营数据!$D173="","",T(原始经营数据!$E173))</f>
        <v>成都大悦城</v>
      </c>
      <c r="C172" t="str">
        <f>IF(原始经营数据!$D173="","",原始经营数据!$F173)</f>
        <v>2025Q1</v>
      </c>
      <c r="D172" t="str">
        <f>IF(原始经营数据!$D173="","",原始经营数据!$H173)</f>
        <v>期内租金单价水平</v>
      </c>
      <c r="E172">
        <f>IF(原始经营数据!$D173="","",原始经营数据!$I173)</f>
        <v>363.52</v>
      </c>
      <c r="F172" t="str">
        <f>IF(原始经营数据!$D173="","",T(原始经营数据!$J173))</f>
        <v>元/平方米/月</v>
      </c>
      <c r="G172" t="str">
        <f>IF(原始经营数据!$D173="","",T(原始经营数据!$K173))</f>
        <v/>
      </c>
      <c r="H172" t="str">
        <f>IF(原始经营数据!$D173="","",原始经营数据!$G173)</f>
        <v>服务价格</v>
      </c>
      <c r="I172" t="str">
        <f>IF($A172="","",IF($B172&lt;&gt;"",$B172,IF(COUNTIFS(原始经营数据!$D$3:$D$3001,$A172,原始经营数据!$E$3:$E$3001,"",原始经营数据!$F$3:$F$3001,$C172,原始经营数据!$H$3:$H$3001,$D172,原始经营数据!$K$3:$K$3001,$G172)&gt;1,"基金整体·来源"&amp;原始经营数据!$A173,"基金整体")))</f>
        <v>成都大悦城</v>
      </c>
      <c r="J172" t="str">
        <f t="shared" si="33"/>
        <v>季度</v>
      </c>
      <c r="K172" t="str">
        <f t="shared" si="34"/>
        <v>期内租金单价水平（元/平方米/月）</v>
      </c>
      <c r="L172" t="str">
        <f t="shared" si="35"/>
        <v>成都大悦城|期内租金单价水平（元/平方米/月）|季度</v>
      </c>
      <c r="M172">
        <f>IF($A172="",0,IF(COUNTIF($L$2:$L172,$L172)=1,1,0))</f>
        <v>0</v>
      </c>
      <c r="N172">
        <f t="shared" si="36"/>
        <v>20251</v>
      </c>
      <c r="O172" t="str">
        <f t="shared" si="37"/>
        <v>华夏大悦城购物中心封闭式基础设施证券投资基金|2025Q1|季度</v>
      </c>
      <c r="P172">
        <f>IF($A172="",0,IF(COUNTIF($O$2:$O172,$O172)=1,1,0))</f>
        <v>0</v>
      </c>
      <c r="Q172" t="str">
        <f>IF(AND($P172=1,$A172=经营数据!$B$3,$J172=经营数据!$BA$5),COUNTIFS($P$2:$P$3000,1,$A$2:$A$3000,$A172,$J$2:$J$3000,$J172,$N$2:$N$3000,"&lt;"&amp;$N172)+1,"")</f>
        <v/>
      </c>
      <c r="R172" t="str">
        <f t="shared" si="38"/>
        <v>华夏大悦城购物中心封闭式基础设施证券投资基金|成都大悦城</v>
      </c>
      <c r="S172">
        <f>IF($A172="",0,IF(COUNTIF($R$2:$R172,$R172)=1,1,0))</f>
        <v>0</v>
      </c>
      <c r="T172">
        <f t="shared" si="39"/>
        <v>156</v>
      </c>
      <c r="U172" t="str">
        <f>IF($A172="","",IF($A172=经营数据!$B$3,COUNTIFS($S$2:$S$3000,1,$A$2:$A$3000,$A172,$T$2:$T$3000,"&lt;"&amp;$T172)+1,""))</f>
        <v/>
      </c>
      <c r="V172" t="str">
        <f t="shared" si="40"/>
        <v>成都大悦城|服务价格</v>
      </c>
      <c r="W172">
        <f t="shared" si="41"/>
        <v>157</v>
      </c>
      <c r="X172" t="str">
        <f t="shared" si="42"/>
        <v>成都大悦城|期内租金单价水平</v>
      </c>
      <c r="Y172">
        <f t="shared" si="43"/>
        <v>157</v>
      </c>
      <c r="Z172">
        <f>IF($A172="",0,IF(AND($M172=1,$A172=经营数据!$B$3,$J172=经营数据!$BA$5,OR($I172=经营数据!$BA$4,COUNTIF(经营数据!$AA$9:$AA$38,$I172)&gt;0)),1,0))</f>
        <v>0</v>
      </c>
      <c r="AA172" t="str">
        <f t="shared" si="44"/>
        <v/>
      </c>
      <c r="AB172" t="str">
        <f t="shared" si="45"/>
        <v/>
      </c>
      <c r="AC172">
        <f>IF($A172="",0,IF(COUNTIF($A$2:$A172,$A172)=1,1,0))</f>
        <v>0</v>
      </c>
      <c r="AD172">
        <f t="shared" si="46"/>
        <v>3</v>
      </c>
      <c r="AE172" t="str">
        <f t="shared" si="47"/>
        <v>成都大悦城|期内租金单价水平（元/平方米/月）</v>
      </c>
      <c r="BA172" t="s">
        <v>5505</v>
      </c>
      <c r="BB172" t="s">
        <v>5506</v>
      </c>
      <c r="BP172" s="47">
        <v>45618</v>
      </c>
      <c r="BQ172" s="29">
        <v>5.3390777556640318E-2</v>
      </c>
    </row>
    <row r="173" spans="1:69" x14ac:dyDescent="0.4">
      <c r="A173" t="str">
        <f>IF(原始经营数据!$D174="","",原始经营数据!$D174)</f>
        <v>华夏大悦城购物中心封闭式基础设施证券投资基金</v>
      </c>
      <c r="B173" t="str">
        <f>IF(原始经营数据!$D174="","",T(原始经营数据!$E174))</f>
        <v>成都大悦城</v>
      </c>
      <c r="C173" t="str">
        <f>IF(原始经营数据!$D174="","",原始经营数据!$F174)</f>
        <v>2025Q1</v>
      </c>
      <c r="D173" t="str">
        <f>IF(原始经营数据!$D174="","",原始经营数据!$H174)</f>
        <v>期末剩余租期</v>
      </c>
      <c r="E173">
        <f>IF(原始经营数据!$D174="","",原始经营数据!$I174)</f>
        <v>3.47</v>
      </c>
      <c r="F173" t="str">
        <f>IF(原始经营数据!$D174="","",T(原始经营数据!$J174))</f>
        <v>年</v>
      </c>
      <c r="G173" t="str">
        <f>IF(原始经营数据!$D174="","",T(原始经营数据!$K174))</f>
        <v/>
      </c>
      <c r="H173" t="str">
        <f>IF(原始经营数据!$D174="","",原始经营数据!$G174)</f>
        <v>服务量</v>
      </c>
      <c r="I173" t="str">
        <f>IF($A173="","",IF($B173&lt;&gt;"",$B173,IF(COUNTIFS(原始经营数据!$D$3:$D$3001,$A173,原始经营数据!$E$3:$E$3001,"",原始经营数据!$F$3:$F$3001,$C173,原始经营数据!$H$3:$H$3001,$D173,原始经营数据!$K$3:$K$3001,$G173)&gt;1,"基金整体·来源"&amp;原始经营数据!$A174,"基金整体")))</f>
        <v>成都大悦城</v>
      </c>
      <c r="J173" t="str">
        <f t="shared" si="33"/>
        <v>季度</v>
      </c>
      <c r="K173" t="str">
        <f t="shared" si="34"/>
        <v>期末剩余租期（年）</v>
      </c>
      <c r="L173" t="str">
        <f t="shared" si="35"/>
        <v>成都大悦城|期末剩余租期（年）|季度</v>
      </c>
      <c r="M173">
        <f>IF($A173="",0,IF(COUNTIF($L$2:$L173,$L173)=1,1,0))</f>
        <v>0</v>
      </c>
      <c r="N173">
        <f t="shared" si="36"/>
        <v>20251</v>
      </c>
      <c r="O173" t="str">
        <f t="shared" si="37"/>
        <v>华夏大悦城购物中心封闭式基础设施证券投资基金|2025Q1|季度</v>
      </c>
      <c r="P173">
        <f>IF($A173="",0,IF(COUNTIF($O$2:$O173,$O173)=1,1,0))</f>
        <v>0</v>
      </c>
      <c r="Q173" t="str">
        <f>IF(AND($P173=1,$A173=经营数据!$B$3,$J173=经营数据!$BA$5),COUNTIFS($P$2:$P$3000,1,$A$2:$A$3000,$A173,$J$2:$J$3000,$J173,$N$2:$N$3000,"&lt;"&amp;$N173)+1,"")</f>
        <v/>
      </c>
      <c r="R173" t="str">
        <f t="shared" si="38"/>
        <v>华夏大悦城购物中心封闭式基础设施证券投资基金|成都大悦城</v>
      </c>
      <c r="S173">
        <f>IF($A173="",0,IF(COUNTIF($R$2:$R173,$R173)=1,1,0))</f>
        <v>0</v>
      </c>
      <c r="T173">
        <f t="shared" si="39"/>
        <v>156</v>
      </c>
      <c r="U173" t="str">
        <f>IF($A173="","",IF($A173=经营数据!$B$3,COUNTIFS($S$2:$S$3000,1,$A$2:$A$3000,$A173,$T$2:$T$3000,"&lt;"&amp;$T173)+1,""))</f>
        <v/>
      </c>
      <c r="V173" t="str">
        <f t="shared" si="40"/>
        <v>成都大悦城|服务量</v>
      </c>
      <c r="W173">
        <f t="shared" si="41"/>
        <v>156</v>
      </c>
      <c r="X173" t="str">
        <f t="shared" si="42"/>
        <v>成都大悦城|期末剩余租期</v>
      </c>
      <c r="Y173">
        <f t="shared" si="43"/>
        <v>156</v>
      </c>
      <c r="Z173">
        <f>IF($A173="",0,IF(AND($M173=1,$A173=经营数据!$B$3,$J173=经营数据!$BA$5,OR($I173=经营数据!$BA$4,COUNTIF(经营数据!$AA$9:$AA$38,$I173)&gt;0)),1,0))</f>
        <v>0</v>
      </c>
      <c r="AA173" t="str">
        <f t="shared" si="44"/>
        <v/>
      </c>
      <c r="AB173" t="str">
        <f t="shared" si="45"/>
        <v/>
      </c>
      <c r="AC173">
        <f>IF($A173="",0,IF(COUNTIF($A$2:$A173,$A173)=1,1,0))</f>
        <v>0</v>
      </c>
      <c r="AD173">
        <f t="shared" si="46"/>
        <v>3</v>
      </c>
      <c r="AE173" t="str">
        <f t="shared" si="47"/>
        <v>成都大悦城|期末剩余租期（年）</v>
      </c>
      <c r="BA173" t="s">
        <v>5507</v>
      </c>
      <c r="BB173" t="s">
        <v>5508</v>
      </c>
      <c r="BP173" s="47">
        <v>45621</v>
      </c>
      <c r="BQ173" s="29">
        <v>5.3681175998563993E-2</v>
      </c>
    </row>
    <row r="174" spans="1:69" x14ac:dyDescent="0.4">
      <c r="A174" t="str">
        <f>IF(原始经营数据!$D175="","",原始经营数据!$D175)</f>
        <v>华夏大悦城购物中心封闭式基础设施证券投资基金</v>
      </c>
      <c r="B174" t="str">
        <f>IF(原始经营数据!$D175="","",T(原始经营数据!$E175))</f>
        <v>成都大悦城</v>
      </c>
      <c r="C174" t="str">
        <f>IF(原始经营数据!$D175="","",原始经营数据!$F175)</f>
        <v>2025Q1</v>
      </c>
      <c r="D174" t="str">
        <f>IF(原始经营数据!$D175="","",原始经营数据!$H175)</f>
        <v>期末租金收缴率</v>
      </c>
      <c r="E174">
        <f>IF(原始经营数据!$D175="","",原始经营数据!$I175)</f>
        <v>98.56</v>
      </c>
      <c r="F174" t="str">
        <f>IF(原始经营数据!$D175="","",T(原始经营数据!$J175))</f>
        <v>%</v>
      </c>
      <c r="G174" t="str">
        <f>IF(原始经营数据!$D175="","",T(原始经营数据!$K175))</f>
        <v/>
      </c>
      <c r="H174" t="str">
        <f>IF(原始经营数据!$D175="","",原始经营数据!$G175)</f>
        <v>服务效率</v>
      </c>
      <c r="I174" t="str">
        <f>IF($A174="","",IF($B174&lt;&gt;"",$B174,IF(COUNTIFS(原始经营数据!$D$3:$D$3001,$A174,原始经营数据!$E$3:$E$3001,"",原始经营数据!$F$3:$F$3001,$C174,原始经营数据!$H$3:$H$3001,$D174,原始经营数据!$K$3:$K$3001,$G174)&gt;1,"基金整体·来源"&amp;原始经营数据!$A175,"基金整体")))</f>
        <v>成都大悦城</v>
      </c>
      <c r="J174" t="str">
        <f t="shared" si="33"/>
        <v>季度</v>
      </c>
      <c r="K174" t="str">
        <f t="shared" si="34"/>
        <v>期末租金收缴率（%）</v>
      </c>
      <c r="L174" t="str">
        <f t="shared" si="35"/>
        <v>成都大悦城|期末租金收缴率（%）|季度</v>
      </c>
      <c r="M174">
        <f>IF($A174="",0,IF(COUNTIF($L$2:$L174,$L174)=1,1,0))</f>
        <v>0</v>
      </c>
      <c r="N174">
        <f t="shared" si="36"/>
        <v>20251</v>
      </c>
      <c r="O174" t="str">
        <f t="shared" si="37"/>
        <v>华夏大悦城购物中心封闭式基础设施证券投资基金|2025Q1|季度</v>
      </c>
      <c r="P174">
        <f>IF($A174="",0,IF(COUNTIF($O$2:$O174,$O174)=1,1,0))</f>
        <v>0</v>
      </c>
      <c r="Q174" t="str">
        <f>IF(AND($P174=1,$A174=经营数据!$B$3,$J174=经营数据!$BA$5),COUNTIFS($P$2:$P$3000,1,$A$2:$A$3000,$A174,$J$2:$J$3000,$J174,$N$2:$N$3000,"&lt;"&amp;$N174)+1,"")</f>
        <v/>
      </c>
      <c r="R174" t="str">
        <f t="shared" si="38"/>
        <v>华夏大悦城购物中心封闭式基础设施证券投资基金|成都大悦城</v>
      </c>
      <c r="S174">
        <f>IF($A174="",0,IF(COUNTIF($R$2:$R174,$R174)=1,1,0))</f>
        <v>0</v>
      </c>
      <c r="T174">
        <f t="shared" si="39"/>
        <v>156</v>
      </c>
      <c r="U174" t="str">
        <f>IF($A174="","",IF($A174=经营数据!$B$3,COUNTIFS($S$2:$S$3000,1,$A$2:$A$3000,$A174,$T$2:$T$3000,"&lt;"&amp;$T174)+1,""))</f>
        <v/>
      </c>
      <c r="V174" t="str">
        <f t="shared" si="40"/>
        <v>成都大悦城|服务效率</v>
      </c>
      <c r="W174">
        <f t="shared" si="41"/>
        <v>158</v>
      </c>
      <c r="X174" t="str">
        <f t="shared" si="42"/>
        <v>成都大悦城|期末租金收缴率</v>
      </c>
      <c r="Y174">
        <f t="shared" si="43"/>
        <v>161</v>
      </c>
      <c r="Z174">
        <f>IF($A174="",0,IF(AND($M174=1,$A174=经营数据!$B$3,$J174=经营数据!$BA$5,OR($I174=经营数据!$BA$4,COUNTIF(经营数据!$AA$9:$AA$38,$I174)&gt;0)),1,0))</f>
        <v>0</v>
      </c>
      <c r="AA174" t="str">
        <f t="shared" si="44"/>
        <v/>
      </c>
      <c r="AB174" t="str">
        <f t="shared" si="45"/>
        <v/>
      </c>
      <c r="AC174">
        <f>IF($A174="",0,IF(COUNTIF($A$2:$A174,$A174)=1,1,0))</f>
        <v>0</v>
      </c>
      <c r="AD174">
        <f t="shared" si="46"/>
        <v>3</v>
      </c>
      <c r="AE174" t="str">
        <f t="shared" si="47"/>
        <v>成都大悦城|期末租金收缴率（%）</v>
      </c>
      <c r="BA174" t="s">
        <v>5509</v>
      </c>
      <c r="BB174" t="s">
        <v>5510</v>
      </c>
      <c r="BP174" s="47">
        <v>45622</v>
      </c>
      <c r="BQ174" s="29">
        <v>5.3750431799783338E-2</v>
      </c>
    </row>
    <row r="175" spans="1:69" x14ac:dyDescent="0.4">
      <c r="A175" t="str">
        <f>IF(原始经营数据!$D176="","",原始经营数据!$D176)</f>
        <v>华夏大悦城购物中心封闭式基础设施证券投资基金</v>
      </c>
      <c r="B175" t="str">
        <f>IF(原始经营数据!$D176="","",T(原始经营数据!$E176))</f>
        <v>成都大悦城</v>
      </c>
      <c r="C175" t="str">
        <f>IF(原始经营数据!$D176="","",原始经营数据!$F176)</f>
        <v>2025Q2</v>
      </c>
      <c r="D175" t="str">
        <f>IF(原始经营数据!$D176="","",原始经营数据!$H176)</f>
        <v>期末可供出租面积</v>
      </c>
      <c r="E175">
        <f>IF(原始经营数据!$D176="","",原始经营数据!$I176)</f>
        <v>85251.35</v>
      </c>
      <c r="F175" t="str">
        <f>IF(原始经营数据!$D176="","",T(原始经营数据!$J176))</f>
        <v>平方米</v>
      </c>
      <c r="G175" t="str">
        <f>IF(原始经营数据!$D176="","",T(原始经营数据!$K176))</f>
        <v/>
      </c>
      <c r="H175" t="str">
        <f>IF(原始经营数据!$D176="","",原始经营数据!$G176)</f>
        <v>服务量</v>
      </c>
      <c r="I175" t="str">
        <f>IF($A175="","",IF($B175&lt;&gt;"",$B175,IF(COUNTIFS(原始经营数据!$D$3:$D$3001,$A175,原始经营数据!$E$3:$E$3001,"",原始经营数据!$F$3:$F$3001,$C175,原始经营数据!$H$3:$H$3001,$D175,原始经营数据!$K$3:$K$3001,$G175)&gt;1,"基金整体·来源"&amp;原始经营数据!$A176,"基金整体")))</f>
        <v>成都大悦城</v>
      </c>
      <c r="J175" t="str">
        <f t="shared" si="33"/>
        <v>季度</v>
      </c>
      <c r="K175" t="str">
        <f t="shared" si="34"/>
        <v>期末可供出租面积（平方米）</v>
      </c>
      <c r="L175" t="str">
        <f t="shared" si="35"/>
        <v>成都大悦城|期末可供出租面积（平方米）|季度</v>
      </c>
      <c r="M175">
        <f>IF($A175="",0,IF(COUNTIF($L$2:$L175,$L175)=1,1,0))</f>
        <v>0</v>
      </c>
      <c r="N175">
        <f t="shared" si="36"/>
        <v>20252</v>
      </c>
      <c r="O175" t="str">
        <f t="shared" si="37"/>
        <v>华夏大悦城购物中心封闭式基础设施证券投资基金|2025Q2|季度</v>
      </c>
      <c r="P175">
        <f>IF($A175="",0,IF(COUNTIF($O$2:$O175,$O175)=1,1,0))</f>
        <v>1</v>
      </c>
      <c r="Q175" t="str">
        <f>IF(AND($P175=1,$A175=经营数据!$B$3,$J175=经营数据!$BA$5),COUNTIFS($P$2:$P$3000,1,$A$2:$A$3000,$A175,$J$2:$J$3000,$J175,$N$2:$N$3000,"&lt;"&amp;$N175)+1,"")</f>
        <v/>
      </c>
      <c r="R175" t="str">
        <f t="shared" si="38"/>
        <v>华夏大悦城购物中心封闭式基础设施证券投资基金|成都大悦城</v>
      </c>
      <c r="S175">
        <f>IF($A175="",0,IF(COUNTIF($R$2:$R175,$R175)=1,1,0))</f>
        <v>0</v>
      </c>
      <c r="T175">
        <f t="shared" si="39"/>
        <v>156</v>
      </c>
      <c r="U175" t="str">
        <f>IF($A175="","",IF($A175=经营数据!$B$3,COUNTIFS($S$2:$S$3000,1,$A$2:$A$3000,$A175,$T$2:$T$3000,"&lt;"&amp;$T175)+1,""))</f>
        <v/>
      </c>
      <c r="V175" t="str">
        <f t="shared" si="40"/>
        <v>成都大悦城|服务量</v>
      </c>
      <c r="W175">
        <f t="shared" si="41"/>
        <v>156</v>
      </c>
      <c r="X175" t="str">
        <f t="shared" si="42"/>
        <v>成都大悦城|期末可供出租面积</v>
      </c>
      <c r="Y175">
        <f t="shared" si="43"/>
        <v>160</v>
      </c>
      <c r="Z175">
        <f>IF($A175="",0,IF(AND($M175=1,$A175=经营数据!$B$3,$J175=经营数据!$BA$5,OR($I175=经营数据!$BA$4,COUNTIF(经营数据!$AA$9:$AA$38,$I175)&gt;0)),1,0))</f>
        <v>0</v>
      </c>
      <c r="AA175" t="str">
        <f t="shared" si="44"/>
        <v/>
      </c>
      <c r="AB175" t="str">
        <f t="shared" si="45"/>
        <v/>
      </c>
      <c r="AC175">
        <f>IF($A175="",0,IF(COUNTIF($A$2:$A175,$A175)=1,1,0))</f>
        <v>0</v>
      </c>
      <c r="AD175">
        <f t="shared" si="46"/>
        <v>3</v>
      </c>
      <c r="AE175" t="str">
        <f t="shared" si="47"/>
        <v>成都大悦城|期末可供出租面积（平方米）</v>
      </c>
      <c r="BA175" t="s">
        <v>5511</v>
      </c>
      <c r="BB175" t="s">
        <v>5512</v>
      </c>
      <c r="BP175" s="47">
        <v>45623</v>
      </c>
      <c r="BQ175" s="29">
        <v>5.3746197315062832E-2</v>
      </c>
    </row>
    <row r="176" spans="1:69" x14ac:dyDescent="0.4">
      <c r="A176" t="str">
        <f>IF(原始经营数据!$D177="","",原始经营数据!$D177)</f>
        <v>华夏大悦城购物中心封闭式基础设施证券投资基金</v>
      </c>
      <c r="B176" t="str">
        <f>IF(原始经营数据!$D177="","",T(原始经营数据!$E177))</f>
        <v>成都大悦城</v>
      </c>
      <c r="C176" t="str">
        <f>IF(原始经营数据!$D177="","",原始经营数据!$F177)</f>
        <v>2025Q2</v>
      </c>
      <c r="D176" t="str">
        <f>IF(原始经营数据!$D177="","",原始经营数据!$H177)</f>
        <v>期末实际出租面积</v>
      </c>
      <c r="E176">
        <f>IF(原始经营数据!$D177="","",原始经营数据!$I177)</f>
        <v>83917.79</v>
      </c>
      <c r="F176" t="str">
        <f>IF(原始经营数据!$D177="","",T(原始经营数据!$J177))</f>
        <v>平方米</v>
      </c>
      <c r="G176" t="str">
        <f>IF(原始经营数据!$D177="","",T(原始经营数据!$K177))</f>
        <v/>
      </c>
      <c r="H176" t="str">
        <f>IF(原始经营数据!$D177="","",原始经营数据!$G177)</f>
        <v>服务量</v>
      </c>
      <c r="I176" t="str">
        <f>IF($A176="","",IF($B176&lt;&gt;"",$B176,IF(COUNTIFS(原始经营数据!$D$3:$D$3001,$A176,原始经营数据!$E$3:$E$3001,"",原始经营数据!$F$3:$F$3001,$C176,原始经营数据!$H$3:$H$3001,$D176,原始经营数据!$K$3:$K$3001,$G176)&gt;1,"基金整体·来源"&amp;原始经营数据!$A177,"基金整体")))</f>
        <v>成都大悦城</v>
      </c>
      <c r="J176" t="str">
        <f t="shared" si="33"/>
        <v>季度</v>
      </c>
      <c r="K176" t="str">
        <f t="shared" si="34"/>
        <v>期末实际出租面积（平方米）</v>
      </c>
      <c r="L176" t="str">
        <f t="shared" si="35"/>
        <v>成都大悦城|期末实际出租面积（平方米）|季度</v>
      </c>
      <c r="M176">
        <f>IF($A176="",0,IF(COUNTIF($L$2:$L176,$L176)=1,1,0))</f>
        <v>0</v>
      </c>
      <c r="N176">
        <f t="shared" si="36"/>
        <v>20252</v>
      </c>
      <c r="O176" t="str">
        <f t="shared" si="37"/>
        <v>华夏大悦城购物中心封闭式基础设施证券投资基金|2025Q2|季度</v>
      </c>
      <c r="P176">
        <f>IF($A176="",0,IF(COUNTIF($O$2:$O176,$O176)=1,1,0))</f>
        <v>0</v>
      </c>
      <c r="Q176" t="str">
        <f>IF(AND($P176=1,$A176=经营数据!$B$3,$J176=经营数据!$BA$5),COUNTIFS($P$2:$P$3000,1,$A$2:$A$3000,$A176,$J$2:$J$3000,$J176,$N$2:$N$3000,"&lt;"&amp;$N176)+1,"")</f>
        <v/>
      </c>
      <c r="R176" t="str">
        <f t="shared" si="38"/>
        <v>华夏大悦城购物中心封闭式基础设施证券投资基金|成都大悦城</v>
      </c>
      <c r="S176">
        <f>IF($A176="",0,IF(COUNTIF($R$2:$R176,$R176)=1,1,0))</f>
        <v>0</v>
      </c>
      <c r="T176">
        <f t="shared" si="39"/>
        <v>156</v>
      </c>
      <c r="U176" t="str">
        <f>IF($A176="","",IF($A176=经营数据!$B$3,COUNTIFS($S$2:$S$3000,1,$A$2:$A$3000,$A176,$T$2:$T$3000,"&lt;"&amp;$T176)+1,""))</f>
        <v/>
      </c>
      <c r="V176" t="str">
        <f t="shared" si="40"/>
        <v>成都大悦城|服务量</v>
      </c>
      <c r="W176">
        <f t="shared" si="41"/>
        <v>156</v>
      </c>
      <c r="X176" t="str">
        <f t="shared" si="42"/>
        <v>成都大悦城|期末实际出租面积</v>
      </c>
      <c r="Y176">
        <f t="shared" si="43"/>
        <v>159</v>
      </c>
      <c r="Z176">
        <f>IF($A176="",0,IF(AND($M176=1,$A176=经营数据!$B$3,$J176=经营数据!$BA$5,OR($I176=经营数据!$BA$4,COUNTIF(经营数据!$AA$9:$AA$38,$I176)&gt;0)),1,0))</f>
        <v>0</v>
      </c>
      <c r="AA176" t="str">
        <f t="shared" si="44"/>
        <v/>
      </c>
      <c r="AB176" t="str">
        <f t="shared" si="45"/>
        <v/>
      </c>
      <c r="AC176">
        <f>IF($A176="",0,IF(COUNTIF($A$2:$A176,$A176)=1,1,0))</f>
        <v>0</v>
      </c>
      <c r="AD176">
        <f t="shared" si="46"/>
        <v>3</v>
      </c>
      <c r="AE176" t="str">
        <f t="shared" si="47"/>
        <v>成都大悦城|期末实际出租面积（平方米）</v>
      </c>
      <c r="BA176" t="s">
        <v>5513</v>
      </c>
      <c r="BB176" t="s">
        <v>5514</v>
      </c>
      <c r="BP176" s="47">
        <v>45624</v>
      </c>
      <c r="BQ176" s="29">
        <v>5.3721861969702939E-2</v>
      </c>
    </row>
    <row r="177" spans="1:69" x14ac:dyDescent="0.4">
      <c r="A177" t="str">
        <f>IF(原始经营数据!$D178="","",原始经营数据!$D178)</f>
        <v>华夏大悦城购物中心封闭式基础设施证券投资基金</v>
      </c>
      <c r="B177" t="str">
        <f>IF(原始经营数据!$D178="","",T(原始经营数据!$E178))</f>
        <v>成都大悦城</v>
      </c>
      <c r="C177" t="str">
        <f>IF(原始经营数据!$D178="","",原始经营数据!$F178)</f>
        <v>2025Q2</v>
      </c>
      <c r="D177" t="str">
        <f>IF(原始经营数据!$D178="","",原始经营数据!$H178)</f>
        <v>期末出租率</v>
      </c>
      <c r="E177">
        <f>IF(原始经营数据!$D178="","",原始经营数据!$I178)</f>
        <v>98.44</v>
      </c>
      <c r="F177" t="str">
        <f>IF(原始经营数据!$D178="","",T(原始经营数据!$J178))</f>
        <v>%</v>
      </c>
      <c r="G177" t="str">
        <f>IF(原始经营数据!$D178="","",T(原始经营数据!$K178))</f>
        <v/>
      </c>
      <c r="H177" t="str">
        <f>IF(原始经营数据!$D178="","",原始经营数据!$G178)</f>
        <v>服务效率</v>
      </c>
      <c r="I177" t="str">
        <f>IF($A177="","",IF($B177&lt;&gt;"",$B177,IF(COUNTIFS(原始经营数据!$D$3:$D$3001,$A177,原始经营数据!$E$3:$E$3001,"",原始经营数据!$F$3:$F$3001,$C177,原始经营数据!$H$3:$H$3001,$D177,原始经营数据!$K$3:$K$3001,$G177)&gt;1,"基金整体·来源"&amp;原始经营数据!$A178,"基金整体")))</f>
        <v>成都大悦城</v>
      </c>
      <c r="J177" t="str">
        <f t="shared" si="33"/>
        <v>季度</v>
      </c>
      <c r="K177" t="str">
        <f t="shared" si="34"/>
        <v>期末出租率（%）</v>
      </c>
      <c r="L177" t="str">
        <f t="shared" si="35"/>
        <v>成都大悦城|期末出租率（%）|季度</v>
      </c>
      <c r="M177">
        <f>IF($A177="",0,IF(COUNTIF($L$2:$L177,$L177)=1,1,0))</f>
        <v>0</v>
      </c>
      <c r="N177">
        <f t="shared" si="36"/>
        <v>20252</v>
      </c>
      <c r="O177" t="str">
        <f t="shared" si="37"/>
        <v>华夏大悦城购物中心封闭式基础设施证券投资基金|2025Q2|季度</v>
      </c>
      <c r="P177">
        <f>IF($A177="",0,IF(COUNTIF($O$2:$O177,$O177)=1,1,0))</f>
        <v>0</v>
      </c>
      <c r="Q177" t="str">
        <f>IF(AND($P177=1,$A177=经营数据!$B$3,$J177=经营数据!$BA$5),COUNTIFS($P$2:$P$3000,1,$A$2:$A$3000,$A177,$J$2:$J$3000,$J177,$N$2:$N$3000,"&lt;"&amp;$N177)+1,"")</f>
        <v/>
      </c>
      <c r="R177" t="str">
        <f t="shared" si="38"/>
        <v>华夏大悦城购物中心封闭式基础设施证券投资基金|成都大悦城</v>
      </c>
      <c r="S177">
        <f>IF($A177="",0,IF(COUNTIF($R$2:$R177,$R177)=1,1,0))</f>
        <v>0</v>
      </c>
      <c r="T177">
        <f t="shared" si="39"/>
        <v>156</v>
      </c>
      <c r="U177" t="str">
        <f>IF($A177="","",IF($A177=经营数据!$B$3,COUNTIFS($S$2:$S$3000,1,$A$2:$A$3000,$A177,$T$2:$T$3000,"&lt;"&amp;$T177)+1,""))</f>
        <v/>
      </c>
      <c r="V177" t="str">
        <f t="shared" si="40"/>
        <v>成都大悦城|服务效率</v>
      </c>
      <c r="W177">
        <f t="shared" si="41"/>
        <v>158</v>
      </c>
      <c r="X177" t="str">
        <f t="shared" si="42"/>
        <v>成都大悦城|期末出租率</v>
      </c>
      <c r="Y177">
        <f t="shared" si="43"/>
        <v>158</v>
      </c>
      <c r="Z177">
        <f>IF($A177="",0,IF(AND($M177=1,$A177=经营数据!$B$3,$J177=经营数据!$BA$5,OR($I177=经营数据!$BA$4,COUNTIF(经营数据!$AA$9:$AA$38,$I177)&gt;0)),1,0))</f>
        <v>0</v>
      </c>
      <c r="AA177" t="str">
        <f t="shared" si="44"/>
        <v/>
      </c>
      <c r="AB177" t="str">
        <f t="shared" si="45"/>
        <v/>
      </c>
      <c r="AC177">
        <f>IF($A177="",0,IF(COUNTIF($A$2:$A177,$A177)=1,1,0))</f>
        <v>0</v>
      </c>
      <c r="AD177">
        <f t="shared" si="46"/>
        <v>3</v>
      </c>
      <c r="AE177" t="str">
        <f t="shared" si="47"/>
        <v>成都大悦城|期末出租率（%）</v>
      </c>
      <c r="BA177" t="s">
        <v>5515</v>
      </c>
      <c r="BB177" t="s">
        <v>5516</v>
      </c>
      <c r="BP177" s="47">
        <v>45625</v>
      </c>
      <c r="BQ177" s="29">
        <v>5.364371493532661E-2</v>
      </c>
    </row>
    <row r="178" spans="1:69" x14ac:dyDescent="0.4">
      <c r="A178" t="str">
        <f>IF(原始经营数据!$D179="","",原始经营数据!$D179)</f>
        <v>华夏大悦城购物中心封闭式基础设施证券投资基金</v>
      </c>
      <c r="B178" t="str">
        <f>IF(原始经营数据!$D179="","",T(原始经营数据!$E179))</f>
        <v>成都大悦城</v>
      </c>
      <c r="C178" t="str">
        <f>IF(原始经营数据!$D179="","",原始经营数据!$F179)</f>
        <v>2025Q2</v>
      </c>
      <c r="D178" t="str">
        <f>IF(原始经营数据!$D179="","",原始经营数据!$H179)</f>
        <v>期内租金单价水平</v>
      </c>
      <c r="E178">
        <f>IF(原始经营数据!$D179="","",原始经营数据!$I179)</f>
        <v>350.56</v>
      </c>
      <c r="F178" t="str">
        <f>IF(原始经营数据!$D179="","",T(原始经营数据!$J179))</f>
        <v>元/平方米/月</v>
      </c>
      <c r="G178" t="str">
        <f>IF(原始经营数据!$D179="","",T(原始经营数据!$K179))</f>
        <v/>
      </c>
      <c r="H178" t="str">
        <f>IF(原始经营数据!$D179="","",原始经营数据!$G179)</f>
        <v>服务价格</v>
      </c>
      <c r="I178" t="str">
        <f>IF($A178="","",IF($B178&lt;&gt;"",$B178,IF(COUNTIFS(原始经营数据!$D$3:$D$3001,$A178,原始经营数据!$E$3:$E$3001,"",原始经营数据!$F$3:$F$3001,$C178,原始经营数据!$H$3:$H$3001,$D178,原始经营数据!$K$3:$K$3001,$G178)&gt;1,"基金整体·来源"&amp;原始经营数据!$A179,"基金整体")))</f>
        <v>成都大悦城</v>
      </c>
      <c r="J178" t="str">
        <f t="shared" si="33"/>
        <v>季度</v>
      </c>
      <c r="K178" t="str">
        <f t="shared" si="34"/>
        <v>期内租金单价水平（元/平方米/月）</v>
      </c>
      <c r="L178" t="str">
        <f t="shared" si="35"/>
        <v>成都大悦城|期内租金单价水平（元/平方米/月）|季度</v>
      </c>
      <c r="M178">
        <f>IF($A178="",0,IF(COUNTIF($L$2:$L178,$L178)=1,1,0))</f>
        <v>0</v>
      </c>
      <c r="N178">
        <f t="shared" si="36"/>
        <v>20252</v>
      </c>
      <c r="O178" t="str">
        <f t="shared" si="37"/>
        <v>华夏大悦城购物中心封闭式基础设施证券投资基金|2025Q2|季度</v>
      </c>
      <c r="P178">
        <f>IF($A178="",0,IF(COUNTIF($O$2:$O178,$O178)=1,1,0))</f>
        <v>0</v>
      </c>
      <c r="Q178" t="str">
        <f>IF(AND($P178=1,$A178=经营数据!$B$3,$J178=经营数据!$BA$5),COUNTIFS($P$2:$P$3000,1,$A$2:$A$3000,$A178,$J$2:$J$3000,$J178,$N$2:$N$3000,"&lt;"&amp;$N178)+1,"")</f>
        <v/>
      </c>
      <c r="R178" t="str">
        <f t="shared" si="38"/>
        <v>华夏大悦城购物中心封闭式基础设施证券投资基金|成都大悦城</v>
      </c>
      <c r="S178">
        <f>IF($A178="",0,IF(COUNTIF($R$2:$R178,$R178)=1,1,0))</f>
        <v>0</v>
      </c>
      <c r="T178">
        <f t="shared" si="39"/>
        <v>156</v>
      </c>
      <c r="U178" t="str">
        <f>IF($A178="","",IF($A178=经营数据!$B$3,COUNTIFS($S$2:$S$3000,1,$A$2:$A$3000,$A178,$T$2:$T$3000,"&lt;"&amp;$T178)+1,""))</f>
        <v/>
      </c>
      <c r="V178" t="str">
        <f t="shared" si="40"/>
        <v>成都大悦城|服务价格</v>
      </c>
      <c r="W178">
        <f t="shared" si="41"/>
        <v>157</v>
      </c>
      <c r="X178" t="str">
        <f t="shared" si="42"/>
        <v>成都大悦城|期内租金单价水平</v>
      </c>
      <c r="Y178">
        <f t="shared" si="43"/>
        <v>157</v>
      </c>
      <c r="Z178">
        <f>IF($A178="",0,IF(AND($M178=1,$A178=经营数据!$B$3,$J178=经营数据!$BA$5,OR($I178=经营数据!$BA$4,COUNTIF(经营数据!$AA$9:$AA$38,$I178)&gt;0)),1,0))</f>
        <v>0</v>
      </c>
      <c r="AA178" t="str">
        <f t="shared" si="44"/>
        <v/>
      </c>
      <c r="AB178" t="str">
        <f t="shared" si="45"/>
        <v/>
      </c>
      <c r="AC178">
        <f>IF($A178="",0,IF(COUNTIF($A$2:$A178,$A178)=1,1,0))</f>
        <v>0</v>
      </c>
      <c r="AD178">
        <f t="shared" si="46"/>
        <v>3</v>
      </c>
      <c r="AE178" t="str">
        <f t="shared" si="47"/>
        <v>成都大悦城|期内租金单价水平（元/平方米/月）</v>
      </c>
      <c r="BA178" t="s">
        <v>5517</v>
      </c>
      <c r="BB178" t="s">
        <v>5518</v>
      </c>
      <c r="BP178" s="47">
        <v>45628</v>
      </c>
      <c r="BQ178" s="29">
        <v>5.3224684717143048E-2</v>
      </c>
    </row>
    <row r="179" spans="1:69" x14ac:dyDescent="0.4">
      <c r="A179" t="str">
        <f>IF(原始经营数据!$D180="","",原始经营数据!$D180)</f>
        <v>华夏大悦城购物中心封闭式基础设施证券投资基金</v>
      </c>
      <c r="B179" t="str">
        <f>IF(原始经营数据!$D180="","",T(原始经营数据!$E180))</f>
        <v>成都大悦城</v>
      </c>
      <c r="C179" t="str">
        <f>IF(原始经营数据!$D180="","",原始经营数据!$F180)</f>
        <v>2025Q2</v>
      </c>
      <c r="D179" t="str">
        <f>IF(原始经营数据!$D180="","",原始经营数据!$H180)</f>
        <v>期末剩余租期</v>
      </c>
      <c r="E179">
        <f>IF(原始经营数据!$D180="","",原始经营数据!$I180)</f>
        <v>3.49</v>
      </c>
      <c r="F179" t="str">
        <f>IF(原始经营数据!$D180="","",T(原始经营数据!$J180))</f>
        <v>年</v>
      </c>
      <c r="G179" t="str">
        <f>IF(原始经营数据!$D180="","",T(原始经营数据!$K180))</f>
        <v/>
      </c>
      <c r="H179" t="str">
        <f>IF(原始经营数据!$D180="","",原始经营数据!$G180)</f>
        <v>服务量</v>
      </c>
      <c r="I179" t="str">
        <f>IF($A179="","",IF($B179&lt;&gt;"",$B179,IF(COUNTIFS(原始经营数据!$D$3:$D$3001,$A179,原始经营数据!$E$3:$E$3001,"",原始经营数据!$F$3:$F$3001,$C179,原始经营数据!$H$3:$H$3001,$D179,原始经营数据!$K$3:$K$3001,$G179)&gt;1,"基金整体·来源"&amp;原始经营数据!$A180,"基金整体")))</f>
        <v>成都大悦城</v>
      </c>
      <c r="J179" t="str">
        <f t="shared" si="33"/>
        <v>季度</v>
      </c>
      <c r="K179" t="str">
        <f t="shared" si="34"/>
        <v>期末剩余租期（年）</v>
      </c>
      <c r="L179" t="str">
        <f t="shared" si="35"/>
        <v>成都大悦城|期末剩余租期（年）|季度</v>
      </c>
      <c r="M179">
        <f>IF($A179="",0,IF(COUNTIF($L$2:$L179,$L179)=1,1,0))</f>
        <v>0</v>
      </c>
      <c r="N179">
        <f t="shared" si="36"/>
        <v>20252</v>
      </c>
      <c r="O179" t="str">
        <f t="shared" si="37"/>
        <v>华夏大悦城购物中心封闭式基础设施证券投资基金|2025Q2|季度</v>
      </c>
      <c r="P179">
        <f>IF($A179="",0,IF(COUNTIF($O$2:$O179,$O179)=1,1,0))</f>
        <v>0</v>
      </c>
      <c r="Q179" t="str">
        <f>IF(AND($P179=1,$A179=经营数据!$B$3,$J179=经营数据!$BA$5),COUNTIFS($P$2:$P$3000,1,$A$2:$A$3000,$A179,$J$2:$J$3000,$J179,$N$2:$N$3000,"&lt;"&amp;$N179)+1,"")</f>
        <v/>
      </c>
      <c r="R179" t="str">
        <f t="shared" si="38"/>
        <v>华夏大悦城购物中心封闭式基础设施证券投资基金|成都大悦城</v>
      </c>
      <c r="S179">
        <f>IF($A179="",0,IF(COUNTIF($R$2:$R179,$R179)=1,1,0))</f>
        <v>0</v>
      </c>
      <c r="T179">
        <f t="shared" si="39"/>
        <v>156</v>
      </c>
      <c r="U179" t="str">
        <f>IF($A179="","",IF($A179=经营数据!$B$3,COUNTIFS($S$2:$S$3000,1,$A$2:$A$3000,$A179,$T$2:$T$3000,"&lt;"&amp;$T179)+1,""))</f>
        <v/>
      </c>
      <c r="V179" t="str">
        <f t="shared" si="40"/>
        <v>成都大悦城|服务量</v>
      </c>
      <c r="W179">
        <f t="shared" si="41"/>
        <v>156</v>
      </c>
      <c r="X179" t="str">
        <f t="shared" si="42"/>
        <v>成都大悦城|期末剩余租期</v>
      </c>
      <c r="Y179">
        <f t="shared" si="43"/>
        <v>156</v>
      </c>
      <c r="Z179">
        <f>IF($A179="",0,IF(AND($M179=1,$A179=经营数据!$B$3,$J179=经营数据!$BA$5,OR($I179=经营数据!$BA$4,COUNTIF(经营数据!$AA$9:$AA$38,$I179)&gt;0)),1,0))</f>
        <v>0</v>
      </c>
      <c r="AA179" t="str">
        <f t="shared" si="44"/>
        <v/>
      </c>
      <c r="AB179" t="str">
        <f t="shared" si="45"/>
        <v/>
      </c>
      <c r="AC179">
        <f>IF($A179="",0,IF(COUNTIF($A$2:$A179,$A179)=1,1,0))</f>
        <v>0</v>
      </c>
      <c r="AD179">
        <f t="shared" si="46"/>
        <v>3</v>
      </c>
      <c r="AE179" t="str">
        <f t="shared" si="47"/>
        <v>成都大悦城|期末剩余租期（年）</v>
      </c>
      <c r="BA179" t="s">
        <v>5519</v>
      </c>
      <c r="BB179" t="s">
        <v>5520</v>
      </c>
      <c r="BP179" s="47">
        <v>45629</v>
      </c>
      <c r="BQ179" s="29">
        <v>5.3038481336307008E-2</v>
      </c>
    </row>
    <row r="180" spans="1:69" x14ac:dyDescent="0.4">
      <c r="A180" t="str">
        <f>IF(原始经营数据!$D181="","",原始经营数据!$D181)</f>
        <v>华夏大悦城购物中心封闭式基础设施证券投资基金</v>
      </c>
      <c r="B180" t="str">
        <f>IF(原始经营数据!$D181="","",T(原始经营数据!$E181))</f>
        <v>成都大悦城</v>
      </c>
      <c r="C180" t="str">
        <f>IF(原始经营数据!$D181="","",原始经营数据!$F181)</f>
        <v>2025Q2</v>
      </c>
      <c r="D180" t="str">
        <f>IF(原始经营数据!$D181="","",原始经营数据!$H181)</f>
        <v>期末租金收缴率</v>
      </c>
      <c r="E180">
        <f>IF(原始经营数据!$D181="","",原始经营数据!$I181)</f>
        <v>99.22</v>
      </c>
      <c r="F180" t="str">
        <f>IF(原始经营数据!$D181="","",T(原始经营数据!$J181))</f>
        <v>%</v>
      </c>
      <c r="G180" t="str">
        <f>IF(原始经营数据!$D181="","",T(原始经营数据!$K181))</f>
        <v/>
      </c>
      <c r="H180" t="str">
        <f>IF(原始经营数据!$D181="","",原始经营数据!$G181)</f>
        <v>服务效率</v>
      </c>
      <c r="I180" t="str">
        <f>IF($A180="","",IF($B180&lt;&gt;"",$B180,IF(COUNTIFS(原始经营数据!$D$3:$D$3001,$A180,原始经营数据!$E$3:$E$3001,"",原始经营数据!$F$3:$F$3001,$C180,原始经营数据!$H$3:$H$3001,$D180,原始经营数据!$K$3:$K$3001,$G180)&gt;1,"基金整体·来源"&amp;原始经营数据!$A181,"基金整体")))</f>
        <v>成都大悦城</v>
      </c>
      <c r="J180" t="str">
        <f t="shared" si="33"/>
        <v>季度</v>
      </c>
      <c r="K180" t="str">
        <f t="shared" si="34"/>
        <v>期末租金收缴率（%）</v>
      </c>
      <c r="L180" t="str">
        <f t="shared" si="35"/>
        <v>成都大悦城|期末租金收缴率（%）|季度</v>
      </c>
      <c r="M180">
        <f>IF($A180="",0,IF(COUNTIF($L$2:$L180,$L180)=1,1,0))</f>
        <v>0</v>
      </c>
      <c r="N180">
        <f t="shared" si="36"/>
        <v>20252</v>
      </c>
      <c r="O180" t="str">
        <f t="shared" si="37"/>
        <v>华夏大悦城购物中心封闭式基础设施证券投资基金|2025Q2|季度</v>
      </c>
      <c r="P180">
        <f>IF($A180="",0,IF(COUNTIF($O$2:$O180,$O180)=1,1,0))</f>
        <v>0</v>
      </c>
      <c r="Q180" t="str">
        <f>IF(AND($P180=1,$A180=经营数据!$B$3,$J180=经营数据!$BA$5),COUNTIFS($P$2:$P$3000,1,$A$2:$A$3000,$A180,$J$2:$J$3000,$J180,$N$2:$N$3000,"&lt;"&amp;$N180)+1,"")</f>
        <v/>
      </c>
      <c r="R180" t="str">
        <f t="shared" si="38"/>
        <v>华夏大悦城购物中心封闭式基础设施证券投资基金|成都大悦城</v>
      </c>
      <c r="S180">
        <f>IF($A180="",0,IF(COUNTIF($R$2:$R180,$R180)=1,1,0))</f>
        <v>0</v>
      </c>
      <c r="T180">
        <f t="shared" si="39"/>
        <v>156</v>
      </c>
      <c r="U180" t="str">
        <f>IF($A180="","",IF($A180=经营数据!$B$3,COUNTIFS($S$2:$S$3000,1,$A$2:$A$3000,$A180,$T$2:$T$3000,"&lt;"&amp;$T180)+1,""))</f>
        <v/>
      </c>
      <c r="V180" t="str">
        <f t="shared" si="40"/>
        <v>成都大悦城|服务效率</v>
      </c>
      <c r="W180">
        <f t="shared" si="41"/>
        <v>158</v>
      </c>
      <c r="X180" t="str">
        <f t="shared" si="42"/>
        <v>成都大悦城|期末租金收缴率</v>
      </c>
      <c r="Y180">
        <f t="shared" si="43"/>
        <v>161</v>
      </c>
      <c r="Z180">
        <f>IF($A180="",0,IF(AND($M180=1,$A180=经营数据!$B$3,$J180=经营数据!$BA$5,OR($I180=经营数据!$BA$4,COUNTIF(经营数据!$AA$9:$AA$38,$I180)&gt;0)),1,0))</f>
        <v>0</v>
      </c>
      <c r="AA180" t="str">
        <f t="shared" si="44"/>
        <v/>
      </c>
      <c r="AB180" t="str">
        <f t="shared" si="45"/>
        <v/>
      </c>
      <c r="AC180">
        <f>IF($A180="",0,IF(COUNTIF($A$2:$A180,$A180)=1,1,0))</f>
        <v>0</v>
      </c>
      <c r="AD180">
        <f t="shared" si="46"/>
        <v>3</v>
      </c>
      <c r="AE180" t="str">
        <f t="shared" si="47"/>
        <v>成都大悦城|期末租金收缴率（%）</v>
      </c>
      <c r="BA180" t="s">
        <v>5521</v>
      </c>
      <c r="BB180" t="s">
        <v>5522</v>
      </c>
      <c r="BP180" s="47">
        <v>45630</v>
      </c>
      <c r="BQ180" s="29">
        <v>5.3137627371459717E-2</v>
      </c>
    </row>
    <row r="181" spans="1:69" x14ac:dyDescent="0.4">
      <c r="A181" t="str">
        <f>IF(原始经营数据!$D182="","",原始经营数据!$D182)</f>
        <v>华夏大悦城购物中心封闭式基础设施证券投资基金</v>
      </c>
      <c r="B181" t="str">
        <f>IF(原始经营数据!$D182="","",T(原始经营数据!$E182))</f>
        <v>成都大悦城</v>
      </c>
      <c r="C181" t="str">
        <f>IF(原始经营数据!$D182="","",原始经营数据!$F182)</f>
        <v>2025Q3</v>
      </c>
      <c r="D181" t="str">
        <f>IF(原始经营数据!$D182="","",原始经营数据!$H182)</f>
        <v>期末租金收缴率</v>
      </c>
      <c r="E181">
        <f>IF(原始经营数据!$D182="","",原始经营数据!$I182)</f>
        <v>99.61</v>
      </c>
      <c r="F181" t="str">
        <f>IF(原始经营数据!$D182="","",T(原始经营数据!$J182))</f>
        <v>%</v>
      </c>
      <c r="G181" t="str">
        <f>IF(原始经营数据!$D182="","",T(原始经营数据!$K182))</f>
        <v/>
      </c>
      <c r="H181" t="str">
        <f>IF(原始经营数据!$D182="","",原始经营数据!$G182)</f>
        <v>服务效率</v>
      </c>
      <c r="I181" t="str">
        <f>IF($A181="","",IF($B181&lt;&gt;"",$B181,IF(COUNTIFS(原始经营数据!$D$3:$D$3001,$A181,原始经营数据!$E$3:$E$3001,"",原始经营数据!$F$3:$F$3001,$C181,原始经营数据!$H$3:$H$3001,$D181,原始经营数据!$K$3:$K$3001,$G181)&gt;1,"基金整体·来源"&amp;原始经营数据!$A182,"基金整体")))</f>
        <v>成都大悦城</v>
      </c>
      <c r="J181" t="str">
        <f t="shared" si="33"/>
        <v>季度</v>
      </c>
      <c r="K181" t="str">
        <f t="shared" si="34"/>
        <v>期末租金收缴率（%）</v>
      </c>
      <c r="L181" t="str">
        <f t="shared" si="35"/>
        <v>成都大悦城|期末租金收缴率（%）|季度</v>
      </c>
      <c r="M181">
        <f>IF($A181="",0,IF(COUNTIF($L$2:$L181,$L181)=1,1,0))</f>
        <v>0</v>
      </c>
      <c r="N181">
        <f t="shared" si="36"/>
        <v>20253</v>
      </c>
      <c r="O181" t="str">
        <f t="shared" si="37"/>
        <v>华夏大悦城购物中心封闭式基础设施证券投资基金|2025Q3|季度</v>
      </c>
      <c r="P181">
        <f>IF($A181="",0,IF(COUNTIF($O$2:$O181,$O181)=1,1,0))</f>
        <v>1</v>
      </c>
      <c r="Q181" t="str">
        <f>IF(AND($P181=1,$A181=经营数据!$B$3,$J181=经营数据!$BA$5),COUNTIFS($P$2:$P$3000,1,$A$2:$A$3000,$A181,$J$2:$J$3000,$J181,$N$2:$N$3000,"&lt;"&amp;$N181)+1,"")</f>
        <v/>
      </c>
      <c r="R181" t="str">
        <f t="shared" si="38"/>
        <v>华夏大悦城购物中心封闭式基础设施证券投资基金|成都大悦城</v>
      </c>
      <c r="S181">
        <f>IF($A181="",0,IF(COUNTIF($R$2:$R181,$R181)=1,1,0))</f>
        <v>0</v>
      </c>
      <c r="T181">
        <f t="shared" si="39"/>
        <v>156</v>
      </c>
      <c r="U181" t="str">
        <f>IF($A181="","",IF($A181=经营数据!$B$3,COUNTIFS($S$2:$S$3000,1,$A$2:$A$3000,$A181,$T$2:$T$3000,"&lt;"&amp;$T181)+1,""))</f>
        <v/>
      </c>
      <c r="V181" t="str">
        <f t="shared" si="40"/>
        <v>成都大悦城|服务效率</v>
      </c>
      <c r="W181">
        <f t="shared" si="41"/>
        <v>158</v>
      </c>
      <c r="X181" t="str">
        <f t="shared" si="42"/>
        <v>成都大悦城|期末租金收缴率</v>
      </c>
      <c r="Y181">
        <f t="shared" si="43"/>
        <v>161</v>
      </c>
      <c r="Z181">
        <f>IF($A181="",0,IF(AND($M181=1,$A181=经营数据!$B$3,$J181=经营数据!$BA$5,OR($I181=经营数据!$BA$4,COUNTIF(经营数据!$AA$9:$AA$38,$I181)&gt;0)),1,0))</f>
        <v>0</v>
      </c>
      <c r="AA181" t="str">
        <f t="shared" si="44"/>
        <v/>
      </c>
      <c r="AB181" t="str">
        <f t="shared" si="45"/>
        <v/>
      </c>
      <c r="AC181">
        <f>IF($A181="",0,IF(COUNTIF($A$2:$A181,$A181)=1,1,0))</f>
        <v>0</v>
      </c>
      <c r="AD181">
        <f t="shared" si="46"/>
        <v>3</v>
      </c>
      <c r="AE181" t="str">
        <f t="shared" si="47"/>
        <v>成都大悦城|期末租金收缴率（%）</v>
      </c>
      <c r="BA181" t="s">
        <v>5523</v>
      </c>
      <c r="BB181" t="s">
        <v>5224</v>
      </c>
      <c r="BP181" s="47">
        <v>45631</v>
      </c>
      <c r="BQ181" s="29">
        <v>5.3064780898281018E-2</v>
      </c>
    </row>
    <row r="182" spans="1:69" x14ac:dyDescent="0.4">
      <c r="A182" t="str">
        <f>IF(原始经营数据!$D183="","",原始经营数据!$D183)</f>
        <v>华夏大悦城购物中心封闭式基础设施证券投资基金</v>
      </c>
      <c r="B182" t="str">
        <f>IF(原始经营数据!$D183="","",T(原始经营数据!$E183))</f>
        <v>成都大悦城</v>
      </c>
      <c r="C182" t="str">
        <f>IF(原始经营数据!$D183="","",原始经营数据!$F183)</f>
        <v>2025Q3</v>
      </c>
      <c r="D182" t="str">
        <f>IF(原始经营数据!$D183="","",原始经营数据!$H183)</f>
        <v>期末剩余租期</v>
      </c>
      <c r="E182">
        <f>IF(原始经营数据!$D183="","",原始经营数据!$I183)</f>
        <v>3.32</v>
      </c>
      <c r="F182" t="str">
        <f>IF(原始经营数据!$D183="","",T(原始经营数据!$J183))</f>
        <v>年</v>
      </c>
      <c r="G182" t="str">
        <f>IF(原始经营数据!$D183="","",T(原始经营数据!$K183))</f>
        <v/>
      </c>
      <c r="H182" t="str">
        <f>IF(原始经营数据!$D183="","",原始经营数据!$G183)</f>
        <v>服务量</v>
      </c>
      <c r="I182" t="str">
        <f>IF($A182="","",IF($B182&lt;&gt;"",$B182,IF(COUNTIFS(原始经营数据!$D$3:$D$3001,$A182,原始经营数据!$E$3:$E$3001,"",原始经营数据!$F$3:$F$3001,$C182,原始经营数据!$H$3:$H$3001,$D182,原始经营数据!$K$3:$K$3001,$G182)&gt;1,"基金整体·来源"&amp;原始经营数据!$A183,"基金整体")))</f>
        <v>成都大悦城</v>
      </c>
      <c r="J182" t="str">
        <f t="shared" si="33"/>
        <v>季度</v>
      </c>
      <c r="K182" t="str">
        <f t="shared" si="34"/>
        <v>期末剩余租期（年）</v>
      </c>
      <c r="L182" t="str">
        <f t="shared" si="35"/>
        <v>成都大悦城|期末剩余租期（年）|季度</v>
      </c>
      <c r="M182">
        <f>IF($A182="",0,IF(COUNTIF($L$2:$L182,$L182)=1,1,0))</f>
        <v>0</v>
      </c>
      <c r="N182">
        <f t="shared" si="36"/>
        <v>20253</v>
      </c>
      <c r="O182" t="str">
        <f t="shared" si="37"/>
        <v>华夏大悦城购物中心封闭式基础设施证券投资基金|2025Q3|季度</v>
      </c>
      <c r="P182">
        <f>IF($A182="",0,IF(COUNTIF($O$2:$O182,$O182)=1,1,0))</f>
        <v>0</v>
      </c>
      <c r="Q182" t="str">
        <f>IF(AND($P182=1,$A182=经营数据!$B$3,$J182=经营数据!$BA$5),COUNTIFS($P$2:$P$3000,1,$A$2:$A$3000,$A182,$J$2:$J$3000,$J182,$N$2:$N$3000,"&lt;"&amp;$N182)+1,"")</f>
        <v/>
      </c>
      <c r="R182" t="str">
        <f t="shared" si="38"/>
        <v>华夏大悦城购物中心封闭式基础设施证券投资基金|成都大悦城</v>
      </c>
      <c r="S182">
        <f>IF($A182="",0,IF(COUNTIF($R$2:$R182,$R182)=1,1,0))</f>
        <v>0</v>
      </c>
      <c r="T182">
        <f t="shared" si="39"/>
        <v>156</v>
      </c>
      <c r="U182" t="str">
        <f>IF($A182="","",IF($A182=经营数据!$B$3,COUNTIFS($S$2:$S$3000,1,$A$2:$A$3000,$A182,$T$2:$T$3000,"&lt;"&amp;$T182)+1,""))</f>
        <v/>
      </c>
      <c r="V182" t="str">
        <f t="shared" si="40"/>
        <v>成都大悦城|服务量</v>
      </c>
      <c r="W182">
        <f t="shared" si="41"/>
        <v>156</v>
      </c>
      <c r="X182" t="str">
        <f t="shared" si="42"/>
        <v>成都大悦城|期末剩余租期</v>
      </c>
      <c r="Y182">
        <f t="shared" si="43"/>
        <v>156</v>
      </c>
      <c r="Z182">
        <f>IF($A182="",0,IF(AND($M182=1,$A182=经营数据!$B$3,$J182=经营数据!$BA$5,OR($I182=经营数据!$BA$4,COUNTIF(经营数据!$AA$9:$AA$38,$I182)&gt;0)),1,0))</f>
        <v>0</v>
      </c>
      <c r="AA182" t="str">
        <f t="shared" si="44"/>
        <v/>
      </c>
      <c r="AB182" t="str">
        <f t="shared" si="45"/>
        <v/>
      </c>
      <c r="AC182">
        <f>IF($A182="",0,IF(COUNTIF($A$2:$A182,$A182)=1,1,0))</f>
        <v>0</v>
      </c>
      <c r="AD182">
        <f t="shared" si="46"/>
        <v>3</v>
      </c>
      <c r="AE182" t="str">
        <f t="shared" si="47"/>
        <v>成都大悦城|期末剩余租期（年）</v>
      </c>
      <c r="BA182" t="s">
        <v>5524</v>
      </c>
      <c r="BB182" t="s">
        <v>5525</v>
      </c>
      <c r="BP182" s="47">
        <v>45632</v>
      </c>
      <c r="BQ182" s="29">
        <v>5.2995221192480603E-2</v>
      </c>
    </row>
    <row r="183" spans="1:69" x14ac:dyDescent="0.4">
      <c r="A183" t="str">
        <f>IF(原始经营数据!$D184="","",原始经营数据!$D184)</f>
        <v>华夏大悦城购物中心封闭式基础设施证券投资基金</v>
      </c>
      <c r="B183" t="str">
        <f>IF(原始经营数据!$D184="","",T(原始经营数据!$E184))</f>
        <v>成都大悦城</v>
      </c>
      <c r="C183" t="str">
        <f>IF(原始经营数据!$D184="","",原始经营数据!$F184)</f>
        <v>2025Q3</v>
      </c>
      <c r="D183" t="str">
        <f>IF(原始经营数据!$D184="","",原始经营数据!$H184)</f>
        <v>期内租金单价水平</v>
      </c>
      <c r="E183">
        <f>IF(原始经营数据!$D184="","",原始经营数据!$I184)</f>
        <v>359.49</v>
      </c>
      <c r="F183" t="str">
        <f>IF(原始经营数据!$D184="","",T(原始经营数据!$J184))</f>
        <v>元/平方米/月</v>
      </c>
      <c r="G183" t="str">
        <f>IF(原始经营数据!$D184="","",T(原始经营数据!$K184))</f>
        <v/>
      </c>
      <c r="H183" t="str">
        <f>IF(原始经营数据!$D184="","",原始经营数据!$G184)</f>
        <v>服务价格</v>
      </c>
      <c r="I183" t="str">
        <f>IF($A183="","",IF($B183&lt;&gt;"",$B183,IF(COUNTIFS(原始经营数据!$D$3:$D$3001,$A183,原始经营数据!$E$3:$E$3001,"",原始经营数据!$F$3:$F$3001,$C183,原始经营数据!$H$3:$H$3001,$D183,原始经营数据!$K$3:$K$3001,$G183)&gt;1,"基金整体·来源"&amp;原始经营数据!$A184,"基金整体")))</f>
        <v>成都大悦城</v>
      </c>
      <c r="J183" t="str">
        <f t="shared" si="33"/>
        <v>季度</v>
      </c>
      <c r="K183" t="str">
        <f t="shared" si="34"/>
        <v>期内租金单价水平（元/平方米/月）</v>
      </c>
      <c r="L183" t="str">
        <f t="shared" si="35"/>
        <v>成都大悦城|期内租金单价水平（元/平方米/月）|季度</v>
      </c>
      <c r="M183">
        <f>IF($A183="",0,IF(COUNTIF($L$2:$L183,$L183)=1,1,0))</f>
        <v>0</v>
      </c>
      <c r="N183">
        <f t="shared" si="36"/>
        <v>20253</v>
      </c>
      <c r="O183" t="str">
        <f t="shared" si="37"/>
        <v>华夏大悦城购物中心封闭式基础设施证券投资基金|2025Q3|季度</v>
      </c>
      <c r="P183">
        <f>IF($A183="",0,IF(COUNTIF($O$2:$O183,$O183)=1,1,0))</f>
        <v>0</v>
      </c>
      <c r="Q183" t="str">
        <f>IF(AND($P183=1,$A183=经营数据!$B$3,$J183=经营数据!$BA$5),COUNTIFS($P$2:$P$3000,1,$A$2:$A$3000,$A183,$J$2:$J$3000,$J183,$N$2:$N$3000,"&lt;"&amp;$N183)+1,"")</f>
        <v/>
      </c>
      <c r="R183" t="str">
        <f t="shared" si="38"/>
        <v>华夏大悦城购物中心封闭式基础设施证券投资基金|成都大悦城</v>
      </c>
      <c r="S183">
        <f>IF($A183="",0,IF(COUNTIF($R$2:$R183,$R183)=1,1,0))</f>
        <v>0</v>
      </c>
      <c r="T183">
        <f t="shared" si="39"/>
        <v>156</v>
      </c>
      <c r="U183" t="str">
        <f>IF($A183="","",IF($A183=经营数据!$B$3,COUNTIFS($S$2:$S$3000,1,$A$2:$A$3000,$A183,$T$2:$T$3000,"&lt;"&amp;$T183)+1,""))</f>
        <v/>
      </c>
      <c r="V183" t="str">
        <f t="shared" si="40"/>
        <v>成都大悦城|服务价格</v>
      </c>
      <c r="W183">
        <f t="shared" si="41"/>
        <v>157</v>
      </c>
      <c r="X183" t="str">
        <f t="shared" si="42"/>
        <v>成都大悦城|期内租金单价水平</v>
      </c>
      <c r="Y183">
        <f t="shared" si="43"/>
        <v>157</v>
      </c>
      <c r="Z183">
        <f>IF($A183="",0,IF(AND($M183=1,$A183=经营数据!$B$3,$J183=经营数据!$BA$5,OR($I183=经营数据!$BA$4,COUNTIF(经营数据!$AA$9:$AA$38,$I183)&gt;0)),1,0))</f>
        <v>0</v>
      </c>
      <c r="AA183" t="str">
        <f t="shared" si="44"/>
        <v/>
      </c>
      <c r="AB183" t="str">
        <f t="shared" si="45"/>
        <v/>
      </c>
      <c r="AC183">
        <f>IF($A183="",0,IF(COUNTIF($A$2:$A183,$A183)=1,1,0))</f>
        <v>0</v>
      </c>
      <c r="AD183">
        <f t="shared" si="46"/>
        <v>3</v>
      </c>
      <c r="AE183" t="str">
        <f t="shared" si="47"/>
        <v>成都大悦城|期内租金单价水平（元/平方米/月）</v>
      </c>
      <c r="BA183" t="s">
        <v>5526</v>
      </c>
      <c r="BB183" t="s">
        <v>5527</v>
      </c>
      <c r="BP183" s="47">
        <v>45635</v>
      </c>
      <c r="BQ183" s="29">
        <v>5.2788653109101462E-2</v>
      </c>
    </row>
    <row r="184" spans="1:69" x14ac:dyDescent="0.4">
      <c r="A184" t="str">
        <f>IF(原始经营数据!$D185="","",原始经营数据!$D185)</f>
        <v>华夏大悦城购物中心封闭式基础设施证券投资基金</v>
      </c>
      <c r="B184" t="str">
        <f>IF(原始经营数据!$D185="","",T(原始经营数据!$E185))</f>
        <v>成都大悦城</v>
      </c>
      <c r="C184" t="str">
        <f>IF(原始经营数据!$D185="","",原始经营数据!$F185)</f>
        <v>2025Q3</v>
      </c>
      <c r="D184" t="str">
        <f>IF(原始经营数据!$D185="","",原始经营数据!$H185)</f>
        <v>期末出租率</v>
      </c>
      <c r="E184">
        <f>IF(原始经营数据!$D185="","",原始经营数据!$I185)</f>
        <v>97.05</v>
      </c>
      <c r="F184" t="str">
        <f>IF(原始经营数据!$D185="","",T(原始经营数据!$J185))</f>
        <v>%</v>
      </c>
      <c r="G184" t="str">
        <f>IF(原始经营数据!$D185="","",T(原始经营数据!$K185))</f>
        <v/>
      </c>
      <c r="H184" t="str">
        <f>IF(原始经营数据!$D185="","",原始经营数据!$G185)</f>
        <v>服务效率</v>
      </c>
      <c r="I184" t="str">
        <f>IF($A184="","",IF($B184&lt;&gt;"",$B184,IF(COUNTIFS(原始经营数据!$D$3:$D$3001,$A184,原始经营数据!$E$3:$E$3001,"",原始经营数据!$F$3:$F$3001,$C184,原始经营数据!$H$3:$H$3001,$D184,原始经营数据!$K$3:$K$3001,$G184)&gt;1,"基金整体·来源"&amp;原始经营数据!$A185,"基金整体")))</f>
        <v>成都大悦城</v>
      </c>
      <c r="J184" t="str">
        <f t="shared" si="33"/>
        <v>季度</v>
      </c>
      <c r="K184" t="str">
        <f t="shared" si="34"/>
        <v>期末出租率（%）</v>
      </c>
      <c r="L184" t="str">
        <f t="shared" si="35"/>
        <v>成都大悦城|期末出租率（%）|季度</v>
      </c>
      <c r="M184">
        <f>IF($A184="",0,IF(COUNTIF($L$2:$L184,$L184)=1,1,0))</f>
        <v>0</v>
      </c>
      <c r="N184">
        <f t="shared" si="36"/>
        <v>20253</v>
      </c>
      <c r="O184" t="str">
        <f t="shared" si="37"/>
        <v>华夏大悦城购物中心封闭式基础设施证券投资基金|2025Q3|季度</v>
      </c>
      <c r="P184">
        <f>IF($A184="",0,IF(COUNTIF($O$2:$O184,$O184)=1,1,0))</f>
        <v>0</v>
      </c>
      <c r="Q184" t="str">
        <f>IF(AND($P184=1,$A184=经营数据!$B$3,$J184=经营数据!$BA$5),COUNTIFS($P$2:$P$3000,1,$A$2:$A$3000,$A184,$J$2:$J$3000,$J184,$N$2:$N$3000,"&lt;"&amp;$N184)+1,"")</f>
        <v/>
      </c>
      <c r="R184" t="str">
        <f t="shared" si="38"/>
        <v>华夏大悦城购物中心封闭式基础设施证券投资基金|成都大悦城</v>
      </c>
      <c r="S184">
        <f>IF($A184="",0,IF(COUNTIF($R$2:$R184,$R184)=1,1,0))</f>
        <v>0</v>
      </c>
      <c r="T184">
        <f t="shared" si="39"/>
        <v>156</v>
      </c>
      <c r="U184" t="str">
        <f>IF($A184="","",IF($A184=经营数据!$B$3,COUNTIFS($S$2:$S$3000,1,$A$2:$A$3000,$A184,$T$2:$T$3000,"&lt;"&amp;$T184)+1,""))</f>
        <v/>
      </c>
      <c r="V184" t="str">
        <f t="shared" si="40"/>
        <v>成都大悦城|服务效率</v>
      </c>
      <c r="W184">
        <f t="shared" si="41"/>
        <v>158</v>
      </c>
      <c r="X184" t="str">
        <f t="shared" si="42"/>
        <v>成都大悦城|期末出租率</v>
      </c>
      <c r="Y184">
        <f t="shared" si="43"/>
        <v>158</v>
      </c>
      <c r="Z184">
        <f>IF($A184="",0,IF(AND($M184=1,$A184=经营数据!$B$3,$J184=经营数据!$BA$5,OR($I184=经营数据!$BA$4,COUNTIF(经营数据!$AA$9:$AA$38,$I184)&gt;0)),1,0))</f>
        <v>0</v>
      </c>
      <c r="AA184" t="str">
        <f t="shared" si="44"/>
        <v/>
      </c>
      <c r="AB184" t="str">
        <f t="shared" si="45"/>
        <v/>
      </c>
      <c r="AC184">
        <f>IF($A184="",0,IF(COUNTIF($A$2:$A184,$A184)=1,1,0))</f>
        <v>0</v>
      </c>
      <c r="AD184">
        <f t="shared" si="46"/>
        <v>3</v>
      </c>
      <c r="AE184" t="str">
        <f t="shared" si="47"/>
        <v>成都大悦城|期末出租率（%）</v>
      </c>
      <c r="BA184" t="s">
        <v>5528</v>
      </c>
      <c r="BB184" t="s">
        <v>5529</v>
      </c>
      <c r="BP184" s="47">
        <v>45636</v>
      </c>
      <c r="BQ184" s="29">
        <v>5.2083890913645507E-2</v>
      </c>
    </row>
    <row r="185" spans="1:69" x14ac:dyDescent="0.4">
      <c r="A185" t="str">
        <f>IF(原始经营数据!$D186="","",原始经营数据!$D186)</f>
        <v>华夏大悦城购物中心封闭式基础设施证券投资基金</v>
      </c>
      <c r="B185" t="str">
        <f>IF(原始经营数据!$D186="","",T(原始经营数据!$E186))</f>
        <v>成都大悦城</v>
      </c>
      <c r="C185" t="str">
        <f>IF(原始经营数据!$D186="","",原始经营数据!$F186)</f>
        <v>2025Q3</v>
      </c>
      <c r="D185" t="str">
        <f>IF(原始经营数据!$D186="","",原始经营数据!$H186)</f>
        <v>期末实际出租面积</v>
      </c>
      <c r="E185">
        <f>IF(原始经营数据!$D186="","",原始经营数据!$I186)</f>
        <v>82952.22</v>
      </c>
      <c r="F185" t="str">
        <f>IF(原始经营数据!$D186="","",T(原始经营数据!$J186))</f>
        <v>平方米</v>
      </c>
      <c r="G185" t="str">
        <f>IF(原始经营数据!$D186="","",T(原始经营数据!$K186))</f>
        <v/>
      </c>
      <c r="H185" t="str">
        <f>IF(原始经营数据!$D186="","",原始经营数据!$G186)</f>
        <v>服务量</v>
      </c>
      <c r="I185" t="str">
        <f>IF($A185="","",IF($B185&lt;&gt;"",$B185,IF(COUNTIFS(原始经营数据!$D$3:$D$3001,$A185,原始经营数据!$E$3:$E$3001,"",原始经营数据!$F$3:$F$3001,$C185,原始经营数据!$H$3:$H$3001,$D185,原始经营数据!$K$3:$K$3001,$G185)&gt;1,"基金整体·来源"&amp;原始经营数据!$A186,"基金整体")))</f>
        <v>成都大悦城</v>
      </c>
      <c r="J185" t="str">
        <f t="shared" si="33"/>
        <v>季度</v>
      </c>
      <c r="K185" t="str">
        <f t="shared" si="34"/>
        <v>期末实际出租面积（平方米）</v>
      </c>
      <c r="L185" t="str">
        <f t="shared" si="35"/>
        <v>成都大悦城|期末实际出租面积（平方米）|季度</v>
      </c>
      <c r="M185">
        <f>IF($A185="",0,IF(COUNTIF($L$2:$L185,$L185)=1,1,0))</f>
        <v>0</v>
      </c>
      <c r="N185">
        <f t="shared" si="36"/>
        <v>20253</v>
      </c>
      <c r="O185" t="str">
        <f t="shared" si="37"/>
        <v>华夏大悦城购物中心封闭式基础设施证券投资基金|2025Q3|季度</v>
      </c>
      <c r="P185">
        <f>IF($A185="",0,IF(COUNTIF($O$2:$O185,$O185)=1,1,0))</f>
        <v>0</v>
      </c>
      <c r="Q185" t="str">
        <f>IF(AND($P185=1,$A185=经营数据!$B$3,$J185=经营数据!$BA$5),COUNTIFS($P$2:$P$3000,1,$A$2:$A$3000,$A185,$J$2:$J$3000,$J185,$N$2:$N$3000,"&lt;"&amp;$N185)+1,"")</f>
        <v/>
      </c>
      <c r="R185" t="str">
        <f t="shared" si="38"/>
        <v>华夏大悦城购物中心封闭式基础设施证券投资基金|成都大悦城</v>
      </c>
      <c r="S185">
        <f>IF($A185="",0,IF(COUNTIF($R$2:$R185,$R185)=1,1,0))</f>
        <v>0</v>
      </c>
      <c r="T185">
        <f t="shared" si="39"/>
        <v>156</v>
      </c>
      <c r="U185" t="str">
        <f>IF($A185="","",IF($A185=经营数据!$B$3,COUNTIFS($S$2:$S$3000,1,$A$2:$A$3000,$A185,$T$2:$T$3000,"&lt;"&amp;$T185)+1,""))</f>
        <v/>
      </c>
      <c r="V185" t="str">
        <f t="shared" si="40"/>
        <v>成都大悦城|服务量</v>
      </c>
      <c r="W185">
        <f t="shared" si="41"/>
        <v>156</v>
      </c>
      <c r="X185" t="str">
        <f t="shared" si="42"/>
        <v>成都大悦城|期末实际出租面积</v>
      </c>
      <c r="Y185">
        <f t="shared" si="43"/>
        <v>159</v>
      </c>
      <c r="Z185">
        <f>IF($A185="",0,IF(AND($M185=1,$A185=经营数据!$B$3,$J185=经营数据!$BA$5,OR($I185=经营数据!$BA$4,COUNTIF(经营数据!$AA$9:$AA$38,$I185)&gt;0)),1,0))</f>
        <v>0</v>
      </c>
      <c r="AA185" t="str">
        <f t="shared" si="44"/>
        <v/>
      </c>
      <c r="AB185" t="str">
        <f t="shared" si="45"/>
        <v/>
      </c>
      <c r="AC185">
        <f>IF($A185="",0,IF(COUNTIF($A$2:$A185,$A185)=1,1,0))</f>
        <v>0</v>
      </c>
      <c r="AD185">
        <f t="shared" si="46"/>
        <v>3</v>
      </c>
      <c r="AE185" t="str">
        <f t="shared" si="47"/>
        <v>成都大悦城|期末实际出租面积（平方米）</v>
      </c>
      <c r="BA185" t="s">
        <v>5530</v>
      </c>
      <c r="BB185" t="s">
        <v>5531</v>
      </c>
      <c r="BP185" s="47">
        <v>45637</v>
      </c>
      <c r="BQ185" s="29">
        <v>5.1112744380501958E-2</v>
      </c>
    </row>
    <row r="186" spans="1:69" x14ac:dyDescent="0.4">
      <c r="A186" t="str">
        <f>IF(原始经营数据!$D187="","",原始经营数据!$D187)</f>
        <v>华夏大悦城购物中心封闭式基础设施证券投资基金</v>
      </c>
      <c r="B186" t="str">
        <f>IF(原始经营数据!$D187="","",T(原始经营数据!$E187))</f>
        <v>成都大悦城</v>
      </c>
      <c r="C186" t="str">
        <f>IF(原始经营数据!$D187="","",原始经营数据!$F187)</f>
        <v>2025Q3</v>
      </c>
      <c r="D186" t="str">
        <f>IF(原始经营数据!$D187="","",原始经营数据!$H187)</f>
        <v>期末可供出租面积</v>
      </c>
      <c r="E186">
        <f>IF(原始经营数据!$D187="","",原始经营数据!$I187)</f>
        <v>85474.87</v>
      </c>
      <c r="F186" t="str">
        <f>IF(原始经营数据!$D187="","",T(原始经营数据!$J187))</f>
        <v>平方米</v>
      </c>
      <c r="G186" t="str">
        <f>IF(原始经营数据!$D187="","",T(原始经营数据!$K187))</f>
        <v/>
      </c>
      <c r="H186" t="str">
        <f>IF(原始经营数据!$D187="","",原始经营数据!$G187)</f>
        <v>服务量</v>
      </c>
      <c r="I186" t="str">
        <f>IF($A186="","",IF($B186&lt;&gt;"",$B186,IF(COUNTIFS(原始经营数据!$D$3:$D$3001,$A186,原始经营数据!$E$3:$E$3001,"",原始经营数据!$F$3:$F$3001,$C186,原始经营数据!$H$3:$H$3001,$D186,原始经营数据!$K$3:$K$3001,$G186)&gt;1,"基金整体·来源"&amp;原始经营数据!$A187,"基金整体")))</f>
        <v>成都大悦城</v>
      </c>
      <c r="J186" t="str">
        <f t="shared" si="33"/>
        <v>季度</v>
      </c>
      <c r="K186" t="str">
        <f t="shared" si="34"/>
        <v>期末可供出租面积（平方米）</v>
      </c>
      <c r="L186" t="str">
        <f t="shared" si="35"/>
        <v>成都大悦城|期末可供出租面积（平方米）|季度</v>
      </c>
      <c r="M186">
        <f>IF($A186="",0,IF(COUNTIF($L$2:$L186,$L186)=1,1,0))</f>
        <v>0</v>
      </c>
      <c r="N186">
        <f t="shared" si="36"/>
        <v>20253</v>
      </c>
      <c r="O186" t="str">
        <f t="shared" si="37"/>
        <v>华夏大悦城购物中心封闭式基础设施证券投资基金|2025Q3|季度</v>
      </c>
      <c r="P186">
        <f>IF($A186="",0,IF(COUNTIF($O$2:$O186,$O186)=1,1,0))</f>
        <v>0</v>
      </c>
      <c r="Q186" t="str">
        <f>IF(AND($P186=1,$A186=经营数据!$B$3,$J186=经营数据!$BA$5),COUNTIFS($P$2:$P$3000,1,$A$2:$A$3000,$A186,$J$2:$J$3000,$J186,$N$2:$N$3000,"&lt;"&amp;$N186)+1,"")</f>
        <v/>
      </c>
      <c r="R186" t="str">
        <f t="shared" si="38"/>
        <v>华夏大悦城购物中心封闭式基础设施证券投资基金|成都大悦城</v>
      </c>
      <c r="S186">
        <f>IF($A186="",0,IF(COUNTIF($R$2:$R186,$R186)=1,1,0))</f>
        <v>0</v>
      </c>
      <c r="T186">
        <f t="shared" si="39"/>
        <v>156</v>
      </c>
      <c r="U186" t="str">
        <f>IF($A186="","",IF($A186=经营数据!$B$3,COUNTIFS($S$2:$S$3000,1,$A$2:$A$3000,$A186,$T$2:$T$3000,"&lt;"&amp;$T186)+1,""))</f>
        <v/>
      </c>
      <c r="V186" t="str">
        <f t="shared" si="40"/>
        <v>成都大悦城|服务量</v>
      </c>
      <c r="W186">
        <f t="shared" si="41"/>
        <v>156</v>
      </c>
      <c r="X186" t="str">
        <f t="shared" si="42"/>
        <v>成都大悦城|期末可供出租面积</v>
      </c>
      <c r="Y186">
        <f t="shared" si="43"/>
        <v>160</v>
      </c>
      <c r="Z186">
        <f>IF($A186="",0,IF(AND($M186=1,$A186=经营数据!$B$3,$J186=经营数据!$BA$5,OR($I186=经营数据!$BA$4,COUNTIF(经营数据!$AA$9:$AA$38,$I186)&gt;0)),1,0))</f>
        <v>0</v>
      </c>
      <c r="AA186" t="str">
        <f t="shared" si="44"/>
        <v/>
      </c>
      <c r="AB186" t="str">
        <f t="shared" si="45"/>
        <v/>
      </c>
      <c r="AC186">
        <f>IF($A186="",0,IF(COUNTIF($A$2:$A186,$A186)=1,1,0))</f>
        <v>0</v>
      </c>
      <c r="AD186">
        <f t="shared" si="46"/>
        <v>3</v>
      </c>
      <c r="AE186" t="str">
        <f t="shared" si="47"/>
        <v>成都大悦城|期末可供出租面积（平方米）</v>
      </c>
      <c r="BA186" t="s">
        <v>5532</v>
      </c>
      <c r="BB186" t="s">
        <v>5533</v>
      </c>
      <c r="BP186" s="47">
        <v>45638</v>
      </c>
      <c r="BQ186" s="29">
        <v>5.0688834201238937E-2</v>
      </c>
    </row>
    <row r="187" spans="1:69" x14ac:dyDescent="0.4">
      <c r="A187" t="str">
        <f>IF(原始经营数据!$D188="","",原始经营数据!$D188)</f>
        <v>华夏大悦城购物中心封闭式基础设施证券投资基金</v>
      </c>
      <c r="B187" t="str">
        <f>IF(原始经营数据!$D188="","",T(原始经营数据!$E188))</f>
        <v>成都大悦城</v>
      </c>
      <c r="C187" t="str">
        <f>IF(原始经营数据!$D188="","",原始经营数据!$F188)</f>
        <v>2025Q4</v>
      </c>
      <c r="D187" t="str">
        <f>IF(原始经营数据!$D188="","",原始经营数据!$H188)</f>
        <v>期末可供出租面积</v>
      </c>
      <c r="E187">
        <f>IF(原始经营数据!$D188="","",原始经营数据!$I188)</f>
        <v>85590.84</v>
      </c>
      <c r="F187" t="str">
        <f>IF(原始经营数据!$D188="","",T(原始经营数据!$J188))</f>
        <v>平方米</v>
      </c>
      <c r="G187" t="str">
        <f>IF(原始经营数据!$D188="","",T(原始经营数据!$K188))</f>
        <v/>
      </c>
      <c r="H187" t="str">
        <f>IF(原始经营数据!$D188="","",原始经营数据!$G188)</f>
        <v>服务量</v>
      </c>
      <c r="I187" t="str">
        <f>IF($A187="","",IF($B187&lt;&gt;"",$B187,IF(COUNTIFS(原始经营数据!$D$3:$D$3001,$A187,原始经营数据!$E$3:$E$3001,"",原始经营数据!$F$3:$F$3001,$C187,原始经营数据!$H$3:$H$3001,$D187,原始经营数据!$K$3:$K$3001,$G187)&gt;1,"基金整体·来源"&amp;原始经营数据!$A188,"基金整体")))</f>
        <v>成都大悦城</v>
      </c>
      <c r="J187" t="str">
        <f t="shared" si="33"/>
        <v>季度</v>
      </c>
      <c r="K187" t="str">
        <f t="shared" si="34"/>
        <v>期末可供出租面积（平方米）</v>
      </c>
      <c r="L187" t="str">
        <f t="shared" si="35"/>
        <v>成都大悦城|期末可供出租面积（平方米）|季度</v>
      </c>
      <c r="M187">
        <f>IF($A187="",0,IF(COUNTIF($L$2:$L187,$L187)=1,1,0))</f>
        <v>0</v>
      </c>
      <c r="N187">
        <f t="shared" si="36"/>
        <v>20254</v>
      </c>
      <c r="O187" t="str">
        <f t="shared" si="37"/>
        <v>华夏大悦城购物中心封闭式基础设施证券投资基金|2025Q4|季度</v>
      </c>
      <c r="P187">
        <f>IF($A187="",0,IF(COUNTIF($O$2:$O187,$O187)=1,1,0))</f>
        <v>1</v>
      </c>
      <c r="Q187" t="str">
        <f>IF(AND($P187=1,$A187=经营数据!$B$3,$J187=经营数据!$BA$5),COUNTIFS($P$2:$P$3000,1,$A$2:$A$3000,$A187,$J$2:$J$3000,$J187,$N$2:$N$3000,"&lt;"&amp;$N187)+1,"")</f>
        <v/>
      </c>
      <c r="R187" t="str">
        <f t="shared" si="38"/>
        <v>华夏大悦城购物中心封闭式基础设施证券投资基金|成都大悦城</v>
      </c>
      <c r="S187">
        <f>IF($A187="",0,IF(COUNTIF($R$2:$R187,$R187)=1,1,0))</f>
        <v>0</v>
      </c>
      <c r="T187">
        <f t="shared" si="39"/>
        <v>156</v>
      </c>
      <c r="U187" t="str">
        <f>IF($A187="","",IF($A187=经营数据!$B$3,COUNTIFS($S$2:$S$3000,1,$A$2:$A$3000,$A187,$T$2:$T$3000,"&lt;"&amp;$T187)+1,""))</f>
        <v/>
      </c>
      <c r="V187" t="str">
        <f t="shared" si="40"/>
        <v>成都大悦城|服务量</v>
      </c>
      <c r="W187">
        <f t="shared" si="41"/>
        <v>156</v>
      </c>
      <c r="X187" t="str">
        <f t="shared" si="42"/>
        <v>成都大悦城|期末可供出租面积</v>
      </c>
      <c r="Y187">
        <f t="shared" si="43"/>
        <v>160</v>
      </c>
      <c r="Z187">
        <f>IF($A187="",0,IF(AND($M187=1,$A187=经营数据!$B$3,$J187=经营数据!$BA$5,OR($I187=经营数据!$BA$4,COUNTIF(经营数据!$AA$9:$AA$38,$I187)&gt;0)),1,0))</f>
        <v>0</v>
      </c>
      <c r="AA187" t="str">
        <f t="shared" si="44"/>
        <v/>
      </c>
      <c r="AB187" t="str">
        <f t="shared" si="45"/>
        <v/>
      </c>
      <c r="AC187">
        <f>IF($A187="",0,IF(COUNTIF($A$2:$A187,$A187)=1,1,0))</f>
        <v>0</v>
      </c>
      <c r="AD187">
        <f t="shared" si="46"/>
        <v>3</v>
      </c>
      <c r="AE187" t="str">
        <f t="shared" si="47"/>
        <v>成都大悦城|期末可供出租面积（平方米）</v>
      </c>
      <c r="BA187" t="s">
        <v>5534</v>
      </c>
      <c r="BB187" t="s">
        <v>5535</v>
      </c>
      <c r="BP187" s="47">
        <v>45639</v>
      </c>
      <c r="BQ187" s="29">
        <v>5.0733596506255918E-2</v>
      </c>
    </row>
    <row r="188" spans="1:69" x14ac:dyDescent="0.4">
      <c r="A188" t="str">
        <f>IF(原始经营数据!$D189="","",原始经营数据!$D189)</f>
        <v>华夏大悦城购物中心封闭式基础设施证券投资基金</v>
      </c>
      <c r="B188" t="str">
        <f>IF(原始经营数据!$D189="","",T(原始经营数据!$E189))</f>
        <v>成都大悦城</v>
      </c>
      <c r="C188" t="str">
        <f>IF(原始经营数据!$D189="","",原始经营数据!$F189)</f>
        <v>2025Q4</v>
      </c>
      <c r="D188" t="str">
        <f>IF(原始经营数据!$D189="","",原始经营数据!$H189)</f>
        <v>期末实际出租面积</v>
      </c>
      <c r="E188">
        <f>IF(原始经营数据!$D189="","",原始经营数据!$I189)</f>
        <v>83967.95</v>
      </c>
      <c r="F188" t="str">
        <f>IF(原始经营数据!$D189="","",T(原始经营数据!$J189))</f>
        <v>平方米</v>
      </c>
      <c r="G188" t="str">
        <f>IF(原始经营数据!$D189="","",T(原始经营数据!$K189))</f>
        <v/>
      </c>
      <c r="H188" t="str">
        <f>IF(原始经营数据!$D189="","",原始经营数据!$G189)</f>
        <v>服务量</v>
      </c>
      <c r="I188" t="str">
        <f>IF($A188="","",IF($B188&lt;&gt;"",$B188,IF(COUNTIFS(原始经营数据!$D$3:$D$3001,$A188,原始经营数据!$E$3:$E$3001,"",原始经营数据!$F$3:$F$3001,$C188,原始经营数据!$H$3:$H$3001,$D188,原始经营数据!$K$3:$K$3001,$G188)&gt;1,"基金整体·来源"&amp;原始经营数据!$A189,"基金整体")))</f>
        <v>成都大悦城</v>
      </c>
      <c r="J188" t="str">
        <f t="shared" si="33"/>
        <v>季度</v>
      </c>
      <c r="K188" t="str">
        <f t="shared" si="34"/>
        <v>期末实际出租面积（平方米）</v>
      </c>
      <c r="L188" t="str">
        <f t="shared" si="35"/>
        <v>成都大悦城|期末实际出租面积（平方米）|季度</v>
      </c>
      <c r="M188">
        <f>IF($A188="",0,IF(COUNTIF($L$2:$L188,$L188)=1,1,0))</f>
        <v>0</v>
      </c>
      <c r="N188">
        <f t="shared" si="36"/>
        <v>20254</v>
      </c>
      <c r="O188" t="str">
        <f t="shared" si="37"/>
        <v>华夏大悦城购物中心封闭式基础设施证券投资基金|2025Q4|季度</v>
      </c>
      <c r="P188">
        <f>IF($A188="",0,IF(COUNTIF($O$2:$O188,$O188)=1,1,0))</f>
        <v>0</v>
      </c>
      <c r="Q188" t="str">
        <f>IF(AND($P188=1,$A188=经营数据!$B$3,$J188=经营数据!$BA$5),COUNTIFS($P$2:$P$3000,1,$A$2:$A$3000,$A188,$J$2:$J$3000,$J188,$N$2:$N$3000,"&lt;"&amp;$N188)+1,"")</f>
        <v/>
      </c>
      <c r="R188" t="str">
        <f t="shared" si="38"/>
        <v>华夏大悦城购物中心封闭式基础设施证券投资基金|成都大悦城</v>
      </c>
      <c r="S188">
        <f>IF($A188="",0,IF(COUNTIF($R$2:$R188,$R188)=1,1,0))</f>
        <v>0</v>
      </c>
      <c r="T188">
        <f t="shared" si="39"/>
        <v>156</v>
      </c>
      <c r="U188" t="str">
        <f>IF($A188="","",IF($A188=经营数据!$B$3,COUNTIFS($S$2:$S$3000,1,$A$2:$A$3000,$A188,$T$2:$T$3000,"&lt;"&amp;$T188)+1,""))</f>
        <v/>
      </c>
      <c r="V188" t="str">
        <f t="shared" si="40"/>
        <v>成都大悦城|服务量</v>
      </c>
      <c r="W188">
        <f t="shared" si="41"/>
        <v>156</v>
      </c>
      <c r="X188" t="str">
        <f t="shared" si="42"/>
        <v>成都大悦城|期末实际出租面积</v>
      </c>
      <c r="Y188">
        <f t="shared" si="43"/>
        <v>159</v>
      </c>
      <c r="Z188">
        <f>IF($A188="",0,IF(AND($M188=1,$A188=经营数据!$B$3,$J188=经营数据!$BA$5,OR($I188=经营数据!$BA$4,COUNTIF(经营数据!$AA$9:$AA$38,$I188)&gt;0)),1,0))</f>
        <v>0</v>
      </c>
      <c r="AA188" t="str">
        <f t="shared" si="44"/>
        <v/>
      </c>
      <c r="AB188" t="str">
        <f t="shared" si="45"/>
        <v/>
      </c>
      <c r="AC188">
        <f>IF($A188="",0,IF(COUNTIF($A$2:$A188,$A188)=1,1,0))</f>
        <v>0</v>
      </c>
      <c r="AD188">
        <f t="shared" si="46"/>
        <v>3</v>
      </c>
      <c r="AE188" t="str">
        <f t="shared" si="47"/>
        <v>成都大悦城|期末实际出租面积（平方米）</v>
      </c>
      <c r="BA188" t="s">
        <v>5536</v>
      </c>
      <c r="BB188" t="s">
        <v>5537</v>
      </c>
      <c r="BP188" s="47">
        <v>45642</v>
      </c>
      <c r="BQ188" s="29">
        <v>4.9897776969738523E-2</v>
      </c>
    </row>
    <row r="189" spans="1:69" x14ac:dyDescent="0.4">
      <c r="A189" t="str">
        <f>IF(原始经营数据!$D190="","",原始经营数据!$D190)</f>
        <v>华夏大悦城购物中心封闭式基础设施证券投资基金</v>
      </c>
      <c r="B189" t="str">
        <f>IF(原始经营数据!$D190="","",T(原始经营数据!$E190))</f>
        <v>成都大悦城</v>
      </c>
      <c r="C189" t="str">
        <f>IF(原始经营数据!$D190="","",原始经营数据!$F190)</f>
        <v>2025Q4</v>
      </c>
      <c r="D189" t="str">
        <f>IF(原始经营数据!$D190="","",原始经营数据!$H190)</f>
        <v>期末出租率</v>
      </c>
      <c r="E189">
        <f>IF(原始经营数据!$D190="","",原始经营数据!$I190)</f>
        <v>98.1</v>
      </c>
      <c r="F189" t="str">
        <f>IF(原始经营数据!$D190="","",T(原始经营数据!$J190))</f>
        <v>%</v>
      </c>
      <c r="G189" t="str">
        <f>IF(原始经营数据!$D190="","",T(原始经营数据!$K190))</f>
        <v/>
      </c>
      <c r="H189" t="str">
        <f>IF(原始经营数据!$D190="","",原始经营数据!$G190)</f>
        <v>服务效率</v>
      </c>
      <c r="I189" t="str">
        <f>IF($A189="","",IF($B189&lt;&gt;"",$B189,IF(COUNTIFS(原始经营数据!$D$3:$D$3001,$A189,原始经营数据!$E$3:$E$3001,"",原始经营数据!$F$3:$F$3001,$C189,原始经营数据!$H$3:$H$3001,$D189,原始经营数据!$K$3:$K$3001,$G189)&gt;1,"基金整体·来源"&amp;原始经营数据!$A190,"基金整体")))</f>
        <v>成都大悦城</v>
      </c>
      <c r="J189" t="str">
        <f t="shared" si="33"/>
        <v>季度</v>
      </c>
      <c r="K189" t="str">
        <f t="shared" si="34"/>
        <v>期末出租率（%）</v>
      </c>
      <c r="L189" t="str">
        <f t="shared" si="35"/>
        <v>成都大悦城|期末出租率（%）|季度</v>
      </c>
      <c r="M189">
        <f>IF($A189="",0,IF(COUNTIF($L$2:$L189,$L189)=1,1,0))</f>
        <v>0</v>
      </c>
      <c r="N189">
        <f t="shared" si="36"/>
        <v>20254</v>
      </c>
      <c r="O189" t="str">
        <f t="shared" si="37"/>
        <v>华夏大悦城购物中心封闭式基础设施证券投资基金|2025Q4|季度</v>
      </c>
      <c r="P189">
        <f>IF($A189="",0,IF(COUNTIF($O$2:$O189,$O189)=1,1,0))</f>
        <v>0</v>
      </c>
      <c r="Q189" t="str">
        <f>IF(AND($P189=1,$A189=经营数据!$B$3,$J189=经营数据!$BA$5),COUNTIFS($P$2:$P$3000,1,$A$2:$A$3000,$A189,$J$2:$J$3000,$J189,$N$2:$N$3000,"&lt;"&amp;$N189)+1,"")</f>
        <v/>
      </c>
      <c r="R189" t="str">
        <f t="shared" si="38"/>
        <v>华夏大悦城购物中心封闭式基础设施证券投资基金|成都大悦城</v>
      </c>
      <c r="S189">
        <f>IF($A189="",0,IF(COUNTIF($R$2:$R189,$R189)=1,1,0))</f>
        <v>0</v>
      </c>
      <c r="T189">
        <f t="shared" si="39"/>
        <v>156</v>
      </c>
      <c r="U189" t="str">
        <f>IF($A189="","",IF($A189=经营数据!$B$3,COUNTIFS($S$2:$S$3000,1,$A$2:$A$3000,$A189,$T$2:$T$3000,"&lt;"&amp;$T189)+1,""))</f>
        <v/>
      </c>
      <c r="V189" t="str">
        <f t="shared" si="40"/>
        <v>成都大悦城|服务效率</v>
      </c>
      <c r="W189">
        <f t="shared" si="41"/>
        <v>158</v>
      </c>
      <c r="X189" t="str">
        <f t="shared" si="42"/>
        <v>成都大悦城|期末出租率</v>
      </c>
      <c r="Y189">
        <f t="shared" si="43"/>
        <v>158</v>
      </c>
      <c r="Z189">
        <f>IF($A189="",0,IF(AND($M189=1,$A189=经营数据!$B$3,$J189=经营数据!$BA$5,OR($I189=经营数据!$BA$4,COUNTIF(经营数据!$AA$9:$AA$38,$I189)&gt;0)),1,0))</f>
        <v>0</v>
      </c>
      <c r="AA189" t="str">
        <f t="shared" si="44"/>
        <v/>
      </c>
      <c r="AB189" t="str">
        <f t="shared" si="45"/>
        <v/>
      </c>
      <c r="AC189">
        <f>IF($A189="",0,IF(COUNTIF($A$2:$A189,$A189)=1,1,0))</f>
        <v>0</v>
      </c>
      <c r="AD189">
        <f t="shared" si="46"/>
        <v>3</v>
      </c>
      <c r="AE189" t="str">
        <f t="shared" si="47"/>
        <v>成都大悦城|期末出租率（%）</v>
      </c>
      <c r="BA189" t="s">
        <v>5538</v>
      </c>
      <c r="BB189" t="s">
        <v>5539</v>
      </c>
      <c r="BP189" s="47">
        <v>45643</v>
      </c>
      <c r="BQ189" s="29">
        <v>4.9009705689103997E-2</v>
      </c>
    </row>
    <row r="190" spans="1:69" x14ac:dyDescent="0.4">
      <c r="A190" t="str">
        <f>IF(原始经营数据!$D191="","",原始经营数据!$D191)</f>
        <v>华夏大悦城购物中心封闭式基础设施证券投资基金</v>
      </c>
      <c r="B190" t="str">
        <f>IF(原始经营数据!$D191="","",T(原始经营数据!$E191))</f>
        <v>成都大悦城</v>
      </c>
      <c r="C190" t="str">
        <f>IF(原始经营数据!$D191="","",原始经营数据!$F191)</f>
        <v>2025Q4</v>
      </c>
      <c r="D190" t="str">
        <f>IF(原始经营数据!$D191="","",原始经营数据!$H191)</f>
        <v>期内租金单价水平</v>
      </c>
      <c r="E190">
        <f>IF(原始经营数据!$D191="","",原始经营数据!$I191)</f>
        <v>377.29</v>
      </c>
      <c r="F190" t="str">
        <f>IF(原始经营数据!$D191="","",T(原始经营数据!$J191))</f>
        <v>元/平方米/月</v>
      </c>
      <c r="G190" t="str">
        <f>IF(原始经营数据!$D191="","",T(原始经营数据!$K191))</f>
        <v/>
      </c>
      <c r="H190" t="str">
        <f>IF(原始经营数据!$D191="","",原始经营数据!$G191)</f>
        <v>服务价格</v>
      </c>
      <c r="I190" t="str">
        <f>IF($A190="","",IF($B190&lt;&gt;"",$B190,IF(COUNTIFS(原始经营数据!$D$3:$D$3001,$A190,原始经营数据!$E$3:$E$3001,"",原始经营数据!$F$3:$F$3001,$C190,原始经营数据!$H$3:$H$3001,$D190,原始经营数据!$K$3:$K$3001,$G190)&gt;1,"基金整体·来源"&amp;原始经营数据!$A191,"基金整体")))</f>
        <v>成都大悦城</v>
      </c>
      <c r="J190" t="str">
        <f t="shared" si="33"/>
        <v>季度</v>
      </c>
      <c r="K190" t="str">
        <f t="shared" si="34"/>
        <v>期内租金单价水平（元/平方米/月）</v>
      </c>
      <c r="L190" t="str">
        <f t="shared" si="35"/>
        <v>成都大悦城|期内租金单价水平（元/平方米/月）|季度</v>
      </c>
      <c r="M190">
        <f>IF($A190="",0,IF(COUNTIF($L$2:$L190,$L190)=1,1,0))</f>
        <v>0</v>
      </c>
      <c r="N190">
        <f t="shared" si="36"/>
        <v>20254</v>
      </c>
      <c r="O190" t="str">
        <f t="shared" si="37"/>
        <v>华夏大悦城购物中心封闭式基础设施证券投资基金|2025Q4|季度</v>
      </c>
      <c r="P190">
        <f>IF($A190="",0,IF(COUNTIF($O$2:$O190,$O190)=1,1,0))</f>
        <v>0</v>
      </c>
      <c r="Q190" t="str">
        <f>IF(AND($P190=1,$A190=经营数据!$B$3,$J190=经营数据!$BA$5),COUNTIFS($P$2:$P$3000,1,$A$2:$A$3000,$A190,$J$2:$J$3000,$J190,$N$2:$N$3000,"&lt;"&amp;$N190)+1,"")</f>
        <v/>
      </c>
      <c r="R190" t="str">
        <f t="shared" si="38"/>
        <v>华夏大悦城购物中心封闭式基础设施证券投资基金|成都大悦城</v>
      </c>
      <c r="S190">
        <f>IF($A190="",0,IF(COUNTIF($R$2:$R190,$R190)=1,1,0))</f>
        <v>0</v>
      </c>
      <c r="T190">
        <f t="shared" si="39"/>
        <v>156</v>
      </c>
      <c r="U190" t="str">
        <f>IF($A190="","",IF($A190=经营数据!$B$3,COUNTIFS($S$2:$S$3000,1,$A$2:$A$3000,$A190,$T$2:$T$3000,"&lt;"&amp;$T190)+1,""))</f>
        <v/>
      </c>
      <c r="V190" t="str">
        <f t="shared" si="40"/>
        <v>成都大悦城|服务价格</v>
      </c>
      <c r="W190">
        <f t="shared" si="41"/>
        <v>157</v>
      </c>
      <c r="X190" t="str">
        <f t="shared" si="42"/>
        <v>成都大悦城|期内租金单价水平</v>
      </c>
      <c r="Y190">
        <f t="shared" si="43"/>
        <v>157</v>
      </c>
      <c r="Z190">
        <f>IF($A190="",0,IF(AND($M190=1,$A190=经营数据!$B$3,$J190=经营数据!$BA$5,OR($I190=经营数据!$BA$4,COUNTIF(经营数据!$AA$9:$AA$38,$I190)&gt;0)),1,0))</f>
        <v>0</v>
      </c>
      <c r="AA190" t="str">
        <f t="shared" si="44"/>
        <v/>
      </c>
      <c r="AB190" t="str">
        <f t="shared" si="45"/>
        <v/>
      </c>
      <c r="AC190">
        <f>IF($A190="",0,IF(COUNTIF($A$2:$A190,$A190)=1,1,0))</f>
        <v>0</v>
      </c>
      <c r="AD190">
        <f t="shared" si="46"/>
        <v>3</v>
      </c>
      <c r="AE190" t="str">
        <f t="shared" si="47"/>
        <v>成都大悦城|期内租金单价水平（元/平方米/月）</v>
      </c>
      <c r="BA190" t="s">
        <v>5540</v>
      </c>
      <c r="BB190" t="s">
        <v>5541</v>
      </c>
      <c r="BP190" s="47">
        <v>45644</v>
      </c>
      <c r="BQ190" s="29">
        <v>4.9085518886140843E-2</v>
      </c>
    </row>
    <row r="191" spans="1:69" x14ac:dyDescent="0.4">
      <c r="A191" t="str">
        <f>IF(原始经营数据!$D192="","",原始经营数据!$D192)</f>
        <v>华夏大悦城购物中心封闭式基础设施证券投资基金</v>
      </c>
      <c r="B191" t="str">
        <f>IF(原始经营数据!$D192="","",T(原始经营数据!$E192))</f>
        <v>成都大悦城</v>
      </c>
      <c r="C191" t="str">
        <f>IF(原始经营数据!$D192="","",原始经营数据!$F192)</f>
        <v>2025Q4</v>
      </c>
      <c r="D191" t="str">
        <f>IF(原始经营数据!$D192="","",原始经营数据!$H192)</f>
        <v>期末剩余租期</v>
      </c>
      <c r="E191">
        <f>IF(原始经营数据!$D192="","",原始经营数据!$I192)</f>
        <v>3.16</v>
      </c>
      <c r="F191" t="str">
        <f>IF(原始经营数据!$D192="","",T(原始经营数据!$J192))</f>
        <v>年</v>
      </c>
      <c r="G191" t="str">
        <f>IF(原始经营数据!$D192="","",T(原始经营数据!$K192))</f>
        <v/>
      </c>
      <c r="H191" t="str">
        <f>IF(原始经营数据!$D192="","",原始经营数据!$G192)</f>
        <v>服务量</v>
      </c>
      <c r="I191" t="str">
        <f>IF($A191="","",IF($B191&lt;&gt;"",$B191,IF(COUNTIFS(原始经营数据!$D$3:$D$3001,$A191,原始经营数据!$E$3:$E$3001,"",原始经营数据!$F$3:$F$3001,$C191,原始经营数据!$H$3:$H$3001,$D191,原始经营数据!$K$3:$K$3001,$G191)&gt;1,"基金整体·来源"&amp;原始经营数据!$A192,"基金整体")))</f>
        <v>成都大悦城</v>
      </c>
      <c r="J191" t="str">
        <f t="shared" si="33"/>
        <v>季度</v>
      </c>
      <c r="K191" t="str">
        <f t="shared" si="34"/>
        <v>期末剩余租期（年）</v>
      </c>
      <c r="L191" t="str">
        <f t="shared" si="35"/>
        <v>成都大悦城|期末剩余租期（年）|季度</v>
      </c>
      <c r="M191">
        <f>IF($A191="",0,IF(COUNTIF($L$2:$L191,$L191)=1,1,0))</f>
        <v>0</v>
      </c>
      <c r="N191">
        <f t="shared" si="36"/>
        <v>20254</v>
      </c>
      <c r="O191" t="str">
        <f t="shared" si="37"/>
        <v>华夏大悦城购物中心封闭式基础设施证券投资基金|2025Q4|季度</v>
      </c>
      <c r="P191">
        <f>IF($A191="",0,IF(COUNTIF($O$2:$O191,$O191)=1,1,0))</f>
        <v>0</v>
      </c>
      <c r="Q191" t="str">
        <f>IF(AND($P191=1,$A191=经营数据!$B$3,$J191=经营数据!$BA$5),COUNTIFS($P$2:$P$3000,1,$A$2:$A$3000,$A191,$J$2:$J$3000,$J191,$N$2:$N$3000,"&lt;"&amp;$N191)+1,"")</f>
        <v/>
      </c>
      <c r="R191" t="str">
        <f t="shared" si="38"/>
        <v>华夏大悦城购物中心封闭式基础设施证券投资基金|成都大悦城</v>
      </c>
      <c r="S191">
        <f>IF($A191="",0,IF(COUNTIF($R$2:$R191,$R191)=1,1,0))</f>
        <v>0</v>
      </c>
      <c r="T191">
        <f t="shared" si="39"/>
        <v>156</v>
      </c>
      <c r="U191" t="str">
        <f>IF($A191="","",IF($A191=经营数据!$B$3,COUNTIFS($S$2:$S$3000,1,$A$2:$A$3000,$A191,$T$2:$T$3000,"&lt;"&amp;$T191)+1,""))</f>
        <v/>
      </c>
      <c r="V191" t="str">
        <f t="shared" si="40"/>
        <v>成都大悦城|服务量</v>
      </c>
      <c r="W191">
        <f t="shared" si="41"/>
        <v>156</v>
      </c>
      <c r="X191" t="str">
        <f t="shared" si="42"/>
        <v>成都大悦城|期末剩余租期</v>
      </c>
      <c r="Y191">
        <f t="shared" si="43"/>
        <v>156</v>
      </c>
      <c r="Z191">
        <f>IF($A191="",0,IF(AND($M191=1,$A191=经营数据!$B$3,$J191=经营数据!$BA$5,OR($I191=经营数据!$BA$4,COUNTIF(经营数据!$AA$9:$AA$38,$I191)&gt;0)),1,0))</f>
        <v>0</v>
      </c>
      <c r="AA191" t="str">
        <f t="shared" si="44"/>
        <v/>
      </c>
      <c r="AB191" t="str">
        <f t="shared" si="45"/>
        <v/>
      </c>
      <c r="AC191">
        <f>IF($A191="",0,IF(COUNTIF($A$2:$A191,$A191)=1,1,0))</f>
        <v>0</v>
      </c>
      <c r="AD191">
        <f t="shared" si="46"/>
        <v>3</v>
      </c>
      <c r="AE191" t="str">
        <f t="shared" si="47"/>
        <v>成都大悦城|期末剩余租期（年）</v>
      </c>
      <c r="BA191" t="s">
        <v>5542</v>
      </c>
      <c r="BB191" t="s">
        <v>5543</v>
      </c>
      <c r="BP191" s="47">
        <v>45645</v>
      </c>
      <c r="BQ191" s="29">
        <v>4.9556616499595953E-2</v>
      </c>
    </row>
    <row r="192" spans="1:69" x14ac:dyDescent="0.4">
      <c r="A192" t="str">
        <f>IF(原始经营数据!$D193="","",原始经营数据!$D193)</f>
        <v>华夏大悦城购物中心封闭式基础设施证券投资基金</v>
      </c>
      <c r="B192" t="str">
        <f>IF(原始经营数据!$D193="","",T(原始经营数据!$E193))</f>
        <v>成都大悦城</v>
      </c>
      <c r="C192" t="str">
        <f>IF(原始经营数据!$D193="","",原始经营数据!$F193)</f>
        <v>2025Q4</v>
      </c>
      <c r="D192" t="str">
        <f>IF(原始经营数据!$D193="","",原始经营数据!$H193)</f>
        <v>期末租金收缴率</v>
      </c>
      <c r="E192">
        <f>IF(原始经营数据!$D193="","",原始经营数据!$I193)</f>
        <v>100</v>
      </c>
      <c r="F192" t="str">
        <f>IF(原始经营数据!$D193="","",T(原始经营数据!$J193))</f>
        <v>%</v>
      </c>
      <c r="G192" t="str">
        <f>IF(原始经营数据!$D193="","",T(原始经营数据!$K193))</f>
        <v/>
      </c>
      <c r="H192" t="str">
        <f>IF(原始经营数据!$D193="","",原始经营数据!$G193)</f>
        <v>服务效率</v>
      </c>
      <c r="I192" t="str">
        <f>IF($A192="","",IF($B192&lt;&gt;"",$B192,IF(COUNTIFS(原始经营数据!$D$3:$D$3001,$A192,原始经营数据!$E$3:$E$3001,"",原始经营数据!$F$3:$F$3001,$C192,原始经营数据!$H$3:$H$3001,$D192,原始经营数据!$K$3:$K$3001,$G192)&gt;1,"基金整体·来源"&amp;原始经营数据!$A193,"基金整体")))</f>
        <v>成都大悦城</v>
      </c>
      <c r="J192" t="str">
        <f t="shared" si="33"/>
        <v>季度</v>
      </c>
      <c r="K192" t="str">
        <f t="shared" si="34"/>
        <v>期末租金收缴率（%）</v>
      </c>
      <c r="L192" t="str">
        <f t="shared" si="35"/>
        <v>成都大悦城|期末租金收缴率（%）|季度</v>
      </c>
      <c r="M192">
        <f>IF($A192="",0,IF(COUNTIF($L$2:$L192,$L192)=1,1,0))</f>
        <v>0</v>
      </c>
      <c r="N192">
        <f t="shared" si="36"/>
        <v>20254</v>
      </c>
      <c r="O192" t="str">
        <f t="shared" si="37"/>
        <v>华夏大悦城购物中心封闭式基础设施证券投资基金|2025Q4|季度</v>
      </c>
      <c r="P192">
        <f>IF($A192="",0,IF(COUNTIF($O$2:$O192,$O192)=1,1,0))</f>
        <v>0</v>
      </c>
      <c r="Q192" t="str">
        <f>IF(AND($P192=1,$A192=经营数据!$B$3,$J192=经营数据!$BA$5),COUNTIFS($P$2:$P$3000,1,$A$2:$A$3000,$A192,$J$2:$J$3000,$J192,$N$2:$N$3000,"&lt;"&amp;$N192)+1,"")</f>
        <v/>
      </c>
      <c r="R192" t="str">
        <f t="shared" si="38"/>
        <v>华夏大悦城购物中心封闭式基础设施证券投资基金|成都大悦城</v>
      </c>
      <c r="S192">
        <f>IF($A192="",0,IF(COUNTIF($R$2:$R192,$R192)=1,1,0))</f>
        <v>0</v>
      </c>
      <c r="T192">
        <f t="shared" si="39"/>
        <v>156</v>
      </c>
      <c r="U192" t="str">
        <f>IF($A192="","",IF($A192=经营数据!$B$3,COUNTIFS($S$2:$S$3000,1,$A$2:$A$3000,$A192,$T$2:$T$3000,"&lt;"&amp;$T192)+1,""))</f>
        <v/>
      </c>
      <c r="V192" t="str">
        <f t="shared" si="40"/>
        <v>成都大悦城|服务效率</v>
      </c>
      <c r="W192">
        <f t="shared" si="41"/>
        <v>158</v>
      </c>
      <c r="X192" t="str">
        <f t="shared" si="42"/>
        <v>成都大悦城|期末租金收缴率</v>
      </c>
      <c r="Y192">
        <f t="shared" si="43"/>
        <v>161</v>
      </c>
      <c r="Z192">
        <f>IF($A192="",0,IF(AND($M192=1,$A192=经营数据!$B$3,$J192=经营数据!$BA$5,OR($I192=经营数据!$BA$4,COUNTIF(经营数据!$AA$9:$AA$38,$I192)&gt;0)),1,0))</f>
        <v>0</v>
      </c>
      <c r="AA192" t="str">
        <f t="shared" si="44"/>
        <v/>
      </c>
      <c r="AB192" t="str">
        <f t="shared" si="45"/>
        <v/>
      </c>
      <c r="AC192">
        <f>IF($A192="",0,IF(COUNTIF($A$2:$A192,$A192)=1,1,0))</f>
        <v>0</v>
      </c>
      <c r="AD192">
        <f t="shared" si="46"/>
        <v>3</v>
      </c>
      <c r="AE192" t="str">
        <f t="shared" si="47"/>
        <v>成都大悦城|期末租金收缴率（%）</v>
      </c>
      <c r="BA192" t="s">
        <v>5544</v>
      </c>
      <c r="BB192" t="s">
        <v>5545</v>
      </c>
      <c r="BP192" s="47">
        <v>45646</v>
      </c>
      <c r="BQ192" s="29">
        <v>4.9791257001386688E-2</v>
      </c>
    </row>
    <row r="193" spans="1:69" x14ac:dyDescent="0.4">
      <c r="A193" t="str">
        <f>IF(原始经营数据!$D194="","",原始经营数据!$D194)</f>
        <v>华夏大悦城购物中心封闭式基础设施证券投资基金</v>
      </c>
      <c r="B193" t="str">
        <f>IF(原始经营数据!$D194="","",T(原始经营数据!$E194))</f>
        <v>成都大悦城</v>
      </c>
      <c r="C193" t="str">
        <f>IF(原始经营数据!$D194="","",原始经营数据!$F194)</f>
        <v>2026Q1</v>
      </c>
      <c r="D193" t="str">
        <f>IF(原始经营数据!$D194="","",原始经营数据!$H194)</f>
        <v>期末可供出租面积</v>
      </c>
      <c r="E193">
        <f>IF(原始经营数据!$D194="","",原始经营数据!$I194)</f>
        <v>85591.29</v>
      </c>
      <c r="F193" t="str">
        <f>IF(原始经营数据!$D194="","",T(原始经营数据!$J194))</f>
        <v>平方米</v>
      </c>
      <c r="G193" t="str">
        <f>IF(原始经营数据!$D194="","",T(原始经营数据!$K194))</f>
        <v/>
      </c>
      <c r="H193" t="str">
        <f>IF(原始经营数据!$D194="","",原始经营数据!$G194)</f>
        <v>服务量</v>
      </c>
      <c r="I193" t="str">
        <f>IF($A193="","",IF($B193&lt;&gt;"",$B193,IF(COUNTIFS(原始经营数据!$D$3:$D$3001,$A193,原始经营数据!$E$3:$E$3001,"",原始经营数据!$F$3:$F$3001,$C193,原始经营数据!$H$3:$H$3001,$D193,原始经营数据!$K$3:$K$3001,$G193)&gt;1,"基金整体·来源"&amp;原始经营数据!$A194,"基金整体")))</f>
        <v>成都大悦城</v>
      </c>
      <c r="J193" t="str">
        <f t="shared" si="33"/>
        <v>季度</v>
      </c>
      <c r="K193" t="str">
        <f t="shared" si="34"/>
        <v>期末可供出租面积（平方米）</v>
      </c>
      <c r="L193" t="str">
        <f t="shared" si="35"/>
        <v>成都大悦城|期末可供出租面积（平方米）|季度</v>
      </c>
      <c r="M193">
        <f>IF($A193="",0,IF(COUNTIF($L$2:$L193,$L193)=1,1,0))</f>
        <v>0</v>
      </c>
      <c r="N193">
        <f t="shared" si="36"/>
        <v>20261</v>
      </c>
      <c r="O193" t="str">
        <f t="shared" si="37"/>
        <v>华夏大悦城购物中心封闭式基础设施证券投资基金|2026Q1|季度</v>
      </c>
      <c r="P193">
        <f>IF($A193="",0,IF(COUNTIF($O$2:$O193,$O193)=1,1,0))</f>
        <v>1</v>
      </c>
      <c r="Q193" t="str">
        <f>IF(AND($P193=1,$A193=经营数据!$B$3,$J193=经营数据!$BA$5),COUNTIFS($P$2:$P$3000,1,$A$2:$A$3000,$A193,$J$2:$J$3000,$J193,$N$2:$N$3000,"&lt;"&amp;$N193)+1,"")</f>
        <v/>
      </c>
      <c r="R193" t="str">
        <f t="shared" si="38"/>
        <v>华夏大悦城购物中心封闭式基础设施证券投资基金|成都大悦城</v>
      </c>
      <c r="S193">
        <f>IF($A193="",0,IF(COUNTIF($R$2:$R193,$R193)=1,1,0))</f>
        <v>0</v>
      </c>
      <c r="T193">
        <f t="shared" si="39"/>
        <v>156</v>
      </c>
      <c r="U193" t="str">
        <f>IF($A193="","",IF($A193=经营数据!$B$3,COUNTIFS($S$2:$S$3000,1,$A$2:$A$3000,$A193,$T$2:$T$3000,"&lt;"&amp;$T193)+1,""))</f>
        <v/>
      </c>
      <c r="V193" t="str">
        <f t="shared" si="40"/>
        <v>成都大悦城|服务量</v>
      </c>
      <c r="W193">
        <f t="shared" si="41"/>
        <v>156</v>
      </c>
      <c r="X193" t="str">
        <f t="shared" si="42"/>
        <v>成都大悦城|期末可供出租面积</v>
      </c>
      <c r="Y193">
        <f t="shared" si="43"/>
        <v>160</v>
      </c>
      <c r="Z193">
        <f>IF($A193="",0,IF(AND($M193=1,$A193=经营数据!$B$3,$J193=经营数据!$BA$5,OR($I193=经营数据!$BA$4,COUNTIF(经营数据!$AA$9:$AA$38,$I193)&gt;0)),1,0))</f>
        <v>0</v>
      </c>
      <c r="AA193" t="str">
        <f t="shared" si="44"/>
        <v/>
      </c>
      <c r="AB193" t="str">
        <f t="shared" si="45"/>
        <v/>
      </c>
      <c r="AC193">
        <f>IF($A193="",0,IF(COUNTIF($A$2:$A193,$A193)=1,1,0))</f>
        <v>0</v>
      </c>
      <c r="AD193">
        <f t="shared" si="46"/>
        <v>3</v>
      </c>
      <c r="AE193" t="str">
        <f t="shared" si="47"/>
        <v>成都大悦城|期末可供出租面积（平方米）</v>
      </c>
      <c r="BA193" t="s">
        <v>5546</v>
      </c>
      <c r="BB193" t="s">
        <v>5547</v>
      </c>
      <c r="BP193" s="47">
        <v>45649</v>
      </c>
      <c r="BQ193" s="29">
        <v>4.9752222834548769E-2</v>
      </c>
    </row>
    <row r="194" spans="1:69" x14ac:dyDescent="0.4">
      <c r="A194" t="str">
        <f>IF(原始经营数据!$D195="","",原始经营数据!$D195)</f>
        <v>华夏大悦城购物中心封闭式基础设施证券投资基金</v>
      </c>
      <c r="B194" t="str">
        <f>IF(原始经营数据!$D195="","",T(原始经营数据!$E195))</f>
        <v>成都大悦城</v>
      </c>
      <c r="C194" t="str">
        <f>IF(原始经营数据!$D195="","",原始经营数据!$F195)</f>
        <v>2026Q1</v>
      </c>
      <c r="D194" t="str">
        <f>IF(原始经营数据!$D195="","",原始经营数据!$H195)</f>
        <v>期末实际出租面积</v>
      </c>
      <c r="E194">
        <f>IF(原始经营数据!$D195="","",原始经营数据!$I195)</f>
        <v>82281.990000000005</v>
      </c>
      <c r="F194" t="str">
        <f>IF(原始经营数据!$D195="","",T(原始经营数据!$J195))</f>
        <v>平方米</v>
      </c>
      <c r="G194" t="str">
        <f>IF(原始经营数据!$D195="","",T(原始经营数据!$K195))</f>
        <v/>
      </c>
      <c r="H194" t="str">
        <f>IF(原始经营数据!$D195="","",原始经营数据!$G195)</f>
        <v>服务量</v>
      </c>
      <c r="I194" t="str">
        <f>IF($A194="","",IF($B194&lt;&gt;"",$B194,IF(COUNTIFS(原始经营数据!$D$3:$D$3001,$A194,原始经营数据!$E$3:$E$3001,"",原始经营数据!$F$3:$F$3001,$C194,原始经营数据!$H$3:$H$3001,$D194,原始经营数据!$K$3:$K$3001,$G194)&gt;1,"基金整体·来源"&amp;原始经营数据!$A195,"基金整体")))</f>
        <v>成都大悦城</v>
      </c>
      <c r="J194" t="str">
        <f t="shared" ref="J194:J257" si="48">IF($A194="","",IF(LEN($C194)=4,"年度",IF(AND(LEN($C194)=6,ISNUMBER(SEARCH("Q",$C194))),"季度","其他期间")))</f>
        <v>季度</v>
      </c>
      <c r="K194" t="str">
        <f t="shared" ref="K194:K257" si="49">IF($A194="","",$D194&amp;IF($G194="","","-"&amp;SUBSTITUTE($G194,CHAR(10),""))&amp;IF($F194="","","（"&amp;$F194&amp;"）"))</f>
        <v>期末实际出租面积（平方米）</v>
      </c>
      <c r="L194" t="str">
        <f t="shared" ref="L194:L257" si="50">IF($A194="","",$I194&amp;"|"&amp;$K194&amp;"|"&amp;$J194)</f>
        <v>成都大悦城|期末实际出租面积（平方米）|季度</v>
      </c>
      <c r="M194">
        <f>IF($A194="",0,IF(COUNTIF($L$2:$L194,$L194)=1,1,0))</f>
        <v>0</v>
      </c>
      <c r="N194">
        <f t="shared" ref="N194:N257" si="51">IF($A194="","",IF($J194="年度",VALUE($C194)*10,IF($J194="季度",VALUE(LEFT($C194,4))*10+VALUE(RIGHT($C194,1)),VALUE(LEFT($C194,4))*10+9)))</f>
        <v>20261</v>
      </c>
      <c r="O194" t="str">
        <f t="shared" ref="O194:O257" si="52">IF($A194="","",$A194&amp;"|"&amp;$C194&amp;"|"&amp;$J194)</f>
        <v>华夏大悦城购物中心封闭式基础设施证券投资基金|2026Q1|季度</v>
      </c>
      <c r="P194">
        <f>IF($A194="",0,IF(COUNTIF($O$2:$O194,$O194)=1,1,0))</f>
        <v>0</v>
      </c>
      <c r="Q194" t="str">
        <f>IF(AND($P194=1,$A194=经营数据!$B$3,$J194=经营数据!$BA$5),COUNTIFS($P$2:$P$3000,1,$A$2:$A$3000,$A194,$J$2:$J$3000,$J194,$N$2:$N$3000,"&lt;"&amp;$N194)+1,"")</f>
        <v/>
      </c>
      <c r="R194" t="str">
        <f t="shared" ref="R194:R257" si="53">IF($A194="","",$A194&amp;"|"&amp;$I194)</f>
        <v>华夏大悦城购物中心封闭式基础设施证券投资基金|成都大悦城</v>
      </c>
      <c r="S194">
        <f>IF($A194="",0,IF(COUNTIF($R$2:$R194,$R194)=1,1,0))</f>
        <v>0</v>
      </c>
      <c r="T194">
        <f t="shared" ref="T194:T257" si="54">IF($A194="","",MATCH($R194,$R$2:$R$3000,0))</f>
        <v>156</v>
      </c>
      <c r="U194" t="str">
        <f>IF($A194="","",IF($A194=经营数据!$B$3,COUNTIFS($S$2:$S$3000,1,$A$2:$A$3000,$A194,$T$2:$T$3000,"&lt;"&amp;$T194)+1,""))</f>
        <v/>
      </c>
      <c r="V194" t="str">
        <f t="shared" ref="V194:V257" si="55">IF($A194="","",$I194&amp;"|"&amp;$H194)</f>
        <v>成都大悦城|服务量</v>
      </c>
      <c r="W194">
        <f t="shared" ref="W194:W257" si="56">IF($A194="","",MATCH($V194,$V$2:$V$3000,0))</f>
        <v>156</v>
      </c>
      <c r="X194" t="str">
        <f t="shared" ref="X194:X257" si="57">IF($A194="","",$I194&amp;"|"&amp;$D194)</f>
        <v>成都大悦城|期末实际出租面积</v>
      </c>
      <c r="Y194">
        <f t="shared" ref="Y194:Y257" si="58">IF($A194="","",MATCH($X194,$X$2:$X$3000,0))</f>
        <v>159</v>
      </c>
      <c r="Z194">
        <f>IF($A194="",0,IF(AND($M194=1,$A194=经营数据!$B$3,$J194=经营数据!$BA$5,OR($I194=经营数据!$BA$4,COUNTIF(经营数据!$AA$9:$AA$38,$I194)&gt;0)),1,0))</f>
        <v>0</v>
      </c>
      <c r="AA194" t="str">
        <f t="shared" ref="AA194:AA257" si="59">IF($Z194=1,$U194*1000000000000+$W194*100000000+$Y194*10000+ROW(),"")</f>
        <v/>
      </c>
      <c r="AB194" t="str">
        <f t="shared" ref="AB194:AB257" si="60">IF($Z194=1,COUNTIFS($Z$2:$Z$3000,1,$AA$2:$AA$3000,"&lt;"&amp;$AA194)+1,"")</f>
        <v/>
      </c>
      <c r="AC194">
        <f>IF($A194="",0,IF(COUNTIF($A$2:$A194,$A194)=1,1,0))</f>
        <v>0</v>
      </c>
      <c r="AD194">
        <f t="shared" ref="AD194:AD257" si="61">IF($A194="",N(AD193),IF($AC194=1,N(AD193)+1,N(AD193)))</f>
        <v>3</v>
      </c>
      <c r="AE194" t="str">
        <f t="shared" ref="AE194:AE257" si="62">IF($A194="","",$I194&amp;"|"&amp;$K194)</f>
        <v>成都大悦城|期末实际出租面积（平方米）</v>
      </c>
      <c r="BA194" t="s">
        <v>5548</v>
      </c>
      <c r="BB194" t="s">
        <v>5549</v>
      </c>
      <c r="BP194" s="47">
        <v>45650</v>
      </c>
      <c r="BQ194" s="29">
        <v>4.9717325532215313E-2</v>
      </c>
    </row>
    <row r="195" spans="1:69" x14ac:dyDescent="0.4">
      <c r="A195" t="str">
        <f>IF(原始经营数据!$D196="","",原始经营数据!$D196)</f>
        <v>华夏大悦城购物中心封闭式基础设施证券投资基金</v>
      </c>
      <c r="B195" t="str">
        <f>IF(原始经营数据!$D196="","",T(原始经营数据!$E196))</f>
        <v>成都大悦城</v>
      </c>
      <c r="C195" t="str">
        <f>IF(原始经营数据!$D196="","",原始经营数据!$F196)</f>
        <v>2026Q1</v>
      </c>
      <c r="D195" t="str">
        <f>IF(原始经营数据!$D196="","",原始经营数据!$H196)</f>
        <v>期末出租率</v>
      </c>
      <c r="E195">
        <f>IF(原始经营数据!$D196="","",原始经营数据!$I196)</f>
        <v>96.13</v>
      </c>
      <c r="F195" t="str">
        <f>IF(原始经营数据!$D196="","",T(原始经营数据!$J196))</f>
        <v>%</v>
      </c>
      <c r="G195" t="str">
        <f>IF(原始经营数据!$D196="","",T(原始经营数据!$K196))</f>
        <v/>
      </c>
      <c r="H195" t="str">
        <f>IF(原始经营数据!$D196="","",原始经营数据!$G196)</f>
        <v>服务效率</v>
      </c>
      <c r="I195" t="str">
        <f>IF($A195="","",IF($B195&lt;&gt;"",$B195,IF(COUNTIFS(原始经营数据!$D$3:$D$3001,$A195,原始经营数据!$E$3:$E$3001,"",原始经营数据!$F$3:$F$3001,$C195,原始经营数据!$H$3:$H$3001,$D195,原始经营数据!$K$3:$K$3001,$G195)&gt;1,"基金整体·来源"&amp;原始经营数据!$A196,"基金整体")))</f>
        <v>成都大悦城</v>
      </c>
      <c r="J195" t="str">
        <f t="shared" si="48"/>
        <v>季度</v>
      </c>
      <c r="K195" t="str">
        <f t="shared" si="49"/>
        <v>期末出租率（%）</v>
      </c>
      <c r="L195" t="str">
        <f t="shared" si="50"/>
        <v>成都大悦城|期末出租率（%）|季度</v>
      </c>
      <c r="M195">
        <f>IF($A195="",0,IF(COUNTIF($L$2:$L195,$L195)=1,1,0))</f>
        <v>0</v>
      </c>
      <c r="N195">
        <f t="shared" si="51"/>
        <v>20261</v>
      </c>
      <c r="O195" t="str">
        <f t="shared" si="52"/>
        <v>华夏大悦城购物中心封闭式基础设施证券投资基金|2026Q1|季度</v>
      </c>
      <c r="P195">
        <f>IF($A195="",0,IF(COUNTIF($O$2:$O195,$O195)=1,1,0))</f>
        <v>0</v>
      </c>
      <c r="Q195" t="str">
        <f>IF(AND($P195=1,$A195=经营数据!$B$3,$J195=经营数据!$BA$5),COUNTIFS($P$2:$P$3000,1,$A$2:$A$3000,$A195,$J$2:$J$3000,$J195,$N$2:$N$3000,"&lt;"&amp;$N195)+1,"")</f>
        <v/>
      </c>
      <c r="R195" t="str">
        <f t="shared" si="53"/>
        <v>华夏大悦城购物中心封闭式基础设施证券投资基金|成都大悦城</v>
      </c>
      <c r="S195">
        <f>IF($A195="",0,IF(COUNTIF($R$2:$R195,$R195)=1,1,0))</f>
        <v>0</v>
      </c>
      <c r="T195">
        <f t="shared" si="54"/>
        <v>156</v>
      </c>
      <c r="U195" t="str">
        <f>IF($A195="","",IF($A195=经营数据!$B$3,COUNTIFS($S$2:$S$3000,1,$A$2:$A$3000,$A195,$T$2:$T$3000,"&lt;"&amp;$T195)+1,""))</f>
        <v/>
      </c>
      <c r="V195" t="str">
        <f t="shared" si="55"/>
        <v>成都大悦城|服务效率</v>
      </c>
      <c r="W195">
        <f t="shared" si="56"/>
        <v>158</v>
      </c>
      <c r="X195" t="str">
        <f t="shared" si="57"/>
        <v>成都大悦城|期末出租率</v>
      </c>
      <c r="Y195">
        <f t="shared" si="58"/>
        <v>158</v>
      </c>
      <c r="Z195">
        <f>IF($A195="",0,IF(AND($M195=1,$A195=经营数据!$B$3,$J195=经营数据!$BA$5,OR($I195=经营数据!$BA$4,COUNTIF(经营数据!$AA$9:$AA$38,$I195)&gt;0)),1,0))</f>
        <v>0</v>
      </c>
      <c r="AA195" t="str">
        <f t="shared" si="59"/>
        <v/>
      </c>
      <c r="AB195" t="str">
        <f t="shared" si="60"/>
        <v/>
      </c>
      <c r="AC195">
        <f>IF($A195="",0,IF(COUNTIF($A$2:$A195,$A195)=1,1,0))</f>
        <v>0</v>
      </c>
      <c r="AD195">
        <f t="shared" si="61"/>
        <v>3</v>
      </c>
      <c r="AE195" t="str">
        <f t="shared" si="62"/>
        <v>成都大悦城|期末出租率（%）</v>
      </c>
      <c r="BA195" t="s">
        <v>5550</v>
      </c>
      <c r="BB195" t="s">
        <v>5551</v>
      </c>
      <c r="BP195" s="47">
        <v>45651</v>
      </c>
      <c r="BQ195" s="29">
        <v>4.9649032502638087E-2</v>
      </c>
    </row>
    <row r="196" spans="1:69" x14ac:dyDescent="0.4">
      <c r="A196" t="str">
        <f>IF(原始经营数据!$D197="","",原始经营数据!$D197)</f>
        <v>华夏大悦城购物中心封闭式基础设施证券投资基金</v>
      </c>
      <c r="B196" t="str">
        <f>IF(原始经营数据!$D197="","",T(原始经营数据!$E197))</f>
        <v>成都大悦城</v>
      </c>
      <c r="C196" t="str">
        <f>IF(原始经营数据!$D197="","",原始经营数据!$F197)</f>
        <v>2026Q1</v>
      </c>
      <c r="D196" t="str">
        <f>IF(原始经营数据!$D197="","",原始经营数据!$H197)</f>
        <v>期末租金收缴率</v>
      </c>
      <c r="E196">
        <f>IF(原始经营数据!$D197="","",原始经营数据!$I197)</f>
        <v>98.2</v>
      </c>
      <c r="F196" t="str">
        <f>IF(原始经营数据!$D197="","",T(原始经营数据!$J197))</f>
        <v>%</v>
      </c>
      <c r="G196" t="str">
        <f>IF(原始经营数据!$D197="","",T(原始经营数据!$K197))</f>
        <v/>
      </c>
      <c r="H196" t="str">
        <f>IF(原始经营数据!$D197="","",原始经营数据!$G197)</f>
        <v>服务效率</v>
      </c>
      <c r="I196" t="str">
        <f>IF($A196="","",IF($B196&lt;&gt;"",$B196,IF(COUNTIFS(原始经营数据!$D$3:$D$3001,$A196,原始经营数据!$E$3:$E$3001,"",原始经营数据!$F$3:$F$3001,$C196,原始经营数据!$H$3:$H$3001,$D196,原始经营数据!$K$3:$K$3001,$G196)&gt;1,"基金整体·来源"&amp;原始经营数据!$A197,"基金整体")))</f>
        <v>成都大悦城</v>
      </c>
      <c r="J196" t="str">
        <f t="shared" si="48"/>
        <v>季度</v>
      </c>
      <c r="K196" t="str">
        <f t="shared" si="49"/>
        <v>期末租金收缴率（%）</v>
      </c>
      <c r="L196" t="str">
        <f t="shared" si="50"/>
        <v>成都大悦城|期末租金收缴率（%）|季度</v>
      </c>
      <c r="M196">
        <f>IF($A196="",0,IF(COUNTIF($L$2:$L196,$L196)=1,1,0))</f>
        <v>0</v>
      </c>
      <c r="N196">
        <f t="shared" si="51"/>
        <v>20261</v>
      </c>
      <c r="O196" t="str">
        <f t="shared" si="52"/>
        <v>华夏大悦城购物中心封闭式基础设施证券投资基金|2026Q1|季度</v>
      </c>
      <c r="P196">
        <f>IF($A196="",0,IF(COUNTIF($O$2:$O196,$O196)=1,1,0))</f>
        <v>0</v>
      </c>
      <c r="Q196" t="str">
        <f>IF(AND($P196=1,$A196=经营数据!$B$3,$J196=经营数据!$BA$5),COUNTIFS($P$2:$P$3000,1,$A$2:$A$3000,$A196,$J$2:$J$3000,$J196,$N$2:$N$3000,"&lt;"&amp;$N196)+1,"")</f>
        <v/>
      </c>
      <c r="R196" t="str">
        <f t="shared" si="53"/>
        <v>华夏大悦城购物中心封闭式基础设施证券投资基金|成都大悦城</v>
      </c>
      <c r="S196">
        <f>IF($A196="",0,IF(COUNTIF($R$2:$R196,$R196)=1,1,0))</f>
        <v>0</v>
      </c>
      <c r="T196">
        <f t="shared" si="54"/>
        <v>156</v>
      </c>
      <c r="U196" t="str">
        <f>IF($A196="","",IF($A196=经营数据!$B$3,COUNTIFS($S$2:$S$3000,1,$A$2:$A$3000,$A196,$T$2:$T$3000,"&lt;"&amp;$T196)+1,""))</f>
        <v/>
      </c>
      <c r="V196" t="str">
        <f t="shared" si="55"/>
        <v>成都大悦城|服务效率</v>
      </c>
      <c r="W196">
        <f t="shared" si="56"/>
        <v>158</v>
      </c>
      <c r="X196" t="str">
        <f t="shared" si="57"/>
        <v>成都大悦城|期末租金收缴率</v>
      </c>
      <c r="Y196">
        <f t="shared" si="58"/>
        <v>161</v>
      </c>
      <c r="Z196">
        <f>IF($A196="",0,IF(AND($M196=1,$A196=经营数据!$B$3,$J196=经营数据!$BA$5,OR($I196=经营数据!$BA$4,COUNTIF(经营数据!$AA$9:$AA$38,$I196)&gt;0)),1,0))</f>
        <v>0</v>
      </c>
      <c r="AA196" t="str">
        <f t="shared" si="59"/>
        <v/>
      </c>
      <c r="AB196" t="str">
        <f t="shared" si="60"/>
        <v/>
      </c>
      <c r="AC196">
        <f>IF($A196="",0,IF(COUNTIF($A$2:$A196,$A196)=1,1,0))</f>
        <v>0</v>
      </c>
      <c r="AD196">
        <f t="shared" si="61"/>
        <v>3</v>
      </c>
      <c r="AE196" t="str">
        <f t="shared" si="62"/>
        <v>成都大悦城|期末租金收缴率（%）</v>
      </c>
      <c r="BA196" t="s">
        <v>5552</v>
      </c>
      <c r="BB196" t="s">
        <v>5227</v>
      </c>
      <c r="BP196" s="47">
        <v>45652</v>
      </c>
      <c r="BQ196" s="29">
        <v>4.9597146978453882E-2</v>
      </c>
    </row>
    <row r="197" spans="1:69" x14ac:dyDescent="0.4">
      <c r="A197" t="str">
        <f>IF(原始经营数据!$D198="","",原始经营数据!$D198)</f>
        <v>华夏大悦城购物中心封闭式基础设施证券投资基金</v>
      </c>
      <c r="B197" t="str">
        <f>IF(原始经营数据!$D198="","",T(原始经营数据!$E198))</f>
        <v>成都大悦城</v>
      </c>
      <c r="C197" t="str">
        <f>IF(原始经营数据!$D198="","",原始经营数据!$F198)</f>
        <v>2026Q1</v>
      </c>
      <c r="D197" t="str">
        <f>IF(原始经营数据!$D198="","",原始经营数据!$H198)</f>
        <v>期末剩余租期</v>
      </c>
      <c r="E197">
        <f>IF(原始经营数据!$D198="","",原始经营数据!$I198)</f>
        <v>3</v>
      </c>
      <c r="F197" t="str">
        <f>IF(原始经营数据!$D198="","",T(原始经营数据!$J198))</f>
        <v>年</v>
      </c>
      <c r="G197" t="str">
        <f>IF(原始经营数据!$D198="","",T(原始经营数据!$K198))</f>
        <v/>
      </c>
      <c r="H197" t="str">
        <f>IF(原始经营数据!$D198="","",原始经营数据!$G198)</f>
        <v>服务量</v>
      </c>
      <c r="I197" t="str">
        <f>IF($A197="","",IF($B197&lt;&gt;"",$B197,IF(COUNTIFS(原始经营数据!$D$3:$D$3001,$A197,原始经营数据!$E$3:$E$3001,"",原始经营数据!$F$3:$F$3001,$C197,原始经营数据!$H$3:$H$3001,$D197,原始经营数据!$K$3:$K$3001,$G197)&gt;1,"基金整体·来源"&amp;原始经营数据!$A198,"基金整体")))</f>
        <v>成都大悦城</v>
      </c>
      <c r="J197" t="str">
        <f t="shared" si="48"/>
        <v>季度</v>
      </c>
      <c r="K197" t="str">
        <f t="shared" si="49"/>
        <v>期末剩余租期（年）</v>
      </c>
      <c r="L197" t="str">
        <f t="shared" si="50"/>
        <v>成都大悦城|期末剩余租期（年）|季度</v>
      </c>
      <c r="M197">
        <f>IF($A197="",0,IF(COUNTIF($L$2:$L197,$L197)=1,1,0))</f>
        <v>0</v>
      </c>
      <c r="N197">
        <f t="shared" si="51"/>
        <v>20261</v>
      </c>
      <c r="O197" t="str">
        <f t="shared" si="52"/>
        <v>华夏大悦城购物中心封闭式基础设施证券投资基金|2026Q1|季度</v>
      </c>
      <c r="P197">
        <f>IF($A197="",0,IF(COUNTIF($O$2:$O197,$O197)=1,1,0))</f>
        <v>0</v>
      </c>
      <c r="Q197" t="str">
        <f>IF(AND($P197=1,$A197=经营数据!$B$3,$J197=经营数据!$BA$5),COUNTIFS($P$2:$P$3000,1,$A$2:$A$3000,$A197,$J$2:$J$3000,$J197,$N$2:$N$3000,"&lt;"&amp;$N197)+1,"")</f>
        <v/>
      </c>
      <c r="R197" t="str">
        <f t="shared" si="53"/>
        <v>华夏大悦城购物中心封闭式基础设施证券投资基金|成都大悦城</v>
      </c>
      <c r="S197">
        <f>IF($A197="",0,IF(COUNTIF($R$2:$R197,$R197)=1,1,0))</f>
        <v>0</v>
      </c>
      <c r="T197">
        <f t="shared" si="54"/>
        <v>156</v>
      </c>
      <c r="U197" t="str">
        <f>IF($A197="","",IF($A197=经营数据!$B$3,COUNTIFS($S$2:$S$3000,1,$A$2:$A$3000,$A197,$T$2:$T$3000,"&lt;"&amp;$T197)+1,""))</f>
        <v/>
      </c>
      <c r="V197" t="str">
        <f t="shared" si="55"/>
        <v>成都大悦城|服务量</v>
      </c>
      <c r="W197">
        <f t="shared" si="56"/>
        <v>156</v>
      </c>
      <c r="X197" t="str">
        <f t="shared" si="57"/>
        <v>成都大悦城|期末剩余租期</v>
      </c>
      <c r="Y197">
        <f t="shared" si="58"/>
        <v>156</v>
      </c>
      <c r="Z197">
        <f>IF($A197="",0,IF(AND($M197=1,$A197=经营数据!$B$3,$J197=经营数据!$BA$5,OR($I197=经营数据!$BA$4,COUNTIF(经营数据!$AA$9:$AA$38,$I197)&gt;0)),1,0))</f>
        <v>0</v>
      </c>
      <c r="AA197" t="str">
        <f t="shared" si="59"/>
        <v/>
      </c>
      <c r="AB197" t="str">
        <f t="shared" si="60"/>
        <v/>
      </c>
      <c r="AC197">
        <f>IF($A197="",0,IF(COUNTIF($A$2:$A197,$A197)=1,1,0))</f>
        <v>0</v>
      </c>
      <c r="AD197">
        <f t="shared" si="61"/>
        <v>3</v>
      </c>
      <c r="AE197" t="str">
        <f t="shared" si="62"/>
        <v>成都大悦城|期末剩余租期（年）</v>
      </c>
      <c r="BA197" t="s">
        <v>5553</v>
      </c>
      <c r="BB197" t="s">
        <v>5247</v>
      </c>
      <c r="BP197" s="47">
        <v>45653</v>
      </c>
      <c r="BQ197" s="29">
        <v>4.8825124079242818E-2</v>
      </c>
    </row>
    <row r="198" spans="1:69" x14ac:dyDescent="0.4">
      <c r="A198" t="str">
        <f>IF(原始经营数据!$D199="","",原始经营数据!$D199)</f>
        <v>华夏大悦城购物中心封闭式基础设施证券投资基金</v>
      </c>
      <c r="B198" t="str">
        <f>IF(原始经营数据!$D199="","",T(原始经营数据!$E199))</f>
        <v>成都大悦城</v>
      </c>
      <c r="C198" t="str">
        <f>IF(原始经营数据!$D199="","",原始经营数据!$F199)</f>
        <v>2026Q1</v>
      </c>
      <c r="D198" t="str">
        <f>IF(原始经营数据!$D199="","",原始经营数据!$H199)</f>
        <v>期内租金单价水平</v>
      </c>
      <c r="E198">
        <f>IF(原始经营数据!$D199="","",原始经营数据!$I199)</f>
        <v>389.79</v>
      </c>
      <c r="F198" t="str">
        <f>IF(原始经营数据!$D199="","",T(原始经营数据!$J199))</f>
        <v>元/平方米/月</v>
      </c>
      <c r="G198" t="str">
        <f>IF(原始经营数据!$D199="","",T(原始经营数据!$K199))</f>
        <v/>
      </c>
      <c r="H198" t="str">
        <f>IF(原始经营数据!$D199="","",原始经营数据!$G199)</f>
        <v>服务价格</v>
      </c>
      <c r="I198" t="str">
        <f>IF($A198="","",IF($B198&lt;&gt;"",$B198,IF(COUNTIFS(原始经营数据!$D$3:$D$3001,$A198,原始经营数据!$E$3:$E$3001,"",原始经营数据!$F$3:$F$3001,$C198,原始经营数据!$H$3:$H$3001,$D198,原始经营数据!$K$3:$K$3001,$G198)&gt;1,"基金整体·来源"&amp;原始经营数据!$A199,"基金整体")))</f>
        <v>成都大悦城</v>
      </c>
      <c r="J198" t="str">
        <f t="shared" si="48"/>
        <v>季度</v>
      </c>
      <c r="K198" t="str">
        <f t="shared" si="49"/>
        <v>期内租金单价水平（元/平方米/月）</v>
      </c>
      <c r="L198" t="str">
        <f t="shared" si="50"/>
        <v>成都大悦城|期内租金单价水平（元/平方米/月）|季度</v>
      </c>
      <c r="M198">
        <f>IF($A198="",0,IF(COUNTIF($L$2:$L198,$L198)=1,1,0))</f>
        <v>0</v>
      </c>
      <c r="N198">
        <f t="shared" si="51"/>
        <v>20261</v>
      </c>
      <c r="O198" t="str">
        <f t="shared" si="52"/>
        <v>华夏大悦城购物中心封闭式基础设施证券投资基金|2026Q1|季度</v>
      </c>
      <c r="P198">
        <f>IF($A198="",0,IF(COUNTIF($O$2:$O198,$O198)=1,1,0))</f>
        <v>0</v>
      </c>
      <c r="Q198" t="str">
        <f>IF(AND($P198=1,$A198=经营数据!$B$3,$J198=经营数据!$BA$5),COUNTIFS($P$2:$P$3000,1,$A$2:$A$3000,$A198,$J$2:$J$3000,$J198,$N$2:$N$3000,"&lt;"&amp;$N198)+1,"")</f>
        <v/>
      </c>
      <c r="R198" t="str">
        <f t="shared" si="53"/>
        <v>华夏大悦城购物中心封闭式基础设施证券投资基金|成都大悦城</v>
      </c>
      <c r="S198">
        <f>IF($A198="",0,IF(COUNTIF($R$2:$R198,$R198)=1,1,0))</f>
        <v>0</v>
      </c>
      <c r="T198">
        <f t="shared" si="54"/>
        <v>156</v>
      </c>
      <c r="U198" t="str">
        <f>IF($A198="","",IF($A198=经营数据!$B$3,COUNTIFS($S$2:$S$3000,1,$A$2:$A$3000,$A198,$T$2:$T$3000,"&lt;"&amp;$T198)+1,""))</f>
        <v/>
      </c>
      <c r="V198" t="str">
        <f t="shared" si="55"/>
        <v>成都大悦城|服务价格</v>
      </c>
      <c r="W198">
        <f t="shared" si="56"/>
        <v>157</v>
      </c>
      <c r="X198" t="str">
        <f t="shared" si="57"/>
        <v>成都大悦城|期内租金单价水平</v>
      </c>
      <c r="Y198">
        <f t="shared" si="58"/>
        <v>157</v>
      </c>
      <c r="Z198">
        <f>IF($A198="",0,IF(AND($M198=1,$A198=经营数据!$B$3,$J198=经营数据!$BA$5,OR($I198=经营数据!$BA$4,COUNTIF(经营数据!$AA$9:$AA$38,$I198)&gt;0)),1,0))</f>
        <v>0</v>
      </c>
      <c r="AA198" t="str">
        <f t="shared" si="59"/>
        <v/>
      </c>
      <c r="AB198" t="str">
        <f t="shared" si="60"/>
        <v/>
      </c>
      <c r="AC198">
        <f>IF($A198="",0,IF(COUNTIF($A$2:$A198,$A198)=1,1,0))</f>
        <v>0</v>
      </c>
      <c r="AD198">
        <f t="shared" si="61"/>
        <v>3</v>
      </c>
      <c r="AE198" t="str">
        <f t="shared" si="62"/>
        <v>成都大悦城|期内租金单价水平（元/平方米/月）</v>
      </c>
      <c r="BA198" t="s">
        <v>5554</v>
      </c>
      <c r="BB198" t="s">
        <v>5555</v>
      </c>
      <c r="BP198" s="47">
        <v>45656</v>
      </c>
      <c r="BQ198" s="29">
        <v>4.8498425792190943E-2</v>
      </c>
    </row>
    <row r="199" spans="1:69" x14ac:dyDescent="0.4">
      <c r="A199" t="str">
        <f>IF(原始经营数据!$D200="","",原始经营数据!$D200)</f>
        <v>华夏大悦城购物中心封闭式基础设施证券投资基金</v>
      </c>
      <c r="B199" t="str">
        <f>IF(原始经营数据!$D200="","",T(原始经营数据!$E200))</f>
        <v>成都大悦城</v>
      </c>
      <c r="C199" t="str">
        <f>IF(原始经营数据!$D200="","",原始经营数据!$F200)</f>
        <v>2026Q2</v>
      </c>
      <c r="D199" t="str">
        <f>IF(原始经营数据!$D200="","",原始经营数据!$H200)</f>
        <v>期内租金单价水平</v>
      </c>
      <c r="E199">
        <f>IF(原始经营数据!$D200="","",原始经营数据!$I200)</f>
        <v>374.35</v>
      </c>
      <c r="F199" t="str">
        <f>IF(原始经营数据!$D200="","",T(原始经营数据!$J200))</f>
        <v>元/平方米/月,含增值税</v>
      </c>
      <c r="G199" t="str">
        <f>IF(原始经营数据!$D200="","",T(原始经营数据!$K200))</f>
        <v/>
      </c>
      <c r="H199" t="str">
        <f>IF(原始经营数据!$D200="","",原始经营数据!$G200)</f>
        <v>服务价格</v>
      </c>
      <c r="I199" t="str">
        <f>IF($A199="","",IF($B199&lt;&gt;"",$B199,IF(COUNTIFS(原始经营数据!$D$3:$D$3001,$A199,原始经营数据!$E$3:$E$3001,"",原始经营数据!$F$3:$F$3001,$C199,原始经营数据!$H$3:$H$3001,$D199,原始经营数据!$K$3:$K$3001,$G199)&gt;1,"基金整体·来源"&amp;原始经营数据!$A200,"基金整体")))</f>
        <v>成都大悦城</v>
      </c>
      <c r="J199" t="str">
        <f t="shared" si="48"/>
        <v>季度</v>
      </c>
      <c r="K199" t="str">
        <f t="shared" si="49"/>
        <v>期内租金单价水平（元/平方米/月,含增值税）</v>
      </c>
      <c r="L199" t="str">
        <f t="shared" si="50"/>
        <v>成都大悦城|期内租金单价水平（元/平方米/月,含增值税）|季度</v>
      </c>
      <c r="M199">
        <f>IF($A199="",0,IF(COUNTIF($L$2:$L199,$L199)=1,1,0))</f>
        <v>1</v>
      </c>
      <c r="N199">
        <f t="shared" si="51"/>
        <v>20262</v>
      </c>
      <c r="O199" t="str">
        <f t="shared" si="52"/>
        <v>华夏大悦城购物中心封闭式基础设施证券投资基金|2026Q2|季度</v>
      </c>
      <c r="P199">
        <f>IF($A199="",0,IF(COUNTIF($O$2:$O199,$O199)=1,1,0))</f>
        <v>1</v>
      </c>
      <c r="Q199" t="str">
        <f>IF(AND($P199=1,$A199=经营数据!$B$3,$J199=经营数据!$BA$5),COUNTIFS($P$2:$P$3000,1,$A$2:$A$3000,$A199,$J$2:$J$3000,$J199,$N$2:$N$3000,"&lt;"&amp;$N199)+1,"")</f>
        <v/>
      </c>
      <c r="R199" t="str">
        <f t="shared" si="53"/>
        <v>华夏大悦城购物中心封闭式基础设施证券投资基金|成都大悦城</v>
      </c>
      <c r="S199">
        <f>IF($A199="",0,IF(COUNTIF($R$2:$R199,$R199)=1,1,0))</f>
        <v>0</v>
      </c>
      <c r="T199">
        <f t="shared" si="54"/>
        <v>156</v>
      </c>
      <c r="U199" t="str">
        <f>IF($A199="","",IF($A199=经营数据!$B$3,COUNTIFS($S$2:$S$3000,1,$A$2:$A$3000,$A199,$T$2:$T$3000,"&lt;"&amp;$T199)+1,""))</f>
        <v/>
      </c>
      <c r="V199" t="str">
        <f t="shared" si="55"/>
        <v>成都大悦城|服务价格</v>
      </c>
      <c r="W199">
        <f t="shared" si="56"/>
        <v>157</v>
      </c>
      <c r="X199" t="str">
        <f t="shared" si="57"/>
        <v>成都大悦城|期内租金单价水平</v>
      </c>
      <c r="Y199">
        <f t="shared" si="58"/>
        <v>157</v>
      </c>
      <c r="Z199">
        <f>IF($A199="",0,IF(AND($M199=1,$A199=经营数据!$B$3,$J199=经营数据!$BA$5,OR($I199=经营数据!$BA$4,COUNTIF(经营数据!$AA$9:$AA$38,$I199)&gt;0)),1,0))</f>
        <v>0</v>
      </c>
      <c r="AA199" t="str">
        <f t="shared" si="59"/>
        <v/>
      </c>
      <c r="AB199" t="str">
        <f t="shared" si="60"/>
        <v/>
      </c>
      <c r="AC199">
        <f>IF($A199="",0,IF(COUNTIF($A$2:$A199,$A199)=1,1,0))</f>
        <v>0</v>
      </c>
      <c r="AD199">
        <f t="shared" si="61"/>
        <v>3</v>
      </c>
      <c r="AE199" t="str">
        <f t="shared" si="62"/>
        <v>成都大悦城|期内租金单价水平（元/平方米/月,含增值税）</v>
      </c>
      <c r="BA199" t="s">
        <v>5556</v>
      </c>
      <c r="BB199" t="s">
        <v>5557</v>
      </c>
      <c r="BP199" s="47">
        <v>45657</v>
      </c>
      <c r="BQ199" s="29">
        <v>4.8649298447681101E-2</v>
      </c>
    </row>
    <row r="200" spans="1:69" x14ac:dyDescent="0.4">
      <c r="A200" t="str">
        <f>IF(原始经营数据!$D201="","",原始经营数据!$D201)</f>
        <v>华夏大悦城购物中心封闭式基础设施证券投资基金</v>
      </c>
      <c r="B200" t="str">
        <f>IF(原始经营数据!$D201="","",T(原始经营数据!$E201))</f>
        <v>成都大悦城</v>
      </c>
      <c r="C200" t="str">
        <f>IF(原始经营数据!$D201="","",原始经营数据!$F201)</f>
        <v>2026Q2</v>
      </c>
      <c r="D200" t="str">
        <f>IF(原始经营数据!$D201="","",原始经营数据!$H201)</f>
        <v>期末剩余租期</v>
      </c>
      <c r="E200">
        <f>IF(原始经营数据!$D201="","",原始经营数据!$I201)</f>
        <v>2.93</v>
      </c>
      <c r="F200" t="str">
        <f>IF(原始经营数据!$D201="","",T(原始经营数据!$J201))</f>
        <v>年</v>
      </c>
      <c r="G200" t="str">
        <f>IF(原始经营数据!$D201="","",T(原始经营数据!$K201))</f>
        <v/>
      </c>
      <c r="H200" t="str">
        <f>IF(原始经营数据!$D201="","",原始经营数据!$G201)</f>
        <v>服务量</v>
      </c>
      <c r="I200" t="str">
        <f>IF($A200="","",IF($B200&lt;&gt;"",$B200,IF(COUNTIFS(原始经营数据!$D$3:$D$3001,$A200,原始经营数据!$E$3:$E$3001,"",原始经营数据!$F$3:$F$3001,$C200,原始经营数据!$H$3:$H$3001,$D200,原始经营数据!$K$3:$K$3001,$G200)&gt;1,"基金整体·来源"&amp;原始经营数据!$A201,"基金整体")))</f>
        <v>成都大悦城</v>
      </c>
      <c r="J200" t="str">
        <f t="shared" si="48"/>
        <v>季度</v>
      </c>
      <c r="K200" t="str">
        <f t="shared" si="49"/>
        <v>期末剩余租期（年）</v>
      </c>
      <c r="L200" t="str">
        <f t="shared" si="50"/>
        <v>成都大悦城|期末剩余租期（年）|季度</v>
      </c>
      <c r="M200">
        <f>IF($A200="",0,IF(COUNTIF($L$2:$L200,$L200)=1,1,0))</f>
        <v>0</v>
      </c>
      <c r="N200">
        <f t="shared" si="51"/>
        <v>20262</v>
      </c>
      <c r="O200" t="str">
        <f t="shared" si="52"/>
        <v>华夏大悦城购物中心封闭式基础设施证券投资基金|2026Q2|季度</v>
      </c>
      <c r="P200">
        <f>IF($A200="",0,IF(COUNTIF($O$2:$O200,$O200)=1,1,0))</f>
        <v>0</v>
      </c>
      <c r="Q200" t="str">
        <f>IF(AND($P200=1,$A200=经营数据!$B$3,$J200=经营数据!$BA$5),COUNTIFS($P$2:$P$3000,1,$A$2:$A$3000,$A200,$J$2:$J$3000,$J200,$N$2:$N$3000,"&lt;"&amp;$N200)+1,"")</f>
        <v/>
      </c>
      <c r="R200" t="str">
        <f t="shared" si="53"/>
        <v>华夏大悦城购物中心封闭式基础设施证券投资基金|成都大悦城</v>
      </c>
      <c r="S200">
        <f>IF($A200="",0,IF(COUNTIF($R$2:$R200,$R200)=1,1,0))</f>
        <v>0</v>
      </c>
      <c r="T200">
        <f t="shared" si="54"/>
        <v>156</v>
      </c>
      <c r="U200" t="str">
        <f>IF($A200="","",IF($A200=经营数据!$B$3,COUNTIFS($S$2:$S$3000,1,$A$2:$A$3000,$A200,$T$2:$T$3000,"&lt;"&amp;$T200)+1,""))</f>
        <v/>
      </c>
      <c r="V200" t="str">
        <f t="shared" si="55"/>
        <v>成都大悦城|服务量</v>
      </c>
      <c r="W200">
        <f t="shared" si="56"/>
        <v>156</v>
      </c>
      <c r="X200" t="str">
        <f t="shared" si="57"/>
        <v>成都大悦城|期末剩余租期</v>
      </c>
      <c r="Y200">
        <f t="shared" si="58"/>
        <v>156</v>
      </c>
      <c r="Z200">
        <f>IF($A200="",0,IF(AND($M200=1,$A200=经营数据!$B$3,$J200=经营数据!$BA$5,OR($I200=经营数据!$BA$4,COUNTIF(经营数据!$AA$9:$AA$38,$I200)&gt;0)),1,0))</f>
        <v>0</v>
      </c>
      <c r="AA200" t="str">
        <f t="shared" si="59"/>
        <v/>
      </c>
      <c r="AB200" t="str">
        <f t="shared" si="60"/>
        <v/>
      </c>
      <c r="AC200">
        <f>IF($A200="",0,IF(COUNTIF($A$2:$A200,$A200)=1,1,0))</f>
        <v>0</v>
      </c>
      <c r="AD200">
        <f t="shared" si="61"/>
        <v>3</v>
      </c>
      <c r="AE200" t="str">
        <f t="shared" si="62"/>
        <v>成都大悦城|期末剩余租期（年）</v>
      </c>
      <c r="BA200" t="s">
        <v>5558</v>
      </c>
      <c r="BB200" t="s">
        <v>5559</v>
      </c>
      <c r="BP200" s="47">
        <v>45659</v>
      </c>
      <c r="BQ200" s="29">
        <v>4.7323496444550417E-2</v>
      </c>
    </row>
    <row r="201" spans="1:69" x14ac:dyDescent="0.4">
      <c r="A201" t="str">
        <f>IF(原始经营数据!$D202="","",原始经营数据!$D202)</f>
        <v>华夏大悦城购物中心封闭式基础设施证券投资基金</v>
      </c>
      <c r="B201" t="str">
        <f>IF(原始经营数据!$D202="","",T(原始经营数据!$E202))</f>
        <v>成都大悦城</v>
      </c>
      <c r="C201" t="str">
        <f>IF(原始经营数据!$D202="","",原始经营数据!$F202)</f>
        <v>2026Q2</v>
      </c>
      <c r="D201" t="str">
        <f>IF(原始经营数据!$D202="","",原始经营数据!$H202)</f>
        <v>期末租金收缴率</v>
      </c>
      <c r="E201">
        <f>IF(原始经营数据!$D202="","",原始经营数据!$I202)</f>
        <v>99.53</v>
      </c>
      <c r="F201" t="str">
        <f>IF(原始经营数据!$D202="","",T(原始经营数据!$J202))</f>
        <v>%</v>
      </c>
      <c r="G201" t="str">
        <f>IF(原始经营数据!$D202="","",T(原始经营数据!$K202))</f>
        <v/>
      </c>
      <c r="H201" t="str">
        <f>IF(原始经营数据!$D202="","",原始经营数据!$G202)</f>
        <v>服务效率</v>
      </c>
      <c r="I201" t="str">
        <f>IF($A201="","",IF($B201&lt;&gt;"",$B201,IF(COUNTIFS(原始经营数据!$D$3:$D$3001,$A201,原始经营数据!$E$3:$E$3001,"",原始经营数据!$F$3:$F$3001,$C201,原始经营数据!$H$3:$H$3001,$D201,原始经营数据!$K$3:$K$3001,$G201)&gt;1,"基金整体·来源"&amp;原始经营数据!$A202,"基金整体")))</f>
        <v>成都大悦城</v>
      </c>
      <c r="J201" t="str">
        <f t="shared" si="48"/>
        <v>季度</v>
      </c>
      <c r="K201" t="str">
        <f t="shared" si="49"/>
        <v>期末租金收缴率（%）</v>
      </c>
      <c r="L201" t="str">
        <f t="shared" si="50"/>
        <v>成都大悦城|期末租金收缴率（%）|季度</v>
      </c>
      <c r="M201">
        <f>IF($A201="",0,IF(COUNTIF($L$2:$L201,$L201)=1,1,0))</f>
        <v>0</v>
      </c>
      <c r="N201">
        <f t="shared" si="51"/>
        <v>20262</v>
      </c>
      <c r="O201" t="str">
        <f t="shared" si="52"/>
        <v>华夏大悦城购物中心封闭式基础设施证券投资基金|2026Q2|季度</v>
      </c>
      <c r="P201">
        <f>IF($A201="",0,IF(COUNTIF($O$2:$O201,$O201)=1,1,0))</f>
        <v>0</v>
      </c>
      <c r="Q201" t="str">
        <f>IF(AND($P201=1,$A201=经营数据!$B$3,$J201=经营数据!$BA$5),COUNTIFS($P$2:$P$3000,1,$A$2:$A$3000,$A201,$J$2:$J$3000,$J201,$N$2:$N$3000,"&lt;"&amp;$N201)+1,"")</f>
        <v/>
      </c>
      <c r="R201" t="str">
        <f t="shared" si="53"/>
        <v>华夏大悦城购物中心封闭式基础设施证券投资基金|成都大悦城</v>
      </c>
      <c r="S201">
        <f>IF($A201="",0,IF(COUNTIF($R$2:$R201,$R201)=1,1,0))</f>
        <v>0</v>
      </c>
      <c r="T201">
        <f t="shared" si="54"/>
        <v>156</v>
      </c>
      <c r="U201" t="str">
        <f>IF($A201="","",IF($A201=经营数据!$B$3,COUNTIFS($S$2:$S$3000,1,$A$2:$A$3000,$A201,$T$2:$T$3000,"&lt;"&amp;$T201)+1,""))</f>
        <v/>
      </c>
      <c r="V201" t="str">
        <f t="shared" si="55"/>
        <v>成都大悦城|服务效率</v>
      </c>
      <c r="W201">
        <f t="shared" si="56"/>
        <v>158</v>
      </c>
      <c r="X201" t="str">
        <f t="shared" si="57"/>
        <v>成都大悦城|期末租金收缴率</v>
      </c>
      <c r="Y201">
        <f t="shared" si="58"/>
        <v>161</v>
      </c>
      <c r="Z201">
        <f>IF($A201="",0,IF(AND($M201=1,$A201=经营数据!$B$3,$J201=经营数据!$BA$5,OR($I201=经营数据!$BA$4,COUNTIF(经营数据!$AA$9:$AA$38,$I201)&gt;0)),1,0))</f>
        <v>0</v>
      </c>
      <c r="AA201" t="str">
        <f t="shared" si="59"/>
        <v/>
      </c>
      <c r="AB201" t="str">
        <f t="shared" si="60"/>
        <v/>
      </c>
      <c r="AC201">
        <f>IF($A201="",0,IF(COUNTIF($A$2:$A201,$A201)=1,1,0))</f>
        <v>0</v>
      </c>
      <c r="AD201">
        <f t="shared" si="61"/>
        <v>3</v>
      </c>
      <c r="AE201" t="str">
        <f t="shared" si="62"/>
        <v>成都大悦城|期末租金收缴率（%）</v>
      </c>
      <c r="BA201" t="s">
        <v>5560</v>
      </c>
      <c r="BB201" t="s">
        <v>5561</v>
      </c>
      <c r="BP201" s="47">
        <v>45660</v>
      </c>
      <c r="BQ201" s="29">
        <v>4.595400106889961E-2</v>
      </c>
    </row>
    <row r="202" spans="1:69" x14ac:dyDescent="0.4">
      <c r="A202" t="str">
        <f>IF(原始经营数据!$D203="","",原始经营数据!$D203)</f>
        <v>华夏大悦城购物中心封闭式基础设施证券投资基金</v>
      </c>
      <c r="B202" t="str">
        <f>IF(原始经营数据!$D203="","",T(原始经营数据!$E203))</f>
        <v>成都大悦城</v>
      </c>
      <c r="C202" t="str">
        <f>IF(原始经营数据!$D203="","",原始经营数据!$F203)</f>
        <v>2026Q2</v>
      </c>
      <c r="D202" t="str">
        <f>IF(原始经营数据!$D203="","",原始经营数据!$H203)</f>
        <v>期末出租率</v>
      </c>
      <c r="E202">
        <f>IF(原始经营数据!$D203="","",原始经营数据!$I203)</f>
        <v>97.17</v>
      </c>
      <c r="F202" t="str">
        <f>IF(原始经营数据!$D203="","",T(原始经营数据!$J203))</f>
        <v>%</v>
      </c>
      <c r="G202" t="str">
        <f>IF(原始经营数据!$D203="","",T(原始经营数据!$K203))</f>
        <v/>
      </c>
      <c r="H202" t="str">
        <f>IF(原始经营数据!$D203="","",原始经营数据!$G203)</f>
        <v>服务效率</v>
      </c>
      <c r="I202" t="str">
        <f>IF($A202="","",IF($B202&lt;&gt;"",$B202,IF(COUNTIFS(原始经营数据!$D$3:$D$3001,$A202,原始经营数据!$E$3:$E$3001,"",原始经营数据!$F$3:$F$3001,$C202,原始经营数据!$H$3:$H$3001,$D202,原始经营数据!$K$3:$K$3001,$G202)&gt;1,"基金整体·来源"&amp;原始经营数据!$A203,"基金整体")))</f>
        <v>成都大悦城</v>
      </c>
      <c r="J202" t="str">
        <f t="shared" si="48"/>
        <v>季度</v>
      </c>
      <c r="K202" t="str">
        <f t="shared" si="49"/>
        <v>期末出租率（%）</v>
      </c>
      <c r="L202" t="str">
        <f t="shared" si="50"/>
        <v>成都大悦城|期末出租率（%）|季度</v>
      </c>
      <c r="M202">
        <f>IF($A202="",0,IF(COUNTIF($L$2:$L202,$L202)=1,1,0))</f>
        <v>0</v>
      </c>
      <c r="N202">
        <f t="shared" si="51"/>
        <v>20262</v>
      </c>
      <c r="O202" t="str">
        <f t="shared" si="52"/>
        <v>华夏大悦城购物中心封闭式基础设施证券投资基金|2026Q2|季度</v>
      </c>
      <c r="P202">
        <f>IF($A202="",0,IF(COUNTIF($O$2:$O202,$O202)=1,1,0))</f>
        <v>0</v>
      </c>
      <c r="Q202" t="str">
        <f>IF(AND($P202=1,$A202=经营数据!$B$3,$J202=经营数据!$BA$5),COUNTIFS($P$2:$P$3000,1,$A$2:$A$3000,$A202,$J$2:$J$3000,$J202,$N$2:$N$3000,"&lt;"&amp;$N202)+1,"")</f>
        <v/>
      </c>
      <c r="R202" t="str">
        <f t="shared" si="53"/>
        <v>华夏大悦城购物中心封闭式基础设施证券投资基金|成都大悦城</v>
      </c>
      <c r="S202">
        <f>IF($A202="",0,IF(COUNTIF($R$2:$R202,$R202)=1,1,0))</f>
        <v>0</v>
      </c>
      <c r="T202">
        <f t="shared" si="54"/>
        <v>156</v>
      </c>
      <c r="U202" t="str">
        <f>IF($A202="","",IF($A202=经营数据!$B$3,COUNTIFS($S$2:$S$3000,1,$A$2:$A$3000,$A202,$T$2:$T$3000,"&lt;"&amp;$T202)+1,""))</f>
        <v/>
      </c>
      <c r="V202" t="str">
        <f t="shared" si="55"/>
        <v>成都大悦城|服务效率</v>
      </c>
      <c r="W202">
        <f t="shared" si="56"/>
        <v>158</v>
      </c>
      <c r="X202" t="str">
        <f t="shared" si="57"/>
        <v>成都大悦城|期末出租率</v>
      </c>
      <c r="Y202">
        <f t="shared" si="58"/>
        <v>158</v>
      </c>
      <c r="Z202">
        <f>IF($A202="",0,IF(AND($M202=1,$A202=经营数据!$B$3,$J202=经营数据!$BA$5,OR($I202=经营数据!$BA$4,COUNTIF(经营数据!$AA$9:$AA$38,$I202)&gt;0)),1,0))</f>
        <v>0</v>
      </c>
      <c r="AA202" t="str">
        <f t="shared" si="59"/>
        <v/>
      </c>
      <c r="AB202" t="str">
        <f t="shared" si="60"/>
        <v/>
      </c>
      <c r="AC202">
        <f>IF($A202="",0,IF(COUNTIF($A$2:$A202,$A202)=1,1,0))</f>
        <v>0</v>
      </c>
      <c r="AD202">
        <f t="shared" si="61"/>
        <v>3</v>
      </c>
      <c r="AE202" t="str">
        <f t="shared" si="62"/>
        <v>成都大悦城|期末出租率（%）</v>
      </c>
      <c r="BA202" t="s">
        <v>5562</v>
      </c>
      <c r="BB202" t="s">
        <v>5563</v>
      </c>
      <c r="BP202" s="47">
        <v>45663</v>
      </c>
      <c r="BQ202" s="29">
        <v>4.5459472800456438E-2</v>
      </c>
    </row>
    <row r="203" spans="1:69" x14ac:dyDescent="0.4">
      <c r="A203" t="str">
        <f>IF(原始经营数据!$D204="","",原始经营数据!$D204)</f>
        <v>华夏大悦城购物中心封闭式基础设施证券投资基金</v>
      </c>
      <c r="B203" t="str">
        <f>IF(原始经营数据!$D204="","",T(原始经营数据!$E204))</f>
        <v>成都大悦城</v>
      </c>
      <c r="C203" t="str">
        <f>IF(原始经营数据!$D204="","",原始经营数据!$F204)</f>
        <v>2026Q2</v>
      </c>
      <c r="D203" t="str">
        <f>IF(原始经营数据!$D204="","",原始经营数据!$H204)</f>
        <v>期末实际出租面积</v>
      </c>
      <c r="E203">
        <f>IF(原始经营数据!$D204="","",原始经营数据!$I204)</f>
        <v>81271.94</v>
      </c>
      <c r="F203" t="str">
        <f>IF(原始经营数据!$D204="","",T(原始经营数据!$J204))</f>
        <v>平方米</v>
      </c>
      <c r="G203" t="str">
        <f>IF(原始经营数据!$D204="","",T(原始经营数据!$K204))</f>
        <v/>
      </c>
      <c r="H203" t="str">
        <f>IF(原始经营数据!$D204="","",原始经营数据!$G204)</f>
        <v>服务量</v>
      </c>
      <c r="I203" t="str">
        <f>IF($A203="","",IF($B203&lt;&gt;"",$B203,IF(COUNTIFS(原始经营数据!$D$3:$D$3001,$A203,原始经营数据!$E$3:$E$3001,"",原始经营数据!$F$3:$F$3001,$C203,原始经营数据!$H$3:$H$3001,$D203,原始经营数据!$K$3:$K$3001,$G203)&gt;1,"基金整体·来源"&amp;原始经营数据!$A204,"基金整体")))</f>
        <v>成都大悦城</v>
      </c>
      <c r="J203" t="str">
        <f t="shared" si="48"/>
        <v>季度</v>
      </c>
      <c r="K203" t="str">
        <f t="shared" si="49"/>
        <v>期末实际出租面积（平方米）</v>
      </c>
      <c r="L203" t="str">
        <f t="shared" si="50"/>
        <v>成都大悦城|期末实际出租面积（平方米）|季度</v>
      </c>
      <c r="M203">
        <f>IF($A203="",0,IF(COUNTIF($L$2:$L203,$L203)=1,1,0))</f>
        <v>0</v>
      </c>
      <c r="N203">
        <f t="shared" si="51"/>
        <v>20262</v>
      </c>
      <c r="O203" t="str">
        <f t="shared" si="52"/>
        <v>华夏大悦城购物中心封闭式基础设施证券投资基金|2026Q2|季度</v>
      </c>
      <c r="P203">
        <f>IF($A203="",0,IF(COUNTIF($O$2:$O203,$O203)=1,1,0))</f>
        <v>0</v>
      </c>
      <c r="Q203" t="str">
        <f>IF(AND($P203=1,$A203=经营数据!$B$3,$J203=经营数据!$BA$5),COUNTIFS($P$2:$P$3000,1,$A$2:$A$3000,$A203,$J$2:$J$3000,$J203,$N$2:$N$3000,"&lt;"&amp;$N203)+1,"")</f>
        <v/>
      </c>
      <c r="R203" t="str">
        <f t="shared" si="53"/>
        <v>华夏大悦城购物中心封闭式基础设施证券投资基金|成都大悦城</v>
      </c>
      <c r="S203">
        <f>IF($A203="",0,IF(COUNTIF($R$2:$R203,$R203)=1,1,0))</f>
        <v>0</v>
      </c>
      <c r="T203">
        <f t="shared" si="54"/>
        <v>156</v>
      </c>
      <c r="U203" t="str">
        <f>IF($A203="","",IF($A203=经营数据!$B$3,COUNTIFS($S$2:$S$3000,1,$A$2:$A$3000,$A203,$T$2:$T$3000,"&lt;"&amp;$T203)+1,""))</f>
        <v/>
      </c>
      <c r="V203" t="str">
        <f t="shared" si="55"/>
        <v>成都大悦城|服务量</v>
      </c>
      <c r="W203">
        <f t="shared" si="56"/>
        <v>156</v>
      </c>
      <c r="X203" t="str">
        <f t="shared" si="57"/>
        <v>成都大悦城|期末实际出租面积</v>
      </c>
      <c r="Y203">
        <f t="shared" si="58"/>
        <v>159</v>
      </c>
      <c r="Z203">
        <f>IF($A203="",0,IF(AND($M203=1,$A203=经营数据!$B$3,$J203=经营数据!$BA$5,OR($I203=经营数据!$BA$4,COUNTIF(经营数据!$AA$9:$AA$38,$I203)&gt;0)),1,0))</f>
        <v>0</v>
      </c>
      <c r="AA203" t="str">
        <f t="shared" si="59"/>
        <v/>
      </c>
      <c r="AB203" t="str">
        <f t="shared" si="60"/>
        <v/>
      </c>
      <c r="AC203">
        <f>IF($A203="",0,IF(COUNTIF($A$2:$A203,$A203)=1,1,0))</f>
        <v>0</v>
      </c>
      <c r="AD203">
        <f t="shared" si="61"/>
        <v>3</v>
      </c>
      <c r="AE203" t="str">
        <f t="shared" si="62"/>
        <v>成都大悦城|期末实际出租面积（平方米）</v>
      </c>
      <c r="BA203" t="s">
        <v>5564</v>
      </c>
      <c r="BB203" t="s">
        <v>5565</v>
      </c>
      <c r="BP203" s="47">
        <v>45664</v>
      </c>
      <c r="BQ203" s="29">
        <v>4.6110073458792721E-2</v>
      </c>
    </row>
    <row r="204" spans="1:69" x14ac:dyDescent="0.4">
      <c r="A204" t="str">
        <f>IF(原始经营数据!$D205="","",原始经营数据!$D205)</f>
        <v>华夏大悦城购物中心封闭式基础设施证券投资基金</v>
      </c>
      <c r="B204" t="str">
        <f>IF(原始经营数据!$D205="","",T(原始经营数据!$E205))</f>
        <v>成都大悦城</v>
      </c>
      <c r="C204" t="str">
        <f>IF(原始经营数据!$D205="","",原始经营数据!$F205)</f>
        <v>2026Q2</v>
      </c>
      <c r="D204" t="str">
        <f>IF(原始经营数据!$D205="","",原始经营数据!$H205)</f>
        <v>期末可供出租面积</v>
      </c>
      <c r="E204">
        <f>IF(原始经营数据!$D205="","",原始经营数据!$I205)</f>
        <v>83643.17</v>
      </c>
      <c r="F204" t="str">
        <f>IF(原始经营数据!$D205="","",T(原始经营数据!$J205))</f>
        <v>平方米</v>
      </c>
      <c r="G204" t="str">
        <f>IF(原始经营数据!$D205="","",T(原始经营数据!$K205))</f>
        <v/>
      </c>
      <c r="H204" t="str">
        <f>IF(原始经营数据!$D205="","",原始经营数据!$G205)</f>
        <v>服务量</v>
      </c>
      <c r="I204" t="str">
        <f>IF($A204="","",IF($B204&lt;&gt;"",$B204,IF(COUNTIFS(原始经营数据!$D$3:$D$3001,$A204,原始经营数据!$E$3:$E$3001,"",原始经营数据!$F$3:$F$3001,$C204,原始经营数据!$H$3:$H$3001,$D204,原始经营数据!$K$3:$K$3001,$G204)&gt;1,"基金整体·来源"&amp;原始经营数据!$A205,"基金整体")))</f>
        <v>成都大悦城</v>
      </c>
      <c r="J204" t="str">
        <f t="shared" si="48"/>
        <v>季度</v>
      </c>
      <c r="K204" t="str">
        <f t="shared" si="49"/>
        <v>期末可供出租面积（平方米）</v>
      </c>
      <c r="L204" t="str">
        <f t="shared" si="50"/>
        <v>成都大悦城|期末可供出租面积（平方米）|季度</v>
      </c>
      <c r="M204">
        <f>IF($A204="",0,IF(COUNTIF($L$2:$L204,$L204)=1,1,0))</f>
        <v>0</v>
      </c>
      <c r="N204">
        <f t="shared" si="51"/>
        <v>20262</v>
      </c>
      <c r="O204" t="str">
        <f t="shared" si="52"/>
        <v>华夏大悦城购物中心封闭式基础设施证券投资基金|2026Q2|季度</v>
      </c>
      <c r="P204">
        <f>IF($A204="",0,IF(COUNTIF($O$2:$O204,$O204)=1,1,0))</f>
        <v>0</v>
      </c>
      <c r="Q204" t="str">
        <f>IF(AND($P204=1,$A204=经营数据!$B$3,$J204=经营数据!$BA$5),COUNTIFS($P$2:$P$3000,1,$A$2:$A$3000,$A204,$J$2:$J$3000,$J204,$N$2:$N$3000,"&lt;"&amp;$N204)+1,"")</f>
        <v/>
      </c>
      <c r="R204" t="str">
        <f t="shared" si="53"/>
        <v>华夏大悦城购物中心封闭式基础设施证券投资基金|成都大悦城</v>
      </c>
      <c r="S204">
        <f>IF($A204="",0,IF(COUNTIF($R$2:$R204,$R204)=1,1,0))</f>
        <v>0</v>
      </c>
      <c r="T204">
        <f t="shared" si="54"/>
        <v>156</v>
      </c>
      <c r="U204" t="str">
        <f>IF($A204="","",IF($A204=经营数据!$B$3,COUNTIFS($S$2:$S$3000,1,$A$2:$A$3000,$A204,$T$2:$T$3000,"&lt;"&amp;$T204)+1,""))</f>
        <v/>
      </c>
      <c r="V204" t="str">
        <f t="shared" si="55"/>
        <v>成都大悦城|服务量</v>
      </c>
      <c r="W204">
        <f t="shared" si="56"/>
        <v>156</v>
      </c>
      <c r="X204" t="str">
        <f t="shared" si="57"/>
        <v>成都大悦城|期末可供出租面积</v>
      </c>
      <c r="Y204">
        <f t="shared" si="58"/>
        <v>160</v>
      </c>
      <c r="Z204">
        <f>IF($A204="",0,IF(AND($M204=1,$A204=经营数据!$B$3,$J204=经营数据!$BA$5,OR($I204=经营数据!$BA$4,COUNTIF(经营数据!$AA$9:$AA$38,$I204)&gt;0)),1,0))</f>
        <v>0</v>
      </c>
      <c r="AA204" t="str">
        <f t="shared" si="59"/>
        <v/>
      </c>
      <c r="AB204" t="str">
        <f t="shared" si="60"/>
        <v/>
      </c>
      <c r="AC204">
        <f>IF($A204="",0,IF(COUNTIF($A$2:$A204,$A204)=1,1,0))</f>
        <v>0</v>
      </c>
      <c r="AD204">
        <f t="shared" si="61"/>
        <v>3</v>
      </c>
      <c r="AE204" t="str">
        <f t="shared" si="62"/>
        <v>成都大悦城|期末可供出租面积（平方米）</v>
      </c>
      <c r="BA204" t="s">
        <v>5566</v>
      </c>
      <c r="BB204" t="s">
        <v>5348</v>
      </c>
      <c r="BP204" s="47">
        <v>45665</v>
      </c>
      <c r="BQ204" s="29">
        <v>4.5228918671014577E-2</v>
      </c>
    </row>
    <row r="205" spans="1:69" x14ac:dyDescent="0.4">
      <c r="A205" t="str">
        <f>IF(原始经营数据!$D206="","",原始经营数据!$D206)</f>
        <v>易方达华威农贸市场封闭式基础设施证券投资基金</v>
      </c>
      <c r="B205" t="str">
        <f>IF(原始经营数据!$D206="","",T(原始经营数据!$E206))</f>
        <v>华威西营里农产品交易中心</v>
      </c>
      <c r="C205" t="str">
        <f>IF(原始经营数据!$D206="","",原始经营数据!$F206)</f>
        <v>2020</v>
      </c>
      <c r="D205" t="str">
        <f>IF(原始经营数据!$D206="","",原始经营数据!$H206)</f>
        <v>各经营业态平均租金情况</v>
      </c>
      <c r="E205">
        <f>IF(原始经营数据!$D206="","",原始经营数据!$I206)</f>
        <v>165</v>
      </c>
      <c r="F205" t="str">
        <f>IF(原始经营数据!$D206="","",T(原始经营数据!$J206))</f>
        <v>元/平方米/月</v>
      </c>
      <c r="G205" t="str">
        <f>IF(原始经营数据!$D206="","",T(原始经营数据!$K206))</f>
        <v>商业配套</v>
      </c>
      <c r="H205" t="str">
        <f>IF(原始经营数据!$D206="","",原始经营数据!$G206)</f>
        <v>服务价格</v>
      </c>
      <c r="I205" t="str">
        <f>IF($A205="","",IF($B205&lt;&gt;"",$B205,IF(COUNTIFS(原始经营数据!$D$3:$D$3001,$A205,原始经营数据!$E$3:$E$3001,"",原始经营数据!$F$3:$F$3001,$C205,原始经营数据!$H$3:$H$3001,$D205,原始经营数据!$K$3:$K$3001,$G205)&gt;1,"基金整体·来源"&amp;原始经营数据!$A206,"基金整体")))</f>
        <v>华威西营里农产品交易中心</v>
      </c>
      <c r="J205" t="str">
        <f t="shared" si="48"/>
        <v>年度</v>
      </c>
      <c r="K205" t="str">
        <f t="shared" si="49"/>
        <v>各经营业态平均租金情况-商业配套（元/平方米/月）</v>
      </c>
      <c r="L205" t="str">
        <f t="shared" si="50"/>
        <v>华威西营里农产品交易中心|各经营业态平均租金情况-商业配套（元/平方米/月）|年度</v>
      </c>
      <c r="M205">
        <f>IF($A205="",0,IF(COUNTIF($L$2:$L205,$L205)=1,1,0))</f>
        <v>1</v>
      </c>
      <c r="N205">
        <f t="shared" si="51"/>
        <v>20200</v>
      </c>
      <c r="O205" t="str">
        <f t="shared" si="52"/>
        <v>易方达华威农贸市场封闭式基础设施证券投资基金|2020|年度</v>
      </c>
      <c r="P205">
        <f>IF($A205="",0,IF(COUNTIF($O$2:$O205,$O205)=1,1,0))</f>
        <v>1</v>
      </c>
      <c r="Q205" t="str">
        <f>IF(AND($P205=1,$A205=经营数据!$B$3,$J205=经营数据!$BA$5),COUNTIFS($P$2:$P$3000,1,$A$2:$A$3000,$A205,$J$2:$J$3000,$J205,$N$2:$N$3000,"&lt;"&amp;$N205)+1,"")</f>
        <v/>
      </c>
      <c r="R205" t="str">
        <f t="shared" si="53"/>
        <v>易方达华威农贸市场封闭式基础设施证券投资基金|华威西营里农产品交易中心</v>
      </c>
      <c r="S205">
        <f>IF($A205="",0,IF(COUNTIF($R$2:$R205,$R205)=1,1,0))</f>
        <v>1</v>
      </c>
      <c r="T205">
        <f t="shared" si="54"/>
        <v>204</v>
      </c>
      <c r="U205" t="str">
        <f>IF($A205="","",IF($A205=经营数据!$B$3,COUNTIFS($S$2:$S$3000,1,$A$2:$A$3000,$A205,$T$2:$T$3000,"&lt;"&amp;$T205)+1,""))</f>
        <v/>
      </c>
      <c r="V205" t="str">
        <f t="shared" si="55"/>
        <v>华威西营里农产品交易中心|服务价格</v>
      </c>
      <c r="W205">
        <f t="shared" si="56"/>
        <v>204</v>
      </c>
      <c r="X205" t="str">
        <f t="shared" si="57"/>
        <v>华威西营里农产品交易中心|各经营业态平均租金情况</v>
      </c>
      <c r="Y205">
        <f t="shared" si="58"/>
        <v>204</v>
      </c>
      <c r="Z205">
        <f>IF($A205="",0,IF(AND($M205=1,$A205=经营数据!$B$3,$J205=经营数据!$BA$5,OR($I205=经营数据!$BA$4,COUNTIF(经营数据!$AA$9:$AA$38,$I205)&gt;0)),1,0))</f>
        <v>0</v>
      </c>
      <c r="AA205" t="str">
        <f t="shared" si="59"/>
        <v/>
      </c>
      <c r="AB205" t="str">
        <f t="shared" si="60"/>
        <v/>
      </c>
      <c r="AC205">
        <f>IF($A205="",0,IF(COUNTIF($A$2:$A205,$A205)=1,1,0))</f>
        <v>1</v>
      </c>
      <c r="AD205">
        <f t="shared" si="61"/>
        <v>4</v>
      </c>
      <c r="AE205" t="str">
        <f t="shared" si="62"/>
        <v>华威西营里农产品交易中心|各经营业态平均租金情况-商业配套（元/平方米/月）</v>
      </c>
      <c r="BA205" t="s">
        <v>5567</v>
      </c>
      <c r="BB205" t="s">
        <v>5568</v>
      </c>
      <c r="BP205" s="47">
        <v>45666</v>
      </c>
      <c r="BQ205" s="29">
        <v>4.5149971417994407E-2</v>
      </c>
    </row>
    <row r="206" spans="1:69" x14ac:dyDescent="0.4">
      <c r="A206" t="str">
        <f>IF(原始经营数据!$D207="","",原始经营数据!$D207)</f>
        <v>易方达华威农贸市场封闭式基础设施证券投资基金</v>
      </c>
      <c r="B206" t="str">
        <f>IF(原始经营数据!$D207="","",T(原始经营数据!$E207))</f>
        <v>华威西营里农产品交易中心</v>
      </c>
      <c r="C206" t="str">
        <f>IF(原始经营数据!$D207="","",原始经营数据!$F207)</f>
        <v>2020</v>
      </c>
      <c r="D206" t="str">
        <f>IF(原始经营数据!$D207="","",原始经营数据!$H207)</f>
        <v>各经营业态出租率表</v>
      </c>
      <c r="E206">
        <f>IF(原始经营数据!$D207="","",原始经营数据!$I207)</f>
        <v>100</v>
      </c>
      <c r="F206" t="str">
        <f>IF(原始经营数据!$D207="","",T(原始经营数据!$J207))</f>
        <v>%</v>
      </c>
      <c r="G206" t="str">
        <f>IF(原始经营数据!$D207="","",T(原始经营数据!$K207))</f>
        <v>商业配套</v>
      </c>
      <c r="H206" t="str">
        <f>IF(原始经营数据!$D207="","",原始经营数据!$G207)</f>
        <v>服务效率</v>
      </c>
      <c r="I206" t="str">
        <f>IF($A206="","",IF($B206&lt;&gt;"",$B206,IF(COUNTIFS(原始经营数据!$D$3:$D$3001,$A206,原始经营数据!$E$3:$E$3001,"",原始经营数据!$F$3:$F$3001,$C206,原始经营数据!$H$3:$H$3001,$D206,原始经营数据!$K$3:$K$3001,$G206)&gt;1,"基金整体·来源"&amp;原始经营数据!$A207,"基金整体")))</f>
        <v>华威西营里农产品交易中心</v>
      </c>
      <c r="J206" t="str">
        <f t="shared" si="48"/>
        <v>年度</v>
      </c>
      <c r="K206" t="str">
        <f t="shared" si="49"/>
        <v>各经营业态出租率表-商业配套（%）</v>
      </c>
      <c r="L206" t="str">
        <f t="shared" si="50"/>
        <v>华威西营里农产品交易中心|各经营业态出租率表-商业配套（%）|年度</v>
      </c>
      <c r="M206">
        <f>IF($A206="",0,IF(COUNTIF($L$2:$L206,$L206)=1,1,0))</f>
        <v>1</v>
      </c>
      <c r="N206">
        <f t="shared" si="51"/>
        <v>20200</v>
      </c>
      <c r="O206" t="str">
        <f t="shared" si="52"/>
        <v>易方达华威农贸市场封闭式基础设施证券投资基金|2020|年度</v>
      </c>
      <c r="P206">
        <f>IF($A206="",0,IF(COUNTIF($O$2:$O206,$O206)=1,1,0))</f>
        <v>0</v>
      </c>
      <c r="Q206" t="str">
        <f>IF(AND($P206=1,$A206=经营数据!$B$3,$J206=经营数据!$BA$5),COUNTIFS($P$2:$P$3000,1,$A$2:$A$3000,$A206,$J$2:$J$3000,$J206,$N$2:$N$3000,"&lt;"&amp;$N206)+1,"")</f>
        <v/>
      </c>
      <c r="R206" t="str">
        <f t="shared" si="53"/>
        <v>易方达华威农贸市场封闭式基础设施证券投资基金|华威西营里农产品交易中心</v>
      </c>
      <c r="S206">
        <f>IF($A206="",0,IF(COUNTIF($R$2:$R206,$R206)=1,1,0))</f>
        <v>0</v>
      </c>
      <c r="T206">
        <f t="shared" si="54"/>
        <v>204</v>
      </c>
      <c r="U206" t="str">
        <f>IF($A206="","",IF($A206=经营数据!$B$3,COUNTIFS($S$2:$S$3000,1,$A$2:$A$3000,$A206,$T$2:$T$3000,"&lt;"&amp;$T206)+1,""))</f>
        <v/>
      </c>
      <c r="V206" t="str">
        <f t="shared" si="55"/>
        <v>华威西营里农产品交易中心|服务效率</v>
      </c>
      <c r="W206">
        <f t="shared" si="56"/>
        <v>205</v>
      </c>
      <c r="X206" t="str">
        <f t="shared" si="57"/>
        <v>华威西营里农产品交易中心|各经营业态出租率表</v>
      </c>
      <c r="Y206">
        <f t="shared" si="58"/>
        <v>205</v>
      </c>
      <c r="Z206">
        <f>IF($A206="",0,IF(AND($M206=1,$A206=经营数据!$B$3,$J206=经营数据!$BA$5,OR($I206=经营数据!$BA$4,COUNTIF(经营数据!$AA$9:$AA$38,$I206)&gt;0)),1,0))</f>
        <v>0</v>
      </c>
      <c r="AA206" t="str">
        <f t="shared" si="59"/>
        <v/>
      </c>
      <c r="AB206" t="str">
        <f t="shared" si="60"/>
        <v/>
      </c>
      <c r="AC206">
        <f>IF($A206="",0,IF(COUNTIF($A$2:$A206,$A206)=1,1,0))</f>
        <v>0</v>
      </c>
      <c r="AD206">
        <f t="shared" si="61"/>
        <v>4</v>
      </c>
      <c r="AE206" t="str">
        <f t="shared" si="62"/>
        <v>华威西营里农产品交易中心|各经营业态出租率表-商业配套（%）</v>
      </c>
      <c r="BA206" t="s">
        <v>5569</v>
      </c>
      <c r="BB206" t="s">
        <v>5356</v>
      </c>
      <c r="BP206" s="47">
        <v>45667</v>
      </c>
      <c r="BQ206" s="29">
        <v>4.5421262025216382E-2</v>
      </c>
    </row>
    <row r="207" spans="1:69" x14ac:dyDescent="0.4">
      <c r="A207" t="str">
        <f>IF(原始经营数据!$D208="","",原始经营数据!$D208)</f>
        <v>易方达华威农贸市场封闭式基础设施证券投资基金</v>
      </c>
      <c r="B207" t="str">
        <f>IF(原始经营数据!$D208="","",T(原始经营数据!$E208))</f>
        <v>华威西营里农产品交易中心</v>
      </c>
      <c r="C207" t="str">
        <f>IF(原始经营数据!$D208="","",原始经营数据!$F208)</f>
        <v>2020</v>
      </c>
      <c r="D207" t="str">
        <f>IF(原始经营数据!$D208="","",原始经营数据!$H208)</f>
        <v>各经营业态出租率表</v>
      </c>
      <c r="E207">
        <f>IF(原始经营数据!$D208="","",原始经营数据!$I208)</f>
        <v>98</v>
      </c>
      <c r="F207" t="str">
        <f>IF(原始经营数据!$D208="","",T(原始经营数据!$J208))</f>
        <v>%</v>
      </c>
      <c r="G207" t="str">
        <f>IF(原始经营数据!$D208="","",T(原始经营数据!$K208))</f>
        <v>水产品</v>
      </c>
      <c r="H207" t="str">
        <f>IF(原始经营数据!$D208="","",原始经营数据!$G208)</f>
        <v>服务效率</v>
      </c>
      <c r="I207" t="str">
        <f>IF($A207="","",IF($B207&lt;&gt;"",$B207,IF(COUNTIFS(原始经营数据!$D$3:$D$3001,$A207,原始经营数据!$E$3:$E$3001,"",原始经营数据!$F$3:$F$3001,$C207,原始经营数据!$H$3:$H$3001,$D207,原始经营数据!$K$3:$K$3001,$G207)&gt;1,"基金整体·来源"&amp;原始经营数据!$A208,"基金整体")))</f>
        <v>华威西营里农产品交易中心</v>
      </c>
      <c r="J207" t="str">
        <f t="shared" si="48"/>
        <v>年度</v>
      </c>
      <c r="K207" t="str">
        <f t="shared" si="49"/>
        <v>各经营业态出租率表-水产品（%）</v>
      </c>
      <c r="L207" t="str">
        <f t="shared" si="50"/>
        <v>华威西营里农产品交易中心|各经营业态出租率表-水产品（%）|年度</v>
      </c>
      <c r="M207">
        <f>IF($A207="",0,IF(COUNTIF($L$2:$L207,$L207)=1,1,0))</f>
        <v>1</v>
      </c>
      <c r="N207">
        <f t="shared" si="51"/>
        <v>20200</v>
      </c>
      <c r="O207" t="str">
        <f t="shared" si="52"/>
        <v>易方达华威农贸市场封闭式基础设施证券投资基金|2020|年度</v>
      </c>
      <c r="P207">
        <f>IF($A207="",0,IF(COUNTIF($O$2:$O207,$O207)=1,1,0))</f>
        <v>0</v>
      </c>
      <c r="Q207" t="str">
        <f>IF(AND($P207=1,$A207=经营数据!$B$3,$J207=经营数据!$BA$5),COUNTIFS($P$2:$P$3000,1,$A$2:$A$3000,$A207,$J$2:$J$3000,$J207,$N$2:$N$3000,"&lt;"&amp;$N207)+1,"")</f>
        <v/>
      </c>
      <c r="R207" t="str">
        <f t="shared" si="53"/>
        <v>易方达华威农贸市场封闭式基础设施证券投资基金|华威西营里农产品交易中心</v>
      </c>
      <c r="S207">
        <f>IF($A207="",0,IF(COUNTIF($R$2:$R207,$R207)=1,1,0))</f>
        <v>0</v>
      </c>
      <c r="T207">
        <f t="shared" si="54"/>
        <v>204</v>
      </c>
      <c r="U207" t="str">
        <f>IF($A207="","",IF($A207=经营数据!$B$3,COUNTIFS($S$2:$S$3000,1,$A$2:$A$3000,$A207,$T$2:$T$3000,"&lt;"&amp;$T207)+1,""))</f>
        <v/>
      </c>
      <c r="V207" t="str">
        <f t="shared" si="55"/>
        <v>华威西营里农产品交易中心|服务效率</v>
      </c>
      <c r="W207">
        <f t="shared" si="56"/>
        <v>205</v>
      </c>
      <c r="X207" t="str">
        <f t="shared" si="57"/>
        <v>华威西营里农产品交易中心|各经营业态出租率表</v>
      </c>
      <c r="Y207">
        <f t="shared" si="58"/>
        <v>205</v>
      </c>
      <c r="Z207">
        <f>IF($A207="",0,IF(AND($M207=1,$A207=经营数据!$B$3,$J207=经营数据!$BA$5,OR($I207=经营数据!$BA$4,COUNTIF(经营数据!$AA$9:$AA$38,$I207)&gt;0)),1,0))</f>
        <v>0</v>
      </c>
      <c r="AA207" t="str">
        <f t="shared" si="59"/>
        <v/>
      </c>
      <c r="AB207" t="str">
        <f t="shared" si="60"/>
        <v/>
      </c>
      <c r="AC207">
        <f>IF($A207="",0,IF(COUNTIF($A$2:$A207,$A207)=1,1,0))</f>
        <v>0</v>
      </c>
      <c r="AD207">
        <f t="shared" si="61"/>
        <v>4</v>
      </c>
      <c r="AE207" t="str">
        <f t="shared" si="62"/>
        <v>华威西营里农产品交易中心|各经营业态出租率表-水产品（%）</v>
      </c>
      <c r="BA207" t="s">
        <v>5570</v>
      </c>
      <c r="BB207" t="s">
        <v>5571</v>
      </c>
      <c r="BP207" s="47">
        <v>45670</v>
      </c>
      <c r="BQ207" s="29">
        <v>4.6055988362840083E-2</v>
      </c>
    </row>
    <row r="208" spans="1:69" x14ac:dyDescent="0.4">
      <c r="A208" t="str">
        <f>IF(原始经营数据!$D209="","",原始经营数据!$D209)</f>
        <v>易方达华威农贸市场封闭式基础设施证券投资基金</v>
      </c>
      <c r="B208" t="str">
        <f>IF(原始经营数据!$D209="","",T(原始经营数据!$E209))</f>
        <v>华威西营里农产品交易中心</v>
      </c>
      <c r="C208" t="str">
        <f>IF(原始经营数据!$D209="","",原始经营数据!$F209)</f>
        <v>2020</v>
      </c>
      <c r="D208" t="str">
        <f>IF(原始经营数据!$D209="","",原始经营数据!$H209)</f>
        <v>各经营业态出租率表</v>
      </c>
      <c r="E208">
        <f>IF(原始经营数据!$D209="","",原始经营数据!$I209)</f>
        <v>99</v>
      </c>
      <c r="F208" t="str">
        <f>IF(原始经营数据!$D209="","",T(原始经营数据!$J209))</f>
        <v>%</v>
      </c>
      <c r="G208" t="str">
        <f>IF(原始经营数据!$D209="","",T(原始经营数据!$K209))</f>
        <v>冻品</v>
      </c>
      <c r="H208" t="str">
        <f>IF(原始经营数据!$D209="","",原始经营数据!$G209)</f>
        <v>服务效率</v>
      </c>
      <c r="I208" t="str">
        <f>IF($A208="","",IF($B208&lt;&gt;"",$B208,IF(COUNTIFS(原始经营数据!$D$3:$D$3001,$A208,原始经营数据!$E$3:$E$3001,"",原始经营数据!$F$3:$F$3001,$C208,原始经营数据!$H$3:$H$3001,$D208,原始经营数据!$K$3:$K$3001,$G208)&gt;1,"基金整体·来源"&amp;原始经营数据!$A209,"基金整体")))</f>
        <v>华威西营里农产品交易中心</v>
      </c>
      <c r="J208" t="str">
        <f t="shared" si="48"/>
        <v>年度</v>
      </c>
      <c r="K208" t="str">
        <f t="shared" si="49"/>
        <v>各经营业态出租率表-冻品（%）</v>
      </c>
      <c r="L208" t="str">
        <f t="shared" si="50"/>
        <v>华威西营里农产品交易中心|各经营业态出租率表-冻品（%）|年度</v>
      </c>
      <c r="M208">
        <f>IF($A208="",0,IF(COUNTIF($L$2:$L208,$L208)=1,1,0))</f>
        <v>1</v>
      </c>
      <c r="N208">
        <f t="shared" si="51"/>
        <v>20200</v>
      </c>
      <c r="O208" t="str">
        <f t="shared" si="52"/>
        <v>易方达华威农贸市场封闭式基础设施证券投资基金|2020|年度</v>
      </c>
      <c r="P208">
        <f>IF($A208="",0,IF(COUNTIF($O$2:$O208,$O208)=1,1,0))</f>
        <v>0</v>
      </c>
      <c r="Q208" t="str">
        <f>IF(AND($P208=1,$A208=经营数据!$B$3,$J208=经营数据!$BA$5),COUNTIFS($P$2:$P$3000,1,$A$2:$A$3000,$A208,$J$2:$J$3000,$J208,$N$2:$N$3000,"&lt;"&amp;$N208)+1,"")</f>
        <v/>
      </c>
      <c r="R208" t="str">
        <f t="shared" si="53"/>
        <v>易方达华威农贸市场封闭式基础设施证券投资基金|华威西营里农产品交易中心</v>
      </c>
      <c r="S208">
        <f>IF($A208="",0,IF(COUNTIF($R$2:$R208,$R208)=1,1,0))</f>
        <v>0</v>
      </c>
      <c r="T208">
        <f t="shared" si="54"/>
        <v>204</v>
      </c>
      <c r="U208" t="str">
        <f>IF($A208="","",IF($A208=经营数据!$B$3,COUNTIFS($S$2:$S$3000,1,$A$2:$A$3000,$A208,$T$2:$T$3000,"&lt;"&amp;$T208)+1,""))</f>
        <v/>
      </c>
      <c r="V208" t="str">
        <f t="shared" si="55"/>
        <v>华威西营里农产品交易中心|服务效率</v>
      </c>
      <c r="W208">
        <f t="shared" si="56"/>
        <v>205</v>
      </c>
      <c r="X208" t="str">
        <f t="shared" si="57"/>
        <v>华威西营里农产品交易中心|各经营业态出租率表</v>
      </c>
      <c r="Y208">
        <f t="shared" si="58"/>
        <v>205</v>
      </c>
      <c r="Z208">
        <f>IF($A208="",0,IF(AND($M208=1,$A208=经营数据!$B$3,$J208=经营数据!$BA$5,OR($I208=经营数据!$BA$4,COUNTIF(经营数据!$AA$9:$AA$38,$I208)&gt;0)),1,0))</f>
        <v>0</v>
      </c>
      <c r="AA208" t="str">
        <f t="shared" si="59"/>
        <v/>
      </c>
      <c r="AB208" t="str">
        <f t="shared" si="60"/>
        <v/>
      </c>
      <c r="AC208">
        <f>IF($A208="",0,IF(COUNTIF($A$2:$A208,$A208)=1,1,0))</f>
        <v>0</v>
      </c>
      <c r="AD208">
        <f t="shared" si="61"/>
        <v>4</v>
      </c>
      <c r="AE208" t="str">
        <f t="shared" si="62"/>
        <v>华威西营里农产品交易中心|各经营业态出租率表-冻品（%）</v>
      </c>
      <c r="BA208" t="s">
        <v>5572</v>
      </c>
      <c r="BB208" t="s">
        <v>5573</v>
      </c>
      <c r="BP208" s="47">
        <v>45671</v>
      </c>
      <c r="BQ208" s="29">
        <v>4.6219799845449001E-2</v>
      </c>
    </row>
    <row r="209" spans="1:69" x14ac:dyDescent="0.4">
      <c r="A209" t="str">
        <f>IF(原始经营数据!$D210="","",原始经营数据!$D210)</f>
        <v>易方达华威农贸市场封闭式基础设施证券投资基金</v>
      </c>
      <c r="B209" t="str">
        <f>IF(原始经营数据!$D210="","",T(原始经营数据!$E210))</f>
        <v>华威西营里农产品交易中心</v>
      </c>
      <c r="C209" t="str">
        <f>IF(原始经营数据!$D210="","",原始经营数据!$F210)</f>
        <v>2020</v>
      </c>
      <c r="D209" t="str">
        <f>IF(原始经营数据!$D210="","",原始经营数据!$H210)</f>
        <v>各经营业态出租率表</v>
      </c>
      <c r="E209">
        <f>IF(原始经营数据!$D210="","",原始经营数据!$I210)</f>
        <v>100</v>
      </c>
      <c r="F209" t="str">
        <f>IF(原始经营数据!$D210="","",T(原始经营数据!$J210))</f>
        <v>%</v>
      </c>
      <c r="G209" t="str">
        <f>IF(原始经营数据!$D210="","",T(原始经营数据!$K210))</f>
        <v>肉禽</v>
      </c>
      <c r="H209" t="str">
        <f>IF(原始经营数据!$D210="","",原始经营数据!$G210)</f>
        <v>服务效率</v>
      </c>
      <c r="I209" t="str">
        <f>IF($A209="","",IF($B209&lt;&gt;"",$B209,IF(COUNTIFS(原始经营数据!$D$3:$D$3001,$A209,原始经营数据!$E$3:$E$3001,"",原始经营数据!$F$3:$F$3001,$C209,原始经营数据!$H$3:$H$3001,$D209,原始经营数据!$K$3:$K$3001,$G209)&gt;1,"基金整体·来源"&amp;原始经营数据!$A210,"基金整体")))</f>
        <v>华威西营里农产品交易中心</v>
      </c>
      <c r="J209" t="str">
        <f t="shared" si="48"/>
        <v>年度</v>
      </c>
      <c r="K209" t="str">
        <f t="shared" si="49"/>
        <v>各经营业态出租率表-肉禽（%）</v>
      </c>
      <c r="L209" t="str">
        <f t="shared" si="50"/>
        <v>华威西营里农产品交易中心|各经营业态出租率表-肉禽（%）|年度</v>
      </c>
      <c r="M209">
        <f>IF($A209="",0,IF(COUNTIF($L$2:$L209,$L209)=1,1,0))</f>
        <v>1</v>
      </c>
      <c r="N209">
        <f t="shared" si="51"/>
        <v>20200</v>
      </c>
      <c r="O209" t="str">
        <f t="shared" si="52"/>
        <v>易方达华威农贸市场封闭式基础设施证券投资基金|2020|年度</v>
      </c>
      <c r="P209">
        <f>IF($A209="",0,IF(COUNTIF($O$2:$O209,$O209)=1,1,0))</f>
        <v>0</v>
      </c>
      <c r="Q209" t="str">
        <f>IF(AND($P209=1,$A209=经营数据!$B$3,$J209=经营数据!$BA$5),COUNTIFS($P$2:$P$3000,1,$A$2:$A$3000,$A209,$J$2:$J$3000,$J209,$N$2:$N$3000,"&lt;"&amp;$N209)+1,"")</f>
        <v/>
      </c>
      <c r="R209" t="str">
        <f t="shared" si="53"/>
        <v>易方达华威农贸市场封闭式基础设施证券投资基金|华威西营里农产品交易中心</v>
      </c>
      <c r="S209">
        <f>IF($A209="",0,IF(COUNTIF($R$2:$R209,$R209)=1,1,0))</f>
        <v>0</v>
      </c>
      <c r="T209">
        <f t="shared" si="54"/>
        <v>204</v>
      </c>
      <c r="U209" t="str">
        <f>IF($A209="","",IF($A209=经营数据!$B$3,COUNTIFS($S$2:$S$3000,1,$A$2:$A$3000,$A209,$T$2:$T$3000,"&lt;"&amp;$T209)+1,""))</f>
        <v/>
      </c>
      <c r="V209" t="str">
        <f t="shared" si="55"/>
        <v>华威西营里农产品交易中心|服务效率</v>
      </c>
      <c r="W209">
        <f t="shared" si="56"/>
        <v>205</v>
      </c>
      <c r="X209" t="str">
        <f t="shared" si="57"/>
        <v>华威西营里农产品交易中心|各经营业态出租率表</v>
      </c>
      <c r="Y209">
        <f t="shared" si="58"/>
        <v>205</v>
      </c>
      <c r="Z209">
        <f>IF($A209="",0,IF(AND($M209=1,$A209=经营数据!$B$3,$J209=经营数据!$BA$5,OR($I209=经营数据!$BA$4,COUNTIF(经营数据!$AA$9:$AA$38,$I209)&gt;0)),1,0))</f>
        <v>0</v>
      </c>
      <c r="AA209" t="str">
        <f t="shared" si="59"/>
        <v/>
      </c>
      <c r="AB209" t="str">
        <f t="shared" si="60"/>
        <v/>
      </c>
      <c r="AC209">
        <f>IF($A209="",0,IF(COUNTIF($A$2:$A209,$A209)=1,1,0))</f>
        <v>0</v>
      </c>
      <c r="AD209">
        <f t="shared" si="61"/>
        <v>4</v>
      </c>
      <c r="AE209" t="str">
        <f t="shared" si="62"/>
        <v>华威西营里农产品交易中心|各经营业态出租率表-肉禽（%）</v>
      </c>
      <c r="BA209" t="s">
        <v>5574</v>
      </c>
      <c r="BB209" t="s">
        <v>5575</v>
      </c>
      <c r="BP209" s="47">
        <v>45672</v>
      </c>
      <c r="BQ209" s="29">
        <v>4.5909933840983838E-2</v>
      </c>
    </row>
    <row r="210" spans="1:69" x14ac:dyDescent="0.4">
      <c r="A210" t="str">
        <f>IF(原始经营数据!$D211="","",原始经营数据!$D211)</f>
        <v>易方达华威农贸市场封闭式基础设施证券投资基金</v>
      </c>
      <c r="B210" t="str">
        <f>IF(原始经营数据!$D211="","",T(原始经营数据!$E211))</f>
        <v>华威西营里农产品交易中心</v>
      </c>
      <c r="C210" t="str">
        <f>IF(原始经营数据!$D211="","",原始经营数据!$F211)</f>
        <v>2020</v>
      </c>
      <c r="D210" t="str">
        <f>IF(原始经营数据!$D211="","",原始经营数据!$H211)</f>
        <v>各经营业态出租率表</v>
      </c>
      <c r="E210">
        <f>IF(原始经营数据!$D211="","",原始经营数据!$I211)</f>
        <v>100</v>
      </c>
      <c r="F210" t="str">
        <f>IF(原始经营数据!$D211="","",T(原始经营数据!$J211))</f>
        <v>%</v>
      </c>
      <c r="G210" t="str">
        <f>IF(原始经营数据!$D211="","",T(原始经营数据!$K211))</f>
        <v>蔬果</v>
      </c>
      <c r="H210" t="str">
        <f>IF(原始经营数据!$D211="","",原始经营数据!$G211)</f>
        <v>服务效率</v>
      </c>
      <c r="I210" t="str">
        <f>IF($A210="","",IF($B210&lt;&gt;"",$B210,IF(COUNTIFS(原始经营数据!$D$3:$D$3001,$A210,原始经营数据!$E$3:$E$3001,"",原始经营数据!$F$3:$F$3001,$C210,原始经营数据!$H$3:$H$3001,$D210,原始经营数据!$K$3:$K$3001,$G210)&gt;1,"基金整体·来源"&amp;原始经营数据!$A211,"基金整体")))</f>
        <v>华威西营里农产品交易中心</v>
      </c>
      <c r="J210" t="str">
        <f t="shared" si="48"/>
        <v>年度</v>
      </c>
      <c r="K210" t="str">
        <f t="shared" si="49"/>
        <v>各经营业态出租率表-蔬果（%）</v>
      </c>
      <c r="L210" t="str">
        <f t="shared" si="50"/>
        <v>华威西营里农产品交易中心|各经营业态出租率表-蔬果（%）|年度</v>
      </c>
      <c r="M210">
        <f>IF($A210="",0,IF(COUNTIF($L$2:$L210,$L210)=1,1,0))</f>
        <v>1</v>
      </c>
      <c r="N210">
        <f t="shared" si="51"/>
        <v>20200</v>
      </c>
      <c r="O210" t="str">
        <f t="shared" si="52"/>
        <v>易方达华威农贸市场封闭式基础设施证券投资基金|2020|年度</v>
      </c>
      <c r="P210">
        <f>IF($A210="",0,IF(COUNTIF($O$2:$O210,$O210)=1,1,0))</f>
        <v>0</v>
      </c>
      <c r="Q210" t="str">
        <f>IF(AND($P210=1,$A210=经营数据!$B$3,$J210=经营数据!$BA$5),COUNTIFS($P$2:$P$3000,1,$A$2:$A$3000,$A210,$J$2:$J$3000,$J210,$N$2:$N$3000,"&lt;"&amp;$N210)+1,"")</f>
        <v/>
      </c>
      <c r="R210" t="str">
        <f t="shared" si="53"/>
        <v>易方达华威农贸市场封闭式基础设施证券投资基金|华威西营里农产品交易中心</v>
      </c>
      <c r="S210">
        <f>IF($A210="",0,IF(COUNTIF($R$2:$R210,$R210)=1,1,0))</f>
        <v>0</v>
      </c>
      <c r="T210">
        <f t="shared" si="54"/>
        <v>204</v>
      </c>
      <c r="U210" t="str">
        <f>IF($A210="","",IF($A210=经营数据!$B$3,COUNTIFS($S$2:$S$3000,1,$A$2:$A$3000,$A210,$T$2:$T$3000,"&lt;"&amp;$T210)+1,""))</f>
        <v/>
      </c>
      <c r="V210" t="str">
        <f t="shared" si="55"/>
        <v>华威西营里农产品交易中心|服务效率</v>
      </c>
      <c r="W210">
        <f t="shared" si="56"/>
        <v>205</v>
      </c>
      <c r="X210" t="str">
        <f t="shared" si="57"/>
        <v>华威西营里农产品交易中心|各经营业态出租率表</v>
      </c>
      <c r="Y210">
        <f t="shared" si="58"/>
        <v>205</v>
      </c>
      <c r="Z210">
        <f>IF($A210="",0,IF(AND($M210=1,$A210=经营数据!$B$3,$J210=经营数据!$BA$5,OR($I210=经营数据!$BA$4,COUNTIF(经营数据!$AA$9:$AA$38,$I210)&gt;0)),1,0))</f>
        <v>0</v>
      </c>
      <c r="AA210" t="str">
        <f t="shared" si="59"/>
        <v/>
      </c>
      <c r="AB210" t="str">
        <f t="shared" si="60"/>
        <v/>
      </c>
      <c r="AC210">
        <f>IF($A210="",0,IF(COUNTIF($A$2:$A210,$A210)=1,1,0))</f>
        <v>0</v>
      </c>
      <c r="AD210">
        <f t="shared" si="61"/>
        <v>4</v>
      </c>
      <c r="AE210" t="str">
        <f t="shared" si="62"/>
        <v>华威西营里农产品交易中心|各经营业态出租率表-蔬果（%）</v>
      </c>
      <c r="BA210" t="s">
        <v>5576</v>
      </c>
      <c r="BB210" t="s">
        <v>5520</v>
      </c>
      <c r="BP210" s="47">
        <v>45673</v>
      </c>
      <c r="BQ210" s="29">
        <v>4.5984588542649633E-2</v>
      </c>
    </row>
    <row r="211" spans="1:69" x14ac:dyDescent="0.4">
      <c r="A211" t="str">
        <f>IF(原始经营数据!$D212="","",原始经营数据!$D212)</f>
        <v>易方达华威农贸市场封闭式基础设施证券投资基金</v>
      </c>
      <c r="B211" t="str">
        <f>IF(原始经营数据!$D212="","",T(原始经营数据!$E212))</f>
        <v>华威西营里农产品交易中心</v>
      </c>
      <c r="C211" t="str">
        <f>IF(原始经营数据!$D212="","",原始经营数据!$F212)</f>
        <v>2020</v>
      </c>
      <c r="D211" t="str">
        <f>IF(原始经营数据!$D212="","",原始经营数据!$H212)</f>
        <v>各经营业态出租率表</v>
      </c>
      <c r="E211">
        <f>IF(原始经营数据!$D212="","",原始经营数据!$I212)</f>
        <v>73</v>
      </c>
      <c r="F211" t="str">
        <f>IF(原始经营数据!$D212="","",T(原始经营数据!$J212))</f>
        <v>%</v>
      </c>
      <c r="G211" t="str">
        <f>IF(原始经营数据!$D212="","",T(原始经营数据!$K212))</f>
        <v>电商直播基地</v>
      </c>
      <c r="H211" t="str">
        <f>IF(原始经营数据!$D212="","",原始经营数据!$G212)</f>
        <v>服务效率</v>
      </c>
      <c r="I211" t="str">
        <f>IF($A211="","",IF($B211&lt;&gt;"",$B211,IF(COUNTIFS(原始经营数据!$D$3:$D$3001,$A211,原始经营数据!$E$3:$E$3001,"",原始经营数据!$F$3:$F$3001,$C211,原始经营数据!$H$3:$H$3001,$D211,原始经营数据!$K$3:$K$3001,$G211)&gt;1,"基金整体·来源"&amp;原始经营数据!$A212,"基金整体")))</f>
        <v>华威西营里农产品交易中心</v>
      </c>
      <c r="J211" t="str">
        <f t="shared" si="48"/>
        <v>年度</v>
      </c>
      <c r="K211" t="str">
        <f t="shared" si="49"/>
        <v>各经营业态出租率表-电商直播基地（%）</v>
      </c>
      <c r="L211" t="str">
        <f t="shared" si="50"/>
        <v>华威西营里农产品交易中心|各经营业态出租率表-电商直播基地（%）|年度</v>
      </c>
      <c r="M211">
        <f>IF($A211="",0,IF(COUNTIF($L$2:$L211,$L211)=1,1,0))</f>
        <v>1</v>
      </c>
      <c r="N211">
        <f t="shared" si="51"/>
        <v>20200</v>
      </c>
      <c r="O211" t="str">
        <f t="shared" si="52"/>
        <v>易方达华威农贸市场封闭式基础设施证券投资基金|2020|年度</v>
      </c>
      <c r="P211">
        <f>IF($A211="",0,IF(COUNTIF($O$2:$O211,$O211)=1,1,0))</f>
        <v>0</v>
      </c>
      <c r="Q211" t="str">
        <f>IF(AND($P211=1,$A211=经营数据!$B$3,$J211=经营数据!$BA$5),COUNTIFS($P$2:$P$3000,1,$A$2:$A$3000,$A211,$J$2:$J$3000,$J211,$N$2:$N$3000,"&lt;"&amp;$N211)+1,"")</f>
        <v/>
      </c>
      <c r="R211" t="str">
        <f t="shared" si="53"/>
        <v>易方达华威农贸市场封闭式基础设施证券投资基金|华威西营里农产品交易中心</v>
      </c>
      <c r="S211">
        <f>IF($A211="",0,IF(COUNTIF($R$2:$R211,$R211)=1,1,0))</f>
        <v>0</v>
      </c>
      <c r="T211">
        <f t="shared" si="54"/>
        <v>204</v>
      </c>
      <c r="U211" t="str">
        <f>IF($A211="","",IF($A211=经营数据!$B$3,COUNTIFS($S$2:$S$3000,1,$A$2:$A$3000,$A211,$T$2:$T$3000,"&lt;"&amp;$T211)+1,""))</f>
        <v/>
      </c>
      <c r="V211" t="str">
        <f t="shared" si="55"/>
        <v>华威西营里农产品交易中心|服务效率</v>
      </c>
      <c r="W211">
        <f t="shared" si="56"/>
        <v>205</v>
      </c>
      <c r="X211" t="str">
        <f t="shared" si="57"/>
        <v>华威西营里农产品交易中心|各经营业态出租率表</v>
      </c>
      <c r="Y211">
        <f t="shared" si="58"/>
        <v>205</v>
      </c>
      <c r="Z211">
        <f>IF($A211="",0,IF(AND($M211=1,$A211=经营数据!$B$3,$J211=经营数据!$BA$5,OR($I211=经营数据!$BA$4,COUNTIF(经营数据!$AA$9:$AA$38,$I211)&gt;0)),1,0))</f>
        <v>0</v>
      </c>
      <c r="AA211" t="str">
        <f t="shared" si="59"/>
        <v/>
      </c>
      <c r="AB211" t="str">
        <f t="shared" si="60"/>
        <v/>
      </c>
      <c r="AC211">
        <f>IF($A211="",0,IF(COUNTIF($A$2:$A211,$A211)=1,1,0))</f>
        <v>0</v>
      </c>
      <c r="AD211">
        <f t="shared" si="61"/>
        <v>4</v>
      </c>
      <c r="AE211" t="str">
        <f t="shared" si="62"/>
        <v>华威西营里农产品交易中心|各经营业态出租率表-电商直播基地（%）</v>
      </c>
      <c r="BA211" t="s">
        <v>5577</v>
      </c>
      <c r="BB211" t="s">
        <v>5578</v>
      </c>
      <c r="BP211" s="47">
        <v>45674</v>
      </c>
      <c r="BQ211" s="29">
        <v>4.5886774492815773E-2</v>
      </c>
    </row>
    <row r="212" spans="1:69" x14ac:dyDescent="0.4">
      <c r="A212" t="str">
        <f>IF(原始经营数据!$D213="","",原始经营数据!$D213)</f>
        <v>易方达华威农贸市场封闭式基础设施证券投资基金</v>
      </c>
      <c r="B212" t="str">
        <f>IF(原始经营数据!$D213="","",T(原始经营数据!$E213))</f>
        <v>华威西营里农产品交易中心</v>
      </c>
      <c r="C212" t="str">
        <f>IF(原始经营数据!$D213="","",原始经营数据!$F213)</f>
        <v>2020</v>
      </c>
      <c r="D212" t="str">
        <f>IF(原始经营数据!$D213="","",原始经营数据!$H213)</f>
        <v>各经营业态出租率表</v>
      </c>
      <c r="E212">
        <f>IF(原始经营数据!$D213="","",原始经营数据!$I213)</f>
        <v>96</v>
      </c>
      <c r="F212" t="str">
        <f>IF(原始经营数据!$D213="","",T(原始经营数据!$J213))</f>
        <v>%</v>
      </c>
      <c r="G212" t="str">
        <f>IF(原始经营数据!$D213="","",T(原始经营数据!$K213))</f>
        <v>干货/调味品</v>
      </c>
      <c r="H212" t="str">
        <f>IF(原始经营数据!$D213="","",原始经营数据!$G213)</f>
        <v>服务效率</v>
      </c>
      <c r="I212" t="str">
        <f>IF($A212="","",IF($B212&lt;&gt;"",$B212,IF(COUNTIFS(原始经营数据!$D$3:$D$3001,$A212,原始经营数据!$E$3:$E$3001,"",原始经营数据!$F$3:$F$3001,$C212,原始经营数据!$H$3:$H$3001,$D212,原始经营数据!$K$3:$K$3001,$G212)&gt;1,"基金整体·来源"&amp;原始经营数据!$A213,"基金整体")))</f>
        <v>华威西营里农产品交易中心</v>
      </c>
      <c r="J212" t="str">
        <f t="shared" si="48"/>
        <v>年度</v>
      </c>
      <c r="K212" t="str">
        <f t="shared" si="49"/>
        <v>各经营业态出租率表-干货/调味品（%）</v>
      </c>
      <c r="L212" t="str">
        <f t="shared" si="50"/>
        <v>华威西营里农产品交易中心|各经营业态出租率表-干货/调味品（%）|年度</v>
      </c>
      <c r="M212">
        <f>IF($A212="",0,IF(COUNTIF($L$2:$L212,$L212)=1,1,0))</f>
        <v>1</v>
      </c>
      <c r="N212">
        <f t="shared" si="51"/>
        <v>20200</v>
      </c>
      <c r="O212" t="str">
        <f t="shared" si="52"/>
        <v>易方达华威农贸市场封闭式基础设施证券投资基金|2020|年度</v>
      </c>
      <c r="P212">
        <f>IF($A212="",0,IF(COUNTIF($O$2:$O212,$O212)=1,1,0))</f>
        <v>0</v>
      </c>
      <c r="Q212" t="str">
        <f>IF(AND($P212=1,$A212=经营数据!$B$3,$J212=经营数据!$BA$5),COUNTIFS($P$2:$P$3000,1,$A$2:$A$3000,$A212,$J$2:$J$3000,$J212,$N$2:$N$3000,"&lt;"&amp;$N212)+1,"")</f>
        <v/>
      </c>
      <c r="R212" t="str">
        <f t="shared" si="53"/>
        <v>易方达华威农贸市场封闭式基础设施证券投资基金|华威西营里农产品交易中心</v>
      </c>
      <c r="S212">
        <f>IF($A212="",0,IF(COUNTIF($R$2:$R212,$R212)=1,1,0))</f>
        <v>0</v>
      </c>
      <c r="T212">
        <f t="shared" si="54"/>
        <v>204</v>
      </c>
      <c r="U212" t="str">
        <f>IF($A212="","",IF($A212=经营数据!$B$3,COUNTIFS($S$2:$S$3000,1,$A$2:$A$3000,$A212,$T$2:$T$3000,"&lt;"&amp;$T212)+1,""))</f>
        <v/>
      </c>
      <c r="V212" t="str">
        <f t="shared" si="55"/>
        <v>华威西营里农产品交易中心|服务效率</v>
      </c>
      <c r="W212">
        <f t="shared" si="56"/>
        <v>205</v>
      </c>
      <c r="X212" t="str">
        <f t="shared" si="57"/>
        <v>华威西营里农产品交易中心|各经营业态出租率表</v>
      </c>
      <c r="Y212">
        <f t="shared" si="58"/>
        <v>205</v>
      </c>
      <c r="Z212">
        <f>IF($A212="",0,IF(AND($M212=1,$A212=经营数据!$B$3,$J212=经营数据!$BA$5,OR($I212=经营数据!$BA$4,COUNTIF(经营数据!$AA$9:$AA$38,$I212)&gt;0)),1,0))</f>
        <v>0</v>
      </c>
      <c r="AA212" t="str">
        <f t="shared" si="59"/>
        <v/>
      </c>
      <c r="AB212" t="str">
        <f t="shared" si="60"/>
        <v/>
      </c>
      <c r="AC212">
        <f>IF($A212="",0,IF(COUNTIF($A$2:$A212,$A212)=1,1,0))</f>
        <v>0</v>
      </c>
      <c r="AD212">
        <f t="shared" si="61"/>
        <v>4</v>
      </c>
      <c r="AE212" t="str">
        <f t="shared" si="62"/>
        <v>华威西营里农产品交易中心|各经营业态出租率表-干货/调味品（%）</v>
      </c>
      <c r="BA212" t="s">
        <v>5579</v>
      </c>
      <c r="BB212" t="s">
        <v>5468</v>
      </c>
      <c r="BP212" s="47">
        <v>45677</v>
      </c>
      <c r="BQ212" s="29">
        <v>4.5423908224929879E-2</v>
      </c>
    </row>
    <row r="213" spans="1:69" x14ac:dyDescent="0.4">
      <c r="A213" t="str">
        <f>IF(原始经营数据!$D214="","",原始经营数据!$D214)</f>
        <v>易方达华威农贸市场封闭式基础设施证券投资基金</v>
      </c>
      <c r="B213" t="str">
        <f>IF(原始经营数据!$D214="","",T(原始经营数据!$E214))</f>
        <v>华威西营里农产品交易中心</v>
      </c>
      <c r="C213" t="str">
        <f>IF(原始经营数据!$D214="","",原始经营数据!$F214)</f>
        <v>2020</v>
      </c>
      <c r="D213" t="str">
        <f>IF(原始经营数据!$D214="","",原始经营数据!$H214)</f>
        <v>各经营业态平均租金情况</v>
      </c>
      <c r="E213">
        <f>IF(原始经营数据!$D214="","",原始经营数据!$I214)</f>
        <v>31</v>
      </c>
      <c r="F213" t="str">
        <f>IF(原始经营数据!$D214="","",T(原始经营数据!$J214))</f>
        <v>元/平方米/月</v>
      </c>
      <c r="G213" t="str">
        <f>IF(原始经营数据!$D214="","",T(原始经营数据!$K214))</f>
        <v>仓库</v>
      </c>
      <c r="H213" t="str">
        <f>IF(原始经营数据!$D214="","",原始经营数据!$G214)</f>
        <v>服务价格</v>
      </c>
      <c r="I213" t="str">
        <f>IF($A213="","",IF($B213&lt;&gt;"",$B213,IF(COUNTIFS(原始经营数据!$D$3:$D$3001,$A213,原始经营数据!$E$3:$E$3001,"",原始经营数据!$F$3:$F$3001,$C213,原始经营数据!$H$3:$H$3001,$D213,原始经营数据!$K$3:$K$3001,$G213)&gt;1,"基金整体·来源"&amp;原始经营数据!$A214,"基金整体")))</f>
        <v>华威西营里农产品交易中心</v>
      </c>
      <c r="J213" t="str">
        <f t="shared" si="48"/>
        <v>年度</v>
      </c>
      <c r="K213" t="str">
        <f t="shared" si="49"/>
        <v>各经营业态平均租金情况-仓库（元/平方米/月）</v>
      </c>
      <c r="L213" t="str">
        <f t="shared" si="50"/>
        <v>华威西营里农产品交易中心|各经营业态平均租金情况-仓库（元/平方米/月）|年度</v>
      </c>
      <c r="M213">
        <f>IF($A213="",0,IF(COUNTIF($L$2:$L213,$L213)=1,1,0))</f>
        <v>1</v>
      </c>
      <c r="N213">
        <f t="shared" si="51"/>
        <v>20200</v>
      </c>
      <c r="O213" t="str">
        <f t="shared" si="52"/>
        <v>易方达华威农贸市场封闭式基础设施证券投资基金|2020|年度</v>
      </c>
      <c r="P213">
        <f>IF($A213="",0,IF(COUNTIF($O$2:$O213,$O213)=1,1,0))</f>
        <v>0</v>
      </c>
      <c r="Q213" t="str">
        <f>IF(AND($P213=1,$A213=经营数据!$B$3,$J213=经营数据!$BA$5),COUNTIFS($P$2:$P$3000,1,$A$2:$A$3000,$A213,$J$2:$J$3000,$J213,$N$2:$N$3000,"&lt;"&amp;$N213)+1,"")</f>
        <v/>
      </c>
      <c r="R213" t="str">
        <f t="shared" si="53"/>
        <v>易方达华威农贸市场封闭式基础设施证券投资基金|华威西营里农产品交易中心</v>
      </c>
      <c r="S213">
        <f>IF($A213="",0,IF(COUNTIF($R$2:$R213,$R213)=1,1,0))</f>
        <v>0</v>
      </c>
      <c r="T213">
        <f t="shared" si="54"/>
        <v>204</v>
      </c>
      <c r="U213" t="str">
        <f>IF($A213="","",IF($A213=经营数据!$B$3,COUNTIFS($S$2:$S$3000,1,$A$2:$A$3000,$A213,$T$2:$T$3000,"&lt;"&amp;$T213)+1,""))</f>
        <v/>
      </c>
      <c r="V213" t="str">
        <f t="shared" si="55"/>
        <v>华威西营里农产品交易中心|服务价格</v>
      </c>
      <c r="W213">
        <f t="shared" si="56"/>
        <v>204</v>
      </c>
      <c r="X213" t="str">
        <f t="shared" si="57"/>
        <v>华威西营里农产品交易中心|各经营业态平均租金情况</v>
      </c>
      <c r="Y213">
        <f t="shared" si="58"/>
        <v>204</v>
      </c>
      <c r="Z213">
        <f>IF($A213="",0,IF(AND($M213=1,$A213=经营数据!$B$3,$J213=经营数据!$BA$5,OR($I213=经营数据!$BA$4,COUNTIF(经营数据!$AA$9:$AA$38,$I213)&gt;0)),1,0))</f>
        <v>0</v>
      </c>
      <c r="AA213" t="str">
        <f t="shared" si="59"/>
        <v/>
      </c>
      <c r="AB213" t="str">
        <f t="shared" si="60"/>
        <v/>
      </c>
      <c r="AC213">
        <f>IF($A213="",0,IF(COUNTIF($A$2:$A213,$A213)=1,1,0))</f>
        <v>0</v>
      </c>
      <c r="AD213">
        <f t="shared" si="61"/>
        <v>4</v>
      </c>
      <c r="AE213" t="str">
        <f t="shared" si="62"/>
        <v>华威西营里农产品交易中心|各经营业态平均租金情况-仓库（元/平方米/月）</v>
      </c>
      <c r="BA213" t="s">
        <v>5580</v>
      </c>
      <c r="BB213" t="s">
        <v>5581</v>
      </c>
      <c r="BP213" s="47">
        <v>45678</v>
      </c>
      <c r="BQ213" s="29">
        <v>4.4889285144015661E-2</v>
      </c>
    </row>
    <row r="214" spans="1:69" x14ac:dyDescent="0.4">
      <c r="A214" t="str">
        <f>IF(原始经营数据!$D215="","",原始经营数据!$D215)</f>
        <v>易方达华威农贸市场封闭式基础设施证券投资基金</v>
      </c>
      <c r="B214" t="str">
        <f>IF(原始经营数据!$D215="","",T(原始经营数据!$E215))</f>
        <v>华威西营里农产品交易中心</v>
      </c>
      <c r="C214" t="str">
        <f>IF(原始经营数据!$D215="","",原始经营数据!$F215)</f>
        <v>2020</v>
      </c>
      <c r="D214" t="str">
        <f>IF(原始经营数据!$D215="","",原始经营数据!$H215)</f>
        <v>各经营业态平均租金情况</v>
      </c>
      <c r="E214">
        <f>IF(原始经营数据!$D215="","",原始经营数据!$I215)</f>
        <v>31</v>
      </c>
      <c r="F214" t="str">
        <f>IF(原始经营数据!$D215="","",T(原始经营数据!$J215))</f>
        <v>元/平方米/月</v>
      </c>
      <c r="G214" t="str">
        <f>IF(原始经营数据!$D215="","",T(原始经营数据!$K215))</f>
        <v>电商直播基地</v>
      </c>
      <c r="H214" t="str">
        <f>IF(原始经营数据!$D215="","",原始经营数据!$G215)</f>
        <v>服务价格</v>
      </c>
      <c r="I214" t="str">
        <f>IF($A214="","",IF($B214&lt;&gt;"",$B214,IF(COUNTIFS(原始经营数据!$D$3:$D$3001,$A214,原始经营数据!$E$3:$E$3001,"",原始经营数据!$F$3:$F$3001,$C214,原始经营数据!$H$3:$H$3001,$D214,原始经营数据!$K$3:$K$3001,$G214)&gt;1,"基金整体·来源"&amp;原始经营数据!$A215,"基金整体")))</f>
        <v>华威西营里农产品交易中心</v>
      </c>
      <c r="J214" t="str">
        <f t="shared" si="48"/>
        <v>年度</v>
      </c>
      <c r="K214" t="str">
        <f t="shared" si="49"/>
        <v>各经营业态平均租金情况-电商直播基地（元/平方米/月）</v>
      </c>
      <c r="L214" t="str">
        <f t="shared" si="50"/>
        <v>华威西营里农产品交易中心|各经营业态平均租金情况-电商直播基地（元/平方米/月）|年度</v>
      </c>
      <c r="M214">
        <f>IF($A214="",0,IF(COUNTIF($L$2:$L214,$L214)=1,1,0))</f>
        <v>1</v>
      </c>
      <c r="N214">
        <f t="shared" si="51"/>
        <v>20200</v>
      </c>
      <c r="O214" t="str">
        <f t="shared" si="52"/>
        <v>易方达华威农贸市场封闭式基础设施证券投资基金|2020|年度</v>
      </c>
      <c r="P214">
        <f>IF($A214="",0,IF(COUNTIF($O$2:$O214,$O214)=1,1,0))</f>
        <v>0</v>
      </c>
      <c r="Q214" t="str">
        <f>IF(AND($P214=1,$A214=经营数据!$B$3,$J214=经营数据!$BA$5),COUNTIFS($P$2:$P$3000,1,$A$2:$A$3000,$A214,$J$2:$J$3000,$J214,$N$2:$N$3000,"&lt;"&amp;$N214)+1,"")</f>
        <v/>
      </c>
      <c r="R214" t="str">
        <f t="shared" si="53"/>
        <v>易方达华威农贸市场封闭式基础设施证券投资基金|华威西营里农产品交易中心</v>
      </c>
      <c r="S214">
        <f>IF($A214="",0,IF(COUNTIF($R$2:$R214,$R214)=1,1,0))</f>
        <v>0</v>
      </c>
      <c r="T214">
        <f t="shared" si="54"/>
        <v>204</v>
      </c>
      <c r="U214" t="str">
        <f>IF($A214="","",IF($A214=经营数据!$B$3,COUNTIFS($S$2:$S$3000,1,$A$2:$A$3000,$A214,$T$2:$T$3000,"&lt;"&amp;$T214)+1,""))</f>
        <v/>
      </c>
      <c r="V214" t="str">
        <f t="shared" si="55"/>
        <v>华威西营里农产品交易中心|服务价格</v>
      </c>
      <c r="W214">
        <f t="shared" si="56"/>
        <v>204</v>
      </c>
      <c r="X214" t="str">
        <f t="shared" si="57"/>
        <v>华威西营里农产品交易中心|各经营业态平均租金情况</v>
      </c>
      <c r="Y214">
        <f t="shared" si="58"/>
        <v>204</v>
      </c>
      <c r="Z214">
        <f>IF($A214="",0,IF(AND($M214=1,$A214=经营数据!$B$3,$J214=经营数据!$BA$5,OR($I214=经营数据!$BA$4,COUNTIF(经营数据!$AA$9:$AA$38,$I214)&gt;0)),1,0))</f>
        <v>0</v>
      </c>
      <c r="AA214" t="str">
        <f t="shared" si="59"/>
        <v/>
      </c>
      <c r="AB214" t="str">
        <f t="shared" si="60"/>
        <v/>
      </c>
      <c r="AC214">
        <f>IF($A214="",0,IF(COUNTIF($A$2:$A214,$A214)=1,1,0))</f>
        <v>0</v>
      </c>
      <c r="AD214">
        <f t="shared" si="61"/>
        <v>4</v>
      </c>
      <c r="AE214" t="str">
        <f t="shared" si="62"/>
        <v>华威西营里农产品交易中心|各经营业态平均租金情况-电商直播基地（元/平方米/月）</v>
      </c>
      <c r="BA214" t="s">
        <v>5582</v>
      </c>
      <c r="BB214" t="s">
        <v>5376</v>
      </c>
      <c r="BP214" s="47">
        <v>45679</v>
      </c>
      <c r="BQ214" s="29">
        <v>4.1379996389582542E-2</v>
      </c>
    </row>
    <row r="215" spans="1:69" x14ac:dyDescent="0.4">
      <c r="A215" t="str">
        <f>IF(原始经营数据!$D216="","",原始经营数据!$D216)</f>
        <v>易方达华威农贸市场封闭式基础设施证券投资基金</v>
      </c>
      <c r="B215" t="str">
        <f>IF(原始经营数据!$D216="","",T(原始经营数据!$E216))</f>
        <v>华威西营里农产品交易中心</v>
      </c>
      <c r="C215" t="str">
        <f>IF(原始经营数据!$D216="","",原始经营数据!$F216)</f>
        <v>2020</v>
      </c>
      <c r="D215" t="str">
        <f>IF(原始经营数据!$D216="","",原始经营数据!$H216)</f>
        <v>各经营业态平均租金情况</v>
      </c>
      <c r="E215">
        <f>IF(原始经营数据!$D216="","",原始经营数据!$I216)</f>
        <v>120</v>
      </c>
      <c r="F215" t="str">
        <f>IF(原始经营数据!$D216="","",T(原始经营数据!$J216))</f>
        <v>元/平方米/月</v>
      </c>
      <c r="G215" t="str">
        <f>IF(原始经营数据!$D216="","",T(原始经营数据!$K216))</f>
        <v>蔬果</v>
      </c>
      <c r="H215" t="str">
        <f>IF(原始经营数据!$D216="","",原始经营数据!$G216)</f>
        <v>服务价格</v>
      </c>
      <c r="I215" t="str">
        <f>IF($A215="","",IF($B215&lt;&gt;"",$B215,IF(COUNTIFS(原始经营数据!$D$3:$D$3001,$A215,原始经营数据!$E$3:$E$3001,"",原始经营数据!$F$3:$F$3001,$C215,原始经营数据!$H$3:$H$3001,$D215,原始经营数据!$K$3:$K$3001,$G215)&gt;1,"基金整体·来源"&amp;原始经营数据!$A216,"基金整体")))</f>
        <v>华威西营里农产品交易中心</v>
      </c>
      <c r="J215" t="str">
        <f t="shared" si="48"/>
        <v>年度</v>
      </c>
      <c r="K215" t="str">
        <f t="shared" si="49"/>
        <v>各经营业态平均租金情况-蔬果（元/平方米/月）</v>
      </c>
      <c r="L215" t="str">
        <f t="shared" si="50"/>
        <v>华威西营里农产品交易中心|各经营业态平均租金情况-蔬果（元/平方米/月）|年度</v>
      </c>
      <c r="M215">
        <f>IF($A215="",0,IF(COUNTIF($L$2:$L215,$L215)=1,1,0))</f>
        <v>1</v>
      </c>
      <c r="N215">
        <f t="shared" si="51"/>
        <v>20200</v>
      </c>
      <c r="O215" t="str">
        <f t="shared" si="52"/>
        <v>易方达华威农贸市场封闭式基础设施证券投资基金|2020|年度</v>
      </c>
      <c r="P215">
        <f>IF($A215="",0,IF(COUNTIF($O$2:$O215,$O215)=1,1,0))</f>
        <v>0</v>
      </c>
      <c r="Q215" t="str">
        <f>IF(AND($P215=1,$A215=经营数据!$B$3,$J215=经营数据!$BA$5),COUNTIFS($P$2:$P$3000,1,$A$2:$A$3000,$A215,$J$2:$J$3000,$J215,$N$2:$N$3000,"&lt;"&amp;$N215)+1,"")</f>
        <v/>
      </c>
      <c r="R215" t="str">
        <f t="shared" si="53"/>
        <v>易方达华威农贸市场封闭式基础设施证券投资基金|华威西营里农产品交易中心</v>
      </c>
      <c r="S215">
        <f>IF($A215="",0,IF(COUNTIF($R$2:$R215,$R215)=1,1,0))</f>
        <v>0</v>
      </c>
      <c r="T215">
        <f t="shared" si="54"/>
        <v>204</v>
      </c>
      <c r="U215" t="str">
        <f>IF($A215="","",IF($A215=经营数据!$B$3,COUNTIFS($S$2:$S$3000,1,$A$2:$A$3000,$A215,$T$2:$T$3000,"&lt;"&amp;$T215)+1,""))</f>
        <v/>
      </c>
      <c r="V215" t="str">
        <f t="shared" si="55"/>
        <v>华威西营里农产品交易中心|服务价格</v>
      </c>
      <c r="W215">
        <f t="shared" si="56"/>
        <v>204</v>
      </c>
      <c r="X215" t="str">
        <f t="shared" si="57"/>
        <v>华威西营里农产品交易中心|各经营业态平均租金情况</v>
      </c>
      <c r="Y215">
        <f t="shared" si="58"/>
        <v>204</v>
      </c>
      <c r="Z215">
        <f>IF($A215="",0,IF(AND($M215=1,$A215=经营数据!$B$3,$J215=经营数据!$BA$5,OR($I215=经营数据!$BA$4,COUNTIF(经营数据!$AA$9:$AA$38,$I215)&gt;0)),1,0))</f>
        <v>0</v>
      </c>
      <c r="AA215" t="str">
        <f t="shared" si="59"/>
        <v/>
      </c>
      <c r="AB215" t="str">
        <f t="shared" si="60"/>
        <v/>
      </c>
      <c r="AC215">
        <f>IF($A215="",0,IF(COUNTIF($A$2:$A215,$A215)=1,1,0))</f>
        <v>0</v>
      </c>
      <c r="AD215">
        <f t="shared" si="61"/>
        <v>4</v>
      </c>
      <c r="AE215" t="str">
        <f t="shared" si="62"/>
        <v>华威西营里农产品交易中心|各经营业态平均租金情况-蔬果（元/平方米/月）</v>
      </c>
      <c r="BA215" t="s">
        <v>5583</v>
      </c>
      <c r="BB215" t="s">
        <v>5472</v>
      </c>
      <c r="BP215" s="47">
        <v>45680</v>
      </c>
      <c r="BQ215" s="29">
        <v>4.0864868271959148E-2</v>
      </c>
    </row>
    <row r="216" spans="1:69" x14ac:dyDescent="0.4">
      <c r="A216" t="str">
        <f>IF(原始经营数据!$D217="","",原始经营数据!$D217)</f>
        <v>易方达华威农贸市场封闭式基础设施证券投资基金</v>
      </c>
      <c r="B216" t="str">
        <f>IF(原始经营数据!$D217="","",T(原始经营数据!$E217))</f>
        <v>华威西营里农产品交易中心</v>
      </c>
      <c r="C216" t="str">
        <f>IF(原始经营数据!$D217="","",原始经营数据!$F217)</f>
        <v>2020</v>
      </c>
      <c r="D216" t="str">
        <f>IF(原始经营数据!$D217="","",原始经营数据!$H217)</f>
        <v>各经营业态平均租金情况</v>
      </c>
      <c r="E216">
        <f>IF(原始经营数据!$D217="","",原始经营数据!$I217)</f>
        <v>228</v>
      </c>
      <c r="F216" t="str">
        <f>IF(原始经营数据!$D217="","",T(原始经营数据!$J217))</f>
        <v>元/平方米/月</v>
      </c>
      <c r="G216" t="str">
        <f>IF(原始经营数据!$D217="","",T(原始经营数据!$K217))</f>
        <v>肉禽</v>
      </c>
      <c r="H216" t="str">
        <f>IF(原始经营数据!$D217="","",原始经营数据!$G217)</f>
        <v>服务价格</v>
      </c>
      <c r="I216" t="str">
        <f>IF($A216="","",IF($B216&lt;&gt;"",$B216,IF(COUNTIFS(原始经营数据!$D$3:$D$3001,$A216,原始经营数据!$E$3:$E$3001,"",原始经营数据!$F$3:$F$3001,$C216,原始经营数据!$H$3:$H$3001,$D216,原始经营数据!$K$3:$K$3001,$G216)&gt;1,"基金整体·来源"&amp;原始经营数据!$A217,"基金整体")))</f>
        <v>华威西营里农产品交易中心</v>
      </c>
      <c r="J216" t="str">
        <f t="shared" si="48"/>
        <v>年度</v>
      </c>
      <c r="K216" t="str">
        <f t="shared" si="49"/>
        <v>各经营业态平均租金情况-肉禽（元/平方米/月）</v>
      </c>
      <c r="L216" t="str">
        <f t="shared" si="50"/>
        <v>华威西营里农产品交易中心|各经营业态平均租金情况-肉禽（元/平方米/月）|年度</v>
      </c>
      <c r="M216">
        <f>IF($A216="",0,IF(COUNTIF($L$2:$L216,$L216)=1,1,0))</f>
        <v>1</v>
      </c>
      <c r="N216">
        <f t="shared" si="51"/>
        <v>20200</v>
      </c>
      <c r="O216" t="str">
        <f t="shared" si="52"/>
        <v>易方达华威农贸市场封闭式基础设施证券投资基金|2020|年度</v>
      </c>
      <c r="P216">
        <f>IF($A216="",0,IF(COUNTIF($O$2:$O216,$O216)=1,1,0))</f>
        <v>0</v>
      </c>
      <c r="Q216" t="str">
        <f>IF(AND($P216=1,$A216=经营数据!$B$3,$J216=经营数据!$BA$5),COUNTIFS($P$2:$P$3000,1,$A$2:$A$3000,$A216,$J$2:$J$3000,$J216,$N$2:$N$3000,"&lt;"&amp;$N216)+1,"")</f>
        <v/>
      </c>
      <c r="R216" t="str">
        <f t="shared" si="53"/>
        <v>易方达华威农贸市场封闭式基础设施证券投资基金|华威西营里农产品交易中心</v>
      </c>
      <c r="S216">
        <f>IF($A216="",0,IF(COUNTIF($R$2:$R216,$R216)=1,1,0))</f>
        <v>0</v>
      </c>
      <c r="T216">
        <f t="shared" si="54"/>
        <v>204</v>
      </c>
      <c r="U216" t="str">
        <f>IF($A216="","",IF($A216=经营数据!$B$3,COUNTIFS($S$2:$S$3000,1,$A$2:$A$3000,$A216,$T$2:$T$3000,"&lt;"&amp;$T216)+1,""))</f>
        <v/>
      </c>
      <c r="V216" t="str">
        <f t="shared" si="55"/>
        <v>华威西营里农产品交易中心|服务价格</v>
      </c>
      <c r="W216">
        <f t="shared" si="56"/>
        <v>204</v>
      </c>
      <c r="X216" t="str">
        <f t="shared" si="57"/>
        <v>华威西营里农产品交易中心|各经营业态平均租金情况</v>
      </c>
      <c r="Y216">
        <f t="shared" si="58"/>
        <v>204</v>
      </c>
      <c r="Z216">
        <f>IF($A216="",0,IF(AND($M216=1,$A216=经营数据!$B$3,$J216=经营数据!$BA$5,OR($I216=经营数据!$BA$4,COUNTIF(经营数据!$AA$9:$AA$38,$I216)&gt;0)),1,0))</f>
        <v>0</v>
      </c>
      <c r="AA216" t="str">
        <f t="shared" si="59"/>
        <v/>
      </c>
      <c r="AB216" t="str">
        <f t="shared" si="60"/>
        <v/>
      </c>
      <c r="AC216">
        <f>IF($A216="",0,IF(COUNTIF($A$2:$A216,$A216)=1,1,0))</f>
        <v>0</v>
      </c>
      <c r="AD216">
        <f t="shared" si="61"/>
        <v>4</v>
      </c>
      <c r="AE216" t="str">
        <f t="shared" si="62"/>
        <v>华威西营里农产品交易中心|各经营业态平均租金情况-肉禽（元/平方米/月）</v>
      </c>
      <c r="BA216" t="s">
        <v>5584</v>
      </c>
      <c r="BB216" t="s">
        <v>5585</v>
      </c>
      <c r="BP216" s="47">
        <v>45681</v>
      </c>
      <c r="BQ216" s="29">
        <v>4.0811871618679892E-2</v>
      </c>
    </row>
    <row r="217" spans="1:69" x14ac:dyDescent="0.4">
      <c r="A217" t="str">
        <f>IF(原始经营数据!$D218="","",原始经营数据!$D218)</f>
        <v>易方达华威农贸市场封闭式基础设施证券投资基金</v>
      </c>
      <c r="B217" t="str">
        <f>IF(原始经营数据!$D218="","",T(原始经营数据!$E218))</f>
        <v>华威西营里农产品交易中心</v>
      </c>
      <c r="C217" t="str">
        <f>IF(原始经营数据!$D218="","",原始经营数据!$F218)</f>
        <v>2020</v>
      </c>
      <c r="D217" t="str">
        <f>IF(原始经营数据!$D218="","",原始经营数据!$H218)</f>
        <v>各经营业态平均租金情况</v>
      </c>
      <c r="E217">
        <f>IF(原始经营数据!$D218="","",原始经营数据!$I218)</f>
        <v>148</v>
      </c>
      <c r="F217" t="str">
        <f>IF(原始经营数据!$D218="","",T(原始经营数据!$J218))</f>
        <v>元/平方米/月</v>
      </c>
      <c r="G217" t="str">
        <f>IF(原始经营数据!$D218="","",T(原始经营数据!$K218))</f>
        <v>干货/调味品</v>
      </c>
      <c r="H217" t="str">
        <f>IF(原始经营数据!$D218="","",原始经营数据!$G218)</f>
        <v>服务价格</v>
      </c>
      <c r="I217" t="str">
        <f>IF($A217="","",IF($B217&lt;&gt;"",$B217,IF(COUNTIFS(原始经营数据!$D$3:$D$3001,$A217,原始经营数据!$E$3:$E$3001,"",原始经营数据!$F$3:$F$3001,$C217,原始经营数据!$H$3:$H$3001,$D217,原始经营数据!$K$3:$K$3001,$G217)&gt;1,"基金整体·来源"&amp;原始经营数据!$A218,"基金整体")))</f>
        <v>华威西营里农产品交易中心</v>
      </c>
      <c r="J217" t="str">
        <f t="shared" si="48"/>
        <v>年度</v>
      </c>
      <c r="K217" t="str">
        <f t="shared" si="49"/>
        <v>各经营业态平均租金情况-干货/调味品（元/平方米/月）</v>
      </c>
      <c r="L217" t="str">
        <f t="shared" si="50"/>
        <v>华威西营里农产品交易中心|各经营业态平均租金情况-干货/调味品（元/平方米/月）|年度</v>
      </c>
      <c r="M217">
        <f>IF($A217="",0,IF(COUNTIF($L$2:$L217,$L217)=1,1,0))</f>
        <v>1</v>
      </c>
      <c r="N217">
        <f t="shared" si="51"/>
        <v>20200</v>
      </c>
      <c r="O217" t="str">
        <f t="shared" si="52"/>
        <v>易方达华威农贸市场封闭式基础设施证券投资基金|2020|年度</v>
      </c>
      <c r="P217">
        <f>IF($A217="",0,IF(COUNTIF($O$2:$O217,$O217)=1,1,0))</f>
        <v>0</v>
      </c>
      <c r="Q217" t="str">
        <f>IF(AND($P217=1,$A217=经营数据!$B$3,$J217=经营数据!$BA$5),COUNTIFS($P$2:$P$3000,1,$A$2:$A$3000,$A217,$J$2:$J$3000,$J217,$N$2:$N$3000,"&lt;"&amp;$N217)+1,"")</f>
        <v/>
      </c>
      <c r="R217" t="str">
        <f t="shared" si="53"/>
        <v>易方达华威农贸市场封闭式基础设施证券投资基金|华威西营里农产品交易中心</v>
      </c>
      <c r="S217">
        <f>IF($A217="",0,IF(COUNTIF($R$2:$R217,$R217)=1,1,0))</f>
        <v>0</v>
      </c>
      <c r="T217">
        <f t="shared" si="54"/>
        <v>204</v>
      </c>
      <c r="U217" t="str">
        <f>IF($A217="","",IF($A217=经营数据!$B$3,COUNTIFS($S$2:$S$3000,1,$A$2:$A$3000,$A217,$T$2:$T$3000,"&lt;"&amp;$T217)+1,""))</f>
        <v/>
      </c>
      <c r="V217" t="str">
        <f t="shared" si="55"/>
        <v>华威西营里农产品交易中心|服务价格</v>
      </c>
      <c r="W217">
        <f t="shared" si="56"/>
        <v>204</v>
      </c>
      <c r="X217" t="str">
        <f t="shared" si="57"/>
        <v>华威西营里农产品交易中心|各经营业态平均租金情况</v>
      </c>
      <c r="Y217">
        <f t="shared" si="58"/>
        <v>204</v>
      </c>
      <c r="Z217">
        <f>IF($A217="",0,IF(AND($M217=1,$A217=经营数据!$B$3,$J217=经营数据!$BA$5,OR($I217=经营数据!$BA$4,COUNTIF(经营数据!$AA$9:$AA$38,$I217)&gt;0)),1,0))</f>
        <v>0</v>
      </c>
      <c r="AA217" t="str">
        <f t="shared" si="59"/>
        <v/>
      </c>
      <c r="AB217" t="str">
        <f t="shared" si="60"/>
        <v/>
      </c>
      <c r="AC217">
        <f>IF($A217="",0,IF(COUNTIF($A$2:$A217,$A217)=1,1,0))</f>
        <v>0</v>
      </c>
      <c r="AD217">
        <f t="shared" si="61"/>
        <v>4</v>
      </c>
      <c r="AE217" t="str">
        <f t="shared" si="62"/>
        <v>华威西营里农产品交易中心|各经营业态平均租金情况-干货/调味品（元/平方米/月）</v>
      </c>
      <c r="BA217" t="s">
        <v>5586</v>
      </c>
      <c r="BB217" t="s">
        <v>5587</v>
      </c>
      <c r="BP217" s="47">
        <v>45684</v>
      </c>
      <c r="BQ217" s="29">
        <v>4.015919004918559E-2</v>
      </c>
    </row>
    <row r="218" spans="1:69" x14ac:dyDescent="0.4">
      <c r="A218" t="str">
        <f>IF(原始经营数据!$D219="","",原始经营数据!$D219)</f>
        <v>易方达华威农贸市场封闭式基础设施证券投资基金</v>
      </c>
      <c r="B218" t="str">
        <f>IF(原始经营数据!$D219="","",T(原始经营数据!$E219))</f>
        <v>华威西营里农产品交易中心</v>
      </c>
      <c r="C218" t="str">
        <f>IF(原始经营数据!$D219="","",原始经营数据!$F219)</f>
        <v>2020</v>
      </c>
      <c r="D218" t="str">
        <f>IF(原始经营数据!$D219="","",原始经营数据!$H219)</f>
        <v>各经营业态平均租金情况</v>
      </c>
      <c r="E218">
        <f>IF(原始经营数据!$D219="","",原始经营数据!$I219)</f>
        <v>212</v>
      </c>
      <c r="F218" t="str">
        <f>IF(原始经营数据!$D219="","",T(原始经营数据!$J219))</f>
        <v>元/平方米/月</v>
      </c>
      <c r="G218" t="str">
        <f>IF(原始经营数据!$D219="","",T(原始经营数据!$K219))</f>
        <v>冻品</v>
      </c>
      <c r="H218" t="str">
        <f>IF(原始经营数据!$D219="","",原始经营数据!$G219)</f>
        <v>服务价格</v>
      </c>
      <c r="I218" t="str">
        <f>IF($A218="","",IF($B218&lt;&gt;"",$B218,IF(COUNTIFS(原始经营数据!$D$3:$D$3001,$A218,原始经营数据!$E$3:$E$3001,"",原始经营数据!$F$3:$F$3001,$C218,原始经营数据!$H$3:$H$3001,$D218,原始经营数据!$K$3:$K$3001,$G218)&gt;1,"基金整体·来源"&amp;原始经营数据!$A219,"基金整体")))</f>
        <v>华威西营里农产品交易中心</v>
      </c>
      <c r="J218" t="str">
        <f t="shared" si="48"/>
        <v>年度</v>
      </c>
      <c r="K218" t="str">
        <f t="shared" si="49"/>
        <v>各经营业态平均租金情况-冻品（元/平方米/月）</v>
      </c>
      <c r="L218" t="str">
        <f t="shared" si="50"/>
        <v>华威西营里农产品交易中心|各经营业态平均租金情况-冻品（元/平方米/月）|年度</v>
      </c>
      <c r="M218">
        <f>IF($A218="",0,IF(COUNTIF($L$2:$L218,$L218)=1,1,0))</f>
        <v>1</v>
      </c>
      <c r="N218">
        <f t="shared" si="51"/>
        <v>20200</v>
      </c>
      <c r="O218" t="str">
        <f t="shared" si="52"/>
        <v>易方达华威农贸市场封闭式基础设施证券投资基金|2020|年度</v>
      </c>
      <c r="P218">
        <f>IF($A218="",0,IF(COUNTIF($O$2:$O218,$O218)=1,1,0))</f>
        <v>0</v>
      </c>
      <c r="Q218" t="str">
        <f>IF(AND($P218=1,$A218=经营数据!$B$3,$J218=经营数据!$BA$5),COUNTIFS($P$2:$P$3000,1,$A$2:$A$3000,$A218,$J$2:$J$3000,$J218,$N$2:$N$3000,"&lt;"&amp;$N218)+1,"")</f>
        <v/>
      </c>
      <c r="R218" t="str">
        <f t="shared" si="53"/>
        <v>易方达华威农贸市场封闭式基础设施证券投资基金|华威西营里农产品交易中心</v>
      </c>
      <c r="S218">
        <f>IF($A218="",0,IF(COUNTIF($R$2:$R218,$R218)=1,1,0))</f>
        <v>0</v>
      </c>
      <c r="T218">
        <f t="shared" si="54"/>
        <v>204</v>
      </c>
      <c r="U218" t="str">
        <f>IF($A218="","",IF($A218=经营数据!$B$3,COUNTIFS($S$2:$S$3000,1,$A$2:$A$3000,$A218,$T$2:$T$3000,"&lt;"&amp;$T218)+1,""))</f>
        <v/>
      </c>
      <c r="V218" t="str">
        <f t="shared" si="55"/>
        <v>华威西营里农产品交易中心|服务价格</v>
      </c>
      <c r="W218">
        <f t="shared" si="56"/>
        <v>204</v>
      </c>
      <c r="X218" t="str">
        <f t="shared" si="57"/>
        <v>华威西营里农产品交易中心|各经营业态平均租金情况</v>
      </c>
      <c r="Y218">
        <f t="shared" si="58"/>
        <v>204</v>
      </c>
      <c r="Z218">
        <f>IF($A218="",0,IF(AND($M218=1,$A218=经营数据!$B$3,$J218=经营数据!$BA$5,OR($I218=经营数据!$BA$4,COUNTIF(经营数据!$AA$9:$AA$38,$I218)&gt;0)),1,0))</f>
        <v>0</v>
      </c>
      <c r="AA218" t="str">
        <f t="shared" si="59"/>
        <v/>
      </c>
      <c r="AB218" t="str">
        <f t="shared" si="60"/>
        <v/>
      </c>
      <c r="AC218">
        <f>IF($A218="",0,IF(COUNTIF($A$2:$A218,$A218)=1,1,0))</f>
        <v>0</v>
      </c>
      <c r="AD218">
        <f t="shared" si="61"/>
        <v>4</v>
      </c>
      <c r="AE218" t="str">
        <f t="shared" si="62"/>
        <v>华威西营里农产品交易中心|各经营业态平均租金情况-冻品（元/平方米/月）</v>
      </c>
      <c r="BA218" t="s">
        <v>5588</v>
      </c>
      <c r="BB218" t="s">
        <v>5589</v>
      </c>
      <c r="BP218" s="47">
        <v>45693</v>
      </c>
      <c r="BQ218" s="29">
        <v>3.9930907709781908E-2</v>
      </c>
    </row>
    <row r="219" spans="1:69" x14ac:dyDescent="0.4">
      <c r="A219" t="str">
        <f>IF(原始经营数据!$D220="","",原始经营数据!$D220)</f>
        <v>易方达华威农贸市场封闭式基础设施证券投资基金</v>
      </c>
      <c r="B219" t="str">
        <f>IF(原始经营数据!$D220="","",T(原始经营数据!$E220))</f>
        <v>华威西营里农产品交易中心</v>
      </c>
      <c r="C219" t="str">
        <f>IF(原始经营数据!$D220="","",原始经营数据!$F220)</f>
        <v>2020</v>
      </c>
      <c r="D219" t="str">
        <f>IF(原始经营数据!$D220="","",原始经营数据!$H220)</f>
        <v>续租率</v>
      </c>
      <c r="E219">
        <f>IF(原始经营数据!$D220="","",原始经营数据!$I220)</f>
        <v>92</v>
      </c>
      <c r="F219" t="str">
        <f>IF(原始经营数据!$D220="","",T(原始经营数据!$J220))</f>
        <v>%</v>
      </c>
      <c r="G219" t="str">
        <f>IF(原始经营数据!$D220="","",T(原始经营数据!$K220))</f>
        <v/>
      </c>
      <c r="H219" t="str">
        <f>IF(原始经营数据!$D220="","",原始经营数据!$G220)</f>
        <v>服务效率</v>
      </c>
      <c r="I219" t="str">
        <f>IF($A219="","",IF($B219&lt;&gt;"",$B219,IF(COUNTIFS(原始经营数据!$D$3:$D$3001,$A219,原始经营数据!$E$3:$E$3001,"",原始经营数据!$F$3:$F$3001,$C219,原始经营数据!$H$3:$H$3001,$D219,原始经营数据!$K$3:$K$3001,$G219)&gt;1,"基金整体·来源"&amp;原始经营数据!$A220,"基金整体")))</f>
        <v>华威西营里农产品交易中心</v>
      </c>
      <c r="J219" t="str">
        <f t="shared" si="48"/>
        <v>年度</v>
      </c>
      <c r="K219" t="str">
        <f t="shared" si="49"/>
        <v>续租率（%）</v>
      </c>
      <c r="L219" t="str">
        <f t="shared" si="50"/>
        <v>华威西营里农产品交易中心|续租率（%）|年度</v>
      </c>
      <c r="M219">
        <f>IF($A219="",0,IF(COUNTIF($L$2:$L219,$L219)=1,1,0))</f>
        <v>1</v>
      </c>
      <c r="N219">
        <f t="shared" si="51"/>
        <v>20200</v>
      </c>
      <c r="O219" t="str">
        <f t="shared" si="52"/>
        <v>易方达华威农贸市场封闭式基础设施证券投资基金|2020|年度</v>
      </c>
      <c r="P219">
        <f>IF($A219="",0,IF(COUNTIF($O$2:$O219,$O219)=1,1,0))</f>
        <v>0</v>
      </c>
      <c r="Q219" t="str">
        <f>IF(AND($P219=1,$A219=经营数据!$B$3,$J219=经营数据!$BA$5),COUNTIFS($P$2:$P$3000,1,$A$2:$A$3000,$A219,$J$2:$J$3000,$J219,$N$2:$N$3000,"&lt;"&amp;$N219)+1,"")</f>
        <v/>
      </c>
      <c r="R219" t="str">
        <f t="shared" si="53"/>
        <v>易方达华威农贸市场封闭式基础设施证券投资基金|华威西营里农产品交易中心</v>
      </c>
      <c r="S219">
        <f>IF($A219="",0,IF(COUNTIF($R$2:$R219,$R219)=1,1,0))</f>
        <v>0</v>
      </c>
      <c r="T219">
        <f t="shared" si="54"/>
        <v>204</v>
      </c>
      <c r="U219" t="str">
        <f>IF($A219="","",IF($A219=经营数据!$B$3,COUNTIFS($S$2:$S$3000,1,$A$2:$A$3000,$A219,$T$2:$T$3000,"&lt;"&amp;$T219)+1,""))</f>
        <v/>
      </c>
      <c r="V219" t="str">
        <f t="shared" si="55"/>
        <v>华威西营里农产品交易中心|服务效率</v>
      </c>
      <c r="W219">
        <f t="shared" si="56"/>
        <v>205</v>
      </c>
      <c r="X219" t="str">
        <f t="shared" si="57"/>
        <v>华威西营里农产品交易中心|续租率</v>
      </c>
      <c r="Y219">
        <f t="shared" si="58"/>
        <v>218</v>
      </c>
      <c r="Z219">
        <f>IF($A219="",0,IF(AND($M219=1,$A219=经营数据!$B$3,$J219=经营数据!$BA$5,OR($I219=经营数据!$BA$4,COUNTIF(经营数据!$AA$9:$AA$38,$I219)&gt;0)),1,0))</f>
        <v>0</v>
      </c>
      <c r="AA219" t="str">
        <f t="shared" si="59"/>
        <v/>
      </c>
      <c r="AB219" t="str">
        <f t="shared" si="60"/>
        <v/>
      </c>
      <c r="AC219">
        <f>IF($A219="",0,IF(COUNTIF($A$2:$A219,$A219)=1,1,0))</f>
        <v>0</v>
      </c>
      <c r="AD219">
        <f t="shared" si="61"/>
        <v>4</v>
      </c>
      <c r="AE219" t="str">
        <f t="shared" si="62"/>
        <v>华威西营里农产品交易中心|续租率（%）</v>
      </c>
      <c r="BA219" t="s">
        <v>5590</v>
      </c>
      <c r="BB219" t="s">
        <v>5591</v>
      </c>
      <c r="BP219" s="47">
        <v>45694</v>
      </c>
      <c r="BQ219" s="29">
        <v>3.9740496293461623E-2</v>
      </c>
    </row>
    <row r="220" spans="1:69" x14ac:dyDescent="0.4">
      <c r="A220" t="str">
        <f>IF(原始经营数据!$D221="","",原始经营数据!$D221)</f>
        <v>易方达华威农贸市场封闭式基础设施证券投资基金</v>
      </c>
      <c r="B220" t="str">
        <f>IF(原始经营数据!$D221="","",T(原始经营数据!$E221))</f>
        <v>华威西营里农产品交易中心</v>
      </c>
      <c r="C220" t="str">
        <f>IF(原始经营数据!$D221="","",原始经营数据!$F221)</f>
        <v>2020</v>
      </c>
      <c r="D220" t="str">
        <f>IF(原始经营数据!$D221="","",原始经营数据!$H221)</f>
        <v>退租率</v>
      </c>
      <c r="E220">
        <f>IF(原始经营数据!$D221="","",原始经营数据!$I221)</f>
        <v>0.85</v>
      </c>
      <c r="F220" t="str">
        <f>IF(原始经营数据!$D221="","",T(原始经营数据!$J221))</f>
        <v>%</v>
      </c>
      <c r="G220" t="str">
        <f>IF(原始经营数据!$D221="","",T(原始经营数据!$K221))</f>
        <v/>
      </c>
      <c r="H220" t="str">
        <f>IF(原始经营数据!$D221="","",原始经营数据!$G221)</f>
        <v>服务效率</v>
      </c>
      <c r="I220" t="str">
        <f>IF($A220="","",IF($B220&lt;&gt;"",$B220,IF(COUNTIFS(原始经营数据!$D$3:$D$3001,$A220,原始经营数据!$E$3:$E$3001,"",原始经营数据!$F$3:$F$3001,$C220,原始经营数据!$H$3:$H$3001,$D220,原始经营数据!$K$3:$K$3001,$G220)&gt;1,"基金整体·来源"&amp;原始经营数据!$A221,"基金整体")))</f>
        <v>华威西营里农产品交易中心</v>
      </c>
      <c r="J220" t="str">
        <f t="shared" si="48"/>
        <v>年度</v>
      </c>
      <c r="K220" t="str">
        <f t="shared" si="49"/>
        <v>退租率（%）</v>
      </c>
      <c r="L220" t="str">
        <f t="shared" si="50"/>
        <v>华威西营里农产品交易中心|退租率（%）|年度</v>
      </c>
      <c r="M220">
        <f>IF($A220="",0,IF(COUNTIF($L$2:$L220,$L220)=1,1,0))</f>
        <v>1</v>
      </c>
      <c r="N220">
        <f t="shared" si="51"/>
        <v>20200</v>
      </c>
      <c r="O220" t="str">
        <f t="shared" si="52"/>
        <v>易方达华威农贸市场封闭式基础设施证券投资基金|2020|年度</v>
      </c>
      <c r="P220">
        <f>IF($A220="",0,IF(COUNTIF($O$2:$O220,$O220)=1,1,0))</f>
        <v>0</v>
      </c>
      <c r="Q220" t="str">
        <f>IF(AND($P220=1,$A220=经营数据!$B$3,$J220=经营数据!$BA$5),COUNTIFS($P$2:$P$3000,1,$A$2:$A$3000,$A220,$J$2:$J$3000,$J220,$N$2:$N$3000,"&lt;"&amp;$N220)+1,"")</f>
        <v/>
      </c>
      <c r="R220" t="str">
        <f t="shared" si="53"/>
        <v>易方达华威农贸市场封闭式基础设施证券投资基金|华威西营里农产品交易中心</v>
      </c>
      <c r="S220">
        <f>IF($A220="",0,IF(COUNTIF($R$2:$R220,$R220)=1,1,0))</f>
        <v>0</v>
      </c>
      <c r="T220">
        <f t="shared" si="54"/>
        <v>204</v>
      </c>
      <c r="U220" t="str">
        <f>IF($A220="","",IF($A220=经营数据!$B$3,COUNTIFS($S$2:$S$3000,1,$A$2:$A$3000,$A220,$T$2:$T$3000,"&lt;"&amp;$T220)+1,""))</f>
        <v/>
      </c>
      <c r="V220" t="str">
        <f t="shared" si="55"/>
        <v>华威西营里农产品交易中心|服务效率</v>
      </c>
      <c r="W220">
        <f t="shared" si="56"/>
        <v>205</v>
      </c>
      <c r="X220" t="str">
        <f t="shared" si="57"/>
        <v>华威西营里农产品交易中心|退租率</v>
      </c>
      <c r="Y220">
        <f t="shared" si="58"/>
        <v>219</v>
      </c>
      <c r="Z220">
        <f>IF($A220="",0,IF(AND($M220=1,$A220=经营数据!$B$3,$J220=经营数据!$BA$5,OR($I220=经营数据!$BA$4,COUNTIF(经营数据!$AA$9:$AA$38,$I220)&gt;0)),1,0))</f>
        <v>0</v>
      </c>
      <c r="AA220" t="str">
        <f t="shared" si="59"/>
        <v/>
      </c>
      <c r="AB220" t="str">
        <f t="shared" si="60"/>
        <v/>
      </c>
      <c r="AC220">
        <f>IF($A220="",0,IF(COUNTIF($A$2:$A220,$A220)=1,1,0))</f>
        <v>0</v>
      </c>
      <c r="AD220">
        <f t="shared" si="61"/>
        <v>4</v>
      </c>
      <c r="AE220" t="str">
        <f t="shared" si="62"/>
        <v>华威西营里农产品交易中心|退租率（%）</v>
      </c>
      <c r="BA220" t="s">
        <v>5592</v>
      </c>
      <c r="BB220" t="s">
        <v>5593</v>
      </c>
      <c r="BP220" s="47">
        <v>45695</v>
      </c>
      <c r="BQ220" s="29">
        <v>3.9973122763555607E-2</v>
      </c>
    </row>
    <row r="221" spans="1:69" x14ac:dyDescent="0.4">
      <c r="A221" t="str">
        <f>IF(原始经营数据!$D222="","",原始经营数据!$D222)</f>
        <v>易方达华威农贸市场封闭式基础设施证券投资基金</v>
      </c>
      <c r="B221" t="str">
        <f>IF(原始经营数据!$D222="","",T(原始经营数据!$E222))</f>
        <v>华威西营里农产品交易中心</v>
      </c>
      <c r="C221" t="str">
        <f>IF(原始经营数据!$D222="","",原始经营数据!$F222)</f>
        <v>2020</v>
      </c>
      <c r="D221" t="str">
        <f>IF(原始经营数据!$D222="","",原始经营数据!$H222)</f>
        <v>各经营业态出租率表</v>
      </c>
      <c r="E221">
        <f>IF(原始经营数据!$D222="","",原始经营数据!$I222)</f>
        <v>95</v>
      </c>
      <c r="F221" t="str">
        <f>IF(原始经营数据!$D222="","",T(原始经营数据!$J222))</f>
        <v>%</v>
      </c>
      <c r="G221" t="str">
        <f>IF(原始经营数据!$D222="","",T(原始经营数据!$K222))</f>
        <v>仓库</v>
      </c>
      <c r="H221" t="str">
        <f>IF(原始经营数据!$D222="","",原始经营数据!$G222)</f>
        <v>服务效率</v>
      </c>
      <c r="I221" t="str">
        <f>IF($A221="","",IF($B221&lt;&gt;"",$B221,IF(COUNTIFS(原始经营数据!$D$3:$D$3001,$A221,原始经营数据!$E$3:$E$3001,"",原始经营数据!$F$3:$F$3001,$C221,原始经营数据!$H$3:$H$3001,$D221,原始经营数据!$K$3:$K$3001,$G221)&gt;1,"基金整体·来源"&amp;原始经营数据!$A222,"基金整体")))</f>
        <v>华威西营里农产品交易中心</v>
      </c>
      <c r="J221" t="str">
        <f t="shared" si="48"/>
        <v>年度</v>
      </c>
      <c r="K221" t="str">
        <f t="shared" si="49"/>
        <v>各经营业态出租率表-仓库（%）</v>
      </c>
      <c r="L221" t="str">
        <f t="shared" si="50"/>
        <v>华威西营里农产品交易中心|各经营业态出租率表-仓库（%）|年度</v>
      </c>
      <c r="M221">
        <f>IF($A221="",0,IF(COUNTIF($L$2:$L221,$L221)=1,1,0))</f>
        <v>1</v>
      </c>
      <c r="N221">
        <f t="shared" si="51"/>
        <v>20200</v>
      </c>
      <c r="O221" t="str">
        <f t="shared" si="52"/>
        <v>易方达华威农贸市场封闭式基础设施证券投资基金|2020|年度</v>
      </c>
      <c r="P221">
        <f>IF($A221="",0,IF(COUNTIF($O$2:$O221,$O221)=1,1,0))</f>
        <v>0</v>
      </c>
      <c r="Q221" t="str">
        <f>IF(AND($P221=1,$A221=经营数据!$B$3,$J221=经营数据!$BA$5),COUNTIFS($P$2:$P$3000,1,$A$2:$A$3000,$A221,$J$2:$J$3000,$J221,$N$2:$N$3000,"&lt;"&amp;$N221)+1,"")</f>
        <v/>
      </c>
      <c r="R221" t="str">
        <f t="shared" si="53"/>
        <v>易方达华威农贸市场封闭式基础设施证券投资基金|华威西营里农产品交易中心</v>
      </c>
      <c r="S221">
        <f>IF($A221="",0,IF(COUNTIF($R$2:$R221,$R221)=1,1,0))</f>
        <v>0</v>
      </c>
      <c r="T221">
        <f t="shared" si="54"/>
        <v>204</v>
      </c>
      <c r="U221" t="str">
        <f>IF($A221="","",IF($A221=经营数据!$B$3,COUNTIFS($S$2:$S$3000,1,$A$2:$A$3000,$A221,$T$2:$T$3000,"&lt;"&amp;$T221)+1,""))</f>
        <v/>
      </c>
      <c r="V221" t="str">
        <f t="shared" si="55"/>
        <v>华威西营里农产品交易中心|服务效率</v>
      </c>
      <c r="W221">
        <f t="shared" si="56"/>
        <v>205</v>
      </c>
      <c r="X221" t="str">
        <f t="shared" si="57"/>
        <v>华威西营里农产品交易中心|各经营业态出租率表</v>
      </c>
      <c r="Y221">
        <f t="shared" si="58"/>
        <v>205</v>
      </c>
      <c r="Z221">
        <f>IF($A221="",0,IF(AND($M221=1,$A221=经营数据!$B$3,$J221=经营数据!$BA$5,OR($I221=经营数据!$BA$4,COUNTIF(经营数据!$AA$9:$AA$38,$I221)&gt;0)),1,0))</f>
        <v>0</v>
      </c>
      <c r="AA221" t="str">
        <f t="shared" si="59"/>
        <v/>
      </c>
      <c r="AB221" t="str">
        <f t="shared" si="60"/>
        <v/>
      </c>
      <c r="AC221">
        <f>IF($A221="",0,IF(COUNTIF($A$2:$A221,$A221)=1,1,0))</f>
        <v>0</v>
      </c>
      <c r="AD221">
        <f t="shared" si="61"/>
        <v>4</v>
      </c>
      <c r="AE221" t="str">
        <f t="shared" si="62"/>
        <v>华威西营里农产品交易中心|各经营业态出租率表-仓库（%）</v>
      </c>
      <c r="BA221" t="s">
        <v>5594</v>
      </c>
      <c r="BB221" t="s">
        <v>5595</v>
      </c>
      <c r="BP221" s="47">
        <v>45698</v>
      </c>
      <c r="BQ221" s="29">
        <v>3.9788069198444853E-2</v>
      </c>
    </row>
    <row r="222" spans="1:69" x14ac:dyDescent="0.4">
      <c r="A222" t="str">
        <f>IF(原始经营数据!$D223="","",原始经营数据!$D223)</f>
        <v>易方达华威农贸市场封闭式基础设施证券投资基金</v>
      </c>
      <c r="B222" t="str">
        <f>IF(原始经营数据!$D223="","",T(原始经营数据!$E223))</f>
        <v>华威西营里农产品交易中心</v>
      </c>
      <c r="C222" t="str">
        <f>IF(原始经营数据!$D223="","",原始经营数据!$F223)</f>
        <v>2020</v>
      </c>
      <c r="D222" t="str">
        <f>IF(原始经营数据!$D223="","",原始经营数据!$H223)</f>
        <v>期初已出租面积</v>
      </c>
      <c r="E222">
        <f>IF(原始经营数据!$D223="","",原始经营数据!$I223)</f>
        <v>40369.800000000003</v>
      </c>
      <c r="F222" t="str">
        <f>IF(原始经营数据!$D223="","",T(原始经营数据!$J223))</f>
        <v>平方米</v>
      </c>
      <c r="G222" t="str">
        <f>IF(原始经营数据!$D223="","",T(原始经营数据!$K223))</f>
        <v/>
      </c>
      <c r="H222" t="str">
        <f>IF(原始经营数据!$D223="","",原始经营数据!$G223)</f>
        <v>服务量</v>
      </c>
      <c r="I222" t="str">
        <f>IF($A222="","",IF($B222&lt;&gt;"",$B222,IF(COUNTIFS(原始经营数据!$D$3:$D$3001,$A222,原始经营数据!$E$3:$E$3001,"",原始经营数据!$F$3:$F$3001,$C222,原始经营数据!$H$3:$H$3001,$D222,原始经营数据!$K$3:$K$3001,$G222)&gt;1,"基金整体·来源"&amp;原始经营数据!$A223,"基金整体")))</f>
        <v>华威西营里农产品交易中心</v>
      </c>
      <c r="J222" t="str">
        <f t="shared" si="48"/>
        <v>年度</v>
      </c>
      <c r="K222" t="str">
        <f t="shared" si="49"/>
        <v>期初已出租面积（平方米）</v>
      </c>
      <c r="L222" t="str">
        <f t="shared" si="50"/>
        <v>华威西营里农产品交易中心|期初已出租面积（平方米）|年度</v>
      </c>
      <c r="M222">
        <f>IF($A222="",0,IF(COUNTIF($L$2:$L222,$L222)=1,1,0))</f>
        <v>1</v>
      </c>
      <c r="N222">
        <f t="shared" si="51"/>
        <v>20200</v>
      </c>
      <c r="O222" t="str">
        <f t="shared" si="52"/>
        <v>易方达华威农贸市场封闭式基础设施证券投资基金|2020|年度</v>
      </c>
      <c r="P222">
        <f>IF($A222="",0,IF(COUNTIF($O$2:$O222,$O222)=1,1,0))</f>
        <v>0</v>
      </c>
      <c r="Q222" t="str">
        <f>IF(AND($P222=1,$A222=经营数据!$B$3,$J222=经营数据!$BA$5),COUNTIFS($P$2:$P$3000,1,$A$2:$A$3000,$A222,$J$2:$J$3000,$J222,$N$2:$N$3000,"&lt;"&amp;$N222)+1,"")</f>
        <v/>
      </c>
      <c r="R222" t="str">
        <f t="shared" si="53"/>
        <v>易方达华威农贸市场封闭式基础设施证券投资基金|华威西营里农产品交易中心</v>
      </c>
      <c r="S222">
        <f>IF($A222="",0,IF(COUNTIF($R$2:$R222,$R222)=1,1,0))</f>
        <v>0</v>
      </c>
      <c r="T222">
        <f t="shared" si="54"/>
        <v>204</v>
      </c>
      <c r="U222" t="str">
        <f>IF($A222="","",IF($A222=经营数据!$B$3,COUNTIFS($S$2:$S$3000,1,$A$2:$A$3000,$A222,$T$2:$T$3000,"&lt;"&amp;$T222)+1,""))</f>
        <v/>
      </c>
      <c r="V222" t="str">
        <f t="shared" si="55"/>
        <v>华威西营里农产品交易中心|服务量</v>
      </c>
      <c r="W222">
        <f t="shared" si="56"/>
        <v>221</v>
      </c>
      <c r="X222" t="str">
        <f t="shared" si="57"/>
        <v>华威西营里农产品交易中心|期初已出租面积</v>
      </c>
      <c r="Y222">
        <f t="shared" si="58"/>
        <v>221</v>
      </c>
      <c r="Z222">
        <f>IF($A222="",0,IF(AND($M222=1,$A222=经营数据!$B$3,$J222=经营数据!$BA$5,OR($I222=经营数据!$BA$4,COUNTIF(经营数据!$AA$9:$AA$38,$I222)&gt;0)),1,0))</f>
        <v>0</v>
      </c>
      <c r="AA222" t="str">
        <f t="shared" si="59"/>
        <v/>
      </c>
      <c r="AB222" t="str">
        <f t="shared" si="60"/>
        <v/>
      </c>
      <c r="AC222">
        <f>IF($A222="",0,IF(COUNTIF($A$2:$A222,$A222)=1,1,0))</f>
        <v>0</v>
      </c>
      <c r="AD222">
        <f t="shared" si="61"/>
        <v>4</v>
      </c>
      <c r="AE222" t="str">
        <f t="shared" si="62"/>
        <v>华威西营里农产品交易中心|期初已出租面积（平方米）</v>
      </c>
      <c r="BA222" t="s">
        <v>5596</v>
      </c>
      <c r="BB222" t="s">
        <v>5597</v>
      </c>
      <c r="BP222" s="47">
        <v>45699</v>
      </c>
      <c r="BQ222" s="29">
        <v>3.9196223347352531E-2</v>
      </c>
    </row>
    <row r="223" spans="1:69" x14ac:dyDescent="0.4">
      <c r="A223" t="str">
        <f>IF(原始经营数据!$D224="","",原始经营数据!$D224)</f>
        <v>易方达华威农贸市场封闭式基础设施证券投资基金</v>
      </c>
      <c r="B223" t="str">
        <f>IF(原始经营数据!$D224="","",T(原始经营数据!$E224))</f>
        <v>华威西营里农产品交易中心</v>
      </c>
      <c r="C223" t="str">
        <f>IF(原始经营数据!$D224="","",原始经营数据!$F224)</f>
        <v>2020</v>
      </c>
      <c r="D223" t="str">
        <f>IF(原始经营数据!$D224="","",原始经营数据!$H224)</f>
        <v>当年退租面积</v>
      </c>
      <c r="E223">
        <f>IF(原始经营数据!$D224="","",原始经营数据!$I224)</f>
        <v>342.6</v>
      </c>
      <c r="F223" t="str">
        <f>IF(原始经营数据!$D224="","",T(原始经营数据!$J224))</f>
        <v>平方米</v>
      </c>
      <c r="G223" t="str">
        <f>IF(原始经营数据!$D224="","",T(原始经营数据!$K224))</f>
        <v/>
      </c>
      <c r="H223" t="str">
        <f>IF(原始经营数据!$D224="","",原始经营数据!$G224)</f>
        <v>服务量</v>
      </c>
      <c r="I223" t="str">
        <f>IF($A223="","",IF($B223&lt;&gt;"",$B223,IF(COUNTIFS(原始经营数据!$D$3:$D$3001,$A223,原始经营数据!$E$3:$E$3001,"",原始经营数据!$F$3:$F$3001,$C223,原始经营数据!$H$3:$H$3001,$D223,原始经营数据!$K$3:$K$3001,$G223)&gt;1,"基金整体·来源"&amp;原始经营数据!$A224,"基金整体")))</f>
        <v>华威西营里农产品交易中心</v>
      </c>
      <c r="J223" t="str">
        <f t="shared" si="48"/>
        <v>年度</v>
      </c>
      <c r="K223" t="str">
        <f t="shared" si="49"/>
        <v>当年退租面积（平方米）</v>
      </c>
      <c r="L223" t="str">
        <f t="shared" si="50"/>
        <v>华威西营里农产品交易中心|当年退租面积（平方米）|年度</v>
      </c>
      <c r="M223">
        <f>IF($A223="",0,IF(COUNTIF($L$2:$L223,$L223)=1,1,0))</f>
        <v>1</v>
      </c>
      <c r="N223">
        <f t="shared" si="51"/>
        <v>20200</v>
      </c>
      <c r="O223" t="str">
        <f t="shared" si="52"/>
        <v>易方达华威农贸市场封闭式基础设施证券投资基金|2020|年度</v>
      </c>
      <c r="P223">
        <f>IF($A223="",0,IF(COUNTIF($O$2:$O223,$O223)=1,1,0))</f>
        <v>0</v>
      </c>
      <c r="Q223" t="str">
        <f>IF(AND($P223=1,$A223=经营数据!$B$3,$J223=经营数据!$BA$5),COUNTIFS($P$2:$P$3000,1,$A$2:$A$3000,$A223,$J$2:$J$3000,$J223,$N$2:$N$3000,"&lt;"&amp;$N223)+1,"")</f>
        <v/>
      </c>
      <c r="R223" t="str">
        <f t="shared" si="53"/>
        <v>易方达华威农贸市场封闭式基础设施证券投资基金|华威西营里农产品交易中心</v>
      </c>
      <c r="S223">
        <f>IF($A223="",0,IF(COUNTIF($R$2:$R223,$R223)=1,1,0))</f>
        <v>0</v>
      </c>
      <c r="T223">
        <f t="shared" si="54"/>
        <v>204</v>
      </c>
      <c r="U223" t="str">
        <f>IF($A223="","",IF($A223=经营数据!$B$3,COUNTIFS($S$2:$S$3000,1,$A$2:$A$3000,$A223,$T$2:$T$3000,"&lt;"&amp;$T223)+1,""))</f>
        <v/>
      </c>
      <c r="V223" t="str">
        <f t="shared" si="55"/>
        <v>华威西营里农产品交易中心|服务量</v>
      </c>
      <c r="W223">
        <f t="shared" si="56"/>
        <v>221</v>
      </c>
      <c r="X223" t="str">
        <f t="shared" si="57"/>
        <v>华威西营里农产品交易中心|当年退租面积</v>
      </c>
      <c r="Y223">
        <f t="shared" si="58"/>
        <v>222</v>
      </c>
      <c r="Z223">
        <f>IF($A223="",0,IF(AND($M223=1,$A223=经营数据!$B$3,$J223=经营数据!$BA$5,OR($I223=经营数据!$BA$4,COUNTIF(经营数据!$AA$9:$AA$38,$I223)&gt;0)),1,0))</f>
        <v>0</v>
      </c>
      <c r="AA223" t="str">
        <f t="shared" si="59"/>
        <v/>
      </c>
      <c r="AB223" t="str">
        <f t="shared" si="60"/>
        <v/>
      </c>
      <c r="AC223">
        <f>IF($A223="",0,IF(COUNTIF($A$2:$A223,$A223)=1,1,0))</f>
        <v>0</v>
      </c>
      <c r="AD223">
        <f t="shared" si="61"/>
        <v>4</v>
      </c>
      <c r="AE223" t="str">
        <f t="shared" si="62"/>
        <v>华威西营里农产品交易中心|当年退租面积（平方米）</v>
      </c>
      <c r="BA223" t="s">
        <v>5598</v>
      </c>
      <c r="BB223" t="s">
        <v>5599</v>
      </c>
      <c r="BP223" s="47">
        <v>45700</v>
      </c>
      <c r="BQ223" s="29">
        <v>3.9381029771699397E-2</v>
      </c>
    </row>
    <row r="224" spans="1:69" x14ac:dyDescent="0.4">
      <c r="A224" t="str">
        <f>IF(原始经营数据!$D225="","",原始经营数据!$D225)</f>
        <v>易方达华威农贸市场封闭式基础设施证券投资基金</v>
      </c>
      <c r="B224" t="str">
        <f>IF(原始经营数据!$D225="","",T(原始经营数据!$E225))</f>
        <v>华威西营里农产品交易中心</v>
      </c>
      <c r="C224" t="str">
        <f>IF(原始经营数据!$D225="","",原始经营数据!$F225)</f>
        <v>2020</v>
      </c>
      <c r="D224" t="str">
        <f>IF(原始经营数据!$D225="","",原始经营数据!$H225)</f>
        <v>各经营业态平均租金情况</v>
      </c>
      <c r="E224">
        <f>IF(原始经营数据!$D225="","",原始经营数据!$I225)</f>
        <v>198</v>
      </c>
      <c r="F224" t="str">
        <f>IF(原始经营数据!$D225="","",T(原始经营数据!$J225))</f>
        <v>元/平方米/月</v>
      </c>
      <c r="G224" t="str">
        <f>IF(原始经营数据!$D225="","",T(原始经营数据!$K225))</f>
        <v>水产品</v>
      </c>
      <c r="H224" t="str">
        <f>IF(原始经营数据!$D225="","",原始经营数据!$G225)</f>
        <v>服务价格</v>
      </c>
      <c r="I224" t="str">
        <f>IF($A224="","",IF($B224&lt;&gt;"",$B224,IF(COUNTIFS(原始经营数据!$D$3:$D$3001,$A224,原始经营数据!$E$3:$E$3001,"",原始经营数据!$F$3:$F$3001,$C224,原始经营数据!$H$3:$H$3001,$D224,原始经营数据!$K$3:$K$3001,$G224)&gt;1,"基金整体·来源"&amp;原始经营数据!$A225,"基金整体")))</f>
        <v>华威西营里农产品交易中心</v>
      </c>
      <c r="J224" t="str">
        <f t="shared" si="48"/>
        <v>年度</v>
      </c>
      <c r="K224" t="str">
        <f t="shared" si="49"/>
        <v>各经营业态平均租金情况-水产品（元/平方米/月）</v>
      </c>
      <c r="L224" t="str">
        <f t="shared" si="50"/>
        <v>华威西营里农产品交易中心|各经营业态平均租金情况-水产品（元/平方米/月）|年度</v>
      </c>
      <c r="M224">
        <f>IF($A224="",0,IF(COUNTIF($L$2:$L224,$L224)=1,1,0))</f>
        <v>1</v>
      </c>
      <c r="N224">
        <f t="shared" si="51"/>
        <v>20200</v>
      </c>
      <c r="O224" t="str">
        <f t="shared" si="52"/>
        <v>易方达华威农贸市场封闭式基础设施证券投资基金|2020|年度</v>
      </c>
      <c r="P224">
        <f>IF($A224="",0,IF(COUNTIF($O$2:$O224,$O224)=1,1,0))</f>
        <v>0</v>
      </c>
      <c r="Q224" t="str">
        <f>IF(AND($P224=1,$A224=经营数据!$B$3,$J224=经营数据!$BA$5),COUNTIFS($P$2:$P$3000,1,$A$2:$A$3000,$A224,$J$2:$J$3000,$J224,$N$2:$N$3000,"&lt;"&amp;$N224)+1,"")</f>
        <v/>
      </c>
      <c r="R224" t="str">
        <f t="shared" si="53"/>
        <v>易方达华威农贸市场封闭式基础设施证券投资基金|华威西营里农产品交易中心</v>
      </c>
      <c r="S224">
        <f>IF($A224="",0,IF(COUNTIF($R$2:$R224,$R224)=1,1,0))</f>
        <v>0</v>
      </c>
      <c r="T224">
        <f t="shared" si="54"/>
        <v>204</v>
      </c>
      <c r="U224" t="str">
        <f>IF($A224="","",IF($A224=经营数据!$B$3,COUNTIFS($S$2:$S$3000,1,$A$2:$A$3000,$A224,$T$2:$T$3000,"&lt;"&amp;$T224)+1,""))</f>
        <v/>
      </c>
      <c r="V224" t="str">
        <f t="shared" si="55"/>
        <v>华威西营里农产品交易中心|服务价格</v>
      </c>
      <c r="W224">
        <f t="shared" si="56"/>
        <v>204</v>
      </c>
      <c r="X224" t="str">
        <f t="shared" si="57"/>
        <v>华威西营里农产品交易中心|各经营业态平均租金情况</v>
      </c>
      <c r="Y224">
        <f t="shared" si="58"/>
        <v>204</v>
      </c>
      <c r="Z224">
        <f>IF($A224="",0,IF(AND($M224=1,$A224=经营数据!$B$3,$J224=经营数据!$BA$5,OR($I224=经营数据!$BA$4,COUNTIF(经营数据!$AA$9:$AA$38,$I224)&gt;0)),1,0))</f>
        <v>0</v>
      </c>
      <c r="AA224" t="str">
        <f t="shared" si="59"/>
        <v/>
      </c>
      <c r="AB224" t="str">
        <f t="shared" si="60"/>
        <v/>
      </c>
      <c r="AC224">
        <f>IF($A224="",0,IF(COUNTIF($A$2:$A224,$A224)=1,1,0))</f>
        <v>0</v>
      </c>
      <c r="AD224">
        <f t="shared" si="61"/>
        <v>4</v>
      </c>
      <c r="AE224" t="str">
        <f t="shared" si="62"/>
        <v>华威西营里农产品交易中心|各经营业态平均租金情况-水产品（元/平方米/月）</v>
      </c>
      <c r="BA224" t="s">
        <v>5600</v>
      </c>
      <c r="BB224" t="s">
        <v>5601</v>
      </c>
      <c r="BP224" s="47">
        <v>45701</v>
      </c>
      <c r="BQ224" s="29">
        <v>3.9976810190172081E-2</v>
      </c>
    </row>
    <row r="225" spans="1:69" x14ac:dyDescent="0.4">
      <c r="A225" t="str">
        <f>IF(原始经营数据!$D226="","",原始经营数据!$D226)</f>
        <v>易方达华威农贸市场封闭式基础设施证券投资基金</v>
      </c>
      <c r="B225" t="str">
        <f>IF(原始经营数据!$D226="","",T(原始经营数据!$E226))</f>
        <v>华威西营里农产品交易中心</v>
      </c>
      <c r="C225" t="str">
        <f>IF(原始经营数据!$D226="","",原始经营数据!$F226)</f>
        <v>2020</v>
      </c>
      <c r="D225" t="str">
        <f>IF(原始经营数据!$D226="","",原始经营数据!$H226)</f>
        <v>续租租约的租赁面积</v>
      </c>
      <c r="E225">
        <f>IF(原始经营数据!$D226="","",原始经营数据!$I226)</f>
        <v>14013.59</v>
      </c>
      <c r="F225" t="str">
        <f>IF(原始经营数据!$D226="","",T(原始经营数据!$J226))</f>
        <v>平方米</v>
      </c>
      <c r="G225" t="str">
        <f>IF(原始经营数据!$D226="","",T(原始经营数据!$K226))</f>
        <v/>
      </c>
      <c r="H225" t="str">
        <f>IF(原始经营数据!$D226="","",原始经营数据!$G226)</f>
        <v>服务量</v>
      </c>
      <c r="I225" t="str">
        <f>IF($A225="","",IF($B225&lt;&gt;"",$B225,IF(COUNTIFS(原始经营数据!$D$3:$D$3001,$A225,原始经营数据!$E$3:$E$3001,"",原始经营数据!$F$3:$F$3001,$C225,原始经营数据!$H$3:$H$3001,$D225,原始经营数据!$K$3:$K$3001,$G225)&gt;1,"基金整体·来源"&amp;原始经营数据!$A226,"基金整体")))</f>
        <v>华威西营里农产品交易中心</v>
      </c>
      <c r="J225" t="str">
        <f t="shared" si="48"/>
        <v>年度</v>
      </c>
      <c r="K225" t="str">
        <f t="shared" si="49"/>
        <v>续租租约的租赁面积（平方米）</v>
      </c>
      <c r="L225" t="str">
        <f t="shared" si="50"/>
        <v>华威西营里农产品交易中心|续租租约的租赁面积（平方米）|年度</v>
      </c>
      <c r="M225">
        <f>IF($A225="",0,IF(COUNTIF($L$2:$L225,$L225)=1,1,0))</f>
        <v>1</v>
      </c>
      <c r="N225">
        <f t="shared" si="51"/>
        <v>20200</v>
      </c>
      <c r="O225" t="str">
        <f t="shared" si="52"/>
        <v>易方达华威农贸市场封闭式基础设施证券投资基金|2020|年度</v>
      </c>
      <c r="P225">
        <f>IF($A225="",0,IF(COUNTIF($O$2:$O225,$O225)=1,1,0))</f>
        <v>0</v>
      </c>
      <c r="Q225" t="str">
        <f>IF(AND($P225=1,$A225=经营数据!$B$3,$J225=经营数据!$BA$5),COUNTIFS($P$2:$P$3000,1,$A$2:$A$3000,$A225,$J$2:$J$3000,$J225,$N$2:$N$3000,"&lt;"&amp;$N225)+1,"")</f>
        <v/>
      </c>
      <c r="R225" t="str">
        <f t="shared" si="53"/>
        <v>易方达华威农贸市场封闭式基础设施证券投资基金|华威西营里农产品交易中心</v>
      </c>
      <c r="S225">
        <f>IF($A225="",0,IF(COUNTIF($R$2:$R225,$R225)=1,1,0))</f>
        <v>0</v>
      </c>
      <c r="T225">
        <f t="shared" si="54"/>
        <v>204</v>
      </c>
      <c r="U225" t="str">
        <f>IF($A225="","",IF($A225=经营数据!$B$3,COUNTIFS($S$2:$S$3000,1,$A$2:$A$3000,$A225,$T$2:$T$3000,"&lt;"&amp;$T225)+1,""))</f>
        <v/>
      </c>
      <c r="V225" t="str">
        <f t="shared" si="55"/>
        <v>华威西营里农产品交易中心|服务量</v>
      </c>
      <c r="W225">
        <f t="shared" si="56"/>
        <v>221</v>
      </c>
      <c r="X225" t="str">
        <f t="shared" si="57"/>
        <v>华威西营里农产品交易中心|续租租约的租赁面积</v>
      </c>
      <c r="Y225">
        <f t="shared" si="58"/>
        <v>224</v>
      </c>
      <c r="Z225">
        <f>IF($A225="",0,IF(AND($M225=1,$A225=经营数据!$B$3,$J225=经营数据!$BA$5,OR($I225=经营数据!$BA$4,COUNTIF(经营数据!$AA$9:$AA$38,$I225)&gt;0)),1,0))</f>
        <v>0</v>
      </c>
      <c r="AA225" t="str">
        <f t="shared" si="59"/>
        <v/>
      </c>
      <c r="AB225" t="str">
        <f t="shared" si="60"/>
        <v/>
      </c>
      <c r="AC225">
        <f>IF($A225="",0,IF(COUNTIF($A$2:$A225,$A225)=1,1,0))</f>
        <v>0</v>
      </c>
      <c r="AD225">
        <f t="shared" si="61"/>
        <v>4</v>
      </c>
      <c r="AE225" t="str">
        <f t="shared" si="62"/>
        <v>华威西营里农产品交易中心|续租租约的租赁面积（平方米）</v>
      </c>
      <c r="BA225" t="s">
        <v>5602</v>
      </c>
      <c r="BB225" t="s">
        <v>5603</v>
      </c>
      <c r="BP225" s="47">
        <v>45702</v>
      </c>
      <c r="BQ225" s="29">
        <v>3.9719202589203251E-2</v>
      </c>
    </row>
    <row r="226" spans="1:69" x14ac:dyDescent="0.4">
      <c r="A226" t="str">
        <f>IF(原始经营数据!$D227="","",原始经营数据!$D227)</f>
        <v>易方达华威农贸市场封闭式基础设施证券投资基金</v>
      </c>
      <c r="B226" t="str">
        <f>IF(原始经营数据!$D227="","",T(原始经营数据!$E227))</f>
        <v>华威西营里农产品交易中心</v>
      </c>
      <c r="C226" t="str">
        <f>IF(原始经营数据!$D227="","",原始经营数据!$F227)</f>
        <v>2020</v>
      </c>
      <c r="D226" t="str">
        <f>IF(原始经营数据!$D227="","",原始经营数据!$H227)</f>
        <v>到期租约的租赁面积</v>
      </c>
      <c r="E226">
        <f>IF(原始经营数据!$D227="","",原始经营数据!$I227)</f>
        <v>15232.56</v>
      </c>
      <c r="F226" t="str">
        <f>IF(原始经营数据!$D227="","",T(原始经营数据!$J227))</f>
        <v>平方米</v>
      </c>
      <c r="G226" t="str">
        <f>IF(原始经营数据!$D227="","",T(原始经营数据!$K227))</f>
        <v/>
      </c>
      <c r="H226" t="str">
        <f>IF(原始经营数据!$D227="","",原始经营数据!$G227)</f>
        <v>服务量</v>
      </c>
      <c r="I226" t="str">
        <f>IF($A226="","",IF($B226&lt;&gt;"",$B226,IF(COUNTIFS(原始经营数据!$D$3:$D$3001,$A226,原始经营数据!$E$3:$E$3001,"",原始经营数据!$F$3:$F$3001,$C226,原始经营数据!$H$3:$H$3001,$D226,原始经营数据!$K$3:$K$3001,$G226)&gt;1,"基金整体·来源"&amp;原始经营数据!$A227,"基金整体")))</f>
        <v>华威西营里农产品交易中心</v>
      </c>
      <c r="J226" t="str">
        <f t="shared" si="48"/>
        <v>年度</v>
      </c>
      <c r="K226" t="str">
        <f t="shared" si="49"/>
        <v>到期租约的租赁面积（平方米）</v>
      </c>
      <c r="L226" t="str">
        <f t="shared" si="50"/>
        <v>华威西营里农产品交易中心|到期租约的租赁面积（平方米）|年度</v>
      </c>
      <c r="M226">
        <f>IF($A226="",0,IF(COUNTIF($L$2:$L226,$L226)=1,1,0))</f>
        <v>1</v>
      </c>
      <c r="N226">
        <f t="shared" si="51"/>
        <v>20200</v>
      </c>
      <c r="O226" t="str">
        <f t="shared" si="52"/>
        <v>易方达华威农贸市场封闭式基础设施证券投资基金|2020|年度</v>
      </c>
      <c r="P226">
        <f>IF($A226="",0,IF(COUNTIF($O$2:$O226,$O226)=1,1,0))</f>
        <v>0</v>
      </c>
      <c r="Q226" t="str">
        <f>IF(AND($P226=1,$A226=经营数据!$B$3,$J226=经营数据!$BA$5),COUNTIFS($P$2:$P$3000,1,$A$2:$A$3000,$A226,$J$2:$J$3000,$J226,$N$2:$N$3000,"&lt;"&amp;$N226)+1,"")</f>
        <v/>
      </c>
      <c r="R226" t="str">
        <f t="shared" si="53"/>
        <v>易方达华威农贸市场封闭式基础设施证券投资基金|华威西营里农产品交易中心</v>
      </c>
      <c r="S226">
        <f>IF($A226="",0,IF(COUNTIF($R$2:$R226,$R226)=1,1,0))</f>
        <v>0</v>
      </c>
      <c r="T226">
        <f t="shared" si="54"/>
        <v>204</v>
      </c>
      <c r="U226" t="str">
        <f>IF($A226="","",IF($A226=经营数据!$B$3,COUNTIFS($S$2:$S$3000,1,$A$2:$A$3000,$A226,$T$2:$T$3000,"&lt;"&amp;$T226)+1,""))</f>
        <v/>
      </c>
      <c r="V226" t="str">
        <f t="shared" si="55"/>
        <v>华威西营里农产品交易中心|服务量</v>
      </c>
      <c r="W226">
        <f t="shared" si="56"/>
        <v>221</v>
      </c>
      <c r="X226" t="str">
        <f t="shared" si="57"/>
        <v>华威西营里农产品交易中心|到期租约的租赁面积</v>
      </c>
      <c r="Y226">
        <f t="shared" si="58"/>
        <v>225</v>
      </c>
      <c r="Z226">
        <f>IF($A226="",0,IF(AND($M226=1,$A226=经营数据!$B$3,$J226=经营数据!$BA$5,OR($I226=经营数据!$BA$4,COUNTIF(经营数据!$AA$9:$AA$38,$I226)&gt;0)),1,0))</f>
        <v>0</v>
      </c>
      <c r="AA226" t="str">
        <f t="shared" si="59"/>
        <v/>
      </c>
      <c r="AB226" t="str">
        <f t="shared" si="60"/>
        <v/>
      </c>
      <c r="AC226">
        <f>IF($A226="",0,IF(COUNTIF($A$2:$A226,$A226)=1,1,0))</f>
        <v>0</v>
      </c>
      <c r="AD226">
        <f t="shared" si="61"/>
        <v>4</v>
      </c>
      <c r="AE226" t="str">
        <f t="shared" si="62"/>
        <v>华威西营里农产品交易中心|到期租约的租赁面积（平方米）</v>
      </c>
      <c r="BA226" t="s">
        <v>5604</v>
      </c>
      <c r="BB226" t="s">
        <v>5605</v>
      </c>
      <c r="BP226" s="47">
        <v>45705</v>
      </c>
      <c r="BQ226" s="29">
        <v>3.9408715071018112E-2</v>
      </c>
    </row>
    <row r="227" spans="1:69" x14ac:dyDescent="0.4">
      <c r="A227" t="str">
        <f>IF(原始经营数据!$D228="","",原始经营数据!$D228)</f>
        <v>易方达华威农贸市场封闭式基础设施证券投资基金</v>
      </c>
      <c r="B227" t="str">
        <f>IF(原始经营数据!$D228="","",T(原始经营数据!$E228))</f>
        <v>华威西营里农产品交易中心</v>
      </c>
      <c r="C227" t="str">
        <f>IF(原始经营数据!$D228="","",原始经营数据!$F228)</f>
        <v>2021</v>
      </c>
      <c r="D227" t="str">
        <f>IF(原始经营数据!$D228="","",原始经营数据!$H228)</f>
        <v>各经营业态出租率表</v>
      </c>
      <c r="E227">
        <f>IF(原始经营数据!$D228="","",原始经营数据!$I228)</f>
        <v>100</v>
      </c>
      <c r="F227" t="str">
        <f>IF(原始经营数据!$D228="","",T(原始经营数据!$J228))</f>
        <v>%</v>
      </c>
      <c r="G227" t="str">
        <f>IF(原始经营数据!$D228="","",T(原始经营数据!$K228))</f>
        <v>冻品</v>
      </c>
      <c r="H227" t="str">
        <f>IF(原始经营数据!$D228="","",原始经营数据!$G228)</f>
        <v>服务效率</v>
      </c>
      <c r="I227" t="str">
        <f>IF($A227="","",IF($B227&lt;&gt;"",$B227,IF(COUNTIFS(原始经营数据!$D$3:$D$3001,$A227,原始经营数据!$E$3:$E$3001,"",原始经营数据!$F$3:$F$3001,$C227,原始经营数据!$H$3:$H$3001,$D227,原始经营数据!$K$3:$K$3001,$G227)&gt;1,"基金整体·来源"&amp;原始经营数据!$A228,"基金整体")))</f>
        <v>华威西营里农产品交易中心</v>
      </c>
      <c r="J227" t="str">
        <f t="shared" si="48"/>
        <v>年度</v>
      </c>
      <c r="K227" t="str">
        <f t="shared" si="49"/>
        <v>各经营业态出租率表-冻品（%）</v>
      </c>
      <c r="L227" t="str">
        <f t="shared" si="50"/>
        <v>华威西营里农产品交易中心|各经营业态出租率表-冻品（%）|年度</v>
      </c>
      <c r="M227">
        <f>IF($A227="",0,IF(COUNTIF($L$2:$L227,$L227)=1,1,0))</f>
        <v>0</v>
      </c>
      <c r="N227">
        <f t="shared" si="51"/>
        <v>20210</v>
      </c>
      <c r="O227" t="str">
        <f t="shared" si="52"/>
        <v>易方达华威农贸市场封闭式基础设施证券投资基金|2021|年度</v>
      </c>
      <c r="P227">
        <f>IF($A227="",0,IF(COUNTIF($O$2:$O227,$O227)=1,1,0))</f>
        <v>1</v>
      </c>
      <c r="Q227" t="str">
        <f>IF(AND($P227=1,$A227=经营数据!$B$3,$J227=经营数据!$BA$5),COUNTIFS($P$2:$P$3000,1,$A$2:$A$3000,$A227,$J$2:$J$3000,$J227,$N$2:$N$3000,"&lt;"&amp;$N227)+1,"")</f>
        <v/>
      </c>
      <c r="R227" t="str">
        <f t="shared" si="53"/>
        <v>易方达华威农贸市场封闭式基础设施证券投资基金|华威西营里农产品交易中心</v>
      </c>
      <c r="S227">
        <f>IF($A227="",0,IF(COUNTIF($R$2:$R227,$R227)=1,1,0))</f>
        <v>0</v>
      </c>
      <c r="T227">
        <f t="shared" si="54"/>
        <v>204</v>
      </c>
      <c r="U227" t="str">
        <f>IF($A227="","",IF($A227=经营数据!$B$3,COUNTIFS($S$2:$S$3000,1,$A$2:$A$3000,$A227,$T$2:$T$3000,"&lt;"&amp;$T227)+1,""))</f>
        <v/>
      </c>
      <c r="V227" t="str">
        <f t="shared" si="55"/>
        <v>华威西营里农产品交易中心|服务效率</v>
      </c>
      <c r="W227">
        <f t="shared" si="56"/>
        <v>205</v>
      </c>
      <c r="X227" t="str">
        <f t="shared" si="57"/>
        <v>华威西营里农产品交易中心|各经营业态出租率表</v>
      </c>
      <c r="Y227">
        <f t="shared" si="58"/>
        <v>205</v>
      </c>
      <c r="Z227">
        <f>IF($A227="",0,IF(AND($M227=1,$A227=经营数据!$B$3,$J227=经营数据!$BA$5,OR($I227=经营数据!$BA$4,COUNTIF(经营数据!$AA$9:$AA$38,$I227)&gt;0)),1,0))</f>
        <v>0</v>
      </c>
      <c r="AA227" t="str">
        <f t="shared" si="59"/>
        <v/>
      </c>
      <c r="AB227" t="str">
        <f t="shared" si="60"/>
        <v/>
      </c>
      <c r="AC227">
        <f>IF($A227="",0,IF(COUNTIF($A$2:$A227,$A227)=1,1,0))</f>
        <v>0</v>
      </c>
      <c r="AD227">
        <f t="shared" si="61"/>
        <v>4</v>
      </c>
      <c r="AE227" t="str">
        <f t="shared" si="62"/>
        <v>华威西营里农产品交易中心|各经营业态出租率表-冻品（%）</v>
      </c>
      <c r="BA227" t="s">
        <v>5606</v>
      </c>
      <c r="BB227" t="s">
        <v>5607</v>
      </c>
      <c r="BP227" s="47">
        <v>45706</v>
      </c>
      <c r="BQ227" s="29">
        <v>3.9358744540583218E-2</v>
      </c>
    </row>
    <row r="228" spans="1:69" x14ac:dyDescent="0.4">
      <c r="A228" t="str">
        <f>IF(原始经营数据!$D229="","",原始经营数据!$D229)</f>
        <v>易方达华威农贸市场封闭式基础设施证券投资基金</v>
      </c>
      <c r="B228" t="str">
        <f>IF(原始经营数据!$D229="","",T(原始经营数据!$E229))</f>
        <v>华威西营里农产品交易中心</v>
      </c>
      <c r="C228" t="str">
        <f>IF(原始经营数据!$D229="","",原始经营数据!$F229)</f>
        <v>2021</v>
      </c>
      <c r="D228" t="str">
        <f>IF(原始经营数据!$D229="","",原始经营数据!$H229)</f>
        <v>各经营业态出租率表</v>
      </c>
      <c r="E228">
        <f>IF(原始经营数据!$D229="","",原始经营数据!$I229)</f>
        <v>99</v>
      </c>
      <c r="F228" t="str">
        <f>IF(原始经营数据!$D229="","",T(原始经营数据!$J229))</f>
        <v>%</v>
      </c>
      <c r="G228" t="str">
        <f>IF(原始经营数据!$D229="","",T(原始经营数据!$K229))</f>
        <v>水产品</v>
      </c>
      <c r="H228" t="str">
        <f>IF(原始经营数据!$D229="","",原始经营数据!$G229)</f>
        <v>服务效率</v>
      </c>
      <c r="I228" t="str">
        <f>IF($A228="","",IF($B228&lt;&gt;"",$B228,IF(COUNTIFS(原始经营数据!$D$3:$D$3001,$A228,原始经营数据!$E$3:$E$3001,"",原始经营数据!$F$3:$F$3001,$C228,原始经营数据!$H$3:$H$3001,$D228,原始经营数据!$K$3:$K$3001,$G228)&gt;1,"基金整体·来源"&amp;原始经营数据!$A229,"基金整体")))</f>
        <v>华威西营里农产品交易中心</v>
      </c>
      <c r="J228" t="str">
        <f t="shared" si="48"/>
        <v>年度</v>
      </c>
      <c r="K228" t="str">
        <f t="shared" si="49"/>
        <v>各经营业态出租率表-水产品（%）</v>
      </c>
      <c r="L228" t="str">
        <f t="shared" si="50"/>
        <v>华威西营里农产品交易中心|各经营业态出租率表-水产品（%）|年度</v>
      </c>
      <c r="M228">
        <f>IF($A228="",0,IF(COUNTIF($L$2:$L228,$L228)=1,1,0))</f>
        <v>0</v>
      </c>
      <c r="N228">
        <f t="shared" si="51"/>
        <v>20210</v>
      </c>
      <c r="O228" t="str">
        <f t="shared" si="52"/>
        <v>易方达华威农贸市场封闭式基础设施证券投资基金|2021|年度</v>
      </c>
      <c r="P228">
        <f>IF($A228="",0,IF(COUNTIF($O$2:$O228,$O228)=1,1,0))</f>
        <v>0</v>
      </c>
      <c r="Q228" t="str">
        <f>IF(AND($P228=1,$A228=经营数据!$B$3,$J228=经营数据!$BA$5),COUNTIFS($P$2:$P$3000,1,$A$2:$A$3000,$A228,$J$2:$J$3000,$J228,$N$2:$N$3000,"&lt;"&amp;$N228)+1,"")</f>
        <v/>
      </c>
      <c r="R228" t="str">
        <f t="shared" si="53"/>
        <v>易方达华威农贸市场封闭式基础设施证券投资基金|华威西营里农产品交易中心</v>
      </c>
      <c r="S228">
        <f>IF($A228="",0,IF(COUNTIF($R$2:$R228,$R228)=1,1,0))</f>
        <v>0</v>
      </c>
      <c r="T228">
        <f t="shared" si="54"/>
        <v>204</v>
      </c>
      <c r="U228" t="str">
        <f>IF($A228="","",IF($A228=经营数据!$B$3,COUNTIFS($S$2:$S$3000,1,$A$2:$A$3000,$A228,$T$2:$T$3000,"&lt;"&amp;$T228)+1,""))</f>
        <v/>
      </c>
      <c r="V228" t="str">
        <f t="shared" si="55"/>
        <v>华威西营里农产品交易中心|服务效率</v>
      </c>
      <c r="W228">
        <f t="shared" si="56"/>
        <v>205</v>
      </c>
      <c r="X228" t="str">
        <f t="shared" si="57"/>
        <v>华威西营里农产品交易中心|各经营业态出租率表</v>
      </c>
      <c r="Y228">
        <f t="shared" si="58"/>
        <v>205</v>
      </c>
      <c r="Z228">
        <f>IF($A228="",0,IF(AND($M228=1,$A228=经营数据!$B$3,$J228=经营数据!$BA$5,OR($I228=经营数据!$BA$4,COUNTIF(经营数据!$AA$9:$AA$38,$I228)&gt;0)),1,0))</f>
        <v>0</v>
      </c>
      <c r="AA228" t="str">
        <f t="shared" si="59"/>
        <v/>
      </c>
      <c r="AB228" t="str">
        <f t="shared" si="60"/>
        <v/>
      </c>
      <c r="AC228">
        <f>IF($A228="",0,IF(COUNTIF($A$2:$A228,$A228)=1,1,0))</f>
        <v>0</v>
      </c>
      <c r="AD228">
        <f t="shared" si="61"/>
        <v>4</v>
      </c>
      <c r="AE228" t="str">
        <f t="shared" si="62"/>
        <v>华威西营里农产品交易中心|各经营业态出租率表-水产品（%）</v>
      </c>
      <c r="BA228" t="s">
        <v>5608</v>
      </c>
      <c r="BB228" t="s">
        <v>5609</v>
      </c>
      <c r="BP228" s="47">
        <v>45707</v>
      </c>
      <c r="BQ228" s="29">
        <v>3.926629709740373E-2</v>
      </c>
    </row>
    <row r="229" spans="1:69" x14ac:dyDescent="0.4">
      <c r="A229" t="str">
        <f>IF(原始经营数据!$D230="","",原始经营数据!$D230)</f>
        <v>易方达华威农贸市场封闭式基础设施证券投资基金</v>
      </c>
      <c r="B229" t="str">
        <f>IF(原始经营数据!$D230="","",T(原始经营数据!$E230))</f>
        <v>华威西营里农产品交易中心</v>
      </c>
      <c r="C229" t="str">
        <f>IF(原始经营数据!$D230="","",原始经营数据!$F230)</f>
        <v>2021</v>
      </c>
      <c r="D229" t="str">
        <f>IF(原始经营数据!$D230="","",原始经营数据!$H230)</f>
        <v>各经营业态出租率表</v>
      </c>
      <c r="E229">
        <f>IF(原始经营数据!$D230="","",原始经营数据!$I230)</f>
        <v>100</v>
      </c>
      <c r="F229" t="str">
        <f>IF(原始经营数据!$D230="","",T(原始经营数据!$J230))</f>
        <v>%</v>
      </c>
      <c r="G229" t="str">
        <f>IF(原始经营数据!$D230="","",T(原始经营数据!$K230))</f>
        <v>电商直播基地</v>
      </c>
      <c r="H229" t="str">
        <f>IF(原始经营数据!$D230="","",原始经营数据!$G230)</f>
        <v>服务效率</v>
      </c>
      <c r="I229" t="str">
        <f>IF($A229="","",IF($B229&lt;&gt;"",$B229,IF(COUNTIFS(原始经营数据!$D$3:$D$3001,$A229,原始经营数据!$E$3:$E$3001,"",原始经营数据!$F$3:$F$3001,$C229,原始经营数据!$H$3:$H$3001,$D229,原始经营数据!$K$3:$K$3001,$G229)&gt;1,"基金整体·来源"&amp;原始经营数据!$A230,"基金整体")))</f>
        <v>华威西营里农产品交易中心</v>
      </c>
      <c r="J229" t="str">
        <f t="shared" si="48"/>
        <v>年度</v>
      </c>
      <c r="K229" t="str">
        <f t="shared" si="49"/>
        <v>各经营业态出租率表-电商直播基地（%）</v>
      </c>
      <c r="L229" t="str">
        <f t="shared" si="50"/>
        <v>华威西营里农产品交易中心|各经营业态出租率表-电商直播基地（%）|年度</v>
      </c>
      <c r="M229">
        <f>IF($A229="",0,IF(COUNTIF($L$2:$L229,$L229)=1,1,0))</f>
        <v>0</v>
      </c>
      <c r="N229">
        <f t="shared" si="51"/>
        <v>20210</v>
      </c>
      <c r="O229" t="str">
        <f t="shared" si="52"/>
        <v>易方达华威农贸市场封闭式基础设施证券投资基金|2021|年度</v>
      </c>
      <c r="P229">
        <f>IF($A229="",0,IF(COUNTIF($O$2:$O229,$O229)=1,1,0))</f>
        <v>0</v>
      </c>
      <c r="Q229" t="str">
        <f>IF(AND($P229=1,$A229=经营数据!$B$3,$J229=经营数据!$BA$5),COUNTIFS($P$2:$P$3000,1,$A$2:$A$3000,$A229,$J$2:$J$3000,$J229,$N$2:$N$3000,"&lt;"&amp;$N229)+1,"")</f>
        <v/>
      </c>
      <c r="R229" t="str">
        <f t="shared" si="53"/>
        <v>易方达华威农贸市场封闭式基础设施证券投资基金|华威西营里农产品交易中心</v>
      </c>
      <c r="S229">
        <f>IF($A229="",0,IF(COUNTIF($R$2:$R229,$R229)=1,1,0))</f>
        <v>0</v>
      </c>
      <c r="T229">
        <f t="shared" si="54"/>
        <v>204</v>
      </c>
      <c r="U229" t="str">
        <f>IF($A229="","",IF($A229=经营数据!$B$3,COUNTIFS($S$2:$S$3000,1,$A$2:$A$3000,$A229,$T$2:$T$3000,"&lt;"&amp;$T229)+1,""))</f>
        <v/>
      </c>
      <c r="V229" t="str">
        <f t="shared" si="55"/>
        <v>华威西营里农产品交易中心|服务效率</v>
      </c>
      <c r="W229">
        <f t="shared" si="56"/>
        <v>205</v>
      </c>
      <c r="X229" t="str">
        <f t="shared" si="57"/>
        <v>华威西营里农产品交易中心|各经营业态出租率表</v>
      </c>
      <c r="Y229">
        <f t="shared" si="58"/>
        <v>205</v>
      </c>
      <c r="Z229">
        <f>IF($A229="",0,IF(AND($M229=1,$A229=经营数据!$B$3,$J229=经营数据!$BA$5,OR($I229=经营数据!$BA$4,COUNTIF(经营数据!$AA$9:$AA$38,$I229)&gt;0)),1,0))</f>
        <v>0</v>
      </c>
      <c r="AA229" t="str">
        <f t="shared" si="59"/>
        <v/>
      </c>
      <c r="AB229" t="str">
        <f t="shared" si="60"/>
        <v/>
      </c>
      <c r="AC229">
        <f>IF($A229="",0,IF(COUNTIF($A$2:$A229,$A229)=1,1,0))</f>
        <v>0</v>
      </c>
      <c r="AD229">
        <f t="shared" si="61"/>
        <v>4</v>
      </c>
      <c r="AE229" t="str">
        <f t="shared" si="62"/>
        <v>华威西营里农产品交易中心|各经营业态出租率表-电商直播基地（%）</v>
      </c>
      <c r="BA229" t="s">
        <v>5610</v>
      </c>
      <c r="BB229" t="s">
        <v>5512</v>
      </c>
      <c r="BP229" s="47">
        <v>45708</v>
      </c>
      <c r="BQ229" s="29">
        <v>3.9222693545422592E-2</v>
      </c>
    </row>
    <row r="230" spans="1:69" x14ac:dyDescent="0.4">
      <c r="A230" t="str">
        <f>IF(原始经营数据!$D231="","",原始经营数据!$D231)</f>
        <v>易方达华威农贸市场封闭式基础设施证券投资基金</v>
      </c>
      <c r="B230" t="str">
        <f>IF(原始经营数据!$D231="","",T(原始经营数据!$E231))</f>
        <v>华威西营里农产品交易中心</v>
      </c>
      <c r="C230" t="str">
        <f>IF(原始经营数据!$D231="","",原始经营数据!$F231)</f>
        <v>2021</v>
      </c>
      <c r="D230" t="str">
        <f>IF(原始经营数据!$D231="","",原始经营数据!$H231)</f>
        <v>各经营业态出租率表</v>
      </c>
      <c r="E230">
        <f>IF(原始经营数据!$D231="","",原始经营数据!$I231)</f>
        <v>100</v>
      </c>
      <c r="F230" t="str">
        <f>IF(原始经营数据!$D231="","",T(原始经营数据!$J231))</f>
        <v>%</v>
      </c>
      <c r="G230" t="str">
        <f>IF(原始经营数据!$D231="","",T(原始经营数据!$K231))</f>
        <v>肉禽</v>
      </c>
      <c r="H230" t="str">
        <f>IF(原始经营数据!$D231="","",原始经营数据!$G231)</f>
        <v>服务效率</v>
      </c>
      <c r="I230" t="str">
        <f>IF($A230="","",IF($B230&lt;&gt;"",$B230,IF(COUNTIFS(原始经营数据!$D$3:$D$3001,$A230,原始经营数据!$E$3:$E$3001,"",原始经营数据!$F$3:$F$3001,$C230,原始经营数据!$H$3:$H$3001,$D230,原始经营数据!$K$3:$K$3001,$G230)&gt;1,"基金整体·来源"&amp;原始经营数据!$A231,"基金整体")))</f>
        <v>华威西营里农产品交易中心</v>
      </c>
      <c r="J230" t="str">
        <f t="shared" si="48"/>
        <v>年度</v>
      </c>
      <c r="K230" t="str">
        <f t="shared" si="49"/>
        <v>各经营业态出租率表-肉禽（%）</v>
      </c>
      <c r="L230" t="str">
        <f t="shared" si="50"/>
        <v>华威西营里农产品交易中心|各经营业态出租率表-肉禽（%）|年度</v>
      </c>
      <c r="M230">
        <f>IF($A230="",0,IF(COUNTIF($L$2:$L230,$L230)=1,1,0))</f>
        <v>0</v>
      </c>
      <c r="N230">
        <f t="shared" si="51"/>
        <v>20210</v>
      </c>
      <c r="O230" t="str">
        <f t="shared" si="52"/>
        <v>易方达华威农贸市场封闭式基础设施证券投资基金|2021|年度</v>
      </c>
      <c r="P230">
        <f>IF($A230="",0,IF(COUNTIF($O$2:$O230,$O230)=1,1,0))</f>
        <v>0</v>
      </c>
      <c r="Q230" t="str">
        <f>IF(AND($P230=1,$A230=经营数据!$B$3,$J230=经营数据!$BA$5),COUNTIFS($P$2:$P$3000,1,$A$2:$A$3000,$A230,$J$2:$J$3000,$J230,$N$2:$N$3000,"&lt;"&amp;$N230)+1,"")</f>
        <v/>
      </c>
      <c r="R230" t="str">
        <f t="shared" si="53"/>
        <v>易方达华威农贸市场封闭式基础设施证券投资基金|华威西营里农产品交易中心</v>
      </c>
      <c r="S230">
        <f>IF($A230="",0,IF(COUNTIF($R$2:$R230,$R230)=1,1,0))</f>
        <v>0</v>
      </c>
      <c r="T230">
        <f t="shared" si="54"/>
        <v>204</v>
      </c>
      <c r="U230" t="str">
        <f>IF($A230="","",IF($A230=经营数据!$B$3,COUNTIFS($S$2:$S$3000,1,$A$2:$A$3000,$A230,$T$2:$T$3000,"&lt;"&amp;$T230)+1,""))</f>
        <v/>
      </c>
      <c r="V230" t="str">
        <f t="shared" si="55"/>
        <v>华威西营里农产品交易中心|服务效率</v>
      </c>
      <c r="W230">
        <f t="shared" si="56"/>
        <v>205</v>
      </c>
      <c r="X230" t="str">
        <f t="shared" si="57"/>
        <v>华威西营里农产品交易中心|各经营业态出租率表</v>
      </c>
      <c r="Y230">
        <f t="shared" si="58"/>
        <v>205</v>
      </c>
      <c r="Z230">
        <f>IF($A230="",0,IF(AND($M230=1,$A230=经营数据!$B$3,$J230=经营数据!$BA$5,OR($I230=经营数据!$BA$4,COUNTIF(经营数据!$AA$9:$AA$38,$I230)&gt;0)),1,0))</f>
        <v>0</v>
      </c>
      <c r="AA230" t="str">
        <f t="shared" si="59"/>
        <v/>
      </c>
      <c r="AB230" t="str">
        <f t="shared" si="60"/>
        <v/>
      </c>
      <c r="AC230">
        <f>IF($A230="",0,IF(COUNTIF($A$2:$A230,$A230)=1,1,0))</f>
        <v>0</v>
      </c>
      <c r="AD230">
        <f t="shared" si="61"/>
        <v>4</v>
      </c>
      <c r="AE230" t="str">
        <f t="shared" si="62"/>
        <v>华威西营里农产品交易中心|各经营业态出租率表-肉禽（%）</v>
      </c>
      <c r="BA230" t="s">
        <v>5611</v>
      </c>
      <c r="BB230" t="s">
        <v>5612</v>
      </c>
      <c r="BP230" s="47">
        <v>45709</v>
      </c>
      <c r="BQ230" s="29">
        <v>3.9115804509223973E-2</v>
      </c>
    </row>
    <row r="231" spans="1:69" x14ac:dyDescent="0.4">
      <c r="A231" t="str">
        <f>IF(原始经营数据!$D232="","",原始经营数据!$D232)</f>
        <v>易方达华威农贸市场封闭式基础设施证券投资基金</v>
      </c>
      <c r="B231" t="str">
        <f>IF(原始经营数据!$D232="","",T(原始经营数据!$E232))</f>
        <v>华威西营里农产品交易中心</v>
      </c>
      <c r="C231" t="str">
        <f>IF(原始经营数据!$D232="","",原始经营数据!$F232)</f>
        <v>2021</v>
      </c>
      <c r="D231" t="str">
        <f>IF(原始经营数据!$D232="","",原始经营数据!$H232)</f>
        <v>各经营业态出租率表</v>
      </c>
      <c r="E231">
        <f>IF(原始经营数据!$D232="","",原始经营数据!$I232)</f>
        <v>100</v>
      </c>
      <c r="F231" t="str">
        <f>IF(原始经营数据!$D232="","",T(原始经营数据!$J232))</f>
        <v>%</v>
      </c>
      <c r="G231" t="str">
        <f>IF(原始经营数据!$D232="","",T(原始经营数据!$K232))</f>
        <v>商业配套</v>
      </c>
      <c r="H231" t="str">
        <f>IF(原始经营数据!$D232="","",原始经营数据!$G232)</f>
        <v>服务效率</v>
      </c>
      <c r="I231" t="str">
        <f>IF($A231="","",IF($B231&lt;&gt;"",$B231,IF(COUNTIFS(原始经营数据!$D$3:$D$3001,$A231,原始经营数据!$E$3:$E$3001,"",原始经营数据!$F$3:$F$3001,$C231,原始经营数据!$H$3:$H$3001,$D231,原始经营数据!$K$3:$K$3001,$G231)&gt;1,"基金整体·来源"&amp;原始经营数据!$A232,"基金整体")))</f>
        <v>华威西营里农产品交易中心</v>
      </c>
      <c r="J231" t="str">
        <f t="shared" si="48"/>
        <v>年度</v>
      </c>
      <c r="K231" t="str">
        <f t="shared" si="49"/>
        <v>各经营业态出租率表-商业配套（%）</v>
      </c>
      <c r="L231" t="str">
        <f t="shared" si="50"/>
        <v>华威西营里农产品交易中心|各经营业态出租率表-商业配套（%）|年度</v>
      </c>
      <c r="M231">
        <f>IF($A231="",0,IF(COUNTIF($L$2:$L231,$L231)=1,1,0))</f>
        <v>0</v>
      </c>
      <c r="N231">
        <f t="shared" si="51"/>
        <v>20210</v>
      </c>
      <c r="O231" t="str">
        <f t="shared" si="52"/>
        <v>易方达华威农贸市场封闭式基础设施证券投资基金|2021|年度</v>
      </c>
      <c r="P231">
        <f>IF($A231="",0,IF(COUNTIF($O$2:$O231,$O231)=1,1,0))</f>
        <v>0</v>
      </c>
      <c r="Q231" t="str">
        <f>IF(AND($P231=1,$A231=经营数据!$B$3,$J231=经营数据!$BA$5),COUNTIFS($P$2:$P$3000,1,$A$2:$A$3000,$A231,$J$2:$J$3000,$J231,$N$2:$N$3000,"&lt;"&amp;$N231)+1,"")</f>
        <v/>
      </c>
      <c r="R231" t="str">
        <f t="shared" si="53"/>
        <v>易方达华威农贸市场封闭式基础设施证券投资基金|华威西营里农产品交易中心</v>
      </c>
      <c r="S231">
        <f>IF($A231="",0,IF(COUNTIF($R$2:$R231,$R231)=1,1,0))</f>
        <v>0</v>
      </c>
      <c r="T231">
        <f t="shared" si="54"/>
        <v>204</v>
      </c>
      <c r="U231" t="str">
        <f>IF($A231="","",IF($A231=经营数据!$B$3,COUNTIFS($S$2:$S$3000,1,$A$2:$A$3000,$A231,$T$2:$T$3000,"&lt;"&amp;$T231)+1,""))</f>
        <v/>
      </c>
      <c r="V231" t="str">
        <f t="shared" si="55"/>
        <v>华威西营里农产品交易中心|服务效率</v>
      </c>
      <c r="W231">
        <f t="shared" si="56"/>
        <v>205</v>
      </c>
      <c r="X231" t="str">
        <f t="shared" si="57"/>
        <v>华威西营里农产品交易中心|各经营业态出租率表</v>
      </c>
      <c r="Y231">
        <f t="shared" si="58"/>
        <v>205</v>
      </c>
      <c r="Z231">
        <f>IF($A231="",0,IF(AND($M231=1,$A231=经营数据!$B$3,$J231=经营数据!$BA$5,OR($I231=经营数据!$BA$4,COUNTIF(经营数据!$AA$9:$AA$38,$I231)&gt;0)),1,0))</f>
        <v>0</v>
      </c>
      <c r="AA231" t="str">
        <f t="shared" si="59"/>
        <v/>
      </c>
      <c r="AB231" t="str">
        <f t="shared" si="60"/>
        <v/>
      </c>
      <c r="AC231">
        <f>IF($A231="",0,IF(COUNTIF($A$2:$A231,$A231)=1,1,0))</f>
        <v>0</v>
      </c>
      <c r="AD231">
        <f t="shared" si="61"/>
        <v>4</v>
      </c>
      <c r="AE231" t="str">
        <f t="shared" si="62"/>
        <v>华威西营里农产品交易中心|各经营业态出租率表-商业配套（%）</v>
      </c>
      <c r="BA231" t="s">
        <v>5613</v>
      </c>
      <c r="BB231" t="s">
        <v>5614</v>
      </c>
      <c r="BP231" s="47">
        <v>45712</v>
      </c>
      <c r="BQ231" s="29">
        <v>3.936933375763018E-2</v>
      </c>
    </row>
    <row r="232" spans="1:69" x14ac:dyDescent="0.4">
      <c r="A232" t="str">
        <f>IF(原始经营数据!$D233="","",原始经营数据!$D233)</f>
        <v>易方达华威农贸市场封闭式基础设施证券投资基金</v>
      </c>
      <c r="B232" t="str">
        <f>IF(原始经营数据!$D233="","",T(原始经营数据!$E233))</f>
        <v>华威西营里农产品交易中心</v>
      </c>
      <c r="C232" t="str">
        <f>IF(原始经营数据!$D233="","",原始经营数据!$F233)</f>
        <v>2021</v>
      </c>
      <c r="D232" t="str">
        <f>IF(原始经营数据!$D233="","",原始经营数据!$H233)</f>
        <v>各经营业态出租率表</v>
      </c>
      <c r="E232">
        <f>IF(原始经营数据!$D233="","",原始经营数据!$I233)</f>
        <v>100</v>
      </c>
      <c r="F232" t="str">
        <f>IF(原始经营数据!$D233="","",T(原始经营数据!$J233))</f>
        <v>%</v>
      </c>
      <c r="G232" t="str">
        <f>IF(原始经营数据!$D233="","",T(原始经营数据!$K233))</f>
        <v>蔬果</v>
      </c>
      <c r="H232" t="str">
        <f>IF(原始经营数据!$D233="","",原始经营数据!$G233)</f>
        <v>服务效率</v>
      </c>
      <c r="I232" t="str">
        <f>IF($A232="","",IF($B232&lt;&gt;"",$B232,IF(COUNTIFS(原始经营数据!$D$3:$D$3001,$A232,原始经营数据!$E$3:$E$3001,"",原始经营数据!$F$3:$F$3001,$C232,原始经营数据!$H$3:$H$3001,$D232,原始经营数据!$K$3:$K$3001,$G232)&gt;1,"基金整体·来源"&amp;原始经营数据!$A233,"基金整体")))</f>
        <v>华威西营里农产品交易中心</v>
      </c>
      <c r="J232" t="str">
        <f t="shared" si="48"/>
        <v>年度</v>
      </c>
      <c r="K232" t="str">
        <f t="shared" si="49"/>
        <v>各经营业态出租率表-蔬果（%）</v>
      </c>
      <c r="L232" t="str">
        <f t="shared" si="50"/>
        <v>华威西营里农产品交易中心|各经营业态出租率表-蔬果（%）|年度</v>
      </c>
      <c r="M232">
        <f>IF($A232="",0,IF(COUNTIF($L$2:$L232,$L232)=1,1,0))</f>
        <v>0</v>
      </c>
      <c r="N232">
        <f t="shared" si="51"/>
        <v>20210</v>
      </c>
      <c r="O232" t="str">
        <f t="shared" si="52"/>
        <v>易方达华威农贸市场封闭式基础设施证券投资基金|2021|年度</v>
      </c>
      <c r="P232">
        <f>IF($A232="",0,IF(COUNTIF($O$2:$O232,$O232)=1,1,0))</f>
        <v>0</v>
      </c>
      <c r="Q232" t="str">
        <f>IF(AND($P232=1,$A232=经营数据!$B$3,$J232=经营数据!$BA$5),COUNTIFS($P$2:$P$3000,1,$A$2:$A$3000,$A232,$J$2:$J$3000,$J232,$N$2:$N$3000,"&lt;"&amp;$N232)+1,"")</f>
        <v/>
      </c>
      <c r="R232" t="str">
        <f t="shared" si="53"/>
        <v>易方达华威农贸市场封闭式基础设施证券投资基金|华威西营里农产品交易中心</v>
      </c>
      <c r="S232">
        <f>IF($A232="",0,IF(COUNTIF($R$2:$R232,$R232)=1,1,0))</f>
        <v>0</v>
      </c>
      <c r="T232">
        <f t="shared" si="54"/>
        <v>204</v>
      </c>
      <c r="U232" t="str">
        <f>IF($A232="","",IF($A232=经营数据!$B$3,COUNTIFS($S$2:$S$3000,1,$A$2:$A$3000,$A232,$T$2:$T$3000,"&lt;"&amp;$T232)+1,""))</f>
        <v/>
      </c>
      <c r="V232" t="str">
        <f t="shared" si="55"/>
        <v>华威西营里农产品交易中心|服务效率</v>
      </c>
      <c r="W232">
        <f t="shared" si="56"/>
        <v>205</v>
      </c>
      <c r="X232" t="str">
        <f t="shared" si="57"/>
        <v>华威西营里农产品交易中心|各经营业态出租率表</v>
      </c>
      <c r="Y232">
        <f t="shared" si="58"/>
        <v>205</v>
      </c>
      <c r="Z232">
        <f>IF($A232="",0,IF(AND($M232=1,$A232=经营数据!$B$3,$J232=经营数据!$BA$5,OR($I232=经营数据!$BA$4,COUNTIF(经营数据!$AA$9:$AA$38,$I232)&gt;0)),1,0))</f>
        <v>0</v>
      </c>
      <c r="AA232" t="str">
        <f t="shared" si="59"/>
        <v/>
      </c>
      <c r="AB232" t="str">
        <f t="shared" si="60"/>
        <v/>
      </c>
      <c r="AC232">
        <f>IF($A232="",0,IF(COUNTIF($A$2:$A232,$A232)=1,1,0))</f>
        <v>0</v>
      </c>
      <c r="AD232">
        <f t="shared" si="61"/>
        <v>4</v>
      </c>
      <c r="AE232" t="str">
        <f t="shared" si="62"/>
        <v>华威西营里农产品交易中心|各经营业态出租率表-蔬果（%）</v>
      </c>
      <c r="BA232" t="s">
        <v>5615</v>
      </c>
      <c r="BB232" t="s">
        <v>5616</v>
      </c>
      <c r="BP232" s="47">
        <v>45713</v>
      </c>
      <c r="BQ232" s="29">
        <v>3.960861936970507E-2</v>
      </c>
    </row>
    <row r="233" spans="1:69" x14ac:dyDescent="0.4">
      <c r="A233" t="str">
        <f>IF(原始经营数据!$D234="","",原始经营数据!$D234)</f>
        <v>易方达华威农贸市场封闭式基础设施证券投资基金</v>
      </c>
      <c r="B233" t="str">
        <f>IF(原始经营数据!$D234="","",T(原始经营数据!$E234))</f>
        <v>华威西营里农产品交易中心</v>
      </c>
      <c r="C233" t="str">
        <f>IF(原始经营数据!$D234="","",原始经营数据!$F234)</f>
        <v>2021</v>
      </c>
      <c r="D233" t="str">
        <f>IF(原始经营数据!$D234="","",原始经营数据!$H234)</f>
        <v>其他收
入</v>
      </c>
      <c r="E233">
        <f>IF(原始经营数据!$D234="","",原始经营数据!$I234)</f>
        <v>827.36</v>
      </c>
      <c r="F233" t="str">
        <f>IF(原始经营数据!$D234="","",T(原始经营数据!$J234))</f>
        <v>万元</v>
      </c>
      <c r="G233" t="str">
        <f>IF(原始经营数据!$D234="","",T(原始经营数据!$K234))</f>
        <v/>
      </c>
      <c r="H233" t="str">
        <f>IF(原始经营数据!$D234="","",原始经营数据!$G234)</f>
        <v>服务金额</v>
      </c>
      <c r="I233" t="str">
        <f>IF($A233="","",IF($B233&lt;&gt;"",$B233,IF(COUNTIFS(原始经营数据!$D$3:$D$3001,$A233,原始经营数据!$E$3:$E$3001,"",原始经营数据!$F$3:$F$3001,$C233,原始经营数据!$H$3:$H$3001,$D233,原始经营数据!$K$3:$K$3001,$G233)&gt;1,"基金整体·来源"&amp;原始经营数据!$A234,"基金整体")))</f>
        <v>华威西营里农产品交易中心</v>
      </c>
      <c r="J233" t="str">
        <f t="shared" si="48"/>
        <v>年度</v>
      </c>
      <c r="K233" t="str">
        <f t="shared" si="49"/>
        <v>其他收
入（万元）</v>
      </c>
      <c r="L233" t="str">
        <f t="shared" si="50"/>
        <v>华威西营里农产品交易中心|其他收
入（万元）|年度</v>
      </c>
      <c r="M233">
        <f>IF($A233="",0,IF(COUNTIF($L$2:$L233,$L233)=1,1,0))</f>
        <v>1</v>
      </c>
      <c r="N233">
        <f t="shared" si="51"/>
        <v>20210</v>
      </c>
      <c r="O233" t="str">
        <f t="shared" si="52"/>
        <v>易方达华威农贸市场封闭式基础设施证券投资基金|2021|年度</v>
      </c>
      <c r="P233">
        <f>IF($A233="",0,IF(COUNTIF($O$2:$O233,$O233)=1,1,0))</f>
        <v>0</v>
      </c>
      <c r="Q233" t="str">
        <f>IF(AND($P233=1,$A233=经营数据!$B$3,$J233=经营数据!$BA$5),COUNTIFS($P$2:$P$3000,1,$A$2:$A$3000,$A233,$J$2:$J$3000,$J233,$N$2:$N$3000,"&lt;"&amp;$N233)+1,"")</f>
        <v/>
      </c>
      <c r="R233" t="str">
        <f t="shared" si="53"/>
        <v>易方达华威农贸市场封闭式基础设施证券投资基金|华威西营里农产品交易中心</v>
      </c>
      <c r="S233">
        <f>IF($A233="",0,IF(COUNTIF($R$2:$R233,$R233)=1,1,0))</f>
        <v>0</v>
      </c>
      <c r="T233">
        <f t="shared" si="54"/>
        <v>204</v>
      </c>
      <c r="U233" t="str">
        <f>IF($A233="","",IF($A233=经营数据!$B$3,COUNTIFS($S$2:$S$3000,1,$A$2:$A$3000,$A233,$T$2:$T$3000,"&lt;"&amp;$T233)+1,""))</f>
        <v/>
      </c>
      <c r="V233" t="str">
        <f t="shared" si="55"/>
        <v>华威西营里农产品交易中心|服务金额</v>
      </c>
      <c r="W233">
        <f t="shared" si="56"/>
        <v>232</v>
      </c>
      <c r="X233" t="str">
        <f t="shared" si="57"/>
        <v>华威西营里农产品交易中心|其他收
入</v>
      </c>
      <c r="Y233">
        <f t="shared" si="58"/>
        <v>232</v>
      </c>
      <c r="Z233">
        <f>IF($A233="",0,IF(AND($M233=1,$A233=经营数据!$B$3,$J233=经营数据!$BA$5,OR($I233=经营数据!$BA$4,COUNTIF(经营数据!$AA$9:$AA$38,$I233)&gt;0)),1,0))</f>
        <v>0</v>
      </c>
      <c r="AA233" t="str">
        <f t="shared" si="59"/>
        <v/>
      </c>
      <c r="AB233" t="str">
        <f t="shared" si="60"/>
        <v/>
      </c>
      <c r="AC233">
        <f>IF($A233="",0,IF(COUNTIF($A$2:$A233,$A233)=1,1,0))</f>
        <v>0</v>
      </c>
      <c r="AD233">
        <f t="shared" si="61"/>
        <v>4</v>
      </c>
      <c r="AE233" t="str">
        <f t="shared" si="62"/>
        <v>华威西营里农产品交易中心|其他收
入（万元）</v>
      </c>
      <c r="BA233" t="s">
        <v>5617</v>
      </c>
      <c r="BB233" t="s">
        <v>5618</v>
      </c>
      <c r="BP233" s="47">
        <v>45714</v>
      </c>
      <c r="BQ233" s="29">
        <v>3.9535793567934768E-2</v>
      </c>
    </row>
    <row r="234" spans="1:69" x14ac:dyDescent="0.4">
      <c r="A234" t="str">
        <f>IF(原始经营数据!$D235="","",原始经营数据!$D235)</f>
        <v>易方达华威农贸市场封闭式基础设施证券投资基金</v>
      </c>
      <c r="B234" t="str">
        <f>IF(原始经营数据!$D235="","",T(原始经营数据!$E235))</f>
        <v>华威西营里农产品交易中心</v>
      </c>
      <c r="C234" t="str">
        <f>IF(原始经营数据!$D235="","",原始经营数据!$F235)</f>
        <v>2021</v>
      </c>
      <c r="D234" t="str">
        <f>IF(原始经营数据!$D235="","",原始经营数据!$H235)</f>
        <v>租金物
业收入</v>
      </c>
      <c r="E234">
        <f>IF(原始经营数据!$D235="","",原始经营数据!$I235)</f>
        <v>6809.96</v>
      </c>
      <c r="F234" t="str">
        <f>IF(原始经营数据!$D235="","",T(原始经营数据!$J235))</f>
        <v>万元</v>
      </c>
      <c r="G234" t="str">
        <f>IF(原始经营数据!$D235="","",T(原始经营数据!$K235))</f>
        <v/>
      </c>
      <c r="H234" t="str">
        <f>IF(原始经营数据!$D235="","",原始经营数据!$G235)</f>
        <v>服务金额</v>
      </c>
      <c r="I234" t="str">
        <f>IF($A234="","",IF($B234&lt;&gt;"",$B234,IF(COUNTIFS(原始经营数据!$D$3:$D$3001,$A234,原始经营数据!$E$3:$E$3001,"",原始经营数据!$F$3:$F$3001,$C234,原始经营数据!$H$3:$H$3001,$D234,原始经营数据!$K$3:$K$3001,$G234)&gt;1,"基金整体·来源"&amp;原始经营数据!$A235,"基金整体")))</f>
        <v>华威西营里农产品交易中心</v>
      </c>
      <c r="J234" t="str">
        <f t="shared" si="48"/>
        <v>年度</v>
      </c>
      <c r="K234" t="str">
        <f t="shared" si="49"/>
        <v>租金物
业收入（万元）</v>
      </c>
      <c r="L234" t="str">
        <f t="shared" si="50"/>
        <v>华威西营里农产品交易中心|租金物
业收入（万元）|年度</v>
      </c>
      <c r="M234">
        <f>IF($A234="",0,IF(COUNTIF($L$2:$L234,$L234)=1,1,0))</f>
        <v>1</v>
      </c>
      <c r="N234">
        <f t="shared" si="51"/>
        <v>20210</v>
      </c>
      <c r="O234" t="str">
        <f t="shared" si="52"/>
        <v>易方达华威农贸市场封闭式基础设施证券投资基金|2021|年度</v>
      </c>
      <c r="P234">
        <f>IF($A234="",0,IF(COUNTIF($O$2:$O234,$O234)=1,1,0))</f>
        <v>0</v>
      </c>
      <c r="Q234" t="str">
        <f>IF(AND($P234=1,$A234=经营数据!$B$3,$J234=经营数据!$BA$5),COUNTIFS($P$2:$P$3000,1,$A$2:$A$3000,$A234,$J$2:$J$3000,$J234,$N$2:$N$3000,"&lt;"&amp;$N234)+1,"")</f>
        <v/>
      </c>
      <c r="R234" t="str">
        <f t="shared" si="53"/>
        <v>易方达华威农贸市场封闭式基础设施证券投资基金|华威西营里农产品交易中心</v>
      </c>
      <c r="S234">
        <f>IF($A234="",0,IF(COUNTIF($R$2:$R234,$R234)=1,1,0))</f>
        <v>0</v>
      </c>
      <c r="T234">
        <f t="shared" si="54"/>
        <v>204</v>
      </c>
      <c r="U234" t="str">
        <f>IF($A234="","",IF($A234=经营数据!$B$3,COUNTIFS($S$2:$S$3000,1,$A$2:$A$3000,$A234,$T$2:$T$3000,"&lt;"&amp;$T234)+1,""))</f>
        <v/>
      </c>
      <c r="V234" t="str">
        <f t="shared" si="55"/>
        <v>华威西营里农产品交易中心|服务金额</v>
      </c>
      <c r="W234">
        <f t="shared" si="56"/>
        <v>232</v>
      </c>
      <c r="X234" t="str">
        <f t="shared" si="57"/>
        <v>华威西营里农产品交易中心|租金物
业收入</v>
      </c>
      <c r="Y234">
        <f t="shared" si="58"/>
        <v>233</v>
      </c>
      <c r="Z234">
        <f>IF($A234="",0,IF(AND($M234=1,$A234=经营数据!$B$3,$J234=经营数据!$BA$5,OR($I234=经营数据!$BA$4,COUNTIF(经营数据!$AA$9:$AA$38,$I234)&gt;0)),1,0))</f>
        <v>0</v>
      </c>
      <c r="AA234" t="str">
        <f t="shared" si="59"/>
        <v/>
      </c>
      <c r="AB234" t="str">
        <f t="shared" si="60"/>
        <v/>
      </c>
      <c r="AC234">
        <f>IF($A234="",0,IF(COUNTIF($A$2:$A234,$A234)=1,1,0))</f>
        <v>0</v>
      </c>
      <c r="AD234">
        <f t="shared" si="61"/>
        <v>4</v>
      </c>
      <c r="AE234" t="str">
        <f t="shared" si="62"/>
        <v>华威西营里农产品交易中心|租金物
业收入（万元）</v>
      </c>
      <c r="BA234" t="s">
        <v>5619</v>
      </c>
      <c r="BB234" t="s">
        <v>5620</v>
      </c>
      <c r="BP234" s="47">
        <v>45715</v>
      </c>
      <c r="BQ234" s="29">
        <v>3.9686326276359311E-2</v>
      </c>
    </row>
    <row r="235" spans="1:69" x14ac:dyDescent="0.4">
      <c r="A235" t="str">
        <f>IF(原始经营数据!$D236="","",原始经营数据!$D236)</f>
        <v>易方达华威农贸市场封闭式基础设施证券投资基金</v>
      </c>
      <c r="B235" t="str">
        <f>IF(原始经营数据!$D236="","",T(原始经营数据!$E236))</f>
        <v>华威西营里农产品交易中心</v>
      </c>
      <c r="C235" t="str">
        <f>IF(原始经营数据!$D236="","",原始经营数据!$F236)</f>
        <v>2021</v>
      </c>
      <c r="D235" t="str">
        <f>IF(原始经营数据!$D236="","",原始经营数据!$H236)</f>
        <v>各经营业态平均租金情况</v>
      </c>
      <c r="E235">
        <f>IF(原始经营数据!$D236="","",原始经营数据!$I236)</f>
        <v>233</v>
      </c>
      <c r="F235" t="str">
        <f>IF(原始经营数据!$D236="","",T(原始经营数据!$J236))</f>
        <v>元/平方米/月</v>
      </c>
      <c r="G235" t="str">
        <f>IF(原始经营数据!$D236="","",T(原始经营数据!$K236))</f>
        <v>冻品</v>
      </c>
      <c r="H235" t="str">
        <f>IF(原始经营数据!$D236="","",原始经营数据!$G236)</f>
        <v>服务价格</v>
      </c>
      <c r="I235" t="str">
        <f>IF($A235="","",IF($B235&lt;&gt;"",$B235,IF(COUNTIFS(原始经营数据!$D$3:$D$3001,$A235,原始经营数据!$E$3:$E$3001,"",原始经营数据!$F$3:$F$3001,$C235,原始经营数据!$H$3:$H$3001,$D235,原始经营数据!$K$3:$K$3001,$G235)&gt;1,"基金整体·来源"&amp;原始经营数据!$A236,"基金整体")))</f>
        <v>华威西营里农产品交易中心</v>
      </c>
      <c r="J235" t="str">
        <f t="shared" si="48"/>
        <v>年度</v>
      </c>
      <c r="K235" t="str">
        <f t="shared" si="49"/>
        <v>各经营业态平均租金情况-冻品（元/平方米/月）</v>
      </c>
      <c r="L235" t="str">
        <f t="shared" si="50"/>
        <v>华威西营里农产品交易中心|各经营业态平均租金情况-冻品（元/平方米/月）|年度</v>
      </c>
      <c r="M235">
        <f>IF($A235="",0,IF(COUNTIF($L$2:$L235,$L235)=1,1,0))</f>
        <v>0</v>
      </c>
      <c r="N235">
        <f t="shared" si="51"/>
        <v>20210</v>
      </c>
      <c r="O235" t="str">
        <f t="shared" si="52"/>
        <v>易方达华威农贸市场封闭式基础设施证券投资基金|2021|年度</v>
      </c>
      <c r="P235">
        <f>IF($A235="",0,IF(COUNTIF($O$2:$O235,$O235)=1,1,0))</f>
        <v>0</v>
      </c>
      <c r="Q235" t="str">
        <f>IF(AND($P235=1,$A235=经营数据!$B$3,$J235=经营数据!$BA$5),COUNTIFS($P$2:$P$3000,1,$A$2:$A$3000,$A235,$J$2:$J$3000,$J235,$N$2:$N$3000,"&lt;"&amp;$N235)+1,"")</f>
        <v/>
      </c>
      <c r="R235" t="str">
        <f t="shared" si="53"/>
        <v>易方达华威农贸市场封闭式基础设施证券投资基金|华威西营里农产品交易中心</v>
      </c>
      <c r="S235">
        <f>IF($A235="",0,IF(COUNTIF($R$2:$R235,$R235)=1,1,0))</f>
        <v>0</v>
      </c>
      <c r="T235">
        <f t="shared" si="54"/>
        <v>204</v>
      </c>
      <c r="U235" t="str">
        <f>IF($A235="","",IF($A235=经营数据!$B$3,COUNTIFS($S$2:$S$3000,1,$A$2:$A$3000,$A235,$T$2:$T$3000,"&lt;"&amp;$T235)+1,""))</f>
        <v/>
      </c>
      <c r="V235" t="str">
        <f t="shared" si="55"/>
        <v>华威西营里农产品交易中心|服务价格</v>
      </c>
      <c r="W235">
        <f t="shared" si="56"/>
        <v>204</v>
      </c>
      <c r="X235" t="str">
        <f t="shared" si="57"/>
        <v>华威西营里农产品交易中心|各经营业态平均租金情况</v>
      </c>
      <c r="Y235">
        <f t="shared" si="58"/>
        <v>204</v>
      </c>
      <c r="Z235">
        <f>IF($A235="",0,IF(AND($M235=1,$A235=经营数据!$B$3,$J235=经营数据!$BA$5,OR($I235=经营数据!$BA$4,COUNTIF(经营数据!$AA$9:$AA$38,$I235)&gt;0)),1,0))</f>
        <v>0</v>
      </c>
      <c r="AA235" t="str">
        <f t="shared" si="59"/>
        <v/>
      </c>
      <c r="AB235" t="str">
        <f t="shared" si="60"/>
        <v/>
      </c>
      <c r="AC235">
        <f>IF($A235="",0,IF(COUNTIF($A$2:$A235,$A235)=1,1,0))</f>
        <v>0</v>
      </c>
      <c r="AD235">
        <f t="shared" si="61"/>
        <v>4</v>
      </c>
      <c r="AE235" t="str">
        <f t="shared" si="62"/>
        <v>华威西营里农产品交易中心|各经营业态平均租金情况-冻品（元/平方米/月）</v>
      </c>
      <c r="BA235" t="s">
        <v>5621</v>
      </c>
      <c r="BB235" t="s">
        <v>5622</v>
      </c>
      <c r="BP235" s="47">
        <v>45716</v>
      </c>
      <c r="BQ235" s="29">
        <v>4.0144452626722199E-2</v>
      </c>
    </row>
    <row r="236" spans="1:69" x14ac:dyDescent="0.4">
      <c r="A236" t="str">
        <f>IF(原始经营数据!$D237="","",原始经营数据!$D237)</f>
        <v>易方达华威农贸市场封闭式基础设施证券投资基金</v>
      </c>
      <c r="B236" t="str">
        <f>IF(原始经营数据!$D237="","",T(原始经营数据!$E237))</f>
        <v>华威西营里农产品交易中心</v>
      </c>
      <c r="C236" t="str">
        <f>IF(原始经营数据!$D237="","",原始经营数据!$F237)</f>
        <v>2021</v>
      </c>
      <c r="D236" t="str">
        <f>IF(原始经营数据!$D237="","",原始经营数据!$H237)</f>
        <v>各经营业态平均租金情况</v>
      </c>
      <c r="E236">
        <f>IF(原始经营数据!$D237="","",原始经营数据!$I237)</f>
        <v>41</v>
      </c>
      <c r="F236" t="str">
        <f>IF(原始经营数据!$D237="","",T(原始经营数据!$J237))</f>
        <v>元/平方米/月</v>
      </c>
      <c r="G236" t="str">
        <f>IF(原始经营数据!$D237="","",T(原始经营数据!$K237))</f>
        <v>电商直播基地</v>
      </c>
      <c r="H236" t="str">
        <f>IF(原始经营数据!$D237="","",原始经营数据!$G237)</f>
        <v>服务价格</v>
      </c>
      <c r="I236" t="str">
        <f>IF($A236="","",IF($B236&lt;&gt;"",$B236,IF(COUNTIFS(原始经营数据!$D$3:$D$3001,$A236,原始经营数据!$E$3:$E$3001,"",原始经营数据!$F$3:$F$3001,$C236,原始经营数据!$H$3:$H$3001,$D236,原始经营数据!$K$3:$K$3001,$G236)&gt;1,"基金整体·来源"&amp;原始经营数据!$A237,"基金整体")))</f>
        <v>华威西营里农产品交易中心</v>
      </c>
      <c r="J236" t="str">
        <f t="shared" si="48"/>
        <v>年度</v>
      </c>
      <c r="K236" t="str">
        <f t="shared" si="49"/>
        <v>各经营业态平均租金情况-电商直播基地（元/平方米/月）</v>
      </c>
      <c r="L236" t="str">
        <f t="shared" si="50"/>
        <v>华威西营里农产品交易中心|各经营业态平均租金情况-电商直播基地（元/平方米/月）|年度</v>
      </c>
      <c r="M236">
        <f>IF($A236="",0,IF(COUNTIF($L$2:$L236,$L236)=1,1,0))</f>
        <v>0</v>
      </c>
      <c r="N236">
        <f t="shared" si="51"/>
        <v>20210</v>
      </c>
      <c r="O236" t="str">
        <f t="shared" si="52"/>
        <v>易方达华威农贸市场封闭式基础设施证券投资基金|2021|年度</v>
      </c>
      <c r="P236">
        <f>IF($A236="",0,IF(COUNTIF($O$2:$O236,$O236)=1,1,0))</f>
        <v>0</v>
      </c>
      <c r="Q236" t="str">
        <f>IF(AND($P236=1,$A236=经营数据!$B$3,$J236=经营数据!$BA$5),COUNTIFS($P$2:$P$3000,1,$A$2:$A$3000,$A236,$J$2:$J$3000,$J236,$N$2:$N$3000,"&lt;"&amp;$N236)+1,"")</f>
        <v/>
      </c>
      <c r="R236" t="str">
        <f t="shared" si="53"/>
        <v>易方达华威农贸市场封闭式基础设施证券投资基金|华威西营里农产品交易中心</v>
      </c>
      <c r="S236">
        <f>IF($A236="",0,IF(COUNTIF($R$2:$R236,$R236)=1,1,0))</f>
        <v>0</v>
      </c>
      <c r="T236">
        <f t="shared" si="54"/>
        <v>204</v>
      </c>
      <c r="U236" t="str">
        <f>IF($A236="","",IF($A236=经营数据!$B$3,COUNTIFS($S$2:$S$3000,1,$A$2:$A$3000,$A236,$T$2:$T$3000,"&lt;"&amp;$T236)+1,""))</f>
        <v/>
      </c>
      <c r="V236" t="str">
        <f t="shared" si="55"/>
        <v>华威西营里农产品交易中心|服务价格</v>
      </c>
      <c r="W236">
        <f t="shared" si="56"/>
        <v>204</v>
      </c>
      <c r="X236" t="str">
        <f t="shared" si="57"/>
        <v>华威西营里农产品交易中心|各经营业态平均租金情况</v>
      </c>
      <c r="Y236">
        <f t="shared" si="58"/>
        <v>204</v>
      </c>
      <c r="Z236">
        <f>IF($A236="",0,IF(AND($M236=1,$A236=经营数据!$B$3,$J236=经营数据!$BA$5,OR($I236=经营数据!$BA$4,COUNTIF(经营数据!$AA$9:$AA$38,$I236)&gt;0)),1,0))</f>
        <v>0</v>
      </c>
      <c r="AA236" t="str">
        <f t="shared" si="59"/>
        <v/>
      </c>
      <c r="AB236" t="str">
        <f t="shared" si="60"/>
        <v/>
      </c>
      <c r="AC236">
        <f>IF($A236="",0,IF(COUNTIF($A$2:$A236,$A236)=1,1,0))</f>
        <v>0</v>
      </c>
      <c r="AD236">
        <f t="shared" si="61"/>
        <v>4</v>
      </c>
      <c r="AE236" t="str">
        <f t="shared" si="62"/>
        <v>华威西营里农产品交易中心|各经营业态平均租金情况-电商直播基地（元/平方米/月）</v>
      </c>
      <c r="BA236" t="s">
        <v>5623</v>
      </c>
      <c r="BB236" t="s">
        <v>5624</v>
      </c>
      <c r="BP236" s="47">
        <v>45719</v>
      </c>
      <c r="BQ236" s="29">
        <v>4.0336598047154677E-2</v>
      </c>
    </row>
    <row r="237" spans="1:69" x14ac:dyDescent="0.4">
      <c r="A237" t="str">
        <f>IF(原始经营数据!$D238="","",原始经营数据!$D238)</f>
        <v>易方达华威农贸市场封闭式基础设施证券投资基金</v>
      </c>
      <c r="B237" t="str">
        <f>IF(原始经营数据!$D238="","",T(原始经营数据!$E238))</f>
        <v>华威西营里农产品交易中心</v>
      </c>
      <c r="C237" t="str">
        <f>IF(原始经营数据!$D238="","",原始经营数据!$F238)</f>
        <v>2021</v>
      </c>
      <c r="D237" t="str">
        <f>IF(原始经营数据!$D238="","",原始经营数据!$H238)</f>
        <v>各经营业态平均租金情况</v>
      </c>
      <c r="E237">
        <f>IF(原始经营数据!$D238="","",原始经营数据!$I238)</f>
        <v>236</v>
      </c>
      <c r="F237" t="str">
        <f>IF(原始经营数据!$D238="","",T(原始经营数据!$J238))</f>
        <v>元/平方米/月</v>
      </c>
      <c r="G237" t="str">
        <f>IF(原始经营数据!$D238="","",T(原始经营数据!$K238))</f>
        <v>蔬果</v>
      </c>
      <c r="H237" t="str">
        <f>IF(原始经营数据!$D238="","",原始经营数据!$G238)</f>
        <v>服务价格</v>
      </c>
      <c r="I237" t="str">
        <f>IF($A237="","",IF($B237&lt;&gt;"",$B237,IF(COUNTIFS(原始经营数据!$D$3:$D$3001,$A237,原始经营数据!$E$3:$E$3001,"",原始经营数据!$F$3:$F$3001,$C237,原始经营数据!$H$3:$H$3001,$D237,原始经营数据!$K$3:$K$3001,$G237)&gt;1,"基金整体·来源"&amp;原始经营数据!$A238,"基金整体")))</f>
        <v>华威西营里农产品交易中心</v>
      </c>
      <c r="J237" t="str">
        <f t="shared" si="48"/>
        <v>年度</v>
      </c>
      <c r="K237" t="str">
        <f t="shared" si="49"/>
        <v>各经营业态平均租金情况-蔬果（元/平方米/月）</v>
      </c>
      <c r="L237" t="str">
        <f t="shared" si="50"/>
        <v>华威西营里农产品交易中心|各经营业态平均租金情况-蔬果（元/平方米/月）|年度</v>
      </c>
      <c r="M237">
        <f>IF($A237="",0,IF(COUNTIF($L$2:$L237,$L237)=1,1,0))</f>
        <v>0</v>
      </c>
      <c r="N237">
        <f t="shared" si="51"/>
        <v>20210</v>
      </c>
      <c r="O237" t="str">
        <f t="shared" si="52"/>
        <v>易方达华威农贸市场封闭式基础设施证券投资基金|2021|年度</v>
      </c>
      <c r="P237">
        <f>IF($A237="",0,IF(COUNTIF($O$2:$O237,$O237)=1,1,0))</f>
        <v>0</v>
      </c>
      <c r="Q237" t="str">
        <f>IF(AND($P237=1,$A237=经营数据!$B$3,$J237=经营数据!$BA$5),COUNTIFS($P$2:$P$3000,1,$A$2:$A$3000,$A237,$J$2:$J$3000,$J237,$N$2:$N$3000,"&lt;"&amp;$N237)+1,"")</f>
        <v/>
      </c>
      <c r="R237" t="str">
        <f t="shared" si="53"/>
        <v>易方达华威农贸市场封闭式基础设施证券投资基金|华威西营里农产品交易中心</v>
      </c>
      <c r="S237">
        <f>IF($A237="",0,IF(COUNTIF($R$2:$R237,$R237)=1,1,0))</f>
        <v>0</v>
      </c>
      <c r="T237">
        <f t="shared" si="54"/>
        <v>204</v>
      </c>
      <c r="U237" t="str">
        <f>IF($A237="","",IF($A237=经营数据!$B$3,COUNTIFS($S$2:$S$3000,1,$A$2:$A$3000,$A237,$T$2:$T$3000,"&lt;"&amp;$T237)+1,""))</f>
        <v/>
      </c>
      <c r="V237" t="str">
        <f t="shared" si="55"/>
        <v>华威西营里农产品交易中心|服务价格</v>
      </c>
      <c r="W237">
        <f t="shared" si="56"/>
        <v>204</v>
      </c>
      <c r="X237" t="str">
        <f t="shared" si="57"/>
        <v>华威西营里农产品交易中心|各经营业态平均租金情况</v>
      </c>
      <c r="Y237">
        <f t="shared" si="58"/>
        <v>204</v>
      </c>
      <c r="Z237">
        <f>IF($A237="",0,IF(AND($M237=1,$A237=经营数据!$B$3,$J237=经营数据!$BA$5,OR($I237=经营数据!$BA$4,COUNTIF(经营数据!$AA$9:$AA$38,$I237)&gt;0)),1,0))</f>
        <v>0</v>
      </c>
      <c r="AA237" t="str">
        <f t="shared" si="59"/>
        <v/>
      </c>
      <c r="AB237" t="str">
        <f t="shared" si="60"/>
        <v/>
      </c>
      <c r="AC237">
        <f>IF($A237="",0,IF(COUNTIF($A$2:$A237,$A237)=1,1,0))</f>
        <v>0</v>
      </c>
      <c r="AD237">
        <f t="shared" si="61"/>
        <v>4</v>
      </c>
      <c r="AE237" t="str">
        <f t="shared" si="62"/>
        <v>华威西营里农产品交易中心|各经营业态平均租金情况-蔬果（元/平方米/月）</v>
      </c>
      <c r="BA237" t="s">
        <v>5625</v>
      </c>
      <c r="BB237" t="s">
        <v>5626</v>
      </c>
      <c r="BP237" s="47">
        <v>45720</v>
      </c>
      <c r="BQ237" s="29">
        <v>4.0203897666079111E-2</v>
      </c>
    </row>
    <row r="238" spans="1:69" x14ac:dyDescent="0.4">
      <c r="A238" t="str">
        <f>IF(原始经营数据!$D239="","",原始经营数据!$D239)</f>
        <v>易方达华威农贸市场封闭式基础设施证券投资基金</v>
      </c>
      <c r="B238" t="str">
        <f>IF(原始经营数据!$D239="","",T(原始经营数据!$E239))</f>
        <v>华威西营里农产品交易中心</v>
      </c>
      <c r="C238" t="str">
        <f>IF(原始经营数据!$D239="","",原始经营数据!$F239)</f>
        <v>2021</v>
      </c>
      <c r="D238" t="str">
        <f>IF(原始经营数据!$D239="","",原始经营数据!$H239)</f>
        <v>各经营业态平均租金情况</v>
      </c>
      <c r="E238">
        <f>IF(原始经营数据!$D239="","",原始经营数据!$I239)</f>
        <v>241</v>
      </c>
      <c r="F238" t="str">
        <f>IF(原始经营数据!$D239="","",T(原始经营数据!$J239))</f>
        <v>元/平方米/月</v>
      </c>
      <c r="G238" t="str">
        <f>IF(原始经营数据!$D239="","",T(原始经营数据!$K239))</f>
        <v>肉禽</v>
      </c>
      <c r="H238" t="str">
        <f>IF(原始经营数据!$D239="","",原始经营数据!$G239)</f>
        <v>服务价格</v>
      </c>
      <c r="I238" t="str">
        <f>IF($A238="","",IF($B238&lt;&gt;"",$B238,IF(COUNTIFS(原始经营数据!$D$3:$D$3001,$A238,原始经营数据!$E$3:$E$3001,"",原始经营数据!$F$3:$F$3001,$C238,原始经营数据!$H$3:$H$3001,$D238,原始经营数据!$K$3:$K$3001,$G238)&gt;1,"基金整体·来源"&amp;原始经营数据!$A239,"基金整体")))</f>
        <v>华威西营里农产品交易中心</v>
      </c>
      <c r="J238" t="str">
        <f t="shared" si="48"/>
        <v>年度</v>
      </c>
      <c r="K238" t="str">
        <f t="shared" si="49"/>
        <v>各经营业态平均租金情况-肉禽（元/平方米/月）</v>
      </c>
      <c r="L238" t="str">
        <f t="shared" si="50"/>
        <v>华威西营里农产品交易中心|各经营业态平均租金情况-肉禽（元/平方米/月）|年度</v>
      </c>
      <c r="M238">
        <f>IF($A238="",0,IF(COUNTIF($L$2:$L238,$L238)=1,1,0))</f>
        <v>0</v>
      </c>
      <c r="N238">
        <f t="shared" si="51"/>
        <v>20210</v>
      </c>
      <c r="O238" t="str">
        <f t="shared" si="52"/>
        <v>易方达华威农贸市场封闭式基础设施证券投资基金|2021|年度</v>
      </c>
      <c r="P238">
        <f>IF($A238="",0,IF(COUNTIF($O$2:$O238,$O238)=1,1,0))</f>
        <v>0</v>
      </c>
      <c r="Q238" t="str">
        <f>IF(AND($P238=1,$A238=经营数据!$B$3,$J238=经营数据!$BA$5),COUNTIFS($P$2:$P$3000,1,$A$2:$A$3000,$A238,$J$2:$J$3000,$J238,$N$2:$N$3000,"&lt;"&amp;$N238)+1,"")</f>
        <v/>
      </c>
      <c r="R238" t="str">
        <f t="shared" si="53"/>
        <v>易方达华威农贸市场封闭式基础设施证券投资基金|华威西营里农产品交易中心</v>
      </c>
      <c r="S238">
        <f>IF($A238="",0,IF(COUNTIF($R$2:$R238,$R238)=1,1,0))</f>
        <v>0</v>
      </c>
      <c r="T238">
        <f t="shared" si="54"/>
        <v>204</v>
      </c>
      <c r="U238" t="str">
        <f>IF($A238="","",IF($A238=经营数据!$B$3,COUNTIFS($S$2:$S$3000,1,$A$2:$A$3000,$A238,$T$2:$T$3000,"&lt;"&amp;$T238)+1,""))</f>
        <v/>
      </c>
      <c r="V238" t="str">
        <f t="shared" si="55"/>
        <v>华威西营里农产品交易中心|服务价格</v>
      </c>
      <c r="W238">
        <f t="shared" si="56"/>
        <v>204</v>
      </c>
      <c r="X238" t="str">
        <f t="shared" si="57"/>
        <v>华威西营里农产品交易中心|各经营业态平均租金情况</v>
      </c>
      <c r="Y238">
        <f t="shared" si="58"/>
        <v>204</v>
      </c>
      <c r="Z238">
        <f>IF($A238="",0,IF(AND($M238=1,$A238=经营数据!$B$3,$J238=经营数据!$BA$5,OR($I238=经营数据!$BA$4,COUNTIF(经营数据!$AA$9:$AA$38,$I238)&gt;0)),1,0))</f>
        <v>0</v>
      </c>
      <c r="AA238" t="str">
        <f t="shared" si="59"/>
        <v/>
      </c>
      <c r="AB238" t="str">
        <f t="shared" si="60"/>
        <v/>
      </c>
      <c r="AC238">
        <f>IF($A238="",0,IF(COUNTIF($A$2:$A238,$A238)=1,1,0))</f>
        <v>0</v>
      </c>
      <c r="AD238">
        <f t="shared" si="61"/>
        <v>4</v>
      </c>
      <c r="AE238" t="str">
        <f t="shared" si="62"/>
        <v>华威西营里农产品交易中心|各经营业态平均租金情况-肉禽（元/平方米/月）</v>
      </c>
      <c r="BA238" t="s">
        <v>5627</v>
      </c>
      <c r="BB238" t="s">
        <v>5628</v>
      </c>
      <c r="BP238" s="47">
        <v>45721</v>
      </c>
      <c r="BQ238" s="29">
        <v>4.0257333171719922E-2</v>
      </c>
    </row>
    <row r="239" spans="1:69" x14ac:dyDescent="0.4">
      <c r="A239" t="str">
        <f>IF(原始经营数据!$D240="","",原始经营数据!$D240)</f>
        <v>易方达华威农贸市场封闭式基础设施证券投资基金</v>
      </c>
      <c r="B239" t="str">
        <f>IF(原始经营数据!$D240="","",T(原始经营数据!$E240))</f>
        <v>华威西营里农产品交易中心</v>
      </c>
      <c r="C239" t="str">
        <f>IF(原始经营数据!$D240="","",原始经营数据!$F240)</f>
        <v>2021</v>
      </c>
      <c r="D239" t="str">
        <f>IF(原始经营数据!$D240="","",原始经营数据!$H240)</f>
        <v>各经营业态平均租金情况</v>
      </c>
      <c r="E239">
        <f>IF(原始经营数据!$D240="","",原始经营数据!$I240)</f>
        <v>179</v>
      </c>
      <c r="F239" t="str">
        <f>IF(原始经营数据!$D240="","",T(原始经营数据!$J240))</f>
        <v>元/平方米/月</v>
      </c>
      <c r="G239" t="str">
        <f>IF(原始经营数据!$D240="","",T(原始经营数据!$K240))</f>
        <v>干货/调味品</v>
      </c>
      <c r="H239" t="str">
        <f>IF(原始经营数据!$D240="","",原始经营数据!$G240)</f>
        <v>服务价格</v>
      </c>
      <c r="I239" t="str">
        <f>IF($A239="","",IF($B239&lt;&gt;"",$B239,IF(COUNTIFS(原始经营数据!$D$3:$D$3001,$A239,原始经营数据!$E$3:$E$3001,"",原始经营数据!$F$3:$F$3001,$C239,原始经营数据!$H$3:$H$3001,$D239,原始经营数据!$K$3:$K$3001,$G239)&gt;1,"基金整体·来源"&amp;原始经营数据!$A240,"基金整体")))</f>
        <v>华威西营里农产品交易中心</v>
      </c>
      <c r="J239" t="str">
        <f t="shared" si="48"/>
        <v>年度</v>
      </c>
      <c r="K239" t="str">
        <f t="shared" si="49"/>
        <v>各经营业态平均租金情况-干货/调味品（元/平方米/月）</v>
      </c>
      <c r="L239" t="str">
        <f t="shared" si="50"/>
        <v>华威西营里农产品交易中心|各经营业态平均租金情况-干货/调味品（元/平方米/月）|年度</v>
      </c>
      <c r="M239">
        <f>IF($A239="",0,IF(COUNTIF($L$2:$L239,$L239)=1,1,0))</f>
        <v>0</v>
      </c>
      <c r="N239">
        <f t="shared" si="51"/>
        <v>20210</v>
      </c>
      <c r="O239" t="str">
        <f t="shared" si="52"/>
        <v>易方达华威农贸市场封闭式基础设施证券投资基金|2021|年度</v>
      </c>
      <c r="P239">
        <f>IF($A239="",0,IF(COUNTIF($O$2:$O239,$O239)=1,1,0))</f>
        <v>0</v>
      </c>
      <c r="Q239" t="str">
        <f>IF(AND($P239=1,$A239=经营数据!$B$3,$J239=经营数据!$BA$5),COUNTIFS($P$2:$P$3000,1,$A$2:$A$3000,$A239,$J$2:$J$3000,$J239,$N$2:$N$3000,"&lt;"&amp;$N239)+1,"")</f>
        <v/>
      </c>
      <c r="R239" t="str">
        <f t="shared" si="53"/>
        <v>易方达华威农贸市场封闭式基础设施证券投资基金|华威西营里农产品交易中心</v>
      </c>
      <c r="S239">
        <f>IF($A239="",0,IF(COUNTIF($R$2:$R239,$R239)=1,1,0))</f>
        <v>0</v>
      </c>
      <c r="T239">
        <f t="shared" si="54"/>
        <v>204</v>
      </c>
      <c r="U239" t="str">
        <f>IF($A239="","",IF($A239=经营数据!$B$3,COUNTIFS($S$2:$S$3000,1,$A$2:$A$3000,$A239,$T$2:$T$3000,"&lt;"&amp;$T239)+1,""))</f>
        <v/>
      </c>
      <c r="V239" t="str">
        <f t="shared" si="55"/>
        <v>华威西营里农产品交易中心|服务价格</v>
      </c>
      <c r="W239">
        <f t="shared" si="56"/>
        <v>204</v>
      </c>
      <c r="X239" t="str">
        <f t="shared" si="57"/>
        <v>华威西营里农产品交易中心|各经营业态平均租金情况</v>
      </c>
      <c r="Y239">
        <f t="shared" si="58"/>
        <v>204</v>
      </c>
      <c r="Z239">
        <f>IF($A239="",0,IF(AND($M239=1,$A239=经营数据!$B$3,$J239=经营数据!$BA$5,OR($I239=经营数据!$BA$4,COUNTIF(经营数据!$AA$9:$AA$38,$I239)&gt;0)),1,0))</f>
        <v>0</v>
      </c>
      <c r="AA239" t="str">
        <f t="shared" si="59"/>
        <v/>
      </c>
      <c r="AB239" t="str">
        <f t="shared" si="60"/>
        <v/>
      </c>
      <c r="AC239">
        <f>IF($A239="",0,IF(COUNTIF($A$2:$A239,$A239)=1,1,0))</f>
        <v>0</v>
      </c>
      <c r="AD239">
        <f t="shared" si="61"/>
        <v>4</v>
      </c>
      <c r="AE239" t="str">
        <f t="shared" si="62"/>
        <v>华威西营里农产品交易中心|各经营业态平均租金情况-干货/调味品（元/平方米/月）</v>
      </c>
      <c r="BA239" t="s">
        <v>5629</v>
      </c>
      <c r="BB239" t="s">
        <v>5525</v>
      </c>
      <c r="BP239" s="47">
        <v>45722</v>
      </c>
      <c r="BQ239" s="29">
        <v>4.0594988982843229E-2</v>
      </c>
    </row>
    <row r="240" spans="1:69" x14ac:dyDescent="0.4">
      <c r="A240" t="str">
        <f>IF(原始经营数据!$D241="","",原始经营数据!$D241)</f>
        <v>易方达华威农贸市场封闭式基础设施证券投资基金</v>
      </c>
      <c r="B240" t="str">
        <f>IF(原始经营数据!$D241="","",T(原始经营数据!$E241))</f>
        <v>华威西营里农产品交易中心</v>
      </c>
      <c r="C240" t="str">
        <f>IF(原始经营数据!$D241="","",原始经营数据!$F241)</f>
        <v>2021</v>
      </c>
      <c r="D240" t="str">
        <f>IF(原始经营数据!$D241="","",原始经营数据!$H241)</f>
        <v>各经营业态平均租金情况</v>
      </c>
      <c r="E240">
        <f>IF(原始经营数据!$D241="","",原始经营数据!$I241)</f>
        <v>159</v>
      </c>
      <c r="F240" t="str">
        <f>IF(原始经营数据!$D241="","",T(原始经营数据!$J241))</f>
        <v>元/平方米/月</v>
      </c>
      <c r="G240" t="str">
        <f>IF(原始经营数据!$D241="","",T(原始经营数据!$K241))</f>
        <v>商业配套</v>
      </c>
      <c r="H240" t="str">
        <f>IF(原始经营数据!$D241="","",原始经营数据!$G241)</f>
        <v>服务价格</v>
      </c>
      <c r="I240" t="str">
        <f>IF($A240="","",IF($B240&lt;&gt;"",$B240,IF(COUNTIFS(原始经营数据!$D$3:$D$3001,$A240,原始经营数据!$E$3:$E$3001,"",原始经营数据!$F$3:$F$3001,$C240,原始经营数据!$H$3:$H$3001,$D240,原始经营数据!$K$3:$K$3001,$G240)&gt;1,"基金整体·来源"&amp;原始经营数据!$A241,"基金整体")))</f>
        <v>华威西营里农产品交易中心</v>
      </c>
      <c r="J240" t="str">
        <f t="shared" si="48"/>
        <v>年度</v>
      </c>
      <c r="K240" t="str">
        <f t="shared" si="49"/>
        <v>各经营业态平均租金情况-商业配套（元/平方米/月）</v>
      </c>
      <c r="L240" t="str">
        <f t="shared" si="50"/>
        <v>华威西营里农产品交易中心|各经营业态平均租金情况-商业配套（元/平方米/月）|年度</v>
      </c>
      <c r="M240">
        <f>IF($A240="",0,IF(COUNTIF($L$2:$L240,$L240)=1,1,0))</f>
        <v>0</v>
      </c>
      <c r="N240">
        <f t="shared" si="51"/>
        <v>20210</v>
      </c>
      <c r="O240" t="str">
        <f t="shared" si="52"/>
        <v>易方达华威农贸市场封闭式基础设施证券投资基金|2021|年度</v>
      </c>
      <c r="P240">
        <f>IF($A240="",0,IF(COUNTIF($O$2:$O240,$O240)=1,1,0))</f>
        <v>0</v>
      </c>
      <c r="Q240" t="str">
        <f>IF(AND($P240=1,$A240=经营数据!$B$3,$J240=经营数据!$BA$5),COUNTIFS($P$2:$P$3000,1,$A$2:$A$3000,$A240,$J$2:$J$3000,$J240,$N$2:$N$3000,"&lt;"&amp;$N240)+1,"")</f>
        <v/>
      </c>
      <c r="R240" t="str">
        <f t="shared" si="53"/>
        <v>易方达华威农贸市场封闭式基础设施证券投资基金|华威西营里农产品交易中心</v>
      </c>
      <c r="S240">
        <f>IF($A240="",0,IF(COUNTIF($R$2:$R240,$R240)=1,1,0))</f>
        <v>0</v>
      </c>
      <c r="T240">
        <f t="shared" si="54"/>
        <v>204</v>
      </c>
      <c r="U240" t="str">
        <f>IF($A240="","",IF($A240=经营数据!$B$3,COUNTIFS($S$2:$S$3000,1,$A$2:$A$3000,$A240,$T$2:$T$3000,"&lt;"&amp;$T240)+1,""))</f>
        <v/>
      </c>
      <c r="V240" t="str">
        <f t="shared" si="55"/>
        <v>华威西营里农产品交易中心|服务价格</v>
      </c>
      <c r="W240">
        <f t="shared" si="56"/>
        <v>204</v>
      </c>
      <c r="X240" t="str">
        <f t="shared" si="57"/>
        <v>华威西营里农产品交易中心|各经营业态平均租金情况</v>
      </c>
      <c r="Y240">
        <f t="shared" si="58"/>
        <v>204</v>
      </c>
      <c r="Z240">
        <f>IF($A240="",0,IF(AND($M240=1,$A240=经营数据!$B$3,$J240=经营数据!$BA$5,OR($I240=经营数据!$BA$4,COUNTIF(经营数据!$AA$9:$AA$38,$I240)&gt;0)),1,0))</f>
        <v>0</v>
      </c>
      <c r="AA240" t="str">
        <f t="shared" si="59"/>
        <v/>
      </c>
      <c r="AB240" t="str">
        <f t="shared" si="60"/>
        <v/>
      </c>
      <c r="AC240">
        <f>IF($A240="",0,IF(COUNTIF($A$2:$A240,$A240)=1,1,0))</f>
        <v>0</v>
      </c>
      <c r="AD240">
        <f t="shared" si="61"/>
        <v>4</v>
      </c>
      <c r="AE240" t="str">
        <f t="shared" si="62"/>
        <v>华威西营里农产品交易中心|各经营业态平均租金情况-商业配套（元/平方米/月）</v>
      </c>
      <c r="BA240" t="s">
        <v>5630</v>
      </c>
      <c r="BB240" t="s">
        <v>5631</v>
      </c>
      <c r="BP240" s="47">
        <v>45723</v>
      </c>
      <c r="BQ240" s="29">
        <v>4.0873756015816297E-2</v>
      </c>
    </row>
    <row r="241" spans="1:69" x14ac:dyDescent="0.4">
      <c r="A241" t="str">
        <f>IF(原始经营数据!$D242="","",原始经营数据!$D242)</f>
        <v>易方达华威农贸市场封闭式基础设施证券投资基金</v>
      </c>
      <c r="B241" t="str">
        <f>IF(原始经营数据!$D242="","",T(原始经营数据!$E242))</f>
        <v>华威西营里农产品交易中心</v>
      </c>
      <c r="C241" t="str">
        <f>IF(原始经营数据!$D242="","",原始经营数据!$F242)</f>
        <v>2021</v>
      </c>
      <c r="D241" t="str">
        <f>IF(原始经营数据!$D242="","",原始经营数据!$H242)</f>
        <v>各经营业态平均租金情况</v>
      </c>
      <c r="E241">
        <f>IF(原始经营数据!$D242="","",原始经营数据!$I242)</f>
        <v>37</v>
      </c>
      <c r="F241" t="str">
        <f>IF(原始经营数据!$D242="","",T(原始经营数据!$J242))</f>
        <v>元/平方米/月</v>
      </c>
      <c r="G241" t="str">
        <f>IF(原始经营数据!$D242="","",T(原始经营数据!$K242))</f>
        <v>仓库</v>
      </c>
      <c r="H241" t="str">
        <f>IF(原始经营数据!$D242="","",原始经营数据!$G242)</f>
        <v>服务价格</v>
      </c>
      <c r="I241" t="str">
        <f>IF($A241="","",IF($B241&lt;&gt;"",$B241,IF(COUNTIFS(原始经营数据!$D$3:$D$3001,$A241,原始经营数据!$E$3:$E$3001,"",原始经营数据!$F$3:$F$3001,$C241,原始经营数据!$H$3:$H$3001,$D241,原始经营数据!$K$3:$K$3001,$G241)&gt;1,"基金整体·来源"&amp;原始经营数据!$A242,"基金整体")))</f>
        <v>华威西营里农产品交易中心</v>
      </c>
      <c r="J241" t="str">
        <f t="shared" si="48"/>
        <v>年度</v>
      </c>
      <c r="K241" t="str">
        <f t="shared" si="49"/>
        <v>各经营业态平均租金情况-仓库（元/平方米/月）</v>
      </c>
      <c r="L241" t="str">
        <f t="shared" si="50"/>
        <v>华威西营里农产品交易中心|各经营业态平均租金情况-仓库（元/平方米/月）|年度</v>
      </c>
      <c r="M241">
        <f>IF($A241="",0,IF(COUNTIF($L$2:$L241,$L241)=1,1,0))</f>
        <v>0</v>
      </c>
      <c r="N241">
        <f t="shared" si="51"/>
        <v>20210</v>
      </c>
      <c r="O241" t="str">
        <f t="shared" si="52"/>
        <v>易方达华威农贸市场封闭式基础设施证券投资基金|2021|年度</v>
      </c>
      <c r="P241">
        <f>IF($A241="",0,IF(COUNTIF($O$2:$O241,$O241)=1,1,0))</f>
        <v>0</v>
      </c>
      <c r="Q241" t="str">
        <f>IF(AND($P241=1,$A241=经营数据!$B$3,$J241=经营数据!$BA$5),COUNTIFS($P$2:$P$3000,1,$A$2:$A$3000,$A241,$J$2:$J$3000,$J241,$N$2:$N$3000,"&lt;"&amp;$N241)+1,"")</f>
        <v/>
      </c>
      <c r="R241" t="str">
        <f t="shared" si="53"/>
        <v>易方达华威农贸市场封闭式基础设施证券投资基金|华威西营里农产品交易中心</v>
      </c>
      <c r="S241">
        <f>IF($A241="",0,IF(COUNTIF($R$2:$R241,$R241)=1,1,0))</f>
        <v>0</v>
      </c>
      <c r="T241">
        <f t="shared" si="54"/>
        <v>204</v>
      </c>
      <c r="U241" t="str">
        <f>IF($A241="","",IF($A241=经营数据!$B$3,COUNTIFS($S$2:$S$3000,1,$A$2:$A$3000,$A241,$T$2:$T$3000,"&lt;"&amp;$T241)+1,""))</f>
        <v/>
      </c>
      <c r="V241" t="str">
        <f t="shared" si="55"/>
        <v>华威西营里农产品交易中心|服务价格</v>
      </c>
      <c r="W241">
        <f t="shared" si="56"/>
        <v>204</v>
      </c>
      <c r="X241" t="str">
        <f t="shared" si="57"/>
        <v>华威西营里农产品交易中心|各经营业态平均租金情况</v>
      </c>
      <c r="Y241">
        <f t="shared" si="58"/>
        <v>204</v>
      </c>
      <c r="Z241">
        <f>IF($A241="",0,IF(AND($M241=1,$A241=经营数据!$B$3,$J241=经营数据!$BA$5,OR($I241=经营数据!$BA$4,COUNTIF(经营数据!$AA$9:$AA$38,$I241)&gt;0)),1,0))</f>
        <v>0</v>
      </c>
      <c r="AA241" t="str">
        <f t="shared" si="59"/>
        <v/>
      </c>
      <c r="AB241" t="str">
        <f t="shared" si="60"/>
        <v/>
      </c>
      <c r="AC241">
        <f>IF($A241="",0,IF(COUNTIF($A$2:$A241,$A241)=1,1,0))</f>
        <v>0</v>
      </c>
      <c r="AD241">
        <f t="shared" si="61"/>
        <v>4</v>
      </c>
      <c r="AE241" t="str">
        <f t="shared" si="62"/>
        <v>华威西营里农产品交易中心|各经营业态平均租金情况-仓库（元/平方米/月）</v>
      </c>
      <c r="BA241" t="s">
        <v>5632</v>
      </c>
      <c r="BB241" t="s">
        <v>5633</v>
      </c>
      <c r="BP241" s="47">
        <v>45726</v>
      </c>
      <c r="BQ241" s="29">
        <v>4.0953385328700347E-2</v>
      </c>
    </row>
    <row r="242" spans="1:69" x14ac:dyDescent="0.4">
      <c r="A242" t="str">
        <f>IF(原始经营数据!$D243="","",原始经营数据!$D243)</f>
        <v>易方达华威农贸市场封闭式基础设施证券投资基金</v>
      </c>
      <c r="B242" t="str">
        <f>IF(原始经营数据!$D243="","",T(原始经营数据!$E243))</f>
        <v>华威西营里农产品交易中心</v>
      </c>
      <c r="C242" t="str">
        <f>IF(原始经营数据!$D243="","",原始经营数据!$F243)</f>
        <v>2021</v>
      </c>
      <c r="D242" t="str">
        <f>IF(原始经营数据!$D243="","",原始经营数据!$H243)</f>
        <v>续租率</v>
      </c>
      <c r="E242">
        <f>IF(原始经营数据!$D243="","",原始经营数据!$I243)</f>
        <v>90.07</v>
      </c>
      <c r="F242" t="str">
        <f>IF(原始经营数据!$D243="","",T(原始经营数据!$J243))</f>
        <v>%</v>
      </c>
      <c r="G242" t="str">
        <f>IF(原始经营数据!$D243="","",T(原始经营数据!$K243))</f>
        <v/>
      </c>
      <c r="H242" t="str">
        <f>IF(原始经营数据!$D243="","",原始经营数据!$G243)</f>
        <v>服务效率</v>
      </c>
      <c r="I242" t="str">
        <f>IF($A242="","",IF($B242&lt;&gt;"",$B242,IF(COUNTIFS(原始经营数据!$D$3:$D$3001,$A242,原始经营数据!$E$3:$E$3001,"",原始经营数据!$F$3:$F$3001,$C242,原始经营数据!$H$3:$H$3001,$D242,原始经营数据!$K$3:$K$3001,$G242)&gt;1,"基金整体·来源"&amp;原始经营数据!$A243,"基金整体")))</f>
        <v>华威西营里农产品交易中心</v>
      </c>
      <c r="J242" t="str">
        <f t="shared" si="48"/>
        <v>年度</v>
      </c>
      <c r="K242" t="str">
        <f t="shared" si="49"/>
        <v>续租率（%）</v>
      </c>
      <c r="L242" t="str">
        <f t="shared" si="50"/>
        <v>华威西营里农产品交易中心|续租率（%）|年度</v>
      </c>
      <c r="M242">
        <f>IF($A242="",0,IF(COUNTIF($L$2:$L242,$L242)=1,1,0))</f>
        <v>0</v>
      </c>
      <c r="N242">
        <f t="shared" si="51"/>
        <v>20210</v>
      </c>
      <c r="O242" t="str">
        <f t="shared" si="52"/>
        <v>易方达华威农贸市场封闭式基础设施证券投资基金|2021|年度</v>
      </c>
      <c r="P242">
        <f>IF($A242="",0,IF(COUNTIF($O$2:$O242,$O242)=1,1,0))</f>
        <v>0</v>
      </c>
      <c r="Q242" t="str">
        <f>IF(AND($P242=1,$A242=经营数据!$B$3,$J242=经营数据!$BA$5),COUNTIFS($P$2:$P$3000,1,$A$2:$A$3000,$A242,$J$2:$J$3000,$J242,$N$2:$N$3000,"&lt;"&amp;$N242)+1,"")</f>
        <v/>
      </c>
      <c r="R242" t="str">
        <f t="shared" si="53"/>
        <v>易方达华威农贸市场封闭式基础设施证券投资基金|华威西营里农产品交易中心</v>
      </c>
      <c r="S242">
        <f>IF($A242="",0,IF(COUNTIF($R$2:$R242,$R242)=1,1,0))</f>
        <v>0</v>
      </c>
      <c r="T242">
        <f t="shared" si="54"/>
        <v>204</v>
      </c>
      <c r="U242" t="str">
        <f>IF($A242="","",IF($A242=经营数据!$B$3,COUNTIFS($S$2:$S$3000,1,$A$2:$A$3000,$A242,$T$2:$T$3000,"&lt;"&amp;$T242)+1,""))</f>
        <v/>
      </c>
      <c r="V242" t="str">
        <f t="shared" si="55"/>
        <v>华威西营里农产品交易中心|服务效率</v>
      </c>
      <c r="W242">
        <f t="shared" si="56"/>
        <v>205</v>
      </c>
      <c r="X242" t="str">
        <f t="shared" si="57"/>
        <v>华威西营里农产品交易中心|续租率</v>
      </c>
      <c r="Y242">
        <f t="shared" si="58"/>
        <v>218</v>
      </c>
      <c r="Z242">
        <f>IF($A242="",0,IF(AND($M242=1,$A242=经营数据!$B$3,$J242=经营数据!$BA$5,OR($I242=经营数据!$BA$4,COUNTIF(经营数据!$AA$9:$AA$38,$I242)&gt;0)),1,0))</f>
        <v>0</v>
      </c>
      <c r="AA242" t="str">
        <f t="shared" si="59"/>
        <v/>
      </c>
      <c r="AB242" t="str">
        <f t="shared" si="60"/>
        <v/>
      </c>
      <c r="AC242">
        <f>IF($A242="",0,IF(COUNTIF($A$2:$A242,$A242)=1,1,0))</f>
        <v>0</v>
      </c>
      <c r="AD242">
        <f t="shared" si="61"/>
        <v>4</v>
      </c>
      <c r="AE242" t="str">
        <f t="shared" si="62"/>
        <v>华威西营里农产品交易中心|续租率（%）</v>
      </c>
      <c r="BA242" t="s">
        <v>5634</v>
      </c>
      <c r="BB242" t="s">
        <v>5635</v>
      </c>
      <c r="BP242" s="47">
        <v>45727</v>
      </c>
      <c r="BQ242" s="29">
        <v>4.1118229482238908E-2</v>
      </c>
    </row>
    <row r="243" spans="1:69" x14ac:dyDescent="0.4">
      <c r="A243" t="str">
        <f>IF(原始经营数据!$D244="","",原始经营数据!$D244)</f>
        <v>易方达华威农贸市场封闭式基础设施证券投资基金</v>
      </c>
      <c r="B243" t="str">
        <f>IF(原始经营数据!$D244="","",T(原始经营数据!$E244))</f>
        <v>华威西营里农产品交易中心</v>
      </c>
      <c r="C243" t="str">
        <f>IF(原始经营数据!$D244="","",原始经营数据!$F244)</f>
        <v>2021</v>
      </c>
      <c r="D243" t="str">
        <f>IF(原始经营数据!$D244="","",原始经营数据!$H244)</f>
        <v>退租率</v>
      </c>
      <c r="E243">
        <f>IF(原始经营数据!$D244="","",原始经营数据!$I244)</f>
        <v>0.22</v>
      </c>
      <c r="F243" t="str">
        <f>IF(原始经营数据!$D244="","",T(原始经营数据!$J244))</f>
        <v>%</v>
      </c>
      <c r="G243" t="str">
        <f>IF(原始经营数据!$D244="","",T(原始经营数据!$K244))</f>
        <v/>
      </c>
      <c r="H243" t="str">
        <f>IF(原始经营数据!$D244="","",原始经营数据!$G244)</f>
        <v>服务效率</v>
      </c>
      <c r="I243" t="str">
        <f>IF($A243="","",IF($B243&lt;&gt;"",$B243,IF(COUNTIFS(原始经营数据!$D$3:$D$3001,$A243,原始经营数据!$E$3:$E$3001,"",原始经营数据!$F$3:$F$3001,$C243,原始经营数据!$H$3:$H$3001,$D243,原始经营数据!$K$3:$K$3001,$G243)&gt;1,"基金整体·来源"&amp;原始经营数据!$A244,"基金整体")))</f>
        <v>华威西营里农产品交易中心</v>
      </c>
      <c r="J243" t="str">
        <f t="shared" si="48"/>
        <v>年度</v>
      </c>
      <c r="K243" t="str">
        <f t="shared" si="49"/>
        <v>退租率（%）</v>
      </c>
      <c r="L243" t="str">
        <f t="shared" si="50"/>
        <v>华威西营里农产品交易中心|退租率（%）|年度</v>
      </c>
      <c r="M243">
        <f>IF($A243="",0,IF(COUNTIF($L$2:$L243,$L243)=1,1,0))</f>
        <v>0</v>
      </c>
      <c r="N243">
        <f t="shared" si="51"/>
        <v>20210</v>
      </c>
      <c r="O243" t="str">
        <f t="shared" si="52"/>
        <v>易方达华威农贸市场封闭式基础设施证券投资基金|2021|年度</v>
      </c>
      <c r="P243">
        <f>IF($A243="",0,IF(COUNTIF($O$2:$O243,$O243)=1,1,0))</f>
        <v>0</v>
      </c>
      <c r="Q243" t="str">
        <f>IF(AND($P243=1,$A243=经营数据!$B$3,$J243=经营数据!$BA$5),COUNTIFS($P$2:$P$3000,1,$A$2:$A$3000,$A243,$J$2:$J$3000,$J243,$N$2:$N$3000,"&lt;"&amp;$N243)+1,"")</f>
        <v/>
      </c>
      <c r="R243" t="str">
        <f t="shared" si="53"/>
        <v>易方达华威农贸市场封闭式基础设施证券投资基金|华威西营里农产品交易中心</v>
      </c>
      <c r="S243">
        <f>IF($A243="",0,IF(COUNTIF($R$2:$R243,$R243)=1,1,0))</f>
        <v>0</v>
      </c>
      <c r="T243">
        <f t="shared" si="54"/>
        <v>204</v>
      </c>
      <c r="U243" t="str">
        <f>IF($A243="","",IF($A243=经营数据!$B$3,COUNTIFS($S$2:$S$3000,1,$A$2:$A$3000,$A243,$T$2:$T$3000,"&lt;"&amp;$T243)+1,""))</f>
        <v/>
      </c>
      <c r="V243" t="str">
        <f t="shared" si="55"/>
        <v>华威西营里农产品交易中心|服务效率</v>
      </c>
      <c r="W243">
        <f t="shared" si="56"/>
        <v>205</v>
      </c>
      <c r="X243" t="str">
        <f t="shared" si="57"/>
        <v>华威西营里农产品交易中心|退租率</v>
      </c>
      <c r="Y243">
        <f t="shared" si="58"/>
        <v>219</v>
      </c>
      <c r="Z243">
        <f>IF($A243="",0,IF(AND($M243=1,$A243=经营数据!$B$3,$J243=经营数据!$BA$5,OR($I243=经营数据!$BA$4,COUNTIF(经营数据!$AA$9:$AA$38,$I243)&gt;0)),1,0))</f>
        <v>0</v>
      </c>
      <c r="AA243" t="str">
        <f t="shared" si="59"/>
        <v/>
      </c>
      <c r="AB243" t="str">
        <f t="shared" si="60"/>
        <v/>
      </c>
      <c r="AC243">
        <f>IF($A243="",0,IF(COUNTIF($A$2:$A243,$A243)=1,1,0))</f>
        <v>0</v>
      </c>
      <c r="AD243">
        <f t="shared" si="61"/>
        <v>4</v>
      </c>
      <c r="AE243" t="str">
        <f t="shared" si="62"/>
        <v>华威西营里农产品交易中心|退租率（%）</v>
      </c>
      <c r="BA243" t="s">
        <v>5636</v>
      </c>
      <c r="BB243" t="s">
        <v>5637</v>
      </c>
      <c r="BP243" s="47">
        <v>45728</v>
      </c>
      <c r="BQ243" s="29">
        <v>4.0961871626701382E-2</v>
      </c>
    </row>
    <row r="244" spans="1:69" x14ac:dyDescent="0.4">
      <c r="A244" t="str">
        <f>IF(原始经营数据!$D245="","",原始经营数据!$D245)</f>
        <v>易方达华威农贸市场封闭式基础设施证券投资基金</v>
      </c>
      <c r="B244" t="str">
        <f>IF(原始经营数据!$D245="","",T(原始经营数据!$E245))</f>
        <v>华威西营里农产品交易中心</v>
      </c>
      <c r="C244" t="str">
        <f>IF(原始经营数据!$D245="","",原始经营数据!$F245)</f>
        <v>2021</v>
      </c>
      <c r="D244" t="str">
        <f>IF(原始经营数据!$D245="","",原始经营数据!$H245)</f>
        <v>当年退租面积</v>
      </c>
      <c r="E244">
        <f>IF(原始经营数据!$D245="","",原始经营数据!$I245)</f>
        <v>89.2</v>
      </c>
      <c r="F244" t="str">
        <f>IF(原始经营数据!$D245="","",T(原始经营数据!$J245))</f>
        <v>平方米</v>
      </c>
      <c r="G244" t="str">
        <f>IF(原始经营数据!$D245="","",T(原始经营数据!$K245))</f>
        <v/>
      </c>
      <c r="H244" t="str">
        <f>IF(原始经营数据!$D245="","",原始经营数据!$G245)</f>
        <v>服务量</v>
      </c>
      <c r="I244" t="str">
        <f>IF($A244="","",IF($B244&lt;&gt;"",$B244,IF(COUNTIFS(原始经营数据!$D$3:$D$3001,$A244,原始经营数据!$E$3:$E$3001,"",原始经营数据!$F$3:$F$3001,$C244,原始经营数据!$H$3:$H$3001,$D244,原始经营数据!$K$3:$K$3001,$G244)&gt;1,"基金整体·来源"&amp;原始经营数据!$A245,"基金整体")))</f>
        <v>华威西营里农产品交易中心</v>
      </c>
      <c r="J244" t="str">
        <f t="shared" si="48"/>
        <v>年度</v>
      </c>
      <c r="K244" t="str">
        <f t="shared" si="49"/>
        <v>当年退租面积（平方米）</v>
      </c>
      <c r="L244" t="str">
        <f t="shared" si="50"/>
        <v>华威西营里农产品交易中心|当年退租面积（平方米）|年度</v>
      </c>
      <c r="M244">
        <f>IF($A244="",0,IF(COUNTIF($L$2:$L244,$L244)=1,1,0))</f>
        <v>0</v>
      </c>
      <c r="N244">
        <f t="shared" si="51"/>
        <v>20210</v>
      </c>
      <c r="O244" t="str">
        <f t="shared" si="52"/>
        <v>易方达华威农贸市场封闭式基础设施证券投资基金|2021|年度</v>
      </c>
      <c r="P244">
        <f>IF($A244="",0,IF(COUNTIF($O$2:$O244,$O244)=1,1,0))</f>
        <v>0</v>
      </c>
      <c r="Q244" t="str">
        <f>IF(AND($P244=1,$A244=经营数据!$B$3,$J244=经营数据!$BA$5),COUNTIFS($P$2:$P$3000,1,$A$2:$A$3000,$A244,$J$2:$J$3000,$J244,$N$2:$N$3000,"&lt;"&amp;$N244)+1,"")</f>
        <v/>
      </c>
      <c r="R244" t="str">
        <f t="shared" si="53"/>
        <v>易方达华威农贸市场封闭式基础设施证券投资基金|华威西营里农产品交易中心</v>
      </c>
      <c r="S244">
        <f>IF($A244="",0,IF(COUNTIF($R$2:$R244,$R244)=1,1,0))</f>
        <v>0</v>
      </c>
      <c r="T244">
        <f t="shared" si="54"/>
        <v>204</v>
      </c>
      <c r="U244" t="str">
        <f>IF($A244="","",IF($A244=经营数据!$B$3,COUNTIFS($S$2:$S$3000,1,$A$2:$A$3000,$A244,$T$2:$T$3000,"&lt;"&amp;$T244)+1,""))</f>
        <v/>
      </c>
      <c r="V244" t="str">
        <f t="shared" si="55"/>
        <v>华威西营里农产品交易中心|服务量</v>
      </c>
      <c r="W244">
        <f t="shared" si="56"/>
        <v>221</v>
      </c>
      <c r="X244" t="str">
        <f t="shared" si="57"/>
        <v>华威西营里农产品交易中心|当年退租面积</v>
      </c>
      <c r="Y244">
        <f t="shared" si="58"/>
        <v>222</v>
      </c>
      <c r="Z244">
        <f>IF($A244="",0,IF(AND($M244=1,$A244=经营数据!$B$3,$J244=经营数据!$BA$5,OR($I244=经营数据!$BA$4,COUNTIF(经营数据!$AA$9:$AA$38,$I244)&gt;0)),1,0))</f>
        <v>0</v>
      </c>
      <c r="AA244" t="str">
        <f t="shared" si="59"/>
        <v/>
      </c>
      <c r="AB244" t="str">
        <f t="shared" si="60"/>
        <v/>
      </c>
      <c r="AC244">
        <f>IF($A244="",0,IF(COUNTIF($A$2:$A244,$A244)=1,1,0))</f>
        <v>0</v>
      </c>
      <c r="AD244">
        <f t="shared" si="61"/>
        <v>4</v>
      </c>
      <c r="AE244" t="str">
        <f t="shared" si="62"/>
        <v>华威西营里农产品交易中心|当年退租面积（平方米）</v>
      </c>
      <c r="BA244" t="s">
        <v>5638</v>
      </c>
      <c r="BB244" t="s">
        <v>5639</v>
      </c>
      <c r="BP244" s="47">
        <v>45729</v>
      </c>
      <c r="BQ244" s="29">
        <v>4.1026004588154773E-2</v>
      </c>
    </row>
    <row r="245" spans="1:69" x14ac:dyDescent="0.4">
      <c r="A245" t="str">
        <f>IF(原始经营数据!$D246="","",原始经营数据!$D246)</f>
        <v>易方达华威农贸市场封闭式基础设施证券投资基金</v>
      </c>
      <c r="B245" t="str">
        <f>IF(原始经营数据!$D246="","",T(原始经营数据!$E246))</f>
        <v>华威西营里农产品交易中心</v>
      </c>
      <c r="C245" t="str">
        <f>IF(原始经营数据!$D246="","",原始经营数据!$F246)</f>
        <v>2021</v>
      </c>
      <c r="D245" t="str">
        <f>IF(原始经营数据!$D246="","",原始经营数据!$H246)</f>
        <v>期初已出租面积</v>
      </c>
      <c r="E245">
        <f>IF(原始经营数据!$D246="","",原始经营数据!$I246)</f>
        <v>41413.230000000003</v>
      </c>
      <c r="F245" t="str">
        <f>IF(原始经营数据!$D246="","",T(原始经营数据!$J246))</f>
        <v>平方米</v>
      </c>
      <c r="G245" t="str">
        <f>IF(原始经营数据!$D246="","",T(原始经营数据!$K246))</f>
        <v/>
      </c>
      <c r="H245" t="str">
        <f>IF(原始经营数据!$D246="","",原始经营数据!$G246)</f>
        <v>服务量</v>
      </c>
      <c r="I245" t="str">
        <f>IF($A245="","",IF($B245&lt;&gt;"",$B245,IF(COUNTIFS(原始经营数据!$D$3:$D$3001,$A245,原始经营数据!$E$3:$E$3001,"",原始经营数据!$F$3:$F$3001,$C245,原始经营数据!$H$3:$H$3001,$D245,原始经营数据!$K$3:$K$3001,$G245)&gt;1,"基金整体·来源"&amp;原始经营数据!$A246,"基金整体")))</f>
        <v>华威西营里农产品交易中心</v>
      </c>
      <c r="J245" t="str">
        <f t="shared" si="48"/>
        <v>年度</v>
      </c>
      <c r="K245" t="str">
        <f t="shared" si="49"/>
        <v>期初已出租面积（平方米）</v>
      </c>
      <c r="L245" t="str">
        <f t="shared" si="50"/>
        <v>华威西营里农产品交易中心|期初已出租面积（平方米）|年度</v>
      </c>
      <c r="M245">
        <f>IF($A245="",0,IF(COUNTIF($L$2:$L245,$L245)=1,1,0))</f>
        <v>0</v>
      </c>
      <c r="N245">
        <f t="shared" si="51"/>
        <v>20210</v>
      </c>
      <c r="O245" t="str">
        <f t="shared" si="52"/>
        <v>易方达华威农贸市场封闭式基础设施证券投资基金|2021|年度</v>
      </c>
      <c r="P245">
        <f>IF($A245="",0,IF(COUNTIF($O$2:$O245,$O245)=1,1,0))</f>
        <v>0</v>
      </c>
      <c r="Q245" t="str">
        <f>IF(AND($P245=1,$A245=经营数据!$B$3,$J245=经营数据!$BA$5),COUNTIFS($P$2:$P$3000,1,$A$2:$A$3000,$A245,$J$2:$J$3000,$J245,$N$2:$N$3000,"&lt;"&amp;$N245)+1,"")</f>
        <v/>
      </c>
      <c r="R245" t="str">
        <f t="shared" si="53"/>
        <v>易方达华威农贸市场封闭式基础设施证券投资基金|华威西营里农产品交易中心</v>
      </c>
      <c r="S245">
        <f>IF($A245="",0,IF(COUNTIF($R$2:$R245,$R245)=1,1,0))</f>
        <v>0</v>
      </c>
      <c r="T245">
        <f t="shared" si="54"/>
        <v>204</v>
      </c>
      <c r="U245" t="str">
        <f>IF($A245="","",IF($A245=经营数据!$B$3,COUNTIFS($S$2:$S$3000,1,$A$2:$A$3000,$A245,$T$2:$T$3000,"&lt;"&amp;$T245)+1,""))</f>
        <v/>
      </c>
      <c r="V245" t="str">
        <f t="shared" si="55"/>
        <v>华威西营里农产品交易中心|服务量</v>
      </c>
      <c r="W245">
        <f t="shared" si="56"/>
        <v>221</v>
      </c>
      <c r="X245" t="str">
        <f t="shared" si="57"/>
        <v>华威西营里农产品交易中心|期初已出租面积</v>
      </c>
      <c r="Y245">
        <f t="shared" si="58"/>
        <v>221</v>
      </c>
      <c r="Z245">
        <f>IF($A245="",0,IF(AND($M245=1,$A245=经营数据!$B$3,$J245=经营数据!$BA$5,OR($I245=经营数据!$BA$4,COUNTIF(经营数据!$AA$9:$AA$38,$I245)&gt;0)),1,0))</f>
        <v>0</v>
      </c>
      <c r="AA245" t="str">
        <f t="shared" si="59"/>
        <v/>
      </c>
      <c r="AB245" t="str">
        <f t="shared" si="60"/>
        <v/>
      </c>
      <c r="AC245">
        <f>IF($A245="",0,IF(COUNTIF($A$2:$A245,$A245)=1,1,0))</f>
        <v>0</v>
      </c>
      <c r="AD245">
        <f t="shared" si="61"/>
        <v>4</v>
      </c>
      <c r="AE245" t="str">
        <f t="shared" si="62"/>
        <v>华威西营里农产品交易中心|期初已出租面积（平方米）</v>
      </c>
      <c r="BA245" t="s">
        <v>5640</v>
      </c>
      <c r="BB245" t="s">
        <v>5641</v>
      </c>
      <c r="BP245" s="47">
        <v>45730</v>
      </c>
      <c r="BQ245" s="29">
        <v>4.046538103157872E-2</v>
      </c>
    </row>
    <row r="246" spans="1:69" x14ac:dyDescent="0.4">
      <c r="A246" t="str">
        <f>IF(原始经营数据!$D247="","",原始经营数据!$D247)</f>
        <v>易方达华威农贸市场封闭式基础设施证券投资基金</v>
      </c>
      <c r="B246" t="str">
        <f>IF(原始经营数据!$D247="","",T(原始经营数据!$E247))</f>
        <v>华威西营里农产品交易中心</v>
      </c>
      <c r="C246" t="str">
        <f>IF(原始经营数据!$D247="","",原始经营数据!$F247)</f>
        <v>2021</v>
      </c>
      <c r="D246" t="str">
        <f>IF(原始经营数据!$D247="","",原始经营数据!$H247)</f>
        <v>各经营业态出租率表</v>
      </c>
      <c r="E246">
        <f>IF(原始经营数据!$D247="","",原始经营数据!$I247)</f>
        <v>100</v>
      </c>
      <c r="F246" t="str">
        <f>IF(原始经营数据!$D247="","",T(原始经营数据!$J247))</f>
        <v>%</v>
      </c>
      <c r="G246" t="str">
        <f>IF(原始经营数据!$D247="","",T(原始经营数据!$K247))</f>
        <v>干货/调味品</v>
      </c>
      <c r="H246" t="str">
        <f>IF(原始经营数据!$D247="","",原始经营数据!$G247)</f>
        <v>服务效率</v>
      </c>
      <c r="I246" t="str">
        <f>IF($A246="","",IF($B246&lt;&gt;"",$B246,IF(COUNTIFS(原始经营数据!$D$3:$D$3001,$A246,原始经营数据!$E$3:$E$3001,"",原始经营数据!$F$3:$F$3001,$C246,原始经营数据!$H$3:$H$3001,$D246,原始经营数据!$K$3:$K$3001,$G246)&gt;1,"基金整体·来源"&amp;原始经营数据!$A247,"基金整体")))</f>
        <v>华威西营里农产品交易中心</v>
      </c>
      <c r="J246" t="str">
        <f t="shared" si="48"/>
        <v>年度</v>
      </c>
      <c r="K246" t="str">
        <f t="shared" si="49"/>
        <v>各经营业态出租率表-干货/调味品（%）</v>
      </c>
      <c r="L246" t="str">
        <f t="shared" si="50"/>
        <v>华威西营里农产品交易中心|各经营业态出租率表-干货/调味品（%）|年度</v>
      </c>
      <c r="M246">
        <f>IF($A246="",0,IF(COUNTIF($L$2:$L246,$L246)=1,1,0))</f>
        <v>0</v>
      </c>
      <c r="N246">
        <f t="shared" si="51"/>
        <v>20210</v>
      </c>
      <c r="O246" t="str">
        <f t="shared" si="52"/>
        <v>易方达华威农贸市场封闭式基础设施证券投资基金|2021|年度</v>
      </c>
      <c r="P246">
        <f>IF($A246="",0,IF(COUNTIF($O$2:$O246,$O246)=1,1,0))</f>
        <v>0</v>
      </c>
      <c r="Q246" t="str">
        <f>IF(AND($P246=1,$A246=经营数据!$B$3,$J246=经营数据!$BA$5),COUNTIFS($P$2:$P$3000,1,$A$2:$A$3000,$A246,$J$2:$J$3000,$J246,$N$2:$N$3000,"&lt;"&amp;$N246)+1,"")</f>
        <v/>
      </c>
      <c r="R246" t="str">
        <f t="shared" si="53"/>
        <v>易方达华威农贸市场封闭式基础设施证券投资基金|华威西营里农产品交易中心</v>
      </c>
      <c r="S246">
        <f>IF($A246="",0,IF(COUNTIF($R$2:$R246,$R246)=1,1,0))</f>
        <v>0</v>
      </c>
      <c r="T246">
        <f t="shared" si="54"/>
        <v>204</v>
      </c>
      <c r="U246" t="str">
        <f>IF($A246="","",IF($A246=经营数据!$B$3,COUNTIFS($S$2:$S$3000,1,$A$2:$A$3000,$A246,$T$2:$T$3000,"&lt;"&amp;$T246)+1,""))</f>
        <v/>
      </c>
      <c r="V246" t="str">
        <f t="shared" si="55"/>
        <v>华威西营里农产品交易中心|服务效率</v>
      </c>
      <c r="W246">
        <f t="shared" si="56"/>
        <v>205</v>
      </c>
      <c r="X246" t="str">
        <f t="shared" si="57"/>
        <v>华威西营里农产品交易中心|各经营业态出租率表</v>
      </c>
      <c r="Y246">
        <f t="shared" si="58"/>
        <v>205</v>
      </c>
      <c r="Z246">
        <f>IF($A246="",0,IF(AND($M246=1,$A246=经营数据!$B$3,$J246=经营数据!$BA$5,OR($I246=经营数据!$BA$4,COUNTIF(经营数据!$AA$9:$AA$38,$I246)&gt;0)),1,0))</f>
        <v>0</v>
      </c>
      <c r="AA246" t="str">
        <f t="shared" si="59"/>
        <v/>
      </c>
      <c r="AB246" t="str">
        <f t="shared" si="60"/>
        <v/>
      </c>
      <c r="AC246">
        <f>IF($A246="",0,IF(COUNTIF($A$2:$A246,$A246)=1,1,0))</f>
        <v>0</v>
      </c>
      <c r="AD246">
        <f t="shared" si="61"/>
        <v>4</v>
      </c>
      <c r="AE246" t="str">
        <f t="shared" si="62"/>
        <v>华威西营里农产品交易中心|各经营业态出租率表-干货/调味品（%）</v>
      </c>
      <c r="BA246" t="s">
        <v>5642</v>
      </c>
      <c r="BB246" t="s">
        <v>5643</v>
      </c>
      <c r="BP246" s="47">
        <v>45733</v>
      </c>
      <c r="BQ246" s="29">
        <v>4.0148457845676923E-2</v>
      </c>
    </row>
    <row r="247" spans="1:69" x14ac:dyDescent="0.4">
      <c r="A247" t="str">
        <f>IF(原始经营数据!$D248="","",原始经营数据!$D248)</f>
        <v>易方达华威农贸市场封闭式基础设施证券投资基金</v>
      </c>
      <c r="B247" t="str">
        <f>IF(原始经营数据!$D248="","",T(原始经营数据!$E248))</f>
        <v>华威西营里农产品交易中心</v>
      </c>
      <c r="C247" t="str">
        <f>IF(原始经营数据!$D248="","",原始经营数据!$F248)</f>
        <v>2021</v>
      </c>
      <c r="D247" t="str">
        <f>IF(原始经营数据!$D248="","",原始经营数据!$H248)</f>
        <v>各经营业态出租率表</v>
      </c>
      <c r="E247">
        <f>IF(原始经营数据!$D248="","",原始经营数据!$I248)</f>
        <v>79</v>
      </c>
      <c r="F247" t="str">
        <f>IF(原始经营数据!$D248="","",T(原始经营数据!$J248))</f>
        <v>%</v>
      </c>
      <c r="G247" t="str">
        <f>IF(原始经营数据!$D248="","",T(原始经营数据!$K248))</f>
        <v>仓库</v>
      </c>
      <c r="H247" t="str">
        <f>IF(原始经营数据!$D248="","",原始经营数据!$G248)</f>
        <v>服务效率</v>
      </c>
      <c r="I247" t="str">
        <f>IF($A247="","",IF($B247&lt;&gt;"",$B247,IF(COUNTIFS(原始经营数据!$D$3:$D$3001,$A247,原始经营数据!$E$3:$E$3001,"",原始经营数据!$F$3:$F$3001,$C247,原始经营数据!$H$3:$H$3001,$D247,原始经营数据!$K$3:$K$3001,$G247)&gt;1,"基金整体·来源"&amp;原始经营数据!$A248,"基金整体")))</f>
        <v>华威西营里农产品交易中心</v>
      </c>
      <c r="J247" t="str">
        <f t="shared" si="48"/>
        <v>年度</v>
      </c>
      <c r="K247" t="str">
        <f t="shared" si="49"/>
        <v>各经营业态出租率表-仓库（%）</v>
      </c>
      <c r="L247" t="str">
        <f t="shared" si="50"/>
        <v>华威西营里农产品交易中心|各经营业态出租率表-仓库（%）|年度</v>
      </c>
      <c r="M247">
        <f>IF($A247="",0,IF(COUNTIF($L$2:$L247,$L247)=1,1,0))</f>
        <v>0</v>
      </c>
      <c r="N247">
        <f t="shared" si="51"/>
        <v>20210</v>
      </c>
      <c r="O247" t="str">
        <f t="shared" si="52"/>
        <v>易方达华威农贸市场封闭式基础设施证券投资基金|2021|年度</v>
      </c>
      <c r="P247">
        <f>IF($A247="",0,IF(COUNTIF($O$2:$O247,$O247)=1,1,0))</f>
        <v>0</v>
      </c>
      <c r="Q247" t="str">
        <f>IF(AND($P247=1,$A247=经营数据!$B$3,$J247=经营数据!$BA$5),COUNTIFS($P$2:$P$3000,1,$A$2:$A$3000,$A247,$J$2:$J$3000,$J247,$N$2:$N$3000,"&lt;"&amp;$N247)+1,"")</f>
        <v/>
      </c>
      <c r="R247" t="str">
        <f t="shared" si="53"/>
        <v>易方达华威农贸市场封闭式基础设施证券投资基金|华威西营里农产品交易中心</v>
      </c>
      <c r="S247">
        <f>IF($A247="",0,IF(COUNTIF($R$2:$R247,$R247)=1,1,0))</f>
        <v>0</v>
      </c>
      <c r="T247">
        <f t="shared" si="54"/>
        <v>204</v>
      </c>
      <c r="U247" t="str">
        <f>IF($A247="","",IF($A247=经营数据!$B$3,COUNTIFS($S$2:$S$3000,1,$A$2:$A$3000,$A247,$T$2:$T$3000,"&lt;"&amp;$T247)+1,""))</f>
        <v/>
      </c>
      <c r="V247" t="str">
        <f t="shared" si="55"/>
        <v>华威西营里农产品交易中心|服务效率</v>
      </c>
      <c r="W247">
        <f t="shared" si="56"/>
        <v>205</v>
      </c>
      <c r="X247" t="str">
        <f t="shared" si="57"/>
        <v>华威西营里农产品交易中心|各经营业态出租率表</v>
      </c>
      <c r="Y247">
        <f t="shared" si="58"/>
        <v>205</v>
      </c>
      <c r="Z247">
        <f>IF($A247="",0,IF(AND($M247=1,$A247=经营数据!$B$3,$J247=经营数据!$BA$5,OR($I247=经营数据!$BA$4,COUNTIF(经营数据!$AA$9:$AA$38,$I247)&gt;0)),1,0))</f>
        <v>0</v>
      </c>
      <c r="AA247" t="str">
        <f t="shared" si="59"/>
        <v/>
      </c>
      <c r="AB247" t="str">
        <f t="shared" si="60"/>
        <v/>
      </c>
      <c r="AC247">
        <f>IF($A247="",0,IF(COUNTIF($A$2:$A247,$A247)=1,1,0))</f>
        <v>0</v>
      </c>
      <c r="AD247">
        <f t="shared" si="61"/>
        <v>4</v>
      </c>
      <c r="AE247" t="str">
        <f t="shared" si="62"/>
        <v>华威西营里农产品交易中心|各经营业态出租率表-仓库（%）</v>
      </c>
      <c r="BA247" t="s">
        <v>5644</v>
      </c>
      <c r="BB247" t="s">
        <v>5527</v>
      </c>
      <c r="BP247" s="47">
        <v>45734</v>
      </c>
      <c r="BQ247" s="29">
        <v>4.0216238425324437E-2</v>
      </c>
    </row>
    <row r="248" spans="1:69" x14ac:dyDescent="0.4">
      <c r="A248" t="str">
        <f>IF(原始经营数据!$D249="","",原始经营数据!$D249)</f>
        <v>易方达华威农贸市场封闭式基础设施证券投资基金</v>
      </c>
      <c r="B248" t="str">
        <f>IF(原始经营数据!$D249="","",T(原始经营数据!$E249))</f>
        <v>华威西营里农产品交易中心</v>
      </c>
      <c r="C248" t="str">
        <f>IF(原始经营数据!$D249="","",原始经营数据!$F249)</f>
        <v>2021</v>
      </c>
      <c r="D248" t="str">
        <f>IF(原始经营数据!$D249="","",原始经营数据!$H249)</f>
        <v>各经营业态平均租金情况</v>
      </c>
      <c r="E248">
        <f>IF(原始经营数据!$D249="","",原始经营数据!$I249)</f>
        <v>216</v>
      </c>
      <c r="F248" t="str">
        <f>IF(原始经营数据!$D249="","",T(原始经营数据!$J249))</f>
        <v>元/平方米/月</v>
      </c>
      <c r="G248" t="str">
        <f>IF(原始经营数据!$D249="","",T(原始经营数据!$K249))</f>
        <v>水产品</v>
      </c>
      <c r="H248" t="str">
        <f>IF(原始经营数据!$D249="","",原始经营数据!$G249)</f>
        <v>服务价格</v>
      </c>
      <c r="I248" t="str">
        <f>IF($A248="","",IF($B248&lt;&gt;"",$B248,IF(COUNTIFS(原始经营数据!$D$3:$D$3001,$A248,原始经营数据!$E$3:$E$3001,"",原始经营数据!$F$3:$F$3001,$C248,原始经营数据!$H$3:$H$3001,$D248,原始经营数据!$K$3:$K$3001,$G248)&gt;1,"基金整体·来源"&amp;原始经营数据!$A249,"基金整体")))</f>
        <v>华威西营里农产品交易中心</v>
      </c>
      <c r="J248" t="str">
        <f t="shared" si="48"/>
        <v>年度</v>
      </c>
      <c r="K248" t="str">
        <f t="shared" si="49"/>
        <v>各经营业态平均租金情况-水产品（元/平方米/月）</v>
      </c>
      <c r="L248" t="str">
        <f t="shared" si="50"/>
        <v>华威西营里农产品交易中心|各经营业态平均租金情况-水产品（元/平方米/月）|年度</v>
      </c>
      <c r="M248">
        <f>IF($A248="",0,IF(COUNTIF($L$2:$L248,$L248)=1,1,0))</f>
        <v>0</v>
      </c>
      <c r="N248">
        <f t="shared" si="51"/>
        <v>20210</v>
      </c>
      <c r="O248" t="str">
        <f t="shared" si="52"/>
        <v>易方达华威农贸市场封闭式基础设施证券投资基金|2021|年度</v>
      </c>
      <c r="P248">
        <f>IF($A248="",0,IF(COUNTIF($O$2:$O248,$O248)=1,1,0))</f>
        <v>0</v>
      </c>
      <c r="Q248" t="str">
        <f>IF(AND($P248=1,$A248=经营数据!$B$3,$J248=经营数据!$BA$5),COUNTIFS($P$2:$P$3000,1,$A$2:$A$3000,$A248,$J$2:$J$3000,$J248,$N$2:$N$3000,"&lt;"&amp;$N248)+1,"")</f>
        <v/>
      </c>
      <c r="R248" t="str">
        <f t="shared" si="53"/>
        <v>易方达华威农贸市场封闭式基础设施证券投资基金|华威西营里农产品交易中心</v>
      </c>
      <c r="S248">
        <f>IF($A248="",0,IF(COUNTIF($R$2:$R248,$R248)=1,1,0))</f>
        <v>0</v>
      </c>
      <c r="T248">
        <f t="shared" si="54"/>
        <v>204</v>
      </c>
      <c r="U248" t="str">
        <f>IF($A248="","",IF($A248=经营数据!$B$3,COUNTIFS($S$2:$S$3000,1,$A$2:$A$3000,$A248,$T$2:$T$3000,"&lt;"&amp;$T248)+1,""))</f>
        <v/>
      </c>
      <c r="V248" t="str">
        <f t="shared" si="55"/>
        <v>华威西营里农产品交易中心|服务价格</v>
      </c>
      <c r="W248">
        <f t="shared" si="56"/>
        <v>204</v>
      </c>
      <c r="X248" t="str">
        <f t="shared" si="57"/>
        <v>华威西营里农产品交易中心|各经营业态平均租金情况</v>
      </c>
      <c r="Y248">
        <f t="shared" si="58"/>
        <v>204</v>
      </c>
      <c r="Z248">
        <f>IF($A248="",0,IF(AND($M248=1,$A248=经营数据!$B$3,$J248=经营数据!$BA$5,OR($I248=经营数据!$BA$4,COUNTIF(经营数据!$AA$9:$AA$38,$I248)&gt;0)),1,0))</f>
        <v>0</v>
      </c>
      <c r="AA248" t="str">
        <f t="shared" si="59"/>
        <v/>
      </c>
      <c r="AB248" t="str">
        <f t="shared" si="60"/>
        <v/>
      </c>
      <c r="AC248">
        <f>IF($A248="",0,IF(COUNTIF($A$2:$A248,$A248)=1,1,0))</f>
        <v>0</v>
      </c>
      <c r="AD248">
        <f t="shared" si="61"/>
        <v>4</v>
      </c>
      <c r="AE248" t="str">
        <f t="shared" si="62"/>
        <v>华威西营里农产品交易中心|各经营业态平均租金情况-水产品（元/平方米/月）</v>
      </c>
      <c r="BP248" s="47">
        <v>45735</v>
      </c>
      <c r="BQ248" s="29">
        <v>4.032230734195788E-2</v>
      </c>
    </row>
    <row r="249" spans="1:69" x14ac:dyDescent="0.4">
      <c r="A249" t="str">
        <f>IF(原始经营数据!$D250="","",原始经营数据!$D250)</f>
        <v>易方达华威农贸市场封闭式基础设施证券投资基金</v>
      </c>
      <c r="B249" t="str">
        <f>IF(原始经营数据!$D250="","",T(原始经营数据!$E250))</f>
        <v>华威西营里农产品交易中心</v>
      </c>
      <c r="C249" t="str">
        <f>IF(原始经营数据!$D250="","",原始经营数据!$F250)</f>
        <v>2021</v>
      </c>
      <c r="D249" t="str">
        <f>IF(原始经营数据!$D250="","",原始经营数据!$H250)</f>
        <v>续租租约的租赁面积</v>
      </c>
      <c r="E249">
        <f>IF(原始经营数据!$D250="","",原始经营数据!$I250)</f>
        <v>31785.81</v>
      </c>
      <c r="F249" t="str">
        <f>IF(原始经营数据!$D250="","",T(原始经营数据!$J250))</f>
        <v>平方米</v>
      </c>
      <c r="G249" t="str">
        <f>IF(原始经营数据!$D250="","",T(原始经营数据!$K250))</f>
        <v/>
      </c>
      <c r="H249" t="str">
        <f>IF(原始经营数据!$D250="","",原始经营数据!$G250)</f>
        <v>服务量</v>
      </c>
      <c r="I249" t="str">
        <f>IF($A249="","",IF($B249&lt;&gt;"",$B249,IF(COUNTIFS(原始经营数据!$D$3:$D$3001,$A249,原始经营数据!$E$3:$E$3001,"",原始经营数据!$F$3:$F$3001,$C249,原始经营数据!$H$3:$H$3001,$D249,原始经营数据!$K$3:$K$3001,$G249)&gt;1,"基金整体·来源"&amp;原始经营数据!$A250,"基金整体")))</f>
        <v>华威西营里农产品交易中心</v>
      </c>
      <c r="J249" t="str">
        <f t="shared" si="48"/>
        <v>年度</v>
      </c>
      <c r="K249" t="str">
        <f t="shared" si="49"/>
        <v>续租租约的租赁面积（平方米）</v>
      </c>
      <c r="L249" t="str">
        <f t="shared" si="50"/>
        <v>华威西营里农产品交易中心|续租租约的租赁面积（平方米）|年度</v>
      </c>
      <c r="M249">
        <f>IF($A249="",0,IF(COUNTIF($L$2:$L249,$L249)=1,1,0))</f>
        <v>0</v>
      </c>
      <c r="N249">
        <f t="shared" si="51"/>
        <v>20210</v>
      </c>
      <c r="O249" t="str">
        <f t="shared" si="52"/>
        <v>易方达华威农贸市场封闭式基础设施证券投资基金|2021|年度</v>
      </c>
      <c r="P249">
        <f>IF($A249="",0,IF(COUNTIF($O$2:$O249,$O249)=1,1,0))</f>
        <v>0</v>
      </c>
      <c r="Q249" t="str">
        <f>IF(AND($P249=1,$A249=经营数据!$B$3,$J249=经营数据!$BA$5),COUNTIFS($P$2:$P$3000,1,$A$2:$A$3000,$A249,$J$2:$J$3000,$J249,$N$2:$N$3000,"&lt;"&amp;$N249)+1,"")</f>
        <v/>
      </c>
      <c r="R249" t="str">
        <f t="shared" si="53"/>
        <v>易方达华威农贸市场封闭式基础设施证券投资基金|华威西营里农产品交易中心</v>
      </c>
      <c r="S249">
        <f>IF($A249="",0,IF(COUNTIF($R$2:$R249,$R249)=1,1,0))</f>
        <v>0</v>
      </c>
      <c r="T249">
        <f t="shared" si="54"/>
        <v>204</v>
      </c>
      <c r="U249" t="str">
        <f>IF($A249="","",IF($A249=经营数据!$B$3,COUNTIFS($S$2:$S$3000,1,$A$2:$A$3000,$A249,$T$2:$T$3000,"&lt;"&amp;$T249)+1,""))</f>
        <v/>
      </c>
      <c r="V249" t="str">
        <f t="shared" si="55"/>
        <v>华威西营里农产品交易中心|服务量</v>
      </c>
      <c r="W249">
        <f t="shared" si="56"/>
        <v>221</v>
      </c>
      <c r="X249" t="str">
        <f t="shared" si="57"/>
        <v>华威西营里农产品交易中心|续租租约的租赁面积</v>
      </c>
      <c r="Y249">
        <f t="shared" si="58"/>
        <v>224</v>
      </c>
      <c r="Z249">
        <f>IF($A249="",0,IF(AND($M249=1,$A249=经营数据!$B$3,$J249=经营数据!$BA$5,OR($I249=经营数据!$BA$4,COUNTIF(经营数据!$AA$9:$AA$38,$I249)&gt;0)),1,0))</f>
        <v>0</v>
      </c>
      <c r="AA249" t="str">
        <f t="shared" si="59"/>
        <v/>
      </c>
      <c r="AB249" t="str">
        <f t="shared" si="60"/>
        <v/>
      </c>
      <c r="AC249">
        <f>IF($A249="",0,IF(COUNTIF($A$2:$A249,$A249)=1,1,0))</f>
        <v>0</v>
      </c>
      <c r="AD249">
        <f t="shared" si="61"/>
        <v>4</v>
      </c>
      <c r="AE249" t="str">
        <f t="shared" si="62"/>
        <v>华威西营里农产品交易中心|续租租约的租赁面积（平方米）</v>
      </c>
      <c r="BP249" s="47">
        <v>45736</v>
      </c>
      <c r="BQ249" s="29">
        <v>4.0362607116092797E-2</v>
      </c>
    </row>
    <row r="250" spans="1:69" x14ac:dyDescent="0.4">
      <c r="A250" t="str">
        <f>IF(原始经营数据!$D251="","",原始经营数据!$D251)</f>
        <v>易方达华威农贸市场封闭式基础设施证券投资基金</v>
      </c>
      <c r="B250" t="str">
        <f>IF(原始经营数据!$D251="","",T(原始经营数据!$E251))</f>
        <v>华威西营里农产品交易中心</v>
      </c>
      <c r="C250" t="str">
        <f>IF(原始经营数据!$D251="","",原始经营数据!$F251)</f>
        <v>2021</v>
      </c>
      <c r="D250" t="str">
        <f>IF(原始经营数据!$D251="","",原始经营数据!$H251)</f>
        <v>到期租约的租赁面积</v>
      </c>
      <c r="E250">
        <f>IF(原始经营数据!$D251="","",原始经营数据!$I251)</f>
        <v>35288.959999999999</v>
      </c>
      <c r="F250" t="str">
        <f>IF(原始经营数据!$D251="","",T(原始经营数据!$J251))</f>
        <v>平方米</v>
      </c>
      <c r="G250" t="str">
        <f>IF(原始经营数据!$D251="","",T(原始经营数据!$K251))</f>
        <v/>
      </c>
      <c r="H250" t="str">
        <f>IF(原始经营数据!$D251="","",原始经营数据!$G251)</f>
        <v>服务量</v>
      </c>
      <c r="I250" t="str">
        <f>IF($A250="","",IF($B250&lt;&gt;"",$B250,IF(COUNTIFS(原始经营数据!$D$3:$D$3001,$A250,原始经营数据!$E$3:$E$3001,"",原始经营数据!$F$3:$F$3001,$C250,原始经营数据!$H$3:$H$3001,$D250,原始经营数据!$K$3:$K$3001,$G250)&gt;1,"基金整体·来源"&amp;原始经营数据!$A251,"基金整体")))</f>
        <v>华威西营里农产品交易中心</v>
      </c>
      <c r="J250" t="str">
        <f t="shared" si="48"/>
        <v>年度</v>
      </c>
      <c r="K250" t="str">
        <f t="shared" si="49"/>
        <v>到期租约的租赁面积（平方米）</v>
      </c>
      <c r="L250" t="str">
        <f t="shared" si="50"/>
        <v>华威西营里农产品交易中心|到期租约的租赁面积（平方米）|年度</v>
      </c>
      <c r="M250">
        <f>IF($A250="",0,IF(COUNTIF($L$2:$L250,$L250)=1,1,0))</f>
        <v>0</v>
      </c>
      <c r="N250">
        <f t="shared" si="51"/>
        <v>20210</v>
      </c>
      <c r="O250" t="str">
        <f t="shared" si="52"/>
        <v>易方达华威农贸市场封闭式基础设施证券投资基金|2021|年度</v>
      </c>
      <c r="P250">
        <f>IF($A250="",0,IF(COUNTIF($O$2:$O250,$O250)=1,1,0))</f>
        <v>0</v>
      </c>
      <c r="Q250" t="str">
        <f>IF(AND($P250=1,$A250=经营数据!$B$3,$J250=经营数据!$BA$5),COUNTIFS($P$2:$P$3000,1,$A$2:$A$3000,$A250,$J$2:$J$3000,$J250,$N$2:$N$3000,"&lt;"&amp;$N250)+1,"")</f>
        <v/>
      </c>
      <c r="R250" t="str">
        <f t="shared" si="53"/>
        <v>易方达华威农贸市场封闭式基础设施证券投资基金|华威西营里农产品交易中心</v>
      </c>
      <c r="S250">
        <f>IF($A250="",0,IF(COUNTIF($R$2:$R250,$R250)=1,1,0))</f>
        <v>0</v>
      </c>
      <c r="T250">
        <f t="shared" si="54"/>
        <v>204</v>
      </c>
      <c r="U250" t="str">
        <f>IF($A250="","",IF($A250=经营数据!$B$3,COUNTIFS($S$2:$S$3000,1,$A$2:$A$3000,$A250,$T$2:$T$3000,"&lt;"&amp;$T250)+1,""))</f>
        <v/>
      </c>
      <c r="V250" t="str">
        <f t="shared" si="55"/>
        <v>华威西营里农产品交易中心|服务量</v>
      </c>
      <c r="W250">
        <f t="shared" si="56"/>
        <v>221</v>
      </c>
      <c r="X250" t="str">
        <f t="shared" si="57"/>
        <v>华威西营里农产品交易中心|到期租约的租赁面积</v>
      </c>
      <c r="Y250">
        <f t="shared" si="58"/>
        <v>225</v>
      </c>
      <c r="Z250">
        <f>IF($A250="",0,IF(AND($M250=1,$A250=经营数据!$B$3,$J250=经营数据!$BA$5,OR($I250=经营数据!$BA$4,COUNTIF(经营数据!$AA$9:$AA$38,$I250)&gt;0)),1,0))</f>
        <v>0</v>
      </c>
      <c r="AA250" t="str">
        <f t="shared" si="59"/>
        <v/>
      </c>
      <c r="AB250" t="str">
        <f t="shared" si="60"/>
        <v/>
      </c>
      <c r="AC250">
        <f>IF($A250="",0,IF(COUNTIF($A$2:$A250,$A250)=1,1,0))</f>
        <v>0</v>
      </c>
      <c r="AD250">
        <f t="shared" si="61"/>
        <v>4</v>
      </c>
      <c r="AE250" t="str">
        <f t="shared" si="62"/>
        <v>华威西营里农产品交易中心|到期租约的租赁面积（平方米）</v>
      </c>
      <c r="BP250" s="47">
        <v>45737</v>
      </c>
      <c r="BQ250" s="29">
        <v>4.0403711925542901E-2</v>
      </c>
    </row>
    <row r="251" spans="1:69" x14ac:dyDescent="0.4">
      <c r="A251" t="str">
        <f>IF(原始经营数据!$D252="","",原始经营数据!$D252)</f>
        <v>易方达华威农贸市场封闭式基础设施证券投资基金</v>
      </c>
      <c r="B251" t="str">
        <f>IF(原始经营数据!$D252="","",T(原始经营数据!$E252))</f>
        <v>华威西营里农产品交易中心</v>
      </c>
      <c r="C251" t="str">
        <f>IF(原始经营数据!$D252="","",原始经营数据!$F252)</f>
        <v>2022</v>
      </c>
      <c r="D251" t="str">
        <f>IF(原始经营数据!$D252="","",原始经营数据!$H252)</f>
        <v>各经营业态出租率表</v>
      </c>
      <c r="E251">
        <f>IF(原始经营数据!$D252="","",原始经营数据!$I252)</f>
        <v>95</v>
      </c>
      <c r="F251" t="str">
        <f>IF(原始经营数据!$D252="","",T(原始经营数据!$J252))</f>
        <v>%</v>
      </c>
      <c r="G251" t="str">
        <f>IF(原始经营数据!$D252="","",T(原始经营数据!$K252))</f>
        <v>水产品</v>
      </c>
      <c r="H251" t="str">
        <f>IF(原始经营数据!$D252="","",原始经营数据!$G252)</f>
        <v>服务效率</v>
      </c>
      <c r="I251" t="str">
        <f>IF($A251="","",IF($B251&lt;&gt;"",$B251,IF(COUNTIFS(原始经营数据!$D$3:$D$3001,$A251,原始经营数据!$E$3:$E$3001,"",原始经营数据!$F$3:$F$3001,$C251,原始经营数据!$H$3:$H$3001,$D251,原始经营数据!$K$3:$K$3001,$G251)&gt;1,"基金整体·来源"&amp;原始经营数据!$A252,"基金整体")))</f>
        <v>华威西营里农产品交易中心</v>
      </c>
      <c r="J251" t="str">
        <f t="shared" si="48"/>
        <v>年度</v>
      </c>
      <c r="K251" t="str">
        <f t="shared" si="49"/>
        <v>各经营业态出租率表-水产品（%）</v>
      </c>
      <c r="L251" t="str">
        <f t="shared" si="50"/>
        <v>华威西营里农产品交易中心|各经营业态出租率表-水产品（%）|年度</v>
      </c>
      <c r="M251">
        <f>IF($A251="",0,IF(COUNTIF($L$2:$L251,$L251)=1,1,0))</f>
        <v>0</v>
      </c>
      <c r="N251">
        <f t="shared" si="51"/>
        <v>20220</v>
      </c>
      <c r="O251" t="str">
        <f t="shared" si="52"/>
        <v>易方达华威农贸市场封闭式基础设施证券投资基金|2022|年度</v>
      </c>
      <c r="P251">
        <f>IF($A251="",0,IF(COUNTIF($O$2:$O251,$O251)=1,1,0))</f>
        <v>1</v>
      </c>
      <c r="Q251" t="str">
        <f>IF(AND($P251=1,$A251=经营数据!$B$3,$J251=经营数据!$BA$5),COUNTIFS($P$2:$P$3000,1,$A$2:$A$3000,$A251,$J$2:$J$3000,$J251,$N$2:$N$3000,"&lt;"&amp;$N251)+1,"")</f>
        <v/>
      </c>
      <c r="R251" t="str">
        <f t="shared" si="53"/>
        <v>易方达华威农贸市场封闭式基础设施证券投资基金|华威西营里农产品交易中心</v>
      </c>
      <c r="S251">
        <f>IF($A251="",0,IF(COUNTIF($R$2:$R251,$R251)=1,1,0))</f>
        <v>0</v>
      </c>
      <c r="T251">
        <f t="shared" si="54"/>
        <v>204</v>
      </c>
      <c r="U251" t="str">
        <f>IF($A251="","",IF($A251=经营数据!$B$3,COUNTIFS($S$2:$S$3000,1,$A$2:$A$3000,$A251,$T$2:$T$3000,"&lt;"&amp;$T251)+1,""))</f>
        <v/>
      </c>
      <c r="V251" t="str">
        <f t="shared" si="55"/>
        <v>华威西营里农产品交易中心|服务效率</v>
      </c>
      <c r="W251">
        <f t="shared" si="56"/>
        <v>205</v>
      </c>
      <c r="X251" t="str">
        <f t="shared" si="57"/>
        <v>华威西营里农产品交易中心|各经营业态出租率表</v>
      </c>
      <c r="Y251">
        <f t="shared" si="58"/>
        <v>205</v>
      </c>
      <c r="Z251">
        <f>IF($A251="",0,IF(AND($M251=1,$A251=经营数据!$B$3,$J251=经营数据!$BA$5,OR($I251=经营数据!$BA$4,COUNTIF(经营数据!$AA$9:$AA$38,$I251)&gt;0)),1,0))</f>
        <v>0</v>
      </c>
      <c r="AA251" t="str">
        <f t="shared" si="59"/>
        <v/>
      </c>
      <c r="AB251" t="str">
        <f t="shared" si="60"/>
        <v/>
      </c>
      <c r="AC251">
        <f>IF($A251="",0,IF(COUNTIF($A$2:$A251,$A251)=1,1,0))</f>
        <v>0</v>
      </c>
      <c r="AD251">
        <f t="shared" si="61"/>
        <v>4</v>
      </c>
      <c r="AE251" t="str">
        <f t="shared" si="62"/>
        <v>华威西营里农产品交易中心|各经营业态出租率表-水产品（%）</v>
      </c>
      <c r="BP251" s="47">
        <v>45740</v>
      </c>
      <c r="BQ251" s="29">
        <v>4.0411247227960703E-2</v>
      </c>
    </row>
    <row r="252" spans="1:69" x14ac:dyDescent="0.4">
      <c r="A252" t="str">
        <f>IF(原始经营数据!$D253="","",原始经营数据!$D253)</f>
        <v>易方达华威农贸市场封闭式基础设施证券投资基金</v>
      </c>
      <c r="B252" t="str">
        <f>IF(原始经营数据!$D253="","",T(原始经营数据!$E253))</f>
        <v>华威西营里农产品交易中心</v>
      </c>
      <c r="C252" t="str">
        <f>IF(原始经营数据!$D253="","",原始经营数据!$F253)</f>
        <v>2022</v>
      </c>
      <c r="D252" t="str">
        <f>IF(原始经营数据!$D253="","",原始经营数据!$H253)</f>
        <v>各经营业态出租率表</v>
      </c>
      <c r="E252">
        <f>IF(原始经营数据!$D253="","",原始经营数据!$I253)</f>
        <v>99</v>
      </c>
      <c r="F252" t="str">
        <f>IF(原始经营数据!$D253="","",T(原始经营数据!$J253))</f>
        <v>%</v>
      </c>
      <c r="G252" t="str">
        <f>IF(原始经营数据!$D253="","",T(原始经营数据!$K253))</f>
        <v>肉禽</v>
      </c>
      <c r="H252" t="str">
        <f>IF(原始经营数据!$D253="","",原始经营数据!$G253)</f>
        <v>服务效率</v>
      </c>
      <c r="I252" t="str">
        <f>IF($A252="","",IF($B252&lt;&gt;"",$B252,IF(COUNTIFS(原始经营数据!$D$3:$D$3001,$A252,原始经营数据!$E$3:$E$3001,"",原始经营数据!$F$3:$F$3001,$C252,原始经营数据!$H$3:$H$3001,$D252,原始经营数据!$K$3:$K$3001,$G252)&gt;1,"基金整体·来源"&amp;原始经营数据!$A253,"基金整体")))</f>
        <v>华威西营里农产品交易中心</v>
      </c>
      <c r="J252" t="str">
        <f t="shared" si="48"/>
        <v>年度</v>
      </c>
      <c r="K252" t="str">
        <f t="shared" si="49"/>
        <v>各经营业态出租率表-肉禽（%）</v>
      </c>
      <c r="L252" t="str">
        <f t="shared" si="50"/>
        <v>华威西营里农产品交易中心|各经营业态出租率表-肉禽（%）|年度</v>
      </c>
      <c r="M252">
        <f>IF($A252="",0,IF(COUNTIF($L$2:$L252,$L252)=1,1,0))</f>
        <v>0</v>
      </c>
      <c r="N252">
        <f t="shared" si="51"/>
        <v>20220</v>
      </c>
      <c r="O252" t="str">
        <f t="shared" si="52"/>
        <v>易方达华威农贸市场封闭式基础设施证券投资基金|2022|年度</v>
      </c>
      <c r="P252">
        <f>IF($A252="",0,IF(COUNTIF($O$2:$O252,$O252)=1,1,0))</f>
        <v>0</v>
      </c>
      <c r="Q252" t="str">
        <f>IF(AND($P252=1,$A252=经营数据!$B$3,$J252=经营数据!$BA$5),COUNTIFS($P$2:$P$3000,1,$A$2:$A$3000,$A252,$J$2:$J$3000,$J252,$N$2:$N$3000,"&lt;"&amp;$N252)+1,"")</f>
        <v/>
      </c>
      <c r="R252" t="str">
        <f t="shared" si="53"/>
        <v>易方达华威农贸市场封闭式基础设施证券投资基金|华威西营里农产品交易中心</v>
      </c>
      <c r="S252">
        <f>IF($A252="",0,IF(COUNTIF($R$2:$R252,$R252)=1,1,0))</f>
        <v>0</v>
      </c>
      <c r="T252">
        <f t="shared" si="54"/>
        <v>204</v>
      </c>
      <c r="U252" t="str">
        <f>IF($A252="","",IF($A252=经营数据!$B$3,COUNTIFS($S$2:$S$3000,1,$A$2:$A$3000,$A252,$T$2:$T$3000,"&lt;"&amp;$T252)+1,""))</f>
        <v/>
      </c>
      <c r="V252" t="str">
        <f t="shared" si="55"/>
        <v>华威西营里农产品交易中心|服务效率</v>
      </c>
      <c r="W252">
        <f t="shared" si="56"/>
        <v>205</v>
      </c>
      <c r="X252" t="str">
        <f t="shared" si="57"/>
        <v>华威西营里农产品交易中心|各经营业态出租率表</v>
      </c>
      <c r="Y252">
        <f t="shared" si="58"/>
        <v>205</v>
      </c>
      <c r="Z252">
        <f>IF($A252="",0,IF(AND($M252=1,$A252=经营数据!$B$3,$J252=经营数据!$BA$5,OR($I252=经营数据!$BA$4,COUNTIF(经营数据!$AA$9:$AA$38,$I252)&gt;0)),1,0))</f>
        <v>0</v>
      </c>
      <c r="AA252" t="str">
        <f t="shared" si="59"/>
        <v/>
      </c>
      <c r="AB252" t="str">
        <f t="shared" si="60"/>
        <v/>
      </c>
      <c r="AC252">
        <f>IF($A252="",0,IF(COUNTIF($A$2:$A252,$A252)=1,1,0))</f>
        <v>0</v>
      </c>
      <c r="AD252">
        <f t="shared" si="61"/>
        <v>4</v>
      </c>
      <c r="AE252" t="str">
        <f t="shared" si="62"/>
        <v>华威西营里农产品交易中心|各经营业态出租率表-肉禽（%）</v>
      </c>
      <c r="BP252" s="47">
        <v>45741</v>
      </c>
      <c r="BQ252" s="29">
        <v>4.0134014205367129E-2</v>
      </c>
    </row>
    <row r="253" spans="1:69" x14ac:dyDescent="0.4">
      <c r="A253" t="str">
        <f>IF(原始经营数据!$D254="","",原始经营数据!$D254)</f>
        <v>易方达华威农贸市场封闭式基础设施证券投资基金</v>
      </c>
      <c r="B253" t="str">
        <f>IF(原始经营数据!$D254="","",T(原始经营数据!$E254))</f>
        <v>华威西营里农产品交易中心</v>
      </c>
      <c r="C253" t="str">
        <f>IF(原始经营数据!$D254="","",原始经营数据!$F254)</f>
        <v>2022</v>
      </c>
      <c r="D253" t="str">
        <f>IF(原始经营数据!$D254="","",原始经营数据!$H254)</f>
        <v>各经营业态出租率表</v>
      </c>
      <c r="E253">
        <f>IF(原始经营数据!$D254="","",原始经营数据!$I254)</f>
        <v>50</v>
      </c>
      <c r="F253" t="str">
        <f>IF(原始经营数据!$D254="","",T(原始经营数据!$J254))</f>
        <v>%</v>
      </c>
      <c r="G253" t="str">
        <f>IF(原始经营数据!$D254="","",T(原始经营数据!$K254))</f>
        <v>商业配套</v>
      </c>
      <c r="H253" t="str">
        <f>IF(原始经营数据!$D254="","",原始经营数据!$G254)</f>
        <v>服务效率</v>
      </c>
      <c r="I253" t="str">
        <f>IF($A253="","",IF($B253&lt;&gt;"",$B253,IF(COUNTIFS(原始经营数据!$D$3:$D$3001,$A253,原始经营数据!$E$3:$E$3001,"",原始经营数据!$F$3:$F$3001,$C253,原始经营数据!$H$3:$H$3001,$D253,原始经营数据!$K$3:$K$3001,$G253)&gt;1,"基金整体·来源"&amp;原始经营数据!$A254,"基金整体")))</f>
        <v>华威西营里农产品交易中心</v>
      </c>
      <c r="J253" t="str">
        <f t="shared" si="48"/>
        <v>年度</v>
      </c>
      <c r="K253" t="str">
        <f t="shared" si="49"/>
        <v>各经营业态出租率表-商业配套（%）</v>
      </c>
      <c r="L253" t="str">
        <f t="shared" si="50"/>
        <v>华威西营里农产品交易中心|各经营业态出租率表-商业配套（%）|年度</v>
      </c>
      <c r="M253">
        <f>IF($A253="",0,IF(COUNTIF($L$2:$L253,$L253)=1,1,0))</f>
        <v>0</v>
      </c>
      <c r="N253">
        <f t="shared" si="51"/>
        <v>20220</v>
      </c>
      <c r="O253" t="str">
        <f t="shared" si="52"/>
        <v>易方达华威农贸市场封闭式基础设施证券投资基金|2022|年度</v>
      </c>
      <c r="P253">
        <f>IF($A253="",0,IF(COUNTIF($O$2:$O253,$O253)=1,1,0))</f>
        <v>0</v>
      </c>
      <c r="Q253" t="str">
        <f>IF(AND($P253=1,$A253=经营数据!$B$3,$J253=经营数据!$BA$5),COUNTIFS($P$2:$P$3000,1,$A$2:$A$3000,$A253,$J$2:$J$3000,$J253,$N$2:$N$3000,"&lt;"&amp;$N253)+1,"")</f>
        <v/>
      </c>
      <c r="R253" t="str">
        <f t="shared" si="53"/>
        <v>易方达华威农贸市场封闭式基础设施证券投资基金|华威西营里农产品交易中心</v>
      </c>
      <c r="S253">
        <f>IF($A253="",0,IF(COUNTIF($R$2:$R253,$R253)=1,1,0))</f>
        <v>0</v>
      </c>
      <c r="T253">
        <f t="shared" si="54"/>
        <v>204</v>
      </c>
      <c r="U253" t="str">
        <f>IF($A253="","",IF($A253=经营数据!$B$3,COUNTIFS($S$2:$S$3000,1,$A$2:$A$3000,$A253,$T$2:$T$3000,"&lt;"&amp;$T253)+1,""))</f>
        <v/>
      </c>
      <c r="V253" t="str">
        <f t="shared" si="55"/>
        <v>华威西营里农产品交易中心|服务效率</v>
      </c>
      <c r="W253">
        <f t="shared" si="56"/>
        <v>205</v>
      </c>
      <c r="X253" t="str">
        <f t="shared" si="57"/>
        <v>华威西营里农产品交易中心|各经营业态出租率表</v>
      </c>
      <c r="Y253">
        <f t="shared" si="58"/>
        <v>205</v>
      </c>
      <c r="Z253">
        <f>IF($A253="",0,IF(AND($M253=1,$A253=经营数据!$B$3,$J253=经营数据!$BA$5,OR($I253=经营数据!$BA$4,COUNTIF(经营数据!$AA$9:$AA$38,$I253)&gt;0)),1,0))</f>
        <v>0</v>
      </c>
      <c r="AA253" t="str">
        <f t="shared" si="59"/>
        <v/>
      </c>
      <c r="AB253" t="str">
        <f t="shared" si="60"/>
        <v/>
      </c>
      <c r="AC253">
        <f>IF($A253="",0,IF(COUNTIF($A$2:$A253,$A253)=1,1,0))</f>
        <v>0</v>
      </c>
      <c r="AD253">
        <f t="shared" si="61"/>
        <v>4</v>
      </c>
      <c r="AE253" t="str">
        <f t="shared" si="62"/>
        <v>华威西营里农产品交易中心|各经营业态出租率表-商业配套（%）</v>
      </c>
      <c r="BP253" s="47">
        <v>45742</v>
      </c>
      <c r="BQ253" s="29">
        <v>3.992270172092463E-2</v>
      </c>
    </row>
    <row r="254" spans="1:69" x14ac:dyDescent="0.4">
      <c r="A254" t="str">
        <f>IF(原始经营数据!$D255="","",原始经营数据!$D255)</f>
        <v>易方达华威农贸市场封闭式基础设施证券投资基金</v>
      </c>
      <c r="B254" t="str">
        <f>IF(原始经营数据!$D255="","",T(原始经营数据!$E255))</f>
        <v>华威西营里农产品交易中心</v>
      </c>
      <c r="C254" t="str">
        <f>IF(原始经营数据!$D255="","",原始经营数据!$F255)</f>
        <v>2022</v>
      </c>
      <c r="D254" t="str">
        <f>IF(原始经营数据!$D255="","",原始经营数据!$H255)</f>
        <v>各经营业态出租率表</v>
      </c>
      <c r="E254">
        <f>IF(原始经营数据!$D255="","",原始经营数据!$I255)</f>
        <v>99</v>
      </c>
      <c r="F254" t="str">
        <f>IF(原始经营数据!$D255="","",T(原始经营数据!$J255))</f>
        <v>%</v>
      </c>
      <c r="G254" t="str">
        <f>IF(原始经营数据!$D255="","",T(原始经营数据!$K255))</f>
        <v>蔬果</v>
      </c>
      <c r="H254" t="str">
        <f>IF(原始经营数据!$D255="","",原始经营数据!$G255)</f>
        <v>服务效率</v>
      </c>
      <c r="I254" t="str">
        <f>IF($A254="","",IF($B254&lt;&gt;"",$B254,IF(COUNTIFS(原始经营数据!$D$3:$D$3001,$A254,原始经营数据!$E$3:$E$3001,"",原始经营数据!$F$3:$F$3001,$C254,原始经营数据!$H$3:$H$3001,$D254,原始经营数据!$K$3:$K$3001,$G254)&gt;1,"基金整体·来源"&amp;原始经营数据!$A255,"基金整体")))</f>
        <v>华威西营里农产品交易中心</v>
      </c>
      <c r="J254" t="str">
        <f t="shared" si="48"/>
        <v>年度</v>
      </c>
      <c r="K254" t="str">
        <f t="shared" si="49"/>
        <v>各经营业态出租率表-蔬果（%）</v>
      </c>
      <c r="L254" t="str">
        <f t="shared" si="50"/>
        <v>华威西营里农产品交易中心|各经营业态出租率表-蔬果（%）|年度</v>
      </c>
      <c r="M254">
        <f>IF($A254="",0,IF(COUNTIF($L$2:$L254,$L254)=1,1,0))</f>
        <v>0</v>
      </c>
      <c r="N254">
        <f t="shared" si="51"/>
        <v>20220</v>
      </c>
      <c r="O254" t="str">
        <f t="shared" si="52"/>
        <v>易方达华威农贸市场封闭式基础设施证券投资基金|2022|年度</v>
      </c>
      <c r="P254">
        <f>IF($A254="",0,IF(COUNTIF($O$2:$O254,$O254)=1,1,0))</f>
        <v>0</v>
      </c>
      <c r="Q254" t="str">
        <f>IF(AND($P254=1,$A254=经营数据!$B$3,$J254=经营数据!$BA$5),COUNTIFS($P$2:$P$3000,1,$A$2:$A$3000,$A254,$J$2:$J$3000,$J254,$N$2:$N$3000,"&lt;"&amp;$N254)+1,"")</f>
        <v/>
      </c>
      <c r="R254" t="str">
        <f t="shared" si="53"/>
        <v>易方达华威农贸市场封闭式基础设施证券投资基金|华威西营里农产品交易中心</v>
      </c>
      <c r="S254">
        <f>IF($A254="",0,IF(COUNTIF($R$2:$R254,$R254)=1,1,0))</f>
        <v>0</v>
      </c>
      <c r="T254">
        <f t="shared" si="54"/>
        <v>204</v>
      </c>
      <c r="U254" t="str">
        <f>IF($A254="","",IF($A254=经营数据!$B$3,COUNTIFS($S$2:$S$3000,1,$A$2:$A$3000,$A254,$T$2:$T$3000,"&lt;"&amp;$T254)+1,""))</f>
        <v/>
      </c>
      <c r="V254" t="str">
        <f t="shared" si="55"/>
        <v>华威西营里农产品交易中心|服务效率</v>
      </c>
      <c r="W254">
        <f t="shared" si="56"/>
        <v>205</v>
      </c>
      <c r="X254" t="str">
        <f t="shared" si="57"/>
        <v>华威西营里农产品交易中心|各经营业态出租率表</v>
      </c>
      <c r="Y254">
        <f t="shared" si="58"/>
        <v>205</v>
      </c>
      <c r="Z254">
        <f>IF($A254="",0,IF(AND($M254=1,$A254=经营数据!$B$3,$J254=经营数据!$BA$5,OR($I254=经营数据!$BA$4,COUNTIF(经营数据!$AA$9:$AA$38,$I254)&gt;0)),1,0))</f>
        <v>0</v>
      </c>
      <c r="AA254" t="str">
        <f t="shared" si="59"/>
        <v/>
      </c>
      <c r="AB254" t="str">
        <f t="shared" si="60"/>
        <v/>
      </c>
      <c r="AC254">
        <f>IF($A254="",0,IF(COUNTIF($A$2:$A254,$A254)=1,1,0))</f>
        <v>0</v>
      </c>
      <c r="AD254">
        <f t="shared" si="61"/>
        <v>4</v>
      </c>
      <c r="AE254" t="str">
        <f t="shared" si="62"/>
        <v>华威西营里农产品交易中心|各经营业态出租率表-蔬果（%）</v>
      </c>
      <c r="BP254" s="47">
        <v>45743</v>
      </c>
      <c r="BQ254" s="29">
        <v>3.975634128321566E-2</v>
      </c>
    </row>
    <row r="255" spans="1:69" x14ac:dyDescent="0.4">
      <c r="A255" t="str">
        <f>IF(原始经营数据!$D256="","",原始经营数据!$D256)</f>
        <v>易方达华威农贸市场封闭式基础设施证券投资基金</v>
      </c>
      <c r="B255" t="str">
        <f>IF(原始经营数据!$D256="","",T(原始经营数据!$E256))</f>
        <v>华威西营里农产品交易中心</v>
      </c>
      <c r="C255" t="str">
        <f>IF(原始经营数据!$D256="","",原始经营数据!$F256)</f>
        <v>2022</v>
      </c>
      <c r="D255" t="str">
        <f>IF(原始经营数据!$D256="","",原始经营数据!$H256)</f>
        <v>各经营业态出租率表</v>
      </c>
      <c r="E255">
        <f>IF(原始经营数据!$D256="","",原始经营数据!$I256)</f>
        <v>95</v>
      </c>
      <c r="F255" t="str">
        <f>IF(原始经营数据!$D256="","",T(原始经营数据!$J256))</f>
        <v>%</v>
      </c>
      <c r="G255" t="str">
        <f>IF(原始经营数据!$D256="","",T(原始经营数据!$K256))</f>
        <v>冻品</v>
      </c>
      <c r="H255" t="str">
        <f>IF(原始经营数据!$D256="","",原始经营数据!$G256)</f>
        <v>服务效率</v>
      </c>
      <c r="I255" t="str">
        <f>IF($A255="","",IF($B255&lt;&gt;"",$B255,IF(COUNTIFS(原始经营数据!$D$3:$D$3001,$A255,原始经营数据!$E$3:$E$3001,"",原始经营数据!$F$3:$F$3001,$C255,原始经营数据!$H$3:$H$3001,$D255,原始经营数据!$K$3:$K$3001,$G255)&gt;1,"基金整体·来源"&amp;原始经营数据!$A256,"基金整体")))</f>
        <v>华威西营里农产品交易中心</v>
      </c>
      <c r="J255" t="str">
        <f t="shared" si="48"/>
        <v>年度</v>
      </c>
      <c r="K255" t="str">
        <f t="shared" si="49"/>
        <v>各经营业态出租率表-冻品（%）</v>
      </c>
      <c r="L255" t="str">
        <f t="shared" si="50"/>
        <v>华威西营里农产品交易中心|各经营业态出租率表-冻品（%）|年度</v>
      </c>
      <c r="M255">
        <f>IF($A255="",0,IF(COUNTIF($L$2:$L255,$L255)=1,1,0))</f>
        <v>0</v>
      </c>
      <c r="N255">
        <f t="shared" si="51"/>
        <v>20220</v>
      </c>
      <c r="O255" t="str">
        <f t="shared" si="52"/>
        <v>易方达华威农贸市场封闭式基础设施证券投资基金|2022|年度</v>
      </c>
      <c r="P255">
        <f>IF($A255="",0,IF(COUNTIF($O$2:$O255,$O255)=1,1,0))</f>
        <v>0</v>
      </c>
      <c r="Q255" t="str">
        <f>IF(AND($P255=1,$A255=经营数据!$B$3,$J255=经营数据!$BA$5),COUNTIFS($P$2:$P$3000,1,$A$2:$A$3000,$A255,$J$2:$J$3000,$J255,$N$2:$N$3000,"&lt;"&amp;$N255)+1,"")</f>
        <v/>
      </c>
      <c r="R255" t="str">
        <f t="shared" si="53"/>
        <v>易方达华威农贸市场封闭式基础设施证券投资基金|华威西营里农产品交易中心</v>
      </c>
      <c r="S255">
        <f>IF($A255="",0,IF(COUNTIF($R$2:$R255,$R255)=1,1,0))</f>
        <v>0</v>
      </c>
      <c r="T255">
        <f t="shared" si="54"/>
        <v>204</v>
      </c>
      <c r="U255" t="str">
        <f>IF($A255="","",IF($A255=经营数据!$B$3,COUNTIFS($S$2:$S$3000,1,$A$2:$A$3000,$A255,$T$2:$T$3000,"&lt;"&amp;$T255)+1,""))</f>
        <v/>
      </c>
      <c r="V255" t="str">
        <f t="shared" si="55"/>
        <v>华威西营里农产品交易中心|服务效率</v>
      </c>
      <c r="W255">
        <f t="shared" si="56"/>
        <v>205</v>
      </c>
      <c r="X255" t="str">
        <f t="shared" si="57"/>
        <v>华威西营里农产品交易中心|各经营业态出租率表</v>
      </c>
      <c r="Y255">
        <f t="shared" si="58"/>
        <v>205</v>
      </c>
      <c r="Z255">
        <f>IF($A255="",0,IF(AND($M255=1,$A255=经营数据!$B$3,$J255=经营数据!$BA$5,OR($I255=经营数据!$BA$4,COUNTIF(经营数据!$AA$9:$AA$38,$I255)&gt;0)),1,0))</f>
        <v>0</v>
      </c>
      <c r="AA255" t="str">
        <f t="shared" si="59"/>
        <v/>
      </c>
      <c r="AB255" t="str">
        <f t="shared" si="60"/>
        <v/>
      </c>
      <c r="AC255">
        <f>IF($A255="",0,IF(COUNTIF($A$2:$A255,$A255)=1,1,0))</f>
        <v>0</v>
      </c>
      <c r="AD255">
        <f t="shared" si="61"/>
        <v>4</v>
      </c>
      <c r="AE255" t="str">
        <f t="shared" si="62"/>
        <v>华威西营里农产品交易中心|各经营业态出租率表-冻品（%）</v>
      </c>
      <c r="BP255" s="47">
        <v>45744</v>
      </c>
      <c r="BQ255" s="29">
        <v>3.9439476187825957E-2</v>
      </c>
    </row>
    <row r="256" spans="1:69" x14ac:dyDescent="0.4">
      <c r="A256" t="str">
        <f>IF(原始经营数据!$D257="","",原始经营数据!$D257)</f>
        <v>易方达华威农贸市场封闭式基础设施证券投资基金</v>
      </c>
      <c r="B256" t="str">
        <f>IF(原始经营数据!$D257="","",T(原始经营数据!$E257))</f>
        <v>华威西营里农产品交易中心</v>
      </c>
      <c r="C256" t="str">
        <f>IF(原始经营数据!$D257="","",原始经营数据!$F257)</f>
        <v>2022</v>
      </c>
      <c r="D256" t="str">
        <f>IF(原始经营数据!$D257="","",原始经营数据!$H257)</f>
        <v>各经营业态平均租金情况</v>
      </c>
      <c r="E256">
        <f>IF(原始经营数据!$D257="","",原始经营数据!$I257)</f>
        <v>234</v>
      </c>
      <c r="F256" t="str">
        <f>IF(原始经营数据!$D257="","",T(原始经营数据!$J257))</f>
        <v>元/平方米/月</v>
      </c>
      <c r="G256" t="str">
        <f>IF(原始经营数据!$D257="","",T(原始经营数据!$K257))</f>
        <v>冻品</v>
      </c>
      <c r="H256" t="str">
        <f>IF(原始经营数据!$D257="","",原始经营数据!$G257)</f>
        <v>服务价格</v>
      </c>
      <c r="I256" t="str">
        <f>IF($A256="","",IF($B256&lt;&gt;"",$B256,IF(COUNTIFS(原始经营数据!$D$3:$D$3001,$A256,原始经营数据!$E$3:$E$3001,"",原始经营数据!$F$3:$F$3001,$C256,原始经营数据!$H$3:$H$3001,$D256,原始经营数据!$K$3:$K$3001,$G256)&gt;1,"基金整体·来源"&amp;原始经营数据!$A257,"基金整体")))</f>
        <v>华威西营里农产品交易中心</v>
      </c>
      <c r="J256" t="str">
        <f t="shared" si="48"/>
        <v>年度</v>
      </c>
      <c r="K256" t="str">
        <f t="shared" si="49"/>
        <v>各经营业态平均租金情况-冻品（元/平方米/月）</v>
      </c>
      <c r="L256" t="str">
        <f t="shared" si="50"/>
        <v>华威西营里农产品交易中心|各经营业态平均租金情况-冻品（元/平方米/月）|年度</v>
      </c>
      <c r="M256">
        <f>IF($A256="",0,IF(COUNTIF($L$2:$L256,$L256)=1,1,0))</f>
        <v>0</v>
      </c>
      <c r="N256">
        <f t="shared" si="51"/>
        <v>20220</v>
      </c>
      <c r="O256" t="str">
        <f t="shared" si="52"/>
        <v>易方达华威农贸市场封闭式基础设施证券投资基金|2022|年度</v>
      </c>
      <c r="P256">
        <f>IF($A256="",0,IF(COUNTIF($O$2:$O256,$O256)=1,1,0))</f>
        <v>0</v>
      </c>
      <c r="Q256" t="str">
        <f>IF(AND($P256=1,$A256=经营数据!$B$3,$J256=经营数据!$BA$5),COUNTIFS($P$2:$P$3000,1,$A$2:$A$3000,$A256,$J$2:$J$3000,$J256,$N$2:$N$3000,"&lt;"&amp;$N256)+1,"")</f>
        <v/>
      </c>
      <c r="R256" t="str">
        <f t="shared" si="53"/>
        <v>易方达华威农贸市场封闭式基础设施证券投资基金|华威西营里农产品交易中心</v>
      </c>
      <c r="S256">
        <f>IF($A256="",0,IF(COUNTIF($R$2:$R256,$R256)=1,1,0))</f>
        <v>0</v>
      </c>
      <c r="T256">
        <f t="shared" si="54"/>
        <v>204</v>
      </c>
      <c r="U256" t="str">
        <f>IF($A256="","",IF($A256=经营数据!$B$3,COUNTIFS($S$2:$S$3000,1,$A$2:$A$3000,$A256,$T$2:$T$3000,"&lt;"&amp;$T256)+1,""))</f>
        <v/>
      </c>
      <c r="V256" t="str">
        <f t="shared" si="55"/>
        <v>华威西营里农产品交易中心|服务价格</v>
      </c>
      <c r="W256">
        <f t="shared" si="56"/>
        <v>204</v>
      </c>
      <c r="X256" t="str">
        <f t="shared" si="57"/>
        <v>华威西营里农产品交易中心|各经营业态平均租金情况</v>
      </c>
      <c r="Y256">
        <f t="shared" si="58"/>
        <v>204</v>
      </c>
      <c r="Z256">
        <f>IF($A256="",0,IF(AND($M256=1,$A256=经营数据!$B$3,$J256=经营数据!$BA$5,OR($I256=经营数据!$BA$4,COUNTIF(经营数据!$AA$9:$AA$38,$I256)&gt;0)),1,0))</f>
        <v>0</v>
      </c>
      <c r="AA256" t="str">
        <f t="shared" si="59"/>
        <v/>
      </c>
      <c r="AB256" t="str">
        <f t="shared" si="60"/>
        <v/>
      </c>
      <c r="AC256">
        <f>IF($A256="",0,IF(COUNTIF($A$2:$A256,$A256)=1,1,0))</f>
        <v>0</v>
      </c>
      <c r="AD256">
        <f t="shared" si="61"/>
        <v>4</v>
      </c>
      <c r="AE256" t="str">
        <f t="shared" si="62"/>
        <v>华威西营里农产品交易中心|各经营业态平均租金情况-冻品（元/平方米/月）</v>
      </c>
      <c r="BP256" s="47">
        <v>45747</v>
      </c>
      <c r="BQ256" s="29">
        <v>3.960541718812062E-2</v>
      </c>
    </row>
    <row r="257" spans="1:69" x14ac:dyDescent="0.4">
      <c r="A257" t="str">
        <f>IF(原始经营数据!$D258="","",原始经营数据!$D258)</f>
        <v>易方达华威农贸市场封闭式基础设施证券投资基金</v>
      </c>
      <c r="B257" t="str">
        <f>IF(原始经营数据!$D258="","",T(原始经营数据!$E258))</f>
        <v>华威西营里农产品交易中心</v>
      </c>
      <c r="C257" t="str">
        <f>IF(原始经营数据!$D258="","",原始经营数据!$F258)</f>
        <v>2022</v>
      </c>
      <c r="D257" t="str">
        <f>IF(原始经营数据!$D258="","",原始经营数据!$H258)</f>
        <v>其他收
入</v>
      </c>
      <c r="E257">
        <f>IF(原始经营数据!$D258="","",原始经营数据!$I258)</f>
        <v>626.71</v>
      </c>
      <c r="F257" t="str">
        <f>IF(原始经营数据!$D258="","",T(原始经营数据!$J258))</f>
        <v>万元</v>
      </c>
      <c r="G257" t="str">
        <f>IF(原始经营数据!$D258="","",T(原始经营数据!$K258))</f>
        <v/>
      </c>
      <c r="H257" t="str">
        <f>IF(原始经营数据!$D258="","",原始经营数据!$G258)</f>
        <v>服务金额</v>
      </c>
      <c r="I257" t="str">
        <f>IF($A257="","",IF($B257&lt;&gt;"",$B257,IF(COUNTIFS(原始经营数据!$D$3:$D$3001,$A257,原始经营数据!$E$3:$E$3001,"",原始经营数据!$F$3:$F$3001,$C257,原始经营数据!$H$3:$H$3001,$D257,原始经营数据!$K$3:$K$3001,$G257)&gt;1,"基金整体·来源"&amp;原始经营数据!$A258,"基金整体")))</f>
        <v>华威西营里农产品交易中心</v>
      </c>
      <c r="J257" t="str">
        <f t="shared" si="48"/>
        <v>年度</v>
      </c>
      <c r="K257" t="str">
        <f t="shared" si="49"/>
        <v>其他收
入（万元）</v>
      </c>
      <c r="L257" t="str">
        <f t="shared" si="50"/>
        <v>华威西营里农产品交易中心|其他收
入（万元）|年度</v>
      </c>
      <c r="M257">
        <f>IF($A257="",0,IF(COUNTIF($L$2:$L257,$L257)=1,1,0))</f>
        <v>0</v>
      </c>
      <c r="N257">
        <f t="shared" si="51"/>
        <v>20220</v>
      </c>
      <c r="O257" t="str">
        <f t="shared" si="52"/>
        <v>易方达华威农贸市场封闭式基础设施证券投资基金|2022|年度</v>
      </c>
      <c r="P257">
        <f>IF($A257="",0,IF(COUNTIF($O$2:$O257,$O257)=1,1,0))</f>
        <v>0</v>
      </c>
      <c r="Q257" t="str">
        <f>IF(AND($P257=1,$A257=经营数据!$B$3,$J257=经营数据!$BA$5),COUNTIFS($P$2:$P$3000,1,$A$2:$A$3000,$A257,$J$2:$J$3000,$J257,$N$2:$N$3000,"&lt;"&amp;$N257)+1,"")</f>
        <v/>
      </c>
      <c r="R257" t="str">
        <f t="shared" si="53"/>
        <v>易方达华威农贸市场封闭式基础设施证券投资基金|华威西营里农产品交易中心</v>
      </c>
      <c r="S257">
        <f>IF($A257="",0,IF(COUNTIF($R$2:$R257,$R257)=1,1,0))</f>
        <v>0</v>
      </c>
      <c r="T257">
        <f t="shared" si="54"/>
        <v>204</v>
      </c>
      <c r="U257" t="str">
        <f>IF($A257="","",IF($A257=经营数据!$B$3,COUNTIFS($S$2:$S$3000,1,$A$2:$A$3000,$A257,$T$2:$T$3000,"&lt;"&amp;$T257)+1,""))</f>
        <v/>
      </c>
      <c r="V257" t="str">
        <f t="shared" si="55"/>
        <v>华威西营里农产品交易中心|服务金额</v>
      </c>
      <c r="W257">
        <f t="shared" si="56"/>
        <v>232</v>
      </c>
      <c r="X257" t="str">
        <f t="shared" si="57"/>
        <v>华威西营里农产品交易中心|其他收
入</v>
      </c>
      <c r="Y257">
        <f t="shared" si="58"/>
        <v>232</v>
      </c>
      <c r="Z257">
        <f>IF($A257="",0,IF(AND($M257=1,$A257=经营数据!$B$3,$J257=经营数据!$BA$5,OR($I257=经营数据!$BA$4,COUNTIF(经营数据!$AA$9:$AA$38,$I257)&gt;0)),1,0))</f>
        <v>0</v>
      </c>
      <c r="AA257" t="str">
        <f t="shared" si="59"/>
        <v/>
      </c>
      <c r="AB257" t="str">
        <f t="shared" si="60"/>
        <v/>
      </c>
      <c r="AC257">
        <f>IF($A257="",0,IF(COUNTIF($A$2:$A257,$A257)=1,1,0))</f>
        <v>0</v>
      </c>
      <c r="AD257">
        <f t="shared" si="61"/>
        <v>4</v>
      </c>
      <c r="AE257" t="str">
        <f t="shared" si="62"/>
        <v>华威西营里农产品交易中心|其他收
入（万元）</v>
      </c>
      <c r="BP257" s="47">
        <v>45748</v>
      </c>
      <c r="BQ257" s="29">
        <v>3.9756762118838433E-2</v>
      </c>
    </row>
    <row r="258" spans="1:69" x14ac:dyDescent="0.4">
      <c r="A258" t="str">
        <f>IF(原始经营数据!$D259="","",原始经营数据!$D259)</f>
        <v>易方达华威农贸市场封闭式基础设施证券投资基金</v>
      </c>
      <c r="B258" t="str">
        <f>IF(原始经营数据!$D259="","",T(原始经营数据!$E259))</f>
        <v>华威西营里农产品交易中心</v>
      </c>
      <c r="C258" t="str">
        <f>IF(原始经营数据!$D259="","",原始经营数据!$F259)</f>
        <v>2022</v>
      </c>
      <c r="D258" t="str">
        <f>IF(原始经营数据!$D259="","",原始经营数据!$H259)</f>
        <v>租金物
业收入</v>
      </c>
      <c r="E258">
        <f>IF(原始经营数据!$D259="","",原始经营数据!$I259)</f>
        <v>6721.17</v>
      </c>
      <c r="F258" t="str">
        <f>IF(原始经营数据!$D259="","",T(原始经营数据!$J259))</f>
        <v>万元</v>
      </c>
      <c r="G258" t="str">
        <f>IF(原始经营数据!$D259="","",T(原始经营数据!$K259))</f>
        <v/>
      </c>
      <c r="H258" t="str">
        <f>IF(原始经营数据!$D259="","",原始经营数据!$G259)</f>
        <v>服务金额</v>
      </c>
      <c r="I258" t="str">
        <f>IF($A258="","",IF($B258&lt;&gt;"",$B258,IF(COUNTIFS(原始经营数据!$D$3:$D$3001,$A258,原始经营数据!$E$3:$E$3001,"",原始经营数据!$F$3:$F$3001,$C258,原始经营数据!$H$3:$H$3001,$D258,原始经营数据!$K$3:$K$3001,$G258)&gt;1,"基金整体·来源"&amp;原始经营数据!$A259,"基金整体")))</f>
        <v>华威西营里农产品交易中心</v>
      </c>
      <c r="J258" t="str">
        <f t="shared" ref="J258:J321" si="63">IF($A258="","",IF(LEN($C258)=4,"年度",IF(AND(LEN($C258)=6,ISNUMBER(SEARCH("Q",$C258))),"季度","其他期间")))</f>
        <v>年度</v>
      </c>
      <c r="K258" t="str">
        <f t="shared" ref="K258:K321" si="64">IF($A258="","",$D258&amp;IF($G258="","","-"&amp;SUBSTITUTE($G258,CHAR(10),""))&amp;IF($F258="","","（"&amp;$F258&amp;"）"))</f>
        <v>租金物
业收入（万元）</v>
      </c>
      <c r="L258" t="str">
        <f t="shared" ref="L258:L321" si="65">IF($A258="","",$I258&amp;"|"&amp;$K258&amp;"|"&amp;$J258)</f>
        <v>华威西营里农产品交易中心|租金物
业收入（万元）|年度</v>
      </c>
      <c r="M258">
        <f>IF($A258="",0,IF(COUNTIF($L$2:$L258,$L258)=1,1,0))</f>
        <v>0</v>
      </c>
      <c r="N258">
        <f t="shared" ref="N258:N321" si="66">IF($A258="","",IF($J258="年度",VALUE($C258)*10,IF($J258="季度",VALUE(LEFT($C258,4))*10+VALUE(RIGHT($C258,1)),VALUE(LEFT($C258,4))*10+9)))</f>
        <v>20220</v>
      </c>
      <c r="O258" t="str">
        <f t="shared" ref="O258:O321" si="67">IF($A258="","",$A258&amp;"|"&amp;$C258&amp;"|"&amp;$J258)</f>
        <v>易方达华威农贸市场封闭式基础设施证券投资基金|2022|年度</v>
      </c>
      <c r="P258">
        <f>IF($A258="",0,IF(COUNTIF($O$2:$O258,$O258)=1,1,0))</f>
        <v>0</v>
      </c>
      <c r="Q258" t="str">
        <f>IF(AND($P258=1,$A258=经营数据!$B$3,$J258=经营数据!$BA$5),COUNTIFS($P$2:$P$3000,1,$A$2:$A$3000,$A258,$J$2:$J$3000,$J258,$N$2:$N$3000,"&lt;"&amp;$N258)+1,"")</f>
        <v/>
      </c>
      <c r="R258" t="str">
        <f t="shared" ref="R258:R321" si="68">IF($A258="","",$A258&amp;"|"&amp;$I258)</f>
        <v>易方达华威农贸市场封闭式基础设施证券投资基金|华威西营里农产品交易中心</v>
      </c>
      <c r="S258">
        <f>IF($A258="",0,IF(COUNTIF($R$2:$R258,$R258)=1,1,0))</f>
        <v>0</v>
      </c>
      <c r="T258">
        <f t="shared" ref="T258:T321" si="69">IF($A258="","",MATCH($R258,$R$2:$R$3000,0))</f>
        <v>204</v>
      </c>
      <c r="U258" t="str">
        <f>IF($A258="","",IF($A258=经营数据!$B$3,COUNTIFS($S$2:$S$3000,1,$A$2:$A$3000,$A258,$T$2:$T$3000,"&lt;"&amp;$T258)+1,""))</f>
        <v/>
      </c>
      <c r="V258" t="str">
        <f t="shared" ref="V258:V321" si="70">IF($A258="","",$I258&amp;"|"&amp;$H258)</f>
        <v>华威西营里农产品交易中心|服务金额</v>
      </c>
      <c r="W258">
        <f t="shared" ref="W258:W321" si="71">IF($A258="","",MATCH($V258,$V$2:$V$3000,0))</f>
        <v>232</v>
      </c>
      <c r="X258" t="str">
        <f t="shared" ref="X258:X321" si="72">IF($A258="","",$I258&amp;"|"&amp;$D258)</f>
        <v>华威西营里农产品交易中心|租金物
业收入</v>
      </c>
      <c r="Y258">
        <f t="shared" ref="Y258:Y321" si="73">IF($A258="","",MATCH($X258,$X$2:$X$3000,0))</f>
        <v>233</v>
      </c>
      <c r="Z258">
        <f>IF($A258="",0,IF(AND($M258=1,$A258=经营数据!$B$3,$J258=经营数据!$BA$5,OR($I258=经营数据!$BA$4,COUNTIF(经营数据!$AA$9:$AA$38,$I258)&gt;0)),1,0))</f>
        <v>0</v>
      </c>
      <c r="AA258" t="str">
        <f t="shared" ref="AA258:AA321" si="74">IF($Z258=1,$U258*1000000000000+$W258*100000000+$Y258*10000+ROW(),"")</f>
        <v/>
      </c>
      <c r="AB258" t="str">
        <f t="shared" ref="AB258:AB321" si="75">IF($Z258=1,COUNTIFS($Z$2:$Z$3000,1,$AA$2:$AA$3000,"&lt;"&amp;$AA258)+1,"")</f>
        <v/>
      </c>
      <c r="AC258">
        <f>IF($A258="",0,IF(COUNTIF($A$2:$A258,$A258)=1,1,0))</f>
        <v>0</v>
      </c>
      <c r="AD258">
        <f t="shared" ref="AD258:AD321" si="76">IF($A258="",N(AD257),IF($AC258=1,N(AD257)+1,N(AD257)))</f>
        <v>4</v>
      </c>
      <c r="AE258" t="str">
        <f t="shared" ref="AE258:AE321" si="77">IF($A258="","",$I258&amp;"|"&amp;$K258)</f>
        <v>华威西营里农产品交易中心|租金物
业收入（万元）</v>
      </c>
      <c r="BP258" s="47">
        <v>45749</v>
      </c>
      <c r="BQ258" s="29">
        <v>3.9429125162633631E-2</v>
      </c>
    </row>
    <row r="259" spans="1:69" x14ac:dyDescent="0.4">
      <c r="A259" t="str">
        <f>IF(原始经营数据!$D260="","",原始经营数据!$D260)</f>
        <v>易方达华威农贸市场封闭式基础设施证券投资基金</v>
      </c>
      <c r="B259" t="str">
        <f>IF(原始经营数据!$D260="","",T(原始经营数据!$E260))</f>
        <v>华威西营里农产品交易中心</v>
      </c>
      <c r="C259" t="str">
        <f>IF(原始经营数据!$D260="","",原始经营数据!$F260)</f>
        <v>2022</v>
      </c>
      <c r="D259" t="str">
        <f>IF(原始经营数据!$D260="","",原始经营数据!$H260)</f>
        <v>各经营业态平均租金情况</v>
      </c>
      <c r="E259">
        <f>IF(原始经营数据!$D260="","",原始经营数据!$I260)</f>
        <v>39</v>
      </c>
      <c r="F259" t="str">
        <f>IF(原始经营数据!$D260="","",T(原始经营数据!$J260))</f>
        <v>元/平方米/月</v>
      </c>
      <c r="G259" t="str">
        <f>IF(原始经营数据!$D260="","",T(原始经营数据!$K260))</f>
        <v>电商直播基地</v>
      </c>
      <c r="H259" t="str">
        <f>IF(原始经营数据!$D260="","",原始经营数据!$G260)</f>
        <v>服务价格</v>
      </c>
      <c r="I259" t="str">
        <f>IF($A259="","",IF($B259&lt;&gt;"",$B259,IF(COUNTIFS(原始经营数据!$D$3:$D$3001,$A259,原始经营数据!$E$3:$E$3001,"",原始经营数据!$F$3:$F$3001,$C259,原始经营数据!$H$3:$H$3001,$D259,原始经营数据!$K$3:$K$3001,$G259)&gt;1,"基金整体·来源"&amp;原始经营数据!$A260,"基金整体")))</f>
        <v>华威西营里农产品交易中心</v>
      </c>
      <c r="J259" t="str">
        <f t="shared" si="63"/>
        <v>年度</v>
      </c>
      <c r="K259" t="str">
        <f t="shared" si="64"/>
        <v>各经营业态平均租金情况-电商直播基地（元/平方米/月）</v>
      </c>
      <c r="L259" t="str">
        <f t="shared" si="65"/>
        <v>华威西营里农产品交易中心|各经营业态平均租金情况-电商直播基地（元/平方米/月）|年度</v>
      </c>
      <c r="M259">
        <f>IF($A259="",0,IF(COUNTIF($L$2:$L259,$L259)=1,1,0))</f>
        <v>0</v>
      </c>
      <c r="N259">
        <f t="shared" si="66"/>
        <v>20220</v>
      </c>
      <c r="O259" t="str">
        <f t="shared" si="67"/>
        <v>易方达华威农贸市场封闭式基础设施证券投资基金|2022|年度</v>
      </c>
      <c r="P259">
        <f>IF($A259="",0,IF(COUNTIF($O$2:$O259,$O259)=1,1,0))</f>
        <v>0</v>
      </c>
      <c r="Q259" t="str">
        <f>IF(AND($P259=1,$A259=经营数据!$B$3,$J259=经营数据!$BA$5),COUNTIFS($P$2:$P$3000,1,$A$2:$A$3000,$A259,$J$2:$J$3000,$J259,$N$2:$N$3000,"&lt;"&amp;$N259)+1,"")</f>
        <v/>
      </c>
      <c r="R259" t="str">
        <f t="shared" si="68"/>
        <v>易方达华威农贸市场封闭式基础设施证券投资基金|华威西营里农产品交易中心</v>
      </c>
      <c r="S259">
        <f>IF($A259="",0,IF(COUNTIF($R$2:$R259,$R259)=1,1,0))</f>
        <v>0</v>
      </c>
      <c r="T259">
        <f t="shared" si="69"/>
        <v>204</v>
      </c>
      <c r="U259" t="str">
        <f>IF($A259="","",IF($A259=经营数据!$B$3,COUNTIFS($S$2:$S$3000,1,$A$2:$A$3000,$A259,$T$2:$T$3000,"&lt;"&amp;$T259)+1,""))</f>
        <v/>
      </c>
      <c r="V259" t="str">
        <f t="shared" si="70"/>
        <v>华威西营里农产品交易中心|服务价格</v>
      </c>
      <c r="W259">
        <f t="shared" si="71"/>
        <v>204</v>
      </c>
      <c r="X259" t="str">
        <f t="shared" si="72"/>
        <v>华威西营里农产品交易中心|各经营业态平均租金情况</v>
      </c>
      <c r="Y259">
        <f t="shared" si="73"/>
        <v>204</v>
      </c>
      <c r="Z259">
        <f>IF($A259="",0,IF(AND($M259=1,$A259=经营数据!$B$3,$J259=经营数据!$BA$5,OR($I259=经营数据!$BA$4,COUNTIF(经营数据!$AA$9:$AA$38,$I259)&gt;0)),1,0))</f>
        <v>0</v>
      </c>
      <c r="AA259" t="str">
        <f t="shared" si="74"/>
        <v/>
      </c>
      <c r="AB259" t="str">
        <f t="shared" si="75"/>
        <v/>
      </c>
      <c r="AC259">
        <f>IF($A259="",0,IF(COUNTIF($A$2:$A259,$A259)=1,1,0))</f>
        <v>0</v>
      </c>
      <c r="AD259">
        <f t="shared" si="76"/>
        <v>4</v>
      </c>
      <c r="AE259" t="str">
        <f t="shared" si="77"/>
        <v>华威西营里农产品交易中心|各经营业态平均租金情况-电商直播基地（元/平方米/月）</v>
      </c>
      <c r="BP259" s="47">
        <v>45750</v>
      </c>
      <c r="BQ259" s="29">
        <v>3.8911288374751357E-2</v>
      </c>
    </row>
    <row r="260" spans="1:69" x14ac:dyDescent="0.4">
      <c r="A260" t="str">
        <f>IF(原始经营数据!$D261="","",原始经营数据!$D261)</f>
        <v>易方达华威农贸市场封闭式基础设施证券投资基金</v>
      </c>
      <c r="B260" t="str">
        <f>IF(原始经营数据!$D261="","",T(原始经营数据!$E261))</f>
        <v>华威西营里农产品交易中心</v>
      </c>
      <c r="C260" t="str">
        <f>IF(原始经营数据!$D261="","",原始经营数据!$F261)</f>
        <v>2022</v>
      </c>
      <c r="D260" t="str">
        <f>IF(原始经营数据!$D261="","",原始经营数据!$H261)</f>
        <v>各经营业态平均租金情况</v>
      </c>
      <c r="E260">
        <f>IF(原始经营数据!$D261="","",原始经营数据!$I261)</f>
        <v>231</v>
      </c>
      <c r="F260" t="str">
        <f>IF(原始经营数据!$D261="","",T(原始经营数据!$J261))</f>
        <v>元/平方米/月</v>
      </c>
      <c r="G260" t="str">
        <f>IF(原始经营数据!$D261="","",T(原始经营数据!$K261))</f>
        <v>蔬果</v>
      </c>
      <c r="H260" t="str">
        <f>IF(原始经营数据!$D261="","",原始经营数据!$G261)</f>
        <v>服务价格</v>
      </c>
      <c r="I260" t="str">
        <f>IF($A260="","",IF($B260&lt;&gt;"",$B260,IF(COUNTIFS(原始经营数据!$D$3:$D$3001,$A260,原始经营数据!$E$3:$E$3001,"",原始经营数据!$F$3:$F$3001,$C260,原始经营数据!$H$3:$H$3001,$D260,原始经营数据!$K$3:$K$3001,$G260)&gt;1,"基金整体·来源"&amp;原始经营数据!$A261,"基金整体")))</f>
        <v>华威西营里农产品交易中心</v>
      </c>
      <c r="J260" t="str">
        <f t="shared" si="63"/>
        <v>年度</v>
      </c>
      <c r="K260" t="str">
        <f t="shared" si="64"/>
        <v>各经营业态平均租金情况-蔬果（元/平方米/月）</v>
      </c>
      <c r="L260" t="str">
        <f t="shared" si="65"/>
        <v>华威西营里农产品交易中心|各经营业态平均租金情况-蔬果（元/平方米/月）|年度</v>
      </c>
      <c r="M260">
        <f>IF($A260="",0,IF(COUNTIF($L$2:$L260,$L260)=1,1,0))</f>
        <v>0</v>
      </c>
      <c r="N260">
        <f t="shared" si="66"/>
        <v>20220</v>
      </c>
      <c r="O260" t="str">
        <f t="shared" si="67"/>
        <v>易方达华威农贸市场封闭式基础设施证券投资基金|2022|年度</v>
      </c>
      <c r="P260">
        <f>IF($A260="",0,IF(COUNTIF($O$2:$O260,$O260)=1,1,0))</f>
        <v>0</v>
      </c>
      <c r="Q260" t="str">
        <f>IF(AND($P260=1,$A260=经营数据!$B$3,$J260=经营数据!$BA$5),COUNTIFS($P$2:$P$3000,1,$A$2:$A$3000,$A260,$J$2:$J$3000,$J260,$N$2:$N$3000,"&lt;"&amp;$N260)+1,"")</f>
        <v/>
      </c>
      <c r="R260" t="str">
        <f t="shared" si="68"/>
        <v>易方达华威农贸市场封闭式基础设施证券投资基金|华威西营里农产品交易中心</v>
      </c>
      <c r="S260">
        <f>IF($A260="",0,IF(COUNTIF($R$2:$R260,$R260)=1,1,0))</f>
        <v>0</v>
      </c>
      <c r="T260">
        <f t="shared" si="69"/>
        <v>204</v>
      </c>
      <c r="U260" t="str">
        <f>IF($A260="","",IF($A260=经营数据!$B$3,COUNTIFS($S$2:$S$3000,1,$A$2:$A$3000,$A260,$T$2:$T$3000,"&lt;"&amp;$T260)+1,""))</f>
        <v/>
      </c>
      <c r="V260" t="str">
        <f t="shared" si="70"/>
        <v>华威西营里农产品交易中心|服务价格</v>
      </c>
      <c r="W260">
        <f t="shared" si="71"/>
        <v>204</v>
      </c>
      <c r="X260" t="str">
        <f t="shared" si="72"/>
        <v>华威西营里农产品交易中心|各经营业态平均租金情况</v>
      </c>
      <c r="Y260">
        <f t="shared" si="73"/>
        <v>204</v>
      </c>
      <c r="Z260">
        <f>IF($A260="",0,IF(AND($M260=1,$A260=经营数据!$B$3,$J260=经营数据!$BA$5,OR($I260=经营数据!$BA$4,COUNTIF(经营数据!$AA$9:$AA$38,$I260)&gt;0)),1,0))</f>
        <v>0</v>
      </c>
      <c r="AA260" t="str">
        <f t="shared" si="74"/>
        <v/>
      </c>
      <c r="AB260" t="str">
        <f t="shared" si="75"/>
        <v/>
      </c>
      <c r="AC260">
        <f>IF($A260="",0,IF(COUNTIF($A$2:$A260,$A260)=1,1,0))</f>
        <v>0</v>
      </c>
      <c r="AD260">
        <f t="shared" si="76"/>
        <v>4</v>
      </c>
      <c r="AE260" t="str">
        <f t="shared" si="77"/>
        <v>华威西营里农产品交易中心|各经营业态平均租金情况-蔬果（元/平方米/月）</v>
      </c>
      <c r="BP260" s="47">
        <v>45754</v>
      </c>
      <c r="BQ260" s="29">
        <v>3.8768567862328573E-2</v>
      </c>
    </row>
    <row r="261" spans="1:69" x14ac:dyDescent="0.4">
      <c r="A261" t="str">
        <f>IF(原始经营数据!$D262="","",原始经营数据!$D262)</f>
        <v>易方达华威农贸市场封闭式基础设施证券投资基金</v>
      </c>
      <c r="B261" t="str">
        <f>IF(原始经营数据!$D262="","",T(原始经营数据!$E262))</f>
        <v>华威西营里农产品交易中心</v>
      </c>
      <c r="C261" t="str">
        <f>IF(原始经营数据!$D262="","",原始经营数据!$F262)</f>
        <v>2022</v>
      </c>
      <c r="D261" t="str">
        <f>IF(原始经营数据!$D262="","",原始经营数据!$H262)</f>
        <v>各经营业态平均租金情况</v>
      </c>
      <c r="E261">
        <f>IF(原始经营数据!$D262="","",原始经营数据!$I262)</f>
        <v>241</v>
      </c>
      <c r="F261" t="str">
        <f>IF(原始经营数据!$D262="","",T(原始经营数据!$J262))</f>
        <v>元/平方米/月</v>
      </c>
      <c r="G261" t="str">
        <f>IF(原始经营数据!$D262="","",T(原始经营数据!$K262))</f>
        <v>肉禽</v>
      </c>
      <c r="H261" t="str">
        <f>IF(原始经营数据!$D262="","",原始经营数据!$G262)</f>
        <v>服务价格</v>
      </c>
      <c r="I261" t="str">
        <f>IF($A261="","",IF($B261&lt;&gt;"",$B261,IF(COUNTIFS(原始经营数据!$D$3:$D$3001,$A261,原始经营数据!$E$3:$E$3001,"",原始经营数据!$F$3:$F$3001,$C261,原始经营数据!$H$3:$H$3001,$D261,原始经营数据!$K$3:$K$3001,$G261)&gt;1,"基金整体·来源"&amp;原始经营数据!$A262,"基金整体")))</f>
        <v>华威西营里农产品交易中心</v>
      </c>
      <c r="J261" t="str">
        <f t="shared" si="63"/>
        <v>年度</v>
      </c>
      <c r="K261" t="str">
        <f t="shared" si="64"/>
        <v>各经营业态平均租金情况-肉禽（元/平方米/月）</v>
      </c>
      <c r="L261" t="str">
        <f t="shared" si="65"/>
        <v>华威西营里农产品交易中心|各经营业态平均租金情况-肉禽（元/平方米/月）|年度</v>
      </c>
      <c r="M261">
        <f>IF($A261="",0,IF(COUNTIF($L$2:$L261,$L261)=1,1,0))</f>
        <v>0</v>
      </c>
      <c r="N261">
        <f t="shared" si="66"/>
        <v>20220</v>
      </c>
      <c r="O261" t="str">
        <f t="shared" si="67"/>
        <v>易方达华威农贸市场封闭式基础设施证券投资基金|2022|年度</v>
      </c>
      <c r="P261">
        <f>IF($A261="",0,IF(COUNTIF($O$2:$O261,$O261)=1,1,0))</f>
        <v>0</v>
      </c>
      <c r="Q261" t="str">
        <f>IF(AND($P261=1,$A261=经营数据!$B$3,$J261=经营数据!$BA$5),COUNTIFS($P$2:$P$3000,1,$A$2:$A$3000,$A261,$J$2:$J$3000,$J261,$N$2:$N$3000,"&lt;"&amp;$N261)+1,"")</f>
        <v/>
      </c>
      <c r="R261" t="str">
        <f t="shared" si="68"/>
        <v>易方达华威农贸市场封闭式基础设施证券投资基金|华威西营里农产品交易中心</v>
      </c>
      <c r="S261">
        <f>IF($A261="",0,IF(COUNTIF($R$2:$R261,$R261)=1,1,0))</f>
        <v>0</v>
      </c>
      <c r="T261">
        <f t="shared" si="69"/>
        <v>204</v>
      </c>
      <c r="U261" t="str">
        <f>IF($A261="","",IF($A261=经营数据!$B$3,COUNTIFS($S$2:$S$3000,1,$A$2:$A$3000,$A261,$T$2:$T$3000,"&lt;"&amp;$T261)+1,""))</f>
        <v/>
      </c>
      <c r="V261" t="str">
        <f t="shared" si="70"/>
        <v>华威西营里农产品交易中心|服务价格</v>
      </c>
      <c r="W261">
        <f t="shared" si="71"/>
        <v>204</v>
      </c>
      <c r="X261" t="str">
        <f t="shared" si="72"/>
        <v>华威西营里农产品交易中心|各经营业态平均租金情况</v>
      </c>
      <c r="Y261">
        <f t="shared" si="73"/>
        <v>204</v>
      </c>
      <c r="Z261">
        <f>IF($A261="",0,IF(AND($M261=1,$A261=经营数据!$B$3,$J261=经营数据!$BA$5,OR($I261=经营数据!$BA$4,COUNTIF(经营数据!$AA$9:$AA$38,$I261)&gt;0)),1,0))</f>
        <v>0</v>
      </c>
      <c r="AA261" t="str">
        <f t="shared" si="74"/>
        <v/>
      </c>
      <c r="AB261" t="str">
        <f t="shared" si="75"/>
        <v/>
      </c>
      <c r="AC261">
        <f>IF($A261="",0,IF(COUNTIF($A$2:$A261,$A261)=1,1,0))</f>
        <v>0</v>
      </c>
      <c r="AD261">
        <f t="shared" si="76"/>
        <v>4</v>
      </c>
      <c r="AE261" t="str">
        <f t="shared" si="77"/>
        <v>华威西营里农产品交易中心|各经营业态平均租金情况-肉禽（元/平方米/月）</v>
      </c>
      <c r="BP261" s="47">
        <v>45755</v>
      </c>
      <c r="BQ261" s="29">
        <v>3.8908735378659957E-2</v>
      </c>
    </row>
    <row r="262" spans="1:69" x14ac:dyDescent="0.4">
      <c r="A262" t="str">
        <f>IF(原始经营数据!$D263="","",原始经营数据!$D263)</f>
        <v>易方达华威农贸市场封闭式基础设施证券投资基金</v>
      </c>
      <c r="B262" t="str">
        <f>IF(原始经营数据!$D263="","",T(原始经营数据!$E263))</f>
        <v>华威西营里农产品交易中心</v>
      </c>
      <c r="C262" t="str">
        <f>IF(原始经营数据!$D263="","",原始经营数据!$F263)</f>
        <v>2022</v>
      </c>
      <c r="D262" t="str">
        <f>IF(原始经营数据!$D263="","",原始经营数据!$H263)</f>
        <v>各经营业态平均租金情况</v>
      </c>
      <c r="E262">
        <f>IF(原始经营数据!$D263="","",原始经营数据!$I263)</f>
        <v>182</v>
      </c>
      <c r="F262" t="str">
        <f>IF(原始经营数据!$D263="","",T(原始经营数据!$J263))</f>
        <v>元/平方米/月</v>
      </c>
      <c r="G262" t="str">
        <f>IF(原始经营数据!$D263="","",T(原始经营数据!$K263))</f>
        <v>干货/调味品</v>
      </c>
      <c r="H262" t="str">
        <f>IF(原始经营数据!$D263="","",原始经营数据!$G263)</f>
        <v>服务价格</v>
      </c>
      <c r="I262" t="str">
        <f>IF($A262="","",IF($B262&lt;&gt;"",$B262,IF(COUNTIFS(原始经营数据!$D$3:$D$3001,$A262,原始经营数据!$E$3:$E$3001,"",原始经营数据!$F$3:$F$3001,$C262,原始经营数据!$H$3:$H$3001,$D262,原始经营数据!$K$3:$K$3001,$G262)&gt;1,"基金整体·来源"&amp;原始经营数据!$A263,"基金整体")))</f>
        <v>华威西营里农产品交易中心</v>
      </c>
      <c r="J262" t="str">
        <f t="shared" si="63"/>
        <v>年度</v>
      </c>
      <c r="K262" t="str">
        <f t="shared" si="64"/>
        <v>各经营业态平均租金情况-干货/调味品（元/平方米/月）</v>
      </c>
      <c r="L262" t="str">
        <f t="shared" si="65"/>
        <v>华威西营里农产品交易中心|各经营业态平均租金情况-干货/调味品（元/平方米/月）|年度</v>
      </c>
      <c r="M262">
        <f>IF($A262="",0,IF(COUNTIF($L$2:$L262,$L262)=1,1,0))</f>
        <v>0</v>
      </c>
      <c r="N262">
        <f t="shared" si="66"/>
        <v>20220</v>
      </c>
      <c r="O262" t="str">
        <f t="shared" si="67"/>
        <v>易方达华威农贸市场封闭式基础设施证券投资基金|2022|年度</v>
      </c>
      <c r="P262">
        <f>IF($A262="",0,IF(COUNTIF($O$2:$O262,$O262)=1,1,0))</f>
        <v>0</v>
      </c>
      <c r="Q262" t="str">
        <f>IF(AND($P262=1,$A262=经营数据!$B$3,$J262=经营数据!$BA$5),COUNTIFS($P$2:$P$3000,1,$A$2:$A$3000,$A262,$J$2:$J$3000,$J262,$N$2:$N$3000,"&lt;"&amp;$N262)+1,"")</f>
        <v/>
      </c>
      <c r="R262" t="str">
        <f t="shared" si="68"/>
        <v>易方达华威农贸市场封闭式基础设施证券投资基金|华威西营里农产品交易中心</v>
      </c>
      <c r="S262">
        <f>IF($A262="",0,IF(COUNTIF($R$2:$R262,$R262)=1,1,0))</f>
        <v>0</v>
      </c>
      <c r="T262">
        <f t="shared" si="69"/>
        <v>204</v>
      </c>
      <c r="U262" t="str">
        <f>IF($A262="","",IF($A262=经营数据!$B$3,COUNTIFS($S$2:$S$3000,1,$A$2:$A$3000,$A262,$T$2:$T$3000,"&lt;"&amp;$T262)+1,""))</f>
        <v/>
      </c>
      <c r="V262" t="str">
        <f t="shared" si="70"/>
        <v>华威西营里农产品交易中心|服务价格</v>
      </c>
      <c r="W262">
        <f t="shared" si="71"/>
        <v>204</v>
      </c>
      <c r="X262" t="str">
        <f t="shared" si="72"/>
        <v>华威西营里农产品交易中心|各经营业态平均租金情况</v>
      </c>
      <c r="Y262">
        <f t="shared" si="73"/>
        <v>204</v>
      </c>
      <c r="Z262">
        <f>IF($A262="",0,IF(AND($M262=1,$A262=经营数据!$B$3,$J262=经营数据!$BA$5,OR($I262=经营数据!$BA$4,COUNTIF(经营数据!$AA$9:$AA$38,$I262)&gt;0)),1,0))</f>
        <v>0</v>
      </c>
      <c r="AA262" t="str">
        <f t="shared" si="74"/>
        <v/>
      </c>
      <c r="AB262" t="str">
        <f t="shared" si="75"/>
        <v/>
      </c>
      <c r="AC262">
        <f>IF($A262="",0,IF(COUNTIF($A$2:$A262,$A262)=1,1,0))</f>
        <v>0</v>
      </c>
      <c r="AD262">
        <f t="shared" si="76"/>
        <v>4</v>
      </c>
      <c r="AE262" t="str">
        <f t="shared" si="77"/>
        <v>华威西营里农产品交易中心|各经营业态平均租金情况-干货/调味品（元/平方米/月）</v>
      </c>
      <c r="BP262" s="47">
        <v>45756</v>
      </c>
      <c r="BQ262" s="29">
        <v>3.918327416416862E-2</v>
      </c>
    </row>
    <row r="263" spans="1:69" x14ac:dyDescent="0.4">
      <c r="A263" t="str">
        <f>IF(原始经营数据!$D264="","",原始经营数据!$D264)</f>
        <v>易方达华威农贸市场封闭式基础设施证券投资基金</v>
      </c>
      <c r="B263" t="str">
        <f>IF(原始经营数据!$D264="","",T(原始经营数据!$E264))</f>
        <v>华威西营里农产品交易中心</v>
      </c>
      <c r="C263" t="str">
        <f>IF(原始经营数据!$D264="","",原始经营数据!$F264)</f>
        <v>2022</v>
      </c>
      <c r="D263" t="str">
        <f>IF(原始经营数据!$D264="","",原始经营数据!$H264)</f>
        <v>各经营业态平均租金情况</v>
      </c>
      <c r="E263">
        <f>IF(原始经营数据!$D264="","",原始经营数据!$I264)</f>
        <v>192</v>
      </c>
      <c r="F263" t="str">
        <f>IF(原始经营数据!$D264="","",T(原始经营数据!$J264))</f>
        <v>元/平方米/月</v>
      </c>
      <c r="G263" t="str">
        <f>IF(原始经营数据!$D264="","",T(原始经营数据!$K264))</f>
        <v>商业配套</v>
      </c>
      <c r="H263" t="str">
        <f>IF(原始经营数据!$D264="","",原始经营数据!$G264)</f>
        <v>服务价格</v>
      </c>
      <c r="I263" t="str">
        <f>IF($A263="","",IF($B263&lt;&gt;"",$B263,IF(COUNTIFS(原始经营数据!$D$3:$D$3001,$A263,原始经营数据!$E$3:$E$3001,"",原始经营数据!$F$3:$F$3001,$C263,原始经营数据!$H$3:$H$3001,$D263,原始经营数据!$K$3:$K$3001,$G263)&gt;1,"基金整体·来源"&amp;原始经营数据!$A264,"基金整体")))</f>
        <v>华威西营里农产品交易中心</v>
      </c>
      <c r="J263" t="str">
        <f t="shared" si="63"/>
        <v>年度</v>
      </c>
      <c r="K263" t="str">
        <f t="shared" si="64"/>
        <v>各经营业态平均租金情况-商业配套（元/平方米/月）</v>
      </c>
      <c r="L263" t="str">
        <f t="shared" si="65"/>
        <v>华威西营里农产品交易中心|各经营业态平均租金情况-商业配套（元/平方米/月）|年度</v>
      </c>
      <c r="M263">
        <f>IF($A263="",0,IF(COUNTIF($L$2:$L263,$L263)=1,1,0))</f>
        <v>0</v>
      </c>
      <c r="N263">
        <f t="shared" si="66"/>
        <v>20220</v>
      </c>
      <c r="O263" t="str">
        <f t="shared" si="67"/>
        <v>易方达华威农贸市场封闭式基础设施证券投资基金|2022|年度</v>
      </c>
      <c r="P263">
        <f>IF($A263="",0,IF(COUNTIF($O$2:$O263,$O263)=1,1,0))</f>
        <v>0</v>
      </c>
      <c r="Q263" t="str">
        <f>IF(AND($P263=1,$A263=经营数据!$B$3,$J263=经营数据!$BA$5),COUNTIFS($P$2:$P$3000,1,$A$2:$A$3000,$A263,$J$2:$J$3000,$J263,$N$2:$N$3000,"&lt;"&amp;$N263)+1,"")</f>
        <v/>
      </c>
      <c r="R263" t="str">
        <f t="shared" si="68"/>
        <v>易方达华威农贸市场封闭式基础设施证券投资基金|华威西营里农产品交易中心</v>
      </c>
      <c r="S263">
        <f>IF($A263="",0,IF(COUNTIF($R$2:$R263,$R263)=1,1,0))</f>
        <v>0</v>
      </c>
      <c r="T263">
        <f t="shared" si="69"/>
        <v>204</v>
      </c>
      <c r="U263" t="str">
        <f>IF($A263="","",IF($A263=经营数据!$B$3,COUNTIFS($S$2:$S$3000,1,$A$2:$A$3000,$A263,$T$2:$T$3000,"&lt;"&amp;$T263)+1,""))</f>
        <v/>
      </c>
      <c r="V263" t="str">
        <f t="shared" si="70"/>
        <v>华威西营里农产品交易中心|服务价格</v>
      </c>
      <c r="W263">
        <f t="shared" si="71"/>
        <v>204</v>
      </c>
      <c r="X263" t="str">
        <f t="shared" si="72"/>
        <v>华威西营里农产品交易中心|各经营业态平均租金情况</v>
      </c>
      <c r="Y263">
        <f t="shared" si="73"/>
        <v>204</v>
      </c>
      <c r="Z263">
        <f>IF($A263="",0,IF(AND($M263=1,$A263=经营数据!$B$3,$J263=经营数据!$BA$5,OR($I263=经营数据!$BA$4,COUNTIF(经营数据!$AA$9:$AA$38,$I263)&gt;0)),1,0))</f>
        <v>0</v>
      </c>
      <c r="AA263" t="str">
        <f t="shared" si="74"/>
        <v/>
      </c>
      <c r="AB263" t="str">
        <f t="shared" si="75"/>
        <v/>
      </c>
      <c r="AC263">
        <f>IF($A263="",0,IF(COUNTIF($A$2:$A263,$A263)=1,1,0))</f>
        <v>0</v>
      </c>
      <c r="AD263">
        <f t="shared" si="76"/>
        <v>4</v>
      </c>
      <c r="AE263" t="str">
        <f t="shared" si="77"/>
        <v>华威西营里农产品交易中心|各经营业态平均租金情况-商业配套（元/平方米/月）</v>
      </c>
      <c r="BP263" s="47">
        <v>45757</v>
      </c>
      <c r="BQ263" s="29">
        <v>3.8981290139008057E-2</v>
      </c>
    </row>
    <row r="264" spans="1:69" x14ac:dyDescent="0.4">
      <c r="A264" t="str">
        <f>IF(原始经营数据!$D265="","",原始经营数据!$D265)</f>
        <v>易方达华威农贸市场封闭式基础设施证券投资基金</v>
      </c>
      <c r="B264" t="str">
        <f>IF(原始经营数据!$D265="","",T(原始经营数据!$E265))</f>
        <v>华威西营里农产品交易中心</v>
      </c>
      <c r="C264" t="str">
        <f>IF(原始经营数据!$D265="","",原始经营数据!$F265)</f>
        <v>2022</v>
      </c>
      <c r="D264" t="str">
        <f>IF(原始经营数据!$D265="","",原始经营数据!$H265)</f>
        <v>各经营业态平均租金情况</v>
      </c>
      <c r="E264">
        <f>IF(原始经营数据!$D265="","",原始经营数据!$I265)</f>
        <v>37</v>
      </c>
      <c r="F264" t="str">
        <f>IF(原始经营数据!$D265="","",T(原始经营数据!$J265))</f>
        <v>元/平方米/月</v>
      </c>
      <c r="G264" t="str">
        <f>IF(原始经营数据!$D265="","",T(原始经营数据!$K265))</f>
        <v>仓库</v>
      </c>
      <c r="H264" t="str">
        <f>IF(原始经营数据!$D265="","",原始经营数据!$G265)</f>
        <v>服务价格</v>
      </c>
      <c r="I264" t="str">
        <f>IF($A264="","",IF($B264&lt;&gt;"",$B264,IF(COUNTIFS(原始经营数据!$D$3:$D$3001,$A264,原始经营数据!$E$3:$E$3001,"",原始经营数据!$F$3:$F$3001,$C264,原始经营数据!$H$3:$H$3001,$D264,原始经营数据!$K$3:$K$3001,$G264)&gt;1,"基金整体·来源"&amp;原始经营数据!$A265,"基金整体")))</f>
        <v>华威西营里农产品交易中心</v>
      </c>
      <c r="J264" t="str">
        <f t="shared" si="63"/>
        <v>年度</v>
      </c>
      <c r="K264" t="str">
        <f t="shared" si="64"/>
        <v>各经营业态平均租金情况-仓库（元/平方米/月）</v>
      </c>
      <c r="L264" t="str">
        <f t="shared" si="65"/>
        <v>华威西营里农产品交易中心|各经营业态平均租金情况-仓库（元/平方米/月）|年度</v>
      </c>
      <c r="M264">
        <f>IF($A264="",0,IF(COUNTIF($L$2:$L264,$L264)=1,1,0))</f>
        <v>0</v>
      </c>
      <c r="N264">
        <f t="shared" si="66"/>
        <v>20220</v>
      </c>
      <c r="O264" t="str">
        <f t="shared" si="67"/>
        <v>易方达华威农贸市场封闭式基础设施证券投资基金|2022|年度</v>
      </c>
      <c r="P264">
        <f>IF($A264="",0,IF(COUNTIF($O$2:$O264,$O264)=1,1,0))</f>
        <v>0</v>
      </c>
      <c r="Q264" t="str">
        <f>IF(AND($P264=1,$A264=经营数据!$B$3,$J264=经营数据!$BA$5),COUNTIFS($P$2:$P$3000,1,$A$2:$A$3000,$A264,$J$2:$J$3000,$J264,$N$2:$N$3000,"&lt;"&amp;$N264)+1,"")</f>
        <v/>
      </c>
      <c r="R264" t="str">
        <f t="shared" si="68"/>
        <v>易方达华威农贸市场封闭式基础设施证券投资基金|华威西营里农产品交易中心</v>
      </c>
      <c r="S264">
        <f>IF($A264="",0,IF(COUNTIF($R$2:$R264,$R264)=1,1,0))</f>
        <v>0</v>
      </c>
      <c r="T264">
        <f t="shared" si="69"/>
        <v>204</v>
      </c>
      <c r="U264" t="str">
        <f>IF($A264="","",IF($A264=经营数据!$B$3,COUNTIFS($S$2:$S$3000,1,$A$2:$A$3000,$A264,$T$2:$T$3000,"&lt;"&amp;$T264)+1,""))</f>
        <v/>
      </c>
      <c r="V264" t="str">
        <f t="shared" si="70"/>
        <v>华威西营里农产品交易中心|服务价格</v>
      </c>
      <c r="W264">
        <f t="shared" si="71"/>
        <v>204</v>
      </c>
      <c r="X264" t="str">
        <f t="shared" si="72"/>
        <v>华威西营里农产品交易中心|各经营业态平均租金情况</v>
      </c>
      <c r="Y264">
        <f t="shared" si="73"/>
        <v>204</v>
      </c>
      <c r="Z264">
        <f>IF($A264="",0,IF(AND($M264=1,$A264=经营数据!$B$3,$J264=经营数据!$BA$5,OR($I264=经营数据!$BA$4,COUNTIF(经营数据!$AA$9:$AA$38,$I264)&gt;0)),1,0))</f>
        <v>0</v>
      </c>
      <c r="AA264" t="str">
        <f t="shared" si="74"/>
        <v/>
      </c>
      <c r="AB264" t="str">
        <f t="shared" si="75"/>
        <v/>
      </c>
      <c r="AC264">
        <f>IF($A264="",0,IF(COUNTIF($A$2:$A264,$A264)=1,1,0))</f>
        <v>0</v>
      </c>
      <c r="AD264">
        <f t="shared" si="76"/>
        <v>4</v>
      </c>
      <c r="AE264" t="str">
        <f t="shared" si="77"/>
        <v>华威西营里农产品交易中心|各经营业态平均租金情况-仓库（元/平方米/月）</v>
      </c>
      <c r="BP264" s="47">
        <v>45758</v>
      </c>
      <c r="BQ264" s="29">
        <v>3.8710628586692497E-2</v>
      </c>
    </row>
    <row r="265" spans="1:69" x14ac:dyDescent="0.4">
      <c r="A265" t="str">
        <f>IF(原始经营数据!$D266="","",原始经营数据!$D266)</f>
        <v>易方达华威农贸市场封闭式基础设施证券投资基金</v>
      </c>
      <c r="B265" t="str">
        <f>IF(原始经营数据!$D266="","",T(原始经营数据!$E266))</f>
        <v>华威西营里农产品交易中心</v>
      </c>
      <c r="C265" t="str">
        <f>IF(原始经营数据!$D266="","",原始经营数据!$F266)</f>
        <v>2022</v>
      </c>
      <c r="D265" t="str">
        <f>IF(原始经营数据!$D266="","",原始经营数据!$H266)</f>
        <v>各经营业态平均租金情况</v>
      </c>
      <c r="E265">
        <f>IF(原始经营数据!$D266="","",原始经营数据!$I266)</f>
        <v>222</v>
      </c>
      <c r="F265" t="str">
        <f>IF(原始经营数据!$D266="","",T(原始经营数据!$J266))</f>
        <v>元/平方米/月</v>
      </c>
      <c r="G265" t="str">
        <f>IF(原始经营数据!$D266="","",T(原始经营数据!$K266))</f>
        <v>水产品</v>
      </c>
      <c r="H265" t="str">
        <f>IF(原始经营数据!$D266="","",原始经营数据!$G266)</f>
        <v>服务价格</v>
      </c>
      <c r="I265" t="str">
        <f>IF($A265="","",IF($B265&lt;&gt;"",$B265,IF(COUNTIFS(原始经营数据!$D$3:$D$3001,$A265,原始经营数据!$E$3:$E$3001,"",原始经营数据!$F$3:$F$3001,$C265,原始经营数据!$H$3:$H$3001,$D265,原始经营数据!$K$3:$K$3001,$G265)&gt;1,"基金整体·来源"&amp;原始经营数据!$A266,"基金整体")))</f>
        <v>华威西营里农产品交易中心</v>
      </c>
      <c r="J265" t="str">
        <f t="shared" si="63"/>
        <v>年度</v>
      </c>
      <c r="K265" t="str">
        <f t="shared" si="64"/>
        <v>各经营业态平均租金情况-水产品（元/平方米/月）</v>
      </c>
      <c r="L265" t="str">
        <f t="shared" si="65"/>
        <v>华威西营里农产品交易中心|各经营业态平均租金情况-水产品（元/平方米/月）|年度</v>
      </c>
      <c r="M265">
        <f>IF($A265="",0,IF(COUNTIF($L$2:$L265,$L265)=1,1,0))</f>
        <v>0</v>
      </c>
      <c r="N265">
        <f t="shared" si="66"/>
        <v>20220</v>
      </c>
      <c r="O265" t="str">
        <f t="shared" si="67"/>
        <v>易方达华威农贸市场封闭式基础设施证券投资基金|2022|年度</v>
      </c>
      <c r="P265">
        <f>IF($A265="",0,IF(COUNTIF($O$2:$O265,$O265)=1,1,0))</f>
        <v>0</v>
      </c>
      <c r="Q265" t="str">
        <f>IF(AND($P265=1,$A265=经营数据!$B$3,$J265=经营数据!$BA$5),COUNTIFS($P$2:$P$3000,1,$A$2:$A$3000,$A265,$J$2:$J$3000,$J265,$N$2:$N$3000,"&lt;"&amp;$N265)+1,"")</f>
        <v/>
      </c>
      <c r="R265" t="str">
        <f t="shared" si="68"/>
        <v>易方达华威农贸市场封闭式基础设施证券投资基金|华威西营里农产品交易中心</v>
      </c>
      <c r="S265">
        <f>IF($A265="",0,IF(COUNTIF($R$2:$R265,$R265)=1,1,0))</f>
        <v>0</v>
      </c>
      <c r="T265">
        <f t="shared" si="69"/>
        <v>204</v>
      </c>
      <c r="U265" t="str">
        <f>IF($A265="","",IF($A265=经营数据!$B$3,COUNTIFS($S$2:$S$3000,1,$A$2:$A$3000,$A265,$T$2:$T$3000,"&lt;"&amp;$T265)+1,""))</f>
        <v/>
      </c>
      <c r="V265" t="str">
        <f t="shared" si="70"/>
        <v>华威西营里农产品交易中心|服务价格</v>
      </c>
      <c r="W265">
        <f t="shared" si="71"/>
        <v>204</v>
      </c>
      <c r="X265" t="str">
        <f t="shared" si="72"/>
        <v>华威西营里农产品交易中心|各经营业态平均租金情况</v>
      </c>
      <c r="Y265">
        <f t="shared" si="73"/>
        <v>204</v>
      </c>
      <c r="Z265">
        <f>IF($A265="",0,IF(AND($M265=1,$A265=经营数据!$B$3,$J265=经营数据!$BA$5,OR($I265=经营数据!$BA$4,COUNTIF(经营数据!$AA$9:$AA$38,$I265)&gt;0)),1,0))</f>
        <v>0</v>
      </c>
      <c r="AA265" t="str">
        <f t="shared" si="74"/>
        <v/>
      </c>
      <c r="AB265" t="str">
        <f t="shared" si="75"/>
        <v/>
      </c>
      <c r="AC265">
        <f>IF($A265="",0,IF(COUNTIF($A$2:$A265,$A265)=1,1,0))</f>
        <v>0</v>
      </c>
      <c r="AD265">
        <f t="shared" si="76"/>
        <v>4</v>
      </c>
      <c r="AE265" t="str">
        <f t="shared" si="77"/>
        <v>华威西营里农产品交易中心|各经营业态平均租金情况-水产品（元/平方米/月）</v>
      </c>
      <c r="BP265" s="47">
        <v>45761</v>
      </c>
      <c r="BQ265" s="29">
        <v>3.8368949067462153E-2</v>
      </c>
    </row>
    <row r="266" spans="1:69" x14ac:dyDescent="0.4">
      <c r="A266" t="str">
        <f>IF(原始经营数据!$D267="","",原始经营数据!$D267)</f>
        <v>易方达华威农贸市场封闭式基础设施证券投资基金</v>
      </c>
      <c r="B266" t="str">
        <f>IF(原始经营数据!$D267="","",T(原始经营数据!$E267))</f>
        <v>华威西营里农产品交易中心</v>
      </c>
      <c r="C266" t="str">
        <f>IF(原始经营数据!$D267="","",原始经营数据!$F267)</f>
        <v>2022</v>
      </c>
      <c r="D266" t="str">
        <f>IF(原始经营数据!$D267="","",原始经营数据!$H267)</f>
        <v>续租率</v>
      </c>
      <c r="E266">
        <f>IF(原始经营数据!$D267="","",原始经营数据!$I267)</f>
        <v>81.84</v>
      </c>
      <c r="F266" t="str">
        <f>IF(原始经营数据!$D267="","",T(原始经营数据!$J267))</f>
        <v>%</v>
      </c>
      <c r="G266" t="str">
        <f>IF(原始经营数据!$D267="","",T(原始经营数据!$K267))</f>
        <v/>
      </c>
      <c r="H266" t="str">
        <f>IF(原始经营数据!$D267="","",原始经营数据!$G267)</f>
        <v>服务效率</v>
      </c>
      <c r="I266" t="str">
        <f>IF($A266="","",IF($B266&lt;&gt;"",$B266,IF(COUNTIFS(原始经营数据!$D$3:$D$3001,$A266,原始经营数据!$E$3:$E$3001,"",原始经营数据!$F$3:$F$3001,$C266,原始经营数据!$H$3:$H$3001,$D266,原始经营数据!$K$3:$K$3001,$G266)&gt;1,"基金整体·来源"&amp;原始经营数据!$A267,"基金整体")))</f>
        <v>华威西营里农产品交易中心</v>
      </c>
      <c r="J266" t="str">
        <f t="shared" si="63"/>
        <v>年度</v>
      </c>
      <c r="K266" t="str">
        <f t="shared" si="64"/>
        <v>续租率（%）</v>
      </c>
      <c r="L266" t="str">
        <f t="shared" si="65"/>
        <v>华威西营里农产品交易中心|续租率（%）|年度</v>
      </c>
      <c r="M266">
        <f>IF($A266="",0,IF(COUNTIF($L$2:$L266,$L266)=1,1,0))</f>
        <v>0</v>
      </c>
      <c r="N266">
        <f t="shared" si="66"/>
        <v>20220</v>
      </c>
      <c r="O266" t="str">
        <f t="shared" si="67"/>
        <v>易方达华威农贸市场封闭式基础设施证券投资基金|2022|年度</v>
      </c>
      <c r="P266">
        <f>IF($A266="",0,IF(COUNTIF($O$2:$O266,$O266)=1,1,0))</f>
        <v>0</v>
      </c>
      <c r="Q266" t="str">
        <f>IF(AND($P266=1,$A266=经营数据!$B$3,$J266=经营数据!$BA$5),COUNTIFS($P$2:$P$3000,1,$A$2:$A$3000,$A266,$J$2:$J$3000,$J266,$N$2:$N$3000,"&lt;"&amp;$N266)+1,"")</f>
        <v/>
      </c>
      <c r="R266" t="str">
        <f t="shared" si="68"/>
        <v>易方达华威农贸市场封闭式基础设施证券投资基金|华威西营里农产品交易中心</v>
      </c>
      <c r="S266">
        <f>IF($A266="",0,IF(COUNTIF($R$2:$R266,$R266)=1,1,0))</f>
        <v>0</v>
      </c>
      <c r="T266">
        <f t="shared" si="69"/>
        <v>204</v>
      </c>
      <c r="U266" t="str">
        <f>IF($A266="","",IF($A266=经营数据!$B$3,COUNTIFS($S$2:$S$3000,1,$A$2:$A$3000,$A266,$T$2:$T$3000,"&lt;"&amp;$T266)+1,""))</f>
        <v/>
      </c>
      <c r="V266" t="str">
        <f t="shared" si="70"/>
        <v>华威西营里农产品交易中心|服务效率</v>
      </c>
      <c r="W266">
        <f t="shared" si="71"/>
        <v>205</v>
      </c>
      <c r="X266" t="str">
        <f t="shared" si="72"/>
        <v>华威西营里农产品交易中心|续租率</v>
      </c>
      <c r="Y266">
        <f t="shared" si="73"/>
        <v>218</v>
      </c>
      <c r="Z266">
        <f>IF($A266="",0,IF(AND($M266=1,$A266=经营数据!$B$3,$J266=经营数据!$BA$5,OR($I266=经营数据!$BA$4,COUNTIF(经营数据!$AA$9:$AA$38,$I266)&gt;0)),1,0))</f>
        <v>0</v>
      </c>
      <c r="AA266" t="str">
        <f t="shared" si="74"/>
        <v/>
      </c>
      <c r="AB266" t="str">
        <f t="shared" si="75"/>
        <v/>
      </c>
      <c r="AC266">
        <f>IF($A266="",0,IF(COUNTIF($A$2:$A266,$A266)=1,1,0))</f>
        <v>0</v>
      </c>
      <c r="AD266">
        <f t="shared" si="76"/>
        <v>4</v>
      </c>
      <c r="AE266" t="str">
        <f t="shared" si="77"/>
        <v>华威西营里农产品交易中心|续租率（%）</v>
      </c>
      <c r="BP266" s="47">
        <v>45762</v>
      </c>
      <c r="BQ266" s="29">
        <v>3.803055263742347E-2</v>
      </c>
    </row>
    <row r="267" spans="1:69" x14ac:dyDescent="0.4">
      <c r="A267" t="str">
        <f>IF(原始经营数据!$D268="","",原始经营数据!$D268)</f>
        <v>易方达华威农贸市场封闭式基础设施证券投资基金</v>
      </c>
      <c r="B267" t="str">
        <f>IF(原始经营数据!$D268="","",T(原始经营数据!$E268))</f>
        <v>华威西营里农产品交易中心</v>
      </c>
      <c r="C267" t="str">
        <f>IF(原始经营数据!$D268="","",原始经营数据!$F268)</f>
        <v>2022</v>
      </c>
      <c r="D267" t="str">
        <f>IF(原始经营数据!$D268="","",原始经营数据!$H268)</f>
        <v>退租率</v>
      </c>
      <c r="E267">
        <f>IF(原始经营数据!$D268="","",原始经营数据!$I268)</f>
        <v>0.84</v>
      </c>
      <c r="F267" t="str">
        <f>IF(原始经营数据!$D268="","",T(原始经营数据!$J268))</f>
        <v>%</v>
      </c>
      <c r="G267" t="str">
        <f>IF(原始经营数据!$D268="","",T(原始经营数据!$K268))</f>
        <v/>
      </c>
      <c r="H267" t="str">
        <f>IF(原始经营数据!$D268="","",原始经营数据!$G268)</f>
        <v>服务效率</v>
      </c>
      <c r="I267" t="str">
        <f>IF($A267="","",IF($B267&lt;&gt;"",$B267,IF(COUNTIFS(原始经营数据!$D$3:$D$3001,$A267,原始经营数据!$E$3:$E$3001,"",原始经营数据!$F$3:$F$3001,$C267,原始经营数据!$H$3:$H$3001,$D267,原始经营数据!$K$3:$K$3001,$G267)&gt;1,"基金整体·来源"&amp;原始经营数据!$A268,"基金整体")))</f>
        <v>华威西营里农产品交易中心</v>
      </c>
      <c r="J267" t="str">
        <f t="shared" si="63"/>
        <v>年度</v>
      </c>
      <c r="K267" t="str">
        <f t="shared" si="64"/>
        <v>退租率（%）</v>
      </c>
      <c r="L267" t="str">
        <f t="shared" si="65"/>
        <v>华威西营里农产品交易中心|退租率（%）|年度</v>
      </c>
      <c r="M267">
        <f>IF($A267="",0,IF(COUNTIF($L$2:$L267,$L267)=1,1,0))</f>
        <v>0</v>
      </c>
      <c r="N267">
        <f t="shared" si="66"/>
        <v>20220</v>
      </c>
      <c r="O267" t="str">
        <f t="shared" si="67"/>
        <v>易方达华威农贸市场封闭式基础设施证券投资基金|2022|年度</v>
      </c>
      <c r="P267">
        <f>IF($A267="",0,IF(COUNTIF($O$2:$O267,$O267)=1,1,0))</f>
        <v>0</v>
      </c>
      <c r="Q267" t="str">
        <f>IF(AND($P267=1,$A267=经营数据!$B$3,$J267=经营数据!$BA$5),COUNTIFS($P$2:$P$3000,1,$A$2:$A$3000,$A267,$J$2:$J$3000,$J267,$N$2:$N$3000,"&lt;"&amp;$N267)+1,"")</f>
        <v/>
      </c>
      <c r="R267" t="str">
        <f t="shared" si="68"/>
        <v>易方达华威农贸市场封闭式基础设施证券投资基金|华威西营里农产品交易中心</v>
      </c>
      <c r="S267">
        <f>IF($A267="",0,IF(COUNTIF($R$2:$R267,$R267)=1,1,0))</f>
        <v>0</v>
      </c>
      <c r="T267">
        <f t="shared" si="69"/>
        <v>204</v>
      </c>
      <c r="U267" t="str">
        <f>IF($A267="","",IF($A267=经营数据!$B$3,COUNTIFS($S$2:$S$3000,1,$A$2:$A$3000,$A267,$T$2:$T$3000,"&lt;"&amp;$T267)+1,""))</f>
        <v/>
      </c>
      <c r="V267" t="str">
        <f t="shared" si="70"/>
        <v>华威西营里农产品交易中心|服务效率</v>
      </c>
      <c r="W267">
        <f t="shared" si="71"/>
        <v>205</v>
      </c>
      <c r="X267" t="str">
        <f t="shared" si="72"/>
        <v>华威西营里农产品交易中心|退租率</v>
      </c>
      <c r="Y267">
        <f t="shared" si="73"/>
        <v>219</v>
      </c>
      <c r="Z267">
        <f>IF($A267="",0,IF(AND($M267=1,$A267=经营数据!$B$3,$J267=经营数据!$BA$5,OR($I267=经营数据!$BA$4,COUNTIF(经营数据!$AA$9:$AA$38,$I267)&gt;0)),1,0))</f>
        <v>0</v>
      </c>
      <c r="AA267" t="str">
        <f t="shared" si="74"/>
        <v/>
      </c>
      <c r="AB267" t="str">
        <f t="shared" si="75"/>
        <v/>
      </c>
      <c r="AC267">
        <f>IF($A267="",0,IF(COUNTIF($A$2:$A267,$A267)=1,1,0))</f>
        <v>0</v>
      </c>
      <c r="AD267">
        <f t="shared" si="76"/>
        <v>4</v>
      </c>
      <c r="AE267" t="str">
        <f t="shared" si="77"/>
        <v>华威西营里农产品交易中心|退租率（%）</v>
      </c>
      <c r="BP267" s="47">
        <v>45763</v>
      </c>
      <c r="BQ267" s="29">
        <v>3.7595307210113983E-2</v>
      </c>
    </row>
    <row r="268" spans="1:69" x14ac:dyDescent="0.4">
      <c r="A268" t="str">
        <f>IF(原始经营数据!$D269="","",原始经营数据!$D269)</f>
        <v>易方达华威农贸市场封闭式基础设施证券投资基金</v>
      </c>
      <c r="B268" t="str">
        <f>IF(原始经营数据!$D269="","",T(原始经营数据!$E269))</f>
        <v>华威西营里农产品交易中心</v>
      </c>
      <c r="C268" t="str">
        <f>IF(原始经营数据!$D269="","",原始经营数据!$F269)</f>
        <v>2022</v>
      </c>
      <c r="D268" t="str">
        <f>IF(原始经营数据!$D269="","",原始经营数据!$H269)</f>
        <v>当年退租面积</v>
      </c>
      <c r="E268">
        <f>IF(原始经营数据!$D269="","",原始经营数据!$I269)</f>
        <v>326.39999999999998</v>
      </c>
      <c r="F268" t="str">
        <f>IF(原始经营数据!$D269="","",T(原始经营数据!$J269))</f>
        <v>平方米</v>
      </c>
      <c r="G268" t="str">
        <f>IF(原始经营数据!$D269="","",T(原始经营数据!$K269))</f>
        <v/>
      </c>
      <c r="H268" t="str">
        <f>IF(原始经营数据!$D269="","",原始经营数据!$G269)</f>
        <v>服务量</v>
      </c>
      <c r="I268" t="str">
        <f>IF($A268="","",IF($B268&lt;&gt;"",$B268,IF(COUNTIFS(原始经营数据!$D$3:$D$3001,$A268,原始经营数据!$E$3:$E$3001,"",原始经营数据!$F$3:$F$3001,$C268,原始经营数据!$H$3:$H$3001,$D268,原始经营数据!$K$3:$K$3001,$G268)&gt;1,"基金整体·来源"&amp;原始经营数据!$A269,"基金整体")))</f>
        <v>华威西营里农产品交易中心</v>
      </c>
      <c r="J268" t="str">
        <f t="shared" si="63"/>
        <v>年度</v>
      </c>
      <c r="K268" t="str">
        <f t="shared" si="64"/>
        <v>当年退租面积（平方米）</v>
      </c>
      <c r="L268" t="str">
        <f t="shared" si="65"/>
        <v>华威西营里农产品交易中心|当年退租面积（平方米）|年度</v>
      </c>
      <c r="M268">
        <f>IF($A268="",0,IF(COUNTIF($L$2:$L268,$L268)=1,1,0))</f>
        <v>0</v>
      </c>
      <c r="N268">
        <f t="shared" si="66"/>
        <v>20220</v>
      </c>
      <c r="O268" t="str">
        <f t="shared" si="67"/>
        <v>易方达华威农贸市场封闭式基础设施证券投资基金|2022|年度</v>
      </c>
      <c r="P268">
        <f>IF($A268="",0,IF(COUNTIF($O$2:$O268,$O268)=1,1,0))</f>
        <v>0</v>
      </c>
      <c r="Q268" t="str">
        <f>IF(AND($P268=1,$A268=经营数据!$B$3,$J268=经营数据!$BA$5),COUNTIFS($P$2:$P$3000,1,$A$2:$A$3000,$A268,$J$2:$J$3000,$J268,$N$2:$N$3000,"&lt;"&amp;$N268)+1,"")</f>
        <v/>
      </c>
      <c r="R268" t="str">
        <f t="shared" si="68"/>
        <v>易方达华威农贸市场封闭式基础设施证券投资基金|华威西营里农产品交易中心</v>
      </c>
      <c r="S268">
        <f>IF($A268="",0,IF(COUNTIF($R$2:$R268,$R268)=1,1,0))</f>
        <v>0</v>
      </c>
      <c r="T268">
        <f t="shared" si="69"/>
        <v>204</v>
      </c>
      <c r="U268" t="str">
        <f>IF($A268="","",IF($A268=经营数据!$B$3,COUNTIFS($S$2:$S$3000,1,$A$2:$A$3000,$A268,$T$2:$T$3000,"&lt;"&amp;$T268)+1,""))</f>
        <v/>
      </c>
      <c r="V268" t="str">
        <f t="shared" si="70"/>
        <v>华威西营里农产品交易中心|服务量</v>
      </c>
      <c r="W268">
        <f t="shared" si="71"/>
        <v>221</v>
      </c>
      <c r="X268" t="str">
        <f t="shared" si="72"/>
        <v>华威西营里农产品交易中心|当年退租面积</v>
      </c>
      <c r="Y268">
        <f t="shared" si="73"/>
        <v>222</v>
      </c>
      <c r="Z268">
        <f>IF($A268="",0,IF(AND($M268=1,$A268=经营数据!$B$3,$J268=经营数据!$BA$5,OR($I268=经营数据!$BA$4,COUNTIF(经营数据!$AA$9:$AA$38,$I268)&gt;0)),1,0))</f>
        <v>0</v>
      </c>
      <c r="AA268" t="str">
        <f t="shared" si="74"/>
        <v/>
      </c>
      <c r="AB268" t="str">
        <f t="shared" si="75"/>
        <v/>
      </c>
      <c r="AC268">
        <f>IF($A268="",0,IF(COUNTIF($A$2:$A268,$A268)=1,1,0))</f>
        <v>0</v>
      </c>
      <c r="AD268">
        <f t="shared" si="76"/>
        <v>4</v>
      </c>
      <c r="AE268" t="str">
        <f t="shared" si="77"/>
        <v>华威西营里农产品交易中心|当年退租面积（平方米）</v>
      </c>
      <c r="BP268" s="47">
        <v>45764</v>
      </c>
      <c r="BQ268" s="29">
        <v>3.7157531129651922E-2</v>
      </c>
    </row>
    <row r="269" spans="1:69" x14ac:dyDescent="0.4">
      <c r="A269" t="str">
        <f>IF(原始经营数据!$D270="","",原始经营数据!$D270)</f>
        <v>易方达华威农贸市场封闭式基础设施证券投资基金</v>
      </c>
      <c r="B269" t="str">
        <f>IF(原始经营数据!$D270="","",T(原始经营数据!$E270))</f>
        <v>华威西营里农产品交易中心</v>
      </c>
      <c r="C269" t="str">
        <f>IF(原始经营数据!$D270="","",原始经营数据!$F270)</f>
        <v>2022</v>
      </c>
      <c r="D269" t="str">
        <f>IF(原始经营数据!$D270="","",原始经营数据!$H270)</f>
        <v>期初已出租面积</v>
      </c>
      <c r="E269">
        <f>IF(原始经营数据!$D270="","",原始经营数据!$I270)</f>
        <v>39010.639999999999</v>
      </c>
      <c r="F269" t="str">
        <f>IF(原始经营数据!$D270="","",T(原始经营数据!$J270))</f>
        <v>平方米</v>
      </c>
      <c r="G269" t="str">
        <f>IF(原始经营数据!$D270="","",T(原始经营数据!$K270))</f>
        <v/>
      </c>
      <c r="H269" t="str">
        <f>IF(原始经营数据!$D270="","",原始经营数据!$G270)</f>
        <v>服务量</v>
      </c>
      <c r="I269" t="str">
        <f>IF($A269="","",IF($B269&lt;&gt;"",$B269,IF(COUNTIFS(原始经营数据!$D$3:$D$3001,$A269,原始经营数据!$E$3:$E$3001,"",原始经营数据!$F$3:$F$3001,$C269,原始经营数据!$H$3:$H$3001,$D269,原始经营数据!$K$3:$K$3001,$G269)&gt;1,"基金整体·来源"&amp;原始经营数据!$A270,"基金整体")))</f>
        <v>华威西营里农产品交易中心</v>
      </c>
      <c r="J269" t="str">
        <f t="shared" si="63"/>
        <v>年度</v>
      </c>
      <c r="K269" t="str">
        <f t="shared" si="64"/>
        <v>期初已出租面积（平方米）</v>
      </c>
      <c r="L269" t="str">
        <f t="shared" si="65"/>
        <v>华威西营里农产品交易中心|期初已出租面积（平方米）|年度</v>
      </c>
      <c r="M269">
        <f>IF($A269="",0,IF(COUNTIF($L$2:$L269,$L269)=1,1,0))</f>
        <v>0</v>
      </c>
      <c r="N269">
        <f t="shared" si="66"/>
        <v>20220</v>
      </c>
      <c r="O269" t="str">
        <f t="shared" si="67"/>
        <v>易方达华威农贸市场封闭式基础设施证券投资基金|2022|年度</v>
      </c>
      <c r="P269">
        <f>IF($A269="",0,IF(COUNTIF($O$2:$O269,$O269)=1,1,0))</f>
        <v>0</v>
      </c>
      <c r="Q269" t="str">
        <f>IF(AND($P269=1,$A269=经营数据!$B$3,$J269=经营数据!$BA$5),COUNTIFS($P$2:$P$3000,1,$A$2:$A$3000,$A269,$J$2:$J$3000,$J269,$N$2:$N$3000,"&lt;"&amp;$N269)+1,"")</f>
        <v/>
      </c>
      <c r="R269" t="str">
        <f t="shared" si="68"/>
        <v>易方达华威农贸市场封闭式基础设施证券投资基金|华威西营里农产品交易中心</v>
      </c>
      <c r="S269">
        <f>IF($A269="",0,IF(COUNTIF($R$2:$R269,$R269)=1,1,0))</f>
        <v>0</v>
      </c>
      <c r="T269">
        <f t="shared" si="69"/>
        <v>204</v>
      </c>
      <c r="U269" t="str">
        <f>IF($A269="","",IF($A269=经营数据!$B$3,COUNTIFS($S$2:$S$3000,1,$A$2:$A$3000,$A269,$T$2:$T$3000,"&lt;"&amp;$T269)+1,""))</f>
        <v/>
      </c>
      <c r="V269" t="str">
        <f t="shared" si="70"/>
        <v>华威西营里农产品交易中心|服务量</v>
      </c>
      <c r="W269">
        <f t="shared" si="71"/>
        <v>221</v>
      </c>
      <c r="X269" t="str">
        <f t="shared" si="72"/>
        <v>华威西营里农产品交易中心|期初已出租面积</v>
      </c>
      <c r="Y269">
        <f t="shared" si="73"/>
        <v>221</v>
      </c>
      <c r="Z269">
        <f>IF($A269="",0,IF(AND($M269=1,$A269=经营数据!$B$3,$J269=经营数据!$BA$5,OR($I269=经营数据!$BA$4,COUNTIF(经营数据!$AA$9:$AA$38,$I269)&gt;0)),1,0))</f>
        <v>0</v>
      </c>
      <c r="AA269" t="str">
        <f t="shared" si="74"/>
        <v/>
      </c>
      <c r="AB269" t="str">
        <f t="shared" si="75"/>
        <v/>
      </c>
      <c r="AC269">
        <f>IF($A269="",0,IF(COUNTIF($A$2:$A269,$A269)=1,1,0))</f>
        <v>0</v>
      </c>
      <c r="AD269">
        <f t="shared" si="76"/>
        <v>4</v>
      </c>
      <c r="AE269" t="str">
        <f t="shared" si="77"/>
        <v>华威西营里农产品交易中心|期初已出租面积（平方米）</v>
      </c>
      <c r="BP269" s="47">
        <v>45765</v>
      </c>
      <c r="BQ269" s="29">
        <v>3.7558213173666671E-2</v>
      </c>
    </row>
    <row r="270" spans="1:69" x14ac:dyDescent="0.4">
      <c r="A270" t="str">
        <f>IF(原始经营数据!$D271="","",原始经营数据!$D271)</f>
        <v>易方达华威农贸市场封闭式基础设施证券投资基金</v>
      </c>
      <c r="B270" t="str">
        <f>IF(原始经营数据!$D271="","",T(原始经营数据!$E271))</f>
        <v>华威西营里农产品交易中心</v>
      </c>
      <c r="C270" t="str">
        <f>IF(原始经营数据!$D271="","",原始经营数据!$F271)</f>
        <v>2022</v>
      </c>
      <c r="D270" t="str">
        <f>IF(原始经营数据!$D271="","",原始经营数据!$H271)</f>
        <v>各经营业态出租率表</v>
      </c>
      <c r="E270">
        <f>IF(原始经营数据!$D271="","",原始经营数据!$I271)</f>
        <v>86</v>
      </c>
      <c r="F270" t="str">
        <f>IF(原始经营数据!$D271="","",T(原始经营数据!$J271))</f>
        <v>%</v>
      </c>
      <c r="G270" t="str">
        <f>IF(原始经营数据!$D271="","",T(原始经营数据!$K271))</f>
        <v>电商直播基地</v>
      </c>
      <c r="H270" t="str">
        <f>IF(原始经营数据!$D271="","",原始经营数据!$G271)</f>
        <v>服务效率</v>
      </c>
      <c r="I270" t="str">
        <f>IF($A270="","",IF($B270&lt;&gt;"",$B270,IF(COUNTIFS(原始经营数据!$D$3:$D$3001,$A270,原始经营数据!$E$3:$E$3001,"",原始经营数据!$F$3:$F$3001,$C270,原始经营数据!$H$3:$H$3001,$D270,原始经营数据!$K$3:$K$3001,$G270)&gt;1,"基金整体·来源"&amp;原始经营数据!$A271,"基金整体")))</f>
        <v>华威西营里农产品交易中心</v>
      </c>
      <c r="J270" t="str">
        <f t="shared" si="63"/>
        <v>年度</v>
      </c>
      <c r="K270" t="str">
        <f t="shared" si="64"/>
        <v>各经营业态出租率表-电商直播基地（%）</v>
      </c>
      <c r="L270" t="str">
        <f t="shared" si="65"/>
        <v>华威西营里农产品交易中心|各经营业态出租率表-电商直播基地（%）|年度</v>
      </c>
      <c r="M270">
        <f>IF($A270="",0,IF(COUNTIF($L$2:$L270,$L270)=1,1,0))</f>
        <v>0</v>
      </c>
      <c r="N270">
        <f t="shared" si="66"/>
        <v>20220</v>
      </c>
      <c r="O270" t="str">
        <f t="shared" si="67"/>
        <v>易方达华威农贸市场封闭式基础设施证券投资基金|2022|年度</v>
      </c>
      <c r="P270">
        <f>IF($A270="",0,IF(COUNTIF($O$2:$O270,$O270)=1,1,0))</f>
        <v>0</v>
      </c>
      <c r="Q270" t="str">
        <f>IF(AND($P270=1,$A270=经营数据!$B$3,$J270=经营数据!$BA$5),COUNTIFS($P$2:$P$3000,1,$A$2:$A$3000,$A270,$J$2:$J$3000,$J270,$N$2:$N$3000,"&lt;"&amp;$N270)+1,"")</f>
        <v/>
      </c>
      <c r="R270" t="str">
        <f t="shared" si="68"/>
        <v>易方达华威农贸市场封闭式基础设施证券投资基金|华威西营里农产品交易中心</v>
      </c>
      <c r="S270">
        <f>IF($A270="",0,IF(COUNTIF($R$2:$R270,$R270)=1,1,0))</f>
        <v>0</v>
      </c>
      <c r="T270">
        <f t="shared" si="69"/>
        <v>204</v>
      </c>
      <c r="U270" t="str">
        <f>IF($A270="","",IF($A270=经营数据!$B$3,COUNTIFS($S$2:$S$3000,1,$A$2:$A$3000,$A270,$T$2:$T$3000,"&lt;"&amp;$T270)+1,""))</f>
        <v/>
      </c>
      <c r="V270" t="str">
        <f t="shared" si="70"/>
        <v>华威西营里农产品交易中心|服务效率</v>
      </c>
      <c r="W270">
        <f t="shared" si="71"/>
        <v>205</v>
      </c>
      <c r="X270" t="str">
        <f t="shared" si="72"/>
        <v>华威西营里农产品交易中心|各经营业态出租率表</v>
      </c>
      <c r="Y270">
        <f t="shared" si="73"/>
        <v>205</v>
      </c>
      <c r="Z270">
        <f>IF($A270="",0,IF(AND($M270=1,$A270=经营数据!$B$3,$J270=经营数据!$BA$5,OR($I270=经营数据!$BA$4,COUNTIF(经营数据!$AA$9:$AA$38,$I270)&gt;0)),1,0))</f>
        <v>0</v>
      </c>
      <c r="AA270" t="str">
        <f t="shared" si="74"/>
        <v/>
      </c>
      <c r="AB270" t="str">
        <f t="shared" si="75"/>
        <v/>
      </c>
      <c r="AC270">
        <f>IF($A270="",0,IF(COUNTIF($A$2:$A270,$A270)=1,1,0))</f>
        <v>0</v>
      </c>
      <c r="AD270">
        <f t="shared" si="76"/>
        <v>4</v>
      </c>
      <c r="AE270" t="str">
        <f t="shared" si="77"/>
        <v>华威西营里农产品交易中心|各经营业态出租率表-电商直播基地（%）</v>
      </c>
      <c r="BP270" s="47">
        <v>45768</v>
      </c>
      <c r="BQ270" s="29">
        <v>3.7784162465208618E-2</v>
      </c>
    </row>
    <row r="271" spans="1:69" x14ac:dyDescent="0.4">
      <c r="A271" t="str">
        <f>IF(原始经营数据!$D272="","",原始经营数据!$D272)</f>
        <v>易方达华威农贸市场封闭式基础设施证券投资基金</v>
      </c>
      <c r="B271" t="str">
        <f>IF(原始经营数据!$D272="","",T(原始经营数据!$E272))</f>
        <v>华威西营里农产品交易中心</v>
      </c>
      <c r="C271" t="str">
        <f>IF(原始经营数据!$D272="","",原始经营数据!$F272)</f>
        <v>2022</v>
      </c>
      <c r="D271" t="str">
        <f>IF(原始经营数据!$D272="","",原始经营数据!$H272)</f>
        <v>各经营业态出租率表</v>
      </c>
      <c r="E271">
        <f>IF(原始经营数据!$D272="","",原始经营数据!$I272)</f>
        <v>96</v>
      </c>
      <c r="F271" t="str">
        <f>IF(原始经营数据!$D272="","",T(原始经营数据!$J272))</f>
        <v>%</v>
      </c>
      <c r="G271" t="str">
        <f>IF(原始经营数据!$D272="","",T(原始经营数据!$K272))</f>
        <v>干货/调味品</v>
      </c>
      <c r="H271" t="str">
        <f>IF(原始经营数据!$D272="","",原始经营数据!$G272)</f>
        <v>服务效率</v>
      </c>
      <c r="I271" t="str">
        <f>IF($A271="","",IF($B271&lt;&gt;"",$B271,IF(COUNTIFS(原始经营数据!$D$3:$D$3001,$A271,原始经营数据!$E$3:$E$3001,"",原始经营数据!$F$3:$F$3001,$C271,原始经营数据!$H$3:$H$3001,$D271,原始经营数据!$K$3:$K$3001,$G271)&gt;1,"基金整体·来源"&amp;原始经营数据!$A272,"基金整体")))</f>
        <v>华威西营里农产品交易中心</v>
      </c>
      <c r="J271" t="str">
        <f t="shared" si="63"/>
        <v>年度</v>
      </c>
      <c r="K271" t="str">
        <f t="shared" si="64"/>
        <v>各经营业态出租率表-干货/调味品（%）</v>
      </c>
      <c r="L271" t="str">
        <f t="shared" si="65"/>
        <v>华威西营里农产品交易中心|各经营业态出租率表-干货/调味品（%）|年度</v>
      </c>
      <c r="M271">
        <f>IF($A271="",0,IF(COUNTIF($L$2:$L271,$L271)=1,1,0))</f>
        <v>0</v>
      </c>
      <c r="N271">
        <f t="shared" si="66"/>
        <v>20220</v>
      </c>
      <c r="O271" t="str">
        <f t="shared" si="67"/>
        <v>易方达华威农贸市场封闭式基础设施证券投资基金|2022|年度</v>
      </c>
      <c r="P271">
        <f>IF($A271="",0,IF(COUNTIF($O$2:$O271,$O271)=1,1,0))</f>
        <v>0</v>
      </c>
      <c r="Q271" t="str">
        <f>IF(AND($P271=1,$A271=经营数据!$B$3,$J271=经营数据!$BA$5),COUNTIFS($P$2:$P$3000,1,$A$2:$A$3000,$A271,$J$2:$J$3000,$J271,$N$2:$N$3000,"&lt;"&amp;$N271)+1,"")</f>
        <v/>
      </c>
      <c r="R271" t="str">
        <f t="shared" si="68"/>
        <v>易方达华威农贸市场封闭式基础设施证券投资基金|华威西营里农产品交易中心</v>
      </c>
      <c r="S271">
        <f>IF($A271="",0,IF(COUNTIF($R$2:$R271,$R271)=1,1,0))</f>
        <v>0</v>
      </c>
      <c r="T271">
        <f t="shared" si="69"/>
        <v>204</v>
      </c>
      <c r="U271" t="str">
        <f>IF($A271="","",IF($A271=经营数据!$B$3,COUNTIFS($S$2:$S$3000,1,$A$2:$A$3000,$A271,$T$2:$T$3000,"&lt;"&amp;$T271)+1,""))</f>
        <v/>
      </c>
      <c r="V271" t="str">
        <f t="shared" si="70"/>
        <v>华威西营里农产品交易中心|服务效率</v>
      </c>
      <c r="W271">
        <f t="shared" si="71"/>
        <v>205</v>
      </c>
      <c r="X271" t="str">
        <f t="shared" si="72"/>
        <v>华威西营里农产品交易中心|各经营业态出租率表</v>
      </c>
      <c r="Y271">
        <f t="shared" si="73"/>
        <v>205</v>
      </c>
      <c r="Z271">
        <f>IF($A271="",0,IF(AND($M271=1,$A271=经营数据!$B$3,$J271=经营数据!$BA$5,OR($I271=经营数据!$BA$4,COUNTIF(经营数据!$AA$9:$AA$38,$I271)&gt;0)),1,0))</f>
        <v>0</v>
      </c>
      <c r="AA271" t="str">
        <f t="shared" si="74"/>
        <v/>
      </c>
      <c r="AB271" t="str">
        <f t="shared" si="75"/>
        <v/>
      </c>
      <c r="AC271">
        <f>IF($A271="",0,IF(COUNTIF($A$2:$A271,$A271)=1,1,0))</f>
        <v>0</v>
      </c>
      <c r="AD271">
        <f t="shared" si="76"/>
        <v>4</v>
      </c>
      <c r="AE271" t="str">
        <f t="shared" si="77"/>
        <v>华威西营里农产品交易中心|各经营业态出租率表-干货/调味品（%）</v>
      </c>
      <c r="BP271" s="47">
        <v>45769</v>
      </c>
      <c r="BQ271" s="29">
        <v>3.8866207164898393E-2</v>
      </c>
    </row>
    <row r="272" spans="1:69" x14ac:dyDescent="0.4">
      <c r="A272" t="str">
        <f>IF(原始经营数据!$D273="","",原始经营数据!$D273)</f>
        <v>易方达华威农贸市场封闭式基础设施证券投资基金</v>
      </c>
      <c r="B272" t="str">
        <f>IF(原始经营数据!$D273="","",T(原始经营数据!$E273))</f>
        <v>华威西营里农产品交易中心</v>
      </c>
      <c r="C272" t="str">
        <f>IF(原始经营数据!$D273="","",原始经营数据!$F273)</f>
        <v>2022</v>
      </c>
      <c r="D272" t="str">
        <f>IF(原始经营数据!$D273="","",原始经营数据!$H273)</f>
        <v>各经营业态出租率表</v>
      </c>
      <c r="E272">
        <f>IF(原始经营数据!$D273="","",原始经营数据!$I273)</f>
        <v>62</v>
      </c>
      <c r="F272" t="str">
        <f>IF(原始经营数据!$D273="","",T(原始经营数据!$J273))</f>
        <v>%</v>
      </c>
      <c r="G272" t="str">
        <f>IF(原始经营数据!$D273="","",T(原始经营数据!$K273))</f>
        <v>仓库</v>
      </c>
      <c r="H272" t="str">
        <f>IF(原始经营数据!$D273="","",原始经营数据!$G273)</f>
        <v>服务效率</v>
      </c>
      <c r="I272" t="str">
        <f>IF($A272="","",IF($B272&lt;&gt;"",$B272,IF(COUNTIFS(原始经营数据!$D$3:$D$3001,$A272,原始经营数据!$E$3:$E$3001,"",原始经营数据!$F$3:$F$3001,$C272,原始经营数据!$H$3:$H$3001,$D272,原始经营数据!$K$3:$K$3001,$G272)&gt;1,"基金整体·来源"&amp;原始经营数据!$A273,"基金整体")))</f>
        <v>华威西营里农产品交易中心</v>
      </c>
      <c r="J272" t="str">
        <f t="shared" si="63"/>
        <v>年度</v>
      </c>
      <c r="K272" t="str">
        <f t="shared" si="64"/>
        <v>各经营业态出租率表-仓库（%）</v>
      </c>
      <c r="L272" t="str">
        <f t="shared" si="65"/>
        <v>华威西营里农产品交易中心|各经营业态出租率表-仓库（%）|年度</v>
      </c>
      <c r="M272">
        <f>IF($A272="",0,IF(COUNTIF($L$2:$L272,$L272)=1,1,0))</f>
        <v>0</v>
      </c>
      <c r="N272">
        <f t="shared" si="66"/>
        <v>20220</v>
      </c>
      <c r="O272" t="str">
        <f t="shared" si="67"/>
        <v>易方达华威农贸市场封闭式基础设施证券投资基金|2022|年度</v>
      </c>
      <c r="P272">
        <f>IF($A272="",0,IF(COUNTIF($O$2:$O272,$O272)=1,1,0))</f>
        <v>0</v>
      </c>
      <c r="Q272" t="str">
        <f>IF(AND($P272=1,$A272=经营数据!$B$3,$J272=经营数据!$BA$5),COUNTIFS($P$2:$P$3000,1,$A$2:$A$3000,$A272,$J$2:$J$3000,$J272,$N$2:$N$3000,"&lt;"&amp;$N272)+1,"")</f>
        <v/>
      </c>
      <c r="R272" t="str">
        <f t="shared" si="68"/>
        <v>易方达华威农贸市场封闭式基础设施证券投资基金|华威西营里农产品交易中心</v>
      </c>
      <c r="S272">
        <f>IF($A272="",0,IF(COUNTIF($R$2:$R272,$R272)=1,1,0))</f>
        <v>0</v>
      </c>
      <c r="T272">
        <f t="shared" si="69"/>
        <v>204</v>
      </c>
      <c r="U272" t="str">
        <f>IF($A272="","",IF($A272=经营数据!$B$3,COUNTIFS($S$2:$S$3000,1,$A$2:$A$3000,$A272,$T$2:$T$3000,"&lt;"&amp;$T272)+1,""))</f>
        <v/>
      </c>
      <c r="V272" t="str">
        <f t="shared" si="70"/>
        <v>华威西营里农产品交易中心|服务效率</v>
      </c>
      <c r="W272">
        <f t="shared" si="71"/>
        <v>205</v>
      </c>
      <c r="X272" t="str">
        <f t="shared" si="72"/>
        <v>华威西营里农产品交易中心|各经营业态出租率表</v>
      </c>
      <c r="Y272">
        <f t="shared" si="73"/>
        <v>205</v>
      </c>
      <c r="Z272">
        <f>IF($A272="",0,IF(AND($M272=1,$A272=经营数据!$B$3,$J272=经营数据!$BA$5,OR($I272=经营数据!$BA$4,COUNTIF(经营数据!$AA$9:$AA$38,$I272)&gt;0)),1,0))</f>
        <v>0</v>
      </c>
      <c r="AA272" t="str">
        <f t="shared" si="74"/>
        <v/>
      </c>
      <c r="AB272" t="str">
        <f t="shared" si="75"/>
        <v/>
      </c>
      <c r="AC272">
        <f>IF($A272="",0,IF(COUNTIF($A$2:$A272,$A272)=1,1,0))</f>
        <v>0</v>
      </c>
      <c r="AD272">
        <f t="shared" si="76"/>
        <v>4</v>
      </c>
      <c r="AE272" t="str">
        <f t="shared" si="77"/>
        <v>华威西营里农产品交易中心|各经营业态出租率表-仓库（%）</v>
      </c>
      <c r="BP272" s="47">
        <v>45770</v>
      </c>
      <c r="BQ272" s="29">
        <v>3.8975625756498038E-2</v>
      </c>
    </row>
    <row r="273" spans="1:69" x14ac:dyDescent="0.4">
      <c r="A273" t="str">
        <f>IF(原始经营数据!$D274="","",原始经营数据!$D274)</f>
        <v>易方达华威农贸市场封闭式基础设施证券投资基金</v>
      </c>
      <c r="B273" t="str">
        <f>IF(原始经营数据!$D274="","",T(原始经营数据!$E274))</f>
        <v>华威西营里农产品交易中心</v>
      </c>
      <c r="C273" t="str">
        <f>IF(原始经营数据!$D274="","",原始经营数据!$F274)</f>
        <v>2022</v>
      </c>
      <c r="D273" t="str">
        <f>IF(原始经营数据!$D274="","",原始经营数据!$H274)</f>
        <v>续租租约的租赁面积</v>
      </c>
      <c r="E273">
        <f>IF(原始经营数据!$D274="","",原始经营数据!$I274)</f>
        <v>5512.92</v>
      </c>
      <c r="F273" t="str">
        <f>IF(原始经营数据!$D274="","",T(原始经营数据!$J274))</f>
        <v>平方米</v>
      </c>
      <c r="G273" t="str">
        <f>IF(原始经营数据!$D274="","",T(原始经营数据!$K274))</f>
        <v/>
      </c>
      <c r="H273" t="str">
        <f>IF(原始经营数据!$D274="","",原始经营数据!$G274)</f>
        <v>服务量</v>
      </c>
      <c r="I273" t="str">
        <f>IF($A273="","",IF($B273&lt;&gt;"",$B273,IF(COUNTIFS(原始经营数据!$D$3:$D$3001,$A273,原始经营数据!$E$3:$E$3001,"",原始经营数据!$F$3:$F$3001,$C273,原始经营数据!$H$3:$H$3001,$D273,原始经营数据!$K$3:$K$3001,$G273)&gt;1,"基金整体·来源"&amp;原始经营数据!$A274,"基金整体")))</f>
        <v>华威西营里农产品交易中心</v>
      </c>
      <c r="J273" t="str">
        <f t="shared" si="63"/>
        <v>年度</v>
      </c>
      <c r="K273" t="str">
        <f t="shared" si="64"/>
        <v>续租租约的租赁面积（平方米）</v>
      </c>
      <c r="L273" t="str">
        <f t="shared" si="65"/>
        <v>华威西营里农产品交易中心|续租租约的租赁面积（平方米）|年度</v>
      </c>
      <c r="M273">
        <f>IF($A273="",0,IF(COUNTIF($L$2:$L273,$L273)=1,1,0))</f>
        <v>0</v>
      </c>
      <c r="N273">
        <f t="shared" si="66"/>
        <v>20220</v>
      </c>
      <c r="O273" t="str">
        <f t="shared" si="67"/>
        <v>易方达华威农贸市场封闭式基础设施证券投资基金|2022|年度</v>
      </c>
      <c r="P273">
        <f>IF($A273="",0,IF(COUNTIF($O$2:$O273,$O273)=1,1,0))</f>
        <v>0</v>
      </c>
      <c r="Q273" t="str">
        <f>IF(AND($P273=1,$A273=经营数据!$B$3,$J273=经营数据!$BA$5),COUNTIFS($P$2:$P$3000,1,$A$2:$A$3000,$A273,$J$2:$J$3000,$J273,$N$2:$N$3000,"&lt;"&amp;$N273)+1,"")</f>
        <v/>
      </c>
      <c r="R273" t="str">
        <f t="shared" si="68"/>
        <v>易方达华威农贸市场封闭式基础设施证券投资基金|华威西营里农产品交易中心</v>
      </c>
      <c r="S273">
        <f>IF($A273="",0,IF(COUNTIF($R$2:$R273,$R273)=1,1,0))</f>
        <v>0</v>
      </c>
      <c r="T273">
        <f t="shared" si="69"/>
        <v>204</v>
      </c>
      <c r="U273" t="str">
        <f>IF($A273="","",IF($A273=经营数据!$B$3,COUNTIFS($S$2:$S$3000,1,$A$2:$A$3000,$A273,$T$2:$T$3000,"&lt;"&amp;$T273)+1,""))</f>
        <v/>
      </c>
      <c r="V273" t="str">
        <f t="shared" si="70"/>
        <v>华威西营里农产品交易中心|服务量</v>
      </c>
      <c r="W273">
        <f t="shared" si="71"/>
        <v>221</v>
      </c>
      <c r="X273" t="str">
        <f t="shared" si="72"/>
        <v>华威西营里农产品交易中心|续租租约的租赁面积</v>
      </c>
      <c r="Y273">
        <f t="shared" si="73"/>
        <v>224</v>
      </c>
      <c r="Z273">
        <f>IF($A273="",0,IF(AND($M273=1,$A273=经营数据!$B$3,$J273=经营数据!$BA$5,OR($I273=经营数据!$BA$4,COUNTIF(经营数据!$AA$9:$AA$38,$I273)&gt;0)),1,0))</f>
        <v>0</v>
      </c>
      <c r="AA273" t="str">
        <f t="shared" si="74"/>
        <v/>
      </c>
      <c r="AB273" t="str">
        <f t="shared" si="75"/>
        <v/>
      </c>
      <c r="AC273">
        <f>IF($A273="",0,IF(COUNTIF($A$2:$A273,$A273)=1,1,0))</f>
        <v>0</v>
      </c>
      <c r="AD273">
        <f t="shared" si="76"/>
        <v>4</v>
      </c>
      <c r="AE273" t="str">
        <f t="shared" si="77"/>
        <v>华威西营里农产品交易中心|续租租约的租赁面积（平方米）</v>
      </c>
      <c r="BP273" s="47">
        <v>45771</v>
      </c>
      <c r="BQ273" s="29">
        <v>3.9011673237585753E-2</v>
      </c>
    </row>
    <row r="274" spans="1:69" x14ac:dyDescent="0.4">
      <c r="A274" t="str">
        <f>IF(原始经营数据!$D275="","",原始经营数据!$D275)</f>
        <v>易方达华威农贸市场封闭式基础设施证券投资基金</v>
      </c>
      <c r="B274" t="str">
        <f>IF(原始经营数据!$D275="","",T(原始经营数据!$E275))</f>
        <v>华威西营里农产品交易中心</v>
      </c>
      <c r="C274" t="str">
        <f>IF(原始经营数据!$D275="","",原始经营数据!$F275)</f>
        <v>2022</v>
      </c>
      <c r="D274" t="str">
        <f>IF(原始经营数据!$D275="","",原始经营数据!$H275)</f>
        <v>到期租约的租赁面积</v>
      </c>
      <c r="E274">
        <f>IF(原始经营数据!$D275="","",原始经营数据!$I275)</f>
        <v>6735.92</v>
      </c>
      <c r="F274" t="str">
        <f>IF(原始经营数据!$D275="","",T(原始经营数据!$J275))</f>
        <v>平方米</v>
      </c>
      <c r="G274" t="str">
        <f>IF(原始经营数据!$D275="","",T(原始经营数据!$K275))</f>
        <v/>
      </c>
      <c r="H274" t="str">
        <f>IF(原始经营数据!$D275="","",原始经营数据!$G275)</f>
        <v>服务量</v>
      </c>
      <c r="I274" t="str">
        <f>IF($A274="","",IF($B274&lt;&gt;"",$B274,IF(COUNTIFS(原始经营数据!$D$3:$D$3001,$A274,原始经营数据!$E$3:$E$3001,"",原始经营数据!$F$3:$F$3001,$C274,原始经营数据!$H$3:$H$3001,$D274,原始经营数据!$K$3:$K$3001,$G274)&gt;1,"基金整体·来源"&amp;原始经营数据!$A275,"基金整体")))</f>
        <v>华威西营里农产品交易中心</v>
      </c>
      <c r="J274" t="str">
        <f t="shared" si="63"/>
        <v>年度</v>
      </c>
      <c r="K274" t="str">
        <f t="shared" si="64"/>
        <v>到期租约的租赁面积（平方米）</v>
      </c>
      <c r="L274" t="str">
        <f t="shared" si="65"/>
        <v>华威西营里农产品交易中心|到期租约的租赁面积（平方米）|年度</v>
      </c>
      <c r="M274">
        <f>IF($A274="",0,IF(COUNTIF($L$2:$L274,$L274)=1,1,0))</f>
        <v>0</v>
      </c>
      <c r="N274">
        <f t="shared" si="66"/>
        <v>20220</v>
      </c>
      <c r="O274" t="str">
        <f t="shared" si="67"/>
        <v>易方达华威农贸市场封闭式基础设施证券投资基金|2022|年度</v>
      </c>
      <c r="P274">
        <f>IF($A274="",0,IF(COUNTIF($O$2:$O274,$O274)=1,1,0))</f>
        <v>0</v>
      </c>
      <c r="Q274" t="str">
        <f>IF(AND($P274=1,$A274=经营数据!$B$3,$J274=经营数据!$BA$5),COUNTIFS($P$2:$P$3000,1,$A$2:$A$3000,$A274,$J$2:$J$3000,$J274,$N$2:$N$3000,"&lt;"&amp;$N274)+1,"")</f>
        <v/>
      </c>
      <c r="R274" t="str">
        <f t="shared" si="68"/>
        <v>易方达华威农贸市场封闭式基础设施证券投资基金|华威西营里农产品交易中心</v>
      </c>
      <c r="S274">
        <f>IF($A274="",0,IF(COUNTIF($R$2:$R274,$R274)=1,1,0))</f>
        <v>0</v>
      </c>
      <c r="T274">
        <f t="shared" si="69"/>
        <v>204</v>
      </c>
      <c r="U274" t="str">
        <f>IF($A274="","",IF($A274=经营数据!$B$3,COUNTIFS($S$2:$S$3000,1,$A$2:$A$3000,$A274,$T$2:$T$3000,"&lt;"&amp;$T274)+1,""))</f>
        <v/>
      </c>
      <c r="V274" t="str">
        <f t="shared" si="70"/>
        <v>华威西营里农产品交易中心|服务量</v>
      </c>
      <c r="W274">
        <f t="shared" si="71"/>
        <v>221</v>
      </c>
      <c r="X274" t="str">
        <f t="shared" si="72"/>
        <v>华威西营里农产品交易中心|到期租约的租赁面积</v>
      </c>
      <c r="Y274">
        <f t="shared" si="73"/>
        <v>225</v>
      </c>
      <c r="Z274">
        <f>IF($A274="",0,IF(AND($M274=1,$A274=经营数据!$B$3,$J274=经营数据!$BA$5,OR($I274=经营数据!$BA$4,COUNTIF(经营数据!$AA$9:$AA$38,$I274)&gt;0)),1,0))</f>
        <v>0</v>
      </c>
      <c r="AA274" t="str">
        <f t="shared" si="74"/>
        <v/>
      </c>
      <c r="AB274" t="str">
        <f t="shared" si="75"/>
        <v/>
      </c>
      <c r="AC274">
        <f>IF($A274="",0,IF(COUNTIF($A$2:$A274,$A274)=1,1,0))</f>
        <v>0</v>
      </c>
      <c r="AD274">
        <f t="shared" si="76"/>
        <v>4</v>
      </c>
      <c r="AE274" t="str">
        <f t="shared" si="77"/>
        <v>华威西营里农产品交易中心|到期租约的租赁面积（平方米）</v>
      </c>
      <c r="BP274" s="47">
        <v>45772</v>
      </c>
      <c r="BQ274" s="29">
        <v>3.895465037472344E-2</v>
      </c>
    </row>
    <row r="275" spans="1:69" x14ac:dyDescent="0.4">
      <c r="A275" t="str">
        <f>IF(原始经营数据!$D276="","",原始经营数据!$D276)</f>
        <v>易方达华威农贸市场封闭式基础设施证券投资基金</v>
      </c>
      <c r="B275" t="str">
        <f>IF(原始经营数据!$D276="","",T(原始经营数据!$E276))</f>
        <v>华威西营里农产品交易中心</v>
      </c>
      <c r="C275" t="str">
        <f>IF(原始经营数据!$D276="","",原始经营数据!$F276)</f>
        <v>2023</v>
      </c>
      <c r="D275" t="str">
        <f>IF(原始经营数据!$D276="","",原始经营数据!$H276)</f>
        <v>各经营业态平均租金情况</v>
      </c>
      <c r="E275">
        <f>IF(原始经营数据!$D276="","",原始经营数据!$I276)</f>
        <v>240</v>
      </c>
      <c r="F275" t="str">
        <f>IF(原始经营数据!$D276="","",T(原始经营数据!$J276))</f>
        <v>元/平方米/月</v>
      </c>
      <c r="G275" t="str">
        <f>IF(原始经营数据!$D276="","",T(原始经营数据!$K276))</f>
        <v>蔬果</v>
      </c>
      <c r="H275" t="str">
        <f>IF(原始经营数据!$D276="","",原始经营数据!$G276)</f>
        <v>服务价格</v>
      </c>
      <c r="I275" t="str">
        <f>IF($A275="","",IF($B275&lt;&gt;"",$B275,IF(COUNTIFS(原始经营数据!$D$3:$D$3001,$A275,原始经营数据!$E$3:$E$3001,"",原始经营数据!$F$3:$F$3001,$C275,原始经营数据!$H$3:$H$3001,$D275,原始经营数据!$K$3:$K$3001,$G275)&gt;1,"基金整体·来源"&amp;原始经营数据!$A276,"基金整体")))</f>
        <v>华威西营里农产品交易中心</v>
      </c>
      <c r="J275" t="str">
        <f t="shared" si="63"/>
        <v>年度</v>
      </c>
      <c r="K275" t="str">
        <f t="shared" si="64"/>
        <v>各经营业态平均租金情况-蔬果（元/平方米/月）</v>
      </c>
      <c r="L275" t="str">
        <f t="shared" si="65"/>
        <v>华威西营里农产品交易中心|各经营业态平均租金情况-蔬果（元/平方米/月）|年度</v>
      </c>
      <c r="M275">
        <f>IF($A275="",0,IF(COUNTIF($L$2:$L275,$L275)=1,1,0))</f>
        <v>0</v>
      </c>
      <c r="N275">
        <f t="shared" si="66"/>
        <v>20230</v>
      </c>
      <c r="O275" t="str">
        <f t="shared" si="67"/>
        <v>易方达华威农贸市场封闭式基础设施证券投资基金|2023|年度</v>
      </c>
      <c r="P275">
        <f>IF($A275="",0,IF(COUNTIF($O$2:$O275,$O275)=1,1,0))</f>
        <v>1</v>
      </c>
      <c r="Q275" t="str">
        <f>IF(AND($P275=1,$A275=经营数据!$B$3,$J275=经营数据!$BA$5),COUNTIFS($P$2:$P$3000,1,$A$2:$A$3000,$A275,$J$2:$J$3000,$J275,$N$2:$N$3000,"&lt;"&amp;$N275)+1,"")</f>
        <v/>
      </c>
      <c r="R275" t="str">
        <f t="shared" si="68"/>
        <v>易方达华威农贸市场封闭式基础设施证券投资基金|华威西营里农产品交易中心</v>
      </c>
      <c r="S275">
        <f>IF($A275="",0,IF(COUNTIF($R$2:$R275,$R275)=1,1,0))</f>
        <v>0</v>
      </c>
      <c r="T275">
        <f t="shared" si="69"/>
        <v>204</v>
      </c>
      <c r="U275" t="str">
        <f>IF($A275="","",IF($A275=经营数据!$B$3,COUNTIFS($S$2:$S$3000,1,$A$2:$A$3000,$A275,$T$2:$T$3000,"&lt;"&amp;$T275)+1,""))</f>
        <v/>
      </c>
      <c r="V275" t="str">
        <f t="shared" si="70"/>
        <v>华威西营里农产品交易中心|服务价格</v>
      </c>
      <c r="W275">
        <f t="shared" si="71"/>
        <v>204</v>
      </c>
      <c r="X275" t="str">
        <f t="shared" si="72"/>
        <v>华威西营里农产品交易中心|各经营业态平均租金情况</v>
      </c>
      <c r="Y275">
        <f t="shared" si="73"/>
        <v>204</v>
      </c>
      <c r="Z275">
        <f>IF($A275="",0,IF(AND($M275=1,$A275=经营数据!$B$3,$J275=经营数据!$BA$5,OR($I275=经营数据!$BA$4,COUNTIF(经营数据!$AA$9:$AA$38,$I275)&gt;0)),1,0))</f>
        <v>0</v>
      </c>
      <c r="AA275" t="str">
        <f t="shared" si="74"/>
        <v/>
      </c>
      <c r="AB275" t="str">
        <f t="shared" si="75"/>
        <v/>
      </c>
      <c r="AC275">
        <f>IF($A275="",0,IF(COUNTIF($A$2:$A275,$A275)=1,1,0))</f>
        <v>0</v>
      </c>
      <c r="AD275">
        <f t="shared" si="76"/>
        <v>4</v>
      </c>
      <c r="AE275" t="str">
        <f t="shared" si="77"/>
        <v>华威西营里农产品交易中心|各经营业态平均租金情况-蔬果（元/平方米/月）</v>
      </c>
      <c r="BP275" s="47">
        <v>45775</v>
      </c>
      <c r="BQ275" s="29">
        <v>3.9229103711745109E-2</v>
      </c>
    </row>
    <row r="276" spans="1:69" x14ac:dyDescent="0.4">
      <c r="A276" t="str">
        <f>IF(原始经营数据!$D277="","",原始经营数据!$D277)</f>
        <v>易方达华威农贸市场封闭式基础设施证券投资基金</v>
      </c>
      <c r="B276" t="str">
        <f>IF(原始经营数据!$D277="","",T(原始经营数据!$E277))</f>
        <v>华威西营里农产品交易中心</v>
      </c>
      <c r="C276" t="str">
        <f>IF(原始经营数据!$D277="","",原始经营数据!$F277)</f>
        <v>2023</v>
      </c>
      <c r="D276" t="str">
        <f>IF(原始经营数据!$D277="","",原始经营数据!$H277)</f>
        <v>各经营业态出租率表</v>
      </c>
      <c r="E276">
        <f>IF(原始经营数据!$D277="","",原始经营数据!$I277)</f>
        <v>98</v>
      </c>
      <c r="F276" t="str">
        <f>IF(原始经营数据!$D277="","",T(原始经营数据!$J277))</f>
        <v>%</v>
      </c>
      <c r="G276" t="str">
        <f>IF(原始经营数据!$D277="","",T(原始经营数据!$K277))</f>
        <v>水产品</v>
      </c>
      <c r="H276" t="str">
        <f>IF(原始经营数据!$D277="","",原始经营数据!$G277)</f>
        <v>服务效率</v>
      </c>
      <c r="I276" t="str">
        <f>IF($A276="","",IF($B276&lt;&gt;"",$B276,IF(COUNTIFS(原始经营数据!$D$3:$D$3001,$A276,原始经营数据!$E$3:$E$3001,"",原始经营数据!$F$3:$F$3001,$C276,原始经营数据!$H$3:$H$3001,$D276,原始经营数据!$K$3:$K$3001,$G276)&gt;1,"基金整体·来源"&amp;原始经营数据!$A277,"基金整体")))</f>
        <v>华威西营里农产品交易中心</v>
      </c>
      <c r="J276" t="str">
        <f t="shared" si="63"/>
        <v>年度</v>
      </c>
      <c r="K276" t="str">
        <f t="shared" si="64"/>
        <v>各经营业态出租率表-水产品（%）</v>
      </c>
      <c r="L276" t="str">
        <f t="shared" si="65"/>
        <v>华威西营里农产品交易中心|各经营业态出租率表-水产品（%）|年度</v>
      </c>
      <c r="M276">
        <f>IF($A276="",0,IF(COUNTIF($L$2:$L276,$L276)=1,1,0))</f>
        <v>0</v>
      </c>
      <c r="N276">
        <f t="shared" si="66"/>
        <v>20230</v>
      </c>
      <c r="O276" t="str">
        <f t="shared" si="67"/>
        <v>易方达华威农贸市场封闭式基础设施证券投资基金|2023|年度</v>
      </c>
      <c r="P276">
        <f>IF($A276="",0,IF(COUNTIF($O$2:$O276,$O276)=1,1,0))</f>
        <v>0</v>
      </c>
      <c r="Q276" t="str">
        <f>IF(AND($P276=1,$A276=经营数据!$B$3,$J276=经营数据!$BA$5),COUNTIFS($P$2:$P$3000,1,$A$2:$A$3000,$A276,$J$2:$J$3000,$J276,$N$2:$N$3000,"&lt;"&amp;$N276)+1,"")</f>
        <v/>
      </c>
      <c r="R276" t="str">
        <f t="shared" si="68"/>
        <v>易方达华威农贸市场封闭式基础设施证券投资基金|华威西营里农产品交易中心</v>
      </c>
      <c r="S276">
        <f>IF($A276="",0,IF(COUNTIF($R$2:$R276,$R276)=1,1,0))</f>
        <v>0</v>
      </c>
      <c r="T276">
        <f t="shared" si="69"/>
        <v>204</v>
      </c>
      <c r="U276" t="str">
        <f>IF($A276="","",IF($A276=经营数据!$B$3,COUNTIFS($S$2:$S$3000,1,$A$2:$A$3000,$A276,$T$2:$T$3000,"&lt;"&amp;$T276)+1,""))</f>
        <v/>
      </c>
      <c r="V276" t="str">
        <f t="shared" si="70"/>
        <v>华威西营里农产品交易中心|服务效率</v>
      </c>
      <c r="W276">
        <f t="shared" si="71"/>
        <v>205</v>
      </c>
      <c r="X276" t="str">
        <f t="shared" si="72"/>
        <v>华威西营里农产品交易中心|各经营业态出租率表</v>
      </c>
      <c r="Y276">
        <f t="shared" si="73"/>
        <v>205</v>
      </c>
      <c r="Z276">
        <f>IF($A276="",0,IF(AND($M276=1,$A276=经营数据!$B$3,$J276=经营数据!$BA$5,OR($I276=经营数据!$BA$4,COUNTIF(经营数据!$AA$9:$AA$38,$I276)&gt;0)),1,0))</f>
        <v>0</v>
      </c>
      <c r="AA276" t="str">
        <f t="shared" si="74"/>
        <v/>
      </c>
      <c r="AB276" t="str">
        <f t="shared" si="75"/>
        <v/>
      </c>
      <c r="AC276">
        <f>IF($A276="",0,IF(COUNTIF($A$2:$A276,$A276)=1,1,0))</f>
        <v>0</v>
      </c>
      <c r="AD276">
        <f t="shared" si="76"/>
        <v>4</v>
      </c>
      <c r="AE276" t="str">
        <f t="shared" si="77"/>
        <v>华威西营里农产品交易中心|各经营业态出租率表-水产品（%）</v>
      </c>
      <c r="BP276" s="47">
        <v>45776</v>
      </c>
      <c r="BQ276" s="29">
        <v>3.9069904659585382E-2</v>
      </c>
    </row>
    <row r="277" spans="1:69" x14ac:dyDescent="0.4">
      <c r="A277" t="str">
        <f>IF(原始经营数据!$D278="","",原始经营数据!$D278)</f>
        <v>易方达华威农贸市场封闭式基础设施证券投资基金</v>
      </c>
      <c r="B277" t="str">
        <f>IF(原始经营数据!$D278="","",T(原始经营数据!$E278))</f>
        <v>华威西营里农产品交易中心</v>
      </c>
      <c r="C277" t="str">
        <f>IF(原始经营数据!$D278="","",原始经营数据!$F278)</f>
        <v>2023</v>
      </c>
      <c r="D277" t="str">
        <f>IF(原始经营数据!$D278="","",原始经营数据!$H278)</f>
        <v>各经营业态出租率表</v>
      </c>
      <c r="E277">
        <f>IF(原始经营数据!$D278="","",原始经营数据!$I278)</f>
        <v>100</v>
      </c>
      <c r="F277" t="str">
        <f>IF(原始经营数据!$D278="","",T(原始经营数据!$J278))</f>
        <v>%</v>
      </c>
      <c r="G277" t="str">
        <f>IF(原始经营数据!$D278="","",T(原始经营数据!$K278))</f>
        <v>肉禽</v>
      </c>
      <c r="H277" t="str">
        <f>IF(原始经营数据!$D278="","",原始经营数据!$G278)</f>
        <v>服务效率</v>
      </c>
      <c r="I277" t="str">
        <f>IF($A277="","",IF($B277&lt;&gt;"",$B277,IF(COUNTIFS(原始经营数据!$D$3:$D$3001,$A277,原始经营数据!$E$3:$E$3001,"",原始经营数据!$F$3:$F$3001,$C277,原始经营数据!$H$3:$H$3001,$D277,原始经营数据!$K$3:$K$3001,$G277)&gt;1,"基金整体·来源"&amp;原始经营数据!$A278,"基金整体")))</f>
        <v>华威西营里农产品交易中心</v>
      </c>
      <c r="J277" t="str">
        <f t="shared" si="63"/>
        <v>年度</v>
      </c>
      <c r="K277" t="str">
        <f t="shared" si="64"/>
        <v>各经营业态出租率表-肉禽（%）</v>
      </c>
      <c r="L277" t="str">
        <f t="shared" si="65"/>
        <v>华威西营里农产品交易中心|各经营业态出租率表-肉禽（%）|年度</v>
      </c>
      <c r="M277">
        <f>IF($A277="",0,IF(COUNTIF($L$2:$L277,$L277)=1,1,0))</f>
        <v>0</v>
      </c>
      <c r="N277">
        <f t="shared" si="66"/>
        <v>20230</v>
      </c>
      <c r="O277" t="str">
        <f t="shared" si="67"/>
        <v>易方达华威农贸市场封闭式基础设施证券投资基金|2023|年度</v>
      </c>
      <c r="P277">
        <f>IF($A277="",0,IF(COUNTIF($O$2:$O277,$O277)=1,1,0))</f>
        <v>0</v>
      </c>
      <c r="Q277" t="str">
        <f>IF(AND($P277=1,$A277=经营数据!$B$3,$J277=经营数据!$BA$5),COUNTIFS($P$2:$P$3000,1,$A$2:$A$3000,$A277,$J$2:$J$3000,$J277,$N$2:$N$3000,"&lt;"&amp;$N277)+1,"")</f>
        <v/>
      </c>
      <c r="R277" t="str">
        <f t="shared" si="68"/>
        <v>易方达华威农贸市场封闭式基础设施证券投资基金|华威西营里农产品交易中心</v>
      </c>
      <c r="S277">
        <f>IF($A277="",0,IF(COUNTIF($R$2:$R277,$R277)=1,1,0))</f>
        <v>0</v>
      </c>
      <c r="T277">
        <f t="shared" si="69"/>
        <v>204</v>
      </c>
      <c r="U277" t="str">
        <f>IF($A277="","",IF($A277=经营数据!$B$3,COUNTIFS($S$2:$S$3000,1,$A$2:$A$3000,$A277,$T$2:$T$3000,"&lt;"&amp;$T277)+1,""))</f>
        <v/>
      </c>
      <c r="V277" t="str">
        <f t="shared" si="70"/>
        <v>华威西营里农产品交易中心|服务效率</v>
      </c>
      <c r="W277">
        <f t="shared" si="71"/>
        <v>205</v>
      </c>
      <c r="X277" t="str">
        <f t="shared" si="72"/>
        <v>华威西营里农产品交易中心|各经营业态出租率表</v>
      </c>
      <c r="Y277">
        <f t="shared" si="73"/>
        <v>205</v>
      </c>
      <c r="Z277">
        <f>IF($A277="",0,IF(AND($M277=1,$A277=经营数据!$B$3,$J277=经营数据!$BA$5,OR($I277=经营数据!$BA$4,COUNTIF(经营数据!$AA$9:$AA$38,$I277)&gt;0)),1,0))</f>
        <v>0</v>
      </c>
      <c r="AA277" t="str">
        <f t="shared" si="74"/>
        <v/>
      </c>
      <c r="AB277" t="str">
        <f t="shared" si="75"/>
        <v/>
      </c>
      <c r="AC277">
        <f>IF($A277="",0,IF(COUNTIF($A$2:$A277,$A277)=1,1,0))</f>
        <v>0</v>
      </c>
      <c r="AD277">
        <f t="shared" si="76"/>
        <v>4</v>
      </c>
      <c r="AE277" t="str">
        <f t="shared" si="77"/>
        <v>华威西营里农产品交易中心|各经营业态出租率表-肉禽（%）</v>
      </c>
      <c r="BP277" s="47">
        <v>45777</v>
      </c>
      <c r="BQ277" s="29">
        <v>3.8493023599293567E-2</v>
      </c>
    </row>
    <row r="278" spans="1:69" x14ac:dyDescent="0.4">
      <c r="A278" t="str">
        <f>IF(原始经营数据!$D279="","",原始经营数据!$D279)</f>
        <v>易方达华威农贸市场封闭式基础设施证券投资基金</v>
      </c>
      <c r="B278" t="str">
        <f>IF(原始经营数据!$D279="","",T(原始经营数据!$E279))</f>
        <v>华威西营里农产品交易中心</v>
      </c>
      <c r="C278" t="str">
        <f>IF(原始经营数据!$D279="","",原始经营数据!$F279)</f>
        <v>2023</v>
      </c>
      <c r="D278" t="str">
        <f>IF(原始经营数据!$D279="","",原始经营数据!$H279)</f>
        <v>各经营业态出租率表</v>
      </c>
      <c r="E278">
        <f>IF(原始经营数据!$D279="","",原始经营数据!$I279)</f>
        <v>75</v>
      </c>
      <c r="F278" t="str">
        <f>IF(原始经营数据!$D279="","",T(原始经营数据!$J279))</f>
        <v>%</v>
      </c>
      <c r="G278" t="str">
        <f>IF(原始经营数据!$D279="","",T(原始经营数据!$K279))</f>
        <v>海鲜美食体验</v>
      </c>
      <c r="H278" t="str">
        <f>IF(原始经营数据!$D279="","",原始经营数据!$G279)</f>
        <v>服务效率</v>
      </c>
      <c r="I278" t="str">
        <f>IF($A278="","",IF($B278&lt;&gt;"",$B278,IF(COUNTIFS(原始经营数据!$D$3:$D$3001,$A278,原始经营数据!$E$3:$E$3001,"",原始经营数据!$F$3:$F$3001,$C278,原始经营数据!$H$3:$H$3001,$D278,原始经营数据!$K$3:$K$3001,$G278)&gt;1,"基金整体·来源"&amp;原始经营数据!$A279,"基金整体")))</f>
        <v>华威西营里农产品交易中心</v>
      </c>
      <c r="J278" t="str">
        <f t="shared" si="63"/>
        <v>年度</v>
      </c>
      <c r="K278" t="str">
        <f t="shared" si="64"/>
        <v>各经营业态出租率表-海鲜美食体验（%）</v>
      </c>
      <c r="L278" t="str">
        <f t="shared" si="65"/>
        <v>华威西营里农产品交易中心|各经营业态出租率表-海鲜美食体验（%）|年度</v>
      </c>
      <c r="M278">
        <f>IF($A278="",0,IF(COUNTIF($L$2:$L278,$L278)=1,1,0))</f>
        <v>1</v>
      </c>
      <c r="N278">
        <f t="shared" si="66"/>
        <v>20230</v>
      </c>
      <c r="O278" t="str">
        <f t="shared" si="67"/>
        <v>易方达华威农贸市场封闭式基础设施证券投资基金|2023|年度</v>
      </c>
      <c r="P278">
        <f>IF($A278="",0,IF(COUNTIF($O$2:$O278,$O278)=1,1,0))</f>
        <v>0</v>
      </c>
      <c r="Q278" t="str">
        <f>IF(AND($P278=1,$A278=经营数据!$B$3,$J278=经营数据!$BA$5),COUNTIFS($P$2:$P$3000,1,$A$2:$A$3000,$A278,$J$2:$J$3000,$J278,$N$2:$N$3000,"&lt;"&amp;$N278)+1,"")</f>
        <v/>
      </c>
      <c r="R278" t="str">
        <f t="shared" si="68"/>
        <v>易方达华威农贸市场封闭式基础设施证券投资基金|华威西营里农产品交易中心</v>
      </c>
      <c r="S278">
        <f>IF($A278="",0,IF(COUNTIF($R$2:$R278,$R278)=1,1,0))</f>
        <v>0</v>
      </c>
      <c r="T278">
        <f t="shared" si="69"/>
        <v>204</v>
      </c>
      <c r="U278" t="str">
        <f>IF($A278="","",IF($A278=经营数据!$B$3,COUNTIFS($S$2:$S$3000,1,$A$2:$A$3000,$A278,$T$2:$T$3000,"&lt;"&amp;$T278)+1,""))</f>
        <v/>
      </c>
      <c r="V278" t="str">
        <f t="shared" si="70"/>
        <v>华威西营里农产品交易中心|服务效率</v>
      </c>
      <c r="W278">
        <f t="shared" si="71"/>
        <v>205</v>
      </c>
      <c r="X278" t="str">
        <f t="shared" si="72"/>
        <v>华威西营里农产品交易中心|各经营业态出租率表</v>
      </c>
      <c r="Y278">
        <f t="shared" si="73"/>
        <v>205</v>
      </c>
      <c r="Z278">
        <f>IF($A278="",0,IF(AND($M278=1,$A278=经营数据!$B$3,$J278=经营数据!$BA$5,OR($I278=经营数据!$BA$4,COUNTIF(经营数据!$AA$9:$AA$38,$I278)&gt;0)),1,0))</f>
        <v>0</v>
      </c>
      <c r="AA278" t="str">
        <f t="shared" si="74"/>
        <v/>
      </c>
      <c r="AB278" t="str">
        <f t="shared" si="75"/>
        <v/>
      </c>
      <c r="AC278">
        <f>IF($A278="",0,IF(COUNTIF($A$2:$A278,$A278)=1,1,0))</f>
        <v>0</v>
      </c>
      <c r="AD278">
        <f t="shared" si="76"/>
        <v>4</v>
      </c>
      <c r="AE278" t="str">
        <f t="shared" si="77"/>
        <v>华威西营里农产品交易中心|各经营业态出租率表-海鲜美食体验（%）</v>
      </c>
      <c r="BP278" s="47">
        <v>45783</v>
      </c>
      <c r="BQ278" s="29">
        <v>3.8377625659798131E-2</v>
      </c>
    </row>
    <row r="279" spans="1:69" x14ac:dyDescent="0.4">
      <c r="A279" t="str">
        <f>IF(原始经营数据!$D280="","",原始经营数据!$D280)</f>
        <v>易方达华威农贸市场封闭式基础设施证券投资基金</v>
      </c>
      <c r="B279" t="str">
        <f>IF(原始经营数据!$D280="","",T(原始经营数据!$E280))</f>
        <v>华威西营里农产品交易中心</v>
      </c>
      <c r="C279" t="str">
        <f>IF(原始经营数据!$D280="","",原始经营数据!$F280)</f>
        <v>2023</v>
      </c>
      <c r="D279" t="str">
        <f>IF(原始经营数据!$D280="","",原始经营数据!$H280)</f>
        <v>各经营业态出租率表</v>
      </c>
      <c r="E279">
        <f>IF(原始经营数据!$D280="","",原始经营数据!$I280)</f>
        <v>91</v>
      </c>
      <c r="F279" t="str">
        <f>IF(原始经营数据!$D280="","",T(原始经营数据!$J280))</f>
        <v>%</v>
      </c>
      <c r="G279" t="str">
        <f>IF(原始经营数据!$D280="","",T(原始经营数据!$K280))</f>
        <v>商业配套</v>
      </c>
      <c r="H279" t="str">
        <f>IF(原始经营数据!$D280="","",原始经营数据!$G280)</f>
        <v>服务效率</v>
      </c>
      <c r="I279" t="str">
        <f>IF($A279="","",IF($B279&lt;&gt;"",$B279,IF(COUNTIFS(原始经营数据!$D$3:$D$3001,$A279,原始经营数据!$E$3:$E$3001,"",原始经营数据!$F$3:$F$3001,$C279,原始经营数据!$H$3:$H$3001,$D279,原始经营数据!$K$3:$K$3001,$G279)&gt;1,"基金整体·来源"&amp;原始经营数据!$A280,"基金整体")))</f>
        <v>华威西营里农产品交易中心</v>
      </c>
      <c r="J279" t="str">
        <f t="shared" si="63"/>
        <v>年度</v>
      </c>
      <c r="K279" t="str">
        <f t="shared" si="64"/>
        <v>各经营业态出租率表-商业配套（%）</v>
      </c>
      <c r="L279" t="str">
        <f t="shared" si="65"/>
        <v>华威西营里农产品交易中心|各经营业态出租率表-商业配套（%）|年度</v>
      </c>
      <c r="M279">
        <f>IF($A279="",0,IF(COUNTIF($L$2:$L279,$L279)=1,1,0))</f>
        <v>0</v>
      </c>
      <c r="N279">
        <f t="shared" si="66"/>
        <v>20230</v>
      </c>
      <c r="O279" t="str">
        <f t="shared" si="67"/>
        <v>易方达华威农贸市场封闭式基础设施证券投资基金|2023|年度</v>
      </c>
      <c r="P279">
        <f>IF($A279="",0,IF(COUNTIF($O$2:$O279,$O279)=1,1,0))</f>
        <v>0</v>
      </c>
      <c r="Q279" t="str">
        <f>IF(AND($P279=1,$A279=经营数据!$B$3,$J279=经营数据!$BA$5),COUNTIFS($P$2:$P$3000,1,$A$2:$A$3000,$A279,$J$2:$J$3000,$J279,$N$2:$N$3000,"&lt;"&amp;$N279)+1,"")</f>
        <v/>
      </c>
      <c r="R279" t="str">
        <f t="shared" si="68"/>
        <v>易方达华威农贸市场封闭式基础设施证券投资基金|华威西营里农产品交易中心</v>
      </c>
      <c r="S279">
        <f>IF($A279="",0,IF(COUNTIF($R$2:$R279,$R279)=1,1,0))</f>
        <v>0</v>
      </c>
      <c r="T279">
        <f t="shared" si="69"/>
        <v>204</v>
      </c>
      <c r="U279" t="str">
        <f>IF($A279="","",IF($A279=经营数据!$B$3,COUNTIFS($S$2:$S$3000,1,$A$2:$A$3000,$A279,$T$2:$T$3000,"&lt;"&amp;$T279)+1,""))</f>
        <v/>
      </c>
      <c r="V279" t="str">
        <f t="shared" si="70"/>
        <v>华威西营里农产品交易中心|服务效率</v>
      </c>
      <c r="W279">
        <f t="shared" si="71"/>
        <v>205</v>
      </c>
      <c r="X279" t="str">
        <f t="shared" si="72"/>
        <v>华威西营里农产品交易中心|各经营业态出租率表</v>
      </c>
      <c r="Y279">
        <f t="shared" si="73"/>
        <v>205</v>
      </c>
      <c r="Z279">
        <f>IF($A279="",0,IF(AND($M279=1,$A279=经营数据!$B$3,$J279=经营数据!$BA$5,OR($I279=经营数据!$BA$4,COUNTIF(经营数据!$AA$9:$AA$38,$I279)&gt;0)),1,0))</f>
        <v>0</v>
      </c>
      <c r="AA279" t="str">
        <f t="shared" si="74"/>
        <v/>
      </c>
      <c r="AB279" t="str">
        <f t="shared" si="75"/>
        <v/>
      </c>
      <c r="AC279">
        <f>IF($A279="",0,IF(COUNTIF($A$2:$A279,$A279)=1,1,0))</f>
        <v>0</v>
      </c>
      <c r="AD279">
        <f t="shared" si="76"/>
        <v>4</v>
      </c>
      <c r="AE279" t="str">
        <f t="shared" si="77"/>
        <v>华威西营里农产品交易中心|各经营业态出租率表-商业配套（%）</v>
      </c>
      <c r="BP279" s="47">
        <v>45784</v>
      </c>
      <c r="BQ279" s="29">
        <v>3.8240581931105549E-2</v>
      </c>
    </row>
    <row r="280" spans="1:69" x14ac:dyDescent="0.4">
      <c r="A280" t="str">
        <f>IF(原始经营数据!$D281="","",原始经营数据!$D281)</f>
        <v>易方达华威农贸市场封闭式基础设施证券投资基金</v>
      </c>
      <c r="B280" t="str">
        <f>IF(原始经营数据!$D281="","",T(原始经营数据!$E281))</f>
        <v>华威西营里农产品交易中心</v>
      </c>
      <c r="C280" t="str">
        <f>IF(原始经营数据!$D281="","",原始经营数据!$F281)</f>
        <v>2023</v>
      </c>
      <c r="D280" t="str">
        <f>IF(原始经营数据!$D281="","",原始经营数据!$H281)</f>
        <v>各经营业态出租率表</v>
      </c>
      <c r="E280">
        <f>IF(原始经营数据!$D281="","",原始经营数据!$I281)</f>
        <v>100</v>
      </c>
      <c r="F280" t="str">
        <f>IF(原始经营数据!$D281="","",T(原始经营数据!$J281))</f>
        <v>%</v>
      </c>
      <c r="G280" t="str">
        <f>IF(原始经营数据!$D281="","",T(原始经营数据!$K281))</f>
        <v>蔬果</v>
      </c>
      <c r="H280" t="str">
        <f>IF(原始经营数据!$D281="","",原始经营数据!$G281)</f>
        <v>服务效率</v>
      </c>
      <c r="I280" t="str">
        <f>IF($A280="","",IF($B280&lt;&gt;"",$B280,IF(COUNTIFS(原始经营数据!$D$3:$D$3001,$A280,原始经营数据!$E$3:$E$3001,"",原始经营数据!$F$3:$F$3001,$C280,原始经营数据!$H$3:$H$3001,$D280,原始经营数据!$K$3:$K$3001,$G280)&gt;1,"基金整体·来源"&amp;原始经营数据!$A281,"基金整体")))</f>
        <v>华威西营里农产品交易中心</v>
      </c>
      <c r="J280" t="str">
        <f t="shared" si="63"/>
        <v>年度</v>
      </c>
      <c r="K280" t="str">
        <f t="shared" si="64"/>
        <v>各经营业态出租率表-蔬果（%）</v>
      </c>
      <c r="L280" t="str">
        <f t="shared" si="65"/>
        <v>华威西营里农产品交易中心|各经营业态出租率表-蔬果（%）|年度</v>
      </c>
      <c r="M280">
        <f>IF($A280="",0,IF(COUNTIF($L$2:$L280,$L280)=1,1,0))</f>
        <v>0</v>
      </c>
      <c r="N280">
        <f t="shared" si="66"/>
        <v>20230</v>
      </c>
      <c r="O280" t="str">
        <f t="shared" si="67"/>
        <v>易方达华威农贸市场封闭式基础设施证券投资基金|2023|年度</v>
      </c>
      <c r="P280">
        <f>IF($A280="",0,IF(COUNTIF($O$2:$O280,$O280)=1,1,0))</f>
        <v>0</v>
      </c>
      <c r="Q280" t="str">
        <f>IF(AND($P280=1,$A280=经营数据!$B$3,$J280=经营数据!$BA$5),COUNTIFS($P$2:$P$3000,1,$A$2:$A$3000,$A280,$J$2:$J$3000,$J280,$N$2:$N$3000,"&lt;"&amp;$N280)+1,"")</f>
        <v/>
      </c>
      <c r="R280" t="str">
        <f t="shared" si="68"/>
        <v>易方达华威农贸市场封闭式基础设施证券投资基金|华威西营里农产品交易中心</v>
      </c>
      <c r="S280">
        <f>IF($A280="",0,IF(COUNTIF($R$2:$R280,$R280)=1,1,0))</f>
        <v>0</v>
      </c>
      <c r="T280">
        <f t="shared" si="69"/>
        <v>204</v>
      </c>
      <c r="U280" t="str">
        <f>IF($A280="","",IF($A280=经营数据!$B$3,COUNTIFS($S$2:$S$3000,1,$A$2:$A$3000,$A280,$T$2:$T$3000,"&lt;"&amp;$T280)+1,""))</f>
        <v/>
      </c>
      <c r="V280" t="str">
        <f t="shared" si="70"/>
        <v>华威西营里农产品交易中心|服务效率</v>
      </c>
      <c r="W280">
        <f t="shared" si="71"/>
        <v>205</v>
      </c>
      <c r="X280" t="str">
        <f t="shared" si="72"/>
        <v>华威西营里农产品交易中心|各经营业态出租率表</v>
      </c>
      <c r="Y280">
        <f t="shared" si="73"/>
        <v>205</v>
      </c>
      <c r="Z280">
        <f>IF($A280="",0,IF(AND($M280=1,$A280=经营数据!$B$3,$J280=经营数据!$BA$5,OR($I280=经营数据!$BA$4,COUNTIF(经营数据!$AA$9:$AA$38,$I280)&gt;0)),1,0))</f>
        <v>0</v>
      </c>
      <c r="AA280" t="str">
        <f t="shared" si="74"/>
        <v/>
      </c>
      <c r="AB280" t="str">
        <f t="shared" si="75"/>
        <v/>
      </c>
      <c r="AC280">
        <f>IF($A280="",0,IF(COUNTIF($A$2:$A280,$A280)=1,1,0))</f>
        <v>0</v>
      </c>
      <c r="AD280">
        <f t="shared" si="76"/>
        <v>4</v>
      </c>
      <c r="AE280" t="str">
        <f t="shared" si="77"/>
        <v>华威西营里农产品交易中心|各经营业态出租率表-蔬果（%）</v>
      </c>
      <c r="BP280" s="47">
        <v>45785</v>
      </c>
      <c r="BQ280" s="29">
        <v>3.8314426192607789E-2</v>
      </c>
    </row>
    <row r="281" spans="1:69" x14ac:dyDescent="0.4">
      <c r="A281" t="str">
        <f>IF(原始经营数据!$D282="","",原始经营数据!$D282)</f>
        <v>易方达华威农贸市场封闭式基础设施证券投资基金</v>
      </c>
      <c r="B281" t="str">
        <f>IF(原始经营数据!$D282="","",T(原始经营数据!$E282))</f>
        <v>华威西营里农产品交易中心</v>
      </c>
      <c r="C281" t="str">
        <f>IF(原始经营数据!$D282="","",原始经营数据!$F282)</f>
        <v>2023</v>
      </c>
      <c r="D281" t="str">
        <f>IF(原始经营数据!$D282="","",原始经营数据!$H282)</f>
        <v>各经营业态出租率表</v>
      </c>
      <c r="E281">
        <f>IF(原始经营数据!$D282="","",原始经营数据!$I282)</f>
        <v>98</v>
      </c>
      <c r="F281" t="str">
        <f>IF(原始经营数据!$D282="","",T(原始经营数据!$J282))</f>
        <v>%</v>
      </c>
      <c r="G281" t="str">
        <f>IF(原始经营数据!$D282="","",T(原始经营数据!$K282))</f>
        <v>冻品</v>
      </c>
      <c r="H281" t="str">
        <f>IF(原始经营数据!$D282="","",原始经营数据!$G282)</f>
        <v>服务效率</v>
      </c>
      <c r="I281" t="str">
        <f>IF($A281="","",IF($B281&lt;&gt;"",$B281,IF(COUNTIFS(原始经营数据!$D$3:$D$3001,$A281,原始经营数据!$E$3:$E$3001,"",原始经营数据!$F$3:$F$3001,$C281,原始经营数据!$H$3:$H$3001,$D281,原始经营数据!$K$3:$K$3001,$G281)&gt;1,"基金整体·来源"&amp;原始经营数据!$A282,"基金整体")))</f>
        <v>华威西营里农产品交易中心</v>
      </c>
      <c r="J281" t="str">
        <f t="shared" si="63"/>
        <v>年度</v>
      </c>
      <c r="K281" t="str">
        <f t="shared" si="64"/>
        <v>各经营业态出租率表-冻品（%）</v>
      </c>
      <c r="L281" t="str">
        <f t="shared" si="65"/>
        <v>华威西营里农产品交易中心|各经营业态出租率表-冻品（%）|年度</v>
      </c>
      <c r="M281">
        <f>IF($A281="",0,IF(COUNTIF($L$2:$L281,$L281)=1,1,0))</f>
        <v>0</v>
      </c>
      <c r="N281">
        <f t="shared" si="66"/>
        <v>20230</v>
      </c>
      <c r="O281" t="str">
        <f t="shared" si="67"/>
        <v>易方达华威农贸市场封闭式基础设施证券投资基金|2023|年度</v>
      </c>
      <c r="P281">
        <f>IF($A281="",0,IF(COUNTIF($O$2:$O281,$O281)=1,1,0))</f>
        <v>0</v>
      </c>
      <c r="Q281" t="str">
        <f>IF(AND($P281=1,$A281=经营数据!$B$3,$J281=经营数据!$BA$5),COUNTIFS($P$2:$P$3000,1,$A$2:$A$3000,$A281,$J$2:$J$3000,$J281,$N$2:$N$3000,"&lt;"&amp;$N281)+1,"")</f>
        <v/>
      </c>
      <c r="R281" t="str">
        <f t="shared" si="68"/>
        <v>易方达华威农贸市场封闭式基础设施证券投资基金|华威西营里农产品交易中心</v>
      </c>
      <c r="S281">
        <f>IF($A281="",0,IF(COUNTIF($R$2:$R281,$R281)=1,1,0))</f>
        <v>0</v>
      </c>
      <c r="T281">
        <f t="shared" si="69"/>
        <v>204</v>
      </c>
      <c r="U281" t="str">
        <f>IF($A281="","",IF($A281=经营数据!$B$3,COUNTIFS($S$2:$S$3000,1,$A$2:$A$3000,$A281,$T$2:$T$3000,"&lt;"&amp;$T281)+1,""))</f>
        <v/>
      </c>
      <c r="V281" t="str">
        <f t="shared" si="70"/>
        <v>华威西营里农产品交易中心|服务效率</v>
      </c>
      <c r="W281">
        <f t="shared" si="71"/>
        <v>205</v>
      </c>
      <c r="X281" t="str">
        <f t="shared" si="72"/>
        <v>华威西营里农产品交易中心|各经营业态出租率表</v>
      </c>
      <c r="Y281">
        <f t="shared" si="73"/>
        <v>205</v>
      </c>
      <c r="Z281">
        <f>IF($A281="",0,IF(AND($M281=1,$A281=经营数据!$B$3,$J281=经营数据!$BA$5,OR($I281=经营数据!$BA$4,COUNTIF(经营数据!$AA$9:$AA$38,$I281)&gt;0)),1,0))</f>
        <v>0</v>
      </c>
      <c r="AA281" t="str">
        <f t="shared" si="74"/>
        <v/>
      </c>
      <c r="AB281" t="str">
        <f t="shared" si="75"/>
        <v/>
      </c>
      <c r="AC281">
        <f>IF($A281="",0,IF(COUNTIF($A$2:$A281,$A281)=1,1,0))</f>
        <v>0</v>
      </c>
      <c r="AD281">
        <f t="shared" si="76"/>
        <v>4</v>
      </c>
      <c r="AE281" t="str">
        <f t="shared" si="77"/>
        <v>华威西营里农产品交易中心|各经营业态出租率表-冻品（%）</v>
      </c>
      <c r="BP281" s="47">
        <v>45786</v>
      </c>
      <c r="BQ281" s="29">
        <v>3.8173979793800328E-2</v>
      </c>
    </row>
    <row r="282" spans="1:69" x14ac:dyDescent="0.4">
      <c r="A282" t="str">
        <f>IF(原始经营数据!$D283="","",原始经营数据!$D283)</f>
        <v>易方达华威农贸市场封闭式基础设施证券投资基金</v>
      </c>
      <c r="B282" t="str">
        <f>IF(原始经营数据!$D283="","",T(原始经营数据!$E283))</f>
        <v>华威西营里农产品交易中心</v>
      </c>
      <c r="C282" t="str">
        <f>IF(原始经营数据!$D283="","",原始经营数据!$F283)</f>
        <v>2023</v>
      </c>
      <c r="D282" t="str">
        <f>IF(原始经营数据!$D283="","",原始经营数据!$H283)</f>
        <v>各经营业态平均租金情况</v>
      </c>
      <c r="E282">
        <f>IF(原始经营数据!$D283="","",原始经营数据!$I283)</f>
        <v>60</v>
      </c>
      <c r="F282" t="str">
        <f>IF(原始经营数据!$D283="","",T(原始经营数据!$J283))</f>
        <v>元/平方米/月</v>
      </c>
      <c r="G282" t="str">
        <f>IF(原始经营数据!$D283="","",T(原始经营数据!$K283))</f>
        <v>海鲜美食体验</v>
      </c>
      <c r="H282" t="str">
        <f>IF(原始经营数据!$D283="","",原始经营数据!$G283)</f>
        <v>服务价格</v>
      </c>
      <c r="I282" t="str">
        <f>IF($A282="","",IF($B282&lt;&gt;"",$B282,IF(COUNTIFS(原始经营数据!$D$3:$D$3001,$A282,原始经营数据!$E$3:$E$3001,"",原始经营数据!$F$3:$F$3001,$C282,原始经营数据!$H$3:$H$3001,$D282,原始经营数据!$K$3:$K$3001,$G282)&gt;1,"基金整体·来源"&amp;原始经营数据!$A283,"基金整体")))</f>
        <v>华威西营里农产品交易中心</v>
      </c>
      <c r="J282" t="str">
        <f t="shared" si="63"/>
        <v>年度</v>
      </c>
      <c r="K282" t="str">
        <f t="shared" si="64"/>
        <v>各经营业态平均租金情况-海鲜美食体验（元/平方米/月）</v>
      </c>
      <c r="L282" t="str">
        <f t="shared" si="65"/>
        <v>华威西营里农产品交易中心|各经营业态平均租金情况-海鲜美食体验（元/平方米/月）|年度</v>
      </c>
      <c r="M282">
        <f>IF($A282="",0,IF(COUNTIF($L$2:$L282,$L282)=1,1,0))</f>
        <v>1</v>
      </c>
      <c r="N282">
        <f t="shared" si="66"/>
        <v>20230</v>
      </c>
      <c r="O282" t="str">
        <f t="shared" si="67"/>
        <v>易方达华威农贸市场封闭式基础设施证券投资基金|2023|年度</v>
      </c>
      <c r="P282">
        <f>IF($A282="",0,IF(COUNTIF($O$2:$O282,$O282)=1,1,0))</f>
        <v>0</v>
      </c>
      <c r="Q282" t="str">
        <f>IF(AND($P282=1,$A282=经营数据!$B$3,$J282=经营数据!$BA$5),COUNTIFS($P$2:$P$3000,1,$A$2:$A$3000,$A282,$J$2:$J$3000,$J282,$N$2:$N$3000,"&lt;"&amp;$N282)+1,"")</f>
        <v/>
      </c>
      <c r="R282" t="str">
        <f t="shared" si="68"/>
        <v>易方达华威农贸市场封闭式基础设施证券投资基金|华威西营里农产品交易中心</v>
      </c>
      <c r="S282">
        <f>IF($A282="",0,IF(COUNTIF($R$2:$R282,$R282)=1,1,0))</f>
        <v>0</v>
      </c>
      <c r="T282">
        <f t="shared" si="69"/>
        <v>204</v>
      </c>
      <c r="U282" t="str">
        <f>IF($A282="","",IF($A282=经营数据!$B$3,COUNTIFS($S$2:$S$3000,1,$A$2:$A$3000,$A282,$T$2:$T$3000,"&lt;"&amp;$T282)+1,""))</f>
        <v/>
      </c>
      <c r="V282" t="str">
        <f t="shared" si="70"/>
        <v>华威西营里农产品交易中心|服务价格</v>
      </c>
      <c r="W282">
        <f t="shared" si="71"/>
        <v>204</v>
      </c>
      <c r="X282" t="str">
        <f t="shared" si="72"/>
        <v>华威西营里农产品交易中心|各经营业态平均租金情况</v>
      </c>
      <c r="Y282">
        <f t="shared" si="73"/>
        <v>204</v>
      </c>
      <c r="Z282">
        <f>IF($A282="",0,IF(AND($M282=1,$A282=经营数据!$B$3,$J282=经营数据!$BA$5,OR($I282=经营数据!$BA$4,COUNTIF(经营数据!$AA$9:$AA$38,$I282)&gt;0)),1,0))</f>
        <v>0</v>
      </c>
      <c r="AA282" t="str">
        <f t="shared" si="74"/>
        <v/>
      </c>
      <c r="AB282" t="str">
        <f t="shared" si="75"/>
        <v/>
      </c>
      <c r="AC282">
        <f>IF($A282="",0,IF(COUNTIF($A$2:$A282,$A282)=1,1,0))</f>
        <v>0</v>
      </c>
      <c r="AD282">
        <f t="shared" si="76"/>
        <v>4</v>
      </c>
      <c r="AE282" t="str">
        <f t="shared" si="77"/>
        <v>华威西营里农产品交易中心|各经营业态平均租金情况-海鲜美食体验（元/平方米/月）</v>
      </c>
      <c r="BP282" s="47">
        <v>45789</v>
      </c>
      <c r="BQ282" s="29">
        <v>3.781476305756927E-2</v>
      </c>
    </row>
    <row r="283" spans="1:69" x14ac:dyDescent="0.4">
      <c r="A283" t="str">
        <f>IF(原始经营数据!$D284="","",原始经营数据!$D284)</f>
        <v>易方达华威农贸市场封闭式基础设施证券投资基金</v>
      </c>
      <c r="B283" t="str">
        <f>IF(原始经营数据!$D284="","",T(原始经营数据!$E284))</f>
        <v>华威西营里农产品交易中心</v>
      </c>
      <c r="C283" t="str">
        <f>IF(原始经营数据!$D284="","",原始经营数据!$F284)</f>
        <v>2023</v>
      </c>
      <c r="D283" t="str">
        <f>IF(原始经营数据!$D284="","",原始经营数据!$H284)</f>
        <v>各经营业态平均租金情况</v>
      </c>
      <c r="E283">
        <f>IF(原始经营数据!$D284="","",原始经营数据!$I284)</f>
        <v>232</v>
      </c>
      <c r="F283" t="str">
        <f>IF(原始经营数据!$D284="","",T(原始经营数据!$J284))</f>
        <v>元/平方米/月</v>
      </c>
      <c r="G283" t="str">
        <f>IF(原始经营数据!$D284="","",T(原始经营数据!$K284))</f>
        <v>冻品</v>
      </c>
      <c r="H283" t="str">
        <f>IF(原始经营数据!$D284="","",原始经营数据!$G284)</f>
        <v>服务价格</v>
      </c>
      <c r="I283" t="str">
        <f>IF($A283="","",IF($B283&lt;&gt;"",$B283,IF(COUNTIFS(原始经营数据!$D$3:$D$3001,$A283,原始经营数据!$E$3:$E$3001,"",原始经营数据!$F$3:$F$3001,$C283,原始经营数据!$H$3:$H$3001,$D283,原始经营数据!$K$3:$K$3001,$G283)&gt;1,"基金整体·来源"&amp;原始经营数据!$A284,"基金整体")))</f>
        <v>华威西营里农产品交易中心</v>
      </c>
      <c r="J283" t="str">
        <f t="shared" si="63"/>
        <v>年度</v>
      </c>
      <c r="K283" t="str">
        <f t="shared" si="64"/>
        <v>各经营业态平均租金情况-冻品（元/平方米/月）</v>
      </c>
      <c r="L283" t="str">
        <f t="shared" si="65"/>
        <v>华威西营里农产品交易中心|各经营业态平均租金情况-冻品（元/平方米/月）|年度</v>
      </c>
      <c r="M283">
        <f>IF($A283="",0,IF(COUNTIF($L$2:$L283,$L283)=1,1,0))</f>
        <v>0</v>
      </c>
      <c r="N283">
        <f t="shared" si="66"/>
        <v>20230</v>
      </c>
      <c r="O283" t="str">
        <f t="shared" si="67"/>
        <v>易方达华威农贸市场封闭式基础设施证券投资基金|2023|年度</v>
      </c>
      <c r="P283">
        <f>IF($A283="",0,IF(COUNTIF($O$2:$O283,$O283)=1,1,0))</f>
        <v>0</v>
      </c>
      <c r="Q283" t="str">
        <f>IF(AND($P283=1,$A283=经营数据!$B$3,$J283=经营数据!$BA$5),COUNTIFS($P$2:$P$3000,1,$A$2:$A$3000,$A283,$J$2:$J$3000,$J283,$N$2:$N$3000,"&lt;"&amp;$N283)+1,"")</f>
        <v/>
      </c>
      <c r="R283" t="str">
        <f t="shared" si="68"/>
        <v>易方达华威农贸市场封闭式基础设施证券投资基金|华威西营里农产品交易中心</v>
      </c>
      <c r="S283">
        <f>IF($A283="",0,IF(COUNTIF($R$2:$R283,$R283)=1,1,0))</f>
        <v>0</v>
      </c>
      <c r="T283">
        <f t="shared" si="69"/>
        <v>204</v>
      </c>
      <c r="U283" t="str">
        <f>IF($A283="","",IF($A283=经营数据!$B$3,COUNTIFS($S$2:$S$3000,1,$A$2:$A$3000,$A283,$T$2:$T$3000,"&lt;"&amp;$T283)+1,""))</f>
        <v/>
      </c>
      <c r="V283" t="str">
        <f t="shared" si="70"/>
        <v>华威西营里农产品交易中心|服务价格</v>
      </c>
      <c r="W283">
        <f t="shared" si="71"/>
        <v>204</v>
      </c>
      <c r="X283" t="str">
        <f t="shared" si="72"/>
        <v>华威西营里农产品交易中心|各经营业态平均租金情况</v>
      </c>
      <c r="Y283">
        <f t="shared" si="73"/>
        <v>204</v>
      </c>
      <c r="Z283">
        <f>IF($A283="",0,IF(AND($M283=1,$A283=经营数据!$B$3,$J283=经营数据!$BA$5,OR($I283=经营数据!$BA$4,COUNTIF(经营数据!$AA$9:$AA$38,$I283)&gt;0)),1,0))</f>
        <v>0</v>
      </c>
      <c r="AA283" t="str">
        <f t="shared" si="74"/>
        <v/>
      </c>
      <c r="AB283" t="str">
        <f t="shared" si="75"/>
        <v/>
      </c>
      <c r="AC283">
        <f>IF($A283="",0,IF(COUNTIF($A$2:$A283,$A283)=1,1,0))</f>
        <v>0</v>
      </c>
      <c r="AD283">
        <f t="shared" si="76"/>
        <v>4</v>
      </c>
      <c r="AE283" t="str">
        <f t="shared" si="77"/>
        <v>华威西营里农产品交易中心|各经营业态平均租金情况-冻品（元/平方米/月）</v>
      </c>
      <c r="BP283" s="47">
        <v>45790</v>
      </c>
      <c r="BQ283" s="29">
        <v>3.7621014155274579E-2</v>
      </c>
    </row>
    <row r="284" spans="1:69" x14ac:dyDescent="0.4">
      <c r="A284" t="str">
        <f>IF(原始经营数据!$D285="","",原始经营数据!$D285)</f>
        <v>易方达华威农贸市场封闭式基础设施证券投资基金</v>
      </c>
      <c r="B284" t="str">
        <f>IF(原始经营数据!$D285="","",T(原始经营数据!$E285))</f>
        <v>华威西营里农产品交易中心</v>
      </c>
      <c r="C284" t="str">
        <f>IF(原始经营数据!$D285="","",原始经营数据!$F285)</f>
        <v>2023</v>
      </c>
      <c r="D284" t="str">
        <f>IF(原始经营数据!$D285="","",原始经营数据!$H285)</f>
        <v>租金物
业收入</v>
      </c>
      <c r="E284">
        <f>IF(原始经营数据!$D285="","",原始经营数据!$I285)</f>
        <v>6845.92</v>
      </c>
      <c r="F284" t="str">
        <f>IF(原始经营数据!$D285="","",T(原始经营数据!$J285))</f>
        <v>万元</v>
      </c>
      <c r="G284" t="str">
        <f>IF(原始经营数据!$D285="","",T(原始经营数据!$K285))</f>
        <v/>
      </c>
      <c r="H284" t="str">
        <f>IF(原始经营数据!$D285="","",原始经营数据!$G285)</f>
        <v>服务金额</v>
      </c>
      <c r="I284" t="str">
        <f>IF($A284="","",IF($B284&lt;&gt;"",$B284,IF(COUNTIFS(原始经营数据!$D$3:$D$3001,$A284,原始经营数据!$E$3:$E$3001,"",原始经营数据!$F$3:$F$3001,$C284,原始经营数据!$H$3:$H$3001,$D284,原始经营数据!$K$3:$K$3001,$G284)&gt;1,"基金整体·来源"&amp;原始经营数据!$A285,"基金整体")))</f>
        <v>华威西营里农产品交易中心</v>
      </c>
      <c r="J284" t="str">
        <f t="shared" si="63"/>
        <v>年度</v>
      </c>
      <c r="K284" t="str">
        <f t="shared" si="64"/>
        <v>租金物
业收入（万元）</v>
      </c>
      <c r="L284" t="str">
        <f t="shared" si="65"/>
        <v>华威西营里农产品交易中心|租金物
业收入（万元）|年度</v>
      </c>
      <c r="M284">
        <f>IF($A284="",0,IF(COUNTIF($L$2:$L284,$L284)=1,1,0))</f>
        <v>0</v>
      </c>
      <c r="N284">
        <f t="shared" si="66"/>
        <v>20230</v>
      </c>
      <c r="O284" t="str">
        <f t="shared" si="67"/>
        <v>易方达华威农贸市场封闭式基础设施证券投资基金|2023|年度</v>
      </c>
      <c r="P284">
        <f>IF($A284="",0,IF(COUNTIF($O$2:$O284,$O284)=1,1,0))</f>
        <v>0</v>
      </c>
      <c r="Q284" t="str">
        <f>IF(AND($P284=1,$A284=经营数据!$B$3,$J284=经营数据!$BA$5),COUNTIFS($P$2:$P$3000,1,$A$2:$A$3000,$A284,$J$2:$J$3000,$J284,$N$2:$N$3000,"&lt;"&amp;$N284)+1,"")</f>
        <v/>
      </c>
      <c r="R284" t="str">
        <f t="shared" si="68"/>
        <v>易方达华威农贸市场封闭式基础设施证券投资基金|华威西营里农产品交易中心</v>
      </c>
      <c r="S284">
        <f>IF($A284="",0,IF(COUNTIF($R$2:$R284,$R284)=1,1,0))</f>
        <v>0</v>
      </c>
      <c r="T284">
        <f t="shared" si="69"/>
        <v>204</v>
      </c>
      <c r="U284" t="str">
        <f>IF($A284="","",IF($A284=经营数据!$B$3,COUNTIFS($S$2:$S$3000,1,$A$2:$A$3000,$A284,$T$2:$T$3000,"&lt;"&amp;$T284)+1,""))</f>
        <v/>
      </c>
      <c r="V284" t="str">
        <f t="shared" si="70"/>
        <v>华威西营里农产品交易中心|服务金额</v>
      </c>
      <c r="W284">
        <f t="shared" si="71"/>
        <v>232</v>
      </c>
      <c r="X284" t="str">
        <f t="shared" si="72"/>
        <v>华威西营里农产品交易中心|租金物
业收入</v>
      </c>
      <c r="Y284">
        <f t="shared" si="73"/>
        <v>233</v>
      </c>
      <c r="Z284">
        <f>IF($A284="",0,IF(AND($M284=1,$A284=经营数据!$B$3,$J284=经营数据!$BA$5,OR($I284=经营数据!$BA$4,COUNTIF(经营数据!$AA$9:$AA$38,$I284)&gt;0)),1,0))</f>
        <v>0</v>
      </c>
      <c r="AA284" t="str">
        <f t="shared" si="74"/>
        <v/>
      </c>
      <c r="AB284" t="str">
        <f t="shared" si="75"/>
        <v/>
      </c>
      <c r="AC284">
        <f>IF($A284="",0,IF(COUNTIF($A$2:$A284,$A284)=1,1,0))</f>
        <v>0</v>
      </c>
      <c r="AD284">
        <f t="shared" si="76"/>
        <v>4</v>
      </c>
      <c r="AE284" t="str">
        <f t="shared" si="77"/>
        <v>华威西营里农产品交易中心|租金物
业收入（万元）</v>
      </c>
      <c r="BP284" s="47">
        <v>45791</v>
      </c>
      <c r="BQ284" s="29">
        <v>3.7072232878500949E-2</v>
      </c>
    </row>
    <row r="285" spans="1:69" x14ac:dyDescent="0.4">
      <c r="A285" t="str">
        <f>IF(原始经营数据!$D286="","",原始经营数据!$D286)</f>
        <v>易方达华威农贸市场封闭式基础设施证券投资基金</v>
      </c>
      <c r="B285" t="str">
        <f>IF(原始经营数据!$D286="","",T(原始经营数据!$E286))</f>
        <v>华威西营里农产品交易中心</v>
      </c>
      <c r="C285" t="str">
        <f>IF(原始经营数据!$D286="","",原始经营数据!$F286)</f>
        <v>2023</v>
      </c>
      <c r="D285" t="str">
        <f>IF(原始经营数据!$D286="","",原始经营数据!$H286)</f>
        <v>其他收
入</v>
      </c>
      <c r="E285">
        <f>IF(原始经营数据!$D286="","",原始经营数据!$I286)</f>
        <v>1083.83</v>
      </c>
      <c r="F285" t="str">
        <f>IF(原始经营数据!$D286="","",T(原始经营数据!$J286))</f>
        <v>万元</v>
      </c>
      <c r="G285" t="str">
        <f>IF(原始经营数据!$D286="","",T(原始经营数据!$K286))</f>
        <v/>
      </c>
      <c r="H285" t="str">
        <f>IF(原始经营数据!$D286="","",原始经营数据!$G286)</f>
        <v>服务金额</v>
      </c>
      <c r="I285" t="str">
        <f>IF($A285="","",IF($B285&lt;&gt;"",$B285,IF(COUNTIFS(原始经营数据!$D$3:$D$3001,$A285,原始经营数据!$E$3:$E$3001,"",原始经营数据!$F$3:$F$3001,$C285,原始经营数据!$H$3:$H$3001,$D285,原始经营数据!$K$3:$K$3001,$G285)&gt;1,"基金整体·来源"&amp;原始经营数据!$A286,"基金整体")))</f>
        <v>华威西营里农产品交易中心</v>
      </c>
      <c r="J285" t="str">
        <f t="shared" si="63"/>
        <v>年度</v>
      </c>
      <c r="K285" t="str">
        <f t="shared" si="64"/>
        <v>其他收
入（万元）</v>
      </c>
      <c r="L285" t="str">
        <f t="shared" si="65"/>
        <v>华威西营里农产品交易中心|其他收
入（万元）|年度</v>
      </c>
      <c r="M285">
        <f>IF($A285="",0,IF(COUNTIF($L$2:$L285,$L285)=1,1,0))</f>
        <v>0</v>
      </c>
      <c r="N285">
        <f t="shared" si="66"/>
        <v>20230</v>
      </c>
      <c r="O285" t="str">
        <f t="shared" si="67"/>
        <v>易方达华威农贸市场封闭式基础设施证券投资基金|2023|年度</v>
      </c>
      <c r="P285">
        <f>IF($A285="",0,IF(COUNTIF($O$2:$O285,$O285)=1,1,0))</f>
        <v>0</v>
      </c>
      <c r="Q285" t="str">
        <f>IF(AND($P285=1,$A285=经营数据!$B$3,$J285=经营数据!$BA$5),COUNTIFS($P$2:$P$3000,1,$A$2:$A$3000,$A285,$J$2:$J$3000,$J285,$N$2:$N$3000,"&lt;"&amp;$N285)+1,"")</f>
        <v/>
      </c>
      <c r="R285" t="str">
        <f t="shared" si="68"/>
        <v>易方达华威农贸市场封闭式基础设施证券投资基金|华威西营里农产品交易中心</v>
      </c>
      <c r="S285">
        <f>IF($A285="",0,IF(COUNTIF($R$2:$R285,$R285)=1,1,0))</f>
        <v>0</v>
      </c>
      <c r="T285">
        <f t="shared" si="69"/>
        <v>204</v>
      </c>
      <c r="U285" t="str">
        <f>IF($A285="","",IF($A285=经营数据!$B$3,COUNTIFS($S$2:$S$3000,1,$A$2:$A$3000,$A285,$T$2:$T$3000,"&lt;"&amp;$T285)+1,""))</f>
        <v/>
      </c>
      <c r="V285" t="str">
        <f t="shared" si="70"/>
        <v>华威西营里农产品交易中心|服务金额</v>
      </c>
      <c r="W285">
        <f t="shared" si="71"/>
        <v>232</v>
      </c>
      <c r="X285" t="str">
        <f t="shared" si="72"/>
        <v>华威西营里农产品交易中心|其他收
入</v>
      </c>
      <c r="Y285">
        <f t="shared" si="73"/>
        <v>232</v>
      </c>
      <c r="Z285">
        <f>IF($A285="",0,IF(AND($M285=1,$A285=经营数据!$B$3,$J285=经营数据!$BA$5,OR($I285=经营数据!$BA$4,COUNTIF(经营数据!$AA$9:$AA$38,$I285)&gt;0)),1,0))</f>
        <v>0</v>
      </c>
      <c r="AA285" t="str">
        <f t="shared" si="74"/>
        <v/>
      </c>
      <c r="AB285" t="str">
        <f t="shared" si="75"/>
        <v/>
      </c>
      <c r="AC285">
        <f>IF($A285="",0,IF(COUNTIF($A$2:$A285,$A285)=1,1,0))</f>
        <v>0</v>
      </c>
      <c r="AD285">
        <f t="shared" si="76"/>
        <v>4</v>
      </c>
      <c r="AE285" t="str">
        <f t="shared" si="77"/>
        <v>华威西营里农产品交易中心|其他收
入（万元）</v>
      </c>
      <c r="BP285" s="47">
        <v>45792</v>
      </c>
      <c r="BQ285" s="29">
        <v>3.7339969765220242E-2</v>
      </c>
    </row>
    <row r="286" spans="1:69" x14ac:dyDescent="0.4">
      <c r="A286" t="str">
        <f>IF(原始经营数据!$D287="","",原始经营数据!$D287)</f>
        <v>易方达华威农贸市场封闭式基础设施证券投资基金</v>
      </c>
      <c r="B286" t="str">
        <f>IF(原始经营数据!$D287="","",T(原始经营数据!$E287))</f>
        <v>华威西营里农产品交易中心</v>
      </c>
      <c r="C286" t="str">
        <f>IF(原始经营数据!$D287="","",原始经营数据!$F287)</f>
        <v>2023</v>
      </c>
      <c r="D286" t="str">
        <f>IF(原始经营数据!$D287="","",原始经营数据!$H287)</f>
        <v>各经营业态平均租金情况</v>
      </c>
      <c r="E286">
        <f>IF(原始经营数据!$D287="","",原始经营数据!$I287)</f>
        <v>252</v>
      </c>
      <c r="F286" t="str">
        <f>IF(原始经营数据!$D287="","",T(原始经营数据!$J287))</f>
        <v>元/平方米/月</v>
      </c>
      <c r="G286" t="str">
        <f>IF(原始经营数据!$D287="","",T(原始经营数据!$K287))</f>
        <v>肉禽</v>
      </c>
      <c r="H286" t="str">
        <f>IF(原始经营数据!$D287="","",原始经营数据!$G287)</f>
        <v>服务价格</v>
      </c>
      <c r="I286" t="str">
        <f>IF($A286="","",IF($B286&lt;&gt;"",$B286,IF(COUNTIFS(原始经营数据!$D$3:$D$3001,$A286,原始经营数据!$E$3:$E$3001,"",原始经营数据!$F$3:$F$3001,$C286,原始经营数据!$H$3:$H$3001,$D286,原始经营数据!$K$3:$K$3001,$G286)&gt;1,"基金整体·来源"&amp;原始经营数据!$A287,"基金整体")))</f>
        <v>华威西营里农产品交易中心</v>
      </c>
      <c r="J286" t="str">
        <f t="shared" si="63"/>
        <v>年度</v>
      </c>
      <c r="K286" t="str">
        <f t="shared" si="64"/>
        <v>各经营业态平均租金情况-肉禽（元/平方米/月）</v>
      </c>
      <c r="L286" t="str">
        <f t="shared" si="65"/>
        <v>华威西营里农产品交易中心|各经营业态平均租金情况-肉禽（元/平方米/月）|年度</v>
      </c>
      <c r="M286">
        <f>IF($A286="",0,IF(COUNTIF($L$2:$L286,$L286)=1,1,0))</f>
        <v>0</v>
      </c>
      <c r="N286">
        <f t="shared" si="66"/>
        <v>20230</v>
      </c>
      <c r="O286" t="str">
        <f t="shared" si="67"/>
        <v>易方达华威农贸市场封闭式基础设施证券投资基金|2023|年度</v>
      </c>
      <c r="P286">
        <f>IF($A286="",0,IF(COUNTIF($O$2:$O286,$O286)=1,1,0))</f>
        <v>0</v>
      </c>
      <c r="Q286" t="str">
        <f>IF(AND($P286=1,$A286=经营数据!$B$3,$J286=经营数据!$BA$5),COUNTIFS($P$2:$P$3000,1,$A$2:$A$3000,$A286,$J$2:$J$3000,$J286,$N$2:$N$3000,"&lt;"&amp;$N286)+1,"")</f>
        <v/>
      </c>
      <c r="R286" t="str">
        <f t="shared" si="68"/>
        <v>易方达华威农贸市场封闭式基础设施证券投资基金|华威西营里农产品交易中心</v>
      </c>
      <c r="S286">
        <f>IF($A286="",0,IF(COUNTIF($R$2:$R286,$R286)=1,1,0))</f>
        <v>0</v>
      </c>
      <c r="T286">
        <f t="shared" si="69"/>
        <v>204</v>
      </c>
      <c r="U286" t="str">
        <f>IF($A286="","",IF($A286=经营数据!$B$3,COUNTIFS($S$2:$S$3000,1,$A$2:$A$3000,$A286,$T$2:$T$3000,"&lt;"&amp;$T286)+1,""))</f>
        <v/>
      </c>
      <c r="V286" t="str">
        <f t="shared" si="70"/>
        <v>华威西营里农产品交易中心|服务价格</v>
      </c>
      <c r="W286">
        <f t="shared" si="71"/>
        <v>204</v>
      </c>
      <c r="X286" t="str">
        <f t="shared" si="72"/>
        <v>华威西营里农产品交易中心|各经营业态平均租金情况</v>
      </c>
      <c r="Y286">
        <f t="shared" si="73"/>
        <v>204</v>
      </c>
      <c r="Z286">
        <f>IF($A286="",0,IF(AND($M286=1,$A286=经营数据!$B$3,$J286=经营数据!$BA$5,OR($I286=经营数据!$BA$4,COUNTIF(经营数据!$AA$9:$AA$38,$I286)&gt;0)),1,0))</f>
        <v>0</v>
      </c>
      <c r="AA286" t="str">
        <f t="shared" si="74"/>
        <v/>
      </c>
      <c r="AB286" t="str">
        <f t="shared" si="75"/>
        <v/>
      </c>
      <c r="AC286">
        <f>IF($A286="",0,IF(COUNTIF($A$2:$A286,$A286)=1,1,0))</f>
        <v>0</v>
      </c>
      <c r="AD286">
        <f t="shared" si="76"/>
        <v>4</v>
      </c>
      <c r="AE286" t="str">
        <f t="shared" si="77"/>
        <v>华威西营里农产品交易中心|各经营业态平均租金情况-肉禽（元/平方米/月）</v>
      </c>
      <c r="BP286" s="47">
        <v>45793</v>
      </c>
      <c r="BQ286" s="29">
        <v>3.7065553492495983E-2</v>
      </c>
    </row>
    <row r="287" spans="1:69" x14ac:dyDescent="0.4">
      <c r="A287" t="str">
        <f>IF(原始经营数据!$D288="","",原始经营数据!$D288)</f>
        <v>易方达华威农贸市场封闭式基础设施证券投资基金</v>
      </c>
      <c r="B287" t="str">
        <f>IF(原始经营数据!$D288="","",T(原始经营数据!$E288))</f>
        <v>华威西营里农产品交易中心</v>
      </c>
      <c r="C287" t="str">
        <f>IF(原始经营数据!$D288="","",原始经营数据!$F288)</f>
        <v>2023</v>
      </c>
      <c r="D287" t="str">
        <f>IF(原始经营数据!$D288="","",原始经营数据!$H288)</f>
        <v>各经营业态平均租金情况</v>
      </c>
      <c r="E287">
        <f>IF(原始经营数据!$D288="","",原始经营数据!$I288)</f>
        <v>187</v>
      </c>
      <c r="F287" t="str">
        <f>IF(原始经营数据!$D288="","",T(原始经营数据!$J288))</f>
        <v>元/平方米/月</v>
      </c>
      <c r="G287" t="str">
        <f>IF(原始经营数据!$D288="","",T(原始经营数据!$K288))</f>
        <v>干货/调味品</v>
      </c>
      <c r="H287" t="str">
        <f>IF(原始经营数据!$D288="","",原始经营数据!$G288)</f>
        <v>服务价格</v>
      </c>
      <c r="I287" t="str">
        <f>IF($A287="","",IF($B287&lt;&gt;"",$B287,IF(COUNTIFS(原始经营数据!$D$3:$D$3001,$A287,原始经营数据!$E$3:$E$3001,"",原始经营数据!$F$3:$F$3001,$C287,原始经营数据!$H$3:$H$3001,$D287,原始经营数据!$K$3:$K$3001,$G287)&gt;1,"基金整体·来源"&amp;原始经营数据!$A288,"基金整体")))</f>
        <v>华威西营里农产品交易中心</v>
      </c>
      <c r="J287" t="str">
        <f t="shared" si="63"/>
        <v>年度</v>
      </c>
      <c r="K287" t="str">
        <f t="shared" si="64"/>
        <v>各经营业态平均租金情况-干货/调味品（元/平方米/月）</v>
      </c>
      <c r="L287" t="str">
        <f t="shared" si="65"/>
        <v>华威西营里农产品交易中心|各经营业态平均租金情况-干货/调味品（元/平方米/月）|年度</v>
      </c>
      <c r="M287">
        <f>IF($A287="",0,IF(COUNTIF($L$2:$L287,$L287)=1,1,0))</f>
        <v>0</v>
      </c>
      <c r="N287">
        <f t="shared" si="66"/>
        <v>20230</v>
      </c>
      <c r="O287" t="str">
        <f t="shared" si="67"/>
        <v>易方达华威农贸市场封闭式基础设施证券投资基金|2023|年度</v>
      </c>
      <c r="P287">
        <f>IF($A287="",0,IF(COUNTIF($O$2:$O287,$O287)=1,1,0))</f>
        <v>0</v>
      </c>
      <c r="Q287" t="str">
        <f>IF(AND($P287=1,$A287=经营数据!$B$3,$J287=经营数据!$BA$5),COUNTIFS($P$2:$P$3000,1,$A$2:$A$3000,$A287,$J$2:$J$3000,$J287,$N$2:$N$3000,"&lt;"&amp;$N287)+1,"")</f>
        <v/>
      </c>
      <c r="R287" t="str">
        <f t="shared" si="68"/>
        <v>易方达华威农贸市场封闭式基础设施证券投资基金|华威西营里农产品交易中心</v>
      </c>
      <c r="S287">
        <f>IF($A287="",0,IF(COUNTIF($R$2:$R287,$R287)=1,1,0))</f>
        <v>0</v>
      </c>
      <c r="T287">
        <f t="shared" si="69"/>
        <v>204</v>
      </c>
      <c r="U287" t="str">
        <f>IF($A287="","",IF($A287=经营数据!$B$3,COUNTIFS($S$2:$S$3000,1,$A$2:$A$3000,$A287,$T$2:$T$3000,"&lt;"&amp;$T287)+1,""))</f>
        <v/>
      </c>
      <c r="V287" t="str">
        <f t="shared" si="70"/>
        <v>华威西营里农产品交易中心|服务价格</v>
      </c>
      <c r="W287">
        <f t="shared" si="71"/>
        <v>204</v>
      </c>
      <c r="X287" t="str">
        <f t="shared" si="72"/>
        <v>华威西营里农产品交易中心|各经营业态平均租金情况</v>
      </c>
      <c r="Y287">
        <f t="shared" si="73"/>
        <v>204</v>
      </c>
      <c r="Z287">
        <f>IF($A287="",0,IF(AND($M287=1,$A287=经营数据!$B$3,$J287=经营数据!$BA$5,OR($I287=经营数据!$BA$4,COUNTIF(经营数据!$AA$9:$AA$38,$I287)&gt;0)),1,0))</f>
        <v>0</v>
      </c>
      <c r="AA287" t="str">
        <f t="shared" si="74"/>
        <v/>
      </c>
      <c r="AB287" t="str">
        <f t="shared" si="75"/>
        <v/>
      </c>
      <c r="AC287">
        <f>IF($A287="",0,IF(COUNTIF($A$2:$A287,$A287)=1,1,0))</f>
        <v>0</v>
      </c>
      <c r="AD287">
        <f t="shared" si="76"/>
        <v>4</v>
      </c>
      <c r="AE287" t="str">
        <f t="shared" si="77"/>
        <v>华威西营里农产品交易中心|各经营业态平均租金情况-干货/调味品（元/平方米/月）</v>
      </c>
      <c r="BP287" s="47">
        <v>45796</v>
      </c>
      <c r="BQ287" s="29">
        <v>3.6903992664335687E-2</v>
      </c>
    </row>
    <row r="288" spans="1:69" x14ac:dyDescent="0.4">
      <c r="A288" t="str">
        <f>IF(原始经营数据!$D289="","",原始经营数据!$D289)</f>
        <v>易方达华威农贸市场封闭式基础设施证券投资基金</v>
      </c>
      <c r="B288" t="str">
        <f>IF(原始经营数据!$D289="","",T(原始经营数据!$E289))</f>
        <v>华威西营里农产品交易中心</v>
      </c>
      <c r="C288" t="str">
        <f>IF(原始经营数据!$D289="","",原始经营数据!$F289)</f>
        <v>2023</v>
      </c>
      <c r="D288" t="str">
        <f>IF(原始经营数据!$D289="","",原始经营数据!$H289)</f>
        <v>各经营业态平均租金情况</v>
      </c>
      <c r="E288">
        <f>IF(原始经营数据!$D289="","",原始经营数据!$I289)</f>
        <v>188</v>
      </c>
      <c r="F288" t="str">
        <f>IF(原始经营数据!$D289="","",T(原始经营数据!$J289))</f>
        <v>元/平方米/月</v>
      </c>
      <c r="G288" t="str">
        <f>IF(原始经营数据!$D289="","",T(原始经营数据!$K289))</f>
        <v>商业配套</v>
      </c>
      <c r="H288" t="str">
        <f>IF(原始经营数据!$D289="","",原始经营数据!$G289)</f>
        <v>服务价格</v>
      </c>
      <c r="I288" t="str">
        <f>IF($A288="","",IF($B288&lt;&gt;"",$B288,IF(COUNTIFS(原始经营数据!$D$3:$D$3001,$A288,原始经营数据!$E$3:$E$3001,"",原始经营数据!$F$3:$F$3001,$C288,原始经营数据!$H$3:$H$3001,$D288,原始经营数据!$K$3:$K$3001,$G288)&gt;1,"基金整体·来源"&amp;原始经营数据!$A289,"基金整体")))</f>
        <v>华威西营里农产品交易中心</v>
      </c>
      <c r="J288" t="str">
        <f t="shared" si="63"/>
        <v>年度</v>
      </c>
      <c r="K288" t="str">
        <f t="shared" si="64"/>
        <v>各经营业态平均租金情况-商业配套（元/平方米/月）</v>
      </c>
      <c r="L288" t="str">
        <f t="shared" si="65"/>
        <v>华威西营里农产品交易中心|各经营业态平均租金情况-商业配套（元/平方米/月）|年度</v>
      </c>
      <c r="M288">
        <f>IF($A288="",0,IF(COUNTIF($L$2:$L288,$L288)=1,1,0))</f>
        <v>0</v>
      </c>
      <c r="N288">
        <f t="shared" si="66"/>
        <v>20230</v>
      </c>
      <c r="O288" t="str">
        <f t="shared" si="67"/>
        <v>易方达华威农贸市场封闭式基础设施证券投资基金|2023|年度</v>
      </c>
      <c r="P288">
        <f>IF($A288="",0,IF(COUNTIF($O$2:$O288,$O288)=1,1,0))</f>
        <v>0</v>
      </c>
      <c r="Q288" t="str">
        <f>IF(AND($P288=1,$A288=经营数据!$B$3,$J288=经营数据!$BA$5),COUNTIFS($P$2:$P$3000,1,$A$2:$A$3000,$A288,$J$2:$J$3000,$J288,$N$2:$N$3000,"&lt;"&amp;$N288)+1,"")</f>
        <v/>
      </c>
      <c r="R288" t="str">
        <f t="shared" si="68"/>
        <v>易方达华威农贸市场封闭式基础设施证券投资基金|华威西营里农产品交易中心</v>
      </c>
      <c r="S288">
        <f>IF($A288="",0,IF(COUNTIF($R$2:$R288,$R288)=1,1,0))</f>
        <v>0</v>
      </c>
      <c r="T288">
        <f t="shared" si="69"/>
        <v>204</v>
      </c>
      <c r="U288" t="str">
        <f>IF($A288="","",IF($A288=经营数据!$B$3,COUNTIFS($S$2:$S$3000,1,$A$2:$A$3000,$A288,$T$2:$T$3000,"&lt;"&amp;$T288)+1,""))</f>
        <v/>
      </c>
      <c r="V288" t="str">
        <f t="shared" si="70"/>
        <v>华威西营里农产品交易中心|服务价格</v>
      </c>
      <c r="W288">
        <f t="shared" si="71"/>
        <v>204</v>
      </c>
      <c r="X288" t="str">
        <f t="shared" si="72"/>
        <v>华威西营里农产品交易中心|各经营业态平均租金情况</v>
      </c>
      <c r="Y288">
        <f t="shared" si="73"/>
        <v>204</v>
      </c>
      <c r="Z288">
        <f>IF($A288="",0,IF(AND($M288=1,$A288=经营数据!$B$3,$J288=经营数据!$BA$5,OR($I288=经营数据!$BA$4,COUNTIF(经营数据!$AA$9:$AA$38,$I288)&gt;0)),1,0))</f>
        <v>0</v>
      </c>
      <c r="AA288" t="str">
        <f t="shared" si="74"/>
        <v/>
      </c>
      <c r="AB288" t="str">
        <f t="shared" si="75"/>
        <v/>
      </c>
      <c r="AC288">
        <f>IF($A288="",0,IF(COUNTIF($A$2:$A288,$A288)=1,1,0))</f>
        <v>0</v>
      </c>
      <c r="AD288">
        <f t="shared" si="76"/>
        <v>4</v>
      </c>
      <c r="AE288" t="str">
        <f t="shared" si="77"/>
        <v>华威西营里农产品交易中心|各经营业态平均租金情况-商业配套（元/平方米/月）</v>
      </c>
      <c r="BP288" s="47">
        <v>45797</v>
      </c>
      <c r="BQ288" s="29">
        <v>3.6511130514559363E-2</v>
      </c>
    </row>
    <row r="289" spans="1:69" x14ac:dyDescent="0.4">
      <c r="A289" t="str">
        <f>IF(原始经营数据!$D290="","",原始经营数据!$D290)</f>
        <v>易方达华威农贸市场封闭式基础设施证券投资基金</v>
      </c>
      <c r="B289" t="str">
        <f>IF(原始经营数据!$D290="","",T(原始经营数据!$E290))</f>
        <v>华威西营里农产品交易中心</v>
      </c>
      <c r="C289" t="str">
        <f>IF(原始经营数据!$D290="","",原始经营数据!$F290)</f>
        <v>2023</v>
      </c>
      <c r="D289" t="str">
        <f>IF(原始经营数据!$D290="","",原始经营数据!$H290)</f>
        <v>各经营业态平均租金情况</v>
      </c>
      <c r="E289">
        <f>IF(原始经营数据!$D290="","",原始经营数据!$I290)</f>
        <v>98</v>
      </c>
      <c r="F289" t="str">
        <f>IF(原始经营数据!$D290="","",T(原始经营数据!$J290))</f>
        <v>元/平方米/月</v>
      </c>
      <c r="G289" t="str">
        <f>IF(原始经营数据!$D290="","",T(原始经营数据!$K290))</f>
        <v>冷库</v>
      </c>
      <c r="H289" t="str">
        <f>IF(原始经营数据!$D290="","",原始经营数据!$G290)</f>
        <v>服务价格</v>
      </c>
      <c r="I289" t="str">
        <f>IF($A289="","",IF($B289&lt;&gt;"",$B289,IF(COUNTIFS(原始经营数据!$D$3:$D$3001,$A289,原始经营数据!$E$3:$E$3001,"",原始经营数据!$F$3:$F$3001,$C289,原始经营数据!$H$3:$H$3001,$D289,原始经营数据!$K$3:$K$3001,$G289)&gt;1,"基金整体·来源"&amp;原始经营数据!$A290,"基金整体")))</f>
        <v>华威西营里农产品交易中心</v>
      </c>
      <c r="J289" t="str">
        <f t="shared" si="63"/>
        <v>年度</v>
      </c>
      <c r="K289" t="str">
        <f t="shared" si="64"/>
        <v>各经营业态平均租金情况-冷库（元/平方米/月）</v>
      </c>
      <c r="L289" t="str">
        <f t="shared" si="65"/>
        <v>华威西营里农产品交易中心|各经营业态平均租金情况-冷库（元/平方米/月）|年度</v>
      </c>
      <c r="M289">
        <f>IF($A289="",0,IF(COUNTIF($L$2:$L289,$L289)=1,1,0))</f>
        <v>1</v>
      </c>
      <c r="N289">
        <f t="shared" si="66"/>
        <v>20230</v>
      </c>
      <c r="O289" t="str">
        <f t="shared" si="67"/>
        <v>易方达华威农贸市场封闭式基础设施证券投资基金|2023|年度</v>
      </c>
      <c r="P289">
        <f>IF($A289="",0,IF(COUNTIF($O$2:$O289,$O289)=1,1,0))</f>
        <v>0</v>
      </c>
      <c r="Q289" t="str">
        <f>IF(AND($P289=1,$A289=经营数据!$B$3,$J289=经营数据!$BA$5),COUNTIFS($P$2:$P$3000,1,$A$2:$A$3000,$A289,$J$2:$J$3000,$J289,$N$2:$N$3000,"&lt;"&amp;$N289)+1,"")</f>
        <v/>
      </c>
      <c r="R289" t="str">
        <f t="shared" si="68"/>
        <v>易方达华威农贸市场封闭式基础设施证券投资基金|华威西营里农产品交易中心</v>
      </c>
      <c r="S289">
        <f>IF($A289="",0,IF(COUNTIF($R$2:$R289,$R289)=1,1,0))</f>
        <v>0</v>
      </c>
      <c r="T289">
        <f t="shared" si="69"/>
        <v>204</v>
      </c>
      <c r="U289" t="str">
        <f>IF($A289="","",IF($A289=经营数据!$B$3,COUNTIFS($S$2:$S$3000,1,$A$2:$A$3000,$A289,$T$2:$T$3000,"&lt;"&amp;$T289)+1,""))</f>
        <v/>
      </c>
      <c r="V289" t="str">
        <f t="shared" si="70"/>
        <v>华威西营里农产品交易中心|服务价格</v>
      </c>
      <c r="W289">
        <f t="shared" si="71"/>
        <v>204</v>
      </c>
      <c r="X289" t="str">
        <f t="shared" si="72"/>
        <v>华威西营里农产品交易中心|各经营业态平均租金情况</v>
      </c>
      <c r="Y289">
        <f t="shared" si="73"/>
        <v>204</v>
      </c>
      <c r="Z289">
        <f>IF($A289="",0,IF(AND($M289=1,$A289=经营数据!$B$3,$J289=经营数据!$BA$5,OR($I289=经营数据!$BA$4,COUNTIF(经营数据!$AA$9:$AA$38,$I289)&gt;0)),1,0))</f>
        <v>0</v>
      </c>
      <c r="AA289" t="str">
        <f t="shared" si="74"/>
        <v/>
      </c>
      <c r="AB289" t="str">
        <f t="shared" si="75"/>
        <v/>
      </c>
      <c r="AC289">
        <f>IF($A289="",0,IF(COUNTIF($A$2:$A289,$A289)=1,1,0))</f>
        <v>0</v>
      </c>
      <c r="AD289">
        <f t="shared" si="76"/>
        <v>4</v>
      </c>
      <c r="AE289" t="str">
        <f t="shared" si="77"/>
        <v>华威西营里农产品交易中心|各经营业态平均租金情况-冷库（元/平方米/月）</v>
      </c>
      <c r="BP289" s="47">
        <v>45798</v>
      </c>
      <c r="BQ289" s="29">
        <v>3.6358076290152551E-2</v>
      </c>
    </row>
    <row r="290" spans="1:69" x14ac:dyDescent="0.4">
      <c r="A290" t="str">
        <f>IF(原始经营数据!$D291="","",原始经营数据!$D291)</f>
        <v>易方达华威农贸市场封闭式基础设施证券投资基金</v>
      </c>
      <c r="B290" t="str">
        <f>IF(原始经营数据!$D291="","",T(原始经营数据!$E291))</f>
        <v>华威西营里农产品交易中心</v>
      </c>
      <c r="C290" t="str">
        <f>IF(原始经营数据!$D291="","",原始经营数据!$F291)</f>
        <v>2023</v>
      </c>
      <c r="D290" t="str">
        <f>IF(原始经营数据!$D291="","",原始经营数据!$H291)</f>
        <v>各经营业态平均租金情况</v>
      </c>
      <c r="E290">
        <f>IF(原始经营数据!$D291="","",原始经营数据!$I291)</f>
        <v>39</v>
      </c>
      <c r="F290" t="str">
        <f>IF(原始经营数据!$D291="","",T(原始经营数据!$J291))</f>
        <v>元/平方米/月</v>
      </c>
      <c r="G290" t="str">
        <f>IF(原始经营数据!$D291="","",T(原始经营数据!$K291))</f>
        <v>仓库</v>
      </c>
      <c r="H290" t="str">
        <f>IF(原始经营数据!$D291="","",原始经营数据!$G291)</f>
        <v>服务价格</v>
      </c>
      <c r="I290" t="str">
        <f>IF($A290="","",IF($B290&lt;&gt;"",$B290,IF(COUNTIFS(原始经营数据!$D$3:$D$3001,$A290,原始经营数据!$E$3:$E$3001,"",原始经营数据!$F$3:$F$3001,$C290,原始经营数据!$H$3:$H$3001,$D290,原始经营数据!$K$3:$K$3001,$G290)&gt;1,"基金整体·来源"&amp;原始经营数据!$A291,"基金整体")))</f>
        <v>华威西营里农产品交易中心</v>
      </c>
      <c r="J290" t="str">
        <f t="shared" si="63"/>
        <v>年度</v>
      </c>
      <c r="K290" t="str">
        <f t="shared" si="64"/>
        <v>各经营业态平均租金情况-仓库（元/平方米/月）</v>
      </c>
      <c r="L290" t="str">
        <f t="shared" si="65"/>
        <v>华威西营里农产品交易中心|各经营业态平均租金情况-仓库（元/平方米/月）|年度</v>
      </c>
      <c r="M290">
        <f>IF($A290="",0,IF(COUNTIF($L$2:$L290,$L290)=1,1,0))</f>
        <v>0</v>
      </c>
      <c r="N290">
        <f t="shared" si="66"/>
        <v>20230</v>
      </c>
      <c r="O290" t="str">
        <f t="shared" si="67"/>
        <v>易方达华威农贸市场封闭式基础设施证券投资基金|2023|年度</v>
      </c>
      <c r="P290">
        <f>IF($A290="",0,IF(COUNTIF($O$2:$O290,$O290)=1,1,0))</f>
        <v>0</v>
      </c>
      <c r="Q290" t="str">
        <f>IF(AND($P290=1,$A290=经营数据!$B$3,$J290=经营数据!$BA$5),COUNTIFS($P$2:$P$3000,1,$A$2:$A$3000,$A290,$J$2:$J$3000,$J290,$N$2:$N$3000,"&lt;"&amp;$N290)+1,"")</f>
        <v/>
      </c>
      <c r="R290" t="str">
        <f t="shared" si="68"/>
        <v>易方达华威农贸市场封闭式基础设施证券投资基金|华威西营里农产品交易中心</v>
      </c>
      <c r="S290">
        <f>IF($A290="",0,IF(COUNTIF($R$2:$R290,$R290)=1,1,0))</f>
        <v>0</v>
      </c>
      <c r="T290">
        <f t="shared" si="69"/>
        <v>204</v>
      </c>
      <c r="U290" t="str">
        <f>IF($A290="","",IF($A290=经营数据!$B$3,COUNTIFS($S$2:$S$3000,1,$A$2:$A$3000,$A290,$T$2:$T$3000,"&lt;"&amp;$T290)+1,""))</f>
        <v/>
      </c>
      <c r="V290" t="str">
        <f t="shared" si="70"/>
        <v>华威西营里农产品交易中心|服务价格</v>
      </c>
      <c r="W290">
        <f t="shared" si="71"/>
        <v>204</v>
      </c>
      <c r="X290" t="str">
        <f t="shared" si="72"/>
        <v>华威西营里农产品交易中心|各经营业态平均租金情况</v>
      </c>
      <c r="Y290">
        <f t="shared" si="73"/>
        <v>204</v>
      </c>
      <c r="Z290">
        <f>IF($A290="",0,IF(AND($M290=1,$A290=经营数据!$B$3,$J290=经营数据!$BA$5,OR($I290=经营数据!$BA$4,COUNTIF(经营数据!$AA$9:$AA$38,$I290)&gt;0)),1,0))</f>
        <v>0</v>
      </c>
      <c r="AA290" t="str">
        <f t="shared" si="74"/>
        <v/>
      </c>
      <c r="AB290" t="str">
        <f t="shared" si="75"/>
        <v/>
      </c>
      <c r="AC290">
        <f>IF($A290="",0,IF(COUNTIF($A$2:$A290,$A290)=1,1,0))</f>
        <v>0</v>
      </c>
      <c r="AD290">
        <f t="shared" si="76"/>
        <v>4</v>
      </c>
      <c r="AE290" t="str">
        <f t="shared" si="77"/>
        <v>华威西营里农产品交易中心|各经营业态平均租金情况-仓库（元/平方米/月）</v>
      </c>
      <c r="BP290" s="47">
        <v>45799</v>
      </c>
      <c r="BQ290" s="29">
        <v>3.6622308311237292E-2</v>
      </c>
    </row>
    <row r="291" spans="1:69" x14ac:dyDescent="0.4">
      <c r="A291" t="str">
        <f>IF(原始经营数据!$D292="","",原始经营数据!$D292)</f>
        <v>易方达华威农贸市场封闭式基础设施证券投资基金</v>
      </c>
      <c r="B291" t="str">
        <f>IF(原始经营数据!$D292="","",T(原始经营数据!$E292))</f>
        <v>华威西营里农产品交易中心</v>
      </c>
      <c r="C291" t="str">
        <f>IF(原始经营数据!$D292="","",原始经营数据!$F292)</f>
        <v>2023</v>
      </c>
      <c r="D291" t="str">
        <f>IF(原始经营数据!$D292="","",原始经营数据!$H292)</f>
        <v>各经营业态平均租金情况</v>
      </c>
      <c r="E291">
        <f>IF(原始经营数据!$D292="","",原始经营数据!$I292)</f>
        <v>50</v>
      </c>
      <c r="F291" t="str">
        <f>IF(原始经营数据!$D292="","",T(原始经营数据!$J292))</f>
        <v>元/平方米/月</v>
      </c>
      <c r="G291" t="str">
        <f>IF(原始经营数据!$D292="","",T(原始经营数据!$K292))</f>
        <v>电商直播基地</v>
      </c>
      <c r="H291" t="str">
        <f>IF(原始经营数据!$D292="","",原始经营数据!$G292)</f>
        <v>服务价格</v>
      </c>
      <c r="I291" t="str">
        <f>IF($A291="","",IF($B291&lt;&gt;"",$B291,IF(COUNTIFS(原始经营数据!$D$3:$D$3001,$A291,原始经营数据!$E$3:$E$3001,"",原始经营数据!$F$3:$F$3001,$C291,原始经营数据!$H$3:$H$3001,$D291,原始经营数据!$K$3:$K$3001,$G291)&gt;1,"基金整体·来源"&amp;原始经营数据!$A292,"基金整体")))</f>
        <v>华威西营里农产品交易中心</v>
      </c>
      <c r="J291" t="str">
        <f t="shared" si="63"/>
        <v>年度</v>
      </c>
      <c r="K291" t="str">
        <f t="shared" si="64"/>
        <v>各经营业态平均租金情况-电商直播基地（元/平方米/月）</v>
      </c>
      <c r="L291" t="str">
        <f t="shared" si="65"/>
        <v>华威西营里农产品交易中心|各经营业态平均租金情况-电商直播基地（元/平方米/月）|年度</v>
      </c>
      <c r="M291">
        <f>IF($A291="",0,IF(COUNTIF($L$2:$L291,$L291)=1,1,0))</f>
        <v>0</v>
      </c>
      <c r="N291">
        <f t="shared" si="66"/>
        <v>20230</v>
      </c>
      <c r="O291" t="str">
        <f t="shared" si="67"/>
        <v>易方达华威农贸市场封闭式基础设施证券投资基金|2023|年度</v>
      </c>
      <c r="P291">
        <f>IF($A291="",0,IF(COUNTIF($O$2:$O291,$O291)=1,1,0))</f>
        <v>0</v>
      </c>
      <c r="Q291" t="str">
        <f>IF(AND($P291=1,$A291=经营数据!$B$3,$J291=经营数据!$BA$5),COUNTIFS($P$2:$P$3000,1,$A$2:$A$3000,$A291,$J$2:$J$3000,$J291,$N$2:$N$3000,"&lt;"&amp;$N291)+1,"")</f>
        <v/>
      </c>
      <c r="R291" t="str">
        <f t="shared" si="68"/>
        <v>易方达华威农贸市场封闭式基础设施证券投资基金|华威西营里农产品交易中心</v>
      </c>
      <c r="S291">
        <f>IF($A291="",0,IF(COUNTIF($R$2:$R291,$R291)=1,1,0))</f>
        <v>0</v>
      </c>
      <c r="T291">
        <f t="shared" si="69"/>
        <v>204</v>
      </c>
      <c r="U291" t="str">
        <f>IF($A291="","",IF($A291=经营数据!$B$3,COUNTIFS($S$2:$S$3000,1,$A$2:$A$3000,$A291,$T$2:$T$3000,"&lt;"&amp;$T291)+1,""))</f>
        <v/>
      </c>
      <c r="V291" t="str">
        <f t="shared" si="70"/>
        <v>华威西营里农产品交易中心|服务价格</v>
      </c>
      <c r="W291">
        <f t="shared" si="71"/>
        <v>204</v>
      </c>
      <c r="X291" t="str">
        <f t="shared" si="72"/>
        <v>华威西营里农产品交易中心|各经营业态平均租金情况</v>
      </c>
      <c r="Y291">
        <f t="shared" si="73"/>
        <v>204</v>
      </c>
      <c r="Z291">
        <f>IF($A291="",0,IF(AND($M291=1,$A291=经营数据!$B$3,$J291=经营数据!$BA$5,OR($I291=经营数据!$BA$4,COUNTIF(经营数据!$AA$9:$AA$38,$I291)&gt;0)),1,0))</f>
        <v>0</v>
      </c>
      <c r="AA291" t="str">
        <f t="shared" si="74"/>
        <v/>
      </c>
      <c r="AB291" t="str">
        <f t="shared" si="75"/>
        <v/>
      </c>
      <c r="AC291">
        <f>IF($A291="",0,IF(COUNTIF($A$2:$A291,$A291)=1,1,0))</f>
        <v>0</v>
      </c>
      <c r="AD291">
        <f t="shared" si="76"/>
        <v>4</v>
      </c>
      <c r="AE291" t="str">
        <f t="shared" si="77"/>
        <v>华威西营里农产品交易中心|各经营业态平均租金情况-电商直播基地（元/平方米/月）</v>
      </c>
      <c r="BP291" s="47">
        <v>45800</v>
      </c>
      <c r="BQ291" s="29">
        <v>3.6703810434077673E-2</v>
      </c>
    </row>
    <row r="292" spans="1:69" x14ac:dyDescent="0.4">
      <c r="A292" t="str">
        <f>IF(原始经营数据!$D293="","",原始经营数据!$D293)</f>
        <v>易方达华威农贸市场封闭式基础设施证券投资基金</v>
      </c>
      <c r="B292" t="str">
        <f>IF(原始经营数据!$D293="","",T(原始经营数据!$E293))</f>
        <v>华威西营里农产品交易中心</v>
      </c>
      <c r="C292" t="str">
        <f>IF(原始经营数据!$D293="","",原始经营数据!$F293)</f>
        <v>2023</v>
      </c>
      <c r="D292" t="str">
        <f>IF(原始经营数据!$D293="","",原始经营数据!$H293)</f>
        <v>退租率</v>
      </c>
      <c r="E292">
        <f>IF(原始经营数据!$D293="","",原始经营数据!$I293)</f>
        <v>3.46</v>
      </c>
      <c r="F292" t="str">
        <f>IF(原始经营数据!$D293="","",T(原始经营数据!$J293))</f>
        <v>%</v>
      </c>
      <c r="G292" t="str">
        <f>IF(原始经营数据!$D293="","",T(原始经营数据!$K293))</f>
        <v/>
      </c>
      <c r="H292" t="str">
        <f>IF(原始经营数据!$D293="","",原始经营数据!$G293)</f>
        <v>服务效率</v>
      </c>
      <c r="I292" t="str">
        <f>IF($A292="","",IF($B292&lt;&gt;"",$B292,IF(COUNTIFS(原始经营数据!$D$3:$D$3001,$A292,原始经营数据!$E$3:$E$3001,"",原始经营数据!$F$3:$F$3001,$C292,原始经营数据!$H$3:$H$3001,$D292,原始经营数据!$K$3:$K$3001,$G292)&gt;1,"基金整体·来源"&amp;原始经营数据!$A293,"基金整体")))</f>
        <v>华威西营里农产品交易中心</v>
      </c>
      <c r="J292" t="str">
        <f t="shared" si="63"/>
        <v>年度</v>
      </c>
      <c r="K292" t="str">
        <f t="shared" si="64"/>
        <v>退租率（%）</v>
      </c>
      <c r="L292" t="str">
        <f t="shared" si="65"/>
        <v>华威西营里农产品交易中心|退租率（%）|年度</v>
      </c>
      <c r="M292">
        <f>IF($A292="",0,IF(COUNTIF($L$2:$L292,$L292)=1,1,0))</f>
        <v>0</v>
      </c>
      <c r="N292">
        <f t="shared" si="66"/>
        <v>20230</v>
      </c>
      <c r="O292" t="str">
        <f t="shared" si="67"/>
        <v>易方达华威农贸市场封闭式基础设施证券投资基金|2023|年度</v>
      </c>
      <c r="P292">
        <f>IF($A292="",0,IF(COUNTIF($O$2:$O292,$O292)=1,1,0))</f>
        <v>0</v>
      </c>
      <c r="Q292" t="str">
        <f>IF(AND($P292=1,$A292=经营数据!$B$3,$J292=经营数据!$BA$5),COUNTIFS($P$2:$P$3000,1,$A$2:$A$3000,$A292,$J$2:$J$3000,$J292,$N$2:$N$3000,"&lt;"&amp;$N292)+1,"")</f>
        <v/>
      </c>
      <c r="R292" t="str">
        <f t="shared" si="68"/>
        <v>易方达华威农贸市场封闭式基础设施证券投资基金|华威西营里农产品交易中心</v>
      </c>
      <c r="S292">
        <f>IF($A292="",0,IF(COUNTIF($R$2:$R292,$R292)=1,1,0))</f>
        <v>0</v>
      </c>
      <c r="T292">
        <f t="shared" si="69"/>
        <v>204</v>
      </c>
      <c r="U292" t="str">
        <f>IF($A292="","",IF($A292=经营数据!$B$3,COUNTIFS($S$2:$S$3000,1,$A$2:$A$3000,$A292,$T$2:$T$3000,"&lt;"&amp;$T292)+1,""))</f>
        <v/>
      </c>
      <c r="V292" t="str">
        <f t="shared" si="70"/>
        <v>华威西营里农产品交易中心|服务效率</v>
      </c>
      <c r="W292">
        <f t="shared" si="71"/>
        <v>205</v>
      </c>
      <c r="X292" t="str">
        <f t="shared" si="72"/>
        <v>华威西营里农产品交易中心|退租率</v>
      </c>
      <c r="Y292">
        <f t="shared" si="73"/>
        <v>219</v>
      </c>
      <c r="Z292">
        <f>IF($A292="",0,IF(AND($M292=1,$A292=经营数据!$B$3,$J292=经营数据!$BA$5,OR($I292=经营数据!$BA$4,COUNTIF(经营数据!$AA$9:$AA$38,$I292)&gt;0)),1,0))</f>
        <v>0</v>
      </c>
      <c r="AA292" t="str">
        <f t="shared" si="74"/>
        <v/>
      </c>
      <c r="AB292" t="str">
        <f t="shared" si="75"/>
        <v/>
      </c>
      <c r="AC292">
        <f>IF($A292="",0,IF(COUNTIF($A$2:$A292,$A292)=1,1,0))</f>
        <v>0</v>
      </c>
      <c r="AD292">
        <f t="shared" si="76"/>
        <v>4</v>
      </c>
      <c r="AE292" t="str">
        <f t="shared" si="77"/>
        <v>华威西营里农产品交易中心|退租率（%）</v>
      </c>
      <c r="BP292" s="47">
        <v>45803</v>
      </c>
      <c r="BQ292" s="29">
        <v>3.6810503538153419E-2</v>
      </c>
    </row>
    <row r="293" spans="1:69" x14ac:dyDescent="0.4">
      <c r="A293" t="str">
        <f>IF(原始经营数据!$D294="","",原始经营数据!$D294)</f>
        <v>易方达华威农贸市场封闭式基础设施证券投资基金</v>
      </c>
      <c r="B293" t="str">
        <f>IF(原始经营数据!$D294="","",T(原始经营数据!$E294))</f>
        <v>华威西营里农产品交易中心</v>
      </c>
      <c r="C293" t="str">
        <f>IF(原始经营数据!$D294="","",原始经营数据!$F294)</f>
        <v>2023</v>
      </c>
      <c r="D293" t="str">
        <f>IF(原始经营数据!$D294="","",原始经营数据!$H294)</f>
        <v>当年退租面积</v>
      </c>
      <c r="E293">
        <f>IF(原始经营数据!$D294="","",原始经营数据!$I294)</f>
        <v>1233.47</v>
      </c>
      <c r="F293" t="str">
        <f>IF(原始经营数据!$D294="","",T(原始经营数据!$J294))</f>
        <v>平方米</v>
      </c>
      <c r="G293" t="str">
        <f>IF(原始经营数据!$D294="","",T(原始经营数据!$K294))</f>
        <v/>
      </c>
      <c r="H293" t="str">
        <f>IF(原始经营数据!$D294="","",原始经营数据!$G294)</f>
        <v>服务量</v>
      </c>
      <c r="I293" t="str">
        <f>IF($A293="","",IF($B293&lt;&gt;"",$B293,IF(COUNTIFS(原始经营数据!$D$3:$D$3001,$A293,原始经营数据!$E$3:$E$3001,"",原始经营数据!$F$3:$F$3001,$C293,原始经营数据!$H$3:$H$3001,$D293,原始经营数据!$K$3:$K$3001,$G293)&gt;1,"基金整体·来源"&amp;原始经营数据!$A294,"基金整体")))</f>
        <v>华威西营里农产品交易中心</v>
      </c>
      <c r="J293" t="str">
        <f t="shared" si="63"/>
        <v>年度</v>
      </c>
      <c r="K293" t="str">
        <f t="shared" si="64"/>
        <v>当年退租面积（平方米）</v>
      </c>
      <c r="L293" t="str">
        <f t="shared" si="65"/>
        <v>华威西营里农产品交易中心|当年退租面积（平方米）|年度</v>
      </c>
      <c r="M293">
        <f>IF($A293="",0,IF(COUNTIF($L$2:$L293,$L293)=1,1,0))</f>
        <v>0</v>
      </c>
      <c r="N293">
        <f t="shared" si="66"/>
        <v>20230</v>
      </c>
      <c r="O293" t="str">
        <f t="shared" si="67"/>
        <v>易方达华威农贸市场封闭式基础设施证券投资基金|2023|年度</v>
      </c>
      <c r="P293">
        <f>IF($A293="",0,IF(COUNTIF($O$2:$O293,$O293)=1,1,0))</f>
        <v>0</v>
      </c>
      <c r="Q293" t="str">
        <f>IF(AND($P293=1,$A293=经营数据!$B$3,$J293=经营数据!$BA$5),COUNTIFS($P$2:$P$3000,1,$A$2:$A$3000,$A293,$J$2:$J$3000,$J293,$N$2:$N$3000,"&lt;"&amp;$N293)+1,"")</f>
        <v/>
      </c>
      <c r="R293" t="str">
        <f t="shared" si="68"/>
        <v>易方达华威农贸市场封闭式基础设施证券投资基金|华威西营里农产品交易中心</v>
      </c>
      <c r="S293">
        <f>IF($A293="",0,IF(COUNTIF($R$2:$R293,$R293)=1,1,0))</f>
        <v>0</v>
      </c>
      <c r="T293">
        <f t="shared" si="69"/>
        <v>204</v>
      </c>
      <c r="U293" t="str">
        <f>IF($A293="","",IF($A293=经营数据!$B$3,COUNTIFS($S$2:$S$3000,1,$A$2:$A$3000,$A293,$T$2:$T$3000,"&lt;"&amp;$T293)+1,""))</f>
        <v/>
      </c>
      <c r="V293" t="str">
        <f t="shared" si="70"/>
        <v>华威西营里农产品交易中心|服务量</v>
      </c>
      <c r="W293">
        <f t="shared" si="71"/>
        <v>221</v>
      </c>
      <c r="X293" t="str">
        <f t="shared" si="72"/>
        <v>华威西营里农产品交易中心|当年退租面积</v>
      </c>
      <c r="Y293">
        <f t="shared" si="73"/>
        <v>222</v>
      </c>
      <c r="Z293">
        <f>IF($A293="",0,IF(AND($M293=1,$A293=经营数据!$B$3,$J293=经营数据!$BA$5,OR($I293=经营数据!$BA$4,COUNTIF(经营数据!$AA$9:$AA$38,$I293)&gt;0)),1,0))</f>
        <v>0</v>
      </c>
      <c r="AA293" t="str">
        <f t="shared" si="74"/>
        <v/>
      </c>
      <c r="AB293" t="str">
        <f t="shared" si="75"/>
        <v/>
      </c>
      <c r="AC293">
        <f>IF($A293="",0,IF(COUNTIF($A$2:$A293,$A293)=1,1,0))</f>
        <v>0</v>
      </c>
      <c r="AD293">
        <f t="shared" si="76"/>
        <v>4</v>
      </c>
      <c r="AE293" t="str">
        <f t="shared" si="77"/>
        <v>华威西营里农产品交易中心|当年退租面积（平方米）</v>
      </c>
      <c r="BP293" s="47">
        <v>45804</v>
      </c>
      <c r="BQ293" s="29">
        <v>3.6972643895017962E-2</v>
      </c>
    </row>
    <row r="294" spans="1:69" x14ac:dyDescent="0.4">
      <c r="A294" t="str">
        <f>IF(原始经营数据!$D295="","",原始经营数据!$D295)</f>
        <v>易方达华威农贸市场封闭式基础设施证券投资基金</v>
      </c>
      <c r="B294" t="str">
        <f>IF(原始经营数据!$D295="","",T(原始经营数据!$E295))</f>
        <v>华威西营里农产品交易中心</v>
      </c>
      <c r="C294" t="str">
        <f>IF(原始经营数据!$D295="","",原始经营数据!$F295)</f>
        <v>2023</v>
      </c>
      <c r="D294" t="str">
        <f>IF(原始经营数据!$D295="","",原始经营数据!$H295)</f>
        <v>续租率</v>
      </c>
      <c r="E294">
        <f>IF(原始经营数据!$D295="","",原始经营数据!$I295)</f>
        <v>90.42</v>
      </c>
      <c r="F294" t="str">
        <f>IF(原始经营数据!$D295="","",T(原始经营数据!$J295))</f>
        <v>%</v>
      </c>
      <c r="G294" t="str">
        <f>IF(原始经营数据!$D295="","",T(原始经营数据!$K295))</f>
        <v/>
      </c>
      <c r="H294" t="str">
        <f>IF(原始经营数据!$D295="","",原始经营数据!$G295)</f>
        <v>服务效率</v>
      </c>
      <c r="I294" t="str">
        <f>IF($A294="","",IF($B294&lt;&gt;"",$B294,IF(COUNTIFS(原始经营数据!$D$3:$D$3001,$A294,原始经营数据!$E$3:$E$3001,"",原始经营数据!$F$3:$F$3001,$C294,原始经营数据!$H$3:$H$3001,$D294,原始经营数据!$K$3:$K$3001,$G294)&gt;1,"基金整体·来源"&amp;原始经营数据!$A295,"基金整体")))</f>
        <v>华威西营里农产品交易中心</v>
      </c>
      <c r="J294" t="str">
        <f t="shared" si="63"/>
        <v>年度</v>
      </c>
      <c r="K294" t="str">
        <f t="shared" si="64"/>
        <v>续租率（%）</v>
      </c>
      <c r="L294" t="str">
        <f t="shared" si="65"/>
        <v>华威西营里农产品交易中心|续租率（%）|年度</v>
      </c>
      <c r="M294">
        <f>IF($A294="",0,IF(COUNTIF($L$2:$L294,$L294)=1,1,0))</f>
        <v>0</v>
      </c>
      <c r="N294">
        <f t="shared" si="66"/>
        <v>20230</v>
      </c>
      <c r="O294" t="str">
        <f t="shared" si="67"/>
        <v>易方达华威农贸市场封闭式基础设施证券投资基金|2023|年度</v>
      </c>
      <c r="P294">
        <f>IF($A294="",0,IF(COUNTIF($O$2:$O294,$O294)=1,1,0))</f>
        <v>0</v>
      </c>
      <c r="Q294" t="str">
        <f>IF(AND($P294=1,$A294=经营数据!$B$3,$J294=经营数据!$BA$5),COUNTIFS($P$2:$P$3000,1,$A$2:$A$3000,$A294,$J$2:$J$3000,$J294,$N$2:$N$3000,"&lt;"&amp;$N294)+1,"")</f>
        <v/>
      </c>
      <c r="R294" t="str">
        <f t="shared" si="68"/>
        <v>易方达华威农贸市场封闭式基础设施证券投资基金|华威西营里农产品交易中心</v>
      </c>
      <c r="S294">
        <f>IF($A294="",0,IF(COUNTIF($R$2:$R294,$R294)=1,1,0))</f>
        <v>0</v>
      </c>
      <c r="T294">
        <f t="shared" si="69"/>
        <v>204</v>
      </c>
      <c r="U294" t="str">
        <f>IF($A294="","",IF($A294=经营数据!$B$3,COUNTIFS($S$2:$S$3000,1,$A$2:$A$3000,$A294,$T$2:$T$3000,"&lt;"&amp;$T294)+1,""))</f>
        <v/>
      </c>
      <c r="V294" t="str">
        <f t="shared" si="70"/>
        <v>华威西营里农产品交易中心|服务效率</v>
      </c>
      <c r="W294">
        <f t="shared" si="71"/>
        <v>205</v>
      </c>
      <c r="X294" t="str">
        <f t="shared" si="72"/>
        <v>华威西营里农产品交易中心|续租率</v>
      </c>
      <c r="Y294">
        <f t="shared" si="73"/>
        <v>218</v>
      </c>
      <c r="Z294">
        <f>IF($A294="",0,IF(AND($M294=1,$A294=经营数据!$B$3,$J294=经营数据!$BA$5,OR($I294=经营数据!$BA$4,COUNTIF(经营数据!$AA$9:$AA$38,$I294)&gt;0)),1,0))</f>
        <v>0</v>
      </c>
      <c r="AA294" t="str">
        <f t="shared" si="74"/>
        <v/>
      </c>
      <c r="AB294" t="str">
        <f t="shared" si="75"/>
        <v/>
      </c>
      <c r="AC294">
        <f>IF($A294="",0,IF(COUNTIF($A$2:$A294,$A294)=1,1,0))</f>
        <v>0</v>
      </c>
      <c r="AD294">
        <f t="shared" si="76"/>
        <v>4</v>
      </c>
      <c r="AE294" t="str">
        <f t="shared" si="77"/>
        <v>华威西营里农产品交易中心|续租率（%）</v>
      </c>
      <c r="BP294" s="47">
        <v>45805</v>
      </c>
      <c r="BQ294" s="29">
        <v>3.7041082989073611E-2</v>
      </c>
    </row>
    <row r="295" spans="1:69" x14ac:dyDescent="0.4">
      <c r="A295" t="str">
        <f>IF(原始经营数据!$D296="","",原始经营数据!$D296)</f>
        <v>易方达华威农贸市场封闭式基础设施证券投资基金</v>
      </c>
      <c r="B295" t="str">
        <f>IF(原始经营数据!$D296="","",T(原始经营数据!$E296))</f>
        <v>华威西营里农产品交易中心</v>
      </c>
      <c r="C295" t="str">
        <f>IF(原始经营数据!$D296="","",原始经营数据!$F296)</f>
        <v>2023</v>
      </c>
      <c r="D295" t="str">
        <f>IF(原始经营数据!$D296="","",原始经营数据!$H296)</f>
        <v>各经营业态出租率表</v>
      </c>
      <c r="E295">
        <f>IF(原始经营数据!$D296="","",原始经营数据!$I296)</f>
        <v>100</v>
      </c>
      <c r="F295" t="str">
        <f>IF(原始经营数据!$D296="","",T(原始经营数据!$J296))</f>
        <v>%</v>
      </c>
      <c r="G295" t="str">
        <f>IF(原始经营数据!$D296="","",T(原始经营数据!$K296))</f>
        <v>电商直播基地</v>
      </c>
      <c r="H295" t="str">
        <f>IF(原始经营数据!$D296="","",原始经营数据!$G296)</f>
        <v>服务效率</v>
      </c>
      <c r="I295" t="str">
        <f>IF($A295="","",IF($B295&lt;&gt;"",$B295,IF(COUNTIFS(原始经营数据!$D$3:$D$3001,$A295,原始经营数据!$E$3:$E$3001,"",原始经营数据!$F$3:$F$3001,$C295,原始经营数据!$H$3:$H$3001,$D295,原始经营数据!$K$3:$K$3001,$G295)&gt;1,"基金整体·来源"&amp;原始经营数据!$A296,"基金整体")))</f>
        <v>华威西营里农产品交易中心</v>
      </c>
      <c r="J295" t="str">
        <f t="shared" si="63"/>
        <v>年度</v>
      </c>
      <c r="K295" t="str">
        <f t="shared" si="64"/>
        <v>各经营业态出租率表-电商直播基地（%）</v>
      </c>
      <c r="L295" t="str">
        <f t="shared" si="65"/>
        <v>华威西营里农产品交易中心|各经营业态出租率表-电商直播基地（%）|年度</v>
      </c>
      <c r="M295">
        <f>IF($A295="",0,IF(COUNTIF($L$2:$L295,$L295)=1,1,0))</f>
        <v>0</v>
      </c>
      <c r="N295">
        <f t="shared" si="66"/>
        <v>20230</v>
      </c>
      <c r="O295" t="str">
        <f t="shared" si="67"/>
        <v>易方达华威农贸市场封闭式基础设施证券投资基金|2023|年度</v>
      </c>
      <c r="P295">
        <f>IF($A295="",0,IF(COUNTIF($O$2:$O295,$O295)=1,1,0))</f>
        <v>0</v>
      </c>
      <c r="Q295" t="str">
        <f>IF(AND($P295=1,$A295=经营数据!$B$3,$J295=经营数据!$BA$5),COUNTIFS($P$2:$P$3000,1,$A$2:$A$3000,$A295,$J$2:$J$3000,$J295,$N$2:$N$3000,"&lt;"&amp;$N295)+1,"")</f>
        <v/>
      </c>
      <c r="R295" t="str">
        <f t="shared" si="68"/>
        <v>易方达华威农贸市场封闭式基础设施证券投资基金|华威西营里农产品交易中心</v>
      </c>
      <c r="S295">
        <f>IF($A295="",0,IF(COUNTIF($R$2:$R295,$R295)=1,1,0))</f>
        <v>0</v>
      </c>
      <c r="T295">
        <f t="shared" si="69"/>
        <v>204</v>
      </c>
      <c r="U295" t="str">
        <f>IF($A295="","",IF($A295=经营数据!$B$3,COUNTIFS($S$2:$S$3000,1,$A$2:$A$3000,$A295,$T$2:$T$3000,"&lt;"&amp;$T295)+1,""))</f>
        <v/>
      </c>
      <c r="V295" t="str">
        <f t="shared" si="70"/>
        <v>华威西营里农产品交易中心|服务效率</v>
      </c>
      <c r="W295">
        <f t="shared" si="71"/>
        <v>205</v>
      </c>
      <c r="X295" t="str">
        <f t="shared" si="72"/>
        <v>华威西营里农产品交易中心|各经营业态出租率表</v>
      </c>
      <c r="Y295">
        <f t="shared" si="73"/>
        <v>205</v>
      </c>
      <c r="Z295">
        <f>IF($A295="",0,IF(AND($M295=1,$A295=经营数据!$B$3,$J295=经营数据!$BA$5,OR($I295=经营数据!$BA$4,COUNTIF(经营数据!$AA$9:$AA$38,$I295)&gt;0)),1,0))</f>
        <v>0</v>
      </c>
      <c r="AA295" t="str">
        <f t="shared" si="74"/>
        <v/>
      </c>
      <c r="AB295" t="str">
        <f t="shared" si="75"/>
        <v/>
      </c>
      <c r="AC295">
        <f>IF($A295="",0,IF(COUNTIF($A$2:$A295,$A295)=1,1,0))</f>
        <v>0</v>
      </c>
      <c r="AD295">
        <f t="shared" si="76"/>
        <v>4</v>
      </c>
      <c r="AE295" t="str">
        <f t="shared" si="77"/>
        <v>华威西营里农产品交易中心|各经营业态出租率表-电商直播基地（%）</v>
      </c>
      <c r="BP295" s="47">
        <v>45806</v>
      </c>
      <c r="BQ295" s="29">
        <v>3.6980222789141391E-2</v>
      </c>
    </row>
    <row r="296" spans="1:69" x14ac:dyDescent="0.4">
      <c r="A296" t="str">
        <f>IF(原始经营数据!$D297="","",原始经营数据!$D297)</f>
        <v>易方达华威农贸市场封闭式基础设施证券投资基金</v>
      </c>
      <c r="B296" t="str">
        <f>IF(原始经营数据!$D297="","",T(原始经营数据!$E297))</f>
        <v>华威西营里农产品交易中心</v>
      </c>
      <c r="C296" t="str">
        <f>IF(原始经营数据!$D297="","",原始经营数据!$F297)</f>
        <v>2023</v>
      </c>
      <c r="D296" t="str">
        <f>IF(原始经营数据!$D297="","",原始经营数据!$H297)</f>
        <v>各经营业态出租率表</v>
      </c>
      <c r="E296">
        <f>IF(原始经营数据!$D297="","",原始经营数据!$I297)</f>
        <v>100</v>
      </c>
      <c r="F296" t="str">
        <f>IF(原始经营数据!$D297="","",T(原始经营数据!$J297))</f>
        <v>%</v>
      </c>
      <c r="G296" t="str">
        <f>IF(原始经营数据!$D297="","",T(原始经营数据!$K297))</f>
        <v>干货/调味品</v>
      </c>
      <c r="H296" t="str">
        <f>IF(原始经营数据!$D297="","",原始经营数据!$G297)</f>
        <v>服务效率</v>
      </c>
      <c r="I296" t="str">
        <f>IF($A296="","",IF($B296&lt;&gt;"",$B296,IF(COUNTIFS(原始经营数据!$D$3:$D$3001,$A296,原始经营数据!$E$3:$E$3001,"",原始经营数据!$F$3:$F$3001,$C296,原始经营数据!$H$3:$H$3001,$D296,原始经营数据!$K$3:$K$3001,$G296)&gt;1,"基金整体·来源"&amp;原始经营数据!$A297,"基金整体")))</f>
        <v>华威西营里农产品交易中心</v>
      </c>
      <c r="J296" t="str">
        <f t="shared" si="63"/>
        <v>年度</v>
      </c>
      <c r="K296" t="str">
        <f t="shared" si="64"/>
        <v>各经营业态出租率表-干货/调味品（%）</v>
      </c>
      <c r="L296" t="str">
        <f t="shared" si="65"/>
        <v>华威西营里农产品交易中心|各经营业态出租率表-干货/调味品（%）|年度</v>
      </c>
      <c r="M296">
        <f>IF($A296="",0,IF(COUNTIF($L$2:$L296,$L296)=1,1,0))</f>
        <v>0</v>
      </c>
      <c r="N296">
        <f t="shared" si="66"/>
        <v>20230</v>
      </c>
      <c r="O296" t="str">
        <f t="shared" si="67"/>
        <v>易方达华威农贸市场封闭式基础设施证券投资基金|2023|年度</v>
      </c>
      <c r="P296">
        <f>IF($A296="",0,IF(COUNTIF($O$2:$O296,$O296)=1,1,0))</f>
        <v>0</v>
      </c>
      <c r="Q296" t="str">
        <f>IF(AND($P296=1,$A296=经营数据!$B$3,$J296=经营数据!$BA$5),COUNTIFS($P$2:$P$3000,1,$A$2:$A$3000,$A296,$J$2:$J$3000,$J296,$N$2:$N$3000,"&lt;"&amp;$N296)+1,"")</f>
        <v/>
      </c>
      <c r="R296" t="str">
        <f t="shared" si="68"/>
        <v>易方达华威农贸市场封闭式基础设施证券投资基金|华威西营里农产品交易中心</v>
      </c>
      <c r="S296">
        <f>IF($A296="",0,IF(COUNTIF($R$2:$R296,$R296)=1,1,0))</f>
        <v>0</v>
      </c>
      <c r="T296">
        <f t="shared" si="69"/>
        <v>204</v>
      </c>
      <c r="U296" t="str">
        <f>IF($A296="","",IF($A296=经营数据!$B$3,COUNTIFS($S$2:$S$3000,1,$A$2:$A$3000,$A296,$T$2:$T$3000,"&lt;"&amp;$T296)+1,""))</f>
        <v/>
      </c>
      <c r="V296" t="str">
        <f t="shared" si="70"/>
        <v>华威西营里农产品交易中心|服务效率</v>
      </c>
      <c r="W296">
        <f t="shared" si="71"/>
        <v>205</v>
      </c>
      <c r="X296" t="str">
        <f t="shared" si="72"/>
        <v>华威西营里农产品交易中心|各经营业态出租率表</v>
      </c>
      <c r="Y296">
        <f t="shared" si="73"/>
        <v>205</v>
      </c>
      <c r="Z296">
        <f>IF($A296="",0,IF(AND($M296=1,$A296=经营数据!$B$3,$J296=经营数据!$BA$5,OR($I296=经营数据!$BA$4,COUNTIF(经营数据!$AA$9:$AA$38,$I296)&gt;0)),1,0))</f>
        <v>0</v>
      </c>
      <c r="AA296" t="str">
        <f t="shared" si="74"/>
        <v/>
      </c>
      <c r="AB296" t="str">
        <f t="shared" si="75"/>
        <v/>
      </c>
      <c r="AC296">
        <f>IF($A296="",0,IF(COUNTIF($A$2:$A296,$A296)=1,1,0))</f>
        <v>0</v>
      </c>
      <c r="AD296">
        <f t="shared" si="76"/>
        <v>4</v>
      </c>
      <c r="AE296" t="str">
        <f t="shared" si="77"/>
        <v>华威西营里农产品交易中心|各经营业态出租率表-干货/调味品（%）</v>
      </c>
      <c r="BP296" s="47">
        <v>45807</v>
      </c>
      <c r="BQ296" s="29">
        <v>3.6917005150848288E-2</v>
      </c>
    </row>
    <row r="297" spans="1:69" x14ac:dyDescent="0.4">
      <c r="A297" t="str">
        <f>IF(原始经营数据!$D298="","",原始经营数据!$D298)</f>
        <v>易方达华威农贸市场封闭式基础设施证券投资基金</v>
      </c>
      <c r="B297" t="str">
        <f>IF(原始经营数据!$D298="","",T(原始经营数据!$E298))</f>
        <v>华威西营里农产品交易中心</v>
      </c>
      <c r="C297" t="str">
        <f>IF(原始经营数据!$D298="","",原始经营数据!$F298)</f>
        <v>2023</v>
      </c>
      <c r="D297" t="str">
        <f>IF(原始经营数据!$D298="","",原始经营数据!$H298)</f>
        <v>期初已出租面积</v>
      </c>
      <c r="E297">
        <f>IF(原始经营数据!$D298="","",原始经营数据!$I298)</f>
        <v>35617.449999999997</v>
      </c>
      <c r="F297" t="str">
        <f>IF(原始经营数据!$D298="","",T(原始经营数据!$J298))</f>
        <v>平方米</v>
      </c>
      <c r="G297" t="str">
        <f>IF(原始经营数据!$D298="","",T(原始经营数据!$K298))</f>
        <v/>
      </c>
      <c r="H297" t="str">
        <f>IF(原始经营数据!$D298="","",原始经营数据!$G298)</f>
        <v>服务量</v>
      </c>
      <c r="I297" t="str">
        <f>IF($A297="","",IF($B297&lt;&gt;"",$B297,IF(COUNTIFS(原始经营数据!$D$3:$D$3001,$A297,原始经营数据!$E$3:$E$3001,"",原始经营数据!$F$3:$F$3001,$C297,原始经营数据!$H$3:$H$3001,$D297,原始经营数据!$K$3:$K$3001,$G297)&gt;1,"基金整体·来源"&amp;原始经营数据!$A298,"基金整体")))</f>
        <v>华威西营里农产品交易中心</v>
      </c>
      <c r="J297" t="str">
        <f t="shared" si="63"/>
        <v>年度</v>
      </c>
      <c r="K297" t="str">
        <f t="shared" si="64"/>
        <v>期初已出租面积（平方米）</v>
      </c>
      <c r="L297" t="str">
        <f t="shared" si="65"/>
        <v>华威西营里农产品交易中心|期初已出租面积（平方米）|年度</v>
      </c>
      <c r="M297">
        <f>IF($A297="",0,IF(COUNTIF($L$2:$L297,$L297)=1,1,0))</f>
        <v>0</v>
      </c>
      <c r="N297">
        <f t="shared" si="66"/>
        <v>20230</v>
      </c>
      <c r="O297" t="str">
        <f t="shared" si="67"/>
        <v>易方达华威农贸市场封闭式基础设施证券投资基金|2023|年度</v>
      </c>
      <c r="P297">
        <f>IF($A297="",0,IF(COUNTIF($O$2:$O297,$O297)=1,1,0))</f>
        <v>0</v>
      </c>
      <c r="Q297" t="str">
        <f>IF(AND($P297=1,$A297=经营数据!$B$3,$J297=经营数据!$BA$5),COUNTIFS($P$2:$P$3000,1,$A$2:$A$3000,$A297,$J$2:$J$3000,$J297,$N$2:$N$3000,"&lt;"&amp;$N297)+1,"")</f>
        <v/>
      </c>
      <c r="R297" t="str">
        <f t="shared" si="68"/>
        <v>易方达华威农贸市场封闭式基础设施证券投资基金|华威西营里农产品交易中心</v>
      </c>
      <c r="S297">
        <f>IF($A297="",0,IF(COUNTIF($R$2:$R297,$R297)=1,1,0))</f>
        <v>0</v>
      </c>
      <c r="T297">
        <f t="shared" si="69"/>
        <v>204</v>
      </c>
      <c r="U297" t="str">
        <f>IF($A297="","",IF($A297=经营数据!$B$3,COUNTIFS($S$2:$S$3000,1,$A$2:$A$3000,$A297,$T$2:$T$3000,"&lt;"&amp;$T297)+1,""))</f>
        <v/>
      </c>
      <c r="V297" t="str">
        <f t="shared" si="70"/>
        <v>华威西营里农产品交易中心|服务量</v>
      </c>
      <c r="W297">
        <f t="shared" si="71"/>
        <v>221</v>
      </c>
      <c r="X297" t="str">
        <f t="shared" si="72"/>
        <v>华威西营里农产品交易中心|期初已出租面积</v>
      </c>
      <c r="Y297">
        <f t="shared" si="73"/>
        <v>221</v>
      </c>
      <c r="Z297">
        <f>IF($A297="",0,IF(AND($M297=1,$A297=经营数据!$B$3,$J297=经营数据!$BA$5,OR($I297=经营数据!$BA$4,COUNTIF(经营数据!$AA$9:$AA$38,$I297)&gt;0)),1,0))</f>
        <v>0</v>
      </c>
      <c r="AA297" t="str">
        <f t="shared" si="74"/>
        <v/>
      </c>
      <c r="AB297" t="str">
        <f t="shared" si="75"/>
        <v/>
      </c>
      <c r="AC297">
        <f>IF($A297="",0,IF(COUNTIF($A$2:$A297,$A297)=1,1,0))</f>
        <v>0</v>
      </c>
      <c r="AD297">
        <f t="shared" si="76"/>
        <v>4</v>
      </c>
      <c r="AE297" t="str">
        <f t="shared" si="77"/>
        <v>华威西营里农产品交易中心|期初已出租面积（平方米）</v>
      </c>
      <c r="BP297" s="47">
        <v>45811</v>
      </c>
      <c r="BQ297" s="29">
        <v>3.683119938029443E-2</v>
      </c>
    </row>
    <row r="298" spans="1:69" x14ac:dyDescent="0.4">
      <c r="A298" t="str">
        <f>IF(原始经营数据!$D299="","",原始经营数据!$D299)</f>
        <v>易方达华威农贸市场封闭式基础设施证券投资基金</v>
      </c>
      <c r="B298" t="str">
        <f>IF(原始经营数据!$D299="","",T(原始经营数据!$E299))</f>
        <v>华威西营里农产品交易中心</v>
      </c>
      <c r="C298" t="str">
        <f>IF(原始经营数据!$D299="","",原始经营数据!$F299)</f>
        <v>2023</v>
      </c>
      <c r="D298" t="str">
        <f>IF(原始经营数据!$D299="","",原始经营数据!$H299)</f>
        <v>各经营业态出租率表</v>
      </c>
      <c r="E298">
        <f>IF(原始经营数据!$D299="","",原始经营数据!$I299)</f>
        <v>56</v>
      </c>
      <c r="F298" t="str">
        <f>IF(原始经营数据!$D299="","",T(原始经营数据!$J299))</f>
        <v>%</v>
      </c>
      <c r="G298" t="str">
        <f>IF(原始经营数据!$D299="","",T(原始经营数据!$K299))</f>
        <v>仓库</v>
      </c>
      <c r="H298" t="str">
        <f>IF(原始经营数据!$D299="","",原始经营数据!$G299)</f>
        <v>服务效率</v>
      </c>
      <c r="I298" t="str">
        <f>IF($A298="","",IF($B298&lt;&gt;"",$B298,IF(COUNTIFS(原始经营数据!$D$3:$D$3001,$A298,原始经营数据!$E$3:$E$3001,"",原始经营数据!$F$3:$F$3001,$C298,原始经营数据!$H$3:$H$3001,$D298,原始经营数据!$K$3:$K$3001,$G298)&gt;1,"基金整体·来源"&amp;原始经营数据!$A299,"基金整体")))</f>
        <v>华威西营里农产品交易中心</v>
      </c>
      <c r="J298" t="str">
        <f t="shared" si="63"/>
        <v>年度</v>
      </c>
      <c r="K298" t="str">
        <f t="shared" si="64"/>
        <v>各经营业态出租率表-仓库（%）</v>
      </c>
      <c r="L298" t="str">
        <f t="shared" si="65"/>
        <v>华威西营里农产品交易中心|各经营业态出租率表-仓库（%）|年度</v>
      </c>
      <c r="M298">
        <f>IF($A298="",0,IF(COUNTIF($L$2:$L298,$L298)=1,1,0))</f>
        <v>0</v>
      </c>
      <c r="N298">
        <f t="shared" si="66"/>
        <v>20230</v>
      </c>
      <c r="O298" t="str">
        <f t="shared" si="67"/>
        <v>易方达华威农贸市场封闭式基础设施证券投资基金|2023|年度</v>
      </c>
      <c r="P298">
        <f>IF($A298="",0,IF(COUNTIF($O$2:$O298,$O298)=1,1,0))</f>
        <v>0</v>
      </c>
      <c r="Q298" t="str">
        <f>IF(AND($P298=1,$A298=经营数据!$B$3,$J298=经营数据!$BA$5),COUNTIFS($P$2:$P$3000,1,$A$2:$A$3000,$A298,$J$2:$J$3000,$J298,$N$2:$N$3000,"&lt;"&amp;$N298)+1,"")</f>
        <v/>
      </c>
      <c r="R298" t="str">
        <f t="shared" si="68"/>
        <v>易方达华威农贸市场封闭式基础设施证券投资基金|华威西营里农产品交易中心</v>
      </c>
      <c r="S298">
        <f>IF($A298="",0,IF(COUNTIF($R$2:$R298,$R298)=1,1,0))</f>
        <v>0</v>
      </c>
      <c r="T298">
        <f t="shared" si="69"/>
        <v>204</v>
      </c>
      <c r="U298" t="str">
        <f>IF($A298="","",IF($A298=经营数据!$B$3,COUNTIFS($S$2:$S$3000,1,$A$2:$A$3000,$A298,$T$2:$T$3000,"&lt;"&amp;$T298)+1,""))</f>
        <v/>
      </c>
      <c r="V298" t="str">
        <f t="shared" si="70"/>
        <v>华威西营里农产品交易中心|服务效率</v>
      </c>
      <c r="W298">
        <f t="shared" si="71"/>
        <v>205</v>
      </c>
      <c r="X298" t="str">
        <f t="shared" si="72"/>
        <v>华威西营里农产品交易中心|各经营业态出租率表</v>
      </c>
      <c r="Y298">
        <f t="shared" si="73"/>
        <v>205</v>
      </c>
      <c r="Z298">
        <f>IF($A298="",0,IF(AND($M298=1,$A298=经营数据!$B$3,$J298=经营数据!$BA$5,OR($I298=经营数据!$BA$4,COUNTIF(经营数据!$AA$9:$AA$38,$I298)&gt;0)),1,0))</f>
        <v>0</v>
      </c>
      <c r="AA298" t="str">
        <f t="shared" si="74"/>
        <v/>
      </c>
      <c r="AB298" t="str">
        <f t="shared" si="75"/>
        <v/>
      </c>
      <c r="AC298">
        <f>IF($A298="",0,IF(COUNTIF($A$2:$A298,$A298)=1,1,0))</f>
        <v>0</v>
      </c>
      <c r="AD298">
        <f t="shared" si="76"/>
        <v>4</v>
      </c>
      <c r="AE298" t="str">
        <f t="shared" si="77"/>
        <v>华威西营里农产品交易中心|各经营业态出租率表-仓库（%）</v>
      </c>
      <c r="BP298" s="47">
        <v>45812</v>
      </c>
      <c r="BQ298" s="29">
        <v>3.6786599339007353E-2</v>
      </c>
    </row>
    <row r="299" spans="1:69" x14ac:dyDescent="0.4">
      <c r="A299" t="str">
        <f>IF(原始经营数据!$D300="","",原始经营数据!$D300)</f>
        <v>易方达华威农贸市场封闭式基础设施证券投资基金</v>
      </c>
      <c r="B299" t="str">
        <f>IF(原始经营数据!$D300="","",T(原始经营数据!$E300))</f>
        <v>华威西营里农产品交易中心</v>
      </c>
      <c r="C299" t="str">
        <f>IF(原始经营数据!$D300="","",原始经营数据!$F300)</f>
        <v>2023</v>
      </c>
      <c r="D299" t="str">
        <f>IF(原始经营数据!$D300="","",原始经营数据!$H300)</f>
        <v>续租租约的租赁面积</v>
      </c>
      <c r="E299">
        <f>IF(原始经营数据!$D300="","",原始经营数据!$I300)</f>
        <v>2410</v>
      </c>
      <c r="F299" t="str">
        <f>IF(原始经营数据!$D300="","",T(原始经营数据!$J300))</f>
        <v>平方米</v>
      </c>
      <c r="G299" t="str">
        <f>IF(原始经营数据!$D300="","",T(原始经营数据!$K300))</f>
        <v/>
      </c>
      <c r="H299" t="str">
        <f>IF(原始经营数据!$D300="","",原始经营数据!$G300)</f>
        <v>服务量</v>
      </c>
      <c r="I299" t="str">
        <f>IF($A299="","",IF($B299&lt;&gt;"",$B299,IF(COUNTIFS(原始经营数据!$D$3:$D$3001,$A299,原始经营数据!$E$3:$E$3001,"",原始经营数据!$F$3:$F$3001,$C299,原始经营数据!$H$3:$H$3001,$D299,原始经营数据!$K$3:$K$3001,$G299)&gt;1,"基金整体·来源"&amp;原始经营数据!$A300,"基金整体")))</f>
        <v>华威西营里农产品交易中心</v>
      </c>
      <c r="J299" t="str">
        <f t="shared" si="63"/>
        <v>年度</v>
      </c>
      <c r="K299" t="str">
        <f t="shared" si="64"/>
        <v>续租租约的租赁面积（平方米）</v>
      </c>
      <c r="L299" t="str">
        <f t="shared" si="65"/>
        <v>华威西营里农产品交易中心|续租租约的租赁面积（平方米）|年度</v>
      </c>
      <c r="M299">
        <f>IF($A299="",0,IF(COUNTIF($L$2:$L299,$L299)=1,1,0))</f>
        <v>0</v>
      </c>
      <c r="N299">
        <f t="shared" si="66"/>
        <v>20230</v>
      </c>
      <c r="O299" t="str">
        <f t="shared" si="67"/>
        <v>易方达华威农贸市场封闭式基础设施证券投资基金|2023|年度</v>
      </c>
      <c r="P299">
        <f>IF($A299="",0,IF(COUNTIF($O$2:$O299,$O299)=1,1,0))</f>
        <v>0</v>
      </c>
      <c r="Q299" t="str">
        <f>IF(AND($P299=1,$A299=经营数据!$B$3,$J299=经营数据!$BA$5),COUNTIFS($P$2:$P$3000,1,$A$2:$A$3000,$A299,$J$2:$J$3000,$J299,$N$2:$N$3000,"&lt;"&amp;$N299)+1,"")</f>
        <v/>
      </c>
      <c r="R299" t="str">
        <f t="shared" si="68"/>
        <v>易方达华威农贸市场封闭式基础设施证券投资基金|华威西营里农产品交易中心</v>
      </c>
      <c r="S299">
        <f>IF($A299="",0,IF(COUNTIF($R$2:$R299,$R299)=1,1,0))</f>
        <v>0</v>
      </c>
      <c r="T299">
        <f t="shared" si="69"/>
        <v>204</v>
      </c>
      <c r="U299" t="str">
        <f>IF($A299="","",IF($A299=经营数据!$B$3,COUNTIFS($S$2:$S$3000,1,$A$2:$A$3000,$A299,$T$2:$T$3000,"&lt;"&amp;$T299)+1,""))</f>
        <v/>
      </c>
      <c r="V299" t="str">
        <f t="shared" si="70"/>
        <v>华威西营里农产品交易中心|服务量</v>
      </c>
      <c r="W299">
        <f t="shared" si="71"/>
        <v>221</v>
      </c>
      <c r="X299" t="str">
        <f t="shared" si="72"/>
        <v>华威西营里农产品交易中心|续租租约的租赁面积</v>
      </c>
      <c r="Y299">
        <f t="shared" si="73"/>
        <v>224</v>
      </c>
      <c r="Z299">
        <f>IF($A299="",0,IF(AND($M299=1,$A299=经营数据!$B$3,$J299=经营数据!$BA$5,OR($I299=经营数据!$BA$4,COUNTIF(经营数据!$AA$9:$AA$38,$I299)&gt;0)),1,0))</f>
        <v>0</v>
      </c>
      <c r="AA299" t="str">
        <f t="shared" si="74"/>
        <v/>
      </c>
      <c r="AB299" t="str">
        <f t="shared" si="75"/>
        <v/>
      </c>
      <c r="AC299">
        <f>IF($A299="",0,IF(COUNTIF($A$2:$A299,$A299)=1,1,0))</f>
        <v>0</v>
      </c>
      <c r="AD299">
        <f t="shared" si="76"/>
        <v>4</v>
      </c>
      <c r="AE299" t="str">
        <f t="shared" si="77"/>
        <v>华威西营里农产品交易中心|续租租约的租赁面积（平方米）</v>
      </c>
      <c r="BP299" s="47">
        <v>45813</v>
      </c>
      <c r="BQ299" s="29">
        <v>3.6575017903851127E-2</v>
      </c>
    </row>
    <row r="300" spans="1:69" x14ac:dyDescent="0.4">
      <c r="A300" t="str">
        <f>IF(原始经营数据!$D301="","",原始经营数据!$D301)</f>
        <v>易方达华威农贸市场封闭式基础设施证券投资基金</v>
      </c>
      <c r="B300" t="str">
        <f>IF(原始经营数据!$D301="","",T(原始经营数据!$E301))</f>
        <v>华威西营里农产品交易中心</v>
      </c>
      <c r="C300" t="str">
        <f>IF(原始经营数据!$D301="","",原始经营数据!$F301)</f>
        <v>2023</v>
      </c>
      <c r="D300" t="str">
        <f>IF(原始经营数据!$D301="","",原始经营数据!$H301)</f>
        <v>到期租约的租赁面积</v>
      </c>
      <c r="E300">
        <f>IF(原始经营数据!$D301="","",原始经营数据!$I301)</f>
        <v>2665.45</v>
      </c>
      <c r="F300" t="str">
        <f>IF(原始经营数据!$D301="","",T(原始经营数据!$J301))</f>
        <v>平方米</v>
      </c>
      <c r="G300" t="str">
        <f>IF(原始经营数据!$D301="","",T(原始经营数据!$K301))</f>
        <v/>
      </c>
      <c r="H300" t="str">
        <f>IF(原始经营数据!$D301="","",原始经营数据!$G301)</f>
        <v>服务量</v>
      </c>
      <c r="I300" t="str">
        <f>IF($A300="","",IF($B300&lt;&gt;"",$B300,IF(COUNTIFS(原始经营数据!$D$3:$D$3001,$A300,原始经营数据!$E$3:$E$3001,"",原始经营数据!$F$3:$F$3001,$C300,原始经营数据!$H$3:$H$3001,$D300,原始经营数据!$K$3:$K$3001,$G300)&gt;1,"基金整体·来源"&amp;原始经营数据!$A301,"基金整体")))</f>
        <v>华威西营里农产品交易中心</v>
      </c>
      <c r="J300" t="str">
        <f t="shared" si="63"/>
        <v>年度</v>
      </c>
      <c r="K300" t="str">
        <f t="shared" si="64"/>
        <v>到期租约的租赁面积（平方米）</v>
      </c>
      <c r="L300" t="str">
        <f t="shared" si="65"/>
        <v>华威西营里农产品交易中心|到期租约的租赁面积（平方米）|年度</v>
      </c>
      <c r="M300">
        <f>IF($A300="",0,IF(COUNTIF($L$2:$L300,$L300)=1,1,0))</f>
        <v>0</v>
      </c>
      <c r="N300">
        <f t="shared" si="66"/>
        <v>20230</v>
      </c>
      <c r="O300" t="str">
        <f t="shared" si="67"/>
        <v>易方达华威农贸市场封闭式基础设施证券投资基金|2023|年度</v>
      </c>
      <c r="P300">
        <f>IF($A300="",0,IF(COUNTIF($O$2:$O300,$O300)=1,1,0))</f>
        <v>0</v>
      </c>
      <c r="Q300" t="str">
        <f>IF(AND($P300=1,$A300=经营数据!$B$3,$J300=经营数据!$BA$5),COUNTIFS($P$2:$P$3000,1,$A$2:$A$3000,$A300,$J$2:$J$3000,$J300,$N$2:$N$3000,"&lt;"&amp;$N300)+1,"")</f>
        <v/>
      </c>
      <c r="R300" t="str">
        <f t="shared" si="68"/>
        <v>易方达华威农贸市场封闭式基础设施证券投资基金|华威西营里农产品交易中心</v>
      </c>
      <c r="S300">
        <f>IF($A300="",0,IF(COUNTIF($R$2:$R300,$R300)=1,1,0))</f>
        <v>0</v>
      </c>
      <c r="T300">
        <f t="shared" si="69"/>
        <v>204</v>
      </c>
      <c r="U300" t="str">
        <f>IF($A300="","",IF($A300=经营数据!$B$3,COUNTIFS($S$2:$S$3000,1,$A$2:$A$3000,$A300,$T$2:$T$3000,"&lt;"&amp;$T300)+1,""))</f>
        <v/>
      </c>
      <c r="V300" t="str">
        <f t="shared" si="70"/>
        <v>华威西营里农产品交易中心|服务量</v>
      </c>
      <c r="W300">
        <f t="shared" si="71"/>
        <v>221</v>
      </c>
      <c r="X300" t="str">
        <f t="shared" si="72"/>
        <v>华威西营里农产品交易中心|到期租约的租赁面积</v>
      </c>
      <c r="Y300">
        <f t="shared" si="73"/>
        <v>225</v>
      </c>
      <c r="Z300">
        <f>IF($A300="",0,IF(AND($M300=1,$A300=经营数据!$B$3,$J300=经营数据!$BA$5,OR($I300=经营数据!$BA$4,COUNTIF(经营数据!$AA$9:$AA$38,$I300)&gt;0)),1,0))</f>
        <v>0</v>
      </c>
      <c r="AA300" t="str">
        <f t="shared" si="74"/>
        <v/>
      </c>
      <c r="AB300" t="str">
        <f t="shared" si="75"/>
        <v/>
      </c>
      <c r="AC300">
        <f>IF($A300="",0,IF(COUNTIF($A$2:$A300,$A300)=1,1,0))</f>
        <v>0</v>
      </c>
      <c r="AD300">
        <f t="shared" si="76"/>
        <v>4</v>
      </c>
      <c r="AE300" t="str">
        <f t="shared" si="77"/>
        <v>华威西营里农产品交易中心|到期租约的租赁面积（平方米）</v>
      </c>
      <c r="BP300" s="47">
        <v>45814</v>
      </c>
      <c r="BQ300" s="29">
        <v>3.6457777890361212E-2</v>
      </c>
    </row>
    <row r="301" spans="1:69" x14ac:dyDescent="0.4">
      <c r="A301" t="str">
        <f>IF(原始经营数据!$D302="","",原始经营数据!$D302)</f>
        <v>易方达华威农贸市场封闭式基础设施证券投资基金</v>
      </c>
      <c r="B301" t="str">
        <f>IF(原始经营数据!$D302="","",T(原始经营数据!$E302))</f>
        <v>华威西营里农产品交易中心</v>
      </c>
      <c r="C301" t="str">
        <f>IF(原始经营数据!$D302="","",原始经营数据!$F302)</f>
        <v>2023</v>
      </c>
      <c r="D301" t="str">
        <f>IF(原始经营数据!$D302="","",原始经营数据!$H302)</f>
        <v>各经营业态出租率表</v>
      </c>
      <c r="E301">
        <f>IF(原始经营数据!$D302="","",原始经营数据!$I302)</f>
        <v>100</v>
      </c>
      <c r="F301" t="str">
        <f>IF(原始经营数据!$D302="","",T(原始经营数据!$J302))</f>
        <v>%</v>
      </c>
      <c r="G301" t="str">
        <f>IF(原始经营数据!$D302="","",T(原始经营数据!$K302))</f>
        <v>冷库</v>
      </c>
      <c r="H301" t="str">
        <f>IF(原始经营数据!$D302="","",原始经营数据!$G302)</f>
        <v>服务效率</v>
      </c>
      <c r="I301" t="str">
        <f>IF($A301="","",IF($B301&lt;&gt;"",$B301,IF(COUNTIFS(原始经营数据!$D$3:$D$3001,$A301,原始经营数据!$E$3:$E$3001,"",原始经营数据!$F$3:$F$3001,$C301,原始经营数据!$H$3:$H$3001,$D301,原始经营数据!$K$3:$K$3001,$G301)&gt;1,"基金整体·来源"&amp;原始经营数据!$A302,"基金整体")))</f>
        <v>华威西营里农产品交易中心</v>
      </c>
      <c r="J301" t="str">
        <f t="shared" si="63"/>
        <v>年度</v>
      </c>
      <c r="K301" t="str">
        <f t="shared" si="64"/>
        <v>各经营业态出租率表-冷库（%）</v>
      </c>
      <c r="L301" t="str">
        <f t="shared" si="65"/>
        <v>华威西营里农产品交易中心|各经营业态出租率表-冷库（%）|年度</v>
      </c>
      <c r="M301">
        <f>IF($A301="",0,IF(COUNTIF($L$2:$L301,$L301)=1,1,0))</f>
        <v>1</v>
      </c>
      <c r="N301">
        <f t="shared" si="66"/>
        <v>20230</v>
      </c>
      <c r="O301" t="str">
        <f t="shared" si="67"/>
        <v>易方达华威农贸市场封闭式基础设施证券投资基金|2023|年度</v>
      </c>
      <c r="P301">
        <f>IF($A301="",0,IF(COUNTIF($O$2:$O301,$O301)=1,1,0))</f>
        <v>0</v>
      </c>
      <c r="Q301" t="str">
        <f>IF(AND($P301=1,$A301=经营数据!$B$3,$J301=经营数据!$BA$5),COUNTIFS($P$2:$P$3000,1,$A$2:$A$3000,$A301,$J$2:$J$3000,$J301,$N$2:$N$3000,"&lt;"&amp;$N301)+1,"")</f>
        <v/>
      </c>
      <c r="R301" t="str">
        <f t="shared" si="68"/>
        <v>易方达华威农贸市场封闭式基础设施证券投资基金|华威西营里农产品交易中心</v>
      </c>
      <c r="S301">
        <f>IF($A301="",0,IF(COUNTIF($R$2:$R301,$R301)=1,1,0))</f>
        <v>0</v>
      </c>
      <c r="T301">
        <f t="shared" si="69"/>
        <v>204</v>
      </c>
      <c r="U301" t="str">
        <f>IF($A301="","",IF($A301=经营数据!$B$3,COUNTIFS($S$2:$S$3000,1,$A$2:$A$3000,$A301,$T$2:$T$3000,"&lt;"&amp;$T301)+1,""))</f>
        <v/>
      </c>
      <c r="V301" t="str">
        <f t="shared" si="70"/>
        <v>华威西营里农产品交易中心|服务效率</v>
      </c>
      <c r="W301">
        <f t="shared" si="71"/>
        <v>205</v>
      </c>
      <c r="X301" t="str">
        <f t="shared" si="72"/>
        <v>华威西营里农产品交易中心|各经营业态出租率表</v>
      </c>
      <c r="Y301">
        <f t="shared" si="73"/>
        <v>205</v>
      </c>
      <c r="Z301">
        <f>IF($A301="",0,IF(AND($M301=1,$A301=经营数据!$B$3,$J301=经营数据!$BA$5,OR($I301=经营数据!$BA$4,COUNTIF(经营数据!$AA$9:$AA$38,$I301)&gt;0)),1,0))</f>
        <v>0</v>
      </c>
      <c r="AA301" t="str">
        <f t="shared" si="74"/>
        <v/>
      </c>
      <c r="AB301" t="str">
        <f t="shared" si="75"/>
        <v/>
      </c>
      <c r="AC301">
        <f>IF($A301="",0,IF(COUNTIF($A$2:$A301,$A301)=1,1,0))</f>
        <v>0</v>
      </c>
      <c r="AD301">
        <f t="shared" si="76"/>
        <v>4</v>
      </c>
      <c r="AE301" t="str">
        <f t="shared" si="77"/>
        <v>华威西营里农产品交易中心|各经营业态出租率表-冷库（%）</v>
      </c>
      <c r="BP301" s="47">
        <v>45817</v>
      </c>
      <c r="BQ301" s="29">
        <v>3.6336669967153172E-2</v>
      </c>
    </row>
    <row r="302" spans="1:69" x14ac:dyDescent="0.4">
      <c r="A302" t="str">
        <f>IF(原始经营数据!$D303="","",原始经营数据!$D303)</f>
        <v>易方达华威农贸市场封闭式基础设施证券投资基金</v>
      </c>
      <c r="B302" t="str">
        <f>IF(原始经营数据!$D303="","",T(原始经营数据!$E303))</f>
        <v>华威西营里农产品交易中心</v>
      </c>
      <c r="C302" t="str">
        <f>IF(原始经营数据!$D303="","",原始经营数据!$F303)</f>
        <v>2023</v>
      </c>
      <c r="D302" t="str">
        <f>IF(原始经营数据!$D303="","",原始经营数据!$H303)</f>
        <v>各经营业态平均租金情况</v>
      </c>
      <c r="E302">
        <f>IF(原始经营数据!$D303="","",原始经营数据!$I303)</f>
        <v>233</v>
      </c>
      <c r="F302" t="str">
        <f>IF(原始经营数据!$D303="","",T(原始经营数据!$J303))</f>
        <v>元/平方米/月</v>
      </c>
      <c r="G302" t="str">
        <f>IF(原始经营数据!$D303="","",T(原始经营数据!$K303))</f>
        <v>水产品</v>
      </c>
      <c r="H302" t="str">
        <f>IF(原始经营数据!$D303="","",原始经营数据!$G303)</f>
        <v>服务价格</v>
      </c>
      <c r="I302" t="str">
        <f>IF($A302="","",IF($B302&lt;&gt;"",$B302,IF(COUNTIFS(原始经营数据!$D$3:$D$3001,$A302,原始经营数据!$E$3:$E$3001,"",原始经营数据!$F$3:$F$3001,$C302,原始经营数据!$H$3:$H$3001,$D302,原始经营数据!$K$3:$K$3001,$G302)&gt;1,"基金整体·来源"&amp;原始经营数据!$A303,"基金整体")))</f>
        <v>华威西营里农产品交易中心</v>
      </c>
      <c r="J302" t="str">
        <f t="shared" si="63"/>
        <v>年度</v>
      </c>
      <c r="K302" t="str">
        <f t="shared" si="64"/>
        <v>各经营业态平均租金情况-水产品（元/平方米/月）</v>
      </c>
      <c r="L302" t="str">
        <f t="shared" si="65"/>
        <v>华威西营里农产品交易中心|各经营业态平均租金情况-水产品（元/平方米/月）|年度</v>
      </c>
      <c r="M302">
        <f>IF($A302="",0,IF(COUNTIF($L$2:$L302,$L302)=1,1,0))</f>
        <v>0</v>
      </c>
      <c r="N302">
        <f t="shared" si="66"/>
        <v>20230</v>
      </c>
      <c r="O302" t="str">
        <f t="shared" si="67"/>
        <v>易方达华威农贸市场封闭式基础设施证券投资基金|2023|年度</v>
      </c>
      <c r="P302">
        <f>IF($A302="",0,IF(COUNTIF($O$2:$O302,$O302)=1,1,0))</f>
        <v>0</v>
      </c>
      <c r="Q302" t="str">
        <f>IF(AND($P302=1,$A302=经营数据!$B$3,$J302=经营数据!$BA$5),COUNTIFS($P$2:$P$3000,1,$A$2:$A$3000,$A302,$J$2:$J$3000,$J302,$N$2:$N$3000,"&lt;"&amp;$N302)+1,"")</f>
        <v/>
      </c>
      <c r="R302" t="str">
        <f t="shared" si="68"/>
        <v>易方达华威农贸市场封闭式基础设施证券投资基金|华威西营里农产品交易中心</v>
      </c>
      <c r="S302">
        <f>IF($A302="",0,IF(COUNTIF($R$2:$R302,$R302)=1,1,0))</f>
        <v>0</v>
      </c>
      <c r="T302">
        <f t="shared" si="69"/>
        <v>204</v>
      </c>
      <c r="U302" t="str">
        <f>IF($A302="","",IF($A302=经营数据!$B$3,COUNTIFS($S$2:$S$3000,1,$A$2:$A$3000,$A302,$T$2:$T$3000,"&lt;"&amp;$T302)+1,""))</f>
        <v/>
      </c>
      <c r="V302" t="str">
        <f t="shared" si="70"/>
        <v>华威西营里农产品交易中心|服务价格</v>
      </c>
      <c r="W302">
        <f t="shared" si="71"/>
        <v>204</v>
      </c>
      <c r="X302" t="str">
        <f t="shared" si="72"/>
        <v>华威西营里农产品交易中心|各经营业态平均租金情况</v>
      </c>
      <c r="Y302">
        <f t="shared" si="73"/>
        <v>204</v>
      </c>
      <c r="Z302">
        <f>IF($A302="",0,IF(AND($M302=1,$A302=经营数据!$B$3,$J302=经营数据!$BA$5,OR($I302=经营数据!$BA$4,COUNTIF(经营数据!$AA$9:$AA$38,$I302)&gt;0)),1,0))</f>
        <v>0</v>
      </c>
      <c r="AA302" t="str">
        <f t="shared" si="74"/>
        <v/>
      </c>
      <c r="AB302" t="str">
        <f t="shared" si="75"/>
        <v/>
      </c>
      <c r="AC302">
        <f>IF($A302="",0,IF(COUNTIF($A$2:$A302,$A302)=1,1,0))</f>
        <v>0</v>
      </c>
      <c r="AD302">
        <f t="shared" si="76"/>
        <v>4</v>
      </c>
      <c r="AE302" t="str">
        <f t="shared" si="77"/>
        <v>华威西营里农产品交易中心|各经营业态平均租金情况-水产品（元/平方米/月）</v>
      </c>
      <c r="BP302" s="47">
        <v>45818</v>
      </c>
      <c r="BQ302" s="29">
        <v>3.624087663020803E-2</v>
      </c>
    </row>
    <row r="303" spans="1:69" x14ac:dyDescent="0.4">
      <c r="A303" t="str">
        <f>IF(原始经营数据!$D304="","",原始经营数据!$D304)</f>
        <v>易方达华威农贸市场封闭式基础设施证券投资基金</v>
      </c>
      <c r="B303" t="str">
        <f>IF(原始经营数据!$D304="","",T(原始经营数据!$E304))</f>
        <v>华威西营里农产品交易中心</v>
      </c>
      <c r="C303" t="str">
        <f>IF(原始经营数据!$D304="","",原始经营数据!$F304)</f>
        <v>2024H1</v>
      </c>
      <c r="D303" t="str">
        <f>IF(原始经营数据!$D304="","",原始经营数据!$H304)</f>
        <v>到期租约的租赁面积</v>
      </c>
      <c r="E303">
        <f>IF(原始经营数据!$D304="","",原始经营数据!$I304)</f>
        <v>263</v>
      </c>
      <c r="F303" t="str">
        <f>IF(原始经营数据!$D304="","",T(原始经营数据!$J304))</f>
        <v>平方米</v>
      </c>
      <c r="G303" t="str">
        <f>IF(原始经营数据!$D304="","",T(原始经营数据!$K304))</f>
        <v/>
      </c>
      <c r="H303" t="str">
        <f>IF(原始经营数据!$D304="","",原始经营数据!$G304)</f>
        <v>服务量</v>
      </c>
      <c r="I303" t="str">
        <f>IF($A303="","",IF($B303&lt;&gt;"",$B303,IF(COUNTIFS(原始经营数据!$D$3:$D$3001,$A303,原始经营数据!$E$3:$E$3001,"",原始经营数据!$F$3:$F$3001,$C303,原始经营数据!$H$3:$H$3001,$D303,原始经营数据!$K$3:$K$3001,$G303)&gt;1,"基金整体·来源"&amp;原始经营数据!$A304,"基金整体")))</f>
        <v>华威西营里农产品交易中心</v>
      </c>
      <c r="J303" t="str">
        <f t="shared" si="63"/>
        <v>其他期间</v>
      </c>
      <c r="K303" t="str">
        <f t="shared" si="64"/>
        <v>到期租约的租赁面积（平方米）</v>
      </c>
      <c r="L303" t="str">
        <f t="shared" si="65"/>
        <v>华威西营里农产品交易中心|到期租约的租赁面积（平方米）|其他期间</v>
      </c>
      <c r="M303">
        <f>IF($A303="",0,IF(COUNTIF($L$2:$L303,$L303)=1,1,0))</f>
        <v>1</v>
      </c>
      <c r="N303">
        <f t="shared" si="66"/>
        <v>20249</v>
      </c>
      <c r="O303" t="str">
        <f t="shared" si="67"/>
        <v>易方达华威农贸市场封闭式基础设施证券投资基金|2024H1|其他期间</v>
      </c>
      <c r="P303">
        <f>IF($A303="",0,IF(COUNTIF($O$2:$O303,$O303)=1,1,0))</f>
        <v>1</v>
      </c>
      <c r="Q303" t="str">
        <f>IF(AND($P303=1,$A303=经营数据!$B$3,$J303=经营数据!$BA$5),COUNTIFS($P$2:$P$3000,1,$A$2:$A$3000,$A303,$J$2:$J$3000,$J303,$N$2:$N$3000,"&lt;"&amp;$N303)+1,"")</f>
        <v/>
      </c>
      <c r="R303" t="str">
        <f t="shared" si="68"/>
        <v>易方达华威农贸市场封闭式基础设施证券投资基金|华威西营里农产品交易中心</v>
      </c>
      <c r="S303">
        <f>IF($A303="",0,IF(COUNTIF($R$2:$R303,$R303)=1,1,0))</f>
        <v>0</v>
      </c>
      <c r="T303">
        <f t="shared" si="69"/>
        <v>204</v>
      </c>
      <c r="U303" t="str">
        <f>IF($A303="","",IF($A303=经营数据!$B$3,COUNTIFS($S$2:$S$3000,1,$A$2:$A$3000,$A303,$T$2:$T$3000,"&lt;"&amp;$T303)+1,""))</f>
        <v/>
      </c>
      <c r="V303" t="str">
        <f t="shared" si="70"/>
        <v>华威西营里农产品交易中心|服务量</v>
      </c>
      <c r="W303">
        <f t="shared" si="71"/>
        <v>221</v>
      </c>
      <c r="X303" t="str">
        <f t="shared" si="72"/>
        <v>华威西营里农产品交易中心|到期租约的租赁面积</v>
      </c>
      <c r="Y303">
        <f t="shared" si="73"/>
        <v>225</v>
      </c>
      <c r="Z303">
        <f>IF($A303="",0,IF(AND($M303=1,$A303=经营数据!$B$3,$J303=经营数据!$BA$5,OR($I303=经营数据!$BA$4,COUNTIF(经营数据!$AA$9:$AA$38,$I303)&gt;0)),1,0))</f>
        <v>0</v>
      </c>
      <c r="AA303" t="str">
        <f t="shared" si="74"/>
        <v/>
      </c>
      <c r="AB303" t="str">
        <f t="shared" si="75"/>
        <v/>
      </c>
      <c r="AC303">
        <f>IF($A303="",0,IF(COUNTIF($A$2:$A303,$A303)=1,1,0))</f>
        <v>0</v>
      </c>
      <c r="AD303">
        <f t="shared" si="76"/>
        <v>4</v>
      </c>
      <c r="AE303" t="str">
        <f t="shared" si="77"/>
        <v>华威西营里农产品交易中心|到期租约的租赁面积（平方米）</v>
      </c>
      <c r="BP303" s="47">
        <v>45819</v>
      </c>
      <c r="BQ303" s="29">
        <v>3.6169669232264043E-2</v>
      </c>
    </row>
    <row r="304" spans="1:69" x14ac:dyDescent="0.4">
      <c r="A304" t="str">
        <f>IF(原始经营数据!$D305="","",原始经营数据!$D305)</f>
        <v>易方达华威农贸市场封闭式基础设施证券投资基金</v>
      </c>
      <c r="B304" t="str">
        <f>IF(原始经营数据!$D305="","",T(原始经营数据!$E305))</f>
        <v>华威西营里农产品交易中心</v>
      </c>
      <c r="C304" t="str">
        <f>IF(原始经营数据!$D305="","",原始经营数据!$F305)</f>
        <v>2024H1</v>
      </c>
      <c r="D304" t="str">
        <f>IF(原始经营数据!$D305="","",原始经营数据!$H305)</f>
        <v>各经营业态出租率表</v>
      </c>
      <c r="E304">
        <f>IF(原始经营数据!$D305="","",原始经营数据!$I305)</f>
        <v>100</v>
      </c>
      <c r="F304" t="str">
        <f>IF(原始经营数据!$D305="","",T(原始经营数据!$J305))</f>
        <v>%</v>
      </c>
      <c r="G304" t="str">
        <f>IF(原始经营数据!$D305="","",T(原始经营数据!$K305))</f>
        <v>冷库</v>
      </c>
      <c r="H304" t="str">
        <f>IF(原始经营数据!$D305="","",原始经营数据!$G305)</f>
        <v>服务效率</v>
      </c>
      <c r="I304" t="str">
        <f>IF($A304="","",IF($B304&lt;&gt;"",$B304,IF(COUNTIFS(原始经营数据!$D$3:$D$3001,$A304,原始经营数据!$E$3:$E$3001,"",原始经营数据!$F$3:$F$3001,$C304,原始经营数据!$H$3:$H$3001,$D304,原始经营数据!$K$3:$K$3001,$G304)&gt;1,"基金整体·来源"&amp;原始经营数据!$A305,"基金整体")))</f>
        <v>华威西营里农产品交易中心</v>
      </c>
      <c r="J304" t="str">
        <f t="shared" si="63"/>
        <v>其他期间</v>
      </c>
      <c r="K304" t="str">
        <f t="shared" si="64"/>
        <v>各经营业态出租率表-冷库（%）</v>
      </c>
      <c r="L304" t="str">
        <f t="shared" si="65"/>
        <v>华威西营里农产品交易中心|各经营业态出租率表-冷库（%）|其他期间</v>
      </c>
      <c r="M304">
        <f>IF($A304="",0,IF(COUNTIF($L$2:$L304,$L304)=1,1,0))</f>
        <v>1</v>
      </c>
      <c r="N304">
        <f t="shared" si="66"/>
        <v>20249</v>
      </c>
      <c r="O304" t="str">
        <f t="shared" si="67"/>
        <v>易方达华威农贸市场封闭式基础设施证券投资基金|2024H1|其他期间</v>
      </c>
      <c r="P304">
        <f>IF($A304="",0,IF(COUNTIF($O$2:$O304,$O304)=1,1,0))</f>
        <v>0</v>
      </c>
      <c r="Q304" t="str">
        <f>IF(AND($P304=1,$A304=经营数据!$B$3,$J304=经营数据!$BA$5),COUNTIFS($P$2:$P$3000,1,$A$2:$A$3000,$A304,$J$2:$J$3000,$J304,$N$2:$N$3000,"&lt;"&amp;$N304)+1,"")</f>
        <v/>
      </c>
      <c r="R304" t="str">
        <f t="shared" si="68"/>
        <v>易方达华威农贸市场封闭式基础设施证券投资基金|华威西营里农产品交易中心</v>
      </c>
      <c r="S304">
        <f>IF($A304="",0,IF(COUNTIF($R$2:$R304,$R304)=1,1,0))</f>
        <v>0</v>
      </c>
      <c r="T304">
        <f t="shared" si="69"/>
        <v>204</v>
      </c>
      <c r="U304" t="str">
        <f>IF($A304="","",IF($A304=经营数据!$B$3,COUNTIFS($S$2:$S$3000,1,$A$2:$A$3000,$A304,$T$2:$T$3000,"&lt;"&amp;$T304)+1,""))</f>
        <v/>
      </c>
      <c r="V304" t="str">
        <f t="shared" si="70"/>
        <v>华威西营里农产品交易中心|服务效率</v>
      </c>
      <c r="W304">
        <f t="shared" si="71"/>
        <v>205</v>
      </c>
      <c r="X304" t="str">
        <f t="shared" si="72"/>
        <v>华威西营里农产品交易中心|各经营业态出租率表</v>
      </c>
      <c r="Y304">
        <f t="shared" si="73"/>
        <v>205</v>
      </c>
      <c r="Z304">
        <f>IF($A304="",0,IF(AND($M304=1,$A304=经营数据!$B$3,$J304=经营数据!$BA$5,OR($I304=经营数据!$BA$4,COUNTIF(经营数据!$AA$9:$AA$38,$I304)&gt;0)),1,0))</f>
        <v>0</v>
      </c>
      <c r="AA304" t="str">
        <f t="shared" si="74"/>
        <v/>
      </c>
      <c r="AB304" t="str">
        <f t="shared" si="75"/>
        <v/>
      </c>
      <c r="AC304">
        <f>IF($A304="",0,IF(COUNTIF($A$2:$A304,$A304)=1,1,0))</f>
        <v>0</v>
      </c>
      <c r="AD304">
        <f t="shared" si="76"/>
        <v>4</v>
      </c>
      <c r="AE304" t="str">
        <f t="shared" si="77"/>
        <v>华威西营里农产品交易中心|各经营业态出租率表-冷库（%）</v>
      </c>
      <c r="BP304" s="47">
        <v>45820</v>
      </c>
      <c r="BQ304" s="29">
        <v>3.6091963524244527E-2</v>
      </c>
    </row>
    <row r="305" spans="1:69" x14ac:dyDescent="0.4">
      <c r="A305" t="str">
        <f>IF(原始经营数据!$D306="","",原始经营数据!$D306)</f>
        <v>易方达华威农贸市场封闭式基础设施证券投资基金</v>
      </c>
      <c r="B305" t="str">
        <f>IF(原始经营数据!$D306="","",T(原始经营数据!$E306))</f>
        <v>华威西营里农产品交易中心</v>
      </c>
      <c r="C305" t="str">
        <f>IF(原始经营数据!$D306="","",原始经营数据!$F306)</f>
        <v>2024H1</v>
      </c>
      <c r="D305" t="str">
        <f>IF(原始经营数据!$D306="","",原始经营数据!$H306)</f>
        <v>各经营业态出租率表</v>
      </c>
      <c r="E305">
        <f>IF(原始经营数据!$D306="","",原始经营数据!$I306)</f>
        <v>63</v>
      </c>
      <c r="F305" t="str">
        <f>IF(原始经营数据!$D306="","",T(原始经营数据!$J306))</f>
        <v>%</v>
      </c>
      <c r="G305" t="str">
        <f>IF(原始经营数据!$D306="","",T(原始经营数据!$K306))</f>
        <v>仓库</v>
      </c>
      <c r="H305" t="str">
        <f>IF(原始经营数据!$D306="","",原始经营数据!$G306)</f>
        <v>服务效率</v>
      </c>
      <c r="I305" t="str">
        <f>IF($A305="","",IF($B305&lt;&gt;"",$B305,IF(COUNTIFS(原始经营数据!$D$3:$D$3001,$A305,原始经营数据!$E$3:$E$3001,"",原始经营数据!$F$3:$F$3001,$C305,原始经营数据!$H$3:$H$3001,$D305,原始经营数据!$K$3:$K$3001,$G305)&gt;1,"基金整体·来源"&amp;原始经营数据!$A306,"基金整体")))</f>
        <v>华威西营里农产品交易中心</v>
      </c>
      <c r="J305" t="str">
        <f t="shared" si="63"/>
        <v>其他期间</v>
      </c>
      <c r="K305" t="str">
        <f t="shared" si="64"/>
        <v>各经营业态出租率表-仓库（%）</v>
      </c>
      <c r="L305" t="str">
        <f t="shared" si="65"/>
        <v>华威西营里农产品交易中心|各经营业态出租率表-仓库（%）|其他期间</v>
      </c>
      <c r="M305">
        <f>IF($A305="",0,IF(COUNTIF($L$2:$L305,$L305)=1,1,0))</f>
        <v>1</v>
      </c>
      <c r="N305">
        <f t="shared" si="66"/>
        <v>20249</v>
      </c>
      <c r="O305" t="str">
        <f t="shared" si="67"/>
        <v>易方达华威农贸市场封闭式基础设施证券投资基金|2024H1|其他期间</v>
      </c>
      <c r="P305">
        <f>IF($A305="",0,IF(COUNTIF($O$2:$O305,$O305)=1,1,0))</f>
        <v>0</v>
      </c>
      <c r="Q305" t="str">
        <f>IF(AND($P305=1,$A305=经营数据!$B$3,$J305=经营数据!$BA$5),COUNTIFS($P$2:$P$3000,1,$A$2:$A$3000,$A305,$J$2:$J$3000,$J305,$N$2:$N$3000,"&lt;"&amp;$N305)+1,"")</f>
        <v/>
      </c>
      <c r="R305" t="str">
        <f t="shared" si="68"/>
        <v>易方达华威农贸市场封闭式基础设施证券投资基金|华威西营里农产品交易中心</v>
      </c>
      <c r="S305">
        <f>IF($A305="",0,IF(COUNTIF($R$2:$R305,$R305)=1,1,0))</f>
        <v>0</v>
      </c>
      <c r="T305">
        <f t="shared" si="69"/>
        <v>204</v>
      </c>
      <c r="U305" t="str">
        <f>IF($A305="","",IF($A305=经营数据!$B$3,COUNTIFS($S$2:$S$3000,1,$A$2:$A$3000,$A305,$T$2:$T$3000,"&lt;"&amp;$T305)+1,""))</f>
        <v/>
      </c>
      <c r="V305" t="str">
        <f t="shared" si="70"/>
        <v>华威西营里农产品交易中心|服务效率</v>
      </c>
      <c r="W305">
        <f t="shared" si="71"/>
        <v>205</v>
      </c>
      <c r="X305" t="str">
        <f t="shared" si="72"/>
        <v>华威西营里农产品交易中心|各经营业态出租率表</v>
      </c>
      <c r="Y305">
        <f t="shared" si="73"/>
        <v>205</v>
      </c>
      <c r="Z305">
        <f>IF($A305="",0,IF(AND($M305=1,$A305=经营数据!$B$3,$J305=经营数据!$BA$5,OR($I305=经营数据!$BA$4,COUNTIF(经营数据!$AA$9:$AA$38,$I305)&gt;0)),1,0))</f>
        <v>0</v>
      </c>
      <c r="AA305" t="str">
        <f t="shared" si="74"/>
        <v/>
      </c>
      <c r="AB305" t="str">
        <f t="shared" si="75"/>
        <v/>
      </c>
      <c r="AC305">
        <f>IF($A305="",0,IF(COUNTIF($A$2:$A305,$A305)=1,1,0))</f>
        <v>0</v>
      </c>
      <c r="AD305">
        <f t="shared" si="76"/>
        <v>4</v>
      </c>
      <c r="AE305" t="str">
        <f t="shared" si="77"/>
        <v>华威西营里农产品交易中心|各经营业态出租率表-仓库（%）</v>
      </c>
      <c r="BP305" s="47">
        <v>45821</v>
      </c>
      <c r="BQ305" s="29">
        <v>3.5994029028921182E-2</v>
      </c>
    </row>
    <row r="306" spans="1:69" x14ac:dyDescent="0.4">
      <c r="A306" t="str">
        <f>IF(原始经营数据!$D307="","",原始经营数据!$D307)</f>
        <v>易方达华威农贸市场封闭式基础设施证券投资基金</v>
      </c>
      <c r="B306" t="str">
        <f>IF(原始经营数据!$D307="","",T(原始经营数据!$E307))</f>
        <v>华威西营里农产品交易中心</v>
      </c>
      <c r="C306" t="str">
        <f>IF(原始经营数据!$D307="","",原始经营数据!$F307)</f>
        <v>2024H1</v>
      </c>
      <c r="D306" t="str">
        <f>IF(原始经营数据!$D307="","",原始经营数据!$H307)</f>
        <v>可租赁面积</v>
      </c>
      <c r="E306">
        <f>IF(原始经营数据!$D307="","",原始经营数据!$I307)</f>
        <v>5617.18</v>
      </c>
      <c r="F306" t="str">
        <f>IF(原始经营数据!$D307="","",T(原始经营数据!$J307))</f>
        <v>平方米</v>
      </c>
      <c r="G306" t="str">
        <f>IF(原始经营数据!$D307="","",T(原始经营数据!$K307))</f>
        <v>2号楼1层</v>
      </c>
      <c r="H306" t="str">
        <f>IF(原始经营数据!$D307="","",原始经营数据!$G307)</f>
        <v>服务量</v>
      </c>
      <c r="I306" t="str">
        <f>IF($A306="","",IF($B306&lt;&gt;"",$B306,IF(COUNTIFS(原始经营数据!$D$3:$D$3001,$A306,原始经营数据!$E$3:$E$3001,"",原始经营数据!$F$3:$F$3001,$C306,原始经营数据!$H$3:$H$3001,$D306,原始经营数据!$K$3:$K$3001,$G306)&gt;1,"基金整体·来源"&amp;原始经营数据!$A307,"基金整体")))</f>
        <v>华威西营里农产品交易中心</v>
      </c>
      <c r="J306" t="str">
        <f t="shared" si="63"/>
        <v>其他期间</v>
      </c>
      <c r="K306" t="str">
        <f t="shared" si="64"/>
        <v>可租赁面积-2号楼1层（平方米）</v>
      </c>
      <c r="L306" t="str">
        <f t="shared" si="65"/>
        <v>华威西营里农产品交易中心|可租赁面积-2号楼1层（平方米）|其他期间</v>
      </c>
      <c r="M306">
        <f>IF($A306="",0,IF(COUNTIF($L$2:$L306,$L306)=1,1,0))</f>
        <v>1</v>
      </c>
      <c r="N306">
        <f t="shared" si="66"/>
        <v>20249</v>
      </c>
      <c r="O306" t="str">
        <f t="shared" si="67"/>
        <v>易方达华威农贸市场封闭式基础设施证券投资基金|2024H1|其他期间</v>
      </c>
      <c r="P306">
        <f>IF($A306="",0,IF(COUNTIF($O$2:$O306,$O306)=1,1,0))</f>
        <v>0</v>
      </c>
      <c r="Q306" t="str">
        <f>IF(AND($P306=1,$A306=经营数据!$B$3,$J306=经营数据!$BA$5),COUNTIFS($P$2:$P$3000,1,$A$2:$A$3000,$A306,$J$2:$J$3000,$J306,$N$2:$N$3000,"&lt;"&amp;$N306)+1,"")</f>
        <v/>
      </c>
      <c r="R306" t="str">
        <f t="shared" si="68"/>
        <v>易方达华威农贸市场封闭式基础设施证券投资基金|华威西营里农产品交易中心</v>
      </c>
      <c r="S306">
        <f>IF($A306="",0,IF(COUNTIF($R$2:$R306,$R306)=1,1,0))</f>
        <v>0</v>
      </c>
      <c r="T306">
        <f t="shared" si="69"/>
        <v>204</v>
      </c>
      <c r="U306" t="str">
        <f>IF($A306="","",IF($A306=经营数据!$B$3,COUNTIFS($S$2:$S$3000,1,$A$2:$A$3000,$A306,$T$2:$T$3000,"&lt;"&amp;$T306)+1,""))</f>
        <v/>
      </c>
      <c r="V306" t="str">
        <f t="shared" si="70"/>
        <v>华威西营里农产品交易中心|服务量</v>
      </c>
      <c r="W306">
        <f t="shared" si="71"/>
        <v>221</v>
      </c>
      <c r="X306" t="str">
        <f t="shared" si="72"/>
        <v>华威西营里农产品交易中心|可租赁面积</v>
      </c>
      <c r="Y306">
        <f t="shared" si="73"/>
        <v>305</v>
      </c>
      <c r="Z306">
        <f>IF($A306="",0,IF(AND($M306=1,$A306=经营数据!$B$3,$J306=经营数据!$BA$5,OR($I306=经营数据!$BA$4,COUNTIF(经营数据!$AA$9:$AA$38,$I306)&gt;0)),1,0))</f>
        <v>0</v>
      </c>
      <c r="AA306" t="str">
        <f t="shared" si="74"/>
        <v/>
      </c>
      <c r="AB306" t="str">
        <f t="shared" si="75"/>
        <v/>
      </c>
      <c r="AC306">
        <f>IF($A306="",0,IF(COUNTIF($A$2:$A306,$A306)=1,1,0))</f>
        <v>0</v>
      </c>
      <c r="AD306">
        <f t="shared" si="76"/>
        <v>4</v>
      </c>
      <c r="AE306" t="str">
        <f t="shared" si="77"/>
        <v>华威西营里农产品交易中心|可租赁面积-2号楼1层（平方米）</v>
      </c>
      <c r="BP306" s="47">
        <v>45824</v>
      </c>
      <c r="BQ306" s="29">
        <v>3.5986296739317233E-2</v>
      </c>
    </row>
    <row r="307" spans="1:69" x14ac:dyDescent="0.4">
      <c r="A307" t="str">
        <f>IF(原始经营数据!$D308="","",原始经营数据!$D308)</f>
        <v>易方达华威农贸市场封闭式基础设施证券投资基金</v>
      </c>
      <c r="B307" t="str">
        <f>IF(原始经营数据!$D308="","",T(原始经营数据!$E308))</f>
        <v>华威西营里农产品交易中心</v>
      </c>
      <c r="C307" t="str">
        <f>IF(原始经营数据!$D308="","",原始经营数据!$F308)</f>
        <v>2024H1</v>
      </c>
      <c r="D307" t="str">
        <f>IF(原始经营数据!$D308="","",原始经营数据!$H308)</f>
        <v>续租租约的租赁面积</v>
      </c>
      <c r="E307">
        <f>IF(原始经营数据!$D308="","",原始经营数据!$I308)</f>
        <v>263</v>
      </c>
      <c r="F307" t="str">
        <f>IF(原始经营数据!$D308="","",T(原始经营数据!$J308))</f>
        <v>平方米</v>
      </c>
      <c r="G307" t="str">
        <f>IF(原始经营数据!$D308="","",T(原始经营数据!$K308))</f>
        <v/>
      </c>
      <c r="H307" t="str">
        <f>IF(原始经营数据!$D308="","",原始经营数据!$G308)</f>
        <v>服务量</v>
      </c>
      <c r="I307" t="str">
        <f>IF($A307="","",IF($B307&lt;&gt;"",$B307,IF(COUNTIFS(原始经营数据!$D$3:$D$3001,$A307,原始经营数据!$E$3:$E$3001,"",原始经营数据!$F$3:$F$3001,$C307,原始经营数据!$H$3:$H$3001,$D307,原始经营数据!$K$3:$K$3001,$G307)&gt;1,"基金整体·来源"&amp;原始经营数据!$A308,"基金整体")))</f>
        <v>华威西营里农产品交易中心</v>
      </c>
      <c r="J307" t="str">
        <f t="shared" si="63"/>
        <v>其他期间</v>
      </c>
      <c r="K307" t="str">
        <f t="shared" si="64"/>
        <v>续租租约的租赁面积（平方米）</v>
      </c>
      <c r="L307" t="str">
        <f t="shared" si="65"/>
        <v>华威西营里农产品交易中心|续租租约的租赁面积（平方米）|其他期间</v>
      </c>
      <c r="M307">
        <f>IF($A307="",0,IF(COUNTIF($L$2:$L307,$L307)=1,1,0))</f>
        <v>1</v>
      </c>
      <c r="N307">
        <f t="shared" si="66"/>
        <v>20249</v>
      </c>
      <c r="O307" t="str">
        <f t="shared" si="67"/>
        <v>易方达华威农贸市场封闭式基础设施证券投资基金|2024H1|其他期间</v>
      </c>
      <c r="P307">
        <f>IF($A307="",0,IF(COUNTIF($O$2:$O307,$O307)=1,1,0))</f>
        <v>0</v>
      </c>
      <c r="Q307" t="str">
        <f>IF(AND($P307=1,$A307=经营数据!$B$3,$J307=经营数据!$BA$5),COUNTIFS($P$2:$P$3000,1,$A$2:$A$3000,$A307,$J$2:$J$3000,$J307,$N$2:$N$3000,"&lt;"&amp;$N307)+1,"")</f>
        <v/>
      </c>
      <c r="R307" t="str">
        <f t="shared" si="68"/>
        <v>易方达华威农贸市场封闭式基础设施证券投资基金|华威西营里农产品交易中心</v>
      </c>
      <c r="S307">
        <f>IF($A307="",0,IF(COUNTIF($R$2:$R307,$R307)=1,1,0))</f>
        <v>0</v>
      </c>
      <c r="T307">
        <f t="shared" si="69"/>
        <v>204</v>
      </c>
      <c r="U307" t="str">
        <f>IF($A307="","",IF($A307=经营数据!$B$3,COUNTIFS($S$2:$S$3000,1,$A$2:$A$3000,$A307,$T$2:$T$3000,"&lt;"&amp;$T307)+1,""))</f>
        <v/>
      </c>
      <c r="V307" t="str">
        <f t="shared" si="70"/>
        <v>华威西营里农产品交易中心|服务量</v>
      </c>
      <c r="W307">
        <f t="shared" si="71"/>
        <v>221</v>
      </c>
      <c r="X307" t="str">
        <f t="shared" si="72"/>
        <v>华威西营里农产品交易中心|续租租约的租赁面积</v>
      </c>
      <c r="Y307">
        <f t="shared" si="73"/>
        <v>224</v>
      </c>
      <c r="Z307">
        <f>IF($A307="",0,IF(AND($M307=1,$A307=经营数据!$B$3,$J307=经营数据!$BA$5,OR($I307=经营数据!$BA$4,COUNTIF(经营数据!$AA$9:$AA$38,$I307)&gt;0)),1,0))</f>
        <v>0</v>
      </c>
      <c r="AA307" t="str">
        <f t="shared" si="74"/>
        <v/>
      </c>
      <c r="AB307" t="str">
        <f t="shared" si="75"/>
        <v/>
      </c>
      <c r="AC307">
        <f>IF($A307="",0,IF(COUNTIF($A$2:$A307,$A307)=1,1,0))</f>
        <v>0</v>
      </c>
      <c r="AD307">
        <f t="shared" si="76"/>
        <v>4</v>
      </c>
      <c r="AE307" t="str">
        <f t="shared" si="77"/>
        <v>华威西营里农产品交易中心|续租租约的租赁面积（平方米）</v>
      </c>
      <c r="BP307" s="47">
        <v>45825</v>
      </c>
      <c r="BQ307" s="29">
        <v>3.6008397814538219E-2</v>
      </c>
    </row>
    <row r="308" spans="1:69" x14ac:dyDescent="0.4">
      <c r="A308" t="str">
        <f>IF(原始经营数据!$D309="","",原始经营数据!$D309)</f>
        <v>易方达华威农贸市场封闭式基础设施证券投资基金</v>
      </c>
      <c r="B308" t="str">
        <f>IF(原始经营数据!$D309="","",T(原始经营数据!$E309))</f>
        <v>华威西营里农产品交易中心</v>
      </c>
      <c r="C308" t="str">
        <f>IF(原始经营数据!$D309="","",原始经营数据!$F309)</f>
        <v>2024H1</v>
      </c>
      <c r="D308" t="str">
        <f>IF(原始经营数据!$D309="","",原始经营数据!$H309)</f>
        <v>期初已出租面积</v>
      </c>
      <c r="E308">
        <f>IF(原始经营数据!$D309="","",原始经营数据!$I309)</f>
        <v>65048</v>
      </c>
      <c r="F308" t="str">
        <f>IF(原始经营数据!$D309="","",T(原始经营数据!$J309))</f>
        <v>平方米</v>
      </c>
      <c r="G308" t="str">
        <f>IF(原始经营数据!$D309="","",T(原始经营数据!$K309))</f>
        <v/>
      </c>
      <c r="H308" t="str">
        <f>IF(原始经营数据!$D309="","",原始经营数据!$G309)</f>
        <v>服务量</v>
      </c>
      <c r="I308" t="str">
        <f>IF($A308="","",IF($B308&lt;&gt;"",$B308,IF(COUNTIFS(原始经营数据!$D$3:$D$3001,$A308,原始经营数据!$E$3:$E$3001,"",原始经营数据!$F$3:$F$3001,$C308,原始经营数据!$H$3:$H$3001,$D308,原始经营数据!$K$3:$K$3001,$G308)&gt;1,"基金整体·来源"&amp;原始经营数据!$A309,"基金整体")))</f>
        <v>华威西营里农产品交易中心</v>
      </c>
      <c r="J308" t="str">
        <f t="shared" si="63"/>
        <v>其他期间</v>
      </c>
      <c r="K308" t="str">
        <f t="shared" si="64"/>
        <v>期初已出租面积（平方米）</v>
      </c>
      <c r="L308" t="str">
        <f t="shared" si="65"/>
        <v>华威西营里农产品交易中心|期初已出租面积（平方米）|其他期间</v>
      </c>
      <c r="M308">
        <f>IF($A308="",0,IF(COUNTIF($L$2:$L308,$L308)=1,1,0))</f>
        <v>1</v>
      </c>
      <c r="N308">
        <f t="shared" si="66"/>
        <v>20249</v>
      </c>
      <c r="O308" t="str">
        <f t="shared" si="67"/>
        <v>易方达华威农贸市场封闭式基础设施证券投资基金|2024H1|其他期间</v>
      </c>
      <c r="P308">
        <f>IF($A308="",0,IF(COUNTIF($O$2:$O308,$O308)=1,1,0))</f>
        <v>0</v>
      </c>
      <c r="Q308" t="str">
        <f>IF(AND($P308=1,$A308=经营数据!$B$3,$J308=经营数据!$BA$5),COUNTIFS($P$2:$P$3000,1,$A$2:$A$3000,$A308,$J$2:$J$3000,$J308,$N$2:$N$3000,"&lt;"&amp;$N308)+1,"")</f>
        <v/>
      </c>
      <c r="R308" t="str">
        <f t="shared" si="68"/>
        <v>易方达华威农贸市场封闭式基础设施证券投资基金|华威西营里农产品交易中心</v>
      </c>
      <c r="S308">
        <f>IF($A308="",0,IF(COUNTIF($R$2:$R308,$R308)=1,1,0))</f>
        <v>0</v>
      </c>
      <c r="T308">
        <f t="shared" si="69"/>
        <v>204</v>
      </c>
      <c r="U308" t="str">
        <f>IF($A308="","",IF($A308=经营数据!$B$3,COUNTIFS($S$2:$S$3000,1,$A$2:$A$3000,$A308,$T$2:$T$3000,"&lt;"&amp;$T308)+1,""))</f>
        <v/>
      </c>
      <c r="V308" t="str">
        <f t="shared" si="70"/>
        <v>华威西营里农产品交易中心|服务量</v>
      </c>
      <c r="W308">
        <f t="shared" si="71"/>
        <v>221</v>
      </c>
      <c r="X308" t="str">
        <f t="shared" si="72"/>
        <v>华威西营里农产品交易中心|期初已出租面积</v>
      </c>
      <c r="Y308">
        <f t="shared" si="73"/>
        <v>221</v>
      </c>
      <c r="Z308">
        <f>IF($A308="",0,IF(AND($M308=1,$A308=经营数据!$B$3,$J308=经营数据!$BA$5,OR($I308=经营数据!$BA$4,COUNTIF(经营数据!$AA$9:$AA$38,$I308)&gt;0)),1,0))</f>
        <v>0</v>
      </c>
      <c r="AA308" t="str">
        <f t="shared" si="74"/>
        <v/>
      </c>
      <c r="AB308" t="str">
        <f t="shared" si="75"/>
        <v/>
      </c>
      <c r="AC308">
        <f>IF($A308="",0,IF(COUNTIF($A$2:$A308,$A308)=1,1,0))</f>
        <v>0</v>
      </c>
      <c r="AD308">
        <f t="shared" si="76"/>
        <v>4</v>
      </c>
      <c r="AE308" t="str">
        <f t="shared" si="77"/>
        <v>华威西营里农产品交易中心|期初已出租面积（平方米）</v>
      </c>
      <c r="BP308" s="47">
        <v>45826</v>
      </c>
      <c r="BQ308" s="29">
        <v>3.5929070797037728E-2</v>
      </c>
    </row>
    <row r="309" spans="1:69" x14ac:dyDescent="0.4">
      <c r="A309" t="str">
        <f>IF(原始经营数据!$D310="","",原始经营数据!$D310)</f>
        <v>易方达华威农贸市场封闭式基础设施证券投资基金</v>
      </c>
      <c r="B309" t="str">
        <f>IF(原始经营数据!$D310="","",T(原始经营数据!$E310))</f>
        <v>华威西营里农产品交易中心</v>
      </c>
      <c r="C309" t="str">
        <f>IF(原始经营数据!$D310="","",原始经营数据!$F310)</f>
        <v>2024H1</v>
      </c>
      <c r="D309" t="str">
        <f>IF(原始经营数据!$D310="","",原始经营数据!$H310)</f>
        <v>续租率</v>
      </c>
      <c r="E309">
        <f>IF(原始经营数据!$D310="","",原始经营数据!$I310)</f>
        <v>100</v>
      </c>
      <c r="F309" t="str">
        <f>IF(原始经营数据!$D310="","",T(原始经营数据!$J310))</f>
        <v>%</v>
      </c>
      <c r="G309" t="str">
        <f>IF(原始经营数据!$D310="","",T(原始经营数据!$K310))</f>
        <v/>
      </c>
      <c r="H309" t="str">
        <f>IF(原始经营数据!$D310="","",原始经营数据!$G310)</f>
        <v>服务效率</v>
      </c>
      <c r="I309" t="str">
        <f>IF($A309="","",IF($B309&lt;&gt;"",$B309,IF(COUNTIFS(原始经营数据!$D$3:$D$3001,$A309,原始经营数据!$E$3:$E$3001,"",原始经营数据!$F$3:$F$3001,$C309,原始经营数据!$H$3:$H$3001,$D309,原始经营数据!$K$3:$K$3001,$G309)&gt;1,"基金整体·来源"&amp;原始经营数据!$A310,"基金整体")))</f>
        <v>华威西营里农产品交易中心</v>
      </c>
      <c r="J309" t="str">
        <f t="shared" si="63"/>
        <v>其他期间</v>
      </c>
      <c r="K309" t="str">
        <f t="shared" si="64"/>
        <v>续租率（%）</v>
      </c>
      <c r="L309" t="str">
        <f t="shared" si="65"/>
        <v>华威西营里农产品交易中心|续租率（%）|其他期间</v>
      </c>
      <c r="M309">
        <f>IF($A309="",0,IF(COUNTIF($L$2:$L309,$L309)=1,1,0))</f>
        <v>1</v>
      </c>
      <c r="N309">
        <f t="shared" si="66"/>
        <v>20249</v>
      </c>
      <c r="O309" t="str">
        <f t="shared" si="67"/>
        <v>易方达华威农贸市场封闭式基础设施证券投资基金|2024H1|其他期间</v>
      </c>
      <c r="P309">
        <f>IF($A309="",0,IF(COUNTIF($O$2:$O309,$O309)=1,1,0))</f>
        <v>0</v>
      </c>
      <c r="Q309" t="str">
        <f>IF(AND($P309=1,$A309=经营数据!$B$3,$J309=经营数据!$BA$5),COUNTIFS($P$2:$P$3000,1,$A$2:$A$3000,$A309,$J$2:$J$3000,$J309,$N$2:$N$3000,"&lt;"&amp;$N309)+1,"")</f>
        <v/>
      </c>
      <c r="R309" t="str">
        <f t="shared" si="68"/>
        <v>易方达华威农贸市场封闭式基础设施证券投资基金|华威西营里农产品交易中心</v>
      </c>
      <c r="S309">
        <f>IF($A309="",0,IF(COUNTIF($R$2:$R309,$R309)=1,1,0))</f>
        <v>0</v>
      </c>
      <c r="T309">
        <f t="shared" si="69"/>
        <v>204</v>
      </c>
      <c r="U309" t="str">
        <f>IF($A309="","",IF($A309=经营数据!$B$3,COUNTIFS($S$2:$S$3000,1,$A$2:$A$3000,$A309,$T$2:$T$3000,"&lt;"&amp;$T309)+1,""))</f>
        <v/>
      </c>
      <c r="V309" t="str">
        <f t="shared" si="70"/>
        <v>华威西营里农产品交易中心|服务效率</v>
      </c>
      <c r="W309">
        <f t="shared" si="71"/>
        <v>205</v>
      </c>
      <c r="X309" t="str">
        <f t="shared" si="72"/>
        <v>华威西营里农产品交易中心|续租率</v>
      </c>
      <c r="Y309">
        <f t="shared" si="73"/>
        <v>218</v>
      </c>
      <c r="Z309">
        <f>IF($A309="",0,IF(AND($M309=1,$A309=经营数据!$B$3,$J309=经营数据!$BA$5,OR($I309=经营数据!$BA$4,COUNTIF(经营数据!$AA$9:$AA$38,$I309)&gt;0)),1,0))</f>
        <v>0</v>
      </c>
      <c r="AA309" t="str">
        <f t="shared" si="74"/>
        <v/>
      </c>
      <c r="AB309" t="str">
        <f t="shared" si="75"/>
        <v/>
      </c>
      <c r="AC309">
        <f>IF($A309="",0,IF(COUNTIF($A$2:$A309,$A309)=1,1,0))</f>
        <v>0</v>
      </c>
      <c r="AD309">
        <f t="shared" si="76"/>
        <v>4</v>
      </c>
      <c r="AE309" t="str">
        <f t="shared" si="77"/>
        <v>华威西营里农产品交易中心|续租率（%）</v>
      </c>
      <c r="BP309" s="47">
        <v>45827</v>
      </c>
      <c r="BQ309" s="29">
        <v>3.5804446210615348E-2</v>
      </c>
    </row>
    <row r="310" spans="1:69" x14ac:dyDescent="0.4">
      <c r="A310" t="str">
        <f>IF(原始经营数据!$D311="","",原始经营数据!$D311)</f>
        <v>易方达华威农贸市场封闭式基础设施证券投资基金</v>
      </c>
      <c r="B310" t="str">
        <f>IF(原始经营数据!$D311="","",T(原始经营数据!$E311))</f>
        <v>华威西营里农产品交易中心</v>
      </c>
      <c r="C310" t="str">
        <f>IF(原始经营数据!$D311="","",原始经营数据!$F311)</f>
        <v>2024H1</v>
      </c>
      <c r="D310" t="str">
        <f>IF(原始经营数据!$D311="","",原始经营数据!$H311)</f>
        <v>各经营业态出租率表</v>
      </c>
      <c r="E310">
        <f>IF(原始经营数据!$D311="","",原始经营数据!$I311)</f>
        <v>100</v>
      </c>
      <c r="F310" t="str">
        <f>IF(原始经营数据!$D311="","",T(原始经营数据!$J311))</f>
        <v>%</v>
      </c>
      <c r="G310" t="str">
        <f>IF(原始经营数据!$D311="","",T(原始经营数据!$K311))</f>
        <v>电商直播基地</v>
      </c>
      <c r="H310" t="str">
        <f>IF(原始经营数据!$D311="","",原始经营数据!$G311)</f>
        <v>服务效率</v>
      </c>
      <c r="I310" t="str">
        <f>IF($A310="","",IF($B310&lt;&gt;"",$B310,IF(COUNTIFS(原始经营数据!$D$3:$D$3001,$A310,原始经营数据!$E$3:$E$3001,"",原始经营数据!$F$3:$F$3001,$C310,原始经营数据!$H$3:$H$3001,$D310,原始经营数据!$K$3:$K$3001,$G310)&gt;1,"基金整体·来源"&amp;原始经营数据!$A311,"基金整体")))</f>
        <v>华威西营里农产品交易中心</v>
      </c>
      <c r="J310" t="str">
        <f t="shared" si="63"/>
        <v>其他期间</v>
      </c>
      <c r="K310" t="str">
        <f t="shared" si="64"/>
        <v>各经营业态出租率表-电商直播基地（%）</v>
      </c>
      <c r="L310" t="str">
        <f t="shared" si="65"/>
        <v>华威西营里农产品交易中心|各经营业态出租率表-电商直播基地（%）|其他期间</v>
      </c>
      <c r="M310">
        <f>IF($A310="",0,IF(COUNTIF($L$2:$L310,$L310)=1,1,0))</f>
        <v>1</v>
      </c>
      <c r="N310">
        <f t="shared" si="66"/>
        <v>20249</v>
      </c>
      <c r="O310" t="str">
        <f t="shared" si="67"/>
        <v>易方达华威农贸市场封闭式基础设施证券投资基金|2024H1|其他期间</v>
      </c>
      <c r="P310">
        <f>IF($A310="",0,IF(COUNTIF($O$2:$O310,$O310)=1,1,0))</f>
        <v>0</v>
      </c>
      <c r="Q310" t="str">
        <f>IF(AND($P310=1,$A310=经营数据!$B$3,$J310=经营数据!$BA$5),COUNTIFS($P$2:$P$3000,1,$A$2:$A$3000,$A310,$J$2:$J$3000,$J310,$N$2:$N$3000,"&lt;"&amp;$N310)+1,"")</f>
        <v/>
      </c>
      <c r="R310" t="str">
        <f t="shared" si="68"/>
        <v>易方达华威农贸市场封闭式基础设施证券投资基金|华威西营里农产品交易中心</v>
      </c>
      <c r="S310">
        <f>IF($A310="",0,IF(COUNTIF($R$2:$R310,$R310)=1,1,0))</f>
        <v>0</v>
      </c>
      <c r="T310">
        <f t="shared" si="69"/>
        <v>204</v>
      </c>
      <c r="U310" t="str">
        <f>IF($A310="","",IF($A310=经营数据!$B$3,COUNTIFS($S$2:$S$3000,1,$A$2:$A$3000,$A310,$T$2:$T$3000,"&lt;"&amp;$T310)+1,""))</f>
        <v/>
      </c>
      <c r="V310" t="str">
        <f t="shared" si="70"/>
        <v>华威西营里农产品交易中心|服务效率</v>
      </c>
      <c r="W310">
        <f t="shared" si="71"/>
        <v>205</v>
      </c>
      <c r="X310" t="str">
        <f t="shared" si="72"/>
        <v>华威西营里农产品交易中心|各经营业态出租率表</v>
      </c>
      <c r="Y310">
        <f t="shared" si="73"/>
        <v>205</v>
      </c>
      <c r="Z310">
        <f>IF($A310="",0,IF(AND($M310=1,$A310=经营数据!$B$3,$J310=经营数据!$BA$5,OR($I310=经营数据!$BA$4,COUNTIF(经营数据!$AA$9:$AA$38,$I310)&gt;0)),1,0))</f>
        <v>0</v>
      </c>
      <c r="AA310" t="str">
        <f t="shared" si="74"/>
        <v/>
      </c>
      <c r="AB310" t="str">
        <f t="shared" si="75"/>
        <v/>
      </c>
      <c r="AC310">
        <f>IF($A310="",0,IF(COUNTIF($A$2:$A310,$A310)=1,1,0))</f>
        <v>0</v>
      </c>
      <c r="AD310">
        <f t="shared" si="76"/>
        <v>4</v>
      </c>
      <c r="AE310" t="str">
        <f t="shared" si="77"/>
        <v>华威西营里农产品交易中心|各经营业态出租率表-电商直播基地（%）</v>
      </c>
      <c r="BP310" s="47">
        <v>45828</v>
      </c>
      <c r="BQ310" s="29">
        <v>3.5532021783963301E-2</v>
      </c>
    </row>
    <row r="311" spans="1:69" x14ac:dyDescent="0.4">
      <c r="A311" t="str">
        <f>IF(原始经营数据!$D312="","",原始经营数据!$D312)</f>
        <v>易方达华威农贸市场封闭式基础设施证券投资基金</v>
      </c>
      <c r="B311" t="str">
        <f>IF(原始经营数据!$D312="","",T(原始经营数据!$E312))</f>
        <v>华威西营里农产品交易中心</v>
      </c>
      <c r="C311" t="str">
        <f>IF(原始经营数据!$D312="","",原始经营数据!$F312)</f>
        <v>2024H1</v>
      </c>
      <c r="D311" t="str">
        <f>IF(原始经营数据!$D312="","",原始经营数据!$H312)</f>
        <v>各经营业态出租率表</v>
      </c>
      <c r="E311">
        <f>IF(原始经营数据!$D312="","",原始经营数据!$I312)</f>
        <v>97</v>
      </c>
      <c r="F311" t="str">
        <f>IF(原始经营数据!$D312="","",T(原始经营数据!$J312))</f>
        <v>%</v>
      </c>
      <c r="G311" t="str">
        <f>IF(原始经营数据!$D312="","",T(原始经营数据!$K312))</f>
        <v>冻品</v>
      </c>
      <c r="H311" t="str">
        <f>IF(原始经营数据!$D312="","",原始经营数据!$G312)</f>
        <v>服务效率</v>
      </c>
      <c r="I311" t="str">
        <f>IF($A311="","",IF($B311&lt;&gt;"",$B311,IF(COUNTIFS(原始经营数据!$D$3:$D$3001,$A311,原始经营数据!$E$3:$E$3001,"",原始经营数据!$F$3:$F$3001,$C311,原始经营数据!$H$3:$H$3001,$D311,原始经营数据!$K$3:$K$3001,$G311)&gt;1,"基金整体·来源"&amp;原始经营数据!$A312,"基金整体")))</f>
        <v>华威西营里农产品交易中心</v>
      </c>
      <c r="J311" t="str">
        <f t="shared" si="63"/>
        <v>其他期间</v>
      </c>
      <c r="K311" t="str">
        <f t="shared" si="64"/>
        <v>各经营业态出租率表-冻品（%）</v>
      </c>
      <c r="L311" t="str">
        <f t="shared" si="65"/>
        <v>华威西营里农产品交易中心|各经营业态出租率表-冻品（%）|其他期间</v>
      </c>
      <c r="M311">
        <f>IF($A311="",0,IF(COUNTIF($L$2:$L311,$L311)=1,1,0))</f>
        <v>1</v>
      </c>
      <c r="N311">
        <f t="shared" si="66"/>
        <v>20249</v>
      </c>
      <c r="O311" t="str">
        <f t="shared" si="67"/>
        <v>易方达华威农贸市场封闭式基础设施证券投资基金|2024H1|其他期间</v>
      </c>
      <c r="P311">
        <f>IF($A311="",0,IF(COUNTIF($O$2:$O311,$O311)=1,1,0))</f>
        <v>0</v>
      </c>
      <c r="Q311" t="str">
        <f>IF(AND($P311=1,$A311=经营数据!$B$3,$J311=经营数据!$BA$5),COUNTIFS($P$2:$P$3000,1,$A$2:$A$3000,$A311,$J$2:$J$3000,$J311,$N$2:$N$3000,"&lt;"&amp;$N311)+1,"")</f>
        <v/>
      </c>
      <c r="R311" t="str">
        <f t="shared" si="68"/>
        <v>易方达华威农贸市场封闭式基础设施证券投资基金|华威西营里农产品交易中心</v>
      </c>
      <c r="S311">
        <f>IF($A311="",0,IF(COUNTIF($R$2:$R311,$R311)=1,1,0))</f>
        <v>0</v>
      </c>
      <c r="T311">
        <f t="shared" si="69"/>
        <v>204</v>
      </c>
      <c r="U311" t="str">
        <f>IF($A311="","",IF($A311=经营数据!$B$3,COUNTIFS($S$2:$S$3000,1,$A$2:$A$3000,$A311,$T$2:$T$3000,"&lt;"&amp;$T311)+1,""))</f>
        <v/>
      </c>
      <c r="V311" t="str">
        <f t="shared" si="70"/>
        <v>华威西营里农产品交易中心|服务效率</v>
      </c>
      <c r="W311">
        <f t="shared" si="71"/>
        <v>205</v>
      </c>
      <c r="X311" t="str">
        <f t="shared" si="72"/>
        <v>华威西营里农产品交易中心|各经营业态出租率表</v>
      </c>
      <c r="Y311">
        <f t="shared" si="73"/>
        <v>205</v>
      </c>
      <c r="Z311">
        <f>IF($A311="",0,IF(AND($M311=1,$A311=经营数据!$B$3,$J311=经营数据!$BA$5,OR($I311=经营数据!$BA$4,COUNTIF(经营数据!$AA$9:$AA$38,$I311)&gt;0)),1,0))</f>
        <v>0</v>
      </c>
      <c r="AA311" t="str">
        <f t="shared" si="74"/>
        <v/>
      </c>
      <c r="AB311" t="str">
        <f t="shared" si="75"/>
        <v/>
      </c>
      <c r="AC311">
        <f>IF($A311="",0,IF(COUNTIF($A$2:$A311,$A311)=1,1,0))</f>
        <v>0</v>
      </c>
      <c r="AD311">
        <f t="shared" si="76"/>
        <v>4</v>
      </c>
      <c r="AE311" t="str">
        <f t="shared" si="77"/>
        <v>华威西营里农产品交易中心|各经营业态出租率表-冻品（%）</v>
      </c>
      <c r="BP311" s="47">
        <v>45831</v>
      </c>
      <c r="BQ311" s="29">
        <v>3.5161883238878297E-2</v>
      </c>
    </row>
    <row r="312" spans="1:69" x14ac:dyDescent="0.4">
      <c r="A312" t="str">
        <f>IF(原始经营数据!$D313="","",原始经营数据!$D313)</f>
        <v>易方达华威农贸市场封闭式基础设施证券投资基金</v>
      </c>
      <c r="B312" t="str">
        <f>IF(原始经营数据!$D313="","",T(原始经营数据!$E313))</f>
        <v>华威西营里农产品交易中心</v>
      </c>
      <c r="C312" t="str">
        <f>IF(原始经营数据!$D313="","",原始经营数据!$F313)</f>
        <v>2024H1</v>
      </c>
      <c r="D312" t="str">
        <f>IF(原始经营数据!$D313="","",原始经营数据!$H313)</f>
        <v>各经营业态出租率表</v>
      </c>
      <c r="E312">
        <f>IF(原始经营数据!$D313="","",原始经营数据!$I313)</f>
        <v>100</v>
      </c>
      <c r="F312" t="str">
        <f>IF(原始经营数据!$D313="","",T(原始经营数据!$J313))</f>
        <v>%</v>
      </c>
      <c r="G312" t="str">
        <f>IF(原始经营数据!$D313="","",T(原始经营数据!$K313))</f>
        <v>干货/调味品</v>
      </c>
      <c r="H312" t="str">
        <f>IF(原始经营数据!$D313="","",原始经营数据!$G313)</f>
        <v>服务效率</v>
      </c>
      <c r="I312" t="str">
        <f>IF($A312="","",IF($B312&lt;&gt;"",$B312,IF(COUNTIFS(原始经营数据!$D$3:$D$3001,$A312,原始经营数据!$E$3:$E$3001,"",原始经营数据!$F$3:$F$3001,$C312,原始经营数据!$H$3:$H$3001,$D312,原始经营数据!$K$3:$K$3001,$G312)&gt;1,"基金整体·来源"&amp;原始经营数据!$A313,"基金整体")))</f>
        <v>华威西营里农产品交易中心</v>
      </c>
      <c r="J312" t="str">
        <f t="shared" si="63"/>
        <v>其他期间</v>
      </c>
      <c r="K312" t="str">
        <f t="shared" si="64"/>
        <v>各经营业态出租率表-干货/调味品（%）</v>
      </c>
      <c r="L312" t="str">
        <f t="shared" si="65"/>
        <v>华威西营里农产品交易中心|各经营业态出租率表-干货/调味品（%）|其他期间</v>
      </c>
      <c r="M312">
        <f>IF($A312="",0,IF(COUNTIF($L$2:$L312,$L312)=1,1,0))</f>
        <v>1</v>
      </c>
      <c r="N312">
        <f t="shared" si="66"/>
        <v>20249</v>
      </c>
      <c r="O312" t="str">
        <f t="shared" si="67"/>
        <v>易方达华威农贸市场封闭式基础设施证券投资基金|2024H1|其他期间</v>
      </c>
      <c r="P312">
        <f>IF($A312="",0,IF(COUNTIF($O$2:$O312,$O312)=1,1,0))</f>
        <v>0</v>
      </c>
      <c r="Q312" t="str">
        <f>IF(AND($P312=1,$A312=经营数据!$B$3,$J312=经营数据!$BA$5),COUNTIFS($P$2:$P$3000,1,$A$2:$A$3000,$A312,$J$2:$J$3000,$J312,$N$2:$N$3000,"&lt;"&amp;$N312)+1,"")</f>
        <v/>
      </c>
      <c r="R312" t="str">
        <f t="shared" si="68"/>
        <v>易方达华威农贸市场封闭式基础设施证券投资基金|华威西营里农产品交易中心</v>
      </c>
      <c r="S312">
        <f>IF($A312="",0,IF(COUNTIF($R$2:$R312,$R312)=1,1,0))</f>
        <v>0</v>
      </c>
      <c r="T312">
        <f t="shared" si="69"/>
        <v>204</v>
      </c>
      <c r="U312" t="str">
        <f>IF($A312="","",IF($A312=经营数据!$B$3,COUNTIFS($S$2:$S$3000,1,$A$2:$A$3000,$A312,$T$2:$T$3000,"&lt;"&amp;$T312)+1,""))</f>
        <v/>
      </c>
      <c r="V312" t="str">
        <f t="shared" si="70"/>
        <v>华威西营里农产品交易中心|服务效率</v>
      </c>
      <c r="W312">
        <f t="shared" si="71"/>
        <v>205</v>
      </c>
      <c r="X312" t="str">
        <f t="shared" si="72"/>
        <v>华威西营里农产品交易中心|各经营业态出租率表</v>
      </c>
      <c r="Y312">
        <f t="shared" si="73"/>
        <v>205</v>
      </c>
      <c r="Z312">
        <f>IF($A312="",0,IF(AND($M312=1,$A312=经营数据!$B$3,$J312=经营数据!$BA$5,OR($I312=经营数据!$BA$4,COUNTIF(经营数据!$AA$9:$AA$38,$I312)&gt;0)),1,0))</f>
        <v>0</v>
      </c>
      <c r="AA312" t="str">
        <f t="shared" si="74"/>
        <v/>
      </c>
      <c r="AB312" t="str">
        <f t="shared" si="75"/>
        <v/>
      </c>
      <c r="AC312">
        <f>IF($A312="",0,IF(COUNTIF($A$2:$A312,$A312)=1,1,0))</f>
        <v>0</v>
      </c>
      <c r="AD312">
        <f t="shared" si="76"/>
        <v>4</v>
      </c>
      <c r="AE312" t="str">
        <f t="shared" si="77"/>
        <v>华威西营里农产品交易中心|各经营业态出租率表-干货/调味品（%）</v>
      </c>
      <c r="BP312" s="47">
        <v>45832</v>
      </c>
      <c r="BQ312" s="29">
        <v>3.5511361754943821E-2</v>
      </c>
    </row>
    <row r="313" spans="1:69" x14ac:dyDescent="0.4">
      <c r="A313" t="str">
        <f>IF(原始经营数据!$D314="","",原始经营数据!$D314)</f>
        <v>易方达华威农贸市场封闭式基础设施证券投资基金</v>
      </c>
      <c r="B313" t="str">
        <f>IF(原始经营数据!$D314="","",T(原始经营数据!$E314))</f>
        <v>华威西营里农产品交易中心</v>
      </c>
      <c r="C313" t="str">
        <f>IF(原始经营数据!$D314="","",原始经营数据!$F314)</f>
        <v>2024H1</v>
      </c>
      <c r="D313" t="str">
        <f>IF(原始经营数据!$D314="","",原始经营数据!$H314)</f>
        <v>各经营业态出租率表</v>
      </c>
      <c r="E313">
        <f>IF(原始经营数据!$D314="","",原始经营数据!$I314)</f>
        <v>98</v>
      </c>
      <c r="F313" t="str">
        <f>IF(原始经营数据!$D314="","",T(原始经营数据!$J314))</f>
        <v>%</v>
      </c>
      <c r="G313" t="str">
        <f>IF(原始经营数据!$D314="","",T(原始经营数据!$K314))</f>
        <v>水产品</v>
      </c>
      <c r="H313" t="str">
        <f>IF(原始经营数据!$D314="","",原始经营数据!$G314)</f>
        <v>服务效率</v>
      </c>
      <c r="I313" t="str">
        <f>IF($A313="","",IF($B313&lt;&gt;"",$B313,IF(COUNTIFS(原始经营数据!$D$3:$D$3001,$A313,原始经营数据!$E$3:$E$3001,"",原始经营数据!$F$3:$F$3001,$C313,原始经营数据!$H$3:$H$3001,$D313,原始经营数据!$K$3:$K$3001,$G313)&gt;1,"基金整体·来源"&amp;原始经营数据!$A314,"基金整体")))</f>
        <v>华威西营里农产品交易中心</v>
      </c>
      <c r="J313" t="str">
        <f t="shared" si="63"/>
        <v>其他期间</v>
      </c>
      <c r="K313" t="str">
        <f t="shared" si="64"/>
        <v>各经营业态出租率表-水产品（%）</v>
      </c>
      <c r="L313" t="str">
        <f t="shared" si="65"/>
        <v>华威西营里农产品交易中心|各经营业态出租率表-水产品（%）|其他期间</v>
      </c>
      <c r="M313">
        <f>IF($A313="",0,IF(COUNTIF($L$2:$L313,$L313)=1,1,0))</f>
        <v>1</v>
      </c>
      <c r="N313">
        <f t="shared" si="66"/>
        <v>20249</v>
      </c>
      <c r="O313" t="str">
        <f t="shared" si="67"/>
        <v>易方达华威农贸市场封闭式基础设施证券投资基金|2024H1|其他期间</v>
      </c>
      <c r="P313">
        <f>IF($A313="",0,IF(COUNTIF($O$2:$O313,$O313)=1,1,0))</f>
        <v>0</v>
      </c>
      <c r="Q313" t="str">
        <f>IF(AND($P313=1,$A313=经营数据!$B$3,$J313=经营数据!$BA$5),COUNTIFS($P$2:$P$3000,1,$A$2:$A$3000,$A313,$J$2:$J$3000,$J313,$N$2:$N$3000,"&lt;"&amp;$N313)+1,"")</f>
        <v/>
      </c>
      <c r="R313" t="str">
        <f t="shared" si="68"/>
        <v>易方达华威农贸市场封闭式基础设施证券投资基金|华威西营里农产品交易中心</v>
      </c>
      <c r="S313">
        <f>IF($A313="",0,IF(COUNTIF($R$2:$R313,$R313)=1,1,0))</f>
        <v>0</v>
      </c>
      <c r="T313">
        <f t="shared" si="69"/>
        <v>204</v>
      </c>
      <c r="U313" t="str">
        <f>IF($A313="","",IF($A313=经营数据!$B$3,COUNTIFS($S$2:$S$3000,1,$A$2:$A$3000,$A313,$T$2:$T$3000,"&lt;"&amp;$T313)+1,""))</f>
        <v/>
      </c>
      <c r="V313" t="str">
        <f t="shared" si="70"/>
        <v>华威西营里农产品交易中心|服务效率</v>
      </c>
      <c r="W313">
        <f t="shared" si="71"/>
        <v>205</v>
      </c>
      <c r="X313" t="str">
        <f t="shared" si="72"/>
        <v>华威西营里农产品交易中心|各经营业态出租率表</v>
      </c>
      <c r="Y313">
        <f t="shared" si="73"/>
        <v>205</v>
      </c>
      <c r="Z313">
        <f>IF($A313="",0,IF(AND($M313=1,$A313=经营数据!$B$3,$J313=经营数据!$BA$5,OR($I313=经营数据!$BA$4,COUNTIF(经营数据!$AA$9:$AA$38,$I313)&gt;0)),1,0))</f>
        <v>0</v>
      </c>
      <c r="AA313" t="str">
        <f t="shared" si="74"/>
        <v/>
      </c>
      <c r="AB313" t="str">
        <f t="shared" si="75"/>
        <v/>
      </c>
      <c r="AC313">
        <f>IF($A313="",0,IF(COUNTIF($A$2:$A313,$A313)=1,1,0))</f>
        <v>0</v>
      </c>
      <c r="AD313">
        <f t="shared" si="76"/>
        <v>4</v>
      </c>
      <c r="AE313" t="str">
        <f t="shared" si="77"/>
        <v>华威西营里农产品交易中心|各经营业态出租率表-水产品（%）</v>
      </c>
      <c r="BP313" s="47">
        <v>45833</v>
      </c>
      <c r="BQ313" s="29">
        <v>3.5776044461767048E-2</v>
      </c>
    </row>
    <row r="314" spans="1:69" x14ac:dyDescent="0.4">
      <c r="A314" t="str">
        <f>IF(原始经营数据!$D315="","",原始经营数据!$D315)</f>
        <v>易方达华威农贸市场封闭式基础设施证券投资基金</v>
      </c>
      <c r="B314" t="str">
        <f>IF(原始经营数据!$D315="","",T(原始经营数据!$E315))</f>
        <v>华威西营里农产品交易中心</v>
      </c>
      <c r="C314" t="str">
        <f>IF(原始经营数据!$D315="","",原始经营数据!$F315)</f>
        <v>2024H1</v>
      </c>
      <c r="D314" t="str">
        <f>IF(原始经营数据!$D315="","",原始经营数据!$H315)</f>
        <v>各业态租金复合增长率</v>
      </c>
      <c r="E314">
        <f>IF(原始经营数据!$D315="","",原始经营数据!$I315)</f>
        <v>14.63</v>
      </c>
      <c r="F314" t="str">
        <f>IF(原始经营数据!$D315="","",T(原始经营数据!$J315))</f>
        <v>%</v>
      </c>
      <c r="G314" t="str">
        <f>IF(原始经营数据!$D315="","",T(原始经营数据!$K315))</f>
        <v>电商直播基地</v>
      </c>
      <c r="H314" t="str">
        <f>IF(原始经营数据!$D315="","",原始经营数据!$G315)</f>
        <v>服务效率</v>
      </c>
      <c r="I314" t="str">
        <f>IF($A314="","",IF($B314&lt;&gt;"",$B314,IF(COUNTIFS(原始经营数据!$D$3:$D$3001,$A314,原始经营数据!$E$3:$E$3001,"",原始经营数据!$F$3:$F$3001,$C314,原始经营数据!$H$3:$H$3001,$D314,原始经营数据!$K$3:$K$3001,$G314)&gt;1,"基金整体·来源"&amp;原始经营数据!$A315,"基金整体")))</f>
        <v>华威西营里农产品交易中心</v>
      </c>
      <c r="J314" t="str">
        <f t="shared" si="63"/>
        <v>其他期间</v>
      </c>
      <c r="K314" t="str">
        <f t="shared" si="64"/>
        <v>各业态租金复合增长率-电商直播基地（%）</v>
      </c>
      <c r="L314" t="str">
        <f t="shared" si="65"/>
        <v>华威西营里农产品交易中心|各业态租金复合增长率-电商直播基地（%）|其他期间</v>
      </c>
      <c r="M314">
        <f>IF($A314="",0,IF(COUNTIF($L$2:$L314,$L314)=1,1,0))</f>
        <v>1</v>
      </c>
      <c r="N314">
        <f t="shared" si="66"/>
        <v>20249</v>
      </c>
      <c r="O314" t="str">
        <f t="shared" si="67"/>
        <v>易方达华威农贸市场封闭式基础设施证券投资基金|2024H1|其他期间</v>
      </c>
      <c r="P314">
        <f>IF($A314="",0,IF(COUNTIF($O$2:$O314,$O314)=1,1,0))</f>
        <v>0</v>
      </c>
      <c r="Q314" t="str">
        <f>IF(AND($P314=1,$A314=经营数据!$B$3,$J314=经营数据!$BA$5),COUNTIFS($P$2:$P$3000,1,$A$2:$A$3000,$A314,$J$2:$J$3000,$J314,$N$2:$N$3000,"&lt;"&amp;$N314)+1,"")</f>
        <v/>
      </c>
      <c r="R314" t="str">
        <f t="shared" si="68"/>
        <v>易方达华威农贸市场封闭式基础设施证券投资基金|华威西营里农产品交易中心</v>
      </c>
      <c r="S314">
        <f>IF($A314="",0,IF(COUNTIF($R$2:$R314,$R314)=1,1,0))</f>
        <v>0</v>
      </c>
      <c r="T314">
        <f t="shared" si="69"/>
        <v>204</v>
      </c>
      <c r="U314" t="str">
        <f>IF($A314="","",IF($A314=经营数据!$B$3,COUNTIFS($S$2:$S$3000,1,$A$2:$A$3000,$A314,$T$2:$T$3000,"&lt;"&amp;$T314)+1,""))</f>
        <v/>
      </c>
      <c r="V314" t="str">
        <f t="shared" si="70"/>
        <v>华威西营里农产品交易中心|服务效率</v>
      </c>
      <c r="W314">
        <f t="shared" si="71"/>
        <v>205</v>
      </c>
      <c r="X314" t="str">
        <f t="shared" si="72"/>
        <v>华威西营里农产品交易中心|各业态租金复合增长率</v>
      </c>
      <c r="Y314">
        <f t="shared" si="73"/>
        <v>313</v>
      </c>
      <c r="Z314">
        <f>IF($A314="",0,IF(AND($M314=1,$A314=经营数据!$B$3,$J314=经营数据!$BA$5,OR($I314=经营数据!$BA$4,COUNTIF(经营数据!$AA$9:$AA$38,$I314)&gt;0)),1,0))</f>
        <v>0</v>
      </c>
      <c r="AA314" t="str">
        <f t="shared" si="74"/>
        <v/>
      </c>
      <c r="AB314" t="str">
        <f t="shared" si="75"/>
        <v/>
      </c>
      <c r="AC314">
        <f>IF($A314="",0,IF(COUNTIF($A$2:$A314,$A314)=1,1,0))</f>
        <v>0</v>
      </c>
      <c r="AD314">
        <f t="shared" si="76"/>
        <v>4</v>
      </c>
      <c r="AE314" t="str">
        <f t="shared" si="77"/>
        <v>华威西营里农产品交易中心|各业态租金复合增长率-电商直播基地（%）</v>
      </c>
      <c r="BP314" s="47">
        <v>45834</v>
      </c>
      <c r="BQ314" s="29">
        <v>3.5952975481214393E-2</v>
      </c>
    </row>
    <row r="315" spans="1:69" x14ac:dyDescent="0.4">
      <c r="A315" t="str">
        <f>IF(原始经营数据!$D316="","",原始经营数据!$D316)</f>
        <v>易方达华威农贸市场封闭式基础设施证券投资基金</v>
      </c>
      <c r="B315" t="str">
        <f>IF(原始经营数据!$D316="","",T(原始经营数据!$E316))</f>
        <v>华威西营里农产品交易中心</v>
      </c>
      <c r="C315" t="str">
        <f>IF(原始经营数据!$D316="","",原始经营数据!$F316)</f>
        <v>2024H1</v>
      </c>
      <c r="D315" t="str">
        <f>IF(原始经营数据!$D316="","",原始经营数据!$H316)</f>
        <v>各业态租金复合增长率</v>
      </c>
      <c r="E315">
        <f>IF(原始经营数据!$D316="","",原始经营数据!$I316)</f>
        <v>7.11</v>
      </c>
      <c r="F315" t="str">
        <f>IF(原始经营数据!$D316="","",T(原始经营数据!$J316))</f>
        <v>%</v>
      </c>
      <c r="G315" t="str">
        <f>IF(原始经营数据!$D316="","",T(原始经营数据!$K316))</f>
        <v>仓库</v>
      </c>
      <c r="H315" t="str">
        <f>IF(原始经营数据!$D316="","",原始经营数据!$G316)</f>
        <v>服务效率</v>
      </c>
      <c r="I315" t="str">
        <f>IF($A315="","",IF($B315&lt;&gt;"",$B315,IF(COUNTIFS(原始经营数据!$D$3:$D$3001,$A315,原始经营数据!$E$3:$E$3001,"",原始经营数据!$F$3:$F$3001,$C315,原始经营数据!$H$3:$H$3001,$D315,原始经营数据!$K$3:$K$3001,$G315)&gt;1,"基金整体·来源"&amp;原始经营数据!$A316,"基金整体")))</f>
        <v>华威西营里农产品交易中心</v>
      </c>
      <c r="J315" t="str">
        <f t="shared" si="63"/>
        <v>其他期间</v>
      </c>
      <c r="K315" t="str">
        <f t="shared" si="64"/>
        <v>各业态租金复合增长率-仓库（%）</v>
      </c>
      <c r="L315" t="str">
        <f t="shared" si="65"/>
        <v>华威西营里农产品交易中心|各业态租金复合增长率-仓库（%）|其他期间</v>
      </c>
      <c r="M315">
        <f>IF($A315="",0,IF(COUNTIF($L$2:$L315,$L315)=1,1,0))</f>
        <v>1</v>
      </c>
      <c r="N315">
        <f t="shared" si="66"/>
        <v>20249</v>
      </c>
      <c r="O315" t="str">
        <f t="shared" si="67"/>
        <v>易方达华威农贸市场封闭式基础设施证券投资基金|2024H1|其他期间</v>
      </c>
      <c r="P315">
        <f>IF($A315="",0,IF(COUNTIF($O$2:$O315,$O315)=1,1,0))</f>
        <v>0</v>
      </c>
      <c r="Q315" t="str">
        <f>IF(AND($P315=1,$A315=经营数据!$B$3,$J315=经营数据!$BA$5),COUNTIFS($P$2:$P$3000,1,$A$2:$A$3000,$A315,$J$2:$J$3000,$J315,$N$2:$N$3000,"&lt;"&amp;$N315)+1,"")</f>
        <v/>
      </c>
      <c r="R315" t="str">
        <f t="shared" si="68"/>
        <v>易方达华威农贸市场封闭式基础设施证券投资基金|华威西营里农产品交易中心</v>
      </c>
      <c r="S315">
        <f>IF($A315="",0,IF(COUNTIF($R$2:$R315,$R315)=1,1,0))</f>
        <v>0</v>
      </c>
      <c r="T315">
        <f t="shared" si="69"/>
        <v>204</v>
      </c>
      <c r="U315" t="str">
        <f>IF($A315="","",IF($A315=经营数据!$B$3,COUNTIFS($S$2:$S$3000,1,$A$2:$A$3000,$A315,$T$2:$T$3000,"&lt;"&amp;$T315)+1,""))</f>
        <v/>
      </c>
      <c r="V315" t="str">
        <f t="shared" si="70"/>
        <v>华威西营里农产品交易中心|服务效率</v>
      </c>
      <c r="W315">
        <f t="shared" si="71"/>
        <v>205</v>
      </c>
      <c r="X315" t="str">
        <f t="shared" si="72"/>
        <v>华威西营里农产品交易中心|各业态租金复合增长率</v>
      </c>
      <c r="Y315">
        <f t="shared" si="73"/>
        <v>313</v>
      </c>
      <c r="Z315">
        <f>IF($A315="",0,IF(AND($M315=1,$A315=经营数据!$B$3,$J315=经营数据!$BA$5,OR($I315=经营数据!$BA$4,COUNTIF(经营数据!$AA$9:$AA$38,$I315)&gt;0)),1,0))</f>
        <v>0</v>
      </c>
      <c r="AA315" t="str">
        <f t="shared" si="74"/>
        <v/>
      </c>
      <c r="AB315" t="str">
        <f t="shared" si="75"/>
        <v/>
      </c>
      <c r="AC315">
        <f>IF($A315="",0,IF(COUNTIF($A$2:$A315,$A315)=1,1,0))</f>
        <v>0</v>
      </c>
      <c r="AD315">
        <f t="shared" si="76"/>
        <v>4</v>
      </c>
      <c r="AE315" t="str">
        <f t="shared" si="77"/>
        <v>华威西营里农产品交易中心|各业态租金复合增长率-仓库（%）</v>
      </c>
      <c r="BP315" s="47">
        <v>45835</v>
      </c>
      <c r="BQ315" s="29">
        <v>3.622758501238478E-2</v>
      </c>
    </row>
    <row r="316" spans="1:69" x14ac:dyDescent="0.4">
      <c r="A316" t="str">
        <f>IF(原始经营数据!$D317="","",原始经营数据!$D317)</f>
        <v>易方达华威农贸市场封闭式基础设施证券投资基金</v>
      </c>
      <c r="B316" t="str">
        <f>IF(原始经营数据!$D317="","",T(原始经营数据!$E317))</f>
        <v>华威西营里农产品交易中心</v>
      </c>
      <c r="C316" t="str">
        <f>IF(原始经营数据!$D317="","",原始经营数据!$F317)</f>
        <v>2024H1</v>
      </c>
      <c r="D316" t="str">
        <f>IF(原始经营数据!$D317="","",原始经营数据!$H317)</f>
        <v>当年退租面积</v>
      </c>
      <c r="E316">
        <f>IF(原始经营数据!$D317="","",原始经营数据!$I317)</f>
        <v>1063.78</v>
      </c>
      <c r="F316" t="str">
        <f>IF(原始经营数据!$D317="","",T(原始经营数据!$J317))</f>
        <v>平方米</v>
      </c>
      <c r="G316" t="str">
        <f>IF(原始经营数据!$D317="","",T(原始经营数据!$K317))</f>
        <v/>
      </c>
      <c r="H316" t="str">
        <f>IF(原始经营数据!$D317="","",原始经营数据!$G317)</f>
        <v>服务量</v>
      </c>
      <c r="I316" t="str">
        <f>IF($A316="","",IF($B316&lt;&gt;"",$B316,IF(COUNTIFS(原始经营数据!$D$3:$D$3001,$A316,原始经营数据!$E$3:$E$3001,"",原始经营数据!$F$3:$F$3001,$C316,原始经营数据!$H$3:$H$3001,$D316,原始经营数据!$K$3:$K$3001,$G316)&gt;1,"基金整体·来源"&amp;原始经营数据!$A317,"基金整体")))</f>
        <v>华威西营里农产品交易中心</v>
      </c>
      <c r="J316" t="str">
        <f t="shared" si="63"/>
        <v>其他期间</v>
      </c>
      <c r="K316" t="str">
        <f t="shared" si="64"/>
        <v>当年退租面积（平方米）</v>
      </c>
      <c r="L316" t="str">
        <f t="shared" si="65"/>
        <v>华威西营里农产品交易中心|当年退租面积（平方米）|其他期间</v>
      </c>
      <c r="M316">
        <f>IF($A316="",0,IF(COUNTIF($L$2:$L316,$L316)=1,1,0))</f>
        <v>1</v>
      </c>
      <c r="N316">
        <f t="shared" si="66"/>
        <v>20249</v>
      </c>
      <c r="O316" t="str">
        <f t="shared" si="67"/>
        <v>易方达华威农贸市场封闭式基础设施证券投资基金|2024H1|其他期间</v>
      </c>
      <c r="P316">
        <f>IF($A316="",0,IF(COUNTIF($O$2:$O316,$O316)=1,1,0))</f>
        <v>0</v>
      </c>
      <c r="Q316" t="str">
        <f>IF(AND($P316=1,$A316=经营数据!$B$3,$J316=经营数据!$BA$5),COUNTIFS($P$2:$P$3000,1,$A$2:$A$3000,$A316,$J$2:$J$3000,$J316,$N$2:$N$3000,"&lt;"&amp;$N316)+1,"")</f>
        <v/>
      </c>
      <c r="R316" t="str">
        <f t="shared" si="68"/>
        <v>易方达华威农贸市场封闭式基础设施证券投资基金|华威西营里农产品交易中心</v>
      </c>
      <c r="S316">
        <f>IF($A316="",0,IF(COUNTIF($R$2:$R316,$R316)=1,1,0))</f>
        <v>0</v>
      </c>
      <c r="T316">
        <f t="shared" si="69"/>
        <v>204</v>
      </c>
      <c r="U316" t="str">
        <f>IF($A316="","",IF($A316=经营数据!$B$3,COUNTIFS($S$2:$S$3000,1,$A$2:$A$3000,$A316,$T$2:$T$3000,"&lt;"&amp;$T316)+1,""))</f>
        <v/>
      </c>
      <c r="V316" t="str">
        <f t="shared" si="70"/>
        <v>华威西营里农产品交易中心|服务量</v>
      </c>
      <c r="W316">
        <f t="shared" si="71"/>
        <v>221</v>
      </c>
      <c r="X316" t="str">
        <f t="shared" si="72"/>
        <v>华威西营里农产品交易中心|当年退租面积</v>
      </c>
      <c r="Y316">
        <f t="shared" si="73"/>
        <v>222</v>
      </c>
      <c r="Z316">
        <f>IF($A316="",0,IF(AND($M316=1,$A316=经营数据!$B$3,$J316=经营数据!$BA$5,OR($I316=经营数据!$BA$4,COUNTIF(经营数据!$AA$9:$AA$38,$I316)&gt;0)),1,0))</f>
        <v>0</v>
      </c>
      <c r="AA316" t="str">
        <f t="shared" si="74"/>
        <v/>
      </c>
      <c r="AB316" t="str">
        <f t="shared" si="75"/>
        <v/>
      </c>
      <c r="AC316">
        <f>IF($A316="",0,IF(COUNTIF($A$2:$A316,$A316)=1,1,0))</f>
        <v>0</v>
      </c>
      <c r="AD316">
        <f t="shared" si="76"/>
        <v>4</v>
      </c>
      <c r="AE316" t="str">
        <f t="shared" si="77"/>
        <v>华威西营里农产品交易中心|当年退租面积（平方米）</v>
      </c>
      <c r="BP316" s="47">
        <v>45838</v>
      </c>
      <c r="BQ316" s="29">
        <v>3.63262030391866E-2</v>
      </c>
    </row>
    <row r="317" spans="1:69" x14ac:dyDescent="0.4">
      <c r="A317" t="str">
        <f>IF(原始经营数据!$D318="","",原始经营数据!$D318)</f>
        <v>易方达华威农贸市场封闭式基础设施证券投资基金</v>
      </c>
      <c r="B317" t="str">
        <f>IF(原始经营数据!$D318="","",T(原始经营数据!$E318))</f>
        <v>华威西营里农产品交易中心</v>
      </c>
      <c r="C317" t="str">
        <f>IF(原始经营数据!$D318="","",原始经营数据!$F318)</f>
        <v>2024H1</v>
      </c>
      <c r="D317" t="str">
        <f>IF(原始经营数据!$D318="","",原始经营数据!$H318)</f>
        <v>可租赁面积</v>
      </c>
      <c r="E317">
        <f>IF(原始经营数据!$D318="","",原始经营数据!$I318)</f>
        <v>6512.16</v>
      </c>
      <c r="F317" t="str">
        <f>IF(原始经营数据!$D318="","",T(原始经营数据!$J318))</f>
        <v>平方米</v>
      </c>
      <c r="G317" t="str">
        <f>IF(原始经营数据!$D318="","",T(原始经营数据!$K318))</f>
        <v>2号楼2层</v>
      </c>
      <c r="H317" t="str">
        <f>IF(原始经营数据!$D318="","",原始经营数据!$G318)</f>
        <v>服务量</v>
      </c>
      <c r="I317" t="str">
        <f>IF($A317="","",IF($B317&lt;&gt;"",$B317,IF(COUNTIFS(原始经营数据!$D$3:$D$3001,$A317,原始经营数据!$E$3:$E$3001,"",原始经营数据!$F$3:$F$3001,$C317,原始经营数据!$H$3:$H$3001,$D317,原始经营数据!$K$3:$K$3001,$G317)&gt;1,"基金整体·来源"&amp;原始经营数据!$A318,"基金整体")))</f>
        <v>华威西营里农产品交易中心</v>
      </c>
      <c r="J317" t="str">
        <f t="shared" si="63"/>
        <v>其他期间</v>
      </c>
      <c r="K317" t="str">
        <f t="shared" si="64"/>
        <v>可租赁面积-2号楼2层（平方米）</v>
      </c>
      <c r="L317" t="str">
        <f t="shared" si="65"/>
        <v>华威西营里农产品交易中心|可租赁面积-2号楼2层（平方米）|其他期间</v>
      </c>
      <c r="M317">
        <f>IF($A317="",0,IF(COUNTIF($L$2:$L317,$L317)=1,1,0))</f>
        <v>1</v>
      </c>
      <c r="N317">
        <f t="shared" si="66"/>
        <v>20249</v>
      </c>
      <c r="O317" t="str">
        <f t="shared" si="67"/>
        <v>易方达华威农贸市场封闭式基础设施证券投资基金|2024H1|其他期间</v>
      </c>
      <c r="P317">
        <f>IF($A317="",0,IF(COUNTIF($O$2:$O317,$O317)=1,1,0))</f>
        <v>0</v>
      </c>
      <c r="Q317" t="str">
        <f>IF(AND($P317=1,$A317=经营数据!$B$3,$J317=经营数据!$BA$5),COUNTIFS($P$2:$P$3000,1,$A$2:$A$3000,$A317,$J$2:$J$3000,$J317,$N$2:$N$3000,"&lt;"&amp;$N317)+1,"")</f>
        <v/>
      </c>
      <c r="R317" t="str">
        <f t="shared" si="68"/>
        <v>易方达华威农贸市场封闭式基础设施证券投资基金|华威西营里农产品交易中心</v>
      </c>
      <c r="S317">
        <f>IF($A317="",0,IF(COUNTIF($R$2:$R317,$R317)=1,1,0))</f>
        <v>0</v>
      </c>
      <c r="T317">
        <f t="shared" si="69"/>
        <v>204</v>
      </c>
      <c r="U317" t="str">
        <f>IF($A317="","",IF($A317=经营数据!$B$3,COUNTIFS($S$2:$S$3000,1,$A$2:$A$3000,$A317,$T$2:$T$3000,"&lt;"&amp;$T317)+1,""))</f>
        <v/>
      </c>
      <c r="V317" t="str">
        <f t="shared" si="70"/>
        <v>华威西营里农产品交易中心|服务量</v>
      </c>
      <c r="W317">
        <f t="shared" si="71"/>
        <v>221</v>
      </c>
      <c r="X317" t="str">
        <f t="shared" si="72"/>
        <v>华威西营里农产品交易中心|可租赁面积</v>
      </c>
      <c r="Y317">
        <f t="shared" si="73"/>
        <v>305</v>
      </c>
      <c r="Z317">
        <f>IF($A317="",0,IF(AND($M317=1,$A317=经营数据!$B$3,$J317=经营数据!$BA$5,OR($I317=经营数据!$BA$4,COUNTIF(经营数据!$AA$9:$AA$38,$I317)&gt;0)),1,0))</f>
        <v>0</v>
      </c>
      <c r="AA317" t="str">
        <f t="shared" si="74"/>
        <v/>
      </c>
      <c r="AB317" t="str">
        <f t="shared" si="75"/>
        <v/>
      </c>
      <c r="AC317">
        <f>IF($A317="",0,IF(COUNTIF($A$2:$A317,$A317)=1,1,0))</f>
        <v>0</v>
      </c>
      <c r="AD317">
        <f t="shared" si="76"/>
        <v>4</v>
      </c>
      <c r="AE317" t="str">
        <f t="shared" si="77"/>
        <v>华威西营里农产品交易中心|可租赁面积-2号楼2层（平方米）</v>
      </c>
      <c r="BP317" s="47">
        <v>45839</v>
      </c>
      <c r="BQ317" s="29">
        <v>3.6325146590393542E-2</v>
      </c>
    </row>
    <row r="318" spans="1:69" x14ac:dyDescent="0.4">
      <c r="A318" t="str">
        <f>IF(原始经营数据!$D319="","",原始经营数据!$D319)</f>
        <v>易方达华威农贸市场封闭式基础设施证券投资基金</v>
      </c>
      <c r="B318" t="str">
        <f>IF(原始经营数据!$D319="","",T(原始经营数据!$E319))</f>
        <v>华威西营里农产品交易中心</v>
      </c>
      <c r="C318" t="str">
        <f>IF(原始经营数据!$D319="","",原始经营数据!$F319)</f>
        <v>2024H1</v>
      </c>
      <c r="D318" t="str">
        <f>IF(原始经营数据!$D319="","",原始经营数据!$H319)</f>
        <v>可租赁面积</v>
      </c>
      <c r="E318">
        <f>IF(原始经营数据!$D319="","",原始经营数据!$I319)</f>
        <v>6594.09</v>
      </c>
      <c r="F318" t="str">
        <f>IF(原始经营数据!$D319="","",T(原始经营数据!$J319))</f>
        <v>平方米</v>
      </c>
      <c r="G318" t="str">
        <f>IF(原始经营数据!$D319="","",T(原始经营数据!$K319))</f>
        <v>2号楼3层</v>
      </c>
      <c r="H318" t="str">
        <f>IF(原始经营数据!$D319="","",原始经营数据!$G319)</f>
        <v>服务量</v>
      </c>
      <c r="I318" t="str">
        <f>IF($A318="","",IF($B318&lt;&gt;"",$B318,IF(COUNTIFS(原始经营数据!$D$3:$D$3001,$A318,原始经营数据!$E$3:$E$3001,"",原始经营数据!$F$3:$F$3001,$C318,原始经营数据!$H$3:$H$3001,$D318,原始经营数据!$K$3:$K$3001,$G318)&gt;1,"基金整体·来源"&amp;原始经营数据!$A319,"基金整体")))</f>
        <v>华威西营里农产品交易中心</v>
      </c>
      <c r="J318" t="str">
        <f t="shared" si="63"/>
        <v>其他期间</v>
      </c>
      <c r="K318" t="str">
        <f t="shared" si="64"/>
        <v>可租赁面积-2号楼3层（平方米）</v>
      </c>
      <c r="L318" t="str">
        <f t="shared" si="65"/>
        <v>华威西营里农产品交易中心|可租赁面积-2号楼3层（平方米）|其他期间</v>
      </c>
      <c r="M318">
        <f>IF($A318="",0,IF(COUNTIF($L$2:$L318,$L318)=1,1,0))</f>
        <v>1</v>
      </c>
      <c r="N318">
        <f t="shared" si="66"/>
        <v>20249</v>
      </c>
      <c r="O318" t="str">
        <f t="shared" si="67"/>
        <v>易方达华威农贸市场封闭式基础设施证券投资基金|2024H1|其他期间</v>
      </c>
      <c r="P318">
        <f>IF($A318="",0,IF(COUNTIF($O$2:$O318,$O318)=1,1,0))</f>
        <v>0</v>
      </c>
      <c r="Q318" t="str">
        <f>IF(AND($P318=1,$A318=经营数据!$B$3,$J318=经营数据!$BA$5),COUNTIFS($P$2:$P$3000,1,$A$2:$A$3000,$A318,$J$2:$J$3000,$J318,$N$2:$N$3000,"&lt;"&amp;$N318)+1,"")</f>
        <v/>
      </c>
      <c r="R318" t="str">
        <f t="shared" si="68"/>
        <v>易方达华威农贸市场封闭式基础设施证券投资基金|华威西营里农产品交易中心</v>
      </c>
      <c r="S318">
        <f>IF($A318="",0,IF(COUNTIF($R$2:$R318,$R318)=1,1,0))</f>
        <v>0</v>
      </c>
      <c r="T318">
        <f t="shared" si="69"/>
        <v>204</v>
      </c>
      <c r="U318" t="str">
        <f>IF($A318="","",IF($A318=经营数据!$B$3,COUNTIFS($S$2:$S$3000,1,$A$2:$A$3000,$A318,$T$2:$T$3000,"&lt;"&amp;$T318)+1,""))</f>
        <v/>
      </c>
      <c r="V318" t="str">
        <f t="shared" si="70"/>
        <v>华威西营里农产品交易中心|服务量</v>
      </c>
      <c r="W318">
        <f t="shared" si="71"/>
        <v>221</v>
      </c>
      <c r="X318" t="str">
        <f t="shared" si="72"/>
        <v>华威西营里农产品交易中心|可租赁面积</v>
      </c>
      <c r="Y318">
        <f t="shared" si="73"/>
        <v>305</v>
      </c>
      <c r="Z318">
        <f>IF($A318="",0,IF(AND($M318=1,$A318=经营数据!$B$3,$J318=经营数据!$BA$5,OR($I318=经营数据!$BA$4,COUNTIF(经营数据!$AA$9:$AA$38,$I318)&gt;0)),1,0))</f>
        <v>0</v>
      </c>
      <c r="AA318" t="str">
        <f t="shared" si="74"/>
        <v/>
      </c>
      <c r="AB318" t="str">
        <f t="shared" si="75"/>
        <v/>
      </c>
      <c r="AC318">
        <f>IF($A318="",0,IF(COUNTIF($A$2:$A318,$A318)=1,1,0))</f>
        <v>0</v>
      </c>
      <c r="AD318">
        <f t="shared" si="76"/>
        <v>4</v>
      </c>
      <c r="AE318" t="str">
        <f t="shared" si="77"/>
        <v>华威西营里农产品交易中心|可租赁面积-2号楼3层（平方米）</v>
      </c>
      <c r="BP318" s="47">
        <v>45840</v>
      </c>
      <c r="BQ318" s="29">
        <v>3.5809640728550869E-2</v>
      </c>
    </row>
    <row r="319" spans="1:69" x14ac:dyDescent="0.4">
      <c r="A319" t="str">
        <f>IF(原始经营数据!$D320="","",原始经营数据!$D320)</f>
        <v>易方达华威农贸市场封闭式基础设施证券投资基金</v>
      </c>
      <c r="B319" t="str">
        <f>IF(原始经营数据!$D320="","",T(原始经营数据!$E320))</f>
        <v>华威西营里农产品交易中心</v>
      </c>
      <c r="C319" t="str">
        <f>IF(原始经营数据!$D320="","",原始经营数据!$F320)</f>
        <v>2024H1</v>
      </c>
      <c r="D319" t="str">
        <f>IF(原始经营数据!$D320="","",原始经营数据!$H320)</f>
        <v>可租赁面积</v>
      </c>
      <c r="E319">
        <f>IF(原始经营数据!$D320="","",原始经营数据!$I320)</f>
        <v>5840</v>
      </c>
      <c r="F319" t="str">
        <f>IF(原始经营数据!$D320="","",T(原始经营数据!$J320))</f>
        <v>平方米</v>
      </c>
      <c r="G319" t="str">
        <f>IF(原始经营数据!$D320="","",T(原始经营数据!$K320))</f>
        <v>3号楼（单层）</v>
      </c>
      <c r="H319" t="str">
        <f>IF(原始经营数据!$D320="","",原始经营数据!$G320)</f>
        <v>服务量</v>
      </c>
      <c r="I319" t="str">
        <f>IF($A319="","",IF($B319&lt;&gt;"",$B319,IF(COUNTIFS(原始经营数据!$D$3:$D$3001,$A319,原始经营数据!$E$3:$E$3001,"",原始经营数据!$F$3:$F$3001,$C319,原始经营数据!$H$3:$H$3001,$D319,原始经营数据!$K$3:$K$3001,$G319)&gt;1,"基金整体·来源"&amp;原始经营数据!$A320,"基金整体")))</f>
        <v>华威西营里农产品交易中心</v>
      </c>
      <c r="J319" t="str">
        <f t="shared" si="63"/>
        <v>其他期间</v>
      </c>
      <c r="K319" t="str">
        <f t="shared" si="64"/>
        <v>可租赁面积-3号楼（单层）（平方米）</v>
      </c>
      <c r="L319" t="str">
        <f t="shared" si="65"/>
        <v>华威西营里农产品交易中心|可租赁面积-3号楼（单层）（平方米）|其他期间</v>
      </c>
      <c r="M319">
        <f>IF($A319="",0,IF(COUNTIF($L$2:$L319,$L319)=1,1,0))</f>
        <v>1</v>
      </c>
      <c r="N319">
        <f t="shared" si="66"/>
        <v>20249</v>
      </c>
      <c r="O319" t="str">
        <f t="shared" si="67"/>
        <v>易方达华威农贸市场封闭式基础设施证券投资基金|2024H1|其他期间</v>
      </c>
      <c r="P319">
        <f>IF($A319="",0,IF(COUNTIF($O$2:$O319,$O319)=1,1,0))</f>
        <v>0</v>
      </c>
      <c r="Q319" t="str">
        <f>IF(AND($P319=1,$A319=经营数据!$B$3,$J319=经营数据!$BA$5),COUNTIFS($P$2:$P$3000,1,$A$2:$A$3000,$A319,$J$2:$J$3000,$J319,$N$2:$N$3000,"&lt;"&amp;$N319)+1,"")</f>
        <v/>
      </c>
      <c r="R319" t="str">
        <f t="shared" si="68"/>
        <v>易方达华威农贸市场封闭式基础设施证券投资基金|华威西营里农产品交易中心</v>
      </c>
      <c r="S319">
        <f>IF($A319="",0,IF(COUNTIF($R$2:$R319,$R319)=1,1,0))</f>
        <v>0</v>
      </c>
      <c r="T319">
        <f t="shared" si="69"/>
        <v>204</v>
      </c>
      <c r="U319" t="str">
        <f>IF($A319="","",IF($A319=经营数据!$B$3,COUNTIFS($S$2:$S$3000,1,$A$2:$A$3000,$A319,$T$2:$T$3000,"&lt;"&amp;$T319)+1,""))</f>
        <v/>
      </c>
      <c r="V319" t="str">
        <f t="shared" si="70"/>
        <v>华威西营里农产品交易中心|服务量</v>
      </c>
      <c r="W319">
        <f t="shared" si="71"/>
        <v>221</v>
      </c>
      <c r="X319" t="str">
        <f t="shared" si="72"/>
        <v>华威西营里农产品交易中心|可租赁面积</v>
      </c>
      <c r="Y319">
        <f t="shared" si="73"/>
        <v>305</v>
      </c>
      <c r="Z319">
        <f>IF($A319="",0,IF(AND($M319=1,$A319=经营数据!$B$3,$J319=经营数据!$BA$5,OR($I319=经营数据!$BA$4,COUNTIF(经营数据!$AA$9:$AA$38,$I319)&gt;0)),1,0))</f>
        <v>0</v>
      </c>
      <c r="AA319" t="str">
        <f t="shared" si="74"/>
        <v/>
      </c>
      <c r="AB319" t="str">
        <f t="shared" si="75"/>
        <v/>
      </c>
      <c r="AC319">
        <f>IF($A319="",0,IF(COUNTIF($A$2:$A319,$A319)=1,1,0))</f>
        <v>0</v>
      </c>
      <c r="AD319">
        <f t="shared" si="76"/>
        <v>4</v>
      </c>
      <c r="AE319" t="str">
        <f t="shared" si="77"/>
        <v>华威西营里农产品交易中心|可租赁面积-3号楼（单层）（平方米）</v>
      </c>
      <c r="BP319" s="47">
        <v>45841</v>
      </c>
      <c r="BQ319" s="29">
        <v>3.574671539196831E-2</v>
      </c>
    </row>
    <row r="320" spans="1:69" x14ac:dyDescent="0.4">
      <c r="A320" t="str">
        <f>IF(原始经营数据!$D321="","",原始经营数据!$D321)</f>
        <v>易方达华威农贸市场封闭式基础设施证券投资基金</v>
      </c>
      <c r="B320" t="str">
        <f>IF(原始经营数据!$D321="","",T(原始经营数据!$E321))</f>
        <v>华威西营里农产品交易中心</v>
      </c>
      <c r="C320" t="str">
        <f>IF(原始经营数据!$D321="","",原始经营数据!$F321)</f>
        <v>2024H1</v>
      </c>
      <c r="D320" t="str">
        <f>IF(原始经营数据!$D321="","",原始经营数据!$H321)</f>
        <v>各经营业态平均租金情况</v>
      </c>
      <c r="E320">
        <f>IF(原始经营数据!$D321="","",原始经营数据!$I321)</f>
        <v>240</v>
      </c>
      <c r="F320" t="str">
        <f>IF(原始经营数据!$D321="","",T(原始经营数据!$J321))</f>
        <v>元/平方米/月</v>
      </c>
      <c r="G320" t="str">
        <f>IF(原始经营数据!$D321="","",T(原始经营数据!$K321))</f>
        <v>蔬果</v>
      </c>
      <c r="H320" t="str">
        <f>IF(原始经营数据!$D321="","",原始经营数据!$G321)</f>
        <v>服务价格</v>
      </c>
      <c r="I320" t="str">
        <f>IF($A320="","",IF($B320&lt;&gt;"",$B320,IF(COUNTIFS(原始经营数据!$D$3:$D$3001,$A320,原始经营数据!$E$3:$E$3001,"",原始经营数据!$F$3:$F$3001,$C320,原始经营数据!$H$3:$H$3001,$D320,原始经营数据!$K$3:$K$3001,$G320)&gt;1,"基金整体·来源"&amp;原始经营数据!$A321,"基金整体")))</f>
        <v>华威西营里农产品交易中心</v>
      </c>
      <c r="J320" t="str">
        <f t="shared" si="63"/>
        <v>其他期间</v>
      </c>
      <c r="K320" t="str">
        <f t="shared" si="64"/>
        <v>各经营业态平均租金情况-蔬果（元/平方米/月）</v>
      </c>
      <c r="L320" t="str">
        <f t="shared" si="65"/>
        <v>华威西营里农产品交易中心|各经营业态平均租金情况-蔬果（元/平方米/月）|其他期间</v>
      </c>
      <c r="M320">
        <f>IF($A320="",0,IF(COUNTIF($L$2:$L320,$L320)=1,1,0))</f>
        <v>1</v>
      </c>
      <c r="N320">
        <f t="shared" si="66"/>
        <v>20249</v>
      </c>
      <c r="O320" t="str">
        <f t="shared" si="67"/>
        <v>易方达华威农贸市场封闭式基础设施证券投资基金|2024H1|其他期间</v>
      </c>
      <c r="P320">
        <f>IF($A320="",0,IF(COUNTIF($O$2:$O320,$O320)=1,1,0))</f>
        <v>0</v>
      </c>
      <c r="Q320" t="str">
        <f>IF(AND($P320=1,$A320=经营数据!$B$3,$J320=经营数据!$BA$5),COUNTIFS($P$2:$P$3000,1,$A$2:$A$3000,$A320,$J$2:$J$3000,$J320,$N$2:$N$3000,"&lt;"&amp;$N320)+1,"")</f>
        <v/>
      </c>
      <c r="R320" t="str">
        <f t="shared" si="68"/>
        <v>易方达华威农贸市场封闭式基础设施证券投资基金|华威西营里农产品交易中心</v>
      </c>
      <c r="S320">
        <f>IF($A320="",0,IF(COUNTIF($R$2:$R320,$R320)=1,1,0))</f>
        <v>0</v>
      </c>
      <c r="T320">
        <f t="shared" si="69"/>
        <v>204</v>
      </c>
      <c r="U320" t="str">
        <f>IF($A320="","",IF($A320=经营数据!$B$3,COUNTIFS($S$2:$S$3000,1,$A$2:$A$3000,$A320,$T$2:$T$3000,"&lt;"&amp;$T320)+1,""))</f>
        <v/>
      </c>
      <c r="V320" t="str">
        <f t="shared" si="70"/>
        <v>华威西营里农产品交易中心|服务价格</v>
      </c>
      <c r="W320">
        <f t="shared" si="71"/>
        <v>204</v>
      </c>
      <c r="X320" t="str">
        <f t="shared" si="72"/>
        <v>华威西营里农产品交易中心|各经营业态平均租金情况</v>
      </c>
      <c r="Y320">
        <f t="shared" si="73"/>
        <v>204</v>
      </c>
      <c r="Z320">
        <f>IF($A320="",0,IF(AND($M320=1,$A320=经营数据!$B$3,$J320=经营数据!$BA$5,OR($I320=经营数据!$BA$4,COUNTIF(经营数据!$AA$9:$AA$38,$I320)&gt;0)),1,0))</f>
        <v>0</v>
      </c>
      <c r="AA320" t="str">
        <f t="shared" si="74"/>
        <v/>
      </c>
      <c r="AB320" t="str">
        <f t="shared" si="75"/>
        <v/>
      </c>
      <c r="AC320">
        <f>IF($A320="",0,IF(COUNTIF($A$2:$A320,$A320)=1,1,0))</f>
        <v>0</v>
      </c>
      <c r="AD320">
        <f t="shared" si="76"/>
        <v>4</v>
      </c>
      <c r="AE320" t="str">
        <f t="shared" si="77"/>
        <v>华威西营里农产品交易中心|各经营业态平均租金情况-蔬果（元/平方米/月）</v>
      </c>
      <c r="BP320" s="47">
        <v>45842</v>
      </c>
      <c r="BQ320" s="29">
        <v>3.5792811636090618E-2</v>
      </c>
    </row>
    <row r="321" spans="1:69" x14ac:dyDescent="0.4">
      <c r="A321" t="str">
        <f>IF(原始经营数据!$D322="","",原始经营数据!$D322)</f>
        <v>易方达华威农贸市场封闭式基础设施证券投资基金</v>
      </c>
      <c r="B321" t="str">
        <f>IF(原始经营数据!$D322="","",T(原始经营数据!$E322))</f>
        <v>华威西营里农产品交易中心</v>
      </c>
      <c r="C321" t="str">
        <f>IF(原始经营数据!$D322="","",原始经营数据!$F322)</f>
        <v>2024H1</v>
      </c>
      <c r="D321" t="str">
        <f>IF(原始经营数据!$D322="","",原始经营数据!$H322)</f>
        <v>各经营业态平均租金情况</v>
      </c>
      <c r="E321">
        <f>IF(原始经营数据!$D322="","",原始经营数据!$I322)</f>
        <v>252</v>
      </c>
      <c r="F321" t="str">
        <f>IF(原始经营数据!$D322="","",T(原始经营数据!$J322))</f>
        <v>元/平方米/月</v>
      </c>
      <c r="G321" t="str">
        <f>IF(原始经营数据!$D322="","",T(原始经营数据!$K322))</f>
        <v>肉禽</v>
      </c>
      <c r="H321" t="str">
        <f>IF(原始经营数据!$D322="","",原始经营数据!$G322)</f>
        <v>服务价格</v>
      </c>
      <c r="I321" t="str">
        <f>IF($A321="","",IF($B321&lt;&gt;"",$B321,IF(COUNTIFS(原始经营数据!$D$3:$D$3001,$A321,原始经营数据!$E$3:$E$3001,"",原始经营数据!$F$3:$F$3001,$C321,原始经营数据!$H$3:$H$3001,$D321,原始经营数据!$K$3:$K$3001,$G321)&gt;1,"基金整体·来源"&amp;原始经营数据!$A322,"基金整体")))</f>
        <v>华威西营里农产品交易中心</v>
      </c>
      <c r="J321" t="str">
        <f t="shared" si="63"/>
        <v>其他期间</v>
      </c>
      <c r="K321" t="str">
        <f t="shared" si="64"/>
        <v>各经营业态平均租金情况-肉禽（元/平方米/月）</v>
      </c>
      <c r="L321" t="str">
        <f t="shared" si="65"/>
        <v>华威西营里农产品交易中心|各经营业态平均租金情况-肉禽（元/平方米/月）|其他期间</v>
      </c>
      <c r="M321">
        <f>IF($A321="",0,IF(COUNTIF($L$2:$L321,$L321)=1,1,0))</f>
        <v>1</v>
      </c>
      <c r="N321">
        <f t="shared" si="66"/>
        <v>20249</v>
      </c>
      <c r="O321" t="str">
        <f t="shared" si="67"/>
        <v>易方达华威农贸市场封闭式基础设施证券投资基金|2024H1|其他期间</v>
      </c>
      <c r="P321">
        <f>IF($A321="",0,IF(COUNTIF($O$2:$O321,$O321)=1,1,0))</f>
        <v>0</v>
      </c>
      <c r="Q321" t="str">
        <f>IF(AND($P321=1,$A321=经营数据!$B$3,$J321=经营数据!$BA$5),COUNTIFS($P$2:$P$3000,1,$A$2:$A$3000,$A321,$J$2:$J$3000,$J321,$N$2:$N$3000,"&lt;"&amp;$N321)+1,"")</f>
        <v/>
      </c>
      <c r="R321" t="str">
        <f t="shared" si="68"/>
        <v>易方达华威农贸市场封闭式基础设施证券投资基金|华威西营里农产品交易中心</v>
      </c>
      <c r="S321">
        <f>IF($A321="",0,IF(COUNTIF($R$2:$R321,$R321)=1,1,0))</f>
        <v>0</v>
      </c>
      <c r="T321">
        <f t="shared" si="69"/>
        <v>204</v>
      </c>
      <c r="U321" t="str">
        <f>IF($A321="","",IF($A321=经营数据!$B$3,COUNTIFS($S$2:$S$3000,1,$A$2:$A$3000,$A321,$T$2:$T$3000,"&lt;"&amp;$T321)+1,""))</f>
        <v/>
      </c>
      <c r="V321" t="str">
        <f t="shared" si="70"/>
        <v>华威西营里农产品交易中心|服务价格</v>
      </c>
      <c r="W321">
        <f t="shared" si="71"/>
        <v>204</v>
      </c>
      <c r="X321" t="str">
        <f t="shared" si="72"/>
        <v>华威西营里农产品交易中心|各经营业态平均租金情况</v>
      </c>
      <c r="Y321">
        <f t="shared" si="73"/>
        <v>204</v>
      </c>
      <c r="Z321">
        <f>IF($A321="",0,IF(AND($M321=1,$A321=经营数据!$B$3,$J321=经营数据!$BA$5,OR($I321=经营数据!$BA$4,COUNTIF(经营数据!$AA$9:$AA$38,$I321)&gt;0)),1,0))</f>
        <v>0</v>
      </c>
      <c r="AA321" t="str">
        <f t="shared" si="74"/>
        <v/>
      </c>
      <c r="AB321" t="str">
        <f t="shared" si="75"/>
        <v/>
      </c>
      <c r="AC321">
        <f>IF($A321="",0,IF(COUNTIF($A$2:$A321,$A321)=1,1,0))</f>
        <v>0</v>
      </c>
      <c r="AD321">
        <f t="shared" si="76"/>
        <v>4</v>
      </c>
      <c r="AE321" t="str">
        <f t="shared" si="77"/>
        <v>华威西营里农产品交易中心|各经营业态平均租金情况-肉禽（元/平方米/月）</v>
      </c>
      <c r="BP321" s="47">
        <v>45845</v>
      </c>
      <c r="BQ321" s="29">
        <v>3.584715258540281E-2</v>
      </c>
    </row>
    <row r="322" spans="1:69" x14ac:dyDescent="0.4">
      <c r="A322" t="str">
        <f>IF(原始经营数据!$D323="","",原始经营数据!$D323)</f>
        <v>易方达华威农贸市场封闭式基础设施证券投资基金</v>
      </c>
      <c r="B322" t="str">
        <f>IF(原始经营数据!$D323="","",T(原始经营数据!$E323))</f>
        <v>华威西营里农产品交易中心</v>
      </c>
      <c r="C322" t="str">
        <f>IF(原始经营数据!$D323="","",原始经营数据!$F323)</f>
        <v>2024H1</v>
      </c>
      <c r="D322" t="str">
        <f>IF(原始经营数据!$D323="","",原始经营数据!$H323)</f>
        <v>各经营业态平均租金情况</v>
      </c>
      <c r="E322">
        <f>IF(原始经营数据!$D323="","",原始经营数据!$I323)</f>
        <v>187</v>
      </c>
      <c r="F322" t="str">
        <f>IF(原始经营数据!$D323="","",T(原始经营数据!$J323))</f>
        <v>元/平方米/月</v>
      </c>
      <c r="G322" t="str">
        <f>IF(原始经营数据!$D323="","",T(原始经营数据!$K323))</f>
        <v>干货/调味品</v>
      </c>
      <c r="H322" t="str">
        <f>IF(原始经营数据!$D323="","",原始经营数据!$G323)</f>
        <v>服务价格</v>
      </c>
      <c r="I322" t="str">
        <f>IF($A322="","",IF($B322&lt;&gt;"",$B322,IF(COUNTIFS(原始经营数据!$D$3:$D$3001,$A322,原始经营数据!$E$3:$E$3001,"",原始经营数据!$F$3:$F$3001,$C322,原始经营数据!$H$3:$H$3001,$D322,原始经营数据!$K$3:$K$3001,$G322)&gt;1,"基金整体·来源"&amp;原始经营数据!$A323,"基金整体")))</f>
        <v>华威西营里农产品交易中心</v>
      </c>
      <c r="J322" t="str">
        <f t="shared" ref="J322:J385" si="78">IF($A322="","",IF(LEN($C322)=4,"年度",IF(AND(LEN($C322)=6,ISNUMBER(SEARCH("Q",$C322))),"季度","其他期间")))</f>
        <v>其他期间</v>
      </c>
      <c r="K322" t="str">
        <f t="shared" ref="K322:K385" si="79">IF($A322="","",$D322&amp;IF($G322="","","-"&amp;SUBSTITUTE($G322,CHAR(10),""))&amp;IF($F322="","","（"&amp;$F322&amp;"）"))</f>
        <v>各经营业态平均租金情况-干货/调味品（元/平方米/月）</v>
      </c>
      <c r="L322" t="str">
        <f t="shared" ref="L322:L385" si="80">IF($A322="","",$I322&amp;"|"&amp;$K322&amp;"|"&amp;$J322)</f>
        <v>华威西营里农产品交易中心|各经营业态平均租金情况-干货/调味品（元/平方米/月）|其他期间</v>
      </c>
      <c r="M322">
        <f>IF($A322="",0,IF(COUNTIF($L$2:$L322,$L322)=1,1,0))</f>
        <v>1</v>
      </c>
      <c r="N322">
        <f t="shared" ref="N322:N385" si="81">IF($A322="","",IF($J322="年度",VALUE($C322)*10,IF($J322="季度",VALUE(LEFT($C322,4))*10+VALUE(RIGHT($C322,1)),VALUE(LEFT($C322,4))*10+9)))</f>
        <v>20249</v>
      </c>
      <c r="O322" t="str">
        <f t="shared" ref="O322:O385" si="82">IF($A322="","",$A322&amp;"|"&amp;$C322&amp;"|"&amp;$J322)</f>
        <v>易方达华威农贸市场封闭式基础设施证券投资基金|2024H1|其他期间</v>
      </c>
      <c r="P322">
        <f>IF($A322="",0,IF(COUNTIF($O$2:$O322,$O322)=1,1,0))</f>
        <v>0</v>
      </c>
      <c r="Q322" t="str">
        <f>IF(AND($P322=1,$A322=经营数据!$B$3,$J322=经营数据!$BA$5),COUNTIFS($P$2:$P$3000,1,$A$2:$A$3000,$A322,$J$2:$J$3000,$J322,$N$2:$N$3000,"&lt;"&amp;$N322)+1,"")</f>
        <v/>
      </c>
      <c r="R322" t="str">
        <f t="shared" ref="R322:R385" si="83">IF($A322="","",$A322&amp;"|"&amp;$I322)</f>
        <v>易方达华威农贸市场封闭式基础设施证券投资基金|华威西营里农产品交易中心</v>
      </c>
      <c r="S322">
        <f>IF($A322="",0,IF(COUNTIF($R$2:$R322,$R322)=1,1,0))</f>
        <v>0</v>
      </c>
      <c r="T322">
        <f t="shared" ref="T322:T385" si="84">IF($A322="","",MATCH($R322,$R$2:$R$3000,0))</f>
        <v>204</v>
      </c>
      <c r="U322" t="str">
        <f>IF($A322="","",IF($A322=经营数据!$B$3,COUNTIFS($S$2:$S$3000,1,$A$2:$A$3000,$A322,$T$2:$T$3000,"&lt;"&amp;$T322)+1,""))</f>
        <v/>
      </c>
      <c r="V322" t="str">
        <f t="shared" ref="V322:V385" si="85">IF($A322="","",$I322&amp;"|"&amp;$H322)</f>
        <v>华威西营里农产品交易中心|服务价格</v>
      </c>
      <c r="W322">
        <f t="shared" ref="W322:W385" si="86">IF($A322="","",MATCH($V322,$V$2:$V$3000,0))</f>
        <v>204</v>
      </c>
      <c r="X322" t="str">
        <f t="shared" ref="X322:X385" si="87">IF($A322="","",$I322&amp;"|"&amp;$D322)</f>
        <v>华威西营里农产品交易中心|各经营业态平均租金情况</v>
      </c>
      <c r="Y322">
        <f t="shared" ref="Y322:Y385" si="88">IF($A322="","",MATCH($X322,$X$2:$X$3000,0))</f>
        <v>204</v>
      </c>
      <c r="Z322">
        <f>IF($A322="",0,IF(AND($M322=1,$A322=经营数据!$B$3,$J322=经营数据!$BA$5,OR($I322=经营数据!$BA$4,COUNTIF(经营数据!$AA$9:$AA$38,$I322)&gt;0)),1,0))</f>
        <v>0</v>
      </c>
      <c r="AA322" t="str">
        <f t="shared" ref="AA322:AA385" si="89">IF($Z322=1,$U322*1000000000000+$W322*100000000+$Y322*10000+ROW(),"")</f>
        <v/>
      </c>
      <c r="AB322" t="str">
        <f t="shared" ref="AB322:AB385" si="90">IF($Z322=1,COUNTIFS($Z$2:$Z$3000,1,$AA$2:$AA$3000,"&lt;"&amp;$AA322)+1,"")</f>
        <v/>
      </c>
      <c r="AC322">
        <f>IF($A322="",0,IF(COUNTIF($A$2:$A322,$A322)=1,1,0))</f>
        <v>0</v>
      </c>
      <c r="AD322">
        <f t="shared" ref="AD322:AD385" si="91">IF($A322="",N(AD321),IF($AC322=1,N(AD321)+1,N(AD321)))</f>
        <v>4</v>
      </c>
      <c r="AE322" t="str">
        <f t="shared" ref="AE322:AE385" si="92">IF($A322="","",$I322&amp;"|"&amp;$K322)</f>
        <v>华威西营里农产品交易中心|各经营业态平均租金情况-干货/调味品（元/平方米/月）</v>
      </c>
      <c r="BP322" s="47">
        <v>45846</v>
      </c>
      <c r="BQ322" s="29">
        <v>3.6065343374074937E-2</v>
      </c>
    </row>
    <row r="323" spans="1:69" x14ac:dyDescent="0.4">
      <c r="A323" t="str">
        <f>IF(原始经营数据!$D324="","",原始经营数据!$D324)</f>
        <v>易方达华威农贸市场封闭式基础设施证券投资基金</v>
      </c>
      <c r="B323" t="str">
        <f>IF(原始经营数据!$D324="","",T(原始经营数据!$E324))</f>
        <v>华威西营里农产品交易中心</v>
      </c>
      <c r="C323" t="str">
        <f>IF(原始经营数据!$D324="","",原始经营数据!$F324)</f>
        <v>2024H1</v>
      </c>
      <c r="D323" t="str">
        <f>IF(原始经营数据!$D324="","",原始经营数据!$H324)</f>
        <v>各经营业态平均租金情况</v>
      </c>
      <c r="E323">
        <f>IF(原始经营数据!$D324="","",原始经营数据!$I324)</f>
        <v>191</v>
      </c>
      <c r="F323" t="str">
        <f>IF(原始经营数据!$D324="","",T(原始经营数据!$J324))</f>
        <v>元/平方米/月</v>
      </c>
      <c r="G323" t="str">
        <f>IF(原始经营数据!$D324="","",T(原始经营数据!$K324))</f>
        <v>商业配套</v>
      </c>
      <c r="H323" t="str">
        <f>IF(原始经营数据!$D324="","",原始经营数据!$G324)</f>
        <v>服务价格</v>
      </c>
      <c r="I323" t="str">
        <f>IF($A323="","",IF($B323&lt;&gt;"",$B323,IF(COUNTIFS(原始经营数据!$D$3:$D$3001,$A323,原始经营数据!$E$3:$E$3001,"",原始经营数据!$F$3:$F$3001,$C323,原始经营数据!$H$3:$H$3001,$D323,原始经营数据!$K$3:$K$3001,$G323)&gt;1,"基金整体·来源"&amp;原始经营数据!$A324,"基金整体")))</f>
        <v>华威西营里农产品交易中心</v>
      </c>
      <c r="J323" t="str">
        <f t="shared" si="78"/>
        <v>其他期间</v>
      </c>
      <c r="K323" t="str">
        <f t="shared" si="79"/>
        <v>各经营业态平均租金情况-商业配套（元/平方米/月）</v>
      </c>
      <c r="L323" t="str">
        <f t="shared" si="80"/>
        <v>华威西营里农产品交易中心|各经营业态平均租金情况-商业配套（元/平方米/月）|其他期间</v>
      </c>
      <c r="M323">
        <f>IF($A323="",0,IF(COUNTIF($L$2:$L323,$L323)=1,1,0))</f>
        <v>1</v>
      </c>
      <c r="N323">
        <f t="shared" si="81"/>
        <v>20249</v>
      </c>
      <c r="O323" t="str">
        <f t="shared" si="82"/>
        <v>易方达华威农贸市场封闭式基础设施证券投资基金|2024H1|其他期间</v>
      </c>
      <c r="P323">
        <f>IF($A323="",0,IF(COUNTIF($O$2:$O323,$O323)=1,1,0))</f>
        <v>0</v>
      </c>
      <c r="Q323" t="str">
        <f>IF(AND($P323=1,$A323=经营数据!$B$3,$J323=经营数据!$BA$5),COUNTIFS($P$2:$P$3000,1,$A$2:$A$3000,$A323,$J$2:$J$3000,$J323,$N$2:$N$3000,"&lt;"&amp;$N323)+1,"")</f>
        <v/>
      </c>
      <c r="R323" t="str">
        <f t="shared" si="83"/>
        <v>易方达华威农贸市场封闭式基础设施证券投资基金|华威西营里农产品交易中心</v>
      </c>
      <c r="S323">
        <f>IF($A323="",0,IF(COUNTIF($R$2:$R323,$R323)=1,1,0))</f>
        <v>0</v>
      </c>
      <c r="T323">
        <f t="shared" si="84"/>
        <v>204</v>
      </c>
      <c r="U323" t="str">
        <f>IF($A323="","",IF($A323=经营数据!$B$3,COUNTIFS($S$2:$S$3000,1,$A$2:$A$3000,$A323,$T$2:$T$3000,"&lt;"&amp;$T323)+1,""))</f>
        <v/>
      </c>
      <c r="V323" t="str">
        <f t="shared" si="85"/>
        <v>华威西营里农产品交易中心|服务价格</v>
      </c>
      <c r="W323">
        <f t="shared" si="86"/>
        <v>204</v>
      </c>
      <c r="X323" t="str">
        <f t="shared" si="87"/>
        <v>华威西营里农产品交易中心|各经营业态平均租金情况</v>
      </c>
      <c r="Y323">
        <f t="shared" si="88"/>
        <v>204</v>
      </c>
      <c r="Z323">
        <f>IF($A323="",0,IF(AND($M323=1,$A323=经营数据!$B$3,$J323=经营数据!$BA$5,OR($I323=经营数据!$BA$4,COUNTIF(经营数据!$AA$9:$AA$38,$I323)&gt;0)),1,0))</f>
        <v>0</v>
      </c>
      <c r="AA323" t="str">
        <f t="shared" si="89"/>
        <v/>
      </c>
      <c r="AB323" t="str">
        <f t="shared" si="90"/>
        <v/>
      </c>
      <c r="AC323">
        <f>IF($A323="",0,IF(COUNTIF($A$2:$A323,$A323)=1,1,0))</f>
        <v>0</v>
      </c>
      <c r="AD323">
        <f t="shared" si="91"/>
        <v>4</v>
      </c>
      <c r="AE323" t="str">
        <f t="shared" si="92"/>
        <v>华威西营里农产品交易中心|各经营业态平均租金情况-商业配套（元/平方米/月）</v>
      </c>
      <c r="BP323" s="47">
        <v>45847</v>
      </c>
      <c r="BQ323" s="29">
        <v>3.624030356383303E-2</v>
      </c>
    </row>
    <row r="324" spans="1:69" x14ac:dyDescent="0.4">
      <c r="A324" t="str">
        <f>IF(原始经营数据!$D325="","",原始经营数据!$D325)</f>
        <v>易方达华威农贸市场封闭式基础设施证券投资基金</v>
      </c>
      <c r="B324" t="str">
        <f>IF(原始经营数据!$D325="","",T(原始经营数据!$E325))</f>
        <v>华威西营里农产品交易中心</v>
      </c>
      <c r="C324" t="str">
        <f>IF(原始经营数据!$D325="","",原始经营数据!$F325)</f>
        <v>2024H1</v>
      </c>
      <c r="D324" t="str">
        <f>IF(原始经营数据!$D325="","",原始经营数据!$H325)</f>
        <v>各业态租金复合增长率</v>
      </c>
      <c r="E324">
        <f>IF(原始经营数据!$D325="","",原始经营数据!$I325)</f>
        <v>4.46</v>
      </c>
      <c r="F324" t="str">
        <f>IF(原始经营数据!$D325="","",T(原始经营数据!$J325))</f>
        <v>%</v>
      </c>
      <c r="G324" t="str">
        <f>IF(原始经营数据!$D325="","",T(原始经营数据!$K325))</f>
        <v>冻品</v>
      </c>
      <c r="H324" t="str">
        <f>IF(原始经营数据!$D325="","",原始经营数据!$G325)</f>
        <v>服务效率</v>
      </c>
      <c r="I324" t="str">
        <f>IF($A324="","",IF($B324&lt;&gt;"",$B324,IF(COUNTIFS(原始经营数据!$D$3:$D$3001,$A324,原始经营数据!$E$3:$E$3001,"",原始经营数据!$F$3:$F$3001,$C324,原始经营数据!$H$3:$H$3001,$D324,原始经营数据!$K$3:$K$3001,$G324)&gt;1,"基金整体·来源"&amp;原始经营数据!$A325,"基金整体")))</f>
        <v>华威西营里农产品交易中心</v>
      </c>
      <c r="J324" t="str">
        <f t="shared" si="78"/>
        <v>其他期间</v>
      </c>
      <c r="K324" t="str">
        <f t="shared" si="79"/>
        <v>各业态租金复合增长率-冻品（%）</v>
      </c>
      <c r="L324" t="str">
        <f t="shared" si="80"/>
        <v>华威西营里农产品交易中心|各业态租金复合增长率-冻品（%）|其他期间</v>
      </c>
      <c r="M324">
        <f>IF($A324="",0,IF(COUNTIF($L$2:$L324,$L324)=1,1,0))</f>
        <v>1</v>
      </c>
      <c r="N324">
        <f t="shared" si="81"/>
        <v>20249</v>
      </c>
      <c r="O324" t="str">
        <f t="shared" si="82"/>
        <v>易方达华威农贸市场封闭式基础设施证券投资基金|2024H1|其他期间</v>
      </c>
      <c r="P324">
        <f>IF($A324="",0,IF(COUNTIF($O$2:$O324,$O324)=1,1,0))</f>
        <v>0</v>
      </c>
      <c r="Q324" t="str">
        <f>IF(AND($P324=1,$A324=经营数据!$B$3,$J324=经营数据!$BA$5),COUNTIFS($P$2:$P$3000,1,$A$2:$A$3000,$A324,$J$2:$J$3000,$J324,$N$2:$N$3000,"&lt;"&amp;$N324)+1,"")</f>
        <v/>
      </c>
      <c r="R324" t="str">
        <f t="shared" si="83"/>
        <v>易方达华威农贸市场封闭式基础设施证券投资基金|华威西营里农产品交易中心</v>
      </c>
      <c r="S324">
        <f>IF($A324="",0,IF(COUNTIF($R$2:$R324,$R324)=1,1,0))</f>
        <v>0</v>
      </c>
      <c r="T324">
        <f t="shared" si="84"/>
        <v>204</v>
      </c>
      <c r="U324" t="str">
        <f>IF($A324="","",IF($A324=经营数据!$B$3,COUNTIFS($S$2:$S$3000,1,$A$2:$A$3000,$A324,$T$2:$T$3000,"&lt;"&amp;$T324)+1,""))</f>
        <v/>
      </c>
      <c r="V324" t="str">
        <f t="shared" si="85"/>
        <v>华威西营里农产品交易中心|服务效率</v>
      </c>
      <c r="W324">
        <f t="shared" si="86"/>
        <v>205</v>
      </c>
      <c r="X324" t="str">
        <f t="shared" si="87"/>
        <v>华威西营里农产品交易中心|各业态租金复合增长率</v>
      </c>
      <c r="Y324">
        <f t="shared" si="88"/>
        <v>313</v>
      </c>
      <c r="Z324">
        <f>IF($A324="",0,IF(AND($M324=1,$A324=经营数据!$B$3,$J324=经营数据!$BA$5,OR($I324=经营数据!$BA$4,COUNTIF(经营数据!$AA$9:$AA$38,$I324)&gt;0)),1,0))</f>
        <v>0</v>
      </c>
      <c r="AA324" t="str">
        <f t="shared" si="89"/>
        <v/>
      </c>
      <c r="AB324" t="str">
        <f t="shared" si="90"/>
        <v/>
      </c>
      <c r="AC324">
        <f>IF($A324="",0,IF(COUNTIF($A$2:$A324,$A324)=1,1,0))</f>
        <v>0</v>
      </c>
      <c r="AD324">
        <f t="shared" si="91"/>
        <v>4</v>
      </c>
      <c r="AE324" t="str">
        <f t="shared" si="92"/>
        <v>华威西营里农产品交易中心|各业态租金复合增长率-冻品（%）</v>
      </c>
      <c r="BP324" s="47">
        <v>45848</v>
      </c>
      <c r="BQ324" s="29">
        <v>3.6264714539885307E-2</v>
      </c>
    </row>
    <row r="325" spans="1:69" x14ac:dyDescent="0.4">
      <c r="A325" t="str">
        <f>IF(原始经营数据!$D326="","",原始经营数据!$D326)</f>
        <v>易方达华威农贸市场封闭式基础设施证券投资基金</v>
      </c>
      <c r="B325" t="str">
        <f>IF(原始经营数据!$D326="","",T(原始经营数据!$E326))</f>
        <v>华威西营里农产品交易中心</v>
      </c>
      <c r="C325" t="str">
        <f>IF(原始经营数据!$D326="","",原始经营数据!$F326)</f>
        <v>2024H1</v>
      </c>
      <c r="D325" t="str">
        <f>IF(原始经营数据!$D326="","",原始经营数据!$H326)</f>
        <v>各业态租金复合增长率</v>
      </c>
      <c r="E325">
        <f>IF(原始经营数据!$D326="","",原始经营数据!$I326)</f>
        <v>4.76</v>
      </c>
      <c r="F325" t="str">
        <f>IF(原始经营数据!$D326="","",T(原始经营数据!$J326))</f>
        <v>%</v>
      </c>
      <c r="G325" t="str">
        <f>IF(原始经营数据!$D326="","",T(原始经营数据!$K326))</f>
        <v>水产品</v>
      </c>
      <c r="H325" t="str">
        <f>IF(原始经营数据!$D326="","",原始经营数据!$G326)</f>
        <v>服务效率</v>
      </c>
      <c r="I325" t="str">
        <f>IF($A325="","",IF($B325&lt;&gt;"",$B325,IF(COUNTIFS(原始经营数据!$D$3:$D$3001,$A325,原始经营数据!$E$3:$E$3001,"",原始经营数据!$F$3:$F$3001,$C325,原始经营数据!$H$3:$H$3001,$D325,原始经营数据!$K$3:$K$3001,$G325)&gt;1,"基金整体·来源"&amp;原始经营数据!$A326,"基金整体")))</f>
        <v>华威西营里农产品交易中心</v>
      </c>
      <c r="J325" t="str">
        <f t="shared" si="78"/>
        <v>其他期间</v>
      </c>
      <c r="K325" t="str">
        <f t="shared" si="79"/>
        <v>各业态租金复合增长率-水产品（%）</v>
      </c>
      <c r="L325" t="str">
        <f t="shared" si="80"/>
        <v>华威西营里农产品交易中心|各业态租金复合增长率-水产品（%）|其他期间</v>
      </c>
      <c r="M325">
        <f>IF($A325="",0,IF(COUNTIF($L$2:$L325,$L325)=1,1,0))</f>
        <v>1</v>
      </c>
      <c r="N325">
        <f t="shared" si="81"/>
        <v>20249</v>
      </c>
      <c r="O325" t="str">
        <f t="shared" si="82"/>
        <v>易方达华威农贸市场封闭式基础设施证券投资基金|2024H1|其他期间</v>
      </c>
      <c r="P325">
        <f>IF($A325="",0,IF(COUNTIF($O$2:$O325,$O325)=1,1,0))</f>
        <v>0</v>
      </c>
      <c r="Q325" t="str">
        <f>IF(AND($P325=1,$A325=经营数据!$B$3,$J325=经营数据!$BA$5),COUNTIFS($P$2:$P$3000,1,$A$2:$A$3000,$A325,$J$2:$J$3000,$J325,$N$2:$N$3000,"&lt;"&amp;$N325)+1,"")</f>
        <v/>
      </c>
      <c r="R325" t="str">
        <f t="shared" si="83"/>
        <v>易方达华威农贸市场封闭式基础设施证券投资基金|华威西营里农产品交易中心</v>
      </c>
      <c r="S325">
        <f>IF($A325="",0,IF(COUNTIF($R$2:$R325,$R325)=1,1,0))</f>
        <v>0</v>
      </c>
      <c r="T325">
        <f t="shared" si="84"/>
        <v>204</v>
      </c>
      <c r="U325" t="str">
        <f>IF($A325="","",IF($A325=经营数据!$B$3,COUNTIFS($S$2:$S$3000,1,$A$2:$A$3000,$A325,$T$2:$T$3000,"&lt;"&amp;$T325)+1,""))</f>
        <v/>
      </c>
      <c r="V325" t="str">
        <f t="shared" si="85"/>
        <v>华威西营里农产品交易中心|服务效率</v>
      </c>
      <c r="W325">
        <f t="shared" si="86"/>
        <v>205</v>
      </c>
      <c r="X325" t="str">
        <f t="shared" si="87"/>
        <v>华威西营里农产品交易中心|各业态租金复合增长率</v>
      </c>
      <c r="Y325">
        <f t="shared" si="88"/>
        <v>313</v>
      </c>
      <c r="Z325">
        <f>IF($A325="",0,IF(AND($M325=1,$A325=经营数据!$B$3,$J325=经营数据!$BA$5,OR($I325=经营数据!$BA$4,COUNTIF(经营数据!$AA$9:$AA$38,$I325)&gt;0)),1,0))</f>
        <v>0</v>
      </c>
      <c r="AA325" t="str">
        <f t="shared" si="89"/>
        <v/>
      </c>
      <c r="AB325" t="str">
        <f t="shared" si="90"/>
        <v/>
      </c>
      <c r="AC325">
        <f>IF($A325="",0,IF(COUNTIF($A$2:$A325,$A325)=1,1,0))</f>
        <v>0</v>
      </c>
      <c r="AD325">
        <f t="shared" si="91"/>
        <v>4</v>
      </c>
      <c r="AE325" t="str">
        <f t="shared" si="92"/>
        <v>华威西营里农产品交易中心|各业态租金复合增长率-水产品（%）</v>
      </c>
      <c r="BP325" s="47">
        <v>45849</v>
      </c>
      <c r="BQ325" s="29">
        <v>3.6385144429264313E-2</v>
      </c>
    </row>
    <row r="326" spans="1:69" x14ac:dyDescent="0.4">
      <c r="A326" t="str">
        <f>IF(原始经营数据!$D327="","",原始经营数据!$D327)</f>
        <v>易方达华威农贸市场封闭式基础设施证券投资基金</v>
      </c>
      <c r="B326" t="str">
        <f>IF(原始经营数据!$D327="","",T(原始经营数据!$E327))</f>
        <v>华威西营里农产品交易中心</v>
      </c>
      <c r="C326" t="str">
        <f>IF(原始经营数据!$D327="","",原始经营数据!$F327)</f>
        <v>2024H1</v>
      </c>
      <c r="D326" t="str">
        <f>IF(原始经营数据!$D327="","",原始经营数据!$H327)</f>
        <v>各经营业态平均租金情况</v>
      </c>
      <c r="E326">
        <f>IF(原始经营数据!$D327="","",原始经营数据!$I327)</f>
        <v>97</v>
      </c>
      <c r="F326" t="str">
        <f>IF(原始经营数据!$D327="","",T(原始经营数据!$J327))</f>
        <v>元/平方米/月</v>
      </c>
      <c r="G326" t="str">
        <f>IF(原始经营数据!$D327="","",T(原始经营数据!$K327))</f>
        <v>冷库</v>
      </c>
      <c r="H326" t="str">
        <f>IF(原始经营数据!$D327="","",原始经营数据!$G327)</f>
        <v>服务价格</v>
      </c>
      <c r="I326" t="str">
        <f>IF($A326="","",IF($B326&lt;&gt;"",$B326,IF(COUNTIFS(原始经营数据!$D$3:$D$3001,$A326,原始经营数据!$E$3:$E$3001,"",原始经营数据!$F$3:$F$3001,$C326,原始经营数据!$H$3:$H$3001,$D326,原始经营数据!$K$3:$K$3001,$G326)&gt;1,"基金整体·来源"&amp;原始经营数据!$A327,"基金整体")))</f>
        <v>华威西营里农产品交易中心</v>
      </c>
      <c r="J326" t="str">
        <f t="shared" si="78"/>
        <v>其他期间</v>
      </c>
      <c r="K326" t="str">
        <f t="shared" si="79"/>
        <v>各经营业态平均租金情况-冷库（元/平方米/月）</v>
      </c>
      <c r="L326" t="str">
        <f t="shared" si="80"/>
        <v>华威西营里农产品交易中心|各经营业态平均租金情况-冷库（元/平方米/月）|其他期间</v>
      </c>
      <c r="M326">
        <f>IF($A326="",0,IF(COUNTIF($L$2:$L326,$L326)=1,1,0))</f>
        <v>1</v>
      </c>
      <c r="N326">
        <f t="shared" si="81"/>
        <v>20249</v>
      </c>
      <c r="O326" t="str">
        <f t="shared" si="82"/>
        <v>易方达华威农贸市场封闭式基础设施证券投资基金|2024H1|其他期间</v>
      </c>
      <c r="P326">
        <f>IF($A326="",0,IF(COUNTIF($O$2:$O326,$O326)=1,1,0))</f>
        <v>0</v>
      </c>
      <c r="Q326" t="str">
        <f>IF(AND($P326=1,$A326=经营数据!$B$3,$J326=经营数据!$BA$5),COUNTIFS($P$2:$P$3000,1,$A$2:$A$3000,$A326,$J$2:$J$3000,$J326,$N$2:$N$3000,"&lt;"&amp;$N326)+1,"")</f>
        <v/>
      </c>
      <c r="R326" t="str">
        <f t="shared" si="83"/>
        <v>易方达华威农贸市场封闭式基础设施证券投资基金|华威西营里农产品交易中心</v>
      </c>
      <c r="S326">
        <f>IF($A326="",0,IF(COUNTIF($R$2:$R326,$R326)=1,1,0))</f>
        <v>0</v>
      </c>
      <c r="T326">
        <f t="shared" si="84"/>
        <v>204</v>
      </c>
      <c r="U326" t="str">
        <f>IF($A326="","",IF($A326=经营数据!$B$3,COUNTIFS($S$2:$S$3000,1,$A$2:$A$3000,$A326,$T$2:$T$3000,"&lt;"&amp;$T326)+1,""))</f>
        <v/>
      </c>
      <c r="V326" t="str">
        <f t="shared" si="85"/>
        <v>华威西营里农产品交易中心|服务价格</v>
      </c>
      <c r="W326">
        <f t="shared" si="86"/>
        <v>204</v>
      </c>
      <c r="X326" t="str">
        <f t="shared" si="87"/>
        <v>华威西营里农产品交易中心|各经营业态平均租金情况</v>
      </c>
      <c r="Y326">
        <f t="shared" si="88"/>
        <v>204</v>
      </c>
      <c r="Z326">
        <f>IF($A326="",0,IF(AND($M326=1,$A326=经营数据!$B$3,$J326=经营数据!$BA$5,OR($I326=经营数据!$BA$4,COUNTIF(经营数据!$AA$9:$AA$38,$I326)&gt;0)),1,0))</f>
        <v>0</v>
      </c>
      <c r="AA326" t="str">
        <f t="shared" si="89"/>
        <v/>
      </c>
      <c r="AB326" t="str">
        <f t="shared" si="90"/>
        <v/>
      </c>
      <c r="AC326">
        <f>IF($A326="",0,IF(COUNTIF($A$2:$A326,$A326)=1,1,0))</f>
        <v>0</v>
      </c>
      <c r="AD326">
        <f t="shared" si="91"/>
        <v>4</v>
      </c>
      <c r="AE326" t="str">
        <f t="shared" si="92"/>
        <v>华威西营里农产品交易中心|各经营业态平均租金情况-冷库（元/平方米/月）</v>
      </c>
      <c r="BP326" s="47">
        <v>45852</v>
      </c>
      <c r="BQ326" s="29">
        <v>3.6376879003853058E-2</v>
      </c>
    </row>
    <row r="327" spans="1:69" x14ac:dyDescent="0.4">
      <c r="A327" t="str">
        <f>IF(原始经营数据!$D328="","",原始经营数据!$D328)</f>
        <v>易方达华威农贸市场封闭式基础设施证券投资基金</v>
      </c>
      <c r="B327" t="str">
        <f>IF(原始经营数据!$D328="","",T(原始经营数据!$E328))</f>
        <v>华威西营里农产品交易中心</v>
      </c>
      <c r="C327" t="str">
        <f>IF(原始经营数据!$D328="","",原始经营数据!$F328)</f>
        <v>2024H1</v>
      </c>
      <c r="D327" t="str">
        <f>IF(原始经营数据!$D328="","",原始经营数据!$H328)</f>
        <v>各经营业态平均租金情况</v>
      </c>
      <c r="E327">
        <f>IF(原始经营数据!$D328="","",原始经营数据!$I328)</f>
        <v>39</v>
      </c>
      <c r="F327" t="str">
        <f>IF(原始经营数据!$D328="","",T(原始经营数据!$J328))</f>
        <v>元/平方米/月</v>
      </c>
      <c r="G327" t="str">
        <f>IF(原始经营数据!$D328="","",T(原始经营数据!$K328))</f>
        <v>仓库</v>
      </c>
      <c r="H327" t="str">
        <f>IF(原始经营数据!$D328="","",原始经营数据!$G328)</f>
        <v>服务价格</v>
      </c>
      <c r="I327" t="str">
        <f>IF($A327="","",IF($B327&lt;&gt;"",$B327,IF(COUNTIFS(原始经营数据!$D$3:$D$3001,$A327,原始经营数据!$E$3:$E$3001,"",原始经营数据!$F$3:$F$3001,$C327,原始经营数据!$H$3:$H$3001,$D327,原始经营数据!$K$3:$K$3001,$G327)&gt;1,"基金整体·来源"&amp;原始经营数据!$A328,"基金整体")))</f>
        <v>华威西营里农产品交易中心</v>
      </c>
      <c r="J327" t="str">
        <f t="shared" si="78"/>
        <v>其他期间</v>
      </c>
      <c r="K327" t="str">
        <f t="shared" si="79"/>
        <v>各经营业态平均租金情况-仓库（元/平方米/月）</v>
      </c>
      <c r="L327" t="str">
        <f t="shared" si="80"/>
        <v>华威西营里农产品交易中心|各经营业态平均租金情况-仓库（元/平方米/月）|其他期间</v>
      </c>
      <c r="M327">
        <f>IF($A327="",0,IF(COUNTIF($L$2:$L327,$L327)=1,1,0))</f>
        <v>1</v>
      </c>
      <c r="N327">
        <f t="shared" si="81"/>
        <v>20249</v>
      </c>
      <c r="O327" t="str">
        <f t="shared" si="82"/>
        <v>易方达华威农贸市场封闭式基础设施证券投资基金|2024H1|其他期间</v>
      </c>
      <c r="P327">
        <f>IF($A327="",0,IF(COUNTIF($O$2:$O327,$O327)=1,1,0))</f>
        <v>0</v>
      </c>
      <c r="Q327" t="str">
        <f>IF(AND($P327=1,$A327=经营数据!$B$3,$J327=经营数据!$BA$5),COUNTIFS($P$2:$P$3000,1,$A$2:$A$3000,$A327,$J$2:$J$3000,$J327,$N$2:$N$3000,"&lt;"&amp;$N327)+1,"")</f>
        <v/>
      </c>
      <c r="R327" t="str">
        <f t="shared" si="83"/>
        <v>易方达华威农贸市场封闭式基础设施证券投资基金|华威西营里农产品交易中心</v>
      </c>
      <c r="S327">
        <f>IF($A327="",0,IF(COUNTIF($R$2:$R327,$R327)=1,1,0))</f>
        <v>0</v>
      </c>
      <c r="T327">
        <f t="shared" si="84"/>
        <v>204</v>
      </c>
      <c r="U327" t="str">
        <f>IF($A327="","",IF($A327=经营数据!$B$3,COUNTIFS($S$2:$S$3000,1,$A$2:$A$3000,$A327,$T$2:$T$3000,"&lt;"&amp;$T327)+1,""))</f>
        <v/>
      </c>
      <c r="V327" t="str">
        <f t="shared" si="85"/>
        <v>华威西营里农产品交易中心|服务价格</v>
      </c>
      <c r="W327">
        <f t="shared" si="86"/>
        <v>204</v>
      </c>
      <c r="X327" t="str">
        <f t="shared" si="87"/>
        <v>华威西营里农产品交易中心|各经营业态平均租金情况</v>
      </c>
      <c r="Y327">
        <f t="shared" si="88"/>
        <v>204</v>
      </c>
      <c r="Z327">
        <f>IF($A327="",0,IF(AND($M327=1,$A327=经营数据!$B$3,$J327=经营数据!$BA$5,OR($I327=经营数据!$BA$4,COUNTIF(经营数据!$AA$9:$AA$38,$I327)&gt;0)),1,0))</f>
        <v>0</v>
      </c>
      <c r="AA327" t="str">
        <f t="shared" si="89"/>
        <v/>
      </c>
      <c r="AB327" t="str">
        <f t="shared" si="90"/>
        <v/>
      </c>
      <c r="AC327">
        <f>IF($A327="",0,IF(COUNTIF($A$2:$A327,$A327)=1,1,0))</f>
        <v>0</v>
      </c>
      <c r="AD327">
        <f t="shared" si="91"/>
        <v>4</v>
      </c>
      <c r="AE327" t="str">
        <f t="shared" si="92"/>
        <v>华威西营里农产品交易中心|各经营业态平均租金情况-仓库（元/平方米/月）</v>
      </c>
      <c r="BP327" s="47">
        <v>45853</v>
      </c>
      <c r="BQ327" s="29">
        <v>3.6129187472412408E-2</v>
      </c>
    </row>
    <row r="328" spans="1:69" x14ac:dyDescent="0.4">
      <c r="A328" t="str">
        <f>IF(原始经营数据!$D329="","",原始经营数据!$D329)</f>
        <v>易方达华威农贸市场封闭式基础设施证券投资基金</v>
      </c>
      <c r="B328" t="str">
        <f>IF(原始经营数据!$D329="","",T(原始经营数据!$E329))</f>
        <v>华威西营里农产品交易中心</v>
      </c>
      <c r="C328" t="str">
        <f>IF(原始经营数据!$D329="","",原始经营数据!$F329)</f>
        <v>2024H1</v>
      </c>
      <c r="D328" t="str">
        <f>IF(原始经营数据!$D329="","",原始经营数据!$H329)</f>
        <v>各经营业态平均租金情况</v>
      </c>
      <c r="E328">
        <f>IF(原始经营数据!$D329="","",原始经营数据!$I329)</f>
        <v>50</v>
      </c>
      <c r="F328" t="str">
        <f>IF(原始经营数据!$D329="","",T(原始经营数据!$J329))</f>
        <v>元/平方米/月</v>
      </c>
      <c r="G328" t="str">
        <f>IF(原始经营数据!$D329="","",T(原始经营数据!$K329))</f>
        <v>电商直播基地</v>
      </c>
      <c r="H328" t="str">
        <f>IF(原始经营数据!$D329="","",原始经营数据!$G329)</f>
        <v>服务价格</v>
      </c>
      <c r="I328" t="str">
        <f>IF($A328="","",IF($B328&lt;&gt;"",$B328,IF(COUNTIFS(原始经营数据!$D$3:$D$3001,$A328,原始经营数据!$E$3:$E$3001,"",原始经营数据!$F$3:$F$3001,$C328,原始经营数据!$H$3:$H$3001,$D328,原始经营数据!$K$3:$K$3001,$G328)&gt;1,"基金整体·来源"&amp;原始经营数据!$A329,"基金整体")))</f>
        <v>华威西营里农产品交易中心</v>
      </c>
      <c r="J328" t="str">
        <f t="shared" si="78"/>
        <v>其他期间</v>
      </c>
      <c r="K328" t="str">
        <f t="shared" si="79"/>
        <v>各经营业态平均租金情况-电商直播基地（元/平方米/月）</v>
      </c>
      <c r="L328" t="str">
        <f t="shared" si="80"/>
        <v>华威西营里农产品交易中心|各经营业态平均租金情况-电商直播基地（元/平方米/月）|其他期间</v>
      </c>
      <c r="M328">
        <f>IF($A328="",0,IF(COUNTIF($L$2:$L328,$L328)=1,1,0))</f>
        <v>1</v>
      </c>
      <c r="N328">
        <f t="shared" si="81"/>
        <v>20249</v>
      </c>
      <c r="O328" t="str">
        <f t="shared" si="82"/>
        <v>易方达华威农贸市场封闭式基础设施证券投资基金|2024H1|其他期间</v>
      </c>
      <c r="P328">
        <f>IF($A328="",0,IF(COUNTIF($O$2:$O328,$O328)=1,1,0))</f>
        <v>0</v>
      </c>
      <c r="Q328" t="str">
        <f>IF(AND($P328=1,$A328=经营数据!$B$3,$J328=经营数据!$BA$5),COUNTIFS($P$2:$P$3000,1,$A$2:$A$3000,$A328,$J$2:$J$3000,$J328,$N$2:$N$3000,"&lt;"&amp;$N328)+1,"")</f>
        <v/>
      </c>
      <c r="R328" t="str">
        <f t="shared" si="83"/>
        <v>易方达华威农贸市场封闭式基础设施证券投资基金|华威西营里农产品交易中心</v>
      </c>
      <c r="S328">
        <f>IF($A328="",0,IF(COUNTIF($R$2:$R328,$R328)=1,1,0))</f>
        <v>0</v>
      </c>
      <c r="T328">
        <f t="shared" si="84"/>
        <v>204</v>
      </c>
      <c r="U328" t="str">
        <f>IF($A328="","",IF($A328=经营数据!$B$3,COUNTIFS($S$2:$S$3000,1,$A$2:$A$3000,$A328,$T$2:$T$3000,"&lt;"&amp;$T328)+1,""))</f>
        <v/>
      </c>
      <c r="V328" t="str">
        <f t="shared" si="85"/>
        <v>华威西营里农产品交易中心|服务价格</v>
      </c>
      <c r="W328">
        <f t="shared" si="86"/>
        <v>204</v>
      </c>
      <c r="X328" t="str">
        <f t="shared" si="87"/>
        <v>华威西营里农产品交易中心|各经营业态平均租金情况</v>
      </c>
      <c r="Y328">
        <f t="shared" si="88"/>
        <v>204</v>
      </c>
      <c r="Z328">
        <f>IF($A328="",0,IF(AND($M328=1,$A328=经营数据!$B$3,$J328=经营数据!$BA$5,OR($I328=经营数据!$BA$4,COUNTIF(经营数据!$AA$9:$AA$38,$I328)&gt;0)),1,0))</f>
        <v>0</v>
      </c>
      <c r="AA328" t="str">
        <f t="shared" si="89"/>
        <v/>
      </c>
      <c r="AB328" t="str">
        <f t="shared" si="90"/>
        <v/>
      </c>
      <c r="AC328">
        <f>IF($A328="",0,IF(COUNTIF($A$2:$A328,$A328)=1,1,0))</f>
        <v>0</v>
      </c>
      <c r="AD328">
        <f t="shared" si="91"/>
        <v>4</v>
      </c>
      <c r="AE328" t="str">
        <f t="shared" si="92"/>
        <v>华威西营里农产品交易中心|各经营业态平均租金情况-电商直播基地（元/平方米/月）</v>
      </c>
      <c r="BP328" s="47">
        <v>45854</v>
      </c>
      <c r="BQ328" s="29">
        <v>3.6025711128608917E-2</v>
      </c>
    </row>
    <row r="329" spans="1:69" x14ac:dyDescent="0.4">
      <c r="A329" t="str">
        <f>IF(原始经营数据!$D330="","",原始经营数据!$D330)</f>
        <v>易方达华威农贸市场封闭式基础设施证券投资基金</v>
      </c>
      <c r="B329" t="str">
        <f>IF(原始经营数据!$D330="","",T(原始经营数据!$E330))</f>
        <v>华威西营里农产品交易中心</v>
      </c>
      <c r="C329" t="str">
        <f>IF(原始经营数据!$D330="","",原始经营数据!$F330)</f>
        <v>2024H1</v>
      </c>
      <c r="D329" t="str">
        <f>IF(原始经营数据!$D330="","",原始经营数据!$H330)</f>
        <v>各经营业态平均租金情况</v>
      </c>
      <c r="E329">
        <f>IF(原始经营数据!$D330="","",原始经营数据!$I330)</f>
        <v>60</v>
      </c>
      <c r="F329" t="str">
        <f>IF(原始经营数据!$D330="","",T(原始经营数据!$J330))</f>
        <v>元/平方米/月</v>
      </c>
      <c r="G329" t="str">
        <f>IF(原始经营数据!$D330="","",T(原始经营数据!$K330))</f>
        <v>海鲜美食体验</v>
      </c>
      <c r="H329" t="str">
        <f>IF(原始经营数据!$D330="","",原始经营数据!$G330)</f>
        <v>服务价格</v>
      </c>
      <c r="I329" t="str">
        <f>IF($A329="","",IF($B329&lt;&gt;"",$B329,IF(COUNTIFS(原始经营数据!$D$3:$D$3001,$A329,原始经营数据!$E$3:$E$3001,"",原始经营数据!$F$3:$F$3001,$C329,原始经营数据!$H$3:$H$3001,$D329,原始经营数据!$K$3:$K$3001,$G329)&gt;1,"基金整体·来源"&amp;原始经营数据!$A330,"基金整体")))</f>
        <v>华威西营里农产品交易中心</v>
      </c>
      <c r="J329" t="str">
        <f t="shared" si="78"/>
        <v>其他期间</v>
      </c>
      <c r="K329" t="str">
        <f t="shared" si="79"/>
        <v>各经营业态平均租金情况-海鲜美食体验（元/平方米/月）</v>
      </c>
      <c r="L329" t="str">
        <f t="shared" si="80"/>
        <v>华威西营里农产品交易中心|各经营业态平均租金情况-海鲜美食体验（元/平方米/月）|其他期间</v>
      </c>
      <c r="M329">
        <f>IF($A329="",0,IF(COUNTIF($L$2:$L329,$L329)=1,1,0))</f>
        <v>1</v>
      </c>
      <c r="N329">
        <f t="shared" si="81"/>
        <v>20249</v>
      </c>
      <c r="O329" t="str">
        <f t="shared" si="82"/>
        <v>易方达华威农贸市场封闭式基础设施证券投资基金|2024H1|其他期间</v>
      </c>
      <c r="P329">
        <f>IF($A329="",0,IF(COUNTIF($O$2:$O329,$O329)=1,1,0))</f>
        <v>0</v>
      </c>
      <c r="Q329" t="str">
        <f>IF(AND($P329=1,$A329=经营数据!$B$3,$J329=经营数据!$BA$5),COUNTIFS($P$2:$P$3000,1,$A$2:$A$3000,$A329,$J$2:$J$3000,$J329,$N$2:$N$3000,"&lt;"&amp;$N329)+1,"")</f>
        <v/>
      </c>
      <c r="R329" t="str">
        <f t="shared" si="83"/>
        <v>易方达华威农贸市场封闭式基础设施证券投资基金|华威西营里农产品交易中心</v>
      </c>
      <c r="S329">
        <f>IF($A329="",0,IF(COUNTIF($R$2:$R329,$R329)=1,1,0))</f>
        <v>0</v>
      </c>
      <c r="T329">
        <f t="shared" si="84"/>
        <v>204</v>
      </c>
      <c r="U329" t="str">
        <f>IF($A329="","",IF($A329=经营数据!$B$3,COUNTIFS($S$2:$S$3000,1,$A$2:$A$3000,$A329,$T$2:$T$3000,"&lt;"&amp;$T329)+1,""))</f>
        <v/>
      </c>
      <c r="V329" t="str">
        <f t="shared" si="85"/>
        <v>华威西营里农产品交易中心|服务价格</v>
      </c>
      <c r="W329">
        <f t="shared" si="86"/>
        <v>204</v>
      </c>
      <c r="X329" t="str">
        <f t="shared" si="87"/>
        <v>华威西营里农产品交易中心|各经营业态平均租金情况</v>
      </c>
      <c r="Y329">
        <f t="shared" si="88"/>
        <v>204</v>
      </c>
      <c r="Z329">
        <f>IF($A329="",0,IF(AND($M329=1,$A329=经营数据!$B$3,$J329=经营数据!$BA$5,OR($I329=经营数据!$BA$4,COUNTIF(经营数据!$AA$9:$AA$38,$I329)&gt;0)),1,0))</f>
        <v>0</v>
      </c>
      <c r="AA329" t="str">
        <f t="shared" si="89"/>
        <v/>
      </c>
      <c r="AB329" t="str">
        <f t="shared" si="90"/>
        <v/>
      </c>
      <c r="AC329">
        <f>IF($A329="",0,IF(COUNTIF($A$2:$A329,$A329)=1,1,0))</f>
        <v>0</v>
      </c>
      <c r="AD329">
        <f t="shared" si="91"/>
        <v>4</v>
      </c>
      <c r="AE329" t="str">
        <f t="shared" si="92"/>
        <v>华威西营里农产品交易中心|各经营业态平均租金情况-海鲜美食体验（元/平方米/月）</v>
      </c>
      <c r="BP329" s="47">
        <v>45855</v>
      </c>
      <c r="BQ329" s="29">
        <v>3.616349769506267E-2</v>
      </c>
    </row>
    <row r="330" spans="1:69" x14ac:dyDescent="0.4">
      <c r="A330" t="str">
        <f>IF(原始经营数据!$D331="","",原始经营数据!$D331)</f>
        <v>易方达华威农贸市场封闭式基础设施证券投资基金</v>
      </c>
      <c r="B330" t="str">
        <f>IF(原始经营数据!$D331="","",T(原始经营数据!$E331))</f>
        <v>华威西营里农产品交易中心</v>
      </c>
      <c r="C330" t="str">
        <f>IF(原始经营数据!$D331="","",原始经营数据!$F331)</f>
        <v>2024H1</v>
      </c>
      <c r="D330" t="str">
        <f>IF(原始经营数据!$D331="","",原始经营数据!$H331)</f>
        <v>各经营业态平均租金情况</v>
      </c>
      <c r="E330">
        <f>IF(原始经营数据!$D331="","",原始经营数据!$I331)</f>
        <v>247</v>
      </c>
      <c r="F330" t="str">
        <f>IF(原始经营数据!$D331="","",T(原始经营数据!$J331))</f>
        <v>元/平方米/月</v>
      </c>
      <c r="G330" t="str">
        <f>IF(原始经营数据!$D331="","",T(原始经营数据!$K331))</f>
        <v>冻品</v>
      </c>
      <c r="H330" t="str">
        <f>IF(原始经营数据!$D331="","",原始经营数据!$G331)</f>
        <v>服务价格</v>
      </c>
      <c r="I330" t="str">
        <f>IF($A330="","",IF($B330&lt;&gt;"",$B330,IF(COUNTIFS(原始经营数据!$D$3:$D$3001,$A330,原始经营数据!$E$3:$E$3001,"",原始经营数据!$F$3:$F$3001,$C330,原始经营数据!$H$3:$H$3001,$D330,原始经营数据!$K$3:$K$3001,$G330)&gt;1,"基金整体·来源"&amp;原始经营数据!$A331,"基金整体")))</f>
        <v>华威西营里农产品交易中心</v>
      </c>
      <c r="J330" t="str">
        <f t="shared" si="78"/>
        <v>其他期间</v>
      </c>
      <c r="K330" t="str">
        <f t="shared" si="79"/>
        <v>各经营业态平均租金情况-冻品（元/平方米/月）</v>
      </c>
      <c r="L330" t="str">
        <f t="shared" si="80"/>
        <v>华威西营里农产品交易中心|各经营业态平均租金情况-冻品（元/平方米/月）|其他期间</v>
      </c>
      <c r="M330">
        <f>IF($A330="",0,IF(COUNTIF($L$2:$L330,$L330)=1,1,0))</f>
        <v>1</v>
      </c>
      <c r="N330">
        <f t="shared" si="81"/>
        <v>20249</v>
      </c>
      <c r="O330" t="str">
        <f t="shared" si="82"/>
        <v>易方达华威农贸市场封闭式基础设施证券投资基金|2024H1|其他期间</v>
      </c>
      <c r="P330">
        <f>IF($A330="",0,IF(COUNTIF($O$2:$O330,$O330)=1,1,0))</f>
        <v>0</v>
      </c>
      <c r="Q330" t="str">
        <f>IF(AND($P330=1,$A330=经营数据!$B$3,$J330=经营数据!$BA$5),COUNTIFS($P$2:$P$3000,1,$A$2:$A$3000,$A330,$J$2:$J$3000,$J330,$N$2:$N$3000,"&lt;"&amp;$N330)+1,"")</f>
        <v/>
      </c>
      <c r="R330" t="str">
        <f t="shared" si="83"/>
        <v>易方达华威农贸市场封闭式基础设施证券投资基金|华威西营里农产品交易中心</v>
      </c>
      <c r="S330">
        <f>IF($A330="",0,IF(COUNTIF($R$2:$R330,$R330)=1,1,0))</f>
        <v>0</v>
      </c>
      <c r="T330">
        <f t="shared" si="84"/>
        <v>204</v>
      </c>
      <c r="U330" t="str">
        <f>IF($A330="","",IF($A330=经营数据!$B$3,COUNTIFS($S$2:$S$3000,1,$A$2:$A$3000,$A330,$T$2:$T$3000,"&lt;"&amp;$T330)+1,""))</f>
        <v/>
      </c>
      <c r="V330" t="str">
        <f t="shared" si="85"/>
        <v>华威西营里农产品交易中心|服务价格</v>
      </c>
      <c r="W330">
        <f t="shared" si="86"/>
        <v>204</v>
      </c>
      <c r="X330" t="str">
        <f t="shared" si="87"/>
        <v>华威西营里农产品交易中心|各经营业态平均租金情况</v>
      </c>
      <c r="Y330">
        <f t="shared" si="88"/>
        <v>204</v>
      </c>
      <c r="Z330">
        <f>IF($A330="",0,IF(AND($M330=1,$A330=经营数据!$B$3,$J330=经营数据!$BA$5,OR($I330=经营数据!$BA$4,COUNTIF(经营数据!$AA$9:$AA$38,$I330)&gt;0)),1,0))</f>
        <v>0</v>
      </c>
      <c r="AA330" t="str">
        <f t="shared" si="89"/>
        <v/>
      </c>
      <c r="AB330" t="str">
        <f t="shared" si="90"/>
        <v/>
      </c>
      <c r="AC330">
        <f>IF($A330="",0,IF(COUNTIF($A$2:$A330,$A330)=1,1,0))</f>
        <v>0</v>
      </c>
      <c r="AD330">
        <f t="shared" si="91"/>
        <v>4</v>
      </c>
      <c r="AE330" t="str">
        <f t="shared" si="92"/>
        <v>华威西营里农产品交易中心|各经营业态平均租金情况-冻品（元/平方米/月）</v>
      </c>
      <c r="BP330" s="47">
        <v>45856</v>
      </c>
      <c r="BQ330" s="29">
        <v>3.6233995728090003E-2</v>
      </c>
    </row>
    <row r="331" spans="1:69" x14ac:dyDescent="0.4">
      <c r="A331" t="str">
        <f>IF(原始经营数据!$D332="","",原始经营数据!$D332)</f>
        <v>易方达华威农贸市场封闭式基础设施证券投资基金</v>
      </c>
      <c r="B331" t="str">
        <f>IF(原始经营数据!$D332="","",T(原始经营数据!$E332))</f>
        <v>华威西营里农产品交易中心</v>
      </c>
      <c r="C331" t="str">
        <f>IF(原始经营数据!$D332="","",原始经营数据!$F332)</f>
        <v>2024H1</v>
      </c>
      <c r="D331" t="str">
        <f>IF(原始经营数据!$D332="","",原始经营数据!$H332)</f>
        <v>租金物
业收入</v>
      </c>
      <c r="E331">
        <f>IF(原始经营数据!$D332="","",原始经营数据!$I332)</f>
        <v>4354.68</v>
      </c>
      <c r="F331" t="str">
        <f>IF(原始经营数据!$D332="","",T(原始经营数据!$J332))</f>
        <v>万元</v>
      </c>
      <c r="G331" t="str">
        <f>IF(原始经营数据!$D332="","",T(原始经营数据!$K332))</f>
        <v/>
      </c>
      <c r="H331" t="str">
        <f>IF(原始经营数据!$D332="","",原始经营数据!$G332)</f>
        <v>服务金额</v>
      </c>
      <c r="I331" t="str">
        <f>IF($A331="","",IF($B331&lt;&gt;"",$B331,IF(COUNTIFS(原始经营数据!$D$3:$D$3001,$A331,原始经营数据!$E$3:$E$3001,"",原始经营数据!$F$3:$F$3001,$C331,原始经营数据!$H$3:$H$3001,$D331,原始经营数据!$K$3:$K$3001,$G331)&gt;1,"基金整体·来源"&amp;原始经营数据!$A332,"基金整体")))</f>
        <v>华威西营里农产品交易中心</v>
      </c>
      <c r="J331" t="str">
        <f t="shared" si="78"/>
        <v>其他期间</v>
      </c>
      <c r="K331" t="str">
        <f t="shared" si="79"/>
        <v>租金物
业收入（万元）</v>
      </c>
      <c r="L331" t="str">
        <f t="shared" si="80"/>
        <v>华威西营里农产品交易中心|租金物
业收入（万元）|其他期间</v>
      </c>
      <c r="M331">
        <f>IF($A331="",0,IF(COUNTIF($L$2:$L331,$L331)=1,1,0))</f>
        <v>1</v>
      </c>
      <c r="N331">
        <f t="shared" si="81"/>
        <v>20249</v>
      </c>
      <c r="O331" t="str">
        <f t="shared" si="82"/>
        <v>易方达华威农贸市场封闭式基础设施证券投资基金|2024H1|其他期间</v>
      </c>
      <c r="P331">
        <f>IF($A331="",0,IF(COUNTIF($O$2:$O331,$O331)=1,1,0))</f>
        <v>0</v>
      </c>
      <c r="Q331" t="str">
        <f>IF(AND($P331=1,$A331=经营数据!$B$3,$J331=经营数据!$BA$5),COUNTIFS($P$2:$P$3000,1,$A$2:$A$3000,$A331,$J$2:$J$3000,$J331,$N$2:$N$3000,"&lt;"&amp;$N331)+1,"")</f>
        <v/>
      </c>
      <c r="R331" t="str">
        <f t="shared" si="83"/>
        <v>易方达华威农贸市场封闭式基础设施证券投资基金|华威西营里农产品交易中心</v>
      </c>
      <c r="S331">
        <f>IF($A331="",0,IF(COUNTIF($R$2:$R331,$R331)=1,1,0))</f>
        <v>0</v>
      </c>
      <c r="T331">
        <f t="shared" si="84"/>
        <v>204</v>
      </c>
      <c r="U331" t="str">
        <f>IF($A331="","",IF($A331=经营数据!$B$3,COUNTIFS($S$2:$S$3000,1,$A$2:$A$3000,$A331,$T$2:$T$3000,"&lt;"&amp;$T331)+1,""))</f>
        <v/>
      </c>
      <c r="V331" t="str">
        <f t="shared" si="85"/>
        <v>华威西营里农产品交易中心|服务金额</v>
      </c>
      <c r="W331">
        <f t="shared" si="86"/>
        <v>232</v>
      </c>
      <c r="X331" t="str">
        <f t="shared" si="87"/>
        <v>华威西营里农产品交易中心|租金物
业收入</v>
      </c>
      <c r="Y331">
        <f t="shared" si="88"/>
        <v>233</v>
      </c>
      <c r="Z331">
        <f>IF($A331="",0,IF(AND($M331=1,$A331=经营数据!$B$3,$J331=经营数据!$BA$5,OR($I331=经营数据!$BA$4,COUNTIF(经营数据!$AA$9:$AA$38,$I331)&gt;0)),1,0))</f>
        <v>0</v>
      </c>
      <c r="AA331" t="str">
        <f t="shared" si="89"/>
        <v/>
      </c>
      <c r="AB331" t="str">
        <f t="shared" si="90"/>
        <v/>
      </c>
      <c r="AC331">
        <f>IF($A331="",0,IF(COUNTIF($A$2:$A331,$A331)=1,1,0))</f>
        <v>0</v>
      </c>
      <c r="AD331">
        <f t="shared" si="91"/>
        <v>4</v>
      </c>
      <c r="AE331" t="str">
        <f t="shared" si="92"/>
        <v>华威西营里农产品交易中心|租金物
业收入（万元）</v>
      </c>
      <c r="BP331" s="47">
        <v>45859</v>
      </c>
      <c r="BQ331" s="29">
        <v>3.6554602462001817E-2</v>
      </c>
    </row>
    <row r="332" spans="1:69" x14ac:dyDescent="0.4">
      <c r="A332" t="str">
        <f>IF(原始经营数据!$D333="","",原始经营数据!$D333)</f>
        <v>易方达华威农贸市场封闭式基础设施证券投资基金</v>
      </c>
      <c r="B332" t="str">
        <f>IF(原始经营数据!$D333="","",T(原始经营数据!$E333))</f>
        <v>华威西营里农产品交易中心</v>
      </c>
      <c r="C332" t="str">
        <f>IF(原始经营数据!$D333="","",原始经营数据!$F333)</f>
        <v>2024H1</v>
      </c>
      <c r="D332" t="str">
        <f>IF(原始经营数据!$D333="","",原始经营数据!$H333)</f>
        <v>各业态租金复合增长率</v>
      </c>
      <c r="E332">
        <f>IF(原始经营数据!$D333="","",原始经营数据!$I333)</f>
        <v>6.91</v>
      </c>
      <c r="F332" t="str">
        <f>IF(原始经营数据!$D333="","",T(原始经营数据!$J333))</f>
        <v>%</v>
      </c>
      <c r="G332" t="str">
        <f>IF(原始经营数据!$D333="","",T(原始经营数据!$K333))</f>
        <v>干货/调味品</v>
      </c>
      <c r="H332" t="str">
        <f>IF(原始经营数据!$D333="","",原始经营数据!$G333)</f>
        <v>服务效率</v>
      </c>
      <c r="I332" t="str">
        <f>IF($A332="","",IF($B332&lt;&gt;"",$B332,IF(COUNTIFS(原始经营数据!$D$3:$D$3001,$A332,原始经营数据!$E$3:$E$3001,"",原始经营数据!$F$3:$F$3001,$C332,原始经营数据!$H$3:$H$3001,$D332,原始经营数据!$K$3:$K$3001,$G332)&gt;1,"基金整体·来源"&amp;原始经营数据!$A333,"基金整体")))</f>
        <v>华威西营里农产品交易中心</v>
      </c>
      <c r="J332" t="str">
        <f t="shared" si="78"/>
        <v>其他期间</v>
      </c>
      <c r="K332" t="str">
        <f t="shared" si="79"/>
        <v>各业态租金复合增长率-干货/调味品（%）</v>
      </c>
      <c r="L332" t="str">
        <f t="shared" si="80"/>
        <v>华威西营里农产品交易中心|各业态租金复合增长率-干货/调味品（%）|其他期间</v>
      </c>
      <c r="M332">
        <f>IF($A332="",0,IF(COUNTIF($L$2:$L332,$L332)=1,1,0))</f>
        <v>1</v>
      </c>
      <c r="N332">
        <f t="shared" si="81"/>
        <v>20249</v>
      </c>
      <c r="O332" t="str">
        <f t="shared" si="82"/>
        <v>易方达华威农贸市场封闭式基础设施证券投资基金|2024H1|其他期间</v>
      </c>
      <c r="P332">
        <f>IF($A332="",0,IF(COUNTIF($O$2:$O332,$O332)=1,1,0))</f>
        <v>0</v>
      </c>
      <c r="Q332" t="str">
        <f>IF(AND($P332=1,$A332=经营数据!$B$3,$J332=经营数据!$BA$5),COUNTIFS($P$2:$P$3000,1,$A$2:$A$3000,$A332,$J$2:$J$3000,$J332,$N$2:$N$3000,"&lt;"&amp;$N332)+1,"")</f>
        <v/>
      </c>
      <c r="R332" t="str">
        <f t="shared" si="83"/>
        <v>易方达华威农贸市场封闭式基础设施证券投资基金|华威西营里农产品交易中心</v>
      </c>
      <c r="S332">
        <f>IF($A332="",0,IF(COUNTIF($R$2:$R332,$R332)=1,1,0))</f>
        <v>0</v>
      </c>
      <c r="T332">
        <f t="shared" si="84"/>
        <v>204</v>
      </c>
      <c r="U332" t="str">
        <f>IF($A332="","",IF($A332=经营数据!$B$3,COUNTIFS($S$2:$S$3000,1,$A$2:$A$3000,$A332,$T$2:$T$3000,"&lt;"&amp;$T332)+1,""))</f>
        <v/>
      </c>
      <c r="V332" t="str">
        <f t="shared" si="85"/>
        <v>华威西营里农产品交易中心|服务效率</v>
      </c>
      <c r="W332">
        <f t="shared" si="86"/>
        <v>205</v>
      </c>
      <c r="X332" t="str">
        <f t="shared" si="87"/>
        <v>华威西营里农产品交易中心|各业态租金复合增长率</v>
      </c>
      <c r="Y332">
        <f t="shared" si="88"/>
        <v>313</v>
      </c>
      <c r="Z332">
        <f>IF($A332="",0,IF(AND($M332=1,$A332=经营数据!$B$3,$J332=经营数据!$BA$5,OR($I332=经营数据!$BA$4,COUNTIF(经营数据!$AA$9:$AA$38,$I332)&gt;0)),1,0))</f>
        <v>0</v>
      </c>
      <c r="AA332" t="str">
        <f t="shared" si="89"/>
        <v/>
      </c>
      <c r="AB332" t="str">
        <f t="shared" si="90"/>
        <v/>
      </c>
      <c r="AC332">
        <f>IF($A332="",0,IF(COUNTIF($A$2:$A332,$A332)=1,1,0))</f>
        <v>0</v>
      </c>
      <c r="AD332">
        <f t="shared" si="91"/>
        <v>4</v>
      </c>
      <c r="AE332" t="str">
        <f t="shared" si="92"/>
        <v>华威西营里农产品交易中心|各业态租金复合增长率-干货/调味品（%）</v>
      </c>
      <c r="BP332" s="47">
        <v>45860</v>
      </c>
      <c r="BQ332" s="29">
        <v>3.6872483542246849E-2</v>
      </c>
    </row>
    <row r="333" spans="1:69" x14ac:dyDescent="0.4">
      <c r="A333" t="str">
        <f>IF(原始经营数据!$D334="","",原始经营数据!$D334)</f>
        <v>易方达华威农贸市场封闭式基础设施证券投资基金</v>
      </c>
      <c r="B333" t="str">
        <f>IF(原始经营数据!$D334="","",T(原始经营数据!$E334))</f>
        <v>华威西营里农产品交易中心</v>
      </c>
      <c r="C333" t="str">
        <f>IF(原始经营数据!$D334="","",原始经营数据!$F334)</f>
        <v>2024H1</v>
      </c>
      <c r="D333" t="str">
        <f>IF(原始经营数据!$D334="","",原始经营数据!$H334)</f>
        <v>其他收
入</v>
      </c>
      <c r="E333">
        <f>IF(原始经营数据!$D334="","",原始经营数据!$I334)</f>
        <v>360.81</v>
      </c>
      <c r="F333" t="str">
        <f>IF(原始经营数据!$D334="","",T(原始经营数据!$J334))</f>
        <v>万元</v>
      </c>
      <c r="G333" t="str">
        <f>IF(原始经营数据!$D334="","",T(原始经营数据!$K334))</f>
        <v/>
      </c>
      <c r="H333" t="str">
        <f>IF(原始经营数据!$D334="","",原始经营数据!$G334)</f>
        <v>服务金额</v>
      </c>
      <c r="I333" t="str">
        <f>IF($A333="","",IF($B333&lt;&gt;"",$B333,IF(COUNTIFS(原始经营数据!$D$3:$D$3001,$A333,原始经营数据!$E$3:$E$3001,"",原始经营数据!$F$3:$F$3001,$C333,原始经营数据!$H$3:$H$3001,$D333,原始经营数据!$K$3:$K$3001,$G333)&gt;1,"基金整体·来源"&amp;原始经营数据!$A334,"基金整体")))</f>
        <v>华威西营里农产品交易中心</v>
      </c>
      <c r="J333" t="str">
        <f t="shared" si="78"/>
        <v>其他期间</v>
      </c>
      <c r="K333" t="str">
        <f t="shared" si="79"/>
        <v>其他收
入（万元）</v>
      </c>
      <c r="L333" t="str">
        <f t="shared" si="80"/>
        <v>华威西营里农产品交易中心|其他收
入（万元）|其他期间</v>
      </c>
      <c r="M333">
        <f>IF($A333="",0,IF(COUNTIF($L$2:$L333,$L333)=1,1,0))</f>
        <v>1</v>
      </c>
      <c r="N333">
        <f t="shared" si="81"/>
        <v>20249</v>
      </c>
      <c r="O333" t="str">
        <f t="shared" si="82"/>
        <v>易方达华威农贸市场封闭式基础设施证券投资基金|2024H1|其他期间</v>
      </c>
      <c r="P333">
        <f>IF($A333="",0,IF(COUNTIF($O$2:$O333,$O333)=1,1,0))</f>
        <v>0</v>
      </c>
      <c r="Q333" t="str">
        <f>IF(AND($P333=1,$A333=经营数据!$B$3,$J333=经营数据!$BA$5),COUNTIFS($P$2:$P$3000,1,$A$2:$A$3000,$A333,$J$2:$J$3000,$J333,$N$2:$N$3000,"&lt;"&amp;$N333)+1,"")</f>
        <v/>
      </c>
      <c r="R333" t="str">
        <f t="shared" si="83"/>
        <v>易方达华威农贸市场封闭式基础设施证券投资基金|华威西营里农产品交易中心</v>
      </c>
      <c r="S333">
        <f>IF($A333="",0,IF(COUNTIF($R$2:$R333,$R333)=1,1,0))</f>
        <v>0</v>
      </c>
      <c r="T333">
        <f t="shared" si="84"/>
        <v>204</v>
      </c>
      <c r="U333" t="str">
        <f>IF($A333="","",IF($A333=经营数据!$B$3,COUNTIFS($S$2:$S$3000,1,$A$2:$A$3000,$A333,$T$2:$T$3000,"&lt;"&amp;$T333)+1,""))</f>
        <v/>
      </c>
      <c r="V333" t="str">
        <f t="shared" si="85"/>
        <v>华威西营里农产品交易中心|服务金额</v>
      </c>
      <c r="W333">
        <f t="shared" si="86"/>
        <v>232</v>
      </c>
      <c r="X333" t="str">
        <f t="shared" si="87"/>
        <v>华威西营里农产品交易中心|其他收
入</v>
      </c>
      <c r="Y333">
        <f t="shared" si="88"/>
        <v>232</v>
      </c>
      <c r="Z333">
        <f>IF($A333="",0,IF(AND($M333=1,$A333=经营数据!$B$3,$J333=经营数据!$BA$5,OR($I333=经营数据!$BA$4,COUNTIF(经营数据!$AA$9:$AA$38,$I333)&gt;0)),1,0))</f>
        <v>0</v>
      </c>
      <c r="AA333" t="str">
        <f t="shared" si="89"/>
        <v/>
      </c>
      <c r="AB333" t="str">
        <f t="shared" si="90"/>
        <v/>
      </c>
      <c r="AC333">
        <f>IF($A333="",0,IF(COUNTIF($A$2:$A333,$A333)=1,1,0))</f>
        <v>0</v>
      </c>
      <c r="AD333">
        <f t="shared" si="91"/>
        <v>4</v>
      </c>
      <c r="AE333" t="str">
        <f t="shared" si="92"/>
        <v>华威西营里农产品交易中心|其他收
入（万元）</v>
      </c>
      <c r="BP333" s="47">
        <v>45861</v>
      </c>
      <c r="BQ333" s="29">
        <v>3.706770075731345E-2</v>
      </c>
    </row>
    <row r="334" spans="1:69" x14ac:dyDescent="0.4">
      <c r="A334" t="str">
        <f>IF(原始经营数据!$D335="","",原始经营数据!$D335)</f>
        <v>易方达华威农贸市场封闭式基础设施证券投资基金</v>
      </c>
      <c r="B334" t="str">
        <f>IF(原始经营数据!$D335="","",T(原始经营数据!$E335))</f>
        <v>华威西营里农产品交易中心</v>
      </c>
      <c r="C334" t="str">
        <f>IF(原始经营数据!$D335="","",原始经营数据!$F335)</f>
        <v>2024H1</v>
      </c>
      <c r="D334" t="str">
        <f>IF(原始经营数据!$D335="","",原始经营数据!$H335)</f>
        <v>可租赁面积</v>
      </c>
      <c r="E334">
        <f>IF(原始经营数据!$D335="","",原始经营数据!$I335)</f>
        <v>11417.52</v>
      </c>
      <c r="F334" t="str">
        <f>IF(原始经营数据!$D335="","",T(原始经营数据!$J335))</f>
        <v>平方米</v>
      </c>
      <c r="G334" t="str">
        <f>IF(原始经营数据!$D335="","",T(原始经营数据!$K335))</f>
        <v>1号楼1层</v>
      </c>
      <c r="H334" t="str">
        <f>IF(原始经营数据!$D335="","",原始经营数据!$G335)</f>
        <v>服务量</v>
      </c>
      <c r="I334" t="str">
        <f>IF($A334="","",IF($B334&lt;&gt;"",$B334,IF(COUNTIFS(原始经营数据!$D$3:$D$3001,$A334,原始经营数据!$E$3:$E$3001,"",原始经营数据!$F$3:$F$3001,$C334,原始经营数据!$H$3:$H$3001,$D334,原始经营数据!$K$3:$K$3001,$G334)&gt;1,"基金整体·来源"&amp;原始经营数据!$A335,"基金整体")))</f>
        <v>华威西营里农产品交易中心</v>
      </c>
      <c r="J334" t="str">
        <f t="shared" si="78"/>
        <v>其他期间</v>
      </c>
      <c r="K334" t="str">
        <f t="shared" si="79"/>
        <v>可租赁面积-1号楼1层（平方米）</v>
      </c>
      <c r="L334" t="str">
        <f t="shared" si="80"/>
        <v>华威西营里农产品交易中心|可租赁面积-1号楼1层（平方米）|其他期间</v>
      </c>
      <c r="M334">
        <f>IF($A334="",0,IF(COUNTIF($L$2:$L334,$L334)=1,1,0))</f>
        <v>1</v>
      </c>
      <c r="N334">
        <f t="shared" si="81"/>
        <v>20249</v>
      </c>
      <c r="O334" t="str">
        <f t="shared" si="82"/>
        <v>易方达华威农贸市场封闭式基础设施证券投资基金|2024H1|其他期间</v>
      </c>
      <c r="P334">
        <f>IF($A334="",0,IF(COUNTIF($O$2:$O334,$O334)=1,1,0))</f>
        <v>0</v>
      </c>
      <c r="Q334" t="str">
        <f>IF(AND($P334=1,$A334=经营数据!$B$3,$J334=经营数据!$BA$5),COUNTIFS($P$2:$P$3000,1,$A$2:$A$3000,$A334,$J$2:$J$3000,$J334,$N$2:$N$3000,"&lt;"&amp;$N334)+1,"")</f>
        <v/>
      </c>
      <c r="R334" t="str">
        <f t="shared" si="83"/>
        <v>易方达华威农贸市场封闭式基础设施证券投资基金|华威西营里农产品交易中心</v>
      </c>
      <c r="S334">
        <f>IF($A334="",0,IF(COUNTIF($R$2:$R334,$R334)=1,1,0))</f>
        <v>0</v>
      </c>
      <c r="T334">
        <f t="shared" si="84"/>
        <v>204</v>
      </c>
      <c r="U334" t="str">
        <f>IF($A334="","",IF($A334=经营数据!$B$3,COUNTIFS($S$2:$S$3000,1,$A$2:$A$3000,$A334,$T$2:$T$3000,"&lt;"&amp;$T334)+1,""))</f>
        <v/>
      </c>
      <c r="V334" t="str">
        <f t="shared" si="85"/>
        <v>华威西营里农产品交易中心|服务量</v>
      </c>
      <c r="W334">
        <f t="shared" si="86"/>
        <v>221</v>
      </c>
      <c r="X334" t="str">
        <f t="shared" si="87"/>
        <v>华威西营里农产品交易中心|可租赁面积</v>
      </c>
      <c r="Y334">
        <f t="shared" si="88"/>
        <v>305</v>
      </c>
      <c r="Z334">
        <f>IF($A334="",0,IF(AND($M334=1,$A334=经营数据!$B$3,$J334=经营数据!$BA$5,OR($I334=经营数据!$BA$4,COUNTIF(经营数据!$AA$9:$AA$38,$I334)&gt;0)),1,0))</f>
        <v>0</v>
      </c>
      <c r="AA334" t="str">
        <f t="shared" si="89"/>
        <v/>
      </c>
      <c r="AB334" t="str">
        <f t="shared" si="90"/>
        <v/>
      </c>
      <c r="AC334">
        <f>IF($A334="",0,IF(COUNTIF($A$2:$A334,$A334)=1,1,0))</f>
        <v>0</v>
      </c>
      <c r="AD334">
        <f t="shared" si="91"/>
        <v>4</v>
      </c>
      <c r="AE334" t="str">
        <f t="shared" si="92"/>
        <v>华威西营里农产品交易中心|可租赁面积-1号楼1层（平方米）</v>
      </c>
      <c r="BP334" s="47">
        <v>45862</v>
      </c>
      <c r="BQ334" s="29">
        <v>3.7137160177067252E-2</v>
      </c>
    </row>
    <row r="335" spans="1:69" x14ac:dyDescent="0.4">
      <c r="A335" t="str">
        <f>IF(原始经营数据!$D336="","",原始经营数据!$D336)</f>
        <v>易方达华威农贸市场封闭式基础设施证券投资基金</v>
      </c>
      <c r="B335" t="str">
        <f>IF(原始经营数据!$D336="","",T(原始经营数据!$E336))</f>
        <v>华威西营里农产品交易中心</v>
      </c>
      <c r="C335" t="str">
        <f>IF(原始经营数据!$D336="","",原始经营数据!$F336)</f>
        <v>2024H1</v>
      </c>
      <c r="D335" t="str">
        <f>IF(原始经营数据!$D336="","",原始经营数据!$H336)</f>
        <v>各经营业态平均租金情况</v>
      </c>
      <c r="E335">
        <f>IF(原始经营数据!$D336="","",原始经营数据!$I336)</f>
        <v>233</v>
      </c>
      <c r="F335" t="str">
        <f>IF(原始经营数据!$D336="","",T(原始经营数据!$J336))</f>
        <v>元/平方米/月</v>
      </c>
      <c r="G335" t="str">
        <f>IF(原始经营数据!$D336="","",T(原始经营数据!$K336))</f>
        <v>水产品</v>
      </c>
      <c r="H335" t="str">
        <f>IF(原始经营数据!$D336="","",原始经营数据!$G336)</f>
        <v>服务价格</v>
      </c>
      <c r="I335" t="str">
        <f>IF($A335="","",IF($B335&lt;&gt;"",$B335,IF(COUNTIFS(原始经营数据!$D$3:$D$3001,$A335,原始经营数据!$E$3:$E$3001,"",原始经营数据!$F$3:$F$3001,$C335,原始经营数据!$H$3:$H$3001,$D335,原始经营数据!$K$3:$K$3001,$G335)&gt;1,"基金整体·来源"&amp;原始经营数据!$A336,"基金整体")))</f>
        <v>华威西营里农产品交易中心</v>
      </c>
      <c r="J335" t="str">
        <f t="shared" si="78"/>
        <v>其他期间</v>
      </c>
      <c r="K335" t="str">
        <f t="shared" si="79"/>
        <v>各经营业态平均租金情况-水产品（元/平方米/月）</v>
      </c>
      <c r="L335" t="str">
        <f t="shared" si="80"/>
        <v>华威西营里农产品交易中心|各经营业态平均租金情况-水产品（元/平方米/月）|其他期间</v>
      </c>
      <c r="M335">
        <f>IF($A335="",0,IF(COUNTIF($L$2:$L335,$L335)=1,1,0))</f>
        <v>1</v>
      </c>
      <c r="N335">
        <f t="shared" si="81"/>
        <v>20249</v>
      </c>
      <c r="O335" t="str">
        <f t="shared" si="82"/>
        <v>易方达华威农贸市场封闭式基础设施证券投资基金|2024H1|其他期间</v>
      </c>
      <c r="P335">
        <f>IF($A335="",0,IF(COUNTIF($O$2:$O335,$O335)=1,1,0))</f>
        <v>0</v>
      </c>
      <c r="Q335" t="str">
        <f>IF(AND($P335=1,$A335=经营数据!$B$3,$J335=经营数据!$BA$5),COUNTIFS($P$2:$P$3000,1,$A$2:$A$3000,$A335,$J$2:$J$3000,$J335,$N$2:$N$3000,"&lt;"&amp;$N335)+1,"")</f>
        <v/>
      </c>
      <c r="R335" t="str">
        <f t="shared" si="83"/>
        <v>易方达华威农贸市场封闭式基础设施证券投资基金|华威西营里农产品交易中心</v>
      </c>
      <c r="S335">
        <f>IF($A335="",0,IF(COUNTIF($R$2:$R335,$R335)=1,1,0))</f>
        <v>0</v>
      </c>
      <c r="T335">
        <f t="shared" si="84"/>
        <v>204</v>
      </c>
      <c r="U335" t="str">
        <f>IF($A335="","",IF($A335=经营数据!$B$3,COUNTIFS($S$2:$S$3000,1,$A$2:$A$3000,$A335,$T$2:$T$3000,"&lt;"&amp;$T335)+1,""))</f>
        <v/>
      </c>
      <c r="V335" t="str">
        <f t="shared" si="85"/>
        <v>华威西营里农产品交易中心|服务价格</v>
      </c>
      <c r="W335">
        <f t="shared" si="86"/>
        <v>204</v>
      </c>
      <c r="X335" t="str">
        <f t="shared" si="87"/>
        <v>华威西营里农产品交易中心|各经营业态平均租金情况</v>
      </c>
      <c r="Y335">
        <f t="shared" si="88"/>
        <v>204</v>
      </c>
      <c r="Z335">
        <f>IF($A335="",0,IF(AND($M335=1,$A335=经营数据!$B$3,$J335=经营数据!$BA$5,OR($I335=经营数据!$BA$4,COUNTIF(经营数据!$AA$9:$AA$38,$I335)&gt;0)),1,0))</f>
        <v>0</v>
      </c>
      <c r="AA335" t="str">
        <f t="shared" si="89"/>
        <v/>
      </c>
      <c r="AB335" t="str">
        <f t="shared" si="90"/>
        <v/>
      </c>
      <c r="AC335">
        <f>IF($A335="",0,IF(COUNTIF($A$2:$A335,$A335)=1,1,0))</f>
        <v>0</v>
      </c>
      <c r="AD335">
        <f t="shared" si="91"/>
        <v>4</v>
      </c>
      <c r="AE335" t="str">
        <f t="shared" si="92"/>
        <v>华威西营里农产品交易中心|各经营业态平均租金情况-水产品（元/平方米/月）</v>
      </c>
      <c r="BP335" s="47">
        <v>45863</v>
      </c>
      <c r="BQ335" s="29">
        <v>3.7275864460832447E-2</v>
      </c>
    </row>
    <row r="336" spans="1:69" x14ac:dyDescent="0.4">
      <c r="A336" t="str">
        <f>IF(原始经营数据!$D337="","",原始经营数据!$D337)</f>
        <v>易方达华威农贸市场封闭式基础设施证券投资基金</v>
      </c>
      <c r="B336" t="str">
        <f>IF(原始经营数据!$D337="","",T(原始经营数据!$E337))</f>
        <v>华威西营里农产品交易中心</v>
      </c>
      <c r="C336" t="str">
        <f>IF(原始经营数据!$D337="","",原始经营数据!$F337)</f>
        <v>2024H1</v>
      </c>
      <c r="D336" t="str">
        <f>IF(原始经营数据!$D337="","",原始经营数据!$H337)</f>
        <v>租户数</v>
      </c>
      <c r="E336">
        <f>IF(原始经营数据!$D337="","",原始经营数据!$I337)</f>
        <v>395</v>
      </c>
      <c r="F336" t="str">
        <f>IF(原始经营数据!$D337="","",T(原始经营数据!$J337))</f>
        <v/>
      </c>
      <c r="G336" t="str">
        <f>IF(原始经营数据!$D337="","",T(原始经营数据!$K337))</f>
        <v/>
      </c>
      <c r="H336" t="str">
        <f>IF(原始经营数据!$D337="","",原始经营数据!$G337)</f>
        <v>服务量</v>
      </c>
      <c r="I336" t="str">
        <f>IF($A336="","",IF($B336&lt;&gt;"",$B336,IF(COUNTIFS(原始经营数据!$D$3:$D$3001,$A336,原始经营数据!$E$3:$E$3001,"",原始经营数据!$F$3:$F$3001,$C336,原始经营数据!$H$3:$H$3001,$D336,原始经营数据!$K$3:$K$3001,$G336)&gt;1,"基金整体·来源"&amp;原始经营数据!$A337,"基金整体")))</f>
        <v>华威西营里农产品交易中心</v>
      </c>
      <c r="J336" t="str">
        <f t="shared" si="78"/>
        <v>其他期间</v>
      </c>
      <c r="K336" t="str">
        <f t="shared" si="79"/>
        <v>租户数</v>
      </c>
      <c r="L336" t="str">
        <f t="shared" si="80"/>
        <v>华威西营里农产品交易中心|租户数|其他期间</v>
      </c>
      <c r="M336">
        <f>IF($A336="",0,IF(COUNTIF($L$2:$L336,$L336)=1,1,0))</f>
        <v>1</v>
      </c>
      <c r="N336">
        <f t="shared" si="81"/>
        <v>20249</v>
      </c>
      <c r="O336" t="str">
        <f t="shared" si="82"/>
        <v>易方达华威农贸市场封闭式基础设施证券投资基金|2024H1|其他期间</v>
      </c>
      <c r="P336">
        <f>IF($A336="",0,IF(COUNTIF($O$2:$O336,$O336)=1,1,0))</f>
        <v>0</v>
      </c>
      <c r="Q336" t="str">
        <f>IF(AND($P336=1,$A336=经营数据!$B$3,$J336=经营数据!$BA$5),COUNTIFS($P$2:$P$3000,1,$A$2:$A$3000,$A336,$J$2:$J$3000,$J336,$N$2:$N$3000,"&lt;"&amp;$N336)+1,"")</f>
        <v/>
      </c>
      <c r="R336" t="str">
        <f t="shared" si="83"/>
        <v>易方达华威农贸市场封闭式基础设施证券投资基金|华威西营里农产品交易中心</v>
      </c>
      <c r="S336">
        <f>IF($A336="",0,IF(COUNTIF($R$2:$R336,$R336)=1,1,0))</f>
        <v>0</v>
      </c>
      <c r="T336">
        <f t="shared" si="84"/>
        <v>204</v>
      </c>
      <c r="U336" t="str">
        <f>IF($A336="","",IF($A336=经营数据!$B$3,COUNTIFS($S$2:$S$3000,1,$A$2:$A$3000,$A336,$T$2:$T$3000,"&lt;"&amp;$T336)+1,""))</f>
        <v/>
      </c>
      <c r="V336" t="str">
        <f t="shared" si="85"/>
        <v>华威西营里农产品交易中心|服务量</v>
      </c>
      <c r="W336">
        <f t="shared" si="86"/>
        <v>221</v>
      </c>
      <c r="X336" t="str">
        <f t="shared" si="87"/>
        <v>华威西营里农产品交易中心|租户数</v>
      </c>
      <c r="Y336">
        <f t="shared" si="88"/>
        <v>335</v>
      </c>
      <c r="Z336">
        <f>IF($A336="",0,IF(AND($M336=1,$A336=经营数据!$B$3,$J336=经营数据!$BA$5,OR($I336=经营数据!$BA$4,COUNTIF(经营数据!$AA$9:$AA$38,$I336)&gt;0)),1,0))</f>
        <v>0</v>
      </c>
      <c r="AA336" t="str">
        <f t="shared" si="89"/>
        <v/>
      </c>
      <c r="AB336" t="str">
        <f t="shared" si="90"/>
        <v/>
      </c>
      <c r="AC336">
        <f>IF($A336="",0,IF(COUNTIF($A$2:$A336,$A336)=1,1,0))</f>
        <v>0</v>
      </c>
      <c r="AD336">
        <f t="shared" si="91"/>
        <v>4</v>
      </c>
      <c r="AE336" t="str">
        <f t="shared" si="92"/>
        <v>华威西营里农产品交易中心|租户数</v>
      </c>
      <c r="BP336" s="47">
        <v>45866</v>
      </c>
      <c r="BQ336" s="29">
        <v>3.6780233579017232E-2</v>
      </c>
    </row>
    <row r="337" spans="1:69" x14ac:dyDescent="0.4">
      <c r="A337" t="str">
        <f>IF(原始经营数据!$D338="","",原始经营数据!$D338)</f>
        <v>易方达华威农贸市场封闭式基础设施证券投资基金</v>
      </c>
      <c r="B337" t="str">
        <f>IF(原始经营数据!$D338="","",T(原始经营数据!$E338))</f>
        <v>华威西营里农产品交易中心</v>
      </c>
      <c r="C337" t="str">
        <f>IF(原始经营数据!$D338="","",原始经营数据!$F338)</f>
        <v>2024H1</v>
      </c>
      <c r="D337" t="str">
        <f>IF(原始经营数据!$D338="","",原始经营数据!$H338)</f>
        <v>可租赁面积</v>
      </c>
      <c r="E337">
        <f>IF(原始经营数据!$D338="","",原始经营数据!$I338)</f>
        <v>1378.66</v>
      </c>
      <c r="F337" t="str">
        <f>IF(原始经营数据!$D338="","",T(原始经营数据!$J338))</f>
        <v>平方米</v>
      </c>
      <c r="G337" t="str">
        <f>IF(原始经营数据!$D338="","",T(原始经营数据!$K338))</f>
        <v>7号楼（单层）</v>
      </c>
      <c r="H337" t="str">
        <f>IF(原始经营数据!$D338="","",原始经营数据!$G338)</f>
        <v>服务量</v>
      </c>
      <c r="I337" t="str">
        <f>IF($A337="","",IF($B337&lt;&gt;"",$B337,IF(COUNTIFS(原始经营数据!$D$3:$D$3001,$A337,原始经营数据!$E$3:$E$3001,"",原始经营数据!$F$3:$F$3001,$C337,原始经营数据!$H$3:$H$3001,$D337,原始经营数据!$K$3:$K$3001,$G337)&gt;1,"基金整体·来源"&amp;原始经营数据!$A338,"基金整体")))</f>
        <v>华威西营里农产品交易中心</v>
      </c>
      <c r="J337" t="str">
        <f t="shared" si="78"/>
        <v>其他期间</v>
      </c>
      <c r="K337" t="str">
        <f t="shared" si="79"/>
        <v>可租赁面积-7号楼（单层）（平方米）</v>
      </c>
      <c r="L337" t="str">
        <f t="shared" si="80"/>
        <v>华威西营里农产品交易中心|可租赁面积-7号楼（单层）（平方米）|其他期间</v>
      </c>
      <c r="M337">
        <f>IF($A337="",0,IF(COUNTIF($L$2:$L337,$L337)=1,1,0))</f>
        <v>1</v>
      </c>
      <c r="N337">
        <f t="shared" si="81"/>
        <v>20249</v>
      </c>
      <c r="O337" t="str">
        <f t="shared" si="82"/>
        <v>易方达华威农贸市场封闭式基础设施证券投资基金|2024H1|其他期间</v>
      </c>
      <c r="P337">
        <f>IF($A337="",0,IF(COUNTIF($O$2:$O337,$O337)=1,1,0))</f>
        <v>0</v>
      </c>
      <c r="Q337" t="str">
        <f>IF(AND($P337=1,$A337=经营数据!$B$3,$J337=经营数据!$BA$5),COUNTIFS($P$2:$P$3000,1,$A$2:$A$3000,$A337,$J$2:$J$3000,$J337,$N$2:$N$3000,"&lt;"&amp;$N337)+1,"")</f>
        <v/>
      </c>
      <c r="R337" t="str">
        <f t="shared" si="83"/>
        <v>易方达华威农贸市场封闭式基础设施证券投资基金|华威西营里农产品交易中心</v>
      </c>
      <c r="S337">
        <f>IF($A337="",0,IF(COUNTIF($R$2:$R337,$R337)=1,1,0))</f>
        <v>0</v>
      </c>
      <c r="T337">
        <f t="shared" si="84"/>
        <v>204</v>
      </c>
      <c r="U337" t="str">
        <f>IF($A337="","",IF($A337=经营数据!$B$3,COUNTIFS($S$2:$S$3000,1,$A$2:$A$3000,$A337,$T$2:$T$3000,"&lt;"&amp;$T337)+1,""))</f>
        <v/>
      </c>
      <c r="V337" t="str">
        <f t="shared" si="85"/>
        <v>华威西营里农产品交易中心|服务量</v>
      </c>
      <c r="W337">
        <f t="shared" si="86"/>
        <v>221</v>
      </c>
      <c r="X337" t="str">
        <f t="shared" si="87"/>
        <v>华威西营里农产品交易中心|可租赁面积</v>
      </c>
      <c r="Y337">
        <f t="shared" si="88"/>
        <v>305</v>
      </c>
      <c r="Z337">
        <f>IF($A337="",0,IF(AND($M337=1,$A337=经营数据!$B$3,$J337=经营数据!$BA$5,OR($I337=经营数据!$BA$4,COUNTIF(经营数据!$AA$9:$AA$38,$I337)&gt;0)),1,0))</f>
        <v>0</v>
      </c>
      <c r="AA337" t="str">
        <f t="shared" si="89"/>
        <v/>
      </c>
      <c r="AB337" t="str">
        <f t="shared" si="90"/>
        <v/>
      </c>
      <c r="AC337">
        <f>IF($A337="",0,IF(COUNTIF($A$2:$A337,$A337)=1,1,0))</f>
        <v>0</v>
      </c>
      <c r="AD337">
        <f t="shared" si="91"/>
        <v>4</v>
      </c>
      <c r="AE337" t="str">
        <f t="shared" si="92"/>
        <v>华威西营里农产品交易中心|可租赁面积-7号楼（单层）（平方米）</v>
      </c>
      <c r="BP337" s="47">
        <v>45867</v>
      </c>
      <c r="BQ337" s="29">
        <v>3.6987028851707703E-2</v>
      </c>
    </row>
    <row r="338" spans="1:69" x14ac:dyDescent="0.4">
      <c r="A338" t="str">
        <f>IF(原始经营数据!$D339="","",原始经营数据!$D339)</f>
        <v>易方达华威农贸市场封闭式基础设施证券投资基金</v>
      </c>
      <c r="B338" t="str">
        <f>IF(原始经营数据!$D339="","",T(原始经营数据!$E339))</f>
        <v>华威西营里农产品交易中心</v>
      </c>
      <c r="C338" t="str">
        <f>IF(原始经营数据!$D339="","",原始经营数据!$F339)</f>
        <v>2024H1</v>
      </c>
      <c r="D338" t="str">
        <f>IF(原始经营数据!$D339="","",原始经营数据!$H339)</f>
        <v>可租赁面积</v>
      </c>
      <c r="E338">
        <f>IF(原始经营数据!$D339="","",原始经营数据!$I339)</f>
        <v>3813.28</v>
      </c>
      <c r="F338" t="str">
        <f>IF(原始经营数据!$D339="","",T(原始经营数据!$J339))</f>
        <v>平方米</v>
      </c>
      <c r="G338" t="str">
        <f>IF(原始经营数据!$D339="","",T(原始经营数据!$K339))</f>
        <v>5号楼（单层）</v>
      </c>
      <c r="H338" t="str">
        <f>IF(原始经营数据!$D339="","",原始经营数据!$G339)</f>
        <v>服务量</v>
      </c>
      <c r="I338" t="str">
        <f>IF($A338="","",IF($B338&lt;&gt;"",$B338,IF(COUNTIFS(原始经营数据!$D$3:$D$3001,$A338,原始经营数据!$E$3:$E$3001,"",原始经营数据!$F$3:$F$3001,$C338,原始经营数据!$H$3:$H$3001,$D338,原始经营数据!$K$3:$K$3001,$G338)&gt;1,"基金整体·来源"&amp;原始经营数据!$A339,"基金整体")))</f>
        <v>华威西营里农产品交易中心</v>
      </c>
      <c r="J338" t="str">
        <f t="shared" si="78"/>
        <v>其他期间</v>
      </c>
      <c r="K338" t="str">
        <f t="shared" si="79"/>
        <v>可租赁面积-5号楼（单层）（平方米）</v>
      </c>
      <c r="L338" t="str">
        <f t="shared" si="80"/>
        <v>华威西营里农产品交易中心|可租赁面积-5号楼（单层）（平方米）|其他期间</v>
      </c>
      <c r="M338">
        <f>IF($A338="",0,IF(COUNTIF($L$2:$L338,$L338)=1,1,0))</f>
        <v>1</v>
      </c>
      <c r="N338">
        <f t="shared" si="81"/>
        <v>20249</v>
      </c>
      <c r="O338" t="str">
        <f t="shared" si="82"/>
        <v>易方达华威农贸市场封闭式基础设施证券投资基金|2024H1|其他期间</v>
      </c>
      <c r="P338">
        <f>IF($A338="",0,IF(COUNTIF($O$2:$O338,$O338)=1,1,0))</f>
        <v>0</v>
      </c>
      <c r="Q338" t="str">
        <f>IF(AND($P338=1,$A338=经营数据!$B$3,$J338=经营数据!$BA$5),COUNTIFS($P$2:$P$3000,1,$A$2:$A$3000,$A338,$J$2:$J$3000,$J338,$N$2:$N$3000,"&lt;"&amp;$N338)+1,"")</f>
        <v/>
      </c>
      <c r="R338" t="str">
        <f t="shared" si="83"/>
        <v>易方达华威农贸市场封闭式基础设施证券投资基金|华威西营里农产品交易中心</v>
      </c>
      <c r="S338">
        <f>IF($A338="",0,IF(COUNTIF($R$2:$R338,$R338)=1,1,0))</f>
        <v>0</v>
      </c>
      <c r="T338">
        <f t="shared" si="84"/>
        <v>204</v>
      </c>
      <c r="U338" t="str">
        <f>IF($A338="","",IF($A338=经营数据!$B$3,COUNTIFS($S$2:$S$3000,1,$A$2:$A$3000,$A338,$T$2:$T$3000,"&lt;"&amp;$T338)+1,""))</f>
        <v/>
      </c>
      <c r="V338" t="str">
        <f t="shared" si="85"/>
        <v>华威西营里农产品交易中心|服务量</v>
      </c>
      <c r="W338">
        <f t="shared" si="86"/>
        <v>221</v>
      </c>
      <c r="X338" t="str">
        <f t="shared" si="87"/>
        <v>华威西营里农产品交易中心|可租赁面积</v>
      </c>
      <c r="Y338">
        <f t="shared" si="88"/>
        <v>305</v>
      </c>
      <c r="Z338">
        <f>IF($A338="",0,IF(AND($M338=1,$A338=经营数据!$B$3,$J338=经营数据!$BA$5,OR($I338=经营数据!$BA$4,COUNTIF(经营数据!$AA$9:$AA$38,$I338)&gt;0)),1,0))</f>
        <v>0</v>
      </c>
      <c r="AA338" t="str">
        <f t="shared" si="89"/>
        <v/>
      </c>
      <c r="AB338" t="str">
        <f t="shared" si="90"/>
        <v/>
      </c>
      <c r="AC338">
        <f>IF($A338="",0,IF(COUNTIF($A$2:$A338,$A338)=1,1,0))</f>
        <v>0</v>
      </c>
      <c r="AD338">
        <f t="shared" si="91"/>
        <v>4</v>
      </c>
      <c r="AE338" t="str">
        <f t="shared" si="92"/>
        <v>华威西营里农产品交易中心|可租赁面积-5号楼（单层）（平方米）</v>
      </c>
      <c r="BP338" s="47">
        <v>45868</v>
      </c>
      <c r="BQ338" s="29">
        <v>3.6691775785005577E-2</v>
      </c>
    </row>
    <row r="339" spans="1:69" x14ac:dyDescent="0.4">
      <c r="A339" t="str">
        <f>IF(原始经营数据!$D340="","",原始经营数据!$D340)</f>
        <v>易方达华威农贸市场封闭式基础设施证券投资基金</v>
      </c>
      <c r="B339" t="str">
        <f>IF(原始经营数据!$D340="","",T(原始经营数据!$E340))</f>
        <v>华威西营里农产品交易中心</v>
      </c>
      <c r="C339" t="str">
        <f>IF(原始经营数据!$D340="","",原始经营数据!$F340)</f>
        <v>2024H1</v>
      </c>
      <c r="D339" t="str">
        <f>IF(原始经营数据!$D340="","",原始经营数据!$H340)</f>
        <v>各业态租金复合增长率</v>
      </c>
      <c r="E339">
        <f>IF(原始经营数据!$D340="","",原始经营数据!$I340)</f>
        <v>21.9</v>
      </c>
      <c r="F339" t="str">
        <f>IF(原始经营数据!$D340="","",T(原始经营数据!$J340))</f>
        <v>%</v>
      </c>
      <c r="G339" t="str">
        <f>IF(原始经营数据!$D340="","",T(原始经营数据!$K340))</f>
        <v>蔬果</v>
      </c>
      <c r="H339" t="str">
        <f>IF(原始经营数据!$D340="","",原始经营数据!$G340)</f>
        <v>服务效率</v>
      </c>
      <c r="I339" t="str">
        <f>IF($A339="","",IF($B339&lt;&gt;"",$B339,IF(COUNTIFS(原始经营数据!$D$3:$D$3001,$A339,原始经营数据!$E$3:$E$3001,"",原始经营数据!$F$3:$F$3001,$C339,原始经营数据!$H$3:$H$3001,$D339,原始经营数据!$K$3:$K$3001,$G339)&gt;1,"基金整体·来源"&amp;原始经营数据!$A340,"基金整体")))</f>
        <v>华威西营里农产品交易中心</v>
      </c>
      <c r="J339" t="str">
        <f t="shared" si="78"/>
        <v>其他期间</v>
      </c>
      <c r="K339" t="str">
        <f t="shared" si="79"/>
        <v>各业态租金复合增长率-蔬果（%）</v>
      </c>
      <c r="L339" t="str">
        <f t="shared" si="80"/>
        <v>华威西营里农产品交易中心|各业态租金复合增长率-蔬果（%）|其他期间</v>
      </c>
      <c r="M339">
        <f>IF($A339="",0,IF(COUNTIF($L$2:$L339,$L339)=1,1,0))</f>
        <v>1</v>
      </c>
      <c r="N339">
        <f t="shared" si="81"/>
        <v>20249</v>
      </c>
      <c r="O339" t="str">
        <f t="shared" si="82"/>
        <v>易方达华威农贸市场封闭式基础设施证券投资基金|2024H1|其他期间</v>
      </c>
      <c r="P339">
        <f>IF($A339="",0,IF(COUNTIF($O$2:$O339,$O339)=1,1,0))</f>
        <v>0</v>
      </c>
      <c r="Q339" t="str">
        <f>IF(AND($P339=1,$A339=经营数据!$B$3,$J339=经营数据!$BA$5),COUNTIFS($P$2:$P$3000,1,$A$2:$A$3000,$A339,$J$2:$J$3000,$J339,$N$2:$N$3000,"&lt;"&amp;$N339)+1,"")</f>
        <v/>
      </c>
      <c r="R339" t="str">
        <f t="shared" si="83"/>
        <v>易方达华威农贸市场封闭式基础设施证券投资基金|华威西营里农产品交易中心</v>
      </c>
      <c r="S339">
        <f>IF($A339="",0,IF(COUNTIF($R$2:$R339,$R339)=1,1,0))</f>
        <v>0</v>
      </c>
      <c r="T339">
        <f t="shared" si="84"/>
        <v>204</v>
      </c>
      <c r="U339" t="str">
        <f>IF($A339="","",IF($A339=经营数据!$B$3,COUNTIFS($S$2:$S$3000,1,$A$2:$A$3000,$A339,$T$2:$T$3000,"&lt;"&amp;$T339)+1,""))</f>
        <v/>
      </c>
      <c r="V339" t="str">
        <f t="shared" si="85"/>
        <v>华威西营里农产品交易中心|服务效率</v>
      </c>
      <c r="W339">
        <f t="shared" si="86"/>
        <v>205</v>
      </c>
      <c r="X339" t="str">
        <f t="shared" si="87"/>
        <v>华威西营里农产品交易中心|各业态租金复合增长率</v>
      </c>
      <c r="Y339">
        <f t="shared" si="88"/>
        <v>313</v>
      </c>
      <c r="Z339">
        <f>IF($A339="",0,IF(AND($M339=1,$A339=经营数据!$B$3,$J339=经营数据!$BA$5,OR($I339=经营数据!$BA$4,COUNTIF(经营数据!$AA$9:$AA$38,$I339)&gt;0)),1,0))</f>
        <v>0</v>
      </c>
      <c r="AA339" t="str">
        <f t="shared" si="89"/>
        <v/>
      </c>
      <c r="AB339" t="str">
        <f t="shared" si="90"/>
        <v/>
      </c>
      <c r="AC339">
        <f>IF($A339="",0,IF(COUNTIF($A$2:$A339,$A339)=1,1,0))</f>
        <v>0</v>
      </c>
      <c r="AD339">
        <f t="shared" si="91"/>
        <v>4</v>
      </c>
      <c r="AE339" t="str">
        <f t="shared" si="92"/>
        <v>华威西营里农产品交易中心|各业态租金复合增长率-蔬果（%）</v>
      </c>
      <c r="BP339" s="47">
        <v>45869</v>
      </c>
      <c r="BQ339" s="29">
        <v>3.5385575601184292E-2</v>
      </c>
    </row>
    <row r="340" spans="1:69" x14ac:dyDescent="0.4">
      <c r="A340" t="str">
        <f>IF(原始经营数据!$D341="","",原始经营数据!$D341)</f>
        <v>易方达华威农贸市场封闭式基础设施证券投资基金</v>
      </c>
      <c r="B340" t="str">
        <f>IF(原始经营数据!$D341="","",T(原始经营数据!$E341))</f>
        <v>华威西营里农产品交易中心</v>
      </c>
      <c r="C340" t="str">
        <f>IF(原始经营数据!$D341="","",原始经营数据!$F341)</f>
        <v>2024H1</v>
      </c>
      <c r="D340" t="str">
        <f>IF(原始经营数据!$D341="","",原始经营数据!$H341)</f>
        <v>各经营业态出租率表</v>
      </c>
      <c r="E340">
        <f>IF(原始经营数据!$D341="","",原始经营数据!$I341)</f>
        <v>75</v>
      </c>
      <c r="F340" t="str">
        <f>IF(原始经营数据!$D341="","",T(原始经营数据!$J341))</f>
        <v>%</v>
      </c>
      <c r="G340" t="str">
        <f>IF(原始经营数据!$D341="","",T(原始经营数据!$K341))</f>
        <v>海鲜美食体验</v>
      </c>
      <c r="H340" t="str">
        <f>IF(原始经营数据!$D341="","",原始经营数据!$G341)</f>
        <v>服务效率</v>
      </c>
      <c r="I340" t="str">
        <f>IF($A340="","",IF($B340&lt;&gt;"",$B340,IF(COUNTIFS(原始经营数据!$D$3:$D$3001,$A340,原始经营数据!$E$3:$E$3001,"",原始经营数据!$F$3:$F$3001,$C340,原始经营数据!$H$3:$H$3001,$D340,原始经营数据!$K$3:$K$3001,$G340)&gt;1,"基金整体·来源"&amp;原始经营数据!$A341,"基金整体")))</f>
        <v>华威西营里农产品交易中心</v>
      </c>
      <c r="J340" t="str">
        <f t="shared" si="78"/>
        <v>其他期间</v>
      </c>
      <c r="K340" t="str">
        <f t="shared" si="79"/>
        <v>各经营业态出租率表-海鲜美食体验（%）</v>
      </c>
      <c r="L340" t="str">
        <f t="shared" si="80"/>
        <v>华威西营里农产品交易中心|各经营业态出租率表-海鲜美食体验（%）|其他期间</v>
      </c>
      <c r="M340">
        <f>IF($A340="",0,IF(COUNTIF($L$2:$L340,$L340)=1,1,0))</f>
        <v>1</v>
      </c>
      <c r="N340">
        <f t="shared" si="81"/>
        <v>20249</v>
      </c>
      <c r="O340" t="str">
        <f t="shared" si="82"/>
        <v>易方达华威农贸市场封闭式基础设施证券投资基金|2024H1|其他期间</v>
      </c>
      <c r="P340">
        <f>IF($A340="",0,IF(COUNTIF($O$2:$O340,$O340)=1,1,0))</f>
        <v>0</v>
      </c>
      <c r="Q340" t="str">
        <f>IF(AND($P340=1,$A340=经营数据!$B$3,$J340=经营数据!$BA$5),COUNTIFS($P$2:$P$3000,1,$A$2:$A$3000,$A340,$J$2:$J$3000,$J340,$N$2:$N$3000,"&lt;"&amp;$N340)+1,"")</f>
        <v/>
      </c>
      <c r="R340" t="str">
        <f t="shared" si="83"/>
        <v>易方达华威农贸市场封闭式基础设施证券投资基金|华威西营里农产品交易中心</v>
      </c>
      <c r="S340">
        <f>IF($A340="",0,IF(COUNTIF($R$2:$R340,$R340)=1,1,0))</f>
        <v>0</v>
      </c>
      <c r="T340">
        <f t="shared" si="84"/>
        <v>204</v>
      </c>
      <c r="U340" t="str">
        <f>IF($A340="","",IF($A340=经营数据!$B$3,COUNTIFS($S$2:$S$3000,1,$A$2:$A$3000,$A340,$T$2:$T$3000,"&lt;"&amp;$T340)+1,""))</f>
        <v/>
      </c>
      <c r="V340" t="str">
        <f t="shared" si="85"/>
        <v>华威西营里农产品交易中心|服务效率</v>
      </c>
      <c r="W340">
        <f t="shared" si="86"/>
        <v>205</v>
      </c>
      <c r="X340" t="str">
        <f t="shared" si="87"/>
        <v>华威西营里农产品交易中心|各经营业态出租率表</v>
      </c>
      <c r="Y340">
        <f t="shared" si="88"/>
        <v>205</v>
      </c>
      <c r="Z340">
        <f>IF($A340="",0,IF(AND($M340=1,$A340=经营数据!$B$3,$J340=经营数据!$BA$5,OR($I340=经营数据!$BA$4,COUNTIF(经营数据!$AA$9:$AA$38,$I340)&gt;0)),1,0))</f>
        <v>0</v>
      </c>
      <c r="AA340" t="str">
        <f t="shared" si="89"/>
        <v/>
      </c>
      <c r="AB340" t="str">
        <f t="shared" si="90"/>
        <v/>
      </c>
      <c r="AC340">
        <f>IF($A340="",0,IF(COUNTIF($A$2:$A340,$A340)=1,1,0))</f>
        <v>0</v>
      </c>
      <c r="AD340">
        <f t="shared" si="91"/>
        <v>4</v>
      </c>
      <c r="AE340" t="str">
        <f t="shared" si="92"/>
        <v>华威西营里农产品交易中心|各经营业态出租率表-海鲜美食体验（%）</v>
      </c>
      <c r="BP340" s="47">
        <v>45870</v>
      </c>
      <c r="BQ340" s="29">
        <v>3.5674321849713621E-2</v>
      </c>
    </row>
    <row r="341" spans="1:69" x14ac:dyDescent="0.4">
      <c r="A341" t="str">
        <f>IF(原始经营数据!$D342="","",原始经营数据!$D342)</f>
        <v>易方达华威农贸市场封闭式基础设施证券投资基金</v>
      </c>
      <c r="B341" t="str">
        <f>IF(原始经营数据!$D342="","",T(原始经营数据!$E342))</f>
        <v>华威西营里农产品交易中心</v>
      </c>
      <c r="C341" t="str">
        <f>IF(原始经营数据!$D342="","",原始经营数据!$F342)</f>
        <v>2024H1</v>
      </c>
      <c r="D341" t="str">
        <f>IF(原始经营数据!$D342="","",原始经营数据!$H342)</f>
        <v>各经营业态出租率表</v>
      </c>
      <c r="E341">
        <f>IF(原始经营数据!$D342="","",原始经营数据!$I342)</f>
        <v>100</v>
      </c>
      <c r="F341" t="str">
        <f>IF(原始经营数据!$D342="","",T(原始经营数据!$J342))</f>
        <v>%</v>
      </c>
      <c r="G341" t="str">
        <f>IF(原始经营数据!$D342="","",T(原始经营数据!$K342))</f>
        <v>蔬果</v>
      </c>
      <c r="H341" t="str">
        <f>IF(原始经营数据!$D342="","",原始经营数据!$G342)</f>
        <v>服务效率</v>
      </c>
      <c r="I341" t="str">
        <f>IF($A341="","",IF($B341&lt;&gt;"",$B341,IF(COUNTIFS(原始经营数据!$D$3:$D$3001,$A341,原始经营数据!$E$3:$E$3001,"",原始经营数据!$F$3:$F$3001,$C341,原始经营数据!$H$3:$H$3001,$D341,原始经营数据!$K$3:$K$3001,$G341)&gt;1,"基金整体·来源"&amp;原始经营数据!$A342,"基金整体")))</f>
        <v>华威西营里农产品交易中心</v>
      </c>
      <c r="J341" t="str">
        <f t="shared" si="78"/>
        <v>其他期间</v>
      </c>
      <c r="K341" t="str">
        <f t="shared" si="79"/>
        <v>各经营业态出租率表-蔬果（%）</v>
      </c>
      <c r="L341" t="str">
        <f t="shared" si="80"/>
        <v>华威西营里农产品交易中心|各经营业态出租率表-蔬果（%）|其他期间</v>
      </c>
      <c r="M341">
        <f>IF($A341="",0,IF(COUNTIF($L$2:$L341,$L341)=1,1,0))</f>
        <v>1</v>
      </c>
      <c r="N341">
        <f t="shared" si="81"/>
        <v>20249</v>
      </c>
      <c r="O341" t="str">
        <f t="shared" si="82"/>
        <v>易方达华威农贸市场封闭式基础设施证券投资基金|2024H1|其他期间</v>
      </c>
      <c r="P341">
        <f>IF($A341="",0,IF(COUNTIF($O$2:$O341,$O341)=1,1,0))</f>
        <v>0</v>
      </c>
      <c r="Q341" t="str">
        <f>IF(AND($P341=1,$A341=经营数据!$B$3,$J341=经营数据!$BA$5),COUNTIFS($P$2:$P$3000,1,$A$2:$A$3000,$A341,$J$2:$J$3000,$J341,$N$2:$N$3000,"&lt;"&amp;$N341)+1,"")</f>
        <v/>
      </c>
      <c r="R341" t="str">
        <f t="shared" si="83"/>
        <v>易方达华威农贸市场封闭式基础设施证券投资基金|华威西营里农产品交易中心</v>
      </c>
      <c r="S341">
        <f>IF($A341="",0,IF(COUNTIF($R$2:$R341,$R341)=1,1,0))</f>
        <v>0</v>
      </c>
      <c r="T341">
        <f t="shared" si="84"/>
        <v>204</v>
      </c>
      <c r="U341" t="str">
        <f>IF($A341="","",IF($A341=经营数据!$B$3,COUNTIFS($S$2:$S$3000,1,$A$2:$A$3000,$A341,$T$2:$T$3000,"&lt;"&amp;$T341)+1,""))</f>
        <v/>
      </c>
      <c r="V341" t="str">
        <f t="shared" si="85"/>
        <v>华威西营里农产品交易中心|服务效率</v>
      </c>
      <c r="W341">
        <f t="shared" si="86"/>
        <v>205</v>
      </c>
      <c r="X341" t="str">
        <f t="shared" si="87"/>
        <v>华威西营里农产品交易中心|各经营业态出租率表</v>
      </c>
      <c r="Y341">
        <f t="shared" si="88"/>
        <v>205</v>
      </c>
      <c r="Z341">
        <f>IF($A341="",0,IF(AND($M341=1,$A341=经营数据!$B$3,$J341=经营数据!$BA$5,OR($I341=经营数据!$BA$4,COUNTIF(经营数据!$AA$9:$AA$38,$I341)&gt;0)),1,0))</f>
        <v>0</v>
      </c>
      <c r="AA341" t="str">
        <f t="shared" si="89"/>
        <v/>
      </c>
      <c r="AB341" t="str">
        <f t="shared" si="90"/>
        <v/>
      </c>
      <c r="AC341">
        <f>IF($A341="",0,IF(COUNTIF($A$2:$A341,$A341)=1,1,0))</f>
        <v>0</v>
      </c>
      <c r="AD341">
        <f t="shared" si="91"/>
        <v>4</v>
      </c>
      <c r="AE341" t="str">
        <f t="shared" si="92"/>
        <v>华威西营里农产品交易中心|各经营业态出租率表-蔬果（%）</v>
      </c>
      <c r="BP341" s="47">
        <v>45873</v>
      </c>
      <c r="BQ341" s="29">
        <v>3.5953674702260498E-2</v>
      </c>
    </row>
    <row r="342" spans="1:69" x14ac:dyDescent="0.4">
      <c r="A342" t="str">
        <f>IF(原始经营数据!$D343="","",原始经营数据!$D343)</f>
        <v>易方达华威农贸市场封闭式基础设施证券投资基金</v>
      </c>
      <c r="B342" t="str">
        <f>IF(原始经营数据!$D343="","",T(原始经营数据!$E343))</f>
        <v>华威西营里农产品交易中心</v>
      </c>
      <c r="C342" t="str">
        <f>IF(原始经营数据!$D343="","",原始经营数据!$F343)</f>
        <v>2024H1</v>
      </c>
      <c r="D342" t="str">
        <f>IF(原始经营数据!$D343="","",原始经营数据!$H343)</f>
        <v>各经营业态出租率表</v>
      </c>
      <c r="E342">
        <f>IF(原始经营数据!$D343="","",原始经营数据!$I343)</f>
        <v>100</v>
      </c>
      <c r="F342" t="str">
        <f>IF(原始经营数据!$D343="","",T(原始经营数据!$J343))</f>
        <v>%</v>
      </c>
      <c r="G342" t="str">
        <f>IF(原始经营数据!$D343="","",T(原始经营数据!$K343))</f>
        <v>肉禽</v>
      </c>
      <c r="H342" t="str">
        <f>IF(原始经营数据!$D343="","",原始经营数据!$G343)</f>
        <v>服务效率</v>
      </c>
      <c r="I342" t="str">
        <f>IF($A342="","",IF($B342&lt;&gt;"",$B342,IF(COUNTIFS(原始经营数据!$D$3:$D$3001,$A342,原始经营数据!$E$3:$E$3001,"",原始经营数据!$F$3:$F$3001,$C342,原始经营数据!$H$3:$H$3001,$D342,原始经营数据!$K$3:$K$3001,$G342)&gt;1,"基金整体·来源"&amp;原始经营数据!$A343,"基金整体")))</f>
        <v>华威西营里农产品交易中心</v>
      </c>
      <c r="J342" t="str">
        <f t="shared" si="78"/>
        <v>其他期间</v>
      </c>
      <c r="K342" t="str">
        <f t="shared" si="79"/>
        <v>各经营业态出租率表-肉禽（%）</v>
      </c>
      <c r="L342" t="str">
        <f t="shared" si="80"/>
        <v>华威西营里农产品交易中心|各经营业态出租率表-肉禽（%）|其他期间</v>
      </c>
      <c r="M342">
        <f>IF($A342="",0,IF(COUNTIF($L$2:$L342,$L342)=1,1,0))</f>
        <v>1</v>
      </c>
      <c r="N342">
        <f t="shared" si="81"/>
        <v>20249</v>
      </c>
      <c r="O342" t="str">
        <f t="shared" si="82"/>
        <v>易方达华威农贸市场封闭式基础设施证券投资基金|2024H1|其他期间</v>
      </c>
      <c r="P342">
        <f>IF($A342="",0,IF(COUNTIF($O$2:$O342,$O342)=1,1,0))</f>
        <v>0</v>
      </c>
      <c r="Q342" t="str">
        <f>IF(AND($P342=1,$A342=经营数据!$B$3,$J342=经营数据!$BA$5),COUNTIFS($P$2:$P$3000,1,$A$2:$A$3000,$A342,$J$2:$J$3000,$J342,$N$2:$N$3000,"&lt;"&amp;$N342)+1,"")</f>
        <v/>
      </c>
      <c r="R342" t="str">
        <f t="shared" si="83"/>
        <v>易方达华威农贸市场封闭式基础设施证券投资基金|华威西营里农产品交易中心</v>
      </c>
      <c r="S342">
        <f>IF($A342="",0,IF(COUNTIF($R$2:$R342,$R342)=1,1,0))</f>
        <v>0</v>
      </c>
      <c r="T342">
        <f t="shared" si="84"/>
        <v>204</v>
      </c>
      <c r="U342" t="str">
        <f>IF($A342="","",IF($A342=经营数据!$B$3,COUNTIFS($S$2:$S$3000,1,$A$2:$A$3000,$A342,$T$2:$T$3000,"&lt;"&amp;$T342)+1,""))</f>
        <v/>
      </c>
      <c r="V342" t="str">
        <f t="shared" si="85"/>
        <v>华威西营里农产品交易中心|服务效率</v>
      </c>
      <c r="W342">
        <f t="shared" si="86"/>
        <v>205</v>
      </c>
      <c r="X342" t="str">
        <f t="shared" si="87"/>
        <v>华威西营里农产品交易中心|各经营业态出租率表</v>
      </c>
      <c r="Y342">
        <f t="shared" si="88"/>
        <v>205</v>
      </c>
      <c r="Z342">
        <f>IF($A342="",0,IF(AND($M342=1,$A342=经营数据!$B$3,$J342=经营数据!$BA$5,OR($I342=经营数据!$BA$4,COUNTIF(经营数据!$AA$9:$AA$38,$I342)&gt;0)),1,0))</f>
        <v>0</v>
      </c>
      <c r="AA342" t="str">
        <f t="shared" si="89"/>
        <v/>
      </c>
      <c r="AB342" t="str">
        <f t="shared" si="90"/>
        <v/>
      </c>
      <c r="AC342">
        <f>IF($A342="",0,IF(COUNTIF($A$2:$A342,$A342)=1,1,0))</f>
        <v>0</v>
      </c>
      <c r="AD342">
        <f t="shared" si="91"/>
        <v>4</v>
      </c>
      <c r="AE342" t="str">
        <f t="shared" si="92"/>
        <v>华威西营里农产品交易中心|各经营业态出租率表-肉禽（%）</v>
      </c>
      <c r="BP342" s="47">
        <v>45874</v>
      </c>
      <c r="BQ342" s="29">
        <v>3.6128731173652319E-2</v>
      </c>
    </row>
    <row r="343" spans="1:69" x14ac:dyDescent="0.4">
      <c r="A343" t="str">
        <f>IF(原始经营数据!$D344="","",原始经营数据!$D344)</f>
        <v>易方达华威农贸市场封闭式基础设施证券投资基金</v>
      </c>
      <c r="B343" t="str">
        <f>IF(原始经营数据!$D344="","",T(原始经营数据!$E344))</f>
        <v>华威西营里农产品交易中心</v>
      </c>
      <c r="C343" t="str">
        <f>IF(原始经营数据!$D344="","",原始经营数据!$F344)</f>
        <v>2024H1</v>
      </c>
      <c r="D343" t="str">
        <f>IF(原始经营数据!$D344="","",原始经营数据!$H344)</f>
        <v>各经营业态出租率表</v>
      </c>
      <c r="E343">
        <f>IF(原始经营数据!$D344="","",原始经营数据!$I344)</f>
        <v>92</v>
      </c>
      <c r="F343" t="str">
        <f>IF(原始经营数据!$D344="","",T(原始经营数据!$J344))</f>
        <v>%</v>
      </c>
      <c r="G343" t="str">
        <f>IF(原始经营数据!$D344="","",T(原始经营数据!$K344))</f>
        <v>商业配套</v>
      </c>
      <c r="H343" t="str">
        <f>IF(原始经营数据!$D344="","",原始经营数据!$G344)</f>
        <v>服务效率</v>
      </c>
      <c r="I343" t="str">
        <f>IF($A343="","",IF($B343&lt;&gt;"",$B343,IF(COUNTIFS(原始经营数据!$D$3:$D$3001,$A343,原始经营数据!$E$3:$E$3001,"",原始经营数据!$F$3:$F$3001,$C343,原始经营数据!$H$3:$H$3001,$D343,原始经营数据!$K$3:$K$3001,$G343)&gt;1,"基金整体·来源"&amp;原始经营数据!$A344,"基金整体")))</f>
        <v>华威西营里农产品交易中心</v>
      </c>
      <c r="J343" t="str">
        <f t="shared" si="78"/>
        <v>其他期间</v>
      </c>
      <c r="K343" t="str">
        <f t="shared" si="79"/>
        <v>各经营业态出租率表-商业配套（%）</v>
      </c>
      <c r="L343" t="str">
        <f t="shared" si="80"/>
        <v>华威西营里农产品交易中心|各经营业态出租率表-商业配套（%）|其他期间</v>
      </c>
      <c r="M343">
        <f>IF($A343="",0,IF(COUNTIF($L$2:$L343,$L343)=1,1,0))</f>
        <v>1</v>
      </c>
      <c r="N343">
        <f t="shared" si="81"/>
        <v>20249</v>
      </c>
      <c r="O343" t="str">
        <f t="shared" si="82"/>
        <v>易方达华威农贸市场封闭式基础设施证券投资基金|2024H1|其他期间</v>
      </c>
      <c r="P343">
        <f>IF($A343="",0,IF(COUNTIF($O$2:$O343,$O343)=1,1,0))</f>
        <v>0</v>
      </c>
      <c r="Q343" t="str">
        <f>IF(AND($P343=1,$A343=经营数据!$B$3,$J343=经营数据!$BA$5),COUNTIFS($P$2:$P$3000,1,$A$2:$A$3000,$A343,$J$2:$J$3000,$J343,$N$2:$N$3000,"&lt;"&amp;$N343)+1,"")</f>
        <v/>
      </c>
      <c r="R343" t="str">
        <f t="shared" si="83"/>
        <v>易方达华威农贸市场封闭式基础设施证券投资基金|华威西营里农产品交易中心</v>
      </c>
      <c r="S343">
        <f>IF($A343="",0,IF(COUNTIF($R$2:$R343,$R343)=1,1,0))</f>
        <v>0</v>
      </c>
      <c r="T343">
        <f t="shared" si="84"/>
        <v>204</v>
      </c>
      <c r="U343" t="str">
        <f>IF($A343="","",IF($A343=经营数据!$B$3,COUNTIFS($S$2:$S$3000,1,$A$2:$A$3000,$A343,$T$2:$T$3000,"&lt;"&amp;$T343)+1,""))</f>
        <v/>
      </c>
      <c r="V343" t="str">
        <f t="shared" si="85"/>
        <v>华威西营里农产品交易中心|服务效率</v>
      </c>
      <c r="W343">
        <f t="shared" si="86"/>
        <v>205</v>
      </c>
      <c r="X343" t="str">
        <f t="shared" si="87"/>
        <v>华威西营里农产品交易中心|各经营业态出租率表</v>
      </c>
      <c r="Y343">
        <f t="shared" si="88"/>
        <v>205</v>
      </c>
      <c r="Z343">
        <f>IF($A343="",0,IF(AND($M343=1,$A343=经营数据!$B$3,$J343=经营数据!$BA$5,OR($I343=经营数据!$BA$4,COUNTIF(经营数据!$AA$9:$AA$38,$I343)&gt;0)),1,0))</f>
        <v>0</v>
      </c>
      <c r="AA343" t="str">
        <f t="shared" si="89"/>
        <v/>
      </c>
      <c r="AB343" t="str">
        <f t="shared" si="90"/>
        <v/>
      </c>
      <c r="AC343">
        <f>IF($A343="",0,IF(COUNTIF($A$2:$A343,$A343)=1,1,0))</f>
        <v>0</v>
      </c>
      <c r="AD343">
        <f t="shared" si="91"/>
        <v>4</v>
      </c>
      <c r="AE343" t="str">
        <f t="shared" si="92"/>
        <v>华威西营里农产品交易中心|各经营业态出租率表-商业配套（%）</v>
      </c>
      <c r="BP343" s="47">
        <v>45875</v>
      </c>
      <c r="BQ343" s="29">
        <v>3.6189484186590778E-2</v>
      </c>
    </row>
    <row r="344" spans="1:69" x14ac:dyDescent="0.4">
      <c r="A344" t="str">
        <f>IF(原始经营数据!$D345="","",原始经营数据!$D345)</f>
        <v>易方达华威农贸市场封闭式基础设施证券投资基金</v>
      </c>
      <c r="B344" t="str">
        <f>IF(原始经营数据!$D345="","",T(原始经营数据!$E345))</f>
        <v>华威西营里农产品交易中心</v>
      </c>
      <c r="C344" t="str">
        <f>IF(原始经营数据!$D345="","",原始经营数据!$F345)</f>
        <v>2024H1</v>
      </c>
      <c r="D344" t="str">
        <f>IF(原始经营数据!$D345="","",原始经营数据!$H345)</f>
        <v>退租率</v>
      </c>
      <c r="E344">
        <f>IF(原始经营数据!$D345="","",原始经营数据!$I345)</f>
        <v>1.63</v>
      </c>
      <c r="F344" t="str">
        <f>IF(原始经营数据!$D345="","",T(原始经营数据!$J345))</f>
        <v>%</v>
      </c>
      <c r="G344" t="str">
        <f>IF(原始经营数据!$D345="","",T(原始经营数据!$K345))</f>
        <v/>
      </c>
      <c r="H344" t="str">
        <f>IF(原始经营数据!$D345="","",原始经营数据!$G345)</f>
        <v>服务效率</v>
      </c>
      <c r="I344" t="str">
        <f>IF($A344="","",IF($B344&lt;&gt;"",$B344,IF(COUNTIFS(原始经营数据!$D$3:$D$3001,$A344,原始经营数据!$E$3:$E$3001,"",原始经营数据!$F$3:$F$3001,$C344,原始经营数据!$H$3:$H$3001,$D344,原始经营数据!$K$3:$K$3001,$G344)&gt;1,"基金整体·来源"&amp;原始经营数据!$A345,"基金整体")))</f>
        <v>华威西营里农产品交易中心</v>
      </c>
      <c r="J344" t="str">
        <f t="shared" si="78"/>
        <v>其他期间</v>
      </c>
      <c r="K344" t="str">
        <f t="shared" si="79"/>
        <v>退租率（%）</v>
      </c>
      <c r="L344" t="str">
        <f t="shared" si="80"/>
        <v>华威西营里农产品交易中心|退租率（%）|其他期间</v>
      </c>
      <c r="M344">
        <f>IF($A344="",0,IF(COUNTIF($L$2:$L344,$L344)=1,1,0))</f>
        <v>1</v>
      </c>
      <c r="N344">
        <f t="shared" si="81"/>
        <v>20249</v>
      </c>
      <c r="O344" t="str">
        <f t="shared" si="82"/>
        <v>易方达华威农贸市场封闭式基础设施证券投资基金|2024H1|其他期间</v>
      </c>
      <c r="P344">
        <f>IF($A344="",0,IF(COUNTIF($O$2:$O344,$O344)=1,1,0))</f>
        <v>0</v>
      </c>
      <c r="Q344" t="str">
        <f>IF(AND($P344=1,$A344=经营数据!$B$3,$J344=经营数据!$BA$5),COUNTIFS($P$2:$P$3000,1,$A$2:$A$3000,$A344,$J$2:$J$3000,$J344,$N$2:$N$3000,"&lt;"&amp;$N344)+1,"")</f>
        <v/>
      </c>
      <c r="R344" t="str">
        <f t="shared" si="83"/>
        <v>易方达华威农贸市场封闭式基础设施证券投资基金|华威西营里农产品交易中心</v>
      </c>
      <c r="S344">
        <f>IF($A344="",0,IF(COUNTIF($R$2:$R344,$R344)=1,1,0))</f>
        <v>0</v>
      </c>
      <c r="T344">
        <f t="shared" si="84"/>
        <v>204</v>
      </c>
      <c r="U344" t="str">
        <f>IF($A344="","",IF($A344=经营数据!$B$3,COUNTIFS($S$2:$S$3000,1,$A$2:$A$3000,$A344,$T$2:$T$3000,"&lt;"&amp;$T344)+1,""))</f>
        <v/>
      </c>
      <c r="V344" t="str">
        <f t="shared" si="85"/>
        <v>华威西营里农产品交易中心|服务效率</v>
      </c>
      <c r="W344">
        <f t="shared" si="86"/>
        <v>205</v>
      </c>
      <c r="X344" t="str">
        <f t="shared" si="87"/>
        <v>华威西营里农产品交易中心|退租率</v>
      </c>
      <c r="Y344">
        <f t="shared" si="88"/>
        <v>219</v>
      </c>
      <c r="Z344">
        <f>IF($A344="",0,IF(AND($M344=1,$A344=经营数据!$B$3,$J344=经营数据!$BA$5,OR($I344=经营数据!$BA$4,COUNTIF(经营数据!$AA$9:$AA$38,$I344)&gt;0)),1,0))</f>
        <v>0</v>
      </c>
      <c r="AA344" t="str">
        <f t="shared" si="89"/>
        <v/>
      </c>
      <c r="AB344" t="str">
        <f t="shared" si="90"/>
        <v/>
      </c>
      <c r="AC344">
        <f>IF($A344="",0,IF(COUNTIF($A$2:$A344,$A344)=1,1,0))</f>
        <v>0</v>
      </c>
      <c r="AD344">
        <f t="shared" si="91"/>
        <v>4</v>
      </c>
      <c r="AE344" t="str">
        <f t="shared" si="92"/>
        <v>华威西营里农产品交易中心|退租率（%）</v>
      </c>
      <c r="BP344" s="47">
        <v>45876</v>
      </c>
      <c r="BQ344" s="29">
        <v>3.6178717488908413E-2</v>
      </c>
    </row>
    <row r="345" spans="1:69" x14ac:dyDescent="0.4">
      <c r="A345" t="str">
        <f>IF(原始经营数据!$D346="","",原始经营数据!$D346)</f>
        <v>易方达华威农贸市场封闭式基础设施证券投资基金</v>
      </c>
      <c r="B345" t="str">
        <f>IF(原始经营数据!$D346="","",T(原始经营数据!$E346))</f>
        <v>华威西营里农产品交易中心</v>
      </c>
      <c r="C345" t="str">
        <f>IF(原始经营数据!$D346="","",原始经营数据!$F346)</f>
        <v>2024H1</v>
      </c>
      <c r="D345" t="str">
        <f>IF(原始经营数据!$D346="","",原始经营数据!$H346)</f>
        <v>可租赁面积</v>
      </c>
      <c r="E345">
        <f>IF(原始经营数据!$D346="","",原始经营数据!$I346)</f>
        <v>15786.68</v>
      </c>
      <c r="F345" t="str">
        <f>IF(原始经营数据!$D346="","",T(原始经营数据!$J346))</f>
        <v>平方米</v>
      </c>
      <c r="G345" t="str">
        <f>IF(原始经营数据!$D346="","",T(原始经营数据!$K346))</f>
        <v>1号楼2层</v>
      </c>
      <c r="H345" t="str">
        <f>IF(原始经营数据!$D346="","",原始经营数据!$G346)</f>
        <v>服务量</v>
      </c>
      <c r="I345" t="str">
        <f>IF($A345="","",IF($B345&lt;&gt;"",$B345,IF(COUNTIFS(原始经营数据!$D$3:$D$3001,$A345,原始经营数据!$E$3:$E$3001,"",原始经营数据!$F$3:$F$3001,$C345,原始经营数据!$H$3:$H$3001,$D345,原始经营数据!$K$3:$K$3001,$G345)&gt;1,"基金整体·来源"&amp;原始经营数据!$A346,"基金整体")))</f>
        <v>华威西营里农产品交易中心</v>
      </c>
      <c r="J345" t="str">
        <f t="shared" si="78"/>
        <v>其他期间</v>
      </c>
      <c r="K345" t="str">
        <f t="shared" si="79"/>
        <v>可租赁面积-1号楼2层（平方米）</v>
      </c>
      <c r="L345" t="str">
        <f t="shared" si="80"/>
        <v>华威西营里农产品交易中心|可租赁面积-1号楼2层（平方米）|其他期间</v>
      </c>
      <c r="M345">
        <f>IF($A345="",0,IF(COUNTIF($L$2:$L345,$L345)=1,1,0))</f>
        <v>1</v>
      </c>
      <c r="N345">
        <f t="shared" si="81"/>
        <v>20249</v>
      </c>
      <c r="O345" t="str">
        <f t="shared" si="82"/>
        <v>易方达华威农贸市场封闭式基础设施证券投资基金|2024H1|其他期间</v>
      </c>
      <c r="P345">
        <f>IF($A345="",0,IF(COUNTIF($O$2:$O345,$O345)=1,1,0))</f>
        <v>0</v>
      </c>
      <c r="Q345" t="str">
        <f>IF(AND($P345=1,$A345=经营数据!$B$3,$J345=经营数据!$BA$5),COUNTIFS($P$2:$P$3000,1,$A$2:$A$3000,$A345,$J$2:$J$3000,$J345,$N$2:$N$3000,"&lt;"&amp;$N345)+1,"")</f>
        <v/>
      </c>
      <c r="R345" t="str">
        <f t="shared" si="83"/>
        <v>易方达华威农贸市场封闭式基础设施证券投资基金|华威西营里农产品交易中心</v>
      </c>
      <c r="S345">
        <f>IF($A345="",0,IF(COUNTIF($R$2:$R345,$R345)=1,1,0))</f>
        <v>0</v>
      </c>
      <c r="T345">
        <f t="shared" si="84"/>
        <v>204</v>
      </c>
      <c r="U345" t="str">
        <f>IF($A345="","",IF($A345=经营数据!$B$3,COUNTIFS($S$2:$S$3000,1,$A$2:$A$3000,$A345,$T$2:$T$3000,"&lt;"&amp;$T345)+1,""))</f>
        <v/>
      </c>
      <c r="V345" t="str">
        <f t="shared" si="85"/>
        <v>华威西营里农产品交易中心|服务量</v>
      </c>
      <c r="W345">
        <f t="shared" si="86"/>
        <v>221</v>
      </c>
      <c r="X345" t="str">
        <f t="shared" si="87"/>
        <v>华威西营里农产品交易中心|可租赁面积</v>
      </c>
      <c r="Y345">
        <f t="shared" si="88"/>
        <v>305</v>
      </c>
      <c r="Z345">
        <f>IF($A345="",0,IF(AND($M345=1,$A345=经营数据!$B$3,$J345=经营数据!$BA$5,OR($I345=经营数据!$BA$4,COUNTIF(经营数据!$AA$9:$AA$38,$I345)&gt;0)),1,0))</f>
        <v>0</v>
      </c>
      <c r="AA345" t="str">
        <f t="shared" si="89"/>
        <v/>
      </c>
      <c r="AB345" t="str">
        <f t="shared" si="90"/>
        <v/>
      </c>
      <c r="AC345">
        <f>IF($A345="",0,IF(COUNTIF($A$2:$A345,$A345)=1,1,0))</f>
        <v>0</v>
      </c>
      <c r="AD345">
        <f t="shared" si="91"/>
        <v>4</v>
      </c>
      <c r="AE345" t="str">
        <f t="shared" si="92"/>
        <v>华威西营里农产品交易中心|可租赁面积-1号楼2层（平方米）</v>
      </c>
      <c r="BP345" s="47">
        <v>45877</v>
      </c>
      <c r="BQ345" s="29">
        <v>3.6110191066841567E-2</v>
      </c>
    </row>
    <row r="346" spans="1:69" x14ac:dyDescent="0.4">
      <c r="A346" t="str">
        <f>IF(原始经营数据!$D347="","",原始经营数据!$D347)</f>
        <v>易方达华威农贸市场封闭式基础设施证券投资基金</v>
      </c>
      <c r="B346" t="str">
        <f>IF(原始经营数据!$D347="","",T(原始经营数据!$E347))</f>
        <v>华威西营里农产品交易中心</v>
      </c>
      <c r="C346" t="str">
        <f>IF(原始经营数据!$D347="","",原始经营数据!$F347)</f>
        <v>2024H1</v>
      </c>
      <c r="D346" t="str">
        <f>IF(原始经营数据!$D347="","",原始经营数据!$H347)</f>
        <v>可租赁面积</v>
      </c>
      <c r="E346">
        <f>IF(原始经营数据!$D347="","",原始经营数据!$I347)</f>
        <v>1324.26</v>
      </c>
      <c r="F346" t="str">
        <f>IF(原始经营数据!$D347="","",T(原始经营数据!$J347))</f>
        <v>平方米</v>
      </c>
      <c r="G346" t="str">
        <f>IF(原始经营数据!$D347="","",T(原始经营数据!$K347))</f>
        <v>1号楼附2层</v>
      </c>
      <c r="H346" t="str">
        <f>IF(原始经营数据!$D347="","",原始经营数据!$G347)</f>
        <v>服务量</v>
      </c>
      <c r="I346" t="str">
        <f>IF($A346="","",IF($B346&lt;&gt;"",$B346,IF(COUNTIFS(原始经营数据!$D$3:$D$3001,$A346,原始经营数据!$E$3:$E$3001,"",原始经营数据!$F$3:$F$3001,$C346,原始经营数据!$H$3:$H$3001,$D346,原始经营数据!$K$3:$K$3001,$G346)&gt;1,"基金整体·来源"&amp;原始经营数据!$A347,"基金整体")))</f>
        <v>华威西营里农产品交易中心</v>
      </c>
      <c r="J346" t="str">
        <f t="shared" si="78"/>
        <v>其他期间</v>
      </c>
      <c r="K346" t="str">
        <f t="shared" si="79"/>
        <v>可租赁面积-1号楼附2层（平方米）</v>
      </c>
      <c r="L346" t="str">
        <f t="shared" si="80"/>
        <v>华威西营里农产品交易中心|可租赁面积-1号楼附2层（平方米）|其他期间</v>
      </c>
      <c r="M346">
        <f>IF($A346="",0,IF(COUNTIF($L$2:$L346,$L346)=1,1,0))</f>
        <v>1</v>
      </c>
      <c r="N346">
        <f t="shared" si="81"/>
        <v>20249</v>
      </c>
      <c r="O346" t="str">
        <f t="shared" si="82"/>
        <v>易方达华威农贸市场封闭式基础设施证券投资基金|2024H1|其他期间</v>
      </c>
      <c r="P346">
        <f>IF($A346="",0,IF(COUNTIF($O$2:$O346,$O346)=1,1,0))</f>
        <v>0</v>
      </c>
      <c r="Q346" t="str">
        <f>IF(AND($P346=1,$A346=经营数据!$B$3,$J346=经营数据!$BA$5),COUNTIFS($P$2:$P$3000,1,$A$2:$A$3000,$A346,$J$2:$J$3000,$J346,$N$2:$N$3000,"&lt;"&amp;$N346)+1,"")</f>
        <v/>
      </c>
      <c r="R346" t="str">
        <f t="shared" si="83"/>
        <v>易方达华威农贸市场封闭式基础设施证券投资基金|华威西营里农产品交易中心</v>
      </c>
      <c r="S346">
        <f>IF($A346="",0,IF(COUNTIF($R$2:$R346,$R346)=1,1,0))</f>
        <v>0</v>
      </c>
      <c r="T346">
        <f t="shared" si="84"/>
        <v>204</v>
      </c>
      <c r="U346" t="str">
        <f>IF($A346="","",IF($A346=经营数据!$B$3,COUNTIFS($S$2:$S$3000,1,$A$2:$A$3000,$A346,$T$2:$T$3000,"&lt;"&amp;$T346)+1,""))</f>
        <v/>
      </c>
      <c r="V346" t="str">
        <f t="shared" si="85"/>
        <v>华威西营里农产品交易中心|服务量</v>
      </c>
      <c r="W346">
        <f t="shared" si="86"/>
        <v>221</v>
      </c>
      <c r="X346" t="str">
        <f t="shared" si="87"/>
        <v>华威西营里农产品交易中心|可租赁面积</v>
      </c>
      <c r="Y346">
        <f t="shared" si="88"/>
        <v>305</v>
      </c>
      <c r="Z346">
        <f>IF($A346="",0,IF(AND($M346=1,$A346=经营数据!$B$3,$J346=经营数据!$BA$5,OR($I346=经营数据!$BA$4,COUNTIF(经营数据!$AA$9:$AA$38,$I346)&gt;0)),1,0))</f>
        <v>0</v>
      </c>
      <c r="AA346" t="str">
        <f t="shared" si="89"/>
        <v/>
      </c>
      <c r="AB346" t="str">
        <f t="shared" si="90"/>
        <v/>
      </c>
      <c r="AC346">
        <f>IF($A346="",0,IF(COUNTIF($A$2:$A346,$A346)=1,1,0))</f>
        <v>0</v>
      </c>
      <c r="AD346">
        <f t="shared" si="91"/>
        <v>4</v>
      </c>
      <c r="AE346" t="str">
        <f t="shared" si="92"/>
        <v>华威西营里农产品交易中心|可租赁面积-1号楼附2层（平方米）</v>
      </c>
      <c r="BP346" s="47">
        <v>45880</v>
      </c>
      <c r="BQ346" s="29">
        <v>3.6132274708137527E-2</v>
      </c>
    </row>
    <row r="347" spans="1:69" x14ac:dyDescent="0.4">
      <c r="A347" t="str">
        <f>IF(原始经营数据!$D348="","",原始经营数据!$D348)</f>
        <v>易方达华威农贸市场封闭式基础设施证券投资基金</v>
      </c>
      <c r="B347" t="str">
        <f>IF(原始经营数据!$D348="","",T(原始经营数据!$E348))</f>
        <v>华威西营里农产品交易中心</v>
      </c>
      <c r="C347" t="str">
        <f>IF(原始经营数据!$D348="","",原始经营数据!$F348)</f>
        <v>2024H1</v>
      </c>
      <c r="D347" t="str">
        <f>IF(原始经营数据!$D348="","",原始经营数据!$H348)</f>
        <v>可租赁面积</v>
      </c>
      <c r="E347">
        <f>IF(原始经营数据!$D348="","",原始经营数据!$I348)</f>
        <v>17131.28</v>
      </c>
      <c r="F347" t="str">
        <f>IF(原始经营数据!$D348="","",T(原始经营数据!$J348))</f>
        <v>平方米</v>
      </c>
      <c r="G347" t="str">
        <f>IF(原始经营数据!$D348="","",T(原始经营数据!$K348))</f>
        <v>6号楼（共6
层）</v>
      </c>
      <c r="H347" t="str">
        <f>IF(原始经营数据!$D348="","",原始经营数据!$G348)</f>
        <v>服务量</v>
      </c>
      <c r="I347" t="str">
        <f>IF($A347="","",IF($B347&lt;&gt;"",$B347,IF(COUNTIFS(原始经营数据!$D$3:$D$3001,$A347,原始经营数据!$E$3:$E$3001,"",原始经营数据!$F$3:$F$3001,$C347,原始经营数据!$H$3:$H$3001,$D347,原始经营数据!$K$3:$K$3001,$G347)&gt;1,"基金整体·来源"&amp;原始经营数据!$A348,"基金整体")))</f>
        <v>华威西营里农产品交易中心</v>
      </c>
      <c r="J347" t="str">
        <f t="shared" si="78"/>
        <v>其他期间</v>
      </c>
      <c r="K347" t="str">
        <f t="shared" si="79"/>
        <v>可租赁面积-6号楼（共6层）（平方米）</v>
      </c>
      <c r="L347" t="str">
        <f t="shared" si="80"/>
        <v>华威西营里农产品交易中心|可租赁面积-6号楼（共6层）（平方米）|其他期间</v>
      </c>
      <c r="M347">
        <f>IF($A347="",0,IF(COUNTIF($L$2:$L347,$L347)=1,1,0))</f>
        <v>1</v>
      </c>
      <c r="N347">
        <f t="shared" si="81"/>
        <v>20249</v>
      </c>
      <c r="O347" t="str">
        <f t="shared" si="82"/>
        <v>易方达华威农贸市场封闭式基础设施证券投资基金|2024H1|其他期间</v>
      </c>
      <c r="P347">
        <f>IF($A347="",0,IF(COUNTIF($O$2:$O347,$O347)=1,1,0))</f>
        <v>0</v>
      </c>
      <c r="Q347" t="str">
        <f>IF(AND($P347=1,$A347=经营数据!$B$3,$J347=经营数据!$BA$5),COUNTIFS($P$2:$P$3000,1,$A$2:$A$3000,$A347,$J$2:$J$3000,$J347,$N$2:$N$3000,"&lt;"&amp;$N347)+1,"")</f>
        <v/>
      </c>
      <c r="R347" t="str">
        <f t="shared" si="83"/>
        <v>易方达华威农贸市场封闭式基础设施证券投资基金|华威西营里农产品交易中心</v>
      </c>
      <c r="S347">
        <f>IF($A347="",0,IF(COUNTIF($R$2:$R347,$R347)=1,1,0))</f>
        <v>0</v>
      </c>
      <c r="T347">
        <f t="shared" si="84"/>
        <v>204</v>
      </c>
      <c r="U347" t="str">
        <f>IF($A347="","",IF($A347=经营数据!$B$3,COUNTIFS($S$2:$S$3000,1,$A$2:$A$3000,$A347,$T$2:$T$3000,"&lt;"&amp;$T347)+1,""))</f>
        <v/>
      </c>
      <c r="V347" t="str">
        <f t="shared" si="85"/>
        <v>华威西营里农产品交易中心|服务量</v>
      </c>
      <c r="W347">
        <f t="shared" si="86"/>
        <v>221</v>
      </c>
      <c r="X347" t="str">
        <f t="shared" si="87"/>
        <v>华威西营里农产品交易中心|可租赁面积</v>
      </c>
      <c r="Y347">
        <f t="shared" si="88"/>
        <v>305</v>
      </c>
      <c r="Z347">
        <f>IF($A347="",0,IF(AND($M347=1,$A347=经营数据!$B$3,$J347=经营数据!$BA$5,OR($I347=经营数据!$BA$4,COUNTIF(经营数据!$AA$9:$AA$38,$I347)&gt;0)),1,0))</f>
        <v>0</v>
      </c>
      <c r="AA347" t="str">
        <f t="shared" si="89"/>
        <v/>
      </c>
      <c r="AB347" t="str">
        <f t="shared" si="90"/>
        <v/>
      </c>
      <c r="AC347">
        <f>IF($A347="",0,IF(COUNTIF($A$2:$A347,$A347)=1,1,0))</f>
        <v>0</v>
      </c>
      <c r="AD347">
        <f t="shared" si="91"/>
        <v>4</v>
      </c>
      <c r="AE347" t="str">
        <f t="shared" si="92"/>
        <v>华威西营里农产品交易中心|可租赁面积-6号楼（共6层）（平方米）</v>
      </c>
      <c r="BP347" s="47">
        <v>45881</v>
      </c>
      <c r="BQ347" s="29">
        <v>3.6266920960372477E-2</v>
      </c>
    </row>
    <row r="348" spans="1:69" x14ac:dyDescent="0.4">
      <c r="A348" t="str">
        <f>IF(原始经营数据!$D349="","",原始经营数据!$D349)</f>
        <v>易方达华威农贸市场封闭式基础设施证券投资基金</v>
      </c>
      <c r="B348" t="str">
        <f>IF(原始经营数据!$D349="","",T(原始经营数据!$E349))</f>
        <v>华威西营里农产品交易中心</v>
      </c>
      <c r="C348" t="str">
        <f>IF(原始经营数据!$D349="","",原始经营数据!$F349)</f>
        <v>2024H1</v>
      </c>
      <c r="D348" t="str">
        <f>IF(原始经营数据!$D349="","",原始经营数据!$H349)</f>
        <v>各业态租金复合增长率</v>
      </c>
      <c r="E348">
        <f>IF(原始经营数据!$D349="","",原始经营数据!$I349)</f>
        <v>2.9</v>
      </c>
      <c r="F348" t="str">
        <f>IF(原始经营数据!$D349="","",T(原始经营数据!$J349))</f>
        <v>%</v>
      </c>
      <c r="G348" t="str">
        <f>IF(原始经营数据!$D349="","",T(原始经营数据!$K349))</f>
        <v>肉禽</v>
      </c>
      <c r="H348" t="str">
        <f>IF(原始经营数据!$D349="","",原始经营数据!$G349)</f>
        <v>服务效率</v>
      </c>
      <c r="I348" t="str">
        <f>IF($A348="","",IF($B348&lt;&gt;"",$B348,IF(COUNTIFS(原始经营数据!$D$3:$D$3001,$A348,原始经营数据!$E$3:$E$3001,"",原始经营数据!$F$3:$F$3001,$C348,原始经营数据!$H$3:$H$3001,$D348,原始经营数据!$K$3:$K$3001,$G348)&gt;1,"基金整体·来源"&amp;原始经营数据!$A349,"基金整体")))</f>
        <v>华威西营里农产品交易中心</v>
      </c>
      <c r="J348" t="str">
        <f t="shared" si="78"/>
        <v>其他期间</v>
      </c>
      <c r="K348" t="str">
        <f t="shared" si="79"/>
        <v>各业态租金复合增长率-肉禽（%）</v>
      </c>
      <c r="L348" t="str">
        <f t="shared" si="80"/>
        <v>华威西营里农产品交易中心|各业态租金复合增长率-肉禽（%）|其他期间</v>
      </c>
      <c r="M348">
        <f>IF($A348="",0,IF(COUNTIF($L$2:$L348,$L348)=1,1,0))</f>
        <v>1</v>
      </c>
      <c r="N348">
        <f t="shared" si="81"/>
        <v>20249</v>
      </c>
      <c r="O348" t="str">
        <f t="shared" si="82"/>
        <v>易方达华威农贸市场封闭式基础设施证券投资基金|2024H1|其他期间</v>
      </c>
      <c r="P348">
        <f>IF($A348="",0,IF(COUNTIF($O$2:$O348,$O348)=1,1,0))</f>
        <v>0</v>
      </c>
      <c r="Q348" t="str">
        <f>IF(AND($P348=1,$A348=经营数据!$B$3,$J348=经营数据!$BA$5),COUNTIFS($P$2:$P$3000,1,$A$2:$A$3000,$A348,$J$2:$J$3000,$J348,$N$2:$N$3000,"&lt;"&amp;$N348)+1,"")</f>
        <v/>
      </c>
      <c r="R348" t="str">
        <f t="shared" si="83"/>
        <v>易方达华威农贸市场封闭式基础设施证券投资基金|华威西营里农产品交易中心</v>
      </c>
      <c r="S348">
        <f>IF($A348="",0,IF(COUNTIF($R$2:$R348,$R348)=1,1,0))</f>
        <v>0</v>
      </c>
      <c r="T348">
        <f t="shared" si="84"/>
        <v>204</v>
      </c>
      <c r="U348" t="str">
        <f>IF($A348="","",IF($A348=经营数据!$B$3,COUNTIFS($S$2:$S$3000,1,$A$2:$A$3000,$A348,$T$2:$T$3000,"&lt;"&amp;$T348)+1,""))</f>
        <v/>
      </c>
      <c r="V348" t="str">
        <f t="shared" si="85"/>
        <v>华威西营里农产品交易中心|服务效率</v>
      </c>
      <c r="W348">
        <f t="shared" si="86"/>
        <v>205</v>
      </c>
      <c r="X348" t="str">
        <f t="shared" si="87"/>
        <v>华威西营里农产品交易中心|各业态租金复合增长率</v>
      </c>
      <c r="Y348">
        <f t="shared" si="88"/>
        <v>313</v>
      </c>
      <c r="Z348">
        <f>IF($A348="",0,IF(AND($M348=1,$A348=经营数据!$B$3,$J348=经营数据!$BA$5,OR($I348=经营数据!$BA$4,COUNTIF(经营数据!$AA$9:$AA$38,$I348)&gt;0)),1,0))</f>
        <v>0</v>
      </c>
      <c r="AA348" t="str">
        <f t="shared" si="89"/>
        <v/>
      </c>
      <c r="AB348" t="str">
        <f t="shared" si="90"/>
        <v/>
      </c>
      <c r="AC348">
        <f>IF($A348="",0,IF(COUNTIF($A$2:$A348,$A348)=1,1,0))</f>
        <v>0</v>
      </c>
      <c r="AD348">
        <f t="shared" si="91"/>
        <v>4</v>
      </c>
      <c r="AE348" t="str">
        <f t="shared" si="92"/>
        <v>华威西营里农产品交易中心|各业态租金复合增长率-肉禽（%）</v>
      </c>
      <c r="BP348" s="47">
        <v>45882</v>
      </c>
      <c r="BQ348" s="29">
        <v>3.627217222601907E-2</v>
      </c>
    </row>
    <row r="349" spans="1:69" x14ac:dyDescent="0.4">
      <c r="A349" t="str">
        <f>IF(原始经营数据!$D350="","",原始经营数据!$D350)</f>
        <v>易方达华威农贸市场封闭式基础设施证券投资基金</v>
      </c>
      <c r="B349" t="str">
        <f>IF(原始经营数据!$D350="","",T(原始经营数据!$E350))</f>
        <v>华威西营里农产品交易中心</v>
      </c>
      <c r="C349" t="str">
        <f>IF(原始经营数据!$D350="","",原始经营数据!$F350)</f>
        <v>2024H1</v>
      </c>
      <c r="D349" t="str">
        <f>IF(原始经营数据!$D350="","",原始经营数据!$H350)</f>
        <v>各业态租金复合增长率</v>
      </c>
      <c r="E349">
        <f>IF(原始经营数据!$D350="","",原始经营数据!$I350)</f>
        <v>4.2699999999999996</v>
      </c>
      <c r="F349" t="str">
        <f>IF(原始经营数据!$D350="","",T(原始经营数据!$J350))</f>
        <v>%</v>
      </c>
      <c r="G349" t="str">
        <f>IF(原始经营数据!$D350="","",T(原始经营数据!$K350))</f>
        <v>商业配套</v>
      </c>
      <c r="H349" t="str">
        <f>IF(原始经营数据!$D350="","",原始经营数据!$G350)</f>
        <v>服务效率</v>
      </c>
      <c r="I349" t="str">
        <f>IF($A349="","",IF($B349&lt;&gt;"",$B349,IF(COUNTIFS(原始经营数据!$D$3:$D$3001,$A349,原始经营数据!$E$3:$E$3001,"",原始经营数据!$F$3:$F$3001,$C349,原始经营数据!$H$3:$H$3001,$D349,原始经营数据!$K$3:$K$3001,$G349)&gt;1,"基金整体·来源"&amp;原始经营数据!$A350,"基金整体")))</f>
        <v>华威西营里农产品交易中心</v>
      </c>
      <c r="J349" t="str">
        <f t="shared" si="78"/>
        <v>其他期间</v>
      </c>
      <c r="K349" t="str">
        <f t="shared" si="79"/>
        <v>各业态租金复合增长率-商业配套（%）</v>
      </c>
      <c r="L349" t="str">
        <f t="shared" si="80"/>
        <v>华威西营里农产品交易中心|各业态租金复合增长率-商业配套（%）|其他期间</v>
      </c>
      <c r="M349">
        <f>IF($A349="",0,IF(COUNTIF($L$2:$L349,$L349)=1,1,0))</f>
        <v>1</v>
      </c>
      <c r="N349">
        <f t="shared" si="81"/>
        <v>20249</v>
      </c>
      <c r="O349" t="str">
        <f t="shared" si="82"/>
        <v>易方达华威农贸市场封闭式基础设施证券投资基金|2024H1|其他期间</v>
      </c>
      <c r="P349">
        <f>IF($A349="",0,IF(COUNTIF($O$2:$O349,$O349)=1,1,0))</f>
        <v>0</v>
      </c>
      <c r="Q349" t="str">
        <f>IF(AND($P349=1,$A349=经营数据!$B$3,$J349=经营数据!$BA$5),COUNTIFS($P$2:$P$3000,1,$A$2:$A$3000,$A349,$J$2:$J$3000,$J349,$N$2:$N$3000,"&lt;"&amp;$N349)+1,"")</f>
        <v/>
      </c>
      <c r="R349" t="str">
        <f t="shared" si="83"/>
        <v>易方达华威农贸市场封闭式基础设施证券投资基金|华威西营里农产品交易中心</v>
      </c>
      <c r="S349">
        <f>IF($A349="",0,IF(COUNTIF($R$2:$R349,$R349)=1,1,0))</f>
        <v>0</v>
      </c>
      <c r="T349">
        <f t="shared" si="84"/>
        <v>204</v>
      </c>
      <c r="U349" t="str">
        <f>IF($A349="","",IF($A349=经营数据!$B$3,COUNTIFS($S$2:$S$3000,1,$A$2:$A$3000,$A349,$T$2:$T$3000,"&lt;"&amp;$T349)+1,""))</f>
        <v/>
      </c>
      <c r="V349" t="str">
        <f t="shared" si="85"/>
        <v>华威西营里农产品交易中心|服务效率</v>
      </c>
      <c r="W349">
        <f t="shared" si="86"/>
        <v>205</v>
      </c>
      <c r="X349" t="str">
        <f t="shared" si="87"/>
        <v>华威西营里农产品交易中心|各业态租金复合增长率</v>
      </c>
      <c r="Y349">
        <f t="shared" si="88"/>
        <v>313</v>
      </c>
      <c r="Z349">
        <f>IF($A349="",0,IF(AND($M349=1,$A349=经营数据!$B$3,$J349=经营数据!$BA$5,OR($I349=经营数据!$BA$4,COUNTIF(经营数据!$AA$9:$AA$38,$I349)&gt;0)),1,0))</f>
        <v>0</v>
      </c>
      <c r="AA349" t="str">
        <f t="shared" si="89"/>
        <v/>
      </c>
      <c r="AB349" t="str">
        <f t="shared" si="90"/>
        <v/>
      </c>
      <c r="AC349">
        <f>IF($A349="",0,IF(COUNTIF($A$2:$A349,$A349)=1,1,0))</f>
        <v>0</v>
      </c>
      <c r="AD349">
        <f t="shared" si="91"/>
        <v>4</v>
      </c>
      <c r="AE349" t="str">
        <f t="shared" si="92"/>
        <v>华威西营里农产品交易中心|各业态租金复合增长率-商业配套（%）</v>
      </c>
      <c r="BP349" s="47">
        <v>45883</v>
      </c>
      <c r="BQ349" s="29">
        <v>3.6358616015907341E-2</v>
      </c>
    </row>
    <row r="350" spans="1:69" x14ac:dyDescent="0.4">
      <c r="A350" t="str">
        <f>IF(原始经营数据!$D351="","",原始经营数据!$D351)</f>
        <v>易方达华威农贸市场封闭式基础设施证券投资基金</v>
      </c>
      <c r="B350" t="str">
        <f>IF(原始经营数据!$D351="","",T(原始经营数据!$E351))</f>
        <v>华威西营里农产品交易中心</v>
      </c>
      <c r="C350" t="str">
        <f>IF(原始经营数据!$D351="","",原始经营数据!$F351)</f>
        <v>2025Q1</v>
      </c>
      <c r="D350" t="str">
        <f>IF(原始经营数据!$D351="","",原始经营数据!$H351)</f>
        <v>期末租金收缴率</v>
      </c>
      <c r="E350">
        <f>IF(原始经营数据!$D351="","",原始经营数据!$I351)</f>
        <v>100</v>
      </c>
      <c r="F350" t="str">
        <f>IF(原始经营数据!$D351="","",T(原始经营数据!$J351))</f>
        <v>%</v>
      </c>
      <c r="G350" t="str">
        <f>IF(原始经营数据!$D351="","",T(原始经营数据!$K351))</f>
        <v/>
      </c>
      <c r="H350" t="str">
        <f>IF(原始经营数据!$D351="","",原始经营数据!$G351)</f>
        <v>服务效率</v>
      </c>
      <c r="I350" t="str">
        <f>IF($A350="","",IF($B350&lt;&gt;"",$B350,IF(COUNTIFS(原始经营数据!$D$3:$D$3001,$A350,原始经营数据!$E$3:$E$3001,"",原始经营数据!$F$3:$F$3001,$C350,原始经营数据!$H$3:$H$3001,$D350,原始经营数据!$K$3:$K$3001,$G350)&gt;1,"基金整体·来源"&amp;原始经营数据!$A351,"基金整体")))</f>
        <v>华威西营里农产品交易中心</v>
      </c>
      <c r="J350" t="str">
        <f t="shared" si="78"/>
        <v>季度</v>
      </c>
      <c r="K350" t="str">
        <f t="shared" si="79"/>
        <v>期末租金收缴率（%）</v>
      </c>
      <c r="L350" t="str">
        <f t="shared" si="80"/>
        <v>华威西营里农产品交易中心|期末租金收缴率（%）|季度</v>
      </c>
      <c r="M350">
        <f>IF($A350="",0,IF(COUNTIF($L$2:$L350,$L350)=1,1,0))</f>
        <v>1</v>
      </c>
      <c r="N350">
        <f t="shared" si="81"/>
        <v>20251</v>
      </c>
      <c r="O350" t="str">
        <f t="shared" si="82"/>
        <v>易方达华威农贸市场封闭式基础设施证券投资基金|2025Q1|季度</v>
      </c>
      <c r="P350">
        <f>IF($A350="",0,IF(COUNTIF($O$2:$O350,$O350)=1,1,0))</f>
        <v>1</v>
      </c>
      <c r="Q350" t="str">
        <f>IF(AND($P350=1,$A350=经营数据!$B$3,$J350=经营数据!$BA$5),COUNTIFS($P$2:$P$3000,1,$A$2:$A$3000,$A350,$J$2:$J$3000,$J350,$N$2:$N$3000,"&lt;"&amp;$N350)+1,"")</f>
        <v/>
      </c>
      <c r="R350" t="str">
        <f t="shared" si="83"/>
        <v>易方达华威农贸市场封闭式基础设施证券投资基金|华威西营里农产品交易中心</v>
      </c>
      <c r="S350">
        <f>IF($A350="",0,IF(COUNTIF($R$2:$R350,$R350)=1,1,0))</f>
        <v>0</v>
      </c>
      <c r="T350">
        <f t="shared" si="84"/>
        <v>204</v>
      </c>
      <c r="U350" t="str">
        <f>IF($A350="","",IF($A350=经营数据!$B$3,COUNTIFS($S$2:$S$3000,1,$A$2:$A$3000,$A350,$T$2:$T$3000,"&lt;"&amp;$T350)+1,""))</f>
        <v/>
      </c>
      <c r="V350" t="str">
        <f t="shared" si="85"/>
        <v>华威西营里农产品交易中心|服务效率</v>
      </c>
      <c r="W350">
        <f t="shared" si="86"/>
        <v>205</v>
      </c>
      <c r="X350" t="str">
        <f t="shared" si="87"/>
        <v>华威西营里农产品交易中心|期末租金收缴率</v>
      </c>
      <c r="Y350">
        <f t="shared" si="88"/>
        <v>349</v>
      </c>
      <c r="Z350">
        <f>IF($A350="",0,IF(AND($M350=1,$A350=经营数据!$B$3,$J350=经营数据!$BA$5,OR($I350=经营数据!$BA$4,COUNTIF(经营数据!$AA$9:$AA$38,$I350)&gt;0)),1,0))</f>
        <v>0</v>
      </c>
      <c r="AA350" t="str">
        <f t="shared" si="89"/>
        <v/>
      </c>
      <c r="AB350" t="str">
        <f t="shared" si="90"/>
        <v/>
      </c>
      <c r="AC350">
        <f>IF($A350="",0,IF(COUNTIF($A$2:$A350,$A350)=1,1,0))</f>
        <v>0</v>
      </c>
      <c r="AD350">
        <f t="shared" si="91"/>
        <v>4</v>
      </c>
      <c r="AE350" t="str">
        <f t="shared" si="92"/>
        <v>华威西营里农产品交易中心|期末租金收缴率（%）</v>
      </c>
      <c r="BP350" s="47">
        <v>45884</v>
      </c>
      <c r="BQ350" s="29">
        <v>3.6617546751876139E-2</v>
      </c>
    </row>
    <row r="351" spans="1:69" x14ac:dyDescent="0.4">
      <c r="A351" t="str">
        <f>IF(原始经营数据!$D352="","",原始经营数据!$D352)</f>
        <v>易方达华威农贸市场封闭式基础设施证券投资基金</v>
      </c>
      <c r="B351" t="str">
        <f>IF(原始经营数据!$D352="","",T(原始经营数据!$E352))</f>
        <v>华威西营里农产品交易中心</v>
      </c>
      <c r="C351" t="str">
        <f>IF(原始经营数据!$D352="","",原始经营数据!$F352)</f>
        <v>2025Q1</v>
      </c>
      <c r="D351" t="str">
        <f>IF(原始经营数据!$D352="","",原始经营数据!$H352)</f>
        <v>期末出租率</v>
      </c>
      <c r="E351">
        <f>IF(原始经营数据!$D352="","",原始经营数据!$I352)</f>
        <v>87.71</v>
      </c>
      <c r="F351" t="str">
        <f>IF(原始经营数据!$D352="","",T(原始经营数据!$J352))</f>
        <v>%</v>
      </c>
      <c r="G351" t="str">
        <f>IF(原始经营数据!$D352="","",T(原始经营数据!$K352))</f>
        <v/>
      </c>
      <c r="H351" t="str">
        <f>IF(原始经营数据!$D352="","",原始经营数据!$G352)</f>
        <v>服务效率</v>
      </c>
      <c r="I351" t="str">
        <f>IF($A351="","",IF($B351&lt;&gt;"",$B351,IF(COUNTIFS(原始经营数据!$D$3:$D$3001,$A351,原始经营数据!$E$3:$E$3001,"",原始经营数据!$F$3:$F$3001,$C351,原始经营数据!$H$3:$H$3001,$D351,原始经营数据!$K$3:$K$3001,$G351)&gt;1,"基金整体·来源"&amp;原始经营数据!$A352,"基金整体")))</f>
        <v>华威西营里农产品交易中心</v>
      </c>
      <c r="J351" t="str">
        <f t="shared" si="78"/>
        <v>季度</v>
      </c>
      <c r="K351" t="str">
        <f t="shared" si="79"/>
        <v>期末出租率（%）</v>
      </c>
      <c r="L351" t="str">
        <f t="shared" si="80"/>
        <v>华威西营里农产品交易中心|期末出租率（%）|季度</v>
      </c>
      <c r="M351">
        <f>IF($A351="",0,IF(COUNTIF($L$2:$L351,$L351)=1,1,0))</f>
        <v>1</v>
      </c>
      <c r="N351">
        <f t="shared" si="81"/>
        <v>20251</v>
      </c>
      <c r="O351" t="str">
        <f t="shared" si="82"/>
        <v>易方达华威农贸市场封闭式基础设施证券投资基金|2025Q1|季度</v>
      </c>
      <c r="P351">
        <f>IF($A351="",0,IF(COUNTIF($O$2:$O351,$O351)=1,1,0))</f>
        <v>0</v>
      </c>
      <c r="Q351" t="str">
        <f>IF(AND($P351=1,$A351=经营数据!$B$3,$J351=经营数据!$BA$5),COUNTIFS($P$2:$P$3000,1,$A$2:$A$3000,$A351,$J$2:$J$3000,$J351,$N$2:$N$3000,"&lt;"&amp;$N351)+1,"")</f>
        <v/>
      </c>
      <c r="R351" t="str">
        <f t="shared" si="83"/>
        <v>易方达华威农贸市场封闭式基础设施证券投资基金|华威西营里农产品交易中心</v>
      </c>
      <c r="S351">
        <f>IF($A351="",0,IF(COUNTIF($R$2:$R351,$R351)=1,1,0))</f>
        <v>0</v>
      </c>
      <c r="T351">
        <f t="shared" si="84"/>
        <v>204</v>
      </c>
      <c r="U351" t="str">
        <f>IF($A351="","",IF($A351=经营数据!$B$3,COUNTIFS($S$2:$S$3000,1,$A$2:$A$3000,$A351,$T$2:$T$3000,"&lt;"&amp;$T351)+1,""))</f>
        <v/>
      </c>
      <c r="V351" t="str">
        <f t="shared" si="85"/>
        <v>华威西营里农产品交易中心|服务效率</v>
      </c>
      <c r="W351">
        <f t="shared" si="86"/>
        <v>205</v>
      </c>
      <c r="X351" t="str">
        <f t="shared" si="87"/>
        <v>华威西营里农产品交易中心|期末出租率</v>
      </c>
      <c r="Y351">
        <f t="shared" si="88"/>
        <v>350</v>
      </c>
      <c r="Z351">
        <f>IF($A351="",0,IF(AND($M351=1,$A351=经营数据!$B$3,$J351=经营数据!$BA$5,OR($I351=经营数据!$BA$4,COUNTIF(经营数据!$AA$9:$AA$38,$I351)&gt;0)),1,0))</f>
        <v>0</v>
      </c>
      <c r="AA351" t="str">
        <f t="shared" si="89"/>
        <v/>
      </c>
      <c r="AB351" t="str">
        <f t="shared" si="90"/>
        <v/>
      </c>
      <c r="AC351">
        <f>IF($A351="",0,IF(COUNTIF($A$2:$A351,$A351)=1,1,0))</f>
        <v>0</v>
      </c>
      <c r="AD351">
        <f t="shared" si="91"/>
        <v>4</v>
      </c>
      <c r="AE351" t="str">
        <f t="shared" si="92"/>
        <v>华威西营里农产品交易中心|期末出租率（%）</v>
      </c>
      <c r="BP351" s="47">
        <v>45887</v>
      </c>
      <c r="BQ351" s="29">
        <v>3.7612342571438868E-2</v>
      </c>
    </row>
    <row r="352" spans="1:69" x14ac:dyDescent="0.4">
      <c r="A352" t="str">
        <f>IF(原始经营数据!$D353="","",原始经营数据!$D353)</f>
        <v>易方达华威农贸市场封闭式基础设施证券投资基金</v>
      </c>
      <c r="B352" t="str">
        <f>IF(原始经营数据!$D353="","",T(原始经营数据!$E353))</f>
        <v>华威西营里农产品交易中心</v>
      </c>
      <c r="C352" t="str">
        <f>IF(原始经营数据!$D353="","",原始经营数据!$F353)</f>
        <v>2025Q1</v>
      </c>
      <c r="D352" t="str">
        <f>IF(原始经营数据!$D353="","",原始经营数据!$H353)</f>
        <v>期末实际出租面积</v>
      </c>
      <c r="E352">
        <f>IF(原始经营数据!$D353="","",原始经营数据!$I353)</f>
        <v>66405.03</v>
      </c>
      <c r="F352" t="str">
        <f>IF(原始经营数据!$D353="","",T(原始经营数据!$J353))</f>
        <v>平方米</v>
      </c>
      <c r="G352" t="str">
        <f>IF(原始经营数据!$D353="","",T(原始经营数据!$K353))</f>
        <v/>
      </c>
      <c r="H352" t="str">
        <f>IF(原始经营数据!$D353="","",原始经营数据!$G353)</f>
        <v>服务量</v>
      </c>
      <c r="I352" t="str">
        <f>IF($A352="","",IF($B352&lt;&gt;"",$B352,IF(COUNTIFS(原始经营数据!$D$3:$D$3001,$A352,原始经营数据!$E$3:$E$3001,"",原始经营数据!$F$3:$F$3001,$C352,原始经营数据!$H$3:$H$3001,$D352,原始经营数据!$K$3:$K$3001,$G352)&gt;1,"基金整体·来源"&amp;原始经营数据!$A353,"基金整体")))</f>
        <v>华威西营里农产品交易中心</v>
      </c>
      <c r="J352" t="str">
        <f t="shared" si="78"/>
        <v>季度</v>
      </c>
      <c r="K352" t="str">
        <f t="shared" si="79"/>
        <v>期末实际出租面积（平方米）</v>
      </c>
      <c r="L352" t="str">
        <f t="shared" si="80"/>
        <v>华威西营里农产品交易中心|期末实际出租面积（平方米）|季度</v>
      </c>
      <c r="M352">
        <f>IF($A352="",0,IF(COUNTIF($L$2:$L352,$L352)=1,1,0))</f>
        <v>1</v>
      </c>
      <c r="N352">
        <f t="shared" si="81"/>
        <v>20251</v>
      </c>
      <c r="O352" t="str">
        <f t="shared" si="82"/>
        <v>易方达华威农贸市场封闭式基础设施证券投资基金|2025Q1|季度</v>
      </c>
      <c r="P352">
        <f>IF($A352="",0,IF(COUNTIF($O$2:$O352,$O352)=1,1,0))</f>
        <v>0</v>
      </c>
      <c r="Q352" t="str">
        <f>IF(AND($P352=1,$A352=经营数据!$B$3,$J352=经营数据!$BA$5),COUNTIFS($P$2:$P$3000,1,$A$2:$A$3000,$A352,$J$2:$J$3000,$J352,$N$2:$N$3000,"&lt;"&amp;$N352)+1,"")</f>
        <v/>
      </c>
      <c r="R352" t="str">
        <f t="shared" si="83"/>
        <v>易方达华威农贸市场封闭式基础设施证券投资基金|华威西营里农产品交易中心</v>
      </c>
      <c r="S352">
        <f>IF($A352="",0,IF(COUNTIF($R$2:$R352,$R352)=1,1,0))</f>
        <v>0</v>
      </c>
      <c r="T352">
        <f t="shared" si="84"/>
        <v>204</v>
      </c>
      <c r="U352" t="str">
        <f>IF($A352="","",IF($A352=经营数据!$B$3,COUNTIFS($S$2:$S$3000,1,$A$2:$A$3000,$A352,$T$2:$T$3000,"&lt;"&amp;$T352)+1,""))</f>
        <v/>
      </c>
      <c r="V352" t="str">
        <f t="shared" si="85"/>
        <v>华威西营里农产品交易中心|服务量</v>
      </c>
      <c r="W352">
        <f t="shared" si="86"/>
        <v>221</v>
      </c>
      <c r="X352" t="str">
        <f t="shared" si="87"/>
        <v>华威西营里农产品交易中心|期末实际出租面积</v>
      </c>
      <c r="Y352">
        <f t="shared" si="88"/>
        <v>351</v>
      </c>
      <c r="Z352">
        <f>IF($A352="",0,IF(AND($M352=1,$A352=经营数据!$B$3,$J352=经营数据!$BA$5,OR($I352=经营数据!$BA$4,COUNTIF(经营数据!$AA$9:$AA$38,$I352)&gt;0)),1,0))</f>
        <v>0</v>
      </c>
      <c r="AA352" t="str">
        <f t="shared" si="89"/>
        <v/>
      </c>
      <c r="AB352" t="str">
        <f t="shared" si="90"/>
        <v/>
      </c>
      <c r="AC352">
        <f>IF($A352="",0,IF(COUNTIF($A$2:$A352,$A352)=1,1,0))</f>
        <v>0</v>
      </c>
      <c r="AD352">
        <f t="shared" si="91"/>
        <v>4</v>
      </c>
      <c r="AE352" t="str">
        <f t="shared" si="92"/>
        <v>华威西营里农产品交易中心|期末实际出租面积（平方米）</v>
      </c>
      <c r="BP352" s="47">
        <v>45888</v>
      </c>
      <c r="BQ352" s="29">
        <v>3.8107493266805598E-2</v>
      </c>
    </row>
    <row r="353" spans="1:69" x14ac:dyDescent="0.4">
      <c r="A353" t="str">
        <f>IF(原始经营数据!$D354="","",原始经营数据!$D354)</f>
        <v>易方达华威农贸市场封闭式基础设施证券投资基金</v>
      </c>
      <c r="B353" t="str">
        <f>IF(原始经营数据!$D354="","",T(原始经营数据!$E354))</f>
        <v>华威西营里农产品交易中心</v>
      </c>
      <c r="C353" t="str">
        <f>IF(原始经营数据!$D354="","",原始经营数据!$F354)</f>
        <v>2025Q1</v>
      </c>
      <c r="D353" t="str">
        <f>IF(原始经营数据!$D354="","",原始经营数据!$H354)</f>
        <v>期末可供出租面积</v>
      </c>
      <c r="E353">
        <f>IF(原始经营数据!$D354="","",原始经营数据!$I354)</f>
        <v>75708.070000000007</v>
      </c>
      <c r="F353" t="str">
        <f>IF(原始经营数据!$D354="","",T(原始经营数据!$J354))</f>
        <v>平方米</v>
      </c>
      <c r="G353" t="str">
        <f>IF(原始经营数据!$D354="","",T(原始经营数据!$K354))</f>
        <v/>
      </c>
      <c r="H353" t="str">
        <f>IF(原始经营数据!$D354="","",原始经营数据!$G354)</f>
        <v>服务量</v>
      </c>
      <c r="I353" t="str">
        <f>IF($A353="","",IF($B353&lt;&gt;"",$B353,IF(COUNTIFS(原始经营数据!$D$3:$D$3001,$A353,原始经营数据!$E$3:$E$3001,"",原始经营数据!$F$3:$F$3001,$C353,原始经营数据!$H$3:$H$3001,$D353,原始经营数据!$K$3:$K$3001,$G353)&gt;1,"基金整体·来源"&amp;原始经营数据!$A354,"基金整体")))</f>
        <v>华威西营里农产品交易中心</v>
      </c>
      <c r="J353" t="str">
        <f t="shared" si="78"/>
        <v>季度</v>
      </c>
      <c r="K353" t="str">
        <f t="shared" si="79"/>
        <v>期末可供出租面积（平方米）</v>
      </c>
      <c r="L353" t="str">
        <f t="shared" si="80"/>
        <v>华威西营里农产品交易中心|期末可供出租面积（平方米）|季度</v>
      </c>
      <c r="M353">
        <f>IF($A353="",0,IF(COUNTIF($L$2:$L353,$L353)=1,1,0))</f>
        <v>1</v>
      </c>
      <c r="N353">
        <f t="shared" si="81"/>
        <v>20251</v>
      </c>
      <c r="O353" t="str">
        <f t="shared" si="82"/>
        <v>易方达华威农贸市场封闭式基础设施证券投资基金|2025Q1|季度</v>
      </c>
      <c r="P353">
        <f>IF($A353="",0,IF(COUNTIF($O$2:$O353,$O353)=1,1,0))</f>
        <v>0</v>
      </c>
      <c r="Q353" t="str">
        <f>IF(AND($P353=1,$A353=经营数据!$B$3,$J353=经营数据!$BA$5),COUNTIFS($P$2:$P$3000,1,$A$2:$A$3000,$A353,$J$2:$J$3000,$J353,$N$2:$N$3000,"&lt;"&amp;$N353)+1,"")</f>
        <v/>
      </c>
      <c r="R353" t="str">
        <f t="shared" si="83"/>
        <v>易方达华威农贸市场封闭式基础设施证券投资基金|华威西营里农产品交易中心</v>
      </c>
      <c r="S353">
        <f>IF($A353="",0,IF(COUNTIF($R$2:$R353,$R353)=1,1,0))</f>
        <v>0</v>
      </c>
      <c r="T353">
        <f t="shared" si="84"/>
        <v>204</v>
      </c>
      <c r="U353" t="str">
        <f>IF($A353="","",IF($A353=经营数据!$B$3,COUNTIFS($S$2:$S$3000,1,$A$2:$A$3000,$A353,$T$2:$T$3000,"&lt;"&amp;$T353)+1,""))</f>
        <v/>
      </c>
      <c r="V353" t="str">
        <f t="shared" si="85"/>
        <v>华威西营里农产品交易中心|服务量</v>
      </c>
      <c r="W353">
        <f t="shared" si="86"/>
        <v>221</v>
      </c>
      <c r="X353" t="str">
        <f t="shared" si="87"/>
        <v>华威西营里农产品交易中心|期末可供出租面积</v>
      </c>
      <c r="Y353">
        <f t="shared" si="88"/>
        <v>352</v>
      </c>
      <c r="Z353">
        <f>IF($A353="",0,IF(AND($M353=1,$A353=经营数据!$B$3,$J353=经营数据!$BA$5,OR($I353=经营数据!$BA$4,COUNTIF(经营数据!$AA$9:$AA$38,$I353)&gt;0)),1,0))</f>
        <v>0</v>
      </c>
      <c r="AA353" t="str">
        <f t="shared" si="89"/>
        <v/>
      </c>
      <c r="AB353" t="str">
        <f t="shared" si="90"/>
        <v/>
      </c>
      <c r="AC353">
        <f>IF($A353="",0,IF(COUNTIF($A$2:$A353,$A353)=1,1,0))</f>
        <v>0</v>
      </c>
      <c r="AD353">
        <f t="shared" si="91"/>
        <v>4</v>
      </c>
      <c r="AE353" t="str">
        <f t="shared" si="92"/>
        <v>华威西营里农产品交易中心|期末可供出租面积（平方米）</v>
      </c>
      <c r="BP353" s="47">
        <v>45889</v>
      </c>
      <c r="BQ353" s="29">
        <v>3.8160783802623797E-2</v>
      </c>
    </row>
    <row r="354" spans="1:69" x14ac:dyDescent="0.4">
      <c r="A354" t="str">
        <f>IF(原始经营数据!$D355="","",原始经营数据!$D355)</f>
        <v>易方达华威农贸市场封闭式基础设施证券投资基金</v>
      </c>
      <c r="B354" t="str">
        <f>IF(原始经营数据!$D355="","",T(原始经营数据!$E355))</f>
        <v>华威西营里农产品交易中心</v>
      </c>
      <c r="C354" t="str">
        <f>IF(原始经营数据!$D355="","",原始经营数据!$F355)</f>
        <v>2025Q1</v>
      </c>
      <c r="D354" t="str">
        <f>IF(原始经营数据!$D355="","",原始经营数据!$H355)</f>
        <v>期内租金单价水平</v>
      </c>
      <c r="E354">
        <f>IF(原始经营数据!$D355="","",原始经营数据!$I355)</f>
        <v>134.41999999999999</v>
      </c>
      <c r="F354" t="str">
        <f>IF(原始经营数据!$D355="","",T(原始经营数据!$J355))</f>
        <v>元/平方米/月</v>
      </c>
      <c r="G354" t="str">
        <f>IF(原始经营数据!$D355="","",T(原始经营数据!$K355))</f>
        <v/>
      </c>
      <c r="H354" t="str">
        <f>IF(原始经营数据!$D355="","",原始经营数据!$G355)</f>
        <v>服务价格</v>
      </c>
      <c r="I354" t="str">
        <f>IF($A354="","",IF($B354&lt;&gt;"",$B354,IF(COUNTIFS(原始经营数据!$D$3:$D$3001,$A354,原始经营数据!$E$3:$E$3001,"",原始经营数据!$F$3:$F$3001,$C354,原始经营数据!$H$3:$H$3001,$D354,原始经营数据!$K$3:$K$3001,$G354)&gt;1,"基金整体·来源"&amp;原始经营数据!$A355,"基金整体")))</f>
        <v>华威西营里农产品交易中心</v>
      </c>
      <c r="J354" t="str">
        <f t="shared" si="78"/>
        <v>季度</v>
      </c>
      <c r="K354" t="str">
        <f t="shared" si="79"/>
        <v>期内租金单价水平（元/平方米/月）</v>
      </c>
      <c r="L354" t="str">
        <f t="shared" si="80"/>
        <v>华威西营里农产品交易中心|期内租金单价水平（元/平方米/月）|季度</v>
      </c>
      <c r="M354">
        <f>IF($A354="",0,IF(COUNTIF($L$2:$L354,$L354)=1,1,0))</f>
        <v>1</v>
      </c>
      <c r="N354">
        <f t="shared" si="81"/>
        <v>20251</v>
      </c>
      <c r="O354" t="str">
        <f t="shared" si="82"/>
        <v>易方达华威农贸市场封闭式基础设施证券投资基金|2025Q1|季度</v>
      </c>
      <c r="P354">
        <f>IF($A354="",0,IF(COUNTIF($O$2:$O354,$O354)=1,1,0))</f>
        <v>0</v>
      </c>
      <c r="Q354" t="str">
        <f>IF(AND($P354=1,$A354=经营数据!$B$3,$J354=经营数据!$BA$5),COUNTIFS($P$2:$P$3000,1,$A$2:$A$3000,$A354,$J$2:$J$3000,$J354,$N$2:$N$3000,"&lt;"&amp;$N354)+1,"")</f>
        <v/>
      </c>
      <c r="R354" t="str">
        <f t="shared" si="83"/>
        <v>易方达华威农贸市场封闭式基础设施证券投资基金|华威西营里农产品交易中心</v>
      </c>
      <c r="S354">
        <f>IF($A354="",0,IF(COUNTIF($R$2:$R354,$R354)=1,1,0))</f>
        <v>0</v>
      </c>
      <c r="T354">
        <f t="shared" si="84"/>
        <v>204</v>
      </c>
      <c r="U354" t="str">
        <f>IF($A354="","",IF($A354=经营数据!$B$3,COUNTIFS($S$2:$S$3000,1,$A$2:$A$3000,$A354,$T$2:$T$3000,"&lt;"&amp;$T354)+1,""))</f>
        <v/>
      </c>
      <c r="V354" t="str">
        <f t="shared" si="85"/>
        <v>华威西营里农产品交易中心|服务价格</v>
      </c>
      <c r="W354">
        <f t="shared" si="86"/>
        <v>204</v>
      </c>
      <c r="X354" t="str">
        <f t="shared" si="87"/>
        <v>华威西营里农产品交易中心|期内租金单价水平</v>
      </c>
      <c r="Y354">
        <f t="shared" si="88"/>
        <v>353</v>
      </c>
      <c r="Z354">
        <f>IF($A354="",0,IF(AND($M354=1,$A354=经营数据!$B$3,$J354=经营数据!$BA$5,OR($I354=经营数据!$BA$4,COUNTIF(经营数据!$AA$9:$AA$38,$I354)&gt;0)),1,0))</f>
        <v>0</v>
      </c>
      <c r="AA354" t="str">
        <f t="shared" si="89"/>
        <v/>
      </c>
      <c r="AB354" t="str">
        <f t="shared" si="90"/>
        <v/>
      </c>
      <c r="AC354">
        <f>IF($A354="",0,IF(COUNTIF($A$2:$A354,$A354)=1,1,0))</f>
        <v>0</v>
      </c>
      <c r="AD354">
        <f t="shared" si="91"/>
        <v>4</v>
      </c>
      <c r="AE354" t="str">
        <f t="shared" si="92"/>
        <v>华威西营里农产品交易中心|期内租金单价水平（元/平方米/月）</v>
      </c>
      <c r="BP354" s="47">
        <v>45890</v>
      </c>
      <c r="BQ354" s="29">
        <v>3.7790051545048067E-2</v>
      </c>
    </row>
    <row r="355" spans="1:69" x14ac:dyDescent="0.4">
      <c r="A355" t="str">
        <f>IF(原始经营数据!$D356="","",原始经营数据!$D356)</f>
        <v>易方达华威农贸市场封闭式基础设施证券投资基金</v>
      </c>
      <c r="B355" t="str">
        <f>IF(原始经营数据!$D356="","",T(原始经营数据!$E356))</f>
        <v>华威西营里农产品交易中心</v>
      </c>
      <c r="C355" t="str">
        <f>IF(原始经营数据!$D356="","",原始经营数据!$F356)</f>
        <v>2025Q1</v>
      </c>
      <c r="D355" t="str">
        <f>IF(原始经营数据!$D356="","",原始经营数据!$H356)</f>
        <v>期末剩余租期情况</v>
      </c>
      <c r="E355">
        <f>IF(原始经营数据!$D356="","",原始经营数据!$I356)</f>
        <v>5.47</v>
      </c>
      <c r="F355" t="str">
        <f>IF(原始经营数据!$D356="","",T(原始经营数据!$J356))</f>
        <v>年</v>
      </c>
      <c r="G355" t="str">
        <f>IF(原始经营数据!$D356="","",T(原始经营数据!$K356))</f>
        <v/>
      </c>
      <c r="H355" t="str">
        <f>IF(原始经营数据!$D356="","",原始经营数据!$G356)</f>
        <v>服务量</v>
      </c>
      <c r="I355" t="str">
        <f>IF($A355="","",IF($B355&lt;&gt;"",$B355,IF(COUNTIFS(原始经营数据!$D$3:$D$3001,$A355,原始经营数据!$E$3:$E$3001,"",原始经营数据!$F$3:$F$3001,$C355,原始经营数据!$H$3:$H$3001,$D355,原始经营数据!$K$3:$K$3001,$G355)&gt;1,"基金整体·来源"&amp;原始经营数据!$A356,"基金整体")))</f>
        <v>华威西营里农产品交易中心</v>
      </c>
      <c r="J355" t="str">
        <f t="shared" si="78"/>
        <v>季度</v>
      </c>
      <c r="K355" t="str">
        <f t="shared" si="79"/>
        <v>期末剩余租期情况（年）</v>
      </c>
      <c r="L355" t="str">
        <f t="shared" si="80"/>
        <v>华威西营里农产品交易中心|期末剩余租期情况（年）|季度</v>
      </c>
      <c r="M355">
        <f>IF($A355="",0,IF(COUNTIF($L$2:$L355,$L355)=1,1,0))</f>
        <v>1</v>
      </c>
      <c r="N355">
        <f t="shared" si="81"/>
        <v>20251</v>
      </c>
      <c r="O355" t="str">
        <f t="shared" si="82"/>
        <v>易方达华威农贸市场封闭式基础设施证券投资基金|2025Q1|季度</v>
      </c>
      <c r="P355">
        <f>IF($A355="",0,IF(COUNTIF($O$2:$O355,$O355)=1,1,0))</f>
        <v>0</v>
      </c>
      <c r="Q355" t="str">
        <f>IF(AND($P355=1,$A355=经营数据!$B$3,$J355=经营数据!$BA$5),COUNTIFS($P$2:$P$3000,1,$A$2:$A$3000,$A355,$J$2:$J$3000,$J355,$N$2:$N$3000,"&lt;"&amp;$N355)+1,"")</f>
        <v/>
      </c>
      <c r="R355" t="str">
        <f t="shared" si="83"/>
        <v>易方达华威农贸市场封闭式基础设施证券投资基金|华威西营里农产品交易中心</v>
      </c>
      <c r="S355">
        <f>IF($A355="",0,IF(COUNTIF($R$2:$R355,$R355)=1,1,0))</f>
        <v>0</v>
      </c>
      <c r="T355">
        <f t="shared" si="84"/>
        <v>204</v>
      </c>
      <c r="U355" t="str">
        <f>IF($A355="","",IF($A355=经营数据!$B$3,COUNTIFS($S$2:$S$3000,1,$A$2:$A$3000,$A355,$T$2:$T$3000,"&lt;"&amp;$T355)+1,""))</f>
        <v/>
      </c>
      <c r="V355" t="str">
        <f t="shared" si="85"/>
        <v>华威西营里农产品交易中心|服务量</v>
      </c>
      <c r="W355">
        <f t="shared" si="86"/>
        <v>221</v>
      </c>
      <c r="X355" t="str">
        <f t="shared" si="87"/>
        <v>华威西营里农产品交易中心|期末剩余租期情况</v>
      </c>
      <c r="Y355">
        <f t="shared" si="88"/>
        <v>354</v>
      </c>
      <c r="Z355">
        <f>IF($A355="",0,IF(AND($M355=1,$A355=经营数据!$B$3,$J355=经营数据!$BA$5,OR($I355=经营数据!$BA$4,COUNTIF(经营数据!$AA$9:$AA$38,$I355)&gt;0)),1,0))</f>
        <v>0</v>
      </c>
      <c r="AA355" t="str">
        <f t="shared" si="89"/>
        <v/>
      </c>
      <c r="AB355" t="str">
        <f t="shared" si="90"/>
        <v/>
      </c>
      <c r="AC355">
        <f>IF($A355="",0,IF(COUNTIF($A$2:$A355,$A355)=1,1,0))</f>
        <v>0</v>
      </c>
      <c r="AD355">
        <f t="shared" si="91"/>
        <v>4</v>
      </c>
      <c r="AE355" t="str">
        <f t="shared" si="92"/>
        <v>华威西营里农产品交易中心|期末剩余租期情况（年）</v>
      </c>
      <c r="BP355" s="47">
        <v>45891</v>
      </c>
      <c r="BQ355" s="29">
        <v>3.7518156239965503E-2</v>
      </c>
    </row>
    <row r="356" spans="1:69" x14ac:dyDescent="0.4">
      <c r="A356" t="str">
        <f>IF(原始经营数据!$D357="","",原始经营数据!$D357)</f>
        <v>易方达华威农贸市场封闭式基础设施证券投资基金</v>
      </c>
      <c r="B356" t="str">
        <f>IF(原始经营数据!$D357="","",T(原始经营数据!$E357))</f>
        <v>华威西营里农产品交易中心</v>
      </c>
      <c r="C356" t="str">
        <f>IF(原始经营数据!$D357="","",原始经营数据!$F357)</f>
        <v>2025Q2</v>
      </c>
      <c r="D356" t="str">
        <f>IF(原始经营数据!$D357="","",原始经营数据!$H357)</f>
        <v>期末可供出租面积</v>
      </c>
      <c r="E356">
        <f>IF(原始经营数据!$D357="","",原始经营数据!$I357)</f>
        <v>76016.070000000007</v>
      </c>
      <c r="F356" t="str">
        <f>IF(原始经营数据!$D357="","",T(原始经营数据!$J357))</f>
        <v>平方米</v>
      </c>
      <c r="G356" t="str">
        <f>IF(原始经营数据!$D357="","",T(原始经营数据!$K357))</f>
        <v/>
      </c>
      <c r="H356" t="str">
        <f>IF(原始经营数据!$D357="","",原始经营数据!$G357)</f>
        <v>服务量</v>
      </c>
      <c r="I356" t="str">
        <f>IF($A356="","",IF($B356&lt;&gt;"",$B356,IF(COUNTIFS(原始经营数据!$D$3:$D$3001,$A356,原始经营数据!$E$3:$E$3001,"",原始经营数据!$F$3:$F$3001,$C356,原始经营数据!$H$3:$H$3001,$D356,原始经营数据!$K$3:$K$3001,$G356)&gt;1,"基金整体·来源"&amp;原始经营数据!$A357,"基金整体")))</f>
        <v>华威西营里农产品交易中心</v>
      </c>
      <c r="J356" t="str">
        <f t="shared" si="78"/>
        <v>季度</v>
      </c>
      <c r="K356" t="str">
        <f t="shared" si="79"/>
        <v>期末可供出租面积（平方米）</v>
      </c>
      <c r="L356" t="str">
        <f t="shared" si="80"/>
        <v>华威西营里农产品交易中心|期末可供出租面积（平方米）|季度</v>
      </c>
      <c r="M356">
        <f>IF($A356="",0,IF(COUNTIF($L$2:$L356,$L356)=1,1,0))</f>
        <v>0</v>
      </c>
      <c r="N356">
        <f t="shared" si="81"/>
        <v>20252</v>
      </c>
      <c r="O356" t="str">
        <f t="shared" si="82"/>
        <v>易方达华威农贸市场封闭式基础设施证券投资基金|2025Q2|季度</v>
      </c>
      <c r="P356">
        <f>IF($A356="",0,IF(COUNTIF($O$2:$O356,$O356)=1,1,0))</f>
        <v>1</v>
      </c>
      <c r="Q356" t="str">
        <f>IF(AND($P356=1,$A356=经营数据!$B$3,$J356=经营数据!$BA$5),COUNTIFS($P$2:$P$3000,1,$A$2:$A$3000,$A356,$J$2:$J$3000,$J356,$N$2:$N$3000,"&lt;"&amp;$N356)+1,"")</f>
        <v/>
      </c>
      <c r="R356" t="str">
        <f t="shared" si="83"/>
        <v>易方达华威农贸市场封闭式基础设施证券投资基金|华威西营里农产品交易中心</v>
      </c>
      <c r="S356">
        <f>IF($A356="",0,IF(COUNTIF($R$2:$R356,$R356)=1,1,0))</f>
        <v>0</v>
      </c>
      <c r="T356">
        <f t="shared" si="84"/>
        <v>204</v>
      </c>
      <c r="U356" t="str">
        <f>IF($A356="","",IF($A356=经营数据!$B$3,COUNTIFS($S$2:$S$3000,1,$A$2:$A$3000,$A356,$T$2:$T$3000,"&lt;"&amp;$T356)+1,""))</f>
        <v/>
      </c>
      <c r="V356" t="str">
        <f t="shared" si="85"/>
        <v>华威西营里农产品交易中心|服务量</v>
      </c>
      <c r="W356">
        <f t="shared" si="86"/>
        <v>221</v>
      </c>
      <c r="X356" t="str">
        <f t="shared" si="87"/>
        <v>华威西营里农产品交易中心|期末可供出租面积</v>
      </c>
      <c r="Y356">
        <f t="shared" si="88"/>
        <v>352</v>
      </c>
      <c r="Z356">
        <f>IF($A356="",0,IF(AND($M356=1,$A356=经营数据!$B$3,$J356=经营数据!$BA$5,OR($I356=经营数据!$BA$4,COUNTIF(经营数据!$AA$9:$AA$38,$I356)&gt;0)),1,0))</f>
        <v>0</v>
      </c>
      <c r="AA356" t="str">
        <f t="shared" si="89"/>
        <v/>
      </c>
      <c r="AB356" t="str">
        <f t="shared" si="90"/>
        <v/>
      </c>
      <c r="AC356">
        <f>IF($A356="",0,IF(COUNTIF($A$2:$A356,$A356)=1,1,0))</f>
        <v>0</v>
      </c>
      <c r="AD356">
        <f t="shared" si="91"/>
        <v>4</v>
      </c>
      <c r="AE356" t="str">
        <f t="shared" si="92"/>
        <v>华威西营里农产品交易中心|期末可供出租面积（平方米）</v>
      </c>
      <c r="BP356" s="47">
        <v>45894</v>
      </c>
      <c r="BQ356" s="29">
        <v>3.7016432825314083E-2</v>
      </c>
    </row>
    <row r="357" spans="1:69" x14ac:dyDescent="0.4">
      <c r="A357" t="str">
        <f>IF(原始经营数据!$D358="","",原始经营数据!$D358)</f>
        <v>易方达华威农贸市场封闭式基础设施证券投资基金</v>
      </c>
      <c r="B357" t="str">
        <f>IF(原始经营数据!$D358="","",T(原始经营数据!$E358))</f>
        <v>华威西营里农产品交易中心</v>
      </c>
      <c r="C357" t="str">
        <f>IF(原始经营数据!$D358="","",原始经营数据!$F358)</f>
        <v>2025Q2</v>
      </c>
      <c r="D357" t="str">
        <f>IF(原始经营数据!$D358="","",原始经营数据!$H358)</f>
        <v>期末租金收缴率</v>
      </c>
      <c r="E357">
        <f>IF(原始经营数据!$D358="","",原始经营数据!$I358)</f>
        <v>100</v>
      </c>
      <c r="F357" t="str">
        <f>IF(原始经营数据!$D358="","",T(原始经营数据!$J358))</f>
        <v>%</v>
      </c>
      <c r="G357" t="str">
        <f>IF(原始经营数据!$D358="","",T(原始经营数据!$K358))</f>
        <v/>
      </c>
      <c r="H357" t="str">
        <f>IF(原始经营数据!$D358="","",原始经营数据!$G358)</f>
        <v>服务效率</v>
      </c>
      <c r="I357" t="str">
        <f>IF($A357="","",IF($B357&lt;&gt;"",$B357,IF(COUNTIFS(原始经营数据!$D$3:$D$3001,$A357,原始经营数据!$E$3:$E$3001,"",原始经营数据!$F$3:$F$3001,$C357,原始经营数据!$H$3:$H$3001,$D357,原始经营数据!$K$3:$K$3001,$G357)&gt;1,"基金整体·来源"&amp;原始经营数据!$A358,"基金整体")))</f>
        <v>华威西营里农产品交易中心</v>
      </c>
      <c r="J357" t="str">
        <f t="shared" si="78"/>
        <v>季度</v>
      </c>
      <c r="K357" t="str">
        <f t="shared" si="79"/>
        <v>期末租金收缴率（%）</v>
      </c>
      <c r="L357" t="str">
        <f t="shared" si="80"/>
        <v>华威西营里农产品交易中心|期末租金收缴率（%）|季度</v>
      </c>
      <c r="M357">
        <f>IF($A357="",0,IF(COUNTIF($L$2:$L357,$L357)=1,1,0))</f>
        <v>0</v>
      </c>
      <c r="N357">
        <f t="shared" si="81"/>
        <v>20252</v>
      </c>
      <c r="O357" t="str">
        <f t="shared" si="82"/>
        <v>易方达华威农贸市场封闭式基础设施证券投资基金|2025Q2|季度</v>
      </c>
      <c r="P357">
        <f>IF($A357="",0,IF(COUNTIF($O$2:$O357,$O357)=1,1,0))</f>
        <v>0</v>
      </c>
      <c r="Q357" t="str">
        <f>IF(AND($P357=1,$A357=经营数据!$B$3,$J357=经营数据!$BA$5),COUNTIFS($P$2:$P$3000,1,$A$2:$A$3000,$A357,$J$2:$J$3000,$J357,$N$2:$N$3000,"&lt;"&amp;$N357)+1,"")</f>
        <v/>
      </c>
      <c r="R357" t="str">
        <f t="shared" si="83"/>
        <v>易方达华威农贸市场封闭式基础设施证券投资基金|华威西营里农产品交易中心</v>
      </c>
      <c r="S357">
        <f>IF($A357="",0,IF(COUNTIF($R$2:$R357,$R357)=1,1,0))</f>
        <v>0</v>
      </c>
      <c r="T357">
        <f t="shared" si="84"/>
        <v>204</v>
      </c>
      <c r="U357" t="str">
        <f>IF($A357="","",IF($A357=经营数据!$B$3,COUNTIFS($S$2:$S$3000,1,$A$2:$A$3000,$A357,$T$2:$T$3000,"&lt;"&amp;$T357)+1,""))</f>
        <v/>
      </c>
      <c r="V357" t="str">
        <f t="shared" si="85"/>
        <v>华威西营里农产品交易中心|服务效率</v>
      </c>
      <c r="W357">
        <f t="shared" si="86"/>
        <v>205</v>
      </c>
      <c r="X357" t="str">
        <f t="shared" si="87"/>
        <v>华威西营里农产品交易中心|期末租金收缴率</v>
      </c>
      <c r="Y357">
        <f t="shared" si="88"/>
        <v>349</v>
      </c>
      <c r="Z357">
        <f>IF($A357="",0,IF(AND($M357=1,$A357=经营数据!$B$3,$J357=经营数据!$BA$5,OR($I357=经营数据!$BA$4,COUNTIF(经营数据!$AA$9:$AA$38,$I357)&gt;0)),1,0))</f>
        <v>0</v>
      </c>
      <c r="AA357" t="str">
        <f t="shared" si="89"/>
        <v/>
      </c>
      <c r="AB357" t="str">
        <f t="shared" si="90"/>
        <v/>
      </c>
      <c r="AC357">
        <f>IF($A357="",0,IF(COUNTIF($A$2:$A357,$A357)=1,1,0))</f>
        <v>0</v>
      </c>
      <c r="AD357">
        <f t="shared" si="91"/>
        <v>4</v>
      </c>
      <c r="AE357" t="str">
        <f t="shared" si="92"/>
        <v>华威西营里农产品交易中心|期末租金收缴率（%）</v>
      </c>
      <c r="BP357" s="47">
        <v>45895</v>
      </c>
      <c r="BQ357" s="29">
        <v>3.658727653749759E-2</v>
      </c>
    </row>
    <row r="358" spans="1:69" x14ac:dyDescent="0.4">
      <c r="A358" t="str">
        <f>IF(原始经营数据!$D359="","",原始经营数据!$D359)</f>
        <v>易方达华威农贸市场封闭式基础设施证券投资基金</v>
      </c>
      <c r="B358" t="str">
        <f>IF(原始经营数据!$D359="","",T(原始经营数据!$E359))</f>
        <v>华威西营里农产品交易中心</v>
      </c>
      <c r="C358" t="str">
        <f>IF(原始经营数据!$D359="","",原始经营数据!$F359)</f>
        <v>2025Q2</v>
      </c>
      <c r="D358" t="str">
        <f>IF(原始经营数据!$D359="","",原始经营数据!$H359)</f>
        <v>期末剩余租期情况</v>
      </c>
      <c r="E358">
        <f>IF(原始经营数据!$D359="","",原始经营数据!$I359)</f>
        <v>5.31</v>
      </c>
      <c r="F358" t="str">
        <f>IF(原始经营数据!$D359="","",T(原始经营数据!$J359))</f>
        <v>年</v>
      </c>
      <c r="G358" t="str">
        <f>IF(原始经营数据!$D359="","",T(原始经营数据!$K359))</f>
        <v/>
      </c>
      <c r="H358" t="str">
        <f>IF(原始经营数据!$D359="","",原始经营数据!$G359)</f>
        <v>服务量</v>
      </c>
      <c r="I358" t="str">
        <f>IF($A358="","",IF($B358&lt;&gt;"",$B358,IF(COUNTIFS(原始经营数据!$D$3:$D$3001,$A358,原始经营数据!$E$3:$E$3001,"",原始经营数据!$F$3:$F$3001,$C358,原始经营数据!$H$3:$H$3001,$D358,原始经营数据!$K$3:$K$3001,$G358)&gt;1,"基金整体·来源"&amp;原始经营数据!$A359,"基金整体")))</f>
        <v>华威西营里农产品交易中心</v>
      </c>
      <c r="J358" t="str">
        <f t="shared" si="78"/>
        <v>季度</v>
      </c>
      <c r="K358" t="str">
        <f t="shared" si="79"/>
        <v>期末剩余租期情况（年）</v>
      </c>
      <c r="L358" t="str">
        <f t="shared" si="80"/>
        <v>华威西营里农产品交易中心|期末剩余租期情况（年）|季度</v>
      </c>
      <c r="M358">
        <f>IF($A358="",0,IF(COUNTIF($L$2:$L358,$L358)=1,1,0))</f>
        <v>0</v>
      </c>
      <c r="N358">
        <f t="shared" si="81"/>
        <v>20252</v>
      </c>
      <c r="O358" t="str">
        <f t="shared" si="82"/>
        <v>易方达华威农贸市场封闭式基础设施证券投资基金|2025Q2|季度</v>
      </c>
      <c r="P358">
        <f>IF($A358="",0,IF(COUNTIF($O$2:$O358,$O358)=1,1,0))</f>
        <v>0</v>
      </c>
      <c r="Q358" t="str">
        <f>IF(AND($P358=1,$A358=经营数据!$B$3,$J358=经营数据!$BA$5),COUNTIFS($P$2:$P$3000,1,$A$2:$A$3000,$A358,$J$2:$J$3000,$J358,$N$2:$N$3000,"&lt;"&amp;$N358)+1,"")</f>
        <v/>
      </c>
      <c r="R358" t="str">
        <f t="shared" si="83"/>
        <v>易方达华威农贸市场封闭式基础设施证券投资基金|华威西营里农产品交易中心</v>
      </c>
      <c r="S358">
        <f>IF($A358="",0,IF(COUNTIF($R$2:$R358,$R358)=1,1,0))</f>
        <v>0</v>
      </c>
      <c r="T358">
        <f t="shared" si="84"/>
        <v>204</v>
      </c>
      <c r="U358" t="str">
        <f>IF($A358="","",IF($A358=经营数据!$B$3,COUNTIFS($S$2:$S$3000,1,$A$2:$A$3000,$A358,$T$2:$T$3000,"&lt;"&amp;$T358)+1,""))</f>
        <v/>
      </c>
      <c r="V358" t="str">
        <f t="shared" si="85"/>
        <v>华威西营里农产品交易中心|服务量</v>
      </c>
      <c r="W358">
        <f t="shared" si="86"/>
        <v>221</v>
      </c>
      <c r="X358" t="str">
        <f t="shared" si="87"/>
        <v>华威西营里农产品交易中心|期末剩余租期情况</v>
      </c>
      <c r="Y358">
        <f t="shared" si="88"/>
        <v>354</v>
      </c>
      <c r="Z358">
        <f>IF($A358="",0,IF(AND($M358=1,$A358=经营数据!$B$3,$J358=经营数据!$BA$5,OR($I358=经营数据!$BA$4,COUNTIF(经营数据!$AA$9:$AA$38,$I358)&gt;0)),1,0))</f>
        <v>0</v>
      </c>
      <c r="AA358" t="str">
        <f t="shared" si="89"/>
        <v/>
      </c>
      <c r="AB358" t="str">
        <f t="shared" si="90"/>
        <v/>
      </c>
      <c r="AC358">
        <f>IF($A358="",0,IF(COUNTIF($A$2:$A358,$A358)=1,1,0))</f>
        <v>0</v>
      </c>
      <c r="AD358">
        <f t="shared" si="91"/>
        <v>4</v>
      </c>
      <c r="AE358" t="str">
        <f t="shared" si="92"/>
        <v>华威西营里农产品交易中心|期末剩余租期情况（年）</v>
      </c>
      <c r="BP358" s="47">
        <v>45896</v>
      </c>
      <c r="BQ358" s="29">
        <v>3.6553855698588961E-2</v>
      </c>
    </row>
    <row r="359" spans="1:69" x14ac:dyDescent="0.4">
      <c r="A359" t="str">
        <f>IF(原始经营数据!$D360="","",原始经营数据!$D360)</f>
        <v>易方达华威农贸市场封闭式基础设施证券投资基金</v>
      </c>
      <c r="B359" t="str">
        <f>IF(原始经营数据!$D360="","",T(原始经营数据!$E360))</f>
        <v>华威西营里农产品交易中心</v>
      </c>
      <c r="C359" t="str">
        <f>IF(原始经营数据!$D360="","",原始经营数据!$F360)</f>
        <v>2025Q2</v>
      </c>
      <c r="D359" t="str">
        <f>IF(原始经营数据!$D360="","",原始经营数据!$H360)</f>
        <v>期内租金单价水平</v>
      </c>
      <c r="E359">
        <f>IF(原始经营数据!$D360="","",原始经营数据!$I360)</f>
        <v>130.38999999999999</v>
      </c>
      <c r="F359" t="str">
        <f>IF(原始经营数据!$D360="","",T(原始经营数据!$J360))</f>
        <v>元/平方米/月</v>
      </c>
      <c r="G359" t="str">
        <f>IF(原始经营数据!$D360="","",T(原始经营数据!$K360))</f>
        <v/>
      </c>
      <c r="H359" t="str">
        <f>IF(原始经营数据!$D360="","",原始经营数据!$G360)</f>
        <v>服务价格</v>
      </c>
      <c r="I359" t="str">
        <f>IF($A359="","",IF($B359&lt;&gt;"",$B359,IF(COUNTIFS(原始经营数据!$D$3:$D$3001,$A359,原始经营数据!$E$3:$E$3001,"",原始经营数据!$F$3:$F$3001,$C359,原始经营数据!$H$3:$H$3001,$D359,原始经营数据!$K$3:$K$3001,$G359)&gt;1,"基金整体·来源"&amp;原始经营数据!$A360,"基金整体")))</f>
        <v>华威西营里农产品交易中心</v>
      </c>
      <c r="J359" t="str">
        <f t="shared" si="78"/>
        <v>季度</v>
      </c>
      <c r="K359" t="str">
        <f t="shared" si="79"/>
        <v>期内租金单价水平（元/平方米/月）</v>
      </c>
      <c r="L359" t="str">
        <f t="shared" si="80"/>
        <v>华威西营里农产品交易中心|期内租金单价水平（元/平方米/月）|季度</v>
      </c>
      <c r="M359">
        <f>IF($A359="",0,IF(COUNTIF($L$2:$L359,$L359)=1,1,0))</f>
        <v>0</v>
      </c>
      <c r="N359">
        <f t="shared" si="81"/>
        <v>20252</v>
      </c>
      <c r="O359" t="str">
        <f t="shared" si="82"/>
        <v>易方达华威农贸市场封闭式基础设施证券投资基金|2025Q2|季度</v>
      </c>
      <c r="P359">
        <f>IF($A359="",0,IF(COUNTIF($O$2:$O359,$O359)=1,1,0))</f>
        <v>0</v>
      </c>
      <c r="Q359" t="str">
        <f>IF(AND($P359=1,$A359=经营数据!$B$3,$J359=经营数据!$BA$5),COUNTIFS($P$2:$P$3000,1,$A$2:$A$3000,$A359,$J$2:$J$3000,$J359,$N$2:$N$3000,"&lt;"&amp;$N359)+1,"")</f>
        <v/>
      </c>
      <c r="R359" t="str">
        <f t="shared" si="83"/>
        <v>易方达华威农贸市场封闭式基础设施证券投资基金|华威西营里农产品交易中心</v>
      </c>
      <c r="S359">
        <f>IF($A359="",0,IF(COUNTIF($R$2:$R359,$R359)=1,1,0))</f>
        <v>0</v>
      </c>
      <c r="T359">
        <f t="shared" si="84"/>
        <v>204</v>
      </c>
      <c r="U359" t="str">
        <f>IF($A359="","",IF($A359=经营数据!$B$3,COUNTIFS($S$2:$S$3000,1,$A$2:$A$3000,$A359,$T$2:$T$3000,"&lt;"&amp;$T359)+1,""))</f>
        <v/>
      </c>
      <c r="V359" t="str">
        <f t="shared" si="85"/>
        <v>华威西营里农产品交易中心|服务价格</v>
      </c>
      <c r="W359">
        <f t="shared" si="86"/>
        <v>204</v>
      </c>
      <c r="X359" t="str">
        <f t="shared" si="87"/>
        <v>华威西营里农产品交易中心|期内租金单价水平</v>
      </c>
      <c r="Y359">
        <f t="shared" si="88"/>
        <v>353</v>
      </c>
      <c r="Z359">
        <f>IF($A359="",0,IF(AND($M359=1,$A359=经营数据!$B$3,$J359=经营数据!$BA$5,OR($I359=经营数据!$BA$4,COUNTIF(经营数据!$AA$9:$AA$38,$I359)&gt;0)),1,0))</f>
        <v>0</v>
      </c>
      <c r="AA359" t="str">
        <f t="shared" si="89"/>
        <v/>
      </c>
      <c r="AB359" t="str">
        <f t="shared" si="90"/>
        <v/>
      </c>
      <c r="AC359">
        <f>IF($A359="",0,IF(COUNTIF($A$2:$A359,$A359)=1,1,0))</f>
        <v>0</v>
      </c>
      <c r="AD359">
        <f t="shared" si="91"/>
        <v>4</v>
      </c>
      <c r="AE359" t="str">
        <f t="shared" si="92"/>
        <v>华威西营里农产品交易中心|期内租金单价水平（元/平方米/月）</v>
      </c>
      <c r="BP359" s="47">
        <v>45897</v>
      </c>
      <c r="BQ359" s="29">
        <v>3.6724695653856637E-2</v>
      </c>
    </row>
    <row r="360" spans="1:69" x14ac:dyDescent="0.4">
      <c r="A360" t="str">
        <f>IF(原始经营数据!$D361="","",原始经营数据!$D361)</f>
        <v>易方达华威农贸市场封闭式基础设施证券投资基金</v>
      </c>
      <c r="B360" t="str">
        <f>IF(原始经营数据!$D361="","",T(原始经营数据!$E361))</f>
        <v>华威西营里农产品交易中心</v>
      </c>
      <c r="C360" t="str">
        <f>IF(原始经营数据!$D361="","",原始经营数据!$F361)</f>
        <v>2025Q2</v>
      </c>
      <c r="D360" t="str">
        <f>IF(原始经营数据!$D361="","",原始经营数据!$H361)</f>
        <v>期末出租率</v>
      </c>
      <c r="E360">
        <f>IF(原始经营数据!$D361="","",原始经营数据!$I361)</f>
        <v>93.55</v>
      </c>
      <c r="F360" t="str">
        <f>IF(原始经营数据!$D361="","",T(原始经营数据!$J361))</f>
        <v>%</v>
      </c>
      <c r="G360" t="str">
        <f>IF(原始经营数据!$D361="","",T(原始经营数据!$K361))</f>
        <v/>
      </c>
      <c r="H360" t="str">
        <f>IF(原始经营数据!$D361="","",原始经营数据!$G361)</f>
        <v>服务效率</v>
      </c>
      <c r="I360" t="str">
        <f>IF($A360="","",IF($B360&lt;&gt;"",$B360,IF(COUNTIFS(原始经营数据!$D$3:$D$3001,$A360,原始经营数据!$E$3:$E$3001,"",原始经营数据!$F$3:$F$3001,$C360,原始经营数据!$H$3:$H$3001,$D360,原始经营数据!$K$3:$K$3001,$G360)&gt;1,"基金整体·来源"&amp;原始经营数据!$A361,"基金整体")))</f>
        <v>华威西营里农产品交易中心</v>
      </c>
      <c r="J360" t="str">
        <f t="shared" si="78"/>
        <v>季度</v>
      </c>
      <c r="K360" t="str">
        <f t="shared" si="79"/>
        <v>期末出租率（%）</v>
      </c>
      <c r="L360" t="str">
        <f t="shared" si="80"/>
        <v>华威西营里农产品交易中心|期末出租率（%）|季度</v>
      </c>
      <c r="M360">
        <f>IF($A360="",0,IF(COUNTIF($L$2:$L360,$L360)=1,1,0))</f>
        <v>0</v>
      </c>
      <c r="N360">
        <f t="shared" si="81"/>
        <v>20252</v>
      </c>
      <c r="O360" t="str">
        <f t="shared" si="82"/>
        <v>易方达华威农贸市场封闭式基础设施证券投资基金|2025Q2|季度</v>
      </c>
      <c r="P360">
        <f>IF($A360="",0,IF(COUNTIF($O$2:$O360,$O360)=1,1,0))</f>
        <v>0</v>
      </c>
      <c r="Q360" t="str">
        <f>IF(AND($P360=1,$A360=经营数据!$B$3,$J360=经营数据!$BA$5),COUNTIFS($P$2:$P$3000,1,$A$2:$A$3000,$A360,$J$2:$J$3000,$J360,$N$2:$N$3000,"&lt;"&amp;$N360)+1,"")</f>
        <v/>
      </c>
      <c r="R360" t="str">
        <f t="shared" si="83"/>
        <v>易方达华威农贸市场封闭式基础设施证券投资基金|华威西营里农产品交易中心</v>
      </c>
      <c r="S360">
        <f>IF($A360="",0,IF(COUNTIF($R$2:$R360,$R360)=1,1,0))</f>
        <v>0</v>
      </c>
      <c r="T360">
        <f t="shared" si="84"/>
        <v>204</v>
      </c>
      <c r="U360" t="str">
        <f>IF($A360="","",IF($A360=经营数据!$B$3,COUNTIFS($S$2:$S$3000,1,$A$2:$A$3000,$A360,$T$2:$T$3000,"&lt;"&amp;$T360)+1,""))</f>
        <v/>
      </c>
      <c r="V360" t="str">
        <f t="shared" si="85"/>
        <v>华威西营里农产品交易中心|服务效率</v>
      </c>
      <c r="W360">
        <f t="shared" si="86"/>
        <v>205</v>
      </c>
      <c r="X360" t="str">
        <f t="shared" si="87"/>
        <v>华威西营里农产品交易中心|期末出租率</v>
      </c>
      <c r="Y360">
        <f t="shared" si="88"/>
        <v>350</v>
      </c>
      <c r="Z360">
        <f>IF($A360="",0,IF(AND($M360=1,$A360=经营数据!$B$3,$J360=经营数据!$BA$5,OR($I360=经营数据!$BA$4,COUNTIF(经营数据!$AA$9:$AA$38,$I360)&gt;0)),1,0))</f>
        <v>0</v>
      </c>
      <c r="AA360" t="str">
        <f t="shared" si="89"/>
        <v/>
      </c>
      <c r="AB360" t="str">
        <f t="shared" si="90"/>
        <v/>
      </c>
      <c r="AC360">
        <f>IF($A360="",0,IF(COUNTIF($A$2:$A360,$A360)=1,1,0))</f>
        <v>0</v>
      </c>
      <c r="AD360">
        <f t="shared" si="91"/>
        <v>4</v>
      </c>
      <c r="AE360" t="str">
        <f t="shared" si="92"/>
        <v>华威西营里农产品交易中心|期末出租率（%）</v>
      </c>
      <c r="BP360" s="47">
        <v>45898</v>
      </c>
      <c r="BQ360" s="29">
        <v>3.6726741645896989E-2</v>
      </c>
    </row>
    <row r="361" spans="1:69" x14ac:dyDescent="0.4">
      <c r="A361" t="str">
        <f>IF(原始经营数据!$D362="","",原始经营数据!$D362)</f>
        <v>易方达华威农贸市场封闭式基础设施证券投资基金</v>
      </c>
      <c r="B361" t="str">
        <f>IF(原始经营数据!$D362="","",T(原始经营数据!$E362))</f>
        <v>华威西营里农产品交易中心</v>
      </c>
      <c r="C361" t="str">
        <f>IF(原始经营数据!$D362="","",原始经营数据!$F362)</f>
        <v>2025Q2</v>
      </c>
      <c r="D361" t="str">
        <f>IF(原始经营数据!$D362="","",原始经营数据!$H362)</f>
        <v>期末实际出租面积</v>
      </c>
      <c r="E361">
        <f>IF(原始经营数据!$D362="","",原始经营数据!$I362)</f>
        <v>71115.009999999995</v>
      </c>
      <c r="F361" t="str">
        <f>IF(原始经营数据!$D362="","",T(原始经营数据!$J362))</f>
        <v>平方米</v>
      </c>
      <c r="G361" t="str">
        <f>IF(原始经营数据!$D362="","",T(原始经营数据!$K362))</f>
        <v/>
      </c>
      <c r="H361" t="str">
        <f>IF(原始经营数据!$D362="","",原始经营数据!$G362)</f>
        <v>服务量</v>
      </c>
      <c r="I361" t="str">
        <f>IF($A361="","",IF($B361&lt;&gt;"",$B361,IF(COUNTIFS(原始经营数据!$D$3:$D$3001,$A361,原始经营数据!$E$3:$E$3001,"",原始经营数据!$F$3:$F$3001,$C361,原始经营数据!$H$3:$H$3001,$D361,原始经营数据!$K$3:$K$3001,$G361)&gt;1,"基金整体·来源"&amp;原始经营数据!$A362,"基金整体")))</f>
        <v>华威西营里农产品交易中心</v>
      </c>
      <c r="J361" t="str">
        <f t="shared" si="78"/>
        <v>季度</v>
      </c>
      <c r="K361" t="str">
        <f t="shared" si="79"/>
        <v>期末实际出租面积（平方米）</v>
      </c>
      <c r="L361" t="str">
        <f t="shared" si="80"/>
        <v>华威西营里农产品交易中心|期末实际出租面积（平方米）|季度</v>
      </c>
      <c r="M361">
        <f>IF($A361="",0,IF(COUNTIF($L$2:$L361,$L361)=1,1,0))</f>
        <v>0</v>
      </c>
      <c r="N361">
        <f t="shared" si="81"/>
        <v>20252</v>
      </c>
      <c r="O361" t="str">
        <f t="shared" si="82"/>
        <v>易方达华威农贸市场封闭式基础设施证券投资基金|2025Q2|季度</v>
      </c>
      <c r="P361">
        <f>IF($A361="",0,IF(COUNTIF($O$2:$O361,$O361)=1,1,0))</f>
        <v>0</v>
      </c>
      <c r="Q361" t="str">
        <f>IF(AND($P361=1,$A361=经营数据!$B$3,$J361=经营数据!$BA$5),COUNTIFS($P$2:$P$3000,1,$A$2:$A$3000,$A361,$J$2:$J$3000,$J361,$N$2:$N$3000,"&lt;"&amp;$N361)+1,"")</f>
        <v/>
      </c>
      <c r="R361" t="str">
        <f t="shared" si="83"/>
        <v>易方达华威农贸市场封闭式基础设施证券投资基金|华威西营里农产品交易中心</v>
      </c>
      <c r="S361">
        <f>IF($A361="",0,IF(COUNTIF($R$2:$R361,$R361)=1,1,0))</f>
        <v>0</v>
      </c>
      <c r="T361">
        <f t="shared" si="84"/>
        <v>204</v>
      </c>
      <c r="U361" t="str">
        <f>IF($A361="","",IF($A361=经营数据!$B$3,COUNTIFS($S$2:$S$3000,1,$A$2:$A$3000,$A361,$T$2:$T$3000,"&lt;"&amp;$T361)+1,""))</f>
        <v/>
      </c>
      <c r="V361" t="str">
        <f t="shared" si="85"/>
        <v>华威西营里农产品交易中心|服务量</v>
      </c>
      <c r="W361">
        <f t="shared" si="86"/>
        <v>221</v>
      </c>
      <c r="X361" t="str">
        <f t="shared" si="87"/>
        <v>华威西营里农产品交易中心|期末实际出租面积</v>
      </c>
      <c r="Y361">
        <f t="shared" si="88"/>
        <v>351</v>
      </c>
      <c r="Z361">
        <f>IF($A361="",0,IF(AND($M361=1,$A361=经营数据!$B$3,$J361=经营数据!$BA$5,OR($I361=经营数据!$BA$4,COUNTIF(经营数据!$AA$9:$AA$38,$I361)&gt;0)),1,0))</f>
        <v>0</v>
      </c>
      <c r="AA361" t="str">
        <f t="shared" si="89"/>
        <v/>
      </c>
      <c r="AB361" t="str">
        <f t="shared" si="90"/>
        <v/>
      </c>
      <c r="AC361">
        <f>IF($A361="",0,IF(COUNTIF($A$2:$A361,$A361)=1,1,0))</f>
        <v>0</v>
      </c>
      <c r="AD361">
        <f t="shared" si="91"/>
        <v>4</v>
      </c>
      <c r="AE361" t="str">
        <f t="shared" si="92"/>
        <v>华威西营里农产品交易中心|期末实际出租面积（平方米）</v>
      </c>
      <c r="BP361" s="47">
        <v>45901</v>
      </c>
      <c r="BQ361" s="29">
        <v>3.6757135298743977E-2</v>
      </c>
    </row>
    <row r="362" spans="1:69" x14ac:dyDescent="0.4">
      <c r="A362" t="str">
        <f>IF(原始经营数据!$D363="","",原始经营数据!$D363)</f>
        <v>易方达华威农贸市场封闭式基础设施证券投资基金</v>
      </c>
      <c r="B362" t="str">
        <f>IF(原始经营数据!$D363="","",T(原始经营数据!$E363))</f>
        <v>华威西营里农产品交易中心</v>
      </c>
      <c r="C362" t="str">
        <f>IF(原始经营数据!$D363="","",原始经营数据!$F363)</f>
        <v>2025Q3</v>
      </c>
      <c r="D362" t="str">
        <f>IF(原始经营数据!$D363="","",原始经营数据!$H363)</f>
        <v>期末可供出租面积</v>
      </c>
      <c r="E362">
        <f>IF(原始经营数据!$D363="","",原始经营数据!$I363)</f>
        <v>76314.34</v>
      </c>
      <c r="F362" t="str">
        <f>IF(原始经营数据!$D363="","",T(原始经营数据!$J363))</f>
        <v>平方米</v>
      </c>
      <c r="G362" t="str">
        <f>IF(原始经营数据!$D363="","",T(原始经营数据!$K363))</f>
        <v/>
      </c>
      <c r="H362" t="str">
        <f>IF(原始经营数据!$D363="","",原始经营数据!$G363)</f>
        <v>服务量</v>
      </c>
      <c r="I362" t="str">
        <f>IF($A362="","",IF($B362&lt;&gt;"",$B362,IF(COUNTIFS(原始经营数据!$D$3:$D$3001,$A362,原始经营数据!$E$3:$E$3001,"",原始经营数据!$F$3:$F$3001,$C362,原始经营数据!$H$3:$H$3001,$D362,原始经营数据!$K$3:$K$3001,$G362)&gt;1,"基金整体·来源"&amp;原始经营数据!$A363,"基金整体")))</f>
        <v>华威西营里农产品交易中心</v>
      </c>
      <c r="J362" t="str">
        <f t="shared" si="78"/>
        <v>季度</v>
      </c>
      <c r="K362" t="str">
        <f t="shared" si="79"/>
        <v>期末可供出租面积（平方米）</v>
      </c>
      <c r="L362" t="str">
        <f t="shared" si="80"/>
        <v>华威西营里农产品交易中心|期末可供出租面积（平方米）|季度</v>
      </c>
      <c r="M362">
        <f>IF($A362="",0,IF(COUNTIF($L$2:$L362,$L362)=1,1,0))</f>
        <v>0</v>
      </c>
      <c r="N362">
        <f t="shared" si="81"/>
        <v>20253</v>
      </c>
      <c r="O362" t="str">
        <f t="shared" si="82"/>
        <v>易方达华威农贸市场封闭式基础设施证券投资基金|2025Q3|季度</v>
      </c>
      <c r="P362">
        <f>IF($A362="",0,IF(COUNTIF($O$2:$O362,$O362)=1,1,0))</f>
        <v>1</v>
      </c>
      <c r="Q362" t="str">
        <f>IF(AND($P362=1,$A362=经营数据!$B$3,$J362=经营数据!$BA$5),COUNTIFS($P$2:$P$3000,1,$A$2:$A$3000,$A362,$J$2:$J$3000,$J362,$N$2:$N$3000,"&lt;"&amp;$N362)+1,"")</f>
        <v/>
      </c>
      <c r="R362" t="str">
        <f t="shared" si="83"/>
        <v>易方达华威农贸市场封闭式基础设施证券投资基金|华威西营里农产品交易中心</v>
      </c>
      <c r="S362">
        <f>IF($A362="",0,IF(COUNTIF($R$2:$R362,$R362)=1,1,0))</f>
        <v>0</v>
      </c>
      <c r="T362">
        <f t="shared" si="84"/>
        <v>204</v>
      </c>
      <c r="U362" t="str">
        <f>IF($A362="","",IF($A362=经营数据!$B$3,COUNTIFS($S$2:$S$3000,1,$A$2:$A$3000,$A362,$T$2:$T$3000,"&lt;"&amp;$T362)+1,""))</f>
        <v/>
      </c>
      <c r="V362" t="str">
        <f t="shared" si="85"/>
        <v>华威西营里农产品交易中心|服务量</v>
      </c>
      <c r="W362">
        <f t="shared" si="86"/>
        <v>221</v>
      </c>
      <c r="X362" t="str">
        <f t="shared" si="87"/>
        <v>华威西营里农产品交易中心|期末可供出租面积</v>
      </c>
      <c r="Y362">
        <f t="shared" si="88"/>
        <v>352</v>
      </c>
      <c r="Z362">
        <f>IF($A362="",0,IF(AND($M362=1,$A362=经营数据!$B$3,$J362=经营数据!$BA$5,OR($I362=经营数据!$BA$4,COUNTIF(经营数据!$AA$9:$AA$38,$I362)&gt;0)),1,0))</f>
        <v>0</v>
      </c>
      <c r="AA362" t="str">
        <f t="shared" si="89"/>
        <v/>
      </c>
      <c r="AB362" t="str">
        <f t="shared" si="90"/>
        <v/>
      </c>
      <c r="AC362">
        <f>IF($A362="",0,IF(COUNTIF($A$2:$A362,$A362)=1,1,0))</f>
        <v>0</v>
      </c>
      <c r="AD362">
        <f t="shared" si="91"/>
        <v>4</v>
      </c>
      <c r="AE362" t="str">
        <f t="shared" si="92"/>
        <v>华威西营里农产品交易中心|期末可供出租面积（平方米）</v>
      </c>
      <c r="BP362" s="47">
        <v>45902</v>
      </c>
      <c r="BQ362" s="29">
        <v>3.6534983386615018E-2</v>
      </c>
    </row>
    <row r="363" spans="1:69" x14ac:dyDescent="0.4">
      <c r="A363" t="str">
        <f>IF(原始经营数据!$D364="","",原始经营数据!$D364)</f>
        <v>易方达华威农贸市场封闭式基础设施证券投资基金</v>
      </c>
      <c r="B363" t="str">
        <f>IF(原始经营数据!$D364="","",T(原始经营数据!$E364))</f>
        <v>华威西营里农产品交易中心</v>
      </c>
      <c r="C363" t="str">
        <f>IF(原始经营数据!$D364="","",原始经营数据!$F364)</f>
        <v>2025Q3</v>
      </c>
      <c r="D363" t="str">
        <f>IF(原始经营数据!$D364="","",原始经营数据!$H364)</f>
        <v>期末实际出租面积</v>
      </c>
      <c r="E363">
        <f>IF(原始经营数据!$D364="","",原始经营数据!$I364)</f>
        <v>72369.55</v>
      </c>
      <c r="F363" t="str">
        <f>IF(原始经营数据!$D364="","",T(原始经营数据!$J364))</f>
        <v>平方米</v>
      </c>
      <c r="G363" t="str">
        <f>IF(原始经营数据!$D364="","",T(原始经营数据!$K364))</f>
        <v/>
      </c>
      <c r="H363" t="str">
        <f>IF(原始经营数据!$D364="","",原始经营数据!$G364)</f>
        <v>服务量</v>
      </c>
      <c r="I363" t="str">
        <f>IF($A363="","",IF($B363&lt;&gt;"",$B363,IF(COUNTIFS(原始经营数据!$D$3:$D$3001,$A363,原始经营数据!$E$3:$E$3001,"",原始经营数据!$F$3:$F$3001,$C363,原始经营数据!$H$3:$H$3001,$D363,原始经营数据!$K$3:$K$3001,$G363)&gt;1,"基金整体·来源"&amp;原始经营数据!$A364,"基金整体")))</f>
        <v>华威西营里农产品交易中心</v>
      </c>
      <c r="J363" t="str">
        <f t="shared" si="78"/>
        <v>季度</v>
      </c>
      <c r="K363" t="str">
        <f t="shared" si="79"/>
        <v>期末实际出租面积（平方米）</v>
      </c>
      <c r="L363" t="str">
        <f t="shared" si="80"/>
        <v>华威西营里农产品交易中心|期末实际出租面积（平方米）|季度</v>
      </c>
      <c r="M363">
        <f>IF($A363="",0,IF(COUNTIF($L$2:$L363,$L363)=1,1,0))</f>
        <v>0</v>
      </c>
      <c r="N363">
        <f t="shared" si="81"/>
        <v>20253</v>
      </c>
      <c r="O363" t="str">
        <f t="shared" si="82"/>
        <v>易方达华威农贸市场封闭式基础设施证券投资基金|2025Q3|季度</v>
      </c>
      <c r="P363">
        <f>IF($A363="",0,IF(COUNTIF($O$2:$O363,$O363)=1,1,0))</f>
        <v>0</v>
      </c>
      <c r="Q363" t="str">
        <f>IF(AND($P363=1,$A363=经营数据!$B$3,$J363=经营数据!$BA$5),COUNTIFS($P$2:$P$3000,1,$A$2:$A$3000,$A363,$J$2:$J$3000,$J363,$N$2:$N$3000,"&lt;"&amp;$N363)+1,"")</f>
        <v/>
      </c>
      <c r="R363" t="str">
        <f t="shared" si="83"/>
        <v>易方达华威农贸市场封闭式基础设施证券投资基金|华威西营里农产品交易中心</v>
      </c>
      <c r="S363">
        <f>IF($A363="",0,IF(COUNTIF($R$2:$R363,$R363)=1,1,0))</f>
        <v>0</v>
      </c>
      <c r="T363">
        <f t="shared" si="84"/>
        <v>204</v>
      </c>
      <c r="U363" t="str">
        <f>IF($A363="","",IF($A363=经营数据!$B$3,COUNTIFS($S$2:$S$3000,1,$A$2:$A$3000,$A363,$T$2:$T$3000,"&lt;"&amp;$T363)+1,""))</f>
        <v/>
      </c>
      <c r="V363" t="str">
        <f t="shared" si="85"/>
        <v>华威西营里农产品交易中心|服务量</v>
      </c>
      <c r="W363">
        <f t="shared" si="86"/>
        <v>221</v>
      </c>
      <c r="X363" t="str">
        <f t="shared" si="87"/>
        <v>华威西营里农产品交易中心|期末实际出租面积</v>
      </c>
      <c r="Y363">
        <f t="shared" si="88"/>
        <v>351</v>
      </c>
      <c r="Z363">
        <f>IF($A363="",0,IF(AND($M363=1,$A363=经营数据!$B$3,$J363=经营数据!$BA$5,OR($I363=经营数据!$BA$4,COUNTIF(经营数据!$AA$9:$AA$38,$I363)&gt;0)),1,0))</f>
        <v>0</v>
      </c>
      <c r="AA363" t="str">
        <f t="shared" si="89"/>
        <v/>
      </c>
      <c r="AB363" t="str">
        <f t="shared" si="90"/>
        <v/>
      </c>
      <c r="AC363">
        <f>IF($A363="",0,IF(COUNTIF($A$2:$A363,$A363)=1,1,0))</f>
        <v>0</v>
      </c>
      <c r="AD363">
        <f t="shared" si="91"/>
        <v>4</v>
      </c>
      <c r="AE363" t="str">
        <f t="shared" si="92"/>
        <v>华威西营里农产品交易中心|期末实际出租面积（平方米）</v>
      </c>
      <c r="BP363" s="47">
        <v>45903</v>
      </c>
      <c r="BQ363" s="29">
        <v>3.6427983516704038E-2</v>
      </c>
    </row>
    <row r="364" spans="1:69" x14ac:dyDescent="0.4">
      <c r="A364" t="str">
        <f>IF(原始经营数据!$D365="","",原始经营数据!$D365)</f>
        <v>易方达华威农贸市场封闭式基础设施证券投资基金</v>
      </c>
      <c r="B364" t="str">
        <f>IF(原始经营数据!$D365="","",T(原始经营数据!$E365))</f>
        <v>华威西营里农产品交易中心</v>
      </c>
      <c r="C364" t="str">
        <f>IF(原始经营数据!$D365="","",原始经营数据!$F365)</f>
        <v>2025Q3</v>
      </c>
      <c r="D364" t="str">
        <f>IF(原始经营数据!$D365="","",原始经营数据!$H365)</f>
        <v>期末出租率</v>
      </c>
      <c r="E364">
        <f>IF(原始经营数据!$D365="","",原始经营数据!$I365)</f>
        <v>94.83</v>
      </c>
      <c r="F364" t="str">
        <f>IF(原始经营数据!$D365="","",T(原始经营数据!$J365))</f>
        <v>%</v>
      </c>
      <c r="G364" t="str">
        <f>IF(原始经营数据!$D365="","",T(原始经营数据!$K365))</f>
        <v/>
      </c>
      <c r="H364" t="str">
        <f>IF(原始经营数据!$D365="","",原始经营数据!$G365)</f>
        <v>服务效率</v>
      </c>
      <c r="I364" t="str">
        <f>IF($A364="","",IF($B364&lt;&gt;"",$B364,IF(COUNTIFS(原始经营数据!$D$3:$D$3001,$A364,原始经营数据!$E$3:$E$3001,"",原始经营数据!$F$3:$F$3001,$C364,原始经营数据!$H$3:$H$3001,$D364,原始经营数据!$K$3:$K$3001,$G364)&gt;1,"基金整体·来源"&amp;原始经营数据!$A365,"基金整体")))</f>
        <v>华威西营里农产品交易中心</v>
      </c>
      <c r="J364" t="str">
        <f t="shared" si="78"/>
        <v>季度</v>
      </c>
      <c r="K364" t="str">
        <f t="shared" si="79"/>
        <v>期末出租率（%）</v>
      </c>
      <c r="L364" t="str">
        <f t="shared" si="80"/>
        <v>华威西营里农产品交易中心|期末出租率（%）|季度</v>
      </c>
      <c r="M364">
        <f>IF($A364="",0,IF(COUNTIF($L$2:$L364,$L364)=1,1,0))</f>
        <v>0</v>
      </c>
      <c r="N364">
        <f t="shared" si="81"/>
        <v>20253</v>
      </c>
      <c r="O364" t="str">
        <f t="shared" si="82"/>
        <v>易方达华威农贸市场封闭式基础设施证券投资基金|2025Q3|季度</v>
      </c>
      <c r="P364">
        <f>IF($A364="",0,IF(COUNTIF($O$2:$O364,$O364)=1,1,0))</f>
        <v>0</v>
      </c>
      <c r="Q364" t="str">
        <f>IF(AND($P364=1,$A364=经营数据!$B$3,$J364=经营数据!$BA$5),COUNTIFS($P$2:$P$3000,1,$A$2:$A$3000,$A364,$J$2:$J$3000,$J364,$N$2:$N$3000,"&lt;"&amp;$N364)+1,"")</f>
        <v/>
      </c>
      <c r="R364" t="str">
        <f t="shared" si="83"/>
        <v>易方达华威农贸市场封闭式基础设施证券投资基金|华威西营里农产品交易中心</v>
      </c>
      <c r="S364">
        <f>IF($A364="",0,IF(COUNTIF($R$2:$R364,$R364)=1,1,0))</f>
        <v>0</v>
      </c>
      <c r="T364">
        <f t="shared" si="84"/>
        <v>204</v>
      </c>
      <c r="U364" t="str">
        <f>IF($A364="","",IF($A364=经营数据!$B$3,COUNTIFS($S$2:$S$3000,1,$A$2:$A$3000,$A364,$T$2:$T$3000,"&lt;"&amp;$T364)+1,""))</f>
        <v/>
      </c>
      <c r="V364" t="str">
        <f t="shared" si="85"/>
        <v>华威西营里农产品交易中心|服务效率</v>
      </c>
      <c r="W364">
        <f t="shared" si="86"/>
        <v>205</v>
      </c>
      <c r="X364" t="str">
        <f t="shared" si="87"/>
        <v>华威西营里农产品交易中心|期末出租率</v>
      </c>
      <c r="Y364">
        <f t="shared" si="88"/>
        <v>350</v>
      </c>
      <c r="Z364">
        <f>IF($A364="",0,IF(AND($M364=1,$A364=经营数据!$B$3,$J364=经营数据!$BA$5,OR($I364=经营数据!$BA$4,COUNTIF(经营数据!$AA$9:$AA$38,$I364)&gt;0)),1,0))</f>
        <v>0</v>
      </c>
      <c r="AA364" t="str">
        <f t="shared" si="89"/>
        <v/>
      </c>
      <c r="AB364" t="str">
        <f t="shared" si="90"/>
        <v/>
      </c>
      <c r="AC364">
        <f>IF($A364="",0,IF(COUNTIF($A$2:$A364,$A364)=1,1,0))</f>
        <v>0</v>
      </c>
      <c r="AD364">
        <f t="shared" si="91"/>
        <v>4</v>
      </c>
      <c r="AE364" t="str">
        <f t="shared" si="92"/>
        <v>华威西营里农产品交易中心|期末出租率（%）</v>
      </c>
      <c r="BP364" s="47">
        <v>45904</v>
      </c>
      <c r="BQ364" s="29">
        <v>3.622831837308451E-2</v>
      </c>
    </row>
    <row r="365" spans="1:69" x14ac:dyDescent="0.4">
      <c r="A365" t="str">
        <f>IF(原始经营数据!$D366="","",原始经营数据!$D366)</f>
        <v>易方达华威农贸市场封闭式基础设施证券投资基金</v>
      </c>
      <c r="B365" t="str">
        <f>IF(原始经营数据!$D366="","",T(原始经营数据!$E366))</f>
        <v>华威西营里农产品交易中心</v>
      </c>
      <c r="C365" t="str">
        <f>IF(原始经营数据!$D366="","",原始经营数据!$F366)</f>
        <v>2025Q3</v>
      </c>
      <c r="D365" t="str">
        <f>IF(原始经营数据!$D366="","",原始经营数据!$H366)</f>
        <v>期内租金单价水平</v>
      </c>
      <c r="E365">
        <f>IF(原始经营数据!$D366="","",原始经营数据!$I366)</f>
        <v>125.28</v>
      </c>
      <c r="F365" t="str">
        <f>IF(原始经营数据!$D366="","",T(原始经营数据!$J366))</f>
        <v>元/平方米/月</v>
      </c>
      <c r="G365" t="str">
        <f>IF(原始经营数据!$D366="","",T(原始经营数据!$K366))</f>
        <v/>
      </c>
      <c r="H365" t="str">
        <f>IF(原始经营数据!$D366="","",原始经营数据!$G366)</f>
        <v>服务价格</v>
      </c>
      <c r="I365" t="str">
        <f>IF($A365="","",IF($B365&lt;&gt;"",$B365,IF(COUNTIFS(原始经营数据!$D$3:$D$3001,$A365,原始经营数据!$E$3:$E$3001,"",原始经营数据!$F$3:$F$3001,$C365,原始经营数据!$H$3:$H$3001,$D365,原始经营数据!$K$3:$K$3001,$G365)&gt;1,"基金整体·来源"&amp;原始经营数据!$A366,"基金整体")))</f>
        <v>华威西营里农产品交易中心</v>
      </c>
      <c r="J365" t="str">
        <f t="shared" si="78"/>
        <v>季度</v>
      </c>
      <c r="K365" t="str">
        <f t="shared" si="79"/>
        <v>期内租金单价水平（元/平方米/月）</v>
      </c>
      <c r="L365" t="str">
        <f t="shared" si="80"/>
        <v>华威西营里农产品交易中心|期内租金单价水平（元/平方米/月）|季度</v>
      </c>
      <c r="M365">
        <f>IF($A365="",0,IF(COUNTIF($L$2:$L365,$L365)=1,1,0))</f>
        <v>0</v>
      </c>
      <c r="N365">
        <f t="shared" si="81"/>
        <v>20253</v>
      </c>
      <c r="O365" t="str">
        <f t="shared" si="82"/>
        <v>易方达华威农贸市场封闭式基础设施证券投资基金|2025Q3|季度</v>
      </c>
      <c r="P365">
        <f>IF($A365="",0,IF(COUNTIF($O$2:$O365,$O365)=1,1,0))</f>
        <v>0</v>
      </c>
      <c r="Q365" t="str">
        <f>IF(AND($P365=1,$A365=经营数据!$B$3,$J365=经营数据!$BA$5),COUNTIFS($P$2:$P$3000,1,$A$2:$A$3000,$A365,$J$2:$J$3000,$J365,$N$2:$N$3000,"&lt;"&amp;$N365)+1,"")</f>
        <v/>
      </c>
      <c r="R365" t="str">
        <f t="shared" si="83"/>
        <v>易方达华威农贸市场封闭式基础设施证券投资基金|华威西营里农产品交易中心</v>
      </c>
      <c r="S365">
        <f>IF($A365="",0,IF(COUNTIF($R$2:$R365,$R365)=1,1,0))</f>
        <v>0</v>
      </c>
      <c r="T365">
        <f t="shared" si="84"/>
        <v>204</v>
      </c>
      <c r="U365" t="str">
        <f>IF($A365="","",IF($A365=经营数据!$B$3,COUNTIFS($S$2:$S$3000,1,$A$2:$A$3000,$A365,$T$2:$T$3000,"&lt;"&amp;$T365)+1,""))</f>
        <v/>
      </c>
      <c r="V365" t="str">
        <f t="shared" si="85"/>
        <v>华威西营里农产品交易中心|服务价格</v>
      </c>
      <c r="W365">
        <f t="shared" si="86"/>
        <v>204</v>
      </c>
      <c r="X365" t="str">
        <f t="shared" si="87"/>
        <v>华威西营里农产品交易中心|期内租金单价水平</v>
      </c>
      <c r="Y365">
        <f t="shared" si="88"/>
        <v>353</v>
      </c>
      <c r="Z365">
        <f>IF($A365="",0,IF(AND($M365=1,$A365=经营数据!$B$3,$J365=经营数据!$BA$5,OR($I365=经营数据!$BA$4,COUNTIF(经营数据!$AA$9:$AA$38,$I365)&gt;0)),1,0))</f>
        <v>0</v>
      </c>
      <c r="AA365" t="str">
        <f t="shared" si="89"/>
        <v/>
      </c>
      <c r="AB365" t="str">
        <f t="shared" si="90"/>
        <v/>
      </c>
      <c r="AC365">
        <f>IF($A365="",0,IF(COUNTIF($A$2:$A365,$A365)=1,1,0))</f>
        <v>0</v>
      </c>
      <c r="AD365">
        <f t="shared" si="91"/>
        <v>4</v>
      </c>
      <c r="AE365" t="str">
        <f t="shared" si="92"/>
        <v>华威西营里农产品交易中心|期内租金单价水平（元/平方米/月）</v>
      </c>
      <c r="BP365" s="47">
        <v>45905</v>
      </c>
      <c r="BQ365" s="29">
        <v>3.6319080883811292E-2</v>
      </c>
    </row>
    <row r="366" spans="1:69" x14ac:dyDescent="0.4">
      <c r="A366" t="str">
        <f>IF(原始经营数据!$D367="","",原始经营数据!$D367)</f>
        <v>易方达华威农贸市场封闭式基础设施证券投资基金</v>
      </c>
      <c r="B366" t="str">
        <f>IF(原始经营数据!$D367="","",T(原始经营数据!$E367))</f>
        <v>华威西营里农产品交易中心</v>
      </c>
      <c r="C366" t="str">
        <f>IF(原始经营数据!$D367="","",原始经营数据!$F367)</f>
        <v>2025Q3</v>
      </c>
      <c r="D366" t="str">
        <f>IF(原始经营数据!$D367="","",原始经营数据!$H367)</f>
        <v>期末剩余租期情况</v>
      </c>
      <c r="E366">
        <f>IF(原始经营数据!$D367="","",原始经营数据!$I367)</f>
        <v>5.14</v>
      </c>
      <c r="F366" t="str">
        <f>IF(原始经营数据!$D367="","",T(原始经营数据!$J367))</f>
        <v>年</v>
      </c>
      <c r="G366" t="str">
        <f>IF(原始经营数据!$D367="","",T(原始经营数据!$K367))</f>
        <v/>
      </c>
      <c r="H366" t="str">
        <f>IF(原始经营数据!$D367="","",原始经营数据!$G367)</f>
        <v>服务量</v>
      </c>
      <c r="I366" t="str">
        <f>IF($A366="","",IF($B366&lt;&gt;"",$B366,IF(COUNTIFS(原始经营数据!$D$3:$D$3001,$A366,原始经营数据!$E$3:$E$3001,"",原始经营数据!$F$3:$F$3001,$C366,原始经营数据!$H$3:$H$3001,$D366,原始经营数据!$K$3:$K$3001,$G366)&gt;1,"基金整体·来源"&amp;原始经营数据!$A367,"基金整体")))</f>
        <v>华威西营里农产品交易中心</v>
      </c>
      <c r="J366" t="str">
        <f t="shared" si="78"/>
        <v>季度</v>
      </c>
      <c r="K366" t="str">
        <f t="shared" si="79"/>
        <v>期末剩余租期情况（年）</v>
      </c>
      <c r="L366" t="str">
        <f t="shared" si="80"/>
        <v>华威西营里农产品交易中心|期末剩余租期情况（年）|季度</v>
      </c>
      <c r="M366">
        <f>IF($A366="",0,IF(COUNTIF($L$2:$L366,$L366)=1,1,0))</f>
        <v>0</v>
      </c>
      <c r="N366">
        <f t="shared" si="81"/>
        <v>20253</v>
      </c>
      <c r="O366" t="str">
        <f t="shared" si="82"/>
        <v>易方达华威农贸市场封闭式基础设施证券投资基金|2025Q3|季度</v>
      </c>
      <c r="P366">
        <f>IF($A366="",0,IF(COUNTIF($O$2:$O366,$O366)=1,1,0))</f>
        <v>0</v>
      </c>
      <c r="Q366" t="str">
        <f>IF(AND($P366=1,$A366=经营数据!$B$3,$J366=经营数据!$BA$5),COUNTIFS($P$2:$P$3000,1,$A$2:$A$3000,$A366,$J$2:$J$3000,$J366,$N$2:$N$3000,"&lt;"&amp;$N366)+1,"")</f>
        <v/>
      </c>
      <c r="R366" t="str">
        <f t="shared" si="83"/>
        <v>易方达华威农贸市场封闭式基础设施证券投资基金|华威西营里农产品交易中心</v>
      </c>
      <c r="S366">
        <f>IF($A366="",0,IF(COUNTIF($R$2:$R366,$R366)=1,1,0))</f>
        <v>0</v>
      </c>
      <c r="T366">
        <f t="shared" si="84"/>
        <v>204</v>
      </c>
      <c r="U366" t="str">
        <f>IF($A366="","",IF($A366=经营数据!$B$3,COUNTIFS($S$2:$S$3000,1,$A$2:$A$3000,$A366,$T$2:$T$3000,"&lt;"&amp;$T366)+1,""))</f>
        <v/>
      </c>
      <c r="V366" t="str">
        <f t="shared" si="85"/>
        <v>华威西营里农产品交易中心|服务量</v>
      </c>
      <c r="W366">
        <f t="shared" si="86"/>
        <v>221</v>
      </c>
      <c r="X366" t="str">
        <f t="shared" si="87"/>
        <v>华威西营里农产品交易中心|期末剩余租期情况</v>
      </c>
      <c r="Y366">
        <f t="shared" si="88"/>
        <v>354</v>
      </c>
      <c r="Z366">
        <f>IF($A366="",0,IF(AND($M366=1,$A366=经营数据!$B$3,$J366=经营数据!$BA$5,OR($I366=经营数据!$BA$4,COUNTIF(经营数据!$AA$9:$AA$38,$I366)&gt;0)),1,0))</f>
        <v>0</v>
      </c>
      <c r="AA366" t="str">
        <f t="shared" si="89"/>
        <v/>
      </c>
      <c r="AB366" t="str">
        <f t="shared" si="90"/>
        <v/>
      </c>
      <c r="AC366">
        <f>IF($A366="",0,IF(COUNTIF($A$2:$A366,$A366)=1,1,0))</f>
        <v>0</v>
      </c>
      <c r="AD366">
        <f t="shared" si="91"/>
        <v>4</v>
      </c>
      <c r="AE366" t="str">
        <f t="shared" si="92"/>
        <v>华威西营里农产品交易中心|期末剩余租期情况（年）</v>
      </c>
      <c r="BP366" s="47">
        <v>45908</v>
      </c>
      <c r="BQ366" s="29">
        <v>3.6510489137240497E-2</v>
      </c>
    </row>
    <row r="367" spans="1:69" x14ac:dyDescent="0.4">
      <c r="A367" t="str">
        <f>IF(原始经营数据!$D368="","",原始经营数据!$D368)</f>
        <v>易方达华威农贸市场封闭式基础设施证券投资基金</v>
      </c>
      <c r="B367" t="str">
        <f>IF(原始经营数据!$D368="","",T(原始经营数据!$E368))</f>
        <v>华威西营里农产品交易中心</v>
      </c>
      <c r="C367" t="str">
        <f>IF(原始经营数据!$D368="","",原始经营数据!$F368)</f>
        <v>2025Q3</v>
      </c>
      <c r="D367" t="str">
        <f>IF(原始经营数据!$D368="","",原始经营数据!$H368)</f>
        <v>期末租金收缴率</v>
      </c>
      <c r="E367">
        <f>IF(原始经营数据!$D368="","",原始经营数据!$I368)</f>
        <v>100</v>
      </c>
      <c r="F367" t="str">
        <f>IF(原始经营数据!$D368="","",T(原始经营数据!$J368))</f>
        <v>%</v>
      </c>
      <c r="G367" t="str">
        <f>IF(原始经营数据!$D368="","",T(原始经营数据!$K368))</f>
        <v/>
      </c>
      <c r="H367" t="str">
        <f>IF(原始经营数据!$D368="","",原始经营数据!$G368)</f>
        <v>服务效率</v>
      </c>
      <c r="I367" t="str">
        <f>IF($A367="","",IF($B367&lt;&gt;"",$B367,IF(COUNTIFS(原始经营数据!$D$3:$D$3001,$A367,原始经营数据!$E$3:$E$3001,"",原始经营数据!$F$3:$F$3001,$C367,原始经营数据!$H$3:$H$3001,$D367,原始经营数据!$K$3:$K$3001,$G367)&gt;1,"基金整体·来源"&amp;原始经营数据!$A368,"基金整体")))</f>
        <v>华威西营里农产品交易中心</v>
      </c>
      <c r="J367" t="str">
        <f t="shared" si="78"/>
        <v>季度</v>
      </c>
      <c r="K367" t="str">
        <f t="shared" si="79"/>
        <v>期末租金收缴率（%）</v>
      </c>
      <c r="L367" t="str">
        <f t="shared" si="80"/>
        <v>华威西营里农产品交易中心|期末租金收缴率（%）|季度</v>
      </c>
      <c r="M367">
        <f>IF($A367="",0,IF(COUNTIF($L$2:$L367,$L367)=1,1,0))</f>
        <v>0</v>
      </c>
      <c r="N367">
        <f t="shared" si="81"/>
        <v>20253</v>
      </c>
      <c r="O367" t="str">
        <f t="shared" si="82"/>
        <v>易方达华威农贸市场封闭式基础设施证券投资基金|2025Q3|季度</v>
      </c>
      <c r="P367">
        <f>IF($A367="",0,IF(COUNTIF($O$2:$O367,$O367)=1,1,0))</f>
        <v>0</v>
      </c>
      <c r="Q367" t="str">
        <f>IF(AND($P367=1,$A367=经营数据!$B$3,$J367=经营数据!$BA$5),COUNTIFS($P$2:$P$3000,1,$A$2:$A$3000,$A367,$J$2:$J$3000,$J367,$N$2:$N$3000,"&lt;"&amp;$N367)+1,"")</f>
        <v/>
      </c>
      <c r="R367" t="str">
        <f t="shared" si="83"/>
        <v>易方达华威农贸市场封闭式基础设施证券投资基金|华威西营里农产品交易中心</v>
      </c>
      <c r="S367">
        <f>IF($A367="",0,IF(COUNTIF($R$2:$R367,$R367)=1,1,0))</f>
        <v>0</v>
      </c>
      <c r="T367">
        <f t="shared" si="84"/>
        <v>204</v>
      </c>
      <c r="U367" t="str">
        <f>IF($A367="","",IF($A367=经营数据!$B$3,COUNTIFS($S$2:$S$3000,1,$A$2:$A$3000,$A367,$T$2:$T$3000,"&lt;"&amp;$T367)+1,""))</f>
        <v/>
      </c>
      <c r="V367" t="str">
        <f t="shared" si="85"/>
        <v>华威西营里农产品交易中心|服务效率</v>
      </c>
      <c r="W367">
        <f t="shared" si="86"/>
        <v>205</v>
      </c>
      <c r="X367" t="str">
        <f t="shared" si="87"/>
        <v>华威西营里农产品交易中心|期末租金收缴率</v>
      </c>
      <c r="Y367">
        <f t="shared" si="88"/>
        <v>349</v>
      </c>
      <c r="Z367">
        <f>IF($A367="",0,IF(AND($M367=1,$A367=经营数据!$B$3,$J367=经营数据!$BA$5,OR($I367=经营数据!$BA$4,COUNTIF(经营数据!$AA$9:$AA$38,$I367)&gt;0)),1,0))</f>
        <v>0</v>
      </c>
      <c r="AA367" t="str">
        <f t="shared" si="89"/>
        <v/>
      </c>
      <c r="AB367" t="str">
        <f t="shared" si="90"/>
        <v/>
      </c>
      <c r="AC367">
        <f>IF($A367="",0,IF(COUNTIF($A$2:$A367,$A367)=1,1,0))</f>
        <v>0</v>
      </c>
      <c r="AD367">
        <f t="shared" si="91"/>
        <v>4</v>
      </c>
      <c r="AE367" t="str">
        <f t="shared" si="92"/>
        <v>华威西营里农产品交易中心|期末租金收缴率（%）</v>
      </c>
      <c r="BP367" s="47">
        <v>45909</v>
      </c>
      <c r="BQ367" s="29">
        <v>3.6413263128455893E-2</v>
      </c>
    </row>
    <row r="368" spans="1:69" x14ac:dyDescent="0.4">
      <c r="A368" t="str">
        <f>IF(原始经营数据!$D369="","",原始经营数据!$D369)</f>
        <v>易方达华威农贸市场封闭式基础设施证券投资基金</v>
      </c>
      <c r="B368" t="str">
        <f>IF(原始经营数据!$D369="","",T(原始经营数据!$E369))</f>
        <v>华威西营里农产品交易中心</v>
      </c>
      <c r="C368" t="str">
        <f>IF(原始经营数据!$D369="","",原始经营数据!$F369)</f>
        <v>2025Q4</v>
      </c>
      <c r="D368" t="str">
        <f>IF(原始经营数据!$D369="","",原始经营数据!$H369)</f>
        <v>期末可供出租面积</v>
      </c>
      <c r="E368">
        <f>IF(原始经营数据!$D369="","",原始经营数据!$I369)</f>
        <v>76314.34</v>
      </c>
      <c r="F368" t="str">
        <f>IF(原始经营数据!$D369="","",T(原始经营数据!$J369))</f>
        <v>平方米</v>
      </c>
      <c r="G368" t="str">
        <f>IF(原始经营数据!$D369="","",T(原始经营数据!$K369))</f>
        <v/>
      </c>
      <c r="H368" t="str">
        <f>IF(原始经营数据!$D369="","",原始经营数据!$G369)</f>
        <v>服务量</v>
      </c>
      <c r="I368" t="str">
        <f>IF($A368="","",IF($B368&lt;&gt;"",$B368,IF(COUNTIFS(原始经营数据!$D$3:$D$3001,$A368,原始经营数据!$E$3:$E$3001,"",原始经营数据!$F$3:$F$3001,$C368,原始经营数据!$H$3:$H$3001,$D368,原始经营数据!$K$3:$K$3001,$G368)&gt;1,"基金整体·来源"&amp;原始经营数据!$A369,"基金整体")))</f>
        <v>华威西营里农产品交易中心</v>
      </c>
      <c r="J368" t="str">
        <f t="shared" si="78"/>
        <v>季度</v>
      </c>
      <c r="K368" t="str">
        <f t="shared" si="79"/>
        <v>期末可供出租面积（平方米）</v>
      </c>
      <c r="L368" t="str">
        <f t="shared" si="80"/>
        <v>华威西营里农产品交易中心|期末可供出租面积（平方米）|季度</v>
      </c>
      <c r="M368">
        <f>IF($A368="",0,IF(COUNTIF($L$2:$L368,$L368)=1,1,0))</f>
        <v>0</v>
      </c>
      <c r="N368">
        <f t="shared" si="81"/>
        <v>20254</v>
      </c>
      <c r="O368" t="str">
        <f t="shared" si="82"/>
        <v>易方达华威农贸市场封闭式基础设施证券投资基金|2025Q4|季度</v>
      </c>
      <c r="P368">
        <f>IF($A368="",0,IF(COUNTIF($O$2:$O368,$O368)=1,1,0))</f>
        <v>1</v>
      </c>
      <c r="Q368" t="str">
        <f>IF(AND($P368=1,$A368=经营数据!$B$3,$J368=经营数据!$BA$5),COUNTIFS($P$2:$P$3000,1,$A$2:$A$3000,$A368,$J$2:$J$3000,$J368,$N$2:$N$3000,"&lt;"&amp;$N368)+1,"")</f>
        <v/>
      </c>
      <c r="R368" t="str">
        <f t="shared" si="83"/>
        <v>易方达华威农贸市场封闭式基础设施证券投资基金|华威西营里农产品交易中心</v>
      </c>
      <c r="S368">
        <f>IF($A368="",0,IF(COUNTIF($R$2:$R368,$R368)=1,1,0))</f>
        <v>0</v>
      </c>
      <c r="T368">
        <f t="shared" si="84"/>
        <v>204</v>
      </c>
      <c r="U368" t="str">
        <f>IF($A368="","",IF($A368=经营数据!$B$3,COUNTIFS($S$2:$S$3000,1,$A$2:$A$3000,$A368,$T$2:$T$3000,"&lt;"&amp;$T368)+1,""))</f>
        <v/>
      </c>
      <c r="V368" t="str">
        <f t="shared" si="85"/>
        <v>华威西营里农产品交易中心|服务量</v>
      </c>
      <c r="W368">
        <f t="shared" si="86"/>
        <v>221</v>
      </c>
      <c r="X368" t="str">
        <f t="shared" si="87"/>
        <v>华威西营里农产品交易中心|期末可供出租面积</v>
      </c>
      <c r="Y368">
        <f t="shared" si="88"/>
        <v>352</v>
      </c>
      <c r="Z368">
        <f>IF($A368="",0,IF(AND($M368=1,$A368=经营数据!$B$3,$J368=经营数据!$BA$5,OR($I368=经营数据!$BA$4,COUNTIF(经营数据!$AA$9:$AA$38,$I368)&gt;0)),1,0))</f>
        <v>0</v>
      </c>
      <c r="AA368" t="str">
        <f t="shared" si="89"/>
        <v/>
      </c>
      <c r="AB368" t="str">
        <f t="shared" si="90"/>
        <v/>
      </c>
      <c r="AC368">
        <f>IF($A368="",0,IF(COUNTIF($A$2:$A368,$A368)=1,1,0))</f>
        <v>0</v>
      </c>
      <c r="AD368">
        <f t="shared" si="91"/>
        <v>4</v>
      </c>
      <c r="AE368" t="str">
        <f t="shared" si="92"/>
        <v>华威西营里农产品交易中心|期末可供出租面积（平方米）</v>
      </c>
      <c r="BP368" s="47">
        <v>45910</v>
      </c>
      <c r="BQ368" s="29">
        <v>3.6622900053507372E-2</v>
      </c>
    </row>
    <row r="369" spans="1:69" x14ac:dyDescent="0.4">
      <c r="A369" t="str">
        <f>IF(原始经营数据!$D370="","",原始经营数据!$D370)</f>
        <v>易方达华威农贸市场封闭式基础设施证券投资基金</v>
      </c>
      <c r="B369" t="str">
        <f>IF(原始经营数据!$D370="","",T(原始经营数据!$E370))</f>
        <v>华威西营里农产品交易中心</v>
      </c>
      <c r="C369" t="str">
        <f>IF(原始经营数据!$D370="","",原始经营数据!$F370)</f>
        <v>2025Q4</v>
      </c>
      <c r="D369" t="str">
        <f>IF(原始经营数据!$D370="","",原始经营数据!$H370)</f>
        <v>期末实际出租面积</v>
      </c>
      <c r="E369">
        <f>IF(原始经营数据!$D370="","",原始经营数据!$I370)</f>
        <v>72459.649999999994</v>
      </c>
      <c r="F369" t="str">
        <f>IF(原始经营数据!$D370="","",T(原始经营数据!$J370))</f>
        <v>平方米</v>
      </c>
      <c r="G369" t="str">
        <f>IF(原始经营数据!$D370="","",T(原始经营数据!$K370))</f>
        <v/>
      </c>
      <c r="H369" t="str">
        <f>IF(原始经营数据!$D370="","",原始经营数据!$G370)</f>
        <v>服务量</v>
      </c>
      <c r="I369" t="str">
        <f>IF($A369="","",IF($B369&lt;&gt;"",$B369,IF(COUNTIFS(原始经营数据!$D$3:$D$3001,$A369,原始经营数据!$E$3:$E$3001,"",原始经营数据!$F$3:$F$3001,$C369,原始经营数据!$H$3:$H$3001,$D369,原始经营数据!$K$3:$K$3001,$G369)&gt;1,"基金整体·来源"&amp;原始经营数据!$A370,"基金整体")))</f>
        <v>华威西营里农产品交易中心</v>
      </c>
      <c r="J369" t="str">
        <f t="shared" si="78"/>
        <v>季度</v>
      </c>
      <c r="K369" t="str">
        <f t="shared" si="79"/>
        <v>期末实际出租面积（平方米）</v>
      </c>
      <c r="L369" t="str">
        <f t="shared" si="80"/>
        <v>华威西营里农产品交易中心|期末实际出租面积（平方米）|季度</v>
      </c>
      <c r="M369">
        <f>IF($A369="",0,IF(COUNTIF($L$2:$L369,$L369)=1,1,0))</f>
        <v>0</v>
      </c>
      <c r="N369">
        <f t="shared" si="81"/>
        <v>20254</v>
      </c>
      <c r="O369" t="str">
        <f t="shared" si="82"/>
        <v>易方达华威农贸市场封闭式基础设施证券投资基金|2025Q4|季度</v>
      </c>
      <c r="P369">
        <f>IF($A369="",0,IF(COUNTIF($O$2:$O369,$O369)=1,1,0))</f>
        <v>0</v>
      </c>
      <c r="Q369" t="str">
        <f>IF(AND($P369=1,$A369=经营数据!$B$3,$J369=经营数据!$BA$5),COUNTIFS($P$2:$P$3000,1,$A$2:$A$3000,$A369,$J$2:$J$3000,$J369,$N$2:$N$3000,"&lt;"&amp;$N369)+1,"")</f>
        <v/>
      </c>
      <c r="R369" t="str">
        <f t="shared" si="83"/>
        <v>易方达华威农贸市场封闭式基础设施证券投资基金|华威西营里农产品交易中心</v>
      </c>
      <c r="S369">
        <f>IF($A369="",0,IF(COUNTIF($R$2:$R369,$R369)=1,1,0))</f>
        <v>0</v>
      </c>
      <c r="T369">
        <f t="shared" si="84"/>
        <v>204</v>
      </c>
      <c r="U369" t="str">
        <f>IF($A369="","",IF($A369=经营数据!$B$3,COUNTIFS($S$2:$S$3000,1,$A$2:$A$3000,$A369,$T$2:$T$3000,"&lt;"&amp;$T369)+1,""))</f>
        <v/>
      </c>
      <c r="V369" t="str">
        <f t="shared" si="85"/>
        <v>华威西营里农产品交易中心|服务量</v>
      </c>
      <c r="W369">
        <f t="shared" si="86"/>
        <v>221</v>
      </c>
      <c r="X369" t="str">
        <f t="shared" si="87"/>
        <v>华威西营里农产品交易中心|期末实际出租面积</v>
      </c>
      <c r="Y369">
        <f t="shared" si="88"/>
        <v>351</v>
      </c>
      <c r="Z369">
        <f>IF($A369="",0,IF(AND($M369=1,$A369=经营数据!$B$3,$J369=经营数据!$BA$5,OR($I369=经营数据!$BA$4,COUNTIF(经营数据!$AA$9:$AA$38,$I369)&gt;0)),1,0))</f>
        <v>0</v>
      </c>
      <c r="AA369" t="str">
        <f t="shared" si="89"/>
        <v/>
      </c>
      <c r="AB369" t="str">
        <f t="shared" si="90"/>
        <v/>
      </c>
      <c r="AC369">
        <f>IF($A369="",0,IF(COUNTIF($A$2:$A369,$A369)=1,1,0))</f>
        <v>0</v>
      </c>
      <c r="AD369">
        <f t="shared" si="91"/>
        <v>4</v>
      </c>
      <c r="AE369" t="str">
        <f t="shared" si="92"/>
        <v>华威西营里农产品交易中心|期末实际出租面积（平方米）</v>
      </c>
      <c r="BP369" s="47">
        <v>45911</v>
      </c>
      <c r="BQ369" s="29">
        <v>3.6657627418236097E-2</v>
      </c>
    </row>
    <row r="370" spans="1:69" x14ac:dyDescent="0.4">
      <c r="A370" t="str">
        <f>IF(原始经营数据!$D371="","",原始经营数据!$D371)</f>
        <v>易方达华威农贸市场封闭式基础设施证券投资基金</v>
      </c>
      <c r="B370" t="str">
        <f>IF(原始经营数据!$D371="","",T(原始经营数据!$E371))</f>
        <v>华威西营里农产品交易中心</v>
      </c>
      <c r="C370" t="str">
        <f>IF(原始经营数据!$D371="","",原始经营数据!$F371)</f>
        <v>2025Q4</v>
      </c>
      <c r="D370" t="str">
        <f>IF(原始经营数据!$D371="","",原始经营数据!$H371)</f>
        <v>期内租金单价水平</v>
      </c>
      <c r="E370">
        <f>IF(原始经营数据!$D371="","",原始经营数据!$I371)</f>
        <v>128.49</v>
      </c>
      <c r="F370" t="str">
        <f>IF(原始经营数据!$D371="","",T(原始经营数据!$J371))</f>
        <v>元/平方米/月</v>
      </c>
      <c r="G370" t="str">
        <f>IF(原始经营数据!$D371="","",T(原始经营数据!$K371))</f>
        <v/>
      </c>
      <c r="H370" t="str">
        <f>IF(原始经营数据!$D371="","",原始经营数据!$G371)</f>
        <v>服务价格</v>
      </c>
      <c r="I370" t="str">
        <f>IF($A370="","",IF($B370&lt;&gt;"",$B370,IF(COUNTIFS(原始经营数据!$D$3:$D$3001,$A370,原始经营数据!$E$3:$E$3001,"",原始经营数据!$F$3:$F$3001,$C370,原始经营数据!$H$3:$H$3001,$D370,原始经营数据!$K$3:$K$3001,$G370)&gt;1,"基金整体·来源"&amp;原始经营数据!$A371,"基金整体")))</f>
        <v>华威西营里农产品交易中心</v>
      </c>
      <c r="J370" t="str">
        <f t="shared" si="78"/>
        <v>季度</v>
      </c>
      <c r="K370" t="str">
        <f t="shared" si="79"/>
        <v>期内租金单价水平（元/平方米/月）</v>
      </c>
      <c r="L370" t="str">
        <f t="shared" si="80"/>
        <v>华威西营里农产品交易中心|期内租金单价水平（元/平方米/月）|季度</v>
      </c>
      <c r="M370">
        <f>IF($A370="",0,IF(COUNTIF($L$2:$L370,$L370)=1,1,0))</f>
        <v>0</v>
      </c>
      <c r="N370">
        <f t="shared" si="81"/>
        <v>20254</v>
      </c>
      <c r="O370" t="str">
        <f t="shared" si="82"/>
        <v>易方达华威农贸市场封闭式基础设施证券投资基金|2025Q4|季度</v>
      </c>
      <c r="P370">
        <f>IF($A370="",0,IF(COUNTIF($O$2:$O370,$O370)=1,1,0))</f>
        <v>0</v>
      </c>
      <c r="Q370" t="str">
        <f>IF(AND($P370=1,$A370=经营数据!$B$3,$J370=经营数据!$BA$5),COUNTIFS($P$2:$P$3000,1,$A$2:$A$3000,$A370,$J$2:$J$3000,$J370,$N$2:$N$3000,"&lt;"&amp;$N370)+1,"")</f>
        <v/>
      </c>
      <c r="R370" t="str">
        <f t="shared" si="83"/>
        <v>易方达华威农贸市场封闭式基础设施证券投资基金|华威西营里农产品交易中心</v>
      </c>
      <c r="S370">
        <f>IF($A370="",0,IF(COUNTIF($R$2:$R370,$R370)=1,1,0))</f>
        <v>0</v>
      </c>
      <c r="T370">
        <f t="shared" si="84"/>
        <v>204</v>
      </c>
      <c r="U370" t="str">
        <f>IF($A370="","",IF($A370=经营数据!$B$3,COUNTIFS($S$2:$S$3000,1,$A$2:$A$3000,$A370,$T$2:$T$3000,"&lt;"&amp;$T370)+1,""))</f>
        <v/>
      </c>
      <c r="V370" t="str">
        <f t="shared" si="85"/>
        <v>华威西营里农产品交易中心|服务价格</v>
      </c>
      <c r="W370">
        <f t="shared" si="86"/>
        <v>204</v>
      </c>
      <c r="X370" t="str">
        <f t="shared" si="87"/>
        <v>华威西营里农产品交易中心|期内租金单价水平</v>
      </c>
      <c r="Y370">
        <f t="shared" si="88"/>
        <v>353</v>
      </c>
      <c r="Z370">
        <f>IF($A370="",0,IF(AND($M370=1,$A370=经营数据!$B$3,$J370=经营数据!$BA$5,OR($I370=经营数据!$BA$4,COUNTIF(经营数据!$AA$9:$AA$38,$I370)&gt;0)),1,0))</f>
        <v>0</v>
      </c>
      <c r="AA370" t="str">
        <f t="shared" si="89"/>
        <v/>
      </c>
      <c r="AB370" t="str">
        <f t="shared" si="90"/>
        <v/>
      </c>
      <c r="AC370">
        <f>IF($A370="",0,IF(COUNTIF($A$2:$A370,$A370)=1,1,0))</f>
        <v>0</v>
      </c>
      <c r="AD370">
        <f t="shared" si="91"/>
        <v>4</v>
      </c>
      <c r="AE370" t="str">
        <f t="shared" si="92"/>
        <v>华威西营里农产品交易中心|期内租金单价水平（元/平方米/月）</v>
      </c>
      <c r="BP370" s="47">
        <v>45912</v>
      </c>
      <c r="BQ370" s="29">
        <v>3.6714236452476678E-2</v>
      </c>
    </row>
    <row r="371" spans="1:69" x14ac:dyDescent="0.4">
      <c r="A371" t="str">
        <f>IF(原始经营数据!$D372="","",原始经营数据!$D372)</f>
        <v>易方达华威农贸市场封闭式基础设施证券投资基金</v>
      </c>
      <c r="B371" t="str">
        <f>IF(原始经营数据!$D372="","",T(原始经营数据!$E372))</f>
        <v>华威西营里农产品交易中心</v>
      </c>
      <c r="C371" t="str">
        <f>IF(原始经营数据!$D372="","",原始经营数据!$F372)</f>
        <v>2025Q4</v>
      </c>
      <c r="D371" t="str">
        <f>IF(原始经营数据!$D372="","",原始经营数据!$H372)</f>
        <v>期末出租率</v>
      </c>
      <c r="E371">
        <f>IF(原始经营数据!$D372="","",原始经营数据!$I372)</f>
        <v>94.95</v>
      </c>
      <c r="F371" t="str">
        <f>IF(原始经营数据!$D372="","",T(原始经营数据!$J372))</f>
        <v>%</v>
      </c>
      <c r="G371" t="str">
        <f>IF(原始经营数据!$D372="","",T(原始经营数据!$K372))</f>
        <v/>
      </c>
      <c r="H371" t="str">
        <f>IF(原始经营数据!$D372="","",原始经营数据!$G372)</f>
        <v>服务效率</v>
      </c>
      <c r="I371" t="str">
        <f>IF($A371="","",IF($B371&lt;&gt;"",$B371,IF(COUNTIFS(原始经营数据!$D$3:$D$3001,$A371,原始经营数据!$E$3:$E$3001,"",原始经营数据!$F$3:$F$3001,$C371,原始经营数据!$H$3:$H$3001,$D371,原始经营数据!$K$3:$K$3001,$G371)&gt;1,"基金整体·来源"&amp;原始经营数据!$A372,"基金整体")))</f>
        <v>华威西营里农产品交易中心</v>
      </c>
      <c r="J371" t="str">
        <f t="shared" si="78"/>
        <v>季度</v>
      </c>
      <c r="K371" t="str">
        <f t="shared" si="79"/>
        <v>期末出租率（%）</v>
      </c>
      <c r="L371" t="str">
        <f t="shared" si="80"/>
        <v>华威西营里农产品交易中心|期末出租率（%）|季度</v>
      </c>
      <c r="M371">
        <f>IF($A371="",0,IF(COUNTIF($L$2:$L371,$L371)=1,1,0))</f>
        <v>0</v>
      </c>
      <c r="N371">
        <f t="shared" si="81"/>
        <v>20254</v>
      </c>
      <c r="O371" t="str">
        <f t="shared" si="82"/>
        <v>易方达华威农贸市场封闭式基础设施证券投资基金|2025Q4|季度</v>
      </c>
      <c r="P371">
        <f>IF($A371="",0,IF(COUNTIF($O$2:$O371,$O371)=1,1,0))</f>
        <v>0</v>
      </c>
      <c r="Q371" t="str">
        <f>IF(AND($P371=1,$A371=经营数据!$B$3,$J371=经营数据!$BA$5),COUNTIFS($P$2:$P$3000,1,$A$2:$A$3000,$A371,$J$2:$J$3000,$J371,$N$2:$N$3000,"&lt;"&amp;$N371)+1,"")</f>
        <v/>
      </c>
      <c r="R371" t="str">
        <f t="shared" si="83"/>
        <v>易方达华威农贸市场封闭式基础设施证券投资基金|华威西营里农产品交易中心</v>
      </c>
      <c r="S371">
        <f>IF($A371="",0,IF(COUNTIF($R$2:$R371,$R371)=1,1,0))</f>
        <v>0</v>
      </c>
      <c r="T371">
        <f t="shared" si="84"/>
        <v>204</v>
      </c>
      <c r="U371" t="str">
        <f>IF($A371="","",IF($A371=经营数据!$B$3,COUNTIFS($S$2:$S$3000,1,$A$2:$A$3000,$A371,$T$2:$T$3000,"&lt;"&amp;$T371)+1,""))</f>
        <v/>
      </c>
      <c r="V371" t="str">
        <f t="shared" si="85"/>
        <v>华威西营里农产品交易中心|服务效率</v>
      </c>
      <c r="W371">
        <f t="shared" si="86"/>
        <v>205</v>
      </c>
      <c r="X371" t="str">
        <f t="shared" si="87"/>
        <v>华威西营里农产品交易中心|期末出租率</v>
      </c>
      <c r="Y371">
        <f t="shared" si="88"/>
        <v>350</v>
      </c>
      <c r="Z371">
        <f>IF($A371="",0,IF(AND($M371=1,$A371=经营数据!$B$3,$J371=经营数据!$BA$5,OR($I371=经营数据!$BA$4,COUNTIF(经营数据!$AA$9:$AA$38,$I371)&gt;0)),1,0))</f>
        <v>0</v>
      </c>
      <c r="AA371" t="str">
        <f t="shared" si="89"/>
        <v/>
      </c>
      <c r="AB371" t="str">
        <f t="shared" si="90"/>
        <v/>
      </c>
      <c r="AC371">
        <f>IF($A371="",0,IF(COUNTIF($A$2:$A371,$A371)=1,1,0))</f>
        <v>0</v>
      </c>
      <c r="AD371">
        <f t="shared" si="91"/>
        <v>4</v>
      </c>
      <c r="AE371" t="str">
        <f t="shared" si="92"/>
        <v>华威西营里农产品交易中心|期末出租率（%）</v>
      </c>
      <c r="BP371" s="47">
        <v>45915</v>
      </c>
      <c r="BQ371" s="29">
        <v>3.6581103572212621E-2</v>
      </c>
    </row>
    <row r="372" spans="1:69" x14ac:dyDescent="0.4">
      <c r="A372" t="str">
        <f>IF(原始经营数据!$D373="","",原始经营数据!$D373)</f>
        <v>易方达华威农贸市场封闭式基础设施证券投资基金</v>
      </c>
      <c r="B372" t="str">
        <f>IF(原始经营数据!$D373="","",T(原始经营数据!$E373))</f>
        <v>华威西营里农产品交易中心</v>
      </c>
      <c r="C372" t="str">
        <f>IF(原始经营数据!$D373="","",原始经营数据!$F373)</f>
        <v>2025Q4</v>
      </c>
      <c r="D372" t="str">
        <f>IF(原始经营数据!$D373="","",原始经营数据!$H373)</f>
        <v>期末剩余租期情况</v>
      </c>
      <c r="E372">
        <f>IF(原始经营数据!$D373="","",原始经营数据!$I373)</f>
        <v>4.92</v>
      </c>
      <c r="F372" t="str">
        <f>IF(原始经营数据!$D373="","",T(原始经营数据!$J373))</f>
        <v>年</v>
      </c>
      <c r="G372" t="str">
        <f>IF(原始经营数据!$D373="","",T(原始经营数据!$K373))</f>
        <v/>
      </c>
      <c r="H372" t="str">
        <f>IF(原始经营数据!$D373="","",原始经营数据!$G373)</f>
        <v>服务量</v>
      </c>
      <c r="I372" t="str">
        <f>IF($A372="","",IF($B372&lt;&gt;"",$B372,IF(COUNTIFS(原始经营数据!$D$3:$D$3001,$A372,原始经营数据!$E$3:$E$3001,"",原始经营数据!$F$3:$F$3001,$C372,原始经营数据!$H$3:$H$3001,$D372,原始经营数据!$K$3:$K$3001,$G372)&gt;1,"基金整体·来源"&amp;原始经营数据!$A373,"基金整体")))</f>
        <v>华威西营里农产品交易中心</v>
      </c>
      <c r="J372" t="str">
        <f t="shared" si="78"/>
        <v>季度</v>
      </c>
      <c r="K372" t="str">
        <f t="shared" si="79"/>
        <v>期末剩余租期情况（年）</v>
      </c>
      <c r="L372" t="str">
        <f t="shared" si="80"/>
        <v>华威西营里农产品交易中心|期末剩余租期情况（年）|季度</v>
      </c>
      <c r="M372">
        <f>IF($A372="",0,IF(COUNTIF($L$2:$L372,$L372)=1,1,0))</f>
        <v>0</v>
      </c>
      <c r="N372">
        <f t="shared" si="81"/>
        <v>20254</v>
      </c>
      <c r="O372" t="str">
        <f t="shared" si="82"/>
        <v>易方达华威农贸市场封闭式基础设施证券投资基金|2025Q4|季度</v>
      </c>
      <c r="P372">
        <f>IF($A372="",0,IF(COUNTIF($O$2:$O372,$O372)=1,1,0))</f>
        <v>0</v>
      </c>
      <c r="Q372" t="str">
        <f>IF(AND($P372=1,$A372=经营数据!$B$3,$J372=经营数据!$BA$5),COUNTIFS($P$2:$P$3000,1,$A$2:$A$3000,$A372,$J$2:$J$3000,$J372,$N$2:$N$3000,"&lt;"&amp;$N372)+1,"")</f>
        <v/>
      </c>
      <c r="R372" t="str">
        <f t="shared" si="83"/>
        <v>易方达华威农贸市场封闭式基础设施证券投资基金|华威西营里农产品交易中心</v>
      </c>
      <c r="S372">
        <f>IF($A372="",0,IF(COUNTIF($R$2:$R372,$R372)=1,1,0))</f>
        <v>0</v>
      </c>
      <c r="T372">
        <f t="shared" si="84"/>
        <v>204</v>
      </c>
      <c r="U372" t="str">
        <f>IF($A372="","",IF($A372=经营数据!$B$3,COUNTIFS($S$2:$S$3000,1,$A$2:$A$3000,$A372,$T$2:$T$3000,"&lt;"&amp;$T372)+1,""))</f>
        <v/>
      </c>
      <c r="V372" t="str">
        <f t="shared" si="85"/>
        <v>华威西营里农产品交易中心|服务量</v>
      </c>
      <c r="W372">
        <f t="shared" si="86"/>
        <v>221</v>
      </c>
      <c r="X372" t="str">
        <f t="shared" si="87"/>
        <v>华威西营里农产品交易中心|期末剩余租期情况</v>
      </c>
      <c r="Y372">
        <f t="shared" si="88"/>
        <v>354</v>
      </c>
      <c r="Z372">
        <f>IF($A372="",0,IF(AND($M372=1,$A372=经营数据!$B$3,$J372=经营数据!$BA$5,OR($I372=经营数据!$BA$4,COUNTIF(经营数据!$AA$9:$AA$38,$I372)&gt;0)),1,0))</f>
        <v>0</v>
      </c>
      <c r="AA372" t="str">
        <f t="shared" si="89"/>
        <v/>
      </c>
      <c r="AB372" t="str">
        <f t="shared" si="90"/>
        <v/>
      </c>
      <c r="AC372">
        <f>IF($A372="",0,IF(COUNTIF($A$2:$A372,$A372)=1,1,0))</f>
        <v>0</v>
      </c>
      <c r="AD372">
        <f t="shared" si="91"/>
        <v>4</v>
      </c>
      <c r="AE372" t="str">
        <f t="shared" si="92"/>
        <v>华威西营里农产品交易中心|期末剩余租期情况（年）</v>
      </c>
      <c r="BP372" s="47">
        <v>45916</v>
      </c>
      <c r="BQ372" s="29">
        <v>3.6670510809110421E-2</v>
      </c>
    </row>
    <row r="373" spans="1:69" x14ac:dyDescent="0.4">
      <c r="A373" t="str">
        <f>IF(原始经营数据!$D374="","",原始经营数据!$D374)</f>
        <v>易方达华威农贸市场封闭式基础设施证券投资基金</v>
      </c>
      <c r="B373" t="str">
        <f>IF(原始经营数据!$D374="","",T(原始经营数据!$E374))</f>
        <v>华威西营里农产品交易中心</v>
      </c>
      <c r="C373" t="str">
        <f>IF(原始经营数据!$D374="","",原始经营数据!$F374)</f>
        <v>2025Q4</v>
      </c>
      <c r="D373" t="str">
        <f>IF(原始经营数据!$D374="","",原始经营数据!$H374)</f>
        <v>期末租金收缴率</v>
      </c>
      <c r="E373">
        <f>IF(原始经营数据!$D374="","",原始经营数据!$I374)</f>
        <v>100</v>
      </c>
      <c r="F373" t="str">
        <f>IF(原始经营数据!$D374="","",T(原始经营数据!$J374))</f>
        <v>%</v>
      </c>
      <c r="G373" t="str">
        <f>IF(原始经营数据!$D374="","",T(原始经营数据!$K374))</f>
        <v/>
      </c>
      <c r="H373" t="str">
        <f>IF(原始经营数据!$D374="","",原始经营数据!$G374)</f>
        <v>服务效率</v>
      </c>
      <c r="I373" t="str">
        <f>IF($A373="","",IF($B373&lt;&gt;"",$B373,IF(COUNTIFS(原始经营数据!$D$3:$D$3001,$A373,原始经营数据!$E$3:$E$3001,"",原始经营数据!$F$3:$F$3001,$C373,原始经营数据!$H$3:$H$3001,$D373,原始经营数据!$K$3:$K$3001,$G373)&gt;1,"基金整体·来源"&amp;原始经营数据!$A374,"基金整体")))</f>
        <v>华威西营里农产品交易中心</v>
      </c>
      <c r="J373" t="str">
        <f t="shared" si="78"/>
        <v>季度</v>
      </c>
      <c r="K373" t="str">
        <f t="shared" si="79"/>
        <v>期末租金收缴率（%）</v>
      </c>
      <c r="L373" t="str">
        <f t="shared" si="80"/>
        <v>华威西营里农产品交易中心|期末租金收缴率（%）|季度</v>
      </c>
      <c r="M373">
        <f>IF($A373="",0,IF(COUNTIF($L$2:$L373,$L373)=1,1,0))</f>
        <v>0</v>
      </c>
      <c r="N373">
        <f t="shared" si="81"/>
        <v>20254</v>
      </c>
      <c r="O373" t="str">
        <f t="shared" si="82"/>
        <v>易方达华威农贸市场封闭式基础设施证券投资基金|2025Q4|季度</v>
      </c>
      <c r="P373">
        <f>IF($A373="",0,IF(COUNTIF($O$2:$O373,$O373)=1,1,0))</f>
        <v>0</v>
      </c>
      <c r="Q373" t="str">
        <f>IF(AND($P373=1,$A373=经营数据!$B$3,$J373=经营数据!$BA$5),COUNTIFS($P$2:$P$3000,1,$A$2:$A$3000,$A373,$J$2:$J$3000,$J373,$N$2:$N$3000,"&lt;"&amp;$N373)+1,"")</f>
        <v/>
      </c>
      <c r="R373" t="str">
        <f t="shared" si="83"/>
        <v>易方达华威农贸市场封闭式基础设施证券投资基金|华威西营里农产品交易中心</v>
      </c>
      <c r="S373">
        <f>IF($A373="",0,IF(COUNTIF($R$2:$R373,$R373)=1,1,0))</f>
        <v>0</v>
      </c>
      <c r="T373">
        <f t="shared" si="84"/>
        <v>204</v>
      </c>
      <c r="U373" t="str">
        <f>IF($A373="","",IF($A373=经营数据!$B$3,COUNTIFS($S$2:$S$3000,1,$A$2:$A$3000,$A373,$T$2:$T$3000,"&lt;"&amp;$T373)+1,""))</f>
        <v/>
      </c>
      <c r="V373" t="str">
        <f t="shared" si="85"/>
        <v>华威西营里农产品交易中心|服务效率</v>
      </c>
      <c r="W373">
        <f t="shared" si="86"/>
        <v>205</v>
      </c>
      <c r="X373" t="str">
        <f t="shared" si="87"/>
        <v>华威西营里农产品交易中心|期末租金收缴率</v>
      </c>
      <c r="Y373">
        <f t="shared" si="88"/>
        <v>349</v>
      </c>
      <c r="Z373">
        <f>IF($A373="",0,IF(AND($M373=1,$A373=经营数据!$B$3,$J373=经营数据!$BA$5,OR($I373=经营数据!$BA$4,COUNTIF(经营数据!$AA$9:$AA$38,$I373)&gt;0)),1,0))</f>
        <v>0</v>
      </c>
      <c r="AA373" t="str">
        <f t="shared" si="89"/>
        <v/>
      </c>
      <c r="AB373" t="str">
        <f t="shared" si="90"/>
        <v/>
      </c>
      <c r="AC373">
        <f>IF($A373="",0,IF(COUNTIF($A$2:$A373,$A373)=1,1,0))</f>
        <v>0</v>
      </c>
      <c r="AD373">
        <f t="shared" si="91"/>
        <v>4</v>
      </c>
      <c r="AE373" t="str">
        <f t="shared" si="92"/>
        <v>华威西营里农产品交易中心|期末租金收缴率（%）</v>
      </c>
      <c r="BP373" s="47">
        <v>45917</v>
      </c>
      <c r="BQ373" s="29">
        <v>3.6719471498791893E-2</v>
      </c>
    </row>
    <row r="374" spans="1:69" x14ac:dyDescent="0.4">
      <c r="A374" t="str">
        <f>IF(原始经营数据!$D375="","",原始经营数据!$D375)</f>
        <v>易方达华威农贸市场封闭式基础设施证券投资基金</v>
      </c>
      <c r="B374" t="str">
        <f>IF(原始经营数据!$D375="","",T(原始经营数据!$E375))</f>
        <v>华威西营里农产品交易中心</v>
      </c>
      <c r="C374" t="str">
        <f>IF(原始经营数据!$D375="","",原始经营数据!$F375)</f>
        <v>2026Q1</v>
      </c>
      <c r="D374" t="str">
        <f>IF(原始经营数据!$D375="","",原始经营数据!$H375)</f>
        <v>期末租金收缴率</v>
      </c>
      <c r="E374">
        <f>IF(原始经营数据!$D375="","",原始经营数据!$I375)</f>
        <v>100</v>
      </c>
      <c r="F374" t="str">
        <f>IF(原始经营数据!$D375="","",T(原始经营数据!$J375))</f>
        <v>%</v>
      </c>
      <c r="G374" t="str">
        <f>IF(原始经营数据!$D375="","",T(原始经营数据!$K375))</f>
        <v/>
      </c>
      <c r="H374" t="str">
        <f>IF(原始经营数据!$D375="","",原始经营数据!$G375)</f>
        <v>服务效率</v>
      </c>
      <c r="I374" t="str">
        <f>IF($A374="","",IF($B374&lt;&gt;"",$B374,IF(COUNTIFS(原始经营数据!$D$3:$D$3001,$A374,原始经营数据!$E$3:$E$3001,"",原始经营数据!$F$3:$F$3001,$C374,原始经营数据!$H$3:$H$3001,$D374,原始经营数据!$K$3:$K$3001,$G374)&gt;1,"基金整体·来源"&amp;原始经营数据!$A375,"基金整体")))</f>
        <v>华威西营里农产品交易中心</v>
      </c>
      <c r="J374" t="str">
        <f t="shared" si="78"/>
        <v>季度</v>
      </c>
      <c r="K374" t="str">
        <f t="shared" si="79"/>
        <v>期末租金收缴率（%）</v>
      </c>
      <c r="L374" t="str">
        <f t="shared" si="80"/>
        <v>华威西营里农产品交易中心|期末租金收缴率（%）|季度</v>
      </c>
      <c r="M374">
        <f>IF($A374="",0,IF(COUNTIF($L$2:$L374,$L374)=1,1,0))</f>
        <v>0</v>
      </c>
      <c r="N374">
        <f t="shared" si="81"/>
        <v>20261</v>
      </c>
      <c r="O374" t="str">
        <f t="shared" si="82"/>
        <v>易方达华威农贸市场封闭式基础设施证券投资基金|2026Q1|季度</v>
      </c>
      <c r="P374">
        <f>IF($A374="",0,IF(COUNTIF($O$2:$O374,$O374)=1,1,0))</f>
        <v>1</v>
      </c>
      <c r="Q374" t="str">
        <f>IF(AND($P374=1,$A374=经营数据!$B$3,$J374=经营数据!$BA$5),COUNTIFS($P$2:$P$3000,1,$A$2:$A$3000,$A374,$J$2:$J$3000,$J374,$N$2:$N$3000,"&lt;"&amp;$N374)+1,"")</f>
        <v/>
      </c>
      <c r="R374" t="str">
        <f t="shared" si="83"/>
        <v>易方达华威农贸市场封闭式基础设施证券投资基金|华威西营里农产品交易中心</v>
      </c>
      <c r="S374">
        <f>IF($A374="",0,IF(COUNTIF($R$2:$R374,$R374)=1,1,0))</f>
        <v>0</v>
      </c>
      <c r="T374">
        <f t="shared" si="84"/>
        <v>204</v>
      </c>
      <c r="U374" t="str">
        <f>IF($A374="","",IF($A374=经营数据!$B$3,COUNTIFS($S$2:$S$3000,1,$A$2:$A$3000,$A374,$T$2:$T$3000,"&lt;"&amp;$T374)+1,""))</f>
        <v/>
      </c>
      <c r="V374" t="str">
        <f t="shared" si="85"/>
        <v>华威西营里农产品交易中心|服务效率</v>
      </c>
      <c r="W374">
        <f t="shared" si="86"/>
        <v>205</v>
      </c>
      <c r="X374" t="str">
        <f t="shared" si="87"/>
        <v>华威西营里农产品交易中心|期末租金收缴率</v>
      </c>
      <c r="Y374">
        <f t="shared" si="88"/>
        <v>349</v>
      </c>
      <c r="Z374">
        <f>IF($A374="",0,IF(AND($M374=1,$A374=经营数据!$B$3,$J374=经营数据!$BA$5,OR($I374=经营数据!$BA$4,COUNTIF(经营数据!$AA$9:$AA$38,$I374)&gt;0)),1,0))</f>
        <v>0</v>
      </c>
      <c r="AA374" t="str">
        <f t="shared" si="89"/>
        <v/>
      </c>
      <c r="AB374" t="str">
        <f t="shared" si="90"/>
        <v/>
      </c>
      <c r="AC374">
        <f>IF($A374="",0,IF(COUNTIF($A$2:$A374,$A374)=1,1,0))</f>
        <v>0</v>
      </c>
      <c r="AD374">
        <f t="shared" si="91"/>
        <v>4</v>
      </c>
      <c r="AE374" t="str">
        <f t="shared" si="92"/>
        <v>华威西营里农产品交易中心|期末租金收缴率（%）</v>
      </c>
      <c r="BP374" s="47">
        <v>45918</v>
      </c>
      <c r="BQ374" s="29">
        <v>3.6687228313513599E-2</v>
      </c>
    </row>
    <row r="375" spans="1:69" x14ac:dyDescent="0.4">
      <c r="A375" t="str">
        <f>IF(原始经营数据!$D376="","",原始经营数据!$D376)</f>
        <v>易方达华威农贸市场封闭式基础设施证券投资基金</v>
      </c>
      <c r="B375" t="str">
        <f>IF(原始经营数据!$D376="","",T(原始经营数据!$E376))</f>
        <v>华威西营里农产品交易中心</v>
      </c>
      <c r="C375" t="str">
        <f>IF(原始经营数据!$D376="","",原始经营数据!$F376)</f>
        <v>2026Q1</v>
      </c>
      <c r="D375" t="str">
        <f>IF(原始经营数据!$D376="","",原始经营数据!$H376)</f>
        <v>期末剩余租期情况</v>
      </c>
      <c r="E375">
        <f>IF(原始经营数据!$D376="","",原始经营数据!$I376)</f>
        <v>4.72</v>
      </c>
      <c r="F375" t="str">
        <f>IF(原始经营数据!$D376="","",T(原始经营数据!$J376))</f>
        <v>年</v>
      </c>
      <c r="G375" t="str">
        <f>IF(原始经营数据!$D376="","",T(原始经营数据!$K376))</f>
        <v/>
      </c>
      <c r="H375" t="str">
        <f>IF(原始经营数据!$D376="","",原始经营数据!$G376)</f>
        <v>服务量</v>
      </c>
      <c r="I375" t="str">
        <f>IF($A375="","",IF($B375&lt;&gt;"",$B375,IF(COUNTIFS(原始经营数据!$D$3:$D$3001,$A375,原始经营数据!$E$3:$E$3001,"",原始经营数据!$F$3:$F$3001,$C375,原始经营数据!$H$3:$H$3001,$D375,原始经营数据!$K$3:$K$3001,$G375)&gt;1,"基金整体·来源"&amp;原始经营数据!$A376,"基金整体")))</f>
        <v>华威西营里农产品交易中心</v>
      </c>
      <c r="J375" t="str">
        <f t="shared" si="78"/>
        <v>季度</v>
      </c>
      <c r="K375" t="str">
        <f t="shared" si="79"/>
        <v>期末剩余租期情况（年）</v>
      </c>
      <c r="L375" t="str">
        <f t="shared" si="80"/>
        <v>华威西营里农产品交易中心|期末剩余租期情况（年）|季度</v>
      </c>
      <c r="M375">
        <f>IF($A375="",0,IF(COUNTIF($L$2:$L375,$L375)=1,1,0))</f>
        <v>0</v>
      </c>
      <c r="N375">
        <f t="shared" si="81"/>
        <v>20261</v>
      </c>
      <c r="O375" t="str">
        <f t="shared" si="82"/>
        <v>易方达华威农贸市场封闭式基础设施证券投资基金|2026Q1|季度</v>
      </c>
      <c r="P375">
        <f>IF($A375="",0,IF(COUNTIF($O$2:$O375,$O375)=1,1,0))</f>
        <v>0</v>
      </c>
      <c r="Q375" t="str">
        <f>IF(AND($P375=1,$A375=经营数据!$B$3,$J375=经营数据!$BA$5),COUNTIFS($P$2:$P$3000,1,$A$2:$A$3000,$A375,$J$2:$J$3000,$J375,$N$2:$N$3000,"&lt;"&amp;$N375)+1,"")</f>
        <v/>
      </c>
      <c r="R375" t="str">
        <f t="shared" si="83"/>
        <v>易方达华威农贸市场封闭式基础设施证券投资基金|华威西营里农产品交易中心</v>
      </c>
      <c r="S375">
        <f>IF($A375="",0,IF(COUNTIF($R$2:$R375,$R375)=1,1,0))</f>
        <v>0</v>
      </c>
      <c r="T375">
        <f t="shared" si="84"/>
        <v>204</v>
      </c>
      <c r="U375" t="str">
        <f>IF($A375="","",IF($A375=经营数据!$B$3,COUNTIFS($S$2:$S$3000,1,$A$2:$A$3000,$A375,$T$2:$T$3000,"&lt;"&amp;$T375)+1,""))</f>
        <v/>
      </c>
      <c r="V375" t="str">
        <f t="shared" si="85"/>
        <v>华威西营里农产品交易中心|服务量</v>
      </c>
      <c r="W375">
        <f t="shared" si="86"/>
        <v>221</v>
      </c>
      <c r="X375" t="str">
        <f t="shared" si="87"/>
        <v>华威西营里农产品交易中心|期末剩余租期情况</v>
      </c>
      <c r="Y375">
        <f t="shared" si="88"/>
        <v>354</v>
      </c>
      <c r="Z375">
        <f>IF($A375="",0,IF(AND($M375=1,$A375=经营数据!$B$3,$J375=经营数据!$BA$5,OR($I375=经营数据!$BA$4,COUNTIF(经营数据!$AA$9:$AA$38,$I375)&gt;0)),1,0))</f>
        <v>0</v>
      </c>
      <c r="AA375" t="str">
        <f t="shared" si="89"/>
        <v/>
      </c>
      <c r="AB375" t="str">
        <f t="shared" si="90"/>
        <v/>
      </c>
      <c r="AC375">
        <f>IF($A375="",0,IF(COUNTIF($A$2:$A375,$A375)=1,1,0))</f>
        <v>0</v>
      </c>
      <c r="AD375">
        <f t="shared" si="91"/>
        <v>4</v>
      </c>
      <c r="AE375" t="str">
        <f t="shared" si="92"/>
        <v>华威西营里农产品交易中心|期末剩余租期情况（年）</v>
      </c>
      <c r="BP375" s="47">
        <v>45919</v>
      </c>
      <c r="BQ375" s="29">
        <v>3.6719852287669823E-2</v>
      </c>
    </row>
    <row r="376" spans="1:69" x14ac:dyDescent="0.4">
      <c r="A376" t="str">
        <f>IF(原始经营数据!$D377="","",原始经营数据!$D377)</f>
        <v>易方达华威农贸市场封闭式基础设施证券投资基金</v>
      </c>
      <c r="B376" t="str">
        <f>IF(原始经营数据!$D377="","",T(原始经营数据!$E377))</f>
        <v>华威西营里农产品交易中心</v>
      </c>
      <c r="C376" t="str">
        <f>IF(原始经营数据!$D377="","",原始经营数据!$F377)</f>
        <v>2026Q1</v>
      </c>
      <c r="D376" t="str">
        <f>IF(原始经营数据!$D377="","",原始经营数据!$H377)</f>
        <v>期内租金单价水平</v>
      </c>
      <c r="E376">
        <f>IF(原始经营数据!$D377="","",原始经营数据!$I377)</f>
        <v>127.84</v>
      </c>
      <c r="F376" t="str">
        <f>IF(原始经营数据!$D377="","",T(原始经营数据!$J377))</f>
        <v>元/平方米/月</v>
      </c>
      <c r="G376" t="str">
        <f>IF(原始经营数据!$D377="","",T(原始经营数据!$K377))</f>
        <v/>
      </c>
      <c r="H376" t="str">
        <f>IF(原始经营数据!$D377="","",原始经营数据!$G377)</f>
        <v>服务价格</v>
      </c>
      <c r="I376" t="str">
        <f>IF($A376="","",IF($B376&lt;&gt;"",$B376,IF(COUNTIFS(原始经营数据!$D$3:$D$3001,$A376,原始经营数据!$E$3:$E$3001,"",原始经营数据!$F$3:$F$3001,$C376,原始经营数据!$H$3:$H$3001,$D376,原始经营数据!$K$3:$K$3001,$G376)&gt;1,"基金整体·来源"&amp;原始经营数据!$A377,"基金整体")))</f>
        <v>华威西营里农产品交易中心</v>
      </c>
      <c r="J376" t="str">
        <f t="shared" si="78"/>
        <v>季度</v>
      </c>
      <c r="K376" t="str">
        <f t="shared" si="79"/>
        <v>期内租金单价水平（元/平方米/月）</v>
      </c>
      <c r="L376" t="str">
        <f t="shared" si="80"/>
        <v>华威西营里农产品交易中心|期内租金单价水平（元/平方米/月）|季度</v>
      </c>
      <c r="M376">
        <f>IF($A376="",0,IF(COUNTIF($L$2:$L376,$L376)=1,1,0))</f>
        <v>0</v>
      </c>
      <c r="N376">
        <f t="shared" si="81"/>
        <v>20261</v>
      </c>
      <c r="O376" t="str">
        <f t="shared" si="82"/>
        <v>易方达华威农贸市场封闭式基础设施证券投资基金|2026Q1|季度</v>
      </c>
      <c r="P376">
        <f>IF($A376="",0,IF(COUNTIF($O$2:$O376,$O376)=1,1,0))</f>
        <v>0</v>
      </c>
      <c r="Q376" t="str">
        <f>IF(AND($P376=1,$A376=经营数据!$B$3,$J376=经营数据!$BA$5),COUNTIFS($P$2:$P$3000,1,$A$2:$A$3000,$A376,$J$2:$J$3000,$J376,$N$2:$N$3000,"&lt;"&amp;$N376)+1,"")</f>
        <v/>
      </c>
      <c r="R376" t="str">
        <f t="shared" si="83"/>
        <v>易方达华威农贸市场封闭式基础设施证券投资基金|华威西营里农产品交易中心</v>
      </c>
      <c r="S376">
        <f>IF($A376="",0,IF(COUNTIF($R$2:$R376,$R376)=1,1,0))</f>
        <v>0</v>
      </c>
      <c r="T376">
        <f t="shared" si="84"/>
        <v>204</v>
      </c>
      <c r="U376" t="str">
        <f>IF($A376="","",IF($A376=经营数据!$B$3,COUNTIFS($S$2:$S$3000,1,$A$2:$A$3000,$A376,$T$2:$T$3000,"&lt;"&amp;$T376)+1,""))</f>
        <v/>
      </c>
      <c r="V376" t="str">
        <f t="shared" si="85"/>
        <v>华威西营里农产品交易中心|服务价格</v>
      </c>
      <c r="W376">
        <f t="shared" si="86"/>
        <v>204</v>
      </c>
      <c r="X376" t="str">
        <f t="shared" si="87"/>
        <v>华威西营里农产品交易中心|期内租金单价水平</v>
      </c>
      <c r="Y376">
        <f t="shared" si="88"/>
        <v>353</v>
      </c>
      <c r="Z376">
        <f>IF($A376="",0,IF(AND($M376=1,$A376=经营数据!$B$3,$J376=经营数据!$BA$5,OR($I376=经营数据!$BA$4,COUNTIF(经营数据!$AA$9:$AA$38,$I376)&gt;0)),1,0))</f>
        <v>0</v>
      </c>
      <c r="AA376" t="str">
        <f t="shared" si="89"/>
        <v/>
      </c>
      <c r="AB376" t="str">
        <f t="shared" si="90"/>
        <v/>
      </c>
      <c r="AC376">
        <f>IF($A376="",0,IF(COUNTIF($A$2:$A376,$A376)=1,1,0))</f>
        <v>0</v>
      </c>
      <c r="AD376">
        <f t="shared" si="91"/>
        <v>4</v>
      </c>
      <c r="AE376" t="str">
        <f t="shared" si="92"/>
        <v>华威西营里农产品交易中心|期内租金单价水平（元/平方米/月）</v>
      </c>
      <c r="BP376" s="47">
        <v>45922</v>
      </c>
      <c r="BQ376" s="29">
        <v>3.683195618833638E-2</v>
      </c>
    </row>
    <row r="377" spans="1:69" x14ac:dyDescent="0.4">
      <c r="A377" t="str">
        <f>IF(原始经营数据!$D378="","",原始经营数据!$D378)</f>
        <v>易方达华威农贸市场封闭式基础设施证券投资基金</v>
      </c>
      <c r="B377" t="str">
        <f>IF(原始经营数据!$D378="","",T(原始经营数据!$E378))</f>
        <v>华威西营里农产品交易中心</v>
      </c>
      <c r="C377" t="str">
        <f>IF(原始经营数据!$D378="","",原始经营数据!$F378)</f>
        <v>2026Q1</v>
      </c>
      <c r="D377" t="str">
        <f>IF(原始经营数据!$D378="","",原始经营数据!$H378)</f>
        <v>期末出租率</v>
      </c>
      <c r="E377">
        <f>IF(原始经营数据!$D378="","",原始经营数据!$I378)</f>
        <v>93.78</v>
      </c>
      <c r="F377" t="str">
        <f>IF(原始经营数据!$D378="","",T(原始经营数据!$J378))</f>
        <v>%</v>
      </c>
      <c r="G377" t="str">
        <f>IF(原始经营数据!$D378="","",T(原始经营数据!$K378))</f>
        <v/>
      </c>
      <c r="H377" t="str">
        <f>IF(原始经营数据!$D378="","",原始经营数据!$G378)</f>
        <v>服务效率</v>
      </c>
      <c r="I377" t="str">
        <f>IF($A377="","",IF($B377&lt;&gt;"",$B377,IF(COUNTIFS(原始经营数据!$D$3:$D$3001,$A377,原始经营数据!$E$3:$E$3001,"",原始经营数据!$F$3:$F$3001,$C377,原始经营数据!$H$3:$H$3001,$D377,原始经营数据!$K$3:$K$3001,$G377)&gt;1,"基金整体·来源"&amp;原始经营数据!$A378,"基金整体")))</f>
        <v>华威西营里农产品交易中心</v>
      </c>
      <c r="J377" t="str">
        <f t="shared" si="78"/>
        <v>季度</v>
      </c>
      <c r="K377" t="str">
        <f t="shared" si="79"/>
        <v>期末出租率（%）</v>
      </c>
      <c r="L377" t="str">
        <f t="shared" si="80"/>
        <v>华威西营里农产品交易中心|期末出租率（%）|季度</v>
      </c>
      <c r="M377">
        <f>IF($A377="",0,IF(COUNTIF($L$2:$L377,$L377)=1,1,0))</f>
        <v>0</v>
      </c>
      <c r="N377">
        <f t="shared" si="81"/>
        <v>20261</v>
      </c>
      <c r="O377" t="str">
        <f t="shared" si="82"/>
        <v>易方达华威农贸市场封闭式基础设施证券投资基金|2026Q1|季度</v>
      </c>
      <c r="P377">
        <f>IF($A377="",0,IF(COUNTIF($O$2:$O377,$O377)=1,1,0))</f>
        <v>0</v>
      </c>
      <c r="Q377" t="str">
        <f>IF(AND($P377=1,$A377=经营数据!$B$3,$J377=经营数据!$BA$5),COUNTIFS($P$2:$P$3000,1,$A$2:$A$3000,$A377,$J$2:$J$3000,$J377,$N$2:$N$3000,"&lt;"&amp;$N377)+1,"")</f>
        <v/>
      </c>
      <c r="R377" t="str">
        <f t="shared" si="83"/>
        <v>易方达华威农贸市场封闭式基础设施证券投资基金|华威西营里农产品交易中心</v>
      </c>
      <c r="S377">
        <f>IF($A377="",0,IF(COUNTIF($R$2:$R377,$R377)=1,1,0))</f>
        <v>0</v>
      </c>
      <c r="T377">
        <f t="shared" si="84"/>
        <v>204</v>
      </c>
      <c r="U377" t="str">
        <f>IF($A377="","",IF($A377=经营数据!$B$3,COUNTIFS($S$2:$S$3000,1,$A$2:$A$3000,$A377,$T$2:$T$3000,"&lt;"&amp;$T377)+1,""))</f>
        <v/>
      </c>
      <c r="V377" t="str">
        <f t="shared" si="85"/>
        <v>华威西营里农产品交易中心|服务效率</v>
      </c>
      <c r="W377">
        <f t="shared" si="86"/>
        <v>205</v>
      </c>
      <c r="X377" t="str">
        <f t="shared" si="87"/>
        <v>华威西营里农产品交易中心|期末出租率</v>
      </c>
      <c r="Y377">
        <f t="shared" si="88"/>
        <v>350</v>
      </c>
      <c r="Z377">
        <f>IF($A377="",0,IF(AND($M377=1,$A377=经营数据!$B$3,$J377=经营数据!$BA$5,OR($I377=经营数据!$BA$4,COUNTIF(经营数据!$AA$9:$AA$38,$I377)&gt;0)),1,0))</f>
        <v>0</v>
      </c>
      <c r="AA377" t="str">
        <f t="shared" si="89"/>
        <v/>
      </c>
      <c r="AB377" t="str">
        <f t="shared" si="90"/>
        <v/>
      </c>
      <c r="AC377">
        <f>IF($A377="",0,IF(COUNTIF($A$2:$A377,$A377)=1,1,0))</f>
        <v>0</v>
      </c>
      <c r="AD377">
        <f t="shared" si="91"/>
        <v>4</v>
      </c>
      <c r="AE377" t="str">
        <f t="shared" si="92"/>
        <v>华威西营里农产品交易中心|期末出租率（%）</v>
      </c>
      <c r="BP377" s="47">
        <v>45923</v>
      </c>
      <c r="BQ377" s="29">
        <v>3.6874051825142473E-2</v>
      </c>
    </row>
    <row r="378" spans="1:69" x14ac:dyDescent="0.4">
      <c r="A378" t="str">
        <f>IF(原始经营数据!$D379="","",原始经营数据!$D379)</f>
        <v>易方达华威农贸市场封闭式基础设施证券投资基金</v>
      </c>
      <c r="B378" t="str">
        <f>IF(原始经营数据!$D379="","",T(原始经营数据!$E379))</f>
        <v>华威西营里农产品交易中心</v>
      </c>
      <c r="C378" t="str">
        <f>IF(原始经营数据!$D379="","",原始经营数据!$F379)</f>
        <v>2026Q1</v>
      </c>
      <c r="D378" t="str">
        <f>IF(原始经营数据!$D379="","",原始经营数据!$H379)</f>
        <v>期末实际出租面积</v>
      </c>
      <c r="E378">
        <f>IF(原始经营数据!$D379="","",原始经营数据!$I379)</f>
        <v>71570.179999999993</v>
      </c>
      <c r="F378" t="str">
        <f>IF(原始经营数据!$D379="","",T(原始经营数据!$J379))</f>
        <v>平方米</v>
      </c>
      <c r="G378" t="str">
        <f>IF(原始经营数据!$D379="","",T(原始经营数据!$K379))</f>
        <v/>
      </c>
      <c r="H378" t="str">
        <f>IF(原始经营数据!$D379="","",原始经营数据!$G379)</f>
        <v>服务量</v>
      </c>
      <c r="I378" t="str">
        <f>IF($A378="","",IF($B378&lt;&gt;"",$B378,IF(COUNTIFS(原始经营数据!$D$3:$D$3001,$A378,原始经营数据!$E$3:$E$3001,"",原始经营数据!$F$3:$F$3001,$C378,原始经营数据!$H$3:$H$3001,$D378,原始经营数据!$K$3:$K$3001,$G378)&gt;1,"基金整体·来源"&amp;原始经营数据!$A379,"基金整体")))</f>
        <v>华威西营里农产品交易中心</v>
      </c>
      <c r="J378" t="str">
        <f t="shared" si="78"/>
        <v>季度</v>
      </c>
      <c r="K378" t="str">
        <f t="shared" si="79"/>
        <v>期末实际出租面积（平方米）</v>
      </c>
      <c r="L378" t="str">
        <f t="shared" si="80"/>
        <v>华威西营里农产品交易中心|期末实际出租面积（平方米）|季度</v>
      </c>
      <c r="M378">
        <f>IF($A378="",0,IF(COUNTIF($L$2:$L378,$L378)=1,1,0))</f>
        <v>0</v>
      </c>
      <c r="N378">
        <f t="shared" si="81"/>
        <v>20261</v>
      </c>
      <c r="O378" t="str">
        <f t="shared" si="82"/>
        <v>易方达华威农贸市场封闭式基础设施证券投资基金|2026Q1|季度</v>
      </c>
      <c r="P378">
        <f>IF($A378="",0,IF(COUNTIF($O$2:$O378,$O378)=1,1,0))</f>
        <v>0</v>
      </c>
      <c r="Q378" t="str">
        <f>IF(AND($P378=1,$A378=经营数据!$B$3,$J378=经营数据!$BA$5),COUNTIFS($P$2:$P$3000,1,$A$2:$A$3000,$A378,$J$2:$J$3000,$J378,$N$2:$N$3000,"&lt;"&amp;$N378)+1,"")</f>
        <v/>
      </c>
      <c r="R378" t="str">
        <f t="shared" si="83"/>
        <v>易方达华威农贸市场封闭式基础设施证券投资基金|华威西营里农产品交易中心</v>
      </c>
      <c r="S378">
        <f>IF($A378="",0,IF(COUNTIF($R$2:$R378,$R378)=1,1,0))</f>
        <v>0</v>
      </c>
      <c r="T378">
        <f t="shared" si="84"/>
        <v>204</v>
      </c>
      <c r="U378" t="str">
        <f>IF($A378="","",IF($A378=经营数据!$B$3,COUNTIFS($S$2:$S$3000,1,$A$2:$A$3000,$A378,$T$2:$T$3000,"&lt;"&amp;$T378)+1,""))</f>
        <v/>
      </c>
      <c r="V378" t="str">
        <f t="shared" si="85"/>
        <v>华威西营里农产品交易中心|服务量</v>
      </c>
      <c r="W378">
        <f t="shared" si="86"/>
        <v>221</v>
      </c>
      <c r="X378" t="str">
        <f t="shared" si="87"/>
        <v>华威西营里农产品交易中心|期末实际出租面积</v>
      </c>
      <c r="Y378">
        <f t="shared" si="88"/>
        <v>351</v>
      </c>
      <c r="Z378">
        <f>IF($A378="",0,IF(AND($M378=1,$A378=经营数据!$B$3,$J378=经营数据!$BA$5,OR($I378=经营数据!$BA$4,COUNTIF(经营数据!$AA$9:$AA$38,$I378)&gt;0)),1,0))</f>
        <v>0</v>
      </c>
      <c r="AA378" t="str">
        <f t="shared" si="89"/>
        <v/>
      </c>
      <c r="AB378" t="str">
        <f t="shared" si="90"/>
        <v/>
      </c>
      <c r="AC378">
        <f>IF($A378="",0,IF(COUNTIF($A$2:$A378,$A378)=1,1,0))</f>
        <v>0</v>
      </c>
      <c r="AD378">
        <f t="shared" si="91"/>
        <v>4</v>
      </c>
      <c r="AE378" t="str">
        <f t="shared" si="92"/>
        <v>华威西营里农产品交易中心|期末实际出租面积（平方米）</v>
      </c>
      <c r="BP378" s="47">
        <v>45924</v>
      </c>
      <c r="BQ378" s="29">
        <v>3.6917879594735838E-2</v>
      </c>
    </row>
    <row r="379" spans="1:69" x14ac:dyDescent="0.4">
      <c r="A379" t="str">
        <f>IF(原始经营数据!$D380="","",原始经营数据!$D380)</f>
        <v>易方达华威农贸市场封闭式基础设施证券投资基金</v>
      </c>
      <c r="B379" t="str">
        <f>IF(原始经营数据!$D380="","",T(原始经营数据!$E380))</f>
        <v>华威西营里农产品交易中心</v>
      </c>
      <c r="C379" t="str">
        <f>IF(原始经营数据!$D380="","",原始经营数据!$F380)</f>
        <v>2026Q1</v>
      </c>
      <c r="D379" t="str">
        <f>IF(原始经营数据!$D380="","",原始经营数据!$H380)</f>
        <v>期末可供出租面积</v>
      </c>
      <c r="E379">
        <f>IF(原始经营数据!$D380="","",原始经营数据!$I380)</f>
        <v>76314.34</v>
      </c>
      <c r="F379" t="str">
        <f>IF(原始经营数据!$D380="","",T(原始经营数据!$J380))</f>
        <v>平方米</v>
      </c>
      <c r="G379" t="str">
        <f>IF(原始经营数据!$D380="","",T(原始经营数据!$K380))</f>
        <v/>
      </c>
      <c r="H379" t="str">
        <f>IF(原始经营数据!$D380="","",原始经营数据!$G380)</f>
        <v>服务量</v>
      </c>
      <c r="I379" t="str">
        <f>IF($A379="","",IF($B379&lt;&gt;"",$B379,IF(COUNTIFS(原始经营数据!$D$3:$D$3001,$A379,原始经营数据!$E$3:$E$3001,"",原始经营数据!$F$3:$F$3001,$C379,原始经营数据!$H$3:$H$3001,$D379,原始经营数据!$K$3:$K$3001,$G379)&gt;1,"基金整体·来源"&amp;原始经营数据!$A380,"基金整体")))</f>
        <v>华威西营里农产品交易中心</v>
      </c>
      <c r="J379" t="str">
        <f t="shared" si="78"/>
        <v>季度</v>
      </c>
      <c r="K379" t="str">
        <f t="shared" si="79"/>
        <v>期末可供出租面积（平方米）</v>
      </c>
      <c r="L379" t="str">
        <f t="shared" si="80"/>
        <v>华威西营里农产品交易中心|期末可供出租面积（平方米）|季度</v>
      </c>
      <c r="M379">
        <f>IF($A379="",0,IF(COUNTIF($L$2:$L379,$L379)=1,1,0))</f>
        <v>0</v>
      </c>
      <c r="N379">
        <f t="shared" si="81"/>
        <v>20261</v>
      </c>
      <c r="O379" t="str">
        <f t="shared" si="82"/>
        <v>易方达华威农贸市场封闭式基础设施证券投资基金|2026Q1|季度</v>
      </c>
      <c r="P379">
        <f>IF($A379="",0,IF(COUNTIF($O$2:$O379,$O379)=1,1,0))</f>
        <v>0</v>
      </c>
      <c r="Q379" t="str">
        <f>IF(AND($P379=1,$A379=经营数据!$B$3,$J379=经营数据!$BA$5),COUNTIFS($P$2:$P$3000,1,$A$2:$A$3000,$A379,$J$2:$J$3000,$J379,$N$2:$N$3000,"&lt;"&amp;$N379)+1,"")</f>
        <v/>
      </c>
      <c r="R379" t="str">
        <f t="shared" si="83"/>
        <v>易方达华威农贸市场封闭式基础设施证券投资基金|华威西营里农产品交易中心</v>
      </c>
      <c r="S379">
        <f>IF($A379="",0,IF(COUNTIF($R$2:$R379,$R379)=1,1,0))</f>
        <v>0</v>
      </c>
      <c r="T379">
        <f t="shared" si="84"/>
        <v>204</v>
      </c>
      <c r="U379" t="str">
        <f>IF($A379="","",IF($A379=经营数据!$B$3,COUNTIFS($S$2:$S$3000,1,$A$2:$A$3000,$A379,$T$2:$T$3000,"&lt;"&amp;$T379)+1,""))</f>
        <v/>
      </c>
      <c r="V379" t="str">
        <f t="shared" si="85"/>
        <v>华威西营里农产品交易中心|服务量</v>
      </c>
      <c r="W379">
        <f t="shared" si="86"/>
        <v>221</v>
      </c>
      <c r="X379" t="str">
        <f t="shared" si="87"/>
        <v>华威西营里农产品交易中心|期末可供出租面积</v>
      </c>
      <c r="Y379">
        <f t="shared" si="88"/>
        <v>352</v>
      </c>
      <c r="Z379">
        <f>IF($A379="",0,IF(AND($M379=1,$A379=经营数据!$B$3,$J379=经营数据!$BA$5,OR($I379=经营数据!$BA$4,COUNTIF(经营数据!$AA$9:$AA$38,$I379)&gt;0)),1,0))</f>
        <v>0</v>
      </c>
      <c r="AA379" t="str">
        <f t="shared" si="89"/>
        <v/>
      </c>
      <c r="AB379" t="str">
        <f t="shared" si="90"/>
        <v/>
      </c>
      <c r="AC379">
        <f>IF($A379="",0,IF(COUNTIF($A$2:$A379,$A379)=1,1,0))</f>
        <v>0</v>
      </c>
      <c r="AD379">
        <f t="shared" si="91"/>
        <v>4</v>
      </c>
      <c r="AE379" t="str">
        <f t="shared" si="92"/>
        <v>华威西营里农产品交易中心|期末可供出租面积（平方米）</v>
      </c>
      <c r="BP379" s="47">
        <v>45925</v>
      </c>
      <c r="BQ379" s="29">
        <v>3.714151225386203E-2</v>
      </c>
    </row>
    <row r="380" spans="1:69" x14ac:dyDescent="0.4">
      <c r="A380" t="str">
        <f>IF(原始经营数据!$D381="","",原始经营数据!$D381)</f>
        <v>易方达华威农贸市场封闭式基础设施证券投资基金</v>
      </c>
      <c r="B380" t="str">
        <f>IF(原始经营数据!$D381="","",T(原始经营数据!$E381))</f>
        <v>华威西营里农产品交易中心</v>
      </c>
      <c r="C380" t="str">
        <f>IF(原始经营数据!$D381="","",原始经营数据!$F381)</f>
        <v>2026Q2</v>
      </c>
      <c r="D380" t="str">
        <f>IF(原始经营数据!$D381="","",原始经营数据!$H381)</f>
        <v>期末可供出租面积</v>
      </c>
      <c r="E380">
        <f>IF(原始经营数据!$D381="","",原始经营数据!$I381)</f>
        <v>76622.34</v>
      </c>
      <c r="F380" t="str">
        <f>IF(原始经营数据!$D381="","",T(原始经营数据!$J381))</f>
        <v>平方米</v>
      </c>
      <c r="G380" t="str">
        <f>IF(原始经营数据!$D381="","",T(原始经营数据!$K381))</f>
        <v/>
      </c>
      <c r="H380" t="str">
        <f>IF(原始经营数据!$D381="","",原始经营数据!$G381)</f>
        <v>服务量</v>
      </c>
      <c r="I380" t="str">
        <f>IF($A380="","",IF($B380&lt;&gt;"",$B380,IF(COUNTIFS(原始经营数据!$D$3:$D$3001,$A380,原始经营数据!$E$3:$E$3001,"",原始经营数据!$F$3:$F$3001,$C380,原始经营数据!$H$3:$H$3001,$D380,原始经营数据!$K$3:$K$3001,$G380)&gt;1,"基金整体·来源"&amp;原始经营数据!$A381,"基金整体")))</f>
        <v>华威西营里农产品交易中心</v>
      </c>
      <c r="J380" t="str">
        <f t="shared" si="78"/>
        <v>季度</v>
      </c>
      <c r="K380" t="str">
        <f t="shared" si="79"/>
        <v>期末可供出租面积（平方米）</v>
      </c>
      <c r="L380" t="str">
        <f t="shared" si="80"/>
        <v>华威西营里农产品交易中心|期末可供出租面积（平方米）|季度</v>
      </c>
      <c r="M380">
        <f>IF($A380="",0,IF(COUNTIF($L$2:$L380,$L380)=1,1,0))</f>
        <v>0</v>
      </c>
      <c r="N380">
        <f t="shared" si="81"/>
        <v>20262</v>
      </c>
      <c r="O380" t="str">
        <f t="shared" si="82"/>
        <v>易方达华威农贸市场封闭式基础设施证券投资基金|2026Q2|季度</v>
      </c>
      <c r="P380">
        <f>IF($A380="",0,IF(COUNTIF($O$2:$O380,$O380)=1,1,0))</f>
        <v>1</v>
      </c>
      <c r="Q380" t="str">
        <f>IF(AND($P380=1,$A380=经营数据!$B$3,$J380=经营数据!$BA$5),COUNTIFS($P$2:$P$3000,1,$A$2:$A$3000,$A380,$J$2:$J$3000,$J380,$N$2:$N$3000,"&lt;"&amp;$N380)+1,"")</f>
        <v/>
      </c>
      <c r="R380" t="str">
        <f t="shared" si="83"/>
        <v>易方达华威农贸市场封闭式基础设施证券投资基金|华威西营里农产品交易中心</v>
      </c>
      <c r="S380">
        <f>IF($A380="",0,IF(COUNTIF($R$2:$R380,$R380)=1,1,0))</f>
        <v>0</v>
      </c>
      <c r="T380">
        <f t="shared" si="84"/>
        <v>204</v>
      </c>
      <c r="U380" t="str">
        <f>IF($A380="","",IF($A380=经营数据!$B$3,COUNTIFS($S$2:$S$3000,1,$A$2:$A$3000,$A380,$T$2:$T$3000,"&lt;"&amp;$T380)+1,""))</f>
        <v/>
      </c>
      <c r="V380" t="str">
        <f t="shared" si="85"/>
        <v>华威西营里农产品交易中心|服务量</v>
      </c>
      <c r="W380">
        <f t="shared" si="86"/>
        <v>221</v>
      </c>
      <c r="X380" t="str">
        <f t="shared" si="87"/>
        <v>华威西营里农产品交易中心|期末可供出租面积</v>
      </c>
      <c r="Y380">
        <f t="shared" si="88"/>
        <v>352</v>
      </c>
      <c r="Z380">
        <f>IF($A380="",0,IF(AND($M380=1,$A380=经营数据!$B$3,$J380=经营数据!$BA$5,OR($I380=经营数据!$BA$4,COUNTIF(经营数据!$AA$9:$AA$38,$I380)&gt;0)),1,0))</f>
        <v>0</v>
      </c>
      <c r="AA380" t="str">
        <f t="shared" si="89"/>
        <v/>
      </c>
      <c r="AB380" t="str">
        <f t="shared" si="90"/>
        <v/>
      </c>
      <c r="AC380">
        <f>IF($A380="",0,IF(COUNTIF($A$2:$A380,$A380)=1,1,0))</f>
        <v>0</v>
      </c>
      <c r="AD380">
        <f t="shared" si="91"/>
        <v>4</v>
      </c>
      <c r="AE380" t="str">
        <f t="shared" si="92"/>
        <v>华威西营里农产品交易中心|期末可供出租面积（平方米）</v>
      </c>
      <c r="BP380" s="47">
        <v>45926</v>
      </c>
      <c r="BQ380" s="29">
        <v>3.7205319394673322E-2</v>
      </c>
    </row>
    <row r="381" spans="1:69" x14ac:dyDescent="0.4">
      <c r="A381" t="str">
        <f>IF(原始经营数据!$D382="","",原始经营数据!$D382)</f>
        <v>易方达华威农贸市场封闭式基础设施证券投资基金</v>
      </c>
      <c r="B381" t="str">
        <f>IF(原始经营数据!$D382="","",T(原始经营数据!$E382))</f>
        <v>华威西营里农产品交易中心</v>
      </c>
      <c r="C381" t="str">
        <f>IF(原始经营数据!$D382="","",原始经营数据!$F382)</f>
        <v>2026Q2</v>
      </c>
      <c r="D381" t="str">
        <f>IF(原始经营数据!$D382="","",原始经营数据!$H382)</f>
        <v>期末实际出租面积</v>
      </c>
      <c r="E381">
        <f>IF(原始经营数据!$D382="","",原始经营数据!$I382)</f>
        <v>71526.83</v>
      </c>
      <c r="F381" t="str">
        <f>IF(原始经营数据!$D382="","",T(原始经营数据!$J382))</f>
        <v>平方米</v>
      </c>
      <c r="G381" t="str">
        <f>IF(原始经营数据!$D382="","",T(原始经营数据!$K382))</f>
        <v/>
      </c>
      <c r="H381" t="str">
        <f>IF(原始经营数据!$D382="","",原始经营数据!$G382)</f>
        <v>服务量</v>
      </c>
      <c r="I381" t="str">
        <f>IF($A381="","",IF($B381&lt;&gt;"",$B381,IF(COUNTIFS(原始经营数据!$D$3:$D$3001,$A381,原始经营数据!$E$3:$E$3001,"",原始经营数据!$F$3:$F$3001,$C381,原始经营数据!$H$3:$H$3001,$D381,原始经营数据!$K$3:$K$3001,$G381)&gt;1,"基金整体·来源"&amp;原始经营数据!$A382,"基金整体")))</f>
        <v>华威西营里农产品交易中心</v>
      </c>
      <c r="J381" t="str">
        <f t="shared" si="78"/>
        <v>季度</v>
      </c>
      <c r="K381" t="str">
        <f t="shared" si="79"/>
        <v>期末实际出租面积（平方米）</v>
      </c>
      <c r="L381" t="str">
        <f t="shared" si="80"/>
        <v>华威西营里农产品交易中心|期末实际出租面积（平方米）|季度</v>
      </c>
      <c r="M381">
        <f>IF($A381="",0,IF(COUNTIF($L$2:$L381,$L381)=1,1,0))</f>
        <v>0</v>
      </c>
      <c r="N381">
        <f t="shared" si="81"/>
        <v>20262</v>
      </c>
      <c r="O381" t="str">
        <f t="shared" si="82"/>
        <v>易方达华威农贸市场封闭式基础设施证券投资基金|2026Q2|季度</v>
      </c>
      <c r="P381">
        <f>IF($A381="",0,IF(COUNTIF($O$2:$O381,$O381)=1,1,0))</f>
        <v>0</v>
      </c>
      <c r="Q381" t="str">
        <f>IF(AND($P381=1,$A381=经营数据!$B$3,$J381=经营数据!$BA$5),COUNTIFS($P$2:$P$3000,1,$A$2:$A$3000,$A381,$J$2:$J$3000,$J381,$N$2:$N$3000,"&lt;"&amp;$N381)+1,"")</f>
        <v/>
      </c>
      <c r="R381" t="str">
        <f t="shared" si="83"/>
        <v>易方达华威农贸市场封闭式基础设施证券投资基金|华威西营里农产品交易中心</v>
      </c>
      <c r="S381">
        <f>IF($A381="",0,IF(COUNTIF($R$2:$R381,$R381)=1,1,0))</f>
        <v>0</v>
      </c>
      <c r="T381">
        <f t="shared" si="84"/>
        <v>204</v>
      </c>
      <c r="U381" t="str">
        <f>IF($A381="","",IF($A381=经营数据!$B$3,COUNTIFS($S$2:$S$3000,1,$A$2:$A$3000,$A381,$T$2:$T$3000,"&lt;"&amp;$T381)+1,""))</f>
        <v/>
      </c>
      <c r="V381" t="str">
        <f t="shared" si="85"/>
        <v>华威西营里农产品交易中心|服务量</v>
      </c>
      <c r="W381">
        <f t="shared" si="86"/>
        <v>221</v>
      </c>
      <c r="X381" t="str">
        <f t="shared" si="87"/>
        <v>华威西营里农产品交易中心|期末实际出租面积</v>
      </c>
      <c r="Y381">
        <f t="shared" si="88"/>
        <v>351</v>
      </c>
      <c r="Z381">
        <f>IF($A381="",0,IF(AND($M381=1,$A381=经营数据!$B$3,$J381=经营数据!$BA$5,OR($I381=经营数据!$BA$4,COUNTIF(经营数据!$AA$9:$AA$38,$I381)&gt;0)),1,0))</f>
        <v>0</v>
      </c>
      <c r="AA381" t="str">
        <f t="shared" si="89"/>
        <v/>
      </c>
      <c r="AB381" t="str">
        <f t="shared" si="90"/>
        <v/>
      </c>
      <c r="AC381">
        <f>IF($A381="",0,IF(COUNTIF($A$2:$A381,$A381)=1,1,0))</f>
        <v>0</v>
      </c>
      <c r="AD381">
        <f t="shared" si="91"/>
        <v>4</v>
      </c>
      <c r="AE381" t="str">
        <f t="shared" si="92"/>
        <v>华威西营里农产品交易中心|期末实际出租面积（平方米）</v>
      </c>
      <c r="BP381" s="47">
        <v>45929</v>
      </c>
      <c r="BQ381" s="29">
        <v>3.7427881092548729E-2</v>
      </c>
    </row>
    <row r="382" spans="1:69" x14ac:dyDescent="0.4">
      <c r="A382" t="str">
        <f>IF(原始经营数据!$D383="","",原始经营数据!$D383)</f>
        <v>易方达华威农贸市场封闭式基础设施证券投资基金</v>
      </c>
      <c r="B382" t="str">
        <f>IF(原始经营数据!$D383="","",T(原始经营数据!$E383))</f>
        <v>华威西营里农产品交易中心</v>
      </c>
      <c r="C382" t="str">
        <f>IF(原始经营数据!$D383="","",原始经营数据!$F383)</f>
        <v>2026Q2</v>
      </c>
      <c r="D382" t="str">
        <f>IF(原始经营数据!$D383="","",原始经营数据!$H383)</f>
        <v>期末出租率</v>
      </c>
      <c r="E382">
        <f>IF(原始经营数据!$D383="","",原始经营数据!$I383)</f>
        <v>93.35</v>
      </c>
      <c r="F382" t="str">
        <f>IF(原始经营数据!$D383="","",T(原始经营数据!$J383))</f>
        <v>%</v>
      </c>
      <c r="G382" t="str">
        <f>IF(原始经营数据!$D383="","",T(原始经营数据!$K383))</f>
        <v/>
      </c>
      <c r="H382" t="str">
        <f>IF(原始经营数据!$D383="","",原始经营数据!$G383)</f>
        <v>服务效率</v>
      </c>
      <c r="I382" t="str">
        <f>IF($A382="","",IF($B382&lt;&gt;"",$B382,IF(COUNTIFS(原始经营数据!$D$3:$D$3001,$A382,原始经营数据!$E$3:$E$3001,"",原始经营数据!$F$3:$F$3001,$C382,原始经营数据!$H$3:$H$3001,$D382,原始经营数据!$K$3:$K$3001,$G382)&gt;1,"基金整体·来源"&amp;原始经营数据!$A383,"基金整体")))</f>
        <v>华威西营里农产品交易中心</v>
      </c>
      <c r="J382" t="str">
        <f t="shared" si="78"/>
        <v>季度</v>
      </c>
      <c r="K382" t="str">
        <f t="shared" si="79"/>
        <v>期末出租率（%）</v>
      </c>
      <c r="L382" t="str">
        <f t="shared" si="80"/>
        <v>华威西营里农产品交易中心|期末出租率（%）|季度</v>
      </c>
      <c r="M382">
        <f>IF($A382="",0,IF(COUNTIF($L$2:$L382,$L382)=1,1,0))</f>
        <v>0</v>
      </c>
      <c r="N382">
        <f t="shared" si="81"/>
        <v>20262</v>
      </c>
      <c r="O382" t="str">
        <f t="shared" si="82"/>
        <v>易方达华威农贸市场封闭式基础设施证券投资基金|2026Q2|季度</v>
      </c>
      <c r="P382">
        <f>IF($A382="",0,IF(COUNTIF($O$2:$O382,$O382)=1,1,0))</f>
        <v>0</v>
      </c>
      <c r="Q382" t="str">
        <f>IF(AND($P382=1,$A382=经营数据!$B$3,$J382=经营数据!$BA$5),COUNTIFS($P$2:$P$3000,1,$A$2:$A$3000,$A382,$J$2:$J$3000,$J382,$N$2:$N$3000,"&lt;"&amp;$N382)+1,"")</f>
        <v/>
      </c>
      <c r="R382" t="str">
        <f t="shared" si="83"/>
        <v>易方达华威农贸市场封闭式基础设施证券投资基金|华威西营里农产品交易中心</v>
      </c>
      <c r="S382">
        <f>IF($A382="",0,IF(COUNTIF($R$2:$R382,$R382)=1,1,0))</f>
        <v>0</v>
      </c>
      <c r="T382">
        <f t="shared" si="84"/>
        <v>204</v>
      </c>
      <c r="U382" t="str">
        <f>IF($A382="","",IF($A382=经营数据!$B$3,COUNTIFS($S$2:$S$3000,1,$A$2:$A$3000,$A382,$T$2:$T$3000,"&lt;"&amp;$T382)+1,""))</f>
        <v/>
      </c>
      <c r="V382" t="str">
        <f t="shared" si="85"/>
        <v>华威西营里农产品交易中心|服务效率</v>
      </c>
      <c r="W382">
        <f t="shared" si="86"/>
        <v>205</v>
      </c>
      <c r="X382" t="str">
        <f t="shared" si="87"/>
        <v>华威西营里农产品交易中心|期末出租率</v>
      </c>
      <c r="Y382">
        <f t="shared" si="88"/>
        <v>350</v>
      </c>
      <c r="Z382">
        <f>IF($A382="",0,IF(AND($M382=1,$A382=经营数据!$B$3,$J382=经营数据!$BA$5,OR($I382=经营数据!$BA$4,COUNTIF(经营数据!$AA$9:$AA$38,$I382)&gt;0)),1,0))</f>
        <v>0</v>
      </c>
      <c r="AA382" t="str">
        <f t="shared" si="89"/>
        <v/>
      </c>
      <c r="AB382" t="str">
        <f t="shared" si="90"/>
        <v/>
      </c>
      <c r="AC382">
        <f>IF($A382="",0,IF(COUNTIF($A$2:$A382,$A382)=1,1,0))</f>
        <v>0</v>
      </c>
      <c r="AD382">
        <f t="shared" si="91"/>
        <v>4</v>
      </c>
      <c r="AE382" t="str">
        <f t="shared" si="92"/>
        <v>华威西营里农产品交易中心|期末出租率（%）</v>
      </c>
      <c r="BP382" s="47">
        <v>45930</v>
      </c>
      <c r="BQ382" s="29">
        <v>3.7504723299674768E-2</v>
      </c>
    </row>
    <row r="383" spans="1:69" x14ac:dyDescent="0.4">
      <c r="A383" t="str">
        <f>IF(原始经营数据!$D384="","",原始经营数据!$D384)</f>
        <v>易方达华威农贸市场封闭式基础设施证券投资基金</v>
      </c>
      <c r="B383" t="str">
        <f>IF(原始经营数据!$D384="","",T(原始经营数据!$E384))</f>
        <v>华威西营里农产品交易中心</v>
      </c>
      <c r="C383" t="str">
        <f>IF(原始经营数据!$D384="","",原始经营数据!$F384)</f>
        <v>2026Q2</v>
      </c>
      <c r="D383" t="str">
        <f>IF(原始经营数据!$D384="","",原始经营数据!$H384)</f>
        <v>期内租金单价水平</v>
      </c>
      <c r="E383">
        <f>IF(原始经营数据!$D384="","",原始经营数据!$I384)</f>
        <v>127.75</v>
      </c>
      <c r="F383" t="str">
        <f>IF(原始经营数据!$D384="","",T(原始经营数据!$J384))</f>
        <v>元/平方米/月</v>
      </c>
      <c r="G383" t="str">
        <f>IF(原始经营数据!$D384="","",T(原始经营数据!$K384))</f>
        <v/>
      </c>
      <c r="H383" t="str">
        <f>IF(原始经营数据!$D384="","",原始经营数据!$G384)</f>
        <v>服务价格</v>
      </c>
      <c r="I383" t="str">
        <f>IF($A383="","",IF($B383&lt;&gt;"",$B383,IF(COUNTIFS(原始经营数据!$D$3:$D$3001,$A383,原始经营数据!$E$3:$E$3001,"",原始经营数据!$F$3:$F$3001,$C383,原始经营数据!$H$3:$H$3001,$D383,原始经营数据!$K$3:$K$3001,$G383)&gt;1,"基金整体·来源"&amp;原始经营数据!$A384,"基金整体")))</f>
        <v>华威西营里农产品交易中心</v>
      </c>
      <c r="J383" t="str">
        <f t="shared" si="78"/>
        <v>季度</v>
      </c>
      <c r="K383" t="str">
        <f t="shared" si="79"/>
        <v>期内租金单价水平（元/平方米/月）</v>
      </c>
      <c r="L383" t="str">
        <f t="shared" si="80"/>
        <v>华威西营里农产品交易中心|期内租金单价水平（元/平方米/月）|季度</v>
      </c>
      <c r="M383">
        <f>IF($A383="",0,IF(COUNTIF($L$2:$L383,$L383)=1,1,0))</f>
        <v>0</v>
      </c>
      <c r="N383">
        <f t="shared" si="81"/>
        <v>20262</v>
      </c>
      <c r="O383" t="str">
        <f t="shared" si="82"/>
        <v>易方达华威农贸市场封闭式基础设施证券投资基金|2026Q2|季度</v>
      </c>
      <c r="P383">
        <f>IF($A383="",0,IF(COUNTIF($O$2:$O383,$O383)=1,1,0))</f>
        <v>0</v>
      </c>
      <c r="Q383" t="str">
        <f>IF(AND($P383=1,$A383=经营数据!$B$3,$J383=经营数据!$BA$5),COUNTIFS($P$2:$P$3000,1,$A$2:$A$3000,$A383,$J$2:$J$3000,$J383,$N$2:$N$3000,"&lt;"&amp;$N383)+1,"")</f>
        <v/>
      </c>
      <c r="R383" t="str">
        <f t="shared" si="83"/>
        <v>易方达华威农贸市场封闭式基础设施证券投资基金|华威西营里农产品交易中心</v>
      </c>
      <c r="S383">
        <f>IF($A383="",0,IF(COUNTIF($R$2:$R383,$R383)=1,1,0))</f>
        <v>0</v>
      </c>
      <c r="T383">
        <f t="shared" si="84"/>
        <v>204</v>
      </c>
      <c r="U383" t="str">
        <f>IF($A383="","",IF($A383=经营数据!$B$3,COUNTIFS($S$2:$S$3000,1,$A$2:$A$3000,$A383,$T$2:$T$3000,"&lt;"&amp;$T383)+1,""))</f>
        <v/>
      </c>
      <c r="V383" t="str">
        <f t="shared" si="85"/>
        <v>华威西营里农产品交易中心|服务价格</v>
      </c>
      <c r="W383">
        <f t="shared" si="86"/>
        <v>204</v>
      </c>
      <c r="X383" t="str">
        <f t="shared" si="87"/>
        <v>华威西营里农产品交易中心|期内租金单价水平</v>
      </c>
      <c r="Y383">
        <f t="shared" si="88"/>
        <v>353</v>
      </c>
      <c r="Z383">
        <f>IF($A383="",0,IF(AND($M383=1,$A383=经营数据!$B$3,$J383=经营数据!$BA$5,OR($I383=经营数据!$BA$4,COUNTIF(经营数据!$AA$9:$AA$38,$I383)&gt;0)),1,0))</f>
        <v>0</v>
      </c>
      <c r="AA383" t="str">
        <f t="shared" si="89"/>
        <v/>
      </c>
      <c r="AB383" t="str">
        <f t="shared" si="90"/>
        <v/>
      </c>
      <c r="AC383">
        <f>IF($A383="",0,IF(COUNTIF($A$2:$A383,$A383)=1,1,0))</f>
        <v>0</v>
      </c>
      <c r="AD383">
        <f t="shared" si="91"/>
        <v>4</v>
      </c>
      <c r="AE383" t="str">
        <f t="shared" si="92"/>
        <v>华威西营里农产品交易中心|期内租金单价水平（元/平方米/月）</v>
      </c>
      <c r="BP383" s="47">
        <v>45939</v>
      </c>
      <c r="BQ383" s="29">
        <v>3.7679057488763448E-2</v>
      </c>
    </row>
    <row r="384" spans="1:69" x14ac:dyDescent="0.4">
      <c r="A384" t="str">
        <f>IF(原始经营数据!$D385="","",原始经营数据!$D385)</f>
        <v>易方达华威农贸市场封闭式基础设施证券投资基金</v>
      </c>
      <c r="B384" t="str">
        <f>IF(原始经营数据!$D385="","",T(原始经营数据!$E385))</f>
        <v>华威西营里农产品交易中心</v>
      </c>
      <c r="C384" t="str">
        <f>IF(原始经营数据!$D385="","",原始经营数据!$F385)</f>
        <v>2026Q2</v>
      </c>
      <c r="D384" t="str">
        <f>IF(原始经营数据!$D385="","",原始经营数据!$H385)</f>
        <v>期末剩余租期情况</v>
      </c>
      <c r="E384">
        <f>IF(原始经营数据!$D385="","",原始经营数据!$I385)</f>
        <v>4.46</v>
      </c>
      <c r="F384" t="str">
        <f>IF(原始经营数据!$D385="","",T(原始经营数据!$J385))</f>
        <v>年</v>
      </c>
      <c r="G384" t="str">
        <f>IF(原始经营数据!$D385="","",T(原始经营数据!$K385))</f>
        <v/>
      </c>
      <c r="H384" t="str">
        <f>IF(原始经营数据!$D385="","",原始经营数据!$G385)</f>
        <v>服务量</v>
      </c>
      <c r="I384" t="str">
        <f>IF($A384="","",IF($B384&lt;&gt;"",$B384,IF(COUNTIFS(原始经营数据!$D$3:$D$3001,$A384,原始经营数据!$E$3:$E$3001,"",原始经营数据!$F$3:$F$3001,$C384,原始经营数据!$H$3:$H$3001,$D384,原始经营数据!$K$3:$K$3001,$G384)&gt;1,"基金整体·来源"&amp;原始经营数据!$A385,"基金整体")))</f>
        <v>华威西营里农产品交易中心</v>
      </c>
      <c r="J384" t="str">
        <f t="shared" si="78"/>
        <v>季度</v>
      </c>
      <c r="K384" t="str">
        <f t="shared" si="79"/>
        <v>期末剩余租期情况（年）</v>
      </c>
      <c r="L384" t="str">
        <f t="shared" si="80"/>
        <v>华威西营里农产品交易中心|期末剩余租期情况（年）|季度</v>
      </c>
      <c r="M384">
        <f>IF($A384="",0,IF(COUNTIF($L$2:$L384,$L384)=1,1,0))</f>
        <v>0</v>
      </c>
      <c r="N384">
        <f t="shared" si="81"/>
        <v>20262</v>
      </c>
      <c r="O384" t="str">
        <f t="shared" si="82"/>
        <v>易方达华威农贸市场封闭式基础设施证券投资基金|2026Q2|季度</v>
      </c>
      <c r="P384">
        <f>IF($A384="",0,IF(COUNTIF($O$2:$O384,$O384)=1,1,0))</f>
        <v>0</v>
      </c>
      <c r="Q384" t="str">
        <f>IF(AND($P384=1,$A384=经营数据!$B$3,$J384=经营数据!$BA$5),COUNTIFS($P$2:$P$3000,1,$A$2:$A$3000,$A384,$J$2:$J$3000,$J384,$N$2:$N$3000,"&lt;"&amp;$N384)+1,"")</f>
        <v/>
      </c>
      <c r="R384" t="str">
        <f t="shared" si="83"/>
        <v>易方达华威农贸市场封闭式基础设施证券投资基金|华威西营里农产品交易中心</v>
      </c>
      <c r="S384">
        <f>IF($A384="",0,IF(COUNTIF($R$2:$R384,$R384)=1,1,0))</f>
        <v>0</v>
      </c>
      <c r="T384">
        <f t="shared" si="84"/>
        <v>204</v>
      </c>
      <c r="U384" t="str">
        <f>IF($A384="","",IF($A384=经营数据!$B$3,COUNTIFS($S$2:$S$3000,1,$A$2:$A$3000,$A384,$T$2:$T$3000,"&lt;"&amp;$T384)+1,""))</f>
        <v/>
      </c>
      <c r="V384" t="str">
        <f t="shared" si="85"/>
        <v>华威西营里农产品交易中心|服务量</v>
      </c>
      <c r="W384">
        <f t="shared" si="86"/>
        <v>221</v>
      </c>
      <c r="X384" t="str">
        <f t="shared" si="87"/>
        <v>华威西营里农产品交易中心|期末剩余租期情况</v>
      </c>
      <c r="Y384">
        <f t="shared" si="88"/>
        <v>354</v>
      </c>
      <c r="Z384">
        <f>IF($A384="",0,IF(AND($M384=1,$A384=经营数据!$B$3,$J384=经营数据!$BA$5,OR($I384=经营数据!$BA$4,COUNTIF(经营数据!$AA$9:$AA$38,$I384)&gt;0)),1,0))</f>
        <v>0</v>
      </c>
      <c r="AA384" t="str">
        <f t="shared" si="89"/>
        <v/>
      </c>
      <c r="AB384" t="str">
        <f t="shared" si="90"/>
        <v/>
      </c>
      <c r="AC384">
        <f>IF($A384="",0,IF(COUNTIF($A$2:$A384,$A384)=1,1,0))</f>
        <v>0</v>
      </c>
      <c r="AD384">
        <f t="shared" si="91"/>
        <v>4</v>
      </c>
      <c r="AE384" t="str">
        <f t="shared" si="92"/>
        <v>华威西营里农产品交易中心|期末剩余租期情况（年）</v>
      </c>
      <c r="BP384" s="47">
        <v>45940</v>
      </c>
      <c r="BQ384" s="29">
        <v>3.7753277869878643E-2</v>
      </c>
    </row>
    <row r="385" spans="1:69" x14ac:dyDescent="0.4">
      <c r="A385" t="str">
        <f>IF(原始经营数据!$D386="","",原始经营数据!$D386)</f>
        <v>易方达华威农贸市场封闭式基础设施证券投资基金</v>
      </c>
      <c r="B385" t="str">
        <f>IF(原始经营数据!$D386="","",T(原始经营数据!$E386))</f>
        <v>华威西营里农产品交易中心</v>
      </c>
      <c r="C385" t="str">
        <f>IF(原始经营数据!$D386="","",原始经营数据!$F386)</f>
        <v>2026Q2</v>
      </c>
      <c r="D385" t="str">
        <f>IF(原始经营数据!$D386="","",原始经营数据!$H386)</f>
        <v>期末租金收缴率</v>
      </c>
      <c r="E385">
        <f>IF(原始经营数据!$D386="","",原始经营数据!$I386)</f>
        <v>99.55</v>
      </c>
      <c r="F385" t="str">
        <f>IF(原始经营数据!$D386="","",T(原始经营数据!$J386))</f>
        <v>%</v>
      </c>
      <c r="G385" t="str">
        <f>IF(原始经营数据!$D386="","",T(原始经营数据!$K386))</f>
        <v/>
      </c>
      <c r="H385" t="str">
        <f>IF(原始经营数据!$D386="","",原始经营数据!$G386)</f>
        <v>服务效率</v>
      </c>
      <c r="I385" t="str">
        <f>IF($A385="","",IF($B385&lt;&gt;"",$B385,IF(COUNTIFS(原始经营数据!$D$3:$D$3001,$A385,原始经营数据!$E$3:$E$3001,"",原始经营数据!$F$3:$F$3001,$C385,原始经营数据!$H$3:$H$3001,$D385,原始经营数据!$K$3:$K$3001,$G385)&gt;1,"基金整体·来源"&amp;原始经营数据!$A386,"基金整体")))</f>
        <v>华威西营里农产品交易中心</v>
      </c>
      <c r="J385" t="str">
        <f t="shared" si="78"/>
        <v>季度</v>
      </c>
      <c r="K385" t="str">
        <f t="shared" si="79"/>
        <v>期末租金收缴率（%）</v>
      </c>
      <c r="L385" t="str">
        <f t="shared" si="80"/>
        <v>华威西营里农产品交易中心|期末租金收缴率（%）|季度</v>
      </c>
      <c r="M385">
        <f>IF($A385="",0,IF(COUNTIF($L$2:$L385,$L385)=1,1,0))</f>
        <v>0</v>
      </c>
      <c r="N385">
        <f t="shared" si="81"/>
        <v>20262</v>
      </c>
      <c r="O385" t="str">
        <f t="shared" si="82"/>
        <v>易方达华威农贸市场封闭式基础设施证券投资基金|2026Q2|季度</v>
      </c>
      <c r="P385">
        <f>IF($A385="",0,IF(COUNTIF($O$2:$O385,$O385)=1,1,0))</f>
        <v>0</v>
      </c>
      <c r="Q385" t="str">
        <f>IF(AND($P385=1,$A385=经营数据!$B$3,$J385=经营数据!$BA$5),COUNTIFS($P$2:$P$3000,1,$A$2:$A$3000,$A385,$J$2:$J$3000,$J385,$N$2:$N$3000,"&lt;"&amp;$N385)+1,"")</f>
        <v/>
      </c>
      <c r="R385" t="str">
        <f t="shared" si="83"/>
        <v>易方达华威农贸市场封闭式基础设施证券投资基金|华威西营里农产品交易中心</v>
      </c>
      <c r="S385">
        <f>IF($A385="",0,IF(COUNTIF($R$2:$R385,$R385)=1,1,0))</f>
        <v>0</v>
      </c>
      <c r="T385">
        <f t="shared" si="84"/>
        <v>204</v>
      </c>
      <c r="U385" t="str">
        <f>IF($A385="","",IF($A385=经营数据!$B$3,COUNTIFS($S$2:$S$3000,1,$A$2:$A$3000,$A385,$T$2:$T$3000,"&lt;"&amp;$T385)+1,""))</f>
        <v/>
      </c>
      <c r="V385" t="str">
        <f t="shared" si="85"/>
        <v>华威西营里农产品交易中心|服务效率</v>
      </c>
      <c r="W385">
        <f t="shared" si="86"/>
        <v>205</v>
      </c>
      <c r="X385" t="str">
        <f t="shared" si="87"/>
        <v>华威西营里农产品交易中心|期末租金收缴率</v>
      </c>
      <c r="Y385">
        <f t="shared" si="88"/>
        <v>349</v>
      </c>
      <c r="Z385">
        <f>IF($A385="",0,IF(AND($M385=1,$A385=经营数据!$B$3,$J385=经营数据!$BA$5,OR($I385=经营数据!$BA$4,COUNTIF(经营数据!$AA$9:$AA$38,$I385)&gt;0)),1,0))</f>
        <v>0</v>
      </c>
      <c r="AA385" t="str">
        <f t="shared" si="89"/>
        <v/>
      </c>
      <c r="AB385" t="str">
        <f t="shared" si="90"/>
        <v/>
      </c>
      <c r="AC385">
        <f>IF($A385="",0,IF(COUNTIF($A$2:$A385,$A385)=1,1,0))</f>
        <v>0</v>
      </c>
      <c r="AD385">
        <f t="shared" si="91"/>
        <v>4</v>
      </c>
      <c r="AE385" t="str">
        <f t="shared" si="92"/>
        <v>华威西营里农产品交易中心|期末租金收缴率（%）</v>
      </c>
      <c r="BP385" s="47">
        <v>45943</v>
      </c>
      <c r="BQ385" s="29">
        <v>3.7740340831504092E-2</v>
      </c>
    </row>
    <row r="386" spans="1:69" x14ac:dyDescent="0.4">
      <c r="A386" t="str">
        <f>IF(原始经营数据!$D387="","",原始经营数据!$D387)</f>
        <v>中金中国绿发消费封闭式基础设施证券投资基金</v>
      </c>
      <c r="B386" t="str">
        <f>IF(原始经营数据!$D387="","",T(原始经营数据!$E387))</f>
        <v>领秀城贵和购物中心</v>
      </c>
      <c r="C386" t="str">
        <f>IF(原始经营数据!$D387="","",原始经营数据!$F387)</f>
        <v>2022</v>
      </c>
      <c r="D386" t="str">
        <f>IF(原始经营数据!$D387="","",原始经营数据!$H387)</f>
        <v>租户业态分布-店铺租赁收入占比</v>
      </c>
      <c r="E386">
        <f>IF(原始经营数据!$D387="","",原始经营数据!$I387)</f>
        <v>14.5</v>
      </c>
      <c r="F386" t="str">
        <f>IF(原始经营数据!$D387="","",T(原始经营数据!$J387))</f>
        <v>%</v>
      </c>
      <c r="G386" t="str">
        <f>IF(原始经营数据!$D387="","",T(原始经营数据!$K387))</f>
        <v>儿童</v>
      </c>
      <c r="H386" t="str">
        <f>IF(原始经营数据!$D387="","",原始经营数据!$G387)</f>
        <v>服务金额</v>
      </c>
      <c r="I386" t="str">
        <f>IF($A386="","",IF($B386&lt;&gt;"",$B386,IF(COUNTIFS(原始经营数据!$D$3:$D$3001,$A386,原始经营数据!$E$3:$E$3001,"",原始经营数据!$F$3:$F$3001,$C386,原始经营数据!$H$3:$H$3001,$D386,原始经营数据!$K$3:$K$3001,$G386)&gt;1,"基金整体·来源"&amp;原始经营数据!$A387,"基金整体")))</f>
        <v>领秀城贵和购物中心</v>
      </c>
      <c r="J386" t="str">
        <f t="shared" ref="J386:J449" si="93">IF($A386="","",IF(LEN($C386)=4,"年度",IF(AND(LEN($C386)=6,ISNUMBER(SEARCH("Q",$C386))),"季度","其他期间")))</f>
        <v>年度</v>
      </c>
      <c r="K386" t="str">
        <f t="shared" ref="K386:K449" si="94">IF($A386="","",$D386&amp;IF($G386="","","-"&amp;SUBSTITUTE($G386,CHAR(10),""))&amp;IF($F386="","","（"&amp;$F386&amp;"）"))</f>
        <v>租户业态分布-店铺租赁收入占比-儿童（%）</v>
      </c>
      <c r="L386" t="str">
        <f t="shared" ref="L386:L449" si="95">IF($A386="","",$I386&amp;"|"&amp;$K386&amp;"|"&amp;$J386)</f>
        <v>领秀城贵和购物中心|租户业态分布-店铺租赁收入占比-儿童（%）|年度</v>
      </c>
      <c r="M386">
        <f>IF($A386="",0,IF(COUNTIF($L$2:$L386,$L386)=1,1,0))</f>
        <v>1</v>
      </c>
      <c r="N386">
        <f t="shared" ref="N386:N449" si="96">IF($A386="","",IF($J386="年度",VALUE($C386)*10,IF($J386="季度",VALUE(LEFT($C386,4))*10+VALUE(RIGHT($C386,1)),VALUE(LEFT($C386,4))*10+9)))</f>
        <v>20220</v>
      </c>
      <c r="O386" t="str">
        <f t="shared" ref="O386:O449" si="97">IF($A386="","",$A386&amp;"|"&amp;$C386&amp;"|"&amp;$J386)</f>
        <v>中金中国绿发消费封闭式基础设施证券投资基金|2022|年度</v>
      </c>
      <c r="P386">
        <f>IF($A386="",0,IF(COUNTIF($O$2:$O386,$O386)=1,1,0))</f>
        <v>1</v>
      </c>
      <c r="Q386" t="str">
        <f>IF(AND($P386=1,$A386=经营数据!$B$3,$J386=经营数据!$BA$5),COUNTIFS($P$2:$P$3000,1,$A$2:$A$3000,$A386,$J$2:$J$3000,$J386,$N$2:$N$3000,"&lt;"&amp;$N386)+1,"")</f>
        <v/>
      </c>
      <c r="R386" t="str">
        <f t="shared" ref="R386:R449" si="98">IF($A386="","",$A386&amp;"|"&amp;$I386)</f>
        <v>中金中国绿发消费封闭式基础设施证券投资基金|领秀城贵和购物中心</v>
      </c>
      <c r="S386">
        <f>IF($A386="",0,IF(COUNTIF($R$2:$R386,$R386)=1,1,0))</f>
        <v>1</v>
      </c>
      <c r="T386">
        <f t="shared" ref="T386:T449" si="99">IF($A386="","",MATCH($R386,$R$2:$R$3000,0))</f>
        <v>385</v>
      </c>
      <c r="U386" t="str">
        <f>IF($A386="","",IF($A386=经营数据!$B$3,COUNTIFS($S$2:$S$3000,1,$A$2:$A$3000,$A386,$T$2:$T$3000,"&lt;"&amp;$T386)+1,""))</f>
        <v/>
      </c>
      <c r="V386" t="str">
        <f t="shared" ref="V386:V449" si="100">IF($A386="","",$I386&amp;"|"&amp;$H386)</f>
        <v>领秀城贵和购物中心|服务金额</v>
      </c>
      <c r="W386">
        <f t="shared" ref="W386:W449" si="101">IF($A386="","",MATCH($V386,$V$2:$V$3000,0))</f>
        <v>385</v>
      </c>
      <c r="X386" t="str">
        <f t="shared" ref="X386:X449" si="102">IF($A386="","",$I386&amp;"|"&amp;$D386)</f>
        <v>领秀城贵和购物中心|租户业态分布-店铺租赁收入占比</v>
      </c>
      <c r="Y386">
        <f t="shared" ref="Y386:Y449" si="103">IF($A386="","",MATCH($X386,$X$2:$X$3000,0))</f>
        <v>385</v>
      </c>
      <c r="Z386">
        <f>IF($A386="",0,IF(AND($M386=1,$A386=经营数据!$B$3,$J386=经营数据!$BA$5,OR($I386=经营数据!$BA$4,COUNTIF(经营数据!$AA$9:$AA$38,$I386)&gt;0)),1,0))</f>
        <v>0</v>
      </c>
      <c r="AA386" t="str">
        <f t="shared" ref="AA386:AA449" si="104">IF($Z386=1,$U386*1000000000000+$W386*100000000+$Y386*10000+ROW(),"")</f>
        <v/>
      </c>
      <c r="AB386" t="str">
        <f t="shared" ref="AB386:AB449" si="105">IF($Z386=1,COUNTIFS($Z$2:$Z$3000,1,$AA$2:$AA$3000,"&lt;"&amp;$AA386)+1,"")</f>
        <v/>
      </c>
      <c r="AC386">
        <f>IF($A386="",0,IF(COUNTIF($A$2:$A386,$A386)=1,1,0))</f>
        <v>1</v>
      </c>
      <c r="AD386">
        <f t="shared" ref="AD386:AD449" si="106">IF($A386="",N(AD385),IF($AC386=1,N(AD385)+1,N(AD385)))</f>
        <v>5</v>
      </c>
      <c r="AE386" t="str">
        <f t="shared" ref="AE386:AE449" si="107">IF($A386="","",$I386&amp;"|"&amp;$K386)</f>
        <v>领秀城贵和购物中心|租户业态分布-店铺租赁收入占比-儿童（%）</v>
      </c>
      <c r="BP386" s="47">
        <v>45944</v>
      </c>
      <c r="BQ386" s="29">
        <v>3.7921797001165207E-2</v>
      </c>
    </row>
    <row r="387" spans="1:69" x14ac:dyDescent="0.4">
      <c r="A387" t="str">
        <f>IF(原始经营数据!$D388="","",原始经营数据!$D388)</f>
        <v>中金中国绿发消费封闭式基础设施证券投资基金</v>
      </c>
      <c r="B387" t="str">
        <f>IF(原始经营数据!$D388="","",T(原始经营数据!$E388))</f>
        <v>领秀城贵和购物中心</v>
      </c>
      <c r="C387" t="str">
        <f>IF(原始经营数据!$D388="","",原始经营数据!$F388)</f>
        <v>2022</v>
      </c>
      <c r="D387" t="str">
        <f>IF(原始经营数据!$D388="","",原始经营数据!$H388)</f>
        <v>租户业态分布-店铺租赁收入占比</v>
      </c>
      <c r="E387">
        <f>IF(原始经营数据!$D388="","",原始经营数据!$I388)</f>
        <v>10.72</v>
      </c>
      <c r="F387" t="str">
        <f>IF(原始经营数据!$D388="","",T(原始经营数据!$J388))</f>
        <v>%</v>
      </c>
      <c r="G387" t="str">
        <f>IF(原始经营数据!$D388="","",T(原始经营数据!$K388))</f>
        <v>配套</v>
      </c>
      <c r="H387" t="str">
        <f>IF(原始经营数据!$D388="","",原始经营数据!$G388)</f>
        <v>服务金额</v>
      </c>
      <c r="I387" t="str">
        <f>IF($A387="","",IF($B387&lt;&gt;"",$B387,IF(COUNTIFS(原始经营数据!$D$3:$D$3001,$A387,原始经营数据!$E$3:$E$3001,"",原始经营数据!$F$3:$F$3001,$C387,原始经营数据!$H$3:$H$3001,$D387,原始经营数据!$K$3:$K$3001,$G387)&gt;1,"基金整体·来源"&amp;原始经营数据!$A388,"基金整体")))</f>
        <v>领秀城贵和购物中心</v>
      </c>
      <c r="J387" t="str">
        <f t="shared" si="93"/>
        <v>年度</v>
      </c>
      <c r="K387" t="str">
        <f t="shared" si="94"/>
        <v>租户业态分布-店铺租赁收入占比-配套（%）</v>
      </c>
      <c r="L387" t="str">
        <f t="shared" si="95"/>
        <v>领秀城贵和购物中心|租户业态分布-店铺租赁收入占比-配套（%）|年度</v>
      </c>
      <c r="M387">
        <f>IF($A387="",0,IF(COUNTIF($L$2:$L387,$L387)=1,1,0))</f>
        <v>1</v>
      </c>
      <c r="N387">
        <f t="shared" si="96"/>
        <v>20220</v>
      </c>
      <c r="O387" t="str">
        <f t="shared" si="97"/>
        <v>中金中国绿发消费封闭式基础设施证券投资基金|2022|年度</v>
      </c>
      <c r="P387">
        <f>IF($A387="",0,IF(COUNTIF($O$2:$O387,$O387)=1,1,0))</f>
        <v>0</v>
      </c>
      <c r="Q387" t="str">
        <f>IF(AND($P387=1,$A387=经营数据!$B$3,$J387=经营数据!$BA$5),COUNTIFS($P$2:$P$3000,1,$A$2:$A$3000,$A387,$J$2:$J$3000,$J387,$N$2:$N$3000,"&lt;"&amp;$N387)+1,"")</f>
        <v/>
      </c>
      <c r="R387" t="str">
        <f t="shared" si="98"/>
        <v>中金中国绿发消费封闭式基础设施证券投资基金|领秀城贵和购物中心</v>
      </c>
      <c r="S387">
        <f>IF($A387="",0,IF(COUNTIF($R$2:$R387,$R387)=1,1,0))</f>
        <v>0</v>
      </c>
      <c r="T387">
        <f t="shared" si="99"/>
        <v>385</v>
      </c>
      <c r="U387" t="str">
        <f>IF($A387="","",IF($A387=经营数据!$B$3,COUNTIFS($S$2:$S$3000,1,$A$2:$A$3000,$A387,$T$2:$T$3000,"&lt;"&amp;$T387)+1,""))</f>
        <v/>
      </c>
      <c r="V387" t="str">
        <f t="shared" si="100"/>
        <v>领秀城贵和购物中心|服务金额</v>
      </c>
      <c r="W387">
        <f t="shared" si="101"/>
        <v>385</v>
      </c>
      <c r="X387" t="str">
        <f t="shared" si="102"/>
        <v>领秀城贵和购物中心|租户业态分布-店铺租赁收入占比</v>
      </c>
      <c r="Y387">
        <f t="shared" si="103"/>
        <v>385</v>
      </c>
      <c r="Z387">
        <f>IF($A387="",0,IF(AND($M387=1,$A387=经营数据!$B$3,$J387=经营数据!$BA$5,OR($I387=经营数据!$BA$4,COUNTIF(经营数据!$AA$9:$AA$38,$I387)&gt;0)),1,0))</f>
        <v>0</v>
      </c>
      <c r="AA387" t="str">
        <f t="shared" si="104"/>
        <v/>
      </c>
      <c r="AB387" t="str">
        <f t="shared" si="105"/>
        <v/>
      </c>
      <c r="AC387">
        <f>IF($A387="",0,IF(COUNTIF($A$2:$A387,$A387)=1,1,0))</f>
        <v>0</v>
      </c>
      <c r="AD387">
        <f t="shared" si="106"/>
        <v>5</v>
      </c>
      <c r="AE387" t="str">
        <f t="shared" si="107"/>
        <v>领秀城贵和购物中心|租户业态分布-店铺租赁收入占比-配套（%）</v>
      </c>
      <c r="BP387" s="47">
        <v>45945</v>
      </c>
      <c r="BQ387" s="29">
        <v>3.8044248166578643E-2</v>
      </c>
    </row>
    <row r="388" spans="1:69" x14ac:dyDescent="0.4">
      <c r="A388" t="str">
        <f>IF(原始经营数据!$D389="","",原始经营数据!$D389)</f>
        <v>中金中国绿发消费封闭式基础设施证券投资基金</v>
      </c>
      <c r="B388" t="str">
        <f>IF(原始经营数据!$D389="","",T(原始经营数据!$E389))</f>
        <v>领秀城贵和购物中心</v>
      </c>
      <c r="C388" t="str">
        <f>IF(原始经营数据!$D389="","",原始经营数据!$F389)</f>
        <v>2022</v>
      </c>
      <c r="D388" t="str">
        <f>IF(原始经营数据!$D389="","",原始经营数据!$H389)</f>
        <v>租户业态分布-店铺租赁收入占比</v>
      </c>
      <c r="E388">
        <f>IF(原始经营数据!$D389="","",原始经营数据!$I389)</f>
        <v>24.81</v>
      </c>
      <c r="F388" t="str">
        <f>IF(原始经营数据!$D389="","",T(原始经营数据!$J389))</f>
        <v>%</v>
      </c>
      <c r="G388" t="str">
        <f>IF(原始经营数据!$D389="","",T(原始经营数据!$K389))</f>
        <v>餐饮</v>
      </c>
      <c r="H388" t="str">
        <f>IF(原始经营数据!$D389="","",原始经营数据!$G389)</f>
        <v>服务金额</v>
      </c>
      <c r="I388" t="str">
        <f>IF($A388="","",IF($B388&lt;&gt;"",$B388,IF(COUNTIFS(原始经营数据!$D$3:$D$3001,$A388,原始经营数据!$E$3:$E$3001,"",原始经营数据!$F$3:$F$3001,$C388,原始经营数据!$H$3:$H$3001,$D388,原始经营数据!$K$3:$K$3001,$G388)&gt;1,"基金整体·来源"&amp;原始经营数据!$A389,"基金整体")))</f>
        <v>领秀城贵和购物中心</v>
      </c>
      <c r="J388" t="str">
        <f t="shared" si="93"/>
        <v>年度</v>
      </c>
      <c r="K388" t="str">
        <f t="shared" si="94"/>
        <v>租户业态分布-店铺租赁收入占比-餐饮（%）</v>
      </c>
      <c r="L388" t="str">
        <f t="shared" si="95"/>
        <v>领秀城贵和购物中心|租户业态分布-店铺租赁收入占比-餐饮（%）|年度</v>
      </c>
      <c r="M388">
        <f>IF($A388="",0,IF(COUNTIF($L$2:$L388,$L388)=1,1,0))</f>
        <v>1</v>
      </c>
      <c r="N388">
        <f t="shared" si="96"/>
        <v>20220</v>
      </c>
      <c r="O388" t="str">
        <f t="shared" si="97"/>
        <v>中金中国绿发消费封闭式基础设施证券投资基金|2022|年度</v>
      </c>
      <c r="P388">
        <f>IF($A388="",0,IF(COUNTIF($O$2:$O388,$O388)=1,1,0))</f>
        <v>0</v>
      </c>
      <c r="Q388" t="str">
        <f>IF(AND($P388=1,$A388=经营数据!$B$3,$J388=经营数据!$BA$5),COUNTIFS($P$2:$P$3000,1,$A$2:$A$3000,$A388,$J$2:$J$3000,$J388,$N$2:$N$3000,"&lt;"&amp;$N388)+1,"")</f>
        <v/>
      </c>
      <c r="R388" t="str">
        <f t="shared" si="98"/>
        <v>中金中国绿发消费封闭式基础设施证券投资基金|领秀城贵和购物中心</v>
      </c>
      <c r="S388">
        <f>IF($A388="",0,IF(COUNTIF($R$2:$R388,$R388)=1,1,0))</f>
        <v>0</v>
      </c>
      <c r="T388">
        <f t="shared" si="99"/>
        <v>385</v>
      </c>
      <c r="U388" t="str">
        <f>IF($A388="","",IF($A388=经营数据!$B$3,COUNTIFS($S$2:$S$3000,1,$A$2:$A$3000,$A388,$T$2:$T$3000,"&lt;"&amp;$T388)+1,""))</f>
        <v/>
      </c>
      <c r="V388" t="str">
        <f t="shared" si="100"/>
        <v>领秀城贵和购物中心|服务金额</v>
      </c>
      <c r="W388">
        <f t="shared" si="101"/>
        <v>385</v>
      </c>
      <c r="X388" t="str">
        <f t="shared" si="102"/>
        <v>领秀城贵和购物中心|租户业态分布-店铺租赁收入占比</v>
      </c>
      <c r="Y388">
        <f t="shared" si="103"/>
        <v>385</v>
      </c>
      <c r="Z388">
        <f>IF($A388="",0,IF(AND($M388=1,$A388=经营数据!$B$3,$J388=经营数据!$BA$5,OR($I388=经营数据!$BA$4,COUNTIF(经营数据!$AA$9:$AA$38,$I388)&gt;0)),1,0))</f>
        <v>0</v>
      </c>
      <c r="AA388" t="str">
        <f t="shared" si="104"/>
        <v/>
      </c>
      <c r="AB388" t="str">
        <f t="shared" si="105"/>
        <v/>
      </c>
      <c r="AC388">
        <f>IF($A388="",0,IF(COUNTIF($A$2:$A388,$A388)=1,1,0))</f>
        <v>0</v>
      </c>
      <c r="AD388">
        <f t="shared" si="106"/>
        <v>5</v>
      </c>
      <c r="AE388" t="str">
        <f t="shared" si="107"/>
        <v>领秀城贵和购物中心|租户业态分布-店铺租赁收入占比-餐饮（%）</v>
      </c>
      <c r="BP388" s="47">
        <v>45946</v>
      </c>
      <c r="BQ388" s="29">
        <v>3.8257321391029872E-2</v>
      </c>
    </row>
    <row r="389" spans="1:69" x14ac:dyDescent="0.4">
      <c r="A389" t="str">
        <f>IF(原始经营数据!$D390="","",原始经营数据!$D390)</f>
        <v>中金中国绿发消费封闭式基础设施证券投资基金</v>
      </c>
      <c r="B389" t="str">
        <f>IF(原始经营数据!$D390="","",T(原始经营数据!$E390))</f>
        <v>领秀城贵和购物中心</v>
      </c>
      <c r="C389" t="str">
        <f>IF(原始经营数据!$D390="","",原始经营数据!$F390)</f>
        <v>2022</v>
      </c>
      <c r="D389" t="str">
        <f>IF(原始经营数据!$D390="","",原始经营数据!$H390)</f>
        <v>租户业态分布-店铺租赁收入占比</v>
      </c>
      <c r="E389">
        <f>IF(原始经营数据!$D390="","",原始经营数据!$I390)</f>
        <v>45.54</v>
      </c>
      <c r="F389" t="str">
        <f>IF(原始经营数据!$D390="","",T(原始经营数据!$J390))</f>
        <v>%</v>
      </c>
      <c r="G389" t="str">
        <f>IF(原始经营数据!$D390="","",T(原始经营数据!$K390))</f>
        <v>零售</v>
      </c>
      <c r="H389" t="str">
        <f>IF(原始经营数据!$D390="","",原始经营数据!$G390)</f>
        <v>服务金额</v>
      </c>
      <c r="I389" t="str">
        <f>IF($A389="","",IF($B389&lt;&gt;"",$B389,IF(COUNTIFS(原始经营数据!$D$3:$D$3001,$A389,原始经营数据!$E$3:$E$3001,"",原始经营数据!$F$3:$F$3001,$C389,原始经营数据!$H$3:$H$3001,$D389,原始经营数据!$K$3:$K$3001,$G389)&gt;1,"基金整体·来源"&amp;原始经营数据!$A390,"基金整体")))</f>
        <v>领秀城贵和购物中心</v>
      </c>
      <c r="J389" t="str">
        <f t="shared" si="93"/>
        <v>年度</v>
      </c>
      <c r="K389" t="str">
        <f t="shared" si="94"/>
        <v>租户业态分布-店铺租赁收入占比-零售（%）</v>
      </c>
      <c r="L389" t="str">
        <f t="shared" si="95"/>
        <v>领秀城贵和购物中心|租户业态分布-店铺租赁收入占比-零售（%）|年度</v>
      </c>
      <c r="M389">
        <f>IF($A389="",0,IF(COUNTIF($L$2:$L389,$L389)=1,1,0))</f>
        <v>1</v>
      </c>
      <c r="N389">
        <f t="shared" si="96"/>
        <v>20220</v>
      </c>
      <c r="O389" t="str">
        <f t="shared" si="97"/>
        <v>中金中国绿发消费封闭式基础设施证券投资基金|2022|年度</v>
      </c>
      <c r="P389">
        <f>IF($A389="",0,IF(COUNTIF($O$2:$O389,$O389)=1,1,0))</f>
        <v>0</v>
      </c>
      <c r="Q389" t="str">
        <f>IF(AND($P389=1,$A389=经营数据!$B$3,$J389=经营数据!$BA$5),COUNTIFS($P$2:$P$3000,1,$A$2:$A$3000,$A389,$J$2:$J$3000,$J389,$N$2:$N$3000,"&lt;"&amp;$N389)+1,"")</f>
        <v/>
      </c>
      <c r="R389" t="str">
        <f t="shared" si="98"/>
        <v>中金中国绿发消费封闭式基础设施证券投资基金|领秀城贵和购物中心</v>
      </c>
      <c r="S389">
        <f>IF($A389="",0,IF(COUNTIF($R$2:$R389,$R389)=1,1,0))</f>
        <v>0</v>
      </c>
      <c r="T389">
        <f t="shared" si="99"/>
        <v>385</v>
      </c>
      <c r="U389" t="str">
        <f>IF($A389="","",IF($A389=经营数据!$B$3,COUNTIFS($S$2:$S$3000,1,$A$2:$A$3000,$A389,$T$2:$T$3000,"&lt;"&amp;$T389)+1,""))</f>
        <v/>
      </c>
      <c r="V389" t="str">
        <f t="shared" si="100"/>
        <v>领秀城贵和购物中心|服务金额</v>
      </c>
      <c r="W389">
        <f t="shared" si="101"/>
        <v>385</v>
      </c>
      <c r="X389" t="str">
        <f t="shared" si="102"/>
        <v>领秀城贵和购物中心|租户业态分布-店铺租赁收入占比</v>
      </c>
      <c r="Y389">
        <f t="shared" si="103"/>
        <v>385</v>
      </c>
      <c r="Z389">
        <f>IF($A389="",0,IF(AND($M389=1,$A389=经营数据!$B$3,$J389=经营数据!$BA$5,OR($I389=经营数据!$BA$4,COUNTIF(经营数据!$AA$9:$AA$38,$I389)&gt;0)),1,0))</f>
        <v>0</v>
      </c>
      <c r="AA389" t="str">
        <f t="shared" si="104"/>
        <v/>
      </c>
      <c r="AB389" t="str">
        <f t="shared" si="105"/>
        <v/>
      </c>
      <c r="AC389">
        <f>IF($A389="",0,IF(COUNTIF($A$2:$A389,$A389)=1,1,0))</f>
        <v>0</v>
      </c>
      <c r="AD389">
        <f t="shared" si="106"/>
        <v>5</v>
      </c>
      <c r="AE389" t="str">
        <f t="shared" si="107"/>
        <v>领秀城贵和购物中心|租户业态分布-店铺租赁收入占比-零售（%）</v>
      </c>
      <c r="BP389" s="47">
        <v>45947</v>
      </c>
      <c r="BQ389" s="29">
        <v>3.8381758694246773E-2</v>
      </c>
    </row>
    <row r="390" spans="1:69" x14ac:dyDescent="0.4">
      <c r="A390" t="str">
        <f>IF(原始经营数据!$D391="","",原始经营数据!$D391)</f>
        <v>中金中国绿发消费封闭式基础设施证券投资基金</v>
      </c>
      <c r="B390" t="str">
        <f>IF(原始经营数据!$D391="","",T(原始经营数据!$E391))</f>
        <v>领秀城贵和购物中心</v>
      </c>
      <c r="C390" t="str">
        <f>IF(原始经营数据!$D391="","",原始经营数据!$F391)</f>
        <v>2022</v>
      </c>
      <c r="D390" t="str">
        <f>IF(原始经营数据!$D391="","",原始经营数据!$H391)</f>
        <v>营业额</v>
      </c>
      <c r="E390">
        <f>IF(原始经营数据!$D391="","",原始经营数据!$I391)</f>
        <v>94358.15</v>
      </c>
      <c r="F390" t="str">
        <f>IF(原始经营数据!$D391="","",T(原始经营数据!$J391))</f>
        <v>万元</v>
      </c>
      <c r="G390" t="str">
        <f>IF(原始经营数据!$D391="","",T(原始经营数据!$K391))</f>
        <v/>
      </c>
      <c r="H390" t="str">
        <f>IF(原始经营数据!$D391="","",原始经营数据!$G391)</f>
        <v>服务金额</v>
      </c>
      <c r="I390" t="str">
        <f>IF($A390="","",IF($B390&lt;&gt;"",$B390,IF(COUNTIFS(原始经营数据!$D$3:$D$3001,$A390,原始经营数据!$E$3:$E$3001,"",原始经营数据!$F$3:$F$3001,$C390,原始经营数据!$H$3:$H$3001,$D390,原始经营数据!$K$3:$K$3001,$G390)&gt;1,"基金整体·来源"&amp;原始经营数据!$A391,"基金整体")))</f>
        <v>领秀城贵和购物中心</v>
      </c>
      <c r="J390" t="str">
        <f t="shared" si="93"/>
        <v>年度</v>
      </c>
      <c r="K390" t="str">
        <f t="shared" si="94"/>
        <v>营业额（万元）</v>
      </c>
      <c r="L390" t="str">
        <f t="shared" si="95"/>
        <v>领秀城贵和购物中心|营业额（万元）|年度</v>
      </c>
      <c r="M390">
        <f>IF($A390="",0,IF(COUNTIF($L$2:$L390,$L390)=1,1,0))</f>
        <v>1</v>
      </c>
      <c r="N390">
        <f t="shared" si="96"/>
        <v>20220</v>
      </c>
      <c r="O390" t="str">
        <f t="shared" si="97"/>
        <v>中金中国绿发消费封闭式基础设施证券投资基金|2022|年度</v>
      </c>
      <c r="P390">
        <f>IF($A390="",0,IF(COUNTIF($O$2:$O390,$O390)=1,1,0))</f>
        <v>0</v>
      </c>
      <c r="Q390" t="str">
        <f>IF(AND($P390=1,$A390=经营数据!$B$3,$J390=经营数据!$BA$5),COUNTIFS($P$2:$P$3000,1,$A$2:$A$3000,$A390,$J$2:$J$3000,$J390,$N$2:$N$3000,"&lt;"&amp;$N390)+1,"")</f>
        <v/>
      </c>
      <c r="R390" t="str">
        <f t="shared" si="98"/>
        <v>中金中国绿发消费封闭式基础设施证券投资基金|领秀城贵和购物中心</v>
      </c>
      <c r="S390">
        <f>IF($A390="",0,IF(COUNTIF($R$2:$R390,$R390)=1,1,0))</f>
        <v>0</v>
      </c>
      <c r="T390">
        <f t="shared" si="99"/>
        <v>385</v>
      </c>
      <c r="U390" t="str">
        <f>IF($A390="","",IF($A390=经营数据!$B$3,COUNTIFS($S$2:$S$3000,1,$A$2:$A$3000,$A390,$T$2:$T$3000,"&lt;"&amp;$T390)+1,""))</f>
        <v/>
      </c>
      <c r="V390" t="str">
        <f t="shared" si="100"/>
        <v>领秀城贵和购物中心|服务金额</v>
      </c>
      <c r="W390">
        <f t="shared" si="101"/>
        <v>385</v>
      </c>
      <c r="X390" t="str">
        <f t="shared" si="102"/>
        <v>领秀城贵和购物中心|营业额</v>
      </c>
      <c r="Y390">
        <f t="shared" si="103"/>
        <v>389</v>
      </c>
      <c r="Z390">
        <f>IF($A390="",0,IF(AND($M390=1,$A390=经营数据!$B$3,$J390=经营数据!$BA$5,OR($I390=经营数据!$BA$4,COUNTIF(经营数据!$AA$9:$AA$38,$I390)&gt;0)),1,0))</f>
        <v>0</v>
      </c>
      <c r="AA390" t="str">
        <f t="shared" si="104"/>
        <v/>
      </c>
      <c r="AB390" t="str">
        <f t="shared" si="105"/>
        <v/>
      </c>
      <c r="AC390">
        <f>IF($A390="",0,IF(COUNTIF($A$2:$A390,$A390)=1,1,0))</f>
        <v>0</v>
      </c>
      <c r="AD390">
        <f t="shared" si="106"/>
        <v>5</v>
      </c>
      <c r="AE390" t="str">
        <f t="shared" si="107"/>
        <v>领秀城贵和购物中心|营业额（万元）</v>
      </c>
      <c r="BP390" s="47">
        <v>45950</v>
      </c>
      <c r="BQ390" s="29">
        <v>3.8823340787826767E-2</v>
      </c>
    </row>
    <row r="391" spans="1:69" x14ac:dyDescent="0.4">
      <c r="A391" t="str">
        <f>IF(原始经营数据!$D392="","",原始经营数据!$D392)</f>
        <v>中金中国绿发消费封闭式基础设施证券投资基金</v>
      </c>
      <c r="B391" t="str">
        <f>IF(原始经营数据!$D392="","",T(原始经营数据!$E392))</f>
        <v>领秀城贵和购物中心</v>
      </c>
      <c r="C391" t="str">
        <f>IF(原始经营数据!$D392="","",原始经营数据!$F392)</f>
        <v>2022</v>
      </c>
      <c r="D391" t="str">
        <f>IF(原始经营数据!$D392="","",原始经营数据!$H392)</f>
        <v>营业额</v>
      </c>
      <c r="E391">
        <f>IF(原始经营数据!$D392="","",原始经营数据!$I392)</f>
        <v>10882.57</v>
      </c>
      <c r="F391" t="str">
        <f>IF(原始经营数据!$D392="","",T(原始经营数据!$J392))</f>
        <v>万元</v>
      </c>
      <c r="G391" t="str">
        <f>IF(原始经营数据!$D392="","",T(原始经营数据!$K392))</f>
        <v>新能源汽车</v>
      </c>
      <c r="H391" t="str">
        <f>IF(原始经营数据!$D392="","",原始经营数据!$G392)</f>
        <v>服务金额</v>
      </c>
      <c r="I391" t="str">
        <f>IF($A391="","",IF($B391&lt;&gt;"",$B391,IF(COUNTIFS(原始经营数据!$D$3:$D$3001,$A391,原始经营数据!$E$3:$E$3001,"",原始经营数据!$F$3:$F$3001,$C391,原始经营数据!$H$3:$H$3001,$D391,原始经营数据!$K$3:$K$3001,$G391)&gt;1,"基金整体·来源"&amp;原始经营数据!$A392,"基金整体")))</f>
        <v>领秀城贵和购物中心</v>
      </c>
      <c r="J391" t="str">
        <f t="shared" si="93"/>
        <v>年度</v>
      </c>
      <c r="K391" t="str">
        <f t="shared" si="94"/>
        <v>营业额-新能源汽车（万元）</v>
      </c>
      <c r="L391" t="str">
        <f t="shared" si="95"/>
        <v>领秀城贵和购物中心|营业额-新能源汽车（万元）|年度</v>
      </c>
      <c r="M391">
        <f>IF($A391="",0,IF(COUNTIF($L$2:$L391,$L391)=1,1,0))</f>
        <v>1</v>
      </c>
      <c r="N391">
        <f t="shared" si="96"/>
        <v>20220</v>
      </c>
      <c r="O391" t="str">
        <f t="shared" si="97"/>
        <v>中金中国绿发消费封闭式基础设施证券投资基金|2022|年度</v>
      </c>
      <c r="P391">
        <f>IF($A391="",0,IF(COUNTIF($O$2:$O391,$O391)=1,1,0))</f>
        <v>0</v>
      </c>
      <c r="Q391" t="str">
        <f>IF(AND($P391=1,$A391=经营数据!$B$3,$J391=经营数据!$BA$5),COUNTIFS($P$2:$P$3000,1,$A$2:$A$3000,$A391,$J$2:$J$3000,$J391,$N$2:$N$3000,"&lt;"&amp;$N391)+1,"")</f>
        <v/>
      </c>
      <c r="R391" t="str">
        <f t="shared" si="98"/>
        <v>中金中国绿发消费封闭式基础设施证券投资基金|领秀城贵和购物中心</v>
      </c>
      <c r="S391">
        <f>IF($A391="",0,IF(COUNTIF($R$2:$R391,$R391)=1,1,0))</f>
        <v>0</v>
      </c>
      <c r="T391">
        <f t="shared" si="99"/>
        <v>385</v>
      </c>
      <c r="U391" t="str">
        <f>IF($A391="","",IF($A391=经营数据!$B$3,COUNTIFS($S$2:$S$3000,1,$A$2:$A$3000,$A391,$T$2:$T$3000,"&lt;"&amp;$T391)+1,""))</f>
        <v/>
      </c>
      <c r="V391" t="str">
        <f t="shared" si="100"/>
        <v>领秀城贵和购物中心|服务金额</v>
      </c>
      <c r="W391">
        <f t="shared" si="101"/>
        <v>385</v>
      </c>
      <c r="X391" t="str">
        <f t="shared" si="102"/>
        <v>领秀城贵和购物中心|营业额</v>
      </c>
      <c r="Y391">
        <f t="shared" si="103"/>
        <v>389</v>
      </c>
      <c r="Z391">
        <f>IF($A391="",0,IF(AND($M391=1,$A391=经营数据!$B$3,$J391=经营数据!$BA$5,OR($I391=经营数据!$BA$4,COUNTIF(经营数据!$AA$9:$AA$38,$I391)&gt;0)),1,0))</f>
        <v>0</v>
      </c>
      <c r="AA391" t="str">
        <f t="shared" si="104"/>
        <v/>
      </c>
      <c r="AB391" t="str">
        <f t="shared" si="105"/>
        <v/>
      </c>
      <c r="AC391">
        <f>IF($A391="",0,IF(COUNTIF($A$2:$A391,$A391)=1,1,0))</f>
        <v>0</v>
      </c>
      <c r="AD391">
        <f t="shared" si="106"/>
        <v>5</v>
      </c>
      <c r="AE391" t="str">
        <f t="shared" si="107"/>
        <v>领秀城贵和购物中心|营业额-新能源汽车（万元）</v>
      </c>
      <c r="BP391" s="47">
        <v>45951</v>
      </c>
      <c r="BQ391" s="29">
        <v>3.9118114076318038E-2</v>
      </c>
    </row>
    <row r="392" spans="1:69" x14ac:dyDescent="0.4">
      <c r="A392" t="str">
        <f>IF(原始经营数据!$D393="","",原始经营数据!$D393)</f>
        <v>中金中国绿发消费封闭式基础设施证券投资基金</v>
      </c>
      <c r="B392" t="str">
        <f>IF(原始经营数据!$D393="","",T(原始经营数据!$E393))</f>
        <v>领秀城贵和购物中心</v>
      </c>
      <c r="C392" t="str">
        <f>IF(原始经营数据!$D393="","",原始经营数据!$F393)</f>
        <v>2022</v>
      </c>
      <c r="D392" t="str">
        <f>IF(原始经营数据!$D393="","",原始经营数据!$H393)</f>
        <v>租户业态分布-店铺租赁收入占比</v>
      </c>
      <c r="E392">
        <f>IF(原始经营数据!$D393="","",原始经营数据!$I393)</f>
        <v>4.43</v>
      </c>
      <c r="F392" t="str">
        <f>IF(原始经营数据!$D393="","",T(原始经营数据!$J393))</f>
        <v>%</v>
      </c>
      <c r="G392" t="str">
        <f>IF(原始经营数据!$D393="","",T(原始经营数据!$K393))</f>
        <v>娱乐</v>
      </c>
      <c r="H392" t="str">
        <f>IF(原始经营数据!$D393="","",原始经营数据!$G393)</f>
        <v>服务金额</v>
      </c>
      <c r="I392" t="str">
        <f>IF($A392="","",IF($B392&lt;&gt;"",$B392,IF(COUNTIFS(原始经营数据!$D$3:$D$3001,$A392,原始经营数据!$E$3:$E$3001,"",原始经营数据!$F$3:$F$3001,$C392,原始经营数据!$H$3:$H$3001,$D392,原始经营数据!$K$3:$K$3001,$G392)&gt;1,"基金整体·来源"&amp;原始经营数据!$A393,"基金整体")))</f>
        <v>领秀城贵和购物中心</v>
      </c>
      <c r="J392" t="str">
        <f t="shared" si="93"/>
        <v>年度</v>
      </c>
      <c r="K392" t="str">
        <f t="shared" si="94"/>
        <v>租户业态分布-店铺租赁收入占比-娱乐（%）</v>
      </c>
      <c r="L392" t="str">
        <f t="shared" si="95"/>
        <v>领秀城贵和购物中心|租户业态分布-店铺租赁收入占比-娱乐（%）|年度</v>
      </c>
      <c r="M392">
        <f>IF($A392="",0,IF(COUNTIF($L$2:$L392,$L392)=1,1,0))</f>
        <v>1</v>
      </c>
      <c r="N392">
        <f t="shared" si="96"/>
        <v>20220</v>
      </c>
      <c r="O392" t="str">
        <f t="shared" si="97"/>
        <v>中金中国绿发消费封闭式基础设施证券投资基金|2022|年度</v>
      </c>
      <c r="P392">
        <f>IF($A392="",0,IF(COUNTIF($O$2:$O392,$O392)=1,1,0))</f>
        <v>0</v>
      </c>
      <c r="Q392" t="str">
        <f>IF(AND($P392=1,$A392=经营数据!$B$3,$J392=经营数据!$BA$5),COUNTIFS($P$2:$P$3000,1,$A$2:$A$3000,$A392,$J$2:$J$3000,$J392,$N$2:$N$3000,"&lt;"&amp;$N392)+1,"")</f>
        <v/>
      </c>
      <c r="R392" t="str">
        <f t="shared" si="98"/>
        <v>中金中国绿发消费封闭式基础设施证券投资基金|领秀城贵和购物中心</v>
      </c>
      <c r="S392">
        <f>IF($A392="",0,IF(COUNTIF($R$2:$R392,$R392)=1,1,0))</f>
        <v>0</v>
      </c>
      <c r="T392">
        <f t="shared" si="99"/>
        <v>385</v>
      </c>
      <c r="U392" t="str">
        <f>IF($A392="","",IF($A392=经营数据!$B$3,COUNTIFS($S$2:$S$3000,1,$A$2:$A$3000,$A392,$T$2:$T$3000,"&lt;"&amp;$T392)+1,""))</f>
        <v/>
      </c>
      <c r="V392" t="str">
        <f t="shared" si="100"/>
        <v>领秀城贵和购物中心|服务金额</v>
      </c>
      <c r="W392">
        <f t="shared" si="101"/>
        <v>385</v>
      </c>
      <c r="X392" t="str">
        <f t="shared" si="102"/>
        <v>领秀城贵和购物中心|租户业态分布-店铺租赁收入占比</v>
      </c>
      <c r="Y392">
        <f t="shared" si="103"/>
        <v>385</v>
      </c>
      <c r="Z392">
        <f>IF($A392="",0,IF(AND($M392=1,$A392=经营数据!$B$3,$J392=经营数据!$BA$5,OR($I392=经营数据!$BA$4,COUNTIF(经营数据!$AA$9:$AA$38,$I392)&gt;0)),1,0))</f>
        <v>0</v>
      </c>
      <c r="AA392" t="str">
        <f t="shared" si="104"/>
        <v/>
      </c>
      <c r="AB392" t="str">
        <f t="shared" si="105"/>
        <v/>
      </c>
      <c r="AC392">
        <f>IF($A392="",0,IF(COUNTIF($A$2:$A392,$A392)=1,1,0))</f>
        <v>0</v>
      </c>
      <c r="AD392">
        <f t="shared" si="106"/>
        <v>5</v>
      </c>
      <c r="AE392" t="str">
        <f t="shared" si="107"/>
        <v>领秀城贵和购物中心|租户业态分布-店铺租赁收入占比-娱乐（%）</v>
      </c>
      <c r="BP392" s="47">
        <v>45952</v>
      </c>
      <c r="BQ392" s="29">
        <v>3.9018391883191068E-2</v>
      </c>
    </row>
    <row r="393" spans="1:69" x14ac:dyDescent="0.4">
      <c r="A393" t="str">
        <f>IF(原始经营数据!$D394="","",原始经营数据!$D394)</f>
        <v>中金中国绿发消费封闭式基础设施证券投资基金</v>
      </c>
      <c r="B393" t="str">
        <f>IF(原始经营数据!$D394="","",T(原始经营数据!$E394))</f>
        <v>领秀城贵和购物中心</v>
      </c>
      <c r="C393" t="str">
        <f>IF(原始经营数据!$D394="","",原始经营数据!$F394)</f>
        <v>2022</v>
      </c>
      <c r="D393" t="str">
        <f>IF(原始经营数据!$D394="","",原始经营数据!$H394)</f>
        <v>租户业态分布-租赁面积占比</v>
      </c>
      <c r="E393">
        <f>IF(原始经营数据!$D394="","",原始经营数据!$I394)</f>
        <v>14.69</v>
      </c>
      <c r="F393" t="str">
        <f>IF(原始经营数据!$D394="","",T(原始经营数据!$J394))</f>
        <v>%</v>
      </c>
      <c r="G393" t="str">
        <f>IF(原始经营数据!$D394="","",T(原始经营数据!$K394))</f>
        <v>儿童</v>
      </c>
      <c r="H393" t="str">
        <f>IF(原始经营数据!$D394="","",原始经营数据!$G394)</f>
        <v>服务金额</v>
      </c>
      <c r="I393" t="str">
        <f>IF($A393="","",IF($B393&lt;&gt;"",$B393,IF(COUNTIFS(原始经营数据!$D$3:$D$3001,$A393,原始经营数据!$E$3:$E$3001,"",原始经营数据!$F$3:$F$3001,$C393,原始经营数据!$H$3:$H$3001,$D393,原始经营数据!$K$3:$K$3001,$G393)&gt;1,"基金整体·来源"&amp;原始经营数据!$A394,"基金整体")))</f>
        <v>领秀城贵和购物中心</v>
      </c>
      <c r="J393" t="str">
        <f t="shared" si="93"/>
        <v>年度</v>
      </c>
      <c r="K393" t="str">
        <f t="shared" si="94"/>
        <v>租户业态分布-租赁面积占比-儿童（%）</v>
      </c>
      <c r="L393" t="str">
        <f t="shared" si="95"/>
        <v>领秀城贵和购物中心|租户业态分布-租赁面积占比-儿童（%）|年度</v>
      </c>
      <c r="M393">
        <f>IF($A393="",0,IF(COUNTIF($L$2:$L393,$L393)=1,1,0))</f>
        <v>1</v>
      </c>
      <c r="N393">
        <f t="shared" si="96"/>
        <v>20220</v>
      </c>
      <c r="O393" t="str">
        <f t="shared" si="97"/>
        <v>中金中国绿发消费封闭式基础设施证券投资基金|2022|年度</v>
      </c>
      <c r="P393">
        <f>IF($A393="",0,IF(COUNTIF($O$2:$O393,$O393)=1,1,0))</f>
        <v>0</v>
      </c>
      <c r="Q393" t="str">
        <f>IF(AND($P393=1,$A393=经营数据!$B$3,$J393=经营数据!$BA$5),COUNTIFS($P$2:$P$3000,1,$A$2:$A$3000,$A393,$J$2:$J$3000,$J393,$N$2:$N$3000,"&lt;"&amp;$N393)+1,"")</f>
        <v/>
      </c>
      <c r="R393" t="str">
        <f t="shared" si="98"/>
        <v>中金中国绿发消费封闭式基础设施证券投资基金|领秀城贵和购物中心</v>
      </c>
      <c r="S393">
        <f>IF($A393="",0,IF(COUNTIF($R$2:$R393,$R393)=1,1,0))</f>
        <v>0</v>
      </c>
      <c r="T393">
        <f t="shared" si="99"/>
        <v>385</v>
      </c>
      <c r="U393" t="str">
        <f>IF($A393="","",IF($A393=经营数据!$B$3,COUNTIFS($S$2:$S$3000,1,$A$2:$A$3000,$A393,$T$2:$T$3000,"&lt;"&amp;$T393)+1,""))</f>
        <v/>
      </c>
      <c r="V393" t="str">
        <f t="shared" si="100"/>
        <v>领秀城贵和购物中心|服务金额</v>
      </c>
      <c r="W393">
        <f t="shared" si="101"/>
        <v>385</v>
      </c>
      <c r="X393" t="str">
        <f t="shared" si="102"/>
        <v>领秀城贵和购物中心|租户业态分布-租赁面积占比</v>
      </c>
      <c r="Y393">
        <f t="shared" si="103"/>
        <v>392</v>
      </c>
      <c r="Z393">
        <f>IF($A393="",0,IF(AND($M393=1,$A393=经营数据!$B$3,$J393=经营数据!$BA$5,OR($I393=经营数据!$BA$4,COUNTIF(经营数据!$AA$9:$AA$38,$I393)&gt;0)),1,0))</f>
        <v>0</v>
      </c>
      <c r="AA393" t="str">
        <f t="shared" si="104"/>
        <v/>
      </c>
      <c r="AB393" t="str">
        <f t="shared" si="105"/>
        <v/>
      </c>
      <c r="AC393">
        <f>IF($A393="",0,IF(COUNTIF($A$2:$A393,$A393)=1,1,0))</f>
        <v>0</v>
      </c>
      <c r="AD393">
        <f t="shared" si="106"/>
        <v>5</v>
      </c>
      <c r="AE393" t="str">
        <f t="shared" si="107"/>
        <v>领秀城贵和购物中心|租户业态分布-租赁面积占比-儿童（%）</v>
      </c>
      <c r="BP393" s="47">
        <v>45953</v>
      </c>
      <c r="BQ393" s="29">
        <v>3.889228711807937E-2</v>
      </c>
    </row>
    <row r="394" spans="1:69" x14ac:dyDescent="0.4">
      <c r="A394" t="str">
        <f>IF(原始经营数据!$D395="","",原始经营数据!$D395)</f>
        <v>中金中国绿发消费封闭式基础设施证券投资基金</v>
      </c>
      <c r="B394" t="str">
        <f>IF(原始经营数据!$D395="","",T(原始经营数据!$E395))</f>
        <v>领秀城贵和购物中心</v>
      </c>
      <c r="C394" t="str">
        <f>IF(原始经营数据!$D395="","",原始经营数据!$F395)</f>
        <v>2022</v>
      </c>
      <c r="D394" t="str">
        <f>IF(原始经营数据!$D395="","",原始经营数据!$H395)</f>
        <v>租户业态分布-租赁面积占比</v>
      </c>
      <c r="E394">
        <f>IF(原始经营数据!$D395="","",原始经营数据!$I395)</f>
        <v>13.06</v>
      </c>
      <c r="F394" t="str">
        <f>IF(原始经营数据!$D395="","",T(原始经营数据!$J395))</f>
        <v>%</v>
      </c>
      <c r="G394" t="str">
        <f>IF(原始经营数据!$D395="","",T(原始经营数据!$K395))</f>
        <v>娱乐</v>
      </c>
      <c r="H394" t="str">
        <f>IF(原始经营数据!$D395="","",原始经营数据!$G395)</f>
        <v>服务金额</v>
      </c>
      <c r="I394" t="str">
        <f>IF($A394="","",IF($B394&lt;&gt;"",$B394,IF(COUNTIFS(原始经营数据!$D$3:$D$3001,$A394,原始经营数据!$E$3:$E$3001,"",原始经营数据!$F$3:$F$3001,$C394,原始经营数据!$H$3:$H$3001,$D394,原始经营数据!$K$3:$K$3001,$G394)&gt;1,"基金整体·来源"&amp;原始经营数据!$A395,"基金整体")))</f>
        <v>领秀城贵和购物中心</v>
      </c>
      <c r="J394" t="str">
        <f t="shared" si="93"/>
        <v>年度</v>
      </c>
      <c r="K394" t="str">
        <f t="shared" si="94"/>
        <v>租户业态分布-租赁面积占比-娱乐（%）</v>
      </c>
      <c r="L394" t="str">
        <f t="shared" si="95"/>
        <v>领秀城贵和购物中心|租户业态分布-租赁面积占比-娱乐（%）|年度</v>
      </c>
      <c r="M394">
        <f>IF($A394="",0,IF(COUNTIF($L$2:$L394,$L394)=1,1,0))</f>
        <v>1</v>
      </c>
      <c r="N394">
        <f t="shared" si="96"/>
        <v>20220</v>
      </c>
      <c r="O394" t="str">
        <f t="shared" si="97"/>
        <v>中金中国绿发消费封闭式基础设施证券投资基金|2022|年度</v>
      </c>
      <c r="P394">
        <f>IF($A394="",0,IF(COUNTIF($O$2:$O394,$O394)=1,1,0))</f>
        <v>0</v>
      </c>
      <c r="Q394" t="str">
        <f>IF(AND($P394=1,$A394=经营数据!$B$3,$J394=经营数据!$BA$5),COUNTIFS($P$2:$P$3000,1,$A$2:$A$3000,$A394,$J$2:$J$3000,$J394,$N$2:$N$3000,"&lt;"&amp;$N394)+1,"")</f>
        <v/>
      </c>
      <c r="R394" t="str">
        <f t="shared" si="98"/>
        <v>中金中国绿发消费封闭式基础设施证券投资基金|领秀城贵和购物中心</v>
      </c>
      <c r="S394">
        <f>IF($A394="",0,IF(COUNTIF($R$2:$R394,$R394)=1,1,0))</f>
        <v>0</v>
      </c>
      <c r="T394">
        <f t="shared" si="99"/>
        <v>385</v>
      </c>
      <c r="U394" t="str">
        <f>IF($A394="","",IF($A394=经营数据!$B$3,COUNTIFS($S$2:$S$3000,1,$A$2:$A$3000,$A394,$T$2:$T$3000,"&lt;"&amp;$T394)+1,""))</f>
        <v/>
      </c>
      <c r="V394" t="str">
        <f t="shared" si="100"/>
        <v>领秀城贵和购物中心|服务金额</v>
      </c>
      <c r="W394">
        <f t="shared" si="101"/>
        <v>385</v>
      </c>
      <c r="X394" t="str">
        <f t="shared" si="102"/>
        <v>领秀城贵和购物中心|租户业态分布-租赁面积占比</v>
      </c>
      <c r="Y394">
        <f t="shared" si="103"/>
        <v>392</v>
      </c>
      <c r="Z394">
        <f>IF($A394="",0,IF(AND($M394=1,$A394=经营数据!$B$3,$J394=经营数据!$BA$5,OR($I394=经营数据!$BA$4,COUNTIF(经营数据!$AA$9:$AA$38,$I394)&gt;0)),1,0))</f>
        <v>0</v>
      </c>
      <c r="AA394" t="str">
        <f t="shared" si="104"/>
        <v/>
      </c>
      <c r="AB394" t="str">
        <f t="shared" si="105"/>
        <v/>
      </c>
      <c r="AC394">
        <f>IF($A394="",0,IF(COUNTIF($A$2:$A394,$A394)=1,1,0))</f>
        <v>0</v>
      </c>
      <c r="AD394">
        <f t="shared" si="106"/>
        <v>5</v>
      </c>
      <c r="AE394" t="str">
        <f t="shared" si="107"/>
        <v>领秀城贵和购物中心|租户业态分布-租赁面积占比-娱乐（%）</v>
      </c>
      <c r="BP394" s="47">
        <v>45954</v>
      </c>
      <c r="BQ394" s="29">
        <v>3.8506617899833298E-2</v>
      </c>
    </row>
    <row r="395" spans="1:69" x14ac:dyDescent="0.4">
      <c r="A395" t="str">
        <f>IF(原始经营数据!$D396="","",原始经营数据!$D396)</f>
        <v>中金中国绿发消费封闭式基础设施证券投资基金</v>
      </c>
      <c r="B395" t="str">
        <f>IF(原始经营数据!$D396="","",T(原始经营数据!$E396))</f>
        <v>领秀城贵和购物中心</v>
      </c>
      <c r="C395" t="str">
        <f>IF(原始经营数据!$D396="","",原始经营数据!$F396)</f>
        <v>2022</v>
      </c>
      <c r="D395" t="str">
        <f>IF(原始经营数据!$D396="","",原始经营数据!$H396)</f>
        <v>租户业态分布-租赁面积占比</v>
      </c>
      <c r="E395">
        <f>IF(原始经营数据!$D396="","",原始经营数据!$I396)</f>
        <v>7.01</v>
      </c>
      <c r="F395" t="str">
        <f>IF(原始经营数据!$D396="","",T(原始经营数据!$J396))</f>
        <v>%</v>
      </c>
      <c r="G395" t="str">
        <f>IF(原始经营数据!$D396="","",T(原始经营数据!$K396))</f>
        <v>配套</v>
      </c>
      <c r="H395" t="str">
        <f>IF(原始经营数据!$D396="","",原始经营数据!$G396)</f>
        <v>服务金额</v>
      </c>
      <c r="I395" t="str">
        <f>IF($A395="","",IF($B395&lt;&gt;"",$B395,IF(COUNTIFS(原始经营数据!$D$3:$D$3001,$A395,原始经营数据!$E$3:$E$3001,"",原始经营数据!$F$3:$F$3001,$C395,原始经营数据!$H$3:$H$3001,$D395,原始经营数据!$K$3:$K$3001,$G395)&gt;1,"基金整体·来源"&amp;原始经营数据!$A396,"基金整体")))</f>
        <v>领秀城贵和购物中心</v>
      </c>
      <c r="J395" t="str">
        <f t="shared" si="93"/>
        <v>年度</v>
      </c>
      <c r="K395" t="str">
        <f t="shared" si="94"/>
        <v>租户业态分布-租赁面积占比-配套（%）</v>
      </c>
      <c r="L395" t="str">
        <f t="shared" si="95"/>
        <v>领秀城贵和购物中心|租户业态分布-租赁面积占比-配套（%）|年度</v>
      </c>
      <c r="M395">
        <f>IF($A395="",0,IF(COUNTIF($L$2:$L395,$L395)=1,1,0))</f>
        <v>1</v>
      </c>
      <c r="N395">
        <f t="shared" si="96"/>
        <v>20220</v>
      </c>
      <c r="O395" t="str">
        <f t="shared" si="97"/>
        <v>中金中国绿发消费封闭式基础设施证券投资基金|2022|年度</v>
      </c>
      <c r="P395">
        <f>IF($A395="",0,IF(COUNTIF($O$2:$O395,$O395)=1,1,0))</f>
        <v>0</v>
      </c>
      <c r="Q395" t="str">
        <f>IF(AND($P395=1,$A395=经营数据!$B$3,$J395=经营数据!$BA$5),COUNTIFS($P$2:$P$3000,1,$A$2:$A$3000,$A395,$J$2:$J$3000,$J395,$N$2:$N$3000,"&lt;"&amp;$N395)+1,"")</f>
        <v/>
      </c>
      <c r="R395" t="str">
        <f t="shared" si="98"/>
        <v>中金中国绿发消费封闭式基础设施证券投资基金|领秀城贵和购物中心</v>
      </c>
      <c r="S395">
        <f>IF($A395="",0,IF(COUNTIF($R$2:$R395,$R395)=1,1,0))</f>
        <v>0</v>
      </c>
      <c r="T395">
        <f t="shared" si="99"/>
        <v>385</v>
      </c>
      <c r="U395" t="str">
        <f>IF($A395="","",IF($A395=经营数据!$B$3,COUNTIFS($S$2:$S$3000,1,$A$2:$A$3000,$A395,$T$2:$T$3000,"&lt;"&amp;$T395)+1,""))</f>
        <v/>
      </c>
      <c r="V395" t="str">
        <f t="shared" si="100"/>
        <v>领秀城贵和购物中心|服务金额</v>
      </c>
      <c r="W395">
        <f t="shared" si="101"/>
        <v>385</v>
      </c>
      <c r="X395" t="str">
        <f t="shared" si="102"/>
        <v>领秀城贵和购物中心|租户业态分布-租赁面积占比</v>
      </c>
      <c r="Y395">
        <f t="shared" si="103"/>
        <v>392</v>
      </c>
      <c r="Z395">
        <f>IF($A395="",0,IF(AND($M395=1,$A395=经营数据!$B$3,$J395=经营数据!$BA$5,OR($I395=经营数据!$BA$4,COUNTIF(经营数据!$AA$9:$AA$38,$I395)&gt;0)),1,0))</f>
        <v>0</v>
      </c>
      <c r="AA395" t="str">
        <f t="shared" si="104"/>
        <v/>
      </c>
      <c r="AB395" t="str">
        <f t="shared" si="105"/>
        <v/>
      </c>
      <c r="AC395">
        <f>IF($A395="",0,IF(COUNTIF($A$2:$A395,$A395)=1,1,0))</f>
        <v>0</v>
      </c>
      <c r="AD395">
        <f t="shared" si="106"/>
        <v>5</v>
      </c>
      <c r="AE395" t="str">
        <f t="shared" si="107"/>
        <v>领秀城贵和购物中心|租户业态分布-租赁面积占比-配套（%）</v>
      </c>
      <c r="BP395" s="47">
        <v>45957</v>
      </c>
      <c r="BQ395" s="29">
        <v>3.8666494767598647E-2</v>
      </c>
    </row>
    <row r="396" spans="1:69" x14ac:dyDescent="0.4">
      <c r="A396" t="str">
        <f>IF(原始经营数据!$D397="","",原始经营数据!$D397)</f>
        <v>中金中国绿发消费封闭式基础设施证券投资基金</v>
      </c>
      <c r="B396" t="str">
        <f>IF(原始经营数据!$D397="","",T(原始经营数据!$E397))</f>
        <v>领秀城贵和购物中心</v>
      </c>
      <c r="C396" t="str">
        <f>IF(原始经营数据!$D397="","",原始经营数据!$F397)</f>
        <v>2022</v>
      </c>
      <c r="D396" t="str">
        <f>IF(原始经营数据!$D397="","",原始经营数据!$H397)</f>
        <v>平均固定租金单价</v>
      </c>
      <c r="E396">
        <f>IF(原始经营数据!$D397="","",原始经营数据!$I397)</f>
        <v>3.57</v>
      </c>
      <c r="F396" t="str">
        <f>IF(原始经营数据!$D397="","",T(原始经营数据!$J397))</f>
        <v>元/平方米/天</v>
      </c>
      <c r="G396" t="str">
        <f>IF(原始经营数据!$D397="","",T(原始经营数据!$K397))</f>
        <v/>
      </c>
      <c r="H396" t="str">
        <f>IF(原始经营数据!$D397="","",原始经营数据!$G397)</f>
        <v>服务价格</v>
      </c>
      <c r="I396" t="str">
        <f>IF($A396="","",IF($B396&lt;&gt;"",$B396,IF(COUNTIFS(原始经营数据!$D$3:$D$3001,$A396,原始经营数据!$E$3:$E$3001,"",原始经营数据!$F$3:$F$3001,$C396,原始经营数据!$H$3:$H$3001,$D396,原始经营数据!$K$3:$K$3001,$G396)&gt;1,"基金整体·来源"&amp;原始经营数据!$A397,"基金整体")))</f>
        <v>领秀城贵和购物中心</v>
      </c>
      <c r="J396" t="str">
        <f t="shared" si="93"/>
        <v>年度</v>
      </c>
      <c r="K396" t="str">
        <f t="shared" si="94"/>
        <v>平均固定租金单价（元/平方米/天）</v>
      </c>
      <c r="L396" t="str">
        <f t="shared" si="95"/>
        <v>领秀城贵和购物中心|平均固定租金单价（元/平方米/天）|年度</v>
      </c>
      <c r="M396">
        <f>IF($A396="",0,IF(COUNTIF($L$2:$L396,$L396)=1,1,0))</f>
        <v>1</v>
      </c>
      <c r="N396">
        <f t="shared" si="96"/>
        <v>20220</v>
      </c>
      <c r="O396" t="str">
        <f t="shared" si="97"/>
        <v>中金中国绿发消费封闭式基础设施证券投资基金|2022|年度</v>
      </c>
      <c r="P396">
        <f>IF($A396="",0,IF(COUNTIF($O$2:$O396,$O396)=1,1,0))</f>
        <v>0</v>
      </c>
      <c r="Q396" t="str">
        <f>IF(AND($P396=1,$A396=经营数据!$B$3,$J396=经营数据!$BA$5),COUNTIFS($P$2:$P$3000,1,$A$2:$A$3000,$A396,$J$2:$J$3000,$J396,$N$2:$N$3000,"&lt;"&amp;$N396)+1,"")</f>
        <v/>
      </c>
      <c r="R396" t="str">
        <f t="shared" si="98"/>
        <v>中金中国绿发消费封闭式基础设施证券投资基金|领秀城贵和购物中心</v>
      </c>
      <c r="S396">
        <f>IF($A396="",0,IF(COUNTIF($R$2:$R396,$R396)=1,1,0))</f>
        <v>0</v>
      </c>
      <c r="T396">
        <f t="shared" si="99"/>
        <v>385</v>
      </c>
      <c r="U396" t="str">
        <f>IF($A396="","",IF($A396=经营数据!$B$3,COUNTIFS($S$2:$S$3000,1,$A$2:$A$3000,$A396,$T$2:$T$3000,"&lt;"&amp;$T396)+1,""))</f>
        <v/>
      </c>
      <c r="V396" t="str">
        <f t="shared" si="100"/>
        <v>领秀城贵和购物中心|服务价格</v>
      </c>
      <c r="W396">
        <f t="shared" si="101"/>
        <v>395</v>
      </c>
      <c r="X396" t="str">
        <f t="shared" si="102"/>
        <v>领秀城贵和购物中心|平均固定租金单价</v>
      </c>
      <c r="Y396">
        <f t="shared" si="103"/>
        <v>395</v>
      </c>
      <c r="Z396">
        <f>IF($A396="",0,IF(AND($M396=1,$A396=经营数据!$B$3,$J396=经营数据!$BA$5,OR($I396=经营数据!$BA$4,COUNTIF(经营数据!$AA$9:$AA$38,$I396)&gt;0)),1,0))</f>
        <v>0</v>
      </c>
      <c r="AA396" t="str">
        <f t="shared" si="104"/>
        <v/>
      </c>
      <c r="AB396" t="str">
        <f t="shared" si="105"/>
        <v/>
      </c>
      <c r="AC396">
        <f>IF($A396="",0,IF(COUNTIF($A$2:$A396,$A396)=1,1,0))</f>
        <v>0</v>
      </c>
      <c r="AD396">
        <f t="shared" si="106"/>
        <v>5</v>
      </c>
      <c r="AE396" t="str">
        <f t="shared" si="107"/>
        <v>领秀城贵和购物中心|平均固定租金单价（元/平方米/天）</v>
      </c>
      <c r="BP396" s="47">
        <v>45958</v>
      </c>
      <c r="BQ396" s="29">
        <v>3.8710857592213967E-2</v>
      </c>
    </row>
    <row r="397" spans="1:69" x14ac:dyDescent="0.4">
      <c r="A397" t="str">
        <f>IF(原始经营数据!$D398="","",原始经营数据!$D398)</f>
        <v>中金中国绿发消费封闭式基础设施证券投资基金</v>
      </c>
      <c r="B397" t="str">
        <f>IF(原始经营数据!$D398="","",T(原始经营数据!$E398))</f>
        <v>领秀城贵和购物中心</v>
      </c>
      <c r="C397" t="str">
        <f>IF(原始经营数据!$D398="","",原始经营数据!$F398)</f>
        <v>2022</v>
      </c>
      <c r="D397" t="str">
        <f>IF(原始经营数据!$D398="","",原始经营数据!$H398)</f>
        <v>月租金坪效</v>
      </c>
      <c r="E397">
        <f>IF(原始经营数据!$D398="","",原始经营数据!$I398)</f>
        <v>65.239999999999995</v>
      </c>
      <c r="F397" t="str">
        <f>IF(原始经营数据!$D398="","",T(原始经营数据!$J398))</f>
        <v>元/平方米/月</v>
      </c>
      <c r="G397" t="str">
        <f>IF(原始经营数据!$D398="","",T(原始经营数据!$K398))</f>
        <v/>
      </c>
      <c r="H397" t="str">
        <f>IF(原始经营数据!$D398="","",原始经营数据!$G398)</f>
        <v>服务价格</v>
      </c>
      <c r="I397" t="str">
        <f>IF($A397="","",IF($B397&lt;&gt;"",$B397,IF(COUNTIFS(原始经营数据!$D$3:$D$3001,$A397,原始经营数据!$E$3:$E$3001,"",原始经营数据!$F$3:$F$3001,$C397,原始经营数据!$H$3:$H$3001,$D397,原始经营数据!$K$3:$K$3001,$G397)&gt;1,"基金整体·来源"&amp;原始经营数据!$A398,"基金整体")))</f>
        <v>领秀城贵和购物中心</v>
      </c>
      <c r="J397" t="str">
        <f t="shared" si="93"/>
        <v>年度</v>
      </c>
      <c r="K397" t="str">
        <f t="shared" si="94"/>
        <v>月租金坪效（元/平方米/月）</v>
      </c>
      <c r="L397" t="str">
        <f t="shared" si="95"/>
        <v>领秀城贵和购物中心|月租金坪效（元/平方米/月）|年度</v>
      </c>
      <c r="M397">
        <f>IF($A397="",0,IF(COUNTIF($L$2:$L397,$L397)=1,1,0))</f>
        <v>1</v>
      </c>
      <c r="N397">
        <f t="shared" si="96"/>
        <v>20220</v>
      </c>
      <c r="O397" t="str">
        <f t="shared" si="97"/>
        <v>中金中国绿发消费封闭式基础设施证券投资基金|2022|年度</v>
      </c>
      <c r="P397">
        <f>IF($A397="",0,IF(COUNTIF($O$2:$O397,$O397)=1,1,0))</f>
        <v>0</v>
      </c>
      <c r="Q397" t="str">
        <f>IF(AND($P397=1,$A397=经营数据!$B$3,$J397=经营数据!$BA$5),COUNTIFS($P$2:$P$3000,1,$A$2:$A$3000,$A397,$J$2:$J$3000,$J397,$N$2:$N$3000,"&lt;"&amp;$N397)+1,"")</f>
        <v/>
      </c>
      <c r="R397" t="str">
        <f t="shared" si="98"/>
        <v>中金中国绿发消费封闭式基础设施证券投资基金|领秀城贵和购物中心</v>
      </c>
      <c r="S397">
        <f>IF($A397="",0,IF(COUNTIF($R$2:$R397,$R397)=1,1,0))</f>
        <v>0</v>
      </c>
      <c r="T397">
        <f t="shared" si="99"/>
        <v>385</v>
      </c>
      <c r="U397" t="str">
        <f>IF($A397="","",IF($A397=经营数据!$B$3,COUNTIFS($S$2:$S$3000,1,$A$2:$A$3000,$A397,$T$2:$T$3000,"&lt;"&amp;$T397)+1,""))</f>
        <v/>
      </c>
      <c r="V397" t="str">
        <f t="shared" si="100"/>
        <v>领秀城贵和购物中心|服务价格</v>
      </c>
      <c r="W397">
        <f t="shared" si="101"/>
        <v>395</v>
      </c>
      <c r="X397" t="str">
        <f t="shared" si="102"/>
        <v>领秀城贵和购物中心|月租金坪效</v>
      </c>
      <c r="Y397">
        <f t="shared" si="103"/>
        <v>396</v>
      </c>
      <c r="Z397">
        <f>IF($A397="",0,IF(AND($M397=1,$A397=经营数据!$B$3,$J397=经营数据!$BA$5,OR($I397=经营数据!$BA$4,COUNTIF(经营数据!$AA$9:$AA$38,$I397)&gt;0)),1,0))</f>
        <v>0</v>
      </c>
      <c r="AA397" t="str">
        <f t="shared" si="104"/>
        <v/>
      </c>
      <c r="AB397" t="str">
        <f t="shared" si="105"/>
        <v/>
      </c>
      <c r="AC397">
        <f>IF($A397="",0,IF(COUNTIF($A$2:$A397,$A397)=1,1,0))</f>
        <v>0</v>
      </c>
      <c r="AD397">
        <f t="shared" si="106"/>
        <v>5</v>
      </c>
      <c r="AE397" t="str">
        <f t="shared" si="107"/>
        <v>领秀城贵和购物中心|月租金坪效（元/平方米/月）</v>
      </c>
      <c r="BP397" s="47">
        <v>45959</v>
      </c>
      <c r="BQ397" s="29">
        <v>3.8177256702585573E-2</v>
      </c>
    </row>
    <row r="398" spans="1:69" x14ac:dyDescent="0.4">
      <c r="A398" t="str">
        <f>IF(原始经营数据!$D399="","",原始经营数据!$D399)</f>
        <v>中金中国绿发消费封闭式基础设施证券投资基金</v>
      </c>
      <c r="B398" t="str">
        <f>IF(原始经营数据!$D399="","",T(原始经营数据!$E399))</f>
        <v>领秀城贵和购物中心</v>
      </c>
      <c r="C398" t="str">
        <f>IF(原始经营数据!$D399="","",原始经营数据!$F399)</f>
        <v>2022</v>
      </c>
      <c r="D398" t="str">
        <f>IF(原始经营数据!$D399="","",原始经营数据!$H399)</f>
        <v>平均固定租金单价增长率</v>
      </c>
      <c r="E398">
        <f>IF(原始经营数据!$D399="","",原始经营数据!$I399)</f>
        <v>8.8000000000000007</v>
      </c>
      <c r="F398" t="str">
        <f>IF(原始经营数据!$D399="","",T(原始经营数据!$J399))</f>
        <v>%</v>
      </c>
      <c r="G398" t="str">
        <f>IF(原始经营数据!$D399="","",T(原始经营数据!$K399))</f>
        <v/>
      </c>
      <c r="H398" t="str">
        <f>IF(原始经营数据!$D399="","",原始经营数据!$G399)</f>
        <v>服务效率</v>
      </c>
      <c r="I398" t="str">
        <f>IF($A398="","",IF($B398&lt;&gt;"",$B398,IF(COUNTIFS(原始经营数据!$D$3:$D$3001,$A398,原始经营数据!$E$3:$E$3001,"",原始经营数据!$F$3:$F$3001,$C398,原始经营数据!$H$3:$H$3001,$D398,原始经营数据!$K$3:$K$3001,$G398)&gt;1,"基金整体·来源"&amp;原始经营数据!$A399,"基金整体")))</f>
        <v>领秀城贵和购物中心</v>
      </c>
      <c r="J398" t="str">
        <f t="shared" si="93"/>
        <v>年度</v>
      </c>
      <c r="K398" t="str">
        <f t="shared" si="94"/>
        <v>平均固定租金单价增长率（%）</v>
      </c>
      <c r="L398" t="str">
        <f t="shared" si="95"/>
        <v>领秀城贵和购物中心|平均固定租金单价增长率（%）|年度</v>
      </c>
      <c r="M398">
        <f>IF($A398="",0,IF(COUNTIF($L$2:$L398,$L398)=1,1,0))</f>
        <v>1</v>
      </c>
      <c r="N398">
        <f t="shared" si="96"/>
        <v>20220</v>
      </c>
      <c r="O398" t="str">
        <f t="shared" si="97"/>
        <v>中金中国绿发消费封闭式基础设施证券投资基金|2022|年度</v>
      </c>
      <c r="P398">
        <f>IF($A398="",0,IF(COUNTIF($O$2:$O398,$O398)=1,1,0))</f>
        <v>0</v>
      </c>
      <c r="Q398" t="str">
        <f>IF(AND($P398=1,$A398=经营数据!$B$3,$J398=经营数据!$BA$5),COUNTIFS($P$2:$P$3000,1,$A$2:$A$3000,$A398,$J$2:$J$3000,$J398,$N$2:$N$3000,"&lt;"&amp;$N398)+1,"")</f>
        <v/>
      </c>
      <c r="R398" t="str">
        <f t="shared" si="98"/>
        <v>中金中国绿发消费封闭式基础设施证券投资基金|领秀城贵和购物中心</v>
      </c>
      <c r="S398">
        <f>IF($A398="",0,IF(COUNTIF($R$2:$R398,$R398)=1,1,0))</f>
        <v>0</v>
      </c>
      <c r="T398">
        <f t="shared" si="99"/>
        <v>385</v>
      </c>
      <c r="U398" t="str">
        <f>IF($A398="","",IF($A398=经营数据!$B$3,COUNTIFS($S$2:$S$3000,1,$A$2:$A$3000,$A398,$T$2:$T$3000,"&lt;"&amp;$T398)+1,""))</f>
        <v/>
      </c>
      <c r="V398" t="str">
        <f t="shared" si="100"/>
        <v>领秀城贵和购物中心|服务效率</v>
      </c>
      <c r="W398">
        <f t="shared" si="101"/>
        <v>397</v>
      </c>
      <c r="X398" t="str">
        <f t="shared" si="102"/>
        <v>领秀城贵和购物中心|平均固定租金单价增长率</v>
      </c>
      <c r="Y398">
        <f t="shared" si="103"/>
        <v>397</v>
      </c>
      <c r="Z398">
        <f>IF($A398="",0,IF(AND($M398=1,$A398=经营数据!$B$3,$J398=经营数据!$BA$5,OR($I398=经营数据!$BA$4,COUNTIF(经营数据!$AA$9:$AA$38,$I398)&gt;0)),1,0))</f>
        <v>0</v>
      </c>
      <c r="AA398" t="str">
        <f t="shared" si="104"/>
        <v/>
      </c>
      <c r="AB398" t="str">
        <f t="shared" si="105"/>
        <v/>
      </c>
      <c r="AC398">
        <f>IF($A398="",0,IF(COUNTIF($A$2:$A398,$A398)=1,1,0))</f>
        <v>0</v>
      </c>
      <c r="AD398">
        <f t="shared" si="106"/>
        <v>5</v>
      </c>
      <c r="AE398" t="str">
        <f t="shared" si="107"/>
        <v>领秀城贵和购物中心|平均固定租金单价增长率（%）</v>
      </c>
      <c r="BP398" s="47">
        <v>45960</v>
      </c>
      <c r="BQ398" s="29">
        <v>3.8167554013200919E-2</v>
      </c>
    </row>
    <row r="399" spans="1:69" x14ac:dyDescent="0.4">
      <c r="A399" t="str">
        <f>IF(原始经营数据!$D400="","",原始经营数据!$D400)</f>
        <v>中金中国绿发消费封闭式基础设施证券投资基金</v>
      </c>
      <c r="B399" t="str">
        <f>IF(原始经营数据!$D400="","",T(原始经营数据!$E400))</f>
        <v>领秀城贵和购物中心</v>
      </c>
      <c r="C399" t="str">
        <f>IF(原始经营数据!$D400="","",原始经营数据!$F400)</f>
        <v>2022</v>
      </c>
      <c r="D399" t="str">
        <f>IF(原始经营数据!$D400="","",原始经营数据!$H400)</f>
        <v>加权平均出租率</v>
      </c>
      <c r="E399">
        <f>IF(原始经营数据!$D400="","",原始经营数据!$I400)</f>
        <v>93.04</v>
      </c>
      <c r="F399" t="str">
        <f>IF(原始经营数据!$D400="","",T(原始经营数据!$J400))</f>
        <v>%</v>
      </c>
      <c r="G399" t="str">
        <f>IF(原始经营数据!$D400="","",T(原始经营数据!$K400))</f>
        <v/>
      </c>
      <c r="H399" t="str">
        <f>IF(原始经营数据!$D400="","",原始经营数据!$G400)</f>
        <v>服务效率</v>
      </c>
      <c r="I399" t="str">
        <f>IF($A399="","",IF($B399&lt;&gt;"",$B399,IF(COUNTIFS(原始经营数据!$D$3:$D$3001,$A399,原始经营数据!$E$3:$E$3001,"",原始经营数据!$F$3:$F$3001,$C399,原始经营数据!$H$3:$H$3001,$D399,原始经营数据!$K$3:$K$3001,$G399)&gt;1,"基金整体·来源"&amp;原始经营数据!$A400,"基金整体")))</f>
        <v>领秀城贵和购物中心</v>
      </c>
      <c r="J399" t="str">
        <f t="shared" si="93"/>
        <v>年度</v>
      </c>
      <c r="K399" t="str">
        <f t="shared" si="94"/>
        <v>加权平均出租率（%）</v>
      </c>
      <c r="L399" t="str">
        <f t="shared" si="95"/>
        <v>领秀城贵和购物中心|加权平均出租率（%）|年度</v>
      </c>
      <c r="M399">
        <f>IF($A399="",0,IF(COUNTIF($L$2:$L399,$L399)=1,1,0))</f>
        <v>1</v>
      </c>
      <c r="N399">
        <f t="shared" si="96"/>
        <v>20220</v>
      </c>
      <c r="O399" t="str">
        <f t="shared" si="97"/>
        <v>中金中国绿发消费封闭式基础设施证券投资基金|2022|年度</v>
      </c>
      <c r="P399">
        <f>IF($A399="",0,IF(COUNTIF($O$2:$O399,$O399)=1,1,0))</f>
        <v>0</v>
      </c>
      <c r="Q399" t="str">
        <f>IF(AND($P399=1,$A399=经营数据!$B$3,$J399=经营数据!$BA$5),COUNTIFS($P$2:$P$3000,1,$A$2:$A$3000,$A399,$J$2:$J$3000,$J399,$N$2:$N$3000,"&lt;"&amp;$N399)+1,"")</f>
        <v/>
      </c>
      <c r="R399" t="str">
        <f t="shared" si="98"/>
        <v>中金中国绿发消费封闭式基础设施证券投资基金|领秀城贵和购物中心</v>
      </c>
      <c r="S399">
        <f>IF($A399="",0,IF(COUNTIF($R$2:$R399,$R399)=1,1,0))</f>
        <v>0</v>
      </c>
      <c r="T399">
        <f t="shared" si="99"/>
        <v>385</v>
      </c>
      <c r="U399" t="str">
        <f>IF($A399="","",IF($A399=经营数据!$B$3,COUNTIFS($S$2:$S$3000,1,$A$2:$A$3000,$A399,$T$2:$T$3000,"&lt;"&amp;$T399)+1,""))</f>
        <v/>
      </c>
      <c r="V399" t="str">
        <f t="shared" si="100"/>
        <v>领秀城贵和购物中心|服务效率</v>
      </c>
      <c r="W399">
        <f t="shared" si="101"/>
        <v>397</v>
      </c>
      <c r="X399" t="str">
        <f t="shared" si="102"/>
        <v>领秀城贵和购物中心|加权平均出租率</v>
      </c>
      <c r="Y399">
        <f t="shared" si="103"/>
        <v>398</v>
      </c>
      <c r="Z399">
        <f>IF($A399="",0,IF(AND($M399=1,$A399=经营数据!$B$3,$J399=经营数据!$BA$5,OR($I399=经营数据!$BA$4,COUNTIF(经营数据!$AA$9:$AA$38,$I399)&gt;0)),1,0))</f>
        <v>0</v>
      </c>
      <c r="AA399" t="str">
        <f t="shared" si="104"/>
        <v/>
      </c>
      <c r="AB399" t="str">
        <f t="shared" si="105"/>
        <v/>
      </c>
      <c r="AC399">
        <f>IF($A399="",0,IF(COUNTIF($A$2:$A399,$A399)=1,1,0))</f>
        <v>0</v>
      </c>
      <c r="AD399">
        <f t="shared" si="106"/>
        <v>5</v>
      </c>
      <c r="AE399" t="str">
        <f t="shared" si="107"/>
        <v>领秀城贵和购物中心|加权平均出租率（%）</v>
      </c>
      <c r="BP399" s="47">
        <v>45961</v>
      </c>
      <c r="BQ399" s="29">
        <v>3.8541755593136127E-2</v>
      </c>
    </row>
    <row r="400" spans="1:69" x14ac:dyDescent="0.4">
      <c r="A400" t="str">
        <f>IF(原始经营数据!$D401="","",原始经营数据!$D401)</f>
        <v>中金中国绿发消费封闭式基础设施证券投资基金</v>
      </c>
      <c r="B400" t="str">
        <f>IF(原始经营数据!$D401="","",T(原始经营数据!$E401))</f>
        <v>领秀城贵和购物中心</v>
      </c>
      <c r="C400" t="str">
        <f>IF(原始经营数据!$D401="","",原始经营数据!$F401)</f>
        <v>2022</v>
      </c>
      <c r="D400" t="str">
        <f>IF(原始经营数据!$D401="","",原始经营数据!$H401)</f>
        <v>续租率</v>
      </c>
      <c r="E400">
        <f>IF(原始经营数据!$D401="","",原始经营数据!$I401)</f>
        <v>66.709999999999994</v>
      </c>
      <c r="F400" t="str">
        <f>IF(原始经营数据!$D401="","",T(原始经营数据!$J401))</f>
        <v>%</v>
      </c>
      <c r="G400" t="str">
        <f>IF(原始经营数据!$D401="","",T(原始经营数据!$K401))</f>
        <v/>
      </c>
      <c r="H400" t="str">
        <f>IF(原始经营数据!$D401="","",原始经营数据!$G401)</f>
        <v>服务效率</v>
      </c>
      <c r="I400" t="str">
        <f>IF($A400="","",IF($B400&lt;&gt;"",$B400,IF(COUNTIFS(原始经营数据!$D$3:$D$3001,$A400,原始经营数据!$E$3:$E$3001,"",原始经营数据!$F$3:$F$3001,$C400,原始经营数据!$H$3:$H$3001,$D400,原始经营数据!$K$3:$K$3001,$G400)&gt;1,"基金整体·来源"&amp;原始经营数据!$A401,"基金整体")))</f>
        <v>领秀城贵和购物中心</v>
      </c>
      <c r="J400" t="str">
        <f t="shared" si="93"/>
        <v>年度</v>
      </c>
      <c r="K400" t="str">
        <f t="shared" si="94"/>
        <v>续租率（%）</v>
      </c>
      <c r="L400" t="str">
        <f t="shared" si="95"/>
        <v>领秀城贵和购物中心|续租率（%）|年度</v>
      </c>
      <c r="M400">
        <f>IF($A400="",0,IF(COUNTIF($L$2:$L400,$L400)=1,1,0))</f>
        <v>1</v>
      </c>
      <c r="N400">
        <f t="shared" si="96"/>
        <v>20220</v>
      </c>
      <c r="O400" t="str">
        <f t="shared" si="97"/>
        <v>中金中国绿发消费封闭式基础设施证券投资基金|2022|年度</v>
      </c>
      <c r="P400">
        <f>IF($A400="",0,IF(COUNTIF($O$2:$O400,$O400)=1,1,0))</f>
        <v>0</v>
      </c>
      <c r="Q400" t="str">
        <f>IF(AND($P400=1,$A400=经营数据!$B$3,$J400=经营数据!$BA$5),COUNTIFS($P$2:$P$3000,1,$A$2:$A$3000,$A400,$J$2:$J$3000,$J400,$N$2:$N$3000,"&lt;"&amp;$N400)+1,"")</f>
        <v/>
      </c>
      <c r="R400" t="str">
        <f t="shared" si="98"/>
        <v>中金中国绿发消费封闭式基础设施证券投资基金|领秀城贵和购物中心</v>
      </c>
      <c r="S400">
        <f>IF($A400="",0,IF(COUNTIF($R$2:$R400,$R400)=1,1,0))</f>
        <v>0</v>
      </c>
      <c r="T400">
        <f t="shared" si="99"/>
        <v>385</v>
      </c>
      <c r="U400" t="str">
        <f>IF($A400="","",IF($A400=经营数据!$B$3,COUNTIFS($S$2:$S$3000,1,$A$2:$A$3000,$A400,$T$2:$T$3000,"&lt;"&amp;$T400)+1,""))</f>
        <v/>
      </c>
      <c r="V400" t="str">
        <f t="shared" si="100"/>
        <v>领秀城贵和购物中心|服务效率</v>
      </c>
      <c r="W400">
        <f t="shared" si="101"/>
        <v>397</v>
      </c>
      <c r="X400" t="str">
        <f t="shared" si="102"/>
        <v>领秀城贵和购物中心|续租率</v>
      </c>
      <c r="Y400">
        <f t="shared" si="103"/>
        <v>399</v>
      </c>
      <c r="Z400">
        <f>IF($A400="",0,IF(AND($M400=1,$A400=经营数据!$B$3,$J400=经营数据!$BA$5,OR($I400=经营数据!$BA$4,COUNTIF(经营数据!$AA$9:$AA$38,$I400)&gt;0)),1,0))</f>
        <v>0</v>
      </c>
      <c r="AA400" t="str">
        <f t="shared" si="104"/>
        <v/>
      </c>
      <c r="AB400" t="str">
        <f t="shared" si="105"/>
        <v/>
      </c>
      <c r="AC400">
        <f>IF($A400="",0,IF(COUNTIF($A$2:$A400,$A400)=1,1,0))</f>
        <v>0</v>
      </c>
      <c r="AD400">
        <f t="shared" si="106"/>
        <v>5</v>
      </c>
      <c r="AE400" t="str">
        <f t="shared" si="107"/>
        <v>领秀城贵和购物中心|续租率（%）</v>
      </c>
      <c r="BP400" s="47">
        <v>45964</v>
      </c>
      <c r="BQ400" s="29">
        <v>3.8594024788023609E-2</v>
      </c>
    </row>
    <row r="401" spans="1:69" x14ac:dyDescent="0.4">
      <c r="A401" t="str">
        <f>IF(原始经营数据!$D402="","",原始经营数据!$D402)</f>
        <v>中金中国绿发消费封闭式基础设施证券投资基金</v>
      </c>
      <c r="B401" t="str">
        <f>IF(原始经营数据!$D402="","",T(原始经营数据!$E402))</f>
        <v>领秀城贵和购物中心</v>
      </c>
      <c r="C401" t="str">
        <f>IF(原始经营数据!$D402="","",原始经营数据!$F402)</f>
        <v>2022</v>
      </c>
      <c r="D401" t="str">
        <f>IF(原始经营数据!$D402="","",原始经营数据!$H402)</f>
        <v>营业额</v>
      </c>
      <c r="E401">
        <f>IF(原始经营数据!$D402="","",原始经营数据!$I402)</f>
        <v>83475.58</v>
      </c>
      <c r="F401" t="str">
        <f>IF(原始经营数据!$D402="","",T(原始经营数据!$J402))</f>
        <v>万元</v>
      </c>
      <c r="G401" t="str">
        <f>IF(原始经营数据!$D402="","",T(原始经营数据!$K402))</f>
        <v>除新能源汽车</v>
      </c>
      <c r="H401" t="str">
        <f>IF(原始经营数据!$D402="","",原始经营数据!$G402)</f>
        <v>服务金额</v>
      </c>
      <c r="I401" t="str">
        <f>IF($A401="","",IF($B401&lt;&gt;"",$B401,IF(COUNTIFS(原始经营数据!$D$3:$D$3001,$A401,原始经营数据!$E$3:$E$3001,"",原始经营数据!$F$3:$F$3001,$C401,原始经营数据!$H$3:$H$3001,$D401,原始经营数据!$K$3:$K$3001,$G401)&gt;1,"基金整体·来源"&amp;原始经营数据!$A402,"基金整体")))</f>
        <v>领秀城贵和购物中心</v>
      </c>
      <c r="J401" t="str">
        <f t="shared" si="93"/>
        <v>年度</v>
      </c>
      <c r="K401" t="str">
        <f t="shared" si="94"/>
        <v>营业额-除新能源汽车（万元）</v>
      </c>
      <c r="L401" t="str">
        <f t="shared" si="95"/>
        <v>领秀城贵和购物中心|营业额-除新能源汽车（万元）|年度</v>
      </c>
      <c r="M401">
        <f>IF($A401="",0,IF(COUNTIF($L$2:$L401,$L401)=1,1,0))</f>
        <v>1</v>
      </c>
      <c r="N401">
        <f t="shared" si="96"/>
        <v>20220</v>
      </c>
      <c r="O401" t="str">
        <f t="shared" si="97"/>
        <v>中金中国绿发消费封闭式基础设施证券投资基金|2022|年度</v>
      </c>
      <c r="P401">
        <f>IF($A401="",0,IF(COUNTIF($O$2:$O401,$O401)=1,1,0))</f>
        <v>0</v>
      </c>
      <c r="Q401" t="str">
        <f>IF(AND($P401=1,$A401=经营数据!$B$3,$J401=经营数据!$BA$5),COUNTIFS($P$2:$P$3000,1,$A$2:$A$3000,$A401,$J$2:$J$3000,$J401,$N$2:$N$3000,"&lt;"&amp;$N401)+1,"")</f>
        <v/>
      </c>
      <c r="R401" t="str">
        <f t="shared" si="98"/>
        <v>中金中国绿发消费封闭式基础设施证券投资基金|领秀城贵和购物中心</v>
      </c>
      <c r="S401">
        <f>IF($A401="",0,IF(COUNTIF($R$2:$R401,$R401)=1,1,0))</f>
        <v>0</v>
      </c>
      <c r="T401">
        <f t="shared" si="99"/>
        <v>385</v>
      </c>
      <c r="U401" t="str">
        <f>IF($A401="","",IF($A401=经营数据!$B$3,COUNTIFS($S$2:$S$3000,1,$A$2:$A$3000,$A401,$T$2:$T$3000,"&lt;"&amp;$T401)+1,""))</f>
        <v/>
      </c>
      <c r="V401" t="str">
        <f t="shared" si="100"/>
        <v>领秀城贵和购物中心|服务金额</v>
      </c>
      <c r="W401">
        <f t="shared" si="101"/>
        <v>385</v>
      </c>
      <c r="X401" t="str">
        <f t="shared" si="102"/>
        <v>领秀城贵和购物中心|营业额</v>
      </c>
      <c r="Y401">
        <f t="shared" si="103"/>
        <v>389</v>
      </c>
      <c r="Z401">
        <f>IF($A401="",0,IF(AND($M401=1,$A401=经营数据!$B$3,$J401=经营数据!$BA$5,OR($I401=经营数据!$BA$4,COUNTIF(经营数据!$AA$9:$AA$38,$I401)&gt;0)),1,0))</f>
        <v>0</v>
      </c>
      <c r="AA401" t="str">
        <f t="shared" si="104"/>
        <v/>
      </c>
      <c r="AB401" t="str">
        <f t="shared" si="105"/>
        <v/>
      </c>
      <c r="AC401">
        <f>IF($A401="",0,IF(COUNTIF($A$2:$A401,$A401)=1,1,0))</f>
        <v>0</v>
      </c>
      <c r="AD401">
        <f t="shared" si="106"/>
        <v>5</v>
      </c>
      <c r="AE401" t="str">
        <f t="shared" si="107"/>
        <v>领秀城贵和购物中心|营业额-除新能源汽车（万元）</v>
      </c>
      <c r="BP401" s="47">
        <v>45965</v>
      </c>
      <c r="BQ401" s="29">
        <v>3.8779533296001582E-2</v>
      </c>
    </row>
    <row r="402" spans="1:69" x14ac:dyDescent="0.4">
      <c r="A402" t="str">
        <f>IF(原始经营数据!$D403="","",原始经营数据!$D403)</f>
        <v>中金中国绿发消费封闭式基础设施证券投资基金</v>
      </c>
      <c r="B402" t="str">
        <f>IF(原始经营数据!$D403="","",T(原始经营数据!$E403))</f>
        <v>领秀城贵和购物中心</v>
      </c>
      <c r="C402" t="str">
        <f>IF(原始经营数据!$D403="","",原始经营数据!$F403)</f>
        <v>2022</v>
      </c>
      <c r="D402" t="str">
        <f>IF(原始经营数据!$D403="","",原始经营数据!$H403)</f>
        <v>月销售坪效</v>
      </c>
      <c r="E402">
        <f>IF(原始经营数据!$D403="","",原始经营数据!$I403)</f>
        <v>928.5</v>
      </c>
      <c r="F402" t="str">
        <f>IF(原始经营数据!$D403="","",T(原始经营数据!$J403))</f>
        <v>元/平方米/月</v>
      </c>
      <c r="G402" t="str">
        <f>IF(原始经营数据!$D403="","",T(原始经营数据!$K403))</f>
        <v/>
      </c>
      <c r="H402" t="str">
        <f>IF(原始经营数据!$D403="","",原始经营数据!$G403)</f>
        <v>服务价格</v>
      </c>
      <c r="I402" t="str">
        <f>IF($A402="","",IF($B402&lt;&gt;"",$B402,IF(COUNTIFS(原始经营数据!$D$3:$D$3001,$A402,原始经营数据!$E$3:$E$3001,"",原始经营数据!$F$3:$F$3001,$C402,原始经营数据!$H$3:$H$3001,$D402,原始经营数据!$K$3:$K$3001,$G402)&gt;1,"基金整体·来源"&amp;原始经营数据!$A403,"基金整体")))</f>
        <v>领秀城贵和购物中心</v>
      </c>
      <c r="J402" t="str">
        <f t="shared" si="93"/>
        <v>年度</v>
      </c>
      <c r="K402" t="str">
        <f t="shared" si="94"/>
        <v>月销售坪效（元/平方米/月）</v>
      </c>
      <c r="L402" t="str">
        <f t="shared" si="95"/>
        <v>领秀城贵和购物中心|月销售坪效（元/平方米/月）|年度</v>
      </c>
      <c r="M402">
        <f>IF($A402="",0,IF(COUNTIF($L$2:$L402,$L402)=1,1,0))</f>
        <v>1</v>
      </c>
      <c r="N402">
        <f t="shared" si="96"/>
        <v>20220</v>
      </c>
      <c r="O402" t="str">
        <f t="shared" si="97"/>
        <v>中金中国绿发消费封闭式基础设施证券投资基金|2022|年度</v>
      </c>
      <c r="P402">
        <f>IF($A402="",0,IF(COUNTIF($O$2:$O402,$O402)=1,1,0))</f>
        <v>0</v>
      </c>
      <c r="Q402" t="str">
        <f>IF(AND($P402=1,$A402=经营数据!$B$3,$J402=经营数据!$BA$5),COUNTIFS($P$2:$P$3000,1,$A$2:$A$3000,$A402,$J$2:$J$3000,$J402,$N$2:$N$3000,"&lt;"&amp;$N402)+1,"")</f>
        <v/>
      </c>
      <c r="R402" t="str">
        <f t="shared" si="98"/>
        <v>中金中国绿发消费封闭式基础设施证券投资基金|领秀城贵和购物中心</v>
      </c>
      <c r="S402">
        <f>IF($A402="",0,IF(COUNTIF($R$2:$R402,$R402)=1,1,0))</f>
        <v>0</v>
      </c>
      <c r="T402">
        <f t="shared" si="99"/>
        <v>385</v>
      </c>
      <c r="U402" t="str">
        <f>IF($A402="","",IF($A402=经营数据!$B$3,COUNTIFS($S$2:$S$3000,1,$A$2:$A$3000,$A402,$T$2:$T$3000,"&lt;"&amp;$T402)+1,""))</f>
        <v/>
      </c>
      <c r="V402" t="str">
        <f t="shared" si="100"/>
        <v>领秀城贵和购物中心|服务价格</v>
      </c>
      <c r="W402">
        <f t="shared" si="101"/>
        <v>395</v>
      </c>
      <c r="X402" t="str">
        <f t="shared" si="102"/>
        <v>领秀城贵和购物中心|月销售坪效</v>
      </c>
      <c r="Y402">
        <f t="shared" si="103"/>
        <v>401</v>
      </c>
      <c r="Z402">
        <f>IF($A402="",0,IF(AND($M402=1,$A402=经营数据!$B$3,$J402=经营数据!$BA$5,OR($I402=经营数据!$BA$4,COUNTIF(经营数据!$AA$9:$AA$38,$I402)&gt;0)),1,0))</f>
        <v>0</v>
      </c>
      <c r="AA402" t="str">
        <f t="shared" si="104"/>
        <v/>
      </c>
      <c r="AB402" t="str">
        <f t="shared" si="105"/>
        <v/>
      </c>
      <c r="AC402">
        <f>IF($A402="",0,IF(COUNTIF($A$2:$A402,$A402)=1,1,0))</f>
        <v>0</v>
      </c>
      <c r="AD402">
        <f t="shared" si="106"/>
        <v>5</v>
      </c>
      <c r="AE402" t="str">
        <f t="shared" si="107"/>
        <v>领秀城贵和购物中心|月销售坪效（元/平方米/月）</v>
      </c>
      <c r="BP402" s="47">
        <v>45966</v>
      </c>
      <c r="BQ402" s="29">
        <v>3.8601411045216742E-2</v>
      </c>
    </row>
    <row r="403" spans="1:69" x14ac:dyDescent="0.4">
      <c r="A403" t="str">
        <f>IF(原始经营数据!$D404="","",原始经营数据!$D404)</f>
        <v>中金中国绿发消费封闭式基础设施证券投资基金</v>
      </c>
      <c r="B403" t="str">
        <f>IF(原始经营数据!$D404="","",T(原始经营数据!$E404))</f>
        <v>领秀城贵和购物中心</v>
      </c>
      <c r="C403" t="str">
        <f>IF(原始经营数据!$D404="","",原始经营数据!$F404)</f>
        <v>2022</v>
      </c>
      <c r="D403" t="str">
        <f>IF(原始经营数据!$D404="","",原始经营数据!$H404)</f>
        <v>租售比</v>
      </c>
      <c r="E403">
        <f>IF(原始经营数据!$D404="","",原始经营数据!$I404)</f>
        <v>0.1106</v>
      </c>
      <c r="F403" t="str">
        <f>IF(原始经营数据!$D404="","",T(原始经营数据!$J404))</f>
        <v/>
      </c>
      <c r="G403" t="str">
        <f>IF(原始经营数据!$D404="","",T(原始经营数据!$K404))</f>
        <v/>
      </c>
      <c r="H403" t="str">
        <f>IF(原始经营数据!$D404="","",原始经营数据!$G404)</f>
        <v>服务效率</v>
      </c>
      <c r="I403" t="str">
        <f>IF($A403="","",IF($B403&lt;&gt;"",$B403,IF(COUNTIFS(原始经营数据!$D$3:$D$3001,$A403,原始经营数据!$E$3:$E$3001,"",原始经营数据!$F$3:$F$3001,$C403,原始经营数据!$H$3:$H$3001,$D403,原始经营数据!$K$3:$K$3001,$G403)&gt;1,"基金整体·来源"&amp;原始经营数据!$A404,"基金整体")))</f>
        <v>领秀城贵和购物中心</v>
      </c>
      <c r="J403" t="str">
        <f t="shared" si="93"/>
        <v>年度</v>
      </c>
      <c r="K403" t="str">
        <f t="shared" si="94"/>
        <v>租售比</v>
      </c>
      <c r="L403" t="str">
        <f t="shared" si="95"/>
        <v>领秀城贵和购物中心|租售比|年度</v>
      </c>
      <c r="M403">
        <f>IF($A403="",0,IF(COUNTIF($L$2:$L403,$L403)=1,1,0))</f>
        <v>1</v>
      </c>
      <c r="N403">
        <f t="shared" si="96"/>
        <v>20220</v>
      </c>
      <c r="O403" t="str">
        <f t="shared" si="97"/>
        <v>中金中国绿发消费封闭式基础设施证券投资基金|2022|年度</v>
      </c>
      <c r="P403">
        <f>IF($A403="",0,IF(COUNTIF($O$2:$O403,$O403)=1,1,0))</f>
        <v>0</v>
      </c>
      <c r="Q403" t="str">
        <f>IF(AND($P403=1,$A403=经营数据!$B$3,$J403=经营数据!$BA$5),COUNTIFS($P$2:$P$3000,1,$A$2:$A$3000,$A403,$J$2:$J$3000,$J403,$N$2:$N$3000,"&lt;"&amp;$N403)+1,"")</f>
        <v/>
      </c>
      <c r="R403" t="str">
        <f t="shared" si="98"/>
        <v>中金中国绿发消费封闭式基础设施证券投资基金|领秀城贵和购物中心</v>
      </c>
      <c r="S403">
        <f>IF($A403="",0,IF(COUNTIF($R$2:$R403,$R403)=1,1,0))</f>
        <v>0</v>
      </c>
      <c r="T403">
        <f t="shared" si="99"/>
        <v>385</v>
      </c>
      <c r="U403" t="str">
        <f>IF($A403="","",IF($A403=经营数据!$B$3,COUNTIFS($S$2:$S$3000,1,$A$2:$A$3000,$A403,$T$2:$T$3000,"&lt;"&amp;$T403)+1,""))</f>
        <v/>
      </c>
      <c r="V403" t="str">
        <f t="shared" si="100"/>
        <v>领秀城贵和购物中心|服务效率</v>
      </c>
      <c r="W403">
        <f t="shared" si="101"/>
        <v>397</v>
      </c>
      <c r="X403" t="str">
        <f t="shared" si="102"/>
        <v>领秀城贵和购物中心|租售比</v>
      </c>
      <c r="Y403">
        <f t="shared" si="103"/>
        <v>402</v>
      </c>
      <c r="Z403">
        <f>IF($A403="",0,IF(AND($M403=1,$A403=经营数据!$B$3,$J403=经营数据!$BA$5,OR($I403=经营数据!$BA$4,COUNTIF(经营数据!$AA$9:$AA$38,$I403)&gt;0)),1,0))</f>
        <v>0</v>
      </c>
      <c r="AA403" t="str">
        <f t="shared" si="104"/>
        <v/>
      </c>
      <c r="AB403" t="str">
        <f t="shared" si="105"/>
        <v/>
      </c>
      <c r="AC403">
        <f>IF($A403="",0,IF(COUNTIF($A$2:$A403,$A403)=1,1,0))</f>
        <v>0</v>
      </c>
      <c r="AD403">
        <f t="shared" si="106"/>
        <v>5</v>
      </c>
      <c r="AE403" t="str">
        <f t="shared" si="107"/>
        <v>领秀城贵和购物中心|租售比</v>
      </c>
      <c r="BP403" s="47">
        <v>45967</v>
      </c>
      <c r="BQ403" s="29">
        <v>3.8615914796626558E-2</v>
      </c>
    </row>
    <row r="404" spans="1:69" x14ac:dyDescent="0.4">
      <c r="A404" t="str">
        <f>IF(原始经营数据!$D405="","",原始经营数据!$D405)</f>
        <v>中金中国绿发消费封闭式基础设施证券投资基金</v>
      </c>
      <c r="B404" t="str">
        <f>IF(原始经营数据!$D405="","",T(原始经营数据!$E405))</f>
        <v>领秀城贵和购物中心</v>
      </c>
      <c r="C404" t="str">
        <f>IF(原始经营数据!$D405="","",原始经营数据!$F405)</f>
        <v>2022</v>
      </c>
      <c r="D404" t="str">
        <f>IF(原始经营数据!$D405="","",原始经营数据!$H405)</f>
        <v>租户业态分布-租赁面积占比</v>
      </c>
      <c r="E404">
        <f>IF(原始经营数据!$D405="","",原始经营数据!$I405)</f>
        <v>20.61</v>
      </c>
      <c r="F404" t="str">
        <f>IF(原始经营数据!$D405="","",T(原始经营数据!$J405))</f>
        <v>%</v>
      </c>
      <c r="G404" t="str">
        <f>IF(原始经营数据!$D405="","",T(原始经营数据!$K405))</f>
        <v>餐饮</v>
      </c>
      <c r="H404" t="str">
        <f>IF(原始经营数据!$D405="","",原始经营数据!$G405)</f>
        <v>服务金额</v>
      </c>
      <c r="I404" t="str">
        <f>IF($A404="","",IF($B404&lt;&gt;"",$B404,IF(COUNTIFS(原始经营数据!$D$3:$D$3001,$A404,原始经营数据!$E$3:$E$3001,"",原始经营数据!$F$3:$F$3001,$C404,原始经营数据!$H$3:$H$3001,$D404,原始经营数据!$K$3:$K$3001,$G404)&gt;1,"基金整体·来源"&amp;原始经营数据!$A405,"基金整体")))</f>
        <v>领秀城贵和购物中心</v>
      </c>
      <c r="J404" t="str">
        <f t="shared" si="93"/>
        <v>年度</v>
      </c>
      <c r="K404" t="str">
        <f t="shared" si="94"/>
        <v>租户业态分布-租赁面积占比-餐饮（%）</v>
      </c>
      <c r="L404" t="str">
        <f t="shared" si="95"/>
        <v>领秀城贵和购物中心|租户业态分布-租赁面积占比-餐饮（%）|年度</v>
      </c>
      <c r="M404">
        <f>IF($A404="",0,IF(COUNTIF($L$2:$L404,$L404)=1,1,0))</f>
        <v>1</v>
      </c>
      <c r="N404">
        <f t="shared" si="96"/>
        <v>20220</v>
      </c>
      <c r="O404" t="str">
        <f t="shared" si="97"/>
        <v>中金中国绿发消费封闭式基础设施证券投资基金|2022|年度</v>
      </c>
      <c r="P404">
        <f>IF($A404="",0,IF(COUNTIF($O$2:$O404,$O404)=1,1,0))</f>
        <v>0</v>
      </c>
      <c r="Q404" t="str">
        <f>IF(AND($P404=1,$A404=经营数据!$B$3,$J404=经营数据!$BA$5),COUNTIFS($P$2:$P$3000,1,$A$2:$A$3000,$A404,$J$2:$J$3000,$J404,$N$2:$N$3000,"&lt;"&amp;$N404)+1,"")</f>
        <v/>
      </c>
      <c r="R404" t="str">
        <f t="shared" si="98"/>
        <v>中金中国绿发消费封闭式基础设施证券投资基金|领秀城贵和购物中心</v>
      </c>
      <c r="S404">
        <f>IF($A404="",0,IF(COUNTIF($R$2:$R404,$R404)=1,1,0))</f>
        <v>0</v>
      </c>
      <c r="T404">
        <f t="shared" si="99"/>
        <v>385</v>
      </c>
      <c r="U404" t="str">
        <f>IF($A404="","",IF($A404=经营数据!$B$3,COUNTIFS($S$2:$S$3000,1,$A$2:$A$3000,$A404,$T$2:$T$3000,"&lt;"&amp;$T404)+1,""))</f>
        <v/>
      </c>
      <c r="V404" t="str">
        <f t="shared" si="100"/>
        <v>领秀城贵和购物中心|服务金额</v>
      </c>
      <c r="W404">
        <f t="shared" si="101"/>
        <v>385</v>
      </c>
      <c r="X404" t="str">
        <f t="shared" si="102"/>
        <v>领秀城贵和购物中心|租户业态分布-租赁面积占比</v>
      </c>
      <c r="Y404">
        <f t="shared" si="103"/>
        <v>392</v>
      </c>
      <c r="Z404">
        <f>IF($A404="",0,IF(AND($M404=1,$A404=经营数据!$B$3,$J404=经营数据!$BA$5,OR($I404=经营数据!$BA$4,COUNTIF(经营数据!$AA$9:$AA$38,$I404)&gt;0)),1,0))</f>
        <v>0</v>
      </c>
      <c r="AA404" t="str">
        <f t="shared" si="104"/>
        <v/>
      </c>
      <c r="AB404" t="str">
        <f t="shared" si="105"/>
        <v/>
      </c>
      <c r="AC404">
        <f>IF($A404="",0,IF(COUNTIF($A$2:$A404,$A404)=1,1,0))</f>
        <v>0</v>
      </c>
      <c r="AD404">
        <f t="shared" si="106"/>
        <v>5</v>
      </c>
      <c r="AE404" t="str">
        <f t="shared" si="107"/>
        <v>领秀城贵和购物中心|租户业态分布-租赁面积占比-餐饮（%）</v>
      </c>
      <c r="BP404" s="47">
        <v>45968</v>
      </c>
      <c r="BQ404" s="29">
        <v>3.8376664509331519E-2</v>
      </c>
    </row>
    <row r="405" spans="1:69" x14ac:dyDescent="0.4">
      <c r="A405" t="str">
        <f>IF(原始经营数据!$D406="","",原始经营数据!$D406)</f>
        <v>中金中国绿发消费封闭式基础设施证券投资基金</v>
      </c>
      <c r="B405" t="str">
        <f>IF(原始经营数据!$D406="","",T(原始经营数据!$E406))</f>
        <v>领秀城贵和购物中心</v>
      </c>
      <c r="C405" t="str">
        <f>IF(原始经营数据!$D406="","",原始经营数据!$F406)</f>
        <v>2022</v>
      </c>
      <c r="D405" t="str">
        <f>IF(原始经营数据!$D406="","",原始经营数据!$H406)</f>
        <v>租户业态分布-租赁面积占比</v>
      </c>
      <c r="E405">
        <f>IF(原始经营数据!$D406="","",原始经营数据!$I406)</f>
        <v>44.64</v>
      </c>
      <c r="F405" t="str">
        <f>IF(原始经营数据!$D406="","",T(原始经营数据!$J406))</f>
        <v>%</v>
      </c>
      <c r="G405" t="str">
        <f>IF(原始经营数据!$D406="","",T(原始经营数据!$K406))</f>
        <v>零售</v>
      </c>
      <c r="H405" t="str">
        <f>IF(原始经营数据!$D406="","",原始经营数据!$G406)</f>
        <v>服务金额</v>
      </c>
      <c r="I405" t="str">
        <f>IF($A405="","",IF($B405&lt;&gt;"",$B405,IF(COUNTIFS(原始经营数据!$D$3:$D$3001,$A405,原始经营数据!$E$3:$E$3001,"",原始经营数据!$F$3:$F$3001,$C405,原始经营数据!$H$3:$H$3001,$D405,原始经营数据!$K$3:$K$3001,$G405)&gt;1,"基金整体·来源"&amp;原始经营数据!$A406,"基金整体")))</f>
        <v>领秀城贵和购物中心</v>
      </c>
      <c r="J405" t="str">
        <f t="shared" si="93"/>
        <v>年度</v>
      </c>
      <c r="K405" t="str">
        <f t="shared" si="94"/>
        <v>租户业态分布-租赁面积占比-零售（%）</v>
      </c>
      <c r="L405" t="str">
        <f t="shared" si="95"/>
        <v>领秀城贵和购物中心|租户业态分布-租赁面积占比-零售（%）|年度</v>
      </c>
      <c r="M405">
        <f>IF($A405="",0,IF(COUNTIF($L$2:$L405,$L405)=1,1,0))</f>
        <v>1</v>
      </c>
      <c r="N405">
        <f t="shared" si="96"/>
        <v>20220</v>
      </c>
      <c r="O405" t="str">
        <f t="shared" si="97"/>
        <v>中金中国绿发消费封闭式基础设施证券投资基金|2022|年度</v>
      </c>
      <c r="P405">
        <f>IF($A405="",0,IF(COUNTIF($O$2:$O405,$O405)=1,1,0))</f>
        <v>0</v>
      </c>
      <c r="Q405" t="str">
        <f>IF(AND($P405=1,$A405=经营数据!$B$3,$J405=经营数据!$BA$5),COUNTIFS($P$2:$P$3000,1,$A$2:$A$3000,$A405,$J$2:$J$3000,$J405,$N$2:$N$3000,"&lt;"&amp;$N405)+1,"")</f>
        <v/>
      </c>
      <c r="R405" t="str">
        <f t="shared" si="98"/>
        <v>中金中国绿发消费封闭式基础设施证券投资基金|领秀城贵和购物中心</v>
      </c>
      <c r="S405">
        <f>IF($A405="",0,IF(COUNTIF($R$2:$R405,$R405)=1,1,0))</f>
        <v>0</v>
      </c>
      <c r="T405">
        <f t="shared" si="99"/>
        <v>385</v>
      </c>
      <c r="U405" t="str">
        <f>IF($A405="","",IF($A405=经营数据!$B$3,COUNTIFS($S$2:$S$3000,1,$A$2:$A$3000,$A405,$T$2:$T$3000,"&lt;"&amp;$T405)+1,""))</f>
        <v/>
      </c>
      <c r="V405" t="str">
        <f t="shared" si="100"/>
        <v>领秀城贵和购物中心|服务金额</v>
      </c>
      <c r="W405">
        <f t="shared" si="101"/>
        <v>385</v>
      </c>
      <c r="X405" t="str">
        <f t="shared" si="102"/>
        <v>领秀城贵和购物中心|租户业态分布-租赁面积占比</v>
      </c>
      <c r="Y405">
        <f t="shared" si="103"/>
        <v>392</v>
      </c>
      <c r="Z405">
        <f>IF($A405="",0,IF(AND($M405=1,$A405=经营数据!$B$3,$J405=经营数据!$BA$5,OR($I405=经营数据!$BA$4,COUNTIF(经营数据!$AA$9:$AA$38,$I405)&gt;0)),1,0))</f>
        <v>0</v>
      </c>
      <c r="AA405" t="str">
        <f t="shared" si="104"/>
        <v/>
      </c>
      <c r="AB405" t="str">
        <f t="shared" si="105"/>
        <v/>
      </c>
      <c r="AC405">
        <f>IF($A405="",0,IF(COUNTIF($A$2:$A405,$A405)=1,1,0))</f>
        <v>0</v>
      </c>
      <c r="AD405">
        <f t="shared" si="106"/>
        <v>5</v>
      </c>
      <c r="AE405" t="str">
        <f t="shared" si="107"/>
        <v>领秀城贵和购物中心|租户业态分布-租赁面积占比-零售（%）</v>
      </c>
      <c r="BP405" s="47">
        <v>45971</v>
      </c>
      <c r="BQ405" s="29">
        <v>3.8271169096049502E-2</v>
      </c>
    </row>
    <row r="406" spans="1:69" x14ac:dyDescent="0.4">
      <c r="A406" t="str">
        <f>IF(原始经营数据!$D407="","",原始经营数据!$D407)</f>
        <v>中金中国绿发消费封闭式基础设施证券投资基金</v>
      </c>
      <c r="B406" t="str">
        <f>IF(原始经营数据!$D407="","",T(原始经营数据!$E407))</f>
        <v>领秀城贵和购物中心</v>
      </c>
      <c r="C406" t="str">
        <f>IF(原始经营数据!$D407="","",原始经营数据!$F407)</f>
        <v>2022</v>
      </c>
      <c r="D406" t="str">
        <f>IF(原始经营数据!$D407="","",原始经营数据!$H407)</f>
        <v>客流量</v>
      </c>
      <c r="E406">
        <f>IF(原始经营数据!$D407="","",原始经营数据!$I407)</f>
        <v>1127.24</v>
      </c>
      <c r="F406" t="str">
        <f>IF(原始经营数据!$D407="","",T(原始经营数据!$J407))</f>
        <v>万人次</v>
      </c>
      <c r="G406" t="str">
        <f>IF(原始经营数据!$D407="","",T(原始经营数据!$K407))</f>
        <v/>
      </c>
      <c r="H406" t="str">
        <f>IF(原始经营数据!$D407="","",原始经营数据!$G407)</f>
        <v>服务量</v>
      </c>
      <c r="I406" t="str">
        <f>IF($A406="","",IF($B406&lt;&gt;"",$B406,IF(COUNTIFS(原始经营数据!$D$3:$D$3001,$A406,原始经营数据!$E$3:$E$3001,"",原始经营数据!$F$3:$F$3001,$C406,原始经营数据!$H$3:$H$3001,$D406,原始经营数据!$K$3:$K$3001,$G406)&gt;1,"基金整体·来源"&amp;原始经营数据!$A407,"基金整体")))</f>
        <v>领秀城贵和购物中心</v>
      </c>
      <c r="J406" t="str">
        <f t="shared" si="93"/>
        <v>年度</v>
      </c>
      <c r="K406" t="str">
        <f t="shared" si="94"/>
        <v>客流量（万人次）</v>
      </c>
      <c r="L406" t="str">
        <f t="shared" si="95"/>
        <v>领秀城贵和购物中心|客流量（万人次）|年度</v>
      </c>
      <c r="M406">
        <f>IF($A406="",0,IF(COUNTIF($L$2:$L406,$L406)=1,1,0))</f>
        <v>1</v>
      </c>
      <c r="N406">
        <f t="shared" si="96"/>
        <v>20220</v>
      </c>
      <c r="O406" t="str">
        <f t="shared" si="97"/>
        <v>中金中国绿发消费封闭式基础设施证券投资基金|2022|年度</v>
      </c>
      <c r="P406">
        <f>IF($A406="",0,IF(COUNTIF($O$2:$O406,$O406)=1,1,0))</f>
        <v>0</v>
      </c>
      <c r="Q406" t="str">
        <f>IF(AND($P406=1,$A406=经营数据!$B$3,$J406=经营数据!$BA$5),COUNTIFS($P$2:$P$3000,1,$A$2:$A$3000,$A406,$J$2:$J$3000,$J406,$N$2:$N$3000,"&lt;"&amp;$N406)+1,"")</f>
        <v/>
      </c>
      <c r="R406" t="str">
        <f t="shared" si="98"/>
        <v>中金中国绿发消费封闭式基础设施证券投资基金|领秀城贵和购物中心</v>
      </c>
      <c r="S406">
        <f>IF($A406="",0,IF(COUNTIF($R$2:$R406,$R406)=1,1,0))</f>
        <v>0</v>
      </c>
      <c r="T406">
        <f t="shared" si="99"/>
        <v>385</v>
      </c>
      <c r="U406" t="str">
        <f>IF($A406="","",IF($A406=经营数据!$B$3,COUNTIFS($S$2:$S$3000,1,$A$2:$A$3000,$A406,$T$2:$T$3000,"&lt;"&amp;$T406)+1,""))</f>
        <v/>
      </c>
      <c r="V406" t="str">
        <f t="shared" si="100"/>
        <v>领秀城贵和购物中心|服务量</v>
      </c>
      <c r="W406">
        <f t="shared" si="101"/>
        <v>405</v>
      </c>
      <c r="X406" t="str">
        <f t="shared" si="102"/>
        <v>领秀城贵和购物中心|客流量</v>
      </c>
      <c r="Y406">
        <f t="shared" si="103"/>
        <v>405</v>
      </c>
      <c r="Z406">
        <f>IF($A406="",0,IF(AND($M406=1,$A406=经营数据!$B$3,$J406=经营数据!$BA$5,OR($I406=经营数据!$BA$4,COUNTIF(经营数据!$AA$9:$AA$38,$I406)&gt;0)),1,0))</f>
        <v>0</v>
      </c>
      <c r="AA406" t="str">
        <f t="shared" si="104"/>
        <v/>
      </c>
      <c r="AB406" t="str">
        <f t="shared" si="105"/>
        <v/>
      </c>
      <c r="AC406">
        <f>IF($A406="",0,IF(COUNTIF($A$2:$A406,$A406)=1,1,0))</f>
        <v>0</v>
      </c>
      <c r="AD406">
        <f t="shared" si="106"/>
        <v>5</v>
      </c>
      <c r="AE406" t="str">
        <f t="shared" si="107"/>
        <v>领秀城贵和购物中心|客流量（万人次）</v>
      </c>
      <c r="BP406" s="47">
        <v>45972</v>
      </c>
      <c r="BQ406" s="29">
        <v>3.8242234537547257E-2</v>
      </c>
    </row>
    <row r="407" spans="1:69" x14ac:dyDescent="0.4">
      <c r="A407" t="str">
        <f>IF(原始经营数据!$D408="","",原始经营数据!$D408)</f>
        <v>中金中国绿发消费封闭式基础设施证券投资基金</v>
      </c>
      <c r="B407" t="str">
        <f>IF(原始经营数据!$D408="","",T(原始经营数据!$E408))</f>
        <v>领秀城贵和购物中心</v>
      </c>
      <c r="C407" t="str">
        <f>IF(原始经营数据!$D408="","",原始经营数据!$F408)</f>
        <v>2023</v>
      </c>
      <c r="D407" t="str">
        <f>IF(原始经营数据!$D408="","",原始经营数据!$H408)</f>
        <v>租户业态分布-店铺租赁收入占比</v>
      </c>
      <c r="E407">
        <f>IF(原始经营数据!$D408="","",原始经营数据!$I408)</f>
        <v>38.07</v>
      </c>
      <c r="F407" t="str">
        <f>IF(原始经营数据!$D408="","",T(原始经营数据!$J408))</f>
        <v>%</v>
      </c>
      <c r="G407" t="str">
        <f>IF(原始经营数据!$D408="","",T(原始经营数据!$K408))</f>
        <v>零售</v>
      </c>
      <c r="H407" t="str">
        <f>IF(原始经营数据!$D408="","",原始经营数据!$G408)</f>
        <v>服务金额</v>
      </c>
      <c r="I407" t="str">
        <f>IF($A407="","",IF($B407&lt;&gt;"",$B407,IF(COUNTIFS(原始经营数据!$D$3:$D$3001,$A407,原始经营数据!$E$3:$E$3001,"",原始经营数据!$F$3:$F$3001,$C407,原始经营数据!$H$3:$H$3001,$D407,原始经营数据!$K$3:$K$3001,$G407)&gt;1,"基金整体·来源"&amp;原始经营数据!$A408,"基金整体")))</f>
        <v>领秀城贵和购物中心</v>
      </c>
      <c r="J407" t="str">
        <f t="shared" si="93"/>
        <v>年度</v>
      </c>
      <c r="K407" t="str">
        <f t="shared" si="94"/>
        <v>租户业态分布-店铺租赁收入占比-零售（%）</v>
      </c>
      <c r="L407" t="str">
        <f t="shared" si="95"/>
        <v>领秀城贵和购物中心|租户业态分布-店铺租赁收入占比-零售（%）|年度</v>
      </c>
      <c r="M407">
        <f>IF($A407="",0,IF(COUNTIF($L$2:$L407,$L407)=1,1,0))</f>
        <v>0</v>
      </c>
      <c r="N407">
        <f t="shared" si="96"/>
        <v>20230</v>
      </c>
      <c r="O407" t="str">
        <f t="shared" si="97"/>
        <v>中金中国绿发消费封闭式基础设施证券投资基金|2023|年度</v>
      </c>
      <c r="P407">
        <f>IF($A407="",0,IF(COUNTIF($O$2:$O407,$O407)=1,1,0))</f>
        <v>1</v>
      </c>
      <c r="Q407" t="str">
        <f>IF(AND($P407=1,$A407=经营数据!$B$3,$J407=经营数据!$BA$5),COUNTIFS($P$2:$P$3000,1,$A$2:$A$3000,$A407,$J$2:$J$3000,$J407,$N$2:$N$3000,"&lt;"&amp;$N407)+1,"")</f>
        <v/>
      </c>
      <c r="R407" t="str">
        <f t="shared" si="98"/>
        <v>中金中国绿发消费封闭式基础设施证券投资基金|领秀城贵和购物中心</v>
      </c>
      <c r="S407">
        <f>IF($A407="",0,IF(COUNTIF($R$2:$R407,$R407)=1,1,0))</f>
        <v>0</v>
      </c>
      <c r="T407">
        <f t="shared" si="99"/>
        <v>385</v>
      </c>
      <c r="U407" t="str">
        <f>IF($A407="","",IF($A407=经营数据!$B$3,COUNTIFS($S$2:$S$3000,1,$A$2:$A$3000,$A407,$T$2:$T$3000,"&lt;"&amp;$T407)+1,""))</f>
        <v/>
      </c>
      <c r="V407" t="str">
        <f t="shared" si="100"/>
        <v>领秀城贵和购物中心|服务金额</v>
      </c>
      <c r="W407">
        <f t="shared" si="101"/>
        <v>385</v>
      </c>
      <c r="X407" t="str">
        <f t="shared" si="102"/>
        <v>领秀城贵和购物中心|租户业态分布-店铺租赁收入占比</v>
      </c>
      <c r="Y407">
        <f t="shared" si="103"/>
        <v>385</v>
      </c>
      <c r="Z407">
        <f>IF($A407="",0,IF(AND($M407=1,$A407=经营数据!$B$3,$J407=经营数据!$BA$5,OR($I407=经营数据!$BA$4,COUNTIF(经营数据!$AA$9:$AA$38,$I407)&gt;0)),1,0))</f>
        <v>0</v>
      </c>
      <c r="AA407" t="str">
        <f t="shared" si="104"/>
        <v/>
      </c>
      <c r="AB407" t="str">
        <f t="shared" si="105"/>
        <v/>
      </c>
      <c r="AC407">
        <f>IF($A407="",0,IF(COUNTIF($A$2:$A407,$A407)=1,1,0))</f>
        <v>0</v>
      </c>
      <c r="AD407">
        <f t="shared" si="106"/>
        <v>5</v>
      </c>
      <c r="AE407" t="str">
        <f t="shared" si="107"/>
        <v>领秀城贵和购物中心|租户业态分布-店铺租赁收入占比-零售（%）</v>
      </c>
      <c r="BP407" s="47">
        <v>45973</v>
      </c>
      <c r="BQ407" s="29">
        <v>3.8267720049139822E-2</v>
      </c>
    </row>
    <row r="408" spans="1:69" x14ac:dyDescent="0.4">
      <c r="A408" t="str">
        <f>IF(原始经营数据!$D409="","",原始经营数据!$D409)</f>
        <v>中金中国绿发消费封闭式基础设施证券投资基金</v>
      </c>
      <c r="B408" t="str">
        <f>IF(原始经营数据!$D409="","",T(原始经营数据!$E409))</f>
        <v>领秀城贵和购物中心</v>
      </c>
      <c r="C408" t="str">
        <f>IF(原始经营数据!$D409="","",原始经营数据!$F409)</f>
        <v>2023</v>
      </c>
      <c r="D408" t="str">
        <f>IF(原始经营数据!$D409="","",原始经营数据!$H409)</f>
        <v>客流量</v>
      </c>
      <c r="E408">
        <f>IF(原始经营数据!$D409="","",原始经营数据!$I409)</f>
        <v>1385.42</v>
      </c>
      <c r="F408" t="str">
        <f>IF(原始经营数据!$D409="","",T(原始经营数据!$J409))</f>
        <v>万人次</v>
      </c>
      <c r="G408" t="str">
        <f>IF(原始经营数据!$D409="","",T(原始经营数据!$K409))</f>
        <v/>
      </c>
      <c r="H408" t="str">
        <f>IF(原始经营数据!$D409="","",原始经营数据!$G409)</f>
        <v>服务量</v>
      </c>
      <c r="I408" t="str">
        <f>IF($A408="","",IF($B408&lt;&gt;"",$B408,IF(COUNTIFS(原始经营数据!$D$3:$D$3001,$A408,原始经营数据!$E$3:$E$3001,"",原始经营数据!$F$3:$F$3001,$C408,原始经营数据!$H$3:$H$3001,$D408,原始经营数据!$K$3:$K$3001,$G408)&gt;1,"基金整体·来源"&amp;原始经营数据!$A409,"基金整体")))</f>
        <v>领秀城贵和购物中心</v>
      </c>
      <c r="J408" t="str">
        <f t="shared" si="93"/>
        <v>年度</v>
      </c>
      <c r="K408" t="str">
        <f t="shared" si="94"/>
        <v>客流量（万人次）</v>
      </c>
      <c r="L408" t="str">
        <f t="shared" si="95"/>
        <v>领秀城贵和购物中心|客流量（万人次）|年度</v>
      </c>
      <c r="M408">
        <f>IF($A408="",0,IF(COUNTIF($L$2:$L408,$L408)=1,1,0))</f>
        <v>0</v>
      </c>
      <c r="N408">
        <f t="shared" si="96"/>
        <v>20230</v>
      </c>
      <c r="O408" t="str">
        <f t="shared" si="97"/>
        <v>中金中国绿发消费封闭式基础设施证券投资基金|2023|年度</v>
      </c>
      <c r="P408">
        <f>IF($A408="",0,IF(COUNTIF($O$2:$O408,$O408)=1,1,0))</f>
        <v>0</v>
      </c>
      <c r="Q408" t="str">
        <f>IF(AND($P408=1,$A408=经营数据!$B$3,$J408=经营数据!$BA$5),COUNTIFS($P$2:$P$3000,1,$A$2:$A$3000,$A408,$J$2:$J$3000,$J408,$N$2:$N$3000,"&lt;"&amp;$N408)+1,"")</f>
        <v/>
      </c>
      <c r="R408" t="str">
        <f t="shared" si="98"/>
        <v>中金中国绿发消费封闭式基础设施证券投资基金|领秀城贵和购物中心</v>
      </c>
      <c r="S408">
        <f>IF($A408="",0,IF(COUNTIF($R$2:$R408,$R408)=1,1,0))</f>
        <v>0</v>
      </c>
      <c r="T408">
        <f t="shared" si="99"/>
        <v>385</v>
      </c>
      <c r="U408" t="str">
        <f>IF($A408="","",IF($A408=经营数据!$B$3,COUNTIFS($S$2:$S$3000,1,$A$2:$A$3000,$A408,$T$2:$T$3000,"&lt;"&amp;$T408)+1,""))</f>
        <v/>
      </c>
      <c r="V408" t="str">
        <f t="shared" si="100"/>
        <v>领秀城贵和购物中心|服务量</v>
      </c>
      <c r="W408">
        <f t="shared" si="101"/>
        <v>405</v>
      </c>
      <c r="X408" t="str">
        <f t="shared" si="102"/>
        <v>领秀城贵和购物中心|客流量</v>
      </c>
      <c r="Y408">
        <f t="shared" si="103"/>
        <v>405</v>
      </c>
      <c r="Z408">
        <f>IF($A408="",0,IF(AND($M408=1,$A408=经营数据!$B$3,$J408=经营数据!$BA$5,OR($I408=经营数据!$BA$4,COUNTIF(经营数据!$AA$9:$AA$38,$I408)&gt;0)),1,0))</f>
        <v>0</v>
      </c>
      <c r="AA408" t="str">
        <f t="shared" si="104"/>
        <v/>
      </c>
      <c r="AB408" t="str">
        <f t="shared" si="105"/>
        <v/>
      </c>
      <c r="AC408">
        <f>IF($A408="",0,IF(COUNTIF($A$2:$A408,$A408)=1,1,0))</f>
        <v>0</v>
      </c>
      <c r="AD408">
        <f t="shared" si="106"/>
        <v>5</v>
      </c>
      <c r="AE408" t="str">
        <f t="shared" si="107"/>
        <v>领秀城贵和购物中心|客流量（万人次）</v>
      </c>
      <c r="BP408" s="47">
        <v>45974</v>
      </c>
      <c r="BQ408" s="29">
        <v>3.8229459219666598E-2</v>
      </c>
    </row>
    <row r="409" spans="1:69" x14ac:dyDescent="0.4">
      <c r="A409" t="str">
        <f>IF(原始经营数据!$D410="","",原始经营数据!$D410)</f>
        <v>中金中国绿发消费封闭式基础设施证券投资基金</v>
      </c>
      <c r="B409" t="str">
        <f>IF(原始经营数据!$D410="","",T(原始经营数据!$E410))</f>
        <v>领秀城贵和购物中心</v>
      </c>
      <c r="C409" t="str">
        <f>IF(原始经营数据!$D410="","",原始经营数据!$F410)</f>
        <v>2023</v>
      </c>
      <c r="D409" t="str">
        <f>IF(原始经营数据!$D410="","",原始经营数据!$H410)</f>
        <v>营业额</v>
      </c>
      <c r="E409">
        <f>IF(原始经营数据!$D410="","",原始经营数据!$I410)</f>
        <v>188763.48</v>
      </c>
      <c r="F409" t="str">
        <f>IF(原始经营数据!$D410="","",T(原始经营数据!$J410))</f>
        <v>万元</v>
      </c>
      <c r="G409" t="str">
        <f>IF(原始经营数据!$D410="","",T(原始经营数据!$K410))</f>
        <v/>
      </c>
      <c r="H409" t="str">
        <f>IF(原始经营数据!$D410="","",原始经营数据!$G410)</f>
        <v>服务金额</v>
      </c>
      <c r="I409" t="str">
        <f>IF($A409="","",IF($B409&lt;&gt;"",$B409,IF(COUNTIFS(原始经营数据!$D$3:$D$3001,$A409,原始经营数据!$E$3:$E$3001,"",原始经营数据!$F$3:$F$3001,$C409,原始经营数据!$H$3:$H$3001,$D409,原始经营数据!$K$3:$K$3001,$G409)&gt;1,"基金整体·来源"&amp;原始经营数据!$A410,"基金整体")))</f>
        <v>领秀城贵和购物中心</v>
      </c>
      <c r="J409" t="str">
        <f t="shared" si="93"/>
        <v>年度</v>
      </c>
      <c r="K409" t="str">
        <f t="shared" si="94"/>
        <v>营业额（万元）</v>
      </c>
      <c r="L409" t="str">
        <f t="shared" si="95"/>
        <v>领秀城贵和购物中心|营业额（万元）|年度</v>
      </c>
      <c r="M409">
        <f>IF($A409="",0,IF(COUNTIF($L$2:$L409,$L409)=1,1,0))</f>
        <v>0</v>
      </c>
      <c r="N409">
        <f t="shared" si="96"/>
        <v>20230</v>
      </c>
      <c r="O409" t="str">
        <f t="shared" si="97"/>
        <v>中金中国绿发消费封闭式基础设施证券投资基金|2023|年度</v>
      </c>
      <c r="P409">
        <f>IF($A409="",0,IF(COUNTIF($O$2:$O409,$O409)=1,1,0))</f>
        <v>0</v>
      </c>
      <c r="Q409" t="str">
        <f>IF(AND($P409=1,$A409=经营数据!$B$3,$J409=经营数据!$BA$5),COUNTIFS($P$2:$P$3000,1,$A$2:$A$3000,$A409,$J$2:$J$3000,$J409,$N$2:$N$3000,"&lt;"&amp;$N409)+1,"")</f>
        <v/>
      </c>
      <c r="R409" t="str">
        <f t="shared" si="98"/>
        <v>中金中国绿发消费封闭式基础设施证券投资基金|领秀城贵和购物中心</v>
      </c>
      <c r="S409">
        <f>IF($A409="",0,IF(COUNTIF($R$2:$R409,$R409)=1,1,0))</f>
        <v>0</v>
      </c>
      <c r="T409">
        <f t="shared" si="99"/>
        <v>385</v>
      </c>
      <c r="U409" t="str">
        <f>IF($A409="","",IF($A409=经营数据!$B$3,COUNTIFS($S$2:$S$3000,1,$A$2:$A$3000,$A409,$T$2:$T$3000,"&lt;"&amp;$T409)+1,""))</f>
        <v/>
      </c>
      <c r="V409" t="str">
        <f t="shared" si="100"/>
        <v>领秀城贵和购物中心|服务金额</v>
      </c>
      <c r="W409">
        <f t="shared" si="101"/>
        <v>385</v>
      </c>
      <c r="X409" t="str">
        <f t="shared" si="102"/>
        <v>领秀城贵和购物中心|营业额</v>
      </c>
      <c r="Y409">
        <f t="shared" si="103"/>
        <v>389</v>
      </c>
      <c r="Z409">
        <f>IF($A409="",0,IF(AND($M409=1,$A409=经营数据!$B$3,$J409=经营数据!$BA$5,OR($I409=经营数据!$BA$4,COUNTIF(经营数据!$AA$9:$AA$38,$I409)&gt;0)),1,0))</f>
        <v>0</v>
      </c>
      <c r="AA409" t="str">
        <f t="shared" si="104"/>
        <v/>
      </c>
      <c r="AB409" t="str">
        <f t="shared" si="105"/>
        <v/>
      </c>
      <c r="AC409">
        <f>IF($A409="",0,IF(COUNTIF($A$2:$A409,$A409)=1,1,0))</f>
        <v>0</v>
      </c>
      <c r="AD409">
        <f t="shared" si="106"/>
        <v>5</v>
      </c>
      <c r="AE409" t="str">
        <f t="shared" si="107"/>
        <v>领秀城贵和购物中心|营业额（万元）</v>
      </c>
      <c r="BP409" s="47">
        <v>45975</v>
      </c>
      <c r="BQ409" s="29">
        <v>3.7952688272014382E-2</v>
      </c>
    </row>
    <row r="410" spans="1:69" x14ac:dyDescent="0.4">
      <c r="A410" t="str">
        <f>IF(原始经营数据!$D411="","",原始经营数据!$D411)</f>
        <v>中金中国绿发消费封闭式基础设施证券投资基金</v>
      </c>
      <c r="B410" t="str">
        <f>IF(原始经营数据!$D411="","",T(原始经营数据!$E411))</f>
        <v>领秀城贵和购物中心</v>
      </c>
      <c r="C410" t="str">
        <f>IF(原始经营数据!$D411="","",原始经营数据!$F411)</f>
        <v>2023</v>
      </c>
      <c r="D410" t="str">
        <f>IF(原始经营数据!$D411="","",原始经营数据!$H411)</f>
        <v>租户业态分布-店铺租赁收入占比</v>
      </c>
      <c r="E410">
        <f>IF(原始经营数据!$D411="","",原始经营数据!$I411)</f>
        <v>28.52</v>
      </c>
      <c r="F410" t="str">
        <f>IF(原始经营数据!$D411="","",T(原始经营数据!$J411))</f>
        <v>%</v>
      </c>
      <c r="G410" t="str">
        <f>IF(原始经营数据!$D411="","",T(原始经营数据!$K411))</f>
        <v>餐饮</v>
      </c>
      <c r="H410" t="str">
        <f>IF(原始经营数据!$D411="","",原始经营数据!$G411)</f>
        <v>服务金额</v>
      </c>
      <c r="I410" t="str">
        <f>IF($A410="","",IF($B410&lt;&gt;"",$B410,IF(COUNTIFS(原始经营数据!$D$3:$D$3001,$A410,原始经营数据!$E$3:$E$3001,"",原始经营数据!$F$3:$F$3001,$C410,原始经营数据!$H$3:$H$3001,$D410,原始经营数据!$K$3:$K$3001,$G410)&gt;1,"基金整体·来源"&amp;原始经营数据!$A411,"基金整体")))</f>
        <v>领秀城贵和购物中心</v>
      </c>
      <c r="J410" t="str">
        <f t="shared" si="93"/>
        <v>年度</v>
      </c>
      <c r="K410" t="str">
        <f t="shared" si="94"/>
        <v>租户业态分布-店铺租赁收入占比-餐饮（%）</v>
      </c>
      <c r="L410" t="str">
        <f t="shared" si="95"/>
        <v>领秀城贵和购物中心|租户业态分布-店铺租赁收入占比-餐饮（%）|年度</v>
      </c>
      <c r="M410">
        <f>IF($A410="",0,IF(COUNTIF($L$2:$L410,$L410)=1,1,0))</f>
        <v>0</v>
      </c>
      <c r="N410">
        <f t="shared" si="96"/>
        <v>20230</v>
      </c>
      <c r="O410" t="str">
        <f t="shared" si="97"/>
        <v>中金中国绿发消费封闭式基础设施证券投资基金|2023|年度</v>
      </c>
      <c r="P410">
        <f>IF($A410="",0,IF(COUNTIF($O$2:$O410,$O410)=1,1,0))</f>
        <v>0</v>
      </c>
      <c r="Q410" t="str">
        <f>IF(AND($P410=1,$A410=经营数据!$B$3,$J410=经营数据!$BA$5),COUNTIFS($P$2:$P$3000,1,$A$2:$A$3000,$A410,$J$2:$J$3000,$J410,$N$2:$N$3000,"&lt;"&amp;$N410)+1,"")</f>
        <v/>
      </c>
      <c r="R410" t="str">
        <f t="shared" si="98"/>
        <v>中金中国绿发消费封闭式基础设施证券投资基金|领秀城贵和购物中心</v>
      </c>
      <c r="S410">
        <f>IF($A410="",0,IF(COUNTIF($R$2:$R410,$R410)=1,1,0))</f>
        <v>0</v>
      </c>
      <c r="T410">
        <f t="shared" si="99"/>
        <v>385</v>
      </c>
      <c r="U410" t="str">
        <f>IF($A410="","",IF($A410=经营数据!$B$3,COUNTIFS($S$2:$S$3000,1,$A$2:$A$3000,$A410,$T$2:$T$3000,"&lt;"&amp;$T410)+1,""))</f>
        <v/>
      </c>
      <c r="V410" t="str">
        <f t="shared" si="100"/>
        <v>领秀城贵和购物中心|服务金额</v>
      </c>
      <c r="W410">
        <f t="shared" si="101"/>
        <v>385</v>
      </c>
      <c r="X410" t="str">
        <f t="shared" si="102"/>
        <v>领秀城贵和购物中心|租户业态分布-店铺租赁收入占比</v>
      </c>
      <c r="Y410">
        <f t="shared" si="103"/>
        <v>385</v>
      </c>
      <c r="Z410">
        <f>IF($A410="",0,IF(AND($M410=1,$A410=经营数据!$B$3,$J410=经营数据!$BA$5,OR($I410=经营数据!$BA$4,COUNTIF(经营数据!$AA$9:$AA$38,$I410)&gt;0)),1,0))</f>
        <v>0</v>
      </c>
      <c r="AA410" t="str">
        <f t="shared" si="104"/>
        <v/>
      </c>
      <c r="AB410" t="str">
        <f t="shared" si="105"/>
        <v/>
      </c>
      <c r="AC410">
        <f>IF($A410="",0,IF(COUNTIF($A$2:$A410,$A410)=1,1,0))</f>
        <v>0</v>
      </c>
      <c r="AD410">
        <f t="shared" si="106"/>
        <v>5</v>
      </c>
      <c r="AE410" t="str">
        <f t="shared" si="107"/>
        <v>领秀城贵和购物中心|租户业态分布-店铺租赁收入占比-餐饮（%）</v>
      </c>
      <c r="BP410" s="47">
        <v>45978</v>
      </c>
      <c r="BQ410" s="29">
        <v>3.7985656813682232E-2</v>
      </c>
    </row>
    <row r="411" spans="1:69" x14ac:dyDescent="0.4">
      <c r="A411" t="str">
        <f>IF(原始经营数据!$D412="","",原始经营数据!$D412)</f>
        <v>中金中国绿发消费封闭式基础设施证券投资基金</v>
      </c>
      <c r="B411" t="str">
        <f>IF(原始经营数据!$D412="","",T(原始经营数据!$E412))</f>
        <v>领秀城贵和购物中心</v>
      </c>
      <c r="C411" t="str">
        <f>IF(原始经营数据!$D412="","",原始经营数据!$F412)</f>
        <v>2023</v>
      </c>
      <c r="D411" t="str">
        <f>IF(原始经营数据!$D412="","",原始经营数据!$H412)</f>
        <v>租户业态分布-店铺租赁收入占比</v>
      </c>
      <c r="E411">
        <f>IF(原始经营数据!$D412="","",原始经营数据!$I412)</f>
        <v>14.1</v>
      </c>
      <c r="F411" t="str">
        <f>IF(原始经营数据!$D412="","",T(原始经营数据!$J412))</f>
        <v>%</v>
      </c>
      <c r="G411" t="str">
        <f>IF(原始经营数据!$D412="","",T(原始经营数据!$K412))</f>
        <v>配套</v>
      </c>
      <c r="H411" t="str">
        <f>IF(原始经营数据!$D412="","",原始经营数据!$G412)</f>
        <v>服务金额</v>
      </c>
      <c r="I411" t="str">
        <f>IF($A411="","",IF($B411&lt;&gt;"",$B411,IF(COUNTIFS(原始经营数据!$D$3:$D$3001,$A411,原始经营数据!$E$3:$E$3001,"",原始经营数据!$F$3:$F$3001,$C411,原始经营数据!$H$3:$H$3001,$D411,原始经营数据!$K$3:$K$3001,$G411)&gt;1,"基金整体·来源"&amp;原始经营数据!$A412,"基金整体")))</f>
        <v>领秀城贵和购物中心</v>
      </c>
      <c r="J411" t="str">
        <f t="shared" si="93"/>
        <v>年度</v>
      </c>
      <c r="K411" t="str">
        <f t="shared" si="94"/>
        <v>租户业态分布-店铺租赁收入占比-配套（%）</v>
      </c>
      <c r="L411" t="str">
        <f t="shared" si="95"/>
        <v>领秀城贵和购物中心|租户业态分布-店铺租赁收入占比-配套（%）|年度</v>
      </c>
      <c r="M411">
        <f>IF($A411="",0,IF(COUNTIF($L$2:$L411,$L411)=1,1,0))</f>
        <v>0</v>
      </c>
      <c r="N411">
        <f t="shared" si="96"/>
        <v>20230</v>
      </c>
      <c r="O411" t="str">
        <f t="shared" si="97"/>
        <v>中金中国绿发消费封闭式基础设施证券投资基金|2023|年度</v>
      </c>
      <c r="P411">
        <f>IF($A411="",0,IF(COUNTIF($O$2:$O411,$O411)=1,1,0))</f>
        <v>0</v>
      </c>
      <c r="Q411" t="str">
        <f>IF(AND($P411=1,$A411=经营数据!$B$3,$J411=经营数据!$BA$5),COUNTIFS($P$2:$P$3000,1,$A$2:$A$3000,$A411,$J$2:$J$3000,$J411,$N$2:$N$3000,"&lt;"&amp;$N411)+1,"")</f>
        <v/>
      </c>
      <c r="R411" t="str">
        <f t="shared" si="98"/>
        <v>中金中国绿发消费封闭式基础设施证券投资基金|领秀城贵和购物中心</v>
      </c>
      <c r="S411">
        <f>IF($A411="",0,IF(COUNTIF($R$2:$R411,$R411)=1,1,0))</f>
        <v>0</v>
      </c>
      <c r="T411">
        <f t="shared" si="99"/>
        <v>385</v>
      </c>
      <c r="U411" t="str">
        <f>IF($A411="","",IF($A411=经营数据!$B$3,COUNTIFS($S$2:$S$3000,1,$A$2:$A$3000,$A411,$T$2:$T$3000,"&lt;"&amp;$T411)+1,""))</f>
        <v/>
      </c>
      <c r="V411" t="str">
        <f t="shared" si="100"/>
        <v>领秀城贵和购物中心|服务金额</v>
      </c>
      <c r="W411">
        <f t="shared" si="101"/>
        <v>385</v>
      </c>
      <c r="X411" t="str">
        <f t="shared" si="102"/>
        <v>领秀城贵和购物中心|租户业态分布-店铺租赁收入占比</v>
      </c>
      <c r="Y411">
        <f t="shared" si="103"/>
        <v>385</v>
      </c>
      <c r="Z411">
        <f>IF($A411="",0,IF(AND($M411=1,$A411=经营数据!$B$3,$J411=经营数据!$BA$5,OR($I411=经营数据!$BA$4,COUNTIF(经营数据!$AA$9:$AA$38,$I411)&gt;0)),1,0))</f>
        <v>0</v>
      </c>
      <c r="AA411" t="str">
        <f t="shared" si="104"/>
        <v/>
      </c>
      <c r="AB411" t="str">
        <f t="shared" si="105"/>
        <v/>
      </c>
      <c r="AC411">
        <f>IF($A411="",0,IF(COUNTIF($A$2:$A411,$A411)=1,1,0))</f>
        <v>0</v>
      </c>
      <c r="AD411">
        <f t="shared" si="106"/>
        <v>5</v>
      </c>
      <c r="AE411" t="str">
        <f t="shared" si="107"/>
        <v>领秀城贵和购物中心|租户业态分布-店铺租赁收入占比-配套（%）</v>
      </c>
      <c r="BP411" s="47">
        <v>45979</v>
      </c>
      <c r="BQ411" s="29">
        <v>3.8048894733292621E-2</v>
      </c>
    </row>
    <row r="412" spans="1:69" x14ac:dyDescent="0.4">
      <c r="A412" t="str">
        <f>IF(原始经营数据!$D413="","",原始经营数据!$D413)</f>
        <v>中金中国绿发消费封闭式基础设施证券投资基金</v>
      </c>
      <c r="B412" t="str">
        <f>IF(原始经营数据!$D413="","",T(原始经营数据!$E413))</f>
        <v>领秀城贵和购物中心</v>
      </c>
      <c r="C412" t="str">
        <f>IF(原始经营数据!$D413="","",原始经营数据!$F413)</f>
        <v>2023</v>
      </c>
      <c r="D412" t="str">
        <f>IF(原始经营数据!$D413="","",原始经营数据!$H413)</f>
        <v>租户业态分布-租赁面积占比</v>
      </c>
      <c r="E412">
        <f>IF(原始经营数据!$D413="","",原始经营数据!$I413)</f>
        <v>40.51</v>
      </c>
      <c r="F412" t="str">
        <f>IF(原始经营数据!$D413="","",T(原始经营数据!$J413))</f>
        <v>%</v>
      </c>
      <c r="G412" t="str">
        <f>IF(原始经营数据!$D413="","",T(原始经营数据!$K413))</f>
        <v>零售</v>
      </c>
      <c r="H412" t="str">
        <f>IF(原始经营数据!$D413="","",原始经营数据!$G413)</f>
        <v>服务金额</v>
      </c>
      <c r="I412" t="str">
        <f>IF($A412="","",IF($B412&lt;&gt;"",$B412,IF(COUNTIFS(原始经营数据!$D$3:$D$3001,$A412,原始经营数据!$E$3:$E$3001,"",原始经营数据!$F$3:$F$3001,$C412,原始经营数据!$H$3:$H$3001,$D412,原始经营数据!$K$3:$K$3001,$G412)&gt;1,"基金整体·来源"&amp;原始经营数据!$A413,"基金整体")))</f>
        <v>领秀城贵和购物中心</v>
      </c>
      <c r="J412" t="str">
        <f t="shared" si="93"/>
        <v>年度</v>
      </c>
      <c r="K412" t="str">
        <f t="shared" si="94"/>
        <v>租户业态分布-租赁面积占比-零售（%）</v>
      </c>
      <c r="L412" t="str">
        <f t="shared" si="95"/>
        <v>领秀城贵和购物中心|租户业态分布-租赁面积占比-零售（%）|年度</v>
      </c>
      <c r="M412">
        <f>IF($A412="",0,IF(COUNTIF($L$2:$L412,$L412)=1,1,0))</f>
        <v>0</v>
      </c>
      <c r="N412">
        <f t="shared" si="96"/>
        <v>20230</v>
      </c>
      <c r="O412" t="str">
        <f t="shared" si="97"/>
        <v>中金中国绿发消费封闭式基础设施证券投资基金|2023|年度</v>
      </c>
      <c r="P412">
        <f>IF($A412="",0,IF(COUNTIF($O$2:$O412,$O412)=1,1,0))</f>
        <v>0</v>
      </c>
      <c r="Q412" t="str">
        <f>IF(AND($P412=1,$A412=经营数据!$B$3,$J412=经营数据!$BA$5),COUNTIFS($P$2:$P$3000,1,$A$2:$A$3000,$A412,$J$2:$J$3000,$J412,$N$2:$N$3000,"&lt;"&amp;$N412)+1,"")</f>
        <v/>
      </c>
      <c r="R412" t="str">
        <f t="shared" si="98"/>
        <v>中金中国绿发消费封闭式基础设施证券投资基金|领秀城贵和购物中心</v>
      </c>
      <c r="S412">
        <f>IF($A412="",0,IF(COUNTIF($R$2:$R412,$R412)=1,1,0))</f>
        <v>0</v>
      </c>
      <c r="T412">
        <f t="shared" si="99"/>
        <v>385</v>
      </c>
      <c r="U412" t="str">
        <f>IF($A412="","",IF($A412=经营数据!$B$3,COUNTIFS($S$2:$S$3000,1,$A$2:$A$3000,$A412,$T$2:$T$3000,"&lt;"&amp;$T412)+1,""))</f>
        <v/>
      </c>
      <c r="V412" t="str">
        <f t="shared" si="100"/>
        <v>领秀城贵和购物中心|服务金额</v>
      </c>
      <c r="W412">
        <f t="shared" si="101"/>
        <v>385</v>
      </c>
      <c r="X412" t="str">
        <f t="shared" si="102"/>
        <v>领秀城贵和购物中心|租户业态分布-租赁面积占比</v>
      </c>
      <c r="Y412">
        <f t="shared" si="103"/>
        <v>392</v>
      </c>
      <c r="Z412">
        <f>IF($A412="",0,IF(AND($M412=1,$A412=经营数据!$B$3,$J412=经营数据!$BA$5,OR($I412=经营数据!$BA$4,COUNTIF(经营数据!$AA$9:$AA$38,$I412)&gt;0)),1,0))</f>
        <v>0</v>
      </c>
      <c r="AA412" t="str">
        <f t="shared" si="104"/>
        <v/>
      </c>
      <c r="AB412" t="str">
        <f t="shared" si="105"/>
        <v/>
      </c>
      <c r="AC412">
        <f>IF($A412="",0,IF(COUNTIF($A$2:$A412,$A412)=1,1,0))</f>
        <v>0</v>
      </c>
      <c r="AD412">
        <f t="shared" si="106"/>
        <v>5</v>
      </c>
      <c r="AE412" t="str">
        <f t="shared" si="107"/>
        <v>领秀城贵和购物中心|租户业态分布-租赁面积占比-零售（%）</v>
      </c>
      <c r="BP412" s="47">
        <v>45980</v>
      </c>
      <c r="BQ412" s="29">
        <v>3.8092998927259522E-2</v>
      </c>
    </row>
    <row r="413" spans="1:69" x14ac:dyDescent="0.4">
      <c r="A413" t="str">
        <f>IF(原始经营数据!$D414="","",原始经营数据!$D414)</f>
        <v>中金中国绿发消费封闭式基础设施证券投资基金</v>
      </c>
      <c r="B413" t="str">
        <f>IF(原始经营数据!$D414="","",T(原始经营数据!$E414))</f>
        <v>领秀城贵和购物中心</v>
      </c>
      <c r="C413" t="str">
        <f>IF(原始经营数据!$D414="","",原始经营数据!$F414)</f>
        <v>2023</v>
      </c>
      <c r="D413" t="str">
        <f>IF(原始经营数据!$D414="","",原始经营数据!$H414)</f>
        <v>租户业态分布-租赁面积占比</v>
      </c>
      <c r="E413">
        <f>IF(原始经营数据!$D414="","",原始经营数据!$I414)</f>
        <v>21.1</v>
      </c>
      <c r="F413" t="str">
        <f>IF(原始经营数据!$D414="","",T(原始经营数据!$J414))</f>
        <v>%</v>
      </c>
      <c r="G413" t="str">
        <f>IF(原始经营数据!$D414="","",T(原始经营数据!$K414))</f>
        <v>餐饮</v>
      </c>
      <c r="H413" t="str">
        <f>IF(原始经营数据!$D414="","",原始经营数据!$G414)</f>
        <v>服务金额</v>
      </c>
      <c r="I413" t="str">
        <f>IF($A413="","",IF($B413&lt;&gt;"",$B413,IF(COUNTIFS(原始经营数据!$D$3:$D$3001,$A413,原始经营数据!$E$3:$E$3001,"",原始经营数据!$F$3:$F$3001,$C413,原始经营数据!$H$3:$H$3001,$D413,原始经营数据!$K$3:$K$3001,$G413)&gt;1,"基金整体·来源"&amp;原始经营数据!$A414,"基金整体")))</f>
        <v>领秀城贵和购物中心</v>
      </c>
      <c r="J413" t="str">
        <f t="shared" si="93"/>
        <v>年度</v>
      </c>
      <c r="K413" t="str">
        <f t="shared" si="94"/>
        <v>租户业态分布-租赁面积占比-餐饮（%）</v>
      </c>
      <c r="L413" t="str">
        <f t="shared" si="95"/>
        <v>领秀城贵和购物中心|租户业态分布-租赁面积占比-餐饮（%）|年度</v>
      </c>
      <c r="M413">
        <f>IF($A413="",0,IF(COUNTIF($L$2:$L413,$L413)=1,1,0))</f>
        <v>0</v>
      </c>
      <c r="N413">
        <f t="shared" si="96"/>
        <v>20230</v>
      </c>
      <c r="O413" t="str">
        <f t="shared" si="97"/>
        <v>中金中国绿发消费封闭式基础设施证券投资基金|2023|年度</v>
      </c>
      <c r="P413">
        <f>IF($A413="",0,IF(COUNTIF($O$2:$O413,$O413)=1,1,0))</f>
        <v>0</v>
      </c>
      <c r="Q413" t="str">
        <f>IF(AND($P413=1,$A413=经营数据!$B$3,$J413=经营数据!$BA$5),COUNTIFS($P$2:$P$3000,1,$A$2:$A$3000,$A413,$J$2:$J$3000,$J413,$N$2:$N$3000,"&lt;"&amp;$N413)+1,"")</f>
        <v/>
      </c>
      <c r="R413" t="str">
        <f t="shared" si="98"/>
        <v>中金中国绿发消费封闭式基础设施证券投资基金|领秀城贵和购物中心</v>
      </c>
      <c r="S413">
        <f>IF($A413="",0,IF(COUNTIF($R$2:$R413,$R413)=1,1,0))</f>
        <v>0</v>
      </c>
      <c r="T413">
        <f t="shared" si="99"/>
        <v>385</v>
      </c>
      <c r="U413" t="str">
        <f>IF($A413="","",IF($A413=经营数据!$B$3,COUNTIFS($S$2:$S$3000,1,$A$2:$A$3000,$A413,$T$2:$T$3000,"&lt;"&amp;$T413)+1,""))</f>
        <v/>
      </c>
      <c r="V413" t="str">
        <f t="shared" si="100"/>
        <v>领秀城贵和购物中心|服务金额</v>
      </c>
      <c r="W413">
        <f t="shared" si="101"/>
        <v>385</v>
      </c>
      <c r="X413" t="str">
        <f t="shared" si="102"/>
        <v>领秀城贵和购物中心|租户业态分布-租赁面积占比</v>
      </c>
      <c r="Y413">
        <f t="shared" si="103"/>
        <v>392</v>
      </c>
      <c r="Z413">
        <f>IF($A413="",0,IF(AND($M413=1,$A413=经营数据!$B$3,$J413=经营数据!$BA$5,OR($I413=经营数据!$BA$4,COUNTIF(经营数据!$AA$9:$AA$38,$I413)&gt;0)),1,0))</f>
        <v>0</v>
      </c>
      <c r="AA413" t="str">
        <f t="shared" si="104"/>
        <v/>
      </c>
      <c r="AB413" t="str">
        <f t="shared" si="105"/>
        <v/>
      </c>
      <c r="AC413">
        <f>IF($A413="",0,IF(COUNTIF($A$2:$A413,$A413)=1,1,0))</f>
        <v>0</v>
      </c>
      <c r="AD413">
        <f t="shared" si="106"/>
        <v>5</v>
      </c>
      <c r="AE413" t="str">
        <f t="shared" si="107"/>
        <v>领秀城贵和购物中心|租户业态分布-租赁面积占比-餐饮（%）</v>
      </c>
      <c r="BP413" s="47">
        <v>45981</v>
      </c>
      <c r="BQ413" s="29">
        <v>3.8215606293267403E-2</v>
      </c>
    </row>
    <row r="414" spans="1:69" x14ac:dyDescent="0.4">
      <c r="A414" t="str">
        <f>IF(原始经营数据!$D415="","",原始经营数据!$D415)</f>
        <v>中金中国绿发消费封闭式基础设施证券投资基金</v>
      </c>
      <c r="B414" t="str">
        <f>IF(原始经营数据!$D415="","",T(原始经营数据!$E415))</f>
        <v>领秀城贵和购物中心</v>
      </c>
      <c r="C414" t="str">
        <f>IF(原始经营数据!$D415="","",原始经营数据!$F415)</f>
        <v>2023</v>
      </c>
      <c r="D414" t="str">
        <f>IF(原始经营数据!$D415="","",原始经营数据!$H415)</f>
        <v>租户业态分布-租赁面积占比</v>
      </c>
      <c r="E414">
        <f>IF(原始经营数据!$D415="","",原始经营数据!$I415)</f>
        <v>9.5399999999999991</v>
      </c>
      <c r="F414" t="str">
        <f>IF(原始经营数据!$D415="","",T(原始经营数据!$J415))</f>
        <v>%</v>
      </c>
      <c r="G414" t="str">
        <f>IF(原始经营数据!$D415="","",T(原始经营数据!$K415))</f>
        <v>配套</v>
      </c>
      <c r="H414" t="str">
        <f>IF(原始经营数据!$D415="","",原始经营数据!$G415)</f>
        <v>服务金额</v>
      </c>
      <c r="I414" t="str">
        <f>IF($A414="","",IF($B414&lt;&gt;"",$B414,IF(COUNTIFS(原始经营数据!$D$3:$D$3001,$A414,原始经营数据!$E$3:$E$3001,"",原始经营数据!$F$3:$F$3001,$C414,原始经营数据!$H$3:$H$3001,$D414,原始经营数据!$K$3:$K$3001,$G414)&gt;1,"基金整体·来源"&amp;原始经营数据!$A415,"基金整体")))</f>
        <v>领秀城贵和购物中心</v>
      </c>
      <c r="J414" t="str">
        <f t="shared" si="93"/>
        <v>年度</v>
      </c>
      <c r="K414" t="str">
        <f t="shared" si="94"/>
        <v>租户业态分布-租赁面积占比-配套（%）</v>
      </c>
      <c r="L414" t="str">
        <f t="shared" si="95"/>
        <v>领秀城贵和购物中心|租户业态分布-租赁面积占比-配套（%）|年度</v>
      </c>
      <c r="M414">
        <f>IF($A414="",0,IF(COUNTIF($L$2:$L414,$L414)=1,1,0))</f>
        <v>0</v>
      </c>
      <c r="N414">
        <f t="shared" si="96"/>
        <v>20230</v>
      </c>
      <c r="O414" t="str">
        <f t="shared" si="97"/>
        <v>中金中国绿发消费封闭式基础设施证券投资基金|2023|年度</v>
      </c>
      <c r="P414">
        <f>IF($A414="",0,IF(COUNTIF($O$2:$O414,$O414)=1,1,0))</f>
        <v>0</v>
      </c>
      <c r="Q414" t="str">
        <f>IF(AND($P414=1,$A414=经营数据!$B$3,$J414=经营数据!$BA$5),COUNTIFS($P$2:$P$3000,1,$A$2:$A$3000,$A414,$J$2:$J$3000,$J414,$N$2:$N$3000,"&lt;"&amp;$N414)+1,"")</f>
        <v/>
      </c>
      <c r="R414" t="str">
        <f t="shared" si="98"/>
        <v>中金中国绿发消费封闭式基础设施证券投资基金|领秀城贵和购物中心</v>
      </c>
      <c r="S414">
        <f>IF($A414="",0,IF(COUNTIF($R$2:$R414,$R414)=1,1,0))</f>
        <v>0</v>
      </c>
      <c r="T414">
        <f t="shared" si="99"/>
        <v>385</v>
      </c>
      <c r="U414" t="str">
        <f>IF($A414="","",IF($A414=经营数据!$B$3,COUNTIFS($S$2:$S$3000,1,$A$2:$A$3000,$A414,$T$2:$T$3000,"&lt;"&amp;$T414)+1,""))</f>
        <v/>
      </c>
      <c r="V414" t="str">
        <f t="shared" si="100"/>
        <v>领秀城贵和购物中心|服务金额</v>
      </c>
      <c r="W414">
        <f t="shared" si="101"/>
        <v>385</v>
      </c>
      <c r="X414" t="str">
        <f t="shared" si="102"/>
        <v>领秀城贵和购物中心|租户业态分布-租赁面积占比</v>
      </c>
      <c r="Y414">
        <f t="shared" si="103"/>
        <v>392</v>
      </c>
      <c r="Z414">
        <f>IF($A414="",0,IF(AND($M414=1,$A414=经营数据!$B$3,$J414=经营数据!$BA$5,OR($I414=经营数据!$BA$4,COUNTIF(经营数据!$AA$9:$AA$38,$I414)&gt;0)),1,0))</f>
        <v>0</v>
      </c>
      <c r="AA414" t="str">
        <f t="shared" si="104"/>
        <v/>
      </c>
      <c r="AB414" t="str">
        <f t="shared" si="105"/>
        <v/>
      </c>
      <c r="AC414">
        <f>IF($A414="",0,IF(COUNTIF($A$2:$A414,$A414)=1,1,0))</f>
        <v>0</v>
      </c>
      <c r="AD414">
        <f t="shared" si="106"/>
        <v>5</v>
      </c>
      <c r="AE414" t="str">
        <f t="shared" si="107"/>
        <v>领秀城贵和购物中心|租户业态分布-租赁面积占比-配套（%）</v>
      </c>
      <c r="BP414" s="47">
        <v>45982</v>
      </c>
      <c r="BQ414" s="29">
        <v>3.8335179870376712E-2</v>
      </c>
    </row>
    <row r="415" spans="1:69" x14ac:dyDescent="0.4">
      <c r="A415" t="str">
        <f>IF(原始经营数据!$D416="","",原始经营数据!$D416)</f>
        <v>中金中国绿发消费封闭式基础设施证券投资基金</v>
      </c>
      <c r="B415" t="str">
        <f>IF(原始经营数据!$D416="","",T(原始经营数据!$E416))</f>
        <v>领秀城贵和购物中心</v>
      </c>
      <c r="C415" t="str">
        <f>IF(原始经营数据!$D416="","",原始经营数据!$F416)</f>
        <v>2023</v>
      </c>
      <c r="D415" t="str">
        <f>IF(原始经营数据!$D416="","",原始经营数据!$H416)</f>
        <v>租户业态分布-租赁面积占比</v>
      </c>
      <c r="E415">
        <f>IF(原始经营数据!$D416="","",原始经营数据!$I416)</f>
        <v>16.75</v>
      </c>
      <c r="F415" t="str">
        <f>IF(原始经营数据!$D416="","",T(原始经营数据!$J416))</f>
        <v>%</v>
      </c>
      <c r="G415" t="str">
        <f>IF(原始经营数据!$D416="","",T(原始经营数据!$K416))</f>
        <v>儿童</v>
      </c>
      <c r="H415" t="str">
        <f>IF(原始经营数据!$D416="","",原始经营数据!$G416)</f>
        <v>服务金额</v>
      </c>
      <c r="I415" t="str">
        <f>IF($A415="","",IF($B415&lt;&gt;"",$B415,IF(COUNTIFS(原始经营数据!$D$3:$D$3001,$A415,原始经营数据!$E$3:$E$3001,"",原始经营数据!$F$3:$F$3001,$C415,原始经营数据!$H$3:$H$3001,$D415,原始经营数据!$K$3:$K$3001,$G415)&gt;1,"基金整体·来源"&amp;原始经营数据!$A416,"基金整体")))</f>
        <v>领秀城贵和购物中心</v>
      </c>
      <c r="J415" t="str">
        <f t="shared" si="93"/>
        <v>年度</v>
      </c>
      <c r="K415" t="str">
        <f t="shared" si="94"/>
        <v>租户业态分布-租赁面积占比-儿童（%）</v>
      </c>
      <c r="L415" t="str">
        <f t="shared" si="95"/>
        <v>领秀城贵和购物中心|租户业态分布-租赁面积占比-儿童（%）|年度</v>
      </c>
      <c r="M415">
        <f>IF($A415="",0,IF(COUNTIF($L$2:$L415,$L415)=1,1,0))</f>
        <v>0</v>
      </c>
      <c r="N415">
        <f t="shared" si="96"/>
        <v>20230</v>
      </c>
      <c r="O415" t="str">
        <f t="shared" si="97"/>
        <v>中金中国绿发消费封闭式基础设施证券投资基金|2023|年度</v>
      </c>
      <c r="P415">
        <f>IF($A415="",0,IF(COUNTIF($O$2:$O415,$O415)=1,1,0))</f>
        <v>0</v>
      </c>
      <c r="Q415" t="str">
        <f>IF(AND($P415=1,$A415=经营数据!$B$3,$J415=经营数据!$BA$5),COUNTIFS($P$2:$P$3000,1,$A$2:$A$3000,$A415,$J$2:$J$3000,$J415,$N$2:$N$3000,"&lt;"&amp;$N415)+1,"")</f>
        <v/>
      </c>
      <c r="R415" t="str">
        <f t="shared" si="98"/>
        <v>中金中国绿发消费封闭式基础设施证券投资基金|领秀城贵和购物中心</v>
      </c>
      <c r="S415">
        <f>IF($A415="",0,IF(COUNTIF($R$2:$R415,$R415)=1,1,0))</f>
        <v>0</v>
      </c>
      <c r="T415">
        <f t="shared" si="99"/>
        <v>385</v>
      </c>
      <c r="U415" t="str">
        <f>IF($A415="","",IF($A415=经营数据!$B$3,COUNTIFS($S$2:$S$3000,1,$A$2:$A$3000,$A415,$T$2:$T$3000,"&lt;"&amp;$T415)+1,""))</f>
        <v/>
      </c>
      <c r="V415" t="str">
        <f t="shared" si="100"/>
        <v>领秀城贵和购物中心|服务金额</v>
      </c>
      <c r="W415">
        <f t="shared" si="101"/>
        <v>385</v>
      </c>
      <c r="X415" t="str">
        <f t="shared" si="102"/>
        <v>领秀城贵和购物中心|租户业态分布-租赁面积占比</v>
      </c>
      <c r="Y415">
        <f t="shared" si="103"/>
        <v>392</v>
      </c>
      <c r="Z415">
        <f>IF($A415="",0,IF(AND($M415=1,$A415=经营数据!$B$3,$J415=经营数据!$BA$5,OR($I415=经营数据!$BA$4,COUNTIF(经营数据!$AA$9:$AA$38,$I415)&gt;0)),1,0))</f>
        <v>0</v>
      </c>
      <c r="AA415" t="str">
        <f t="shared" si="104"/>
        <v/>
      </c>
      <c r="AB415" t="str">
        <f t="shared" si="105"/>
        <v/>
      </c>
      <c r="AC415">
        <f>IF($A415="",0,IF(COUNTIF($A$2:$A415,$A415)=1,1,0))</f>
        <v>0</v>
      </c>
      <c r="AD415">
        <f t="shared" si="106"/>
        <v>5</v>
      </c>
      <c r="AE415" t="str">
        <f t="shared" si="107"/>
        <v>领秀城贵和购物中心|租户业态分布-租赁面积占比-儿童（%）</v>
      </c>
      <c r="BP415" s="47">
        <v>45985</v>
      </c>
      <c r="BQ415" s="29">
        <v>3.8440754222929523E-2</v>
      </c>
    </row>
    <row r="416" spans="1:69" x14ac:dyDescent="0.4">
      <c r="A416" t="str">
        <f>IF(原始经营数据!$D417="","",原始经营数据!$D417)</f>
        <v>中金中国绿发消费封闭式基础设施证券投资基金</v>
      </c>
      <c r="B416" t="str">
        <f>IF(原始经营数据!$D417="","",T(原始经营数据!$E417))</f>
        <v>领秀城贵和购物中心</v>
      </c>
      <c r="C416" t="str">
        <f>IF(原始经营数据!$D417="","",原始经营数据!$F417)</f>
        <v>2023</v>
      </c>
      <c r="D416" t="str">
        <f>IF(原始经营数据!$D417="","",原始经营数据!$H417)</f>
        <v>租户业态分布-租赁面积占比</v>
      </c>
      <c r="E416">
        <f>IF(原始经营数据!$D417="","",原始经营数据!$I417)</f>
        <v>12.11</v>
      </c>
      <c r="F416" t="str">
        <f>IF(原始经营数据!$D417="","",T(原始经营数据!$J417))</f>
        <v>%</v>
      </c>
      <c r="G416" t="str">
        <f>IF(原始经营数据!$D417="","",T(原始经营数据!$K417))</f>
        <v>娱乐</v>
      </c>
      <c r="H416" t="str">
        <f>IF(原始经营数据!$D417="","",原始经营数据!$G417)</f>
        <v>服务金额</v>
      </c>
      <c r="I416" t="str">
        <f>IF($A416="","",IF($B416&lt;&gt;"",$B416,IF(COUNTIFS(原始经营数据!$D$3:$D$3001,$A416,原始经营数据!$E$3:$E$3001,"",原始经营数据!$F$3:$F$3001,$C416,原始经营数据!$H$3:$H$3001,$D416,原始经营数据!$K$3:$K$3001,$G416)&gt;1,"基金整体·来源"&amp;原始经营数据!$A417,"基金整体")))</f>
        <v>领秀城贵和购物中心</v>
      </c>
      <c r="J416" t="str">
        <f t="shared" si="93"/>
        <v>年度</v>
      </c>
      <c r="K416" t="str">
        <f t="shared" si="94"/>
        <v>租户业态分布-租赁面积占比-娱乐（%）</v>
      </c>
      <c r="L416" t="str">
        <f t="shared" si="95"/>
        <v>领秀城贵和购物中心|租户业态分布-租赁面积占比-娱乐（%）|年度</v>
      </c>
      <c r="M416">
        <f>IF($A416="",0,IF(COUNTIF($L$2:$L416,$L416)=1,1,0))</f>
        <v>0</v>
      </c>
      <c r="N416">
        <f t="shared" si="96"/>
        <v>20230</v>
      </c>
      <c r="O416" t="str">
        <f t="shared" si="97"/>
        <v>中金中国绿发消费封闭式基础设施证券投资基金|2023|年度</v>
      </c>
      <c r="P416">
        <f>IF($A416="",0,IF(COUNTIF($O$2:$O416,$O416)=1,1,0))</f>
        <v>0</v>
      </c>
      <c r="Q416" t="str">
        <f>IF(AND($P416=1,$A416=经营数据!$B$3,$J416=经营数据!$BA$5),COUNTIFS($P$2:$P$3000,1,$A$2:$A$3000,$A416,$J$2:$J$3000,$J416,$N$2:$N$3000,"&lt;"&amp;$N416)+1,"")</f>
        <v/>
      </c>
      <c r="R416" t="str">
        <f t="shared" si="98"/>
        <v>中金中国绿发消费封闭式基础设施证券投资基金|领秀城贵和购物中心</v>
      </c>
      <c r="S416">
        <f>IF($A416="",0,IF(COUNTIF($R$2:$R416,$R416)=1,1,0))</f>
        <v>0</v>
      </c>
      <c r="T416">
        <f t="shared" si="99"/>
        <v>385</v>
      </c>
      <c r="U416" t="str">
        <f>IF($A416="","",IF($A416=经营数据!$B$3,COUNTIFS($S$2:$S$3000,1,$A$2:$A$3000,$A416,$T$2:$T$3000,"&lt;"&amp;$T416)+1,""))</f>
        <v/>
      </c>
      <c r="V416" t="str">
        <f t="shared" si="100"/>
        <v>领秀城贵和购物中心|服务金额</v>
      </c>
      <c r="W416">
        <f t="shared" si="101"/>
        <v>385</v>
      </c>
      <c r="X416" t="str">
        <f t="shared" si="102"/>
        <v>领秀城贵和购物中心|租户业态分布-租赁面积占比</v>
      </c>
      <c r="Y416">
        <f t="shared" si="103"/>
        <v>392</v>
      </c>
      <c r="Z416">
        <f>IF($A416="",0,IF(AND($M416=1,$A416=经营数据!$B$3,$J416=经营数据!$BA$5,OR($I416=经营数据!$BA$4,COUNTIF(经营数据!$AA$9:$AA$38,$I416)&gt;0)),1,0))</f>
        <v>0</v>
      </c>
      <c r="AA416" t="str">
        <f t="shared" si="104"/>
        <v/>
      </c>
      <c r="AB416" t="str">
        <f t="shared" si="105"/>
        <v/>
      </c>
      <c r="AC416">
        <f>IF($A416="",0,IF(COUNTIF($A$2:$A416,$A416)=1,1,0))</f>
        <v>0</v>
      </c>
      <c r="AD416">
        <f t="shared" si="106"/>
        <v>5</v>
      </c>
      <c r="AE416" t="str">
        <f t="shared" si="107"/>
        <v>领秀城贵和购物中心|租户业态分布-租赁面积占比-娱乐（%）</v>
      </c>
      <c r="BP416" s="47">
        <v>45986</v>
      </c>
      <c r="BQ416" s="29">
        <v>3.8140901510911089E-2</v>
      </c>
    </row>
    <row r="417" spans="1:69" x14ac:dyDescent="0.4">
      <c r="A417" t="str">
        <f>IF(原始经营数据!$D418="","",原始经营数据!$D418)</f>
        <v>中金中国绿发消费封闭式基础设施证券投资基金</v>
      </c>
      <c r="B417" t="str">
        <f>IF(原始经营数据!$D418="","",T(原始经营数据!$E418))</f>
        <v>领秀城贵和购物中心</v>
      </c>
      <c r="C417" t="str">
        <f>IF(原始经营数据!$D418="","",原始经营数据!$F418)</f>
        <v>2023</v>
      </c>
      <c r="D417" t="str">
        <f>IF(原始经营数据!$D418="","",原始经营数据!$H418)</f>
        <v>营业额</v>
      </c>
      <c r="E417">
        <f>IF(原始经营数据!$D418="","",原始经营数据!$I418)</f>
        <v>94652.72</v>
      </c>
      <c r="F417" t="str">
        <f>IF(原始经营数据!$D418="","",T(原始经营数据!$J418))</f>
        <v>万元</v>
      </c>
      <c r="G417" t="str">
        <f>IF(原始经营数据!$D418="","",T(原始经营数据!$K418))</f>
        <v>新能源汽车</v>
      </c>
      <c r="H417" t="str">
        <f>IF(原始经营数据!$D418="","",原始经营数据!$G418)</f>
        <v>服务金额</v>
      </c>
      <c r="I417" t="str">
        <f>IF($A417="","",IF($B417&lt;&gt;"",$B417,IF(COUNTIFS(原始经营数据!$D$3:$D$3001,$A417,原始经营数据!$E$3:$E$3001,"",原始经营数据!$F$3:$F$3001,$C417,原始经营数据!$H$3:$H$3001,$D417,原始经营数据!$K$3:$K$3001,$G417)&gt;1,"基金整体·来源"&amp;原始经营数据!$A418,"基金整体")))</f>
        <v>领秀城贵和购物中心</v>
      </c>
      <c r="J417" t="str">
        <f t="shared" si="93"/>
        <v>年度</v>
      </c>
      <c r="K417" t="str">
        <f t="shared" si="94"/>
        <v>营业额-新能源汽车（万元）</v>
      </c>
      <c r="L417" t="str">
        <f t="shared" si="95"/>
        <v>领秀城贵和购物中心|营业额-新能源汽车（万元）|年度</v>
      </c>
      <c r="M417">
        <f>IF($A417="",0,IF(COUNTIF($L$2:$L417,$L417)=1,1,0))</f>
        <v>0</v>
      </c>
      <c r="N417">
        <f t="shared" si="96"/>
        <v>20230</v>
      </c>
      <c r="O417" t="str">
        <f t="shared" si="97"/>
        <v>中金中国绿发消费封闭式基础设施证券投资基金|2023|年度</v>
      </c>
      <c r="P417">
        <f>IF($A417="",0,IF(COUNTIF($O$2:$O417,$O417)=1,1,0))</f>
        <v>0</v>
      </c>
      <c r="Q417" t="str">
        <f>IF(AND($P417=1,$A417=经营数据!$B$3,$J417=经营数据!$BA$5),COUNTIFS($P$2:$P$3000,1,$A$2:$A$3000,$A417,$J$2:$J$3000,$J417,$N$2:$N$3000,"&lt;"&amp;$N417)+1,"")</f>
        <v/>
      </c>
      <c r="R417" t="str">
        <f t="shared" si="98"/>
        <v>中金中国绿发消费封闭式基础设施证券投资基金|领秀城贵和购物中心</v>
      </c>
      <c r="S417">
        <f>IF($A417="",0,IF(COUNTIF($R$2:$R417,$R417)=1,1,0))</f>
        <v>0</v>
      </c>
      <c r="T417">
        <f t="shared" si="99"/>
        <v>385</v>
      </c>
      <c r="U417" t="str">
        <f>IF($A417="","",IF($A417=经营数据!$B$3,COUNTIFS($S$2:$S$3000,1,$A$2:$A$3000,$A417,$T$2:$T$3000,"&lt;"&amp;$T417)+1,""))</f>
        <v/>
      </c>
      <c r="V417" t="str">
        <f t="shared" si="100"/>
        <v>领秀城贵和购物中心|服务金额</v>
      </c>
      <c r="W417">
        <f t="shared" si="101"/>
        <v>385</v>
      </c>
      <c r="X417" t="str">
        <f t="shared" si="102"/>
        <v>领秀城贵和购物中心|营业额</v>
      </c>
      <c r="Y417">
        <f t="shared" si="103"/>
        <v>389</v>
      </c>
      <c r="Z417">
        <f>IF($A417="",0,IF(AND($M417=1,$A417=经营数据!$B$3,$J417=经营数据!$BA$5,OR($I417=经营数据!$BA$4,COUNTIF(经营数据!$AA$9:$AA$38,$I417)&gt;0)),1,0))</f>
        <v>0</v>
      </c>
      <c r="AA417" t="str">
        <f t="shared" si="104"/>
        <v/>
      </c>
      <c r="AB417" t="str">
        <f t="shared" si="105"/>
        <v/>
      </c>
      <c r="AC417">
        <f>IF($A417="",0,IF(COUNTIF($A$2:$A417,$A417)=1,1,0))</f>
        <v>0</v>
      </c>
      <c r="AD417">
        <f t="shared" si="106"/>
        <v>5</v>
      </c>
      <c r="AE417" t="str">
        <f t="shared" si="107"/>
        <v>领秀城贵和购物中心|营业额-新能源汽车（万元）</v>
      </c>
      <c r="BP417" s="47">
        <v>45987</v>
      </c>
      <c r="BQ417" s="29">
        <v>3.8112073498733988E-2</v>
      </c>
    </row>
    <row r="418" spans="1:69" x14ac:dyDescent="0.4">
      <c r="A418" t="str">
        <f>IF(原始经营数据!$D419="","",原始经营数据!$D419)</f>
        <v>中金中国绿发消费封闭式基础设施证券投资基金</v>
      </c>
      <c r="B418" t="str">
        <f>IF(原始经营数据!$D419="","",T(原始经营数据!$E419))</f>
        <v>领秀城贵和购物中心</v>
      </c>
      <c r="C418" t="str">
        <f>IF(原始经营数据!$D419="","",原始经营数据!$F419)</f>
        <v>2023</v>
      </c>
      <c r="D418" t="str">
        <f>IF(原始经营数据!$D419="","",原始经营数据!$H419)</f>
        <v>租户业态分布-店铺租赁收入占比</v>
      </c>
      <c r="E418">
        <f>IF(原始经营数据!$D419="","",原始经营数据!$I419)</f>
        <v>5.22</v>
      </c>
      <c r="F418" t="str">
        <f>IF(原始经营数据!$D419="","",T(原始经营数据!$J419))</f>
        <v>%</v>
      </c>
      <c r="G418" t="str">
        <f>IF(原始经营数据!$D419="","",T(原始经营数据!$K419))</f>
        <v>娱乐</v>
      </c>
      <c r="H418" t="str">
        <f>IF(原始经营数据!$D419="","",原始经营数据!$G419)</f>
        <v>服务金额</v>
      </c>
      <c r="I418" t="str">
        <f>IF($A418="","",IF($B418&lt;&gt;"",$B418,IF(COUNTIFS(原始经营数据!$D$3:$D$3001,$A418,原始经营数据!$E$3:$E$3001,"",原始经营数据!$F$3:$F$3001,$C418,原始经营数据!$H$3:$H$3001,$D418,原始经营数据!$K$3:$K$3001,$G418)&gt;1,"基金整体·来源"&amp;原始经营数据!$A419,"基金整体")))</f>
        <v>领秀城贵和购物中心</v>
      </c>
      <c r="J418" t="str">
        <f t="shared" si="93"/>
        <v>年度</v>
      </c>
      <c r="K418" t="str">
        <f t="shared" si="94"/>
        <v>租户业态分布-店铺租赁收入占比-娱乐（%）</v>
      </c>
      <c r="L418" t="str">
        <f t="shared" si="95"/>
        <v>领秀城贵和购物中心|租户业态分布-店铺租赁收入占比-娱乐（%）|年度</v>
      </c>
      <c r="M418">
        <f>IF($A418="",0,IF(COUNTIF($L$2:$L418,$L418)=1,1,0))</f>
        <v>0</v>
      </c>
      <c r="N418">
        <f t="shared" si="96"/>
        <v>20230</v>
      </c>
      <c r="O418" t="str">
        <f t="shared" si="97"/>
        <v>中金中国绿发消费封闭式基础设施证券投资基金|2023|年度</v>
      </c>
      <c r="P418">
        <f>IF($A418="",0,IF(COUNTIF($O$2:$O418,$O418)=1,1,0))</f>
        <v>0</v>
      </c>
      <c r="Q418" t="str">
        <f>IF(AND($P418=1,$A418=经营数据!$B$3,$J418=经营数据!$BA$5),COUNTIFS($P$2:$P$3000,1,$A$2:$A$3000,$A418,$J$2:$J$3000,$J418,$N$2:$N$3000,"&lt;"&amp;$N418)+1,"")</f>
        <v/>
      </c>
      <c r="R418" t="str">
        <f t="shared" si="98"/>
        <v>中金中国绿发消费封闭式基础设施证券投资基金|领秀城贵和购物中心</v>
      </c>
      <c r="S418">
        <f>IF($A418="",0,IF(COUNTIF($R$2:$R418,$R418)=1,1,0))</f>
        <v>0</v>
      </c>
      <c r="T418">
        <f t="shared" si="99"/>
        <v>385</v>
      </c>
      <c r="U418" t="str">
        <f>IF($A418="","",IF($A418=经营数据!$B$3,COUNTIFS($S$2:$S$3000,1,$A$2:$A$3000,$A418,$T$2:$T$3000,"&lt;"&amp;$T418)+1,""))</f>
        <v/>
      </c>
      <c r="V418" t="str">
        <f t="shared" si="100"/>
        <v>领秀城贵和购物中心|服务金额</v>
      </c>
      <c r="W418">
        <f t="shared" si="101"/>
        <v>385</v>
      </c>
      <c r="X418" t="str">
        <f t="shared" si="102"/>
        <v>领秀城贵和购物中心|租户业态分布-店铺租赁收入占比</v>
      </c>
      <c r="Y418">
        <f t="shared" si="103"/>
        <v>385</v>
      </c>
      <c r="Z418">
        <f>IF($A418="",0,IF(AND($M418=1,$A418=经营数据!$B$3,$J418=经营数据!$BA$5,OR($I418=经营数据!$BA$4,COUNTIF(经营数据!$AA$9:$AA$38,$I418)&gt;0)),1,0))</f>
        <v>0</v>
      </c>
      <c r="AA418" t="str">
        <f t="shared" si="104"/>
        <v/>
      </c>
      <c r="AB418" t="str">
        <f t="shared" si="105"/>
        <v/>
      </c>
      <c r="AC418">
        <f>IF($A418="",0,IF(COUNTIF($A$2:$A418,$A418)=1,1,0))</f>
        <v>0</v>
      </c>
      <c r="AD418">
        <f t="shared" si="106"/>
        <v>5</v>
      </c>
      <c r="AE418" t="str">
        <f t="shared" si="107"/>
        <v>领秀城贵和购物中心|租户业态分布-店铺租赁收入占比-娱乐（%）</v>
      </c>
      <c r="BP418" s="47">
        <v>45988</v>
      </c>
      <c r="BQ418" s="29">
        <v>3.8319885127766698E-2</v>
      </c>
    </row>
    <row r="419" spans="1:69" x14ac:dyDescent="0.4">
      <c r="A419" t="str">
        <f>IF(原始经营数据!$D420="","",原始经营数据!$D420)</f>
        <v>中金中国绿发消费封闭式基础设施证券投资基金</v>
      </c>
      <c r="B419" t="str">
        <f>IF(原始经营数据!$D420="","",T(原始经营数据!$E420))</f>
        <v>领秀城贵和购物中心</v>
      </c>
      <c r="C419" t="str">
        <f>IF(原始经营数据!$D420="","",原始经营数据!$F420)</f>
        <v>2023</v>
      </c>
      <c r="D419" t="str">
        <f>IF(原始经营数据!$D420="","",原始经营数据!$H420)</f>
        <v>租户业态分布-店铺租赁收入占比</v>
      </c>
      <c r="E419">
        <f>IF(原始经营数据!$D420="","",原始经营数据!$I420)</f>
        <v>14.1</v>
      </c>
      <c r="F419" t="str">
        <f>IF(原始经营数据!$D420="","",T(原始经营数据!$J420))</f>
        <v>%</v>
      </c>
      <c r="G419" t="str">
        <f>IF(原始经营数据!$D420="","",T(原始经营数据!$K420))</f>
        <v>儿童</v>
      </c>
      <c r="H419" t="str">
        <f>IF(原始经营数据!$D420="","",原始经营数据!$G420)</f>
        <v>服务金额</v>
      </c>
      <c r="I419" t="str">
        <f>IF($A419="","",IF($B419&lt;&gt;"",$B419,IF(COUNTIFS(原始经营数据!$D$3:$D$3001,$A419,原始经营数据!$E$3:$E$3001,"",原始经营数据!$F$3:$F$3001,$C419,原始经营数据!$H$3:$H$3001,$D419,原始经营数据!$K$3:$K$3001,$G419)&gt;1,"基金整体·来源"&amp;原始经营数据!$A420,"基金整体")))</f>
        <v>领秀城贵和购物中心</v>
      </c>
      <c r="J419" t="str">
        <f t="shared" si="93"/>
        <v>年度</v>
      </c>
      <c r="K419" t="str">
        <f t="shared" si="94"/>
        <v>租户业态分布-店铺租赁收入占比-儿童（%）</v>
      </c>
      <c r="L419" t="str">
        <f t="shared" si="95"/>
        <v>领秀城贵和购物中心|租户业态分布-店铺租赁收入占比-儿童（%）|年度</v>
      </c>
      <c r="M419">
        <f>IF($A419="",0,IF(COUNTIF($L$2:$L419,$L419)=1,1,0))</f>
        <v>0</v>
      </c>
      <c r="N419">
        <f t="shared" si="96"/>
        <v>20230</v>
      </c>
      <c r="O419" t="str">
        <f t="shared" si="97"/>
        <v>中金中国绿发消费封闭式基础设施证券投资基金|2023|年度</v>
      </c>
      <c r="P419">
        <f>IF($A419="",0,IF(COUNTIF($O$2:$O419,$O419)=1,1,0))</f>
        <v>0</v>
      </c>
      <c r="Q419" t="str">
        <f>IF(AND($P419=1,$A419=经营数据!$B$3,$J419=经营数据!$BA$5),COUNTIFS($P$2:$P$3000,1,$A$2:$A$3000,$A419,$J$2:$J$3000,$J419,$N$2:$N$3000,"&lt;"&amp;$N419)+1,"")</f>
        <v/>
      </c>
      <c r="R419" t="str">
        <f t="shared" si="98"/>
        <v>中金中国绿发消费封闭式基础设施证券投资基金|领秀城贵和购物中心</v>
      </c>
      <c r="S419">
        <f>IF($A419="",0,IF(COUNTIF($R$2:$R419,$R419)=1,1,0))</f>
        <v>0</v>
      </c>
      <c r="T419">
        <f t="shared" si="99"/>
        <v>385</v>
      </c>
      <c r="U419" t="str">
        <f>IF($A419="","",IF($A419=经营数据!$B$3,COUNTIFS($S$2:$S$3000,1,$A$2:$A$3000,$A419,$T$2:$T$3000,"&lt;"&amp;$T419)+1,""))</f>
        <v/>
      </c>
      <c r="V419" t="str">
        <f t="shared" si="100"/>
        <v>领秀城贵和购物中心|服务金额</v>
      </c>
      <c r="W419">
        <f t="shared" si="101"/>
        <v>385</v>
      </c>
      <c r="X419" t="str">
        <f t="shared" si="102"/>
        <v>领秀城贵和购物中心|租户业态分布-店铺租赁收入占比</v>
      </c>
      <c r="Y419">
        <f t="shared" si="103"/>
        <v>385</v>
      </c>
      <c r="Z419">
        <f>IF($A419="",0,IF(AND($M419=1,$A419=经营数据!$B$3,$J419=经营数据!$BA$5,OR($I419=经营数据!$BA$4,COUNTIF(经营数据!$AA$9:$AA$38,$I419)&gt;0)),1,0))</f>
        <v>0</v>
      </c>
      <c r="AA419" t="str">
        <f t="shared" si="104"/>
        <v/>
      </c>
      <c r="AB419" t="str">
        <f t="shared" si="105"/>
        <v/>
      </c>
      <c r="AC419">
        <f>IF($A419="",0,IF(COUNTIF($A$2:$A419,$A419)=1,1,0))</f>
        <v>0</v>
      </c>
      <c r="AD419">
        <f t="shared" si="106"/>
        <v>5</v>
      </c>
      <c r="AE419" t="str">
        <f t="shared" si="107"/>
        <v>领秀城贵和购物中心|租户业态分布-店铺租赁收入占比-儿童（%）</v>
      </c>
      <c r="BP419" s="47">
        <v>45989</v>
      </c>
      <c r="BQ419" s="29">
        <v>3.8365349907865547E-2</v>
      </c>
    </row>
    <row r="420" spans="1:69" x14ac:dyDescent="0.4">
      <c r="A420" t="str">
        <f>IF(原始经营数据!$D421="","",原始经营数据!$D421)</f>
        <v>中金中国绿发消费封闭式基础设施证券投资基金</v>
      </c>
      <c r="B420" t="str">
        <f>IF(原始经营数据!$D421="","",T(原始经营数据!$E421))</f>
        <v>领秀城贵和购物中心</v>
      </c>
      <c r="C420" t="str">
        <f>IF(原始经营数据!$D421="","",原始经营数据!$F421)</f>
        <v>2023</v>
      </c>
      <c r="D420" t="str">
        <f>IF(原始经营数据!$D421="","",原始经营数据!$H421)</f>
        <v>营业额</v>
      </c>
      <c r="E420">
        <f>IF(原始经营数据!$D421="","",原始经营数据!$I421)</f>
        <v>94110.76</v>
      </c>
      <c r="F420" t="str">
        <f>IF(原始经营数据!$D421="","",T(原始经营数据!$J421))</f>
        <v>万元</v>
      </c>
      <c r="G420" t="str">
        <f>IF(原始经营数据!$D421="","",T(原始经营数据!$K421))</f>
        <v>除新能源汽车</v>
      </c>
      <c r="H420" t="str">
        <f>IF(原始经营数据!$D421="","",原始经营数据!$G421)</f>
        <v>服务金额</v>
      </c>
      <c r="I420" t="str">
        <f>IF($A420="","",IF($B420&lt;&gt;"",$B420,IF(COUNTIFS(原始经营数据!$D$3:$D$3001,$A420,原始经营数据!$E$3:$E$3001,"",原始经营数据!$F$3:$F$3001,$C420,原始经营数据!$H$3:$H$3001,$D420,原始经营数据!$K$3:$K$3001,$G420)&gt;1,"基金整体·来源"&amp;原始经营数据!$A421,"基金整体")))</f>
        <v>领秀城贵和购物中心</v>
      </c>
      <c r="J420" t="str">
        <f t="shared" si="93"/>
        <v>年度</v>
      </c>
      <c r="K420" t="str">
        <f t="shared" si="94"/>
        <v>营业额-除新能源汽车（万元）</v>
      </c>
      <c r="L420" t="str">
        <f t="shared" si="95"/>
        <v>领秀城贵和购物中心|营业额-除新能源汽车（万元）|年度</v>
      </c>
      <c r="M420">
        <f>IF($A420="",0,IF(COUNTIF($L$2:$L420,$L420)=1,1,0))</f>
        <v>0</v>
      </c>
      <c r="N420">
        <f t="shared" si="96"/>
        <v>20230</v>
      </c>
      <c r="O420" t="str">
        <f t="shared" si="97"/>
        <v>中金中国绿发消费封闭式基础设施证券投资基金|2023|年度</v>
      </c>
      <c r="P420">
        <f>IF($A420="",0,IF(COUNTIF($O$2:$O420,$O420)=1,1,0))</f>
        <v>0</v>
      </c>
      <c r="Q420" t="str">
        <f>IF(AND($P420=1,$A420=经营数据!$B$3,$J420=经营数据!$BA$5),COUNTIFS($P$2:$P$3000,1,$A$2:$A$3000,$A420,$J$2:$J$3000,$J420,$N$2:$N$3000,"&lt;"&amp;$N420)+1,"")</f>
        <v/>
      </c>
      <c r="R420" t="str">
        <f t="shared" si="98"/>
        <v>中金中国绿发消费封闭式基础设施证券投资基金|领秀城贵和购物中心</v>
      </c>
      <c r="S420">
        <f>IF($A420="",0,IF(COUNTIF($R$2:$R420,$R420)=1,1,0))</f>
        <v>0</v>
      </c>
      <c r="T420">
        <f t="shared" si="99"/>
        <v>385</v>
      </c>
      <c r="U420" t="str">
        <f>IF($A420="","",IF($A420=经营数据!$B$3,COUNTIFS($S$2:$S$3000,1,$A$2:$A$3000,$A420,$T$2:$T$3000,"&lt;"&amp;$T420)+1,""))</f>
        <v/>
      </c>
      <c r="V420" t="str">
        <f t="shared" si="100"/>
        <v>领秀城贵和购物中心|服务金额</v>
      </c>
      <c r="W420">
        <f t="shared" si="101"/>
        <v>385</v>
      </c>
      <c r="X420" t="str">
        <f t="shared" si="102"/>
        <v>领秀城贵和购物中心|营业额</v>
      </c>
      <c r="Y420">
        <f t="shared" si="103"/>
        <v>389</v>
      </c>
      <c r="Z420">
        <f>IF($A420="",0,IF(AND($M420=1,$A420=经营数据!$B$3,$J420=经营数据!$BA$5,OR($I420=经营数据!$BA$4,COUNTIF(经营数据!$AA$9:$AA$38,$I420)&gt;0)),1,0))</f>
        <v>0</v>
      </c>
      <c r="AA420" t="str">
        <f t="shared" si="104"/>
        <v/>
      </c>
      <c r="AB420" t="str">
        <f t="shared" si="105"/>
        <v/>
      </c>
      <c r="AC420">
        <f>IF($A420="",0,IF(COUNTIF($A$2:$A420,$A420)=1,1,0))</f>
        <v>0</v>
      </c>
      <c r="AD420">
        <f t="shared" si="106"/>
        <v>5</v>
      </c>
      <c r="AE420" t="str">
        <f t="shared" si="107"/>
        <v>领秀城贵和购物中心|营业额-除新能源汽车（万元）</v>
      </c>
      <c r="BP420" s="47">
        <v>45992</v>
      </c>
      <c r="BQ420" s="29">
        <v>3.8454404310700248E-2</v>
      </c>
    </row>
    <row r="421" spans="1:69" x14ac:dyDescent="0.4">
      <c r="A421" t="str">
        <f>IF(原始经营数据!$D422="","",原始经营数据!$D422)</f>
        <v>中金中国绿发消费封闭式基础设施证券投资基金</v>
      </c>
      <c r="B421" t="str">
        <f>IF(原始经营数据!$D422="","",T(原始经营数据!$E422))</f>
        <v>领秀城贵和购物中心</v>
      </c>
      <c r="C421" t="str">
        <f>IF(原始经营数据!$D422="","",原始经营数据!$F422)</f>
        <v>2023</v>
      </c>
      <c r="D421" t="str">
        <f>IF(原始经营数据!$D422="","",原始经营数据!$H422)</f>
        <v>平均固定租金单价</v>
      </c>
      <c r="E421">
        <f>IF(原始经营数据!$D422="","",原始经营数据!$I422)</f>
        <v>3.76</v>
      </c>
      <c r="F421" t="str">
        <f>IF(原始经营数据!$D422="","",T(原始经营数据!$J422))</f>
        <v>元/平方米/天</v>
      </c>
      <c r="G421" t="str">
        <f>IF(原始经营数据!$D422="","",T(原始经营数据!$K422))</f>
        <v/>
      </c>
      <c r="H421" t="str">
        <f>IF(原始经营数据!$D422="","",原始经营数据!$G422)</f>
        <v>服务价格</v>
      </c>
      <c r="I421" t="str">
        <f>IF($A421="","",IF($B421&lt;&gt;"",$B421,IF(COUNTIFS(原始经营数据!$D$3:$D$3001,$A421,原始经营数据!$E$3:$E$3001,"",原始经营数据!$F$3:$F$3001,$C421,原始经营数据!$H$3:$H$3001,$D421,原始经营数据!$K$3:$K$3001,$G421)&gt;1,"基金整体·来源"&amp;原始经营数据!$A422,"基金整体")))</f>
        <v>领秀城贵和购物中心</v>
      </c>
      <c r="J421" t="str">
        <f t="shared" si="93"/>
        <v>年度</v>
      </c>
      <c r="K421" t="str">
        <f t="shared" si="94"/>
        <v>平均固定租金单价（元/平方米/天）</v>
      </c>
      <c r="L421" t="str">
        <f t="shared" si="95"/>
        <v>领秀城贵和购物中心|平均固定租金单价（元/平方米/天）|年度</v>
      </c>
      <c r="M421">
        <f>IF($A421="",0,IF(COUNTIF($L$2:$L421,$L421)=1,1,0))</f>
        <v>0</v>
      </c>
      <c r="N421">
        <f t="shared" si="96"/>
        <v>20230</v>
      </c>
      <c r="O421" t="str">
        <f t="shared" si="97"/>
        <v>中金中国绿发消费封闭式基础设施证券投资基金|2023|年度</v>
      </c>
      <c r="P421">
        <f>IF($A421="",0,IF(COUNTIF($O$2:$O421,$O421)=1,1,0))</f>
        <v>0</v>
      </c>
      <c r="Q421" t="str">
        <f>IF(AND($P421=1,$A421=经营数据!$B$3,$J421=经营数据!$BA$5),COUNTIFS($P$2:$P$3000,1,$A$2:$A$3000,$A421,$J$2:$J$3000,$J421,$N$2:$N$3000,"&lt;"&amp;$N421)+1,"")</f>
        <v/>
      </c>
      <c r="R421" t="str">
        <f t="shared" si="98"/>
        <v>中金中国绿发消费封闭式基础设施证券投资基金|领秀城贵和购物中心</v>
      </c>
      <c r="S421">
        <f>IF($A421="",0,IF(COUNTIF($R$2:$R421,$R421)=1,1,0))</f>
        <v>0</v>
      </c>
      <c r="T421">
        <f t="shared" si="99"/>
        <v>385</v>
      </c>
      <c r="U421" t="str">
        <f>IF($A421="","",IF($A421=经营数据!$B$3,COUNTIFS($S$2:$S$3000,1,$A$2:$A$3000,$A421,$T$2:$T$3000,"&lt;"&amp;$T421)+1,""))</f>
        <v/>
      </c>
      <c r="V421" t="str">
        <f t="shared" si="100"/>
        <v>领秀城贵和购物中心|服务价格</v>
      </c>
      <c r="W421">
        <f t="shared" si="101"/>
        <v>395</v>
      </c>
      <c r="X421" t="str">
        <f t="shared" si="102"/>
        <v>领秀城贵和购物中心|平均固定租金单价</v>
      </c>
      <c r="Y421">
        <f t="shared" si="103"/>
        <v>395</v>
      </c>
      <c r="Z421">
        <f>IF($A421="",0,IF(AND($M421=1,$A421=经营数据!$B$3,$J421=经营数据!$BA$5,OR($I421=经营数据!$BA$4,COUNTIF(经营数据!$AA$9:$AA$38,$I421)&gt;0)),1,0))</f>
        <v>0</v>
      </c>
      <c r="AA421" t="str">
        <f t="shared" si="104"/>
        <v/>
      </c>
      <c r="AB421" t="str">
        <f t="shared" si="105"/>
        <v/>
      </c>
      <c r="AC421">
        <f>IF($A421="",0,IF(COUNTIF($A$2:$A421,$A421)=1,1,0))</f>
        <v>0</v>
      </c>
      <c r="AD421">
        <f t="shared" si="106"/>
        <v>5</v>
      </c>
      <c r="AE421" t="str">
        <f t="shared" si="107"/>
        <v>领秀城贵和购物中心|平均固定租金单价（元/平方米/天）</v>
      </c>
      <c r="BP421" s="47">
        <v>45993</v>
      </c>
      <c r="BQ421" s="29">
        <v>3.8530711477257541E-2</v>
      </c>
    </row>
    <row r="422" spans="1:69" x14ac:dyDescent="0.4">
      <c r="A422" t="str">
        <f>IF(原始经营数据!$D423="","",原始经营数据!$D423)</f>
        <v>中金中国绿发消费封闭式基础设施证券投资基金</v>
      </c>
      <c r="B422" t="str">
        <f>IF(原始经营数据!$D423="","",T(原始经营数据!$E423))</f>
        <v>领秀城贵和购物中心</v>
      </c>
      <c r="C422" t="str">
        <f>IF(原始经营数据!$D423="","",原始经营数据!$F423)</f>
        <v>2023</v>
      </c>
      <c r="D422" t="str">
        <f>IF(原始经营数据!$D423="","",原始经营数据!$H423)</f>
        <v>平均固定租金单价增长率</v>
      </c>
      <c r="E422">
        <f>IF(原始经营数据!$D423="","",原始经营数据!$I423)</f>
        <v>5.3</v>
      </c>
      <c r="F422" t="str">
        <f>IF(原始经营数据!$D423="","",T(原始经营数据!$J423))</f>
        <v>%</v>
      </c>
      <c r="G422" t="str">
        <f>IF(原始经营数据!$D423="","",T(原始经营数据!$K423))</f>
        <v/>
      </c>
      <c r="H422" t="str">
        <f>IF(原始经营数据!$D423="","",原始经营数据!$G423)</f>
        <v>服务效率</v>
      </c>
      <c r="I422" t="str">
        <f>IF($A422="","",IF($B422&lt;&gt;"",$B422,IF(COUNTIFS(原始经营数据!$D$3:$D$3001,$A422,原始经营数据!$E$3:$E$3001,"",原始经营数据!$F$3:$F$3001,$C422,原始经营数据!$H$3:$H$3001,$D422,原始经营数据!$K$3:$K$3001,$G422)&gt;1,"基金整体·来源"&amp;原始经营数据!$A423,"基金整体")))</f>
        <v>领秀城贵和购物中心</v>
      </c>
      <c r="J422" t="str">
        <f t="shared" si="93"/>
        <v>年度</v>
      </c>
      <c r="K422" t="str">
        <f t="shared" si="94"/>
        <v>平均固定租金单价增长率（%）</v>
      </c>
      <c r="L422" t="str">
        <f t="shared" si="95"/>
        <v>领秀城贵和购物中心|平均固定租金单价增长率（%）|年度</v>
      </c>
      <c r="M422">
        <f>IF($A422="",0,IF(COUNTIF($L$2:$L422,$L422)=1,1,0))</f>
        <v>0</v>
      </c>
      <c r="N422">
        <f t="shared" si="96"/>
        <v>20230</v>
      </c>
      <c r="O422" t="str">
        <f t="shared" si="97"/>
        <v>中金中国绿发消费封闭式基础设施证券投资基金|2023|年度</v>
      </c>
      <c r="P422">
        <f>IF($A422="",0,IF(COUNTIF($O$2:$O422,$O422)=1,1,0))</f>
        <v>0</v>
      </c>
      <c r="Q422" t="str">
        <f>IF(AND($P422=1,$A422=经营数据!$B$3,$J422=经营数据!$BA$5),COUNTIFS($P$2:$P$3000,1,$A$2:$A$3000,$A422,$J$2:$J$3000,$J422,$N$2:$N$3000,"&lt;"&amp;$N422)+1,"")</f>
        <v/>
      </c>
      <c r="R422" t="str">
        <f t="shared" si="98"/>
        <v>中金中国绿发消费封闭式基础设施证券投资基金|领秀城贵和购物中心</v>
      </c>
      <c r="S422">
        <f>IF($A422="",0,IF(COUNTIF($R$2:$R422,$R422)=1,1,0))</f>
        <v>0</v>
      </c>
      <c r="T422">
        <f t="shared" si="99"/>
        <v>385</v>
      </c>
      <c r="U422" t="str">
        <f>IF($A422="","",IF($A422=经营数据!$B$3,COUNTIFS($S$2:$S$3000,1,$A$2:$A$3000,$A422,$T$2:$T$3000,"&lt;"&amp;$T422)+1,""))</f>
        <v/>
      </c>
      <c r="V422" t="str">
        <f t="shared" si="100"/>
        <v>领秀城贵和购物中心|服务效率</v>
      </c>
      <c r="W422">
        <f t="shared" si="101"/>
        <v>397</v>
      </c>
      <c r="X422" t="str">
        <f t="shared" si="102"/>
        <v>领秀城贵和购物中心|平均固定租金单价增长率</v>
      </c>
      <c r="Y422">
        <f t="shared" si="103"/>
        <v>397</v>
      </c>
      <c r="Z422">
        <f>IF($A422="",0,IF(AND($M422=1,$A422=经营数据!$B$3,$J422=经营数据!$BA$5,OR($I422=经营数据!$BA$4,COUNTIF(经营数据!$AA$9:$AA$38,$I422)&gt;0)),1,0))</f>
        <v>0</v>
      </c>
      <c r="AA422" t="str">
        <f t="shared" si="104"/>
        <v/>
      </c>
      <c r="AB422" t="str">
        <f t="shared" si="105"/>
        <v/>
      </c>
      <c r="AC422">
        <f>IF($A422="",0,IF(COUNTIF($A$2:$A422,$A422)=1,1,0))</f>
        <v>0</v>
      </c>
      <c r="AD422">
        <f t="shared" si="106"/>
        <v>5</v>
      </c>
      <c r="AE422" t="str">
        <f t="shared" si="107"/>
        <v>领秀城贵和购物中心|平均固定租金单价增长率（%）</v>
      </c>
      <c r="BP422" s="47">
        <v>45994</v>
      </c>
      <c r="BQ422" s="29">
        <v>3.8582489418336072E-2</v>
      </c>
    </row>
    <row r="423" spans="1:69" x14ac:dyDescent="0.4">
      <c r="A423" t="str">
        <f>IF(原始经营数据!$D424="","",原始经营数据!$D424)</f>
        <v>中金中国绿发消费封闭式基础设施证券投资基金</v>
      </c>
      <c r="B423" t="str">
        <f>IF(原始经营数据!$D424="","",T(原始经营数据!$E424))</f>
        <v>领秀城贵和购物中心</v>
      </c>
      <c r="C423" t="str">
        <f>IF(原始经营数据!$D424="","",原始经营数据!$F424)</f>
        <v>2023</v>
      </c>
      <c r="D423" t="str">
        <f>IF(原始经营数据!$D424="","",原始经营数据!$H424)</f>
        <v>加权平均出租率</v>
      </c>
      <c r="E423">
        <f>IF(原始经营数据!$D424="","",原始经营数据!$I424)</f>
        <v>95.17</v>
      </c>
      <c r="F423" t="str">
        <f>IF(原始经营数据!$D424="","",T(原始经营数据!$J424))</f>
        <v>%</v>
      </c>
      <c r="G423" t="str">
        <f>IF(原始经营数据!$D424="","",T(原始经营数据!$K424))</f>
        <v/>
      </c>
      <c r="H423" t="str">
        <f>IF(原始经营数据!$D424="","",原始经营数据!$G424)</f>
        <v>服务效率</v>
      </c>
      <c r="I423" t="str">
        <f>IF($A423="","",IF($B423&lt;&gt;"",$B423,IF(COUNTIFS(原始经营数据!$D$3:$D$3001,$A423,原始经营数据!$E$3:$E$3001,"",原始经营数据!$F$3:$F$3001,$C423,原始经营数据!$H$3:$H$3001,$D423,原始经营数据!$K$3:$K$3001,$G423)&gt;1,"基金整体·来源"&amp;原始经营数据!$A424,"基金整体")))</f>
        <v>领秀城贵和购物中心</v>
      </c>
      <c r="J423" t="str">
        <f t="shared" si="93"/>
        <v>年度</v>
      </c>
      <c r="K423" t="str">
        <f t="shared" si="94"/>
        <v>加权平均出租率（%）</v>
      </c>
      <c r="L423" t="str">
        <f t="shared" si="95"/>
        <v>领秀城贵和购物中心|加权平均出租率（%）|年度</v>
      </c>
      <c r="M423">
        <f>IF($A423="",0,IF(COUNTIF($L$2:$L423,$L423)=1,1,0))</f>
        <v>0</v>
      </c>
      <c r="N423">
        <f t="shared" si="96"/>
        <v>20230</v>
      </c>
      <c r="O423" t="str">
        <f t="shared" si="97"/>
        <v>中金中国绿发消费封闭式基础设施证券投资基金|2023|年度</v>
      </c>
      <c r="P423">
        <f>IF($A423="",0,IF(COUNTIF($O$2:$O423,$O423)=1,1,0))</f>
        <v>0</v>
      </c>
      <c r="Q423" t="str">
        <f>IF(AND($P423=1,$A423=经营数据!$B$3,$J423=经营数据!$BA$5),COUNTIFS($P$2:$P$3000,1,$A$2:$A$3000,$A423,$J$2:$J$3000,$J423,$N$2:$N$3000,"&lt;"&amp;$N423)+1,"")</f>
        <v/>
      </c>
      <c r="R423" t="str">
        <f t="shared" si="98"/>
        <v>中金中国绿发消费封闭式基础设施证券投资基金|领秀城贵和购物中心</v>
      </c>
      <c r="S423">
        <f>IF($A423="",0,IF(COUNTIF($R$2:$R423,$R423)=1,1,0))</f>
        <v>0</v>
      </c>
      <c r="T423">
        <f t="shared" si="99"/>
        <v>385</v>
      </c>
      <c r="U423" t="str">
        <f>IF($A423="","",IF($A423=经营数据!$B$3,COUNTIFS($S$2:$S$3000,1,$A$2:$A$3000,$A423,$T$2:$T$3000,"&lt;"&amp;$T423)+1,""))</f>
        <v/>
      </c>
      <c r="V423" t="str">
        <f t="shared" si="100"/>
        <v>领秀城贵和购物中心|服务效率</v>
      </c>
      <c r="W423">
        <f t="shared" si="101"/>
        <v>397</v>
      </c>
      <c r="X423" t="str">
        <f t="shared" si="102"/>
        <v>领秀城贵和购物中心|加权平均出租率</v>
      </c>
      <c r="Y423">
        <f t="shared" si="103"/>
        <v>398</v>
      </c>
      <c r="Z423">
        <f>IF($A423="",0,IF(AND($M423=1,$A423=经营数据!$B$3,$J423=经营数据!$BA$5,OR($I423=经营数据!$BA$4,COUNTIF(经营数据!$AA$9:$AA$38,$I423)&gt;0)),1,0))</f>
        <v>0</v>
      </c>
      <c r="AA423" t="str">
        <f t="shared" si="104"/>
        <v/>
      </c>
      <c r="AB423" t="str">
        <f t="shared" si="105"/>
        <v/>
      </c>
      <c r="AC423">
        <f>IF($A423="",0,IF(COUNTIF($A$2:$A423,$A423)=1,1,0))</f>
        <v>0</v>
      </c>
      <c r="AD423">
        <f t="shared" si="106"/>
        <v>5</v>
      </c>
      <c r="AE423" t="str">
        <f t="shared" si="107"/>
        <v>领秀城贵和购物中心|加权平均出租率（%）</v>
      </c>
      <c r="BP423" s="47">
        <v>45995</v>
      </c>
      <c r="BQ423" s="29">
        <v>3.8667366161190153E-2</v>
      </c>
    </row>
    <row r="424" spans="1:69" x14ac:dyDescent="0.4">
      <c r="A424" t="str">
        <f>IF(原始经营数据!$D425="","",原始经营数据!$D425)</f>
        <v>中金中国绿发消费封闭式基础设施证券投资基金</v>
      </c>
      <c r="B424" t="str">
        <f>IF(原始经营数据!$D425="","",T(原始经营数据!$E425))</f>
        <v>领秀城贵和购物中心</v>
      </c>
      <c r="C424" t="str">
        <f>IF(原始经营数据!$D425="","",原始经营数据!$F425)</f>
        <v>2023</v>
      </c>
      <c r="D424" t="str">
        <f>IF(原始经营数据!$D425="","",原始经营数据!$H425)</f>
        <v>续租率</v>
      </c>
      <c r="E424">
        <f>IF(原始经营数据!$D425="","",原始经营数据!$I425)</f>
        <v>71.42</v>
      </c>
      <c r="F424" t="str">
        <f>IF(原始经营数据!$D425="","",T(原始经营数据!$J425))</f>
        <v>%</v>
      </c>
      <c r="G424" t="str">
        <f>IF(原始经营数据!$D425="","",T(原始经营数据!$K425))</f>
        <v/>
      </c>
      <c r="H424" t="str">
        <f>IF(原始经营数据!$D425="","",原始经营数据!$G425)</f>
        <v>服务效率</v>
      </c>
      <c r="I424" t="str">
        <f>IF($A424="","",IF($B424&lt;&gt;"",$B424,IF(COUNTIFS(原始经营数据!$D$3:$D$3001,$A424,原始经营数据!$E$3:$E$3001,"",原始经营数据!$F$3:$F$3001,$C424,原始经营数据!$H$3:$H$3001,$D424,原始经营数据!$K$3:$K$3001,$G424)&gt;1,"基金整体·来源"&amp;原始经营数据!$A425,"基金整体")))</f>
        <v>领秀城贵和购物中心</v>
      </c>
      <c r="J424" t="str">
        <f t="shared" si="93"/>
        <v>年度</v>
      </c>
      <c r="K424" t="str">
        <f t="shared" si="94"/>
        <v>续租率（%）</v>
      </c>
      <c r="L424" t="str">
        <f t="shared" si="95"/>
        <v>领秀城贵和购物中心|续租率（%）|年度</v>
      </c>
      <c r="M424">
        <f>IF($A424="",0,IF(COUNTIF($L$2:$L424,$L424)=1,1,0))</f>
        <v>0</v>
      </c>
      <c r="N424">
        <f t="shared" si="96"/>
        <v>20230</v>
      </c>
      <c r="O424" t="str">
        <f t="shared" si="97"/>
        <v>中金中国绿发消费封闭式基础设施证券投资基金|2023|年度</v>
      </c>
      <c r="P424">
        <f>IF($A424="",0,IF(COUNTIF($O$2:$O424,$O424)=1,1,0))</f>
        <v>0</v>
      </c>
      <c r="Q424" t="str">
        <f>IF(AND($P424=1,$A424=经营数据!$B$3,$J424=经营数据!$BA$5),COUNTIFS($P$2:$P$3000,1,$A$2:$A$3000,$A424,$J$2:$J$3000,$J424,$N$2:$N$3000,"&lt;"&amp;$N424)+1,"")</f>
        <v/>
      </c>
      <c r="R424" t="str">
        <f t="shared" si="98"/>
        <v>中金中国绿发消费封闭式基础设施证券投资基金|领秀城贵和购物中心</v>
      </c>
      <c r="S424">
        <f>IF($A424="",0,IF(COUNTIF($R$2:$R424,$R424)=1,1,0))</f>
        <v>0</v>
      </c>
      <c r="T424">
        <f t="shared" si="99"/>
        <v>385</v>
      </c>
      <c r="U424" t="str">
        <f>IF($A424="","",IF($A424=经营数据!$B$3,COUNTIFS($S$2:$S$3000,1,$A$2:$A$3000,$A424,$T$2:$T$3000,"&lt;"&amp;$T424)+1,""))</f>
        <v/>
      </c>
      <c r="V424" t="str">
        <f t="shared" si="100"/>
        <v>领秀城贵和购物中心|服务效率</v>
      </c>
      <c r="W424">
        <f t="shared" si="101"/>
        <v>397</v>
      </c>
      <c r="X424" t="str">
        <f t="shared" si="102"/>
        <v>领秀城贵和购物中心|续租率</v>
      </c>
      <c r="Y424">
        <f t="shared" si="103"/>
        <v>399</v>
      </c>
      <c r="Z424">
        <f>IF($A424="",0,IF(AND($M424=1,$A424=经营数据!$B$3,$J424=经营数据!$BA$5,OR($I424=经营数据!$BA$4,COUNTIF(经营数据!$AA$9:$AA$38,$I424)&gt;0)),1,0))</f>
        <v>0</v>
      </c>
      <c r="AA424" t="str">
        <f t="shared" si="104"/>
        <v/>
      </c>
      <c r="AB424" t="str">
        <f t="shared" si="105"/>
        <v/>
      </c>
      <c r="AC424">
        <f>IF($A424="",0,IF(COUNTIF($A$2:$A424,$A424)=1,1,0))</f>
        <v>0</v>
      </c>
      <c r="AD424">
        <f t="shared" si="106"/>
        <v>5</v>
      </c>
      <c r="AE424" t="str">
        <f t="shared" si="107"/>
        <v>领秀城贵和购物中心|续租率（%）</v>
      </c>
      <c r="BP424" s="47">
        <v>45996</v>
      </c>
      <c r="BQ424" s="29">
        <v>3.8764813270966522E-2</v>
      </c>
    </row>
    <row r="425" spans="1:69" x14ac:dyDescent="0.4">
      <c r="A425" t="str">
        <f>IF(原始经营数据!$D426="","",原始经营数据!$D426)</f>
        <v>中金中国绿发消费封闭式基础设施证券投资基金</v>
      </c>
      <c r="B425" t="str">
        <f>IF(原始经营数据!$D426="","",T(原始经营数据!$E426))</f>
        <v>领秀城贵和购物中心</v>
      </c>
      <c r="C425" t="str">
        <f>IF(原始经营数据!$D426="","",原始经营数据!$F426)</f>
        <v>2023</v>
      </c>
      <c r="D425" t="str">
        <f>IF(原始经营数据!$D426="","",原始经营数据!$H426)</f>
        <v>租售比</v>
      </c>
      <c r="E425">
        <f>IF(原始经营数据!$D426="","",原始经营数据!$I426)</f>
        <v>7.6100000000000001E-2</v>
      </c>
      <c r="F425" t="str">
        <f>IF(原始经营数据!$D426="","",T(原始经营数据!$J426))</f>
        <v/>
      </c>
      <c r="G425" t="str">
        <f>IF(原始经营数据!$D426="","",T(原始经营数据!$K426))</f>
        <v/>
      </c>
      <c r="H425" t="str">
        <f>IF(原始经营数据!$D426="","",原始经营数据!$G426)</f>
        <v>服务效率</v>
      </c>
      <c r="I425" t="str">
        <f>IF($A425="","",IF($B425&lt;&gt;"",$B425,IF(COUNTIFS(原始经营数据!$D$3:$D$3001,$A425,原始经营数据!$E$3:$E$3001,"",原始经营数据!$F$3:$F$3001,$C425,原始经营数据!$H$3:$H$3001,$D425,原始经营数据!$K$3:$K$3001,$G425)&gt;1,"基金整体·来源"&amp;原始经营数据!$A426,"基金整体")))</f>
        <v>领秀城贵和购物中心</v>
      </c>
      <c r="J425" t="str">
        <f t="shared" si="93"/>
        <v>年度</v>
      </c>
      <c r="K425" t="str">
        <f t="shared" si="94"/>
        <v>租售比</v>
      </c>
      <c r="L425" t="str">
        <f t="shared" si="95"/>
        <v>领秀城贵和购物中心|租售比|年度</v>
      </c>
      <c r="M425">
        <f>IF($A425="",0,IF(COUNTIF($L$2:$L425,$L425)=1,1,0))</f>
        <v>0</v>
      </c>
      <c r="N425">
        <f t="shared" si="96"/>
        <v>20230</v>
      </c>
      <c r="O425" t="str">
        <f t="shared" si="97"/>
        <v>中金中国绿发消费封闭式基础设施证券投资基金|2023|年度</v>
      </c>
      <c r="P425">
        <f>IF($A425="",0,IF(COUNTIF($O$2:$O425,$O425)=1,1,0))</f>
        <v>0</v>
      </c>
      <c r="Q425" t="str">
        <f>IF(AND($P425=1,$A425=经营数据!$B$3,$J425=经营数据!$BA$5),COUNTIFS($P$2:$P$3000,1,$A$2:$A$3000,$A425,$J$2:$J$3000,$J425,$N$2:$N$3000,"&lt;"&amp;$N425)+1,"")</f>
        <v/>
      </c>
      <c r="R425" t="str">
        <f t="shared" si="98"/>
        <v>中金中国绿发消费封闭式基础设施证券投资基金|领秀城贵和购物中心</v>
      </c>
      <c r="S425">
        <f>IF($A425="",0,IF(COUNTIF($R$2:$R425,$R425)=1,1,0))</f>
        <v>0</v>
      </c>
      <c r="T425">
        <f t="shared" si="99"/>
        <v>385</v>
      </c>
      <c r="U425" t="str">
        <f>IF($A425="","",IF($A425=经营数据!$B$3,COUNTIFS($S$2:$S$3000,1,$A$2:$A$3000,$A425,$T$2:$T$3000,"&lt;"&amp;$T425)+1,""))</f>
        <v/>
      </c>
      <c r="V425" t="str">
        <f t="shared" si="100"/>
        <v>领秀城贵和购物中心|服务效率</v>
      </c>
      <c r="W425">
        <f t="shared" si="101"/>
        <v>397</v>
      </c>
      <c r="X425" t="str">
        <f t="shared" si="102"/>
        <v>领秀城贵和购物中心|租售比</v>
      </c>
      <c r="Y425">
        <f t="shared" si="103"/>
        <v>402</v>
      </c>
      <c r="Z425">
        <f>IF($A425="",0,IF(AND($M425=1,$A425=经营数据!$B$3,$J425=经营数据!$BA$5,OR($I425=经营数据!$BA$4,COUNTIF(经营数据!$AA$9:$AA$38,$I425)&gt;0)),1,0))</f>
        <v>0</v>
      </c>
      <c r="AA425" t="str">
        <f t="shared" si="104"/>
        <v/>
      </c>
      <c r="AB425" t="str">
        <f t="shared" si="105"/>
        <v/>
      </c>
      <c r="AC425">
        <f>IF($A425="",0,IF(COUNTIF($A$2:$A425,$A425)=1,1,0))</f>
        <v>0</v>
      </c>
      <c r="AD425">
        <f t="shared" si="106"/>
        <v>5</v>
      </c>
      <c r="AE425" t="str">
        <f t="shared" si="107"/>
        <v>领秀城贵和购物中心|租售比</v>
      </c>
      <c r="BP425" s="47">
        <v>45999</v>
      </c>
      <c r="BQ425" s="29">
        <v>3.9067406003055527E-2</v>
      </c>
    </row>
    <row r="426" spans="1:69" x14ac:dyDescent="0.4">
      <c r="A426" t="str">
        <f>IF(原始经营数据!$D427="","",原始经营数据!$D427)</f>
        <v>中金中国绿发消费封闭式基础设施证券投资基金</v>
      </c>
      <c r="B426" t="str">
        <f>IF(原始经营数据!$D427="","",T(原始经营数据!$E427))</f>
        <v>领秀城贵和购物中心</v>
      </c>
      <c r="C426" t="str">
        <f>IF(原始经营数据!$D427="","",原始经营数据!$F427)</f>
        <v>2023</v>
      </c>
      <c r="D426" t="str">
        <f>IF(原始经营数据!$D427="","",原始经营数据!$H427)</f>
        <v>月销售坪效</v>
      </c>
      <c r="E426">
        <f>IF(原始经营数据!$D427="","",原始经营数据!$I427)</f>
        <v>1857.47</v>
      </c>
      <c r="F426" t="str">
        <f>IF(原始经营数据!$D427="","",T(原始经营数据!$J427))</f>
        <v>元/平方米/月</v>
      </c>
      <c r="G426" t="str">
        <f>IF(原始经营数据!$D427="","",T(原始经营数据!$K427))</f>
        <v/>
      </c>
      <c r="H426" t="str">
        <f>IF(原始经营数据!$D427="","",原始经营数据!$G427)</f>
        <v>服务价格</v>
      </c>
      <c r="I426" t="str">
        <f>IF($A426="","",IF($B426&lt;&gt;"",$B426,IF(COUNTIFS(原始经营数据!$D$3:$D$3001,$A426,原始经营数据!$E$3:$E$3001,"",原始经营数据!$F$3:$F$3001,$C426,原始经营数据!$H$3:$H$3001,$D426,原始经营数据!$K$3:$K$3001,$G426)&gt;1,"基金整体·来源"&amp;原始经营数据!$A427,"基金整体")))</f>
        <v>领秀城贵和购物中心</v>
      </c>
      <c r="J426" t="str">
        <f t="shared" si="93"/>
        <v>年度</v>
      </c>
      <c r="K426" t="str">
        <f t="shared" si="94"/>
        <v>月销售坪效（元/平方米/月）</v>
      </c>
      <c r="L426" t="str">
        <f t="shared" si="95"/>
        <v>领秀城贵和购物中心|月销售坪效（元/平方米/月）|年度</v>
      </c>
      <c r="M426">
        <f>IF($A426="",0,IF(COUNTIF($L$2:$L426,$L426)=1,1,0))</f>
        <v>0</v>
      </c>
      <c r="N426">
        <f t="shared" si="96"/>
        <v>20230</v>
      </c>
      <c r="O426" t="str">
        <f t="shared" si="97"/>
        <v>中金中国绿发消费封闭式基础设施证券投资基金|2023|年度</v>
      </c>
      <c r="P426">
        <f>IF($A426="",0,IF(COUNTIF($O$2:$O426,$O426)=1,1,0))</f>
        <v>0</v>
      </c>
      <c r="Q426" t="str">
        <f>IF(AND($P426=1,$A426=经营数据!$B$3,$J426=经营数据!$BA$5),COUNTIFS($P$2:$P$3000,1,$A$2:$A$3000,$A426,$J$2:$J$3000,$J426,$N$2:$N$3000,"&lt;"&amp;$N426)+1,"")</f>
        <v/>
      </c>
      <c r="R426" t="str">
        <f t="shared" si="98"/>
        <v>中金中国绿发消费封闭式基础设施证券投资基金|领秀城贵和购物中心</v>
      </c>
      <c r="S426">
        <f>IF($A426="",0,IF(COUNTIF($R$2:$R426,$R426)=1,1,0))</f>
        <v>0</v>
      </c>
      <c r="T426">
        <f t="shared" si="99"/>
        <v>385</v>
      </c>
      <c r="U426" t="str">
        <f>IF($A426="","",IF($A426=经营数据!$B$3,COUNTIFS($S$2:$S$3000,1,$A$2:$A$3000,$A426,$T$2:$T$3000,"&lt;"&amp;$T426)+1,""))</f>
        <v/>
      </c>
      <c r="V426" t="str">
        <f t="shared" si="100"/>
        <v>领秀城贵和购物中心|服务价格</v>
      </c>
      <c r="W426">
        <f t="shared" si="101"/>
        <v>395</v>
      </c>
      <c r="X426" t="str">
        <f t="shared" si="102"/>
        <v>领秀城贵和购物中心|月销售坪效</v>
      </c>
      <c r="Y426">
        <f t="shared" si="103"/>
        <v>401</v>
      </c>
      <c r="Z426">
        <f>IF($A426="",0,IF(AND($M426=1,$A426=经营数据!$B$3,$J426=经营数据!$BA$5,OR($I426=经营数据!$BA$4,COUNTIF(经营数据!$AA$9:$AA$38,$I426)&gt;0)),1,0))</f>
        <v>0</v>
      </c>
      <c r="AA426" t="str">
        <f t="shared" si="104"/>
        <v/>
      </c>
      <c r="AB426" t="str">
        <f t="shared" si="105"/>
        <v/>
      </c>
      <c r="AC426">
        <f>IF($A426="",0,IF(COUNTIF($A$2:$A426,$A426)=1,1,0))</f>
        <v>0</v>
      </c>
      <c r="AD426">
        <f t="shared" si="106"/>
        <v>5</v>
      </c>
      <c r="AE426" t="str">
        <f t="shared" si="107"/>
        <v>领秀城贵和购物中心|月销售坪效（元/平方米/月）</v>
      </c>
      <c r="BP426" s="47">
        <v>46000</v>
      </c>
      <c r="BQ426" s="29">
        <v>3.9040088914911737E-2</v>
      </c>
    </row>
    <row r="427" spans="1:69" x14ac:dyDescent="0.4">
      <c r="A427" t="str">
        <f>IF(原始经营数据!$D428="","",原始经营数据!$D428)</f>
        <v>中金中国绿发消费封闭式基础设施证券投资基金</v>
      </c>
      <c r="B427" t="str">
        <f>IF(原始经营数据!$D428="","",T(原始经营数据!$E428))</f>
        <v>领秀城贵和购物中心</v>
      </c>
      <c r="C427" t="str">
        <f>IF(原始经营数据!$D428="","",原始经营数据!$F428)</f>
        <v>2023</v>
      </c>
      <c r="D427" t="str">
        <f>IF(原始经营数据!$D428="","",原始经营数据!$H428)</f>
        <v>月租金坪效</v>
      </c>
      <c r="E427">
        <f>IF(原始经营数据!$D428="","",原始经营数据!$I428)</f>
        <v>99.64</v>
      </c>
      <c r="F427" t="str">
        <f>IF(原始经营数据!$D428="","",T(原始经营数据!$J428))</f>
        <v>元/平方米/月</v>
      </c>
      <c r="G427" t="str">
        <f>IF(原始经营数据!$D428="","",T(原始经营数据!$K428))</f>
        <v/>
      </c>
      <c r="H427" t="str">
        <f>IF(原始经营数据!$D428="","",原始经营数据!$G428)</f>
        <v>服务价格</v>
      </c>
      <c r="I427" t="str">
        <f>IF($A427="","",IF($B427&lt;&gt;"",$B427,IF(COUNTIFS(原始经营数据!$D$3:$D$3001,$A427,原始经营数据!$E$3:$E$3001,"",原始经营数据!$F$3:$F$3001,$C427,原始经营数据!$H$3:$H$3001,$D427,原始经营数据!$K$3:$K$3001,$G427)&gt;1,"基金整体·来源"&amp;原始经营数据!$A428,"基金整体")))</f>
        <v>领秀城贵和购物中心</v>
      </c>
      <c r="J427" t="str">
        <f t="shared" si="93"/>
        <v>年度</v>
      </c>
      <c r="K427" t="str">
        <f t="shared" si="94"/>
        <v>月租金坪效（元/平方米/月）</v>
      </c>
      <c r="L427" t="str">
        <f t="shared" si="95"/>
        <v>领秀城贵和购物中心|月租金坪效（元/平方米/月）|年度</v>
      </c>
      <c r="M427">
        <f>IF($A427="",0,IF(COUNTIF($L$2:$L427,$L427)=1,1,0))</f>
        <v>0</v>
      </c>
      <c r="N427">
        <f t="shared" si="96"/>
        <v>20230</v>
      </c>
      <c r="O427" t="str">
        <f t="shared" si="97"/>
        <v>中金中国绿发消费封闭式基础设施证券投资基金|2023|年度</v>
      </c>
      <c r="P427">
        <f>IF($A427="",0,IF(COUNTIF($O$2:$O427,$O427)=1,1,0))</f>
        <v>0</v>
      </c>
      <c r="Q427" t="str">
        <f>IF(AND($P427=1,$A427=经营数据!$B$3,$J427=经营数据!$BA$5),COUNTIFS($P$2:$P$3000,1,$A$2:$A$3000,$A427,$J$2:$J$3000,$J427,$N$2:$N$3000,"&lt;"&amp;$N427)+1,"")</f>
        <v/>
      </c>
      <c r="R427" t="str">
        <f t="shared" si="98"/>
        <v>中金中国绿发消费封闭式基础设施证券投资基金|领秀城贵和购物中心</v>
      </c>
      <c r="S427">
        <f>IF($A427="",0,IF(COUNTIF($R$2:$R427,$R427)=1,1,0))</f>
        <v>0</v>
      </c>
      <c r="T427">
        <f t="shared" si="99"/>
        <v>385</v>
      </c>
      <c r="U427" t="str">
        <f>IF($A427="","",IF($A427=经营数据!$B$3,COUNTIFS($S$2:$S$3000,1,$A$2:$A$3000,$A427,$T$2:$T$3000,"&lt;"&amp;$T427)+1,""))</f>
        <v/>
      </c>
      <c r="V427" t="str">
        <f t="shared" si="100"/>
        <v>领秀城贵和购物中心|服务价格</v>
      </c>
      <c r="W427">
        <f t="shared" si="101"/>
        <v>395</v>
      </c>
      <c r="X427" t="str">
        <f t="shared" si="102"/>
        <v>领秀城贵和购物中心|月租金坪效</v>
      </c>
      <c r="Y427">
        <f t="shared" si="103"/>
        <v>396</v>
      </c>
      <c r="Z427">
        <f>IF($A427="",0,IF(AND($M427=1,$A427=经营数据!$B$3,$J427=经营数据!$BA$5,OR($I427=经营数据!$BA$4,COUNTIF(经营数据!$AA$9:$AA$38,$I427)&gt;0)),1,0))</f>
        <v>0</v>
      </c>
      <c r="AA427" t="str">
        <f t="shared" si="104"/>
        <v/>
      </c>
      <c r="AB427" t="str">
        <f t="shared" si="105"/>
        <v/>
      </c>
      <c r="AC427">
        <f>IF($A427="",0,IF(COUNTIF($A$2:$A427,$A427)=1,1,0))</f>
        <v>0</v>
      </c>
      <c r="AD427">
        <f t="shared" si="106"/>
        <v>5</v>
      </c>
      <c r="AE427" t="str">
        <f t="shared" si="107"/>
        <v>领秀城贵和购物中心|月租金坪效（元/平方米/月）</v>
      </c>
      <c r="BP427" s="47">
        <v>46001</v>
      </c>
      <c r="BQ427" s="29">
        <v>3.892181072731133E-2</v>
      </c>
    </row>
    <row r="428" spans="1:69" x14ac:dyDescent="0.4">
      <c r="A428" t="str">
        <f>IF(原始经营数据!$D429="","",原始经营数据!$D429)</f>
        <v>中金中国绿发消费封闭式基础设施证券投资基金</v>
      </c>
      <c r="B428" t="str">
        <f>IF(原始经营数据!$D429="","",T(原始经营数据!$E429))</f>
        <v>领秀城贵和购物中心</v>
      </c>
      <c r="C428" t="str">
        <f>IF(原始经营数据!$D429="","",原始经营数据!$F429)</f>
        <v>2024</v>
      </c>
      <c r="D428" t="str">
        <f>IF(原始经营数据!$D429="","",原始经营数据!$H429)</f>
        <v>租户业态分布-租赁面积占比</v>
      </c>
      <c r="E428">
        <f>IF(原始经营数据!$D429="","",原始经营数据!$I429)</f>
        <v>12.65</v>
      </c>
      <c r="F428" t="str">
        <f>IF(原始经营数据!$D429="","",T(原始经营数据!$J429))</f>
        <v>%</v>
      </c>
      <c r="G428" t="str">
        <f>IF(原始经营数据!$D429="","",T(原始经营数据!$K429))</f>
        <v>娱乐</v>
      </c>
      <c r="H428" t="str">
        <f>IF(原始经营数据!$D429="","",原始经营数据!$G429)</f>
        <v>服务金额</v>
      </c>
      <c r="I428" t="str">
        <f>IF($A428="","",IF($B428&lt;&gt;"",$B428,IF(COUNTIFS(原始经营数据!$D$3:$D$3001,$A428,原始经营数据!$E$3:$E$3001,"",原始经营数据!$F$3:$F$3001,$C428,原始经营数据!$H$3:$H$3001,$D428,原始经营数据!$K$3:$K$3001,$G428)&gt;1,"基金整体·来源"&amp;原始经营数据!$A429,"基金整体")))</f>
        <v>领秀城贵和购物中心</v>
      </c>
      <c r="J428" t="str">
        <f t="shared" si="93"/>
        <v>年度</v>
      </c>
      <c r="K428" t="str">
        <f t="shared" si="94"/>
        <v>租户业态分布-租赁面积占比-娱乐（%）</v>
      </c>
      <c r="L428" t="str">
        <f t="shared" si="95"/>
        <v>领秀城贵和购物中心|租户业态分布-租赁面积占比-娱乐（%）|年度</v>
      </c>
      <c r="M428">
        <f>IF($A428="",0,IF(COUNTIF($L$2:$L428,$L428)=1,1,0))</f>
        <v>0</v>
      </c>
      <c r="N428">
        <f t="shared" si="96"/>
        <v>20240</v>
      </c>
      <c r="O428" t="str">
        <f t="shared" si="97"/>
        <v>中金中国绿发消费封闭式基础设施证券投资基金|2024|年度</v>
      </c>
      <c r="P428">
        <f>IF($A428="",0,IF(COUNTIF($O$2:$O428,$O428)=1,1,0))</f>
        <v>1</v>
      </c>
      <c r="Q428" t="str">
        <f>IF(AND($P428=1,$A428=经营数据!$B$3,$J428=经营数据!$BA$5),COUNTIFS($P$2:$P$3000,1,$A$2:$A$3000,$A428,$J$2:$J$3000,$J428,$N$2:$N$3000,"&lt;"&amp;$N428)+1,"")</f>
        <v/>
      </c>
      <c r="R428" t="str">
        <f t="shared" si="98"/>
        <v>中金中国绿发消费封闭式基础设施证券投资基金|领秀城贵和购物中心</v>
      </c>
      <c r="S428">
        <f>IF($A428="",0,IF(COUNTIF($R$2:$R428,$R428)=1,1,0))</f>
        <v>0</v>
      </c>
      <c r="T428">
        <f t="shared" si="99"/>
        <v>385</v>
      </c>
      <c r="U428" t="str">
        <f>IF($A428="","",IF($A428=经营数据!$B$3,COUNTIFS($S$2:$S$3000,1,$A$2:$A$3000,$A428,$T$2:$T$3000,"&lt;"&amp;$T428)+1,""))</f>
        <v/>
      </c>
      <c r="V428" t="str">
        <f t="shared" si="100"/>
        <v>领秀城贵和购物中心|服务金额</v>
      </c>
      <c r="W428">
        <f t="shared" si="101"/>
        <v>385</v>
      </c>
      <c r="X428" t="str">
        <f t="shared" si="102"/>
        <v>领秀城贵和购物中心|租户业态分布-租赁面积占比</v>
      </c>
      <c r="Y428">
        <f t="shared" si="103"/>
        <v>392</v>
      </c>
      <c r="Z428">
        <f>IF($A428="",0,IF(AND($M428=1,$A428=经营数据!$B$3,$J428=经营数据!$BA$5,OR($I428=经营数据!$BA$4,COUNTIF(经营数据!$AA$9:$AA$38,$I428)&gt;0)),1,0))</f>
        <v>0</v>
      </c>
      <c r="AA428" t="str">
        <f t="shared" si="104"/>
        <v/>
      </c>
      <c r="AB428" t="str">
        <f t="shared" si="105"/>
        <v/>
      </c>
      <c r="AC428">
        <f>IF($A428="",0,IF(COUNTIF($A$2:$A428,$A428)=1,1,0))</f>
        <v>0</v>
      </c>
      <c r="AD428">
        <f t="shared" si="106"/>
        <v>5</v>
      </c>
      <c r="AE428" t="str">
        <f t="shared" si="107"/>
        <v>领秀城贵和购物中心|租户业态分布-租赁面积占比-娱乐（%）</v>
      </c>
      <c r="BP428" s="47">
        <v>46002</v>
      </c>
      <c r="BQ428" s="29">
        <v>3.9015922966960701E-2</v>
      </c>
    </row>
    <row r="429" spans="1:69" x14ac:dyDescent="0.4">
      <c r="A429" t="str">
        <f>IF(原始经营数据!$D430="","",原始经营数据!$D430)</f>
        <v>中金中国绿发消费封闭式基础设施证券投资基金</v>
      </c>
      <c r="B429" t="str">
        <f>IF(原始经营数据!$D430="","",T(原始经营数据!$E430))</f>
        <v>领秀城贵和购物中心</v>
      </c>
      <c r="C429" t="str">
        <f>IF(原始经营数据!$D430="","",原始经营数据!$F430)</f>
        <v>2024</v>
      </c>
      <c r="D429" t="str">
        <f>IF(原始经营数据!$D430="","",原始经营数据!$H430)</f>
        <v>租户业态分布-店铺租赁收入占比</v>
      </c>
      <c r="E429">
        <f>IF(原始经营数据!$D430="","",原始经营数据!$I430)</f>
        <v>12.92</v>
      </c>
      <c r="F429" t="str">
        <f>IF(原始经营数据!$D430="","",T(原始经营数据!$J430))</f>
        <v>%</v>
      </c>
      <c r="G429" t="str">
        <f>IF(原始经营数据!$D430="","",T(原始经营数据!$K430))</f>
        <v>儿童</v>
      </c>
      <c r="H429" t="str">
        <f>IF(原始经营数据!$D430="","",原始经营数据!$G430)</f>
        <v>服务金额</v>
      </c>
      <c r="I429" t="str">
        <f>IF($A429="","",IF($B429&lt;&gt;"",$B429,IF(COUNTIFS(原始经营数据!$D$3:$D$3001,$A429,原始经营数据!$E$3:$E$3001,"",原始经营数据!$F$3:$F$3001,$C429,原始经营数据!$H$3:$H$3001,$D429,原始经营数据!$K$3:$K$3001,$G429)&gt;1,"基金整体·来源"&amp;原始经营数据!$A430,"基金整体")))</f>
        <v>领秀城贵和购物中心</v>
      </c>
      <c r="J429" t="str">
        <f t="shared" si="93"/>
        <v>年度</v>
      </c>
      <c r="K429" t="str">
        <f t="shared" si="94"/>
        <v>租户业态分布-店铺租赁收入占比-儿童（%）</v>
      </c>
      <c r="L429" t="str">
        <f t="shared" si="95"/>
        <v>领秀城贵和购物中心|租户业态分布-店铺租赁收入占比-儿童（%）|年度</v>
      </c>
      <c r="M429">
        <f>IF($A429="",0,IF(COUNTIF($L$2:$L429,$L429)=1,1,0))</f>
        <v>0</v>
      </c>
      <c r="N429">
        <f t="shared" si="96"/>
        <v>20240</v>
      </c>
      <c r="O429" t="str">
        <f t="shared" si="97"/>
        <v>中金中国绿发消费封闭式基础设施证券投资基金|2024|年度</v>
      </c>
      <c r="P429">
        <f>IF($A429="",0,IF(COUNTIF($O$2:$O429,$O429)=1,1,0))</f>
        <v>0</v>
      </c>
      <c r="Q429" t="str">
        <f>IF(AND($P429=1,$A429=经营数据!$B$3,$J429=经营数据!$BA$5),COUNTIFS($P$2:$P$3000,1,$A$2:$A$3000,$A429,$J$2:$J$3000,$J429,$N$2:$N$3000,"&lt;"&amp;$N429)+1,"")</f>
        <v/>
      </c>
      <c r="R429" t="str">
        <f t="shared" si="98"/>
        <v>中金中国绿发消费封闭式基础设施证券投资基金|领秀城贵和购物中心</v>
      </c>
      <c r="S429">
        <f>IF($A429="",0,IF(COUNTIF($R$2:$R429,$R429)=1,1,0))</f>
        <v>0</v>
      </c>
      <c r="T429">
        <f t="shared" si="99"/>
        <v>385</v>
      </c>
      <c r="U429" t="str">
        <f>IF($A429="","",IF($A429=经营数据!$B$3,COUNTIFS($S$2:$S$3000,1,$A$2:$A$3000,$A429,$T$2:$T$3000,"&lt;"&amp;$T429)+1,""))</f>
        <v/>
      </c>
      <c r="V429" t="str">
        <f t="shared" si="100"/>
        <v>领秀城贵和购物中心|服务金额</v>
      </c>
      <c r="W429">
        <f t="shared" si="101"/>
        <v>385</v>
      </c>
      <c r="X429" t="str">
        <f t="shared" si="102"/>
        <v>领秀城贵和购物中心|租户业态分布-店铺租赁收入占比</v>
      </c>
      <c r="Y429">
        <f t="shared" si="103"/>
        <v>385</v>
      </c>
      <c r="Z429">
        <f>IF($A429="",0,IF(AND($M429=1,$A429=经营数据!$B$3,$J429=经营数据!$BA$5,OR($I429=经营数据!$BA$4,COUNTIF(经营数据!$AA$9:$AA$38,$I429)&gt;0)),1,0))</f>
        <v>0</v>
      </c>
      <c r="AA429" t="str">
        <f t="shared" si="104"/>
        <v/>
      </c>
      <c r="AB429" t="str">
        <f t="shared" si="105"/>
        <v/>
      </c>
      <c r="AC429">
        <f>IF($A429="",0,IF(COUNTIF($A$2:$A429,$A429)=1,1,0))</f>
        <v>0</v>
      </c>
      <c r="AD429">
        <f t="shared" si="106"/>
        <v>5</v>
      </c>
      <c r="AE429" t="str">
        <f t="shared" si="107"/>
        <v>领秀城贵和购物中心|租户业态分布-店铺租赁收入占比-儿童（%）</v>
      </c>
      <c r="BP429" s="47">
        <v>46003</v>
      </c>
      <c r="BQ429" s="29">
        <v>3.8819277226022048E-2</v>
      </c>
    </row>
    <row r="430" spans="1:69" x14ac:dyDescent="0.4">
      <c r="A430" t="str">
        <f>IF(原始经营数据!$D431="","",原始经营数据!$D431)</f>
        <v>中金中国绿发消费封闭式基础设施证券投资基金</v>
      </c>
      <c r="B430" t="str">
        <f>IF(原始经营数据!$D431="","",T(原始经营数据!$E431))</f>
        <v>领秀城贵和购物中心</v>
      </c>
      <c r="C430" t="str">
        <f>IF(原始经营数据!$D431="","",原始经营数据!$F431)</f>
        <v>2024</v>
      </c>
      <c r="D430" t="str">
        <f>IF(原始经营数据!$D431="","",原始经营数据!$H431)</f>
        <v>收入类型</v>
      </c>
      <c r="E430">
        <f>IF(原始经营数据!$D431="","",原始经营数据!$I431)</f>
        <v>20.239999999999998</v>
      </c>
      <c r="F430" t="str">
        <f>IF(原始经营数据!$D431="","",T(原始经营数据!$J431))</f>
        <v>%</v>
      </c>
      <c r="G430" t="str">
        <f>IF(原始经营数据!$D431="","",T(原始经营数据!$K431))</f>
        <v>物业管理费及推广费收入</v>
      </c>
      <c r="H430" t="str">
        <f>IF(原始经营数据!$D431="","",原始经营数据!$G431)</f>
        <v>服务金额</v>
      </c>
      <c r="I430" t="str">
        <f>IF($A430="","",IF($B430&lt;&gt;"",$B430,IF(COUNTIFS(原始经营数据!$D$3:$D$3001,$A430,原始经营数据!$E$3:$E$3001,"",原始经营数据!$F$3:$F$3001,$C430,原始经营数据!$H$3:$H$3001,$D430,原始经营数据!$K$3:$K$3001,$G430)&gt;1,"基金整体·来源"&amp;原始经营数据!$A431,"基金整体")))</f>
        <v>领秀城贵和购物中心</v>
      </c>
      <c r="J430" t="str">
        <f t="shared" si="93"/>
        <v>年度</v>
      </c>
      <c r="K430" t="str">
        <f t="shared" si="94"/>
        <v>收入类型-物业管理费及推广费收入（%）</v>
      </c>
      <c r="L430" t="str">
        <f t="shared" si="95"/>
        <v>领秀城贵和购物中心|收入类型-物业管理费及推广费收入（%）|年度</v>
      </c>
      <c r="M430">
        <f>IF($A430="",0,IF(COUNTIF($L$2:$L430,$L430)=1,1,0))</f>
        <v>1</v>
      </c>
      <c r="N430">
        <f t="shared" si="96"/>
        <v>20240</v>
      </c>
      <c r="O430" t="str">
        <f t="shared" si="97"/>
        <v>中金中国绿发消费封闭式基础设施证券投资基金|2024|年度</v>
      </c>
      <c r="P430">
        <f>IF($A430="",0,IF(COUNTIF($O$2:$O430,$O430)=1,1,0))</f>
        <v>0</v>
      </c>
      <c r="Q430" t="str">
        <f>IF(AND($P430=1,$A430=经营数据!$B$3,$J430=经营数据!$BA$5),COUNTIFS($P$2:$P$3000,1,$A$2:$A$3000,$A430,$J$2:$J$3000,$J430,$N$2:$N$3000,"&lt;"&amp;$N430)+1,"")</f>
        <v/>
      </c>
      <c r="R430" t="str">
        <f t="shared" si="98"/>
        <v>中金中国绿发消费封闭式基础设施证券投资基金|领秀城贵和购物中心</v>
      </c>
      <c r="S430">
        <f>IF($A430="",0,IF(COUNTIF($R$2:$R430,$R430)=1,1,0))</f>
        <v>0</v>
      </c>
      <c r="T430">
        <f t="shared" si="99"/>
        <v>385</v>
      </c>
      <c r="U430" t="str">
        <f>IF($A430="","",IF($A430=经营数据!$B$3,COUNTIFS($S$2:$S$3000,1,$A$2:$A$3000,$A430,$T$2:$T$3000,"&lt;"&amp;$T430)+1,""))</f>
        <v/>
      </c>
      <c r="V430" t="str">
        <f t="shared" si="100"/>
        <v>领秀城贵和购物中心|服务金额</v>
      </c>
      <c r="W430">
        <f t="shared" si="101"/>
        <v>385</v>
      </c>
      <c r="X430" t="str">
        <f t="shared" si="102"/>
        <v>领秀城贵和购物中心|收入类型</v>
      </c>
      <c r="Y430">
        <f t="shared" si="103"/>
        <v>429</v>
      </c>
      <c r="Z430">
        <f>IF($A430="",0,IF(AND($M430=1,$A430=经营数据!$B$3,$J430=经营数据!$BA$5,OR($I430=经营数据!$BA$4,COUNTIF(经营数据!$AA$9:$AA$38,$I430)&gt;0)),1,0))</f>
        <v>0</v>
      </c>
      <c r="AA430" t="str">
        <f t="shared" si="104"/>
        <v/>
      </c>
      <c r="AB430" t="str">
        <f t="shared" si="105"/>
        <v/>
      </c>
      <c r="AC430">
        <f>IF($A430="",0,IF(COUNTIF($A$2:$A430,$A430)=1,1,0))</f>
        <v>0</v>
      </c>
      <c r="AD430">
        <f t="shared" si="106"/>
        <v>5</v>
      </c>
      <c r="AE430" t="str">
        <f t="shared" si="107"/>
        <v>领秀城贵和购物中心|收入类型-物业管理费及推广费收入（%）</v>
      </c>
      <c r="BP430" s="47">
        <v>46006</v>
      </c>
      <c r="BQ430" s="29">
        <v>3.9125285465990332E-2</v>
      </c>
    </row>
    <row r="431" spans="1:69" x14ac:dyDescent="0.4">
      <c r="A431" t="str">
        <f>IF(原始经营数据!$D432="","",原始经营数据!$D432)</f>
        <v>中金中国绿发消费封闭式基础设施证券投资基金</v>
      </c>
      <c r="B431" t="str">
        <f>IF(原始经营数据!$D432="","",T(原始经营数据!$E432))</f>
        <v>领秀城贵和购物中心</v>
      </c>
      <c r="C431" t="str">
        <f>IF(原始经营数据!$D432="","",原始经营数据!$F432)</f>
        <v>2024</v>
      </c>
      <c r="D431" t="str">
        <f>IF(原始经营数据!$D432="","",原始经营数据!$H432)</f>
        <v>租售比</v>
      </c>
      <c r="E431">
        <f>IF(原始经营数据!$D432="","",原始经营数据!$I432)</f>
        <v>6.7299999999999999E-2</v>
      </c>
      <c r="F431" t="str">
        <f>IF(原始经营数据!$D432="","",T(原始经营数据!$J432))</f>
        <v/>
      </c>
      <c r="G431" t="str">
        <f>IF(原始经营数据!$D432="","",T(原始经营数据!$K432))</f>
        <v/>
      </c>
      <c r="H431" t="str">
        <f>IF(原始经营数据!$D432="","",原始经营数据!$G432)</f>
        <v>服务效率</v>
      </c>
      <c r="I431" t="str">
        <f>IF($A431="","",IF($B431&lt;&gt;"",$B431,IF(COUNTIFS(原始经营数据!$D$3:$D$3001,$A431,原始经营数据!$E$3:$E$3001,"",原始经营数据!$F$3:$F$3001,$C431,原始经营数据!$H$3:$H$3001,$D431,原始经营数据!$K$3:$K$3001,$G431)&gt;1,"基金整体·来源"&amp;原始经营数据!$A432,"基金整体")))</f>
        <v>领秀城贵和购物中心</v>
      </c>
      <c r="J431" t="str">
        <f t="shared" si="93"/>
        <v>年度</v>
      </c>
      <c r="K431" t="str">
        <f t="shared" si="94"/>
        <v>租售比</v>
      </c>
      <c r="L431" t="str">
        <f t="shared" si="95"/>
        <v>领秀城贵和购物中心|租售比|年度</v>
      </c>
      <c r="M431">
        <f>IF($A431="",0,IF(COUNTIF($L$2:$L431,$L431)=1,1,0))</f>
        <v>0</v>
      </c>
      <c r="N431">
        <f t="shared" si="96"/>
        <v>20240</v>
      </c>
      <c r="O431" t="str">
        <f t="shared" si="97"/>
        <v>中金中国绿发消费封闭式基础设施证券投资基金|2024|年度</v>
      </c>
      <c r="P431">
        <f>IF($A431="",0,IF(COUNTIF($O$2:$O431,$O431)=1,1,0))</f>
        <v>0</v>
      </c>
      <c r="Q431" t="str">
        <f>IF(AND($P431=1,$A431=经营数据!$B$3,$J431=经营数据!$BA$5),COUNTIFS($P$2:$P$3000,1,$A$2:$A$3000,$A431,$J$2:$J$3000,$J431,$N$2:$N$3000,"&lt;"&amp;$N431)+1,"")</f>
        <v/>
      </c>
      <c r="R431" t="str">
        <f t="shared" si="98"/>
        <v>中金中国绿发消费封闭式基础设施证券投资基金|领秀城贵和购物中心</v>
      </c>
      <c r="S431">
        <f>IF($A431="",0,IF(COUNTIF($R$2:$R431,$R431)=1,1,0))</f>
        <v>0</v>
      </c>
      <c r="T431">
        <f t="shared" si="99"/>
        <v>385</v>
      </c>
      <c r="U431" t="str">
        <f>IF($A431="","",IF($A431=经营数据!$B$3,COUNTIFS($S$2:$S$3000,1,$A$2:$A$3000,$A431,$T$2:$T$3000,"&lt;"&amp;$T431)+1,""))</f>
        <v/>
      </c>
      <c r="V431" t="str">
        <f t="shared" si="100"/>
        <v>领秀城贵和购物中心|服务效率</v>
      </c>
      <c r="W431">
        <f t="shared" si="101"/>
        <v>397</v>
      </c>
      <c r="X431" t="str">
        <f t="shared" si="102"/>
        <v>领秀城贵和购物中心|租售比</v>
      </c>
      <c r="Y431">
        <f t="shared" si="103"/>
        <v>402</v>
      </c>
      <c r="Z431">
        <f>IF($A431="",0,IF(AND($M431=1,$A431=经营数据!$B$3,$J431=经营数据!$BA$5,OR($I431=经营数据!$BA$4,COUNTIF(经营数据!$AA$9:$AA$38,$I431)&gt;0)),1,0))</f>
        <v>0</v>
      </c>
      <c r="AA431" t="str">
        <f t="shared" si="104"/>
        <v/>
      </c>
      <c r="AB431" t="str">
        <f t="shared" si="105"/>
        <v/>
      </c>
      <c r="AC431">
        <f>IF($A431="",0,IF(COUNTIF($A$2:$A431,$A431)=1,1,0))</f>
        <v>0</v>
      </c>
      <c r="AD431">
        <f t="shared" si="106"/>
        <v>5</v>
      </c>
      <c r="AE431" t="str">
        <f t="shared" si="107"/>
        <v>领秀城贵和购物中心|租售比</v>
      </c>
      <c r="BP431" s="47">
        <v>46007</v>
      </c>
      <c r="BQ431" s="29">
        <v>3.9209425455923923E-2</v>
      </c>
    </row>
    <row r="432" spans="1:69" x14ac:dyDescent="0.4">
      <c r="A432" t="str">
        <f>IF(原始经营数据!$D433="","",原始经营数据!$D433)</f>
        <v>中金中国绿发消费封闭式基础设施证券投资基金</v>
      </c>
      <c r="B432" t="str">
        <f>IF(原始经营数据!$D433="","",T(原始经营数据!$E433))</f>
        <v>领秀城贵和购物中心</v>
      </c>
      <c r="C432" t="str">
        <f>IF(原始经营数据!$D433="","",原始经营数据!$F433)</f>
        <v>2024</v>
      </c>
      <c r="D432" t="str">
        <f>IF(原始经营数据!$D433="","",原始经营数据!$H433)</f>
        <v>客流量</v>
      </c>
      <c r="E432">
        <f>IF(原始经营数据!$D433="","",原始经营数据!$I433)</f>
        <v>1424.13</v>
      </c>
      <c r="F432" t="str">
        <f>IF(原始经营数据!$D433="","",T(原始经营数据!$J433))</f>
        <v>万人次</v>
      </c>
      <c r="G432" t="str">
        <f>IF(原始经营数据!$D433="","",T(原始经营数据!$K433))</f>
        <v/>
      </c>
      <c r="H432" t="str">
        <f>IF(原始经营数据!$D433="","",原始经营数据!$G433)</f>
        <v>服务量</v>
      </c>
      <c r="I432" t="str">
        <f>IF($A432="","",IF($B432&lt;&gt;"",$B432,IF(COUNTIFS(原始经营数据!$D$3:$D$3001,$A432,原始经营数据!$E$3:$E$3001,"",原始经营数据!$F$3:$F$3001,$C432,原始经营数据!$H$3:$H$3001,$D432,原始经营数据!$K$3:$K$3001,$G432)&gt;1,"基金整体·来源"&amp;原始经营数据!$A433,"基金整体")))</f>
        <v>领秀城贵和购物中心</v>
      </c>
      <c r="J432" t="str">
        <f t="shared" si="93"/>
        <v>年度</v>
      </c>
      <c r="K432" t="str">
        <f t="shared" si="94"/>
        <v>客流量（万人次）</v>
      </c>
      <c r="L432" t="str">
        <f t="shared" si="95"/>
        <v>领秀城贵和购物中心|客流量（万人次）|年度</v>
      </c>
      <c r="M432">
        <f>IF($A432="",0,IF(COUNTIF($L$2:$L432,$L432)=1,1,0))</f>
        <v>0</v>
      </c>
      <c r="N432">
        <f t="shared" si="96"/>
        <v>20240</v>
      </c>
      <c r="O432" t="str">
        <f t="shared" si="97"/>
        <v>中金中国绿发消费封闭式基础设施证券投资基金|2024|年度</v>
      </c>
      <c r="P432">
        <f>IF($A432="",0,IF(COUNTIF($O$2:$O432,$O432)=1,1,0))</f>
        <v>0</v>
      </c>
      <c r="Q432" t="str">
        <f>IF(AND($P432=1,$A432=经营数据!$B$3,$J432=经营数据!$BA$5),COUNTIFS($P$2:$P$3000,1,$A$2:$A$3000,$A432,$J$2:$J$3000,$J432,$N$2:$N$3000,"&lt;"&amp;$N432)+1,"")</f>
        <v/>
      </c>
      <c r="R432" t="str">
        <f t="shared" si="98"/>
        <v>中金中国绿发消费封闭式基础设施证券投资基金|领秀城贵和购物中心</v>
      </c>
      <c r="S432">
        <f>IF($A432="",0,IF(COUNTIF($R$2:$R432,$R432)=1,1,0))</f>
        <v>0</v>
      </c>
      <c r="T432">
        <f t="shared" si="99"/>
        <v>385</v>
      </c>
      <c r="U432" t="str">
        <f>IF($A432="","",IF($A432=经营数据!$B$3,COUNTIFS($S$2:$S$3000,1,$A$2:$A$3000,$A432,$T$2:$T$3000,"&lt;"&amp;$T432)+1,""))</f>
        <v/>
      </c>
      <c r="V432" t="str">
        <f t="shared" si="100"/>
        <v>领秀城贵和购物中心|服务量</v>
      </c>
      <c r="W432">
        <f t="shared" si="101"/>
        <v>405</v>
      </c>
      <c r="X432" t="str">
        <f t="shared" si="102"/>
        <v>领秀城贵和购物中心|客流量</v>
      </c>
      <c r="Y432">
        <f t="shared" si="103"/>
        <v>405</v>
      </c>
      <c r="Z432">
        <f>IF($A432="",0,IF(AND($M432=1,$A432=经营数据!$B$3,$J432=经营数据!$BA$5,OR($I432=经营数据!$BA$4,COUNTIF(经营数据!$AA$9:$AA$38,$I432)&gt;0)),1,0))</f>
        <v>0</v>
      </c>
      <c r="AA432" t="str">
        <f t="shared" si="104"/>
        <v/>
      </c>
      <c r="AB432" t="str">
        <f t="shared" si="105"/>
        <v/>
      </c>
      <c r="AC432">
        <f>IF($A432="",0,IF(COUNTIF($A$2:$A432,$A432)=1,1,0))</f>
        <v>0</v>
      </c>
      <c r="AD432">
        <f t="shared" si="106"/>
        <v>5</v>
      </c>
      <c r="AE432" t="str">
        <f t="shared" si="107"/>
        <v>领秀城贵和购物中心|客流量（万人次）</v>
      </c>
      <c r="BP432" s="47">
        <v>46008</v>
      </c>
      <c r="BQ432" s="29">
        <v>3.9329077398330393E-2</v>
      </c>
    </row>
    <row r="433" spans="1:69" x14ac:dyDescent="0.4">
      <c r="A433" t="str">
        <f>IF(原始经营数据!$D434="","",原始经营数据!$D434)</f>
        <v>中金中国绿发消费封闭式基础设施证券投资基金</v>
      </c>
      <c r="B433" t="str">
        <f>IF(原始经营数据!$D434="","",T(原始经营数据!$E434))</f>
        <v>领秀城贵和购物中心</v>
      </c>
      <c r="C433" t="str">
        <f>IF(原始经营数据!$D434="","",原始经营数据!$F434)</f>
        <v>2024</v>
      </c>
      <c r="D433" t="str">
        <f>IF(原始经营数据!$D434="","",原始经营数据!$H434)</f>
        <v>营业额</v>
      </c>
      <c r="E433">
        <f>IF(原始经营数据!$D434="","",原始经营数据!$I434)</f>
        <v>223091.89</v>
      </c>
      <c r="F433" t="str">
        <f>IF(原始经营数据!$D434="","",T(原始经营数据!$J434))</f>
        <v>万元</v>
      </c>
      <c r="G433" t="str">
        <f>IF(原始经营数据!$D434="","",T(原始经营数据!$K434))</f>
        <v/>
      </c>
      <c r="H433" t="str">
        <f>IF(原始经营数据!$D434="","",原始经营数据!$G434)</f>
        <v>服务金额</v>
      </c>
      <c r="I433" t="str">
        <f>IF($A433="","",IF($B433&lt;&gt;"",$B433,IF(COUNTIFS(原始经营数据!$D$3:$D$3001,$A433,原始经营数据!$E$3:$E$3001,"",原始经营数据!$F$3:$F$3001,$C433,原始经营数据!$H$3:$H$3001,$D433,原始经营数据!$K$3:$K$3001,$G433)&gt;1,"基金整体·来源"&amp;原始经营数据!$A434,"基金整体")))</f>
        <v>领秀城贵和购物中心</v>
      </c>
      <c r="J433" t="str">
        <f t="shared" si="93"/>
        <v>年度</v>
      </c>
      <c r="K433" t="str">
        <f t="shared" si="94"/>
        <v>营业额（万元）</v>
      </c>
      <c r="L433" t="str">
        <f t="shared" si="95"/>
        <v>领秀城贵和购物中心|营业额（万元）|年度</v>
      </c>
      <c r="M433">
        <f>IF($A433="",0,IF(COUNTIF($L$2:$L433,$L433)=1,1,0))</f>
        <v>0</v>
      </c>
      <c r="N433">
        <f t="shared" si="96"/>
        <v>20240</v>
      </c>
      <c r="O433" t="str">
        <f t="shared" si="97"/>
        <v>中金中国绿发消费封闭式基础设施证券投资基金|2024|年度</v>
      </c>
      <c r="P433">
        <f>IF($A433="",0,IF(COUNTIF($O$2:$O433,$O433)=1,1,0))</f>
        <v>0</v>
      </c>
      <c r="Q433" t="str">
        <f>IF(AND($P433=1,$A433=经营数据!$B$3,$J433=经营数据!$BA$5),COUNTIFS($P$2:$P$3000,1,$A$2:$A$3000,$A433,$J$2:$J$3000,$J433,$N$2:$N$3000,"&lt;"&amp;$N433)+1,"")</f>
        <v/>
      </c>
      <c r="R433" t="str">
        <f t="shared" si="98"/>
        <v>中金中国绿发消费封闭式基础设施证券投资基金|领秀城贵和购物中心</v>
      </c>
      <c r="S433">
        <f>IF($A433="",0,IF(COUNTIF($R$2:$R433,$R433)=1,1,0))</f>
        <v>0</v>
      </c>
      <c r="T433">
        <f t="shared" si="99"/>
        <v>385</v>
      </c>
      <c r="U433" t="str">
        <f>IF($A433="","",IF($A433=经营数据!$B$3,COUNTIFS($S$2:$S$3000,1,$A$2:$A$3000,$A433,$T$2:$T$3000,"&lt;"&amp;$T433)+1,""))</f>
        <v/>
      </c>
      <c r="V433" t="str">
        <f t="shared" si="100"/>
        <v>领秀城贵和购物中心|服务金额</v>
      </c>
      <c r="W433">
        <f t="shared" si="101"/>
        <v>385</v>
      </c>
      <c r="X433" t="str">
        <f t="shared" si="102"/>
        <v>领秀城贵和购物中心|营业额</v>
      </c>
      <c r="Y433">
        <f t="shared" si="103"/>
        <v>389</v>
      </c>
      <c r="Z433">
        <f>IF($A433="",0,IF(AND($M433=1,$A433=经营数据!$B$3,$J433=经营数据!$BA$5,OR($I433=经营数据!$BA$4,COUNTIF(经营数据!$AA$9:$AA$38,$I433)&gt;0)),1,0))</f>
        <v>0</v>
      </c>
      <c r="AA433" t="str">
        <f t="shared" si="104"/>
        <v/>
      </c>
      <c r="AB433" t="str">
        <f t="shared" si="105"/>
        <v/>
      </c>
      <c r="AC433">
        <f>IF($A433="",0,IF(COUNTIF($A$2:$A433,$A433)=1,1,0))</f>
        <v>0</v>
      </c>
      <c r="AD433">
        <f t="shared" si="106"/>
        <v>5</v>
      </c>
      <c r="AE433" t="str">
        <f t="shared" si="107"/>
        <v>领秀城贵和购物中心|营业额（万元）</v>
      </c>
      <c r="BP433" s="47">
        <v>46009</v>
      </c>
      <c r="BQ433" s="29">
        <v>3.954440173806064E-2</v>
      </c>
    </row>
    <row r="434" spans="1:69" x14ac:dyDescent="0.4">
      <c r="A434" t="str">
        <f>IF(原始经营数据!$D435="","",原始经营数据!$D435)</f>
        <v>中金中国绿发消费封闭式基础设施证券投资基金</v>
      </c>
      <c r="B434" t="str">
        <f>IF(原始经营数据!$D435="","",T(原始经营数据!$E435))</f>
        <v>领秀城贵和购物中心</v>
      </c>
      <c r="C434" t="str">
        <f>IF(原始经营数据!$D435="","",原始经营数据!$F435)</f>
        <v>2024</v>
      </c>
      <c r="D434" t="str">
        <f>IF(原始经营数据!$D435="","",原始经营数据!$H435)</f>
        <v>收入类型</v>
      </c>
      <c r="E434">
        <f>IF(原始经营数据!$D435="","",原始经营数据!$I435)</f>
        <v>6.4</v>
      </c>
      <c r="F434" t="str">
        <f>IF(原始经营数据!$D435="","",T(原始经营数据!$J435))</f>
        <v>%</v>
      </c>
      <c r="G434" t="str">
        <f>IF(原始经营数据!$D435="","",T(原始经营数据!$K435))</f>
        <v>场租多经及仓储收入</v>
      </c>
      <c r="H434" t="str">
        <f>IF(原始经营数据!$D435="","",原始经营数据!$G435)</f>
        <v>服务金额</v>
      </c>
      <c r="I434" t="str">
        <f>IF($A434="","",IF($B434&lt;&gt;"",$B434,IF(COUNTIFS(原始经营数据!$D$3:$D$3001,$A434,原始经营数据!$E$3:$E$3001,"",原始经营数据!$F$3:$F$3001,$C434,原始经营数据!$H$3:$H$3001,$D434,原始经营数据!$K$3:$K$3001,$G434)&gt;1,"基金整体·来源"&amp;原始经营数据!$A435,"基金整体")))</f>
        <v>领秀城贵和购物中心</v>
      </c>
      <c r="J434" t="str">
        <f t="shared" si="93"/>
        <v>年度</v>
      </c>
      <c r="K434" t="str">
        <f t="shared" si="94"/>
        <v>收入类型-场租多经及仓储收入（%）</v>
      </c>
      <c r="L434" t="str">
        <f t="shared" si="95"/>
        <v>领秀城贵和购物中心|收入类型-场租多经及仓储收入（%）|年度</v>
      </c>
      <c r="M434">
        <f>IF($A434="",0,IF(COUNTIF($L$2:$L434,$L434)=1,1,0))</f>
        <v>1</v>
      </c>
      <c r="N434">
        <f t="shared" si="96"/>
        <v>20240</v>
      </c>
      <c r="O434" t="str">
        <f t="shared" si="97"/>
        <v>中金中国绿发消费封闭式基础设施证券投资基金|2024|年度</v>
      </c>
      <c r="P434">
        <f>IF($A434="",0,IF(COUNTIF($O$2:$O434,$O434)=1,1,0))</f>
        <v>0</v>
      </c>
      <c r="Q434" t="str">
        <f>IF(AND($P434=1,$A434=经营数据!$B$3,$J434=经营数据!$BA$5),COUNTIFS($P$2:$P$3000,1,$A$2:$A$3000,$A434,$J$2:$J$3000,$J434,$N$2:$N$3000,"&lt;"&amp;$N434)+1,"")</f>
        <v/>
      </c>
      <c r="R434" t="str">
        <f t="shared" si="98"/>
        <v>中金中国绿发消费封闭式基础设施证券投资基金|领秀城贵和购物中心</v>
      </c>
      <c r="S434">
        <f>IF($A434="",0,IF(COUNTIF($R$2:$R434,$R434)=1,1,0))</f>
        <v>0</v>
      </c>
      <c r="T434">
        <f t="shared" si="99"/>
        <v>385</v>
      </c>
      <c r="U434" t="str">
        <f>IF($A434="","",IF($A434=经营数据!$B$3,COUNTIFS($S$2:$S$3000,1,$A$2:$A$3000,$A434,$T$2:$T$3000,"&lt;"&amp;$T434)+1,""))</f>
        <v/>
      </c>
      <c r="V434" t="str">
        <f t="shared" si="100"/>
        <v>领秀城贵和购物中心|服务金额</v>
      </c>
      <c r="W434">
        <f t="shared" si="101"/>
        <v>385</v>
      </c>
      <c r="X434" t="str">
        <f t="shared" si="102"/>
        <v>领秀城贵和购物中心|收入类型</v>
      </c>
      <c r="Y434">
        <f t="shared" si="103"/>
        <v>429</v>
      </c>
      <c r="Z434">
        <f>IF($A434="",0,IF(AND($M434=1,$A434=经营数据!$B$3,$J434=经营数据!$BA$5,OR($I434=经营数据!$BA$4,COUNTIF(经营数据!$AA$9:$AA$38,$I434)&gt;0)),1,0))</f>
        <v>0</v>
      </c>
      <c r="AA434" t="str">
        <f t="shared" si="104"/>
        <v/>
      </c>
      <c r="AB434" t="str">
        <f t="shared" si="105"/>
        <v/>
      </c>
      <c r="AC434">
        <f>IF($A434="",0,IF(COUNTIF($A$2:$A434,$A434)=1,1,0))</f>
        <v>0</v>
      </c>
      <c r="AD434">
        <f t="shared" si="106"/>
        <v>5</v>
      </c>
      <c r="AE434" t="str">
        <f t="shared" si="107"/>
        <v>领秀城贵和购物中心|收入类型-场租多经及仓储收入（%）</v>
      </c>
      <c r="BP434" s="47">
        <v>46010</v>
      </c>
      <c r="BQ434" s="29">
        <v>3.9694115230921381E-2</v>
      </c>
    </row>
    <row r="435" spans="1:69" x14ac:dyDescent="0.4">
      <c r="A435" t="str">
        <f>IF(原始经营数据!$D436="","",原始经营数据!$D436)</f>
        <v>中金中国绿发消费封闭式基础设施证券投资基金</v>
      </c>
      <c r="B435" t="str">
        <f>IF(原始经营数据!$D436="","",T(原始经营数据!$E436))</f>
        <v>领秀城贵和购物中心</v>
      </c>
      <c r="C435" t="str">
        <f>IF(原始经营数据!$D436="","",原始经营数据!$F436)</f>
        <v>2024</v>
      </c>
      <c r="D435" t="str">
        <f>IF(原始经营数据!$D436="","",原始经营数据!$H436)</f>
        <v>租户业态分布-租赁面积占比</v>
      </c>
      <c r="E435">
        <f>IF(原始经营数据!$D436="","",原始经营数据!$I436)</f>
        <v>39.81</v>
      </c>
      <c r="F435" t="str">
        <f>IF(原始经营数据!$D436="","",T(原始经营数据!$J436))</f>
        <v>%</v>
      </c>
      <c r="G435" t="str">
        <f>IF(原始经营数据!$D436="","",T(原始经营数据!$K436))</f>
        <v>零售</v>
      </c>
      <c r="H435" t="str">
        <f>IF(原始经营数据!$D436="","",原始经营数据!$G436)</f>
        <v>服务金额</v>
      </c>
      <c r="I435" t="str">
        <f>IF($A435="","",IF($B435&lt;&gt;"",$B435,IF(COUNTIFS(原始经营数据!$D$3:$D$3001,$A435,原始经营数据!$E$3:$E$3001,"",原始经营数据!$F$3:$F$3001,$C435,原始经营数据!$H$3:$H$3001,$D435,原始经营数据!$K$3:$K$3001,$G435)&gt;1,"基金整体·来源"&amp;原始经营数据!$A436,"基金整体")))</f>
        <v>领秀城贵和购物中心</v>
      </c>
      <c r="J435" t="str">
        <f t="shared" si="93"/>
        <v>年度</v>
      </c>
      <c r="K435" t="str">
        <f t="shared" si="94"/>
        <v>租户业态分布-租赁面积占比-零售（%）</v>
      </c>
      <c r="L435" t="str">
        <f t="shared" si="95"/>
        <v>领秀城贵和购物中心|租户业态分布-租赁面积占比-零售（%）|年度</v>
      </c>
      <c r="M435">
        <f>IF($A435="",0,IF(COUNTIF($L$2:$L435,$L435)=1,1,0))</f>
        <v>0</v>
      </c>
      <c r="N435">
        <f t="shared" si="96"/>
        <v>20240</v>
      </c>
      <c r="O435" t="str">
        <f t="shared" si="97"/>
        <v>中金中国绿发消费封闭式基础设施证券投资基金|2024|年度</v>
      </c>
      <c r="P435">
        <f>IF($A435="",0,IF(COUNTIF($O$2:$O435,$O435)=1,1,0))</f>
        <v>0</v>
      </c>
      <c r="Q435" t="str">
        <f>IF(AND($P435=1,$A435=经营数据!$B$3,$J435=经营数据!$BA$5),COUNTIFS($P$2:$P$3000,1,$A$2:$A$3000,$A435,$J$2:$J$3000,$J435,$N$2:$N$3000,"&lt;"&amp;$N435)+1,"")</f>
        <v/>
      </c>
      <c r="R435" t="str">
        <f t="shared" si="98"/>
        <v>中金中国绿发消费封闭式基础设施证券投资基金|领秀城贵和购物中心</v>
      </c>
      <c r="S435">
        <f>IF($A435="",0,IF(COUNTIF($R$2:$R435,$R435)=1,1,0))</f>
        <v>0</v>
      </c>
      <c r="T435">
        <f t="shared" si="99"/>
        <v>385</v>
      </c>
      <c r="U435" t="str">
        <f>IF($A435="","",IF($A435=经营数据!$B$3,COUNTIFS($S$2:$S$3000,1,$A$2:$A$3000,$A435,$T$2:$T$3000,"&lt;"&amp;$T435)+1,""))</f>
        <v/>
      </c>
      <c r="V435" t="str">
        <f t="shared" si="100"/>
        <v>领秀城贵和购物中心|服务金额</v>
      </c>
      <c r="W435">
        <f t="shared" si="101"/>
        <v>385</v>
      </c>
      <c r="X435" t="str">
        <f t="shared" si="102"/>
        <v>领秀城贵和购物中心|租户业态分布-租赁面积占比</v>
      </c>
      <c r="Y435">
        <f t="shared" si="103"/>
        <v>392</v>
      </c>
      <c r="Z435">
        <f>IF($A435="",0,IF(AND($M435=1,$A435=经营数据!$B$3,$J435=经营数据!$BA$5,OR($I435=经营数据!$BA$4,COUNTIF(经营数据!$AA$9:$AA$38,$I435)&gt;0)),1,0))</f>
        <v>0</v>
      </c>
      <c r="AA435" t="str">
        <f t="shared" si="104"/>
        <v/>
      </c>
      <c r="AB435" t="str">
        <f t="shared" si="105"/>
        <v/>
      </c>
      <c r="AC435">
        <f>IF($A435="",0,IF(COUNTIF($A$2:$A435,$A435)=1,1,0))</f>
        <v>0</v>
      </c>
      <c r="AD435">
        <f t="shared" si="106"/>
        <v>5</v>
      </c>
      <c r="AE435" t="str">
        <f t="shared" si="107"/>
        <v>领秀城贵和购物中心|租户业态分布-租赁面积占比-零售（%）</v>
      </c>
      <c r="BP435" s="47">
        <v>46013</v>
      </c>
      <c r="BQ435" s="29">
        <v>3.9786215216946412E-2</v>
      </c>
    </row>
    <row r="436" spans="1:69" x14ac:dyDescent="0.4">
      <c r="A436" t="str">
        <f>IF(原始经营数据!$D437="","",原始经营数据!$D437)</f>
        <v>中金中国绿发消费封闭式基础设施证券投资基金</v>
      </c>
      <c r="B436" t="str">
        <f>IF(原始经营数据!$D437="","",T(原始经营数据!$E437))</f>
        <v>领秀城贵和购物中心</v>
      </c>
      <c r="C436" t="str">
        <f>IF(原始经营数据!$D437="","",原始经营数据!$F437)</f>
        <v>2024</v>
      </c>
      <c r="D436" t="str">
        <f>IF(原始经营数据!$D437="","",原始经营数据!$H437)</f>
        <v>租户业态分布-租赁面积占比</v>
      </c>
      <c r="E436">
        <f>IF(原始经营数据!$D437="","",原始经营数据!$I437)</f>
        <v>10.23</v>
      </c>
      <c r="F436" t="str">
        <f>IF(原始经营数据!$D437="","",T(原始经营数据!$J437))</f>
        <v>%</v>
      </c>
      <c r="G436" t="str">
        <f>IF(原始经营数据!$D437="","",T(原始经营数据!$K437))</f>
        <v>配套</v>
      </c>
      <c r="H436" t="str">
        <f>IF(原始经营数据!$D437="","",原始经营数据!$G437)</f>
        <v>服务金额</v>
      </c>
      <c r="I436" t="str">
        <f>IF($A436="","",IF($B436&lt;&gt;"",$B436,IF(COUNTIFS(原始经营数据!$D$3:$D$3001,$A436,原始经营数据!$E$3:$E$3001,"",原始经营数据!$F$3:$F$3001,$C436,原始经营数据!$H$3:$H$3001,$D436,原始经营数据!$K$3:$K$3001,$G436)&gt;1,"基金整体·来源"&amp;原始经营数据!$A437,"基金整体")))</f>
        <v>领秀城贵和购物中心</v>
      </c>
      <c r="J436" t="str">
        <f t="shared" si="93"/>
        <v>年度</v>
      </c>
      <c r="K436" t="str">
        <f t="shared" si="94"/>
        <v>租户业态分布-租赁面积占比-配套（%）</v>
      </c>
      <c r="L436" t="str">
        <f t="shared" si="95"/>
        <v>领秀城贵和购物中心|租户业态分布-租赁面积占比-配套（%）|年度</v>
      </c>
      <c r="M436">
        <f>IF($A436="",0,IF(COUNTIF($L$2:$L436,$L436)=1,1,0))</f>
        <v>0</v>
      </c>
      <c r="N436">
        <f t="shared" si="96"/>
        <v>20240</v>
      </c>
      <c r="O436" t="str">
        <f t="shared" si="97"/>
        <v>中金中国绿发消费封闭式基础设施证券投资基金|2024|年度</v>
      </c>
      <c r="P436">
        <f>IF($A436="",0,IF(COUNTIF($O$2:$O436,$O436)=1,1,0))</f>
        <v>0</v>
      </c>
      <c r="Q436" t="str">
        <f>IF(AND($P436=1,$A436=经营数据!$B$3,$J436=经营数据!$BA$5),COUNTIFS($P$2:$P$3000,1,$A$2:$A$3000,$A436,$J$2:$J$3000,$J436,$N$2:$N$3000,"&lt;"&amp;$N436)+1,"")</f>
        <v/>
      </c>
      <c r="R436" t="str">
        <f t="shared" si="98"/>
        <v>中金中国绿发消费封闭式基础设施证券投资基金|领秀城贵和购物中心</v>
      </c>
      <c r="S436">
        <f>IF($A436="",0,IF(COUNTIF($R$2:$R436,$R436)=1,1,0))</f>
        <v>0</v>
      </c>
      <c r="T436">
        <f t="shared" si="99"/>
        <v>385</v>
      </c>
      <c r="U436" t="str">
        <f>IF($A436="","",IF($A436=经营数据!$B$3,COUNTIFS($S$2:$S$3000,1,$A$2:$A$3000,$A436,$T$2:$T$3000,"&lt;"&amp;$T436)+1,""))</f>
        <v/>
      </c>
      <c r="V436" t="str">
        <f t="shared" si="100"/>
        <v>领秀城贵和购物中心|服务金额</v>
      </c>
      <c r="W436">
        <f t="shared" si="101"/>
        <v>385</v>
      </c>
      <c r="X436" t="str">
        <f t="shared" si="102"/>
        <v>领秀城贵和购物中心|租户业态分布-租赁面积占比</v>
      </c>
      <c r="Y436">
        <f t="shared" si="103"/>
        <v>392</v>
      </c>
      <c r="Z436">
        <f>IF($A436="",0,IF(AND($M436=1,$A436=经营数据!$B$3,$J436=经营数据!$BA$5,OR($I436=经营数据!$BA$4,COUNTIF(经营数据!$AA$9:$AA$38,$I436)&gt;0)),1,0))</f>
        <v>0</v>
      </c>
      <c r="AA436" t="str">
        <f t="shared" si="104"/>
        <v/>
      </c>
      <c r="AB436" t="str">
        <f t="shared" si="105"/>
        <v/>
      </c>
      <c r="AC436">
        <f>IF($A436="",0,IF(COUNTIF($A$2:$A436,$A436)=1,1,0))</f>
        <v>0</v>
      </c>
      <c r="AD436">
        <f t="shared" si="106"/>
        <v>5</v>
      </c>
      <c r="AE436" t="str">
        <f t="shared" si="107"/>
        <v>领秀城贵和购物中心|租户业态分布-租赁面积占比-配套（%）</v>
      </c>
      <c r="BP436" s="47">
        <v>46014</v>
      </c>
      <c r="BQ436" s="29">
        <v>4.0028720205207598E-2</v>
      </c>
    </row>
    <row r="437" spans="1:69" x14ac:dyDescent="0.4">
      <c r="A437" t="str">
        <f>IF(原始经营数据!$D438="","",原始经营数据!$D438)</f>
        <v>中金中国绿发消费封闭式基础设施证券投资基金</v>
      </c>
      <c r="B437" t="str">
        <f>IF(原始经营数据!$D438="","",T(原始经营数据!$E438))</f>
        <v>领秀城贵和购物中心</v>
      </c>
      <c r="C437" t="str">
        <f>IF(原始经营数据!$D438="","",原始经营数据!$F438)</f>
        <v>2024</v>
      </c>
      <c r="D437" t="str">
        <f>IF(原始经营数据!$D438="","",原始经营数据!$H438)</f>
        <v>租户业态分布-租赁面积占比</v>
      </c>
      <c r="E437">
        <f>IF(原始经营数据!$D438="","",原始经营数据!$I438)</f>
        <v>14.81</v>
      </c>
      <c r="F437" t="str">
        <f>IF(原始经营数据!$D438="","",T(原始经营数据!$J438))</f>
        <v>%</v>
      </c>
      <c r="G437" t="str">
        <f>IF(原始经营数据!$D438="","",T(原始经营数据!$K438))</f>
        <v>儿童</v>
      </c>
      <c r="H437" t="str">
        <f>IF(原始经营数据!$D438="","",原始经营数据!$G438)</f>
        <v>服务金额</v>
      </c>
      <c r="I437" t="str">
        <f>IF($A437="","",IF($B437&lt;&gt;"",$B437,IF(COUNTIFS(原始经营数据!$D$3:$D$3001,$A437,原始经营数据!$E$3:$E$3001,"",原始经营数据!$F$3:$F$3001,$C437,原始经营数据!$H$3:$H$3001,$D437,原始经营数据!$K$3:$K$3001,$G437)&gt;1,"基金整体·来源"&amp;原始经营数据!$A438,"基金整体")))</f>
        <v>领秀城贵和购物中心</v>
      </c>
      <c r="J437" t="str">
        <f t="shared" si="93"/>
        <v>年度</v>
      </c>
      <c r="K437" t="str">
        <f t="shared" si="94"/>
        <v>租户业态分布-租赁面积占比-儿童（%）</v>
      </c>
      <c r="L437" t="str">
        <f t="shared" si="95"/>
        <v>领秀城贵和购物中心|租户业态分布-租赁面积占比-儿童（%）|年度</v>
      </c>
      <c r="M437">
        <f>IF($A437="",0,IF(COUNTIF($L$2:$L437,$L437)=1,1,0))</f>
        <v>0</v>
      </c>
      <c r="N437">
        <f t="shared" si="96"/>
        <v>20240</v>
      </c>
      <c r="O437" t="str">
        <f t="shared" si="97"/>
        <v>中金中国绿发消费封闭式基础设施证券投资基金|2024|年度</v>
      </c>
      <c r="P437">
        <f>IF($A437="",0,IF(COUNTIF($O$2:$O437,$O437)=1,1,0))</f>
        <v>0</v>
      </c>
      <c r="Q437" t="str">
        <f>IF(AND($P437=1,$A437=经营数据!$B$3,$J437=经营数据!$BA$5),COUNTIFS($P$2:$P$3000,1,$A$2:$A$3000,$A437,$J$2:$J$3000,$J437,$N$2:$N$3000,"&lt;"&amp;$N437)+1,"")</f>
        <v/>
      </c>
      <c r="R437" t="str">
        <f t="shared" si="98"/>
        <v>中金中国绿发消费封闭式基础设施证券投资基金|领秀城贵和购物中心</v>
      </c>
      <c r="S437">
        <f>IF($A437="",0,IF(COUNTIF($R$2:$R437,$R437)=1,1,0))</f>
        <v>0</v>
      </c>
      <c r="T437">
        <f t="shared" si="99"/>
        <v>385</v>
      </c>
      <c r="U437" t="str">
        <f>IF($A437="","",IF($A437=经营数据!$B$3,COUNTIFS($S$2:$S$3000,1,$A$2:$A$3000,$A437,$T$2:$T$3000,"&lt;"&amp;$T437)+1,""))</f>
        <v/>
      </c>
      <c r="V437" t="str">
        <f t="shared" si="100"/>
        <v>领秀城贵和购物中心|服务金额</v>
      </c>
      <c r="W437">
        <f t="shared" si="101"/>
        <v>385</v>
      </c>
      <c r="X437" t="str">
        <f t="shared" si="102"/>
        <v>领秀城贵和购物中心|租户业态分布-租赁面积占比</v>
      </c>
      <c r="Y437">
        <f t="shared" si="103"/>
        <v>392</v>
      </c>
      <c r="Z437">
        <f>IF($A437="",0,IF(AND($M437=1,$A437=经营数据!$B$3,$J437=经营数据!$BA$5,OR($I437=经营数据!$BA$4,COUNTIF(经营数据!$AA$9:$AA$38,$I437)&gt;0)),1,0))</f>
        <v>0</v>
      </c>
      <c r="AA437" t="str">
        <f t="shared" si="104"/>
        <v/>
      </c>
      <c r="AB437" t="str">
        <f t="shared" si="105"/>
        <v/>
      </c>
      <c r="AC437">
        <f>IF($A437="",0,IF(COUNTIF($A$2:$A437,$A437)=1,1,0))</f>
        <v>0</v>
      </c>
      <c r="AD437">
        <f t="shared" si="106"/>
        <v>5</v>
      </c>
      <c r="AE437" t="str">
        <f t="shared" si="107"/>
        <v>领秀城贵和购物中心|租户业态分布-租赁面积占比-儿童（%）</v>
      </c>
      <c r="BP437" s="47">
        <v>46015</v>
      </c>
      <c r="BQ437" s="29">
        <v>3.921552418953831E-2</v>
      </c>
    </row>
    <row r="438" spans="1:69" x14ac:dyDescent="0.4">
      <c r="A438" t="str">
        <f>IF(原始经营数据!$D439="","",原始经营数据!$D439)</f>
        <v>中金中国绿发消费封闭式基础设施证券投资基金</v>
      </c>
      <c r="B438" t="str">
        <f>IF(原始经营数据!$D439="","",T(原始经营数据!$E439))</f>
        <v>领秀城贵和购物中心</v>
      </c>
      <c r="C438" t="str">
        <f>IF(原始经营数据!$D439="","",原始经营数据!$F439)</f>
        <v>2024</v>
      </c>
      <c r="D438" t="str">
        <f>IF(原始经营数据!$D439="","",原始经营数据!$H439)</f>
        <v>租户业态分布-店铺租赁收入占比</v>
      </c>
      <c r="E438">
        <f>IF(原始经营数据!$D439="","",原始经营数据!$I439)</f>
        <v>15.92</v>
      </c>
      <c r="F438" t="str">
        <f>IF(原始经营数据!$D439="","",T(原始经营数据!$J439))</f>
        <v>%</v>
      </c>
      <c r="G438" t="str">
        <f>IF(原始经营数据!$D439="","",T(原始经营数据!$K439))</f>
        <v>配套</v>
      </c>
      <c r="H438" t="str">
        <f>IF(原始经营数据!$D439="","",原始经营数据!$G439)</f>
        <v>服务金额</v>
      </c>
      <c r="I438" t="str">
        <f>IF($A438="","",IF($B438&lt;&gt;"",$B438,IF(COUNTIFS(原始经营数据!$D$3:$D$3001,$A438,原始经营数据!$E$3:$E$3001,"",原始经营数据!$F$3:$F$3001,$C438,原始经营数据!$H$3:$H$3001,$D438,原始经营数据!$K$3:$K$3001,$G438)&gt;1,"基金整体·来源"&amp;原始经营数据!$A439,"基金整体")))</f>
        <v>领秀城贵和购物中心</v>
      </c>
      <c r="J438" t="str">
        <f t="shared" si="93"/>
        <v>年度</v>
      </c>
      <c r="K438" t="str">
        <f t="shared" si="94"/>
        <v>租户业态分布-店铺租赁收入占比-配套（%）</v>
      </c>
      <c r="L438" t="str">
        <f t="shared" si="95"/>
        <v>领秀城贵和购物中心|租户业态分布-店铺租赁收入占比-配套（%）|年度</v>
      </c>
      <c r="M438">
        <f>IF($A438="",0,IF(COUNTIF($L$2:$L438,$L438)=1,1,0))</f>
        <v>0</v>
      </c>
      <c r="N438">
        <f t="shared" si="96"/>
        <v>20240</v>
      </c>
      <c r="O438" t="str">
        <f t="shared" si="97"/>
        <v>中金中国绿发消费封闭式基础设施证券投资基金|2024|年度</v>
      </c>
      <c r="P438">
        <f>IF($A438="",0,IF(COUNTIF($O$2:$O438,$O438)=1,1,0))</f>
        <v>0</v>
      </c>
      <c r="Q438" t="str">
        <f>IF(AND($P438=1,$A438=经营数据!$B$3,$J438=经营数据!$BA$5),COUNTIFS($P$2:$P$3000,1,$A$2:$A$3000,$A438,$J$2:$J$3000,$J438,$N$2:$N$3000,"&lt;"&amp;$N438)+1,"")</f>
        <v/>
      </c>
      <c r="R438" t="str">
        <f t="shared" si="98"/>
        <v>中金中国绿发消费封闭式基础设施证券投资基金|领秀城贵和购物中心</v>
      </c>
      <c r="S438">
        <f>IF($A438="",0,IF(COUNTIF($R$2:$R438,$R438)=1,1,0))</f>
        <v>0</v>
      </c>
      <c r="T438">
        <f t="shared" si="99"/>
        <v>385</v>
      </c>
      <c r="U438" t="str">
        <f>IF($A438="","",IF($A438=经营数据!$B$3,COUNTIFS($S$2:$S$3000,1,$A$2:$A$3000,$A438,$T$2:$T$3000,"&lt;"&amp;$T438)+1,""))</f>
        <v/>
      </c>
      <c r="V438" t="str">
        <f t="shared" si="100"/>
        <v>领秀城贵和购物中心|服务金额</v>
      </c>
      <c r="W438">
        <f t="shared" si="101"/>
        <v>385</v>
      </c>
      <c r="X438" t="str">
        <f t="shared" si="102"/>
        <v>领秀城贵和购物中心|租户业态分布-店铺租赁收入占比</v>
      </c>
      <c r="Y438">
        <f t="shared" si="103"/>
        <v>385</v>
      </c>
      <c r="Z438">
        <f>IF($A438="",0,IF(AND($M438=1,$A438=经营数据!$B$3,$J438=经营数据!$BA$5,OR($I438=经营数据!$BA$4,COUNTIF(经营数据!$AA$9:$AA$38,$I438)&gt;0)),1,0))</f>
        <v>0</v>
      </c>
      <c r="AA438" t="str">
        <f t="shared" si="104"/>
        <v/>
      </c>
      <c r="AB438" t="str">
        <f t="shared" si="105"/>
        <v/>
      </c>
      <c r="AC438">
        <f>IF($A438="",0,IF(COUNTIF($A$2:$A438,$A438)=1,1,0))</f>
        <v>0</v>
      </c>
      <c r="AD438">
        <f t="shared" si="106"/>
        <v>5</v>
      </c>
      <c r="AE438" t="str">
        <f t="shared" si="107"/>
        <v>领秀城贵和购物中心|租户业态分布-店铺租赁收入占比-配套（%）</v>
      </c>
      <c r="BP438" s="47">
        <v>46016</v>
      </c>
      <c r="BQ438" s="29">
        <v>3.898425052572578E-2</v>
      </c>
    </row>
    <row r="439" spans="1:69" x14ac:dyDescent="0.4">
      <c r="A439" t="str">
        <f>IF(原始经营数据!$D440="","",原始经营数据!$D440)</f>
        <v>中金中国绿发消费封闭式基础设施证券投资基金</v>
      </c>
      <c r="B439" t="str">
        <f>IF(原始经营数据!$D440="","",T(原始经营数据!$E440))</f>
        <v>领秀城贵和购物中心</v>
      </c>
      <c r="C439" t="str">
        <f>IF(原始经营数据!$D440="","",原始经营数据!$F440)</f>
        <v>2024</v>
      </c>
      <c r="D439" t="str">
        <f>IF(原始经营数据!$D440="","",原始经营数据!$H440)</f>
        <v>租户业态分布-店铺租赁收入占比</v>
      </c>
      <c r="E439">
        <f>IF(原始经营数据!$D440="","",原始经营数据!$I440)</f>
        <v>29.03</v>
      </c>
      <c r="F439" t="str">
        <f>IF(原始经营数据!$D440="","",T(原始经营数据!$J440))</f>
        <v>%</v>
      </c>
      <c r="G439" t="str">
        <f>IF(原始经营数据!$D440="","",T(原始经营数据!$K440))</f>
        <v>餐饮</v>
      </c>
      <c r="H439" t="str">
        <f>IF(原始经营数据!$D440="","",原始经营数据!$G440)</f>
        <v>服务金额</v>
      </c>
      <c r="I439" t="str">
        <f>IF($A439="","",IF($B439&lt;&gt;"",$B439,IF(COUNTIFS(原始经营数据!$D$3:$D$3001,$A439,原始经营数据!$E$3:$E$3001,"",原始经营数据!$F$3:$F$3001,$C439,原始经营数据!$H$3:$H$3001,$D439,原始经营数据!$K$3:$K$3001,$G439)&gt;1,"基金整体·来源"&amp;原始经营数据!$A440,"基金整体")))</f>
        <v>领秀城贵和购物中心</v>
      </c>
      <c r="J439" t="str">
        <f t="shared" si="93"/>
        <v>年度</v>
      </c>
      <c r="K439" t="str">
        <f t="shared" si="94"/>
        <v>租户业态分布-店铺租赁收入占比-餐饮（%）</v>
      </c>
      <c r="L439" t="str">
        <f t="shared" si="95"/>
        <v>领秀城贵和购物中心|租户业态分布-店铺租赁收入占比-餐饮（%）|年度</v>
      </c>
      <c r="M439">
        <f>IF($A439="",0,IF(COUNTIF($L$2:$L439,$L439)=1,1,0))</f>
        <v>0</v>
      </c>
      <c r="N439">
        <f t="shared" si="96"/>
        <v>20240</v>
      </c>
      <c r="O439" t="str">
        <f t="shared" si="97"/>
        <v>中金中国绿发消费封闭式基础设施证券投资基金|2024|年度</v>
      </c>
      <c r="P439">
        <f>IF($A439="",0,IF(COUNTIF($O$2:$O439,$O439)=1,1,0))</f>
        <v>0</v>
      </c>
      <c r="Q439" t="str">
        <f>IF(AND($P439=1,$A439=经营数据!$B$3,$J439=经营数据!$BA$5),COUNTIFS($P$2:$P$3000,1,$A$2:$A$3000,$A439,$J$2:$J$3000,$J439,$N$2:$N$3000,"&lt;"&amp;$N439)+1,"")</f>
        <v/>
      </c>
      <c r="R439" t="str">
        <f t="shared" si="98"/>
        <v>中金中国绿发消费封闭式基础设施证券投资基金|领秀城贵和购物中心</v>
      </c>
      <c r="S439">
        <f>IF($A439="",0,IF(COUNTIF($R$2:$R439,$R439)=1,1,0))</f>
        <v>0</v>
      </c>
      <c r="T439">
        <f t="shared" si="99"/>
        <v>385</v>
      </c>
      <c r="U439" t="str">
        <f>IF($A439="","",IF($A439=经营数据!$B$3,COUNTIFS($S$2:$S$3000,1,$A$2:$A$3000,$A439,$T$2:$T$3000,"&lt;"&amp;$T439)+1,""))</f>
        <v/>
      </c>
      <c r="V439" t="str">
        <f t="shared" si="100"/>
        <v>领秀城贵和购物中心|服务金额</v>
      </c>
      <c r="W439">
        <f t="shared" si="101"/>
        <v>385</v>
      </c>
      <c r="X439" t="str">
        <f t="shared" si="102"/>
        <v>领秀城贵和购物中心|租户业态分布-店铺租赁收入占比</v>
      </c>
      <c r="Y439">
        <f t="shared" si="103"/>
        <v>385</v>
      </c>
      <c r="Z439">
        <f>IF($A439="",0,IF(AND($M439=1,$A439=经营数据!$B$3,$J439=经营数据!$BA$5,OR($I439=经营数据!$BA$4,COUNTIF(经营数据!$AA$9:$AA$38,$I439)&gt;0)),1,0))</f>
        <v>0</v>
      </c>
      <c r="AA439" t="str">
        <f t="shared" si="104"/>
        <v/>
      </c>
      <c r="AB439" t="str">
        <f t="shared" si="105"/>
        <v/>
      </c>
      <c r="AC439">
        <f>IF($A439="",0,IF(COUNTIF($A$2:$A439,$A439)=1,1,0))</f>
        <v>0</v>
      </c>
      <c r="AD439">
        <f t="shared" si="106"/>
        <v>5</v>
      </c>
      <c r="AE439" t="str">
        <f t="shared" si="107"/>
        <v>领秀城贵和购物中心|租户业态分布-店铺租赁收入占比-餐饮（%）</v>
      </c>
      <c r="BP439" s="47">
        <v>46017</v>
      </c>
      <c r="BQ439" s="29">
        <v>3.9199899981293751E-2</v>
      </c>
    </row>
    <row r="440" spans="1:69" x14ac:dyDescent="0.4">
      <c r="A440" t="str">
        <f>IF(原始经营数据!$D441="","",原始经营数据!$D441)</f>
        <v>中金中国绿发消费封闭式基础设施证券投资基金</v>
      </c>
      <c r="B440" t="str">
        <f>IF(原始经营数据!$D441="","",T(原始经营数据!$E441))</f>
        <v>领秀城贵和购物中心</v>
      </c>
      <c r="C440" t="str">
        <f>IF(原始经营数据!$D441="","",原始经营数据!$F441)</f>
        <v>2024</v>
      </c>
      <c r="D440" t="str">
        <f>IF(原始经营数据!$D441="","",原始经营数据!$H441)</f>
        <v>租户业态分布-店铺租赁收入占比</v>
      </c>
      <c r="E440">
        <f>IF(原始经营数据!$D441="","",原始经营数据!$I441)</f>
        <v>37.340000000000003</v>
      </c>
      <c r="F440" t="str">
        <f>IF(原始经营数据!$D441="","",T(原始经营数据!$J441))</f>
        <v>%</v>
      </c>
      <c r="G440" t="str">
        <f>IF(原始经营数据!$D441="","",T(原始经营数据!$K441))</f>
        <v>零售</v>
      </c>
      <c r="H440" t="str">
        <f>IF(原始经营数据!$D441="","",原始经营数据!$G441)</f>
        <v>服务金额</v>
      </c>
      <c r="I440" t="str">
        <f>IF($A440="","",IF($B440&lt;&gt;"",$B440,IF(COUNTIFS(原始经营数据!$D$3:$D$3001,$A440,原始经营数据!$E$3:$E$3001,"",原始经营数据!$F$3:$F$3001,$C440,原始经营数据!$H$3:$H$3001,$D440,原始经营数据!$K$3:$K$3001,$G440)&gt;1,"基金整体·来源"&amp;原始经营数据!$A441,"基金整体")))</f>
        <v>领秀城贵和购物中心</v>
      </c>
      <c r="J440" t="str">
        <f t="shared" si="93"/>
        <v>年度</v>
      </c>
      <c r="K440" t="str">
        <f t="shared" si="94"/>
        <v>租户业态分布-店铺租赁收入占比-零售（%）</v>
      </c>
      <c r="L440" t="str">
        <f t="shared" si="95"/>
        <v>领秀城贵和购物中心|租户业态分布-店铺租赁收入占比-零售（%）|年度</v>
      </c>
      <c r="M440">
        <f>IF($A440="",0,IF(COUNTIF($L$2:$L440,$L440)=1,1,0))</f>
        <v>0</v>
      </c>
      <c r="N440">
        <f t="shared" si="96"/>
        <v>20240</v>
      </c>
      <c r="O440" t="str">
        <f t="shared" si="97"/>
        <v>中金中国绿发消费封闭式基础设施证券投资基金|2024|年度</v>
      </c>
      <c r="P440">
        <f>IF($A440="",0,IF(COUNTIF($O$2:$O440,$O440)=1,1,0))</f>
        <v>0</v>
      </c>
      <c r="Q440" t="str">
        <f>IF(AND($P440=1,$A440=经营数据!$B$3,$J440=经营数据!$BA$5),COUNTIFS($P$2:$P$3000,1,$A$2:$A$3000,$A440,$J$2:$J$3000,$J440,$N$2:$N$3000,"&lt;"&amp;$N440)+1,"")</f>
        <v/>
      </c>
      <c r="R440" t="str">
        <f t="shared" si="98"/>
        <v>中金中国绿发消费封闭式基础设施证券投资基金|领秀城贵和购物中心</v>
      </c>
      <c r="S440">
        <f>IF($A440="",0,IF(COUNTIF($R$2:$R440,$R440)=1,1,0))</f>
        <v>0</v>
      </c>
      <c r="T440">
        <f t="shared" si="99"/>
        <v>385</v>
      </c>
      <c r="U440" t="str">
        <f>IF($A440="","",IF($A440=经营数据!$B$3,COUNTIFS($S$2:$S$3000,1,$A$2:$A$3000,$A440,$T$2:$T$3000,"&lt;"&amp;$T440)+1,""))</f>
        <v/>
      </c>
      <c r="V440" t="str">
        <f t="shared" si="100"/>
        <v>领秀城贵和购物中心|服务金额</v>
      </c>
      <c r="W440">
        <f t="shared" si="101"/>
        <v>385</v>
      </c>
      <c r="X440" t="str">
        <f t="shared" si="102"/>
        <v>领秀城贵和购物中心|租户业态分布-店铺租赁收入占比</v>
      </c>
      <c r="Y440">
        <f t="shared" si="103"/>
        <v>385</v>
      </c>
      <c r="Z440">
        <f>IF($A440="",0,IF(AND($M440=1,$A440=经营数据!$B$3,$J440=经营数据!$BA$5,OR($I440=经营数据!$BA$4,COUNTIF(经营数据!$AA$9:$AA$38,$I440)&gt;0)),1,0))</f>
        <v>0</v>
      </c>
      <c r="AA440" t="str">
        <f t="shared" si="104"/>
        <v/>
      </c>
      <c r="AB440" t="str">
        <f t="shared" si="105"/>
        <v/>
      </c>
      <c r="AC440">
        <f>IF($A440="",0,IF(COUNTIF($A$2:$A440,$A440)=1,1,0))</f>
        <v>0</v>
      </c>
      <c r="AD440">
        <f t="shared" si="106"/>
        <v>5</v>
      </c>
      <c r="AE440" t="str">
        <f t="shared" si="107"/>
        <v>领秀城贵和购物中心|租户业态分布-店铺租赁收入占比-零售（%）</v>
      </c>
      <c r="BP440" s="47">
        <v>46020</v>
      </c>
      <c r="BQ440" s="29">
        <v>3.9430085306824632E-2</v>
      </c>
    </row>
    <row r="441" spans="1:69" x14ac:dyDescent="0.4">
      <c r="A441" t="str">
        <f>IF(原始经营数据!$D442="","",原始经营数据!$D442)</f>
        <v>中金中国绿发消费封闭式基础设施证券投资基金</v>
      </c>
      <c r="B441" t="str">
        <f>IF(原始经营数据!$D442="","",T(原始经营数据!$E442))</f>
        <v>领秀城贵和购物中心</v>
      </c>
      <c r="C441" t="str">
        <f>IF(原始经营数据!$D442="","",原始经营数据!$F442)</f>
        <v>2024</v>
      </c>
      <c r="D441" t="str">
        <f>IF(原始经营数据!$D442="","",原始经营数据!$H442)</f>
        <v>租户业态分布-租赁面积占比</v>
      </c>
      <c r="E441">
        <f>IF(原始经营数据!$D442="","",原始经营数据!$I442)</f>
        <v>22.49</v>
      </c>
      <c r="F441" t="str">
        <f>IF(原始经营数据!$D442="","",T(原始经营数据!$J442))</f>
        <v>%</v>
      </c>
      <c r="G441" t="str">
        <f>IF(原始经营数据!$D442="","",T(原始经营数据!$K442))</f>
        <v>餐饮</v>
      </c>
      <c r="H441" t="str">
        <f>IF(原始经营数据!$D442="","",原始经营数据!$G442)</f>
        <v>服务金额</v>
      </c>
      <c r="I441" t="str">
        <f>IF($A441="","",IF($B441&lt;&gt;"",$B441,IF(COUNTIFS(原始经营数据!$D$3:$D$3001,$A441,原始经营数据!$E$3:$E$3001,"",原始经营数据!$F$3:$F$3001,$C441,原始经营数据!$H$3:$H$3001,$D441,原始经营数据!$K$3:$K$3001,$G441)&gt;1,"基金整体·来源"&amp;原始经营数据!$A442,"基金整体")))</f>
        <v>领秀城贵和购物中心</v>
      </c>
      <c r="J441" t="str">
        <f t="shared" si="93"/>
        <v>年度</v>
      </c>
      <c r="K441" t="str">
        <f t="shared" si="94"/>
        <v>租户业态分布-租赁面积占比-餐饮（%）</v>
      </c>
      <c r="L441" t="str">
        <f t="shared" si="95"/>
        <v>领秀城贵和购物中心|租户业态分布-租赁面积占比-餐饮（%）|年度</v>
      </c>
      <c r="M441">
        <f>IF($A441="",0,IF(COUNTIF($L$2:$L441,$L441)=1,1,0))</f>
        <v>0</v>
      </c>
      <c r="N441">
        <f t="shared" si="96"/>
        <v>20240</v>
      </c>
      <c r="O441" t="str">
        <f t="shared" si="97"/>
        <v>中金中国绿发消费封闭式基础设施证券投资基金|2024|年度</v>
      </c>
      <c r="P441">
        <f>IF($A441="",0,IF(COUNTIF($O$2:$O441,$O441)=1,1,0))</f>
        <v>0</v>
      </c>
      <c r="Q441" t="str">
        <f>IF(AND($P441=1,$A441=经营数据!$B$3,$J441=经营数据!$BA$5),COUNTIFS($P$2:$P$3000,1,$A$2:$A$3000,$A441,$J$2:$J$3000,$J441,$N$2:$N$3000,"&lt;"&amp;$N441)+1,"")</f>
        <v/>
      </c>
      <c r="R441" t="str">
        <f t="shared" si="98"/>
        <v>中金中国绿发消费封闭式基础设施证券投资基金|领秀城贵和购物中心</v>
      </c>
      <c r="S441">
        <f>IF($A441="",0,IF(COUNTIF($R$2:$R441,$R441)=1,1,0))</f>
        <v>0</v>
      </c>
      <c r="T441">
        <f t="shared" si="99"/>
        <v>385</v>
      </c>
      <c r="U441" t="str">
        <f>IF($A441="","",IF($A441=经营数据!$B$3,COUNTIFS($S$2:$S$3000,1,$A$2:$A$3000,$A441,$T$2:$T$3000,"&lt;"&amp;$T441)+1,""))</f>
        <v/>
      </c>
      <c r="V441" t="str">
        <f t="shared" si="100"/>
        <v>领秀城贵和购物中心|服务金额</v>
      </c>
      <c r="W441">
        <f t="shared" si="101"/>
        <v>385</v>
      </c>
      <c r="X441" t="str">
        <f t="shared" si="102"/>
        <v>领秀城贵和购物中心|租户业态分布-租赁面积占比</v>
      </c>
      <c r="Y441">
        <f t="shared" si="103"/>
        <v>392</v>
      </c>
      <c r="Z441">
        <f>IF($A441="",0,IF(AND($M441=1,$A441=经营数据!$B$3,$J441=经营数据!$BA$5,OR($I441=经营数据!$BA$4,COUNTIF(经营数据!$AA$9:$AA$38,$I441)&gt;0)),1,0))</f>
        <v>0</v>
      </c>
      <c r="AA441" t="str">
        <f t="shared" si="104"/>
        <v/>
      </c>
      <c r="AB441" t="str">
        <f t="shared" si="105"/>
        <v/>
      </c>
      <c r="AC441">
        <f>IF($A441="",0,IF(COUNTIF($A$2:$A441,$A441)=1,1,0))</f>
        <v>0</v>
      </c>
      <c r="AD441">
        <f t="shared" si="106"/>
        <v>5</v>
      </c>
      <c r="AE441" t="str">
        <f t="shared" si="107"/>
        <v>领秀城贵和购物中心|租户业态分布-租赁面积占比-餐饮（%）</v>
      </c>
      <c r="BP441" s="47">
        <v>46021</v>
      </c>
      <c r="BQ441" s="29">
        <v>3.9505481131026858E-2</v>
      </c>
    </row>
    <row r="442" spans="1:69" x14ac:dyDescent="0.4">
      <c r="A442" t="str">
        <f>IF(原始经营数据!$D443="","",原始经营数据!$D443)</f>
        <v>中金中国绿发消费封闭式基础设施证券投资基金</v>
      </c>
      <c r="B442" t="str">
        <f>IF(原始经营数据!$D443="","",T(原始经营数据!$E443))</f>
        <v>领秀城贵和购物中心</v>
      </c>
      <c r="C442" t="str">
        <f>IF(原始经营数据!$D443="","",原始经营数据!$F443)</f>
        <v>2024</v>
      </c>
      <c r="D442" t="str">
        <f>IF(原始经营数据!$D443="","",原始经营数据!$H443)</f>
        <v>营业额</v>
      </c>
      <c r="E442">
        <f>IF(原始经营数据!$D443="","",原始经营数据!$I443)</f>
        <v>129940.27</v>
      </c>
      <c r="F442" t="str">
        <f>IF(原始经营数据!$D443="","",T(原始经营数据!$J443))</f>
        <v>万元</v>
      </c>
      <c r="G442" t="str">
        <f>IF(原始经营数据!$D443="","",T(原始经营数据!$K443))</f>
        <v>新能源汽车</v>
      </c>
      <c r="H442" t="str">
        <f>IF(原始经营数据!$D443="","",原始经营数据!$G443)</f>
        <v>服务金额</v>
      </c>
      <c r="I442" t="str">
        <f>IF($A442="","",IF($B442&lt;&gt;"",$B442,IF(COUNTIFS(原始经营数据!$D$3:$D$3001,$A442,原始经营数据!$E$3:$E$3001,"",原始经营数据!$F$3:$F$3001,$C442,原始经营数据!$H$3:$H$3001,$D442,原始经营数据!$K$3:$K$3001,$G442)&gt;1,"基金整体·来源"&amp;原始经营数据!$A443,"基金整体")))</f>
        <v>领秀城贵和购物中心</v>
      </c>
      <c r="J442" t="str">
        <f t="shared" si="93"/>
        <v>年度</v>
      </c>
      <c r="K442" t="str">
        <f t="shared" si="94"/>
        <v>营业额-新能源汽车（万元）</v>
      </c>
      <c r="L442" t="str">
        <f t="shared" si="95"/>
        <v>领秀城贵和购物中心|营业额-新能源汽车（万元）|年度</v>
      </c>
      <c r="M442">
        <f>IF($A442="",0,IF(COUNTIF($L$2:$L442,$L442)=1,1,0))</f>
        <v>0</v>
      </c>
      <c r="N442">
        <f t="shared" si="96"/>
        <v>20240</v>
      </c>
      <c r="O442" t="str">
        <f t="shared" si="97"/>
        <v>中金中国绿发消费封闭式基础设施证券投资基金|2024|年度</v>
      </c>
      <c r="P442">
        <f>IF($A442="",0,IF(COUNTIF($O$2:$O442,$O442)=1,1,0))</f>
        <v>0</v>
      </c>
      <c r="Q442" t="str">
        <f>IF(AND($P442=1,$A442=经营数据!$B$3,$J442=经营数据!$BA$5),COUNTIFS($P$2:$P$3000,1,$A$2:$A$3000,$A442,$J$2:$J$3000,$J442,$N$2:$N$3000,"&lt;"&amp;$N442)+1,"")</f>
        <v/>
      </c>
      <c r="R442" t="str">
        <f t="shared" si="98"/>
        <v>中金中国绿发消费封闭式基础设施证券投资基金|领秀城贵和购物中心</v>
      </c>
      <c r="S442">
        <f>IF($A442="",0,IF(COUNTIF($R$2:$R442,$R442)=1,1,0))</f>
        <v>0</v>
      </c>
      <c r="T442">
        <f t="shared" si="99"/>
        <v>385</v>
      </c>
      <c r="U442" t="str">
        <f>IF($A442="","",IF($A442=经营数据!$B$3,COUNTIFS($S$2:$S$3000,1,$A$2:$A$3000,$A442,$T$2:$T$3000,"&lt;"&amp;$T442)+1,""))</f>
        <v/>
      </c>
      <c r="V442" t="str">
        <f t="shared" si="100"/>
        <v>领秀城贵和购物中心|服务金额</v>
      </c>
      <c r="W442">
        <f t="shared" si="101"/>
        <v>385</v>
      </c>
      <c r="X442" t="str">
        <f t="shared" si="102"/>
        <v>领秀城贵和购物中心|营业额</v>
      </c>
      <c r="Y442">
        <f t="shared" si="103"/>
        <v>389</v>
      </c>
      <c r="Z442">
        <f>IF($A442="",0,IF(AND($M442=1,$A442=经营数据!$B$3,$J442=经营数据!$BA$5,OR($I442=经营数据!$BA$4,COUNTIF(经营数据!$AA$9:$AA$38,$I442)&gt;0)),1,0))</f>
        <v>0</v>
      </c>
      <c r="AA442" t="str">
        <f t="shared" si="104"/>
        <v/>
      </c>
      <c r="AB442" t="str">
        <f t="shared" si="105"/>
        <v/>
      </c>
      <c r="AC442">
        <f>IF($A442="",0,IF(COUNTIF($A$2:$A442,$A442)=1,1,0))</f>
        <v>0</v>
      </c>
      <c r="AD442">
        <f t="shared" si="106"/>
        <v>5</v>
      </c>
      <c r="AE442" t="str">
        <f t="shared" si="107"/>
        <v>领秀城贵和购物中心|营业额-新能源汽车（万元）</v>
      </c>
      <c r="BP442" s="47">
        <v>46022</v>
      </c>
      <c r="BQ442" s="29">
        <v>3.9514671872030727E-2</v>
      </c>
    </row>
    <row r="443" spans="1:69" x14ac:dyDescent="0.4">
      <c r="A443" t="str">
        <f>IF(原始经营数据!$D444="","",原始经营数据!$D444)</f>
        <v>中金中国绿发消费封闭式基础设施证券投资基金</v>
      </c>
      <c r="B443" t="str">
        <f>IF(原始经营数据!$D444="","",T(原始经营数据!$E444))</f>
        <v>领秀城贵和购物中心</v>
      </c>
      <c r="C443" t="str">
        <f>IF(原始经营数据!$D444="","",原始经营数据!$F444)</f>
        <v>2024</v>
      </c>
      <c r="D443" t="str">
        <f>IF(原始经营数据!$D444="","",原始经营数据!$H444)</f>
        <v>租户业态分布-店铺租赁收入占比</v>
      </c>
      <c r="E443">
        <f>IF(原始经营数据!$D444="","",原始经营数据!$I444)</f>
        <v>4.8</v>
      </c>
      <c r="F443" t="str">
        <f>IF(原始经营数据!$D444="","",T(原始经营数据!$J444))</f>
        <v>%</v>
      </c>
      <c r="G443" t="str">
        <f>IF(原始经营数据!$D444="","",T(原始经营数据!$K444))</f>
        <v>娱乐</v>
      </c>
      <c r="H443" t="str">
        <f>IF(原始经营数据!$D444="","",原始经营数据!$G444)</f>
        <v>服务金额</v>
      </c>
      <c r="I443" t="str">
        <f>IF($A443="","",IF($B443&lt;&gt;"",$B443,IF(COUNTIFS(原始经营数据!$D$3:$D$3001,$A443,原始经营数据!$E$3:$E$3001,"",原始经营数据!$F$3:$F$3001,$C443,原始经营数据!$H$3:$H$3001,$D443,原始经营数据!$K$3:$K$3001,$G443)&gt;1,"基金整体·来源"&amp;原始经营数据!$A444,"基金整体")))</f>
        <v>领秀城贵和购物中心</v>
      </c>
      <c r="J443" t="str">
        <f t="shared" si="93"/>
        <v>年度</v>
      </c>
      <c r="K443" t="str">
        <f t="shared" si="94"/>
        <v>租户业态分布-店铺租赁收入占比-娱乐（%）</v>
      </c>
      <c r="L443" t="str">
        <f t="shared" si="95"/>
        <v>领秀城贵和购物中心|租户业态分布-店铺租赁收入占比-娱乐（%）|年度</v>
      </c>
      <c r="M443">
        <f>IF($A443="",0,IF(COUNTIF($L$2:$L443,$L443)=1,1,0))</f>
        <v>0</v>
      </c>
      <c r="N443">
        <f t="shared" si="96"/>
        <v>20240</v>
      </c>
      <c r="O443" t="str">
        <f t="shared" si="97"/>
        <v>中金中国绿发消费封闭式基础设施证券投资基金|2024|年度</v>
      </c>
      <c r="P443">
        <f>IF($A443="",0,IF(COUNTIF($O$2:$O443,$O443)=1,1,0))</f>
        <v>0</v>
      </c>
      <c r="Q443" t="str">
        <f>IF(AND($P443=1,$A443=经营数据!$B$3,$J443=经营数据!$BA$5),COUNTIFS($P$2:$P$3000,1,$A$2:$A$3000,$A443,$J$2:$J$3000,$J443,$N$2:$N$3000,"&lt;"&amp;$N443)+1,"")</f>
        <v/>
      </c>
      <c r="R443" t="str">
        <f t="shared" si="98"/>
        <v>中金中国绿发消费封闭式基础设施证券投资基金|领秀城贵和购物中心</v>
      </c>
      <c r="S443">
        <f>IF($A443="",0,IF(COUNTIF($R$2:$R443,$R443)=1,1,0))</f>
        <v>0</v>
      </c>
      <c r="T443">
        <f t="shared" si="99"/>
        <v>385</v>
      </c>
      <c r="U443" t="str">
        <f>IF($A443="","",IF($A443=经营数据!$B$3,COUNTIFS($S$2:$S$3000,1,$A$2:$A$3000,$A443,$T$2:$T$3000,"&lt;"&amp;$T443)+1,""))</f>
        <v/>
      </c>
      <c r="V443" t="str">
        <f t="shared" si="100"/>
        <v>领秀城贵和购物中心|服务金额</v>
      </c>
      <c r="W443">
        <f t="shared" si="101"/>
        <v>385</v>
      </c>
      <c r="X443" t="str">
        <f t="shared" si="102"/>
        <v>领秀城贵和购物中心|租户业态分布-店铺租赁收入占比</v>
      </c>
      <c r="Y443">
        <f t="shared" si="103"/>
        <v>385</v>
      </c>
      <c r="Z443">
        <f>IF($A443="",0,IF(AND($M443=1,$A443=经营数据!$B$3,$J443=经营数据!$BA$5,OR($I443=经营数据!$BA$4,COUNTIF(经营数据!$AA$9:$AA$38,$I443)&gt;0)),1,0))</f>
        <v>0</v>
      </c>
      <c r="AA443" t="str">
        <f t="shared" si="104"/>
        <v/>
      </c>
      <c r="AB443" t="str">
        <f t="shared" si="105"/>
        <v/>
      </c>
      <c r="AC443">
        <f>IF($A443="",0,IF(COUNTIF($A$2:$A443,$A443)=1,1,0))</f>
        <v>0</v>
      </c>
      <c r="AD443">
        <f t="shared" si="106"/>
        <v>5</v>
      </c>
      <c r="AE443" t="str">
        <f t="shared" si="107"/>
        <v>领秀城贵和购物中心|租户业态分布-店铺租赁收入占比-娱乐（%）</v>
      </c>
      <c r="BP443" s="47">
        <v>46027</v>
      </c>
      <c r="BQ443" s="29">
        <v>3.9178674832099067E-2</v>
      </c>
    </row>
    <row r="444" spans="1:69" x14ac:dyDescent="0.4">
      <c r="A444" t="str">
        <f>IF(原始经营数据!$D445="","",原始经营数据!$D445)</f>
        <v>中金中国绿发消费封闭式基础设施证券投资基金</v>
      </c>
      <c r="B444" t="str">
        <f>IF(原始经营数据!$D445="","",T(原始经营数据!$E445))</f>
        <v>领秀城贵和购物中心</v>
      </c>
      <c r="C444" t="str">
        <f>IF(原始经营数据!$D445="","",原始经营数据!$F445)</f>
        <v>2024</v>
      </c>
      <c r="D444" t="str">
        <f>IF(原始经营数据!$D445="","",原始经营数据!$H445)</f>
        <v>平均固定租金单价</v>
      </c>
      <c r="E444">
        <f>IF(原始经营数据!$D445="","",原始经营数据!$I445)</f>
        <v>3.93</v>
      </c>
      <c r="F444" t="str">
        <f>IF(原始经营数据!$D445="","",T(原始经营数据!$J445))</f>
        <v>元/平方米/天</v>
      </c>
      <c r="G444" t="str">
        <f>IF(原始经营数据!$D445="","",T(原始经营数据!$K445))</f>
        <v/>
      </c>
      <c r="H444" t="str">
        <f>IF(原始经营数据!$D445="","",原始经营数据!$G445)</f>
        <v>服务价格</v>
      </c>
      <c r="I444" t="str">
        <f>IF($A444="","",IF($B444&lt;&gt;"",$B444,IF(COUNTIFS(原始经营数据!$D$3:$D$3001,$A444,原始经营数据!$E$3:$E$3001,"",原始经营数据!$F$3:$F$3001,$C444,原始经营数据!$H$3:$H$3001,$D444,原始经营数据!$K$3:$K$3001,$G444)&gt;1,"基金整体·来源"&amp;原始经营数据!$A445,"基金整体")))</f>
        <v>领秀城贵和购物中心</v>
      </c>
      <c r="J444" t="str">
        <f t="shared" si="93"/>
        <v>年度</v>
      </c>
      <c r="K444" t="str">
        <f t="shared" si="94"/>
        <v>平均固定租金单价（元/平方米/天）</v>
      </c>
      <c r="L444" t="str">
        <f t="shared" si="95"/>
        <v>领秀城贵和购物中心|平均固定租金单价（元/平方米/天）|年度</v>
      </c>
      <c r="M444">
        <f>IF($A444="",0,IF(COUNTIF($L$2:$L444,$L444)=1,1,0))</f>
        <v>0</v>
      </c>
      <c r="N444">
        <f t="shared" si="96"/>
        <v>20240</v>
      </c>
      <c r="O444" t="str">
        <f t="shared" si="97"/>
        <v>中金中国绿发消费封闭式基础设施证券投资基金|2024|年度</v>
      </c>
      <c r="P444">
        <f>IF($A444="",0,IF(COUNTIF($O$2:$O444,$O444)=1,1,0))</f>
        <v>0</v>
      </c>
      <c r="Q444" t="str">
        <f>IF(AND($P444=1,$A444=经营数据!$B$3,$J444=经营数据!$BA$5),COUNTIFS($P$2:$P$3000,1,$A$2:$A$3000,$A444,$J$2:$J$3000,$J444,$N$2:$N$3000,"&lt;"&amp;$N444)+1,"")</f>
        <v/>
      </c>
      <c r="R444" t="str">
        <f t="shared" si="98"/>
        <v>中金中国绿发消费封闭式基础设施证券投资基金|领秀城贵和购物中心</v>
      </c>
      <c r="S444">
        <f>IF($A444="",0,IF(COUNTIF($R$2:$R444,$R444)=1,1,0))</f>
        <v>0</v>
      </c>
      <c r="T444">
        <f t="shared" si="99"/>
        <v>385</v>
      </c>
      <c r="U444" t="str">
        <f>IF($A444="","",IF($A444=经营数据!$B$3,COUNTIFS($S$2:$S$3000,1,$A$2:$A$3000,$A444,$T$2:$T$3000,"&lt;"&amp;$T444)+1,""))</f>
        <v/>
      </c>
      <c r="V444" t="str">
        <f t="shared" si="100"/>
        <v>领秀城贵和购物中心|服务价格</v>
      </c>
      <c r="W444">
        <f t="shared" si="101"/>
        <v>395</v>
      </c>
      <c r="X444" t="str">
        <f t="shared" si="102"/>
        <v>领秀城贵和购物中心|平均固定租金单价</v>
      </c>
      <c r="Y444">
        <f t="shared" si="103"/>
        <v>395</v>
      </c>
      <c r="Z444">
        <f>IF($A444="",0,IF(AND($M444=1,$A444=经营数据!$B$3,$J444=经营数据!$BA$5,OR($I444=经营数据!$BA$4,COUNTIF(经营数据!$AA$9:$AA$38,$I444)&gt;0)),1,0))</f>
        <v>0</v>
      </c>
      <c r="AA444" t="str">
        <f t="shared" si="104"/>
        <v/>
      </c>
      <c r="AB444" t="str">
        <f t="shared" si="105"/>
        <v/>
      </c>
      <c r="AC444">
        <f>IF($A444="",0,IF(COUNTIF($A$2:$A444,$A444)=1,1,0))</f>
        <v>0</v>
      </c>
      <c r="AD444">
        <f t="shared" si="106"/>
        <v>5</v>
      </c>
      <c r="AE444" t="str">
        <f t="shared" si="107"/>
        <v>领秀城贵和购物中心|平均固定租金单价（元/平方米/天）</v>
      </c>
      <c r="BP444" s="47">
        <v>46028</v>
      </c>
      <c r="BQ444" s="29">
        <v>3.8710687667124898E-2</v>
      </c>
    </row>
    <row r="445" spans="1:69" x14ac:dyDescent="0.4">
      <c r="A445" t="str">
        <f>IF(原始经营数据!$D446="","",原始经营数据!$D446)</f>
        <v>中金中国绿发消费封闭式基础设施证券投资基金</v>
      </c>
      <c r="B445" t="str">
        <f>IF(原始经营数据!$D446="","",T(原始经营数据!$E446))</f>
        <v>领秀城贵和购物中心</v>
      </c>
      <c r="C445" t="str">
        <f>IF(原始经营数据!$D446="","",原始经营数据!$F446)</f>
        <v>2024</v>
      </c>
      <c r="D445" t="str">
        <f>IF(原始经营数据!$D446="","",原始经营数据!$H446)</f>
        <v>营业额</v>
      </c>
      <c r="E445">
        <f>IF(原始经营数据!$D446="","",原始经营数据!$I446)</f>
        <v>93151.62</v>
      </c>
      <c r="F445" t="str">
        <f>IF(原始经营数据!$D446="","",T(原始经营数据!$J446))</f>
        <v>万元</v>
      </c>
      <c r="G445" t="str">
        <f>IF(原始经营数据!$D446="","",T(原始经营数据!$K446))</f>
        <v>除新能源汽车</v>
      </c>
      <c r="H445" t="str">
        <f>IF(原始经营数据!$D446="","",原始经营数据!$G446)</f>
        <v>服务金额</v>
      </c>
      <c r="I445" t="str">
        <f>IF($A445="","",IF($B445&lt;&gt;"",$B445,IF(COUNTIFS(原始经营数据!$D$3:$D$3001,$A445,原始经营数据!$E$3:$E$3001,"",原始经营数据!$F$3:$F$3001,$C445,原始经营数据!$H$3:$H$3001,$D445,原始经营数据!$K$3:$K$3001,$G445)&gt;1,"基金整体·来源"&amp;原始经营数据!$A446,"基金整体")))</f>
        <v>领秀城贵和购物中心</v>
      </c>
      <c r="J445" t="str">
        <f t="shared" si="93"/>
        <v>年度</v>
      </c>
      <c r="K445" t="str">
        <f t="shared" si="94"/>
        <v>营业额-除新能源汽车（万元）</v>
      </c>
      <c r="L445" t="str">
        <f t="shared" si="95"/>
        <v>领秀城贵和购物中心|营业额-除新能源汽车（万元）|年度</v>
      </c>
      <c r="M445">
        <f>IF($A445="",0,IF(COUNTIF($L$2:$L445,$L445)=1,1,0))</f>
        <v>0</v>
      </c>
      <c r="N445">
        <f t="shared" si="96"/>
        <v>20240</v>
      </c>
      <c r="O445" t="str">
        <f t="shared" si="97"/>
        <v>中金中国绿发消费封闭式基础设施证券投资基金|2024|年度</v>
      </c>
      <c r="P445">
        <f>IF($A445="",0,IF(COUNTIF($O$2:$O445,$O445)=1,1,0))</f>
        <v>0</v>
      </c>
      <c r="Q445" t="str">
        <f>IF(AND($P445=1,$A445=经营数据!$B$3,$J445=经营数据!$BA$5),COUNTIFS($P$2:$P$3000,1,$A$2:$A$3000,$A445,$J$2:$J$3000,$J445,$N$2:$N$3000,"&lt;"&amp;$N445)+1,"")</f>
        <v/>
      </c>
      <c r="R445" t="str">
        <f t="shared" si="98"/>
        <v>中金中国绿发消费封闭式基础设施证券投资基金|领秀城贵和购物中心</v>
      </c>
      <c r="S445">
        <f>IF($A445="",0,IF(COUNTIF($R$2:$R445,$R445)=1,1,0))</f>
        <v>0</v>
      </c>
      <c r="T445">
        <f t="shared" si="99"/>
        <v>385</v>
      </c>
      <c r="U445" t="str">
        <f>IF($A445="","",IF($A445=经营数据!$B$3,COUNTIFS($S$2:$S$3000,1,$A$2:$A$3000,$A445,$T$2:$T$3000,"&lt;"&amp;$T445)+1,""))</f>
        <v/>
      </c>
      <c r="V445" t="str">
        <f t="shared" si="100"/>
        <v>领秀城贵和购物中心|服务金额</v>
      </c>
      <c r="W445">
        <f t="shared" si="101"/>
        <v>385</v>
      </c>
      <c r="X445" t="str">
        <f t="shared" si="102"/>
        <v>领秀城贵和购物中心|营业额</v>
      </c>
      <c r="Y445">
        <f t="shared" si="103"/>
        <v>389</v>
      </c>
      <c r="Z445">
        <f>IF($A445="",0,IF(AND($M445=1,$A445=经营数据!$B$3,$J445=经营数据!$BA$5,OR($I445=经营数据!$BA$4,COUNTIF(经营数据!$AA$9:$AA$38,$I445)&gt;0)),1,0))</f>
        <v>0</v>
      </c>
      <c r="AA445" t="str">
        <f t="shared" si="104"/>
        <v/>
      </c>
      <c r="AB445" t="str">
        <f t="shared" si="105"/>
        <v/>
      </c>
      <c r="AC445">
        <f>IF($A445="",0,IF(COUNTIF($A$2:$A445,$A445)=1,1,0))</f>
        <v>0</v>
      </c>
      <c r="AD445">
        <f t="shared" si="106"/>
        <v>5</v>
      </c>
      <c r="AE445" t="str">
        <f t="shared" si="107"/>
        <v>领秀城贵和购物中心|营业额-除新能源汽车（万元）</v>
      </c>
      <c r="BP445" s="47">
        <v>46029</v>
      </c>
      <c r="BQ445" s="29">
        <v>3.8410648391635042E-2</v>
      </c>
    </row>
    <row r="446" spans="1:69" x14ac:dyDescent="0.4">
      <c r="A446" t="str">
        <f>IF(原始经营数据!$D447="","",原始经营数据!$D447)</f>
        <v>中金中国绿发消费封闭式基础设施证券投资基金</v>
      </c>
      <c r="B446" t="str">
        <f>IF(原始经营数据!$D447="","",T(原始经营数据!$E447))</f>
        <v>领秀城贵和购物中心</v>
      </c>
      <c r="C446" t="str">
        <f>IF(原始经营数据!$D447="","",原始经营数据!$F447)</f>
        <v>2024</v>
      </c>
      <c r="D446" t="str">
        <f>IF(原始经营数据!$D447="","",原始经营数据!$H447)</f>
        <v>加权平均出租率</v>
      </c>
      <c r="E446">
        <f>IF(原始经营数据!$D447="","",原始经营数据!$I447)</f>
        <v>95.64</v>
      </c>
      <c r="F446" t="str">
        <f>IF(原始经营数据!$D447="","",T(原始经营数据!$J447))</f>
        <v>%</v>
      </c>
      <c r="G446" t="str">
        <f>IF(原始经营数据!$D447="","",T(原始经营数据!$K447))</f>
        <v/>
      </c>
      <c r="H446" t="str">
        <f>IF(原始经营数据!$D447="","",原始经营数据!$G447)</f>
        <v>服务效率</v>
      </c>
      <c r="I446" t="str">
        <f>IF($A446="","",IF($B446&lt;&gt;"",$B446,IF(COUNTIFS(原始经营数据!$D$3:$D$3001,$A446,原始经营数据!$E$3:$E$3001,"",原始经营数据!$F$3:$F$3001,$C446,原始经营数据!$H$3:$H$3001,$D446,原始经营数据!$K$3:$K$3001,$G446)&gt;1,"基金整体·来源"&amp;原始经营数据!$A447,"基金整体")))</f>
        <v>领秀城贵和购物中心</v>
      </c>
      <c r="J446" t="str">
        <f t="shared" si="93"/>
        <v>年度</v>
      </c>
      <c r="K446" t="str">
        <f t="shared" si="94"/>
        <v>加权平均出租率（%）</v>
      </c>
      <c r="L446" t="str">
        <f t="shared" si="95"/>
        <v>领秀城贵和购物中心|加权平均出租率（%）|年度</v>
      </c>
      <c r="M446">
        <f>IF($A446="",0,IF(COUNTIF($L$2:$L446,$L446)=1,1,0))</f>
        <v>0</v>
      </c>
      <c r="N446">
        <f t="shared" si="96"/>
        <v>20240</v>
      </c>
      <c r="O446" t="str">
        <f t="shared" si="97"/>
        <v>中金中国绿发消费封闭式基础设施证券投资基金|2024|年度</v>
      </c>
      <c r="P446">
        <f>IF($A446="",0,IF(COUNTIF($O$2:$O446,$O446)=1,1,0))</f>
        <v>0</v>
      </c>
      <c r="Q446" t="str">
        <f>IF(AND($P446=1,$A446=经营数据!$B$3,$J446=经营数据!$BA$5),COUNTIFS($P$2:$P$3000,1,$A$2:$A$3000,$A446,$J$2:$J$3000,$J446,$N$2:$N$3000,"&lt;"&amp;$N446)+1,"")</f>
        <v/>
      </c>
      <c r="R446" t="str">
        <f t="shared" si="98"/>
        <v>中金中国绿发消费封闭式基础设施证券投资基金|领秀城贵和购物中心</v>
      </c>
      <c r="S446">
        <f>IF($A446="",0,IF(COUNTIF($R$2:$R446,$R446)=1,1,0))</f>
        <v>0</v>
      </c>
      <c r="T446">
        <f t="shared" si="99"/>
        <v>385</v>
      </c>
      <c r="U446" t="str">
        <f>IF($A446="","",IF($A446=经营数据!$B$3,COUNTIFS($S$2:$S$3000,1,$A$2:$A$3000,$A446,$T$2:$T$3000,"&lt;"&amp;$T446)+1,""))</f>
        <v/>
      </c>
      <c r="V446" t="str">
        <f t="shared" si="100"/>
        <v>领秀城贵和购物中心|服务效率</v>
      </c>
      <c r="W446">
        <f t="shared" si="101"/>
        <v>397</v>
      </c>
      <c r="X446" t="str">
        <f t="shared" si="102"/>
        <v>领秀城贵和购物中心|加权平均出租率</v>
      </c>
      <c r="Y446">
        <f t="shared" si="103"/>
        <v>398</v>
      </c>
      <c r="Z446">
        <f>IF($A446="",0,IF(AND($M446=1,$A446=经营数据!$B$3,$J446=经营数据!$BA$5,OR($I446=经营数据!$BA$4,COUNTIF(经营数据!$AA$9:$AA$38,$I446)&gt;0)),1,0))</f>
        <v>0</v>
      </c>
      <c r="AA446" t="str">
        <f t="shared" si="104"/>
        <v/>
      </c>
      <c r="AB446" t="str">
        <f t="shared" si="105"/>
        <v/>
      </c>
      <c r="AC446">
        <f>IF($A446="",0,IF(COUNTIF($A$2:$A446,$A446)=1,1,0))</f>
        <v>0</v>
      </c>
      <c r="AD446">
        <f t="shared" si="106"/>
        <v>5</v>
      </c>
      <c r="AE446" t="str">
        <f t="shared" si="107"/>
        <v>领秀城贵和购物中心|加权平均出租率（%）</v>
      </c>
      <c r="BP446" s="47">
        <v>46030</v>
      </c>
      <c r="BQ446" s="29">
        <v>3.8161558343246769E-2</v>
      </c>
    </row>
    <row r="447" spans="1:69" x14ac:dyDescent="0.4">
      <c r="A447" t="str">
        <f>IF(原始经营数据!$D448="","",原始经营数据!$D448)</f>
        <v>中金中国绿发消费封闭式基础设施证券投资基金</v>
      </c>
      <c r="B447" t="str">
        <f>IF(原始经营数据!$D448="","",T(原始经营数据!$E448))</f>
        <v>领秀城贵和购物中心</v>
      </c>
      <c r="C447" t="str">
        <f>IF(原始经营数据!$D448="","",原始经营数据!$F448)</f>
        <v>2024</v>
      </c>
      <c r="D447" t="str">
        <f>IF(原始经营数据!$D448="","",原始经营数据!$H448)</f>
        <v>续租率</v>
      </c>
      <c r="E447">
        <f>IF(原始经营数据!$D448="","",原始经营数据!$I448)</f>
        <v>71.31</v>
      </c>
      <c r="F447" t="str">
        <f>IF(原始经营数据!$D448="","",T(原始经营数据!$J448))</f>
        <v>%</v>
      </c>
      <c r="G447" t="str">
        <f>IF(原始经营数据!$D448="","",T(原始经营数据!$K448))</f>
        <v/>
      </c>
      <c r="H447" t="str">
        <f>IF(原始经营数据!$D448="","",原始经营数据!$G448)</f>
        <v>服务效率</v>
      </c>
      <c r="I447" t="str">
        <f>IF($A447="","",IF($B447&lt;&gt;"",$B447,IF(COUNTIFS(原始经营数据!$D$3:$D$3001,$A447,原始经营数据!$E$3:$E$3001,"",原始经营数据!$F$3:$F$3001,$C447,原始经营数据!$H$3:$H$3001,$D447,原始经营数据!$K$3:$K$3001,$G447)&gt;1,"基金整体·来源"&amp;原始经营数据!$A448,"基金整体")))</f>
        <v>领秀城贵和购物中心</v>
      </c>
      <c r="J447" t="str">
        <f t="shared" si="93"/>
        <v>年度</v>
      </c>
      <c r="K447" t="str">
        <f t="shared" si="94"/>
        <v>续租率（%）</v>
      </c>
      <c r="L447" t="str">
        <f t="shared" si="95"/>
        <v>领秀城贵和购物中心|续租率（%）|年度</v>
      </c>
      <c r="M447">
        <f>IF($A447="",0,IF(COUNTIF($L$2:$L447,$L447)=1,1,0))</f>
        <v>0</v>
      </c>
      <c r="N447">
        <f t="shared" si="96"/>
        <v>20240</v>
      </c>
      <c r="O447" t="str">
        <f t="shared" si="97"/>
        <v>中金中国绿发消费封闭式基础设施证券投资基金|2024|年度</v>
      </c>
      <c r="P447">
        <f>IF($A447="",0,IF(COUNTIF($O$2:$O447,$O447)=1,1,0))</f>
        <v>0</v>
      </c>
      <c r="Q447" t="str">
        <f>IF(AND($P447=1,$A447=经营数据!$B$3,$J447=经营数据!$BA$5),COUNTIFS($P$2:$P$3000,1,$A$2:$A$3000,$A447,$J$2:$J$3000,$J447,$N$2:$N$3000,"&lt;"&amp;$N447)+1,"")</f>
        <v/>
      </c>
      <c r="R447" t="str">
        <f t="shared" si="98"/>
        <v>中金中国绿发消费封闭式基础设施证券投资基金|领秀城贵和购物中心</v>
      </c>
      <c r="S447">
        <f>IF($A447="",0,IF(COUNTIF($R$2:$R447,$R447)=1,1,0))</f>
        <v>0</v>
      </c>
      <c r="T447">
        <f t="shared" si="99"/>
        <v>385</v>
      </c>
      <c r="U447" t="str">
        <f>IF($A447="","",IF($A447=经营数据!$B$3,COUNTIFS($S$2:$S$3000,1,$A$2:$A$3000,$A447,$T$2:$T$3000,"&lt;"&amp;$T447)+1,""))</f>
        <v/>
      </c>
      <c r="V447" t="str">
        <f t="shared" si="100"/>
        <v>领秀城贵和购物中心|服务效率</v>
      </c>
      <c r="W447">
        <f t="shared" si="101"/>
        <v>397</v>
      </c>
      <c r="X447" t="str">
        <f t="shared" si="102"/>
        <v>领秀城贵和购物中心|续租率</v>
      </c>
      <c r="Y447">
        <f t="shared" si="103"/>
        <v>399</v>
      </c>
      <c r="Z447">
        <f>IF($A447="",0,IF(AND($M447=1,$A447=经营数据!$B$3,$J447=经营数据!$BA$5,OR($I447=经营数据!$BA$4,COUNTIF(经营数据!$AA$9:$AA$38,$I447)&gt;0)),1,0))</f>
        <v>0</v>
      </c>
      <c r="AA447" t="str">
        <f t="shared" si="104"/>
        <v/>
      </c>
      <c r="AB447" t="str">
        <f t="shared" si="105"/>
        <v/>
      </c>
      <c r="AC447">
        <f>IF($A447="",0,IF(COUNTIF($A$2:$A447,$A447)=1,1,0))</f>
        <v>0</v>
      </c>
      <c r="AD447">
        <f t="shared" si="106"/>
        <v>5</v>
      </c>
      <c r="AE447" t="str">
        <f t="shared" si="107"/>
        <v>领秀城贵和购物中心|续租率（%）</v>
      </c>
      <c r="BP447" s="47">
        <v>46031</v>
      </c>
      <c r="BQ447" s="29">
        <v>3.8234441484191549E-2</v>
      </c>
    </row>
    <row r="448" spans="1:69" x14ac:dyDescent="0.4">
      <c r="A448" t="str">
        <f>IF(原始经营数据!$D449="","",原始经营数据!$D449)</f>
        <v>中金中国绿发消费封闭式基础设施证券投资基金</v>
      </c>
      <c r="B448" t="str">
        <f>IF(原始经营数据!$D449="","",T(原始经营数据!$E449))</f>
        <v>领秀城贵和购物中心</v>
      </c>
      <c r="C448" t="str">
        <f>IF(原始经营数据!$D449="","",原始经营数据!$F449)</f>
        <v>2024</v>
      </c>
      <c r="D448" t="str">
        <f>IF(原始经营数据!$D449="","",原始经营数据!$H449)</f>
        <v>月销售坪效</v>
      </c>
      <c r="E448">
        <f>IF(原始经营数据!$D449="","",原始经营数据!$I449)</f>
        <v>2195.2600000000002</v>
      </c>
      <c r="F448" t="str">
        <f>IF(原始经营数据!$D449="","",T(原始经营数据!$J449))</f>
        <v>元/平方米/月</v>
      </c>
      <c r="G448" t="str">
        <f>IF(原始经营数据!$D449="","",T(原始经营数据!$K449))</f>
        <v/>
      </c>
      <c r="H448" t="str">
        <f>IF(原始经营数据!$D449="","",原始经营数据!$G449)</f>
        <v>服务价格</v>
      </c>
      <c r="I448" t="str">
        <f>IF($A448="","",IF($B448&lt;&gt;"",$B448,IF(COUNTIFS(原始经营数据!$D$3:$D$3001,$A448,原始经营数据!$E$3:$E$3001,"",原始经营数据!$F$3:$F$3001,$C448,原始经营数据!$H$3:$H$3001,$D448,原始经营数据!$K$3:$K$3001,$G448)&gt;1,"基金整体·来源"&amp;原始经营数据!$A449,"基金整体")))</f>
        <v>领秀城贵和购物中心</v>
      </c>
      <c r="J448" t="str">
        <f t="shared" si="93"/>
        <v>年度</v>
      </c>
      <c r="K448" t="str">
        <f t="shared" si="94"/>
        <v>月销售坪效（元/平方米/月）</v>
      </c>
      <c r="L448" t="str">
        <f t="shared" si="95"/>
        <v>领秀城贵和购物中心|月销售坪效（元/平方米/月）|年度</v>
      </c>
      <c r="M448">
        <f>IF($A448="",0,IF(COUNTIF($L$2:$L448,$L448)=1,1,0))</f>
        <v>0</v>
      </c>
      <c r="N448">
        <f t="shared" si="96"/>
        <v>20240</v>
      </c>
      <c r="O448" t="str">
        <f t="shared" si="97"/>
        <v>中金中国绿发消费封闭式基础设施证券投资基金|2024|年度</v>
      </c>
      <c r="P448">
        <f>IF($A448="",0,IF(COUNTIF($O$2:$O448,$O448)=1,1,0))</f>
        <v>0</v>
      </c>
      <c r="Q448" t="str">
        <f>IF(AND($P448=1,$A448=经营数据!$B$3,$J448=经营数据!$BA$5),COUNTIFS($P$2:$P$3000,1,$A$2:$A$3000,$A448,$J$2:$J$3000,$J448,$N$2:$N$3000,"&lt;"&amp;$N448)+1,"")</f>
        <v/>
      </c>
      <c r="R448" t="str">
        <f t="shared" si="98"/>
        <v>中金中国绿发消费封闭式基础设施证券投资基金|领秀城贵和购物中心</v>
      </c>
      <c r="S448">
        <f>IF($A448="",0,IF(COUNTIF($R$2:$R448,$R448)=1,1,0))</f>
        <v>0</v>
      </c>
      <c r="T448">
        <f t="shared" si="99"/>
        <v>385</v>
      </c>
      <c r="U448" t="str">
        <f>IF($A448="","",IF($A448=经营数据!$B$3,COUNTIFS($S$2:$S$3000,1,$A$2:$A$3000,$A448,$T$2:$T$3000,"&lt;"&amp;$T448)+1,""))</f>
        <v/>
      </c>
      <c r="V448" t="str">
        <f t="shared" si="100"/>
        <v>领秀城贵和购物中心|服务价格</v>
      </c>
      <c r="W448">
        <f t="shared" si="101"/>
        <v>395</v>
      </c>
      <c r="X448" t="str">
        <f t="shared" si="102"/>
        <v>领秀城贵和购物中心|月销售坪效</v>
      </c>
      <c r="Y448">
        <f t="shared" si="103"/>
        <v>401</v>
      </c>
      <c r="Z448">
        <f>IF($A448="",0,IF(AND($M448=1,$A448=经营数据!$B$3,$J448=经营数据!$BA$5,OR($I448=经营数据!$BA$4,COUNTIF(经营数据!$AA$9:$AA$38,$I448)&gt;0)),1,0))</f>
        <v>0</v>
      </c>
      <c r="AA448" t="str">
        <f t="shared" si="104"/>
        <v/>
      </c>
      <c r="AB448" t="str">
        <f t="shared" si="105"/>
        <v/>
      </c>
      <c r="AC448">
        <f>IF($A448="",0,IF(COUNTIF($A$2:$A448,$A448)=1,1,0))</f>
        <v>0</v>
      </c>
      <c r="AD448">
        <f t="shared" si="106"/>
        <v>5</v>
      </c>
      <c r="AE448" t="str">
        <f t="shared" si="107"/>
        <v>领秀城贵和购物中心|月销售坪效（元/平方米/月）</v>
      </c>
      <c r="BP448" s="47">
        <v>46034</v>
      </c>
      <c r="BQ448" s="29">
        <v>3.8250484135367593E-2</v>
      </c>
    </row>
    <row r="449" spans="1:69" x14ac:dyDescent="0.4">
      <c r="A449" t="str">
        <f>IF(原始经营数据!$D450="","",原始经营数据!$D450)</f>
        <v>中金中国绿发消费封闭式基础设施证券投资基金</v>
      </c>
      <c r="B449" t="str">
        <f>IF(原始经营数据!$D450="","",T(原始经营数据!$E450))</f>
        <v>领秀城贵和购物中心</v>
      </c>
      <c r="C449" t="str">
        <f>IF(原始经营数据!$D450="","",原始经营数据!$F450)</f>
        <v>2024</v>
      </c>
      <c r="D449" t="str">
        <f>IF(原始经营数据!$D450="","",原始经营数据!$H450)</f>
        <v>月租金坪效</v>
      </c>
      <c r="E449">
        <f>IF(原始经营数据!$D450="","",原始经营数据!$I450)</f>
        <v>104.56</v>
      </c>
      <c r="F449" t="str">
        <f>IF(原始经营数据!$D450="","",T(原始经营数据!$J450))</f>
        <v>元/平方米/月</v>
      </c>
      <c r="G449" t="str">
        <f>IF(原始经营数据!$D450="","",T(原始经营数据!$K450))</f>
        <v/>
      </c>
      <c r="H449" t="str">
        <f>IF(原始经营数据!$D450="","",原始经营数据!$G450)</f>
        <v>服务价格</v>
      </c>
      <c r="I449" t="str">
        <f>IF($A449="","",IF($B449&lt;&gt;"",$B449,IF(COUNTIFS(原始经营数据!$D$3:$D$3001,$A449,原始经营数据!$E$3:$E$3001,"",原始经营数据!$F$3:$F$3001,$C449,原始经营数据!$H$3:$H$3001,$D449,原始经营数据!$K$3:$K$3001,$G449)&gt;1,"基金整体·来源"&amp;原始经营数据!$A450,"基金整体")))</f>
        <v>领秀城贵和购物中心</v>
      </c>
      <c r="J449" t="str">
        <f t="shared" si="93"/>
        <v>年度</v>
      </c>
      <c r="K449" t="str">
        <f t="shared" si="94"/>
        <v>月租金坪效（元/平方米/月）</v>
      </c>
      <c r="L449" t="str">
        <f t="shared" si="95"/>
        <v>领秀城贵和购物中心|月租金坪效（元/平方米/月）|年度</v>
      </c>
      <c r="M449">
        <f>IF($A449="",0,IF(COUNTIF($L$2:$L449,$L449)=1,1,0))</f>
        <v>0</v>
      </c>
      <c r="N449">
        <f t="shared" si="96"/>
        <v>20240</v>
      </c>
      <c r="O449" t="str">
        <f t="shared" si="97"/>
        <v>中金中国绿发消费封闭式基础设施证券投资基金|2024|年度</v>
      </c>
      <c r="P449">
        <f>IF($A449="",0,IF(COUNTIF($O$2:$O449,$O449)=1,1,0))</f>
        <v>0</v>
      </c>
      <c r="Q449" t="str">
        <f>IF(AND($P449=1,$A449=经营数据!$B$3,$J449=经营数据!$BA$5),COUNTIFS($P$2:$P$3000,1,$A$2:$A$3000,$A449,$J$2:$J$3000,$J449,$N$2:$N$3000,"&lt;"&amp;$N449)+1,"")</f>
        <v/>
      </c>
      <c r="R449" t="str">
        <f t="shared" si="98"/>
        <v>中金中国绿发消费封闭式基础设施证券投资基金|领秀城贵和购物中心</v>
      </c>
      <c r="S449">
        <f>IF($A449="",0,IF(COUNTIF($R$2:$R449,$R449)=1,1,0))</f>
        <v>0</v>
      </c>
      <c r="T449">
        <f t="shared" si="99"/>
        <v>385</v>
      </c>
      <c r="U449" t="str">
        <f>IF($A449="","",IF($A449=经营数据!$B$3,COUNTIFS($S$2:$S$3000,1,$A$2:$A$3000,$A449,$T$2:$T$3000,"&lt;"&amp;$T449)+1,""))</f>
        <v/>
      </c>
      <c r="V449" t="str">
        <f t="shared" si="100"/>
        <v>领秀城贵和购物中心|服务价格</v>
      </c>
      <c r="W449">
        <f t="shared" si="101"/>
        <v>395</v>
      </c>
      <c r="X449" t="str">
        <f t="shared" si="102"/>
        <v>领秀城贵和购物中心|月租金坪效</v>
      </c>
      <c r="Y449">
        <f t="shared" si="103"/>
        <v>396</v>
      </c>
      <c r="Z449">
        <f>IF($A449="",0,IF(AND($M449=1,$A449=经营数据!$B$3,$J449=经营数据!$BA$5,OR($I449=经营数据!$BA$4,COUNTIF(经营数据!$AA$9:$AA$38,$I449)&gt;0)),1,0))</f>
        <v>0</v>
      </c>
      <c r="AA449" t="str">
        <f t="shared" si="104"/>
        <v/>
      </c>
      <c r="AB449" t="str">
        <f t="shared" si="105"/>
        <v/>
      </c>
      <c r="AC449">
        <f>IF($A449="",0,IF(COUNTIF($A$2:$A449,$A449)=1,1,0))</f>
        <v>0</v>
      </c>
      <c r="AD449">
        <f t="shared" si="106"/>
        <v>5</v>
      </c>
      <c r="AE449" t="str">
        <f t="shared" si="107"/>
        <v>领秀城贵和购物中心|月租金坪效（元/平方米/月）</v>
      </c>
      <c r="BP449" s="47">
        <v>46035</v>
      </c>
      <c r="BQ449" s="29">
        <v>3.8283336487916451E-2</v>
      </c>
    </row>
    <row r="450" spans="1:69" x14ac:dyDescent="0.4">
      <c r="A450" t="str">
        <f>IF(原始经营数据!$D451="","",原始经营数据!$D451)</f>
        <v>中金中国绿发消费封闭式基础设施证券投资基金</v>
      </c>
      <c r="B450" t="str">
        <f>IF(原始经营数据!$D451="","",T(原始经营数据!$E451))</f>
        <v>领秀城贵和购物中心</v>
      </c>
      <c r="C450" t="str">
        <f>IF(原始经营数据!$D451="","",原始经营数据!$F451)</f>
        <v>2024</v>
      </c>
      <c r="D450" t="str">
        <f>IF(原始经营数据!$D451="","",原始经营数据!$H451)</f>
        <v>收入类型</v>
      </c>
      <c r="E450">
        <f>IF(原始经营数据!$D451="","",原始经营数据!$I451)</f>
        <v>66.47</v>
      </c>
      <c r="F450" t="str">
        <f>IF(原始经营数据!$D451="","",T(原始经营数据!$J451))</f>
        <v>%</v>
      </c>
      <c r="G450" t="str">
        <f>IF(原始经营数据!$D451="","",T(原始经营数据!$K451))</f>
        <v>店铺租金收入</v>
      </c>
      <c r="H450" t="str">
        <f>IF(原始经营数据!$D451="","",原始经营数据!$G451)</f>
        <v>服务金额</v>
      </c>
      <c r="I450" t="str">
        <f>IF($A450="","",IF($B450&lt;&gt;"",$B450,IF(COUNTIFS(原始经营数据!$D$3:$D$3001,$A450,原始经营数据!$E$3:$E$3001,"",原始经营数据!$F$3:$F$3001,$C450,原始经营数据!$H$3:$H$3001,$D450,原始经营数据!$K$3:$K$3001,$G450)&gt;1,"基金整体·来源"&amp;原始经营数据!$A451,"基金整体")))</f>
        <v>领秀城贵和购物中心</v>
      </c>
      <c r="J450" t="str">
        <f t="shared" ref="J450:J513" si="108">IF($A450="","",IF(LEN($C450)=4,"年度",IF(AND(LEN($C450)=6,ISNUMBER(SEARCH("Q",$C450))),"季度","其他期间")))</f>
        <v>年度</v>
      </c>
      <c r="K450" t="str">
        <f t="shared" ref="K450:K513" si="109">IF($A450="","",$D450&amp;IF($G450="","","-"&amp;SUBSTITUTE($G450,CHAR(10),""))&amp;IF($F450="","","（"&amp;$F450&amp;"）"))</f>
        <v>收入类型-店铺租金收入（%）</v>
      </c>
      <c r="L450" t="str">
        <f t="shared" ref="L450:L513" si="110">IF($A450="","",$I450&amp;"|"&amp;$K450&amp;"|"&amp;$J450)</f>
        <v>领秀城贵和购物中心|收入类型-店铺租金收入（%）|年度</v>
      </c>
      <c r="M450">
        <f>IF($A450="",0,IF(COUNTIF($L$2:$L450,$L450)=1,1,0))</f>
        <v>1</v>
      </c>
      <c r="N450">
        <f t="shared" ref="N450:N513" si="111">IF($A450="","",IF($J450="年度",VALUE($C450)*10,IF($J450="季度",VALUE(LEFT($C450,4))*10+VALUE(RIGHT($C450,1)),VALUE(LEFT($C450,4))*10+9)))</f>
        <v>20240</v>
      </c>
      <c r="O450" t="str">
        <f t="shared" ref="O450:O513" si="112">IF($A450="","",$A450&amp;"|"&amp;$C450&amp;"|"&amp;$J450)</f>
        <v>中金中国绿发消费封闭式基础设施证券投资基金|2024|年度</v>
      </c>
      <c r="P450">
        <f>IF($A450="",0,IF(COUNTIF($O$2:$O450,$O450)=1,1,0))</f>
        <v>0</v>
      </c>
      <c r="Q450" t="str">
        <f>IF(AND($P450=1,$A450=经营数据!$B$3,$J450=经营数据!$BA$5),COUNTIFS($P$2:$P$3000,1,$A$2:$A$3000,$A450,$J$2:$J$3000,$J450,$N$2:$N$3000,"&lt;"&amp;$N450)+1,"")</f>
        <v/>
      </c>
      <c r="R450" t="str">
        <f t="shared" ref="R450:R513" si="113">IF($A450="","",$A450&amp;"|"&amp;$I450)</f>
        <v>中金中国绿发消费封闭式基础设施证券投资基金|领秀城贵和购物中心</v>
      </c>
      <c r="S450">
        <f>IF($A450="",0,IF(COUNTIF($R$2:$R450,$R450)=1,1,0))</f>
        <v>0</v>
      </c>
      <c r="T450">
        <f t="shared" ref="T450:T513" si="114">IF($A450="","",MATCH($R450,$R$2:$R$3000,0))</f>
        <v>385</v>
      </c>
      <c r="U450" t="str">
        <f>IF($A450="","",IF($A450=经营数据!$B$3,COUNTIFS($S$2:$S$3000,1,$A$2:$A$3000,$A450,$T$2:$T$3000,"&lt;"&amp;$T450)+1,""))</f>
        <v/>
      </c>
      <c r="V450" t="str">
        <f t="shared" ref="V450:V513" si="115">IF($A450="","",$I450&amp;"|"&amp;$H450)</f>
        <v>领秀城贵和购物中心|服务金额</v>
      </c>
      <c r="W450">
        <f t="shared" ref="W450:W513" si="116">IF($A450="","",MATCH($V450,$V$2:$V$3000,0))</f>
        <v>385</v>
      </c>
      <c r="X450" t="str">
        <f t="shared" ref="X450:X513" si="117">IF($A450="","",$I450&amp;"|"&amp;$D450)</f>
        <v>领秀城贵和购物中心|收入类型</v>
      </c>
      <c r="Y450">
        <f t="shared" ref="Y450:Y513" si="118">IF($A450="","",MATCH($X450,$X$2:$X$3000,0))</f>
        <v>429</v>
      </c>
      <c r="Z450">
        <f>IF($A450="",0,IF(AND($M450=1,$A450=经营数据!$B$3,$J450=经营数据!$BA$5,OR($I450=经营数据!$BA$4,COUNTIF(经营数据!$AA$9:$AA$38,$I450)&gt;0)),1,0))</f>
        <v>0</v>
      </c>
      <c r="AA450" t="str">
        <f t="shared" ref="AA450:AA513" si="119">IF($Z450=1,$U450*1000000000000+$W450*100000000+$Y450*10000+ROW(),"")</f>
        <v/>
      </c>
      <c r="AB450" t="str">
        <f t="shared" ref="AB450:AB513" si="120">IF($Z450=1,COUNTIFS($Z$2:$Z$3000,1,$AA$2:$AA$3000,"&lt;"&amp;$AA450)+1,"")</f>
        <v/>
      </c>
      <c r="AC450">
        <f>IF($A450="",0,IF(COUNTIF($A$2:$A450,$A450)=1,1,0))</f>
        <v>0</v>
      </c>
      <c r="AD450">
        <f t="shared" ref="AD450:AD513" si="121">IF($A450="",N(AD449),IF($AC450=1,N(AD449)+1,N(AD449)))</f>
        <v>5</v>
      </c>
      <c r="AE450" t="str">
        <f t="shared" ref="AE450:AE513" si="122">IF($A450="","",$I450&amp;"|"&amp;$K450)</f>
        <v>领秀城贵和购物中心|收入类型-店铺租金收入（%）</v>
      </c>
      <c r="BP450" s="47">
        <v>46036</v>
      </c>
      <c r="BQ450" s="29">
        <v>3.8199592878889042E-2</v>
      </c>
    </row>
    <row r="451" spans="1:69" x14ac:dyDescent="0.4">
      <c r="A451" t="str">
        <f>IF(原始经营数据!$D452="","",原始经营数据!$D452)</f>
        <v>中金中国绿发消费封闭式基础设施证券投资基金</v>
      </c>
      <c r="B451" t="str">
        <f>IF(原始经营数据!$D452="","",T(原始经营数据!$E452))</f>
        <v>领秀城贵和购物中心</v>
      </c>
      <c r="C451" t="str">
        <f>IF(原始经营数据!$D452="","",原始经营数据!$F452)</f>
        <v>2024</v>
      </c>
      <c r="D451" t="str">
        <f>IF(原始经营数据!$D452="","",原始经营数据!$H452)</f>
        <v>平均固定租金单价增长率</v>
      </c>
      <c r="E451">
        <f>IF(原始经营数据!$D452="","",原始经营数据!$I452)</f>
        <v>4.5</v>
      </c>
      <c r="F451" t="str">
        <f>IF(原始经营数据!$D452="","",T(原始经营数据!$J452))</f>
        <v>%</v>
      </c>
      <c r="G451" t="str">
        <f>IF(原始经营数据!$D452="","",T(原始经营数据!$K452))</f>
        <v/>
      </c>
      <c r="H451" t="str">
        <f>IF(原始经营数据!$D452="","",原始经营数据!$G452)</f>
        <v>服务效率</v>
      </c>
      <c r="I451" t="str">
        <f>IF($A451="","",IF($B451&lt;&gt;"",$B451,IF(COUNTIFS(原始经营数据!$D$3:$D$3001,$A451,原始经营数据!$E$3:$E$3001,"",原始经营数据!$F$3:$F$3001,$C451,原始经营数据!$H$3:$H$3001,$D451,原始经营数据!$K$3:$K$3001,$G451)&gt;1,"基金整体·来源"&amp;原始经营数据!$A452,"基金整体")))</f>
        <v>领秀城贵和购物中心</v>
      </c>
      <c r="J451" t="str">
        <f t="shared" si="108"/>
        <v>年度</v>
      </c>
      <c r="K451" t="str">
        <f t="shared" si="109"/>
        <v>平均固定租金单价增长率（%）</v>
      </c>
      <c r="L451" t="str">
        <f t="shared" si="110"/>
        <v>领秀城贵和购物中心|平均固定租金单价增长率（%）|年度</v>
      </c>
      <c r="M451">
        <f>IF($A451="",0,IF(COUNTIF($L$2:$L451,$L451)=1,1,0))</f>
        <v>0</v>
      </c>
      <c r="N451">
        <f t="shared" si="111"/>
        <v>20240</v>
      </c>
      <c r="O451" t="str">
        <f t="shared" si="112"/>
        <v>中金中国绿发消费封闭式基础设施证券投资基金|2024|年度</v>
      </c>
      <c r="P451">
        <f>IF($A451="",0,IF(COUNTIF($O$2:$O451,$O451)=1,1,0))</f>
        <v>0</v>
      </c>
      <c r="Q451" t="str">
        <f>IF(AND($P451=1,$A451=经营数据!$B$3,$J451=经营数据!$BA$5),COUNTIFS($P$2:$P$3000,1,$A$2:$A$3000,$A451,$J$2:$J$3000,$J451,$N$2:$N$3000,"&lt;"&amp;$N451)+1,"")</f>
        <v/>
      </c>
      <c r="R451" t="str">
        <f t="shared" si="113"/>
        <v>中金中国绿发消费封闭式基础设施证券投资基金|领秀城贵和购物中心</v>
      </c>
      <c r="S451">
        <f>IF($A451="",0,IF(COUNTIF($R$2:$R451,$R451)=1,1,0))</f>
        <v>0</v>
      </c>
      <c r="T451">
        <f t="shared" si="114"/>
        <v>385</v>
      </c>
      <c r="U451" t="str">
        <f>IF($A451="","",IF($A451=经营数据!$B$3,COUNTIFS($S$2:$S$3000,1,$A$2:$A$3000,$A451,$T$2:$T$3000,"&lt;"&amp;$T451)+1,""))</f>
        <v/>
      </c>
      <c r="V451" t="str">
        <f t="shared" si="115"/>
        <v>领秀城贵和购物中心|服务效率</v>
      </c>
      <c r="W451">
        <f t="shared" si="116"/>
        <v>397</v>
      </c>
      <c r="X451" t="str">
        <f t="shared" si="117"/>
        <v>领秀城贵和购物中心|平均固定租金单价增长率</v>
      </c>
      <c r="Y451">
        <f t="shared" si="118"/>
        <v>397</v>
      </c>
      <c r="Z451">
        <f>IF($A451="",0,IF(AND($M451=1,$A451=经营数据!$B$3,$J451=经营数据!$BA$5,OR($I451=经营数据!$BA$4,COUNTIF(经营数据!$AA$9:$AA$38,$I451)&gt;0)),1,0))</f>
        <v>0</v>
      </c>
      <c r="AA451" t="str">
        <f t="shared" si="119"/>
        <v/>
      </c>
      <c r="AB451" t="str">
        <f t="shared" si="120"/>
        <v/>
      </c>
      <c r="AC451">
        <f>IF($A451="",0,IF(COUNTIF($A$2:$A451,$A451)=1,1,0))</f>
        <v>0</v>
      </c>
      <c r="AD451">
        <f t="shared" si="121"/>
        <v>5</v>
      </c>
      <c r="AE451" t="str">
        <f t="shared" si="122"/>
        <v>领秀城贵和购物中心|平均固定租金单价增长率（%）</v>
      </c>
      <c r="BP451" s="47">
        <v>46037</v>
      </c>
      <c r="BQ451" s="29">
        <v>3.8393009459453037E-2</v>
      </c>
    </row>
    <row r="452" spans="1:69" x14ac:dyDescent="0.4">
      <c r="A452" t="str">
        <f>IF(原始经营数据!$D453="","",原始经营数据!$D453)</f>
        <v>中金中国绿发消费封闭式基础设施证券投资基金</v>
      </c>
      <c r="B452" t="str">
        <f>IF(原始经营数据!$D453="","",T(原始经营数据!$E453))</f>
        <v>领秀城贵和购物中心</v>
      </c>
      <c r="C452" t="str">
        <f>IF(原始经营数据!$D453="","",原始经营数据!$F453)</f>
        <v>2024</v>
      </c>
      <c r="D452" t="str">
        <f>IF(原始经营数据!$D453="","",原始经营数据!$H453)</f>
        <v>收入类型</v>
      </c>
      <c r="E452">
        <f>IF(原始经营数据!$D453="","",原始经营数据!$I453)</f>
        <v>0.06</v>
      </c>
      <c r="F452" t="str">
        <f>IF(原始经营数据!$D453="","",T(原始经营数据!$J453))</f>
        <v>%</v>
      </c>
      <c r="G452" t="str">
        <f>IF(原始经营数据!$D453="","",T(原始经营数据!$K453))</f>
        <v>其他收入</v>
      </c>
      <c r="H452" t="str">
        <f>IF(原始经营数据!$D453="","",原始经营数据!$G453)</f>
        <v>服务金额</v>
      </c>
      <c r="I452" t="str">
        <f>IF($A452="","",IF($B452&lt;&gt;"",$B452,IF(COUNTIFS(原始经营数据!$D$3:$D$3001,$A452,原始经营数据!$E$3:$E$3001,"",原始经营数据!$F$3:$F$3001,$C452,原始经营数据!$H$3:$H$3001,$D452,原始经营数据!$K$3:$K$3001,$G452)&gt;1,"基金整体·来源"&amp;原始经营数据!$A453,"基金整体")))</f>
        <v>领秀城贵和购物中心</v>
      </c>
      <c r="J452" t="str">
        <f t="shared" si="108"/>
        <v>年度</v>
      </c>
      <c r="K452" t="str">
        <f t="shared" si="109"/>
        <v>收入类型-其他收入（%）</v>
      </c>
      <c r="L452" t="str">
        <f t="shared" si="110"/>
        <v>领秀城贵和购物中心|收入类型-其他收入（%）|年度</v>
      </c>
      <c r="M452">
        <f>IF($A452="",0,IF(COUNTIF($L$2:$L452,$L452)=1,1,0))</f>
        <v>1</v>
      </c>
      <c r="N452">
        <f t="shared" si="111"/>
        <v>20240</v>
      </c>
      <c r="O452" t="str">
        <f t="shared" si="112"/>
        <v>中金中国绿发消费封闭式基础设施证券投资基金|2024|年度</v>
      </c>
      <c r="P452">
        <f>IF($A452="",0,IF(COUNTIF($O$2:$O452,$O452)=1,1,0))</f>
        <v>0</v>
      </c>
      <c r="Q452" t="str">
        <f>IF(AND($P452=1,$A452=经营数据!$B$3,$J452=经营数据!$BA$5),COUNTIFS($P$2:$P$3000,1,$A$2:$A$3000,$A452,$J$2:$J$3000,$J452,$N$2:$N$3000,"&lt;"&amp;$N452)+1,"")</f>
        <v/>
      </c>
      <c r="R452" t="str">
        <f t="shared" si="113"/>
        <v>中金中国绿发消费封闭式基础设施证券投资基金|领秀城贵和购物中心</v>
      </c>
      <c r="S452">
        <f>IF($A452="",0,IF(COUNTIF($R$2:$R452,$R452)=1,1,0))</f>
        <v>0</v>
      </c>
      <c r="T452">
        <f t="shared" si="114"/>
        <v>385</v>
      </c>
      <c r="U452" t="str">
        <f>IF($A452="","",IF($A452=经营数据!$B$3,COUNTIFS($S$2:$S$3000,1,$A$2:$A$3000,$A452,$T$2:$T$3000,"&lt;"&amp;$T452)+1,""))</f>
        <v/>
      </c>
      <c r="V452" t="str">
        <f t="shared" si="115"/>
        <v>领秀城贵和购物中心|服务金额</v>
      </c>
      <c r="W452">
        <f t="shared" si="116"/>
        <v>385</v>
      </c>
      <c r="X452" t="str">
        <f t="shared" si="117"/>
        <v>领秀城贵和购物中心|收入类型</v>
      </c>
      <c r="Y452">
        <f t="shared" si="118"/>
        <v>429</v>
      </c>
      <c r="Z452">
        <f>IF($A452="",0,IF(AND($M452=1,$A452=经营数据!$B$3,$J452=经营数据!$BA$5,OR($I452=经营数据!$BA$4,COUNTIF(经营数据!$AA$9:$AA$38,$I452)&gt;0)),1,0))</f>
        <v>0</v>
      </c>
      <c r="AA452" t="str">
        <f t="shared" si="119"/>
        <v/>
      </c>
      <c r="AB452" t="str">
        <f t="shared" si="120"/>
        <v/>
      </c>
      <c r="AC452">
        <f>IF($A452="",0,IF(COUNTIF($A$2:$A452,$A452)=1,1,0))</f>
        <v>0</v>
      </c>
      <c r="AD452">
        <f t="shared" si="121"/>
        <v>5</v>
      </c>
      <c r="AE452" t="str">
        <f t="shared" si="122"/>
        <v>领秀城贵和购物中心|收入类型-其他收入（%）</v>
      </c>
      <c r="BP452" s="47">
        <v>46038</v>
      </c>
      <c r="BQ452" s="29">
        <v>3.8283790644803882E-2</v>
      </c>
    </row>
    <row r="453" spans="1:69" x14ac:dyDescent="0.4">
      <c r="A453" t="str">
        <f>IF(原始经营数据!$D454="","",原始经营数据!$D454)</f>
        <v>中金中国绿发消费封闭式基础设施证券投资基金</v>
      </c>
      <c r="B453" t="str">
        <f>IF(原始经营数据!$D454="","",T(原始经营数据!$E454))</f>
        <v>领秀城贵和购物中心</v>
      </c>
      <c r="C453" t="str">
        <f>IF(原始经营数据!$D454="","",原始经营数据!$F454)</f>
        <v>2024</v>
      </c>
      <c r="D453" t="str">
        <f>IF(原始经营数据!$D454="","",原始经营数据!$H454)</f>
        <v>收入类型</v>
      </c>
      <c r="E453">
        <f>IF(原始经营数据!$D454="","",原始经营数据!$I454)</f>
        <v>4.3600000000000003</v>
      </c>
      <c r="F453" t="str">
        <f>IF(原始经营数据!$D454="","",T(原始经营数据!$J454))</f>
        <v>%</v>
      </c>
      <c r="G453" t="str">
        <f>IF(原始经营数据!$D454="","",T(原始经营数据!$K454))</f>
        <v>停车场收入</v>
      </c>
      <c r="H453" t="str">
        <f>IF(原始经营数据!$D454="","",原始经营数据!$G454)</f>
        <v>服务金额</v>
      </c>
      <c r="I453" t="str">
        <f>IF($A453="","",IF($B453&lt;&gt;"",$B453,IF(COUNTIFS(原始经营数据!$D$3:$D$3001,$A453,原始经营数据!$E$3:$E$3001,"",原始经营数据!$F$3:$F$3001,$C453,原始经营数据!$H$3:$H$3001,$D453,原始经营数据!$K$3:$K$3001,$G453)&gt;1,"基金整体·来源"&amp;原始经营数据!$A454,"基金整体")))</f>
        <v>领秀城贵和购物中心</v>
      </c>
      <c r="J453" t="str">
        <f t="shared" si="108"/>
        <v>年度</v>
      </c>
      <c r="K453" t="str">
        <f t="shared" si="109"/>
        <v>收入类型-停车场收入（%）</v>
      </c>
      <c r="L453" t="str">
        <f t="shared" si="110"/>
        <v>领秀城贵和购物中心|收入类型-停车场收入（%）|年度</v>
      </c>
      <c r="M453">
        <f>IF($A453="",0,IF(COUNTIF($L$2:$L453,$L453)=1,1,0))</f>
        <v>1</v>
      </c>
      <c r="N453">
        <f t="shared" si="111"/>
        <v>20240</v>
      </c>
      <c r="O453" t="str">
        <f t="shared" si="112"/>
        <v>中金中国绿发消费封闭式基础设施证券投资基金|2024|年度</v>
      </c>
      <c r="P453">
        <f>IF($A453="",0,IF(COUNTIF($O$2:$O453,$O453)=1,1,0))</f>
        <v>0</v>
      </c>
      <c r="Q453" t="str">
        <f>IF(AND($P453=1,$A453=经营数据!$B$3,$J453=经营数据!$BA$5),COUNTIFS($P$2:$P$3000,1,$A$2:$A$3000,$A453,$J$2:$J$3000,$J453,$N$2:$N$3000,"&lt;"&amp;$N453)+1,"")</f>
        <v/>
      </c>
      <c r="R453" t="str">
        <f t="shared" si="113"/>
        <v>中金中国绿发消费封闭式基础设施证券投资基金|领秀城贵和购物中心</v>
      </c>
      <c r="S453">
        <f>IF($A453="",0,IF(COUNTIF($R$2:$R453,$R453)=1,1,0))</f>
        <v>0</v>
      </c>
      <c r="T453">
        <f t="shared" si="114"/>
        <v>385</v>
      </c>
      <c r="U453" t="str">
        <f>IF($A453="","",IF($A453=经营数据!$B$3,COUNTIFS($S$2:$S$3000,1,$A$2:$A$3000,$A453,$T$2:$T$3000,"&lt;"&amp;$T453)+1,""))</f>
        <v/>
      </c>
      <c r="V453" t="str">
        <f t="shared" si="115"/>
        <v>领秀城贵和购物中心|服务金额</v>
      </c>
      <c r="W453">
        <f t="shared" si="116"/>
        <v>385</v>
      </c>
      <c r="X453" t="str">
        <f t="shared" si="117"/>
        <v>领秀城贵和购物中心|收入类型</v>
      </c>
      <c r="Y453">
        <f t="shared" si="118"/>
        <v>429</v>
      </c>
      <c r="Z453">
        <f>IF($A453="",0,IF(AND($M453=1,$A453=经营数据!$B$3,$J453=经营数据!$BA$5,OR($I453=经营数据!$BA$4,COUNTIF(经营数据!$AA$9:$AA$38,$I453)&gt;0)),1,0))</f>
        <v>0</v>
      </c>
      <c r="AA453" t="str">
        <f t="shared" si="119"/>
        <v/>
      </c>
      <c r="AB453" t="str">
        <f t="shared" si="120"/>
        <v/>
      </c>
      <c r="AC453">
        <f>IF($A453="",0,IF(COUNTIF($A$2:$A453,$A453)=1,1,0))</f>
        <v>0</v>
      </c>
      <c r="AD453">
        <f t="shared" si="121"/>
        <v>5</v>
      </c>
      <c r="AE453" t="str">
        <f t="shared" si="122"/>
        <v>领秀城贵和购物中心|收入类型-停车场收入（%）</v>
      </c>
      <c r="BP453" s="47">
        <v>46041</v>
      </c>
      <c r="BQ453" s="29">
        <v>3.8218140718757183E-2</v>
      </c>
    </row>
    <row r="454" spans="1:69" x14ac:dyDescent="0.4">
      <c r="A454" t="str">
        <f>IF(原始经营数据!$D455="","",原始经营数据!$D455)</f>
        <v>中金中国绿发消费封闭式基础设施证券投资基金</v>
      </c>
      <c r="B454" t="str">
        <f>IF(原始经营数据!$D455="","",T(原始经营数据!$E455))</f>
        <v>领秀城贵和购物中心</v>
      </c>
      <c r="C454" t="str">
        <f>IF(原始经营数据!$D455="","",原始经营数据!$F455)</f>
        <v>2024</v>
      </c>
      <c r="D454" t="str">
        <f>IF(原始经营数据!$D455="","",原始经营数据!$H455)</f>
        <v>收入类型</v>
      </c>
      <c r="E454">
        <f>IF(原始经营数据!$D455="","",原始经营数据!$I455)</f>
        <v>2.4700000000000002</v>
      </c>
      <c r="F454" t="str">
        <f>IF(原始经营数据!$D455="","",T(原始经营数据!$J455))</f>
        <v>%</v>
      </c>
      <c r="G454" t="str">
        <f>IF(原始经营数据!$D455="","",T(原始经营数据!$K455))</f>
        <v>广告位收入</v>
      </c>
      <c r="H454" t="str">
        <f>IF(原始经营数据!$D455="","",原始经营数据!$G455)</f>
        <v>服务金额</v>
      </c>
      <c r="I454" t="str">
        <f>IF($A454="","",IF($B454&lt;&gt;"",$B454,IF(COUNTIFS(原始经营数据!$D$3:$D$3001,$A454,原始经营数据!$E$3:$E$3001,"",原始经营数据!$F$3:$F$3001,$C454,原始经营数据!$H$3:$H$3001,$D454,原始经营数据!$K$3:$K$3001,$G454)&gt;1,"基金整体·来源"&amp;原始经营数据!$A455,"基金整体")))</f>
        <v>领秀城贵和购物中心</v>
      </c>
      <c r="J454" t="str">
        <f t="shared" si="108"/>
        <v>年度</v>
      </c>
      <c r="K454" t="str">
        <f t="shared" si="109"/>
        <v>收入类型-广告位收入（%）</v>
      </c>
      <c r="L454" t="str">
        <f t="shared" si="110"/>
        <v>领秀城贵和购物中心|收入类型-广告位收入（%）|年度</v>
      </c>
      <c r="M454">
        <f>IF($A454="",0,IF(COUNTIF($L$2:$L454,$L454)=1,1,0))</f>
        <v>1</v>
      </c>
      <c r="N454">
        <f t="shared" si="111"/>
        <v>20240</v>
      </c>
      <c r="O454" t="str">
        <f t="shared" si="112"/>
        <v>中金中国绿发消费封闭式基础设施证券投资基金|2024|年度</v>
      </c>
      <c r="P454">
        <f>IF($A454="",0,IF(COUNTIF($O$2:$O454,$O454)=1,1,0))</f>
        <v>0</v>
      </c>
      <c r="Q454" t="str">
        <f>IF(AND($P454=1,$A454=经营数据!$B$3,$J454=经营数据!$BA$5),COUNTIFS($P$2:$P$3000,1,$A$2:$A$3000,$A454,$J$2:$J$3000,$J454,$N$2:$N$3000,"&lt;"&amp;$N454)+1,"")</f>
        <v/>
      </c>
      <c r="R454" t="str">
        <f t="shared" si="113"/>
        <v>中金中国绿发消费封闭式基础设施证券投资基金|领秀城贵和购物中心</v>
      </c>
      <c r="S454">
        <f>IF($A454="",0,IF(COUNTIF($R$2:$R454,$R454)=1,1,0))</f>
        <v>0</v>
      </c>
      <c r="T454">
        <f t="shared" si="114"/>
        <v>385</v>
      </c>
      <c r="U454" t="str">
        <f>IF($A454="","",IF($A454=经营数据!$B$3,COUNTIFS($S$2:$S$3000,1,$A$2:$A$3000,$A454,$T$2:$T$3000,"&lt;"&amp;$T454)+1,""))</f>
        <v/>
      </c>
      <c r="V454" t="str">
        <f t="shared" si="115"/>
        <v>领秀城贵和购物中心|服务金额</v>
      </c>
      <c r="W454">
        <f t="shared" si="116"/>
        <v>385</v>
      </c>
      <c r="X454" t="str">
        <f t="shared" si="117"/>
        <v>领秀城贵和购物中心|收入类型</v>
      </c>
      <c r="Y454">
        <f t="shared" si="118"/>
        <v>429</v>
      </c>
      <c r="Z454">
        <f>IF($A454="",0,IF(AND($M454=1,$A454=经营数据!$B$3,$J454=经营数据!$BA$5,OR($I454=经营数据!$BA$4,COUNTIF(经营数据!$AA$9:$AA$38,$I454)&gt;0)),1,0))</f>
        <v>0</v>
      </c>
      <c r="AA454" t="str">
        <f t="shared" si="119"/>
        <v/>
      </c>
      <c r="AB454" t="str">
        <f t="shared" si="120"/>
        <v/>
      </c>
      <c r="AC454">
        <f>IF($A454="",0,IF(COUNTIF($A$2:$A454,$A454)=1,1,0))</f>
        <v>0</v>
      </c>
      <c r="AD454">
        <f t="shared" si="121"/>
        <v>5</v>
      </c>
      <c r="AE454" t="str">
        <f t="shared" si="122"/>
        <v>领秀城贵和购物中心|收入类型-广告位收入（%）</v>
      </c>
      <c r="BP454" s="47">
        <v>46042</v>
      </c>
      <c r="BQ454" s="29">
        <v>3.8031855331405323E-2</v>
      </c>
    </row>
    <row r="455" spans="1:69" x14ac:dyDescent="0.4">
      <c r="A455" t="str">
        <f>IF(原始经营数据!$D456="","",原始经营数据!$D456)</f>
        <v>中金中国绿发消费封闭式基础设施证券投资基金</v>
      </c>
      <c r="B455" t="str">
        <f>IF(原始经营数据!$D456="","",T(原始经营数据!$E456))</f>
        <v>领秀城贵和购物中心</v>
      </c>
      <c r="C455" t="str">
        <f>IF(原始经营数据!$D456="","",原始经营数据!$F456)</f>
        <v>2025Q3</v>
      </c>
      <c r="D455" t="str">
        <f>IF(原始经营数据!$D456="","",原始经营数据!$H456)</f>
        <v>期末剩余租期情况</v>
      </c>
      <c r="E455">
        <f>IF(原始经营数据!$D456="","",原始经营数据!$I456)</f>
        <v>3.24</v>
      </c>
      <c r="F455" t="str">
        <f>IF(原始经营数据!$D456="","",T(原始经营数据!$J456))</f>
        <v>年</v>
      </c>
      <c r="G455" t="str">
        <f>IF(原始经营数据!$D456="","",T(原始经营数据!$K456))</f>
        <v/>
      </c>
      <c r="H455" t="str">
        <f>IF(原始经营数据!$D456="","",原始经营数据!$G456)</f>
        <v>服务量</v>
      </c>
      <c r="I455" t="str">
        <f>IF($A455="","",IF($B455&lt;&gt;"",$B455,IF(COUNTIFS(原始经营数据!$D$3:$D$3001,$A455,原始经营数据!$E$3:$E$3001,"",原始经营数据!$F$3:$F$3001,$C455,原始经营数据!$H$3:$H$3001,$D455,原始经营数据!$K$3:$K$3001,$G455)&gt;1,"基金整体·来源"&amp;原始经营数据!$A456,"基金整体")))</f>
        <v>领秀城贵和购物中心</v>
      </c>
      <c r="J455" t="str">
        <f t="shared" si="108"/>
        <v>季度</v>
      </c>
      <c r="K455" t="str">
        <f t="shared" si="109"/>
        <v>期末剩余租期情况（年）</v>
      </c>
      <c r="L455" t="str">
        <f t="shared" si="110"/>
        <v>领秀城贵和购物中心|期末剩余租期情况（年）|季度</v>
      </c>
      <c r="M455">
        <f>IF($A455="",0,IF(COUNTIF($L$2:$L455,$L455)=1,1,0))</f>
        <v>1</v>
      </c>
      <c r="N455">
        <f t="shared" si="111"/>
        <v>20253</v>
      </c>
      <c r="O455" t="str">
        <f t="shared" si="112"/>
        <v>中金中国绿发消费封闭式基础设施证券投资基金|2025Q3|季度</v>
      </c>
      <c r="P455">
        <f>IF($A455="",0,IF(COUNTIF($O$2:$O455,$O455)=1,1,0))</f>
        <v>1</v>
      </c>
      <c r="Q455" t="str">
        <f>IF(AND($P455=1,$A455=经营数据!$B$3,$J455=经营数据!$BA$5),COUNTIFS($P$2:$P$3000,1,$A$2:$A$3000,$A455,$J$2:$J$3000,$J455,$N$2:$N$3000,"&lt;"&amp;$N455)+1,"")</f>
        <v/>
      </c>
      <c r="R455" t="str">
        <f t="shared" si="113"/>
        <v>中金中国绿发消费封闭式基础设施证券投资基金|领秀城贵和购物中心</v>
      </c>
      <c r="S455">
        <f>IF($A455="",0,IF(COUNTIF($R$2:$R455,$R455)=1,1,0))</f>
        <v>0</v>
      </c>
      <c r="T455">
        <f t="shared" si="114"/>
        <v>385</v>
      </c>
      <c r="U455" t="str">
        <f>IF($A455="","",IF($A455=经营数据!$B$3,COUNTIFS($S$2:$S$3000,1,$A$2:$A$3000,$A455,$T$2:$T$3000,"&lt;"&amp;$T455)+1,""))</f>
        <v/>
      </c>
      <c r="V455" t="str">
        <f t="shared" si="115"/>
        <v>领秀城贵和购物中心|服务量</v>
      </c>
      <c r="W455">
        <f t="shared" si="116"/>
        <v>405</v>
      </c>
      <c r="X455" t="str">
        <f t="shared" si="117"/>
        <v>领秀城贵和购物中心|期末剩余租期情况</v>
      </c>
      <c r="Y455">
        <f t="shared" si="118"/>
        <v>454</v>
      </c>
      <c r="Z455">
        <f>IF($A455="",0,IF(AND($M455=1,$A455=经营数据!$B$3,$J455=经营数据!$BA$5,OR($I455=经营数据!$BA$4,COUNTIF(经营数据!$AA$9:$AA$38,$I455)&gt;0)),1,0))</f>
        <v>0</v>
      </c>
      <c r="AA455" t="str">
        <f t="shared" si="119"/>
        <v/>
      </c>
      <c r="AB455" t="str">
        <f t="shared" si="120"/>
        <v/>
      </c>
      <c r="AC455">
        <f>IF($A455="",0,IF(COUNTIF($A$2:$A455,$A455)=1,1,0))</f>
        <v>0</v>
      </c>
      <c r="AD455">
        <f t="shared" si="121"/>
        <v>5</v>
      </c>
      <c r="AE455" t="str">
        <f t="shared" si="122"/>
        <v>领秀城贵和购物中心|期末剩余租期情况（年）</v>
      </c>
      <c r="BP455" s="47">
        <v>46043</v>
      </c>
      <c r="BQ455" s="29">
        <v>3.778931977554615E-2</v>
      </c>
    </row>
    <row r="456" spans="1:69" x14ac:dyDescent="0.4">
      <c r="A456" t="str">
        <f>IF(原始经营数据!$D457="","",原始经营数据!$D457)</f>
        <v>中金中国绿发消费封闭式基础设施证券投资基金</v>
      </c>
      <c r="B456" t="str">
        <f>IF(原始经营数据!$D457="","",T(原始经营数据!$E457))</f>
        <v>领秀城贵和购物中心</v>
      </c>
      <c r="C456" t="str">
        <f>IF(原始经营数据!$D457="","",原始经营数据!$F457)</f>
        <v>2025Q3</v>
      </c>
      <c r="D456" t="str">
        <f>IF(原始经营数据!$D457="","",原始经营数据!$H457)</f>
        <v>期末出租率</v>
      </c>
      <c r="E456">
        <f>IF(原始经营数据!$D457="","",原始经营数据!$I457)</f>
        <v>97.01</v>
      </c>
      <c r="F456" t="str">
        <f>IF(原始经营数据!$D457="","",T(原始经营数据!$J457))</f>
        <v>%</v>
      </c>
      <c r="G456" t="str">
        <f>IF(原始经营数据!$D457="","",T(原始经营数据!$K457))</f>
        <v/>
      </c>
      <c r="H456" t="str">
        <f>IF(原始经营数据!$D457="","",原始经营数据!$G457)</f>
        <v>服务效率</v>
      </c>
      <c r="I456" t="str">
        <f>IF($A456="","",IF($B456&lt;&gt;"",$B456,IF(COUNTIFS(原始经营数据!$D$3:$D$3001,$A456,原始经营数据!$E$3:$E$3001,"",原始经营数据!$F$3:$F$3001,$C456,原始经营数据!$H$3:$H$3001,$D456,原始经营数据!$K$3:$K$3001,$G456)&gt;1,"基金整体·来源"&amp;原始经营数据!$A457,"基金整体")))</f>
        <v>领秀城贵和购物中心</v>
      </c>
      <c r="J456" t="str">
        <f t="shared" si="108"/>
        <v>季度</v>
      </c>
      <c r="K456" t="str">
        <f t="shared" si="109"/>
        <v>期末出租率（%）</v>
      </c>
      <c r="L456" t="str">
        <f t="shared" si="110"/>
        <v>领秀城贵和购物中心|期末出租率（%）|季度</v>
      </c>
      <c r="M456">
        <f>IF($A456="",0,IF(COUNTIF($L$2:$L456,$L456)=1,1,0))</f>
        <v>1</v>
      </c>
      <c r="N456">
        <f t="shared" si="111"/>
        <v>20253</v>
      </c>
      <c r="O456" t="str">
        <f t="shared" si="112"/>
        <v>中金中国绿发消费封闭式基础设施证券投资基金|2025Q3|季度</v>
      </c>
      <c r="P456">
        <f>IF($A456="",0,IF(COUNTIF($O$2:$O456,$O456)=1,1,0))</f>
        <v>0</v>
      </c>
      <c r="Q456" t="str">
        <f>IF(AND($P456=1,$A456=经营数据!$B$3,$J456=经营数据!$BA$5),COUNTIFS($P$2:$P$3000,1,$A$2:$A$3000,$A456,$J$2:$J$3000,$J456,$N$2:$N$3000,"&lt;"&amp;$N456)+1,"")</f>
        <v/>
      </c>
      <c r="R456" t="str">
        <f t="shared" si="113"/>
        <v>中金中国绿发消费封闭式基础设施证券投资基金|领秀城贵和购物中心</v>
      </c>
      <c r="S456">
        <f>IF($A456="",0,IF(COUNTIF($R$2:$R456,$R456)=1,1,0))</f>
        <v>0</v>
      </c>
      <c r="T456">
        <f t="shared" si="114"/>
        <v>385</v>
      </c>
      <c r="U456" t="str">
        <f>IF($A456="","",IF($A456=经营数据!$B$3,COUNTIFS($S$2:$S$3000,1,$A$2:$A$3000,$A456,$T$2:$T$3000,"&lt;"&amp;$T456)+1,""))</f>
        <v/>
      </c>
      <c r="V456" t="str">
        <f t="shared" si="115"/>
        <v>领秀城贵和购物中心|服务效率</v>
      </c>
      <c r="W456">
        <f t="shared" si="116"/>
        <v>397</v>
      </c>
      <c r="X456" t="str">
        <f t="shared" si="117"/>
        <v>领秀城贵和购物中心|期末出租率</v>
      </c>
      <c r="Y456">
        <f t="shared" si="118"/>
        <v>455</v>
      </c>
      <c r="Z456">
        <f>IF($A456="",0,IF(AND($M456=1,$A456=经营数据!$B$3,$J456=经营数据!$BA$5,OR($I456=经营数据!$BA$4,COUNTIF(经营数据!$AA$9:$AA$38,$I456)&gt;0)),1,0))</f>
        <v>0</v>
      </c>
      <c r="AA456" t="str">
        <f t="shared" si="119"/>
        <v/>
      </c>
      <c r="AB456" t="str">
        <f t="shared" si="120"/>
        <v/>
      </c>
      <c r="AC456">
        <f>IF($A456="",0,IF(COUNTIF($A$2:$A456,$A456)=1,1,0))</f>
        <v>0</v>
      </c>
      <c r="AD456">
        <f t="shared" si="121"/>
        <v>5</v>
      </c>
      <c r="AE456" t="str">
        <f t="shared" si="122"/>
        <v>领秀城贵和购物中心|期末出租率（%）</v>
      </c>
      <c r="BP456" s="47">
        <v>46044</v>
      </c>
      <c r="BQ456" s="29">
        <v>3.7966290099344137E-2</v>
      </c>
    </row>
    <row r="457" spans="1:69" x14ac:dyDescent="0.4">
      <c r="A457" t="str">
        <f>IF(原始经营数据!$D458="","",原始经营数据!$D458)</f>
        <v>中金中国绿发消费封闭式基础设施证券投资基金</v>
      </c>
      <c r="B457" t="str">
        <f>IF(原始经营数据!$D458="","",T(原始经营数据!$E458))</f>
        <v>领秀城贵和购物中心</v>
      </c>
      <c r="C457" t="str">
        <f>IF(原始经营数据!$D458="","",原始经营数据!$F458)</f>
        <v>2025Q3</v>
      </c>
      <c r="D457" t="str">
        <f>IF(原始经营数据!$D458="","",原始经营数据!$H458)</f>
        <v>期末可供出租面积</v>
      </c>
      <c r="E457">
        <f>IF(原始经营数据!$D458="","",原始经营数据!$I458)</f>
        <v>84211.85</v>
      </c>
      <c r="F457" t="str">
        <f>IF(原始经营数据!$D458="","",T(原始经营数据!$J458))</f>
        <v>平方米</v>
      </c>
      <c r="G457" t="str">
        <f>IF(原始经营数据!$D458="","",T(原始经营数据!$K458))</f>
        <v/>
      </c>
      <c r="H457" t="str">
        <f>IF(原始经营数据!$D458="","",原始经营数据!$G458)</f>
        <v>服务量</v>
      </c>
      <c r="I457" t="str">
        <f>IF($A457="","",IF($B457&lt;&gt;"",$B457,IF(COUNTIFS(原始经营数据!$D$3:$D$3001,$A457,原始经营数据!$E$3:$E$3001,"",原始经营数据!$F$3:$F$3001,$C457,原始经营数据!$H$3:$H$3001,$D457,原始经营数据!$K$3:$K$3001,$G457)&gt;1,"基金整体·来源"&amp;原始经营数据!$A458,"基金整体")))</f>
        <v>领秀城贵和购物中心</v>
      </c>
      <c r="J457" t="str">
        <f t="shared" si="108"/>
        <v>季度</v>
      </c>
      <c r="K457" t="str">
        <f t="shared" si="109"/>
        <v>期末可供出租面积（平方米）</v>
      </c>
      <c r="L457" t="str">
        <f t="shared" si="110"/>
        <v>领秀城贵和购物中心|期末可供出租面积（平方米）|季度</v>
      </c>
      <c r="M457">
        <f>IF($A457="",0,IF(COUNTIF($L$2:$L457,$L457)=1,1,0))</f>
        <v>1</v>
      </c>
      <c r="N457">
        <f t="shared" si="111"/>
        <v>20253</v>
      </c>
      <c r="O457" t="str">
        <f t="shared" si="112"/>
        <v>中金中国绿发消费封闭式基础设施证券投资基金|2025Q3|季度</v>
      </c>
      <c r="P457">
        <f>IF($A457="",0,IF(COUNTIF($O$2:$O457,$O457)=1,1,0))</f>
        <v>0</v>
      </c>
      <c r="Q457" t="str">
        <f>IF(AND($P457=1,$A457=经营数据!$B$3,$J457=经营数据!$BA$5),COUNTIFS($P$2:$P$3000,1,$A$2:$A$3000,$A457,$J$2:$J$3000,$J457,$N$2:$N$3000,"&lt;"&amp;$N457)+1,"")</f>
        <v/>
      </c>
      <c r="R457" t="str">
        <f t="shared" si="113"/>
        <v>中金中国绿发消费封闭式基础设施证券投资基金|领秀城贵和购物中心</v>
      </c>
      <c r="S457">
        <f>IF($A457="",0,IF(COUNTIF($R$2:$R457,$R457)=1,1,0))</f>
        <v>0</v>
      </c>
      <c r="T457">
        <f t="shared" si="114"/>
        <v>385</v>
      </c>
      <c r="U457" t="str">
        <f>IF($A457="","",IF($A457=经营数据!$B$3,COUNTIFS($S$2:$S$3000,1,$A$2:$A$3000,$A457,$T$2:$T$3000,"&lt;"&amp;$T457)+1,""))</f>
        <v/>
      </c>
      <c r="V457" t="str">
        <f t="shared" si="115"/>
        <v>领秀城贵和购物中心|服务量</v>
      </c>
      <c r="W457">
        <f t="shared" si="116"/>
        <v>405</v>
      </c>
      <c r="X457" t="str">
        <f t="shared" si="117"/>
        <v>领秀城贵和购物中心|期末可供出租面积</v>
      </c>
      <c r="Y457">
        <f t="shared" si="118"/>
        <v>456</v>
      </c>
      <c r="Z457">
        <f>IF($A457="",0,IF(AND($M457=1,$A457=经营数据!$B$3,$J457=经营数据!$BA$5,OR($I457=经营数据!$BA$4,COUNTIF(经营数据!$AA$9:$AA$38,$I457)&gt;0)),1,0))</f>
        <v>0</v>
      </c>
      <c r="AA457" t="str">
        <f t="shared" si="119"/>
        <v/>
      </c>
      <c r="AB457" t="str">
        <f t="shared" si="120"/>
        <v/>
      </c>
      <c r="AC457">
        <f>IF($A457="",0,IF(COUNTIF($A$2:$A457,$A457)=1,1,0))</f>
        <v>0</v>
      </c>
      <c r="AD457">
        <f t="shared" si="121"/>
        <v>5</v>
      </c>
      <c r="AE457" t="str">
        <f t="shared" si="122"/>
        <v>领秀城贵和购物中心|期末可供出租面积（平方米）</v>
      </c>
      <c r="BP457" s="47">
        <v>46045</v>
      </c>
      <c r="BQ457" s="29">
        <v>3.7754479506689899E-2</v>
      </c>
    </row>
    <row r="458" spans="1:69" x14ac:dyDescent="0.4">
      <c r="A458" t="str">
        <f>IF(原始经营数据!$D459="","",原始经营数据!$D459)</f>
        <v>中金中国绿发消费封闭式基础设施证券投资基金</v>
      </c>
      <c r="B458" t="str">
        <f>IF(原始经营数据!$D459="","",T(原始经营数据!$E459))</f>
        <v>领秀城贵和购物中心</v>
      </c>
      <c r="C458" t="str">
        <f>IF(原始经营数据!$D459="","",原始经营数据!$F459)</f>
        <v>2025Q3</v>
      </c>
      <c r="D458" t="str">
        <f>IF(原始经营数据!$D459="","",原始经营数据!$H459)</f>
        <v>期末实际出租面积</v>
      </c>
      <c r="E458">
        <f>IF(原始经营数据!$D459="","",原始经营数据!$I459)</f>
        <v>81692.350000000006</v>
      </c>
      <c r="F458" t="str">
        <f>IF(原始经营数据!$D459="","",T(原始经营数据!$J459))</f>
        <v>平方米</v>
      </c>
      <c r="G458" t="str">
        <f>IF(原始经营数据!$D459="","",T(原始经营数据!$K459))</f>
        <v/>
      </c>
      <c r="H458" t="str">
        <f>IF(原始经营数据!$D459="","",原始经营数据!$G459)</f>
        <v>服务量</v>
      </c>
      <c r="I458" t="str">
        <f>IF($A458="","",IF($B458&lt;&gt;"",$B458,IF(COUNTIFS(原始经营数据!$D$3:$D$3001,$A458,原始经营数据!$E$3:$E$3001,"",原始经营数据!$F$3:$F$3001,$C458,原始经营数据!$H$3:$H$3001,$D458,原始经营数据!$K$3:$K$3001,$G458)&gt;1,"基金整体·来源"&amp;原始经营数据!$A459,"基金整体")))</f>
        <v>领秀城贵和购物中心</v>
      </c>
      <c r="J458" t="str">
        <f t="shared" si="108"/>
        <v>季度</v>
      </c>
      <c r="K458" t="str">
        <f t="shared" si="109"/>
        <v>期末实际出租面积（平方米）</v>
      </c>
      <c r="L458" t="str">
        <f t="shared" si="110"/>
        <v>领秀城贵和购物中心|期末实际出租面积（平方米）|季度</v>
      </c>
      <c r="M458">
        <f>IF($A458="",0,IF(COUNTIF($L$2:$L458,$L458)=1,1,0))</f>
        <v>1</v>
      </c>
      <c r="N458">
        <f t="shared" si="111"/>
        <v>20253</v>
      </c>
      <c r="O458" t="str">
        <f t="shared" si="112"/>
        <v>中金中国绿发消费封闭式基础设施证券投资基金|2025Q3|季度</v>
      </c>
      <c r="P458">
        <f>IF($A458="",0,IF(COUNTIF($O$2:$O458,$O458)=1,1,0))</f>
        <v>0</v>
      </c>
      <c r="Q458" t="str">
        <f>IF(AND($P458=1,$A458=经营数据!$B$3,$J458=经营数据!$BA$5),COUNTIFS($P$2:$P$3000,1,$A$2:$A$3000,$A458,$J$2:$J$3000,$J458,$N$2:$N$3000,"&lt;"&amp;$N458)+1,"")</f>
        <v/>
      </c>
      <c r="R458" t="str">
        <f t="shared" si="113"/>
        <v>中金中国绿发消费封闭式基础设施证券投资基金|领秀城贵和购物中心</v>
      </c>
      <c r="S458">
        <f>IF($A458="",0,IF(COUNTIF($R$2:$R458,$R458)=1,1,0))</f>
        <v>0</v>
      </c>
      <c r="T458">
        <f t="shared" si="114"/>
        <v>385</v>
      </c>
      <c r="U458" t="str">
        <f>IF($A458="","",IF($A458=经营数据!$B$3,COUNTIFS($S$2:$S$3000,1,$A$2:$A$3000,$A458,$T$2:$T$3000,"&lt;"&amp;$T458)+1,""))</f>
        <v/>
      </c>
      <c r="V458" t="str">
        <f t="shared" si="115"/>
        <v>领秀城贵和购物中心|服务量</v>
      </c>
      <c r="W458">
        <f t="shared" si="116"/>
        <v>405</v>
      </c>
      <c r="X458" t="str">
        <f t="shared" si="117"/>
        <v>领秀城贵和购物中心|期末实际出租面积</v>
      </c>
      <c r="Y458">
        <f t="shared" si="118"/>
        <v>457</v>
      </c>
      <c r="Z458">
        <f>IF($A458="",0,IF(AND($M458=1,$A458=经营数据!$B$3,$J458=经营数据!$BA$5,OR($I458=经营数据!$BA$4,COUNTIF(经营数据!$AA$9:$AA$38,$I458)&gt;0)),1,0))</f>
        <v>0</v>
      </c>
      <c r="AA458" t="str">
        <f t="shared" si="119"/>
        <v/>
      </c>
      <c r="AB458" t="str">
        <f t="shared" si="120"/>
        <v/>
      </c>
      <c r="AC458">
        <f>IF($A458="",0,IF(COUNTIF($A$2:$A458,$A458)=1,1,0))</f>
        <v>0</v>
      </c>
      <c r="AD458">
        <f t="shared" si="121"/>
        <v>5</v>
      </c>
      <c r="AE458" t="str">
        <f t="shared" si="122"/>
        <v>领秀城贵和购物中心|期末实际出租面积（平方米）</v>
      </c>
      <c r="BP458" s="47">
        <v>46048</v>
      </c>
      <c r="BQ458" s="29">
        <v>3.778053510764471E-2</v>
      </c>
    </row>
    <row r="459" spans="1:69" x14ac:dyDescent="0.4">
      <c r="A459" t="str">
        <f>IF(原始经营数据!$D460="","",原始经营数据!$D460)</f>
        <v>中金中国绿发消费封闭式基础设施证券投资基金</v>
      </c>
      <c r="B459" t="str">
        <f>IF(原始经营数据!$D460="","",T(原始经营数据!$E460))</f>
        <v>领秀城贵和购物中心</v>
      </c>
      <c r="C459" t="str">
        <f>IF(原始经营数据!$D460="","",原始经营数据!$F460)</f>
        <v>2025Q3</v>
      </c>
      <c r="D459" t="str">
        <f>IF(原始经营数据!$D460="","",原始经营数据!$H460)</f>
        <v>期末租金收缴率</v>
      </c>
      <c r="E459">
        <f>IF(原始经营数据!$D460="","",原始经营数据!$I460)</f>
        <v>99.85</v>
      </c>
      <c r="F459" t="str">
        <f>IF(原始经营数据!$D460="","",T(原始经营数据!$J460))</f>
        <v>%</v>
      </c>
      <c r="G459" t="str">
        <f>IF(原始经营数据!$D460="","",T(原始经营数据!$K460))</f>
        <v/>
      </c>
      <c r="H459" t="str">
        <f>IF(原始经营数据!$D460="","",原始经营数据!$G460)</f>
        <v>服务效率</v>
      </c>
      <c r="I459" t="str">
        <f>IF($A459="","",IF($B459&lt;&gt;"",$B459,IF(COUNTIFS(原始经营数据!$D$3:$D$3001,$A459,原始经营数据!$E$3:$E$3001,"",原始经营数据!$F$3:$F$3001,$C459,原始经营数据!$H$3:$H$3001,$D459,原始经营数据!$K$3:$K$3001,$G459)&gt;1,"基金整体·来源"&amp;原始经营数据!$A460,"基金整体")))</f>
        <v>领秀城贵和购物中心</v>
      </c>
      <c r="J459" t="str">
        <f t="shared" si="108"/>
        <v>季度</v>
      </c>
      <c r="K459" t="str">
        <f t="shared" si="109"/>
        <v>期末租金收缴率（%）</v>
      </c>
      <c r="L459" t="str">
        <f t="shared" si="110"/>
        <v>领秀城贵和购物中心|期末租金收缴率（%）|季度</v>
      </c>
      <c r="M459">
        <f>IF($A459="",0,IF(COUNTIF($L$2:$L459,$L459)=1,1,0))</f>
        <v>1</v>
      </c>
      <c r="N459">
        <f t="shared" si="111"/>
        <v>20253</v>
      </c>
      <c r="O459" t="str">
        <f t="shared" si="112"/>
        <v>中金中国绿发消费封闭式基础设施证券投资基金|2025Q3|季度</v>
      </c>
      <c r="P459">
        <f>IF($A459="",0,IF(COUNTIF($O$2:$O459,$O459)=1,1,0))</f>
        <v>0</v>
      </c>
      <c r="Q459" t="str">
        <f>IF(AND($P459=1,$A459=经营数据!$B$3,$J459=经营数据!$BA$5),COUNTIFS($P$2:$P$3000,1,$A$2:$A$3000,$A459,$J$2:$J$3000,$J459,$N$2:$N$3000,"&lt;"&amp;$N459)+1,"")</f>
        <v/>
      </c>
      <c r="R459" t="str">
        <f t="shared" si="113"/>
        <v>中金中国绿发消费封闭式基础设施证券投资基金|领秀城贵和购物中心</v>
      </c>
      <c r="S459">
        <f>IF($A459="",0,IF(COUNTIF($R$2:$R459,$R459)=1,1,0))</f>
        <v>0</v>
      </c>
      <c r="T459">
        <f t="shared" si="114"/>
        <v>385</v>
      </c>
      <c r="U459" t="str">
        <f>IF($A459="","",IF($A459=经营数据!$B$3,COUNTIFS($S$2:$S$3000,1,$A$2:$A$3000,$A459,$T$2:$T$3000,"&lt;"&amp;$T459)+1,""))</f>
        <v/>
      </c>
      <c r="V459" t="str">
        <f t="shared" si="115"/>
        <v>领秀城贵和购物中心|服务效率</v>
      </c>
      <c r="W459">
        <f t="shared" si="116"/>
        <v>397</v>
      </c>
      <c r="X459" t="str">
        <f t="shared" si="117"/>
        <v>领秀城贵和购物中心|期末租金收缴率</v>
      </c>
      <c r="Y459">
        <f t="shared" si="118"/>
        <v>458</v>
      </c>
      <c r="Z459">
        <f>IF($A459="",0,IF(AND($M459=1,$A459=经营数据!$B$3,$J459=经营数据!$BA$5,OR($I459=经营数据!$BA$4,COUNTIF(经营数据!$AA$9:$AA$38,$I459)&gt;0)),1,0))</f>
        <v>0</v>
      </c>
      <c r="AA459" t="str">
        <f t="shared" si="119"/>
        <v/>
      </c>
      <c r="AB459" t="str">
        <f t="shared" si="120"/>
        <v/>
      </c>
      <c r="AC459">
        <f>IF($A459="",0,IF(COUNTIF($A$2:$A459,$A459)=1,1,0))</f>
        <v>0</v>
      </c>
      <c r="AD459">
        <f t="shared" si="121"/>
        <v>5</v>
      </c>
      <c r="AE459" t="str">
        <f t="shared" si="122"/>
        <v>领秀城贵和购物中心|期末租金收缴率（%）</v>
      </c>
      <c r="BP459" s="47">
        <v>46049</v>
      </c>
      <c r="BQ459" s="29">
        <v>3.7721056799540027E-2</v>
      </c>
    </row>
    <row r="460" spans="1:69" x14ac:dyDescent="0.4">
      <c r="A460" t="str">
        <f>IF(原始经营数据!$D461="","",原始经营数据!$D461)</f>
        <v>中金中国绿发消费封闭式基础设施证券投资基金</v>
      </c>
      <c r="B460" t="str">
        <f>IF(原始经营数据!$D461="","",T(原始经营数据!$E461))</f>
        <v>领秀城贵和购物中心</v>
      </c>
      <c r="C460" t="str">
        <f>IF(原始经营数据!$D461="","",原始经营数据!$F461)</f>
        <v>2025Q3</v>
      </c>
      <c r="D460" t="str">
        <f>IF(原始经营数据!$D461="","",原始经营数据!$H461)</f>
        <v>期内平均租金单价</v>
      </c>
      <c r="E460">
        <f>IF(原始经营数据!$D461="","",原始经营数据!$I461)</f>
        <v>3.96</v>
      </c>
      <c r="F460" t="str">
        <f>IF(原始经营数据!$D461="","",T(原始经营数据!$J461))</f>
        <v>元/平方米/天</v>
      </c>
      <c r="G460" t="str">
        <f>IF(原始经营数据!$D461="","",T(原始经营数据!$K461))</f>
        <v/>
      </c>
      <c r="H460" t="str">
        <f>IF(原始经营数据!$D461="","",原始经营数据!$G461)</f>
        <v>服务价格</v>
      </c>
      <c r="I460" t="str">
        <f>IF($A460="","",IF($B460&lt;&gt;"",$B460,IF(COUNTIFS(原始经营数据!$D$3:$D$3001,$A460,原始经营数据!$E$3:$E$3001,"",原始经营数据!$F$3:$F$3001,$C460,原始经营数据!$H$3:$H$3001,$D460,原始经营数据!$K$3:$K$3001,$G460)&gt;1,"基金整体·来源"&amp;原始经营数据!$A461,"基金整体")))</f>
        <v>领秀城贵和购物中心</v>
      </c>
      <c r="J460" t="str">
        <f t="shared" si="108"/>
        <v>季度</v>
      </c>
      <c r="K460" t="str">
        <f t="shared" si="109"/>
        <v>期内平均租金单价（元/平方米/天）</v>
      </c>
      <c r="L460" t="str">
        <f t="shared" si="110"/>
        <v>领秀城贵和购物中心|期内平均租金单价（元/平方米/天）|季度</v>
      </c>
      <c r="M460">
        <f>IF($A460="",0,IF(COUNTIF($L$2:$L460,$L460)=1,1,0))</f>
        <v>1</v>
      </c>
      <c r="N460">
        <f t="shared" si="111"/>
        <v>20253</v>
      </c>
      <c r="O460" t="str">
        <f t="shared" si="112"/>
        <v>中金中国绿发消费封闭式基础设施证券投资基金|2025Q3|季度</v>
      </c>
      <c r="P460">
        <f>IF($A460="",0,IF(COUNTIF($O$2:$O460,$O460)=1,1,0))</f>
        <v>0</v>
      </c>
      <c r="Q460" t="str">
        <f>IF(AND($P460=1,$A460=经营数据!$B$3,$J460=经营数据!$BA$5),COUNTIFS($P$2:$P$3000,1,$A$2:$A$3000,$A460,$J$2:$J$3000,$J460,$N$2:$N$3000,"&lt;"&amp;$N460)+1,"")</f>
        <v/>
      </c>
      <c r="R460" t="str">
        <f t="shared" si="113"/>
        <v>中金中国绿发消费封闭式基础设施证券投资基金|领秀城贵和购物中心</v>
      </c>
      <c r="S460">
        <f>IF($A460="",0,IF(COUNTIF($R$2:$R460,$R460)=1,1,0))</f>
        <v>0</v>
      </c>
      <c r="T460">
        <f t="shared" si="114"/>
        <v>385</v>
      </c>
      <c r="U460" t="str">
        <f>IF($A460="","",IF($A460=经营数据!$B$3,COUNTIFS($S$2:$S$3000,1,$A$2:$A$3000,$A460,$T$2:$T$3000,"&lt;"&amp;$T460)+1,""))</f>
        <v/>
      </c>
      <c r="V460" t="str">
        <f t="shared" si="115"/>
        <v>领秀城贵和购物中心|服务价格</v>
      </c>
      <c r="W460">
        <f t="shared" si="116"/>
        <v>395</v>
      </c>
      <c r="X460" t="str">
        <f t="shared" si="117"/>
        <v>领秀城贵和购物中心|期内平均租金单价</v>
      </c>
      <c r="Y460">
        <f t="shared" si="118"/>
        <v>459</v>
      </c>
      <c r="Z460">
        <f>IF($A460="",0,IF(AND($M460=1,$A460=经营数据!$B$3,$J460=经营数据!$BA$5,OR($I460=经营数据!$BA$4,COUNTIF(经营数据!$AA$9:$AA$38,$I460)&gt;0)),1,0))</f>
        <v>0</v>
      </c>
      <c r="AA460" t="str">
        <f t="shared" si="119"/>
        <v/>
      </c>
      <c r="AB460" t="str">
        <f t="shared" si="120"/>
        <v/>
      </c>
      <c r="AC460">
        <f>IF($A460="",0,IF(COUNTIF($A$2:$A460,$A460)=1,1,0))</f>
        <v>0</v>
      </c>
      <c r="AD460">
        <f t="shared" si="121"/>
        <v>5</v>
      </c>
      <c r="AE460" t="str">
        <f t="shared" si="122"/>
        <v>领秀城贵和购物中心|期内平均租金单价（元/平方米/天）</v>
      </c>
      <c r="BP460" s="47">
        <v>46050</v>
      </c>
      <c r="BQ460" s="29">
        <v>3.7649672346612983E-2</v>
      </c>
    </row>
    <row r="461" spans="1:69" x14ac:dyDescent="0.4">
      <c r="A461" t="str">
        <f>IF(原始经营数据!$D462="","",原始经营数据!$D462)</f>
        <v>中金中国绿发消费封闭式基础设施证券投资基金</v>
      </c>
      <c r="B461" t="str">
        <f>IF(原始经营数据!$D462="","",T(原始经营数据!$E462))</f>
        <v>领秀城贵和购物中心</v>
      </c>
      <c r="C461" t="str">
        <f>IF(原始经营数据!$D462="","",原始经营数据!$F462)</f>
        <v>2025Q3</v>
      </c>
      <c r="D461" t="str">
        <f>IF(原始经营数据!$D462="","",原始经营数据!$H462)</f>
        <v>期内租金单价水平</v>
      </c>
      <c r="E461">
        <f>IF(原始经营数据!$D462="","",原始经营数据!$I462)</f>
        <v>3.96</v>
      </c>
      <c r="F461" t="str">
        <f>IF(原始经营数据!$D462="","",T(原始经营数据!$J462))</f>
        <v>元/平方米/天</v>
      </c>
      <c r="G461" t="str">
        <f>IF(原始经营数据!$D462="","",T(原始经营数据!$K462))</f>
        <v/>
      </c>
      <c r="H461" t="str">
        <f>IF(原始经营数据!$D462="","",原始经营数据!$G462)</f>
        <v>服务价格</v>
      </c>
      <c r="I461" t="str">
        <f>IF($A461="","",IF($B461&lt;&gt;"",$B461,IF(COUNTIFS(原始经营数据!$D$3:$D$3001,$A461,原始经营数据!$E$3:$E$3001,"",原始经营数据!$F$3:$F$3001,$C461,原始经营数据!$H$3:$H$3001,$D461,原始经营数据!$K$3:$K$3001,$G461)&gt;1,"基金整体·来源"&amp;原始经营数据!$A462,"基金整体")))</f>
        <v>领秀城贵和购物中心</v>
      </c>
      <c r="J461" t="str">
        <f t="shared" si="108"/>
        <v>季度</v>
      </c>
      <c r="K461" t="str">
        <f t="shared" si="109"/>
        <v>期内租金单价水平（元/平方米/天）</v>
      </c>
      <c r="L461" t="str">
        <f t="shared" si="110"/>
        <v>领秀城贵和购物中心|期内租金单价水平（元/平方米/天）|季度</v>
      </c>
      <c r="M461">
        <f>IF($A461="",0,IF(COUNTIF($L$2:$L461,$L461)=1,1,0))</f>
        <v>1</v>
      </c>
      <c r="N461">
        <f t="shared" si="111"/>
        <v>20253</v>
      </c>
      <c r="O461" t="str">
        <f t="shared" si="112"/>
        <v>中金中国绿发消费封闭式基础设施证券投资基金|2025Q3|季度</v>
      </c>
      <c r="P461">
        <f>IF($A461="",0,IF(COUNTIF($O$2:$O461,$O461)=1,1,0))</f>
        <v>0</v>
      </c>
      <c r="Q461" t="str">
        <f>IF(AND($P461=1,$A461=经营数据!$B$3,$J461=经营数据!$BA$5),COUNTIFS($P$2:$P$3000,1,$A$2:$A$3000,$A461,$J$2:$J$3000,$J461,$N$2:$N$3000,"&lt;"&amp;$N461)+1,"")</f>
        <v/>
      </c>
      <c r="R461" t="str">
        <f t="shared" si="113"/>
        <v>中金中国绿发消费封闭式基础设施证券投资基金|领秀城贵和购物中心</v>
      </c>
      <c r="S461">
        <f>IF($A461="",0,IF(COUNTIF($R$2:$R461,$R461)=1,1,0))</f>
        <v>0</v>
      </c>
      <c r="T461">
        <f t="shared" si="114"/>
        <v>385</v>
      </c>
      <c r="U461" t="str">
        <f>IF($A461="","",IF($A461=经营数据!$B$3,COUNTIFS($S$2:$S$3000,1,$A$2:$A$3000,$A461,$T$2:$T$3000,"&lt;"&amp;$T461)+1,""))</f>
        <v/>
      </c>
      <c r="V461" t="str">
        <f t="shared" si="115"/>
        <v>领秀城贵和购物中心|服务价格</v>
      </c>
      <c r="W461">
        <f t="shared" si="116"/>
        <v>395</v>
      </c>
      <c r="X461" t="str">
        <f t="shared" si="117"/>
        <v>领秀城贵和购物中心|期内租金单价水平</v>
      </c>
      <c r="Y461">
        <f t="shared" si="118"/>
        <v>460</v>
      </c>
      <c r="Z461">
        <f>IF($A461="",0,IF(AND($M461=1,$A461=经营数据!$B$3,$J461=经营数据!$BA$5,OR($I461=经营数据!$BA$4,COUNTIF(经营数据!$AA$9:$AA$38,$I461)&gt;0)),1,0))</f>
        <v>0</v>
      </c>
      <c r="AA461" t="str">
        <f t="shared" si="119"/>
        <v/>
      </c>
      <c r="AB461" t="str">
        <f t="shared" si="120"/>
        <v/>
      </c>
      <c r="AC461">
        <f>IF($A461="",0,IF(COUNTIF($A$2:$A461,$A461)=1,1,0))</f>
        <v>0</v>
      </c>
      <c r="AD461">
        <f t="shared" si="121"/>
        <v>5</v>
      </c>
      <c r="AE461" t="str">
        <f t="shared" si="122"/>
        <v>领秀城贵和购物中心|期内租金单价水平（元/平方米/天）</v>
      </c>
      <c r="BP461" s="47">
        <v>46051</v>
      </c>
      <c r="BQ461" s="29">
        <v>3.7371799597859773E-2</v>
      </c>
    </row>
    <row r="462" spans="1:69" x14ac:dyDescent="0.4">
      <c r="A462" t="str">
        <f>IF(原始经营数据!$D463="","",原始经营数据!$D463)</f>
        <v>中金中国绿发消费封闭式基础设施证券投资基金</v>
      </c>
      <c r="B462" t="str">
        <f>IF(原始经营数据!$D463="","",T(原始经营数据!$E463))</f>
        <v>领秀城贵和购物中心</v>
      </c>
      <c r="C462" t="str">
        <f>IF(原始经营数据!$D463="","",原始经营数据!$F463)</f>
        <v>2025Q4</v>
      </c>
      <c r="D462" t="str">
        <f>IF(原始经营数据!$D463="","",原始经营数据!$H463)</f>
        <v>期末出租率</v>
      </c>
      <c r="E462">
        <f>IF(原始经营数据!$D463="","",原始经营数据!$I463)</f>
        <v>96.8</v>
      </c>
      <c r="F462" t="str">
        <f>IF(原始经营数据!$D463="","",T(原始经营数据!$J463))</f>
        <v>%</v>
      </c>
      <c r="G462" t="str">
        <f>IF(原始经营数据!$D463="","",T(原始经营数据!$K463))</f>
        <v/>
      </c>
      <c r="H462" t="str">
        <f>IF(原始经营数据!$D463="","",原始经营数据!$G463)</f>
        <v>服务效率</v>
      </c>
      <c r="I462" t="str">
        <f>IF($A462="","",IF($B462&lt;&gt;"",$B462,IF(COUNTIFS(原始经营数据!$D$3:$D$3001,$A462,原始经营数据!$E$3:$E$3001,"",原始经营数据!$F$3:$F$3001,$C462,原始经营数据!$H$3:$H$3001,$D462,原始经营数据!$K$3:$K$3001,$G462)&gt;1,"基金整体·来源"&amp;原始经营数据!$A463,"基金整体")))</f>
        <v>领秀城贵和购物中心</v>
      </c>
      <c r="J462" t="str">
        <f t="shared" si="108"/>
        <v>季度</v>
      </c>
      <c r="K462" t="str">
        <f t="shared" si="109"/>
        <v>期末出租率（%）</v>
      </c>
      <c r="L462" t="str">
        <f t="shared" si="110"/>
        <v>领秀城贵和购物中心|期末出租率（%）|季度</v>
      </c>
      <c r="M462">
        <f>IF($A462="",0,IF(COUNTIF($L$2:$L462,$L462)=1,1,0))</f>
        <v>0</v>
      </c>
      <c r="N462">
        <f t="shared" si="111"/>
        <v>20254</v>
      </c>
      <c r="O462" t="str">
        <f t="shared" si="112"/>
        <v>中金中国绿发消费封闭式基础设施证券投资基金|2025Q4|季度</v>
      </c>
      <c r="P462">
        <f>IF($A462="",0,IF(COUNTIF($O$2:$O462,$O462)=1,1,0))</f>
        <v>1</v>
      </c>
      <c r="Q462" t="str">
        <f>IF(AND($P462=1,$A462=经营数据!$B$3,$J462=经营数据!$BA$5),COUNTIFS($P$2:$P$3000,1,$A$2:$A$3000,$A462,$J$2:$J$3000,$J462,$N$2:$N$3000,"&lt;"&amp;$N462)+1,"")</f>
        <v/>
      </c>
      <c r="R462" t="str">
        <f t="shared" si="113"/>
        <v>中金中国绿发消费封闭式基础设施证券投资基金|领秀城贵和购物中心</v>
      </c>
      <c r="S462">
        <f>IF($A462="",0,IF(COUNTIF($R$2:$R462,$R462)=1,1,0))</f>
        <v>0</v>
      </c>
      <c r="T462">
        <f t="shared" si="114"/>
        <v>385</v>
      </c>
      <c r="U462" t="str">
        <f>IF($A462="","",IF($A462=经营数据!$B$3,COUNTIFS($S$2:$S$3000,1,$A$2:$A$3000,$A462,$T$2:$T$3000,"&lt;"&amp;$T462)+1,""))</f>
        <v/>
      </c>
      <c r="V462" t="str">
        <f t="shared" si="115"/>
        <v>领秀城贵和购物中心|服务效率</v>
      </c>
      <c r="W462">
        <f t="shared" si="116"/>
        <v>397</v>
      </c>
      <c r="X462" t="str">
        <f t="shared" si="117"/>
        <v>领秀城贵和购物中心|期末出租率</v>
      </c>
      <c r="Y462">
        <f t="shared" si="118"/>
        <v>455</v>
      </c>
      <c r="Z462">
        <f>IF($A462="",0,IF(AND($M462=1,$A462=经营数据!$B$3,$J462=经营数据!$BA$5,OR($I462=经营数据!$BA$4,COUNTIF(经营数据!$AA$9:$AA$38,$I462)&gt;0)),1,0))</f>
        <v>0</v>
      </c>
      <c r="AA462" t="str">
        <f t="shared" si="119"/>
        <v/>
      </c>
      <c r="AB462" t="str">
        <f t="shared" si="120"/>
        <v/>
      </c>
      <c r="AC462">
        <f>IF($A462="",0,IF(COUNTIF($A$2:$A462,$A462)=1,1,0))</f>
        <v>0</v>
      </c>
      <c r="AD462">
        <f t="shared" si="121"/>
        <v>5</v>
      </c>
      <c r="AE462" t="str">
        <f t="shared" si="122"/>
        <v>领秀城贵和购物中心|期末出租率（%）</v>
      </c>
      <c r="BP462" s="47">
        <v>46052</v>
      </c>
      <c r="BQ462" s="29">
        <v>3.7615236670686197E-2</v>
      </c>
    </row>
    <row r="463" spans="1:69" x14ac:dyDescent="0.4">
      <c r="A463" t="str">
        <f>IF(原始经营数据!$D464="","",原始经营数据!$D464)</f>
        <v>中金中国绿发消费封闭式基础设施证券投资基金</v>
      </c>
      <c r="B463" t="str">
        <f>IF(原始经营数据!$D464="","",T(原始经营数据!$E464))</f>
        <v>领秀城贵和购物中心</v>
      </c>
      <c r="C463" t="str">
        <f>IF(原始经营数据!$D464="","",原始经营数据!$F464)</f>
        <v>2025Q4</v>
      </c>
      <c r="D463" t="str">
        <f>IF(原始经营数据!$D464="","",原始经营数据!$H464)</f>
        <v>期末剩余租期情况</v>
      </c>
      <c r="E463">
        <f>IF(原始经营数据!$D464="","",原始经营数据!$I464)</f>
        <v>3.32</v>
      </c>
      <c r="F463" t="str">
        <f>IF(原始经营数据!$D464="","",T(原始经营数据!$J464))</f>
        <v>年</v>
      </c>
      <c r="G463" t="str">
        <f>IF(原始经营数据!$D464="","",T(原始经营数据!$K464))</f>
        <v/>
      </c>
      <c r="H463" t="str">
        <f>IF(原始经营数据!$D464="","",原始经营数据!$G464)</f>
        <v>服务量</v>
      </c>
      <c r="I463" t="str">
        <f>IF($A463="","",IF($B463&lt;&gt;"",$B463,IF(COUNTIFS(原始经营数据!$D$3:$D$3001,$A463,原始经营数据!$E$3:$E$3001,"",原始经营数据!$F$3:$F$3001,$C463,原始经营数据!$H$3:$H$3001,$D463,原始经营数据!$K$3:$K$3001,$G463)&gt;1,"基金整体·来源"&amp;原始经营数据!$A464,"基金整体")))</f>
        <v>领秀城贵和购物中心</v>
      </c>
      <c r="J463" t="str">
        <f t="shared" si="108"/>
        <v>季度</v>
      </c>
      <c r="K463" t="str">
        <f t="shared" si="109"/>
        <v>期末剩余租期情况（年）</v>
      </c>
      <c r="L463" t="str">
        <f t="shared" si="110"/>
        <v>领秀城贵和购物中心|期末剩余租期情况（年）|季度</v>
      </c>
      <c r="M463">
        <f>IF($A463="",0,IF(COUNTIF($L$2:$L463,$L463)=1,1,0))</f>
        <v>0</v>
      </c>
      <c r="N463">
        <f t="shared" si="111"/>
        <v>20254</v>
      </c>
      <c r="O463" t="str">
        <f t="shared" si="112"/>
        <v>中金中国绿发消费封闭式基础设施证券投资基金|2025Q4|季度</v>
      </c>
      <c r="P463">
        <f>IF($A463="",0,IF(COUNTIF($O$2:$O463,$O463)=1,1,0))</f>
        <v>0</v>
      </c>
      <c r="Q463" t="str">
        <f>IF(AND($P463=1,$A463=经营数据!$B$3,$J463=经营数据!$BA$5),COUNTIFS($P$2:$P$3000,1,$A$2:$A$3000,$A463,$J$2:$J$3000,$J463,$N$2:$N$3000,"&lt;"&amp;$N463)+1,"")</f>
        <v/>
      </c>
      <c r="R463" t="str">
        <f t="shared" si="113"/>
        <v>中金中国绿发消费封闭式基础设施证券投资基金|领秀城贵和购物中心</v>
      </c>
      <c r="S463">
        <f>IF($A463="",0,IF(COUNTIF($R$2:$R463,$R463)=1,1,0))</f>
        <v>0</v>
      </c>
      <c r="T463">
        <f t="shared" si="114"/>
        <v>385</v>
      </c>
      <c r="U463" t="str">
        <f>IF($A463="","",IF($A463=经营数据!$B$3,COUNTIFS($S$2:$S$3000,1,$A$2:$A$3000,$A463,$T$2:$T$3000,"&lt;"&amp;$T463)+1,""))</f>
        <v/>
      </c>
      <c r="V463" t="str">
        <f t="shared" si="115"/>
        <v>领秀城贵和购物中心|服务量</v>
      </c>
      <c r="W463">
        <f t="shared" si="116"/>
        <v>405</v>
      </c>
      <c r="X463" t="str">
        <f t="shared" si="117"/>
        <v>领秀城贵和购物中心|期末剩余租期情况</v>
      </c>
      <c r="Y463">
        <f t="shared" si="118"/>
        <v>454</v>
      </c>
      <c r="Z463">
        <f>IF($A463="",0,IF(AND($M463=1,$A463=经营数据!$B$3,$J463=经营数据!$BA$5,OR($I463=经营数据!$BA$4,COUNTIF(经营数据!$AA$9:$AA$38,$I463)&gt;0)),1,0))</f>
        <v>0</v>
      </c>
      <c r="AA463" t="str">
        <f t="shared" si="119"/>
        <v/>
      </c>
      <c r="AB463" t="str">
        <f t="shared" si="120"/>
        <v/>
      </c>
      <c r="AC463">
        <f>IF($A463="",0,IF(COUNTIF($A$2:$A463,$A463)=1,1,0))</f>
        <v>0</v>
      </c>
      <c r="AD463">
        <f t="shared" si="121"/>
        <v>5</v>
      </c>
      <c r="AE463" t="str">
        <f t="shared" si="122"/>
        <v>领秀城贵和购物中心|期末剩余租期情况（年）</v>
      </c>
      <c r="BP463" s="47">
        <v>46055</v>
      </c>
      <c r="BQ463" s="29">
        <v>3.8359080971561287E-2</v>
      </c>
    </row>
    <row r="464" spans="1:69" x14ac:dyDescent="0.4">
      <c r="A464" t="str">
        <f>IF(原始经营数据!$D465="","",原始经营数据!$D465)</f>
        <v>中金中国绿发消费封闭式基础设施证券投资基金</v>
      </c>
      <c r="B464" t="str">
        <f>IF(原始经营数据!$D465="","",T(原始经营数据!$E465))</f>
        <v>领秀城贵和购物中心</v>
      </c>
      <c r="C464" t="str">
        <f>IF(原始经营数据!$D465="","",原始经营数据!$F465)</f>
        <v>2025Q4</v>
      </c>
      <c r="D464" t="str">
        <f>IF(原始经营数据!$D465="","",原始经营数据!$H465)</f>
        <v>期内平均租金单价</v>
      </c>
      <c r="E464">
        <f>IF(原始经营数据!$D465="","",原始经营数据!$I465)</f>
        <v>4.0199999999999996</v>
      </c>
      <c r="F464" t="str">
        <f>IF(原始经营数据!$D465="","",T(原始经营数据!$J465))</f>
        <v>元/平方米/天</v>
      </c>
      <c r="G464" t="str">
        <f>IF(原始经营数据!$D465="","",T(原始经营数据!$K465))</f>
        <v/>
      </c>
      <c r="H464" t="str">
        <f>IF(原始经营数据!$D465="","",原始经营数据!$G465)</f>
        <v>服务价格</v>
      </c>
      <c r="I464" t="str">
        <f>IF($A464="","",IF($B464&lt;&gt;"",$B464,IF(COUNTIFS(原始经营数据!$D$3:$D$3001,$A464,原始经营数据!$E$3:$E$3001,"",原始经营数据!$F$3:$F$3001,$C464,原始经营数据!$H$3:$H$3001,$D464,原始经营数据!$K$3:$K$3001,$G464)&gt;1,"基金整体·来源"&amp;原始经营数据!$A465,"基金整体")))</f>
        <v>领秀城贵和购物中心</v>
      </c>
      <c r="J464" t="str">
        <f t="shared" si="108"/>
        <v>季度</v>
      </c>
      <c r="K464" t="str">
        <f t="shared" si="109"/>
        <v>期内平均租金单价（元/平方米/天）</v>
      </c>
      <c r="L464" t="str">
        <f t="shared" si="110"/>
        <v>领秀城贵和购物中心|期内平均租金单价（元/平方米/天）|季度</v>
      </c>
      <c r="M464">
        <f>IF($A464="",0,IF(COUNTIF($L$2:$L464,$L464)=1,1,0))</f>
        <v>0</v>
      </c>
      <c r="N464">
        <f t="shared" si="111"/>
        <v>20254</v>
      </c>
      <c r="O464" t="str">
        <f t="shared" si="112"/>
        <v>中金中国绿发消费封闭式基础设施证券投资基金|2025Q4|季度</v>
      </c>
      <c r="P464">
        <f>IF($A464="",0,IF(COUNTIF($O$2:$O464,$O464)=1,1,0))</f>
        <v>0</v>
      </c>
      <c r="Q464" t="str">
        <f>IF(AND($P464=1,$A464=经营数据!$B$3,$J464=经营数据!$BA$5),COUNTIFS($P$2:$P$3000,1,$A$2:$A$3000,$A464,$J$2:$J$3000,$J464,$N$2:$N$3000,"&lt;"&amp;$N464)+1,"")</f>
        <v/>
      </c>
      <c r="R464" t="str">
        <f t="shared" si="113"/>
        <v>中金中国绿发消费封闭式基础设施证券投资基金|领秀城贵和购物中心</v>
      </c>
      <c r="S464">
        <f>IF($A464="",0,IF(COUNTIF($R$2:$R464,$R464)=1,1,0))</f>
        <v>0</v>
      </c>
      <c r="T464">
        <f t="shared" si="114"/>
        <v>385</v>
      </c>
      <c r="U464" t="str">
        <f>IF($A464="","",IF($A464=经营数据!$B$3,COUNTIFS($S$2:$S$3000,1,$A$2:$A$3000,$A464,$T$2:$T$3000,"&lt;"&amp;$T464)+1,""))</f>
        <v/>
      </c>
      <c r="V464" t="str">
        <f t="shared" si="115"/>
        <v>领秀城贵和购物中心|服务价格</v>
      </c>
      <c r="W464">
        <f t="shared" si="116"/>
        <v>395</v>
      </c>
      <c r="X464" t="str">
        <f t="shared" si="117"/>
        <v>领秀城贵和购物中心|期内平均租金单价</v>
      </c>
      <c r="Y464">
        <f t="shared" si="118"/>
        <v>459</v>
      </c>
      <c r="Z464">
        <f>IF($A464="",0,IF(AND($M464=1,$A464=经营数据!$B$3,$J464=经营数据!$BA$5,OR($I464=经营数据!$BA$4,COUNTIF(经营数据!$AA$9:$AA$38,$I464)&gt;0)),1,0))</f>
        <v>0</v>
      </c>
      <c r="AA464" t="str">
        <f t="shared" si="119"/>
        <v/>
      </c>
      <c r="AB464" t="str">
        <f t="shared" si="120"/>
        <v/>
      </c>
      <c r="AC464">
        <f>IF($A464="",0,IF(COUNTIF($A$2:$A464,$A464)=1,1,0))</f>
        <v>0</v>
      </c>
      <c r="AD464">
        <f t="shared" si="121"/>
        <v>5</v>
      </c>
      <c r="AE464" t="str">
        <f t="shared" si="122"/>
        <v>领秀城贵和购物中心|期内平均租金单价（元/平方米/天）</v>
      </c>
      <c r="BP464" s="47">
        <v>46056</v>
      </c>
      <c r="BQ464" s="29">
        <v>3.8168326568563851E-2</v>
      </c>
    </row>
    <row r="465" spans="1:69" x14ac:dyDescent="0.4">
      <c r="A465" t="str">
        <f>IF(原始经营数据!$D466="","",原始经营数据!$D466)</f>
        <v>中金中国绿发消费封闭式基础设施证券投资基金</v>
      </c>
      <c r="B465" t="str">
        <f>IF(原始经营数据!$D466="","",T(原始经营数据!$E466))</f>
        <v>领秀城贵和购物中心</v>
      </c>
      <c r="C465" t="str">
        <f>IF(原始经营数据!$D466="","",原始经营数据!$F466)</f>
        <v>2025Q4</v>
      </c>
      <c r="D465" t="str">
        <f>IF(原始经营数据!$D466="","",原始经营数据!$H466)</f>
        <v>期末实际出租面积</v>
      </c>
      <c r="E465">
        <f>IF(原始经营数据!$D466="","",原始经营数据!$I466)</f>
        <v>82008.850000000006</v>
      </c>
      <c r="F465" t="str">
        <f>IF(原始经营数据!$D466="","",T(原始经营数据!$J466))</f>
        <v>平方米</v>
      </c>
      <c r="G465" t="str">
        <f>IF(原始经营数据!$D466="","",T(原始经营数据!$K466))</f>
        <v/>
      </c>
      <c r="H465" t="str">
        <f>IF(原始经营数据!$D466="","",原始经营数据!$G466)</f>
        <v>服务量</v>
      </c>
      <c r="I465" t="str">
        <f>IF($A465="","",IF($B465&lt;&gt;"",$B465,IF(COUNTIFS(原始经营数据!$D$3:$D$3001,$A465,原始经营数据!$E$3:$E$3001,"",原始经营数据!$F$3:$F$3001,$C465,原始经营数据!$H$3:$H$3001,$D465,原始经营数据!$K$3:$K$3001,$G465)&gt;1,"基金整体·来源"&amp;原始经营数据!$A466,"基金整体")))</f>
        <v>领秀城贵和购物中心</v>
      </c>
      <c r="J465" t="str">
        <f t="shared" si="108"/>
        <v>季度</v>
      </c>
      <c r="K465" t="str">
        <f t="shared" si="109"/>
        <v>期末实际出租面积（平方米）</v>
      </c>
      <c r="L465" t="str">
        <f t="shared" si="110"/>
        <v>领秀城贵和购物中心|期末实际出租面积（平方米）|季度</v>
      </c>
      <c r="M465">
        <f>IF($A465="",0,IF(COUNTIF($L$2:$L465,$L465)=1,1,0))</f>
        <v>0</v>
      </c>
      <c r="N465">
        <f t="shared" si="111"/>
        <v>20254</v>
      </c>
      <c r="O465" t="str">
        <f t="shared" si="112"/>
        <v>中金中国绿发消费封闭式基础设施证券投资基金|2025Q4|季度</v>
      </c>
      <c r="P465">
        <f>IF($A465="",0,IF(COUNTIF($O$2:$O465,$O465)=1,1,0))</f>
        <v>0</v>
      </c>
      <c r="Q465" t="str">
        <f>IF(AND($P465=1,$A465=经营数据!$B$3,$J465=经营数据!$BA$5),COUNTIFS($P$2:$P$3000,1,$A$2:$A$3000,$A465,$J$2:$J$3000,$J465,$N$2:$N$3000,"&lt;"&amp;$N465)+1,"")</f>
        <v/>
      </c>
      <c r="R465" t="str">
        <f t="shared" si="113"/>
        <v>中金中国绿发消费封闭式基础设施证券投资基金|领秀城贵和购物中心</v>
      </c>
      <c r="S465">
        <f>IF($A465="",0,IF(COUNTIF($R$2:$R465,$R465)=1,1,0))</f>
        <v>0</v>
      </c>
      <c r="T465">
        <f t="shared" si="114"/>
        <v>385</v>
      </c>
      <c r="U465" t="str">
        <f>IF($A465="","",IF($A465=经营数据!$B$3,COUNTIFS($S$2:$S$3000,1,$A$2:$A$3000,$A465,$T$2:$T$3000,"&lt;"&amp;$T465)+1,""))</f>
        <v/>
      </c>
      <c r="V465" t="str">
        <f t="shared" si="115"/>
        <v>领秀城贵和购物中心|服务量</v>
      </c>
      <c r="W465">
        <f t="shared" si="116"/>
        <v>405</v>
      </c>
      <c r="X465" t="str">
        <f t="shared" si="117"/>
        <v>领秀城贵和购物中心|期末实际出租面积</v>
      </c>
      <c r="Y465">
        <f t="shared" si="118"/>
        <v>457</v>
      </c>
      <c r="Z465">
        <f>IF($A465="",0,IF(AND($M465=1,$A465=经营数据!$B$3,$J465=经营数据!$BA$5,OR($I465=经营数据!$BA$4,COUNTIF(经营数据!$AA$9:$AA$38,$I465)&gt;0)),1,0))</f>
        <v>0</v>
      </c>
      <c r="AA465" t="str">
        <f t="shared" si="119"/>
        <v/>
      </c>
      <c r="AB465" t="str">
        <f t="shared" si="120"/>
        <v/>
      </c>
      <c r="AC465">
        <f>IF($A465="",0,IF(COUNTIF($A$2:$A465,$A465)=1,1,0))</f>
        <v>0</v>
      </c>
      <c r="AD465">
        <f t="shared" si="121"/>
        <v>5</v>
      </c>
      <c r="AE465" t="str">
        <f t="shared" si="122"/>
        <v>领秀城贵和购物中心|期末实际出租面积（平方米）</v>
      </c>
      <c r="BP465" s="47">
        <v>46057</v>
      </c>
      <c r="BQ465" s="29">
        <v>3.8245939643326433E-2</v>
      </c>
    </row>
    <row r="466" spans="1:69" x14ac:dyDescent="0.4">
      <c r="A466" t="str">
        <f>IF(原始经营数据!$D467="","",原始经营数据!$D467)</f>
        <v>中金中国绿发消费封闭式基础设施证券投资基金</v>
      </c>
      <c r="B466" t="str">
        <f>IF(原始经营数据!$D467="","",T(原始经营数据!$E467))</f>
        <v>领秀城贵和购物中心</v>
      </c>
      <c r="C466" t="str">
        <f>IF(原始经营数据!$D467="","",原始经营数据!$F467)</f>
        <v>2025Q4</v>
      </c>
      <c r="D466" t="str">
        <f>IF(原始经营数据!$D467="","",原始经营数据!$H467)</f>
        <v>期末可供出租面积</v>
      </c>
      <c r="E466">
        <f>IF(原始经营数据!$D467="","",原始经营数据!$I467)</f>
        <v>84723.85</v>
      </c>
      <c r="F466" t="str">
        <f>IF(原始经营数据!$D467="","",T(原始经营数据!$J467))</f>
        <v>平方米</v>
      </c>
      <c r="G466" t="str">
        <f>IF(原始经营数据!$D467="","",T(原始经营数据!$K467))</f>
        <v/>
      </c>
      <c r="H466" t="str">
        <f>IF(原始经营数据!$D467="","",原始经营数据!$G467)</f>
        <v>服务量</v>
      </c>
      <c r="I466" t="str">
        <f>IF($A466="","",IF($B466&lt;&gt;"",$B466,IF(COUNTIFS(原始经营数据!$D$3:$D$3001,$A466,原始经营数据!$E$3:$E$3001,"",原始经营数据!$F$3:$F$3001,$C466,原始经营数据!$H$3:$H$3001,$D466,原始经营数据!$K$3:$K$3001,$G466)&gt;1,"基金整体·来源"&amp;原始经营数据!$A467,"基金整体")))</f>
        <v>领秀城贵和购物中心</v>
      </c>
      <c r="J466" t="str">
        <f t="shared" si="108"/>
        <v>季度</v>
      </c>
      <c r="K466" t="str">
        <f t="shared" si="109"/>
        <v>期末可供出租面积（平方米）</v>
      </c>
      <c r="L466" t="str">
        <f t="shared" si="110"/>
        <v>领秀城贵和购物中心|期末可供出租面积（平方米）|季度</v>
      </c>
      <c r="M466">
        <f>IF($A466="",0,IF(COUNTIF($L$2:$L466,$L466)=1,1,0))</f>
        <v>0</v>
      </c>
      <c r="N466">
        <f t="shared" si="111"/>
        <v>20254</v>
      </c>
      <c r="O466" t="str">
        <f t="shared" si="112"/>
        <v>中金中国绿发消费封闭式基础设施证券投资基金|2025Q4|季度</v>
      </c>
      <c r="P466">
        <f>IF($A466="",0,IF(COUNTIF($O$2:$O466,$O466)=1,1,0))</f>
        <v>0</v>
      </c>
      <c r="Q466" t="str">
        <f>IF(AND($P466=1,$A466=经营数据!$B$3,$J466=经营数据!$BA$5),COUNTIFS($P$2:$P$3000,1,$A$2:$A$3000,$A466,$J$2:$J$3000,$J466,$N$2:$N$3000,"&lt;"&amp;$N466)+1,"")</f>
        <v/>
      </c>
      <c r="R466" t="str">
        <f t="shared" si="113"/>
        <v>中金中国绿发消费封闭式基础设施证券投资基金|领秀城贵和购物中心</v>
      </c>
      <c r="S466">
        <f>IF($A466="",0,IF(COUNTIF($R$2:$R466,$R466)=1,1,0))</f>
        <v>0</v>
      </c>
      <c r="T466">
        <f t="shared" si="114"/>
        <v>385</v>
      </c>
      <c r="U466" t="str">
        <f>IF($A466="","",IF($A466=经营数据!$B$3,COUNTIFS($S$2:$S$3000,1,$A$2:$A$3000,$A466,$T$2:$T$3000,"&lt;"&amp;$T466)+1,""))</f>
        <v/>
      </c>
      <c r="V466" t="str">
        <f t="shared" si="115"/>
        <v>领秀城贵和购物中心|服务量</v>
      </c>
      <c r="W466">
        <f t="shared" si="116"/>
        <v>405</v>
      </c>
      <c r="X466" t="str">
        <f t="shared" si="117"/>
        <v>领秀城贵和购物中心|期末可供出租面积</v>
      </c>
      <c r="Y466">
        <f t="shared" si="118"/>
        <v>456</v>
      </c>
      <c r="Z466">
        <f>IF($A466="",0,IF(AND($M466=1,$A466=经营数据!$B$3,$J466=经营数据!$BA$5,OR($I466=经营数据!$BA$4,COUNTIF(经营数据!$AA$9:$AA$38,$I466)&gt;0)),1,0))</f>
        <v>0</v>
      </c>
      <c r="AA466" t="str">
        <f t="shared" si="119"/>
        <v/>
      </c>
      <c r="AB466" t="str">
        <f t="shared" si="120"/>
        <v/>
      </c>
      <c r="AC466">
        <f>IF($A466="",0,IF(COUNTIF($A$2:$A466,$A466)=1,1,0))</f>
        <v>0</v>
      </c>
      <c r="AD466">
        <f t="shared" si="121"/>
        <v>5</v>
      </c>
      <c r="AE466" t="str">
        <f t="shared" si="122"/>
        <v>领秀城贵和购物中心|期末可供出租面积（平方米）</v>
      </c>
      <c r="BP466" s="47">
        <v>46058</v>
      </c>
      <c r="BQ466" s="29">
        <v>3.8319250012168411E-2</v>
      </c>
    </row>
    <row r="467" spans="1:69" x14ac:dyDescent="0.4">
      <c r="A467" t="str">
        <f>IF(原始经营数据!$D468="","",原始经营数据!$D468)</f>
        <v>中金中国绿发消费封闭式基础设施证券投资基金</v>
      </c>
      <c r="B467" t="str">
        <f>IF(原始经营数据!$D468="","",T(原始经营数据!$E468))</f>
        <v>领秀城贵和购物中心</v>
      </c>
      <c r="C467" t="str">
        <f>IF(原始经营数据!$D468="","",原始经营数据!$F468)</f>
        <v>2025Q4</v>
      </c>
      <c r="D467" t="str">
        <f>IF(原始经营数据!$D468="","",原始经营数据!$H468)</f>
        <v>期末租金收缴率</v>
      </c>
      <c r="E467">
        <f>IF(原始经营数据!$D468="","",原始经营数据!$I468)</f>
        <v>100</v>
      </c>
      <c r="F467" t="str">
        <f>IF(原始经营数据!$D468="","",T(原始经营数据!$J468))</f>
        <v>%</v>
      </c>
      <c r="G467" t="str">
        <f>IF(原始经营数据!$D468="","",T(原始经营数据!$K468))</f>
        <v/>
      </c>
      <c r="H467" t="str">
        <f>IF(原始经营数据!$D468="","",原始经营数据!$G468)</f>
        <v>服务效率</v>
      </c>
      <c r="I467" t="str">
        <f>IF($A467="","",IF($B467&lt;&gt;"",$B467,IF(COUNTIFS(原始经营数据!$D$3:$D$3001,$A467,原始经营数据!$E$3:$E$3001,"",原始经营数据!$F$3:$F$3001,$C467,原始经营数据!$H$3:$H$3001,$D467,原始经营数据!$K$3:$K$3001,$G467)&gt;1,"基金整体·来源"&amp;原始经营数据!$A468,"基金整体")))</f>
        <v>领秀城贵和购物中心</v>
      </c>
      <c r="J467" t="str">
        <f t="shared" si="108"/>
        <v>季度</v>
      </c>
      <c r="K467" t="str">
        <f t="shared" si="109"/>
        <v>期末租金收缴率（%）</v>
      </c>
      <c r="L467" t="str">
        <f t="shared" si="110"/>
        <v>领秀城贵和购物中心|期末租金收缴率（%）|季度</v>
      </c>
      <c r="M467">
        <f>IF($A467="",0,IF(COUNTIF($L$2:$L467,$L467)=1,1,0))</f>
        <v>0</v>
      </c>
      <c r="N467">
        <f t="shared" si="111"/>
        <v>20254</v>
      </c>
      <c r="O467" t="str">
        <f t="shared" si="112"/>
        <v>中金中国绿发消费封闭式基础设施证券投资基金|2025Q4|季度</v>
      </c>
      <c r="P467">
        <f>IF($A467="",0,IF(COUNTIF($O$2:$O467,$O467)=1,1,0))</f>
        <v>0</v>
      </c>
      <c r="Q467" t="str">
        <f>IF(AND($P467=1,$A467=经营数据!$B$3,$J467=经营数据!$BA$5),COUNTIFS($P$2:$P$3000,1,$A$2:$A$3000,$A467,$J$2:$J$3000,$J467,$N$2:$N$3000,"&lt;"&amp;$N467)+1,"")</f>
        <v/>
      </c>
      <c r="R467" t="str">
        <f t="shared" si="113"/>
        <v>中金中国绿发消费封闭式基础设施证券投资基金|领秀城贵和购物中心</v>
      </c>
      <c r="S467">
        <f>IF($A467="",0,IF(COUNTIF($R$2:$R467,$R467)=1,1,0))</f>
        <v>0</v>
      </c>
      <c r="T467">
        <f t="shared" si="114"/>
        <v>385</v>
      </c>
      <c r="U467" t="str">
        <f>IF($A467="","",IF($A467=经营数据!$B$3,COUNTIFS($S$2:$S$3000,1,$A$2:$A$3000,$A467,$T$2:$T$3000,"&lt;"&amp;$T467)+1,""))</f>
        <v/>
      </c>
      <c r="V467" t="str">
        <f t="shared" si="115"/>
        <v>领秀城贵和购物中心|服务效率</v>
      </c>
      <c r="W467">
        <f t="shared" si="116"/>
        <v>397</v>
      </c>
      <c r="X467" t="str">
        <f t="shared" si="117"/>
        <v>领秀城贵和购物中心|期末租金收缴率</v>
      </c>
      <c r="Y467">
        <f t="shared" si="118"/>
        <v>458</v>
      </c>
      <c r="Z467">
        <f>IF($A467="",0,IF(AND($M467=1,$A467=经营数据!$B$3,$J467=经营数据!$BA$5,OR($I467=经营数据!$BA$4,COUNTIF(经营数据!$AA$9:$AA$38,$I467)&gt;0)),1,0))</f>
        <v>0</v>
      </c>
      <c r="AA467" t="str">
        <f t="shared" si="119"/>
        <v/>
      </c>
      <c r="AB467" t="str">
        <f t="shared" si="120"/>
        <v/>
      </c>
      <c r="AC467">
        <f>IF($A467="",0,IF(COUNTIF($A$2:$A467,$A467)=1,1,0))</f>
        <v>0</v>
      </c>
      <c r="AD467">
        <f t="shared" si="121"/>
        <v>5</v>
      </c>
      <c r="AE467" t="str">
        <f t="shared" si="122"/>
        <v>领秀城贵和购物中心|期末租金收缴率（%）</v>
      </c>
      <c r="BP467" s="47">
        <v>46059</v>
      </c>
      <c r="BQ467" s="29">
        <v>3.8278349505447937E-2</v>
      </c>
    </row>
    <row r="468" spans="1:69" x14ac:dyDescent="0.4">
      <c r="A468" t="str">
        <f>IF(原始经营数据!$D469="","",原始经营数据!$D469)</f>
        <v>中金中国绿发消费封闭式基础设施证券投资基金</v>
      </c>
      <c r="B468" t="str">
        <f>IF(原始经营数据!$D469="","",T(原始经营数据!$E469))</f>
        <v>领秀城贵和购物中心</v>
      </c>
      <c r="C468" t="str">
        <f>IF(原始经营数据!$D469="","",原始经营数据!$F469)</f>
        <v>2025Q4</v>
      </c>
      <c r="D468" t="str">
        <f>IF(原始经营数据!$D469="","",原始经营数据!$H469)</f>
        <v>期内租金单价水平</v>
      </c>
      <c r="E468">
        <f>IF(原始经营数据!$D469="","",原始经营数据!$I469)</f>
        <v>4.0199999999999996</v>
      </c>
      <c r="F468" t="str">
        <f>IF(原始经营数据!$D469="","",T(原始经营数据!$J469))</f>
        <v>元/平方米/天</v>
      </c>
      <c r="G468" t="str">
        <f>IF(原始经营数据!$D469="","",T(原始经营数据!$K469))</f>
        <v/>
      </c>
      <c r="H468" t="str">
        <f>IF(原始经营数据!$D469="","",原始经营数据!$G469)</f>
        <v>服务价格</v>
      </c>
      <c r="I468" t="str">
        <f>IF($A468="","",IF($B468&lt;&gt;"",$B468,IF(COUNTIFS(原始经营数据!$D$3:$D$3001,$A468,原始经营数据!$E$3:$E$3001,"",原始经营数据!$F$3:$F$3001,$C468,原始经营数据!$H$3:$H$3001,$D468,原始经营数据!$K$3:$K$3001,$G468)&gt;1,"基金整体·来源"&amp;原始经营数据!$A469,"基金整体")))</f>
        <v>领秀城贵和购物中心</v>
      </c>
      <c r="J468" t="str">
        <f t="shared" si="108"/>
        <v>季度</v>
      </c>
      <c r="K468" t="str">
        <f t="shared" si="109"/>
        <v>期内租金单价水平（元/平方米/天）</v>
      </c>
      <c r="L468" t="str">
        <f t="shared" si="110"/>
        <v>领秀城贵和购物中心|期内租金单价水平（元/平方米/天）|季度</v>
      </c>
      <c r="M468">
        <f>IF($A468="",0,IF(COUNTIF($L$2:$L468,$L468)=1,1,0))</f>
        <v>0</v>
      </c>
      <c r="N468">
        <f t="shared" si="111"/>
        <v>20254</v>
      </c>
      <c r="O468" t="str">
        <f t="shared" si="112"/>
        <v>中金中国绿发消费封闭式基础设施证券投资基金|2025Q4|季度</v>
      </c>
      <c r="P468">
        <f>IF($A468="",0,IF(COUNTIF($O$2:$O468,$O468)=1,1,0))</f>
        <v>0</v>
      </c>
      <c r="Q468" t="str">
        <f>IF(AND($P468=1,$A468=经营数据!$B$3,$J468=经营数据!$BA$5),COUNTIFS($P$2:$P$3000,1,$A$2:$A$3000,$A468,$J$2:$J$3000,$J468,$N$2:$N$3000,"&lt;"&amp;$N468)+1,"")</f>
        <v/>
      </c>
      <c r="R468" t="str">
        <f t="shared" si="113"/>
        <v>中金中国绿发消费封闭式基础设施证券投资基金|领秀城贵和购物中心</v>
      </c>
      <c r="S468">
        <f>IF($A468="",0,IF(COUNTIF($R$2:$R468,$R468)=1,1,0))</f>
        <v>0</v>
      </c>
      <c r="T468">
        <f t="shared" si="114"/>
        <v>385</v>
      </c>
      <c r="U468" t="str">
        <f>IF($A468="","",IF($A468=经营数据!$B$3,COUNTIFS($S$2:$S$3000,1,$A$2:$A$3000,$A468,$T$2:$T$3000,"&lt;"&amp;$T468)+1,""))</f>
        <v/>
      </c>
      <c r="V468" t="str">
        <f t="shared" si="115"/>
        <v>领秀城贵和购物中心|服务价格</v>
      </c>
      <c r="W468">
        <f t="shared" si="116"/>
        <v>395</v>
      </c>
      <c r="X468" t="str">
        <f t="shared" si="117"/>
        <v>领秀城贵和购物中心|期内租金单价水平</v>
      </c>
      <c r="Y468">
        <f t="shared" si="118"/>
        <v>460</v>
      </c>
      <c r="Z468">
        <f>IF($A468="",0,IF(AND($M468=1,$A468=经营数据!$B$3,$J468=经营数据!$BA$5,OR($I468=经营数据!$BA$4,COUNTIF(经营数据!$AA$9:$AA$38,$I468)&gt;0)),1,0))</f>
        <v>0</v>
      </c>
      <c r="AA468" t="str">
        <f t="shared" si="119"/>
        <v/>
      </c>
      <c r="AB468" t="str">
        <f t="shared" si="120"/>
        <v/>
      </c>
      <c r="AC468">
        <f>IF($A468="",0,IF(COUNTIF($A$2:$A468,$A468)=1,1,0))</f>
        <v>0</v>
      </c>
      <c r="AD468">
        <f t="shared" si="121"/>
        <v>5</v>
      </c>
      <c r="AE468" t="str">
        <f t="shared" si="122"/>
        <v>领秀城贵和购物中心|期内租金单价水平（元/平方米/天）</v>
      </c>
      <c r="BP468" s="47">
        <v>46062</v>
      </c>
      <c r="BQ468" s="29">
        <v>3.8342445038545031E-2</v>
      </c>
    </row>
    <row r="469" spans="1:69" x14ac:dyDescent="0.4">
      <c r="A469" t="str">
        <f>IF(原始经营数据!$D470="","",原始经营数据!$D470)</f>
        <v>中金中国绿发消费封闭式基础设施证券投资基金</v>
      </c>
      <c r="B469" t="str">
        <f>IF(原始经营数据!$D470="","",T(原始经营数据!$E470))</f>
        <v>领秀城贵和购物中心</v>
      </c>
      <c r="C469" t="str">
        <f>IF(原始经营数据!$D470="","",原始经营数据!$F470)</f>
        <v>2026Q1</v>
      </c>
      <c r="D469" t="str">
        <f>IF(原始经营数据!$D470="","",原始经营数据!$H470)</f>
        <v>期末剩余租期情况</v>
      </c>
      <c r="E469">
        <f>IF(原始经营数据!$D470="","",原始经营数据!$I470)</f>
        <v>3.32</v>
      </c>
      <c r="F469" t="str">
        <f>IF(原始经营数据!$D470="","",T(原始经营数据!$J470))</f>
        <v>年</v>
      </c>
      <c r="G469" t="str">
        <f>IF(原始经营数据!$D470="","",T(原始经营数据!$K470))</f>
        <v/>
      </c>
      <c r="H469" t="str">
        <f>IF(原始经营数据!$D470="","",原始经营数据!$G470)</f>
        <v>服务量</v>
      </c>
      <c r="I469" t="str">
        <f>IF($A469="","",IF($B469&lt;&gt;"",$B469,IF(COUNTIFS(原始经营数据!$D$3:$D$3001,$A469,原始经营数据!$E$3:$E$3001,"",原始经营数据!$F$3:$F$3001,$C469,原始经营数据!$H$3:$H$3001,$D469,原始经营数据!$K$3:$K$3001,$G469)&gt;1,"基金整体·来源"&amp;原始经营数据!$A470,"基金整体")))</f>
        <v>领秀城贵和购物中心</v>
      </c>
      <c r="J469" t="str">
        <f t="shared" si="108"/>
        <v>季度</v>
      </c>
      <c r="K469" t="str">
        <f t="shared" si="109"/>
        <v>期末剩余租期情况（年）</v>
      </c>
      <c r="L469" t="str">
        <f t="shared" si="110"/>
        <v>领秀城贵和购物中心|期末剩余租期情况（年）|季度</v>
      </c>
      <c r="M469">
        <f>IF($A469="",0,IF(COUNTIF($L$2:$L469,$L469)=1,1,0))</f>
        <v>0</v>
      </c>
      <c r="N469">
        <f t="shared" si="111"/>
        <v>20261</v>
      </c>
      <c r="O469" t="str">
        <f t="shared" si="112"/>
        <v>中金中国绿发消费封闭式基础设施证券投资基金|2026Q1|季度</v>
      </c>
      <c r="P469">
        <f>IF($A469="",0,IF(COUNTIF($O$2:$O469,$O469)=1,1,0))</f>
        <v>1</v>
      </c>
      <c r="Q469" t="str">
        <f>IF(AND($P469=1,$A469=经营数据!$B$3,$J469=经营数据!$BA$5),COUNTIFS($P$2:$P$3000,1,$A$2:$A$3000,$A469,$J$2:$J$3000,$J469,$N$2:$N$3000,"&lt;"&amp;$N469)+1,"")</f>
        <v/>
      </c>
      <c r="R469" t="str">
        <f t="shared" si="113"/>
        <v>中金中国绿发消费封闭式基础设施证券投资基金|领秀城贵和购物中心</v>
      </c>
      <c r="S469">
        <f>IF($A469="",0,IF(COUNTIF($R$2:$R469,$R469)=1,1,0))</f>
        <v>0</v>
      </c>
      <c r="T469">
        <f t="shared" si="114"/>
        <v>385</v>
      </c>
      <c r="U469" t="str">
        <f>IF($A469="","",IF($A469=经营数据!$B$3,COUNTIFS($S$2:$S$3000,1,$A$2:$A$3000,$A469,$T$2:$T$3000,"&lt;"&amp;$T469)+1,""))</f>
        <v/>
      </c>
      <c r="V469" t="str">
        <f t="shared" si="115"/>
        <v>领秀城贵和购物中心|服务量</v>
      </c>
      <c r="W469">
        <f t="shared" si="116"/>
        <v>405</v>
      </c>
      <c r="X469" t="str">
        <f t="shared" si="117"/>
        <v>领秀城贵和购物中心|期末剩余租期情况</v>
      </c>
      <c r="Y469">
        <f t="shared" si="118"/>
        <v>454</v>
      </c>
      <c r="Z469">
        <f>IF($A469="",0,IF(AND($M469=1,$A469=经营数据!$B$3,$J469=经营数据!$BA$5,OR($I469=经营数据!$BA$4,COUNTIF(经营数据!$AA$9:$AA$38,$I469)&gt;0)),1,0))</f>
        <v>0</v>
      </c>
      <c r="AA469" t="str">
        <f t="shared" si="119"/>
        <v/>
      </c>
      <c r="AB469" t="str">
        <f t="shared" si="120"/>
        <v/>
      </c>
      <c r="AC469">
        <f>IF($A469="",0,IF(COUNTIF($A$2:$A469,$A469)=1,1,0))</f>
        <v>0</v>
      </c>
      <c r="AD469">
        <f t="shared" si="121"/>
        <v>5</v>
      </c>
      <c r="AE469" t="str">
        <f t="shared" si="122"/>
        <v>领秀城贵和购物中心|期末剩余租期情况（年）</v>
      </c>
      <c r="BP469" s="47">
        <v>46063</v>
      </c>
      <c r="BQ469" s="29">
        <v>3.8135662830260063E-2</v>
      </c>
    </row>
    <row r="470" spans="1:69" x14ac:dyDescent="0.4">
      <c r="A470" t="str">
        <f>IF(原始经营数据!$D471="","",原始经营数据!$D471)</f>
        <v>中金中国绿发消费封闭式基础设施证券投资基金</v>
      </c>
      <c r="B470" t="str">
        <f>IF(原始经营数据!$D471="","",T(原始经营数据!$E471))</f>
        <v>领秀城贵和购物中心</v>
      </c>
      <c r="C470" t="str">
        <f>IF(原始经营数据!$D471="","",原始经营数据!$F471)</f>
        <v>2026Q1</v>
      </c>
      <c r="D470" t="str">
        <f>IF(原始经营数据!$D471="","",原始经营数据!$H471)</f>
        <v>期内租金单价水平</v>
      </c>
      <c r="E470">
        <f>IF(原始经营数据!$D471="","",原始经营数据!$I471)</f>
        <v>3.95</v>
      </c>
      <c r="F470" t="str">
        <f>IF(原始经营数据!$D471="","",T(原始经营数据!$J471))</f>
        <v>元/平方米/天</v>
      </c>
      <c r="G470" t="str">
        <f>IF(原始经营数据!$D471="","",T(原始经营数据!$K471))</f>
        <v/>
      </c>
      <c r="H470" t="str">
        <f>IF(原始经营数据!$D471="","",原始经营数据!$G471)</f>
        <v>服务价格</v>
      </c>
      <c r="I470" t="str">
        <f>IF($A470="","",IF($B470&lt;&gt;"",$B470,IF(COUNTIFS(原始经营数据!$D$3:$D$3001,$A470,原始经营数据!$E$3:$E$3001,"",原始经营数据!$F$3:$F$3001,$C470,原始经营数据!$H$3:$H$3001,$D470,原始经营数据!$K$3:$K$3001,$G470)&gt;1,"基金整体·来源"&amp;原始经营数据!$A471,"基金整体")))</f>
        <v>领秀城贵和购物中心</v>
      </c>
      <c r="J470" t="str">
        <f t="shared" si="108"/>
        <v>季度</v>
      </c>
      <c r="K470" t="str">
        <f t="shared" si="109"/>
        <v>期内租金单价水平（元/平方米/天）</v>
      </c>
      <c r="L470" t="str">
        <f t="shared" si="110"/>
        <v>领秀城贵和购物中心|期内租金单价水平（元/平方米/天）|季度</v>
      </c>
      <c r="M470">
        <f>IF($A470="",0,IF(COUNTIF($L$2:$L470,$L470)=1,1,0))</f>
        <v>0</v>
      </c>
      <c r="N470">
        <f t="shared" si="111"/>
        <v>20261</v>
      </c>
      <c r="O470" t="str">
        <f t="shared" si="112"/>
        <v>中金中国绿发消费封闭式基础设施证券投资基金|2026Q1|季度</v>
      </c>
      <c r="P470">
        <f>IF($A470="",0,IF(COUNTIF($O$2:$O470,$O470)=1,1,0))</f>
        <v>0</v>
      </c>
      <c r="Q470" t="str">
        <f>IF(AND($P470=1,$A470=经营数据!$B$3,$J470=经营数据!$BA$5),COUNTIFS($P$2:$P$3000,1,$A$2:$A$3000,$A470,$J$2:$J$3000,$J470,$N$2:$N$3000,"&lt;"&amp;$N470)+1,"")</f>
        <v/>
      </c>
      <c r="R470" t="str">
        <f t="shared" si="113"/>
        <v>中金中国绿发消费封闭式基础设施证券投资基金|领秀城贵和购物中心</v>
      </c>
      <c r="S470">
        <f>IF($A470="",0,IF(COUNTIF($R$2:$R470,$R470)=1,1,0))</f>
        <v>0</v>
      </c>
      <c r="T470">
        <f t="shared" si="114"/>
        <v>385</v>
      </c>
      <c r="U470" t="str">
        <f>IF($A470="","",IF($A470=经营数据!$B$3,COUNTIFS($S$2:$S$3000,1,$A$2:$A$3000,$A470,$T$2:$T$3000,"&lt;"&amp;$T470)+1,""))</f>
        <v/>
      </c>
      <c r="V470" t="str">
        <f t="shared" si="115"/>
        <v>领秀城贵和购物中心|服务价格</v>
      </c>
      <c r="W470">
        <f t="shared" si="116"/>
        <v>395</v>
      </c>
      <c r="X470" t="str">
        <f t="shared" si="117"/>
        <v>领秀城贵和购物中心|期内租金单价水平</v>
      </c>
      <c r="Y470">
        <f t="shared" si="118"/>
        <v>460</v>
      </c>
      <c r="Z470">
        <f>IF($A470="",0,IF(AND($M470=1,$A470=经营数据!$B$3,$J470=经营数据!$BA$5,OR($I470=经营数据!$BA$4,COUNTIF(经营数据!$AA$9:$AA$38,$I470)&gt;0)),1,0))</f>
        <v>0</v>
      </c>
      <c r="AA470" t="str">
        <f t="shared" si="119"/>
        <v/>
      </c>
      <c r="AB470" t="str">
        <f t="shared" si="120"/>
        <v/>
      </c>
      <c r="AC470">
        <f>IF($A470="",0,IF(COUNTIF($A$2:$A470,$A470)=1,1,0))</f>
        <v>0</v>
      </c>
      <c r="AD470">
        <f t="shared" si="121"/>
        <v>5</v>
      </c>
      <c r="AE470" t="str">
        <f t="shared" si="122"/>
        <v>领秀城贵和购物中心|期内租金单价水平（元/平方米/天）</v>
      </c>
      <c r="BP470" s="47">
        <v>46064</v>
      </c>
      <c r="BQ470" s="29">
        <v>3.8193986095966373E-2</v>
      </c>
    </row>
    <row r="471" spans="1:69" x14ac:dyDescent="0.4">
      <c r="A471" t="str">
        <f>IF(原始经营数据!$D472="","",原始经营数据!$D472)</f>
        <v>中金中国绿发消费封闭式基础设施证券投资基金</v>
      </c>
      <c r="B471" t="str">
        <f>IF(原始经营数据!$D472="","",T(原始经营数据!$E472))</f>
        <v>领秀城贵和购物中心</v>
      </c>
      <c r="C471" t="str">
        <f>IF(原始经营数据!$D472="","",原始经营数据!$F472)</f>
        <v>2026Q1</v>
      </c>
      <c r="D471" t="str">
        <f>IF(原始经营数据!$D472="","",原始经营数据!$H472)</f>
        <v>期末出租率</v>
      </c>
      <c r="E471">
        <f>IF(原始经营数据!$D472="","",原始经营数据!$I472)</f>
        <v>97.15</v>
      </c>
      <c r="F471" t="str">
        <f>IF(原始经营数据!$D472="","",T(原始经营数据!$J472))</f>
        <v>%</v>
      </c>
      <c r="G471" t="str">
        <f>IF(原始经营数据!$D472="","",T(原始经营数据!$K472))</f>
        <v/>
      </c>
      <c r="H471" t="str">
        <f>IF(原始经营数据!$D472="","",原始经营数据!$G472)</f>
        <v>服务效率</v>
      </c>
      <c r="I471" t="str">
        <f>IF($A471="","",IF($B471&lt;&gt;"",$B471,IF(COUNTIFS(原始经营数据!$D$3:$D$3001,$A471,原始经营数据!$E$3:$E$3001,"",原始经营数据!$F$3:$F$3001,$C471,原始经营数据!$H$3:$H$3001,$D471,原始经营数据!$K$3:$K$3001,$G471)&gt;1,"基金整体·来源"&amp;原始经营数据!$A472,"基金整体")))</f>
        <v>领秀城贵和购物中心</v>
      </c>
      <c r="J471" t="str">
        <f t="shared" si="108"/>
        <v>季度</v>
      </c>
      <c r="K471" t="str">
        <f t="shared" si="109"/>
        <v>期末出租率（%）</v>
      </c>
      <c r="L471" t="str">
        <f t="shared" si="110"/>
        <v>领秀城贵和购物中心|期末出租率（%）|季度</v>
      </c>
      <c r="M471">
        <f>IF($A471="",0,IF(COUNTIF($L$2:$L471,$L471)=1,1,0))</f>
        <v>0</v>
      </c>
      <c r="N471">
        <f t="shared" si="111"/>
        <v>20261</v>
      </c>
      <c r="O471" t="str">
        <f t="shared" si="112"/>
        <v>中金中国绿发消费封闭式基础设施证券投资基金|2026Q1|季度</v>
      </c>
      <c r="P471">
        <f>IF($A471="",0,IF(COUNTIF($O$2:$O471,$O471)=1,1,0))</f>
        <v>0</v>
      </c>
      <c r="Q471" t="str">
        <f>IF(AND($P471=1,$A471=经营数据!$B$3,$J471=经营数据!$BA$5),COUNTIFS($P$2:$P$3000,1,$A$2:$A$3000,$A471,$J$2:$J$3000,$J471,$N$2:$N$3000,"&lt;"&amp;$N471)+1,"")</f>
        <v/>
      </c>
      <c r="R471" t="str">
        <f t="shared" si="113"/>
        <v>中金中国绿发消费封闭式基础设施证券投资基金|领秀城贵和购物中心</v>
      </c>
      <c r="S471">
        <f>IF($A471="",0,IF(COUNTIF($R$2:$R471,$R471)=1,1,0))</f>
        <v>0</v>
      </c>
      <c r="T471">
        <f t="shared" si="114"/>
        <v>385</v>
      </c>
      <c r="U471" t="str">
        <f>IF($A471="","",IF($A471=经营数据!$B$3,COUNTIFS($S$2:$S$3000,1,$A$2:$A$3000,$A471,$T$2:$T$3000,"&lt;"&amp;$T471)+1,""))</f>
        <v/>
      </c>
      <c r="V471" t="str">
        <f t="shared" si="115"/>
        <v>领秀城贵和购物中心|服务效率</v>
      </c>
      <c r="W471">
        <f t="shared" si="116"/>
        <v>397</v>
      </c>
      <c r="X471" t="str">
        <f t="shared" si="117"/>
        <v>领秀城贵和购物中心|期末出租率</v>
      </c>
      <c r="Y471">
        <f t="shared" si="118"/>
        <v>455</v>
      </c>
      <c r="Z471">
        <f>IF($A471="",0,IF(AND($M471=1,$A471=经营数据!$B$3,$J471=经营数据!$BA$5,OR($I471=经营数据!$BA$4,COUNTIF(经营数据!$AA$9:$AA$38,$I471)&gt;0)),1,0))</f>
        <v>0</v>
      </c>
      <c r="AA471" t="str">
        <f t="shared" si="119"/>
        <v/>
      </c>
      <c r="AB471" t="str">
        <f t="shared" si="120"/>
        <v/>
      </c>
      <c r="AC471">
        <f>IF($A471="",0,IF(COUNTIF($A$2:$A471,$A471)=1,1,0))</f>
        <v>0</v>
      </c>
      <c r="AD471">
        <f t="shared" si="121"/>
        <v>5</v>
      </c>
      <c r="AE471" t="str">
        <f t="shared" si="122"/>
        <v>领秀城贵和购物中心|期末出租率（%）</v>
      </c>
      <c r="BP471" s="47">
        <v>46065</v>
      </c>
      <c r="BQ471" s="29">
        <v>3.8059459981813579E-2</v>
      </c>
    </row>
    <row r="472" spans="1:69" x14ac:dyDescent="0.4">
      <c r="A472" t="str">
        <f>IF(原始经营数据!$D473="","",原始经营数据!$D473)</f>
        <v>中金中国绿发消费封闭式基础设施证券投资基金</v>
      </c>
      <c r="B472" t="str">
        <f>IF(原始经营数据!$D473="","",T(原始经营数据!$E473))</f>
        <v>领秀城贵和购物中心</v>
      </c>
      <c r="C472" t="str">
        <f>IF(原始经营数据!$D473="","",原始经营数据!$F473)</f>
        <v>2026Q1</v>
      </c>
      <c r="D472" t="str">
        <f>IF(原始经营数据!$D473="","",原始经营数据!$H473)</f>
        <v>期末实际出租面积</v>
      </c>
      <c r="E472">
        <f>IF(原始经营数据!$D473="","",原始经营数据!$I473)</f>
        <v>82059.850000000006</v>
      </c>
      <c r="F472" t="str">
        <f>IF(原始经营数据!$D473="","",T(原始经营数据!$J473))</f>
        <v>平方米</v>
      </c>
      <c r="G472" t="str">
        <f>IF(原始经营数据!$D473="","",T(原始经营数据!$K473))</f>
        <v/>
      </c>
      <c r="H472" t="str">
        <f>IF(原始经营数据!$D473="","",原始经营数据!$G473)</f>
        <v>服务量</v>
      </c>
      <c r="I472" t="str">
        <f>IF($A472="","",IF($B472&lt;&gt;"",$B472,IF(COUNTIFS(原始经营数据!$D$3:$D$3001,$A472,原始经营数据!$E$3:$E$3001,"",原始经营数据!$F$3:$F$3001,$C472,原始经营数据!$H$3:$H$3001,$D472,原始经营数据!$K$3:$K$3001,$G472)&gt;1,"基金整体·来源"&amp;原始经营数据!$A473,"基金整体")))</f>
        <v>领秀城贵和购物中心</v>
      </c>
      <c r="J472" t="str">
        <f t="shared" si="108"/>
        <v>季度</v>
      </c>
      <c r="K472" t="str">
        <f t="shared" si="109"/>
        <v>期末实际出租面积（平方米）</v>
      </c>
      <c r="L472" t="str">
        <f t="shared" si="110"/>
        <v>领秀城贵和购物中心|期末实际出租面积（平方米）|季度</v>
      </c>
      <c r="M472">
        <f>IF($A472="",0,IF(COUNTIF($L$2:$L472,$L472)=1,1,0))</f>
        <v>0</v>
      </c>
      <c r="N472">
        <f t="shared" si="111"/>
        <v>20261</v>
      </c>
      <c r="O472" t="str">
        <f t="shared" si="112"/>
        <v>中金中国绿发消费封闭式基础设施证券投资基金|2026Q1|季度</v>
      </c>
      <c r="P472">
        <f>IF($A472="",0,IF(COUNTIF($O$2:$O472,$O472)=1,1,0))</f>
        <v>0</v>
      </c>
      <c r="Q472" t="str">
        <f>IF(AND($P472=1,$A472=经营数据!$B$3,$J472=经营数据!$BA$5),COUNTIFS($P$2:$P$3000,1,$A$2:$A$3000,$A472,$J$2:$J$3000,$J472,$N$2:$N$3000,"&lt;"&amp;$N472)+1,"")</f>
        <v/>
      </c>
      <c r="R472" t="str">
        <f t="shared" si="113"/>
        <v>中金中国绿发消费封闭式基础设施证券投资基金|领秀城贵和购物中心</v>
      </c>
      <c r="S472">
        <f>IF($A472="",0,IF(COUNTIF($R$2:$R472,$R472)=1,1,0))</f>
        <v>0</v>
      </c>
      <c r="T472">
        <f t="shared" si="114"/>
        <v>385</v>
      </c>
      <c r="U472" t="str">
        <f>IF($A472="","",IF($A472=经营数据!$B$3,COUNTIFS($S$2:$S$3000,1,$A$2:$A$3000,$A472,$T$2:$T$3000,"&lt;"&amp;$T472)+1,""))</f>
        <v/>
      </c>
      <c r="V472" t="str">
        <f t="shared" si="115"/>
        <v>领秀城贵和购物中心|服务量</v>
      </c>
      <c r="W472">
        <f t="shared" si="116"/>
        <v>405</v>
      </c>
      <c r="X472" t="str">
        <f t="shared" si="117"/>
        <v>领秀城贵和购物中心|期末实际出租面积</v>
      </c>
      <c r="Y472">
        <f t="shared" si="118"/>
        <v>457</v>
      </c>
      <c r="Z472">
        <f>IF($A472="",0,IF(AND($M472=1,$A472=经营数据!$B$3,$J472=经营数据!$BA$5,OR($I472=经营数据!$BA$4,COUNTIF(经营数据!$AA$9:$AA$38,$I472)&gt;0)),1,0))</f>
        <v>0</v>
      </c>
      <c r="AA472" t="str">
        <f t="shared" si="119"/>
        <v/>
      </c>
      <c r="AB472" t="str">
        <f t="shared" si="120"/>
        <v/>
      </c>
      <c r="AC472">
        <f>IF($A472="",0,IF(COUNTIF($A$2:$A472,$A472)=1,1,0))</f>
        <v>0</v>
      </c>
      <c r="AD472">
        <f t="shared" si="121"/>
        <v>5</v>
      </c>
      <c r="AE472" t="str">
        <f t="shared" si="122"/>
        <v>领秀城贵和购物中心|期末实际出租面积（平方米）</v>
      </c>
      <c r="BP472" s="47">
        <v>46066</v>
      </c>
      <c r="BQ472" s="29">
        <v>3.788589949470645E-2</v>
      </c>
    </row>
    <row r="473" spans="1:69" x14ac:dyDescent="0.4">
      <c r="A473" t="str">
        <f>IF(原始经营数据!$D474="","",原始经营数据!$D474)</f>
        <v>中金中国绿发消费封闭式基础设施证券投资基金</v>
      </c>
      <c r="B473" t="str">
        <f>IF(原始经营数据!$D474="","",T(原始经营数据!$E474))</f>
        <v>领秀城贵和购物中心</v>
      </c>
      <c r="C473" t="str">
        <f>IF(原始经营数据!$D474="","",原始经营数据!$F474)</f>
        <v>2026Q1</v>
      </c>
      <c r="D473" t="str">
        <f>IF(原始经营数据!$D474="","",原始经营数据!$H474)</f>
        <v>期末可供出租面积</v>
      </c>
      <c r="E473">
        <f>IF(原始经营数据!$D474="","",原始经营数据!$I474)</f>
        <v>84470.85</v>
      </c>
      <c r="F473" t="str">
        <f>IF(原始经营数据!$D474="","",T(原始经营数据!$J474))</f>
        <v>平方米</v>
      </c>
      <c r="G473" t="str">
        <f>IF(原始经营数据!$D474="","",T(原始经营数据!$K474))</f>
        <v/>
      </c>
      <c r="H473" t="str">
        <f>IF(原始经营数据!$D474="","",原始经营数据!$G474)</f>
        <v>服务量</v>
      </c>
      <c r="I473" t="str">
        <f>IF($A473="","",IF($B473&lt;&gt;"",$B473,IF(COUNTIFS(原始经营数据!$D$3:$D$3001,$A473,原始经营数据!$E$3:$E$3001,"",原始经营数据!$F$3:$F$3001,$C473,原始经营数据!$H$3:$H$3001,$D473,原始经营数据!$K$3:$K$3001,$G473)&gt;1,"基金整体·来源"&amp;原始经营数据!$A474,"基金整体")))</f>
        <v>领秀城贵和购物中心</v>
      </c>
      <c r="J473" t="str">
        <f t="shared" si="108"/>
        <v>季度</v>
      </c>
      <c r="K473" t="str">
        <f t="shared" si="109"/>
        <v>期末可供出租面积（平方米）</v>
      </c>
      <c r="L473" t="str">
        <f t="shared" si="110"/>
        <v>领秀城贵和购物中心|期末可供出租面积（平方米）|季度</v>
      </c>
      <c r="M473">
        <f>IF($A473="",0,IF(COUNTIF($L$2:$L473,$L473)=1,1,0))</f>
        <v>0</v>
      </c>
      <c r="N473">
        <f t="shared" si="111"/>
        <v>20261</v>
      </c>
      <c r="O473" t="str">
        <f t="shared" si="112"/>
        <v>中金中国绿发消费封闭式基础设施证券投资基金|2026Q1|季度</v>
      </c>
      <c r="P473">
        <f>IF($A473="",0,IF(COUNTIF($O$2:$O473,$O473)=1,1,0))</f>
        <v>0</v>
      </c>
      <c r="Q473" t="str">
        <f>IF(AND($P473=1,$A473=经营数据!$B$3,$J473=经营数据!$BA$5),COUNTIFS($P$2:$P$3000,1,$A$2:$A$3000,$A473,$J$2:$J$3000,$J473,$N$2:$N$3000,"&lt;"&amp;$N473)+1,"")</f>
        <v/>
      </c>
      <c r="R473" t="str">
        <f t="shared" si="113"/>
        <v>中金中国绿发消费封闭式基础设施证券投资基金|领秀城贵和购物中心</v>
      </c>
      <c r="S473">
        <f>IF($A473="",0,IF(COUNTIF($R$2:$R473,$R473)=1,1,0))</f>
        <v>0</v>
      </c>
      <c r="T473">
        <f t="shared" si="114"/>
        <v>385</v>
      </c>
      <c r="U473" t="str">
        <f>IF($A473="","",IF($A473=经营数据!$B$3,COUNTIFS($S$2:$S$3000,1,$A$2:$A$3000,$A473,$T$2:$T$3000,"&lt;"&amp;$T473)+1,""))</f>
        <v/>
      </c>
      <c r="V473" t="str">
        <f t="shared" si="115"/>
        <v>领秀城贵和购物中心|服务量</v>
      </c>
      <c r="W473">
        <f t="shared" si="116"/>
        <v>405</v>
      </c>
      <c r="X473" t="str">
        <f t="shared" si="117"/>
        <v>领秀城贵和购物中心|期末可供出租面积</v>
      </c>
      <c r="Y473">
        <f t="shared" si="118"/>
        <v>456</v>
      </c>
      <c r="Z473">
        <f>IF($A473="",0,IF(AND($M473=1,$A473=经营数据!$B$3,$J473=经营数据!$BA$5,OR($I473=经营数据!$BA$4,COUNTIF(经营数据!$AA$9:$AA$38,$I473)&gt;0)),1,0))</f>
        <v>0</v>
      </c>
      <c r="AA473" t="str">
        <f t="shared" si="119"/>
        <v/>
      </c>
      <c r="AB473" t="str">
        <f t="shared" si="120"/>
        <v/>
      </c>
      <c r="AC473">
        <f>IF($A473="",0,IF(COUNTIF($A$2:$A473,$A473)=1,1,0))</f>
        <v>0</v>
      </c>
      <c r="AD473">
        <f t="shared" si="121"/>
        <v>5</v>
      </c>
      <c r="AE473" t="str">
        <f t="shared" si="122"/>
        <v>领秀城贵和购物中心|期末可供出租面积（平方米）</v>
      </c>
      <c r="BP473" s="47">
        <v>46077</v>
      </c>
      <c r="BQ473" s="29">
        <v>3.8207844229182608E-2</v>
      </c>
    </row>
    <row r="474" spans="1:69" x14ac:dyDescent="0.4">
      <c r="A474" t="str">
        <f>IF(原始经营数据!$D475="","",原始经营数据!$D475)</f>
        <v>中金中国绿发消费封闭式基础设施证券投资基金</v>
      </c>
      <c r="B474" t="str">
        <f>IF(原始经营数据!$D475="","",T(原始经营数据!$E475))</f>
        <v>领秀城贵和购物中心</v>
      </c>
      <c r="C474" t="str">
        <f>IF(原始经营数据!$D475="","",原始经营数据!$F475)</f>
        <v>2026Q1</v>
      </c>
      <c r="D474" t="str">
        <f>IF(原始经营数据!$D475="","",原始经营数据!$H475)</f>
        <v>期末租金收缴率</v>
      </c>
      <c r="E474">
        <f>IF(原始经营数据!$D475="","",原始经营数据!$I475)</f>
        <v>100</v>
      </c>
      <c r="F474" t="str">
        <f>IF(原始经营数据!$D475="","",T(原始经营数据!$J475))</f>
        <v>%</v>
      </c>
      <c r="G474" t="str">
        <f>IF(原始经营数据!$D475="","",T(原始经营数据!$K475))</f>
        <v/>
      </c>
      <c r="H474" t="str">
        <f>IF(原始经营数据!$D475="","",原始经营数据!$G475)</f>
        <v>服务效率</v>
      </c>
      <c r="I474" t="str">
        <f>IF($A474="","",IF($B474&lt;&gt;"",$B474,IF(COUNTIFS(原始经营数据!$D$3:$D$3001,$A474,原始经营数据!$E$3:$E$3001,"",原始经营数据!$F$3:$F$3001,$C474,原始经营数据!$H$3:$H$3001,$D474,原始经营数据!$K$3:$K$3001,$G474)&gt;1,"基金整体·来源"&amp;原始经营数据!$A475,"基金整体")))</f>
        <v>领秀城贵和购物中心</v>
      </c>
      <c r="J474" t="str">
        <f t="shared" si="108"/>
        <v>季度</v>
      </c>
      <c r="K474" t="str">
        <f t="shared" si="109"/>
        <v>期末租金收缴率（%）</v>
      </c>
      <c r="L474" t="str">
        <f t="shared" si="110"/>
        <v>领秀城贵和购物中心|期末租金收缴率（%）|季度</v>
      </c>
      <c r="M474">
        <f>IF($A474="",0,IF(COUNTIF($L$2:$L474,$L474)=1,1,0))</f>
        <v>0</v>
      </c>
      <c r="N474">
        <f t="shared" si="111"/>
        <v>20261</v>
      </c>
      <c r="O474" t="str">
        <f t="shared" si="112"/>
        <v>中金中国绿发消费封闭式基础设施证券投资基金|2026Q1|季度</v>
      </c>
      <c r="P474">
        <f>IF($A474="",0,IF(COUNTIF($O$2:$O474,$O474)=1,1,0))</f>
        <v>0</v>
      </c>
      <c r="Q474" t="str">
        <f>IF(AND($P474=1,$A474=经营数据!$B$3,$J474=经营数据!$BA$5),COUNTIFS($P$2:$P$3000,1,$A$2:$A$3000,$A474,$J$2:$J$3000,$J474,$N$2:$N$3000,"&lt;"&amp;$N474)+1,"")</f>
        <v/>
      </c>
      <c r="R474" t="str">
        <f t="shared" si="113"/>
        <v>中金中国绿发消费封闭式基础设施证券投资基金|领秀城贵和购物中心</v>
      </c>
      <c r="S474">
        <f>IF($A474="",0,IF(COUNTIF($R$2:$R474,$R474)=1,1,0))</f>
        <v>0</v>
      </c>
      <c r="T474">
        <f t="shared" si="114"/>
        <v>385</v>
      </c>
      <c r="U474" t="str">
        <f>IF($A474="","",IF($A474=经营数据!$B$3,COUNTIFS($S$2:$S$3000,1,$A$2:$A$3000,$A474,$T$2:$T$3000,"&lt;"&amp;$T474)+1,""))</f>
        <v/>
      </c>
      <c r="V474" t="str">
        <f t="shared" si="115"/>
        <v>领秀城贵和购物中心|服务效率</v>
      </c>
      <c r="W474">
        <f t="shared" si="116"/>
        <v>397</v>
      </c>
      <c r="X474" t="str">
        <f t="shared" si="117"/>
        <v>领秀城贵和购物中心|期末租金收缴率</v>
      </c>
      <c r="Y474">
        <f t="shared" si="118"/>
        <v>458</v>
      </c>
      <c r="Z474">
        <f>IF($A474="",0,IF(AND($M474=1,$A474=经营数据!$B$3,$J474=经营数据!$BA$5,OR($I474=经营数据!$BA$4,COUNTIF(经营数据!$AA$9:$AA$38,$I474)&gt;0)),1,0))</f>
        <v>0</v>
      </c>
      <c r="AA474" t="str">
        <f t="shared" si="119"/>
        <v/>
      </c>
      <c r="AB474" t="str">
        <f t="shared" si="120"/>
        <v/>
      </c>
      <c r="AC474">
        <f>IF($A474="",0,IF(COUNTIF($A$2:$A474,$A474)=1,1,0))</f>
        <v>0</v>
      </c>
      <c r="AD474">
        <f t="shared" si="121"/>
        <v>5</v>
      </c>
      <c r="AE474" t="str">
        <f t="shared" si="122"/>
        <v>领秀城贵和购物中心|期末租金收缴率（%）</v>
      </c>
      <c r="BP474" s="47">
        <v>46078</v>
      </c>
      <c r="BQ474" s="29">
        <v>3.8291204674576911E-2</v>
      </c>
    </row>
    <row r="475" spans="1:69" x14ac:dyDescent="0.4">
      <c r="A475" t="str">
        <f>IF(原始经营数据!$D476="","",原始经营数据!$D476)</f>
        <v>中金中国绿发消费封闭式基础设施证券投资基金</v>
      </c>
      <c r="B475" t="str">
        <f>IF(原始经营数据!$D476="","",T(原始经营数据!$E476))</f>
        <v>领秀城贵和购物中心</v>
      </c>
      <c r="C475" t="str">
        <f>IF(原始经营数据!$D476="","",原始经营数据!$F476)</f>
        <v>2026Q2</v>
      </c>
      <c r="D475" t="str">
        <f>IF(原始经营数据!$D476="","",原始经营数据!$H476)</f>
        <v>期末可供出租面积</v>
      </c>
      <c r="E475">
        <f>IF(原始经营数据!$D476="","",原始经营数据!$I476)</f>
        <v>84478.85</v>
      </c>
      <c r="F475" t="str">
        <f>IF(原始经营数据!$D476="","",T(原始经营数据!$J476))</f>
        <v>平方米</v>
      </c>
      <c r="G475" t="str">
        <f>IF(原始经营数据!$D476="","",T(原始经营数据!$K476))</f>
        <v/>
      </c>
      <c r="H475" t="str">
        <f>IF(原始经营数据!$D476="","",原始经营数据!$G476)</f>
        <v>服务量</v>
      </c>
      <c r="I475" t="str">
        <f>IF($A475="","",IF($B475&lt;&gt;"",$B475,IF(COUNTIFS(原始经营数据!$D$3:$D$3001,$A475,原始经营数据!$E$3:$E$3001,"",原始经营数据!$F$3:$F$3001,$C475,原始经营数据!$H$3:$H$3001,$D475,原始经营数据!$K$3:$K$3001,$G475)&gt;1,"基金整体·来源"&amp;原始经营数据!$A476,"基金整体")))</f>
        <v>领秀城贵和购物中心</v>
      </c>
      <c r="J475" t="str">
        <f t="shared" si="108"/>
        <v>季度</v>
      </c>
      <c r="K475" t="str">
        <f t="shared" si="109"/>
        <v>期末可供出租面积（平方米）</v>
      </c>
      <c r="L475" t="str">
        <f t="shared" si="110"/>
        <v>领秀城贵和购物中心|期末可供出租面积（平方米）|季度</v>
      </c>
      <c r="M475">
        <f>IF($A475="",0,IF(COUNTIF($L$2:$L475,$L475)=1,1,0))</f>
        <v>0</v>
      </c>
      <c r="N475">
        <f t="shared" si="111"/>
        <v>20262</v>
      </c>
      <c r="O475" t="str">
        <f t="shared" si="112"/>
        <v>中金中国绿发消费封闭式基础设施证券投资基金|2026Q2|季度</v>
      </c>
      <c r="P475">
        <f>IF($A475="",0,IF(COUNTIF($O$2:$O475,$O475)=1,1,0))</f>
        <v>1</v>
      </c>
      <c r="Q475" t="str">
        <f>IF(AND($P475=1,$A475=经营数据!$B$3,$J475=经营数据!$BA$5),COUNTIFS($P$2:$P$3000,1,$A$2:$A$3000,$A475,$J$2:$J$3000,$J475,$N$2:$N$3000,"&lt;"&amp;$N475)+1,"")</f>
        <v/>
      </c>
      <c r="R475" t="str">
        <f t="shared" si="113"/>
        <v>中金中国绿发消费封闭式基础设施证券投资基金|领秀城贵和购物中心</v>
      </c>
      <c r="S475">
        <f>IF($A475="",0,IF(COUNTIF($R$2:$R475,$R475)=1,1,0))</f>
        <v>0</v>
      </c>
      <c r="T475">
        <f t="shared" si="114"/>
        <v>385</v>
      </c>
      <c r="U475" t="str">
        <f>IF($A475="","",IF($A475=经营数据!$B$3,COUNTIFS($S$2:$S$3000,1,$A$2:$A$3000,$A475,$T$2:$T$3000,"&lt;"&amp;$T475)+1,""))</f>
        <v/>
      </c>
      <c r="V475" t="str">
        <f t="shared" si="115"/>
        <v>领秀城贵和购物中心|服务量</v>
      </c>
      <c r="W475">
        <f t="shared" si="116"/>
        <v>405</v>
      </c>
      <c r="X475" t="str">
        <f t="shared" si="117"/>
        <v>领秀城贵和购物中心|期末可供出租面积</v>
      </c>
      <c r="Y475">
        <f t="shared" si="118"/>
        <v>456</v>
      </c>
      <c r="Z475">
        <f>IF($A475="",0,IF(AND($M475=1,$A475=经营数据!$B$3,$J475=经营数据!$BA$5,OR($I475=经营数据!$BA$4,COUNTIF(经营数据!$AA$9:$AA$38,$I475)&gt;0)),1,0))</f>
        <v>0</v>
      </c>
      <c r="AA475" t="str">
        <f t="shared" si="119"/>
        <v/>
      </c>
      <c r="AB475" t="str">
        <f t="shared" si="120"/>
        <v/>
      </c>
      <c r="AC475">
        <f>IF($A475="",0,IF(COUNTIF($A$2:$A475,$A475)=1,1,0))</f>
        <v>0</v>
      </c>
      <c r="AD475">
        <f t="shared" si="121"/>
        <v>5</v>
      </c>
      <c r="AE475" t="str">
        <f t="shared" si="122"/>
        <v>领秀城贵和购物中心|期末可供出租面积（平方米）</v>
      </c>
      <c r="BP475" s="47">
        <v>46079</v>
      </c>
      <c r="BQ475" s="29">
        <v>3.8482744479902797E-2</v>
      </c>
    </row>
    <row r="476" spans="1:69" x14ac:dyDescent="0.4">
      <c r="A476" t="str">
        <f>IF(原始经营数据!$D477="","",原始经营数据!$D477)</f>
        <v>中金中国绿发消费封闭式基础设施证券投资基金</v>
      </c>
      <c r="B476" t="str">
        <f>IF(原始经营数据!$D477="","",T(原始经营数据!$E477))</f>
        <v>领秀城贵和购物中心</v>
      </c>
      <c r="C476" t="str">
        <f>IF(原始经营数据!$D477="","",原始经营数据!$F477)</f>
        <v>2026Q2</v>
      </c>
      <c r="D476" t="str">
        <f>IF(原始经营数据!$D477="","",原始经营数据!$H477)</f>
        <v>期末实际出租面积</v>
      </c>
      <c r="E476">
        <f>IF(原始经营数据!$D477="","",原始经营数据!$I477)</f>
        <v>72797.850000000006</v>
      </c>
      <c r="F476" t="str">
        <f>IF(原始经营数据!$D477="","",T(原始经营数据!$J477))</f>
        <v>平方米</v>
      </c>
      <c r="G476" t="str">
        <f>IF(原始经营数据!$D477="","",T(原始经营数据!$K477))</f>
        <v/>
      </c>
      <c r="H476" t="str">
        <f>IF(原始经营数据!$D477="","",原始经营数据!$G477)</f>
        <v>服务量</v>
      </c>
      <c r="I476" t="str">
        <f>IF($A476="","",IF($B476&lt;&gt;"",$B476,IF(COUNTIFS(原始经营数据!$D$3:$D$3001,$A476,原始经营数据!$E$3:$E$3001,"",原始经营数据!$F$3:$F$3001,$C476,原始经营数据!$H$3:$H$3001,$D476,原始经营数据!$K$3:$K$3001,$G476)&gt;1,"基金整体·来源"&amp;原始经营数据!$A477,"基金整体")))</f>
        <v>领秀城贵和购物中心</v>
      </c>
      <c r="J476" t="str">
        <f t="shared" si="108"/>
        <v>季度</v>
      </c>
      <c r="K476" t="str">
        <f t="shared" si="109"/>
        <v>期末实际出租面积（平方米）</v>
      </c>
      <c r="L476" t="str">
        <f t="shared" si="110"/>
        <v>领秀城贵和购物中心|期末实际出租面积（平方米）|季度</v>
      </c>
      <c r="M476">
        <f>IF($A476="",0,IF(COUNTIF($L$2:$L476,$L476)=1,1,0))</f>
        <v>0</v>
      </c>
      <c r="N476">
        <f t="shared" si="111"/>
        <v>20262</v>
      </c>
      <c r="O476" t="str">
        <f t="shared" si="112"/>
        <v>中金中国绿发消费封闭式基础设施证券投资基金|2026Q2|季度</v>
      </c>
      <c r="P476">
        <f>IF($A476="",0,IF(COUNTIF($O$2:$O476,$O476)=1,1,0))</f>
        <v>0</v>
      </c>
      <c r="Q476" t="str">
        <f>IF(AND($P476=1,$A476=经营数据!$B$3,$J476=经营数据!$BA$5),COUNTIFS($P$2:$P$3000,1,$A$2:$A$3000,$A476,$J$2:$J$3000,$J476,$N$2:$N$3000,"&lt;"&amp;$N476)+1,"")</f>
        <v/>
      </c>
      <c r="R476" t="str">
        <f t="shared" si="113"/>
        <v>中金中国绿发消费封闭式基础设施证券投资基金|领秀城贵和购物中心</v>
      </c>
      <c r="S476">
        <f>IF($A476="",0,IF(COUNTIF($R$2:$R476,$R476)=1,1,0))</f>
        <v>0</v>
      </c>
      <c r="T476">
        <f t="shared" si="114"/>
        <v>385</v>
      </c>
      <c r="U476" t="str">
        <f>IF($A476="","",IF($A476=经营数据!$B$3,COUNTIFS($S$2:$S$3000,1,$A$2:$A$3000,$A476,$T$2:$T$3000,"&lt;"&amp;$T476)+1,""))</f>
        <v/>
      </c>
      <c r="V476" t="str">
        <f t="shared" si="115"/>
        <v>领秀城贵和购物中心|服务量</v>
      </c>
      <c r="W476">
        <f t="shared" si="116"/>
        <v>405</v>
      </c>
      <c r="X476" t="str">
        <f t="shared" si="117"/>
        <v>领秀城贵和购物中心|期末实际出租面积</v>
      </c>
      <c r="Y476">
        <f t="shared" si="118"/>
        <v>457</v>
      </c>
      <c r="Z476">
        <f>IF($A476="",0,IF(AND($M476=1,$A476=经营数据!$B$3,$J476=经营数据!$BA$5,OR($I476=经营数据!$BA$4,COUNTIF(经营数据!$AA$9:$AA$38,$I476)&gt;0)),1,0))</f>
        <v>0</v>
      </c>
      <c r="AA476" t="str">
        <f t="shared" si="119"/>
        <v/>
      </c>
      <c r="AB476" t="str">
        <f t="shared" si="120"/>
        <v/>
      </c>
      <c r="AC476">
        <f>IF($A476="",0,IF(COUNTIF($A$2:$A476,$A476)=1,1,0))</f>
        <v>0</v>
      </c>
      <c r="AD476">
        <f t="shared" si="121"/>
        <v>5</v>
      </c>
      <c r="AE476" t="str">
        <f t="shared" si="122"/>
        <v>领秀城贵和购物中心|期末实际出租面积（平方米）</v>
      </c>
      <c r="BP476" s="47">
        <v>46080</v>
      </c>
      <c r="BQ476" s="29">
        <v>3.8564881073345512E-2</v>
      </c>
    </row>
    <row r="477" spans="1:69" x14ac:dyDescent="0.4">
      <c r="A477" t="str">
        <f>IF(原始经营数据!$D478="","",原始经营数据!$D478)</f>
        <v>中金中国绿发消费封闭式基础设施证券投资基金</v>
      </c>
      <c r="B477" t="str">
        <f>IF(原始经营数据!$D478="","",T(原始经营数据!$E478))</f>
        <v>领秀城贵和购物中心</v>
      </c>
      <c r="C477" t="str">
        <f>IF(原始经营数据!$D478="","",原始经营数据!$F478)</f>
        <v>2026Q2</v>
      </c>
      <c r="D477" t="str">
        <f>IF(原始经营数据!$D478="","",原始经营数据!$H478)</f>
        <v>期末出租率</v>
      </c>
      <c r="E477">
        <f>IF(原始经营数据!$D478="","",原始经营数据!$I478)</f>
        <v>86.17</v>
      </c>
      <c r="F477" t="str">
        <f>IF(原始经营数据!$D478="","",T(原始经营数据!$J478))</f>
        <v>%</v>
      </c>
      <c r="G477" t="str">
        <f>IF(原始经营数据!$D478="","",T(原始经营数据!$K478))</f>
        <v/>
      </c>
      <c r="H477" t="str">
        <f>IF(原始经营数据!$D478="","",原始经营数据!$G478)</f>
        <v>服务效率</v>
      </c>
      <c r="I477" t="str">
        <f>IF($A477="","",IF($B477&lt;&gt;"",$B477,IF(COUNTIFS(原始经营数据!$D$3:$D$3001,$A477,原始经营数据!$E$3:$E$3001,"",原始经营数据!$F$3:$F$3001,$C477,原始经营数据!$H$3:$H$3001,$D477,原始经营数据!$K$3:$K$3001,$G477)&gt;1,"基金整体·来源"&amp;原始经营数据!$A478,"基金整体")))</f>
        <v>领秀城贵和购物中心</v>
      </c>
      <c r="J477" t="str">
        <f t="shared" si="108"/>
        <v>季度</v>
      </c>
      <c r="K477" t="str">
        <f t="shared" si="109"/>
        <v>期末出租率（%）</v>
      </c>
      <c r="L477" t="str">
        <f t="shared" si="110"/>
        <v>领秀城贵和购物中心|期末出租率（%）|季度</v>
      </c>
      <c r="M477">
        <f>IF($A477="",0,IF(COUNTIF($L$2:$L477,$L477)=1,1,0))</f>
        <v>0</v>
      </c>
      <c r="N477">
        <f t="shared" si="111"/>
        <v>20262</v>
      </c>
      <c r="O477" t="str">
        <f t="shared" si="112"/>
        <v>中金中国绿发消费封闭式基础设施证券投资基金|2026Q2|季度</v>
      </c>
      <c r="P477">
        <f>IF($A477="",0,IF(COUNTIF($O$2:$O477,$O477)=1,1,0))</f>
        <v>0</v>
      </c>
      <c r="Q477" t="str">
        <f>IF(AND($P477=1,$A477=经营数据!$B$3,$J477=经营数据!$BA$5),COUNTIFS($P$2:$P$3000,1,$A$2:$A$3000,$A477,$J$2:$J$3000,$J477,$N$2:$N$3000,"&lt;"&amp;$N477)+1,"")</f>
        <v/>
      </c>
      <c r="R477" t="str">
        <f t="shared" si="113"/>
        <v>中金中国绿发消费封闭式基础设施证券投资基金|领秀城贵和购物中心</v>
      </c>
      <c r="S477">
        <f>IF($A477="",0,IF(COUNTIF($R$2:$R477,$R477)=1,1,0))</f>
        <v>0</v>
      </c>
      <c r="T477">
        <f t="shared" si="114"/>
        <v>385</v>
      </c>
      <c r="U477" t="str">
        <f>IF($A477="","",IF($A477=经营数据!$B$3,COUNTIFS($S$2:$S$3000,1,$A$2:$A$3000,$A477,$T$2:$T$3000,"&lt;"&amp;$T477)+1,""))</f>
        <v/>
      </c>
      <c r="V477" t="str">
        <f t="shared" si="115"/>
        <v>领秀城贵和购物中心|服务效率</v>
      </c>
      <c r="W477">
        <f t="shared" si="116"/>
        <v>397</v>
      </c>
      <c r="X477" t="str">
        <f t="shared" si="117"/>
        <v>领秀城贵和购物中心|期末出租率</v>
      </c>
      <c r="Y477">
        <f t="shared" si="118"/>
        <v>455</v>
      </c>
      <c r="Z477">
        <f>IF($A477="",0,IF(AND($M477=1,$A477=经营数据!$B$3,$J477=经营数据!$BA$5,OR($I477=经营数据!$BA$4,COUNTIF(经营数据!$AA$9:$AA$38,$I477)&gt;0)),1,0))</f>
        <v>0</v>
      </c>
      <c r="AA477" t="str">
        <f t="shared" si="119"/>
        <v/>
      </c>
      <c r="AB477" t="str">
        <f t="shared" si="120"/>
        <v/>
      </c>
      <c r="AC477">
        <f>IF($A477="",0,IF(COUNTIF($A$2:$A477,$A477)=1,1,0))</f>
        <v>0</v>
      </c>
      <c r="AD477">
        <f t="shared" si="121"/>
        <v>5</v>
      </c>
      <c r="AE477" t="str">
        <f t="shared" si="122"/>
        <v>领秀城贵和购物中心|期末出租率（%）</v>
      </c>
      <c r="BP477" s="47">
        <v>46083</v>
      </c>
      <c r="BQ477" s="29">
        <v>3.8708809869047983E-2</v>
      </c>
    </row>
    <row r="478" spans="1:69" x14ac:dyDescent="0.4">
      <c r="A478" t="str">
        <f>IF(原始经营数据!$D479="","",原始经营数据!$D479)</f>
        <v>中金中国绿发消费封闭式基础设施证券投资基金</v>
      </c>
      <c r="B478" t="str">
        <f>IF(原始经营数据!$D479="","",T(原始经营数据!$E479))</f>
        <v>领秀城贵和购物中心</v>
      </c>
      <c r="C478" t="str">
        <f>IF(原始经营数据!$D479="","",原始经营数据!$F479)</f>
        <v>2026Q2</v>
      </c>
      <c r="D478" t="str">
        <f>IF(原始经营数据!$D479="","",原始经营数据!$H479)</f>
        <v>期内租金单价水平</v>
      </c>
      <c r="E478">
        <f>IF(原始经营数据!$D479="","",原始经营数据!$I479)</f>
        <v>4.3600000000000003</v>
      </c>
      <c r="F478" t="str">
        <f>IF(原始经营数据!$D479="","",T(原始经营数据!$J479))</f>
        <v>元/平方米/天</v>
      </c>
      <c r="G478" t="str">
        <f>IF(原始经营数据!$D479="","",T(原始经营数据!$K479))</f>
        <v/>
      </c>
      <c r="H478" t="str">
        <f>IF(原始经营数据!$D479="","",原始经营数据!$G479)</f>
        <v>服务价格</v>
      </c>
      <c r="I478" t="str">
        <f>IF($A478="","",IF($B478&lt;&gt;"",$B478,IF(COUNTIFS(原始经营数据!$D$3:$D$3001,$A478,原始经营数据!$E$3:$E$3001,"",原始经营数据!$F$3:$F$3001,$C478,原始经营数据!$H$3:$H$3001,$D478,原始经营数据!$K$3:$K$3001,$G478)&gt;1,"基金整体·来源"&amp;原始经营数据!$A479,"基金整体")))</f>
        <v>领秀城贵和购物中心</v>
      </c>
      <c r="J478" t="str">
        <f t="shared" si="108"/>
        <v>季度</v>
      </c>
      <c r="K478" t="str">
        <f t="shared" si="109"/>
        <v>期内租金单价水平（元/平方米/天）</v>
      </c>
      <c r="L478" t="str">
        <f t="shared" si="110"/>
        <v>领秀城贵和购物中心|期内租金单价水平（元/平方米/天）|季度</v>
      </c>
      <c r="M478">
        <f>IF($A478="",0,IF(COUNTIF($L$2:$L478,$L478)=1,1,0))</f>
        <v>0</v>
      </c>
      <c r="N478">
        <f t="shared" si="111"/>
        <v>20262</v>
      </c>
      <c r="O478" t="str">
        <f t="shared" si="112"/>
        <v>中金中国绿发消费封闭式基础设施证券投资基金|2026Q2|季度</v>
      </c>
      <c r="P478">
        <f>IF($A478="",0,IF(COUNTIF($O$2:$O478,$O478)=1,1,0))</f>
        <v>0</v>
      </c>
      <c r="Q478" t="str">
        <f>IF(AND($P478=1,$A478=经营数据!$B$3,$J478=经营数据!$BA$5),COUNTIFS($P$2:$P$3000,1,$A$2:$A$3000,$A478,$J$2:$J$3000,$J478,$N$2:$N$3000,"&lt;"&amp;$N478)+1,"")</f>
        <v/>
      </c>
      <c r="R478" t="str">
        <f t="shared" si="113"/>
        <v>中金中国绿发消费封闭式基础设施证券投资基金|领秀城贵和购物中心</v>
      </c>
      <c r="S478">
        <f>IF($A478="",0,IF(COUNTIF($R$2:$R478,$R478)=1,1,0))</f>
        <v>0</v>
      </c>
      <c r="T478">
        <f t="shared" si="114"/>
        <v>385</v>
      </c>
      <c r="U478" t="str">
        <f>IF($A478="","",IF($A478=经营数据!$B$3,COUNTIFS($S$2:$S$3000,1,$A$2:$A$3000,$A478,$T$2:$T$3000,"&lt;"&amp;$T478)+1,""))</f>
        <v/>
      </c>
      <c r="V478" t="str">
        <f t="shared" si="115"/>
        <v>领秀城贵和购物中心|服务价格</v>
      </c>
      <c r="W478">
        <f t="shared" si="116"/>
        <v>395</v>
      </c>
      <c r="X478" t="str">
        <f t="shared" si="117"/>
        <v>领秀城贵和购物中心|期内租金单价水平</v>
      </c>
      <c r="Y478">
        <f t="shared" si="118"/>
        <v>460</v>
      </c>
      <c r="Z478">
        <f>IF($A478="",0,IF(AND($M478=1,$A478=经营数据!$B$3,$J478=经营数据!$BA$5,OR($I478=经营数据!$BA$4,COUNTIF(经营数据!$AA$9:$AA$38,$I478)&gt;0)),1,0))</f>
        <v>0</v>
      </c>
      <c r="AA478" t="str">
        <f t="shared" si="119"/>
        <v/>
      </c>
      <c r="AB478" t="str">
        <f t="shared" si="120"/>
        <v/>
      </c>
      <c r="AC478">
        <f>IF($A478="",0,IF(COUNTIF($A$2:$A478,$A478)=1,1,0))</f>
        <v>0</v>
      </c>
      <c r="AD478">
        <f t="shared" si="121"/>
        <v>5</v>
      </c>
      <c r="AE478" t="str">
        <f t="shared" si="122"/>
        <v>领秀城贵和购物中心|期内租金单价水平（元/平方米/天）</v>
      </c>
      <c r="BP478" s="47">
        <v>46084</v>
      </c>
      <c r="BQ478" s="29">
        <v>3.8588824855110858E-2</v>
      </c>
    </row>
    <row r="479" spans="1:69" x14ac:dyDescent="0.4">
      <c r="A479" t="str">
        <f>IF(原始经营数据!$D480="","",原始经营数据!$D480)</f>
        <v>中金中国绿发消费封闭式基础设施证券投资基金</v>
      </c>
      <c r="B479" t="str">
        <f>IF(原始经营数据!$D480="","",T(原始经营数据!$E480))</f>
        <v>领秀城贵和购物中心</v>
      </c>
      <c r="C479" t="str">
        <f>IF(原始经营数据!$D480="","",原始经营数据!$F480)</f>
        <v>2026Q2</v>
      </c>
      <c r="D479" t="str">
        <f>IF(原始经营数据!$D480="","",原始经营数据!$H480)</f>
        <v>期末剩余租期情况</v>
      </c>
      <c r="E479">
        <f>IF(原始经营数据!$D480="","",原始经营数据!$I480)</f>
        <v>2.4</v>
      </c>
      <c r="F479" t="str">
        <f>IF(原始经营数据!$D480="","",T(原始经营数据!$J480))</f>
        <v>年</v>
      </c>
      <c r="G479" t="str">
        <f>IF(原始经营数据!$D480="","",T(原始经营数据!$K480))</f>
        <v/>
      </c>
      <c r="H479" t="str">
        <f>IF(原始经营数据!$D480="","",原始经营数据!$G480)</f>
        <v>服务量</v>
      </c>
      <c r="I479" t="str">
        <f>IF($A479="","",IF($B479&lt;&gt;"",$B479,IF(COUNTIFS(原始经营数据!$D$3:$D$3001,$A479,原始经营数据!$E$3:$E$3001,"",原始经营数据!$F$3:$F$3001,$C479,原始经营数据!$H$3:$H$3001,$D479,原始经营数据!$K$3:$K$3001,$G479)&gt;1,"基金整体·来源"&amp;原始经营数据!$A480,"基金整体")))</f>
        <v>领秀城贵和购物中心</v>
      </c>
      <c r="J479" t="str">
        <f t="shared" si="108"/>
        <v>季度</v>
      </c>
      <c r="K479" t="str">
        <f t="shared" si="109"/>
        <v>期末剩余租期情况（年）</v>
      </c>
      <c r="L479" t="str">
        <f t="shared" si="110"/>
        <v>领秀城贵和购物中心|期末剩余租期情况（年）|季度</v>
      </c>
      <c r="M479">
        <f>IF($A479="",0,IF(COUNTIF($L$2:$L479,$L479)=1,1,0))</f>
        <v>0</v>
      </c>
      <c r="N479">
        <f t="shared" si="111"/>
        <v>20262</v>
      </c>
      <c r="O479" t="str">
        <f t="shared" si="112"/>
        <v>中金中国绿发消费封闭式基础设施证券投资基金|2026Q2|季度</v>
      </c>
      <c r="P479">
        <f>IF($A479="",0,IF(COUNTIF($O$2:$O479,$O479)=1,1,0))</f>
        <v>0</v>
      </c>
      <c r="Q479" t="str">
        <f>IF(AND($P479=1,$A479=经营数据!$B$3,$J479=经营数据!$BA$5),COUNTIFS($P$2:$P$3000,1,$A$2:$A$3000,$A479,$J$2:$J$3000,$J479,$N$2:$N$3000,"&lt;"&amp;$N479)+1,"")</f>
        <v/>
      </c>
      <c r="R479" t="str">
        <f t="shared" si="113"/>
        <v>中金中国绿发消费封闭式基础设施证券投资基金|领秀城贵和购物中心</v>
      </c>
      <c r="S479">
        <f>IF($A479="",0,IF(COUNTIF($R$2:$R479,$R479)=1,1,0))</f>
        <v>0</v>
      </c>
      <c r="T479">
        <f t="shared" si="114"/>
        <v>385</v>
      </c>
      <c r="U479" t="str">
        <f>IF($A479="","",IF($A479=经营数据!$B$3,COUNTIFS($S$2:$S$3000,1,$A$2:$A$3000,$A479,$T$2:$T$3000,"&lt;"&amp;$T479)+1,""))</f>
        <v/>
      </c>
      <c r="V479" t="str">
        <f t="shared" si="115"/>
        <v>领秀城贵和购物中心|服务量</v>
      </c>
      <c r="W479">
        <f t="shared" si="116"/>
        <v>405</v>
      </c>
      <c r="X479" t="str">
        <f t="shared" si="117"/>
        <v>领秀城贵和购物中心|期末剩余租期情况</v>
      </c>
      <c r="Y479">
        <f t="shared" si="118"/>
        <v>454</v>
      </c>
      <c r="Z479">
        <f>IF($A479="",0,IF(AND($M479=1,$A479=经营数据!$B$3,$J479=经营数据!$BA$5,OR($I479=经营数据!$BA$4,COUNTIF(经营数据!$AA$9:$AA$38,$I479)&gt;0)),1,0))</f>
        <v>0</v>
      </c>
      <c r="AA479" t="str">
        <f t="shared" si="119"/>
        <v/>
      </c>
      <c r="AB479" t="str">
        <f t="shared" si="120"/>
        <v/>
      </c>
      <c r="AC479">
        <f>IF($A479="",0,IF(COUNTIF($A$2:$A479,$A479)=1,1,0))</f>
        <v>0</v>
      </c>
      <c r="AD479">
        <f t="shared" si="121"/>
        <v>5</v>
      </c>
      <c r="AE479" t="str">
        <f t="shared" si="122"/>
        <v>领秀城贵和购物中心|期末剩余租期情况（年）</v>
      </c>
      <c r="BP479" s="47">
        <v>46085</v>
      </c>
      <c r="BQ479" s="29">
        <v>3.8812041358837659E-2</v>
      </c>
    </row>
    <row r="480" spans="1:69" x14ac:dyDescent="0.4">
      <c r="A480" t="str">
        <f>IF(原始经营数据!$D481="","",原始经营数据!$D481)</f>
        <v>中金中国绿发消费封闭式基础设施证券投资基金</v>
      </c>
      <c r="B480" t="str">
        <f>IF(原始经营数据!$D481="","",T(原始经营数据!$E481))</f>
        <v>领秀城贵和购物中心</v>
      </c>
      <c r="C480" t="str">
        <f>IF(原始经营数据!$D481="","",原始经营数据!$F481)</f>
        <v>2026Q2</v>
      </c>
      <c r="D480" t="str">
        <f>IF(原始经营数据!$D481="","",原始经营数据!$H481)</f>
        <v>期末租金收缴率</v>
      </c>
      <c r="E480">
        <f>IF(原始经营数据!$D481="","",原始经营数据!$I481)</f>
        <v>100</v>
      </c>
      <c r="F480" t="str">
        <f>IF(原始经营数据!$D481="","",T(原始经营数据!$J481))</f>
        <v>%</v>
      </c>
      <c r="G480" t="str">
        <f>IF(原始经营数据!$D481="","",T(原始经营数据!$K481))</f>
        <v/>
      </c>
      <c r="H480" t="str">
        <f>IF(原始经营数据!$D481="","",原始经营数据!$G481)</f>
        <v>服务效率</v>
      </c>
      <c r="I480" t="str">
        <f>IF($A480="","",IF($B480&lt;&gt;"",$B480,IF(COUNTIFS(原始经营数据!$D$3:$D$3001,$A480,原始经营数据!$E$3:$E$3001,"",原始经营数据!$F$3:$F$3001,$C480,原始经营数据!$H$3:$H$3001,$D480,原始经营数据!$K$3:$K$3001,$G480)&gt;1,"基金整体·来源"&amp;原始经营数据!$A481,"基金整体")))</f>
        <v>领秀城贵和购物中心</v>
      </c>
      <c r="J480" t="str">
        <f t="shared" si="108"/>
        <v>季度</v>
      </c>
      <c r="K480" t="str">
        <f t="shared" si="109"/>
        <v>期末租金收缴率（%）</v>
      </c>
      <c r="L480" t="str">
        <f t="shared" si="110"/>
        <v>领秀城贵和购物中心|期末租金收缴率（%）|季度</v>
      </c>
      <c r="M480">
        <f>IF($A480="",0,IF(COUNTIF($L$2:$L480,$L480)=1,1,0))</f>
        <v>0</v>
      </c>
      <c r="N480">
        <f t="shared" si="111"/>
        <v>20262</v>
      </c>
      <c r="O480" t="str">
        <f t="shared" si="112"/>
        <v>中金中国绿发消费封闭式基础设施证券投资基金|2026Q2|季度</v>
      </c>
      <c r="P480">
        <f>IF($A480="",0,IF(COUNTIF($O$2:$O480,$O480)=1,1,0))</f>
        <v>0</v>
      </c>
      <c r="Q480" t="str">
        <f>IF(AND($P480=1,$A480=经营数据!$B$3,$J480=经营数据!$BA$5),COUNTIFS($P$2:$P$3000,1,$A$2:$A$3000,$A480,$J$2:$J$3000,$J480,$N$2:$N$3000,"&lt;"&amp;$N480)+1,"")</f>
        <v/>
      </c>
      <c r="R480" t="str">
        <f t="shared" si="113"/>
        <v>中金中国绿发消费封闭式基础设施证券投资基金|领秀城贵和购物中心</v>
      </c>
      <c r="S480">
        <f>IF($A480="",0,IF(COUNTIF($R$2:$R480,$R480)=1,1,0))</f>
        <v>0</v>
      </c>
      <c r="T480">
        <f t="shared" si="114"/>
        <v>385</v>
      </c>
      <c r="U480" t="str">
        <f>IF($A480="","",IF($A480=经营数据!$B$3,COUNTIFS($S$2:$S$3000,1,$A$2:$A$3000,$A480,$T$2:$T$3000,"&lt;"&amp;$T480)+1,""))</f>
        <v/>
      </c>
      <c r="V480" t="str">
        <f t="shared" si="115"/>
        <v>领秀城贵和购物中心|服务效率</v>
      </c>
      <c r="W480">
        <f t="shared" si="116"/>
        <v>397</v>
      </c>
      <c r="X480" t="str">
        <f t="shared" si="117"/>
        <v>领秀城贵和购物中心|期末租金收缴率</v>
      </c>
      <c r="Y480">
        <f t="shared" si="118"/>
        <v>458</v>
      </c>
      <c r="Z480">
        <f>IF($A480="",0,IF(AND($M480=1,$A480=经营数据!$B$3,$J480=经营数据!$BA$5,OR($I480=经营数据!$BA$4,COUNTIF(经营数据!$AA$9:$AA$38,$I480)&gt;0)),1,0))</f>
        <v>0</v>
      </c>
      <c r="AA480" t="str">
        <f t="shared" si="119"/>
        <v/>
      </c>
      <c r="AB480" t="str">
        <f t="shared" si="120"/>
        <v/>
      </c>
      <c r="AC480">
        <f>IF($A480="",0,IF(COUNTIF($A$2:$A480,$A480)=1,1,0))</f>
        <v>0</v>
      </c>
      <c r="AD480">
        <f t="shared" si="121"/>
        <v>5</v>
      </c>
      <c r="AE480" t="str">
        <f t="shared" si="122"/>
        <v>领秀城贵和购物中心|期末租金收缴率（%）</v>
      </c>
      <c r="BP480" s="47">
        <v>46086</v>
      </c>
      <c r="BQ480" s="29">
        <v>3.8939106031414802E-2</v>
      </c>
    </row>
    <row r="481" spans="1:69" x14ac:dyDescent="0.4">
      <c r="A481" t="str">
        <f>IF(原始经营数据!$D482="","",原始经营数据!$D482)</f>
        <v>华安百联消费封闭式基础设施证券投资基金</v>
      </c>
      <c r="B481" t="str">
        <f>IF(原始经营数据!$D482="","",T(原始经营数据!$E482))</f>
        <v>上海又一城购物中心</v>
      </c>
      <c r="C481" t="str">
        <f>IF(原始经营数据!$D482="","",原始经营数据!$F482)</f>
        <v>2024Q3(0711-0930)</v>
      </c>
      <c r="D481" t="str">
        <f>IF(原始经营数据!$D482="","",原始经营数据!$H482)</f>
        <v>租赁业务收缴率</v>
      </c>
      <c r="E481">
        <f>IF(原始经营数据!$D482="","",原始经营数据!$I482)</f>
        <v>100</v>
      </c>
      <c r="F481" t="str">
        <f>IF(原始经营数据!$D482="","",T(原始经营数据!$J482))</f>
        <v>%</v>
      </c>
      <c r="G481" t="str">
        <f>IF(原始经营数据!$D482="","",T(原始经营数据!$K482))</f>
        <v/>
      </c>
      <c r="H481" t="str">
        <f>IF(原始经营数据!$D482="","",原始经营数据!$G482)</f>
        <v>服务效率</v>
      </c>
      <c r="I481" t="str">
        <f>IF($A481="","",IF($B481&lt;&gt;"",$B481,IF(COUNTIFS(原始经营数据!$D$3:$D$3001,$A481,原始经营数据!$E$3:$E$3001,"",原始经营数据!$F$3:$F$3001,$C481,原始经营数据!$H$3:$H$3001,$D481,原始经营数据!$K$3:$K$3001,$G481)&gt;1,"基金整体·来源"&amp;原始经营数据!$A482,"基金整体")))</f>
        <v>上海又一城购物中心</v>
      </c>
      <c r="J481" t="str">
        <f t="shared" si="108"/>
        <v>其他期间</v>
      </c>
      <c r="K481" t="str">
        <f t="shared" si="109"/>
        <v>租赁业务收缴率（%）</v>
      </c>
      <c r="L481" t="str">
        <f t="shared" si="110"/>
        <v>上海又一城购物中心|租赁业务收缴率（%）|其他期间</v>
      </c>
      <c r="M481">
        <f>IF($A481="",0,IF(COUNTIF($L$2:$L481,$L481)=1,1,0))</f>
        <v>1</v>
      </c>
      <c r="N481">
        <f t="shared" si="111"/>
        <v>20249</v>
      </c>
      <c r="O481" t="str">
        <f t="shared" si="112"/>
        <v>华安百联消费封闭式基础设施证券投资基金|2024Q3(0711-0930)|其他期间</v>
      </c>
      <c r="P481">
        <f>IF($A481="",0,IF(COUNTIF($O$2:$O481,$O481)=1,1,0))</f>
        <v>1</v>
      </c>
      <c r="Q481" t="str">
        <f>IF(AND($P481=1,$A481=经营数据!$B$3,$J481=经营数据!$BA$5),COUNTIFS($P$2:$P$3000,1,$A$2:$A$3000,$A481,$J$2:$J$3000,$J481,$N$2:$N$3000,"&lt;"&amp;$N481)+1,"")</f>
        <v/>
      </c>
      <c r="R481" t="str">
        <f t="shared" si="113"/>
        <v>华安百联消费封闭式基础设施证券投资基金|上海又一城购物中心</v>
      </c>
      <c r="S481">
        <f>IF($A481="",0,IF(COUNTIF($R$2:$R481,$R481)=1,1,0))</f>
        <v>1</v>
      </c>
      <c r="T481">
        <f t="shared" si="114"/>
        <v>480</v>
      </c>
      <c r="U481" t="str">
        <f>IF($A481="","",IF($A481=经营数据!$B$3,COUNTIFS($S$2:$S$3000,1,$A$2:$A$3000,$A481,$T$2:$T$3000,"&lt;"&amp;$T481)+1,""))</f>
        <v/>
      </c>
      <c r="V481" t="str">
        <f t="shared" si="115"/>
        <v>上海又一城购物中心|服务效率</v>
      </c>
      <c r="W481">
        <f t="shared" si="116"/>
        <v>480</v>
      </c>
      <c r="X481" t="str">
        <f t="shared" si="117"/>
        <v>上海又一城购物中心|租赁业务收缴率</v>
      </c>
      <c r="Y481">
        <f t="shared" si="118"/>
        <v>480</v>
      </c>
      <c r="Z481">
        <f>IF($A481="",0,IF(AND($M481=1,$A481=经营数据!$B$3,$J481=经营数据!$BA$5,OR($I481=经营数据!$BA$4,COUNTIF(经营数据!$AA$9:$AA$38,$I481)&gt;0)),1,0))</f>
        <v>0</v>
      </c>
      <c r="AA481" t="str">
        <f t="shared" si="119"/>
        <v/>
      </c>
      <c r="AB481" t="str">
        <f t="shared" si="120"/>
        <v/>
      </c>
      <c r="AC481">
        <f>IF($A481="",0,IF(COUNTIF($A$2:$A481,$A481)=1,1,0))</f>
        <v>1</v>
      </c>
      <c r="AD481">
        <f t="shared" si="121"/>
        <v>6</v>
      </c>
      <c r="AE481" t="str">
        <f t="shared" si="122"/>
        <v>上海又一城购物中心|租赁业务收缴率（%）</v>
      </c>
      <c r="BP481" s="47">
        <v>46087</v>
      </c>
      <c r="BQ481" s="29">
        <v>3.9185435738360017E-2</v>
      </c>
    </row>
    <row r="482" spans="1:69" x14ac:dyDescent="0.4">
      <c r="A482" t="str">
        <f>IF(原始经营数据!$D483="","",原始经营数据!$D483)</f>
        <v>华安百联消费封闭式基础设施证券投资基金</v>
      </c>
      <c r="B482" t="str">
        <f>IF(原始经营数据!$D483="","",T(原始经营数据!$E483))</f>
        <v>上海又一城购物中心</v>
      </c>
      <c r="C482" t="str">
        <f>IF(原始经营数据!$D483="","",原始经营数据!$F483)</f>
        <v>2024Q3(0711-0930)</v>
      </c>
      <c r="D482" t="str">
        <f>IF(原始经营数据!$D483="","",原始经营数据!$H483)</f>
        <v>加权平均剩余租期</v>
      </c>
      <c r="E482">
        <f>IF(原始经营数据!$D483="","",原始经营数据!$I483)</f>
        <v>2.06</v>
      </c>
      <c r="F482" t="str">
        <f>IF(原始经营数据!$D483="","",T(原始经营数据!$J483))</f>
        <v>年</v>
      </c>
      <c r="G482" t="str">
        <f>IF(原始经营数据!$D483="","",T(原始经营数据!$K483))</f>
        <v/>
      </c>
      <c r="H482" t="str">
        <f>IF(原始经营数据!$D483="","",原始经营数据!$G483)</f>
        <v>服务量</v>
      </c>
      <c r="I482" t="str">
        <f>IF($A482="","",IF($B482&lt;&gt;"",$B482,IF(COUNTIFS(原始经营数据!$D$3:$D$3001,$A482,原始经营数据!$E$3:$E$3001,"",原始经营数据!$F$3:$F$3001,$C482,原始经营数据!$H$3:$H$3001,$D482,原始经营数据!$K$3:$K$3001,$G482)&gt;1,"基金整体·来源"&amp;原始经营数据!$A483,"基金整体")))</f>
        <v>上海又一城购物中心</v>
      </c>
      <c r="J482" t="str">
        <f t="shared" si="108"/>
        <v>其他期间</v>
      </c>
      <c r="K482" t="str">
        <f t="shared" si="109"/>
        <v>加权平均剩余租期（年）</v>
      </c>
      <c r="L482" t="str">
        <f t="shared" si="110"/>
        <v>上海又一城购物中心|加权平均剩余租期（年）|其他期间</v>
      </c>
      <c r="M482">
        <f>IF($A482="",0,IF(COUNTIF($L$2:$L482,$L482)=1,1,0))</f>
        <v>1</v>
      </c>
      <c r="N482">
        <f t="shared" si="111"/>
        <v>20249</v>
      </c>
      <c r="O482" t="str">
        <f t="shared" si="112"/>
        <v>华安百联消费封闭式基础设施证券投资基金|2024Q3(0711-0930)|其他期间</v>
      </c>
      <c r="P482">
        <f>IF($A482="",0,IF(COUNTIF($O$2:$O482,$O482)=1,1,0))</f>
        <v>0</v>
      </c>
      <c r="Q482" t="str">
        <f>IF(AND($P482=1,$A482=经营数据!$B$3,$J482=经营数据!$BA$5),COUNTIFS($P$2:$P$3000,1,$A$2:$A$3000,$A482,$J$2:$J$3000,$J482,$N$2:$N$3000,"&lt;"&amp;$N482)+1,"")</f>
        <v/>
      </c>
      <c r="R482" t="str">
        <f t="shared" si="113"/>
        <v>华安百联消费封闭式基础设施证券投资基金|上海又一城购物中心</v>
      </c>
      <c r="S482">
        <f>IF($A482="",0,IF(COUNTIF($R$2:$R482,$R482)=1,1,0))</f>
        <v>0</v>
      </c>
      <c r="T482">
        <f t="shared" si="114"/>
        <v>480</v>
      </c>
      <c r="U482" t="str">
        <f>IF($A482="","",IF($A482=经营数据!$B$3,COUNTIFS($S$2:$S$3000,1,$A$2:$A$3000,$A482,$T$2:$T$3000,"&lt;"&amp;$T482)+1,""))</f>
        <v/>
      </c>
      <c r="V482" t="str">
        <f t="shared" si="115"/>
        <v>上海又一城购物中心|服务量</v>
      </c>
      <c r="W482">
        <f t="shared" si="116"/>
        <v>481</v>
      </c>
      <c r="X482" t="str">
        <f t="shared" si="117"/>
        <v>上海又一城购物中心|加权平均剩余租期</v>
      </c>
      <c r="Y482">
        <f t="shared" si="118"/>
        <v>481</v>
      </c>
      <c r="Z482">
        <f>IF($A482="",0,IF(AND($M482=1,$A482=经营数据!$B$3,$J482=经营数据!$BA$5,OR($I482=经营数据!$BA$4,COUNTIF(经营数据!$AA$9:$AA$38,$I482)&gt;0)),1,0))</f>
        <v>0</v>
      </c>
      <c r="AA482" t="str">
        <f t="shared" si="119"/>
        <v/>
      </c>
      <c r="AB482" t="str">
        <f t="shared" si="120"/>
        <v/>
      </c>
      <c r="AC482">
        <f>IF($A482="",0,IF(COUNTIF($A$2:$A482,$A482)=1,1,0))</f>
        <v>0</v>
      </c>
      <c r="AD482">
        <f t="shared" si="121"/>
        <v>6</v>
      </c>
      <c r="AE482" t="str">
        <f t="shared" si="122"/>
        <v>上海又一城购物中心|加权平均剩余租期（年）</v>
      </c>
      <c r="BP482" s="47">
        <v>46090</v>
      </c>
      <c r="BQ482" s="29">
        <v>3.9468699440173803E-2</v>
      </c>
    </row>
    <row r="483" spans="1:69" x14ac:dyDescent="0.4">
      <c r="A483" t="str">
        <f>IF(原始经营数据!$D484="","",原始经营数据!$D484)</f>
        <v>华安百联消费封闭式基础设施证券投资基金</v>
      </c>
      <c r="B483" t="str">
        <f>IF(原始经营数据!$D484="","",T(原始经营数据!$E484))</f>
        <v>上海又一城购物中心</v>
      </c>
      <c r="C483" t="str">
        <f>IF(原始经营数据!$D484="","",原始经营数据!$F484)</f>
        <v>2024Q3(0711-0930)</v>
      </c>
      <c r="D483" t="str">
        <f>IF(原始经营数据!$D484="","",原始经营数据!$H484)</f>
        <v>租赁部分平均租金单价</v>
      </c>
      <c r="E483">
        <f>IF(原始经营数据!$D484="","",原始经营数据!$I484)</f>
        <v>249</v>
      </c>
      <c r="F483" t="str">
        <f>IF(原始经营数据!$D484="","",T(原始经营数据!$J484))</f>
        <v>元/平方米/月</v>
      </c>
      <c r="G483" t="str">
        <f>IF(原始经营数据!$D484="","",T(原始经营数据!$K484))</f>
        <v/>
      </c>
      <c r="H483" t="str">
        <f>IF(原始经营数据!$D484="","",原始经营数据!$G484)</f>
        <v>服务价格</v>
      </c>
      <c r="I483" t="str">
        <f>IF($A483="","",IF($B483&lt;&gt;"",$B483,IF(COUNTIFS(原始经营数据!$D$3:$D$3001,$A483,原始经营数据!$E$3:$E$3001,"",原始经营数据!$F$3:$F$3001,$C483,原始经营数据!$H$3:$H$3001,$D483,原始经营数据!$K$3:$K$3001,$G483)&gt;1,"基金整体·来源"&amp;原始经营数据!$A484,"基金整体")))</f>
        <v>上海又一城购物中心</v>
      </c>
      <c r="J483" t="str">
        <f t="shared" si="108"/>
        <v>其他期间</v>
      </c>
      <c r="K483" t="str">
        <f t="shared" si="109"/>
        <v>租赁部分平均租金单价（元/平方米/月）</v>
      </c>
      <c r="L483" t="str">
        <f t="shared" si="110"/>
        <v>上海又一城购物中心|租赁部分平均租金单价（元/平方米/月）|其他期间</v>
      </c>
      <c r="M483">
        <f>IF($A483="",0,IF(COUNTIF($L$2:$L483,$L483)=1,1,0))</f>
        <v>1</v>
      </c>
      <c r="N483">
        <f t="shared" si="111"/>
        <v>20249</v>
      </c>
      <c r="O483" t="str">
        <f t="shared" si="112"/>
        <v>华安百联消费封闭式基础设施证券投资基金|2024Q3(0711-0930)|其他期间</v>
      </c>
      <c r="P483">
        <f>IF($A483="",0,IF(COUNTIF($O$2:$O483,$O483)=1,1,0))</f>
        <v>0</v>
      </c>
      <c r="Q483" t="str">
        <f>IF(AND($P483=1,$A483=经营数据!$B$3,$J483=经营数据!$BA$5),COUNTIFS($P$2:$P$3000,1,$A$2:$A$3000,$A483,$J$2:$J$3000,$J483,$N$2:$N$3000,"&lt;"&amp;$N483)+1,"")</f>
        <v/>
      </c>
      <c r="R483" t="str">
        <f t="shared" si="113"/>
        <v>华安百联消费封闭式基础设施证券投资基金|上海又一城购物中心</v>
      </c>
      <c r="S483">
        <f>IF($A483="",0,IF(COUNTIF($R$2:$R483,$R483)=1,1,0))</f>
        <v>0</v>
      </c>
      <c r="T483">
        <f t="shared" si="114"/>
        <v>480</v>
      </c>
      <c r="U483" t="str">
        <f>IF($A483="","",IF($A483=经营数据!$B$3,COUNTIFS($S$2:$S$3000,1,$A$2:$A$3000,$A483,$T$2:$T$3000,"&lt;"&amp;$T483)+1,""))</f>
        <v/>
      </c>
      <c r="V483" t="str">
        <f t="shared" si="115"/>
        <v>上海又一城购物中心|服务价格</v>
      </c>
      <c r="W483">
        <f t="shared" si="116"/>
        <v>482</v>
      </c>
      <c r="X483" t="str">
        <f t="shared" si="117"/>
        <v>上海又一城购物中心|租赁部分平均租金单价</v>
      </c>
      <c r="Y483">
        <f t="shared" si="118"/>
        <v>482</v>
      </c>
      <c r="Z483">
        <f>IF($A483="",0,IF(AND($M483=1,$A483=经营数据!$B$3,$J483=经营数据!$BA$5,OR($I483=经营数据!$BA$4,COUNTIF(经营数据!$AA$9:$AA$38,$I483)&gt;0)),1,0))</f>
        <v>0</v>
      </c>
      <c r="AA483" t="str">
        <f t="shared" si="119"/>
        <v/>
      </c>
      <c r="AB483" t="str">
        <f t="shared" si="120"/>
        <v/>
      </c>
      <c r="AC483">
        <f>IF($A483="",0,IF(COUNTIF($A$2:$A483,$A483)=1,1,0))</f>
        <v>0</v>
      </c>
      <c r="AD483">
        <f t="shared" si="121"/>
        <v>6</v>
      </c>
      <c r="AE483" t="str">
        <f t="shared" si="122"/>
        <v>上海又一城购物中心|租赁部分平均租金单价（元/平方米/月）</v>
      </c>
      <c r="BP483" s="47">
        <v>46091</v>
      </c>
      <c r="BQ483" s="29">
        <v>3.9314493669787377E-2</v>
      </c>
    </row>
    <row r="484" spans="1:69" x14ac:dyDescent="0.4">
      <c r="A484" t="str">
        <f>IF(原始经营数据!$D485="","",原始经营数据!$D485)</f>
        <v>华安百联消费封闭式基础设施证券投资基金</v>
      </c>
      <c r="B484" t="str">
        <f>IF(原始经营数据!$D485="","",T(原始经营数据!$E485))</f>
        <v>上海又一城购物中心</v>
      </c>
      <c r="C484" t="str">
        <f>IF(原始经营数据!$D485="","",原始经营数据!$F485)</f>
        <v>2024Q3(0711-0930)</v>
      </c>
      <c r="D484" t="str">
        <f>IF(原始经营数据!$D485="","",原始经营数据!$H485)</f>
        <v>出租率</v>
      </c>
      <c r="E484">
        <f>IF(原始经营数据!$D485="","",原始经营数据!$I485)</f>
        <v>93.11</v>
      </c>
      <c r="F484" t="str">
        <f>IF(原始经营数据!$D485="","",T(原始经营数据!$J485))</f>
        <v>%</v>
      </c>
      <c r="G484" t="str">
        <f>IF(原始经营数据!$D485="","",T(原始经营数据!$K485))</f>
        <v/>
      </c>
      <c r="H484" t="str">
        <f>IF(原始经营数据!$D485="","",原始经营数据!$G485)</f>
        <v>服务效率</v>
      </c>
      <c r="I484" t="str">
        <f>IF($A484="","",IF($B484&lt;&gt;"",$B484,IF(COUNTIFS(原始经营数据!$D$3:$D$3001,$A484,原始经营数据!$E$3:$E$3001,"",原始经营数据!$F$3:$F$3001,$C484,原始经营数据!$H$3:$H$3001,$D484,原始经营数据!$K$3:$K$3001,$G484)&gt;1,"基金整体·来源"&amp;原始经营数据!$A485,"基金整体")))</f>
        <v>上海又一城购物中心</v>
      </c>
      <c r="J484" t="str">
        <f t="shared" si="108"/>
        <v>其他期间</v>
      </c>
      <c r="K484" t="str">
        <f t="shared" si="109"/>
        <v>出租率（%）</v>
      </c>
      <c r="L484" t="str">
        <f t="shared" si="110"/>
        <v>上海又一城购物中心|出租率（%）|其他期间</v>
      </c>
      <c r="M484">
        <f>IF($A484="",0,IF(COUNTIF($L$2:$L484,$L484)=1,1,0))</f>
        <v>1</v>
      </c>
      <c r="N484">
        <f t="shared" si="111"/>
        <v>20249</v>
      </c>
      <c r="O484" t="str">
        <f t="shared" si="112"/>
        <v>华安百联消费封闭式基础设施证券投资基金|2024Q3(0711-0930)|其他期间</v>
      </c>
      <c r="P484">
        <f>IF($A484="",0,IF(COUNTIF($O$2:$O484,$O484)=1,1,0))</f>
        <v>0</v>
      </c>
      <c r="Q484" t="str">
        <f>IF(AND($P484=1,$A484=经营数据!$B$3,$J484=经营数据!$BA$5),COUNTIFS($P$2:$P$3000,1,$A$2:$A$3000,$A484,$J$2:$J$3000,$J484,$N$2:$N$3000,"&lt;"&amp;$N484)+1,"")</f>
        <v/>
      </c>
      <c r="R484" t="str">
        <f t="shared" si="113"/>
        <v>华安百联消费封闭式基础设施证券投资基金|上海又一城购物中心</v>
      </c>
      <c r="S484">
        <f>IF($A484="",0,IF(COUNTIF($R$2:$R484,$R484)=1,1,0))</f>
        <v>0</v>
      </c>
      <c r="T484">
        <f t="shared" si="114"/>
        <v>480</v>
      </c>
      <c r="U484" t="str">
        <f>IF($A484="","",IF($A484=经营数据!$B$3,COUNTIFS($S$2:$S$3000,1,$A$2:$A$3000,$A484,$T$2:$T$3000,"&lt;"&amp;$T484)+1,""))</f>
        <v/>
      </c>
      <c r="V484" t="str">
        <f t="shared" si="115"/>
        <v>上海又一城购物中心|服务效率</v>
      </c>
      <c r="W484">
        <f t="shared" si="116"/>
        <v>480</v>
      </c>
      <c r="X484" t="str">
        <f t="shared" si="117"/>
        <v>上海又一城购物中心|出租率</v>
      </c>
      <c r="Y484">
        <f t="shared" si="118"/>
        <v>483</v>
      </c>
      <c r="Z484">
        <f>IF($A484="",0,IF(AND($M484=1,$A484=经营数据!$B$3,$J484=经营数据!$BA$5,OR($I484=经营数据!$BA$4,COUNTIF(经营数据!$AA$9:$AA$38,$I484)&gt;0)),1,0))</f>
        <v>0</v>
      </c>
      <c r="AA484" t="str">
        <f t="shared" si="119"/>
        <v/>
      </c>
      <c r="AB484" t="str">
        <f t="shared" si="120"/>
        <v/>
      </c>
      <c r="AC484">
        <f>IF($A484="",0,IF(COUNTIF($A$2:$A484,$A484)=1,1,0))</f>
        <v>0</v>
      </c>
      <c r="AD484">
        <f t="shared" si="121"/>
        <v>6</v>
      </c>
      <c r="AE484" t="str">
        <f t="shared" si="122"/>
        <v>上海又一城购物中心|出租率（%）</v>
      </c>
      <c r="BP484" s="47">
        <v>46092</v>
      </c>
      <c r="BQ484" s="29">
        <v>3.9310193622211817E-2</v>
      </c>
    </row>
    <row r="485" spans="1:69" x14ac:dyDescent="0.4">
      <c r="A485" t="str">
        <f>IF(原始经营数据!$D486="","",原始经营数据!$D486)</f>
        <v>华安百联消费封闭式基础设施证券投资基金</v>
      </c>
      <c r="B485" t="str">
        <f>IF(原始经营数据!$D486="","",T(原始经营数据!$E486))</f>
        <v>上海又一城购物中心</v>
      </c>
      <c r="C485" t="str">
        <f>IF(原始经营数据!$D486="","",原始经营数据!$F486)</f>
        <v>2024Q3(0711-0930)</v>
      </c>
      <c r="D485" t="str">
        <f>IF(原始经营数据!$D486="","",原始经营数据!$H486)</f>
        <v>实际出租面积</v>
      </c>
      <c r="E485">
        <f>IF(原始经营数据!$D486="","",原始经营数据!$I486)</f>
        <v>51917.91</v>
      </c>
      <c r="F485" t="str">
        <f>IF(原始经营数据!$D486="","",T(原始经营数据!$J486))</f>
        <v>平方米</v>
      </c>
      <c r="G485" t="str">
        <f>IF(原始经营数据!$D486="","",T(原始经营数据!$K486))</f>
        <v/>
      </c>
      <c r="H485" t="str">
        <f>IF(原始经营数据!$D486="","",原始经营数据!$G486)</f>
        <v>服务量</v>
      </c>
      <c r="I485" t="str">
        <f>IF($A485="","",IF($B485&lt;&gt;"",$B485,IF(COUNTIFS(原始经营数据!$D$3:$D$3001,$A485,原始经营数据!$E$3:$E$3001,"",原始经营数据!$F$3:$F$3001,$C485,原始经营数据!$H$3:$H$3001,$D485,原始经营数据!$K$3:$K$3001,$G485)&gt;1,"基金整体·来源"&amp;原始经营数据!$A486,"基金整体")))</f>
        <v>上海又一城购物中心</v>
      </c>
      <c r="J485" t="str">
        <f t="shared" si="108"/>
        <v>其他期间</v>
      </c>
      <c r="K485" t="str">
        <f t="shared" si="109"/>
        <v>实际出租面积（平方米）</v>
      </c>
      <c r="L485" t="str">
        <f t="shared" si="110"/>
        <v>上海又一城购物中心|实际出租面积（平方米）|其他期间</v>
      </c>
      <c r="M485">
        <f>IF($A485="",0,IF(COUNTIF($L$2:$L485,$L485)=1,1,0))</f>
        <v>1</v>
      </c>
      <c r="N485">
        <f t="shared" si="111"/>
        <v>20249</v>
      </c>
      <c r="O485" t="str">
        <f t="shared" si="112"/>
        <v>华安百联消费封闭式基础设施证券投资基金|2024Q3(0711-0930)|其他期间</v>
      </c>
      <c r="P485">
        <f>IF($A485="",0,IF(COUNTIF($O$2:$O485,$O485)=1,1,0))</f>
        <v>0</v>
      </c>
      <c r="Q485" t="str">
        <f>IF(AND($P485=1,$A485=经营数据!$B$3,$J485=经营数据!$BA$5),COUNTIFS($P$2:$P$3000,1,$A$2:$A$3000,$A485,$J$2:$J$3000,$J485,$N$2:$N$3000,"&lt;"&amp;$N485)+1,"")</f>
        <v/>
      </c>
      <c r="R485" t="str">
        <f t="shared" si="113"/>
        <v>华安百联消费封闭式基础设施证券投资基金|上海又一城购物中心</v>
      </c>
      <c r="S485">
        <f>IF($A485="",0,IF(COUNTIF($R$2:$R485,$R485)=1,1,0))</f>
        <v>0</v>
      </c>
      <c r="T485">
        <f t="shared" si="114"/>
        <v>480</v>
      </c>
      <c r="U485" t="str">
        <f>IF($A485="","",IF($A485=经营数据!$B$3,COUNTIFS($S$2:$S$3000,1,$A$2:$A$3000,$A485,$T$2:$T$3000,"&lt;"&amp;$T485)+1,""))</f>
        <v/>
      </c>
      <c r="V485" t="str">
        <f t="shared" si="115"/>
        <v>上海又一城购物中心|服务量</v>
      </c>
      <c r="W485">
        <f t="shared" si="116"/>
        <v>481</v>
      </c>
      <c r="X485" t="str">
        <f t="shared" si="117"/>
        <v>上海又一城购物中心|实际出租面积</v>
      </c>
      <c r="Y485">
        <f t="shared" si="118"/>
        <v>484</v>
      </c>
      <c r="Z485">
        <f>IF($A485="",0,IF(AND($M485=1,$A485=经营数据!$B$3,$J485=经营数据!$BA$5,OR($I485=经营数据!$BA$4,COUNTIF(经营数据!$AA$9:$AA$38,$I485)&gt;0)),1,0))</f>
        <v>0</v>
      </c>
      <c r="AA485" t="str">
        <f t="shared" si="119"/>
        <v/>
      </c>
      <c r="AB485" t="str">
        <f t="shared" si="120"/>
        <v/>
      </c>
      <c r="AC485">
        <f>IF($A485="",0,IF(COUNTIF($A$2:$A485,$A485)=1,1,0))</f>
        <v>0</v>
      </c>
      <c r="AD485">
        <f t="shared" si="121"/>
        <v>6</v>
      </c>
      <c r="AE485" t="str">
        <f t="shared" si="122"/>
        <v>上海又一城购物中心|实际出租面积（平方米）</v>
      </c>
      <c r="BP485" s="47">
        <v>46093</v>
      </c>
      <c r="BQ485" s="29">
        <v>3.9464742413862247E-2</v>
      </c>
    </row>
    <row r="486" spans="1:69" x14ac:dyDescent="0.4">
      <c r="A486" t="str">
        <f>IF(原始经营数据!$D487="","",原始经营数据!$D487)</f>
        <v>华安百联消费封闭式基础设施证券投资基金</v>
      </c>
      <c r="B486" t="str">
        <f>IF(原始经营数据!$D487="","",T(原始经营数据!$E487))</f>
        <v>上海又一城购物中心</v>
      </c>
      <c r="C486" t="str">
        <f>IF(原始经营数据!$D487="","",原始经营数据!$F487)</f>
        <v>2024Q3(0711-0930)</v>
      </c>
      <c r="D486" t="str">
        <f>IF(原始经营数据!$D487="","",原始经营数据!$H487)</f>
        <v>可供出租面积</v>
      </c>
      <c r="E486">
        <f>IF(原始经营数据!$D487="","",原始经营数据!$I487)</f>
        <v>55762.6</v>
      </c>
      <c r="F486" t="str">
        <f>IF(原始经营数据!$D487="","",T(原始经营数据!$J487))</f>
        <v>平方米</v>
      </c>
      <c r="G486" t="str">
        <f>IF(原始经营数据!$D487="","",T(原始经营数据!$K487))</f>
        <v/>
      </c>
      <c r="H486" t="str">
        <f>IF(原始经营数据!$D487="","",原始经营数据!$G487)</f>
        <v>服务量</v>
      </c>
      <c r="I486" t="str">
        <f>IF($A486="","",IF($B486&lt;&gt;"",$B486,IF(COUNTIFS(原始经营数据!$D$3:$D$3001,$A486,原始经营数据!$E$3:$E$3001,"",原始经营数据!$F$3:$F$3001,$C486,原始经营数据!$H$3:$H$3001,$D486,原始经营数据!$K$3:$K$3001,$G486)&gt;1,"基金整体·来源"&amp;原始经营数据!$A487,"基金整体")))</f>
        <v>上海又一城购物中心</v>
      </c>
      <c r="J486" t="str">
        <f t="shared" si="108"/>
        <v>其他期间</v>
      </c>
      <c r="K486" t="str">
        <f t="shared" si="109"/>
        <v>可供出租面积（平方米）</v>
      </c>
      <c r="L486" t="str">
        <f t="shared" si="110"/>
        <v>上海又一城购物中心|可供出租面积（平方米）|其他期间</v>
      </c>
      <c r="M486">
        <f>IF($A486="",0,IF(COUNTIF($L$2:$L486,$L486)=1,1,0))</f>
        <v>1</v>
      </c>
      <c r="N486">
        <f t="shared" si="111"/>
        <v>20249</v>
      </c>
      <c r="O486" t="str">
        <f t="shared" si="112"/>
        <v>华安百联消费封闭式基础设施证券投资基金|2024Q3(0711-0930)|其他期间</v>
      </c>
      <c r="P486">
        <f>IF($A486="",0,IF(COUNTIF($O$2:$O486,$O486)=1,1,0))</f>
        <v>0</v>
      </c>
      <c r="Q486" t="str">
        <f>IF(AND($P486=1,$A486=经营数据!$B$3,$J486=经营数据!$BA$5),COUNTIFS($P$2:$P$3000,1,$A$2:$A$3000,$A486,$J$2:$J$3000,$J486,$N$2:$N$3000,"&lt;"&amp;$N486)+1,"")</f>
        <v/>
      </c>
      <c r="R486" t="str">
        <f t="shared" si="113"/>
        <v>华安百联消费封闭式基础设施证券投资基金|上海又一城购物中心</v>
      </c>
      <c r="S486">
        <f>IF($A486="",0,IF(COUNTIF($R$2:$R486,$R486)=1,1,0))</f>
        <v>0</v>
      </c>
      <c r="T486">
        <f t="shared" si="114"/>
        <v>480</v>
      </c>
      <c r="U486" t="str">
        <f>IF($A486="","",IF($A486=经营数据!$B$3,COUNTIFS($S$2:$S$3000,1,$A$2:$A$3000,$A486,$T$2:$T$3000,"&lt;"&amp;$T486)+1,""))</f>
        <v/>
      </c>
      <c r="V486" t="str">
        <f t="shared" si="115"/>
        <v>上海又一城购物中心|服务量</v>
      </c>
      <c r="W486">
        <f t="shared" si="116"/>
        <v>481</v>
      </c>
      <c r="X486" t="str">
        <f t="shared" si="117"/>
        <v>上海又一城购物中心|可供出租面积</v>
      </c>
      <c r="Y486">
        <f t="shared" si="118"/>
        <v>485</v>
      </c>
      <c r="Z486">
        <f>IF($A486="",0,IF(AND($M486=1,$A486=经营数据!$B$3,$J486=经营数据!$BA$5,OR($I486=经营数据!$BA$4,COUNTIF(经营数据!$AA$9:$AA$38,$I486)&gt;0)),1,0))</f>
        <v>0</v>
      </c>
      <c r="AA486" t="str">
        <f t="shared" si="119"/>
        <v/>
      </c>
      <c r="AB486" t="str">
        <f t="shared" si="120"/>
        <v/>
      </c>
      <c r="AC486">
        <f>IF($A486="",0,IF(COUNTIF($A$2:$A486,$A486)=1,1,0))</f>
        <v>0</v>
      </c>
      <c r="AD486">
        <f t="shared" si="121"/>
        <v>6</v>
      </c>
      <c r="AE486" t="str">
        <f t="shared" si="122"/>
        <v>上海又一城购物中心|可供出租面积（平方米）</v>
      </c>
      <c r="BP486" s="47">
        <v>46094</v>
      </c>
      <c r="BQ486" s="29">
        <v>3.9356234265384683E-2</v>
      </c>
    </row>
    <row r="487" spans="1:69" x14ac:dyDescent="0.4">
      <c r="A487" t="str">
        <f>IF(原始经营数据!$D488="","",原始经营数据!$D488)</f>
        <v>华安百联消费封闭式基础设施证券投资基金</v>
      </c>
      <c r="B487" t="str">
        <f>IF(原始经营数据!$D488="","",T(原始经营数据!$E488))</f>
        <v>上海又一城购物中心</v>
      </c>
      <c r="C487" t="str">
        <f>IF(原始经营数据!$D488="","",原始经营数据!$F488)</f>
        <v>2024Q4</v>
      </c>
      <c r="D487" t="str">
        <f>IF(原始经营数据!$D488="","",原始经营数据!$H488)</f>
        <v>租赁业务收缴率</v>
      </c>
      <c r="E487">
        <f>IF(原始经营数据!$D488="","",原始经营数据!$I488)</f>
        <v>100</v>
      </c>
      <c r="F487" t="str">
        <f>IF(原始经营数据!$D488="","",T(原始经营数据!$J488))</f>
        <v>%</v>
      </c>
      <c r="G487" t="str">
        <f>IF(原始经营数据!$D488="","",T(原始经营数据!$K488))</f>
        <v/>
      </c>
      <c r="H487" t="str">
        <f>IF(原始经营数据!$D488="","",原始经营数据!$G488)</f>
        <v>服务效率</v>
      </c>
      <c r="I487" t="str">
        <f>IF($A487="","",IF($B487&lt;&gt;"",$B487,IF(COUNTIFS(原始经营数据!$D$3:$D$3001,$A487,原始经营数据!$E$3:$E$3001,"",原始经营数据!$F$3:$F$3001,$C487,原始经营数据!$H$3:$H$3001,$D487,原始经营数据!$K$3:$K$3001,$G487)&gt;1,"基金整体·来源"&amp;原始经营数据!$A488,"基金整体")))</f>
        <v>上海又一城购物中心</v>
      </c>
      <c r="J487" t="str">
        <f t="shared" si="108"/>
        <v>季度</v>
      </c>
      <c r="K487" t="str">
        <f t="shared" si="109"/>
        <v>租赁业务收缴率（%）</v>
      </c>
      <c r="L487" t="str">
        <f t="shared" si="110"/>
        <v>上海又一城购物中心|租赁业务收缴率（%）|季度</v>
      </c>
      <c r="M487">
        <f>IF($A487="",0,IF(COUNTIF($L$2:$L487,$L487)=1,1,0))</f>
        <v>1</v>
      </c>
      <c r="N487">
        <f t="shared" si="111"/>
        <v>20244</v>
      </c>
      <c r="O487" t="str">
        <f t="shared" si="112"/>
        <v>华安百联消费封闭式基础设施证券投资基金|2024Q4|季度</v>
      </c>
      <c r="P487">
        <f>IF($A487="",0,IF(COUNTIF($O$2:$O487,$O487)=1,1,0))</f>
        <v>1</v>
      </c>
      <c r="Q487" t="str">
        <f>IF(AND($P487=1,$A487=经营数据!$B$3,$J487=经营数据!$BA$5),COUNTIFS($P$2:$P$3000,1,$A$2:$A$3000,$A487,$J$2:$J$3000,$J487,$N$2:$N$3000,"&lt;"&amp;$N487)+1,"")</f>
        <v/>
      </c>
      <c r="R487" t="str">
        <f t="shared" si="113"/>
        <v>华安百联消费封闭式基础设施证券投资基金|上海又一城购物中心</v>
      </c>
      <c r="S487">
        <f>IF($A487="",0,IF(COUNTIF($R$2:$R487,$R487)=1,1,0))</f>
        <v>0</v>
      </c>
      <c r="T487">
        <f t="shared" si="114"/>
        <v>480</v>
      </c>
      <c r="U487" t="str">
        <f>IF($A487="","",IF($A487=经营数据!$B$3,COUNTIFS($S$2:$S$3000,1,$A$2:$A$3000,$A487,$T$2:$T$3000,"&lt;"&amp;$T487)+1,""))</f>
        <v/>
      </c>
      <c r="V487" t="str">
        <f t="shared" si="115"/>
        <v>上海又一城购物中心|服务效率</v>
      </c>
      <c r="W487">
        <f t="shared" si="116"/>
        <v>480</v>
      </c>
      <c r="X487" t="str">
        <f t="shared" si="117"/>
        <v>上海又一城购物中心|租赁业务收缴率</v>
      </c>
      <c r="Y487">
        <f t="shared" si="118"/>
        <v>480</v>
      </c>
      <c r="Z487">
        <f>IF($A487="",0,IF(AND($M487=1,$A487=经营数据!$B$3,$J487=经营数据!$BA$5,OR($I487=经营数据!$BA$4,COUNTIF(经营数据!$AA$9:$AA$38,$I487)&gt;0)),1,0))</f>
        <v>0</v>
      </c>
      <c r="AA487" t="str">
        <f t="shared" si="119"/>
        <v/>
      </c>
      <c r="AB487" t="str">
        <f t="shared" si="120"/>
        <v/>
      </c>
      <c r="AC487">
        <f>IF($A487="",0,IF(COUNTIF($A$2:$A487,$A487)=1,1,0))</f>
        <v>0</v>
      </c>
      <c r="AD487">
        <f t="shared" si="121"/>
        <v>6</v>
      </c>
      <c r="AE487" t="str">
        <f t="shared" si="122"/>
        <v>上海又一城购物中心|租赁业务收缴率（%）</v>
      </c>
      <c r="BP487" s="47">
        <v>46097</v>
      </c>
      <c r="BQ487" s="29">
        <v>3.9546493344193127E-2</v>
      </c>
    </row>
    <row r="488" spans="1:69" x14ac:dyDescent="0.4">
      <c r="A488" t="str">
        <f>IF(原始经营数据!$D489="","",原始经营数据!$D489)</f>
        <v>华安百联消费封闭式基础设施证券投资基金</v>
      </c>
      <c r="B488" t="str">
        <f>IF(原始经营数据!$D489="","",T(原始经营数据!$E489))</f>
        <v>上海又一城购物中心</v>
      </c>
      <c r="C488" t="str">
        <f>IF(原始经营数据!$D489="","",原始经营数据!$F489)</f>
        <v>2024Q4</v>
      </c>
      <c r="D488" t="str">
        <f>IF(原始经营数据!$D489="","",原始经营数据!$H489)</f>
        <v>可供出租面积</v>
      </c>
      <c r="E488">
        <f>IF(原始经营数据!$D489="","",原始经营数据!$I489)</f>
        <v>56311.71</v>
      </c>
      <c r="F488" t="str">
        <f>IF(原始经营数据!$D489="","",T(原始经营数据!$J489))</f>
        <v>平方米</v>
      </c>
      <c r="G488" t="str">
        <f>IF(原始经营数据!$D489="","",T(原始经营数据!$K489))</f>
        <v/>
      </c>
      <c r="H488" t="str">
        <f>IF(原始经营数据!$D489="","",原始经营数据!$G489)</f>
        <v>服务量</v>
      </c>
      <c r="I488" t="str">
        <f>IF($A488="","",IF($B488&lt;&gt;"",$B488,IF(COUNTIFS(原始经营数据!$D$3:$D$3001,$A488,原始经营数据!$E$3:$E$3001,"",原始经营数据!$F$3:$F$3001,$C488,原始经营数据!$H$3:$H$3001,$D488,原始经营数据!$K$3:$K$3001,$G488)&gt;1,"基金整体·来源"&amp;原始经营数据!$A489,"基金整体")))</f>
        <v>上海又一城购物中心</v>
      </c>
      <c r="J488" t="str">
        <f t="shared" si="108"/>
        <v>季度</v>
      </c>
      <c r="K488" t="str">
        <f t="shared" si="109"/>
        <v>可供出租面积（平方米）</v>
      </c>
      <c r="L488" t="str">
        <f t="shared" si="110"/>
        <v>上海又一城购物中心|可供出租面积（平方米）|季度</v>
      </c>
      <c r="M488">
        <f>IF($A488="",0,IF(COUNTIF($L$2:$L488,$L488)=1,1,0))</f>
        <v>1</v>
      </c>
      <c r="N488">
        <f t="shared" si="111"/>
        <v>20244</v>
      </c>
      <c r="O488" t="str">
        <f t="shared" si="112"/>
        <v>华安百联消费封闭式基础设施证券投资基金|2024Q4|季度</v>
      </c>
      <c r="P488">
        <f>IF($A488="",0,IF(COUNTIF($O$2:$O488,$O488)=1,1,0))</f>
        <v>0</v>
      </c>
      <c r="Q488" t="str">
        <f>IF(AND($P488=1,$A488=经营数据!$B$3,$J488=经营数据!$BA$5),COUNTIFS($P$2:$P$3000,1,$A$2:$A$3000,$A488,$J$2:$J$3000,$J488,$N$2:$N$3000,"&lt;"&amp;$N488)+1,"")</f>
        <v/>
      </c>
      <c r="R488" t="str">
        <f t="shared" si="113"/>
        <v>华安百联消费封闭式基础设施证券投资基金|上海又一城购物中心</v>
      </c>
      <c r="S488">
        <f>IF($A488="",0,IF(COUNTIF($R$2:$R488,$R488)=1,1,0))</f>
        <v>0</v>
      </c>
      <c r="T488">
        <f t="shared" si="114"/>
        <v>480</v>
      </c>
      <c r="U488" t="str">
        <f>IF($A488="","",IF($A488=经营数据!$B$3,COUNTIFS($S$2:$S$3000,1,$A$2:$A$3000,$A488,$T$2:$T$3000,"&lt;"&amp;$T488)+1,""))</f>
        <v/>
      </c>
      <c r="V488" t="str">
        <f t="shared" si="115"/>
        <v>上海又一城购物中心|服务量</v>
      </c>
      <c r="W488">
        <f t="shared" si="116"/>
        <v>481</v>
      </c>
      <c r="X488" t="str">
        <f t="shared" si="117"/>
        <v>上海又一城购物中心|可供出租面积</v>
      </c>
      <c r="Y488">
        <f t="shared" si="118"/>
        <v>485</v>
      </c>
      <c r="Z488">
        <f>IF($A488="",0,IF(AND($M488=1,$A488=经营数据!$B$3,$J488=经营数据!$BA$5,OR($I488=经营数据!$BA$4,COUNTIF(经营数据!$AA$9:$AA$38,$I488)&gt;0)),1,0))</f>
        <v>0</v>
      </c>
      <c r="AA488" t="str">
        <f t="shared" si="119"/>
        <v/>
      </c>
      <c r="AB488" t="str">
        <f t="shared" si="120"/>
        <v/>
      </c>
      <c r="AC488">
        <f>IF($A488="",0,IF(COUNTIF($A$2:$A488,$A488)=1,1,0))</f>
        <v>0</v>
      </c>
      <c r="AD488">
        <f t="shared" si="121"/>
        <v>6</v>
      </c>
      <c r="AE488" t="str">
        <f t="shared" si="122"/>
        <v>上海又一城购物中心|可供出租面积（平方米）</v>
      </c>
      <c r="BP488" s="47">
        <v>46098</v>
      </c>
      <c r="BQ488" s="29">
        <v>3.9437629878819692E-2</v>
      </c>
    </row>
    <row r="489" spans="1:69" x14ac:dyDescent="0.4">
      <c r="A489" t="str">
        <f>IF(原始经营数据!$D490="","",原始经营数据!$D490)</f>
        <v>华安百联消费封闭式基础设施证券投资基金</v>
      </c>
      <c r="B489" t="str">
        <f>IF(原始经营数据!$D490="","",T(原始经营数据!$E490))</f>
        <v>上海又一城购物中心</v>
      </c>
      <c r="C489" t="str">
        <f>IF(原始经营数据!$D490="","",原始经营数据!$F490)</f>
        <v>2024Q4</v>
      </c>
      <c r="D489" t="str">
        <f>IF(原始经营数据!$D490="","",原始经营数据!$H490)</f>
        <v>实际出租面积</v>
      </c>
      <c r="E489">
        <f>IF(原始经营数据!$D490="","",原始经营数据!$I490)</f>
        <v>53813.14</v>
      </c>
      <c r="F489" t="str">
        <f>IF(原始经营数据!$D490="","",T(原始经营数据!$J490))</f>
        <v>平方米</v>
      </c>
      <c r="G489" t="str">
        <f>IF(原始经营数据!$D490="","",T(原始经营数据!$K490))</f>
        <v/>
      </c>
      <c r="H489" t="str">
        <f>IF(原始经营数据!$D490="","",原始经营数据!$G490)</f>
        <v>服务量</v>
      </c>
      <c r="I489" t="str">
        <f>IF($A489="","",IF($B489&lt;&gt;"",$B489,IF(COUNTIFS(原始经营数据!$D$3:$D$3001,$A489,原始经营数据!$E$3:$E$3001,"",原始经营数据!$F$3:$F$3001,$C489,原始经营数据!$H$3:$H$3001,$D489,原始经营数据!$K$3:$K$3001,$G489)&gt;1,"基金整体·来源"&amp;原始经营数据!$A490,"基金整体")))</f>
        <v>上海又一城购物中心</v>
      </c>
      <c r="J489" t="str">
        <f t="shared" si="108"/>
        <v>季度</v>
      </c>
      <c r="K489" t="str">
        <f t="shared" si="109"/>
        <v>实际出租面积（平方米）</v>
      </c>
      <c r="L489" t="str">
        <f t="shared" si="110"/>
        <v>上海又一城购物中心|实际出租面积（平方米）|季度</v>
      </c>
      <c r="M489">
        <f>IF($A489="",0,IF(COUNTIF($L$2:$L489,$L489)=1,1,0))</f>
        <v>1</v>
      </c>
      <c r="N489">
        <f t="shared" si="111"/>
        <v>20244</v>
      </c>
      <c r="O489" t="str">
        <f t="shared" si="112"/>
        <v>华安百联消费封闭式基础设施证券投资基金|2024Q4|季度</v>
      </c>
      <c r="P489">
        <f>IF($A489="",0,IF(COUNTIF($O$2:$O489,$O489)=1,1,0))</f>
        <v>0</v>
      </c>
      <c r="Q489" t="str">
        <f>IF(AND($P489=1,$A489=经营数据!$B$3,$J489=经营数据!$BA$5),COUNTIFS($P$2:$P$3000,1,$A$2:$A$3000,$A489,$J$2:$J$3000,$J489,$N$2:$N$3000,"&lt;"&amp;$N489)+1,"")</f>
        <v/>
      </c>
      <c r="R489" t="str">
        <f t="shared" si="113"/>
        <v>华安百联消费封闭式基础设施证券投资基金|上海又一城购物中心</v>
      </c>
      <c r="S489">
        <f>IF($A489="",0,IF(COUNTIF($R$2:$R489,$R489)=1,1,0))</f>
        <v>0</v>
      </c>
      <c r="T489">
        <f t="shared" si="114"/>
        <v>480</v>
      </c>
      <c r="U489" t="str">
        <f>IF($A489="","",IF($A489=经营数据!$B$3,COUNTIFS($S$2:$S$3000,1,$A$2:$A$3000,$A489,$T$2:$T$3000,"&lt;"&amp;$T489)+1,""))</f>
        <v/>
      </c>
      <c r="V489" t="str">
        <f t="shared" si="115"/>
        <v>上海又一城购物中心|服务量</v>
      </c>
      <c r="W489">
        <f t="shared" si="116"/>
        <v>481</v>
      </c>
      <c r="X489" t="str">
        <f t="shared" si="117"/>
        <v>上海又一城购物中心|实际出租面积</v>
      </c>
      <c r="Y489">
        <f t="shared" si="118"/>
        <v>484</v>
      </c>
      <c r="Z489">
        <f>IF($A489="",0,IF(AND($M489=1,$A489=经营数据!$B$3,$J489=经营数据!$BA$5,OR($I489=经营数据!$BA$4,COUNTIF(经营数据!$AA$9:$AA$38,$I489)&gt;0)),1,0))</f>
        <v>0</v>
      </c>
      <c r="AA489" t="str">
        <f t="shared" si="119"/>
        <v/>
      </c>
      <c r="AB489" t="str">
        <f t="shared" si="120"/>
        <v/>
      </c>
      <c r="AC489">
        <f>IF($A489="",0,IF(COUNTIF($A$2:$A489,$A489)=1,1,0))</f>
        <v>0</v>
      </c>
      <c r="AD489">
        <f t="shared" si="121"/>
        <v>6</v>
      </c>
      <c r="AE489" t="str">
        <f t="shared" si="122"/>
        <v>上海又一城购物中心|实际出租面积（平方米）</v>
      </c>
      <c r="BP489" s="47">
        <v>46099</v>
      </c>
      <c r="BQ489" s="29">
        <v>3.9274614138258702E-2</v>
      </c>
    </row>
    <row r="490" spans="1:69" x14ac:dyDescent="0.4">
      <c r="A490" t="str">
        <f>IF(原始经营数据!$D491="","",原始经营数据!$D491)</f>
        <v>华安百联消费封闭式基础设施证券投资基金</v>
      </c>
      <c r="B490" t="str">
        <f>IF(原始经营数据!$D491="","",T(原始经营数据!$E491))</f>
        <v>上海又一城购物中心</v>
      </c>
      <c r="C490" t="str">
        <f>IF(原始经营数据!$D491="","",原始经营数据!$F491)</f>
        <v>2024Q4</v>
      </c>
      <c r="D490" t="str">
        <f>IF(原始经营数据!$D491="","",原始经营数据!$H491)</f>
        <v>出租率</v>
      </c>
      <c r="E490">
        <f>IF(原始经营数据!$D491="","",原始经营数据!$I491)</f>
        <v>95.56</v>
      </c>
      <c r="F490" t="str">
        <f>IF(原始经营数据!$D491="","",T(原始经营数据!$J491))</f>
        <v>%</v>
      </c>
      <c r="G490" t="str">
        <f>IF(原始经营数据!$D491="","",T(原始经营数据!$K491))</f>
        <v/>
      </c>
      <c r="H490" t="str">
        <f>IF(原始经营数据!$D491="","",原始经营数据!$G491)</f>
        <v>服务效率</v>
      </c>
      <c r="I490" t="str">
        <f>IF($A490="","",IF($B490&lt;&gt;"",$B490,IF(COUNTIFS(原始经营数据!$D$3:$D$3001,$A490,原始经营数据!$E$3:$E$3001,"",原始经营数据!$F$3:$F$3001,$C490,原始经营数据!$H$3:$H$3001,$D490,原始经营数据!$K$3:$K$3001,$G490)&gt;1,"基金整体·来源"&amp;原始经营数据!$A491,"基金整体")))</f>
        <v>上海又一城购物中心</v>
      </c>
      <c r="J490" t="str">
        <f t="shared" si="108"/>
        <v>季度</v>
      </c>
      <c r="K490" t="str">
        <f t="shared" si="109"/>
        <v>出租率（%）</v>
      </c>
      <c r="L490" t="str">
        <f t="shared" si="110"/>
        <v>上海又一城购物中心|出租率（%）|季度</v>
      </c>
      <c r="M490">
        <f>IF($A490="",0,IF(COUNTIF($L$2:$L490,$L490)=1,1,0))</f>
        <v>1</v>
      </c>
      <c r="N490">
        <f t="shared" si="111"/>
        <v>20244</v>
      </c>
      <c r="O490" t="str">
        <f t="shared" si="112"/>
        <v>华安百联消费封闭式基础设施证券投资基金|2024Q4|季度</v>
      </c>
      <c r="P490">
        <f>IF($A490="",0,IF(COUNTIF($O$2:$O490,$O490)=1,1,0))</f>
        <v>0</v>
      </c>
      <c r="Q490" t="str">
        <f>IF(AND($P490=1,$A490=经营数据!$B$3,$J490=经营数据!$BA$5),COUNTIFS($P$2:$P$3000,1,$A$2:$A$3000,$A490,$J$2:$J$3000,$J490,$N$2:$N$3000,"&lt;"&amp;$N490)+1,"")</f>
        <v/>
      </c>
      <c r="R490" t="str">
        <f t="shared" si="113"/>
        <v>华安百联消费封闭式基础设施证券投资基金|上海又一城购物中心</v>
      </c>
      <c r="S490">
        <f>IF($A490="",0,IF(COUNTIF($R$2:$R490,$R490)=1,1,0))</f>
        <v>0</v>
      </c>
      <c r="T490">
        <f t="shared" si="114"/>
        <v>480</v>
      </c>
      <c r="U490" t="str">
        <f>IF($A490="","",IF($A490=经营数据!$B$3,COUNTIFS($S$2:$S$3000,1,$A$2:$A$3000,$A490,$T$2:$T$3000,"&lt;"&amp;$T490)+1,""))</f>
        <v/>
      </c>
      <c r="V490" t="str">
        <f t="shared" si="115"/>
        <v>上海又一城购物中心|服务效率</v>
      </c>
      <c r="W490">
        <f t="shared" si="116"/>
        <v>480</v>
      </c>
      <c r="X490" t="str">
        <f t="shared" si="117"/>
        <v>上海又一城购物中心|出租率</v>
      </c>
      <c r="Y490">
        <f t="shared" si="118"/>
        <v>483</v>
      </c>
      <c r="Z490">
        <f>IF($A490="",0,IF(AND($M490=1,$A490=经营数据!$B$3,$J490=经营数据!$BA$5,OR($I490=经营数据!$BA$4,COUNTIF(经营数据!$AA$9:$AA$38,$I490)&gt;0)),1,0))</f>
        <v>0</v>
      </c>
      <c r="AA490" t="str">
        <f t="shared" si="119"/>
        <v/>
      </c>
      <c r="AB490" t="str">
        <f t="shared" si="120"/>
        <v/>
      </c>
      <c r="AC490">
        <f>IF($A490="",0,IF(COUNTIF($A$2:$A490,$A490)=1,1,0))</f>
        <v>0</v>
      </c>
      <c r="AD490">
        <f t="shared" si="121"/>
        <v>6</v>
      </c>
      <c r="AE490" t="str">
        <f t="shared" si="122"/>
        <v>上海又一城购物中心|出租率（%）</v>
      </c>
      <c r="BP490" s="47">
        <v>46100</v>
      </c>
      <c r="BQ490" s="29">
        <v>3.9199372202779803E-2</v>
      </c>
    </row>
    <row r="491" spans="1:69" x14ac:dyDescent="0.4">
      <c r="A491" t="str">
        <f>IF(原始经营数据!$D492="","",原始经营数据!$D492)</f>
        <v>华安百联消费封闭式基础设施证券投资基金</v>
      </c>
      <c r="B491" t="str">
        <f>IF(原始经营数据!$D492="","",T(原始经营数据!$E492))</f>
        <v>上海又一城购物中心</v>
      </c>
      <c r="C491" t="str">
        <f>IF(原始经营数据!$D492="","",原始经营数据!$F492)</f>
        <v>2024Q4</v>
      </c>
      <c r="D491" t="str">
        <f>IF(原始经营数据!$D492="","",原始经营数据!$H492)</f>
        <v>租赁部分平均租金单价</v>
      </c>
      <c r="E491">
        <f>IF(原始经营数据!$D492="","",原始经营数据!$I492)</f>
        <v>238</v>
      </c>
      <c r="F491" t="str">
        <f>IF(原始经营数据!$D492="","",T(原始经营数据!$J492))</f>
        <v>元/平方米/月</v>
      </c>
      <c r="G491" t="str">
        <f>IF(原始经营数据!$D492="","",T(原始经营数据!$K492))</f>
        <v/>
      </c>
      <c r="H491" t="str">
        <f>IF(原始经营数据!$D492="","",原始经营数据!$G492)</f>
        <v>服务价格</v>
      </c>
      <c r="I491" t="str">
        <f>IF($A491="","",IF($B491&lt;&gt;"",$B491,IF(COUNTIFS(原始经营数据!$D$3:$D$3001,$A491,原始经营数据!$E$3:$E$3001,"",原始经营数据!$F$3:$F$3001,$C491,原始经营数据!$H$3:$H$3001,$D491,原始经营数据!$K$3:$K$3001,$G491)&gt;1,"基金整体·来源"&amp;原始经营数据!$A492,"基金整体")))</f>
        <v>上海又一城购物中心</v>
      </c>
      <c r="J491" t="str">
        <f t="shared" si="108"/>
        <v>季度</v>
      </c>
      <c r="K491" t="str">
        <f t="shared" si="109"/>
        <v>租赁部分平均租金单价（元/平方米/月）</v>
      </c>
      <c r="L491" t="str">
        <f t="shared" si="110"/>
        <v>上海又一城购物中心|租赁部分平均租金单价（元/平方米/月）|季度</v>
      </c>
      <c r="M491">
        <f>IF($A491="",0,IF(COUNTIF($L$2:$L491,$L491)=1,1,0))</f>
        <v>1</v>
      </c>
      <c r="N491">
        <f t="shared" si="111"/>
        <v>20244</v>
      </c>
      <c r="O491" t="str">
        <f t="shared" si="112"/>
        <v>华安百联消费封闭式基础设施证券投资基金|2024Q4|季度</v>
      </c>
      <c r="P491">
        <f>IF($A491="",0,IF(COUNTIF($O$2:$O491,$O491)=1,1,0))</f>
        <v>0</v>
      </c>
      <c r="Q491" t="str">
        <f>IF(AND($P491=1,$A491=经营数据!$B$3,$J491=经营数据!$BA$5),COUNTIFS($P$2:$P$3000,1,$A$2:$A$3000,$A491,$J$2:$J$3000,$J491,$N$2:$N$3000,"&lt;"&amp;$N491)+1,"")</f>
        <v/>
      </c>
      <c r="R491" t="str">
        <f t="shared" si="113"/>
        <v>华安百联消费封闭式基础设施证券投资基金|上海又一城购物中心</v>
      </c>
      <c r="S491">
        <f>IF($A491="",0,IF(COUNTIF($R$2:$R491,$R491)=1,1,0))</f>
        <v>0</v>
      </c>
      <c r="T491">
        <f t="shared" si="114"/>
        <v>480</v>
      </c>
      <c r="U491" t="str">
        <f>IF($A491="","",IF($A491=经营数据!$B$3,COUNTIFS($S$2:$S$3000,1,$A$2:$A$3000,$A491,$T$2:$T$3000,"&lt;"&amp;$T491)+1,""))</f>
        <v/>
      </c>
      <c r="V491" t="str">
        <f t="shared" si="115"/>
        <v>上海又一城购物中心|服务价格</v>
      </c>
      <c r="W491">
        <f t="shared" si="116"/>
        <v>482</v>
      </c>
      <c r="X491" t="str">
        <f t="shared" si="117"/>
        <v>上海又一城购物中心|租赁部分平均租金单价</v>
      </c>
      <c r="Y491">
        <f t="shared" si="118"/>
        <v>482</v>
      </c>
      <c r="Z491">
        <f>IF($A491="",0,IF(AND($M491=1,$A491=经营数据!$B$3,$J491=经营数据!$BA$5,OR($I491=经营数据!$BA$4,COUNTIF(经营数据!$AA$9:$AA$38,$I491)&gt;0)),1,0))</f>
        <v>0</v>
      </c>
      <c r="AA491" t="str">
        <f t="shared" si="119"/>
        <v/>
      </c>
      <c r="AB491" t="str">
        <f t="shared" si="120"/>
        <v/>
      </c>
      <c r="AC491">
        <f>IF($A491="",0,IF(COUNTIF($A$2:$A491,$A491)=1,1,0))</f>
        <v>0</v>
      </c>
      <c r="AD491">
        <f t="shared" si="121"/>
        <v>6</v>
      </c>
      <c r="AE491" t="str">
        <f t="shared" si="122"/>
        <v>上海又一城购物中心|租赁部分平均租金单价（元/平方米/月）</v>
      </c>
      <c r="BP491" s="47">
        <v>46101</v>
      </c>
      <c r="BQ491" s="29">
        <v>3.9379013661351867E-2</v>
      </c>
    </row>
    <row r="492" spans="1:69" x14ac:dyDescent="0.4">
      <c r="A492" t="str">
        <f>IF(原始经营数据!$D493="","",原始经营数据!$D493)</f>
        <v>华安百联消费封闭式基础设施证券投资基金</v>
      </c>
      <c r="B492" t="str">
        <f>IF(原始经营数据!$D493="","",T(原始经营数据!$E493))</f>
        <v>上海又一城购物中心</v>
      </c>
      <c r="C492" t="str">
        <f>IF(原始经营数据!$D493="","",原始经营数据!$F493)</f>
        <v>2024Q4</v>
      </c>
      <c r="D492" t="str">
        <f>IF(原始经营数据!$D493="","",原始经营数据!$H493)</f>
        <v>加权平均剩余租期</v>
      </c>
      <c r="E492">
        <f>IF(原始经营数据!$D493="","",原始经营数据!$I493)</f>
        <v>2.39</v>
      </c>
      <c r="F492" t="str">
        <f>IF(原始经营数据!$D493="","",T(原始经营数据!$J493))</f>
        <v>年</v>
      </c>
      <c r="G492" t="str">
        <f>IF(原始经营数据!$D493="","",T(原始经营数据!$K493))</f>
        <v/>
      </c>
      <c r="H492" t="str">
        <f>IF(原始经营数据!$D493="","",原始经营数据!$G493)</f>
        <v>服务量</v>
      </c>
      <c r="I492" t="str">
        <f>IF($A492="","",IF($B492&lt;&gt;"",$B492,IF(COUNTIFS(原始经营数据!$D$3:$D$3001,$A492,原始经营数据!$E$3:$E$3001,"",原始经营数据!$F$3:$F$3001,$C492,原始经营数据!$H$3:$H$3001,$D492,原始经营数据!$K$3:$K$3001,$G492)&gt;1,"基金整体·来源"&amp;原始经营数据!$A493,"基金整体")))</f>
        <v>上海又一城购物中心</v>
      </c>
      <c r="J492" t="str">
        <f t="shared" si="108"/>
        <v>季度</v>
      </c>
      <c r="K492" t="str">
        <f t="shared" si="109"/>
        <v>加权平均剩余租期（年）</v>
      </c>
      <c r="L492" t="str">
        <f t="shared" si="110"/>
        <v>上海又一城购物中心|加权平均剩余租期（年）|季度</v>
      </c>
      <c r="M492">
        <f>IF($A492="",0,IF(COUNTIF($L$2:$L492,$L492)=1,1,0))</f>
        <v>1</v>
      </c>
      <c r="N492">
        <f t="shared" si="111"/>
        <v>20244</v>
      </c>
      <c r="O492" t="str">
        <f t="shared" si="112"/>
        <v>华安百联消费封闭式基础设施证券投资基金|2024Q4|季度</v>
      </c>
      <c r="P492">
        <f>IF($A492="",0,IF(COUNTIF($O$2:$O492,$O492)=1,1,0))</f>
        <v>0</v>
      </c>
      <c r="Q492" t="str">
        <f>IF(AND($P492=1,$A492=经营数据!$B$3,$J492=经营数据!$BA$5),COUNTIFS($P$2:$P$3000,1,$A$2:$A$3000,$A492,$J$2:$J$3000,$J492,$N$2:$N$3000,"&lt;"&amp;$N492)+1,"")</f>
        <v/>
      </c>
      <c r="R492" t="str">
        <f t="shared" si="113"/>
        <v>华安百联消费封闭式基础设施证券投资基金|上海又一城购物中心</v>
      </c>
      <c r="S492">
        <f>IF($A492="",0,IF(COUNTIF($R$2:$R492,$R492)=1,1,0))</f>
        <v>0</v>
      </c>
      <c r="T492">
        <f t="shared" si="114"/>
        <v>480</v>
      </c>
      <c r="U492" t="str">
        <f>IF($A492="","",IF($A492=经营数据!$B$3,COUNTIFS($S$2:$S$3000,1,$A$2:$A$3000,$A492,$T$2:$T$3000,"&lt;"&amp;$T492)+1,""))</f>
        <v/>
      </c>
      <c r="V492" t="str">
        <f t="shared" si="115"/>
        <v>上海又一城购物中心|服务量</v>
      </c>
      <c r="W492">
        <f t="shared" si="116"/>
        <v>481</v>
      </c>
      <c r="X492" t="str">
        <f t="shared" si="117"/>
        <v>上海又一城购物中心|加权平均剩余租期</v>
      </c>
      <c r="Y492">
        <f t="shared" si="118"/>
        <v>481</v>
      </c>
      <c r="Z492">
        <f>IF($A492="",0,IF(AND($M492=1,$A492=经营数据!$B$3,$J492=经营数据!$BA$5,OR($I492=经营数据!$BA$4,COUNTIF(经营数据!$AA$9:$AA$38,$I492)&gt;0)),1,0))</f>
        <v>0</v>
      </c>
      <c r="AA492" t="str">
        <f t="shared" si="119"/>
        <v/>
      </c>
      <c r="AB492" t="str">
        <f t="shared" si="120"/>
        <v/>
      </c>
      <c r="AC492">
        <f>IF($A492="",0,IF(COUNTIF($A$2:$A492,$A492)=1,1,0))</f>
        <v>0</v>
      </c>
      <c r="AD492">
        <f t="shared" si="121"/>
        <v>6</v>
      </c>
      <c r="AE492" t="str">
        <f t="shared" si="122"/>
        <v>上海又一城购物中心|加权平均剩余租期（年）</v>
      </c>
      <c r="BP492" s="47">
        <v>46104</v>
      </c>
      <c r="BQ492" s="29">
        <v>3.9659479259472503E-2</v>
      </c>
    </row>
    <row r="493" spans="1:69" x14ac:dyDescent="0.4">
      <c r="A493" t="str">
        <f>IF(原始经营数据!$D494="","",原始经营数据!$D494)</f>
        <v>华安百联消费封闭式基础设施证券投资基金</v>
      </c>
      <c r="B493" t="str">
        <f>IF(原始经营数据!$D494="","",T(原始经营数据!$E494))</f>
        <v>上海又一城购物中心</v>
      </c>
      <c r="C493" t="str">
        <f>IF(原始经营数据!$D494="","",原始经营数据!$F494)</f>
        <v>2025Q1</v>
      </c>
      <c r="D493" t="str">
        <f>IF(原始经营数据!$D494="","",原始经营数据!$H494)</f>
        <v>可供出租面积</v>
      </c>
      <c r="E493">
        <f>IF(原始经营数据!$D494="","",原始经营数据!$I494)</f>
        <v>56175.71</v>
      </c>
      <c r="F493" t="str">
        <f>IF(原始经营数据!$D494="","",T(原始经营数据!$J494))</f>
        <v>平方米</v>
      </c>
      <c r="G493" t="str">
        <f>IF(原始经营数据!$D494="","",T(原始经营数据!$K494))</f>
        <v/>
      </c>
      <c r="H493" t="str">
        <f>IF(原始经营数据!$D494="","",原始经营数据!$G494)</f>
        <v>服务量</v>
      </c>
      <c r="I493" t="str">
        <f>IF($A493="","",IF($B493&lt;&gt;"",$B493,IF(COUNTIFS(原始经营数据!$D$3:$D$3001,$A493,原始经营数据!$E$3:$E$3001,"",原始经营数据!$F$3:$F$3001,$C493,原始经营数据!$H$3:$H$3001,$D493,原始经营数据!$K$3:$K$3001,$G493)&gt;1,"基金整体·来源"&amp;原始经营数据!$A494,"基金整体")))</f>
        <v>上海又一城购物中心</v>
      </c>
      <c r="J493" t="str">
        <f t="shared" si="108"/>
        <v>季度</v>
      </c>
      <c r="K493" t="str">
        <f t="shared" si="109"/>
        <v>可供出租面积（平方米）</v>
      </c>
      <c r="L493" t="str">
        <f t="shared" si="110"/>
        <v>上海又一城购物中心|可供出租面积（平方米）|季度</v>
      </c>
      <c r="M493">
        <f>IF($A493="",0,IF(COUNTIF($L$2:$L493,$L493)=1,1,0))</f>
        <v>0</v>
      </c>
      <c r="N493">
        <f t="shared" si="111"/>
        <v>20251</v>
      </c>
      <c r="O493" t="str">
        <f t="shared" si="112"/>
        <v>华安百联消费封闭式基础设施证券投资基金|2025Q1|季度</v>
      </c>
      <c r="P493">
        <f>IF($A493="",0,IF(COUNTIF($O$2:$O493,$O493)=1,1,0))</f>
        <v>1</v>
      </c>
      <c r="Q493" t="str">
        <f>IF(AND($P493=1,$A493=经营数据!$B$3,$J493=经营数据!$BA$5),COUNTIFS($P$2:$P$3000,1,$A$2:$A$3000,$A493,$J$2:$J$3000,$J493,$N$2:$N$3000,"&lt;"&amp;$N493)+1,"")</f>
        <v/>
      </c>
      <c r="R493" t="str">
        <f t="shared" si="113"/>
        <v>华安百联消费封闭式基础设施证券投资基金|上海又一城购物中心</v>
      </c>
      <c r="S493">
        <f>IF($A493="",0,IF(COUNTIF($R$2:$R493,$R493)=1,1,0))</f>
        <v>0</v>
      </c>
      <c r="T493">
        <f t="shared" si="114"/>
        <v>480</v>
      </c>
      <c r="U493" t="str">
        <f>IF($A493="","",IF($A493=经营数据!$B$3,COUNTIFS($S$2:$S$3000,1,$A$2:$A$3000,$A493,$T$2:$T$3000,"&lt;"&amp;$T493)+1,""))</f>
        <v/>
      </c>
      <c r="V493" t="str">
        <f t="shared" si="115"/>
        <v>上海又一城购物中心|服务量</v>
      </c>
      <c r="W493">
        <f t="shared" si="116"/>
        <v>481</v>
      </c>
      <c r="X493" t="str">
        <f t="shared" si="117"/>
        <v>上海又一城购物中心|可供出租面积</v>
      </c>
      <c r="Y493">
        <f t="shared" si="118"/>
        <v>485</v>
      </c>
      <c r="Z493">
        <f>IF($A493="",0,IF(AND($M493=1,$A493=经营数据!$B$3,$J493=经营数据!$BA$5,OR($I493=经营数据!$BA$4,COUNTIF(经营数据!$AA$9:$AA$38,$I493)&gt;0)),1,0))</f>
        <v>0</v>
      </c>
      <c r="AA493" t="str">
        <f t="shared" si="119"/>
        <v/>
      </c>
      <c r="AB493" t="str">
        <f t="shared" si="120"/>
        <v/>
      </c>
      <c r="AC493">
        <f>IF($A493="",0,IF(COUNTIF($A$2:$A493,$A493)=1,1,0))</f>
        <v>0</v>
      </c>
      <c r="AD493">
        <f t="shared" si="121"/>
        <v>6</v>
      </c>
      <c r="AE493" t="str">
        <f t="shared" si="122"/>
        <v>上海又一城购物中心|可供出租面积（平方米）</v>
      </c>
      <c r="BP493" s="47">
        <v>46105</v>
      </c>
      <c r="BQ493" s="29">
        <v>3.9511901433242042E-2</v>
      </c>
    </row>
    <row r="494" spans="1:69" x14ac:dyDescent="0.4">
      <c r="A494" t="str">
        <f>IF(原始经营数据!$D495="","",原始经营数据!$D495)</f>
        <v>华安百联消费封闭式基础设施证券投资基金</v>
      </c>
      <c r="B494" t="str">
        <f>IF(原始经营数据!$D495="","",T(原始经营数据!$E495))</f>
        <v>上海又一城购物中心</v>
      </c>
      <c r="C494" t="str">
        <f>IF(原始经营数据!$D495="","",原始经营数据!$F495)</f>
        <v>2025Q1</v>
      </c>
      <c r="D494" t="str">
        <f>IF(原始经营数据!$D495="","",原始经营数据!$H495)</f>
        <v>实际出租面积</v>
      </c>
      <c r="E494">
        <f>IF(原始经营数据!$D495="","",原始经营数据!$I495)</f>
        <v>53390</v>
      </c>
      <c r="F494" t="str">
        <f>IF(原始经营数据!$D495="","",T(原始经营数据!$J495))</f>
        <v>平方米</v>
      </c>
      <c r="G494" t="str">
        <f>IF(原始经营数据!$D495="","",T(原始经营数据!$K495))</f>
        <v/>
      </c>
      <c r="H494" t="str">
        <f>IF(原始经营数据!$D495="","",原始经营数据!$G495)</f>
        <v>服务量</v>
      </c>
      <c r="I494" t="str">
        <f>IF($A494="","",IF($B494&lt;&gt;"",$B494,IF(COUNTIFS(原始经营数据!$D$3:$D$3001,$A494,原始经营数据!$E$3:$E$3001,"",原始经营数据!$F$3:$F$3001,$C494,原始经营数据!$H$3:$H$3001,$D494,原始经营数据!$K$3:$K$3001,$G494)&gt;1,"基金整体·来源"&amp;原始经营数据!$A495,"基金整体")))</f>
        <v>上海又一城购物中心</v>
      </c>
      <c r="J494" t="str">
        <f t="shared" si="108"/>
        <v>季度</v>
      </c>
      <c r="K494" t="str">
        <f t="shared" si="109"/>
        <v>实际出租面积（平方米）</v>
      </c>
      <c r="L494" t="str">
        <f t="shared" si="110"/>
        <v>上海又一城购物中心|实际出租面积（平方米）|季度</v>
      </c>
      <c r="M494">
        <f>IF($A494="",0,IF(COUNTIF($L$2:$L494,$L494)=1,1,0))</f>
        <v>0</v>
      </c>
      <c r="N494">
        <f t="shared" si="111"/>
        <v>20251</v>
      </c>
      <c r="O494" t="str">
        <f t="shared" si="112"/>
        <v>华安百联消费封闭式基础设施证券投资基金|2025Q1|季度</v>
      </c>
      <c r="P494">
        <f>IF($A494="",0,IF(COUNTIF($O$2:$O494,$O494)=1,1,0))</f>
        <v>0</v>
      </c>
      <c r="Q494" t="str">
        <f>IF(AND($P494=1,$A494=经营数据!$B$3,$J494=经营数据!$BA$5),COUNTIFS($P$2:$P$3000,1,$A$2:$A$3000,$A494,$J$2:$J$3000,$J494,$N$2:$N$3000,"&lt;"&amp;$N494)+1,"")</f>
        <v/>
      </c>
      <c r="R494" t="str">
        <f t="shared" si="113"/>
        <v>华安百联消费封闭式基础设施证券投资基金|上海又一城购物中心</v>
      </c>
      <c r="S494">
        <f>IF($A494="",0,IF(COUNTIF($R$2:$R494,$R494)=1,1,0))</f>
        <v>0</v>
      </c>
      <c r="T494">
        <f t="shared" si="114"/>
        <v>480</v>
      </c>
      <c r="U494" t="str">
        <f>IF($A494="","",IF($A494=经营数据!$B$3,COUNTIFS($S$2:$S$3000,1,$A$2:$A$3000,$A494,$T$2:$T$3000,"&lt;"&amp;$T494)+1,""))</f>
        <v/>
      </c>
      <c r="V494" t="str">
        <f t="shared" si="115"/>
        <v>上海又一城购物中心|服务量</v>
      </c>
      <c r="W494">
        <f t="shared" si="116"/>
        <v>481</v>
      </c>
      <c r="X494" t="str">
        <f t="shared" si="117"/>
        <v>上海又一城购物中心|实际出租面积</v>
      </c>
      <c r="Y494">
        <f t="shared" si="118"/>
        <v>484</v>
      </c>
      <c r="Z494">
        <f>IF($A494="",0,IF(AND($M494=1,$A494=经营数据!$B$3,$J494=经营数据!$BA$5,OR($I494=经营数据!$BA$4,COUNTIF(经营数据!$AA$9:$AA$38,$I494)&gt;0)),1,0))</f>
        <v>0</v>
      </c>
      <c r="AA494" t="str">
        <f t="shared" si="119"/>
        <v/>
      </c>
      <c r="AB494" t="str">
        <f t="shared" si="120"/>
        <v/>
      </c>
      <c r="AC494">
        <f>IF($A494="",0,IF(COUNTIF($A$2:$A494,$A494)=1,1,0))</f>
        <v>0</v>
      </c>
      <c r="AD494">
        <f t="shared" si="121"/>
        <v>6</v>
      </c>
      <c r="AE494" t="str">
        <f t="shared" si="122"/>
        <v>上海又一城购物中心|实际出租面积（平方米）</v>
      </c>
      <c r="BP494" s="47">
        <v>46106</v>
      </c>
      <c r="BQ494" s="29">
        <v>3.9500478616295097E-2</v>
      </c>
    </row>
    <row r="495" spans="1:69" x14ac:dyDescent="0.4">
      <c r="A495" t="str">
        <f>IF(原始经营数据!$D496="","",原始经营数据!$D496)</f>
        <v>华安百联消费封闭式基础设施证券投资基金</v>
      </c>
      <c r="B495" t="str">
        <f>IF(原始经营数据!$D496="","",T(原始经营数据!$E496))</f>
        <v>上海又一城购物中心</v>
      </c>
      <c r="C495" t="str">
        <f>IF(原始经营数据!$D496="","",原始经营数据!$F496)</f>
        <v>2025Q1</v>
      </c>
      <c r="D495" t="str">
        <f>IF(原始经营数据!$D496="","",原始经营数据!$H496)</f>
        <v>出租率</v>
      </c>
      <c r="E495">
        <f>IF(原始经营数据!$D496="","",原始经营数据!$I496)</f>
        <v>95.04</v>
      </c>
      <c r="F495" t="str">
        <f>IF(原始经营数据!$D496="","",T(原始经营数据!$J496))</f>
        <v>%</v>
      </c>
      <c r="G495" t="str">
        <f>IF(原始经营数据!$D496="","",T(原始经营数据!$K496))</f>
        <v/>
      </c>
      <c r="H495" t="str">
        <f>IF(原始经营数据!$D496="","",原始经营数据!$G496)</f>
        <v>服务效率</v>
      </c>
      <c r="I495" t="str">
        <f>IF($A495="","",IF($B495&lt;&gt;"",$B495,IF(COUNTIFS(原始经营数据!$D$3:$D$3001,$A495,原始经营数据!$E$3:$E$3001,"",原始经营数据!$F$3:$F$3001,$C495,原始经营数据!$H$3:$H$3001,$D495,原始经营数据!$K$3:$K$3001,$G495)&gt;1,"基金整体·来源"&amp;原始经营数据!$A496,"基金整体")))</f>
        <v>上海又一城购物中心</v>
      </c>
      <c r="J495" t="str">
        <f t="shared" si="108"/>
        <v>季度</v>
      </c>
      <c r="K495" t="str">
        <f t="shared" si="109"/>
        <v>出租率（%）</v>
      </c>
      <c r="L495" t="str">
        <f t="shared" si="110"/>
        <v>上海又一城购物中心|出租率（%）|季度</v>
      </c>
      <c r="M495">
        <f>IF($A495="",0,IF(COUNTIF($L$2:$L495,$L495)=1,1,0))</f>
        <v>0</v>
      </c>
      <c r="N495">
        <f t="shared" si="111"/>
        <v>20251</v>
      </c>
      <c r="O495" t="str">
        <f t="shared" si="112"/>
        <v>华安百联消费封闭式基础设施证券投资基金|2025Q1|季度</v>
      </c>
      <c r="P495">
        <f>IF($A495="",0,IF(COUNTIF($O$2:$O495,$O495)=1,1,0))</f>
        <v>0</v>
      </c>
      <c r="Q495" t="str">
        <f>IF(AND($P495=1,$A495=经营数据!$B$3,$J495=经营数据!$BA$5),COUNTIFS($P$2:$P$3000,1,$A$2:$A$3000,$A495,$J$2:$J$3000,$J495,$N$2:$N$3000,"&lt;"&amp;$N495)+1,"")</f>
        <v/>
      </c>
      <c r="R495" t="str">
        <f t="shared" si="113"/>
        <v>华安百联消费封闭式基础设施证券投资基金|上海又一城购物中心</v>
      </c>
      <c r="S495">
        <f>IF($A495="",0,IF(COUNTIF($R$2:$R495,$R495)=1,1,0))</f>
        <v>0</v>
      </c>
      <c r="T495">
        <f t="shared" si="114"/>
        <v>480</v>
      </c>
      <c r="U495" t="str">
        <f>IF($A495="","",IF($A495=经营数据!$B$3,COUNTIFS($S$2:$S$3000,1,$A$2:$A$3000,$A495,$T$2:$T$3000,"&lt;"&amp;$T495)+1,""))</f>
        <v/>
      </c>
      <c r="V495" t="str">
        <f t="shared" si="115"/>
        <v>上海又一城购物中心|服务效率</v>
      </c>
      <c r="W495">
        <f t="shared" si="116"/>
        <v>480</v>
      </c>
      <c r="X495" t="str">
        <f t="shared" si="117"/>
        <v>上海又一城购物中心|出租率</v>
      </c>
      <c r="Y495">
        <f t="shared" si="118"/>
        <v>483</v>
      </c>
      <c r="Z495">
        <f>IF($A495="",0,IF(AND($M495=1,$A495=经营数据!$B$3,$J495=经营数据!$BA$5,OR($I495=经营数据!$BA$4,COUNTIF(经营数据!$AA$9:$AA$38,$I495)&gt;0)),1,0))</f>
        <v>0</v>
      </c>
      <c r="AA495" t="str">
        <f t="shared" si="119"/>
        <v/>
      </c>
      <c r="AB495" t="str">
        <f t="shared" si="120"/>
        <v/>
      </c>
      <c r="AC495">
        <f>IF($A495="",0,IF(COUNTIF($A$2:$A495,$A495)=1,1,0))</f>
        <v>0</v>
      </c>
      <c r="AD495">
        <f t="shared" si="121"/>
        <v>6</v>
      </c>
      <c r="AE495" t="str">
        <f t="shared" si="122"/>
        <v>上海又一城购物中心|出租率（%）</v>
      </c>
      <c r="BP495" s="47">
        <v>46107</v>
      </c>
      <c r="BQ495" s="29">
        <v>3.9543088175569008E-2</v>
      </c>
    </row>
    <row r="496" spans="1:69" x14ac:dyDescent="0.4">
      <c r="A496" t="str">
        <f>IF(原始经营数据!$D497="","",原始经营数据!$D497)</f>
        <v>华安百联消费封闭式基础设施证券投资基金</v>
      </c>
      <c r="B496" t="str">
        <f>IF(原始经营数据!$D497="","",T(原始经营数据!$E497))</f>
        <v>上海又一城购物中心</v>
      </c>
      <c r="C496" t="str">
        <f>IF(原始经营数据!$D497="","",原始经营数据!$F497)</f>
        <v>2025Q1</v>
      </c>
      <c r="D496" t="str">
        <f>IF(原始经营数据!$D497="","",原始经营数据!$H497)</f>
        <v>租赁部分平均租金单价</v>
      </c>
      <c r="E496">
        <f>IF(原始经营数据!$D497="","",原始经营数据!$I497)</f>
        <v>226</v>
      </c>
      <c r="F496" t="str">
        <f>IF(原始经营数据!$D497="","",T(原始经营数据!$J497))</f>
        <v>元/平方米/月</v>
      </c>
      <c r="G496" t="str">
        <f>IF(原始经营数据!$D497="","",T(原始经营数据!$K497))</f>
        <v/>
      </c>
      <c r="H496" t="str">
        <f>IF(原始经营数据!$D497="","",原始经营数据!$G497)</f>
        <v>服务价格</v>
      </c>
      <c r="I496" t="str">
        <f>IF($A496="","",IF($B496&lt;&gt;"",$B496,IF(COUNTIFS(原始经营数据!$D$3:$D$3001,$A496,原始经营数据!$E$3:$E$3001,"",原始经营数据!$F$3:$F$3001,$C496,原始经营数据!$H$3:$H$3001,$D496,原始经营数据!$K$3:$K$3001,$G496)&gt;1,"基金整体·来源"&amp;原始经营数据!$A497,"基金整体")))</f>
        <v>上海又一城购物中心</v>
      </c>
      <c r="J496" t="str">
        <f t="shared" si="108"/>
        <v>季度</v>
      </c>
      <c r="K496" t="str">
        <f t="shared" si="109"/>
        <v>租赁部分平均租金单价（元/平方米/月）</v>
      </c>
      <c r="L496" t="str">
        <f t="shared" si="110"/>
        <v>上海又一城购物中心|租赁部分平均租金单价（元/平方米/月）|季度</v>
      </c>
      <c r="M496">
        <f>IF($A496="",0,IF(COUNTIF($L$2:$L496,$L496)=1,1,0))</f>
        <v>0</v>
      </c>
      <c r="N496">
        <f t="shared" si="111"/>
        <v>20251</v>
      </c>
      <c r="O496" t="str">
        <f t="shared" si="112"/>
        <v>华安百联消费封闭式基础设施证券投资基金|2025Q1|季度</v>
      </c>
      <c r="P496">
        <f>IF($A496="",0,IF(COUNTIF($O$2:$O496,$O496)=1,1,0))</f>
        <v>0</v>
      </c>
      <c r="Q496" t="str">
        <f>IF(AND($P496=1,$A496=经营数据!$B$3,$J496=经营数据!$BA$5),COUNTIFS($P$2:$P$3000,1,$A$2:$A$3000,$A496,$J$2:$J$3000,$J496,$N$2:$N$3000,"&lt;"&amp;$N496)+1,"")</f>
        <v/>
      </c>
      <c r="R496" t="str">
        <f t="shared" si="113"/>
        <v>华安百联消费封闭式基础设施证券投资基金|上海又一城购物中心</v>
      </c>
      <c r="S496">
        <f>IF($A496="",0,IF(COUNTIF($R$2:$R496,$R496)=1,1,0))</f>
        <v>0</v>
      </c>
      <c r="T496">
        <f t="shared" si="114"/>
        <v>480</v>
      </c>
      <c r="U496" t="str">
        <f>IF($A496="","",IF($A496=经营数据!$B$3,COUNTIFS($S$2:$S$3000,1,$A$2:$A$3000,$A496,$T$2:$T$3000,"&lt;"&amp;$T496)+1,""))</f>
        <v/>
      </c>
      <c r="V496" t="str">
        <f t="shared" si="115"/>
        <v>上海又一城购物中心|服务价格</v>
      </c>
      <c r="W496">
        <f t="shared" si="116"/>
        <v>482</v>
      </c>
      <c r="X496" t="str">
        <f t="shared" si="117"/>
        <v>上海又一城购物中心|租赁部分平均租金单价</v>
      </c>
      <c r="Y496">
        <f t="shared" si="118"/>
        <v>482</v>
      </c>
      <c r="Z496">
        <f>IF($A496="",0,IF(AND($M496=1,$A496=经营数据!$B$3,$J496=经营数据!$BA$5,OR($I496=经营数据!$BA$4,COUNTIF(经营数据!$AA$9:$AA$38,$I496)&gt;0)),1,0))</f>
        <v>0</v>
      </c>
      <c r="AA496" t="str">
        <f t="shared" si="119"/>
        <v/>
      </c>
      <c r="AB496" t="str">
        <f t="shared" si="120"/>
        <v/>
      </c>
      <c r="AC496">
        <f>IF($A496="",0,IF(COUNTIF($A$2:$A496,$A496)=1,1,0))</f>
        <v>0</v>
      </c>
      <c r="AD496">
        <f t="shared" si="121"/>
        <v>6</v>
      </c>
      <c r="AE496" t="str">
        <f t="shared" si="122"/>
        <v>上海又一城购物中心|租赁部分平均租金单价（元/平方米/月）</v>
      </c>
      <c r="BP496" s="47">
        <v>46108</v>
      </c>
      <c r="BQ496" s="29">
        <v>3.955765884293843E-2</v>
      </c>
    </row>
    <row r="497" spans="1:69" x14ac:dyDescent="0.4">
      <c r="A497" t="str">
        <f>IF(原始经营数据!$D498="","",原始经营数据!$D498)</f>
        <v>华安百联消费封闭式基础设施证券投资基金</v>
      </c>
      <c r="B497" t="str">
        <f>IF(原始经营数据!$D498="","",T(原始经营数据!$E498))</f>
        <v>上海又一城购物中心</v>
      </c>
      <c r="C497" t="str">
        <f>IF(原始经营数据!$D498="","",原始经营数据!$F498)</f>
        <v>2025Q1</v>
      </c>
      <c r="D497" t="str">
        <f>IF(原始经营数据!$D498="","",原始经营数据!$H498)</f>
        <v>加权平均剩余租期</v>
      </c>
      <c r="E497">
        <f>IF(原始经营数据!$D498="","",原始经营数据!$I498)</f>
        <v>2.48</v>
      </c>
      <c r="F497" t="str">
        <f>IF(原始经营数据!$D498="","",T(原始经营数据!$J498))</f>
        <v>年</v>
      </c>
      <c r="G497" t="str">
        <f>IF(原始经营数据!$D498="","",T(原始经营数据!$K498))</f>
        <v/>
      </c>
      <c r="H497" t="str">
        <f>IF(原始经营数据!$D498="","",原始经营数据!$G498)</f>
        <v>服务量</v>
      </c>
      <c r="I497" t="str">
        <f>IF($A497="","",IF($B497&lt;&gt;"",$B497,IF(COUNTIFS(原始经营数据!$D$3:$D$3001,$A497,原始经营数据!$E$3:$E$3001,"",原始经营数据!$F$3:$F$3001,$C497,原始经营数据!$H$3:$H$3001,$D497,原始经营数据!$K$3:$K$3001,$G497)&gt;1,"基金整体·来源"&amp;原始经营数据!$A498,"基金整体")))</f>
        <v>上海又一城购物中心</v>
      </c>
      <c r="J497" t="str">
        <f t="shared" si="108"/>
        <v>季度</v>
      </c>
      <c r="K497" t="str">
        <f t="shared" si="109"/>
        <v>加权平均剩余租期（年）</v>
      </c>
      <c r="L497" t="str">
        <f t="shared" si="110"/>
        <v>上海又一城购物中心|加权平均剩余租期（年）|季度</v>
      </c>
      <c r="M497">
        <f>IF($A497="",0,IF(COUNTIF($L$2:$L497,$L497)=1,1,0))</f>
        <v>0</v>
      </c>
      <c r="N497">
        <f t="shared" si="111"/>
        <v>20251</v>
      </c>
      <c r="O497" t="str">
        <f t="shared" si="112"/>
        <v>华安百联消费封闭式基础设施证券投资基金|2025Q1|季度</v>
      </c>
      <c r="P497">
        <f>IF($A497="",0,IF(COUNTIF($O$2:$O497,$O497)=1,1,0))</f>
        <v>0</v>
      </c>
      <c r="Q497" t="str">
        <f>IF(AND($P497=1,$A497=经营数据!$B$3,$J497=经营数据!$BA$5),COUNTIFS($P$2:$P$3000,1,$A$2:$A$3000,$A497,$J$2:$J$3000,$J497,$N$2:$N$3000,"&lt;"&amp;$N497)+1,"")</f>
        <v/>
      </c>
      <c r="R497" t="str">
        <f t="shared" si="113"/>
        <v>华安百联消费封闭式基础设施证券投资基金|上海又一城购物中心</v>
      </c>
      <c r="S497">
        <f>IF($A497="",0,IF(COUNTIF($R$2:$R497,$R497)=1,1,0))</f>
        <v>0</v>
      </c>
      <c r="T497">
        <f t="shared" si="114"/>
        <v>480</v>
      </c>
      <c r="U497" t="str">
        <f>IF($A497="","",IF($A497=经营数据!$B$3,COUNTIFS($S$2:$S$3000,1,$A$2:$A$3000,$A497,$T$2:$T$3000,"&lt;"&amp;$T497)+1,""))</f>
        <v/>
      </c>
      <c r="V497" t="str">
        <f t="shared" si="115"/>
        <v>上海又一城购物中心|服务量</v>
      </c>
      <c r="W497">
        <f t="shared" si="116"/>
        <v>481</v>
      </c>
      <c r="X497" t="str">
        <f t="shared" si="117"/>
        <v>上海又一城购物中心|加权平均剩余租期</v>
      </c>
      <c r="Y497">
        <f t="shared" si="118"/>
        <v>481</v>
      </c>
      <c r="Z497">
        <f>IF($A497="",0,IF(AND($M497=1,$A497=经营数据!$B$3,$J497=经营数据!$BA$5,OR($I497=经营数据!$BA$4,COUNTIF(经营数据!$AA$9:$AA$38,$I497)&gt;0)),1,0))</f>
        <v>0</v>
      </c>
      <c r="AA497" t="str">
        <f t="shared" si="119"/>
        <v/>
      </c>
      <c r="AB497" t="str">
        <f t="shared" si="120"/>
        <v/>
      </c>
      <c r="AC497">
        <f>IF($A497="",0,IF(COUNTIF($A$2:$A497,$A497)=1,1,0))</f>
        <v>0</v>
      </c>
      <c r="AD497">
        <f t="shared" si="121"/>
        <v>6</v>
      </c>
      <c r="AE497" t="str">
        <f t="shared" si="122"/>
        <v>上海又一城购物中心|加权平均剩余租期（年）</v>
      </c>
      <c r="BP497" s="47">
        <v>46111</v>
      </c>
      <c r="BQ497" s="29">
        <v>3.9490288621071012E-2</v>
      </c>
    </row>
    <row r="498" spans="1:69" x14ac:dyDescent="0.4">
      <c r="A498" t="str">
        <f>IF(原始经营数据!$D499="","",原始经营数据!$D499)</f>
        <v>华安百联消费封闭式基础设施证券投资基金</v>
      </c>
      <c r="B498" t="str">
        <f>IF(原始经营数据!$D499="","",T(原始经营数据!$E499))</f>
        <v>上海又一城购物中心</v>
      </c>
      <c r="C498" t="str">
        <f>IF(原始经营数据!$D499="","",原始经营数据!$F499)</f>
        <v>2025Q1</v>
      </c>
      <c r="D498" t="str">
        <f>IF(原始经营数据!$D499="","",原始经营数据!$H499)</f>
        <v>租赁业务收缴率</v>
      </c>
      <c r="E498">
        <f>IF(原始经营数据!$D499="","",原始经营数据!$I499)</f>
        <v>98.66</v>
      </c>
      <c r="F498" t="str">
        <f>IF(原始经营数据!$D499="","",T(原始经营数据!$J499))</f>
        <v>%</v>
      </c>
      <c r="G498" t="str">
        <f>IF(原始经营数据!$D499="","",T(原始经营数据!$K499))</f>
        <v/>
      </c>
      <c r="H498" t="str">
        <f>IF(原始经营数据!$D499="","",原始经营数据!$G499)</f>
        <v>服务效率</v>
      </c>
      <c r="I498" t="str">
        <f>IF($A498="","",IF($B498&lt;&gt;"",$B498,IF(COUNTIFS(原始经营数据!$D$3:$D$3001,$A498,原始经营数据!$E$3:$E$3001,"",原始经营数据!$F$3:$F$3001,$C498,原始经营数据!$H$3:$H$3001,$D498,原始经营数据!$K$3:$K$3001,$G498)&gt;1,"基金整体·来源"&amp;原始经营数据!$A499,"基金整体")))</f>
        <v>上海又一城购物中心</v>
      </c>
      <c r="J498" t="str">
        <f t="shared" si="108"/>
        <v>季度</v>
      </c>
      <c r="K498" t="str">
        <f t="shared" si="109"/>
        <v>租赁业务收缴率（%）</v>
      </c>
      <c r="L498" t="str">
        <f t="shared" si="110"/>
        <v>上海又一城购物中心|租赁业务收缴率（%）|季度</v>
      </c>
      <c r="M498">
        <f>IF($A498="",0,IF(COUNTIF($L$2:$L498,$L498)=1,1,0))</f>
        <v>0</v>
      </c>
      <c r="N498">
        <f t="shared" si="111"/>
        <v>20251</v>
      </c>
      <c r="O498" t="str">
        <f t="shared" si="112"/>
        <v>华安百联消费封闭式基础设施证券投资基金|2025Q1|季度</v>
      </c>
      <c r="P498">
        <f>IF($A498="",0,IF(COUNTIF($O$2:$O498,$O498)=1,1,0))</f>
        <v>0</v>
      </c>
      <c r="Q498" t="str">
        <f>IF(AND($P498=1,$A498=经营数据!$B$3,$J498=经营数据!$BA$5),COUNTIFS($P$2:$P$3000,1,$A$2:$A$3000,$A498,$J$2:$J$3000,$J498,$N$2:$N$3000,"&lt;"&amp;$N498)+1,"")</f>
        <v/>
      </c>
      <c r="R498" t="str">
        <f t="shared" si="113"/>
        <v>华安百联消费封闭式基础设施证券投资基金|上海又一城购物中心</v>
      </c>
      <c r="S498">
        <f>IF($A498="",0,IF(COUNTIF($R$2:$R498,$R498)=1,1,0))</f>
        <v>0</v>
      </c>
      <c r="T498">
        <f t="shared" si="114"/>
        <v>480</v>
      </c>
      <c r="U498" t="str">
        <f>IF($A498="","",IF($A498=经营数据!$B$3,COUNTIFS($S$2:$S$3000,1,$A$2:$A$3000,$A498,$T$2:$T$3000,"&lt;"&amp;$T498)+1,""))</f>
        <v/>
      </c>
      <c r="V498" t="str">
        <f t="shared" si="115"/>
        <v>上海又一城购物中心|服务效率</v>
      </c>
      <c r="W498">
        <f t="shared" si="116"/>
        <v>480</v>
      </c>
      <c r="X498" t="str">
        <f t="shared" si="117"/>
        <v>上海又一城购物中心|租赁业务收缴率</v>
      </c>
      <c r="Y498">
        <f t="shared" si="118"/>
        <v>480</v>
      </c>
      <c r="Z498">
        <f>IF($A498="",0,IF(AND($M498=1,$A498=经营数据!$B$3,$J498=经营数据!$BA$5,OR($I498=经营数据!$BA$4,COUNTIF(经营数据!$AA$9:$AA$38,$I498)&gt;0)),1,0))</f>
        <v>0</v>
      </c>
      <c r="AA498" t="str">
        <f t="shared" si="119"/>
        <v/>
      </c>
      <c r="AB498" t="str">
        <f t="shared" si="120"/>
        <v/>
      </c>
      <c r="AC498">
        <f>IF($A498="",0,IF(COUNTIF($A$2:$A498,$A498)=1,1,0))</f>
        <v>0</v>
      </c>
      <c r="AD498">
        <f t="shared" si="121"/>
        <v>6</v>
      </c>
      <c r="AE498" t="str">
        <f t="shared" si="122"/>
        <v>上海又一城购物中心|租赁业务收缴率（%）</v>
      </c>
      <c r="BP498" s="47">
        <v>46112</v>
      </c>
      <c r="BQ498" s="29">
        <v>3.9600391919987932E-2</v>
      </c>
    </row>
    <row r="499" spans="1:69" x14ac:dyDescent="0.4">
      <c r="A499" t="str">
        <f>IF(原始经营数据!$D500="","",原始经营数据!$D500)</f>
        <v>华安百联消费封闭式基础设施证券投资基金</v>
      </c>
      <c r="B499" t="str">
        <f>IF(原始经营数据!$D500="","",T(原始经营数据!$E500))</f>
        <v>上海又一城购物中心</v>
      </c>
      <c r="C499" t="str">
        <f>IF(原始经营数据!$D500="","",原始经营数据!$F500)</f>
        <v>2025Q2</v>
      </c>
      <c r="D499" t="str">
        <f>IF(原始经营数据!$D500="","",原始经营数据!$H500)</f>
        <v>出租率</v>
      </c>
      <c r="E499">
        <f>IF(原始经营数据!$D500="","",原始经营数据!$I500)</f>
        <v>95.39</v>
      </c>
      <c r="F499" t="str">
        <f>IF(原始经营数据!$D500="","",T(原始经营数据!$J500))</f>
        <v>%</v>
      </c>
      <c r="G499" t="str">
        <f>IF(原始经营数据!$D500="","",T(原始经营数据!$K500))</f>
        <v/>
      </c>
      <c r="H499" t="str">
        <f>IF(原始经营数据!$D500="","",原始经营数据!$G500)</f>
        <v>服务效率</v>
      </c>
      <c r="I499" t="str">
        <f>IF($A499="","",IF($B499&lt;&gt;"",$B499,IF(COUNTIFS(原始经营数据!$D$3:$D$3001,$A499,原始经营数据!$E$3:$E$3001,"",原始经营数据!$F$3:$F$3001,$C499,原始经营数据!$H$3:$H$3001,$D499,原始经营数据!$K$3:$K$3001,$G499)&gt;1,"基金整体·来源"&amp;原始经营数据!$A500,"基金整体")))</f>
        <v>上海又一城购物中心</v>
      </c>
      <c r="J499" t="str">
        <f t="shared" si="108"/>
        <v>季度</v>
      </c>
      <c r="K499" t="str">
        <f t="shared" si="109"/>
        <v>出租率（%）</v>
      </c>
      <c r="L499" t="str">
        <f t="shared" si="110"/>
        <v>上海又一城购物中心|出租率（%）|季度</v>
      </c>
      <c r="M499">
        <f>IF($A499="",0,IF(COUNTIF($L$2:$L499,$L499)=1,1,0))</f>
        <v>0</v>
      </c>
      <c r="N499">
        <f t="shared" si="111"/>
        <v>20252</v>
      </c>
      <c r="O499" t="str">
        <f t="shared" si="112"/>
        <v>华安百联消费封闭式基础设施证券投资基金|2025Q2|季度</v>
      </c>
      <c r="P499">
        <f>IF($A499="",0,IF(COUNTIF($O$2:$O499,$O499)=1,1,0))</f>
        <v>1</v>
      </c>
      <c r="Q499" t="str">
        <f>IF(AND($P499=1,$A499=经营数据!$B$3,$J499=经营数据!$BA$5),COUNTIFS($P$2:$P$3000,1,$A$2:$A$3000,$A499,$J$2:$J$3000,$J499,$N$2:$N$3000,"&lt;"&amp;$N499)+1,"")</f>
        <v/>
      </c>
      <c r="R499" t="str">
        <f t="shared" si="113"/>
        <v>华安百联消费封闭式基础设施证券投资基金|上海又一城购物中心</v>
      </c>
      <c r="S499">
        <f>IF($A499="",0,IF(COUNTIF($R$2:$R499,$R499)=1,1,0))</f>
        <v>0</v>
      </c>
      <c r="T499">
        <f t="shared" si="114"/>
        <v>480</v>
      </c>
      <c r="U499" t="str">
        <f>IF($A499="","",IF($A499=经营数据!$B$3,COUNTIFS($S$2:$S$3000,1,$A$2:$A$3000,$A499,$T$2:$T$3000,"&lt;"&amp;$T499)+1,""))</f>
        <v/>
      </c>
      <c r="V499" t="str">
        <f t="shared" si="115"/>
        <v>上海又一城购物中心|服务效率</v>
      </c>
      <c r="W499">
        <f t="shared" si="116"/>
        <v>480</v>
      </c>
      <c r="X499" t="str">
        <f t="shared" si="117"/>
        <v>上海又一城购物中心|出租率</v>
      </c>
      <c r="Y499">
        <f t="shared" si="118"/>
        <v>483</v>
      </c>
      <c r="Z499">
        <f>IF($A499="",0,IF(AND($M499=1,$A499=经营数据!$B$3,$J499=经营数据!$BA$5,OR($I499=经营数据!$BA$4,COUNTIF(经营数据!$AA$9:$AA$38,$I499)&gt;0)),1,0))</f>
        <v>0</v>
      </c>
      <c r="AA499" t="str">
        <f t="shared" si="119"/>
        <v/>
      </c>
      <c r="AB499" t="str">
        <f t="shared" si="120"/>
        <v/>
      </c>
      <c r="AC499">
        <f>IF($A499="",0,IF(COUNTIF($A$2:$A499,$A499)=1,1,0))</f>
        <v>0</v>
      </c>
      <c r="AD499">
        <f t="shared" si="121"/>
        <v>6</v>
      </c>
      <c r="AE499" t="str">
        <f t="shared" si="122"/>
        <v>上海又一城购物中心|出租率（%）</v>
      </c>
      <c r="BP499" s="47">
        <v>46113</v>
      </c>
      <c r="BQ499" s="29">
        <v>3.9634948975482052E-2</v>
      </c>
    </row>
    <row r="500" spans="1:69" x14ac:dyDescent="0.4">
      <c r="A500" t="str">
        <f>IF(原始经营数据!$D501="","",原始经营数据!$D501)</f>
        <v>华安百联消费封闭式基础设施证券投资基金</v>
      </c>
      <c r="B500" t="str">
        <f>IF(原始经营数据!$D501="","",T(原始经营数据!$E501))</f>
        <v>上海又一城购物中心</v>
      </c>
      <c r="C500" t="str">
        <f>IF(原始经营数据!$D501="","",原始经营数据!$F501)</f>
        <v>2025Q2</v>
      </c>
      <c r="D500" t="str">
        <f>IF(原始经营数据!$D501="","",原始经营数据!$H501)</f>
        <v>租赁部分平均租金单价</v>
      </c>
      <c r="E500">
        <f>IF(原始经营数据!$D501="","",原始经营数据!$I501)</f>
        <v>234</v>
      </c>
      <c r="F500" t="str">
        <f>IF(原始经营数据!$D501="","",T(原始经营数据!$J501))</f>
        <v>元/平方米/月</v>
      </c>
      <c r="G500" t="str">
        <f>IF(原始经营数据!$D501="","",T(原始经营数据!$K501))</f>
        <v/>
      </c>
      <c r="H500" t="str">
        <f>IF(原始经营数据!$D501="","",原始经营数据!$G501)</f>
        <v>服务价格</v>
      </c>
      <c r="I500" t="str">
        <f>IF($A500="","",IF($B500&lt;&gt;"",$B500,IF(COUNTIFS(原始经营数据!$D$3:$D$3001,$A500,原始经营数据!$E$3:$E$3001,"",原始经营数据!$F$3:$F$3001,$C500,原始经营数据!$H$3:$H$3001,$D500,原始经营数据!$K$3:$K$3001,$G500)&gt;1,"基金整体·来源"&amp;原始经营数据!$A501,"基金整体")))</f>
        <v>上海又一城购物中心</v>
      </c>
      <c r="J500" t="str">
        <f t="shared" si="108"/>
        <v>季度</v>
      </c>
      <c r="K500" t="str">
        <f t="shared" si="109"/>
        <v>租赁部分平均租金单价（元/平方米/月）</v>
      </c>
      <c r="L500" t="str">
        <f t="shared" si="110"/>
        <v>上海又一城购物中心|租赁部分平均租金单价（元/平方米/月）|季度</v>
      </c>
      <c r="M500">
        <f>IF($A500="",0,IF(COUNTIF($L$2:$L500,$L500)=1,1,0))</f>
        <v>0</v>
      </c>
      <c r="N500">
        <f t="shared" si="111"/>
        <v>20252</v>
      </c>
      <c r="O500" t="str">
        <f t="shared" si="112"/>
        <v>华安百联消费封闭式基础设施证券投资基金|2025Q2|季度</v>
      </c>
      <c r="P500">
        <f>IF($A500="",0,IF(COUNTIF($O$2:$O500,$O500)=1,1,0))</f>
        <v>0</v>
      </c>
      <c r="Q500" t="str">
        <f>IF(AND($P500=1,$A500=经营数据!$B$3,$J500=经营数据!$BA$5),COUNTIFS($P$2:$P$3000,1,$A$2:$A$3000,$A500,$J$2:$J$3000,$J500,$N$2:$N$3000,"&lt;"&amp;$N500)+1,"")</f>
        <v/>
      </c>
      <c r="R500" t="str">
        <f t="shared" si="113"/>
        <v>华安百联消费封闭式基础设施证券投资基金|上海又一城购物中心</v>
      </c>
      <c r="S500">
        <f>IF($A500="",0,IF(COUNTIF($R$2:$R500,$R500)=1,1,0))</f>
        <v>0</v>
      </c>
      <c r="T500">
        <f t="shared" si="114"/>
        <v>480</v>
      </c>
      <c r="U500" t="str">
        <f>IF($A500="","",IF($A500=经营数据!$B$3,COUNTIFS($S$2:$S$3000,1,$A$2:$A$3000,$A500,$T$2:$T$3000,"&lt;"&amp;$T500)+1,""))</f>
        <v/>
      </c>
      <c r="V500" t="str">
        <f t="shared" si="115"/>
        <v>上海又一城购物中心|服务价格</v>
      </c>
      <c r="W500">
        <f t="shared" si="116"/>
        <v>482</v>
      </c>
      <c r="X500" t="str">
        <f t="shared" si="117"/>
        <v>上海又一城购物中心|租赁部分平均租金单价</v>
      </c>
      <c r="Y500">
        <f t="shared" si="118"/>
        <v>482</v>
      </c>
      <c r="Z500">
        <f>IF($A500="",0,IF(AND($M500=1,$A500=经营数据!$B$3,$J500=经营数据!$BA$5,OR($I500=经营数据!$BA$4,COUNTIF(经营数据!$AA$9:$AA$38,$I500)&gt;0)),1,0))</f>
        <v>0</v>
      </c>
      <c r="AA500" t="str">
        <f t="shared" si="119"/>
        <v/>
      </c>
      <c r="AB500" t="str">
        <f t="shared" si="120"/>
        <v/>
      </c>
      <c r="AC500">
        <f>IF($A500="",0,IF(COUNTIF($A$2:$A500,$A500)=1,1,0))</f>
        <v>0</v>
      </c>
      <c r="AD500">
        <f t="shared" si="121"/>
        <v>6</v>
      </c>
      <c r="AE500" t="str">
        <f t="shared" si="122"/>
        <v>上海又一城购物中心|租赁部分平均租金单价（元/平方米/月）</v>
      </c>
      <c r="BP500" s="47">
        <v>46114</v>
      </c>
      <c r="BQ500" s="29">
        <v>3.964616448603734E-2</v>
      </c>
    </row>
    <row r="501" spans="1:69" x14ac:dyDescent="0.4">
      <c r="A501" t="str">
        <f>IF(原始经营数据!$D502="","",原始经营数据!$D502)</f>
        <v>华安百联消费封闭式基础设施证券投资基金</v>
      </c>
      <c r="B501" t="str">
        <f>IF(原始经营数据!$D502="","",T(原始经营数据!$E502))</f>
        <v>上海又一城购物中心</v>
      </c>
      <c r="C501" t="str">
        <f>IF(原始经营数据!$D502="","",原始经营数据!$F502)</f>
        <v>2025Q2</v>
      </c>
      <c r="D501" t="str">
        <f>IF(原始经营数据!$D502="","",原始经营数据!$H502)</f>
        <v>加权平均剩余租期</v>
      </c>
      <c r="E501">
        <f>IF(原始经营数据!$D502="","",原始经营数据!$I502)</f>
        <v>2.37</v>
      </c>
      <c r="F501" t="str">
        <f>IF(原始经营数据!$D502="","",T(原始经营数据!$J502))</f>
        <v>年</v>
      </c>
      <c r="G501" t="str">
        <f>IF(原始经营数据!$D502="","",T(原始经营数据!$K502))</f>
        <v/>
      </c>
      <c r="H501" t="str">
        <f>IF(原始经营数据!$D502="","",原始经营数据!$G502)</f>
        <v>服务量</v>
      </c>
      <c r="I501" t="str">
        <f>IF($A501="","",IF($B501&lt;&gt;"",$B501,IF(COUNTIFS(原始经营数据!$D$3:$D$3001,$A501,原始经营数据!$E$3:$E$3001,"",原始经营数据!$F$3:$F$3001,$C501,原始经营数据!$H$3:$H$3001,$D501,原始经营数据!$K$3:$K$3001,$G501)&gt;1,"基金整体·来源"&amp;原始经营数据!$A502,"基金整体")))</f>
        <v>上海又一城购物中心</v>
      </c>
      <c r="J501" t="str">
        <f t="shared" si="108"/>
        <v>季度</v>
      </c>
      <c r="K501" t="str">
        <f t="shared" si="109"/>
        <v>加权平均剩余租期（年）</v>
      </c>
      <c r="L501" t="str">
        <f t="shared" si="110"/>
        <v>上海又一城购物中心|加权平均剩余租期（年）|季度</v>
      </c>
      <c r="M501">
        <f>IF($A501="",0,IF(COUNTIF($L$2:$L501,$L501)=1,1,0))</f>
        <v>0</v>
      </c>
      <c r="N501">
        <f t="shared" si="111"/>
        <v>20252</v>
      </c>
      <c r="O501" t="str">
        <f t="shared" si="112"/>
        <v>华安百联消费封闭式基础设施证券投资基金|2025Q2|季度</v>
      </c>
      <c r="P501">
        <f>IF($A501="",0,IF(COUNTIF($O$2:$O501,$O501)=1,1,0))</f>
        <v>0</v>
      </c>
      <c r="Q501" t="str">
        <f>IF(AND($P501=1,$A501=经营数据!$B$3,$J501=经营数据!$BA$5),COUNTIFS($P$2:$P$3000,1,$A$2:$A$3000,$A501,$J$2:$J$3000,$J501,$N$2:$N$3000,"&lt;"&amp;$N501)+1,"")</f>
        <v/>
      </c>
      <c r="R501" t="str">
        <f t="shared" si="113"/>
        <v>华安百联消费封闭式基础设施证券投资基金|上海又一城购物中心</v>
      </c>
      <c r="S501">
        <f>IF($A501="",0,IF(COUNTIF($R$2:$R501,$R501)=1,1,0))</f>
        <v>0</v>
      </c>
      <c r="T501">
        <f t="shared" si="114"/>
        <v>480</v>
      </c>
      <c r="U501" t="str">
        <f>IF($A501="","",IF($A501=经营数据!$B$3,COUNTIFS($S$2:$S$3000,1,$A$2:$A$3000,$A501,$T$2:$T$3000,"&lt;"&amp;$T501)+1,""))</f>
        <v/>
      </c>
      <c r="V501" t="str">
        <f t="shared" si="115"/>
        <v>上海又一城购物中心|服务量</v>
      </c>
      <c r="W501">
        <f t="shared" si="116"/>
        <v>481</v>
      </c>
      <c r="X501" t="str">
        <f t="shared" si="117"/>
        <v>上海又一城购物中心|加权平均剩余租期</v>
      </c>
      <c r="Y501">
        <f t="shared" si="118"/>
        <v>481</v>
      </c>
      <c r="Z501">
        <f>IF($A501="",0,IF(AND($M501=1,$A501=经营数据!$B$3,$J501=经营数据!$BA$5,OR($I501=经营数据!$BA$4,COUNTIF(经营数据!$AA$9:$AA$38,$I501)&gt;0)),1,0))</f>
        <v>0</v>
      </c>
      <c r="AA501" t="str">
        <f t="shared" si="119"/>
        <v/>
      </c>
      <c r="AB501" t="str">
        <f t="shared" si="120"/>
        <v/>
      </c>
      <c r="AC501">
        <f>IF($A501="",0,IF(COUNTIF($A$2:$A501,$A501)=1,1,0))</f>
        <v>0</v>
      </c>
      <c r="AD501">
        <f t="shared" si="121"/>
        <v>6</v>
      </c>
      <c r="AE501" t="str">
        <f t="shared" si="122"/>
        <v>上海又一城购物中心|加权平均剩余租期（年）</v>
      </c>
      <c r="BP501" s="47">
        <v>46115</v>
      </c>
      <c r="BQ501" s="29">
        <v>3.9468605216039877E-2</v>
      </c>
    </row>
    <row r="502" spans="1:69" x14ac:dyDescent="0.4">
      <c r="A502" t="str">
        <f>IF(原始经营数据!$D503="","",原始经营数据!$D503)</f>
        <v>华安百联消费封闭式基础设施证券投资基金</v>
      </c>
      <c r="B502" t="str">
        <f>IF(原始经营数据!$D503="","",T(原始经营数据!$E503))</f>
        <v>上海又一城购物中心</v>
      </c>
      <c r="C502" t="str">
        <f>IF(原始经营数据!$D503="","",原始经营数据!$F503)</f>
        <v>2025Q2</v>
      </c>
      <c r="D502" t="str">
        <f>IF(原始经营数据!$D503="","",原始经营数据!$H503)</f>
        <v>租赁业务收缴率</v>
      </c>
      <c r="E502">
        <f>IF(原始经营数据!$D503="","",原始经营数据!$I503)</f>
        <v>100</v>
      </c>
      <c r="F502" t="str">
        <f>IF(原始经营数据!$D503="","",T(原始经营数据!$J503))</f>
        <v>%</v>
      </c>
      <c r="G502" t="str">
        <f>IF(原始经营数据!$D503="","",T(原始经营数据!$K503))</f>
        <v/>
      </c>
      <c r="H502" t="str">
        <f>IF(原始经营数据!$D503="","",原始经营数据!$G503)</f>
        <v>服务效率</v>
      </c>
      <c r="I502" t="str">
        <f>IF($A502="","",IF($B502&lt;&gt;"",$B502,IF(COUNTIFS(原始经营数据!$D$3:$D$3001,$A502,原始经营数据!$E$3:$E$3001,"",原始经营数据!$F$3:$F$3001,$C502,原始经营数据!$H$3:$H$3001,$D502,原始经营数据!$K$3:$K$3001,$G502)&gt;1,"基金整体·来源"&amp;原始经营数据!$A503,"基金整体")))</f>
        <v>上海又一城购物中心</v>
      </c>
      <c r="J502" t="str">
        <f t="shared" si="108"/>
        <v>季度</v>
      </c>
      <c r="K502" t="str">
        <f t="shared" si="109"/>
        <v>租赁业务收缴率（%）</v>
      </c>
      <c r="L502" t="str">
        <f t="shared" si="110"/>
        <v>上海又一城购物中心|租赁业务收缴率（%）|季度</v>
      </c>
      <c r="M502">
        <f>IF($A502="",0,IF(COUNTIF($L$2:$L502,$L502)=1,1,0))</f>
        <v>0</v>
      </c>
      <c r="N502">
        <f t="shared" si="111"/>
        <v>20252</v>
      </c>
      <c r="O502" t="str">
        <f t="shared" si="112"/>
        <v>华安百联消费封闭式基础设施证券投资基金|2025Q2|季度</v>
      </c>
      <c r="P502">
        <f>IF($A502="",0,IF(COUNTIF($O$2:$O502,$O502)=1,1,0))</f>
        <v>0</v>
      </c>
      <c r="Q502" t="str">
        <f>IF(AND($P502=1,$A502=经营数据!$B$3,$J502=经营数据!$BA$5),COUNTIFS($P$2:$P$3000,1,$A$2:$A$3000,$A502,$J$2:$J$3000,$J502,$N$2:$N$3000,"&lt;"&amp;$N502)+1,"")</f>
        <v/>
      </c>
      <c r="R502" t="str">
        <f t="shared" si="113"/>
        <v>华安百联消费封闭式基础设施证券投资基金|上海又一城购物中心</v>
      </c>
      <c r="S502">
        <f>IF($A502="",0,IF(COUNTIF($R$2:$R502,$R502)=1,1,0))</f>
        <v>0</v>
      </c>
      <c r="T502">
        <f t="shared" si="114"/>
        <v>480</v>
      </c>
      <c r="U502" t="str">
        <f>IF($A502="","",IF($A502=经营数据!$B$3,COUNTIFS($S$2:$S$3000,1,$A$2:$A$3000,$A502,$T$2:$T$3000,"&lt;"&amp;$T502)+1,""))</f>
        <v/>
      </c>
      <c r="V502" t="str">
        <f t="shared" si="115"/>
        <v>上海又一城购物中心|服务效率</v>
      </c>
      <c r="W502">
        <f t="shared" si="116"/>
        <v>480</v>
      </c>
      <c r="X502" t="str">
        <f t="shared" si="117"/>
        <v>上海又一城购物中心|租赁业务收缴率</v>
      </c>
      <c r="Y502">
        <f t="shared" si="118"/>
        <v>480</v>
      </c>
      <c r="Z502">
        <f>IF($A502="",0,IF(AND($M502=1,$A502=经营数据!$B$3,$J502=经营数据!$BA$5,OR($I502=经营数据!$BA$4,COUNTIF(经营数据!$AA$9:$AA$38,$I502)&gt;0)),1,0))</f>
        <v>0</v>
      </c>
      <c r="AA502" t="str">
        <f t="shared" si="119"/>
        <v/>
      </c>
      <c r="AB502" t="str">
        <f t="shared" si="120"/>
        <v/>
      </c>
      <c r="AC502">
        <f>IF($A502="",0,IF(COUNTIF($A$2:$A502,$A502)=1,1,0))</f>
        <v>0</v>
      </c>
      <c r="AD502">
        <f t="shared" si="121"/>
        <v>6</v>
      </c>
      <c r="AE502" t="str">
        <f t="shared" si="122"/>
        <v>上海又一城购物中心|租赁业务收缴率（%）</v>
      </c>
      <c r="BP502" s="47">
        <v>46119</v>
      </c>
      <c r="BQ502" s="29">
        <v>3.9291508693606231E-2</v>
      </c>
    </row>
    <row r="503" spans="1:69" x14ac:dyDescent="0.4">
      <c r="A503" t="str">
        <f>IF(原始经营数据!$D504="","",原始经营数据!$D504)</f>
        <v>华安百联消费封闭式基础设施证券投资基金</v>
      </c>
      <c r="B503" t="str">
        <f>IF(原始经营数据!$D504="","",T(原始经营数据!$E504))</f>
        <v>上海又一城购物中心</v>
      </c>
      <c r="C503" t="str">
        <f>IF(原始经营数据!$D504="","",原始经营数据!$F504)</f>
        <v>2025Q2</v>
      </c>
      <c r="D503" t="str">
        <f>IF(原始经营数据!$D504="","",原始经营数据!$H504)</f>
        <v>实际出租面积</v>
      </c>
      <c r="E503">
        <f>IF(原始经营数据!$D504="","",原始经营数据!$I504)</f>
        <v>55885.14</v>
      </c>
      <c r="F503" t="str">
        <f>IF(原始经营数据!$D504="","",T(原始经营数据!$J504))</f>
        <v>平方米</v>
      </c>
      <c r="G503" t="str">
        <f>IF(原始经营数据!$D504="","",T(原始经营数据!$K504))</f>
        <v/>
      </c>
      <c r="H503" t="str">
        <f>IF(原始经营数据!$D504="","",原始经营数据!$G504)</f>
        <v>服务量</v>
      </c>
      <c r="I503" t="str">
        <f>IF($A503="","",IF($B503&lt;&gt;"",$B503,IF(COUNTIFS(原始经营数据!$D$3:$D$3001,$A503,原始经营数据!$E$3:$E$3001,"",原始经营数据!$F$3:$F$3001,$C503,原始经营数据!$H$3:$H$3001,$D503,原始经营数据!$K$3:$K$3001,$G503)&gt;1,"基金整体·来源"&amp;原始经营数据!$A504,"基金整体")))</f>
        <v>上海又一城购物中心</v>
      </c>
      <c r="J503" t="str">
        <f t="shared" si="108"/>
        <v>季度</v>
      </c>
      <c r="K503" t="str">
        <f t="shared" si="109"/>
        <v>实际出租面积（平方米）</v>
      </c>
      <c r="L503" t="str">
        <f t="shared" si="110"/>
        <v>上海又一城购物中心|实际出租面积（平方米）|季度</v>
      </c>
      <c r="M503">
        <f>IF($A503="",0,IF(COUNTIF($L$2:$L503,$L503)=1,1,0))</f>
        <v>0</v>
      </c>
      <c r="N503">
        <f t="shared" si="111"/>
        <v>20252</v>
      </c>
      <c r="O503" t="str">
        <f t="shared" si="112"/>
        <v>华安百联消费封闭式基础设施证券投资基金|2025Q2|季度</v>
      </c>
      <c r="P503">
        <f>IF($A503="",0,IF(COUNTIF($O$2:$O503,$O503)=1,1,0))</f>
        <v>0</v>
      </c>
      <c r="Q503" t="str">
        <f>IF(AND($P503=1,$A503=经营数据!$B$3,$J503=经营数据!$BA$5),COUNTIFS($P$2:$P$3000,1,$A$2:$A$3000,$A503,$J$2:$J$3000,$J503,$N$2:$N$3000,"&lt;"&amp;$N503)+1,"")</f>
        <v/>
      </c>
      <c r="R503" t="str">
        <f t="shared" si="113"/>
        <v>华安百联消费封闭式基础设施证券投资基金|上海又一城购物中心</v>
      </c>
      <c r="S503">
        <f>IF($A503="",0,IF(COUNTIF($R$2:$R503,$R503)=1,1,0))</f>
        <v>0</v>
      </c>
      <c r="T503">
        <f t="shared" si="114"/>
        <v>480</v>
      </c>
      <c r="U503" t="str">
        <f>IF($A503="","",IF($A503=经营数据!$B$3,COUNTIFS($S$2:$S$3000,1,$A$2:$A$3000,$A503,$T$2:$T$3000,"&lt;"&amp;$T503)+1,""))</f>
        <v/>
      </c>
      <c r="V503" t="str">
        <f t="shared" si="115"/>
        <v>上海又一城购物中心|服务量</v>
      </c>
      <c r="W503">
        <f t="shared" si="116"/>
        <v>481</v>
      </c>
      <c r="X503" t="str">
        <f t="shared" si="117"/>
        <v>上海又一城购物中心|实际出租面积</v>
      </c>
      <c r="Y503">
        <f t="shared" si="118"/>
        <v>484</v>
      </c>
      <c r="Z503">
        <f>IF($A503="",0,IF(AND($M503=1,$A503=经营数据!$B$3,$J503=经营数据!$BA$5,OR($I503=经营数据!$BA$4,COUNTIF(经营数据!$AA$9:$AA$38,$I503)&gt;0)),1,0))</f>
        <v>0</v>
      </c>
      <c r="AA503" t="str">
        <f t="shared" si="119"/>
        <v/>
      </c>
      <c r="AB503" t="str">
        <f t="shared" si="120"/>
        <v/>
      </c>
      <c r="AC503">
        <f>IF($A503="",0,IF(COUNTIF($A$2:$A503,$A503)=1,1,0))</f>
        <v>0</v>
      </c>
      <c r="AD503">
        <f t="shared" si="121"/>
        <v>6</v>
      </c>
      <c r="AE503" t="str">
        <f t="shared" si="122"/>
        <v>上海又一城购物中心|实际出租面积（平方米）</v>
      </c>
      <c r="BP503" s="47">
        <v>46120</v>
      </c>
      <c r="BQ503" s="29">
        <v>3.894708667224199E-2</v>
      </c>
    </row>
    <row r="504" spans="1:69" x14ac:dyDescent="0.4">
      <c r="A504" t="str">
        <f>IF(原始经营数据!$D505="","",原始经营数据!$D505)</f>
        <v>华安百联消费封闭式基础设施证券投资基金</v>
      </c>
      <c r="B504" t="str">
        <f>IF(原始经营数据!$D505="","",T(原始经营数据!$E505))</f>
        <v>上海又一城购物中心</v>
      </c>
      <c r="C504" t="str">
        <f>IF(原始经营数据!$D505="","",原始经营数据!$F505)</f>
        <v>2025Q2</v>
      </c>
      <c r="D504" t="str">
        <f>IF(原始经营数据!$D505="","",原始经营数据!$H505)</f>
        <v>可供出租面积</v>
      </c>
      <c r="E504">
        <f>IF(原始经营数据!$D505="","",原始经营数据!$I505)</f>
        <v>58586.71</v>
      </c>
      <c r="F504" t="str">
        <f>IF(原始经营数据!$D505="","",T(原始经营数据!$J505))</f>
        <v>平方米</v>
      </c>
      <c r="G504" t="str">
        <f>IF(原始经营数据!$D505="","",T(原始经营数据!$K505))</f>
        <v/>
      </c>
      <c r="H504" t="str">
        <f>IF(原始经营数据!$D505="","",原始经营数据!$G505)</f>
        <v>服务量</v>
      </c>
      <c r="I504" t="str">
        <f>IF($A504="","",IF($B504&lt;&gt;"",$B504,IF(COUNTIFS(原始经营数据!$D$3:$D$3001,$A504,原始经营数据!$E$3:$E$3001,"",原始经营数据!$F$3:$F$3001,$C504,原始经营数据!$H$3:$H$3001,$D504,原始经营数据!$K$3:$K$3001,$G504)&gt;1,"基金整体·来源"&amp;原始经营数据!$A505,"基金整体")))</f>
        <v>上海又一城购物中心</v>
      </c>
      <c r="J504" t="str">
        <f t="shared" si="108"/>
        <v>季度</v>
      </c>
      <c r="K504" t="str">
        <f t="shared" si="109"/>
        <v>可供出租面积（平方米）</v>
      </c>
      <c r="L504" t="str">
        <f t="shared" si="110"/>
        <v>上海又一城购物中心|可供出租面积（平方米）|季度</v>
      </c>
      <c r="M504">
        <f>IF($A504="",0,IF(COUNTIF($L$2:$L504,$L504)=1,1,0))</f>
        <v>0</v>
      </c>
      <c r="N504">
        <f t="shared" si="111"/>
        <v>20252</v>
      </c>
      <c r="O504" t="str">
        <f t="shared" si="112"/>
        <v>华安百联消费封闭式基础设施证券投资基金|2025Q2|季度</v>
      </c>
      <c r="P504">
        <f>IF($A504="",0,IF(COUNTIF($O$2:$O504,$O504)=1,1,0))</f>
        <v>0</v>
      </c>
      <c r="Q504" t="str">
        <f>IF(AND($P504=1,$A504=经营数据!$B$3,$J504=经营数据!$BA$5),COUNTIFS($P$2:$P$3000,1,$A$2:$A$3000,$A504,$J$2:$J$3000,$J504,$N$2:$N$3000,"&lt;"&amp;$N504)+1,"")</f>
        <v/>
      </c>
      <c r="R504" t="str">
        <f t="shared" si="113"/>
        <v>华安百联消费封闭式基础设施证券投资基金|上海又一城购物中心</v>
      </c>
      <c r="S504">
        <f>IF($A504="",0,IF(COUNTIF($R$2:$R504,$R504)=1,1,0))</f>
        <v>0</v>
      </c>
      <c r="T504">
        <f t="shared" si="114"/>
        <v>480</v>
      </c>
      <c r="U504" t="str">
        <f>IF($A504="","",IF($A504=经营数据!$B$3,COUNTIFS($S$2:$S$3000,1,$A$2:$A$3000,$A504,$T$2:$T$3000,"&lt;"&amp;$T504)+1,""))</f>
        <v/>
      </c>
      <c r="V504" t="str">
        <f t="shared" si="115"/>
        <v>上海又一城购物中心|服务量</v>
      </c>
      <c r="W504">
        <f t="shared" si="116"/>
        <v>481</v>
      </c>
      <c r="X504" t="str">
        <f t="shared" si="117"/>
        <v>上海又一城购物中心|可供出租面积</v>
      </c>
      <c r="Y504">
        <f t="shared" si="118"/>
        <v>485</v>
      </c>
      <c r="Z504">
        <f>IF($A504="",0,IF(AND($M504=1,$A504=经营数据!$B$3,$J504=经营数据!$BA$5,OR($I504=经营数据!$BA$4,COUNTIF(经营数据!$AA$9:$AA$38,$I504)&gt;0)),1,0))</f>
        <v>0</v>
      </c>
      <c r="AA504" t="str">
        <f t="shared" si="119"/>
        <v/>
      </c>
      <c r="AB504" t="str">
        <f t="shared" si="120"/>
        <v/>
      </c>
      <c r="AC504">
        <f>IF($A504="",0,IF(COUNTIF($A$2:$A504,$A504)=1,1,0))</f>
        <v>0</v>
      </c>
      <c r="AD504">
        <f t="shared" si="121"/>
        <v>6</v>
      </c>
      <c r="AE504" t="str">
        <f t="shared" si="122"/>
        <v>上海又一城购物中心|可供出租面积（平方米）</v>
      </c>
      <c r="BP504" s="47">
        <v>46121</v>
      </c>
      <c r="BQ504" s="29">
        <v>3.9077717029765688E-2</v>
      </c>
    </row>
    <row r="505" spans="1:69" x14ac:dyDescent="0.4">
      <c r="A505" t="str">
        <f>IF(原始经营数据!$D506="","",原始经营数据!$D506)</f>
        <v>华安百联消费封闭式基础设施证券投资基金</v>
      </c>
      <c r="B505" t="str">
        <f>IF(原始经营数据!$D506="","",T(原始经营数据!$E506))</f>
        <v>上海又一城购物中心</v>
      </c>
      <c r="C505" t="str">
        <f>IF(原始经营数据!$D506="","",原始经营数据!$F506)</f>
        <v>2025Q3</v>
      </c>
      <c r="D505" t="str">
        <f>IF(原始经营数据!$D506="","",原始经营数据!$H506)</f>
        <v>出租率</v>
      </c>
      <c r="E505">
        <f>IF(原始经营数据!$D506="","",原始经营数据!$I506)</f>
        <v>95.03</v>
      </c>
      <c r="F505" t="str">
        <f>IF(原始经营数据!$D506="","",T(原始经营数据!$J506))</f>
        <v>%</v>
      </c>
      <c r="G505" t="str">
        <f>IF(原始经营数据!$D506="","",T(原始经营数据!$K506))</f>
        <v/>
      </c>
      <c r="H505" t="str">
        <f>IF(原始经营数据!$D506="","",原始经营数据!$G506)</f>
        <v>服务效率</v>
      </c>
      <c r="I505" t="str">
        <f>IF($A505="","",IF($B505&lt;&gt;"",$B505,IF(COUNTIFS(原始经营数据!$D$3:$D$3001,$A505,原始经营数据!$E$3:$E$3001,"",原始经营数据!$F$3:$F$3001,$C505,原始经营数据!$H$3:$H$3001,$D505,原始经营数据!$K$3:$K$3001,$G505)&gt;1,"基金整体·来源"&amp;原始经营数据!$A506,"基金整体")))</f>
        <v>上海又一城购物中心</v>
      </c>
      <c r="J505" t="str">
        <f t="shared" si="108"/>
        <v>季度</v>
      </c>
      <c r="K505" t="str">
        <f t="shared" si="109"/>
        <v>出租率（%）</v>
      </c>
      <c r="L505" t="str">
        <f t="shared" si="110"/>
        <v>上海又一城购物中心|出租率（%）|季度</v>
      </c>
      <c r="M505">
        <f>IF($A505="",0,IF(COUNTIF($L$2:$L505,$L505)=1,1,0))</f>
        <v>0</v>
      </c>
      <c r="N505">
        <f t="shared" si="111"/>
        <v>20253</v>
      </c>
      <c r="O505" t="str">
        <f t="shared" si="112"/>
        <v>华安百联消费封闭式基础设施证券投资基金|2025Q3|季度</v>
      </c>
      <c r="P505">
        <f>IF($A505="",0,IF(COUNTIF($O$2:$O505,$O505)=1,1,0))</f>
        <v>1</v>
      </c>
      <c r="Q505" t="str">
        <f>IF(AND($P505=1,$A505=经营数据!$B$3,$J505=经营数据!$BA$5),COUNTIFS($P$2:$P$3000,1,$A$2:$A$3000,$A505,$J$2:$J$3000,$J505,$N$2:$N$3000,"&lt;"&amp;$N505)+1,"")</f>
        <v/>
      </c>
      <c r="R505" t="str">
        <f t="shared" si="113"/>
        <v>华安百联消费封闭式基础设施证券投资基金|上海又一城购物中心</v>
      </c>
      <c r="S505">
        <f>IF($A505="",0,IF(COUNTIF($R$2:$R505,$R505)=1,1,0))</f>
        <v>0</v>
      </c>
      <c r="T505">
        <f t="shared" si="114"/>
        <v>480</v>
      </c>
      <c r="U505" t="str">
        <f>IF($A505="","",IF($A505=经营数据!$B$3,COUNTIFS($S$2:$S$3000,1,$A$2:$A$3000,$A505,$T$2:$T$3000,"&lt;"&amp;$T505)+1,""))</f>
        <v/>
      </c>
      <c r="V505" t="str">
        <f t="shared" si="115"/>
        <v>上海又一城购物中心|服务效率</v>
      </c>
      <c r="W505">
        <f t="shared" si="116"/>
        <v>480</v>
      </c>
      <c r="X505" t="str">
        <f t="shared" si="117"/>
        <v>上海又一城购物中心|出租率</v>
      </c>
      <c r="Y505">
        <f t="shared" si="118"/>
        <v>483</v>
      </c>
      <c r="Z505">
        <f>IF($A505="",0,IF(AND($M505=1,$A505=经营数据!$B$3,$J505=经营数据!$BA$5,OR($I505=经营数据!$BA$4,COUNTIF(经营数据!$AA$9:$AA$38,$I505)&gt;0)),1,0))</f>
        <v>0</v>
      </c>
      <c r="AA505" t="str">
        <f t="shared" si="119"/>
        <v/>
      </c>
      <c r="AB505" t="str">
        <f t="shared" si="120"/>
        <v/>
      </c>
      <c r="AC505">
        <f>IF($A505="",0,IF(COUNTIF($A$2:$A505,$A505)=1,1,0))</f>
        <v>0</v>
      </c>
      <c r="AD505">
        <f t="shared" si="121"/>
        <v>6</v>
      </c>
      <c r="AE505" t="str">
        <f t="shared" si="122"/>
        <v>上海又一城购物中心|出租率（%）</v>
      </c>
      <c r="BP505" s="47">
        <v>46122</v>
      </c>
      <c r="BQ505" s="29">
        <v>3.9227554119656907E-2</v>
      </c>
    </row>
    <row r="506" spans="1:69" x14ac:dyDescent="0.4">
      <c r="A506" t="str">
        <f>IF(原始经营数据!$D507="","",原始经营数据!$D507)</f>
        <v>华安百联消费封闭式基础设施证券投资基金</v>
      </c>
      <c r="B506" t="str">
        <f>IF(原始经营数据!$D507="","",T(原始经营数据!$E507))</f>
        <v>上海又一城购物中心</v>
      </c>
      <c r="C506" t="str">
        <f>IF(原始经营数据!$D507="","",原始经营数据!$F507)</f>
        <v>2025Q3</v>
      </c>
      <c r="D506" t="str">
        <f>IF(原始经营数据!$D507="","",原始经营数据!$H507)</f>
        <v>实际出租面积</v>
      </c>
      <c r="E506">
        <f>IF(原始经营数据!$D507="","",原始经营数据!$I507)</f>
        <v>55316.51</v>
      </c>
      <c r="F506" t="str">
        <f>IF(原始经营数据!$D507="","",T(原始经营数据!$J507))</f>
        <v>平方米</v>
      </c>
      <c r="G506" t="str">
        <f>IF(原始经营数据!$D507="","",T(原始经营数据!$K507))</f>
        <v/>
      </c>
      <c r="H506" t="str">
        <f>IF(原始经营数据!$D507="","",原始经营数据!$G507)</f>
        <v>服务量</v>
      </c>
      <c r="I506" t="str">
        <f>IF($A506="","",IF($B506&lt;&gt;"",$B506,IF(COUNTIFS(原始经营数据!$D$3:$D$3001,$A506,原始经营数据!$E$3:$E$3001,"",原始经营数据!$F$3:$F$3001,$C506,原始经营数据!$H$3:$H$3001,$D506,原始经营数据!$K$3:$K$3001,$G506)&gt;1,"基金整体·来源"&amp;原始经营数据!$A507,"基金整体")))</f>
        <v>上海又一城购物中心</v>
      </c>
      <c r="J506" t="str">
        <f t="shared" si="108"/>
        <v>季度</v>
      </c>
      <c r="K506" t="str">
        <f t="shared" si="109"/>
        <v>实际出租面积（平方米）</v>
      </c>
      <c r="L506" t="str">
        <f t="shared" si="110"/>
        <v>上海又一城购物中心|实际出租面积（平方米）|季度</v>
      </c>
      <c r="M506">
        <f>IF($A506="",0,IF(COUNTIF($L$2:$L506,$L506)=1,1,0))</f>
        <v>0</v>
      </c>
      <c r="N506">
        <f t="shared" si="111"/>
        <v>20253</v>
      </c>
      <c r="O506" t="str">
        <f t="shared" si="112"/>
        <v>华安百联消费封闭式基础设施证券投资基金|2025Q3|季度</v>
      </c>
      <c r="P506">
        <f>IF($A506="",0,IF(COUNTIF($O$2:$O506,$O506)=1,1,0))</f>
        <v>0</v>
      </c>
      <c r="Q506" t="str">
        <f>IF(AND($P506=1,$A506=经营数据!$B$3,$J506=经营数据!$BA$5),COUNTIFS($P$2:$P$3000,1,$A$2:$A$3000,$A506,$J$2:$J$3000,$J506,$N$2:$N$3000,"&lt;"&amp;$N506)+1,"")</f>
        <v/>
      </c>
      <c r="R506" t="str">
        <f t="shared" si="113"/>
        <v>华安百联消费封闭式基础设施证券投资基金|上海又一城购物中心</v>
      </c>
      <c r="S506">
        <f>IF($A506="",0,IF(COUNTIF($R$2:$R506,$R506)=1,1,0))</f>
        <v>0</v>
      </c>
      <c r="T506">
        <f t="shared" si="114"/>
        <v>480</v>
      </c>
      <c r="U506" t="str">
        <f>IF($A506="","",IF($A506=经营数据!$B$3,COUNTIFS($S$2:$S$3000,1,$A$2:$A$3000,$A506,$T$2:$T$3000,"&lt;"&amp;$T506)+1,""))</f>
        <v/>
      </c>
      <c r="V506" t="str">
        <f t="shared" si="115"/>
        <v>上海又一城购物中心|服务量</v>
      </c>
      <c r="W506">
        <f t="shared" si="116"/>
        <v>481</v>
      </c>
      <c r="X506" t="str">
        <f t="shared" si="117"/>
        <v>上海又一城购物中心|实际出租面积</v>
      </c>
      <c r="Y506">
        <f t="shared" si="118"/>
        <v>484</v>
      </c>
      <c r="Z506">
        <f>IF($A506="",0,IF(AND($M506=1,$A506=经营数据!$B$3,$J506=经营数据!$BA$5,OR($I506=经营数据!$BA$4,COUNTIF(经营数据!$AA$9:$AA$38,$I506)&gt;0)),1,0))</f>
        <v>0</v>
      </c>
      <c r="AA506" t="str">
        <f t="shared" si="119"/>
        <v/>
      </c>
      <c r="AB506" t="str">
        <f t="shared" si="120"/>
        <v/>
      </c>
      <c r="AC506">
        <f>IF($A506="",0,IF(COUNTIF($A$2:$A506,$A506)=1,1,0))</f>
        <v>0</v>
      </c>
      <c r="AD506">
        <f t="shared" si="121"/>
        <v>6</v>
      </c>
      <c r="AE506" t="str">
        <f t="shared" si="122"/>
        <v>上海又一城购物中心|实际出租面积（平方米）</v>
      </c>
      <c r="BP506" s="47">
        <v>46125</v>
      </c>
      <c r="BQ506" s="29">
        <v>3.9356421642563831E-2</v>
      </c>
    </row>
    <row r="507" spans="1:69" x14ac:dyDescent="0.4">
      <c r="A507" t="str">
        <f>IF(原始经营数据!$D508="","",原始经营数据!$D508)</f>
        <v>华安百联消费封闭式基础设施证券投资基金</v>
      </c>
      <c r="B507" t="str">
        <f>IF(原始经营数据!$D508="","",T(原始经营数据!$E508))</f>
        <v>上海又一城购物中心</v>
      </c>
      <c r="C507" t="str">
        <f>IF(原始经营数据!$D508="","",原始经营数据!$F508)</f>
        <v>2025Q3</v>
      </c>
      <c r="D507" t="str">
        <f>IF(原始经营数据!$D508="","",原始经营数据!$H508)</f>
        <v>加权平均剩余租期</v>
      </c>
      <c r="E507">
        <f>IF(原始经营数据!$D508="","",原始经营数据!$I508)</f>
        <v>2.25</v>
      </c>
      <c r="F507" t="str">
        <f>IF(原始经营数据!$D508="","",T(原始经营数据!$J508))</f>
        <v>年</v>
      </c>
      <c r="G507" t="str">
        <f>IF(原始经营数据!$D508="","",T(原始经营数据!$K508))</f>
        <v/>
      </c>
      <c r="H507" t="str">
        <f>IF(原始经营数据!$D508="","",原始经营数据!$G508)</f>
        <v>服务量</v>
      </c>
      <c r="I507" t="str">
        <f>IF($A507="","",IF($B507&lt;&gt;"",$B507,IF(COUNTIFS(原始经营数据!$D$3:$D$3001,$A507,原始经营数据!$E$3:$E$3001,"",原始经营数据!$F$3:$F$3001,$C507,原始经营数据!$H$3:$H$3001,$D507,原始经营数据!$K$3:$K$3001,$G507)&gt;1,"基金整体·来源"&amp;原始经营数据!$A508,"基金整体")))</f>
        <v>上海又一城购物中心</v>
      </c>
      <c r="J507" t="str">
        <f t="shared" si="108"/>
        <v>季度</v>
      </c>
      <c r="K507" t="str">
        <f t="shared" si="109"/>
        <v>加权平均剩余租期（年）</v>
      </c>
      <c r="L507" t="str">
        <f t="shared" si="110"/>
        <v>上海又一城购物中心|加权平均剩余租期（年）|季度</v>
      </c>
      <c r="M507">
        <f>IF($A507="",0,IF(COUNTIF($L$2:$L507,$L507)=1,1,0))</f>
        <v>0</v>
      </c>
      <c r="N507">
        <f t="shared" si="111"/>
        <v>20253</v>
      </c>
      <c r="O507" t="str">
        <f t="shared" si="112"/>
        <v>华安百联消费封闭式基础设施证券投资基金|2025Q3|季度</v>
      </c>
      <c r="P507">
        <f>IF($A507="",0,IF(COUNTIF($O$2:$O507,$O507)=1,1,0))</f>
        <v>0</v>
      </c>
      <c r="Q507" t="str">
        <f>IF(AND($P507=1,$A507=经营数据!$B$3,$J507=经营数据!$BA$5),COUNTIFS($P$2:$P$3000,1,$A$2:$A$3000,$A507,$J$2:$J$3000,$J507,$N$2:$N$3000,"&lt;"&amp;$N507)+1,"")</f>
        <v/>
      </c>
      <c r="R507" t="str">
        <f t="shared" si="113"/>
        <v>华安百联消费封闭式基础设施证券投资基金|上海又一城购物中心</v>
      </c>
      <c r="S507">
        <f>IF($A507="",0,IF(COUNTIF($R$2:$R507,$R507)=1,1,0))</f>
        <v>0</v>
      </c>
      <c r="T507">
        <f t="shared" si="114"/>
        <v>480</v>
      </c>
      <c r="U507" t="str">
        <f>IF($A507="","",IF($A507=经营数据!$B$3,COUNTIFS($S$2:$S$3000,1,$A$2:$A$3000,$A507,$T$2:$T$3000,"&lt;"&amp;$T507)+1,""))</f>
        <v/>
      </c>
      <c r="V507" t="str">
        <f t="shared" si="115"/>
        <v>上海又一城购物中心|服务量</v>
      </c>
      <c r="W507">
        <f t="shared" si="116"/>
        <v>481</v>
      </c>
      <c r="X507" t="str">
        <f t="shared" si="117"/>
        <v>上海又一城购物中心|加权平均剩余租期</v>
      </c>
      <c r="Y507">
        <f t="shared" si="118"/>
        <v>481</v>
      </c>
      <c r="Z507">
        <f>IF($A507="",0,IF(AND($M507=1,$A507=经营数据!$B$3,$J507=经营数据!$BA$5,OR($I507=经营数据!$BA$4,COUNTIF(经营数据!$AA$9:$AA$38,$I507)&gt;0)),1,0))</f>
        <v>0</v>
      </c>
      <c r="AA507" t="str">
        <f t="shared" si="119"/>
        <v/>
      </c>
      <c r="AB507" t="str">
        <f t="shared" si="120"/>
        <v/>
      </c>
      <c r="AC507">
        <f>IF($A507="",0,IF(COUNTIF($A$2:$A507,$A507)=1,1,0))</f>
        <v>0</v>
      </c>
      <c r="AD507">
        <f t="shared" si="121"/>
        <v>6</v>
      </c>
      <c r="AE507" t="str">
        <f t="shared" si="122"/>
        <v>上海又一城购物中心|加权平均剩余租期（年）</v>
      </c>
      <c r="BP507" s="47">
        <v>46126</v>
      </c>
      <c r="BQ507" s="29">
        <v>3.919017302427126E-2</v>
      </c>
    </row>
    <row r="508" spans="1:69" x14ac:dyDescent="0.4">
      <c r="A508" t="str">
        <f>IF(原始经营数据!$D509="","",原始经营数据!$D509)</f>
        <v>华安百联消费封闭式基础设施证券投资基金</v>
      </c>
      <c r="B508" t="str">
        <f>IF(原始经营数据!$D509="","",T(原始经营数据!$E509))</f>
        <v>上海又一城购物中心</v>
      </c>
      <c r="C508" t="str">
        <f>IF(原始经营数据!$D509="","",原始经营数据!$F509)</f>
        <v>2025Q3</v>
      </c>
      <c r="D508" t="str">
        <f>IF(原始经营数据!$D509="","",原始经营数据!$H509)</f>
        <v>可供出租面积</v>
      </c>
      <c r="E508">
        <f>IF(原始经营数据!$D509="","",原始经营数据!$I509)</f>
        <v>58210.080000000002</v>
      </c>
      <c r="F508" t="str">
        <f>IF(原始经营数据!$D509="","",T(原始经营数据!$J509))</f>
        <v>平方米</v>
      </c>
      <c r="G508" t="str">
        <f>IF(原始经营数据!$D509="","",T(原始经营数据!$K509))</f>
        <v/>
      </c>
      <c r="H508" t="str">
        <f>IF(原始经营数据!$D509="","",原始经营数据!$G509)</f>
        <v>服务量</v>
      </c>
      <c r="I508" t="str">
        <f>IF($A508="","",IF($B508&lt;&gt;"",$B508,IF(COUNTIFS(原始经营数据!$D$3:$D$3001,$A508,原始经营数据!$E$3:$E$3001,"",原始经营数据!$F$3:$F$3001,$C508,原始经营数据!$H$3:$H$3001,$D508,原始经营数据!$K$3:$K$3001,$G508)&gt;1,"基金整体·来源"&amp;原始经营数据!$A509,"基金整体")))</f>
        <v>上海又一城购物中心</v>
      </c>
      <c r="J508" t="str">
        <f t="shared" si="108"/>
        <v>季度</v>
      </c>
      <c r="K508" t="str">
        <f t="shared" si="109"/>
        <v>可供出租面积（平方米）</v>
      </c>
      <c r="L508" t="str">
        <f t="shared" si="110"/>
        <v>上海又一城购物中心|可供出租面积（平方米）|季度</v>
      </c>
      <c r="M508">
        <f>IF($A508="",0,IF(COUNTIF($L$2:$L508,$L508)=1,1,0))</f>
        <v>0</v>
      </c>
      <c r="N508">
        <f t="shared" si="111"/>
        <v>20253</v>
      </c>
      <c r="O508" t="str">
        <f t="shared" si="112"/>
        <v>华安百联消费封闭式基础设施证券投资基金|2025Q3|季度</v>
      </c>
      <c r="P508">
        <f>IF($A508="",0,IF(COUNTIF($O$2:$O508,$O508)=1,1,0))</f>
        <v>0</v>
      </c>
      <c r="Q508" t="str">
        <f>IF(AND($P508=1,$A508=经营数据!$B$3,$J508=经营数据!$BA$5),COUNTIFS($P$2:$P$3000,1,$A$2:$A$3000,$A508,$J$2:$J$3000,$J508,$N$2:$N$3000,"&lt;"&amp;$N508)+1,"")</f>
        <v/>
      </c>
      <c r="R508" t="str">
        <f t="shared" si="113"/>
        <v>华安百联消费封闭式基础设施证券投资基金|上海又一城购物中心</v>
      </c>
      <c r="S508">
        <f>IF($A508="",0,IF(COUNTIF($R$2:$R508,$R508)=1,1,0))</f>
        <v>0</v>
      </c>
      <c r="T508">
        <f t="shared" si="114"/>
        <v>480</v>
      </c>
      <c r="U508" t="str">
        <f>IF($A508="","",IF($A508=经营数据!$B$3,COUNTIFS($S$2:$S$3000,1,$A$2:$A$3000,$A508,$T$2:$T$3000,"&lt;"&amp;$T508)+1,""))</f>
        <v/>
      </c>
      <c r="V508" t="str">
        <f t="shared" si="115"/>
        <v>上海又一城购物中心|服务量</v>
      </c>
      <c r="W508">
        <f t="shared" si="116"/>
        <v>481</v>
      </c>
      <c r="X508" t="str">
        <f t="shared" si="117"/>
        <v>上海又一城购物中心|可供出租面积</v>
      </c>
      <c r="Y508">
        <f t="shared" si="118"/>
        <v>485</v>
      </c>
      <c r="Z508">
        <f>IF($A508="",0,IF(AND($M508=1,$A508=经营数据!$B$3,$J508=经营数据!$BA$5,OR($I508=经营数据!$BA$4,COUNTIF(经营数据!$AA$9:$AA$38,$I508)&gt;0)),1,0))</f>
        <v>0</v>
      </c>
      <c r="AA508" t="str">
        <f t="shared" si="119"/>
        <v/>
      </c>
      <c r="AB508" t="str">
        <f t="shared" si="120"/>
        <v/>
      </c>
      <c r="AC508">
        <f>IF($A508="",0,IF(COUNTIF($A$2:$A508,$A508)=1,1,0))</f>
        <v>0</v>
      </c>
      <c r="AD508">
        <f t="shared" si="121"/>
        <v>6</v>
      </c>
      <c r="AE508" t="str">
        <f t="shared" si="122"/>
        <v>上海又一城购物中心|可供出租面积（平方米）</v>
      </c>
      <c r="BP508" s="47">
        <v>46127</v>
      </c>
      <c r="BQ508" s="29">
        <v>3.9224389774110358E-2</v>
      </c>
    </row>
    <row r="509" spans="1:69" x14ac:dyDescent="0.4">
      <c r="A509" t="str">
        <f>IF(原始经营数据!$D510="","",原始经营数据!$D510)</f>
        <v>华安百联消费封闭式基础设施证券投资基金</v>
      </c>
      <c r="B509" t="str">
        <f>IF(原始经营数据!$D510="","",T(原始经营数据!$E510))</f>
        <v>上海又一城购物中心</v>
      </c>
      <c r="C509" t="str">
        <f>IF(原始经营数据!$D510="","",原始经营数据!$F510)</f>
        <v>2025Q3</v>
      </c>
      <c r="D509" t="str">
        <f>IF(原始经营数据!$D510="","",原始经营数据!$H510)</f>
        <v>租赁部分平均租金单价</v>
      </c>
      <c r="E509">
        <f>IF(原始经营数据!$D510="","",原始经营数据!$I510)</f>
        <v>223</v>
      </c>
      <c r="F509" t="str">
        <f>IF(原始经营数据!$D510="","",T(原始经营数据!$J510))</f>
        <v>元/平方米/月</v>
      </c>
      <c r="G509" t="str">
        <f>IF(原始经营数据!$D510="","",T(原始经营数据!$K510))</f>
        <v/>
      </c>
      <c r="H509" t="str">
        <f>IF(原始经营数据!$D510="","",原始经营数据!$G510)</f>
        <v>服务价格</v>
      </c>
      <c r="I509" t="str">
        <f>IF($A509="","",IF($B509&lt;&gt;"",$B509,IF(COUNTIFS(原始经营数据!$D$3:$D$3001,$A509,原始经营数据!$E$3:$E$3001,"",原始经营数据!$F$3:$F$3001,$C509,原始经营数据!$H$3:$H$3001,$D509,原始经营数据!$K$3:$K$3001,$G509)&gt;1,"基金整体·来源"&amp;原始经营数据!$A510,"基金整体")))</f>
        <v>上海又一城购物中心</v>
      </c>
      <c r="J509" t="str">
        <f t="shared" si="108"/>
        <v>季度</v>
      </c>
      <c r="K509" t="str">
        <f t="shared" si="109"/>
        <v>租赁部分平均租金单价（元/平方米/月）</v>
      </c>
      <c r="L509" t="str">
        <f t="shared" si="110"/>
        <v>上海又一城购物中心|租赁部分平均租金单价（元/平方米/月）|季度</v>
      </c>
      <c r="M509">
        <f>IF($A509="",0,IF(COUNTIF($L$2:$L509,$L509)=1,1,0))</f>
        <v>0</v>
      </c>
      <c r="N509">
        <f t="shared" si="111"/>
        <v>20253</v>
      </c>
      <c r="O509" t="str">
        <f t="shared" si="112"/>
        <v>华安百联消费封闭式基础设施证券投资基金|2025Q3|季度</v>
      </c>
      <c r="P509">
        <f>IF($A509="",0,IF(COUNTIF($O$2:$O509,$O509)=1,1,0))</f>
        <v>0</v>
      </c>
      <c r="Q509" t="str">
        <f>IF(AND($P509=1,$A509=经营数据!$B$3,$J509=经营数据!$BA$5),COUNTIFS($P$2:$P$3000,1,$A$2:$A$3000,$A509,$J$2:$J$3000,$J509,$N$2:$N$3000,"&lt;"&amp;$N509)+1,"")</f>
        <v/>
      </c>
      <c r="R509" t="str">
        <f t="shared" si="113"/>
        <v>华安百联消费封闭式基础设施证券投资基金|上海又一城购物中心</v>
      </c>
      <c r="S509">
        <f>IF($A509="",0,IF(COUNTIF($R$2:$R509,$R509)=1,1,0))</f>
        <v>0</v>
      </c>
      <c r="T509">
        <f t="shared" si="114"/>
        <v>480</v>
      </c>
      <c r="U509" t="str">
        <f>IF($A509="","",IF($A509=经营数据!$B$3,COUNTIFS($S$2:$S$3000,1,$A$2:$A$3000,$A509,$T$2:$T$3000,"&lt;"&amp;$T509)+1,""))</f>
        <v/>
      </c>
      <c r="V509" t="str">
        <f t="shared" si="115"/>
        <v>上海又一城购物中心|服务价格</v>
      </c>
      <c r="W509">
        <f t="shared" si="116"/>
        <v>482</v>
      </c>
      <c r="X509" t="str">
        <f t="shared" si="117"/>
        <v>上海又一城购物中心|租赁部分平均租金单价</v>
      </c>
      <c r="Y509">
        <f t="shared" si="118"/>
        <v>482</v>
      </c>
      <c r="Z509">
        <f>IF($A509="",0,IF(AND($M509=1,$A509=经营数据!$B$3,$J509=经营数据!$BA$5,OR($I509=经营数据!$BA$4,COUNTIF(经营数据!$AA$9:$AA$38,$I509)&gt;0)),1,0))</f>
        <v>0</v>
      </c>
      <c r="AA509" t="str">
        <f t="shared" si="119"/>
        <v/>
      </c>
      <c r="AB509" t="str">
        <f t="shared" si="120"/>
        <v/>
      </c>
      <c r="AC509">
        <f>IF($A509="",0,IF(COUNTIF($A$2:$A509,$A509)=1,1,0))</f>
        <v>0</v>
      </c>
      <c r="AD509">
        <f t="shared" si="121"/>
        <v>6</v>
      </c>
      <c r="AE509" t="str">
        <f t="shared" si="122"/>
        <v>上海又一城购物中心|租赁部分平均租金单价（元/平方米/月）</v>
      </c>
      <c r="BP509" s="47">
        <v>46128</v>
      </c>
      <c r="BQ509" s="29">
        <v>3.8961680436970188E-2</v>
      </c>
    </row>
    <row r="510" spans="1:69" x14ac:dyDescent="0.4">
      <c r="A510" t="str">
        <f>IF(原始经营数据!$D511="","",原始经营数据!$D511)</f>
        <v>华安百联消费封闭式基础设施证券投资基金</v>
      </c>
      <c r="B510" t="str">
        <f>IF(原始经营数据!$D511="","",T(原始经营数据!$E511))</f>
        <v>上海又一城购物中心</v>
      </c>
      <c r="C510" t="str">
        <f>IF(原始经营数据!$D511="","",原始经营数据!$F511)</f>
        <v>2025Q3</v>
      </c>
      <c r="D510" t="str">
        <f>IF(原始经营数据!$D511="","",原始经营数据!$H511)</f>
        <v>租赁业务收缴率</v>
      </c>
      <c r="E510">
        <f>IF(原始经营数据!$D511="","",原始经营数据!$I511)</f>
        <v>100</v>
      </c>
      <c r="F510" t="str">
        <f>IF(原始经营数据!$D511="","",T(原始经营数据!$J511))</f>
        <v>%</v>
      </c>
      <c r="G510" t="str">
        <f>IF(原始经营数据!$D511="","",T(原始经营数据!$K511))</f>
        <v/>
      </c>
      <c r="H510" t="str">
        <f>IF(原始经营数据!$D511="","",原始经营数据!$G511)</f>
        <v>服务效率</v>
      </c>
      <c r="I510" t="str">
        <f>IF($A510="","",IF($B510&lt;&gt;"",$B510,IF(COUNTIFS(原始经营数据!$D$3:$D$3001,$A510,原始经营数据!$E$3:$E$3001,"",原始经营数据!$F$3:$F$3001,$C510,原始经营数据!$H$3:$H$3001,$D510,原始经营数据!$K$3:$K$3001,$G510)&gt;1,"基金整体·来源"&amp;原始经营数据!$A511,"基金整体")))</f>
        <v>上海又一城购物中心</v>
      </c>
      <c r="J510" t="str">
        <f t="shared" si="108"/>
        <v>季度</v>
      </c>
      <c r="K510" t="str">
        <f t="shared" si="109"/>
        <v>租赁业务收缴率（%）</v>
      </c>
      <c r="L510" t="str">
        <f t="shared" si="110"/>
        <v>上海又一城购物中心|租赁业务收缴率（%）|季度</v>
      </c>
      <c r="M510">
        <f>IF($A510="",0,IF(COUNTIF($L$2:$L510,$L510)=1,1,0))</f>
        <v>0</v>
      </c>
      <c r="N510">
        <f t="shared" si="111"/>
        <v>20253</v>
      </c>
      <c r="O510" t="str">
        <f t="shared" si="112"/>
        <v>华安百联消费封闭式基础设施证券投资基金|2025Q3|季度</v>
      </c>
      <c r="P510">
        <f>IF($A510="",0,IF(COUNTIF($O$2:$O510,$O510)=1,1,0))</f>
        <v>0</v>
      </c>
      <c r="Q510" t="str">
        <f>IF(AND($P510=1,$A510=经营数据!$B$3,$J510=经营数据!$BA$5),COUNTIFS($P$2:$P$3000,1,$A$2:$A$3000,$A510,$J$2:$J$3000,$J510,$N$2:$N$3000,"&lt;"&amp;$N510)+1,"")</f>
        <v/>
      </c>
      <c r="R510" t="str">
        <f t="shared" si="113"/>
        <v>华安百联消费封闭式基础设施证券投资基金|上海又一城购物中心</v>
      </c>
      <c r="S510">
        <f>IF($A510="",0,IF(COUNTIF($R$2:$R510,$R510)=1,1,0))</f>
        <v>0</v>
      </c>
      <c r="T510">
        <f t="shared" si="114"/>
        <v>480</v>
      </c>
      <c r="U510" t="str">
        <f>IF($A510="","",IF($A510=经营数据!$B$3,COUNTIFS($S$2:$S$3000,1,$A$2:$A$3000,$A510,$T$2:$T$3000,"&lt;"&amp;$T510)+1,""))</f>
        <v/>
      </c>
      <c r="V510" t="str">
        <f t="shared" si="115"/>
        <v>上海又一城购物中心|服务效率</v>
      </c>
      <c r="W510">
        <f t="shared" si="116"/>
        <v>480</v>
      </c>
      <c r="X510" t="str">
        <f t="shared" si="117"/>
        <v>上海又一城购物中心|租赁业务收缴率</v>
      </c>
      <c r="Y510">
        <f t="shared" si="118"/>
        <v>480</v>
      </c>
      <c r="Z510">
        <f>IF($A510="",0,IF(AND($M510=1,$A510=经营数据!$B$3,$J510=经营数据!$BA$5,OR($I510=经营数据!$BA$4,COUNTIF(经营数据!$AA$9:$AA$38,$I510)&gt;0)),1,0))</f>
        <v>0</v>
      </c>
      <c r="AA510" t="str">
        <f t="shared" si="119"/>
        <v/>
      </c>
      <c r="AB510" t="str">
        <f t="shared" si="120"/>
        <v/>
      </c>
      <c r="AC510">
        <f>IF($A510="",0,IF(COUNTIF($A$2:$A510,$A510)=1,1,0))</f>
        <v>0</v>
      </c>
      <c r="AD510">
        <f t="shared" si="121"/>
        <v>6</v>
      </c>
      <c r="AE510" t="str">
        <f t="shared" si="122"/>
        <v>上海又一城购物中心|租赁业务收缴率（%）</v>
      </c>
      <c r="BP510" s="47">
        <v>46129</v>
      </c>
      <c r="BQ510" s="29">
        <v>3.896820068236459E-2</v>
      </c>
    </row>
    <row r="511" spans="1:69" x14ac:dyDescent="0.4">
      <c r="A511" t="str">
        <f>IF(原始经营数据!$D512="","",原始经营数据!$D512)</f>
        <v>华安百联消费封闭式基础设施证券投资基金</v>
      </c>
      <c r="B511" t="str">
        <f>IF(原始经营数据!$D512="","",T(原始经营数据!$E512))</f>
        <v>上海又一城购物中心</v>
      </c>
      <c r="C511" t="str">
        <f>IF(原始经营数据!$D512="","",原始经营数据!$F512)</f>
        <v>2025Q4</v>
      </c>
      <c r="D511" t="str">
        <f>IF(原始经营数据!$D512="","",原始经营数据!$H512)</f>
        <v>租赁业务收缴率</v>
      </c>
      <c r="E511">
        <f>IF(原始经营数据!$D512="","",原始经营数据!$I512)</f>
        <v>100</v>
      </c>
      <c r="F511" t="str">
        <f>IF(原始经营数据!$D512="","",T(原始经营数据!$J512))</f>
        <v>%</v>
      </c>
      <c r="G511" t="str">
        <f>IF(原始经营数据!$D512="","",T(原始经营数据!$K512))</f>
        <v/>
      </c>
      <c r="H511" t="str">
        <f>IF(原始经营数据!$D512="","",原始经营数据!$G512)</f>
        <v>服务效率</v>
      </c>
      <c r="I511" t="str">
        <f>IF($A511="","",IF($B511&lt;&gt;"",$B511,IF(COUNTIFS(原始经营数据!$D$3:$D$3001,$A511,原始经营数据!$E$3:$E$3001,"",原始经营数据!$F$3:$F$3001,$C511,原始经营数据!$H$3:$H$3001,$D511,原始经营数据!$K$3:$K$3001,$G511)&gt;1,"基金整体·来源"&amp;原始经营数据!$A512,"基金整体")))</f>
        <v>上海又一城购物中心</v>
      </c>
      <c r="J511" t="str">
        <f t="shared" si="108"/>
        <v>季度</v>
      </c>
      <c r="K511" t="str">
        <f t="shared" si="109"/>
        <v>租赁业务收缴率（%）</v>
      </c>
      <c r="L511" t="str">
        <f t="shared" si="110"/>
        <v>上海又一城购物中心|租赁业务收缴率（%）|季度</v>
      </c>
      <c r="M511">
        <f>IF($A511="",0,IF(COUNTIF($L$2:$L511,$L511)=1,1,0))</f>
        <v>0</v>
      </c>
      <c r="N511">
        <f t="shared" si="111"/>
        <v>20254</v>
      </c>
      <c r="O511" t="str">
        <f t="shared" si="112"/>
        <v>华安百联消费封闭式基础设施证券投资基金|2025Q4|季度</v>
      </c>
      <c r="P511">
        <f>IF($A511="",0,IF(COUNTIF($O$2:$O511,$O511)=1,1,0))</f>
        <v>1</v>
      </c>
      <c r="Q511" t="str">
        <f>IF(AND($P511=1,$A511=经营数据!$B$3,$J511=经营数据!$BA$5),COUNTIFS($P$2:$P$3000,1,$A$2:$A$3000,$A511,$J$2:$J$3000,$J511,$N$2:$N$3000,"&lt;"&amp;$N511)+1,"")</f>
        <v/>
      </c>
      <c r="R511" t="str">
        <f t="shared" si="113"/>
        <v>华安百联消费封闭式基础设施证券投资基金|上海又一城购物中心</v>
      </c>
      <c r="S511">
        <f>IF($A511="",0,IF(COUNTIF($R$2:$R511,$R511)=1,1,0))</f>
        <v>0</v>
      </c>
      <c r="T511">
        <f t="shared" si="114"/>
        <v>480</v>
      </c>
      <c r="U511" t="str">
        <f>IF($A511="","",IF($A511=经营数据!$B$3,COUNTIFS($S$2:$S$3000,1,$A$2:$A$3000,$A511,$T$2:$T$3000,"&lt;"&amp;$T511)+1,""))</f>
        <v/>
      </c>
      <c r="V511" t="str">
        <f t="shared" si="115"/>
        <v>上海又一城购物中心|服务效率</v>
      </c>
      <c r="W511">
        <f t="shared" si="116"/>
        <v>480</v>
      </c>
      <c r="X511" t="str">
        <f t="shared" si="117"/>
        <v>上海又一城购物中心|租赁业务收缴率</v>
      </c>
      <c r="Y511">
        <f t="shared" si="118"/>
        <v>480</v>
      </c>
      <c r="Z511">
        <f>IF($A511="",0,IF(AND($M511=1,$A511=经营数据!$B$3,$J511=经营数据!$BA$5,OR($I511=经营数据!$BA$4,COUNTIF(经营数据!$AA$9:$AA$38,$I511)&gt;0)),1,0))</f>
        <v>0</v>
      </c>
      <c r="AA511" t="str">
        <f t="shared" si="119"/>
        <v/>
      </c>
      <c r="AB511" t="str">
        <f t="shared" si="120"/>
        <v/>
      </c>
      <c r="AC511">
        <f>IF($A511="",0,IF(COUNTIF($A$2:$A511,$A511)=1,1,0))</f>
        <v>0</v>
      </c>
      <c r="AD511">
        <f t="shared" si="121"/>
        <v>6</v>
      </c>
      <c r="AE511" t="str">
        <f t="shared" si="122"/>
        <v>上海又一城购物中心|租赁业务收缴率（%）</v>
      </c>
      <c r="BP511" s="47">
        <v>46132</v>
      </c>
      <c r="BQ511" s="29">
        <v>3.9048550903783057E-2</v>
      </c>
    </row>
    <row r="512" spans="1:69" x14ac:dyDescent="0.4">
      <c r="A512" t="str">
        <f>IF(原始经营数据!$D513="","",原始经营数据!$D513)</f>
        <v>华安百联消费封闭式基础设施证券投资基金</v>
      </c>
      <c r="B512" t="str">
        <f>IF(原始经营数据!$D513="","",T(原始经营数据!$E513))</f>
        <v>上海又一城购物中心</v>
      </c>
      <c r="C512" t="str">
        <f>IF(原始经营数据!$D513="","",原始经营数据!$F513)</f>
        <v>2025Q4</v>
      </c>
      <c r="D512" t="str">
        <f>IF(原始经营数据!$D513="","",原始经营数据!$H513)</f>
        <v>加权平均剩余租期</v>
      </c>
      <c r="E512">
        <f>IF(原始经营数据!$D513="","",原始经营数据!$I513)</f>
        <v>2.15</v>
      </c>
      <c r="F512" t="str">
        <f>IF(原始经营数据!$D513="","",T(原始经营数据!$J513))</f>
        <v>年</v>
      </c>
      <c r="G512" t="str">
        <f>IF(原始经营数据!$D513="","",T(原始经营数据!$K513))</f>
        <v/>
      </c>
      <c r="H512" t="str">
        <f>IF(原始经营数据!$D513="","",原始经营数据!$G513)</f>
        <v>服务量</v>
      </c>
      <c r="I512" t="str">
        <f>IF($A512="","",IF($B512&lt;&gt;"",$B512,IF(COUNTIFS(原始经营数据!$D$3:$D$3001,$A512,原始经营数据!$E$3:$E$3001,"",原始经营数据!$F$3:$F$3001,$C512,原始经营数据!$H$3:$H$3001,$D512,原始经营数据!$K$3:$K$3001,$G512)&gt;1,"基金整体·来源"&amp;原始经营数据!$A513,"基金整体")))</f>
        <v>上海又一城购物中心</v>
      </c>
      <c r="J512" t="str">
        <f t="shared" si="108"/>
        <v>季度</v>
      </c>
      <c r="K512" t="str">
        <f t="shared" si="109"/>
        <v>加权平均剩余租期（年）</v>
      </c>
      <c r="L512" t="str">
        <f t="shared" si="110"/>
        <v>上海又一城购物中心|加权平均剩余租期（年）|季度</v>
      </c>
      <c r="M512">
        <f>IF($A512="",0,IF(COUNTIF($L$2:$L512,$L512)=1,1,0))</f>
        <v>0</v>
      </c>
      <c r="N512">
        <f t="shared" si="111"/>
        <v>20254</v>
      </c>
      <c r="O512" t="str">
        <f t="shared" si="112"/>
        <v>华安百联消费封闭式基础设施证券投资基金|2025Q4|季度</v>
      </c>
      <c r="P512">
        <f>IF($A512="",0,IF(COUNTIF($O$2:$O512,$O512)=1,1,0))</f>
        <v>0</v>
      </c>
      <c r="Q512" t="str">
        <f>IF(AND($P512=1,$A512=经营数据!$B$3,$J512=经营数据!$BA$5),COUNTIFS($P$2:$P$3000,1,$A$2:$A$3000,$A512,$J$2:$J$3000,$J512,$N$2:$N$3000,"&lt;"&amp;$N512)+1,"")</f>
        <v/>
      </c>
      <c r="R512" t="str">
        <f t="shared" si="113"/>
        <v>华安百联消费封闭式基础设施证券投资基金|上海又一城购物中心</v>
      </c>
      <c r="S512">
        <f>IF($A512="",0,IF(COUNTIF($R$2:$R512,$R512)=1,1,0))</f>
        <v>0</v>
      </c>
      <c r="T512">
        <f t="shared" si="114"/>
        <v>480</v>
      </c>
      <c r="U512" t="str">
        <f>IF($A512="","",IF($A512=经营数据!$B$3,COUNTIFS($S$2:$S$3000,1,$A$2:$A$3000,$A512,$T$2:$T$3000,"&lt;"&amp;$T512)+1,""))</f>
        <v/>
      </c>
      <c r="V512" t="str">
        <f t="shared" si="115"/>
        <v>上海又一城购物中心|服务量</v>
      </c>
      <c r="W512">
        <f t="shared" si="116"/>
        <v>481</v>
      </c>
      <c r="X512" t="str">
        <f t="shared" si="117"/>
        <v>上海又一城购物中心|加权平均剩余租期</v>
      </c>
      <c r="Y512">
        <f t="shared" si="118"/>
        <v>481</v>
      </c>
      <c r="Z512">
        <f>IF($A512="",0,IF(AND($M512=1,$A512=经营数据!$B$3,$J512=经营数据!$BA$5,OR($I512=经营数据!$BA$4,COUNTIF(经营数据!$AA$9:$AA$38,$I512)&gt;0)),1,0))</f>
        <v>0</v>
      </c>
      <c r="AA512" t="str">
        <f t="shared" si="119"/>
        <v/>
      </c>
      <c r="AB512" t="str">
        <f t="shared" si="120"/>
        <v/>
      </c>
      <c r="AC512">
        <f>IF($A512="",0,IF(COUNTIF($A$2:$A512,$A512)=1,1,0))</f>
        <v>0</v>
      </c>
      <c r="AD512">
        <f t="shared" si="121"/>
        <v>6</v>
      </c>
      <c r="AE512" t="str">
        <f t="shared" si="122"/>
        <v>上海又一城购物中心|加权平均剩余租期（年）</v>
      </c>
      <c r="BP512" s="47">
        <v>46133</v>
      </c>
      <c r="BQ512" s="29">
        <v>3.9077809396790127E-2</v>
      </c>
    </row>
    <row r="513" spans="1:69" x14ac:dyDescent="0.4">
      <c r="A513" t="str">
        <f>IF(原始经营数据!$D514="","",原始经营数据!$D514)</f>
        <v>华安百联消费封闭式基础设施证券投资基金</v>
      </c>
      <c r="B513" t="str">
        <f>IF(原始经营数据!$D514="","",T(原始经营数据!$E514))</f>
        <v>上海又一城购物中心</v>
      </c>
      <c r="C513" t="str">
        <f>IF(原始经营数据!$D514="","",原始经营数据!$F514)</f>
        <v>2025Q4</v>
      </c>
      <c r="D513" t="str">
        <f>IF(原始经营数据!$D514="","",原始经营数据!$H514)</f>
        <v>租赁部分平均租金单价</v>
      </c>
      <c r="E513">
        <f>IF(原始经营数据!$D514="","",原始经营数据!$I514)</f>
        <v>221</v>
      </c>
      <c r="F513" t="str">
        <f>IF(原始经营数据!$D514="","",T(原始经营数据!$J514))</f>
        <v>元/平方米/月</v>
      </c>
      <c r="G513" t="str">
        <f>IF(原始经营数据!$D514="","",T(原始经营数据!$K514))</f>
        <v/>
      </c>
      <c r="H513" t="str">
        <f>IF(原始经营数据!$D514="","",原始经营数据!$G514)</f>
        <v>服务价格</v>
      </c>
      <c r="I513" t="str">
        <f>IF($A513="","",IF($B513&lt;&gt;"",$B513,IF(COUNTIFS(原始经营数据!$D$3:$D$3001,$A513,原始经营数据!$E$3:$E$3001,"",原始经营数据!$F$3:$F$3001,$C513,原始经营数据!$H$3:$H$3001,$D513,原始经营数据!$K$3:$K$3001,$G513)&gt;1,"基金整体·来源"&amp;原始经营数据!$A514,"基金整体")))</f>
        <v>上海又一城购物中心</v>
      </c>
      <c r="J513" t="str">
        <f t="shared" si="108"/>
        <v>季度</v>
      </c>
      <c r="K513" t="str">
        <f t="shared" si="109"/>
        <v>租赁部分平均租金单价（元/平方米/月）</v>
      </c>
      <c r="L513" t="str">
        <f t="shared" si="110"/>
        <v>上海又一城购物中心|租赁部分平均租金单价（元/平方米/月）|季度</v>
      </c>
      <c r="M513">
        <f>IF($A513="",0,IF(COUNTIF($L$2:$L513,$L513)=1,1,0))</f>
        <v>0</v>
      </c>
      <c r="N513">
        <f t="shared" si="111"/>
        <v>20254</v>
      </c>
      <c r="O513" t="str">
        <f t="shared" si="112"/>
        <v>华安百联消费封闭式基础设施证券投资基金|2025Q4|季度</v>
      </c>
      <c r="P513">
        <f>IF($A513="",0,IF(COUNTIF($O$2:$O513,$O513)=1,1,0))</f>
        <v>0</v>
      </c>
      <c r="Q513" t="str">
        <f>IF(AND($P513=1,$A513=经营数据!$B$3,$J513=经营数据!$BA$5),COUNTIFS($P$2:$P$3000,1,$A$2:$A$3000,$A513,$J$2:$J$3000,$J513,$N$2:$N$3000,"&lt;"&amp;$N513)+1,"")</f>
        <v/>
      </c>
      <c r="R513" t="str">
        <f t="shared" si="113"/>
        <v>华安百联消费封闭式基础设施证券投资基金|上海又一城购物中心</v>
      </c>
      <c r="S513">
        <f>IF($A513="",0,IF(COUNTIF($R$2:$R513,$R513)=1,1,0))</f>
        <v>0</v>
      </c>
      <c r="T513">
        <f t="shared" si="114"/>
        <v>480</v>
      </c>
      <c r="U513" t="str">
        <f>IF($A513="","",IF($A513=经营数据!$B$3,COUNTIFS($S$2:$S$3000,1,$A$2:$A$3000,$A513,$T$2:$T$3000,"&lt;"&amp;$T513)+1,""))</f>
        <v/>
      </c>
      <c r="V513" t="str">
        <f t="shared" si="115"/>
        <v>上海又一城购物中心|服务价格</v>
      </c>
      <c r="W513">
        <f t="shared" si="116"/>
        <v>482</v>
      </c>
      <c r="X513" t="str">
        <f t="shared" si="117"/>
        <v>上海又一城购物中心|租赁部分平均租金单价</v>
      </c>
      <c r="Y513">
        <f t="shared" si="118"/>
        <v>482</v>
      </c>
      <c r="Z513">
        <f>IF($A513="",0,IF(AND($M513=1,$A513=经营数据!$B$3,$J513=经营数据!$BA$5,OR($I513=经营数据!$BA$4,COUNTIF(经营数据!$AA$9:$AA$38,$I513)&gt;0)),1,0))</f>
        <v>0</v>
      </c>
      <c r="AA513" t="str">
        <f t="shared" si="119"/>
        <v/>
      </c>
      <c r="AB513" t="str">
        <f t="shared" si="120"/>
        <v/>
      </c>
      <c r="AC513">
        <f>IF($A513="",0,IF(COUNTIF($A$2:$A513,$A513)=1,1,0))</f>
        <v>0</v>
      </c>
      <c r="AD513">
        <f t="shared" si="121"/>
        <v>6</v>
      </c>
      <c r="AE513" t="str">
        <f t="shared" si="122"/>
        <v>上海又一城购物中心|租赁部分平均租金单价（元/平方米/月）</v>
      </c>
      <c r="BP513" s="47">
        <v>46134</v>
      </c>
      <c r="BQ513" s="29">
        <v>3.8301787106676727E-2</v>
      </c>
    </row>
    <row r="514" spans="1:69" x14ac:dyDescent="0.4">
      <c r="A514" t="str">
        <f>IF(原始经营数据!$D515="","",原始经营数据!$D515)</f>
        <v>华安百联消费封闭式基础设施证券投资基金</v>
      </c>
      <c r="B514" t="str">
        <f>IF(原始经营数据!$D515="","",T(原始经营数据!$E515))</f>
        <v>上海又一城购物中心</v>
      </c>
      <c r="C514" t="str">
        <f>IF(原始经营数据!$D515="","",原始经营数据!$F515)</f>
        <v>2025Q4</v>
      </c>
      <c r="D514" t="str">
        <f>IF(原始经营数据!$D515="","",原始经营数据!$H515)</f>
        <v>出租率</v>
      </c>
      <c r="E514">
        <f>IF(原始经营数据!$D515="","",原始经营数据!$I515)</f>
        <v>95.55</v>
      </c>
      <c r="F514" t="str">
        <f>IF(原始经营数据!$D515="","",T(原始经营数据!$J515))</f>
        <v>%</v>
      </c>
      <c r="G514" t="str">
        <f>IF(原始经营数据!$D515="","",T(原始经营数据!$K515))</f>
        <v/>
      </c>
      <c r="H514" t="str">
        <f>IF(原始经营数据!$D515="","",原始经营数据!$G515)</f>
        <v>服务效率</v>
      </c>
      <c r="I514" t="str">
        <f>IF($A514="","",IF($B514&lt;&gt;"",$B514,IF(COUNTIFS(原始经营数据!$D$3:$D$3001,$A514,原始经营数据!$E$3:$E$3001,"",原始经营数据!$F$3:$F$3001,$C514,原始经营数据!$H$3:$H$3001,$D514,原始经营数据!$K$3:$K$3001,$G514)&gt;1,"基金整体·来源"&amp;原始经营数据!$A515,"基金整体")))</f>
        <v>上海又一城购物中心</v>
      </c>
      <c r="J514" t="str">
        <f t="shared" ref="J514:J577" si="123">IF($A514="","",IF(LEN($C514)=4,"年度",IF(AND(LEN($C514)=6,ISNUMBER(SEARCH("Q",$C514))),"季度","其他期间")))</f>
        <v>季度</v>
      </c>
      <c r="K514" t="str">
        <f t="shared" ref="K514:K577" si="124">IF($A514="","",$D514&amp;IF($G514="","","-"&amp;SUBSTITUTE($G514,CHAR(10),""))&amp;IF($F514="","","（"&amp;$F514&amp;"）"))</f>
        <v>出租率（%）</v>
      </c>
      <c r="L514" t="str">
        <f t="shared" ref="L514:L577" si="125">IF($A514="","",$I514&amp;"|"&amp;$K514&amp;"|"&amp;$J514)</f>
        <v>上海又一城购物中心|出租率（%）|季度</v>
      </c>
      <c r="M514">
        <f>IF($A514="",0,IF(COUNTIF($L$2:$L514,$L514)=1,1,0))</f>
        <v>0</v>
      </c>
      <c r="N514">
        <f t="shared" ref="N514:N577" si="126">IF($A514="","",IF($J514="年度",VALUE($C514)*10,IF($J514="季度",VALUE(LEFT($C514,4))*10+VALUE(RIGHT($C514,1)),VALUE(LEFT($C514,4))*10+9)))</f>
        <v>20254</v>
      </c>
      <c r="O514" t="str">
        <f t="shared" ref="O514:O577" si="127">IF($A514="","",$A514&amp;"|"&amp;$C514&amp;"|"&amp;$J514)</f>
        <v>华安百联消费封闭式基础设施证券投资基金|2025Q4|季度</v>
      </c>
      <c r="P514">
        <f>IF($A514="",0,IF(COUNTIF($O$2:$O514,$O514)=1,1,0))</f>
        <v>0</v>
      </c>
      <c r="Q514" t="str">
        <f>IF(AND($P514=1,$A514=经营数据!$B$3,$J514=经营数据!$BA$5),COUNTIFS($P$2:$P$3000,1,$A$2:$A$3000,$A514,$J$2:$J$3000,$J514,$N$2:$N$3000,"&lt;"&amp;$N514)+1,"")</f>
        <v/>
      </c>
      <c r="R514" t="str">
        <f t="shared" ref="R514:R577" si="128">IF($A514="","",$A514&amp;"|"&amp;$I514)</f>
        <v>华安百联消费封闭式基础设施证券投资基金|上海又一城购物中心</v>
      </c>
      <c r="S514">
        <f>IF($A514="",0,IF(COUNTIF($R$2:$R514,$R514)=1,1,0))</f>
        <v>0</v>
      </c>
      <c r="T514">
        <f t="shared" ref="T514:T577" si="129">IF($A514="","",MATCH($R514,$R$2:$R$3000,0))</f>
        <v>480</v>
      </c>
      <c r="U514" t="str">
        <f>IF($A514="","",IF($A514=经营数据!$B$3,COUNTIFS($S$2:$S$3000,1,$A$2:$A$3000,$A514,$T$2:$T$3000,"&lt;"&amp;$T514)+1,""))</f>
        <v/>
      </c>
      <c r="V514" t="str">
        <f t="shared" ref="V514:V577" si="130">IF($A514="","",$I514&amp;"|"&amp;$H514)</f>
        <v>上海又一城购物中心|服务效率</v>
      </c>
      <c r="W514">
        <f t="shared" ref="W514:W577" si="131">IF($A514="","",MATCH($V514,$V$2:$V$3000,0))</f>
        <v>480</v>
      </c>
      <c r="X514" t="str">
        <f t="shared" ref="X514:X577" si="132">IF($A514="","",$I514&amp;"|"&amp;$D514)</f>
        <v>上海又一城购物中心|出租率</v>
      </c>
      <c r="Y514">
        <f t="shared" ref="Y514:Y577" si="133">IF($A514="","",MATCH($X514,$X$2:$X$3000,0))</f>
        <v>483</v>
      </c>
      <c r="Z514">
        <f>IF($A514="",0,IF(AND($M514=1,$A514=经营数据!$B$3,$J514=经营数据!$BA$5,OR($I514=经营数据!$BA$4,COUNTIF(经营数据!$AA$9:$AA$38,$I514)&gt;0)),1,0))</f>
        <v>0</v>
      </c>
      <c r="AA514" t="str">
        <f t="shared" ref="AA514:AA577" si="134">IF($Z514=1,$U514*1000000000000+$W514*100000000+$Y514*10000+ROW(),"")</f>
        <v/>
      </c>
      <c r="AB514" t="str">
        <f t="shared" ref="AB514:AB577" si="135">IF($Z514=1,COUNTIFS($Z$2:$Z$3000,1,$AA$2:$AA$3000,"&lt;"&amp;$AA514)+1,"")</f>
        <v/>
      </c>
      <c r="AC514">
        <f>IF($A514="",0,IF(COUNTIF($A$2:$A514,$A514)=1,1,0))</f>
        <v>0</v>
      </c>
      <c r="AD514">
        <f t="shared" ref="AD514:AD577" si="136">IF($A514="",N(AD513),IF($AC514=1,N(AD513)+1,N(AD513)))</f>
        <v>6</v>
      </c>
      <c r="AE514" t="str">
        <f t="shared" ref="AE514:AE577" si="137">IF($A514="","",$I514&amp;"|"&amp;$K514)</f>
        <v>上海又一城购物中心|出租率（%）</v>
      </c>
      <c r="BP514" s="47">
        <v>46135</v>
      </c>
      <c r="BQ514" s="29">
        <v>3.8330596070213878E-2</v>
      </c>
    </row>
    <row r="515" spans="1:69" x14ac:dyDescent="0.4">
      <c r="A515" t="str">
        <f>IF(原始经营数据!$D516="","",原始经营数据!$D516)</f>
        <v>华安百联消费封闭式基础设施证券投资基金</v>
      </c>
      <c r="B515" t="str">
        <f>IF(原始经营数据!$D516="","",T(原始经营数据!$E516))</f>
        <v>上海又一城购物中心</v>
      </c>
      <c r="C515" t="str">
        <f>IF(原始经营数据!$D516="","",原始经营数据!$F516)</f>
        <v>2025Q4</v>
      </c>
      <c r="D515" t="str">
        <f>IF(原始经营数据!$D516="","",原始经营数据!$H516)</f>
        <v>可供出租面积</v>
      </c>
      <c r="E515">
        <f>IF(原始经营数据!$D516="","",原始经营数据!$I516)</f>
        <v>58329.91</v>
      </c>
      <c r="F515" t="str">
        <f>IF(原始经营数据!$D516="","",T(原始经营数据!$J516))</f>
        <v>平方米</v>
      </c>
      <c r="G515" t="str">
        <f>IF(原始经营数据!$D516="","",T(原始经营数据!$K516))</f>
        <v/>
      </c>
      <c r="H515" t="str">
        <f>IF(原始经营数据!$D516="","",原始经营数据!$G516)</f>
        <v>服务量</v>
      </c>
      <c r="I515" t="str">
        <f>IF($A515="","",IF($B515&lt;&gt;"",$B515,IF(COUNTIFS(原始经营数据!$D$3:$D$3001,$A515,原始经营数据!$E$3:$E$3001,"",原始经营数据!$F$3:$F$3001,$C515,原始经营数据!$H$3:$H$3001,$D515,原始经营数据!$K$3:$K$3001,$G515)&gt;1,"基金整体·来源"&amp;原始经营数据!$A516,"基金整体")))</f>
        <v>上海又一城购物中心</v>
      </c>
      <c r="J515" t="str">
        <f t="shared" si="123"/>
        <v>季度</v>
      </c>
      <c r="K515" t="str">
        <f t="shared" si="124"/>
        <v>可供出租面积（平方米）</v>
      </c>
      <c r="L515" t="str">
        <f t="shared" si="125"/>
        <v>上海又一城购物中心|可供出租面积（平方米）|季度</v>
      </c>
      <c r="M515">
        <f>IF($A515="",0,IF(COUNTIF($L$2:$L515,$L515)=1,1,0))</f>
        <v>0</v>
      </c>
      <c r="N515">
        <f t="shared" si="126"/>
        <v>20254</v>
      </c>
      <c r="O515" t="str">
        <f t="shared" si="127"/>
        <v>华安百联消费封闭式基础设施证券投资基金|2025Q4|季度</v>
      </c>
      <c r="P515">
        <f>IF($A515="",0,IF(COUNTIF($O$2:$O515,$O515)=1,1,0))</f>
        <v>0</v>
      </c>
      <c r="Q515" t="str">
        <f>IF(AND($P515=1,$A515=经营数据!$B$3,$J515=经营数据!$BA$5),COUNTIFS($P$2:$P$3000,1,$A$2:$A$3000,$A515,$J$2:$J$3000,$J515,$N$2:$N$3000,"&lt;"&amp;$N515)+1,"")</f>
        <v/>
      </c>
      <c r="R515" t="str">
        <f t="shared" si="128"/>
        <v>华安百联消费封闭式基础设施证券投资基金|上海又一城购物中心</v>
      </c>
      <c r="S515">
        <f>IF($A515="",0,IF(COUNTIF($R$2:$R515,$R515)=1,1,0))</f>
        <v>0</v>
      </c>
      <c r="T515">
        <f t="shared" si="129"/>
        <v>480</v>
      </c>
      <c r="U515" t="str">
        <f>IF($A515="","",IF($A515=经营数据!$B$3,COUNTIFS($S$2:$S$3000,1,$A$2:$A$3000,$A515,$T$2:$T$3000,"&lt;"&amp;$T515)+1,""))</f>
        <v/>
      </c>
      <c r="V515" t="str">
        <f t="shared" si="130"/>
        <v>上海又一城购物中心|服务量</v>
      </c>
      <c r="W515">
        <f t="shared" si="131"/>
        <v>481</v>
      </c>
      <c r="X515" t="str">
        <f t="shared" si="132"/>
        <v>上海又一城购物中心|可供出租面积</v>
      </c>
      <c r="Y515">
        <f t="shared" si="133"/>
        <v>485</v>
      </c>
      <c r="Z515">
        <f>IF($A515="",0,IF(AND($M515=1,$A515=经营数据!$B$3,$J515=经营数据!$BA$5,OR($I515=经营数据!$BA$4,COUNTIF(经营数据!$AA$9:$AA$38,$I515)&gt;0)),1,0))</f>
        <v>0</v>
      </c>
      <c r="AA515" t="str">
        <f t="shared" si="134"/>
        <v/>
      </c>
      <c r="AB515" t="str">
        <f t="shared" si="135"/>
        <v/>
      </c>
      <c r="AC515">
        <f>IF($A515="",0,IF(COUNTIF($A$2:$A515,$A515)=1,1,0))</f>
        <v>0</v>
      </c>
      <c r="AD515">
        <f t="shared" si="136"/>
        <v>6</v>
      </c>
      <c r="AE515" t="str">
        <f t="shared" si="137"/>
        <v>上海又一城购物中心|可供出租面积（平方米）</v>
      </c>
      <c r="BP515" s="47">
        <v>46136</v>
      </c>
      <c r="BQ515" s="29">
        <v>3.8400005142532868E-2</v>
      </c>
    </row>
    <row r="516" spans="1:69" x14ac:dyDescent="0.4">
      <c r="A516" t="str">
        <f>IF(原始经营数据!$D517="","",原始经营数据!$D517)</f>
        <v>华安百联消费封闭式基础设施证券投资基金</v>
      </c>
      <c r="B516" t="str">
        <f>IF(原始经营数据!$D517="","",T(原始经营数据!$E517))</f>
        <v>上海又一城购物中心</v>
      </c>
      <c r="C516" t="str">
        <f>IF(原始经营数据!$D517="","",原始经营数据!$F517)</f>
        <v>2025Q4</v>
      </c>
      <c r="D516" t="str">
        <f>IF(原始经营数据!$D517="","",原始经营数据!$H517)</f>
        <v>实际出租面积</v>
      </c>
      <c r="E516">
        <f>IF(原始经营数据!$D517="","",原始经营数据!$I517)</f>
        <v>55732.34</v>
      </c>
      <c r="F516" t="str">
        <f>IF(原始经营数据!$D517="","",T(原始经营数据!$J517))</f>
        <v>平方米</v>
      </c>
      <c r="G516" t="str">
        <f>IF(原始经营数据!$D517="","",T(原始经营数据!$K517))</f>
        <v/>
      </c>
      <c r="H516" t="str">
        <f>IF(原始经营数据!$D517="","",原始经营数据!$G517)</f>
        <v>服务量</v>
      </c>
      <c r="I516" t="str">
        <f>IF($A516="","",IF($B516&lt;&gt;"",$B516,IF(COUNTIFS(原始经营数据!$D$3:$D$3001,$A516,原始经营数据!$E$3:$E$3001,"",原始经营数据!$F$3:$F$3001,$C516,原始经营数据!$H$3:$H$3001,$D516,原始经营数据!$K$3:$K$3001,$G516)&gt;1,"基金整体·来源"&amp;原始经营数据!$A517,"基金整体")))</f>
        <v>上海又一城购物中心</v>
      </c>
      <c r="J516" t="str">
        <f t="shared" si="123"/>
        <v>季度</v>
      </c>
      <c r="K516" t="str">
        <f t="shared" si="124"/>
        <v>实际出租面积（平方米）</v>
      </c>
      <c r="L516" t="str">
        <f t="shared" si="125"/>
        <v>上海又一城购物中心|实际出租面积（平方米）|季度</v>
      </c>
      <c r="M516">
        <f>IF($A516="",0,IF(COUNTIF($L$2:$L516,$L516)=1,1,0))</f>
        <v>0</v>
      </c>
      <c r="N516">
        <f t="shared" si="126"/>
        <v>20254</v>
      </c>
      <c r="O516" t="str">
        <f t="shared" si="127"/>
        <v>华安百联消费封闭式基础设施证券投资基金|2025Q4|季度</v>
      </c>
      <c r="P516">
        <f>IF($A516="",0,IF(COUNTIF($O$2:$O516,$O516)=1,1,0))</f>
        <v>0</v>
      </c>
      <c r="Q516" t="str">
        <f>IF(AND($P516=1,$A516=经营数据!$B$3,$J516=经营数据!$BA$5),COUNTIFS($P$2:$P$3000,1,$A$2:$A$3000,$A516,$J$2:$J$3000,$J516,$N$2:$N$3000,"&lt;"&amp;$N516)+1,"")</f>
        <v/>
      </c>
      <c r="R516" t="str">
        <f t="shared" si="128"/>
        <v>华安百联消费封闭式基础设施证券投资基金|上海又一城购物中心</v>
      </c>
      <c r="S516">
        <f>IF($A516="",0,IF(COUNTIF($R$2:$R516,$R516)=1,1,0))</f>
        <v>0</v>
      </c>
      <c r="T516">
        <f t="shared" si="129"/>
        <v>480</v>
      </c>
      <c r="U516" t="str">
        <f>IF($A516="","",IF($A516=经营数据!$B$3,COUNTIFS($S$2:$S$3000,1,$A$2:$A$3000,$A516,$T$2:$T$3000,"&lt;"&amp;$T516)+1,""))</f>
        <v/>
      </c>
      <c r="V516" t="str">
        <f t="shared" si="130"/>
        <v>上海又一城购物中心|服务量</v>
      </c>
      <c r="W516">
        <f t="shared" si="131"/>
        <v>481</v>
      </c>
      <c r="X516" t="str">
        <f t="shared" si="132"/>
        <v>上海又一城购物中心|实际出租面积</v>
      </c>
      <c r="Y516">
        <f t="shared" si="133"/>
        <v>484</v>
      </c>
      <c r="Z516">
        <f>IF($A516="",0,IF(AND($M516=1,$A516=经营数据!$B$3,$J516=经营数据!$BA$5,OR($I516=经营数据!$BA$4,COUNTIF(经营数据!$AA$9:$AA$38,$I516)&gt;0)),1,0))</f>
        <v>0</v>
      </c>
      <c r="AA516" t="str">
        <f t="shared" si="134"/>
        <v/>
      </c>
      <c r="AB516" t="str">
        <f t="shared" si="135"/>
        <v/>
      </c>
      <c r="AC516">
        <f>IF($A516="",0,IF(COUNTIF($A$2:$A516,$A516)=1,1,0))</f>
        <v>0</v>
      </c>
      <c r="AD516">
        <f t="shared" si="136"/>
        <v>6</v>
      </c>
      <c r="AE516" t="str">
        <f t="shared" si="137"/>
        <v>上海又一城购物中心|实际出租面积（平方米）</v>
      </c>
      <c r="BP516" s="47">
        <v>46139</v>
      </c>
      <c r="BQ516" s="29">
        <v>3.879187548503274E-2</v>
      </c>
    </row>
    <row r="517" spans="1:69" x14ac:dyDescent="0.4">
      <c r="A517" t="str">
        <f>IF(原始经营数据!$D518="","",原始经营数据!$D518)</f>
        <v>华安百联消费封闭式基础设施证券投资基金</v>
      </c>
      <c r="B517" t="str">
        <f>IF(原始经营数据!$D518="","",T(原始经营数据!$E518))</f>
        <v>上海又一城购物中心</v>
      </c>
      <c r="C517" t="str">
        <f>IF(原始经营数据!$D518="","",原始经营数据!$F518)</f>
        <v>2026Q1</v>
      </c>
      <c r="D517" t="str">
        <f>IF(原始经营数据!$D518="","",原始经营数据!$H518)</f>
        <v>租赁业务收缴率</v>
      </c>
      <c r="E517">
        <f>IF(原始经营数据!$D518="","",原始经营数据!$I518)</f>
        <v>100</v>
      </c>
      <c r="F517" t="str">
        <f>IF(原始经营数据!$D518="","",T(原始经营数据!$J518))</f>
        <v>%</v>
      </c>
      <c r="G517" t="str">
        <f>IF(原始经营数据!$D518="","",T(原始经营数据!$K518))</f>
        <v/>
      </c>
      <c r="H517" t="str">
        <f>IF(原始经营数据!$D518="","",原始经营数据!$G518)</f>
        <v>服务效率</v>
      </c>
      <c r="I517" t="str">
        <f>IF($A517="","",IF($B517&lt;&gt;"",$B517,IF(COUNTIFS(原始经营数据!$D$3:$D$3001,$A517,原始经营数据!$E$3:$E$3001,"",原始经营数据!$F$3:$F$3001,$C517,原始经营数据!$H$3:$H$3001,$D517,原始经营数据!$K$3:$K$3001,$G517)&gt;1,"基金整体·来源"&amp;原始经营数据!$A518,"基金整体")))</f>
        <v>上海又一城购物中心</v>
      </c>
      <c r="J517" t="str">
        <f t="shared" si="123"/>
        <v>季度</v>
      </c>
      <c r="K517" t="str">
        <f t="shared" si="124"/>
        <v>租赁业务收缴率（%）</v>
      </c>
      <c r="L517" t="str">
        <f t="shared" si="125"/>
        <v>上海又一城购物中心|租赁业务收缴率（%）|季度</v>
      </c>
      <c r="M517">
        <f>IF($A517="",0,IF(COUNTIF($L$2:$L517,$L517)=1,1,0))</f>
        <v>0</v>
      </c>
      <c r="N517">
        <f t="shared" si="126"/>
        <v>20261</v>
      </c>
      <c r="O517" t="str">
        <f t="shared" si="127"/>
        <v>华安百联消费封闭式基础设施证券投资基金|2026Q1|季度</v>
      </c>
      <c r="P517">
        <f>IF($A517="",0,IF(COUNTIF($O$2:$O517,$O517)=1,1,0))</f>
        <v>1</v>
      </c>
      <c r="Q517" t="str">
        <f>IF(AND($P517=1,$A517=经营数据!$B$3,$J517=经营数据!$BA$5),COUNTIFS($P$2:$P$3000,1,$A$2:$A$3000,$A517,$J$2:$J$3000,$J517,$N$2:$N$3000,"&lt;"&amp;$N517)+1,"")</f>
        <v/>
      </c>
      <c r="R517" t="str">
        <f t="shared" si="128"/>
        <v>华安百联消费封闭式基础设施证券投资基金|上海又一城购物中心</v>
      </c>
      <c r="S517">
        <f>IF($A517="",0,IF(COUNTIF($R$2:$R517,$R517)=1,1,0))</f>
        <v>0</v>
      </c>
      <c r="T517">
        <f t="shared" si="129"/>
        <v>480</v>
      </c>
      <c r="U517" t="str">
        <f>IF($A517="","",IF($A517=经营数据!$B$3,COUNTIFS($S$2:$S$3000,1,$A$2:$A$3000,$A517,$T$2:$T$3000,"&lt;"&amp;$T517)+1,""))</f>
        <v/>
      </c>
      <c r="V517" t="str">
        <f t="shared" si="130"/>
        <v>上海又一城购物中心|服务效率</v>
      </c>
      <c r="W517">
        <f t="shared" si="131"/>
        <v>480</v>
      </c>
      <c r="X517" t="str">
        <f t="shared" si="132"/>
        <v>上海又一城购物中心|租赁业务收缴率</v>
      </c>
      <c r="Y517">
        <f t="shared" si="133"/>
        <v>480</v>
      </c>
      <c r="Z517">
        <f>IF($A517="",0,IF(AND($M517=1,$A517=经营数据!$B$3,$J517=经营数据!$BA$5,OR($I517=经营数据!$BA$4,COUNTIF(经营数据!$AA$9:$AA$38,$I517)&gt;0)),1,0))</f>
        <v>0</v>
      </c>
      <c r="AA517" t="str">
        <f t="shared" si="134"/>
        <v/>
      </c>
      <c r="AB517" t="str">
        <f t="shared" si="135"/>
        <v/>
      </c>
      <c r="AC517">
        <f>IF($A517="",0,IF(COUNTIF($A$2:$A517,$A517)=1,1,0))</f>
        <v>0</v>
      </c>
      <c r="AD517">
        <f t="shared" si="136"/>
        <v>6</v>
      </c>
      <c r="AE517" t="str">
        <f t="shared" si="137"/>
        <v>上海又一城购物中心|租赁业务收缴率（%）</v>
      </c>
      <c r="BP517" s="47">
        <v>46140</v>
      </c>
      <c r="BQ517" s="29">
        <v>3.8907751696124378E-2</v>
      </c>
    </row>
    <row r="518" spans="1:69" x14ac:dyDescent="0.4">
      <c r="A518" t="str">
        <f>IF(原始经营数据!$D519="","",原始经营数据!$D519)</f>
        <v>华安百联消费封闭式基础设施证券投资基金</v>
      </c>
      <c r="B518" t="str">
        <f>IF(原始经营数据!$D519="","",T(原始经营数据!$E519))</f>
        <v>上海又一城购物中心</v>
      </c>
      <c r="C518" t="str">
        <f>IF(原始经营数据!$D519="","",原始经营数据!$F519)</f>
        <v>2026Q1</v>
      </c>
      <c r="D518" t="str">
        <f>IF(原始经营数据!$D519="","",原始经营数据!$H519)</f>
        <v>租赁部分平均租金单价</v>
      </c>
      <c r="E518">
        <f>IF(原始经营数据!$D519="","",原始经营数据!$I519)</f>
        <v>209</v>
      </c>
      <c r="F518" t="str">
        <f>IF(原始经营数据!$D519="","",T(原始经营数据!$J519))</f>
        <v>元/平方米/月</v>
      </c>
      <c r="G518" t="str">
        <f>IF(原始经营数据!$D519="","",T(原始经营数据!$K519))</f>
        <v/>
      </c>
      <c r="H518" t="str">
        <f>IF(原始经营数据!$D519="","",原始经营数据!$G519)</f>
        <v>服务价格</v>
      </c>
      <c r="I518" t="str">
        <f>IF($A518="","",IF($B518&lt;&gt;"",$B518,IF(COUNTIFS(原始经营数据!$D$3:$D$3001,$A518,原始经营数据!$E$3:$E$3001,"",原始经营数据!$F$3:$F$3001,$C518,原始经营数据!$H$3:$H$3001,$D518,原始经营数据!$K$3:$K$3001,$G518)&gt;1,"基金整体·来源"&amp;原始经营数据!$A519,"基金整体")))</f>
        <v>上海又一城购物中心</v>
      </c>
      <c r="J518" t="str">
        <f t="shared" si="123"/>
        <v>季度</v>
      </c>
      <c r="K518" t="str">
        <f t="shared" si="124"/>
        <v>租赁部分平均租金单价（元/平方米/月）</v>
      </c>
      <c r="L518" t="str">
        <f t="shared" si="125"/>
        <v>上海又一城购物中心|租赁部分平均租金单价（元/平方米/月）|季度</v>
      </c>
      <c r="M518">
        <f>IF($A518="",0,IF(COUNTIF($L$2:$L518,$L518)=1,1,0))</f>
        <v>0</v>
      </c>
      <c r="N518">
        <f t="shared" si="126"/>
        <v>20261</v>
      </c>
      <c r="O518" t="str">
        <f t="shared" si="127"/>
        <v>华安百联消费封闭式基础设施证券投资基金|2026Q1|季度</v>
      </c>
      <c r="P518">
        <f>IF($A518="",0,IF(COUNTIF($O$2:$O518,$O518)=1,1,0))</f>
        <v>0</v>
      </c>
      <c r="Q518" t="str">
        <f>IF(AND($P518=1,$A518=经营数据!$B$3,$J518=经营数据!$BA$5),COUNTIFS($P$2:$P$3000,1,$A$2:$A$3000,$A518,$J$2:$J$3000,$J518,$N$2:$N$3000,"&lt;"&amp;$N518)+1,"")</f>
        <v/>
      </c>
      <c r="R518" t="str">
        <f t="shared" si="128"/>
        <v>华安百联消费封闭式基础设施证券投资基金|上海又一城购物中心</v>
      </c>
      <c r="S518">
        <f>IF($A518="",0,IF(COUNTIF($R$2:$R518,$R518)=1,1,0))</f>
        <v>0</v>
      </c>
      <c r="T518">
        <f t="shared" si="129"/>
        <v>480</v>
      </c>
      <c r="U518" t="str">
        <f>IF($A518="","",IF($A518=经营数据!$B$3,COUNTIFS($S$2:$S$3000,1,$A$2:$A$3000,$A518,$T$2:$T$3000,"&lt;"&amp;$T518)+1,""))</f>
        <v/>
      </c>
      <c r="V518" t="str">
        <f t="shared" si="130"/>
        <v>上海又一城购物中心|服务价格</v>
      </c>
      <c r="W518">
        <f t="shared" si="131"/>
        <v>482</v>
      </c>
      <c r="X518" t="str">
        <f t="shared" si="132"/>
        <v>上海又一城购物中心|租赁部分平均租金单价</v>
      </c>
      <c r="Y518">
        <f t="shared" si="133"/>
        <v>482</v>
      </c>
      <c r="Z518">
        <f>IF($A518="",0,IF(AND($M518=1,$A518=经营数据!$B$3,$J518=经营数据!$BA$5,OR($I518=经营数据!$BA$4,COUNTIF(经营数据!$AA$9:$AA$38,$I518)&gt;0)),1,0))</f>
        <v>0</v>
      </c>
      <c r="AA518" t="str">
        <f t="shared" si="134"/>
        <v/>
      </c>
      <c r="AB518" t="str">
        <f t="shared" si="135"/>
        <v/>
      </c>
      <c r="AC518">
        <f>IF($A518="",0,IF(COUNTIF($A$2:$A518,$A518)=1,1,0))</f>
        <v>0</v>
      </c>
      <c r="AD518">
        <f t="shared" si="136"/>
        <v>6</v>
      </c>
      <c r="AE518" t="str">
        <f t="shared" si="137"/>
        <v>上海又一城购物中心|租赁部分平均租金单价（元/平方米/月）</v>
      </c>
      <c r="BP518" s="47">
        <v>46141</v>
      </c>
      <c r="BQ518" s="29">
        <v>3.8962039679797777E-2</v>
      </c>
    </row>
    <row r="519" spans="1:69" x14ac:dyDescent="0.4">
      <c r="A519" t="str">
        <f>IF(原始经营数据!$D520="","",原始经营数据!$D520)</f>
        <v>华安百联消费封闭式基础设施证券投资基金</v>
      </c>
      <c r="B519" t="str">
        <f>IF(原始经营数据!$D520="","",T(原始经营数据!$E520))</f>
        <v>上海又一城购物中心</v>
      </c>
      <c r="C519" t="str">
        <f>IF(原始经营数据!$D520="","",原始经营数据!$F520)</f>
        <v>2026Q1</v>
      </c>
      <c r="D519" t="str">
        <f>IF(原始经营数据!$D520="","",原始经营数据!$H520)</f>
        <v>出租率</v>
      </c>
      <c r="E519">
        <f>IF(原始经营数据!$D520="","",原始经营数据!$I520)</f>
        <v>95.16</v>
      </c>
      <c r="F519" t="str">
        <f>IF(原始经营数据!$D520="","",T(原始经营数据!$J520))</f>
        <v>%</v>
      </c>
      <c r="G519" t="str">
        <f>IF(原始经营数据!$D520="","",T(原始经营数据!$K520))</f>
        <v/>
      </c>
      <c r="H519" t="str">
        <f>IF(原始经营数据!$D520="","",原始经营数据!$G520)</f>
        <v>服务效率</v>
      </c>
      <c r="I519" t="str">
        <f>IF($A519="","",IF($B519&lt;&gt;"",$B519,IF(COUNTIFS(原始经营数据!$D$3:$D$3001,$A519,原始经营数据!$E$3:$E$3001,"",原始经营数据!$F$3:$F$3001,$C519,原始经营数据!$H$3:$H$3001,$D519,原始经营数据!$K$3:$K$3001,$G519)&gt;1,"基金整体·来源"&amp;原始经营数据!$A520,"基金整体")))</f>
        <v>上海又一城购物中心</v>
      </c>
      <c r="J519" t="str">
        <f t="shared" si="123"/>
        <v>季度</v>
      </c>
      <c r="K519" t="str">
        <f t="shared" si="124"/>
        <v>出租率（%）</v>
      </c>
      <c r="L519" t="str">
        <f t="shared" si="125"/>
        <v>上海又一城购物中心|出租率（%）|季度</v>
      </c>
      <c r="M519">
        <f>IF($A519="",0,IF(COUNTIF($L$2:$L519,$L519)=1,1,0))</f>
        <v>0</v>
      </c>
      <c r="N519">
        <f t="shared" si="126"/>
        <v>20261</v>
      </c>
      <c r="O519" t="str">
        <f t="shared" si="127"/>
        <v>华安百联消费封闭式基础设施证券投资基金|2026Q1|季度</v>
      </c>
      <c r="P519">
        <f>IF($A519="",0,IF(COUNTIF($O$2:$O519,$O519)=1,1,0))</f>
        <v>0</v>
      </c>
      <c r="Q519" t="str">
        <f>IF(AND($P519=1,$A519=经营数据!$B$3,$J519=经营数据!$BA$5),COUNTIFS($P$2:$P$3000,1,$A$2:$A$3000,$A519,$J$2:$J$3000,$J519,$N$2:$N$3000,"&lt;"&amp;$N519)+1,"")</f>
        <v/>
      </c>
      <c r="R519" t="str">
        <f t="shared" si="128"/>
        <v>华安百联消费封闭式基础设施证券投资基金|上海又一城购物中心</v>
      </c>
      <c r="S519">
        <f>IF($A519="",0,IF(COUNTIF($R$2:$R519,$R519)=1,1,0))</f>
        <v>0</v>
      </c>
      <c r="T519">
        <f t="shared" si="129"/>
        <v>480</v>
      </c>
      <c r="U519" t="str">
        <f>IF($A519="","",IF($A519=经营数据!$B$3,COUNTIFS($S$2:$S$3000,1,$A$2:$A$3000,$A519,$T$2:$T$3000,"&lt;"&amp;$T519)+1,""))</f>
        <v/>
      </c>
      <c r="V519" t="str">
        <f t="shared" si="130"/>
        <v>上海又一城购物中心|服务效率</v>
      </c>
      <c r="W519">
        <f t="shared" si="131"/>
        <v>480</v>
      </c>
      <c r="X519" t="str">
        <f t="shared" si="132"/>
        <v>上海又一城购物中心|出租率</v>
      </c>
      <c r="Y519">
        <f t="shared" si="133"/>
        <v>483</v>
      </c>
      <c r="Z519">
        <f>IF($A519="",0,IF(AND($M519=1,$A519=经营数据!$B$3,$J519=经营数据!$BA$5,OR($I519=经营数据!$BA$4,COUNTIF(经营数据!$AA$9:$AA$38,$I519)&gt;0)),1,0))</f>
        <v>0</v>
      </c>
      <c r="AA519" t="str">
        <f t="shared" si="134"/>
        <v/>
      </c>
      <c r="AB519" t="str">
        <f t="shared" si="135"/>
        <v/>
      </c>
      <c r="AC519">
        <f>IF($A519="",0,IF(COUNTIF($A$2:$A519,$A519)=1,1,0))</f>
        <v>0</v>
      </c>
      <c r="AD519">
        <f t="shared" si="136"/>
        <v>6</v>
      </c>
      <c r="AE519" t="str">
        <f t="shared" si="137"/>
        <v>上海又一城购物中心|出租率（%）</v>
      </c>
      <c r="BP519" s="47">
        <v>46142</v>
      </c>
      <c r="BQ519" s="29">
        <v>3.9181091627023032E-2</v>
      </c>
    </row>
    <row r="520" spans="1:69" x14ac:dyDescent="0.4">
      <c r="A520" t="str">
        <f>IF(原始经营数据!$D521="","",原始经营数据!$D521)</f>
        <v>华安百联消费封闭式基础设施证券投资基金</v>
      </c>
      <c r="B520" t="str">
        <f>IF(原始经营数据!$D521="","",T(原始经营数据!$E521))</f>
        <v>上海又一城购物中心</v>
      </c>
      <c r="C520" t="str">
        <f>IF(原始经营数据!$D521="","",原始经营数据!$F521)</f>
        <v>2026Q1</v>
      </c>
      <c r="D520" t="str">
        <f>IF(原始经营数据!$D521="","",原始经营数据!$H521)</f>
        <v>实际出租面积</v>
      </c>
      <c r="E520">
        <f>IF(原始经营数据!$D521="","",原始经营数据!$I521)</f>
        <v>55614.9</v>
      </c>
      <c r="F520" t="str">
        <f>IF(原始经营数据!$D521="","",T(原始经营数据!$J521))</f>
        <v>平方米</v>
      </c>
      <c r="G520" t="str">
        <f>IF(原始经营数据!$D521="","",T(原始经营数据!$K521))</f>
        <v/>
      </c>
      <c r="H520" t="str">
        <f>IF(原始经营数据!$D521="","",原始经营数据!$G521)</f>
        <v>服务量</v>
      </c>
      <c r="I520" t="str">
        <f>IF($A520="","",IF($B520&lt;&gt;"",$B520,IF(COUNTIFS(原始经营数据!$D$3:$D$3001,$A520,原始经营数据!$E$3:$E$3001,"",原始经营数据!$F$3:$F$3001,$C520,原始经营数据!$H$3:$H$3001,$D520,原始经营数据!$K$3:$K$3001,$G520)&gt;1,"基金整体·来源"&amp;原始经营数据!$A521,"基金整体")))</f>
        <v>上海又一城购物中心</v>
      </c>
      <c r="J520" t="str">
        <f t="shared" si="123"/>
        <v>季度</v>
      </c>
      <c r="K520" t="str">
        <f t="shared" si="124"/>
        <v>实际出租面积（平方米）</v>
      </c>
      <c r="L520" t="str">
        <f t="shared" si="125"/>
        <v>上海又一城购物中心|实际出租面积（平方米）|季度</v>
      </c>
      <c r="M520">
        <f>IF($A520="",0,IF(COUNTIF($L$2:$L520,$L520)=1,1,0))</f>
        <v>0</v>
      </c>
      <c r="N520">
        <f t="shared" si="126"/>
        <v>20261</v>
      </c>
      <c r="O520" t="str">
        <f t="shared" si="127"/>
        <v>华安百联消费封闭式基础设施证券投资基金|2026Q1|季度</v>
      </c>
      <c r="P520">
        <f>IF($A520="",0,IF(COUNTIF($O$2:$O520,$O520)=1,1,0))</f>
        <v>0</v>
      </c>
      <c r="Q520" t="str">
        <f>IF(AND($P520=1,$A520=经营数据!$B$3,$J520=经营数据!$BA$5),COUNTIFS($P$2:$P$3000,1,$A$2:$A$3000,$A520,$J$2:$J$3000,$J520,$N$2:$N$3000,"&lt;"&amp;$N520)+1,"")</f>
        <v/>
      </c>
      <c r="R520" t="str">
        <f t="shared" si="128"/>
        <v>华安百联消费封闭式基础设施证券投资基金|上海又一城购物中心</v>
      </c>
      <c r="S520">
        <f>IF($A520="",0,IF(COUNTIF($R$2:$R520,$R520)=1,1,0))</f>
        <v>0</v>
      </c>
      <c r="T520">
        <f t="shared" si="129"/>
        <v>480</v>
      </c>
      <c r="U520" t="str">
        <f>IF($A520="","",IF($A520=经营数据!$B$3,COUNTIFS($S$2:$S$3000,1,$A$2:$A$3000,$A520,$T$2:$T$3000,"&lt;"&amp;$T520)+1,""))</f>
        <v/>
      </c>
      <c r="V520" t="str">
        <f t="shared" si="130"/>
        <v>上海又一城购物中心|服务量</v>
      </c>
      <c r="W520">
        <f t="shared" si="131"/>
        <v>481</v>
      </c>
      <c r="X520" t="str">
        <f t="shared" si="132"/>
        <v>上海又一城购物中心|实际出租面积</v>
      </c>
      <c r="Y520">
        <f t="shared" si="133"/>
        <v>484</v>
      </c>
      <c r="Z520">
        <f>IF($A520="",0,IF(AND($M520=1,$A520=经营数据!$B$3,$J520=经营数据!$BA$5,OR($I520=经营数据!$BA$4,COUNTIF(经营数据!$AA$9:$AA$38,$I520)&gt;0)),1,0))</f>
        <v>0</v>
      </c>
      <c r="AA520" t="str">
        <f t="shared" si="134"/>
        <v/>
      </c>
      <c r="AB520" t="str">
        <f t="shared" si="135"/>
        <v/>
      </c>
      <c r="AC520">
        <f>IF($A520="",0,IF(COUNTIF($A$2:$A520,$A520)=1,1,0))</f>
        <v>0</v>
      </c>
      <c r="AD520">
        <f t="shared" si="136"/>
        <v>6</v>
      </c>
      <c r="AE520" t="str">
        <f t="shared" si="137"/>
        <v>上海又一城购物中心|实际出租面积（平方米）</v>
      </c>
      <c r="BP520" s="47">
        <v>46148</v>
      </c>
      <c r="BQ520" s="29">
        <v>3.9359729541488572E-2</v>
      </c>
    </row>
    <row r="521" spans="1:69" x14ac:dyDescent="0.4">
      <c r="A521" t="str">
        <f>IF(原始经营数据!$D522="","",原始经营数据!$D522)</f>
        <v>华安百联消费封闭式基础设施证券投资基金</v>
      </c>
      <c r="B521" t="str">
        <f>IF(原始经营数据!$D522="","",T(原始经营数据!$E522))</f>
        <v>上海又一城购物中心</v>
      </c>
      <c r="C521" t="str">
        <f>IF(原始经营数据!$D522="","",原始经营数据!$F522)</f>
        <v>2026Q1</v>
      </c>
      <c r="D521" t="str">
        <f>IF(原始经营数据!$D522="","",原始经营数据!$H522)</f>
        <v>可供出租面积</v>
      </c>
      <c r="E521">
        <f>IF(原始经营数据!$D522="","",原始经营数据!$I522)</f>
        <v>58444.9</v>
      </c>
      <c r="F521" t="str">
        <f>IF(原始经营数据!$D522="","",T(原始经营数据!$J522))</f>
        <v>平方米</v>
      </c>
      <c r="G521" t="str">
        <f>IF(原始经营数据!$D522="","",T(原始经营数据!$K522))</f>
        <v/>
      </c>
      <c r="H521" t="str">
        <f>IF(原始经营数据!$D522="","",原始经营数据!$G522)</f>
        <v>服务量</v>
      </c>
      <c r="I521" t="str">
        <f>IF($A521="","",IF($B521&lt;&gt;"",$B521,IF(COUNTIFS(原始经营数据!$D$3:$D$3001,$A521,原始经营数据!$E$3:$E$3001,"",原始经营数据!$F$3:$F$3001,$C521,原始经营数据!$H$3:$H$3001,$D521,原始经营数据!$K$3:$K$3001,$G521)&gt;1,"基金整体·来源"&amp;原始经营数据!$A522,"基金整体")))</f>
        <v>上海又一城购物中心</v>
      </c>
      <c r="J521" t="str">
        <f t="shared" si="123"/>
        <v>季度</v>
      </c>
      <c r="K521" t="str">
        <f t="shared" si="124"/>
        <v>可供出租面积（平方米）</v>
      </c>
      <c r="L521" t="str">
        <f t="shared" si="125"/>
        <v>上海又一城购物中心|可供出租面积（平方米）|季度</v>
      </c>
      <c r="M521">
        <f>IF($A521="",0,IF(COUNTIF($L$2:$L521,$L521)=1,1,0))</f>
        <v>0</v>
      </c>
      <c r="N521">
        <f t="shared" si="126"/>
        <v>20261</v>
      </c>
      <c r="O521" t="str">
        <f t="shared" si="127"/>
        <v>华安百联消费封闭式基础设施证券投资基金|2026Q1|季度</v>
      </c>
      <c r="P521">
        <f>IF($A521="",0,IF(COUNTIF($O$2:$O521,$O521)=1,1,0))</f>
        <v>0</v>
      </c>
      <c r="Q521" t="str">
        <f>IF(AND($P521=1,$A521=经营数据!$B$3,$J521=经营数据!$BA$5),COUNTIFS($P$2:$P$3000,1,$A$2:$A$3000,$A521,$J$2:$J$3000,$J521,$N$2:$N$3000,"&lt;"&amp;$N521)+1,"")</f>
        <v/>
      </c>
      <c r="R521" t="str">
        <f t="shared" si="128"/>
        <v>华安百联消费封闭式基础设施证券投资基金|上海又一城购物中心</v>
      </c>
      <c r="S521">
        <f>IF($A521="",0,IF(COUNTIF($R$2:$R521,$R521)=1,1,0))</f>
        <v>0</v>
      </c>
      <c r="T521">
        <f t="shared" si="129"/>
        <v>480</v>
      </c>
      <c r="U521" t="str">
        <f>IF($A521="","",IF($A521=经营数据!$B$3,COUNTIFS($S$2:$S$3000,1,$A$2:$A$3000,$A521,$T$2:$T$3000,"&lt;"&amp;$T521)+1,""))</f>
        <v/>
      </c>
      <c r="V521" t="str">
        <f t="shared" si="130"/>
        <v>上海又一城购物中心|服务量</v>
      </c>
      <c r="W521">
        <f t="shared" si="131"/>
        <v>481</v>
      </c>
      <c r="X521" t="str">
        <f t="shared" si="132"/>
        <v>上海又一城购物中心|可供出租面积</v>
      </c>
      <c r="Y521">
        <f t="shared" si="133"/>
        <v>485</v>
      </c>
      <c r="Z521">
        <f>IF($A521="",0,IF(AND($M521=1,$A521=经营数据!$B$3,$J521=经营数据!$BA$5,OR($I521=经营数据!$BA$4,COUNTIF(经营数据!$AA$9:$AA$38,$I521)&gt;0)),1,0))</f>
        <v>0</v>
      </c>
      <c r="AA521" t="str">
        <f t="shared" si="134"/>
        <v/>
      </c>
      <c r="AB521" t="str">
        <f t="shared" si="135"/>
        <v/>
      </c>
      <c r="AC521">
        <f>IF($A521="",0,IF(COUNTIF($A$2:$A521,$A521)=1,1,0))</f>
        <v>0</v>
      </c>
      <c r="AD521">
        <f t="shared" si="136"/>
        <v>6</v>
      </c>
      <c r="AE521" t="str">
        <f t="shared" si="137"/>
        <v>上海又一城购物中心|可供出租面积（平方米）</v>
      </c>
      <c r="BP521" s="47">
        <v>46149</v>
      </c>
      <c r="BQ521" s="29">
        <v>3.9275362007808123E-2</v>
      </c>
    </row>
    <row r="522" spans="1:69" x14ac:dyDescent="0.4">
      <c r="A522" t="str">
        <f>IF(原始经营数据!$D523="","",原始经营数据!$D523)</f>
        <v>华安百联消费封闭式基础设施证券投资基金</v>
      </c>
      <c r="B522" t="str">
        <f>IF(原始经营数据!$D523="","",T(原始经营数据!$E523))</f>
        <v>上海又一城购物中心</v>
      </c>
      <c r="C522" t="str">
        <f>IF(原始经营数据!$D523="","",原始经营数据!$F523)</f>
        <v>2026Q1</v>
      </c>
      <c r="D522" t="str">
        <f>IF(原始经营数据!$D523="","",原始经营数据!$H523)</f>
        <v>加权平均剩余租期</v>
      </c>
      <c r="E522">
        <f>IF(原始经营数据!$D523="","",原始经营数据!$I523)</f>
        <v>1.99</v>
      </c>
      <c r="F522" t="str">
        <f>IF(原始经营数据!$D523="","",T(原始经营数据!$J523))</f>
        <v>年</v>
      </c>
      <c r="G522" t="str">
        <f>IF(原始经营数据!$D523="","",T(原始经营数据!$K523))</f>
        <v/>
      </c>
      <c r="H522" t="str">
        <f>IF(原始经营数据!$D523="","",原始经营数据!$G523)</f>
        <v>服务量</v>
      </c>
      <c r="I522" t="str">
        <f>IF($A522="","",IF($B522&lt;&gt;"",$B522,IF(COUNTIFS(原始经营数据!$D$3:$D$3001,$A522,原始经营数据!$E$3:$E$3001,"",原始经营数据!$F$3:$F$3001,$C522,原始经营数据!$H$3:$H$3001,$D522,原始经营数据!$K$3:$K$3001,$G522)&gt;1,"基金整体·来源"&amp;原始经营数据!$A523,"基金整体")))</f>
        <v>上海又一城购物中心</v>
      </c>
      <c r="J522" t="str">
        <f t="shared" si="123"/>
        <v>季度</v>
      </c>
      <c r="K522" t="str">
        <f t="shared" si="124"/>
        <v>加权平均剩余租期（年）</v>
      </c>
      <c r="L522" t="str">
        <f t="shared" si="125"/>
        <v>上海又一城购物中心|加权平均剩余租期（年）|季度</v>
      </c>
      <c r="M522">
        <f>IF($A522="",0,IF(COUNTIF($L$2:$L522,$L522)=1,1,0))</f>
        <v>0</v>
      </c>
      <c r="N522">
        <f t="shared" si="126"/>
        <v>20261</v>
      </c>
      <c r="O522" t="str">
        <f t="shared" si="127"/>
        <v>华安百联消费封闭式基础设施证券投资基金|2026Q1|季度</v>
      </c>
      <c r="P522">
        <f>IF($A522="",0,IF(COUNTIF($O$2:$O522,$O522)=1,1,0))</f>
        <v>0</v>
      </c>
      <c r="Q522" t="str">
        <f>IF(AND($P522=1,$A522=经营数据!$B$3,$J522=经营数据!$BA$5),COUNTIFS($P$2:$P$3000,1,$A$2:$A$3000,$A522,$J$2:$J$3000,$J522,$N$2:$N$3000,"&lt;"&amp;$N522)+1,"")</f>
        <v/>
      </c>
      <c r="R522" t="str">
        <f t="shared" si="128"/>
        <v>华安百联消费封闭式基础设施证券投资基金|上海又一城购物中心</v>
      </c>
      <c r="S522">
        <f>IF($A522="",0,IF(COUNTIF($R$2:$R522,$R522)=1,1,0))</f>
        <v>0</v>
      </c>
      <c r="T522">
        <f t="shared" si="129"/>
        <v>480</v>
      </c>
      <c r="U522" t="str">
        <f>IF($A522="","",IF($A522=经营数据!$B$3,COUNTIFS($S$2:$S$3000,1,$A$2:$A$3000,$A522,$T$2:$T$3000,"&lt;"&amp;$T522)+1,""))</f>
        <v/>
      </c>
      <c r="V522" t="str">
        <f t="shared" si="130"/>
        <v>上海又一城购物中心|服务量</v>
      </c>
      <c r="W522">
        <f t="shared" si="131"/>
        <v>481</v>
      </c>
      <c r="X522" t="str">
        <f t="shared" si="132"/>
        <v>上海又一城购物中心|加权平均剩余租期</v>
      </c>
      <c r="Y522">
        <f t="shared" si="133"/>
        <v>481</v>
      </c>
      <c r="Z522">
        <f>IF($A522="",0,IF(AND($M522=1,$A522=经营数据!$B$3,$J522=经营数据!$BA$5,OR($I522=经营数据!$BA$4,COUNTIF(经营数据!$AA$9:$AA$38,$I522)&gt;0)),1,0))</f>
        <v>0</v>
      </c>
      <c r="AA522" t="str">
        <f t="shared" si="134"/>
        <v/>
      </c>
      <c r="AB522" t="str">
        <f t="shared" si="135"/>
        <v/>
      </c>
      <c r="AC522">
        <f>IF($A522="",0,IF(COUNTIF($A$2:$A522,$A522)=1,1,0))</f>
        <v>0</v>
      </c>
      <c r="AD522">
        <f t="shared" si="136"/>
        <v>6</v>
      </c>
      <c r="AE522" t="str">
        <f t="shared" si="137"/>
        <v>上海又一城购物中心|加权平均剩余租期（年）</v>
      </c>
      <c r="BP522" s="47">
        <v>46150</v>
      </c>
      <c r="BQ522" s="29">
        <v>3.9222556290767943E-2</v>
      </c>
    </row>
    <row r="523" spans="1:69" x14ac:dyDescent="0.4">
      <c r="A523" t="str">
        <f>IF(原始经营数据!$D524="","",原始经营数据!$D524)</f>
        <v>华安百联消费封闭式基础设施证券投资基金</v>
      </c>
      <c r="B523" t="str">
        <f>IF(原始经营数据!$D524="","",T(原始经营数据!$E524))</f>
        <v>上海又一城购物中心</v>
      </c>
      <c r="C523" t="str">
        <f>IF(原始经营数据!$D524="","",原始经营数据!$F524)</f>
        <v>2026Q2</v>
      </c>
      <c r="D523" t="str">
        <f>IF(原始经营数据!$D524="","",原始经营数据!$H524)</f>
        <v>出租率</v>
      </c>
      <c r="E523">
        <f>IF(原始经营数据!$D524="","",原始经营数据!$I524)</f>
        <v>94.56</v>
      </c>
      <c r="F523" t="str">
        <f>IF(原始经营数据!$D524="","",T(原始经营数据!$J524))</f>
        <v>%</v>
      </c>
      <c r="G523" t="str">
        <f>IF(原始经营数据!$D524="","",T(原始经营数据!$K524))</f>
        <v/>
      </c>
      <c r="H523" t="str">
        <f>IF(原始经营数据!$D524="","",原始经营数据!$G524)</f>
        <v>服务效率</v>
      </c>
      <c r="I523" t="str">
        <f>IF($A523="","",IF($B523&lt;&gt;"",$B523,IF(COUNTIFS(原始经营数据!$D$3:$D$3001,$A523,原始经营数据!$E$3:$E$3001,"",原始经营数据!$F$3:$F$3001,$C523,原始经营数据!$H$3:$H$3001,$D523,原始经营数据!$K$3:$K$3001,$G523)&gt;1,"基金整体·来源"&amp;原始经营数据!$A524,"基金整体")))</f>
        <v>上海又一城购物中心</v>
      </c>
      <c r="J523" t="str">
        <f t="shared" si="123"/>
        <v>季度</v>
      </c>
      <c r="K523" t="str">
        <f t="shared" si="124"/>
        <v>出租率（%）</v>
      </c>
      <c r="L523" t="str">
        <f t="shared" si="125"/>
        <v>上海又一城购物中心|出租率（%）|季度</v>
      </c>
      <c r="M523">
        <f>IF($A523="",0,IF(COUNTIF($L$2:$L523,$L523)=1,1,0))</f>
        <v>0</v>
      </c>
      <c r="N523">
        <f t="shared" si="126"/>
        <v>20262</v>
      </c>
      <c r="O523" t="str">
        <f t="shared" si="127"/>
        <v>华安百联消费封闭式基础设施证券投资基金|2026Q2|季度</v>
      </c>
      <c r="P523">
        <f>IF($A523="",0,IF(COUNTIF($O$2:$O523,$O523)=1,1,0))</f>
        <v>1</v>
      </c>
      <c r="Q523" t="str">
        <f>IF(AND($P523=1,$A523=经营数据!$B$3,$J523=经营数据!$BA$5),COUNTIFS($P$2:$P$3000,1,$A$2:$A$3000,$A523,$J$2:$J$3000,$J523,$N$2:$N$3000,"&lt;"&amp;$N523)+1,"")</f>
        <v/>
      </c>
      <c r="R523" t="str">
        <f t="shared" si="128"/>
        <v>华安百联消费封闭式基础设施证券投资基金|上海又一城购物中心</v>
      </c>
      <c r="S523">
        <f>IF($A523="",0,IF(COUNTIF($R$2:$R523,$R523)=1,1,0))</f>
        <v>0</v>
      </c>
      <c r="T523">
        <f t="shared" si="129"/>
        <v>480</v>
      </c>
      <c r="U523" t="str">
        <f>IF($A523="","",IF($A523=经营数据!$B$3,COUNTIFS($S$2:$S$3000,1,$A$2:$A$3000,$A523,$T$2:$T$3000,"&lt;"&amp;$T523)+1,""))</f>
        <v/>
      </c>
      <c r="V523" t="str">
        <f t="shared" si="130"/>
        <v>上海又一城购物中心|服务效率</v>
      </c>
      <c r="W523">
        <f t="shared" si="131"/>
        <v>480</v>
      </c>
      <c r="X523" t="str">
        <f t="shared" si="132"/>
        <v>上海又一城购物中心|出租率</v>
      </c>
      <c r="Y523">
        <f t="shared" si="133"/>
        <v>483</v>
      </c>
      <c r="Z523">
        <f>IF($A523="",0,IF(AND($M523=1,$A523=经营数据!$B$3,$J523=经营数据!$BA$5,OR($I523=经营数据!$BA$4,COUNTIF(经营数据!$AA$9:$AA$38,$I523)&gt;0)),1,0))</f>
        <v>0</v>
      </c>
      <c r="AA523" t="str">
        <f t="shared" si="134"/>
        <v/>
      </c>
      <c r="AB523" t="str">
        <f t="shared" si="135"/>
        <v/>
      </c>
      <c r="AC523">
        <f>IF($A523="",0,IF(COUNTIF($A$2:$A523,$A523)=1,1,0))</f>
        <v>0</v>
      </c>
      <c r="AD523">
        <f t="shared" si="136"/>
        <v>6</v>
      </c>
      <c r="AE523" t="str">
        <f t="shared" si="137"/>
        <v>上海又一城购物中心|出租率（%）</v>
      </c>
      <c r="BP523" s="47">
        <v>46153</v>
      </c>
      <c r="BQ523" s="29">
        <v>3.9267890678035502E-2</v>
      </c>
    </row>
    <row r="524" spans="1:69" x14ac:dyDescent="0.4">
      <c r="A524" t="str">
        <f>IF(原始经营数据!$D525="","",原始经营数据!$D525)</f>
        <v>华安百联消费封闭式基础设施证券投资基金</v>
      </c>
      <c r="B524" t="str">
        <f>IF(原始经营数据!$D525="","",T(原始经营数据!$E525))</f>
        <v>上海又一城购物中心</v>
      </c>
      <c r="C524" t="str">
        <f>IF(原始经营数据!$D525="","",原始经营数据!$F525)</f>
        <v>2026Q2</v>
      </c>
      <c r="D524" t="str">
        <f>IF(原始经营数据!$D525="","",原始经营数据!$H525)</f>
        <v>租赁部分平均租金单价</v>
      </c>
      <c r="E524">
        <f>IF(原始经营数据!$D525="","",原始经营数据!$I525)</f>
        <v>199</v>
      </c>
      <c r="F524" t="str">
        <f>IF(原始经营数据!$D525="","",T(原始经营数据!$J525))</f>
        <v>元/平方米/月</v>
      </c>
      <c r="G524" t="str">
        <f>IF(原始经营数据!$D525="","",T(原始经营数据!$K525))</f>
        <v/>
      </c>
      <c r="H524" t="str">
        <f>IF(原始经营数据!$D525="","",原始经营数据!$G525)</f>
        <v>服务价格</v>
      </c>
      <c r="I524" t="str">
        <f>IF($A524="","",IF($B524&lt;&gt;"",$B524,IF(COUNTIFS(原始经营数据!$D$3:$D$3001,$A524,原始经营数据!$E$3:$E$3001,"",原始经营数据!$F$3:$F$3001,$C524,原始经营数据!$H$3:$H$3001,$D524,原始经营数据!$K$3:$K$3001,$G524)&gt;1,"基金整体·来源"&amp;原始经营数据!$A525,"基金整体")))</f>
        <v>上海又一城购物中心</v>
      </c>
      <c r="J524" t="str">
        <f t="shared" si="123"/>
        <v>季度</v>
      </c>
      <c r="K524" t="str">
        <f t="shared" si="124"/>
        <v>租赁部分平均租金单价（元/平方米/月）</v>
      </c>
      <c r="L524" t="str">
        <f t="shared" si="125"/>
        <v>上海又一城购物中心|租赁部分平均租金单价（元/平方米/月）|季度</v>
      </c>
      <c r="M524">
        <f>IF($A524="",0,IF(COUNTIF($L$2:$L524,$L524)=1,1,0))</f>
        <v>0</v>
      </c>
      <c r="N524">
        <f t="shared" si="126"/>
        <v>20262</v>
      </c>
      <c r="O524" t="str">
        <f t="shared" si="127"/>
        <v>华安百联消费封闭式基础设施证券投资基金|2026Q2|季度</v>
      </c>
      <c r="P524">
        <f>IF($A524="",0,IF(COUNTIF($O$2:$O524,$O524)=1,1,0))</f>
        <v>0</v>
      </c>
      <c r="Q524" t="str">
        <f>IF(AND($P524=1,$A524=经营数据!$B$3,$J524=经营数据!$BA$5),COUNTIFS($P$2:$P$3000,1,$A$2:$A$3000,$A524,$J$2:$J$3000,$J524,$N$2:$N$3000,"&lt;"&amp;$N524)+1,"")</f>
        <v/>
      </c>
      <c r="R524" t="str">
        <f t="shared" si="128"/>
        <v>华安百联消费封闭式基础设施证券投资基金|上海又一城购物中心</v>
      </c>
      <c r="S524">
        <f>IF($A524="",0,IF(COUNTIF($R$2:$R524,$R524)=1,1,0))</f>
        <v>0</v>
      </c>
      <c r="T524">
        <f t="shared" si="129"/>
        <v>480</v>
      </c>
      <c r="U524" t="str">
        <f>IF($A524="","",IF($A524=经营数据!$B$3,COUNTIFS($S$2:$S$3000,1,$A$2:$A$3000,$A524,$T$2:$T$3000,"&lt;"&amp;$T524)+1,""))</f>
        <v/>
      </c>
      <c r="V524" t="str">
        <f t="shared" si="130"/>
        <v>上海又一城购物中心|服务价格</v>
      </c>
      <c r="W524">
        <f t="shared" si="131"/>
        <v>482</v>
      </c>
      <c r="X524" t="str">
        <f t="shared" si="132"/>
        <v>上海又一城购物中心|租赁部分平均租金单价</v>
      </c>
      <c r="Y524">
        <f t="shared" si="133"/>
        <v>482</v>
      </c>
      <c r="Z524">
        <f>IF($A524="",0,IF(AND($M524=1,$A524=经营数据!$B$3,$J524=经营数据!$BA$5,OR($I524=经营数据!$BA$4,COUNTIF(经营数据!$AA$9:$AA$38,$I524)&gt;0)),1,0))</f>
        <v>0</v>
      </c>
      <c r="AA524" t="str">
        <f t="shared" si="134"/>
        <v/>
      </c>
      <c r="AB524" t="str">
        <f t="shared" si="135"/>
        <v/>
      </c>
      <c r="AC524">
        <f>IF($A524="",0,IF(COUNTIF($A$2:$A524,$A524)=1,1,0))</f>
        <v>0</v>
      </c>
      <c r="AD524">
        <f t="shared" si="136"/>
        <v>6</v>
      </c>
      <c r="AE524" t="str">
        <f t="shared" si="137"/>
        <v>上海又一城购物中心|租赁部分平均租金单价（元/平方米/月）</v>
      </c>
      <c r="BP524" s="47">
        <v>46154</v>
      </c>
      <c r="BQ524" s="29">
        <v>3.9290029210416001E-2</v>
      </c>
    </row>
    <row r="525" spans="1:69" x14ac:dyDescent="0.4">
      <c r="A525" t="str">
        <f>IF(原始经营数据!$D526="","",原始经营数据!$D526)</f>
        <v>华安百联消费封闭式基础设施证券投资基金</v>
      </c>
      <c r="B525" t="str">
        <f>IF(原始经营数据!$D526="","",T(原始经营数据!$E526))</f>
        <v>上海又一城购物中心</v>
      </c>
      <c r="C525" t="str">
        <f>IF(原始经营数据!$D526="","",原始经营数据!$F526)</f>
        <v>2026Q2</v>
      </c>
      <c r="D525" t="str">
        <f>IF(原始经营数据!$D526="","",原始经营数据!$H526)</f>
        <v>租赁及联销月均收入水平</v>
      </c>
      <c r="E525">
        <f>IF(原始经营数据!$D526="","",原始经营数据!$I526)</f>
        <v>297.23</v>
      </c>
      <c r="F525" t="str">
        <f>IF(原始经营数据!$D526="","",T(原始经营数据!$J526))</f>
        <v>元/平方米/月</v>
      </c>
      <c r="G525" t="str">
        <f>IF(原始经营数据!$D526="","",T(原始经营数据!$K526))</f>
        <v/>
      </c>
      <c r="H525" t="str">
        <f>IF(原始经营数据!$D526="","",原始经营数据!$G526)</f>
        <v>服务价格</v>
      </c>
      <c r="I525" t="str">
        <f>IF($A525="","",IF($B525&lt;&gt;"",$B525,IF(COUNTIFS(原始经营数据!$D$3:$D$3001,$A525,原始经营数据!$E$3:$E$3001,"",原始经营数据!$F$3:$F$3001,$C525,原始经营数据!$H$3:$H$3001,$D525,原始经营数据!$K$3:$K$3001,$G525)&gt;1,"基金整体·来源"&amp;原始经营数据!$A526,"基金整体")))</f>
        <v>上海又一城购物中心</v>
      </c>
      <c r="J525" t="str">
        <f t="shared" si="123"/>
        <v>季度</v>
      </c>
      <c r="K525" t="str">
        <f t="shared" si="124"/>
        <v>租赁及联销月均收入水平（元/平方米/月）</v>
      </c>
      <c r="L525" t="str">
        <f t="shared" si="125"/>
        <v>上海又一城购物中心|租赁及联销月均收入水平（元/平方米/月）|季度</v>
      </c>
      <c r="M525">
        <f>IF($A525="",0,IF(COUNTIF($L$2:$L525,$L525)=1,1,0))</f>
        <v>1</v>
      </c>
      <c r="N525">
        <f t="shared" si="126"/>
        <v>20262</v>
      </c>
      <c r="O525" t="str">
        <f t="shared" si="127"/>
        <v>华安百联消费封闭式基础设施证券投资基金|2026Q2|季度</v>
      </c>
      <c r="P525">
        <f>IF($A525="",0,IF(COUNTIF($O$2:$O525,$O525)=1,1,0))</f>
        <v>0</v>
      </c>
      <c r="Q525" t="str">
        <f>IF(AND($P525=1,$A525=经营数据!$B$3,$J525=经营数据!$BA$5),COUNTIFS($P$2:$P$3000,1,$A$2:$A$3000,$A525,$J$2:$J$3000,$J525,$N$2:$N$3000,"&lt;"&amp;$N525)+1,"")</f>
        <v/>
      </c>
      <c r="R525" t="str">
        <f t="shared" si="128"/>
        <v>华安百联消费封闭式基础设施证券投资基金|上海又一城购物中心</v>
      </c>
      <c r="S525">
        <f>IF($A525="",0,IF(COUNTIF($R$2:$R525,$R525)=1,1,0))</f>
        <v>0</v>
      </c>
      <c r="T525">
        <f t="shared" si="129"/>
        <v>480</v>
      </c>
      <c r="U525" t="str">
        <f>IF($A525="","",IF($A525=经营数据!$B$3,COUNTIFS($S$2:$S$3000,1,$A$2:$A$3000,$A525,$T$2:$T$3000,"&lt;"&amp;$T525)+1,""))</f>
        <v/>
      </c>
      <c r="V525" t="str">
        <f t="shared" si="130"/>
        <v>上海又一城购物中心|服务价格</v>
      </c>
      <c r="W525">
        <f t="shared" si="131"/>
        <v>482</v>
      </c>
      <c r="X525" t="str">
        <f t="shared" si="132"/>
        <v>上海又一城购物中心|租赁及联销月均收入水平</v>
      </c>
      <c r="Y525">
        <f t="shared" si="133"/>
        <v>524</v>
      </c>
      <c r="Z525">
        <f>IF($A525="",0,IF(AND($M525=1,$A525=经营数据!$B$3,$J525=经营数据!$BA$5,OR($I525=经营数据!$BA$4,COUNTIF(经营数据!$AA$9:$AA$38,$I525)&gt;0)),1,0))</f>
        <v>0</v>
      </c>
      <c r="AA525" t="str">
        <f t="shared" si="134"/>
        <v/>
      </c>
      <c r="AB525" t="str">
        <f t="shared" si="135"/>
        <v/>
      </c>
      <c r="AC525">
        <f>IF($A525="",0,IF(COUNTIF($A$2:$A525,$A525)=1,1,0))</f>
        <v>0</v>
      </c>
      <c r="AD525">
        <f t="shared" si="136"/>
        <v>6</v>
      </c>
      <c r="AE525" t="str">
        <f t="shared" si="137"/>
        <v>上海又一城购物中心|租赁及联销月均收入水平（元/平方米/月）</v>
      </c>
      <c r="BP525" s="47">
        <v>46155</v>
      </c>
      <c r="BQ525" s="29">
        <v>3.9396909085396503E-2</v>
      </c>
    </row>
    <row r="526" spans="1:69" x14ac:dyDescent="0.4">
      <c r="A526" t="str">
        <f>IF(原始经营数据!$D527="","",原始经营数据!$D527)</f>
        <v>华安百联消费封闭式基础设施证券投资基金</v>
      </c>
      <c r="B526" t="str">
        <f>IF(原始经营数据!$D527="","",T(原始经营数据!$E527))</f>
        <v>上海又一城购物中心</v>
      </c>
      <c r="C526" t="str">
        <f>IF(原始经营数据!$D527="","",原始经营数据!$F527)</f>
        <v>2026Q2</v>
      </c>
      <c r="D526" t="str">
        <f>IF(原始经营数据!$D527="","",原始经营数据!$H527)</f>
        <v>加权平均剩余租期</v>
      </c>
      <c r="E526">
        <f>IF(原始经营数据!$D527="","",原始经营数据!$I527)</f>
        <v>2.0299999999999998</v>
      </c>
      <c r="F526" t="str">
        <f>IF(原始经营数据!$D527="","",T(原始经营数据!$J527))</f>
        <v>年</v>
      </c>
      <c r="G526" t="str">
        <f>IF(原始经营数据!$D527="","",T(原始经营数据!$K527))</f>
        <v/>
      </c>
      <c r="H526" t="str">
        <f>IF(原始经营数据!$D527="","",原始经营数据!$G527)</f>
        <v>服务量</v>
      </c>
      <c r="I526" t="str">
        <f>IF($A526="","",IF($B526&lt;&gt;"",$B526,IF(COUNTIFS(原始经营数据!$D$3:$D$3001,$A526,原始经营数据!$E$3:$E$3001,"",原始经营数据!$F$3:$F$3001,$C526,原始经营数据!$H$3:$H$3001,$D526,原始经营数据!$K$3:$K$3001,$G526)&gt;1,"基金整体·来源"&amp;原始经营数据!$A527,"基金整体")))</f>
        <v>上海又一城购物中心</v>
      </c>
      <c r="J526" t="str">
        <f t="shared" si="123"/>
        <v>季度</v>
      </c>
      <c r="K526" t="str">
        <f t="shared" si="124"/>
        <v>加权平均剩余租期（年）</v>
      </c>
      <c r="L526" t="str">
        <f t="shared" si="125"/>
        <v>上海又一城购物中心|加权平均剩余租期（年）|季度</v>
      </c>
      <c r="M526">
        <f>IF($A526="",0,IF(COUNTIF($L$2:$L526,$L526)=1,1,0))</f>
        <v>0</v>
      </c>
      <c r="N526">
        <f t="shared" si="126"/>
        <v>20262</v>
      </c>
      <c r="O526" t="str">
        <f t="shared" si="127"/>
        <v>华安百联消费封闭式基础设施证券投资基金|2026Q2|季度</v>
      </c>
      <c r="P526">
        <f>IF($A526="",0,IF(COUNTIF($O$2:$O526,$O526)=1,1,0))</f>
        <v>0</v>
      </c>
      <c r="Q526" t="str">
        <f>IF(AND($P526=1,$A526=经营数据!$B$3,$J526=经营数据!$BA$5),COUNTIFS($P$2:$P$3000,1,$A$2:$A$3000,$A526,$J$2:$J$3000,$J526,$N$2:$N$3000,"&lt;"&amp;$N526)+1,"")</f>
        <v/>
      </c>
      <c r="R526" t="str">
        <f t="shared" si="128"/>
        <v>华安百联消费封闭式基础设施证券投资基金|上海又一城购物中心</v>
      </c>
      <c r="S526">
        <f>IF($A526="",0,IF(COUNTIF($R$2:$R526,$R526)=1,1,0))</f>
        <v>0</v>
      </c>
      <c r="T526">
        <f t="shared" si="129"/>
        <v>480</v>
      </c>
      <c r="U526" t="str">
        <f>IF($A526="","",IF($A526=经营数据!$B$3,COUNTIFS($S$2:$S$3000,1,$A$2:$A$3000,$A526,$T$2:$T$3000,"&lt;"&amp;$T526)+1,""))</f>
        <v/>
      </c>
      <c r="V526" t="str">
        <f t="shared" si="130"/>
        <v>上海又一城购物中心|服务量</v>
      </c>
      <c r="W526">
        <f t="shared" si="131"/>
        <v>481</v>
      </c>
      <c r="X526" t="str">
        <f t="shared" si="132"/>
        <v>上海又一城购物中心|加权平均剩余租期</v>
      </c>
      <c r="Y526">
        <f t="shared" si="133"/>
        <v>481</v>
      </c>
      <c r="Z526">
        <f>IF($A526="",0,IF(AND($M526=1,$A526=经营数据!$B$3,$J526=经营数据!$BA$5,OR($I526=经营数据!$BA$4,COUNTIF(经营数据!$AA$9:$AA$38,$I526)&gt;0)),1,0))</f>
        <v>0</v>
      </c>
      <c r="AA526" t="str">
        <f t="shared" si="134"/>
        <v/>
      </c>
      <c r="AB526" t="str">
        <f t="shared" si="135"/>
        <v/>
      </c>
      <c r="AC526">
        <f>IF($A526="",0,IF(COUNTIF($A$2:$A526,$A526)=1,1,0))</f>
        <v>0</v>
      </c>
      <c r="AD526">
        <f t="shared" si="136"/>
        <v>6</v>
      </c>
      <c r="AE526" t="str">
        <f t="shared" si="137"/>
        <v>上海又一城购物中心|加权平均剩余租期（年）</v>
      </c>
      <c r="BP526" s="47">
        <v>46156</v>
      </c>
      <c r="BQ526" s="29">
        <v>3.9628787390463327E-2</v>
      </c>
    </row>
    <row r="527" spans="1:69" x14ac:dyDescent="0.4">
      <c r="A527" t="str">
        <f>IF(原始经营数据!$D528="","",原始经营数据!$D528)</f>
        <v>华安百联消费封闭式基础设施证券投资基金</v>
      </c>
      <c r="B527" t="str">
        <f>IF(原始经营数据!$D528="","",T(原始经营数据!$E528))</f>
        <v>上海又一城购物中心</v>
      </c>
      <c r="C527" t="str">
        <f>IF(原始经营数据!$D528="","",原始经营数据!$F528)</f>
        <v>2026Q2</v>
      </c>
      <c r="D527" t="str">
        <f>IF(原始经营数据!$D528="","",原始经营数据!$H528)</f>
        <v>租赁业务收缴率</v>
      </c>
      <c r="E527">
        <f>IF(原始经营数据!$D528="","",原始经营数据!$I528)</f>
        <v>100</v>
      </c>
      <c r="F527" t="str">
        <f>IF(原始经营数据!$D528="","",T(原始经营数据!$J528))</f>
        <v>%</v>
      </c>
      <c r="G527" t="str">
        <f>IF(原始经营数据!$D528="","",T(原始经营数据!$K528))</f>
        <v/>
      </c>
      <c r="H527" t="str">
        <f>IF(原始经营数据!$D528="","",原始经营数据!$G528)</f>
        <v>服务效率</v>
      </c>
      <c r="I527" t="str">
        <f>IF($A527="","",IF($B527&lt;&gt;"",$B527,IF(COUNTIFS(原始经营数据!$D$3:$D$3001,$A527,原始经营数据!$E$3:$E$3001,"",原始经营数据!$F$3:$F$3001,$C527,原始经营数据!$H$3:$H$3001,$D527,原始经营数据!$K$3:$K$3001,$G527)&gt;1,"基金整体·来源"&amp;原始经营数据!$A528,"基金整体")))</f>
        <v>上海又一城购物中心</v>
      </c>
      <c r="J527" t="str">
        <f t="shared" si="123"/>
        <v>季度</v>
      </c>
      <c r="K527" t="str">
        <f t="shared" si="124"/>
        <v>租赁业务收缴率（%）</v>
      </c>
      <c r="L527" t="str">
        <f t="shared" si="125"/>
        <v>上海又一城购物中心|租赁业务收缴率（%）|季度</v>
      </c>
      <c r="M527">
        <f>IF($A527="",0,IF(COUNTIF($L$2:$L527,$L527)=1,1,0))</f>
        <v>0</v>
      </c>
      <c r="N527">
        <f t="shared" si="126"/>
        <v>20262</v>
      </c>
      <c r="O527" t="str">
        <f t="shared" si="127"/>
        <v>华安百联消费封闭式基础设施证券投资基金|2026Q2|季度</v>
      </c>
      <c r="P527">
        <f>IF($A527="",0,IF(COUNTIF($O$2:$O527,$O527)=1,1,0))</f>
        <v>0</v>
      </c>
      <c r="Q527" t="str">
        <f>IF(AND($P527=1,$A527=经营数据!$B$3,$J527=经营数据!$BA$5),COUNTIFS($P$2:$P$3000,1,$A$2:$A$3000,$A527,$J$2:$J$3000,$J527,$N$2:$N$3000,"&lt;"&amp;$N527)+1,"")</f>
        <v/>
      </c>
      <c r="R527" t="str">
        <f t="shared" si="128"/>
        <v>华安百联消费封闭式基础设施证券投资基金|上海又一城购物中心</v>
      </c>
      <c r="S527">
        <f>IF($A527="",0,IF(COUNTIF($R$2:$R527,$R527)=1,1,0))</f>
        <v>0</v>
      </c>
      <c r="T527">
        <f t="shared" si="129"/>
        <v>480</v>
      </c>
      <c r="U527" t="str">
        <f>IF($A527="","",IF($A527=经营数据!$B$3,COUNTIFS($S$2:$S$3000,1,$A$2:$A$3000,$A527,$T$2:$T$3000,"&lt;"&amp;$T527)+1,""))</f>
        <v/>
      </c>
      <c r="V527" t="str">
        <f t="shared" si="130"/>
        <v>上海又一城购物中心|服务效率</v>
      </c>
      <c r="W527">
        <f t="shared" si="131"/>
        <v>480</v>
      </c>
      <c r="X527" t="str">
        <f t="shared" si="132"/>
        <v>上海又一城购物中心|租赁业务收缴率</v>
      </c>
      <c r="Y527">
        <f t="shared" si="133"/>
        <v>480</v>
      </c>
      <c r="Z527">
        <f>IF($A527="",0,IF(AND($M527=1,$A527=经营数据!$B$3,$J527=经营数据!$BA$5,OR($I527=经营数据!$BA$4,COUNTIF(经营数据!$AA$9:$AA$38,$I527)&gt;0)),1,0))</f>
        <v>0</v>
      </c>
      <c r="AA527" t="str">
        <f t="shared" si="134"/>
        <v/>
      </c>
      <c r="AB527" t="str">
        <f t="shared" si="135"/>
        <v/>
      </c>
      <c r="AC527">
        <f>IF($A527="",0,IF(COUNTIF($A$2:$A527,$A527)=1,1,0))</f>
        <v>0</v>
      </c>
      <c r="AD527">
        <f t="shared" si="136"/>
        <v>6</v>
      </c>
      <c r="AE527" t="str">
        <f t="shared" si="137"/>
        <v>上海又一城购物中心|租赁业务收缴率（%）</v>
      </c>
      <c r="BP527" s="47">
        <v>46157</v>
      </c>
      <c r="BQ527" s="29">
        <v>3.9701822241563593E-2</v>
      </c>
    </row>
    <row r="528" spans="1:69" x14ac:dyDescent="0.4">
      <c r="A528" t="str">
        <f>IF(原始经营数据!$D529="","",原始经营数据!$D529)</f>
        <v>华安百联消费封闭式基础设施证券投资基金</v>
      </c>
      <c r="B528" t="str">
        <f>IF(原始经营数据!$D529="","",T(原始经营数据!$E529))</f>
        <v>上海又一城购物中心</v>
      </c>
      <c r="C528" t="str">
        <f>IF(原始经营数据!$D529="","",原始经营数据!$F529)</f>
        <v>2026Q2</v>
      </c>
      <c r="D528" t="str">
        <f>IF(原始经营数据!$D529="","",原始经营数据!$H529)</f>
        <v>实际出租面积</v>
      </c>
      <c r="E528">
        <f>IF(原始经营数据!$D529="","",原始经营数据!$I529)</f>
        <v>54757.8</v>
      </c>
      <c r="F528" t="str">
        <f>IF(原始经营数据!$D529="","",T(原始经营数据!$J529))</f>
        <v>平方米</v>
      </c>
      <c r="G528" t="str">
        <f>IF(原始经营数据!$D529="","",T(原始经营数据!$K529))</f>
        <v/>
      </c>
      <c r="H528" t="str">
        <f>IF(原始经营数据!$D529="","",原始经营数据!$G529)</f>
        <v>服务量</v>
      </c>
      <c r="I528" t="str">
        <f>IF($A528="","",IF($B528&lt;&gt;"",$B528,IF(COUNTIFS(原始经营数据!$D$3:$D$3001,$A528,原始经营数据!$E$3:$E$3001,"",原始经营数据!$F$3:$F$3001,$C528,原始经营数据!$H$3:$H$3001,$D528,原始经营数据!$K$3:$K$3001,$G528)&gt;1,"基金整体·来源"&amp;原始经营数据!$A529,"基金整体")))</f>
        <v>上海又一城购物中心</v>
      </c>
      <c r="J528" t="str">
        <f t="shared" si="123"/>
        <v>季度</v>
      </c>
      <c r="K528" t="str">
        <f t="shared" si="124"/>
        <v>实际出租面积（平方米）</v>
      </c>
      <c r="L528" t="str">
        <f t="shared" si="125"/>
        <v>上海又一城购物中心|实际出租面积（平方米）|季度</v>
      </c>
      <c r="M528">
        <f>IF($A528="",0,IF(COUNTIF($L$2:$L528,$L528)=1,1,0))</f>
        <v>0</v>
      </c>
      <c r="N528">
        <f t="shared" si="126"/>
        <v>20262</v>
      </c>
      <c r="O528" t="str">
        <f t="shared" si="127"/>
        <v>华安百联消费封闭式基础设施证券投资基金|2026Q2|季度</v>
      </c>
      <c r="P528">
        <f>IF($A528="",0,IF(COUNTIF($O$2:$O528,$O528)=1,1,0))</f>
        <v>0</v>
      </c>
      <c r="Q528" t="str">
        <f>IF(AND($P528=1,$A528=经营数据!$B$3,$J528=经营数据!$BA$5),COUNTIFS($P$2:$P$3000,1,$A$2:$A$3000,$A528,$J$2:$J$3000,$J528,$N$2:$N$3000,"&lt;"&amp;$N528)+1,"")</f>
        <v/>
      </c>
      <c r="R528" t="str">
        <f t="shared" si="128"/>
        <v>华安百联消费封闭式基础设施证券投资基金|上海又一城购物中心</v>
      </c>
      <c r="S528">
        <f>IF($A528="",0,IF(COUNTIF($R$2:$R528,$R528)=1,1,0))</f>
        <v>0</v>
      </c>
      <c r="T528">
        <f t="shared" si="129"/>
        <v>480</v>
      </c>
      <c r="U528" t="str">
        <f>IF($A528="","",IF($A528=经营数据!$B$3,COUNTIFS($S$2:$S$3000,1,$A$2:$A$3000,$A528,$T$2:$T$3000,"&lt;"&amp;$T528)+1,""))</f>
        <v/>
      </c>
      <c r="V528" t="str">
        <f t="shared" si="130"/>
        <v>上海又一城购物中心|服务量</v>
      </c>
      <c r="W528">
        <f t="shared" si="131"/>
        <v>481</v>
      </c>
      <c r="X528" t="str">
        <f t="shared" si="132"/>
        <v>上海又一城购物中心|实际出租面积</v>
      </c>
      <c r="Y528">
        <f t="shared" si="133"/>
        <v>484</v>
      </c>
      <c r="Z528">
        <f>IF($A528="",0,IF(AND($M528=1,$A528=经营数据!$B$3,$J528=经营数据!$BA$5,OR($I528=经营数据!$BA$4,COUNTIF(经营数据!$AA$9:$AA$38,$I528)&gt;0)),1,0))</f>
        <v>0</v>
      </c>
      <c r="AA528" t="str">
        <f t="shared" si="134"/>
        <v/>
      </c>
      <c r="AB528" t="str">
        <f t="shared" si="135"/>
        <v/>
      </c>
      <c r="AC528">
        <f>IF($A528="",0,IF(COUNTIF($A$2:$A528,$A528)=1,1,0))</f>
        <v>0</v>
      </c>
      <c r="AD528">
        <f t="shared" si="136"/>
        <v>6</v>
      </c>
      <c r="AE528" t="str">
        <f t="shared" si="137"/>
        <v>上海又一城购物中心|实际出租面积（平方米）</v>
      </c>
      <c r="BP528" s="47">
        <v>46160</v>
      </c>
      <c r="BQ528" s="29">
        <v>3.952399989311605E-2</v>
      </c>
    </row>
    <row r="529" spans="1:69" x14ac:dyDescent="0.4">
      <c r="A529" t="str">
        <f>IF(原始经营数据!$D530="","",原始经营数据!$D530)</f>
        <v>华安百联消费封闭式基础设施证券投资基金</v>
      </c>
      <c r="B529" t="str">
        <f>IF(原始经营数据!$D530="","",T(原始经营数据!$E530))</f>
        <v>上海又一城购物中心</v>
      </c>
      <c r="C529" t="str">
        <f>IF(原始经营数据!$D530="","",原始经营数据!$F530)</f>
        <v>2026Q2</v>
      </c>
      <c r="D529" t="str">
        <f>IF(原始经营数据!$D530="","",原始经营数据!$H530)</f>
        <v>可供出租面积</v>
      </c>
      <c r="E529">
        <f>IF(原始经营数据!$D530="","",原始经营数据!$I530)</f>
        <v>57906.8</v>
      </c>
      <c r="F529" t="str">
        <f>IF(原始经营数据!$D530="","",T(原始经营数据!$J530))</f>
        <v>平方米</v>
      </c>
      <c r="G529" t="str">
        <f>IF(原始经营数据!$D530="","",T(原始经营数据!$K530))</f>
        <v/>
      </c>
      <c r="H529" t="str">
        <f>IF(原始经营数据!$D530="","",原始经营数据!$G530)</f>
        <v>服务量</v>
      </c>
      <c r="I529" t="str">
        <f>IF($A529="","",IF($B529&lt;&gt;"",$B529,IF(COUNTIFS(原始经营数据!$D$3:$D$3001,$A529,原始经营数据!$E$3:$E$3001,"",原始经营数据!$F$3:$F$3001,$C529,原始经营数据!$H$3:$H$3001,$D529,原始经营数据!$K$3:$K$3001,$G529)&gt;1,"基金整体·来源"&amp;原始经营数据!$A530,"基金整体")))</f>
        <v>上海又一城购物中心</v>
      </c>
      <c r="J529" t="str">
        <f t="shared" si="123"/>
        <v>季度</v>
      </c>
      <c r="K529" t="str">
        <f t="shared" si="124"/>
        <v>可供出租面积（平方米）</v>
      </c>
      <c r="L529" t="str">
        <f t="shared" si="125"/>
        <v>上海又一城购物中心|可供出租面积（平方米）|季度</v>
      </c>
      <c r="M529">
        <f>IF($A529="",0,IF(COUNTIF($L$2:$L529,$L529)=1,1,0))</f>
        <v>0</v>
      </c>
      <c r="N529">
        <f t="shared" si="126"/>
        <v>20262</v>
      </c>
      <c r="O529" t="str">
        <f t="shared" si="127"/>
        <v>华安百联消费封闭式基础设施证券投资基金|2026Q2|季度</v>
      </c>
      <c r="P529">
        <f>IF($A529="",0,IF(COUNTIF($O$2:$O529,$O529)=1,1,0))</f>
        <v>0</v>
      </c>
      <c r="Q529" t="str">
        <f>IF(AND($P529=1,$A529=经营数据!$B$3,$J529=经营数据!$BA$5),COUNTIFS($P$2:$P$3000,1,$A$2:$A$3000,$A529,$J$2:$J$3000,$J529,$N$2:$N$3000,"&lt;"&amp;$N529)+1,"")</f>
        <v/>
      </c>
      <c r="R529" t="str">
        <f t="shared" si="128"/>
        <v>华安百联消费封闭式基础设施证券投资基金|上海又一城购物中心</v>
      </c>
      <c r="S529">
        <f>IF($A529="",0,IF(COUNTIF($R$2:$R529,$R529)=1,1,0))</f>
        <v>0</v>
      </c>
      <c r="T529">
        <f t="shared" si="129"/>
        <v>480</v>
      </c>
      <c r="U529" t="str">
        <f>IF($A529="","",IF($A529=经营数据!$B$3,COUNTIFS($S$2:$S$3000,1,$A$2:$A$3000,$A529,$T$2:$T$3000,"&lt;"&amp;$T529)+1,""))</f>
        <v/>
      </c>
      <c r="V529" t="str">
        <f t="shared" si="130"/>
        <v>上海又一城购物中心|服务量</v>
      </c>
      <c r="W529">
        <f t="shared" si="131"/>
        <v>481</v>
      </c>
      <c r="X529" t="str">
        <f t="shared" si="132"/>
        <v>上海又一城购物中心|可供出租面积</v>
      </c>
      <c r="Y529">
        <f t="shared" si="133"/>
        <v>485</v>
      </c>
      <c r="Z529">
        <f>IF($A529="",0,IF(AND($M529=1,$A529=经营数据!$B$3,$J529=经营数据!$BA$5,OR($I529=经营数据!$BA$4,COUNTIF(经营数据!$AA$9:$AA$38,$I529)&gt;0)),1,0))</f>
        <v>0</v>
      </c>
      <c r="AA529" t="str">
        <f t="shared" si="134"/>
        <v/>
      </c>
      <c r="AB529" t="str">
        <f t="shared" si="135"/>
        <v/>
      </c>
      <c r="AC529">
        <f>IF($A529="",0,IF(COUNTIF($A$2:$A529,$A529)=1,1,0))</f>
        <v>0</v>
      </c>
      <c r="AD529">
        <f t="shared" si="136"/>
        <v>6</v>
      </c>
      <c r="AE529" t="str">
        <f t="shared" si="137"/>
        <v>上海又一城购物中心|可供出租面积（平方米）</v>
      </c>
      <c r="BP529" s="47">
        <v>46161</v>
      </c>
      <c r="BQ529" s="29">
        <v>3.8663024488542752E-2</v>
      </c>
    </row>
    <row r="530" spans="1:69" x14ac:dyDescent="0.4">
      <c r="A530" t="str">
        <f>IF(原始经营数据!$D531="","",原始经营数据!$D531)</f>
        <v>华夏首创奥特莱斯封闭式基础设施证券投资基金</v>
      </c>
      <c r="B530" t="str">
        <f>IF(原始经营数据!$D531="","",T(原始经营数据!$E531))</f>
        <v>基金整体</v>
      </c>
      <c r="C530" t="str">
        <f>IF(原始经营数据!$D531="","",原始经营数据!$F531)</f>
        <v>2024Q4</v>
      </c>
      <c r="D530" t="str">
        <f>IF(原始经营数据!$D531="","",原始经营数据!$H531)</f>
        <v>期内租金单价水平</v>
      </c>
      <c r="E530">
        <f>IF(原始经营数据!$D531="","",原始经营数据!$I531)</f>
        <v>199.84</v>
      </c>
      <c r="F530" t="str">
        <f>IF(原始经营数据!$D531="","",T(原始经营数据!$J531))</f>
        <v>元/平方米/月</v>
      </c>
      <c r="G530" t="str">
        <f>IF(原始经营数据!$D531="","",T(原始经营数据!$K531))</f>
        <v/>
      </c>
      <c r="H530" t="str">
        <f>IF(原始经营数据!$D531="","",原始经营数据!$G531)</f>
        <v>服务价格</v>
      </c>
      <c r="I530" t="str">
        <f>IF($A530="","",IF($B530&lt;&gt;"",$B530,IF(COUNTIFS(原始经营数据!$D$3:$D$3001,$A530,原始经营数据!$E$3:$E$3001,"",原始经营数据!$F$3:$F$3001,$C530,原始经营数据!$H$3:$H$3001,$D530,原始经营数据!$K$3:$K$3001,$G530)&gt;1,"基金整体·来源"&amp;原始经营数据!$A531,"基金整体")))</f>
        <v>基金整体</v>
      </c>
      <c r="J530" t="str">
        <f t="shared" si="123"/>
        <v>季度</v>
      </c>
      <c r="K530" t="str">
        <f t="shared" si="124"/>
        <v>期内租金单价水平（元/平方米/月）</v>
      </c>
      <c r="L530" t="str">
        <f t="shared" si="125"/>
        <v>基金整体|期内租金单价水平（元/平方米/月）|季度</v>
      </c>
      <c r="M530">
        <f>IF($A530="",0,IF(COUNTIF($L$2:$L530,$L530)=1,1,0))</f>
        <v>1</v>
      </c>
      <c r="N530">
        <f t="shared" si="126"/>
        <v>20244</v>
      </c>
      <c r="O530" t="str">
        <f t="shared" si="127"/>
        <v>华夏首创奥特莱斯封闭式基础设施证券投资基金|2024Q4|季度</v>
      </c>
      <c r="P530">
        <f>IF($A530="",0,IF(COUNTIF($O$2:$O530,$O530)=1,1,0))</f>
        <v>1</v>
      </c>
      <c r="Q530" t="str">
        <f>IF(AND($P530=1,$A530=经营数据!$B$3,$J530=经营数据!$BA$5),COUNTIFS($P$2:$P$3000,1,$A$2:$A$3000,$A530,$J$2:$J$3000,$J530,$N$2:$N$3000,"&lt;"&amp;$N530)+1,"")</f>
        <v/>
      </c>
      <c r="R530" t="str">
        <f t="shared" si="128"/>
        <v>华夏首创奥特莱斯封闭式基础设施证券投资基金|基金整体</v>
      </c>
      <c r="S530">
        <f>IF($A530="",0,IF(COUNTIF($R$2:$R530,$R530)=1,1,0))</f>
        <v>1</v>
      </c>
      <c r="T530">
        <f t="shared" si="129"/>
        <v>529</v>
      </c>
      <c r="U530" t="str">
        <f>IF($A530="","",IF($A530=经营数据!$B$3,COUNTIFS($S$2:$S$3000,1,$A$2:$A$3000,$A530,$T$2:$T$3000,"&lt;"&amp;$T530)+1,""))</f>
        <v/>
      </c>
      <c r="V530" t="str">
        <f t="shared" si="130"/>
        <v>基金整体|服务价格</v>
      </c>
      <c r="W530">
        <f t="shared" si="131"/>
        <v>10</v>
      </c>
      <c r="X530" t="str">
        <f t="shared" si="132"/>
        <v>基金整体|期内租金单价水平</v>
      </c>
      <c r="Y530">
        <f t="shared" si="133"/>
        <v>529</v>
      </c>
      <c r="Z530">
        <f>IF($A530="",0,IF(AND($M530=1,$A530=经营数据!$B$3,$J530=经营数据!$BA$5,OR($I530=经营数据!$BA$4,COUNTIF(经营数据!$AA$9:$AA$38,$I530)&gt;0)),1,0))</f>
        <v>0</v>
      </c>
      <c r="AA530" t="str">
        <f t="shared" si="134"/>
        <v/>
      </c>
      <c r="AB530" t="str">
        <f t="shared" si="135"/>
        <v/>
      </c>
      <c r="AC530">
        <f>IF($A530="",0,IF(COUNTIF($A$2:$A530,$A530)=1,1,0))</f>
        <v>1</v>
      </c>
      <c r="AD530">
        <f t="shared" si="136"/>
        <v>7</v>
      </c>
      <c r="AE530" t="str">
        <f t="shared" si="137"/>
        <v>基金整体|期内租金单价水平（元/平方米/月）</v>
      </c>
      <c r="BP530" s="47">
        <v>46162</v>
      </c>
      <c r="BQ530" s="29">
        <v>3.8791506379582681E-2</v>
      </c>
    </row>
    <row r="531" spans="1:69" x14ac:dyDescent="0.4">
      <c r="A531" t="str">
        <f>IF(原始经营数据!$D532="","",原始经营数据!$D532)</f>
        <v>华夏首创奥特莱斯封闭式基础设施证券投资基金</v>
      </c>
      <c r="B531" t="str">
        <f>IF(原始经营数据!$D532="","",T(原始经营数据!$E532))</f>
        <v>基金整体</v>
      </c>
      <c r="C531" t="str">
        <f>IF(原始经营数据!$D532="","",原始经营数据!$F532)</f>
        <v>2024Q4</v>
      </c>
      <c r="D531" t="str">
        <f>IF(原始经营数据!$D532="","",原始经营数据!$H532)</f>
        <v>期末租金收缴率</v>
      </c>
      <c r="E531">
        <f>IF(原始经营数据!$D532="","",原始经营数据!$I532)</f>
        <v>100</v>
      </c>
      <c r="F531" t="str">
        <f>IF(原始经营数据!$D532="","",T(原始经营数据!$J532))</f>
        <v>%</v>
      </c>
      <c r="G531" t="str">
        <f>IF(原始经营数据!$D532="","",T(原始经营数据!$K532))</f>
        <v/>
      </c>
      <c r="H531" t="str">
        <f>IF(原始经营数据!$D532="","",原始经营数据!$G532)</f>
        <v>服务效率</v>
      </c>
      <c r="I531" t="str">
        <f>IF($A531="","",IF($B531&lt;&gt;"",$B531,IF(COUNTIFS(原始经营数据!$D$3:$D$3001,$A531,原始经营数据!$E$3:$E$3001,"",原始经营数据!$F$3:$F$3001,$C531,原始经营数据!$H$3:$H$3001,$D531,原始经营数据!$K$3:$K$3001,$G531)&gt;1,"基金整体·来源"&amp;原始经营数据!$A532,"基金整体")))</f>
        <v>基金整体</v>
      </c>
      <c r="J531" t="str">
        <f t="shared" si="123"/>
        <v>季度</v>
      </c>
      <c r="K531" t="str">
        <f t="shared" si="124"/>
        <v>期末租金收缴率（%）</v>
      </c>
      <c r="L531" t="str">
        <f t="shared" si="125"/>
        <v>基金整体|期末租金收缴率（%）|季度</v>
      </c>
      <c r="M531">
        <f>IF($A531="",0,IF(COUNTIF($L$2:$L531,$L531)=1,1,0))</f>
        <v>1</v>
      </c>
      <c r="N531">
        <f t="shared" si="126"/>
        <v>20244</v>
      </c>
      <c r="O531" t="str">
        <f t="shared" si="127"/>
        <v>华夏首创奥特莱斯封闭式基础设施证券投资基金|2024Q4|季度</v>
      </c>
      <c r="P531">
        <f>IF($A531="",0,IF(COUNTIF($O$2:$O531,$O531)=1,1,0))</f>
        <v>0</v>
      </c>
      <c r="Q531" t="str">
        <f>IF(AND($P531=1,$A531=经营数据!$B$3,$J531=经营数据!$BA$5),COUNTIFS($P$2:$P$3000,1,$A$2:$A$3000,$A531,$J$2:$J$3000,$J531,$N$2:$N$3000,"&lt;"&amp;$N531)+1,"")</f>
        <v/>
      </c>
      <c r="R531" t="str">
        <f t="shared" si="128"/>
        <v>华夏首创奥特莱斯封闭式基础设施证券投资基金|基金整体</v>
      </c>
      <c r="S531">
        <f>IF($A531="",0,IF(COUNTIF($R$2:$R531,$R531)=1,1,0))</f>
        <v>0</v>
      </c>
      <c r="T531">
        <f t="shared" si="129"/>
        <v>529</v>
      </c>
      <c r="U531" t="str">
        <f>IF($A531="","",IF($A531=经营数据!$B$3,COUNTIFS($S$2:$S$3000,1,$A$2:$A$3000,$A531,$T$2:$T$3000,"&lt;"&amp;$T531)+1,""))</f>
        <v/>
      </c>
      <c r="V531" t="str">
        <f t="shared" si="130"/>
        <v>基金整体|服务效率</v>
      </c>
      <c r="W531">
        <f t="shared" si="131"/>
        <v>2</v>
      </c>
      <c r="X531" t="str">
        <f t="shared" si="132"/>
        <v>基金整体|期末租金收缴率</v>
      </c>
      <c r="Y531">
        <f t="shared" si="133"/>
        <v>530</v>
      </c>
      <c r="Z531">
        <f>IF($A531="",0,IF(AND($M531=1,$A531=经营数据!$B$3,$J531=经营数据!$BA$5,OR($I531=经营数据!$BA$4,COUNTIF(经营数据!$AA$9:$AA$38,$I531)&gt;0)),1,0))</f>
        <v>0</v>
      </c>
      <c r="AA531" t="str">
        <f t="shared" si="134"/>
        <v/>
      </c>
      <c r="AB531" t="str">
        <f t="shared" si="135"/>
        <v/>
      </c>
      <c r="AC531">
        <f>IF($A531="",0,IF(COUNTIF($A$2:$A531,$A531)=1,1,0))</f>
        <v>0</v>
      </c>
      <c r="AD531">
        <f t="shared" si="136"/>
        <v>7</v>
      </c>
      <c r="AE531" t="str">
        <f t="shared" si="137"/>
        <v>基金整体|期末租金收缴率（%）</v>
      </c>
      <c r="BP531" s="47">
        <v>46163</v>
      </c>
      <c r="BQ531" s="29">
        <v>3.913708441066921E-2</v>
      </c>
    </row>
    <row r="532" spans="1:69" x14ac:dyDescent="0.4">
      <c r="A532" t="str">
        <f>IF(原始经营数据!$D533="","",原始经营数据!$D533)</f>
        <v>华夏首创奥特莱斯封闭式基础设施证券投资基金</v>
      </c>
      <c r="B532" t="str">
        <f>IF(原始经营数据!$D533="","",T(原始经营数据!$E533))</f>
        <v>基金整体</v>
      </c>
      <c r="C532" t="str">
        <f>IF(原始经营数据!$D533="","",原始经营数据!$F533)</f>
        <v>2024Q4</v>
      </c>
      <c r="D532" t="str">
        <f>IF(原始经营数据!$D533="","",原始经营数据!$H533)</f>
        <v>期末可供出租面积</v>
      </c>
      <c r="E532">
        <f>IF(原始经营数据!$D533="","",原始经营数据!$I533)</f>
        <v>99130.05</v>
      </c>
      <c r="F532" t="str">
        <f>IF(原始经营数据!$D533="","",T(原始经营数据!$J533))</f>
        <v>平方米</v>
      </c>
      <c r="G532" t="str">
        <f>IF(原始经营数据!$D533="","",T(原始经营数据!$K533))</f>
        <v/>
      </c>
      <c r="H532" t="str">
        <f>IF(原始经营数据!$D533="","",原始经营数据!$G533)</f>
        <v>服务量</v>
      </c>
      <c r="I532" t="str">
        <f>IF($A532="","",IF($B532&lt;&gt;"",$B532,IF(COUNTIFS(原始经营数据!$D$3:$D$3001,$A532,原始经营数据!$E$3:$E$3001,"",原始经营数据!$F$3:$F$3001,$C532,原始经营数据!$H$3:$H$3001,$D532,原始经营数据!$K$3:$K$3001,$G532)&gt;1,"基金整体·来源"&amp;原始经营数据!$A533,"基金整体")))</f>
        <v>基金整体</v>
      </c>
      <c r="J532" t="str">
        <f t="shared" si="123"/>
        <v>季度</v>
      </c>
      <c r="K532" t="str">
        <f t="shared" si="124"/>
        <v>期末可供出租面积（平方米）</v>
      </c>
      <c r="L532" t="str">
        <f t="shared" si="125"/>
        <v>基金整体|期末可供出租面积（平方米）|季度</v>
      </c>
      <c r="M532">
        <f>IF($A532="",0,IF(COUNTIF($L$2:$L532,$L532)=1,1,0))</f>
        <v>0</v>
      </c>
      <c r="N532">
        <f t="shared" si="126"/>
        <v>20244</v>
      </c>
      <c r="O532" t="str">
        <f t="shared" si="127"/>
        <v>华夏首创奥特莱斯封闭式基础设施证券投资基金|2024Q4|季度</v>
      </c>
      <c r="P532">
        <f>IF($A532="",0,IF(COUNTIF($O$2:$O532,$O532)=1,1,0))</f>
        <v>0</v>
      </c>
      <c r="Q532" t="str">
        <f>IF(AND($P532=1,$A532=经营数据!$B$3,$J532=经营数据!$BA$5),COUNTIFS($P$2:$P$3000,1,$A$2:$A$3000,$A532,$J$2:$J$3000,$J532,$N$2:$N$3000,"&lt;"&amp;$N532)+1,"")</f>
        <v/>
      </c>
      <c r="R532" t="str">
        <f t="shared" si="128"/>
        <v>华夏首创奥特莱斯封闭式基础设施证券投资基金|基金整体</v>
      </c>
      <c r="S532">
        <f>IF($A532="",0,IF(COUNTIF($R$2:$R532,$R532)=1,1,0))</f>
        <v>0</v>
      </c>
      <c r="T532">
        <f t="shared" si="129"/>
        <v>529</v>
      </c>
      <c r="U532" t="str">
        <f>IF($A532="","",IF($A532=经营数据!$B$3,COUNTIFS($S$2:$S$3000,1,$A$2:$A$3000,$A532,$T$2:$T$3000,"&lt;"&amp;$T532)+1,""))</f>
        <v/>
      </c>
      <c r="V532" t="str">
        <f t="shared" si="130"/>
        <v>基金整体|服务量</v>
      </c>
      <c r="W532">
        <f t="shared" si="131"/>
        <v>1</v>
      </c>
      <c r="X532" t="str">
        <f t="shared" si="132"/>
        <v>基金整体|期末可供出租面积</v>
      </c>
      <c r="Y532">
        <f t="shared" si="133"/>
        <v>3</v>
      </c>
      <c r="Z532">
        <f>IF($A532="",0,IF(AND($M532=1,$A532=经营数据!$B$3,$J532=经营数据!$BA$5,OR($I532=经营数据!$BA$4,COUNTIF(经营数据!$AA$9:$AA$38,$I532)&gt;0)),1,0))</f>
        <v>0</v>
      </c>
      <c r="AA532" t="str">
        <f t="shared" si="134"/>
        <v/>
      </c>
      <c r="AB532" t="str">
        <f t="shared" si="135"/>
        <v/>
      </c>
      <c r="AC532">
        <f>IF($A532="",0,IF(COUNTIF($A$2:$A532,$A532)=1,1,0))</f>
        <v>0</v>
      </c>
      <c r="AD532">
        <f t="shared" si="136"/>
        <v>7</v>
      </c>
      <c r="AE532" t="str">
        <f t="shared" si="137"/>
        <v>基金整体|期末可供出租面积（平方米）</v>
      </c>
      <c r="BP532" s="47">
        <v>46164</v>
      </c>
      <c r="BQ532" s="29">
        <v>3.9244454833997543E-2</v>
      </c>
    </row>
    <row r="533" spans="1:69" x14ac:dyDescent="0.4">
      <c r="A533" t="str">
        <f>IF(原始经营数据!$D534="","",原始经营数据!$D534)</f>
        <v>华夏首创奥特莱斯封闭式基础设施证券投资基金</v>
      </c>
      <c r="B533" t="str">
        <f>IF(原始经营数据!$D534="","",T(原始经营数据!$E534))</f>
        <v>基金整体</v>
      </c>
      <c r="C533" t="str">
        <f>IF(原始经营数据!$D534="","",原始经营数据!$F534)</f>
        <v>2024Q4</v>
      </c>
      <c r="D533" t="str">
        <f>IF(原始经营数据!$D534="","",原始经营数据!$H534)</f>
        <v>期末实际出租面积</v>
      </c>
      <c r="E533">
        <f>IF(原始经营数据!$D534="","",原始经营数据!$I534)</f>
        <v>97212.3</v>
      </c>
      <c r="F533" t="str">
        <f>IF(原始经营数据!$D534="","",T(原始经营数据!$J534))</f>
        <v>平方米</v>
      </c>
      <c r="G533" t="str">
        <f>IF(原始经营数据!$D534="","",T(原始经营数据!$K534))</f>
        <v/>
      </c>
      <c r="H533" t="str">
        <f>IF(原始经营数据!$D534="","",原始经营数据!$G534)</f>
        <v>服务量</v>
      </c>
      <c r="I533" t="str">
        <f>IF($A533="","",IF($B533&lt;&gt;"",$B533,IF(COUNTIFS(原始经营数据!$D$3:$D$3001,$A533,原始经营数据!$E$3:$E$3001,"",原始经营数据!$F$3:$F$3001,$C533,原始经营数据!$H$3:$H$3001,$D533,原始经营数据!$K$3:$K$3001,$G533)&gt;1,"基金整体·来源"&amp;原始经营数据!$A534,"基金整体")))</f>
        <v>基金整体</v>
      </c>
      <c r="J533" t="str">
        <f t="shared" si="123"/>
        <v>季度</v>
      </c>
      <c r="K533" t="str">
        <f t="shared" si="124"/>
        <v>期末实际出租面积（平方米）</v>
      </c>
      <c r="L533" t="str">
        <f t="shared" si="125"/>
        <v>基金整体|期末实际出租面积（平方米）|季度</v>
      </c>
      <c r="M533">
        <f>IF($A533="",0,IF(COUNTIF($L$2:$L533,$L533)=1,1,0))</f>
        <v>0</v>
      </c>
      <c r="N533">
        <f t="shared" si="126"/>
        <v>20244</v>
      </c>
      <c r="O533" t="str">
        <f t="shared" si="127"/>
        <v>华夏首创奥特莱斯封闭式基础设施证券投资基金|2024Q4|季度</v>
      </c>
      <c r="P533">
        <f>IF($A533="",0,IF(COUNTIF($O$2:$O533,$O533)=1,1,0))</f>
        <v>0</v>
      </c>
      <c r="Q533" t="str">
        <f>IF(AND($P533=1,$A533=经营数据!$B$3,$J533=经营数据!$BA$5),COUNTIFS($P$2:$P$3000,1,$A$2:$A$3000,$A533,$J$2:$J$3000,$J533,$N$2:$N$3000,"&lt;"&amp;$N533)+1,"")</f>
        <v/>
      </c>
      <c r="R533" t="str">
        <f t="shared" si="128"/>
        <v>华夏首创奥特莱斯封闭式基础设施证券投资基金|基金整体</v>
      </c>
      <c r="S533">
        <f>IF($A533="",0,IF(COUNTIF($R$2:$R533,$R533)=1,1,0))</f>
        <v>0</v>
      </c>
      <c r="T533">
        <f t="shared" si="129"/>
        <v>529</v>
      </c>
      <c r="U533" t="str">
        <f>IF($A533="","",IF($A533=经营数据!$B$3,COUNTIFS($S$2:$S$3000,1,$A$2:$A$3000,$A533,$T$2:$T$3000,"&lt;"&amp;$T533)+1,""))</f>
        <v/>
      </c>
      <c r="V533" t="str">
        <f t="shared" si="130"/>
        <v>基金整体|服务量</v>
      </c>
      <c r="W533">
        <f t="shared" si="131"/>
        <v>1</v>
      </c>
      <c r="X533" t="str">
        <f t="shared" si="132"/>
        <v>基金整体|期末实际出租面积</v>
      </c>
      <c r="Y533">
        <f t="shared" si="133"/>
        <v>4</v>
      </c>
      <c r="Z533">
        <f>IF($A533="",0,IF(AND($M533=1,$A533=经营数据!$B$3,$J533=经营数据!$BA$5,OR($I533=经营数据!$BA$4,COUNTIF(经营数据!$AA$9:$AA$38,$I533)&gt;0)),1,0))</f>
        <v>0</v>
      </c>
      <c r="AA533" t="str">
        <f t="shared" si="134"/>
        <v/>
      </c>
      <c r="AB533" t="str">
        <f t="shared" si="135"/>
        <v/>
      </c>
      <c r="AC533">
        <f>IF($A533="",0,IF(COUNTIF($A$2:$A533,$A533)=1,1,0))</f>
        <v>0</v>
      </c>
      <c r="AD533">
        <f t="shared" si="136"/>
        <v>7</v>
      </c>
      <c r="AE533" t="str">
        <f t="shared" si="137"/>
        <v>基金整体|期末实际出租面积（平方米）</v>
      </c>
      <c r="BP533" s="47">
        <v>46167</v>
      </c>
      <c r="BQ533" s="29">
        <v>3.9278862215900892E-2</v>
      </c>
    </row>
    <row r="534" spans="1:69" x14ac:dyDescent="0.4">
      <c r="A534" t="str">
        <f>IF(原始经营数据!$D535="","",原始经营数据!$D535)</f>
        <v>华夏首创奥特莱斯封闭式基础设施证券投资基金</v>
      </c>
      <c r="B534" t="str">
        <f>IF(原始经营数据!$D535="","",T(原始经营数据!$E535))</f>
        <v>基金整体</v>
      </c>
      <c r="C534" t="str">
        <f>IF(原始经营数据!$D535="","",原始经营数据!$F535)</f>
        <v>2024Q4</v>
      </c>
      <c r="D534" t="str">
        <f>IF(原始经营数据!$D535="","",原始经营数据!$H535)</f>
        <v>期末出租率</v>
      </c>
      <c r="E534">
        <f>IF(原始经营数据!$D535="","",原始经营数据!$I535)</f>
        <v>98.07</v>
      </c>
      <c r="F534" t="str">
        <f>IF(原始经营数据!$D535="","",T(原始经营数据!$J535))</f>
        <v>%</v>
      </c>
      <c r="G534" t="str">
        <f>IF(原始经营数据!$D535="","",T(原始经营数据!$K535))</f>
        <v/>
      </c>
      <c r="H534" t="str">
        <f>IF(原始经营数据!$D535="","",原始经营数据!$G535)</f>
        <v>服务效率</v>
      </c>
      <c r="I534" t="str">
        <f>IF($A534="","",IF($B534&lt;&gt;"",$B534,IF(COUNTIFS(原始经营数据!$D$3:$D$3001,$A534,原始经营数据!$E$3:$E$3001,"",原始经营数据!$F$3:$F$3001,$C534,原始经营数据!$H$3:$H$3001,$D534,原始经营数据!$K$3:$K$3001,$G534)&gt;1,"基金整体·来源"&amp;原始经营数据!$A535,"基金整体")))</f>
        <v>基金整体</v>
      </c>
      <c r="J534" t="str">
        <f t="shared" si="123"/>
        <v>季度</v>
      </c>
      <c r="K534" t="str">
        <f t="shared" si="124"/>
        <v>期末出租率（%）</v>
      </c>
      <c r="L534" t="str">
        <f t="shared" si="125"/>
        <v>基金整体|期末出租率（%）|季度</v>
      </c>
      <c r="M534">
        <f>IF($A534="",0,IF(COUNTIF($L$2:$L534,$L534)=1,1,0))</f>
        <v>0</v>
      </c>
      <c r="N534">
        <f t="shared" si="126"/>
        <v>20244</v>
      </c>
      <c r="O534" t="str">
        <f t="shared" si="127"/>
        <v>华夏首创奥特莱斯封闭式基础设施证券投资基金|2024Q4|季度</v>
      </c>
      <c r="P534">
        <f>IF($A534="",0,IF(COUNTIF($O$2:$O534,$O534)=1,1,0))</f>
        <v>0</v>
      </c>
      <c r="Q534" t="str">
        <f>IF(AND($P534=1,$A534=经营数据!$B$3,$J534=经营数据!$BA$5),COUNTIFS($P$2:$P$3000,1,$A$2:$A$3000,$A534,$J$2:$J$3000,$J534,$N$2:$N$3000,"&lt;"&amp;$N534)+1,"")</f>
        <v/>
      </c>
      <c r="R534" t="str">
        <f t="shared" si="128"/>
        <v>华夏首创奥特莱斯封闭式基础设施证券投资基金|基金整体</v>
      </c>
      <c r="S534">
        <f>IF($A534="",0,IF(COUNTIF($R$2:$R534,$R534)=1,1,0))</f>
        <v>0</v>
      </c>
      <c r="T534">
        <f t="shared" si="129"/>
        <v>529</v>
      </c>
      <c r="U534" t="str">
        <f>IF($A534="","",IF($A534=经营数据!$B$3,COUNTIFS($S$2:$S$3000,1,$A$2:$A$3000,$A534,$T$2:$T$3000,"&lt;"&amp;$T534)+1,""))</f>
        <v/>
      </c>
      <c r="V534" t="str">
        <f t="shared" si="130"/>
        <v>基金整体|服务效率</v>
      </c>
      <c r="W534">
        <f t="shared" si="131"/>
        <v>2</v>
      </c>
      <c r="X534" t="str">
        <f t="shared" si="132"/>
        <v>基金整体|期末出租率</v>
      </c>
      <c r="Y534">
        <f t="shared" si="133"/>
        <v>5</v>
      </c>
      <c r="Z534">
        <f>IF($A534="",0,IF(AND($M534=1,$A534=经营数据!$B$3,$J534=经营数据!$BA$5,OR($I534=经营数据!$BA$4,COUNTIF(经营数据!$AA$9:$AA$38,$I534)&gt;0)),1,0))</f>
        <v>0</v>
      </c>
      <c r="AA534" t="str">
        <f t="shared" si="134"/>
        <v/>
      </c>
      <c r="AB534" t="str">
        <f t="shared" si="135"/>
        <v/>
      </c>
      <c r="AC534">
        <f>IF($A534="",0,IF(COUNTIF($A$2:$A534,$A534)=1,1,0))</f>
        <v>0</v>
      </c>
      <c r="AD534">
        <f t="shared" si="136"/>
        <v>7</v>
      </c>
      <c r="AE534" t="str">
        <f t="shared" si="137"/>
        <v>基金整体|期末出租率（%）</v>
      </c>
      <c r="BP534" s="47">
        <v>46168</v>
      </c>
      <c r="BQ534" s="29">
        <v>3.9495761080137193E-2</v>
      </c>
    </row>
    <row r="535" spans="1:69" x14ac:dyDescent="0.4">
      <c r="A535" t="str">
        <f>IF(原始经营数据!$D536="","",原始经营数据!$D536)</f>
        <v>华夏首创奥特莱斯封闭式基础设施证券投资基金</v>
      </c>
      <c r="B535" t="str">
        <f>IF(原始经营数据!$D536="","",T(原始经营数据!$E536))</f>
        <v>基金整体</v>
      </c>
      <c r="C535" t="str">
        <f>IF(原始经营数据!$D536="","",原始经营数据!$F536)</f>
        <v>2024Q4</v>
      </c>
      <c r="D535" t="str">
        <f>IF(原始经营数据!$D536="","",原始经营数据!$H536)</f>
        <v>期末剩余租期</v>
      </c>
      <c r="E535">
        <f>IF(原始经营数据!$D536="","",原始经营数据!$I536)</f>
        <v>1.7</v>
      </c>
      <c r="F535" t="str">
        <f>IF(原始经营数据!$D536="","",T(原始经营数据!$J536))</f>
        <v>年</v>
      </c>
      <c r="G535" t="str">
        <f>IF(原始经营数据!$D536="","",T(原始经营数据!$K536))</f>
        <v/>
      </c>
      <c r="H535" t="str">
        <f>IF(原始经营数据!$D536="","",原始经营数据!$G536)</f>
        <v>服务量</v>
      </c>
      <c r="I535" t="str">
        <f>IF($A535="","",IF($B535&lt;&gt;"",$B535,IF(COUNTIFS(原始经营数据!$D$3:$D$3001,$A535,原始经营数据!$E$3:$E$3001,"",原始经营数据!$F$3:$F$3001,$C535,原始经营数据!$H$3:$H$3001,$D535,原始经营数据!$K$3:$K$3001,$G535)&gt;1,"基金整体·来源"&amp;原始经营数据!$A536,"基金整体")))</f>
        <v>基金整体</v>
      </c>
      <c r="J535" t="str">
        <f t="shared" si="123"/>
        <v>季度</v>
      </c>
      <c r="K535" t="str">
        <f t="shared" si="124"/>
        <v>期末剩余租期（年）</v>
      </c>
      <c r="L535" t="str">
        <f t="shared" si="125"/>
        <v>基金整体|期末剩余租期（年）|季度</v>
      </c>
      <c r="M535">
        <f>IF($A535="",0,IF(COUNTIF($L$2:$L535,$L535)=1,1,0))</f>
        <v>1</v>
      </c>
      <c r="N535">
        <f t="shared" si="126"/>
        <v>20244</v>
      </c>
      <c r="O535" t="str">
        <f t="shared" si="127"/>
        <v>华夏首创奥特莱斯封闭式基础设施证券投资基金|2024Q4|季度</v>
      </c>
      <c r="P535">
        <f>IF($A535="",0,IF(COUNTIF($O$2:$O535,$O535)=1,1,0))</f>
        <v>0</v>
      </c>
      <c r="Q535" t="str">
        <f>IF(AND($P535=1,$A535=经营数据!$B$3,$J535=经营数据!$BA$5),COUNTIFS($P$2:$P$3000,1,$A$2:$A$3000,$A535,$J$2:$J$3000,$J535,$N$2:$N$3000,"&lt;"&amp;$N535)+1,"")</f>
        <v/>
      </c>
      <c r="R535" t="str">
        <f t="shared" si="128"/>
        <v>华夏首创奥特莱斯封闭式基础设施证券投资基金|基金整体</v>
      </c>
      <c r="S535">
        <f>IF($A535="",0,IF(COUNTIF($R$2:$R535,$R535)=1,1,0))</f>
        <v>0</v>
      </c>
      <c r="T535">
        <f t="shared" si="129"/>
        <v>529</v>
      </c>
      <c r="U535" t="str">
        <f>IF($A535="","",IF($A535=经营数据!$B$3,COUNTIFS($S$2:$S$3000,1,$A$2:$A$3000,$A535,$T$2:$T$3000,"&lt;"&amp;$T535)+1,""))</f>
        <v/>
      </c>
      <c r="V535" t="str">
        <f t="shared" si="130"/>
        <v>基金整体|服务量</v>
      </c>
      <c r="W535">
        <f t="shared" si="131"/>
        <v>1</v>
      </c>
      <c r="X535" t="str">
        <f t="shared" si="132"/>
        <v>基金整体|期末剩余租期</v>
      </c>
      <c r="Y535">
        <f t="shared" si="133"/>
        <v>534</v>
      </c>
      <c r="Z535">
        <f>IF($A535="",0,IF(AND($M535=1,$A535=经营数据!$B$3,$J535=经营数据!$BA$5,OR($I535=经营数据!$BA$4,COUNTIF(经营数据!$AA$9:$AA$38,$I535)&gt;0)),1,0))</f>
        <v>0</v>
      </c>
      <c r="AA535" t="str">
        <f t="shared" si="134"/>
        <v/>
      </c>
      <c r="AB535" t="str">
        <f t="shared" si="135"/>
        <v/>
      </c>
      <c r="AC535">
        <f>IF($A535="",0,IF(COUNTIF($A$2:$A535,$A535)=1,1,0))</f>
        <v>0</v>
      </c>
      <c r="AD535">
        <f t="shared" si="136"/>
        <v>7</v>
      </c>
      <c r="AE535" t="str">
        <f t="shared" si="137"/>
        <v>基金整体|期末剩余租期（年）</v>
      </c>
      <c r="BP535" s="47">
        <v>46169</v>
      </c>
      <c r="BQ535" s="29">
        <v>3.9967265861070883E-2</v>
      </c>
    </row>
    <row r="536" spans="1:69" x14ac:dyDescent="0.4">
      <c r="A536" t="str">
        <f>IF(原始经营数据!$D537="","",原始经营数据!$D537)</f>
        <v>华夏首创奥特莱斯封闭式基础设施证券投资基金</v>
      </c>
      <c r="B536" t="str">
        <f>IF(原始经营数据!$D537="","",T(原始经营数据!$E537))</f>
        <v>基金整体</v>
      </c>
      <c r="C536" t="str">
        <f>IF(原始经营数据!$D537="","",原始经营数据!$F537)</f>
        <v>2025Q1</v>
      </c>
      <c r="D536" t="str">
        <f>IF(原始经营数据!$D537="","",原始经营数据!$H537)</f>
        <v>期内租金单价水平</v>
      </c>
      <c r="E536">
        <f>IF(原始经营数据!$D537="","",原始经营数据!$I537)</f>
        <v>199.07</v>
      </c>
      <c r="F536" t="str">
        <f>IF(原始经营数据!$D537="","",T(原始经营数据!$J537))</f>
        <v>元/平方米/月</v>
      </c>
      <c r="G536" t="str">
        <f>IF(原始经营数据!$D537="","",T(原始经营数据!$K537))</f>
        <v/>
      </c>
      <c r="H536" t="str">
        <f>IF(原始经营数据!$D537="","",原始经营数据!$G537)</f>
        <v>服务价格</v>
      </c>
      <c r="I536" t="str">
        <f>IF($A536="","",IF($B536&lt;&gt;"",$B536,IF(COUNTIFS(原始经营数据!$D$3:$D$3001,$A536,原始经营数据!$E$3:$E$3001,"",原始经营数据!$F$3:$F$3001,$C536,原始经营数据!$H$3:$H$3001,$D536,原始经营数据!$K$3:$K$3001,$G536)&gt;1,"基金整体·来源"&amp;原始经营数据!$A537,"基金整体")))</f>
        <v>基金整体</v>
      </c>
      <c r="J536" t="str">
        <f t="shared" si="123"/>
        <v>季度</v>
      </c>
      <c r="K536" t="str">
        <f t="shared" si="124"/>
        <v>期内租金单价水平（元/平方米/月）</v>
      </c>
      <c r="L536" t="str">
        <f t="shared" si="125"/>
        <v>基金整体|期内租金单价水平（元/平方米/月）|季度</v>
      </c>
      <c r="M536">
        <f>IF($A536="",0,IF(COUNTIF($L$2:$L536,$L536)=1,1,0))</f>
        <v>0</v>
      </c>
      <c r="N536">
        <f t="shared" si="126"/>
        <v>20251</v>
      </c>
      <c r="O536" t="str">
        <f t="shared" si="127"/>
        <v>华夏首创奥特莱斯封闭式基础设施证券投资基金|2025Q1|季度</v>
      </c>
      <c r="P536">
        <f>IF($A536="",0,IF(COUNTIF($O$2:$O536,$O536)=1,1,0))</f>
        <v>1</v>
      </c>
      <c r="Q536" t="str">
        <f>IF(AND($P536=1,$A536=经营数据!$B$3,$J536=经营数据!$BA$5),COUNTIFS($P$2:$P$3000,1,$A$2:$A$3000,$A536,$J$2:$J$3000,$J536,$N$2:$N$3000,"&lt;"&amp;$N536)+1,"")</f>
        <v/>
      </c>
      <c r="R536" t="str">
        <f t="shared" si="128"/>
        <v>华夏首创奥特莱斯封闭式基础设施证券投资基金|基金整体</v>
      </c>
      <c r="S536">
        <f>IF($A536="",0,IF(COUNTIF($R$2:$R536,$R536)=1,1,0))</f>
        <v>0</v>
      </c>
      <c r="T536">
        <f t="shared" si="129"/>
        <v>529</v>
      </c>
      <c r="U536" t="str">
        <f>IF($A536="","",IF($A536=经营数据!$B$3,COUNTIFS($S$2:$S$3000,1,$A$2:$A$3000,$A536,$T$2:$T$3000,"&lt;"&amp;$T536)+1,""))</f>
        <v/>
      </c>
      <c r="V536" t="str">
        <f t="shared" si="130"/>
        <v>基金整体|服务价格</v>
      </c>
      <c r="W536">
        <f t="shared" si="131"/>
        <v>10</v>
      </c>
      <c r="X536" t="str">
        <f t="shared" si="132"/>
        <v>基金整体|期内租金单价水平</v>
      </c>
      <c r="Y536">
        <f t="shared" si="133"/>
        <v>529</v>
      </c>
      <c r="Z536">
        <f>IF($A536="",0,IF(AND($M536=1,$A536=经营数据!$B$3,$J536=经营数据!$BA$5,OR($I536=经营数据!$BA$4,COUNTIF(经营数据!$AA$9:$AA$38,$I536)&gt;0)),1,0))</f>
        <v>0</v>
      </c>
      <c r="AA536" t="str">
        <f t="shared" si="134"/>
        <v/>
      </c>
      <c r="AB536" t="str">
        <f t="shared" si="135"/>
        <v/>
      </c>
      <c r="AC536">
        <f>IF($A536="",0,IF(COUNTIF($A$2:$A536,$A536)=1,1,0))</f>
        <v>0</v>
      </c>
      <c r="AD536">
        <f t="shared" si="136"/>
        <v>7</v>
      </c>
      <c r="AE536" t="str">
        <f t="shared" si="137"/>
        <v>基金整体|期内租金单价水平（元/平方米/月）</v>
      </c>
      <c r="BP536" s="47">
        <v>46170</v>
      </c>
      <c r="BQ536" s="29">
        <v>4.0240254319894003E-2</v>
      </c>
    </row>
    <row r="537" spans="1:69" x14ac:dyDescent="0.4">
      <c r="A537" t="str">
        <f>IF(原始经营数据!$D538="","",原始经营数据!$D538)</f>
        <v>华夏首创奥特莱斯封闭式基础设施证券投资基金</v>
      </c>
      <c r="B537" t="str">
        <f>IF(原始经营数据!$D538="","",T(原始经营数据!$E538))</f>
        <v>基金整体</v>
      </c>
      <c r="C537" t="str">
        <f>IF(原始经营数据!$D538="","",原始经营数据!$F538)</f>
        <v>2025Q1</v>
      </c>
      <c r="D537" t="str">
        <f>IF(原始经营数据!$D538="","",原始经营数据!$H538)</f>
        <v>期末租金收缴率</v>
      </c>
      <c r="E537">
        <f>IF(原始经营数据!$D538="","",原始经营数据!$I538)</f>
        <v>100</v>
      </c>
      <c r="F537" t="str">
        <f>IF(原始经营数据!$D538="","",T(原始经营数据!$J538))</f>
        <v>%</v>
      </c>
      <c r="G537" t="str">
        <f>IF(原始经营数据!$D538="","",T(原始经营数据!$K538))</f>
        <v/>
      </c>
      <c r="H537" t="str">
        <f>IF(原始经营数据!$D538="","",原始经营数据!$G538)</f>
        <v>服务效率</v>
      </c>
      <c r="I537" t="str">
        <f>IF($A537="","",IF($B537&lt;&gt;"",$B537,IF(COUNTIFS(原始经营数据!$D$3:$D$3001,$A537,原始经营数据!$E$3:$E$3001,"",原始经营数据!$F$3:$F$3001,$C537,原始经营数据!$H$3:$H$3001,$D537,原始经营数据!$K$3:$K$3001,$G537)&gt;1,"基金整体·来源"&amp;原始经营数据!$A538,"基金整体")))</f>
        <v>基金整体</v>
      </c>
      <c r="J537" t="str">
        <f t="shared" si="123"/>
        <v>季度</v>
      </c>
      <c r="K537" t="str">
        <f t="shared" si="124"/>
        <v>期末租金收缴率（%）</v>
      </c>
      <c r="L537" t="str">
        <f t="shared" si="125"/>
        <v>基金整体|期末租金收缴率（%）|季度</v>
      </c>
      <c r="M537">
        <f>IF($A537="",0,IF(COUNTIF($L$2:$L537,$L537)=1,1,0))</f>
        <v>0</v>
      </c>
      <c r="N537">
        <f t="shared" si="126"/>
        <v>20251</v>
      </c>
      <c r="O537" t="str">
        <f t="shared" si="127"/>
        <v>华夏首创奥特莱斯封闭式基础设施证券投资基金|2025Q1|季度</v>
      </c>
      <c r="P537">
        <f>IF($A537="",0,IF(COUNTIF($O$2:$O537,$O537)=1,1,0))</f>
        <v>0</v>
      </c>
      <c r="Q537" t="str">
        <f>IF(AND($P537=1,$A537=经营数据!$B$3,$J537=经营数据!$BA$5),COUNTIFS($P$2:$P$3000,1,$A$2:$A$3000,$A537,$J$2:$J$3000,$J537,$N$2:$N$3000,"&lt;"&amp;$N537)+1,"")</f>
        <v/>
      </c>
      <c r="R537" t="str">
        <f t="shared" si="128"/>
        <v>华夏首创奥特莱斯封闭式基础设施证券投资基金|基金整体</v>
      </c>
      <c r="S537">
        <f>IF($A537="",0,IF(COUNTIF($R$2:$R537,$R537)=1,1,0))</f>
        <v>0</v>
      </c>
      <c r="T537">
        <f t="shared" si="129"/>
        <v>529</v>
      </c>
      <c r="U537" t="str">
        <f>IF($A537="","",IF($A537=经营数据!$B$3,COUNTIFS($S$2:$S$3000,1,$A$2:$A$3000,$A537,$T$2:$T$3000,"&lt;"&amp;$T537)+1,""))</f>
        <v/>
      </c>
      <c r="V537" t="str">
        <f t="shared" si="130"/>
        <v>基金整体|服务效率</v>
      </c>
      <c r="W537">
        <f t="shared" si="131"/>
        <v>2</v>
      </c>
      <c r="X537" t="str">
        <f t="shared" si="132"/>
        <v>基金整体|期末租金收缴率</v>
      </c>
      <c r="Y537">
        <f t="shared" si="133"/>
        <v>530</v>
      </c>
      <c r="Z537">
        <f>IF($A537="",0,IF(AND($M537=1,$A537=经营数据!$B$3,$J537=经营数据!$BA$5,OR($I537=经营数据!$BA$4,COUNTIF(经营数据!$AA$9:$AA$38,$I537)&gt;0)),1,0))</f>
        <v>0</v>
      </c>
      <c r="AA537" t="str">
        <f t="shared" si="134"/>
        <v/>
      </c>
      <c r="AB537" t="str">
        <f t="shared" si="135"/>
        <v/>
      </c>
      <c r="AC537">
        <f>IF($A537="",0,IF(COUNTIF($A$2:$A537,$A537)=1,1,0))</f>
        <v>0</v>
      </c>
      <c r="AD537">
        <f t="shared" si="136"/>
        <v>7</v>
      </c>
      <c r="AE537" t="str">
        <f t="shared" si="137"/>
        <v>基金整体|期末租金收缴率（%）</v>
      </c>
      <c r="BP537" s="47">
        <v>46171</v>
      </c>
      <c r="BQ537" s="29">
        <v>3.9871695979452282E-2</v>
      </c>
    </row>
    <row r="538" spans="1:69" x14ac:dyDescent="0.4">
      <c r="A538" t="str">
        <f>IF(原始经营数据!$D539="","",原始经营数据!$D539)</f>
        <v>华夏首创奥特莱斯封闭式基础设施证券投资基金</v>
      </c>
      <c r="B538" t="str">
        <f>IF(原始经营数据!$D539="","",T(原始经营数据!$E539))</f>
        <v>基金整体</v>
      </c>
      <c r="C538" t="str">
        <f>IF(原始经营数据!$D539="","",原始经营数据!$F539)</f>
        <v>2025Q1</v>
      </c>
      <c r="D538" t="str">
        <f>IF(原始经营数据!$D539="","",原始经营数据!$H539)</f>
        <v>期内租金单价</v>
      </c>
      <c r="E538">
        <f>IF(原始经营数据!$D539="","",原始经营数据!$I539)</f>
        <v>199.07</v>
      </c>
      <c r="F538" t="str">
        <f>IF(原始经营数据!$D539="","",T(原始经营数据!$J539))</f>
        <v>元/平方米/月</v>
      </c>
      <c r="G538" t="str">
        <f>IF(原始经营数据!$D539="","",T(原始经营数据!$K539))</f>
        <v/>
      </c>
      <c r="H538" t="str">
        <f>IF(原始经营数据!$D539="","",原始经营数据!$G539)</f>
        <v>服务价格</v>
      </c>
      <c r="I538" t="str">
        <f>IF($A538="","",IF($B538&lt;&gt;"",$B538,IF(COUNTIFS(原始经营数据!$D$3:$D$3001,$A538,原始经营数据!$E$3:$E$3001,"",原始经营数据!$F$3:$F$3001,$C538,原始经营数据!$H$3:$H$3001,$D538,原始经营数据!$K$3:$K$3001,$G538)&gt;1,"基金整体·来源"&amp;原始经营数据!$A539,"基金整体")))</f>
        <v>基金整体</v>
      </c>
      <c r="J538" t="str">
        <f t="shared" si="123"/>
        <v>季度</v>
      </c>
      <c r="K538" t="str">
        <f t="shared" si="124"/>
        <v>期内租金单价（元/平方米/月）</v>
      </c>
      <c r="L538" t="str">
        <f t="shared" si="125"/>
        <v>基金整体|期内租金单价（元/平方米/月）|季度</v>
      </c>
      <c r="M538">
        <f>IF($A538="",0,IF(COUNTIF($L$2:$L538,$L538)=1,1,0))</f>
        <v>1</v>
      </c>
      <c r="N538">
        <f t="shared" si="126"/>
        <v>20251</v>
      </c>
      <c r="O538" t="str">
        <f t="shared" si="127"/>
        <v>华夏首创奥特莱斯封闭式基础设施证券投资基金|2025Q1|季度</v>
      </c>
      <c r="P538">
        <f>IF($A538="",0,IF(COUNTIF($O$2:$O538,$O538)=1,1,0))</f>
        <v>0</v>
      </c>
      <c r="Q538" t="str">
        <f>IF(AND($P538=1,$A538=经营数据!$B$3,$J538=经营数据!$BA$5),COUNTIFS($P$2:$P$3000,1,$A$2:$A$3000,$A538,$J$2:$J$3000,$J538,$N$2:$N$3000,"&lt;"&amp;$N538)+1,"")</f>
        <v/>
      </c>
      <c r="R538" t="str">
        <f t="shared" si="128"/>
        <v>华夏首创奥特莱斯封闭式基础设施证券投资基金|基金整体</v>
      </c>
      <c r="S538">
        <f>IF($A538="",0,IF(COUNTIF($R$2:$R538,$R538)=1,1,0))</f>
        <v>0</v>
      </c>
      <c r="T538">
        <f t="shared" si="129"/>
        <v>529</v>
      </c>
      <c r="U538" t="str">
        <f>IF($A538="","",IF($A538=经营数据!$B$3,COUNTIFS($S$2:$S$3000,1,$A$2:$A$3000,$A538,$T$2:$T$3000,"&lt;"&amp;$T538)+1,""))</f>
        <v/>
      </c>
      <c r="V538" t="str">
        <f t="shared" si="130"/>
        <v>基金整体|服务价格</v>
      </c>
      <c r="W538">
        <f t="shared" si="131"/>
        <v>10</v>
      </c>
      <c r="X538" t="str">
        <f t="shared" si="132"/>
        <v>基金整体|期内租金单价</v>
      </c>
      <c r="Y538">
        <f t="shared" si="133"/>
        <v>537</v>
      </c>
      <c r="Z538">
        <f>IF($A538="",0,IF(AND($M538=1,$A538=经营数据!$B$3,$J538=经营数据!$BA$5,OR($I538=经营数据!$BA$4,COUNTIF(经营数据!$AA$9:$AA$38,$I538)&gt;0)),1,0))</f>
        <v>0</v>
      </c>
      <c r="AA538" t="str">
        <f t="shared" si="134"/>
        <v/>
      </c>
      <c r="AB538" t="str">
        <f t="shared" si="135"/>
        <v/>
      </c>
      <c r="AC538">
        <f>IF($A538="",0,IF(COUNTIF($A$2:$A538,$A538)=1,1,0))</f>
        <v>0</v>
      </c>
      <c r="AD538">
        <f t="shared" si="136"/>
        <v>7</v>
      </c>
      <c r="AE538" t="str">
        <f t="shared" si="137"/>
        <v>基金整体|期内租金单价（元/平方米/月）</v>
      </c>
      <c r="BP538" s="47">
        <v>46174</v>
      </c>
      <c r="BQ538" s="29">
        <v>3.9560722789376397E-2</v>
      </c>
    </row>
    <row r="539" spans="1:69" x14ac:dyDescent="0.4">
      <c r="A539" t="str">
        <f>IF(原始经营数据!$D540="","",原始经营数据!$D540)</f>
        <v>华夏首创奥特莱斯封闭式基础设施证券投资基金</v>
      </c>
      <c r="B539" t="str">
        <f>IF(原始经营数据!$D540="","",T(原始经营数据!$E540))</f>
        <v>基金整体</v>
      </c>
      <c r="C539" t="str">
        <f>IF(原始经营数据!$D540="","",原始经营数据!$F540)</f>
        <v>2025Q1</v>
      </c>
      <c r="D539" t="str">
        <f>IF(原始经营数据!$D540="","",原始经营数据!$H540)</f>
        <v>期末出租率</v>
      </c>
      <c r="E539">
        <f>IF(原始经营数据!$D540="","",原始经营数据!$I540)</f>
        <v>97.46</v>
      </c>
      <c r="F539" t="str">
        <f>IF(原始经营数据!$D540="","",T(原始经营数据!$J540))</f>
        <v>%</v>
      </c>
      <c r="G539" t="str">
        <f>IF(原始经营数据!$D540="","",T(原始经营数据!$K540))</f>
        <v/>
      </c>
      <c r="H539" t="str">
        <f>IF(原始经营数据!$D540="","",原始经营数据!$G540)</f>
        <v>服务效率</v>
      </c>
      <c r="I539" t="str">
        <f>IF($A539="","",IF($B539&lt;&gt;"",$B539,IF(COUNTIFS(原始经营数据!$D$3:$D$3001,$A539,原始经营数据!$E$3:$E$3001,"",原始经营数据!$F$3:$F$3001,$C539,原始经营数据!$H$3:$H$3001,$D539,原始经营数据!$K$3:$K$3001,$G539)&gt;1,"基金整体·来源"&amp;原始经营数据!$A540,"基金整体")))</f>
        <v>基金整体</v>
      </c>
      <c r="J539" t="str">
        <f t="shared" si="123"/>
        <v>季度</v>
      </c>
      <c r="K539" t="str">
        <f t="shared" si="124"/>
        <v>期末出租率（%）</v>
      </c>
      <c r="L539" t="str">
        <f t="shared" si="125"/>
        <v>基金整体|期末出租率（%）|季度</v>
      </c>
      <c r="M539">
        <f>IF($A539="",0,IF(COUNTIF($L$2:$L539,$L539)=1,1,0))</f>
        <v>0</v>
      </c>
      <c r="N539">
        <f t="shared" si="126"/>
        <v>20251</v>
      </c>
      <c r="O539" t="str">
        <f t="shared" si="127"/>
        <v>华夏首创奥特莱斯封闭式基础设施证券投资基金|2025Q1|季度</v>
      </c>
      <c r="P539">
        <f>IF($A539="",0,IF(COUNTIF($O$2:$O539,$O539)=1,1,0))</f>
        <v>0</v>
      </c>
      <c r="Q539" t="str">
        <f>IF(AND($P539=1,$A539=经营数据!$B$3,$J539=经营数据!$BA$5),COUNTIFS($P$2:$P$3000,1,$A$2:$A$3000,$A539,$J$2:$J$3000,$J539,$N$2:$N$3000,"&lt;"&amp;$N539)+1,"")</f>
        <v/>
      </c>
      <c r="R539" t="str">
        <f t="shared" si="128"/>
        <v>华夏首创奥特莱斯封闭式基础设施证券投资基金|基金整体</v>
      </c>
      <c r="S539">
        <f>IF($A539="",0,IF(COUNTIF($R$2:$R539,$R539)=1,1,0))</f>
        <v>0</v>
      </c>
      <c r="T539">
        <f t="shared" si="129"/>
        <v>529</v>
      </c>
      <c r="U539" t="str">
        <f>IF($A539="","",IF($A539=经营数据!$B$3,COUNTIFS($S$2:$S$3000,1,$A$2:$A$3000,$A539,$T$2:$T$3000,"&lt;"&amp;$T539)+1,""))</f>
        <v/>
      </c>
      <c r="V539" t="str">
        <f t="shared" si="130"/>
        <v>基金整体|服务效率</v>
      </c>
      <c r="W539">
        <f t="shared" si="131"/>
        <v>2</v>
      </c>
      <c r="X539" t="str">
        <f t="shared" si="132"/>
        <v>基金整体|期末出租率</v>
      </c>
      <c r="Y539">
        <f t="shared" si="133"/>
        <v>5</v>
      </c>
      <c r="Z539">
        <f>IF($A539="",0,IF(AND($M539=1,$A539=经营数据!$B$3,$J539=经营数据!$BA$5,OR($I539=经营数据!$BA$4,COUNTIF(经营数据!$AA$9:$AA$38,$I539)&gt;0)),1,0))</f>
        <v>0</v>
      </c>
      <c r="AA539" t="str">
        <f t="shared" si="134"/>
        <v/>
      </c>
      <c r="AB539" t="str">
        <f t="shared" si="135"/>
        <v/>
      </c>
      <c r="AC539">
        <f>IF($A539="",0,IF(COUNTIF($A$2:$A539,$A539)=1,1,0))</f>
        <v>0</v>
      </c>
      <c r="AD539">
        <f t="shared" si="136"/>
        <v>7</v>
      </c>
      <c r="AE539" t="str">
        <f t="shared" si="137"/>
        <v>基金整体|期末出租率（%）</v>
      </c>
      <c r="BP539" s="47">
        <v>46175</v>
      </c>
      <c r="BQ539" s="29">
        <v>3.9693608084773908E-2</v>
      </c>
    </row>
    <row r="540" spans="1:69" x14ac:dyDescent="0.4">
      <c r="A540" t="str">
        <f>IF(原始经营数据!$D541="","",原始经营数据!$D541)</f>
        <v>华夏首创奥特莱斯封闭式基础设施证券投资基金</v>
      </c>
      <c r="B540" t="str">
        <f>IF(原始经营数据!$D541="","",T(原始经营数据!$E541))</f>
        <v>基金整体</v>
      </c>
      <c r="C540" t="str">
        <f>IF(原始经营数据!$D541="","",原始经营数据!$F541)</f>
        <v>2025Q1</v>
      </c>
      <c r="D540" t="str">
        <f>IF(原始经营数据!$D541="","",原始经营数据!$H541)</f>
        <v>期末可供出租面积</v>
      </c>
      <c r="E540">
        <f>IF(原始经营数据!$D541="","",原始经营数据!$I541)</f>
        <v>99072.05</v>
      </c>
      <c r="F540" t="str">
        <f>IF(原始经营数据!$D541="","",T(原始经营数据!$J541))</f>
        <v>平方米</v>
      </c>
      <c r="G540" t="str">
        <f>IF(原始经营数据!$D541="","",T(原始经营数据!$K541))</f>
        <v/>
      </c>
      <c r="H540" t="str">
        <f>IF(原始经营数据!$D541="","",原始经营数据!$G541)</f>
        <v>服务量</v>
      </c>
      <c r="I540" t="str">
        <f>IF($A540="","",IF($B540&lt;&gt;"",$B540,IF(COUNTIFS(原始经营数据!$D$3:$D$3001,$A540,原始经营数据!$E$3:$E$3001,"",原始经营数据!$F$3:$F$3001,$C540,原始经营数据!$H$3:$H$3001,$D540,原始经营数据!$K$3:$K$3001,$G540)&gt;1,"基金整体·来源"&amp;原始经营数据!$A541,"基金整体")))</f>
        <v>基金整体</v>
      </c>
      <c r="J540" t="str">
        <f t="shared" si="123"/>
        <v>季度</v>
      </c>
      <c r="K540" t="str">
        <f t="shared" si="124"/>
        <v>期末可供出租面积（平方米）</v>
      </c>
      <c r="L540" t="str">
        <f t="shared" si="125"/>
        <v>基金整体|期末可供出租面积（平方米）|季度</v>
      </c>
      <c r="M540">
        <f>IF($A540="",0,IF(COUNTIF($L$2:$L540,$L540)=1,1,0))</f>
        <v>0</v>
      </c>
      <c r="N540">
        <f t="shared" si="126"/>
        <v>20251</v>
      </c>
      <c r="O540" t="str">
        <f t="shared" si="127"/>
        <v>华夏首创奥特莱斯封闭式基础设施证券投资基金|2025Q1|季度</v>
      </c>
      <c r="P540">
        <f>IF($A540="",0,IF(COUNTIF($O$2:$O540,$O540)=1,1,0))</f>
        <v>0</v>
      </c>
      <c r="Q540" t="str">
        <f>IF(AND($P540=1,$A540=经营数据!$B$3,$J540=经营数据!$BA$5),COUNTIFS($P$2:$P$3000,1,$A$2:$A$3000,$A540,$J$2:$J$3000,$J540,$N$2:$N$3000,"&lt;"&amp;$N540)+1,"")</f>
        <v/>
      </c>
      <c r="R540" t="str">
        <f t="shared" si="128"/>
        <v>华夏首创奥特莱斯封闭式基础设施证券投资基金|基金整体</v>
      </c>
      <c r="S540">
        <f>IF($A540="",0,IF(COUNTIF($R$2:$R540,$R540)=1,1,0))</f>
        <v>0</v>
      </c>
      <c r="T540">
        <f t="shared" si="129"/>
        <v>529</v>
      </c>
      <c r="U540" t="str">
        <f>IF($A540="","",IF($A540=经营数据!$B$3,COUNTIFS($S$2:$S$3000,1,$A$2:$A$3000,$A540,$T$2:$T$3000,"&lt;"&amp;$T540)+1,""))</f>
        <v/>
      </c>
      <c r="V540" t="str">
        <f t="shared" si="130"/>
        <v>基金整体|服务量</v>
      </c>
      <c r="W540">
        <f t="shared" si="131"/>
        <v>1</v>
      </c>
      <c r="X540" t="str">
        <f t="shared" si="132"/>
        <v>基金整体|期末可供出租面积</v>
      </c>
      <c r="Y540">
        <f t="shared" si="133"/>
        <v>3</v>
      </c>
      <c r="Z540">
        <f>IF($A540="",0,IF(AND($M540=1,$A540=经营数据!$B$3,$J540=经营数据!$BA$5,OR($I540=经营数据!$BA$4,COUNTIF(经营数据!$AA$9:$AA$38,$I540)&gt;0)),1,0))</f>
        <v>0</v>
      </c>
      <c r="AA540" t="str">
        <f t="shared" si="134"/>
        <v/>
      </c>
      <c r="AB540" t="str">
        <f t="shared" si="135"/>
        <v/>
      </c>
      <c r="AC540">
        <f>IF($A540="",0,IF(COUNTIF($A$2:$A540,$A540)=1,1,0))</f>
        <v>0</v>
      </c>
      <c r="AD540">
        <f t="shared" si="136"/>
        <v>7</v>
      </c>
      <c r="AE540" t="str">
        <f t="shared" si="137"/>
        <v>基金整体|期末可供出租面积（平方米）</v>
      </c>
      <c r="BP540" s="47">
        <v>46176</v>
      </c>
      <c r="BQ540" s="29">
        <v>3.9588862388419153E-2</v>
      </c>
    </row>
    <row r="541" spans="1:69" x14ac:dyDescent="0.4">
      <c r="A541" t="str">
        <f>IF(原始经营数据!$D542="","",原始经营数据!$D542)</f>
        <v>华夏首创奥特莱斯封闭式基础设施证券投资基金</v>
      </c>
      <c r="B541" t="str">
        <f>IF(原始经营数据!$D542="","",T(原始经营数据!$E542))</f>
        <v>基金整体</v>
      </c>
      <c r="C541" t="str">
        <f>IF(原始经营数据!$D542="","",原始经营数据!$F542)</f>
        <v>2025Q1</v>
      </c>
      <c r="D541" t="str">
        <f>IF(原始经营数据!$D542="","",原始经营数据!$H542)</f>
        <v>期末剩余租期</v>
      </c>
      <c r="E541">
        <f>IF(原始经营数据!$D542="","",原始经营数据!$I542)</f>
        <v>1.52</v>
      </c>
      <c r="F541" t="str">
        <f>IF(原始经营数据!$D542="","",T(原始经营数据!$J542))</f>
        <v>年</v>
      </c>
      <c r="G541" t="str">
        <f>IF(原始经营数据!$D542="","",T(原始经营数据!$K542))</f>
        <v/>
      </c>
      <c r="H541" t="str">
        <f>IF(原始经营数据!$D542="","",原始经营数据!$G542)</f>
        <v>服务量</v>
      </c>
      <c r="I541" t="str">
        <f>IF($A541="","",IF($B541&lt;&gt;"",$B541,IF(COUNTIFS(原始经营数据!$D$3:$D$3001,$A541,原始经营数据!$E$3:$E$3001,"",原始经营数据!$F$3:$F$3001,$C541,原始经营数据!$H$3:$H$3001,$D541,原始经营数据!$K$3:$K$3001,$G541)&gt;1,"基金整体·来源"&amp;原始经营数据!$A542,"基金整体")))</f>
        <v>基金整体</v>
      </c>
      <c r="J541" t="str">
        <f t="shared" si="123"/>
        <v>季度</v>
      </c>
      <c r="K541" t="str">
        <f t="shared" si="124"/>
        <v>期末剩余租期（年）</v>
      </c>
      <c r="L541" t="str">
        <f t="shared" si="125"/>
        <v>基金整体|期末剩余租期（年）|季度</v>
      </c>
      <c r="M541">
        <f>IF($A541="",0,IF(COUNTIF($L$2:$L541,$L541)=1,1,0))</f>
        <v>0</v>
      </c>
      <c r="N541">
        <f t="shared" si="126"/>
        <v>20251</v>
      </c>
      <c r="O541" t="str">
        <f t="shared" si="127"/>
        <v>华夏首创奥特莱斯封闭式基础设施证券投资基金|2025Q1|季度</v>
      </c>
      <c r="P541">
        <f>IF($A541="",0,IF(COUNTIF($O$2:$O541,$O541)=1,1,0))</f>
        <v>0</v>
      </c>
      <c r="Q541" t="str">
        <f>IF(AND($P541=1,$A541=经营数据!$B$3,$J541=经营数据!$BA$5),COUNTIFS($P$2:$P$3000,1,$A$2:$A$3000,$A541,$J$2:$J$3000,$J541,$N$2:$N$3000,"&lt;"&amp;$N541)+1,"")</f>
        <v/>
      </c>
      <c r="R541" t="str">
        <f t="shared" si="128"/>
        <v>华夏首创奥特莱斯封闭式基础设施证券投资基金|基金整体</v>
      </c>
      <c r="S541">
        <f>IF($A541="",0,IF(COUNTIF($R$2:$R541,$R541)=1,1,0))</f>
        <v>0</v>
      </c>
      <c r="T541">
        <f t="shared" si="129"/>
        <v>529</v>
      </c>
      <c r="U541" t="str">
        <f>IF($A541="","",IF($A541=经营数据!$B$3,COUNTIFS($S$2:$S$3000,1,$A$2:$A$3000,$A541,$T$2:$T$3000,"&lt;"&amp;$T541)+1,""))</f>
        <v/>
      </c>
      <c r="V541" t="str">
        <f t="shared" si="130"/>
        <v>基金整体|服务量</v>
      </c>
      <c r="W541">
        <f t="shared" si="131"/>
        <v>1</v>
      </c>
      <c r="X541" t="str">
        <f t="shared" si="132"/>
        <v>基金整体|期末剩余租期</v>
      </c>
      <c r="Y541">
        <f t="shared" si="133"/>
        <v>534</v>
      </c>
      <c r="Z541">
        <f>IF($A541="",0,IF(AND($M541=1,$A541=经营数据!$B$3,$J541=经营数据!$BA$5,OR($I541=经营数据!$BA$4,COUNTIF(经营数据!$AA$9:$AA$38,$I541)&gt;0)),1,0))</f>
        <v>0</v>
      </c>
      <c r="AA541" t="str">
        <f t="shared" si="134"/>
        <v/>
      </c>
      <c r="AB541" t="str">
        <f t="shared" si="135"/>
        <v/>
      </c>
      <c r="AC541">
        <f>IF($A541="",0,IF(COUNTIF($A$2:$A541,$A541)=1,1,0))</f>
        <v>0</v>
      </c>
      <c r="AD541">
        <f t="shared" si="136"/>
        <v>7</v>
      </c>
      <c r="AE541" t="str">
        <f t="shared" si="137"/>
        <v>基金整体|期末剩余租期（年）</v>
      </c>
      <c r="BP541" s="47">
        <v>46177</v>
      </c>
      <c r="BQ541" s="29">
        <v>3.9542688405730338E-2</v>
      </c>
    </row>
    <row r="542" spans="1:69" x14ac:dyDescent="0.4">
      <c r="A542" t="str">
        <f>IF(原始经营数据!$D543="","",原始经营数据!$D543)</f>
        <v>华夏首创奥特莱斯封闭式基础设施证券投资基金</v>
      </c>
      <c r="B542" t="str">
        <f>IF(原始经营数据!$D543="","",T(原始经营数据!$E543))</f>
        <v>基金整体</v>
      </c>
      <c r="C542" t="str">
        <f>IF(原始经营数据!$D543="","",原始经营数据!$F543)</f>
        <v>2025Q1</v>
      </c>
      <c r="D542" t="str">
        <f>IF(原始经营数据!$D543="","",原始经营数据!$H543)</f>
        <v>期末实际出租面积</v>
      </c>
      <c r="E542">
        <f>IF(原始经营数据!$D543="","",原始经营数据!$I543)</f>
        <v>96552.95</v>
      </c>
      <c r="F542" t="str">
        <f>IF(原始经营数据!$D543="","",T(原始经营数据!$J543))</f>
        <v>平方米</v>
      </c>
      <c r="G542" t="str">
        <f>IF(原始经营数据!$D543="","",T(原始经营数据!$K543))</f>
        <v/>
      </c>
      <c r="H542" t="str">
        <f>IF(原始经营数据!$D543="","",原始经营数据!$G543)</f>
        <v>服务量</v>
      </c>
      <c r="I542" t="str">
        <f>IF($A542="","",IF($B542&lt;&gt;"",$B542,IF(COUNTIFS(原始经营数据!$D$3:$D$3001,$A542,原始经营数据!$E$3:$E$3001,"",原始经营数据!$F$3:$F$3001,$C542,原始经营数据!$H$3:$H$3001,$D542,原始经营数据!$K$3:$K$3001,$G542)&gt;1,"基金整体·来源"&amp;原始经营数据!$A543,"基金整体")))</f>
        <v>基金整体</v>
      </c>
      <c r="J542" t="str">
        <f t="shared" si="123"/>
        <v>季度</v>
      </c>
      <c r="K542" t="str">
        <f t="shared" si="124"/>
        <v>期末实际出租面积（平方米）</v>
      </c>
      <c r="L542" t="str">
        <f t="shared" si="125"/>
        <v>基金整体|期末实际出租面积（平方米）|季度</v>
      </c>
      <c r="M542">
        <f>IF($A542="",0,IF(COUNTIF($L$2:$L542,$L542)=1,1,0))</f>
        <v>0</v>
      </c>
      <c r="N542">
        <f t="shared" si="126"/>
        <v>20251</v>
      </c>
      <c r="O542" t="str">
        <f t="shared" si="127"/>
        <v>华夏首创奥特莱斯封闭式基础设施证券投资基金|2025Q1|季度</v>
      </c>
      <c r="P542">
        <f>IF($A542="",0,IF(COUNTIF($O$2:$O542,$O542)=1,1,0))</f>
        <v>0</v>
      </c>
      <c r="Q542" t="str">
        <f>IF(AND($P542=1,$A542=经营数据!$B$3,$J542=经营数据!$BA$5),COUNTIFS($P$2:$P$3000,1,$A$2:$A$3000,$A542,$J$2:$J$3000,$J542,$N$2:$N$3000,"&lt;"&amp;$N542)+1,"")</f>
        <v/>
      </c>
      <c r="R542" t="str">
        <f t="shared" si="128"/>
        <v>华夏首创奥特莱斯封闭式基础设施证券投资基金|基金整体</v>
      </c>
      <c r="S542">
        <f>IF($A542="",0,IF(COUNTIF($R$2:$R542,$R542)=1,1,0))</f>
        <v>0</v>
      </c>
      <c r="T542">
        <f t="shared" si="129"/>
        <v>529</v>
      </c>
      <c r="U542" t="str">
        <f>IF($A542="","",IF($A542=经营数据!$B$3,COUNTIFS($S$2:$S$3000,1,$A$2:$A$3000,$A542,$T$2:$T$3000,"&lt;"&amp;$T542)+1,""))</f>
        <v/>
      </c>
      <c r="V542" t="str">
        <f t="shared" si="130"/>
        <v>基金整体|服务量</v>
      </c>
      <c r="W542">
        <f t="shared" si="131"/>
        <v>1</v>
      </c>
      <c r="X542" t="str">
        <f t="shared" si="132"/>
        <v>基金整体|期末实际出租面积</v>
      </c>
      <c r="Y542">
        <f t="shared" si="133"/>
        <v>4</v>
      </c>
      <c r="Z542">
        <f>IF($A542="",0,IF(AND($M542=1,$A542=经营数据!$B$3,$J542=经营数据!$BA$5,OR($I542=经营数据!$BA$4,COUNTIF(经营数据!$AA$9:$AA$38,$I542)&gt;0)),1,0))</f>
        <v>0</v>
      </c>
      <c r="AA542" t="str">
        <f t="shared" si="134"/>
        <v/>
      </c>
      <c r="AB542" t="str">
        <f t="shared" si="135"/>
        <v/>
      </c>
      <c r="AC542">
        <f>IF($A542="",0,IF(COUNTIF($A$2:$A542,$A542)=1,1,0))</f>
        <v>0</v>
      </c>
      <c r="AD542">
        <f t="shared" si="136"/>
        <v>7</v>
      </c>
      <c r="AE542" t="str">
        <f t="shared" si="137"/>
        <v>基金整体|期末实际出租面积（平方米）</v>
      </c>
      <c r="BP542" s="47">
        <v>46178</v>
      </c>
      <c r="BQ542" s="29">
        <v>3.9364194982764958E-2</v>
      </c>
    </row>
    <row r="543" spans="1:69" x14ac:dyDescent="0.4">
      <c r="A543" t="str">
        <f>IF(原始经营数据!$D544="","",原始经营数据!$D544)</f>
        <v>华夏首创奥特莱斯封闭式基础设施证券投资基金</v>
      </c>
      <c r="B543" t="str">
        <f>IF(原始经营数据!$D544="","",T(原始经营数据!$E544))</f>
        <v>基金整体</v>
      </c>
      <c r="C543" t="str">
        <f>IF(原始经营数据!$D544="","",原始经营数据!$F544)</f>
        <v>2025Q2</v>
      </c>
      <c r="D543" t="str">
        <f>IF(原始经营数据!$D544="","",原始经营数据!$H544)</f>
        <v>期末出租率</v>
      </c>
      <c r="E543">
        <f>IF(原始经营数据!$D544="","",原始经营数据!$I544)</f>
        <v>97.11</v>
      </c>
      <c r="F543" t="str">
        <f>IF(原始经营数据!$D544="","",T(原始经营数据!$J544))</f>
        <v>%</v>
      </c>
      <c r="G543" t="str">
        <f>IF(原始经营数据!$D544="","",T(原始经营数据!$K544))</f>
        <v/>
      </c>
      <c r="H543" t="str">
        <f>IF(原始经营数据!$D544="","",原始经营数据!$G544)</f>
        <v>服务效率</v>
      </c>
      <c r="I543" t="str">
        <f>IF($A543="","",IF($B543&lt;&gt;"",$B543,IF(COUNTIFS(原始经营数据!$D$3:$D$3001,$A543,原始经营数据!$E$3:$E$3001,"",原始经营数据!$F$3:$F$3001,$C543,原始经营数据!$H$3:$H$3001,$D543,原始经营数据!$K$3:$K$3001,$G543)&gt;1,"基金整体·来源"&amp;原始经营数据!$A544,"基金整体")))</f>
        <v>基金整体</v>
      </c>
      <c r="J543" t="str">
        <f t="shared" si="123"/>
        <v>季度</v>
      </c>
      <c r="K543" t="str">
        <f t="shared" si="124"/>
        <v>期末出租率（%）</v>
      </c>
      <c r="L543" t="str">
        <f t="shared" si="125"/>
        <v>基金整体|期末出租率（%）|季度</v>
      </c>
      <c r="M543">
        <f>IF($A543="",0,IF(COUNTIF($L$2:$L543,$L543)=1,1,0))</f>
        <v>0</v>
      </c>
      <c r="N543">
        <f t="shared" si="126"/>
        <v>20252</v>
      </c>
      <c r="O543" t="str">
        <f t="shared" si="127"/>
        <v>华夏首创奥特莱斯封闭式基础设施证券投资基金|2025Q2|季度</v>
      </c>
      <c r="P543">
        <f>IF($A543="",0,IF(COUNTIF($O$2:$O543,$O543)=1,1,0))</f>
        <v>1</v>
      </c>
      <c r="Q543" t="str">
        <f>IF(AND($P543=1,$A543=经营数据!$B$3,$J543=经营数据!$BA$5),COUNTIFS($P$2:$P$3000,1,$A$2:$A$3000,$A543,$J$2:$J$3000,$J543,$N$2:$N$3000,"&lt;"&amp;$N543)+1,"")</f>
        <v/>
      </c>
      <c r="R543" t="str">
        <f t="shared" si="128"/>
        <v>华夏首创奥特莱斯封闭式基础设施证券投资基金|基金整体</v>
      </c>
      <c r="S543">
        <f>IF($A543="",0,IF(COUNTIF($R$2:$R543,$R543)=1,1,0))</f>
        <v>0</v>
      </c>
      <c r="T543">
        <f t="shared" si="129"/>
        <v>529</v>
      </c>
      <c r="U543" t="str">
        <f>IF($A543="","",IF($A543=经营数据!$B$3,COUNTIFS($S$2:$S$3000,1,$A$2:$A$3000,$A543,$T$2:$T$3000,"&lt;"&amp;$T543)+1,""))</f>
        <v/>
      </c>
      <c r="V543" t="str">
        <f t="shared" si="130"/>
        <v>基金整体|服务效率</v>
      </c>
      <c r="W543">
        <f t="shared" si="131"/>
        <v>2</v>
      </c>
      <c r="X543" t="str">
        <f t="shared" si="132"/>
        <v>基金整体|期末出租率</v>
      </c>
      <c r="Y543">
        <f t="shared" si="133"/>
        <v>5</v>
      </c>
      <c r="Z543">
        <f>IF($A543="",0,IF(AND($M543=1,$A543=经营数据!$B$3,$J543=经营数据!$BA$5,OR($I543=经营数据!$BA$4,COUNTIF(经营数据!$AA$9:$AA$38,$I543)&gt;0)),1,0))</f>
        <v>0</v>
      </c>
      <c r="AA543" t="str">
        <f t="shared" si="134"/>
        <v/>
      </c>
      <c r="AB543" t="str">
        <f t="shared" si="135"/>
        <v/>
      </c>
      <c r="AC543">
        <f>IF($A543="",0,IF(COUNTIF($A$2:$A543,$A543)=1,1,0))</f>
        <v>0</v>
      </c>
      <c r="AD543">
        <f t="shared" si="136"/>
        <v>7</v>
      </c>
      <c r="AE543" t="str">
        <f t="shared" si="137"/>
        <v>基金整体|期末出租率（%）</v>
      </c>
      <c r="BP543" s="47">
        <v>46181</v>
      </c>
      <c r="BQ543" s="29">
        <v>3.9493656751526961E-2</v>
      </c>
    </row>
    <row r="544" spans="1:69" x14ac:dyDescent="0.4">
      <c r="A544" t="str">
        <f>IF(原始经营数据!$D545="","",原始经营数据!$D545)</f>
        <v>华夏首创奥特莱斯封闭式基础设施证券投资基金</v>
      </c>
      <c r="B544" t="str">
        <f>IF(原始经营数据!$D545="","",T(原始经营数据!$E545))</f>
        <v>基金整体</v>
      </c>
      <c r="C544" t="str">
        <f>IF(原始经营数据!$D545="","",原始经营数据!$F545)</f>
        <v>2025Q2</v>
      </c>
      <c r="D544" t="str">
        <f>IF(原始经营数据!$D545="","",原始经营数据!$H545)</f>
        <v>期内租金单价</v>
      </c>
      <c r="E544">
        <f>IF(原始经营数据!$D545="","",原始经营数据!$I545)</f>
        <v>153.03</v>
      </c>
      <c r="F544" t="str">
        <f>IF(原始经营数据!$D545="","",T(原始经营数据!$J545))</f>
        <v>元/平方米/月</v>
      </c>
      <c r="G544" t="str">
        <f>IF(原始经营数据!$D545="","",T(原始经营数据!$K545))</f>
        <v/>
      </c>
      <c r="H544" t="str">
        <f>IF(原始经营数据!$D545="","",原始经营数据!$G545)</f>
        <v>服务价格</v>
      </c>
      <c r="I544" t="str">
        <f>IF($A544="","",IF($B544&lt;&gt;"",$B544,IF(COUNTIFS(原始经营数据!$D$3:$D$3001,$A544,原始经营数据!$E$3:$E$3001,"",原始经营数据!$F$3:$F$3001,$C544,原始经营数据!$H$3:$H$3001,$D544,原始经营数据!$K$3:$K$3001,$G544)&gt;1,"基金整体·来源"&amp;原始经营数据!$A545,"基金整体")))</f>
        <v>基金整体</v>
      </c>
      <c r="J544" t="str">
        <f t="shared" si="123"/>
        <v>季度</v>
      </c>
      <c r="K544" t="str">
        <f t="shared" si="124"/>
        <v>期内租金单价（元/平方米/月）</v>
      </c>
      <c r="L544" t="str">
        <f t="shared" si="125"/>
        <v>基金整体|期内租金单价（元/平方米/月）|季度</v>
      </c>
      <c r="M544">
        <f>IF($A544="",0,IF(COUNTIF($L$2:$L544,$L544)=1,1,0))</f>
        <v>0</v>
      </c>
      <c r="N544">
        <f t="shared" si="126"/>
        <v>20252</v>
      </c>
      <c r="O544" t="str">
        <f t="shared" si="127"/>
        <v>华夏首创奥特莱斯封闭式基础设施证券投资基金|2025Q2|季度</v>
      </c>
      <c r="P544">
        <f>IF($A544="",0,IF(COUNTIF($O$2:$O544,$O544)=1,1,0))</f>
        <v>0</v>
      </c>
      <c r="Q544" t="str">
        <f>IF(AND($P544=1,$A544=经营数据!$B$3,$J544=经营数据!$BA$5),COUNTIFS($P$2:$P$3000,1,$A$2:$A$3000,$A544,$J$2:$J$3000,$J544,$N$2:$N$3000,"&lt;"&amp;$N544)+1,"")</f>
        <v/>
      </c>
      <c r="R544" t="str">
        <f t="shared" si="128"/>
        <v>华夏首创奥特莱斯封闭式基础设施证券投资基金|基金整体</v>
      </c>
      <c r="S544">
        <f>IF($A544="",0,IF(COUNTIF($R$2:$R544,$R544)=1,1,0))</f>
        <v>0</v>
      </c>
      <c r="T544">
        <f t="shared" si="129"/>
        <v>529</v>
      </c>
      <c r="U544" t="str">
        <f>IF($A544="","",IF($A544=经营数据!$B$3,COUNTIFS($S$2:$S$3000,1,$A$2:$A$3000,$A544,$T$2:$T$3000,"&lt;"&amp;$T544)+1,""))</f>
        <v/>
      </c>
      <c r="V544" t="str">
        <f t="shared" si="130"/>
        <v>基金整体|服务价格</v>
      </c>
      <c r="W544">
        <f t="shared" si="131"/>
        <v>10</v>
      </c>
      <c r="X544" t="str">
        <f t="shared" si="132"/>
        <v>基金整体|期内租金单价</v>
      </c>
      <c r="Y544">
        <f t="shared" si="133"/>
        <v>537</v>
      </c>
      <c r="Z544">
        <f>IF($A544="",0,IF(AND($M544=1,$A544=经营数据!$B$3,$J544=经营数据!$BA$5,OR($I544=经营数据!$BA$4,COUNTIF(经营数据!$AA$9:$AA$38,$I544)&gt;0)),1,0))</f>
        <v>0</v>
      </c>
      <c r="AA544" t="str">
        <f t="shared" si="134"/>
        <v/>
      </c>
      <c r="AB544" t="str">
        <f t="shared" si="135"/>
        <v/>
      </c>
      <c r="AC544">
        <f>IF($A544="",0,IF(COUNTIF($A$2:$A544,$A544)=1,1,0))</f>
        <v>0</v>
      </c>
      <c r="AD544">
        <f t="shared" si="136"/>
        <v>7</v>
      </c>
      <c r="AE544" t="str">
        <f t="shared" si="137"/>
        <v>基金整体|期内租金单价（元/平方米/月）</v>
      </c>
      <c r="BP544" s="47">
        <v>46182</v>
      </c>
      <c r="BQ544" s="29">
        <v>3.967487320547506E-2</v>
      </c>
    </row>
    <row r="545" spans="1:69" x14ac:dyDescent="0.4">
      <c r="A545" t="str">
        <f>IF(原始经营数据!$D546="","",原始经营数据!$D546)</f>
        <v>华夏首创奥特莱斯封闭式基础设施证券投资基金</v>
      </c>
      <c r="B545" t="str">
        <f>IF(原始经营数据!$D546="","",T(原始经营数据!$E546))</f>
        <v>基金整体</v>
      </c>
      <c r="C545" t="str">
        <f>IF(原始经营数据!$D546="","",原始经营数据!$F546)</f>
        <v>2025Q2</v>
      </c>
      <c r="D545" t="str">
        <f>IF(原始经营数据!$D546="","",原始经营数据!$H546)</f>
        <v>期末剩余租期</v>
      </c>
      <c r="E545">
        <f>IF(原始经营数据!$D546="","",原始经营数据!$I546)</f>
        <v>1.69</v>
      </c>
      <c r="F545" t="str">
        <f>IF(原始经营数据!$D546="","",T(原始经营数据!$J546))</f>
        <v>年</v>
      </c>
      <c r="G545" t="str">
        <f>IF(原始经营数据!$D546="","",T(原始经营数据!$K546))</f>
        <v/>
      </c>
      <c r="H545" t="str">
        <f>IF(原始经营数据!$D546="","",原始经营数据!$G546)</f>
        <v>服务量</v>
      </c>
      <c r="I545" t="str">
        <f>IF($A545="","",IF($B545&lt;&gt;"",$B545,IF(COUNTIFS(原始经营数据!$D$3:$D$3001,$A545,原始经营数据!$E$3:$E$3001,"",原始经营数据!$F$3:$F$3001,$C545,原始经营数据!$H$3:$H$3001,$D545,原始经营数据!$K$3:$K$3001,$G545)&gt;1,"基金整体·来源"&amp;原始经营数据!$A546,"基金整体")))</f>
        <v>基金整体</v>
      </c>
      <c r="J545" t="str">
        <f t="shared" si="123"/>
        <v>季度</v>
      </c>
      <c r="K545" t="str">
        <f t="shared" si="124"/>
        <v>期末剩余租期（年）</v>
      </c>
      <c r="L545" t="str">
        <f t="shared" si="125"/>
        <v>基金整体|期末剩余租期（年）|季度</v>
      </c>
      <c r="M545">
        <f>IF($A545="",0,IF(COUNTIF($L$2:$L545,$L545)=1,1,0))</f>
        <v>0</v>
      </c>
      <c r="N545">
        <f t="shared" si="126"/>
        <v>20252</v>
      </c>
      <c r="O545" t="str">
        <f t="shared" si="127"/>
        <v>华夏首创奥特莱斯封闭式基础设施证券投资基金|2025Q2|季度</v>
      </c>
      <c r="P545">
        <f>IF($A545="",0,IF(COUNTIF($O$2:$O545,$O545)=1,1,0))</f>
        <v>0</v>
      </c>
      <c r="Q545" t="str">
        <f>IF(AND($P545=1,$A545=经营数据!$B$3,$J545=经营数据!$BA$5),COUNTIFS($P$2:$P$3000,1,$A$2:$A$3000,$A545,$J$2:$J$3000,$J545,$N$2:$N$3000,"&lt;"&amp;$N545)+1,"")</f>
        <v/>
      </c>
      <c r="R545" t="str">
        <f t="shared" si="128"/>
        <v>华夏首创奥特莱斯封闭式基础设施证券投资基金|基金整体</v>
      </c>
      <c r="S545">
        <f>IF($A545="",0,IF(COUNTIF($R$2:$R545,$R545)=1,1,0))</f>
        <v>0</v>
      </c>
      <c r="T545">
        <f t="shared" si="129"/>
        <v>529</v>
      </c>
      <c r="U545" t="str">
        <f>IF($A545="","",IF($A545=经营数据!$B$3,COUNTIFS($S$2:$S$3000,1,$A$2:$A$3000,$A545,$T$2:$T$3000,"&lt;"&amp;$T545)+1,""))</f>
        <v/>
      </c>
      <c r="V545" t="str">
        <f t="shared" si="130"/>
        <v>基金整体|服务量</v>
      </c>
      <c r="W545">
        <f t="shared" si="131"/>
        <v>1</v>
      </c>
      <c r="X545" t="str">
        <f t="shared" si="132"/>
        <v>基金整体|期末剩余租期</v>
      </c>
      <c r="Y545">
        <f t="shared" si="133"/>
        <v>534</v>
      </c>
      <c r="Z545">
        <f>IF($A545="",0,IF(AND($M545=1,$A545=经营数据!$B$3,$J545=经营数据!$BA$5,OR($I545=经营数据!$BA$4,COUNTIF(经营数据!$AA$9:$AA$38,$I545)&gt;0)),1,0))</f>
        <v>0</v>
      </c>
      <c r="AA545" t="str">
        <f t="shared" si="134"/>
        <v/>
      </c>
      <c r="AB545" t="str">
        <f t="shared" si="135"/>
        <v/>
      </c>
      <c r="AC545">
        <f>IF($A545="",0,IF(COUNTIF($A$2:$A545,$A545)=1,1,0))</f>
        <v>0</v>
      </c>
      <c r="AD545">
        <f t="shared" si="136"/>
        <v>7</v>
      </c>
      <c r="AE545" t="str">
        <f t="shared" si="137"/>
        <v>基金整体|期末剩余租期（年）</v>
      </c>
      <c r="BP545" s="47">
        <v>46183</v>
      </c>
      <c r="BQ545" s="29">
        <v>4.0031234050455493E-2</v>
      </c>
    </row>
    <row r="546" spans="1:69" x14ac:dyDescent="0.4">
      <c r="A546" t="str">
        <f>IF(原始经营数据!$D547="","",原始经营数据!$D547)</f>
        <v>华夏首创奥特莱斯封闭式基础设施证券投资基金</v>
      </c>
      <c r="B546" t="str">
        <f>IF(原始经营数据!$D547="","",T(原始经营数据!$E547))</f>
        <v>基金整体</v>
      </c>
      <c r="C546" t="str">
        <f>IF(原始经营数据!$D547="","",原始经营数据!$F547)</f>
        <v>2025Q2</v>
      </c>
      <c r="D546" t="str">
        <f>IF(原始经营数据!$D547="","",原始经营数据!$H547)</f>
        <v>期末租金收缴率</v>
      </c>
      <c r="E546">
        <f>IF(原始经营数据!$D547="","",原始经营数据!$I547)</f>
        <v>100</v>
      </c>
      <c r="F546" t="str">
        <f>IF(原始经营数据!$D547="","",T(原始经营数据!$J547))</f>
        <v>%</v>
      </c>
      <c r="G546" t="str">
        <f>IF(原始经营数据!$D547="","",T(原始经营数据!$K547))</f>
        <v/>
      </c>
      <c r="H546" t="str">
        <f>IF(原始经营数据!$D547="","",原始经营数据!$G547)</f>
        <v>服务效率</v>
      </c>
      <c r="I546" t="str">
        <f>IF($A546="","",IF($B546&lt;&gt;"",$B546,IF(COUNTIFS(原始经营数据!$D$3:$D$3001,$A546,原始经营数据!$E$3:$E$3001,"",原始经营数据!$F$3:$F$3001,$C546,原始经营数据!$H$3:$H$3001,$D546,原始经营数据!$K$3:$K$3001,$G546)&gt;1,"基金整体·来源"&amp;原始经营数据!$A547,"基金整体")))</f>
        <v>基金整体</v>
      </c>
      <c r="J546" t="str">
        <f t="shared" si="123"/>
        <v>季度</v>
      </c>
      <c r="K546" t="str">
        <f t="shared" si="124"/>
        <v>期末租金收缴率（%）</v>
      </c>
      <c r="L546" t="str">
        <f t="shared" si="125"/>
        <v>基金整体|期末租金收缴率（%）|季度</v>
      </c>
      <c r="M546">
        <f>IF($A546="",0,IF(COUNTIF($L$2:$L546,$L546)=1,1,0))</f>
        <v>0</v>
      </c>
      <c r="N546">
        <f t="shared" si="126"/>
        <v>20252</v>
      </c>
      <c r="O546" t="str">
        <f t="shared" si="127"/>
        <v>华夏首创奥特莱斯封闭式基础设施证券投资基金|2025Q2|季度</v>
      </c>
      <c r="P546">
        <f>IF($A546="",0,IF(COUNTIF($O$2:$O546,$O546)=1,1,0))</f>
        <v>0</v>
      </c>
      <c r="Q546" t="str">
        <f>IF(AND($P546=1,$A546=经营数据!$B$3,$J546=经营数据!$BA$5),COUNTIFS($P$2:$P$3000,1,$A$2:$A$3000,$A546,$J$2:$J$3000,$J546,$N$2:$N$3000,"&lt;"&amp;$N546)+1,"")</f>
        <v/>
      </c>
      <c r="R546" t="str">
        <f t="shared" si="128"/>
        <v>华夏首创奥特莱斯封闭式基础设施证券投资基金|基金整体</v>
      </c>
      <c r="S546">
        <f>IF($A546="",0,IF(COUNTIF($R$2:$R546,$R546)=1,1,0))</f>
        <v>0</v>
      </c>
      <c r="T546">
        <f t="shared" si="129"/>
        <v>529</v>
      </c>
      <c r="U546" t="str">
        <f>IF($A546="","",IF($A546=经营数据!$B$3,COUNTIFS($S$2:$S$3000,1,$A$2:$A$3000,$A546,$T$2:$T$3000,"&lt;"&amp;$T546)+1,""))</f>
        <v/>
      </c>
      <c r="V546" t="str">
        <f t="shared" si="130"/>
        <v>基金整体|服务效率</v>
      </c>
      <c r="W546">
        <f t="shared" si="131"/>
        <v>2</v>
      </c>
      <c r="X546" t="str">
        <f t="shared" si="132"/>
        <v>基金整体|期末租金收缴率</v>
      </c>
      <c r="Y546">
        <f t="shared" si="133"/>
        <v>530</v>
      </c>
      <c r="Z546">
        <f>IF($A546="",0,IF(AND($M546=1,$A546=经营数据!$B$3,$J546=经营数据!$BA$5,OR($I546=经营数据!$BA$4,COUNTIF(经营数据!$AA$9:$AA$38,$I546)&gt;0)),1,0))</f>
        <v>0</v>
      </c>
      <c r="AA546" t="str">
        <f t="shared" si="134"/>
        <v/>
      </c>
      <c r="AB546" t="str">
        <f t="shared" si="135"/>
        <v/>
      </c>
      <c r="AC546">
        <f>IF($A546="",0,IF(COUNTIF($A$2:$A546,$A546)=1,1,0))</f>
        <v>0</v>
      </c>
      <c r="AD546">
        <f t="shared" si="136"/>
        <v>7</v>
      </c>
      <c r="AE546" t="str">
        <f t="shared" si="137"/>
        <v>基金整体|期末租金收缴率（%）</v>
      </c>
      <c r="BP546" s="47">
        <v>46184</v>
      </c>
      <c r="BQ546" s="29">
        <v>4.0283594275685071E-2</v>
      </c>
    </row>
    <row r="547" spans="1:69" x14ac:dyDescent="0.4">
      <c r="A547" t="str">
        <f>IF(原始经营数据!$D548="","",原始经营数据!$D548)</f>
        <v>华夏首创奥特莱斯封闭式基础设施证券投资基金</v>
      </c>
      <c r="B547" t="str">
        <f>IF(原始经营数据!$D548="","",T(原始经营数据!$E548))</f>
        <v>基金整体</v>
      </c>
      <c r="C547" t="str">
        <f>IF(原始经营数据!$D548="","",原始经营数据!$F548)</f>
        <v>2025Q2</v>
      </c>
      <c r="D547" t="str">
        <f>IF(原始经营数据!$D548="","",原始经营数据!$H548)</f>
        <v>期内租金单价水平</v>
      </c>
      <c r="E547">
        <f>IF(原始经营数据!$D548="","",原始经营数据!$I548)</f>
        <v>153.03</v>
      </c>
      <c r="F547" t="str">
        <f>IF(原始经营数据!$D548="","",T(原始经营数据!$J548))</f>
        <v>元/平方米/月</v>
      </c>
      <c r="G547" t="str">
        <f>IF(原始经营数据!$D548="","",T(原始经营数据!$K548))</f>
        <v/>
      </c>
      <c r="H547" t="str">
        <f>IF(原始经营数据!$D548="","",原始经营数据!$G548)</f>
        <v>服务价格</v>
      </c>
      <c r="I547" t="str">
        <f>IF($A547="","",IF($B547&lt;&gt;"",$B547,IF(COUNTIFS(原始经营数据!$D$3:$D$3001,$A547,原始经营数据!$E$3:$E$3001,"",原始经营数据!$F$3:$F$3001,$C547,原始经营数据!$H$3:$H$3001,$D547,原始经营数据!$K$3:$K$3001,$G547)&gt;1,"基金整体·来源"&amp;原始经营数据!$A548,"基金整体")))</f>
        <v>基金整体</v>
      </c>
      <c r="J547" t="str">
        <f t="shared" si="123"/>
        <v>季度</v>
      </c>
      <c r="K547" t="str">
        <f t="shared" si="124"/>
        <v>期内租金单价水平（元/平方米/月）</v>
      </c>
      <c r="L547" t="str">
        <f t="shared" si="125"/>
        <v>基金整体|期内租金单价水平（元/平方米/月）|季度</v>
      </c>
      <c r="M547">
        <f>IF($A547="",0,IF(COUNTIF($L$2:$L547,$L547)=1,1,0))</f>
        <v>0</v>
      </c>
      <c r="N547">
        <f t="shared" si="126"/>
        <v>20252</v>
      </c>
      <c r="O547" t="str">
        <f t="shared" si="127"/>
        <v>华夏首创奥特莱斯封闭式基础设施证券投资基金|2025Q2|季度</v>
      </c>
      <c r="P547">
        <f>IF($A547="",0,IF(COUNTIF($O$2:$O547,$O547)=1,1,0))</f>
        <v>0</v>
      </c>
      <c r="Q547" t="str">
        <f>IF(AND($P547=1,$A547=经营数据!$B$3,$J547=经营数据!$BA$5),COUNTIFS($P$2:$P$3000,1,$A$2:$A$3000,$A547,$J$2:$J$3000,$J547,$N$2:$N$3000,"&lt;"&amp;$N547)+1,"")</f>
        <v/>
      </c>
      <c r="R547" t="str">
        <f t="shared" si="128"/>
        <v>华夏首创奥特莱斯封闭式基础设施证券投资基金|基金整体</v>
      </c>
      <c r="S547">
        <f>IF($A547="",0,IF(COUNTIF($R$2:$R547,$R547)=1,1,0))</f>
        <v>0</v>
      </c>
      <c r="T547">
        <f t="shared" si="129"/>
        <v>529</v>
      </c>
      <c r="U547" t="str">
        <f>IF($A547="","",IF($A547=经营数据!$B$3,COUNTIFS($S$2:$S$3000,1,$A$2:$A$3000,$A547,$T$2:$T$3000,"&lt;"&amp;$T547)+1,""))</f>
        <v/>
      </c>
      <c r="V547" t="str">
        <f t="shared" si="130"/>
        <v>基金整体|服务价格</v>
      </c>
      <c r="W547">
        <f t="shared" si="131"/>
        <v>10</v>
      </c>
      <c r="X547" t="str">
        <f t="shared" si="132"/>
        <v>基金整体|期内租金单价水平</v>
      </c>
      <c r="Y547">
        <f t="shared" si="133"/>
        <v>529</v>
      </c>
      <c r="Z547">
        <f>IF($A547="",0,IF(AND($M547=1,$A547=经营数据!$B$3,$J547=经营数据!$BA$5,OR($I547=经营数据!$BA$4,COUNTIF(经营数据!$AA$9:$AA$38,$I547)&gt;0)),1,0))</f>
        <v>0</v>
      </c>
      <c r="AA547" t="str">
        <f t="shared" si="134"/>
        <v/>
      </c>
      <c r="AB547" t="str">
        <f t="shared" si="135"/>
        <v/>
      </c>
      <c r="AC547">
        <f>IF($A547="",0,IF(COUNTIF($A$2:$A547,$A547)=1,1,0))</f>
        <v>0</v>
      </c>
      <c r="AD547">
        <f t="shared" si="136"/>
        <v>7</v>
      </c>
      <c r="AE547" t="str">
        <f t="shared" si="137"/>
        <v>基金整体|期内租金单价水平（元/平方米/月）</v>
      </c>
      <c r="BP547" s="47">
        <v>46185</v>
      </c>
      <c r="BQ547" s="29">
        <v>4.0124214268069149E-2</v>
      </c>
    </row>
    <row r="548" spans="1:69" x14ac:dyDescent="0.4">
      <c r="A548" t="str">
        <f>IF(原始经营数据!$D549="","",原始经营数据!$D549)</f>
        <v>华夏首创奥特莱斯封闭式基础设施证券投资基金</v>
      </c>
      <c r="B548" t="str">
        <f>IF(原始经营数据!$D549="","",T(原始经营数据!$E549))</f>
        <v>基金整体</v>
      </c>
      <c r="C548" t="str">
        <f>IF(原始经营数据!$D549="","",原始经营数据!$F549)</f>
        <v>2025Q2</v>
      </c>
      <c r="D548" t="str">
        <f>IF(原始经营数据!$D549="","",原始经营数据!$H549)</f>
        <v>期末实际出租面积</v>
      </c>
      <c r="E548">
        <f>IF(原始经营数据!$D549="","",原始经营数据!$I549)</f>
        <v>96207.33</v>
      </c>
      <c r="F548" t="str">
        <f>IF(原始经营数据!$D549="","",T(原始经营数据!$J549))</f>
        <v>平方米</v>
      </c>
      <c r="G548" t="str">
        <f>IF(原始经营数据!$D549="","",T(原始经营数据!$K549))</f>
        <v/>
      </c>
      <c r="H548" t="str">
        <f>IF(原始经营数据!$D549="","",原始经营数据!$G549)</f>
        <v>服务量</v>
      </c>
      <c r="I548" t="str">
        <f>IF($A548="","",IF($B548&lt;&gt;"",$B548,IF(COUNTIFS(原始经营数据!$D$3:$D$3001,$A548,原始经营数据!$E$3:$E$3001,"",原始经营数据!$F$3:$F$3001,$C548,原始经营数据!$H$3:$H$3001,$D548,原始经营数据!$K$3:$K$3001,$G548)&gt;1,"基金整体·来源"&amp;原始经营数据!$A549,"基金整体")))</f>
        <v>基金整体</v>
      </c>
      <c r="J548" t="str">
        <f t="shared" si="123"/>
        <v>季度</v>
      </c>
      <c r="K548" t="str">
        <f t="shared" si="124"/>
        <v>期末实际出租面积（平方米）</v>
      </c>
      <c r="L548" t="str">
        <f t="shared" si="125"/>
        <v>基金整体|期末实际出租面积（平方米）|季度</v>
      </c>
      <c r="M548">
        <f>IF($A548="",0,IF(COUNTIF($L$2:$L548,$L548)=1,1,0))</f>
        <v>0</v>
      </c>
      <c r="N548">
        <f t="shared" si="126"/>
        <v>20252</v>
      </c>
      <c r="O548" t="str">
        <f t="shared" si="127"/>
        <v>华夏首创奥特莱斯封闭式基础设施证券投资基金|2025Q2|季度</v>
      </c>
      <c r="P548">
        <f>IF($A548="",0,IF(COUNTIF($O$2:$O548,$O548)=1,1,0))</f>
        <v>0</v>
      </c>
      <c r="Q548" t="str">
        <f>IF(AND($P548=1,$A548=经营数据!$B$3,$J548=经营数据!$BA$5),COUNTIFS($P$2:$P$3000,1,$A$2:$A$3000,$A548,$J$2:$J$3000,$J548,$N$2:$N$3000,"&lt;"&amp;$N548)+1,"")</f>
        <v/>
      </c>
      <c r="R548" t="str">
        <f t="shared" si="128"/>
        <v>华夏首创奥特莱斯封闭式基础设施证券投资基金|基金整体</v>
      </c>
      <c r="S548">
        <f>IF($A548="",0,IF(COUNTIF($R$2:$R548,$R548)=1,1,0))</f>
        <v>0</v>
      </c>
      <c r="T548">
        <f t="shared" si="129"/>
        <v>529</v>
      </c>
      <c r="U548" t="str">
        <f>IF($A548="","",IF($A548=经营数据!$B$3,COUNTIFS($S$2:$S$3000,1,$A$2:$A$3000,$A548,$T$2:$T$3000,"&lt;"&amp;$T548)+1,""))</f>
        <v/>
      </c>
      <c r="V548" t="str">
        <f t="shared" si="130"/>
        <v>基金整体|服务量</v>
      </c>
      <c r="W548">
        <f t="shared" si="131"/>
        <v>1</v>
      </c>
      <c r="X548" t="str">
        <f t="shared" si="132"/>
        <v>基金整体|期末实际出租面积</v>
      </c>
      <c r="Y548">
        <f t="shared" si="133"/>
        <v>4</v>
      </c>
      <c r="Z548">
        <f>IF($A548="",0,IF(AND($M548=1,$A548=经营数据!$B$3,$J548=经营数据!$BA$5,OR($I548=经营数据!$BA$4,COUNTIF(经营数据!$AA$9:$AA$38,$I548)&gt;0)),1,0))</f>
        <v>0</v>
      </c>
      <c r="AA548" t="str">
        <f t="shared" si="134"/>
        <v/>
      </c>
      <c r="AB548" t="str">
        <f t="shared" si="135"/>
        <v/>
      </c>
      <c r="AC548">
        <f>IF($A548="",0,IF(COUNTIF($A$2:$A548,$A548)=1,1,0))</f>
        <v>0</v>
      </c>
      <c r="AD548">
        <f t="shared" si="136"/>
        <v>7</v>
      </c>
      <c r="AE548" t="str">
        <f t="shared" si="137"/>
        <v>基金整体|期末实际出租面积（平方米）</v>
      </c>
      <c r="BP548" s="47">
        <v>46188</v>
      </c>
      <c r="BQ548" s="29">
        <v>4.0230426355118518E-2</v>
      </c>
    </row>
    <row r="549" spans="1:69" x14ac:dyDescent="0.4">
      <c r="A549" t="str">
        <f>IF(原始经营数据!$D550="","",原始经营数据!$D550)</f>
        <v>华夏首创奥特莱斯封闭式基础设施证券投资基金</v>
      </c>
      <c r="B549" t="str">
        <f>IF(原始经营数据!$D550="","",T(原始经营数据!$E550))</f>
        <v>基金整体</v>
      </c>
      <c r="C549" t="str">
        <f>IF(原始经营数据!$D550="","",原始经营数据!$F550)</f>
        <v>2025Q2</v>
      </c>
      <c r="D549" t="str">
        <f>IF(原始经营数据!$D550="","",原始经营数据!$H550)</f>
        <v>期末可供出租面积</v>
      </c>
      <c r="E549">
        <f>IF(原始经营数据!$D550="","",原始经营数据!$I550)</f>
        <v>99072.05</v>
      </c>
      <c r="F549" t="str">
        <f>IF(原始经营数据!$D550="","",T(原始经营数据!$J550))</f>
        <v>平方米</v>
      </c>
      <c r="G549" t="str">
        <f>IF(原始经营数据!$D550="","",T(原始经营数据!$K550))</f>
        <v/>
      </c>
      <c r="H549" t="str">
        <f>IF(原始经营数据!$D550="","",原始经营数据!$G550)</f>
        <v>服务量</v>
      </c>
      <c r="I549" t="str">
        <f>IF($A549="","",IF($B549&lt;&gt;"",$B549,IF(COUNTIFS(原始经营数据!$D$3:$D$3001,$A549,原始经营数据!$E$3:$E$3001,"",原始经营数据!$F$3:$F$3001,$C549,原始经营数据!$H$3:$H$3001,$D549,原始经营数据!$K$3:$K$3001,$G549)&gt;1,"基金整体·来源"&amp;原始经营数据!$A550,"基金整体")))</f>
        <v>基金整体</v>
      </c>
      <c r="J549" t="str">
        <f t="shared" si="123"/>
        <v>季度</v>
      </c>
      <c r="K549" t="str">
        <f t="shared" si="124"/>
        <v>期末可供出租面积（平方米）</v>
      </c>
      <c r="L549" t="str">
        <f t="shared" si="125"/>
        <v>基金整体|期末可供出租面积（平方米）|季度</v>
      </c>
      <c r="M549">
        <f>IF($A549="",0,IF(COUNTIF($L$2:$L549,$L549)=1,1,0))</f>
        <v>0</v>
      </c>
      <c r="N549">
        <f t="shared" si="126"/>
        <v>20252</v>
      </c>
      <c r="O549" t="str">
        <f t="shared" si="127"/>
        <v>华夏首创奥特莱斯封闭式基础设施证券投资基金|2025Q2|季度</v>
      </c>
      <c r="P549">
        <f>IF($A549="",0,IF(COUNTIF($O$2:$O549,$O549)=1,1,0))</f>
        <v>0</v>
      </c>
      <c r="Q549" t="str">
        <f>IF(AND($P549=1,$A549=经营数据!$B$3,$J549=经营数据!$BA$5),COUNTIFS($P$2:$P$3000,1,$A$2:$A$3000,$A549,$J$2:$J$3000,$J549,$N$2:$N$3000,"&lt;"&amp;$N549)+1,"")</f>
        <v/>
      </c>
      <c r="R549" t="str">
        <f t="shared" si="128"/>
        <v>华夏首创奥特莱斯封闭式基础设施证券投资基金|基金整体</v>
      </c>
      <c r="S549">
        <f>IF($A549="",0,IF(COUNTIF($R$2:$R549,$R549)=1,1,0))</f>
        <v>0</v>
      </c>
      <c r="T549">
        <f t="shared" si="129"/>
        <v>529</v>
      </c>
      <c r="U549" t="str">
        <f>IF($A549="","",IF($A549=经营数据!$B$3,COUNTIFS($S$2:$S$3000,1,$A$2:$A$3000,$A549,$T$2:$T$3000,"&lt;"&amp;$T549)+1,""))</f>
        <v/>
      </c>
      <c r="V549" t="str">
        <f t="shared" si="130"/>
        <v>基金整体|服务量</v>
      </c>
      <c r="W549">
        <f t="shared" si="131"/>
        <v>1</v>
      </c>
      <c r="X549" t="str">
        <f t="shared" si="132"/>
        <v>基金整体|期末可供出租面积</v>
      </c>
      <c r="Y549">
        <f t="shared" si="133"/>
        <v>3</v>
      </c>
      <c r="Z549">
        <f>IF($A549="",0,IF(AND($M549=1,$A549=经营数据!$B$3,$J549=经营数据!$BA$5,OR($I549=经营数据!$BA$4,COUNTIF(经营数据!$AA$9:$AA$38,$I549)&gt;0)),1,0))</f>
        <v>0</v>
      </c>
      <c r="AA549" t="str">
        <f t="shared" si="134"/>
        <v/>
      </c>
      <c r="AB549" t="str">
        <f t="shared" si="135"/>
        <v/>
      </c>
      <c r="AC549">
        <f>IF($A549="",0,IF(COUNTIF($A$2:$A549,$A549)=1,1,0))</f>
        <v>0</v>
      </c>
      <c r="AD549">
        <f t="shared" si="136"/>
        <v>7</v>
      </c>
      <c r="AE549" t="str">
        <f t="shared" si="137"/>
        <v>基金整体|期末可供出租面积（平方米）</v>
      </c>
      <c r="BP549" s="47">
        <v>46189</v>
      </c>
      <c r="BQ549" s="29">
        <v>4.0452572604843161E-2</v>
      </c>
    </row>
    <row r="550" spans="1:69" x14ac:dyDescent="0.4">
      <c r="A550" t="str">
        <f>IF(原始经营数据!$D551="","",原始经营数据!$D551)</f>
        <v>华夏首创奥特莱斯封闭式基础设施证券投资基金</v>
      </c>
      <c r="B550" t="str">
        <f>IF(原始经营数据!$D551="","",T(原始经营数据!$E551))</f>
        <v>基金整体</v>
      </c>
      <c r="C550" t="str">
        <f>IF(原始经营数据!$D551="","",原始经营数据!$F551)</f>
        <v>2025Q3</v>
      </c>
      <c r="D550" t="str">
        <f>IF(原始经营数据!$D551="","",原始经营数据!$H551)</f>
        <v>期内租金单价水平</v>
      </c>
      <c r="E550">
        <f>IF(原始经营数据!$D551="","",原始经营数据!$I551)</f>
        <v>128.19999999999999</v>
      </c>
      <c r="F550" t="str">
        <f>IF(原始经营数据!$D551="","",T(原始经营数据!$J551))</f>
        <v>元/平方米/月</v>
      </c>
      <c r="G550" t="str">
        <f>IF(原始经营数据!$D551="","",T(原始经营数据!$K551))</f>
        <v/>
      </c>
      <c r="H550" t="str">
        <f>IF(原始经营数据!$D551="","",原始经营数据!$G551)</f>
        <v>服务价格</v>
      </c>
      <c r="I550" t="str">
        <f>IF($A550="","",IF($B550&lt;&gt;"",$B550,IF(COUNTIFS(原始经营数据!$D$3:$D$3001,$A550,原始经营数据!$E$3:$E$3001,"",原始经营数据!$F$3:$F$3001,$C550,原始经营数据!$H$3:$H$3001,$D550,原始经营数据!$K$3:$K$3001,$G550)&gt;1,"基金整体·来源"&amp;原始经营数据!$A551,"基金整体")))</f>
        <v>基金整体</v>
      </c>
      <c r="J550" t="str">
        <f t="shared" si="123"/>
        <v>季度</v>
      </c>
      <c r="K550" t="str">
        <f t="shared" si="124"/>
        <v>期内租金单价水平（元/平方米/月）</v>
      </c>
      <c r="L550" t="str">
        <f t="shared" si="125"/>
        <v>基金整体|期内租金单价水平（元/平方米/月）|季度</v>
      </c>
      <c r="M550">
        <f>IF($A550="",0,IF(COUNTIF($L$2:$L550,$L550)=1,1,0))</f>
        <v>0</v>
      </c>
      <c r="N550">
        <f t="shared" si="126"/>
        <v>20253</v>
      </c>
      <c r="O550" t="str">
        <f t="shared" si="127"/>
        <v>华夏首创奥特莱斯封闭式基础设施证券投资基金|2025Q3|季度</v>
      </c>
      <c r="P550">
        <f>IF($A550="",0,IF(COUNTIF($O$2:$O550,$O550)=1,1,0))</f>
        <v>1</v>
      </c>
      <c r="Q550" t="str">
        <f>IF(AND($P550=1,$A550=经营数据!$B$3,$J550=经营数据!$BA$5),COUNTIFS($P$2:$P$3000,1,$A$2:$A$3000,$A550,$J$2:$J$3000,$J550,$N$2:$N$3000,"&lt;"&amp;$N550)+1,"")</f>
        <v/>
      </c>
      <c r="R550" t="str">
        <f t="shared" si="128"/>
        <v>华夏首创奥特莱斯封闭式基础设施证券投资基金|基金整体</v>
      </c>
      <c r="S550">
        <f>IF($A550="",0,IF(COUNTIF($R$2:$R550,$R550)=1,1,0))</f>
        <v>0</v>
      </c>
      <c r="T550">
        <f t="shared" si="129"/>
        <v>529</v>
      </c>
      <c r="U550" t="str">
        <f>IF($A550="","",IF($A550=经营数据!$B$3,COUNTIFS($S$2:$S$3000,1,$A$2:$A$3000,$A550,$T$2:$T$3000,"&lt;"&amp;$T550)+1,""))</f>
        <v/>
      </c>
      <c r="V550" t="str">
        <f t="shared" si="130"/>
        <v>基金整体|服务价格</v>
      </c>
      <c r="W550">
        <f t="shared" si="131"/>
        <v>10</v>
      </c>
      <c r="X550" t="str">
        <f t="shared" si="132"/>
        <v>基金整体|期内租金单价水平</v>
      </c>
      <c r="Y550">
        <f t="shared" si="133"/>
        <v>529</v>
      </c>
      <c r="Z550">
        <f>IF($A550="",0,IF(AND($M550=1,$A550=经营数据!$B$3,$J550=经营数据!$BA$5,OR($I550=经营数据!$BA$4,COUNTIF(经营数据!$AA$9:$AA$38,$I550)&gt;0)),1,0))</f>
        <v>0</v>
      </c>
      <c r="AA550" t="str">
        <f t="shared" si="134"/>
        <v/>
      </c>
      <c r="AB550" t="str">
        <f t="shared" si="135"/>
        <v/>
      </c>
      <c r="AC550">
        <f>IF($A550="",0,IF(COUNTIF($A$2:$A550,$A550)=1,1,0))</f>
        <v>0</v>
      </c>
      <c r="AD550">
        <f t="shared" si="136"/>
        <v>7</v>
      </c>
      <c r="AE550" t="str">
        <f t="shared" si="137"/>
        <v>基金整体|期内租金单价水平（元/平方米/月）</v>
      </c>
      <c r="BP550" s="47">
        <v>46190</v>
      </c>
      <c r="BQ550" s="29">
        <v>4.0553270211750092E-2</v>
      </c>
    </row>
    <row r="551" spans="1:69" x14ac:dyDescent="0.4">
      <c r="A551" t="str">
        <f>IF(原始经营数据!$D552="","",原始经营数据!$D552)</f>
        <v>华夏首创奥特莱斯封闭式基础设施证券投资基金</v>
      </c>
      <c r="B551" t="str">
        <f>IF(原始经营数据!$D552="","",T(原始经营数据!$E552))</f>
        <v>基金整体</v>
      </c>
      <c r="C551" t="str">
        <f>IF(原始经营数据!$D552="","",原始经营数据!$F552)</f>
        <v>2025Q3</v>
      </c>
      <c r="D551" t="str">
        <f>IF(原始经营数据!$D552="","",原始经营数据!$H552)</f>
        <v>期内租金单价</v>
      </c>
      <c r="E551">
        <f>IF(原始经营数据!$D552="","",原始经营数据!$I552)</f>
        <v>128.19999999999999</v>
      </c>
      <c r="F551" t="str">
        <f>IF(原始经营数据!$D552="","",T(原始经营数据!$J552))</f>
        <v>元/平方米/月</v>
      </c>
      <c r="G551" t="str">
        <f>IF(原始经营数据!$D552="","",T(原始经营数据!$K552))</f>
        <v/>
      </c>
      <c r="H551" t="str">
        <f>IF(原始经营数据!$D552="","",原始经营数据!$G552)</f>
        <v>服务价格</v>
      </c>
      <c r="I551" t="str">
        <f>IF($A551="","",IF($B551&lt;&gt;"",$B551,IF(COUNTIFS(原始经营数据!$D$3:$D$3001,$A551,原始经营数据!$E$3:$E$3001,"",原始经营数据!$F$3:$F$3001,$C551,原始经营数据!$H$3:$H$3001,$D551,原始经营数据!$K$3:$K$3001,$G551)&gt;1,"基金整体·来源"&amp;原始经营数据!$A552,"基金整体")))</f>
        <v>基金整体</v>
      </c>
      <c r="J551" t="str">
        <f t="shared" si="123"/>
        <v>季度</v>
      </c>
      <c r="K551" t="str">
        <f t="shared" si="124"/>
        <v>期内租金单价（元/平方米/月）</v>
      </c>
      <c r="L551" t="str">
        <f t="shared" si="125"/>
        <v>基金整体|期内租金单价（元/平方米/月）|季度</v>
      </c>
      <c r="M551">
        <f>IF($A551="",0,IF(COUNTIF($L$2:$L551,$L551)=1,1,0))</f>
        <v>0</v>
      </c>
      <c r="N551">
        <f t="shared" si="126"/>
        <v>20253</v>
      </c>
      <c r="O551" t="str">
        <f t="shared" si="127"/>
        <v>华夏首创奥特莱斯封闭式基础设施证券投资基金|2025Q3|季度</v>
      </c>
      <c r="P551">
        <f>IF($A551="",0,IF(COUNTIF($O$2:$O551,$O551)=1,1,0))</f>
        <v>0</v>
      </c>
      <c r="Q551" t="str">
        <f>IF(AND($P551=1,$A551=经营数据!$B$3,$J551=经营数据!$BA$5),COUNTIFS($P$2:$P$3000,1,$A$2:$A$3000,$A551,$J$2:$J$3000,$J551,$N$2:$N$3000,"&lt;"&amp;$N551)+1,"")</f>
        <v/>
      </c>
      <c r="R551" t="str">
        <f t="shared" si="128"/>
        <v>华夏首创奥特莱斯封闭式基础设施证券投资基金|基金整体</v>
      </c>
      <c r="S551">
        <f>IF($A551="",0,IF(COUNTIF($R$2:$R551,$R551)=1,1,0))</f>
        <v>0</v>
      </c>
      <c r="T551">
        <f t="shared" si="129"/>
        <v>529</v>
      </c>
      <c r="U551" t="str">
        <f>IF($A551="","",IF($A551=经营数据!$B$3,COUNTIFS($S$2:$S$3000,1,$A$2:$A$3000,$A551,$T$2:$T$3000,"&lt;"&amp;$T551)+1,""))</f>
        <v/>
      </c>
      <c r="V551" t="str">
        <f t="shared" si="130"/>
        <v>基金整体|服务价格</v>
      </c>
      <c r="W551">
        <f t="shared" si="131"/>
        <v>10</v>
      </c>
      <c r="X551" t="str">
        <f t="shared" si="132"/>
        <v>基金整体|期内租金单价</v>
      </c>
      <c r="Y551">
        <f t="shared" si="133"/>
        <v>537</v>
      </c>
      <c r="Z551">
        <f>IF($A551="",0,IF(AND($M551=1,$A551=经营数据!$B$3,$J551=经营数据!$BA$5,OR($I551=经营数据!$BA$4,COUNTIF(经营数据!$AA$9:$AA$38,$I551)&gt;0)),1,0))</f>
        <v>0</v>
      </c>
      <c r="AA551" t="str">
        <f t="shared" si="134"/>
        <v/>
      </c>
      <c r="AB551" t="str">
        <f t="shared" si="135"/>
        <v/>
      </c>
      <c r="AC551">
        <f>IF($A551="",0,IF(COUNTIF($A$2:$A551,$A551)=1,1,0))</f>
        <v>0</v>
      </c>
      <c r="AD551">
        <f t="shared" si="136"/>
        <v>7</v>
      </c>
      <c r="AE551" t="str">
        <f t="shared" si="137"/>
        <v>基金整体|期内租金单价（元/平方米/月）</v>
      </c>
      <c r="BP551" s="47">
        <v>46191</v>
      </c>
      <c r="BQ551" s="29">
        <v>4.3398661188408919E-2</v>
      </c>
    </row>
    <row r="552" spans="1:69" x14ac:dyDescent="0.4">
      <c r="A552" t="str">
        <f>IF(原始经营数据!$D553="","",原始经营数据!$D553)</f>
        <v>华夏首创奥特莱斯封闭式基础设施证券投资基金</v>
      </c>
      <c r="B552" t="str">
        <f>IF(原始经营数据!$D553="","",T(原始经营数据!$E553))</f>
        <v>基金整体</v>
      </c>
      <c r="C552" t="str">
        <f>IF(原始经营数据!$D553="","",原始经营数据!$F553)</f>
        <v>2025Q3</v>
      </c>
      <c r="D552" t="str">
        <f>IF(原始经营数据!$D553="","",原始经营数据!$H553)</f>
        <v>期末剩余租期</v>
      </c>
      <c r="E552">
        <f>IF(原始经营数据!$D553="","",原始经营数据!$I553)</f>
        <v>1.79</v>
      </c>
      <c r="F552" t="str">
        <f>IF(原始经营数据!$D553="","",T(原始经营数据!$J553))</f>
        <v>年</v>
      </c>
      <c r="G552" t="str">
        <f>IF(原始经营数据!$D553="","",T(原始经营数据!$K553))</f>
        <v/>
      </c>
      <c r="H552" t="str">
        <f>IF(原始经营数据!$D553="","",原始经营数据!$G553)</f>
        <v>服务量</v>
      </c>
      <c r="I552" t="str">
        <f>IF($A552="","",IF($B552&lt;&gt;"",$B552,IF(COUNTIFS(原始经营数据!$D$3:$D$3001,$A552,原始经营数据!$E$3:$E$3001,"",原始经营数据!$F$3:$F$3001,$C552,原始经营数据!$H$3:$H$3001,$D552,原始经营数据!$K$3:$K$3001,$G552)&gt;1,"基金整体·来源"&amp;原始经营数据!$A553,"基金整体")))</f>
        <v>基金整体</v>
      </c>
      <c r="J552" t="str">
        <f t="shared" si="123"/>
        <v>季度</v>
      </c>
      <c r="K552" t="str">
        <f t="shared" si="124"/>
        <v>期末剩余租期（年）</v>
      </c>
      <c r="L552" t="str">
        <f t="shared" si="125"/>
        <v>基金整体|期末剩余租期（年）|季度</v>
      </c>
      <c r="M552">
        <f>IF($A552="",0,IF(COUNTIF($L$2:$L552,$L552)=1,1,0))</f>
        <v>0</v>
      </c>
      <c r="N552">
        <f t="shared" si="126"/>
        <v>20253</v>
      </c>
      <c r="O552" t="str">
        <f t="shared" si="127"/>
        <v>华夏首创奥特莱斯封闭式基础设施证券投资基金|2025Q3|季度</v>
      </c>
      <c r="P552">
        <f>IF($A552="",0,IF(COUNTIF($O$2:$O552,$O552)=1,1,0))</f>
        <v>0</v>
      </c>
      <c r="Q552" t="str">
        <f>IF(AND($P552=1,$A552=经营数据!$B$3,$J552=经营数据!$BA$5),COUNTIFS($P$2:$P$3000,1,$A$2:$A$3000,$A552,$J$2:$J$3000,$J552,$N$2:$N$3000,"&lt;"&amp;$N552)+1,"")</f>
        <v/>
      </c>
      <c r="R552" t="str">
        <f t="shared" si="128"/>
        <v>华夏首创奥特莱斯封闭式基础设施证券投资基金|基金整体</v>
      </c>
      <c r="S552">
        <f>IF($A552="",0,IF(COUNTIF($R$2:$R552,$R552)=1,1,0))</f>
        <v>0</v>
      </c>
      <c r="T552">
        <f t="shared" si="129"/>
        <v>529</v>
      </c>
      <c r="U552" t="str">
        <f>IF($A552="","",IF($A552=经营数据!$B$3,COUNTIFS($S$2:$S$3000,1,$A$2:$A$3000,$A552,$T$2:$T$3000,"&lt;"&amp;$T552)+1,""))</f>
        <v/>
      </c>
      <c r="V552" t="str">
        <f t="shared" si="130"/>
        <v>基金整体|服务量</v>
      </c>
      <c r="W552">
        <f t="shared" si="131"/>
        <v>1</v>
      </c>
      <c r="X552" t="str">
        <f t="shared" si="132"/>
        <v>基金整体|期末剩余租期</v>
      </c>
      <c r="Y552">
        <f t="shared" si="133"/>
        <v>534</v>
      </c>
      <c r="Z552">
        <f>IF($A552="",0,IF(AND($M552=1,$A552=经营数据!$B$3,$J552=经营数据!$BA$5,OR($I552=经营数据!$BA$4,COUNTIF(经营数据!$AA$9:$AA$38,$I552)&gt;0)),1,0))</f>
        <v>0</v>
      </c>
      <c r="AA552" t="str">
        <f t="shared" si="134"/>
        <v/>
      </c>
      <c r="AB552" t="str">
        <f t="shared" si="135"/>
        <v/>
      </c>
      <c r="AC552">
        <f>IF($A552="",0,IF(COUNTIF($A$2:$A552,$A552)=1,1,0))</f>
        <v>0</v>
      </c>
      <c r="AD552">
        <f t="shared" si="136"/>
        <v>7</v>
      </c>
      <c r="AE552" t="str">
        <f t="shared" si="137"/>
        <v>基金整体|期末剩余租期（年）</v>
      </c>
      <c r="BP552" s="47">
        <v>46195</v>
      </c>
      <c r="BQ552" s="29">
        <v>4.4455508414105581E-2</v>
      </c>
    </row>
    <row r="553" spans="1:69" x14ac:dyDescent="0.4">
      <c r="A553" t="str">
        <f>IF(原始经营数据!$D554="","",原始经营数据!$D554)</f>
        <v>华夏首创奥特莱斯封闭式基础设施证券投资基金</v>
      </c>
      <c r="B553" t="str">
        <f>IF(原始经营数据!$D554="","",T(原始经营数据!$E554))</f>
        <v>基金整体</v>
      </c>
      <c r="C553" t="str">
        <f>IF(原始经营数据!$D554="","",原始经营数据!$F554)</f>
        <v>2025Q3</v>
      </c>
      <c r="D553" t="str">
        <f>IF(原始经营数据!$D554="","",原始经营数据!$H554)</f>
        <v>期末租金收缴率</v>
      </c>
      <c r="E553">
        <f>IF(原始经营数据!$D554="","",原始经营数据!$I554)</f>
        <v>100</v>
      </c>
      <c r="F553" t="str">
        <f>IF(原始经营数据!$D554="","",T(原始经营数据!$J554))</f>
        <v>%</v>
      </c>
      <c r="G553" t="str">
        <f>IF(原始经营数据!$D554="","",T(原始经营数据!$K554))</f>
        <v/>
      </c>
      <c r="H553" t="str">
        <f>IF(原始经营数据!$D554="","",原始经营数据!$G554)</f>
        <v>服务效率</v>
      </c>
      <c r="I553" t="str">
        <f>IF($A553="","",IF($B553&lt;&gt;"",$B553,IF(COUNTIFS(原始经营数据!$D$3:$D$3001,$A553,原始经营数据!$E$3:$E$3001,"",原始经营数据!$F$3:$F$3001,$C553,原始经营数据!$H$3:$H$3001,$D553,原始经营数据!$K$3:$K$3001,$G553)&gt;1,"基金整体·来源"&amp;原始经营数据!$A554,"基金整体")))</f>
        <v>基金整体</v>
      </c>
      <c r="J553" t="str">
        <f t="shared" si="123"/>
        <v>季度</v>
      </c>
      <c r="K553" t="str">
        <f t="shared" si="124"/>
        <v>期末租金收缴率（%）</v>
      </c>
      <c r="L553" t="str">
        <f t="shared" si="125"/>
        <v>基金整体|期末租金收缴率（%）|季度</v>
      </c>
      <c r="M553">
        <f>IF($A553="",0,IF(COUNTIF($L$2:$L553,$L553)=1,1,0))</f>
        <v>0</v>
      </c>
      <c r="N553">
        <f t="shared" si="126"/>
        <v>20253</v>
      </c>
      <c r="O553" t="str">
        <f t="shared" si="127"/>
        <v>华夏首创奥特莱斯封闭式基础设施证券投资基金|2025Q3|季度</v>
      </c>
      <c r="P553">
        <f>IF($A553="",0,IF(COUNTIF($O$2:$O553,$O553)=1,1,0))</f>
        <v>0</v>
      </c>
      <c r="Q553" t="str">
        <f>IF(AND($P553=1,$A553=经营数据!$B$3,$J553=经营数据!$BA$5),COUNTIFS($P$2:$P$3000,1,$A$2:$A$3000,$A553,$J$2:$J$3000,$J553,$N$2:$N$3000,"&lt;"&amp;$N553)+1,"")</f>
        <v/>
      </c>
      <c r="R553" t="str">
        <f t="shared" si="128"/>
        <v>华夏首创奥特莱斯封闭式基础设施证券投资基金|基金整体</v>
      </c>
      <c r="S553">
        <f>IF($A553="",0,IF(COUNTIF($R$2:$R553,$R553)=1,1,0))</f>
        <v>0</v>
      </c>
      <c r="T553">
        <f t="shared" si="129"/>
        <v>529</v>
      </c>
      <c r="U553" t="str">
        <f>IF($A553="","",IF($A553=经营数据!$B$3,COUNTIFS($S$2:$S$3000,1,$A$2:$A$3000,$A553,$T$2:$T$3000,"&lt;"&amp;$T553)+1,""))</f>
        <v/>
      </c>
      <c r="V553" t="str">
        <f t="shared" si="130"/>
        <v>基金整体|服务效率</v>
      </c>
      <c r="W553">
        <f t="shared" si="131"/>
        <v>2</v>
      </c>
      <c r="X553" t="str">
        <f t="shared" si="132"/>
        <v>基金整体|期末租金收缴率</v>
      </c>
      <c r="Y553">
        <f t="shared" si="133"/>
        <v>530</v>
      </c>
      <c r="Z553">
        <f>IF($A553="",0,IF(AND($M553=1,$A553=经营数据!$B$3,$J553=经营数据!$BA$5,OR($I553=经营数据!$BA$4,COUNTIF(经营数据!$AA$9:$AA$38,$I553)&gt;0)),1,0))</f>
        <v>0</v>
      </c>
      <c r="AA553" t="str">
        <f t="shared" si="134"/>
        <v/>
      </c>
      <c r="AB553" t="str">
        <f t="shared" si="135"/>
        <v/>
      </c>
      <c r="AC553">
        <f>IF($A553="",0,IF(COUNTIF($A$2:$A553,$A553)=1,1,0))</f>
        <v>0</v>
      </c>
      <c r="AD553">
        <f t="shared" si="136"/>
        <v>7</v>
      </c>
      <c r="AE553" t="str">
        <f t="shared" si="137"/>
        <v>基金整体|期末租金收缴率（%）</v>
      </c>
      <c r="BP553" s="47">
        <v>46196</v>
      </c>
      <c r="BQ553" s="29">
        <v>4.4802625362510791E-2</v>
      </c>
    </row>
    <row r="554" spans="1:69" x14ac:dyDescent="0.4">
      <c r="A554" t="str">
        <f>IF(原始经营数据!$D555="","",原始经营数据!$D555)</f>
        <v>华夏首创奥特莱斯封闭式基础设施证券投资基金</v>
      </c>
      <c r="B554" t="str">
        <f>IF(原始经营数据!$D555="","",T(原始经营数据!$E555))</f>
        <v>基金整体</v>
      </c>
      <c r="C554" t="str">
        <f>IF(原始经营数据!$D555="","",原始经营数据!$F555)</f>
        <v>2025Q3</v>
      </c>
      <c r="D554" t="str">
        <f>IF(原始经营数据!$D555="","",原始经营数据!$H555)</f>
        <v>期末出租率</v>
      </c>
      <c r="E554">
        <f>IF(原始经营数据!$D555="","",原始经营数据!$I555)</f>
        <v>98.67</v>
      </c>
      <c r="F554" t="str">
        <f>IF(原始经营数据!$D555="","",T(原始经营数据!$J555))</f>
        <v>%</v>
      </c>
      <c r="G554" t="str">
        <f>IF(原始经营数据!$D555="","",T(原始经营数据!$K555))</f>
        <v/>
      </c>
      <c r="H554" t="str">
        <f>IF(原始经营数据!$D555="","",原始经营数据!$G555)</f>
        <v>服务效率</v>
      </c>
      <c r="I554" t="str">
        <f>IF($A554="","",IF($B554&lt;&gt;"",$B554,IF(COUNTIFS(原始经营数据!$D$3:$D$3001,$A554,原始经营数据!$E$3:$E$3001,"",原始经营数据!$F$3:$F$3001,$C554,原始经营数据!$H$3:$H$3001,$D554,原始经营数据!$K$3:$K$3001,$G554)&gt;1,"基金整体·来源"&amp;原始经营数据!$A555,"基金整体")))</f>
        <v>基金整体</v>
      </c>
      <c r="J554" t="str">
        <f t="shared" si="123"/>
        <v>季度</v>
      </c>
      <c r="K554" t="str">
        <f t="shared" si="124"/>
        <v>期末出租率（%）</v>
      </c>
      <c r="L554" t="str">
        <f t="shared" si="125"/>
        <v>基金整体|期末出租率（%）|季度</v>
      </c>
      <c r="M554">
        <f>IF($A554="",0,IF(COUNTIF($L$2:$L554,$L554)=1,1,0))</f>
        <v>0</v>
      </c>
      <c r="N554">
        <f t="shared" si="126"/>
        <v>20253</v>
      </c>
      <c r="O554" t="str">
        <f t="shared" si="127"/>
        <v>华夏首创奥特莱斯封闭式基础设施证券投资基金|2025Q3|季度</v>
      </c>
      <c r="P554">
        <f>IF($A554="",0,IF(COUNTIF($O$2:$O554,$O554)=1,1,0))</f>
        <v>0</v>
      </c>
      <c r="Q554" t="str">
        <f>IF(AND($P554=1,$A554=经营数据!$B$3,$J554=经营数据!$BA$5),COUNTIFS($P$2:$P$3000,1,$A$2:$A$3000,$A554,$J$2:$J$3000,$J554,$N$2:$N$3000,"&lt;"&amp;$N554)+1,"")</f>
        <v/>
      </c>
      <c r="R554" t="str">
        <f t="shared" si="128"/>
        <v>华夏首创奥特莱斯封闭式基础设施证券投资基金|基金整体</v>
      </c>
      <c r="S554">
        <f>IF($A554="",0,IF(COUNTIF($R$2:$R554,$R554)=1,1,0))</f>
        <v>0</v>
      </c>
      <c r="T554">
        <f t="shared" si="129"/>
        <v>529</v>
      </c>
      <c r="U554" t="str">
        <f>IF($A554="","",IF($A554=经营数据!$B$3,COUNTIFS($S$2:$S$3000,1,$A$2:$A$3000,$A554,$T$2:$T$3000,"&lt;"&amp;$T554)+1,""))</f>
        <v/>
      </c>
      <c r="V554" t="str">
        <f t="shared" si="130"/>
        <v>基金整体|服务效率</v>
      </c>
      <c r="W554">
        <f t="shared" si="131"/>
        <v>2</v>
      </c>
      <c r="X554" t="str">
        <f t="shared" si="132"/>
        <v>基金整体|期末出租率</v>
      </c>
      <c r="Y554">
        <f t="shared" si="133"/>
        <v>5</v>
      </c>
      <c r="Z554">
        <f>IF($A554="",0,IF(AND($M554=1,$A554=经营数据!$B$3,$J554=经营数据!$BA$5,OR($I554=经营数据!$BA$4,COUNTIF(经营数据!$AA$9:$AA$38,$I554)&gt;0)),1,0))</f>
        <v>0</v>
      </c>
      <c r="AA554" t="str">
        <f t="shared" si="134"/>
        <v/>
      </c>
      <c r="AB554" t="str">
        <f t="shared" si="135"/>
        <v/>
      </c>
      <c r="AC554">
        <f>IF($A554="",0,IF(COUNTIF($A$2:$A554,$A554)=1,1,0))</f>
        <v>0</v>
      </c>
      <c r="AD554">
        <f t="shared" si="136"/>
        <v>7</v>
      </c>
      <c r="AE554" t="str">
        <f t="shared" si="137"/>
        <v>基金整体|期末出租率（%）</v>
      </c>
      <c r="BP554" s="47">
        <v>46197</v>
      </c>
      <c r="BQ554" s="29">
        <v>4.5708507673155978E-2</v>
      </c>
    </row>
    <row r="555" spans="1:69" x14ac:dyDescent="0.4">
      <c r="A555" t="str">
        <f>IF(原始经营数据!$D556="","",原始经营数据!$D556)</f>
        <v>华夏首创奥特莱斯封闭式基础设施证券投资基金</v>
      </c>
      <c r="B555" t="str">
        <f>IF(原始经营数据!$D556="","",T(原始经营数据!$E556))</f>
        <v>基金整体</v>
      </c>
      <c r="C555" t="str">
        <f>IF(原始经营数据!$D556="","",原始经营数据!$F556)</f>
        <v>2025Q3</v>
      </c>
      <c r="D555" t="str">
        <f>IF(原始经营数据!$D556="","",原始经营数据!$H556)</f>
        <v>期末可供出租面积</v>
      </c>
      <c r="E555">
        <f>IF(原始经营数据!$D556="","",原始经营数据!$I556)</f>
        <v>99188.87</v>
      </c>
      <c r="F555" t="str">
        <f>IF(原始经营数据!$D556="","",T(原始经营数据!$J556))</f>
        <v>平方米</v>
      </c>
      <c r="G555" t="str">
        <f>IF(原始经营数据!$D556="","",T(原始经营数据!$K556))</f>
        <v/>
      </c>
      <c r="H555" t="str">
        <f>IF(原始经营数据!$D556="","",原始经营数据!$G556)</f>
        <v>服务量</v>
      </c>
      <c r="I555" t="str">
        <f>IF($A555="","",IF($B555&lt;&gt;"",$B555,IF(COUNTIFS(原始经营数据!$D$3:$D$3001,$A555,原始经营数据!$E$3:$E$3001,"",原始经营数据!$F$3:$F$3001,$C555,原始经营数据!$H$3:$H$3001,$D555,原始经营数据!$K$3:$K$3001,$G555)&gt;1,"基金整体·来源"&amp;原始经营数据!$A556,"基金整体")))</f>
        <v>基金整体</v>
      </c>
      <c r="J555" t="str">
        <f t="shared" si="123"/>
        <v>季度</v>
      </c>
      <c r="K555" t="str">
        <f t="shared" si="124"/>
        <v>期末可供出租面积（平方米）</v>
      </c>
      <c r="L555" t="str">
        <f t="shared" si="125"/>
        <v>基金整体|期末可供出租面积（平方米）|季度</v>
      </c>
      <c r="M555">
        <f>IF($A555="",0,IF(COUNTIF($L$2:$L555,$L555)=1,1,0))</f>
        <v>0</v>
      </c>
      <c r="N555">
        <f t="shared" si="126"/>
        <v>20253</v>
      </c>
      <c r="O555" t="str">
        <f t="shared" si="127"/>
        <v>华夏首创奥特莱斯封闭式基础设施证券投资基金|2025Q3|季度</v>
      </c>
      <c r="P555">
        <f>IF($A555="",0,IF(COUNTIF($O$2:$O555,$O555)=1,1,0))</f>
        <v>0</v>
      </c>
      <c r="Q555" t="str">
        <f>IF(AND($P555=1,$A555=经营数据!$B$3,$J555=经营数据!$BA$5),COUNTIFS($P$2:$P$3000,1,$A$2:$A$3000,$A555,$J$2:$J$3000,$J555,$N$2:$N$3000,"&lt;"&amp;$N555)+1,"")</f>
        <v/>
      </c>
      <c r="R555" t="str">
        <f t="shared" si="128"/>
        <v>华夏首创奥特莱斯封闭式基础设施证券投资基金|基金整体</v>
      </c>
      <c r="S555">
        <f>IF($A555="",0,IF(COUNTIF($R$2:$R555,$R555)=1,1,0))</f>
        <v>0</v>
      </c>
      <c r="T555">
        <f t="shared" si="129"/>
        <v>529</v>
      </c>
      <c r="U555" t="str">
        <f>IF($A555="","",IF($A555=经营数据!$B$3,COUNTIFS($S$2:$S$3000,1,$A$2:$A$3000,$A555,$T$2:$T$3000,"&lt;"&amp;$T555)+1,""))</f>
        <v/>
      </c>
      <c r="V555" t="str">
        <f t="shared" si="130"/>
        <v>基金整体|服务量</v>
      </c>
      <c r="W555">
        <f t="shared" si="131"/>
        <v>1</v>
      </c>
      <c r="X555" t="str">
        <f t="shared" si="132"/>
        <v>基金整体|期末可供出租面积</v>
      </c>
      <c r="Y555">
        <f t="shared" si="133"/>
        <v>3</v>
      </c>
      <c r="Z555">
        <f>IF($A555="",0,IF(AND($M555=1,$A555=经营数据!$B$3,$J555=经营数据!$BA$5,OR($I555=经营数据!$BA$4,COUNTIF(经营数据!$AA$9:$AA$38,$I555)&gt;0)),1,0))</f>
        <v>0</v>
      </c>
      <c r="AA555" t="str">
        <f t="shared" si="134"/>
        <v/>
      </c>
      <c r="AB555" t="str">
        <f t="shared" si="135"/>
        <v/>
      </c>
      <c r="AC555">
        <f>IF($A555="",0,IF(COUNTIF($A$2:$A555,$A555)=1,1,0))</f>
        <v>0</v>
      </c>
      <c r="AD555">
        <f t="shared" si="136"/>
        <v>7</v>
      </c>
      <c r="AE555" t="str">
        <f t="shared" si="137"/>
        <v>基金整体|期末可供出租面积（平方米）</v>
      </c>
      <c r="BP555" s="47">
        <v>46198</v>
      </c>
      <c r="BQ555" s="29">
        <v>4.4401072821099938E-2</v>
      </c>
    </row>
    <row r="556" spans="1:69" x14ac:dyDescent="0.4">
      <c r="A556" t="str">
        <f>IF(原始经营数据!$D557="","",原始经营数据!$D557)</f>
        <v>华夏首创奥特莱斯封闭式基础设施证券投资基金</v>
      </c>
      <c r="B556" t="str">
        <f>IF(原始经营数据!$D557="","",T(原始经营数据!$E557))</f>
        <v>基金整体</v>
      </c>
      <c r="C556" t="str">
        <f>IF(原始经营数据!$D557="","",原始经营数据!$F557)</f>
        <v>2025Q3</v>
      </c>
      <c r="D556" t="str">
        <f>IF(原始经营数据!$D557="","",原始经营数据!$H557)</f>
        <v>期末实际出租面积</v>
      </c>
      <c r="E556">
        <f>IF(原始经营数据!$D557="","",原始经营数据!$I557)</f>
        <v>97873.919999999998</v>
      </c>
      <c r="F556" t="str">
        <f>IF(原始经营数据!$D557="","",T(原始经营数据!$J557))</f>
        <v>平方米</v>
      </c>
      <c r="G556" t="str">
        <f>IF(原始经营数据!$D557="","",T(原始经营数据!$K557))</f>
        <v/>
      </c>
      <c r="H556" t="str">
        <f>IF(原始经营数据!$D557="","",原始经营数据!$G557)</f>
        <v>服务量</v>
      </c>
      <c r="I556" t="str">
        <f>IF($A556="","",IF($B556&lt;&gt;"",$B556,IF(COUNTIFS(原始经营数据!$D$3:$D$3001,$A556,原始经营数据!$E$3:$E$3001,"",原始经营数据!$F$3:$F$3001,$C556,原始经营数据!$H$3:$H$3001,$D556,原始经营数据!$K$3:$K$3001,$G556)&gt;1,"基金整体·来源"&amp;原始经营数据!$A557,"基金整体")))</f>
        <v>基金整体</v>
      </c>
      <c r="J556" t="str">
        <f t="shared" si="123"/>
        <v>季度</v>
      </c>
      <c r="K556" t="str">
        <f t="shared" si="124"/>
        <v>期末实际出租面积（平方米）</v>
      </c>
      <c r="L556" t="str">
        <f t="shared" si="125"/>
        <v>基金整体|期末实际出租面积（平方米）|季度</v>
      </c>
      <c r="M556">
        <f>IF($A556="",0,IF(COUNTIF($L$2:$L556,$L556)=1,1,0))</f>
        <v>0</v>
      </c>
      <c r="N556">
        <f t="shared" si="126"/>
        <v>20253</v>
      </c>
      <c r="O556" t="str">
        <f t="shared" si="127"/>
        <v>华夏首创奥特莱斯封闭式基础设施证券投资基金|2025Q3|季度</v>
      </c>
      <c r="P556">
        <f>IF($A556="",0,IF(COUNTIF($O$2:$O556,$O556)=1,1,0))</f>
        <v>0</v>
      </c>
      <c r="Q556" t="str">
        <f>IF(AND($P556=1,$A556=经营数据!$B$3,$J556=经营数据!$BA$5),COUNTIFS($P$2:$P$3000,1,$A$2:$A$3000,$A556,$J$2:$J$3000,$J556,$N$2:$N$3000,"&lt;"&amp;$N556)+1,"")</f>
        <v/>
      </c>
      <c r="R556" t="str">
        <f t="shared" si="128"/>
        <v>华夏首创奥特莱斯封闭式基础设施证券投资基金|基金整体</v>
      </c>
      <c r="S556">
        <f>IF($A556="",0,IF(COUNTIF($R$2:$R556,$R556)=1,1,0))</f>
        <v>0</v>
      </c>
      <c r="T556">
        <f t="shared" si="129"/>
        <v>529</v>
      </c>
      <c r="U556" t="str">
        <f>IF($A556="","",IF($A556=经营数据!$B$3,COUNTIFS($S$2:$S$3000,1,$A$2:$A$3000,$A556,$T$2:$T$3000,"&lt;"&amp;$T556)+1,""))</f>
        <v/>
      </c>
      <c r="V556" t="str">
        <f t="shared" si="130"/>
        <v>基金整体|服务量</v>
      </c>
      <c r="W556">
        <f t="shared" si="131"/>
        <v>1</v>
      </c>
      <c r="X556" t="str">
        <f t="shared" si="132"/>
        <v>基金整体|期末实际出租面积</v>
      </c>
      <c r="Y556">
        <f t="shared" si="133"/>
        <v>4</v>
      </c>
      <c r="Z556">
        <f>IF($A556="",0,IF(AND($M556=1,$A556=经营数据!$B$3,$J556=经营数据!$BA$5,OR($I556=经营数据!$BA$4,COUNTIF(经营数据!$AA$9:$AA$38,$I556)&gt;0)),1,0))</f>
        <v>0</v>
      </c>
      <c r="AA556" t="str">
        <f t="shared" si="134"/>
        <v/>
      </c>
      <c r="AB556" t="str">
        <f t="shared" si="135"/>
        <v/>
      </c>
      <c r="AC556">
        <f>IF($A556="",0,IF(COUNTIF($A$2:$A556,$A556)=1,1,0))</f>
        <v>0</v>
      </c>
      <c r="AD556">
        <f t="shared" si="136"/>
        <v>7</v>
      </c>
      <c r="AE556" t="str">
        <f t="shared" si="137"/>
        <v>基金整体|期末实际出租面积（平方米）</v>
      </c>
      <c r="BP556" s="47">
        <v>46199</v>
      </c>
      <c r="BQ556" s="29">
        <v>4.458585075510204E-2</v>
      </c>
    </row>
    <row r="557" spans="1:69" x14ac:dyDescent="0.4">
      <c r="A557" t="str">
        <f>IF(原始经营数据!$D558="","",原始经营数据!$D558)</f>
        <v>华夏首创奥特莱斯封闭式基础设施证券投资基金</v>
      </c>
      <c r="B557" t="str">
        <f>IF(原始经营数据!$D558="","",T(原始经营数据!$E558))</f>
        <v>基金整体</v>
      </c>
      <c r="C557" t="str">
        <f>IF(原始经营数据!$D558="","",原始经营数据!$F558)</f>
        <v>2025Q4</v>
      </c>
      <c r="D557" t="str">
        <f>IF(原始经营数据!$D558="","",原始经营数据!$H558)</f>
        <v>期末剩余租期</v>
      </c>
      <c r="E557">
        <f>IF(原始经营数据!$D558="","",原始经营数据!$I558)</f>
        <v>1.59</v>
      </c>
      <c r="F557" t="str">
        <f>IF(原始经营数据!$D558="","",T(原始经营数据!$J558))</f>
        <v>年</v>
      </c>
      <c r="G557" t="str">
        <f>IF(原始经营数据!$D558="","",T(原始经营数据!$K558))</f>
        <v/>
      </c>
      <c r="H557" t="str">
        <f>IF(原始经营数据!$D558="","",原始经营数据!$G558)</f>
        <v>服务量</v>
      </c>
      <c r="I557" t="str">
        <f>IF($A557="","",IF($B557&lt;&gt;"",$B557,IF(COUNTIFS(原始经营数据!$D$3:$D$3001,$A557,原始经营数据!$E$3:$E$3001,"",原始经营数据!$F$3:$F$3001,$C557,原始经营数据!$H$3:$H$3001,$D557,原始经营数据!$K$3:$K$3001,$G557)&gt;1,"基金整体·来源"&amp;原始经营数据!$A558,"基金整体")))</f>
        <v>基金整体</v>
      </c>
      <c r="J557" t="str">
        <f t="shared" si="123"/>
        <v>季度</v>
      </c>
      <c r="K557" t="str">
        <f t="shared" si="124"/>
        <v>期末剩余租期（年）</v>
      </c>
      <c r="L557" t="str">
        <f t="shared" si="125"/>
        <v>基金整体|期末剩余租期（年）|季度</v>
      </c>
      <c r="M557">
        <f>IF($A557="",0,IF(COUNTIF($L$2:$L557,$L557)=1,1,0))</f>
        <v>0</v>
      </c>
      <c r="N557">
        <f t="shared" si="126"/>
        <v>20254</v>
      </c>
      <c r="O557" t="str">
        <f t="shared" si="127"/>
        <v>华夏首创奥特莱斯封闭式基础设施证券投资基金|2025Q4|季度</v>
      </c>
      <c r="P557">
        <f>IF($A557="",0,IF(COUNTIF($O$2:$O557,$O557)=1,1,0))</f>
        <v>1</v>
      </c>
      <c r="Q557" t="str">
        <f>IF(AND($P557=1,$A557=经营数据!$B$3,$J557=经营数据!$BA$5),COUNTIFS($P$2:$P$3000,1,$A$2:$A$3000,$A557,$J$2:$J$3000,$J557,$N$2:$N$3000,"&lt;"&amp;$N557)+1,"")</f>
        <v/>
      </c>
      <c r="R557" t="str">
        <f t="shared" si="128"/>
        <v>华夏首创奥特莱斯封闭式基础设施证券投资基金|基金整体</v>
      </c>
      <c r="S557">
        <f>IF($A557="",0,IF(COUNTIF($R$2:$R557,$R557)=1,1,0))</f>
        <v>0</v>
      </c>
      <c r="T557">
        <f t="shared" si="129"/>
        <v>529</v>
      </c>
      <c r="U557" t="str">
        <f>IF($A557="","",IF($A557=经营数据!$B$3,COUNTIFS($S$2:$S$3000,1,$A$2:$A$3000,$A557,$T$2:$T$3000,"&lt;"&amp;$T557)+1,""))</f>
        <v/>
      </c>
      <c r="V557" t="str">
        <f t="shared" si="130"/>
        <v>基金整体|服务量</v>
      </c>
      <c r="W557">
        <f t="shared" si="131"/>
        <v>1</v>
      </c>
      <c r="X557" t="str">
        <f t="shared" si="132"/>
        <v>基金整体|期末剩余租期</v>
      </c>
      <c r="Y557">
        <f t="shared" si="133"/>
        <v>534</v>
      </c>
      <c r="Z557">
        <f>IF($A557="",0,IF(AND($M557=1,$A557=经营数据!$B$3,$J557=经营数据!$BA$5,OR($I557=经营数据!$BA$4,COUNTIF(经营数据!$AA$9:$AA$38,$I557)&gt;0)),1,0))</f>
        <v>0</v>
      </c>
      <c r="AA557" t="str">
        <f t="shared" si="134"/>
        <v/>
      </c>
      <c r="AB557" t="str">
        <f t="shared" si="135"/>
        <v/>
      </c>
      <c r="AC557">
        <f>IF($A557="",0,IF(COUNTIF($A$2:$A557,$A557)=1,1,0))</f>
        <v>0</v>
      </c>
      <c r="AD557">
        <f t="shared" si="136"/>
        <v>7</v>
      </c>
      <c r="AE557" t="str">
        <f t="shared" si="137"/>
        <v>基金整体|期末剩余租期（年）</v>
      </c>
      <c r="BP557" s="47">
        <v>46202</v>
      </c>
      <c r="BQ557" s="29">
        <v>4.3883417547689027E-2</v>
      </c>
    </row>
    <row r="558" spans="1:69" x14ac:dyDescent="0.4">
      <c r="A558" t="str">
        <f>IF(原始经营数据!$D559="","",原始经营数据!$D559)</f>
        <v>华夏首创奥特莱斯封闭式基础设施证券投资基金</v>
      </c>
      <c r="B558" t="str">
        <f>IF(原始经营数据!$D559="","",T(原始经营数据!$E559))</f>
        <v>基金整体</v>
      </c>
      <c r="C558" t="str">
        <f>IF(原始经营数据!$D559="","",原始经营数据!$F559)</f>
        <v>2025Q4</v>
      </c>
      <c r="D558" t="str">
        <f>IF(原始经营数据!$D559="","",原始经营数据!$H559)</f>
        <v>期内租金单价水平</v>
      </c>
      <c r="E558">
        <f>IF(原始经营数据!$D559="","",原始经营数据!$I559)</f>
        <v>193.88</v>
      </c>
      <c r="F558" t="str">
        <f>IF(原始经营数据!$D559="","",T(原始经营数据!$J559))</f>
        <v>元/平方米/月</v>
      </c>
      <c r="G558" t="str">
        <f>IF(原始经营数据!$D559="","",T(原始经营数据!$K559))</f>
        <v/>
      </c>
      <c r="H558" t="str">
        <f>IF(原始经营数据!$D559="","",原始经营数据!$G559)</f>
        <v>服务价格</v>
      </c>
      <c r="I558" t="str">
        <f>IF($A558="","",IF($B558&lt;&gt;"",$B558,IF(COUNTIFS(原始经营数据!$D$3:$D$3001,$A558,原始经营数据!$E$3:$E$3001,"",原始经营数据!$F$3:$F$3001,$C558,原始经营数据!$H$3:$H$3001,$D558,原始经营数据!$K$3:$K$3001,$G558)&gt;1,"基金整体·来源"&amp;原始经营数据!$A559,"基金整体")))</f>
        <v>基金整体</v>
      </c>
      <c r="J558" t="str">
        <f t="shared" si="123"/>
        <v>季度</v>
      </c>
      <c r="K558" t="str">
        <f t="shared" si="124"/>
        <v>期内租金单价水平（元/平方米/月）</v>
      </c>
      <c r="L558" t="str">
        <f t="shared" si="125"/>
        <v>基金整体|期内租金单价水平（元/平方米/月）|季度</v>
      </c>
      <c r="M558">
        <f>IF($A558="",0,IF(COUNTIF($L$2:$L558,$L558)=1,1,0))</f>
        <v>0</v>
      </c>
      <c r="N558">
        <f t="shared" si="126"/>
        <v>20254</v>
      </c>
      <c r="O558" t="str">
        <f t="shared" si="127"/>
        <v>华夏首创奥特莱斯封闭式基础设施证券投资基金|2025Q4|季度</v>
      </c>
      <c r="P558">
        <f>IF($A558="",0,IF(COUNTIF($O$2:$O558,$O558)=1,1,0))</f>
        <v>0</v>
      </c>
      <c r="Q558" t="str">
        <f>IF(AND($P558=1,$A558=经营数据!$B$3,$J558=经营数据!$BA$5),COUNTIFS($P$2:$P$3000,1,$A$2:$A$3000,$A558,$J$2:$J$3000,$J558,$N$2:$N$3000,"&lt;"&amp;$N558)+1,"")</f>
        <v/>
      </c>
      <c r="R558" t="str">
        <f t="shared" si="128"/>
        <v>华夏首创奥特莱斯封闭式基础设施证券投资基金|基金整体</v>
      </c>
      <c r="S558">
        <f>IF($A558="",0,IF(COUNTIF($R$2:$R558,$R558)=1,1,0))</f>
        <v>0</v>
      </c>
      <c r="T558">
        <f t="shared" si="129"/>
        <v>529</v>
      </c>
      <c r="U558" t="str">
        <f>IF($A558="","",IF($A558=经营数据!$B$3,COUNTIFS($S$2:$S$3000,1,$A$2:$A$3000,$A558,$T$2:$T$3000,"&lt;"&amp;$T558)+1,""))</f>
        <v/>
      </c>
      <c r="V558" t="str">
        <f t="shared" si="130"/>
        <v>基金整体|服务价格</v>
      </c>
      <c r="W558">
        <f t="shared" si="131"/>
        <v>10</v>
      </c>
      <c r="X558" t="str">
        <f t="shared" si="132"/>
        <v>基金整体|期内租金单价水平</v>
      </c>
      <c r="Y558">
        <f t="shared" si="133"/>
        <v>529</v>
      </c>
      <c r="Z558">
        <f>IF($A558="",0,IF(AND($M558=1,$A558=经营数据!$B$3,$J558=经营数据!$BA$5,OR($I558=经营数据!$BA$4,COUNTIF(经营数据!$AA$9:$AA$38,$I558)&gt;0)),1,0))</f>
        <v>0</v>
      </c>
      <c r="AA558" t="str">
        <f t="shared" si="134"/>
        <v/>
      </c>
      <c r="AB558" t="str">
        <f t="shared" si="135"/>
        <v/>
      </c>
      <c r="AC558">
        <f>IF($A558="",0,IF(COUNTIF($A$2:$A558,$A558)=1,1,0))</f>
        <v>0</v>
      </c>
      <c r="AD558">
        <f t="shared" si="136"/>
        <v>7</v>
      </c>
      <c r="AE558" t="str">
        <f t="shared" si="137"/>
        <v>基金整体|期内租金单价水平（元/平方米/月）</v>
      </c>
      <c r="BP558" s="47">
        <v>46203</v>
      </c>
      <c r="BQ558" s="29">
        <v>4.3340332161785948E-2</v>
      </c>
    </row>
    <row r="559" spans="1:69" x14ac:dyDescent="0.4">
      <c r="A559" t="str">
        <f>IF(原始经营数据!$D560="","",原始经营数据!$D560)</f>
        <v>华夏首创奥特莱斯封闭式基础设施证券投资基金</v>
      </c>
      <c r="B559" t="str">
        <f>IF(原始经营数据!$D560="","",T(原始经营数据!$E560))</f>
        <v>基金整体</v>
      </c>
      <c r="C559" t="str">
        <f>IF(原始经营数据!$D560="","",原始经营数据!$F560)</f>
        <v>2025Q4</v>
      </c>
      <c r="D559" t="str">
        <f>IF(原始经营数据!$D560="","",原始经营数据!$H560)</f>
        <v>期末出租率</v>
      </c>
      <c r="E559">
        <f>IF(原始经营数据!$D560="","",原始经营数据!$I560)</f>
        <v>98.96</v>
      </c>
      <c r="F559" t="str">
        <f>IF(原始经营数据!$D560="","",T(原始经营数据!$J560))</f>
        <v>%</v>
      </c>
      <c r="G559" t="str">
        <f>IF(原始经营数据!$D560="","",T(原始经营数据!$K560))</f>
        <v/>
      </c>
      <c r="H559" t="str">
        <f>IF(原始经营数据!$D560="","",原始经营数据!$G560)</f>
        <v>服务效率</v>
      </c>
      <c r="I559" t="str">
        <f>IF($A559="","",IF($B559&lt;&gt;"",$B559,IF(COUNTIFS(原始经营数据!$D$3:$D$3001,$A559,原始经营数据!$E$3:$E$3001,"",原始经营数据!$F$3:$F$3001,$C559,原始经营数据!$H$3:$H$3001,$D559,原始经营数据!$K$3:$K$3001,$G559)&gt;1,"基金整体·来源"&amp;原始经营数据!$A560,"基金整体")))</f>
        <v>基金整体</v>
      </c>
      <c r="J559" t="str">
        <f t="shared" si="123"/>
        <v>季度</v>
      </c>
      <c r="K559" t="str">
        <f t="shared" si="124"/>
        <v>期末出租率（%）</v>
      </c>
      <c r="L559" t="str">
        <f t="shared" si="125"/>
        <v>基金整体|期末出租率（%）|季度</v>
      </c>
      <c r="M559">
        <f>IF($A559="",0,IF(COUNTIF($L$2:$L559,$L559)=1,1,0))</f>
        <v>0</v>
      </c>
      <c r="N559">
        <f t="shared" si="126"/>
        <v>20254</v>
      </c>
      <c r="O559" t="str">
        <f t="shared" si="127"/>
        <v>华夏首创奥特莱斯封闭式基础设施证券投资基金|2025Q4|季度</v>
      </c>
      <c r="P559">
        <f>IF($A559="",0,IF(COUNTIF($O$2:$O559,$O559)=1,1,0))</f>
        <v>0</v>
      </c>
      <c r="Q559" t="str">
        <f>IF(AND($P559=1,$A559=经营数据!$B$3,$J559=经营数据!$BA$5),COUNTIFS($P$2:$P$3000,1,$A$2:$A$3000,$A559,$J$2:$J$3000,$J559,$N$2:$N$3000,"&lt;"&amp;$N559)+1,"")</f>
        <v/>
      </c>
      <c r="R559" t="str">
        <f t="shared" si="128"/>
        <v>华夏首创奥特莱斯封闭式基础设施证券投资基金|基金整体</v>
      </c>
      <c r="S559">
        <f>IF($A559="",0,IF(COUNTIF($R$2:$R559,$R559)=1,1,0))</f>
        <v>0</v>
      </c>
      <c r="T559">
        <f t="shared" si="129"/>
        <v>529</v>
      </c>
      <c r="U559" t="str">
        <f>IF($A559="","",IF($A559=经营数据!$B$3,COUNTIFS($S$2:$S$3000,1,$A$2:$A$3000,$A559,$T$2:$T$3000,"&lt;"&amp;$T559)+1,""))</f>
        <v/>
      </c>
      <c r="V559" t="str">
        <f t="shared" si="130"/>
        <v>基金整体|服务效率</v>
      </c>
      <c r="W559">
        <f t="shared" si="131"/>
        <v>2</v>
      </c>
      <c r="X559" t="str">
        <f t="shared" si="132"/>
        <v>基金整体|期末出租率</v>
      </c>
      <c r="Y559">
        <f t="shared" si="133"/>
        <v>5</v>
      </c>
      <c r="Z559">
        <f>IF($A559="",0,IF(AND($M559=1,$A559=经营数据!$B$3,$J559=经营数据!$BA$5,OR($I559=经营数据!$BA$4,COUNTIF(经营数据!$AA$9:$AA$38,$I559)&gt;0)),1,0))</f>
        <v>0</v>
      </c>
      <c r="AA559" t="str">
        <f t="shared" si="134"/>
        <v/>
      </c>
      <c r="AB559" t="str">
        <f t="shared" si="135"/>
        <v/>
      </c>
      <c r="AC559">
        <f>IF($A559="",0,IF(COUNTIF($A$2:$A559,$A559)=1,1,0))</f>
        <v>0</v>
      </c>
      <c r="AD559">
        <f t="shared" si="136"/>
        <v>7</v>
      </c>
      <c r="AE559" t="str">
        <f t="shared" si="137"/>
        <v>基金整体|期末出租率（%）</v>
      </c>
      <c r="BP559" s="47">
        <v>46204</v>
      </c>
      <c r="BQ559" s="29">
        <v>4.3363343699809952E-2</v>
      </c>
    </row>
    <row r="560" spans="1:69" x14ac:dyDescent="0.4">
      <c r="A560" t="str">
        <f>IF(原始经营数据!$D561="","",原始经营数据!$D561)</f>
        <v>华夏首创奥特莱斯封闭式基础设施证券投资基金</v>
      </c>
      <c r="B560" t="str">
        <f>IF(原始经营数据!$D561="","",T(原始经营数据!$E561))</f>
        <v>基金整体</v>
      </c>
      <c r="C560" t="str">
        <f>IF(原始经营数据!$D561="","",原始经营数据!$F561)</f>
        <v>2025Q4</v>
      </c>
      <c r="D560" t="str">
        <f>IF(原始经营数据!$D561="","",原始经营数据!$H561)</f>
        <v>期末租金收缴率</v>
      </c>
      <c r="E560">
        <f>IF(原始经营数据!$D561="","",原始经营数据!$I561)</f>
        <v>100</v>
      </c>
      <c r="F560" t="str">
        <f>IF(原始经营数据!$D561="","",T(原始经营数据!$J561))</f>
        <v>%</v>
      </c>
      <c r="G560" t="str">
        <f>IF(原始经营数据!$D561="","",T(原始经营数据!$K561))</f>
        <v/>
      </c>
      <c r="H560" t="str">
        <f>IF(原始经营数据!$D561="","",原始经营数据!$G561)</f>
        <v>服务效率</v>
      </c>
      <c r="I560" t="str">
        <f>IF($A560="","",IF($B560&lt;&gt;"",$B560,IF(COUNTIFS(原始经营数据!$D$3:$D$3001,$A560,原始经营数据!$E$3:$E$3001,"",原始经营数据!$F$3:$F$3001,$C560,原始经营数据!$H$3:$H$3001,$D560,原始经营数据!$K$3:$K$3001,$G560)&gt;1,"基金整体·来源"&amp;原始经营数据!$A561,"基金整体")))</f>
        <v>基金整体</v>
      </c>
      <c r="J560" t="str">
        <f t="shared" si="123"/>
        <v>季度</v>
      </c>
      <c r="K560" t="str">
        <f t="shared" si="124"/>
        <v>期末租金收缴率（%）</v>
      </c>
      <c r="L560" t="str">
        <f t="shared" si="125"/>
        <v>基金整体|期末租金收缴率（%）|季度</v>
      </c>
      <c r="M560">
        <f>IF($A560="",0,IF(COUNTIF($L$2:$L560,$L560)=1,1,0))</f>
        <v>0</v>
      </c>
      <c r="N560">
        <f t="shared" si="126"/>
        <v>20254</v>
      </c>
      <c r="O560" t="str">
        <f t="shared" si="127"/>
        <v>华夏首创奥特莱斯封闭式基础设施证券投资基金|2025Q4|季度</v>
      </c>
      <c r="P560">
        <f>IF($A560="",0,IF(COUNTIF($O$2:$O560,$O560)=1,1,0))</f>
        <v>0</v>
      </c>
      <c r="Q560" t="str">
        <f>IF(AND($P560=1,$A560=经营数据!$B$3,$J560=经营数据!$BA$5),COUNTIFS($P$2:$P$3000,1,$A$2:$A$3000,$A560,$J$2:$J$3000,$J560,$N$2:$N$3000,"&lt;"&amp;$N560)+1,"")</f>
        <v/>
      </c>
      <c r="R560" t="str">
        <f t="shared" si="128"/>
        <v>华夏首创奥特莱斯封闭式基础设施证券投资基金|基金整体</v>
      </c>
      <c r="S560">
        <f>IF($A560="",0,IF(COUNTIF($R$2:$R560,$R560)=1,1,0))</f>
        <v>0</v>
      </c>
      <c r="T560">
        <f t="shared" si="129"/>
        <v>529</v>
      </c>
      <c r="U560" t="str">
        <f>IF($A560="","",IF($A560=经营数据!$B$3,COUNTIFS($S$2:$S$3000,1,$A$2:$A$3000,$A560,$T$2:$T$3000,"&lt;"&amp;$T560)+1,""))</f>
        <v/>
      </c>
      <c r="V560" t="str">
        <f t="shared" si="130"/>
        <v>基金整体|服务效率</v>
      </c>
      <c r="W560">
        <f t="shared" si="131"/>
        <v>2</v>
      </c>
      <c r="X560" t="str">
        <f t="shared" si="132"/>
        <v>基金整体|期末租金收缴率</v>
      </c>
      <c r="Y560">
        <f t="shared" si="133"/>
        <v>530</v>
      </c>
      <c r="Z560">
        <f>IF($A560="",0,IF(AND($M560=1,$A560=经营数据!$B$3,$J560=经营数据!$BA$5,OR($I560=经营数据!$BA$4,COUNTIF(经营数据!$AA$9:$AA$38,$I560)&gt;0)),1,0))</f>
        <v>0</v>
      </c>
      <c r="AA560" t="str">
        <f t="shared" si="134"/>
        <v/>
      </c>
      <c r="AB560" t="str">
        <f t="shared" si="135"/>
        <v/>
      </c>
      <c r="AC560">
        <f>IF($A560="",0,IF(COUNTIF($A$2:$A560,$A560)=1,1,0))</f>
        <v>0</v>
      </c>
      <c r="AD560">
        <f t="shared" si="136"/>
        <v>7</v>
      </c>
      <c r="AE560" t="str">
        <f t="shared" si="137"/>
        <v>基金整体|期末租金收缴率（%）</v>
      </c>
      <c r="BP560" s="47">
        <v>46205</v>
      </c>
      <c r="BQ560" s="29">
        <v>4.3519331093441353E-2</v>
      </c>
    </row>
    <row r="561" spans="1:69" x14ac:dyDescent="0.4">
      <c r="A561" t="str">
        <f>IF(原始经营数据!$D562="","",原始经营数据!$D562)</f>
        <v>华夏首创奥特莱斯封闭式基础设施证券投资基金</v>
      </c>
      <c r="B561" t="str">
        <f>IF(原始经营数据!$D562="","",T(原始经营数据!$E562))</f>
        <v>基金整体</v>
      </c>
      <c r="C561" t="str">
        <f>IF(原始经营数据!$D562="","",原始经营数据!$F562)</f>
        <v>2025Q4</v>
      </c>
      <c r="D561" t="str">
        <f>IF(原始经营数据!$D562="","",原始经营数据!$H562)</f>
        <v>期末可供出租面积</v>
      </c>
      <c r="E561">
        <f>IF(原始经营数据!$D562="","",原始经营数据!$I562)</f>
        <v>99188.87</v>
      </c>
      <c r="F561" t="str">
        <f>IF(原始经营数据!$D562="","",T(原始经营数据!$J562))</f>
        <v>平方米</v>
      </c>
      <c r="G561" t="str">
        <f>IF(原始经营数据!$D562="","",T(原始经营数据!$K562))</f>
        <v/>
      </c>
      <c r="H561" t="str">
        <f>IF(原始经营数据!$D562="","",原始经营数据!$G562)</f>
        <v>服务量</v>
      </c>
      <c r="I561" t="str">
        <f>IF($A561="","",IF($B561&lt;&gt;"",$B561,IF(COUNTIFS(原始经营数据!$D$3:$D$3001,$A561,原始经营数据!$E$3:$E$3001,"",原始经营数据!$F$3:$F$3001,$C561,原始经营数据!$H$3:$H$3001,$D561,原始经营数据!$K$3:$K$3001,$G561)&gt;1,"基金整体·来源"&amp;原始经营数据!$A562,"基金整体")))</f>
        <v>基金整体</v>
      </c>
      <c r="J561" t="str">
        <f t="shared" si="123"/>
        <v>季度</v>
      </c>
      <c r="K561" t="str">
        <f t="shared" si="124"/>
        <v>期末可供出租面积（平方米）</v>
      </c>
      <c r="L561" t="str">
        <f t="shared" si="125"/>
        <v>基金整体|期末可供出租面积（平方米）|季度</v>
      </c>
      <c r="M561">
        <f>IF($A561="",0,IF(COUNTIF($L$2:$L561,$L561)=1,1,0))</f>
        <v>0</v>
      </c>
      <c r="N561">
        <f t="shared" si="126"/>
        <v>20254</v>
      </c>
      <c r="O561" t="str">
        <f t="shared" si="127"/>
        <v>华夏首创奥特莱斯封闭式基础设施证券投资基金|2025Q4|季度</v>
      </c>
      <c r="P561">
        <f>IF($A561="",0,IF(COUNTIF($O$2:$O561,$O561)=1,1,0))</f>
        <v>0</v>
      </c>
      <c r="Q561" t="str">
        <f>IF(AND($P561=1,$A561=经营数据!$B$3,$J561=经营数据!$BA$5),COUNTIFS($P$2:$P$3000,1,$A$2:$A$3000,$A561,$J$2:$J$3000,$J561,$N$2:$N$3000,"&lt;"&amp;$N561)+1,"")</f>
        <v/>
      </c>
      <c r="R561" t="str">
        <f t="shared" si="128"/>
        <v>华夏首创奥特莱斯封闭式基础设施证券投资基金|基金整体</v>
      </c>
      <c r="S561">
        <f>IF($A561="",0,IF(COUNTIF($R$2:$R561,$R561)=1,1,0))</f>
        <v>0</v>
      </c>
      <c r="T561">
        <f t="shared" si="129"/>
        <v>529</v>
      </c>
      <c r="U561" t="str">
        <f>IF($A561="","",IF($A561=经营数据!$B$3,COUNTIFS($S$2:$S$3000,1,$A$2:$A$3000,$A561,$T$2:$T$3000,"&lt;"&amp;$T561)+1,""))</f>
        <v/>
      </c>
      <c r="V561" t="str">
        <f t="shared" si="130"/>
        <v>基金整体|服务量</v>
      </c>
      <c r="W561">
        <f t="shared" si="131"/>
        <v>1</v>
      </c>
      <c r="X561" t="str">
        <f t="shared" si="132"/>
        <v>基金整体|期末可供出租面积</v>
      </c>
      <c r="Y561">
        <f t="shared" si="133"/>
        <v>3</v>
      </c>
      <c r="Z561">
        <f>IF($A561="",0,IF(AND($M561=1,$A561=经营数据!$B$3,$J561=经营数据!$BA$5,OR($I561=经营数据!$BA$4,COUNTIF(经营数据!$AA$9:$AA$38,$I561)&gt;0)),1,0))</f>
        <v>0</v>
      </c>
      <c r="AA561" t="str">
        <f t="shared" si="134"/>
        <v/>
      </c>
      <c r="AB561" t="str">
        <f t="shared" si="135"/>
        <v/>
      </c>
      <c r="AC561">
        <f>IF($A561="",0,IF(COUNTIF($A$2:$A561,$A561)=1,1,0))</f>
        <v>0</v>
      </c>
      <c r="AD561">
        <f t="shared" si="136"/>
        <v>7</v>
      </c>
      <c r="AE561" t="str">
        <f t="shared" si="137"/>
        <v>基金整体|期末可供出租面积（平方米）</v>
      </c>
      <c r="BP561" s="47">
        <v>46206</v>
      </c>
      <c r="BQ561" s="29">
        <v>4.2936307905468478E-2</v>
      </c>
    </row>
    <row r="562" spans="1:69" x14ac:dyDescent="0.4">
      <c r="A562" t="str">
        <f>IF(原始经营数据!$D563="","",原始经营数据!$D563)</f>
        <v>华夏首创奥特莱斯封闭式基础设施证券投资基金</v>
      </c>
      <c r="B562" t="str">
        <f>IF(原始经营数据!$D563="","",T(原始经营数据!$E563))</f>
        <v>基金整体</v>
      </c>
      <c r="C562" t="str">
        <f>IF(原始经营数据!$D563="","",原始经营数据!$F563)</f>
        <v>2025Q4</v>
      </c>
      <c r="D562" t="str">
        <f>IF(原始经营数据!$D563="","",原始经营数据!$H563)</f>
        <v>期末实际出租面积</v>
      </c>
      <c r="E562">
        <f>IF(原始经营数据!$D563="","",原始经营数据!$I563)</f>
        <v>98161.76</v>
      </c>
      <c r="F562" t="str">
        <f>IF(原始经营数据!$D563="","",T(原始经营数据!$J563))</f>
        <v>平方米</v>
      </c>
      <c r="G562" t="str">
        <f>IF(原始经营数据!$D563="","",T(原始经营数据!$K563))</f>
        <v/>
      </c>
      <c r="H562" t="str">
        <f>IF(原始经营数据!$D563="","",原始经营数据!$G563)</f>
        <v>服务量</v>
      </c>
      <c r="I562" t="str">
        <f>IF($A562="","",IF($B562&lt;&gt;"",$B562,IF(COUNTIFS(原始经营数据!$D$3:$D$3001,$A562,原始经营数据!$E$3:$E$3001,"",原始经营数据!$F$3:$F$3001,$C562,原始经营数据!$H$3:$H$3001,$D562,原始经营数据!$K$3:$K$3001,$G562)&gt;1,"基金整体·来源"&amp;原始经营数据!$A563,"基金整体")))</f>
        <v>基金整体</v>
      </c>
      <c r="J562" t="str">
        <f t="shared" si="123"/>
        <v>季度</v>
      </c>
      <c r="K562" t="str">
        <f t="shared" si="124"/>
        <v>期末实际出租面积（平方米）</v>
      </c>
      <c r="L562" t="str">
        <f t="shared" si="125"/>
        <v>基金整体|期末实际出租面积（平方米）|季度</v>
      </c>
      <c r="M562">
        <f>IF($A562="",0,IF(COUNTIF($L$2:$L562,$L562)=1,1,0))</f>
        <v>0</v>
      </c>
      <c r="N562">
        <f t="shared" si="126"/>
        <v>20254</v>
      </c>
      <c r="O562" t="str">
        <f t="shared" si="127"/>
        <v>华夏首创奥特莱斯封闭式基础设施证券投资基金|2025Q4|季度</v>
      </c>
      <c r="P562">
        <f>IF($A562="",0,IF(COUNTIF($O$2:$O562,$O562)=1,1,0))</f>
        <v>0</v>
      </c>
      <c r="Q562" t="str">
        <f>IF(AND($P562=1,$A562=经营数据!$B$3,$J562=经营数据!$BA$5),COUNTIFS($P$2:$P$3000,1,$A$2:$A$3000,$A562,$J$2:$J$3000,$J562,$N$2:$N$3000,"&lt;"&amp;$N562)+1,"")</f>
        <v/>
      </c>
      <c r="R562" t="str">
        <f t="shared" si="128"/>
        <v>华夏首创奥特莱斯封闭式基础设施证券投资基金|基金整体</v>
      </c>
      <c r="S562">
        <f>IF($A562="",0,IF(COUNTIF($R$2:$R562,$R562)=1,1,0))</f>
        <v>0</v>
      </c>
      <c r="T562">
        <f t="shared" si="129"/>
        <v>529</v>
      </c>
      <c r="U562" t="str">
        <f>IF($A562="","",IF($A562=经营数据!$B$3,COUNTIFS($S$2:$S$3000,1,$A$2:$A$3000,$A562,$T$2:$T$3000,"&lt;"&amp;$T562)+1,""))</f>
        <v/>
      </c>
      <c r="V562" t="str">
        <f t="shared" si="130"/>
        <v>基金整体|服务量</v>
      </c>
      <c r="W562">
        <f t="shared" si="131"/>
        <v>1</v>
      </c>
      <c r="X562" t="str">
        <f t="shared" si="132"/>
        <v>基金整体|期末实际出租面积</v>
      </c>
      <c r="Y562">
        <f t="shared" si="133"/>
        <v>4</v>
      </c>
      <c r="Z562">
        <f>IF($A562="",0,IF(AND($M562=1,$A562=经营数据!$B$3,$J562=经营数据!$BA$5,OR($I562=经营数据!$BA$4,COUNTIF(经营数据!$AA$9:$AA$38,$I562)&gt;0)),1,0))</f>
        <v>0</v>
      </c>
      <c r="AA562" t="str">
        <f t="shared" si="134"/>
        <v/>
      </c>
      <c r="AB562" t="str">
        <f t="shared" si="135"/>
        <v/>
      </c>
      <c r="AC562">
        <f>IF($A562="",0,IF(COUNTIF($A$2:$A562,$A562)=1,1,0))</f>
        <v>0</v>
      </c>
      <c r="AD562">
        <f t="shared" si="136"/>
        <v>7</v>
      </c>
      <c r="AE562" t="str">
        <f t="shared" si="137"/>
        <v>基金整体|期末实际出租面积（平方米）</v>
      </c>
      <c r="BP562" s="47">
        <v>46209</v>
      </c>
      <c r="BQ562" s="29">
        <v>4.2950094928849228E-2</v>
      </c>
    </row>
    <row r="563" spans="1:69" x14ac:dyDescent="0.4">
      <c r="A563" t="str">
        <f>IF(原始经营数据!$D564="","",原始经营数据!$D564)</f>
        <v>华夏首创奥特莱斯封闭式基础设施证券投资基金</v>
      </c>
      <c r="B563" t="str">
        <f>IF(原始经营数据!$D564="","",T(原始经营数据!$E564))</f>
        <v>基金整体</v>
      </c>
      <c r="C563" t="str">
        <f>IF(原始经营数据!$D564="","",原始经营数据!$F564)</f>
        <v>2026Q1</v>
      </c>
      <c r="D563" t="str">
        <f>IF(原始经营数据!$D564="","",原始经营数据!$H564)</f>
        <v>期末出租率</v>
      </c>
      <c r="E563">
        <f>IF(原始经营数据!$D564="","",原始经营数据!$I564)</f>
        <v>97.73</v>
      </c>
      <c r="F563" t="str">
        <f>IF(原始经营数据!$D564="","",T(原始经营数据!$J564))</f>
        <v>%</v>
      </c>
      <c r="G563" t="str">
        <f>IF(原始经营数据!$D564="","",T(原始经营数据!$K564))</f>
        <v/>
      </c>
      <c r="H563" t="str">
        <f>IF(原始经营数据!$D564="","",原始经营数据!$G564)</f>
        <v>服务效率</v>
      </c>
      <c r="I563" t="str">
        <f>IF($A563="","",IF($B563&lt;&gt;"",$B563,IF(COUNTIFS(原始经营数据!$D$3:$D$3001,$A563,原始经营数据!$E$3:$E$3001,"",原始经营数据!$F$3:$F$3001,$C563,原始经营数据!$H$3:$H$3001,$D563,原始经营数据!$K$3:$K$3001,$G563)&gt;1,"基金整体·来源"&amp;原始经营数据!$A564,"基金整体")))</f>
        <v>基金整体</v>
      </c>
      <c r="J563" t="str">
        <f t="shared" si="123"/>
        <v>季度</v>
      </c>
      <c r="K563" t="str">
        <f t="shared" si="124"/>
        <v>期末出租率（%）</v>
      </c>
      <c r="L563" t="str">
        <f t="shared" si="125"/>
        <v>基金整体|期末出租率（%）|季度</v>
      </c>
      <c r="M563">
        <f>IF($A563="",0,IF(COUNTIF($L$2:$L563,$L563)=1,1,0))</f>
        <v>0</v>
      </c>
      <c r="N563">
        <f t="shared" si="126"/>
        <v>20261</v>
      </c>
      <c r="O563" t="str">
        <f t="shared" si="127"/>
        <v>华夏首创奥特莱斯封闭式基础设施证券投资基金|2026Q1|季度</v>
      </c>
      <c r="P563">
        <f>IF($A563="",0,IF(COUNTIF($O$2:$O563,$O563)=1,1,0))</f>
        <v>1</v>
      </c>
      <c r="Q563" t="str">
        <f>IF(AND($P563=1,$A563=经营数据!$B$3,$J563=经营数据!$BA$5),COUNTIFS($P$2:$P$3000,1,$A$2:$A$3000,$A563,$J$2:$J$3000,$J563,$N$2:$N$3000,"&lt;"&amp;$N563)+1,"")</f>
        <v/>
      </c>
      <c r="R563" t="str">
        <f t="shared" si="128"/>
        <v>华夏首创奥特莱斯封闭式基础设施证券投资基金|基金整体</v>
      </c>
      <c r="S563">
        <f>IF($A563="",0,IF(COUNTIF($R$2:$R563,$R563)=1,1,0))</f>
        <v>0</v>
      </c>
      <c r="T563">
        <f t="shared" si="129"/>
        <v>529</v>
      </c>
      <c r="U563" t="str">
        <f>IF($A563="","",IF($A563=经营数据!$B$3,COUNTIFS($S$2:$S$3000,1,$A$2:$A$3000,$A563,$T$2:$T$3000,"&lt;"&amp;$T563)+1,""))</f>
        <v/>
      </c>
      <c r="V563" t="str">
        <f t="shared" si="130"/>
        <v>基金整体|服务效率</v>
      </c>
      <c r="W563">
        <f t="shared" si="131"/>
        <v>2</v>
      </c>
      <c r="X563" t="str">
        <f t="shared" si="132"/>
        <v>基金整体|期末出租率</v>
      </c>
      <c r="Y563">
        <f t="shared" si="133"/>
        <v>5</v>
      </c>
      <c r="Z563">
        <f>IF($A563="",0,IF(AND($M563=1,$A563=经营数据!$B$3,$J563=经营数据!$BA$5,OR($I563=经营数据!$BA$4,COUNTIF(经营数据!$AA$9:$AA$38,$I563)&gt;0)),1,0))</f>
        <v>0</v>
      </c>
      <c r="AA563" t="str">
        <f t="shared" si="134"/>
        <v/>
      </c>
      <c r="AB563" t="str">
        <f t="shared" si="135"/>
        <v/>
      </c>
      <c r="AC563">
        <f>IF($A563="",0,IF(COUNTIF($A$2:$A563,$A563)=1,1,0))</f>
        <v>0</v>
      </c>
      <c r="AD563">
        <f t="shared" si="136"/>
        <v>7</v>
      </c>
      <c r="AE563" t="str">
        <f t="shared" si="137"/>
        <v>基金整体|期末出租率（%）</v>
      </c>
      <c r="BP563" s="47">
        <v>46210</v>
      </c>
      <c r="BQ563" s="29">
        <v>4.3236333033727883E-2</v>
      </c>
    </row>
    <row r="564" spans="1:69" x14ac:dyDescent="0.4">
      <c r="A564" t="str">
        <f>IF(原始经营数据!$D565="","",原始经营数据!$D565)</f>
        <v>华夏首创奥特莱斯封闭式基础设施证券投资基金</v>
      </c>
      <c r="B564" t="str">
        <f>IF(原始经营数据!$D565="","",T(原始经营数据!$E565))</f>
        <v>基金整体</v>
      </c>
      <c r="C564" t="str">
        <f>IF(原始经营数据!$D565="","",原始经营数据!$F565)</f>
        <v>2026Q1</v>
      </c>
      <c r="D564" t="str">
        <f>IF(原始经营数据!$D565="","",原始经营数据!$H565)</f>
        <v>期内租金单价水平</v>
      </c>
      <c r="E564">
        <f>IF(原始经营数据!$D565="","",原始经营数据!$I565)</f>
        <v>226.39</v>
      </c>
      <c r="F564" t="str">
        <f>IF(原始经营数据!$D565="","",T(原始经营数据!$J565))</f>
        <v>元/平方米/月</v>
      </c>
      <c r="G564" t="str">
        <f>IF(原始经营数据!$D565="","",T(原始经营数据!$K565))</f>
        <v/>
      </c>
      <c r="H564" t="str">
        <f>IF(原始经营数据!$D565="","",原始经营数据!$G565)</f>
        <v>服务价格</v>
      </c>
      <c r="I564" t="str">
        <f>IF($A564="","",IF($B564&lt;&gt;"",$B564,IF(COUNTIFS(原始经营数据!$D$3:$D$3001,$A564,原始经营数据!$E$3:$E$3001,"",原始经营数据!$F$3:$F$3001,$C564,原始经营数据!$H$3:$H$3001,$D564,原始经营数据!$K$3:$K$3001,$G564)&gt;1,"基金整体·来源"&amp;原始经营数据!$A565,"基金整体")))</f>
        <v>基金整体</v>
      </c>
      <c r="J564" t="str">
        <f t="shared" si="123"/>
        <v>季度</v>
      </c>
      <c r="K564" t="str">
        <f t="shared" si="124"/>
        <v>期内租金单价水平（元/平方米/月）</v>
      </c>
      <c r="L564" t="str">
        <f t="shared" si="125"/>
        <v>基金整体|期内租金单价水平（元/平方米/月）|季度</v>
      </c>
      <c r="M564">
        <f>IF($A564="",0,IF(COUNTIF($L$2:$L564,$L564)=1,1,0))</f>
        <v>0</v>
      </c>
      <c r="N564">
        <f t="shared" si="126"/>
        <v>20261</v>
      </c>
      <c r="O564" t="str">
        <f t="shared" si="127"/>
        <v>华夏首创奥特莱斯封闭式基础设施证券投资基金|2026Q1|季度</v>
      </c>
      <c r="P564">
        <f>IF($A564="",0,IF(COUNTIF($O$2:$O564,$O564)=1,1,0))</f>
        <v>0</v>
      </c>
      <c r="Q564" t="str">
        <f>IF(AND($P564=1,$A564=经营数据!$B$3,$J564=经营数据!$BA$5),COUNTIFS($P$2:$P$3000,1,$A$2:$A$3000,$A564,$J$2:$J$3000,$J564,$N$2:$N$3000,"&lt;"&amp;$N564)+1,"")</f>
        <v/>
      </c>
      <c r="R564" t="str">
        <f t="shared" si="128"/>
        <v>华夏首创奥特莱斯封闭式基础设施证券投资基金|基金整体</v>
      </c>
      <c r="S564">
        <f>IF($A564="",0,IF(COUNTIF($R$2:$R564,$R564)=1,1,0))</f>
        <v>0</v>
      </c>
      <c r="T564">
        <f t="shared" si="129"/>
        <v>529</v>
      </c>
      <c r="U564" t="str">
        <f>IF($A564="","",IF($A564=经营数据!$B$3,COUNTIFS($S$2:$S$3000,1,$A$2:$A$3000,$A564,$T$2:$T$3000,"&lt;"&amp;$T564)+1,""))</f>
        <v/>
      </c>
      <c r="V564" t="str">
        <f t="shared" si="130"/>
        <v>基金整体|服务价格</v>
      </c>
      <c r="W564">
        <f t="shared" si="131"/>
        <v>10</v>
      </c>
      <c r="X564" t="str">
        <f t="shared" si="132"/>
        <v>基金整体|期内租金单价水平</v>
      </c>
      <c r="Y564">
        <f t="shared" si="133"/>
        <v>529</v>
      </c>
      <c r="Z564">
        <f>IF($A564="",0,IF(AND($M564=1,$A564=经营数据!$B$3,$J564=经营数据!$BA$5,OR($I564=经营数据!$BA$4,COUNTIF(经营数据!$AA$9:$AA$38,$I564)&gt;0)),1,0))</f>
        <v>0</v>
      </c>
      <c r="AA564" t="str">
        <f t="shared" si="134"/>
        <v/>
      </c>
      <c r="AB564" t="str">
        <f t="shared" si="135"/>
        <v/>
      </c>
      <c r="AC564">
        <f>IF($A564="",0,IF(COUNTIF($A$2:$A564,$A564)=1,1,0))</f>
        <v>0</v>
      </c>
      <c r="AD564">
        <f t="shared" si="136"/>
        <v>7</v>
      </c>
      <c r="AE564" t="str">
        <f t="shared" si="137"/>
        <v>基金整体|期内租金单价水平（元/平方米/月）</v>
      </c>
      <c r="BP564" s="47">
        <v>46211</v>
      </c>
      <c r="BQ564" s="29">
        <v>4.3529953266264083E-2</v>
      </c>
    </row>
    <row r="565" spans="1:69" x14ac:dyDescent="0.4">
      <c r="A565" t="str">
        <f>IF(原始经营数据!$D566="","",原始经营数据!$D566)</f>
        <v>华夏首创奥特莱斯封闭式基础设施证券投资基金</v>
      </c>
      <c r="B565" t="str">
        <f>IF(原始经营数据!$D566="","",T(原始经营数据!$E566))</f>
        <v>基金整体</v>
      </c>
      <c r="C565" t="str">
        <f>IF(原始经营数据!$D566="","",原始经营数据!$F566)</f>
        <v>2026Q1</v>
      </c>
      <c r="D565" t="str">
        <f>IF(原始经营数据!$D566="","",原始经营数据!$H566)</f>
        <v>期末剩余租期</v>
      </c>
      <c r="E565">
        <f>IF(原始经营数据!$D566="","",原始经营数据!$I566)</f>
        <v>1.54</v>
      </c>
      <c r="F565" t="str">
        <f>IF(原始经营数据!$D566="","",T(原始经营数据!$J566))</f>
        <v>年</v>
      </c>
      <c r="G565" t="str">
        <f>IF(原始经营数据!$D566="","",T(原始经营数据!$K566))</f>
        <v/>
      </c>
      <c r="H565" t="str">
        <f>IF(原始经营数据!$D566="","",原始经营数据!$G566)</f>
        <v>服务量</v>
      </c>
      <c r="I565" t="str">
        <f>IF($A565="","",IF($B565&lt;&gt;"",$B565,IF(COUNTIFS(原始经营数据!$D$3:$D$3001,$A565,原始经营数据!$E$3:$E$3001,"",原始经营数据!$F$3:$F$3001,$C565,原始经营数据!$H$3:$H$3001,$D565,原始经营数据!$K$3:$K$3001,$G565)&gt;1,"基金整体·来源"&amp;原始经营数据!$A566,"基金整体")))</f>
        <v>基金整体</v>
      </c>
      <c r="J565" t="str">
        <f t="shared" si="123"/>
        <v>季度</v>
      </c>
      <c r="K565" t="str">
        <f t="shared" si="124"/>
        <v>期末剩余租期（年）</v>
      </c>
      <c r="L565" t="str">
        <f t="shared" si="125"/>
        <v>基金整体|期末剩余租期（年）|季度</v>
      </c>
      <c r="M565">
        <f>IF($A565="",0,IF(COUNTIF($L$2:$L565,$L565)=1,1,0))</f>
        <v>0</v>
      </c>
      <c r="N565">
        <f t="shared" si="126"/>
        <v>20261</v>
      </c>
      <c r="O565" t="str">
        <f t="shared" si="127"/>
        <v>华夏首创奥特莱斯封闭式基础设施证券投资基金|2026Q1|季度</v>
      </c>
      <c r="P565">
        <f>IF($A565="",0,IF(COUNTIF($O$2:$O565,$O565)=1,1,0))</f>
        <v>0</v>
      </c>
      <c r="Q565" t="str">
        <f>IF(AND($P565=1,$A565=经营数据!$B$3,$J565=经营数据!$BA$5),COUNTIFS($P$2:$P$3000,1,$A$2:$A$3000,$A565,$J$2:$J$3000,$J565,$N$2:$N$3000,"&lt;"&amp;$N565)+1,"")</f>
        <v/>
      </c>
      <c r="R565" t="str">
        <f t="shared" si="128"/>
        <v>华夏首创奥特莱斯封闭式基础设施证券投资基金|基金整体</v>
      </c>
      <c r="S565">
        <f>IF($A565="",0,IF(COUNTIF($R$2:$R565,$R565)=1,1,0))</f>
        <v>0</v>
      </c>
      <c r="T565">
        <f t="shared" si="129"/>
        <v>529</v>
      </c>
      <c r="U565" t="str">
        <f>IF($A565="","",IF($A565=经营数据!$B$3,COUNTIFS($S$2:$S$3000,1,$A$2:$A$3000,$A565,$T$2:$T$3000,"&lt;"&amp;$T565)+1,""))</f>
        <v/>
      </c>
      <c r="V565" t="str">
        <f t="shared" si="130"/>
        <v>基金整体|服务量</v>
      </c>
      <c r="W565">
        <f t="shared" si="131"/>
        <v>1</v>
      </c>
      <c r="X565" t="str">
        <f t="shared" si="132"/>
        <v>基金整体|期末剩余租期</v>
      </c>
      <c r="Y565">
        <f t="shared" si="133"/>
        <v>534</v>
      </c>
      <c r="Z565">
        <f>IF($A565="",0,IF(AND($M565=1,$A565=经营数据!$B$3,$J565=经营数据!$BA$5,OR($I565=经营数据!$BA$4,COUNTIF(经营数据!$AA$9:$AA$38,$I565)&gt;0)),1,0))</f>
        <v>0</v>
      </c>
      <c r="AA565" t="str">
        <f t="shared" si="134"/>
        <v/>
      </c>
      <c r="AB565" t="str">
        <f t="shared" si="135"/>
        <v/>
      </c>
      <c r="AC565">
        <f>IF($A565="",0,IF(COUNTIF($A$2:$A565,$A565)=1,1,0))</f>
        <v>0</v>
      </c>
      <c r="AD565">
        <f t="shared" si="136"/>
        <v>7</v>
      </c>
      <c r="AE565" t="str">
        <f t="shared" si="137"/>
        <v>基金整体|期末剩余租期（年）</v>
      </c>
      <c r="BP565" s="47">
        <v>46212</v>
      </c>
      <c r="BQ565" s="29">
        <v>4.3568076771208643E-2</v>
      </c>
    </row>
    <row r="566" spans="1:69" x14ac:dyDescent="0.4">
      <c r="A566" t="str">
        <f>IF(原始经营数据!$D567="","",原始经营数据!$D567)</f>
        <v>华夏首创奥特莱斯封闭式基础设施证券投资基金</v>
      </c>
      <c r="B566" t="str">
        <f>IF(原始经营数据!$D567="","",T(原始经营数据!$E567))</f>
        <v>基金整体</v>
      </c>
      <c r="C566" t="str">
        <f>IF(原始经营数据!$D567="","",原始经营数据!$F567)</f>
        <v>2026Q1</v>
      </c>
      <c r="D566" t="str">
        <f>IF(原始经营数据!$D567="","",原始经营数据!$H567)</f>
        <v>期末租金收缴率</v>
      </c>
      <c r="E566">
        <f>IF(原始经营数据!$D567="","",原始经营数据!$I567)</f>
        <v>100</v>
      </c>
      <c r="F566" t="str">
        <f>IF(原始经营数据!$D567="","",T(原始经营数据!$J567))</f>
        <v>%</v>
      </c>
      <c r="G566" t="str">
        <f>IF(原始经营数据!$D567="","",T(原始经营数据!$K567))</f>
        <v/>
      </c>
      <c r="H566" t="str">
        <f>IF(原始经营数据!$D567="","",原始经营数据!$G567)</f>
        <v>服务效率</v>
      </c>
      <c r="I566" t="str">
        <f>IF($A566="","",IF($B566&lt;&gt;"",$B566,IF(COUNTIFS(原始经营数据!$D$3:$D$3001,$A566,原始经营数据!$E$3:$E$3001,"",原始经营数据!$F$3:$F$3001,$C566,原始经营数据!$H$3:$H$3001,$D566,原始经营数据!$K$3:$K$3001,$G566)&gt;1,"基金整体·来源"&amp;原始经营数据!$A567,"基金整体")))</f>
        <v>基金整体</v>
      </c>
      <c r="J566" t="str">
        <f t="shared" si="123"/>
        <v>季度</v>
      </c>
      <c r="K566" t="str">
        <f t="shared" si="124"/>
        <v>期末租金收缴率（%）</v>
      </c>
      <c r="L566" t="str">
        <f t="shared" si="125"/>
        <v>基金整体|期末租金收缴率（%）|季度</v>
      </c>
      <c r="M566">
        <f>IF($A566="",0,IF(COUNTIF($L$2:$L566,$L566)=1,1,0))</f>
        <v>0</v>
      </c>
      <c r="N566">
        <f t="shared" si="126"/>
        <v>20261</v>
      </c>
      <c r="O566" t="str">
        <f t="shared" si="127"/>
        <v>华夏首创奥特莱斯封闭式基础设施证券投资基金|2026Q1|季度</v>
      </c>
      <c r="P566">
        <f>IF($A566="",0,IF(COUNTIF($O$2:$O566,$O566)=1,1,0))</f>
        <v>0</v>
      </c>
      <c r="Q566" t="str">
        <f>IF(AND($P566=1,$A566=经营数据!$B$3,$J566=经营数据!$BA$5),COUNTIFS($P$2:$P$3000,1,$A$2:$A$3000,$A566,$J$2:$J$3000,$J566,$N$2:$N$3000,"&lt;"&amp;$N566)+1,"")</f>
        <v/>
      </c>
      <c r="R566" t="str">
        <f t="shared" si="128"/>
        <v>华夏首创奥特莱斯封闭式基础设施证券投资基金|基金整体</v>
      </c>
      <c r="S566">
        <f>IF($A566="",0,IF(COUNTIF($R$2:$R566,$R566)=1,1,0))</f>
        <v>0</v>
      </c>
      <c r="T566">
        <f t="shared" si="129"/>
        <v>529</v>
      </c>
      <c r="U566" t="str">
        <f>IF($A566="","",IF($A566=经营数据!$B$3,COUNTIFS($S$2:$S$3000,1,$A$2:$A$3000,$A566,$T$2:$T$3000,"&lt;"&amp;$T566)+1,""))</f>
        <v/>
      </c>
      <c r="V566" t="str">
        <f t="shared" si="130"/>
        <v>基金整体|服务效率</v>
      </c>
      <c r="W566">
        <f t="shared" si="131"/>
        <v>2</v>
      </c>
      <c r="X566" t="str">
        <f t="shared" si="132"/>
        <v>基金整体|期末租金收缴率</v>
      </c>
      <c r="Y566">
        <f t="shared" si="133"/>
        <v>530</v>
      </c>
      <c r="Z566">
        <f>IF($A566="",0,IF(AND($M566=1,$A566=经营数据!$B$3,$J566=经营数据!$BA$5,OR($I566=经营数据!$BA$4,COUNTIF(经营数据!$AA$9:$AA$38,$I566)&gt;0)),1,0))</f>
        <v>0</v>
      </c>
      <c r="AA566" t="str">
        <f t="shared" si="134"/>
        <v/>
      </c>
      <c r="AB566" t="str">
        <f t="shared" si="135"/>
        <v/>
      </c>
      <c r="AC566">
        <f>IF($A566="",0,IF(COUNTIF($A$2:$A566,$A566)=1,1,0))</f>
        <v>0</v>
      </c>
      <c r="AD566">
        <f t="shared" si="136"/>
        <v>7</v>
      </c>
      <c r="AE566" t="str">
        <f t="shared" si="137"/>
        <v>基金整体|期末租金收缴率（%）</v>
      </c>
      <c r="BP566" s="47">
        <v>46213</v>
      </c>
      <c r="BQ566" s="29">
        <v>4.3086400067054199E-2</v>
      </c>
    </row>
    <row r="567" spans="1:69" x14ac:dyDescent="0.4">
      <c r="A567" t="str">
        <f>IF(原始经营数据!$D568="","",原始经营数据!$D568)</f>
        <v>华夏首创奥特莱斯封闭式基础设施证券投资基金</v>
      </c>
      <c r="B567" t="str">
        <f>IF(原始经营数据!$D568="","",T(原始经营数据!$E568))</f>
        <v>基金整体</v>
      </c>
      <c r="C567" t="str">
        <f>IF(原始经营数据!$D568="","",原始经营数据!$F568)</f>
        <v>2026Q1</v>
      </c>
      <c r="D567" t="str">
        <f>IF(原始经营数据!$D568="","",原始经营数据!$H568)</f>
        <v>期末实际出租面积</v>
      </c>
      <c r="E567">
        <f>IF(原始经营数据!$D568="","",原始经营数据!$I568)</f>
        <v>96946.25</v>
      </c>
      <c r="F567" t="str">
        <f>IF(原始经营数据!$D568="","",T(原始经营数据!$J568))</f>
        <v>平方米</v>
      </c>
      <c r="G567" t="str">
        <f>IF(原始经营数据!$D568="","",T(原始经营数据!$K568))</f>
        <v/>
      </c>
      <c r="H567" t="str">
        <f>IF(原始经营数据!$D568="","",原始经营数据!$G568)</f>
        <v>服务量</v>
      </c>
      <c r="I567" t="str">
        <f>IF($A567="","",IF($B567&lt;&gt;"",$B567,IF(COUNTIFS(原始经营数据!$D$3:$D$3001,$A567,原始经营数据!$E$3:$E$3001,"",原始经营数据!$F$3:$F$3001,$C567,原始经营数据!$H$3:$H$3001,$D567,原始经营数据!$K$3:$K$3001,$G567)&gt;1,"基金整体·来源"&amp;原始经营数据!$A568,"基金整体")))</f>
        <v>基金整体</v>
      </c>
      <c r="J567" t="str">
        <f t="shared" si="123"/>
        <v>季度</v>
      </c>
      <c r="K567" t="str">
        <f t="shared" si="124"/>
        <v>期末实际出租面积（平方米）</v>
      </c>
      <c r="L567" t="str">
        <f t="shared" si="125"/>
        <v>基金整体|期末实际出租面积（平方米）|季度</v>
      </c>
      <c r="M567">
        <f>IF($A567="",0,IF(COUNTIF($L$2:$L567,$L567)=1,1,0))</f>
        <v>0</v>
      </c>
      <c r="N567">
        <f t="shared" si="126"/>
        <v>20261</v>
      </c>
      <c r="O567" t="str">
        <f t="shared" si="127"/>
        <v>华夏首创奥特莱斯封闭式基础设施证券投资基金|2026Q1|季度</v>
      </c>
      <c r="P567">
        <f>IF($A567="",0,IF(COUNTIF($O$2:$O567,$O567)=1,1,0))</f>
        <v>0</v>
      </c>
      <c r="Q567" t="str">
        <f>IF(AND($P567=1,$A567=经营数据!$B$3,$J567=经营数据!$BA$5),COUNTIFS($P$2:$P$3000,1,$A$2:$A$3000,$A567,$J$2:$J$3000,$J567,$N$2:$N$3000,"&lt;"&amp;$N567)+1,"")</f>
        <v/>
      </c>
      <c r="R567" t="str">
        <f t="shared" si="128"/>
        <v>华夏首创奥特莱斯封闭式基础设施证券投资基金|基金整体</v>
      </c>
      <c r="S567">
        <f>IF($A567="",0,IF(COUNTIF($R$2:$R567,$R567)=1,1,0))</f>
        <v>0</v>
      </c>
      <c r="T567">
        <f t="shared" si="129"/>
        <v>529</v>
      </c>
      <c r="U567" t="str">
        <f>IF($A567="","",IF($A567=经营数据!$B$3,COUNTIFS($S$2:$S$3000,1,$A$2:$A$3000,$A567,$T$2:$T$3000,"&lt;"&amp;$T567)+1,""))</f>
        <v/>
      </c>
      <c r="V567" t="str">
        <f t="shared" si="130"/>
        <v>基金整体|服务量</v>
      </c>
      <c r="W567">
        <f t="shared" si="131"/>
        <v>1</v>
      </c>
      <c r="X567" t="str">
        <f t="shared" si="132"/>
        <v>基金整体|期末实际出租面积</v>
      </c>
      <c r="Y567">
        <f t="shared" si="133"/>
        <v>4</v>
      </c>
      <c r="Z567">
        <f>IF($A567="",0,IF(AND($M567=1,$A567=经营数据!$B$3,$J567=经营数据!$BA$5,OR($I567=经营数据!$BA$4,COUNTIF(经营数据!$AA$9:$AA$38,$I567)&gt;0)),1,0))</f>
        <v>0</v>
      </c>
      <c r="AA567" t="str">
        <f t="shared" si="134"/>
        <v/>
      </c>
      <c r="AB567" t="str">
        <f t="shared" si="135"/>
        <v/>
      </c>
      <c r="AC567">
        <f>IF($A567="",0,IF(COUNTIF($A$2:$A567,$A567)=1,1,0))</f>
        <v>0</v>
      </c>
      <c r="AD567">
        <f t="shared" si="136"/>
        <v>7</v>
      </c>
      <c r="AE567" t="str">
        <f t="shared" si="137"/>
        <v>基金整体|期末实际出租面积（平方米）</v>
      </c>
      <c r="BP567" s="47">
        <v>46216</v>
      </c>
      <c r="BQ567" s="29">
        <v>4.3226851475549312E-2</v>
      </c>
    </row>
    <row r="568" spans="1:69" x14ac:dyDescent="0.4">
      <c r="A568" t="str">
        <f>IF(原始经营数据!$D569="","",原始经营数据!$D569)</f>
        <v>华夏首创奥特莱斯封闭式基础设施证券投资基金</v>
      </c>
      <c r="B568" t="str">
        <f>IF(原始经营数据!$D569="","",T(原始经营数据!$E569))</f>
        <v>基金整体</v>
      </c>
      <c r="C568" t="str">
        <f>IF(原始经营数据!$D569="","",原始经营数据!$F569)</f>
        <v>2026Q1</v>
      </c>
      <c r="D568" t="str">
        <f>IF(原始经营数据!$D569="","",原始经营数据!$H569)</f>
        <v>期末可供出租面积</v>
      </c>
      <c r="E568">
        <f>IF(原始经营数据!$D569="","",原始经营数据!$I569)</f>
        <v>99198.86</v>
      </c>
      <c r="F568" t="str">
        <f>IF(原始经营数据!$D569="","",T(原始经营数据!$J569))</f>
        <v>平方米</v>
      </c>
      <c r="G568" t="str">
        <f>IF(原始经营数据!$D569="","",T(原始经营数据!$K569))</f>
        <v/>
      </c>
      <c r="H568" t="str">
        <f>IF(原始经营数据!$D569="","",原始经营数据!$G569)</f>
        <v>服务量</v>
      </c>
      <c r="I568" t="str">
        <f>IF($A568="","",IF($B568&lt;&gt;"",$B568,IF(COUNTIFS(原始经营数据!$D$3:$D$3001,$A568,原始经营数据!$E$3:$E$3001,"",原始经营数据!$F$3:$F$3001,$C568,原始经营数据!$H$3:$H$3001,$D568,原始经营数据!$K$3:$K$3001,$G568)&gt;1,"基金整体·来源"&amp;原始经营数据!$A569,"基金整体")))</f>
        <v>基金整体</v>
      </c>
      <c r="J568" t="str">
        <f t="shared" si="123"/>
        <v>季度</v>
      </c>
      <c r="K568" t="str">
        <f t="shared" si="124"/>
        <v>期末可供出租面积（平方米）</v>
      </c>
      <c r="L568" t="str">
        <f t="shared" si="125"/>
        <v>基金整体|期末可供出租面积（平方米）|季度</v>
      </c>
      <c r="M568">
        <f>IF($A568="",0,IF(COUNTIF($L$2:$L568,$L568)=1,1,0))</f>
        <v>0</v>
      </c>
      <c r="N568">
        <f t="shared" si="126"/>
        <v>20261</v>
      </c>
      <c r="O568" t="str">
        <f t="shared" si="127"/>
        <v>华夏首创奥特莱斯封闭式基础设施证券投资基金|2026Q1|季度</v>
      </c>
      <c r="P568">
        <f>IF($A568="",0,IF(COUNTIF($O$2:$O568,$O568)=1,1,0))</f>
        <v>0</v>
      </c>
      <c r="Q568" t="str">
        <f>IF(AND($P568=1,$A568=经营数据!$B$3,$J568=经营数据!$BA$5),COUNTIFS($P$2:$P$3000,1,$A$2:$A$3000,$A568,$J$2:$J$3000,$J568,$N$2:$N$3000,"&lt;"&amp;$N568)+1,"")</f>
        <v/>
      </c>
      <c r="R568" t="str">
        <f t="shared" si="128"/>
        <v>华夏首创奥特莱斯封闭式基础设施证券投资基金|基金整体</v>
      </c>
      <c r="S568">
        <f>IF($A568="",0,IF(COUNTIF($R$2:$R568,$R568)=1,1,0))</f>
        <v>0</v>
      </c>
      <c r="T568">
        <f t="shared" si="129"/>
        <v>529</v>
      </c>
      <c r="U568" t="str">
        <f>IF($A568="","",IF($A568=经营数据!$B$3,COUNTIFS($S$2:$S$3000,1,$A$2:$A$3000,$A568,$T$2:$T$3000,"&lt;"&amp;$T568)+1,""))</f>
        <v/>
      </c>
      <c r="V568" t="str">
        <f t="shared" si="130"/>
        <v>基金整体|服务量</v>
      </c>
      <c r="W568">
        <f t="shared" si="131"/>
        <v>1</v>
      </c>
      <c r="X568" t="str">
        <f t="shared" si="132"/>
        <v>基金整体|期末可供出租面积</v>
      </c>
      <c r="Y568">
        <f t="shared" si="133"/>
        <v>3</v>
      </c>
      <c r="Z568">
        <f>IF($A568="",0,IF(AND($M568=1,$A568=经营数据!$B$3,$J568=经营数据!$BA$5,OR($I568=经营数据!$BA$4,COUNTIF(经营数据!$AA$9:$AA$38,$I568)&gt;0)),1,0))</f>
        <v>0</v>
      </c>
      <c r="AA568" t="str">
        <f t="shared" si="134"/>
        <v/>
      </c>
      <c r="AB568" t="str">
        <f t="shared" si="135"/>
        <v/>
      </c>
      <c r="AC568">
        <f>IF($A568="",0,IF(COUNTIF($A$2:$A568,$A568)=1,1,0))</f>
        <v>0</v>
      </c>
      <c r="AD568">
        <f t="shared" si="136"/>
        <v>7</v>
      </c>
      <c r="AE568" t="str">
        <f t="shared" si="137"/>
        <v>基金整体|期末可供出租面积（平方米）</v>
      </c>
      <c r="BP568" s="47">
        <v>46217</v>
      </c>
      <c r="BQ568" s="29">
        <v>4.3300460387642348E-2</v>
      </c>
    </row>
    <row r="569" spans="1:69" x14ac:dyDescent="0.4">
      <c r="A569" t="str">
        <f>IF(原始经营数据!$D570="","",原始经营数据!$D570)</f>
        <v>华夏首创奥特莱斯封闭式基础设施证券投资基金</v>
      </c>
      <c r="B569" t="str">
        <f>IF(原始经营数据!$D570="","",T(原始经营数据!$E570))</f>
        <v>基金整体</v>
      </c>
      <c r="C569" t="str">
        <f>IF(原始经营数据!$D570="","",原始经营数据!$F570)</f>
        <v>2026Q2</v>
      </c>
      <c r="D569" t="str">
        <f>IF(原始经营数据!$D570="","",原始经营数据!$H570)</f>
        <v>期末可供出租面积</v>
      </c>
      <c r="E569">
        <f>IF(原始经营数据!$D570="","",原始经营数据!$I570)</f>
        <v>99198.86</v>
      </c>
      <c r="F569" t="str">
        <f>IF(原始经营数据!$D570="","",T(原始经营数据!$J570))</f>
        <v>平方米</v>
      </c>
      <c r="G569" t="str">
        <f>IF(原始经营数据!$D570="","",T(原始经营数据!$K570))</f>
        <v/>
      </c>
      <c r="H569" t="str">
        <f>IF(原始经营数据!$D570="","",原始经营数据!$G570)</f>
        <v>服务量</v>
      </c>
      <c r="I569" t="str">
        <f>IF($A569="","",IF($B569&lt;&gt;"",$B569,IF(COUNTIFS(原始经营数据!$D$3:$D$3001,$A569,原始经营数据!$E$3:$E$3001,"",原始经营数据!$F$3:$F$3001,$C569,原始经营数据!$H$3:$H$3001,$D569,原始经营数据!$K$3:$K$3001,$G569)&gt;1,"基金整体·来源"&amp;原始经营数据!$A570,"基金整体")))</f>
        <v>基金整体</v>
      </c>
      <c r="J569" t="str">
        <f t="shared" si="123"/>
        <v>季度</v>
      </c>
      <c r="K569" t="str">
        <f t="shared" si="124"/>
        <v>期末可供出租面积（平方米）</v>
      </c>
      <c r="L569" t="str">
        <f t="shared" si="125"/>
        <v>基金整体|期末可供出租面积（平方米）|季度</v>
      </c>
      <c r="M569">
        <f>IF($A569="",0,IF(COUNTIF($L$2:$L569,$L569)=1,1,0))</f>
        <v>0</v>
      </c>
      <c r="N569">
        <f t="shared" si="126"/>
        <v>20262</v>
      </c>
      <c r="O569" t="str">
        <f t="shared" si="127"/>
        <v>华夏首创奥特莱斯封闭式基础设施证券投资基金|2026Q2|季度</v>
      </c>
      <c r="P569">
        <f>IF($A569="",0,IF(COUNTIF($O$2:$O569,$O569)=1,1,0))</f>
        <v>1</v>
      </c>
      <c r="Q569" t="str">
        <f>IF(AND($P569=1,$A569=经营数据!$B$3,$J569=经营数据!$BA$5),COUNTIFS($P$2:$P$3000,1,$A$2:$A$3000,$A569,$J$2:$J$3000,$J569,$N$2:$N$3000,"&lt;"&amp;$N569)+1,"")</f>
        <v/>
      </c>
      <c r="R569" t="str">
        <f t="shared" si="128"/>
        <v>华夏首创奥特莱斯封闭式基础设施证券投资基金|基金整体</v>
      </c>
      <c r="S569">
        <f>IF($A569="",0,IF(COUNTIF($R$2:$R569,$R569)=1,1,0))</f>
        <v>0</v>
      </c>
      <c r="T569">
        <f t="shared" si="129"/>
        <v>529</v>
      </c>
      <c r="U569" t="str">
        <f>IF($A569="","",IF($A569=经营数据!$B$3,COUNTIFS($S$2:$S$3000,1,$A$2:$A$3000,$A569,$T$2:$T$3000,"&lt;"&amp;$T569)+1,""))</f>
        <v/>
      </c>
      <c r="V569" t="str">
        <f t="shared" si="130"/>
        <v>基金整体|服务量</v>
      </c>
      <c r="W569">
        <f t="shared" si="131"/>
        <v>1</v>
      </c>
      <c r="X569" t="str">
        <f t="shared" si="132"/>
        <v>基金整体|期末可供出租面积</v>
      </c>
      <c r="Y569">
        <f t="shared" si="133"/>
        <v>3</v>
      </c>
      <c r="Z569">
        <f>IF($A569="",0,IF(AND($M569=1,$A569=经营数据!$B$3,$J569=经营数据!$BA$5,OR($I569=经营数据!$BA$4,COUNTIF(经营数据!$AA$9:$AA$38,$I569)&gt;0)),1,0))</f>
        <v>0</v>
      </c>
      <c r="AA569" t="str">
        <f t="shared" si="134"/>
        <v/>
      </c>
      <c r="AB569" t="str">
        <f t="shared" si="135"/>
        <v/>
      </c>
      <c r="AC569">
        <f>IF($A569="",0,IF(COUNTIF($A$2:$A569,$A569)=1,1,0))</f>
        <v>0</v>
      </c>
      <c r="AD569">
        <f t="shared" si="136"/>
        <v>7</v>
      </c>
      <c r="AE569" t="str">
        <f t="shared" si="137"/>
        <v>基金整体|期末可供出租面积（平方米）</v>
      </c>
      <c r="BP569" s="47">
        <v>46218</v>
      </c>
      <c r="BQ569" s="29">
        <v>4.3375396865367663E-2</v>
      </c>
    </row>
    <row r="570" spans="1:69" x14ac:dyDescent="0.4">
      <c r="A570" t="str">
        <f>IF(原始经营数据!$D571="","",原始经营数据!$D571)</f>
        <v>华夏首创奥特莱斯封闭式基础设施证券投资基金</v>
      </c>
      <c r="B570" t="str">
        <f>IF(原始经营数据!$D571="","",T(原始经营数据!$E571))</f>
        <v>基金整体</v>
      </c>
      <c r="C570" t="str">
        <f>IF(原始经营数据!$D571="","",原始经营数据!$F571)</f>
        <v>2026Q2</v>
      </c>
      <c r="D570" t="str">
        <f>IF(原始经营数据!$D571="","",原始经营数据!$H571)</f>
        <v>期末出租率</v>
      </c>
      <c r="E570">
        <f>IF(原始经营数据!$D571="","",原始经营数据!$I571)</f>
        <v>97.85</v>
      </c>
      <c r="F570" t="str">
        <f>IF(原始经营数据!$D571="","",T(原始经营数据!$J571))</f>
        <v>%</v>
      </c>
      <c r="G570" t="str">
        <f>IF(原始经营数据!$D571="","",T(原始经营数据!$K571))</f>
        <v/>
      </c>
      <c r="H570" t="str">
        <f>IF(原始经营数据!$D571="","",原始经营数据!$G571)</f>
        <v>服务效率</v>
      </c>
      <c r="I570" t="str">
        <f>IF($A570="","",IF($B570&lt;&gt;"",$B570,IF(COUNTIFS(原始经营数据!$D$3:$D$3001,$A570,原始经营数据!$E$3:$E$3001,"",原始经营数据!$F$3:$F$3001,$C570,原始经营数据!$H$3:$H$3001,$D570,原始经营数据!$K$3:$K$3001,$G570)&gt;1,"基金整体·来源"&amp;原始经营数据!$A571,"基金整体")))</f>
        <v>基金整体</v>
      </c>
      <c r="J570" t="str">
        <f t="shared" si="123"/>
        <v>季度</v>
      </c>
      <c r="K570" t="str">
        <f t="shared" si="124"/>
        <v>期末出租率（%）</v>
      </c>
      <c r="L570" t="str">
        <f t="shared" si="125"/>
        <v>基金整体|期末出租率（%）|季度</v>
      </c>
      <c r="M570">
        <f>IF($A570="",0,IF(COUNTIF($L$2:$L570,$L570)=1,1,0))</f>
        <v>0</v>
      </c>
      <c r="N570">
        <f t="shared" si="126"/>
        <v>20262</v>
      </c>
      <c r="O570" t="str">
        <f t="shared" si="127"/>
        <v>华夏首创奥特莱斯封闭式基础设施证券投资基金|2026Q2|季度</v>
      </c>
      <c r="P570">
        <f>IF($A570="",0,IF(COUNTIF($O$2:$O570,$O570)=1,1,0))</f>
        <v>0</v>
      </c>
      <c r="Q570" t="str">
        <f>IF(AND($P570=1,$A570=经营数据!$B$3,$J570=经营数据!$BA$5),COUNTIFS($P$2:$P$3000,1,$A$2:$A$3000,$A570,$J$2:$J$3000,$J570,$N$2:$N$3000,"&lt;"&amp;$N570)+1,"")</f>
        <v/>
      </c>
      <c r="R570" t="str">
        <f t="shared" si="128"/>
        <v>华夏首创奥特莱斯封闭式基础设施证券投资基金|基金整体</v>
      </c>
      <c r="S570">
        <f>IF($A570="",0,IF(COUNTIF($R$2:$R570,$R570)=1,1,0))</f>
        <v>0</v>
      </c>
      <c r="T570">
        <f t="shared" si="129"/>
        <v>529</v>
      </c>
      <c r="U570" t="str">
        <f>IF($A570="","",IF($A570=经营数据!$B$3,COUNTIFS($S$2:$S$3000,1,$A$2:$A$3000,$A570,$T$2:$T$3000,"&lt;"&amp;$T570)+1,""))</f>
        <v/>
      </c>
      <c r="V570" t="str">
        <f t="shared" si="130"/>
        <v>基金整体|服务效率</v>
      </c>
      <c r="W570">
        <f t="shared" si="131"/>
        <v>2</v>
      </c>
      <c r="X570" t="str">
        <f t="shared" si="132"/>
        <v>基金整体|期末出租率</v>
      </c>
      <c r="Y570">
        <f t="shared" si="133"/>
        <v>5</v>
      </c>
      <c r="Z570">
        <f>IF($A570="",0,IF(AND($M570=1,$A570=经营数据!$B$3,$J570=经营数据!$BA$5,OR($I570=经营数据!$BA$4,COUNTIF(经营数据!$AA$9:$AA$38,$I570)&gt;0)),1,0))</f>
        <v>0</v>
      </c>
      <c r="AA570" t="str">
        <f t="shared" si="134"/>
        <v/>
      </c>
      <c r="AB570" t="str">
        <f t="shared" si="135"/>
        <v/>
      </c>
      <c r="AC570">
        <f>IF($A570="",0,IF(COUNTIF($A$2:$A570,$A570)=1,1,0))</f>
        <v>0</v>
      </c>
      <c r="AD570">
        <f t="shared" si="136"/>
        <v>7</v>
      </c>
      <c r="AE570" t="str">
        <f t="shared" si="137"/>
        <v>基金整体|期末出租率（%）</v>
      </c>
      <c r="BP570" s="47">
        <v>46219</v>
      </c>
      <c r="BQ570" s="29">
        <v>4.3249171843681593E-2</v>
      </c>
    </row>
    <row r="571" spans="1:69" x14ac:dyDescent="0.4">
      <c r="A571" t="str">
        <f>IF(原始经营数据!$D572="","",原始经营数据!$D572)</f>
        <v>华夏首创奥特莱斯封闭式基础设施证券投资基金</v>
      </c>
      <c r="B571" t="str">
        <f>IF(原始经营数据!$D572="","",T(原始经营数据!$E572))</f>
        <v>基金整体</v>
      </c>
      <c r="C571" t="str">
        <f>IF(原始经营数据!$D572="","",原始经营数据!$F572)</f>
        <v>2026Q2</v>
      </c>
      <c r="D571" t="str">
        <f>IF(原始经营数据!$D572="","",原始经营数据!$H572)</f>
        <v>期内租金单价水平</v>
      </c>
      <c r="E571">
        <f>IF(原始经营数据!$D572="","",原始经营数据!$I572)</f>
        <v>153.1</v>
      </c>
      <c r="F571" t="str">
        <f>IF(原始经营数据!$D572="","",T(原始经营数据!$J572))</f>
        <v>元/平方米/月</v>
      </c>
      <c r="G571" t="str">
        <f>IF(原始经营数据!$D572="","",T(原始经营数据!$K572))</f>
        <v/>
      </c>
      <c r="H571" t="str">
        <f>IF(原始经营数据!$D572="","",原始经营数据!$G572)</f>
        <v>服务价格</v>
      </c>
      <c r="I571" t="str">
        <f>IF($A571="","",IF($B571&lt;&gt;"",$B571,IF(COUNTIFS(原始经营数据!$D$3:$D$3001,$A571,原始经营数据!$E$3:$E$3001,"",原始经营数据!$F$3:$F$3001,$C571,原始经营数据!$H$3:$H$3001,$D571,原始经营数据!$K$3:$K$3001,$G571)&gt;1,"基金整体·来源"&amp;原始经营数据!$A572,"基金整体")))</f>
        <v>基金整体</v>
      </c>
      <c r="J571" t="str">
        <f t="shared" si="123"/>
        <v>季度</v>
      </c>
      <c r="K571" t="str">
        <f t="shared" si="124"/>
        <v>期内租金单价水平（元/平方米/月）</v>
      </c>
      <c r="L571" t="str">
        <f t="shared" si="125"/>
        <v>基金整体|期内租金单价水平（元/平方米/月）|季度</v>
      </c>
      <c r="M571">
        <f>IF($A571="",0,IF(COUNTIF($L$2:$L571,$L571)=1,1,0))</f>
        <v>0</v>
      </c>
      <c r="N571">
        <f t="shared" si="126"/>
        <v>20262</v>
      </c>
      <c r="O571" t="str">
        <f t="shared" si="127"/>
        <v>华夏首创奥特莱斯封闭式基础设施证券投资基金|2026Q2|季度</v>
      </c>
      <c r="P571">
        <f>IF($A571="",0,IF(COUNTIF($O$2:$O571,$O571)=1,1,0))</f>
        <v>0</v>
      </c>
      <c r="Q571" t="str">
        <f>IF(AND($P571=1,$A571=经营数据!$B$3,$J571=经营数据!$BA$5),COUNTIFS($P$2:$P$3000,1,$A$2:$A$3000,$A571,$J$2:$J$3000,$J571,$N$2:$N$3000,"&lt;"&amp;$N571)+1,"")</f>
        <v/>
      </c>
      <c r="R571" t="str">
        <f t="shared" si="128"/>
        <v>华夏首创奥特莱斯封闭式基础设施证券投资基金|基金整体</v>
      </c>
      <c r="S571">
        <f>IF($A571="",0,IF(COUNTIF($R$2:$R571,$R571)=1,1,0))</f>
        <v>0</v>
      </c>
      <c r="T571">
        <f t="shared" si="129"/>
        <v>529</v>
      </c>
      <c r="U571" t="str">
        <f>IF($A571="","",IF($A571=经营数据!$B$3,COUNTIFS($S$2:$S$3000,1,$A$2:$A$3000,$A571,$T$2:$T$3000,"&lt;"&amp;$T571)+1,""))</f>
        <v/>
      </c>
      <c r="V571" t="str">
        <f t="shared" si="130"/>
        <v>基金整体|服务价格</v>
      </c>
      <c r="W571">
        <f t="shared" si="131"/>
        <v>10</v>
      </c>
      <c r="X571" t="str">
        <f t="shared" si="132"/>
        <v>基金整体|期内租金单价水平</v>
      </c>
      <c r="Y571">
        <f t="shared" si="133"/>
        <v>529</v>
      </c>
      <c r="Z571">
        <f>IF($A571="",0,IF(AND($M571=1,$A571=经营数据!$B$3,$J571=经营数据!$BA$5,OR($I571=经营数据!$BA$4,COUNTIF(经营数据!$AA$9:$AA$38,$I571)&gt;0)),1,0))</f>
        <v>0</v>
      </c>
      <c r="AA571" t="str">
        <f t="shared" si="134"/>
        <v/>
      </c>
      <c r="AB571" t="str">
        <f t="shared" si="135"/>
        <v/>
      </c>
      <c r="AC571">
        <f>IF($A571="",0,IF(COUNTIF($A$2:$A571,$A571)=1,1,0))</f>
        <v>0</v>
      </c>
      <c r="AD571">
        <f t="shared" si="136"/>
        <v>7</v>
      </c>
      <c r="AE571" t="str">
        <f t="shared" si="137"/>
        <v>基金整体|期内租金单价水平（元/平方米/月）</v>
      </c>
      <c r="BP571" s="47">
        <v>46220</v>
      </c>
      <c r="BQ571" s="29">
        <v>4.3445912758440113E-2</v>
      </c>
    </row>
    <row r="572" spans="1:69" x14ac:dyDescent="0.4">
      <c r="A572" t="str">
        <f>IF(原始经营数据!$D573="","",原始经营数据!$D573)</f>
        <v>华夏首创奥特莱斯封闭式基础设施证券投资基金</v>
      </c>
      <c r="B572" t="str">
        <f>IF(原始经营数据!$D573="","",T(原始经营数据!$E573))</f>
        <v>基金整体</v>
      </c>
      <c r="C572" t="str">
        <f>IF(原始经营数据!$D573="","",原始经营数据!$F573)</f>
        <v>2026Q2</v>
      </c>
      <c r="D572" t="str">
        <f>IF(原始经营数据!$D573="","",原始经营数据!$H573)</f>
        <v>期末租金收缴率</v>
      </c>
      <c r="E572">
        <f>IF(原始经营数据!$D573="","",原始经营数据!$I573)</f>
        <v>99.83</v>
      </c>
      <c r="F572" t="str">
        <f>IF(原始经营数据!$D573="","",T(原始经营数据!$J573))</f>
        <v>%</v>
      </c>
      <c r="G572" t="str">
        <f>IF(原始经营数据!$D573="","",T(原始经营数据!$K573))</f>
        <v/>
      </c>
      <c r="H572" t="str">
        <f>IF(原始经营数据!$D573="","",原始经营数据!$G573)</f>
        <v>服务效率</v>
      </c>
      <c r="I572" t="str">
        <f>IF($A572="","",IF($B572&lt;&gt;"",$B572,IF(COUNTIFS(原始经营数据!$D$3:$D$3001,$A572,原始经营数据!$E$3:$E$3001,"",原始经营数据!$F$3:$F$3001,$C572,原始经营数据!$H$3:$H$3001,$D572,原始经营数据!$K$3:$K$3001,$G572)&gt;1,"基金整体·来源"&amp;原始经营数据!$A573,"基金整体")))</f>
        <v>基金整体</v>
      </c>
      <c r="J572" t="str">
        <f t="shared" si="123"/>
        <v>季度</v>
      </c>
      <c r="K572" t="str">
        <f t="shared" si="124"/>
        <v>期末租金收缴率（%）</v>
      </c>
      <c r="L572" t="str">
        <f t="shared" si="125"/>
        <v>基金整体|期末租金收缴率（%）|季度</v>
      </c>
      <c r="M572">
        <f>IF($A572="",0,IF(COUNTIF($L$2:$L572,$L572)=1,1,0))</f>
        <v>0</v>
      </c>
      <c r="N572">
        <f t="shared" si="126"/>
        <v>20262</v>
      </c>
      <c r="O572" t="str">
        <f t="shared" si="127"/>
        <v>华夏首创奥特莱斯封闭式基础设施证券投资基金|2026Q2|季度</v>
      </c>
      <c r="P572">
        <f>IF($A572="",0,IF(COUNTIF($O$2:$O572,$O572)=1,1,0))</f>
        <v>0</v>
      </c>
      <c r="Q572" t="str">
        <f>IF(AND($P572=1,$A572=经营数据!$B$3,$J572=经营数据!$BA$5),COUNTIFS($P$2:$P$3000,1,$A$2:$A$3000,$A572,$J$2:$J$3000,$J572,$N$2:$N$3000,"&lt;"&amp;$N572)+1,"")</f>
        <v/>
      </c>
      <c r="R572" t="str">
        <f t="shared" si="128"/>
        <v>华夏首创奥特莱斯封闭式基础设施证券投资基金|基金整体</v>
      </c>
      <c r="S572">
        <f>IF($A572="",0,IF(COUNTIF($R$2:$R572,$R572)=1,1,0))</f>
        <v>0</v>
      </c>
      <c r="T572">
        <f t="shared" si="129"/>
        <v>529</v>
      </c>
      <c r="U572" t="str">
        <f>IF($A572="","",IF($A572=经营数据!$B$3,COUNTIFS($S$2:$S$3000,1,$A$2:$A$3000,$A572,$T$2:$T$3000,"&lt;"&amp;$T572)+1,""))</f>
        <v/>
      </c>
      <c r="V572" t="str">
        <f t="shared" si="130"/>
        <v>基金整体|服务效率</v>
      </c>
      <c r="W572">
        <f t="shared" si="131"/>
        <v>2</v>
      </c>
      <c r="X572" t="str">
        <f t="shared" si="132"/>
        <v>基金整体|期末租金收缴率</v>
      </c>
      <c r="Y572">
        <f t="shared" si="133"/>
        <v>530</v>
      </c>
      <c r="Z572">
        <f>IF($A572="",0,IF(AND($M572=1,$A572=经营数据!$B$3,$J572=经营数据!$BA$5,OR($I572=经营数据!$BA$4,COUNTIF(经营数据!$AA$9:$AA$38,$I572)&gt;0)),1,0))</f>
        <v>0</v>
      </c>
      <c r="AA572" t="str">
        <f t="shared" si="134"/>
        <v/>
      </c>
      <c r="AB572" t="str">
        <f t="shared" si="135"/>
        <v/>
      </c>
      <c r="AC572">
        <f>IF($A572="",0,IF(COUNTIF($A$2:$A572,$A572)=1,1,0))</f>
        <v>0</v>
      </c>
      <c r="AD572">
        <f t="shared" si="136"/>
        <v>7</v>
      </c>
      <c r="AE572" t="str">
        <f t="shared" si="137"/>
        <v>基金整体|期末租金收缴率（%）</v>
      </c>
      <c r="BP572" s="47">
        <v>46223</v>
      </c>
      <c r="BQ572" s="29">
        <v>4.3648085010314121E-2</v>
      </c>
    </row>
    <row r="573" spans="1:69" x14ac:dyDescent="0.4">
      <c r="A573" t="str">
        <f>IF(原始经营数据!$D574="","",原始经营数据!$D574)</f>
        <v>华夏首创奥特莱斯封闭式基础设施证券投资基金</v>
      </c>
      <c r="B573" t="str">
        <f>IF(原始经营数据!$D574="","",T(原始经营数据!$E574))</f>
        <v>基金整体</v>
      </c>
      <c r="C573" t="str">
        <f>IF(原始经营数据!$D574="","",原始经营数据!$F574)</f>
        <v>2026Q2</v>
      </c>
      <c r="D573" t="str">
        <f>IF(原始经营数据!$D574="","",原始经营数据!$H574)</f>
        <v>期末实际出租面积</v>
      </c>
      <c r="E573">
        <f>IF(原始经营数据!$D574="","",原始经营数据!$I574)</f>
        <v>97064.67</v>
      </c>
      <c r="F573" t="str">
        <f>IF(原始经营数据!$D574="","",T(原始经营数据!$J574))</f>
        <v>平方米</v>
      </c>
      <c r="G573" t="str">
        <f>IF(原始经营数据!$D574="","",T(原始经营数据!$K574))</f>
        <v/>
      </c>
      <c r="H573" t="str">
        <f>IF(原始经营数据!$D574="","",原始经营数据!$G574)</f>
        <v>服务量</v>
      </c>
      <c r="I573" t="str">
        <f>IF($A573="","",IF($B573&lt;&gt;"",$B573,IF(COUNTIFS(原始经营数据!$D$3:$D$3001,$A573,原始经营数据!$E$3:$E$3001,"",原始经营数据!$F$3:$F$3001,$C573,原始经营数据!$H$3:$H$3001,$D573,原始经营数据!$K$3:$K$3001,$G573)&gt;1,"基金整体·来源"&amp;原始经营数据!$A574,"基金整体")))</f>
        <v>基金整体</v>
      </c>
      <c r="J573" t="str">
        <f t="shared" si="123"/>
        <v>季度</v>
      </c>
      <c r="K573" t="str">
        <f t="shared" si="124"/>
        <v>期末实际出租面积（平方米）</v>
      </c>
      <c r="L573" t="str">
        <f t="shared" si="125"/>
        <v>基金整体|期末实际出租面积（平方米）|季度</v>
      </c>
      <c r="M573">
        <f>IF($A573="",0,IF(COUNTIF($L$2:$L573,$L573)=1,1,0))</f>
        <v>0</v>
      </c>
      <c r="N573">
        <f t="shared" si="126"/>
        <v>20262</v>
      </c>
      <c r="O573" t="str">
        <f t="shared" si="127"/>
        <v>华夏首创奥特莱斯封闭式基础设施证券投资基金|2026Q2|季度</v>
      </c>
      <c r="P573">
        <f>IF($A573="",0,IF(COUNTIF($O$2:$O573,$O573)=1,1,0))</f>
        <v>0</v>
      </c>
      <c r="Q573" t="str">
        <f>IF(AND($P573=1,$A573=经营数据!$B$3,$J573=经营数据!$BA$5),COUNTIFS($P$2:$P$3000,1,$A$2:$A$3000,$A573,$J$2:$J$3000,$J573,$N$2:$N$3000,"&lt;"&amp;$N573)+1,"")</f>
        <v/>
      </c>
      <c r="R573" t="str">
        <f t="shared" si="128"/>
        <v>华夏首创奥特莱斯封闭式基础设施证券投资基金|基金整体</v>
      </c>
      <c r="S573">
        <f>IF($A573="",0,IF(COUNTIF($R$2:$R573,$R573)=1,1,0))</f>
        <v>0</v>
      </c>
      <c r="T573">
        <f t="shared" si="129"/>
        <v>529</v>
      </c>
      <c r="U573" t="str">
        <f>IF($A573="","",IF($A573=经营数据!$B$3,COUNTIFS($S$2:$S$3000,1,$A$2:$A$3000,$A573,$T$2:$T$3000,"&lt;"&amp;$T573)+1,""))</f>
        <v/>
      </c>
      <c r="V573" t="str">
        <f t="shared" si="130"/>
        <v>基金整体|服务量</v>
      </c>
      <c r="W573">
        <f t="shared" si="131"/>
        <v>1</v>
      </c>
      <c r="X573" t="str">
        <f t="shared" si="132"/>
        <v>基金整体|期末实际出租面积</v>
      </c>
      <c r="Y573">
        <f t="shared" si="133"/>
        <v>4</v>
      </c>
      <c r="Z573">
        <f>IF($A573="",0,IF(AND($M573=1,$A573=经营数据!$B$3,$J573=经营数据!$BA$5,OR($I573=经营数据!$BA$4,COUNTIF(经营数据!$AA$9:$AA$38,$I573)&gt;0)),1,0))</f>
        <v>0</v>
      </c>
      <c r="AA573" t="str">
        <f t="shared" si="134"/>
        <v/>
      </c>
      <c r="AB573" t="str">
        <f t="shared" si="135"/>
        <v/>
      </c>
      <c r="AC573">
        <f>IF($A573="",0,IF(COUNTIF($A$2:$A573,$A573)=1,1,0))</f>
        <v>0</v>
      </c>
      <c r="AD573">
        <f t="shared" si="136"/>
        <v>7</v>
      </c>
      <c r="AE573" t="str">
        <f t="shared" si="137"/>
        <v>基金整体|期末实际出租面积（平方米）</v>
      </c>
      <c r="BP573" s="47">
        <v>46224</v>
      </c>
      <c r="BQ573" s="29">
        <v>4.3719605989173627E-2</v>
      </c>
    </row>
    <row r="574" spans="1:69" x14ac:dyDescent="0.4">
      <c r="A574" t="str">
        <f>IF(原始经营数据!$D575="","",原始经营数据!$D575)</f>
        <v>华夏首创奥特莱斯封闭式基础设施证券投资基金</v>
      </c>
      <c r="B574" t="str">
        <f>IF(原始经营数据!$D575="","",T(原始经营数据!$E575))</f>
        <v>基金整体</v>
      </c>
      <c r="C574" t="str">
        <f>IF(原始经营数据!$D575="","",原始经营数据!$F575)</f>
        <v>2026Q2</v>
      </c>
      <c r="D574" t="str">
        <f>IF(原始经营数据!$D575="","",原始经营数据!$H575)</f>
        <v>期末剩余租期</v>
      </c>
      <c r="E574">
        <f>IF(原始经营数据!$D575="","",原始经营数据!$I575)</f>
        <v>1.76</v>
      </c>
      <c r="F574" t="str">
        <f>IF(原始经营数据!$D575="","",T(原始经营数据!$J575))</f>
        <v>年</v>
      </c>
      <c r="G574" t="str">
        <f>IF(原始经营数据!$D575="","",T(原始经营数据!$K575))</f>
        <v/>
      </c>
      <c r="H574" t="str">
        <f>IF(原始经营数据!$D575="","",原始经营数据!$G575)</f>
        <v>服务量</v>
      </c>
      <c r="I574" t="str">
        <f>IF($A574="","",IF($B574&lt;&gt;"",$B574,IF(COUNTIFS(原始经营数据!$D$3:$D$3001,$A574,原始经营数据!$E$3:$E$3001,"",原始经营数据!$F$3:$F$3001,$C574,原始经营数据!$H$3:$H$3001,$D574,原始经营数据!$K$3:$K$3001,$G574)&gt;1,"基金整体·来源"&amp;原始经营数据!$A575,"基金整体")))</f>
        <v>基金整体</v>
      </c>
      <c r="J574" t="str">
        <f t="shared" si="123"/>
        <v>季度</v>
      </c>
      <c r="K574" t="str">
        <f t="shared" si="124"/>
        <v>期末剩余租期（年）</v>
      </c>
      <c r="L574" t="str">
        <f t="shared" si="125"/>
        <v>基金整体|期末剩余租期（年）|季度</v>
      </c>
      <c r="M574">
        <f>IF($A574="",0,IF(COUNTIF($L$2:$L574,$L574)=1,1,0))</f>
        <v>0</v>
      </c>
      <c r="N574">
        <f t="shared" si="126"/>
        <v>20262</v>
      </c>
      <c r="O574" t="str">
        <f t="shared" si="127"/>
        <v>华夏首创奥特莱斯封闭式基础设施证券投资基金|2026Q2|季度</v>
      </c>
      <c r="P574">
        <f>IF($A574="",0,IF(COUNTIF($O$2:$O574,$O574)=1,1,0))</f>
        <v>0</v>
      </c>
      <c r="Q574" t="str">
        <f>IF(AND($P574=1,$A574=经营数据!$B$3,$J574=经营数据!$BA$5),COUNTIFS($P$2:$P$3000,1,$A$2:$A$3000,$A574,$J$2:$J$3000,$J574,$N$2:$N$3000,"&lt;"&amp;$N574)+1,"")</f>
        <v/>
      </c>
      <c r="R574" t="str">
        <f t="shared" si="128"/>
        <v>华夏首创奥特莱斯封闭式基础设施证券投资基金|基金整体</v>
      </c>
      <c r="S574">
        <f>IF($A574="",0,IF(COUNTIF($R$2:$R574,$R574)=1,1,0))</f>
        <v>0</v>
      </c>
      <c r="T574">
        <f t="shared" si="129"/>
        <v>529</v>
      </c>
      <c r="U574" t="str">
        <f>IF($A574="","",IF($A574=经营数据!$B$3,COUNTIFS($S$2:$S$3000,1,$A$2:$A$3000,$A574,$T$2:$T$3000,"&lt;"&amp;$T574)+1,""))</f>
        <v/>
      </c>
      <c r="V574" t="str">
        <f t="shared" si="130"/>
        <v>基金整体|服务量</v>
      </c>
      <c r="W574">
        <f t="shared" si="131"/>
        <v>1</v>
      </c>
      <c r="X574" t="str">
        <f t="shared" si="132"/>
        <v>基金整体|期末剩余租期</v>
      </c>
      <c r="Y574">
        <f t="shared" si="133"/>
        <v>534</v>
      </c>
      <c r="Z574">
        <f>IF($A574="",0,IF(AND($M574=1,$A574=经营数据!$B$3,$J574=经营数据!$BA$5,OR($I574=经营数据!$BA$4,COUNTIF(经营数据!$AA$9:$AA$38,$I574)&gt;0)),1,0))</f>
        <v>0</v>
      </c>
      <c r="AA574" t="str">
        <f t="shared" si="134"/>
        <v/>
      </c>
      <c r="AB574" t="str">
        <f t="shared" si="135"/>
        <v/>
      </c>
      <c r="AC574">
        <f>IF($A574="",0,IF(COUNTIF($A$2:$A574,$A574)=1,1,0))</f>
        <v>0</v>
      </c>
      <c r="AD574">
        <f t="shared" si="136"/>
        <v>7</v>
      </c>
      <c r="AE574" t="str">
        <f t="shared" si="137"/>
        <v>基金整体|期末剩余租期（年）</v>
      </c>
      <c r="BP574" s="47">
        <v>46225</v>
      </c>
      <c r="BQ574" s="29">
        <v>4.3954757672007322E-2</v>
      </c>
    </row>
    <row r="575" spans="1:69" x14ac:dyDescent="0.4">
      <c r="A575" t="str">
        <f>IF(原始经营数据!$D576="","",原始经营数据!$D576)</f>
        <v>华夏首创奥特莱斯封闭式基础设施证券投资基金</v>
      </c>
      <c r="B575" t="str">
        <f>IF(原始经营数据!$D576="","",T(原始经营数据!$E576))</f>
        <v>武汉首创奥莱项目</v>
      </c>
      <c r="C575" t="str">
        <f>IF(原始经营数据!$D576="","",原始经营数据!$F576)</f>
        <v>2024Q4</v>
      </c>
      <c r="D575" t="str">
        <f>IF(原始经营数据!$D576="","",原始经营数据!$H576)</f>
        <v>期末租金收缴率</v>
      </c>
      <c r="E575">
        <f>IF(原始经营数据!$D576="","",原始经营数据!$I576)</f>
        <v>100</v>
      </c>
      <c r="F575" t="str">
        <f>IF(原始经营数据!$D576="","",T(原始经营数据!$J576))</f>
        <v>%</v>
      </c>
      <c r="G575" t="str">
        <f>IF(原始经营数据!$D576="","",T(原始经营数据!$K576))</f>
        <v/>
      </c>
      <c r="H575" t="str">
        <f>IF(原始经营数据!$D576="","",原始经营数据!$G576)</f>
        <v>服务效率</v>
      </c>
      <c r="I575" t="str">
        <f>IF($A575="","",IF($B575&lt;&gt;"",$B575,IF(COUNTIFS(原始经营数据!$D$3:$D$3001,$A575,原始经营数据!$E$3:$E$3001,"",原始经营数据!$F$3:$F$3001,$C575,原始经营数据!$H$3:$H$3001,$D575,原始经营数据!$K$3:$K$3001,$G575)&gt;1,"基金整体·来源"&amp;原始经营数据!$A576,"基金整体")))</f>
        <v>武汉首创奥莱项目</v>
      </c>
      <c r="J575" t="str">
        <f t="shared" si="123"/>
        <v>季度</v>
      </c>
      <c r="K575" t="str">
        <f t="shared" si="124"/>
        <v>期末租金收缴率（%）</v>
      </c>
      <c r="L575" t="str">
        <f t="shared" si="125"/>
        <v>武汉首创奥莱项目|期末租金收缴率（%）|季度</v>
      </c>
      <c r="M575">
        <f>IF($A575="",0,IF(COUNTIF($L$2:$L575,$L575)=1,1,0))</f>
        <v>1</v>
      </c>
      <c r="N575">
        <f t="shared" si="126"/>
        <v>20244</v>
      </c>
      <c r="O575" t="str">
        <f t="shared" si="127"/>
        <v>华夏首创奥特莱斯封闭式基础设施证券投资基金|2024Q4|季度</v>
      </c>
      <c r="P575">
        <f>IF($A575="",0,IF(COUNTIF($O$2:$O575,$O575)=1,1,0))</f>
        <v>0</v>
      </c>
      <c r="Q575" t="str">
        <f>IF(AND($P575=1,$A575=经营数据!$B$3,$J575=经营数据!$BA$5),COUNTIFS($P$2:$P$3000,1,$A$2:$A$3000,$A575,$J$2:$J$3000,$J575,$N$2:$N$3000,"&lt;"&amp;$N575)+1,"")</f>
        <v/>
      </c>
      <c r="R575" t="str">
        <f t="shared" si="128"/>
        <v>华夏首创奥特莱斯封闭式基础设施证券投资基金|武汉首创奥莱项目</v>
      </c>
      <c r="S575">
        <f>IF($A575="",0,IF(COUNTIF($R$2:$R575,$R575)=1,1,0))</f>
        <v>1</v>
      </c>
      <c r="T575">
        <f t="shared" si="129"/>
        <v>574</v>
      </c>
      <c r="U575" t="str">
        <f>IF($A575="","",IF($A575=经营数据!$B$3,COUNTIFS($S$2:$S$3000,1,$A$2:$A$3000,$A575,$T$2:$T$3000,"&lt;"&amp;$T575)+1,""))</f>
        <v/>
      </c>
      <c r="V575" t="str">
        <f t="shared" si="130"/>
        <v>武汉首创奥莱项目|服务效率</v>
      </c>
      <c r="W575">
        <f t="shared" si="131"/>
        <v>574</v>
      </c>
      <c r="X575" t="str">
        <f t="shared" si="132"/>
        <v>武汉首创奥莱项目|期末租金收缴率</v>
      </c>
      <c r="Y575">
        <f t="shared" si="133"/>
        <v>574</v>
      </c>
      <c r="Z575">
        <f>IF($A575="",0,IF(AND($M575=1,$A575=经营数据!$B$3,$J575=经营数据!$BA$5,OR($I575=经营数据!$BA$4,COUNTIF(经营数据!$AA$9:$AA$38,$I575)&gt;0)),1,0))</f>
        <v>0</v>
      </c>
      <c r="AA575" t="str">
        <f t="shared" si="134"/>
        <v/>
      </c>
      <c r="AB575" t="str">
        <f t="shared" si="135"/>
        <v/>
      </c>
      <c r="AC575">
        <f>IF($A575="",0,IF(COUNTIF($A$2:$A575,$A575)=1,1,0))</f>
        <v>0</v>
      </c>
      <c r="AD575">
        <f t="shared" si="136"/>
        <v>7</v>
      </c>
      <c r="AE575" t="str">
        <f t="shared" si="137"/>
        <v>武汉首创奥莱项目|期末租金收缴率（%）</v>
      </c>
      <c r="BP575" s="47">
        <v>46226</v>
      </c>
      <c r="BQ575" s="29">
        <v>4.3897312202574687E-2</v>
      </c>
    </row>
    <row r="576" spans="1:69" x14ac:dyDescent="0.4">
      <c r="A576" t="str">
        <f>IF(原始经营数据!$D577="","",原始经营数据!$D577)</f>
        <v>华夏首创奥特莱斯封闭式基础设施证券投资基金</v>
      </c>
      <c r="B576" t="str">
        <f>IF(原始经营数据!$D577="","",T(原始经营数据!$E577))</f>
        <v>武汉首创奥莱项目</v>
      </c>
      <c r="C576" t="str">
        <f>IF(原始经营数据!$D577="","",原始经营数据!$F577)</f>
        <v>2024Q4</v>
      </c>
      <c r="D576" t="str">
        <f>IF(原始经营数据!$D577="","",原始经营数据!$H577)</f>
        <v>期内租金单价水平</v>
      </c>
      <c r="E576">
        <f>IF(原始经营数据!$D577="","",原始经营数据!$I577)</f>
        <v>206.15</v>
      </c>
      <c r="F576" t="str">
        <f>IF(原始经营数据!$D577="","",T(原始经营数据!$J577))</f>
        <v>元/平方米/月</v>
      </c>
      <c r="G576" t="str">
        <f>IF(原始经营数据!$D577="","",T(原始经营数据!$K577))</f>
        <v/>
      </c>
      <c r="H576" t="str">
        <f>IF(原始经营数据!$D577="","",原始经营数据!$G577)</f>
        <v>服务价格</v>
      </c>
      <c r="I576" t="str">
        <f>IF($A576="","",IF($B576&lt;&gt;"",$B576,IF(COUNTIFS(原始经营数据!$D$3:$D$3001,$A576,原始经营数据!$E$3:$E$3001,"",原始经营数据!$F$3:$F$3001,$C576,原始经营数据!$H$3:$H$3001,$D576,原始经营数据!$K$3:$K$3001,$G576)&gt;1,"基金整体·来源"&amp;原始经营数据!$A577,"基金整体")))</f>
        <v>武汉首创奥莱项目</v>
      </c>
      <c r="J576" t="str">
        <f t="shared" si="123"/>
        <v>季度</v>
      </c>
      <c r="K576" t="str">
        <f t="shared" si="124"/>
        <v>期内租金单价水平（元/平方米/月）</v>
      </c>
      <c r="L576" t="str">
        <f t="shared" si="125"/>
        <v>武汉首创奥莱项目|期内租金单价水平（元/平方米/月）|季度</v>
      </c>
      <c r="M576">
        <f>IF($A576="",0,IF(COUNTIF($L$2:$L576,$L576)=1,1,0))</f>
        <v>1</v>
      </c>
      <c r="N576">
        <f t="shared" si="126"/>
        <v>20244</v>
      </c>
      <c r="O576" t="str">
        <f t="shared" si="127"/>
        <v>华夏首创奥特莱斯封闭式基础设施证券投资基金|2024Q4|季度</v>
      </c>
      <c r="P576">
        <f>IF($A576="",0,IF(COUNTIF($O$2:$O576,$O576)=1,1,0))</f>
        <v>0</v>
      </c>
      <c r="Q576" t="str">
        <f>IF(AND($P576=1,$A576=经营数据!$B$3,$J576=经营数据!$BA$5),COUNTIFS($P$2:$P$3000,1,$A$2:$A$3000,$A576,$J$2:$J$3000,$J576,$N$2:$N$3000,"&lt;"&amp;$N576)+1,"")</f>
        <v/>
      </c>
      <c r="R576" t="str">
        <f t="shared" si="128"/>
        <v>华夏首创奥特莱斯封闭式基础设施证券投资基金|武汉首创奥莱项目</v>
      </c>
      <c r="S576">
        <f>IF($A576="",0,IF(COUNTIF($R$2:$R576,$R576)=1,1,0))</f>
        <v>0</v>
      </c>
      <c r="T576">
        <f t="shared" si="129"/>
        <v>574</v>
      </c>
      <c r="U576" t="str">
        <f>IF($A576="","",IF($A576=经营数据!$B$3,COUNTIFS($S$2:$S$3000,1,$A$2:$A$3000,$A576,$T$2:$T$3000,"&lt;"&amp;$T576)+1,""))</f>
        <v/>
      </c>
      <c r="V576" t="str">
        <f t="shared" si="130"/>
        <v>武汉首创奥莱项目|服务价格</v>
      </c>
      <c r="W576">
        <f t="shared" si="131"/>
        <v>575</v>
      </c>
      <c r="X576" t="str">
        <f t="shared" si="132"/>
        <v>武汉首创奥莱项目|期内租金单价水平</v>
      </c>
      <c r="Y576">
        <f t="shared" si="133"/>
        <v>575</v>
      </c>
      <c r="Z576">
        <f>IF($A576="",0,IF(AND($M576=1,$A576=经营数据!$B$3,$J576=经营数据!$BA$5,OR($I576=经营数据!$BA$4,COUNTIF(经营数据!$AA$9:$AA$38,$I576)&gt;0)),1,0))</f>
        <v>0</v>
      </c>
      <c r="AA576" t="str">
        <f t="shared" si="134"/>
        <v/>
      </c>
      <c r="AB576" t="str">
        <f t="shared" si="135"/>
        <v/>
      </c>
      <c r="AC576">
        <f>IF($A576="",0,IF(COUNTIF($A$2:$A576,$A576)=1,1,0))</f>
        <v>0</v>
      </c>
      <c r="AD576">
        <f t="shared" si="136"/>
        <v>7</v>
      </c>
      <c r="AE576" t="str">
        <f t="shared" si="137"/>
        <v>武汉首创奥莱项目|期内租金单价水平（元/平方米/月）</v>
      </c>
      <c r="BP576" s="47">
        <v>46227</v>
      </c>
      <c r="BQ576" s="29">
        <v>4.3658049780482037E-2</v>
      </c>
    </row>
    <row r="577" spans="1:69" x14ac:dyDescent="0.4">
      <c r="A577" t="str">
        <f>IF(原始经营数据!$D578="","",原始经营数据!$D578)</f>
        <v>华夏首创奥特莱斯封闭式基础设施证券投资基金</v>
      </c>
      <c r="B577" t="str">
        <f>IF(原始经营数据!$D578="","",T(原始经营数据!$E578))</f>
        <v>武汉首创奥莱项目</v>
      </c>
      <c r="C577" t="str">
        <f>IF(原始经营数据!$D578="","",原始经营数据!$F578)</f>
        <v>2024Q4</v>
      </c>
      <c r="D577" t="str">
        <f>IF(原始经营数据!$D578="","",原始经营数据!$H578)</f>
        <v>期末可供出租面积</v>
      </c>
      <c r="E577">
        <f>IF(原始经营数据!$D578="","",原始经营数据!$I578)</f>
        <v>47208.52</v>
      </c>
      <c r="F577" t="str">
        <f>IF(原始经营数据!$D578="","",T(原始经营数据!$J578))</f>
        <v>平方米</v>
      </c>
      <c r="G577" t="str">
        <f>IF(原始经营数据!$D578="","",T(原始经营数据!$K578))</f>
        <v/>
      </c>
      <c r="H577" t="str">
        <f>IF(原始经营数据!$D578="","",原始经营数据!$G578)</f>
        <v>服务量</v>
      </c>
      <c r="I577" t="str">
        <f>IF($A577="","",IF($B577&lt;&gt;"",$B577,IF(COUNTIFS(原始经营数据!$D$3:$D$3001,$A577,原始经营数据!$E$3:$E$3001,"",原始经营数据!$F$3:$F$3001,$C577,原始经营数据!$H$3:$H$3001,$D577,原始经营数据!$K$3:$K$3001,$G577)&gt;1,"基金整体·来源"&amp;原始经营数据!$A578,"基金整体")))</f>
        <v>武汉首创奥莱项目</v>
      </c>
      <c r="J577" t="str">
        <f t="shared" si="123"/>
        <v>季度</v>
      </c>
      <c r="K577" t="str">
        <f t="shared" si="124"/>
        <v>期末可供出租面积（平方米）</v>
      </c>
      <c r="L577" t="str">
        <f t="shared" si="125"/>
        <v>武汉首创奥莱项目|期末可供出租面积（平方米）|季度</v>
      </c>
      <c r="M577">
        <f>IF($A577="",0,IF(COUNTIF($L$2:$L577,$L577)=1,1,0))</f>
        <v>1</v>
      </c>
      <c r="N577">
        <f t="shared" si="126"/>
        <v>20244</v>
      </c>
      <c r="O577" t="str">
        <f t="shared" si="127"/>
        <v>华夏首创奥特莱斯封闭式基础设施证券投资基金|2024Q4|季度</v>
      </c>
      <c r="P577">
        <f>IF($A577="",0,IF(COUNTIF($O$2:$O577,$O577)=1,1,0))</f>
        <v>0</v>
      </c>
      <c r="Q577" t="str">
        <f>IF(AND($P577=1,$A577=经营数据!$B$3,$J577=经营数据!$BA$5),COUNTIFS($P$2:$P$3000,1,$A$2:$A$3000,$A577,$J$2:$J$3000,$J577,$N$2:$N$3000,"&lt;"&amp;$N577)+1,"")</f>
        <v/>
      </c>
      <c r="R577" t="str">
        <f t="shared" si="128"/>
        <v>华夏首创奥特莱斯封闭式基础设施证券投资基金|武汉首创奥莱项目</v>
      </c>
      <c r="S577">
        <f>IF($A577="",0,IF(COUNTIF($R$2:$R577,$R577)=1,1,0))</f>
        <v>0</v>
      </c>
      <c r="T577">
        <f t="shared" si="129"/>
        <v>574</v>
      </c>
      <c r="U577" t="str">
        <f>IF($A577="","",IF($A577=经营数据!$B$3,COUNTIFS($S$2:$S$3000,1,$A$2:$A$3000,$A577,$T$2:$T$3000,"&lt;"&amp;$T577)+1,""))</f>
        <v/>
      </c>
      <c r="V577" t="str">
        <f t="shared" si="130"/>
        <v>武汉首创奥莱项目|服务量</v>
      </c>
      <c r="W577">
        <f t="shared" si="131"/>
        <v>576</v>
      </c>
      <c r="X577" t="str">
        <f t="shared" si="132"/>
        <v>武汉首创奥莱项目|期末可供出租面积</v>
      </c>
      <c r="Y577">
        <f t="shared" si="133"/>
        <v>576</v>
      </c>
      <c r="Z577">
        <f>IF($A577="",0,IF(AND($M577=1,$A577=经营数据!$B$3,$J577=经营数据!$BA$5,OR($I577=经营数据!$BA$4,COUNTIF(经营数据!$AA$9:$AA$38,$I577)&gt;0)),1,0))</f>
        <v>0</v>
      </c>
      <c r="AA577" t="str">
        <f t="shared" si="134"/>
        <v/>
      </c>
      <c r="AB577" t="str">
        <f t="shared" si="135"/>
        <v/>
      </c>
      <c r="AC577">
        <f>IF($A577="",0,IF(COUNTIF($A$2:$A577,$A577)=1,1,0))</f>
        <v>0</v>
      </c>
      <c r="AD577">
        <f t="shared" si="136"/>
        <v>7</v>
      </c>
      <c r="AE577" t="str">
        <f t="shared" si="137"/>
        <v>武汉首创奥莱项目|期末可供出租面积（平方米）</v>
      </c>
      <c r="BP577" s="47">
        <v>46230</v>
      </c>
      <c r="BQ577" s="29">
        <v>4.3881744712185873E-2</v>
      </c>
    </row>
    <row r="578" spans="1:69" x14ac:dyDescent="0.4">
      <c r="A578" t="str">
        <f>IF(原始经营数据!$D579="","",原始经营数据!$D579)</f>
        <v>华夏首创奥特莱斯封闭式基础设施证券投资基金</v>
      </c>
      <c r="B578" t="str">
        <f>IF(原始经营数据!$D579="","",T(原始经营数据!$E579))</f>
        <v>武汉首创奥莱项目</v>
      </c>
      <c r="C578" t="str">
        <f>IF(原始经营数据!$D579="","",原始经营数据!$F579)</f>
        <v>2024Q4</v>
      </c>
      <c r="D578" t="str">
        <f>IF(原始经营数据!$D579="","",原始经营数据!$H579)</f>
        <v>期末实际出租面积</v>
      </c>
      <c r="E578">
        <f>IF(原始经营数据!$D579="","",原始经营数据!$I579)</f>
        <v>46818.25</v>
      </c>
      <c r="F578" t="str">
        <f>IF(原始经营数据!$D579="","",T(原始经营数据!$J579))</f>
        <v>平方米</v>
      </c>
      <c r="G578" t="str">
        <f>IF(原始经营数据!$D579="","",T(原始经营数据!$K579))</f>
        <v/>
      </c>
      <c r="H578" t="str">
        <f>IF(原始经营数据!$D579="","",原始经营数据!$G579)</f>
        <v>服务量</v>
      </c>
      <c r="I578" t="str">
        <f>IF($A578="","",IF($B578&lt;&gt;"",$B578,IF(COUNTIFS(原始经营数据!$D$3:$D$3001,$A578,原始经营数据!$E$3:$E$3001,"",原始经营数据!$F$3:$F$3001,$C578,原始经营数据!$H$3:$H$3001,$D578,原始经营数据!$K$3:$K$3001,$G578)&gt;1,"基金整体·来源"&amp;原始经营数据!$A579,"基金整体")))</f>
        <v>武汉首创奥莱项目</v>
      </c>
      <c r="J578" t="str">
        <f t="shared" ref="J578:J641" si="138">IF($A578="","",IF(LEN($C578)=4,"年度",IF(AND(LEN($C578)=6,ISNUMBER(SEARCH("Q",$C578))),"季度","其他期间")))</f>
        <v>季度</v>
      </c>
      <c r="K578" t="str">
        <f t="shared" ref="K578:K641" si="139">IF($A578="","",$D578&amp;IF($G578="","","-"&amp;SUBSTITUTE($G578,CHAR(10),""))&amp;IF($F578="","","（"&amp;$F578&amp;"）"))</f>
        <v>期末实际出租面积（平方米）</v>
      </c>
      <c r="L578" t="str">
        <f t="shared" ref="L578:L641" si="140">IF($A578="","",$I578&amp;"|"&amp;$K578&amp;"|"&amp;$J578)</f>
        <v>武汉首创奥莱项目|期末实际出租面积（平方米）|季度</v>
      </c>
      <c r="M578">
        <f>IF($A578="",0,IF(COUNTIF($L$2:$L578,$L578)=1,1,0))</f>
        <v>1</v>
      </c>
      <c r="N578">
        <f t="shared" ref="N578:N641" si="141">IF($A578="","",IF($J578="年度",VALUE($C578)*10,IF($J578="季度",VALUE(LEFT($C578,4))*10+VALUE(RIGHT($C578,1)),VALUE(LEFT($C578,4))*10+9)))</f>
        <v>20244</v>
      </c>
      <c r="O578" t="str">
        <f t="shared" ref="O578:O641" si="142">IF($A578="","",$A578&amp;"|"&amp;$C578&amp;"|"&amp;$J578)</f>
        <v>华夏首创奥特莱斯封闭式基础设施证券投资基金|2024Q4|季度</v>
      </c>
      <c r="P578">
        <f>IF($A578="",0,IF(COUNTIF($O$2:$O578,$O578)=1,1,0))</f>
        <v>0</v>
      </c>
      <c r="Q578" t="str">
        <f>IF(AND($P578=1,$A578=经营数据!$B$3,$J578=经营数据!$BA$5),COUNTIFS($P$2:$P$3000,1,$A$2:$A$3000,$A578,$J$2:$J$3000,$J578,$N$2:$N$3000,"&lt;"&amp;$N578)+1,"")</f>
        <v/>
      </c>
      <c r="R578" t="str">
        <f t="shared" ref="R578:R641" si="143">IF($A578="","",$A578&amp;"|"&amp;$I578)</f>
        <v>华夏首创奥特莱斯封闭式基础设施证券投资基金|武汉首创奥莱项目</v>
      </c>
      <c r="S578">
        <f>IF($A578="",0,IF(COUNTIF($R$2:$R578,$R578)=1,1,0))</f>
        <v>0</v>
      </c>
      <c r="T578">
        <f t="shared" ref="T578:T641" si="144">IF($A578="","",MATCH($R578,$R$2:$R$3000,0))</f>
        <v>574</v>
      </c>
      <c r="U578" t="str">
        <f>IF($A578="","",IF($A578=经营数据!$B$3,COUNTIFS($S$2:$S$3000,1,$A$2:$A$3000,$A578,$T$2:$T$3000,"&lt;"&amp;$T578)+1,""))</f>
        <v/>
      </c>
      <c r="V578" t="str">
        <f t="shared" ref="V578:V641" si="145">IF($A578="","",$I578&amp;"|"&amp;$H578)</f>
        <v>武汉首创奥莱项目|服务量</v>
      </c>
      <c r="W578">
        <f t="shared" ref="W578:W641" si="146">IF($A578="","",MATCH($V578,$V$2:$V$3000,0))</f>
        <v>576</v>
      </c>
      <c r="X578" t="str">
        <f t="shared" ref="X578:X641" si="147">IF($A578="","",$I578&amp;"|"&amp;$D578)</f>
        <v>武汉首创奥莱项目|期末实际出租面积</v>
      </c>
      <c r="Y578">
        <f t="shared" ref="Y578:Y641" si="148">IF($A578="","",MATCH($X578,$X$2:$X$3000,0))</f>
        <v>577</v>
      </c>
      <c r="Z578">
        <f>IF($A578="",0,IF(AND($M578=1,$A578=经营数据!$B$3,$J578=经营数据!$BA$5,OR($I578=经营数据!$BA$4,COUNTIF(经营数据!$AA$9:$AA$38,$I578)&gt;0)),1,0))</f>
        <v>0</v>
      </c>
      <c r="AA578" t="str">
        <f t="shared" ref="AA578:AA641" si="149">IF($Z578=1,$U578*1000000000000+$W578*100000000+$Y578*10000+ROW(),"")</f>
        <v/>
      </c>
      <c r="AB578" t="str">
        <f t="shared" ref="AB578:AB641" si="150">IF($Z578=1,COUNTIFS($Z$2:$Z$3000,1,$AA$2:$AA$3000,"&lt;"&amp;$AA578)+1,"")</f>
        <v/>
      </c>
      <c r="AC578">
        <f>IF($A578="",0,IF(COUNTIF($A$2:$A578,$A578)=1,1,0))</f>
        <v>0</v>
      </c>
      <c r="AD578">
        <f t="shared" ref="AD578:AD641" si="151">IF($A578="",N(AD577),IF($AC578=1,N(AD577)+1,N(AD577)))</f>
        <v>7</v>
      </c>
      <c r="AE578" t="str">
        <f t="shared" ref="AE578:AE641" si="152">IF($A578="","",$I578&amp;"|"&amp;$K578)</f>
        <v>武汉首创奥莱项目|期末实际出租面积（平方米）</v>
      </c>
      <c r="BP578" s="47">
        <v>46231</v>
      </c>
      <c r="BQ578" s="29">
        <v>4.4155333923362433E-2</v>
      </c>
    </row>
    <row r="579" spans="1:69" x14ac:dyDescent="0.4">
      <c r="A579" t="str">
        <f>IF(原始经营数据!$D580="","",原始经营数据!$D580)</f>
        <v>华夏首创奥特莱斯封闭式基础设施证券投资基金</v>
      </c>
      <c r="B579" t="str">
        <f>IF(原始经营数据!$D580="","",T(原始经营数据!$E580))</f>
        <v>武汉首创奥莱项目</v>
      </c>
      <c r="C579" t="str">
        <f>IF(原始经营数据!$D580="","",原始经营数据!$F580)</f>
        <v>2024Q4</v>
      </c>
      <c r="D579" t="str">
        <f>IF(原始经营数据!$D580="","",原始经营数据!$H580)</f>
        <v>期末出租率</v>
      </c>
      <c r="E579">
        <f>IF(原始经营数据!$D580="","",原始经营数据!$I580)</f>
        <v>99.17</v>
      </c>
      <c r="F579" t="str">
        <f>IF(原始经营数据!$D580="","",T(原始经营数据!$J580))</f>
        <v>%</v>
      </c>
      <c r="G579" t="str">
        <f>IF(原始经营数据!$D580="","",T(原始经营数据!$K580))</f>
        <v/>
      </c>
      <c r="H579" t="str">
        <f>IF(原始经营数据!$D580="","",原始经营数据!$G580)</f>
        <v>服务效率</v>
      </c>
      <c r="I579" t="str">
        <f>IF($A579="","",IF($B579&lt;&gt;"",$B579,IF(COUNTIFS(原始经营数据!$D$3:$D$3001,$A579,原始经营数据!$E$3:$E$3001,"",原始经营数据!$F$3:$F$3001,$C579,原始经营数据!$H$3:$H$3001,$D579,原始经营数据!$K$3:$K$3001,$G579)&gt;1,"基金整体·来源"&amp;原始经营数据!$A580,"基金整体")))</f>
        <v>武汉首创奥莱项目</v>
      </c>
      <c r="J579" t="str">
        <f t="shared" si="138"/>
        <v>季度</v>
      </c>
      <c r="K579" t="str">
        <f t="shared" si="139"/>
        <v>期末出租率（%）</v>
      </c>
      <c r="L579" t="str">
        <f t="shared" si="140"/>
        <v>武汉首创奥莱项目|期末出租率（%）|季度</v>
      </c>
      <c r="M579">
        <f>IF($A579="",0,IF(COUNTIF($L$2:$L579,$L579)=1,1,0))</f>
        <v>1</v>
      </c>
      <c r="N579">
        <f t="shared" si="141"/>
        <v>20244</v>
      </c>
      <c r="O579" t="str">
        <f t="shared" si="142"/>
        <v>华夏首创奥特莱斯封闭式基础设施证券投资基金|2024Q4|季度</v>
      </c>
      <c r="P579">
        <f>IF($A579="",0,IF(COUNTIF($O$2:$O579,$O579)=1,1,0))</f>
        <v>0</v>
      </c>
      <c r="Q579" t="str">
        <f>IF(AND($P579=1,$A579=经营数据!$B$3,$J579=经营数据!$BA$5),COUNTIFS($P$2:$P$3000,1,$A$2:$A$3000,$A579,$J$2:$J$3000,$J579,$N$2:$N$3000,"&lt;"&amp;$N579)+1,"")</f>
        <v/>
      </c>
      <c r="R579" t="str">
        <f t="shared" si="143"/>
        <v>华夏首创奥特莱斯封闭式基础设施证券投资基金|武汉首创奥莱项目</v>
      </c>
      <c r="S579">
        <f>IF($A579="",0,IF(COUNTIF($R$2:$R579,$R579)=1,1,0))</f>
        <v>0</v>
      </c>
      <c r="T579">
        <f t="shared" si="144"/>
        <v>574</v>
      </c>
      <c r="U579" t="str">
        <f>IF($A579="","",IF($A579=经营数据!$B$3,COUNTIFS($S$2:$S$3000,1,$A$2:$A$3000,$A579,$T$2:$T$3000,"&lt;"&amp;$T579)+1,""))</f>
        <v/>
      </c>
      <c r="V579" t="str">
        <f t="shared" si="145"/>
        <v>武汉首创奥莱项目|服务效率</v>
      </c>
      <c r="W579">
        <f t="shared" si="146"/>
        <v>574</v>
      </c>
      <c r="X579" t="str">
        <f t="shared" si="147"/>
        <v>武汉首创奥莱项目|期末出租率</v>
      </c>
      <c r="Y579">
        <f t="shared" si="148"/>
        <v>578</v>
      </c>
      <c r="Z579">
        <f>IF($A579="",0,IF(AND($M579=1,$A579=经营数据!$B$3,$J579=经营数据!$BA$5,OR($I579=经营数据!$BA$4,COUNTIF(经营数据!$AA$9:$AA$38,$I579)&gt;0)),1,0))</f>
        <v>0</v>
      </c>
      <c r="AA579" t="str">
        <f t="shared" si="149"/>
        <v/>
      </c>
      <c r="AB579" t="str">
        <f t="shared" si="150"/>
        <v/>
      </c>
      <c r="AC579">
        <f>IF($A579="",0,IF(COUNTIF($A$2:$A579,$A579)=1,1,0))</f>
        <v>0</v>
      </c>
      <c r="AD579">
        <f t="shared" si="151"/>
        <v>7</v>
      </c>
      <c r="AE579" t="str">
        <f t="shared" si="152"/>
        <v>武汉首创奥莱项目|期末出租率（%）</v>
      </c>
      <c r="BP579" s="47">
        <v>46232</v>
      </c>
      <c r="BQ579" s="29">
        <v>4.4213829736612802E-2</v>
      </c>
    </row>
    <row r="580" spans="1:69" x14ac:dyDescent="0.4">
      <c r="A580" t="str">
        <f>IF(原始经营数据!$D581="","",原始经营数据!$D581)</f>
        <v>华夏首创奥特莱斯封闭式基础设施证券投资基金</v>
      </c>
      <c r="B580" t="str">
        <f>IF(原始经营数据!$D581="","",T(原始经营数据!$E581))</f>
        <v>武汉首创奥莱项目</v>
      </c>
      <c r="C580" t="str">
        <f>IF(原始经营数据!$D581="","",原始经营数据!$F581)</f>
        <v>2024Q4</v>
      </c>
      <c r="D580" t="str">
        <f>IF(原始经营数据!$D581="","",原始经营数据!$H581)</f>
        <v>期末剩余租期</v>
      </c>
      <c r="E580">
        <f>IF(原始经营数据!$D581="","",原始经营数据!$I581)</f>
        <v>1.65</v>
      </c>
      <c r="F580" t="str">
        <f>IF(原始经营数据!$D581="","",T(原始经营数据!$J581))</f>
        <v>年</v>
      </c>
      <c r="G580" t="str">
        <f>IF(原始经营数据!$D581="","",T(原始经营数据!$K581))</f>
        <v/>
      </c>
      <c r="H580" t="str">
        <f>IF(原始经营数据!$D581="","",原始经营数据!$G581)</f>
        <v>服务量</v>
      </c>
      <c r="I580" t="str">
        <f>IF($A580="","",IF($B580&lt;&gt;"",$B580,IF(COUNTIFS(原始经营数据!$D$3:$D$3001,$A580,原始经营数据!$E$3:$E$3001,"",原始经营数据!$F$3:$F$3001,$C580,原始经营数据!$H$3:$H$3001,$D580,原始经营数据!$K$3:$K$3001,$G580)&gt;1,"基金整体·来源"&amp;原始经营数据!$A581,"基金整体")))</f>
        <v>武汉首创奥莱项目</v>
      </c>
      <c r="J580" t="str">
        <f t="shared" si="138"/>
        <v>季度</v>
      </c>
      <c r="K580" t="str">
        <f t="shared" si="139"/>
        <v>期末剩余租期（年）</v>
      </c>
      <c r="L580" t="str">
        <f t="shared" si="140"/>
        <v>武汉首创奥莱项目|期末剩余租期（年）|季度</v>
      </c>
      <c r="M580">
        <f>IF($A580="",0,IF(COUNTIF($L$2:$L580,$L580)=1,1,0))</f>
        <v>1</v>
      </c>
      <c r="N580">
        <f t="shared" si="141"/>
        <v>20244</v>
      </c>
      <c r="O580" t="str">
        <f t="shared" si="142"/>
        <v>华夏首创奥特莱斯封闭式基础设施证券投资基金|2024Q4|季度</v>
      </c>
      <c r="P580">
        <f>IF($A580="",0,IF(COUNTIF($O$2:$O580,$O580)=1,1,0))</f>
        <v>0</v>
      </c>
      <c r="Q580" t="str">
        <f>IF(AND($P580=1,$A580=经营数据!$B$3,$J580=经营数据!$BA$5),COUNTIFS($P$2:$P$3000,1,$A$2:$A$3000,$A580,$J$2:$J$3000,$J580,$N$2:$N$3000,"&lt;"&amp;$N580)+1,"")</f>
        <v/>
      </c>
      <c r="R580" t="str">
        <f t="shared" si="143"/>
        <v>华夏首创奥特莱斯封闭式基础设施证券投资基金|武汉首创奥莱项目</v>
      </c>
      <c r="S580">
        <f>IF($A580="",0,IF(COUNTIF($R$2:$R580,$R580)=1,1,0))</f>
        <v>0</v>
      </c>
      <c r="T580">
        <f t="shared" si="144"/>
        <v>574</v>
      </c>
      <c r="U580" t="str">
        <f>IF($A580="","",IF($A580=经营数据!$B$3,COUNTIFS($S$2:$S$3000,1,$A$2:$A$3000,$A580,$T$2:$T$3000,"&lt;"&amp;$T580)+1,""))</f>
        <v/>
      </c>
      <c r="V580" t="str">
        <f t="shared" si="145"/>
        <v>武汉首创奥莱项目|服务量</v>
      </c>
      <c r="W580">
        <f t="shared" si="146"/>
        <v>576</v>
      </c>
      <c r="X580" t="str">
        <f t="shared" si="147"/>
        <v>武汉首创奥莱项目|期末剩余租期</v>
      </c>
      <c r="Y580">
        <f t="shared" si="148"/>
        <v>579</v>
      </c>
      <c r="Z580">
        <f>IF($A580="",0,IF(AND($M580=1,$A580=经营数据!$B$3,$J580=经营数据!$BA$5,OR($I580=经营数据!$BA$4,COUNTIF(经营数据!$AA$9:$AA$38,$I580)&gt;0)),1,0))</f>
        <v>0</v>
      </c>
      <c r="AA580" t="str">
        <f t="shared" si="149"/>
        <v/>
      </c>
      <c r="AB580" t="str">
        <f t="shared" si="150"/>
        <v/>
      </c>
      <c r="AC580">
        <f>IF($A580="",0,IF(COUNTIF($A$2:$A580,$A580)=1,1,0))</f>
        <v>0</v>
      </c>
      <c r="AD580">
        <f t="shared" si="151"/>
        <v>7</v>
      </c>
      <c r="AE580" t="str">
        <f t="shared" si="152"/>
        <v>武汉首创奥莱项目|期末剩余租期（年）</v>
      </c>
      <c r="BP580" s="47">
        <v>46233</v>
      </c>
      <c r="BQ580" s="29">
        <v>4.4337206810691317E-2</v>
      </c>
    </row>
    <row r="581" spans="1:69" x14ac:dyDescent="0.4">
      <c r="A581" t="str">
        <f>IF(原始经营数据!$D582="","",原始经营数据!$D582)</f>
        <v>华夏首创奥特莱斯封闭式基础设施证券投资基金</v>
      </c>
      <c r="B581" t="str">
        <f>IF(原始经营数据!$D582="","",T(原始经营数据!$E582))</f>
        <v>武汉首创奥莱项目</v>
      </c>
      <c r="C581" t="str">
        <f>IF(原始经营数据!$D582="","",原始经营数据!$F582)</f>
        <v>2025Q1</v>
      </c>
      <c r="D581" t="str">
        <f>IF(原始经营数据!$D582="","",原始经营数据!$H582)</f>
        <v>期末可供出租面积</v>
      </c>
      <c r="E581">
        <f>IF(原始经营数据!$D582="","",原始经营数据!$I582)</f>
        <v>47208.52</v>
      </c>
      <c r="F581" t="str">
        <f>IF(原始经营数据!$D582="","",T(原始经营数据!$J582))</f>
        <v>平方米</v>
      </c>
      <c r="G581" t="str">
        <f>IF(原始经营数据!$D582="","",T(原始经营数据!$K582))</f>
        <v/>
      </c>
      <c r="H581" t="str">
        <f>IF(原始经营数据!$D582="","",原始经营数据!$G582)</f>
        <v>服务量</v>
      </c>
      <c r="I581" t="str">
        <f>IF($A581="","",IF($B581&lt;&gt;"",$B581,IF(COUNTIFS(原始经营数据!$D$3:$D$3001,$A581,原始经营数据!$E$3:$E$3001,"",原始经营数据!$F$3:$F$3001,$C581,原始经营数据!$H$3:$H$3001,$D581,原始经营数据!$K$3:$K$3001,$G581)&gt;1,"基金整体·来源"&amp;原始经营数据!$A582,"基金整体")))</f>
        <v>武汉首创奥莱项目</v>
      </c>
      <c r="J581" t="str">
        <f t="shared" si="138"/>
        <v>季度</v>
      </c>
      <c r="K581" t="str">
        <f t="shared" si="139"/>
        <v>期末可供出租面积（平方米）</v>
      </c>
      <c r="L581" t="str">
        <f t="shared" si="140"/>
        <v>武汉首创奥莱项目|期末可供出租面积（平方米）|季度</v>
      </c>
      <c r="M581">
        <f>IF($A581="",0,IF(COUNTIF($L$2:$L581,$L581)=1,1,0))</f>
        <v>0</v>
      </c>
      <c r="N581">
        <f t="shared" si="141"/>
        <v>20251</v>
      </c>
      <c r="O581" t="str">
        <f t="shared" si="142"/>
        <v>华夏首创奥特莱斯封闭式基础设施证券投资基金|2025Q1|季度</v>
      </c>
      <c r="P581">
        <f>IF($A581="",0,IF(COUNTIF($O$2:$O581,$O581)=1,1,0))</f>
        <v>0</v>
      </c>
      <c r="Q581" t="str">
        <f>IF(AND($P581=1,$A581=经营数据!$B$3,$J581=经营数据!$BA$5),COUNTIFS($P$2:$P$3000,1,$A$2:$A$3000,$A581,$J$2:$J$3000,$J581,$N$2:$N$3000,"&lt;"&amp;$N581)+1,"")</f>
        <v/>
      </c>
      <c r="R581" t="str">
        <f t="shared" si="143"/>
        <v>华夏首创奥特莱斯封闭式基础设施证券投资基金|武汉首创奥莱项目</v>
      </c>
      <c r="S581">
        <f>IF($A581="",0,IF(COUNTIF($R$2:$R581,$R581)=1,1,0))</f>
        <v>0</v>
      </c>
      <c r="T581">
        <f t="shared" si="144"/>
        <v>574</v>
      </c>
      <c r="U581" t="str">
        <f>IF($A581="","",IF($A581=经营数据!$B$3,COUNTIFS($S$2:$S$3000,1,$A$2:$A$3000,$A581,$T$2:$T$3000,"&lt;"&amp;$T581)+1,""))</f>
        <v/>
      </c>
      <c r="V581" t="str">
        <f t="shared" si="145"/>
        <v>武汉首创奥莱项目|服务量</v>
      </c>
      <c r="W581">
        <f t="shared" si="146"/>
        <v>576</v>
      </c>
      <c r="X581" t="str">
        <f t="shared" si="147"/>
        <v>武汉首创奥莱项目|期末可供出租面积</v>
      </c>
      <c r="Y581">
        <f t="shared" si="148"/>
        <v>576</v>
      </c>
      <c r="Z581">
        <f>IF($A581="",0,IF(AND($M581=1,$A581=经营数据!$B$3,$J581=经营数据!$BA$5,OR($I581=经营数据!$BA$4,COUNTIF(经营数据!$AA$9:$AA$38,$I581)&gt;0)),1,0))</f>
        <v>0</v>
      </c>
      <c r="AA581" t="str">
        <f t="shared" si="149"/>
        <v/>
      </c>
      <c r="AB581" t="str">
        <f t="shared" si="150"/>
        <v/>
      </c>
      <c r="AC581">
        <f>IF($A581="",0,IF(COUNTIF($A$2:$A581,$A581)=1,1,0))</f>
        <v>0</v>
      </c>
      <c r="AD581">
        <f t="shared" si="151"/>
        <v>7</v>
      </c>
      <c r="AE581" t="str">
        <f t="shared" si="152"/>
        <v>武汉首创奥莱项目|期末可供出租面积（平方米）</v>
      </c>
      <c r="BP581" s="47">
        <v>46234</v>
      </c>
      <c r="BQ581" s="29">
        <v>4.3879762852736419E-2</v>
      </c>
    </row>
    <row r="582" spans="1:69" x14ac:dyDescent="0.4">
      <c r="A582" t="str">
        <f>IF(原始经营数据!$D583="","",原始经营数据!$D583)</f>
        <v>华夏首创奥特莱斯封闭式基础设施证券投资基金</v>
      </c>
      <c r="B582" t="str">
        <f>IF(原始经营数据!$D583="","",T(原始经营数据!$E583))</f>
        <v>武汉首创奥莱项目</v>
      </c>
      <c r="C582" t="str">
        <f>IF(原始经营数据!$D583="","",原始经营数据!$F583)</f>
        <v>2025Q1</v>
      </c>
      <c r="D582" t="str">
        <f>IF(原始经营数据!$D583="","",原始经营数据!$H583)</f>
        <v>期末实际出租面积</v>
      </c>
      <c r="E582">
        <f>IF(原始经营数据!$D583="","",原始经营数据!$I583)</f>
        <v>46802.19</v>
      </c>
      <c r="F582" t="str">
        <f>IF(原始经营数据!$D583="","",T(原始经营数据!$J583))</f>
        <v>平方米</v>
      </c>
      <c r="G582" t="str">
        <f>IF(原始经营数据!$D583="","",T(原始经营数据!$K583))</f>
        <v/>
      </c>
      <c r="H582" t="str">
        <f>IF(原始经营数据!$D583="","",原始经营数据!$G583)</f>
        <v>服务量</v>
      </c>
      <c r="I582" t="str">
        <f>IF($A582="","",IF($B582&lt;&gt;"",$B582,IF(COUNTIFS(原始经营数据!$D$3:$D$3001,$A582,原始经营数据!$E$3:$E$3001,"",原始经营数据!$F$3:$F$3001,$C582,原始经营数据!$H$3:$H$3001,$D582,原始经营数据!$K$3:$K$3001,$G582)&gt;1,"基金整体·来源"&amp;原始经营数据!$A583,"基金整体")))</f>
        <v>武汉首创奥莱项目</v>
      </c>
      <c r="J582" t="str">
        <f t="shared" si="138"/>
        <v>季度</v>
      </c>
      <c r="K582" t="str">
        <f t="shared" si="139"/>
        <v>期末实际出租面积（平方米）</v>
      </c>
      <c r="L582" t="str">
        <f t="shared" si="140"/>
        <v>武汉首创奥莱项目|期末实际出租面积（平方米）|季度</v>
      </c>
      <c r="M582">
        <f>IF($A582="",0,IF(COUNTIF($L$2:$L582,$L582)=1,1,0))</f>
        <v>0</v>
      </c>
      <c r="N582">
        <f t="shared" si="141"/>
        <v>20251</v>
      </c>
      <c r="O582" t="str">
        <f t="shared" si="142"/>
        <v>华夏首创奥特莱斯封闭式基础设施证券投资基金|2025Q1|季度</v>
      </c>
      <c r="P582">
        <f>IF($A582="",0,IF(COUNTIF($O$2:$O582,$O582)=1,1,0))</f>
        <v>0</v>
      </c>
      <c r="Q582" t="str">
        <f>IF(AND($P582=1,$A582=经营数据!$B$3,$J582=经营数据!$BA$5),COUNTIFS($P$2:$P$3000,1,$A$2:$A$3000,$A582,$J$2:$J$3000,$J582,$N$2:$N$3000,"&lt;"&amp;$N582)+1,"")</f>
        <v/>
      </c>
      <c r="R582" t="str">
        <f t="shared" si="143"/>
        <v>华夏首创奥特莱斯封闭式基础设施证券投资基金|武汉首创奥莱项目</v>
      </c>
      <c r="S582">
        <f>IF($A582="",0,IF(COUNTIF($R$2:$R582,$R582)=1,1,0))</f>
        <v>0</v>
      </c>
      <c r="T582">
        <f t="shared" si="144"/>
        <v>574</v>
      </c>
      <c r="U582" t="str">
        <f>IF($A582="","",IF($A582=经营数据!$B$3,COUNTIFS($S$2:$S$3000,1,$A$2:$A$3000,$A582,$T$2:$T$3000,"&lt;"&amp;$T582)+1,""))</f>
        <v/>
      </c>
      <c r="V582" t="str">
        <f t="shared" si="145"/>
        <v>武汉首创奥莱项目|服务量</v>
      </c>
      <c r="W582">
        <f t="shared" si="146"/>
        <v>576</v>
      </c>
      <c r="X582" t="str">
        <f t="shared" si="147"/>
        <v>武汉首创奥莱项目|期末实际出租面积</v>
      </c>
      <c r="Y582">
        <f t="shared" si="148"/>
        <v>577</v>
      </c>
      <c r="Z582">
        <f>IF($A582="",0,IF(AND($M582=1,$A582=经营数据!$B$3,$J582=经营数据!$BA$5,OR($I582=经营数据!$BA$4,COUNTIF(经营数据!$AA$9:$AA$38,$I582)&gt;0)),1,0))</f>
        <v>0</v>
      </c>
      <c r="AA582" t="str">
        <f t="shared" si="149"/>
        <v/>
      </c>
      <c r="AB582" t="str">
        <f t="shared" si="150"/>
        <v/>
      </c>
      <c r="AC582">
        <f>IF($A582="",0,IF(COUNTIF($A$2:$A582,$A582)=1,1,0))</f>
        <v>0</v>
      </c>
      <c r="AD582">
        <f t="shared" si="151"/>
        <v>7</v>
      </c>
      <c r="AE582" t="str">
        <f t="shared" si="152"/>
        <v>武汉首创奥莱项目|期末实际出租面积（平方米）</v>
      </c>
      <c r="BP582" s="47">
        <v>46237</v>
      </c>
      <c r="BQ582" s="29">
        <v>4.3927450499935537E-2</v>
      </c>
    </row>
    <row r="583" spans="1:69" x14ac:dyDescent="0.4">
      <c r="A583" t="str">
        <f>IF(原始经营数据!$D584="","",原始经营数据!$D584)</f>
        <v>华夏首创奥特莱斯封闭式基础设施证券投资基金</v>
      </c>
      <c r="B583" t="str">
        <f>IF(原始经营数据!$D584="","",T(原始经营数据!$E584))</f>
        <v>武汉首创奥莱项目</v>
      </c>
      <c r="C583" t="str">
        <f>IF(原始经营数据!$D584="","",原始经营数据!$F584)</f>
        <v>2025Q1</v>
      </c>
      <c r="D583" t="str">
        <f>IF(原始经营数据!$D584="","",原始经营数据!$H584)</f>
        <v>期末出租率</v>
      </c>
      <c r="E583">
        <f>IF(原始经营数据!$D584="","",原始经营数据!$I584)</f>
        <v>99.14</v>
      </c>
      <c r="F583" t="str">
        <f>IF(原始经营数据!$D584="","",T(原始经营数据!$J584))</f>
        <v>%</v>
      </c>
      <c r="G583" t="str">
        <f>IF(原始经营数据!$D584="","",T(原始经营数据!$K584))</f>
        <v/>
      </c>
      <c r="H583" t="str">
        <f>IF(原始经营数据!$D584="","",原始经营数据!$G584)</f>
        <v>服务效率</v>
      </c>
      <c r="I583" t="str">
        <f>IF($A583="","",IF($B583&lt;&gt;"",$B583,IF(COUNTIFS(原始经营数据!$D$3:$D$3001,$A583,原始经营数据!$E$3:$E$3001,"",原始经营数据!$F$3:$F$3001,$C583,原始经营数据!$H$3:$H$3001,$D583,原始经营数据!$K$3:$K$3001,$G583)&gt;1,"基金整体·来源"&amp;原始经营数据!$A584,"基金整体")))</f>
        <v>武汉首创奥莱项目</v>
      </c>
      <c r="J583" t="str">
        <f t="shared" si="138"/>
        <v>季度</v>
      </c>
      <c r="K583" t="str">
        <f t="shared" si="139"/>
        <v>期末出租率（%）</v>
      </c>
      <c r="L583" t="str">
        <f t="shared" si="140"/>
        <v>武汉首创奥莱项目|期末出租率（%）|季度</v>
      </c>
      <c r="M583">
        <f>IF($A583="",0,IF(COUNTIF($L$2:$L583,$L583)=1,1,0))</f>
        <v>0</v>
      </c>
      <c r="N583">
        <f t="shared" si="141"/>
        <v>20251</v>
      </c>
      <c r="O583" t="str">
        <f t="shared" si="142"/>
        <v>华夏首创奥特莱斯封闭式基础设施证券投资基金|2025Q1|季度</v>
      </c>
      <c r="P583">
        <f>IF($A583="",0,IF(COUNTIF($O$2:$O583,$O583)=1,1,0))</f>
        <v>0</v>
      </c>
      <c r="Q583" t="str">
        <f>IF(AND($P583=1,$A583=经营数据!$B$3,$J583=经营数据!$BA$5),COUNTIFS($P$2:$P$3000,1,$A$2:$A$3000,$A583,$J$2:$J$3000,$J583,$N$2:$N$3000,"&lt;"&amp;$N583)+1,"")</f>
        <v/>
      </c>
      <c r="R583" t="str">
        <f t="shared" si="143"/>
        <v>华夏首创奥特莱斯封闭式基础设施证券投资基金|武汉首创奥莱项目</v>
      </c>
      <c r="S583">
        <f>IF($A583="",0,IF(COUNTIF($R$2:$R583,$R583)=1,1,0))</f>
        <v>0</v>
      </c>
      <c r="T583">
        <f t="shared" si="144"/>
        <v>574</v>
      </c>
      <c r="U583" t="str">
        <f>IF($A583="","",IF($A583=经营数据!$B$3,COUNTIFS($S$2:$S$3000,1,$A$2:$A$3000,$A583,$T$2:$T$3000,"&lt;"&amp;$T583)+1,""))</f>
        <v/>
      </c>
      <c r="V583" t="str">
        <f t="shared" si="145"/>
        <v>武汉首创奥莱项目|服务效率</v>
      </c>
      <c r="W583">
        <f t="shared" si="146"/>
        <v>574</v>
      </c>
      <c r="X583" t="str">
        <f t="shared" si="147"/>
        <v>武汉首创奥莱项目|期末出租率</v>
      </c>
      <c r="Y583">
        <f t="shared" si="148"/>
        <v>578</v>
      </c>
      <c r="Z583">
        <f>IF($A583="",0,IF(AND($M583=1,$A583=经营数据!$B$3,$J583=经营数据!$BA$5,OR($I583=经营数据!$BA$4,COUNTIF(经营数据!$AA$9:$AA$38,$I583)&gt;0)),1,0))</f>
        <v>0</v>
      </c>
      <c r="AA583" t="str">
        <f t="shared" si="149"/>
        <v/>
      </c>
      <c r="AB583" t="str">
        <f t="shared" si="150"/>
        <v/>
      </c>
      <c r="AC583">
        <f>IF($A583="",0,IF(COUNTIF($A$2:$A583,$A583)=1,1,0))</f>
        <v>0</v>
      </c>
      <c r="AD583">
        <f t="shared" si="151"/>
        <v>7</v>
      </c>
      <c r="AE583" t="str">
        <f t="shared" si="152"/>
        <v>武汉首创奥莱项目|期末出租率（%）</v>
      </c>
      <c r="BP583" s="47">
        <v>46238</v>
      </c>
      <c r="BQ583" s="29">
        <v>4.4149908960428703E-2</v>
      </c>
    </row>
    <row r="584" spans="1:69" x14ac:dyDescent="0.4">
      <c r="A584" t="str">
        <f>IF(原始经营数据!$D585="","",原始经营数据!$D585)</f>
        <v>华夏首创奥特莱斯封闭式基础设施证券投资基金</v>
      </c>
      <c r="B584" t="str">
        <f>IF(原始经营数据!$D585="","",T(原始经营数据!$E585))</f>
        <v>武汉首创奥莱项目</v>
      </c>
      <c r="C584" t="str">
        <f>IF(原始经营数据!$D585="","",原始经营数据!$F585)</f>
        <v>2025Q1</v>
      </c>
      <c r="D584" t="str">
        <f>IF(原始经营数据!$D585="","",原始经营数据!$H585)</f>
        <v>期内租金单价</v>
      </c>
      <c r="E584">
        <f>IF(原始经营数据!$D585="","",原始经营数据!$I585)</f>
        <v>171.68</v>
      </c>
      <c r="F584" t="str">
        <f>IF(原始经营数据!$D585="","",T(原始经营数据!$J585))</f>
        <v>元/平方米/月</v>
      </c>
      <c r="G584" t="str">
        <f>IF(原始经营数据!$D585="","",T(原始经营数据!$K585))</f>
        <v/>
      </c>
      <c r="H584" t="str">
        <f>IF(原始经营数据!$D585="","",原始经营数据!$G585)</f>
        <v>服务价格</v>
      </c>
      <c r="I584" t="str">
        <f>IF($A584="","",IF($B584&lt;&gt;"",$B584,IF(COUNTIFS(原始经营数据!$D$3:$D$3001,$A584,原始经营数据!$E$3:$E$3001,"",原始经营数据!$F$3:$F$3001,$C584,原始经营数据!$H$3:$H$3001,$D584,原始经营数据!$K$3:$K$3001,$G584)&gt;1,"基金整体·来源"&amp;原始经营数据!$A585,"基金整体")))</f>
        <v>武汉首创奥莱项目</v>
      </c>
      <c r="J584" t="str">
        <f t="shared" si="138"/>
        <v>季度</v>
      </c>
      <c r="K584" t="str">
        <f t="shared" si="139"/>
        <v>期内租金单价（元/平方米/月）</v>
      </c>
      <c r="L584" t="str">
        <f t="shared" si="140"/>
        <v>武汉首创奥莱项目|期内租金单价（元/平方米/月）|季度</v>
      </c>
      <c r="M584">
        <f>IF($A584="",0,IF(COUNTIF($L$2:$L584,$L584)=1,1,0))</f>
        <v>1</v>
      </c>
      <c r="N584">
        <f t="shared" si="141"/>
        <v>20251</v>
      </c>
      <c r="O584" t="str">
        <f t="shared" si="142"/>
        <v>华夏首创奥特莱斯封闭式基础设施证券投资基金|2025Q1|季度</v>
      </c>
      <c r="P584">
        <f>IF($A584="",0,IF(COUNTIF($O$2:$O584,$O584)=1,1,0))</f>
        <v>0</v>
      </c>
      <c r="Q584" t="str">
        <f>IF(AND($P584=1,$A584=经营数据!$B$3,$J584=经营数据!$BA$5),COUNTIFS($P$2:$P$3000,1,$A$2:$A$3000,$A584,$J$2:$J$3000,$J584,$N$2:$N$3000,"&lt;"&amp;$N584)+1,"")</f>
        <v/>
      </c>
      <c r="R584" t="str">
        <f t="shared" si="143"/>
        <v>华夏首创奥特莱斯封闭式基础设施证券投资基金|武汉首创奥莱项目</v>
      </c>
      <c r="S584">
        <f>IF($A584="",0,IF(COUNTIF($R$2:$R584,$R584)=1,1,0))</f>
        <v>0</v>
      </c>
      <c r="T584">
        <f t="shared" si="144"/>
        <v>574</v>
      </c>
      <c r="U584" t="str">
        <f>IF($A584="","",IF($A584=经营数据!$B$3,COUNTIFS($S$2:$S$3000,1,$A$2:$A$3000,$A584,$T$2:$T$3000,"&lt;"&amp;$T584)+1,""))</f>
        <v/>
      </c>
      <c r="V584" t="str">
        <f t="shared" si="145"/>
        <v>武汉首创奥莱项目|服务价格</v>
      </c>
      <c r="W584">
        <f t="shared" si="146"/>
        <v>575</v>
      </c>
      <c r="X584" t="str">
        <f t="shared" si="147"/>
        <v>武汉首创奥莱项目|期内租金单价</v>
      </c>
      <c r="Y584">
        <f t="shared" si="148"/>
        <v>583</v>
      </c>
      <c r="Z584">
        <f>IF($A584="",0,IF(AND($M584=1,$A584=经营数据!$B$3,$J584=经营数据!$BA$5,OR($I584=经营数据!$BA$4,COUNTIF(经营数据!$AA$9:$AA$38,$I584)&gt;0)),1,0))</f>
        <v>0</v>
      </c>
      <c r="AA584" t="str">
        <f t="shared" si="149"/>
        <v/>
      </c>
      <c r="AB584" t="str">
        <f t="shared" si="150"/>
        <v/>
      </c>
      <c r="AC584">
        <f>IF($A584="",0,IF(COUNTIF($A$2:$A584,$A584)=1,1,0))</f>
        <v>0</v>
      </c>
      <c r="AD584">
        <f t="shared" si="151"/>
        <v>7</v>
      </c>
      <c r="AE584" t="str">
        <f t="shared" si="152"/>
        <v>武汉首创奥莱项目|期内租金单价（元/平方米/月）</v>
      </c>
      <c r="BP584" s="47">
        <v>46239</v>
      </c>
      <c r="BQ584" s="29">
        <v>4.4484571945639977E-2</v>
      </c>
    </row>
    <row r="585" spans="1:69" x14ac:dyDescent="0.4">
      <c r="A585" t="str">
        <f>IF(原始经营数据!$D586="","",原始经营数据!$D586)</f>
        <v>华夏首创奥特莱斯封闭式基础设施证券投资基金</v>
      </c>
      <c r="B585" t="str">
        <f>IF(原始经营数据!$D586="","",T(原始经营数据!$E586))</f>
        <v>武汉首创奥莱项目</v>
      </c>
      <c r="C585" t="str">
        <f>IF(原始经营数据!$D586="","",原始经营数据!$F586)</f>
        <v>2025Q1</v>
      </c>
      <c r="D585" t="str">
        <f>IF(原始经营数据!$D586="","",原始经营数据!$H586)</f>
        <v>期末剩余租期</v>
      </c>
      <c r="E585">
        <f>IF(原始经营数据!$D586="","",原始经营数据!$I586)</f>
        <v>1.32</v>
      </c>
      <c r="F585" t="str">
        <f>IF(原始经营数据!$D586="","",T(原始经营数据!$J586))</f>
        <v>年</v>
      </c>
      <c r="G585" t="str">
        <f>IF(原始经营数据!$D586="","",T(原始经营数据!$K586))</f>
        <v/>
      </c>
      <c r="H585" t="str">
        <f>IF(原始经营数据!$D586="","",原始经营数据!$G586)</f>
        <v>服务量</v>
      </c>
      <c r="I585" t="str">
        <f>IF($A585="","",IF($B585&lt;&gt;"",$B585,IF(COUNTIFS(原始经营数据!$D$3:$D$3001,$A585,原始经营数据!$E$3:$E$3001,"",原始经营数据!$F$3:$F$3001,$C585,原始经营数据!$H$3:$H$3001,$D585,原始经营数据!$K$3:$K$3001,$G585)&gt;1,"基金整体·来源"&amp;原始经营数据!$A586,"基金整体")))</f>
        <v>武汉首创奥莱项目</v>
      </c>
      <c r="J585" t="str">
        <f t="shared" si="138"/>
        <v>季度</v>
      </c>
      <c r="K585" t="str">
        <f t="shared" si="139"/>
        <v>期末剩余租期（年）</v>
      </c>
      <c r="L585" t="str">
        <f t="shared" si="140"/>
        <v>武汉首创奥莱项目|期末剩余租期（年）|季度</v>
      </c>
      <c r="M585">
        <f>IF($A585="",0,IF(COUNTIF($L$2:$L585,$L585)=1,1,0))</f>
        <v>0</v>
      </c>
      <c r="N585">
        <f t="shared" si="141"/>
        <v>20251</v>
      </c>
      <c r="O585" t="str">
        <f t="shared" si="142"/>
        <v>华夏首创奥特莱斯封闭式基础设施证券投资基金|2025Q1|季度</v>
      </c>
      <c r="P585">
        <f>IF($A585="",0,IF(COUNTIF($O$2:$O585,$O585)=1,1,0))</f>
        <v>0</v>
      </c>
      <c r="Q585" t="str">
        <f>IF(AND($P585=1,$A585=经营数据!$B$3,$J585=经营数据!$BA$5),COUNTIFS($P$2:$P$3000,1,$A$2:$A$3000,$A585,$J$2:$J$3000,$J585,$N$2:$N$3000,"&lt;"&amp;$N585)+1,"")</f>
        <v/>
      </c>
      <c r="R585" t="str">
        <f t="shared" si="143"/>
        <v>华夏首创奥特莱斯封闭式基础设施证券投资基金|武汉首创奥莱项目</v>
      </c>
      <c r="S585">
        <f>IF($A585="",0,IF(COUNTIF($R$2:$R585,$R585)=1,1,0))</f>
        <v>0</v>
      </c>
      <c r="T585">
        <f t="shared" si="144"/>
        <v>574</v>
      </c>
      <c r="U585" t="str">
        <f>IF($A585="","",IF($A585=经营数据!$B$3,COUNTIFS($S$2:$S$3000,1,$A$2:$A$3000,$A585,$T$2:$T$3000,"&lt;"&amp;$T585)+1,""))</f>
        <v/>
      </c>
      <c r="V585" t="str">
        <f t="shared" si="145"/>
        <v>武汉首创奥莱项目|服务量</v>
      </c>
      <c r="W585">
        <f t="shared" si="146"/>
        <v>576</v>
      </c>
      <c r="X585" t="str">
        <f t="shared" si="147"/>
        <v>武汉首创奥莱项目|期末剩余租期</v>
      </c>
      <c r="Y585">
        <f t="shared" si="148"/>
        <v>579</v>
      </c>
      <c r="Z585">
        <f>IF($A585="",0,IF(AND($M585=1,$A585=经营数据!$B$3,$J585=经营数据!$BA$5,OR($I585=经营数据!$BA$4,COUNTIF(经营数据!$AA$9:$AA$38,$I585)&gt;0)),1,0))</f>
        <v>0</v>
      </c>
      <c r="AA585" t="str">
        <f t="shared" si="149"/>
        <v/>
      </c>
      <c r="AB585" t="str">
        <f t="shared" si="150"/>
        <v/>
      </c>
      <c r="AC585">
        <f>IF($A585="",0,IF(COUNTIF($A$2:$A585,$A585)=1,1,0))</f>
        <v>0</v>
      </c>
      <c r="AD585">
        <f t="shared" si="151"/>
        <v>7</v>
      </c>
      <c r="AE585" t="str">
        <f t="shared" si="152"/>
        <v>武汉首创奥莱项目|期末剩余租期（年）</v>
      </c>
      <c r="BP585" s="47">
        <v>46240</v>
      </c>
      <c r="BQ585" s="29">
        <v>4.4729801620216038E-2</v>
      </c>
    </row>
    <row r="586" spans="1:69" x14ac:dyDescent="0.4">
      <c r="A586" t="str">
        <f>IF(原始经营数据!$D587="","",原始经营数据!$D587)</f>
        <v>华夏首创奥特莱斯封闭式基础设施证券投资基金</v>
      </c>
      <c r="B586" t="str">
        <f>IF(原始经营数据!$D587="","",T(原始经营数据!$E587))</f>
        <v>武汉首创奥莱项目</v>
      </c>
      <c r="C586" t="str">
        <f>IF(原始经营数据!$D587="","",原始经营数据!$F587)</f>
        <v>2025Q1</v>
      </c>
      <c r="D586" t="str">
        <f>IF(原始经营数据!$D587="","",原始经营数据!$H587)</f>
        <v>期末租金收缴率</v>
      </c>
      <c r="E586">
        <f>IF(原始经营数据!$D587="","",原始经营数据!$I587)</f>
        <v>100</v>
      </c>
      <c r="F586" t="str">
        <f>IF(原始经营数据!$D587="","",T(原始经营数据!$J587))</f>
        <v>%</v>
      </c>
      <c r="G586" t="str">
        <f>IF(原始经营数据!$D587="","",T(原始经营数据!$K587))</f>
        <v/>
      </c>
      <c r="H586" t="str">
        <f>IF(原始经营数据!$D587="","",原始经营数据!$G587)</f>
        <v>服务效率</v>
      </c>
      <c r="I586" t="str">
        <f>IF($A586="","",IF($B586&lt;&gt;"",$B586,IF(COUNTIFS(原始经营数据!$D$3:$D$3001,$A586,原始经营数据!$E$3:$E$3001,"",原始经营数据!$F$3:$F$3001,$C586,原始经营数据!$H$3:$H$3001,$D586,原始经营数据!$K$3:$K$3001,$G586)&gt;1,"基金整体·来源"&amp;原始经营数据!$A587,"基金整体")))</f>
        <v>武汉首创奥莱项目</v>
      </c>
      <c r="J586" t="str">
        <f t="shared" si="138"/>
        <v>季度</v>
      </c>
      <c r="K586" t="str">
        <f t="shared" si="139"/>
        <v>期末租金收缴率（%）</v>
      </c>
      <c r="L586" t="str">
        <f t="shared" si="140"/>
        <v>武汉首创奥莱项目|期末租金收缴率（%）|季度</v>
      </c>
      <c r="M586">
        <f>IF($A586="",0,IF(COUNTIF($L$2:$L586,$L586)=1,1,0))</f>
        <v>0</v>
      </c>
      <c r="N586">
        <f t="shared" si="141"/>
        <v>20251</v>
      </c>
      <c r="O586" t="str">
        <f t="shared" si="142"/>
        <v>华夏首创奥特莱斯封闭式基础设施证券投资基金|2025Q1|季度</v>
      </c>
      <c r="P586">
        <f>IF($A586="",0,IF(COUNTIF($O$2:$O586,$O586)=1,1,0))</f>
        <v>0</v>
      </c>
      <c r="Q586" t="str">
        <f>IF(AND($P586=1,$A586=经营数据!$B$3,$J586=经营数据!$BA$5),COUNTIFS($P$2:$P$3000,1,$A$2:$A$3000,$A586,$J$2:$J$3000,$J586,$N$2:$N$3000,"&lt;"&amp;$N586)+1,"")</f>
        <v/>
      </c>
      <c r="R586" t="str">
        <f t="shared" si="143"/>
        <v>华夏首创奥特莱斯封闭式基础设施证券投资基金|武汉首创奥莱项目</v>
      </c>
      <c r="S586">
        <f>IF($A586="",0,IF(COUNTIF($R$2:$R586,$R586)=1,1,0))</f>
        <v>0</v>
      </c>
      <c r="T586">
        <f t="shared" si="144"/>
        <v>574</v>
      </c>
      <c r="U586" t="str">
        <f>IF($A586="","",IF($A586=经营数据!$B$3,COUNTIFS($S$2:$S$3000,1,$A$2:$A$3000,$A586,$T$2:$T$3000,"&lt;"&amp;$T586)+1,""))</f>
        <v/>
      </c>
      <c r="V586" t="str">
        <f t="shared" si="145"/>
        <v>武汉首创奥莱项目|服务效率</v>
      </c>
      <c r="W586">
        <f t="shared" si="146"/>
        <v>574</v>
      </c>
      <c r="X586" t="str">
        <f t="shared" si="147"/>
        <v>武汉首创奥莱项目|期末租金收缴率</v>
      </c>
      <c r="Y586">
        <f t="shared" si="148"/>
        <v>574</v>
      </c>
      <c r="Z586">
        <f>IF($A586="",0,IF(AND($M586=1,$A586=经营数据!$B$3,$J586=经营数据!$BA$5,OR($I586=经营数据!$BA$4,COUNTIF(经营数据!$AA$9:$AA$38,$I586)&gt;0)),1,0))</f>
        <v>0</v>
      </c>
      <c r="AA586" t="str">
        <f t="shared" si="149"/>
        <v/>
      </c>
      <c r="AB586" t="str">
        <f t="shared" si="150"/>
        <v/>
      </c>
      <c r="AC586">
        <f>IF($A586="",0,IF(COUNTIF($A$2:$A586,$A586)=1,1,0))</f>
        <v>0</v>
      </c>
      <c r="AD586">
        <f t="shared" si="151"/>
        <v>7</v>
      </c>
      <c r="AE586" t="str">
        <f t="shared" si="152"/>
        <v>武汉首创奥莱项目|期末租金收缴率（%）</v>
      </c>
      <c r="BP586" s="47">
        <v>46241</v>
      </c>
      <c r="BQ586" s="29">
        <v>4.4535322901196217E-2</v>
      </c>
    </row>
    <row r="587" spans="1:69" x14ac:dyDescent="0.4">
      <c r="A587" t="str">
        <f>IF(原始经营数据!$D588="","",原始经营数据!$D588)</f>
        <v>华夏首创奥特莱斯封闭式基础设施证券投资基金</v>
      </c>
      <c r="B587" t="str">
        <f>IF(原始经营数据!$D588="","",T(原始经营数据!$E588))</f>
        <v>武汉首创奥莱项目</v>
      </c>
      <c r="C587" t="str">
        <f>IF(原始经营数据!$D588="","",原始经营数据!$F588)</f>
        <v>2025Q1</v>
      </c>
      <c r="D587" t="str">
        <f>IF(原始经营数据!$D588="","",原始经营数据!$H588)</f>
        <v>期内租金单价水平</v>
      </c>
      <c r="E587">
        <f>IF(原始经营数据!$D588="","",原始经营数据!$I588)</f>
        <v>171.68</v>
      </c>
      <c r="F587" t="str">
        <f>IF(原始经营数据!$D588="","",T(原始经营数据!$J588))</f>
        <v>元/平方米/月</v>
      </c>
      <c r="G587" t="str">
        <f>IF(原始经营数据!$D588="","",T(原始经营数据!$K588))</f>
        <v/>
      </c>
      <c r="H587" t="str">
        <f>IF(原始经营数据!$D588="","",原始经营数据!$G588)</f>
        <v>服务价格</v>
      </c>
      <c r="I587" t="str">
        <f>IF($A587="","",IF($B587&lt;&gt;"",$B587,IF(COUNTIFS(原始经营数据!$D$3:$D$3001,$A587,原始经营数据!$E$3:$E$3001,"",原始经营数据!$F$3:$F$3001,$C587,原始经营数据!$H$3:$H$3001,$D587,原始经营数据!$K$3:$K$3001,$G587)&gt;1,"基金整体·来源"&amp;原始经营数据!$A588,"基金整体")))</f>
        <v>武汉首创奥莱项目</v>
      </c>
      <c r="J587" t="str">
        <f t="shared" si="138"/>
        <v>季度</v>
      </c>
      <c r="K587" t="str">
        <f t="shared" si="139"/>
        <v>期内租金单价水平（元/平方米/月）</v>
      </c>
      <c r="L587" t="str">
        <f t="shared" si="140"/>
        <v>武汉首创奥莱项目|期内租金单价水平（元/平方米/月）|季度</v>
      </c>
      <c r="M587">
        <f>IF($A587="",0,IF(COUNTIF($L$2:$L587,$L587)=1,1,0))</f>
        <v>0</v>
      </c>
      <c r="N587">
        <f t="shared" si="141"/>
        <v>20251</v>
      </c>
      <c r="O587" t="str">
        <f t="shared" si="142"/>
        <v>华夏首创奥特莱斯封闭式基础设施证券投资基金|2025Q1|季度</v>
      </c>
      <c r="P587">
        <f>IF($A587="",0,IF(COUNTIF($O$2:$O587,$O587)=1,1,0))</f>
        <v>0</v>
      </c>
      <c r="Q587" t="str">
        <f>IF(AND($P587=1,$A587=经营数据!$B$3,$J587=经营数据!$BA$5),COUNTIFS($P$2:$P$3000,1,$A$2:$A$3000,$A587,$J$2:$J$3000,$J587,$N$2:$N$3000,"&lt;"&amp;$N587)+1,"")</f>
        <v/>
      </c>
      <c r="R587" t="str">
        <f t="shared" si="143"/>
        <v>华夏首创奥特莱斯封闭式基础设施证券投资基金|武汉首创奥莱项目</v>
      </c>
      <c r="S587">
        <f>IF($A587="",0,IF(COUNTIF($R$2:$R587,$R587)=1,1,0))</f>
        <v>0</v>
      </c>
      <c r="T587">
        <f t="shared" si="144"/>
        <v>574</v>
      </c>
      <c r="U587" t="str">
        <f>IF($A587="","",IF($A587=经营数据!$B$3,COUNTIFS($S$2:$S$3000,1,$A$2:$A$3000,$A587,$T$2:$T$3000,"&lt;"&amp;$T587)+1,""))</f>
        <v/>
      </c>
      <c r="V587" t="str">
        <f t="shared" si="145"/>
        <v>武汉首创奥莱项目|服务价格</v>
      </c>
      <c r="W587">
        <f t="shared" si="146"/>
        <v>575</v>
      </c>
      <c r="X587" t="str">
        <f t="shared" si="147"/>
        <v>武汉首创奥莱项目|期内租金单价水平</v>
      </c>
      <c r="Y587">
        <f t="shared" si="148"/>
        <v>575</v>
      </c>
      <c r="Z587">
        <f>IF($A587="",0,IF(AND($M587=1,$A587=经营数据!$B$3,$J587=经营数据!$BA$5,OR($I587=经营数据!$BA$4,COUNTIF(经营数据!$AA$9:$AA$38,$I587)&gt;0)),1,0))</f>
        <v>0</v>
      </c>
      <c r="AA587" t="str">
        <f t="shared" si="149"/>
        <v/>
      </c>
      <c r="AB587" t="str">
        <f t="shared" si="150"/>
        <v/>
      </c>
      <c r="AC587">
        <f>IF($A587="",0,IF(COUNTIF($A$2:$A587,$A587)=1,1,0))</f>
        <v>0</v>
      </c>
      <c r="AD587">
        <f t="shared" si="151"/>
        <v>7</v>
      </c>
      <c r="AE587" t="str">
        <f t="shared" si="152"/>
        <v>武汉首创奥莱项目|期内租金单价水平（元/平方米/月）</v>
      </c>
      <c r="BP587" s="47">
        <v>46244</v>
      </c>
      <c r="BQ587" s="29">
        <v>4.472316709720537E-2</v>
      </c>
    </row>
    <row r="588" spans="1:69" x14ac:dyDescent="0.4">
      <c r="A588" t="str">
        <f>IF(原始经营数据!$D589="","",原始经营数据!$D589)</f>
        <v>华夏首创奥特莱斯封闭式基础设施证券投资基金</v>
      </c>
      <c r="B588" t="str">
        <f>IF(原始经营数据!$D589="","",T(原始经营数据!$E589))</f>
        <v>武汉首创奥莱项目</v>
      </c>
      <c r="C588" t="str">
        <f>IF(原始经营数据!$D589="","",原始经营数据!$F589)</f>
        <v>2025Q2</v>
      </c>
      <c r="D588" t="str">
        <f>IF(原始经营数据!$D589="","",原始经营数据!$H589)</f>
        <v>期内租金单价水平</v>
      </c>
      <c r="E588">
        <f>IF(原始经营数据!$D589="","",原始经营数据!$I589)</f>
        <v>154.27000000000001</v>
      </c>
      <c r="F588" t="str">
        <f>IF(原始经营数据!$D589="","",T(原始经营数据!$J589))</f>
        <v>元/平方米/月</v>
      </c>
      <c r="G588" t="str">
        <f>IF(原始经营数据!$D589="","",T(原始经营数据!$K589))</f>
        <v/>
      </c>
      <c r="H588" t="str">
        <f>IF(原始经营数据!$D589="","",原始经营数据!$G589)</f>
        <v>服务价格</v>
      </c>
      <c r="I588" t="str">
        <f>IF($A588="","",IF($B588&lt;&gt;"",$B588,IF(COUNTIFS(原始经营数据!$D$3:$D$3001,$A588,原始经营数据!$E$3:$E$3001,"",原始经营数据!$F$3:$F$3001,$C588,原始经营数据!$H$3:$H$3001,$D588,原始经营数据!$K$3:$K$3001,$G588)&gt;1,"基金整体·来源"&amp;原始经营数据!$A589,"基金整体")))</f>
        <v>武汉首创奥莱项目</v>
      </c>
      <c r="J588" t="str">
        <f t="shared" si="138"/>
        <v>季度</v>
      </c>
      <c r="K588" t="str">
        <f t="shared" si="139"/>
        <v>期内租金单价水平（元/平方米/月）</v>
      </c>
      <c r="L588" t="str">
        <f t="shared" si="140"/>
        <v>武汉首创奥莱项目|期内租金单价水平（元/平方米/月）|季度</v>
      </c>
      <c r="M588">
        <f>IF($A588="",0,IF(COUNTIF($L$2:$L588,$L588)=1,1,0))</f>
        <v>0</v>
      </c>
      <c r="N588">
        <f t="shared" si="141"/>
        <v>20252</v>
      </c>
      <c r="O588" t="str">
        <f t="shared" si="142"/>
        <v>华夏首创奥特莱斯封闭式基础设施证券投资基金|2025Q2|季度</v>
      </c>
      <c r="P588">
        <f>IF($A588="",0,IF(COUNTIF($O$2:$O588,$O588)=1,1,0))</f>
        <v>0</v>
      </c>
      <c r="Q588" t="str">
        <f>IF(AND($P588=1,$A588=经营数据!$B$3,$J588=经营数据!$BA$5),COUNTIFS($P$2:$P$3000,1,$A$2:$A$3000,$A588,$J$2:$J$3000,$J588,$N$2:$N$3000,"&lt;"&amp;$N588)+1,"")</f>
        <v/>
      </c>
      <c r="R588" t="str">
        <f t="shared" si="143"/>
        <v>华夏首创奥特莱斯封闭式基础设施证券投资基金|武汉首创奥莱项目</v>
      </c>
      <c r="S588">
        <f>IF($A588="",0,IF(COUNTIF($R$2:$R588,$R588)=1,1,0))</f>
        <v>0</v>
      </c>
      <c r="T588">
        <f t="shared" si="144"/>
        <v>574</v>
      </c>
      <c r="U588" t="str">
        <f>IF($A588="","",IF($A588=经营数据!$B$3,COUNTIFS($S$2:$S$3000,1,$A$2:$A$3000,$A588,$T$2:$T$3000,"&lt;"&amp;$T588)+1,""))</f>
        <v/>
      </c>
      <c r="V588" t="str">
        <f t="shared" si="145"/>
        <v>武汉首创奥莱项目|服务价格</v>
      </c>
      <c r="W588">
        <f t="shared" si="146"/>
        <v>575</v>
      </c>
      <c r="X588" t="str">
        <f t="shared" si="147"/>
        <v>武汉首创奥莱项目|期内租金单价水平</v>
      </c>
      <c r="Y588">
        <f t="shared" si="148"/>
        <v>575</v>
      </c>
      <c r="Z588">
        <f>IF($A588="",0,IF(AND($M588=1,$A588=经营数据!$B$3,$J588=经营数据!$BA$5,OR($I588=经营数据!$BA$4,COUNTIF(经营数据!$AA$9:$AA$38,$I588)&gt;0)),1,0))</f>
        <v>0</v>
      </c>
      <c r="AA588" t="str">
        <f t="shared" si="149"/>
        <v/>
      </c>
      <c r="AB588" t="str">
        <f t="shared" si="150"/>
        <v/>
      </c>
      <c r="AC588">
        <f>IF($A588="",0,IF(COUNTIF($A$2:$A588,$A588)=1,1,0))</f>
        <v>0</v>
      </c>
      <c r="AD588">
        <f t="shared" si="151"/>
        <v>7</v>
      </c>
      <c r="AE588" t="str">
        <f t="shared" si="152"/>
        <v>武汉首创奥莱项目|期内租金单价水平（元/平方米/月）</v>
      </c>
      <c r="BP588" s="47">
        <v>46245</v>
      </c>
      <c r="BQ588" s="29">
        <v>4.4790824646129372E-2</v>
      </c>
    </row>
    <row r="589" spans="1:69" x14ac:dyDescent="0.4">
      <c r="A589" t="str">
        <f>IF(原始经营数据!$D590="","",原始经营数据!$D590)</f>
        <v>华夏首创奥特莱斯封闭式基础设施证券投资基金</v>
      </c>
      <c r="B589" t="str">
        <f>IF(原始经营数据!$D590="","",T(原始经营数据!$E590))</f>
        <v>武汉首创奥莱项目</v>
      </c>
      <c r="C589" t="str">
        <f>IF(原始经营数据!$D590="","",原始经营数据!$F590)</f>
        <v>2025Q2</v>
      </c>
      <c r="D589" t="str">
        <f>IF(原始经营数据!$D590="","",原始经营数据!$H590)</f>
        <v>期末可供出租面积</v>
      </c>
      <c r="E589">
        <f>IF(原始经营数据!$D590="","",原始经营数据!$I590)</f>
        <v>47208.52</v>
      </c>
      <c r="F589" t="str">
        <f>IF(原始经营数据!$D590="","",T(原始经营数据!$J590))</f>
        <v>平方米</v>
      </c>
      <c r="G589" t="str">
        <f>IF(原始经营数据!$D590="","",T(原始经营数据!$K590))</f>
        <v/>
      </c>
      <c r="H589" t="str">
        <f>IF(原始经营数据!$D590="","",原始经营数据!$G590)</f>
        <v>服务量</v>
      </c>
      <c r="I589" t="str">
        <f>IF($A589="","",IF($B589&lt;&gt;"",$B589,IF(COUNTIFS(原始经营数据!$D$3:$D$3001,$A589,原始经营数据!$E$3:$E$3001,"",原始经营数据!$F$3:$F$3001,$C589,原始经营数据!$H$3:$H$3001,$D589,原始经营数据!$K$3:$K$3001,$G589)&gt;1,"基金整体·来源"&amp;原始经营数据!$A590,"基金整体")))</f>
        <v>武汉首创奥莱项目</v>
      </c>
      <c r="J589" t="str">
        <f t="shared" si="138"/>
        <v>季度</v>
      </c>
      <c r="K589" t="str">
        <f t="shared" si="139"/>
        <v>期末可供出租面积（平方米）</v>
      </c>
      <c r="L589" t="str">
        <f t="shared" si="140"/>
        <v>武汉首创奥莱项目|期末可供出租面积（平方米）|季度</v>
      </c>
      <c r="M589">
        <f>IF($A589="",0,IF(COUNTIF($L$2:$L589,$L589)=1,1,0))</f>
        <v>0</v>
      </c>
      <c r="N589">
        <f t="shared" si="141"/>
        <v>20252</v>
      </c>
      <c r="O589" t="str">
        <f t="shared" si="142"/>
        <v>华夏首创奥特莱斯封闭式基础设施证券投资基金|2025Q2|季度</v>
      </c>
      <c r="P589">
        <f>IF($A589="",0,IF(COUNTIF($O$2:$O589,$O589)=1,1,0))</f>
        <v>0</v>
      </c>
      <c r="Q589" t="str">
        <f>IF(AND($P589=1,$A589=经营数据!$B$3,$J589=经营数据!$BA$5),COUNTIFS($P$2:$P$3000,1,$A$2:$A$3000,$A589,$J$2:$J$3000,$J589,$N$2:$N$3000,"&lt;"&amp;$N589)+1,"")</f>
        <v/>
      </c>
      <c r="R589" t="str">
        <f t="shared" si="143"/>
        <v>华夏首创奥特莱斯封闭式基础设施证券投资基金|武汉首创奥莱项目</v>
      </c>
      <c r="S589">
        <f>IF($A589="",0,IF(COUNTIF($R$2:$R589,$R589)=1,1,0))</f>
        <v>0</v>
      </c>
      <c r="T589">
        <f t="shared" si="144"/>
        <v>574</v>
      </c>
      <c r="U589" t="str">
        <f>IF($A589="","",IF($A589=经营数据!$B$3,COUNTIFS($S$2:$S$3000,1,$A$2:$A$3000,$A589,$T$2:$T$3000,"&lt;"&amp;$T589)+1,""))</f>
        <v/>
      </c>
      <c r="V589" t="str">
        <f t="shared" si="145"/>
        <v>武汉首创奥莱项目|服务量</v>
      </c>
      <c r="W589">
        <f t="shared" si="146"/>
        <v>576</v>
      </c>
      <c r="X589" t="str">
        <f t="shared" si="147"/>
        <v>武汉首创奥莱项目|期末可供出租面积</v>
      </c>
      <c r="Y589">
        <f t="shared" si="148"/>
        <v>576</v>
      </c>
      <c r="Z589">
        <f>IF($A589="",0,IF(AND($M589=1,$A589=经营数据!$B$3,$J589=经营数据!$BA$5,OR($I589=经营数据!$BA$4,COUNTIF(经营数据!$AA$9:$AA$38,$I589)&gt;0)),1,0))</f>
        <v>0</v>
      </c>
      <c r="AA589" t="str">
        <f t="shared" si="149"/>
        <v/>
      </c>
      <c r="AB589" t="str">
        <f t="shared" si="150"/>
        <v/>
      </c>
      <c r="AC589">
        <f>IF($A589="",0,IF(COUNTIF($A$2:$A589,$A589)=1,1,0))</f>
        <v>0</v>
      </c>
      <c r="AD589">
        <f t="shared" si="151"/>
        <v>7</v>
      </c>
      <c r="AE589" t="str">
        <f t="shared" si="152"/>
        <v>武汉首创奥莱项目|期末可供出租面积（平方米）</v>
      </c>
      <c r="BP589" s="47">
        <v>46246</v>
      </c>
      <c r="BQ589" s="29">
        <v>4.4897766802049051E-2</v>
      </c>
    </row>
    <row r="590" spans="1:69" x14ac:dyDescent="0.4">
      <c r="A590" t="str">
        <f>IF(原始经营数据!$D591="","",原始经营数据!$D591)</f>
        <v>华夏首创奥特莱斯封闭式基础设施证券投资基金</v>
      </c>
      <c r="B590" t="str">
        <f>IF(原始经营数据!$D591="","",T(原始经营数据!$E591))</f>
        <v>武汉首创奥莱项目</v>
      </c>
      <c r="C590" t="str">
        <f>IF(原始经营数据!$D591="","",原始经营数据!$F591)</f>
        <v>2025Q2</v>
      </c>
      <c r="D590" t="str">
        <f>IF(原始经营数据!$D591="","",原始经营数据!$H591)</f>
        <v>期末实际出租面积</v>
      </c>
      <c r="E590">
        <f>IF(原始经营数据!$D591="","",原始经营数据!$I591)</f>
        <v>45419.79</v>
      </c>
      <c r="F590" t="str">
        <f>IF(原始经营数据!$D591="","",T(原始经营数据!$J591))</f>
        <v>平方米</v>
      </c>
      <c r="G590" t="str">
        <f>IF(原始经营数据!$D591="","",T(原始经营数据!$K591))</f>
        <v/>
      </c>
      <c r="H590" t="str">
        <f>IF(原始经营数据!$D591="","",原始经营数据!$G591)</f>
        <v>服务量</v>
      </c>
      <c r="I590" t="str">
        <f>IF($A590="","",IF($B590&lt;&gt;"",$B590,IF(COUNTIFS(原始经营数据!$D$3:$D$3001,$A590,原始经营数据!$E$3:$E$3001,"",原始经营数据!$F$3:$F$3001,$C590,原始经营数据!$H$3:$H$3001,$D590,原始经营数据!$K$3:$K$3001,$G590)&gt;1,"基金整体·来源"&amp;原始经营数据!$A591,"基金整体")))</f>
        <v>武汉首创奥莱项目</v>
      </c>
      <c r="J590" t="str">
        <f t="shared" si="138"/>
        <v>季度</v>
      </c>
      <c r="K590" t="str">
        <f t="shared" si="139"/>
        <v>期末实际出租面积（平方米）</v>
      </c>
      <c r="L590" t="str">
        <f t="shared" si="140"/>
        <v>武汉首创奥莱项目|期末实际出租面积（平方米）|季度</v>
      </c>
      <c r="M590">
        <f>IF($A590="",0,IF(COUNTIF($L$2:$L590,$L590)=1,1,0))</f>
        <v>0</v>
      </c>
      <c r="N590">
        <f t="shared" si="141"/>
        <v>20252</v>
      </c>
      <c r="O590" t="str">
        <f t="shared" si="142"/>
        <v>华夏首创奥特莱斯封闭式基础设施证券投资基金|2025Q2|季度</v>
      </c>
      <c r="P590">
        <f>IF($A590="",0,IF(COUNTIF($O$2:$O590,$O590)=1,1,0))</f>
        <v>0</v>
      </c>
      <c r="Q590" t="str">
        <f>IF(AND($P590=1,$A590=经营数据!$B$3,$J590=经营数据!$BA$5),COUNTIFS($P$2:$P$3000,1,$A$2:$A$3000,$A590,$J$2:$J$3000,$J590,$N$2:$N$3000,"&lt;"&amp;$N590)+1,"")</f>
        <v/>
      </c>
      <c r="R590" t="str">
        <f t="shared" si="143"/>
        <v>华夏首创奥特莱斯封闭式基础设施证券投资基金|武汉首创奥莱项目</v>
      </c>
      <c r="S590">
        <f>IF($A590="",0,IF(COUNTIF($R$2:$R590,$R590)=1,1,0))</f>
        <v>0</v>
      </c>
      <c r="T590">
        <f t="shared" si="144"/>
        <v>574</v>
      </c>
      <c r="U590" t="str">
        <f>IF($A590="","",IF($A590=经营数据!$B$3,COUNTIFS($S$2:$S$3000,1,$A$2:$A$3000,$A590,$T$2:$T$3000,"&lt;"&amp;$T590)+1,""))</f>
        <v/>
      </c>
      <c r="V590" t="str">
        <f t="shared" si="145"/>
        <v>武汉首创奥莱项目|服务量</v>
      </c>
      <c r="W590">
        <f t="shared" si="146"/>
        <v>576</v>
      </c>
      <c r="X590" t="str">
        <f t="shared" si="147"/>
        <v>武汉首创奥莱项目|期末实际出租面积</v>
      </c>
      <c r="Y590">
        <f t="shared" si="148"/>
        <v>577</v>
      </c>
      <c r="Z590">
        <f>IF($A590="",0,IF(AND($M590=1,$A590=经营数据!$B$3,$J590=经营数据!$BA$5,OR($I590=经营数据!$BA$4,COUNTIF(经营数据!$AA$9:$AA$38,$I590)&gt;0)),1,0))</f>
        <v>0</v>
      </c>
      <c r="AA590" t="str">
        <f t="shared" si="149"/>
        <v/>
      </c>
      <c r="AB590" t="str">
        <f t="shared" si="150"/>
        <v/>
      </c>
      <c r="AC590">
        <f>IF($A590="",0,IF(COUNTIF($A$2:$A590,$A590)=1,1,0))</f>
        <v>0</v>
      </c>
      <c r="AD590">
        <f t="shared" si="151"/>
        <v>7</v>
      </c>
      <c r="AE590" t="str">
        <f t="shared" si="152"/>
        <v>武汉首创奥莱项目|期末实际出租面积（平方米）</v>
      </c>
      <c r="BP590" s="47">
        <v>46247</v>
      </c>
      <c r="BQ590" s="29">
        <v>4.5330299686191032E-2</v>
      </c>
    </row>
    <row r="591" spans="1:69" x14ac:dyDescent="0.4">
      <c r="A591" t="str">
        <f>IF(原始经营数据!$D592="","",原始经营数据!$D592)</f>
        <v>华夏首创奥特莱斯封闭式基础设施证券投资基金</v>
      </c>
      <c r="B591" t="str">
        <f>IF(原始经营数据!$D592="","",T(原始经营数据!$E592))</f>
        <v>武汉首创奥莱项目</v>
      </c>
      <c r="C591" t="str">
        <f>IF(原始经营数据!$D592="","",原始经营数据!$F592)</f>
        <v>2025Q2</v>
      </c>
      <c r="D591" t="str">
        <f>IF(原始经营数据!$D592="","",原始经营数据!$H592)</f>
        <v>期末出租率</v>
      </c>
      <c r="E591">
        <f>IF(原始经营数据!$D592="","",原始经营数据!$I592)</f>
        <v>96.21</v>
      </c>
      <c r="F591" t="str">
        <f>IF(原始经营数据!$D592="","",T(原始经营数据!$J592))</f>
        <v>%</v>
      </c>
      <c r="G591" t="str">
        <f>IF(原始经营数据!$D592="","",T(原始经营数据!$K592))</f>
        <v/>
      </c>
      <c r="H591" t="str">
        <f>IF(原始经营数据!$D592="","",原始经营数据!$G592)</f>
        <v>服务效率</v>
      </c>
      <c r="I591" t="str">
        <f>IF($A591="","",IF($B591&lt;&gt;"",$B591,IF(COUNTIFS(原始经营数据!$D$3:$D$3001,$A591,原始经营数据!$E$3:$E$3001,"",原始经营数据!$F$3:$F$3001,$C591,原始经营数据!$H$3:$H$3001,$D591,原始经营数据!$K$3:$K$3001,$G591)&gt;1,"基金整体·来源"&amp;原始经营数据!$A592,"基金整体")))</f>
        <v>武汉首创奥莱项目</v>
      </c>
      <c r="J591" t="str">
        <f t="shared" si="138"/>
        <v>季度</v>
      </c>
      <c r="K591" t="str">
        <f t="shared" si="139"/>
        <v>期末出租率（%）</v>
      </c>
      <c r="L591" t="str">
        <f t="shared" si="140"/>
        <v>武汉首创奥莱项目|期末出租率（%）|季度</v>
      </c>
      <c r="M591">
        <f>IF($A591="",0,IF(COUNTIF($L$2:$L591,$L591)=1,1,0))</f>
        <v>0</v>
      </c>
      <c r="N591">
        <f t="shared" si="141"/>
        <v>20252</v>
      </c>
      <c r="O591" t="str">
        <f t="shared" si="142"/>
        <v>华夏首创奥特莱斯封闭式基础设施证券投资基金|2025Q2|季度</v>
      </c>
      <c r="P591">
        <f>IF($A591="",0,IF(COUNTIF($O$2:$O591,$O591)=1,1,0))</f>
        <v>0</v>
      </c>
      <c r="Q591" t="str">
        <f>IF(AND($P591=1,$A591=经营数据!$B$3,$J591=经营数据!$BA$5),COUNTIFS($P$2:$P$3000,1,$A$2:$A$3000,$A591,$J$2:$J$3000,$J591,$N$2:$N$3000,"&lt;"&amp;$N591)+1,"")</f>
        <v/>
      </c>
      <c r="R591" t="str">
        <f t="shared" si="143"/>
        <v>华夏首创奥特莱斯封闭式基础设施证券投资基金|武汉首创奥莱项目</v>
      </c>
      <c r="S591">
        <f>IF($A591="",0,IF(COUNTIF($R$2:$R591,$R591)=1,1,0))</f>
        <v>0</v>
      </c>
      <c r="T591">
        <f t="shared" si="144"/>
        <v>574</v>
      </c>
      <c r="U591" t="str">
        <f>IF($A591="","",IF($A591=经营数据!$B$3,COUNTIFS($S$2:$S$3000,1,$A$2:$A$3000,$A591,$T$2:$T$3000,"&lt;"&amp;$T591)+1,""))</f>
        <v/>
      </c>
      <c r="V591" t="str">
        <f t="shared" si="145"/>
        <v>武汉首创奥莱项目|服务效率</v>
      </c>
      <c r="W591">
        <f t="shared" si="146"/>
        <v>574</v>
      </c>
      <c r="X591" t="str">
        <f t="shared" si="147"/>
        <v>武汉首创奥莱项目|期末出租率</v>
      </c>
      <c r="Y591">
        <f t="shared" si="148"/>
        <v>578</v>
      </c>
      <c r="Z591">
        <f>IF($A591="",0,IF(AND($M591=1,$A591=经营数据!$B$3,$J591=经营数据!$BA$5,OR($I591=经营数据!$BA$4,COUNTIF(经营数据!$AA$9:$AA$38,$I591)&gt;0)),1,0))</f>
        <v>0</v>
      </c>
      <c r="AA591" t="str">
        <f t="shared" si="149"/>
        <v/>
      </c>
      <c r="AB591" t="str">
        <f t="shared" si="150"/>
        <v/>
      </c>
      <c r="AC591">
        <f>IF($A591="",0,IF(COUNTIF($A$2:$A591,$A591)=1,1,0))</f>
        <v>0</v>
      </c>
      <c r="AD591">
        <f t="shared" si="151"/>
        <v>7</v>
      </c>
      <c r="AE591" t="str">
        <f t="shared" si="152"/>
        <v>武汉首创奥莱项目|期末出租率（%）</v>
      </c>
      <c r="BP591" s="47">
        <v>46248</v>
      </c>
      <c r="BQ591" s="29">
        <v>4.5473155688377787E-2</v>
      </c>
    </row>
    <row r="592" spans="1:69" x14ac:dyDescent="0.4">
      <c r="A592" t="str">
        <f>IF(原始经营数据!$D593="","",原始经营数据!$D593)</f>
        <v>华夏首创奥特莱斯封闭式基础设施证券投资基金</v>
      </c>
      <c r="B592" t="str">
        <f>IF(原始经营数据!$D593="","",T(原始经营数据!$E593))</f>
        <v>武汉首创奥莱项目</v>
      </c>
      <c r="C592" t="str">
        <f>IF(原始经营数据!$D593="","",原始经营数据!$F593)</f>
        <v>2025Q2</v>
      </c>
      <c r="D592" t="str">
        <f>IF(原始经营数据!$D593="","",原始经营数据!$H593)</f>
        <v>期内租金单价</v>
      </c>
      <c r="E592">
        <f>IF(原始经营数据!$D593="","",原始经营数据!$I593)</f>
        <v>154.27000000000001</v>
      </c>
      <c r="F592" t="str">
        <f>IF(原始经营数据!$D593="","",T(原始经营数据!$J593))</f>
        <v>元/平方米/月</v>
      </c>
      <c r="G592" t="str">
        <f>IF(原始经营数据!$D593="","",T(原始经营数据!$K593))</f>
        <v/>
      </c>
      <c r="H592" t="str">
        <f>IF(原始经营数据!$D593="","",原始经营数据!$G593)</f>
        <v>服务价格</v>
      </c>
      <c r="I592" t="str">
        <f>IF($A592="","",IF($B592&lt;&gt;"",$B592,IF(COUNTIFS(原始经营数据!$D$3:$D$3001,$A592,原始经营数据!$E$3:$E$3001,"",原始经营数据!$F$3:$F$3001,$C592,原始经营数据!$H$3:$H$3001,$D592,原始经营数据!$K$3:$K$3001,$G592)&gt;1,"基金整体·来源"&amp;原始经营数据!$A593,"基金整体")))</f>
        <v>武汉首创奥莱项目</v>
      </c>
      <c r="J592" t="str">
        <f t="shared" si="138"/>
        <v>季度</v>
      </c>
      <c r="K592" t="str">
        <f t="shared" si="139"/>
        <v>期内租金单价（元/平方米/月）</v>
      </c>
      <c r="L592" t="str">
        <f t="shared" si="140"/>
        <v>武汉首创奥莱项目|期内租金单价（元/平方米/月）|季度</v>
      </c>
      <c r="M592">
        <f>IF($A592="",0,IF(COUNTIF($L$2:$L592,$L592)=1,1,0))</f>
        <v>0</v>
      </c>
      <c r="N592">
        <f t="shared" si="141"/>
        <v>20252</v>
      </c>
      <c r="O592" t="str">
        <f t="shared" si="142"/>
        <v>华夏首创奥特莱斯封闭式基础设施证券投资基金|2025Q2|季度</v>
      </c>
      <c r="P592">
        <f>IF($A592="",0,IF(COUNTIF($O$2:$O592,$O592)=1,1,0))</f>
        <v>0</v>
      </c>
      <c r="Q592" t="str">
        <f>IF(AND($P592=1,$A592=经营数据!$B$3,$J592=经营数据!$BA$5),COUNTIFS($P$2:$P$3000,1,$A$2:$A$3000,$A592,$J$2:$J$3000,$J592,$N$2:$N$3000,"&lt;"&amp;$N592)+1,"")</f>
        <v/>
      </c>
      <c r="R592" t="str">
        <f t="shared" si="143"/>
        <v>华夏首创奥特莱斯封闭式基础设施证券投资基金|武汉首创奥莱项目</v>
      </c>
      <c r="S592">
        <f>IF($A592="",0,IF(COUNTIF($R$2:$R592,$R592)=1,1,0))</f>
        <v>0</v>
      </c>
      <c r="T592">
        <f t="shared" si="144"/>
        <v>574</v>
      </c>
      <c r="U592" t="str">
        <f>IF($A592="","",IF($A592=经营数据!$B$3,COUNTIFS($S$2:$S$3000,1,$A$2:$A$3000,$A592,$T$2:$T$3000,"&lt;"&amp;$T592)+1,""))</f>
        <v/>
      </c>
      <c r="V592" t="str">
        <f t="shared" si="145"/>
        <v>武汉首创奥莱项目|服务价格</v>
      </c>
      <c r="W592">
        <f t="shared" si="146"/>
        <v>575</v>
      </c>
      <c r="X592" t="str">
        <f t="shared" si="147"/>
        <v>武汉首创奥莱项目|期内租金单价</v>
      </c>
      <c r="Y592">
        <f t="shared" si="148"/>
        <v>583</v>
      </c>
      <c r="Z592">
        <f>IF($A592="",0,IF(AND($M592=1,$A592=经营数据!$B$3,$J592=经营数据!$BA$5,OR($I592=经营数据!$BA$4,COUNTIF(经营数据!$AA$9:$AA$38,$I592)&gt;0)),1,0))</f>
        <v>0</v>
      </c>
      <c r="AA592" t="str">
        <f t="shared" si="149"/>
        <v/>
      </c>
      <c r="AB592" t="str">
        <f t="shared" si="150"/>
        <v/>
      </c>
      <c r="AC592">
        <f>IF($A592="",0,IF(COUNTIF($A$2:$A592,$A592)=1,1,0))</f>
        <v>0</v>
      </c>
      <c r="AD592">
        <f t="shared" si="151"/>
        <v>7</v>
      </c>
      <c r="AE592" t="str">
        <f t="shared" si="152"/>
        <v>武汉首创奥莱项目|期内租金单价（元/平方米/月）</v>
      </c>
      <c r="BP592" s="47">
        <v>46251</v>
      </c>
      <c r="BQ592" s="29">
        <v>4.5764060890666793E-2</v>
      </c>
    </row>
    <row r="593" spans="1:69" x14ac:dyDescent="0.4">
      <c r="A593" t="str">
        <f>IF(原始经营数据!$D594="","",原始经营数据!$D594)</f>
        <v>华夏首创奥特莱斯封闭式基础设施证券投资基金</v>
      </c>
      <c r="B593" t="str">
        <f>IF(原始经营数据!$D594="","",T(原始经营数据!$E594))</f>
        <v>武汉首创奥莱项目</v>
      </c>
      <c r="C593" t="str">
        <f>IF(原始经营数据!$D594="","",原始经营数据!$F594)</f>
        <v>2025Q2</v>
      </c>
      <c r="D593" t="str">
        <f>IF(原始经营数据!$D594="","",原始经营数据!$H594)</f>
        <v>期末剩余租期</v>
      </c>
      <c r="E593">
        <f>IF(原始经营数据!$D594="","",原始经营数据!$I594)</f>
        <v>1.67</v>
      </c>
      <c r="F593" t="str">
        <f>IF(原始经营数据!$D594="","",T(原始经营数据!$J594))</f>
        <v>年</v>
      </c>
      <c r="G593" t="str">
        <f>IF(原始经营数据!$D594="","",T(原始经营数据!$K594))</f>
        <v/>
      </c>
      <c r="H593" t="str">
        <f>IF(原始经营数据!$D594="","",原始经营数据!$G594)</f>
        <v>服务量</v>
      </c>
      <c r="I593" t="str">
        <f>IF($A593="","",IF($B593&lt;&gt;"",$B593,IF(COUNTIFS(原始经营数据!$D$3:$D$3001,$A593,原始经营数据!$E$3:$E$3001,"",原始经营数据!$F$3:$F$3001,$C593,原始经营数据!$H$3:$H$3001,$D593,原始经营数据!$K$3:$K$3001,$G593)&gt;1,"基金整体·来源"&amp;原始经营数据!$A594,"基金整体")))</f>
        <v>武汉首创奥莱项目</v>
      </c>
      <c r="J593" t="str">
        <f t="shared" si="138"/>
        <v>季度</v>
      </c>
      <c r="K593" t="str">
        <f t="shared" si="139"/>
        <v>期末剩余租期（年）</v>
      </c>
      <c r="L593" t="str">
        <f t="shared" si="140"/>
        <v>武汉首创奥莱项目|期末剩余租期（年）|季度</v>
      </c>
      <c r="M593">
        <f>IF($A593="",0,IF(COUNTIF($L$2:$L593,$L593)=1,1,0))</f>
        <v>0</v>
      </c>
      <c r="N593">
        <f t="shared" si="141"/>
        <v>20252</v>
      </c>
      <c r="O593" t="str">
        <f t="shared" si="142"/>
        <v>华夏首创奥特莱斯封闭式基础设施证券投资基金|2025Q2|季度</v>
      </c>
      <c r="P593">
        <f>IF($A593="",0,IF(COUNTIF($O$2:$O593,$O593)=1,1,0))</f>
        <v>0</v>
      </c>
      <c r="Q593" t="str">
        <f>IF(AND($P593=1,$A593=经营数据!$B$3,$J593=经营数据!$BA$5),COUNTIFS($P$2:$P$3000,1,$A$2:$A$3000,$A593,$J$2:$J$3000,$J593,$N$2:$N$3000,"&lt;"&amp;$N593)+1,"")</f>
        <v/>
      </c>
      <c r="R593" t="str">
        <f t="shared" si="143"/>
        <v>华夏首创奥特莱斯封闭式基础设施证券投资基金|武汉首创奥莱项目</v>
      </c>
      <c r="S593">
        <f>IF($A593="",0,IF(COUNTIF($R$2:$R593,$R593)=1,1,0))</f>
        <v>0</v>
      </c>
      <c r="T593">
        <f t="shared" si="144"/>
        <v>574</v>
      </c>
      <c r="U593" t="str">
        <f>IF($A593="","",IF($A593=经营数据!$B$3,COUNTIFS($S$2:$S$3000,1,$A$2:$A$3000,$A593,$T$2:$T$3000,"&lt;"&amp;$T593)+1,""))</f>
        <v/>
      </c>
      <c r="V593" t="str">
        <f t="shared" si="145"/>
        <v>武汉首创奥莱项目|服务量</v>
      </c>
      <c r="W593">
        <f t="shared" si="146"/>
        <v>576</v>
      </c>
      <c r="X593" t="str">
        <f t="shared" si="147"/>
        <v>武汉首创奥莱项目|期末剩余租期</v>
      </c>
      <c r="Y593">
        <f t="shared" si="148"/>
        <v>579</v>
      </c>
      <c r="Z593">
        <f>IF($A593="",0,IF(AND($M593=1,$A593=经营数据!$B$3,$J593=经营数据!$BA$5,OR($I593=经营数据!$BA$4,COUNTIF(经营数据!$AA$9:$AA$38,$I593)&gt;0)),1,0))</f>
        <v>0</v>
      </c>
      <c r="AA593" t="str">
        <f t="shared" si="149"/>
        <v/>
      </c>
      <c r="AB593" t="str">
        <f t="shared" si="150"/>
        <v/>
      </c>
      <c r="AC593">
        <f>IF($A593="",0,IF(COUNTIF($A$2:$A593,$A593)=1,1,0))</f>
        <v>0</v>
      </c>
      <c r="AD593">
        <f t="shared" si="151"/>
        <v>7</v>
      </c>
      <c r="AE593" t="str">
        <f t="shared" si="152"/>
        <v>武汉首创奥莱项目|期末剩余租期（年）</v>
      </c>
      <c r="BP593" s="47">
        <v>46252</v>
      </c>
      <c r="BQ593" s="29">
        <v>4.5467008068552903E-2</v>
      </c>
    </row>
    <row r="594" spans="1:69" x14ac:dyDescent="0.4">
      <c r="A594" t="str">
        <f>IF(原始经营数据!$D595="","",原始经营数据!$D595)</f>
        <v>华夏首创奥特莱斯封闭式基础设施证券投资基金</v>
      </c>
      <c r="B594" t="str">
        <f>IF(原始经营数据!$D595="","",T(原始经营数据!$E595))</f>
        <v>武汉首创奥莱项目</v>
      </c>
      <c r="C594" t="str">
        <f>IF(原始经营数据!$D595="","",原始经营数据!$F595)</f>
        <v>2025Q2</v>
      </c>
      <c r="D594" t="str">
        <f>IF(原始经营数据!$D595="","",原始经营数据!$H595)</f>
        <v>期末租金收缴率</v>
      </c>
      <c r="E594">
        <f>IF(原始经营数据!$D595="","",原始经营数据!$I595)</f>
        <v>100</v>
      </c>
      <c r="F594" t="str">
        <f>IF(原始经营数据!$D595="","",T(原始经营数据!$J595))</f>
        <v>%</v>
      </c>
      <c r="G594" t="str">
        <f>IF(原始经营数据!$D595="","",T(原始经营数据!$K595))</f>
        <v/>
      </c>
      <c r="H594" t="str">
        <f>IF(原始经营数据!$D595="","",原始经营数据!$G595)</f>
        <v>服务效率</v>
      </c>
      <c r="I594" t="str">
        <f>IF($A594="","",IF($B594&lt;&gt;"",$B594,IF(COUNTIFS(原始经营数据!$D$3:$D$3001,$A594,原始经营数据!$E$3:$E$3001,"",原始经营数据!$F$3:$F$3001,$C594,原始经营数据!$H$3:$H$3001,$D594,原始经营数据!$K$3:$K$3001,$G594)&gt;1,"基金整体·来源"&amp;原始经营数据!$A595,"基金整体")))</f>
        <v>武汉首创奥莱项目</v>
      </c>
      <c r="J594" t="str">
        <f t="shared" si="138"/>
        <v>季度</v>
      </c>
      <c r="K594" t="str">
        <f t="shared" si="139"/>
        <v>期末租金收缴率（%）</v>
      </c>
      <c r="L594" t="str">
        <f t="shared" si="140"/>
        <v>武汉首创奥莱项目|期末租金收缴率（%）|季度</v>
      </c>
      <c r="M594">
        <f>IF($A594="",0,IF(COUNTIF($L$2:$L594,$L594)=1,1,0))</f>
        <v>0</v>
      </c>
      <c r="N594">
        <f t="shared" si="141"/>
        <v>20252</v>
      </c>
      <c r="O594" t="str">
        <f t="shared" si="142"/>
        <v>华夏首创奥特莱斯封闭式基础设施证券投资基金|2025Q2|季度</v>
      </c>
      <c r="P594">
        <f>IF($A594="",0,IF(COUNTIF($O$2:$O594,$O594)=1,1,0))</f>
        <v>0</v>
      </c>
      <c r="Q594" t="str">
        <f>IF(AND($P594=1,$A594=经营数据!$B$3,$J594=经营数据!$BA$5),COUNTIFS($P$2:$P$3000,1,$A$2:$A$3000,$A594,$J$2:$J$3000,$J594,$N$2:$N$3000,"&lt;"&amp;$N594)+1,"")</f>
        <v/>
      </c>
      <c r="R594" t="str">
        <f t="shared" si="143"/>
        <v>华夏首创奥特莱斯封闭式基础设施证券投资基金|武汉首创奥莱项目</v>
      </c>
      <c r="S594">
        <f>IF($A594="",0,IF(COUNTIF($R$2:$R594,$R594)=1,1,0))</f>
        <v>0</v>
      </c>
      <c r="T594">
        <f t="shared" si="144"/>
        <v>574</v>
      </c>
      <c r="U594" t="str">
        <f>IF($A594="","",IF($A594=经营数据!$B$3,COUNTIFS($S$2:$S$3000,1,$A$2:$A$3000,$A594,$T$2:$T$3000,"&lt;"&amp;$T594)+1,""))</f>
        <v/>
      </c>
      <c r="V594" t="str">
        <f t="shared" si="145"/>
        <v>武汉首创奥莱项目|服务效率</v>
      </c>
      <c r="W594">
        <f t="shared" si="146"/>
        <v>574</v>
      </c>
      <c r="X594" t="str">
        <f t="shared" si="147"/>
        <v>武汉首创奥莱项目|期末租金收缴率</v>
      </c>
      <c r="Y594">
        <f t="shared" si="148"/>
        <v>574</v>
      </c>
      <c r="Z594">
        <f>IF($A594="",0,IF(AND($M594=1,$A594=经营数据!$B$3,$J594=经营数据!$BA$5,OR($I594=经营数据!$BA$4,COUNTIF(经营数据!$AA$9:$AA$38,$I594)&gt;0)),1,0))</f>
        <v>0</v>
      </c>
      <c r="AA594" t="str">
        <f t="shared" si="149"/>
        <v/>
      </c>
      <c r="AB594" t="str">
        <f t="shared" si="150"/>
        <v/>
      </c>
      <c r="AC594">
        <f>IF($A594="",0,IF(COUNTIF($A$2:$A594,$A594)=1,1,0))</f>
        <v>0</v>
      </c>
      <c r="AD594">
        <f t="shared" si="151"/>
        <v>7</v>
      </c>
      <c r="AE594" t="str">
        <f t="shared" si="152"/>
        <v>武汉首创奥莱项目|期末租金收缴率（%）</v>
      </c>
      <c r="BP594" s="47">
        <v>46253</v>
      </c>
      <c r="BQ594" s="29">
        <v>4.5121027739516331E-2</v>
      </c>
    </row>
    <row r="595" spans="1:69" x14ac:dyDescent="0.4">
      <c r="A595" t="str">
        <f>IF(原始经营数据!$D596="","",原始经营数据!$D596)</f>
        <v>华夏首创奥特莱斯封闭式基础设施证券投资基金</v>
      </c>
      <c r="B595" t="str">
        <f>IF(原始经营数据!$D596="","",T(原始经营数据!$E596))</f>
        <v>武汉首创奥莱项目</v>
      </c>
      <c r="C595" t="str">
        <f>IF(原始经营数据!$D596="","",原始经营数据!$F596)</f>
        <v>2025Q3</v>
      </c>
      <c r="D595" t="str">
        <f>IF(原始经营数据!$D596="","",原始经营数据!$H596)</f>
        <v>期内租金单价水平</v>
      </c>
      <c r="E595">
        <f>IF(原始经营数据!$D596="","",原始经营数据!$I596)</f>
        <v>113.39</v>
      </c>
      <c r="F595" t="str">
        <f>IF(原始经营数据!$D596="","",T(原始经营数据!$J596))</f>
        <v>元/平方米/月</v>
      </c>
      <c r="G595" t="str">
        <f>IF(原始经营数据!$D596="","",T(原始经营数据!$K596))</f>
        <v/>
      </c>
      <c r="H595" t="str">
        <f>IF(原始经营数据!$D596="","",原始经营数据!$G596)</f>
        <v>服务价格</v>
      </c>
      <c r="I595" t="str">
        <f>IF($A595="","",IF($B595&lt;&gt;"",$B595,IF(COUNTIFS(原始经营数据!$D$3:$D$3001,$A595,原始经营数据!$E$3:$E$3001,"",原始经营数据!$F$3:$F$3001,$C595,原始经营数据!$H$3:$H$3001,$D595,原始经营数据!$K$3:$K$3001,$G595)&gt;1,"基金整体·来源"&amp;原始经营数据!$A596,"基金整体")))</f>
        <v>武汉首创奥莱项目</v>
      </c>
      <c r="J595" t="str">
        <f t="shared" si="138"/>
        <v>季度</v>
      </c>
      <c r="K595" t="str">
        <f t="shared" si="139"/>
        <v>期内租金单价水平（元/平方米/月）</v>
      </c>
      <c r="L595" t="str">
        <f t="shared" si="140"/>
        <v>武汉首创奥莱项目|期内租金单价水平（元/平方米/月）|季度</v>
      </c>
      <c r="M595">
        <f>IF($A595="",0,IF(COUNTIF($L$2:$L595,$L595)=1,1,0))</f>
        <v>0</v>
      </c>
      <c r="N595">
        <f t="shared" si="141"/>
        <v>20253</v>
      </c>
      <c r="O595" t="str">
        <f t="shared" si="142"/>
        <v>华夏首创奥特莱斯封闭式基础设施证券投资基金|2025Q3|季度</v>
      </c>
      <c r="P595">
        <f>IF($A595="",0,IF(COUNTIF($O$2:$O595,$O595)=1,1,0))</f>
        <v>0</v>
      </c>
      <c r="Q595" t="str">
        <f>IF(AND($P595=1,$A595=经营数据!$B$3,$J595=经营数据!$BA$5),COUNTIFS($P$2:$P$3000,1,$A$2:$A$3000,$A595,$J$2:$J$3000,$J595,$N$2:$N$3000,"&lt;"&amp;$N595)+1,"")</f>
        <v/>
      </c>
      <c r="R595" t="str">
        <f t="shared" si="143"/>
        <v>华夏首创奥特莱斯封闭式基础设施证券投资基金|武汉首创奥莱项目</v>
      </c>
      <c r="S595">
        <f>IF($A595="",0,IF(COUNTIF($R$2:$R595,$R595)=1,1,0))</f>
        <v>0</v>
      </c>
      <c r="T595">
        <f t="shared" si="144"/>
        <v>574</v>
      </c>
      <c r="U595" t="str">
        <f>IF($A595="","",IF($A595=经营数据!$B$3,COUNTIFS($S$2:$S$3000,1,$A$2:$A$3000,$A595,$T$2:$T$3000,"&lt;"&amp;$T595)+1,""))</f>
        <v/>
      </c>
      <c r="V595" t="str">
        <f t="shared" si="145"/>
        <v>武汉首创奥莱项目|服务价格</v>
      </c>
      <c r="W595">
        <f t="shared" si="146"/>
        <v>575</v>
      </c>
      <c r="X595" t="str">
        <f t="shared" si="147"/>
        <v>武汉首创奥莱项目|期内租金单价水平</v>
      </c>
      <c r="Y595">
        <f t="shared" si="148"/>
        <v>575</v>
      </c>
      <c r="Z595">
        <f>IF($A595="",0,IF(AND($M595=1,$A595=经营数据!$B$3,$J595=经营数据!$BA$5,OR($I595=经营数据!$BA$4,COUNTIF(经营数据!$AA$9:$AA$38,$I595)&gt;0)),1,0))</f>
        <v>0</v>
      </c>
      <c r="AA595" t="str">
        <f t="shared" si="149"/>
        <v/>
      </c>
      <c r="AB595" t="str">
        <f t="shared" si="150"/>
        <v/>
      </c>
      <c r="AC595">
        <f>IF($A595="",0,IF(COUNTIF($A$2:$A595,$A595)=1,1,0))</f>
        <v>0</v>
      </c>
      <c r="AD595">
        <f t="shared" si="151"/>
        <v>7</v>
      </c>
      <c r="AE595" t="str">
        <f t="shared" si="152"/>
        <v>武汉首创奥莱项目|期内租金单价水平（元/平方米/月）</v>
      </c>
      <c r="BP595" s="47">
        <v>46254</v>
      </c>
      <c r="BQ595" s="29">
        <v>4.4805130683081722E-2</v>
      </c>
    </row>
    <row r="596" spans="1:69" x14ac:dyDescent="0.4">
      <c r="A596" t="str">
        <f>IF(原始经营数据!$D597="","",原始经营数据!$D597)</f>
        <v>华夏首创奥特莱斯封闭式基础设施证券投资基金</v>
      </c>
      <c r="B596" t="str">
        <f>IF(原始经营数据!$D597="","",T(原始经营数据!$E597))</f>
        <v>武汉首创奥莱项目</v>
      </c>
      <c r="C596" t="str">
        <f>IF(原始经营数据!$D597="","",原始经营数据!$F597)</f>
        <v>2025Q3</v>
      </c>
      <c r="D596" t="str">
        <f>IF(原始经营数据!$D597="","",原始经营数据!$H597)</f>
        <v>期末可供出租面积</v>
      </c>
      <c r="E596">
        <f>IF(原始经营数据!$D597="","",原始经营数据!$I597)</f>
        <v>47325.34</v>
      </c>
      <c r="F596" t="str">
        <f>IF(原始经营数据!$D597="","",T(原始经营数据!$J597))</f>
        <v>平方米</v>
      </c>
      <c r="G596" t="str">
        <f>IF(原始经营数据!$D597="","",T(原始经营数据!$K597))</f>
        <v/>
      </c>
      <c r="H596" t="str">
        <f>IF(原始经营数据!$D597="","",原始经营数据!$G597)</f>
        <v>服务量</v>
      </c>
      <c r="I596" t="str">
        <f>IF($A596="","",IF($B596&lt;&gt;"",$B596,IF(COUNTIFS(原始经营数据!$D$3:$D$3001,$A596,原始经营数据!$E$3:$E$3001,"",原始经营数据!$F$3:$F$3001,$C596,原始经营数据!$H$3:$H$3001,$D596,原始经营数据!$K$3:$K$3001,$G596)&gt;1,"基金整体·来源"&amp;原始经营数据!$A597,"基金整体")))</f>
        <v>武汉首创奥莱项目</v>
      </c>
      <c r="J596" t="str">
        <f t="shared" si="138"/>
        <v>季度</v>
      </c>
      <c r="K596" t="str">
        <f t="shared" si="139"/>
        <v>期末可供出租面积（平方米）</v>
      </c>
      <c r="L596" t="str">
        <f t="shared" si="140"/>
        <v>武汉首创奥莱项目|期末可供出租面积（平方米）|季度</v>
      </c>
      <c r="M596">
        <f>IF($A596="",0,IF(COUNTIF($L$2:$L596,$L596)=1,1,0))</f>
        <v>0</v>
      </c>
      <c r="N596">
        <f t="shared" si="141"/>
        <v>20253</v>
      </c>
      <c r="O596" t="str">
        <f t="shared" si="142"/>
        <v>华夏首创奥特莱斯封闭式基础设施证券投资基金|2025Q3|季度</v>
      </c>
      <c r="P596">
        <f>IF($A596="",0,IF(COUNTIF($O$2:$O596,$O596)=1,1,0))</f>
        <v>0</v>
      </c>
      <c r="Q596" t="str">
        <f>IF(AND($P596=1,$A596=经营数据!$B$3,$J596=经营数据!$BA$5),COUNTIFS($P$2:$P$3000,1,$A$2:$A$3000,$A596,$J$2:$J$3000,$J596,$N$2:$N$3000,"&lt;"&amp;$N596)+1,"")</f>
        <v/>
      </c>
      <c r="R596" t="str">
        <f t="shared" si="143"/>
        <v>华夏首创奥特莱斯封闭式基础设施证券投资基金|武汉首创奥莱项目</v>
      </c>
      <c r="S596">
        <f>IF($A596="",0,IF(COUNTIF($R$2:$R596,$R596)=1,1,0))</f>
        <v>0</v>
      </c>
      <c r="T596">
        <f t="shared" si="144"/>
        <v>574</v>
      </c>
      <c r="U596" t="str">
        <f>IF($A596="","",IF($A596=经营数据!$B$3,COUNTIFS($S$2:$S$3000,1,$A$2:$A$3000,$A596,$T$2:$T$3000,"&lt;"&amp;$T596)+1,""))</f>
        <v/>
      </c>
      <c r="V596" t="str">
        <f t="shared" si="145"/>
        <v>武汉首创奥莱项目|服务量</v>
      </c>
      <c r="W596">
        <f t="shared" si="146"/>
        <v>576</v>
      </c>
      <c r="X596" t="str">
        <f t="shared" si="147"/>
        <v>武汉首创奥莱项目|期末可供出租面积</v>
      </c>
      <c r="Y596">
        <f t="shared" si="148"/>
        <v>576</v>
      </c>
      <c r="Z596">
        <f>IF($A596="",0,IF(AND($M596=1,$A596=经营数据!$B$3,$J596=经营数据!$BA$5,OR($I596=经营数据!$BA$4,COUNTIF(经营数据!$AA$9:$AA$38,$I596)&gt;0)),1,0))</f>
        <v>0</v>
      </c>
      <c r="AA596" t="str">
        <f t="shared" si="149"/>
        <v/>
      </c>
      <c r="AB596" t="str">
        <f t="shared" si="150"/>
        <v/>
      </c>
      <c r="AC596">
        <f>IF($A596="",0,IF(COUNTIF($A$2:$A596,$A596)=1,1,0))</f>
        <v>0</v>
      </c>
      <c r="AD596">
        <f t="shared" si="151"/>
        <v>7</v>
      </c>
      <c r="AE596" t="str">
        <f t="shared" si="152"/>
        <v>武汉首创奥莱项目|期末可供出租面积（平方米）</v>
      </c>
      <c r="BP596" s="47">
        <v>46255</v>
      </c>
      <c r="BQ596" s="29">
        <v>4.4865362005702139E-2</v>
      </c>
    </row>
    <row r="597" spans="1:69" x14ac:dyDescent="0.4">
      <c r="A597" t="str">
        <f>IF(原始经营数据!$D598="","",原始经营数据!$D598)</f>
        <v>华夏首创奥特莱斯封闭式基础设施证券投资基金</v>
      </c>
      <c r="B597" t="str">
        <f>IF(原始经营数据!$D598="","",T(原始经营数据!$E598))</f>
        <v>武汉首创奥莱项目</v>
      </c>
      <c r="C597" t="str">
        <f>IF(原始经营数据!$D598="","",原始经营数据!$F598)</f>
        <v>2025Q3</v>
      </c>
      <c r="D597" t="str">
        <f>IF(原始经营数据!$D598="","",原始经营数据!$H598)</f>
        <v>期末实际出租面积</v>
      </c>
      <c r="E597">
        <f>IF(原始经营数据!$D598="","",原始经营数据!$I598)</f>
        <v>46798.42</v>
      </c>
      <c r="F597" t="str">
        <f>IF(原始经营数据!$D598="","",T(原始经营数据!$J598))</f>
        <v>平方米</v>
      </c>
      <c r="G597" t="str">
        <f>IF(原始经营数据!$D598="","",T(原始经营数据!$K598))</f>
        <v/>
      </c>
      <c r="H597" t="str">
        <f>IF(原始经营数据!$D598="","",原始经营数据!$G598)</f>
        <v>服务量</v>
      </c>
      <c r="I597" t="str">
        <f>IF($A597="","",IF($B597&lt;&gt;"",$B597,IF(COUNTIFS(原始经营数据!$D$3:$D$3001,$A597,原始经营数据!$E$3:$E$3001,"",原始经营数据!$F$3:$F$3001,$C597,原始经营数据!$H$3:$H$3001,$D597,原始经营数据!$K$3:$K$3001,$G597)&gt;1,"基金整体·来源"&amp;原始经营数据!$A598,"基金整体")))</f>
        <v>武汉首创奥莱项目</v>
      </c>
      <c r="J597" t="str">
        <f t="shared" si="138"/>
        <v>季度</v>
      </c>
      <c r="K597" t="str">
        <f t="shared" si="139"/>
        <v>期末实际出租面积（平方米）</v>
      </c>
      <c r="L597" t="str">
        <f t="shared" si="140"/>
        <v>武汉首创奥莱项目|期末实际出租面积（平方米）|季度</v>
      </c>
      <c r="M597">
        <f>IF($A597="",0,IF(COUNTIF($L$2:$L597,$L597)=1,1,0))</f>
        <v>0</v>
      </c>
      <c r="N597">
        <f t="shared" si="141"/>
        <v>20253</v>
      </c>
      <c r="O597" t="str">
        <f t="shared" si="142"/>
        <v>华夏首创奥特莱斯封闭式基础设施证券投资基金|2025Q3|季度</v>
      </c>
      <c r="P597">
        <f>IF($A597="",0,IF(COUNTIF($O$2:$O597,$O597)=1,1,0))</f>
        <v>0</v>
      </c>
      <c r="Q597" t="str">
        <f>IF(AND($P597=1,$A597=经营数据!$B$3,$J597=经营数据!$BA$5),COUNTIFS($P$2:$P$3000,1,$A$2:$A$3000,$A597,$J$2:$J$3000,$J597,$N$2:$N$3000,"&lt;"&amp;$N597)+1,"")</f>
        <v/>
      </c>
      <c r="R597" t="str">
        <f t="shared" si="143"/>
        <v>华夏首创奥特莱斯封闭式基础设施证券投资基金|武汉首创奥莱项目</v>
      </c>
      <c r="S597">
        <f>IF($A597="",0,IF(COUNTIF($R$2:$R597,$R597)=1,1,0))</f>
        <v>0</v>
      </c>
      <c r="T597">
        <f t="shared" si="144"/>
        <v>574</v>
      </c>
      <c r="U597" t="str">
        <f>IF($A597="","",IF($A597=经营数据!$B$3,COUNTIFS($S$2:$S$3000,1,$A$2:$A$3000,$A597,$T$2:$T$3000,"&lt;"&amp;$T597)+1,""))</f>
        <v/>
      </c>
      <c r="V597" t="str">
        <f t="shared" si="145"/>
        <v>武汉首创奥莱项目|服务量</v>
      </c>
      <c r="W597">
        <f t="shared" si="146"/>
        <v>576</v>
      </c>
      <c r="X597" t="str">
        <f t="shared" si="147"/>
        <v>武汉首创奥莱项目|期末实际出租面积</v>
      </c>
      <c r="Y597">
        <f t="shared" si="148"/>
        <v>577</v>
      </c>
      <c r="Z597">
        <f>IF($A597="",0,IF(AND($M597=1,$A597=经营数据!$B$3,$J597=经营数据!$BA$5,OR($I597=经营数据!$BA$4,COUNTIF(经营数据!$AA$9:$AA$38,$I597)&gt;0)),1,0))</f>
        <v>0</v>
      </c>
      <c r="AA597" t="str">
        <f t="shared" si="149"/>
        <v/>
      </c>
      <c r="AB597" t="str">
        <f t="shared" si="150"/>
        <v/>
      </c>
      <c r="AC597">
        <f>IF($A597="",0,IF(COUNTIF($A$2:$A597,$A597)=1,1,0))</f>
        <v>0</v>
      </c>
      <c r="AD597">
        <f t="shared" si="151"/>
        <v>7</v>
      </c>
      <c r="AE597" t="str">
        <f t="shared" si="152"/>
        <v>武汉首创奥莱项目|期末实际出租面积（平方米）</v>
      </c>
      <c r="BP597" s="47">
        <v>46258</v>
      </c>
      <c r="BQ597" s="29">
        <v>4.490383830521473E-2</v>
      </c>
    </row>
    <row r="598" spans="1:69" x14ac:dyDescent="0.4">
      <c r="A598" t="str">
        <f>IF(原始经营数据!$D599="","",原始经营数据!$D599)</f>
        <v>华夏首创奥特莱斯封闭式基础设施证券投资基金</v>
      </c>
      <c r="B598" t="str">
        <f>IF(原始经营数据!$D599="","",T(原始经营数据!$E599))</f>
        <v>武汉首创奥莱项目</v>
      </c>
      <c r="C598" t="str">
        <f>IF(原始经营数据!$D599="","",原始经营数据!$F599)</f>
        <v>2025Q3</v>
      </c>
      <c r="D598" t="str">
        <f>IF(原始经营数据!$D599="","",原始经营数据!$H599)</f>
        <v>期末出租率</v>
      </c>
      <c r="E598">
        <f>IF(原始经营数据!$D599="","",原始经营数据!$I599)</f>
        <v>98.89</v>
      </c>
      <c r="F598" t="str">
        <f>IF(原始经营数据!$D599="","",T(原始经营数据!$J599))</f>
        <v>%</v>
      </c>
      <c r="G598" t="str">
        <f>IF(原始经营数据!$D599="","",T(原始经营数据!$K599))</f>
        <v/>
      </c>
      <c r="H598" t="str">
        <f>IF(原始经营数据!$D599="","",原始经营数据!$G599)</f>
        <v>服务效率</v>
      </c>
      <c r="I598" t="str">
        <f>IF($A598="","",IF($B598&lt;&gt;"",$B598,IF(COUNTIFS(原始经营数据!$D$3:$D$3001,$A598,原始经营数据!$E$3:$E$3001,"",原始经营数据!$F$3:$F$3001,$C598,原始经营数据!$H$3:$H$3001,$D598,原始经营数据!$K$3:$K$3001,$G598)&gt;1,"基金整体·来源"&amp;原始经营数据!$A599,"基金整体")))</f>
        <v>武汉首创奥莱项目</v>
      </c>
      <c r="J598" t="str">
        <f t="shared" si="138"/>
        <v>季度</v>
      </c>
      <c r="K598" t="str">
        <f t="shared" si="139"/>
        <v>期末出租率（%）</v>
      </c>
      <c r="L598" t="str">
        <f t="shared" si="140"/>
        <v>武汉首创奥莱项目|期末出租率（%）|季度</v>
      </c>
      <c r="M598">
        <f>IF($A598="",0,IF(COUNTIF($L$2:$L598,$L598)=1,1,0))</f>
        <v>0</v>
      </c>
      <c r="N598">
        <f t="shared" si="141"/>
        <v>20253</v>
      </c>
      <c r="O598" t="str">
        <f t="shared" si="142"/>
        <v>华夏首创奥特莱斯封闭式基础设施证券投资基金|2025Q3|季度</v>
      </c>
      <c r="P598">
        <f>IF($A598="",0,IF(COUNTIF($O$2:$O598,$O598)=1,1,0))</f>
        <v>0</v>
      </c>
      <c r="Q598" t="str">
        <f>IF(AND($P598=1,$A598=经营数据!$B$3,$J598=经营数据!$BA$5),COUNTIFS($P$2:$P$3000,1,$A$2:$A$3000,$A598,$J$2:$J$3000,$J598,$N$2:$N$3000,"&lt;"&amp;$N598)+1,"")</f>
        <v/>
      </c>
      <c r="R598" t="str">
        <f t="shared" si="143"/>
        <v>华夏首创奥特莱斯封闭式基础设施证券投资基金|武汉首创奥莱项目</v>
      </c>
      <c r="S598">
        <f>IF($A598="",0,IF(COUNTIF($R$2:$R598,$R598)=1,1,0))</f>
        <v>0</v>
      </c>
      <c r="T598">
        <f t="shared" si="144"/>
        <v>574</v>
      </c>
      <c r="U598" t="str">
        <f>IF($A598="","",IF($A598=经营数据!$B$3,COUNTIFS($S$2:$S$3000,1,$A$2:$A$3000,$A598,$T$2:$T$3000,"&lt;"&amp;$T598)+1,""))</f>
        <v/>
      </c>
      <c r="V598" t="str">
        <f t="shared" si="145"/>
        <v>武汉首创奥莱项目|服务效率</v>
      </c>
      <c r="W598">
        <f t="shared" si="146"/>
        <v>574</v>
      </c>
      <c r="X598" t="str">
        <f t="shared" si="147"/>
        <v>武汉首创奥莱项目|期末出租率</v>
      </c>
      <c r="Y598">
        <f t="shared" si="148"/>
        <v>578</v>
      </c>
      <c r="Z598">
        <f>IF($A598="",0,IF(AND($M598=1,$A598=经营数据!$B$3,$J598=经营数据!$BA$5,OR($I598=经营数据!$BA$4,COUNTIF(经营数据!$AA$9:$AA$38,$I598)&gt;0)),1,0))</f>
        <v>0</v>
      </c>
      <c r="AA598" t="str">
        <f t="shared" si="149"/>
        <v/>
      </c>
      <c r="AB598" t="str">
        <f t="shared" si="150"/>
        <v/>
      </c>
      <c r="AC598">
        <f>IF($A598="",0,IF(COUNTIF($A$2:$A598,$A598)=1,1,0))</f>
        <v>0</v>
      </c>
      <c r="AD598">
        <f t="shared" si="151"/>
        <v>7</v>
      </c>
      <c r="AE598" t="str">
        <f t="shared" si="152"/>
        <v>武汉首创奥莱项目|期末出租率（%）</v>
      </c>
      <c r="BP598" s="47">
        <v>46259</v>
      </c>
      <c r="BQ598" s="29">
        <v>4.479105408263797E-2</v>
      </c>
    </row>
    <row r="599" spans="1:69" x14ac:dyDescent="0.4">
      <c r="A599" t="str">
        <f>IF(原始经营数据!$D600="","",原始经营数据!$D600)</f>
        <v>华夏首创奥特莱斯封闭式基础设施证券投资基金</v>
      </c>
      <c r="B599" t="str">
        <f>IF(原始经营数据!$D600="","",T(原始经营数据!$E600))</f>
        <v>武汉首创奥莱项目</v>
      </c>
      <c r="C599" t="str">
        <f>IF(原始经营数据!$D600="","",原始经营数据!$F600)</f>
        <v>2025Q3</v>
      </c>
      <c r="D599" t="str">
        <f>IF(原始经营数据!$D600="","",原始经营数据!$H600)</f>
        <v>期内租金单价</v>
      </c>
      <c r="E599">
        <f>IF(原始经营数据!$D600="","",原始经营数据!$I600)</f>
        <v>113.39</v>
      </c>
      <c r="F599" t="str">
        <f>IF(原始经营数据!$D600="","",T(原始经营数据!$J600))</f>
        <v>元/平方米/月</v>
      </c>
      <c r="G599" t="str">
        <f>IF(原始经营数据!$D600="","",T(原始经营数据!$K600))</f>
        <v/>
      </c>
      <c r="H599" t="str">
        <f>IF(原始经营数据!$D600="","",原始经营数据!$G600)</f>
        <v>服务价格</v>
      </c>
      <c r="I599" t="str">
        <f>IF($A599="","",IF($B599&lt;&gt;"",$B599,IF(COUNTIFS(原始经营数据!$D$3:$D$3001,$A599,原始经营数据!$E$3:$E$3001,"",原始经营数据!$F$3:$F$3001,$C599,原始经营数据!$H$3:$H$3001,$D599,原始经营数据!$K$3:$K$3001,$G599)&gt;1,"基金整体·来源"&amp;原始经营数据!$A600,"基金整体")))</f>
        <v>武汉首创奥莱项目</v>
      </c>
      <c r="J599" t="str">
        <f t="shared" si="138"/>
        <v>季度</v>
      </c>
      <c r="K599" t="str">
        <f t="shared" si="139"/>
        <v>期内租金单价（元/平方米/月）</v>
      </c>
      <c r="L599" t="str">
        <f t="shared" si="140"/>
        <v>武汉首创奥莱项目|期内租金单价（元/平方米/月）|季度</v>
      </c>
      <c r="M599">
        <f>IF($A599="",0,IF(COUNTIF($L$2:$L599,$L599)=1,1,0))</f>
        <v>0</v>
      </c>
      <c r="N599">
        <f t="shared" si="141"/>
        <v>20253</v>
      </c>
      <c r="O599" t="str">
        <f t="shared" si="142"/>
        <v>华夏首创奥特莱斯封闭式基础设施证券投资基金|2025Q3|季度</v>
      </c>
      <c r="P599">
        <f>IF($A599="",0,IF(COUNTIF($O$2:$O599,$O599)=1,1,0))</f>
        <v>0</v>
      </c>
      <c r="Q599" t="str">
        <f>IF(AND($P599=1,$A599=经营数据!$B$3,$J599=经营数据!$BA$5),COUNTIFS($P$2:$P$3000,1,$A$2:$A$3000,$A599,$J$2:$J$3000,$J599,$N$2:$N$3000,"&lt;"&amp;$N599)+1,"")</f>
        <v/>
      </c>
      <c r="R599" t="str">
        <f t="shared" si="143"/>
        <v>华夏首创奥特莱斯封闭式基础设施证券投资基金|武汉首创奥莱项目</v>
      </c>
      <c r="S599">
        <f>IF($A599="",0,IF(COUNTIF($R$2:$R599,$R599)=1,1,0))</f>
        <v>0</v>
      </c>
      <c r="T599">
        <f t="shared" si="144"/>
        <v>574</v>
      </c>
      <c r="U599" t="str">
        <f>IF($A599="","",IF($A599=经营数据!$B$3,COUNTIFS($S$2:$S$3000,1,$A$2:$A$3000,$A599,$T$2:$T$3000,"&lt;"&amp;$T599)+1,""))</f>
        <v/>
      </c>
      <c r="V599" t="str">
        <f t="shared" si="145"/>
        <v>武汉首创奥莱项目|服务价格</v>
      </c>
      <c r="W599">
        <f t="shared" si="146"/>
        <v>575</v>
      </c>
      <c r="X599" t="str">
        <f t="shared" si="147"/>
        <v>武汉首创奥莱项目|期内租金单价</v>
      </c>
      <c r="Y599">
        <f t="shared" si="148"/>
        <v>583</v>
      </c>
      <c r="Z599">
        <f>IF($A599="",0,IF(AND($M599=1,$A599=经营数据!$B$3,$J599=经营数据!$BA$5,OR($I599=经营数据!$BA$4,COUNTIF(经营数据!$AA$9:$AA$38,$I599)&gt;0)),1,0))</f>
        <v>0</v>
      </c>
      <c r="AA599" t="str">
        <f t="shared" si="149"/>
        <v/>
      </c>
      <c r="AB599" t="str">
        <f t="shared" si="150"/>
        <v/>
      </c>
      <c r="AC599">
        <f>IF($A599="",0,IF(COUNTIF($A$2:$A599,$A599)=1,1,0))</f>
        <v>0</v>
      </c>
      <c r="AD599">
        <f t="shared" si="151"/>
        <v>7</v>
      </c>
      <c r="AE599" t="str">
        <f t="shared" si="152"/>
        <v>武汉首创奥莱项目|期内租金单价（元/平方米/月）</v>
      </c>
      <c r="BP599" s="47">
        <v>46260</v>
      </c>
      <c r="BQ599" s="29">
        <v>4.4277039045879742E-2</v>
      </c>
    </row>
    <row r="600" spans="1:69" x14ac:dyDescent="0.4">
      <c r="A600" t="str">
        <f>IF(原始经营数据!$D601="","",原始经营数据!$D601)</f>
        <v>华夏首创奥特莱斯封闭式基础设施证券投资基金</v>
      </c>
      <c r="B600" t="str">
        <f>IF(原始经营数据!$D601="","",T(原始经营数据!$E601))</f>
        <v>武汉首创奥莱项目</v>
      </c>
      <c r="C600" t="str">
        <f>IF(原始经营数据!$D601="","",原始经营数据!$F601)</f>
        <v>2025Q3</v>
      </c>
      <c r="D600" t="str">
        <f>IF(原始经营数据!$D601="","",原始经营数据!$H601)</f>
        <v>期末剩余租期</v>
      </c>
      <c r="E600">
        <f>IF(原始经营数据!$D601="","",原始经营数据!$I601)</f>
        <v>1.72</v>
      </c>
      <c r="F600" t="str">
        <f>IF(原始经营数据!$D601="","",T(原始经营数据!$J601))</f>
        <v>年</v>
      </c>
      <c r="G600" t="str">
        <f>IF(原始经营数据!$D601="","",T(原始经营数据!$K601))</f>
        <v/>
      </c>
      <c r="H600" t="str">
        <f>IF(原始经营数据!$D601="","",原始经营数据!$G601)</f>
        <v>服务量</v>
      </c>
      <c r="I600" t="str">
        <f>IF($A600="","",IF($B600&lt;&gt;"",$B600,IF(COUNTIFS(原始经营数据!$D$3:$D$3001,$A600,原始经营数据!$E$3:$E$3001,"",原始经营数据!$F$3:$F$3001,$C600,原始经营数据!$H$3:$H$3001,$D600,原始经营数据!$K$3:$K$3001,$G600)&gt;1,"基金整体·来源"&amp;原始经营数据!$A601,"基金整体")))</f>
        <v>武汉首创奥莱项目</v>
      </c>
      <c r="J600" t="str">
        <f t="shared" si="138"/>
        <v>季度</v>
      </c>
      <c r="K600" t="str">
        <f t="shared" si="139"/>
        <v>期末剩余租期（年）</v>
      </c>
      <c r="L600" t="str">
        <f t="shared" si="140"/>
        <v>武汉首创奥莱项目|期末剩余租期（年）|季度</v>
      </c>
      <c r="M600">
        <f>IF($A600="",0,IF(COUNTIF($L$2:$L600,$L600)=1,1,0))</f>
        <v>0</v>
      </c>
      <c r="N600">
        <f t="shared" si="141"/>
        <v>20253</v>
      </c>
      <c r="O600" t="str">
        <f t="shared" si="142"/>
        <v>华夏首创奥特莱斯封闭式基础设施证券投资基金|2025Q3|季度</v>
      </c>
      <c r="P600">
        <f>IF($A600="",0,IF(COUNTIF($O$2:$O600,$O600)=1,1,0))</f>
        <v>0</v>
      </c>
      <c r="Q600" t="str">
        <f>IF(AND($P600=1,$A600=经营数据!$B$3,$J600=经营数据!$BA$5),COUNTIFS($P$2:$P$3000,1,$A$2:$A$3000,$A600,$J$2:$J$3000,$J600,$N$2:$N$3000,"&lt;"&amp;$N600)+1,"")</f>
        <v/>
      </c>
      <c r="R600" t="str">
        <f t="shared" si="143"/>
        <v>华夏首创奥特莱斯封闭式基础设施证券投资基金|武汉首创奥莱项目</v>
      </c>
      <c r="S600">
        <f>IF($A600="",0,IF(COUNTIF($R$2:$R600,$R600)=1,1,0))</f>
        <v>0</v>
      </c>
      <c r="T600">
        <f t="shared" si="144"/>
        <v>574</v>
      </c>
      <c r="U600" t="str">
        <f>IF($A600="","",IF($A600=经营数据!$B$3,COUNTIFS($S$2:$S$3000,1,$A$2:$A$3000,$A600,$T$2:$T$3000,"&lt;"&amp;$T600)+1,""))</f>
        <v/>
      </c>
      <c r="V600" t="str">
        <f t="shared" si="145"/>
        <v>武汉首创奥莱项目|服务量</v>
      </c>
      <c r="W600">
        <f t="shared" si="146"/>
        <v>576</v>
      </c>
      <c r="X600" t="str">
        <f t="shared" si="147"/>
        <v>武汉首创奥莱项目|期末剩余租期</v>
      </c>
      <c r="Y600">
        <f t="shared" si="148"/>
        <v>579</v>
      </c>
      <c r="Z600">
        <f>IF($A600="",0,IF(AND($M600=1,$A600=经营数据!$B$3,$J600=经营数据!$BA$5,OR($I600=经营数据!$BA$4,COUNTIF(经营数据!$AA$9:$AA$38,$I600)&gt;0)),1,0))</f>
        <v>0</v>
      </c>
      <c r="AA600" t="str">
        <f t="shared" si="149"/>
        <v/>
      </c>
      <c r="AB600" t="str">
        <f t="shared" si="150"/>
        <v/>
      </c>
      <c r="AC600">
        <f>IF($A600="",0,IF(COUNTIF($A$2:$A600,$A600)=1,1,0))</f>
        <v>0</v>
      </c>
      <c r="AD600">
        <f t="shared" si="151"/>
        <v>7</v>
      </c>
      <c r="AE600" t="str">
        <f t="shared" si="152"/>
        <v>武汉首创奥莱项目|期末剩余租期（年）</v>
      </c>
      <c r="BP600" s="47">
        <v>46261</v>
      </c>
      <c r="BQ600" s="29">
        <v>4.4295206852870313E-2</v>
      </c>
    </row>
    <row r="601" spans="1:69" x14ac:dyDescent="0.4">
      <c r="A601" t="str">
        <f>IF(原始经营数据!$D602="","",原始经营数据!$D602)</f>
        <v>华夏首创奥特莱斯封闭式基础设施证券投资基金</v>
      </c>
      <c r="B601" t="str">
        <f>IF(原始经营数据!$D602="","",T(原始经营数据!$E602))</f>
        <v>武汉首创奥莱项目</v>
      </c>
      <c r="C601" t="str">
        <f>IF(原始经营数据!$D602="","",原始经营数据!$F602)</f>
        <v>2025Q3</v>
      </c>
      <c r="D601" t="str">
        <f>IF(原始经营数据!$D602="","",原始经营数据!$H602)</f>
        <v>期末租金收缴率</v>
      </c>
      <c r="E601">
        <f>IF(原始经营数据!$D602="","",原始经营数据!$I602)</f>
        <v>100</v>
      </c>
      <c r="F601" t="str">
        <f>IF(原始经营数据!$D602="","",T(原始经营数据!$J602))</f>
        <v>%</v>
      </c>
      <c r="G601" t="str">
        <f>IF(原始经营数据!$D602="","",T(原始经营数据!$K602))</f>
        <v/>
      </c>
      <c r="H601" t="str">
        <f>IF(原始经营数据!$D602="","",原始经营数据!$G602)</f>
        <v>服务效率</v>
      </c>
      <c r="I601" t="str">
        <f>IF($A601="","",IF($B601&lt;&gt;"",$B601,IF(COUNTIFS(原始经营数据!$D$3:$D$3001,$A601,原始经营数据!$E$3:$E$3001,"",原始经营数据!$F$3:$F$3001,$C601,原始经营数据!$H$3:$H$3001,$D601,原始经营数据!$K$3:$K$3001,$G601)&gt;1,"基金整体·来源"&amp;原始经营数据!$A602,"基金整体")))</f>
        <v>武汉首创奥莱项目</v>
      </c>
      <c r="J601" t="str">
        <f t="shared" si="138"/>
        <v>季度</v>
      </c>
      <c r="K601" t="str">
        <f t="shared" si="139"/>
        <v>期末租金收缴率（%）</v>
      </c>
      <c r="L601" t="str">
        <f t="shared" si="140"/>
        <v>武汉首创奥莱项目|期末租金收缴率（%）|季度</v>
      </c>
      <c r="M601">
        <f>IF($A601="",0,IF(COUNTIF($L$2:$L601,$L601)=1,1,0))</f>
        <v>0</v>
      </c>
      <c r="N601">
        <f t="shared" si="141"/>
        <v>20253</v>
      </c>
      <c r="O601" t="str">
        <f t="shared" si="142"/>
        <v>华夏首创奥特莱斯封闭式基础设施证券投资基金|2025Q3|季度</v>
      </c>
      <c r="P601">
        <f>IF($A601="",0,IF(COUNTIF($O$2:$O601,$O601)=1,1,0))</f>
        <v>0</v>
      </c>
      <c r="Q601" t="str">
        <f>IF(AND($P601=1,$A601=经营数据!$B$3,$J601=经营数据!$BA$5),COUNTIFS($P$2:$P$3000,1,$A$2:$A$3000,$A601,$J$2:$J$3000,$J601,$N$2:$N$3000,"&lt;"&amp;$N601)+1,"")</f>
        <v/>
      </c>
      <c r="R601" t="str">
        <f t="shared" si="143"/>
        <v>华夏首创奥特莱斯封闭式基础设施证券投资基金|武汉首创奥莱项目</v>
      </c>
      <c r="S601">
        <f>IF($A601="",0,IF(COUNTIF($R$2:$R601,$R601)=1,1,0))</f>
        <v>0</v>
      </c>
      <c r="T601">
        <f t="shared" si="144"/>
        <v>574</v>
      </c>
      <c r="U601" t="str">
        <f>IF($A601="","",IF($A601=经营数据!$B$3,COUNTIFS($S$2:$S$3000,1,$A$2:$A$3000,$A601,$T$2:$T$3000,"&lt;"&amp;$T601)+1,""))</f>
        <v/>
      </c>
      <c r="V601" t="str">
        <f t="shared" si="145"/>
        <v>武汉首创奥莱项目|服务效率</v>
      </c>
      <c r="W601">
        <f t="shared" si="146"/>
        <v>574</v>
      </c>
      <c r="X601" t="str">
        <f t="shared" si="147"/>
        <v>武汉首创奥莱项目|期末租金收缴率</v>
      </c>
      <c r="Y601">
        <f t="shared" si="148"/>
        <v>574</v>
      </c>
      <c r="Z601">
        <f>IF($A601="",0,IF(AND($M601=1,$A601=经营数据!$B$3,$J601=经营数据!$BA$5,OR($I601=经营数据!$BA$4,COUNTIF(经营数据!$AA$9:$AA$38,$I601)&gt;0)),1,0))</f>
        <v>0</v>
      </c>
      <c r="AA601" t="str">
        <f t="shared" si="149"/>
        <v/>
      </c>
      <c r="AB601" t="str">
        <f t="shared" si="150"/>
        <v/>
      </c>
      <c r="AC601">
        <f>IF($A601="",0,IF(COUNTIF($A$2:$A601,$A601)=1,1,0))</f>
        <v>0</v>
      </c>
      <c r="AD601">
        <f t="shared" si="151"/>
        <v>7</v>
      </c>
      <c r="AE601" t="str">
        <f t="shared" si="152"/>
        <v>武汉首创奥莱项目|期末租金收缴率（%）</v>
      </c>
      <c r="BP601" s="47">
        <v>46262</v>
      </c>
      <c r="BQ601" s="29">
        <v>4.4430173617424892E-2</v>
      </c>
    </row>
    <row r="602" spans="1:69" x14ac:dyDescent="0.4">
      <c r="A602" t="str">
        <f>IF(原始经营数据!$D603="","",原始经营数据!$D603)</f>
        <v>华夏首创奥特莱斯封闭式基础设施证券投资基金</v>
      </c>
      <c r="B602" t="str">
        <f>IF(原始经营数据!$D603="","",T(原始经营数据!$E603))</f>
        <v>武汉首创奥莱项目</v>
      </c>
      <c r="C602" t="str">
        <f>IF(原始经营数据!$D603="","",原始经营数据!$F603)</f>
        <v>2025Q4</v>
      </c>
      <c r="D602" t="str">
        <f>IF(原始经营数据!$D603="","",原始经营数据!$H603)</f>
        <v>期末出租率</v>
      </c>
      <c r="E602">
        <f>IF(原始经营数据!$D603="","",原始经营数据!$I603)</f>
        <v>98.89</v>
      </c>
      <c r="F602" t="str">
        <f>IF(原始经营数据!$D603="","",T(原始经营数据!$J603))</f>
        <v>%</v>
      </c>
      <c r="G602" t="str">
        <f>IF(原始经营数据!$D603="","",T(原始经营数据!$K603))</f>
        <v/>
      </c>
      <c r="H602" t="str">
        <f>IF(原始经营数据!$D603="","",原始经营数据!$G603)</f>
        <v>服务效率</v>
      </c>
      <c r="I602" t="str">
        <f>IF($A602="","",IF($B602&lt;&gt;"",$B602,IF(COUNTIFS(原始经营数据!$D$3:$D$3001,$A602,原始经营数据!$E$3:$E$3001,"",原始经营数据!$F$3:$F$3001,$C602,原始经营数据!$H$3:$H$3001,$D602,原始经营数据!$K$3:$K$3001,$G602)&gt;1,"基金整体·来源"&amp;原始经营数据!$A603,"基金整体")))</f>
        <v>武汉首创奥莱项目</v>
      </c>
      <c r="J602" t="str">
        <f t="shared" si="138"/>
        <v>季度</v>
      </c>
      <c r="K602" t="str">
        <f t="shared" si="139"/>
        <v>期末出租率（%）</v>
      </c>
      <c r="L602" t="str">
        <f t="shared" si="140"/>
        <v>武汉首创奥莱项目|期末出租率（%）|季度</v>
      </c>
      <c r="M602">
        <f>IF($A602="",0,IF(COUNTIF($L$2:$L602,$L602)=1,1,0))</f>
        <v>0</v>
      </c>
      <c r="N602">
        <f t="shared" si="141"/>
        <v>20254</v>
      </c>
      <c r="O602" t="str">
        <f t="shared" si="142"/>
        <v>华夏首创奥特莱斯封闭式基础设施证券投资基金|2025Q4|季度</v>
      </c>
      <c r="P602">
        <f>IF($A602="",0,IF(COUNTIF($O$2:$O602,$O602)=1,1,0))</f>
        <v>0</v>
      </c>
      <c r="Q602" t="str">
        <f>IF(AND($P602=1,$A602=经营数据!$B$3,$J602=经营数据!$BA$5),COUNTIFS($P$2:$P$3000,1,$A$2:$A$3000,$A602,$J$2:$J$3000,$J602,$N$2:$N$3000,"&lt;"&amp;$N602)+1,"")</f>
        <v/>
      </c>
      <c r="R602" t="str">
        <f t="shared" si="143"/>
        <v>华夏首创奥特莱斯封闭式基础设施证券投资基金|武汉首创奥莱项目</v>
      </c>
      <c r="S602">
        <f>IF($A602="",0,IF(COUNTIF($R$2:$R602,$R602)=1,1,0))</f>
        <v>0</v>
      </c>
      <c r="T602">
        <f t="shared" si="144"/>
        <v>574</v>
      </c>
      <c r="U602" t="str">
        <f>IF($A602="","",IF($A602=经营数据!$B$3,COUNTIFS($S$2:$S$3000,1,$A$2:$A$3000,$A602,$T$2:$T$3000,"&lt;"&amp;$T602)+1,""))</f>
        <v/>
      </c>
      <c r="V602" t="str">
        <f t="shared" si="145"/>
        <v>武汉首创奥莱项目|服务效率</v>
      </c>
      <c r="W602">
        <f t="shared" si="146"/>
        <v>574</v>
      </c>
      <c r="X602" t="str">
        <f t="shared" si="147"/>
        <v>武汉首创奥莱项目|期末出租率</v>
      </c>
      <c r="Y602">
        <f t="shared" si="148"/>
        <v>578</v>
      </c>
      <c r="Z602">
        <f>IF($A602="",0,IF(AND($M602=1,$A602=经营数据!$B$3,$J602=经营数据!$BA$5,OR($I602=经营数据!$BA$4,COUNTIF(经营数据!$AA$9:$AA$38,$I602)&gt;0)),1,0))</f>
        <v>0</v>
      </c>
      <c r="AA602" t="str">
        <f t="shared" si="149"/>
        <v/>
      </c>
      <c r="AB602" t="str">
        <f t="shared" si="150"/>
        <v/>
      </c>
      <c r="AC602">
        <f>IF($A602="",0,IF(COUNTIF($A$2:$A602,$A602)=1,1,0))</f>
        <v>0</v>
      </c>
      <c r="AD602">
        <f t="shared" si="151"/>
        <v>7</v>
      </c>
      <c r="AE602" t="str">
        <f t="shared" si="152"/>
        <v>武汉首创奥莱项目|期末出租率（%）</v>
      </c>
      <c r="BP602" s="47">
        <v>46265</v>
      </c>
      <c r="BQ602" s="29">
        <v>4.4626617809163001E-2</v>
      </c>
    </row>
    <row r="603" spans="1:69" x14ac:dyDescent="0.4">
      <c r="A603" t="str">
        <f>IF(原始经营数据!$D604="","",原始经营数据!$D604)</f>
        <v>华夏首创奥特莱斯封闭式基础设施证券投资基金</v>
      </c>
      <c r="B603" t="str">
        <f>IF(原始经营数据!$D604="","",T(原始经营数据!$E604))</f>
        <v>武汉首创奥莱项目</v>
      </c>
      <c r="C603" t="str">
        <f>IF(原始经营数据!$D604="","",原始经营数据!$F604)</f>
        <v>2025Q4</v>
      </c>
      <c r="D603" t="str">
        <f>IF(原始经营数据!$D604="","",原始经营数据!$H604)</f>
        <v>期末实际出租面积</v>
      </c>
      <c r="E603">
        <f>IF(原始经营数据!$D604="","",原始经营数据!$I604)</f>
        <v>46798.42</v>
      </c>
      <c r="F603" t="str">
        <f>IF(原始经营数据!$D604="","",T(原始经营数据!$J604))</f>
        <v>平方米</v>
      </c>
      <c r="G603" t="str">
        <f>IF(原始经营数据!$D604="","",T(原始经营数据!$K604))</f>
        <v/>
      </c>
      <c r="H603" t="str">
        <f>IF(原始经营数据!$D604="","",原始经营数据!$G604)</f>
        <v>服务量</v>
      </c>
      <c r="I603" t="str">
        <f>IF($A603="","",IF($B603&lt;&gt;"",$B603,IF(COUNTIFS(原始经营数据!$D$3:$D$3001,$A603,原始经营数据!$E$3:$E$3001,"",原始经营数据!$F$3:$F$3001,$C603,原始经营数据!$H$3:$H$3001,$D603,原始经营数据!$K$3:$K$3001,$G603)&gt;1,"基金整体·来源"&amp;原始经营数据!$A604,"基金整体")))</f>
        <v>武汉首创奥莱项目</v>
      </c>
      <c r="J603" t="str">
        <f t="shared" si="138"/>
        <v>季度</v>
      </c>
      <c r="K603" t="str">
        <f t="shared" si="139"/>
        <v>期末实际出租面积（平方米）</v>
      </c>
      <c r="L603" t="str">
        <f t="shared" si="140"/>
        <v>武汉首创奥莱项目|期末实际出租面积（平方米）|季度</v>
      </c>
      <c r="M603">
        <f>IF($A603="",0,IF(COUNTIF($L$2:$L603,$L603)=1,1,0))</f>
        <v>0</v>
      </c>
      <c r="N603">
        <f t="shared" si="141"/>
        <v>20254</v>
      </c>
      <c r="O603" t="str">
        <f t="shared" si="142"/>
        <v>华夏首创奥特莱斯封闭式基础设施证券投资基金|2025Q4|季度</v>
      </c>
      <c r="P603">
        <f>IF($A603="",0,IF(COUNTIF($O$2:$O603,$O603)=1,1,0))</f>
        <v>0</v>
      </c>
      <c r="Q603" t="str">
        <f>IF(AND($P603=1,$A603=经营数据!$B$3,$J603=经营数据!$BA$5),COUNTIFS($P$2:$P$3000,1,$A$2:$A$3000,$A603,$J$2:$J$3000,$J603,$N$2:$N$3000,"&lt;"&amp;$N603)+1,"")</f>
        <v/>
      </c>
      <c r="R603" t="str">
        <f t="shared" si="143"/>
        <v>华夏首创奥特莱斯封闭式基础设施证券投资基金|武汉首创奥莱项目</v>
      </c>
      <c r="S603">
        <f>IF($A603="",0,IF(COUNTIF($R$2:$R603,$R603)=1,1,0))</f>
        <v>0</v>
      </c>
      <c r="T603">
        <f t="shared" si="144"/>
        <v>574</v>
      </c>
      <c r="U603" t="str">
        <f>IF($A603="","",IF($A603=经营数据!$B$3,COUNTIFS($S$2:$S$3000,1,$A$2:$A$3000,$A603,$T$2:$T$3000,"&lt;"&amp;$T603)+1,""))</f>
        <v/>
      </c>
      <c r="V603" t="str">
        <f t="shared" si="145"/>
        <v>武汉首创奥莱项目|服务量</v>
      </c>
      <c r="W603">
        <f t="shared" si="146"/>
        <v>576</v>
      </c>
      <c r="X603" t="str">
        <f t="shared" si="147"/>
        <v>武汉首创奥莱项目|期末实际出租面积</v>
      </c>
      <c r="Y603">
        <f t="shared" si="148"/>
        <v>577</v>
      </c>
      <c r="Z603">
        <f>IF($A603="",0,IF(AND($M603=1,$A603=经营数据!$B$3,$J603=经营数据!$BA$5,OR($I603=经营数据!$BA$4,COUNTIF(经营数据!$AA$9:$AA$38,$I603)&gt;0)),1,0))</f>
        <v>0</v>
      </c>
      <c r="AA603" t="str">
        <f t="shared" si="149"/>
        <v/>
      </c>
      <c r="AB603" t="str">
        <f t="shared" si="150"/>
        <v/>
      </c>
      <c r="AC603">
        <f>IF($A603="",0,IF(COUNTIF($A$2:$A603,$A603)=1,1,0))</f>
        <v>0</v>
      </c>
      <c r="AD603">
        <f t="shared" si="151"/>
        <v>7</v>
      </c>
      <c r="AE603" t="str">
        <f t="shared" si="152"/>
        <v>武汉首创奥莱项目|期末实际出租面积（平方米）</v>
      </c>
      <c r="BP603" s="47">
        <v>46266</v>
      </c>
      <c r="BQ603" s="29">
        <v>4.494184168388448E-2</v>
      </c>
    </row>
    <row r="604" spans="1:69" x14ac:dyDescent="0.4">
      <c r="A604" t="str">
        <f>IF(原始经营数据!$D605="","",原始经营数据!$D605)</f>
        <v>华夏首创奥特莱斯封闭式基础设施证券投资基金</v>
      </c>
      <c r="B604" t="str">
        <f>IF(原始经营数据!$D605="","",T(原始经营数据!$E605))</f>
        <v>武汉首创奥莱项目</v>
      </c>
      <c r="C604" t="str">
        <f>IF(原始经营数据!$D605="","",原始经营数据!$F605)</f>
        <v>2025Q4</v>
      </c>
      <c r="D604" t="str">
        <f>IF(原始经营数据!$D605="","",原始经营数据!$H605)</f>
        <v>期末可供出租面积</v>
      </c>
      <c r="E604">
        <f>IF(原始经营数据!$D605="","",原始经营数据!$I605)</f>
        <v>47325.34</v>
      </c>
      <c r="F604" t="str">
        <f>IF(原始经营数据!$D605="","",T(原始经营数据!$J605))</f>
        <v>平方米</v>
      </c>
      <c r="G604" t="str">
        <f>IF(原始经营数据!$D605="","",T(原始经营数据!$K605))</f>
        <v/>
      </c>
      <c r="H604" t="str">
        <f>IF(原始经营数据!$D605="","",原始经营数据!$G605)</f>
        <v>服务量</v>
      </c>
      <c r="I604" t="str">
        <f>IF($A604="","",IF($B604&lt;&gt;"",$B604,IF(COUNTIFS(原始经营数据!$D$3:$D$3001,$A604,原始经营数据!$E$3:$E$3001,"",原始经营数据!$F$3:$F$3001,$C604,原始经营数据!$H$3:$H$3001,$D604,原始经营数据!$K$3:$K$3001,$G604)&gt;1,"基金整体·来源"&amp;原始经营数据!$A605,"基金整体")))</f>
        <v>武汉首创奥莱项目</v>
      </c>
      <c r="J604" t="str">
        <f t="shared" si="138"/>
        <v>季度</v>
      </c>
      <c r="K604" t="str">
        <f t="shared" si="139"/>
        <v>期末可供出租面积（平方米）</v>
      </c>
      <c r="L604" t="str">
        <f t="shared" si="140"/>
        <v>武汉首创奥莱项目|期末可供出租面积（平方米）|季度</v>
      </c>
      <c r="M604">
        <f>IF($A604="",0,IF(COUNTIF($L$2:$L604,$L604)=1,1,0))</f>
        <v>0</v>
      </c>
      <c r="N604">
        <f t="shared" si="141"/>
        <v>20254</v>
      </c>
      <c r="O604" t="str">
        <f t="shared" si="142"/>
        <v>华夏首创奥特莱斯封闭式基础设施证券投资基金|2025Q4|季度</v>
      </c>
      <c r="P604">
        <f>IF($A604="",0,IF(COUNTIF($O$2:$O604,$O604)=1,1,0))</f>
        <v>0</v>
      </c>
      <c r="Q604" t="str">
        <f>IF(AND($P604=1,$A604=经营数据!$B$3,$J604=经营数据!$BA$5),COUNTIFS($P$2:$P$3000,1,$A$2:$A$3000,$A604,$J$2:$J$3000,$J604,$N$2:$N$3000,"&lt;"&amp;$N604)+1,"")</f>
        <v/>
      </c>
      <c r="R604" t="str">
        <f t="shared" si="143"/>
        <v>华夏首创奥特莱斯封闭式基础设施证券投资基金|武汉首创奥莱项目</v>
      </c>
      <c r="S604">
        <f>IF($A604="",0,IF(COUNTIF($R$2:$R604,$R604)=1,1,0))</f>
        <v>0</v>
      </c>
      <c r="T604">
        <f t="shared" si="144"/>
        <v>574</v>
      </c>
      <c r="U604" t="str">
        <f>IF($A604="","",IF($A604=经营数据!$B$3,COUNTIFS($S$2:$S$3000,1,$A$2:$A$3000,$A604,$T$2:$T$3000,"&lt;"&amp;$T604)+1,""))</f>
        <v/>
      </c>
      <c r="V604" t="str">
        <f t="shared" si="145"/>
        <v>武汉首创奥莱项目|服务量</v>
      </c>
      <c r="W604">
        <f t="shared" si="146"/>
        <v>576</v>
      </c>
      <c r="X604" t="str">
        <f t="shared" si="147"/>
        <v>武汉首创奥莱项目|期末可供出租面积</v>
      </c>
      <c r="Y604">
        <f t="shared" si="148"/>
        <v>576</v>
      </c>
      <c r="Z604">
        <f>IF($A604="",0,IF(AND($M604=1,$A604=经营数据!$B$3,$J604=经营数据!$BA$5,OR($I604=经营数据!$BA$4,COUNTIF(经营数据!$AA$9:$AA$38,$I604)&gt;0)),1,0))</f>
        <v>0</v>
      </c>
      <c r="AA604" t="str">
        <f t="shared" si="149"/>
        <v/>
      </c>
      <c r="AB604" t="str">
        <f t="shared" si="150"/>
        <v/>
      </c>
      <c r="AC604">
        <f>IF($A604="",0,IF(COUNTIF($A$2:$A604,$A604)=1,1,0))</f>
        <v>0</v>
      </c>
      <c r="AD604">
        <f t="shared" si="151"/>
        <v>7</v>
      </c>
      <c r="AE604" t="str">
        <f t="shared" si="152"/>
        <v>武汉首创奥莱项目|期末可供出租面积（平方米）</v>
      </c>
      <c r="BP604" s="47">
        <v>46267</v>
      </c>
      <c r="BQ604" s="29">
        <v>4.5147042151984791E-2</v>
      </c>
    </row>
    <row r="605" spans="1:69" x14ac:dyDescent="0.4">
      <c r="A605" t="str">
        <f>IF(原始经营数据!$D606="","",原始经营数据!$D606)</f>
        <v>华夏首创奥特莱斯封闭式基础设施证券投资基金</v>
      </c>
      <c r="B605" t="str">
        <f>IF(原始经营数据!$D606="","",T(原始经营数据!$E606))</f>
        <v>武汉首创奥莱项目</v>
      </c>
      <c r="C605" t="str">
        <f>IF(原始经营数据!$D606="","",原始经营数据!$F606)</f>
        <v>2025Q4</v>
      </c>
      <c r="D605" t="str">
        <f>IF(原始经营数据!$D606="","",原始经营数据!$H606)</f>
        <v>期内租金单价水平</v>
      </c>
      <c r="E605">
        <f>IF(原始经营数据!$D606="","",原始经营数据!$I606)</f>
        <v>181.46</v>
      </c>
      <c r="F605" t="str">
        <f>IF(原始经营数据!$D606="","",T(原始经营数据!$J606))</f>
        <v>元/平方米/月</v>
      </c>
      <c r="G605" t="str">
        <f>IF(原始经营数据!$D606="","",T(原始经营数据!$K606))</f>
        <v/>
      </c>
      <c r="H605" t="str">
        <f>IF(原始经营数据!$D606="","",原始经营数据!$G606)</f>
        <v>服务价格</v>
      </c>
      <c r="I605" t="str">
        <f>IF($A605="","",IF($B605&lt;&gt;"",$B605,IF(COUNTIFS(原始经营数据!$D$3:$D$3001,$A605,原始经营数据!$E$3:$E$3001,"",原始经营数据!$F$3:$F$3001,$C605,原始经营数据!$H$3:$H$3001,$D605,原始经营数据!$K$3:$K$3001,$G605)&gt;1,"基金整体·来源"&amp;原始经营数据!$A606,"基金整体")))</f>
        <v>武汉首创奥莱项目</v>
      </c>
      <c r="J605" t="str">
        <f t="shared" si="138"/>
        <v>季度</v>
      </c>
      <c r="K605" t="str">
        <f t="shared" si="139"/>
        <v>期内租金单价水平（元/平方米/月）</v>
      </c>
      <c r="L605" t="str">
        <f t="shared" si="140"/>
        <v>武汉首创奥莱项目|期内租金单价水平（元/平方米/月）|季度</v>
      </c>
      <c r="M605">
        <f>IF($A605="",0,IF(COUNTIF($L$2:$L605,$L605)=1,1,0))</f>
        <v>0</v>
      </c>
      <c r="N605">
        <f t="shared" si="141"/>
        <v>20254</v>
      </c>
      <c r="O605" t="str">
        <f t="shared" si="142"/>
        <v>华夏首创奥特莱斯封闭式基础设施证券投资基金|2025Q4|季度</v>
      </c>
      <c r="P605">
        <f>IF($A605="",0,IF(COUNTIF($O$2:$O605,$O605)=1,1,0))</f>
        <v>0</v>
      </c>
      <c r="Q605" t="str">
        <f>IF(AND($P605=1,$A605=经营数据!$B$3,$J605=经营数据!$BA$5),COUNTIFS($P$2:$P$3000,1,$A$2:$A$3000,$A605,$J$2:$J$3000,$J605,$N$2:$N$3000,"&lt;"&amp;$N605)+1,"")</f>
        <v/>
      </c>
      <c r="R605" t="str">
        <f t="shared" si="143"/>
        <v>华夏首创奥特莱斯封闭式基础设施证券投资基金|武汉首创奥莱项目</v>
      </c>
      <c r="S605">
        <f>IF($A605="",0,IF(COUNTIF($R$2:$R605,$R605)=1,1,0))</f>
        <v>0</v>
      </c>
      <c r="T605">
        <f t="shared" si="144"/>
        <v>574</v>
      </c>
      <c r="U605" t="str">
        <f>IF($A605="","",IF($A605=经营数据!$B$3,COUNTIFS($S$2:$S$3000,1,$A$2:$A$3000,$A605,$T$2:$T$3000,"&lt;"&amp;$T605)+1,""))</f>
        <v/>
      </c>
      <c r="V605" t="str">
        <f t="shared" si="145"/>
        <v>武汉首创奥莱项目|服务价格</v>
      </c>
      <c r="W605">
        <f t="shared" si="146"/>
        <v>575</v>
      </c>
      <c r="X605" t="str">
        <f t="shared" si="147"/>
        <v>武汉首创奥莱项目|期内租金单价水平</v>
      </c>
      <c r="Y605">
        <f t="shared" si="148"/>
        <v>575</v>
      </c>
      <c r="Z605">
        <f>IF($A605="",0,IF(AND($M605=1,$A605=经营数据!$B$3,$J605=经营数据!$BA$5,OR($I605=经营数据!$BA$4,COUNTIF(经营数据!$AA$9:$AA$38,$I605)&gt;0)),1,0))</f>
        <v>0</v>
      </c>
      <c r="AA605" t="str">
        <f t="shared" si="149"/>
        <v/>
      </c>
      <c r="AB605" t="str">
        <f t="shared" si="150"/>
        <v/>
      </c>
      <c r="AC605">
        <f>IF($A605="",0,IF(COUNTIF($A$2:$A605,$A605)=1,1,0))</f>
        <v>0</v>
      </c>
      <c r="AD605">
        <f t="shared" si="151"/>
        <v>7</v>
      </c>
      <c r="AE605" t="str">
        <f t="shared" si="152"/>
        <v>武汉首创奥莱项目|期内租金单价水平（元/平方米/月）</v>
      </c>
      <c r="BP605" s="47">
        <v>46268</v>
      </c>
      <c r="BQ605" s="29">
        <v>4.5502964152222082E-2</v>
      </c>
    </row>
    <row r="606" spans="1:69" x14ac:dyDescent="0.4">
      <c r="A606" t="str">
        <f>IF(原始经营数据!$D607="","",原始经营数据!$D607)</f>
        <v>华夏首创奥特莱斯封闭式基础设施证券投资基金</v>
      </c>
      <c r="B606" t="str">
        <f>IF(原始经营数据!$D607="","",T(原始经营数据!$E607))</f>
        <v>武汉首创奥莱项目</v>
      </c>
      <c r="C606" t="str">
        <f>IF(原始经营数据!$D607="","",原始经营数据!$F607)</f>
        <v>2025Q4</v>
      </c>
      <c r="D606" t="str">
        <f>IF(原始经营数据!$D607="","",原始经营数据!$H607)</f>
        <v>期末剩余租期</v>
      </c>
      <c r="E606">
        <f>IF(原始经营数据!$D607="","",原始经营数据!$I607)</f>
        <v>1.48</v>
      </c>
      <c r="F606" t="str">
        <f>IF(原始经营数据!$D607="","",T(原始经营数据!$J607))</f>
        <v>年</v>
      </c>
      <c r="G606" t="str">
        <f>IF(原始经营数据!$D607="","",T(原始经营数据!$K607))</f>
        <v/>
      </c>
      <c r="H606" t="str">
        <f>IF(原始经营数据!$D607="","",原始经营数据!$G607)</f>
        <v>服务量</v>
      </c>
      <c r="I606" t="str">
        <f>IF($A606="","",IF($B606&lt;&gt;"",$B606,IF(COUNTIFS(原始经营数据!$D$3:$D$3001,$A606,原始经营数据!$E$3:$E$3001,"",原始经营数据!$F$3:$F$3001,$C606,原始经营数据!$H$3:$H$3001,$D606,原始经营数据!$K$3:$K$3001,$G606)&gt;1,"基金整体·来源"&amp;原始经营数据!$A607,"基金整体")))</f>
        <v>武汉首创奥莱项目</v>
      </c>
      <c r="J606" t="str">
        <f t="shared" si="138"/>
        <v>季度</v>
      </c>
      <c r="K606" t="str">
        <f t="shared" si="139"/>
        <v>期末剩余租期（年）</v>
      </c>
      <c r="L606" t="str">
        <f t="shared" si="140"/>
        <v>武汉首创奥莱项目|期末剩余租期（年）|季度</v>
      </c>
      <c r="M606">
        <f>IF($A606="",0,IF(COUNTIF($L$2:$L606,$L606)=1,1,0))</f>
        <v>0</v>
      </c>
      <c r="N606">
        <f t="shared" si="141"/>
        <v>20254</v>
      </c>
      <c r="O606" t="str">
        <f t="shared" si="142"/>
        <v>华夏首创奥特莱斯封闭式基础设施证券投资基金|2025Q4|季度</v>
      </c>
      <c r="P606">
        <f>IF($A606="",0,IF(COUNTIF($O$2:$O606,$O606)=1,1,0))</f>
        <v>0</v>
      </c>
      <c r="Q606" t="str">
        <f>IF(AND($P606=1,$A606=经营数据!$B$3,$J606=经营数据!$BA$5),COUNTIFS($P$2:$P$3000,1,$A$2:$A$3000,$A606,$J$2:$J$3000,$J606,$N$2:$N$3000,"&lt;"&amp;$N606)+1,"")</f>
        <v/>
      </c>
      <c r="R606" t="str">
        <f t="shared" si="143"/>
        <v>华夏首创奥特莱斯封闭式基础设施证券投资基金|武汉首创奥莱项目</v>
      </c>
      <c r="S606">
        <f>IF($A606="",0,IF(COUNTIF($R$2:$R606,$R606)=1,1,0))</f>
        <v>0</v>
      </c>
      <c r="T606">
        <f t="shared" si="144"/>
        <v>574</v>
      </c>
      <c r="U606" t="str">
        <f>IF($A606="","",IF($A606=经营数据!$B$3,COUNTIFS($S$2:$S$3000,1,$A$2:$A$3000,$A606,$T$2:$T$3000,"&lt;"&amp;$T606)+1,""))</f>
        <v/>
      </c>
      <c r="V606" t="str">
        <f t="shared" si="145"/>
        <v>武汉首创奥莱项目|服务量</v>
      </c>
      <c r="W606">
        <f t="shared" si="146"/>
        <v>576</v>
      </c>
      <c r="X606" t="str">
        <f t="shared" si="147"/>
        <v>武汉首创奥莱项目|期末剩余租期</v>
      </c>
      <c r="Y606">
        <f t="shared" si="148"/>
        <v>579</v>
      </c>
      <c r="Z606">
        <f>IF($A606="",0,IF(AND($M606=1,$A606=经营数据!$B$3,$J606=经营数据!$BA$5,OR($I606=经营数据!$BA$4,COUNTIF(经营数据!$AA$9:$AA$38,$I606)&gt;0)),1,0))</f>
        <v>0</v>
      </c>
      <c r="AA606" t="str">
        <f t="shared" si="149"/>
        <v/>
      </c>
      <c r="AB606" t="str">
        <f t="shared" si="150"/>
        <v/>
      </c>
      <c r="AC606">
        <f>IF($A606="",0,IF(COUNTIF($A$2:$A606,$A606)=1,1,0))</f>
        <v>0</v>
      </c>
      <c r="AD606">
        <f t="shared" si="151"/>
        <v>7</v>
      </c>
      <c r="AE606" t="str">
        <f t="shared" si="152"/>
        <v>武汉首创奥莱项目|期末剩余租期（年）</v>
      </c>
      <c r="BP606" s="47">
        <v>46269</v>
      </c>
      <c r="BQ606" s="29">
        <v>4.5294845014399149E-2</v>
      </c>
    </row>
    <row r="607" spans="1:69" x14ac:dyDescent="0.4">
      <c r="A607" t="str">
        <f>IF(原始经营数据!$D608="","",原始经营数据!$D608)</f>
        <v>华夏首创奥特莱斯封闭式基础设施证券投资基金</v>
      </c>
      <c r="B607" t="str">
        <f>IF(原始经营数据!$D608="","",T(原始经营数据!$E608))</f>
        <v>武汉首创奥莱项目</v>
      </c>
      <c r="C607" t="str">
        <f>IF(原始经营数据!$D608="","",原始经营数据!$F608)</f>
        <v>2025Q4</v>
      </c>
      <c r="D607" t="str">
        <f>IF(原始经营数据!$D608="","",原始经营数据!$H608)</f>
        <v>期末租金收缴率</v>
      </c>
      <c r="E607">
        <f>IF(原始经营数据!$D608="","",原始经营数据!$I608)</f>
        <v>100</v>
      </c>
      <c r="F607" t="str">
        <f>IF(原始经营数据!$D608="","",T(原始经营数据!$J608))</f>
        <v>%</v>
      </c>
      <c r="G607" t="str">
        <f>IF(原始经营数据!$D608="","",T(原始经营数据!$K608))</f>
        <v/>
      </c>
      <c r="H607" t="str">
        <f>IF(原始经营数据!$D608="","",原始经营数据!$G608)</f>
        <v>服务效率</v>
      </c>
      <c r="I607" t="str">
        <f>IF($A607="","",IF($B607&lt;&gt;"",$B607,IF(COUNTIFS(原始经营数据!$D$3:$D$3001,$A607,原始经营数据!$E$3:$E$3001,"",原始经营数据!$F$3:$F$3001,$C607,原始经营数据!$H$3:$H$3001,$D607,原始经营数据!$K$3:$K$3001,$G607)&gt;1,"基金整体·来源"&amp;原始经营数据!$A608,"基金整体")))</f>
        <v>武汉首创奥莱项目</v>
      </c>
      <c r="J607" t="str">
        <f t="shared" si="138"/>
        <v>季度</v>
      </c>
      <c r="K607" t="str">
        <f t="shared" si="139"/>
        <v>期末租金收缴率（%）</v>
      </c>
      <c r="L607" t="str">
        <f t="shared" si="140"/>
        <v>武汉首创奥莱项目|期末租金收缴率（%）|季度</v>
      </c>
      <c r="M607">
        <f>IF($A607="",0,IF(COUNTIF($L$2:$L607,$L607)=1,1,0))</f>
        <v>0</v>
      </c>
      <c r="N607">
        <f t="shared" si="141"/>
        <v>20254</v>
      </c>
      <c r="O607" t="str">
        <f t="shared" si="142"/>
        <v>华夏首创奥特莱斯封闭式基础设施证券投资基金|2025Q4|季度</v>
      </c>
      <c r="P607">
        <f>IF($A607="",0,IF(COUNTIF($O$2:$O607,$O607)=1,1,0))</f>
        <v>0</v>
      </c>
      <c r="Q607" t="str">
        <f>IF(AND($P607=1,$A607=经营数据!$B$3,$J607=经营数据!$BA$5),COUNTIFS($P$2:$P$3000,1,$A$2:$A$3000,$A607,$J$2:$J$3000,$J607,$N$2:$N$3000,"&lt;"&amp;$N607)+1,"")</f>
        <v/>
      </c>
      <c r="R607" t="str">
        <f t="shared" si="143"/>
        <v>华夏首创奥特莱斯封闭式基础设施证券投资基金|武汉首创奥莱项目</v>
      </c>
      <c r="S607">
        <f>IF($A607="",0,IF(COUNTIF($R$2:$R607,$R607)=1,1,0))</f>
        <v>0</v>
      </c>
      <c r="T607">
        <f t="shared" si="144"/>
        <v>574</v>
      </c>
      <c r="U607" t="str">
        <f>IF($A607="","",IF($A607=经营数据!$B$3,COUNTIFS($S$2:$S$3000,1,$A$2:$A$3000,$A607,$T$2:$T$3000,"&lt;"&amp;$T607)+1,""))</f>
        <v/>
      </c>
      <c r="V607" t="str">
        <f t="shared" si="145"/>
        <v>武汉首创奥莱项目|服务效率</v>
      </c>
      <c r="W607">
        <f t="shared" si="146"/>
        <v>574</v>
      </c>
      <c r="X607" t="str">
        <f t="shared" si="147"/>
        <v>武汉首创奥莱项目|期末租金收缴率</v>
      </c>
      <c r="Y607">
        <f t="shared" si="148"/>
        <v>574</v>
      </c>
      <c r="Z607">
        <f>IF($A607="",0,IF(AND($M607=1,$A607=经营数据!$B$3,$J607=经营数据!$BA$5,OR($I607=经营数据!$BA$4,COUNTIF(经营数据!$AA$9:$AA$38,$I607)&gt;0)),1,0))</f>
        <v>0</v>
      </c>
      <c r="AA607" t="str">
        <f t="shared" si="149"/>
        <v/>
      </c>
      <c r="AB607" t="str">
        <f t="shared" si="150"/>
        <v/>
      </c>
      <c r="AC607">
        <f>IF($A607="",0,IF(COUNTIF($A$2:$A607,$A607)=1,1,0))</f>
        <v>0</v>
      </c>
      <c r="AD607">
        <f t="shared" si="151"/>
        <v>7</v>
      </c>
      <c r="AE607" t="str">
        <f t="shared" si="152"/>
        <v>武汉首创奥莱项目|期末租金收缴率（%）</v>
      </c>
      <c r="BP607" s="47">
        <v>46272</v>
      </c>
      <c r="BQ607" s="29">
        <v>4.5607098747623052E-2</v>
      </c>
    </row>
    <row r="608" spans="1:69" x14ac:dyDescent="0.4">
      <c r="A608" t="str">
        <f>IF(原始经营数据!$D609="","",原始经营数据!$D609)</f>
        <v>华夏首创奥特莱斯封闭式基础设施证券投资基金</v>
      </c>
      <c r="B608" t="str">
        <f>IF(原始经营数据!$D609="","",T(原始经营数据!$E609))</f>
        <v>武汉首创奥莱项目</v>
      </c>
      <c r="C608" t="str">
        <f>IF(原始经营数据!$D609="","",原始经营数据!$F609)</f>
        <v>2026Q1</v>
      </c>
      <c r="D608" t="str">
        <f>IF(原始经营数据!$D609="","",原始经营数据!$H609)</f>
        <v>期末租金收缴率</v>
      </c>
      <c r="E608">
        <f>IF(原始经营数据!$D609="","",原始经营数据!$I609)</f>
        <v>100</v>
      </c>
      <c r="F608" t="str">
        <f>IF(原始经营数据!$D609="","",T(原始经营数据!$J609))</f>
        <v>%</v>
      </c>
      <c r="G608" t="str">
        <f>IF(原始经营数据!$D609="","",T(原始经营数据!$K609))</f>
        <v/>
      </c>
      <c r="H608" t="str">
        <f>IF(原始经营数据!$D609="","",原始经营数据!$G609)</f>
        <v>服务效率</v>
      </c>
      <c r="I608" t="str">
        <f>IF($A608="","",IF($B608&lt;&gt;"",$B608,IF(COUNTIFS(原始经营数据!$D$3:$D$3001,$A608,原始经营数据!$E$3:$E$3001,"",原始经营数据!$F$3:$F$3001,$C608,原始经营数据!$H$3:$H$3001,$D608,原始经营数据!$K$3:$K$3001,$G608)&gt;1,"基金整体·来源"&amp;原始经营数据!$A609,"基金整体")))</f>
        <v>武汉首创奥莱项目</v>
      </c>
      <c r="J608" t="str">
        <f t="shared" si="138"/>
        <v>季度</v>
      </c>
      <c r="K608" t="str">
        <f t="shared" si="139"/>
        <v>期末租金收缴率（%）</v>
      </c>
      <c r="L608" t="str">
        <f t="shared" si="140"/>
        <v>武汉首创奥莱项目|期末租金收缴率（%）|季度</v>
      </c>
      <c r="M608">
        <f>IF($A608="",0,IF(COUNTIF($L$2:$L608,$L608)=1,1,0))</f>
        <v>0</v>
      </c>
      <c r="N608">
        <f t="shared" si="141"/>
        <v>20261</v>
      </c>
      <c r="O608" t="str">
        <f t="shared" si="142"/>
        <v>华夏首创奥特莱斯封闭式基础设施证券投资基金|2026Q1|季度</v>
      </c>
      <c r="P608">
        <f>IF($A608="",0,IF(COUNTIF($O$2:$O608,$O608)=1,1,0))</f>
        <v>0</v>
      </c>
      <c r="Q608" t="str">
        <f>IF(AND($P608=1,$A608=经营数据!$B$3,$J608=经营数据!$BA$5),COUNTIFS($P$2:$P$3000,1,$A$2:$A$3000,$A608,$J$2:$J$3000,$J608,$N$2:$N$3000,"&lt;"&amp;$N608)+1,"")</f>
        <v/>
      </c>
      <c r="R608" t="str">
        <f t="shared" si="143"/>
        <v>华夏首创奥特莱斯封闭式基础设施证券投资基金|武汉首创奥莱项目</v>
      </c>
      <c r="S608">
        <f>IF($A608="",0,IF(COUNTIF($R$2:$R608,$R608)=1,1,0))</f>
        <v>0</v>
      </c>
      <c r="T608">
        <f t="shared" si="144"/>
        <v>574</v>
      </c>
      <c r="U608" t="str">
        <f>IF($A608="","",IF($A608=经营数据!$B$3,COUNTIFS($S$2:$S$3000,1,$A$2:$A$3000,$A608,$T$2:$T$3000,"&lt;"&amp;$T608)+1,""))</f>
        <v/>
      </c>
      <c r="V608" t="str">
        <f t="shared" si="145"/>
        <v>武汉首创奥莱项目|服务效率</v>
      </c>
      <c r="W608">
        <f t="shared" si="146"/>
        <v>574</v>
      </c>
      <c r="X608" t="str">
        <f t="shared" si="147"/>
        <v>武汉首创奥莱项目|期末租金收缴率</v>
      </c>
      <c r="Y608">
        <f t="shared" si="148"/>
        <v>574</v>
      </c>
      <c r="Z608">
        <f>IF($A608="",0,IF(AND($M608=1,$A608=经营数据!$B$3,$J608=经营数据!$BA$5,OR($I608=经营数据!$BA$4,COUNTIF(经营数据!$AA$9:$AA$38,$I608)&gt;0)),1,0))</f>
        <v>0</v>
      </c>
      <c r="AA608" t="str">
        <f t="shared" si="149"/>
        <v/>
      </c>
      <c r="AB608" t="str">
        <f t="shared" si="150"/>
        <v/>
      </c>
      <c r="AC608">
        <f>IF($A608="",0,IF(COUNTIF($A$2:$A608,$A608)=1,1,0))</f>
        <v>0</v>
      </c>
      <c r="AD608">
        <f t="shared" si="151"/>
        <v>7</v>
      </c>
      <c r="AE608" t="str">
        <f t="shared" si="152"/>
        <v>武汉首创奥莱项目|期末租金收缴率（%）</v>
      </c>
      <c r="BP608" s="47">
        <v>46273</v>
      </c>
      <c r="BQ608" s="29">
        <v>4.5640601443593332E-2</v>
      </c>
    </row>
    <row r="609" spans="1:69" x14ac:dyDescent="0.4">
      <c r="A609" t="str">
        <f>IF(原始经营数据!$D610="","",原始经营数据!$D610)</f>
        <v>华夏首创奥特莱斯封闭式基础设施证券投资基金</v>
      </c>
      <c r="B609" t="str">
        <f>IF(原始经营数据!$D610="","",T(原始经营数据!$E610))</f>
        <v>武汉首创奥莱项目</v>
      </c>
      <c r="C609" t="str">
        <f>IF(原始经营数据!$D610="","",原始经营数据!$F610)</f>
        <v>2026Q1</v>
      </c>
      <c r="D609" t="str">
        <f>IF(原始经营数据!$D610="","",原始经营数据!$H610)</f>
        <v>期末可供出租面积</v>
      </c>
      <c r="E609">
        <f>IF(原始经营数据!$D610="","",原始经营数据!$I610)</f>
        <v>47335.33</v>
      </c>
      <c r="F609" t="str">
        <f>IF(原始经营数据!$D610="","",T(原始经营数据!$J610))</f>
        <v>平方米</v>
      </c>
      <c r="G609" t="str">
        <f>IF(原始经营数据!$D610="","",T(原始经营数据!$K610))</f>
        <v/>
      </c>
      <c r="H609" t="str">
        <f>IF(原始经营数据!$D610="","",原始经营数据!$G610)</f>
        <v>服务量</v>
      </c>
      <c r="I609" t="str">
        <f>IF($A609="","",IF($B609&lt;&gt;"",$B609,IF(COUNTIFS(原始经营数据!$D$3:$D$3001,$A609,原始经营数据!$E$3:$E$3001,"",原始经营数据!$F$3:$F$3001,$C609,原始经营数据!$H$3:$H$3001,$D609,原始经营数据!$K$3:$K$3001,$G609)&gt;1,"基金整体·来源"&amp;原始经营数据!$A610,"基金整体")))</f>
        <v>武汉首创奥莱项目</v>
      </c>
      <c r="J609" t="str">
        <f t="shared" si="138"/>
        <v>季度</v>
      </c>
      <c r="K609" t="str">
        <f t="shared" si="139"/>
        <v>期末可供出租面积（平方米）</v>
      </c>
      <c r="L609" t="str">
        <f t="shared" si="140"/>
        <v>武汉首创奥莱项目|期末可供出租面积（平方米）|季度</v>
      </c>
      <c r="M609">
        <f>IF($A609="",0,IF(COUNTIF($L$2:$L609,$L609)=1,1,0))</f>
        <v>0</v>
      </c>
      <c r="N609">
        <f t="shared" si="141"/>
        <v>20261</v>
      </c>
      <c r="O609" t="str">
        <f t="shared" si="142"/>
        <v>华夏首创奥特莱斯封闭式基础设施证券投资基金|2026Q1|季度</v>
      </c>
      <c r="P609">
        <f>IF($A609="",0,IF(COUNTIF($O$2:$O609,$O609)=1,1,0))</f>
        <v>0</v>
      </c>
      <c r="Q609" t="str">
        <f>IF(AND($P609=1,$A609=经营数据!$B$3,$J609=经营数据!$BA$5),COUNTIFS($P$2:$P$3000,1,$A$2:$A$3000,$A609,$J$2:$J$3000,$J609,$N$2:$N$3000,"&lt;"&amp;$N609)+1,"")</f>
        <v/>
      </c>
      <c r="R609" t="str">
        <f t="shared" si="143"/>
        <v>华夏首创奥特莱斯封闭式基础设施证券投资基金|武汉首创奥莱项目</v>
      </c>
      <c r="S609">
        <f>IF($A609="",0,IF(COUNTIF($R$2:$R609,$R609)=1,1,0))</f>
        <v>0</v>
      </c>
      <c r="T609">
        <f t="shared" si="144"/>
        <v>574</v>
      </c>
      <c r="U609" t="str">
        <f>IF($A609="","",IF($A609=经营数据!$B$3,COUNTIFS($S$2:$S$3000,1,$A$2:$A$3000,$A609,$T$2:$T$3000,"&lt;"&amp;$T609)+1,""))</f>
        <v/>
      </c>
      <c r="V609" t="str">
        <f t="shared" si="145"/>
        <v>武汉首创奥莱项目|服务量</v>
      </c>
      <c r="W609">
        <f t="shared" si="146"/>
        <v>576</v>
      </c>
      <c r="X609" t="str">
        <f t="shared" si="147"/>
        <v>武汉首创奥莱项目|期末可供出租面积</v>
      </c>
      <c r="Y609">
        <f t="shared" si="148"/>
        <v>576</v>
      </c>
      <c r="Z609">
        <f>IF($A609="",0,IF(AND($M609=1,$A609=经营数据!$B$3,$J609=经营数据!$BA$5,OR($I609=经营数据!$BA$4,COUNTIF(经营数据!$AA$9:$AA$38,$I609)&gt;0)),1,0))</f>
        <v>0</v>
      </c>
      <c r="AA609" t="str">
        <f t="shared" si="149"/>
        <v/>
      </c>
      <c r="AB609" t="str">
        <f t="shared" si="150"/>
        <v/>
      </c>
      <c r="AC609">
        <f>IF($A609="",0,IF(COUNTIF($A$2:$A609,$A609)=1,1,0))</f>
        <v>0</v>
      </c>
      <c r="AD609">
        <f t="shared" si="151"/>
        <v>7</v>
      </c>
      <c r="AE609" t="str">
        <f t="shared" si="152"/>
        <v>武汉首创奥莱项目|期末可供出租面积（平方米）</v>
      </c>
      <c r="BP609" s="47">
        <v>46274</v>
      </c>
      <c r="BQ609" s="29">
        <v>4.5568200402556047E-2</v>
      </c>
    </row>
    <row r="610" spans="1:69" x14ac:dyDescent="0.4">
      <c r="A610" t="str">
        <f>IF(原始经营数据!$D611="","",原始经营数据!$D611)</f>
        <v>华夏首创奥特莱斯封闭式基础设施证券投资基金</v>
      </c>
      <c r="B610" t="str">
        <f>IF(原始经营数据!$D611="","",T(原始经营数据!$E611))</f>
        <v>武汉首创奥莱项目</v>
      </c>
      <c r="C610" t="str">
        <f>IF(原始经营数据!$D611="","",原始经营数据!$F611)</f>
        <v>2026Q1</v>
      </c>
      <c r="D610" t="str">
        <f>IF(原始经营数据!$D611="","",原始经营数据!$H611)</f>
        <v>期末实际出租面积</v>
      </c>
      <c r="E610">
        <f>IF(原始经营数据!$D611="","",原始经营数据!$I611)</f>
        <v>46065.68</v>
      </c>
      <c r="F610" t="str">
        <f>IF(原始经营数据!$D611="","",T(原始经营数据!$J611))</f>
        <v>平方米</v>
      </c>
      <c r="G610" t="str">
        <f>IF(原始经营数据!$D611="","",T(原始经营数据!$K611))</f>
        <v/>
      </c>
      <c r="H610" t="str">
        <f>IF(原始经营数据!$D611="","",原始经营数据!$G611)</f>
        <v>服务量</v>
      </c>
      <c r="I610" t="str">
        <f>IF($A610="","",IF($B610&lt;&gt;"",$B610,IF(COUNTIFS(原始经营数据!$D$3:$D$3001,$A610,原始经营数据!$E$3:$E$3001,"",原始经营数据!$F$3:$F$3001,$C610,原始经营数据!$H$3:$H$3001,$D610,原始经营数据!$K$3:$K$3001,$G610)&gt;1,"基金整体·来源"&amp;原始经营数据!$A611,"基金整体")))</f>
        <v>武汉首创奥莱项目</v>
      </c>
      <c r="J610" t="str">
        <f t="shared" si="138"/>
        <v>季度</v>
      </c>
      <c r="K610" t="str">
        <f t="shared" si="139"/>
        <v>期末实际出租面积（平方米）</v>
      </c>
      <c r="L610" t="str">
        <f t="shared" si="140"/>
        <v>武汉首创奥莱项目|期末实际出租面积（平方米）|季度</v>
      </c>
      <c r="M610">
        <f>IF($A610="",0,IF(COUNTIF($L$2:$L610,$L610)=1,1,0))</f>
        <v>0</v>
      </c>
      <c r="N610">
        <f t="shared" si="141"/>
        <v>20261</v>
      </c>
      <c r="O610" t="str">
        <f t="shared" si="142"/>
        <v>华夏首创奥特莱斯封闭式基础设施证券投资基金|2026Q1|季度</v>
      </c>
      <c r="P610">
        <f>IF($A610="",0,IF(COUNTIF($O$2:$O610,$O610)=1,1,0))</f>
        <v>0</v>
      </c>
      <c r="Q610" t="str">
        <f>IF(AND($P610=1,$A610=经营数据!$B$3,$J610=经营数据!$BA$5),COUNTIFS($P$2:$P$3000,1,$A$2:$A$3000,$A610,$J$2:$J$3000,$J610,$N$2:$N$3000,"&lt;"&amp;$N610)+1,"")</f>
        <v/>
      </c>
      <c r="R610" t="str">
        <f t="shared" si="143"/>
        <v>华夏首创奥特莱斯封闭式基础设施证券投资基金|武汉首创奥莱项目</v>
      </c>
      <c r="S610">
        <f>IF($A610="",0,IF(COUNTIF($R$2:$R610,$R610)=1,1,0))</f>
        <v>0</v>
      </c>
      <c r="T610">
        <f t="shared" si="144"/>
        <v>574</v>
      </c>
      <c r="U610" t="str">
        <f>IF($A610="","",IF($A610=经营数据!$B$3,COUNTIFS($S$2:$S$3000,1,$A$2:$A$3000,$A610,$T$2:$T$3000,"&lt;"&amp;$T610)+1,""))</f>
        <v/>
      </c>
      <c r="V610" t="str">
        <f t="shared" si="145"/>
        <v>武汉首创奥莱项目|服务量</v>
      </c>
      <c r="W610">
        <f t="shared" si="146"/>
        <v>576</v>
      </c>
      <c r="X610" t="str">
        <f t="shared" si="147"/>
        <v>武汉首创奥莱项目|期末实际出租面积</v>
      </c>
      <c r="Y610">
        <f t="shared" si="148"/>
        <v>577</v>
      </c>
      <c r="Z610">
        <f>IF($A610="",0,IF(AND($M610=1,$A610=经营数据!$B$3,$J610=经营数据!$BA$5,OR($I610=经营数据!$BA$4,COUNTIF(经营数据!$AA$9:$AA$38,$I610)&gt;0)),1,0))</f>
        <v>0</v>
      </c>
      <c r="AA610" t="str">
        <f t="shared" si="149"/>
        <v/>
      </c>
      <c r="AB610" t="str">
        <f t="shared" si="150"/>
        <v/>
      </c>
      <c r="AC610">
        <f>IF($A610="",0,IF(COUNTIF($A$2:$A610,$A610)=1,1,0))</f>
        <v>0</v>
      </c>
      <c r="AD610">
        <f t="shared" si="151"/>
        <v>7</v>
      </c>
      <c r="AE610" t="str">
        <f t="shared" si="152"/>
        <v>武汉首创奥莱项目|期末实际出租面积（平方米）</v>
      </c>
      <c r="BP610" s="47">
        <v>46275</v>
      </c>
      <c r="BQ610" s="29">
        <v>4.5653727896661792E-2</v>
      </c>
    </row>
    <row r="611" spans="1:69" x14ac:dyDescent="0.4">
      <c r="A611" t="str">
        <f>IF(原始经营数据!$D612="","",原始经营数据!$D612)</f>
        <v>华夏首创奥特莱斯封闭式基础设施证券投资基金</v>
      </c>
      <c r="B611" t="str">
        <f>IF(原始经营数据!$D612="","",T(原始经营数据!$E612))</f>
        <v>武汉首创奥莱项目</v>
      </c>
      <c r="C611" t="str">
        <f>IF(原始经营数据!$D612="","",原始经营数据!$F612)</f>
        <v>2026Q1</v>
      </c>
      <c r="D611" t="str">
        <f>IF(原始经营数据!$D612="","",原始经营数据!$H612)</f>
        <v>期末出租率</v>
      </c>
      <c r="E611">
        <f>IF(原始经营数据!$D612="","",原始经营数据!$I612)</f>
        <v>97.32</v>
      </c>
      <c r="F611" t="str">
        <f>IF(原始经营数据!$D612="","",T(原始经营数据!$J612))</f>
        <v>%</v>
      </c>
      <c r="G611" t="str">
        <f>IF(原始经营数据!$D612="","",T(原始经营数据!$K612))</f>
        <v/>
      </c>
      <c r="H611" t="str">
        <f>IF(原始经营数据!$D612="","",原始经营数据!$G612)</f>
        <v>服务效率</v>
      </c>
      <c r="I611" t="str">
        <f>IF($A611="","",IF($B611&lt;&gt;"",$B611,IF(COUNTIFS(原始经营数据!$D$3:$D$3001,$A611,原始经营数据!$E$3:$E$3001,"",原始经营数据!$F$3:$F$3001,$C611,原始经营数据!$H$3:$H$3001,$D611,原始经营数据!$K$3:$K$3001,$G611)&gt;1,"基金整体·来源"&amp;原始经营数据!$A612,"基金整体")))</f>
        <v>武汉首创奥莱项目</v>
      </c>
      <c r="J611" t="str">
        <f t="shared" si="138"/>
        <v>季度</v>
      </c>
      <c r="K611" t="str">
        <f t="shared" si="139"/>
        <v>期末出租率（%）</v>
      </c>
      <c r="L611" t="str">
        <f t="shared" si="140"/>
        <v>武汉首创奥莱项目|期末出租率（%）|季度</v>
      </c>
      <c r="M611">
        <f>IF($A611="",0,IF(COUNTIF($L$2:$L611,$L611)=1,1,0))</f>
        <v>0</v>
      </c>
      <c r="N611">
        <f t="shared" si="141"/>
        <v>20261</v>
      </c>
      <c r="O611" t="str">
        <f t="shared" si="142"/>
        <v>华夏首创奥特莱斯封闭式基础设施证券投资基金|2026Q1|季度</v>
      </c>
      <c r="P611">
        <f>IF($A611="",0,IF(COUNTIF($O$2:$O611,$O611)=1,1,0))</f>
        <v>0</v>
      </c>
      <c r="Q611" t="str">
        <f>IF(AND($P611=1,$A611=经营数据!$B$3,$J611=经营数据!$BA$5),COUNTIFS($P$2:$P$3000,1,$A$2:$A$3000,$A611,$J$2:$J$3000,$J611,$N$2:$N$3000,"&lt;"&amp;$N611)+1,"")</f>
        <v/>
      </c>
      <c r="R611" t="str">
        <f t="shared" si="143"/>
        <v>华夏首创奥特莱斯封闭式基础设施证券投资基金|武汉首创奥莱项目</v>
      </c>
      <c r="S611">
        <f>IF($A611="",0,IF(COUNTIF($R$2:$R611,$R611)=1,1,0))</f>
        <v>0</v>
      </c>
      <c r="T611">
        <f t="shared" si="144"/>
        <v>574</v>
      </c>
      <c r="U611" t="str">
        <f>IF($A611="","",IF($A611=经营数据!$B$3,COUNTIFS($S$2:$S$3000,1,$A$2:$A$3000,$A611,$T$2:$T$3000,"&lt;"&amp;$T611)+1,""))</f>
        <v/>
      </c>
      <c r="V611" t="str">
        <f t="shared" si="145"/>
        <v>武汉首创奥莱项目|服务效率</v>
      </c>
      <c r="W611">
        <f t="shared" si="146"/>
        <v>574</v>
      </c>
      <c r="X611" t="str">
        <f t="shared" si="147"/>
        <v>武汉首创奥莱项目|期末出租率</v>
      </c>
      <c r="Y611">
        <f t="shared" si="148"/>
        <v>578</v>
      </c>
      <c r="Z611">
        <f>IF($A611="",0,IF(AND($M611=1,$A611=经营数据!$B$3,$J611=经营数据!$BA$5,OR($I611=经营数据!$BA$4,COUNTIF(经营数据!$AA$9:$AA$38,$I611)&gt;0)),1,0))</f>
        <v>0</v>
      </c>
      <c r="AA611" t="str">
        <f t="shared" si="149"/>
        <v/>
      </c>
      <c r="AB611" t="str">
        <f t="shared" si="150"/>
        <v/>
      </c>
      <c r="AC611">
        <f>IF($A611="",0,IF(COUNTIF($A$2:$A611,$A611)=1,1,0))</f>
        <v>0</v>
      </c>
      <c r="AD611">
        <f t="shared" si="151"/>
        <v>7</v>
      </c>
      <c r="AE611" t="str">
        <f t="shared" si="152"/>
        <v>武汉首创奥莱项目|期末出租率（%）</v>
      </c>
      <c r="BP611" s="47">
        <v>46276</v>
      </c>
      <c r="BQ611" s="29">
        <v>4.5811224926099167E-2</v>
      </c>
    </row>
    <row r="612" spans="1:69" x14ac:dyDescent="0.4">
      <c r="A612" t="str">
        <f>IF(原始经营数据!$D613="","",原始经营数据!$D613)</f>
        <v>华夏首创奥特莱斯封闭式基础设施证券投资基金</v>
      </c>
      <c r="B612" t="str">
        <f>IF(原始经营数据!$D613="","",T(原始经营数据!$E613))</f>
        <v>武汉首创奥莱项目</v>
      </c>
      <c r="C612" t="str">
        <f>IF(原始经营数据!$D613="","",原始经营数据!$F613)</f>
        <v>2026Q1</v>
      </c>
      <c r="D612" t="str">
        <f>IF(原始经营数据!$D613="","",原始经营数据!$H613)</f>
        <v>期末剩余租期</v>
      </c>
      <c r="E612">
        <f>IF(原始经营数据!$D613="","",原始经营数据!$I613)</f>
        <v>1.5</v>
      </c>
      <c r="F612" t="str">
        <f>IF(原始经营数据!$D613="","",T(原始经营数据!$J613))</f>
        <v>年</v>
      </c>
      <c r="G612" t="str">
        <f>IF(原始经营数据!$D613="","",T(原始经营数据!$K613))</f>
        <v/>
      </c>
      <c r="H612" t="str">
        <f>IF(原始经营数据!$D613="","",原始经营数据!$G613)</f>
        <v>服务量</v>
      </c>
      <c r="I612" t="str">
        <f>IF($A612="","",IF($B612&lt;&gt;"",$B612,IF(COUNTIFS(原始经营数据!$D$3:$D$3001,$A612,原始经营数据!$E$3:$E$3001,"",原始经营数据!$F$3:$F$3001,$C612,原始经营数据!$H$3:$H$3001,$D612,原始经营数据!$K$3:$K$3001,$G612)&gt;1,"基金整体·来源"&amp;原始经营数据!$A613,"基金整体")))</f>
        <v>武汉首创奥莱项目</v>
      </c>
      <c r="J612" t="str">
        <f t="shared" si="138"/>
        <v>季度</v>
      </c>
      <c r="K612" t="str">
        <f t="shared" si="139"/>
        <v>期末剩余租期（年）</v>
      </c>
      <c r="L612" t="str">
        <f t="shared" si="140"/>
        <v>武汉首创奥莱项目|期末剩余租期（年）|季度</v>
      </c>
      <c r="M612">
        <f>IF($A612="",0,IF(COUNTIF($L$2:$L612,$L612)=1,1,0))</f>
        <v>0</v>
      </c>
      <c r="N612">
        <f t="shared" si="141"/>
        <v>20261</v>
      </c>
      <c r="O612" t="str">
        <f t="shared" si="142"/>
        <v>华夏首创奥特莱斯封闭式基础设施证券投资基金|2026Q1|季度</v>
      </c>
      <c r="P612">
        <f>IF($A612="",0,IF(COUNTIF($O$2:$O612,$O612)=1,1,0))</f>
        <v>0</v>
      </c>
      <c r="Q612" t="str">
        <f>IF(AND($P612=1,$A612=经营数据!$B$3,$J612=经营数据!$BA$5),COUNTIFS($P$2:$P$3000,1,$A$2:$A$3000,$A612,$J$2:$J$3000,$J612,$N$2:$N$3000,"&lt;"&amp;$N612)+1,"")</f>
        <v/>
      </c>
      <c r="R612" t="str">
        <f t="shared" si="143"/>
        <v>华夏首创奥特莱斯封闭式基础设施证券投资基金|武汉首创奥莱项目</v>
      </c>
      <c r="S612">
        <f>IF($A612="",0,IF(COUNTIF($R$2:$R612,$R612)=1,1,0))</f>
        <v>0</v>
      </c>
      <c r="T612">
        <f t="shared" si="144"/>
        <v>574</v>
      </c>
      <c r="U612" t="str">
        <f>IF($A612="","",IF($A612=经营数据!$B$3,COUNTIFS($S$2:$S$3000,1,$A$2:$A$3000,$A612,$T$2:$T$3000,"&lt;"&amp;$T612)+1,""))</f>
        <v/>
      </c>
      <c r="V612" t="str">
        <f t="shared" si="145"/>
        <v>武汉首创奥莱项目|服务量</v>
      </c>
      <c r="W612">
        <f t="shared" si="146"/>
        <v>576</v>
      </c>
      <c r="X612" t="str">
        <f t="shared" si="147"/>
        <v>武汉首创奥莱项目|期末剩余租期</v>
      </c>
      <c r="Y612">
        <f t="shared" si="148"/>
        <v>579</v>
      </c>
      <c r="Z612">
        <f>IF($A612="",0,IF(AND($M612=1,$A612=经营数据!$B$3,$J612=经营数据!$BA$5,OR($I612=经营数据!$BA$4,COUNTIF(经营数据!$AA$9:$AA$38,$I612)&gt;0)),1,0))</f>
        <v>0</v>
      </c>
      <c r="AA612" t="str">
        <f t="shared" si="149"/>
        <v/>
      </c>
      <c r="AB612" t="str">
        <f t="shared" si="150"/>
        <v/>
      </c>
      <c r="AC612">
        <f>IF($A612="",0,IF(COUNTIF($A$2:$A612,$A612)=1,1,0))</f>
        <v>0</v>
      </c>
      <c r="AD612">
        <f t="shared" si="151"/>
        <v>7</v>
      </c>
      <c r="AE612" t="str">
        <f t="shared" si="152"/>
        <v>武汉首创奥莱项目|期末剩余租期（年）</v>
      </c>
      <c r="BP612" s="47">
        <v>46279</v>
      </c>
      <c r="BQ612" s="29">
        <v>4.595581141564279E-2</v>
      </c>
    </row>
    <row r="613" spans="1:69" x14ac:dyDescent="0.4">
      <c r="A613" t="str">
        <f>IF(原始经营数据!$D614="","",原始经营数据!$D614)</f>
        <v>华夏首创奥特莱斯封闭式基础设施证券投资基金</v>
      </c>
      <c r="B613" t="str">
        <f>IF(原始经营数据!$D614="","",T(原始经营数据!$E614))</f>
        <v>武汉首创奥莱项目</v>
      </c>
      <c r="C613" t="str">
        <f>IF(原始经营数据!$D614="","",原始经营数据!$F614)</f>
        <v>2026Q1</v>
      </c>
      <c r="D613" t="str">
        <f>IF(原始经营数据!$D614="","",原始经营数据!$H614)</f>
        <v>期内租金单价水平</v>
      </c>
      <c r="E613">
        <f>IF(原始经营数据!$D614="","",原始经营数据!$I614)</f>
        <v>193.23</v>
      </c>
      <c r="F613" t="str">
        <f>IF(原始经营数据!$D614="","",T(原始经营数据!$J614))</f>
        <v>元/平方米/月</v>
      </c>
      <c r="G613" t="str">
        <f>IF(原始经营数据!$D614="","",T(原始经营数据!$K614))</f>
        <v/>
      </c>
      <c r="H613" t="str">
        <f>IF(原始经营数据!$D614="","",原始经营数据!$G614)</f>
        <v>服务价格</v>
      </c>
      <c r="I613" t="str">
        <f>IF($A613="","",IF($B613&lt;&gt;"",$B613,IF(COUNTIFS(原始经营数据!$D$3:$D$3001,$A613,原始经营数据!$E$3:$E$3001,"",原始经营数据!$F$3:$F$3001,$C613,原始经营数据!$H$3:$H$3001,$D613,原始经营数据!$K$3:$K$3001,$G613)&gt;1,"基金整体·来源"&amp;原始经营数据!$A614,"基金整体")))</f>
        <v>武汉首创奥莱项目</v>
      </c>
      <c r="J613" t="str">
        <f t="shared" si="138"/>
        <v>季度</v>
      </c>
      <c r="K613" t="str">
        <f t="shared" si="139"/>
        <v>期内租金单价水平（元/平方米/月）</v>
      </c>
      <c r="L613" t="str">
        <f t="shared" si="140"/>
        <v>武汉首创奥莱项目|期内租金单价水平（元/平方米/月）|季度</v>
      </c>
      <c r="M613">
        <f>IF($A613="",0,IF(COUNTIF($L$2:$L613,$L613)=1,1,0))</f>
        <v>0</v>
      </c>
      <c r="N613">
        <f t="shared" si="141"/>
        <v>20261</v>
      </c>
      <c r="O613" t="str">
        <f t="shared" si="142"/>
        <v>华夏首创奥特莱斯封闭式基础设施证券投资基金|2026Q1|季度</v>
      </c>
      <c r="P613">
        <f>IF($A613="",0,IF(COUNTIF($O$2:$O613,$O613)=1,1,0))</f>
        <v>0</v>
      </c>
      <c r="Q613" t="str">
        <f>IF(AND($P613=1,$A613=经营数据!$B$3,$J613=经营数据!$BA$5),COUNTIFS($P$2:$P$3000,1,$A$2:$A$3000,$A613,$J$2:$J$3000,$J613,$N$2:$N$3000,"&lt;"&amp;$N613)+1,"")</f>
        <v/>
      </c>
      <c r="R613" t="str">
        <f t="shared" si="143"/>
        <v>华夏首创奥特莱斯封闭式基础设施证券投资基金|武汉首创奥莱项目</v>
      </c>
      <c r="S613">
        <f>IF($A613="",0,IF(COUNTIF($R$2:$R613,$R613)=1,1,0))</f>
        <v>0</v>
      </c>
      <c r="T613">
        <f t="shared" si="144"/>
        <v>574</v>
      </c>
      <c r="U613" t="str">
        <f>IF($A613="","",IF($A613=经营数据!$B$3,COUNTIFS($S$2:$S$3000,1,$A$2:$A$3000,$A613,$T$2:$T$3000,"&lt;"&amp;$T613)+1,""))</f>
        <v/>
      </c>
      <c r="V613" t="str">
        <f t="shared" si="145"/>
        <v>武汉首创奥莱项目|服务价格</v>
      </c>
      <c r="W613">
        <f t="shared" si="146"/>
        <v>575</v>
      </c>
      <c r="X613" t="str">
        <f t="shared" si="147"/>
        <v>武汉首创奥莱项目|期内租金单价水平</v>
      </c>
      <c r="Y613">
        <f t="shared" si="148"/>
        <v>575</v>
      </c>
      <c r="Z613">
        <f>IF($A613="",0,IF(AND($M613=1,$A613=经营数据!$B$3,$J613=经营数据!$BA$5,OR($I613=经营数据!$BA$4,COUNTIF(经营数据!$AA$9:$AA$38,$I613)&gt;0)),1,0))</f>
        <v>0</v>
      </c>
      <c r="AA613" t="str">
        <f t="shared" si="149"/>
        <v/>
      </c>
      <c r="AB613" t="str">
        <f t="shared" si="150"/>
        <v/>
      </c>
      <c r="AC613">
        <f>IF($A613="",0,IF(COUNTIF($A$2:$A613,$A613)=1,1,0))</f>
        <v>0</v>
      </c>
      <c r="AD613">
        <f t="shared" si="151"/>
        <v>7</v>
      </c>
      <c r="AE613" t="str">
        <f t="shared" si="152"/>
        <v>武汉首创奥莱项目|期内租金单价水平（元/平方米/月）</v>
      </c>
      <c r="BP613" s="47">
        <v>46280</v>
      </c>
      <c r="BQ613" s="29">
        <v>4.5807327743814463E-2</v>
      </c>
    </row>
    <row r="614" spans="1:69" x14ac:dyDescent="0.4">
      <c r="A614" t="str">
        <f>IF(原始经营数据!$D615="","",原始经营数据!$D615)</f>
        <v>华夏首创奥特莱斯封闭式基础设施证券投资基金</v>
      </c>
      <c r="B614" t="str">
        <f>IF(原始经营数据!$D615="","",T(原始经营数据!$E615))</f>
        <v>武汉首创奥莱项目</v>
      </c>
      <c r="C614" t="str">
        <f>IF(原始经营数据!$D615="","",原始经营数据!$F615)</f>
        <v>2026Q2</v>
      </c>
      <c r="D614" t="str">
        <f>IF(原始经营数据!$D615="","",原始经营数据!$H615)</f>
        <v>期末租金收缴率</v>
      </c>
      <c r="E614">
        <f>IF(原始经营数据!$D615="","",原始经营数据!$I615)</f>
        <v>100</v>
      </c>
      <c r="F614" t="str">
        <f>IF(原始经营数据!$D615="","",T(原始经营数据!$J615))</f>
        <v>%</v>
      </c>
      <c r="G614" t="str">
        <f>IF(原始经营数据!$D615="","",T(原始经营数据!$K615))</f>
        <v/>
      </c>
      <c r="H614" t="str">
        <f>IF(原始经营数据!$D615="","",原始经营数据!$G615)</f>
        <v>服务效率</v>
      </c>
      <c r="I614" t="str">
        <f>IF($A614="","",IF($B614&lt;&gt;"",$B614,IF(COUNTIFS(原始经营数据!$D$3:$D$3001,$A614,原始经营数据!$E$3:$E$3001,"",原始经营数据!$F$3:$F$3001,$C614,原始经营数据!$H$3:$H$3001,$D614,原始经营数据!$K$3:$K$3001,$G614)&gt;1,"基金整体·来源"&amp;原始经营数据!$A615,"基金整体")))</f>
        <v>武汉首创奥莱项目</v>
      </c>
      <c r="J614" t="str">
        <f t="shared" si="138"/>
        <v>季度</v>
      </c>
      <c r="K614" t="str">
        <f t="shared" si="139"/>
        <v>期末租金收缴率（%）</v>
      </c>
      <c r="L614" t="str">
        <f t="shared" si="140"/>
        <v>武汉首创奥莱项目|期末租金收缴率（%）|季度</v>
      </c>
      <c r="M614">
        <f>IF($A614="",0,IF(COUNTIF($L$2:$L614,$L614)=1,1,0))</f>
        <v>0</v>
      </c>
      <c r="N614">
        <f t="shared" si="141"/>
        <v>20262</v>
      </c>
      <c r="O614" t="str">
        <f t="shared" si="142"/>
        <v>华夏首创奥特莱斯封闭式基础设施证券投资基金|2026Q2|季度</v>
      </c>
      <c r="P614">
        <f>IF($A614="",0,IF(COUNTIF($O$2:$O614,$O614)=1,1,0))</f>
        <v>0</v>
      </c>
      <c r="Q614" t="str">
        <f>IF(AND($P614=1,$A614=经营数据!$B$3,$J614=经营数据!$BA$5),COUNTIFS($P$2:$P$3000,1,$A$2:$A$3000,$A614,$J$2:$J$3000,$J614,$N$2:$N$3000,"&lt;"&amp;$N614)+1,"")</f>
        <v/>
      </c>
      <c r="R614" t="str">
        <f t="shared" si="143"/>
        <v>华夏首创奥特莱斯封闭式基础设施证券投资基金|武汉首创奥莱项目</v>
      </c>
      <c r="S614">
        <f>IF($A614="",0,IF(COUNTIF($R$2:$R614,$R614)=1,1,0))</f>
        <v>0</v>
      </c>
      <c r="T614">
        <f t="shared" si="144"/>
        <v>574</v>
      </c>
      <c r="U614" t="str">
        <f>IF($A614="","",IF($A614=经营数据!$B$3,COUNTIFS($S$2:$S$3000,1,$A$2:$A$3000,$A614,$T$2:$T$3000,"&lt;"&amp;$T614)+1,""))</f>
        <v/>
      </c>
      <c r="V614" t="str">
        <f t="shared" si="145"/>
        <v>武汉首创奥莱项目|服务效率</v>
      </c>
      <c r="W614">
        <f t="shared" si="146"/>
        <v>574</v>
      </c>
      <c r="X614" t="str">
        <f t="shared" si="147"/>
        <v>武汉首创奥莱项目|期末租金收缴率</v>
      </c>
      <c r="Y614">
        <f t="shared" si="148"/>
        <v>574</v>
      </c>
      <c r="Z614">
        <f>IF($A614="",0,IF(AND($M614=1,$A614=经营数据!$B$3,$J614=经营数据!$BA$5,OR($I614=经营数据!$BA$4,COUNTIF(经营数据!$AA$9:$AA$38,$I614)&gt;0)),1,0))</f>
        <v>0</v>
      </c>
      <c r="AA614" t="str">
        <f t="shared" si="149"/>
        <v/>
      </c>
      <c r="AB614" t="str">
        <f t="shared" si="150"/>
        <v/>
      </c>
      <c r="AC614">
        <f>IF($A614="",0,IF(COUNTIF($A$2:$A614,$A614)=1,1,0))</f>
        <v>0</v>
      </c>
      <c r="AD614">
        <f t="shared" si="151"/>
        <v>7</v>
      </c>
      <c r="AE614" t="str">
        <f t="shared" si="152"/>
        <v>武汉首创奥莱项目|期末租金收缴率（%）</v>
      </c>
      <c r="BP614" s="47">
        <v>46281</v>
      </c>
      <c r="BQ614" s="29">
        <v>4.5824143859245131E-2</v>
      </c>
    </row>
    <row r="615" spans="1:69" x14ac:dyDescent="0.4">
      <c r="A615" t="str">
        <f>IF(原始经营数据!$D616="","",原始经营数据!$D616)</f>
        <v>华夏首创奥特莱斯封闭式基础设施证券投资基金</v>
      </c>
      <c r="B615" t="str">
        <f>IF(原始经营数据!$D616="","",T(原始经营数据!$E616))</f>
        <v>武汉首创奥莱项目</v>
      </c>
      <c r="C615" t="str">
        <f>IF(原始经营数据!$D616="","",原始经营数据!$F616)</f>
        <v>2026Q2</v>
      </c>
      <c r="D615" t="str">
        <f>IF(原始经营数据!$D616="","",原始经营数据!$H616)</f>
        <v>期末可供出租面积</v>
      </c>
      <c r="E615">
        <f>IF(原始经营数据!$D616="","",原始经营数据!$I616)</f>
        <v>47335.33</v>
      </c>
      <c r="F615" t="str">
        <f>IF(原始经营数据!$D616="","",T(原始经营数据!$J616))</f>
        <v>平方米</v>
      </c>
      <c r="G615" t="str">
        <f>IF(原始经营数据!$D616="","",T(原始经营数据!$K616))</f>
        <v/>
      </c>
      <c r="H615" t="str">
        <f>IF(原始经营数据!$D616="","",原始经营数据!$G616)</f>
        <v>服务量</v>
      </c>
      <c r="I615" t="str">
        <f>IF($A615="","",IF($B615&lt;&gt;"",$B615,IF(COUNTIFS(原始经营数据!$D$3:$D$3001,$A615,原始经营数据!$E$3:$E$3001,"",原始经营数据!$F$3:$F$3001,$C615,原始经营数据!$H$3:$H$3001,$D615,原始经营数据!$K$3:$K$3001,$G615)&gt;1,"基金整体·来源"&amp;原始经营数据!$A616,"基金整体")))</f>
        <v>武汉首创奥莱项目</v>
      </c>
      <c r="J615" t="str">
        <f t="shared" si="138"/>
        <v>季度</v>
      </c>
      <c r="K615" t="str">
        <f t="shared" si="139"/>
        <v>期末可供出租面积（平方米）</v>
      </c>
      <c r="L615" t="str">
        <f t="shared" si="140"/>
        <v>武汉首创奥莱项目|期末可供出租面积（平方米）|季度</v>
      </c>
      <c r="M615">
        <f>IF($A615="",0,IF(COUNTIF($L$2:$L615,$L615)=1,1,0))</f>
        <v>0</v>
      </c>
      <c r="N615">
        <f t="shared" si="141"/>
        <v>20262</v>
      </c>
      <c r="O615" t="str">
        <f t="shared" si="142"/>
        <v>华夏首创奥特莱斯封闭式基础设施证券投资基金|2026Q2|季度</v>
      </c>
      <c r="P615">
        <f>IF($A615="",0,IF(COUNTIF($O$2:$O615,$O615)=1,1,0))</f>
        <v>0</v>
      </c>
      <c r="Q615" t="str">
        <f>IF(AND($P615=1,$A615=经营数据!$B$3,$J615=经营数据!$BA$5),COUNTIFS($P$2:$P$3000,1,$A$2:$A$3000,$A615,$J$2:$J$3000,$J615,$N$2:$N$3000,"&lt;"&amp;$N615)+1,"")</f>
        <v/>
      </c>
      <c r="R615" t="str">
        <f t="shared" si="143"/>
        <v>华夏首创奥特莱斯封闭式基础设施证券投资基金|武汉首创奥莱项目</v>
      </c>
      <c r="S615">
        <f>IF($A615="",0,IF(COUNTIF($R$2:$R615,$R615)=1,1,0))</f>
        <v>0</v>
      </c>
      <c r="T615">
        <f t="shared" si="144"/>
        <v>574</v>
      </c>
      <c r="U615" t="str">
        <f>IF($A615="","",IF($A615=经营数据!$B$3,COUNTIFS($S$2:$S$3000,1,$A$2:$A$3000,$A615,$T$2:$T$3000,"&lt;"&amp;$T615)+1,""))</f>
        <v/>
      </c>
      <c r="V615" t="str">
        <f t="shared" si="145"/>
        <v>武汉首创奥莱项目|服务量</v>
      </c>
      <c r="W615">
        <f t="shared" si="146"/>
        <v>576</v>
      </c>
      <c r="X615" t="str">
        <f t="shared" si="147"/>
        <v>武汉首创奥莱项目|期末可供出租面积</v>
      </c>
      <c r="Y615">
        <f t="shared" si="148"/>
        <v>576</v>
      </c>
      <c r="Z615">
        <f>IF($A615="",0,IF(AND($M615=1,$A615=经营数据!$B$3,$J615=经营数据!$BA$5,OR($I615=经营数据!$BA$4,COUNTIF(经营数据!$AA$9:$AA$38,$I615)&gt;0)),1,0))</f>
        <v>0</v>
      </c>
      <c r="AA615" t="str">
        <f t="shared" si="149"/>
        <v/>
      </c>
      <c r="AB615" t="str">
        <f t="shared" si="150"/>
        <v/>
      </c>
      <c r="AC615">
        <f>IF($A615="",0,IF(COUNTIF($A$2:$A615,$A615)=1,1,0))</f>
        <v>0</v>
      </c>
      <c r="AD615">
        <f t="shared" si="151"/>
        <v>7</v>
      </c>
      <c r="AE615" t="str">
        <f t="shared" si="152"/>
        <v>武汉首创奥莱项目|期末可供出租面积（平方米）</v>
      </c>
      <c r="BP615" s="47">
        <v>46282</v>
      </c>
      <c r="BQ615" s="29">
        <v>4.559589163964449E-2</v>
      </c>
    </row>
    <row r="616" spans="1:69" x14ac:dyDescent="0.4">
      <c r="A616" t="str">
        <f>IF(原始经营数据!$D617="","",原始经营数据!$D617)</f>
        <v>华夏首创奥特莱斯封闭式基础设施证券投资基金</v>
      </c>
      <c r="B616" t="str">
        <f>IF(原始经营数据!$D617="","",T(原始经营数据!$E617))</f>
        <v>武汉首创奥莱项目</v>
      </c>
      <c r="C616" t="str">
        <f>IF(原始经营数据!$D617="","",原始经营数据!$F617)</f>
        <v>2026Q2</v>
      </c>
      <c r="D616" t="str">
        <f>IF(原始经营数据!$D617="","",原始经营数据!$H617)</f>
        <v>期末实际出租面积</v>
      </c>
      <c r="E616">
        <f>IF(原始经营数据!$D617="","",原始经营数据!$I617)</f>
        <v>46567.82</v>
      </c>
      <c r="F616" t="str">
        <f>IF(原始经营数据!$D617="","",T(原始经营数据!$J617))</f>
        <v>平方米</v>
      </c>
      <c r="G616" t="str">
        <f>IF(原始经营数据!$D617="","",T(原始经营数据!$K617))</f>
        <v/>
      </c>
      <c r="H616" t="str">
        <f>IF(原始经营数据!$D617="","",原始经营数据!$G617)</f>
        <v>服务量</v>
      </c>
      <c r="I616" t="str">
        <f>IF($A616="","",IF($B616&lt;&gt;"",$B616,IF(COUNTIFS(原始经营数据!$D$3:$D$3001,$A616,原始经营数据!$E$3:$E$3001,"",原始经营数据!$F$3:$F$3001,$C616,原始经营数据!$H$3:$H$3001,$D616,原始经营数据!$K$3:$K$3001,$G616)&gt;1,"基金整体·来源"&amp;原始经营数据!$A617,"基金整体")))</f>
        <v>武汉首创奥莱项目</v>
      </c>
      <c r="J616" t="str">
        <f t="shared" si="138"/>
        <v>季度</v>
      </c>
      <c r="K616" t="str">
        <f t="shared" si="139"/>
        <v>期末实际出租面积（平方米）</v>
      </c>
      <c r="L616" t="str">
        <f t="shared" si="140"/>
        <v>武汉首创奥莱项目|期末实际出租面积（平方米）|季度</v>
      </c>
      <c r="M616">
        <f>IF($A616="",0,IF(COUNTIF($L$2:$L616,$L616)=1,1,0))</f>
        <v>0</v>
      </c>
      <c r="N616">
        <f t="shared" si="141"/>
        <v>20262</v>
      </c>
      <c r="O616" t="str">
        <f t="shared" si="142"/>
        <v>华夏首创奥特莱斯封闭式基础设施证券投资基金|2026Q2|季度</v>
      </c>
      <c r="P616">
        <f>IF($A616="",0,IF(COUNTIF($O$2:$O616,$O616)=1,1,0))</f>
        <v>0</v>
      </c>
      <c r="Q616" t="str">
        <f>IF(AND($P616=1,$A616=经营数据!$B$3,$J616=经营数据!$BA$5),COUNTIFS($P$2:$P$3000,1,$A$2:$A$3000,$A616,$J$2:$J$3000,$J616,$N$2:$N$3000,"&lt;"&amp;$N616)+1,"")</f>
        <v/>
      </c>
      <c r="R616" t="str">
        <f t="shared" si="143"/>
        <v>华夏首创奥特莱斯封闭式基础设施证券投资基金|武汉首创奥莱项目</v>
      </c>
      <c r="S616">
        <f>IF($A616="",0,IF(COUNTIF($R$2:$R616,$R616)=1,1,0))</f>
        <v>0</v>
      </c>
      <c r="T616">
        <f t="shared" si="144"/>
        <v>574</v>
      </c>
      <c r="U616" t="str">
        <f>IF($A616="","",IF($A616=经营数据!$B$3,COUNTIFS($S$2:$S$3000,1,$A$2:$A$3000,$A616,$T$2:$T$3000,"&lt;"&amp;$T616)+1,""))</f>
        <v/>
      </c>
      <c r="V616" t="str">
        <f t="shared" si="145"/>
        <v>武汉首创奥莱项目|服务量</v>
      </c>
      <c r="W616">
        <f t="shared" si="146"/>
        <v>576</v>
      </c>
      <c r="X616" t="str">
        <f t="shared" si="147"/>
        <v>武汉首创奥莱项目|期末实际出租面积</v>
      </c>
      <c r="Y616">
        <f t="shared" si="148"/>
        <v>577</v>
      </c>
      <c r="Z616">
        <f>IF($A616="",0,IF(AND($M616=1,$A616=经营数据!$B$3,$J616=经营数据!$BA$5,OR($I616=经营数据!$BA$4,COUNTIF(经营数据!$AA$9:$AA$38,$I616)&gt;0)),1,0))</f>
        <v>0</v>
      </c>
      <c r="AA616" t="str">
        <f t="shared" si="149"/>
        <v/>
      </c>
      <c r="AB616" t="str">
        <f t="shared" si="150"/>
        <v/>
      </c>
      <c r="AC616">
        <f>IF($A616="",0,IF(COUNTIF($A$2:$A616,$A616)=1,1,0))</f>
        <v>0</v>
      </c>
      <c r="AD616">
        <f t="shared" si="151"/>
        <v>7</v>
      </c>
      <c r="AE616" t="str">
        <f t="shared" si="152"/>
        <v>武汉首创奥莱项目|期末实际出租面积（平方米）</v>
      </c>
      <c r="BP616" s="47">
        <v>46283</v>
      </c>
      <c r="BQ616" s="29">
        <v>4.5666178444049778E-2</v>
      </c>
    </row>
    <row r="617" spans="1:69" x14ac:dyDescent="0.4">
      <c r="A617" t="str">
        <f>IF(原始经营数据!$D618="","",原始经营数据!$D618)</f>
        <v>华夏首创奥特莱斯封闭式基础设施证券投资基金</v>
      </c>
      <c r="B617" t="str">
        <f>IF(原始经营数据!$D618="","",T(原始经营数据!$E618))</f>
        <v>武汉首创奥莱项目</v>
      </c>
      <c r="C617" t="str">
        <f>IF(原始经营数据!$D618="","",原始经营数据!$F618)</f>
        <v>2026Q2</v>
      </c>
      <c r="D617" t="str">
        <f>IF(原始经营数据!$D618="","",原始经营数据!$H618)</f>
        <v>期末出租率</v>
      </c>
      <c r="E617">
        <f>IF(原始经营数据!$D618="","",原始经营数据!$I618)</f>
        <v>98.38</v>
      </c>
      <c r="F617" t="str">
        <f>IF(原始经营数据!$D618="","",T(原始经营数据!$J618))</f>
        <v>%</v>
      </c>
      <c r="G617" t="str">
        <f>IF(原始经营数据!$D618="","",T(原始经营数据!$K618))</f>
        <v/>
      </c>
      <c r="H617" t="str">
        <f>IF(原始经营数据!$D618="","",原始经营数据!$G618)</f>
        <v>服务效率</v>
      </c>
      <c r="I617" t="str">
        <f>IF($A617="","",IF($B617&lt;&gt;"",$B617,IF(COUNTIFS(原始经营数据!$D$3:$D$3001,$A617,原始经营数据!$E$3:$E$3001,"",原始经营数据!$F$3:$F$3001,$C617,原始经营数据!$H$3:$H$3001,$D617,原始经营数据!$K$3:$K$3001,$G617)&gt;1,"基金整体·来源"&amp;原始经营数据!$A618,"基金整体")))</f>
        <v>武汉首创奥莱项目</v>
      </c>
      <c r="J617" t="str">
        <f t="shared" si="138"/>
        <v>季度</v>
      </c>
      <c r="K617" t="str">
        <f t="shared" si="139"/>
        <v>期末出租率（%）</v>
      </c>
      <c r="L617" t="str">
        <f t="shared" si="140"/>
        <v>武汉首创奥莱项目|期末出租率（%）|季度</v>
      </c>
      <c r="M617">
        <f>IF($A617="",0,IF(COUNTIF($L$2:$L617,$L617)=1,1,0))</f>
        <v>0</v>
      </c>
      <c r="N617">
        <f t="shared" si="141"/>
        <v>20262</v>
      </c>
      <c r="O617" t="str">
        <f t="shared" si="142"/>
        <v>华夏首创奥特莱斯封闭式基础设施证券投资基金|2026Q2|季度</v>
      </c>
      <c r="P617">
        <f>IF($A617="",0,IF(COUNTIF($O$2:$O617,$O617)=1,1,0))</f>
        <v>0</v>
      </c>
      <c r="Q617" t="str">
        <f>IF(AND($P617=1,$A617=经营数据!$B$3,$J617=经营数据!$BA$5),COUNTIFS($P$2:$P$3000,1,$A$2:$A$3000,$A617,$J$2:$J$3000,$J617,$N$2:$N$3000,"&lt;"&amp;$N617)+1,"")</f>
        <v/>
      </c>
      <c r="R617" t="str">
        <f t="shared" si="143"/>
        <v>华夏首创奥特莱斯封闭式基础设施证券投资基金|武汉首创奥莱项目</v>
      </c>
      <c r="S617">
        <f>IF($A617="",0,IF(COUNTIF($R$2:$R617,$R617)=1,1,0))</f>
        <v>0</v>
      </c>
      <c r="T617">
        <f t="shared" si="144"/>
        <v>574</v>
      </c>
      <c r="U617" t="str">
        <f>IF($A617="","",IF($A617=经营数据!$B$3,COUNTIFS($S$2:$S$3000,1,$A$2:$A$3000,$A617,$T$2:$T$3000,"&lt;"&amp;$T617)+1,""))</f>
        <v/>
      </c>
      <c r="V617" t="str">
        <f t="shared" si="145"/>
        <v>武汉首创奥莱项目|服务效率</v>
      </c>
      <c r="W617">
        <f t="shared" si="146"/>
        <v>574</v>
      </c>
      <c r="X617" t="str">
        <f t="shared" si="147"/>
        <v>武汉首创奥莱项目|期末出租率</v>
      </c>
      <c r="Y617">
        <f t="shared" si="148"/>
        <v>578</v>
      </c>
      <c r="Z617">
        <f>IF($A617="",0,IF(AND($M617=1,$A617=经营数据!$B$3,$J617=经营数据!$BA$5,OR($I617=经营数据!$BA$4,COUNTIF(经营数据!$AA$9:$AA$38,$I617)&gt;0)),1,0))</f>
        <v>0</v>
      </c>
      <c r="AA617" t="str">
        <f t="shared" si="149"/>
        <v/>
      </c>
      <c r="AB617" t="str">
        <f t="shared" si="150"/>
        <v/>
      </c>
      <c r="AC617">
        <f>IF($A617="",0,IF(COUNTIF($A$2:$A617,$A617)=1,1,0))</f>
        <v>0</v>
      </c>
      <c r="AD617">
        <f t="shared" si="151"/>
        <v>7</v>
      </c>
      <c r="AE617" t="str">
        <f t="shared" si="152"/>
        <v>武汉首创奥莱项目|期末出租率（%）</v>
      </c>
      <c r="BP617" s="47">
        <v>46286</v>
      </c>
      <c r="BQ617" s="29">
        <v>4.5874819634459871E-2</v>
      </c>
    </row>
    <row r="618" spans="1:69" x14ac:dyDescent="0.4">
      <c r="A618" t="str">
        <f>IF(原始经营数据!$D619="","",原始经营数据!$D619)</f>
        <v>华夏首创奥特莱斯封闭式基础设施证券投资基金</v>
      </c>
      <c r="B618" t="str">
        <f>IF(原始经营数据!$D619="","",T(原始经营数据!$E619))</f>
        <v>武汉首创奥莱项目</v>
      </c>
      <c r="C618" t="str">
        <f>IF(原始经营数据!$D619="","",原始经营数据!$F619)</f>
        <v>2026Q2</v>
      </c>
      <c r="D618" t="str">
        <f>IF(原始经营数据!$D619="","",原始经营数据!$H619)</f>
        <v>期内租金单价水平</v>
      </c>
      <c r="E618">
        <f>IF(原始经营数据!$D619="","",原始经营数据!$I619)</f>
        <v>144.83000000000001</v>
      </c>
      <c r="F618" t="str">
        <f>IF(原始经营数据!$D619="","",T(原始经营数据!$J619))</f>
        <v>元/平方米/月</v>
      </c>
      <c r="G618" t="str">
        <f>IF(原始经营数据!$D619="","",T(原始经营数据!$K619))</f>
        <v/>
      </c>
      <c r="H618" t="str">
        <f>IF(原始经营数据!$D619="","",原始经营数据!$G619)</f>
        <v>服务价格</v>
      </c>
      <c r="I618" t="str">
        <f>IF($A618="","",IF($B618&lt;&gt;"",$B618,IF(COUNTIFS(原始经营数据!$D$3:$D$3001,$A618,原始经营数据!$E$3:$E$3001,"",原始经营数据!$F$3:$F$3001,$C618,原始经营数据!$H$3:$H$3001,$D618,原始经营数据!$K$3:$K$3001,$G618)&gt;1,"基金整体·来源"&amp;原始经营数据!$A619,"基金整体")))</f>
        <v>武汉首创奥莱项目</v>
      </c>
      <c r="J618" t="str">
        <f t="shared" si="138"/>
        <v>季度</v>
      </c>
      <c r="K618" t="str">
        <f t="shared" si="139"/>
        <v>期内租金单价水平（元/平方米/月）</v>
      </c>
      <c r="L618" t="str">
        <f t="shared" si="140"/>
        <v>武汉首创奥莱项目|期内租金单价水平（元/平方米/月）|季度</v>
      </c>
      <c r="M618">
        <f>IF($A618="",0,IF(COUNTIF($L$2:$L618,$L618)=1,1,0))</f>
        <v>0</v>
      </c>
      <c r="N618">
        <f t="shared" si="141"/>
        <v>20262</v>
      </c>
      <c r="O618" t="str">
        <f t="shared" si="142"/>
        <v>华夏首创奥特莱斯封闭式基础设施证券投资基金|2026Q2|季度</v>
      </c>
      <c r="P618">
        <f>IF($A618="",0,IF(COUNTIF($O$2:$O618,$O618)=1,1,0))</f>
        <v>0</v>
      </c>
      <c r="Q618" t="str">
        <f>IF(AND($P618=1,$A618=经营数据!$B$3,$J618=经营数据!$BA$5),COUNTIFS($P$2:$P$3000,1,$A$2:$A$3000,$A618,$J$2:$J$3000,$J618,$N$2:$N$3000,"&lt;"&amp;$N618)+1,"")</f>
        <v/>
      </c>
      <c r="R618" t="str">
        <f t="shared" si="143"/>
        <v>华夏首创奥特莱斯封闭式基础设施证券投资基金|武汉首创奥莱项目</v>
      </c>
      <c r="S618">
        <f>IF($A618="",0,IF(COUNTIF($R$2:$R618,$R618)=1,1,0))</f>
        <v>0</v>
      </c>
      <c r="T618">
        <f t="shared" si="144"/>
        <v>574</v>
      </c>
      <c r="U618" t="str">
        <f>IF($A618="","",IF($A618=经营数据!$B$3,COUNTIFS($S$2:$S$3000,1,$A$2:$A$3000,$A618,$T$2:$T$3000,"&lt;"&amp;$T618)+1,""))</f>
        <v/>
      </c>
      <c r="V618" t="str">
        <f t="shared" si="145"/>
        <v>武汉首创奥莱项目|服务价格</v>
      </c>
      <c r="W618">
        <f t="shared" si="146"/>
        <v>575</v>
      </c>
      <c r="X618" t="str">
        <f t="shared" si="147"/>
        <v>武汉首创奥莱项目|期内租金单价水平</v>
      </c>
      <c r="Y618">
        <f t="shared" si="148"/>
        <v>575</v>
      </c>
      <c r="Z618">
        <f>IF($A618="",0,IF(AND($M618=1,$A618=经营数据!$B$3,$J618=经营数据!$BA$5,OR($I618=经营数据!$BA$4,COUNTIF(经营数据!$AA$9:$AA$38,$I618)&gt;0)),1,0))</f>
        <v>0</v>
      </c>
      <c r="AA618" t="str">
        <f t="shared" si="149"/>
        <v/>
      </c>
      <c r="AB618" t="str">
        <f t="shared" si="150"/>
        <v/>
      </c>
      <c r="AC618">
        <f>IF($A618="",0,IF(COUNTIF($A$2:$A618,$A618)=1,1,0))</f>
        <v>0</v>
      </c>
      <c r="AD618">
        <f t="shared" si="151"/>
        <v>7</v>
      </c>
      <c r="AE618" t="str">
        <f t="shared" si="152"/>
        <v>武汉首创奥莱项目|期内租金单价水平（元/平方米/月）</v>
      </c>
      <c r="BP618" s="47">
        <v>46287</v>
      </c>
      <c r="BQ618" s="29">
        <v>4.5856664525480158E-2</v>
      </c>
    </row>
    <row r="619" spans="1:69" x14ac:dyDescent="0.4">
      <c r="A619" t="str">
        <f>IF(原始经营数据!$D620="","",原始经营数据!$D620)</f>
        <v>华夏首创奥特莱斯封闭式基础设施证券投资基金</v>
      </c>
      <c r="B619" t="str">
        <f>IF(原始经营数据!$D620="","",T(原始经营数据!$E620))</f>
        <v>武汉首创奥莱项目</v>
      </c>
      <c r="C619" t="str">
        <f>IF(原始经营数据!$D620="","",原始经营数据!$F620)</f>
        <v>2026Q2</v>
      </c>
      <c r="D619" t="str">
        <f>IF(原始经营数据!$D620="","",原始经营数据!$H620)</f>
        <v>期末剩余租期</v>
      </c>
      <c r="E619">
        <f>IF(原始经营数据!$D620="","",原始经营数据!$I620)</f>
        <v>2.0299999999999998</v>
      </c>
      <c r="F619" t="str">
        <f>IF(原始经营数据!$D620="","",T(原始经营数据!$J620))</f>
        <v>年</v>
      </c>
      <c r="G619" t="str">
        <f>IF(原始经营数据!$D620="","",T(原始经营数据!$K620))</f>
        <v/>
      </c>
      <c r="H619" t="str">
        <f>IF(原始经营数据!$D620="","",原始经营数据!$G620)</f>
        <v>服务量</v>
      </c>
      <c r="I619" t="str">
        <f>IF($A619="","",IF($B619&lt;&gt;"",$B619,IF(COUNTIFS(原始经营数据!$D$3:$D$3001,$A619,原始经营数据!$E$3:$E$3001,"",原始经营数据!$F$3:$F$3001,$C619,原始经营数据!$H$3:$H$3001,$D619,原始经营数据!$K$3:$K$3001,$G619)&gt;1,"基金整体·来源"&amp;原始经营数据!$A620,"基金整体")))</f>
        <v>武汉首创奥莱项目</v>
      </c>
      <c r="J619" t="str">
        <f t="shared" si="138"/>
        <v>季度</v>
      </c>
      <c r="K619" t="str">
        <f t="shared" si="139"/>
        <v>期末剩余租期（年）</v>
      </c>
      <c r="L619" t="str">
        <f t="shared" si="140"/>
        <v>武汉首创奥莱项目|期末剩余租期（年）|季度</v>
      </c>
      <c r="M619">
        <f>IF($A619="",0,IF(COUNTIF($L$2:$L619,$L619)=1,1,0))</f>
        <v>0</v>
      </c>
      <c r="N619">
        <f t="shared" si="141"/>
        <v>20262</v>
      </c>
      <c r="O619" t="str">
        <f t="shared" si="142"/>
        <v>华夏首创奥特莱斯封闭式基础设施证券投资基金|2026Q2|季度</v>
      </c>
      <c r="P619">
        <f>IF($A619="",0,IF(COUNTIF($O$2:$O619,$O619)=1,1,0))</f>
        <v>0</v>
      </c>
      <c r="Q619" t="str">
        <f>IF(AND($P619=1,$A619=经营数据!$B$3,$J619=经营数据!$BA$5),COUNTIFS($P$2:$P$3000,1,$A$2:$A$3000,$A619,$J$2:$J$3000,$J619,$N$2:$N$3000,"&lt;"&amp;$N619)+1,"")</f>
        <v/>
      </c>
      <c r="R619" t="str">
        <f t="shared" si="143"/>
        <v>华夏首创奥特莱斯封闭式基础设施证券投资基金|武汉首创奥莱项目</v>
      </c>
      <c r="S619">
        <f>IF($A619="",0,IF(COUNTIF($R$2:$R619,$R619)=1,1,0))</f>
        <v>0</v>
      </c>
      <c r="T619">
        <f t="shared" si="144"/>
        <v>574</v>
      </c>
      <c r="U619" t="str">
        <f>IF($A619="","",IF($A619=经营数据!$B$3,COUNTIFS($S$2:$S$3000,1,$A$2:$A$3000,$A619,$T$2:$T$3000,"&lt;"&amp;$T619)+1,""))</f>
        <v/>
      </c>
      <c r="V619" t="str">
        <f t="shared" si="145"/>
        <v>武汉首创奥莱项目|服务量</v>
      </c>
      <c r="W619">
        <f t="shared" si="146"/>
        <v>576</v>
      </c>
      <c r="X619" t="str">
        <f t="shared" si="147"/>
        <v>武汉首创奥莱项目|期末剩余租期</v>
      </c>
      <c r="Y619">
        <f t="shared" si="148"/>
        <v>579</v>
      </c>
      <c r="Z619">
        <f>IF($A619="",0,IF(AND($M619=1,$A619=经营数据!$B$3,$J619=经营数据!$BA$5,OR($I619=经营数据!$BA$4,COUNTIF(经营数据!$AA$9:$AA$38,$I619)&gt;0)),1,0))</f>
        <v>0</v>
      </c>
      <c r="AA619" t="str">
        <f t="shared" si="149"/>
        <v/>
      </c>
      <c r="AB619" t="str">
        <f t="shared" si="150"/>
        <v/>
      </c>
      <c r="AC619">
        <f>IF($A619="",0,IF(COUNTIF($A$2:$A619,$A619)=1,1,0))</f>
        <v>0</v>
      </c>
      <c r="AD619">
        <f t="shared" si="151"/>
        <v>7</v>
      </c>
      <c r="AE619" t="str">
        <f t="shared" si="152"/>
        <v>武汉首创奥莱项目|期末剩余租期（年）</v>
      </c>
      <c r="BP619" s="47">
        <v>46288</v>
      </c>
      <c r="BQ619" s="29">
        <v>4.5656763989492588E-2</v>
      </c>
    </row>
    <row r="620" spans="1:69" x14ac:dyDescent="0.4">
      <c r="A620" t="str">
        <f>IF(原始经营数据!$D621="","",原始经营数据!$D621)</f>
        <v>华夏首创奥特莱斯封闭式基础设施证券投资基金</v>
      </c>
      <c r="B620" t="str">
        <f>IF(原始经营数据!$D621="","",T(原始经营数据!$E621))</f>
        <v>济南首创奥莱项目</v>
      </c>
      <c r="C620" t="str">
        <f>IF(原始经营数据!$D621="","",原始经营数据!$F621)</f>
        <v>2024Q4</v>
      </c>
      <c r="D620" t="str">
        <f>IF(原始经营数据!$D621="","",原始经营数据!$H621)</f>
        <v>期末租金收缴率</v>
      </c>
      <c r="E620">
        <f>IF(原始经营数据!$D621="","",原始经营数据!$I621)</f>
        <v>100</v>
      </c>
      <c r="F620" t="str">
        <f>IF(原始经营数据!$D621="","",T(原始经营数据!$J621))</f>
        <v>%</v>
      </c>
      <c r="G620" t="str">
        <f>IF(原始经营数据!$D621="","",T(原始经营数据!$K621))</f>
        <v/>
      </c>
      <c r="H620" t="str">
        <f>IF(原始经营数据!$D621="","",原始经营数据!$G621)</f>
        <v>服务效率</v>
      </c>
      <c r="I620" t="str">
        <f>IF($A620="","",IF($B620&lt;&gt;"",$B620,IF(COUNTIFS(原始经营数据!$D$3:$D$3001,$A620,原始经营数据!$E$3:$E$3001,"",原始经营数据!$F$3:$F$3001,$C620,原始经营数据!$H$3:$H$3001,$D620,原始经营数据!$K$3:$K$3001,$G620)&gt;1,"基金整体·来源"&amp;原始经营数据!$A621,"基金整体")))</f>
        <v>济南首创奥莱项目</v>
      </c>
      <c r="J620" t="str">
        <f t="shared" si="138"/>
        <v>季度</v>
      </c>
      <c r="K620" t="str">
        <f t="shared" si="139"/>
        <v>期末租金收缴率（%）</v>
      </c>
      <c r="L620" t="str">
        <f t="shared" si="140"/>
        <v>济南首创奥莱项目|期末租金收缴率（%）|季度</v>
      </c>
      <c r="M620">
        <f>IF($A620="",0,IF(COUNTIF($L$2:$L620,$L620)=1,1,0))</f>
        <v>1</v>
      </c>
      <c r="N620">
        <f t="shared" si="141"/>
        <v>20244</v>
      </c>
      <c r="O620" t="str">
        <f t="shared" si="142"/>
        <v>华夏首创奥特莱斯封闭式基础设施证券投资基金|2024Q4|季度</v>
      </c>
      <c r="P620">
        <f>IF($A620="",0,IF(COUNTIF($O$2:$O620,$O620)=1,1,0))</f>
        <v>0</v>
      </c>
      <c r="Q620" t="str">
        <f>IF(AND($P620=1,$A620=经营数据!$B$3,$J620=经营数据!$BA$5),COUNTIFS($P$2:$P$3000,1,$A$2:$A$3000,$A620,$J$2:$J$3000,$J620,$N$2:$N$3000,"&lt;"&amp;$N620)+1,"")</f>
        <v/>
      </c>
      <c r="R620" t="str">
        <f t="shared" si="143"/>
        <v>华夏首创奥特莱斯封闭式基础设施证券投资基金|济南首创奥莱项目</v>
      </c>
      <c r="S620">
        <f>IF($A620="",0,IF(COUNTIF($R$2:$R620,$R620)=1,1,0))</f>
        <v>1</v>
      </c>
      <c r="T620">
        <f t="shared" si="144"/>
        <v>619</v>
      </c>
      <c r="U620" t="str">
        <f>IF($A620="","",IF($A620=经营数据!$B$3,COUNTIFS($S$2:$S$3000,1,$A$2:$A$3000,$A620,$T$2:$T$3000,"&lt;"&amp;$T620)+1,""))</f>
        <v/>
      </c>
      <c r="V620" t="str">
        <f t="shared" si="145"/>
        <v>济南首创奥莱项目|服务效率</v>
      </c>
      <c r="W620">
        <f t="shared" si="146"/>
        <v>619</v>
      </c>
      <c r="X620" t="str">
        <f t="shared" si="147"/>
        <v>济南首创奥莱项目|期末租金收缴率</v>
      </c>
      <c r="Y620">
        <f t="shared" si="148"/>
        <v>619</v>
      </c>
      <c r="Z620">
        <f>IF($A620="",0,IF(AND($M620=1,$A620=经营数据!$B$3,$J620=经营数据!$BA$5,OR($I620=经营数据!$BA$4,COUNTIF(经营数据!$AA$9:$AA$38,$I620)&gt;0)),1,0))</f>
        <v>0</v>
      </c>
      <c r="AA620" t="str">
        <f t="shared" si="149"/>
        <v/>
      </c>
      <c r="AB620" t="str">
        <f t="shared" si="150"/>
        <v/>
      </c>
      <c r="AC620">
        <f>IF($A620="",0,IF(COUNTIF($A$2:$A620,$A620)=1,1,0))</f>
        <v>0</v>
      </c>
      <c r="AD620">
        <f t="shared" si="151"/>
        <v>7</v>
      </c>
      <c r="AE620" t="str">
        <f t="shared" si="152"/>
        <v>济南首创奥莱项目|期末租金收缴率（%）</v>
      </c>
      <c r="BP620" s="47">
        <v>46289</v>
      </c>
      <c r="BQ620" s="29">
        <v>4.5581058268255002E-2</v>
      </c>
    </row>
    <row r="621" spans="1:69" x14ac:dyDescent="0.4">
      <c r="A621" t="str">
        <f>IF(原始经营数据!$D622="","",原始经营数据!$D622)</f>
        <v>华夏首创奥特莱斯封闭式基础设施证券投资基金</v>
      </c>
      <c r="B621" t="str">
        <f>IF(原始经营数据!$D622="","",T(原始经营数据!$E622))</f>
        <v>济南首创奥莱项目</v>
      </c>
      <c r="C621" t="str">
        <f>IF(原始经营数据!$D622="","",原始经营数据!$F622)</f>
        <v>2024Q4</v>
      </c>
      <c r="D621" t="str">
        <f>IF(原始经营数据!$D622="","",原始经营数据!$H622)</f>
        <v>期内租金单价水平</v>
      </c>
      <c r="E621">
        <f>IF(原始经营数据!$D622="","",原始经营数据!$I622)</f>
        <v>194.19</v>
      </c>
      <c r="F621" t="str">
        <f>IF(原始经营数据!$D622="","",T(原始经营数据!$J622))</f>
        <v>元/平方米/月</v>
      </c>
      <c r="G621" t="str">
        <f>IF(原始经营数据!$D622="","",T(原始经营数据!$K622))</f>
        <v/>
      </c>
      <c r="H621" t="str">
        <f>IF(原始经营数据!$D622="","",原始经营数据!$G622)</f>
        <v>服务价格</v>
      </c>
      <c r="I621" t="str">
        <f>IF($A621="","",IF($B621&lt;&gt;"",$B621,IF(COUNTIFS(原始经营数据!$D$3:$D$3001,$A621,原始经营数据!$E$3:$E$3001,"",原始经营数据!$F$3:$F$3001,$C621,原始经营数据!$H$3:$H$3001,$D621,原始经营数据!$K$3:$K$3001,$G621)&gt;1,"基金整体·来源"&amp;原始经营数据!$A622,"基金整体")))</f>
        <v>济南首创奥莱项目</v>
      </c>
      <c r="J621" t="str">
        <f t="shared" si="138"/>
        <v>季度</v>
      </c>
      <c r="K621" t="str">
        <f t="shared" si="139"/>
        <v>期内租金单价水平（元/平方米/月）</v>
      </c>
      <c r="L621" t="str">
        <f t="shared" si="140"/>
        <v>济南首创奥莱项目|期内租金单价水平（元/平方米/月）|季度</v>
      </c>
      <c r="M621">
        <f>IF($A621="",0,IF(COUNTIF($L$2:$L621,$L621)=1,1,0))</f>
        <v>1</v>
      </c>
      <c r="N621">
        <f t="shared" si="141"/>
        <v>20244</v>
      </c>
      <c r="O621" t="str">
        <f t="shared" si="142"/>
        <v>华夏首创奥特莱斯封闭式基础设施证券投资基金|2024Q4|季度</v>
      </c>
      <c r="P621">
        <f>IF($A621="",0,IF(COUNTIF($O$2:$O621,$O621)=1,1,0))</f>
        <v>0</v>
      </c>
      <c r="Q621" t="str">
        <f>IF(AND($P621=1,$A621=经营数据!$B$3,$J621=经营数据!$BA$5),COUNTIFS($P$2:$P$3000,1,$A$2:$A$3000,$A621,$J$2:$J$3000,$J621,$N$2:$N$3000,"&lt;"&amp;$N621)+1,"")</f>
        <v/>
      </c>
      <c r="R621" t="str">
        <f t="shared" si="143"/>
        <v>华夏首创奥特莱斯封闭式基础设施证券投资基金|济南首创奥莱项目</v>
      </c>
      <c r="S621">
        <f>IF($A621="",0,IF(COUNTIF($R$2:$R621,$R621)=1,1,0))</f>
        <v>0</v>
      </c>
      <c r="T621">
        <f t="shared" si="144"/>
        <v>619</v>
      </c>
      <c r="U621" t="str">
        <f>IF($A621="","",IF($A621=经营数据!$B$3,COUNTIFS($S$2:$S$3000,1,$A$2:$A$3000,$A621,$T$2:$T$3000,"&lt;"&amp;$T621)+1,""))</f>
        <v/>
      </c>
      <c r="V621" t="str">
        <f t="shared" si="145"/>
        <v>济南首创奥莱项目|服务价格</v>
      </c>
      <c r="W621">
        <f t="shared" si="146"/>
        <v>620</v>
      </c>
      <c r="X621" t="str">
        <f t="shared" si="147"/>
        <v>济南首创奥莱项目|期内租金单价水平</v>
      </c>
      <c r="Y621">
        <f t="shared" si="148"/>
        <v>620</v>
      </c>
      <c r="Z621">
        <f>IF($A621="",0,IF(AND($M621=1,$A621=经营数据!$B$3,$J621=经营数据!$BA$5,OR($I621=经营数据!$BA$4,COUNTIF(经营数据!$AA$9:$AA$38,$I621)&gt;0)),1,0))</f>
        <v>0</v>
      </c>
      <c r="AA621" t="str">
        <f t="shared" si="149"/>
        <v/>
      </c>
      <c r="AB621" t="str">
        <f t="shared" si="150"/>
        <v/>
      </c>
      <c r="AC621">
        <f>IF($A621="",0,IF(COUNTIF($A$2:$A621,$A621)=1,1,0))</f>
        <v>0</v>
      </c>
      <c r="AD621">
        <f t="shared" si="151"/>
        <v>7</v>
      </c>
      <c r="AE621" t="str">
        <f t="shared" si="152"/>
        <v>济南首创奥莱项目|期内租金单价水平（元/平方米/月）</v>
      </c>
      <c r="BP621" s="47">
        <v>46293</v>
      </c>
      <c r="BQ621" s="29">
        <v>4.5576065529379553E-2</v>
      </c>
    </row>
    <row r="622" spans="1:69" x14ac:dyDescent="0.4">
      <c r="A622" t="str">
        <f>IF(原始经营数据!$D623="","",原始经营数据!$D623)</f>
        <v>华夏首创奥特莱斯封闭式基础设施证券投资基金</v>
      </c>
      <c r="B622" t="str">
        <f>IF(原始经营数据!$D623="","",T(原始经营数据!$E623))</f>
        <v>济南首创奥莱项目</v>
      </c>
      <c r="C622" t="str">
        <f>IF(原始经营数据!$D623="","",原始经营数据!$F623)</f>
        <v>2024Q4</v>
      </c>
      <c r="D622" t="str">
        <f>IF(原始经营数据!$D623="","",原始经营数据!$H623)</f>
        <v>期末可供出租面积</v>
      </c>
      <c r="E622">
        <f>IF(原始经营数据!$D623="","",原始经营数据!$I623)</f>
        <v>51921.53</v>
      </c>
      <c r="F622" t="str">
        <f>IF(原始经营数据!$D623="","",T(原始经营数据!$J623))</f>
        <v>平方米</v>
      </c>
      <c r="G622" t="str">
        <f>IF(原始经营数据!$D623="","",T(原始经营数据!$K623))</f>
        <v/>
      </c>
      <c r="H622" t="str">
        <f>IF(原始经营数据!$D623="","",原始经营数据!$G623)</f>
        <v>服务量</v>
      </c>
      <c r="I622" t="str">
        <f>IF($A622="","",IF($B622&lt;&gt;"",$B622,IF(COUNTIFS(原始经营数据!$D$3:$D$3001,$A622,原始经营数据!$E$3:$E$3001,"",原始经营数据!$F$3:$F$3001,$C622,原始经营数据!$H$3:$H$3001,$D622,原始经营数据!$K$3:$K$3001,$G622)&gt;1,"基金整体·来源"&amp;原始经营数据!$A623,"基金整体")))</f>
        <v>济南首创奥莱项目</v>
      </c>
      <c r="J622" t="str">
        <f t="shared" si="138"/>
        <v>季度</v>
      </c>
      <c r="K622" t="str">
        <f t="shared" si="139"/>
        <v>期末可供出租面积（平方米）</v>
      </c>
      <c r="L622" t="str">
        <f t="shared" si="140"/>
        <v>济南首创奥莱项目|期末可供出租面积（平方米）|季度</v>
      </c>
      <c r="M622">
        <f>IF($A622="",0,IF(COUNTIF($L$2:$L622,$L622)=1,1,0))</f>
        <v>1</v>
      </c>
      <c r="N622">
        <f t="shared" si="141"/>
        <v>20244</v>
      </c>
      <c r="O622" t="str">
        <f t="shared" si="142"/>
        <v>华夏首创奥特莱斯封闭式基础设施证券投资基金|2024Q4|季度</v>
      </c>
      <c r="P622">
        <f>IF($A622="",0,IF(COUNTIF($O$2:$O622,$O622)=1,1,0))</f>
        <v>0</v>
      </c>
      <c r="Q622" t="str">
        <f>IF(AND($P622=1,$A622=经营数据!$B$3,$J622=经营数据!$BA$5),COUNTIFS($P$2:$P$3000,1,$A$2:$A$3000,$A622,$J$2:$J$3000,$J622,$N$2:$N$3000,"&lt;"&amp;$N622)+1,"")</f>
        <v/>
      </c>
      <c r="R622" t="str">
        <f t="shared" si="143"/>
        <v>华夏首创奥特莱斯封闭式基础设施证券投资基金|济南首创奥莱项目</v>
      </c>
      <c r="S622">
        <f>IF($A622="",0,IF(COUNTIF($R$2:$R622,$R622)=1,1,0))</f>
        <v>0</v>
      </c>
      <c r="T622">
        <f t="shared" si="144"/>
        <v>619</v>
      </c>
      <c r="U622" t="str">
        <f>IF($A622="","",IF($A622=经营数据!$B$3,COUNTIFS($S$2:$S$3000,1,$A$2:$A$3000,$A622,$T$2:$T$3000,"&lt;"&amp;$T622)+1,""))</f>
        <v/>
      </c>
      <c r="V622" t="str">
        <f t="shared" si="145"/>
        <v>济南首创奥莱项目|服务量</v>
      </c>
      <c r="W622">
        <f t="shared" si="146"/>
        <v>621</v>
      </c>
      <c r="X622" t="str">
        <f t="shared" si="147"/>
        <v>济南首创奥莱项目|期末可供出租面积</v>
      </c>
      <c r="Y622">
        <f t="shared" si="148"/>
        <v>621</v>
      </c>
      <c r="Z622">
        <f>IF($A622="",0,IF(AND($M622=1,$A622=经营数据!$B$3,$J622=经营数据!$BA$5,OR($I622=经营数据!$BA$4,COUNTIF(经营数据!$AA$9:$AA$38,$I622)&gt;0)),1,0))</f>
        <v>0</v>
      </c>
      <c r="AA622" t="str">
        <f t="shared" si="149"/>
        <v/>
      </c>
      <c r="AB622" t="str">
        <f t="shared" si="150"/>
        <v/>
      </c>
      <c r="AC622">
        <f>IF($A622="",0,IF(COUNTIF($A$2:$A622,$A622)=1,1,0))</f>
        <v>0</v>
      </c>
      <c r="AD622">
        <f t="shared" si="151"/>
        <v>7</v>
      </c>
      <c r="AE622" t="str">
        <f t="shared" si="152"/>
        <v>济南首创奥莱项目|期末可供出租面积（平方米）</v>
      </c>
      <c r="BP622" s="47">
        <v>46294</v>
      </c>
      <c r="BQ622" s="29">
        <v>4.5584009037248532E-2</v>
      </c>
    </row>
    <row r="623" spans="1:69" x14ac:dyDescent="0.4">
      <c r="A623" t="str">
        <f>IF(原始经营数据!$D624="","",原始经营数据!$D624)</f>
        <v>华夏首创奥特莱斯封闭式基础设施证券投资基金</v>
      </c>
      <c r="B623" t="str">
        <f>IF(原始经营数据!$D624="","",T(原始经营数据!$E624))</f>
        <v>济南首创奥莱项目</v>
      </c>
      <c r="C623" t="str">
        <f>IF(原始经营数据!$D624="","",原始经营数据!$F624)</f>
        <v>2024Q4</v>
      </c>
      <c r="D623" t="str">
        <f>IF(原始经营数据!$D624="","",原始经营数据!$H624)</f>
        <v>期末实际出租面积</v>
      </c>
      <c r="E623">
        <f>IF(原始经营数据!$D624="","",原始经营数据!$I624)</f>
        <v>50394.05</v>
      </c>
      <c r="F623" t="str">
        <f>IF(原始经营数据!$D624="","",T(原始经营数据!$J624))</f>
        <v>平方米</v>
      </c>
      <c r="G623" t="str">
        <f>IF(原始经营数据!$D624="","",T(原始经营数据!$K624))</f>
        <v/>
      </c>
      <c r="H623" t="str">
        <f>IF(原始经营数据!$D624="","",原始经营数据!$G624)</f>
        <v>服务量</v>
      </c>
      <c r="I623" t="str">
        <f>IF($A623="","",IF($B623&lt;&gt;"",$B623,IF(COUNTIFS(原始经营数据!$D$3:$D$3001,$A623,原始经营数据!$E$3:$E$3001,"",原始经营数据!$F$3:$F$3001,$C623,原始经营数据!$H$3:$H$3001,$D623,原始经营数据!$K$3:$K$3001,$G623)&gt;1,"基金整体·来源"&amp;原始经营数据!$A624,"基金整体")))</f>
        <v>济南首创奥莱项目</v>
      </c>
      <c r="J623" t="str">
        <f t="shared" si="138"/>
        <v>季度</v>
      </c>
      <c r="K623" t="str">
        <f t="shared" si="139"/>
        <v>期末实际出租面积（平方米）</v>
      </c>
      <c r="L623" t="str">
        <f t="shared" si="140"/>
        <v>济南首创奥莱项目|期末实际出租面积（平方米）|季度</v>
      </c>
      <c r="M623">
        <f>IF($A623="",0,IF(COUNTIF($L$2:$L623,$L623)=1,1,0))</f>
        <v>1</v>
      </c>
      <c r="N623">
        <f t="shared" si="141"/>
        <v>20244</v>
      </c>
      <c r="O623" t="str">
        <f t="shared" si="142"/>
        <v>华夏首创奥特莱斯封闭式基础设施证券投资基金|2024Q4|季度</v>
      </c>
      <c r="P623">
        <f>IF($A623="",0,IF(COUNTIF($O$2:$O623,$O623)=1,1,0))</f>
        <v>0</v>
      </c>
      <c r="Q623" t="str">
        <f>IF(AND($P623=1,$A623=经营数据!$B$3,$J623=经营数据!$BA$5),COUNTIFS($P$2:$P$3000,1,$A$2:$A$3000,$A623,$J$2:$J$3000,$J623,$N$2:$N$3000,"&lt;"&amp;$N623)+1,"")</f>
        <v/>
      </c>
      <c r="R623" t="str">
        <f t="shared" si="143"/>
        <v>华夏首创奥特莱斯封闭式基础设施证券投资基金|济南首创奥莱项目</v>
      </c>
      <c r="S623">
        <f>IF($A623="",0,IF(COUNTIF($R$2:$R623,$R623)=1,1,0))</f>
        <v>0</v>
      </c>
      <c r="T623">
        <f t="shared" si="144"/>
        <v>619</v>
      </c>
      <c r="U623" t="str">
        <f>IF($A623="","",IF($A623=经营数据!$B$3,COUNTIFS($S$2:$S$3000,1,$A$2:$A$3000,$A623,$T$2:$T$3000,"&lt;"&amp;$T623)+1,""))</f>
        <v/>
      </c>
      <c r="V623" t="str">
        <f t="shared" si="145"/>
        <v>济南首创奥莱项目|服务量</v>
      </c>
      <c r="W623">
        <f t="shared" si="146"/>
        <v>621</v>
      </c>
      <c r="X623" t="str">
        <f t="shared" si="147"/>
        <v>济南首创奥莱项目|期末实际出租面积</v>
      </c>
      <c r="Y623">
        <f t="shared" si="148"/>
        <v>622</v>
      </c>
      <c r="Z623">
        <f>IF($A623="",0,IF(AND($M623=1,$A623=经营数据!$B$3,$J623=经营数据!$BA$5,OR($I623=经营数据!$BA$4,COUNTIF(经营数据!$AA$9:$AA$38,$I623)&gt;0)),1,0))</f>
        <v>0</v>
      </c>
      <c r="AA623" t="str">
        <f t="shared" si="149"/>
        <v/>
      </c>
      <c r="AB623" t="str">
        <f t="shared" si="150"/>
        <v/>
      </c>
      <c r="AC623">
        <f>IF($A623="",0,IF(COUNTIF($A$2:$A623,$A623)=1,1,0))</f>
        <v>0</v>
      </c>
      <c r="AD623">
        <f t="shared" si="151"/>
        <v>7</v>
      </c>
      <c r="AE623" t="str">
        <f t="shared" si="152"/>
        <v>济南首创奥莱项目|期末实际出租面积（平方米）</v>
      </c>
      <c r="BP623" s="47">
        <v>46295</v>
      </c>
      <c r="BQ623" s="29">
        <v>4.5610810423095713E-2</v>
      </c>
    </row>
    <row r="624" spans="1:69" x14ac:dyDescent="0.4">
      <c r="A624" t="str">
        <f>IF(原始经营数据!$D625="","",原始经营数据!$D625)</f>
        <v>华夏首创奥特莱斯封闭式基础设施证券投资基金</v>
      </c>
      <c r="B624" t="str">
        <f>IF(原始经营数据!$D625="","",T(原始经营数据!$E625))</f>
        <v>济南首创奥莱项目</v>
      </c>
      <c r="C624" t="str">
        <f>IF(原始经营数据!$D625="","",原始经营数据!$F625)</f>
        <v>2024Q4</v>
      </c>
      <c r="D624" t="str">
        <f>IF(原始经营数据!$D625="","",原始经营数据!$H625)</f>
        <v>期末出租率</v>
      </c>
      <c r="E624">
        <f>IF(原始经营数据!$D625="","",原始经营数据!$I625)</f>
        <v>97.06</v>
      </c>
      <c r="F624" t="str">
        <f>IF(原始经营数据!$D625="","",T(原始经营数据!$J625))</f>
        <v>%</v>
      </c>
      <c r="G624" t="str">
        <f>IF(原始经营数据!$D625="","",T(原始经营数据!$K625))</f>
        <v/>
      </c>
      <c r="H624" t="str">
        <f>IF(原始经营数据!$D625="","",原始经营数据!$G625)</f>
        <v>服务效率</v>
      </c>
      <c r="I624" t="str">
        <f>IF($A624="","",IF($B624&lt;&gt;"",$B624,IF(COUNTIFS(原始经营数据!$D$3:$D$3001,$A624,原始经营数据!$E$3:$E$3001,"",原始经营数据!$F$3:$F$3001,$C624,原始经营数据!$H$3:$H$3001,$D624,原始经营数据!$K$3:$K$3001,$G624)&gt;1,"基金整体·来源"&amp;原始经营数据!$A625,"基金整体")))</f>
        <v>济南首创奥莱项目</v>
      </c>
      <c r="J624" t="str">
        <f t="shared" si="138"/>
        <v>季度</v>
      </c>
      <c r="K624" t="str">
        <f t="shared" si="139"/>
        <v>期末出租率（%）</v>
      </c>
      <c r="L624" t="str">
        <f t="shared" si="140"/>
        <v>济南首创奥莱项目|期末出租率（%）|季度</v>
      </c>
      <c r="M624">
        <f>IF($A624="",0,IF(COUNTIF($L$2:$L624,$L624)=1,1,0))</f>
        <v>1</v>
      </c>
      <c r="N624">
        <f t="shared" si="141"/>
        <v>20244</v>
      </c>
      <c r="O624" t="str">
        <f t="shared" si="142"/>
        <v>华夏首创奥特莱斯封闭式基础设施证券投资基金|2024Q4|季度</v>
      </c>
      <c r="P624">
        <f>IF($A624="",0,IF(COUNTIF($O$2:$O624,$O624)=1,1,0))</f>
        <v>0</v>
      </c>
      <c r="Q624" t="str">
        <f>IF(AND($P624=1,$A624=经营数据!$B$3,$J624=经营数据!$BA$5),COUNTIFS($P$2:$P$3000,1,$A$2:$A$3000,$A624,$J$2:$J$3000,$J624,$N$2:$N$3000,"&lt;"&amp;$N624)+1,"")</f>
        <v/>
      </c>
      <c r="R624" t="str">
        <f t="shared" si="143"/>
        <v>华夏首创奥特莱斯封闭式基础设施证券投资基金|济南首创奥莱项目</v>
      </c>
      <c r="S624">
        <f>IF($A624="",0,IF(COUNTIF($R$2:$R624,$R624)=1,1,0))</f>
        <v>0</v>
      </c>
      <c r="T624">
        <f t="shared" si="144"/>
        <v>619</v>
      </c>
      <c r="U624" t="str">
        <f>IF($A624="","",IF($A624=经营数据!$B$3,COUNTIFS($S$2:$S$3000,1,$A$2:$A$3000,$A624,$T$2:$T$3000,"&lt;"&amp;$T624)+1,""))</f>
        <v/>
      </c>
      <c r="V624" t="str">
        <f t="shared" si="145"/>
        <v>济南首创奥莱项目|服务效率</v>
      </c>
      <c r="W624">
        <f t="shared" si="146"/>
        <v>619</v>
      </c>
      <c r="X624" t="str">
        <f t="shared" si="147"/>
        <v>济南首创奥莱项目|期末出租率</v>
      </c>
      <c r="Y624">
        <f t="shared" si="148"/>
        <v>623</v>
      </c>
      <c r="Z624">
        <f>IF($A624="",0,IF(AND($M624=1,$A624=经营数据!$B$3,$J624=经营数据!$BA$5,OR($I624=经营数据!$BA$4,COUNTIF(经营数据!$AA$9:$AA$38,$I624)&gt;0)),1,0))</f>
        <v>0</v>
      </c>
      <c r="AA624" t="str">
        <f t="shared" si="149"/>
        <v/>
      </c>
      <c r="AB624" t="str">
        <f t="shared" si="150"/>
        <v/>
      </c>
      <c r="AC624">
        <f>IF($A624="",0,IF(COUNTIF($A$2:$A624,$A624)=1,1,0))</f>
        <v>0</v>
      </c>
      <c r="AD624">
        <f t="shared" si="151"/>
        <v>7</v>
      </c>
      <c r="AE624" t="str">
        <f t="shared" si="152"/>
        <v>济南首创奥莱项目|期末出租率（%）</v>
      </c>
      <c r="BP624" s="47">
        <v>46303</v>
      </c>
      <c r="BQ624" s="29">
        <v>4.5723812607434591E-2</v>
      </c>
    </row>
    <row r="625" spans="1:31" x14ac:dyDescent="0.4">
      <c r="A625" t="str">
        <f>IF(原始经营数据!$D626="","",原始经营数据!$D626)</f>
        <v>华夏首创奥特莱斯封闭式基础设施证券投资基金</v>
      </c>
      <c r="B625" t="str">
        <f>IF(原始经营数据!$D626="","",T(原始经营数据!$E626))</f>
        <v>济南首创奥莱项目</v>
      </c>
      <c r="C625" t="str">
        <f>IF(原始经营数据!$D626="","",原始经营数据!$F626)</f>
        <v>2024Q4</v>
      </c>
      <c r="D625" t="str">
        <f>IF(原始经营数据!$D626="","",原始经营数据!$H626)</f>
        <v>期末剩余租期</v>
      </c>
      <c r="E625">
        <f>IF(原始经营数据!$D626="","",原始经营数据!$I626)</f>
        <v>1.75</v>
      </c>
      <c r="F625" t="str">
        <f>IF(原始经营数据!$D626="","",T(原始经营数据!$J626))</f>
        <v>年</v>
      </c>
      <c r="G625" t="str">
        <f>IF(原始经营数据!$D626="","",T(原始经营数据!$K626))</f>
        <v/>
      </c>
      <c r="H625" t="str">
        <f>IF(原始经营数据!$D626="","",原始经营数据!$G626)</f>
        <v>服务量</v>
      </c>
      <c r="I625" t="str">
        <f>IF($A625="","",IF($B625&lt;&gt;"",$B625,IF(COUNTIFS(原始经营数据!$D$3:$D$3001,$A625,原始经营数据!$E$3:$E$3001,"",原始经营数据!$F$3:$F$3001,$C625,原始经营数据!$H$3:$H$3001,$D625,原始经营数据!$K$3:$K$3001,$G625)&gt;1,"基金整体·来源"&amp;原始经营数据!$A626,"基金整体")))</f>
        <v>济南首创奥莱项目</v>
      </c>
      <c r="J625" t="str">
        <f t="shared" si="138"/>
        <v>季度</v>
      </c>
      <c r="K625" t="str">
        <f t="shared" si="139"/>
        <v>期末剩余租期（年）</v>
      </c>
      <c r="L625" t="str">
        <f t="shared" si="140"/>
        <v>济南首创奥莱项目|期末剩余租期（年）|季度</v>
      </c>
      <c r="M625">
        <f>IF($A625="",0,IF(COUNTIF($L$2:$L625,$L625)=1,1,0))</f>
        <v>1</v>
      </c>
      <c r="N625">
        <f t="shared" si="141"/>
        <v>20244</v>
      </c>
      <c r="O625" t="str">
        <f t="shared" si="142"/>
        <v>华夏首创奥特莱斯封闭式基础设施证券投资基金|2024Q4|季度</v>
      </c>
      <c r="P625">
        <f>IF($A625="",0,IF(COUNTIF($O$2:$O625,$O625)=1,1,0))</f>
        <v>0</v>
      </c>
      <c r="Q625" t="str">
        <f>IF(AND($P625=1,$A625=经营数据!$B$3,$J625=经营数据!$BA$5),COUNTIFS($P$2:$P$3000,1,$A$2:$A$3000,$A625,$J$2:$J$3000,$J625,$N$2:$N$3000,"&lt;"&amp;$N625)+1,"")</f>
        <v/>
      </c>
      <c r="R625" t="str">
        <f t="shared" si="143"/>
        <v>华夏首创奥特莱斯封闭式基础设施证券投资基金|济南首创奥莱项目</v>
      </c>
      <c r="S625">
        <f>IF($A625="",0,IF(COUNTIF($R$2:$R625,$R625)=1,1,0))</f>
        <v>0</v>
      </c>
      <c r="T625">
        <f t="shared" si="144"/>
        <v>619</v>
      </c>
      <c r="U625" t="str">
        <f>IF($A625="","",IF($A625=经营数据!$B$3,COUNTIFS($S$2:$S$3000,1,$A$2:$A$3000,$A625,$T$2:$T$3000,"&lt;"&amp;$T625)+1,""))</f>
        <v/>
      </c>
      <c r="V625" t="str">
        <f t="shared" si="145"/>
        <v>济南首创奥莱项目|服务量</v>
      </c>
      <c r="W625">
        <f t="shared" si="146"/>
        <v>621</v>
      </c>
      <c r="X625" t="str">
        <f t="shared" si="147"/>
        <v>济南首创奥莱项目|期末剩余租期</v>
      </c>
      <c r="Y625">
        <f t="shared" si="148"/>
        <v>624</v>
      </c>
      <c r="Z625">
        <f>IF($A625="",0,IF(AND($M625=1,$A625=经营数据!$B$3,$J625=经营数据!$BA$5,OR($I625=经营数据!$BA$4,COUNTIF(经营数据!$AA$9:$AA$38,$I625)&gt;0)),1,0))</f>
        <v>0</v>
      </c>
      <c r="AA625" t="str">
        <f t="shared" si="149"/>
        <v/>
      </c>
      <c r="AB625" t="str">
        <f t="shared" si="150"/>
        <v/>
      </c>
      <c r="AC625">
        <f>IF($A625="",0,IF(COUNTIF($A$2:$A625,$A625)=1,1,0))</f>
        <v>0</v>
      </c>
      <c r="AD625">
        <f t="shared" si="151"/>
        <v>7</v>
      </c>
      <c r="AE625" t="str">
        <f t="shared" si="152"/>
        <v>济南首创奥莱项目|期末剩余租期（年）</v>
      </c>
    </row>
    <row r="626" spans="1:31" x14ac:dyDescent="0.4">
      <c r="A626" t="str">
        <f>IF(原始经营数据!$D627="","",原始经营数据!$D627)</f>
        <v>华夏首创奥特莱斯封闭式基础设施证券投资基金</v>
      </c>
      <c r="B626" t="str">
        <f>IF(原始经营数据!$D627="","",T(原始经营数据!$E627))</f>
        <v>济南首创奥莱项目</v>
      </c>
      <c r="C626" t="str">
        <f>IF(原始经营数据!$D627="","",原始经营数据!$F627)</f>
        <v>2025Q1</v>
      </c>
      <c r="D626" t="str">
        <f>IF(原始经营数据!$D627="","",原始经营数据!$H627)</f>
        <v>期末租金收缴率</v>
      </c>
      <c r="E626">
        <f>IF(原始经营数据!$D627="","",原始经营数据!$I627)</f>
        <v>99.99</v>
      </c>
      <c r="F626" t="str">
        <f>IF(原始经营数据!$D627="","",T(原始经营数据!$J627))</f>
        <v>%</v>
      </c>
      <c r="G626" t="str">
        <f>IF(原始经营数据!$D627="","",T(原始经营数据!$K627))</f>
        <v/>
      </c>
      <c r="H626" t="str">
        <f>IF(原始经营数据!$D627="","",原始经营数据!$G627)</f>
        <v>服务效率</v>
      </c>
      <c r="I626" t="str">
        <f>IF($A626="","",IF($B626&lt;&gt;"",$B626,IF(COUNTIFS(原始经营数据!$D$3:$D$3001,$A626,原始经营数据!$E$3:$E$3001,"",原始经营数据!$F$3:$F$3001,$C626,原始经营数据!$H$3:$H$3001,$D626,原始经营数据!$K$3:$K$3001,$G626)&gt;1,"基金整体·来源"&amp;原始经营数据!$A627,"基金整体")))</f>
        <v>济南首创奥莱项目</v>
      </c>
      <c r="J626" t="str">
        <f t="shared" si="138"/>
        <v>季度</v>
      </c>
      <c r="K626" t="str">
        <f t="shared" si="139"/>
        <v>期末租金收缴率（%）</v>
      </c>
      <c r="L626" t="str">
        <f t="shared" si="140"/>
        <v>济南首创奥莱项目|期末租金收缴率（%）|季度</v>
      </c>
      <c r="M626">
        <f>IF($A626="",0,IF(COUNTIF($L$2:$L626,$L626)=1,1,0))</f>
        <v>0</v>
      </c>
      <c r="N626">
        <f t="shared" si="141"/>
        <v>20251</v>
      </c>
      <c r="O626" t="str">
        <f t="shared" si="142"/>
        <v>华夏首创奥特莱斯封闭式基础设施证券投资基金|2025Q1|季度</v>
      </c>
      <c r="P626">
        <f>IF($A626="",0,IF(COUNTIF($O$2:$O626,$O626)=1,1,0))</f>
        <v>0</v>
      </c>
      <c r="Q626" t="str">
        <f>IF(AND($P626=1,$A626=经营数据!$B$3,$J626=经营数据!$BA$5),COUNTIFS($P$2:$P$3000,1,$A$2:$A$3000,$A626,$J$2:$J$3000,$J626,$N$2:$N$3000,"&lt;"&amp;$N626)+1,"")</f>
        <v/>
      </c>
      <c r="R626" t="str">
        <f t="shared" si="143"/>
        <v>华夏首创奥特莱斯封闭式基础设施证券投资基金|济南首创奥莱项目</v>
      </c>
      <c r="S626">
        <f>IF($A626="",0,IF(COUNTIF($R$2:$R626,$R626)=1,1,0))</f>
        <v>0</v>
      </c>
      <c r="T626">
        <f t="shared" si="144"/>
        <v>619</v>
      </c>
      <c r="U626" t="str">
        <f>IF($A626="","",IF($A626=经营数据!$B$3,COUNTIFS($S$2:$S$3000,1,$A$2:$A$3000,$A626,$T$2:$T$3000,"&lt;"&amp;$T626)+1,""))</f>
        <v/>
      </c>
      <c r="V626" t="str">
        <f t="shared" si="145"/>
        <v>济南首创奥莱项目|服务效率</v>
      </c>
      <c r="W626">
        <f t="shared" si="146"/>
        <v>619</v>
      </c>
      <c r="X626" t="str">
        <f t="shared" si="147"/>
        <v>济南首创奥莱项目|期末租金收缴率</v>
      </c>
      <c r="Y626">
        <f t="shared" si="148"/>
        <v>619</v>
      </c>
      <c r="Z626">
        <f>IF($A626="",0,IF(AND($M626=1,$A626=经营数据!$B$3,$J626=经营数据!$BA$5,OR($I626=经营数据!$BA$4,COUNTIF(经营数据!$AA$9:$AA$38,$I626)&gt;0)),1,0))</f>
        <v>0</v>
      </c>
      <c r="AA626" t="str">
        <f t="shared" si="149"/>
        <v/>
      </c>
      <c r="AB626" t="str">
        <f t="shared" si="150"/>
        <v/>
      </c>
      <c r="AC626">
        <f>IF($A626="",0,IF(COUNTIF($A$2:$A626,$A626)=1,1,0))</f>
        <v>0</v>
      </c>
      <c r="AD626">
        <f t="shared" si="151"/>
        <v>7</v>
      </c>
      <c r="AE626" t="str">
        <f t="shared" si="152"/>
        <v>济南首创奥莱项目|期末租金收缴率（%）</v>
      </c>
    </row>
    <row r="627" spans="1:31" x14ac:dyDescent="0.4">
      <c r="A627" t="str">
        <f>IF(原始经营数据!$D628="","",原始经营数据!$D628)</f>
        <v>华夏首创奥特莱斯封闭式基础设施证券投资基金</v>
      </c>
      <c r="B627" t="str">
        <f>IF(原始经营数据!$D628="","",T(原始经营数据!$E628))</f>
        <v>济南首创奥莱项目</v>
      </c>
      <c r="C627" t="str">
        <f>IF(原始经营数据!$D628="","",原始经营数据!$F628)</f>
        <v>2025Q1</v>
      </c>
      <c r="D627" t="str">
        <f>IF(原始经营数据!$D628="","",原始经营数据!$H628)</f>
        <v>期末剩余租期</v>
      </c>
      <c r="E627">
        <f>IF(原始经营数据!$D628="","",原始经营数据!$I628)</f>
        <v>1.71</v>
      </c>
      <c r="F627" t="str">
        <f>IF(原始经营数据!$D628="","",T(原始经营数据!$J628))</f>
        <v>年</v>
      </c>
      <c r="G627" t="str">
        <f>IF(原始经营数据!$D628="","",T(原始经营数据!$K628))</f>
        <v/>
      </c>
      <c r="H627" t="str">
        <f>IF(原始经营数据!$D628="","",原始经营数据!$G628)</f>
        <v>服务量</v>
      </c>
      <c r="I627" t="str">
        <f>IF($A627="","",IF($B627&lt;&gt;"",$B627,IF(COUNTIFS(原始经营数据!$D$3:$D$3001,$A627,原始经营数据!$E$3:$E$3001,"",原始经营数据!$F$3:$F$3001,$C627,原始经营数据!$H$3:$H$3001,$D627,原始经营数据!$K$3:$K$3001,$G627)&gt;1,"基金整体·来源"&amp;原始经营数据!$A628,"基金整体")))</f>
        <v>济南首创奥莱项目</v>
      </c>
      <c r="J627" t="str">
        <f t="shared" si="138"/>
        <v>季度</v>
      </c>
      <c r="K627" t="str">
        <f t="shared" si="139"/>
        <v>期末剩余租期（年）</v>
      </c>
      <c r="L627" t="str">
        <f t="shared" si="140"/>
        <v>济南首创奥莱项目|期末剩余租期（年）|季度</v>
      </c>
      <c r="M627">
        <f>IF($A627="",0,IF(COUNTIF($L$2:$L627,$L627)=1,1,0))</f>
        <v>0</v>
      </c>
      <c r="N627">
        <f t="shared" si="141"/>
        <v>20251</v>
      </c>
      <c r="O627" t="str">
        <f t="shared" si="142"/>
        <v>华夏首创奥特莱斯封闭式基础设施证券投资基金|2025Q1|季度</v>
      </c>
      <c r="P627">
        <f>IF($A627="",0,IF(COUNTIF($O$2:$O627,$O627)=1,1,0))</f>
        <v>0</v>
      </c>
      <c r="Q627" t="str">
        <f>IF(AND($P627=1,$A627=经营数据!$B$3,$J627=经营数据!$BA$5),COUNTIFS($P$2:$P$3000,1,$A$2:$A$3000,$A627,$J$2:$J$3000,$J627,$N$2:$N$3000,"&lt;"&amp;$N627)+1,"")</f>
        <v/>
      </c>
      <c r="R627" t="str">
        <f t="shared" si="143"/>
        <v>华夏首创奥特莱斯封闭式基础设施证券投资基金|济南首创奥莱项目</v>
      </c>
      <c r="S627">
        <f>IF($A627="",0,IF(COUNTIF($R$2:$R627,$R627)=1,1,0))</f>
        <v>0</v>
      </c>
      <c r="T627">
        <f t="shared" si="144"/>
        <v>619</v>
      </c>
      <c r="U627" t="str">
        <f>IF($A627="","",IF($A627=经营数据!$B$3,COUNTIFS($S$2:$S$3000,1,$A$2:$A$3000,$A627,$T$2:$T$3000,"&lt;"&amp;$T627)+1,""))</f>
        <v/>
      </c>
      <c r="V627" t="str">
        <f t="shared" si="145"/>
        <v>济南首创奥莱项目|服务量</v>
      </c>
      <c r="W627">
        <f t="shared" si="146"/>
        <v>621</v>
      </c>
      <c r="X627" t="str">
        <f t="shared" si="147"/>
        <v>济南首创奥莱项目|期末剩余租期</v>
      </c>
      <c r="Y627">
        <f t="shared" si="148"/>
        <v>624</v>
      </c>
      <c r="Z627">
        <f>IF($A627="",0,IF(AND($M627=1,$A627=经营数据!$B$3,$J627=经营数据!$BA$5,OR($I627=经营数据!$BA$4,COUNTIF(经营数据!$AA$9:$AA$38,$I627)&gt;0)),1,0))</f>
        <v>0</v>
      </c>
      <c r="AA627" t="str">
        <f t="shared" si="149"/>
        <v/>
      </c>
      <c r="AB627" t="str">
        <f t="shared" si="150"/>
        <v/>
      </c>
      <c r="AC627">
        <f>IF($A627="",0,IF(COUNTIF($A$2:$A627,$A627)=1,1,0))</f>
        <v>0</v>
      </c>
      <c r="AD627">
        <f t="shared" si="151"/>
        <v>7</v>
      </c>
      <c r="AE627" t="str">
        <f t="shared" si="152"/>
        <v>济南首创奥莱项目|期末剩余租期（年）</v>
      </c>
    </row>
    <row r="628" spans="1:31" x14ac:dyDescent="0.4">
      <c r="A628" t="str">
        <f>IF(原始经营数据!$D629="","",原始经营数据!$D629)</f>
        <v>华夏首创奥特莱斯封闭式基础设施证券投资基金</v>
      </c>
      <c r="B628" t="str">
        <f>IF(原始经营数据!$D629="","",T(原始经营数据!$E629))</f>
        <v>济南首创奥莱项目</v>
      </c>
      <c r="C628" t="str">
        <f>IF(原始经营数据!$D629="","",原始经营数据!$F629)</f>
        <v>2025Q1</v>
      </c>
      <c r="D628" t="str">
        <f>IF(原始经营数据!$D629="","",原始经营数据!$H629)</f>
        <v>期内租金单价</v>
      </c>
      <c r="E628">
        <f>IF(原始经营数据!$D629="","",原始经营数据!$I629)</f>
        <v>225.09</v>
      </c>
      <c r="F628" t="str">
        <f>IF(原始经营数据!$D629="","",T(原始经营数据!$J629))</f>
        <v>元/平方米/月</v>
      </c>
      <c r="G628" t="str">
        <f>IF(原始经营数据!$D629="","",T(原始经营数据!$K629))</f>
        <v/>
      </c>
      <c r="H628" t="str">
        <f>IF(原始经营数据!$D629="","",原始经营数据!$G629)</f>
        <v>服务价格</v>
      </c>
      <c r="I628" t="str">
        <f>IF($A628="","",IF($B628&lt;&gt;"",$B628,IF(COUNTIFS(原始经营数据!$D$3:$D$3001,$A628,原始经营数据!$E$3:$E$3001,"",原始经营数据!$F$3:$F$3001,$C628,原始经营数据!$H$3:$H$3001,$D628,原始经营数据!$K$3:$K$3001,$G628)&gt;1,"基金整体·来源"&amp;原始经营数据!$A629,"基金整体")))</f>
        <v>济南首创奥莱项目</v>
      </c>
      <c r="J628" t="str">
        <f t="shared" si="138"/>
        <v>季度</v>
      </c>
      <c r="K628" t="str">
        <f t="shared" si="139"/>
        <v>期内租金单价（元/平方米/月）</v>
      </c>
      <c r="L628" t="str">
        <f t="shared" si="140"/>
        <v>济南首创奥莱项目|期内租金单价（元/平方米/月）|季度</v>
      </c>
      <c r="M628">
        <f>IF($A628="",0,IF(COUNTIF($L$2:$L628,$L628)=1,1,0))</f>
        <v>1</v>
      </c>
      <c r="N628">
        <f t="shared" si="141"/>
        <v>20251</v>
      </c>
      <c r="O628" t="str">
        <f t="shared" si="142"/>
        <v>华夏首创奥特莱斯封闭式基础设施证券投资基金|2025Q1|季度</v>
      </c>
      <c r="P628">
        <f>IF($A628="",0,IF(COUNTIF($O$2:$O628,$O628)=1,1,0))</f>
        <v>0</v>
      </c>
      <c r="Q628" t="str">
        <f>IF(AND($P628=1,$A628=经营数据!$B$3,$J628=经营数据!$BA$5),COUNTIFS($P$2:$P$3000,1,$A$2:$A$3000,$A628,$J$2:$J$3000,$J628,$N$2:$N$3000,"&lt;"&amp;$N628)+1,"")</f>
        <v/>
      </c>
      <c r="R628" t="str">
        <f t="shared" si="143"/>
        <v>华夏首创奥特莱斯封闭式基础设施证券投资基金|济南首创奥莱项目</v>
      </c>
      <c r="S628">
        <f>IF($A628="",0,IF(COUNTIF($R$2:$R628,$R628)=1,1,0))</f>
        <v>0</v>
      </c>
      <c r="T628">
        <f t="shared" si="144"/>
        <v>619</v>
      </c>
      <c r="U628" t="str">
        <f>IF($A628="","",IF($A628=经营数据!$B$3,COUNTIFS($S$2:$S$3000,1,$A$2:$A$3000,$A628,$T$2:$T$3000,"&lt;"&amp;$T628)+1,""))</f>
        <v/>
      </c>
      <c r="V628" t="str">
        <f t="shared" si="145"/>
        <v>济南首创奥莱项目|服务价格</v>
      </c>
      <c r="W628">
        <f t="shared" si="146"/>
        <v>620</v>
      </c>
      <c r="X628" t="str">
        <f t="shared" si="147"/>
        <v>济南首创奥莱项目|期内租金单价</v>
      </c>
      <c r="Y628">
        <f t="shared" si="148"/>
        <v>627</v>
      </c>
      <c r="Z628">
        <f>IF($A628="",0,IF(AND($M628=1,$A628=经营数据!$B$3,$J628=经营数据!$BA$5,OR($I628=经营数据!$BA$4,COUNTIF(经营数据!$AA$9:$AA$38,$I628)&gt;0)),1,0))</f>
        <v>0</v>
      </c>
      <c r="AA628" t="str">
        <f t="shared" si="149"/>
        <v/>
      </c>
      <c r="AB628" t="str">
        <f t="shared" si="150"/>
        <v/>
      </c>
      <c r="AC628">
        <f>IF($A628="",0,IF(COUNTIF($A$2:$A628,$A628)=1,1,0))</f>
        <v>0</v>
      </c>
      <c r="AD628">
        <f t="shared" si="151"/>
        <v>7</v>
      </c>
      <c r="AE628" t="str">
        <f t="shared" si="152"/>
        <v>济南首创奥莱项目|期内租金单价（元/平方米/月）</v>
      </c>
    </row>
    <row r="629" spans="1:31" x14ac:dyDescent="0.4">
      <c r="A629" t="str">
        <f>IF(原始经营数据!$D630="","",原始经营数据!$D630)</f>
        <v>华夏首创奥特莱斯封闭式基础设施证券投资基金</v>
      </c>
      <c r="B629" t="str">
        <f>IF(原始经营数据!$D630="","",T(原始经营数据!$E630))</f>
        <v>济南首创奥莱项目</v>
      </c>
      <c r="C629" t="str">
        <f>IF(原始经营数据!$D630="","",原始经营数据!$F630)</f>
        <v>2025Q1</v>
      </c>
      <c r="D629" t="str">
        <f>IF(原始经营数据!$D630="","",原始经营数据!$H630)</f>
        <v>期内租金单价水平</v>
      </c>
      <c r="E629">
        <f>IF(原始经营数据!$D630="","",原始经营数据!$I630)</f>
        <v>225.09</v>
      </c>
      <c r="F629" t="str">
        <f>IF(原始经营数据!$D630="","",T(原始经营数据!$J630))</f>
        <v>元/平方米/月</v>
      </c>
      <c r="G629" t="str">
        <f>IF(原始经营数据!$D630="","",T(原始经营数据!$K630))</f>
        <v/>
      </c>
      <c r="H629" t="str">
        <f>IF(原始经营数据!$D630="","",原始经营数据!$G630)</f>
        <v>服务价格</v>
      </c>
      <c r="I629" t="str">
        <f>IF($A629="","",IF($B629&lt;&gt;"",$B629,IF(COUNTIFS(原始经营数据!$D$3:$D$3001,$A629,原始经营数据!$E$3:$E$3001,"",原始经营数据!$F$3:$F$3001,$C629,原始经营数据!$H$3:$H$3001,$D629,原始经营数据!$K$3:$K$3001,$G629)&gt;1,"基金整体·来源"&amp;原始经营数据!$A630,"基金整体")))</f>
        <v>济南首创奥莱项目</v>
      </c>
      <c r="J629" t="str">
        <f t="shared" si="138"/>
        <v>季度</v>
      </c>
      <c r="K629" t="str">
        <f t="shared" si="139"/>
        <v>期内租金单价水平（元/平方米/月）</v>
      </c>
      <c r="L629" t="str">
        <f t="shared" si="140"/>
        <v>济南首创奥莱项目|期内租金单价水平（元/平方米/月）|季度</v>
      </c>
      <c r="M629">
        <f>IF($A629="",0,IF(COUNTIF($L$2:$L629,$L629)=1,1,0))</f>
        <v>0</v>
      </c>
      <c r="N629">
        <f t="shared" si="141"/>
        <v>20251</v>
      </c>
      <c r="O629" t="str">
        <f t="shared" si="142"/>
        <v>华夏首创奥特莱斯封闭式基础设施证券投资基金|2025Q1|季度</v>
      </c>
      <c r="P629">
        <f>IF($A629="",0,IF(COUNTIF($O$2:$O629,$O629)=1,1,0))</f>
        <v>0</v>
      </c>
      <c r="Q629" t="str">
        <f>IF(AND($P629=1,$A629=经营数据!$B$3,$J629=经营数据!$BA$5),COUNTIFS($P$2:$P$3000,1,$A$2:$A$3000,$A629,$J$2:$J$3000,$J629,$N$2:$N$3000,"&lt;"&amp;$N629)+1,"")</f>
        <v/>
      </c>
      <c r="R629" t="str">
        <f t="shared" si="143"/>
        <v>华夏首创奥特莱斯封闭式基础设施证券投资基金|济南首创奥莱项目</v>
      </c>
      <c r="S629">
        <f>IF($A629="",0,IF(COUNTIF($R$2:$R629,$R629)=1,1,0))</f>
        <v>0</v>
      </c>
      <c r="T629">
        <f t="shared" si="144"/>
        <v>619</v>
      </c>
      <c r="U629" t="str">
        <f>IF($A629="","",IF($A629=经营数据!$B$3,COUNTIFS($S$2:$S$3000,1,$A$2:$A$3000,$A629,$T$2:$T$3000,"&lt;"&amp;$T629)+1,""))</f>
        <v/>
      </c>
      <c r="V629" t="str">
        <f t="shared" si="145"/>
        <v>济南首创奥莱项目|服务价格</v>
      </c>
      <c r="W629">
        <f t="shared" si="146"/>
        <v>620</v>
      </c>
      <c r="X629" t="str">
        <f t="shared" si="147"/>
        <v>济南首创奥莱项目|期内租金单价水平</v>
      </c>
      <c r="Y629">
        <f t="shared" si="148"/>
        <v>620</v>
      </c>
      <c r="Z629">
        <f>IF($A629="",0,IF(AND($M629=1,$A629=经营数据!$B$3,$J629=经营数据!$BA$5,OR($I629=经营数据!$BA$4,COUNTIF(经营数据!$AA$9:$AA$38,$I629)&gt;0)),1,0))</f>
        <v>0</v>
      </c>
      <c r="AA629" t="str">
        <f t="shared" si="149"/>
        <v/>
      </c>
      <c r="AB629" t="str">
        <f t="shared" si="150"/>
        <v/>
      </c>
      <c r="AC629">
        <f>IF($A629="",0,IF(COUNTIF($A$2:$A629,$A629)=1,1,0))</f>
        <v>0</v>
      </c>
      <c r="AD629">
        <f t="shared" si="151"/>
        <v>7</v>
      </c>
      <c r="AE629" t="str">
        <f t="shared" si="152"/>
        <v>济南首创奥莱项目|期内租金单价水平（元/平方米/月）</v>
      </c>
    </row>
    <row r="630" spans="1:31" x14ac:dyDescent="0.4">
      <c r="A630" t="str">
        <f>IF(原始经营数据!$D631="","",原始经营数据!$D631)</f>
        <v>华夏首创奥特莱斯封闭式基础设施证券投资基金</v>
      </c>
      <c r="B630" t="str">
        <f>IF(原始经营数据!$D631="","",T(原始经营数据!$E631))</f>
        <v>济南首创奥莱项目</v>
      </c>
      <c r="C630" t="str">
        <f>IF(原始经营数据!$D631="","",原始经营数据!$F631)</f>
        <v>2025Q1</v>
      </c>
      <c r="D630" t="str">
        <f>IF(原始经营数据!$D631="","",原始经营数据!$H631)</f>
        <v>期末出租率</v>
      </c>
      <c r="E630">
        <f>IF(原始经营数据!$D631="","",原始经营数据!$I631)</f>
        <v>95.93</v>
      </c>
      <c r="F630" t="str">
        <f>IF(原始经营数据!$D631="","",T(原始经营数据!$J631))</f>
        <v>%</v>
      </c>
      <c r="G630" t="str">
        <f>IF(原始经营数据!$D631="","",T(原始经营数据!$K631))</f>
        <v/>
      </c>
      <c r="H630" t="str">
        <f>IF(原始经营数据!$D631="","",原始经营数据!$G631)</f>
        <v>服务效率</v>
      </c>
      <c r="I630" t="str">
        <f>IF($A630="","",IF($B630&lt;&gt;"",$B630,IF(COUNTIFS(原始经营数据!$D$3:$D$3001,$A630,原始经营数据!$E$3:$E$3001,"",原始经营数据!$F$3:$F$3001,$C630,原始经营数据!$H$3:$H$3001,$D630,原始经营数据!$K$3:$K$3001,$G630)&gt;1,"基金整体·来源"&amp;原始经营数据!$A631,"基金整体")))</f>
        <v>济南首创奥莱项目</v>
      </c>
      <c r="J630" t="str">
        <f t="shared" si="138"/>
        <v>季度</v>
      </c>
      <c r="K630" t="str">
        <f t="shared" si="139"/>
        <v>期末出租率（%）</v>
      </c>
      <c r="L630" t="str">
        <f t="shared" si="140"/>
        <v>济南首创奥莱项目|期末出租率（%）|季度</v>
      </c>
      <c r="M630">
        <f>IF($A630="",0,IF(COUNTIF($L$2:$L630,$L630)=1,1,0))</f>
        <v>0</v>
      </c>
      <c r="N630">
        <f t="shared" si="141"/>
        <v>20251</v>
      </c>
      <c r="O630" t="str">
        <f t="shared" si="142"/>
        <v>华夏首创奥特莱斯封闭式基础设施证券投资基金|2025Q1|季度</v>
      </c>
      <c r="P630">
        <f>IF($A630="",0,IF(COUNTIF($O$2:$O630,$O630)=1,1,0))</f>
        <v>0</v>
      </c>
      <c r="Q630" t="str">
        <f>IF(AND($P630=1,$A630=经营数据!$B$3,$J630=经营数据!$BA$5),COUNTIFS($P$2:$P$3000,1,$A$2:$A$3000,$A630,$J$2:$J$3000,$J630,$N$2:$N$3000,"&lt;"&amp;$N630)+1,"")</f>
        <v/>
      </c>
      <c r="R630" t="str">
        <f t="shared" si="143"/>
        <v>华夏首创奥特莱斯封闭式基础设施证券投资基金|济南首创奥莱项目</v>
      </c>
      <c r="S630">
        <f>IF($A630="",0,IF(COUNTIF($R$2:$R630,$R630)=1,1,0))</f>
        <v>0</v>
      </c>
      <c r="T630">
        <f t="shared" si="144"/>
        <v>619</v>
      </c>
      <c r="U630" t="str">
        <f>IF($A630="","",IF($A630=经营数据!$B$3,COUNTIFS($S$2:$S$3000,1,$A$2:$A$3000,$A630,$T$2:$T$3000,"&lt;"&amp;$T630)+1,""))</f>
        <v/>
      </c>
      <c r="V630" t="str">
        <f t="shared" si="145"/>
        <v>济南首创奥莱项目|服务效率</v>
      </c>
      <c r="W630">
        <f t="shared" si="146"/>
        <v>619</v>
      </c>
      <c r="X630" t="str">
        <f t="shared" si="147"/>
        <v>济南首创奥莱项目|期末出租率</v>
      </c>
      <c r="Y630">
        <f t="shared" si="148"/>
        <v>623</v>
      </c>
      <c r="Z630">
        <f>IF($A630="",0,IF(AND($M630=1,$A630=经营数据!$B$3,$J630=经营数据!$BA$5,OR($I630=经营数据!$BA$4,COUNTIF(经营数据!$AA$9:$AA$38,$I630)&gt;0)),1,0))</f>
        <v>0</v>
      </c>
      <c r="AA630" t="str">
        <f t="shared" si="149"/>
        <v/>
      </c>
      <c r="AB630" t="str">
        <f t="shared" si="150"/>
        <v/>
      </c>
      <c r="AC630">
        <f>IF($A630="",0,IF(COUNTIF($A$2:$A630,$A630)=1,1,0))</f>
        <v>0</v>
      </c>
      <c r="AD630">
        <f t="shared" si="151"/>
        <v>7</v>
      </c>
      <c r="AE630" t="str">
        <f t="shared" si="152"/>
        <v>济南首创奥莱项目|期末出租率（%）</v>
      </c>
    </row>
    <row r="631" spans="1:31" x14ac:dyDescent="0.4">
      <c r="A631" t="str">
        <f>IF(原始经营数据!$D632="","",原始经营数据!$D632)</f>
        <v>华夏首创奥特莱斯封闭式基础设施证券投资基金</v>
      </c>
      <c r="B631" t="str">
        <f>IF(原始经营数据!$D632="","",T(原始经营数据!$E632))</f>
        <v>济南首创奥莱项目</v>
      </c>
      <c r="C631" t="str">
        <f>IF(原始经营数据!$D632="","",原始经营数据!$F632)</f>
        <v>2025Q1</v>
      </c>
      <c r="D631" t="str">
        <f>IF(原始经营数据!$D632="","",原始经营数据!$H632)</f>
        <v>期末实际出租面积</v>
      </c>
      <c r="E631">
        <f>IF(原始经营数据!$D632="","",原始经营数据!$I632)</f>
        <v>49750.76</v>
      </c>
      <c r="F631" t="str">
        <f>IF(原始经营数据!$D632="","",T(原始经营数据!$J632))</f>
        <v>平方米</v>
      </c>
      <c r="G631" t="str">
        <f>IF(原始经营数据!$D632="","",T(原始经营数据!$K632))</f>
        <v/>
      </c>
      <c r="H631" t="str">
        <f>IF(原始经营数据!$D632="","",原始经营数据!$G632)</f>
        <v>服务量</v>
      </c>
      <c r="I631" t="str">
        <f>IF($A631="","",IF($B631&lt;&gt;"",$B631,IF(COUNTIFS(原始经营数据!$D$3:$D$3001,$A631,原始经营数据!$E$3:$E$3001,"",原始经营数据!$F$3:$F$3001,$C631,原始经营数据!$H$3:$H$3001,$D631,原始经营数据!$K$3:$K$3001,$G631)&gt;1,"基金整体·来源"&amp;原始经营数据!$A632,"基金整体")))</f>
        <v>济南首创奥莱项目</v>
      </c>
      <c r="J631" t="str">
        <f t="shared" si="138"/>
        <v>季度</v>
      </c>
      <c r="K631" t="str">
        <f t="shared" si="139"/>
        <v>期末实际出租面积（平方米）</v>
      </c>
      <c r="L631" t="str">
        <f t="shared" si="140"/>
        <v>济南首创奥莱项目|期末实际出租面积（平方米）|季度</v>
      </c>
      <c r="M631">
        <f>IF($A631="",0,IF(COUNTIF($L$2:$L631,$L631)=1,1,0))</f>
        <v>0</v>
      </c>
      <c r="N631">
        <f t="shared" si="141"/>
        <v>20251</v>
      </c>
      <c r="O631" t="str">
        <f t="shared" si="142"/>
        <v>华夏首创奥特莱斯封闭式基础设施证券投资基金|2025Q1|季度</v>
      </c>
      <c r="P631">
        <f>IF($A631="",0,IF(COUNTIF($O$2:$O631,$O631)=1,1,0))</f>
        <v>0</v>
      </c>
      <c r="Q631" t="str">
        <f>IF(AND($P631=1,$A631=经营数据!$B$3,$J631=经营数据!$BA$5),COUNTIFS($P$2:$P$3000,1,$A$2:$A$3000,$A631,$J$2:$J$3000,$J631,$N$2:$N$3000,"&lt;"&amp;$N631)+1,"")</f>
        <v/>
      </c>
      <c r="R631" t="str">
        <f t="shared" si="143"/>
        <v>华夏首创奥特莱斯封闭式基础设施证券投资基金|济南首创奥莱项目</v>
      </c>
      <c r="S631">
        <f>IF($A631="",0,IF(COUNTIF($R$2:$R631,$R631)=1,1,0))</f>
        <v>0</v>
      </c>
      <c r="T631">
        <f t="shared" si="144"/>
        <v>619</v>
      </c>
      <c r="U631" t="str">
        <f>IF($A631="","",IF($A631=经营数据!$B$3,COUNTIFS($S$2:$S$3000,1,$A$2:$A$3000,$A631,$T$2:$T$3000,"&lt;"&amp;$T631)+1,""))</f>
        <v/>
      </c>
      <c r="V631" t="str">
        <f t="shared" si="145"/>
        <v>济南首创奥莱项目|服务量</v>
      </c>
      <c r="W631">
        <f t="shared" si="146"/>
        <v>621</v>
      </c>
      <c r="X631" t="str">
        <f t="shared" si="147"/>
        <v>济南首创奥莱项目|期末实际出租面积</v>
      </c>
      <c r="Y631">
        <f t="shared" si="148"/>
        <v>622</v>
      </c>
      <c r="Z631">
        <f>IF($A631="",0,IF(AND($M631=1,$A631=经营数据!$B$3,$J631=经营数据!$BA$5,OR($I631=经营数据!$BA$4,COUNTIF(经营数据!$AA$9:$AA$38,$I631)&gt;0)),1,0))</f>
        <v>0</v>
      </c>
      <c r="AA631" t="str">
        <f t="shared" si="149"/>
        <v/>
      </c>
      <c r="AB631" t="str">
        <f t="shared" si="150"/>
        <v/>
      </c>
      <c r="AC631">
        <f>IF($A631="",0,IF(COUNTIF($A$2:$A631,$A631)=1,1,0))</f>
        <v>0</v>
      </c>
      <c r="AD631">
        <f t="shared" si="151"/>
        <v>7</v>
      </c>
      <c r="AE631" t="str">
        <f t="shared" si="152"/>
        <v>济南首创奥莱项目|期末实际出租面积（平方米）</v>
      </c>
    </row>
    <row r="632" spans="1:31" x14ac:dyDescent="0.4">
      <c r="A632" t="str">
        <f>IF(原始经营数据!$D633="","",原始经营数据!$D633)</f>
        <v>华夏首创奥特莱斯封闭式基础设施证券投资基金</v>
      </c>
      <c r="B632" t="str">
        <f>IF(原始经营数据!$D633="","",T(原始经营数据!$E633))</f>
        <v>济南首创奥莱项目</v>
      </c>
      <c r="C632" t="str">
        <f>IF(原始经营数据!$D633="","",原始经营数据!$F633)</f>
        <v>2025Q1</v>
      </c>
      <c r="D632" t="str">
        <f>IF(原始经营数据!$D633="","",原始经营数据!$H633)</f>
        <v>期末可供出租面积</v>
      </c>
      <c r="E632">
        <f>IF(原始经营数据!$D633="","",原始经营数据!$I633)</f>
        <v>51863.53</v>
      </c>
      <c r="F632" t="str">
        <f>IF(原始经营数据!$D633="","",T(原始经营数据!$J633))</f>
        <v>平方米</v>
      </c>
      <c r="G632" t="str">
        <f>IF(原始经营数据!$D633="","",T(原始经营数据!$K633))</f>
        <v/>
      </c>
      <c r="H632" t="str">
        <f>IF(原始经营数据!$D633="","",原始经营数据!$G633)</f>
        <v>服务量</v>
      </c>
      <c r="I632" t="str">
        <f>IF($A632="","",IF($B632&lt;&gt;"",$B632,IF(COUNTIFS(原始经营数据!$D$3:$D$3001,$A632,原始经营数据!$E$3:$E$3001,"",原始经营数据!$F$3:$F$3001,$C632,原始经营数据!$H$3:$H$3001,$D632,原始经营数据!$K$3:$K$3001,$G632)&gt;1,"基金整体·来源"&amp;原始经营数据!$A633,"基金整体")))</f>
        <v>济南首创奥莱项目</v>
      </c>
      <c r="J632" t="str">
        <f t="shared" si="138"/>
        <v>季度</v>
      </c>
      <c r="K632" t="str">
        <f t="shared" si="139"/>
        <v>期末可供出租面积（平方米）</v>
      </c>
      <c r="L632" t="str">
        <f t="shared" si="140"/>
        <v>济南首创奥莱项目|期末可供出租面积（平方米）|季度</v>
      </c>
      <c r="M632">
        <f>IF($A632="",0,IF(COUNTIF($L$2:$L632,$L632)=1,1,0))</f>
        <v>0</v>
      </c>
      <c r="N632">
        <f t="shared" si="141"/>
        <v>20251</v>
      </c>
      <c r="O632" t="str">
        <f t="shared" si="142"/>
        <v>华夏首创奥特莱斯封闭式基础设施证券投资基金|2025Q1|季度</v>
      </c>
      <c r="P632">
        <f>IF($A632="",0,IF(COUNTIF($O$2:$O632,$O632)=1,1,0))</f>
        <v>0</v>
      </c>
      <c r="Q632" t="str">
        <f>IF(AND($P632=1,$A632=经营数据!$B$3,$J632=经营数据!$BA$5),COUNTIFS($P$2:$P$3000,1,$A$2:$A$3000,$A632,$J$2:$J$3000,$J632,$N$2:$N$3000,"&lt;"&amp;$N632)+1,"")</f>
        <v/>
      </c>
      <c r="R632" t="str">
        <f t="shared" si="143"/>
        <v>华夏首创奥特莱斯封闭式基础设施证券投资基金|济南首创奥莱项目</v>
      </c>
      <c r="S632">
        <f>IF($A632="",0,IF(COUNTIF($R$2:$R632,$R632)=1,1,0))</f>
        <v>0</v>
      </c>
      <c r="T632">
        <f t="shared" si="144"/>
        <v>619</v>
      </c>
      <c r="U632" t="str">
        <f>IF($A632="","",IF($A632=经营数据!$B$3,COUNTIFS($S$2:$S$3000,1,$A$2:$A$3000,$A632,$T$2:$T$3000,"&lt;"&amp;$T632)+1,""))</f>
        <v/>
      </c>
      <c r="V632" t="str">
        <f t="shared" si="145"/>
        <v>济南首创奥莱项目|服务量</v>
      </c>
      <c r="W632">
        <f t="shared" si="146"/>
        <v>621</v>
      </c>
      <c r="X632" t="str">
        <f t="shared" si="147"/>
        <v>济南首创奥莱项目|期末可供出租面积</v>
      </c>
      <c r="Y632">
        <f t="shared" si="148"/>
        <v>621</v>
      </c>
      <c r="Z632">
        <f>IF($A632="",0,IF(AND($M632=1,$A632=经营数据!$B$3,$J632=经营数据!$BA$5,OR($I632=经营数据!$BA$4,COUNTIF(经营数据!$AA$9:$AA$38,$I632)&gt;0)),1,0))</f>
        <v>0</v>
      </c>
      <c r="AA632" t="str">
        <f t="shared" si="149"/>
        <v/>
      </c>
      <c r="AB632" t="str">
        <f t="shared" si="150"/>
        <v/>
      </c>
      <c r="AC632">
        <f>IF($A632="",0,IF(COUNTIF($A$2:$A632,$A632)=1,1,0))</f>
        <v>0</v>
      </c>
      <c r="AD632">
        <f t="shared" si="151"/>
        <v>7</v>
      </c>
      <c r="AE632" t="str">
        <f t="shared" si="152"/>
        <v>济南首创奥莱项目|期末可供出租面积（平方米）</v>
      </c>
    </row>
    <row r="633" spans="1:31" x14ac:dyDescent="0.4">
      <c r="A633" t="str">
        <f>IF(原始经营数据!$D634="","",原始经营数据!$D634)</f>
        <v>华夏首创奥特莱斯封闭式基础设施证券投资基金</v>
      </c>
      <c r="B633" t="str">
        <f>IF(原始经营数据!$D634="","",T(原始经营数据!$E634))</f>
        <v>济南首创奥莱项目</v>
      </c>
      <c r="C633" t="str">
        <f>IF(原始经营数据!$D634="","",原始经营数据!$F634)</f>
        <v>2025Q2</v>
      </c>
      <c r="D633" t="str">
        <f>IF(原始经营数据!$D634="","",原始经营数据!$H634)</f>
        <v>期末租金收缴率</v>
      </c>
      <c r="E633">
        <f>IF(原始经营数据!$D634="","",原始经营数据!$I634)</f>
        <v>100</v>
      </c>
      <c r="F633" t="str">
        <f>IF(原始经营数据!$D634="","",T(原始经营数据!$J634))</f>
        <v>%</v>
      </c>
      <c r="G633" t="str">
        <f>IF(原始经营数据!$D634="","",T(原始经营数据!$K634))</f>
        <v/>
      </c>
      <c r="H633" t="str">
        <f>IF(原始经营数据!$D634="","",原始经营数据!$G634)</f>
        <v>服务效率</v>
      </c>
      <c r="I633" t="str">
        <f>IF($A633="","",IF($B633&lt;&gt;"",$B633,IF(COUNTIFS(原始经营数据!$D$3:$D$3001,$A633,原始经营数据!$E$3:$E$3001,"",原始经营数据!$F$3:$F$3001,$C633,原始经营数据!$H$3:$H$3001,$D633,原始经营数据!$K$3:$K$3001,$G633)&gt;1,"基金整体·来源"&amp;原始经营数据!$A634,"基金整体")))</f>
        <v>济南首创奥莱项目</v>
      </c>
      <c r="J633" t="str">
        <f t="shared" si="138"/>
        <v>季度</v>
      </c>
      <c r="K633" t="str">
        <f t="shared" si="139"/>
        <v>期末租金收缴率（%）</v>
      </c>
      <c r="L633" t="str">
        <f t="shared" si="140"/>
        <v>济南首创奥莱项目|期末租金收缴率（%）|季度</v>
      </c>
      <c r="M633">
        <f>IF($A633="",0,IF(COUNTIF($L$2:$L633,$L633)=1,1,0))</f>
        <v>0</v>
      </c>
      <c r="N633">
        <f t="shared" si="141"/>
        <v>20252</v>
      </c>
      <c r="O633" t="str">
        <f t="shared" si="142"/>
        <v>华夏首创奥特莱斯封闭式基础设施证券投资基金|2025Q2|季度</v>
      </c>
      <c r="P633">
        <f>IF($A633="",0,IF(COUNTIF($O$2:$O633,$O633)=1,1,0))</f>
        <v>0</v>
      </c>
      <c r="Q633" t="str">
        <f>IF(AND($P633=1,$A633=经营数据!$B$3,$J633=经营数据!$BA$5),COUNTIFS($P$2:$P$3000,1,$A$2:$A$3000,$A633,$J$2:$J$3000,$J633,$N$2:$N$3000,"&lt;"&amp;$N633)+1,"")</f>
        <v/>
      </c>
      <c r="R633" t="str">
        <f t="shared" si="143"/>
        <v>华夏首创奥特莱斯封闭式基础设施证券投资基金|济南首创奥莱项目</v>
      </c>
      <c r="S633">
        <f>IF($A633="",0,IF(COUNTIF($R$2:$R633,$R633)=1,1,0))</f>
        <v>0</v>
      </c>
      <c r="T633">
        <f t="shared" si="144"/>
        <v>619</v>
      </c>
      <c r="U633" t="str">
        <f>IF($A633="","",IF($A633=经营数据!$B$3,COUNTIFS($S$2:$S$3000,1,$A$2:$A$3000,$A633,$T$2:$T$3000,"&lt;"&amp;$T633)+1,""))</f>
        <v/>
      </c>
      <c r="V633" t="str">
        <f t="shared" si="145"/>
        <v>济南首创奥莱项目|服务效率</v>
      </c>
      <c r="W633">
        <f t="shared" si="146"/>
        <v>619</v>
      </c>
      <c r="X633" t="str">
        <f t="shared" si="147"/>
        <v>济南首创奥莱项目|期末租金收缴率</v>
      </c>
      <c r="Y633">
        <f t="shared" si="148"/>
        <v>619</v>
      </c>
      <c r="Z633">
        <f>IF($A633="",0,IF(AND($M633=1,$A633=经营数据!$B$3,$J633=经营数据!$BA$5,OR($I633=经营数据!$BA$4,COUNTIF(经营数据!$AA$9:$AA$38,$I633)&gt;0)),1,0))</f>
        <v>0</v>
      </c>
      <c r="AA633" t="str">
        <f t="shared" si="149"/>
        <v/>
      </c>
      <c r="AB633" t="str">
        <f t="shared" si="150"/>
        <v/>
      </c>
      <c r="AC633">
        <f>IF($A633="",0,IF(COUNTIF($A$2:$A633,$A633)=1,1,0))</f>
        <v>0</v>
      </c>
      <c r="AD633">
        <f t="shared" si="151"/>
        <v>7</v>
      </c>
      <c r="AE633" t="str">
        <f t="shared" si="152"/>
        <v>济南首创奥莱项目|期末租金收缴率（%）</v>
      </c>
    </row>
    <row r="634" spans="1:31" x14ac:dyDescent="0.4">
      <c r="A634" t="str">
        <f>IF(原始经营数据!$D635="","",原始经营数据!$D635)</f>
        <v>华夏首创奥特莱斯封闭式基础设施证券投资基金</v>
      </c>
      <c r="B634" t="str">
        <f>IF(原始经营数据!$D635="","",T(原始经营数据!$E635))</f>
        <v>济南首创奥莱项目</v>
      </c>
      <c r="C634" t="str">
        <f>IF(原始经营数据!$D635="","",原始经营数据!$F635)</f>
        <v>2025Q2</v>
      </c>
      <c r="D634" t="str">
        <f>IF(原始经营数据!$D635="","",原始经营数据!$H635)</f>
        <v>期末可供出租面积</v>
      </c>
      <c r="E634">
        <f>IF(原始经营数据!$D635="","",原始经营数据!$I635)</f>
        <v>51863.53</v>
      </c>
      <c r="F634" t="str">
        <f>IF(原始经营数据!$D635="","",T(原始经营数据!$J635))</f>
        <v>平方米</v>
      </c>
      <c r="G634" t="str">
        <f>IF(原始经营数据!$D635="","",T(原始经营数据!$K635))</f>
        <v/>
      </c>
      <c r="H634" t="str">
        <f>IF(原始经营数据!$D635="","",原始经营数据!$G635)</f>
        <v>服务量</v>
      </c>
      <c r="I634" t="str">
        <f>IF($A634="","",IF($B634&lt;&gt;"",$B634,IF(COUNTIFS(原始经营数据!$D$3:$D$3001,$A634,原始经营数据!$E$3:$E$3001,"",原始经营数据!$F$3:$F$3001,$C634,原始经营数据!$H$3:$H$3001,$D634,原始经营数据!$K$3:$K$3001,$G634)&gt;1,"基金整体·来源"&amp;原始经营数据!$A635,"基金整体")))</f>
        <v>济南首创奥莱项目</v>
      </c>
      <c r="J634" t="str">
        <f t="shared" si="138"/>
        <v>季度</v>
      </c>
      <c r="K634" t="str">
        <f t="shared" si="139"/>
        <v>期末可供出租面积（平方米）</v>
      </c>
      <c r="L634" t="str">
        <f t="shared" si="140"/>
        <v>济南首创奥莱项目|期末可供出租面积（平方米）|季度</v>
      </c>
      <c r="M634">
        <f>IF($A634="",0,IF(COUNTIF($L$2:$L634,$L634)=1,1,0))</f>
        <v>0</v>
      </c>
      <c r="N634">
        <f t="shared" si="141"/>
        <v>20252</v>
      </c>
      <c r="O634" t="str">
        <f t="shared" si="142"/>
        <v>华夏首创奥特莱斯封闭式基础设施证券投资基金|2025Q2|季度</v>
      </c>
      <c r="P634">
        <f>IF($A634="",0,IF(COUNTIF($O$2:$O634,$O634)=1,1,0))</f>
        <v>0</v>
      </c>
      <c r="Q634" t="str">
        <f>IF(AND($P634=1,$A634=经营数据!$B$3,$J634=经营数据!$BA$5),COUNTIFS($P$2:$P$3000,1,$A$2:$A$3000,$A634,$J$2:$J$3000,$J634,$N$2:$N$3000,"&lt;"&amp;$N634)+1,"")</f>
        <v/>
      </c>
      <c r="R634" t="str">
        <f t="shared" si="143"/>
        <v>华夏首创奥特莱斯封闭式基础设施证券投资基金|济南首创奥莱项目</v>
      </c>
      <c r="S634">
        <f>IF($A634="",0,IF(COUNTIF($R$2:$R634,$R634)=1,1,0))</f>
        <v>0</v>
      </c>
      <c r="T634">
        <f t="shared" si="144"/>
        <v>619</v>
      </c>
      <c r="U634" t="str">
        <f>IF($A634="","",IF($A634=经营数据!$B$3,COUNTIFS($S$2:$S$3000,1,$A$2:$A$3000,$A634,$T$2:$T$3000,"&lt;"&amp;$T634)+1,""))</f>
        <v/>
      </c>
      <c r="V634" t="str">
        <f t="shared" si="145"/>
        <v>济南首创奥莱项目|服务量</v>
      </c>
      <c r="W634">
        <f t="shared" si="146"/>
        <v>621</v>
      </c>
      <c r="X634" t="str">
        <f t="shared" si="147"/>
        <v>济南首创奥莱项目|期末可供出租面积</v>
      </c>
      <c r="Y634">
        <f t="shared" si="148"/>
        <v>621</v>
      </c>
      <c r="Z634">
        <f>IF($A634="",0,IF(AND($M634=1,$A634=经营数据!$B$3,$J634=经营数据!$BA$5,OR($I634=经营数据!$BA$4,COUNTIF(经营数据!$AA$9:$AA$38,$I634)&gt;0)),1,0))</f>
        <v>0</v>
      </c>
      <c r="AA634" t="str">
        <f t="shared" si="149"/>
        <v/>
      </c>
      <c r="AB634" t="str">
        <f t="shared" si="150"/>
        <v/>
      </c>
      <c r="AC634">
        <f>IF($A634="",0,IF(COUNTIF($A$2:$A634,$A634)=1,1,0))</f>
        <v>0</v>
      </c>
      <c r="AD634">
        <f t="shared" si="151"/>
        <v>7</v>
      </c>
      <c r="AE634" t="str">
        <f t="shared" si="152"/>
        <v>济南首创奥莱项目|期末可供出租面积（平方米）</v>
      </c>
    </row>
    <row r="635" spans="1:31" x14ac:dyDescent="0.4">
      <c r="A635" t="str">
        <f>IF(原始经营数据!$D636="","",原始经营数据!$D636)</f>
        <v>华夏首创奥特莱斯封闭式基础设施证券投资基金</v>
      </c>
      <c r="B635" t="str">
        <f>IF(原始经营数据!$D636="","",T(原始经营数据!$E636))</f>
        <v>济南首创奥莱项目</v>
      </c>
      <c r="C635" t="str">
        <f>IF(原始经营数据!$D636="","",原始经营数据!$F636)</f>
        <v>2025Q2</v>
      </c>
      <c r="D635" t="str">
        <f>IF(原始经营数据!$D636="","",原始经营数据!$H636)</f>
        <v>期末实际出租面积</v>
      </c>
      <c r="E635">
        <f>IF(原始经营数据!$D636="","",原始经营数据!$I636)</f>
        <v>50787.54</v>
      </c>
      <c r="F635" t="str">
        <f>IF(原始经营数据!$D636="","",T(原始经营数据!$J636))</f>
        <v>平方米</v>
      </c>
      <c r="G635" t="str">
        <f>IF(原始经营数据!$D636="","",T(原始经营数据!$K636))</f>
        <v/>
      </c>
      <c r="H635" t="str">
        <f>IF(原始经营数据!$D636="","",原始经营数据!$G636)</f>
        <v>服务量</v>
      </c>
      <c r="I635" t="str">
        <f>IF($A635="","",IF($B635&lt;&gt;"",$B635,IF(COUNTIFS(原始经营数据!$D$3:$D$3001,$A635,原始经营数据!$E$3:$E$3001,"",原始经营数据!$F$3:$F$3001,$C635,原始经营数据!$H$3:$H$3001,$D635,原始经营数据!$K$3:$K$3001,$G635)&gt;1,"基金整体·来源"&amp;原始经营数据!$A636,"基金整体")))</f>
        <v>济南首创奥莱项目</v>
      </c>
      <c r="J635" t="str">
        <f t="shared" si="138"/>
        <v>季度</v>
      </c>
      <c r="K635" t="str">
        <f t="shared" si="139"/>
        <v>期末实际出租面积（平方米）</v>
      </c>
      <c r="L635" t="str">
        <f t="shared" si="140"/>
        <v>济南首创奥莱项目|期末实际出租面积（平方米）|季度</v>
      </c>
      <c r="M635">
        <f>IF($A635="",0,IF(COUNTIF($L$2:$L635,$L635)=1,1,0))</f>
        <v>0</v>
      </c>
      <c r="N635">
        <f t="shared" si="141"/>
        <v>20252</v>
      </c>
      <c r="O635" t="str">
        <f t="shared" si="142"/>
        <v>华夏首创奥特莱斯封闭式基础设施证券投资基金|2025Q2|季度</v>
      </c>
      <c r="P635">
        <f>IF($A635="",0,IF(COUNTIF($O$2:$O635,$O635)=1,1,0))</f>
        <v>0</v>
      </c>
      <c r="Q635" t="str">
        <f>IF(AND($P635=1,$A635=经营数据!$B$3,$J635=经营数据!$BA$5),COUNTIFS($P$2:$P$3000,1,$A$2:$A$3000,$A635,$J$2:$J$3000,$J635,$N$2:$N$3000,"&lt;"&amp;$N635)+1,"")</f>
        <v/>
      </c>
      <c r="R635" t="str">
        <f t="shared" si="143"/>
        <v>华夏首创奥特莱斯封闭式基础设施证券投资基金|济南首创奥莱项目</v>
      </c>
      <c r="S635">
        <f>IF($A635="",0,IF(COUNTIF($R$2:$R635,$R635)=1,1,0))</f>
        <v>0</v>
      </c>
      <c r="T635">
        <f t="shared" si="144"/>
        <v>619</v>
      </c>
      <c r="U635" t="str">
        <f>IF($A635="","",IF($A635=经营数据!$B$3,COUNTIFS($S$2:$S$3000,1,$A$2:$A$3000,$A635,$T$2:$T$3000,"&lt;"&amp;$T635)+1,""))</f>
        <v/>
      </c>
      <c r="V635" t="str">
        <f t="shared" si="145"/>
        <v>济南首创奥莱项目|服务量</v>
      </c>
      <c r="W635">
        <f t="shared" si="146"/>
        <v>621</v>
      </c>
      <c r="X635" t="str">
        <f t="shared" si="147"/>
        <v>济南首创奥莱项目|期末实际出租面积</v>
      </c>
      <c r="Y635">
        <f t="shared" si="148"/>
        <v>622</v>
      </c>
      <c r="Z635">
        <f>IF($A635="",0,IF(AND($M635=1,$A635=经营数据!$B$3,$J635=经营数据!$BA$5,OR($I635=经营数据!$BA$4,COUNTIF(经营数据!$AA$9:$AA$38,$I635)&gt;0)),1,0))</f>
        <v>0</v>
      </c>
      <c r="AA635" t="str">
        <f t="shared" si="149"/>
        <v/>
      </c>
      <c r="AB635" t="str">
        <f t="shared" si="150"/>
        <v/>
      </c>
      <c r="AC635">
        <f>IF($A635="",0,IF(COUNTIF($A$2:$A635,$A635)=1,1,0))</f>
        <v>0</v>
      </c>
      <c r="AD635">
        <f t="shared" si="151"/>
        <v>7</v>
      </c>
      <c r="AE635" t="str">
        <f t="shared" si="152"/>
        <v>济南首创奥莱项目|期末实际出租面积（平方米）</v>
      </c>
    </row>
    <row r="636" spans="1:31" x14ac:dyDescent="0.4">
      <c r="A636" t="str">
        <f>IF(原始经营数据!$D637="","",原始经营数据!$D637)</f>
        <v>华夏首创奥特莱斯封闭式基础设施证券投资基金</v>
      </c>
      <c r="B636" t="str">
        <f>IF(原始经营数据!$D637="","",T(原始经营数据!$E637))</f>
        <v>济南首创奥莱项目</v>
      </c>
      <c r="C636" t="str">
        <f>IF(原始经营数据!$D637="","",原始经营数据!$F637)</f>
        <v>2025Q2</v>
      </c>
      <c r="D636" t="str">
        <f>IF(原始经营数据!$D637="","",原始经营数据!$H637)</f>
        <v>期末出租率</v>
      </c>
      <c r="E636">
        <f>IF(原始经营数据!$D637="","",原始经营数据!$I637)</f>
        <v>97.93</v>
      </c>
      <c r="F636" t="str">
        <f>IF(原始经营数据!$D637="","",T(原始经营数据!$J637))</f>
        <v>%</v>
      </c>
      <c r="G636" t="str">
        <f>IF(原始经营数据!$D637="","",T(原始经营数据!$K637))</f>
        <v/>
      </c>
      <c r="H636" t="str">
        <f>IF(原始经营数据!$D637="","",原始经营数据!$G637)</f>
        <v>服务效率</v>
      </c>
      <c r="I636" t="str">
        <f>IF($A636="","",IF($B636&lt;&gt;"",$B636,IF(COUNTIFS(原始经营数据!$D$3:$D$3001,$A636,原始经营数据!$E$3:$E$3001,"",原始经营数据!$F$3:$F$3001,$C636,原始经营数据!$H$3:$H$3001,$D636,原始经营数据!$K$3:$K$3001,$G636)&gt;1,"基金整体·来源"&amp;原始经营数据!$A637,"基金整体")))</f>
        <v>济南首创奥莱项目</v>
      </c>
      <c r="J636" t="str">
        <f t="shared" si="138"/>
        <v>季度</v>
      </c>
      <c r="K636" t="str">
        <f t="shared" si="139"/>
        <v>期末出租率（%）</v>
      </c>
      <c r="L636" t="str">
        <f t="shared" si="140"/>
        <v>济南首创奥莱项目|期末出租率（%）|季度</v>
      </c>
      <c r="M636">
        <f>IF($A636="",0,IF(COUNTIF($L$2:$L636,$L636)=1,1,0))</f>
        <v>0</v>
      </c>
      <c r="N636">
        <f t="shared" si="141"/>
        <v>20252</v>
      </c>
      <c r="O636" t="str">
        <f t="shared" si="142"/>
        <v>华夏首创奥特莱斯封闭式基础设施证券投资基金|2025Q2|季度</v>
      </c>
      <c r="P636">
        <f>IF($A636="",0,IF(COUNTIF($O$2:$O636,$O636)=1,1,0))</f>
        <v>0</v>
      </c>
      <c r="Q636" t="str">
        <f>IF(AND($P636=1,$A636=经营数据!$B$3,$J636=经营数据!$BA$5),COUNTIFS($P$2:$P$3000,1,$A$2:$A$3000,$A636,$J$2:$J$3000,$J636,$N$2:$N$3000,"&lt;"&amp;$N636)+1,"")</f>
        <v/>
      </c>
      <c r="R636" t="str">
        <f t="shared" si="143"/>
        <v>华夏首创奥特莱斯封闭式基础设施证券投资基金|济南首创奥莱项目</v>
      </c>
      <c r="S636">
        <f>IF($A636="",0,IF(COUNTIF($R$2:$R636,$R636)=1,1,0))</f>
        <v>0</v>
      </c>
      <c r="T636">
        <f t="shared" si="144"/>
        <v>619</v>
      </c>
      <c r="U636" t="str">
        <f>IF($A636="","",IF($A636=经营数据!$B$3,COUNTIFS($S$2:$S$3000,1,$A$2:$A$3000,$A636,$T$2:$T$3000,"&lt;"&amp;$T636)+1,""))</f>
        <v/>
      </c>
      <c r="V636" t="str">
        <f t="shared" si="145"/>
        <v>济南首创奥莱项目|服务效率</v>
      </c>
      <c r="W636">
        <f t="shared" si="146"/>
        <v>619</v>
      </c>
      <c r="X636" t="str">
        <f t="shared" si="147"/>
        <v>济南首创奥莱项目|期末出租率</v>
      </c>
      <c r="Y636">
        <f t="shared" si="148"/>
        <v>623</v>
      </c>
      <c r="Z636">
        <f>IF($A636="",0,IF(AND($M636=1,$A636=经营数据!$B$3,$J636=经营数据!$BA$5,OR($I636=经营数据!$BA$4,COUNTIF(经营数据!$AA$9:$AA$38,$I636)&gt;0)),1,0))</f>
        <v>0</v>
      </c>
      <c r="AA636" t="str">
        <f t="shared" si="149"/>
        <v/>
      </c>
      <c r="AB636" t="str">
        <f t="shared" si="150"/>
        <v/>
      </c>
      <c r="AC636">
        <f>IF($A636="",0,IF(COUNTIF($A$2:$A636,$A636)=1,1,0))</f>
        <v>0</v>
      </c>
      <c r="AD636">
        <f t="shared" si="151"/>
        <v>7</v>
      </c>
      <c r="AE636" t="str">
        <f t="shared" si="152"/>
        <v>济南首创奥莱项目|期末出租率（%）</v>
      </c>
    </row>
    <row r="637" spans="1:31" x14ac:dyDescent="0.4">
      <c r="A637" t="str">
        <f>IF(原始经营数据!$D638="","",原始经营数据!$D638)</f>
        <v>华夏首创奥特莱斯封闭式基础设施证券投资基金</v>
      </c>
      <c r="B637" t="str">
        <f>IF(原始经营数据!$D638="","",T(原始经营数据!$E638))</f>
        <v>济南首创奥莱项目</v>
      </c>
      <c r="C637" t="str">
        <f>IF(原始经营数据!$D638="","",原始经营数据!$F638)</f>
        <v>2025Q2</v>
      </c>
      <c r="D637" t="str">
        <f>IF(原始经营数据!$D638="","",原始经营数据!$H638)</f>
        <v>期内租金单价</v>
      </c>
      <c r="E637">
        <f>IF(原始经营数据!$D638="","",原始经营数据!$I638)</f>
        <v>151.9</v>
      </c>
      <c r="F637" t="str">
        <f>IF(原始经营数据!$D638="","",T(原始经营数据!$J638))</f>
        <v>元/平方米/月</v>
      </c>
      <c r="G637" t="str">
        <f>IF(原始经营数据!$D638="","",T(原始经营数据!$K638))</f>
        <v/>
      </c>
      <c r="H637" t="str">
        <f>IF(原始经营数据!$D638="","",原始经营数据!$G638)</f>
        <v>服务价格</v>
      </c>
      <c r="I637" t="str">
        <f>IF($A637="","",IF($B637&lt;&gt;"",$B637,IF(COUNTIFS(原始经营数据!$D$3:$D$3001,$A637,原始经营数据!$E$3:$E$3001,"",原始经营数据!$F$3:$F$3001,$C637,原始经营数据!$H$3:$H$3001,$D637,原始经营数据!$K$3:$K$3001,$G637)&gt;1,"基金整体·来源"&amp;原始经营数据!$A638,"基金整体")))</f>
        <v>济南首创奥莱项目</v>
      </c>
      <c r="J637" t="str">
        <f t="shared" si="138"/>
        <v>季度</v>
      </c>
      <c r="K637" t="str">
        <f t="shared" si="139"/>
        <v>期内租金单价（元/平方米/月）</v>
      </c>
      <c r="L637" t="str">
        <f t="shared" si="140"/>
        <v>济南首创奥莱项目|期内租金单价（元/平方米/月）|季度</v>
      </c>
      <c r="M637">
        <f>IF($A637="",0,IF(COUNTIF($L$2:$L637,$L637)=1,1,0))</f>
        <v>0</v>
      </c>
      <c r="N637">
        <f t="shared" si="141"/>
        <v>20252</v>
      </c>
      <c r="O637" t="str">
        <f t="shared" si="142"/>
        <v>华夏首创奥特莱斯封闭式基础设施证券投资基金|2025Q2|季度</v>
      </c>
      <c r="P637">
        <f>IF($A637="",0,IF(COUNTIF($O$2:$O637,$O637)=1,1,0))</f>
        <v>0</v>
      </c>
      <c r="Q637" t="str">
        <f>IF(AND($P637=1,$A637=经营数据!$B$3,$J637=经营数据!$BA$5),COUNTIFS($P$2:$P$3000,1,$A$2:$A$3000,$A637,$J$2:$J$3000,$J637,$N$2:$N$3000,"&lt;"&amp;$N637)+1,"")</f>
        <v/>
      </c>
      <c r="R637" t="str">
        <f t="shared" si="143"/>
        <v>华夏首创奥特莱斯封闭式基础设施证券投资基金|济南首创奥莱项目</v>
      </c>
      <c r="S637">
        <f>IF($A637="",0,IF(COUNTIF($R$2:$R637,$R637)=1,1,0))</f>
        <v>0</v>
      </c>
      <c r="T637">
        <f t="shared" si="144"/>
        <v>619</v>
      </c>
      <c r="U637" t="str">
        <f>IF($A637="","",IF($A637=经营数据!$B$3,COUNTIFS($S$2:$S$3000,1,$A$2:$A$3000,$A637,$T$2:$T$3000,"&lt;"&amp;$T637)+1,""))</f>
        <v/>
      </c>
      <c r="V637" t="str">
        <f t="shared" si="145"/>
        <v>济南首创奥莱项目|服务价格</v>
      </c>
      <c r="W637">
        <f t="shared" si="146"/>
        <v>620</v>
      </c>
      <c r="X637" t="str">
        <f t="shared" si="147"/>
        <v>济南首创奥莱项目|期内租金单价</v>
      </c>
      <c r="Y637">
        <f t="shared" si="148"/>
        <v>627</v>
      </c>
      <c r="Z637">
        <f>IF($A637="",0,IF(AND($M637=1,$A637=经营数据!$B$3,$J637=经营数据!$BA$5,OR($I637=经营数据!$BA$4,COUNTIF(经营数据!$AA$9:$AA$38,$I637)&gt;0)),1,0))</f>
        <v>0</v>
      </c>
      <c r="AA637" t="str">
        <f t="shared" si="149"/>
        <v/>
      </c>
      <c r="AB637" t="str">
        <f t="shared" si="150"/>
        <v/>
      </c>
      <c r="AC637">
        <f>IF($A637="",0,IF(COUNTIF($A$2:$A637,$A637)=1,1,0))</f>
        <v>0</v>
      </c>
      <c r="AD637">
        <f t="shared" si="151"/>
        <v>7</v>
      </c>
      <c r="AE637" t="str">
        <f t="shared" si="152"/>
        <v>济南首创奥莱项目|期内租金单价（元/平方米/月）</v>
      </c>
    </row>
    <row r="638" spans="1:31" x14ac:dyDescent="0.4">
      <c r="A638" t="str">
        <f>IF(原始经营数据!$D639="","",原始经营数据!$D639)</f>
        <v>华夏首创奥特莱斯封闭式基础设施证券投资基金</v>
      </c>
      <c r="B638" t="str">
        <f>IF(原始经营数据!$D639="","",T(原始经营数据!$E639))</f>
        <v>济南首创奥莱项目</v>
      </c>
      <c r="C638" t="str">
        <f>IF(原始经营数据!$D639="","",原始经营数据!$F639)</f>
        <v>2025Q2</v>
      </c>
      <c r="D638" t="str">
        <f>IF(原始经营数据!$D639="","",原始经营数据!$H639)</f>
        <v>期末剩余租期</v>
      </c>
      <c r="E638">
        <f>IF(原始经营数据!$D639="","",原始经营数据!$I639)</f>
        <v>1.71</v>
      </c>
      <c r="F638" t="str">
        <f>IF(原始经营数据!$D639="","",T(原始经营数据!$J639))</f>
        <v>年</v>
      </c>
      <c r="G638" t="str">
        <f>IF(原始经营数据!$D639="","",T(原始经营数据!$K639))</f>
        <v/>
      </c>
      <c r="H638" t="str">
        <f>IF(原始经营数据!$D639="","",原始经营数据!$G639)</f>
        <v>服务量</v>
      </c>
      <c r="I638" t="str">
        <f>IF($A638="","",IF($B638&lt;&gt;"",$B638,IF(COUNTIFS(原始经营数据!$D$3:$D$3001,$A638,原始经营数据!$E$3:$E$3001,"",原始经营数据!$F$3:$F$3001,$C638,原始经营数据!$H$3:$H$3001,$D638,原始经营数据!$K$3:$K$3001,$G638)&gt;1,"基金整体·来源"&amp;原始经营数据!$A639,"基金整体")))</f>
        <v>济南首创奥莱项目</v>
      </c>
      <c r="J638" t="str">
        <f t="shared" si="138"/>
        <v>季度</v>
      </c>
      <c r="K638" t="str">
        <f t="shared" si="139"/>
        <v>期末剩余租期（年）</v>
      </c>
      <c r="L638" t="str">
        <f t="shared" si="140"/>
        <v>济南首创奥莱项目|期末剩余租期（年）|季度</v>
      </c>
      <c r="M638">
        <f>IF($A638="",0,IF(COUNTIF($L$2:$L638,$L638)=1,1,0))</f>
        <v>0</v>
      </c>
      <c r="N638">
        <f t="shared" si="141"/>
        <v>20252</v>
      </c>
      <c r="O638" t="str">
        <f t="shared" si="142"/>
        <v>华夏首创奥特莱斯封闭式基础设施证券投资基金|2025Q2|季度</v>
      </c>
      <c r="P638">
        <f>IF($A638="",0,IF(COUNTIF($O$2:$O638,$O638)=1,1,0))</f>
        <v>0</v>
      </c>
      <c r="Q638" t="str">
        <f>IF(AND($P638=1,$A638=经营数据!$B$3,$J638=经营数据!$BA$5),COUNTIFS($P$2:$P$3000,1,$A$2:$A$3000,$A638,$J$2:$J$3000,$J638,$N$2:$N$3000,"&lt;"&amp;$N638)+1,"")</f>
        <v/>
      </c>
      <c r="R638" t="str">
        <f t="shared" si="143"/>
        <v>华夏首创奥特莱斯封闭式基础设施证券投资基金|济南首创奥莱项目</v>
      </c>
      <c r="S638">
        <f>IF($A638="",0,IF(COUNTIF($R$2:$R638,$R638)=1,1,0))</f>
        <v>0</v>
      </c>
      <c r="T638">
        <f t="shared" si="144"/>
        <v>619</v>
      </c>
      <c r="U638" t="str">
        <f>IF($A638="","",IF($A638=经营数据!$B$3,COUNTIFS($S$2:$S$3000,1,$A$2:$A$3000,$A638,$T$2:$T$3000,"&lt;"&amp;$T638)+1,""))</f>
        <v/>
      </c>
      <c r="V638" t="str">
        <f t="shared" si="145"/>
        <v>济南首创奥莱项目|服务量</v>
      </c>
      <c r="W638">
        <f t="shared" si="146"/>
        <v>621</v>
      </c>
      <c r="X638" t="str">
        <f t="shared" si="147"/>
        <v>济南首创奥莱项目|期末剩余租期</v>
      </c>
      <c r="Y638">
        <f t="shared" si="148"/>
        <v>624</v>
      </c>
      <c r="Z638">
        <f>IF($A638="",0,IF(AND($M638=1,$A638=经营数据!$B$3,$J638=经营数据!$BA$5,OR($I638=经营数据!$BA$4,COUNTIF(经营数据!$AA$9:$AA$38,$I638)&gt;0)),1,0))</f>
        <v>0</v>
      </c>
      <c r="AA638" t="str">
        <f t="shared" si="149"/>
        <v/>
      </c>
      <c r="AB638" t="str">
        <f t="shared" si="150"/>
        <v/>
      </c>
      <c r="AC638">
        <f>IF($A638="",0,IF(COUNTIF($A$2:$A638,$A638)=1,1,0))</f>
        <v>0</v>
      </c>
      <c r="AD638">
        <f t="shared" si="151"/>
        <v>7</v>
      </c>
      <c r="AE638" t="str">
        <f t="shared" si="152"/>
        <v>济南首创奥莱项目|期末剩余租期（年）</v>
      </c>
    </row>
    <row r="639" spans="1:31" x14ac:dyDescent="0.4">
      <c r="A639" t="str">
        <f>IF(原始经营数据!$D640="","",原始经营数据!$D640)</f>
        <v>华夏首创奥特莱斯封闭式基础设施证券投资基金</v>
      </c>
      <c r="B639" t="str">
        <f>IF(原始经营数据!$D640="","",T(原始经营数据!$E640))</f>
        <v>济南首创奥莱项目</v>
      </c>
      <c r="C639" t="str">
        <f>IF(原始经营数据!$D640="","",原始经营数据!$F640)</f>
        <v>2025Q2</v>
      </c>
      <c r="D639" t="str">
        <f>IF(原始经营数据!$D640="","",原始经营数据!$H640)</f>
        <v>期内租金单价水平</v>
      </c>
      <c r="E639">
        <f>IF(原始经营数据!$D640="","",原始经营数据!$I640)</f>
        <v>151.9</v>
      </c>
      <c r="F639" t="str">
        <f>IF(原始经营数据!$D640="","",T(原始经营数据!$J640))</f>
        <v>元/平方米/月</v>
      </c>
      <c r="G639" t="str">
        <f>IF(原始经营数据!$D640="","",T(原始经营数据!$K640))</f>
        <v/>
      </c>
      <c r="H639" t="str">
        <f>IF(原始经营数据!$D640="","",原始经营数据!$G640)</f>
        <v>服务价格</v>
      </c>
      <c r="I639" t="str">
        <f>IF($A639="","",IF($B639&lt;&gt;"",$B639,IF(COUNTIFS(原始经营数据!$D$3:$D$3001,$A639,原始经营数据!$E$3:$E$3001,"",原始经营数据!$F$3:$F$3001,$C639,原始经营数据!$H$3:$H$3001,$D639,原始经营数据!$K$3:$K$3001,$G639)&gt;1,"基金整体·来源"&amp;原始经营数据!$A640,"基金整体")))</f>
        <v>济南首创奥莱项目</v>
      </c>
      <c r="J639" t="str">
        <f t="shared" si="138"/>
        <v>季度</v>
      </c>
      <c r="K639" t="str">
        <f t="shared" si="139"/>
        <v>期内租金单价水平（元/平方米/月）</v>
      </c>
      <c r="L639" t="str">
        <f t="shared" si="140"/>
        <v>济南首创奥莱项目|期内租金单价水平（元/平方米/月）|季度</v>
      </c>
      <c r="M639">
        <f>IF($A639="",0,IF(COUNTIF($L$2:$L639,$L639)=1,1,0))</f>
        <v>0</v>
      </c>
      <c r="N639">
        <f t="shared" si="141"/>
        <v>20252</v>
      </c>
      <c r="O639" t="str">
        <f t="shared" si="142"/>
        <v>华夏首创奥特莱斯封闭式基础设施证券投资基金|2025Q2|季度</v>
      </c>
      <c r="P639">
        <f>IF($A639="",0,IF(COUNTIF($O$2:$O639,$O639)=1,1,0))</f>
        <v>0</v>
      </c>
      <c r="Q639" t="str">
        <f>IF(AND($P639=1,$A639=经营数据!$B$3,$J639=经营数据!$BA$5),COUNTIFS($P$2:$P$3000,1,$A$2:$A$3000,$A639,$J$2:$J$3000,$J639,$N$2:$N$3000,"&lt;"&amp;$N639)+1,"")</f>
        <v/>
      </c>
      <c r="R639" t="str">
        <f t="shared" si="143"/>
        <v>华夏首创奥特莱斯封闭式基础设施证券投资基金|济南首创奥莱项目</v>
      </c>
      <c r="S639">
        <f>IF($A639="",0,IF(COUNTIF($R$2:$R639,$R639)=1,1,0))</f>
        <v>0</v>
      </c>
      <c r="T639">
        <f t="shared" si="144"/>
        <v>619</v>
      </c>
      <c r="U639" t="str">
        <f>IF($A639="","",IF($A639=经营数据!$B$3,COUNTIFS($S$2:$S$3000,1,$A$2:$A$3000,$A639,$T$2:$T$3000,"&lt;"&amp;$T639)+1,""))</f>
        <v/>
      </c>
      <c r="V639" t="str">
        <f t="shared" si="145"/>
        <v>济南首创奥莱项目|服务价格</v>
      </c>
      <c r="W639">
        <f t="shared" si="146"/>
        <v>620</v>
      </c>
      <c r="X639" t="str">
        <f t="shared" si="147"/>
        <v>济南首创奥莱项目|期内租金单价水平</v>
      </c>
      <c r="Y639">
        <f t="shared" si="148"/>
        <v>620</v>
      </c>
      <c r="Z639">
        <f>IF($A639="",0,IF(AND($M639=1,$A639=经营数据!$B$3,$J639=经营数据!$BA$5,OR($I639=经营数据!$BA$4,COUNTIF(经营数据!$AA$9:$AA$38,$I639)&gt;0)),1,0))</f>
        <v>0</v>
      </c>
      <c r="AA639" t="str">
        <f t="shared" si="149"/>
        <v/>
      </c>
      <c r="AB639" t="str">
        <f t="shared" si="150"/>
        <v/>
      </c>
      <c r="AC639">
        <f>IF($A639="",0,IF(COUNTIF($A$2:$A639,$A639)=1,1,0))</f>
        <v>0</v>
      </c>
      <c r="AD639">
        <f t="shared" si="151"/>
        <v>7</v>
      </c>
      <c r="AE639" t="str">
        <f t="shared" si="152"/>
        <v>济南首创奥莱项目|期内租金单价水平（元/平方米/月）</v>
      </c>
    </row>
    <row r="640" spans="1:31" x14ac:dyDescent="0.4">
      <c r="A640" t="str">
        <f>IF(原始经营数据!$D641="","",原始经营数据!$D641)</f>
        <v>华夏首创奥特莱斯封闭式基础设施证券投资基金</v>
      </c>
      <c r="B640" t="str">
        <f>IF(原始经营数据!$D641="","",T(原始经营数据!$E641))</f>
        <v>济南首创奥莱项目</v>
      </c>
      <c r="C640" t="str">
        <f>IF(原始经营数据!$D641="","",原始经营数据!$F641)</f>
        <v>2025Q3</v>
      </c>
      <c r="D640" t="str">
        <f>IF(原始经营数据!$D641="","",原始经营数据!$H641)</f>
        <v>期内租金单价水平</v>
      </c>
      <c r="E640">
        <f>IF(原始经营数据!$D641="","",原始经营数据!$I641)</f>
        <v>141.65</v>
      </c>
      <c r="F640" t="str">
        <f>IF(原始经营数据!$D641="","",T(原始经营数据!$J641))</f>
        <v>元/平方米/月</v>
      </c>
      <c r="G640" t="str">
        <f>IF(原始经营数据!$D641="","",T(原始经营数据!$K641))</f>
        <v/>
      </c>
      <c r="H640" t="str">
        <f>IF(原始经营数据!$D641="","",原始经营数据!$G641)</f>
        <v>服务价格</v>
      </c>
      <c r="I640" t="str">
        <f>IF($A640="","",IF($B640&lt;&gt;"",$B640,IF(COUNTIFS(原始经营数据!$D$3:$D$3001,$A640,原始经营数据!$E$3:$E$3001,"",原始经营数据!$F$3:$F$3001,$C640,原始经营数据!$H$3:$H$3001,$D640,原始经营数据!$K$3:$K$3001,$G640)&gt;1,"基金整体·来源"&amp;原始经营数据!$A641,"基金整体")))</f>
        <v>济南首创奥莱项目</v>
      </c>
      <c r="J640" t="str">
        <f t="shared" si="138"/>
        <v>季度</v>
      </c>
      <c r="K640" t="str">
        <f t="shared" si="139"/>
        <v>期内租金单价水平（元/平方米/月）</v>
      </c>
      <c r="L640" t="str">
        <f t="shared" si="140"/>
        <v>济南首创奥莱项目|期内租金单价水平（元/平方米/月）|季度</v>
      </c>
      <c r="M640">
        <f>IF($A640="",0,IF(COUNTIF($L$2:$L640,$L640)=1,1,0))</f>
        <v>0</v>
      </c>
      <c r="N640">
        <f t="shared" si="141"/>
        <v>20253</v>
      </c>
      <c r="O640" t="str">
        <f t="shared" si="142"/>
        <v>华夏首创奥特莱斯封闭式基础设施证券投资基金|2025Q3|季度</v>
      </c>
      <c r="P640">
        <f>IF($A640="",0,IF(COUNTIF($O$2:$O640,$O640)=1,1,0))</f>
        <v>0</v>
      </c>
      <c r="Q640" t="str">
        <f>IF(AND($P640=1,$A640=经营数据!$B$3,$J640=经营数据!$BA$5),COUNTIFS($P$2:$P$3000,1,$A$2:$A$3000,$A640,$J$2:$J$3000,$J640,$N$2:$N$3000,"&lt;"&amp;$N640)+1,"")</f>
        <v/>
      </c>
      <c r="R640" t="str">
        <f t="shared" si="143"/>
        <v>华夏首创奥特莱斯封闭式基础设施证券投资基金|济南首创奥莱项目</v>
      </c>
      <c r="S640">
        <f>IF($A640="",0,IF(COUNTIF($R$2:$R640,$R640)=1,1,0))</f>
        <v>0</v>
      </c>
      <c r="T640">
        <f t="shared" si="144"/>
        <v>619</v>
      </c>
      <c r="U640" t="str">
        <f>IF($A640="","",IF($A640=经营数据!$B$3,COUNTIFS($S$2:$S$3000,1,$A$2:$A$3000,$A640,$T$2:$T$3000,"&lt;"&amp;$T640)+1,""))</f>
        <v/>
      </c>
      <c r="V640" t="str">
        <f t="shared" si="145"/>
        <v>济南首创奥莱项目|服务价格</v>
      </c>
      <c r="W640">
        <f t="shared" si="146"/>
        <v>620</v>
      </c>
      <c r="X640" t="str">
        <f t="shared" si="147"/>
        <v>济南首创奥莱项目|期内租金单价水平</v>
      </c>
      <c r="Y640">
        <f t="shared" si="148"/>
        <v>620</v>
      </c>
      <c r="Z640">
        <f>IF($A640="",0,IF(AND($M640=1,$A640=经营数据!$B$3,$J640=经营数据!$BA$5,OR($I640=经营数据!$BA$4,COUNTIF(经营数据!$AA$9:$AA$38,$I640)&gt;0)),1,0))</f>
        <v>0</v>
      </c>
      <c r="AA640" t="str">
        <f t="shared" si="149"/>
        <v/>
      </c>
      <c r="AB640" t="str">
        <f t="shared" si="150"/>
        <v/>
      </c>
      <c r="AC640">
        <f>IF($A640="",0,IF(COUNTIF($A$2:$A640,$A640)=1,1,0))</f>
        <v>0</v>
      </c>
      <c r="AD640">
        <f t="shared" si="151"/>
        <v>7</v>
      </c>
      <c r="AE640" t="str">
        <f t="shared" si="152"/>
        <v>济南首创奥莱项目|期内租金单价水平（元/平方米/月）</v>
      </c>
    </row>
    <row r="641" spans="1:31" x14ac:dyDescent="0.4">
      <c r="A641" t="str">
        <f>IF(原始经营数据!$D642="","",原始经营数据!$D642)</f>
        <v>华夏首创奥特莱斯封闭式基础设施证券投资基金</v>
      </c>
      <c r="B641" t="str">
        <f>IF(原始经营数据!$D642="","",T(原始经营数据!$E642))</f>
        <v>济南首创奥莱项目</v>
      </c>
      <c r="C641" t="str">
        <f>IF(原始经营数据!$D642="","",原始经营数据!$F642)</f>
        <v>2025Q3</v>
      </c>
      <c r="D641" t="str">
        <f>IF(原始经营数据!$D642="","",原始经营数据!$H642)</f>
        <v>期末可供出租面积</v>
      </c>
      <c r="E641">
        <f>IF(原始经营数据!$D642="","",原始经营数据!$I642)</f>
        <v>51863.53</v>
      </c>
      <c r="F641" t="str">
        <f>IF(原始经营数据!$D642="","",T(原始经营数据!$J642))</f>
        <v>平方米</v>
      </c>
      <c r="G641" t="str">
        <f>IF(原始经营数据!$D642="","",T(原始经营数据!$K642))</f>
        <v/>
      </c>
      <c r="H641" t="str">
        <f>IF(原始经营数据!$D642="","",原始经营数据!$G642)</f>
        <v>服务量</v>
      </c>
      <c r="I641" t="str">
        <f>IF($A641="","",IF($B641&lt;&gt;"",$B641,IF(COUNTIFS(原始经营数据!$D$3:$D$3001,$A641,原始经营数据!$E$3:$E$3001,"",原始经营数据!$F$3:$F$3001,$C641,原始经营数据!$H$3:$H$3001,$D641,原始经营数据!$K$3:$K$3001,$G641)&gt;1,"基金整体·来源"&amp;原始经营数据!$A642,"基金整体")))</f>
        <v>济南首创奥莱项目</v>
      </c>
      <c r="J641" t="str">
        <f t="shared" si="138"/>
        <v>季度</v>
      </c>
      <c r="K641" t="str">
        <f t="shared" si="139"/>
        <v>期末可供出租面积（平方米）</v>
      </c>
      <c r="L641" t="str">
        <f t="shared" si="140"/>
        <v>济南首创奥莱项目|期末可供出租面积（平方米）|季度</v>
      </c>
      <c r="M641">
        <f>IF($A641="",0,IF(COUNTIF($L$2:$L641,$L641)=1,1,0))</f>
        <v>0</v>
      </c>
      <c r="N641">
        <f t="shared" si="141"/>
        <v>20253</v>
      </c>
      <c r="O641" t="str">
        <f t="shared" si="142"/>
        <v>华夏首创奥特莱斯封闭式基础设施证券投资基金|2025Q3|季度</v>
      </c>
      <c r="P641">
        <f>IF($A641="",0,IF(COUNTIF($O$2:$O641,$O641)=1,1,0))</f>
        <v>0</v>
      </c>
      <c r="Q641" t="str">
        <f>IF(AND($P641=1,$A641=经营数据!$B$3,$J641=经营数据!$BA$5),COUNTIFS($P$2:$P$3000,1,$A$2:$A$3000,$A641,$J$2:$J$3000,$J641,$N$2:$N$3000,"&lt;"&amp;$N641)+1,"")</f>
        <v/>
      </c>
      <c r="R641" t="str">
        <f t="shared" si="143"/>
        <v>华夏首创奥特莱斯封闭式基础设施证券投资基金|济南首创奥莱项目</v>
      </c>
      <c r="S641">
        <f>IF($A641="",0,IF(COUNTIF($R$2:$R641,$R641)=1,1,0))</f>
        <v>0</v>
      </c>
      <c r="T641">
        <f t="shared" si="144"/>
        <v>619</v>
      </c>
      <c r="U641" t="str">
        <f>IF($A641="","",IF($A641=经营数据!$B$3,COUNTIFS($S$2:$S$3000,1,$A$2:$A$3000,$A641,$T$2:$T$3000,"&lt;"&amp;$T641)+1,""))</f>
        <v/>
      </c>
      <c r="V641" t="str">
        <f t="shared" si="145"/>
        <v>济南首创奥莱项目|服务量</v>
      </c>
      <c r="W641">
        <f t="shared" si="146"/>
        <v>621</v>
      </c>
      <c r="X641" t="str">
        <f t="shared" si="147"/>
        <v>济南首创奥莱项目|期末可供出租面积</v>
      </c>
      <c r="Y641">
        <f t="shared" si="148"/>
        <v>621</v>
      </c>
      <c r="Z641">
        <f>IF($A641="",0,IF(AND($M641=1,$A641=经营数据!$B$3,$J641=经营数据!$BA$5,OR($I641=经营数据!$BA$4,COUNTIF(经营数据!$AA$9:$AA$38,$I641)&gt;0)),1,0))</f>
        <v>0</v>
      </c>
      <c r="AA641" t="str">
        <f t="shared" si="149"/>
        <v/>
      </c>
      <c r="AB641" t="str">
        <f t="shared" si="150"/>
        <v/>
      </c>
      <c r="AC641">
        <f>IF($A641="",0,IF(COUNTIF($A$2:$A641,$A641)=1,1,0))</f>
        <v>0</v>
      </c>
      <c r="AD641">
        <f t="shared" si="151"/>
        <v>7</v>
      </c>
      <c r="AE641" t="str">
        <f t="shared" si="152"/>
        <v>济南首创奥莱项目|期末可供出租面积（平方米）</v>
      </c>
    </row>
    <row r="642" spans="1:31" x14ac:dyDescent="0.4">
      <c r="A642" t="str">
        <f>IF(原始经营数据!$D643="","",原始经营数据!$D643)</f>
        <v>华夏首创奥特莱斯封闭式基础设施证券投资基金</v>
      </c>
      <c r="B642" t="str">
        <f>IF(原始经营数据!$D643="","",T(原始经营数据!$E643))</f>
        <v>济南首创奥莱项目</v>
      </c>
      <c r="C642" t="str">
        <f>IF(原始经营数据!$D643="","",原始经营数据!$F643)</f>
        <v>2025Q3</v>
      </c>
      <c r="D642" t="str">
        <f>IF(原始经营数据!$D643="","",原始经营数据!$H643)</f>
        <v>期末实际出租面积</v>
      </c>
      <c r="E642">
        <f>IF(原始经营数据!$D643="","",原始经营数据!$I643)</f>
        <v>51075.5</v>
      </c>
      <c r="F642" t="str">
        <f>IF(原始经营数据!$D643="","",T(原始经营数据!$J643))</f>
        <v>平方米</v>
      </c>
      <c r="G642" t="str">
        <f>IF(原始经营数据!$D643="","",T(原始经营数据!$K643))</f>
        <v/>
      </c>
      <c r="H642" t="str">
        <f>IF(原始经营数据!$D643="","",原始经营数据!$G643)</f>
        <v>服务量</v>
      </c>
      <c r="I642" t="str">
        <f>IF($A642="","",IF($B642&lt;&gt;"",$B642,IF(COUNTIFS(原始经营数据!$D$3:$D$3001,$A642,原始经营数据!$E$3:$E$3001,"",原始经营数据!$F$3:$F$3001,$C642,原始经营数据!$H$3:$H$3001,$D642,原始经营数据!$K$3:$K$3001,$G642)&gt;1,"基金整体·来源"&amp;原始经营数据!$A643,"基金整体")))</f>
        <v>济南首创奥莱项目</v>
      </c>
      <c r="J642" t="str">
        <f t="shared" ref="J642:J705" si="153">IF($A642="","",IF(LEN($C642)=4,"年度",IF(AND(LEN($C642)=6,ISNUMBER(SEARCH("Q",$C642))),"季度","其他期间")))</f>
        <v>季度</v>
      </c>
      <c r="K642" t="str">
        <f t="shared" ref="K642:K705" si="154">IF($A642="","",$D642&amp;IF($G642="","","-"&amp;SUBSTITUTE($G642,CHAR(10),""))&amp;IF($F642="","","（"&amp;$F642&amp;"）"))</f>
        <v>期末实际出租面积（平方米）</v>
      </c>
      <c r="L642" t="str">
        <f t="shared" ref="L642:L705" si="155">IF($A642="","",$I642&amp;"|"&amp;$K642&amp;"|"&amp;$J642)</f>
        <v>济南首创奥莱项目|期末实际出租面积（平方米）|季度</v>
      </c>
      <c r="M642">
        <f>IF($A642="",0,IF(COUNTIF($L$2:$L642,$L642)=1,1,0))</f>
        <v>0</v>
      </c>
      <c r="N642">
        <f t="shared" ref="N642:N705" si="156">IF($A642="","",IF($J642="年度",VALUE($C642)*10,IF($J642="季度",VALUE(LEFT($C642,4))*10+VALUE(RIGHT($C642,1)),VALUE(LEFT($C642,4))*10+9)))</f>
        <v>20253</v>
      </c>
      <c r="O642" t="str">
        <f t="shared" ref="O642:O705" si="157">IF($A642="","",$A642&amp;"|"&amp;$C642&amp;"|"&amp;$J642)</f>
        <v>华夏首创奥特莱斯封闭式基础设施证券投资基金|2025Q3|季度</v>
      </c>
      <c r="P642">
        <f>IF($A642="",0,IF(COUNTIF($O$2:$O642,$O642)=1,1,0))</f>
        <v>0</v>
      </c>
      <c r="Q642" t="str">
        <f>IF(AND($P642=1,$A642=经营数据!$B$3,$J642=经营数据!$BA$5),COUNTIFS($P$2:$P$3000,1,$A$2:$A$3000,$A642,$J$2:$J$3000,$J642,$N$2:$N$3000,"&lt;"&amp;$N642)+1,"")</f>
        <v/>
      </c>
      <c r="R642" t="str">
        <f t="shared" ref="R642:R705" si="158">IF($A642="","",$A642&amp;"|"&amp;$I642)</f>
        <v>华夏首创奥特莱斯封闭式基础设施证券投资基金|济南首创奥莱项目</v>
      </c>
      <c r="S642">
        <f>IF($A642="",0,IF(COUNTIF($R$2:$R642,$R642)=1,1,0))</f>
        <v>0</v>
      </c>
      <c r="T642">
        <f t="shared" ref="T642:T705" si="159">IF($A642="","",MATCH($R642,$R$2:$R$3000,0))</f>
        <v>619</v>
      </c>
      <c r="U642" t="str">
        <f>IF($A642="","",IF($A642=经营数据!$B$3,COUNTIFS($S$2:$S$3000,1,$A$2:$A$3000,$A642,$T$2:$T$3000,"&lt;"&amp;$T642)+1,""))</f>
        <v/>
      </c>
      <c r="V642" t="str">
        <f t="shared" ref="V642:V705" si="160">IF($A642="","",$I642&amp;"|"&amp;$H642)</f>
        <v>济南首创奥莱项目|服务量</v>
      </c>
      <c r="W642">
        <f t="shared" ref="W642:W705" si="161">IF($A642="","",MATCH($V642,$V$2:$V$3000,0))</f>
        <v>621</v>
      </c>
      <c r="X642" t="str">
        <f t="shared" ref="X642:X705" si="162">IF($A642="","",$I642&amp;"|"&amp;$D642)</f>
        <v>济南首创奥莱项目|期末实际出租面积</v>
      </c>
      <c r="Y642">
        <f t="shared" ref="Y642:Y705" si="163">IF($A642="","",MATCH($X642,$X$2:$X$3000,0))</f>
        <v>622</v>
      </c>
      <c r="Z642">
        <f>IF($A642="",0,IF(AND($M642=1,$A642=经营数据!$B$3,$J642=经营数据!$BA$5,OR($I642=经营数据!$BA$4,COUNTIF(经营数据!$AA$9:$AA$38,$I642)&gt;0)),1,0))</f>
        <v>0</v>
      </c>
      <c r="AA642" t="str">
        <f t="shared" ref="AA642:AA705" si="164">IF($Z642=1,$U642*1000000000000+$W642*100000000+$Y642*10000+ROW(),"")</f>
        <v/>
      </c>
      <c r="AB642" t="str">
        <f t="shared" ref="AB642:AB705" si="165">IF($Z642=1,COUNTIFS($Z$2:$Z$3000,1,$AA$2:$AA$3000,"&lt;"&amp;$AA642)+1,"")</f>
        <v/>
      </c>
      <c r="AC642">
        <f>IF($A642="",0,IF(COUNTIF($A$2:$A642,$A642)=1,1,0))</f>
        <v>0</v>
      </c>
      <c r="AD642">
        <f t="shared" ref="AD642:AD705" si="166">IF($A642="",N(AD641),IF($AC642=1,N(AD641)+1,N(AD641)))</f>
        <v>7</v>
      </c>
      <c r="AE642" t="str">
        <f t="shared" ref="AE642:AE705" si="167">IF($A642="","",$I642&amp;"|"&amp;$K642)</f>
        <v>济南首创奥莱项目|期末实际出租面积（平方米）</v>
      </c>
    </row>
    <row r="643" spans="1:31" x14ac:dyDescent="0.4">
      <c r="A643" t="str">
        <f>IF(原始经营数据!$D644="","",原始经营数据!$D644)</f>
        <v>华夏首创奥特莱斯封闭式基础设施证券投资基金</v>
      </c>
      <c r="B643" t="str">
        <f>IF(原始经营数据!$D644="","",T(原始经营数据!$E644))</f>
        <v>济南首创奥莱项目</v>
      </c>
      <c r="C643" t="str">
        <f>IF(原始经营数据!$D644="","",原始经营数据!$F644)</f>
        <v>2025Q3</v>
      </c>
      <c r="D643" t="str">
        <f>IF(原始经营数据!$D644="","",原始经营数据!$H644)</f>
        <v>期末出租率</v>
      </c>
      <c r="E643">
        <f>IF(原始经营数据!$D644="","",原始经营数据!$I644)</f>
        <v>98.48</v>
      </c>
      <c r="F643" t="str">
        <f>IF(原始经营数据!$D644="","",T(原始经营数据!$J644))</f>
        <v>%</v>
      </c>
      <c r="G643" t="str">
        <f>IF(原始经营数据!$D644="","",T(原始经营数据!$K644))</f>
        <v/>
      </c>
      <c r="H643" t="str">
        <f>IF(原始经营数据!$D644="","",原始经营数据!$G644)</f>
        <v>服务效率</v>
      </c>
      <c r="I643" t="str">
        <f>IF($A643="","",IF($B643&lt;&gt;"",$B643,IF(COUNTIFS(原始经营数据!$D$3:$D$3001,$A643,原始经营数据!$E$3:$E$3001,"",原始经营数据!$F$3:$F$3001,$C643,原始经营数据!$H$3:$H$3001,$D643,原始经营数据!$K$3:$K$3001,$G643)&gt;1,"基金整体·来源"&amp;原始经营数据!$A644,"基金整体")))</f>
        <v>济南首创奥莱项目</v>
      </c>
      <c r="J643" t="str">
        <f t="shared" si="153"/>
        <v>季度</v>
      </c>
      <c r="K643" t="str">
        <f t="shared" si="154"/>
        <v>期末出租率（%）</v>
      </c>
      <c r="L643" t="str">
        <f t="shared" si="155"/>
        <v>济南首创奥莱项目|期末出租率（%）|季度</v>
      </c>
      <c r="M643">
        <f>IF($A643="",0,IF(COUNTIF($L$2:$L643,$L643)=1,1,0))</f>
        <v>0</v>
      </c>
      <c r="N643">
        <f t="shared" si="156"/>
        <v>20253</v>
      </c>
      <c r="O643" t="str">
        <f t="shared" si="157"/>
        <v>华夏首创奥特莱斯封闭式基础设施证券投资基金|2025Q3|季度</v>
      </c>
      <c r="P643">
        <f>IF($A643="",0,IF(COUNTIF($O$2:$O643,$O643)=1,1,0))</f>
        <v>0</v>
      </c>
      <c r="Q643" t="str">
        <f>IF(AND($P643=1,$A643=经营数据!$B$3,$J643=经营数据!$BA$5),COUNTIFS($P$2:$P$3000,1,$A$2:$A$3000,$A643,$J$2:$J$3000,$J643,$N$2:$N$3000,"&lt;"&amp;$N643)+1,"")</f>
        <v/>
      </c>
      <c r="R643" t="str">
        <f t="shared" si="158"/>
        <v>华夏首创奥特莱斯封闭式基础设施证券投资基金|济南首创奥莱项目</v>
      </c>
      <c r="S643">
        <f>IF($A643="",0,IF(COUNTIF($R$2:$R643,$R643)=1,1,0))</f>
        <v>0</v>
      </c>
      <c r="T643">
        <f t="shared" si="159"/>
        <v>619</v>
      </c>
      <c r="U643" t="str">
        <f>IF($A643="","",IF($A643=经营数据!$B$3,COUNTIFS($S$2:$S$3000,1,$A$2:$A$3000,$A643,$T$2:$T$3000,"&lt;"&amp;$T643)+1,""))</f>
        <v/>
      </c>
      <c r="V643" t="str">
        <f t="shared" si="160"/>
        <v>济南首创奥莱项目|服务效率</v>
      </c>
      <c r="W643">
        <f t="shared" si="161"/>
        <v>619</v>
      </c>
      <c r="X643" t="str">
        <f t="shared" si="162"/>
        <v>济南首创奥莱项目|期末出租率</v>
      </c>
      <c r="Y643">
        <f t="shared" si="163"/>
        <v>623</v>
      </c>
      <c r="Z643">
        <f>IF($A643="",0,IF(AND($M643=1,$A643=经营数据!$B$3,$J643=经营数据!$BA$5,OR($I643=经营数据!$BA$4,COUNTIF(经营数据!$AA$9:$AA$38,$I643)&gt;0)),1,0))</f>
        <v>0</v>
      </c>
      <c r="AA643" t="str">
        <f t="shared" si="164"/>
        <v/>
      </c>
      <c r="AB643" t="str">
        <f t="shared" si="165"/>
        <v/>
      </c>
      <c r="AC643">
        <f>IF($A643="",0,IF(COUNTIF($A$2:$A643,$A643)=1,1,0))</f>
        <v>0</v>
      </c>
      <c r="AD643">
        <f t="shared" si="166"/>
        <v>7</v>
      </c>
      <c r="AE643" t="str">
        <f t="shared" si="167"/>
        <v>济南首创奥莱项目|期末出租率（%）</v>
      </c>
    </row>
    <row r="644" spans="1:31" x14ac:dyDescent="0.4">
      <c r="A644" t="str">
        <f>IF(原始经营数据!$D645="","",原始经营数据!$D645)</f>
        <v>华夏首创奥特莱斯封闭式基础设施证券投资基金</v>
      </c>
      <c r="B644" t="str">
        <f>IF(原始经营数据!$D645="","",T(原始经营数据!$E645))</f>
        <v>济南首创奥莱项目</v>
      </c>
      <c r="C644" t="str">
        <f>IF(原始经营数据!$D645="","",原始经营数据!$F645)</f>
        <v>2025Q3</v>
      </c>
      <c r="D644" t="str">
        <f>IF(原始经营数据!$D645="","",原始经营数据!$H645)</f>
        <v>期内租金单价</v>
      </c>
      <c r="E644">
        <f>IF(原始经营数据!$D645="","",原始经营数据!$I645)</f>
        <v>141.65</v>
      </c>
      <c r="F644" t="str">
        <f>IF(原始经营数据!$D645="","",T(原始经营数据!$J645))</f>
        <v>元/平方米/月</v>
      </c>
      <c r="G644" t="str">
        <f>IF(原始经营数据!$D645="","",T(原始经营数据!$K645))</f>
        <v/>
      </c>
      <c r="H644" t="str">
        <f>IF(原始经营数据!$D645="","",原始经营数据!$G645)</f>
        <v>服务价格</v>
      </c>
      <c r="I644" t="str">
        <f>IF($A644="","",IF($B644&lt;&gt;"",$B644,IF(COUNTIFS(原始经营数据!$D$3:$D$3001,$A644,原始经营数据!$E$3:$E$3001,"",原始经营数据!$F$3:$F$3001,$C644,原始经营数据!$H$3:$H$3001,$D644,原始经营数据!$K$3:$K$3001,$G644)&gt;1,"基金整体·来源"&amp;原始经营数据!$A645,"基金整体")))</f>
        <v>济南首创奥莱项目</v>
      </c>
      <c r="J644" t="str">
        <f t="shared" si="153"/>
        <v>季度</v>
      </c>
      <c r="K644" t="str">
        <f t="shared" si="154"/>
        <v>期内租金单价（元/平方米/月）</v>
      </c>
      <c r="L644" t="str">
        <f t="shared" si="155"/>
        <v>济南首创奥莱项目|期内租金单价（元/平方米/月）|季度</v>
      </c>
      <c r="M644">
        <f>IF($A644="",0,IF(COUNTIF($L$2:$L644,$L644)=1,1,0))</f>
        <v>0</v>
      </c>
      <c r="N644">
        <f t="shared" si="156"/>
        <v>20253</v>
      </c>
      <c r="O644" t="str">
        <f t="shared" si="157"/>
        <v>华夏首创奥特莱斯封闭式基础设施证券投资基金|2025Q3|季度</v>
      </c>
      <c r="P644">
        <f>IF($A644="",0,IF(COUNTIF($O$2:$O644,$O644)=1,1,0))</f>
        <v>0</v>
      </c>
      <c r="Q644" t="str">
        <f>IF(AND($P644=1,$A644=经营数据!$B$3,$J644=经营数据!$BA$5),COUNTIFS($P$2:$P$3000,1,$A$2:$A$3000,$A644,$J$2:$J$3000,$J644,$N$2:$N$3000,"&lt;"&amp;$N644)+1,"")</f>
        <v/>
      </c>
      <c r="R644" t="str">
        <f t="shared" si="158"/>
        <v>华夏首创奥特莱斯封闭式基础设施证券投资基金|济南首创奥莱项目</v>
      </c>
      <c r="S644">
        <f>IF($A644="",0,IF(COUNTIF($R$2:$R644,$R644)=1,1,0))</f>
        <v>0</v>
      </c>
      <c r="T644">
        <f t="shared" si="159"/>
        <v>619</v>
      </c>
      <c r="U644" t="str">
        <f>IF($A644="","",IF($A644=经营数据!$B$3,COUNTIFS($S$2:$S$3000,1,$A$2:$A$3000,$A644,$T$2:$T$3000,"&lt;"&amp;$T644)+1,""))</f>
        <v/>
      </c>
      <c r="V644" t="str">
        <f t="shared" si="160"/>
        <v>济南首创奥莱项目|服务价格</v>
      </c>
      <c r="W644">
        <f t="shared" si="161"/>
        <v>620</v>
      </c>
      <c r="X644" t="str">
        <f t="shared" si="162"/>
        <v>济南首创奥莱项目|期内租金单价</v>
      </c>
      <c r="Y644">
        <f t="shared" si="163"/>
        <v>627</v>
      </c>
      <c r="Z644">
        <f>IF($A644="",0,IF(AND($M644=1,$A644=经营数据!$B$3,$J644=经营数据!$BA$5,OR($I644=经营数据!$BA$4,COUNTIF(经营数据!$AA$9:$AA$38,$I644)&gt;0)),1,0))</f>
        <v>0</v>
      </c>
      <c r="AA644" t="str">
        <f t="shared" si="164"/>
        <v/>
      </c>
      <c r="AB644" t="str">
        <f t="shared" si="165"/>
        <v/>
      </c>
      <c r="AC644">
        <f>IF($A644="",0,IF(COUNTIF($A$2:$A644,$A644)=1,1,0))</f>
        <v>0</v>
      </c>
      <c r="AD644">
        <f t="shared" si="166"/>
        <v>7</v>
      </c>
      <c r="AE644" t="str">
        <f t="shared" si="167"/>
        <v>济南首创奥莱项目|期内租金单价（元/平方米/月）</v>
      </c>
    </row>
    <row r="645" spans="1:31" x14ac:dyDescent="0.4">
      <c r="A645" t="str">
        <f>IF(原始经营数据!$D646="","",原始经营数据!$D646)</f>
        <v>华夏首创奥特莱斯封闭式基础设施证券投资基金</v>
      </c>
      <c r="B645" t="str">
        <f>IF(原始经营数据!$D646="","",T(原始经营数据!$E646))</f>
        <v>济南首创奥莱项目</v>
      </c>
      <c r="C645" t="str">
        <f>IF(原始经营数据!$D646="","",原始经营数据!$F646)</f>
        <v>2025Q3</v>
      </c>
      <c r="D645" t="str">
        <f>IF(原始经营数据!$D646="","",原始经营数据!$H646)</f>
        <v>期末剩余租期</v>
      </c>
      <c r="E645">
        <f>IF(原始经营数据!$D646="","",原始经营数据!$I646)</f>
        <v>1.86</v>
      </c>
      <c r="F645" t="str">
        <f>IF(原始经营数据!$D646="","",T(原始经营数据!$J646))</f>
        <v>年</v>
      </c>
      <c r="G645" t="str">
        <f>IF(原始经营数据!$D646="","",T(原始经营数据!$K646))</f>
        <v/>
      </c>
      <c r="H645" t="str">
        <f>IF(原始经营数据!$D646="","",原始经营数据!$G646)</f>
        <v>服务量</v>
      </c>
      <c r="I645" t="str">
        <f>IF($A645="","",IF($B645&lt;&gt;"",$B645,IF(COUNTIFS(原始经营数据!$D$3:$D$3001,$A645,原始经营数据!$E$3:$E$3001,"",原始经营数据!$F$3:$F$3001,$C645,原始经营数据!$H$3:$H$3001,$D645,原始经营数据!$K$3:$K$3001,$G645)&gt;1,"基金整体·来源"&amp;原始经营数据!$A646,"基金整体")))</f>
        <v>济南首创奥莱项目</v>
      </c>
      <c r="J645" t="str">
        <f t="shared" si="153"/>
        <v>季度</v>
      </c>
      <c r="K645" t="str">
        <f t="shared" si="154"/>
        <v>期末剩余租期（年）</v>
      </c>
      <c r="L645" t="str">
        <f t="shared" si="155"/>
        <v>济南首创奥莱项目|期末剩余租期（年）|季度</v>
      </c>
      <c r="M645">
        <f>IF($A645="",0,IF(COUNTIF($L$2:$L645,$L645)=1,1,0))</f>
        <v>0</v>
      </c>
      <c r="N645">
        <f t="shared" si="156"/>
        <v>20253</v>
      </c>
      <c r="O645" t="str">
        <f t="shared" si="157"/>
        <v>华夏首创奥特莱斯封闭式基础设施证券投资基金|2025Q3|季度</v>
      </c>
      <c r="P645">
        <f>IF($A645="",0,IF(COUNTIF($O$2:$O645,$O645)=1,1,0))</f>
        <v>0</v>
      </c>
      <c r="Q645" t="str">
        <f>IF(AND($P645=1,$A645=经营数据!$B$3,$J645=经营数据!$BA$5),COUNTIFS($P$2:$P$3000,1,$A$2:$A$3000,$A645,$J$2:$J$3000,$J645,$N$2:$N$3000,"&lt;"&amp;$N645)+1,"")</f>
        <v/>
      </c>
      <c r="R645" t="str">
        <f t="shared" si="158"/>
        <v>华夏首创奥特莱斯封闭式基础设施证券投资基金|济南首创奥莱项目</v>
      </c>
      <c r="S645">
        <f>IF($A645="",0,IF(COUNTIF($R$2:$R645,$R645)=1,1,0))</f>
        <v>0</v>
      </c>
      <c r="T645">
        <f t="shared" si="159"/>
        <v>619</v>
      </c>
      <c r="U645" t="str">
        <f>IF($A645="","",IF($A645=经营数据!$B$3,COUNTIFS($S$2:$S$3000,1,$A$2:$A$3000,$A645,$T$2:$T$3000,"&lt;"&amp;$T645)+1,""))</f>
        <v/>
      </c>
      <c r="V645" t="str">
        <f t="shared" si="160"/>
        <v>济南首创奥莱项目|服务量</v>
      </c>
      <c r="W645">
        <f t="shared" si="161"/>
        <v>621</v>
      </c>
      <c r="X645" t="str">
        <f t="shared" si="162"/>
        <v>济南首创奥莱项目|期末剩余租期</v>
      </c>
      <c r="Y645">
        <f t="shared" si="163"/>
        <v>624</v>
      </c>
      <c r="Z645">
        <f>IF($A645="",0,IF(AND($M645=1,$A645=经营数据!$B$3,$J645=经营数据!$BA$5,OR($I645=经营数据!$BA$4,COUNTIF(经营数据!$AA$9:$AA$38,$I645)&gt;0)),1,0))</f>
        <v>0</v>
      </c>
      <c r="AA645" t="str">
        <f t="shared" si="164"/>
        <v/>
      </c>
      <c r="AB645" t="str">
        <f t="shared" si="165"/>
        <v/>
      </c>
      <c r="AC645">
        <f>IF($A645="",0,IF(COUNTIF($A$2:$A645,$A645)=1,1,0))</f>
        <v>0</v>
      </c>
      <c r="AD645">
        <f t="shared" si="166"/>
        <v>7</v>
      </c>
      <c r="AE645" t="str">
        <f t="shared" si="167"/>
        <v>济南首创奥莱项目|期末剩余租期（年）</v>
      </c>
    </row>
    <row r="646" spans="1:31" x14ac:dyDescent="0.4">
      <c r="A646" t="str">
        <f>IF(原始经营数据!$D647="","",原始经营数据!$D647)</f>
        <v>华夏首创奥特莱斯封闭式基础设施证券投资基金</v>
      </c>
      <c r="B646" t="str">
        <f>IF(原始经营数据!$D647="","",T(原始经营数据!$E647))</f>
        <v>济南首创奥莱项目</v>
      </c>
      <c r="C646" t="str">
        <f>IF(原始经营数据!$D647="","",原始经营数据!$F647)</f>
        <v>2025Q3</v>
      </c>
      <c r="D646" t="str">
        <f>IF(原始经营数据!$D647="","",原始经营数据!$H647)</f>
        <v>期末租金收缴率</v>
      </c>
      <c r="E646">
        <f>IF(原始经营数据!$D647="","",原始经营数据!$I647)</f>
        <v>100</v>
      </c>
      <c r="F646" t="str">
        <f>IF(原始经营数据!$D647="","",T(原始经营数据!$J647))</f>
        <v>%</v>
      </c>
      <c r="G646" t="str">
        <f>IF(原始经营数据!$D647="","",T(原始经营数据!$K647))</f>
        <v/>
      </c>
      <c r="H646" t="str">
        <f>IF(原始经营数据!$D647="","",原始经营数据!$G647)</f>
        <v>服务效率</v>
      </c>
      <c r="I646" t="str">
        <f>IF($A646="","",IF($B646&lt;&gt;"",$B646,IF(COUNTIFS(原始经营数据!$D$3:$D$3001,$A646,原始经营数据!$E$3:$E$3001,"",原始经营数据!$F$3:$F$3001,$C646,原始经营数据!$H$3:$H$3001,$D646,原始经营数据!$K$3:$K$3001,$G646)&gt;1,"基金整体·来源"&amp;原始经营数据!$A647,"基金整体")))</f>
        <v>济南首创奥莱项目</v>
      </c>
      <c r="J646" t="str">
        <f t="shared" si="153"/>
        <v>季度</v>
      </c>
      <c r="K646" t="str">
        <f t="shared" si="154"/>
        <v>期末租金收缴率（%）</v>
      </c>
      <c r="L646" t="str">
        <f t="shared" si="155"/>
        <v>济南首创奥莱项目|期末租金收缴率（%）|季度</v>
      </c>
      <c r="M646">
        <f>IF($A646="",0,IF(COUNTIF($L$2:$L646,$L646)=1,1,0))</f>
        <v>0</v>
      </c>
      <c r="N646">
        <f t="shared" si="156"/>
        <v>20253</v>
      </c>
      <c r="O646" t="str">
        <f t="shared" si="157"/>
        <v>华夏首创奥特莱斯封闭式基础设施证券投资基金|2025Q3|季度</v>
      </c>
      <c r="P646">
        <f>IF($A646="",0,IF(COUNTIF($O$2:$O646,$O646)=1,1,0))</f>
        <v>0</v>
      </c>
      <c r="Q646" t="str">
        <f>IF(AND($P646=1,$A646=经营数据!$B$3,$J646=经营数据!$BA$5),COUNTIFS($P$2:$P$3000,1,$A$2:$A$3000,$A646,$J$2:$J$3000,$J646,$N$2:$N$3000,"&lt;"&amp;$N646)+1,"")</f>
        <v/>
      </c>
      <c r="R646" t="str">
        <f t="shared" si="158"/>
        <v>华夏首创奥特莱斯封闭式基础设施证券投资基金|济南首创奥莱项目</v>
      </c>
      <c r="S646">
        <f>IF($A646="",0,IF(COUNTIF($R$2:$R646,$R646)=1,1,0))</f>
        <v>0</v>
      </c>
      <c r="T646">
        <f t="shared" si="159"/>
        <v>619</v>
      </c>
      <c r="U646" t="str">
        <f>IF($A646="","",IF($A646=经营数据!$B$3,COUNTIFS($S$2:$S$3000,1,$A$2:$A$3000,$A646,$T$2:$T$3000,"&lt;"&amp;$T646)+1,""))</f>
        <v/>
      </c>
      <c r="V646" t="str">
        <f t="shared" si="160"/>
        <v>济南首创奥莱项目|服务效率</v>
      </c>
      <c r="W646">
        <f t="shared" si="161"/>
        <v>619</v>
      </c>
      <c r="X646" t="str">
        <f t="shared" si="162"/>
        <v>济南首创奥莱项目|期末租金收缴率</v>
      </c>
      <c r="Y646">
        <f t="shared" si="163"/>
        <v>619</v>
      </c>
      <c r="Z646">
        <f>IF($A646="",0,IF(AND($M646=1,$A646=经营数据!$B$3,$J646=经营数据!$BA$5,OR($I646=经营数据!$BA$4,COUNTIF(经营数据!$AA$9:$AA$38,$I646)&gt;0)),1,0))</f>
        <v>0</v>
      </c>
      <c r="AA646" t="str">
        <f t="shared" si="164"/>
        <v/>
      </c>
      <c r="AB646" t="str">
        <f t="shared" si="165"/>
        <v/>
      </c>
      <c r="AC646">
        <f>IF($A646="",0,IF(COUNTIF($A$2:$A646,$A646)=1,1,0))</f>
        <v>0</v>
      </c>
      <c r="AD646">
        <f t="shared" si="166"/>
        <v>7</v>
      </c>
      <c r="AE646" t="str">
        <f t="shared" si="167"/>
        <v>济南首创奥莱项目|期末租金收缴率（%）</v>
      </c>
    </row>
    <row r="647" spans="1:31" x14ac:dyDescent="0.4">
      <c r="A647" t="str">
        <f>IF(原始经营数据!$D648="","",原始经营数据!$D648)</f>
        <v>华夏首创奥特莱斯封闭式基础设施证券投资基金</v>
      </c>
      <c r="B647" t="str">
        <f>IF(原始经营数据!$D648="","",T(原始经营数据!$E648))</f>
        <v>济南首创奥莱项目</v>
      </c>
      <c r="C647" t="str">
        <f>IF(原始经营数据!$D648="","",原始经营数据!$F648)</f>
        <v>2025Q4</v>
      </c>
      <c r="D647" t="str">
        <f>IF(原始经营数据!$D648="","",原始经营数据!$H648)</f>
        <v>期末租金收缴率</v>
      </c>
      <c r="E647">
        <f>IF(原始经营数据!$D648="","",原始经营数据!$I648)</f>
        <v>100</v>
      </c>
      <c r="F647" t="str">
        <f>IF(原始经营数据!$D648="","",T(原始经营数据!$J648))</f>
        <v>%</v>
      </c>
      <c r="G647" t="str">
        <f>IF(原始经营数据!$D648="","",T(原始经营数据!$K648))</f>
        <v/>
      </c>
      <c r="H647" t="str">
        <f>IF(原始经营数据!$D648="","",原始经营数据!$G648)</f>
        <v>服务效率</v>
      </c>
      <c r="I647" t="str">
        <f>IF($A647="","",IF($B647&lt;&gt;"",$B647,IF(COUNTIFS(原始经营数据!$D$3:$D$3001,$A647,原始经营数据!$E$3:$E$3001,"",原始经营数据!$F$3:$F$3001,$C647,原始经营数据!$H$3:$H$3001,$D647,原始经营数据!$K$3:$K$3001,$G647)&gt;1,"基金整体·来源"&amp;原始经营数据!$A648,"基金整体")))</f>
        <v>济南首创奥莱项目</v>
      </c>
      <c r="J647" t="str">
        <f t="shared" si="153"/>
        <v>季度</v>
      </c>
      <c r="K647" t="str">
        <f t="shared" si="154"/>
        <v>期末租金收缴率（%）</v>
      </c>
      <c r="L647" t="str">
        <f t="shared" si="155"/>
        <v>济南首创奥莱项目|期末租金收缴率（%）|季度</v>
      </c>
      <c r="M647">
        <f>IF($A647="",0,IF(COUNTIF($L$2:$L647,$L647)=1,1,0))</f>
        <v>0</v>
      </c>
      <c r="N647">
        <f t="shared" si="156"/>
        <v>20254</v>
      </c>
      <c r="O647" t="str">
        <f t="shared" si="157"/>
        <v>华夏首创奥特莱斯封闭式基础设施证券投资基金|2025Q4|季度</v>
      </c>
      <c r="P647">
        <f>IF($A647="",0,IF(COUNTIF($O$2:$O647,$O647)=1,1,0))</f>
        <v>0</v>
      </c>
      <c r="Q647" t="str">
        <f>IF(AND($P647=1,$A647=经营数据!$B$3,$J647=经营数据!$BA$5),COUNTIFS($P$2:$P$3000,1,$A$2:$A$3000,$A647,$J$2:$J$3000,$J647,$N$2:$N$3000,"&lt;"&amp;$N647)+1,"")</f>
        <v/>
      </c>
      <c r="R647" t="str">
        <f t="shared" si="158"/>
        <v>华夏首创奥特莱斯封闭式基础设施证券投资基金|济南首创奥莱项目</v>
      </c>
      <c r="S647">
        <f>IF($A647="",0,IF(COUNTIF($R$2:$R647,$R647)=1,1,0))</f>
        <v>0</v>
      </c>
      <c r="T647">
        <f t="shared" si="159"/>
        <v>619</v>
      </c>
      <c r="U647" t="str">
        <f>IF($A647="","",IF($A647=经营数据!$B$3,COUNTIFS($S$2:$S$3000,1,$A$2:$A$3000,$A647,$T$2:$T$3000,"&lt;"&amp;$T647)+1,""))</f>
        <v/>
      </c>
      <c r="V647" t="str">
        <f t="shared" si="160"/>
        <v>济南首创奥莱项目|服务效率</v>
      </c>
      <c r="W647">
        <f t="shared" si="161"/>
        <v>619</v>
      </c>
      <c r="X647" t="str">
        <f t="shared" si="162"/>
        <v>济南首创奥莱项目|期末租金收缴率</v>
      </c>
      <c r="Y647">
        <f t="shared" si="163"/>
        <v>619</v>
      </c>
      <c r="Z647">
        <f>IF($A647="",0,IF(AND($M647=1,$A647=经营数据!$B$3,$J647=经营数据!$BA$5,OR($I647=经营数据!$BA$4,COUNTIF(经营数据!$AA$9:$AA$38,$I647)&gt;0)),1,0))</f>
        <v>0</v>
      </c>
      <c r="AA647" t="str">
        <f t="shared" si="164"/>
        <v/>
      </c>
      <c r="AB647" t="str">
        <f t="shared" si="165"/>
        <v/>
      </c>
      <c r="AC647">
        <f>IF($A647="",0,IF(COUNTIF($A$2:$A647,$A647)=1,1,0))</f>
        <v>0</v>
      </c>
      <c r="AD647">
        <f t="shared" si="166"/>
        <v>7</v>
      </c>
      <c r="AE647" t="str">
        <f t="shared" si="167"/>
        <v>济南首创奥莱项目|期末租金收缴率（%）</v>
      </c>
    </row>
    <row r="648" spans="1:31" x14ac:dyDescent="0.4">
      <c r="A648" t="str">
        <f>IF(原始经营数据!$D649="","",原始经营数据!$D649)</f>
        <v>华夏首创奥特莱斯封闭式基础设施证券投资基金</v>
      </c>
      <c r="B648" t="str">
        <f>IF(原始经营数据!$D649="","",T(原始经营数据!$E649))</f>
        <v>济南首创奥莱项目</v>
      </c>
      <c r="C648" t="str">
        <f>IF(原始经营数据!$D649="","",原始经营数据!$F649)</f>
        <v>2025Q4</v>
      </c>
      <c r="D648" t="str">
        <f>IF(原始经营数据!$D649="","",原始经营数据!$H649)</f>
        <v>期末剩余租期</v>
      </c>
      <c r="E648">
        <f>IF(原始经营数据!$D649="","",原始经营数据!$I649)</f>
        <v>1.7</v>
      </c>
      <c r="F648" t="str">
        <f>IF(原始经营数据!$D649="","",T(原始经营数据!$J649))</f>
        <v>年</v>
      </c>
      <c r="G648" t="str">
        <f>IF(原始经营数据!$D649="","",T(原始经营数据!$K649))</f>
        <v/>
      </c>
      <c r="H648" t="str">
        <f>IF(原始经营数据!$D649="","",原始经营数据!$G649)</f>
        <v>服务量</v>
      </c>
      <c r="I648" t="str">
        <f>IF($A648="","",IF($B648&lt;&gt;"",$B648,IF(COUNTIFS(原始经营数据!$D$3:$D$3001,$A648,原始经营数据!$E$3:$E$3001,"",原始经营数据!$F$3:$F$3001,$C648,原始经营数据!$H$3:$H$3001,$D648,原始经营数据!$K$3:$K$3001,$G648)&gt;1,"基金整体·来源"&amp;原始经营数据!$A649,"基金整体")))</f>
        <v>济南首创奥莱项目</v>
      </c>
      <c r="J648" t="str">
        <f t="shared" si="153"/>
        <v>季度</v>
      </c>
      <c r="K648" t="str">
        <f t="shared" si="154"/>
        <v>期末剩余租期（年）</v>
      </c>
      <c r="L648" t="str">
        <f t="shared" si="155"/>
        <v>济南首创奥莱项目|期末剩余租期（年）|季度</v>
      </c>
      <c r="M648">
        <f>IF($A648="",0,IF(COUNTIF($L$2:$L648,$L648)=1,1,0))</f>
        <v>0</v>
      </c>
      <c r="N648">
        <f t="shared" si="156"/>
        <v>20254</v>
      </c>
      <c r="O648" t="str">
        <f t="shared" si="157"/>
        <v>华夏首创奥特莱斯封闭式基础设施证券投资基金|2025Q4|季度</v>
      </c>
      <c r="P648">
        <f>IF($A648="",0,IF(COUNTIF($O$2:$O648,$O648)=1,1,0))</f>
        <v>0</v>
      </c>
      <c r="Q648" t="str">
        <f>IF(AND($P648=1,$A648=经营数据!$B$3,$J648=经营数据!$BA$5),COUNTIFS($P$2:$P$3000,1,$A$2:$A$3000,$A648,$J$2:$J$3000,$J648,$N$2:$N$3000,"&lt;"&amp;$N648)+1,"")</f>
        <v/>
      </c>
      <c r="R648" t="str">
        <f t="shared" si="158"/>
        <v>华夏首创奥特莱斯封闭式基础设施证券投资基金|济南首创奥莱项目</v>
      </c>
      <c r="S648">
        <f>IF($A648="",0,IF(COUNTIF($R$2:$R648,$R648)=1,1,0))</f>
        <v>0</v>
      </c>
      <c r="T648">
        <f t="shared" si="159"/>
        <v>619</v>
      </c>
      <c r="U648" t="str">
        <f>IF($A648="","",IF($A648=经营数据!$B$3,COUNTIFS($S$2:$S$3000,1,$A$2:$A$3000,$A648,$T$2:$T$3000,"&lt;"&amp;$T648)+1,""))</f>
        <v/>
      </c>
      <c r="V648" t="str">
        <f t="shared" si="160"/>
        <v>济南首创奥莱项目|服务量</v>
      </c>
      <c r="W648">
        <f t="shared" si="161"/>
        <v>621</v>
      </c>
      <c r="X648" t="str">
        <f t="shared" si="162"/>
        <v>济南首创奥莱项目|期末剩余租期</v>
      </c>
      <c r="Y648">
        <f t="shared" si="163"/>
        <v>624</v>
      </c>
      <c r="Z648">
        <f>IF($A648="",0,IF(AND($M648=1,$A648=经营数据!$B$3,$J648=经营数据!$BA$5,OR($I648=经营数据!$BA$4,COUNTIF(经营数据!$AA$9:$AA$38,$I648)&gt;0)),1,0))</f>
        <v>0</v>
      </c>
      <c r="AA648" t="str">
        <f t="shared" si="164"/>
        <v/>
      </c>
      <c r="AB648" t="str">
        <f t="shared" si="165"/>
        <v/>
      </c>
      <c r="AC648">
        <f>IF($A648="",0,IF(COUNTIF($A$2:$A648,$A648)=1,1,0))</f>
        <v>0</v>
      </c>
      <c r="AD648">
        <f t="shared" si="166"/>
        <v>7</v>
      </c>
      <c r="AE648" t="str">
        <f t="shared" si="167"/>
        <v>济南首创奥莱项目|期末剩余租期（年）</v>
      </c>
    </row>
    <row r="649" spans="1:31" x14ac:dyDescent="0.4">
      <c r="A649" t="str">
        <f>IF(原始经营数据!$D650="","",原始经营数据!$D650)</f>
        <v>华夏首创奥特莱斯封闭式基础设施证券投资基金</v>
      </c>
      <c r="B649" t="str">
        <f>IF(原始经营数据!$D650="","",T(原始经营数据!$E650))</f>
        <v>济南首创奥莱项目</v>
      </c>
      <c r="C649" t="str">
        <f>IF(原始经营数据!$D650="","",原始经营数据!$F650)</f>
        <v>2025Q4</v>
      </c>
      <c r="D649" t="str">
        <f>IF(原始经营数据!$D650="","",原始经营数据!$H650)</f>
        <v>期内租金单价水平</v>
      </c>
      <c r="E649">
        <f>IF(原始经营数据!$D650="","",原始经营数据!$I650)</f>
        <v>205.23</v>
      </c>
      <c r="F649" t="str">
        <f>IF(原始经营数据!$D650="","",T(原始经营数据!$J650))</f>
        <v>元/平方米/月</v>
      </c>
      <c r="G649" t="str">
        <f>IF(原始经营数据!$D650="","",T(原始经营数据!$K650))</f>
        <v/>
      </c>
      <c r="H649" t="str">
        <f>IF(原始经营数据!$D650="","",原始经营数据!$G650)</f>
        <v>服务价格</v>
      </c>
      <c r="I649" t="str">
        <f>IF($A649="","",IF($B649&lt;&gt;"",$B649,IF(COUNTIFS(原始经营数据!$D$3:$D$3001,$A649,原始经营数据!$E$3:$E$3001,"",原始经营数据!$F$3:$F$3001,$C649,原始经营数据!$H$3:$H$3001,$D649,原始经营数据!$K$3:$K$3001,$G649)&gt;1,"基金整体·来源"&amp;原始经营数据!$A650,"基金整体")))</f>
        <v>济南首创奥莱项目</v>
      </c>
      <c r="J649" t="str">
        <f t="shared" si="153"/>
        <v>季度</v>
      </c>
      <c r="K649" t="str">
        <f t="shared" si="154"/>
        <v>期内租金单价水平（元/平方米/月）</v>
      </c>
      <c r="L649" t="str">
        <f t="shared" si="155"/>
        <v>济南首创奥莱项目|期内租金单价水平（元/平方米/月）|季度</v>
      </c>
      <c r="M649">
        <f>IF($A649="",0,IF(COUNTIF($L$2:$L649,$L649)=1,1,0))</f>
        <v>0</v>
      </c>
      <c r="N649">
        <f t="shared" si="156"/>
        <v>20254</v>
      </c>
      <c r="O649" t="str">
        <f t="shared" si="157"/>
        <v>华夏首创奥特莱斯封闭式基础设施证券投资基金|2025Q4|季度</v>
      </c>
      <c r="P649">
        <f>IF($A649="",0,IF(COUNTIF($O$2:$O649,$O649)=1,1,0))</f>
        <v>0</v>
      </c>
      <c r="Q649" t="str">
        <f>IF(AND($P649=1,$A649=经营数据!$B$3,$J649=经营数据!$BA$5),COUNTIFS($P$2:$P$3000,1,$A$2:$A$3000,$A649,$J$2:$J$3000,$J649,$N$2:$N$3000,"&lt;"&amp;$N649)+1,"")</f>
        <v/>
      </c>
      <c r="R649" t="str">
        <f t="shared" si="158"/>
        <v>华夏首创奥特莱斯封闭式基础设施证券投资基金|济南首创奥莱项目</v>
      </c>
      <c r="S649">
        <f>IF($A649="",0,IF(COUNTIF($R$2:$R649,$R649)=1,1,0))</f>
        <v>0</v>
      </c>
      <c r="T649">
        <f t="shared" si="159"/>
        <v>619</v>
      </c>
      <c r="U649" t="str">
        <f>IF($A649="","",IF($A649=经营数据!$B$3,COUNTIFS($S$2:$S$3000,1,$A$2:$A$3000,$A649,$T$2:$T$3000,"&lt;"&amp;$T649)+1,""))</f>
        <v/>
      </c>
      <c r="V649" t="str">
        <f t="shared" si="160"/>
        <v>济南首创奥莱项目|服务价格</v>
      </c>
      <c r="W649">
        <f t="shared" si="161"/>
        <v>620</v>
      </c>
      <c r="X649" t="str">
        <f t="shared" si="162"/>
        <v>济南首创奥莱项目|期内租金单价水平</v>
      </c>
      <c r="Y649">
        <f t="shared" si="163"/>
        <v>620</v>
      </c>
      <c r="Z649">
        <f>IF($A649="",0,IF(AND($M649=1,$A649=经营数据!$B$3,$J649=经营数据!$BA$5,OR($I649=经营数据!$BA$4,COUNTIF(经营数据!$AA$9:$AA$38,$I649)&gt;0)),1,0))</f>
        <v>0</v>
      </c>
      <c r="AA649" t="str">
        <f t="shared" si="164"/>
        <v/>
      </c>
      <c r="AB649" t="str">
        <f t="shared" si="165"/>
        <v/>
      </c>
      <c r="AC649">
        <f>IF($A649="",0,IF(COUNTIF($A$2:$A649,$A649)=1,1,0))</f>
        <v>0</v>
      </c>
      <c r="AD649">
        <f t="shared" si="166"/>
        <v>7</v>
      </c>
      <c r="AE649" t="str">
        <f t="shared" si="167"/>
        <v>济南首创奥莱项目|期内租金单价水平（元/平方米/月）</v>
      </c>
    </row>
    <row r="650" spans="1:31" x14ac:dyDescent="0.4">
      <c r="A650" t="str">
        <f>IF(原始经营数据!$D651="","",原始经营数据!$D651)</f>
        <v>华夏首创奥特莱斯封闭式基础设施证券投资基金</v>
      </c>
      <c r="B650" t="str">
        <f>IF(原始经营数据!$D651="","",T(原始经营数据!$E651))</f>
        <v>济南首创奥莱项目</v>
      </c>
      <c r="C650" t="str">
        <f>IF(原始经营数据!$D651="","",原始经营数据!$F651)</f>
        <v>2025Q4</v>
      </c>
      <c r="D650" t="str">
        <f>IF(原始经营数据!$D651="","",原始经营数据!$H651)</f>
        <v>期末出租率</v>
      </c>
      <c r="E650">
        <f>IF(原始经营数据!$D651="","",原始经营数据!$I651)</f>
        <v>99.04</v>
      </c>
      <c r="F650" t="str">
        <f>IF(原始经营数据!$D651="","",T(原始经营数据!$J651))</f>
        <v>%</v>
      </c>
      <c r="G650" t="str">
        <f>IF(原始经营数据!$D651="","",T(原始经营数据!$K651))</f>
        <v/>
      </c>
      <c r="H650" t="str">
        <f>IF(原始经营数据!$D651="","",原始经营数据!$G651)</f>
        <v>服务效率</v>
      </c>
      <c r="I650" t="str">
        <f>IF($A650="","",IF($B650&lt;&gt;"",$B650,IF(COUNTIFS(原始经营数据!$D$3:$D$3001,$A650,原始经营数据!$E$3:$E$3001,"",原始经营数据!$F$3:$F$3001,$C650,原始经营数据!$H$3:$H$3001,$D650,原始经营数据!$K$3:$K$3001,$G650)&gt;1,"基金整体·来源"&amp;原始经营数据!$A651,"基金整体")))</f>
        <v>济南首创奥莱项目</v>
      </c>
      <c r="J650" t="str">
        <f t="shared" si="153"/>
        <v>季度</v>
      </c>
      <c r="K650" t="str">
        <f t="shared" si="154"/>
        <v>期末出租率（%）</v>
      </c>
      <c r="L650" t="str">
        <f t="shared" si="155"/>
        <v>济南首创奥莱项目|期末出租率（%）|季度</v>
      </c>
      <c r="M650">
        <f>IF($A650="",0,IF(COUNTIF($L$2:$L650,$L650)=1,1,0))</f>
        <v>0</v>
      </c>
      <c r="N650">
        <f t="shared" si="156"/>
        <v>20254</v>
      </c>
      <c r="O650" t="str">
        <f t="shared" si="157"/>
        <v>华夏首创奥特莱斯封闭式基础设施证券投资基金|2025Q4|季度</v>
      </c>
      <c r="P650">
        <f>IF($A650="",0,IF(COUNTIF($O$2:$O650,$O650)=1,1,0))</f>
        <v>0</v>
      </c>
      <c r="Q650" t="str">
        <f>IF(AND($P650=1,$A650=经营数据!$B$3,$J650=经营数据!$BA$5),COUNTIFS($P$2:$P$3000,1,$A$2:$A$3000,$A650,$J$2:$J$3000,$J650,$N$2:$N$3000,"&lt;"&amp;$N650)+1,"")</f>
        <v/>
      </c>
      <c r="R650" t="str">
        <f t="shared" si="158"/>
        <v>华夏首创奥特莱斯封闭式基础设施证券投资基金|济南首创奥莱项目</v>
      </c>
      <c r="S650">
        <f>IF($A650="",0,IF(COUNTIF($R$2:$R650,$R650)=1,1,0))</f>
        <v>0</v>
      </c>
      <c r="T650">
        <f t="shared" si="159"/>
        <v>619</v>
      </c>
      <c r="U650" t="str">
        <f>IF($A650="","",IF($A650=经营数据!$B$3,COUNTIFS($S$2:$S$3000,1,$A$2:$A$3000,$A650,$T$2:$T$3000,"&lt;"&amp;$T650)+1,""))</f>
        <v/>
      </c>
      <c r="V650" t="str">
        <f t="shared" si="160"/>
        <v>济南首创奥莱项目|服务效率</v>
      </c>
      <c r="W650">
        <f t="shared" si="161"/>
        <v>619</v>
      </c>
      <c r="X650" t="str">
        <f t="shared" si="162"/>
        <v>济南首创奥莱项目|期末出租率</v>
      </c>
      <c r="Y650">
        <f t="shared" si="163"/>
        <v>623</v>
      </c>
      <c r="Z650">
        <f>IF($A650="",0,IF(AND($M650=1,$A650=经营数据!$B$3,$J650=经营数据!$BA$5,OR($I650=经营数据!$BA$4,COUNTIF(经营数据!$AA$9:$AA$38,$I650)&gt;0)),1,0))</f>
        <v>0</v>
      </c>
      <c r="AA650" t="str">
        <f t="shared" si="164"/>
        <v/>
      </c>
      <c r="AB650" t="str">
        <f t="shared" si="165"/>
        <v/>
      </c>
      <c r="AC650">
        <f>IF($A650="",0,IF(COUNTIF($A$2:$A650,$A650)=1,1,0))</f>
        <v>0</v>
      </c>
      <c r="AD650">
        <f t="shared" si="166"/>
        <v>7</v>
      </c>
      <c r="AE650" t="str">
        <f t="shared" si="167"/>
        <v>济南首创奥莱项目|期末出租率（%）</v>
      </c>
    </row>
    <row r="651" spans="1:31" x14ac:dyDescent="0.4">
      <c r="A651" t="str">
        <f>IF(原始经营数据!$D652="","",原始经营数据!$D652)</f>
        <v>华夏首创奥特莱斯封闭式基础设施证券投资基金</v>
      </c>
      <c r="B651" t="str">
        <f>IF(原始经营数据!$D652="","",T(原始经营数据!$E652))</f>
        <v>济南首创奥莱项目</v>
      </c>
      <c r="C651" t="str">
        <f>IF(原始经营数据!$D652="","",原始经营数据!$F652)</f>
        <v>2025Q4</v>
      </c>
      <c r="D651" t="str">
        <f>IF(原始经营数据!$D652="","",原始经营数据!$H652)</f>
        <v>期末实际出租面积</v>
      </c>
      <c r="E651">
        <f>IF(原始经营数据!$D652="","",原始经营数据!$I652)</f>
        <v>51363.34</v>
      </c>
      <c r="F651" t="str">
        <f>IF(原始经营数据!$D652="","",T(原始经营数据!$J652))</f>
        <v>平方米</v>
      </c>
      <c r="G651" t="str">
        <f>IF(原始经营数据!$D652="","",T(原始经营数据!$K652))</f>
        <v/>
      </c>
      <c r="H651" t="str">
        <f>IF(原始经营数据!$D652="","",原始经营数据!$G652)</f>
        <v>服务量</v>
      </c>
      <c r="I651" t="str">
        <f>IF($A651="","",IF($B651&lt;&gt;"",$B651,IF(COUNTIFS(原始经营数据!$D$3:$D$3001,$A651,原始经营数据!$E$3:$E$3001,"",原始经营数据!$F$3:$F$3001,$C651,原始经营数据!$H$3:$H$3001,$D651,原始经营数据!$K$3:$K$3001,$G651)&gt;1,"基金整体·来源"&amp;原始经营数据!$A652,"基金整体")))</f>
        <v>济南首创奥莱项目</v>
      </c>
      <c r="J651" t="str">
        <f t="shared" si="153"/>
        <v>季度</v>
      </c>
      <c r="K651" t="str">
        <f t="shared" si="154"/>
        <v>期末实际出租面积（平方米）</v>
      </c>
      <c r="L651" t="str">
        <f t="shared" si="155"/>
        <v>济南首创奥莱项目|期末实际出租面积（平方米）|季度</v>
      </c>
      <c r="M651">
        <f>IF($A651="",0,IF(COUNTIF($L$2:$L651,$L651)=1,1,0))</f>
        <v>0</v>
      </c>
      <c r="N651">
        <f t="shared" si="156"/>
        <v>20254</v>
      </c>
      <c r="O651" t="str">
        <f t="shared" si="157"/>
        <v>华夏首创奥特莱斯封闭式基础设施证券投资基金|2025Q4|季度</v>
      </c>
      <c r="P651">
        <f>IF($A651="",0,IF(COUNTIF($O$2:$O651,$O651)=1,1,0))</f>
        <v>0</v>
      </c>
      <c r="Q651" t="str">
        <f>IF(AND($P651=1,$A651=经营数据!$B$3,$J651=经营数据!$BA$5),COUNTIFS($P$2:$P$3000,1,$A$2:$A$3000,$A651,$J$2:$J$3000,$J651,$N$2:$N$3000,"&lt;"&amp;$N651)+1,"")</f>
        <v/>
      </c>
      <c r="R651" t="str">
        <f t="shared" si="158"/>
        <v>华夏首创奥特莱斯封闭式基础设施证券投资基金|济南首创奥莱项目</v>
      </c>
      <c r="S651">
        <f>IF($A651="",0,IF(COUNTIF($R$2:$R651,$R651)=1,1,0))</f>
        <v>0</v>
      </c>
      <c r="T651">
        <f t="shared" si="159"/>
        <v>619</v>
      </c>
      <c r="U651" t="str">
        <f>IF($A651="","",IF($A651=经营数据!$B$3,COUNTIFS($S$2:$S$3000,1,$A$2:$A$3000,$A651,$T$2:$T$3000,"&lt;"&amp;$T651)+1,""))</f>
        <v/>
      </c>
      <c r="V651" t="str">
        <f t="shared" si="160"/>
        <v>济南首创奥莱项目|服务量</v>
      </c>
      <c r="W651">
        <f t="shared" si="161"/>
        <v>621</v>
      </c>
      <c r="X651" t="str">
        <f t="shared" si="162"/>
        <v>济南首创奥莱项目|期末实际出租面积</v>
      </c>
      <c r="Y651">
        <f t="shared" si="163"/>
        <v>622</v>
      </c>
      <c r="Z651">
        <f>IF($A651="",0,IF(AND($M651=1,$A651=经营数据!$B$3,$J651=经营数据!$BA$5,OR($I651=经营数据!$BA$4,COUNTIF(经营数据!$AA$9:$AA$38,$I651)&gt;0)),1,0))</f>
        <v>0</v>
      </c>
      <c r="AA651" t="str">
        <f t="shared" si="164"/>
        <v/>
      </c>
      <c r="AB651" t="str">
        <f t="shared" si="165"/>
        <v/>
      </c>
      <c r="AC651">
        <f>IF($A651="",0,IF(COUNTIF($A$2:$A651,$A651)=1,1,0))</f>
        <v>0</v>
      </c>
      <c r="AD651">
        <f t="shared" si="166"/>
        <v>7</v>
      </c>
      <c r="AE651" t="str">
        <f t="shared" si="167"/>
        <v>济南首创奥莱项目|期末实际出租面积（平方米）</v>
      </c>
    </row>
    <row r="652" spans="1:31" x14ac:dyDescent="0.4">
      <c r="A652" t="str">
        <f>IF(原始经营数据!$D653="","",原始经营数据!$D653)</f>
        <v>华夏首创奥特莱斯封闭式基础设施证券投资基金</v>
      </c>
      <c r="B652" t="str">
        <f>IF(原始经营数据!$D653="","",T(原始经营数据!$E653))</f>
        <v>济南首创奥莱项目</v>
      </c>
      <c r="C652" t="str">
        <f>IF(原始经营数据!$D653="","",原始经营数据!$F653)</f>
        <v>2025Q4</v>
      </c>
      <c r="D652" t="str">
        <f>IF(原始经营数据!$D653="","",原始经营数据!$H653)</f>
        <v>期末可供出租面积</v>
      </c>
      <c r="E652">
        <f>IF(原始经营数据!$D653="","",原始经营数据!$I653)</f>
        <v>51863.53</v>
      </c>
      <c r="F652" t="str">
        <f>IF(原始经营数据!$D653="","",T(原始经营数据!$J653))</f>
        <v>平方米</v>
      </c>
      <c r="G652" t="str">
        <f>IF(原始经营数据!$D653="","",T(原始经营数据!$K653))</f>
        <v/>
      </c>
      <c r="H652" t="str">
        <f>IF(原始经营数据!$D653="","",原始经营数据!$G653)</f>
        <v>服务量</v>
      </c>
      <c r="I652" t="str">
        <f>IF($A652="","",IF($B652&lt;&gt;"",$B652,IF(COUNTIFS(原始经营数据!$D$3:$D$3001,$A652,原始经营数据!$E$3:$E$3001,"",原始经营数据!$F$3:$F$3001,$C652,原始经营数据!$H$3:$H$3001,$D652,原始经营数据!$K$3:$K$3001,$G652)&gt;1,"基金整体·来源"&amp;原始经营数据!$A653,"基金整体")))</f>
        <v>济南首创奥莱项目</v>
      </c>
      <c r="J652" t="str">
        <f t="shared" si="153"/>
        <v>季度</v>
      </c>
      <c r="K652" t="str">
        <f t="shared" si="154"/>
        <v>期末可供出租面积（平方米）</v>
      </c>
      <c r="L652" t="str">
        <f t="shared" si="155"/>
        <v>济南首创奥莱项目|期末可供出租面积（平方米）|季度</v>
      </c>
      <c r="M652">
        <f>IF($A652="",0,IF(COUNTIF($L$2:$L652,$L652)=1,1,0))</f>
        <v>0</v>
      </c>
      <c r="N652">
        <f t="shared" si="156"/>
        <v>20254</v>
      </c>
      <c r="O652" t="str">
        <f t="shared" si="157"/>
        <v>华夏首创奥特莱斯封闭式基础设施证券投资基金|2025Q4|季度</v>
      </c>
      <c r="P652">
        <f>IF($A652="",0,IF(COUNTIF($O$2:$O652,$O652)=1,1,0))</f>
        <v>0</v>
      </c>
      <c r="Q652" t="str">
        <f>IF(AND($P652=1,$A652=经营数据!$B$3,$J652=经营数据!$BA$5),COUNTIFS($P$2:$P$3000,1,$A$2:$A$3000,$A652,$J$2:$J$3000,$J652,$N$2:$N$3000,"&lt;"&amp;$N652)+1,"")</f>
        <v/>
      </c>
      <c r="R652" t="str">
        <f t="shared" si="158"/>
        <v>华夏首创奥特莱斯封闭式基础设施证券投资基金|济南首创奥莱项目</v>
      </c>
      <c r="S652">
        <f>IF($A652="",0,IF(COUNTIF($R$2:$R652,$R652)=1,1,0))</f>
        <v>0</v>
      </c>
      <c r="T652">
        <f t="shared" si="159"/>
        <v>619</v>
      </c>
      <c r="U652" t="str">
        <f>IF($A652="","",IF($A652=经营数据!$B$3,COUNTIFS($S$2:$S$3000,1,$A$2:$A$3000,$A652,$T$2:$T$3000,"&lt;"&amp;$T652)+1,""))</f>
        <v/>
      </c>
      <c r="V652" t="str">
        <f t="shared" si="160"/>
        <v>济南首创奥莱项目|服务量</v>
      </c>
      <c r="W652">
        <f t="shared" si="161"/>
        <v>621</v>
      </c>
      <c r="X652" t="str">
        <f t="shared" si="162"/>
        <v>济南首创奥莱项目|期末可供出租面积</v>
      </c>
      <c r="Y652">
        <f t="shared" si="163"/>
        <v>621</v>
      </c>
      <c r="Z652">
        <f>IF($A652="",0,IF(AND($M652=1,$A652=经营数据!$B$3,$J652=经营数据!$BA$5,OR($I652=经营数据!$BA$4,COUNTIF(经营数据!$AA$9:$AA$38,$I652)&gt;0)),1,0))</f>
        <v>0</v>
      </c>
      <c r="AA652" t="str">
        <f t="shared" si="164"/>
        <v/>
      </c>
      <c r="AB652" t="str">
        <f t="shared" si="165"/>
        <v/>
      </c>
      <c r="AC652">
        <f>IF($A652="",0,IF(COUNTIF($A$2:$A652,$A652)=1,1,0))</f>
        <v>0</v>
      </c>
      <c r="AD652">
        <f t="shared" si="166"/>
        <v>7</v>
      </c>
      <c r="AE652" t="str">
        <f t="shared" si="167"/>
        <v>济南首创奥莱项目|期末可供出租面积（平方米）</v>
      </c>
    </row>
    <row r="653" spans="1:31" x14ac:dyDescent="0.4">
      <c r="A653" t="str">
        <f>IF(原始经营数据!$D654="","",原始经营数据!$D654)</f>
        <v>华夏首创奥特莱斯封闭式基础设施证券投资基金</v>
      </c>
      <c r="B653" t="str">
        <f>IF(原始经营数据!$D654="","",T(原始经营数据!$E654))</f>
        <v>济南首创奥莱项目</v>
      </c>
      <c r="C653" t="str">
        <f>IF(原始经营数据!$D654="","",原始经营数据!$F654)</f>
        <v>2026Q1</v>
      </c>
      <c r="D653" t="str">
        <f>IF(原始经营数据!$D654="","",原始经营数据!$H654)</f>
        <v>期末可供出租面积</v>
      </c>
      <c r="E653">
        <f>IF(原始经营数据!$D654="","",原始经营数据!$I654)</f>
        <v>51863.53</v>
      </c>
      <c r="F653" t="str">
        <f>IF(原始经营数据!$D654="","",T(原始经营数据!$J654))</f>
        <v>平方米</v>
      </c>
      <c r="G653" t="str">
        <f>IF(原始经营数据!$D654="","",T(原始经营数据!$K654))</f>
        <v/>
      </c>
      <c r="H653" t="str">
        <f>IF(原始经营数据!$D654="","",原始经营数据!$G654)</f>
        <v>服务量</v>
      </c>
      <c r="I653" t="str">
        <f>IF($A653="","",IF($B653&lt;&gt;"",$B653,IF(COUNTIFS(原始经营数据!$D$3:$D$3001,$A653,原始经营数据!$E$3:$E$3001,"",原始经营数据!$F$3:$F$3001,$C653,原始经营数据!$H$3:$H$3001,$D653,原始经营数据!$K$3:$K$3001,$G653)&gt;1,"基金整体·来源"&amp;原始经营数据!$A654,"基金整体")))</f>
        <v>济南首创奥莱项目</v>
      </c>
      <c r="J653" t="str">
        <f t="shared" si="153"/>
        <v>季度</v>
      </c>
      <c r="K653" t="str">
        <f t="shared" si="154"/>
        <v>期末可供出租面积（平方米）</v>
      </c>
      <c r="L653" t="str">
        <f t="shared" si="155"/>
        <v>济南首创奥莱项目|期末可供出租面积（平方米）|季度</v>
      </c>
      <c r="M653">
        <f>IF($A653="",0,IF(COUNTIF($L$2:$L653,$L653)=1,1,0))</f>
        <v>0</v>
      </c>
      <c r="N653">
        <f t="shared" si="156"/>
        <v>20261</v>
      </c>
      <c r="O653" t="str">
        <f t="shared" si="157"/>
        <v>华夏首创奥特莱斯封闭式基础设施证券投资基金|2026Q1|季度</v>
      </c>
      <c r="P653">
        <f>IF($A653="",0,IF(COUNTIF($O$2:$O653,$O653)=1,1,0))</f>
        <v>0</v>
      </c>
      <c r="Q653" t="str">
        <f>IF(AND($P653=1,$A653=经营数据!$B$3,$J653=经营数据!$BA$5),COUNTIFS($P$2:$P$3000,1,$A$2:$A$3000,$A653,$J$2:$J$3000,$J653,$N$2:$N$3000,"&lt;"&amp;$N653)+1,"")</f>
        <v/>
      </c>
      <c r="R653" t="str">
        <f t="shared" si="158"/>
        <v>华夏首创奥特莱斯封闭式基础设施证券投资基金|济南首创奥莱项目</v>
      </c>
      <c r="S653">
        <f>IF($A653="",0,IF(COUNTIF($R$2:$R653,$R653)=1,1,0))</f>
        <v>0</v>
      </c>
      <c r="T653">
        <f t="shared" si="159"/>
        <v>619</v>
      </c>
      <c r="U653" t="str">
        <f>IF($A653="","",IF($A653=经营数据!$B$3,COUNTIFS($S$2:$S$3000,1,$A$2:$A$3000,$A653,$T$2:$T$3000,"&lt;"&amp;$T653)+1,""))</f>
        <v/>
      </c>
      <c r="V653" t="str">
        <f t="shared" si="160"/>
        <v>济南首创奥莱项目|服务量</v>
      </c>
      <c r="W653">
        <f t="shared" si="161"/>
        <v>621</v>
      </c>
      <c r="X653" t="str">
        <f t="shared" si="162"/>
        <v>济南首创奥莱项目|期末可供出租面积</v>
      </c>
      <c r="Y653">
        <f t="shared" si="163"/>
        <v>621</v>
      </c>
      <c r="Z653">
        <f>IF($A653="",0,IF(AND($M653=1,$A653=经营数据!$B$3,$J653=经营数据!$BA$5,OR($I653=经营数据!$BA$4,COUNTIF(经营数据!$AA$9:$AA$38,$I653)&gt;0)),1,0))</f>
        <v>0</v>
      </c>
      <c r="AA653" t="str">
        <f t="shared" si="164"/>
        <v/>
      </c>
      <c r="AB653" t="str">
        <f t="shared" si="165"/>
        <v/>
      </c>
      <c r="AC653">
        <f>IF($A653="",0,IF(COUNTIF($A$2:$A653,$A653)=1,1,0))</f>
        <v>0</v>
      </c>
      <c r="AD653">
        <f t="shared" si="166"/>
        <v>7</v>
      </c>
      <c r="AE653" t="str">
        <f t="shared" si="167"/>
        <v>济南首创奥莱项目|期末可供出租面积（平方米）</v>
      </c>
    </row>
    <row r="654" spans="1:31" x14ac:dyDescent="0.4">
      <c r="A654" t="str">
        <f>IF(原始经营数据!$D655="","",原始经营数据!$D655)</f>
        <v>华夏首创奥特莱斯封闭式基础设施证券投资基金</v>
      </c>
      <c r="B654" t="str">
        <f>IF(原始经营数据!$D655="","",T(原始经营数据!$E655))</f>
        <v>济南首创奥莱项目</v>
      </c>
      <c r="C654" t="str">
        <f>IF(原始经营数据!$D655="","",原始经营数据!$F655)</f>
        <v>2026Q1</v>
      </c>
      <c r="D654" t="str">
        <f>IF(原始经营数据!$D655="","",原始经营数据!$H655)</f>
        <v>期末实际出租面积</v>
      </c>
      <c r="E654">
        <f>IF(原始经营数据!$D655="","",原始经营数据!$I655)</f>
        <v>50880.57</v>
      </c>
      <c r="F654" t="str">
        <f>IF(原始经营数据!$D655="","",T(原始经营数据!$J655))</f>
        <v>平方米</v>
      </c>
      <c r="G654" t="str">
        <f>IF(原始经营数据!$D655="","",T(原始经营数据!$K655))</f>
        <v/>
      </c>
      <c r="H654" t="str">
        <f>IF(原始经营数据!$D655="","",原始经营数据!$G655)</f>
        <v>服务量</v>
      </c>
      <c r="I654" t="str">
        <f>IF($A654="","",IF($B654&lt;&gt;"",$B654,IF(COUNTIFS(原始经营数据!$D$3:$D$3001,$A654,原始经营数据!$E$3:$E$3001,"",原始经营数据!$F$3:$F$3001,$C654,原始经营数据!$H$3:$H$3001,$D654,原始经营数据!$K$3:$K$3001,$G654)&gt;1,"基金整体·来源"&amp;原始经营数据!$A655,"基金整体")))</f>
        <v>济南首创奥莱项目</v>
      </c>
      <c r="J654" t="str">
        <f t="shared" si="153"/>
        <v>季度</v>
      </c>
      <c r="K654" t="str">
        <f t="shared" si="154"/>
        <v>期末实际出租面积（平方米）</v>
      </c>
      <c r="L654" t="str">
        <f t="shared" si="155"/>
        <v>济南首创奥莱项目|期末实际出租面积（平方米）|季度</v>
      </c>
      <c r="M654">
        <f>IF($A654="",0,IF(COUNTIF($L$2:$L654,$L654)=1,1,0))</f>
        <v>0</v>
      </c>
      <c r="N654">
        <f t="shared" si="156"/>
        <v>20261</v>
      </c>
      <c r="O654" t="str">
        <f t="shared" si="157"/>
        <v>华夏首创奥特莱斯封闭式基础设施证券投资基金|2026Q1|季度</v>
      </c>
      <c r="P654">
        <f>IF($A654="",0,IF(COUNTIF($O$2:$O654,$O654)=1,1,0))</f>
        <v>0</v>
      </c>
      <c r="Q654" t="str">
        <f>IF(AND($P654=1,$A654=经营数据!$B$3,$J654=经营数据!$BA$5),COUNTIFS($P$2:$P$3000,1,$A$2:$A$3000,$A654,$J$2:$J$3000,$J654,$N$2:$N$3000,"&lt;"&amp;$N654)+1,"")</f>
        <v/>
      </c>
      <c r="R654" t="str">
        <f t="shared" si="158"/>
        <v>华夏首创奥特莱斯封闭式基础设施证券投资基金|济南首创奥莱项目</v>
      </c>
      <c r="S654">
        <f>IF($A654="",0,IF(COUNTIF($R$2:$R654,$R654)=1,1,0))</f>
        <v>0</v>
      </c>
      <c r="T654">
        <f t="shared" si="159"/>
        <v>619</v>
      </c>
      <c r="U654" t="str">
        <f>IF($A654="","",IF($A654=经营数据!$B$3,COUNTIFS($S$2:$S$3000,1,$A$2:$A$3000,$A654,$T$2:$T$3000,"&lt;"&amp;$T654)+1,""))</f>
        <v/>
      </c>
      <c r="V654" t="str">
        <f t="shared" si="160"/>
        <v>济南首创奥莱项目|服务量</v>
      </c>
      <c r="W654">
        <f t="shared" si="161"/>
        <v>621</v>
      </c>
      <c r="X654" t="str">
        <f t="shared" si="162"/>
        <v>济南首创奥莱项目|期末实际出租面积</v>
      </c>
      <c r="Y654">
        <f t="shared" si="163"/>
        <v>622</v>
      </c>
      <c r="Z654">
        <f>IF($A654="",0,IF(AND($M654=1,$A654=经营数据!$B$3,$J654=经营数据!$BA$5,OR($I654=经营数据!$BA$4,COUNTIF(经营数据!$AA$9:$AA$38,$I654)&gt;0)),1,0))</f>
        <v>0</v>
      </c>
      <c r="AA654" t="str">
        <f t="shared" si="164"/>
        <v/>
      </c>
      <c r="AB654" t="str">
        <f t="shared" si="165"/>
        <v/>
      </c>
      <c r="AC654">
        <f>IF($A654="",0,IF(COUNTIF($A$2:$A654,$A654)=1,1,0))</f>
        <v>0</v>
      </c>
      <c r="AD654">
        <f t="shared" si="166"/>
        <v>7</v>
      </c>
      <c r="AE654" t="str">
        <f t="shared" si="167"/>
        <v>济南首创奥莱项目|期末实际出租面积（平方米）</v>
      </c>
    </row>
    <row r="655" spans="1:31" x14ac:dyDescent="0.4">
      <c r="A655" t="str">
        <f>IF(原始经营数据!$D656="","",原始经营数据!$D656)</f>
        <v>华夏首创奥特莱斯封闭式基础设施证券投资基金</v>
      </c>
      <c r="B655" t="str">
        <f>IF(原始经营数据!$D656="","",T(原始经营数据!$E656))</f>
        <v>济南首创奥莱项目</v>
      </c>
      <c r="C655" t="str">
        <f>IF(原始经营数据!$D656="","",原始经营数据!$F656)</f>
        <v>2026Q1</v>
      </c>
      <c r="D655" t="str">
        <f>IF(原始经营数据!$D656="","",原始经营数据!$H656)</f>
        <v>期末出租率</v>
      </c>
      <c r="E655">
        <f>IF(原始经营数据!$D656="","",原始经营数据!$I656)</f>
        <v>98.1</v>
      </c>
      <c r="F655" t="str">
        <f>IF(原始经营数据!$D656="","",T(原始经营数据!$J656))</f>
        <v>%</v>
      </c>
      <c r="G655" t="str">
        <f>IF(原始经营数据!$D656="","",T(原始经营数据!$K656))</f>
        <v/>
      </c>
      <c r="H655" t="str">
        <f>IF(原始经营数据!$D656="","",原始经营数据!$G656)</f>
        <v>服务效率</v>
      </c>
      <c r="I655" t="str">
        <f>IF($A655="","",IF($B655&lt;&gt;"",$B655,IF(COUNTIFS(原始经营数据!$D$3:$D$3001,$A655,原始经营数据!$E$3:$E$3001,"",原始经营数据!$F$3:$F$3001,$C655,原始经营数据!$H$3:$H$3001,$D655,原始经营数据!$K$3:$K$3001,$G655)&gt;1,"基金整体·来源"&amp;原始经营数据!$A656,"基金整体")))</f>
        <v>济南首创奥莱项目</v>
      </c>
      <c r="J655" t="str">
        <f t="shared" si="153"/>
        <v>季度</v>
      </c>
      <c r="K655" t="str">
        <f t="shared" si="154"/>
        <v>期末出租率（%）</v>
      </c>
      <c r="L655" t="str">
        <f t="shared" si="155"/>
        <v>济南首创奥莱项目|期末出租率（%）|季度</v>
      </c>
      <c r="M655">
        <f>IF($A655="",0,IF(COUNTIF($L$2:$L655,$L655)=1,1,0))</f>
        <v>0</v>
      </c>
      <c r="N655">
        <f t="shared" si="156"/>
        <v>20261</v>
      </c>
      <c r="O655" t="str">
        <f t="shared" si="157"/>
        <v>华夏首创奥特莱斯封闭式基础设施证券投资基金|2026Q1|季度</v>
      </c>
      <c r="P655">
        <f>IF($A655="",0,IF(COUNTIF($O$2:$O655,$O655)=1,1,0))</f>
        <v>0</v>
      </c>
      <c r="Q655" t="str">
        <f>IF(AND($P655=1,$A655=经营数据!$B$3,$J655=经营数据!$BA$5),COUNTIFS($P$2:$P$3000,1,$A$2:$A$3000,$A655,$J$2:$J$3000,$J655,$N$2:$N$3000,"&lt;"&amp;$N655)+1,"")</f>
        <v/>
      </c>
      <c r="R655" t="str">
        <f t="shared" si="158"/>
        <v>华夏首创奥特莱斯封闭式基础设施证券投资基金|济南首创奥莱项目</v>
      </c>
      <c r="S655">
        <f>IF($A655="",0,IF(COUNTIF($R$2:$R655,$R655)=1,1,0))</f>
        <v>0</v>
      </c>
      <c r="T655">
        <f t="shared" si="159"/>
        <v>619</v>
      </c>
      <c r="U655" t="str">
        <f>IF($A655="","",IF($A655=经营数据!$B$3,COUNTIFS($S$2:$S$3000,1,$A$2:$A$3000,$A655,$T$2:$T$3000,"&lt;"&amp;$T655)+1,""))</f>
        <v/>
      </c>
      <c r="V655" t="str">
        <f t="shared" si="160"/>
        <v>济南首创奥莱项目|服务效率</v>
      </c>
      <c r="W655">
        <f t="shared" si="161"/>
        <v>619</v>
      </c>
      <c r="X655" t="str">
        <f t="shared" si="162"/>
        <v>济南首创奥莱项目|期末出租率</v>
      </c>
      <c r="Y655">
        <f t="shared" si="163"/>
        <v>623</v>
      </c>
      <c r="Z655">
        <f>IF($A655="",0,IF(AND($M655=1,$A655=经营数据!$B$3,$J655=经营数据!$BA$5,OR($I655=经营数据!$BA$4,COUNTIF(经营数据!$AA$9:$AA$38,$I655)&gt;0)),1,0))</f>
        <v>0</v>
      </c>
      <c r="AA655" t="str">
        <f t="shared" si="164"/>
        <v/>
      </c>
      <c r="AB655" t="str">
        <f t="shared" si="165"/>
        <v/>
      </c>
      <c r="AC655">
        <f>IF($A655="",0,IF(COUNTIF($A$2:$A655,$A655)=1,1,0))</f>
        <v>0</v>
      </c>
      <c r="AD655">
        <f t="shared" si="166"/>
        <v>7</v>
      </c>
      <c r="AE655" t="str">
        <f t="shared" si="167"/>
        <v>济南首创奥莱项目|期末出租率（%）</v>
      </c>
    </row>
    <row r="656" spans="1:31" x14ac:dyDescent="0.4">
      <c r="A656" t="str">
        <f>IF(原始经营数据!$D657="","",原始经营数据!$D657)</f>
        <v>华夏首创奥特莱斯封闭式基础设施证券投资基金</v>
      </c>
      <c r="B656" t="str">
        <f>IF(原始经营数据!$D657="","",T(原始经营数据!$E657))</f>
        <v>济南首创奥莱项目</v>
      </c>
      <c r="C656" t="str">
        <f>IF(原始经营数据!$D657="","",原始经营数据!$F657)</f>
        <v>2026Q1</v>
      </c>
      <c r="D656" t="str">
        <f>IF(原始经营数据!$D657="","",原始经营数据!$H657)</f>
        <v>期内租金单价水平</v>
      </c>
      <c r="E656">
        <f>IF(原始经营数据!$D657="","",原始经营数据!$I657)</f>
        <v>256.48</v>
      </c>
      <c r="F656" t="str">
        <f>IF(原始经营数据!$D657="","",T(原始经营数据!$J657))</f>
        <v>元/平方米/月</v>
      </c>
      <c r="G656" t="str">
        <f>IF(原始经营数据!$D657="","",T(原始经营数据!$K657))</f>
        <v/>
      </c>
      <c r="H656" t="str">
        <f>IF(原始经营数据!$D657="","",原始经营数据!$G657)</f>
        <v>服务价格</v>
      </c>
      <c r="I656" t="str">
        <f>IF($A656="","",IF($B656&lt;&gt;"",$B656,IF(COUNTIFS(原始经营数据!$D$3:$D$3001,$A656,原始经营数据!$E$3:$E$3001,"",原始经营数据!$F$3:$F$3001,$C656,原始经营数据!$H$3:$H$3001,$D656,原始经营数据!$K$3:$K$3001,$G656)&gt;1,"基金整体·来源"&amp;原始经营数据!$A657,"基金整体")))</f>
        <v>济南首创奥莱项目</v>
      </c>
      <c r="J656" t="str">
        <f t="shared" si="153"/>
        <v>季度</v>
      </c>
      <c r="K656" t="str">
        <f t="shared" si="154"/>
        <v>期内租金单价水平（元/平方米/月）</v>
      </c>
      <c r="L656" t="str">
        <f t="shared" si="155"/>
        <v>济南首创奥莱项目|期内租金单价水平（元/平方米/月）|季度</v>
      </c>
      <c r="M656">
        <f>IF($A656="",0,IF(COUNTIF($L$2:$L656,$L656)=1,1,0))</f>
        <v>0</v>
      </c>
      <c r="N656">
        <f t="shared" si="156"/>
        <v>20261</v>
      </c>
      <c r="O656" t="str">
        <f t="shared" si="157"/>
        <v>华夏首创奥特莱斯封闭式基础设施证券投资基金|2026Q1|季度</v>
      </c>
      <c r="P656">
        <f>IF($A656="",0,IF(COUNTIF($O$2:$O656,$O656)=1,1,0))</f>
        <v>0</v>
      </c>
      <c r="Q656" t="str">
        <f>IF(AND($P656=1,$A656=经营数据!$B$3,$J656=经营数据!$BA$5),COUNTIFS($P$2:$P$3000,1,$A$2:$A$3000,$A656,$J$2:$J$3000,$J656,$N$2:$N$3000,"&lt;"&amp;$N656)+1,"")</f>
        <v/>
      </c>
      <c r="R656" t="str">
        <f t="shared" si="158"/>
        <v>华夏首创奥特莱斯封闭式基础设施证券投资基金|济南首创奥莱项目</v>
      </c>
      <c r="S656">
        <f>IF($A656="",0,IF(COUNTIF($R$2:$R656,$R656)=1,1,0))</f>
        <v>0</v>
      </c>
      <c r="T656">
        <f t="shared" si="159"/>
        <v>619</v>
      </c>
      <c r="U656" t="str">
        <f>IF($A656="","",IF($A656=经营数据!$B$3,COUNTIFS($S$2:$S$3000,1,$A$2:$A$3000,$A656,$T$2:$T$3000,"&lt;"&amp;$T656)+1,""))</f>
        <v/>
      </c>
      <c r="V656" t="str">
        <f t="shared" si="160"/>
        <v>济南首创奥莱项目|服务价格</v>
      </c>
      <c r="W656">
        <f t="shared" si="161"/>
        <v>620</v>
      </c>
      <c r="X656" t="str">
        <f t="shared" si="162"/>
        <v>济南首创奥莱项目|期内租金单价水平</v>
      </c>
      <c r="Y656">
        <f t="shared" si="163"/>
        <v>620</v>
      </c>
      <c r="Z656">
        <f>IF($A656="",0,IF(AND($M656=1,$A656=经营数据!$B$3,$J656=经营数据!$BA$5,OR($I656=经营数据!$BA$4,COUNTIF(经营数据!$AA$9:$AA$38,$I656)&gt;0)),1,0))</f>
        <v>0</v>
      </c>
      <c r="AA656" t="str">
        <f t="shared" si="164"/>
        <v/>
      </c>
      <c r="AB656" t="str">
        <f t="shared" si="165"/>
        <v/>
      </c>
      <c r="AC656">
        <f>IF($A656="",0,IF(COUNTIF($A$2:$A656,$A656)=1,1,0))</f>
        <v>0</v>
      </c>
      <c r="AD656">
        <f t="shared" si="166"/>
        <v>7</v>
      </c>
      <c r="AE656" t="str">
        <f t="shared" si="167"/>
        <v>济南首创奥莱项目|期内租金单价水平（元/平方米/月）</v>
      </c>
    </row>
    <row r="657" spans="1:31" x14ac:dyDescent="0.4">
      <c r="A657" t="str">
        <f>IF(原始经营数据!$D658="","",原始经营数据!$D658)</f>
        <v>华夏首创奥特莱斯封闭式基础设施证券投资基金</v>
      </c>
      <c r="B657" t="str">
        <f>IF(原始经营数据!$D658="","",T(原始经营数据!$E658))</f>
        <v>济南首创奥莱项目</v>
      </c>
      <c r="C657" t="str">
        <f>IF(原始经营数据!$D658="","",原始经营数据!$F658)</f>
        <v>2026Q1</v>
      </c>
      <c r="D657" t="str">
        <f>IF(原始经营数据!$D658="","",原始经营数据!$H658)</f>
        <v>期末剩余租期</v>
      </c>
      <c r="E657">
        <f>IF(原始经营数据!$D658="","",原始经营数据!$I658)</f>
        <v>1.58</v>
      </c>
      <c r="F657" t="str">
        <f>IF(原始经营数据!$D658="","",T(原始经营数据!$J658))</f>
        <v>年</v>
      </c>
      <c r="G657" t="str">
        <f>IF(原始经营数据!$D658="","",T(原始经营数据!$K658))</f>
        <v/>
      </c>
      <c r="H657" t="str">
        <f>IF(原始经营数据!$D658="","",原始经营数据!$G658)</f>
        <v>服务量</v>
      </c>
      <c r="I657" t="str">
        <f>IF($A657="","",IF($B657&lt;&gt;"",$B657,IF(COUNTIFS(原始经营数据!$D$3:$D$3001,$A657,原始经营数据!$E$3:$E$3001,"",原始经营数据!$F$3:$F$3001,$C657,原始经营数据!$H$3:$H$3001,$D657,原始经营数据!$K$3:$K$3001,$G657)&gt;1,"基金整体·来源"&amp;原始经营数据!$A658,"基金整体")))</f>
        <v>济南首创奥莱项目</v>
      </c>
      <c r="J657" t="str">
        <f t="shared" si="153"/>
        <v>季度</v>
      </c>
      <c r="K657" t="str">
        <f t="shared" si="154"/>
        <v>期末剩余租期（年）</v>
      </c>
      <c r="L657" t="str">
        <f t="shared" si="155"/>
        <v>济南首创奥莱项目|期末剩余租期（年）|季度</v>
      </c>
      <c r="M657">
        <f>IF($A657="",0,IF(COUNTIF($L$2:$L657,$L657)=1,1,0))</f>
        <v>0</v>
      </c>
      <c r="N657">
        <f t="shared" si="156"/>
        <v>20261</v>
      </c>
      <c r="O657" t="str">
        <f t="shared" si="157"/>
        <v>华夏首创奥特莱斯封闭式基础设施证券投资基金|2026Q1|季度</v>
      </c>
      <c r="P657">
        <f>IF($A657="",0,IF(COUNTIF($O$2:$O657,$O657)=1,1,0))</f>
        <v>0</v>
      </c>
      <c r="Q657" t="str">
        <f>IF(AND($P657=1,$A657=经营数据!$B$3,$J657=经营数据!$BA$5),COUNTIFS($P$2:$P$3000,1,$A$2:$A$3000,$A657,$J$2:$J$3000,$J657,$N$2:$N$3000,"&lt;"&amp;$N657)+1,"")</f>
        <v/>
      </c>
      <c r="R657" t="str">
        <f t="shared" si="158"/>
        <v>华夏首创奥特莱斯封闭式基础设施证券投资基金|济南首创奥莱项目</v>
      </c>
      <c r="S657">
        <f>IF($A657="",0,IF(COUNTIF($R$2:$R657,$R657)=1,1,0))</f>
        <v>0</v>
      </c>
      <c r="T657">
        <f t="shared" si="159"/>
        <v>619</v>
      </c>
      <c r="U657" t="str">
        <f>IF($A657="","",IF($A657=经营数据!$B$3,COUNTIFS($S$2:$S$3000,1,$A$2:$A$3000,$A657,$T$2:$T$3000,"&lt;"&amp;$T657)+1,""))</f>
        <v/>
      </c>
      <c r="V657" t="str">
        <f t="shared" si="160"/>
        <v>济南首创奥莱项目|服务量</v>
      </c>
      <c r="W657">
        <f t="shared" si="161"/>
        <v>621</v>
      </c>
      <c r="X657" t="str">
        <f t="shared" si="162"/>
        <v>济南首创奥莱项目|期末剩余租期</v>
      </c>
      <c r="Y657">
        <f t="shared" si="163"/>
        <v>624</v>
      </c>
      <c r="Z657">
        <f>IF($A657="",0,IF(AND($M657=1,$A657=经营数据!$B$3,$J657=经营数据!$BA$5,OR($I657=经营数据!$BA$4,COUNTIF(经营数据!$AA$9:$AA$38,$I657)&gt;0)),1,0))</f>
        <v>0</v>
      </c>
      <c r="AA657" t="str">
        <f t="shared" si="164"/>
        <v/>
      </c>
      <c r="AB657" t="str">
        <f t="shared" si="165"/>
        <v/>
      </c>
      <c r="AC657">
        <f>IF($A657="",0,IF(COUNTIF($A$2:$A657,$A657)=1,1,0))</f>
        <v>0</v>
      </c>
      <c r="AD657">
        <f t="shared" si="166"/>
        <v>7</v>
      </c>
      <c r="AE657" t="str">
        <f t="shared" si="167"/>
        <v>济南首创奥莱项目|期末剩余租期（年）</v>
      </c>
    </row>
    <row r="658" spans="1:31" x14ac:dyDescent="0.4">
      <c r="A658" t="str">
        <f>IF(原始经营数据!$D659="","",原始经营数据!$D659)</f>
        <v>华夏首创奥特莱斯封闭式基础设施证券投资基金</v>
      </c>
      <c r="B658" t="str">
        <f>IF(原始经营数据!$D659="","",T(原始经营数据!$E659))</f>
        <v>济南首创奥莱项目</v>
      </c>
      <c r="C658" t="str">
        <f>IF(原始经营数据!$D659="","",原始经营数据!$F659)</f>
        <v>2026Q1</v>
      </c>
      <c r="D658" t="str">
        <f>IF(原始经营数据!$D659="","",原始经营数据!$H659)</f>
        <v>期末租金收缴率</v>
      </c>
      <c r="E658">
        <f>IF(原始经营数据!$D659="","",原始经营数据!$I659)</f>
        <v>100</v>
      </c>
      <c r="F658" t="str">
        <f>IF(原始经营数据!$D659="","",T(原始经营数据!$J659))</f>
        <v>%</v>
      </c>
      <c r="G658" t="str">
        <f>IF(原始经营数据!$D659="","",T(原始经营数据!$K659))</f>
        <v/>
      </c>
      <c r="H658" t="str">
        <f>IF(原始经营数据!$D659="","",原始经营数据!$G659)</f>
        <v>服务效率</v>
      </c>
      <c r="I658" t="str">
        <f>IF($A658="","",IF($B658&lt;&gt;"",$B658,IF(COUNTIFS(原始经营数据!$D$3:$D$3001,$A658,原始经营数据!$E$3:$E$3001,"",原始经营数据!$F$3:$F$3001,$C658,原始经营数据!$H$3:$H$3001,$D658,原始经营数据!$K$3:$K$3001,$G658)&gt;1,"基金整体·来源"&amp;原始经营数据!$A659,"基金整体")))</f>
        <v>济南首创奥莱项目</v>
      </c>
      <c r="J658" t="str">
        <f t="shared" si="153"/>
        <v>季度</v>
      </c>
      <c r="K658" t="str">
        <f t="shared" si="154"/>
        <v>期末租金收缴率（%）</v>
      </c>
      <c r="L658" t="str">
        <f t="shared" si="155"/>
        <v>济南首创奥莱项目|期末租金收缴率（%）|季度</v>
      </c>
      <c r="M658">
        <f>IF($A658="",0,IF(COUNTIF($L$2:$L658,$L658)=1,1,0))</f>
        <v>0</v>
      </c>
      <c r="N658">
        <f t="shared" si="156"/>
        <v>20261</v>
      </c>
      <c r="O658" t="str">
        <f t="shared" si="157"/>
        <v>华夏首创奥特莱斯封闭式基础设施证券投资基金|2026Q1|季度</v>
      </c>
      <c r="P658">
        <f>IF($A658="",0,IF(COUNTIF($O$2:$O658,$O658)=1,1,0))</f>
        <v>0</v>
      </c>
      <c r="Q658" t="str">
        <f>IF(AND($P658=1,$A658=经营数据!$B$3,$J658=经营数据!$BA$5),COUNTIFS($P$2:$P$3000,1,$A$2:$A$3000,$A658,$J$2:$J$3000,$J658,$N$2:$N$3000,"&lt;"&amp;$N658)+1,"")</f>
        <v/>
      </c>
      <c r="R658" t="str">
        <f t="shared" si="158"/>
        <v>华夏首创奥特莱斯封闭式基础设施证券投资基金|济南首创奥莱项目</v>
      </c>
      <c r="S658">
        <f>IF($A658="",0,IF(COUNTIF($R$2:$R658,$R658)=1,1,0))</f>
        <v>0</v>
      </c>
      <c r="T658">
        <f t="shared" si="159"/>
        <v>619</v>
      </c>
      <c r="U658" t="str">
        <f>IF($A658="","",IF($A658=经营数据!$B$3,COUNTIFS($S$2:$S$3000,1,$A$2:$A$3000,$A658,$T$2:$T$3000,"&lt;"&amp;$T658)+1,""))</f>
        <v/>
      </c>
      <c r="V658" t="str">
        <f t="shared" si="160"/>
        <v>济南首创奥莱项目|服务效率</v>
      </c>
      <c r="W658">
        <f t="shared" si="161"/>
        <v>619</v>
      </c>
      <c r="X658" t="str">
        <f t="shared" si="162"/>
        <v>济南首创奥莱项目|期末租金收缴率</v>
      </c>
      <c r="Y658">
        <f t="shared" si="163"/>
        <v>619</v>
      </c>
      <c r="Z658">
        <f>IF($A658="",0,IF(AND($M658=1,$A658=经营数据!$B$3,$J658=经营数据!$BA$5,OR($I658=经营数据!$BA$4,COUNTIF(经营数据!$AA$9:$AA$38,$I658)&gt;0)),1,0))</f>
        <v>0</v>
      </c>
      <c r="AA658" t="str">
        <f t="shared" si="164"/>
        <v/>
      </c>
      <c r="AB658" t="str">
        <f t="shared" si="165"/>
        <v/>
      </c>
      <c r="AC658">
        <f>IF($A658="",0,IF(COUNTIF($A$2:$A658,$A658)=1,1,0))</f>
        <v>0</v>
      </c>
      <c r="AD658">
        <f t="shared" si="166"/>
        <v>7</v>
      </c>
      <c r="AE658" t="str">
        <f t="shared" si="167"/>
        <v>济南首创奥莱项目|期末租金收缴率（%）</v>
      </c>
    </row>
    <row r="659" spans="1:31" x14ac:dyDescent="0.4">
      <c r="A659" t="str">
        <f>IF(原始经营数据!$D660="","",原始经营数据!$D660)</f>
        <v>华夏首创奥特莱斯封闭式基础设施证券投资基金</v>
      </c>
      <c r="B659" t="str">
        <f>IF(原始经营数据!$D660="","",T(原始经营数据!$E660))</f>
        <v>济南首创奥莱项目</v>
      </c>
      <c r="C659" t="str">
        <f>IF(原始经营数据!$D660="","",原始经营数据!$F660)</f>
        <v>2026Q2</v>
      </c>
      <c r="D659" t="str">
        <f>IF(原始经营数据!$D660="","",原始经营数据!$H660)</f>
        <v>期末可供出租面积</v>
      </c>
      <c r="E659">
        <f>IF(原始经营数据!$D660="","",原始经营数据!$I660)</f>
        <v>51863.53</v>
      </c>
      <c r="F659" t="str">
        <f>IF(原始经营数据!$D660="","",T(原始经营数据!$J660))</f>
        <v>平方米</v>
      </c>
      <c r="G659" t="str">
        <f>IF(原始经营数据!$D660="","",T(原始经营数据!$K660))</f>
        <v/>
      </c>
      <c r="H659" t="str">
        <f>IF(原始经营数据!$D660="","",原始经营数据!$G660)</f>
        <v>服务量</v>
      </c>
      <c r="I659" t="str">
        <f>IF($A659="","",IF($B659&lt;&gt;"",$B659,IF(COUNTIFS(原始经营数据!$D$3:$D$3001,$A659,原始经营数据!$E$3:$E$3001,"",原始经营数据!$F$3:$F$3001,$C659,原始经营数据!$H$3:$H$3001,$D659,原始经营数据!$K$3:$K$3001,$G659)&gt;1,"基金整体·来源"&amp;原始经营数据!$A660,"基金整体")))</f>
        <v>济南首创奥莱项目</v>
      </c>
      <c r="J659" t="str">
        <f t="shared" si="153"/>
        <v>季度</v>
      </c>
      <c r="K659" t="str">
        <f t="shared" si="154"/>
        <v>期末可供出租面积（平方米）</v>
      </c>
      <c r="L659" t="str">
        <f t="shared" si="155"/>
        <v>济南首创奥莱项目|期末可供出租面积（平方米）|季度</v>
      </c>
      <c r="M659">
        <f>IF($A659="",0,IF(COUNTIF($L$2:$L659,$L659)=1,1,0))</f>
        <v>0</v>
      </c>
      <c r="N659">
        <f t="shared" si="156"/>
        <v>20262</v>
      </c>
      <c r="O659" t="str">
        <f t="shared" si="157"/>
        <v>华夏首创奥特莱斯封闭式基础设施证券投资基金|2026Q2|季度</v>
      </c>
      <c r="P659">
        <f>IF($A659="",0,IF(COUNTIF($O$2:$O659,$O659)=1,1,0))</f>
        <v>0</v>
      </c>
      <c r="Q659" t="str">
        <f>IF(AND($P659=1,$A659=经营数据!$B$3,$J659=经营数据!$BA$5),COUNTIFS($P$2:$P$3000,1,$A$2:$A$3000,$A659,$J$2:$J$3000,$J659,$N$2:$N$3000,"&lt;"&amp;$N659)+1,"")</f>
        <v/>
      </c>
      <c r="R659" t="str">
        <f t="shared" si="158"/>
        <v>华夏首创奥特莱斯封闭式基础设施证券投资基金|济南首创奥莱项目</v>
      </c>
      <c r="S659">
        <f>IF($A659="",0,IF(COUNTIF($R$2:$R659,$R659)=1,1,0))</f>
        <v>0</v>
      </c>
      <c r="T659">
        <f t="shared" si="159"/>
        <v>619</v>
      </c>
      <c r="U659" t="str">
        <f>IF($A659="","",IF($A659=经营数据!$B$3,COUNTIFS($S$2:$S$3000,1,$A$2:$A$3000,$A659,$T$2:$T$3000,"&lt;"&amp;$T659)+1,""))</f>
        <v/>
      </c>
      <c r="V659" t="str">
        <f t="shared" si="160"/>
        <v>济南首创奥莱项目|服务量</v>
      </c>
      <c r="W659">
        <f t="shared" si="161"/>
        <v>621</v>
      </c>
      <c r="X659" t="str">
        <f t="shared" si="162"/>
        <v>济南首创奥莱项目|期末可供出租面积</v>
      </c>
      <c r="Y659">
        <f t="shared" si="163"/>
        <v>621</v>
      </c>
      <c r="Z659">
        <f>IF($A659="",0,IF(AND($M659=1,$A659=经营数据!$B$3,$J659=经营数据!$BA$5,OR($I659=经营数据!$BA$4,COUNTIF(经营数据!$AA$9:$AA$38,$I659)&gt;0)),1,0))</f>
        <v>0</v>
      </c>
      <c r="AA659" t="str">
        <f t="shared" si="164"/>
        <v/>
      </c>
      <c r="AB659" t="str">
        <f t="shared" si="165"/>
        <v/>
      </c>
      <c r="AC659">
        <f>IF($A659="",0,IF(COUNTIF($A$2:$A659,$A659)=1,1,0))</f>
        <v>0</v>
      </c>
      <c r="AD659">
        <f t="shared" si="166"/>
        <v>7</v>
      </c>
      <c r="AE659" t="str">
        <f t="shared" si="167"/>
        <v>济南首创奥莱项目|期末可供出租面积（平方米）</v>
      </c>
    </row>
    <row r="660" spans="1:31" x14ac:dyDescent="0.4">
      <c r="A660" t="str">
        <f>IF(原始经营数据!$D661="","",原始经营数据!$D661)</f>
        <v>华夏首创奥特莱斯封闭式基础设施证券投资基金</v>
      </c>
      <c r="B660" t="str">
        <f>IF(原始经营数据!$D661="","",T(原始经营数据!$E661))</f>
        <v>济南首创奥莱项目</v>
      </c>
      <c r="C660" t="str">
        <f>IF(原始经营数据!$D661="","",原始经营数据!$F661)</f>
        <v>2026Q2</v>
      </c>
      <c r="D660" t="str">
        <f>IF(原始经营数据!$D661="","",原始经营数据!$H661)</f>
        <v>期末实际出租面积</v>
      </c>
      <c r="E660">
        <f>IF(原始经营数据!$D661="","",原始经营数据!$I661)</f>
        <v>50496.85</v>
      </c>
      <c r="F660" t="str">
        <f>IF(原始经营数据!$D661="","",T(原始经营数据!$J661))</f>
        <v>平方米</v>
      </c>
      <c r="G660" t="str">
        <f>IF(原始经营数据!$D661="","",T(原始经营数据!$K661))</f>
        <v/>
      </c>
      <c r="H660" t="str">
        <f>IF(原始经营数据!$D661="","",原始经营数据!$G661)</f>
        <v>服务量</v>
      </c>
      <c r="I660" t="str">
        <f>IF($A660="","",IF($B660&lt;&gt;"",$B660,IF(COUNTIFS(原始经营数据!$D$3:$D$3001,$A660,原始经营数据!$E$3:$E$3001,"",原始经营数据!$F$3:$F$3001,$C660,原始经营数据!$H$3:$H$3001,$D660,原始经营数据!$K$3:$K$3001,$G660)&gt;1,"基金整体·来源"&amp;原始经营数据!$A661,"基金整体")))</f>
        <v>济南首创奥莱项目</v>
      </c>
      <c r="J660" t="str">
        <f t="shared" si="153"/>
        <v>季度</v>
      </c>
      <c r="K660" t="str">
        <f t="shared" si="154"/>
        <v>期末实际出租面积（平方米）</v>
      </c>
      <c r="L660" t="str">
        <f t="shared" si="155"/>
        <v>济南首创奥莱项目|期末实际出租面积（平方米）|季度</v>
      </c>
      <c r="M660">
        <f>IF($A660="",0,IF(COUNTIF($L$2:$L660,$L660)=1,1,0))</f>
        <v>0</v>
      </c>
      <c r="N660">
        <f t="shared" si="156"/>
        <v>20262</v>
      </c>
      <c r="O660" t="str">
        <f t="shared" si="157"/>
        <v>华夏首创奥特莱斯封闭式基础设施证券投资基金|2026Q2|季度</v>
      </c>
      <c r="P660">
        <f>IF($A660="",0,IF(COUNTIF($O$2:$O660,$O660)=1,1,0))</f>
        <v>0</v>
      </c>
      <c r="Q660" t="str">
        <f>IF(AND($P660=1,$A660=经营数据!$B$3,$J660=经营数据!$BA$5),COUNTIFS($P$2:$P$3000,1,$A$2:$A$3000,$A660,$J$2:$J$3000,$J660,$N$2:$N$3000,"&lt;"&amp;$N660)+1,"")</f>
        <v/>
      </c>
      <c r="R660" t="str">
        <f t="shared" si="158"/>
        <v>华夏首创奥特莱斯封闭式基础设施证券投资基金|济南首创奥莱项目</v>
      </c>
      <c r="S660">
        <f>IF($A660="",0,IF(COUNTIF($R$2:$R660,$R660)=1,1,0))</f>
        <v>0</v>
      </c>
      <c r="T660">
        <f t="shared" si="159"/>
        <v>619</v>
      </c>
      <c r="U660" t="str">
        <f>IF($A660="","",IF($A660=经营数据!$B$3,COUNTIFS($S$2:$S$3000,1,$A$2:$A$3000,$A660,$T$2:$T$3000,"&lt;"&amp;$T660)+1,""))</f>
        <v/>
      </c>
      <c r="V660" t="str">
        <f t="shared" si="160"/>
        <v>济南首创奥莱项目|服务量</v>
      </c>
      <c r="W660">
        <f t="shared" si="161"/>
        <v>621</v>
      </c>
      <c r="X660" t="str">
        <f t="shared" si="162"/>
        <v>济南首创奥莱项目|期末实际出租面积</v>
      </c>
      <c r="Y660">
        <f t="shared" si="163"/>
        <v>622</v>
      </c>
      <c r="Z660">
        <f>IF($A660="",0,IF(AND($M660=1,$A660=经营数据!$B$3,$J660=经营数据!$BA$5,OR($I660=经营数据!$BA$4,COUNTIF(经营数据!$AA$9:$AA$38,$I660)&gt;0)),1,0))</f>
        <v>0</v>
      </c>
      <c r="AA660" t="str">
        <f t="shared" si="164"/>
        <v/>
      </c>
      <c r="AB660" t="str">
        <f t="shared" si="165"/>
        <v/>
      </c>
      <c r="AC660">
        <f>IF($A660="",0,IF(COUNTIF($A$2:$A660,$A660)=1,1,0))</f>
        <v>0</v>
      </c>
      <c r="AD660">
        <f t="shared" si="166"/>
        <v>7</v>
      </c>
      <c r="AE660" t="str">
        <f t="shared" si="167"/>
        <v>济南首创奥莱项目|期末实际出租面积（平方米）</v>
      </c>
    </row>
    <row r="661" spans="1:31" x14ac:dyDescent="0.4">
      <c r="A661" t="str">
        <f>IF(原始经营数据!$D662="","",原始经营数据!$D662)</f>
        <v>华夏首创奥特莱斯封闭式基础设施证券投资基金</v>
      </c>
      <c r="B661" t="str">
        <f>IF(原始经营数据!$D662="","",T(原始经营数据!$E662))</f>
        <v>济南首创奥莱项目</v>
      </c>
      <c r="C661" t="str">
        <f>IF(原始经营数据!$D662="","",原始经营数据!$F662)</f>
        <v>2026Q2</v>
      </c>
      <c r="D661" t="str">
        <f>IF(原始经营数据!$D662="","",原始经营数据!$H662)</f>
        <v>期末出租率</v>
      </c>
      <c r="E661">
        <f>IF(原始经营数据!$D662="","",原始经营数据!$I662)</f>
        <v>97.36</v>
      </c>
      <c r="F661" t="str">
        <f>IF(原始经营数据!$D662="","",T(原始经营数据!$J662))</f>
        <v>%</v>
      </c>
      <c r="G661" t="str">
        <f>IF(原始经营数据!$D662="","",T(原始经营数据!$K662))</f>
        <v/>
      </c>
      <c r="H661" t="str">
        <f>IF(原始经营数据!$D662="","",原始经营数据!$G662)</f>
        <v>服务效率</v>
      </c>
      <c r="I661" t="str">
        <f>IF($A661="","",IF($B661&lt;&gt;"",$B661,IF(COUNTIFS(原始经营数据!$D$3:$D$3001,$A661,原始经营数据!$E$3:$E$3001,"",原始经营数据!$F$3:$F$3001,$C661,原始经营数据!$H$3:$H$3001,$D661,原始经营数据!$K$3:$K$3001,$G661)&gt;1,"基金整体·来源"&amp;原始经营数据!$A662,"基金整体")))</f>
        <v>济南首创奥莱项目</v>
      </c>
      <c r="J661" t="str">
        <f t="shared" si="153"/>
        <v>季度</v>
      </c>
      <c r="K661" t="str">
        <f t="shared" si="154"/>
        <v>期末出租率（%）</v>
      </c>
      <c r="L661" t="str">
        <f t="shared" si="155"/>
        <v>济南首创奥莱项目|期末出租率（%）|季度</v>
      </c>
      <c r="M661">
        <f>IF($A661="",0,IF(COUNTIF($L$2:$L661,$L661)=1,1,0))</f>
        <v>0</v>
      </c>
      <c r="N661">
        <f t="shared" si="156"/>
        <v>20262</v>
      </c>
      <c r="O661" t="str">
        <f t="shared" si="157"/>
        <v>华夏首创奥特莱斯封闭式基础设施证券投资基金|2026Q2|季度</v>
      </c>
      <c r="P661">
        <f>IF($A661="",0,IF(COUNTIF($O$2:$O661,$O661)=1,1,0))</f>
        <v>0</v>
      </c>
      <c r="Q661" t="str">
        <f>IF(AND($P661=1,$A661=经营数据!$B$3,$J661=经营数据!$BA$5),COUNTIFS($P$2:$P$3000,1,$A$2:$A$3000,$A661,$J$2:$J$3000,$J661,$N$2:$N$3000,"&lt;"&amp;$N661)+1,"")</f>
        <v/>
      </c>
      <c r="R661" t="str">
        <f t="shared" si="158"/>
        <v>华夏首创奥特莱斯封闭式基础设施证券投资基金|济南首创奥莱项目</v>
      </c>
      <c r="S661">
        <f>IF($A661="",0,IF(COUNTIF($R$2:$R661,$R661)=1,1,0))</f>
        <v>0</v>
      </c>
      <c r="T661">
        <f t="shared" si="159"/>
        <v>619</v>
      </c>
      <c r="U661" t="str">
        <f>IF($A661="","",IF($A661=经营数据!$B$3,COUNTIFS($S$2:$S$3000,1,$A$2:$A$3000,$A661,$T$2:$T$3000,"&lt;"&amp;$T661)+1,""))</f>
        <v/>
      </c>
      <c r="V661" t="str">
        <f t="shared" si="160"/>
        <v>济南首创奥莱项目|服务效率</v>
      </c>
      <c r="W661">
        <f t="shared" si="161"/>
        <v>619</v>
      </c>
      <c r="X661" t="str">
        <f t="shared" si="162"/>
        <v>济南首创奥莱项目|期末出租率</v>
      </c>
      <c r="Y661">
        <f t="shared" si="163"/>
        <v>623</v>
      </c>
      <c r="Z661">
        <f>IF($A661="",0,IF(AND($M661=1,$A661=经营数据!$B$3,$J661=经营数据!$BA$5,OR($I661=经营数据!$BA$4,COUNTIF(经营数据!$AA$9:$AA$38,$I661)&gt;0)),1,0))</f>
        <v>0</v>
      </c>
      <c r="AA661" t="str">
        <f t="shared" si="164"/>
        <v/>
      </c>
      <c r="AB661" t="str">
        <f t="shared" si="165"/>
        <v/>
      </c>
      <c r="AC661">
        <f>IF($A661="",0,IF(COUNTIF($A$2:$A661,$A661)=1,1,0))</f>
        <v>0</v>
      </c>
      <c r="AD661">
        <f t="shared" si="166"/>
        <v>7</v>
      </c>
      <c r="AE661" t="str">
        <f t="shared" si="167"/>
        <v>济南首创奥莱项目|期末出租率（%）</v>
      </c>
    </row>
    <row r="662" spans="1:31" x14ac:dyDescent="0.4">
      <c r="A662" t="str">
        <f>IF(原始经营数据!$D663="","",原始经营数据!$D663)</f>
        <v>华夏首创奥特莱斯封闭式基础设施证券投资基金</v>
      </c>
      <c r="B662" t="str">
        <f>IF(原始经营数据!$D663="","",T(原始经营数据!$E663))</f>
        <v>济南首创奥莱项目</v>
      </c>
      <c r="C662" t="str">
        <f>IF(原始经营数据!$D663="","",原始经营数据!$F663)</f>
        <v>2026Q2</v>
      </c>
      <c r="D662" t="str">
        <f>IF(原始经营数据!$D663="","",原始经营数据!$H663)</f>
        <v>期内租金单价水平</v>
      </c>
      <c r="E662">
        <f>IF(原始经营数据!$D663="","",原始经营数据!$I663)</f>
        <v>160.66</v>
      </c>
      <c r="F662" t="str">
        <f>IF(原始经营数据!$D663="","",T(原始经营数据!$J663))</f>
        <v>元/平方米/月</v>
      </c>
      <c r="G662" t="str">
        <f>IF(原始经营数据!$D663="","",T(原始经营数据!$K663))</f>
        <v/>
      </c>
      <c r="H662" t="str">
        <f>IF(原始经营数据!$D663="","",原始经营数据!$G663)</f>
        <v>服务价格</v>
      </c>
      <c r="I662" t="str">
        <f>IF($A662="","",IF($B662&lt;&gt;"",$B662,IF(COUNTIFS(原始经营数据!$D$3:$D$3001,$A662,原始经营数据!$E$3:$E$3001,"",原始经营数据!$F$3:$F$3001,$C662,原始经营数据!$H$3:$H$3001,$D662,原始经营数据!$K$3:$K$3001,$G662)&gt;1,"基金整体·来源"&amp;原始经营数据!$A663,"基金整体")))</f>
        <v>济南首创奥莱项目</v>
      </c>
      <c r="J662" t="str">
        <f t="shared" si="153"/>
        <v>季度</v>
      </c>
      <c r="K662" t="str">
        <f t="shared" si="154"/>
        <v>期内租金单价水平（元/平方米/月）</v>
      </c>
      <c r="L662" t="str">
        <f t="shared" si="155"/>
        <v>济南首创奥莱项目|期内租金单价水平（元/平方米/月）|季度</v>
      </c>
      <c r="M662">
        <f>IF($A662="",0,IF(COUNTIF($L$2:$L662,$L662)=1,1,0))</f>
        <v>0</v>
      </c>
      <c r="N662">
        <f t="shared" si="156"/>
        <v>20262</v>
      </c>
      <c r="O662" t="str">
        <f t="shared" si="157"/>
        <v>华夏首创奥特莱斯封闭式基础设施证券投资基金|2026Q2|季度</v>
      </c>
      <c r="P662">
        <f>IF($A662="",0,IF(COUNTIF($O$2:$O662,$O662)=1,1,0))</f>
        <v>0</v>
      </c>
      <c r="Q662" t="str">
        <f>IF(AND($P662=1,$A662=经营数据!$B$3,$J662=经营数据!$BA$5),COUNTIFS($P$2:$P$3000,1,$A$2:$A$3000,$A662,$J$2:$J$3000,$J662,$N$2:$N$3000,"&lt;"&amp;$N662)+1,"")</f>
        <v/>
      </c>
      <c r="R662" t="str">
        <f t="shared" si="158"/>
        <v>华夏首创奥特莱斯封闭式基础设施证券投资基金|济南首创奥莱项目</v>
      </c>
      <c r="S662">
        <f>IF($A662="",0,IF(COUNTIF($R$2:$R662,$R662)=1,1,0))</f>
        <v>0</v>
      </c>
      <c r="T662">
        <f t="shared" si="159"/>
        <v>619</v>
      </c>
      <c r="U662" t="str">
        <f>IF($A662="","",IF($A662=经营数据!$B$3,COUNTIFS($S$2:$S$3000,1,$A$2:$A$3000,$A662,$T$2:$T$3000,"&lt;"&amp;$T662)+1,""))</f>
        <v/>
      </c>
      <c r="V662" t="str">
        <f t="shared" si="160"/>
        <v>济南首创奥莱项目|服务价格</v>
      </c>
      <c r="W662">
        <f t="shared" si="161"/>
        <v>620</v>
      </c>
      <c r="X662" t="str">
        <f t="shared" si="162"/>
        <v>济南首创奥莱项目|期内租金单价水平</v>
      </c>
      <c r="Y662">
        <f t="shared" si="163"/>
        <v>620</v>
      </c>
      <c r="Z662">
        <f>IF($A662="",0,IF(AND($M662=1,$A662=经营数据!$B$3,$J662=经营数据!$BA$5,OR($I662=经营数据!$BA$4,COUNTIF(经营数据!$AA$9:$AA$38,$I662)&gt;0)),1,0))</f>
        <v>0</v>
      </c>
      <c r="AA662" t="str">
        <f t="shared" si="164"/>
        <v/>
      </c>
      <c r="AB662" t="str">
        <f t="shared" si="165"/>
        <v/>
      </c>
      <c r="AC662">
        <f>IF($A662="",0,IF(COUNTIF($A$2:$A662,$A662)=1,1,0))</f>
        <v>0</v>
      </c>
      <c r="AD662">
        <f t="shared" si="166"/>
        <v>7</v>
      </c>
      <c r="AE662" t="str">
        <f t="shared" si="167"/>
        <v>济南首创奥莱项目|期内租金单价水平（元/平方米/月）</v>
      </c>
    </row>
    <row r="663" spans="1:31" x14ac:dyDescent="0.4">
      <c r="A663" t="str">
        <f>IF(原始经营数据!$D664="","",原始经营数据!$D664)</f>
        <v>华夏首创奥特莱斯封闭式基础设施证券投资基金</v>
      </c>
      <c r="B663" t="str">
        <f>IF(原始经营数据!$D664="","",T(原始经营数据!$E664))</f>
        <v>济南首创奥莱项目</v>
      </c>
      <c r="C663" t="str">
        <f>IF(原始经营数据!$D664="","",原始经营数据!$F664)</f>
        <v>2026Q2</v>
      </c>
      <c r="D663" t="str">
        <f>IF(原始经营数据!$D664="","",原始经营数据!$H664)</f>
        <v>期末剩余租期</v>
      </c>
      <c r="E663">
        <f>IF(原始经营数据!$D664="","",原始经营数据!$I664)</f>
        <v>1.51</v>
      </c>
      <c r="F663" t="str">
        <f>IF(原始经营数据!$D664="","",T(原始经营数据!$J664))</f>
        <v>年</v>
      </c>
      <c r="G663" t="str">
        <f>IF(原始经营数据!$D664="","",T(原始经营数据!$K664))</f>
        <v/>
      </c>
      <c r="H663" t="str">
        <f>IF(原始经营数据!$D664="","",原始经营数据!$G664)</f>
        <v>服务量</v>
      </c>
      <c r="I663" t="str">
        <f>IF($A663="","",IF($B663&lt;&gt;"",$B663,IF(COUNTIFS(原始经营数据!$D$3:$D$3001,$A663,原始经营数据!$E$3:$E$3001,"",原始经营数据!$F$3:$F$3001,$C663,原始经营数据!$H$3:$H$3001,$D663,原始经营数据!$K$3:$K$3001,$G663)&gt;1,"基金整体·来源"&amp;原始经营数据!$A664,"基金整体")))</f>
        <v>济南首创奥莱项目</v>
      </c>
      <c r="J663" t="str">
        <f t="shared" si="153"/>
        <v>季度</v>
      </c>
      <c r="K663" t="str">
        <f t="shared" si="154"/>
        <v>期末剩余租期（年）</v>
      </c>
      <c r="L663" t="str">
        <f t="shared" si="155"/>
        <v>济南首创奥莱项目|期末剩余租期（年）|季度</v>
      </c>
      <c r="M663">
        <f>IF($A663="",0,IF(COUNTIF($L$2:$L663,$L663)=1,1,0))</f>
        <v>0</v>
      </c>
      <c r="N663">
        <f t="shared" si="156"/>
        <v>20262</v>
      </c>
      <c r="O663" t="str">
        <f t="shared" si="157"/>
        <v>华夏首创奥特莱斯封闭式基础设施证券投资基金|2026Q2|季度</v>
      </c>
      <c r="P663">
        <f>IF($A663="",0,IF(COUNTIF($O$2:$O663,$O663)=1,1,0))</f>
        <v>0</v>
      </c>
      <c r="Q663" t="str">
        <f>IF(AND($P663=1,$A663=经营数据!$B$3,$J663=经营数据!$BA$5),COUNTIFS($P$2:$P$3000,1,$A$2:$A$3000,$A663,$J$2:$J$3000,$J663,$N$2:$N$3000,"&lt;"&amp;$N663)+1,"")</f>
        <v/>
      </c>
      <c r="R663" t="str">
        <f t="shared" si="158"/>
        <v>华夏首创奥特莱斯封闭式基础设施证券投资基金|济南首创奥莱项目</v>
      </c>
      <c r="S663">
        <f>IF($A663="",0,IF(COUNTIF($R$2:$R663,$R663)=1,1,0))</f>
        <v>0</v>
      </c>
      <c r="T663">
        <f t="shared" si="159"/>
        <v>619</v>
      </c>
      <c r="U663" t="str">
        <f>IF($A663="","",IF($A663=经营数据!$B$3,COUNTIFS($S$2:$S$3000,1,$A$2:$A$3000,$A663,$T$2:$T$3000,"&lt;"&amp;$T663)+1,""))</f>
        <v/>
      </c>
      <c r="V663" t="str">
        <f t="shared" si="160"/>
        <v>济南首创奥莱项目|服务量</v>
      </c>
      <c r="W663">
        <f t="shared" si="161"/>
        <v>621</v>
      </c>
      <c r="X663" t="str">
        <f t="shared" si="162"/>
        <v>济南首创奥莱项目|期末剩余租期</v>
      </c>
      <c r="Y663">
        <f t="shared" si="163"/>
        <v>624</v>
      </c>
      <c r="Z663">
        <f>IF($A663="",0,IF(AND($M663=1,$A663=经营数据!$B$3,$J663=经营数据!$BA$5,OR($I663=经营数据!$BA$4,COUNTIF(经营数据!$AA$9:$AA$38,$I663)&gt;0)),1,0))</f>
        <v>0</v>
      </c>
      <c r="AA663" t="str">
        <f t="shared" si="164"/>
        <v/>
      </c>
      <c r="AB663" t="str">
        <f t="shared" si="165"/>
        <v/>
      </c>
      <c r="AC663">
        <f>IF($A663="",0,IF(COUNTIF($A$2:$A663,$A663)=1,1,0))</f>
        <v>0</v>
      </c>
      <c r="AD663">
        <f t="shared" si="166"/>
        <v>7</v>
      </c>
      <c r="AE663" t="str">
        <f t="shared" si="167"/>
        <v>济南首创奥莱项目|期末剩余租期（年）</v>
      </c>
    </row>
    <row r="664" spans="1:31" x14ac:dyDescent="0.4">
      <c r="A664" t="str">
        <f>IF(原始经营数据!$D665="","",原始经营数据!$D665)</f>
        <v>华夏首创奥特莱斯封闭式基础设施证券投资基金</v>
      </c>
      <c r="B664" t="str">
        <f>IF(原始经营数据!$D665="","",T(原始经营数据!$E665))</f>
        <v>济南首创奥莱项目</v>
      </c>
      <c r="C664" t="str">
        <f>IF(原始经营数据!$D665="","",原始经营数据!$F665)</f>
        <v>2026Q2</v>
      </c>
      <c r="D664" t="str">
        <f>IF(原始经营数据!$D665="","",原始经营数据!$H665)</f>
        <v>期末租金收缴率</v>
      </c>
      <c r="E664">
        <f>IF(原始经营数据!$D665="","",原始经营数据!$I665)</f>
        <v>99.7</v>
      </c>
      <c r="F664" t="str">
        <f>IF(原始经营数据!$D665="","",T(原始经营数据!$J665))</f>
        <v>%</v>
      </c>
      <c r="G664" t="str">
        <f>IF(原始经营数据!$D665="","",T(原始经营数据!$K665))</f>
        <v/>
      </c>
      <c r="H664" t="str">
        <f>IF(原始经营数据!$D665="","",原始经营数据!$G665)</f>
        <v>服务效率</v>
      </c>
      <c r="I664" t="str">
        <f>IF($A664="","",IF($B664&lt;&gt;"",$B664,IF(COUNTIFS(原始经营数据!$D$3:$D$3001,$A664,原始经营数据!$E$3:$E$3001,"",原始经营数据!$F$3:$F$3001,$C664,原始经营数据!$H$3:$H$3001,$D664,原始经营数据!$K$3:$K$3001,$G664)&gt;1,"基金整体·来源"&amp;原始经营数据!$A665,"基金整体")))</f>
        <v>济南首创奥莱项目</v>
      </c>
      <c r="J664" t="str">
        <f t="shared" si="153"/>
        <v>季度</v>
      </c>
      <c r="K664" t="str">
        <f t="shared" si="154"/>
        <v>期末租金收缴率（%）</v>
      </c>
      <c r="L664" t="str">
        <f t="shared" si="155"/>
        <v>济南首创奥莱项目|期末租金收缴率（%）|季度</v>
      </c>
      <c r="M664">
        <f>IF($A664="",0,IF(COUNTIF($L$2:$L664,$L664)=1,1,0))</f>
        <v>0</v>
      </c>
      <c r="N664">
        <f t="shared" si="156"/>
        <v>20262</v>
      </c>
      <c r="O664" t="str">
        <f t="shared" si="157"/>
        <v>华夏首创奥特莱斯封闭式基础设施证券投资基金|2026Q2|季度</v>
      </c>
      <c r="P664">
        <f>IF($A664="",0,IF(COUNTIF($O$2:$O664,$O664)=1,1,0))</f>
        <v>0</v>
      </c>
      <c r="Q664" t="str">
        <f>IF(AND($P664=1,$A664=经营数据!$B$3,$J664=经营数据!$BA$5),COUNTIFS($P$2:$P$3000,1,$A$2:$A$3000,$A664,$J$2:$J$3000,$J664,$N$2:$N$3000,"&lt;"&amp;$N664)+1,"")</f>
        <v/>
      </c>
      <c r="R664" t="str">
        <f t="shared" si="158"/>
        <v>华夏首创奥特莱斯封闭式基础设施证券投资基金|济南首创奥莱项目</v>
      </c>
      <c r="S664">
        <f>IF($A664="",0,IF(COUNTIF($R$2:$R664,$R664)=1,1,0))</f>
        <v>0</v>
      </c>
      <c r="T664">
        <f t="shared" si="159"/>
        <v>619</v>
      </c>
      <c r="U664" t="str">
        <f>IF($A664="","",IF($A664=经营数据!$B$3,COUNTIFS($S$2:$S$3000,1,$A$2:$A$3000,$A664,$T$2:$T$3000,"&lt;"&amp;$T664)+1,""))</f>
        <v/>
      </c>
      <c r="V664" t="str">
        <f t="shared" si="160"/>
        <v>济南首创奥莱项目|服务效率</v>
      </c>
      <c r="W664">
        <f t="shared" si="161"/>
        <v>619</v>
      </c>
      <c r="X664" t="str">
        <f t="shared" si="162"/>
        <v>济南首创奥莱项目|期末租金收缴率</v>
      </c>
      <c r="Y664">
        <f t="shared" si="163"/>
        <v>619</v>
      </c>
      <c r="Z664">
        <f>IF($A664="",0,IF(AND($M664=1,$A664=经营数据!$B$3,$J664=经营数据!$BA$5,OR($I664=经营数据!$BA$4,COUNTIF(经营数据!$AA$9:$AA$38,$I664)&gt;0)),1,0))</f>
        <v>0</v>
      </c>
      <c r="AA664" t="str">
        <f t="shared" si="164"/>
        <v/>
      </c>
      <c r="AB664" t="str">
        <f t="shared" si="165"/>
        <v/>
      </c>
      <c r="AC664">
        <f>IF($A664="",0,IF(COUNTIF($A$2:$A664,$A664)=1,1,0))</f>
        <v>0</v>
      </c>
      <c r="AD664">
        <f t="shared" si="166"/>
        <v>7</v>
      </c>
      <c r="AE664" t="str">
        <f t="shared" si="167"/>
        <v>济南首创奥莱项目|期末租金收缴率（%）</v>
      </c>
    </row>
    <row r="665" spans="1:31" x14ac:dyDescent="0.4">
      <c r="A665" t="str">
        <f>IF(原始经营数据!$D666="","",原始经营数据!$D666)</f>
        <v>嘉实物美消费封闭式基础设施证券投资基金</v>
      </c>
      <c r="B665" t="str">
        <f>IF(原始经营数据!$D666="","",T(原始经营数据!$E666))</f>
        <v>基金整体</v>
      </c>
      <c r="C665" t="str">
        <f>IF(原始经营数据!$D666="","",原始经营数据!$F666)</f>
        <v>2024Q1</v>
      </c>
      <c r="D665" t="str">
        <f>IF(原始经营数据!$D666="","",原始经营数据!$H666)</f>
        <v>期末租金收缴率</v>
      </c>
      <c r="E665">
        <f>IF(原始经营数据!$D666="","",原始经营数据!$I666)</f>
        <v>97.1</v>
      </c>
      <c r="F665" t="str">
        <f>IF(原始经营数据!$D666="","",T(原始经营数据!$J666))</f>
        <v>%</v>
      </c>
      <c r="G665" t="str">
        <f>IF(原始经营数据!$D666="","",T(原始经营数据!$K666))</f>
        <v/>
      </c>
      <c r="H665" t="str">
        <f>IF(原始经营数据!$D666="","",原始经营数据!$G666)</f>
        <v>服务效率</v>
      </c>
      <c r="I665" t="str">
        <f>IF($A665="","",IF($B665&lt;&gt;"",$B665,IF(COUNTIFS(原始经营数据!$D$3:$D$3001,$A665,原始经营数据!$E$3:$E$3001,"",原始经营数据!$F$3:$F$3001,$C665,原始经营数据!$H$3:$H$3001,$D665,原始经营数据!$K$3:$K$3001,$G665)&gt;1,"基金整体·来源"&amp;原始经营数据!$A666,"基金整体")))</f>
        <v>基金整体</v>
      </c>
      <c r="J665" t="str">
        <f t="shared" si="153"/>
        <v>季度</v>
      </c>
      <c r="K665" t="str">
        <f t="shared" si="154"/>
        <v>期末租金收缴率（%）</v>
      </c>
      <c r="L665" t="str">
        <f t="shared" si="155"/>
        <v>基金整体|期末租金收缴率（%）|季度</v>
      </c>
      <c r="M665">
        <f>IF($A665="",0,IF(COUNTIF($L$2:$L665,$L665)=1,1,0))</f>
        <v>0</v>
      </c>
      <c r="N665">
        <f t="shared" si="156"/>
        <v>20241</v>
      </c>
      <c r="O665" t="str">
        <f t="shared" si="157"/>
        <v>嘉实物美消费封闭式基础设施证券投资基金|2024Q1|季度</v>
      </c>
      <c r="P665">
        <f>IF($A665="",0,IF(COUNTIF($O$2:$O665,$O665)=1,1,0))</f>
        <v>1</v>
      </c>
      <c r="Q665" t="str">
        <f>IF(AND($P665=1,$A665=经营数据!$B$3,$J665=经营数据!$BA$5),COUNTIFS($P$2:$P$3000,1,$A$2:$A$3000,$A665,$J$2:$J$3000,$J665,$N$2:$N$3000,"&lt;"&amp;$N665)+1,"")</f>
        <v/>
      </c>
      <c r="R665" t="str">
        <f t="shared" si="158"/>
        <v>嘉实物美消费封闭式基础设施证券投资基金|基金整体</v>
      </c>
      <c r="S665">
        <f>IF($A665="",0,IF(COUNTIF($R$2:$R665,$R665)=1,1,0))</f>
        <v>1</v>
      </c>
      <c r="T665">
        <f t="shared" si="159"/>
        <v>664</v>
      </c>
      <c r="U665" t="str">
        <f>IF($A665="","",IF($A665=经营数据!$B$3,COUNTIFS($S$2:$S$3000,1,$A$2:$A$3000,$A665,$T$2:$T$3000,"&lt;"&amp;$T665)+1,""))</f>
        <v/>
      </c>
      <c r="V665" t="str">
        <f t="shared" si="160"/>
        <v>基金整体|服务效率</v>
      </c>
      <c r="W665">
        <f t="shared" si="161"/>
        <v>2</v>
      </c>
      <c r="X665" t="str">
        <f t="shared" si="162"/>
        <v>基金整体|期末租金收缴率</v>
      </c>
      <c r="Y665">
        <f t="shared" si="163"/>
        <v>530</v>
      </c>
      <c r="Z665">
        <f>IF($A665="",0,IF(AND($M665=1,$A665=经营数据!$B$3,$J665=经营数据!$BA$5,OR($I665=经营数据!$BA$4,COUNTIF(经营数据!$AA$9:$AA$38,$I665)&gt;0)),1,0))</f>
        <v>0</v>
      </c>
      <c r="AA665" t="str">
        <f t="shared" si="164"/>
        <v/>
      </c>
      <c r="AB665" t="str">
        <f t="shared" si="165"/>
        <v/>
      </c>
      <c r="AC665">
        <f>IF($A665="",0,IF(COUNTIF($A$2:$A665,$A665)=1,1,0))</f>
        <v>1</v>
      </c>
      <c r="AD665">
        <f t="shared" si="166"/>
        <v>8</v>
      </c>
      <c r="AE665" t="str">
        <f t="shared" si="167"/>
        <v>基金整体|期末租金收缴率（%）</v>
      </c>
    </row>
    <row r="666" spans="1:31" x14ac:dyDescent="0.4">
      <c r="A666" t="str">
        <f>IF(原始经营数据!$D667="","",原始经营数据!$D667)</f>
        <v>嘉实物美消费封闭式基础设施证券投资基金</v>
      </c>
      <c r="B666" t="str">
        <f>IF(原始经营数据!$D667="","",T(原始经营数据!$E667))</f>
        <v>基金整体</v>
      </c>
      <c r="C666" t="str">
        <f>IF(原始经营数据!$D667="","",原始经营数据!$F667)</f>
        <v>2024Q1</v>
      </c>
      <c r="D666" t="str">
        <f>IF(原始经营数据!$D667="","",原始经营数据!$H667)</f>
        <v>期末剩余租期情况</v>
      </c>
      <c r="E666">
        <f>IF(原始经营数据!$D667="","",原始经营数据!$I667)</f>
        <v>7.33</v>
      </c>
      <c r="F666" t="str">
        <f>IF(原始经营数据!$D667="","",T(原始经营数据!$J667))</f>
        <v>年</v>
      </c>
      <c r="G666" t="str">
        <f>IF(原始经营数据!$D667="","",T(原始经营数据!$K667))</f>
        <v/>
      </c>
      <c r="H666" t="str">
        <f>IF(原始经营数据!$D667="","",原始经营数据!$G667)</f>
        <v>服务量</v>
      </c>
      <c r="I666" t="str">
        <f>IF($A666="","",IF($B666&lt;&gt;"",$B666,IF(COUNTIFS(原始经营数据!$D$3:$D$3001,$A666,原始经营数据!$E$3:$E$3001,"",原始经营数据!$F$3:$F$3001,$C666,原始经营数据!$H$3:$H$3001,$D666,原始经营数据!$K$3:$K$3001,$G666)&gt;1,"基金整体·来源"&amp;原始经营数据!$A667,"基金整体")))</f>
        <v>基金整体</v>
      </c>
      <c r="J666" t="str">
        <f t="shared" si="153"/>
        <v>季度</v>
      </c>
      <c r="K666" t="str">
        <f t="shared" si="154"/>
        <v>期末剩余租期情况（年）</v>
      </c>
      <c r="L666" t="str">
        <f t="shared" si="155"/>
        <v>基金整体|期末剩余租期情况（年）|季度</v>
      </c>
      <c r="M666">
        <f>IF($A666="",0,IF(COUNTIF($L$2:$L666,$L666)=1,1,0))</f>
        <v>1</v>
      </c>
      <c r="N666">
        <f t="shared" si="156"/>
        <v>20241</v>
      </c>
      <c r="O666" t="str">
        <f t="shared" si="157"/>
        <v>嘉实物美消费封闭式基础设施证券投资基金|2024Q1|季度</v>
      </c>
      <c r="P666">
        <f>IF($A666="",0,IF(COUNTIF($O$2:$O666,$O666)=1,1,0))</f>
        <v>0</v>
      </c>
      <c r="Q666" t="str">
        <f>IF(AND($P666=1,$A666=经营数据!$B$3,$J666=经营数据!$BA$5),COUNTIFS($P$2:$P$3000,1,$A$2:$A$3000,$A666,$J$2:$J$3000,$J666,$N$2:$N$3000,"&lt;"&amp;$N666)+1,"")</f>
        <v/>
      </c>
      <c r="R666" t="str">
        <f t="shared" si="158"/>
        <v>嘉实物美消费封闭式基础设施证券投资基金|基金整体</v>
      </c>
      <c r="S666">
        <f>IF($A666="",0,IF(COUNTIF($R$2:$R666,$R666)=1,1,0))</f>
        <v>0</v>
      </c>
      <c r="T666">
        <f t="shared" si="159"/>
        <v>664</v>
      </c>
      <c r="U666" t="str">
        <f>IF($A666="","",IF($A666=经营数据!$B$3,COUNTIFS($S$2:$S$3000,1,$A$2:$A$3000,$A666,$T$2:$T$3000,"&lt;"&amp;$T666)+1,""))</f>
        <v/>
      </c>
      <c r="V666" t="str">
        <f t="shared" si="160"/>
        <v>基金整体|服务量</v>
      </c>
      <c r="W666">
        <f t="shared" si="161"/>
        <v>1</v>
      </c>
      <c r="X666" t="str">
        <f t="shared" si="162"/>
        <v>基金整体|期末剩余租期情况</v>
      </c>
      <c r="Y666">
        <f t="shared" si="163"/>
        <v>665</v>
      </c>
      <c r="Z666">
        <f>IF($A666="",0,IF(AND($M666=1,$A666=经营数据!$B$3,$J666=经营数据!$BA$5,OR($I666=经营数据!$BA$4,COUNTIF(经营数据!$AA$9:$AA$38,$I666)&gt;0)),1,0))</f>
        <v>0</v>
      </c>
      <c r="AA666" t="str">
        <f t="shared" si="164"/>
        <v/>
      </c>
      <c r="AB666" t="str">
        <f t="shared" si="165"/>
        <v/>
      </c>
      <c r="AC666">
        <f>IF($A666="",0,IF(COUNTIF($A$2:$A666,$A666)=1,1,0))</f>
        <v>0</v>
      </c>
      <c r="AD666">
        <f t="shared" si="166"/>
        <v>8</v>
      </c>
      <c r="AE666" t="str">
        <f t="shared" si="167"/>
        <v>基金整体|期末剩余租期情况（年）</v>
      </c>
    </row>
    <row r="667" spans="1:31" x14ac:dyDescent="0.4">
      <c r="A667" t="str">
        <f>IF(原始经营数据!$D668="","",原始经营数据!$D668)</f>
        <v>嘉实物美消费封闭式基础设施证券投资基金</v>
      </c>
      <c r="B667" t="str">
        <f>IF(原始经营数据!$D668="","",T(原始经营数据!$E668))</f>
        <v>基金整体</v>
      </c>
      <c r="C667" t="str">
        <f>IF(原始经营数据!$D668="","",原始经营数据!$F668)</f>
        <v>2024Q1</v>
      </c>
      <c r="D667" t="str">
        <f>IF(原始经营数据!$D668="","",原始经营数据!$H668)</f>
        <v>期内租金单价水平</v>
      </c>
      <c r="E667">
        <f>IF(原始经营数据!$D668="","",原始经营数据!$I668)</f>
        <v>3.98</v>
      </c>
      <c r="F667" t="str">
        <f>IF(原始经营数据!$D668="","",T(原始经营数据!$J668))</f>
        <v>元/平方米/天</v>
      </c>
      <c r="G667" t="str">
        <f>IF(原始经营数据!$D668="","",T(原始经营数据!$K668))</f>
        <v/>
      </c>
      <c r="H667" t="str">
        <f>IF(原始经营数据!$D668="","",原始经营数据!$G668)</f>
        <v>服务价格</v>
      </c>
      <c r="I667" t="str">
        <f>IF($A667="","",IF($B667&lt;&gt;"",$B667,IF(COUNTIFS(原始经营数据!$D$3:$D$3001,$A667,原始经营数据!$E$3:$E$3001,"",原始经营数据!$F$3:$F$3001,$C667,原始经营数据!$H$3:$H$3001,$D667,原始经营数据!$K$3:$K$3001,$G667)&gt;1,"基金整体·来源"&amp;原始经营数据!$A668,"基金整体")))</f>
        <v>基金整体</v>
      </c>
      <c r="J667" t="str">
        <f t="shared" si="153"/>
        <v>季度</v>
      </c>
      <c r="K667" t="str">
        <f t="shared" si="154"/>
        <v>期内租金单价水平（元/平方米/天）</v>
      </c>
      <c r="L667" t="str">
        <f t="shared" si="155"/>
        <v>基金整体|期内租金单价水平（元/平方米/天）|季度</v>
      </c>
      <c r="M667">
        <f>IF($A667="",0,IF(COUNTIF($L$2:$L667,$L667)=1,1,0))</f>
        <v>1</v>
      </c>
      <c r="N667">
        <f t="shared" si="156"/>
        <v>20241</v>
      </c>
      <c r="O667" t="str">
        <f t="shared" si="157"/>
        <v>嘉实物美消费封闭式基础设施证券投资基金|2024Q1|季度</v>
      </c>
      <c r="P667">
        <f>IF($A667="",0,IF(COUNTIF($O$2:$O667,$O667)=1,1,0))</f>
        <v>0</v>
      </c>
      <c r="Q667" t="str">
        <f>IF(AND($P667=1,$A667=经营数据!$B$3,$J667=经营数据!$BA$5),COUNTIFS($P$2:$P$3000,1,$A$2:$A$3000,$A667,$J$2:$J$3000,$J667,$N$2:$N$3000,"&lt;"&amp;$N667)+1,"")</f>
        <v/>
      </c>
      <c r="R667" t="str">
        <f t="shared" si="158"/>
        <v>嘉实物美消费封闭式基础设施证券投资基金|基金整体</v>
      </c>
      <c r="S667">
        <f>IF($A667="",0,IF(COUNTIF($R$2:$R667,$R667)=1,1,0))</f>
        <v>0</v>
      </c>
      <c r="T667">
        <f t="shared" si="159"/>
        <v>664</v>
      </c>
      <c r="U667" t="str">
        <f>IF($A667="","",IF($A667=经营数据!$B$3,COUNTIFS($S$2:$S$3000,1,$A$2:$A$3000,$A667,$T$2:$T$3000,"&lt;"&amp;$T667)+1,""))</f>
        <v/>
      </c>
      <c r="V667" t="str">
        <f t="shared" si="160"/>
        <v>基金整体|服务价格</v>
      </c>
      <c r="W667">
        <f t="shared" si="161"/>
        <v>10</v>
      </c>
      <c r="X667" t="str">
        <f t="shared" si="162"/>
        <v>基金整体|期内租金单价水平</v>
      </c>
      <c r="Y667">
        <f t="shared" si="163"/>
        <v>529</v>
      </c>
      <c r="Z667">
        <f>IF($A667="",0,IF(AND($M667=1,$A667=经营数据!$B$3,$J667=经营数据!$BA$5,OR($I667=经营数据!$BA$4,COUNTIF(经营数据!$AA$9:$AA$38,$I667)&gt;0)),1,0))</f>
        <v>0</v>
      </c>
      <c r="AA667" t="str">
        <f t="shared" si="164"/>
        <v/>
      </c>
      <c r="AB667" t="str">
        <f t="shared" si="165"/>
        <v/>
      </c>
      <c r="AC667">
        <f>IF($A667="",0,IF(COUNTIF($A$2:$A667,$A667)=1,1,0))</f>
        <v>0</v>
      </c>
      <c r="AD667">
        <f t="shared" si="166"/>
        <v>8</v>
      </c>
      <c r="AE667" t="str">
        <f t="shared" si="167"/>
        <v>基金整体|期内租金单价水平（元/平方米/天）</v>
      </c>
    </row>
    <row r="668" spans="1:31" x14ac:dyDescent="0.4">
      <c r="A668" t="str">
        <f>IF(原始经营数据!$D669="","",原始经营数据!$D669)</f>
        <v>嘉实物美消费封闭式基础设施证券投资基金</v>
      </c>
      <c r="B668" t="str">
        <f>IF(原始经营数据!$D669="","",T(原始经营数据!$E669))</f>
        <v>基金整体</v>
      </c>
      <c r="C668" t="str">
        <f>IF(原始经营数据!$D669="","",原始经营数据!$F669)</f>
        <v>2024Q1</v>
      </c>
      <c r="D668" t="str">
        <f>IF(原始经营数据!$D669="","",原始经营数据!$H669)</f>
        <v>期末出租率</v>
      </c>
      <c r="E668">
        <f>IF(原始经营数据!$D669="","",原始经营数据!$I669)</f>
        <v>96.43</v>
      </c>
      <c r="F668" t="str">
        <f>IF(原始经营数据!$D669="","",T(原始经营数据!$J669))</f>
        <v>%</v>
      </c>
      <c r="G668" t="str">
        <f>IF(原始经营数据!$D669="","",T(原始经营数据!$K669))</f>
        <v/>
      </c>
      <c r="H668" t="str">
        <f>IF(原始经营数据!$D669="","",原始经营数据!$G669)</f>
        <v>服务效率</v>
      </c>
      <c r="I668" t="str">
        <f>IF($A668="","",IF($B668&lt;&gt;"",$B668,IF(COUNTIFS(原始经营数据!$D$3:$D$3001,$A668,原始经营数据!$E$3:$E$3001,"",原始经营数据!$F$3:$F$3001,$C668,原始经营数据!$H$3:$H$3001,$D668,原始经营数据!$K$3:$K$3001,$G668)&gt;1,"基金整体·来源"&amp;原始经营数据!$A669,"基金整体")))</f>
        <v>基金整体</v>
      </c>
      <c r="J668" t="str">
        <f t="shared" si="153"/>
        <v>季度</v>
      </c>
      <c r="K668" t="str">
        <f t="shared" si="154"/>
        <v>期末出租率（%）</v>
      </c>
      <c r="L668" t="str">
        <f t="shared" si="155"/>
        <v>基金整体|期末出租率（%）|季度</v>
      </c>
      <c r="M668">
        <f>IF($A668="",0,IF(COUNTIF($L$2:$L668,$L668)=1,1,0))</f>
        <v>0</v>
      </c>
      <c r="N668">
        <f t="shared" si="156"/>
        <v>20241</v>
      </c>
      <c r="O668" t="str">
        <f t="shared" si="157"/>
        <v>嘉实物美消费封闭式基础设施证券投资基金|2024Q1|季度</v>
      </c>
      <c r="P668">
        <f>IF($A668="",0,IF(COUNTIF($O$2:$O668,$O668)=1,1,0))</f>
        <v>0</v>
      </c>
      <c r="Q668" t="str">
        <f>IF(AND($P668=1,$A668=经营数据!$B$3,$J668=经营数据!$BA$5),COUNTIFS($P$2:$P$3000,1,$A$2:$A$3000,$A668,$J$2:$J$3000,$J668,$N$2:$N$3000,"&lt;"&amp;$N668)+1,"")</f>
        <v/>
      </c>
      <c r="R668" t="str">
        <f t="shared" si="158"/>
        <v>嘉实物美消费封闭式基础设施证券投资基金|基金整体</v>
      </c>
      <c r="S668">
        <f>IF($A668="",0,IF(COUNTIF($R$2:$R668,$R668)=1,1,0))</f>
        <v>0</v>
      </c>
      <c r="T668">
        <f t="shared" si="159"/>
        <v>664</v>
      </c>
      <c r="U668" t="str">
        <f>IF($A668="","",IF($A668=经营数据!$B$3,COUNTIFS($S$2:$S$3000,1,$A$2:$A$3000,$A668,$T$2:$T$3000,"&lt;"&amp;$T668)+1,""))</f>
        <v/>
      </c>
      <c r="V668" t="str">
        <f t="shared" si="160"/>
        <v>基金整体|服务效率</v>
      </c>
      <c r="W668">
        <f t="shared" si="161"/>
        <v>2</v>
      </c>
      <c r="X668" t="str">
        <f t="shared" si="162"/>
        <v>基金整体|期末出租率</v>
      </c>
      <c r="Y668">
        <f t="shared" si="163"/>
        <v>5</v>
      </c>
      <c r="Z668">
        <f>IF($A668="",0,IF(AND($M668=1,$A668=经营数据!$B$3,$J668=经营数据!$BA$5,OR($I668=经营数据!$BA$4,COUNTIF(经营数据!$AA$9:$AA$38,$I668)&gt;0)),1,0))</f>
        <v>0</v>
      </c>
      <c r="AA668" t="str">
        <f t="shared" si="164"/>
        <v/>
      </c>
      <c r="AB668" t="str">
        <f t="shared" si="165"/>
        <v/>
      </c>
      <c r="AC668">
        <f>IF($A668="",0,IF(COUNTIF($A$2:$A668,$A668)=1,1,0))</f>
        <v>0</v>
      </c>
      <c r="AD668">
        <f t="shared" si="166"/>
        <v>8</v>
      </c>
      <c r="AE668" t="str">
        <f t="shared" si="167"/>
        <v>基金整体|期末出租率（%）</v>
      </c>
    </row>
    <row r="669" spans="1:31" x14ac:dyDescent="0.4">
      <c r="A669" t="str">
        <f>IF(原始经营数据!$D670="","",原始经营数据!$D670)</f>
        <v>嘉实物美消费封闭式基础设施证券投资基金</v>
      </c>
      <c r="B669" t="str">
        <f>IF(原始经营数据!$D670="","",T(原始经营数据!$E670))</f>
        <v>基金整体</v>
      </c>
      <c r="C669" t="str">
        <f>IF(原始经营数据!$D670="","",原始经营数据!$F670)</f>
        <v>2024Q1</v>
      </c>
      <c r="D669" t="str">
        <f>IF(原始经营数据!$D670="","",原始经营数据!$H670)</f>
        <v>期末实际出租面积</v>
      </c>
      <c r="E669">
        <f>IF(原始经营数据!$D670="","",原始经营数据!$I670)</f>
        <v>75110.17</v>
      </c>
      <c r="F669" t="str">
        <f>IF(原始经营数据!$D670="","",T(原始经营数据!$J670))</f>
        <v>平方米</v>
      </c>
      <c r="G669" t="str">
        <f>IF(原始经营数据!$D670="","",T(原始经营数据!$K670))</f>
        <v/>
      </c>
      <c r="H669" t="str">
        <f>IF(原始经营数据!$D670="","",原始经营数据!$G670)</f>
        <v>服务量</v>
      </c>
      <c r="I669" t="str">
        <f>IF($A669="","",IF($B669&lt;&gt;"",$B669,IF(COUNTIFS(原始经营数据!$D$3:$D$3001,$A669,原始经营数据!$E$3:$E$3001,"",原始经营数据!$F$3:$F$3001,$C669,原始经营数据!$H$3:$H$3001,$D669,原始经营数据!$K$3:$K$3001,$G669)&gt;1,"基金整体·来源"&amp;原始经营数据!$A670,"基金整体")))</f>
        <v>基金整体</v>
      </c>
      <c r="J669" t="str">
        <f t="shared" si="153"/>
        <v>季度</v>
      </c>
      <c r="K669" t="str">
        <f t="shared" si="154"/>
        <v>期末实际出租面积（平方米）</v>
      </c>
      <c r="L669" t="str">
        <f t="shared" si="155"/>
        <v>基金整体|期末实际出租面积（平方米）|季度</v>
      </c>
      <c r="M669">
        <f>IF($A669="",0,IF(COUNTIF($L$2:$L669,$L669)=1,1,0))</f>
        <v>0</v>
      </c>
      <c r="N669">
        <f t="shared" si="156"/>
        <v>20241</v>
      </c>
      <c r="O669" t="str">
        <f t="shared" si="157"/>
        <v>嘉实物美消费封闭式基础设施证券投资基金|2024Q1|季度</v>
      </c>
      <c r="P669">
        <f>IF($A669="",0,IF(COUNTIF($O$2:$O669,$O669)=1,1,0))</f>
        <v>0</v>
      </c>
      <c r="Q669" t="str">
        <f>IF(AND($P669=1,$A669=经营数据!$B$3,$J669=经营数据!$BA$5),COUNTIFS($P$2:$P$3000,1,$A$2:$A$3000,$A669,$J$2:$J$3000,$J669,$N$2:$N$3000,"&lt;"&amp;$N669)+1,"")</f>
        <v/>
      </c>
      <c r="R669" t="str">
        <f t="shared" si="158"/>
        <v>嘉实物美消费封闭式基础设施证券投资基金|基金整体</v>
      </c>
      <c r="S669">
        <f>IF($A669="",0,IF(COUNTIF($R$2:$R669,$R669)=1,1,0))</f>
        <v>0</v>
      </c>
      <c r="T669">
        <f t="shared" si="159"/>
        <v>664</v>
      </c>
      <c r="U669" t="str">
        <f>IF($A669="","",IF($A669=经营数据!$B$3,COUNTIFS($S$2:$S$3000,1,$A$2:$A$3000,$A669,$T$2:$T$3000,"&lt;"&amp;$T669)+1,""))</f>
        <v/>
      </c>
      <c r="V669" t="str">
        <f t="shared" si="160"/>
        <v>基金整体|服务量</v>
      </c>
      <c r="W669">
        <f t="shared" si="161"/>
        <v>1</v>
      </c>
      <c r="X669" t="str">
        <f t="shared" si="162"/>
        <v>基金整体|期末实际出租面积</v>
      </c>
      <c r="Y669">
        <f t="shared" si="163"/>
        <v>4</v>
      </c>
      <c r="Z669">
        <f>IF($A669="",0,IF(AND($M669=1,$A669=经营数据!$B$3,$J669=经营数据!$BA$5,OR($I669=经营数据!$BA$4,COUNTIF(经营数据!$AA$9:$AA$38,$I669)&gt;0)),1,0))</f>
        <v>0</v>
      </c>
      <c r="AA669" t="str">
        <f t="shared" si="164"/>
        <v/>
      </c>
      <c r="AB669" t="str">
        <f t="shared" si="165"/>
        <v/>
      </c>
      <c r="AC669">
        <f>IF($A669="",0,IF(COUNTIF($A$2:$A669,$A669)=1,1,0))</f>
        <v>0</v>
      </c>
      <c r="AD669">
        <f t="shared" si="166"/>
        <v>8</v>
      </c>
      <c r="AE669" t="str">
        <f t="shared" si="167"/>
        <v>基金整体|期末实际出租面积（平方米）</v>
      </c>
    </row>
    <row r="670" spans="1:31" x14ac:dyDescent="0.4">
      <c r="A670" t="str">
        <f>IF(原始经营数据!$D671="","",原始经营数据!$D671)</f>
        <v>嘉实物美消费封闭式基础设施证券投资基金</v>
      </c>
      <c r="B670" t="str">
        <f>IF(原始经营数据!$D671="","",T(原始经营数据!$E671))</f>
        <v>基金整体</v>
      </c>
      <c r="C670" t="str">
        <f>IF(原始经营数据!$D671="","",原始经营数据!$F671)</f>
        <v>2024Q1</v>
      </c>
      <c r="D670" t="str">
        <f>IF(原始经营数据!$D671="","",原始经营数据!$H671)</f>
        <v>期末可供出租面积</v>
      </c>
      <c r="E670">
        <f>IF(原始经营数据!$D671="","",原始经营数据!$I671)</f>
        <v>77894.28</v>
      </c>
      <c r="F670" t="str">
        <f>IF(原始经营数据!$D671="","",T(原始经营数据!$J671))</f>
        <v>平方米</v>
      </c>
      <c r="G670" t="str">
        <f>IF(原始经营数据!$D671="","",T(原始经营数据!$K671))</f>
        <v/>
      </c>
      <c r="H670" t="str">
        <f>IF(原始经营数据!$D671="","",原始经营数据!$G671)</f>
        <v>服务量</v>
      </c>
      <c r="I670" t="str">
        <f>IF($A670="","",IF($B670&lt;&gt;"",$B670,IF(COUNTIFS(原始经营数据!$D$3:$D$3001,$A670,原始经营数据!$E$3:$E$3001,"",原始经营数据!$F$3:$F$3001,$C670,原始经营数据!$H$3:$H$3001,$D670,原始经营数据!$K$3:$K$3001,$G670)&gt;1,"基金整体·来源"&amp;原始经营数据!$A671,"基金整体")))</f>
        <v>基金整体</v>
      </c>
      <c r="J670" t="str">
        <f t="shared" si="153"/>
        <v>季度</v>
      </c>
      <c r="K670" t="str">
        <f t="shared" si="154"/>
        <v>期末可供出租面积（平方米）</v>
      </c>
      <c r="L670" t="str">
        <f t="shared" si="155"/>
        <v>基金整体|期末可供出租面积（平方米）|季度</v>
      </c>
      <c r="M670">
        <f>IF($A670="",0,IF(COUNTIF($L$2:$L670,$L670)=1,1,0))</f>
        <v>0</v>
      </c>
      <c r="N670">
        <f t="shared" si="156"/>
        <v>20241</v>
      </c>
      <c r="O670" t="str">
        <f t="shared" si="157"/>
        <v>嘉实物美消费封闭式基础设施证券投资基金|2024Q1|季度</v>
      </c>
      <c r="P670">
        <f>IF($A670="",0,IF(COUNTIF($O$2:$O670,$O670)=1,1,0))</f>
        <v>0</v>
      </c>
      <c r="Q670" t="str">
        <f>IF(AND($P670=1,$A670=经营数据!$B$3,$J670=经营数据!$BA$5),COUNTIFS($P$2:$P$3000,1,$A$2:$A$3000,$A670,$J$2:$J$3000,$J670,$N$2:$N$3000,"&lt;"&amp;$N670)+1,"")</f>
        <v/>
      </c>
      <c r="R670" t="str">
        <f t="shared" si="158"/>
        <v>嘉实物美消费封闭式基础设施证券投资基金|基金整体</v>
      </c>
      <c r="S670">
        <f>IF($A670="",0,IF(COUNTIF($R$2:$R670,$R670)=1,1,0))</f>
        <v>0</v>
      </c>
      <c r="T670">
        <f t="shared" si="159"/>
        <v>664</v>
      </c>
      <c r="U670" t="str">
        <f>IF($A670="","",IF($A670=经营数据!$B$3,COUNTIFS($S$2:$S$3000,1,$A$2:$A$3000,$A670,$T$2:$T$3000,"&lt;"&amp;$T670)+1,""))</f>
        <v/>
      </c>
      <c r="V670" t="str">
        <f t="shared" si="160"/>
        <v>基金整体|服务量</v>
      </c>
      <c r="W670">
        <f t="shared" si="161"/>
        <v>1</v>
      </c>
      <c r="X670" t="str">
        <f t="shared" si="162"/>
        <v>基金整体|期末可供出租面积</v>
      </c>
      <c r="Y670">
        <f t="shared" si="163"/>
        <v>3</v>
      </c>
      <c r="Z670">
        <f>IF($A670="",0,IF(AND($M670=1,$A670=经营数据!$B$3,$J670=经营数据!$BA$5,OR($I670=经营数据!$BA$4,COUNTIF(经营数据!$AA$9:$AA$38,$I670)&gt;0)),1,0))</f>
        <v>0</v>
      </c>
      <c r="AA670" t="str">
        <f t="shared" si="164"/>
        <v/>
      </c>
      <c r="AB670" t="str">
        <f t="shared" si="165"/>
        <v/>
      </c>
      <c r="AC670">
        <f>IF($A670="",0,IF(COUNTIF($A$2:$A670,$A670)=1,1,0))</f>
        <v>0</v>
      </c>
      <c r="AD670">
        <f t="shared" si="166"/>
        <v>8</v>
      </c>
      <c r="AE670" t="str">
        <f t="shared" si="167"/>
        <v>基金整体|期末可供出租面积（平方米）</v>
      </c>
    </row>
    <row r="671" spans="1:31" x14ac:dyDescent="0.4">
      <c r="A671" t="str">
        <f>IF(原始经营数据!$D672="","",原始经营数据!$D672)</f>
        <v>嘉实物美消费封闭式基础设施证券投资基金</v>
      </c>
      <c r="B671" t="str">
        <f>IF(原始经营数据!$D672="","",T(原始经营数据!$E672))</f>
        <v>基金整体</v>
      </c>
      <c r="C671" t="str">
        <f>IF(原始经营数据!$D672="","",原始经营数据!$F672)</f>
        <v>2024Q2</v>
      </c>
      <c r="D671" t="str">
        <f>IF(原始经营数据!$D672="","",原始经营数据!$H672)</f>
        <v>期末可供出租面积</v>
      </c>
      <c r="E671">
        <f>IF(原始经营数据!$D672="","",原始经营数据!$I672)</f>
        <v>77894.28</v>
      </c>
      <c r="F671" t="str">
        <f>IF(原始经营数据!$D672="","",T(原始经营数据!$J672))</f>
        <v>平方米</v>
      </c>
      <c r="G671" t="str">
        <f>IF(原始经营数据!$D672="","",T(原始经营数据!$K672))</f>
        <v/>
      </c>
      <c r="H671" t="str">
        <f>IF(原始经营数据!$D672="","",原始经营数据!$G672)</f>
        <v>服务量</v>
      </c>
      <c r="I671" t="str">
        <f>IF($A671="","",IF($B671&lt;&gt;"",$B671,IF(COUNTIFS(原始经营数据!$D$3:$D$3001,$A671,原始经营数据!$E$3:$E$3001,"",原始经营数据!$F$3:$F$3001,$C671,原始经营数据!$H$3:$H$3001,$D671,原始经营数据!$K$3:$K$3001,$G671)&gt;1,"基金整体·来源"&amp;原始经营数据!$A672,"基金整体")))</f>
        <v>基金整体</v>
      </c>
      <c r="J671" t="str">
        <f t="shared" si="153"/>
        <v>季度</v>
      </c>
      <c r="K671" t="str">
        <f t="shared" si="154"/>
        <v>期末可供出租面积（平方米）</v>
      </c>
      <c r="L671" t="str">
        <f t="shared" si="155"/>
        <v>基金整体|期末可供出租面积（平方米）|季度</v>
      </c>
      <c r="M671">
        <f>IF($A671="",0,IF(COUNTIF($L$2:$L671,$L671)=1,1,0))</f>
        <v>0</v>
      </c>
      <c r="N671">
        <f t="shared" si="156"/>
        <v>20242</v>
      </c>
      <c r="O671" t="str">
        <f t="shared" si="157"/>
        <v>嘉实物美消费封闭式基础设施证券投资基金|2024Q2|季度</v>
      </c>
      <c r="P671">
        <f>IF($A671="",0,IF(COUNTIF($O$2:$O671,$O671)=1,1,0))</f>
        <v>1</v>
      </c>
      <c r="Q671" t="str">
        <f>IF(AND($P671=1,$A671=经营数据!$B$3,$J671=经营数据!$BA$5),COUNTIFS($P$2:$P$3000,1,$A$2:$A$3000,$A671,$J$2:$J$3000,$J671,$N$2:$N$3000,"&lt;"&amp;$N671)+1,"")</f>
        <v/>
      </c>
      <c r="R671" t="str">
        <f t="shared" si="158"/>
        <v>嘉实物美消费封闭式基础设施证券投资基金|基金整体</v>
      </c>
      <c r="S671">
        <f>IF($A671="",0,IF(COUNTIF($R$2:$R671,$R671)=1,1,0))</f>
        <v>0</v>
      </c>
      <c r="T671">
        <f t="shared" si="159"/>
        <v>664</v>
      </c>
      <c r="U671" t="str">
        <f>IF($A671="","",IF($A671=经营数据!$B$3,COUNTIFS($S$2:$S$3000,1,$A$2:$A$3000,$A671,$T$2:$T$3000,"&lt;"&amp;$T671)+1,""))</f>
        <v/>
      </c>
      <c r="V671" t="str">
        <f t="shared" si="160"/>
        <v>基金整体|服务量</v>
      </c>
      <c r="W671">
        <f t="shared" si="161"/>
        <v>1</v>
      </c>
      <c r="X671" t="str">
        <f t="shared" si="162"/>
        <v>基金整体|期末可供出租面积</v>
      </c>
      <c r="Y671">
        <f t="shared" si="163"/>
        <v>3</v>
      </c>
      <c r="Z671">
        <f>IF($A671="",0,IF(AND($M671=1,$A671=经营数据!$B$3,$J671=经营数据!$BA$5,OR($I671=经营数据!$BA$4,COUNTIF(经营数据!$AA$9:$AA$38,$I671)&gt;0)),1,0))</f>
        <v>0</v>
      </c>
      <c r="AA671" t="str">
        <f t="shared" si="164"/>
        <v/>
      </c>
      <c r="AB671" t="str">
        <f t="shared" si="165"/>
        <v/>
      </c>
      <c r="AC671">
        <f>IF($A671="",0,IF(COUNTIF($A$2:$A671,$A671)=1,1,0))</f>
        <v>0</v>
      </c>
      <c r="AD671">
        <f t="shared" si="166"/>
        <v>8</v>
      </c>
      <c r="AE671" t="str">
        <f t="shared" si="167"/>
        <v>基金整体|期末可供出租面积（平方米）</v>
      </c>
    </row>
    <row r="672" spans="1:31" x14ac:dyDescent="0.4">
      <c r="A672" t="str">
        <f>IF(原始经营数据!$D673="","",原始经营数据!$D673)</f>
        <v>嘉实物美消费封闭式基础设施证券投资基金</v>
      </c>
      <c r="B672" t="str">
        <f>IF(原始经营数据!$D673="","",T(原始经营数据!$E673))</f>
        <v>基金整体</v>
      </c>
      <c r="C672" t="str">
        <f>IF(原始经营数据!$D673="","",原始经营数据!$F673)</f>
        <v>2024Q2</v>
      </c>
      <c r="D672" t="str">
        <f>IF(原始经营数据!$D673="","",原始经营数据!$H673)</f>
        <v>期末实际出租面积</v>
      </c>
      <c r="E672">
        <f>IF(原始经营数据!$D673="","",原始经营数据!$I673)</f>
        <v>76434.34</v>
      </c>
      <c r="F672" t="str">
        <f>IF(原始经营数据!$D673="","",T(原始经营数据!$J673))</f>
        <v>平方米</v>
      </c>
      <c r="G672" t="str">
        <f>IF(原始经营数据!$D673="","",T(原始经营数据!$K673))</f>
        <v/>
      </c>
      <c r="H672" t="str">
        <f>IF(原始经营数据!$D673="","",原始经营数据!$G673)</f>
        <v>服务量</v>
      </c>
      <c r="I672" t="str">
        <f>IF($A672="","",IF($B672&lt;&gt;"",$B672,IF(COUNTIFS(原始经营数据!$D$3:$D$3001,$A672,原始经营数据!$E$3:$E$3001,"",原始经营数据!$F$3:$F$3001,$C672,原始经营数据!$H$3:$H$3001,$D672,原始经营数据!$K$3:$K$3001,$G672)&gt;1,"基金整体·来源"&amp;原始经营数据!$A673,"基金整体")))</f>
        <v>基金整体</v>
      </c>
      <c r="J672" t="str">
        <f t="shared" si="153"/>
        <v>季度</v>
      </c>
      <c r="K672" t="str">
        <f t="shared" si="154"/>
        <v>期末实际出租面积（平方米）</v>
      </c>
      <c r="L672" t="str">
        <f t="shared" si="155"/>
        <v>基金整体|期末实际出租面积（平方米）|季度</v>
      </c>
      <c r="M672">
        <f>IF($A672="",0,IF(COUNTIF($L$2:$L672,$L672)=1,1,0))</f>
        <v>0</v>
      </c>
      <c r="N672">
        <f t="shared" si="156"/>
        <v>20242</v>
      </c>
      <c r="O672" t="str">
        <f t="shared" si="157"/>
        <v>嘉实物美消费封闭式基础设施证券投资基金|2024Q2|季度</v>
      </c>
      <c r="P672">
        <f>IF($A672="",0,IF(COUNTIF($O$2:$O672,$O672)=1,1,0))</f>
        <v>0</v>
      </c>
      <c r="Q672" t="str">
        <f>IF(AND($P672=1,$A672=经营数据!$B$3,$J672=经营数据!$BA$5),COUNTIFS($P$2:$P$3000,1,$A$2:$A$3000,$A672,$J$2:$J$3000,$J672,$N$2:$N$3000,"&lt;"&amp;$N672)+1,"")</f>
        <v/>
      </c>
      <c r="R672" t="str">
        <f t="shared" si="158"/>
        <v>嘉实物美消费封闭式基础设施证券投资基金|基金整体</v>
      </c>
      <c r="S672">
        <f>IF($A672="",0,IF(COUNTIF($R$2:$R672,$R672)=1,1,0))</f>
        <v>0</v>
      </c>
      <c r="T672">
        <f t="shared" si="159"/>
        <v>664</v>
      </c>
      <c r="U672" t="str">
        <f>IF($A672="","",IF($A672=经营数据!$B$3,COUNTIFS($S$2:$S$3000,1,$A$2:$A$3000,$A672,$T$2:$T$3000,"&lt;"&amp;$T672)+1,""))</f>
        <v/>
      </c>
      <c r="V672" t="str">
        <f t="shared" si="160"/>
        <v>基金整体|服务量</v>
      </c>
      <c r="W672">
        <f t="shared" si="161"/>
        <v>1</v>
      </c>
      <c r="X672" t="str">
        <f t="shared" si="162"/>
        <v>基金整体|期末实际出租面积</v>
      </c>
      <c r="Y672">
        <f t="shared" si="163"/>
        <v>4</v>
      </c>
      <c r="Z672">
        <f>IF($A672="",0,IF(AND($M672=1,$A672=经营数据!$B$3,$J672=经营数据!$BA$5,OR($I672=经营数据!$BA$4,COUNTIF(经营数据!$AA$9:$AA$38,$I672)&gt;0)),1,0))</f>
        <v>0</v>
      </c>
      <c r="AA672" t="str">
        <f t="shared" si="164"/>
        <v/>
      </c>
      <c r="AB672" t="str">
        <f t="shared" si="165"/>
        <v/>
      </c>
      <c r="AC672">
        <f>IF($A672="",0,IF(COUNTIF($A$2:$A672,$A672)=1,1,0))</f>
        <v>0</v>
      </c>
      <c r="AD672">
        <f t="shared" si="166"/>
        <v>8</v>
      </c>
      <c r="AE672" t="str">
        <f t="shared" si="167"/>
        <v>基金整体|期末实际出租面积（平方米）</v>
      </c>
    </row>
    <row r="673" spans="1:31" x14ac:dyDescent="0.4">
      <c r="A673" t="str">
        <f>IF(原始经营数据!$D674="","",原始经营数据!$D674)</f>
        <v>嘉实物美消费封闭式基础设施证券投资基金</v>
      </c>
      <c r="B673" t="str">
        <f>IF(原始经营数据!$D674="","",T(原始经营数据!$E674))</f>
        <v>基金整体</v>
      </c>
      <c r="C673" t="str">
        <f>IF(原始经营数据!$D674="","",原始经营数据!$F674)</f>
        <v>2024Q2</v>
      </c>
      <c r="D673" t="str">
        <f>IF(原始经营数据!$D674="","",原始经营数据!$H674)</f>
        <v>期末租金收缴率</v>
      </c>
      <c r="E673">
        <f>IF(原始经营数据!$D674="","",原始经营数据!$I674)</f>
        <v>99.9</v>
      </c>
      <c r="F673" t="str">
        <f>IF(原始经营数据!$D674="","",T(原始经营数据!$J674))</f>
        <v>%</v>
      </c>
      <c r="G673" t="str">
        <f>IF(原始经营数据!$D674="","",T(原始经营数据!$K674))</f>
        <v/>
      </c>
      <c r="H673" t="str">
        <f>IF(原始经营数据!$D674="","",原始经营数据!$G674)</f>
        <v>服务效率</v>
      </c>
      <c r="I673" t="str">
        <f>IF($A673="","",IF($B673&lt;&gt;"",$B673,IF(COUNTIFS(原始经营数据!$D$3:$D$3001,$A673,原始经营数据!$E$3:$E$3001,"",原始经营数据!$F$3:$F$3001,$C673,原始经营数据!$H$3:$H$3001,$D673,原始经营数据!$K$3:$K$3001,$G673)&gt;1,"基金整体·来源"&amp;原始经营数据!$A674,"基金整体")))</f>
        <v>基金整体</v>
      </c>
      <c r="J673" t="str">
        <f t="shared" si="153"/>
        <v>季度</v>
      </c>
      <c r="K673" t="str">
        <f t="shared" si="154"/>
        <v>期末租金收缴率（%）</v>
      </c>
      <c r="L673" t="str">
        <f t="shared" si="155"/>
        <v>基金整体|期末租金收缴率（%）|季度</v>
      </c>
      <c r="M673">
        <f>IF($A673="",0,IF(COUNTIF($L$2:$L673,$L673)=1,1,0))</f>
        <v>0</v>
      </c>
      <c r="N673">
        <f t="shared" si="156"/>
        <v>20242</v>
      </c>
      <c r="O673" t="str">
        <f t="shared" si="157"/>
        <v>嘉实物美消费封闭式基础设施证券投资基金|2024Q2|季度</v>
      </c>
      <c r="P673">
        <f>IF($A673="",0,IF(COUNTIF($O$2:$O673,$O673)=1,1,0))</f>
        <v>0</v>
      </c>
      <c r="Q673" t="str">
        <f>IF(AND($P673=1,$A673=经营数据!$B$3,$J673=经营数据!$BA$5),COUNTIFS($P$2:$P$3000,1,$A$2:$A$3000,$A673,$J$2:$J$3000,$J673,$N$2:$N$3000,"&lt;"&amp;$N673)+1,"")</f>
        <v/>
      </c>
      <c r="R673" t="str">
        <f t="shared" si="158"/>
        <v>嘉实物美消费封闭式基础设施证券投资基金|基金整体</v>
      </c>
      <c r="S673">
        <f>IF($A673="",0,IF(COUNTIF($R$2:$R673,$R673)=1,1,0))</f>
        <v>0</v>
      </c>
      <c r="T673">
        <f t="shared" si="159"/>
        <v>664</v>
      </c>
      <c r="U673" t="str">
        <f>IF($A673="","",IF($A673=经营数据!$B$3,COUNTIFS($S$2:$S$3000,1,$A$2:$A$3000,$A673,$T$2:$T$3000,"&lt;"&amp;$T673)+1,""))</f>
        <v/>
      </c>
      <c r="V673" t="str">
        <f t="shared" si="160"/>
        <v>基金整体|服务效率</v>
      </c>
      <c r="W673">
        <f t="shared" si="161"/>
        <v>2</v>
      </c>
      <c r="X673" t="str">
        <f t="shared" si="162"/>
        <v>基金整体|期末租金收缴率</v>
      </c>
      <c r="Y673">
        <f t="shared" si="163"/>
        <v>530</v>
      </c>
      <c r="Z673">
        <f>IF($A673="",0,IF(AND($M673=1,$A673=经营数据!$B$3,$J673=经营数据!$BA$5,OR($I673=经营数据!$BA$4,COUNTIF(经营数据!$AA$9:$AA$38,$I673)&gt;0)),1,0))</f>
        <v>0</v>
      </c>
      <c r="AA673" t="str">
        <f t="shared" si="164"/>
        <v/>
      </c>
      <c r="AB673" t="str">
        <f t="shared" si="165"/>
        <v/>
      </c>
      <c r="AC673">
        <f>IF($A673="",0,IF(COUNTIF($A$2:$A673,$A673)=1,1,0))</f>
        <v>0</v>
      </c>
      <c r="AD673">
        <f t="shared" si="166"/>
        <v>8</v>
      </c>
      <c r="AE673" t="str">
        <f t="shared" si="167"/>
        <v>基金整体|期末租金收缴率（%）</v>
      </c>
    </row>
    <row r="674" spans="1:31" x14ac:dyDescent="0.4">
      <c r="A674" t="str">
        <f>IF(原始经营数据!$D675="","",原始经营数据!$D675)</f>
        <v>嘉实物美消费封闭式基础设施证券投资基金</v>
      </c>
      <c r="B674" t="str">
        <f>IF(原始经营数据!$D675="","",T(原始经营数据!$E675))</f>
        <v>基金整体</v>
      </c>
      <c r="C674" t="str">
        <f>IF(原始经营数据!$D675="","",原始经营数据!$F675)</f>
        <v>2024Q2</v>
      </c>
      <c r="D674" t="str">
        <f>IF(原始经营数据!$D675="","",原始经营数据!$H675)</f>
        <v>期末剩余租期情况</v>
      </c>
      <c r="E674">
        <f>IF(原始经营数据!$D675="","",原始经营数据!$I675)</f>
        <v>7.95</v>
      </c>
      <c r="F674" t="str">
        <f>IF(原始经营数据!$D675="","",T(原始经营数据!$J675))</f>
        <v>年</v>
      </c>
      <c r="G674" t="str">
        <f>IF(原始经营数据!$D675="","",T(原始经营数据!$K675))</f>
        <v/>
      </c>
      <c r="H674" t="str">
        <f>IF(原始经营数据!$D675="","",原始经营数据!$G675)</f>
        <v>服务量</v>
      </c>
      <c r="I674" t="str">
        <f>IF($A674="","",IF($B674&lt;&gt;"",$B674,IF(COUNTIFS(原始经营数据!$D$3:$D$3001,$A674,原始经营数据!$E$3:$E$3001,"",原始经营数据!$F$3:$F$3001,$C674,原始经营数据!$H$3:$H$3001,$D674,原始经营数据!$K$3:$K$3001,$G674)&gt;1,"基金整体·来源"&amp;原始经营数据!$A675,"基金整体")))</f>
        <v>基金整体</v>
      </c>
      <c r="J674" t="str">
        <f t="shared" si="153"/>
        <v>季度</v>
      </c>
      <c r="K674" t="str">
        <f t="shared" si="154"/>
        <v>期末剩余租期情况（年）</v>
      </c>
      <c r="L674" t="str">
        <f t="shared" si="155"/>
        <v>基金整体|期末剩余租期情况（年）|季度</v>
      </c>
      <c r="M674">
        <f>IF($A674="",0,IF(COUNTIF($L$2:$L674,$L674)=1,1,0))</f>
        <v>0</v>
      </c>
      <c r="N674">
        <f t="shared" si="156"/>
        <v>20242</v>
      </c>
      <c r="O674" t="str">
        <f t="shared" si="157"/>
        <v>嘉实物美消费封闭式基础设施证券投资基金|2024Q2|季度</v>
      </c>
      <c r="P674">
        <f>IF($A674="",0,IF(COUNTIF($O$2:$O674,$O674)=1,1,0))</f>
        <v>0</v>
      </c>
      <c r="Q674" t="str">
        <f>IF(AND($P674=1,$A674=经营数据!$B$3,$J674=经营数据!$BA$5),COUNTIFS($P$2:$P$3000,1,$A$2:$A$3000,$A674,$J$2:$J$3000,$J674,$N$2:$N$3000,"&lt;"&amp;$N674)+1,"")</f>
        <v/>
      </c>
      <c r="R674" t="str">
        <f t="shared" si="158"/>
        <v>嘉实物美消费封闭式基础设施证券投资基金|基金整体</v>
      </c>
      <c r="S674">
        <f>IF($A674="",0,IF(COUNTIF($R$2:$R674,$R674)=1,1,0))</f>
        <v>0</v>
      </c>
      <c r="T674">
        <f t="shared" si="159"/>
        <v>664</v>
      </c>
      <c r="U674" t="str">
        <f>IF($A674="","",IF($A674=经营数据!$B$3,COUNTIFS($S$2:$S$3000,1,$A$2:$A$3000,$A674,$T$2:$T$3000,"&lt;"&amp;$T674)+1,""))</f>
        <v/>
      </c>
      <c r="V674" t="str">
        <f t="shared" si="160"/>
        <v>基金整体|服务量</v>
      </c>
      <c r="W674">
        <f t="shared" si="161"/>
        <v>1</v>
      </c>
      <c r="X674" t="str">
        <f t="shared" si="162"/>
        <v>基金整体|期末剩余租期情况</v>
      </c>
      <c r="Y674">
        <f t="shared" si="163"/>
        <v>665</v>
      </c>
      <c r="Z674">
        <f>IF($A674="",0,IF(AND($M674=1,$A674=经营数据!$B$3,$J674=经营数据!$BA$5,OR($I674=经营数据!$BA$4,COUNTIF(经营数据!$AA$9:$AA$38,$I674)&gt;0)),1,0))</f>
        <v>0</v>
      </c>
      <c r="AA674" t="str">
        <f t="shared" si="164"/>
        <v/>
      </c>
      <c r="AB674" t="str">
        <f t="shared" si="165"/>
        <v/>
      </c>
      <c r="AC674">
        <f>IF($A674="",0,IF(COUNTIF($A$2:$A674,$A674)=1,1,0))</f>
        <v>0</v>
      </c>
      <c r="AD674">
        <f t="shared" si="166"/>
        <v>8</v>
      </c>
      <c r="AE674" t="str">
        <f t="shared" si="167"/>
        <v>基金整体|期末剩余租期情况（年）</v>
      </c>
    </row>
    <row r="675" spans="1:31" x14ac:dyDescent="0.4">
      <c r="A675" t="str">
        <f>IF(原始经营数据!$D676="","",原始经营数据!$D676)</f>
        <v>嘉实物美消费封闭式基础设施证券投资基金</v>
      </c>
      <c r="B675" t="str">
        <f>IF(原始经营数据!$D676="","",T(原始经营数据!$E676))</f>
        <v>基金整体</v>
      </c>
      <c r="C675" t="str">
        <f>IF(原始经营数据!$D676="","",原始经营数据!$F676)</f>
        <v>2024Q2</v>
      </c>
      <c r="D675" t="str">
        <f>IF(原始经营数据!$D676="","",原始经营数据!$H676)</f>
        <v>期内租金单价水平</v>
      </c>
      <c r="E675">
        <f>IF(原始经营数据!$D676="","",原始经营数据!$I676)</f>
        <v>3.88</v>
      </c>
      <c r="F675" t="str">
        <f>IF(原始经营数据!$D676="","",T(原始经营数据!$J676))</f>
        <v>元/平方米/天</v>
      </c>
      <c r="G675" t="str">
        <f>IF(原始经营数据!$D676="","",T(原始经营数据!$K676))</f>
        <v/>
      </c>
      <c r="H675" t="str">
        <f>IF(原始经营数据!$D676="","",原始经营数据!$G676)</f>
        <v>服务价格</v>
      </c>
      <c r="I675" t="str">
        <f>IF($A675="","",IF($B675&lt;&gt;"",$B675,IF(COUNTIFS(原始经营数据!$D$3:$D$3001,$A675,原始经营数据!$E$3:$E$3001,"",原始经营数据!$F$3:$F$3001,$C675,原始经营数据!$H$3:$H$3001,$D675,原始经营数据!$K$3:$K$3001,$G675)&gt;1,"基金整体·来源"&amp;原始经营数据!$A676,"基金整体")))</f>
        <v>基金整体</v>
      </c>
      <c r="J675" t="str">
        <f t="shared" si="153"/>
        <v>季度</v>
      </c>
      <c r="K675" t="str">
        <f t="shared" si="154"/>
        <v>期内租金单价水平（元/平方米/天）</v>
      </c>
      <c r="L675" t="str">
        <f t="shared" si="155"/>
        <v>基金整体|期内租金单价水平（元/平方米/天）|季度</v>
      </c>
      <c r="M675">
        <f>IF($A675="",0,IF(COUNTIF($L$2:$L675,$L675)=1,1,0))</f>
        <v>0</v>
      </c>
      <c r="N675">
        <f t="shared" si="156"/>
        <v>20242</v>
      </c>
      <c r="O675" t="str">
        <f t="shared" si="157"/>
        <v>嘉实物美消费封闭式基础设施证券投资基金|2024Q2|季度</v>
      </c>
      <c r="P675">
        <f>IF($A675="",0,IF(COUNTIF($O$2:$O675,$O675)=1,1,0))</f>
        <v>0</v>
      </c>
      <c r="Q675" t="str">
        <f>IF(AND($P675=1,$A675=经营数据!$B$3,$J675=经营数据!$BA$5),COUNTIFS($P$2:$P$3000,1,$A$2:$A$3000,$A675,$J$2:$J$3000,$J675,$N$2:$N$3000,"&lt;"&amp;$N675)+1,"")</f>
        <v/>
      </c>
      <c r="R675" t="str">
        <f t="shared" si="158"/>
        <v>嘉实物美消费封闭式基础设施证券投资基金|基金整体</v>
      </c>
      <c r="S675">
        <f>IF($A675="",0,IF(COUNTIF($R$2:$R675,$R675)=1,1,0))</f>
        <v>0</v>
      </c>
      <c r="T675">
        <f t="shared" si="159"/>
        <v>664</v>
      </c>
      <c r="U675" t="str">
        <f>IF($A675="","",IF($A675=经营数据!$B$3,COUNTIFS($S$2:$S$3000,1,$A$2:$A$3000,$A675,$T$2:$T$3000,"&lt;"&amp;$T675)+1,""))</f>
        <v/>
      </c>
      <c r="V675" t="str">
        <f t="shared" si="160"/>
        <v>基金整体|服务价格</v>
      </c>
      <c r="W675">
        <f t="shared" si="161"/>
        <v>10</v>
      </c>
      <c r="X675" t="str">
        <f t="shared" si="162"/>
        <v>基金整体|期内租金单价水平</v>
      </c>
      <c r="Y675">
        <f t="shared" si="163"/>
        <v>529</v>
      </c>
      <c r="Z675">
        <f>IF($A675="",0,IF(AND($M675=1,$A675=经营数据!$B$3,$J675=经营数据!$BA$5,OR($I675=经营数据!$BA$4,COUNTIF(经营数据!$AA$9:$AA$38,$I675)&gt;0)),1,0))</f>
        <v>0</v>
      </c>
      <c r="AA675" t="str">
        <f t="shared" si="164"/>
        <v/>
      </c>
      <c r="AB675" t="str">
        <f t="shared" si="165"/>
        <v/>
      </c>
      <c r="AC675">
        <f>IF($A675="",0,IF(COUNTIF($A$2:$A675,$A675)=1,1,0))</f>
        <v>0</v>
      </c>
      <c r="AD675">
        <f t="shared" si="166"/>
        <v>8</v>
      </c>
      <c r="AE675" t="str">
        <f t="shared" si="167"/>
        <v>基金整体|期内租金单价水平（元/平方米/天）</v>
      </c>
    </row>
    <row r="676" spans="1:31" x14ac:dyDescent="0.4">
      <c r="A676" t="str">
        <f>IF(原始经营数据!$D677="","",原始经营数据!$D677)</f>
        <v>嘉实物美消费封闭式基础设施证券投资基金</v>
      </c>
      <c r="B676" t="str">
        <f>IF(原始经营数据!$D677="","",T(原始经营数据!$E677))</f>
        <v>基金整体</v>
      </c>
      <c r="C676" t="str">
        <f>IF(原始经营数据!$D677="","",原始经营数据!$F677)</f>
        <v>2024Q2</v>
      </c>
      <c r="D676" t="str">
        <f>IF(原始经营数据!$D677="","",原始经营数据!$H677)</f>
        <v>期末出租率</v>
      </c>
      <c r="E676">
        <f>IF(原始经营数据!$D677="","",原始经营数据!$I677)</f>
        <v>98.13</v>
      </c>
      <c r="F676" t="str">
        <f>IF(原始经营数据!$D677="","",T(原始经营数据!$J677))</f>
        <v>%</v>
      </c>
      <c r="G676" t="str">
        <f>IF(原始经营数据!$D677="","",T(原始经营数据!$K677))</f>
        <v/>
      </c>
      <c r="H676" t="str">
        <f>IF(原始经营数据!$D677="","",原始经营数据!$G677)</f>
        <v>服务效率</v>
      </c>
      <c r="I676" t="str">
        <f>IF($A676="","",IF($B676&lt;&gt;"",$B676,IF(COUNTIFS(原始经营数据!$D$3:$D$3001,$A676,原始经营数据!$E$3:$E$3001,"",原始经营数据!$F$3:$F$3001,$C676,原始经营数据!$H$3:$H$3001,$D676,原始经营数据!$K$3:$K$3001,$G676)&gt;1,"基金整体·来源"&amp;原始经营数据!$A677,"基金整体")))</f>
        <v>基金整体</v>
      </c>
      <c r="J676" t="str">
        <f t="shared" si="153"/>
        <v>季度</v>
      </c>
      <c r="K676" t="str">
        <f t="shared" si="154"/>
        <v>期末出租率（%）</v>
      </c>
      <c r="L676" t="str">
        <f t="shared" si="155"/>
        <v>基金整体|期末出租率（%）|季度</v>
      </c>
      <c r="M676">
        <f>IF($A676="",0,IF(COUNTIF($L$2:$L676,$L676)=1,1,0))</f>
        <v>0</v>
      </c>
      <c r="N676">
        <f t="shared" si="156"/>
        <v>20242</v>
      </c>
      <c r="O676" t="str">
        <f t="shared" si="157"/>
        <v>嘉实物美消费封闭式基础设施证券投资基金|2024Q2|季度</v>
      </c>
      <c r="P676">
        <f>IF($A676="",0,IF(COUNTIF($O$2:$O676,$O676)=1,1,0))</f>
        <v>0</v>
      </c>
      <c r="Q676" t="str">
        <f>IF(AND($P676=1,$A676=经营数据!$B$3,$J676=经营数据!$BA$5),COUNTIFS($P$2:$P$3000,1,$A$2:$A$3000,$A676,$J$2:$J$3000,$J676,$N$2:$N$3000,"&lt;"&amp;$N676)+1,"")</f>
        <v/>
      </c>
      <c r="R676" t="str">
        <f t="shared" si="158"/>
        <v>嘉实物美消费封闭式基础设施证券投资基金|基金整体</v>
      </c>
      <c r="S676">
        <f>IF($A676="",0,IF(COUNTIF($R$2:$R676,$R676)=1,1,0))</f>
        <v>0</v>
      </c>
      <c r="T676">
        <f t="shared" si="159"/>
        <v>664</v>
      </c>
      <c r="U676" t="str">
        <f>IF($A676="","",IF($A676=经营数据!$B$3,COUNTIFS($S$2:$S$3000,1,$A$2:$A$3000,$A676,$T$2:$T$3000,"&lt;"&amp;$T676)+1,""))</f>
        <v/>
      </c>
      <c r="V676" t="str">
        <f t="shared" si="160"/>
        <v>基金整体|服务效率</v>
      </c>
      <c r="W676">
        <f t="shared" si="161"/>
        <v>2</v>
      </c>
      <c r="X676" t="str">
        <f t="shared" si="162"/>
        <v>基金整体|期末出租率</v>
      </c>
      <c r="Y676">
        <f t="shared" si="163"/>
        <v>5</v>
      </c>
      <c r="Z676">
        <f>IF($A676="",0,IF(AND($M676=1,$A676=经营数据!$B$3,$J676=经营数据!$BA$5,OR($I676=经营数据!$BA$4,COUNTIF(经营数据!$AA$9:$AA$38,$I676)&gt;0)),1,0))</f>
        <v>0</v>
      </c>
      <c r="AA676" t="str">
        <f t="shared" si="164"/>
        <v/>
      </c>
      <c r="AB676" t="str">
        <f t="shared" si="165"/>
        <v/>
      </c>
      <c r="AC676">
        <f>IF($A676="",0,IF(COUNTIF($A$2:$A676,$A676)=1,1,0))</f>
        <v>0</v>
      </c>
      <c r="AD676">
        <f t="shared" si="166"/>
        <v>8</v>
      </c>
      <c r="AE676" t="str">
        <f t="shared" si="167"/>
        <v>基金整体|期末出租率（%）</v>
      </c>
    </row>
    <row r="677" spans="1:31" x14ac:dyDescent="0.4">
      <c r="A677" t="str">
        <f>IF(原始经营数据!$D678="","",原始经营数据!$D678)</f>
        <v>嘉实物美消费封闭式基础设施证券投资基金</v>
      </c>
      <c r="B677" t="str">
        <f>IF(原始经营数据!$D678="","",T(原始经营数据!$E678))</f>
        <v>基金整体</v>
      </c>
      <c r="C677" t="str">
        <f>IF(原始经营数据!$D678="","",原始经营数据!$F678)</f>
        <v>2024Q3</v>
      </c>
      <c r="D677" t="str">
        <f>IF(原始经营数据!$D678="","",原始经营数据!$H678)</f>
        <v>期内租金单价水平</v>
      </c>
      <c r="E677">
        <f>IF(原始经营数据!$D678="","",原始经营数据!$I678)</f>
        <v>4.09</v>
      </c>
      <c r="F677" t="str">
        <f>IF(原始经营数据!$D678="","",T(原始经营数据!$J678))</f>
        <v>元/平方米/天</v>
      </c>
      <c r="G677" t="str">
        <f>IF(原始经营数据!$D678="","",T(原始经营数据!$K678))</f>
        <v/>
      </c>
      <c r="H677" t="str">
        <f>IF(原始经营数据!$D678="","",原始经营数据!$G678)</f>
        <v>服务价格</v>
      </c>
      <c r="I677" t="str">
        <f>IF($A677="","",IF($B677&lt;&gt;"",$B677,IF(COUNTIFS(原始经营数据!$D$3:$D$3001,$A677,原始经营数据!$E$3:$E$3001,"",原始经营数据!$F$3:$F$3001,$C677,原始经营数据!$H$3:$H$3001,$D677,原始经营数据!$K$3:$K$3001,$G677)&gt;1,"基金整体·来源"&amp;原始经营数据!$A678,"基金整体")))</f>
        <v>基金整体</v>
      </c>
      <c r="J677" t="str">
        <f t="shared" si="153"/>
        <v>季度</v>
      </c>
      <c r="K677" t="str">
        <f t="shared" si="154"/>
        <v>期内租金单价水平（元/平方米/天）</v>
      </c>
      <c r="L677" t="str">
        <f t="shared" si="155"/>
        <v>基金整体|期内租金单价水平（元/平方米/天）|季度</v>
      </c>
      <c r="M677">
        <f>IF($A677="",0,IF(COUNTIF($L$2:$L677,$L677)=1,1,0))</f>
        <v>0</v>
      </c>
      <c r="N677">
        <f t="shared" si="156"/>
        <v>20243</v>
      </c>
      <c r="O677" t="str">
        <f t="shared" si="157"/>
        <v>嘉实物美消费封闭式基础设施证券投资基金|2024Q3|季度</v>
      </c>
      <c r="P677">
        <f>IF($A677="",0,IF(COUNTIF($O$2:$O677,$O677)=1,1,0))</f>
        <v>1</v>
      </c>
      <c r="Q677" t="str">
        <f>IF(AND($P677=1,$A677=经营数据!$B$3,$J677=经营数据!$BA$5),COUNTIFS($P$2:$P$3000,1,$A$2:$A$3000,$A677,$J$2:$J$3000,$J677,$N$2:$N$3000,"&lt;"&amp;$N677)+1,"")</f>
        <v/>
      </c>
      <c r="R677" t="str">
        <f t="shared" si="158"/>
        <v>嘉实物美消费封闭式基础设施证券投资基金|基金整体</v>
      </c>
      <c r="S677">
        <f>IF($A677="",0,IF(COUNTIF($R$2:$R677,$R677)=1,1,0))</f>
        <v>0</v>
      </c>
      <c r="T677">
        <f t="shared" si="159"/>
        <v>664</v>
      </c>
      <c r="U677" t="str">
        <f>IF($A677="","",IF($A677=经营数据!$B$3,COUNTIFS($S$2:$S$3000,1,$A$2:$A$3000,$A677,$T$2:$T$3000,"&lt;"&amp;$T677)+1,""))</f>
        <v/>
      </c>
      <c r="V677" t="str">
        <f t="shared" si="160"/>
        <v>基金整体|服务价格</v>
      </c>
      <c r="W677">
        <f t="shared" si="161"/>
        <v>10</v>
      </c>
      <c r="X677" t="str">
        <f t="shared" si="162"/>
        <v>基金整体|期内租金单价水平</v>
      </c>
      <c r="Y677">
        <f t="shared" si="163"/>
        <v>529</v>
      </c>
      <c r="Z677">
        <f>IF($A677="",0,IF(AND($M677=1,$A677=经营数据!$B$3,$J677=经营数据!$BA$5,OR($I677=经营数据!$BA$4,COUNTIF(经营数据!$AA$9:$AA$38,$I677)&gt;0)),1,0))</f>
        <v>0</v>
      </c>
      <c r="AA677" t="str">
        <f t="shared" si="164"/>
        <v/>
      </c>
      <c r="AB677" t="str">
        <f t="shared" si="165"/>
        <v/>
      </c>
      <c r="AC677">
        <f>IF($A677="",0,IF(COUNTIF($A$2:$A677,$A677)=1,1,0))</f>
        <v>0</v>
      </c>
      <c r="AD677">
        <f t="shared" si="166"/>
        <v>8</v>
      </c>
      <c r="AE677" t="str">
        <f t="shared" si="167"/>
        <v>基金整体|期内租金单价水平（元/平方米/天）</v>
      </c>
    </row>
    <row r="678" spans="1:31" x14ac:dyDescent="0.4">
      <c r="A678" t="str">
        <f>IF(原始经营数据!$D679="","",原始经营数据!$D679)</f>
        <v>嘉实物美消费封闭式基础设施证券投资基金</v>
      </c>
      <c r="B678" t="str">
        <f>IF(原始经营数据!$D679="","",T(原始经营数据!$E679))</f>
        <v>基金整体</v>
      </c>
      <c r="C678" t="str">
        <f>IF(原始经营数据!$D679="","",原始经营数据!$F679)</f>
        <v>2024Q3</v>
      </c>
      <c r="D678" t="str">
        <f>IF(原始经营数据!$D679="","",原始经营数据!$H679)</f>
        <v>期末剩余租期情况</v>
      </c>
      <c r="E678">
        <f>IF(原始经营数据!$D679="","",原始经营数据!$I679)</f>
        <v>7.72</v>
      </c>
      <c r="F678" t="str">
        <f>IF(原始经营数据!$D679="","",T(原始经营数据!$J679))</f>
        <v>年</v>
      </c>
      <c r="G678" t="str">
        <f>IF(原始经营数据!$D679="","",T(原始经营数据!$K679))</f>
        <v/>
      </c>
      <c r="H678" t="str">
        <f>IF(原始经营数据!$D679="","",原始经营数据!$G679)</f>
        <v>服务量</v>
      </c>
      <c r="I678" t="str">
        <f>IF($A678="","",IF($B678&lt;&gt;"",$B678,IF(COUNTIFS(原始经营数据!$D$3:$D$3001,$A678,原始经营数据!$E$3:$E$3001,"",原始经营数据!$F$3:$F$3001,$C678,原始经营数据!$H$3:$H$3001,$D678,原始经营数据!$K$3:$K$3001,$G678)&gt;1,"基金整体·来源"&amp;原始经营数据!$A679,"基金整体")))</f>
        <v>基金整体</v>
      </c>
      <c r="J678" t="str">
        <f t="shared" si="153"/>
        <v>季度</v>
      </c>
      <c r="K678" t="str">
        <f t="shared" si="154"/>
        <v>期末剩余租期情况（年）</v>
      </c>
      <c r="L678" t="str">
        <f t="shared" si="155"/>
        <v>基金整体|期末剩余租期情况（年）|季度</v>
      </c>
      <c r="M678">
        <f>IF($A678="",0,IF(COUNTIF($L$2:$L678,$L678)=1,1,0))</f>
        <v>0</v>
      </c>
      <c r="N678">
        <f t="shared" si="156"/>
        <v>20243</v>
      </c>
      <c r="O678" t="str">
        <f t="shared" si="157"/>
        <v>嘉实物美消费封闭式基础设施证券投资基金|2024Q3|季度</v>
      </c>
      <c r="P678">
        <f>IF($A678="",0,IF(COUNTIF($O$2:$O678,$O678)=1,1,0))</f>
        <v>0</v>
      </c>
      <c r="Q678" t="str">
        <f>IF(AND($P678=1,$A678=经营数据!$B$3,$J678=经营数据!$BA$5),COUNTIFS($P$2:$P$3000,1,$A$2:$A$3000,$A678,$J$2:$J$3000,$J678,$N$2:$N$3000,"&lt;"&amp;$N678)+1,"")</f>
        <v/>
      </c>
      <c r="R678" t="str">
        <f t="shared" si="158"/>
        <v>嘉实物美消费封闭式基础设施证券投资基金|基金整体</v>
      </c>
      <c r="S678">
        <f>IF($A678="",0,IF(COUNTIF($R$2:$R678,$R678)=1,1,0))</f>
        <v>0</v>
      </c>
      <c r="T678">
        <f t="shared" si="159"/>
        <v>664</v>
      </c>
      <c r="U678" t="str">
        <f>IF($A678="","",IF($A678=经营数据!$B$3,COUNTIFS($S$2:$S$3000,1,$A$2:$A$3000,$A678,$T$2:$T$3000,"&lt;"&amp;$T678)+1,""))</f>
        <v/>
      </c>
      <c r="V678" t="str">
        <f t="shared" si="160"/>
        <v>基金整体|服务量</v>
      </c>
      <c r="W678">
        <f t="shared" si="161"/>
        <v>1</v>
      </c>
      <c r="X678" t="str">
        <f t="shared" si="162"/>
        <v>基金整体|期末剩余租期情况</v>
      </c>
      <c r="Y678">
        <f t="shared" si="163"/>
        <v>665</v>
      </c>
      <c r="Z678">
        <f>IF($A678="",0,IF(AND($M678=1,$A678=经营数据!$B$3,$J678=经营数据!$BA$5,OR($I678=经营数据!$BA$4,COUNTIF(经营数据!$AA$9:$AA$38,$I678)&gt;0)),1,0))</f>
        <v>0</v>
      </c>
      <c r="AA678" t="str">
        <f t="shared" si="164"/>
        <v/>
      </c>
      <c r="AB678" t="str">
        <f t="shared" si="165"/>
        <v/>
      </c>
      <c r="AC678">
        <f>IF($A678="",0,IF(COUNTIF($A$2:$A678,$A678)=1,1,0))</f>
        <v>0</v>
      </c>
      <c r="AD678">
        <f t="shared" si="166"/>
        <v>8</v>
      </c>
      <c r="AE678" t="str">
        <f t="shared" si="167"/>
        <v>基金整体|期末剩余租期情况（年）</v>
      </c>
    </row>
    <row r="679" spans="1:31" x14ac:dyDescent="0.4">
      <c r="A679" t="str">
        <f>IF(原始经营数据!$D680="","",原始经营数据!$D680)</f>
        <v>嘉实物美消费封闭式基础设施证券投资基金</v>
      </c>
      <c r="B679" t="str">
        <f>IF(原始经营数据!$D680="","",T(原始经营数据!$E680))</f>
        <v>基金整体</v>
      </c>
      <c r="C679" t="str">
        <f>IF(原始经营数据!$D680="","",原始经营数据!$F680)</f>
        <v>2024Q3</v>
      </c>
      <c r="D679" t="str">
        <f>IF(原始经营数据!$D680="","",原始经营数据!$H680)</f>
        <v>期末租金收缴率</v>
      </c>
      <c r="E679">
        <f>IF(原始经营数据!$D680="","",原始经营数据!$I680)</f>
        <v>98.06</v>
      </c>
      <c r="F679" t="str">
        <f>IF(原始经营数据!$D680="","",T(原始经营数据!$J680))</f>
        <v>%</v>
      </c>
      <c r="G679" t="str">
        <f>IF(原始经营数据!$D680="","",T(原始经营数据!$K680))</f>
        <v/>
      </c>
      <c r="H679" t="str">
        <f>IF(原始经营数据!$D680="","",原始经营数据!$G680)</f>
        <v>服务效率</v>
      </c>
      <c r="I679" t="str">
        <f>IF($A679="","",IF($B679&lt;&gt;"",$B679,IF(COUNTIFS(原始经营数据!$D$3:$D$3001,$A679,原始经营数据!$E$3:$E$3001,"",原始经营数据!$F$3:$F$3001,$C679,原始经营数据!$H$3:$H$3001,$D679,原始经营数据!$K$3:$K$3001,$G679)&gt;1,"基金整体·来源"&amp;原始经营数据!$A680,"基金整体")))</f>
        <v>基金整体</v>
      </c>
      <c r="J679" t="str">
        <f t="shared" si="153"/>
        <v>季度</v>
      </c>
      <c r="K679" t="str">
        <f t="shared" si="154"/>
        <v>期末租金收缴率（%）</v>
      </c>
      <c r="L679" t="str">
        <f t="shared" si="155"/>
        <v>基金整体|期末租金收缴率（%）|季度</v>
      </c>
      <c r="M679">
        <f>IF($A679="",0,IF(COUNTIF($L$2:$L679,$L679)=1,1,0))</f>
        <v>0</v>
      </c>
      <c r="N679">
        <f t="shared" si="156"/>
        <v>20243</v>
      </c>
      <c r="O679" t="str">
        <f t="shared" si="157"/>
        <v>嘉实物美消费封闭式基础设施证券投资基金|2024Q3|季度</v>
      </c>
      <c r="P679">
        <f>IF($A679="",0,IF(COUNTIF($O$2:$O679,$O679)=1,1,0))</f>
        <v>0</v>
      </c>
      <c r="Q679" t="str">
        <f>IF(AND($P679=1,$A679=经营数据!$B$3,$J679=经营数据!$BA$5),COUNTIFS($P$2:$P$3000,1,$A$2:$A$3000,$A679,$J$2:$J$3000,$J679,$N$2:$N$3000,"&lt;"&amp;$N679)+1,"")</f>
        <v/>
      </c>
      <c r="R679" t="str">
        <f t="shared" si="158"/>
        <v>嘉实物美消费封闭式基础设施证券投资基金|基金整体</v>
      </c>
      <c r="S679">
        <f>IF($A679="",0,IF(COUNTIF($R$2:$R679,$R679)=1,1,0))</f>
        <v>0</v>
      </c>
      <c r="T679">
        <f t="shared" si="159"/>
        <v>664</v>
      </c>
      <c r="U679" t="str">
        <f>IF($A679="","",IF($A679=经营数据!$B$3,COUNTIFS($S$2:$S$3000,1,$A$2:$A$3000,$A679,$T$2:$T$3000,"&lt;"&amp;$T679)+1,""))</f>
        <v/>
      </c>
      <c r="V679" t="str">
        <f t="shared" si="160"/>
        <v>基金整体|服务效率</v>
      </c>
      <c r="W679">
        <f t="shared" si="161"/>
        <v>2</v>
      </c>
      <c r="X679" t="str">
        <f t="shared" si="162"/>
        <v>基金整体|期末租金收缴率</v>
      </c>
      <c r="Y679">
        <f t="shared" si="163"/>
        <v>530</v>
      </c>
      <c r="Z679">
        <f>IF($A679="",0,IF(AND($M679=1,$A679=经营数据!$B$3,$J679=经营数据!$BA$5,OR($I679=经营数据!$BA$4,COUNTIF(经营数据!$AA$9:$AA$38,$I679)&gt;0)),1,0))</f>
        <v>0</v>
      </c>
      <c r="AA679" t="str">
        <f t="shared" si="164"/>
        <v/>
      </c>
      <c r="AB679" t="str">
        <f t="shared" si="165"/>
        <v/>
      </c>
      <c r="AC679">
        <f>IF($A679="",0,IF(COUNTIF($A$2:$A679,$A679)=1,1,0))</f>
        <v>0</v>
      </c>
      <c r="AD679">
        <f t="shared" si="166"/>
        <v>8</v>
      </c>
      <c r="AE679" t="str">
        <f t="shared" si="167"/>
        <v>基金整体|期末租金收缴率（%）</v>
      </c>
    </row>
    <row r="680" spans="1:31" x14ac:dyDescent="0.4">
      <c r="A680" t="str">
        <f>IF(原始经营数据!$D681="","",原始经营数据!$D681)</f>
        <v>嘉实物美消费封闭式基础设施证券投资基金</v>
      </c>
      <c r="B680" t="str">
        <f>IF(原始经营数据!$D681="","",T(原始经营数据!$E681))</f>
        <v>基金整体</v>
      </c>
      <c r="C680" t="str">
        <f>IF(原始经营数据!$D681="","",原始经营数据!$F681)</f>
        <v>2024Q3</v>
      </c>
      <c r="D680" t="str">
        <f>IF(原始经营数据!$D681="","",原始经营数据!$H681)</f>
        <v>期末出租率</v>
      </c>
      <c r="E680">
        <f>IF(原始经营数据!$D681="","",原始经营数据!$I681)</f>
        <v>96.69</v>
      </c>
      <c r="F680" t="str">
        <f>IF(原始经营数据!$D681="","",T(原始经营数据!$J681))</f>
        <v>%</v>
      </c>
      <c r="G680" t="str">
        <f>IF(原始经营数据!$D681="","",T(原始经营数据!$K681))</f>
        <v/>
      </c>
      <c r="H680" t="str">
        <f>IF(原始经营数据!$D681="","",原始经营数据!$G681)</f>
        <v>服务效率</v>
      </c>
      <c r="I680" t="str">
        <f>IF($A680="","",IF($B680&lt;&gt;"",$B680,IF(COUNTIFS(原始经营数据!$D$3:$D$3001,$A680,原始经营数据!$E$3:$E$3001,"",原始经营数据!$F$3:$F$3001,$C680,原始经营数据!$H$3:$H$3001,$D680,原始经营数据!$K$3:$K$3001,$G680)&gt;1,"基金整体·来源"&amp;原始经营数据!$A681,"基金整体")))</f>
        <v>基金整体</v>
      </c>
      <c r="J680" t="str">
        <f t="shared" si="153"/>
        <v>季度</v>
      </c>
      <c r="K680" t="str">
        <f t="shared" si="154"/>
        <v>期末出租率（%）</v>
      </c>
      <c r="L680" t="str">
        <f t="shared" si="155"/>
        <v>基金整体|期末出租率（%）|季度</v>
      </c>
      <c r="M680">
        <f>IF($A680="",0,IF(COUNTIF($L$2:$L680,$L680)=1,1,0))</f>
        <v>0</v>
      </c>
      <c r="N680">
        <f t="shared" si="156"/>
        <v>20243</v>
      </c>
      <c r="O680" t="str">
        <f t="shared" si="157"/>
        <v>嘉实物美消费封闭式基础设施证券投资基金|2024Q3|季度</v>
      </c>
      <c r="P680">
        <f>IF($A680="",0,IF(COUNTIF($O$2:$O680,$O680)=1,1,0))</f>
        <v>0</v>
      </c>
      <c r="Q680" t="str">
        <f>IF(AND($P680=1,$A680=经营数据!$B$3,$J680=经营数据!$BA$5),COUNTIFS($P$2:$P$3000,1,$A$2:$A$3000,$A680,$J$2:$J$3000,$J680,$N$2:$N$3000,"&lt;"&amp;$N680)+1,"")</f>
        <v/>
      </c>
      <c r="R680" t="str">
        <f t="shared" si="158"/>
        <v>嘉实物美消费封闭式基础设施证券投资基金|基金整体</v>
      </c>
      <c r="S680">
        <f>IF($A680="",0,IF(COUNTIF($R$2:$R680,$R680)=1,1,0))</f>
        <v>0</v>
      </c>
      <c r="T680">
        <f t="shared" si="159"/>
        <v>664</v>
      </c>
      <c r="U680" t="str">
        <f>IF($A680="","",IF($A680=经营数据!$B$3,COUNTIFS($S$2:$S$3000,1,$A$2:$A$3000,$A680,$T$2:$T$3000,"&lt;"&amp;$T680)+1,""))</f>
        <v/>
      </c>
      <c r="V680" t="str">
        <f t="shared" si="160"/>
        <v>基金整体|服务效率</v>
      </c>
      <c r="W680">
        <f t="shared" si="161"/>
        <v>2</v>
      </c>
      <c r="X680" t="str">
        <f t="shared" si="162"/>
        <v>基金整体|期末出租率</v>
      </c>
      <c r="Y680">
        <f t="shared" si="163"/>
        <v>5</v>
      </c>
      <c r="Z680">
        <f>IF($A680="",0,IF(AND($M680=1,$A680=经营数据!$B$3,$J680=经营数据!$BA$5,OR($I680=经营数据!$BA$4,COUNTIF(经营数据!$AA$9:$AA$38,$I680)&gt;0)),1,0))</f>
        <v>0</v>
      </c>
      <c r="AA680" t="str">
        <f t="shared" si="164"/>
        <v/>
      </c>
      <c r="AB680" t="str">
        <f t="shared" si="165"/>
        <v/>
      </c>
      <c r="AC680">
        <f>IF($A680="",0,IF(COUNTIF($A$2:$A680,$A680)=1,1,0))</f>
        <v>0</v>
      </c>
      <c r="AD680">
        <f t="shared" si="166"/>
        <v>8</v>
      </c>
      <c r="AE680" t="str">
        <f t="shared" si="167"/>
        <v>基金整体|期末出租率（%）</v>
      </c>
    </row>
    <row r="681" spans="1:31" x14ac:dyDescent="0.4">
      <c r="A681" t="str">
        <f>IF(原始经营数据!$D682="","",原始经营数据!$D682)</f>
        <v>嘉实物美消费封闭式基础设施证券投资基金</v>
      </c>
      <c r="B681" t="str">
        <f>IF(原始经营数据!$D682="","",T(原始经营数据!$E682))</f>
        <v>基金整体</v>
      </c>
      <c r="C681" t="str">
        <f>IF(原始经营数据!$D682="","",原始经营数据!$F682)</f>
        <v>2024Q3</v>
      </c>
      <c r="D681" t="str">
        <f>IF(原始经营数据!$D682="","",原始经营数据!$H682)</f>
        <v>期末实际出租面积</v>
      </c>
      <c r="E681">
        <f>IF(原始经营数据!$D682="","",原始经营数据!$I682)</f>
        <v>75312.23</v>
      </c>
      <c r="F681" t="str">
        <f>IF(原始经营数据!$D682="","",T(原始经营数据!$J682))</f>
        <v>平方米</v>
      </c>
      <c r="G681" t="str">
        <f>IF(原始经营数据!$D682="","",T(原始经营数据!$K682))</f>
        <v/>
      </c>
      <c r="H681" t="str">
        <f>IF(原始经营数据!$D682="","",原始经营数据!$G682)</f>
        <v>服务量</v>
      </c>
      <c r="I681" t="str">
        <f>IF($A681="","",IF($B681&lt;&gt;"",$B681,IF(COUNTIFS(原始经营数据!$D$3:$D$3001,$A681,原始经营数据!$E$3:$E$3001,"",原始经营数据!$F$3:$F$3001,$C681,原始经营数据!$H$3:$H$3001,$D681,原始经营数据!$K$3:$K$3001,$G681)&gt;1,"基金整体·来源"&amp;原始经营数据!$A682,"基金整体")))</f>
        <v>基金整体</v>
      </c>
      <c r="J681" t="str">
        <f t="shared" si="153"/>
        <v>季度</v>
      </c>
      <c r="K681" t="str">
        <f t="shared" si="154"/>
        <v>期末实际出租面积（平方米）</v>
      </c>
      <c r="L681" t="str">
        <f t="shared" si="155"/>
        <v>基金整体|期末实际出租面积（平方米）|季度</v>
      </c>
      <c r="M681">
        <f>IF($A681="",0,IF(COUNTIF($L$2:$L681,$L681)=1,1,0))</f>
        <v>0</v>
      </c>
      <c r="N681">
        <f t="shared" si="156"/>
        <v>20243</v>
      </c>
      <c r="O681" t="str">
        <f t="shared" si="157"/>
        <v>嘉实物美消费封闭式基础设施证券投资基金|2024Q3|季度</v>
      </c>
      <c r="P681">
        <f>IF($A681="",0,IF(COUNTIF($O$2:$O681,$O681)=1,1,0))</f>
        <v>0</v>
      </c>
      <c r="Q681" t="str">
        <f>IF(AND($P681=1,$A681=经营数据!$B$3,$J681=经营数据!$BA$5),COUNTIFS($P$2:$P$3000,1,$A$2:$A$3000,$A681,$J$2:$J$3000,$J681,$N$2:$N$3000,"&lt;"&amp;$N681)+1,"")</f>
        <v/>
      </c>
      <c r="R681" t="str">
        <f t="shared" si="158"/>
        <v>嘉实物美消费封闭式基础设施证券投资基金|基金整体</v>
      </c>
      <c r="S681">
        <f>IF($A681="",0,IF(COUNTIF($R$2:$R681,$R681)=1,1,0))</f>
        <v>0</v>
      </c>
      <c r="T681">
        <f t="shared" si="159"/>
        <v>664</v>
      </c>
      <c r="U681" t="str">
        <f>IF($A681="","",IF($A681=经营数据!$B$3,COUNTIFS($S$2:$S$3000,1,$A$2:$A$3000,$A681,$T$2:$T$3000,"&lt;"&amp;$T681)+1,""))</f>
        <v/>
      </c>
      <c r="V681" t="str">
        <f t="shared" si="160"/>
        <v>基金整体|服务量</v>
      </c>
      <c r="W681">
        <f t="shared" si="161"/>
        <v>1</v>
      </c>
      <c r="X681" t="str">
        <f t="shared" si="162"/>
        <v>基金整体|期末实际出租面积</v>
      </c>
      <c r="Y681">
        <f t="shared" si="163"/>
        <v>4</v>
      </c>
      <c r="Z681">
        <f>IF($A681="",0,IF(AND($M681=1,$A681=经营数据!$B$3,$J681=经营数据!$BA$5,OR($I681=经营数据!$BA$4,COUNTIF(经营数据!$AA$9:$AA$38,$I681)&gt;0)),1,0))</f>
        <v>0</v>
      </c>
      <c r="AA681" t="str">
        <f t="shared" si="164"/>
        <v/>
      </c>
      <c r="AB681" t="str">
        <f t="shared" si="165"/>
        <v/>
      </c>
      <c r="AC681">
        <f>IF($A681="",0,IF(COUNTIF($A$2:$A681,$A681)=1,1,0))</f>
        <v>0</v>
      </c>
      <c r="AD681">
        <f t="shared" si="166"/>
        <v>8</v>
      </c>
      <c r="AE681" t="str">
        <f t="shared" si="167"/>
        <v>基金整体|期末实际出租面积（平方米）</v>
      </c>
    </row>
    <row r="682" spans="1:31" x14ac:dyDescent="0.4">
      <c r="A682" t="str">
        <f>IF(原始经营数据!$D683="","",原始经营数据!$D683)</f>
        <v>嘉实物美消费封闭式基础设施证券投资基金</v>
      </c>
      <c r="B682" t="str">
        <f>IF(原始经营数据!$D683="","",T(原始经营数据!$E683))</f>
        <v>基金整体</v>
      </c>
      <c r="C682" t="str">
        <f>IF(原始经营数据!$D683="","",原始经营数据!$F683)</f>
        <v>2024Q3</v>
      </c>
      <c r="D682" t="str">
        <f>IF(原始经营数据!$D683="","",原始经营数据!$H683)</f>
        <v>期末可供出租面积</v>
      </c>
      <c r="E682">
        <f>IF(原始经营数据!$D683="","",原始经营数据!$I683)</f>
        <v>77894.28</v>
      </c>
      <c r="F682" t="str">
        <f>IF(原始经营数据!$D683="","",T(原始经营数据!$J683))</f>
        <v>平方米</v>
      </c>
      <c r="G682" t="str">
        <f>IF(原始经营数据!$D683="","",T(原始经营数据!$K683))</f>
        <v/>
      </c>
      <c r="H682" t="str">
        <f>IF(原始经营数据!$D683="","",原始经营数据!$G683)</f>
        <v>服务量</v>
      </c>
      <c r="I682" t="str">
        <f>IF($A682="","",IF($B682&lt;&gt;"",$B682,IF(COUNTIFS(原始经营数据!$D$3:$D$3001,$A682,原始经营数据!$E$3:$E$3001,"",原始经营数据!$F$3:$F$3001,$C682,原始经营数据!$H$3:$H$3001,$D682,原始经营数据!$K$3:$K$3001,$G682)&gt;1,"基金整体·来源"&amp;原始经营数据!$A683,"基金整体")))</f>
        <v>基金整体</v>
      </c>
      <c r="J682" t="str">
        <f t="shared" si="153"/>
        <v>季度</v>
      </c>
      <c r="K682" t="str">
        <f t="shared" si="154"/>
        <v>期末可供出租面积（平方米）</v>
      </c>
      <c r="L682" t="str">
        <f t="shared" si="155"/>
        <v>基金整体|期末可供出租面积（平方米）|季度</v>
      </c>
      <c r="M682">
        <f>IF($A682="",0,IF(COUNTIF($L$2:$L682,$L682)=1,1,0))</f>
        <v>0</v>
      </c>
      <c r="N682">
        <f t="shared" si="156"/>
        <v>20243</v>
      </c>
      <c r="O682" t="str">
        <f t="shared" si="157"/>
        <v>嘉实物美消费封闭式基础设施证券投资基金|2024Q3|季度</v>
      </c>
      <c r="P682">
        <f>IF($A682="",0,IF(COUNTIF($O$2:$O682,$O682)=1,1,0))</f>
        <v>0</v>
      </c>
      <c r="Q682" t="str">
        <f>IF(AND($P682=1,$A682=经营数据!$B$3,$J682=经营数据!$BA$5),COUNTIFS($P$2:$P$3000,1,$A$2:$A$3000,$A682,$J$2:$J$3000,$J682,$N$2:$N$3000,"&lt;"&amp;$N682)+1,"")</f>
        <v/>
      </c>
      <c r="R682" t="str">
        <f t="shared" si="158"/>
        <v>嘉实物美消费封闭式基础设施证券投资基金|基金整体</v>
      </c>
      <c r="S682">
        <f>IF($A682="",0,IF(COUNTIF($R$2:$R682,$R682)=1,1,0))</f>
        <v>0</v>
      </c>
      <c r="T682">
        <f t="shared" si="159"/>
        <v>664</v>
      </c>
      <c r="U682" t="str">
        <f>IF($A682="","",IF($A682=经营数据!$B$3,COUNTIFS($S$2:$S$3000,1,$A$2:$A$3000,$A682,$T$2:$T$3000,"&lt;"&amp;$T682)+1,""))</f>
        <v/>
      </c>
      <c r="V682" t="str">
        <f t="shared" si="160"/>
        <v>基金整体|服务量</v>
      </c>
      <c r="W682">
        <f t="shared" si="161"/>
        <v>1</v>
      </c>
      <c r="X682" t="str">
        <f t="shared" si="162"/>
        <v>基金整体|期末可供出租面积</v>
      </c>
      <c r="Y682">
        <f t="shared" si="163"/>
        <v>3</v>
      </c>
      <c r="Z682">
        <f>IF($A682="",0,IF(AND($M682=1,$A682=经营数据!$B$3,$J682=经营数据!$BA$5,OR($I682=经营数据!$BA$4,COUNTIF(经营数据!$AA$9:$AA$38,$I682)&gt;0)),1,0))</f>
        <v>0</v>
      </c>
      <c r="AA682" t="str">
        <f t="shared" si="164"/>
        <v/>
      </c>
      <c r="AB682" t="str">
        <f t="shared" si="165"/>
        <v/>
      </c>
      <c r="AC682">
        <f>IF($A682="",0,IF(COUNTIF($A$2:$A682,$A682)=1,1,0))</f>
        <v>0</v>
      </c>
      <c r="AD682">
        <f t="shared" si="166"/>
        <v>8</v>
      </c>
      <c r="AE682" t="str">
        <f t="shared" si="167"/>
        <v>基金整体|期末可供出租面积（平方米）</v>
      </c>
    </row>
    <row r="683" spans="1:31" x14ac:dyDescent="0.4">
      <c r="A683" t="str">
        <f>IF(原始经营数据!$D684="","",原始经营数据!$D684)</f>
        <v>嘉实物美消费封闭式基础设施证券投资基金</v>
      </c>
      <c r="B683" t="str">
        <f>IF(原始经营数据!$D684="","",T(原始经营数据!$E684))</f>
        <v>基金整体</v>
      </c>
      <c r="C683" t="str">
        <f>IF(原始经营数据!$D684="","",原始经营数据!$F684)</f>
        <v>2024Q4</v>
      </c>
      <c r="D683" t="str">
        <f>IF(原始经营数据!$D684="","",原始经营数据!$H684)</f>
        <v>期末租金收缴率</v>
      </c>
      <c r="E683">
        <f>IF(原始经营数据!$D684="","",原始经营数据!$I684)</f>
        <v>97.35</v>
      </c>
      <c r="F683" t="str">
        <f>IF(原始经营数据!$D684="","",T(原始经营数据!$J684))</f>
        <v>%</v>
      </c>
      <c r="G683" t="str">
        <f>IF(原始经营数据!$D684="","",T(原始经营数据!$K684))</f>
        <v/>
      </c>
      <c r="H683" t="str">
        <f>IF(原始经营数据!$D684="","",原始经营数据!$G684)</f>
        <v>服务效率</v>
      </c>
      <c r="I683" t="str">
        <f>IF($A683="","",IF($B683&lt;&gt;"",$B683,IF(COUNTIFS(原始经营数据!$D$3:$D$3001,$A683,原始经营数据!$E$3:$E$3001,"",原始经营数据!$F$3:$F$3001,$C683,原始经营数据!$H$3:$H$3001,$D683,原始经营数据!$K$3:$K$3001,$G683)&gt;1,"基金整体·来源"&amp;原始经营数据!$A684,"基金整体")))</f>
        <v>基金整体</v>
      </c>
      <c r="J683" t="str">
        <f t="shared" si="153"/>
        <v>季度</v>
      </c>
      <c r="K683" t="str">
        <f t="shared" si="154"/>
        <v>期末租金收缴率（%）</v>
      </c>
      <c r="L683" t="str">
        <f t="shared" si="155"/>
        <v>基金整体|期末租金收缴率（%）|季度</v>
      </c>
      <c r="M683">
        <f>IF($A683="",0,IF(COUNTIF($L$2:$L683,$L683)=1,1,0))</f>
        <v>0</v>
      </c>
      <c r="N683">
        <f t="shared" si="156"/>
        <v>20244</v>
      </c>
      <c r="O683" t="str">
        <f t="shared" si="157"/>
        <v>嘉实物美消费封闭式基础设施证券投资基金|2024Q4|季度</v>
      </c>
      <c r="P683">
        <f>IF($A683="",0,IF(COUNTIF($O$2:$O683,$O683)=1,1,0))</f>
        <v>1</v>
      </c>
      <c r="Q683" t="str">
        <f>IF(AND($P683=1,$A683=经营数据!$B$3,$J683=经营数据!$BA$5),COUNTIFS($P$2:$P$3000,1,$A$2:$A$3000,$A683,$J$2:$J$3000,$J683,$N$2:$N$3000,"&lt;"&amp;$N683)+1,"")</f>
        <v/>
      </c>
      <c r="R683" t="str">
        <f t="shared" si="158"/>
        <v>嘉实物美消费封闭式基础设施证券投资基金|基金整体</v>
      </c>
      <c r="S683">
        <f>IF($A683="",0,IF(COUNTIF($R$2:$R683,$R683)=1,1,0))</f>
        <v>0</v>
      </c>
      <c r="T683">
        <f t="shared" si="159"/>
        <v>664</v>
      </c>
      <c r="U683" t="str">
        <f>IF($A683="","",IF($A683=经营数据!$B$3,COUNTIFS($S$2:$S$3000,1,$A$2:$A$3000,$A683,$T$2:$T$3000,"&lt;"&amp;$T683)+1,""))</f>
        <v/>
      </c>
      <c r="V683" t="str">
        <f t="shared" si="160"/>
        <v>基金整体|服务效率</v>
      </c>
      <c r="W683">
        <f t="shared" si="161"/>
        <v>2</v>
      </c>
      <c r="X683" t="str">
        <f t="shared" si="162"/>
        <v>基金整体|期末租金收缴率</v>
      </c>
      <c r="Y683">
        <f t="shared" si="163"/>
        <v>530</v>
      </c>
      <c r="Z683">
        <f>IF($A683="",0,IF(AND($M683=1,$A683=经营数据!$B$3,$J683=经营数据!$BA$5,OR($I683=经营数据!$BA$4,COUNTIF(经营数据!$AA$9:$AA$38,$I683)&gt;0)),1,0))</f>
        <v>0</v>
      </c>
      <c r="AA683" t="str">
        <f t="shared" si="164"/>
        <v/>
      </c>
      <c r="AB683" t="str">
        <f t="shared" si="165"/>
        <v/>
      </c>
      <c r="AC683">
        <f>IF($A683="",0,IF(COUNTIF($A$2:$A683,$A683)=1,1,0))</f>
        <v>0</v>
      </c>
      <c r="AD683">
        <f t="shared" si="166"/>
        <v>8</v>
      </c>
      <c r="AE683" t="str">
        <f t="shared" si="167"/>
        <v>基金整体|期末租金收缴率（%）</v>
      </c>
    </row>
    <row r="684" spans="1:31" x14ac:dyDescent="0.4">
      <c r="A684" t="str">
        <f>IF(原始经营数据!$D685="","",原始经营数据!$D685)</f>
        <v>嘉实物美消费封闭式基础设施证券投资基金</v>
      </c>
      <c r="B684" t="str">
        <f>IF(原始经营数据!$D685="","",T(原始经营数据!$E685))</f>
        <v>基金整体</v>
      </c>
      <c r="C684" t="str">
        <f>IF(原始经营数据!$D685="","",原始经营数据!$F685)</f>
        <v>2024Q4</v>
      </c>
      <c r="D684" t="str">
        <f>IF(原始经营数据!$D685="","",原始经营数据!$H685)</f>
        <v>期末剩余租期情况</v>
      </c>
      <c r="E684">
        <f>IF(原始经营数据!$D685="","",原始经营数据!$I685)</f>
        <v>7.33</v>
      </c>
      <c r="F684" t="str">
        <f>IF(原始经营数据!$D685="","",T(原始经营数据!$J685))</f>
        <v>年</v>
      </c>
      <c r="G684" t="str">
        <f>IF(原始经营数据!$D685="","",T(原始经营数据!$K685))</f>
        <v/>
      </c>
      <c r="H684" t="str">
        <f>IF(原始经营数据!$D685="","",原始经营数据!$G685)</f>
        <v>服务量</v>
      </c>
      <c r="I684" t="str">
        <f>IF($A684="","",IF($B684&lt;&gt;"",$B684,IF(COUNTIFS(原始经营数据!$D$3:$D$3001,$A684,原始经营数据!$E$3:$E$3001,"",原始经营数据!$F$3:$F$3001,$C684,原始经营数据!$H$3:$H$3001,$D684,原始经营数据!$K$3:$K$3001,$G684)&gt;1,"基金整体·来源"&amp;原始经营数据!$A685,"基金整体")))</f>
        <v>基金整体</v>
      </c>
      <c r="J684" t="str">
        <f t="shared" si="153"/>
        <v>季度</v>
      </c>
      <c r="K684" t="str">
        <f t="shared" si="154"/>
        <v>期末剩余租期情况（年）</v>
      </c>
      <c r="L684" t="str">
        <f t="shared" si="155"/>
        <v>基金整体|期末剩余租期情况（年）|季度</v>
      </c>
      <c r="M684">
        <f>IF($A684="",0,IF(COUNTIF($L$2:$L684,$L684)=1,1,0))</f>
        <v>0</v>
      </c>
      <c r="N684">
        <f t="shared" si="156"/>
        <v>20244</v>
      </c>
      <c r="O684" t="str">
        <f t="shared" si="157"/>
        <v>嘉实物美消费封闭式基础设施证券投资基金|2024Q4|季度</v>
      </c>
      <c r="P684">
        <f>IF($A684="",0,IF(COUNTIF($O$2:$O684,$O684)=1,1,0))</f>
        <v>0</v>
      </c>
      <c r="Q684" t="str">
        <f>IF(AND($P684=1,$A684=经营数据!$B$3,$J684=经营数据!$BA$5),COUNTIFS($P$2:$P$3000,1,$A$2:$A$3000,$A684,$J$2:$J$3000,$J684,$N$2:$N$3000,"&lt;"&amp;$N684)+1,"")</f>
        <v/>
      </c>
      <c r="R684" t="str">
        <f t="shared" si="158"/>
        <v>嘉实物美消费封闭式基础设施证券投资基金|基金整体</v>
      </c>
      <c r="S684">
        <f>IF($A684="",0,IF(COUNTIF($R$2:$R684,$R684)=1,1,0))</f>
        <v>0</v>
      </c>
      <c r="T684">
        <f t="shared" si="159"/>
        <v>664</v>
      </c>
      <c r="U684" t="str">
        <f>IF($A684="","",IF($A684=经营数据!$B$3,COUNTIFS($S$2:$S$3000,1,$A$2:$A$3000,$A684,$T$2:$T$3000,"&lt;"&amp;$T684)+1,""))</f>
        <v/>
      </c>
      <c r="V684" t="str">
        <f t="shared" si="160"/>
        <v>基金整体|服务量</v>
      </c>
      <c r="W684">
        <f t="shared" si="161"/>
        <v>1</v>
      </c>
      <c r="X684" t="str">
        <f t="shared" si="162"/>
        <v>基金整体|期末剩余租期情况</v>
      </c>
      <c r="Y684">
        <f t="shared" si="163"/>
        <v>665</v>
      </c>
      <c r="Z684">
        <f>IF($A684="",0,IF(AND($M684=1,$A684=经营数据!$B$3,$J684=经营数据!$BA$5,OR($I684=经营数据!$BA$4,COUNTIF(经营数据!$AA$9:$AA$38,$I684)&gt;0)),1,0))</f>
        <v>0</v>
      </c>
      <c r="AA684" t="str">
        <f t="shared" si="164"/>
        <v/>
      </c>
      <c r="AB684" t="str">
        <f t="shared" si="165"/>
        <v/>
      </c>
      <c r="AC684">
        <f>IF($A684="",0,IF(COUNTIF($A$2:$A684,$A684)=1,1,0))</f>
        <v>0</v>
      </c>
      <c r="AD684">
        <f t="shared" si="166"/>
        <v>8</v>
      </c>
      <c r="AE684" t="str">
        <f t="shared" si="167"/>
        <v>基金整体|期末剩余租期情况（年）</v>
      </c>
    </row>
    <row r="685" spans="1:31" x14ac:dyDescent="0.4">
      <c r="A685" t="str">
        <f>IF(原始经营数据!$D686="","",原始经营数据!$D686)</f>
        <v>嘉实物美消费封闭式基础设施证券投资基金</v>
      </c>
      <c r="B685" t="str">
        <f>IF(原始经营数据!$D686="","",T(原始经营数据!$E686))</f>
        <v>基金整体</v>
      </c>
      <c r="C685" t="str">
        <f>IF(原始经营数据!$D686="","",原始经营数据!$F686)</f>
        <v>2024Q4</v>
      </c>
      <c r="D685" t="str">
        <f>IF(原始经营数据!$D686="","",原始经营数据!$H686)</f>
        <v>期内租金单价水平</v>
      </c>
      <c r="E685">
        <f>IF(原始经营数据!$D686="","",原始经营数据!$I686)</f>
        <v>3.92</v>
      </c>
      <c r="F685" t="str">
        <f>IF(原始经营数据!$D686="","",T(原始经营数据!$J686))</f>
        <v>元/平方米/天</v>
      </c>
      <c r="G685" t="str">
        <f>IF(原始经营数据!$D686="","",T(原始经营数据!$K686))</f>
        <v/>
      </c>
      <c r="H685" t="str">
        <f>IF(原始经营数据!$D686="","",原始经营数据!$G686)</f>
        <v>服务价格</v>
      </c>
      <c r="I685" t="str">
        <f>IF($A685="","",IF($B685&lt;&gt;"",$B685,IF(COUNTIFS(原始经营数据!$D$3:$D$3001,$A685,原始经营数据!$E$3:$E$3001,"",原始经营数据!$F$3:$F$3001,$C685,原始经营数据!$H$3:$H$3001,$D685,原始经营数据!$K$3:$K$3001,$G685)&gt;1,"基金整体·来源"&amp;原始经营数据!$A686,"基金整体")))</f>
        <v>基金整体</v>
      </c>
      <c r="J685" t="str">
        <f t="shared" si="153"/>
        <v>季度</v>
      </c>
      <c r="K685" t="str">
        <f t="shared" si="154"/>
        <v>期内租金单价水平（元/平方米/天）</v>
      </c>
      <c r="L685" t="str">
        <f t="shared" si="155"/>
        <v>基金整体|期内租金单价水平（元/平方米/天）|季度</v>
      </c>
      <c r="M685">
        <f>IF($A685="",0,IF(COUNTIF($L$2:$L685,$L685)=1,1,0))</f>
        <v>0</v>
      </c>
      <c r="N685">
        <f t="shared" si="156"/>
        <v>20244</v>
      </c>
      <c r="O685" t="str">
        <f t="shared" si="157"/>
        <v>嘉实物美消费封闭式基础设施证券投资基金|2024Q4|季度</v>
      </c>
      <c r="P685">
        <f>IF($A685="",0,IF(COUNTIF($O$2:$O685,$O685)=1,1,0))</f>
        <v>0</v>
      </c>
      <c r="Q685" t="str">
        <f>IF(AND($P685=1,$A685=经营数据!$B$3,$J685=经营数据!$BA$5),COUNTIFS($P$2:$P$3000,1,$A$2:$A$3000,$A685,$J$2:$J$3000,$J685,$N$2:$N$3000,"&lt;"&amp;$N685)+1,"")</f>
        <v/>
      </c>
      <c r="R685" t="str">
        <f t="shared" si="158"/>
        <v>嘉实物美消费封闭式基础设施证券投资基金|基金整体</v>
      </c>
      <c r="S685">
        <f>IF($A685="",0,IF(COUNTIF($R$2:$R685,$R685)=1,1,0))</f>
        <v>0</v>
      </c>
      <c r="T685">
        <f t="shared" si="159"/>
        <v>664</v>
      </c>
      <c r="U685" t="str">
        <f>IF($A685="","",IF($A685=经营数据!$B$3,COUNTIFS($S$2:$S$3000,1,$A$2:$A$3000,$A685,$T$2:$T$3000,"&lt;"&amp;$T685)+1,""))</f>
        <v/>
      </c>
      <c r="V685" t="str">
        <f t="shared" si="160"/>
        <v>基金整体|服务价格</v>
      </c>
      <c r="W685">
        <f t="shared" si="161"/>
        <v>10</v>
      </c>
      <c r="X685" t="str">
        <f t="shared" si="162"/>
        <v>基金整体|期内租金单价水平</v>
      </c>
      <c r="Y685">
        <f t="shared" si="163"/>
        <v>529</v>
      </c>
      <c r="Z685">
        <f>IF($A685="",0,IF(AND($M685=1,$A685=经营数据!$B$3,$J685=经营数据!$BA$5,OR($I685=经营数据!$BA$4,COUNTIF(经营数据!$AA$9:$AA$38,$I685)&gt;0)),1,0))</f>
        <v>0</v>
      </c>
      <c r="AA685" t="str">
        <f t="shared" si="164"/>
        <v/>
      </c>
      <c r="AB685" t="str">
        <f t="shared" si="165"/>
        <v/>
      </c>
      <c r="AC685">
        <f>IF($A685="",0,IF(COUNTIF($A$2:$A685,$A685)=1,1,0))</f>
        <v>0</v>
      </c>
      <c r="AD685">
        <f t="shared" si="166"/>
        <v>8</v>
      </c>
      <c r="AE685" t="str">
        <f t="shared" si="167"/>
        <v>基金整体|期内租金单价水平（元/平方米/天）</v>
      </c>
    </row>
    <row r="686" spans="1:31" x14ac:dyDescent="0.4">
      <c r="A686" t="str">
        <f>IF(原始经营数据!$D687="","",原始经营数据!$D687)</f>
        <v>嘉实物美消费封闭式基础设施证券投资基金</v>
      </c>
      <c r="B686" t="str">
        <f>IF(原始经营数据!$D687="","",T(原始经营数据!$E687))</f>
        <v>基金整体</v>
      </c>
      <c r="C686" t="str">
        <f>IF(原始经营数据!$D687="","",原始经营数据!$F687)</f>
        <v>2024Q4</v>
      </c>
      <c r="D686" t="str">
        <f>IF(原始经营数据!$D687="","",原始经营数据!$H687)</f>
        <v>期末出租率</v>
      </c>
      <c r="E686">
        <f>IF(原始经营数据!$D687="","",原始经营数据!$I687)</f>
        <v>96.43</v>
      </c>
      <c r="F686" t="str">
        <f>IF(原始经营数据!$D687="","",T(原始经营数据!$J687))</f>
        <v>%</v>
      </c>
      <c r="G686" t="str">
        <f>IF(原始经营数据!$D687="","",T(原始经营数据!$K687))</f>
        <v/>
      </c>
      <c r="H686" t="str">
        <f>IF(原始经营数据!$D687="","",原始经营数据!$G687)</f>
        <v>服务效率</v>
      </c>
      <c r="I686" t="str">
        <f>IF($A686="","",IF($B686&lt;&gt;"",$B686,IF(COUNTIFS(原始经营数据!$D$3:$D$3001,$A686,原始经营数据!$E$3:$E$3001,"",原始经营数据!$F$3:$F$3001,$C686,原始经营数据!$H$3:$H$3001,$D686,原始经营数据!$K$3:$K$3001,$G686)&gt;1,"基金整体·来源"&amp;原始经营数据!$A687,"基金整体")))</f>
        <v>基金整体</v>
      </c>
      <c r="J686" t="str">
        <f t="shared" si="153"/>
        <v>季度</v>
      </c>
      <c r="K686" t="str">
        <f t="shared" si="154"/>
        <v>期末出租率（%）</v>
      </c>
      <c r="L686" t="str">
        <f t="shared" si="155"/>
        <v>基金整体|期末出租率（%）|季度</v>
      </c>
      <c r="M686">
        <f>IF($A686="",0,IF(COUNTIF($L$2:$L686,$L686)=1,1,0))</f>
        <v>0</v>
      </c>
      <c r="N686">
        <f t="shared" si="156"/>
        <v>20244</v>
      </c>
      <c r="O686" t="str">
        <f t="shared" si="157"/>
        <v>嘉实物美消费封闭式基础设施证券投资基金|2024Q4|季度</v>
      </c>
      <c r="P686">
        <f>IF($A686="",0,IF(COUNTIF($O$2:$O686,$O686)=1,1,0))</f>
        <v>0</v>
      </c>
      <c r="Q686" t="str">
        <f>IF(AND($P686=1,$A686=经营数据!$B$3,$J686=经营数据!$BA$5),COUNTIFS($P$2:$P$3000,1,$A$2:$A$3000,$A686,$J$2:$J$3000,$J686,$N$2:$N$3000,"&lt;"&amp;$N686)+1,"")</f>
        <v/>
      </c>
      <c r="R686" t="str">
        <f t="shared" si="158"/>
        <v>嘉实物美消费封闭式基础设施证券投资基金|基金整体</v>
      </c>
      <c r="S686">
        <f>IF($A686="",0,IF(COUNTIF($R$2:$R686,$R686)=1,1,0))</f>
        <v>0</v>
      </c>
      <c r="T686">
        <f t="shared" si="159"/>
        <v>664</v>
      </c>
      <c r="U686" t="str">
        <f>IF($A686="","",IF($A686=经营数据!$B$3,COUNTIFS($S$2:$S$3000,1,$A$2:$A$3000,$A686,$T$2:$T$3000,"&lt;"&amp;$T686)+1,""))</f>
        <v/>
      </c>
      <c r="V686" t="str">
        <f t="shared" si="160"/>
        <v>基金整体|服务效率</v>
      </c>
      <c r="W686">
        <f t="shared" si="161"/>
        <v>2</v>
      </c>
      <c r="X686" t="str">
        <f t="shared" si="162"/>
        <v>基金整体|期末出租率</v>
      </c>
      <c r="Y686">
        <f t="shared" si="163"/>
        <v>5</v>
      </c>
      <c r="Z686">
        <f>IF($A686="",0,IF(AND($M686=1,$A686=经营数据!$B$3,$J686=经营数据!$BA$5,OR($I686=经营数据!$BA$4,COUNTIF(经营数据!$AA$9:$AA$38,$I686)&gt;0)),1,0))</f>
        <v>0</v>
      </c>
      <c r="AA686" t="str">
        <f t="shared" si="164"/>
        <v/>
      </c>
      <c r="AB686" t="str">
        <f t="shared" si="165"/>
        <v/>
      </c>
      <c r="AC686">
        <f>IF($A686="",0,IF(COUNTIF($A$2:$A686,$A686)=1,1,0))</f>
        <v>0</v>
      </c>
      <c r="AD686">
        <f t="shared" si="166"/>
        <v>8</v>
      </c>
      <c r="AE686" t="str">
        <f t="shared" si="167"/>
        <v>基金整体|期末出租率（%）</v>
      </c>
    </row>
    <row r="687" spans="1:31" x14ac:dyDescent="0.4">
      <c r="A687" t="str">
        <f>IF(原始经营数据!$D688="","",原始经营数据!$D688)</f>
        <v>嘉实物美消费封闭式基础设施证券投资基金</v>
      </c>
      <c r="B687" t="str">
        <f>IF(原始经营数据!$D688="","",T(原始经营数据!$E688))</f>
        <v>基金整体</v>
      </c>
      <c r="C687" t="str">
        <f>IF(原始经营数据!$D688="","",原始经营数据!$F688)</f>
        <v>2024Q4</v>
      </c>
      <c r="D687" t="str">
        <f>IF(原始经营数据!$D688="","",原始经营数据!$H688)</f>
        <v>期末可供出租面积</v>
      </c>
      <c r="E687">
        <f>IF(原始经营数据!$D688="","",原始经营数据!$I688)</f>
        <v>77894.28</v>
      </c>
      <c r="F687" t="str">
        <f>IF(原始经营数据!$D688="","",T(原始经营数据!$J688))</f>
        <v>平方米</v>
      </c>
      <c r="G687" t="str">
        <f>IF(原始经营数据!$D688="","",T(原始经营数据!$K688))</f>
        <v/>
      </c>
      <c r="H687" t="str">
        <f>IF(原始经营数据!$D688="","",原始经营数据!$G688)</f>
        <v>服务量</v>
      </c>
      <c r="I687" t="str">
        <f>IF($A687="","",IF($B687&lt;&gt;"",$B687,IF(COUNTIFS(原始经营数据!$D$3:$D$3001,$A687,原始经营数据!$E$3:$E$3001,"",原始经营数据!$F$3:$F$3001,$C687,原始经营数据!$H$3:$H$3001,$D687,原始经营数据!$K$3:$K$3001,$G687)&gt;1,"基金整体·来源"&amp;原始经营数据!$A688,"基金整体")))</f>
        <v>基金整体</v>
      </c>
      <c r="J687" t="str">
        <f t="shared" si="153"/>
        <v>季度</v>
      </c>
      <c r="K687" t="str">
        <f t="shared" si="154"/>
        <v>期末可供出租面积（平方米）</v>
      </c>
      <c r="L687" t="str">
        <f t="shared" si="155"/>
        <v>基金整体|期末可供出租面积（平方米）|季度</v>
      </c>
      <c r="M687">
        <f>IF($A687="",0,IF(COUNTIF($L$2:$L687,$L687)=1,1,0))</f>
        <v>0</v>
      </c>
      <c r="N687">
        <f t="shared" si="156"/>
        <v>20244</v>
      </c>
      <c r="O687" t="str">
        <f t="shared" si="157"/>
        <v>嘉实物美消费封闭式基础设施证券投资基金|2024Q4|季度</v>
      </c>
      <c r="P687">
        <f>IF($A687="",0,IF(COUNTIF($O$2:$O687,$O687)=1,1,0))</f>
        <v>0</v>
      </c>
      <c r="Q687" t="str">
        <f>IF(AND($P687=1,$A687=经营数据!$B$3,$J687=经营数据!$BA$5),COUNTIFS($P$2:$P$3000,1,$A$2:$A$3000,$A687,$J$2:$J$3000,$J687,$N$2:$N$3000,"&lt;"&amp;$N687)+1,"")</f>
        <v/>
      </c>
      <c r="R687" t="str">
        <f t="shared" si="158"/>
        <v>嘉实物美消费封闭式基础设施证券投资基金|基金整体</v>
      </c>
      <c r="S687">
        <f>IF($A687="",0,IF(COUNTIF($R$2:$R687,$R687)=1,1,0))</f>
        <v>0</v>
      </c>
      <c r="T687">
        <f t="shared" si="159"/>
        <v>664</v>
      </c>
      <c r="U687" t="str">
        <f>IF($A687="","",IF($A687=经营数据!$B$3,COUNTIFS($S$2:$S$3000,1,$A$2:$A$3000,$A687,$T$2:$T$3000,"&lt;"&amp;$T687)+1,""))</f>
        <v/>
      </c>
      <c r="V687" t="str">
        <f t="shared" si="160"/>
        <v>基金整体|服务量</v>
      </c>
      <c r="W687">
        <f t="shared" si="161"/>
        <v>1</v>
      </c>
      <c r="X687" t="str">
        <f t="shared" si="162"/>
        <v>基金整体|期末可供出租面积</v>
      </c>
      <c r="Y687">
        <f t="shared" si="163"/>
        <v>3</v>
      </c>
      <c r="Z687">
        <f>IF($A687="",0,IF(AND($M687=1,$A687=经营数据!$B$3,$J687=经营数据!$BA$5,OR($I687=经营数据!$BA$4,COUNTIF(经营数据!$AA$9:$AA$38,$I687)&gt;0)),1,0))</f>
        <v>0</v>
      </c>
      <c r="AA687" t="str">
        <f t="shared" si="164"/>
        <v/>
      </c>
      <c r="AB687" t="str">
        <f t="shared" si="165"/>
        <v/>
      </c>
      <c r="AC687">
        <f>IF($A687="",0,IF(COUNTIF($A$2:$A687,$A687)=1,1,0))</f>
        <v>0</v>
      </c>
      <c r="AD687">
        <f t="shared" si="166"/>
        <v>8</v>
      </c>
      <c r="AE687" t="str">
        <f t="shared" si="167"/>
        <v>基金整体|期末可供出租面积（平方米）</v>
      </c>
    </row>
    <row r="688" spans="1:31" x14ac:dyDescent="0.4">
      <c r="A688" t="str">
        <f>IF(原始经营数据!$D689="","",原始经营数据!$D689)</f>
        <v>嘉实物美消费封闭式基础设施证券投资基金</v>
      </c>
      <c r="B688" t="str">
        <f>IF(原始经营数据!$D689="","",T(原始经营数据!$E689))</f>
        <v>基金整体</v>
      </c>
      <c r="C688" t="str">
        <f>IF(原始经营数据!$D689="","",原始经营数据!$F689)</f>
        <v>2024Q4</v>
      </c>
      <c r="D688" t="str">
        <f>IF(原始经营数据!$D689="","",原始经营数据!$H689)</f>
        <v>期末实际出租面积</v>
      </c>
      <c r="E688">
        <f>IF(原始经营数据!$D689="","",原始经营数据!$I689)</f>
        <v>75110.17</v>
      </c>
      <c r="F688" t="str">
        <f>IF(原始经营数据!$D689="","",T(原始经营数据!$J689))</f>
        <v>平方米</v>
      </c>
      <c r="G688" t="str">
        <f>IF(原始经营数据!$D689="","",T(原始经营数据!$K689))</f>
        <v/>
      </c>
      <c r="H688" t="str">
        <f>IF(原始经营数据!$D689="","",原始经营数据!$G689)</f>
        <v>服务量</v>
      </c>
      <c r="I688" t="str">
        <f>IF($A688="","",IF($B688&lt;&gt;"",$B688,IF(COUNTIFS(原始经营数据!$D$3:$D$3001,$A688,原始经营数据!$E$3:$E$3001,"",原始经营数据!$F$3:$F$3001,$C688,原始经营数据!$H$3:$H$3001,$D688,原始经营数据!$K$3:$K$3001,$G688)&gt;1,"基金整体·来源"&amp;原始经营数据!$A689,"基金整体")))</f>
        <v>基金整体</v>
      </c>
      <c r="J688" t="str">
        <f t="shared" si="153"/>
        <v>季度</v>
      </c>
      <c r="K688" t="str">
        <f t="shared" si="154"/>
        <v>期末实际出租面积（平方米）</v>
      </c>
      <c r="L688" t="str">
        <f t="shared" si="155"/>
        <v>基金整体|期末实际出租面积（平方米）|季度</v>
      </c>
      <c r="M688">
        <f>IF($A688="",0,IF(COUNTIF($L$2:$L688,$L688)=1,1,0))</f>
        <v>0</v>
      </c>
      <c r="N688">
        <f t="shared" si="156"/>
        <v>20244</v>
      </c>
      <c r="O688" t="str">
        <f t="shared" si="157"/>
        <v>嘉实物美消费封闭式基础设施证券投资基金|2024Q4|季度</v>
      </c>
      <c r="P688">
        <f>IF($A688="",0,IF(COUNTIF($O$2:$O688,$O688)=1,1,0))</f>
        <v>0</v>
      </c>
      <c r="Q688" t="str">
        <f>IF(AND($P688=1,$A688=经营数据!$B$3,$J688=经营数据!$BA$5),COUNTIFS($P$2:$P$3000,1,$A$2:$A$3000,$A688,$J$2:$J$3000,$J688,$N$2:$N$3000,"&lt;"&amp;$N688)+1,"")</f>
        <v/>
      </c>
      <c r="R688" t="str">
        <f t="shared" si="158"/>
        <v>嘉实物美消费封闭式基础设施证券投资基金|基金整体</v>
      </c>
      <c r="S688">
        <f>IF($A688="",0,IF(COUNTIF($R$2:$R688,$R688)=1,1,0))</f>
        <v>0</v>
      </c>
      <c r="T688">
        <f t="shared" si="159"/>
        <v>664</v>
      </c>
      <c r="U688" t="str">
        <f>IF($A688="","",IF($A688=经营数据!$B$3,COUNTIFS($S$2:$S$3000,1,$A$2:$A$3000,$A688,$T$2:$T$3000,"&lt;"&amp;$T688)+1,""))</f>
        <v/>
      </c>
      <c r="V688" t="str">
        <f t="shared" si="160"/>
        <v>基金整体|服务量</v>
      </c>
      <c r="W688">
        <f t="shared" si="161"/>
        <v>1</v>
      </c>
      <c r="X688" t="str">
        <f t="shared" si="162"/>
        <v>基金整体|期末实际出租面积</v>
      </c>
      <c r="Y688">
        <f t="shared" si="163"/>
        <v>4</v>
      </c>
      <c r="Z688">
        <f>IF($A688="",0,IF(AND($M688=1,$A688=经营数据!$B$3,$J688=经营数据!$BA$5,OR($I688=经营数据!$BA$4,COUNTIF(经营数据!$AA$9:$AA$38,$I688)&gt;0)),1,0))</f>
        <v>0</v>
      </c>
      <c r="AA688" t="str">
        <f t="shared" si="164"/>
        <v/>
      </c>
      <c r="AB688" t="str">
        <f t="shared" si="165"/>
        <v/>
      </c>
      <c r="AC688">
        <f>IF($A688="",0,IF(COUNTIF($A$2:$A688,$A688)=1,1,0))</f>
        <v>0</v>
      </c>
      <c r="AD688">
        <f t="shared" si="166"/>
        <v>8</v>
      </c>
      <c r="AE688" t="str">
        <f t="shared" si="167"/>
        <v>基金整体|期末实际出租面积（平方米）</v>
      </c>
    </row>
    <row r="689" spans="1:31" x14ac:dyDescent="0.4">
      <c r="A689" t="str">
        <f>IF(原始经营数据!$D690="","",原始经营数据!$D690)</f>
        <v>嘉实物美消费封闭式基础设施证券投资基金</v>
      </c>
      <c r="B689" t="str">
        <f>IF(原始经营数据!$D690="","",T(原始经营数据!$E690))</f>
        <v>基金整体</v>
      </c>
      <c r="C689" t="str">
        <f>IF(原始经营数据!$D690="","",原始经营数据!$F690)</f>
        <v>2025Q1</v>
      </c>
      <c r="D689" t="str">
        <f>IF(原始经营数据!$D690="","",原始经营数据!$H690)</f>
        <v>期末可供出租面积</v>
      </c>
      <c r="E689">
        <f>IF(原始经营数据!$D690="","",原始经营数据!$I690)</f>
        <v>77894.28</v>
      </c>
      <c r="F689" t="str">
        <f>IF(原始经营数据!$D690="","",T(原始经营数据!$J690))</f>
        <v>平方米</v>
      </c>
      <c r="G689" t="str">
        <f>IF(原始经营数据!$D690="","",T(原始经营数据!$K690))</f>
        <v/>
      </c>
      <c r="H689" t="str">
        <f>IF(原始经营数据!$D690="","",原始经营数据!$G690)</f>
        <v>服务量</v>
      </c>
      <c r="I689" t="str">
        <f>IF($A689="","",IF($B689&lt;&gt;"",$B689,IF(COUNTIFS(原始经营数据!$D$3:$D$3001,$A689,原始经营数据!$E$3:$E$3001,"",原始经营数据!$F$3:$F$3001,$C689,原始经营数据!$H$3:$H$3001,$D689,原始经营数据!$K$3:$K$3001,$G689)&gt;1,"基金整体·来源"&amp;原始经营数据!$A690,"基金整体")))</f>
        <v>基金整体</v>
      </c>
      <c r="J689" t="str">
        <f t="shared" si="153"/>
        <v>季度</v>
      </c>
      <c r="K689" t="str">
        <f t="shared" si="154"/>
        <v>期末可供出租面积（平方米）</v>
      </c>
      <c r="L689" t="str">
        <f t="shared" si="155"/>
        <v>基金整体|期末可供出租面积（平方米）|季度</v>
      </c>
      <c r="M689">
        <f>IF($A689="",0,IF(COUNTIF($L$2:$L689,$L689)=1,1,0))</f>
        <v>0</v>
      </c>
      <c r="N689">
        <f t="shared" si="156"/>
        <v>20251</v>
      </c>
      <c r="O689" t="str">
        <f t="shared" si="157"/>
        <v>嘉实物美消费封闭式基础设施证券投资基金|2025Q1|季度</v>
      </c>
      <c r="P689">
        <f>IF($A689="",0,IF(COUNTIF($O$2:$O689,$O689)=1,1,0))</f>
        <v>1</v>
      </c>
      <c r="Q689" t="str">
        <f>IF(AND($P689=1,$A689=经营数据!$B$3,$J689=经营数据!$BA$5),COUNTIFS($P$2:$P$3000,1,$A$2:$A$3000,$A689,$J$2:$J$3000,$J689,$N$2:$N$3000,"&lt;"&amp;$N689)+1,"")</f>
        <v/>
      </c>
      <c r="R689" t="str">
        <f t="shared" si="158"/>
        <v>嘉实物美消费封闭式基础设施证券投资基金|基金整体</v>
      </c>
      <c r="S689">
        <f>IF($A689="",0,IF(COUNTIF($R$2:$R689,$R689)=1,1,0))</f>
        <v>0</v>
      </c>
      <c r="T689">
        <f t="shared" si="159"/>
        <v>664</v>
      </c>
      <c r="U689" t="str">
        <f>IF($A689="","",IF($A689=经营数据!$B$3,COUNTIFS($S$2:$S$3000,1,$A$2:$A$3000,$A689,$T$2:$T$3000,"&lt;"&amp;$T689)+1,""))</f>
        <v/>
      </c>
      <c r="V689" t="str">
        <f t="shared" si="160"/>
        <v>基金整体|服务量</v>
      </c>
      <c r="W689">
        <f t="shared" si="161"/>
        <v>1</v>
      </c>
      <c r="X689" t="str">
        <f t="shared" si="162"/>
        <v>基金整体|期末可供出租面积</v>
      </c>
      <c r="Y689">
        <f t="shared" si="163"/>
        <v>3</v>
      </c>
      <c r="Z689">
        <f>IF($A689="",0,IF(AND($M689=1,$A689=经营数据!$B$3,$J689=经营数据!$BA$5,OR($I689=经营数据!$BA$4,COUNTIF(经营数据!$AA$9:$AA$38,$I689)&gt;0)),1,0))</f>
        <v>0</v>
      </c>
      <c r="AA689" t="str">
        <f t="shared" si="164"/>
        <v/>
      </c>
      <c r="AB689" t="str">
        <f t="shared" si="165"/>
        <v/>
      </c>
      <c r="AC689">
        <f>IF($A689="",0,IF(COUNTIF($A$2:$A689,$A689)=1,1,0))</f>
        <v>0</v>
      </c>
      <c r="AD689">
        <f t="shared" si="166"/>
        <v>8</v>
      </c>
      <c r="AE689" t="str">
        <f t="shared" si="167"/>
        <v>基金整体|期末可供出租面积（平方米）</v>
      </c>
    </row>
    <row r="690" spans="1:31" x14ac:dyDescent="0.4">
      <c r="A690" t="str">
        <f>IF(原始经营数据!$D691="","",原始经营数据!$D691)</f>
        <v>嘉实物美消费封闭式基础设施证券投资基金</v>
      </c>
      <c r="B690" t="str">
        <f>IF(原始经营数据!$D691="","",T(原始经营数据!$E691))</f>
        <v>基金整体</v>
      </c>
      <c r="C690" t="str">
        <f>IF(原始经营数据!$D691="","",原始经营数据!$F691)</f>
        <v>2025Q1</v>
      </c>
      <c r="D690" t="str">
        <f>IF(原始经营数据!$D691="","",原始经营数据!$H691)</f>
        <v>期末实际出租面积</v>
      </c>
      <c r="E690">
        <f>IF(原始经营数据!$D691="","",原始经营数据!$I691)</f>
        <v>74229.38</v>
      </c>
      <c r="F690" t="str">
        <f>IF(原始经营数据!$D691="","",T(原始经营数据!$J691))</f>
        <v>平方米</v>
      </c>
      <c r="G690" t="str">
        <f>IF(原始经营数据!$D691="","",T(原始经营数据!$K691))</f>
        <v/>
      </c>
      <c r="H690" t="str">
        <f>IF(原始经营数据!$D691="","",原始经营数据!$G691)</f>
        <v>服务量</v>
      </c>
      <c r="I690" t="str">
        <f>IF($A690="","",IF($B690&lt;&gt;"",$B690,IF(COUNTIFS(原始经营数据!$D$3:$D$3001,$A690,原始经营数据!$E$3:$E$3001,"",原始经营数据!$F$3:$F$3001,$C690,原始经营数据!$H$3:$H$3001,$D690,原始经营数据!$K$3:$K$3001,$G690)&gt;1,"基金整体·来源"&amp;原始经营数据!$A691,"基金整体")))</f>
        <v>基金整体</v>
      </c>
      <c r="J690" t="str">
        <f t="shared" si="153"/>
        <v>季度</v>
      </c>
      <c r="K690" t="str">
        <f t="shared" si="154"/>
        <v>期末实际出租面积（平方米）</v>
      </c>
      <c r="L690" t="str">
        <f t="shared" si="155"/>
        <v>基金整体|期末实际出租面积（平方米）|季度</v>
      </c>
      <c r="M690">
        <f>IF($A690="",0,IF(COUNTIF($L$2:$L690,$L690)=1,1,0))</f>
        <v>0</v>
      </c>
      <c r="N690">
        <f t="shared" si="156"/>
        <v>20251</v>
      </c>
      <c r="O690" t="str">
        <f t="shared" si="157"/>
        <v>嘉实物美消费封闭式基础设施证券投资基金|2025Q1|季度</v>
      </c>
      <c r="P690">
        <f>IF($A690="",0,IF(COUNTIF($O$2:$O690,$O690)=1,1,0))</f>
        <v>0</v>
      </c>
      <c r="Q690" t="str">
        <f>IF(AND($P690=1,$A690=经营数据!$B$3,$J690=经营数据!$BA$5),COUNTIFS($P$2:$P$3000,1,$A$2:$A$3000,$A690,$J$2:$J$3000,$J690,$N$2:$N$3000,"&lt;"&amp;$N690)+1,"")</f>
        <v/>
      </c>
      <c r="R690" t="str">
        <f t="shared" si="158"/>
        <v>嘉实物美消费封闭式基础设施证券投资基金|基金整体</v>
      </c>
      <c r="S690">
        <f>IF($A690="",0,IF(COUNTIF($R$2:$R690,$R690)=1,1,0))</f>
        <v>0</v>
      </c>
      <c r="T690">
        <f t="shared" si="159"/>
        <v>664</v>
      </c>
      <c r="U690" t="str">
        <f>IF($A690="","",IF($A690=经营数据!$B$3,COUNTIFS($S$2:$S$3000,1,$A$2:$A$3000,$A690,$T$2:$T$3000,"&lt;"&amp;$T690)+1,""))</f>
        <v/>
      </c>
      <c r="V690" t="str">
        <f t="shared" si="160"/>
        <v>基金整体|服务量</v>
      </c>
      <c r="W690">
        <f t="shared" si="161"/>
        <v>1</v>
      </c>
      <c r="X690" t="str">
        <f t="shared" si="162"/>
        <v>基金整体|期末实际出租面积</v>
      </c>
      <c r="Y690">
        <f t="shared" si="163"/>
        <v>4</v>
      </c>
      <c r="Z690">
        <f>IF($A690="",0,IF(AND($M690=1,$A690=经营数据!$B$3,$J690=经营数据!$BA$5,OR($I690=经营数据!$BA$4,COUNTIF(经营数据!$AA$9:$AA$38,$I690)&gt;0)),1,0))</f>
        <v>0</v>
      </c>
      <c r="AA690" t="str">
        <f t="shared" si="164"/>
        <v/>
      </c>
      <c r="AB690" t="str">
        <f t="shared" si="165"/>
        <v/>
      </c>
      <c r="AC690">
        <f>IF($A690="",0,IF(COUNTIF($A$2:$A690,$A690)=1,1,0))</f>
        <v>0</v>
      </c>
      <c r="AD690">
        <f t="shared" si="166"/>
        <v>8</v>
      </c>
      <c r="AE690" t="str">
        <f t="shared" si="167"/>
        <v>基金整体|期末实际出租面积（平方米）</v>
      </c>
    </row>
    <row r="691" spans="1:31" x14ac:dyDescent="0.4">
      <c r="A691" t="str">
        <f>IF(原始经营数据!$D692="","",原始经营数据!$D692)</f>
        <v>嘉实物美消费封闭式基础设施证券投资基金</v>
      </c>
      <c r="B691" t="str">
        <f>IF(原始经营数据!$D692="","",T(原始经营数据!$E692))</f>
        <v>基金整体</v>
      </c>
      <c r="C691" t="str">
        <f>IF(原始经营数据!$D692="","",原始经营数据!$F692)</f>
        <v>2025Q1</v>
      </c>
      <c r="D691" t="str">
        <f>IF(原始经营数据!$D692="","",原始经营数据!$H692)</f>
        <v>期末租金收缴率</v>
      </c>
      <c r="E691">
        <f>IF(原始经营数据!$D692="","",原始经营数据!$I692)</f>
        <v>99.5</v>
      </c>
      <c r="F691" t="str">
        <f>IF(原始经营数据!$D692="","",T(原始经营数据!$J692))</f>
        <v>%</v>
      </c>
      <c r="G691" t="str">
        <f>IF(原始经营数据!$D692="","",T(原始经营数据!$K692))</f>
        <v/>
      </c>
      <c r="H691" t="str">
        <f>IF(原始经营数据!$D692="","",原始经营数据!$G692)</f>
        <v>服务效率</v>
      </c>
      <c r="I691" t="str">
        <f>IF($A691="","",IF($B691&lt;&gt;"",$B691,IF(COUNTIFS(原始经营数据!$D$3:$D$3001,$A691,原始经营数据!$E$3:$E$3001,"",原始经营数据!$F$3:$F$3001,$C691,原始经营数据!$H$3:$H$3001,$D691,原始经营数据!$K$3:$K$3001,$G691)&gt;1,"基金整体·来源"&amp;原始经营数据!$A692,"基金整体")))</f>
        <v>基金整体</v>
      </c>
      <c r="J691" t="str">
        <f t="shared" si="153"/>
        <v>季度</v>
      </c>
      <c r="K691" t="str">
        <f t="shared" si="154"/>
        <v>期末租金收缴率（%）</v>
      </c>
      <c r="L691" t="str">
        <f t="shared" si="155"/>
        <v>基金整体|期末租金收缴率（%）|季度</v>
      </c>
      <c r="M691">
        <f>IF($A691="",0,IF(COUNTIF($L$2:$L691,$L691)=1,1,0))</f>
        <v>0</v>
      </c>
      <c r="N691">
        <f t="shared" si="156"/>
        <v>20251</v>
      </c>
      <c r="O691" t="str">
        <f t="shared" si="157"/>
        <v>嘉实物美消费封闭式基础设施证券投资基金|2025Q1|季度</v>
      </c>
      <c r="P691">
        <f>IF($A691="",0,IF(COUNTIF($O$2:$O691,$O691)=1,1,0))</f>
        <v>0</v>
      </c>
      <c r="Q691" t="str">
        <f>IF(AND($P691=1,$A691=经营数据!$B$3,$J691=经营数据!$BA$5),COUNTIFS($P$2:$P$3000,1,$A$2:$A$3000,$A691,$J$2:$J$3000,$J691,$N$2:$N$3000,"&lt;"&amp;$N691)+1,"")</f>
        <v/>
      </c>
      <c r="R691" t="str">
        <f t="shared" si="158"/>
        <v>嘉实物美消费封闭式基础设施证券投资基金|基金整体</v>
      </c>
      <c r="S691">
        <f>IF($A691="",0,IF(COUNTIF($R$2:$R691,$R691)=1,1,0))</f>
        <v>0</v>
      </c>
      <c r="T691">
        <f t="shared" si="159"/>
        <v>664</v>
      </c>
      <c r="U691" t="str">
        <f>IF($A691="","",IF($A691=经营数据!$B$3,COUNTIFS($S$2:$S$3000,1,$A$2:$A$3000,$A691,$T$2:$T$3000,"&lt;"&amp;$T691)+1,""))</f>
        <v/>
      </c>
      <c r="V691" t="str">
        <f t="shared" si="160"/>
        <v>基金整体|服务效率</v>
      </c>
      <c r="W691">
        <f t="shared" si="161"/>
        <v>2</v>
      </c>
      <c r="X691" t="str">
        <f t="shared" si="162"/>
        <v>基金整体|期末租金收缴率</v>
      </c>
      <c r="Y691">
        <f t="shared" si="163"/>
        <v>530</v>
      </c>
      <c r="Z691">
        <f>IF($A691="",0,IF(AND($M691=1,$A691=经营数据!$B$3,$J691=经营数据!$BA$5,OR($I691=经营数据!$BA$4,COUNTIF(经营数据!$AA$9:$AA$38,$I691)&gt;0)),1,0))</f>
        <v>0</v>
      </c>
      <c r="AA691" t="str">
        <f t="shared" si="164"/>
        <v/>
      </c>
      <c r="AB691" t="str">
        <f t="shared" si="165"/>
        <v/>
      </c>
      <c r="AC691">
        <f>IF($A691="",0,IF(COUNTIF($A$2:$A691,$A691)=1,1,0))</f>
        <v>0</v>
      </c>
      <c r="AD691">
        <f t="shared" si="166"/>
        <v>8</v>
      </c>
      <c r="AE691" t="str">
        <f t="shared" si="167"/>
        <v>基金整体|期末租金收缴率（%）</v>
      </c>
    </row>
    <row r="692" spans="1:31" x14ac:dyDescent="0.4">
      <c r="A692" t="str">
        <f>IF(原始经营数据!$D693="","",原始经营数据!$D693)</f>
        <v>嘉实物美消费封闭式基础设施证券投资基金</v>
      </c>
      <c r="B692" t="str">
        <f>IF(原始经营数据!$D693="","",T(原始经营数据!$E693))</f>
        <v>基金整体</v>
      </c>
      <c r="C692" t="str">
        <f>IF(原始经营数据!$D693="","",原始经营数据!$F693)</f>
        <v>2025Q1</v>
      </c>
      <c r="D692" t="str">
        <f>IF(原始经营数据!$D693="","",原始经营数据!$H693)</f>
        <v>期末剩余租期情况</v>
      </c>
      <c r="E692">
        <f>IF(原始经营数据!$D693="","",原始经营数据!$I693)</f>
        <v>7.18</v>
      </c>
      <c r="F692" t="str">
        <f>IF(原始经营数据!$D693="","",T(原始经营数据!$J693))</f>
        <v>年</v>
      </c>
      <c r="G692" t="str">
        <f>IF(原始经营数据!$D693="","",T(原始经营数据!$K693))</f>
        <v/>
      </c>
      <c r="H692" t="str">
        <f>IF(原始经营数据!$D693="","",原始经营数据!$G693)</f>
        <v>服务量</v>
      </c>
      <c r="I692" t="str">
        <f>IF($A692="","",IF($B692&lt;&gt;"",$B692,IF(COUNTIFS(原始经营数据!$D$3:$D$3001,$A692,原始经营数据!$E$3:$E$3001,"",原始经营数据!$F$3:$F$3001,$C692,原始经营数据!$H$3:$H$3001,$D692,原始经营数据!$K$3:$K$3001,$G692)&gt;1,"基金整体·来源"&amp;原始经营数据!$A693,"基金整体")))</f>
        <v>基金整体</v>
      </c>
      <c r="J692" t="str">
        <f t="shared" si="153"/>
        <v>季度</v>
      </c>
      <c r="K692" t="str">
        <f t="shared" si="154"/>
        <v>期末剩余租期情况（年）</v>
      </c>
      <c r="L692" t="str">
        <f t="shared" si="155"/>
        <v>基金整体|期末剩余租期情况（年）|季度</v>
      </c>
      <c r="M692">
        <f>IF($A692="",0,IF(COUNTIF($L$2:$L692,$L692)=1,1,0))</f>
        <v>0</v>
      </c>
      <c r="N692">
        <f t="shared" si="156"/>
        <v>20251</v>
      </c>
      <c r="O692" t="str">
        <f t="shared" si="157"/>
        <v>嘉实物美消费封闭式基础设施证券投资基金|2025Q1|季度</v>
      </c>
      <c r="P692">
        <f>IF($A692="",0,IF(COUNTIF($O$2:$O692,$O692)=1,1,0))</f>
        <v>0</v>
      </c>
      <c r="Q692" t="str">
        <f>IF(AND($P692=1,$A692=经营数据!$B$3,$J692=经营数据!$BA$5),COUNTIFS($P$2:$P$3000,1,$A$2:$A$3000,$A692,$J$2:$J$3000,$J692,$N$2:$N$3000,"&lt;"&amp;$N692)+1,"")</f>
        <v/>
      </c>
      <c r="R692" t="str">
        <f t="shared" si="158"/>
        <v>嘉实物美消费封闭式基础设施证券投资基金|基金整体</v>
      </c>
      <c r="S692">
        <f>IF($A692="",0,IF(COUNTIF($R$2:$R692,$R692)=1,1,0))</f>
        <v>0</v>
      </c>
      <c r="T692">
        <f t="shared" si="159"/>
        <v>664</v>
      </c>
      <c r="U692" t="str">
        <f>IF($A692="","",IF($A692=经营数据!$B$3,COUNTIFS($S$2:$S$3000,1,$A$2:$A$3000,$A692,$T$2:$T$3000,"&lt;"&amp;$T692)+1,""))</f>
        <v/>
      </c>
      <c r="V692" t="str">
        <f t="shared" si="160"/>
        <v>基金整体|服务量</v>
      </c>
      <c r="W692">
        <f t="shared" si="161"/>
        <v>1</v>
      </c>
      <c r="X692" t="str">
        <f t="shared" si="162"/>
        <v>基金整体|期末剩余租期情况</v>
      </c>
      <c r="Y692">
        <f t="shared" si="163"/>
        <v>665</v>
      </c>
      <c r="Z692">
        <f>IF($A692="",0,IF(AND($M692=1,$A692=经营数据!$B$3,$J692=经营数据!$BA$5,OR($I692=经营数据!$BA$4,COUNTIF(经营数据!$AA$9:$AA$38,$I692)&gt;0)),1,0))</f>
        <v>0</v>
      </c>
      <c r="AA692" t="str">
        <f t="shared" si="164"/>
        <v/>
      </c>
      <c r="AB692" t="str">
        <f t="shared" si="165"/>
        <v/>
      </c>
      <c r="AC692">
        <f>IF($A692="",0,IF(COUNTIF($A$2:$A692,$A692)=1,1,0))</f>
        <v>0</v>
      </c>
      <c r="AD692">
        <f t="shared" si="166"/>
        <v>8</v>
      </c>
      <c r="AE692" t="str">
        <f t="shared" si="167"/>
        <v>基金整体|期末剩余租期情况（年）</v>
      </c>
    </row>
    <row r="693" spans="1:31" x14ac:dyDescent="0.4">
      <c r="A693" t="str">
        <f>IF(原始经营数据!$D694="","",原始经营数据!$D694)</f>
        <v>嘉实物美消费封闭式基础设施证券投资基金</v>
      </c>
      <c r="B693" t="str">
        <f>IF(原始经营数据!$D694="","",T(原始经营数据!$E694))</f>
        <v>基金整体</v>
      </c>
      <c r="C693" t="str">
        <f>IF(原始经营数据!$D694="","",原始经营数据!$F694)</f>
        <v>2025Q1</v>
      </c>
      <c r="D693" t="str">
        <f>IF(原始经营数据!$D694="","",原始经营数据!$H694)</f>
        <v>期内租金单价水平</v>
      </c>
      <c r="E693">
        <f>IF(原始经营数据!$D694="","",原始经营数据!$I694)</f>
        <v>3.81</v>
      </c>
      <c r="F693" t="str">
        <f>IF(原始经营数据!$D694="","",T(原始经营数据!$J694))</f>
        <v>元/平方米/天</v>
      </c>
      <c r="G693" t="str">
        <f>IF(原始经营数据!$D694="","",T(原始经营数据!$K694))</f>
        <v/>
      </c>
      <c r="H693" t="str">
        <f>IF(原始经营数据!$D694="","",原始经营数据!$G694)</f>
        <v>服务价格</v>
      </c>
      <c r="I693" t="str">
        <f>IF($A693="","",IF($B693&lt;&gt;"",$B693,IF(COUNTIFS(原始经营数据!$D$3:$D$3001,$A693,原始经营数据!$E$3:$E$3001,"",原始经营数据!$F$3:$F$3001,$C693,原始经营数据!$H$3:$H$3001,$D693,原始经营数据!$K$3:$K$3001,$G693)&gt;1,"基金整体·来源"&amp;原始经营数据!$A694,"基金整体")))</f>
        <v>基金整体</v>
      </c>
      <c r="J693" t="str">
        <f t="shared" si="153"/>
        <v>季度</v>
      </c>
      <c r="K693" t="str">
        <f t="shared" si="154"/>
        <v>期内租金单价水平（元/平方米/天）</v>
      </c>
      <c r="L693" t="str">
        <f t="shared" si="155"/>
        <v>基金整体|期内租金单价水平（元/平方米/天）|季度</v>
      </c>
      <c r="M693">
        <f>IF($A693="",0,IF(COUNTIF($L$2:$L693,$L693)=1,1,0))</f>
        <v>0</v>
      </c>
      <c r="N693">
        <f t="shared" si="156"/>
        <v>20251</v>
      </c>
      <c r="O693" t="str">
        <f t="shared" si="157"/>
        <v>嘉实物美消费封闭式基础设施证券投资基金|2025Q1|季度</v>
      </c>
      <c r="P693">
        <f>IF($A693="",0,IF(COUNTIF($O$2:$O693,$O693)=1,1,0))</f>
        <v>0</v>
      </c>
      <c r="Q693" t="str">
        <f>IF(AND($P693=1,$A693=经营数据!$B$3,$J693=经营数据!$BA$5),COUNTIFS($P$2:$P$3000,1,$A$2:$A$3000,$A693,$J$2:$J$3000,$J693,$N$2:$N$3000,"&lt;"&amp;$N693)+1,"")</f>
        <v/>
      </c>
      <c r="R693" t="str">
        <f t="shared" si="158"/>
        <v>嘉实物美消费封闭式基础设施证券投资基金|基金整体</v>
      </c>
      <c r="S693">
        <f>IF($A693="",0,IF(COUNTIF($R$2:$R693,$R693)=1,1,0))</f>
        <v>0</v>
      </c>
      <c r="T693">
        <f t="shared" si="159"/>
        <v>664</v>
      </c>
      <c r="U693" t="str">
        <f>IF($A693="","",IF($A693=经营数据!$B$3,COUNTIFS($S$2:$S$3000,1,$A$2:$A$3000,$A693,$T$2:$T$3000,"&lt;"&amp;$T693)+1,""))</f>
        <v/>
      </c>
      <c r="V693" t="str">
        <f t="shared" si="160"/>
        <v>基金整体|服务价格</v>
      </c>
      <c r="W693">
        <f t="shared" si="161"/>
        <v>10</v>
      </c>
      <c r="X693" t="str">
        <f t="shared" si="162"/>
        <v>基金整体|期内租金单价水平</v>
      </c>
      <c r="Y693">
        <f t="shared" si="163"/>
        <v>529</v>
      </c>
      <c r="Z693">
        <f>IF($A693="",0,IF(AND($M693=1,$A693=经营数据!$B$3,$J693=经营数据!$BA$5,OR($I693=经营数据!$BA$4,COUNTIF(经营数据!$AA$9:$AA$38,$I693)&gt;0)),1,0))</f>
        <v>0</v>
      </c>
      <c r="AA693" t="str">
        <f t="shared" si="164"/>
        <v/>
      </c>
      <c r="AB693" t="str">
        <f t="shared" si="165"/>
        <v/>
      </c>
      <c r="AC693">
        <f>IF($A693="",0,IF(COUNTIF($A$2:$A693,$A693)=1,1,0))</f>
        <v>0</v>
      </c>
      <c r="AD693">
        <f t="shared" si="166"/>
        <v>8</v>
      </c>
      <c r="AE693" t="str">
        <f t="shared" si="167"/>
        <v>基金整体|期内租金单价水平（元/平方米/天）</v>
      </c>
    </row>
    <row r="694" spans="1:31" x14ac:dyDescent="0.4">
      <c r="A694" t="str">
        <f>IF(原始经营数据!$D695="","",原始经营数据!$D695)</f>
        <v>嘉实物美消费封闭式基础设施证券投资基金</v>
      </c>
      <c r="B694" t="str">
        <f>IF(原始经营数据!$D695="","",T(原始经营数据!$E695))</f>
        <v>基金整体</v>
      </c>
      <c r="C694" t="str">
        <f>IF(原始经营数据!$D695="","",原始经营数据!$F695)</f>
        <v>2025Q1</v>
      </c>
      <c r="D694" t="str">
        <f>IF(原始经营数据!$D695="","",原始经营数据!$H695)</f>
        <v>期末出租率</v>
      </c>
      <c r="E694">
        <f>IF(原始经营数据!$D695="","",原始经营数据!$I695)</f>
        <v>95.3</v>
      </c>
      <c r="F694" t="str">
        <f>IF(原始经营数据!$D695="","",T(原始经营数据!$J695))</f>
        <v>%</v>
      </c>
      <c r="G694" t="str">
        <f>IF(原始经营数据!$D695="","",T(原始经营数据!$K695))</f>
        <v/>
      </c>
      <c r="H694" t="str">
        <f>IF(原始经营数据!$D695="","",原始经营数据!$G695)</f>
        <v>服务效率</v>
      </c>
      <c r="I694" t="str">
        <f>IF($A694="","",IF($B694&lt;&gt;"",$B694,IF(COUNTIFS(原始经营数据!$D$3:$D$3001,$A694,原始经营数据!$E$3:$E$3001,"",原始经营数据!$F$3:$F$3001,$C694,原始经营数据!$H$3:$H$3001,$D694,原始经营数据!$K$3:$K$3001,$G694)&gt;1,"基金整体·来源"&amp;原始经营数据!$A695,"基金整体")))</f>
        <v>基金整体</v>
      </c>
      <c r="J694" t="str">
        <f t="shared" si="153"/>
        <v>季度</v>
      </c>
      <c r="K694" t="str">
        <f t="shared" si="154"/>
        <v>期末出租率（%）</v>
      </c>
      <c r="L694" t="str">
        <f t="shared" si="155"/>
        <v>基金整体|期末出租率（%）|季度</v>
      </c>
      <c r="M694">
        <f>IF($A694="",0,IF(COUNTIF($L$2:$L694,$L694)=1,1,0))</f>
        <v>0</v>
      </c>
      <c r="N694">
        <f t="shared" si="156"/>
        <v>20251</v>
      </c>
      <c r="O694" t="str">
        <f t="shared" si="157"/>
        <v>嘉实物美消费封闭式基础设施证券投资基金|2025Q1|季度</v>
      </c>
      <c r="P694">
        <f>IF($A694="",0,IF(COUNTIF($O$2:$O694,$O694)=1,1,0))</f>
        <v>0</v>
      </c>
      <c r="Q694" t="str">
        <f>IF(AND($P694=1,$A694=经营数据!$B$3,$J694=经营数据!$BA$5),COUNTIFS($P$2:$P$3000,1,$A$2:$A$3000,$A694,$J$2:$J$3000,$J694,$N$2:$N$3000,"&lt;"&amp;$N694)+1,"")</f>
        <v/>
      </c>
      <c r="R694" t="str">
        <f t="shared" si="158"/>
        <v>嘉实物美消费封闭式基础设施证券投资基金|基金整体</v>
      </c>
      <c r="S694">
        <f>IF($A694="",0,IF(COUNTIF($R$2:$R694,$R694)=1,1,0))</f>
        <v>0</v>
      </c>
      <c r="T694">
        <f t="shared" si="159"/>
        <v>664</v>
      </c>
      <c r="U694" t="str">
        <f>IF($A694="","",IF($A694=经营数据!$B$3,COUNTIFS($S$2:$S$3000,1,$A$2:$A$3000,$A694,$T$2:$T$3000,"&lt;"&amp;$T694)+1,""))</f>
        <v/>
      </c>
      <c r="V694" t="str">
        <f t="shared" si="160"/>
        <v>基金整体|服务效率</v>
      </c>
      <c r="W694">
        <f t="shared" si="161"/>
        <v>2</v>
      </c>
      <c r="X694" t="str">
        <f t="shared" si="162"/>
        <v>基金整体|期末出租率</v>
      </c>
      <c r="Y694">
        <f t="shared" si="163"/>
        <v>5</v>
      </c>
      <c r="Z694">
        <f>IF($A694="",0,IF(AND($M694=1,$A694=经营数据!$B$3,$J694=经营数据!$BA$5,OR($I694=经营数据!$BA$4,COUNTIF(经营数据!$AA$9:$AA$38,$I694)&gt;0)),1,0))</f>
        <v>0</v>
      </c>
      <c r="AA694" t="str">
        <f t="shared" si="164"/>
        <v/>
      </c>
      <c r="AB694" t="str">
        <f t="shared" si="165"/>
        <v/>
      </c>
      <c r="AC694">
        <f>IF($A694="",0,IF(COUNTIF($A$2:$A694,$A694)=1,1,0))</f>
        <v>0</v>
      </c>
      <c r="AD694">
        <f t="shared" si="166"/>
        <v>8</v>
      </c>
      <c r="AE694" t="str">
        <f t="shared" si="167"/>
        <v>基金整体|期末出租率（%）</v>
      </c>
    </row>
    <row r="695" spans="1:31" x14ac:dyDescent="0.4">
      <c r="A695" t="str">
        <f>IF(原始经营数据!$D696="","",原始经营数据!$D696)</f>
        <v>嘉实物美消费封闭式基础设施证券投资基金</v>
      </c>
      <c r="B695" t="str">
        <f>IF(原始经营数据!$D696="","",T(原始经营数据!$E696))</f>
        <v>基金整体</v>
      </c>
      <c r="C695" t="str">
        <f>IF(原始经营数据!$D696="","",原始经营数据!$F696)</f>
        <v>2025Q2</v>
      </c>
      <c r="D695" t="str">
        <f>IF(原始经营数据!$D696="","",原始经营数据!$H696)</f>
        <v>期末实际出租面积</v>
      </c>
      <c r="E695">
        <f>IF(原始经营数据!$D696="","",原始经营数据!$I696)</f>
        <v>74448</v>
      </c>
      <c r="F695" t="str">
        <f>IF(原始经营数据!$D696="","",T(原始经营数据!$J696))</f>
        <v>平方米</v>
      </c>
      <c r="G695" t="str">
        <f>IF(原始经营数据!$D696="","",T(原始经营数据!$K696))</f>
        <v/>
      </c>
      <c r="H695" t="str">
        <f>IF(原始经营数据!$D696="","",原始经营数据!$G696)</f>
        <v>服务量</v>
      </c>
      <c r="I695" t="str">
        <f>IF($A695="","",IF($B695&lt;&gt;"",$B695,IF(COUNTIFS(原始经营数据!$D$3:$D$3001,$A695,原始经营数据!$E$3:$E$3001,"",原始经营数据!$F$3:$F$3001,$C695,原始经营数据!$H$3:$H$3001,$D695,原始经营数据!$K$3:$K$3001,$G695)&gt;1,"基金整体·来源"&amp;原始经营数据!$A696,"基金整体")))</f>
        <v>基金整体</v>
      </c>
      <c r="J695" t="str">
        <f t="shared" si="153"/>
        <v>季度</v>
      </c>
      <c r="K695" t="str">
        <f t="shared" si="154"/>
        <v>期末实际出租面积（平方米）</v>
      </c>
      <c r="L695" t="str">
        <f t="shared" si="155"/>
        <v>基金整体|期末实际出租面积（平方米）|季度</v>
      </c>
      <c r="M695">
        <f>IF($A695="",0,IF(COUNTIF($L$2:$L695,$L695)=1,1,0))</f>
        <v>0</v>
      </c>
      <c r="N695">
        <f t="shared" si="156"/>
        <v>20252</v>
      </c>
      <c r="O695" t="str">
        <f t="shared" si="157"/>
        <v>嘉实物美消费封闭式基础设施证券投资基金|2025Q2|季度</v>
      </c>
      <c r="P695">
        <f>IF($A695="",0,IF(COUNTIF($O$2:$O695,$O695)=1,1,0))</f>
        <v>1</v>
      </c>
      <c r="Q695" t="str">
        <f>IF(AND($P695=1,$A695=经营数据!$B$3,$J695=经营数据!$BA$5),COUNTIFS($P$2:$P$3000,1,$A$2:$A$3000,$A695,$J$2:$J$3000,$J695,$N$2:$N$3000,"&lt;"&amp;$N695)+1,"")</f>
        <v/>
      </c>
      <c r="R695" t="str">
        <f t="shared" si="158"/>
        <v>嘉实物美消费封闭式基础设施证券投资基金|基金整体</v>
      </c>
      <c r="S695">
        <f>IF($A695="",0,IF(COUNTIF($R$2:$R695,$R695)=1,1,0))</f>
        <v>0</v>
      </c>
      <c r="T695">
        <f t="shared" si="159"/>
        <v>664</v>
      </c>
      <c r="U695" t="str">
        <f>IF($A695="","",IF($A695=经营数据!$B$3,COUNTIFS($S$2:$S$3000,1,$A$2:$A$3000,$A695,$T$2:$T$3000,"&lt;"&amp;$T695)+1,""))</f>
        <v/>
      </c>
      <c r="V695" t="str">
        <f t="shared" si="160"/>
        <v>基金整体|服务量</v>
      </c>
      <c r="W695">
        <f t="shared" si="161"/>
        <v>1</v>
      </c>
      <c r="X695" t="str">
        <f t="shared" si="162"/>
        <v>基金整体|期末实际出租面积</v>
      </c>
      <c r="Y695">
        <f t="shared" si="163"/>
        <v>4</v>
      </c>
      <c r="Z695">
        <f>IF($A695="",0,IF(AND($M695=1,$A695=经营数据!$B$3,$J695=经营数据!$BA$5,OR($I695=经营数据!$BA$4,COUNTIF(经营数据!$AA$9:$AA$38,$I695)&gt;0)),1,0))</f>
        <v>0</v>
      </c>
      <c r="AA695" t="str">
        <f t="shared" si="164"/>
        <v/>
      </c>
      <c r="AB695" t="str">
        <f t="shared" si="165"/>
        <v/>
      </c>
      <c r="AC695">
        <f>IF($A695="",0,IF(COUNTIF($A$2:$A695,$A695)=1,1,0))</f>
        <v>0</v>
      </c>
      <c r="AD695">
        <f t="shared" si="166"/>
        <v>8</v>
      </c>
      <c r="AE695" t="str">
        <f t="shared" si="167"/>
        <v>基金整体|期末实际出租面积（平方米）</v>
      </c>
    </row>
    <row r="696" spans="1:31" x14ac:dyDescent="0.4">
      <c r="A696" t="str">
        <f>IF(原始经营数据!$D697="","",原始经营数据!$D697)</f>
        <v>嘉实物美消费封闭式基础设施证券投资基金</v>
      </c>
      <c r="B696" t="str">
        <f>IF(原始经营数据!$D697="","",T(原始经营数据!$E697))</f>
        <v>基金整体</v>
      </c>
      <c r="C696" t="str">
        <f>IF(原始经营数据!$D697="","",原始经营数据!$F697)</f>
        <v>2025Q2</v>
      </c>
      <c r="D696" t="str">
        <f>IF(原始经营数据!$D697="","",原始经营数据!$H697)</f>
        <v>期末可供出租面积</v>
      </c>
      <c r="E696">
        <f>IF(原始经营数据!$D697="","",原始经营数据!$I697)</f>
        <v>77894.28</v>
      </c>
      <c r="F696" t="str">
        <f>IF(原始经营数据!$D697="","",T(原始经营数据!$J697))</f>
        <v>平方米</v>
      </c>
      <c r="G696" t="str">
        <f>IF(原始经营数据!$D697="","",T(原始经营数据!$K697))</f>
        <v/>
      </c>
      <c r="H696" t="str">
        <f>IF(原始经营数据!$D697="","",原始经营数据!$G697)</f>
        <v>服务量</v>
      </c>
      <c r="I696" t="str">
        <f>IF($A696="","",IF($B696&lt;&gt;"",$B696,IF(COUNTIFS(原始经营数据!$D$3:$D$3001,$A696,原始经营数据!$E$3:$E$3001,"",原始经营数据!$F$3:$F$3001,$C696,原始经营数据!$H$3:$H$3001,$D696,原始经营数据!$K$3:$K$3001,$G696)&gt;1,"基金整体·来源"&amp;原始经营数据!$A697,"基金整体")))</f>
        <v>基金整体</v>
      </c>
      <c r="J696" t="str">
        <f t="shared" si="153"/>
        <v>季度</v>
      </c>
      <c r="K696" t="str">
        <f t="shared" si="154"/>
        <v>期末可供出租面积（平方米）</v>
      </c>
      <c r="L696" t="str">
        <f t="shared" si="155"/>
        <v>基金整体|期末可供出租面积（平方米）|季度</v>
      </c>
      <c r="M696">
        <f>IF($A696="",0,IF(COUNTIF($L$2:$L696,$L696)=1,1,0))</f>
        <v>0</v>
      </c>
      <c r="N696">
        <f t="shared" si="156"/>
        <v>20252</v>
      </c>
      <c r="O696" t="str">
        <f t="shared" si="157"/>
        <v>嘉实物美消费封闭式基础设施证券投资基金|2025Q2|季度</v>
      </c>
      <c r="P696">
        <f>IF($A696="",0,IF(COUNTIF($O$2:$O696,$O696)=1,1,0))</f>
        <v>0</v>
      </c>
      <c r="Q696" t="str">
        <f>IF(AND($P696=1,$A696=经营数据!$B$3,$J696=经营数据!$BA$5),COUNTIFS($P$2:$P$3000,1,$A$2:$A$3000,$A696,$J$2:$J$3000,$J696,$N$2:$N$3000,"&lt;"&amp;$N696)+1,"")</f>
        <v/>
      </c>
      <c r="R696" t="str">
        <f t="shared" si="158"/>
        <v>嘉实物美消费封闭式基础设施证券投资基金|基金整体</v>
      </c>
      <c r="S696">
        <f>IF($A696="",0,IF(COUNTIF($R$2:$R696,$R696)=1,1,0))</f>
        <v>0</v>
      </c>
      <c r="T696">
        <f t="shared" si="159"/>
        <v>664</v>
      </c>
      <c r="U696" t="str">
        <f>IF($A696="","",IF($A696=经营数据!$B$3,COUNTIFS($S$2:$S$3000,1,$A$2:$A$3000,$A696,$T$2:$T$3000,"&lt;"&amp;$T696)+1,""))</f>
        <v/>
      </c>
      <c r="V696" t="str">
        <f t="shared" si="160"/>
        <v>基金整体|服务量</v>
      </c>
      <c r="W696">
        <f t="shared" si="161"/>
        <v>1</v>
      </c>
      <c r="X696" t="str">
        <f t="shared" si="162"/>
        <v>基金整体|期末可供出租面积</v>
      </c>
      <c r="Y696">
        <f t="shared" si="163"/>
        <v>3</v>
      </c>
      <c r="Z696">
        <f>IF($A696="",0,IF(AND($M696=1,$A696=经营数据!$B$3,$J696=经营数据!$BA$5,OR($I696=经营数据!$BA$4,COUNTIF(经营数据!$AA$9:$AA$38,$I696)&gt;0)),1,0))</f>
        <v>0</v>
      </c>
      <c r="AA696" t="str">
        <f t="shared" si="164"/>
        <v/>
      </c>
      <c r="AB696" t="str">
        <f t="shared" si="165"/>
        <v/>
      </c>
      <c r="AC696">
        <f>IF($A696="",0,IF(COUNTIF($A$2:$A696,$A696)=1,1,0))</f>
        <v>0</v>
      </c>
      <c r="AD696">
        <f t="shared" si="166"/>
        <v>8</v>
      </c>
      <c r="AE696" t="str">
        <f t="shared" si="167"/>
        <v>基金整体|期末可供出租面积（平方米）</v>
      </c>
    </row>
    <row r="697" spans="1:31" x14ac:dyDescent="0.4">
      <c r="A697" t="str">
        <f>IF(原始经营数据!$D698="","",原始经营数据!$D698)</f>
        <v>嘉实物美消费封闭式基础设施证券投资基金</v>
      </c>
      <c r="B697" t="str">
        <f>IF(原始经营数据!$D698="","",T(原始经营数据!$E698))</f>
        <v>基金整体</v>
      </c>
      <c r="C697" t="str">
        <f>IF(原始经营数据!$D698="","",原始经营数据!$F698)</f>
        <v>2025Q2</v>
      </c>
      <c r="D697" t="str">
        <f>IF(原始经营数据!$D698="","",原始经营数据!$H698)</f>
        <v>期末出租率</v>
      </c>
      <c r="E697">
        <f>IF(原始经营数据!$D698="","",原始经营数据!$I698)</f>
        <v>95.58</v>
      </c>
      <c r="F697" t="str">
        <f>IF(原始经营数据!$D698="","",T(原始经营数据!$J698))</f>
        <v>%</v>
      </c>
      <c r="G697" t="str">
        <f>IF(原始经营数据!$D698="","",T(原始经营数据!$K698))</f>
        <v/>
      </c>
      <c r="H697" t="str">
        <f>IF(原始经营数据!$D698="","",原始经营数据!$G698)</f>
        <v>服务效率</v>
      </c>
      <c r="I697" t="str">
        <f>IF($A697="","",IF($B697&lt;&gt;"",$B697,IF(COUNTIFS(原始经营数据!$D$3:$D$3001,$A697,原始经营数据!$E$3:$E$3001,"",原始经营数据!$F$3:$F$3001,$C697,原始经营数据!$H$3:$H$3001,$D697,原始经营数据!$K$3:$K$3001,$G697)&gt;1,"基金整体·来源"&amp;原始经营数据!$A698,"基金整体")))</f>
        <v>基金整体</v>
      </c>
      <c r="J697" t="str">
        <f t="shared" si="153"/>
        <v>季度</v>
      </c>
      <c r="K697" t="str">
        <f t="shared" si="154"/>
        <v>期末出租率（%）</v>
      </c>
      <c r="L697" t="str">
        <f t="shared" si="155"/>
        <v>基金整体|期末出租率（%）|季度</v>
      </c>
      <c r="M697">
        <f>IF($A697="",0,IF(COUNTIF($L$2:$L697,$L697)=1,1,0))</f>
        <v>0</v>
      </c>
      <c r="N697">
        <f t="shared" si="156"/>
        <v>20252</v>
      </c>
      <c r="O697" t="str">
        <f t="shared" si="157"/>
        <v>嘉实物美消费封闭式基础设施证券投资基金|2025Q2|季度</v>
      </c>
      <c r="P697">
        <f>IF($A697="",0,IF(COUNTIF($O$2:$O697,$O697)=1,1,0))</f>
        <v>0</v>
      </c>
      <c r="Q697" t="str">
        <f>IF(AND($P697=1,$A697=经营数据!$B$3,$J697=经营数据!$BA$5),COUNTIFS($P$2:$P$3000,1,$A$2:$A$3000,$A697,$J$2:$J$3000,$J697,$N$2:$N$3000,"&lt;"&amp;$N697)+1,"")</f>
        <v/>
      </c>
      <c r="R697" t="str">
        <f t="shared" si="158"/>
        <v>嘉实物美消费封闭式基础设施证券投资基金|基金整体</v>
      </c>
      <c r="S697">
        <f>IF($A697="",0,IF(COUNTIF($R$2:$R697,$R697)=1,1,0))</f>
        <v>0</v>
      </c>
      <c r="T697">
        <f t="shared" si="159"/>
        <v>664</v>
      </c>
      <c r="U697" t="str">
        <f>IF($A697="","",IF($A697=经营数据!$B$3,COUNTIFS($S$2:$S$3000,1,$A$2:$A$3000,$A697,$T$2:$T$3000,"&lt;"&amp;$T697)+1,""))</f>
        <v/>
      </c>
      <c r="V697" t="str">
        <f t="shared" si="160"/>
        <v>基金整体|服务效率</v>
      </c>
      <c r="W697">
        <f t="shared" si="161"/>
        <v>2</v>
      </c>
      <c r="X697" t="str">
        <f t="shared" si="162"/>
        <v>基金整体|期末出租率</v>
      </c>
      <c r="Y697">
        <f t="shared" si="163"/>
        <v>5</v>
      </c>
      <c r="Z697">
        <f>IF($A697="",0,IF(AND($M697=1,$A697=经营数据!$B$3,$J697=经营数据!$BA$5,OR($I697=经营数据!$BA$4,COUNTIF(经营数据!$AA$9:$AA$38,$I697)&gt;0)),1,0))</f>
        <v>0</v>
      </c>
      <c r="AA697" t="str">
        <f t="shared" si="164"/>
        <v/>
      </c>
      <c r="AB697" t="str">
        <f t="shared" si="165"/>
        <v/>
      </c>
      <c r="AC697">
        <f>IF($A697="",0,IF(COUNTIF($A$2:$A697,$A697)=1,1,0))</f>
        <v>0</v>
      </c>
      <c r="AD697">
        <f t="shared" si="166"/>
        <v>8</v>
      </c>
      <c r="AE697" t="str">
        <f t="shared" si="167"/>
        <v>基金整体|期末出租率（%）</v>
      </c>
    </row>
    <row r="698" spans="1:31" x14ac:dyDescent="0.4">
      <c r="A698" t="str">
        <f>IF(原始经营数据!$D699="","",原始经营数据!$D699)</f>
        <v>嘉实物美消费封闭式基础设施证券投资基金</v>
      </c>
      <c r="B698" t="str">
        <f>IF(原始经营数据!$D699="","",T(原始经营数据!$E699))</f>
        <v>基金整体</v>
      </c>
      <c r="C698" t="str">
        <f>IF(原始经营数据!$D699="","",原始经营数据!$F699)</f>
        <v>2025Q2</v>
      </c>
      <c r="D698" t="str">
        <f>IF(原始经营数据!$D699="","",原始经营数据!$H699)</f>
        <v>期内租金单价水平</v>
      </c>
      <c r="E698">
        <f>IF(原始经营数据!$D699="","",原始经营数据!$I699)</f>
        <v>3.82</v>
      </c>
      <c r="F698" t="str">
        <f>IF(原始经营数据!$D699="","",T(原始经营数据!$J699))</f>
        <v>元/平方米/天</v>
      </c>
      <c r="G698" t="str">
        <f>IF(原始经营数据!$D699="","",T(原始经营数据!$K699))</f>
        <v/>
      </c>
      <c r="H698" t="str">
        <f>IF(原始经营数据!$D699="","",原始经营数据!$G699)</f>
        <v>服务价格</v>
      </c>
      <c r="I698" t="str">
        <f>IF($A698="","",IF($B698&lt;&gt;"",$B698,IF(COUNTIFS(原始经营数据!$D$3:$D$3001,$A698,原始经营数据!$E$3:$E$3001,"",原始经营数据!$F$3:$F$3001,$C698,原始经营数据!$H$3:$H$3001,$D698,原始经营数据!$K$3:$K$3001,$G698)&gt;1,"基金整体·来源"&amp;原始经营数据!$A699,"基金整体")))</f>
        <v>基金整体</v>
      </c>
      <c r="J698" t="str">
        <f t="shared" si="153"/>
        <v>季度</v>
      </c>
      <c r="K698" t="str">
        <f t="shared" si="154"/>
        <v>期内租金单价水平（元/平方米/天）</v>
      </c>
      <c r="L698" t="str">
        <f t="shared" si="155"/>
        <v>基金整体|期内租金单价水平（元/平方米/天）|季度</v>
      </c>
      <c r="M698">
        <f>IF($A698="",0,IF(COUNTIF($L$2:$L698,$L698)=1,1,0))</f>
        <v>0</v>
      </c>
      <c r="N698">
        <f t="shared" si="156"/>
        <v>20252</v>
      </c>
      <c r="O698" t="str">
        <f t="shared" si="157"/>
        <v>嘉实物美消费封闭式基础设施证券投资基金|2025Q2|季度</v>
      </c>
      <c r="P698">
        <f>IF($A698="",0,IF(COUNTIF($O$2:$O698,$O698)=1,1,0))</f>
        <v>0</v>
      </c>
      <c r="Q698" t="str">
        <f>IF(AND($P698=1,$A698=经营数据!$B$3,$J698=经营数据!$BA$5),COUNTIFS($P$2:$P$3000,1,$A$2:$A$3000,$A698,$J$2:$J$3000,$J698,$N$2:$N$3000,"&lt;"&amp;$N698)+1,"")</f>
        <v/>
      </c>
      <c r="R698" t="str">
        <f t="shared" si="158"/>
        <v>嘉实物美消费封闭式基础设施证券投资基金|基金整体</v>
      </c>
      <c r="S698">
        <f>IF($A698="",0,IF(COUNTIF($R$2:$R698,$R698)=1,1,0))</f>
        <v>0</v>
      </c>
      <c r="T698">
        <f t="shared" si="159"/>
        <v>664</v>
      </c>
      <c r="U698" t="str">
        <f>IF($A698="","",IF($A698=经营数据!$B$3,COUNTIFS($S$2:$S$3000,1,$A$2:$A$3000,$A698,$T$2:$T$3000,"&lt;"&amp;$T698)+1,""))</f>
        <v/>
      </c>
      <c r="V698" t="str">
        <f t="shared" si="160"/>
        <v>基金整体|服务价格</v>
      </c>
      <c r="W698">
        <f t="shared" si="161"/>
        <v>10</v>
      </c>
      <c r="X698" t="str">
        <f t="shared" si="162"/>
        <v>基金整体|期内租金单价水平</v>
      </c>
      <c r="Y698">
        <f t="shared" si="163"/>
        <v>529</v>
      </c>
      <c r="Z698">
        <f>IF($A698="",0,IF(AND($M698=1,$A698=经营数据!$B$3,$J698=经营数据!$BA$5,OR($I698=经营数据!$BA$4,COUNTIF(经营数据!$AA$9:$AA$38,$I698)&gt;0)),1,0))</f>
        <v>0</v>
      </c>
      <c r="AA698" t="str">
        <f t="shared" si="164"/>
        <v/>
      </c>
      <c r="AB698" t="str">
        <f t="shared" si="165"/>
        <v/>
      </c>
      <c r="AC698">
        <f>IF($A698="",0,IF(COUNTIF($A$2:$A698,$A698)=1,1,0))</f>
        <v>0</v>
      </c>
      <c r="AD698">
        <f t="shared" si="166"/>
        <v>8</v>
      </c>
      <c r="AE698" t="str">
        <f t="shared" si="167"/>
        <v>基金整体|期内租金单价水平（元/平方米/天）</v>
      </c>
    </row>
    <row r="699" spans="1:31" x14ac:dyDescent="0.4">
      <c r="A699" t="str">
        <f>IF(原始经营数据!$D700="","",原始经营数据!$D700)</f>
        <v>嘉实物美消费封闭式基础设施证券投资基金</v>
      </c>
      <c r="B699" t="str">
        <f>IF(原始经营数据!$D700="","",T(原始经营数据!$E700))</f>
        <v>基金整体</v>
      </c>
      <c r="C699" t="str">
        <f>IF(原始经营数据!$D700="","",原始经营数据!$F700)</f>
        <v>2025Q2</v>
      </c>
      <c r="D699" t="str">
        <f>IF(原始经营数据!$D700="","",原始经营数据!$H700)</f>
        <v>期末租金收缴率</v>
      </c>
      <c r="E699">
        <f>IF(原始经营数据!$D700="","",原始经营数据!$I700)</f>
        <v>99.07</v>
      </c>
      <c r="F699" t="str">
        <f>IF(原始经营数据!$D700="","",T(原始经营数据!$J700))</f>
        <v>%</v>
      </c>
      <c r="G699" t="str">
        <f>IF(原始经营数据!$D700="","",T(原始经营数据!$K700))</f>
        <v/>
      </c>
      <c r="H699" t="str">
        <f>IF(原始经营数据!$D700="","",原始经营数据!$G700)</f>
        <v>服务效率</v>
      </c>
      <c r="I699" t="str">
        <f>IF($A699="","",IF($B699&lt;&gt;"",$B699,IF(COUNTIFS(原始经营数据!$D$3:$D$3001,$A699,原始经营数据!$E$3:$E$3001,"",原始经营数据!$F$3:$F$3001,$C699,原始经营数据!$H$3:$H$3001,$D699,原始经营数据!$K$3:$K$3001,$G699)&gt;1,"基金整体·来源"&amp;原始经营数据!$A700,"基金整体")))</f>
        <v>基金整体</v>
      </c>
      <c r="J699" t="str">
        <f t="shared" si="153"/>
        <v>季度</v>
      </c>
      <c r="K699" t="str">
        <f t="shared" si="154"/>
        <v>期末租金收缴率（%）</v>
      </c>
      <c r="L699" t="str">
        <f t="shared" si="155"/>
        <v>基金整体|期末租金收缴率（%）|季度</v>
      </c>
      <c r="M699">
        <f>IF($A699="",0,IF(COUNTIF($L$2:$L699,$L699)=1,1,0))</f>
        <v>0</v>
      </c>
      <c r="N699">
        <f t="shared" si="156"/>
        <v>20252</v>
      </c>
      <c r="O699" t="str">
        <f t="shared" si="157"/>
        <v>嘉实物美消费封闭式基础设施证券投资基金|2025Q2|季度</v>
      </c>
      <c r="P699">
        <f>IF($A699="",0,IF(COUNTIF($O$2:$O699,$O699)=1,1,0))</f>
        <v>0</v>
      </c>
      <c r="Q699" t="str">
        <f>IF(AND($P699=1,$A699=经营数据!$B$3,$J699=经营数据!$BA$5),COUNTIFS($P$2:$P$3000,1,$A$2:$A$3000,$A699,$J$2:$J$3000,$J699,$N$2:$N$3000,"&lt;"&amp;$N699)+1,"")</f>
        <v/>
      </c>
      <c r="R699" t="str">
        <f t="shared" si="158"/>
        <v>嘉实物美消费封闭式基础设施证券投资基金|基金整体</v>
      </c>
      <c r="S699">
        <f>IF($A699="",0,IF(COUNTIF($R$2:$R699,$R699)=1,1,0))</f>
        <v>0</v>
      </c>
      <c r="T699">
        <f t="shared" si="159"/>
        <v>664</v>
      </c>
      <c r="U699" t="str">
        <f>IF($A699="","",IF($A699=经营数据!$B$3,COUNTIFS($S$2:$S$3000,1,$A$2:$A$3000,$A699,$T$2:$T$3000,"&lt;"&amp;$T699)+1,""))</f>
        <v/>
      </c>
      <c r="V699" t="str">
        <f t="shared" si="160"/>
        <v>基金整体|服务效率</v>
      </c>
      <c r="W699">
        <f t="shared" si="161"/>
        <v>2</v>
      </c>
      <c r="X699" t="str">
        <f t="shared" si="162"/>
        <v>基金整体|期末租金收缴率</v>
      </c>
      <c r="Y699">
        <f t="shared" si="163"/>
        <v>530</v>
      </c>
      <c r="Z699">
        <f>IF($A699="",0,IF(AND($M699=1,$A699=经营数据!$B$3,$J699=经营数据!$BA$5,OR($I699=经营数据!$BA$4,COUNTIF(经营数据!$AA$9:$AA$38,$I699)&gt;0)),1,0))</f>
        <v>0</v>
      </c>
      <c r="AA699" t="str">
        <f t="shared" si="164"/>
        <v/>
      </c>
      <c r="AB699" t="str">
        <f t="shared" si="165"/>
        <v/>
      </c>
      <c r="AC699">
        <f>IF($A699="",0,IF(COUNTIF($A$2:$A699,$A699)=1,1,0))</f>
        <v>0</v>
      </c>
      <c r="AD699">
        <f t="shared" si="166"/>
        <v>8</v>
      </c>
      <c r="AE699" t="str">
        <f t="shared" si="167"/>
        <v>基金整体|期末租金收缴率（%）</v>
      </c>
    </row>
    <row r="700" spans="1:31" x14ac:dyDescent="0.4">
      <c r="A700" t="str">
        <f>IF(原始经营数据!$D701="","",原始经营数据!$D701)</f>
        <v>嘉实物美消费封闭式基础设施证券投资基金</v>
      </c>
      <c r="B700" t="str">
        <f>IF(原始经营数据!$D701="","",T(原始经营数据!$E701))</f>
        <v>基金整体</v>
      </c>
      <c r="C700" t="str">
        <f>IF(原始经营数据!$D701="","",原始经营数据!$F701)</f>
        <v>2025Q2</v>
      </c>
      <c r="D700" t="str">
        <f>IF(原始经营数据!$D701="","",原始经营数据!$H701)</f>
        <v>期末剩余租期情况</v>
      </c>
      <c r="E700">
        <f>IF(原始经营数据!$D701="","",原始经营数据!$I701)</f>
        <v>6.96</v>
      </c>
      <c r="F700" t="str">
        <f>IF(原始经营数据!$D701="","",T(原始经营数据!$J701))</f>
        <v>年</v>
      </c>
      <c r="G700" t="str">
        <f>IF(原始经营数据!$D701="","",T(原始经营数据!$K701))</f>
        <v/>
      </c>
      <c r="H700" t="str">
        <f>IF(原始经营数据!$D701="","",原始经营数据!$G701)</f>
        <v>服务量</v>
      </c>
      <c r="I700" t="str">
        <f>IF($A700="","",IF($B700&lt;&gt;"",$B700,IF(COUNTIFS(原始经营数据!$D$3:$D$3001,$A700,原始经营数据!$E$3:$E$3001,"",原始经营数据!$F$3:$F$3001,$C700,原始经营数据!$H$3:$H$3001,$D700,原始经营数据!$K$3:$K$3001,$G700)&gt;1,"基金整体·来源"&amp;原始经营数据!$A701,"基金整体")))</f>
        <v>基金整体</v>
      </c>
      <c r="J700" t="str">
        <f t="shared" si="153"/>
        <v>季度</v>
      </c>
      <c r="K700" t="str">
        <f t="shared" si="154"/>
        <v>期末剩余租期情况（年）</v>
      </c>
      <c r="L700" t="str">
        <f t="shared" si="155"/>
        <v>基金整体|期末剩余租期情况（年）|季度</v>
      </c>
      <c r="M700">
        <f>IF($A700="",0,IF(COUNTIF($L$2:$L700,$L700)=1,1,0))</f>
        <v>0</v>
      </c>
      <c r="N700">
        <f t="shared" si="156"/>
        <v>20252</v>
      </c>
      <c r="O700" t="str">
        <f t="shared" si="157"/>
        <v>嘉实物美消费封闭式基础设施证券投资基金|2025Q2|季度</v>
      </c>
      <c r="P700">
        <f>IF($A700="",0,IF(COUNTIF($O$2:$O700,$O700)=1,1,0))</f>
        <v>0</v>
      </c>
      <c r="Q700" t="str">
        <f>IF(AND($P700=1,$A700=经营数据!$B$3,$J700=经营数据!$BA$5),COUNTIFS($P$2:$P$3000,1,$A$2:$A$3000,$A700,$J$2:$J$3000,$J700,$N$2:$N$3000,"&lt;"&amp;$N700)+1,"")</f>
        <v/>
      </c>
      <c r="R700" t="str">
        <f t="shared" si="158"/>
        <v>嘉实物美消费封闭式基础设施证券投资基金|基金整体</v>
      </c>
      <c r="S700">
        <f>IF($A700="",0,IF(COUNTIF($R$2:$R700,$R700)=1,1,0))</f>
        <v>0</v>
      </c>
      <c r="T700">
        <f t="shared" si="159"/>
        <v>664</v>
      </c>
      <c r="U700" t="str">
        <f>IF($A700="","",IF($A700=经营数据!$B$3,COUNTIFS($S$2:$S$3000,1,$A$2:$A$3000,$A700,$T$2:$T$3000,"&lt;"&amp;$T700)+1,""))</f>
        <v/>
      </c>
      <c r="V700" t="str">
        <f t="shared" si="160"/>
        <v>基金整体|服务量</v>
      </c>
      <c r="W700">
        <f t="shared" si="161"/>
        <v>1</v>
      </c>
      <c r="X700" t="str">
        <f t="shared" si="162"/>
        <v>基金整体|期末剩余租期情况</v>
      </c>
      <c r="Y700">
        <f t="shared" si="163"/>
        <v>665</v>
      </c>
      <c r="Z700">
        <f>IF($A700="",0,IF(AND($M700=1,$A700=经营数据!$B$3,$J700=经营数据!$BA$5,OR($I700=经营数据!$BA$4,COUNTIF(经营数据!$AA$9:$AA$38,$I700)&gt;0)),1,0))</f>
        <v>0</v>
      </c>
      <c r="AA700" t="str">
        <f t="shared" si="164"/>
        <v/>
      </c>
      <c r="AB700" t="str">
        <f t="shared" si="165"/>
        <v/>
      </c>
      <c r="AC700">
        <f>IF($A700="",0,IF(COUNTIF($A$2:$A700,$A700)=1,1,0))</f>
        <v>0</v>
      </c>
      <c r="AD700">
        <f t="shared" si="166"/>
        <v>8</v>
      </c>
      <c r="AE700" t="str">
        <f t="shared" si="167"/>
        <v>基金整体|期末剩余租期情况（年）</v>
      </c>
    </row>
    <row r="701" spans="1:31" x14ac:dyDescent="0.4">
      <c r="A701" t="str">
        <f>IF(原始经营数据!$D702="","",原始经营数据!$D702)</f>
        <v>嘉实物美消费封闭式基础设施证券投资基金</v>
      </c>
      <c r="B701" t="str">
        <f>IF(原始经营数据!$D702="","",T(原始经营数据!$E702))</f>
        <v>基金整体</v>
      </c>
      <c r="C701" t="str">
        <f>IF(原始经营数据!$D702="","",原始经营数据!$F702)</f>
        <v>2025Q3</v>
      </c>
      <c r="D701" t="str">
        <f>IF(原始经营数据!$D702="","",原始经营数据!$H702)</f>
        <v>期末出租率</v>
      </c>
      <c r="E701">
        <f>IF(原始经营数据!$D702="","",原始经营数据!$I702)</f>
        <v>95.69</v>
      </c>
      <c r="F701" t="str">
        <f>IF(原始经营数据!$D702="","",T(原始经营数据!$J702))</f>
        <v>%</v>
      </c>
      <c r="G701" t="str">
        <f>IF(原始经营数据!$D702="","",T(原始经营数据!$K702))</f>
        <v/>
      </c>
      <c r="H701" t="str">
        <f>IF(原始经营数据!$D702="","",原始经营数据!$G702)</f>
        <v>服务效率</v>
      </c>
      <c r="I701" t="str">
        <f>IF($A701="","",IF($B701&lt;&gt;"",$B701,IF(COUNTIFS(原始经营数据!$D$3:$D$3001,$A701,原始经营数据!$E$3:$E$3001,"",原始经营数据!$F$3:$F$3001,$C701,原始经营数据!$H$3:$H$3001,$D701,原始经营数据!$K$3:$K$3001,$G701)&gt;1,"基金整体·来源"&amp;原始经营数据!$A702,"基金整体")))</f>
        <v>基金整体</v>
      </c>
      <c r="J701" t="str">
        <f t="shared" si="153"/>
        <v>季度</v>
      </c>
      <c r="K701" t="str">
        <f t="shared" si="154"/>
        <v>期末出租率（%）</v>
      </c>
      <c r="L701" t="str">
        <f t="shared" si="155"/>
        <v>基金整体|期末出租率（%）|季度</v>
      </c>
      <c r="M701">
        <f>IF($A701="",0,IF(COUNTIF($L$2:$L701,$L701)=1,1,0))</f>
        <v>0</v>
      </c>
      <c r="N701">
        <f t="shared" si="156"/>
        <v>20253</v>
      </c>
      <c r="O701" t="str">
        <f t="shared" si="157"/>
        <v>嘉实物美消费封闭式基础设施证券投资基金|2025Q3|季度</v>
      </c>
      <c r="P701">
        <f>IF($A701="",0,IF(COUNTIF($O$2:$O701,$O701)=1,1,0))</f>
        <v>1</v>
      </c>
      <c r="Q701" t="str">
        <f>IF(AND($P701=1,$A701=经营数据!$B$3,$J701=经营数据!$BA$5),COUNTIFS($P$2:$P$3000,1,$A$2:$A$3000,$A701,$J$2:$J$3000,$J701,$N$2:$N$3000,"&lt;"&amp;$N701)+1,"")</f>
        <v/>
      </c>
      <c r="R701" t="str">
        <f t="shared" si="158"/>
        <v>嘉实物美消费封闭式基础设施证券投资基金|基金整体</v>
      </c>
      <c r="S701">
        <f>IF($A701="",0,IF(COUNTIF($R$2:$R701,$R701)=1,1,0))</f>
        <v>0</v>
      </c>
      <c r="T701">
        <f t="shared" si="159"/>
        <v>664</v>
      </c>
      <c r="U701" t="str">
        <f>IF($A701="","",IF($A701=经营数据!$B$3,COUNTIFS($S$2:$S$3000,1,$A$2:$A$3000,$A701,$T$2:$T$3000,"&lt;"&amp;$T701)+1,""))</f>
        <v/>
      </c>
      <c r="V701" t="str">
        <f t="shared" si="160"/>
        <v>基金整体|服务效率</v>
      </c>
      <c r="W701">
        <f t="shared" si="161"/>
        <v>2</v>
      </c>
      <c r="X701" t="str">
        <f t="shared" si="162"/>
        <v>基金整体|期末出租率</v>
      </c>
      <c r="Y701">
        <f t="shared" si="163"/>
        <v>5</v>
      </c>
      <c r="Z701">
        <f>IF($A701="",0,IF(AND($M701=1,$A701=经营数据!$B$3,$J701=经营数据!$BA$5,OR($I701=经营数据!$BA$4,COUNTIF(经营数据!$AA$9:$AA$38,$I701)&gt;0)),1,0))</f>
        <v>0</v>
      </c>
      <c r="AA701" t="str">
        <f t="shared" si="164"/>
        <v/>
      </c>
      <c r="AB701" t="str">
        <f t="shared" si="165"/>
        <v/>
      </c>
      <c r="AC701">
        <f>IF($A701="",0,IF(COUNTIF($A$2:$A701,$A701)=1,1,0))</f>
        <v>0</v>
      </c>
      <c r="AD701">
        <f t="shared" si="166"/>
        <v>8</v>
      </c>
      <c r="AE701" t="str">
        <f t="shared" si="167"/>
        <v>基金整体|期末出租率（%）</v>
      </c>
    </row>
    <row r="702" spans="1:31" x14ac:dyDescent="0.4">
      <c r="A702" t="str">
        <f>IF(原始经营数据!$D703="","",原始经营数据!$D703)</f>
        <v>嘉实物美消费封闭式基础设施证券投资基金</v>
      </c>
      <c r="B702" t="str">
        <f>IF(原始经营数据!$D703="","",T(原始经营数据!$E703))</f>
        <v>基金整体</v>
      </c>
      <c r="C702" t="str">
        <f>IF(原始经营数据!$D703="","",原始经营数据!$F703)</f>
        <v>2025Q3</v>
      </c>
      <c r="D702" t="str">
        <f>IF(原始经营数据!$D703="","",原始经营数据!$H703)</f>
        <v>期内租金单价水平</v>
      </c>
      <c r="E702">
        <f>IF(原始经营数据!$D703="","",原始经营数据!$I703)</f>
        <v>3.92</v>
      </c>
      <c r="F702" t="str">
        <f>IF(原始经营数据!$D703="","",T(原始经营数据!$J703))</f>
        <v>元/平方米/天</v>
      </c>
      <c r="G702" t="str">
        <f>IF(原始经营数据!$D703="","",T(原始经营数据!$K703))</f>
        <v/>
      </c>
      <c r="H702" t="str">
        <f>IF(原始经营数据!$D703="","",原始经营数据!$G703)</f>
        <v>服务价格</v>
      </c>
      <c r="I702" t="str">
        <f>IF($A702="","",IF($B702&lt;&gt;"",$B702,IF(COUNTIFS(原始经营数据!$D$3:$D$3001,$A702,原始经营数据!$E$3:$E$3001,"",原始经营数据!$F$3:$F$3001,$C702,原始经营数据!$H$3:$H$3001,$D702,原始经营数据!$K$3:$K$3001,$G702)&gt;1,"基金整体·来源"&amp;原始经营数据!$A703,"基金整体")))</f>
        <v>基金整体</v>
      </c>
      <c r="J702" t="str">
        <f t="shared" si="153"/>
        <v>季度</v>
      </c>
      <c r="K702" t="str">
        <f t="shared" si="154"/>
        <v>期内租金单价水平（元/平方米/天）</v>
      </c>
      <c r="L702" t="str">
        <f t="shared" si="155"/>
        <v>基金整体|期内租金单价水平（元/平方米/天）|季度</v>
      </c>
      <c r="M702">
        <f>IF($A702="",0,IF(COUNTIF($L$2:$L702,$L702)=1,1,0))</f>
        <v>0</v>
      </c>
      <c r="N702">
        <f t="shared" si="156"/>
        <v>20253</v>
      </c>
      <c r="O702" t="str">
        <f t="shared" si="157"/>
        <v>嘉实物美消费封闭式基础设施证券投资基金|2025Q3|季度</v>
      </c>
      <c r="P702">
        <f>IF($A702="",0,IF(COUNTIF($O$2:$O702,$O702)=1,1,0))</f>
        <v>0</v>
      </c>
      <c r="Q702" t="str">
        <f>IF(AND($P702=1,$A702=经营数据!$B$3,$J702=经营数据!$BA$5),COUNTIFS($P$2:$P$3000,1,$A$2:$A$3000,$A702,$J$2:$J$3000,$J702,$N$2:$N$3000,"&lt;"&amp;$N702)+1,"")</f>
        <v/>
      </c>
      <c r="R702" t="str">
        <f t="shared" si="158"/>
        <v>嘉实物美消费封闭式基础设施证券投资基金|基金整体</v>
      </c>
      <c r="S702">
        <f>IF($A702="",0,IF(COUNTIF($R$2:$R702,$R702)=1,1,0))</f>
        <v>0</v>
      </c>
      <c r="T702">
        <f t="shared" si="159"/>
        <v>664</v>
      </c>
      <c r="U702" t="str">
        <f>IF($A702="","",IF($A702=经营数据!$B$3,COUNTIFS($S$2:$S$3000,1,$A$2:$A$3000,$A702,$T$2:$T$3000,"&lt;"&amp;$T702)+1,""))</f>
        <v/>
      </c>
      <c r="V702" t="str">
        <f t="shared" si="160"/>
        <v>基金整体|服务价格</v>
      </c>
      <c r="W702">
        <f t="shared" si="161"/>
        <v>10</v>
      </c>
      <c r="X702" t="str">
        <f t="shared" si="162"/>
        <v>基金整体|期内租金单价水平</v>
      </c>
      <c r="Y702">
        <f t="shared" si="163"/>
        <v>529</v>
      </c>
      <c r="Z702">
        <f>IF($A702="",0,IF(AND($M702=1,$A702=经营数据!$B$3,$J702=经营数据!$BA$5,OR($I702=经营数据!$BA$4,COUNTIF(经营数据!$AA$9:$AA$38,$I702)&gt;0)),1,0))</f>
        <v>0</v>
      </c>
      <c r="AA702" t="str">
        <f t="shared" si="164"/>
        <v/>
      </c>
      <c r="AB702" t="str">
        <f t="shared" si="165"/>
        <v/>
      </c>
      <c r="AC702">
        <f>IF($A702="",0,IF(COUNTIF($A$2:$A702,$A702)=1,1,0))</f>
        <v>0</v>
      </c>
      <c r="AD702">
        <f t="shared" si="166"/>
        <v>8</v>
      </c>
      <c r="AE702" t="str">
        <f t="shared" si="167"/>
        <v>基金整体|期内租金单价水平（元/平方米/天）</v>
      </c>
    </row>
    <row r="703" spans="1:31" x14ac:dyDescent="0.4">
      <c r="A703" t="str">
        <f>IF(原始经营数据!$D704="","",原始经营数据!$D704)</f>
        <v>嘉实物美消费封闭式基础设施证券投资基金</v>
      </c>
      <c r="B703" t="str">
        <f>IF(原始经营数据!$D704="","",T(原始经营数据!$E704))</f>
        <v>基金整体</v>
      </c>
      <c r="C703" t="str">
        <f>IF(原始经营数据!$D704="","",原始经营数据!$F704)</f>
        <v>2025Q3</v>
      </c>
      <c r="D703" t="str">
        <f>IF(原始经营数据!$D704="","",原始经营数据!$H704)</f>
        <v>期末租金收缴率</v>
      </c>
      <c r="E703">
        <f>IF(原始经营数据!$D704="","",原始经营数据!$I704)</f>
        <v>98.4</v>
      </c>
      <c r="F703" t="str">
        <f>IF(原始经营数据!$D704="","",T(原始经营数据!$J704))</f>
        <v>%</v>
      </c>
      <c r="G703" t="str">
        <f>IF(原始经营数据!$D704="","",T(原始经营数据!$K704))</f>
        <v/>
      </c>
      <c r="H703" t="str">
        <f>IF(原始经营数据!$D704="","",原始经营数据!$G704)</f>
        <v>服务效率</v>
      </c>
      <c r="I703" t="str">
        <f>IF($A703="","",IF($B703&lt;&gt;"",$B703,IF(COUNTIFS(原始经营数据!$D$3:$D$3001,$A703,原始经营数据!$E$3:$E$3001,"",原始经营数据!$F$3:$F$3001,$C703,原始经营数据!$H$3:$H$3001,$D703,原始经营数据!$K$3:$K$3001,$G703)&gt;1,"基金整体·来源"&amp;原始经营数据!$A704,"基金整体")))</f>
        <v>基金整体</v>
      </c>
      <c r="J703" t="str">
        <f t="shared" si="153"/>
        <v>季度</v>
      </c>
      <c r="K703" t="str">
        <f t="shared" si="154"/>
        <v>期末租金收缴率（%）</v>
      </c>
      <c r="L703" t="str">
        <f t="shared" si="155"/>
        <v>基金整体|期末租金收缴率（%）|季度</v>
      </c>
      <c r="M703">
        <f>IF($A703="",0,IF(COUNTIF($L$2:$L703,$L703)=1,1,0))</f>
        <v>0</v>
      </c>
      <c r="N703">
        <f t="shared" si="156"/>
        <v>20253</v>
      </c>
      <c r="O703" t="str">
        <f t="shared" si="157"/>
        <v>嘉实物美消费封闭式基础设施证券投资基金|2025Q3|季度</v>
      </c>
      <c r="P703">
        <f>IF($A703="",0,IF(COUNTIF($O$2:$O703,$O703)=1,1,0))</f>
        <v>0</v>
      </c>
      <c r="Q703" t="str">
        <f>IF(AND($P703=1,$A703=经营数据!$B$3,$J703=经营数据!$BA$5),COUNTIFS($P$2:$P$3000,1,$A$2:$A$3000,$A703,$J$2:$J$3000,$J703,$N$2:$N$3000,"&lt;"&amp;$N703)+1,"")</f>
        <v/>
      </c>
      <c r="R703" t="str">
        <f t="shared" si="158"/>
        <v>嘉实物美消费封闭式基础设施证券投资基金|基金整体</v>
      </c>
      <c r="S703">
        <f>IF($A703="",0,IF(COUNTIF($R$2:$R703,$R703)=1,1,0))</f>
        <v>0</v>
      </c>
      <c r="T703">
        <f t="shared" si="159"/>
        <v>664</v>
      </c>
      <c r="U703" t="str">
        <f>IF($A703="","",IF($A703=经营数据!$B$3,COUNTIFS($S$2:$S$3000,1,$A$2:$A$3000,$A703,$T$2:$T$3000,"&lt;"&amp;$T703)+1,""))</f>
        <v/>
      </c>
      <c r="V703" t="str">
        <f t="shared" si="160"/>
        <v>基金整体|服务效率</v>
      </c>
      <c r="W703">
        <f t="shared" si="161"/>
        <v>2</v>
      </c>
      <c r="X703" t="str">
        <f t="shared" si="162"/>
        <v>基金整体|期末租金收缴率</v>
      </c>
      <c r="Y703">
        <f t="shared" si="163"/>
        <v>530</v>
      </c>
      <c r="Z703">
        <f>IF($A703="",0,IF(AND($M703=1,$A703=经营数据!$B$3,$J703=经营数据!$BA$5,OR($I703=经营数据!$BA$4,COUNTIF(经营数据!$AA$9:$AA$38,$I703)&gt;0)),1,0))</f>
        <v>0</v>
      </c>
      <c r="AA703" t="str">
        <f t="shared" si="164"/>
        <v/>
      </c>
      <c r="AB703" t="str">
        <f t="shared" si="165"/>
        <v/>
      </c>
      <c r="AC703">
        <f>IF($A703="",0,IF(COUNTIF($A$2:$A703,$A703)=1,1,0))</f>
        <v>0</v>
      </c>
      <c r="AD703">
        <f t="shared" si="166"/>
        <v>8</v>
      </c>
      <c r="AE703" t="str">
        <f t="shared" si="167"/>
        <v>基金整体|期末租金收缴率（%）</v>
      </c>
    </row>
    <row r="704" spans="1:31" x14ac:dyDescent="0.4">
      <c r="A704" t="str">
        <f>IF(原始经营数据!$D705="","",原始经营数据!$D705)</f>
        <v>嘉实物美消费封闭式基础设施证券投资基金</v>
      </c>
      <c r="B704" t="str">
        <f>IF(原始经营数据!$D705="","",T(原始经营数据!$E705))</f>
        <v>基金整体</v>
      </c>
      <c r="C704" t="str">
        <f>IF(原始经营数据!$D705="","",原始经营数据!$F705)</f>
        <v>2025Q3</v>
      </c>
      <c r="D704" t="str">
        <f>IF(原始经营数据!$D705="","",原始经营数据!$H705)</f>
        <v>期末剩余租期情况</v>
      </c>
      <c r="E704">
        <f>IF(原始经营数据!$D705="","",原始经营数据!$I705)</f>
        <v>6.77</v>
      </c>
      <c r="F704" t="str">
        <f>IF(原始经营数据!$D705="","",T(原始经营数据!$J705))</f>
        <v>年</v>
      </c>
      <c r="G704" t="str">
        <f>IF(原始经营数据!$D705="","",T(原始经营数据!$K705))</f>
        <v/>
      </c>
      <c r="H704" t="str">
        <f>IF(原始经营数据!$D705="","",原始经营数据!$G705)</f>
        <v>服务量</v>
      </c>
      <c r="I704" t="str">
        <f>IF($A704="","",IF($B704&lt;&gt;"",$B704,IF(COUNTIFS(原始经营数据!$D$3:$D$3001,$A704,原始经营数据!$E$3:$E$3001,"",原始经营数据!$F$3:$F$3001,$C704,原始经营数据!$H$3:$H$3001,$D704,原始经营数据!$K$3:$K$3001,$G704)&gt;1,"基金整体·来源"&amp;原始经营数据!$A705,"基金整体")))</f>
        <v>基金整体</v>
      </c>
      <c r="J704" t="str">
        <f t="shared" si="153"/>
        <v>季度</v>
      </c>
      <c r="K704" t="str">
        <f t="shared" si="154"/>
        <v>期末剩余租期情况（年）</v>
      </c>
      <c r="L704" t="str">
        <f t="shared" si="155"/>
        <v>基金整体|期末剩余租期情况（年）|季度</v>
      </c>
      <c r="M704">
        <f>IF($A704="",0,IF(COUNTIF($L$2:$L704,$L704)=1,1,0))</f>
        <v>0</v>
      </c>
      <c r="N704">
        <f t="shared" si="156"/>
        <v>20253</v>
      </c>
      <c r="O704" t="str">
        <f t="shared" si="157"/>
        <v>嘉实物美消费封闭式基础设施证券投资基金|2025Q3|季度</v>
      </c>
      <c r="P704">
        <f>IF($A704="",0,IF(COUNTIF($O$2:$O704,$O704)=1,1,0))</f>
        <v>0</v>
      </c>
      <c r="Q704" t="str">
        <f>IF(AND($P704=1,$A704=经营数据!$B$3,$J704=经营数据!$BA$5),COUNTIFS($P$2:$P$3000,1,$A$2:$A$3000,$A704,$J$2:$J$3000,$J704,$N$2:$N$3000,"&lt;"&amp;$N704)+1,"")</f>
        <v/>
      </c>
      <c r="R704" t="str">
        <f t="shared" si="158"/>
        <v>嘉实物美消费封闭式基础设施证券投资基金|基金整体</v>
      </c>
      <c r="S704">
        <f>IF($A704="",0,IF(COUNTIF($R$2:$R704,$R704)=1,1,0))</f>
        <v>0</v>
      </c>
      <c r="T704">
        <f t="shared" si="159"/>
        <v>664</v>
      </c>
      <c r="U704" t="str">
        <f>IF($A704="","",IF($A704=经营数据!$B$3,COUNTIFS($S$2:$S$3000,1,$A$2:$A$3000,$A704,$T$2:$T$3000,"&lt;"&amp;$T704)+1,""))</f>
        <v/>
      </c>
      <c r="V704" t="str">
        <f t="shared" si="160"/>
        <v>基金整体|服务量</v>
      </c>
      <c r="W704">
        <f t="shared" si="161"/>
        <v>1</v>
      </c>
      <c r="X704" t="str">
        <f t="shared" si="162"/>
        <v>基金整体|期末剩余租期情况</v>
      </c>
      <c r="Y704">
        <f t="shared" si="163"/>
        <v>665</v>
      </c>
      <c r="Z704">
        <f>IF($A704="",0,IF(AND($M704=1,$A704=经营数据!$B$3,$J704=经营数据!$BA$5,OR($I704=经营数据!$BA$4,COUNTIF(经营数据!$AA$9:$AA$38,$I704)&gt;0)),1,0))</f>
        <v>0</v>
      </c>
      <c r="AA704" t="str">
        <f t="shared" si="164"/>
        <v/>
      </c>
      <c r="AB704" t="str">
        <f t="shared" si="165"/>
        <v/>
      </c>
      <c r="AC704">
        <f>IF($A704="",0,IF(COUNTIF($A$2:$A704,$A704)=1,1,0))</f>
        <v>0</v>
      </c>
      <c r="AD704">
        <f t="shared" si="166"/>
        <v>8</v>
      </c>
      <c r="AE704" t="str">
        <f t="shared" si="167"/>
        <v>基金整体|期末剩余租期情况（年）</v>
      </c>
    </row>
    <row r="705" spans="1:31" x14ac:dyDescent="0.4">
      <c r="A705" t="str">
        <f>IF(原始经营数据!$D706="","",原始经营数据!$D706)</f>
        <v>嘉实物美消费封闭式基础设施证券投资基金</v>
      </c>
      <c r="B705" t="str">
        <f>IF(原始经营数据!$D706="","",T(原始经营数据!$E706))</f>
        <v>基金整体</v>
      </c>
      <c r="C705" t="str">
        <f>IF(原始经营数据!$D706="","",原始经营数据!$F706)</f>
        <v>2025Q3</v>
      </c>
      <c r="D705" t="str">
        <f>IF(原始经营数据!$D706="","",原始经营数据!$H706)</f>
        <v>期末可供出租面积</v>
      </c>
      <c r="E705">
        <f>IF(原始经营数据!$D706="","",原始经营数据!$I706)</f>
        <v>77894.28</v>
      </c>
      <c r="F705" t="str">
        <f>IF(原始经营数据!$D706="","",T(原始经营数据!$J706))</f>
        <v>平方米</v>
      </c>
      <c r="G705" t="str">
        <f>IF(原始经营数据!$D706="","",T(原始经营数据!$K706))</f>
        <v/>
      </c>
      <c r="H705" t="str">
        <f>IF(原始经营数据!$D706="","",原始经营数据!$G706)</f>
        <v>服务量</v>
      </c>
      <c r="I705" t="str">
        <f>IF($A705="","",IF($B705&lt;&gt;"",$B705,IF(COUNTIFS(原始经营数据!$D$3:$D$3001,$A705,原始经营数据!$E$3:$E$3001,"",原始经营数据!$F$3:$F$3001,$C705,原始经营数据!$H$3:$H$3001,$D705,原始经营数据!$K$3:$K$3001,$G705)&gt;1,"基金整体·来源"&amp;原始经营数据!$A706,"基金整体")))</f>
        <v>基金整体</v>
      </c>
      <c r="J705" t="str">
        <f t="shared" si="153"/>
        <v>季度</v>
      </c>
      <c r="K705" t="str">
        <f t="shared" si="154"/>
        <v>期末可供出租面积（平方米）</v>
      </c>
      <c r="L705" t="str">
        <f t="shared" si="155"/>
        <v>基金整体|期末可供出租面积（平方米）|季度</v>
      </c>
      <c r="M705">
        <f>IF($A705="",0,IF(COUNTIF($L$2:$L705,$L705)=1,1,0))</f>
        <v>0</v>
      </c>
      <c r="N705">
        <f t="shared" si="156"/>
        <v>20253</v>
      </c>
      <c r="O705" t="str">
        <f t="shared" si="157"/>
        <v>嘉实物美消费封闭式基础设施证券投资基金|2025Q3|季度</v>
      </c>
      <c r="P705">
        <f>IF($A705="",0,IF(COUNTIF($O$2:$O705,$O705)=1,1,0))</f>
        <v>0</v>
      </c>
      <c r="Q705" t="str">
        <f>IF(AND($P705=1,$A705=经营数据!$B$3,$J705=经营数据!$BA$5),COUNTIFS($P$2:$P$3000,1,$A$2:$A$3000,$A705,$J$2:$J$3000,$J705,$N$2:$N$3000,"&lt;"&amp;$N705)+1,"")</f>
        <v/>
      </c>
      <c r="R705" t="str">
        <f t="shared" si="158"/>
        <v>嘉实物美消费封闭式基础设施证券投资基金|基金整体</v>
      </c>
      <c r="S705">
        <f>IF($A705="",0,IF(COUNTIF($R$2:$R705,$R705)=1,1,0))</f>
        <v>0</v>
      </c>
      <c r="T705">
        <f t="shared" si="159"/>
        <v>664</v>
      </c>
      <c r="U705" t="str">
        <f>IF($A705="","",IF($A705=经营数据!$B$3,COUNTIFS($S$2:$S$3000,1,$A$2:$A$3000,$A705,$T$2:$T$3000,"&lt;"&amp;$T705)+1,""))</f>
        <v/>
      </c>
      <c r="V705" t="str">
        <f t="shared" si="160"/>
        <v>基金整体|服务量</v>
      </c>
      <c r="W705">
        <f t="shared" si="161"/>
        <v>1</v>
      </c>
      <c r="X705" t="str">
        <f t="shared" si="162"/>
        <v>基金整体|期末可供出租面积</v>
      </c>
      <c r="Y705">
        <f t="shared" si="163"/>
        <v>3</v>
      </c>
      <c r="Z705">
        <f>IF($A705="",0,IF(AND($M705=1,$A705=经营数据!$B$3,$J705=经营数据!$BA$5,OR($I705=经营数据!$BA$4,COUNTIF(经营数据!$AA$9:$AA$38,$I705)&gt;0)),1,0))</f>
        <v>0</v>
      </c>
      <c r="AA705" t="str">
        <f t="shared" si="164"/>
        <v/>
      </c>
      <c r="AB705" t="str">
        <f t="shared" si="165"/>
        <v/>
      </c>
      <c r="AC705">
        <f>IF($A705="",0,IF(COUNTIF($A$2:$A705,$A705)=1,1,0))</f>
        <v>0</v>
      </c>
      <c r="AD705">
        <f t="shared" si="166"/>
        <v>8</v>
      </c>
      <c r="AE705" t="str">
        <f t="shared" si="167"/>
        <v>基金整体|期末可供出租面积（平方米）</v>
      </c>
    </row>
    <row r="706" spans="1:31" x14ac:dyDescent="0.4">
      <c r="A706" t="str">
        <f>IF(原始经营数据!$D707="","",原始经营数据!$D707)</f>
        <v>嘉实物美消费封闭式基础设施证券投资基金</v>
      </c>
      <c r="B706" t="str">
        <f>IF(原始经营数据!$D707="","",T(原始经营数据!$E707))</f>
        <v>基金整体</v>
      </c>
      <c r="C706" t="str">
        <f>IF(原始经营数据!$D707="","",原始经营数据!$F707)</f>
        <v>2025Q3</v>
      </c>
      <c r="D706" t="str">
        <f>IF(原始经营数据!$D707="","",原始经营数据!$H707)</f>
        <v>期末实际出租面积</v>
      </c>
      <c r="E706">
        <f>IF(原始经营数据!$D707="","",原始经营数据!$I707)</f>
        <v>74540.899999999994</v>
      </c>
      <c r="F706" t="str">
        <f>IF(原始经营数据!$D707="","",T(原始经营数据!$J707))</f>
        <v>平方米</v>
      </c>
      <c r="G706" t="str">
        <f>IF(原始经营数据!$D707="","",T(原始经营数据!$K707))</f>
        <v/>
      </c>
      <c r="H706" t="str">
        <f>IF(原始经营数据!$D707="","",原始经营数据!$G707)</f>
        <v>服务量</v>
      </c>
      <c r="I706" t="str">
        <f>IF($A706="","",IF($B706&lt;&gt;"",$B706,IF(COUNTIFS(原始经营数据!$D$3:$D$3001,$A706,原始经营数据!$E$3:$E$3001,"",原始经营数据!$F$3:$F$3001,$C706,原始经营数据!$H$3:$H$3001,$D706,原始经营数据!$K$3:$K$3001,$G706)&gt;1,"基金整体·来源"&amp;原始经营数据!$A707,"基金整体")))</f>
        <v>基金整体</v>
      </c>
      <c r="J706" t="str">
        <f t="shared" ref="J706:J769" si="168">IF($A706="","",IF(LEN($C706)=4,"年度",IF(AND(LEN($C706)=6,ISNUMBER(SEARCH("Q",$C706))),"季度","其他期间")))</f>
        <v>季度</v>
      </c>
      <c r="K706" t="str">
        <f t="shared" ref="K706:K769" si="169">IF($A706="","",$D706&amp;IF($G706="","","-"&amp;SUBSTITUTE($G706,CHAR(10),""))&amp;IF($F706="","","（"&amp;$F706&amp;"）"))</f>
        <v>期末实际出租面积（平方米）</v>
      </c>
      <c r="L706" t="str">
        <f t="shared" ref="L706:L769" si="170">IF($A706="","",$I706&amp;"|"&amp;$K706&amp;"|"&amp;$J706)</f>
        <v>基金整体|期末实际出租面积（平方米）|季度</v>
      </c>
      <c r="M706">
        <f>IF($A706="",0,IF(COUNTIF($L$2:$L706,$L706)=1,1,0))</f>
        <v>0</v>
      </c>
      <c r="N706">
        <f t="shared" ref="N706:N769" si="171">IF($A706="","",IF($J706="年度",VALUE($C706)*10,IF($J706="季度",VALUE(LEFT($C706,4))*10+VALUE(RIGHT($C706,1)),VALUE(LEFT($C706,4))*10+9)))</f>
        <v>20253</v>
      </c>
      <c r="O706" t="str">
        <f t="shared" ref="O706:O769" si="172">IF($A706="","",$A706&amp;"|"&amp;$C706&amp;"|"&amp;$J706)</f>
        <v>嘉实物美消费封闭式基础设施证券投资基金|2025Q3|季度</v>
      </c>
      <c r="P706">
        <f>IF($A706="",0,IF(COUNTIF($O$2:$O706,$O706)=1,1,0))</f>
        <v>0</v>
      </c>
      <c r="Q706" t="str">
        <f>IF(AND($P706=1,$A706=经营数据!$B$3,$J706=经营数据!$BA$5),COUNTIFS($P$2:$P$3000,1,$A$2:$A$3000,$A706,$J$2:$J$3000,$J706,$N$2:$N$3000,"&lt;"&amp;$N706)+1,"")</f>
        <v/>
      </c>
      <c r="R706" t="str">
        <f t="shared" ref="R706:R769" si="173">IF($A706="","",$A706&amp;"|"&amp;$I706)</f>
        <v>嘉实物美消费封闭式基础设施证券投资基金|基金整体</v>
      </c>
      <c r="S706">
        <f>IF($A706="",0,IF(COUNTIF($R$2:$R706,$R706)=1,1,0))</f>
        <v>0</v>
      </c>
      <c r="T706">
        <f t="shared" ref="T706:T769" si="174">IF($A706="","",MATCH($R706,$R$2:$R$3000,0))</f>
        <v>664</v>
      </c>
      <c r="U706" t="str">
        <f>IF($A706="","",IF($A706=经营数据!$B$3,COUNTIFS($S$2:$S$3000,1,$A$2:$A$3000,$A706,$T$2:$T$3000,"&lt;"&amp;$T706)+1,""))</f>
        <v/>
      </c>
      <c r="V706" t="str">
        <f t="shared" ref="V706:V769" si="175">IF($A706="","",$I706&amp;"|"&amp;$H706)</f>
        <v>基金整体|服务量</v>
      </c>
      <c r="W706">
        <f t="shared" ref="W706:W769" si="176">IF($A706="","",MATCH($V706,$V$2:$V$3000,0))</f>
        <v>1</v>
      </c>
      <c r="X706" t="str">
        <f t="shared" ref="X706:X769" si="177">IF($A706="","",$I706&amp;"|"&amp;$D706)</f>
        <v>基金整体|期末实际出租面积</v>
      </c>
      <c r="Y706">
        <f t="shared" ref="Y706:Y769" si="178">IF($A706="","",MATCH($X706,$X$2:$X$3000,0))</f>
        <v>4</v>
      </c>
      <c r="Z706">
        <f>IF($A706="",0,IF(AND($M706=1,$A706=经营数据!$B$3,$J706=经营数据!$BA$5,OR($I706=经营数据!$BA$4,COUNTIF(经营数据!$AA$9:$AA$38,$I706)&gt;0)),1,0))</f>
        <v>0</v>
      </c>
      <c r="AA706" t="str">
        <f t="shared" ref="AA706:AA769" si="179">IF($Z706=1,$U706*1000000000000+$W706*100000000+$Y706*10000+ROW(),"")</f>
        <v/>
      </c>
      <c r="AB706" t="str">
        <f t="shared" ref="AB706:AB769" si="180">IF($Z706=1,COUNTIFS($Z$2:$Z$3000,1,$AA$2:$AA$3000,"&lt;"&amp;$AA706)+1,"")</f>
        <v/>
      </c>
      <c r="AC706">
        <f>IF($A706="",0,IF(COUNTIF($A$2:$A706,$A706)=1,1,0))</f>
        <v>0</v>
      </c>
      <c r="AD706">
        <f t="shared" ref="AD706:AD769" si="181">IF($A706="",N(AD705),IF($AC706=1,N(AD705)+1,N(AD705)))</f>
        <v>8</v>
      </c>
      <c r="AE706" t="str">
        <f t="shared" ref="AE706:AE769" si="182">IF($A706="","",$I706&amp;"|"&amp;$K706)</f>
        <v>基金整体|期末实际出租面积（平方米）</v>
      </c>
    </row>
    <row r="707" spans="1:31" x14ac:dyDescent="0.4">
      <c r="A707" t="str">
        <f>IF(原始经营数据!$D708="","",原始经营数据!$D708)</f>
        <v>嘉实物美消费封闭式基础设施证券投资基金</v>
      </c>
      <c r="B707" t="str">
        <f>IF(原始经营数据!$D708="","",T(原始经营数据!$E708))</f>
        <v>基金整体</v>
      </c>
      <c r="C707" t="str">
        <f>IF(原始经营数据!$D708="","",原始经营数据!$F708)</f>
        <v>2025Q4</v>
      </c>
      <c r="D707" t="str">
        <f>IF(原始经营数据!$D708="","",原始经营数据!$H708)</f>
        <v>期末实际出租面积</v>
      </c>
      <c r="E707">
        <f>IF(原始经营数据!$D708="","",原始经营数据!$I708)</f>
        <v>74469.070000000007</v>
      </c>
      <c r="F707" t="str">
        <f>IF(原始经营数据!$D708="","",T(原始经营数据!$J708))</f>
        <v>平方米</v>
      </c>
      <c r="G707" t="str">
        <f>IF(原始经营数据!$D708="","",T(原始经营数据!$K708))</f>
        <v/>
      </c>
      <c r="H707" t="str">
        <f>IF(原始经营数据!$D708="","",原始经营数据!$G708)</f>
        <v>服务量</v>
      </c>
      <c r="I707" t="str">
        <f>IF($A707="","",IF($B707&lt;&gt;"",$B707,IF(COUNTIFS(原始经营数据!$D$3:$D$3001,$A707,原始经营数据!$E$3:$E$3001,"",原始经营数据!$F$3:$F$3001,$C707,原始经营数据!$H$3:$H$3001,$D707,原始经营数据!$K$3:$K$3001,$G707)&gt;1,"基金整体·来源"&amp;原始经营数据!$A708,"基金整体")))</f>
        <v>基金整体</v>
      </c>
      <c r="J707" t="str">
        <f t="shared" si="168"/>
        <v>季度</v>
      </c>
      <c r="K707" t="str">
        <f t="shared" si="169"/>
        <v>期末实际出租面积（平方米）</v>
      </c>
      <c r="L707" t="str">
        <f t="shared" si="170"/>
        <v>基金整体|期末实际出租面积（平方米）|季度</v>
      </c>
      <c r="M707">
        <f>IF($A707="",0,IF(COUNTIF($L$2:$L707,$L707)=1,1,0))</f>
        <v>0</v>
      </c>
      <c r="N707">
        <f t="shared" si="171"/>
        <v>20254</v>
      </c>
      <c r="O707" t="str">
        <f t="shared" si="172"/>
        <v>嘉实物美消费封闭式基础设施证券投资基金|2025Q4|季度</v>
      </c>
      <c r="P707">
        <f>IF($A707="",0,IF(COUNTIF($O$2:$O707,$O707)=1,1,0))</f>
        <v>1</v>
      </c>
      <c r="Q707" t="str">
        <f>IF(AND($P707=1,$A707=经营数据!$B$3,$J707=经营数据!$BA$5),COUNTIFS($P$2:$P$3000,1,$A$2:$A$3000,$A707,$J$2:$J$3000,$J707,$N$2:$N$3000,"&lt;"&amp;$N707)+1,"")</f>
        <v/>
      </c>
      <c r="R707" t="str">
        <f t="shared" si="173"/>
        <v>嘉实物美消费封闭式基础设施证券投资基金|基金整体</v>
      </c>
      <c r="S707">
        <f>IF($A707="",0,IF(COUNTIF($R$2:$R707,$R707)=1,1,0))</f>
        <v>0</v>
      </c>
      <c r="T707">
        <f t="shared" si="174"/>
        <v>664</v>
      </c>
      <c r="U707" t="str">
        <f>IF($A707="","",IF($A707=经营数据!$B$3,COUNTIFS($S$2:$S$3000,1,$A$2:$A$3000,$A707,$T$2:$T$3000,"&lt;"&amp;$T707)+1,""))</f>
        <v/>
      </c>
      <c r="V707" t="str">
        <f t="shared" si="175"/>
        <v>基金整体|服务量</v>
      </c>
      <c r="W707">
        <f t="shared" si="176"/>
        <v>1</v>
      </c>
      <c r="X707" t="str">
        <f t="shared" si="177"/>
        <v>基金整体|期末实际出租面积</v>
      </c>
      <c r="Y707">
        <f t="shared" si="178"/>
        <v>4</v>
      </c>
      <c r="Z707">
        <f>IF($A707="",0,IF(AND($M707=1,$A707=经营数据!$B$3,$J707=经营数据!$BA$5,OR($I707=经营数据!$BA$4,COUNTIF(经营数据!$AA$9:$AA$38,$I707)&gt;0)),1,0))</f>
        <v>0</v>
      </c>
      <c r="AA707" t="str">
        <f t="shared" si="179"/>
        <v/>
      </c>
      <c r="AB707" t="str">
        <f t="shared" si="180"/>
        <v/>
      </c>
      <c r="AC707">
        <f>IF($A707="",0,IF(COUNTIF($A$2:$A707,$A707)=1,1,0))</f>
        <v>0</v>
      </c>
      <c r="AD707">
        <f t="shared" si="181"/>
        <v>8</v>
      </c>
      <c r="AE707" t="str">
        <f t="shared" si="182"/>
        <v>基金整体|期末实际出租面积（平方米）</v>
      </c>
    </row>
    <row r="708" spans="1:31" x14ac:dyDescent="0.4">
      <c r="A708" t="str">
        <f>IF(原始经营数据!$D709="","",原始经营数据!$D709)</f>
        <v>嘉实物美消费封闭式基础设施证券投资基金</v>
      </c>
      <c r="B708" t="str">
        <f>IF(原始经营数据!$D709="","",T(原始经营数据!$E709))</f>
        <v>基金整体</v>
      </c>
      <c r="C708" t="str">
        <f>IF(原始经营数据!$D709="","",原始经营数据!$F709)</f>
        <v>2025Q4</v>
      </c>
      <c r="D708" t="str">
        <f>IF(原始经营数据!$D709="","",原始经营数据!$H709)</f>
        <v>期末出租率</v>
      </c>
      <c r="E708">
        <f>IF(原始经营数据!$D709="","",原始经营数据!$I709)</f>
        <v>95.6</v>
      </c>
      <c r="F708" t="str">
        <f>IF(原始经营数据!$D709="","",T(原始经营数据!$J709))</f>
        <v>%</v>
      </c>
      <c r="G708" t="str">
        <f>IF(原始经营数据!$D709="","",T(原始经营数据!$K709))</f>
        <v/>
      </c>
      <c r="H708" t="str">
        <f>IF(原始经营数据!$D709="","",原始经营数据!$G709)</f>
        <v>服务效率</v>
      </c>
      <c r="I708" t="str">
        <f>IF($A708="","",IF($B708&lt;&gt;"",$B708,IF(COUNTIFS(原始经营数据!$D$3:$D$3001,$A708,原始经营数据!$E$3:$E$3001,"",原始经营数据!$F$3:$F$3001,$C708,原始经营数据!$H$3:$H$3001,$D708,原始经营数据!$K$3:$K$3001,$G708)&gt;1,"基金整体·来源"&amp;原始经营数据!$A709,"基金整体")))</f>
        <v>基金整体</v>
      </c>
      <c r="J708" t="str">
        <f t="shared" si="168"/>
        <v>季度</v>
      </c>
      <c r="K708" t="str">
        <f t="shared" si="169"/>
        <v>期末出租率（%）</v>
      </c>
      <c r="L708" t="str">
        <f t="shared" si="170"/>
        <v>基金整体|期末出租率（%）|季度</v>
      </c>
      <c r="M708">
        <f>IF($A708="",0,IF(COUNTIF($L$2:$L708,$L708)=1,1,0))</f>
        <v>0</v>
      </c>
      <c r="N708">
        <f t="shared" si="171"/>
        <v>20254</v>
      </c>
      <c r="O708" t="str">
        <f t="shared" si="172"/>
        <v>嘉实物美消费封闭式基础设施证券投资基金|2025Q4|季度</v>
      </c>
      <c r="P708">
        <f>IF($A708="",0,IF(COUNTIF($O$2:$O708,$O708)=1,1,0))</f>
        <v>0</v>
      </c>
      <c r="Q708" t="str">
        <f>IF(AND($P708=1,$A708=经营数据!$B$3,$J708=经营数据!$BA$5),COUNTIFS($P$2:$P$3000,1,$A$2:$A$3000,$A708,$J$2:$J$3000,$J708,$N$2:$N$3000,"&lt;"&amp;$N708)+1,"")</f>
        <v/>
      </c>
      <c r="R708" t="str">
        <f t="shared" si="173"/>
        <v>嘉实物美消费封闭式基础设施证券投资基金|基金整体</v>
      </c>
      <c r="S708">
        <f>IF($A708="",0,IF(COUNTIF($R$2:$R708,$R708)=1,1,0))</f>
        <v>0</v>
      </c>
      <c r="T708">
        <f t="shared" si="174"/>
        <v>664</v>
      </c>
      <c r="U708" t="str">
        <f>IF($A708="","",IF($A708=经营数据!$B$3,COUNTIFS($S$2:$S$3000,1,$A$2:$A$3000,$A708,$T$2:$T$3000,"&lt;"&amp;$T708)+1,""))</f>
        <v/>
      </c>
      <c r="V708" t="str">
        <f t="shared" si="175"/>
        <v>基金整体|服务效率</v>
      </c>
      <c r="W708">
        <f t="shared" si="176"/>
        <v>2</v>
      </c>
      <c r="X708" t="str">
        <f t="shared" si="177"/>
        <v>基金整体|期末出租率</v>
      </c>
      <c r="Y708">
        <f t="shared" si="178"/>
        <v>5</v>
      </c>
      <c r="Z708">
        <f>IF($A708="",0,IF(AND($M708=1,$A708=经营数据!$B$3,$J708=经营数据!$BA$5,OR($I708=经营数据!$BA$4,COUNTIF(经营数据!$AA$9:$AA$38,$I708)&gt;0)),1,0))</f>
        <v>0</v>
      </c>
      <c r="AA708" t="str">
        <f t="shared" si="179"/>
        <v/>
      </c>
      <c r="AB708" t="str">
        <f t="shared" si="180"/>
        <v/>
      </c>
      <c r="AC708">
        <f>IF($A708="",0,IF(COUNTIF($A$2:$A708,$A708)=1,1,0))</f>
        <v>0</v>
      </c>
      <c r="AD708">
        <f t="shared" si="181"/>
        <v>8</v>
      </c>
      <c r="AE708" t="str">
        <f t="shared" si="182"/>
        <v>基金整体|期末出租率（%）</v>
      </c>
    </row>
    <row r="709" spans="1:31" x14ac:dyDescent="0.4">
      <c r="A709" t="str">
        <f>IF(原始经营数据!$D710="","",原始经营数据!$D710)</f>
        <v>嘉实物美消费封闭式基础设施证券投资基金</v>
      </c>
      <c r="B709" t="str">
        <f>IF(原始经营数据!$D710="","",T(原始经营数据!$E710))</f>
        <v>基金整体</v>
      </c>
      <c r="C709" t="str">
        <f>IF(原始经营数据!$D710="","",原始经营数据!$F710)</f>
        <v>2025Q4</v>
      </c>
      <c r="D709" t="str">
        <f>IF(原始经营数据!$D710="","",原始经营数据!$H710)</f>
        <v>期内租金单价水平</v>
      </c>
      <c r="E709">
        <f>IF(原始经营数据!$D710="","",原始经营数据!$I710)</f>
        <v>4.0199999999999996</v>
      </c>
      <c r="F709" t="str">
        <f>IF(原始经营数据!$D710="","",T(原始经营数据!$J710))</f>
        <v>元/平方米/天</v>
      </c>
      <c r="G709" t="str">
        <f>IF(原始经营数据!$D710="","",T(原始经营数据!$K710))</f>
        <v/>
      </c>
      <c r="H709" t="str">
        <f>IF(原始经营数据!$D710="","",原始经营数据!$G710)</f>
        <v>服务价格</v>
      </c>
      <c r="I709" t="str">
        <f>IF($A709="","",IF($B709&lt;&gt;"",$B709,IF(COUNTIFS(原始经营数据!$D$3:$D$3001,$A709,原始经营数据!$E$3:$E$3001,"",原始经营数据!$F$3:$F$3001,$C709,原始经营数据!$H$3:$H$3001,$D709,原始经营数据!$K$3:$K$3001,$G709)&gt;1,"基金整体·来源"&amp;原始经营数据!$A710,"基金整体")))</f>
        <v>基金整体</v>
      </c>
      <c r="J709" t="str">
        <f t="shared" si="168"/>
        <v>季度</v>
      </c>
      <c r="K709" t="str">
        <f t="shared" si="169"/>
        <v>期内租金单价水平（元/平方米/天）</v>
      </c>
      <c r="L709" t="str">
        <f t="shared" si="170"/>
        <v>基金整体|期内租金单价水平（元/平方米/天）|季度</v>
      </c>
      <c r="M709">
        <f>IF($A709="",0,IF(COUNTIF($L$2:$L709,$L709)=1,1,0))</f>
        <v>0</v>
      </c>
      <c r="N709">
        <f t="shared" si="171"/>
        <v>20254</v>
      </c>
      <c r="O709" t="str">
        <f t="shared" si="172"/>
        <v>嘉实物美消费封闭式基础设施证券投资基金|2025Q4|季度</v>
      </c>
      <c r="P709">
        <f>IF($A709="",0,IF(COUNTIF($O$2:$O709,$O709)=1,1,0))</f>
        <v>0</v>
      </c>
      <c r="Q709" t="str">
        <f>IF(AND($P709=1,$A709=经营数据!$B$3,$J709=经营数据!$BA$5),COUNTIFS($P$2:$P$3000,1,$A$2:$A$3000,$A709,$J$2:$J$3000,$J709,$N$2:$N$3000,"&lt;"&amp;$N709)+1,"")</f>
        <v/>
      </c>
      <c r="R709" t="str">
        <f t="shared" si="173"/>
        <v>嘉实物美消费封闭式基础设施证券投资基金|基金整体</v>
      </c>
      <c r="S709">
        <f>IF($A709="",0,IF(COUNTIF($R$2:$R709,$R709)=1,1,0))</f>
        <v>0</v>
      </c>
      <c r="T709">
        <f t="shared" si="174"/>
        <v>664</v>
      </c>
      <c r="U709" t="str">
        <f>IF($A709="","",IF($A709=经营数据!$B$3,COUNTIFS($S$2:$S$3000,1,$A$2:$A$3000,$A709,$T$2:$T$3000,"&lt;"&amp;$T709)+1,""))</f>
        <v/>
      </c>
      <c r="V709" t="str">
        <f t="shared" si="175"/>
        <v>基金整体|服务价格</v>
      </c>
      <c r="W709">
        <f t="shared" si="176"/>
        <v>10</v>
      </c>
      <c r="X709" t="str">
        <f t="shared" si="177"/>
        <v>基金整体|期内租金单价水平</v>
      </c>
      <c r="Y709">
        <f t="shared" si="178"/>
        <v>529</v>
      </c>
      <c r="Z709">
        <f>IF($A709="",0,IF(AND($M709=1,$A709=经营数据!$B$3,$J709=经营数据!$BA$5,OR($I709=经营数据!$BA$4,COUNTIF(经营数据!$AA$9:$AA$38,$I709)&gt;0)),1,0))</f>
        <v>0</v>
      </c>
      <c r="AA709" t="str">
        <f t="shared" si="179"/>
        <v/>
      </c>
      <c r="AB709" t="str">
        <f t="shared" si="180"/>
        <v/>
      </c>
      <c r="AC709">
        <f>IF($A709="",0,IF(COUNTIF($A$2:$A709,$A709)=1,1,0))</f>
        <v>0</v>
      </c>
      <c r="AD709">
        <f t="shared" si="181"/>
        <v>8</v>
      </c>
      <c r="AE709" t="str">
        <f t="shared" si="182"/>
        <v>基金整体|期内租金单价水平（元/平方米/天）</v>
      </c>
    </row>
    <row r="710" spans="1:31" x14ac:dyDescent="0.4">
      <c r="A710" t="str">
        <f>IF(原始经营数据!$D711="","",原始经营数据!$D711)</f>
        <v>嘉实物美消费封闭式基础设施证券投资基金</v>
      </c>
      <c r="B710" t="str">
        <f>IF(原始经营数据!$D711="","",T(原始经营数据!$E711))</f>
        <v>基金整体</v>
      </c>
      <c r="C710" t="str">
        <f>IF(原始经营数据!$D711="","",原始经营数据!$F711)</f>
        <v>2025Q4</v>
      </c>
      <c r="D710" t="str">
        <f>IF(原始经营数据!$D711="","",原始经营数据!$H711)</f>
        <v>期末剩余租期情况</v>
      </c>
      <c r="E710">
        <f>IF(原始经营数据!$D711="","",原始经营数据!$I711)</f>
        <v>6.27</v>
      </c>
      <c r="F710" t="str">
        <f>IF(原始经营数据!$D711="","",T(原始经营数据!$J711))</f>
        <v>年</v>
      </c>
      <c r="G710" t="str">
        <f>IF(原始经营数据!$D711="","",T(原始经营数据!$K711))</f>
        <v/>
      </c>
      <c r="H710" t="str">
        <f>IF(原始经营数据!$D711="","",原始经营数据!$G711)</f>
        <v>服务量</v>
      </c>
      <c r="I710" t="str">
        <f>IF($A710="","",IF($B710&lt;&gt;"",$B710,IF(COUNTIFS(原始经营数据!$D$3:$D$3001,$A710,原始经营数据!$E$3:$E$3001,"",原始经营数据!$F$3:$F$3001,$C710,原始经营数据!$H$3:$H$3001,$D710,原始经营数据!$K$3:$K$3001,$G710)&gt;1,"基金整体·来源"&amp;原始经营数据!$A711,"基金整体")))</f>
        <v>基金整体</v>
      </c>
      <c r="J710" t="str">
        <f t="shared" si="168"/>
        <v>季度</v>
      </c>
      <c r="K710" t="str">
        <f t="shared" si="169"/>
        <v>期末剩余租期情况（年）</v>
      </c>
      <c r="L710" t="str">
        <f t="shared" si="170"/>
        <v>基金整体|期末剩余租期情况（年）|季度</v>
      </c>
      <c r="M710">
        <f>IF($A710="",0,IF(COUNTIF($L$2:$L710,$L710)=1,1,0))</f>
        <v>0</v>
      </c>
      <c r="N710">
        <f t="shared" si="171"/>
        <v>20254</v>
      </c>
      <c r="O710" t="str">
        <f t="shared" si="172"/>
        <v>嘉实物美消费封闭式基础设施证券投资基金|2025Q4|季度</v>
      </c>
      <c r="P710">
        <f>IF($A710="",0,IF(COUNTIF($O$2:$O710,$O710)=1,1,0))</f>
        <v>0</v>
      </c>
      <c r="Q710" t="str">
        <f>IF(AND($P710=1,$A710=经营数据!$B$3,$J710=经营数据!$BA$5),COUNTIFS($P$2:$P$3000,1,$A$2:$A$3000,$A710,$J$2:$J$3000,$J710,$N$2:$N$3000,"&lt;"&amp;$N710)+1,"")</f>
        <v/>
      </c>
      <c r="R710" t="str">
        <f t="shared" si="173"/>
        <v>嘉实物美消费封闭式基础设施证券投资基金|基金整体</v>
      </c>
      <c r="S710">
        <f>IF($A710="",0,IF(COUNTIF($R$2:$R710,$R710)=1,1,0))</f>
        <v>0</v>
      </c>
      <c r="T710">
        <f t="shared" si="174"/>
        <v>664</v>
      </c>
      <c r="U710" t="str">
        <f>IF($A710="","",IF($A710=经营数据!$B$3,COUNTIFS($S$2:$S$3000,1,$A$2:$A$3000,$A710,$T$2:$T$3000,"&lt;"&amp;$T710)+1,""))</f>
        <v/>
      </c>
      <c r="V710" t="str">
        <f t="shared" si="175"/>
        <v>基金整体|服务量</v>
      </c>
      <c r="W710">
        <f t="shared" si="176"/>
        <v>1</v>
      </c>
      <c r="X710" t="str">
        <f t="shared" si="177"/>
        <v>基金整体|期末剩余租期情况</v>
      </c>
      <c r="Y710">
        <f t="shared" si="178"/>
        <v>665</v>
      </c>
      <c r="Z710">
        <f>IF($A710="",0,IF(AND($M710=1,$A710=经营数据!$B$3,$J710=经营数据!$BA$5,OR($I710=经营数据!$BA$4,COUNTIF(经营数据!$AA$9:$AA$38,$I710)&gt;0)),1,0))</f>
        <v>0</v>
      </c>
      <c r="AA710" t="str">
        <f t="shared" si="179"/>
        <v/>
      </c>
      <c r="AB710" t="str">
        <f t="shared" si="180"/>
        <v/>
      </c>
      <c r="AC710">
        <f>IF($A710="",0,IF(COUNTIF($A$2:$A710,$A710)=1,1,0))</f>
        <v>0</v>
      </c>
      <c r="AD710">
        <f t="shared" si="181"/>
        <v>8</v>
      </c>
      <c r="AE710" t="str">
        <f t="shared" si="182"/>
        <v>基金整体|期末剩余租期情况（年）</v>
      </c>
    </row>
    <row r="711" spans="1:31" x14ac:dyDescent="0.4">
      <c r="A711" t="str">
        <f>IF(原始经营数据!$D712="","",原始经营数据!$D712)</f>
        <v>嘉实物美消费封闭式基础设施证券投资基金</v>
      </c>
      <c r="B711" t="str">
        <f>IF(原始经营数据!$D712="","",T(原始经营数据!$E712))</f>
        <v>基金整体</v>
      </c>
      <c r="C711" t="str">
        <f>IF(原始经营数据!$D712="","",原始经营数据!$F712)</f>
        <v>2025Q4</v>
      </c>
      <c r="D711" t="str">
        <f>IF(原始经营数据!$D712="","",原始经营数据!$H712)</f>
        <v>期末租金收缴率</v>
      </c>
      <c r="E711">
        <f>IF(原始经营数据!$D712="","",原始经营数据!$I712)</f>
        <v>99.06</v>
      </c>
      <c r="F711" t="str">
        <f>IF(原始经营数据!$D712="","",T(原始经营数据!$J712))</f>
        <v>%</v>
      </c>
      <c r="G711" t="str">
        <f>IF(原始经营数据!$D712="","",T(原始经营数据!$K712))</f>
        <v/>
      </c>
      <c r="H711" t="str">
        <f>IF(原始经营数据!$D712="","",原始经营数据!$G712)</f>
        <v>服务效率</v>
      </c>
      <c r="I711" t="str">
        <f>IF($A711="","",IF($B711&lt;&gt;"",$B711,IF(COUNTIFS(原始经营数据!$D$3:$D$3001,$A711,原始经营数据!$E$3:$E$3001,"",原始经营数据!$F$3:$F$3001,$C711,原始经营数据!$H$3:$H$3001,$D711,原始经营数据!$K$3:$K$3001,$G711)&gt;1,"基金整体·来源"&amp;原始经营数据!$A712,"基金整体")))</f>
        <v>基金整体</v>
      </c>
      <c r="J711" t="str">
        <f t="shared" si="168"/>
        <v>季度</v>
      </c>
      <c r="K711" t="str">
        <f t="shared" si="169"/>
        <v>期末租金收缴率（%）</v>
      </c>
      <c r="L711" t="str">
        <f t="shared" si="170"/>
        <v>基金整体|期末租金收缴率（%）|季度</v>
      </c>
      <c r="M711">
        <f>IF($A711="",0,IF(COUNTIF($L$2:$L711,$L711)=1,1,0))</f>
        <v>0</v>
      </c>
      <c r="N711">
        <f t="shared" si="171"/>
        <v>20254</v>
      </c>
      <c r="O711" t="str">
        <f t="shared" si="172"/>
        <v>嘉实物美消费封闭式基础设施证券投资基金|2025Q4|季度</v>
      </c>
      <c r="P711">
        <f>IF($A711="",0,IF(COUNTIF($O$2:$O711,$O711)=1,1,0))</f>
        <v>0</v>
      </c>
      <c r="Q711" t="str">
        <f>IF(AND($P711=1,$A711=经营数据!$B$3,$J711=经营数据!$BA$5),COUNTIFS($P$2:$P$3000,1,$A$2:$A$3000,$A711,$J$2:$J$3000,$J711,$N$2:$N$3000,"&lt;"&amp;$N711)+1,"")</f>
        <v/>
      </c>
      <c r="R711" t="str">
        <f t="shared" si="173"/>
        <v>嘉实物美消费封闭式基础设施证券投资基金|基金整体</v>
      </c>
      <c r="S711">
        <f>IF($A711="",0,IF(COUNTIF($R$2:$R711,$R711)=1,1,0))</f>
        <v>0</v>
      </c>
      <c r="T711">
        <f t="shared" si="174"/>
        <v>664</v>
      </c>
      <c r="U711" t="str">
        <f>IF($A711="","",IF($A711=经营数据!$B$3,COUNTIFS($S$2:$S$3000,1,$A$2:$A$3000,$A711,$T$2:$T$3000,"&lt;"&amp;$T711)+1,""))</f>
        <v/>
      </c>
      <c r="V711" t="str">
        <f t="shared" si="175"/>
        <v>基金整体|服务效率</v>
      </c>
      <c r="W711">
        <f t="shared" si="176"/>
        <v>2</v>
      </c>
      <c r="X711" t="str">
        <f t="shared" si="177"/>
        <v>基金整体|期末租金收缴率</v>
      </c>
      <c r="Y711">
        <f t="shared" si="178"/>
        <v>530</v>
      </c>
      <c r="Z711">
        <f>IF($A711="",0,IF(AND($M711=1,$A711=经营数据!$B$3,$J711=经营数据!$BA$5,OR($I711=经营数据!$BA$4,COUNTIF(经营数据!$AA$9:$AA$38,$I711)&gt;0)),1,0))</f>
        <v>0</v>
      </c>
      <c r="AA711" t="str">
        <f t="shared" si="179"/>
        <v/>
      </c>
      <c r="AB711" t="str">
        <f t="shared" si="180"/>
        <v/>
      </c>
      <c r="AC711">
        <f>IF($A711="",0,IF(COUNTIF($A$2:$A711,$A711)=1,1,0))</f>
        <v>0</v>
      </c>
      <c r="AD711">
        <f t="shared" si="181"/>
        <v>8</v>
      </c>
      <c r="AE711" t="str">
        <f t="shared" si="182"/>
        <v>基金整体|期末租金收缴率（%）</v>
      </c>
    </row>
    <row r="712" spans="1:31" x14ac:dyDescent="0.4">
      <c r="A712" t="str">
        <f>IF(原始经营数据!$D713="","",原始经营数据!$D713)</f>
        <v>嘉实物美消费封闭式基础设施证券投资基金</v>
      </c>
      <c r="B712" t="str">
        <f>IF(原始经营数据!$D713="","",T(原始经营数据!$E713))</f>
        <v>基金整体</v>
      </c>
      <c r="C712" t="str">
        <f>IF(原始经营数据!$D713="","",原始经营数据!$F713)</f>
        <v>2025Q4</v>
      </c>
      <c r="D712" t="str">
        <f>IF(原始经营数据!$D713="","",原始经营数据!$H713)</f>
        <v>期末可供出租面积</v>
      </c>
      <c r="E712">
        <f>IF(原始经营数据!$D713="","",原始经营数据!$I713)</f>
        <v>77894.28</v>
      </c>
      <c r="F712" t="str">
        <f>IF(原始经营数据!$D713="","",T(原始经营数据!$J713))</f>
        <v>平方米</v>
      </c>
      <c r="G712" t="str">
        <f>IF(原始经营数据!$D713="","",T(原始经营数据!$K713))</f>
        <v/>
      </c>
      <c r="H712" t="str">
        <f>IF(原始经营数据!$D713="","",原始经营数据!$G713)</f>
        <v>服务量</v>
      </c>
      <c r="I712" t="str">
        <f>IF($A712="","",IF($B712&lt;&gt;"",$B712,IF(COUNTIFS(原始经营数据!$D$3:$D$3001,$A712,原始经营数据!$E$3:$E$3001,"",原始经营数据!$F$3:$F$3001,$C712,原始经营数据!$H$3:$H$3001,$D712,原始经营数据!$K$3:$K$3001,$G712)&gt;1,"基金整体·来源"&amp;原始经营数据!$A713,"基金整体")))</f>
        <v>基金整体</v>
      </c>
      <c r="J712" t="str">
        <f t="shared" si="168"/>
        <v>季度</v>
      </c>
      <c r="K712" t="str">
        <f t="shared" si="169"/>
        <v>期末可供出租面积（平方米）</v>
      </c>
      <c r="L712" t="str">
        <f t="shared" si="170"/>
        <v>基金整体|期末可供出租面积（平方米）|季度</v>
      </c>
      <c r="M712">
        <f>IF($A712="",0,IF(COUNTIF($L$2:$L712,$L712)=1,1,0))</f>
        <v>0</v>
      </c>
      <c r="N712">
        <f t="shared" si="171"/>
        <v>20254</v>
      </c>
      <c r="O712" t="str">
        <f t="shared" si="172"/>
        <v>嘉实物美消费封闭式基础设施证券投资基金|2025Q4|季度</v>
      </c>
      <c r="P712">
        <f>IF($A712="",0,IF(COUNTIF($O$2:$O712,$O712)=1,1,0))</f>
        <v>0</v>
      </c>
      <c r="Q712" t="str">
        <f>IF(AND($P712=1,$A712=经营数据!$B$3,$J712=经营数据!$BA$5),COUNTIFS($P$2:$P$3000,1,$A$2:$A$3000,$A712,$J$2:$J$3000,$J712,$N$2:$N$3000,"&lt;"&amp;$N712)+1,"")</f>
        <v/>
      </c>
      <c r="R712" t="str">
        <f t="shared" si="173"/>
        <v>嘉实物美消费封闭式基础设施证券投资基金|基金整体</v>
      </c>
      <c r="S712">
        <f>IF($A712="",0,IF(COUNTIF($R$2:$R712,$R712)=1,1,0))</f>
        <v>0</v>
      </c>
      <c r="T712">
        <f t="shared" si="174"/>
        <v>664</v>
      </c>
      <c r="U712" t="str">
        <f>IF($A712="","",IF($A712=经营数据!$B$3,COUNTIFS($S$2:$S$3000,1,$A$2:$A$3000,$A712,$T$2:$T$3000,"&lt;"&amp;$T712)+1,""))</f>
        <v/>
      </c>
      <c r="V712" t="str">
        <f t="shared" si="175"/>
        <v>基金整体|服务量</v>
      </c>
      <c r="W712">
        <f t="shared" si="176"/>
        <v>1</v>
      </c>
      <c r="X712" t="str">
        <f t="shared" si="177"/>
        <v>基金整体|期末可供出租面积</v>
      </c>
      <c r="Y712">
        <f t="shared" si="178"/>
        <v>3</v>
      </c>
      <c r="Z712">
        <f>IF($A712="",0,IF(AND($M712=1,$A712=经营数据!$B$3,$J712=经营数据!$BA$5,OR($I712=经营数据!$BA$4,COUNTIF(经营数据!$AA$9:$AA$38,$I712)&gt;0)),1,0))</f>
        <v>0</v>
      </c>
      <c r="AA712" t="str">
        <f t="shared" si="179"/>
        <v/>
      </c>
      <c r="AB712" t="str">
        <f t="shared" si="180"/>
        <v/>
      </c>
      <c r="AC712">
        <f>IF($A712="",0,IF(COUNTIF($A$2:$A712,$A712)=1,1,0))</f>
        <v>0</v>
      </c>
      <c r="AD712">
        <f t="shared" si="181"/>
        <v>8</v>
      </c>
      <c r="AE712" t="str">
        <f t="shared" si="182"/>
        <v>基金整体|期末可供出租面积（平方米）</v>
      </c>
    </row>
    <row r="713" spans="1:31" x14ac:dyDescent="0.4">
      <c r="A713" t="str">
        <f>IF(原始经营数据!$D714="","",原始经营数据!$D714)</f>
        <v>嘉实物美消费封闭式基础设施证券投资基金</v>
      </c>
      <c r="B713" t="str">
        <f>IF(原始经营数据!$D714="","",T(原始经营数据!$E714))</f>
        <v>基金整体</v>
      </c>
      <c r="C713" t="str">
        <f>IF(原始经营数据!$D714="","",原始经营数据!$F714)</f>
        <v>2026Q1</v>
      </c>
      <c r="D713" t="str">
        <f>IF(原始经营数据!$D714="","",原始经营数据!$H714)</f>
        <v>期末可供出租面积</v>
      </c>
      <c r="E713">
        <f>IF(原始经营数据!$D714="","",原始经营数据!$I714)</f>
        <v>77894.28</v>
      </c>
      <c r="F713" t="str">
        <f>IF(原始经营数据!$D714="","",T(原始经营数据!$J714))</f>
        <v>平方米</v>
      </c>
      <c r="G713" t="str">
        <f>IF(原始经营数据!$D714="","",T(原始经营数据!$K714))</f>
        <v/>
      </c>
      <c r="H713" t="str">
        <f>IF(原始经营数据!$D714="","",原始经营数据!$G714)</f>
        <v>服务量</v>
      </c>
      <c r="I713" t="str">
        <f>IF($A713="","",IF($B713&lt;&gt;"",$B713,IF(COUNTIFS(原始经营数据!$D$3:$D$3001,$A713,原始经营数据!$E$3:$E$3001,"",原始经营数据!$F$3:$F$3001,$C713,原始经营数据!$H$3:$H$3001,$D713,原始经营数据!$K$3:$K$3001,$G713)&gt;1,"基金整体·来源"&amp;原始经营数据!$A714,"基金整体")))</f>
        <v>基金整体</v>
      </c>
      <c r="J713" t="str">
        <f t="shared" si="168"/>
        <v>季度</v>
      </c>
      <c r="K713" t="str">
        <f t="shared" si="169"/>
        <v>期末可供出租面积（平方米）</v>
      </c>
      <c r="L713" t="str">
        <f t="shared" si="170"/>
        <v>基金整体|期末可供出租面积（平方米）|季度</v>
      </c>
      <c r="M713">
        <f>IF($A713="",0,IF(COUNTIF($L$2:$L713,$L713)=1,1,0))</f>
        <v>0</v>
      </c>
      <c r="N713">
        <f t="shared" si="171"/>
        <v>20261</v>
      </c>
      <c r="O713" t="str">
        <f t="shared" si="172"/>
        <v>嘉实物美消费封闭式基础设施证券投资基金|2026Q1|季度</v>
      </c>
      <c r="P713">
        <f>IF($A713="",0,IF(COUNTIF($O$2:$O713,$O713)=1,1,0))</f>
        <v>1</v>
      </c>
      <c r="Q713" t="str">
        <f>IF(AND($P713=1,$A713=经营数据!$B$3,$J713=经营数据!$BA$5),COUNTIFS($P$2:$P$3000,1,$A$2:$A$3000,$A713,$J$2:$J$3000,$J713,$N$2:$N$3000,"&lt;"&amp;$N713)+1,"")</f>
        <v/>
      </c>
      <c r="R713" t="str">
        <f t="shared" si="173"/>
        <v>嘉实物美消费封闭式基础设施证券投资基金|基金整体</v>
      </c>
      <c r="S713">
        <f>IF($A713="",0,IF(COUNTIF($R$2:$R713,$R713)=1,1,0))</f>
        <v>0</v>
      </c>
      <c r="T713">
        <f t="shared" si="174"/>
        <v>664</v>
      </c>
      <c r="U713" t="str">
        <f>IF($A713="","",IF($A713=经营数据!$B$3,COUNTIFS($S$2:$S$3000,1,$A$2:$A$3000,$A713,$T$2:$T$3000,"&lt;"&amp;$T713)+1,""))</f>
        <v/>
      </c>
      <c r="V713" t="str">
        <f t="shared" si="175"/>
        <v>基金整体|服务量</v>
      </c>
      <c r="W713">
        <f t="shared" si="176"/>
        <v>1</v>
      </c>
      <c r="X713" t="str">
        <f t="shared" si="177"/>
        <v>基金整体|期末可供出租面积</v>
      </c>
      <c r="Y713">
        <f t="shared" si="178"/>
        <v>3</v>
      </c>
      <c r="Z713">
        <f>IF($A713="",0,IF(AND($M713=1,$A713=经营数据!$B$3,$J713=经营数据!$BA$5,OR($I713=经营数据!$BA$4,COUNTIF(经营数据!$AA$9:$AA$38,$I713)&gt;0)),1,0))</f>
        <v>0</v>
      </c>
      <c r="AA713" t="str">
        <f t="shared" si="179"/>
        <v/>
      </c>
      <c r="AB713" t="str">
        <f t="shared" si="180"/>
        <v/>
      </c>
      <c r="AC713">
        <f>IF($A713="",0,IF(COUNTIF($A$2:$A713,$A713)=1,1,0))</f>
        <v>0</v>
      </c>
      <c r="AD713">
        <f t="shared" si="181"/>
        <v>8</v>
      </c>
      <c r="AE713" t="str">
        <f t="shared" si="182"/>
        <v>基金整体|期末可供出租面积（平方米）</v>
      </c>
    </row>
    <row r="714" spans="1:31" x14ac:dyDescent="0.4">
      <c r="A714" t="str">
        <f>IF(原始经营数据!$D715="","",原始经营数据!$D715)</f>
        <v>嘉实物美消费封闭式基础设施证券投资基金</v>
      </c>
      <c r="B714" t="str">
        <f>IF(原始经营数据!$D715="","",T(原始经营数据!$E715))</f>
        <v>基金整体</v>
      </c>
      <c r="C714" t="str">
        <f>IF(原始经营数据!$D715="","",原始经营数据!$F715)</f>
        <v>2026Q1</v>
      </c>
      <c r="D714" t="str">
        <f>IF(原始经营数据!$D715="","",原始经营数据!$H715)</f>
        <v>期末实际出租面积</v>
      </c>
      <c r="E714">
        <f>IF(原始经营数据!$D715="","",原始经营数据!$I715)</f>
        <v>73457.679999999993</v>
      </c>
      <c r="F714" t="str">
        <f>IF(原始经营数据!$D715="","",T(原始经营数据!$J715))</f>
        <v>平方米</v>
      </c>
      <c r="G714" t="str">
        <f>IF(原始经营数据!$D715="","",T(原始经营数据!$K715))</f>
        <v/>
      </c>
      <c r="H714" t="str">
        <f>IF(原始经营数据!$D715="","",原始经营数据!$G715)</f>
        <v>服务量</v>
      </c>
      <c r="I714" t="str">
        <f>IF($A714="","",IF($B714&lt;&gt;"",$B714,IF(COUNTIFS(原始经营数据!$D$3:$D$3001,$A714,原始经营数据!$E$3:$E$3001,"",原始经营数据!$F$3:$F$3001,$C714,原始经营数据!$H$3:$H$3001,$D714,原始经营数据!$K$3:$K$3001,$G714)&gt;1,"基金整体·来源"&amp;原始经营数据!$A715,"基金整体")))</f>
        <v>基金整体</v>
      </c>
      <c r="J714" t="str">
        <f t="shared" si="168"/>
        <v>季度</v>
      </c>
      <c r="K714" t="str">
        <f t="shared" si="169"/>
        <v>期末实际出租面积（平方米）</v>
      </c>
      <c r="L714" t="str">
        <f t="shared" si="170"/>
        <v>基金整体|期末实际出租面积（平方米）|季度</v>
      </c>
      <c r="M714">
        <f>IF($A714="",0,IF(COUNTIF($L$2:$L714,$L714)=1,1,0))</f>
        <v>0</v>
      </c>
      <c r="N714">
        <f t="shared" si="171"/>
        <v>20261</v>
      </c>
      <c r="O714" t="str">
        <f t="shared" si="172"/>
        <v>嘉实物美消费封闭式基础设施证券投资基金|2026Q1|季度</v>
      </c>
      <c r="P714">
        <f>IF($A714="",0,IF(COUNTIF($O$2:$O714,$O714)=1,1,0))</f>
        <v>0</v>
      </c>
      <c r="Q714" t="str">
        <f>IF(AND($P714=1,$A714=经营数据!$B$3,$J714=经营数据!$BA$5),COUNTIFS($P$2:$P$3000,1,$A$2:$A$3000,$A714,$J$2:$J$3000,$J714,$N$2:$N$3000,"&lt;"&amp;$N714)+1,"")</f>
        <v/>
      </c>
      <c r="R714" t="str">
        <f t="shared" si="173"/>
        <v>嘉实物美消费封闭式基础设施证券投资基金|基金整体</v>
      </c>
      <c r="S714">
        <f>IF($A714="",0,IF(COUNTIF($R$2:$R714,$R714)=1,1,0))</f>
        <v>0</v>
      </c>
      <c r="T714">
        <f t="shared" si="174"/>
        <v>664</v>
      </c>
      <c r="U714" t="str">
        <f>IF($A714="","",IF($A714=经营数据!$B$3,COUNTIFS($S$2:$S$3000,1,$A$2:$A$3000,$A714,$T$2:$T$3000,"&lt;"&amp;$T714)+1,""))</f>
        <v/>
      </c>
      <c r="V714" t="str">
        <f t="shared" si="175"/>
        <v>基金整体|服务量</v>
      </c>
      <c r="W714">
        <f t="shared" si="176"/>
        <v>1</v>
      </c>
      <c r="X714" t="str">
        <f t="shared" si="177"/>
        <v>基金整体|期末实际出租面积</v>
      </c>
      <c r="Y714">
        <f t="shared" si="178"/>
        <v>4</v>
      </c>
      <c r="Z714">
        <f>IF($A714="",0,IF(AND($M714=1,$A714=经营数据!$B$3,$J714=经营数据!$BA$5,OR($I714=经营数据!$BA$4,COUNTIF(经营数据!$AA$9:$AA$38,$I714)&gt;0)),1,0))</f>
        <v>0</v>
      </c>
      <c r="AA714" t="str">
        <f t="shared" si="179"/>
        <v/>
      </c>
      <c r="AB714" t="str">
        <f t="shared" si="180"/>
        <v/>
      </c>
      <c r="AC714">
        <f>IF($A714="",0,IF(COUNTIF($A$2:$A714,$A714)=1,1,0))</f>
        <v>0</v>
      </c>
      <c r="AD714">
        <f t="shared" si="181"/>
        <v>8</v>
      </c>
      <c r="AE714" t="str">
        <f t="shared" si="182"/>
        <v>基金整体|期末实际出租面积（平方米）</v>
      </c>
    </row>
    <row r="715" spans="1:31" x14ac:dyDescent="0.4">
      <c r="A715" t="str">
        <f>IF(原始经营数据!$D716="","",原始经营数据!$D716)</f>
        <v>嘉实物美消费封闭式基础设施证券投资基金</v>
      </c>
      <c r="B715" t="str">
        <f>IF(原始经营数据!$D716="","",T(原始经营数据!$E716))</f>
        <v>基金整体</v>
      </c>
      <c r="C715" t="str">
        <f>IF(原始经营数据!$D716="","",原始经营数据!$F716)</f>
        <v>2026Q1</v>
      </c>
      <c r="D715" t="str">
        <f>IF(原始经营数据!$D716="","",原始经营数据!$H716)</f>
        <v>期末出租率</v>
      </c>
      <c r="E715">
        <f>IF(原始经营数据!$D716="","",原始经营数据!$I716)</f>
        <v>94.3</v>
      </c>
      <c r="F715" t="str">
        <f>IF(原始经营数据!$D716="","",T(原始经营数据!$J716))</f>
        <v>%</v>
      </c>
      <c r="G715" t="str">
        <f>IF(原始经营数据!$D716="","",T(原始经营数据!$K716))</f>
        <v/>
      </c>
      <c r="H715" t="str">
        <f>IF(原始经营数据!$D716="","",原始经营数据!$G716)</f>
        <v>服务效率</v>
      </c>
      <c r="I715" t="str">
        <f>IF($A715="","",IF($B715&lt;&gt;"",$B715,IF(COUNTIFS(原始经营数据!$D$3:$D$3001,$A715,原始经营数据!$E$3:$E$3001,"",原始经营数据!$F$3:$F$3001,$C715,原始经营数据!$H$3:$H$3001,$D715,原始经营数据!$K$3:$K$3001,$G715)&gt;1,"基金整体·来源"&amp;原始经营数据!$A716,"基金整体")))</f>
        <v>基金整体</v>
      </c>
      <c r="J715" t="str">
        <f t="shared" si="168"/>
        <v>季度</v>
      </c>
      <c r="K715" t="str">
        <f t="shared" si="169"/>
        <v>期末出租率（%）</v>
      </c>
      <c r="L715" t="str">
        <f t="shared" si="170"/>
        <v>基金整体|期末出租率（%）|季度</v>
      </c>
      <c r="M715">
        <f>IF($A715="",0,IF(COUNTIF($L$2:$L715,$L715)=1,1,0))</f>
        <v>0</v>
      </c>
      <c r="N715">
        <f t="shared" si="171"/>
        <v>20261</v>
      </c>
      <c r="O715" t="str">
        <f t="shared" si="172"/>
        <v>嘉实物美消费封闭式基础设施证券投资基金|2026Q1|季度</v>
      </c>
      <c r="P715">
        <f>IF($A715="",0,IF(COUNTIF($O$2:$O715,$O715)=1,1,0))</f>
        <v>0</v>
      </c>
      <c r="Q715" t="str">
        <f>IF(AND($P715=1,$A715=经营数据!$B$3,$J715=经营数据!$BA$5),COUNTIFS($P$2:$P$3000,1,$A$2:$A$3000,$A715,$J$2:$J$3000,$J715,$N$2:$N$3000,"&lt;"&amp;$N715)+1,"")</f>
        <v/>
      </c>
      <c r="R715" t="str">
        <f t="shared" si="173"/>
        <v>嘉实物美消费封闭式基础设施证券投资基金|基金整体</v>
      </c>
      <c r="S715">
        <f>IF($A715="",0,IF(COUNTIF($R$2:$R715,$R715)=1,1,0))</f>
        <v>0</v>
      </c>
      <c r="T715">
        <f t="shared" si="174"/>
        <v>664</v>
      </c>
      <c r="U715" t="str">
        <f>IF($A715="","",IF($A715=经营数据!$B$3,COUNTIFS($S$2:$S$3000,1,$A$2:$A$3000,$A715,$T$2:$T$3000,"&lt;"&amp;$T715)+1,""))</f>
        <v/>
      </c>
      <c r="V715" t="str">
        <f t="shared" si="175"/>
        <v>基金整体|服务效率</v>
      </c>
      <c r="W715">
        <f t="shared" si="176"/>
        <v>2</v>
      </c>
      <c r="X715" t="str">
        <f t="shared" si="177"/>
        <v>基金整体|期末出租率</v>
      </c>
      <c r="Y715">
        <f t="shared" si="178"/>
        <v>5</v>
      </c>
      <c r="Z715">
        <f>IF($A715="",0,IF(AND($M715=1,$A715=经营数据!$B$3,$J715=经营数据!$BA$5,OR($I715=经营数据!$BA$4,COUNTIF(经营数据!$AA$9:$AA$38,$I715)&gt;0)),1,0))</f>
        <v>0</v>
      </c>
      <c r="AA715" t="str">
        <f t="shared" si="179"/>
        <v/>
      </c>
      <c r="AB715" t="str">
        <f t="shared" si="180"/>
        <v/>
      </c>
      <c r="AC715">
        <f>IF($A715="",0,IF(COUNTIF($A$2:$A715,$A715)=1,1,0))</f>
        <v>0</v>
      </c>
      <c r="AD715">
        <f t="shared" si="181"/>
        <v>8</v>
      </c>
      <c r="AE715" t="str">
        <f t="shared" si="182"/>
        <v>基金整体|期末出租率（%）</v>
      </c>
    </row>
    <row r="716" spans="1:31" x14ac:dyDescent="0.4">
      <c r="A716" t="str">
        <f>IF(原始经营数据!$D717="","",原始经营数据!$D717)</f>
        <v>嘉实物美消费封闭式基础设施证券投资基金</v>
      </c>
      <c r="B716" t="str">
        <f>IF(原始经营数据!$D717="","",T(原始经营数据!$E717))</f>
        <v>基金整体</v>
      </c>
      <c r="C716" t="str">
        <f>IF(原始经营数据!$D717="","",原始经营数据!$F717)</f>
        <v>2026Q1</v>
      </c>
      <c r="D716" t="str">
        <f>IF(原始经营数据!$D717="","",原始经营数据!$H717)</f>
        <v>期内租金单价水平</v>
      </c>
      <c r="E716">
        <f>IF(原始经营数据!$D717="","",原始经营数据!$I717)</f>
        <v>4.03</v>
      </c>
      <c r="F716" t="str">
        <f>IF(原始经营数据!$D717="","",T(原始经营数据!$J717))</f>
        <v>元/平方米/天</v>
      </c>
      <c r="G716" t="str">
        <f>IF(原始经营数据!$D717="","",T(原始经营数据!$K717))</f>
        <v/>
      </c>
      <c r="H716" t="str">
        <f>IF(原始经营数据!$D717="","",原始经营数据!$G717)</f>
        <v>服务价格</v>
      </c>
      <c r="I716" t="str">
        <f>IF($A716="","",IF($B716&lt;&gt;"",$B716,IF(COUNTIFS(原始经营数据!$D$3:$D$3001,$A716,原始经营数据!$E$3:$E$3001,"",原始经营数据!$F$3:$F$3001,$C716,原始经营数据!$H$3:$H$3001,$D716,原始经营数据!$K$3:$K$3001,$G716)&gt;1,"基金整体·来源"&amp;原始经营数据!$A717,"基金整体")))</f>
        <v>基金整体</v>
      </c>
      <c r="J716" t="str">
        <f t="shared" si="168"/>
        <v>季度</v>
      </c>
      <c r="K716" t="str">
        <f t="shared" si="169"/>
        <v>期内租金单价水平（元/平方米/天）</v>
      </c>
      <c r="L716" t="str">
        <f t="shared" si="170"/>
        <v>基金整体|期内租金单价水平（元/平方米/天）|季度</v>
      </c>
      <c r="M716">
        <f>IF($A716="",0,IF(COUNTIF($L$2:$L716,$L716)=1,1,0))</f>
        <v>0</v>
      </c>
      <c r="N716">
        <f t="shared" si="171"/>
        <v>20261</v>
      </c>
      <c r="O716" t="str">
        <f t="shared" si="172"/>
        <v>嘉实物美消费封闭式基础设施证券投资基金|2026Q1|季度</v>
      </c>
      <c r="P716">
        <f>IF($A716="",0,IF(COUNTIF($O$2:$O716,$O716)=1,1,0))</f>
        <v>0</v>
      </c>
      <c r="Q716" t="str">
        <f>IF(AND($P716=1,$A716=经营数据!$B$3,$J716=经营数据!$BA$5),COUNTIFS($P$2:$P$3000,1,$A$2:$A$3000,$A716,$J$2:$J$3000,$J716,$N$2:$N$3000,"&lt;"&amp;$N716)+1,"")</f>
        <v/>
      </c>
      <c r="R716" t="str">
        <f t="shared" si="173"/>
        <v>嘉实物美消费封闭式基础设施证券投资基金|基金整体</v>
      </c>
      <c r="S716">
        <f>IF($A716="",0,IF(COUNTIF($R$2:$R716,$R716)=1,1,0))</f>
        <v>0</v>
      </c>
      <c r="T716">
        <f t="shared" si="174"/>
        <v>664</v>
      </c>
      <c r="U716" t="str">
        <f>IF($A716="","",IF($A716=经营数据!$B$3,COUNTIFS($S$2:$S$3000,1,$A$2:$A$3000,$A716,$T$2:$T$3000,"&lt;"&amp;$T716)+1,""))</f>
        <v/>
      </c>
      <c r="V716" t="str">
        <f t="shared" si="175"/>
        <v>基金整体|服务价格</v>
      </c>
      <c r="W716">
        <f t="shared" si="176"/>
        <v>10</v>
      </c>
      <c r="X716" t="str">
        <f t="shared" si="177"/>
        <v>基金整体|期内租金单价水平</v>
      </c>
      <c r="Y716">
        <f t="shared" si="178"/>
        <v>529</v>
      </c>
      <c r="Z716">
        <f>IF($A716="",0,IF(AND($M716=1,$A716=经营数据!$B$3,$J716=经营数据!$BA$5,OR($I716=经营数据!$BA$4,COUNTIF(经营数据!$AA$9:$AA$38,$I716)&gt;0)),1,0))</f>
        <v>0</v>
      </c>
      <c r="AA716" t="str">
        <f t="shared" si="179"/>
        <v/>
      </c>
      <c r="AB716" t="str">
        <f t="shared" si="180"/>
        <v/>
      </c>
      <c r="AC716">
        <f>IF($A716="",0,IF(COUNTIF($A$2:$A716,$A716)=1,1,0))</f>
        <v>0</v>
      </c>
      <c r="AD716">
        <f t="shared" si="181"/>
        <v>8</v>
      </c>
      <c r="AE716" t="str">
        <f t="shared" si="182"/>
        <v>基金整体|期内租金单价水平（元/平方米/天）</v>
      </c>
    </row>
    <row r="717" spans="1:31" x14ac:dyDescent="0.4">
      <c r="A717" t="str">
        <f>IF(原始经营数据!$D718="","",原始经营数据!$D718)</f>
        <v>嘉实物美消费封闭式基础设施证券投资基金</v>
      </c>
      <c r="B717" t="str">
        <f>IF(原始经营数据!$D718="","",T(原始经营数据!$E718))</f>
        <v>基金整体</v>
      </c>
      <c r="C717" t="str">
        <f>IF(原始经营数据!$D718="","",原始经营数据!$F718)</f>
        <v>2026Q1</v>
      </c>
      <c r="D717" t="str">
        <f>IF(原始经营数据!$D718="","",原始经营数据!$H718)</f>
        <v>期末剩余租期情况</v>
      </c>
      <c r="E717">
        <f>IF(原始经营数据!$D718="","",原始经营数据!$I718)</f>
        <v>6.15</v>
      </c>
      <c r="F717" t="str">
        <f>IF(原始经营数据!$D718="","",T(原始经营数据!$J718))</f>
        <v>年</v>
      </c>
      <c r="G717" t="str">
        <f>IF(原始经营数据!$D718="","",T(原始经营数据!$K718))</f>
        <v/>
      </c>
      <c r="H717" t="str">
        <f>IF(原始经营数据!$D718="","",原始经营数据!$G718)</f>
        <v>服务量</v>
      </c>
      <c r="I717" t="str">
        <f>IF($A717="","",IF($B717&lt;&gt;"",$B717,IF(COUNTIFS(原始经营数据!$D$3:$D$3001,$A717,原始经营数据!$E$3:$E$3001,"",原始经营数据!$F$3:$F$3001,$C717,原始经营数据!$H$3:$H$3001,$D717,原始经营数据!$K$3:$K$3001,$G717)&gt;1,"基金整体·来源"&amp;原始经营数据!$A718,"基金整体")))</f>
        <v>基金整体</v>
      </c>
      <c r="J717" t="str">
        <f t="shared" si="168"/>
        <v>季度</v>
      </c>
      <c r="K717" t="str">
        <f t="shared" si="169"/>
        <v>期末剩余租期情况（年）</v>
      </c>
      <c r="L717" t="str">
        <f t="shared" si="170"/>
        <v>基金整体|期末剩余租期情况（年）|季度</v>
      </c>
      <c r="M717">
        <f>IF($A717="",0,IF(COUNTIF($L$2:$L717,$L717)=1,1,0))</f>
        <v>0</v>
      </c>
      <c r="N717">
        <f t="shared" si="171"/>
        <v>20261</v>
      </c>
      <c r="O717" t="str">
        <f t="shared" si="172"/>
        <v>嘉实物美消费封闭式基础设施证券投资基金|2026Q1|季度</v>
      </c>
      <c r="P717">
        <f>IF($A717="",0,IF(COUNTIF($O$2:$O717,$O717)=1,1,0))</f>
        <v>0</v>
      </c>
      <c r="Q717" t="str">
        <f>IF(AND($P717=1,$A717=经营数据!$B$3,$J717=经营数据!$BA$5),COUNTIFS($P$2:$P$3000,1,$A$2:$A$3000,$A717,$J$2:$J$3000,$J717,$N$2:$N$3000,"&lt;"&amp;$N717)+1,"")</f>
        <v/>
      </c>
      <c r="R717" t="str">
        <f t="shared" si="173"/>
        <v>嘉实物美消费封闭式基础设施证券投资基金|基金整体</v>
      </c>
      <c r="S717">
        <f>IF($A717="",0,IF(COUNTIF($R$2:$R717,$R717)=1,1,0))</f>
        <v>0</v>
      </c>
      <c r="T717">
        <f t="shared" si="174"/>
        <v>664</v>
      </c>
      <c r="U717" t="str">
        <f>IF($A717="","",IF($A717=经营数据!$B$3,COUNTIFS($S$2:$S$3000,1,$A$2:$A$3000,$A717,$T$2:$T$3000,"&lt;"&amp;$T717)+1,""))</f>
        <v/>
      </c>
      <c r="V717" t="str">
        <f t="shared" si="175"/>
        <v>基金整体|服务量</v>
      </c>
      <c r="W717">
        <f t="shared" si="176"/>
        <v>1</v>
      </c>
      <c r="X717" t="str">
        <f t="shared" si="177"/>
        <v>基金整体|期末剩余租期情况</v>
      </c>
      <c r="Y717">
        <f t="shared" si="178"/>
        <v>665</v>
      </c>
      <c r="Z717">
        <f>IF($A717="",0,IF(AND($M717=1,$A717=经营数据!$B$3,$J717=经营数据!$BA$5,OR($I717=经营数据!$BA$4,COUNTIF(经营数据!$AA$9:$AA$38,$I717)&gt;0)),1,0))</f>
        <v>0</v>
      </c>
      <c r="AA717" t="str">
        <f t="shared" si="179"/>
        <v/>
      </c>
      <c r="AB717" t="str">
        <f t="shared" si="180"/>
        <v/>
      </c>
      <c r="AC717">
        <f>IF($A717="",0,IF(COUNTIF($A$2:$A717,$A717)=1,1,0))</f>
        <v>0</v>
      </c>
      <c r="AD717">
        <f t="shared" si="181"/>
        <v>8</v>
      </c>
      <c r="AE717" t="str">
        <f t="shared" si="182"/>
        <v>基金整体|期末剩余租期情况（年）</v>
      </c>
    </row>
    <row r="718" spans="1:31" x14ac:dyDescent="0.4">
      <c r="A718" t="str">
        <f>IF(原始经营数据!$D719="","",原始经营数据!$D719)</f>
        <v>嘉实物美消费封闭式基础设施证券投资基金</v>
      </c>
      <c r="B718" t="str">
        <f>IF(原始经营数据!$D719="","",T(原始经营数据!$E719))</f>
        <v>基金整体</v>
      </c>
      <c r="C718" t="str">
        <f>IF(原始经营数据!$D719="","",原始经营数据!$F719)</f>
        <v>2026Q1</v>
      </c>
      <c r="D718" t="str">
        <f>IF(原始经营数据!$D719="","",原始经营数据!$H719)</f>
        <v>期末租金收缴率</v>
      </c>
      <c r="E718">
        <f>IF(原始经营数据!$D719="","",原始经营数据!$I719)</f>
        <v>99.52</v>
      </c>
      <c r="F718" t="str">
        <f>IF(原始经营数据!$D719="","",T(原始经营数据!$J719))</f>
        <v>%</v>
      </c>
      <c r="G718" t="str">
        <f>IF(原始经营数据!$D719="","",T(原始经营数据!$K719))</f>
        <v/>
      </c>
      <c r="H718" t="str">
        <f>IF(原始经营数据!$D719="","",原始经营数据!$G719)</f>
        <v>服务效率</v>
      </c>
      <c r="I718" t="str">
        <f>IF($A718="","",IF($B718&lt;&gt;"",$B718,IF(COUNTIFS(原始经营数据!$D$3:$D$3001,$A718,原始经营数据!$E$3:$E$3001,"",原始经营数据!$F$3:$F$3001,$C718,原始经营数据!$H$3:$H$3001,$D718,原始经营数据!$K$3:$K$3001,$G718)&gt;1,"基金整体·来源"&amp;原始经营数据!$A719,"基金整体")))</f>
        <v>基金整体</v>
      </c>
      <c r="J718" t="str">
        <f t="shared" si="168"/>
        <v>季度</v>
      </c>
      <c r="K718" t="str">
        <f t="shared" si="169"/>
        <v>期末租金收缴率（%）</v>
      </c>
      <c r="L718" t="str">
        <f t="shared" si="170"/>
        <v>基金整体|期末租金收缴率（%）|季度</v>
      </c>
      <c r="M718">
        <f>IF($A718="",0,IF(COUNTIF($L$2:$L718,$L718)=1,1,0))</f>
        <v>0</v>
      </c>
      <c r="N718">
        <f t="shared" si="171"/>
        <v>20261</v>
      </c>
      <c r="O718" t="str">
        <f t="shared" si="172"/>
        <v>嘉实物美消费封闭式基础设施证券投资基金|2026Q1|季度</v>
      </c>
      <c r="P718">
        <f>IF($A718="",0,IF(COUNTIF($O$2:$O718,$O718)=1,1,0))</f>
        <v>0</v>
      </c>
      <c r="Q718" t="str">
        <f>IF(AND($P718=1,$A718=经营数据!$B$3,$J718=经营数据!$BA$5),COUNTIFS($P$2:$P$3000,1,$A$2:$A$3000,$A718,$J$2:$J$3000,$J718,$N$2:$N$3000,"&lt;"&amp;$N718)+1,"")</f>
        <v/>
      </c>
      <c r="R718" t="str">
        <f t="shared" si="173"/>
        <v>嘉实物美消费封闭式基础设施证券投资基金|基金整体</v>
      </c>
      <c r="S718">
        <f>IF($A718="",0,IF(COUNTIF($R$2:$R718,$R718)=1,1,0))</f>
        <v>0</v>
      </c>
      <c r="T718">
        <f t="shared" si="174"/>
        <v>664</v>
      </c>
      <c r="U718" t="str">
        <f>IF($A718="","",IF($A718=经营数据!$B$3,COUNTIFS($S$2:$S$3000,1,$A$2:$A$3000,$A718,$T$2:$T$3000,"&lt;"&amp;$T718)+1,""))</f>
        <v/>
      </c>
      <c r="V718" t="str">
        <f t="shared" si="175"/>
        <v>基金整体|服务效率</v>
      </c>
      <c r="W718">
        <f t="shared" si="176"/>
        <v>2</v>
      </c>
      <c r="X718" t="str">
        <f t="shared" si="177"/>
        <v>基金整体|期末租金收缴率</v>
      </c>
      <c r="Y718">
        <f t="shared" si="178"/>
        <v>530</v>
      </c>
      <c r="Z718">
        <f>IF($A718="",0,IF(AND($M718=1,$A718=经营数据!$B$3,$J718=经营数据!$BA$5,OR($I718=经营数据!$BA$4,COUNTIF(经营数据!$AA$9:$AA$38,$I718)&gt;0)),1,0))</f>
        <v>0</v>
      </c>
      <c r="AA718" t="str">
        <f t="shared" si="179"/>
        <v/>
      </c>
      <c r="AB718" t="str">
        <f t="shared" si="180"/>
        <v/>
      </c>
      <c r="AC718">
        <f>IF($A718="",0,IF(COUNTIF($A$2:$A718,$A718)=1,1,0))</f>
        <v>0</v>
      </c>
      <c r="AD718">
        <f t="shared" si="181"/>
        <v>8</v>
      </c>
      <c r="AE718" t="str">
        <f t="shared" si="182"/>
        <v>基金整体|期末租金收缴率（%）</v>
      </c>
    </row>
    <row r="719" spans="1:31" x14ac:dyDescent="0.4">
      <c r="A719" t="str">
        <f>IF(原始经营数据!$D720="","",原始经营数据!$D720)</f>
        <v>嘉实物美消费封闭式基础设施证券投资基金</v>
      </c>
      <c r="B719" t="str">
        <f>IF(原始经营数据!$D720="","",T(原始经营数据!$E720))</f>
        <v>基金整体</v>
      </c>
      <c r="C719" t="str">
        <f>IF(原始经营数据!$D720="","",原始经营数据!$F720)</f>
        <v>2026Q2</v>
      </c>
      <c r="D719" t="str">
        <f>IF(原始经营数据!$D720="","",原始经营数据!$H720)</f>
        <v>期末实际出租面积</v>
      </c>
      <c r="E719">
        <f>IF(原始经营数据!$D720="","",原始经营数据!$I720)</f>
        <v>72953.289999999994</v>
      </c>
      <c r="F719" t="str">
        <f>IF(原始经营数据!$D720="","",T(原始经营数据!$J720))</f>
        <v>平方米</v>
      </c>
      <c r="G719" t="str">
        <f>IF(原始经营数据!$D720="","",T(原始经营数据!$K720))</f>
        <v/>
      </c>
      <c r="H719" t="str">
        <f>IF(原始经营数据!$D720="","",原始经营数据!$G720)</f>
        <v>服务量</v>
      </c>
      <c r="I719" t="str">
        <f>IF($A719="","",IF($B719&lt;&gt;"",$B719,IF(COUNTIFS(原始经营数据!$D$3:$D$3001,$A719,原始经营数据!$E$3:$E$3001,"",原始经营数据!$F$3:$F$3001,$C719,原始经营数据!$H$3:$H$3001,$D719,原始经营数据!$K$3:$K$3001,$G719)&gt;1,"基金整体·来源"&amp;原始经营数据!$A720,"基金整体")))</f>
        <v>基金整体</v>
      </c>
      <c r="J719" t="str">
        <f t="shared" si="168"/>
        <v>季度</v>
      </c>
      <c r="K719" t="str">
        <f t="shared" si="169"/>
        <v>期末实际出租面积（平方米）</v>
      </c>
      <c r="L719" t="str">
        <f t="shared" si="170"/>
        <v>基金整体|期末实际出租面积（平方米）|季度</v>
      </c>
      <c r="M719">
        <f>IF($A719="",0,IF(COUNTIF($L$2:$L719,$L719)=1,1,0))</f>
        <v>0</v>
      </c>
      <c r="N719">
        <f t="shared" si="171"/>
        <v>20262</v>
      </c>
      <c r="O719" t="str">
        <f t="shared" si="172"/>
        <v>嘉实物美消费封闭式基础设施证券投资基金|2026Q2|季度</v>
      </c>
      <c r="P719">
        <f>IF($A719="",0,IF(COUNTIF($O$2:$O719,$O719)=1,1,0))</f>
        <v>1</v>
      </c>
      <c r="Q719" t="str">
        <f>IF(AND($P719=1,$A719=经营数据!$B$3,$J719=经营数据!$BA$5),COUNTIFS($P$2:$P$3000,1,$A$2:$A$3000,$A719,$J$2:$J$3000,$J719,$N$2:$N$3000,"&lt;"&amp;$N719)+1,"")</f>
        <v/>
      </c>
      <c r="R719" t="str">
        <f t="shared" si="173"/>
        <v>嘉实物美消费封闭式基础设施证券投资基金|基金整体</v>
      </c>
      <c r="S719">
        <f>IF($A719="",0,IF(COUNTIF($R$2:$R719,$R719)=1,1,0))</f>
        <v>0</v>
      </c>
      <c r="T719">
        <f t="shared" si="174"/>
        <v>664</v>
      </c>
      <c r="U719" t="str">
        <f>IF($A719="","",IF($A719=经营数据!$B$3,COUNTIFS($S$2:$S$3000,1,$A$2:$A$3000,$A719,$T$2:$T$3000,"&lt;"&amp;$T719)+1,""))</f>
        <v/>
      </c>
      <c r="V719" t="str">
        <f t="shared" si="175"/>
        <v>基金整体|服务量</v>
      </c>
      <c r="W719">
        <f t="shared" si="176"/>
        <v>1</v>
      </c>
      <c r="X719" t="str">
        <f t="shared" si="177"/>
        <v>基金整体|期末实际出租面积</v>
      </c>
      <c r="Y719">
        <f t="shared" si="178"/>
        <v>4</v>
      </c>
      <c r="Z719">
        <f>IF($A719="",0,IF(AND($M719=1,$A719=经营数据!$B$3,$J719=经营数据!$BA$5,OR($I719=经营数据!$BA$4,COUNTIF(经营数据!$AA$9:$AA$38,$I719)&gt;0)),1,0))</f>
        <v>0</v>
      </c>
      <c r="AA719" t="str">
        <f t="shared" si="179"/>
        <v/>
      </c>
      <c r="AB719" t="str">
        <f t="shared" si="180"/>
        <v/>
      </c>
      <c r="AC719">
        <f>IF($A719="",0,IF(COUNTIF($A$2:$A719,$A719)=1,1,0))</f>
        <v>0</v>
      </c>
      <c r="AD719">
        <f t="shared" si="181"/>
        <v>8</v>
      </c>
      <c r="AE719" t="str">
        <f t="shared" si="182"/>
        <v>基金整体|期末实际出租面积（平方米）</v>
      </c>
    </row>
    <row r="720" spans="1:31" x14ac:dyDescent="0.4">
      <c r="A720" t="str">
        <f>IF(原始经营数据!$D721="","",原始经营数据!$D721)</f>
        <v>嘉实物美消费封闭式基础设施证券投资基金</v>
      </c>
      <c r="B720" t="str">
        <f>IF(原始经营数据!$D721="","",T(原始经营数据!$E721))</f>
        <v>基金整体</v>
      </c>
      <c r="C720" t="str">
        <f>IF(原始经营数据!$D721="","",原始经营数据!$F721)</f>
        <v>2026Q2</v>
      </c>
      <c r="D720" t="str">
        <f>IF(原始经营数据!$D721="","",原始经营数据!$H721)</f>
        <v>期末出租率</v>
      </c>
      <c r="E720">
        <f>IF(原始经营数据!$D721="","",原始经营数据!$I721)</f>
        <v>93.66</v>
      </c>
      <c r="F720" t="str">
        <f>IF(原始经营数据!$D721="","",T(原始经营数据!$J721))</f>
        <v>%</v>
      </c>
      <c r="G720" t="str">
        <f>IF(原始经营数据!$D721="","",T(原始经营数据!$K721))</f>
        <v/>
      </c>
      <c r="H720" t="str">
        <f>IF(原始经营数据!$D721="","",原始经营数据!$G721)</f>
        <v>服务效率</v>
      </c>
      <c r="I720" t="str">
        <f>IF($A720="","",IF($B720&lt;&gt;"",$B720,IF(COUNTIFS(原始经营数据!$D$3:$D$3001,$A720,原始经营数据!$E$3:$E$3001,"",原始经营数据!$F$3:$F$3001,$C720,原始经营数据!$H$3:$H$3001,$D720,原始经营数据!$K$3:$K$3001,$G720)&gt;1,"基金整体·来源"&amp;原始经营数据!$A721,"基金整体")))</f>
        <v>基金整体</v>
      </c>
      <c r="J720" t="str">
        <f t="shared" si="168"/>
        <v>季度</v>
      </c>
      <c r="K720" t="str">
        <f t="shared" si="169"/>
        <v>期末出租率（%）</v>
      </c>
      <c r="L720" t="str">
        <f t="shared" si="170"/>
        <v>基金整体|期末出租率（%）|季度</v>
      </c>
      <c r="M720">
        <f>IF($A720="",0,IF(COUNTIF($L$2:$L720,$L720)=1,1,0))</f>
        <v>0</v>
      </c>
      <c r="N720">
        <f t="shared" si="171"/>
        <v>20262</v>
      </c>
      <c r="O720" t="str">
        <f t="shared" si="172"/>
        <v>嘉实物美消费封闭式基础设施证券投资基金|2026Q2|季度</v>
      </c>
      <c r="P720">
        <f>IF($A720="",0,IF(COUNTIF($O$2:$O720,$O720)=1,1,0))</f>
        <v>0</v>
      </c>
      <c r="Q720" t="str">
        <f>IF(AND($P720=1,$A720=经营数据!$B$3,$J720=经营数据!$BA$5),COUNTIFS($P$2:$P$3000,1,$A$2:$A$3000,$A720,$J$2:$J$3000,$J720,$N$2:$N$3000,"&lt;"&amp;$N720)+1,"")</f>
        <v/>
      </c>
      <c r="R720" t="str">
        <f t="shared" si="173"/>
        <v>嘉实物美消费封闭式基础设施证券投资基金|基金整体</v>
      </c>
      <c r="S720">
        <f>IF($A720="",0,IF(COUNTIF($R$2:$R720,$R720)=1,1,0))</f>
        <v>0</v>
      </c>
      <c r="T720">
        <f t="shared" si="174"/>
        <v>664</v>
      </c>
      <c r="U720" t="str">
        <f>IF($A720="","",IF($A720=经营数据!$B$3,COUNTIFS($S$2:$S$3000,1,$A$2:$A$3000,$A720,$T$2:$T$3000,"&lt;"&amp;$T720)+1,""))</f>
        <v/>
      </c>
      <c r="V720" t="str">
        <f t="shared" si="175"/>
        <v>基金整体|服务效率</v>
      </c>
      <c r="W720">
        <f t="shared" si="176"/>
        <v>2</v>
      </c>
      <c r="X720" t="str">
        <f t="shared" si="177"/>
        <v>基金整体|期末出租率</v>
      </c>
      <c r="Y720">
        <f t="shared" si="178"/>
        <v>5</v>
      </c>
      <c r="Z720">
        <f>IF($A720="",0,IF(AND($M720=1,$A720=经营数据!$B$3,$J720=经营数据!$BA$5,OR($I720=经营数据!$BA$4,COUNTIF(经营数据!$AA$9:$AA$38,$I720)&gt;0)),1,0))</f>
        <v>0</v>
      </c>
      <c r="AA720" t="str">
        <f t="shared" si="179"/>
        <v/>
      </c>
      <c r="AB720" t="str">
        <f t="shared" si="180"/>
        <v/>
      </c>
      <c r="AC720">
        <f>IF($A720="",0,IF(COUNTIF($A$2:$A720,$A720)=1,1,0))</f>
        <v>0</v>
      </c>
      <c r="AD720">
        <f t="shared" si="181"/>
        <v>8</v>
      </c>
      <c r="AE720" t="str">
        <f t="shared" si="182"/>
        <v>基金整体|期末出租率（%）</v>
      </c>
    </row>
    <row r="721" spans="1:31" x14ac:dyDescent="0.4">
      <c r="A721" t="str">
        <f>IF(原始经营数据!$D722="","",原始经营数据!$D722)</f>
        <v>嘉实物美消费封闭式基础设施证券投资基金</v>
      </c>
      <c r="B721" t="str">
        <f>IF(原始经营数据!$D722="","",T(原始经营数据!$E722))</f>
        <v>基金整体</v>
      </c>
      <c r="C721" t="str">
        <f>IF(原始经营数据!$D722="","",原始经营数据!$F722)</f>
        <v>2026Q2</v>
      </c>
      <c r="D721" t="str">
        <f>IF(原始经营数据!$D722="","",原始经营数据!$H722)</f>
        <v>期内租金单价水平</v>
      </c>
      <c r="E721">
        <f>IF(原始经营数据!$D722="","",原始经营数据!$I722)</f>
        <v>4.13</v>
      </c>
      <c r="F721" t="str">
        <f>IF(原始经营数据!$D722="","",T(原始经营数据!$J722))</f>
        <v>元/平方米/天</v>
      </c>
      <c r="G721" t="str">
        <f>IF(原始经营数据!$D722="","",T(原始经营数据!$K722))</f>
        <v/>
      </c>
      <c r="H721" t="str">
        <f>IF(原始经营数据!$D722="","",原始经营数据!$G722)</f>
        <v>服务价格</v>
      </c>
      <c r="I721" t="str">
        <f>IF($A721="","",IF($B721&lt;&gt;"",$B721,IF(COUNTIFS(原始经营数据!$D$3:$D$3001,$A721,原始经营数据!$E$3:$E$3001,"",原始经营数据!$F$3:$F$3001,$C721,原始经营数据!$H$3:$H$3001,$D721,原始经营数据!$K$3:$K$3001,$G721)&gt;1,"基金整体·来源"&amp;原始经营数据!$A722,"基金整体")))</f>
        <v>基金整体</v>
      </c>
      <c r="J721" t="str">
        <f t="shared" si="168"/>
        <v>季度</v>
      </c>
      <c r="K721" t="str">
        <f t="shared" si="169"/>
        <v>期内租金单价水平（元/平方米/天）</v>
      </c>
      <c r="L721" t="str">
        <f t="shared" si="170"/>
        <v>基金整体|期内租金单价水平（元/平方米/天）|季度</v>
      </c>
      <c r="M721">
        <f>IF($A721="",0,IF(COUNTIF($L$2:$L721,$L721)=1,1,0))</f>
        <v>0</v>
      </c>
      <c r="N721">
        <f t="shared" si="171"/>
        <v>20262</v>
      </c>
      <c r="O721" t="str">
        <f t="shared" si="172"/>
        <v>嘉实物美消费封闭式基础设施证券投资基金|2026Q2|季度</v>
      </c>
      <c r="P721">
        <f>IF($A721="",0,IF(COUNTIF($O$2:$O721,$O721)=1,1,0))</f>
        <v>0</v>
      </c>
      <c r="Q721" t="str">
        <f>IF(AND($P721=1,$A721=经营数据!$B$3,$J721=经营数据!$BA$5),COUNTIFS($P$2:$P$3000,1,$A$2:$A$3000,$A721,$J$2:$J$3000,$J721,$N$2:$N$3000,"&lt;"&amp;$N721)+1,"")</f>
        <v/>
      </c>
      <c r="R721" t="str">
        <f t="shared" si="173"/>
        <v>嘉实物美消费封闭式基础设施证券投资基金|基金整体</v>
      </c>
      <c r="S721">
        <f>IF($A721="",0,IF(COUNTIF($R$2:$R721,$R721)=1,1,0))</f>
        <v>0</v>
      </c>
      <c r="T721">
        <f t="shared" si="174"/>
        <v>664</v>
      </c>
      <c r="U721" t="str">
        <f>IF($A721="","",IF($A721=经营数据!$B$3,COUNTIFS($S$2:$S$3000,1,$A$2:$A$3000,$A721,$T$2:$T$3000,"&lt;"&amp;$T721)+1,""))</f>
        <v/>
      </c>
      <c r="V721" t="str">
        <f t="shared" si="175"/>
        <v>基金整体|服务价格</v>
      </c>
      <c r="W721">
        <f t="shared" si="176"/>
        <v>10</v>
      </c>
      <c r="X721" t="str">
        <f t="shared" si="177"/>
        <v>基金整体|期内租金单价水平</v>
      </c>
      <c r="Y721">
        <f t="shared" si="178"/>
        <v>529</v>
      </c>
      <c r="Z721">
        <f>IF($A721="",0,IF(AND($M721=1,$A721=经营数据!$B$3,$J721=经营数据!$BA$5,OR($I721=经营数据!$BA$4,COUNTIF(经营数据!$AA$9:$AA$38,$I721)&gt;0)),1,0))</f>
        <v>0</v>
      </c>
      <c r="AA721" t="str">
        <f t="shared" si="179"/>
        <v/>
      </c>
      <c r="AB721" t="str">
        <f t="shared" si="180"/>
        <v/>
      </c>
      <c r="AC721">
        <f>IF($A721="",0,IF(COUNTIF($A$2:$A721,$A721)=1,1,0))</f>
        <v>0</v>
      </c>
      <c r="AD721">
        <f t="shared" si="181"/>
        <v>8</v>
      </c>
      <c r="AE721" t="str">
        <f t="shared" si="182"/>
        <v>基金整体|期内租金单价水平（元/平方米/天）</v>
      </c>
    </row>
    <row r="722" spans="1:31" x14ac:dyDescent="0.4">
      <c r="A722" t="str">
        <f>IF(原始经营数据!$D723="","",原始经营数据!$D723)</f>
        <v>嘉实物美消费封闭式基础设施证券投资基金</v>
      </c>
      <c r="B722" t="str">
        <f>IF(原始经营数据!$D723="","",T(原始经营数据!$E723))</f>
        <v>基金整体</v>
      </c>
      <c r="C722" t="str">
        <f>IF(原始经营数据!$D723="","",原始经营数据!$F723)</f>
        <v>2026Q2</v>
      </c>
      <c r="D722" t="str">
        <f>IF(原始经营数据!$D723="","",原始经营数据!$H723)</f>
        <v>期末剩余租期情况</v>
      </c>
      <c r="E722">
        <f>IF(原始经营数据!$D723="","",原始经营数据!$I723)</f>
        <v>5.94</v>
      </c>
      <c r="F722" t="str">
        <f>IF(原始经营数据!$D723="","",T(原始经营数据!$J723))</f>
        <v>年</v>
      </c>
      <c r="G722" t="str">
        <f>IF(原始经营数据!$D723="","",T(原始经营数据!$K723))</f>
        <v/>
      </c>
      <c r="H722" t="str">
        <f>IF(原始经营数据!$D723="","",原始经营数据!$G723)</f>
        <v>服务量</v>
      </c>
      <c r="I722" t="str">
        <f>IF($A722="","",IF($B722&lt;&gt;"",$B722,IF(COUNTIFS(原始经营数据!$D$3:$D$3001,$A722,原始经营数据!$E$3:$E$3001,"",原始经营数据!$F$3:$F$3001,$C722,原始经营数据!$H$3:$H$3001,$D722,原始经营数据!$K$3:$K$3001,$G722)&gt;1,"基金整体·来源"&amp;原始经营数据!$A723,"基金整体")))</f>
        <v>基金整体</v>
      </c>
      <c r="J722" t="str">
        <f t="shared" si="168"/>
        <v>季度</v>
      </c>
      <c r="K722" t="str">
        <f t="shared" si="169"/>
        <v>期末剩余租期情况（年）</v>
      </c>
      <c r="L722" t="str">
        <f t="shared" si="170"/>
        <v>基金整体|期末剩余租期情况（年）|季度</v>
      </c>
      <c r="M722">
        <f>IF($A722="",0,IF(COUNTIF($L$2:$L722,$L722)=1,1,0))</f>
        <v>0</v>
      </c>
      <c r="N722">
        <f t="shared" si="171"/>
        <v>20262</v>
      </c>
      <c r="O722" t="str">
        <f t="shared" si="172"/>
        <v>嘉实物美消费封闭式基础设施证券投资基金|2026Q2|季度</v>
      </c>
      <c r="P722">
        <f>IF($A722="",0,IF(COUNTIF($O$2:$O722,$O722)=1,1,0))</f>
        <v>0</v>
      </c>
      <c r="Q722" t="str">
        <f>IF(AND($P722=1,$A722=经营数据!$B$3,$J722=经营数据!$BA$5),COUNTIFS($P$2:$P$3000,1,$A$2:$A$3000,$A722,$J$2:$J$3000,$J722,$N$2:$N$3000,"&lt;"&amp;$N722)+1,"")</f>
        <v/>
      </c>
      <c r="R722" t="str">
        <f t="shared" si="173"/>
        <v>嘉实物美消费封闭式基础设施证券投资基金|基金整体</v>
      </c>
      <c r="S722">
        <f>IF($A722="",0,IF(COUNTIF($R$2:$R722,$R722)=1,1,0))</f>
        <v>0</v>
      </c>
      <c r="T722">
        <f t="shared" si="174"/>
        <v>664</v>
      </c>
      <c r="U722" t="str">
        <f>IF($A722="","",IF($A722=经营数据!$B$3,COUNTIFS($S$2:$S$3000,1,$A$2:$A$3000,$A722,$T$2:$T$3000,"&lt;"&amp;$T722)+1,""))</f>
        <v/>
      </c>
      <c r="V722" t="str">
        <f t="shared" si="175"/>
        <v>基金整体|服务量</v>
      </c>
      <c r="W722">
        <f t="shared" si="176"/>
        <v>1</v>
      </c>
      <c r="X722" t="str">
        <f t="shared" si="177"/>
        <v>基金整体|期末剩余租期情况</v>
      </c>
      <c r="Y722">
        <f t="shared" si="178"/>
        <v>665</v>
      </c>
      <c r="Z722">
        <f>IF($A722="",0,IF(AND($M722=1,$A722=经营数据!$B$3,$J722=经营数据!$BA$5,OR($I722=经营数据!$BA$4,COUNTIF(经营数据!$AA$9:$AA$38,$I722)&gt;0)),1,0))</f>
        <v>0</v>
      </c>
      <c r="AA722" t="str">
        <f t="shared" si="179"/>
        <v/>
      </c>
      <c r="AB722" t="str">
        <f t="shared" si="180"/>
        <v/>
      </c>
      <c r="AC722">
        <f>IF($A722="",0,IF(COUNTIF($A$2:$A722,$A722)=1,1,0))</f>
        <v>0</v>
      </c>
      <c r="AD722">
        <f t="shared" si="181"/>
        <v>8</v>
      </c>
      <c r="AE722" t="str">
        <f t="shared" si="182"/>
        <v>基金整体|期末剩余租期情况（年）</v>
      </c>
    </row>
    <row r="723" spans="1:31" x14ac:dyDescent="0.4">
      <c r="A723" t="str">
        <f>IF(原始经营数据!$D724="","",原始经营数据!$D724)</f>
        <v>嘉实物美消费封闭式基础设施证券投资基金</v>
      </c>
      <c r="B723" t="str">
        <f>IF(原始经营数据!$D724="","",T(原始经营数据!$E724))</f>
        <v>基金整体</v>
      </c>
      <c r="C723" t="str">
        <f>IF(原始经营数据!$D724="","",原始经营数据!$F724)</f>
        <v>2026Q2</v>
      </c>
      <c r="D723" t="str">
        <f>IF(原始经营数据!$D724="","",原始经营数据!$H724)</f>
        <v>期末租金收缴率</v>
      </c>
      <c r="E723">
        <f>IF(原始经营数据!$D724="","",原始经营数据!$I724)</f>
        <v>99.89</v>
      </c>
      <c r="F723" t="str">
        <f>IF(原始经营数据!$D724="","",T(原始经营数据!$J724))</f>
        <v>%</v>
      </c>
      <c r="G723" t="str">
        <f>IF(原始经营数据!$D724="","",T(原始经营数据!$K724))</f>
        <v/>
      </c>
      <c r="H723" t="str">
        <f>IF(原始经营数据!$D724="","",原始经营数据!$G724)</f>
        <v>服务效率</v>
      </c>
      <c r="I723" t="str">
        <f>IF($A723="","",IF($B723&lt;&gt;"",$B723,IF(COUNTIFS(原始经营数据!$D$3:$D$3001,$A723,原始经营数据!$E$3:$E$3001,"",原始经营数据!$F$3:$F$3001,$C723,原始经营数据!$H$3:$H$3001,$D723,原始经营数据!$K$3:$K$3001,$G723)&gt;1,"基金整体·来源"&amp;原始经营数据!$A724,"基金整体")))</f>
        <v>基金整体</v>
      </c>
      <c r="J723" t="str">
        <f t="shared" si="168"/>
        <v>季度</v>
      </c>
      <c r="K723" t="str">
        <f t="shared" si="169"/>
        <v>期末租金收缴率（%）</v>
      </c>
      <c r="L723" t="str">
        <f t="shared" si="170"/>
        <v>基金整体|期末租金收缴率（%）|季度</v>
      </c>
      <c r="M723">
        <f>IF($A723="",0,IF(COUNTIF($L$2:$L723,$L723)=1,1,0))</f>
        <v>0</v>
      </c>
      <c r="N723">
        <f t="shared" si="171"/>
        <v>20262</v>
      </c>
      <c r="O723" t="str">
        <f t="shared" si="172"/>
        <v>嘉实物美消费封闭式基础设施证券投资基金|2026Q2|季度</v>
      </c>
      <c r="P723">
        <f>IF($A723="",0,IF(COUNTIF($O$2:$O723,$O723)=1,1,0))</f>
        <v>0</v>
      </c>
      <c r="Q723" t="str">
        <f>IF(AND($P723=1,$A723=经营数据!$B$3,$J723=经营数据!$BA$5),COUNTIFS($P$2:$P$3000,1,$A$2:$A$3000,$A723,$J$2:$J$3000,$J723,$N$2:$N$3000,"&lt;"&amp;$N723)+1,"")</f>
        <v/>
      </c>
      <c r="R723" t="str">
        <f t="shared" si="173"/>
        <v>嘉实物美消费封闭式基础设施证券投资基金|基金整体</v>
      </c>
      <c r="S723">
        <f>IF($A723="",0,IF(COUNTIF($R$2:$R723,$R723)=1,1,0))</f>
        <v>0</v>
      </c>
      <c r="T723">
        <f t="shared" si="174"/>
        <v>664</v>
      </c>
      <c r="U723" t="str">
        <f>IF($A723="","",IF($A723=经营数据!$B$3,COUNTIFS($S$2:$S$3000,1,$A$2:$A$3000,$A723,$T$2:$T$3000,"&lt;"&amp;$T723)+1,""))</f>
        <v/>
      </c>
      <c r="V723" t="str">
        <f t="shared" si="175"/>
        <v>基金整体|服务效率</v>
      </c>
      <c r="W723">
        <f t="shared" si="176"/>
        <v>2</v>
      </c>
      <c r="X723" t="str">
        <f t="shared" si="177"/>
        <v>基金整体|期末租金收缴率</v>
      </c>
      <c r="Y723">
        <f t="shared" si="178"/>
        <v>530</v>
      </c>
      <c r="Z723">
        <f>IF($A723="",0,IF(AND($M723=1,$A723=经营数据!$B$3,$J723=经营数据!$BA$5,OR($I723=经营数据!$BA$4,COUNTIF(经营数据!$AA$9:$AA$38,$I723)&gt;0)),1,0))</f>
        <v>0</v>
      </c>
      <c r="AA723" t="str">
        <f t="shared" si="179"/>
        <v/>
      </c>
      <c r="AB723" t="str">
        <f t="shared" si="180"/>
        <v/>
      </c>
      <c r="AC723">
        <f>IF($A723="",0,IF(COUNTIF($A$2:$A723,$A723)=1,1,0))</f>
        <v>0</v>
      </c>
      <c r="AD723">
        <f t="shared" si="181"/>
        <v>8</v>
      </c>
      <c r="AE723" t="str">
        <f t="shared" si="182"/>
        <v>基金整体|期末租金收缴率（%）</v>
      </c>
    </row>
    <row r="724" spans="1:31" x14ac:dyDescent="0.4">
      <c r="A724" t="str">
        <f>IF(原始经营数据!$D725="","",原始经营数据!$D725)</f>
        <v>嘉实物美消费封闭式基础设施证券投资基金</v>
      </c>
      <c r="B724" t="str">
        <f>IF(原始经营数据!$D725="","",T(原始经营数据!$E725))</f>
        <v>基金整体</v>
      </c>
      <c r="C724" t="str">
        <f>IF(原始经营数据!$D725="","",原始经营数据!$F725)</f>
        <v>2026Q2</v>
      </c>
      <c r="D724" t="str">
        <f>IF(原始经营数据!$D725="","",原始经营数据!$H725)</f>
        <v>期末可供出租面积</v>
      </c>
      <c r="E724">
        <f>IF(原始经营数据!$D725="","",原始经营数据!$I725)</f>
        <v>77894.28</v>
      </c>
      <c r="F724" t="str">
        <f>IF(原始经营数据!$D725="","",T(原始经营数据!$J725))</f>
        <v>平方米</v>
      </c>
      <c r="G724" t="str">
        <f>IF(原始经营数据!$D725="","",T(原始经营数据!$K725))</f>
        <v/>
      </c>
      <c r="H724" t="str">
        <f>IF(原始经营数据!$D725="","",原始经营数据!$G725)</f>
        <v>服务量</v>
      </c>
      <c r="I724" t="str">
        <f>IF($A724="","",IF($B724&lt;&gt;"",$B724,IF(COUNTIFS(原始经营数据!$D$3:$D$3001,$A724,原始经营数据!$E$3:$E$3001,"",原始经营数据!$F$3:$F$3001,$C724,原始经营数据!$H$3:$H$3001,$D724,原始经营数据!$K$3:$K$3001,$G724)&gt;1,"基金整体·来源"&amp;原始经营数据!$A725,"基金整体")))</f>
        <v>基金整体</v>
      </c>
      <c r="J724" t="str">
        <f t="shared" si="168"/>
        <v>季度</v>
      </c>
      <c r="K724" t="str">
        <f t="shared" si="169"/>
        <v>期末可供出租面积（平方米）</v>
      </c>
      <c r="L724" t="str">
        <f t="shared" si="170"/>
        <v>基金整体|期末可供出租面积（平方米）|季度</v>
      </c>
      <c r="M724">
        <f>IF($A724="",0,IF(COUNTIF($L$2:$L724,$L724)=1,1,0))</f>
        <v>0</v>
      </c>
      <c r="N724">
        <f t="shared" si="171"/>
        <v>20262</v>
      </c>
      <c r="O724" t="str">
        <f t="shared" si="172"/>
        <v>嘉实物美消费封闭式基础设施证券投资基金|2026Q2|季度</v>
      </c>
      <c r="P724">
        <f>IF($A724="",0,IF(COUNTIF($O$2:$O724,$O724)=1,1,0))</f>
        <v>0</v>
      </c>
      <c r="Q724" t="str">
        <f>IF(AND($P724=1,$A724=经营数据!$B$3,$J724=经营数据!$BA$5),COUNTIFS($P$2:$P$3000,1,$A$2:$A$3000,$A724,$J$2:$J$3000,$J724,$N$2:$N$3000,"&lt;"&amp;$N724)+1,"")</f>
        <v/>
      </c>
      <c r="R724" t="str">
        <f t="shared" si="173"/>
        <v>嘉实物美消费封闭式基础设施证券投资基金|基金整体</v>
      </c>
      <c r="S724">
        <f>IF($A724="",0,IF(COUNTIF($R$2:$R724,$R724)=1,1,0))</f>
        <v>0</v>
      </c>
      <c r="T724">
        <f t="shared" si="174"/>
        <v>664</v>
      </c>
      <c r="U724" t="str">
        <f>IF($A724="","",IF($A724=经营数据!$B$3,COUNTIFS($S$2:$S$3000,1,$A$2:$A$3000,$A724,$T$2:$T$3000,"&lt;"&amp;$T724)+1,""))</f>
        <v/>
      </c>
      <c r="V724" t="str">
        <f t="shared" si="175"/>
        <v>基金整体|服务量</v>
      </c>
      <c r="W724">
        <f t="shared" si="176"/>
        <v>1</v>
      </c>
      <c r="X724" t="str">
        <f t="shared" si="177"/>
        <v>基金整体|期末可供出租面积</v>
      </c>
      <c r="Y724">
        <f t="shared" si="178"/>
        <v>3</v>
      </c>
      <c r="Z724">
        <f>IF($A724="",0,IF(AND($M724=1,$A724=经营数据!$B$3,$J724=经营数据!$BA$5,OR($I724=经营数据!$BA$4,COUNTIF(经营数据!$AA$9:$AA$38,$I724)&gt;0)),1,0))</f>
        <v>0</v>
      </c>
      <c r="AA724" t="str">
        <f t="shared" si="179"/>
        <v/>
      </c>
      <c r="AB724" t="str">
        <f t="shared" si="180"/>
        <v/>
      </c>
      <c r="AC724">
        <f>IF($A724="",0,IF(COUNTIF($A$2:$A724,$A724)=1,1,0))</f>
        <v>0</v>
      </c>
      <c r="AD724">
        <f t="shared" si="181"/>
        <v>8</v>
      </c>
      <c r="AE724" t="str">
        <f t="shared" si="182"/>
        <v>基金整体|期末可供出租面积（平方米）</v>
      </c>
    </row>
    <row r="725" spans="1:31" x14ac:dyDescent="0.4">
      <c r="A725" t="str">
        <f>IF(原始经营数据!$D726="","",原始经营数据!$D726)</f>
        <v>嘉实物美消费封闭式基础设施证券投资基金</v>
      </c>
      <c r="B725" t="str">
        <f>IF(原始经营数据!$D726="","",T(原始经营数据!$E726))</f>
        <v>华天项目</v>
      </c>
      <c r="C725" t="str">
        <f>IF(原始经营数据!$D726="","",原始经营数据!$F726)</f>
        <v>2024Q1</v>
      </c>
      <c r="D725" t="str">
        <f>IF(原始经营数据!$D726="","",原始经营数据!$H726)</f>
        <v>期末剩余租期情况</v>
      </c>
      <c r="E725">
        <f>IF(原始经营数据!$D726="","",原始经营数据!$I726)</f>
        <v>7.23</v>
      </c>
      <c r="F725" t="str">
        <f>IF(原始经营数据!$D726="","",T(原始经营数据!$J726))</f>
        <v>年</v>
      </c>
      <c r="G725" t="str">
        <f>IF(原始经营数据!$D726="","",T(原始经营数据!$K726))</f>
        <v/>
      </c>
      <c r="H725" t="str">
        <f>IF(原始经营数据!$D726="","",原始经营数据!$G726)</f>
        <v>服务量</v>
      </c>
      <c r="I725" t="str">
        <f>IF($A725="","",IF($B725&lt;&gt;"",$B725,IF(COUNTIFS(原始经营数据!$D$3:$D$3001,$A725,原始经营数据!$E$3:$E$3001,"",原始经营数据!$F$3:$F$3001,$C725,原始经营数据!$H$3:$H$3001,$D725,原始经营数据!$K$3:$K$3001,$G725)&gt;1,"基金整体·来源"&amp;原始经营数据!$A726,"基金整体")))</f>
        <v>华天项目</v>
      </c>
      <c r="J725" t="str">
        <f t="shared" si="168"/>
        <v>季度</v>
      </c>
      <c r="K725" t="str">
        <f t="shared" si="169"/>
        <v>期末剩余租期情况（年）</v>
      </c>
      <c r="L725" t="str">
        <f t="shared" si="170"/>
        <v>华天项目|期末剩余租期情况（年）|季度</v>
      </c>
      <c r="M725">
        <f>IF($A725="",0,IF(COUNTIF($L$2:$L725,$L725)=1,1,0))</f>
        <v>1</v>
      </c>
      <c r="N725">
        <f t="shared" si="171"/>
        <v>20241</v>
      </c>
      <c r="O725" t="str">
        <f t="shared" si="172"/>
        <v>嘉实物美消费封闭式基础设施证券投资基金|2024Q1|季度</v>
      </c>
      <c r="P725">
        <f>IF($A725="",0,IF(COUNTIF($O$2:$O725,$O725)=1,1,0))</f>
        <v>0</v>
      </c>
      <c r="Q725" t="str">
        <f>IF(AND($P725=1,$A725=经营数据!$B$3,$J725=经营数据!$BA$5),COUNTIFS($P$2:$P$3000,1,$A$2:$A$3000,$A725,$J$2:$J$3000,$J725,$N$2:$N$3000,"&lt;"&amp;$N725)+1,"")</f>
        <v/>
      </c>
      <c r="R725" t="str">
        <f t="shared" si="173"/>
        <v>嘉实物美消费封闭式基础设施证券投资基金|华天项目</v>
      </c>
      <c r="S725">
        <f>IF($A725="",0,IF(COUNTIF($R$2:$R725,$R725)=1,1,0))</f>
        <v>1</v>
      </c>
      <c r="T725">
        <f t="shared" si="174"/>
        <v>724</v>
      </c>
      <c r="U725" t="str">
        <f>IF($A725="","",IF($A725=经营数据!$B$3,COUNTIFS($S$2:$S$3000,1,$A$2:$A$3000,$A725,$T$2:$T$3000,"&lt;"&amp;$T725)+1,""))</f>
        <v/>
      </c>
      <c r="V725" t="str">
        <f t="shared" si="175"/>
        <v>华天项目|服务量</v>
      </c>
      <c r="W725">
        <f t="shared" si="176"/>
        <v>724</v>
      </c>
      <c r="X725" t="str">
        <f t="shared" si="177"/>
        <v>华天项目|期末剩余租期情况</v>
      </c>
      <c r="Y725">
        <f t="shared" si="178"/>
        <v>724</v>
      </c>
      <c r="Z725">
        <f>IF($A725="",0,IF(AND($M725=1,$A725=经营数据!$B$3,$J725=经营数据!$BA$5,OR($I725=经营数据!$BA$4,COUNTIF(经营数据!$AA$9:$AA$38,$I725)&gt;0)),1,0))</f>
        <v>0</v>
      </c>
      <c r="AA725" t="str">
        <f t="shared" si="179"/>
        <v/>
      </c>
      <c r="AB725" t="str">
        <f t="shared" si="180"/>
        <v/>
      </c>
      <c r="AC725">
        <f>IF($A725="",0,IF(COUNTIF($A$2:$A725,$A725)=1,1,0))</f>
        <v>0</v>
      </c>
      <c r="AD725">
        <f t="shared" si="181"/>
        <v>8</v>
      </c>
      <c r="AE725" t="str">
        <f t="shared" si="182"/>
        <v>华天项目|期末剩余租期情况（年）</v>
      </c>
    </row>
    <row r="726" spans="1:31" x14ac:dyDescent="0.4">
      <c r="A726" t="str">
        <f>IF(原始经营数据!$D727="","",原始经营数据!$D727)</f>
        <v>嘉实物美消费封闭式基础设施证券投资基金</v>
      </c>
      <c r="B726" t="str">
        <f>IF(原始经营数据!$D727="","",T(原始经营数据!$E727))</f>
        <v>华天项目</v>
      </c>
      <c r="C726" t="str">
        <f>IF(原始经营数据!$D727="","",原始经营数据!$F727)</f>
        <v>2024Q1</v>
      </c>
      <c r="D726" t="str">
        <f>IF(原始经营数据!$D727="","",原始经营数据!$H727)</f>
        <v>期末可供出租面积</v>
      </c>
      <c r="E726">
        <f>IF(原始经营数据!$D727="","",原始经营数据!$I727)</f>
        <v>15280.73</v>
      </c>
      <c r="F726" t="str">
        <f>IF(原始经营数据!$D727="","",T(原始经营数据!$J727))</f>
        <v>平方米</v>
      </c>
      <c r="G726" t="str">
        <f>IF(原始经营数据!$D727="","",T(原始经营数据!$K727))</f>
        <v/>
      </c>
      <c r="H726" t="str">
        <f>IF(原始经营数据!$D727="","",原始经营数据!$G727)</f>
        <v>服务量</v>
      </c>
      <c r="I726" t="str">
        <f>IF($A726="","",IF($B726&lt;&gt;"",$B726,IF(COUNTIFS(原始经营数据!$D$3:$D$3001,$A726,原始经营数据!$E$3:$E$3001,"",原始经营数据!$F$3:$F$3001,$C726,原始经营数据!$H$3:$H$3001,$D726,原始经营数据!$K$3:$K$3001,$G726)&gt;1,"基金整体·来源"&amp;原始经营数据!$A727,"基金整体")))</f>
        <v>华天项目</v>
      </c>
      <c r="J726" t="str">
        <f t="shared" si="168"/>
        <v>季度</v>
      </c>
      <c r="K726" t="str">
        <f t="shared" si="169"/>
        <v>期末可供出租面积（平方米）</v>
      </c>
      <c r="L726" t="str">
        <f t="shared" si="170"/>
        <v>华天项目|期末可供出租面积（平方米）|季度</v>
      </c>
      <c r="M726">
        <f>IF($A726="",0,IF(COUNTIF($L$2:$L726,$L726)=1,1,0))</f>
        <v>1</v>
      </c>
      <c r="N726">
        <f t="shared" si="171"/>
        <v>20241</v>
      </c>
      <c r="O726" t="str">
        <f t="shared" si="172"/>
        <v>嘉实物美消费封闭式基础设施证券投资基金|2024Q1|季度</v>
      </c>
      <c r="P726">
        <f>IF($A726="",0,IF(COUNTIF($O$2:$O726,$O726)=1,1,0))</f>
        <v>0</v>
      </c>
      <c r="Q726" t="str">
        <f>IF(AND($P726=1,$A726=经营数据!$B$3,$J726=经营数据!$BA$5),COUNTIFS($P$2:$P$3000,1,$A$2:$A$3000,$A726,$J$2:$J$3000,$J726,$N$2:$N$3000,"&lt;"&amp;$N726)+1,"")</f>
        <v/>
      </c>
      <c r="R726" t="str">
        <f t="shared" si="173"/>
        <v>嘉实物美消费封闭式基础设施证券投资基金|华天项目</v>
      </c>
      <c r="S726">
        <f>IF($A726="",0,IF(COUNTIF($R$2:$R726,$R726)=1,1,0))</f>
        <v>0</v>
      </c>
      <c r="T726">
        <f t="shared" si="174"/>
        <v>724</v>
      </c>
      <c r="U726" t="str">
        <f>IF($A726="","",IF($A726=经营数据!$B$3,COUNTIFS($S$2:$S$3000,1,$A$2:$A$3000,$A726,$T$2:$T$3000,"&lt;"&amp;$T726)+1,""))</f>
        <v/>
      </c>
      <c r="V726" t="str">
        <f t="shared" si="175"/>
        <v>华天项目|服务量</v>
      </c>
      <c r="W726">
        <f t="shared" si="176"/>
        <v>724</v>
      </c>
      <c r="X726" t="str">
        <f t="shared" si="177"/>
        <v>华天项目|期末可供出租面积</v>
      </c>
      <c r="Y726">
        <f t="shared" si="178"/>
        <v>725</v>
      </c>
      <c r="Z726">
        <f>IF($A726="",0,IF(AND($M726=1,$A726=经营数据!$B$3,$J726=经营数据!$BA$5,OR($I726=经营数据!$BA$4,COUNTIF(经营数据!$AA$9:$AA$38,$I726)&gt;0)),1,0))</f>
        <v>0</v>
      </c>
      <c r="AA726" t="str">
        <f t="shared" si="179"/>
        <v/>
      </c>
      <c r="AB726" t="str">
        <f t="shared" si="180"/>
        <v/>
      </c>
      <c r="AC726">
        <f>IF($A726="",0,IF(COUNTIF($A$2:$A726,$A726)=1,1,0))</f>
        <v>0</v>
      </c>
      <c r="AD726">
        <f t="shared" si="181"/>
        <v>8</v>
      </c>
      <c r="AE726" t="str">
        <f t="shared" si="182"/>
        <v>华天项目|期末可供出租面积（平方米）</v>
      </c>
    </row>
    <row r="727" spans="1:31" x14ac:dyDescent="0.4">
      <c r="A727" t="str">
        <f>IF(原始经营数据!$D728="","",原始经营数据!$D728)</f>
        <v>嘉实物美消费封闭式基础设施证券投资基金</v>
      </c>
      <c r="B727" t="str">
        <f>IF(原始经营数据!$D728="","",T(原始经营数据!$E728))</f>
        <v>华天项目</v>
      </c>
      <c r="C727" t="str">
        <f>IF(原始经营数据!$D728="","",原始经营数据!$F728)</f>
        <v>2024Q1</v>
      </c>
      <c r="D727" t="str">
        <f>IF(原始经营数据!$D728="","",原始经营数据!$H728)</f>
        <v>期末实际出租面积</v>
      </c>
      <c r="E727">
        <f>IF(原始经营数据!$D728="","",原始经营数据!$I728)</f>
        <v>13683.13</v>
      </c>
      <c r="F727" t="str">
        <f>IF(原始经营数据!$D728="","",T(原始经营数据!$J728))</f>
        <v>平方米</v>
      </c>
      <c r="G727" t="str">
        <f>IF(原始经营数据!$D728="","",T(原始经营数据!$K728))</f>
        <v/>
      </c>
      <c r="H727" t="str">
        <f>IF(原始经营数据!$D728="","",原始经营数据!$G728)</f>
        <v>服务量</v>
      </c>
      <c r="I727" t="str">
        <f>IF($A727="","",IF($B727&lt;&gt;"",$B727,IF(COUNTIFS(原始经营数据!$D$3:$D$3001,$A727,原始经营数据!$E$3:$E$3001,"",原始经营数据!$F$3:$F$3001,$C727,原始经营数据!$H$3:$H$3001,$D727,原始经营数据!$K$3:$K$3001,$G727)&gt;1,"基金整体·来源"&amp;原始经营数据!$A728,"基金整体")))</f>
        <v>华天项目</v>
      </c>
      <c r="J727" t="str">
        <f t="shared" si="168"/>
        <v>季度</v>
      </c>
      <c r="K727" t="str">
        <f t="shared" si="169"/>
        <v>期末实际出租面积（平方米）</v>
      </c>
      <c r="L727" t="str">
        <f t="shared" si="170"/>
        <v>华天项目|期末实际出租面积（平方米）|季度</v>
      </c>
      <c r="M727">
        <f>IF($A727="",0,IF(COUNTIF($L$2:$L727,$L727)=1,1,0))</f>
        <v>1</v>
      </c>
      <c r="N727">
        <f t="shared" si="171"/>
        <v>20241</v>
      </c>
      <c r="O727" t="str">
        <f t="shared" si="172"/>
        <v>嘉实物美消费封闭式基础设施证券投资基金|2024Q1|季度</v>
      </c>
      <c r="P727">
        <f>IF($A727="",0,IF(COUNTIF($O$2:$O727,$O727)=1,1,0))</f>
        <v>0</v>
      </c>
      <c r="Q727" t="str">
        <f>IF(AND($P727=1,$A727=经营数据!$B$3,$J727=经营数据!$BA$5),COUNTIFS($P$2:$P$3000,1,$A$2:$A$3000,$A727,$J$2:$J$3000,$J727,$N$2:$N$3000,"&lt;"&amp;$N727)+1,"")</f>
        <v/>
      </c>
      <c r="R727" t="str">
        <f t="shared" si="173"/>
        <v>嘉实物美消费封闭式基础设施证券投资基金|华天项目</v>
      </c>
      <c r="S727">
        <f>IF($A727="",0,IF(COUNTIF($R$2:$R727,$R727)=1,1,0))</f>
        <v>0</v>
      </c>
      <c r="T727">
        <f t="shared" si="174"/>
        <v>724</v>
      </c>
      <c r="U727" t="str">
        <f>IF($A727="","",IF($A727=经营数据!$B$3,COUNTIFS($S$2:$S$3000,1,$A$2:$A$3000,$A727,$T$2:$T$3000,"&lt;"&amp;$T727)+1,""))</f>
        <v/>
      </c>
      <c r="V727" t="str">
        <f t="shared" si="175"/>
        <v>华天项目|服务量</v>
      </c>
      <c r="W727">
        <f t="shared" si="176"/>
        <v>724</v>
      </c>
      <c r="X727" t="str">
        <f t="shared" si="177"/>
        <v>华天项目|期末实际出租面积</v>
      </c>
      <c r="Y727">
        <f t="shared" si="178"/>
        <v>726</v>
      </c>
      <c r="Z727">
        <f>IF($A727="",0,IF(AND($M727=1,$A727=经营数据!$B$3,$J727=经营数据!$BA$5,OR($I727=经营数据!$BA$4,COUNTIF(经营数据!$AA$9:$AA$38,$I727)&gt;0)),1,0))</f>
        <v>0</v>
      </c>
      <c r="AA727" t="str">
        <f t="shared" si="179"/>
        <v/>
      </c>
      <c r="AB727" t="str">
        <f t="shared" si="180"/>
        <v/>
      </c>
      <c r="AC727">
        <f>IF($A727="",0,IF(COUNTIF($A$2:$A727,$A727)=1,1,0))</f>
        <v>0</v>
      </c>
      <c r="AD727">
        <f t="shared" si="181"/>
        <v>8</v>
      </c>
      <c r="AE727" t="str">
        <f t="shared" si="182"/>
        <v>华天项目|期末实际出租面积（平方米）</v>
      </c>
    </row>
    <row r="728" spans="1:31" x14ac:dyDescent="0.4">
      <c r="A728" t="str">
        <f>IF(原始经营数据!$D729="","",原始经营数据!$D729)</f>
        <v>嘉实物美消费封闭式基础设施证券投资基金</v>
      </c>
      <c r="B728" t="str">
        <f>IF(原始经营数据!$D729="","",T(原始经营数据!$E729))</f>
        <v>华天项目</v>
      </c>
      <c r="C728" t="str">
        <f>IF(原始经营数据!$D729="","",原始经营数据!$F729)</f>
        <v>2024Q1</v>
      </c>
      <c r="D728" t="str">
        <f>IF(原始经营数据!$D729="","",原始经营数据!$H729)</f>
        <v>期末出租率</v>
      </c>
      <c r="E728">
        <f>IF(原始经营数据!$D729="","",原始经营数据!$I729)</f>
        <v>89.55</v>
      </c>
      <c r="F728" t="str">
        <f>IF(原始经营数据!$D729="","",T(原始经营数据!$J729))</f>
        <v>%</v>
      </c>
      <c r="G728" t="str">
        <f>IF(原始经营数据!$D729="","",T(原始经营数据!$K729))</f>
        <v/>
      </c>
      <c r="H728" t="str">
        <f>IF(原始经营数据!$D729="","",原始经营数据!$G729)</f>
        <v>服务效率</v>
      </c>
      <c r="I728" t="str">
        <f>IF($A728="","",IF($B728&lt;&gt;"",$B728,IF(COUNTIFS(原始经营数据!$D$3:$D$3001,$A728,原始经营数据!$E$3:$E$3001,"",原始经营数据!$F$3:$F$3001,$C728,原始经营数据!$H$3:$H$3001,$D728,原始经营数据!$K$3:$K$3001,$G728)&gt;1,"基金整体·来源"&amp;原始经营数据!$A729,"基金整体")))</f>
        <v>华天项目</v>
      </c>
      <c r="J728" t="str">
        <f t="shared" si="168"/>
        <v>季度</v>
      </c>
      <c r="K728" t="str">
        <f t="shared" si="169"/>
        <v>期末出租率（%）</v>
      </c>
      <c r="L728" t="str">
        <f t="shared" si="170"/>
        <v>华天项目|期末出租率（%）|季度</v>
      </c>
      <c r="M728">
        <f>IF($A728="",0,IF(COUNTIF($L$2:$L728,$L728)=1,1,0))</f>
        <v>1</v>
      </c>
      <c r="N728">
        <f t="shared" si="171"/>
        <v>20241</v>
      </c>
      <c r="O728" t="str">
        <f t="shared" si="172"/>
        <v>嘉实物美消费封闭式基础设施证券投资基金|2024Q1|季度</v>
      </c>
      <c r="P728">
        <f>IF($A728="",0,IF(COUNTIF($O$2:$O728,$O728)=1,1,0))</f>
        <v>0</v>
      </c>
      <c r="Q728" t="str">
        <f>IF(AND($P728=1,$A728=经营数据!$B$3,$J728=经营数据!$BA$5),COUNTIFS($P$2:$P$3000,1,$A$2:$A$3000,$A728,$J$2:$J$3000,$J728,$N$2:$N$3000,"&lt;"&amp;$N728)+1,"")</f>
        <v/>
      </c>
      <c r="R728" t="str">
        <f t="shared" si="173"/>
        <v>嘉实物美消费封闭式基础设施证券投资基金|华天项目</v>
      </c>
      <c r="S728">
        <f>IF($A728="",0,IF(COUNTIF($R$2:$R728,$R728)=1,1,0))</f>
        <v>0</v>
      </c>
      <c r="T728">
        <f t="shared" si="174"/>
        <v>724</v>
      </c>
      <c r="U728" t="str">
        <f>IF($A728="","",IF($A728=经营数据!$B$3,COUNTIFS($S$2:$S$3000,1,$A$2:$A$3000,$A728,$T$2:$T$3000,"&lt;"&amp;$T728)+1,""))</f>
        <v/>
      </c>
      <c r="V728" t="str">
        <f t="shared" si="175"/>
        <v>华天项目|服务效率</v>
      </c>
      <c r="W728">
        <f t="shared" si="176"/>
        <v>727</v>
      </c>
      <c r="X728" t="str">
        <f t="shared" si="177"/>
        <v>华天项目|期末出租率</v>
      </c>
      <c r="Y728">
        <f t="shared" si="178"/>
        <v>727</v>
      </c>
      <c r="Z728">
        <f>IF($A728="",0,IF(AND($M728=1,$A728=经营数据!$B$3,$J728=经营数据!$BA$5,OR($I728=经营数据!$BA$4,COUNTIF(经营数据!$AA$9:$AA$38,$I728)&gt;0)),1,0))</f>
        <v>0</v>
      </c>
      <c r="AA728" t="str">
        <f t="shared" si="179"/>
        <v/>
      </c>
      <c r="AB728" t="str">
        <f t="shared" si="180"/>
        <v/>
      </c>
      <c r="AC728">
        <f>IF($A728="",0,IF(COUNTIF($A$2:$A728,$A728)=1,1,0))</f>
        <v>0</v>
      </c>
      <c r="AD728">
        <f t="shared" si="181"/>
        <v>8</v>
      </c>
      <c r="AE728" t="str">
        <f t="shared" si="182"/>
        <v>华天项目|期末出租率（%）</v>
      </c>
    </row>
    <row r="729" spans="1:31" x14ac:dyDescent="0.4">
      <c r="A729" t="str">
        <f>IF(原始经营数据!$D730="","",原始经营数据!$D730)</f>
        <v>嘉实物美消费封闭式基础设施证券投资基金</v>
      </c>
      <c r="B729" t="str">
        <f>IF(原始经营数据!$D730="","",T(原始经营数据!$E730))</f>
        <v>华天项目</v>
      </c>
      <c r="C729" t="str">
        <f>IF(原始经营数据!$D730="","",原始经营数据!$F730)</f>
        <v>2024Q1</v>
      </c>
      <c r="D729" t="str">
        <f>IF(原始经营数据!$D730="","",原始经营数据!$H730)</f>
        <v>期内租金单价水平</v>
      </c>
      <c r="E729">
        <f>IF(原始经营数据!$D730="","",原始经营数据!$I730)</f>
        <v>3.25</v>
      </c>
      <c r="F729" t="str">
        <f>IF(原始经营数据!$D730="","",T(原始经营数据!$J730))</f>
        <v>元/平方米/天</v>
      </c>
      <c r="G729" t="str">
        <f>IF(原始经营数据!$D730="","",T(原始经营数据!$K730))</f>
        <v/>
      </c>
      <c r="H729" t="str">
        <f>IF(原始经营数据!$D730="","",原始经营数据!$G730)</f>
        <v>服务价格</v>
      </c>
      <c r="I729" t="str">
        <f>IF($A729="","",IF($B729&lt;&gt;"",$B729,IF(COUNTIFS(原始经营数据!$D$3:$D$3001,$A729,原始经营数据!$E$3:$E$3001,"",原始经营数据!$F$3:$F$3001,$C729,原始经营数据!$H$3:$H$3001,$D729,原始经营数据!$K$3:$K$3001,$G729)&gt;1,"基金整体·来源"&amp;原始经营数据!$A730,"基金整体")))</f>
        <v>华天项目</v>
      </c>
      <c r="J729" t="str">
        <f t="shared" si="168"/>
        <v>季度</v>
      </c>
      <c r="K729" t="str">
        <f t="shared" si="169"/>
        <v>期内租金单价水平（元/平方米/天）</v>
      </c>
      <c r="L729" t="str">
        <f t="shared" si="170"/>
        <v>华天项目|期内租金单价水平（元/平方米/天）|季度</v>
      </c>
      <c r="M729">
        <f>IF($A729="",0,IF(COUNTIF($L$2:$L729,$L729)=1,1,0))</f>
        <v>1</v>
      </c>
      <c r="N729">
        <f t="shared" si="171"/>
        <v>20241</v>
      </c>
      <c r="O729" t="str">
        <f t="shared" si="172"/>
        <v>嘉实物美消费封闭式基础设施证券投资基金|2024Q1|季度</v>
      </c>
      <c r="P729">
        <f>IF($A729="",0,IF(COUNTIF($O$2:$O729,$O729)=1,1,0))</f>
        <v>0</v>
      </c>
      <c r="Q729" t="str">
        <f>IF(AND($P729=1,$A729=经营数据!$B$3,$J729=经营数据!$BA$5),COUNTIFS($P$2:$P$3000,1,$A$2:$A$3000,$A729,$J$2:$J$3000,$J729,$N$2:$N$3000,"&lt;"&amp;$N729)+1,"")</f>
        <v/>
      </c>
      <c r="R729" t="str">
        <f t="shared" si="173"/>
        <v>嘉实物美消费封闭式基础设施证券投资基金|华天项目</v>
      </c>
      <c r="S729">
        <f>IF($A729="",0,IF(COUNTIF($R$2:$R729,$R729)=1,1,0))</f>
        <v>0</v>
      </c>
      <c r="T729">
        <f t="shared" si="174"/>
        <v>724</v>
      </c>
      <c r="U729" t="str">
        <f>IF($A729="","",IF($A729=经营数据!$B$3,COUNTIFS($S$2:$S$3000,1,$A$2:$A$3000,$A729,$T$2:$T$3000,"&lt;"&amp;$T729)+1,""))</f>
        <v/>
      </c>
      <c r="V729" t="str">
        <f t="shared" si="175"/>
        <v>华天项目|服务价格</v>
      </c>
      <c r="W729">
        <f t="shared" si="176"/>
        <v>728</v>
      </c>
      <c r="X729" t="str">
        <f t="shared" si="177"/>
        <v>华天项目|期内租金单价水平</v>
      </c>
      <c r="Y729">
        <f t="shared" si="178"/>
        <v>728</v>
      </c>
      <c r="Z729">
        <f>IF($A729="",0,IF(AND($M729=1,$A729=经营数据!$B$3,$J729=经营数据!$BA$5,OR($I729=经营数据!$BA$4,COUNTIF(经营数据!$AA$9:$AA$38,$I729)&gt;0)),1,0))</f>
        <v>0</v>
      </c>
      <c r="AA729" t="str">
        <f t="shared" si="179"/>
        <v/>
      </c>
      <c r="AB729" t="str">
        <f t="shared" si="180"/>
        <v/>
      </c>
      <c r="AC729">
        <f>IF($A729="",0,IF(COUNTIF($A$2:$A729,$A729)=1,1,0))</f>
        <v>0</v>
      </c>
      <c r="AD729">
        <f t="shared" si="181"/>
        <v>8</v>
      </c>
      <c r="AE729" t="str">
        <f t="shared" si="182"/>
        <v>华天项目|期内租金单价水平（元/平方米/天）</v>
      </c>
    </row>
    <row r="730" spans="1:31" x14ac:dyDescent="0.4">
      <c r="A730" t="str">
        <f>IF(原始经营数据!$D731="","",原始经营数据!$D731)</f>
        <v>嘉实物美消费封闭式基础设施证券投资基金</v>
      </c>
      <c r="B730" t="str">
        <f>IF(原始经营数据!$D731="","",T(原始经营数据!$E731))</f>
        <v>华天项目</v>
      </c>
      <c r="C730" t="str">
        <f>IF(原始经营数据!$D731="","",原始经营数据!$F731)</f>
        <v>2024Q1</v>
      </c>
      <c r="D730" t="str">
        <f>IF(原始经营数据!$D731="","",原始经营数据!$H731)</f>
        <v>期末租金收缴率</v>
      </c>
      <c r="E730">
        <f>IF(原始经营数据!$D731="","",原始经营数据!$I731)</f>
        <v>99.88</v>
      </c>
      <c r="F730" t="str">
        <f>IF(原始经营数据!$D731="","",T(原始经营数据!$J731))</f>
        <v>%</v>
      </c>
      <c r="G730" t="str">
        <f>IF(原始经营数据!$D731="","",T(原始经营数据!$K731))</f>
        <v/>
      </c>
      <c r="H730" t="str">
        <f>IF(原始经营数据!$D731="","",原始经营数据!$G731)</f>
        <v>服务效率</v>
      </c>
      <c r="I730" t="str">
        <f>IF($A730="","",IF($B730&lt;&gt;"",$B730,IF(COUNTIFS(原始经营数据!$D$3:$D$3001,$A730,原始经营数据!$E$3:$E$3001,"",原始经营数据!$F$3:$F$3001,$C730,原始经营数据!$H$3:$H$3001,$D730,原始经营数据!$K$3:$K$3001,$G730)&gt;1,"基金整体·来源"&amp;原始经营数据!$A731,"基金整体")))</f>
        <v>华天项目</v>
      </c>
      <c r="J730" t="str">
        <f t="shared" si="168"/>
        <v>季度</v>
      </c>
      <c r="K730" t="str">
        <f t="shared" si="169"/>
        <v>期末租金收缴率（%）</v>
      </c>
      <c r="L730" t="str">
        <f t="shared" si="170"/>
        <v>华天项目|期末租金收缴率（%）|季度</v>
      </c>
      <c r="M730">
        <f>IF($A730="",0,IF(COUNTIF($L$2:$L730,$L730)=1,1,0))</f>
        <v>1</v>
      </c>
      <c r="N730">
        <f t="shared" si="171"/>
        <v>20241</v>
      </c>
      <c r="O730" t="str">
        <f t="shared" si="172"/>
        <v>嘉实物美消费封闭式基础设施证券投资基金|2024Q1|季度</v>
      </c>
      <c r="P730">
        <f>IF($A730="",0,IF(COUNTIF($O$2:$O730,$O730)=1,1,0))</f>
        <v>0</v>
      </c>
      <c r="Q730" t="str">
        <f>IF(AND($P730=1,$A730=经营数据!$B$3,$J730=经营数据!$BA$5),COUNTIFS($P$2:$P$3000,1,$A$2:$A$3000,$A730,$J$2:$J$3000,$J730,$N$2:$N$3000,"&lt;"&amp;$N730)+1,"")</f>
        <v/>
      </c>
      <c r="R730" t="str">
        <f t="shared" si="173"/>
        <v>嘉实物美消费封闭式基础设施证券投资基金|华天项目</v>
      </c>
      <c r="S730">
        <f>IF($A730="",0,IF(COUNTIF($R$2:$R730,$R730)=1,1,0))</f>
        <v>0</v>
      </c>
      <c r="T730">
        <f t="shared" si="174"/>
        <v>724</v>
      </c>
      <c r="U730" t="str">
        <f>IF($A730="","",IF($A730=经营数据!$B$3,COUNTIFS($S$2:$S$3000,1,$A$2:$A$3000,$A730,$T$2:$T$3000,"&lt;"&amp;$T730)+1,""))</f>
        <v/>
      </c>
      <c r="V730" t="str">
        <f t="shared" si="175"/>
        <v>华天项目|服务效率</v>
      </c>
      <c r="W730">
        <f t="shared" si="176"/>
        <v>727</v>
      </c>
      <c r="X730" t="str">
        <f t="shared" si="177"/>
        <v>华天项目|期末租金收缴率</v>
      </c>
      <c r="Y730">
        <f t="shared" si="178"/>
        <v>729</v>
      </c>
      <c r="Z730">
        <f>IF($A730="",0,IF(AND($M730=1,$A730=经营数据!$B$3,$J730=经营数据!$BA$5,OR($I730=经营数据!$BA$4,COUNTIF(经营数据!$AA$9:$AA$38,$I730)&gt;0)),1,0))</f>
        <v>0</v>
      </c>
      <c r="AA730" t="str">
        <f t="shared" si="179"/>
        <v/>
      </c>
      <c r="AB730" t="str">
        <f t="shared" si="180"/>
        <v/>
      </c>
      <c r="AC730">
        <f>IF($A730="",0,IF(COUNTIF($A$2:$A730,$A730)=1,1,0))</f>
        <v>0</v>
      </c>
      <c r="AD730">
        <f t="shared" si="181"/>
        <v>8</v>
      </c>
      <c r="AE730" t="str">
        <f t="shared" si="182"/>
        <v>华天项目|期末租金收缴率（%）</v>
      </c>
    </row>
    <row r="731" spans="1:31" x14ac:dyDescent="0.4">
      <c r="A731" t="str">
        <f>IF(原始经营数据!$D732="","",原始经营数据!$D732)</f>
        <v>嘉实物美消费封闭式基础设施证券投资基金</v>
      </c>
      <c r="B731" t="str">
        <f>IF(原始经营数据!$D732="","",T(原始经营数据!$E732))</f>
        <v>华天项目</v>
      </c>
      <c r="C731" t="str">
        <f>IF(原始经营数据!$D732="","",原始经营数据!$F732)</f>
        <v>2024Q2</v>
      </c>
      <c r="D731" t="str">
        <f>IF(原始经营数据!$D732="","",原始经营数据!$H732)</f>
        <v>期末租金收缴率</v>
      </c>
      <c r="E731">
        <f>IF(原始经营数据!$D732="","",原始经营数据!$I732)</f>
        <v>99.73</v>
      </c>
      <c r="F731" t="str">
        <f>IF(原始经营数据!$D732="","",T(原始经营数据!$J732))</f>
        <v>%</v>
      </c>
      <c r="G731" t="str">
        <f>IF(原始经营数据!$D732="","",T(原始经营数据!$K732))</f>
        <v/>
      </c>
      <c r="H731" t="str">
        <f>IF(原始经营数据!$D732="","",原始经营数据!$G732)</f>
        <v>服务效率</v>
      </c>
      <c r="I731" t="str">
        <f>IF($A731="","",IF($B731&lt;&gt;"",$B731,IF(COUNTIFS(原始经营数据!$D$3:$D$3001,$A731,原始经营数据!$E$3:$E$3001,"",原始经营数据!$F$3:$F$3001,$C731,原始经营数据!$H$3:$H$3001,$D731,原始经营数据!$K$3:$K$3001,$G731)&gt;1,"基金整体·来源"&amp;原始经营数据!$A732,"基金整体")))</f>
        <v>华天项目</v>
      </c>
      <c r="J731" t="str">
        <f t="shared" si="168"/>
        <v>季度</v>
      </c>
      <c r="K731" t="str">
        <f t="shared" si="169"/>
        <v>期末租金收缴率（%）</v>
      </c>
      <c r="L731" t="str">
        <f t="shared" si="170"/>
        <v>华天项目|期末租金收缴率（%）|季度</v>
      </c>
      <c r="M731">
        <f>IF($A731="",0,IF(COUNTIF($L$2:$L731,$L731)=1,1,0))</f>
        <v>0</v>
      </c>
      <c r="N731">
        <f t="shared" si="171"/>
        <v>20242</v>
      </c>
      <c r="O731" t="str">
        <f t="shared" si="172"/>
        <v>嘉实物美消费封闭式基础设施证券投资基金|2024Q2|季度</v>
      </c>
      <c r="P731">
        <f>IF($A731="",0,IF(COUNTIF($O$2:$O731,$O731)=1,1,0))</f>
        <v>0</v>
      </c>
      <c r="Q731" t="str">
        <f>IF(AND($P731=1,$A731=经营数据!$B$3,$J731=经营数据!$BA$5),COUNTIFS($P$2:$P$3000,1,$A$2:$A$3000,$A731,$J$2:$J$3000,$J731,$N$2:$N$3000,"&lt;"&amp;$N731)+1,"")</f>
        <v/>
      </c>
      <c r="R731" t="str">
        <f t="shared" si="173"/>
        <v>嘉实物美消费封闭式基础设施证券投资基金|华天项目</v>
      </c>
      <c r="S731">
        <f>IF($A731="",0,IF(COUNTIF($R$2:$R731,$R731)=1,1,0))</f>
        <v>0</v>
      </c>
      <c r="T731">
        <f t="shared" si="174"/>
        <v>724</v>
      </c>
      <c r="U731" t="str">
        <f>IF($A731="","",IF($A731=经营数据!$B$3,COUNTIFS($S$2:$S$3000,1,$A$2:$A$3000,$A731,$T$2:$T$3000,"&lt;"&amp;$T731)+1,""))</f>
        <v/>
      </c>
      <c r="V731" t="str">
        <f t="shared" si="175"/>
        <v>华天项目|服务效率</v>
      </c>
      <c r="W731">
        <f t="shared" si="176"/>
        <v>727</v>
      </c>
      <c r="X731" t="str">
        <f t="shared" si="177"/>
        <v>华天项目|期末租金收缴率</v>
      </c>
      <c r="Y731">
        <f t="shared" si="178"/>
        <v>729</v>
      </c>
      <c r="Z731">
        <f>IF($A731="",0,IF(AND($M731=1,$A731=经营数据!$B$3,$J731=经营数据!$BA$5,OR($I731=经营数据!$BA$4,COUNTIF(经营数据!$AA$9:$AA$38,$I731)&gt;0)),1,0))</f>
        <v>0</v>
      </c>
      <c r="AA731" t="str">
        <f t="shared" si="179"/>
        <v/>
      </c>
      <c r="AB731" t="str">
        <f t="shared" si="180"/>
        <v/>
      </c>
      <c r="AC731">
        <f>IF($A731="",0,IF(COUNTIF($A$2:$A731,$A731)=1,1,0))</f>
        <v>0</v>
      </c>
      <c r="AD731">
        <f t="shared" si="181"/>
        <v>8</v>
      </c>
      <c r="AE731" t="str">
        <f t="shared" si="182"/>
        <v>华天项目|期末租金收缴率（%）</v>
      </c>
    </row>
    <row r="732" spans="1:31" x14ac:dyDescent="0.4">
      <c r="A732" t="str">
        <f>IF(原始经营数据!$D733="","",原始经营数据!$D733)</f>
        <v>嘉实物美消费封闭式基础设施证券投资基金</v>
      </c>
      <c r="B732" t="str">
        <f>IF(原始经营数据!$D733="","",T(原始经营数据!$E733))</f>
        <v>华天项目</v>
      </c>
      <c r="C732" t="str">
        <f>IF(原始经营数据!$D733="","",原始经营数据!$F733)</f>
        <v>2024Q2</v>
      </c>
      <c r="D732" t="str">
        <f>IF(原始经营数据!$D733="","",原始经营数据!$H733)</f>
        <v>期末剩余租期情况</v>
      </c>
      <c r="E732">
        <f>IF(原始经营数据!$D733="","",原始经营数据!$I733)</f>
        <v>7.61</v>
      </c>
      <c r="F732" t="str">
        <f>IF(原始经营数据!$D733="","",T(原始经营数据!$J733))</f>
        <v>年</v>
      </c>
      <c r="G732" t="str">
        <f>IF(原始经营数据!$D733="","",T(原始经营数据!$K733))</f>
        <v/>
      </c>
      <c r="H732" t="str">
        <f>IF(原始经营数据!$D733="","",原始经营数据!$G733)</f>
        <v>服务量</v>
      </c>
      <c r="I732" t="str">
        <f>IF($A732="","",IF($B732&lt;&gt;"",$B732,IF(COUNTIFS(原始经营数据!$D$3:$D$3001,$A732,原始经营数据!$E$3:$E$3001,"",原始经营数据!$F$3:$F$3001,$C732,原始经营数据!$H$3:$H$3001,$D732,原始经营数据!$K$3:$K$3001,$G732)&gt;1,"基金整体·来源"&amp;原始经营数据!$A733,"基金整体")))</f>
        <v>华天项目</v>
      </c>
      <c r="J732" t="str">
        <f t="shared" si="168"/>
        <v>季度</v>
      </c>
      <c r="K732" t="str">
        <f t="shared" si="169"/>
        <v>期末剩余租期情况（年）</v>
      </c>
      <c r="L732" t="str">
        <f t="shared" si="170"/>
        <v>华天项目|期末剩余租期情况（年）|季度</v>
      </c>
      <c r="M732">
        <f>IF($A732="",0,IF(COUNTIF($L$2:$L732,$L732)=1,1,0))</f>
        <v>0</v>
      </c>
      <c r="N732">
        <f t="shared" si="171"/>
        <v>20242</v>
      </c>
      <c r="O732" t="str">
        <f t="shared" si="172"/>
        <v>嘉实物美消费封闭式基础设施证券投资基金|2024Q2|季度</v>
      </c>
      <c r="P732">
        <f>IF($A732="",0,IF(COUNTIF($O$2:$O732,$O732)=1,1,0))</f>
        <v>0</v>
      </c>
      <c r="Q732" t="str">
        <f>IF(AND($P732=1,$A732=经营数据!$B$3,$J732=经营数据!$BA$5),COUNTIFS($P$2:$P$3000,1,$A$2:$A$3000,$A732,$J$2:$J$3000,$J732,$N$2:$N$3000,"&lt;"&amp;$N732)+1,"")</f>
        <v/>
      </c>
      <c r="R732" t="str">
        <f t="shared" si="173"/>
        <v>嘉实物美消费封闭式基础设施证券投资基金|华天项目</v>
      </c>
      <c r="S732">
        <f>IF($A732="",0,IF(COUNTIF($R$2:$R732,$R732)=1,1,0))</f>
        <v>0</v>
      </c>
      <c r="T732">
        <f t="shared" si="174"/>
        <v>724</v>
      </c>
      <c r="U732" t="str">
        <f>IF($A732="","",IF($A732=经营数据!$B$3,COUNTIFS($S$2:$S$3000,1,$A$2:$A$3000,$A732,$T$2:$T$3000,"&lt;"&amp;$T732)+1,""))</f>
        <v/>
      </c>
      <c r="V732" t="str">
        <f t="shared" si="175"/>
        <v>华天项目|服务量</v>
      </c>
      <c r="W732">
        <f t="shared" si="176"/>
        <v>724</v>
      </c>
      <c r="X732" t="str">
        <f t="shared" si="177"/>
        <v>华天项目|期末剩余租期情况</v>
      </c>
      <c r="Y732">
        <f t="shared" si="178"/>
        <v>724</v>
      </c>
      <c r="Z732">
        <f>IF($A732="",0,IF(AND($M732=1,$A732=经营数据!$B$3,$J732=经营数据!$BA$5,OR($I732=经营数据!$BA$4,COUNTIF(经营数据!$AA$9:$AA$38,$I732)&gt;0)),1,0))</f>
        <v>0</v>
      </c>
      <c r="AA732" t="str">
        <f t="shared" si="179"/>
        <v/>
      </c>
      <c r="AB732" t="str">
        <f t="shared" si="180"/>
        <v/>
      </c>
      <c r="AC732">
        <f>IF($A732="",0,IF(COUNTIF($A$2:$A732,$A732)=1,1,0))</f>
        <v>0</v>
      </c>
      <c r="AD732">
        <f t="shared" si="181"/>
        <v>8</v>
      </c>
      <c r="AE732" t="str">
        <f t="shared" si="182"/>
        <v>华天项目|期末剩余租期情况（年）</v>
      </c>
    </row>
    <row r="733" spans="1:31" x14ac:dyDescent="0.4">
      <c r="A733" t="str">
        <f>IF(原始经营数据!$D734="","",原始经营数据!$D734)</f>
        <v>嘉实物美消费封闭式基础设施证券投资基金</v>
      </c>
      <c r="B733" t="str">
        <f>IF(原始经营数据!$D734="","",T(原始经营数据!$E734))</f>
        <v>华天项目</v>
      </c>
      <c r="C733" t="str">
        <f>IF(原始经营数据!$D734="","",原始经营数据!$F734)</f>
        <v>2024Q2</v>
      </c>
      <c r="D733" t="str">
        <f>IF(原始经营数据!$D734="","",原始经营数据!$H734)</f>
        <v>期内租金单价水平</v>
      </c>
      <c r="E733">
        <f>IF(原始经营数据!$D734="","",原始经营数据!$I734)</f>
        <v>3.16</v>
      </c>
      <c r="F733" t="str">
        <f>IF(原始经营数据!$D734="","",T(原始经营数据!$J734))</f>
        <v>元/平方米/天</v>
      </c>
      <c r="G733" t="str">
        <f>IF(原始经营数据!$D734="","",T(原始经营数据!$K734))</f>
        <v/>
      </c>
      <c r="H733" t="str">
        <f>IF(原始经营数据!$D734="","",原始经营数据!$G734)</f>
        <v>服务价格</v>
      </c>
      <c r="I733" t="str">
        <f>IF($A733="","",IF($B733&lt;&gt;"",$B733,IF(COUNTIFS(原始经营数据!$D$3:$D$3001,$A733,原始经营数据!$E$3:$E$3001,"",原始经营数据!$F$3:$F$3001,$C733,原始经营数据!$H$3:$H$3001,$D733,原始经营数据!$K$3:$K$3001,$G733)&gt;1,"基金整体·来源"&amp;原始经营数据!$A734,"基金整体")))</f>
        <v>华天项目</v>
      </c>
      <c r="J733" t="str">
        <f t="shared" si="168"/>
        <v>季度</v>
      </c>
      <c r="K733" t="str">
        <f t="shared" si="169"/>
        <v>期内租金单价水平（元/平方米/天）</v>
      </c>
      <c r="L733" t="str">
        <f t="shared" si="170"/>
        <v>华天项目|期内租金单价水平（元/平方米/天）|季度</v>
      </c>
      <c r="M733">
        <f>IF($A733="",0,IF(COUNTIF($L$2:$L733,$L733)=1,1,0))</f>
        <v>0</v>
      </c>
      <c r="N733">
        <f t="shared" si="171"/>
        <v>20242</v>
      </c>
      <c r="O733" t="str">
        <f t="shared" si="172"/>
        <v>嘉实物美消费封闭式基础设施证券投资基金|2024Q2|季度</v>
      </c>
      <c r="P733">
        <f>IF($A733="",0,IF(COUNTIF($O$2:$O733,$O733)=1,1,0))</f>
        <v>0</v>
      </c>
      <c r="Q733" t="str">
        <f>IF(AND($P733=1,$A733=经营数据!$B$3,$J733=经营数据!$BA$5),COUNTIFS($P$2:$P$3000,1,$A$2:$A$3000,$A733,$J$2:$J$3000,$J733,$N$2:$N$3000,"&lt;"&amp;$N733)+1,"")</f>
        <v/>
      </c>
      <c r="R733" t="str">
        <f t="shared" si="173"/>
        <v>嘉实物美消费封闭式基础设施证券投资基金|华天项目</v>
      </c>
      <c r="S733">
        <f>IF($A733="",0,IF(COUNTIF($R$2:$R733,$R733)=1,1,0))</f>
        <v>0</v>
      </c>
      <c r="T733">
        <f t="shared" si="174"/>
        <v>724</v>
      </c>
      <c r="U733" t="str">
        <f>IF($A733="","",IF($A733=经营数据!$B$3,COUNTIFS($S$2:$S$3000,1,$A$2:$A$3000,$A733,$T$2:$T$3000,"&lt;"&amp;$T733)+1,""))</f>
        <v/>
      </c>
      <c r="V733" t="str">
        <f t="shared" si="175"/>
        <v>华天项目|服务价格</v>
      </c>
      <c r="W733">
        <f t="shared" si="176"/>
        <v>728</v>
      </c>
      <c r="X733" t="str">
        <f t="shared" si="177"/>
        <v>华天项目|期内租金单价水平</v>
      </c>
      <c r="Y733">
        <f t="shared" si="178"/>
        <v>728</v>
      </c>
      <c r="Z733">
        <f>IF($A733="",0,IF(AND($M733=1,$A733=经营数据!$B$3,$J733=经营数据!$BA$5,OR($I733=经营数据!$BA$4,COUNTIF(经营数据!$AA$9:$AA$38,$I733)&gt;0)),1,0))</f>
        <v>0</v>
      </c>
      <c r="AA733" t="str">
        <f t="shared" si="179"/>
        <v/>
      </c>
      <c r="AB733" t="str">
        <f t="shared" si="180"/>
        <v/>
      </c>
      <c r="AC733">
        <f>IF($A733="",0,IF(COUNTIF($A$2:$A733,$A733)=1,1,0))</f>
        <v>0</v>
      </c>
      <c r="AD733">
        <f t="shared" si="181"/>
        <v>8</v>
      </c>
      <c r="AE733" t="str">
        <f t="shared" si="182"/>
        <v>华天项目|期内租金单价水平（元/平方米/天）</v>
      </c>
    </row>
    <row r="734" spans="1:31" x14ac:dyDescent="0.4">
      <c r="A734" t="str">
        <f>IF(原始经营数据!$D735="","",原始经营数据!$D735)</f>
        <v>嘉实物美消费封闭式基础设施证券投资基金</v>
      </c>
      <c r="B734" t="str">
        <f>IF(原始经营数据!$D735="","",T(原始经营数据!$E735))</f>
        <v>华天项目</v>
      </c>
      <c r="C734" t="str">
        <f>IF(原始经营数据!$D735="","",原始经营数据!$F735)</f>
        <v>2024Q2</v>
      </c>
      <c r="D734" t="str">
        <f>IF(原始经营数据!$D735="","",原始经营数据!$H735)</f>
        <v>期末出租率</v>
      </c>
      <c r="E734">
        <f>IF(原始经营数据!$D735="","",原始经营数据!$I735)</f>
        <v>99.24</v>
      </c>
      <c r="F734" t="str">
        <f>IF(原始经营数据!$D735="","",T(原始经营数据!$J735))</f>
        <v>%</v>
      </c>
      <c r="G734" t="str">
        <f>IF(原始经营数据!$D735="","",T(原始经营数据!$K735))</f>
        <v/>
      </c>
      <c r="H734" t="str">
        <f>IF(原始经营数据!$D735="","",原始经营数据!$G735)</f>
        <v>服务效率</v>
      </c>
      <c r="I734" t="str">
        <f>IF($A734="","",IF($B734&lt;&gt;"",$B734,IF(COUNTIFS(原始经营数据!$D$3:$D$3001,$A734,原始经营数据!$E$3:$E$3001,"",原始经营数据!$F$3:$F$3001,$C734,原始经营数据!$H$3:$H$3001,$D734,原始经营数据!$K$3:$K$3001,$G734)&gt;1,"基金整体·来源"&amp;原始经营数据!$A735,"基金整体")))</f>
        <v>华天项目</v>
      </c>
      <c r="J734" t="str">
        <f t="shared" si="168"/>
        <v>季度</v>
      </c>
      <c r="K734" t="str">
        <f t="shared" si="169"/>
        <v>期末出租率（%）</v>
      </c>
      <c r="L734" t="str">
        <f t="shared" si="170"/>
        <v>华天项目|期末出租率（%）|季度</v>
      </c>
      <c r="M734">
        <f>IF($A734="",0,IF(COUNTIF($L$2:$L734,$L734)=1,1,0))</f>
        <v>0</v>
      </c>
      <c r="N734">
        <f t="shared" si="171"/>
        <v>20242</v>
      </c>
      <c r="O734" t="str">
        <f t="shared" si="172"/>
        <v>嘉实物美消费封闭式基础设施证券投资基金|2024Q2|季度</v>
      </c>
      <c r="P734">
        <f>IF($A734="",0,IF(COUNTIF($O$2:$O734,$O734)=1,1,0))</f>
        <v>0</v>
      </c>
      <c r="Q734" t="str">
        <f>IF(AND($P734=1,$A734=经营数据!$B$3,$J734=经营数据!$BA$5),COUNTIFS($P$2:$P$3000,1,$A$2:$A$3000,$A734,$J$2:$J$3000,$J734,$N$2:$N$3000,"&lt;"&amp;$N734)+1,"")</f>
        <v/>
      </c>
      <c r="R734" t="str">
        <f t="shared" si="173"/>
        <v>嘉实物美消费封闭式基础设施证券投资基金|华天项目</v>
      </c>
      <c r="S734">
        <f>IF($A734="",0,IF(COUNTIF($R$2:$R734,$R734)=1,1,0))</f>
        <v>0</v>
      </c>
      <c r="T734">
        <f t="shared" si="174"/>
        <v>724</v>
      </c>
      <c r="U734" t="str">
        <f>IF($A734="","",IF($A734=经营数据!$B$3,COUNTIFS($S$2:$S$3000,1,$A$2:$A$3000,$A734,$T$2:$T$3000,"&lt;"&amp;$T734)+1,""))</f>
        <v/>
      </c>
      <c r="V734" t="str">
        <f t="shared" si="175"/>
        <v>华天项目|服务效率</v>
      </c>
      <c r="W734">
        <f t="shared" si="176"/>
        <v>727</v>
      </c>
      <c r="X734" t="str">
        <f t="shared" si="177"/>
        <v>华天项目|期末出租率</v>
      </c>
      <c r="Y734">
        <f t="shared" si="178"/>
        <v>727</v>
      </c>
      <c r="Z734">
        <f>IF($A734="",0,IF(AND($M734=1,$A734=经营数据!$B$3,$J734=经营数据!$BA$5,OR($I734=经营数据!$BA$4,COUNTIF(经营数据!$AA$9:$AA$38,$I734)&gt;0)),1,0))</f>
        <v>0</v>
      </c>
      <c r="AA734" t="str">
        <f t="shared" si="179"/>
        <v/>
      </c>
      <c r="AB734" t="str">
        <f t="shared" si="180"/>
        <v/>
      </c>
      <c r="AC734">
        <f>IF($A734="",0,IF(COUNTIF($A$2:$A734,$A734)=1,1,0))</f>
        <v>0</v>
      </c>
      <c r="AD734">
        <f t="shared" si="181"/>
        <v>8</v>
      </c>
      <c r="AE734" t="str">
        <f t="shared" si="182"/>
        <v>华天项目|期末出租率（%）</v>
      </c>
    </row>
    <row r="735" spans="1:31" x14ac:dyDescent="0.4">
      <c r="A735" t="str">
        <f>IF(原始经营数据!$D736="","",原始经营数据!$D736)</f>
        <v>嘉实物美消费封闭式基础设施证券投资基金</v>
      </c>
      <c r="B735" t="str">
        <f>IF(原始经营数据!$D736="","",T(原始经营数据!$E736))</f>
        <v>华天项目</v>
      </c>
      <c r="C735" t="str">
        <f>IF(原始经营数据!$D736="","",原始经营数据!$F736)</f>
        <v>2024Q2</v>
      </c>
      <c r="D735" t="str">
        <f>IF(原始经营数据!$D736="","",原始经营数据!$H736)</f>
        <v>期末实际出租面积</v>
      </c>
      <c r="E735">
        <f>IF(原始经营数据!$D736="","",原始经营数据!$I736)</f>
        <v>15164</v>
      </c>
      <c r="F735" t="str">
        <f>IF(原始经营数据!$D736="","",T(原始经营数据!$J736))</f>
        <v>平方米</v>
      </c>
      <c r="G735" t="str">
        <f>IF(原始经营数据!$D736="","",T(原始经营数据!$K736))</f>
        <v/>
      </c>
      <c r="H735" t="str">
        <f>IF(原始经营数据!$D736="","",原始经营数据!$G736)</f>
        <v>服务量</v>
      </c>
      <c r="I735" t="str">
        <f>IF($A735="","",IF($B735&lt;&gt;"",$B735,IF(COUNTIFS(原始经营数据!$D$3:$D$3001,$A735,原始经营数据!$E$3:$E$3001,"",原始经营数据!$F$3:$F$3001,$C735,原始经营数据!$H$3:$H$3001,$D735,原始经营数据!$K$3:$K$3001,$G735)&gt;1,"基金整体·来源"&amp;原始经营数据!$A736,"基金整体")))</f>
        <v>华天项目</v>
      </c>
      <c r="J735" t="str">
        <f t="shared" si="168"/>
        <v>季度</v>
      </c>
      <c r="K735" t="str">
        <f t="shared" si="169"/>
        <v>期末实际出租面积（平方米）</v>
      </c>
      <c r="L735" t="str">
        <f t="shared" si="170"/>
        <v>华天项目|期末实际出租面积（平方米）|季度</v>
      </c>
      <c r="M735">
        <f>IF($A735="",0,IF(COUNTIF($L$2:$L735,$L735)=1,1,0))</f>
        <v>0</v>
      </c>
      <c r="N735">
        <f t="shared" si="171"/>
        <v>20242</v>
      </c>
      <c r="O735" t="str">
        <f t="shared" si="172"/>
        <v>嘉实物美消费封闭式基础设施证券投资基金|2024Q2|季度</v>
      </c>
      <c r="P735">
        <f>IF($A735="",0,IF(COUNTIF($O$2:$O735,$O735)=1,1,0))</f>
        <v>0</v>
      </c>
      <c r="Q735" t="str">
        <f>IF(AND($P735=1,$A735=经营数据!$B$3,$J735=经营数据!$BA$5),COUNTIFS($P$2:$P$3000,1,$A$2:$A$3000,$A735,$J$2:$J$3000,$J735,$N$2:$N$3000,"&lt;"&amp;$N735)+1,"")</f>
        <v/>
      </c>
      <c r="R735" t="str">
        <f t="shared" si="173"/>
        <v>嘉实物美消费封闭式基础设施证券投资基金|华天项目</v>
      </c>
      <c r="S735">
        <f>IF($A735="",0,IF(COUNTIF($R$2:$R735,$R735)=1,1,0))</f>
        <v>0</v>
      </c>
      <c r="T735">
        <f t="shared" si="174"/>
        <v>724</v>
      </c>
      <c r="U735" t="str">
        <f>IF($A735="","",IF($A735=经营数据!$B$3,COUNTIFS($S$2:$S$3000,1,$A$2:$A$3000,$A735,$T$2:$T$3000,"&lt;"&amp;$T735)+1,""))</f>
        <v/>
      </c>
      <c r="V735" t="str">
        <f t="shared" si="175"/>
        <v>华天项目|服务量</v>
      </c>
      <c r="W735">
        <f t="shared" si="176"/>
        <v>724</v>
      </c>
      <c r="X735" t="str">
        <f t="shared" si="177"/>
        <v>华天项目|期末实际出租面积</v>
      </c>
      <c r="Y735">
        <f t="shared" si="178"/>
        <v>726</v>
      </c>
      <c r="Z735">
        <f>IF($A735="",0,IF(AND($M735=1,$A735=经营数据!$B$3,$J735=经营数据!$BA$5,OR($I735=经营数据!$BA$4,COUNTIF(经营数据!$AA$9:$AA$38,$I735)&gt;0)),1,0))</f>
        <v>0</v>
      </c>
      <c r="AA735" t="str">
        <f t="shared" si="179"/>
        <v/>
      </c>
      <c r="AB735" t="str">
        <f t="shared" si="180"/>
        <v/>
      </c>
      <c r="AC735">
        <f>IF($A735="",0,IF(COUNTIF($A$2:$A735,$A735)=1,1,0))</f>
        <v>0</v>
      </c>
      <c r="AD735">
        <f t="shared" si="181"/>
        <v>8</v>
      </c>
      <c r="AE735" t="str">
        <f t="shared" si="182"/>
        <v>华天项目|期末实际出租面积（平方米）</v>
      </c>
    </row>
    <row r="736" spans="1:31" x14ac:dyDescent="0.4">
      <c r="A736" t="str">
        <f>IF(原始经营数据!$D737="","",原始经营数据!$D737)</f>
        <v>嘉实物美消费封闭式基础设施证券投资基金</v>
      </c>
      <c r="B736" t="str">
        <f>IF(原始经营数据!$D737="","",T(原始经营数据!$E737))</f>
        <v>华天项目</v>
      </c>
      <c r="C736" t="str">
        <f>IF(原始经营数据!$D737="","",原始经营数据!$F737)</f>
        <v>2024Q2</v>
      </c>
      <c r="D736" t="str">
        <f>IF(原始经营数据!$D737="","",原始经营数据!$H737)</f>
        <v>期末可供出租面积</v>
      </c>
      <c r="E736">
        <f>IF(原始经营数据!$D737="","",原始经营数据!$I737)</f>
        <v>15280.73</v>
      </c>
      <c r="F736" t="str">
        <f>IF(原始经营数据!$D737="","",T(原始经营数据!$J737))</f>
        <v>平方米</v>
      </c>
      <c r="G736" t="str">
        <f>IF(原始经营数据!$D737="","",T(原始经营数据!$K737))</f>
        <v/>
      </c>
      <c r="H736" t="str">
        <f>IF(原始经营数据!$D737="","",原始经营数据!$G737)</f>
        <v>服务量</v>
      </c>
      <c r="I736" t="str">
        <f>IF($A736="","",IF($B736&lt;&gt;"",$B736,IF(COUNTIFS(原始经营数据!$D$3:$D$3001,$A736,原始经营数据!$E$3:$E$3001,"",原始经营数据!$F$3:$F$3001,$C736,原始经营数据!$H$3:$H$3001,$D736,原始经营数据!$K$3:$K$3001,$G736)&gt;1,"基金整体·来源"&amp;原始经营数据!$A737,"基金整体")))</f>
        <v>华天项目</v>
      </c>
      <c r="J736" t="str">
        <f t="shared" si="168"/>
        <v>季度</v>
      </c>
      <c r="K736" t="str">
        <f t="shared" si="169"/>
        <v>期末可供出租面积（平方米）</v>
      </c>
      <c r="L736" t="str">
        <f t="shared" si="170"/>
        <v>华天项目|期末可供出租面积（平方米）|季度</v>
      </c>
      <c r="M736">
        <f>IF($A736="",0,IF(COUNTIF($L$2:$L736,$L736)=1,1,0))</f>
        <v>0</v>
      </c>
      <c r="N736">
        <f t="shared" si="171"/>
        <v>20242</v>
      </c>
      <c r="O736" t="str">
        <f t="shared" si="172"/>
        <v>嘉实物美消费封闭式基础设施证券投资基金|2024Q2|季度</v>
      </c>
      <c r="P736">
        <f>IF($A736="",0,IF(COUNTIF($O$2:$O736,$O736)=1,1,0))</f>
        <v>0</v>
      </c>
      <c r="Q736" t="str">
        <f>IF(AND($P736=1,$A736=经营数据!$B$3,$J736=经营数据!$BA$5),COUNTIFS($P$2:$P$3000,1,$A$2:$A$3000,$A736,$J$2:$J$3000,$J736,$N$2:$N$3000,"&lt;"&amp;$N736)+1,"")</f>
        <v/>
      </c>
      <c r="R736" t="str">
        <f t="shared" si="173"/>
        <v>嘉实物美消费封闭式基础设施证券投资基金|华天项目</v>
      </c>
      <c r="S736">
        <f>IF($A736="",0,IF(COUNTIF($R$2:$R736,$R736)=1,1,0))</f>
        <v>0</v>
      </c>
      <c r="T736">
        <f t="shared" si="174"/>
        <v>724</v>
      </c>
      <c r="U736" t="str">
        <f>IF($A736="","",IF($A736=经营数据!$B$3,COUNTIFS($S$2:$S$3000,1,$A$2:$A$3000,$A736,$T$2:$T$3000,"&lt;"&amp;$T736)+1,""))</f>
        <v/>
      </c>
      <c r="V736" t="str">
        <f t="shared" si="175"/>
        <v>华天项目|服务量</v>
      </c>
      <c r="W736">
        <f t="shared" si="176"/>
        <v>724</v>
      </c>
      <c r="X736" t="str">
        <f t="shared" si="177"/>
        <v>华天项目|期末可供出租面积</v>
      </c>
      <c r="Y736">
        <f t="shared" si="178"/>
        <v>725</v>
      </c>
      <c r="Z736">
        <f>IF($A736="",0,IF(AND($M736=1,$A736=经营数据!$B$3,$J736=经营数据!$BA$5,OR($I736=经营数据!$BA$4,COUNTIF(经营数据!$AA$9:$AA$38,$I736)&gt;0)),1,0))</f>
        <v>0</v>
      </c>
      <c r="AA736" t="str">
        <f t="shared" si="179"/>
        <v/>
      </c>
      <c r="AB736" t="str">
        <f t="shared" si="180"/>
        <v/>
      </c>
      <c r="AC736">
        <f>IF($A736="",0,IF(COUNTIF($A$2:$A736,$A736)=1,1,0))</f>
        <v>0</v>
      </c>
      <c r="AD736">
        <f t="shared" si="181"/>
        <v>8</v>
      </c>
      <c r="AE736" t="str">
        <f t="shared" si="182"/>
        <v>华天项目|期末可供出租面积（平方米）</v>
      </c>
    </row>
    <row r="737" spans="1:31" x14ac:dyDescent="0.4">
      <c r="A737" t="str">
        <f>IF(原始经营数据!$D738="","",原始经营数据!$D738)</f>
        <v>嘉实物美消费封闭式基础设施证券投资基金</v>
      </c>
      <c r="B737" t="str">
        <f>IF(原始经营数据!$D738="","",T(原始经营数据!$E738))</f>
        <v>华天项目</v>
      </c>
      <c r="C737" t="str">
        <f>IF(原始经营数据!$D738="","",原始经营数据!$F738)</f>
        <v>2024Q3</v>
      </c>
      <c r="D737" t="str">
        <f>IF(原始经营数据!$D738="","",原始经营数据!$H738)</f>
        <v>期末租金收缴率</v>
      </c>
      <c r="E737">
        <f>IF(原始经营数据!$D738="","",原始经营数据!$I738)</f>
        <v>99.99</v>
      </c>
      <c r="F737" t="str">
        <f>IF(原始经营数据!$D738="","",T(原始经营数据!$J738))</f>
        <v>%</v>
      </c>
      <c r="G737" t="str">
        <f>IF(原始经营数据!$D738="","",T(原始经营数据!$K738))</f>
        <v/>
      </c>
      <c r="H737" t="str">
        <f>IF(原始经营数据!$D738="","",原始经营数据!$G738)</f>
        <v>服务效率</v>
      </c>
      <c r="I737" t="str">
        <f>IF($A737="","",IF($B737&lt;&gt;"",$B737,IF(COUNTIFS(原始经营数据!$D$3:$D$3001,$A737,原始经营数据!$E$3:$E$3001,"",原始经营数据!$F$3:$F$3001,$C737,原始经营数据!$H$3:$H$3001,$D737,原始经营数据!$K$3:$K$3001,$G737)&gt;1,"基金整体·来源"&amp;原始经营数据!$A738,"基金整体")))</f>
        <v>华天项目</v>
      </c>
      <c r="J737" t="str">
        <f t="shared" si="168"/>
        <v>季度</v>
      </c>
      <c r="K737" t="str">
        <f t="shared" si="169"/>
        <v>期末租金收缴率（%）</v>
      </c>
      <c r="L737" t="str">
        <f t="shared" si="170"/>
        <v>华天项目|期末租金收缴率（%）|季度</v>
      </c>
      <c r="M737">
        <f>IF($A737="",0,IF(COUNTIF($L$2:$L737,$L737)=1,1,0))</f>
        <v>0</v>
      </c>
      <c r="N737">
        <f t="shared" si="171"/>
        <v>20243</v>
      </c>
      <c r="O737" t="str">
        <f t="shared" si="172"/>
        <v>嘉实物美消费封闭式基础设施证券投资基金|2024Q3|季度</v>
      </c>
      <c r="P737">
        <f>IF($A737="",0,IF(COUNTIF($O$2:$O737,$O737)=1,1,0))</f>
        <v>0</v>
      </c>
      <c r="Q737" t="str">
        <f>IF(AND($P737=1,$A737=经营数据!$B$3,$J737=经营数据!$BA$5),COUNTIFS($P$2:$P$3000,1,$A$2:$A$3000,$A737,$J$2:$J$3000,$J737,$N$2:$N$3000,"&lt;"&amp;$N737)+1,"")</f>
        <v/>
      </c>
      <c r="R737" t="str">
        <f t="shared" si="173"/>
        <v>嘉实物美消费封闭式基础设施证券投资基金|华天项目</v>
      </c>
      <c r="S737">
        <f>IF($A737="",0,IF(COUNTIF($R$2:$R737,$R737)=1,1,0))</f>
        <v>0</v>
      </c>
      <c r="T737">
        <f t="shared" si="174"/>
        <v>724</v>
      </c>
      <c r="U737" t="str">
        <f>IF($A737="","",IF($A737=经营数据!$B$3,COUNTIFS($S$2:$S$3000,1,$A$2:$A$3000,$A737,$T$2:$T$3000,"&lt;"&amp;$T737)+1,""))</f>
        <v/>
      </c>
      <c r="V737" t="str">
        <f t="shared" si="175"/>
        <v>华天项目|服务效率</v>
      </c>
      <c r="W737">
        <f t="shared" si="176"/>
        <v>727</v>
      </c>
      <c r="X737" t="str">
        <f t="shared" si="177"/>
        <v>华天项目|期末租金收缴率</v>
      </c>
      <c r="Y737">
        <f t="shared" si="178"/>
        <v>729</v>
      </c>
      <c r="Z737">
        <f>IF($A737="",0,IF(AND($M737=1,$A737=经营数据!$B$3,$J737=经营数据!$BA$5,OR($I737=经营数据!$BA$4,COUNTIF(经营数据!$AA$9:$AA$38,$I737)&gt;0)),1,0))</f>
        <v>0</v>
      </c>
      <c r="AA737" t="str">
        <f t="shared" si="179"/>
        <v/>
      </c>
      <c r="AB737" t="str">
        <f t="shared" si="180"/>
        <v/>
      </c>
      <c r="AC737">
        <f>IF($A737="",0,IF(COUNTIF($A$2:$A737,$A737)=1,1,0))</f>
        <v>0</v>
      </c>
      <c r="AD737">
        <f t="shared" si="181"/>
        <v>8</v>
      </c>
      <c r="AE737" t="str">
        <f t="shared" si="182"/>
        <v>华天项目|期末租金收缴率（%）</v>
      </c>
    </row>
    <row r="738" spans="1:31" x14ac:dyDescent="0.4">
      <c r="A738" t="str">
        <f>IF(原始经营数据!$D739="","",原始经营数据!$D739)</f>
        <v>嘉实物美消费封闭式基础设施证券投资基金</v>
      </c>
      <c r="B738" t="str">
        <f>IF(原始经营数据!$D739="","",T(原始经营数据!$E739))</f>
        <v>华天项目</v>
      </c>
      <c r="C738" t="str">
        <f>IF(原始经营数据!$D739="","",原始经营数据!$F739)</f>
        <v>2024Q3</v>
      </c>
      <c r="D738" t="str">
        <f>IF(原始经营数据!$D739="","",原始经营数据!$H739)</f>
        <v>期末剩余租期情况</v>
      </c>
      <c r="E738">
        <f>IF(原始经营数据!$D739="","",原始经营数据!$I739)</f>
        <v>7.43</v>
      </c>
      <c r="F738" t="str">
        <f>IF(原始经营数据!$D739="","",T(原始经营数据!$J739))</f>
        <v>年</v>
      </c>
      <c r="G738" t="str">
        <f>IF(原始经营数据!$D739="","",T(原始经营数据!$K739))</f>
        <v/>
      </c>
      <c r="H738" t="str">
        <f>IF(原始经营数据!$D739="","",原始经营数据!$G739)</f>
        <v>服务量</v>
      </c>
      <c r="I738" t="str">
        <f>IF($A738="","",IF($B738&lt;&gt;"",$B738,IF(COUNTIFS(原始经营数据!$D$3:$D$3001,$A738,原始经营数据!$E$3:$E$3001,"",原始经营数据!$F$3:$F$3001,$C738,原始经营数据!$H$3:$H$3001,$D738,原始经营数据!$K$3:$K$3001,$G738)&gt;1,"基金整体·来源"&amp;原始经营数据!$A739,"基金整体")))</f>
        <v>华天项目</v>
      </c>
      <c r="J738" t="str">
        <f t="shared" si="168"/>
        <v>季度</v>
      </c>
      <c r="K738" t="str">
        <f t="shared" si="169"/>
        <v>期末剩余租期情况（年）</v>
      </c>
      <c r="L738" t="str">
        <f t="shared" si="170"/>
        <v>华天项目|期末剩余租期情况（年）|季度</v>
      </c>
      <c r="M738">
        <f>IF($A738="",0,IF(COUNTIF($L$2:$L738,$L738)=1,1,0))</f>
        <v>0</v>
      </c>
      <c r="N738">
        <f t="shared" si="171"/>
        <v>20243</v>
      </c>
      <c r="O738" t="str">
        <f t="shared" si="172"/>
        <v>嘉实物美消费封闭式基础设施证券投资基金|2024Q3|季度</v>
      </c>
      <c r="P738">
        <f>IF($A738="",0,IF(COUNTIF($O$2:$O738,$O738)=1,1,0))</f>
        <v>0</v>
      </c>
      <c r="Q738" t="str">
        <f>IF(AND($P738=1,$A738=经营数据!$B$3,$J738=经营数据!$BA$5),COUNTIFS($P$2:$P$3000,1,$A$2:$A$3000,$A738,$J$2:$J$3000,$J738,$N$2:$N$3000,"&lt;"&amp;$N738)+1,"")</f>
        <v/>
      </c>
      <c r="R738" t="str">
        <f t="shared" si="173"/>
        <v>嘉实物美消费封闭式基础设施证券投资基金|华天项目</v>
      </c>
      <c r="S738">
        <f>IF($A738="",0,IF(COUNTIF($R$2:$R738,$R738)=1,1,0))</f>
        <v>0</v>
      </c>
      <c r="T738">
        <f t="shared" si="174"/>
        <v>724</v>
      </c>
      <c r="U738" t="str">
        <f>IF($A738="","",IF($A738=经营数据!$B$3,COUNTIFS($S$2:$S$3000,1,$A$2:$A$3000,$A738,$T$2:$T$3000,"&lt;"&amp;$T738)+1,""))</f>
        <v/>
      </c>
      <c r="V738" t="str">
        <f t="shared" si="175"/>
        <v>华天项目|服务量</v>
      </c>
      <c r="W738">
        <f t="shared" si="176"/>
        <v>724</v>
      </c>
      <c r="X738" t="str">
        <f t="shared" si="177"/>
        <v>华天项目|期末剩余租期情况</v>
      </c>
      <c r="Y738">
        <f t="shared" si="178"/>
        <v>724</v>
      </c>
      <c r="Z738">
        <f>IF($A738="",0,IF(AND($M738=1,$A738=经营数据!$B$3,$J738=经营数据!$BA$5,OR($I738=经营数据!$BA$4,COUNTIF(经营数据!$AA$9:$AA$38,$I738)&gt;0)),1,0))</f>
        <v>0</v>
      </c>
      <c r="AA738" t="str">
        <f t="shared" si="179"/>
        <v/>
      </c>
      <c r="AB738" t="str">
        <f t="shared" si="180"/>
        <v/>
      </c>
      <c r="AC738">
        <f>IF($A738="",0,IF(COUNTIF($A$2:$A738,$A738)=1,1,0))</f>
        <v>0</v>
      </c>
      <c r="AD738">
        <f t="shared" si="181"/>
        <v>8</v>
      </c>
      <c r="AE738" t="str">
        <f t="shared" si="182"/>
        <v>华天项目|期末剩余租期情况（年）</v>
      </c>
    </row>
    <row r="739" spans="1:31" x14ac:dyDescent="0.4">
      <c r="A739" t="str">
        <f>IF(原始经营数据!$D740="","",原始经营数据!$D740)</f>
        <v>嘉实物美消费封闭式基础设施证券投资基金</v>
      </c>
      <c r="B739" t="str">
        <f>IF(原始经营数据!$D740="","",T(原始经营数据!$E740))</f>
        <v>华天项目</v>
      </c>
      <c r="C739" t="str">
        <f>IF(原始经营数据!$D740="","",原始经营数据!$F740)</f>
        <v>2024Q3</v>
      </c>
      <c r="D739" t="str">
        <f>IF(原始经营数据!$D740="","",原始经营数据!$H740)</f>
        <v>期末出租率</v>
      </c>
      <c r="E739">
        <f>IF(原始经营数据!$D740="","",原始经营数据!$I740)</f>
        <v>90.41</v>
      </c>
      <c r="F739" t="str">
        <f>IF(原始经营数据!$D740="","",T(原始经营数据!$J740))</f>
        <v>%</v>
      </c>
      <c r="G739" t="str">
        <f>IF(原始经营数据!$D740="","",T(原始经营数据!$K740))</f>
        <v/>
      </c>
      <c r="H739" t="str">
        <f>IF(原始经营数据!$D740="","",原始经营数据!$G740)</f>
        <v>服务效率</v>
      </c>
      <c r="I739" t="str">
        <f>IF($A739="","",IF($B739&lt;&gt;"",$B739,IF(COUNTIFS(原始经营数据!$D$3:$D$3001,$A739,原始经营数据!$E$3:$E$3001,"",原始经营数据!$F$3:$F$3001,$C739,原始经营数据!$H$3:$H$3001,$D739,原始经营数据!$K$3:$K$3001,$G739)&gt;1,"基金整体·来源"&amp;原始经营数据!$A740,"基金整体")))</f>
        <v>华天项目</v>
      </c>
      <c r="J739" t="str">
        <f t="shared" si="168"/>
        <v>季度</v>
      </c>
      <c r="K739" t="str">
        <f t="shared" si="169"/>
        <v>期末出租率（%）</v>
      </c>
      <c r="L739" t="str">
        <f t="shared" si="170"/>
        <v>华天项目|期末出租率（%）|季度</v>
      </c>
      <c r="M739">
        <f>IF($A739="",0,IF(COUNTIF($L$2:$L739,$L739)=1,1,0))</f>
        <v>0</v>
      </c>
      <c r="N739">
        <f t="shared" si="171"/>
        <v>20243</v>
      </c>
      <c r="O739" t="str">
        <f t="shared" si="172"/>
        <v>嘉实物美消费封闭式基础设施证券投资基金|2024Q3|季度</v>
      </c>
      <c r="P739">
        <f>IF($A739="",0,IF(COUNTIF($O$2:$O739,$O739)=1,1,0))</f>
        <v>0</v>
      </c>
      <c r="Q739" t="str">
        <f>IF(AND($P739=1,$A739=经营数据!$B$3,$J739=经营数据!$BA$5),COUNTIFS($P$2:$P$3000,1,$A$2:$A$3000,$A739,$J$2:$J$3000,$J739,$N$2:$N$3000,"&lt;"&amp;$N739)+1,"")</f>
        <v/>
      </c>
      <c r="R739" t="str">
        <f t="shared" si="173"/>
        <v>嘉实物美消费封闭式基础设施证券投资基金|华天项目</v>
      </c>
      <c r="S739">
        <f>IF($A739="",0,IF(COUNTIF($R$2:$R739,$R739)=1,1,0))</f>
        <v>0</v>
      </c>
      <c r="T739">
        <f t="shared" si="174"/>
        <v>724</v>
      </c>
      <c r="U739" t="str">
        <f>IF($A739="","",IF($A739=经营数据!$B$3,COUNTIFS($S$2:$S$3000,1,$A$2:$A$3000,$A739,$T$2:$T$3000,"&lt;"&amp;$T739)+1,""))</f>
        <v/>
      </c>
      <c r="V739" t="str">
        <f t="shared" si="175"/>
        <v>华天项目|服务效率</v>
      </c>
      <c r="W739">
        <f t="shared" si="176"/>
        <v>727</v>
      </c>
      <c r="X739" t="str">
        <f t="shared" si="177"/>
        <v>华天项目|期末出租率</v>
      </c>
      <c r="Y739">
        <f t="shared" si="178"/>
        <v>727</v>
      </c>
      <c r="Z739">
        <f>IF($A739="",0,IF(AND($M739=1,$A739=经营数据!$B$3,$J739=经营数据!$BA$5,OR($I739=经营数据!$BA$4,COUNTIF(经营数据!$AA$9:$AA$38,$I739)&gt;0)),1,0))</f>
        <v>0</v>
      </c>
      <c r="AA739" t="str">
        <f t="shared" si="179"/>
        <v/>
      </c>
      <c r="AB739" t="str">
        <f t="shared" si="180"/>
        <v/>
      </c>
      <c r="AC739">
        <f>IF($A739="",0,IF(COUNTIF($A$2:$A739,$A739)=1,1,0))</f>
        <v>0</v>
      </c>
      <c r="AD739">
        <f t="shared" si="181"/>
        <v>8</v>
      </c>
      <c r="AE739" t="str">
        <f t="shared" si="182"/>
        <v>华天项目|期末出租率（%）</v>
      </c>
    </row>
    <row r="740" spans="1:31" x14ac:dyDescent="0.4">
      <c r="A740" t="str">
        <f>IF(原始经营数据!$D741="","",原始经营数据!$D741)</f>
        <v>嘉实物美消费封闭式基础设施证券投资基金</v>
      </c>
      <c r="B740" t="str">
        <f>IF(原始经营数据!$D741="","",T(原始经营数据!$E741))</f>
        <v>华天项目</v>
      </c>
      <c r="C740" t="str">
        <f>IF(原始经营数据!$D741="","",原始经营数据!$F741)</f>
        <v>2024Q3</v>
      </c>
      <c r="D740" t="str">
        <f>IF(原始经营数据!$D741="","",原始经营数据!$H741)</f>
        <v>期末实际出租面积</v>
      </c>
      <c r="E740">
        <f>IF(原始经营数据!$D741="","",原始经营数据!$I741)</f>
        <v>13815.41</v>
      </c>
      <c r="F740" t="str">
        <f>IF(原始经营数据!$D741="","",T(原始经营数据!$J741))</f>
        <v>平方米</v>
      </c>
      <c r="G740" t="str">
        <f>IF(原始经营数据!$D741="","",T(原始经营数据!$K741))</f>
        <v/>
      </c>
      <c r="H740" t="str">
        <f>IF(原始经营数据!$D741="","",原始经营数据!$G741)</f>
        <v>服务量</v>
      </c>
      <c r="I740" t="str">
        <f>IF($A740="","",IF($B740&lt;&gt;"",$B740,IF(COUNTIFS(原始经营数据!$D$3:$D$3001,$A740,原始经营数据!$E$3:$E$3001,"",原始经营数据!$F$3:$F$3001,$C740,原始经营数据!$H$3:$H$3001,$D740,原始经营数据!$K$3:$K$3001,$G740)&gt;1,"基金整体·来源"&amp;原始经营数据!$A741,"基金整体")))</f>
        <v>华天项目</v>
      </c>
      <c r="J740" t="str">
        <f t="shared" si="168"/>
        <v>季度</v>
      </c>
      <c r="K740" t="str">
        <f t="shared" si="169"/>
        <v>期末实际出租面积（平方米）</v>
      </c>
      <c r="L740" t="str">
        <f t="shared" si="170"/>
        <v>华天项目|期末实际出租面积（平方米）|季度</v>
      </c>
      <c r="M740">
        <f>IF($A740="",0,IF(COUNTIF($L$2:$L740,$L740)=1,1,0))</f>
        <v>0</v>
      </c>
      <c r="N740">
        <f t="shared" si="171"/>
        <v>20243</v>
      </c>
      <c r="O740" t="str">
        <f t="shared" si="172"/>
        <v>嘉实物美消费封闭式基础设施证券投资基金|2024Q3|季度</v>
      </c>
      <c r="P740">
        <f>IF($A740="",0,IF(COUNTIF($O$2:$O740,$O740)=1,1,0))</f>
        <v>0</v>
      </c>
      <c r="Q740" t="str">
        <f>IF(AND($P740=1,$A740=经营数据!$B$3,$J740=经营数据!$BA$5),COUNTIFS($P$2:$P$3000,1,$A$2:$A$3000,$A740,$J$2:$J$3000,$J740,$N$2:$N$3000,"&lt;"&amp;$N740)+1,"")</f>
        <v/>
      </c>
      <c r="R740" t="str">
        <f t="shared" si="173"/>
        <v>嘉实物美消费封闭式基础设施证券投资基金|华天项目</v>
      </c>
      <c r="S740">
        <f>IF($A740="",0,IF(COUNTIF($R$2:$R740,$R740)=1,1,0))</f>
        <v>0</v>
      </c>
      <c r="T740">
        <f t="shared" si="174"/>
        <v>724</v>
      </c>
      <c r="U740" t="str">
        <f>IF($A740="","",IF($A740=经营数据!$B$3,COUNTIFS($S$2:$S$3000,1,$A$2:$A$3000,$A740,$T$2:$T$3000,"&lt;"&amp;$T740)+1,""))</f>
        <v/>
      </c>
      <c r="V740" t="str">
        <f t="shared" si="175"/>
        <v>华天项目|服务量</v>
      </c>
      <c r="W740">
        <f t="shared" si="176"/>
        <v>724</v>
      </c>
      <c r="X740" t="str">
        <f t="shared" si="177"/>
        <v>华天项目|期末实际出租面积</v>
      </c>
      <c r="Y740">
        <f t="shared" si="178"/>
        <v>726</v>
      </c>
      <c r="Z740">
        <f>IF($A740="",0,IF(AND($M740=1,$A740=经营数据!$B$3,$J740=经营数据!$BA$5,OR($I740=经营数据!$BA$4,COUNTIF(经营数据!$AA$9:$AA$38,$I740)&gt;0)),1,0))</f>
        <v>0</v>
      </c>
      <c r="AA740" t="str">
        <f t="shared" si="179"/>
        <v/>
      </c>
      <c r="AB740" t="str">
        <f t="shared" si="180"/>
        <v/>
      </c>
      <c r="AC740">
        <f>IF($A740="",0,IF(COUNTIF($A$2:$A740,$A740)=1,1,0))</f>
        <v>0</v>
      </c>
      <c r="AD740">
        <f t="shared" si="181"/>
        <v>8</v>
      </c>
      <c r="AE740" t="str">
        <f t="shared" si="182"/>
        <v>华天项目|期末实际出租面积（平方米）</v>
      </c>
    </row>
    <row r="741" spans="1:31" x14ac:dyDescent="0.4">
      <c r="A741" t="str">
        <f>IF(原始经营数据!$D742="","",原始经营数据!$D742)</f>
        <v>嘉实物美消费封闭式基础设施证券投资基金</v>
      </c>
      <c r="B741" t="str">
        <f>IF(原始经营数据!$D742="","",T(原始经营数据!$E742))</f>
        <v>华天项目</v>
      </c>
      <c r="C741" t="str">
        <f>IF(原始经营数据!$D742="","",原始经营数据!$F742)</f>
        <v>2024Q3</v>
      </c>
      <c r="D741" t="str">
        <f>IF(原始经营数据!$D742="","",原始经营数据!$H742)</f>
        <v>期末可供出租面积</v>
      </c>
      <c r="E741">
        <f>IF(原始经营数据!$D742="","",原始经营数据!$I742)</f>
        <v>15280.73</v>
      </c>
      <c r="F741" t="str">
        <f>IF(原始经营数据!$D742="","",T(原始经营数据!$J742))</f>
        <v>平方米</v>
      </c>
      <c r="G741" t="str">
        <f>IF(原始经营数据!$D742="","",T(原始经营数据!$K742))</f>
        <v/>
      </c>
      <c r="H741" t="str">
        <f>IF(原始经营数据!$D742="","",原始经营数据!$G742)</f>
        <v>服务量</v>
      </c>
      <c r="I741" t="str">
        <f>IF($A741="","",IF($B741&lt;&gt;"",$B741,IF(COUNTIFS(原始经营数据!$D$3:$D$3001,$A741,原始经营数据!$E$3:$E$3001,"",原始经营数据!$F$3:$F$3001,$C741,原始经营数据!$H$3:$H$3001,$D741,原始经营数据!$K$3:$K$3001,$G741)&gt;1,"基金整体·来源"&amp;原始经营数据!$A742,"基金整体")))</f>
        <v>华天项目</v>
      </c>
      <c r="J741" t="str">
        <f t="shared" si="168"/>
        <v>季度</v>
      </c>
      <c r="K741" t="str">
        <f t="shared" si="169"/>
        <v>期末可供出租面积（平方米）</v>
      </c>
      <c r="L741" t="str">
        <f t="shared" si="170"/>
        <v>华天项目|期末可供出租面积（平方米）|季度</v>
      </c>
      <c r="M741">
        <f>IF($A741="",0,IF(COUNTIF($L$2:$L741,$L741)=1,1,0))</f>
        <v>0</v>
      </c>
      <c r="N741">
        <f t="shared" si="171"/>
        <v>20243</v>
      </c>
      <c r="O741" t="str">
        <f t="shared" si="172"/>
        <v>嘉实物美消费封闭式基础设施证券投资基金|2024Q3|季度</v>
      </c>
      <c r="P741">
        <f>IF($A741="",0,IF(COUNTIF($O$2:$O741,$O741)=1,1,0))</f>
        <v>0</v>
      </c>
      <c r="Q741" t="str">
        <f>IF(AND($P741=1,$A741=经营数据!$B$3,$J741=经营数据!$BA$5),COUNTIFS($P$2:$P$3000,1,$A$2:$A$3000,$A741,$J$2:$J$3000,$J741,$N$2:$N$3000,"&lt;"&amp;$N741)+1,"")</f>
        <v/>
      </c>
      <c r="R741" t="str">
        <f t="shared" si="173"/>
        <v>嘉实物美消费封闭式基础设施证券投资基金|华天项目</v>
      </c>
      <c r="S741">
        <f>IF($A741="",0,IF(COUNTIF($R$2:$R741,$R741)=1,1,0))</f>
        <v>0</v>
      </c>
      <c r="T741">
        <f t="shared" si="174"/>
        <v>724</v>
      </c>
      <c r="U741" t="str">
        <f>IF($A741="","",IF($A741=经营数据!$B$3,COUNTIFS($S$2:$S$3000,1,$A$2:$A$3000,$A741,$T$2:$T$3000,"&lt;"&amp;$T741)+1,""))</f>
        <v/>
      </c>
      <c r="V741" t="str">
        <f t="shared" si="175"/>
        <v>华天项目|服务量</v>
      </c>
      <c r="W741">
        <f t="shared" si="176"/>
        <v>724</v>
      </c>
      <c r="X741" t="str">
        <f t="shared" si="177"/>
        <v>华天项目|期末可供出租面积</v>
      </c>
      <c r="Y741">
        <f t="shared" si="178"/>
        <v>725</v>
      </c>
      <c r="Z741">
        <f>IF($A741="",0,IF(AND($M741=1,$A741=经营数据!$B$3,$J741=经营数据!$BA$5,OR($I741=经营数据!$BA$4,COUNTIF(经营数据!$AA$9:$AA$38,$I741)&gt;0)),1,0))</f>
        <v>0</v>
      </c>
      <c r="AA741" t="str">
        <f t="shared" si="179"/>
        <v/>
      </c>
      <c r="AB741" t="str">
        <f t="shared" si="180"/>
        <v/>
      </c>
      <c r="AC741">
        <f>IF($A741="",0,IF(COUNTIF($A$2:$A741,$A741)=1,1,0))</f>
        <v>0</v>
      </c>
      <c r="AD741">
        <f t="shared" si="181"/>
        <v>8</v>
      </c>
      <c r="AE741" t="str">
        <f t="shared" si="182"/>
        <v>华天项目|期末可供出租面积（平方米）</v>
      </c>
    </row>
    <row r="742" spans="1:31" x14ac:dyDescent="0.4">
      <c r="A742" t="str">
        <f>IF(原始经营数据!$D743="","",原始经营数据!$D743)</f>
        <v>嘉实物美消费封闭式基础设施证券投资基金</v>
      </c>
      <c r="B742" t="str">
        <f>IF(原始经营数据!$D743="","",T(原始经营数据!$E743))</f>
        <v>华天项目</v>
      </c>
      <c r="C742" t="str">
        <f>IF(原始经营数据!$D743="","",原始经营数据!$F743)</f>
        <v>2024Q3</v>
      </c>
      <c r="D742" t="str">
        <f>IF(原始经营数据!$D743="","",原始经营数据!$H743)</f>
        <v>期内租金单价水平</v>
      </c>
      <c r="E742">
        <f>IF(原始经营数据!$D743="","",原始经营数据!$I743)</f>
        <v>3.29</v>
      </c>
      <c r="F742" t="str">
        <f>IF(原始经营数据!$D743="","",T(原始经营数据!$J743))</f>
        <v>元/平方米/天</v>
      </c>
      <c r="G742" t="str">
        <f>IF(原始经营数据!$D743="","",T(原始经营数据!$K743))</f>
        <v/>
      </c>
      <c r="H742" t="str">
        <f>IF(原始经营数据!$D743="","",原始经营数据!$G743)</f>
        <v>服务价格</v>
      </c>
      <c r="I742" t="str">
        <f>IF($A742="","",IF($B742&lt;&gt;"",$B742,IF(COUNTIFS(原始经营数据!$D$3:$D$3001,$A742,原始经营数据!$E$3:$E$3001,"",原始经营数据!$F$3:$F$3001,$C742,原始经营数据!$H$3:$H$3001,$D742,原始经营数据!$K$3:$K$3001,$G742)&gt;1,"基金整体·来源"&amp;原始经营数据!$A743,"基金整体")))</f>
        <v>华天项目</v>
      </c>
      <c r="J742" t="str">
        <f t="shared" si="168"/>
        <v>季度</v>
      </c>
      <c r="K742" t="str">
        <f t="shared" si="169"/>
        <v>期内租金单价水平（元/平方米/天）</v>
      </c>
      <c r="L742" t="str">
        <f t="shared" si="170"/>
        <v>华天项目|期内租金单价水平（元/平方米/天）|季度</v>
      </c>
      <c r="M742">
        <f>IF($A742="",0,IF(COUNTIF($L$2:$L742,$L742)=1,1,0))</f>
        <v>0</v>
      </c>
      <c r="N742">
        <f t="shared" si="171"/>
        <v>20243</v>
      </c>
      <c r="O742" t="str">
        <f t="shared" si="172"/>
        <v>嘉实物美消费封闭式基础设施证券投资基金|2024Q3|季度</v>
      </c>
      <c r="P742">
        <f>IF($A742="",0,IF(COUNTIF($O$2:$O742,$O742)=1,1,0))</f>
        <v>0</v>
      </c>
      <c r="Q742" t="str">
        <f>IF(AND($P742=1,$A742=经营数据!$B$3,$J742=经营数据!$BA$5),COUNTIFS($P$2:$P$3000,1,$A$2:$A$3000,$A742,$J$2:$J$3000,$J742,$N$2:$N$3000,"&lt;"&amp;$N742)+1,"")</f>
        <v/>
      </c>
      <c r="R742" t="str">
        <f t="shared" si="173"/>
        <v>嘉实物美消费封闭式基础设施证券投资基金|华天项目</v>
      </c>
      <c r="S742">
        <f>IF($A742="",0,IF(COUNTIF($R$2:$R742,$R742)=1,1,0))</f>
        <v>0</v>
      </c>
      <c r="T742">
        <f t="shared" si="174"/>
        <v>724</v>
      </c>
      <c r="U742" t="str">
        <f>IF($A742="","",IF($A742=经营数据!$B$3,COUNTIFS($S$2:$S$3000,1,$A$2:$A$3000,$A742,$T$2:$T$3000,"&lt;"&amp;$T742)+1,""))</f>
        <v/>
      </c>
      <c r="V742" t="str">
        <f t="shared" si="175"/>
        <v>华天项目|服务价格</v>
      </c>
      <c r="W742">
        <f t="shared" si="176"/>
        <v>728</v>
      </c>
      <c r="X742" t="str">
        <f t="shared" si="177"/>
        <v>华天项目|期内租金单价水平</v>
      </c>
      <c r="Y742">
        <f t="shared" si="178"/>
        <v>728</v>
      </c>
      <c r="Z742">
        <f>IF($A742="",0,IF(AND($M742=1,$A742=经营数据!$B$3,$J742=经营数据!$BA$5,OR($I742=经营数据!$BA$4,COUNTIF(经营数据!$AA$9:$AA$38,$I742)&gt;0)),1,0))</f>
        <v>0</v>
      </c>
      <c r="AA742" t="str">
        <f t="shared" si="179"/>
        <v/>
      </c>
      <c r="AB742" t="str">
        <f t="shared" si="180"/>
        <v/>
      </c>
      <c r="AC742">
        <f>IF($A742="",0,IF(COUNTIF($A$2:$A742,$A742)=1,1,0))</f>
        <v>0</v>
      </c>
      <c r="AD742">
        <f t="shared" si="181"/>
        <v>8</v>
      </c>
      <c r="AE742" t="str">
        <f t="shared" si="182"/>
        <v>华天项目|期内租金单价水平（元/平方米/天）</v>
      </c>
    </row>
    <row r="743" spans="1:31" x14ac:dyDescent="0.4">
      <c r="A743" t="str">
        <f>IF(原始经营数据!$D744="","",原始经营数据!$D744)</f>
        <v>嘉实物美消费封闭式基础设施证券投资基金</v>
      </c>
      <c r="B743" t="str">
        <f>IF(原始经营数据!$D744="","",T(原始经营数据!$E744))</f>
        <v>华天项目</v>
      </c>
      <c r="C743" t="str">
        <f>IF(原始经营数据!$D744="","",原始经营数据!$F744)</f>
        <v>2024Q4</v>
      </c>
      <c r="D743" t="str">
        <f>IF(原始经营数据!$D744="","",原始经营数据!$H744)</f>
        <v>期末租金收缴率</v>
      </c>
      <c r="E743">
        <f>IF(原始经营数据!$D744="","",原始经营数据!$I744)</f>
        <v>99.88</v>
      </c>
      <c r="F743" t="str">
        <f>IF(原始经营数据!$D744="","",T(原始经营数据!$J744))</f>
        <v>%</v>
      </c>
      <c r="G743" t="str">
        <f>IF(原始经营数据!$D744="","",T(原始经营数据!$K744))</f>
        <v/>
      </c>
      <c r="H743" t="str">
        <f>IF(原始经营数据!$D744="","",原始经营数据!$G744)</f>
        <v>服务效率</v>
      </c>
      <c r="I743" t="str">
        <f>IF($A743="","",IF($B743&lt;&gt;"",$B743,IF(COUNTIFS(原始经营数据!$D$3:$D$3001,$A743,原始经营数据!$E$3:$E$3001,"",原始经营数据!$F$3:$F$3001,$C743,原始经营数据!$H$3:$H$3001,$D743,原始经营数据!$K$3:$K$3001,$G743)&gt;1,"基金整体·来源"&amp;原始经营数据!$A744,"基金整体")))</f>
        <v>华天项目</v>
      </c>
      <c r="J743" t="str">
        <f t="shared" si="168"/>
        <v>季度</v>
      </c>
      <c r="K743" t="str">
        <f t="shared" si="169"/>
        <v>期末租金收缴率（%）</v>
      </c>
      <c r="L743" t="str">
        <f t="shared" si="170"/>
        <v>华天项目|期末租金收缴率（%）|季度</v>
      </c>
      <c r="M743">
        <f>IF($A743="",0,IF(COUNTIF($L$2:$L743,$L743)=1,1,0))</f>
        <v>0</v>
      </c>
      <c r="N743">
        <f t="shared" si="171"/>
        <v>20244</v>
      </c>
      <c r="O743" t="str">
        <f t="shared" si="172"/>
        <v>嘉实物美消费封闭式基础设施证券投资基金|2024Q4|季度</v>
      </c>
      <c r="P743">
        <f>IF($A743="",0,IF(COUNTIF($O$2:$O743,$O743)=1,1,0))</f>
        <v>0</v>
      </c>
      <c r="Q743" t="str">
        <f>IF(AND($P743=1,$A743=经营数据!$B$3,$J743=经营数据!$BA$5),COUNTIFS($P$2:$P$3000,1,$A$2:$A$3000,$A743,$J$2:$J$3000,$J743,$N$2:$N$3000,"&lt;"&amp;$N743)+1,"")</f>
        <v/>
      </c>
      <c r="R743" t="str">
        <f t="shared" si="173"/>
        <v>嘉实物美消费封闭式基础设施证券投资基金|华天项目</v>
      </c>
      <c r="S743">
        <f>IF($A743="",0,IF(COUNTIF($R$2:$R743,$R743)=1,1,0))</f>
        <v>0</v>
      </c>
      <c r="T743">
        <f t="shared" si="174"/>
        <v>724</v>
      </c>
      <c r="U743" t="str">
        <f>IF($A743="","",IF($A743=经营数据!$B$3,COUNTIFS($S$2:$S$3000,1,$A$2:$A$3000,$A743,$T$2:$T$3000,"&lt;"&amp;$T743)+1,""))</f>
        <v/>
      </c>
      <c r="V743" t="str">
        <f t="shared" si="175"/>
        <v>华天项目|服务效率</v>
      </c>
      <c r="W743">
        <f t="shared" si="176"/>
        <v>727</v>
      </c>
      <c r="X743" t="str">
        <f t="shared" si="177"/>
        <v>华天项目|期末租金收缴率</v>
      </c>
      <c r="Y743">
        <f t="shared" si="178"/>
        <v>729</v>
      </c>
      <c r="Z743">
        <f>IF($A743="",0,IF(AND($M743=1,$A743=经营数据!$B$3,$J743=经营数据!$BA$5,OR($I743=经营数据!$BA$4,COUNTIF(经营数据!$AA$9:$AA$38,$I743)&gt;0)),1,0))</f>
        <v>0</v>
      </c>
      <c r="AA743" t="str">
        <f t="shared" si="179"/>
        <v/>
      </c>
      <c r="AB743" t="str">
        <f t="shared" si="180"/>
        <v/>
      </c>
      <c r="AC743">
        <f>IF($A743="",0,IF(COUNTIF($A$2:$A743,$A743)=1,1,0))</f>
        <v>0</v>
      </c>
      <c r="AD743">
        <f t="shared" si="181"/>
        <v>8</v>
      </c>
      <c r="AE743" t="str">
        <f t="shared" si="182"/>
        <v>华天项目|期末租金收缴率（%）</v>
      </c>
    </row>
    <row r="744" spans="1:31" x14ac:dyDescent="0.4">
      <c r="A744" t="str">
        <f>IF(原始经营数据!$D745="","",原始经营数据!$D745)</f>
        <v>嘉实物美消费封闭式基础设施证券投资基金</v>
      </c>
      <c r="B744" t="str">
        <f>IF(原始经营数据!$D745="","",T(原始经营数据!$E745))</f>
        <v>华天项目</v>
      </c>
      <c r="C744" t="str">
        <f>IF(原始经营数据!$D745="","",原始经营数据!$F745)</f>
        <v>2024Q4</v>
      </c>
      <c r="D744" t="str">
        <f>IF(原始经营数据!$D745="","",原始经营数据!$H745)</f>
        <v>期末剩余租期情况</v>
      </c>
      <c r="E744">
        <f>IF(原始经营数据!$D745="","",原始经营数据!$I745)</f>
        <v>7.23</v>
      </c>
      <c r="F744" t="str">
        <f>IF(原始经营数据!$D745="","",T(原始经营数据!$J745))</f>
        <v>年</v>
      </c>
      <c r="G744" t="str">
        <f>IF(原始经营数据!$D745="","",T(原始经营数据!$K745))</f>
        <v/>
      </c>
      <c r="H744" t="str">
        <f>IF(原始经营数据!$D745="","",原始经营数据!$G745)</f>
        <v>服务量</v>
      </c>
      <c r="I744" t="str">
        <f>IF($A744="","",IF($B744&lt;&gt;"",$B744,IF(COUNTIFS(原始经营数据!$D$3:$D$3001,$A744,原始经营数据!$E$3:$E$3001,"",原始经营数据!$F$3:$F$3001,$C744,原始经营数据!$H$3:$H$3001,$D744,原始经营数据!$K$3:$K$3001,$G744)&gt;1,"基金整体·来源"&amp;原始经营数据!$A745,"基金整体")))</f>
        <v>华天项目</v>
      </c>
      <c r="J744" t="str">
        <f t="shared" si="168"/>
        <v>季度</v>
      </c>
      <c r="K744" t="str">
        <f t="shared" si="169"/>
        <v>期末剩余租期情况（年）</v>
      </c>
      <c r="L744" t="str">
        <f t="shared" si="170"/>
        <v>华天项目|期末剩余租期情况（年）|季度</v>
      </c>
      <c r="M744">
        <f>IF($A744="",0,IF(COUNTIF($L$2:$L744,$L744)=1,1,0))</f>
        <v>0</v>
      </c>
      <c r="N744">
        <f t="shared" si="171"/>
        <v>20244</v>
      </c>
      <c r="O744" t="str">
        <f t="shared" si="172"/>
        <v>嘉实物美消费封闭式基础设施证券投资基金|2024Q4|季度</v>
      </c>
      <c r="P744">
        <f>IF($A744="",0,IF(COUNTIF($O$2:$O744,$O744)=1,1,0))</f>
        <v>0</v>
      </c>
      <c r="Q744" t="str">
        <f>IF(AND($P744=1,$A744=经营数据!$B$3,$J744=经营数据!$BA$5),COUNTIFS($P$2:$P$3000,1,$A$2:$A$3000,$A744,$J$2:$J$3000,$J744,$N$2:$N$3000,"&lt;"&amp;$N744)+1,"")</f>
        <v/>
      </c>
      <c r="R744" t="str">
        <f t="shared" si="173"/>
        <v>嘉实物美消费封闭式基础设施证券投资基金|华天项目</v>
      </c>
      <c r="S744">
        <f>IF($A744="",0,IF(COUNTIF($R$2:$R744,$R744)=1,1,0))</f>
        <v>0</v>
      </c>
      <c r="T744">
        <f t="shared" si="174"/>
        <v>724</v>
      </c>
      <c r="U744" t="str">
        <f>IF($A744="","",IF($A744=经营数据!$B$3,COUNTIFS($S$2:$S$3000,1,$A$2:$A$3000,$A744,$T$2:$T$3000,"&lt;"&amp;$T744)+1,""))</f>
        <v/>
      </c>
      <c r="V744" t="str">
        <f t="shared" si="175"/>
        <v>华天项目|服务量</v>
      </c>
      <c r="W744">
        <f t="shared" si="176"/>
        <v>724</v>
      </c>
      <c r="X744" t="str">
        <f t="shared" si="177"/>
        <v>华天项目|期末剩余租期情况</v>
      </c>
      <c r="Y744">
        <f t="shared" si="178"/>
        <v>724</v>
      </c>
      <c r="Z744">
        <f>IF($A744="",0,IF(AND($M744=1,$A744=经营数据!$B$3,$J744=经营数据!$BA$5,OR($I744=经营数据!$BA$4,COUNTIF(经营数据!$AA$9:$AA$38,$I744)&gt;0)),1,0))</f>
        <v>0</v>
      </c>
      <c r="AA744" t="str">
        <f t="shared" si="179"/>
        <v/>
      </c>
      <c r="AB744" t="str">
        <f t="shared" si="180"/>
        <v/>
      </c>
      <c r="AC744">
        <f>IF($A744="",0,IF(COUNTIF($A$2:$A744,$A744)=1,1,0))</f>
        <v>0</v>
      </c>
      <c r="AD744">
        <f t="shared" si="181"/>
        <v>8</v>
      </c>
      <c r="AE744" t="str">
        <f t="shared" si="182"/>
        <v>华天项目|期末剩余租期情况（年）</v>
      </c>
    </row>
    <row r="745" spans="1:31" x14ac:dyDescent="0.4">
      <c r="A745" t="str">
        <f>IF(原始经营数据!$D746="","",原始经营数据!$D746)</f>
        <v>嘉实物美消费封闭式基础设施证券投资基金</v>
      </c>
      <c r="B745" t="str">
        <f>IF(原始经营数据!$D746="","",T(原始经营数据!$E746))</f>
        <v>华天项目</v>
      </c>
      <c r="C745" t="str">
        <f>IF(原始经营数据!$D746="","",原始经营数据!$F746)</f>
        <v>2024Q4</v>
      </c>
      <c r="D745" t="str">
        <f>IF(原始经营数据!$D746="","",原始经营数据!$H746)</f>
        <v>期内租金单价水平</v>
      </c>
      <c r="E745">
        <f>IF(原始经营数据!$D746="","",原始经营数据!$I746)</f>
        <v>3.31</v>
      </c>
      <c r="F745" t="str">
        <f>IF(原始经营数据!$D746="","",T(原始经营数据!$J746))</f>
        <v>元/平方米/天</v>
      </c>
      <c r="G745" t="str">
        <f>IF(原始经营数据!$D746="","",T(原始经营数据!$K746))</f>
        <v/>
      </c>
      <c r="H745" t="str">
        <f>IF(原始经营数据!$D746="","",原始经营数据!$G746)</f>
        <v>服务价格</v>
      </c>
      <c r="I745" t="str">
        <f>IF($A745="","",IF($B745&lt;&gt;"",$B745,IF(COUNTIFS(原始经营数据!$D$3:$D$3001,$A745,原始经营数据!$E$3:$E$3001,"",原始经营数据!$F$3:$F$3001,$C745,原始经营数据!$H$3:$H$3001,$D745,原始经营数据!$K$3:$K$3001,$G745)&gt;1,"基金整体·来源"&amp;原始经营数据!$A746,"基金整体")))</f>
        <v>华天项目</v>
      </c>
      <c r="J745" t="str">
        <f t="shared" si="168"/>
        <v>季度</v>
      </c>
      <c r="K745" t="str">
        <f t="shared" si="169"/>
        <v>期内租金单价水平（元/平方米/天）</v>
      </c>
      <c r="L745" t="str">
        <f t="shared" si="170"/>
        <v>华天项目|期内租金单价水平（元/平方米/天）|季度</v>
      </c>
      <c r="M745">
        <f>IF($A745="",0,IF(COUNTIF($L$2:$L745,$L745)=1,1,0))</f>
        <v>0</v>
      </c>
      <c r="N745">
        <f t="shared" si="171"/>
        <v>20244</v>
      </c>
      <c r="O745" t="str">
        <f t="shared" si="172"/>
        <v>嘉实物美消费封闭式基础设施证券投资基金|2024Q4|季度</v>
      </c>
      <c r="P745">
        <f>IF($A745="",0,IF(COUNTIF($O$2:$O745,$O745)=1,1,0))</f>
        <v>0</v>
      </c>
      <c r="Q745" t="str">
        <f>IF(AND($P745=1,$A745=经营数据!$B$3,$J745=经营数据!$BA$5),COUNTIFS($P$2:$P$3000,1,$A$2:$A$3000,$A745,$J$2:$J$3000,$J745,$N$2:$N$3000,"&lt;"&amp;$N745)+1,"")</f>
        <v/>
      </c>
      <c r="R745" t="str">
        <f t="shared" si="173"/>
        <v>嘉实物美消费封闭式基础设施证券投资基金|华天项目</v>
      </c>
      <c r="S745">
        <f>IF($A745="",0,IF(COUNTIF($R$2:$R745,$R745)=1,1,0))</f>
        <v>0</v>
      </c>
      <c r="T745">
        <f t="shared" si="174"/>
        <v>724</v>
      </c>
      <c r="U745" t="str">
        <f>IF($A745="","",IF($A745=经营数据!$B$3,COUNTIFS($S$2:$S$3000,1,$A$2:$A$3000,$A745,$T$2:$T$3000,"&lt;"&amp;$T745)+1,""))</f>
        <v/>
      </c>
      <c r="V745" t="str">
        <f t="shared" si="175"/>
        <v>华天项目|服务价格</v>
      </c>
      <c r="W745">
        <f t="shared" si="176"/>
        <v>728</v>
      </c>
      <c r="X745" t="str">
        <f t="shared" si="177"/>
        <v>华天项目|期内租金单价水平</v>
      </c>
      <c r="Y745">
        <f t="shared" si="178"/>
        <v>728</v>
      </c>
      <c r="Z745">
        <f>IF($A745="",0,IF(AND($M745=1,$A745=经营数据!$B$3,$J745=经营数据!$BA$5,OR($I745=经营数据!$BA$4,COUNTIF(经营数据!$AA$9:$AA$38,$I745)&gt;0)),1,0))</f>
        <v>0</v>
      </c>
      <c r="AA745" t="str">
        <f t="shared" si="179"/>
        <v/>
      </c>
      <c r="AB745" t="str">
        <f t="shared" si="180"/>
        <v/>
      </c>
      <c r="AC745">
        <f>IF($A745="",0,IF(COUNTIF($A$2:$A745,$A745)=1,1,0))</f>
        <v>0</v>
      </c>
      <c r="AD745">
        <f t="shared" si="181"/>
        <v>8</v>
      </c>
      <c r="AE745" t="str">
        <f t="shared" si="182"/>
        <v>华天项目|期内租金单价水平（元/平方米/天）</v>
      </c>
    </row>
    <row r="746" spans="1:31" x14ac:dyDescent="0.4">
      <c r="A746" t="str">
        <f>IF(原始经营数据!$D747="","",原始经营数据!$D747)</f>
        <v>嘉实物美消费封闭式基础设施证券投资基金</v>
      </c>
      <c r="B746" t="str">
        <f>IF(原始经营数据!$D747="","",T(原始经营数据!$E747))</f>
        <v>华天项目</v>
      </c>
      <c r="C746" t="str">
        <f>IF(原始经营数据!$D747="","",原始经营数据!$F747)</f>
        <v>2024Q4</v>
      </c>
      <c r="D746" t="str">
        <f>IF(原始经营数据!$D747="","",原始经营数据!$H747)</f>
        <v>期末可供出租面积</v>
      </c>
      <c r="E746">
        <f>IF(原始经营数据!$D747="","",原始经营数据!$I747)</f>
        <v>15280.73</v>
      </c>
      <c r="F746" t="str">
        <f>IF(原始经营数据!$D747="","",T(原始经营数据!$J747))</f>
        <v>平方米</v>
      </c>
      <c r="G746" t="str">
        <f>IF(原始经营数据!$D747="","",T(原始经营数据!$K747))</f>
        <v/>
      </c>
      <c r="H746" t="str">
        <f>IF(原始经营数据!$D747="","",原始经营数据!$G747)</f>
        <v>服务量</v>
      </c>
      <c r="I746" t="str">
        <f>IF($A746="","",IF($B746&lt;&gt;"",$B746,IF(COUNTIFS(原始经营数据!$D$3:$D$3001,$A746,原始经营数据!$E$3:$E$3001,"",原始经营数据!$F$3:$F$3001,$C746,原始经营数据!$H$3:$H$3001,$D746,原始经营数据!$K$3:$K$3001,$G746)&gt;1,"基金整体·来源"&amp;原始经营数据!$A747,"基金整体")))</f>
        <v>华天项目</v>
      </c>
      <c r="J746" t="str">
        <f t="shared" si="168"/>
        <v>季度</v>
      </c>
      <c r="K746" t="str">
        <f t="shared" si="169"/>
        <v>期末可供出租面积（平方米）</v>
      </c>
      <c r="L746" t="str">
        <f t="shared" si="170"/>
        <v>华天项目|期末可供出租面积（平方米）|季度</v>
      </c>
      <c r="M746">
        <f>IF($A746="",0,IF(COUNTIF($L$2:$L746,$L746)=1,1,0))</f>
        <v>0</v>
      </c>
      <c r="N746">
        <f t="shared" si="171"/>
        <v>20244</v>
      </c>
      <c r="O746" t="str">
        <f t="shared" si="172"/>
        <v>嘉实物美消费封闭式基础设施证券投资基金|2024Q4|季度</v>
      </c>
      <c r="P746">
        <f>IF($A746="",0,IF(COUNTIF($O$2:$O746,$O746)=1,1,0))</f>
        <v>0</v>
      </c>
      <c r="Q746" t="str">
        <f>IF(AND($P746=1,$A746=经营数据!$B$3,$J746=经营数据!$BA$5),COUNTIFS($P$2:$P$3000,1,$A$2:$A$3000,$A746,$J$2:$J$3000,$J746,$N$2:$N$3000,"&lt;"&amp;$N746)+1,"")</f>
        <v/>
      </c>
      <c r="R746" t="str">
        <f t="shared" si="173"/>
        <v>嘉实物美消费封闭式基础设施证券投资基金|华天项目</v>
      </c>
      <c r="S746">
        <f>IF($A746="",0,IF(COUNTIF($R$2:$R746,$R746)=1,1,0))</f>
        <v>0</v>
      </c>
      <c r="T746">
        <f t="shared" si="174"/>
        <v>724</v>
      </c>
      <c r="U746" t="str">
        <f>IF($A746="","",IF($A746=经营数据!$B$3,COUNTIFS($S$2:$S$3000,1,$A$2:$A$3000,$A746,$T$2:$T$3000,"&lt;"&amp;$T746)+1,""))</f>
        <v/>
      </c>
      <c r="V746" t="str">
        <f t="shared" si="175"/>
        <v>华天项目|服务量</v>
      </c>
      <c r="W746">
        <f t="shared" si="176"/>
        <v>724</v>
      </c>
      <c r="X746" t="str">
        <f t="shared" si="177"/>
        <v>华天项目|期末可供出租面积</v>
      </c>
      <c r="Y746">
        <f t="shared" si="178"/>
        <v>725</v>
      </c>
      <c r="Z746">
        <f>IF($A746="",0,IF(AND($M746=1,$A746=经营数据!$B$3,$J746=经营数据!$BA$5,OR($I746=经营数据!$BA$4,COUNTIF(经营数据!$AA$9:$AA$38,$I746)&gt;0)),1,0))</f>
        <v>0</v>
      </c>
      <c r="AA746" t="str">
        <f t="shared" si="179"/>
        <v/>
      </c>
      <c r="AB746" t="str">
        <f t="shared" si="180"/>
        <v/>
      </c>
      <c r="AC746">
        <f>IF($A746="",0,IF(COUNTIF($A$2:$A746,$A746)=1,1,0))</f>
        <v>0</v>
      </c>
      <c r="AD746">
        <f t="shared" si="181"/>
        <v>8</v>
      </c>
      <c r="AE746" t="str">
        <f t="shared" si="182"/>
        <v>华天项目|期末可供出租面积（平方米）</v>
      </c>
    </row>
    <row r="747" spans="1:31" x14ac:dyDescent="0.4">
      <c r="A747" t="str">
        <f>IF(原始经营数据!$D748="","",原始经营数据!$D748)</f>
        <v>嘉实物美消费封闭式基础设施证券投资基金</v>
      </c>
      <c r="B747" t="str">
        <f>IF(原始经营数据!$D748="","",T(原始经营数据!$E748))</f>
        <v>华天项目</v>
      </c>
      <c r="C747" t="str">
        <f>IF(原始经营数据!$D748="","",原始经营数据!$F748)</f>
        <v>2024Q4</v>
      </c>
      <c r="D747" t="str">
        <f>IF(原始经营数据!$D748="","",原始经营数据!$H748)</f>
        <v>期末实际出租面积</v>
      </c>
      <c r="E747">
        <f>IF(原始经营数据!$D748="","",原始经营数据!$I748)</f>
        <v>13683.13</v>
      </c>
      <c r="F747" t="str">
        <f>IF(原始经营数据!$D748="","",T(原始经营数据!$J748))</f>
        <v>平方米</v>
      </c>
      <c r="G747" t="str">
        <f>IF(原始经营数据!$D748="","",T(原始经营数据!$K748))</f>
        <v/>
      </c>
      <c r="H747" t="str">
        <f>IF(原始经营数据!$D748="","",原始经营数据!$G748)</f>
        <v>服务量</v>
      </c>
      <c r="I747" t="str">
        <f>IF($A747="","",IF($B747&lt;&gt;"",$B747,IF(COUNTIFS(原始经营数据!$D$3:$D$3001,$A747,原始经营数据!$E$3:$E$3001,"",原始经营数据!$F$3:$F$3001,$C747,原始经营数据!$H$3:$H$3001,$D747,原始经营数据!$K$3:$K$3001,$G747)&gt;1,"基金整体·来源"&amp;原始经营数据!$A748,"基金整体")))</f>
        <v>华天项目</v>
      </c>
      <c r="J747" t="str">
        <f t="shared" si="168"/>
        <v>季度</v>
      </c>
      <c r="K747" t="str">
        <f t="shared" si="169"/>
        <v>期末实际出租面积（平方米）</v>
      </c>
      <c r="L747" t="str">
        <f t="shared" si="170"/>
        <v>华天项目|期末实际出租面积（平方米）|季度</v>
      </c>
      <c r="M747">
        <f>IF($A747="",0,IF(COUNTIF($L$2:$L747,$L747)=1,1,0))</f>
        <v>0</v>
      </c>
      <c r="N747">
        <f t="shared" si="171"/>
        <v>20244</v>
      </c>
      <c r="O747" t="str">
        <f t="shared" si="172"/>
        <v>嘉实物美消费封闭式基础设施证券投资基金|2024Q4|季度</v>
      </c>
      <c r="P747">
        <f>IF($A747="",0,IF(COUNTIF($O$2:$O747,$O747)=1,1,0))</f>
        <v>0</v>
      </c>
      <c r="Q747" t="str">
        <f>IF(AND($P747=1,$A747=经营数据!$B$3,$J747=经营数据!$BA$5),COUNTIFS($P$2:$P$3000,1,$A$2:$A$3000,$A747,$J$2:$J$3000,$J747,$N$2:$N$3000,"&lt;"&amp;$N747)+1,"")</f>
        <v/>
      </c>
      <c r="R747" t="str">
        <f t="shared" si="173"/>
        <v>嘉实物美消费封闭式基础设施证券投资基金|华天项目</v>
      </c>
      <c r="S747">
        <f>IF($A747="",0,IF(COUNTIF($R$2:$R747,$R747)=1,1,0))</f>
        <v>0</v>
      </c>
      <c r="T747">
        <f t="shared" si="174"/>
        <v>724</v>
      </c>
      <c r="U747" t="str">
        <f>IF($A747="","",IF($A747=经营数据!$B$3,COUNTIFS($S$2:$S$3000,1,$A$2:$A$3000,$A747,$T$2:$T$3000,"&lt;"&amp;$T747)+1,""))</f>
        <v/>
      </c>
      <c r="V747" t="str">
        <f t="shared" si="175"/>
        <v>华天项目|服务量</v>
      </c>
      <c r="W747">
        <f t="shared" si="176"/>
        <v>724</v>
      </c>
      <c r="X747" t="str">
        <f t="shared" si="177"/>
        <v>华天项目|期末实际出租面积</v>
      </c>
      <c r="Y747">
        <f t="shared" si="178"/>
        <v>726</v>
      </c>
      <c r="Z747">
        <f>IF($A747="",0,IF(AND($M747=1,$A747=经营数据!$B$3,$J747=经营数据!$BA$5,OR($I747=经营数据!$BA$4,COUNTIF(经营数据!$AA$9:$AA$38,$I747)&gt;0)),1,0))</f>
        <v>0</v>
      </c>
      <c r="AA747" t="str">
        <f t="shared" si="179"/>
        <v/>
      </c>
      <c r="AB747" t="str">
        <f t="shared" si="180"/>
        <v/>
      </c>
      <c r="AC747">
        <f>IF($A747="",0,IF(COUNTIF($A$2:$A747,$A747)=1,1,0))</f>
        <v>0</v>
      </c>
      <c r="AD747">
        <f t="shared" si="181"/>
        <v>8</v>
      </c>
      <c r="AE747" t="str">
        <f t="shared" si="182"/>
        <v>华天项目|期末实际出租面积（平方米）</v>
      </c>
    </row>
    <row r="748" spans="1:31" x14ac:dyDescent="0.4">
      <c r="A748" t="str">
        <f>IF(原始经营数据!$D749="","",原始经营数据!$D749)</f>
        <v>嘉实物美消费封闭式基础设施证券投资基金</v>
      </c>
      <c r="B748" t="str">
        <f>IF(原始经营数据!$D749="","",T(原始经营数据!$E749))</f>
        <v>华天项目</v>
      </c>
      <c r="C748" t="str">
        <f>IF(原始经营数据!$D749="","",原始经营数据!$F749)</f>
        <v>2024Q4</v>
      </c>
      <c r="D748" t="str">
        <f>IF(原始经营数据!$D749="","",原始经营数据!$H749)</f>
        <v>期末出租率</v>
      </c>
      <c r="E748">
        <f>IF(原始经营数据!$D749="","",原始经营数据!$I749)</f>
        <v>89.55</v>
      </c>
      <c r="F748" t="str">
        <f>IF(原始经营数据!$D749="","",T(原始经营数据!$J749))</f>
        <v>%</v>
      </c>
      <c r="G748" t="str">
        <f>IF(原始经营数据!$D749="","",T(原始经营数据!$K749))</f>
        <v/>
      </c>
      <c r="H748" t="str">
        <f>IF(原始经营数据!$D749="","",原始经营数据!$G749)</f>
        <v>服务效率</v>
      </c>
      <c r="I748" t="str">
        <f>IF($A748="","",IF($B748&lt;&gt;"",$B748,IF(COUNTIFS(原始经营数据!$D$3:$D$3001,$A748,原始经营数据!$E$3:$E$3001,"",原始经营数据!$F$3:$F$3001,$C748,原始经营数据!$H$3:$H$3001,$D748,原始经营数据!$K$3:$K$3001,$G748)&gt;1,"基金整体·来源"&amp;原始经营数据!$A749,"基金整体")))</f>
        <v>华天项目</v>
      </c>
      <c r="J748" t="str">
        <f t="shared" si="168"/>
        <v>季度</v>
      </c>
      <c r="K748" t="str">
        <f t="shared" si="169"/>
        <v>期末出租率（%）</v>
      </c>
      <c r="L748" t="str">
        <f t="shared" si="170"/>
        <v>华天项目|期末出租率（%）|季度</v>
      </c>
      <c r="M748">
        <f>IF($A748="",0,IF(COUNTIF($L$2:$L748,$L748)=1,1,0))</f>
        <v>0</v>
      </c>
      <c r="N748">
        <f t="shared" si="171"/>
        <v>20244</v>
      </c>
      <c r="O748" t="str">
        <f t="shared" si="172"/>
        <v>嘉实物美消费封闭式基础设施证券投资基金|2024Q4|季度</v>
      </c>
      <c r="P748">
        <f>IF($A748="",0,IF(COUNTIF($O$2:$O748,$O748)=1,1,0))</f>
        <v>0</v>
      </c>
      <c r="Q748" t="str">
        <f>IF(AND($P748=1,$A748=经营数据!$B$3,$J748=经营数据!$BA$5),COUNTIFS($P$2:$P$3000,1,$A$2:$A$3000,$A748,$J$2:$J$3000,$J748,$N$2:$N$3000,"&lt;"&amp;$N748)+1,"")</f>
        <v/>
      </c>
      <c r="R748" t="str">
        <f t="shared" si="173"/>
        <v>嘉实物美消费封闭式基础设施证券投资基金|华天项目</v>
      </c>
      <c r="S748">
        <f>IF($A748="",0,IF(COUNTIF($R$2:$R748,$R748)=1,1,0))</f>
        <v>0</v>
      </c>
      <c r="T748">
        <f t="shared" si="174"/>
        <v>724</v>
      </c>
      <c r="U748" t="str">
        <f>IF($A748="","",IF($A748=经营数据!$B$3,COUNTIFS($S$2:$S$3000,1,$A$2:$A$3000,$A748,$T$2:$T$3000,"&lt;"&amp;$T748)+1,""))</f>
        <v/>
      </c>
      <c r="V748" t="str">
        <f t="shared" si="175"/>
        <v>华天项目|服务效率</v>
      </c>
      <c r="W748">
        <f t="shared" si="176"/>
        <v>727</v>
      </c>
      <c r="X748" t="str">
        <f t="shared" si="177"/>
        <v>华天项目|期末出租率</v>
      </c>
      <c r="Y748">
        <f t="shared" si="178"/>
        <v>727</v>
      </c>
      <c r="Z748">
        <f>IF($A748="",0,IF(AND($M748=1,$A748=经营数据!$B$3,$J748=经营数据!$BA$5,OR($I748=经营数据!$BA$4,COUNTIF(经营数据!$AA$9:$AA$38,$I748)&gt;0)),1,0))</f>
        <v>0</v>
      </c>
      <c r="AA748" t="str">
        <f t="shared" si="179"/>
        <v/>
      </c>
      <c r="AB748" t="str">
        <f t="shared" si="180"/>
        <v/>
      </c>
      <c r="AC748">
        <f>IF($A748="",0,IF(COUNTIF($A$2:$A748,$A748)=1,1,0))</f>
        <v>0</v>
      </c>
      <c r="AD748">
        <f t="shared" si="181"/>
        <v>8</v>
      </c>
      <c r="AE748" t="str">
        <f t="shared" si="182"/>
        <v>华天项目|期末出租率（%）</v>
      </c>
    </row>
    <row r="749" spans="1:31" x14ac:dyDescent="0.4">
      <c r="A749" t="str">
        <f>IF(原始经营数据!$D750="","",原始经营数据!$D750)</f>
        <v>嘉实物美消费封闭式基础设施证券投资基金</v>
      </c>
      <c r="B749" t="str">
        <f>IF(原始经营数据!$D750="","",T(原始经营数据!$E750))</f>
        <v>华天项目</v>
      </c>
      <c r="C749" t="str">
        <f>IF(原始经营数据!$D750="","",原始经营数据!$F750)</f>
        <v>2025Q1</v>
      </c>
      <c r="D749" t="str">
        <f>IF(原始经营数据!$D750="","",原始经营数据!$H750)</f>
        <v>期内租金单价水平</v>
      </c>
      <c r="E749">
        <f>IF(原始经营数据!$D750="","",原始经营数据!$I750)</f>
        <v>3.44</v>
      </c>
      <c r="F749" t="str">
        <f>IF(原始经营数据!$D750="","",T(原始经营数据!$J750))</f>
        <v>元/平方米/天</v>
      </c>
      <c r="G749" t="str">
        <f>IF(原始经营数据!$D750="","",T(原始经营数据!$K750))</f>
        <v/>
      </c>
      <c r="H749" t="str">
        <f>IF(原始经营数据!$D750="","",原始经营数据!$G750)</f>
        <v>服务价格</v>
      </c>
      <c r="I749" t="str">
        <f>IF($A749="","",IF($B749&lt;&gt;"",$B749,IF(COUNTIFS(原始经营数据!$D$3:$D$3001,$A749,原始经营数据!$E$3:$E$3001,"",原始经营数据!$F$3:$F$3001,$C749,原始经营数据!$H$3:$H$3001,$D749,原始经营数据!$K$3:$K$3001,$G749)&gt;1,"基金整体·来源"&amp;原始经营数据!$A750,"基金整体")))</f>
        <v>华天项目</v>
      </c>
      <c r="J749" t="str">
        <f t="shared" si="168"/>
        <v>季度</v>
      </c>
      <c r="K749" t="str">
        <f t="shared" si="169"/>
        <v>期内租金单价水平（元/平方米/天）</v>
      </c>
      <c r="L749" t="str">
        <f t="shared" si="170"/>
        <v>华天项目|期内租金单价水平（元/平方米/天）|季度</v>
      </c>
      <c r="M749">
        <f>IF($A749="",0,IF(COUNTIF($L$2:$L749,$L749)=1,1,0))</f>
        <v>0</v>
      </c>
      <c r="N749">
        <f t="shared" si="171"/>
        <v>20251</v>
      </c>
      <c r="O749" t="str">
        <f t="shared" si="172"/>
        <v>嘉实物美消费封闭式基础设施证券投资基金|2025Q1|季度</v>
      </c>
      <c r="P749">
        <f>IF($A749="",0,IF(COUNTIF($O$2:$O749,$O749)=1,1,0))</f>
        <v>0</v>
      </c>
      <c r="Q749" t="str">
        <f>IF(AND($P749=1,$A749=经营数据!$B$3,$J749=经营数据!$BA$5),COUNTIFS($P$2:$P$3000,1,$A$2:$A$3000,$A749,$J$2:$J$3000,$J749,$N$2:$N$3000,"&lt;"&amp;$N749)+1,"")</f>
        <v/>
      </c>
      <c r="R749" t="str">
        <f t="shared" si="173"/>
        <v>嘉实物美消费封闭式基础设施证券投资基金|华天项目</v>
      </c>
      <c r="S749">
        <f>IF($A749="",0,IF(COUNTIF($R$2:$R749,$R749)=1,1,0))</f>
        <v>0</v>
      </c>
      <c r="T749">
        <f t="shared" si="174"/>
        <v>724</v>
      </c>
      <c r="U749" t="str">
        <f>IF($A749="","",IF($A749=经营数据!$B$3,COUNTIFS($S$2:$S$3000,1,$A$2:$A$3000,$A749,$T$2:$T$3000,"&lt;"&amp;$T749)+1,""))</f>
        <v/>
      </c>
      <c r="V749" t="str">
        <f t="shared" si="175"/>
        <v>华天项目|服务价格</v>
      </c>
      <c r="W749">
        <f t="shared" si="176"/>
        <v>728</v>
      </c>
      <c r="X749" t="str">
        <f t="shared" si="177"/>
        <v>华天项目|期内租金单价水平</v>
      </c>
      <c r="Y749">
        <f t="shared" si="178"/>
        <v>728</v>
      </c>
      <c r="Z749">
        <f>IF($A749="",0,IF(AND($M749=1,$A749=经营数据!$B$3,$J749=经营数据!$BA$5,OR($I749=经营数据!$BA$4,COUNTIF(经营数据!$AA$9:$AA$38,$I749)&gt;0)),1,0))</f>
        <v>0</v>
      </c>
      <c r="AA749" t="str">
        <f t="shared" si="179"/>
        <v/>
      </c>
      <c r="AB749" t="str">
        <f t="shared" si="180"/>
        <v/>
      </c>
      <c r="AC749">
        <f>IF($A749="",0,IF(COUNTIF($A$2:$A749,$A749)=1,1,0))</f>
        <v>0</v>
      </c>
      <c r="AD749">
        <f t="shared" si="181"/>
        <v>8</v>
      </c>
      <c r="AE749" t="str">
        <f t="shared" si="182"/>
        <v>华天项目|期内租金单价水平（元/平方米/天）</v>
      </c>
    </row>
    <row r="750" spans="1:31" x14ac:dyDescent="0.4">
      <c r="A750" t="str">
        <f>IF(原始经营数据!$D751="","",原始经营数据!$D751)</f>
        <v>嘉实物美消费封闭式基础设施证券投资基金</v>
      </c>
      <c r="B750" t="str">
        <f>IF(原始经营数据!$D751="","",T(原始经营数据!$E751))</f>
        <v>华天项目</v>
      </c>
      <c r="C750" t="str">
        <f>IF(原始经营数据!$D751="","",原始经营数据!$F751)</f>
        <v>2025Q1</v>
      </c>
      <c r="D750" t="str">
        <f>IF(原始经营数据!$D751="","",原始经营数据!$H751)</f>
        <v>期末剩余租期情况</v>
      </c>
      <c r="E750">
        <f>IF(原始经营数据!$D751="","",原始经营数据!$I751)</f>
        <v>6.95</v>
      </c>
      <c r="F750" t="str">
        <f>IF(原始经营数据!$D751="","",T(原始经营数据!$J751))</f>
        <v>年</v>
      </c>
      <c r="G750" t="str">
        <f>IF(原始经营数据!$D751="","",T(原始经营数据!$K751))</f>
        <v/>
      </c>
      <c r="H750" t="str">
        <f>IF(原始经营数据!$D751="","",原始经营数据!$G751)</f>
        <v>服务量</v>
      </c>
      <c r="I750" t="str">
        <f>IF($A750="","",IF($B750&lt;&gt;"",$B750,IF(COUNTIFS(原始经营数据!$D$3:$D$3001,$A750,原始经营数据!$E$3:$E$3001,"",原始经营数据!$F$3:$F$3001,$C750,原始经营数据!$H$3:$H$3001,$D750,原始经营数据!$K$3:$K$3001,$G750)&gt;1,"基金整体·来源"&amp;原始经营数据!$A751,"基金整体")))</f>
        <v>华天项目</v>
      </c>
      <c r="J750" t="str">
        <f t="shared" si="168"/>
        <v>季度</v>
      </c>
      <c r="K750" t="str">
        <f t="shared" si="169"/>
        <v>期末剩余租期情况（年）</v>
      </c>
      <c r="L750" t="str">
        <f t="shared" si="170"/>
        <v>华天项目|期末剩余租期情况（年）|季度</v>
      </c>
      <c r="M750">
        <f>IF($A750="",0,IF(COUNTIF($L$2:$L750,$L750)=1,1,0))</f>
        <v>0</v>
      </c>
      <c r="N750">
        <f t="shared" si="171"/>
        <v>20251</v>
      </c>
      <c r="O750" t="str">
        <f t="shared" si="172"/>
        <v>嘉实物美消费封闭式基础设施证券投资基金|2025Q1|季度</v>
      </c>
      <c r="P750">
        <f>IF($A750="",0,IF(COUNTIF($O$2:$O750,$O750)=1,1,0))</f>
        <v>0</v>
      </c>
      <c r="Q750" t="str">
        <f>IF(AND($P750=1,$A750=经营数据!$B$3,$J750=经营数据!$BA$5),COUNTIFS($P$2:$P$3000,1,$A$2:$A$3000,$A750,$J$2:$J$3000,$J750,$N$2:$N$3000,"&lt;"&amp;$N750)+1,"")</f>
        <v/>
      </c>
      <c r="R750" t="str">
        <f t="shared" si="173"/>
        <v>嘉实物美消费封闭式基础设施证券投资基金|华天项目</v>
      </c>
      <c r="S750">
        <f>IF($A750="",0,IF(COUNTIF($R$2:$R750,$R750)=1,1,0))</f>
        <v>0</v>
      </c>
      <c r="T750">
        <f t="shared" si="174"/>
        <v>724</v>
      </c>
      <c r="U750" t="str">
        <f>IF($A750="","",IF($A750=经营数据!$B$3,COUNTIFS($S$2:$S$3000,1,$A$2:$A$3000,$A750,$T$2:$T$3000,"&lt;"&amp;$T750)+1,""))</f>
        <v/>
      </c>
      <c r="V750" t="str">
        <f t="shared" si="175"/>
        <v>华天项目|服务量</v>
      </c>
      <c r="W750">
        <f t="shared" si="176"/>
        <v>724</v>
      </c>
      <c r="X750" t="str">
        <f t="shared" si="177"/>
        <v>华天项目|期末剩余租期情况</v>
      </c>
      <c r="Y750">
        <f t="shared" si="178"/>
        <v>724</v>
      </c>
      <c r="Z750">
        <f>IF($A750="",0,IF(AND($M750=1,$A750=经营数据!$B$3,$J750=经营数据!$BA$5,OR($I750=经营数据!$BA$4,COUNTIF(经营数据!$AA$9:$AA$38,$I750)&gt;0)),1,0))</f>
        <v>0</v>
      </c>
      <c r="AA750" t="str">
        <f t="shared" si="179"/>
        <v/>
      </c>
      <c r="AB750" t="str">
        <f t="shared" si="180"/>
        <v/>
      </c>
      <c r="AC750">
        <f>IF($A750="",0,IF(COUNTIF($A$2:$A750,$A750)=1,1,0))</f>
        <v>0</v>
      </c>
      <c r="AD750">
        <f t="shared" si="181"/>
        <v>8</v>
      </c>
      <c r="AE750" t="str">
        <f t="shared" si="182"/>
        <v>华天项目|期末剩余租期情况（年）</v>
      </c>
    </row>
    <row r="751" spans="1:31" x14ac:dyDescent="0.4">
      <c r="A751" t="str">
        <f>IF(原始经营数据!$D752="","",原始经营数据!$D752)</f>
        <v>嘉实物美消费封闭式基础设施证券投资基金</v>
      </c>
      <c r="B751" t="str">
        <f>IF(原始经营数据!$D752="","",T(原始经营数据!$E752))</f>
        <v>华天项目</v>
      </c>
      <c r="C751" t="str">
        <f>IF(原始经营数据!$D752="","",原始经营数据!$F752)</f>
        <v>2025Q1</v>
      </c>
      <c r="D751" t="str">
        <f>IF(原始经营数据!$D752="","",原始经营数据!$H752)</f>
        <v>期末租金收缴率</v>
      </c>
      <c r="E751">
        <f>IF(原始经营数据!$D752="","",原始经营数据!$I752)</f>
        <v>97.57</v>
      </c>
      <c r="F751" t="str">
        <f>IF(原始经营数据!$D752="","",T(原始经营数据!$J752))</f>
        <v>%</v>
      </c>
      <c r="G751" t="str">
        <f>IF(原始经营数据!$D752="","",T(原始经营数据!$K752))</f>
        <v/>
      </c>
      <c r="H751" t="str">
        <f>IF(原始经营数据!$D752="","",原始经营数据!$G752)</f>
        <v>服务效率</v>
      </c>
      <c r="I751" t="str">
        <f>IF($A751="","",IF($B751&lt;&gt;"",$B751,IF(COUNTIFS(原始经营数据!$D$3:$D$3001,$A751,原始经营数据!$E$3:$E$3001,"",原始经营数据!$F$3:$F$3001,$C751,原始经营数据!$H$3:$H$3001,$D751,原始经营数据!$K$3:$K$3001,$G751)&gt;1,"基金整体·来源"&amp;原始经营数据!$A752,"基金整体")))</f>
        <v>华天项目</v>
      </c>
      <c r="J751" t="str">
        <f t="shared" si="168"/>
        <v>季度</v>
      </c>
      <c r="K751" t="str">
        <f t="shared" si="169"/>
        <v>期末租金收缴率（%）</v>
      </c>
      <c r="L751" t="str">
        <f t="shared" si="170"/>
        <v>华天项目|期末租金收缴率（%）|季度</v>
      </c>
      <c r="M751">
        <f>IF($A751="",0,IF(COUNTIF($L$2:$L751,$L751)=1,1,0))</f>
        <v>0</v>
      </c>
      <c r="N751">
        <f t="shared" si="171"/>
        <v>20251</v>
      </c>
      <c r="O751" t="str">
        <f t="shared" si="172"/>
        <v>嘉实物美消费封闭式基础设施证券投资基金|2025Q1|季度</v>
      </c>
      <c r="P751">
        <f>IF($A751="",0,IF(COUNTIF($O$2:$O751,$O751)=1,1,0))</f>
        <v>0</v>
      </c>
      <c r="Q751" t="str">
        <f>IF(AND($P751=1,$A751=经营数据!$B$3,$J751=经营数据!$BA$5),COUNTIFS($P$2:$P$3000,1,$A$2:$A$3000,$A751,$J$2:$J$3000,$J751,$N$2:$N$3000,"&lt;"&amp;$N751)+1,"")</f>
        <v/>
      </c>
      <c r="R751" t="str">
        <f t="shared" si="173"/>
        <v>嘉实物美消费封闭式基础设施证券投资基金|华天项目</v>
      </c>
      <c r="S751">
        <f>IF($A751="",0,IF(COUNTIF($R$2:$R751,$R751)=1,1,0))</f>
        <v>0</v>
      </c>
      <c r="T751">
        <f t="shared" si="174"/>
        <v>724</v>
      </c>
      <c r="U751" t="str">
        <f>IF($A751="","",IF($A751=经营数据!$B$3,COUNTIFS($S$2:$S$3000,1,$A$2:$A$3000,$A751,$T$2:$T$3000,"&lt;"&amp;$T751)+1,""))</f>
        <v/>
      </c>
      <c r="V751" t="str">
        <f t="shared" si="175"/>
        <v>华天项目|服务效率</v>
      </c>
      <c r="W751">
        <f t="shared" si="176"/>
        <v>727</v>
      </c>
      <c r="X751" t="str">
        <f t="shared" si="177"/>
        <v>华天项目|期末租金收缴率</v>
      </c>
      <c r="Y751">
        <f t="shared" si="178"/>
        <v>729</v>
      </c>
      <c r="Z751">
        <f>IF($A751="",0,IF(AND($M751=1,$A751=经营数据!$B$3,$J751=经营数据!$BA$5,OR($I751=经营数据!$BA$4,COUNTIF(经营数据!$AA$9:$AA$38,$I751)&gt;0)),1,0))</f>
        <v>0</v>
      </c>
      <c r="AA751" t="str">
        <f t="shared" si="179"/>
        <v/>
      </c>
      <c r="AB751" t="str">
        <f t="shared" si="180"/>
        <v/>
      </c>
      <c r="AC751">
        <f>IF($A751="",0,IF(COUNTIF($A$2:$A751,$A751)=1,1,0))</f>
        <v>0</v>
      </c>
      <c r="AD751">
        <f t="shared" si="181"/>
        <v>8</v>
      </c>
      <c r="AE751" t="str">
        <f t="shared" si="182"/>
        <v>华天项目|期末租金收缴率（%）</v>
      </c>
    </row>
    <row r="752" spans="1:31" x14ac:dyDescent="0.4">
      <c r="A752" t="str">
        <f>IF(原始经营数据!$D753="","",原始经营数据!$D753)</f>
        <v>嘉实物美消费封闭式基础设施证券投资基金</v>
      </c>
      <c r="B752" t="str">
        <f>IF(原始经营数据!$D753="","",T(原始经营数据!$E753))</f>
        <v>华天项目</v>
      </c>
      <c r="C752" t="str">
        <f>IF(原始经营数据!$D753="","",原始经营数据!$F753)</f>
        <v>2025Q1</v>
      </c>
      <c r="D752" t="str">
        <f>IF(原始经营数据!$D753="","",原始经营数据!$H753)</f>
        <v>期末出租率</v>
      </c>
      <c r="E752">
        <f>IF(原始经营数据!$D753="","",原始经营数据!$I753)</f>
        <v>90.41</v>
      </c>
      <c r="F752" t="str">
        <f>IF(原始经营数据!$D753="","",T(原始经营数据!$J753))</f>
        <v>%</v>
      </c>
      <c r="G752" t="str">
        <f>IF(原始经营数据!$D753="","",T(原始经营数据!$K753))</f>
        <v/>
      </c>
      <c r="H752" t="str">
        <f>IF(原始经营数据!$D753="","",原始经营数据!$G753)</f>
        <v>服务效率</v>
      </c>
      <c r="I752" t="str">
        <f>IF($A752="","",IF($B752&lt;&gt;"",$B752,IF(COUNTIFS(原始经营数据!$D$3:$D$3001,$A752,原始经营数据!$E$3:$E$3001,"",原始经营数据!$F$3:$F$3001,$C752,原始经营数据!$H$3:$H$3001,$D752,原始经营数据!$K$3:$K$3001,$G752)&gt;1,"基金整体·来源"&amp;原始经营数据!$A753,"基金整体")))</f>
        <v>华天项目</v>
      </c>
      <c r="J752" t="str">
        <f t="shared" si="168"/>
        <v>季度</v>
      </c>
      <c r="K752" t="str">
        <f t="shared" si="169"/>
        <v>期末出租率（%）</v>
      </c>
      <c r="L752" t="str">
        <f t="shared" si="170"/>
        <v>华天项目|期末出租率（%）|季度</v>
      </c>
      <c r="M752">
        <f>IF($A752="",0,IF(COUNTIF($L$2:$L752,$L752)=1,1,0))</f>
        <v>0</v>
      </c>
      <c r="N752">
        <f t="shared" si="171"/>
        <v>20251</v>
      </c>
      <c r="O752" t="str">
        <f t="shared" si="172"/>
        <v>嘉实物美消费封闭式基础设施证券投资基金|2025Q1|季度</v>
      </c>
      <c r="P752">
        <f>IF($A752="",0,IF(COUNTIF($O$2:$O752,$O752)=1,1,0))</f>
        <v>0</v>
      </c>
      <c r="Q752" t="str">
        <f>IF(AND($P752=1,$A752=经营数据!$B$3,$J752=经营数据!$BA$5),COUNTIFS($P$2:$P$3000,1,$A$2:$A$3000,$A752,$J$2:$J$3000,$J752,$N$2:$N$3000,"&lt;"&amp;$N752)+1,"")</f>
        <v/>
      </c>
      <c r="R752" t="str">
        <f t="shared" si="173"/>
        <v>嘉实物美消费封闭式基础设施证券投资基金|华天项目</v>
      </c>
      <c r="S752">
        <f>IF($A752="",0,IF(COUNTIF($R$2:$R752,$R752)=1,1,0))</f>
        <v>0</v>
      </c>
      <c r="T752">
        <f t="shared" si="174"/>
        <v>724</v>
      </c>
      <c r="U752" t="str">
        <f>IF($A752="","",IF($A752=经营数据!$B$3,COUNTIFS($S$2:$S$3000,1,$A$2:$A$3000,$A752,$T$2:$T$3000,"&lt;"&amp;$T752)+1,""))</f>
        <v/>
      </c>
      <c r="V752" t="str">
        <f t="shared" si="175"/>
        <v>华天项目|服务效率</v>
      </c>
      <c r="W752">
        <f t="shared" si="176"/>
        <v>727</v>
      </c>
      <c r="X752" t="str">
        <f t="shared" si="177"/>
        <v>华天项目|期末出租率</v>
      </c>
      <c r="Y752">
        <f t="shared" si="178"/>
        <v>727</v>
      </c>
      <c r="Z752">
        <f>IF($A752="",0,IF(AND($M752=1,$A752=经营数据!$B$3,$J752=经营数据!$BA$5,OR($I752=经营数据!$BA$4,COUNTIF(经营数据!$AA$9:$AA$38,$I752)&gt;0)),1,0))</f>
        <v>0</v>
      </c>
      <c r="AA752" t="str">
        <f t="shared" si="179"/>
        <v/>
      </c>
      <c r="AB752" t="str">
        <f t="shared" si="180"/>
        <v/>
      </c>
      <c r="AC752">
        <f>IF($A752="",0,IF(COUNTIF($A$2:$A752,$A752)=1,1,0))</f>
        <v>0</v>
      </c>
      <c r="AD752">
        <f t="shared" si="181"/>
        <v>8</v>
      </c>
      <c r="AE752" t="str">
        <f t="shared" si="182"/>
        <v>华天项目|期末出租率（%）</v>
      </c>
    </row>
    <row r="753" spans="1:31" x14ac:dyDescent="0.4">
      <c r="A753" t="str">
        <f>IF(原始经营数据!$D754="","",原始经营数据!$D754)</f>
        <v>嘉实物美消费封闭式基础设施证券投资基金</v>
      </c>
      <c r="B753" t="str">
        <f>IF(原始经营数据!$D754="","",T(原始经营数据!$E754))</f>
        <v>华天项目</v>
      </c>
      <c r="C753" t="str">
        <f>IF(原始经营数据!$D754="","",原始经营数据!$F754)</f>
        <v>2025Q1</v>
      </c>
      <c r="D753" t="str">
        <f>IF(原始经营数据!$D754="","",原始经营数据!$H754)</f>
        <v>期末实际出租面积</v>
      </c>
      <c r="E753">
        <f>IF(原始经营数据!$D754="","",原始经营数据!$I754)</f>
        <v>13815.41</v>
      </c>
      <c r="F753" t="str">
        <f>IF(原始经营数据!$D754="","",T(原始经营数据!$J754))</f>
        <v>平方米</v>
      </c>
      <c r="G753" t="str">
        <f>IF(原始经营数据!$D754="","",T(原始经营数据!$K754))</f>
        <v/>
      </c>
      <c r="H753" t="str">
        <f>IF(原始经营数据!$D754="","",原始经营数据!$G754)</f>
        <v>服务量</v>
      </c>
      <c r="I753" t="str">
        <f>IF($A753="","",IF($B753&lt;&gt;"",$B753,IF(COUNTIFS(原始经营数据!$D$3:$D$3001,$A753,原始经营数据!$E$3:$E$3001,"",原始经营数据!$F$3:$F$3001,$C753,原始经营数据!$H$3:$H$3001,$D753,原始经营数据!$K$3:$K$3001,$G753)&gt;1,"基金整体·来源"&amp;原始经营数据!$A754,"基金整体")))</f>
        <v>华天项目</v>
      </c>
      <c r="J753" t="str">
        <f t="shared" si="168"/>
        <v>季度</v>
      </c>
      <c r="K753" t="str">
        <f t="shared" si="169"/>
        <v>期末实际出租面积（平方米）</v>
      </c>
      <c r="L753" t="str">
        <f t="shared" si="170"/>
        <v>华天项目|期末实际出租面积（平方米）|季度</v>
      </c>
      <c r="M753">
        <f>IF($A753="",0,IF(COUNTIF($L$2:$L753,$L753)=1,1,0))</f>
        <v>0</v>
      </c>
      <c r="N753">
        <f t="shared" si="171"/>
        <v>20251</v>
      </c>
      <c r="O753" t="str">
        <f t="shared" si="172"/>
        <v>嘉实物美消费封闭式基础设施证券投资基金|2025Q1|季度</v>
      </c>
      <c r="P753">
        <f>IF($A753="",0,IF(COUNTIF($O$2:$O753,$O753)=1,1,0))</f>
        <v>0</v>
      </c>
      <c r="Q753" t="str">
        <f>IF(AND($P753=1,$A753=经营数据!$B$3,$J753=经营数据!$BA$5),COUNTIFS($P$2:$P$3000,1,$A$2:$A$3000,$A753,$J$2:$J$3000,$J753,$N$2:$N$3000,"&lt;"&amp;$N753)+1,"")</f>
        <v/>
      </c>
      <c r="R753" t="str">
        <f t="shared" si="173"/>
        <v>嘉实物美消费封闭式基础设施证券投资基金|华天项目</v>
      </c>
      <c r="S753">
        <f>IF($A753="",0,IF(COUNTIF($R$2:$R753,$R753)=1,1,0))</f>
        <v>0</v>
      </c>
      <c r="T753">
        <f t="shared" si="174"/>
        <v>724</v>
      </c>
      <c r="U753" t="str">
        <f>IF($A753="","",IF($A753=经营数据!$B$3,COUNTIFS($S$2:$S$3000,1,$A$2:$A$3000,$A753,$T$2:$T$3000,"&lt;"&amp;$T753)+1,""))</f>
        <v/>
      </c>
      <c r="V753" t="str">
        <f t="shared" si="175"/>
        <v>华天项目|服务量</v>
      </c>
      <c r="W753">
        <f t="shared" si="176"/>
        <v>724</v>
      </c>
      <c r="X753" t="str">
        <f t="shared" si="177"/>
        <v>华天项目|期末实际出租面积</v>
      </c>
      <c r="Y753">
        <f t="shared" si="178"/>
        <v>726</v>
      </c>
      <c r="Z753">
        <f>IF($A753="",0,IF(AND($M753=1,$A753=经营数据!$B$3,$J753=经营数据!$BA$5,OR($I753=经营数据!$BA$4,COUNTIF(经营数据!$AA$9:$AA$38,$I753)&gt;0)),1,0))</f>
        <v>0</v>
      </c>
      <c r="AA753" t="str">
        <f t="shared" si="179"/>
        <v/>
      </c>
      <c r="AB753" t="str">
        <f t="shared" si="180"/>
        <v/>
      </c>
      <c r="AC753">
        <f>IF($A753="",0,IF(COUNTIF($A$2:$A753,$A753)=1,1,0))</f>
        <v>0</v>
      </c>
      <c r="AD753">
        <f t="shared" si="181"/>
        <v>8</v>
      </c>
      <c r="AE753" t="str">
        <f t="shared" si="182"/>
        <v>华天项目|期末实际出租面积（平方米）</v>
      </c>
    </row>
    <row r="754" spans="1:31" x14ac:dyDescent="0.4">
      <c r="A754" t="str">
        <f>IF(原始经营数据!$D755="","",原始经营数据!$D755)</f>
        <v>嘉实物美消费封闭式基础设施证券投资基金</v>
      </c>
      <c r="B754" t="str">
        <f>IF(原始经营数据!$D755="","",T(原始经营数据!$E755))</f>
        <v>华天项目</v>
      </c>
      <c r="C754" t="str">
        <f>IF(原始经营数据!$D755="","",原始经营数据!$F755)</f>
        <v>2025Q1</v>
      </c>
      <c r="D754" t="str">
        <f>IF(原始经营数据!$D755="","",原始经营数据!$H755)</f>
        <v>期末可供出租面积</v>
      </c>
      <c r="E754">
        <f>IF(原始经营数据!$D755="","",原始经营数据!$I755)</f>
        <v>15280.73</v>
      </c>
      <c r="F754" t="str">
        <f>IF(原始经营数据!$D755="","",T(原始经营数据!$J755))</f>
        <v>平方米</v>
      </c>
      <c r="G754" t="str">
        <f>IF(原始经营数据!$D755="","",T(原始经营数据!$K755))</f>
        <v/>
      </c>
      <c r="H754" t="str">
        <f>IF(原始经营数据!$D755="","",原始经营数据!$G755)</f>
        <v>服务量</v>
      </c>
      <c r="I754" t="str">
        <f>IF($A754="","",IF($B754&lt;&gt;"",$B754,IF(COUNTIFS(原始经营数据!$D$3:$D$3001,$A754,原始经营数据!$E$3:$E$3001,"",原始经营数据!$F$3:$F$3001,$C754,原始经营数据!$H$3:$H$3001,$D754,原始经营数据!$K$3:$K$3001,$G754)&gt;1,"基金整体·来源"&amp;原始经营数据!$A755,"基金整体")))</f>
        <v>华天项目</v>
      </c>
      <c r="J754" t="str">
        <f t="shared" si="168"/>
        <v>季度</v>
      </c>
      <c r="K754" t="str">
        <f t="shared" si="169"/>
        <v>期末可供出租面积（平方米）</v>
      </c>
      <c r="L754" t="str">
        <f t="shared" si="170"/>
        <v>华天项目|期末可供出租面积（平方米）|季度</v>
      </c>
      <c r="M754">
        <f>IF($A754="",0,IF(COUNTIF($L$2:$L754,$L754)=1,1,0))</f>
        <v>0</v>
      </c>
      <c r="N754">
        <f t="shared" si="171"/>
        <v>20251</v>
      </c>
      <c r="O754" t="str">
        <f t="shared" si="172"/>
        <v>嘉实物美消费封闭式基础设施证券投资基金|2025Q1|季度</v>
      </c>
      <c r="P754">
        <f>IF($A754="",0,IF(COUNTIF($O$2:$O754,$O754)=1,1,0))</f>
        <v>0</v>
      </c>
      <c r="Q754" t="str">
        <f>IF(AND($P754=1,$A754=经营数据!$B$3,$J754=经营数据!$BA$5),COUNTIFS($P$2:$P$3000,1,$A$2:$A$3000,$A754,$J$2:$J$3000,$J754,$N$2:$N$3000,"&lt;"&amp;$N754)+1,"")</f>
        <v/>
      </c>
      <c r="R754" t="str">
        <f t="shared" si="173"/>
        <v>嘉实物美消费封闭式基础设施证券投资基金|华天项目</v>
      </c>
      <c r="S754">
        <f>IF($A754="",0,IF(COUNTIF($R$2:$R754,$R754)=1,1,0))</f>
        <v>0</v>
      </c>
      <c r="T754">
        <f t="shared" si="174"/>
        <v>724</v>
      </c>
      <c r="U754" t="str">
        <f>IF($A754="","",IF($A754=经营数据!$B$3,COUNTIFS($S$2:$S$3000,1,$A$2:$A$3000,$A754,$T$2:$T$3000,"&lt;"&amp;$T754)+1,""))</f>
        <v/>
      </c>
      <c r="V754" t="str">
        <f t="shared" si="175"/>
        <v>华天项目|服务量</v>
      </c>
      <c r="W754">
        <f t="shared" si="176"/>
        <v>724</v>
      </c>
      <c r="X754" t="str">
        <f t="shared" si="177"/>
        <v>华天项目|期末可供出租面积</v>
      </c>
      <c r="Y754">
        <f t="shared" si="178"/>
        <v>725</v>
      </c>
      <c r="Z754">
        <f>IF($A754="",0,IF(AND($M754=1,$A754=经营数据!$B$3,$J754=经营数据!$BA$5,OR($I754=经营数据!$BA$4,COUNTIF(经营数据!$AA$9:$AA$38,$I754)&gt;0)),1,0))</f>
        <v>0</v>
      </c>
      <c r="AA754" t="str">
        <f t="shared" si="179"/>
        <v/>
      </c>
      <c r="AB754" t="str">
        <f t="shared" si="180"/>
        <v/>
      </c>
      <c r="AC754">
        <f>IF($A754="",0,IF(COUNTIF($A$2:$A754,$A754)=1,1,0))</f>
        <v>0</v>
      </c>
      <c r="AD754">
        <f t="shared" si="181"/>
        <v>8</v>
      </c>
      <c r="AE754" t="str">
        <f t="shared" si="182"/>
        <v>华天项目|期末可供出租面积（平方米）</v>
      </c>
    </row>
    <row r="755" spans="1:31" x14ac:dyDescent="0.4">
      <c r="A755" t="str">
        <f>IF(原始经营数据!$D756="","",原始经营数据!$D756)</f>
        <v>嘉实物美消费封闭式基础设施证券投资基金</v>
      </c>
      <c r="B755" t="str">
        <f>IF(原始经营数据!$D756="","",T(原始经营数据!$E756))</f>
        <v>华天项目</v>
      </c>
      <c r="C755" t="str">
        <f>IF(原始经营数据!$D756="","",原始经营数据!$F756)</f>
        <v>2025Q2</v>
      </c>
      <c r="D755" t="str">
        <f>IF(原始经营数据!$D756="","",原始经营数据!$H756)</f>
        <v>期末可供出租面积</v>
      </c>
      <c r="E755">
        <f>IF(原始经营数据!$D756="","",原始经营数据!$I756)</f>
        <v>15280.73</v>
      </c>
      <c r="F755" t="str">
        <f>IF(原始经营数据!$D756="","",T(原始经营数据!$J756))</f>
        <v>平方米</v>
      </c>
      <c r="G755" t="str">
        <f>IF(原始经营数据!$D756="","",T(原始经营数据!$K756))</f>
        <v/>
      </c>
      <c r="H755" t="str">
        <f>IF(原始经营数据!$D756="","",原始经营数据!$G756)</f>
        <v>服务量</v>
      </c>
      <c r="I755" t="str">
        <f>IF($A755="","",IF($B755&lt;&gt;"",$B755,IF(COUNTIFS(原始经营数据!$D$3:$D$3001,$A755,原始经营数据!$E$3:$E$3001,"",原始经营数据!$F$3:$F$3001,$C755,原始经营数据!$H$3:$H$3001,$D755,原始经营数据!$K$3:$K$3001,$G755)&gt;1,"基金整体·来源"&amp;原始经营数据!$A756,"基金整体")))</f>
        <v>华天项目</v>
      </c>
      <c r="J755" t="str">
        <f t="shared" si="168"/>
        <v>季度</v>
      </c>
      <c r="K755" t="str">
        <f t="shared" si="169"/>
        <v>期末可供出租面积（平方米）</v>
      </c>
      <c r="L755" t="str">
        <f t="shared" si="170"/>
        <v>华天项目|期末可供出租面积（平方米）|季度</v>
      </c>
      <c r="M755">
        <f>IF($A755="",0,IF(COUNTIF($L$2:$L755,$L755)=1,1,0))</f>
        <v>0</v>
      </c>
      <c r="N755">
        <f t="shared" si="171"/>
        <v>20252</v>
      </c>
      <c r="O755" t="str">
        <f t="shared" si="172"/>
        <v>嘉实物美消费封闭式基础设施证券投资基金|2025Q2|季度</v>
      </c>
      <c r="P755">
        <f>IF($A755="",0,IF(COUNTIF($O$2:$O755,$O755)=1,1,0))</f>
        <v>0</v>
      </c>
      <c r="Q755" t="str">
        <f>IF(AND($P755=1,$A755=经营数据!$B$3,$J755=经营数据!$BA$5),COUNTIFS($P$2:$P$3000,1,$A$2:$A$3000,$A755,$J$2:$J$3000,$J755,$N$2:$N$3000,"&lt;"&amp;$N755)+1,"")</f>
        <v/>
      </c>
      <c r="R755" t="str">
        <f t="shared" si="173"/>
        <v>嘉实物美消费封闭式基础设施证券投资基金|华天项目</v>
      </c>
      <c r="S755">
        <f>IF($A755="",0,IF(COUNTIF($R$2:$R755,$R755)=1,1,0))</f>
        <v>0</v>
      </c>
      <c r="T755">
        <f t="shared" si="174"/>
        <v>724</v>
      </c>
      <c r="U755" t="str">
        <f>IF($A755="","",IF($A755=经营数据!$B$3,COUNTIFS($S$2:$S$3000,1,$A$2:$A$3000,$A755,$T$2:$T$3000,"&lt;"&amp;$T755)+1,""))</f>
        <v/>
      </c>
      <c r="V755" t="str">
        <f t="shared" si="175"/>
        <v>华天项目|服务量</v>
      </c>
      <c r="W755">
        <f t="shared" si="176"/>
        <v>724</v>
      </c>
      <c r="X755" t="str">
        <f t="shared" si="177"/>
        <v>华天项目|期末可供出租面积</v>
      </c>
      <c r="Y755">
        <f t="shared" si="178"/>
        <v>725</v>
      </c>
      <c r="Z755">
        <f>IF($A755="",0,IF(AND($M755=1,$A755=经营数据!$B$3,$J755=经营数据!$BA$5,OR($I755=经营数据!$BA$4,COUNTIF(经营数据!$AA$9:$AA$38,$I755)&gt;0)),1,0))</f>
        <v>0</v>
      </c>
      <c r="AA755" t="str">
        <f t="shared" si="179"/>
        <v/>
      </c>
      <c r="AB755" t="str">
        <f t="shared" si="180"/>
        <v/>
      </c>
      <c r="AC755">
        <f>IF($A755="",0,IF(COUNTIF($A$2:$A755,$A755)=1,1,0))</f>
        <v>0</v>
      </c>
      <c r="AD755">
        <f t="shared" si="181"/>
        <v>8</v>
      </c>
      <c r="AE755" t="str">
        <f t="shared" si="182"/>
        <v>华天项目|期末可供出租面积（平方米）</v>
      </c>
    </row>
    <row r="756" spans="1:31" x14ac:dyDescent="0.4">
      <c r="A756" t="str">
        <f>IF(原始经营数据!$D757="","",原始经营数据!$D757)</f>
        <v>嘉实物美消费封闭式基础设施证券投资基金</v>
      </c>
      <c r="B756" t="str">
        <f>IF(原始经营数据!$D757="","",T(原始经营数据!$E757))</f>
        <v>华天项目</v>
      </c>
      <c r="C756" t="str">
        <f>IF(原始经营数据!$D757="","",原始经营数据!$F757)</f>
        <v>2025Q2</v>
      </c>
      <c r="D756" t="str">
        <f>IF(原始经营数据!$D757="","",原始经营数据!$H757)</f>
        <v>期末实际出租面积</v>
      </c>
      <c r="E756">
        <f>IF(原始经营数据!$D757="","",原始经营数据!$I757)</f>
        <v>13932.14</v>
      </c>
      <c r="F756" t="str">
        <f>IF(原始经营数据!$D757="","",T(原始经营数据!$J757))</f>
        <v>平方米</v>
      </c>
      <c r="G756" t="str">
        <f>IF(原始经营数据!$D757="","",T(原始经营数据!$K757))</f>
        <v/>
      </c>
      <c r="H756" t="str">
        <f>IF(原始经营数据!$D757="","",原始经营数据!$G757)</f>
        <v>服务量</v>
      </c>
      <c r="I756" t="str">
        <f>IF($A756="","",IF($B756&lt;&gt;"",$B756,IF(COUNTIFS(原始经营数据!$D$3:$D$3001,$A756,原始经营数据!$E$3:$E$3001,"",原始经营数据!$F$3:$F$3001,$C756,原始经营数据!$H$3:$H$3001,$D756,原始经营数据!$K$3:$K$3001,$G756)&gt;1,"基金整体·来源"&amp;原始经营数据!$A757,"基金整体")))</f>
        <v>华天项目</v>
      </c>
      <c r="J756" t="str">
        <f t="shared" si="168"/>
        <v>季度</v>
      </c>
      <c r="K756" t="str">
        <f t="shared" si="169"/>
        <v>期末实际出租面积（平方米）</v>
      </c>
      <c r="L756" t="str">
        <f t="shared" si="170"/>
        <v>华天项目|期末实际出租面积（平方米）|季度</v>
      </c>
      <c r="M756">
        <f>IF($A756="",0,IF(COUNTIF($L$2:$L756,$L756)=1,1,0))</f>
        <v>0</v>
      </c>
      <c r="N756">
        <f t="shared" si="171"/>
        <v>20252</v>
      </c>
      <c r="O756" t="str">
        <f t="shared" si="172"/>
        <v>嘉实物美消费封闭式基础设施证券投资基金|2025Q2|季度</v>
      </c>
      <c r="P756">
        <f>IF($A756="",0,IF(COUNTIF($O$2:$O756,$O756)=1,1,0))</f>
        <v>0</v>
      </c>
      <c r="Q756" t="str">
        <f>IF(AND($P756=1,$A756=经营数据!$B$3,$J756=经营数据!$BA$5),COUNTIFS($P$2:$P$3000,1,$A$2:$A$3000,$A756,$J$2:$J$3000,$J756,$N$2:$N$3000,"&lt;"&amp;$N756)+1,"")</f>
        <v/>
      </c>
      <c r="R756" t="str">
        <f t="shared" si="173"/>
        <v>嘉实物美消费封闭式基础设施证券投资基金|华天项目</v>
      </c>
      <c r="S756">
        <f>IF($A756="",0,IF(COUNTIF($R$2:$R756,$R756)=1,1,0))</f>
        <v>0</v>
      </c>
      <c r="T756">
        <f t="shared" si="174"/>
        <v>724</v>
      </c>
      <c r="U756" t="str">
        <f>IF($A756="","",IF($A756=经营数据!$B$3,COUNTIFS($S$2:$S$3000,1,$A$2:$A$3000,$A756,$T$2:$T$3000,"&lt;"&amp;$T756)+1,""))</f>
        <v/>
      </c>
      <c r="V756" t="str">
        <f t="shared" si="175"/>
        <v>华天项目|服务量</v>
      </c>
      <c r="W756">
        <f t="shared" si="176"/>
        <v>724</v>
      </c>
      <c r="X756" t="str">
        <f t="shared" si="177"/>
        <v>华天项目|期末实际出租面积</v>
      </c>
      <c r="Y756">
        <f t="shared" si="178"/>
        <v>726</v>
      </c>
      <c r="Z756">
        <f>IF($A756="",0,IF(AND($M756=1,$A756=经营数据!$B$3,$J756=经营数据!$BA$5,OR($I756=经营数据!$BA$4,COUNTIF(经营数据!$AA$9:$AA$38,$I756)&gt;0)),1,0))</f>
        <v>0</v>
      </c>
      <c r="AA756" t="str">
        <f t="shared" si="179"/>
        <v/>
      </c>
      <c r="AB756" t="str">
        <f t="shared" si="180"/>
        <v/>
      </c>
      <c r="AC756">
        <f>IF($A756="",0,IF(COUNTIF($A$2:$A756,$A756)=1,1,0))</f>
        <v>0</v>
      </c>
      <c r="AD756">
        <f t="shared" si="181"/>
        <v>8</v>
      </c>
      <c r="AE756" t="str">
        <f t="shared" si="182"/>
        <v>华天项目|期末实际出租面积（平方米）</v>
      </c>
    </row>
    <row r="757" spans="1:31" x14ac:dyDescent="0.4">
      <c r="A757" t="str">
        <f>IF(原始经营数据!$D758="","",原始经营数据!$D758)</f>
        <v>嘉实物美消费封闭式基础设施证券投资基金</v>
      </c>
      <c r="B757" t="str">
        <f>IF(原始经营数据!$D758="","",T(原始经营数据!$E758))</f>
        <v>华天项目</v>
      </c>
      <c r="C757" t="str">
        <f>IF(原始经营数据!$D758="","",原始经营数据!$F758)</f>
        <v>2025Q2</v>
      </c>
      <c r="D757" t="str">
        <f>IF(原始经营数据!$D758="","",原始经营数据!$H758)</f>
        <v>期末出租率</v>
      </c>
      <c r="E757">
        <f>IF(原始经营数据!$D758="","",原始经营数据!$I758)</f>
        <v>91.17</v>
      </c>
      <c r="F757" t="str">
        <f>IF(原始经营数据!$D758="","",T(原始经营数据!$J758))</f>
        <v>%</v>
      </c>
      <c r="G757" t="str">
        <f>IF(原始经营数据!$D758="","",T(原始经营数据!$K758))</f>
        <v/>
      </c>
      <c r="H757" t="str">
        <f>IF(原始经营数据!$D758="","",原始经营数据!$G758)</f>
        <v>服务效率</v>
      </c>
      <c r="I757" t="str">
        <f>IF($A757="","",IF($B757&lt;&gt;"",$B757,IF(COUNTIFS(原始经营数据!$D$3:$D$3001,$A757,原始经营数据!$E$3:$E$3001,"",原始经营数据!$F$3:$F$3001,$C757,原始经营数据!$H$3:$H$3001,$D757,原始经营数据!$K$3:$K$3001,$G757)&gt;1,"基金整体·来源"&amp;原始经营数据!$A758,"基金整体")))</f>
        <v>华天项目</v>
      </c>
      <c r="J757" t="str">
        <f t="shared" si="168"/>
        <v>季度</v>
      </c>
      <c r="K757" t="str">
        <f t="shared" si="169"/>
        <v>期末出租率（%）</v>
      </c>
      <c r="L757" t="str">
        <f t="shared" si="170"/>
        <v>华天项目|期末出租率（%）|季度</v>
      </c>
      <c r="M757">
        <f>IF($A757="",0,IF(COUNTIF($L$2:$L757,$L757)=1,1,0))</f>
        <v>0</v>
      </c>
      <c r="N757">
        <f t="shared" si="171"/>
        <v>20252</v>
      </c>
      <c r="O757" t="str">
        <f t="shared" si="172"/>
        <v>嘉实物美消费封闭式基础设施证券投资基金|2025Q2|季度</v>
      </c>
      <c r="P757">
        <f>IF($A757="",0,IF(COUNTIF($O$2:$O757,$O757)=1,1,0))</f>
        <v>0</v>
      </c>
      <c r="Q757" t="str">
        <f>IF(AND($P757=1,$A757=经营数据!$B$3,$J757=经营数据!$BA$5),COUNTIFS($P$2:$P$3000,1,$A$2:$A$3000,$A757,$J$2:$J$3000,$J757,$N$2:$N$3000,"&lt;"&amp;$N757)+1,"")</f>
        <v/>
      </c>
      <c r="R757" t="str">
        <f t="shared" si="173"/>
        <v>嘉实物美消费封闭式基础设施证券投资基金|华天项目</v>
      </c>
      <c r="S757">
        <f>IF($A757="",0,IF(COUNTIF($R$2:$R757,$R757)=1,1,0))</f>
        <v>0</v>
      </c>
      <c r="T757">
        <f t="shared" si="174"/>
        <v>724</v>
      </c>
      <c r="U757" t="str">
        <f>IF($A757="","",IF($A757=经营数据!$B$3,COUNTIFS($S$2:$S$3000,1,$A$2:$A$3000,$A757,$T$2:$T$3000,"&lt;"&amp;$T757)+1,""))</f>
        <v/>
      </c>
      <c r="V757" t="str">
        <f t="shared" si="175"/>
        <v>华天项目|服务效率</v>
      </c>
      <c r="W757">
        <f t="shared" si="176"/>
        <v>727</v>
      </c>
      <c r="X757" t="str">
        <f t="shared" si="177"/>
        <v>华天项目|期末出租率</v>
      </c>
      <c r="Y757">
        <f t="shared" si="178"/>
        <v>727</v>
      </c>
      <c r="Z757">
        <f>IF($A757="",0,IF(AND($M757=1,$A757=经营数据!$B$3,$J757=经营数据!$BA$5,OR($I757=经营数据!$BA$4,COUNTIF(经营数据!$AA$9:$AA$38,$I757)&gt;0)),1,0))</f>
        <v>0</v>
      </c>
      <c r="AA757" t="str">
        <f t="shared" si="179"/>
        <v/>
      </c>
      <c r="AB757" t="str">
        <f t="shared" si="180"/>
        <v/>
      </c>
      <c r="AC757">
        <f>IF($A757="",0,IF(COUNTIF($A$2:$A757,$A757)=1,1,0))</f>
        <v>0</v>
      </c>
      <c r="AD757">
        <f t="shared" si="181"/>
        <v>8</v>
      </c>
      <c r="AE757" t="str">
        <f t="shared" si="182"/>
        <v>华天项目|期末出租率（%）</v>
      </c>
    </row>
    <row r="758" spans="1:31" x14ac:dyDescent="0.4">
      <c r="A758" t="str">
        <f>IF(原始经营数据!$D759="","",原始经营数据!$D759)</f>
        <v>嘉实物美消费封闭式基础设施证券投资基金</v>
      </c>
      <c r="B758" t="str">
        <f>IF(原始经营数据!$D759="","",T(原始经营数据!$E759))</f>
        <v>华天项目</v>
      </c>
      <c r="C758" t="str">
        <f>IF(原始经营数据!$D759="","",原始经营数据!$F759)</f>
        <v>2025Q2</v>
      </c>
      <c r="D758" t="str">
        <f>IF(原始经营数据!$D759="","",原始经营数据!$H759)</f>
        <v>期末剩余租期情况</v>
      </c>
      <c r="E758">
        <f>IF(原始经营数据!$D759="","",原始经营数据!$I759)</f>
        <v>6.7</v>
      </c>
      <c r="F758" t="str">
        <f>IF(原始经营数据!$D759="","",T(原始经营数据!$J759))</f>
        <v>年</v>
      </c>
      <c r="G758" t="str">
        <f>IF(原始经营数据!$D759="","",T(原始经营数据!$K759))</f>
        <v/>
      </c>
      <c r="H758" t="str">
        <f>IF(原始经营数据!$D759="","",原始经营数据!$G759)</f>
        <v>服务量</v>
      </c>
      <c r="I758" t="str">
        <f>IF($A758="","",IF($B758&lt;&gt;"",$B758,IF(COUNTIFS(原始经营数据!$D$3:$D$3001,$A758,原始经营数据!$E$3:$E$3001,"",原始经营数据!$F$3:$F$3001,$C758,原始经营数据!$H$3:$H$3001,$D758,原始经营数据!$K$3:$K$3001,$G758)&gt;1,"基金整体·来源"&amp;原始经营数据!$A759,"基金整体")))</f>
        <v>华天项目</v>
      </c>
      <c r="J758" t="str">
        <f t="shared" si="168"/>
        <v>季度</v>
      </c>
      <c r="K758" t="str">
        <f t="shared" si="169"/>
        <v>期末剩余租期情况（年）</v>
      </c>
      <c r="L758" t="str">
        <f t="shared" si="170"/>
        <v>华天项目|期末剩余租期情况（年）|季度</v>
      </c>
      <c r="M758">
        <f>IF($A758="",0,IF(COUNTIF($L$2:$L758,$L758)=1,1,0))</f>
        <v>0</v>
      </c>
      <c r="N758">
        <f t="shared" si="171"/>
        <v>20252</v>
      </c>
      <c r="O758" t="str">
        <f t="shared" si="172"/>
        <v>嘉实物美消费封闭式基础设施证券投资基金|2025Q2|季度</v>
      </c>
      <c r="P758">
        <f>IF($A758="",0,IF(COUNTIF($O$2:$O758,$O758)=1,1,0))</f>
        <v>0</v>
      </c>
      <c r="Q758" t="str">
        <f>IF(AND($P758=1,$A758=经营数据!$B$3,$J758=经营数据!$BA$5),COUNTIFS($P$2:$P$3000,1,$A$2:$A$3000,$A758,$J$2:$J$3000,$J758,$N$2:$N$3000,"&lt;"&amp;$N758)+1,"")</f>
        <v/>
      </c>
      <c r="R758" t="str">
        <f t="shared" si="173"/>
        <v>嘉实物美消费封闭式基础设施证券投资基金|华天项目</v>
      </c>
      <c r="S758">
        <f>IF($A758="",0,IF(COUNTIF($R$2:$R758,$R758)=1,1,0))</f>
        <v>0</v>
      </c>
      <c r="T758">
        <f t="shared" si="174"/>
        <v>724</v>
      </c>
      <c r="U758" t="str">
        <f>IF($A758="","",IF($A758=经营数据!$B$3,COUNTIFS($S$2:$S$3000,1,$A$2:$A$3000,$A758,$T$2:$T$3000,"&lt;"&amp;$T758)+1,""))</f>
        <v/>
      </c>
      <c r="V758" t="str">
        <f t="shared" si="175"/>
        <v>华天项目|服务量</v>
      </c>
      <c r="W758">
        <f t="shared" si="176"/>
        <v>724</v>
      </c>
      <c r="X758" t="str">
        <f t="shared" si="177"/>
        <v>华天项目|期末剩余租期情况</v>
      </c>
      <c r="Y758">
        <f t="shared" si="178"/>
        <v>724</v>
      </c>
      <c r="Z758">
        <f>IF($A758="",0,IF(AND($M758=1,$A758=经营数据!$B$3,$J758=经营数据!$BA$5,OR($I758=经营数据!$BA$4,COUNTIF(经营数据!$AA$9:$AA$38,$I758)&gt;0)),1,0))</f>
        <v>0</v>
      </c>
      <c r="AA758" t="str">
        <f t="shared" si="179"/>
        <v/>
      </c>
      <c r="AB758" t="str">
        <f t="shared" si="180"/>
        <v/>
      </c>
      <c r="AC758">
        <f>IF($A758="",0,IF(COUNTIF($A$2:$A758,$A758)=1,1,0))</f>
        <v>0</v>
      </c>
      <c r="AD758">
        <f t="shared" si="181"/>
        <v>8</v>
      </c>
      <c r="AE758" t="str">
        <f t="shared" si="182"/>
        <v>华天项目|期末剩余租期情况（年）</v>
      </c>
    </row>
    <row r="759" spans="1:31" x14ac:dyDescent="0.4">
      <c r="A759" t="str">
        <f>IF(原始经营数据!$D760="","",原始经营数据!$D760)</f>
        <v>嘉实物美消费封闭式基础设施证券投资基金</v>
      </c>
      <c r="B759" t="str">
        <f>IF(原始经营数据!$D760="","",T(原始经营数据!$E760))</f>
        <v>华天项目</v>
      </c>
      <c r="C759" t="str">
        <f>IF(原始经营数据!$D760="","",原始经营数据!$F760)</f>
        <v>2025Q2</v>
      </c>
      <c r="D759" t="str">
        <f>IF(原始经营数据!$D760="","",原始经营数据!$H760)</f>
        <v>期末租金收缴率</v>
      </c>
      <c r="E759">
        <f>IF(原始经营数据!$D760="","",原始经营数据!$I760)</f>
        <v>99.75</v>
      </c>
      <c r="F759" t="str">
        <f>IF(原始经营数据!$D760="","",T(原始经营数据!$J760))</f>
        <v>%</v>
      </c>
      <c r="G759" t="str">
        <f>IF(原始经营数据!$D760="","",T(原始经营数据!$K760))</f>
        <v/>
      </c>
      <c r="H759" t="str">
        <f>IF(原始经营数据!$D760="","",原始经营数据!$G760)</f>
        <v>服务效率</v>
      </c>
      <c r="I759" t="str">
        <f>IF($A759="","",IF($B759&lt;&gt;"",$B759,IF(COUNTIFS(原始经营数据!$D$3:$D$3001,$A759,原始经营数据!$E$3:$E$3001,"",原始经营数据!$F$3:$F$3001,$C759,原始经营数据!$H$3:$H$3001,$D759,原始经营数据!$K$3:$K$3001,$G759)&gt;1,"基金整体·来源"&amp;原始经营数据!$A760,"基金整体")))</f>
        <v>华天项目</v>
      </c>
      <c r="J759" t="str">
        <f t="shared" si="168"/>
        <v>季度</v>
      </c>
      <c r="K759" t="str">
        <f t="shared" si="169"/>
        <v>期末租金收缴率（%）</v>
      </c>
      <c r="L759" t="str">
        <f t="shared" si="170"/>
        <v>华天项目|期末租金收缴率（%）|季度</v>
      </c>
      <c r="M759">
        <f>IF($A759="",0,IF(COUNTIF($L$2:$L759,$L759)=1,1,0))</f>
        <v>0</v>
      </c>
      <c r="N759">
        <f t="shared" si="171"/>
        <v>20252</v>
      </c>
      <c r="O759" t="str">
        <f t="shared" si="172"/>
        <v>嘉实物美消费封闭式基础设施证券投资基金|2025Q2|季度</v>
      </c>
      <c r="P759">
        <f>IF($A759="",0,IF(COUNTIF($O$2:$O759,$O759)=1,1,0))</f>
        <v>0</v>
      </c>
      <c r="Q759" t="str">
        <f>IF(AND($P759=1,$A759=经营数据!$B$3,$J759=经营数据!$BA$5),COUNTIFS($P$2:$P$3000,1,$A$2:$A$3000,$A759,$J$2:$J$3000,$J759,$N$2:$N$3000,"&lt;"&amp;$N759)+1,"")</f>
        <v/>
      </c>
      <c r="R759" t="str">
        <f t="shared" si="173"/>
        <v>嘉实物美消费封闭式基础设施证券投资基金|华天项目</v>
      </c>
      <c r="S759">
        <f>IF($A759="",0,IF(COUNTIF($R$2:$R759,$R759)=1,1,0))</f>
        <v>0</v>
      </c>
      <c r="T759">
        <f t="shared" si="174"/>
        <v>724</v>
      </c>
      <c r="U759" t="str">
        <f>IF($A759="","",IF($A759=经营数据!$B$3,COUNTIFS($S$2:$S$3000,1,$A$2:$A$3000,$A759,$T$2:$T$3000,"&lt;"&amp;$T759)+1,""))</f>
        <v/>
      </c>
      <c r="V759" t="str">
        <f t="shared" si="175"/>
        <v>华天项目|服务效率</v>
      </c>
      <c r="W759">
        <f t="shared" si="176"/>
        <v>727</v>
      </c>
      <c r="X759" t="str">
        <f t="shared" si="177"/>
        <v>华天项目|期末租金收缴率</v>
      </c>
      <c r="Y759">
        <f t="shared" si="178"/>
        <v>729</v>
      </c>
      <c r="Z759">
        <f>IF($A759="",0,IF(AND($M759=1,$A759=经营数据!$B$3,$J759=经营数据!$BA$5,OR($I759=经营数据!$BA$4,COUNTIF(经营数据!$AA$9:$AA$38,$I759)&gt;0)),1,0))</f>
        <v>0</v>
      </c>
      <c r="AA759" t="str">
        <f t="shared" si="179"/>
        <v/>
      </c>
      <c r="AB759" t="str">
        <f t="shared" si="180"/>
        <v/>
      </c>
      <c r="AC759">
        <f>IF($A759="",0,IF(COUNTIF($A$2:$A759,$A759)=1,1,0))</f>
        <v>0</v>
      </c>
      <c r="AD759">
        <f t="shared" si="181"/>
        <v>8</v>
      </c>
      <c r="AE759" t="str">
        <f t="shared" si="182"/>
        <v>华天项目|期末租金收缴率（%）</v>
      </c>
    </row>
    <row r="760" spans="1:31" x14ac:dyDescent="0.4">
      <c r="A760" t="str">
        <f>IF(原始经营数据!$D761="","",原始经营数据!$D761)</f>
        <v>嘉实物美消费封闭式基础设施证券投资基金</v>
      </c>
      <c r="B760" t="str">
        <f>IF(原始经营数据!$D761="","",T(原始经营数据!$E761))</f>
        <v>华天项目</v>
      </c>
      <c r="C760" t="str">
        <f>IF(原始经营数据!$D761="","",原始经营数据!$F761)</f>
        <v>2025Q2</v>
      </c>
      <c r="D760" t="str">
        <f>IF(原始经营数据!$D761="","",原始经营数据!$H761)</f>
        <v>期内租金单价水平</v>
      </c>
      <c r="E760">
        <f>IF(原始经营数据!$D761="","",原始经营数据!$I761)</f>
        <v>3.08</v>
      </c>
      <c r="F760" t="str">
        <f>IF(原始经营数据!$D761="","",T(原始经营数据!$J761))</f>
        <v>元/平方米/天</v>
      </c>
      <c r="G760" t="str">
        <f>IF(原始经营数据!$D761="","",T(原始经营数据!$K761))</f>
        <v/>
      </c>
      <c r="H760" t="str">
        <f>IF(原始经营数据!$D761="","",原始经营数据!$G761)</f>
        <v>服务价格</v>
      </c>
      <c r="I760" t="str">
        <f>IF($A760="","",IF($B760&lt;&gt;"",$B760,IF(COUNTIFS(原始经营数据!$D$3:$D$3001,$A760,原始经营数据!$E$3:$E$3001,"",原始经营数据!$F$3:$F$3001,$C760,原始经营数据!$H$3:$H$3001,$D760,原始经营数据!$K$3:$K$3001,$G760)&gt;1,"基金整体·来源"&amp;原始经营数据!$A761,"基金整体")))</f>
        <v>华天项目</v>
      </c>
      <c r="J760" t="str">
        <f t="shared" si="168"/>
        <v>季度</v>
      </c>
      <c r="K760" t="str">
        <f t="shared" si="169"/>
        <v>期内租金单价水平（元/平方米/天）</v>
      </c>
      <c r="L760" t="str">
        <f t="shared" si="170"/>
        <v>华天项目|期内租金单价水平（元/平方米/天）|季度</v>
      </c>
      <c r="M760">
        <f>IF($A760="",0,IF(COUNTIF($L$2:$L760,$L760)=1,1,0))</f>
        <v>0</v>
      </c>
      <c r="N760">
        <f t="shared" si="171"/>
        <v>20252</v>
      </c>
      <c r="O760" t="str">
        <f t="shared" si="172"/>
        <v>嘉实物美消费封闭式基础设施证券投资基金|2025Q2|季度</v>
      </c>
      <c r="P760">
        <f>IF($A760="",0,IF(COUNTIF($O$2:$O760,$O760)=1,1,0))</f>
        <v>0</v>
      </c>
      <c r="Q760" t="str">
        <f>IF(AND($P760=1,$A760=经营数据!$B$3,$J760=经营数据!$BA$5),COUNTIFS($P$2:$P$3000,1,$A$2:$A$3000,$A760,$J$2:$J$3000,$J760,$N$2:$N$3000,"&lt;"&amp;$N760)+1,"")</f>
        <v/>
      </c>
      <c r="R760" t="str">
        <f t="shared" si="173"/>
        <v>嘉实物美消费封闭式基础设施证券投资基金|华天项目</v>
      </c>
      <c r="S760">
        <f>IF($A760="",0,IF(COUNTIF($R$2:$R760,$R760)=1,1,0))</f>
        <v>0</v>
      </c>
      <c r="T760">
        <f t="shared" si="174"/>
        <v>724</v>
      </c>
      <c r="U760" t="str">
        <f>IF($A760="","",IF($A760=经营数据!$B$3,COUNTIFS($S$2:$S$3000,1,$A$2:$A$3000,$A760,$T$2:$T$3000,"&lt;"&amp;$T760)+1,""))</f>
        <v/>
      </c>
      <c r="V760" t="str">
        <f t="shared" si="175"/>
        <v>华天项目|服务价格</v>
      </c>
      <c r="W760">
        <f t="shared" si="176"/>
        <v>728</v>
      </c>
      <c r="X760" t="str">
        <f t="shared" si="177"/>
        <v>华天项目|期内租金单价水平</v>
      </c>
      <c r="Y760">
        <f t="shared" si="178"/>
        <v>728</v>
      </c>
      <c r="Z760">
        <f>IF($A760="",0,IF(AND($M760=1,$A760=经营数据!$B$3,$J760=经营数据!$BA$5,OR($I760=经营数据!$BA$4,COUNTIF(经营数据!$AA$9:$AA$38,$I760)&gt;0)),1,0))</f>
        <v>0</v>
      </c>
      <c r="AA760" t="str">
        <f t="shared" si="179"/>
        <v/>
      </c>
      <c r="AB760" t="str">
        <f t="shared" si="180"/>
        <v/>
      </c>
      <c r="AC760">
        <f>IF($A760="",0,IF(COUNTIF($A$2:$A760,$A760)=1,1,0))</f>
        <v>0</v>
      </c>
      <c r="AD760">
        <f t="shared" si="181"/>
        <v>8</v>
      </c>
      <c r="AE760" t="str">
        <f t="shared" si="182"/>
        <v>华天项目|期内租金单价水平（元/平方米/天）</v>
      </c>
    </row>
    <row r="761" spans="1:31" x14ac:dyDescent="0.4">
      <c r="A761" t="str">
        <f>IF(原始经营数据!$D762="","",原始经营数据!$D762)</f>
        <v>嘉实物美消费封闭式基础设施证券投资基金</v>
      </c>
      <c r="B761" t="str">
        <f>IF(原始经营数据!$D762="","",T(原始经营数据!$E762))</f>
        <v>华天项目</v>
      </c>
      <c r="C761" t="str">
        <f>IF(原始经营数据!$D762="","",原始经营数据!$F762)</f>
        <v>2025Q3</v>
      </c>
      <c r="D761" t="str">
        <f>IF(原始经营数据!$D762="","",原始经营数据!$H762)</f>
        <v>期末租金收缴率</v>
      </c>
      <c r="E761">
        <f>IF(原始经营数据!$D762="","",原始经营数据!$I762)</f>
        <v>99.82</v>
      </c>
      <c r="F761" t="str">
        <f>IF(原始经营数据!$D762="","",T(原始经营数据!$J762))</f>
        <v>%</v>
      </c>
      <c r="G761" t="str">
        <f>IF(原始经营数据!$D762="","",T(原始经营数据!$K762))</f>
        <v/>
      </c>
      <c r="H761" t="str">
        <f>IF(原始经营数据!$D762="","",原始经营数据!$G762)</f>
        <v>服务效率</v>
      </c>
      <c r="I761" t="str">
        <f>IF($A761="","",IF($B761&lt;&gt;"",$B761,IF(COUNTIFS(原始经营数据!$D$3:$D$3001,$A761,原始经营数据!$E$3:$E$3001,"",原始经营数据!$F$3:$F$3001,$C761,原始经营数据!$H$3:$H$3001,$D761,原始经营数据!$K$3:$K$3001,$G761)&gt;1,"基金整体·来源"&amp;原始经营数据!$A762,"基金整体")))</f>
        <v>华天项目</v>
      </c>
      <c r="J761" t="str">
        <f t="shared" si="168"/>
        <v>季度</v>
      </c>
      <c r="K761" t="str">
        <f t="shared" si="169"/>
        <v>期末租金收缴率（%）</v>
      </c>
      <c r="L761" t="str">
        <f t="shared" si="170"/>
        <v>华天项目|期末租金收缴率（%）|季度</v>
      </c>
      <c r="M761">
        <f>IF($A761="",0,IF(COUNTIF($L$2:$L761,$L761)=1,1,0))</f>
        <v>0</v>
      </c>
      <c r="N761">
        <f t="shared" si="171"/>
        <v>20253</v>
      </c>
      <c r="O761" t="str">
        <f t="shared" si="172"/>
        <v>嘉实物美消费封闭式基础设施证券投资基金|2025Q3|季度</v>
      </c>
      <c r="P761">
        <f>IF($A761="",0,IF(COUNTIF($O$2:$O761,$O761)=1,1,0))</f>
        <v>0</v>
      </c>
      <c r="Q761" t="str">
        <f>IF(AND($P761=1,$A761=经营数据!$B$3,$J761=经营数据!$BA$5),COUNTIFS($P$2:$P$3000,1,$A$2:$A$3000,$A761,$J$2:$J$3000,$J761,$N$2:$N$3000,"&lt;"&amp;$N761)+1,"")</f>
        <v/>
      </c>
      <c r="R761" t="str">
        <f t="shared" si="173"/>
        <v>嘉实物美消费封闭式基础设施证券投资基金|华天项目</v>
      </c>
      <c r="S761">
        <f>IF($A761="",0,IF(COUNTIF($R$2:$R761,$R761)=1,1,0))</f>
        <v>0</v>
      </c>
      <c r="T761">
        <f t="shared" si="174"/>
        <v>724</v>
      </c>
      <c r="U761" t="str">
        <f>IF($A761="","",IF($A761=经营数据!$B$3,COUNTIFS($S$2:$S$3000,1,$A$2:$A$3000,$A761,$T$2:$T$3000,"&lt;"&amp;$T761)+1,""))</f>
        <v/>
      </c>
      <c r="V761" t="str">
        <f t="shared" si="175"/>
        <v>华天项目|服务效率</v>
      </c>
      <c r="W761">
        <f t="shared" si="176"/>
        <v>727</v>
      </c>
      <c r="X761" t="str">
        <f t="shared" si="177"/>
        <v>华天项目|期末租金收缴率</v>
      </c>
      <c r="Y761">
        <f t="shared" si="178"/>
        <v>729</v>
      </c>
      <c r="Z761">
        <f>IF($A761="",0,IF(AND($M761=1,$A761=经营数据!$B$3,$J761=经营数据!$BA$5,OR($I761=经营数据!$BA$4,COUNTIF(经营数据!$AA$9:$AA$38,$I761)&gt;0)),1,0))</f>
        <v>0</v>
      </c>
      <c r="AA761" t="str">
        <f t="shared" si="179"/>
        <v/>
      </c>
      <c r="AB761" t="str">
        <f t="shared" si="180"/>
        <v/>
      </c>
      <c r="AC761">
        <f>IF($A761="",0,IF(COUNTIF($A$2:$A761,$A761)=1,1,0))</f>
        <v>0</v>
      </c>
      <c r="AD761">
        <f t="shared" si="181"/>
        <v>8</v>
      </c>
      <c r="AE761" t="str">
        <f t="shared" si="182"/>
        <v>华天项目|期末租金收缴率（%）</v>
      </c>
    </row>
    <row r="762" spans="1:31" x14ac:dyDescent="0.4">
      <c r="A762" t="str">
        <f>IF(原始经营数据!$D763="","",原始经营数据!$D763)</f>
        <v>嘉实物美消费封闭式基础设施证券投资基金</v>
      </c>
      <c r="B762" t="str">
        <f>IF(原始经营数据!$D763="","",T(原始经营数据!$E763))</f>
        <v>华天项目</v>
      </c>
      <c r="C762" t="str">
        <f>IF(原始经营数据!$D763="","",原始经营数据!$F763)</f>
        <v>2025Q3</v>
      </c>
      <c r="D762" t="str">
        <f>IF(原始经营数据!$D763="","",原始经营数据!$H763)</f>
        <v>期末剩余租期情况</v>
      </c>
      <c r="E762">
        <f>IF(原始经营数据!$D763="","",原始经营数据!$I763)</f>
        <v>6.59</v>
      </c>
      <c r="F762" t="str">
        <f>IF(原始经营数据!$D763="","",T(原始经营数据!$J763))</f>
        <v>年</v>
      </c>
      <c r="G762" t="str">
        <f>IF(原始经营数据!$D763="","",T(原始经营数据!$K763))</f>
        <v/>
      </c>
      <c r="H762" t="str">
        <f>IF(原始经营数据!$D763="","",原始经营数据!$G763)</f>
        <v>服务量</v>
      </c>
      <c r="I762" t="str">
        <f>IF($A762="","",IF($B762&lt;&gt;"",$B762,IF(COUNTIFS(原始经营数据!$D$3:$D$3001,$A762,原始经营数据!$E$3:$E$3001,"",原始经营数据!$F$3:$F$3001,$C762,原始经营数据!$H$3:$H$3001,$D762,原始经营数据!$K$3:$K$3001,$G762)&gt;1,"基金整体·来源"&amp;原始经营数据!$A763,"基金整体")))</f>
        <v>华天项目</v>
      </c>
      <c r="J762" t="str">
        <f t="shared" si="168"/>
        <v>季度</v>
      </c>
      <c r="K762" t="str">
        <f t="shared" si="169"/>
        <v>期末剩余租期情况（年）</v>
      </c>
      <c r="L762" t="str">
        <f t="shared" si="170"/>
        <v>华天项目|期末剩余租期情况（年）|季度</v>
      </c>
      <c r="M762">
        <f>IF($A762="",0,IF(COUNTIF($L$2:$L762,$L762)=1,1,0))</f>
        <v>0</v>
      </c>
      <c r="N762">
        <f t="shared" si="171"/>
        <v>20253</v>
      </c>
      <c r="O762" t="str">
        <f t="shared" si="172"/>
        <v>嘉实物美消费封闭式基础设施证券投资基金|2025Q3|季度</v>
      </c>
      <c r="P762">
        <f>IF($A762="",0,IF(COUNTIF($O$2:$O762,$O762)=1,1,0))</f>
        <v>0</v>
      </c>
      <c r="Q762" t="str">
        <f>IF(AND($P762=1,$A762=经营数据!$B$3,$J762=经营数据!$BA$5),COUNTIFS($P$2:$P$3000,1,$A$2:$A$3000,$A762,$J$2:$J$3000,$J762,$N$2:$N$3000,"&lt;"&amp;$N762)+1,"")</f>
        <v/>
      </c>
      <c r="R762" t="str">
        <f t="shared" si="173"/>
        <v>嘉实物美消费封闭式基础设施证券投资基金|华天项目</v>
      </c>
      <c r="S762">
        <f>IF($A762="",0,IF(COUNTIF($R$2:$R762,$R762)=1,1,0))</f>
        <v>0</v>
      </c>
      <c r="T762">
        <f t="shared" si="174"/>
        <v>724</v>
      </c>
      <c r="U762" t="str">
        <f>IF($A762="","",IF($A762=经营数据!$B$3,COUNTIFS($S$2:$S$3000,1,$A$2:$A$3000,$A762,$T$2:$T$3000,"&lt;"&amp;$T762)+1,""))</f>
        <v/>
      </c>
      <c r="V762" t="str">
        <f t="shared" si="175"/>
        <v>华天项目|服务量</v>
      </c>
      <c r="W762">
        <f t="shared" si="176"/>
        <v>724</v>
      </c>
      <c r="X762" t="str">
        <f t="shared" si="177"/>
        <v>华天项目|期末剩余租期情况</v>
      </c>
      <c r="Y762">
        <f t="shared" si="178"/>
        <v>724</v>
      </c>
      <c r="Z762">
        <f>IF($A762="",0,IF(AND($M762=1,$A762=经营数据!$B$3,$J762=经营数据!$BA$5,OR($I762=经营数据!$BA$4,COUNTIF(经营数据!$AA$9:$AA$38,$I762)&gt;0)),1,0))</f>
        <v>0</v>
      </c>
      <c r="AA762" t="str">
        <f t="shared" si="179"/>
        <v/>
      </c>
      <c r="AB762" t="str">
        <f t="shared" si="180"/>
        <v/>
      </c>
      <c r="AC762">
        <f>IF($A762="",0,IF(COUNTIF($A$2:$A762,$A762)=1,1,0))</f>
        <v>0</v>
      </c>
      <c r="AD762">
        <f t="shared" si="181"/>
        <v>8</v>
      </c>
      <c r="AE762" t="str">
        <f t="shared" si="182"/>
        <v>华天项目|期末剩余租期情况（年）</v>
      </c>
    </row>
    <row r="763" spans="1:31" x14ac:dyDescent="0.4">
      <c r="A763" t="str">
        <f>IF(原始经营数据!$D764="","",原始经营数据!$D764)</f>
        <v>嘉实物美消费封闭式基础设施证券投资基金</v>
      </c>
      <c r="B763" t="str">
        <f>IF(原始经营数据!$D764="","",T(原始经营数据!$E764))</f>
        <v>华天项目</v>
      </c>
      <c r="C763" t="str">
        <f>IF(原始经营数据!$D764="","",原始经营数据!$F764)</f>
        <v>2025Q3</v>
      </c>
      <c r="D763" t="str">
        <f>IF(原始经营数据!$D764="","",原始经营数据!$H764)</f>
        <v>期内租金单价水平</v>
      </c>
      <c r="E763">
        <f>IF(原始经营数据!$D764="","",原始经营数据!$I764)</f>
        <v>3.38</v>
      </c>
      <c r="F763" t="str">
        <f>IF(原始经营数据!$D764="","",T(原始经营数据!$J764))</f>
        <v>元/平方米/天</v>
      </c>
      <c r="G763" t="str">
        <f>IF(原始经营数据!$D764="","",T(原始经营数据!$K764))</f>
        <v/>
      </c>
      <c r="H763" t="str">
        <f>IF(原始经营数据!$D764="","",原始经营数据!$G764)</f>
        <v>服务价格</v>
      </c>
      <c r="I763" t="str">
        <f>IF($A763="","",IF($B763&lt;&gt;"",$B763,IF(COUNTIFS(原始经营数据!$D$3:$D$3001,$A763,原始经营数据!$E$3:$E$3001,"",原始经营数据!$F$3:$F$3001,$C763,原始经营数据!$H$3:$H$3001,$D763,原始经营数据!$K$3:$K$3001,$G763)&gt;1,"基金整体·来源"&amp;原始经营数据!$A764,"基金整体")))</f>
        <v>华天项目</v>
      </c>
      <c r="J763" t="str">
        <f t="shared" si="168"/>
        <v>季度</v>
      </c>
      <c r="K763" t="str">
        <f t="shared" si="169"/>
        <v>期内租金单价水平（元/平方米/天）</v>
      </c>
      <c r="L763" t="str">
        <f t="shared" si="170"/>
        <v>华天项目|期内租金单价水平（元/平方米/天）|季度</v>
      </c>
      <c r="M763">
        <f>IF($A763="",0,IF(COUNTIF($L$2:$L763,$L763)=1,1,0))</f>
        <v>0</v>
      </c>
      <c r="N763">
        <f t="shared" si="171"/>
        <v>20253</v>
      </c>
      <c r="O763" t="str">
        <f t="shared" si="172"/>
        <v>嘉实物美消费封闭式基础设施证券投资基金|2025Q3|季度</v>
      </c>
      <c r="P763">
        <f>IF($A763="",0,IF(COUNTIF($O$2:$O763,$O763)=1,1,0))</f>
        <v>0</v>
      </c>
      <c r="Q763" t="str">
        <f>IF(AND($P763=1,$A763=经营数据!$B$3,$J763=经营数据!$BA$5),COUNTIFS($P$2:$P$3000,1,$A$2:$A$3000,$A763,$J$2:$J$3000,$J763,$N$2:$N$3000,"&lt;"&amp;$N763)+1,"")</f>
        <v/>
      </c>
      <c r="R763" t="str">
        <f t="shared" si="173"/>
        <v>嘉实物美消费封闭式基础设施证券投资基金|华天项目</v>
      </c>
      <c r="S763">
        <f>IF($A763="",0,IF(COUNTIF($R$2:$R763,$R763)=1,1,0))</f>
        <v>0</v>
      </c>
      <c r="T763">
        <f t="shared" si="174"/>
        <v>724</v>
      </c>
      <c r="U763" t="str">
        <f>IF($A763="","",IF($A763=经营数据!$B$3,COUNTIFS($S$2:$S$3000,1,$A$2:$A$3000,$A763,$T$2:$T$3000,"&lt;"&amp;$T763)+1,""))</f>
        <v/>
      </c>
      <c r="V763" t="str">
        <f t="shared" si="175"/>
        <v>华天项目|服务价格</v>
      </c>
      <c r="W763">
        <f t="shared" si="176"/>
        <v>728</v>
      </c>
      <c r="X763" t="str">
        <f t="shared" si="177"/>
        <v>华天项目|期内租金单价水平</v>
      </c>
      <c r="Y763">
        <f t="shared" si="178"/>
        <v>728</v>
      </c>
      <c r="Z763">
        <f>IF($A763="",0,IF(AND($M763=1,$A763=经营数据!$B$3,$J763=经营数据!$BA$5,OR($I763=经营数据!$BA$4,COUNTIF(经营数据!$AA$9:$AA$38,$I763)&gt;0)),1,0))</f>
        <v>0</v>
      </c>
      <c r="AA763" t="str">
        <f t="shared" si="179"/>
        <v/>
      </c>
      <c r="AB763" t="str">
        <f t="shared" si="180"/>
        <v/>
      </c>
      <c r="AC763">
        <f>IF($A763="",0,IF(COUNTIF($A$2:$A763,$A763)=1,1,0))</f>
        <v>0</v>
      </c>
      <c r="AD763">
        <f t="shared" si="181"/>
        <v>8</v>
      </c>
      <c r="AE763" t="str">
        <f t="shared" si="182"/>
        <v>华天项目|期内租金单价水平（元/平方米/天）</v>
      </c>
    </row>
    <row r="764" spans="1:31" x14ac:dyDescent="0.4">
      <c r="A764" t="str">
        <f>IF(原始经营数据!$D765="","",原始经营数据!$D765)</f>
        <v>嘉实物美消费封闭式基础设施证券投资基金</v>
      </c>
      <c r="B764" t="str">
        <f>IF(原始经营数据!$D765="","",T(原始经营数据!$E765))</f>
        <v>华天项目</v>
      </c>
      <c r="C764" t="str">
        <f>IF(原始经营数据!$D765="","",原始经营数据!$F765)</f>
        <v>2025Q3</v>
      </c>
      <c r="D764" t="str">
        <f>IF(原始经营数据!$D765="","",原始经营数据!$H765)</f>
        <v>期末出租率</v>
      </c>
      <c r="E764">
        <f>IF(原始经营数据!$D765="","",原始经营数据!$I765)</f>
        <v>91.17</v>
      </c>
      <c r="F764" t="str">
        <f>IF(原始经营数据!$D765="","",T(原始经营数据!$J765))</f>
        <v>%</v>
      </c>
      <c r="G764" t="str">
        <f>IF(原始经营数据!$D765="","",T(原始经营数据!$K765))</f>
        <v/>
      </c>
      <c r="H764" t="str">
        <f>IF(原始经营数据!$D765="","",原始经营数据!$G765)</f>
        <v>服务效率</v>
      </c>
      <c r="I764" t="str">
        <f>IF($A764="","",IF($B764&lt;&gt;"",$B764,IF(COUNTIFS(原始经营数据!$D$3:$D$3001,$A764,原始经营数据!$E$3:$E$3001,"",原始经营数据!$F$3:$F$3001,$C764,原始经营数据!$H$3:$H$3001,$D764,原始经营数据!$K$3:$K$3001,$G764)&gt;1,"基金整体·来源"&amp;原始经营数据!$A765,"基金整体")))</f>
        <v>华天项目</v>
      </c>
      <c r="J764" t="str">
        <f t="shared" si="168"/>
        <v>季度</v>
      </c>
      <c r="K764" t="str">
        <f t="shared" si="169"/>
        <v>期末出租率（%）</v>
      </c>
      <c r="L764" t="str">
        <f t="shared" si="170"/>
        <v>华天项目|期末出租率（%）|季度</v>
      </c>
      <c r="M764">
        <f>IF($A764="",0,IF(COUNTIF($L$2:$L764,$L764)=1,1,0))</f>
        <v>0</v>
      </c>
      <c r="N764">
        <f t="shared" si="171"/>
        <v>20253</v>
      </c>
      <c r="O764" t="str">
        <f t="shared" si="172"/>
        <v>嘉实物美消费封闭式基础设施证券投资基金|2025Q3|季度</v>
      </c>
      <c r="P764">
        <f>IF($A764="",0,IF(COUNTIF($O$2:$O764,$O764)=1,1,0))</f>
        <v>0</v>
      </c>
      <c r="Q764" t="str">
        <f>IF(AND($P764=1,$A764=经营数据!$B$3,$J764=经营数据!$BA$5),COUNTIFS($P$2:$P$3000,1,$A$2:$A$3000,$A764,$J$2:$J$3000,$J764,$N$2:$N$3000,"&lt;"&amp;$N764)+1,"")</f>
        <v/>
      </c>
      <c r="R764" t="str">
        <f t="shared" si="173"/>
        <v>嘉实物美消费封闭式基础设施证券投资基金|华天项目</v>
      </c>
      <c r="S764">
        <f>IF($A764="",0,IF(COUNTIF($R$2:$R764,$R764)=1,1,0))</f>
        <v>0</v>
      </c>
      <c r="T764">
        <f t="shared" si="174"/>
        <v>724</v>
      </c>
      <c r="U764" t="str">
        <f>IF($A764="","",IF($A764=经营数据!$B$3,COUNTIFS($S$2:$S$3000,1,$A$2:$A$3000,$A764,$T$2:$T$3000,"&lt;"&amp;$T764)+1,""))</f>
        <v/>
      </c>
      <c r="V764" t="str">
        <f t="shared" si="175"/>
        <v>华天项目|服务效率</v>
      </c>
      <c r="W764">
        <f t="shared" si="176"/>
        <v>727</v>
      </c>
      <c r="X764" t="str">
        <f t="shared" si="177"/>
        <v>华天项目|期末出租率</v>
      </c>
      <c r="Y764">
        <f t="shared" si="178"/>
        <v>727</v>
      </c>
      <c r="Z764">
        <f>IF($A764="",0,IF(AND($M764=1,$A764=经营数据!$B$3,$J764=经营数据!$BA$5,OR($I764=经营数据!$BA$4,COUNTIF(经营数据!$AA$9:$AA$38,$I764)&gt;0)),1,0))</f>
        <v>0</v>
      </c>
      <c r="AA764" t="str">
        <f t="shared" si="179"/>
        <v/>
      </c>
      <c r="AB764" t="str">
        <f t="shared" si="180"/>
        <v/>
      </c>
      <c r="AC764">
        <f>IF($A764="",0,IF(COUNTIF($A$2:$A764,$A764)=1,1,0))</f>
        <v>0</v>
      </c>
      <c r="AD764">
        <f t="shared" si="181"/>
        <v>8</v>
      </c>
      <c r="AE764" t="str">
        <f t="shared" si="182"/>
        <v>华天项目|期末出租率（%）</v>
      </c>
    </row>
    <row r="765" spans="1:31" x14ac:dyDescent="0.4">
      <c r="A765" t="str">
        <f>IF(原始经营数据!$D766="","",原始经营数据!$D766)</f>
        <v>嘉实物美消费封闭式基础设施证券投资基金</v>
      </c>
      <c r="B765" t="str">
        <f>IF(原始经营数据!$D766="","",T(原始经营数据!$E766))</f>
        <v>华天项目</v>
      </c>
      <c r="C765" t="str">
        <f>IF(原始经营数据!$D766="","",原始经营数据!$F766)</f>
        <v>2025Q3</v>
      </c>
      <c r="D765" t="str">
        <f>IF(原始经营数据!$D766="","",原始经营数据!$H766)</f>
        <v>期末实际出租面积</v>
      </c>
      <c r="E765">
        <f>IF(原始经营数据!$D766="","",原始经营数据!$I766)</f>
        <v>13932.14</v>
      </c>
      <c r="F765" t="str">
        <f>IF(原始经营数据!$D766="","",T(原始经营数据!$J766))</f>
        <v>平方米</v>
      </c>
      <c r="G765" t="str">
        <f>IF(原始经营数据!$D766="","",T(原始经营数据!$K766))</f>
        <v/>
      </c>
      <c r="H765" t="str">
        <f>IF(原始经营数据!$D766="","",原始经营数据!$G766)</f>
        <v>服务量</v>
      </c>
      <c r="I765" t="str">
        <f>IF($A765="","",IF($B765&lt;&gt;"",$B765,IF(COUNTIFS(原始经营数据!$D$3:$D$3001,$A765,原始经营数据!$E$3:$E$3001,"",原始经营数据!$F$3:$F$3001,$C765,原始经营数据!$H$3:$H$3001,$D765,原始经营数据!$K$3:$K$3001,$G765)&gt;1,"基金整体·来源"&amp;原始经营数据!$A766,"基金整体")))</f>
        <v>华天项目</v>
      </c>
      <c r="J765" t="str">
        <f t="shared" si="168"/>
        <v>季度</v>
      </c>
      <c r="K765" t="str">
        <f t="shared" si="169"/>
        <v>期末实际出租面积（平方米）</v>
      </c>
      <c r="L765" t="str">
        <f t="shared" si="170"/>
        <v>华天项目|期末实际出租面积（平方米）|季度</v>
      </c>
      <c r="M765">
        <f>IF($A765="",0,IF(COUNTIF($L$2:$L765,$L765)=1,1,0))</f>
        <v>0</v>
      </c>
      <c r="N765">
        <f t="shared" si="171"/>
        <v>20253</v>
      </c>
      <c r="O765" t="str">
        <f t="shared" si="172"/>
        <v>嘉实物美消费封闭式基础设施证券投资基金|2025Q3|季度</v>
      </c>
      <c r="P765">
        <f>IF($A765="",0,IF(COUNTIF($O$2:$O765,$O765)=1,1,0))</f>
        <v>0</v>
      </c>
      <c r="Q765" t="str">
        <f>IF(AND($P765=1,$A765=经营数据!$B$3,$J765=经营数据!$BA$5),COUNTIFS($P$2:$P$3000,1,$A$2:$A$3000,$A765,$J$2:$J$3000,$J765,$N$2:$N$3000,"&lt;"&amp;$N765)+1,"")</f>
        <v/>
      </c>
      <c r="R765" t="str">
        <f t="shared" si="173"/>
        <v>嘉实物美消费封闭式基础设施证券投资基金|华天项目</v>
      </c>
      <c r="S765">
        <f>IF($A765="",0,IF(COUNTIF($R$2:$R765,$R765)=1,1,0))</f>
        <v>0</v>
      </c>
      <c r="T765">
        <f t="shared" si="174"/>
        <v>724</v>
      </c>
      <c r="U765" t="str">
        <f>IF($A765="","",IF($A765=经营数据!$B$3,COUNTIFS($S$2:$S$3000,1,$A$2:$A$3000,$A765,$T$2:$T$3000,"&lt;"&amp;$T765)+1,""))</f>
        <v/>
      </c>
      <c r="V765" t="str">
        <f t="shared" si="175"/>
        <v>华天项目|服务量</v>
      </c>
      <c r="W765">
        <f t="shared" si="176"/>
        <v>724</v>
      </c>
      <c r="X765" t="str">
        <f t="shared" si="177"/>
        <v>华天项目|期末实际出租面积</v>
      </c>
      <c r="Y765">
        <f t="shared" si="178"/>
        <v>726</v>
      </c>
      <c r="Z765">
        <f>IF($A765="",0,IF(AND($M765=1,$A765=经营数据!$B$3,$J765=经营数据!$BA$5,OR($I765=经营数据!$BA$4,COUNTIF(经营数据!$AA$9:$AA$38,$I765)&gt;0)),1,0))</f>
        <v>0</v>
      </c>
      <c r="AA765" t="str">
        <f t="shared" si="179"/>
        <v/>
      </c>
      <c r="AB765" t="str">
        <f t="shared" si="180"/>
        <v/>
      </c>
      <c r="AC765">
        <f>IF($A765="",0,IF(COUNTIF($A$2:$A765,$A765)=1,1,0))</f>
        <v>0</v>
      </c>
      <c r="AD765">
        <f t="shared" si="181"/>
        <v>8</v>
      </c>
      <c r="AE765" t="str">
        <f t="shared" si="182"/>
        <v>华天项目|期末实际出租面积（平方米）</v>
      </c>
    </row>
    <row r="766" spans="1:31" x14ac:dyDescent="0.4">
      <c r="A766" t="str">
        <f>IF(原始经营数据!$D767="","",原始经营数据!$D767)</f>
        <v>嘉实物美消费封闭式基础设施证券投资基金</v>
      </c>
      <c r="B766" t="str">
        <f>IF(原始经营数据!$D767="","",T(原始经营数据!$E767))</f>
        <v>华天项目</v>
      </c>
      <c r="C766" t="str">
        <f>IF(原始经营数据!$D767="","",原始经营数据!$F767)</f>
        <v>2025Q3</v>
      </c>
      <c r="D766" t="str">
        <f>IF(原始经营数据!$D767="","",原始经营数据!$H767)</f>
        <v>期末可供出租面积</v>
      </c>
      <c r="E766">
        <f>IF(原始经营数据!$D767="","",原始经营数据!$I767)</f>
        <v>15280.73</v>
      </c>
      <c r="F766" t="str">
        <f>IF(原始经营数据!$D767="","",T(原始经营数据!$J767))</f>
        <v>平方米</v>
      </c>
      <c r="G766" t="str">
        <f>IF(原始经营数据!$D767="","",T(原始经营数据!$K767))</f>
        <v/>
      </c>
      <c r="H766" t="str">
        <f>IF(原始经营数据!$D767="","",原始经营数据!$G767)</f>
        <v>服务量</v>
      </c>
      <c r="I766" t="str">
        <f>IF($A766="","",IF($B766&lt;&gt;"",$B766,IF(COUNTIFS(原始经营数据!$D$3:$D$3001,$A766,原始经营数据!$E$3:$E$3001,"",原始经营数据!$F$3:$F$3001,$C766,原始经营数据!$H$3:$H$3001,$D766,原始经营数据!$K$3:$K$3001,$G766)&gt;1,"基金整体·来源"&amp;原始经营数据!$A767,"基金整体")))</f>
        <v>华天项目</v>
      </c>
      <c r="J766" t="str">
        <f t="shared" si="168"/>
        <v>季度</v>
      </c>
      <c r="K766" t="str">
        <f t="shared" si="169"/>
        <v>期末可供出租面积（平方米）</v>
      </c>
      <c r="L766" t="str">
        <f t="shared" si="170"/>
        <v>华天项目|期末可供出租面积（平方米）|季度</v>
      </c>
      <c r="M766">
        <f>IF($A766="",0,IF(COUNTIF($L$2:$L766,$L766)=1,1,0))</f>
        <v>0</v>
      </c>
      <c r="N766">
        <f t="shared" si="171"/>
        <v>20253</v>
      </c>
      <c r="O766" t="str">
        <f t="shared" si="172"/>
        <v>嘉实物美消费封闭式基础设施证券投资基金|2025Q3|季度</v>
      </c>
      <c r="P766">
        <f>IF($A766="",0,IF(COUNTIF($O$2:$O766,$O766)=1,1,0))</f>
        <v>0</v>
      </c>
      <c r="Q766" t="str">
        <f>IF(AND($P766=1,$A766=经营数据!$B$3,$J766=经营数据!$BA$5),COUNTIFS($P$2:$P$3000,1,$A$2:$A$3000,$A766,$J$2:$J$3000,$J766,$N$2:$N$3000,"&lt;"&amp;$N766)+1,"")</f>
        <v/>
      </c>
      <c r="R766" t="str">
        <f t="shared" si="173"/>
        <v>嘉实物美消费封闭式基础设施证券投资基金|华天项目</v>
      </c>
      <c r="S766">
        <f>IF($A766="",0,IF(COUNTIF($R$2:$R766,$R766)=1,1,0))</f>
        <v>0</v>
      </c>
      <c r="T766">
        <f t="shared" si="174"/>
        <v>724</v>
      </c>
      <c r="U766" t="str">
        <f>IF($A766="","",IF($A766=经营数据!$B$3,COUNTIFS($S$2:$S$3000,1,$A$2:$A$3000,$A766,$T$2:$T$3000,"&lt;"&amp;$T766)+1,""))</f>
        <v/>
      </c>
      <c r="V766" t="str">
        <f t="shared" si="175"/>
        <v>华天项目|服务量</v>
      </c>
      <c r="W766">
        <f t="shared" si="176"/>
        <v>724</v>
      </c>
      <c r="X766" t="str">
        <f t="shared" si="177"/>
        <v>华天项目|期末可供出租面积</v>
      </c>
      <c r="Y766">
        <f t="shared" si="178"/>
        <v>725</v>
      </c>
      <c r="Z766">
        <f>IF($A766="",0,IF(AND($M766=1,$A766=经营数据!$B$3,$J766=经营数据!$BA$5,OR($I766=经营数据!$BA$4,COUNTIF(经营数据!$AA$9:$AA$38,$I766)&gt;0)),1,0))</f>
        <v>0</v>
      </c>
      <c r="AA766" t="str">
        <f t="shared" si="179"/>
        <v/>
      </c>
      <c r="AB766" t="str">
        <f t="shared" si="180"/>
        <v/>
      </c>
      <c r="AC766">
        <f>IF($A766="",0,IF(COUNTIF($A$2:$A766,$A766)=1,1,0))</f>
        <v>0</v>
      </c>
      <c r="AD766">
        <f t="shared" si="181"/>
        <v>8</v>
      </c>
      <c r="AE766" t="str">
        <f t="shared" si="182"/>
        <v>华天项目|期末可供出租面积（平方米）</v>
      </c>
    </row>
    <row r="767" spans="1:31" x14ac:dyDescent="0.4">
      <c r="A767" t="str">
        <f>IF(原始经营数据!$D768="","",原始经营数据!$D768)</f>
        <v>嘉实物美消费封闭式基础设施证券投资基金</v>
      </c>
      <c r="B767" t="str">
        <f>IF(原始经营数据!$D768="","",T(原始经营数据!$E768))</f>
        <v>华天项目</v>
      </c>
      <c r="C767" t="str">
        <f>IF(原始经营数据!$D768="","",原始经营数据!$F768)</f>
        <v>2025Q4</v>
      </c>
      <c r="D767" t="str">
        <f>IF(原始经营数据!$D768="","",原始经营数据!$H768)</f>
        <v>期末出租率</v>
      </c>
      <c r="E767">
        <f>IF(原始经营数据!$D768="","",原始经营数据!$I768)</f>
        <v>91.17</v>
      </c>
      <c r="F767" t="str">
        <f>IF(原始经营数据!$D768="","",T(原始经营数据!$J768))</f>
        <v>%</v>
      </c>
      <c r="G767" t="str">
        <f>IF(原始经营数据!$D768="","",T(原始经营数据!$K768))</f>
        <v/>
      </c>
      <c r="H767" t="str">
        <f>IF(原始经营数据!$D768="","",原始经营数据!$G768)</f>
        <v>服务效率</v>
      </c>
      <c r="I767" t="str">
        <f>IF($A767="","",IF($B767&lt;&gt;"",$B767,IF(COUNTIFS(原始经营数据!$D$3:$D$3001,$A767,原始经营数据!$E$3:$E$3001,"",原始经营数据!$F$3:$F$3001,$C767,原始经营数据!$H$3:$H$3001,$D767,原始经营数据!$K$3:$K$3001,$G767)&gt;1,"基金整体·来源"&amp;原始经营数据!$A768,"基金整体")))</f>
        <v>华天项目</v>
      </c>
      <c r="J767" t="str">
        <f t="shared" si="168"/>
        <v>季度</v>
      </c>
      <c r="K767" t="str">
        <f t="shared" si="169"/>
        <v>期末出租率（%）</v>
      </c>
      <c r="L767" t="str">
        <f t="shared" si="170"/>
        <v>华天项目|期末出租率（%）|季度</v>
      </c>
      <c r="M767">
        <f>IF($A767="",0,IF(COUNTIF($L$2:$L767,$L767)=1,1,0))</f>
        <v>0</v>
      </c>
      <c r="N767">
        <f t="shared" si="171"/>
        <v>20254</v>
      </c>
      <c r="O767" t="str">
        <f t="shared" si="172"/>
        <v>嘉实物美消费封闭式基础设施证券投资基金|2025Q4|季度</v>
      </c>
      <c r="P767">
        <f>IF($A767="",0,IF(COUNTIF($O$2:$O767,$O767)=1,1,0))</f>
        <v>0</v>
      </c>
      <c r="Q767" t="str">
        <f>IF(AND($P767=1,$A767=经营数据!$B$3,$J767=经营数据!$BA$5),COUNTIFS($P$2:$P$3000,1,$A$2:$A$3000,$A767,$J$2:$J$3000,$J767,$N$2:$N$3000,"&lt;"&amp;$N767)+1,"")</f>
        <v/>
      </c>
      <c r="R767" t="str">
        <f t="shared" si="173"/>
        <v>嘉实物美消费封闭式基础设施证券投资基金|华天项目</v>
      </c>
      <c r="S767">
        <f>IF($A767="",0,IF(COUNTIF($R$2:$R767,$R767)=1,1,0))</f>
        <v>0</v>
      </c>
      <c r="T767">
        <f t="shared" si="174"/>
        <v>724</v>
      </c>
      <c r="U767" t="str">
        <f>IF($A767="","",IF($A767=经营数据!$B$3,COUNTIFS($S$2:$S$3000,1,$A$2:$A$3000,$A767,$T$2:$T$3000,"&lt;"&amp;$T767)+1,""))</f>
        <v/>
      </c>
      <c r="V767" t="str">
        <f t="shared" si="175"/>
        <v>华天项目|服务效率</v>
      </c>
      <c r="W767">
        <f t="shared" si="176"/>
        <v>727</v>
      </c>
      <c r="X767" t="str">
        <f t="shared" si="177"/>
        <v>华天项目|期末出租率</v>
      </c>
      <c r="Y767">
        <f t="shared" si="178"/>
        <v>727</v>
      </c>
      <c r="Z767">
        <f>IF($A767="",0,IF(AND($M767=1,$A767=经营数据!$B$3,$J767=经营数据!$BA$5,OR($I767=经营数据!$BA$4,COUNTIF(经营数据!$AA$9:$AA$38,$I767)&gt;0)),1,0))</f>
        <v>0</v>
      </c>
      <c r="AA767" t="str">
        <f t="shared" si="179"/>
        <v/>
      </c>
      <c r="AB767" t="str">
        <f t="shared" si="180"/>
        <v/>
      </c>
      <c r="AC767">
        <f>IF($A767="",0,IF(COUNTIF($A$2:$A767,$A767)=1,1,0))</f>
        <v>0</v>
      </c>
      <c r="AD767">
        <f t="shared" si="181"/>
        <v>8</v>
      </c>
      <c r="AE767" t="str">
        <f t="shared" si="182"/>
        <v>华天项目|期末出租率（%）</v>
      </c>
    </row>
    <row r="768" spans="1:31" x14ac:dyDescent="0.4">
      <c r="A768" t="str">
        <f>IF(原始经营数据!$D769="","",原始经营数据!$D769)</f>
        <v>嘉实物美消费封闭式基础设施证券投资基金</v>
      </c>
      <c r="B768" t="str">
        <f>IF(原始经营数据!$D769="","",T(原始经营数据!$E769))</f>
        <v>华天项目</v>
      </c>
      <c r="C768" t="str">
        <f>IF(原始经营数据!$D769="","",原始经营数据!$F769)</f>
        <v>2025Q4</v>
      </c>
      <c r="D768" t="str">
        <f>IF(原始经营数据!$D769="","",原始经营数据!$H769)</f>
        <v>期末租金收缴率</v>
      </c>
      <c r="E768">
        <f>IF(原始经营数据!$D769="","",原始经营数据!$I769)</f>
        <v>99.89</v>
      </c>
      <c r="F768" t="str">
        <f>IF(原始经营数据!$D769="","",T(原始经营数据!$J769))</f>
        <v>%</v>
      </c>
      <c r="G768" t="str">
        <f>IF(原始经营数据!$D769="","",T(原始经营数据!$K769))</f>
        <v/>
      </c>
      <c r="H768" t="str">
        <f>IF(原始经营数据!$D769="","",原始经营数据!$G769)</f>
        <v>服务效率</v>
      </c>
      <c r="I768" t="str">
        <f>IF($A768="","",IF($B768&lt;&gt;"",$B768,IF(COUNTIFS(原始经营数据!$D$3:$D$3001,$A768,原始经营数据!$E$3:$E$3001,"",原始经营数据!$F$3:$F$3001,$C768,原始经营数据!$H$3:$H$3001,$D768,原始经营数据!$K$3:$K$3001,$G768)&gt;1,"基金整体·来源"&amp;原始经营数据!$A769,"基金整体")))</f>
        <v>华天项目</v>
      </c>
      <c r="J768" t="str">
        <f t="shared" si="168"/>
        <v>季度</v>
      </c>
      <c r="K768" t="str">
        <f t="shared" si="169"/>
        <v>期末租金收缴率（%）</v>
      </c>
      <c r="L768" t="str">
        <f t="shared" si="170"/>
        <v>华天项目|期末租金收缴率（%）|季度</v>
      </c>
      <c r="M768">
        <f>IF($A768="",0,IF(COUNTIF($L$2:$L768,$L768)=1,1,0))</f>
        <v>0</v>
      </c>
      <c r="N768">
        <f t="shared" si="171"/>
        <v>20254</v>
      </c>
      <c r="O768" t="str">
        <f t="shared" si="172"/>
        <v>嘉实物美消费封闭式基础设施证券投资基金|2025Q4|季度</v>
      </c>
      <c r="P768">
        <f>IF($A768="",0,IF(COUNTIF($O$2:$O768,$O768)=1,1,0))</f>
        <v>0</v>
      </c>
      <c r="Q768" t="str">
        <f>IF(AND($P768=1,$A768=经营数据!$B$3,$J768=经营数据!$BA$5),COUNTIFS($P$2:$P$3000,1,$A$2:$A$3000,$A768,$J$2:$J$3000,$J768,$N$2:$N$3000,"&lt;"&amp;$N768)+1,"")</f>
        <v/>
      </c>
      <c r="R768" t="str">
        <f t="shared" si="173"/>
        <v>嘉实物美消费封闭式基础设施证券投资基金|华天项目</v>
      </c>
      <c r="S768">
        <f>IF($A768="",0,IF(COUNTIF($R$2:$R768,$R768)=1,1,0))</f>
        <v>0</v>
      </c>
      <c r="T768">
        <f t="shared" si="174"/>
        <v>724</v>
      </c>
      <c r="U768" t="str">
        <f>IF($A768="","",IF($A768=经营数据!$B$3,COUNTIFS($S$2:$S$3000,1,$A$2:$A$3000,$A768,$T$2:$T$3000,"&lt;"&amp;$T768)+1,""))</f>
        <v/>
      </c>
      <c r="V768" t="str">
        <f t="shared" si="175"/>
        <v>华天项目|服务效率</v>
      </c>
      <c r="W768">
        <f t="shared" si="176"/>
        <v>727</v>
      </c>
      <c r="X768" t="str">
        <f t="shared" si="177"/>
        <v>华天项目|期末租金收缴率</v>
      </c>
      <c r="Y768">
        <f t="shared" si="178"/>
        <v>729</v>
      </c>
      <c r="Z768">
        <f>IF($A768="",0,IF(AND($M768=1,$A768=经营数据!$B$3,$J768=经营数据!$BA$5,OR($I768=经营数据!$BA$4,COUNTIF(经营数据!$AA$9:$AA$38,$I768)&gt;0)),1,0))</f>
        <v>0</v>
      </c>
      <c r="AA768" t="str">
        <f t="shared" si="179"/>
        <v/>
      </c>
      <c r="AB768" t="str">
        <f t="shared" si="180"/>
        <v/>
      </c>
      <c r="AC768">
        <f>IF($A768="",0,IF(COUNTIF($A$2:$A768,$A768)=1,1,0))</f>
        <v>0</v>
      </c>
      <c r="AD768">
        <f t="shared" si="181"/>
        <v>8</v>
      </c>
      <c r="AE768" t="str">
        <f t="shared" si="182"/>
        <v>华天项目|期末租金收缴率（%）</v>
      </c>
    </row>
    <row r="769" spans="1:31" x14ac:dyDescent="0.4">
      <c r="A769" t="str">
        <f>IF(原始经营数据!$D770="","",原始经营数据!$D770)</f>
        <v>嘉实物美消费封闭式基础设施证券投资基金</v>
      </c>
      <c r="B769" t="str">
        <f>IF(原始经营数据!$D770="","",T(原始经营数据!$E770))</f>
        <v>华天项目</v>
      </c>
      <c r="C769" t="str">
        <f>IF(原始经营数据!$D770="","",原始经营数据!$F770)</f>
        <v>2025Q4</v>
      </c>
      <c r="D769" t="str">
        <f>IF(原始经营数据!$D770="","",原始经营数据!$H770)</f>
        <v>期末剩余租期情况</v>
      </c>
      <c r="E769">
        <f>IF(原始经营数据!$D770="","",原始经营数据!$I770)</f>
        <v>6.36</v>
      </c>
      <c r="F769" t="str">
        <f>IF(原始经营数据!$D770="","",T(原始经营数据!$J770))</f>
        <v>年</v>
      </c>
      <c r="G769" t="str">
        <f>IF(原始经营数据!$D770="","",T(原始经营数据!$K770))</f>
        <v/>
      </c>
      <c r="H769" t="str">
        <f>IF(原始经营数据!$D770="","",原始经营数据!$G770)</f>
        <v>服务量</v>
      </c>
      <c r="I769" t="str">
        <f>IF($A769="","",IF($B769&lt;&gt;"",$B769,IF(COUNTIFS(原始经营数据!$D$3:$D$3001,$A769,原始经营数据!$E$3:$E$3001,"",原始经营数据!$F$3:$F$3001,$C769,原始经营数据!$H$3:$H$3001,$D769,原始经营数据!$K$3:$K$3001,$G769)&gt;1,"基金整体·来源"&amp;原始经营数据!$A770,"基金整体")))</f>
        <v>华天项目</v>
      </c>
      <c r="J769" t="str">
        <f t="shared" si="168"/>
        <v>季度</v>
      </c>
      <c r="K769" t="str">
        <f t="shared" si="169"/>
        <v>期末剩余租期情况（年）</v>
      </c>
      <c r="L769" t="str">
        <f t="shared" si="170"/>
        <v>华天项目|期末剩余租期情况（年）|季度</v>
      </c>
      <c r="M769">
        <f>IF($A769="",0,IF(COUNTIF($L$2:$L769,$L769)=1,1,0))</f>
        <v>0</v>
      </c>
      <c r="N769">
        <f t="shared" si="171"/>
        <v>20254</v>
      </c>
      <c r="O769" t="str">
        <f t="shared" si="172"/>
        <v>嘉实物美消费封闭式基础设施证券投资基金|2025Q4|季度</v>
      </c>
      <c r="P769">
        <f>IF($A769="",0,IF(COUNTIF($O$2:$O769,$O769)=1,1,0))</f>
        <v>0</v>
      </c>
      <c r="Q769" t="str">
        <f>IF(AND($P769=1,$A769=经营数据!$B$3,$J769=经营数据!$BA$5),COUNTIFS($P$2:$P$3000,1,$A$2:$A$3000,$A769,$J$2:$J$3000,$J769,$N$2:$N$3000,"&lt;"&amp;$N769)+1,"")</f>
        <v/>
      </c>
      <c r="R769" t="str">
        <f t="shared" si="173"/>
        <v>嘉实物美消费封闭式基础设施证券投资基金|华天项目</v>
      </c>
      <c r="S769">
        <f>IF($A769="",0,IF(COUNTIF($R$2:$R769,$R769)=1,1,0))</f>
        <v>0</v>
      </c>
      <c r="T769">
        <f t="shared" si="174"/>
        <v>724</v>
      </c>
      <c r="U769" t="str">
        <f>IF($A769="","",IF($A769=经营数据!$B$3,COUNTIFS($S$2:$S$3000,1,$A$2:$A$3000,$A769,$T$2:$T$3000,"&lt;"&amp;$T769)+1,""))</f>
        <v/>
      </c>
      <c r="V769" t="str">
        <f t="shared" si="175"/>
        <v>华天项目|服务量</v>
      </c>
      <c r="W769">
        <f t="shared" si="176"/>
        <v>724</v>
      </c>
      <c r="X769" t="str">
        <f t="shared" si="177"/>
        <v>华天项目|期末剩余租期情况</v>
      </c>
      <c r="Y769">
        <f t="shared" si="178"/>
        <v>724</v>
      </c>
      <c r="Z769">
        <f>IF($A769="",0,IF(AND($M769=1,$A769=经营数据!$B$3,$J769=经营数据!$BA$5,OR($I769=经营数据!$BA$4,COUNTIF(经营数据!$AA$9:$AA$38,$I769)&gt;0)),1,0))</f>
        <v>0</v>
      </c>
      <c r="AA769" t="str">
        <f t="shared" si="179"/>
        <v/>
      </c>
      <c r="AB769" t="str">
        <f t="shared" si="180"/>
        <v/>
      </c>
      <c r="AC769">
        <f>IF($A769="",0,IF(COUNTIF($A$2:$A769,$A769)=1,1,0))</f>
        <v>0</v>
      </c>
      <c r="AD769">
        <f t="shared" si="181"/>
        <v>8</v>
      </c>
      <c r="AE769" t="str">
        <f t="shared" si="182"/>
        <v>华天项目|期末剩余租期情况（年）</v>
      </c>
    </row>
    <row r="770" spans="1:31" x14ac:dyDescent="0.4">
      <c r="A770" t="str">
        <f>IF(原始经营数据!$D771="","",原始经营数据!$D771)</f>
        <v>嘉实物美消费封闭式基础设施证券投资基金</v>
      </c>
      <c r="B770" t="str">
        <f>IF(原始经营数据!$D771="","",T(原始经营数据!$E771))</f>
        <v>华天项目</v>
      </c>
      <c r="C770" t="str">
        <f>IF(原始经营数据!$D771="","",原始经营数据!$F771)</f>
        <v>2025Q4</v>
      </c>
      <c r="D770" t="str">
        <f>IF(原始经营数据!$D771="","",原始经营数据!$H771)</f>
        <v>期内租金单价水平</v>
      </c>
      <c r="E770">
        <f>IF(原始经营数据!$D771="","",原始经营数据!$I771)</f>
        <v>3.5</v>
      </c>
      <c r="F770" t="str">
        <f>IF(原始经营数据!$D771="","",T(原始经营数据!$J771))</f>
        <v>元/平方米/天</v>
      </c>
      <c r="G770" t="str">
        <f>IF(原始经营数据!$D771="","",T(原始经营数据!$K771))</f>
        <v/>
      </c>
      <c r="H770" t="str">
        <f>IF(原始经营数据!$D771="","",原始经营数据!$G771)</f>
        <v>服务价格</v>
      </c>
      <c r="I770" t="str">
        <f>IF($A770="","",IF($B770&lt;&gt;"",$B770,IF(COUNTIFS(原始经营数据!$D$3:$D$3001,$A770,原始经营数据!$E$3:$E$3001,"",原始经营数据!$F$3:$F$3001,$C770,原始经营数据!$H$3:$H$3001,$D770,原始经营数据!$K$3:$K$3001,$G770)&gt;1,"基金整体·来源"&amp;原始经营数据!$A771,"基金整体")))</f>
        <v>华天项目</v>
      </c>
      <c r="J770" t="str">
        <f t="shared" ref="J770:J833" si="183">IF($A770="","",IF(LEN($C770)=4,"年度",IF(AND(LEN($C770)=6,ISNUMBER(SEARCH("Q",$C770))),"季度","其他期间")))</f>
        <v>季度</v>
      </c>
      <c r="K770" t="str">
        <f t="shared" ref="K770:K833" si="184">IF($A770="","",$D770&amp;IF($G770="","","-"&amp;SUBSTITUTE($G770,CHAR(10),""))&amp;IF($F770="","","（"&amp;$F770&amp;"）"))</f>
        <v>期内租金单价水平（元/平方米/天）</v>
      </c>
      <c r="L770" t="str">
        <f t="shared" ref="L770:L833" si="185">IF($A770="","",$I770&amp;"|"&amp;$K770&amp;"|"&amp;$J770)</f>
        <v>华天项目|期内租金单价水平（元/平方米/天）|季度</v>
      </c>
      <c r="M770">
        <f>IF($A770="",0,IF(COUNTIF($L$2:$L770,$L770)=1,1,0))</f>
        <v>0</v>
      </c>
      <c r="N770">
        <f t="shared" ref="N770:N833" si="186">IF($A770="","",IF($J770="年度",VALUE($C770)*10,IF($J770="季度",VALUE(LEFT($C770,4))*10+VALUE(RIGHT($C770,1)),VALUE(LEFT($C770,4))*10+9)))</f>
        <v>20254</v>
      </c>
      <c r="O770" t="str">
        <f t="shared" ref="O770:O833" si="187">IF($A770="","",$A770&amp;"|"&amp;$C770&amp;"|"&amp;$J770)</f>
        <v>嘉实物美消费封闭式基础设施证券投资基金|2025Q4|季度</v>
      </c>
      <c r="P770">
        <f>IF($A770="",0,IF(COUNTIF($O$2:$O770,$O770)=1,1,0))</f>
        <v>0</v>
      </c>
      <c r="Q770" t="str">
        <f>IF(AND($P770=1,$A770=经营数据!$B$3,$J770=经营数据!$BA$5),COUNTIFS($P$2:$P$3000,1,$A$2:$A$3000,$A770,$J$2:$J$3000,$J770,$N$2:$N$3000,"&lt;"&amp;$N770)+1,"")</f>
        <v/>
      </c>
      <c r="R770" t="str">
        <f t="shared" ref="R770:R833" si="188">IF($A770="","",$A770&amp;"|"&amp;$I770)</f>
        <v>嘉实物美消费封闭式基础设施证券投资基金|华天项目</v>
      </c>
      <c r="S770">
        <f>IF($A770="",0,IF(COUNTIF($R$2:$R770,$R770)=1,1,0))</f>
        <v>0</v>
      </c>
      <c r="T770">
        <f t="shared" ref="T770:T833" si="189">IF($A770="","",MATCH($R770,$R$2:$R$3000,0))</f>
        <v>724</v>
      </c>
      <c r="U770" t="str">
        <f>IF($A770="","",IF($A770=经营数据!$B$3,COUNTIFS($S$2:$S$3000,1,$A$2:$A$3000,$A770,$T$2:$T$3000,"&lt;"&amp;$T770)+1,""))</f>
        <v/>
      </c>
      <c r="V770" t="str">
        <f t="shared" ref="V770:V833" si="190">IF($A770="","",$I770&amp;"|"&amp;$H770)</f>
        <v>华天项目|服务价格</v>
      </c>
      <c r="W770">
        <f t="shared" ref="W770:W833" si="191">IF($A770="","",MATCH($V770,$V$2:$V$3000,0))</f>
        <v>728</v>
      </c>
      <c r="X770" t="str">
        <f t="shared" ref="X770:X833" si="192">IF($A770="","",$I770&amp;"|"&amp;$D770)</f>
        <v>华天项目|期内租金单价水平</v>
      </c>
      <c r="Y770">
        <f t="shared" ref="Y770:Y833" si="193">IF($A770="","",MATCH($X770,$X$2:$X$3000,0))</f>
        <v>728</v>
      </c>
      <c r="Z770">
        <f>IF($A770="",0,IF(AND($M770=1,$A770=经营数据!$B$3,$J770=经营数据!$BA$5,OR($I770=经营数据!$BA$4,COUNTIF(经营数据!$AA$9:$AA$38,$I770)&gt;0)),1,0))</f>
        <v>0</v>
      </c>
      <c r="AA770" t="str">
        <f t="shared" ref="AA770:AA833" si="194">IF($Z770=1,$U770*1000000000000+$W770*100000000+$Y770*10000+ROW(),"")</f>
        <v/>
      </c>
      <c r="AB770" t="str">
        <f t="shared" ref="AB770:AB833" si="195">IF($Z770=1,COUNTIFS($Z$2:$Z$3000,1,$AA$2:$AA$3000,"&lt;"&amp;$AA770)+1,"")</f>
        <v/>
      </c>
      <c r="AC770">
        <f>IF($A770="",0,IF(COUNTIF($A$2:$A770,$A770)=1,1,0))</f>
        <v>0</v>
      </c>
      <c r="AD770">
        <f t="shared" ref="AD770:AD833" si="196">IF($A770="",N(AD769),IF($AC770=1,N(AD769)+1,N(AD769)))</f>
        <v>8</v>
      </c>
      <c r="AE770" t="str">
        <f t="shared" ref="AE770:AE833" si="197">IF($A770="","",$I770&amp;"|"&amp;$K770)</f>
        <v>华天项目|期内租金单价水平（元/平方米/天）</v>
      </c>
    </row>
    <row r="771" spans="1:31" x14ac:dyDescent="0.4">
      <c r="A771" t="str">
        <f>IF(原始经营数据!$D772="","",原始经营数据!$D772)</f>
        <v>嘉实物美消费封闭式基础设施证券投资基金</v>
      </c>
      <c r="B771" t="str">
        <f>IF(原始经营数据!$D772="","",T(原始经营数据!$E772))</f>
        <v>华天项目</v>
      </c>
      <c r="C771" t="str">
        <f>IF(原始经营数据!$D772="","",原始经营数据!$F772)</f>
        <v>2025Q4</v>
      </c>
      <c r="D771" t="str">
        <f>IF(原始经营数据!$D772="","",原始经营数据!$H772)</f>
        <v>期末实际出租面积</v>
      </c>
      <c r="E771">
        <f>IF(原始经营数据!$D772="","",原始经营数据!$I772)</f>
        <v>13932.14</v>
      </c>
      <c r="F771" t="str">
        <f>IF(原始经营数据!$D772="","",T(原始经营数据!$J772))</f>
        <v>平方米</v>
      </c>
      <c r="G771" t="str">
        <f>IF(原始经营数据!$D772="","",T(原始经营数据!$K772))</f>
        <v/>
      </c>
      <c r="H771" t="str">
        <f>IF(原始经营数据!$D772="","",原始经营数据!$G772)</f>
        <v>服务量</v>
      </c>
      <c r="I771" t="str">
        <f>IF($A771="","",IF($B771&lt;&gt;"",$B771,IF(COUNTIFS(原始经营数据!$D$3:$D$3001,$A771,原始经营数据!$E$3:$E$3001,"",原始经营数据!$F$3:$F$3001,$C771,原始经营数据!$H$3:$H$3001,$D771,原始经营数据!$K$3:$K$3001,$G771)&gt;1,"基金整体·来源"&amp;原始经营数据!$A772,"基金整体")))</f>
        <v>华天项目</v>
      </c>
      <c r="J771" t="str">
        <f t="shared" si="183"/>
        <v>季度</v>
      </c>
      <c r="K771" t="str">
        <f t="shared" si="184"/>
        <v>期末实际出租面积（平方米）</v>
      </c>
      <c r="L771" t="str">
        <f t="shared" si="185"/>
        <v>华天项目|期末实际出租面积（平方米）|季度</v>
      </c>
      <c r="M771">
        <f>IF($A771="",0,IF(COUNTIF($L$2:$L771,$L771)=1,1,0))</f>
        <v>0</v>
      </c>
      <c r="N771">
        <f t="shared" si="186"/>
        <v>20254</v>
      </c>
      <c r="O771" t="str">
        <f t="shared" si="187"/>
        <v>嘉实物美消费封闭式基础设施证券投资基金|2025Q4|季度</v>
      </c>
      <c r="P771">
        <f>IF($A771="",0,IF(COUNTIF($O$2:$O771,$O771)=1,1,0))</f>
        <v>0</v>
      </c>
      <c r="Q771" t="str">
        <f>IF(AND($P771=1,$A771=经营数据!$B$3,$J771=经营数据!$BA$5),COUNTIFS($P$2:$P$3000,1,$A$2:$A$3000,$A771,$J$2:$J$3000,$J771,$N$2:$N$3000,"&lt;"&amp;$N771)+1,"")</f>
        <v/>
      </c>
      <c r="R771" t="str">
        <f t="shared" si="188"/>
        <v>嘉实物美消费封闭式基础设施证券投资基金|华天项目</v>
      </c>
      <c r="S771">
        <f>IF($A771="",0,IF(COUNTIF($R$2:$R771,$R771)=1,1,0))</f>
        <v>0</v>
      </c>
      <c r="T771">
        <f t="shared" si="189"/>
        <v>724</v>
      </c>
      <c r="U771" t="str">
        <f>IF($A771="","",IF($A771=经营数据!$B$3,COUNTIFS($S$2:$S$3000,1,$A$2:$A$3000,$A771,$T$2:$T$3000,"&lt;"&amp;$T771)+1,""))</f>
        <v/>
      </c>
      <c r="V771" t="str">
        <f t="shared" si="190"/>
        <v>华天项目|服务量</v>
      </c>
      <c r="W771">
        <f t="shared" si="191"/>
        <v>724</v>
      </c>
      <c r="X771" t="str">
        <f t="shared" si="192"/>
        <v>华天项目|期末实际出租面积</v>
      </c>
      <c r="Y771">
        <f t="shared" si="193"/>
        <v>726</v>
      </c>
      <c r="Z771">
        <f>IF($A771="",0,IF(AND($M771=1,$A771=经营数据!$B$3,$J771=经营数据!$BA$5,OR($I771=经营数据!$BA$4,COUNTIF(经营数据!$AA$9:$AA$38,$I771)&gt;0)),1,0))</f>
        <v>0</v>
      </c>
      <c r="AA771" t="str">
        <f t="shared" si="194"/>
        <v/>
      </c>
      <c r="AB771" t="str">
        <f t="shared" si="195"/>
        <v/>
      </c>
      <c r="AC771">
        <f>IF($A771="",0,IF(COUNTIF($A$2:$A771,$A771)=1,1,0))</f>
        <v>0</v>
      </c>
      <c r="AD771">
        <f t="shared" si="196"/>
        <v>8</v>
      </c>
      <c r="AE771" t="str">
        <f t="shared" si="197"/>
        <v>华天项目|期末实际出租面积（平方米）</v>
      </c>
    </row>
    <row r="772" spans="1:31" x14ac:dyDescent="0.4">
      <c r="A772" t="str">
        <f>IF(原始经营数据!$D773="","",原始经营数据!$D773)</f>
        <v>嘉实物美消费封闭式基础设施证券投资基金</v>
      </c>
      <c r="B772" t="str">
        <f>IF(原始经营数据!$D773="","",T(原始经营数据!$E773))</f>
        <v>华天项目</v>
      </c>
      <c r="C772" t="str">
        <f>IF(原始经营数据!$D773="","",原始经营数据!$F773)</f>
        <v>2025Q4</v>
      </c>
      <c r="D772" t="str">
        <f>IF(原始经营数据!$D773="","",原始经营数据!$H773)</f>
        <v>期末可供出租面积</v>
      </c>
      <c r="E772">
        <f>IF(原始经营数据!$D773="","",原始经营数据!$I773)</f>
        <v>15280.73</v>
      </c>
      <c r="F772" t="str">
        <f>IF(原始经营数据!$D773="","",T(原始经营数据!$J773))</f>
        <v>平方米</v>
      </c>
      <c r="G772" t="str">
        <f>IF(原始经营数据!$D773="","",T(原始经营数据!$K773))</f>
        <v/>
      </c>
      <c r="H772" t="str">
        <f>IF(原始经营数据!$D773="","",原始经营数据!$G773)</f>
        <v>服务量</v>
      </c>
      <c r="I772" t="str">
        <f>IF($A772="","",IF($B772&lt;&gt;"",$B772,IF(COUNTIFS(原始经营数据!$D$3:$D$3001,$A772,原始经营数据!$E$3:$E$3001,"",原始经营数据!$F$3:$F$3001,$C772,原始经营数据!$H$3:$H$3001,$D772,原始经营数据!$K$3:$K$3001,$G772)&gt;1,"基金整体·来源"&amp;原始经营数据!$A773,"基金整体")))</f>
        <v>华天项目</v>
      </c>
      <c r="J772" t="str">
        <f t="shared" si="183"/>
        <v>季度</v>
      </c>
      <c r="K772" t="str">
        <f t="shared" si="184"/>
        <v>期末可供出租面积（平方米）</v>
      </c>
      <c r="L772" t="str">
        <f t="shared" si="185"/>
        <v>华天项目|期末可供出租面积（平方米）|季度</v>
      </c>
      <c r="M772">
        <f>IF($A772="",0,IF(COUNTIF($L$2:$L772,$L772)=1,1,0))</f>
        <v>0</v>
      </c>
      <c r="N772">
        <f t="shared" si="186"/>
        <v>20254</v>
      </c>
      <c r="O772" t="str">
        <f t="shared" si="187"/>
        <v>嘉实物美消费封闭式基础设施证券投资基金|2025Q4|季度</v>
      </c>
      <c r="P772">
        <f>IF($A772="",0,IF(COUNTIF($O$2:$O772,$O772)=1,1,0))</f>
        <v>0</v>
      </c>
      <c r="Q772" t="str">
        <f>IF(AND($P772=1,$A772=经营数据!$B$3,$J772=经营数据!$BA$5),COUNTIFS($P$2:$P$3000,1,$A$2:$A$3000,$A772,$J$2:$J$3000,$J772,$N$2:$N$3000,"&lt;"&amp;$N772)+1,"")</f>
        <v/>
      </c>
      <c r="R772" t="str">
        <f t="shared" si="188"/>
        <v>嘉实物美消费封闭式基础设施证券投资基金|华天项目</v>
      </c>
      <c r="S772">
        <f>IF($A772="",0,IF(COUNTIF($R$2:$R772,$R772)=1,1,0))</f>
        <v>0</v>
      </c>
      <c r="T772">
        <f t="shared" si="189"/>
        <v>724</v>
      </c>
      <c r="U772" t="str">
        <f>IF($A772="","",IF($A772=经营数据!$B$3,COUNTIFS($S$2:$S$3000,1,$A$2:$A$3000,$A772,$T$2:$T$3000,"&lt;"&amp;$T772)+1,""))</f>
        <v/>
      </c>
      <c r="V772" t="str">
        <f t="shared" si="190"/>
        <v>华天项目|服务量</v>
      </c>
      <c r="W772">
        <f t="shared" si="191"/>
        <v>724</v>
      </c>
      <c r="X772" t="str">
        <f t="shared" si="192"/>
        <v>华天项目|期末可供出租面积</v>
      </c>
      <c r="Y772">
        <f t="shared" si="193"/>
        <v>725</v>
      </c>
      <c r="Z772">
        <f>IF($A772="",0,IF(AND($M772=1,$A772=经营数据!$B$3,$J772=经营数据!$BA$5,OR($I772=经营数据!$BA$4,COUNTIF(经营数据!$AA$9:$AA$38,$I772)&gt;0)),1,0))</f>
        <v>0</v>
      </c>
      <c r="AA772" t="str">
        <f t="shared" si="194"/>
        <v/>
      </c>
      <c r="AB772" t="str">
        <f t="shared" si="195"/>
        <v/>
      </c>
      <c r="AC772">
        <f>IF($A772="",0,IF(COUNTIF($A$2:$A772,$A772)=1,1,0))</f>
        <v>0</v>
      </c>
      <c r="AD772">
        <f t="shared" si="196"/>
        <v>8</v>
      </c>
      <c r="AE772" t="str">
        <f t="shared" si="197"/>
        <v>华天项目|期末可供出租面积（平方米）</v>
      </c>
    </row>
    <row r="773" spans="1:31" x14ac:dyDescent="0.4">
      <c r="A773" t="str">
        <f>IF(原始经营数据!$D774="","",原始经营数据!$D774)</f>
        <v>嘉实物美消费封闭式基础设施证券投资基金</v>
      </c>
      <c r="B773" t="str">
        <f>IF(原始经营数据!$D774="","",T(原始经营数据!$E774))</f>
        <v>华天项目</v>
      </c>
      <c r="C773" t="str">
        <f>IF(原始经营数据!$D774="","",原始经营数据!$F774)</f>
        <v>2026Q1</v>
      </c>
      <c r="D773" t="str">
        <f>IF(原始经营数据!$D774="","",原始经营数据!$H774)</f>
        <v>期末租金收缴率</v>
      </c>
      <c r="E773">
        <f>IF(原始经营数据!$D774="","",原始经营数据!$I774)</f>
        <v>99.54</v>
      </c>
      <c r="F773" t="str">
        <f>IF(原始经营数据!$D774="","",T(原始经营数据!$J774))</f>
        <v>%</v>
      </c>
      <c r="G773" t="str">
        <f>IF(原始经营数据!$D774="","",T(原始经营数据!$K774))</f>
        <v/>
      </c>
      <c r="H773" t="str">
        <f>IF(原始经营数据!$D774="","",原始经营数据!$G774)</f>
        <v>服务效率</v>
      </c>
      <c r="I773" t="str">
        <f>IF($A773="","",IF($B773&lt;&gt;"",$B773,IF(COUNTIFS(原始经营数据!$D$3:$D$3001,$A773,原始经营数据!$E$3:$E$3001,"",原始经营数据!$F$3:$F$3001,$C773,原始经营数据!$H$3:$H$3001,$D773,原始经营数据!$K$3:$K$3001,$G773)&gt;1,"基金整体·来源"&amp;原始经营数据!$A774,"基金整体")))</f>
        <v>华天项目</v>
      </c>
      <c r="J773" t="str">
        <f t="shared" si="183"/>
        <v>季度</v>
      </c>
      <c r="K773" t="str">
        <f t="shared" si="184"/>
        <v>期末租金收缴率（%）</v>
      </c>
      <c r="L773" t="str">
        <f t="shared" si="185"/>
        <v>华天项目|期末租金收缴率（%）|季度</v>
      </c>
      <c r="M773">
        <f>IF($A773="",0,IF(COUNTIF($L$2:$L773,$L773)=1,1,0))</f>
        <v>0</v>
      </c>
      <c r="N773">
        <f t="shared" si="186"/>
        <v>20261</v>
      </c>
      <c r="O773" t="str">
        <f t="shared" si="187"/>
        <v>嘉实物美消费封闭式基础设施证券投资基金|2026Q1|季度</v>
      </c>
      <c r="P773">
        <f>IF($A773="",0,IF(COUNTIF($O$2:$O773,$O773)=1,1,0))</f>
        <v>0</v>
      </c>
      <c r="Q773" t="str">
        <f>IF(AND($P773=1,$A773=经营数据!$B$3,$J773=经营数据!$BA$5),COUNTIFS($P$2:$P$3000,1,$A$2:$A$3000,$A773,$J$2:$J$3000,$J773,$N$2:$N$3000,"&lt;"&amp;$N773)+1,"")</f>
        <v/>
      </c>
      <c r="R773" t="str">
        <f t="shared" si="188"/>
        <v>嘉实物美消费封闭式基础设施证券投资基金|华天项目</v>
      </c>
      <c r="S773">
        <f>IF($A773="",0,IF(COUNTIF($R$2:$R773,$R773)=1,1,0))</f>
        <v>0</v>
      </c>
      <c r="T773">
        <f t="shared" si="189"/>
        <v>724</v>
      </c>
      <c r="U773" t="str">
        <f>IF($A773="","",IF($A773=经营数据!$B$3,COUNTIFS($S$2:$S$3000,1,$A$2:$A$3000,$A773,$T$2:$T$3000,"&lt;"&amp;$T773)+1,""))</f>
        <v/>
      </c>
      <c r="V773" t="str">
        <f t="shared" si="190"/>
        <v>华天项目|服务效率</v>
      </c>
      <c r="W773">
        <f t="shared" si="191"/>
        <v>727</v>
      </c>
      <c r="X773" t="str">
        <f t="shared" si="192"/>
        <v>华天项目|期末租金收缴率</v>
      </c>
      <c r="Y773">
        <f t="shared" si="193"/>
        <v>729</v>
      </c>
      <c r="Z773">
        <f>IF($A773="",0,IF(AND($M773=1,$A773=经营数据!$B$3,$J773=经营数据!$BA$5,OR($I773=经营数据!$BA$4,COUNTIF(经营数据!$AA$9:$AA$38,$I773)&gt;0)),1,0))</f>
        <v>0</v>
      </c>
      <c r="AA773" t="str">
        <f t="shared" si="194"/>
        <v/>
      </c>
      <c r="AB773" t="str">
        <f t="shared" si="195"/>
        <v/>
      </c>
      <c r="AC773">
        <f>IF($A773="",0,IF(COUNTIF($A$2:$A773,$A773)=1,1,0))</f>
        <v>0</v>
      </c>
      <c r="AD773">
        <f t="shared" si="196"/>
        <v>8</v>
      </c>
      <c r="AE773" t="str">
        <f t="shared" si="197"/>
        <v>华天项目|期末租金收缴率（%）</v>
      </c>
    </row>
    <row r="774" spans="1:31" x14ac:dyDescent="0.4">
      <c r="A774" t="str">
        <f>IF(原始经营数据!$D775="","",原始经营数据!$D775)</f>
        <v>嘉实物美消费封闭式基础设施证券投资基金</v>
      </c>
      <c r="B774" t="str">
        <f>IF(原始经营数据!$D775="","",T(原始经营数据!$E775))</f>
        <v>华天项目</v>
      </c>
      <c r="C774" t="str">
        <f>IF(原始经营数据!$D775="","",原始经营数据!$F775)</f>
        <v>2026Q1</v>
      </c>
      <c r="D774" t="str">
        <f>IF(原始经营数据!$D775="","",原始经营数据!$H775)</f>
        <v>期末可供出租面积</v>
      </c>
      <c r="E774">
        <f>IF(原始经营数据!$D775="","",原始经营数据!$I775)</f>
        <v>15280.73</v>
      </c>
      <c r="F774" t="str">
        <f>IF(原始经营数据!$D775="","",T(原始经营数据!$J775))</f>
        <v>平方米</v>
      </c>
      <c r="G774" t="str">
        <f>IF(原始经营数据!$D775="","",T(原始经营数据!$K775))</f>
        <v/>
      </c>
      <c r="H774" t="str">
        <f>IF(原始经营数据!$D775="","",原始经营数据!$G775)</f>
        <v>服务量</v>
      </c>
      <c r="I774" t="str">
        <f>IF($A774="","",IF($B774&lt;&gt;"",$B774,IF(COUNTIFS(原始经营数据!$D$3:$D$3001,$A774,原始经营数据!$E$3:$E$3001,"",原始经营数据!$F$3:$F$3001,$C774,原始经营数据!$H$3:$H$3001,$D774,原始经营数据!$K$3:$K$3001,$G774)&gt;1,"基金整体·来源"&amp;原始经营数据!$A775,"基金整体")))</f>
        <v>华天项目</v>
      </c>
      <c r="J774" t="str">
        <f t="shared" si="183"/>
        <v>季度</v>
      </c>
      <c r="K774" t="str">
        <f t="shared" si="184"/>
        <v>期末可供出租面积（平方米）</v>
      </c>
      <c r="L774" t="str">
        <f t="shared" si="185"/>
        <v>华天项目|期末可供出租面积（平方米）|季度</v>
      </c>
      <c r="M774">
        <f>IF($A774="",0,IF(COUNTIF($L$2:$L774,$L774)=1,1,0))</f>
        <v>0</v>
      </c>
      <c r="N774">
        <f t="shared" si="186"/>
        <v>20261</v>
      </c>
      <c r="O774" t="str">
        <f t="shared" si="187"/>
        <v>嘉实物美消费封闭式基础设施证券投资基金|2026Q1|季度</v>
      </c>
      <c r="P774">
        <f>IF($A774="",0,IF(COUNTIF($O$2:$O774,$O774)=1,1,0))</f>
        <v>0</v>
      </c>
      <c r="Q774" t="str">
        <f>IF(AND($P774=1,$A774=经营数据!$B$3,$J774=经营数据!$BA$5),COUNTIFS($P$2:$P$3000,1,$A$2:$A$3000,$A774,$J$2:$J$3000,$J774,$N$2:$N$3000,"&lt;"&amp;$N774)+1,"")</f>
        <v/>
      </c>
      <c r="R774" t="str">
        <f t="shared" si="188"/>
        <v>嘉实物美消费封闭式基础设施证券投资基金|华天项目</v>
      </c>
      <c r="S774">
        <f>IF($A774="",0,IF(COUNTIF($R$2:$R774,$R774)=1,1,0))</f>
        <v>0</v>
      </c>
      <c r="T774">
        <f t="shared" si="189"/>
        <v>724</v>
      </c>
      <c r="U774" t="str">
        <f>IF($A774="","",IF($A774=经营数据!$B$3,COUNTIFS($S$2:$S$3000,1,$A$2:$A$3000,$A774,$T$2:$T$3000,"&lt;"&amp;$T774)+1,""))</f>
        <v/>
      </c>
      <c r="V774" t="str">
        <f t="shared" si="190"/>
        <v>华天项目|服务量</v>
      </c>
      <c r="W774">
        <f t="shared" si="191"/>
        <v>724</v>
      </c>
      <c r="X774" t="str">
        <f t="shared" si="192"/>
        <v>华天项目|期末可供出租面积</v>
      </c>
      <c r="Y774">
        <f t="shared" si="193"/>
        <v>725</v>
      </c>
      <c r="Z774">
        <f>IF($A774="",0,IF(AND($M774=1,$A774=经营数据!$B$3,$J774=经营数据!$BA$5,OR($I774=经营数据!$BA$4,COUNTIF(经营数据!$AA$9:$AA$38,$I774)&gt;0)),1,0))</f>
        <v>0</v>
      </c>
      <c r="AA774" t="str">
        <f t="shared" si="194"/>
        <v/>
      </c>
      <c r="AB774" t="str">
        <f t="shared" si="195"/>
        <v/>
      </c>
      <c r="AC774">
        <f>IF($A774="",0,IF(COUNTIF($A$2:$A774,$A774)=1,1,0))</f>
        <v>0</v>
      </c>
      <c r="AD774">
        <f t="shared" si="196"/>
        <v>8</v>
      </c>
      <c r="AE774" t="str">
        <f t="shared" si="197"/>
        <v>华天项目|期末可供出租面积（平方米）</v>
      </c>
    </row>
    <row r="775" spans="1:31" x14ac:dyDescent="0.4">
      <c r="A775" t="str">
        <f>IF(原始经营数据!$D776="","",原始经营数据!$D776)</f>
        <v>嘉实物美消费封闭式基础设施证券投资基金</v>
      </c>
      <c r="B775" t="str">
        <f>IF(原始经营数据!$D776="","",T(原始经营数据!$E776))</f>
        <v>华天项目</v>
      </c>
      <c r="C775" t="str">
        <f>IF(原始经营数据!$D776="","",原始经营数据!$F776)</f>
        <v>2026Q1</v>
      </c>
      <c r="D775" t="str">
        <f>IF(原始经营数据!$D776="","",原始经营数据!$H776)</f>
        <v>期末实际出租面积</v>
      </c>
      <c r="E775">
        <f>IF(原始经营数据!$D776="","",原始经营数据!$I776)</f>
        <v>13817.6</v>
      </c>
      <c r="F775" t="str">
        <f>IF(原始经营数据!$D776="","",T(原始经营数据!$J776))</f>
        <v>平方米</v>
      </c>
      <c r="G775" t="str">
        <f>IF(原始经营数据!$D776="","",T(原始经营数据!$K776))</f>
        <v/>
      </c>
      <c r="H775" t="str">
        <f>IF(原始经营数据!$D776="","",原始经营数据!$G776)</f>
        <v>服务量</v>
      </c>
      <c r="I775" t="str">
        <f>IF($A775="","",IF($B775&lt;&gt;"",$B775,IF(COUNTIFS(原始经营数据!$D$3:$D$3001,$A775,原始经营数据!$E$3:$E$3001,"",原始经营数据!$F$3:$F$3001,$C775,原始经营数据!$H$3:$H$3001,$D775,原始经营数据!$K$3:$K$3001,$G775)&gt;1,"基金整体·来源"&amp;原始经营数据!$A776,"基金整体")))</f>
        <v>华天项目</v>
      </c>
      <c r="J775" t="str">
        <f t="shared" si="183"/>
        <v>季度</v>
      </c>
      <c r="K775" t="str">
        <f t="shared" si="184"/>
        <v>期末实际出租面积（平方米）</v>
      </c>
      <c r="L775" t="str">
        <f t="shared" si="185"/>
        <v>华天项目|期末实际出租面积（平方米）|季度</v>
      </c>
      <c r="M775">
        <f>IF($A775="",0,IF(COUNTIF($L$2:$L775,$L775)=1,1,0))</f>
        <v>0</v>
      </c>
      <c r="N775">
        <f t="shared" si="186"/>
        <v>20261</v>
      </c>
      <c r="O775" t="str">
        <f t="shared" si="187"/>
        <v>嘉实物美消费封闭式基础设施证券投资基金|2026Q1|季度</v>
      </c>
      <c r="P775">
        <f>IF($A775="",0,IF(COUNTIF($O$2:$O775,$O775)=1,1,0))</f>
        <v>0</v>
      </c>
      <c r="Q775" t="str">
        <f>IF(AND($P775=1,$A775=经营数据!$B$3,$J775=经营数据!$BA$5),COUNTIFS($P$2:$P$3000,1,$A$2:$A$3000,$A775,$J$2:$J$3000,$J775,$N$2:$N$3000,"&lt;"&amp;$N775)+1,"")</f>
        <v/>
      </c>
      <c r="R775" t="str">
        <f t="shared" si="188"/>
        <v>嘉实物美消费封闭式基础设施证券投资基金|华天项目</v>
      </c>
      <c r="S775">
        <f>IF($A775="",0,IF(COUNTIF($R$2:$R775,$R775)=1,1,0))</f>
        <v>0</v>
      </c>
      <c r="T775">
        <f t="shared" si="189"/>
        <v>724</v>
      </c>
      <c r="U775" t="str">
        <f>IF($A775="","",IF($A775=经营数据!$B$3,COUNTIFS($S$2:$S$3000,1,$A$2:$A$3000,$A775,$T$2:$T$3000,"&lt;"&amp;$T775)+1,""))</f>
        <v/>
      </c>
      <c r="V775" t="str">
        <f t="shared" si="190"/>
        <v>华天项目|服务量</v>
      </c>
      <c r="W775">
        <f t="shared" si="191"/>
        <v>724</v>
      </c>
      <c r="X775" t="str">
        <f t="shared" si="192"/>
        <v>华天项目|期末实际出租面积</v>
      </c>
      <c r="Y775">
        <f t="shared" si="193"/>
        <v>726</v>
      </c>
      <c r="Z775">
        <f>IF($A775="",0,IF(AND($M775=1,$A775=经营数据!$B$3,$J775=经营数据!$BA$5,OR($I775=经营数据!$BA$4,COUNTIF(经营数据!$AA$9:$AA$38,$I775)&gt;0)),1,0))</f>
        <v>0</v>
      </c>
      <c r="AA775" t="str">
        <f t="shared" si="194"/>
        <v/>
      </c>
      <c r="AB775" t="str">
        <f t="shared" si="195"/>
        <v/>
      </c>
      <c r="AC775">
        <f>IF($A775="",0,IF(COUNTIF($A$2:$A775,$A775)=1,1,0))</f>
        <v>0</v>
      </c>
      <c r="AD775">
        <f t="shared" si="196"/>
        <v>8</v>
      </c>
      <c r="AE775" t="str">
        <f t="shared" si="197"/>
        <v>华天项目|期末实际出租面积（平方米）</v>
      </c>
    </row>
    <row r="776" spans="1:31" x14ac:dyDescent="0.4">
      <c r="A776" t="str">
        <f>IF(原始经营数据!$D777="","",原始经营数据!$D777)</f>
        <v>嘉实物美消费封闭式基础设施证券投资基金</v>
      </c>
      <c r="B776" t="str">
        <f>IF(原始经营数据!$D777="","",T(原始经营数据!$E777))</f>
        <v>华天项目</v>
      </c>
      <c r="C776" t="str">
        <f>IF(原始经营数据!$D777="","",原始经营数据!$F777)</f>
        <v>2026Q1</v>
      </c>
      <c r="D776" t="str">
        <f>IF(原始经营数据!$D777="","",原始经营数据!$H777)</f>
        <v>期末出租率</v>
      </c>
      <c r="E776">
        <f>IF(原始经营数据!$D777="","",原始经营数据!$I777)</f>
        <v>90.42</v>
      </c>
      <c r="F776" t="str">
        <f>IF(原始经营数据!$D777="","",T(原始经营数据!$J777))</f>
        <v>%</v>
      </c>
      <c r="G776" t="str">
        <f>IF(原始经营数据!$D777="","",T(原始经营数据!$K777))</f>
        <v/>
      </c>
      <c r="H776" t="str">
        <f>IF(原始经营数据!$D777="","",原始经营数据!$G777)</f>
        <v>服务效率</v>
      </c>
      <c r="I776" t="str">
        <f>IF($A776="","",IF($B776&lt;&gt;"",$B776,IF(COUNTIFS(原始经营数据!$D$3:$D$3001,$A776,原始经营数据!$E$3:$E$3001,"",原始经营数据!$F$3:$F$3001,$C776,原始经营数据!$H$3:$H$3001,$D776,原始经营数据!$K$3:$K$3001,$G776)&gt;1,"基金整体·来源"&amp;原始经营数据!$A777,"基金整体")))</f>
        <v>华天项目</v>
      </c>
      <c r="J776" t="str">
        <f t="shared" si="183"/>
        <v>季度</v>
      </c>
      <c r="K776" t="str">
        <f t="shared" si="184"/>
        <v>期末出租率（%）</v>
      </c>
      <c r="L776" t="str">
        <f t="shared" si="185"/>
        <v>华天项目|期末出租率（%）|季度</v>
      </c>
      <c r="M776">
        <f>IF($A776="",0,IF(COUNTIF($L$2:$L776,$L776)=1,1,0))</f>
        <v>0</v>
      </c>
      <c r="N776">
        <f t="shared" si="186"/>
        <v>20261</v>
      </c>
      <c r="O776" t="str">
        <f t="shared" si="187"/>
        <v>嘉实物美消费封闭式基础设施证券投资基金|2026Q1|季度</v>
      </c>
      <c r="P776">
        <f>IF($A776="",0,IF(COUNTIF($O$2:$O776,$O776)=1,1,0))</f>
        <v>0</v>
      </c>
      <c r="Q776" t="str">
        <f>IF(AND($P776=1,$A776=经营数据!$B$3,$J776=经营数据!$BA$5),COUNTIFS($P$2:$P$3000,1,$A$2:$A$3000,$A776,$J$2:$J$3000,$J776,$N$2:$N$3000,"&lt;"&amp;$N776)+1,"")</f>
        <v/>
      </c>
      <c r="R776" t="str">
        <f t="shared" si="188"/>
        <v>嘉实物美消费封闭式基础设施证券投资基金|华天项目</v>
      </c>
      <c r="S776">
        <f>IF($A776="",0,IF(COUNTIF($R$2:$R776,$R776)=1,1,0))</f>
        <v>0</v>
      </c>
      <c r="T776">
        <f t="shared" si="189"/>
        <v>724</v>
      </c>
      <c r="U776" t="str">
        <f>IF($A776="","",IF($A776=经营数据!$B$3,COUNTIFS($S$2:$S$3000,1,$A$2:$A$3000,$A776,$T$2:$T$3000,"&lt;"&amp;$T776)+1,""))</f>
        <v/>
      </c>
      <c r="V776" t="str">
        <f t="shared" si="190"/>
        <v>华天项目|服务效率</v>
      </c>
      <c r="W776">
        <f t="shared" si="191"/>
        <v>727</v>
      </c>
      <c r="X776" t="str">
        <f t="shared" si="192"/>
        <v>华天项目|期末出租率</v>
      </c>
      <c r="Y776">
        <f t="shared" si="193"/>
        <v>727</v>
      </c>
      <c r="Z776">
        <f>IF($A776="",0,IF(AND($M776=1,$A776=经营数据!$B$3,$J776=经营数据!$BA$5,OR($I776=经营数据!$BA$4,COUNTIF(经营数据!$AA$9:$AA$38,$I776)&gt;0)),1,0))</f>
        <v>0</v>
      </c>
      <c r="AA776" t="str">
        <f t="shared" si="194"/>
        <v/>
      </c>
      <c r="AB776" t="str">
        <f t="shared" si="195"/>
        <v/>
      </c>
      <c r="AC776">
        <f>IF($A776="",0,IF(COUNTIF($A$2:$A776,$A776)=1,1,0))</f>
        <v>0</v>
      </c>
      <c r="AD776">
        <f t="shared" si="196"/>
        <v>8</v>
      </c>
      <c r="AE776" t="str">
        <f t="shared" si="197"/>
        <v>华天项目|期末出租率（%）</v>
      </c>
    </row>
    <row r="777" spans="1:31" x14ac:dyDescent="0.4">
      <c r="A777" t="str">
        <f>IF(原始经营数据!$D778="","",原始经营数据!$D778)</f>
        <v>嘉实物美消费封闭式基础设施证券投资基金</v>
      </c>
      <c r="B777" t="str">
        <f>IF(原始经营数据!$D778="","",T(原始经营数据!$E778))</f>
        <v>华天项目</v>
      </c>
      <c r="C777" t="str">
        <f>IF(原始经营数据!$D778="","",原始经营数据!$F778)</f>
        <v>2026Q1</v>
      </c>
      <c r="D777" t="str">
        <f>IF(原始经营数据!$D778="","",原始经营数据!$H778)</f>
        <v>期内租金单价水平</v>
      </c>
      <c r="E777">
        <f>IF(原始经营数据!$D778="","",原始经营数据!$I778)</f>
        <v>3.47</v>
      </c>
      <c r="F777" t="str">
        <f>IF(原始经营数据!$D778="","",T(原始经营数据!$J778))</f>
        <v>元/平方米/天</v>
      </c>
      <c r="G777" t="str">
        <f>IF(原始经营数据!$D778="","",T(原始经营数据!$K778))</f>
        <v/>
      </c>
      <c r="H777" t="str">
        <f>IF(原始经营数据!$D778="","",原始经营数据!$G778)</f>
        <v>服务价格</v>
      </c>
      <c r="I777" t="str">
        <f>IF($A777="","",IF($B777&lt;&gt;"",$B777,IF(COUNTIFS(原始经营数据!$D$3:$D$3001,$A777,原始经营数据!$E$3:$E$3001,"",原始经营数据!$F$3:$F$3001,$C777,原始经营数据!$H$3:$H$3001,$D777,原始经营数据!$K$3:$K$3001,$G777)&gt;1,"基金整体·来源"&amp;原始经营数据!$A778,"基金整体")))</f>
        <v>华天项目</v>
      </c>
      <c r="J777" t="str">
        <f t="shared" si="183"/>
        <v>季度</v>
      </c>
      <c r="K777" t="str">
        <f t="shared" si="184"/>
        <v>期内租金单价水平（元/平方米/天）</v>
      </c>
      <c r="L777" t="str">
        <f t="shared" si="185"/>
        <v>华天项目|期内租金单价水平（元/平方米/天）|季度</v>
      </c>
      <c r="M777">
        <f>IF($A777="",0,IF(COUNTIF($L$2:$L777,$L777)=1,1,0))</f>
        <v>0</v>
      </c>
      <c r="N777">
        <f t="shared" si="186"/>
        <v>20261</v>
      </c>
      <c r="O777" t="str">
        <f t="shared" si="187"/>
        <v>嘉实物美消费封闭式基础设施证券投资基金|2026Q1|季度</v>
      </c>
      <c r="P777">
        <f>IF($A777="",0,IF(COUNTIF($O$2:$O777,$O777)=1,1,0))</f>
        <v>0</v>
      </c>
      <c r="Q777" t="str">
        <f>IF(AND($P777=1,$A777=经营数据!$B$3,$J777=经营数据!$BA$5),COUNTIFS($P$2:$P$3000,1,$A$2:$A$3000,$A777,$J$2:$J$3000,$J777,$N$2:$N$3000,"&lt;"&amp;$N777)+1,"")</f>
        <v/>
      </c>
      <c r="R777" t="str">
        <f t="shared" si="188"/>
        <v>嘉实物美消费封闭式基础设施证券投资基金|华天项目</v>
      </c>
      <c r="S777">
        <f>IF($A777="",0,IF(COUNTIF($R$2:$R777,$R777)=1,1,0))</f>
        <v>0</v>
      </c>
      <c r="T777">
        <f t="shared" si="189"/>
        <v>724</v>
      </c>
      <c r="U777" t="str">
        <f>IF($A777="","",IF($A777=经营数据!$B$3,COUNTIFS($S$2:$S$3000,1,$A$2:$A$3000,$A777,$T$2:$T$3000,"&lt;"&amp;$T777)+1,""))</f>
        <v/>
      </c>
      <c r="V777" t="str">
        <f t="shared" si="190"/>
        <v>华天项目|服务价格</v>
      </c>
      <c r="W777">
        <f t="shared" si="191"/>
        <v>728</v>
      </c>
      <c r="X777" t="str">
        <f t="shared" si="192"/>
        <v>华天项目|期内租金单价水平</v>
      </c>
      <c r="Y777">
        <f t="shared" si="193"/>
        <v>728</v>
      </c>
      <c r="Z777">
        <f>IF($A777="",0,IF(AND($M777=1,$A777=经营数据!$B$3,$J777=经营数据!$BA$5,OR($I777=经营数据!$BA$4,COUNTIF(经营数据!$AA$9:$AA$38,$I777)&gt;0)),1,0))</f>
        <v>0</v>
      </c>
      <c r="AA777" t="str">
        <f t="shared" si="194"/>
        <v/>
      </c>
      <c r="AB777" t="str">
        <f t="shared" si="195"/>
        <v/>
      </c>
      <c r="AC777">
        <f>IF($A777="",0,IF(COUNTIF($A$2:$A777,$A777)=1,1,0))</f>
        <v>0</v>
      </c>
      <c r="AD777">
        <f t="shared" si="196"/>
        <v>8</v>
      </c>
      <c r="AE777" t="str">
        <f t="shared" si="197"/>
        <v>华天项目|期内租金单价水平（元/平方米/天）</v>
      </c>
    </row>
    <row r="778" spans="1:31" x14ac:dyDescent="0.4">
      <c r="A778" t="str">
        <f>IF(原始经营数据!$D779="","",原始经营数据!$D779)</f>
        <v>嘉实物美消费封闭式基础设施证券投资基金</v>
      </c>
      <c r="B778" t="str">
        <f>IF(原始经营数据!$D779="","",T(原始经营数据!$E779))</f>
        <v>华天项目</v>
      </c>
      <c r="C778" t="str">
        <f>IF(原始经营数据!$D779="","",原始经营数据!$F779)</f>
        <v>2026Q1</v>
      </c>
      <c r="D778" t="str">
        <f>IF(原始经营数据!$D779="","",原始经营数据!$H779)</f>
        <v>期末剩余租期情况</v>
      </c>
      <c r="E778">
        <f>IF(原始经营数据!$D779="","",原始经营数据!$I779)</f>
        <v>6.16</v>
      </c>
      <c r="F778" t="str">
        <f>IF(原始经营数据!$D779="","",T(原始经营数据!$J779))</f>
        <v>年</v>
      </c>
      <c r="G778" t="str">
        <f>IF(原始经营数据!$D779="","",T(原始经营数据!$K779))</f>
        <v/>
      </c>
      <c r="H778" t="str">
        <f>IF(原始经营数据!$D779="","",原始经营数据!$G779)</f>
        <v>服务量</v>
      </c>
      <c r="I778" t="str">
        <f>IF($A778="","",IF($B778&lt;&gt;"",$B778,IF(COUNTIFS(原始经营数据!$D$3:$D$3001,$A778,原始经营数据!$E$3:$E$3001,"",原始经营数据!$F$3:$F$3001,$C778,原始经营数据!$H$3:$H$3001,$D778,原始经营数据!$K$3:$K$3001,$G778)&gt;1,"基金整体·来源"&amp;原始经营数据!$A779,"基金整体")))</f>
        <v>华天项目</v>
      </c>
      <c r="J778" t="str">
        <f t="shared" si="183"/>
        <v>季度</v>
      </c>
      <c r="K778" t="str">
        <f t="shared" si="184"/>
        <v>期末剩余租期情况（年）</v>
      </c>
      <c r="L778" t="str">
        <f t="shared" si="185"/>
        <v>华天项目|期末剩余租期情况（年）|季度</v>
      </c>
      <c r="M778">
        <f>IF($A778="",0,IF(COUNTIF($L$2:$L778,$L778)=1,1,0))</f>
        <v>0</v>
      </c>
      <c r="N778">
        <f t="shared" si="186"/>
        <v>20261</v>
      </c>
      <c r="O778" t="str">
        <f t="shared" si="187"/>
        <v>嘉实物美消费封闭式基础设施证券投资基金|2026Q1|季度</v>
      </c>
      <c r="P778">
        <f>IF($A778="",0,IF(COUNTIF($O$2:$O778,$O778)=1,1,0))</f>
        <v>0</v>
      </c>
      <c r="Q778" t="str">
        <f>IF(AND($P778=1,$A778=经营数据!$B$3,$J778=经营数据!$BA$5),COUNTIFS($P$2:$P$3000,1,$A$2:$A$3000,$A778,$J$2:$J$3000,$J778,$N$2:$N$3000,"&lt;"&amp;$N778)+1,"")</f>
        <v/>
      </c>
      <c r="R778" t="str">
        <f t="shared" si="188"/>
        <v>嘉实物美消费封闭式基础设施证券投资基金|华天项目</v>
      </c>
      <c r="S778">
        <f>IF($A778="",0,IF(COUNTIF($R$2:$R778,$R778)=1,1,0))</f>
        <v>0</v>
      </c>
      <c r="T778">
        <f t="shared" si="189"/>
        <v>724</v>
      </c>
      <c r="U778" t="str">
        <f>IF($A778="","",IF($A778=经营数据!$B$3,COUNTIFS($S$2:$S$3000,1,$A$2:$A$3000,$A778,$T$2:$T$3000,"&lt;"&amp;$T778)+1,""))</f>
        <v/>
      </c>
      <c r="V778" t="str">
        <f t="shared" si="190"/>
        <v>华天项目|服务量</v>
      </c>
      <c r="W778">
        <f t="shared" si="191"/>
        <v>724</v>
      </c>
      <c r="X778" t="str">
        <f t="shared" si="192"/>
        <v>华天项目|期末剩余租期情况</v>
      </c>
      <c r="Y778">
        <f t="shared" si="193"/>
        <v>724</v>
      </c>
      <c r="Z778">
        <f>IF($A778="",0,IF(AND($M778=1,$A778=经营数据!$B$3,$J778=经营数据!$BA$5,OR($I778=经营数据!$BA$4,COUNTIF(经营数据!$AA$9:$AA$38,$I778)&gt;0)),1,0))</f>
        <v>0</v>
      </c>
      <c r="AA778" t="str">
        <f t="shared" si="194"/>
        <v/>
      </c>
      <c r="AB778" t="str">
        <f t="shared" si="195"/>
        <v/>
      </c>
      <c r="AC778">
        <f>IF($A778="",0,IF(COUNTIF($A$2:$A778,$A778)=1,1,0))</f>
        <v>0</v>
      </c>
      <c r="AD778">
        <f t="shared" si="196"/>
        <v>8</v>
      </c>
      <c r="AE778" t="str">
        <f t="shared" si="197"/>
        <v>华天项目|期末剩余租期情况（年）</v>
      </c>
    </row>
    <row r="779" spans="1:31" x14ac:dyDescent="0.4">
      <c r="A779" t="str">
        <f>IF(原始经营数据!$D780="","",原始经营数据!$D780)</f>
        <v>嘉实物美消费封闭式基础设施证券投资基金</v>
      </c>
      <c r="B779" t="str">
        <f>IF(原始经营数据!$D780="","",T(原始经营数据!$E780))</f>
        <v>华天项目</v>
      </c>
      <c r="C779" t="str">
        <f>IF(原始经营数据!$D780="","",原始经营数据!$F780)</f>
        <v>2026Q2</v>
      </c>
      <c r="D779" t="str">
        <f>IF(原始经营数据!$D780="","",原始经营数据!$H780)</f>
        <v>期末可供出租面积</v>
      </c>
      <c r="E779">
        <f>IF(原始经营数据!$D780="","",原始经营数据!$I780)</f>
        <v>15280.73</v>
      </c>
      <c r="F779" t="str">
        <f>IF(原始经营数据!$D780="","",T(原始经营数据!$J780))</f>
        <v>平方米</v>
      </c>
      <c r="G779" t="str">
        <f>IF(原始经营数据!$D780="","",T(原始经营数据!$K780))</f>
        <v/>
      </c>
      <c r="H779" t="str">
        <f>IF(原始经营数据!$D780="","",原始经营数据!$G780)</f>
        <v>服务量</v>
      </c>
      <c r="I779" t="str">
        <f>IF($A779="","",IF($B779&lt;&gt;"",$B779,IF(COUNTIFS(原始经营数据!$D$3:$D$3001,$A779,原始经营数据!$E$3:$E$3001,"",原始经营数据!$F$3:$F$3001,$C779,原始经营数据!$H$3:$H$3001,$D779,原始经营数据!$K$3:$K$3001,$G779)&gt;1,"基金整体·来源"&amp;原始经营数据!$A780,"基金整体")))</f>
        <v>华天项目</v>
      </c>
      <c r="J779" t="str">
        <f t="shared" si="183"/>
        <v>季度</v>
      </c>
      <c r="K779" t="str">
        <f t="shared" si="184"/>
        <v>期末可供出租面积（平方米）</v>
      </c>
      <c r="L779" t="str">
        <f t="shared" si="185"/>
        <v>华天项目|期末可供出租面积（平方米）|季度</v>
      </c>
      <c r="M779">
        <f>IF($A779="",0,IF(COUNTIF($L$2:$L779,$L779)=1,1,0))</f>
        <v>0</v>
      </c>
      <c r="N779">
        <f t="shared" si="186"/>
        <v>20262</v>
      </c>
      <c r="O779" t="str">
        <f t="shared" si="187"/>
        <v>嘉实物美消费封闭式基础设施证券投资基金|2026Q2|季度</v>
      </c>
      <c r="P779">
        <f>IF($A779="",0,IF(COUNTIF($O$2:$O779,$O779)=1,1,0))</f>
        <v>0</v>
      </c>
      <c r="Q779" t="str">
        <f>IF(AND($P779=1,$A779=经营数据!$B$3,$J779=经营数据!$BA$5),COUNTIFS($P$2:$P$3000,1,$A$2:$A$3000,$A779,$J$2:$J$3000,$J779,$N$2:$N$3000,"&lt;"&amp;$N779)+1,"")</f>
        <v/>
      </c>
      <c r="R779" t="str">
        <f t="shared" si="188"/>
        <v>嘉实物美消费封闭式基础设施证券投资基金|华天项目</v>
      </c>
      <c r="S779">
        <f>IF($A779="",0,IF(COUNTIF($R$2:$R779,$R779)=1,1,0))</f>
        <v>0</v>
      </c>
      <c r="T779">
        <f t="shared" si="189"/>
        <v>724</v>
      </c>
      <c r="U779" t="str">
        <f>IF($A779="","",IF($A779=经营数据!$B$3,COUNTIFS($S$2:$S$3000,1,$A$2:$A$3000,$A779,$T$2:$T$3000,"&lt;"&amp;$T779)+1,""))</f>
        <v/>
      </c>
      <c r="V779" t="str">
        <f t="shared" si="190"/>
        <v>华天项目|服务量</v>
      </c>
      <c r="W779">
        <f t="shared" si="191"/>
        <v>724</v>
      </c>
      <c r="X779" t="str">
        <f t="shared" si="192"/>
        <v>华天项目|期末可供出租面积</v>
      </c>
      <c r="Y779">
        <f t="shared" si="193"/>
        <v>725</v>
      </c>
      <c r="Z779">
        <f>IF($A779="",0,IF(AND($M779=1,$A779=经营数据!$B$3,$J779=经营数据!$BA$5,OR($I779=经营数据!$BA$4,COUNTIF(经营数据!$AA$9:$AA$38,$I779)&gt;0)),1,0))</f>
        <v>0</v>
      </c>
      <c r="AA779" t="str">
        <f t="shared" si="194"/>
        <v/>
      </c>
      <c r="AB779" t="str">
        <f t="shared" si="195"/>
        <v/>
      </c>
      <c r="AC779">
        <f>IF($A779="",0,IF(COUNTIF($A$2:$A779,$A779)=1,1,0))</f>
        <v>0</v>
      </c>
      <c r="AD779">
        <f t="shared" si="196"/>
        <v>8</v>
      </c>
      <c r="AE779" t="str">
        <f t="shared" si="197"/>
        <v>华天项目|期末可供出租面积（平方米）</v>
      </c>
    </row>
    <row r="780" spans="1:31" x14ac:dyDescent="0.4">
      <c r="A780" t="str">
        <f>IF(原始经营数据!$D781="","",原始经营数据!$D781)</f>
        <v>嘉实物美消费封闭式基础设施证券投资基金</v>
      </c>
      <c r="B780" t="str">
        <f>IF(原始经营数据!$D781="","",T(原始经营数据!$E781))</f>
        <v>华天项目</v>
      </c>
      <c r="C780" t="str">
        <f>IF(原始经营数据!$D781="","",原始经营数据!$F781)</f>
        <v>2026Q2</v>
      </c>
      <c r="D780" t="str">
        <f>IF(原始经营数据!$D781="","",原始经营数据!$H781)</f>
        <v>期末实际出租面积</v>
      </c>
      <c r="E780">
        <f>IF(原始经营数据!$D781="","",原始经营数据!$I781)</f>
        <v>13894.25</v>
      </c>
      <c r="F780" t="str">
        <f>IF(原始经营数据!$D781="","",T(原始经营数据!$J781))</f>
        <v>平方米</v>
      </c>
      <c r="G780" t="str">
        <f>IF(原始经营数据!$D781="","",T(原始经营数据!$K781))</f>
        <v/>
      </c>
      <c r="H780" t="str">
        <f>IF(原始经营数据!$D781="","",原始经营数据!$G781)</f>
        <v>服务量</v>
      </c>
      <c r="I780" t="str">
        <f>IF($A780="","",IF($B780&lt;&gt;"",$B780,IF(COUNTIFS(原始经营数据!$D$3:$D$3001,$A780,原始经营数据!$E$3:$E$3001,"",原始经营数据!$F$3:$F$3001,$C780,原始经营数据!$H$3:$H$3001,$D780,原始经营数据!$K$3:$K$3001,$G780)&gt;1,"基金整体·来源"&amp;原始经营数据!$A781,"基金整体")))</f>
        <v>华天项目</v>
      </c>
      <c r="J780" t="str">
        <f t="shared" si="183"/>
        <v>季度</v>
      </c>
      <c r="K780" t="str">
        <f t="shared" si="184"/>
        <v>期末实际出租面积（平方米）</v>
      </c>
      <c r="L780" t="str">
        <f t="shared" si="185"/>
        <v>华天项目|期末实际出租面积（平方米）|季度</v>
      </c>
      <c r="M780">
        <f>IF($A780="",0,IF(COUNTIF($L$2:$L780,$L780)=1,1,0))</f>
        <v>0</v>
      </c>
      <c r="N780">
        <f t="shared" si="186"/>
        <v>20262</v>
      </c>
      <c r="O780" t="str">
        <f t="shared" si="187"/>
        <v>嘉实物美消费封闭式基础设施证券投资基金|2026Q2|季度</v>
      </c>
      <c r="P780">
        <f>IF($A780="",0,IF(COUNTIF($O$2:$O780,$O780)=1,1,0))</f>
        <v>0</v>
      </c>
      <c r="Q780" t="str">
        <f>IF(AND($P780=1,$A780=经营数据!$B$3,$J780=经营数据!$BA$5),COUNTIFS($P$2:$P$3000,1,$A$2:$A$3000,$A780,$J$2:$J$3000,$J780,$N$2:$N$3000,"&lt;"&amp;$N780)+1,"")</f>
        <v/>
      </c>
      <c r="R780" t="str">
        <f t="shared" si="188"/>
        <v>嘉实物美消费封闭式基础设施证券投资基金|华天项目</v>
      </c>
      <c r="S780">
        <f>IF($A780="",0,IF(COUNTIF($R$2:$R780,$R780)=1,1,0))</f>
        <v>0</v>
      </c>
      <c r="T780">
        <f t="shared" si="189"/>
        <v>724</v>
      </c>
      <c r="U780" t="str">
        <f>IF($A780="","",IF($A780=经营数据!$B$3,COUNTIFS($S$2:$S$3000,1,$A$2:$A$3000,$A780,$T$2:$T$3000,"&lt;"&amp;$T780)+1,""))</f>
        <v/>
      </c>
      <c r="V780" t="str">
        <f t="shared" si="190"/>
        <v>华天项目|服务量</v>
      </c>
      <c r="W780">
        <f t="shared" si="191"/>
        <v>724</v>
      </c>
      <c r="X780" t="str">
        <f t="shared" si="192"/>
        <v>华天项目|期末实际出租面积</v>
      </c>
      <c r="Y780">
        <f t="shared" si="193"/>
        <v>726</v>
      </c>
      <c r="Z780">
        <f>IF($A780="",0,IF(AND($M780=1,$A780=经营数据!$B$3,$J780=经营数据!$BA$5,OR($I780=经营数据!$BA$4,COUNTIF(经营数据!$AA$9:$AA$38,$I780)&gt;0)),1,0))</f>
        <v>0</v>
      </c>
      <c r="AA780" t="str">
        <f t="shared" si="194"/>
        <v/>
      </c>
      <c r="AB780" t="str">
        <f t="shared" si="195"/>
        <v/>
      </c>
      <c r="AC780">
        <f>IF($A780="",0,IF(COUNTIF($A$2:$A780,$A780)=1,1,0))</f>
        <v>0</v>
      </c>
      <c r="AD780">
        <f t="shared" si="196"/>
        <v>8</v>
      </c>
      <c r="AE780" t="str">
        <f t="shared" si="197"/>
        <v>华天项目|期末实际出租面积（平方米）</v>
      </c>
    </row>
    <row r="781" spans="1:31" x14ac:dyDescent="0.4">
      <c r="A781" t="str">
        <f>IF(原始经营数据!$D782="","",原始经营数据!$D782)</f>
        <v>嘉实物美消费封闭式基础设施证券投资基金</v>
      </c>
      <c r="B781" t="str">
        <f>IF(原始经营数据!$D782="","",T(原始经营数据!$E782))</f>
        <v>华天项目</v>
      </c>
      <c r="C781" t="str">
        <f>IF(原始经营数据!$D782="","",原始经营数据!$F782)</f>
        <v>2026Q2</v>
      </c>
      <c r="D781" t="str">
        <f>IF(原始经营数据!$D782="","",原始经营数据!$H782)</f>
        <v>期末出租率</v>
      </c>
      <c r="E781">
        <f>IF(原始经营数据!$D782="","",原始经营数据!$I782)</f>
        <v>90.93</v>
      </c>
      <c r="F781" t="str">
        <f>IF(原始经营数据!$D782="","",T(原始经营数据!$J782))</f>
        <v>%</v>
      </c>
      <c r="G781" t="str">
        <f>IF(原始经营数据!$D782="","",T(原始经营数据!$K782))</f>
        <v/>
      </c>
      <c r="H781" t="str">
        <f>IF(原始经营数据!$D782="","",原始经营数据!$G782)</f>
        <v>服务效率</v>
      </c>
      <c r="I781" t="str">
        <f>IF($A781="","",IF($B781&lt;&gt;"",$B781,IF(COUNTIFS(原始经营数据!$D$3:$D$3001,$A781,原始经营数据!$E$3:$E$3001,"",原始经营数据!$F$3:$F$3001,$C781,原始经营数据!$H$3:$H$3001,$D781,原始经营数据!$K$3:$K$3001,$G781)&gt;1,"基金整体·来源"&amp;原始经营数据!$A782,"基金整体")))</f>
        <v>华天项目</v>
      </c>
      <c r="J781" t="str">
        <f t="shared" si="183"/>
        <v>季度</v>
      </c>
      <c r="K781" t="str">
        <f t="shared" si="184"/>
        <v>期末出租率（%）</v>
      </c>
      <c r="L781" t="str">
        <f t="shared" si="185"/>
        <v>华天项目|期末出租率（%）|季度</v>
      </c>
      <c r="M781">
        <f>IF($A781="",0,IF(COUNTIF($L$2:$L781,$L781)=1,1,0))</f>
        <v>0</v>
      </c>
      <c r="N781">
        <f t="shared" si="186"/>
        <v>20262</v>
      </c>
      <c r="O781" t="str">
        <f t="shared" si="187"/>
        <v>嘉实物美消费封闭式基础设施证券投资基金|2026Q2|季度</v>
      </c>
      <c r="P781">
        <f>IF($A781="",0,IF(COUNTIF($O$2:$O781,$O781)=1,1,0))</f>
        <v>0</v>
      </c>
      <c r="Q781" t="str">
        <f>IF(AND($P781=1,$A781=经营数据!$B$3,$J781=经营数据!$BA$5),COUNTIFS($P$2:$P$3000,1,$A$2:$A$3000,$A781,$J$2:$J$3000,$J781,$N$2:$N$3000,"&lt;"&amp;$N781)+1,"")</f>
        <v/>
      </c>
      <c r="R781" t="str">
        <f t="shared" si="188"/>
        <v>嘉实物美消费封闭式基础设施证券投资基金|华天项目</v>
      </c>
      <c r="S781">
        <f>IF($A781="",0,IF(COUNTIF($R$2:$R781,$R781)=1,1,0))</f>
        <v>0</v>
      </c>
      <c r="T781">
        <f t="shared" si="189"/>
        <v>724</v>
      </c>
      <c r="U781" t="str">
        <f>IF($A781="","",IF($A781=经营数据!$B$3,COUNTIFS($S$2:$S$3000,1,$A$2:$A$3000,$A781,$T$2:$T$3000,"&lt;"&amp;$T781)+1,""))</f>
        <v/>
      </c>
      <c r="V781" t="str">
        <f t="shared" si="190"/>
        <v>华天项目|服务效率</v>
      </c>
      <c r="W781">
        <f t="shared" si="191"/>
        <v>727</v>
      </c>
      <c r="X781" t="str">
        <f t="shared" si="192"/>
        <v>华天项目|期末出租率</v>
      </c>
      <c r="Y781">
        <f t="shared" si="193"/>
        <v>727</v>
      </c>
      <c r="Z781">
        <f>IF($A781="",0,IF(AND($M781=1,$A781=经营数据!$B$3,$J781=经营数据!$BA$5,OR($I781=经营数据!$BA$4,COUNTIF(经营数据!$AA$9:$AA$38,$I781)&gt;0)),1,0))</f>
        <v>0</v>
      </c>
      <c r="AA781" t="str">
        <f t="shared" si="194"/>
        <v/>
      </c>
      <c r="AB781" t="str">
        <f t="shared" si="195"/>
        <v/>
      </c>
      <c r="AC781">
        <f>IF($A781="",0,IF(COUNTIF($A$2:$A781,$A781)=1,1,0))</f>
        <v>0</v>
      </c>
      <c r="AD781">
        <f t="shared" si="196"/>
        <v>8</v>
      </c>
      <c r="AE781" t="str">
        <f t="shared" si="197"/>
        <v>华天项目|期末出租率（%）</v>
      </c>
    </row>
    <row r="782" spans="1:31" x14ac:dyDescent="0.4">
      <c r="A782" t="str">
        <f>IF(原始经营数据!$D783="","",原始经营数据!$D783)</f>
        <v>嘉实物美消费封闭式基础设施证券投资基金</v>
      </c>
      <c r="B782" t="str">
        <f>IF(原始经营数据!$D783="","",T(原始经营数据!$E783))</f>
        <v>华天项目</v>
      </c>
      <c r="C782" t="str">
        <f>IF(原始经营数据!$D783="","",原始经营数据!$F783)</f>
        <v>2026Q2</v>
      </c>
      <c r="D782" t="str">
        <f>IF(原始经营数据!$D783="","",原始经营数据!$H783)</f>
        <v>期内租金单价水平</v>
      </c>
      <c r="E782">
        <f>IF(原始经营数据!$D783="","",原始经营数据!$I783)</f>
        <v>3.72</v>
      </c>
      <c r="F782" t="str">
        <f>IF(原始经营数据!$D783="","",T(原始经营数据!$J783))</f>
        <v>元/平方米/天</v>
      </c>
      <c r="G782" t="str">
        <f>IF(原始经营数据!$D783="","",T(原始经营数据!$K783))</f>
        <v/>
      </c>
      <c r="H782" t="str">
        <f>IF(原始经营数据!$D783="","",原始经营数据!$G783)</f>
        <v>服务价格</v>
      </c>
      <c r="I782" t="str">
        <f>IF($A782="","",IF($B782&lt;&gt;"",$B782,IF(COUNTIFS(原始经营数据!$D$3:$D$3001,$A782,原始经营数据!$E$3:$E$3001,"",原始经营数据!$F$3:$F$3001,$C782,原始经营数据!$H$3:$H$3001,$D782,原始经营数据!$K$3:$K$3001,$G782)&gt;1,"基金整体·来源"&amp;原始经营数据!$A783,"基金整体")))</f>
        <v>华天项目</v>
      </c>
      <c r="J782" t="str">
        <f t="shared" si="183"/>
        <v>季度</v>
      </c>
      <c r="K782" t="str">
        <f t="shared" si="184"/>
        <v>期内租金单价水平（元/平方米/天）</v>
      </c>
      <c r="L782" t="str">
        <f t="shared" si="185"/>
        <v>华天项目|期内租金单价水平（元/平方米/天）|季度</v>
      </c>
      <c r="M782">
        <f>IF($A782="",0,IF(COUNTIF($L$2:$L782,$L782)=1,1,0))</f>
        <v>0</v>
      </c>
      <c r="N782">
        <f t="shared" si="186"/>
        <v>20262</v>
      </c>
      <c r="O782" t="str">
        <f t="shared" si="187"/>
        <v>嘉实物美消费封闭式基础设施证券投资基金|2026Q2|季度</v>
      </c>
      <c r="P782">
        <f>IF($A782="",0,IF(COUNTIF($O$2:$O782,$O782)=1,1,0))</f>
        <v>0</v>
      </c>
      <c r="Q782" t="str">
        <f>IF(AND($P782=1,$A782=经营数据!$B$3,$J782=经营数据!$BA$5),COUNTIFS($P$2:$P$3000,1,$A$2:$A$3000,$A782,$J$2:$J$3000,$J782,$N$2:$N$3000,"&lt;"&amp;$N782)+1,"")</f>
        <v/>
      </c>
      <c r="R782" t="str">
        <f t="shared" si="188"/>
        <v>嘉实物美消费封闭式基础设施证券投资基金|华天项目</v>
      </c>
      <c r="S782">
        <f>IF($A782="",0,IF(COUNTIF($R$2:$R782,$R782)=1,1,0))</f>
        <v>0</v>
      </c>
      <c r="T782">
        <f t="shared" si="189"/>
        <v>724</v>
      </c>
      <c r="U782" t="str">
        <f>IF($A782="","",IF($A782=经营数据!$B$3,COUNTIFS($S$2:$S$3000,1,$A$2:$A$3000,$A782,$T$2:$T$3000,"&lt;"&amp;$T782)+1,""))</f>
        <v/>
      </c>
      <c r="V782" t="str">
        <f t="shared" si="190"/>
        <v>华天项目|服务价格</v>
      </c>
      <c r="W782">
        <f t="shared" si="191"/>
        <v>728</v>
      </c>
      <c r="X782" t="str">
        <f t="shared" si="192"/>
        <v>华天项目|期内租金单价水平</v>
      </c>
      <c r="Y782">
        <f t="shared" si="193"/>
        <v>728</v>
      </c>
      <c r="Z782">
        <f>IF($A782="",0,IF(AND($M782=1,$A782=经营数据!$B$3,$J782=经营数据!$BA$5,OR($I782=经营数据!$BA$4,COUNTIF(经营数据!$AA$9:$AA$38,$I782)&gt;0)),1,0))</f>
        <v>0</v>
      </c>
      <c r="AA782" t="str">
        <f t="shared" si="194"/>
        <v/>
      </c>
      <c r="AB782" t="str">
        <f t="shared" si="195"/>
        <v/>
      </c>
      <c r="AC782">
        <f>IF($A782="",0,IF(COUNTIF($A$2:$A782,$A782)=1,1,0))</f>
        <v>0</v>
      </c>
      <c r="AD782">
        <f t="shared" si="196"/>
        <v>8</v>
      </c>
      <c r="AE782" t="str">
        <f t="shared" si="197"/>
        <v>华天项目|期内租金单价水平（元/平方米/天）</v>
      </c>
    </row>
    <row r="783" spans="1:31" x14ac:dyDescent="0.4">
      <c r="A783" t="str">
        <f>IF(原始经营数据!$D784="","",原始经营数据!$D784)</f>
        <v>嘉实物美消费封闭式基础设施证券投资基金</v>
      </c>
      <c r="B783" t="str">
        <f>IF(原始经营数据!$D784="","",T(原始经营数据!$E784))</f>
        <v>华天项目</v>
      </c>
      <c r="C783" t="str">
        <f>IF(原始经营数据!$D784="","",原始经营数据!$F784)</f>
        <v>2026Q2</v>
      </c>
      <c r="D783" t="str">
        <f>IF(原始经营数据!$D784="","",原始经营数据!$H784)</f>
        <v>期末剩余租期情况</v>
      </c>
      <c r="E783">
        <f>IF(原始经营数据!$D784="","",原始经营数据!$I784)</f>
        <v>5.88</v>
      </c>
      <c r="F783" t="str">
        <f>IF(原始经营数据!$D784="","",T(原始经营数据!$J784))</f>
        <v>年</v>
      </c>
      <c r="G783" t="str">
        <f>IF(原始经营数据!$D784="","",T(原始经营数据!$K784))</f>
        <v/>
      </c>
      <c r="H783" t="str">
        <f>IF(原始经营数据!$D784="","",原始经营数据!$G784)</f>
        <v>服务量</v>
      </c>
      <c r="I783" t="str">
        <f>IF($A783="","",IF($B783&lt;&gt;"",$B783,IF(COUNTIFS(原始经营数据!$D$3:$D$3001,$A783,原始经营数据!$E$3:$E$3001,"",原始经营数据!$F$3:$F$3001,$C783,原始经营数据!$H$3:$H$3001,$D783,原始经营数据!$K$3:$K$3001,$G783)&gt;1,"基金整体·来源"&amp;原始经营数据!$A784,"基金整体")))</f>
        <v>华天项目</v>
      </c>
      <c r="J783" t="str">
        <f t="shared" si="183"/>
        <v>季度</v>
      </c>
      <c r="K783" t="str">
        <f t="shared" si="184"/>
        <v>期末剩余租期情况（年）</v>
      </c>
      <c r="L783" t="str">
        <f t="shared" si="185"/>
        <v>华天项目|期末剩余租期情况（年）|季度</v>
      </c>
      <c r="M783">
        <f>IF($A783="",0,IF(COUNTIF($L$2:$L783,$L783)=1,1,0))</f>
        <v>0</v>
      </c>
      <c r="N783">
        <f t="shared" si="186"/>
        <v>20262</v>
      </c>
      <c r="O783" t="str">
        <f t="shared" si="187"/>
        <v>嘉实物美消费封闭式基础设施证券投资基金|2026Q2|季度</v>
      </c>
      <c r="P783">
        <f>IF($A783="",0,IF(COUNTIF($O$2:$O783,$O783)=1,1,0))</f>
        <v>0</v>
      </c>
      <c r="Q783" t="str">
        <f>IF(AND($P783=1,$A783=经营数据!$B$3,$J783=经营数据!$BA$5),COUNTIFS($P$2:$P$3000,1,$A$2:$A$3000,$A783,$J$2:$J$3000,$J783,$N$2:$N$3000,"&lt;"&amp;$N783)+1,"")</f>
        <v/>
      </c>
      <c r="R783" t="str">
        <f t="shared" si="188"/>
        <v>嘉实物美消费封闭式基础设施证券投资基金|华天项目</v>
      </c>
      <c r="S783">
        <f>IF($A783="",0,IF(COUNTIF($R$2:$R783,$R783)=1,1,0))</f>
        <v>0</v>
      </c>
      <c r="T783">
        <f t="shared" si="189"/>
        <v>724</v>
      </c>
      <c r="U783" t="str">
        <f>IF($A783="","",IF($A783=经营数据!$B$3,COUNTIFS($S$2:$S$3000,1,$A$2:$A$3000,$A783,$T$2:$T$3000,"&lt;"&amp;$T783)+1,""))</f>
        <v/>
      </c>
      <c r="V783" t="str">
        <f t="shared" si="190"/>
        <v>华天项目|服务量</v>
      </c>
      <c r="W783">
        <f t="shared" si="191"/>
        <v>724</v>
      </c>
      <c r="X783" t="str">
        <f t="shared" si="192"/>
        <v>华天项目|期末剩余租期情况</v>
      </c>
      <c r="Y783">
        <f t="shared" si="193"/>
        <v>724</v>
      </c>
      <c r="Z783">
        <f>IF($A783="",0,IF(AND($M783=1,$A783=经营数据!$B$3,$J783=经营数据!$BA$5,OR($I783=经营数据!$BA$4,COUNTIF(经营数据!$AA$9:$AA$38,$I783)&gt;0)),1,0))</f>
        <v>0</v>
      </c>
      <c r="AA783" t="str">
        <f t="shared" si="194"/>
        <v/>
      </c>
      <c r="AB783" t="str">
        <f t="shared" si="195"/>
        <v/>
      </c>
      <c r="AC783">
        <f>IF($A783="",0,IF(COUNTIF($A$2:$A783,$A783)=1,1,0))</f>
        <v>0</v>
      </c>
      <c r="AD783">
        <f t="shared" si="196"/>
        <v>8</v>
      </c>
      <c r="AE783" t="str">
        <f t="shared" si="197"/>
        <v>华天项目|期末剩余租期情况（年）</v>
      </c>
    </row>
    <row r="784" spans="1:31" x14ac:dyDescent="0.4">
      <c r="A784" t="str">
        <f>IF(原始经营数据!$D785="","",原始经营数据!$D785)</f>
        <v>嘉实物美消费封闭式基础设施证券投资基金</v>
      </c>
      <c r="B784" t="str">
        <f>IF(原始经营数据!$D785="","",T(原始经营数据!$E785))</f>
        <v>华天项目</v>
      </c>
      <c r="C784" t="str">
        <f>IF(原始经营数据!$D785="","",原始经营数据!$F785)</f>
        <v>2026Q2</v>
      </c>
      <c r="D784" t="str">
        <f>IF(原始经营数据!$D785="","",原始经营数据!$H785)</f>
        <v>期末租金收缴率</v>
      </c>
      <c r="E784">
        <f>IF(原始经营数据!$D785="","",原始经营数据!$I785)</f>
        <v>99.79</v>
      </c>
      <c r="F784" t="str">
        <f>IF(原始经营数据!$D785="","",T(原始经营数据!$J785))</f>
        <v>%</v>
      </c>
      <c r="G784" t="str">
        <f>IF(原始经营数据!$D785="","",T(原始经营数据!$K785))</f>
        <v/>
      </c>
      <c r="H784" t="str">
        <f>IF(原始经营数据!$D785="","",原始经营数据!$G785)</f>
        <v>服务效率</v>
      </c>
      <c r="I784" t="str">
        <f>IF($A784="","",IF($B784&lt;&gt;"",$B784,IF(COUNTIFS(原始经营数据!$D$3:$D$3001,$A784,原始经营数据!$E$3:$E$3001,"",原始经营数据!$F$3:$F$3001,$C784,原始经营数据!$H$3:$H$3001,$D784,原始经营数据!$K$3:$K$3001,$G784)&gt;1,"基金整体·来源"&amp;原始经营数据!$A785,"基金整体")))</f>
        <v>华天项目</v>
      </c>
      <c r="J784" t="str">
        <f t="shared" si="183"/>
        <v>季度</v>
      </c>
      <c r="K784" t="str">
        <f t="shared" si="184"/>
        <v>期末租金收缴率（%）</v>
      </c>
      <c r="L784" t="str">
        <f t="shared" si="185"/>
        <v>华天项目|期末租金收缴率（%）|季度</v>
      </c>
      <c r="M784">
        <f>IF($A784="",0,IF(COUNTIF($L$2:$L784,$L784)=1,1,0))</f>
        <v>0</v>
      </c>
      <c r="N784">
        <f t="shared" si="186"/>
        <v>20262</v>
      </c>
      <c r="O784" t="str">
        <f t="shared" si="187"/>
        <v>嘉实物美消费封闭式基础设施证券投资基金|2026Q2|季度</v>
      </c>
      <c r="P784">
        <f>IF($A784="",0,IF(COUNTIF($O$2:$O784,$O784)=1,1,0))</f>
        <v>0</v>
      </c>
      <c r="Q784" t="str">
        <f>IF(AND($P784=1,$A784=经营数据!$B$3,$J784=经营数据!$BA$5),COUNTIFS($P$2:$P$3000,1,$A$2:$A$3000,$A784,$J$2:$J$3000,$J784,$N$2:$N$3000,"&lt;"&amp;$N784)+1,"")</f>
        <v/>
      </c>
      <c r="R784" t="str">
        <f t="shared" si="188"/>
        <v>嘉实物美消费封闭式基础设施证券投资基金|华天项目</v>
      </c>
      <c r="S784">
        <f>IF($A784="",0,IF(COUNTIF($R$2:$R784,$R784)=1,1,0))</f>
        <v>0</v>
      </c>
      <c r="T784">
        <f t="shared" si="189"/>
        <v>724</v>
      </c>
      <c r="U784" t="str">
        <f>IF($A784="","",IF($A784=经营数据!$B$3,COUNTIFS($S$2:$S$3000,1,$A$2:$A$3000,$A784,$T$2:$T$3000,"&lt;"&amp;$T784)+1,""))</f>
        <v/>
      </c>
      <c r="V784" t="str">
        <f t="shared" si="190"/>
        <v>华天项目|服务效率</v>
      </c>
      <c r="W784">
        <f t="shared" si="191"/>
        <v>727</v>
      </c>
      <c r="X784" t="str">
        <f t="shared" si="192"/>
        <v>华天项目|期末租金收缴率</v>
      </c>
      <c r="Y784">
        <f t="shared" si="193"/>
        <v>729</v>
      </c>
      <c r="Z784">
        <f>IF($A784="",0,IF(AND($M784=1,$A784=经营数据!$B$3,$J784=经营数据!$BA$5,OR($I784=经营数据!$BA$4,COUNTIF(经营数据!$AA$9:$AA$38,$I784)&gt;0)),1,0))</f>
        <v>0</v>
      </c>
      <c r="AA784" t="str">
        <f t="shared" si="194"/>
        <v/>
      </c>
      <c r="AB784" t="str">
        <f t="shared" si="195"/>
        <v/>
      </c>
      <c r="AC784">
        <f>IF($A784="",0,IF(COUNTIF($A$2:$A784,$A784)=1,1,0))</f>
        <v>0</v>
      </c>
      <c r="AD784">
        <f t="shared" si="196"/>
        <v>8</v>
      </c>
      <c r="AE784" t="str">
        <f t="shared" si="197"/>
        <v>华天项目|期末租金收缴率（%）</v>
      </c>
    </row>
    <row r="785" spans="1:31" x14ac:dyDescent="0.4">
      <c r="A785" t="str">
        <f>IF(原始经营数据!$D786="","",原始经营数据!$D786)</f>
        <v>嘉实物美消费封闭式基础设施证券投资基金</v>
      </c>
      <c r="B785" t="str">
        <f>IF(原始经营数据!$D786="","",T(原始经营数据!$E786))</f>
        <v>大成路项目</v>
      </c>
      <c r="C785" t="str">
        <f>IF(原始经营数据!$D786="","",原始经营数据!$F786)</f>
        <v>2024Q1</v>
      </c>
      <c r="D785" t="str">
        <f>IF(原始经营数据!$D786="","",原始经营数据!$H786)</f>
        <v>期末可供出租面积</v>
      </c>
      <c r="E785">
        <f>IF(原始经营数据!$D786="","",原始经营数据!$I786)</f>
        <v>29043.4</v>
      </c>
      <c r="F785" t="str">
        <f>IF(原始经营数据!$D786="","",T(原始经营数据!$J786))</f>
        <v>平方米</v>
      </c>
      <c r="G785" t="str">
        <f>IF(原始经营数据!$D786="","",T(原始经营数据!$K786))</f>
        <v/>
      </c>
      <c r="H785" t="str">
        <f>IF(原始经营数据!$D786="","",原始经营数据!$G786)</f>
        <v>服务量</v>
      </c>
      <c r="I785" t="str">
        <f>IF($A785="","",IF($B785&lt;&gt;"",$B785,IF(COUNTIFS(原始经营数据!$D$3:$D$3001,$A785,原始经营数据!$E$3:$E$3001,"",原始经营数据!$F$3:$F$3001,$C785,原始经营数据!$H$3:$H$3001,$D785,原始经营数据!$K$3:$K$3001,$G785)&gt;1,"基金整体·来源"&amp;原始经营数据!$A786,"基金整体")))</f>
        <v>大成路项目</v>
      </c>
      <c r="J785" t="str">
        <f t="shared" si="183"/>
        <v>季度</v>
      </c>
      <c r="K785" t="str">
        <f t="shared" si="184"/>
        <v>期末可供出租面积（平方米）</v>
      </c>
      <c r="L785" t="str">
        <f t="shared" si="185"/>
        <v>大成路项目|期末可供出租面积（平方米）|季度</v>
      </c>
      <c r="M785">
        <f>IF($A785="",0,IF(COUNTIF($L$2:$L785,$L785)=1,1,0))</f>
        <v>1</v>
      </c>
      <c r="N785">
        <f t="shared" si="186"/>
        <v>20241</v>
      </c>
      <c r="O785" t="str">
        <f t="shared" si="187"/>
        <v>嘉实物美消费封闭式基础设施证券投资基金|2024Q1|季度</v>
      </c>
      <c r="P785">
        <f>IF($A785="",0,IF(COUNTIF($O$2:$O785,$O785)=1,1,0))</f>
        <v>0</v>
      </c>
      <c r="Q785" t="str">
        <f>IF(AND($P785=1,$A785=经营数据!$B$3,$J785=经营数据!$BA$5),COUNTIFS($P$2:$P$3000,1,$A$2:$A$3000,$A785,$J$2:$J$3000,$J785,$N$2:$N$3000,"&lt;"&amp;$N785)+1,"")</f>
        <v/>
      </c>
      <c r="R785" t="str">
        <f t="shared" si="188"/>
        <v>嘉实物美消费封闭式基础设施证券投资基金|大成路项目</v>
      </c>
      <c r="S785">
        <f>IF($A785="",0,IF(COUNTIF($R$2:$R785,$R785)=1,1,0))</f>
        <v>1</v>
      </c>
      <c r="T785">
        <f t="shared" si="189"/>
        <v>784</v>
      </c>
      <c r="U785" t="str">
        <f>IF($A785="","",IF($A785=经营数据!$B$3,COUNTIFS($S$2:$S$3000,1,$A$2:$A$3000,$A785,$T$2:$T$3000,"&lt;"&amp;$T785)+1,""))</f>
        <v/>
      </c>
      <c r="V785" t="str">
        <f t="shared" si="190"/>
        <v>大成路项目|服务量</v>
      </c>
      <c r="W785">
        <f t="shared" si="191"/>
        <v>784</v>
      </c>
      <c r="X785" t="str">
        <f t="shared" si="192"/>
        <v>大成路项目|期末可供出租面积</v>
      </c>
      <c r="Y785">
        <f t="shared" si="193"/>
        <v>784</v>
      </c>
      <c r="Z785">
        <f>IF($A785="",0,IF(AND($M785=1,$A785=经营数据!$B$3,$J785=经营数据!$BA$5,OR($I785=经营数据!$BA$4,COUNTIF(经营数据!$AA$9:$AA$38,$I785)&gt;0)),1,0))</f>
        <v>0</v>
      </c>
      <c r="AA785" t="str">
        <f t="shared" si="194"/>
        <v/>
      </c>
      <c r="AB785" t="str">
        <f t="shared" si="195"/>
        <v/>
      </c>
      <c r="AC785">
        <f>IF($A785="",0,IF(COUNTIF($A$2:$A785,$A785)=1,1,0))</f>
        <v>0</v>
      </c>
      <c r="AD785">
        <f t="shared" si="196"/>
        <v>8</v>
      </c>
      <c r="AE785" t="str">
        <f t="shared" si="197"/>
        <v>大成路项目|期末可供出租面积（平方米）</v>
      </c>
    </row>
    <row r="786" spans="1:31" x14ac:dyDescent="0.4">
      <c r="A786" t="str">
        <f>IF(原始经营数据!$D787="","",原始经营数据!$D787)</f>
        <v>嘉实物美消费封闭式基础设施证券投资基金</v>
      </c>
      <c r="B786" t="str">
        <f>IF(原始经营数据!$D787="","",T(原始经营数据!$E787))</f>
        <v>大成路项目</v>
      </c>
      <c r="C786" t="str">
        <f>IF(原始经营数据!$D787="","",原始经营数据!$F787)</f>
        <v>2024Q1</v>
      </c>
      <c r="D786" t="str">
        <f>IF(原始经营数据!$D787="","",原始经营数据!$H787)</f>
        <v>期末实际出租面积</v>
      </c>
      <c r="E786">
        <f>IF(原始经营数据!$D787="","",原始经营数据!$I787)</f>
        <v>27919.46</v>
      </c>
      <c r="F786" t="str">
        <f>IF(原始经营数据!$D787="","",T(原始经营数据!$J787))</f>
        <v>平方米</v>
      </c>
      <c r="G786" t="str">
        <f>IF(原始经营数据!$D787="","",T(原始经营数据!$K787))</f>
        <v/>
      </c>
      <c r="H786" t="str">
        <f>IF(原始经营数据!$D787="","",原始经营数据!$G787)</f>
        <v>服务量</v>
      </c>
      <c r="I786" t="str">
        <f>IF($A786="","",IF($B786&lt;&gt;"",$B786,IF(COUNTIFS(原始经营数据!$D$3:$D$3001,$A786,原始经营数据!$E$3:$E$3001,"",原始经营数据!$F$3:$F$3001,$C786,原始经营数据!$H$3:$H$3001,$D786,原始经营数据!$K$3:$K$3001,$G786)&gt;1,"基金整体·来源"&amp;原始经营数据!$A787,"基金整体")))</f>
        <v>大成路项目</v>
      </c>
      <c r="J786" t="str">
        <f t="shared" si="183"/>
        <v>季度</v>
      </c>
      <c r="K786" t="str">
        <f t="shared" si="184"/>
        <v>期末实际出租面积（平方米）</v>
      </c>
      <c r="L786" t="str">
        <f t="shared" si="185"/>
        <v>大成路项目|期末实际出租面积（平方米）|季度</v>
      </c>
      <c r="M786">
        <f>IF($A786="",0,IF(COUNTIF($L$2:$L786,$L786)=1,1,0))</f>
        <v>1</v>
      </c>
      <c r="N786">
        <f t="shared" si="186"/>
        <v>20241</v>
      </c>
      <c r="O786" t="str">
        <f t="shared" si="187"/>
        <v>嘉实物美消费封闭式基础设施证券投资基金|2024Q1|季度</v>
      </c>
      <c r="P786">
        <f>IF($A786="",0,IF(COUNTIF($O$2:$O786,$O786)=1,1,0))</f>
        <v>0</v>
      </c>
      <c r="Q786" t="str">
        <f>IF(AND($P786=1,$A786=经营数据!$B$3,$J786=经营数据!$BA$5),COUNTIFS($P$2:$P$3000,1,$A$2:$A$3000,$A786,$J$2:$J$3000,$J786,$N$2:$N$3000,"&lt;"&amp;$N786)+1,"")</f>
        <v/>
      </c>
      <c r="R786" t="str">
        <f t="shared" si="188"/>
        <v>嘉实物美消费封闭式基础设施证券投资基金|大成路项目</v>
      </c>
      <c r="S786">
        <f>IF($A786="",0,IF(COUNTIF($R$2:$R786,$R786)=1,1,0))</f>
        <v>0</v>
      </c>
      <c r="T786">
        <f t="shared" si="189"/>
        <v>784</v>
      </c>
      <c r="U786" t="str">
        <f>IF($A786="","",IF($A786=经营数据!$B$3,COUNTIFS($S$2:$S$3000,1,$A$2:$A$3000,$A786,$T$2:$T$3000,"&lt;"&amp;$T786)+1,""))</f>
        <v/>
      </c>
      <c r="V786" t="str">
        <f t="shared" si="190"/>
        <v>大成路项目|服务量</v>
      </c>
      <c r="W786">
        <f t="shared" si="191"/>
        <v>784</v>
      </c>
      <c r="X786" t="str">
        <f t="shared" si="192"/>
        <v>大成路项目|期末实际出租面积</v>
      </c>
      <c r="Y786">
        <f t="shared" si="193"/>
        <v>785</v>
      </c>
      <c r="Z786">
        <f>IF($A786="",0,IF(AND($M786=1,$A786=经营数据!$B$3,$J786=经营数据!$BA$5,OR($I786=经营数据!$BA$4,COUNTIF(经营数据!$AA$9:$AA$38,$I786)&gt;0)),1,0))</f>
        <v>0</v>
      </c>
      <c r="AA786" t="str">
        <f t="shared" si="194"/>
        <v/>
      </c>
      <c r="AB786" t="str">
        <f t="shared" si="195"/>
        <v/>
      </c>
      <c r="AC786">
        <f>IF($A786="",0,IF(COUNTIF($A$2:$A786,$A786)=1,1,0))</f>
        <v>0</v>
      </c>
      <c r="AD786">
        <f t="shared" si="196"/>
        <v>8</v>
      </c>
      <c r="AE786" t="str">
        <f t="shared" si="197"/>
        <v>大成路项目|期末实际出租面积（平方米）</v>
      </c>
    </row>
    <row r="787" spans="1:31" x14ac:dyDescent="0.4">
      <c r="A787" t="str">
        <f>IF(原始经营数据!$D788="","",原始经营数据!$D788)</f>
        <v>嘉实物美消费封闭式基础设施证券投资基金</v>
      </c>
      <c r="B787" t="str">
        <f>IF(原始经营数据!$D788="","",T(原始经营数据!$E788))</f>
        <v>大成路项目</v>
      </c>
      <c r="C787" t="str">
        <f>IF(原始经营数据!$D788="","",原始经营数据!$F788)</f>
        <v>2024Q1</v>
      </c>
      <c r="D787" t="str">
        <f>IF(原始经营数据!$D788="","",原始经营数据!$H788)</f>
        <v>期末出租率</v>
      </c>
      <c r="E787">
        <f>IF(原始经营数据!$D788="","",原始经营数据!$I788)</f>
        <v>96.13</v>
      </c>
      <c r="F787" t="str">
        <f>IF(原始经营数据!$D788="","",T(原始经营数据!$J788))</f>
        <v>%</v>
      </c>
      <c r="G787" t="str">
        <f>IF(原始经营数据!$D788="","",T(原始经营数据!$K788))</f>
        <v/>
      </c>
      <c r="H787" t="str">
        <f>IF(原始经营数据!$D788="","",原始经营数据!$G788)</f>
        <v>服务效率</v>
      </c>
      <c r="I787" t="str">
        <f>IF($A787="","",IF($B787&lt;&gt;"",$B787,IF(COUNTIFS(原始经营数据!$D$3:$D$3001,$A787,原始经营数据!$E$3:$E$3001,"",原始经营数据!$F$3:$F$3001,$C787,原始经营数据!$H$3:$H$3001,$D787,原始经营数据!$K$3:$K$3001,$G787)&gt;1,"基金整体·来源"&amp;原始经营数据!$A788,"基金整体")))</f>
        <v>大成路项目</v>
      </c>
      <c r="J787" t="str">
        <f t="shared" si="183"/>
        <v>季度</v>
      </c>
      <c r="K787" t="str">
        <f t="shared" si="184"/>
        <v>期末出租率（%）</v>
      </c>
      <c r="L787" t="str">
        <f t="shared" si="185"/>
        <v>大成路项目|期末出租率（%）|季度</v>
      </c>
      <c r="M787">
        <f>IF($A787="",0,IF(COUNTIF($L$2:$L787,$L787)=1,1,0))</f>
        <v>1</v>
      </c>
      <c r="N787">
        <f t="shared" si="186"/>
        <v>20241</v>
      </c>
      <c r="O787" t="str">
        <f t="shared" si="187"/>
        <v>嘉实物美消费封闭式基础设施证券投资基金|2024Q1|季度</v>
      </c>
      <c r="P787">
        <f>IF($A787="",0,IF(COUNTIF($O$2:$O787,$O787)=1,1,0))</f>
        <v>0</v>
      </c>
      <c r="Q787" t="str">
        <f>IF(AND($P787=1,$A787=经营数据!$B$3,$J787=经营数据!$BA$5),COUNTIFS($P$2:$P$3000,1,$A$2:$A$3000,$A787,$J$2:$J$3000,$J787,$N$2:$N$3000,"&lt;"&amp;$N787)+1,"")</f>
        <v/>
      </c>
      <c r="R787" t="str">
        <f t="shared" si="188"/>
        <v>嘉实物美消费封闭式基础设施证券投资基金|大成路项目</v>
      </c>
      <c r="S787">
        <f>IF($A787="",0,IF(COUNTIF($R$2:$R787,$R787)=1,1,0))</f>
        <v>0</v>
      </c>
      <c r="T787">
        <f t="shared" si="189"/>
        <v>784</v>
      </c>
      <c r="U787" t="str">
        <f>IF($A787="","",IF($A787=经营数据!$B$3,COUNTIFS($S$2:$S$3000,1,$A$2:$A$3000,$A787,$T$2:$T$3000,"&lt;"&amp;$T787)+1,""))</f>
        <v/>
      </c>
      <c r="V787" t="str">
        <f t="shared" si="190"/>
        <v>大成路项目|服务效率</v>
      </c>
      <c r="W787">
        <f t="shared" si="191"/>
        <v>786</v>
      </c>
      <c r="X787" t="str">
        <f t="shared" si="192"/>
        <v>大成路项目|期末出租率</v>
      </c>
      <c r="Y787">
        <f t="shared" si="193"/>
        <v>786</v>
      </c>
      <c r="Z787">
        <f>IF($A787="",0,IF(AND($M787=1,$A787=经营数据!$B$3,$J787=经营数据!$BA$5,OR($I787=经营数据!$BA$4,COUNTIF(经营数据!$AA$9:$AA$38,$I787)&gt;0)),1,0))</f>
        <v>0</v>
      </c>
      <c r="AA787" t="str">
        <f t="shared" si="194"/>
        <v/>
      </c>
      <c r="AB787" t="str">
        <f t="shared" si="195"/>
        <v/>
      </c>
      <c r="AC787">
        <f>IF($A787="",0,IF(COUNTIF($A$2:$A787,$A787)=1,1,0))</f>
        <v>0</v>
      </c>
      <c r="AD787">
        <f t="shared" si="196"/>
        <v>8</v>
      </c>
      <c r="AE787" t="str">
        <f t="shared" si="197"/>
        <v>大成路项目|期末出租率（%）</v>
      </c>
    </row>
    <row r="788" spans="1:31" x14ac:dyDescent="0.4">
      <c r="A788" t="str">
        <f>IF(原始经营数据!$D789="","",原始经营数据!$D789)</f>
        <v>嘉实物美消费封闭式基础设施证券投资基金</v>
      </c>
      <c r="B788" t="str">
        <f>IF(原始经营数据!$D789="","",T(原始经营数据!$E789))</f>
        <v>大成路项目</v>
      </c>
      <c r="C788" t="str">
        <f>IF(原始经营数据!$D789="","",原始经营数据!$F789)</f>
        <v>2024Q1</v>
      </c>
      <c r="D788" t="str">
        <f>IF(原始经营数据!$D789="","",原始经营数据!$H789)</f>
        <v>期内租金单价水平</v>
      </c>
      <c r="E788">
        <f>IF(原始经营数据!$D789="","",原始经营数据!$I789)</f>
        <v>3.29</v>
      </c>
      <c r="F788" t="str">
        <f>IF(原始经营数据!$D789="","",T(原始经营数据!$J789))</f>
        <v>元/平方米/天</v>
      </c>
      <c r="G788" t="str">
        <f>IF(原始经营数据!$D789="","",T(原始经营数据!$K789))</f>
        <v/>
      </c>
      <c r="H788" t="str">
        <f>IF(原始经营数据!$D789="","",原始经营数据!$G789)</f>
        <v>服务价格</v>
      </c>
      <c r="I788" t="str">
        <f>IF($A788="","",IF($B788&lt;&gt;"",$B788,IF(COUNTIFS(原始经营数据!$D$3:$D$3001,$A788,原始经营数据!$E$3:$E$3001,"",原始经营数据!$F$3:$F$3001,$C788,原始经营数据!$H$3:$H$3001,$D788,原始经营数据!$K$3:$K$3001,$G788)&gt;1,"基金整体·来源"&amp;原始经营数据!$A789,"基金整体")))</f>
        <v>大成路项目</v>
      </c>
      <c r="J788" t="str">
        <f t="shared" si="183"/>
        <v>季度</v>
      </c>
      <c r="K788" t="str">
        <f t="shared" si="184"/>
        <v>期内租金单价水平（元/平方米/天）</v>
      </c>
      <c r="L788" t="str">
        <f t="shared" si="185"/>
        <v>大成路项目|期内租金单价水平（元/平方米/天）|季度</v>
      </c>
      <c r="M788">
        <f>IF($A788="",0,IF(COUNTIF($L$2:$L788,$L788)=1,1,0))</f>
        <v>1</v>
      </c>
      <c r="N788">
        <f t="shared" si="186"/>
        <v>20241</v>
      </c>
      <c r="O788" t="str">
        <f t="shared" si="187"/>
        <v>嘉实物美消费封闭式基础设施证券投资基金|2024Q1|季度</v>
      </c>
      <c r="P788">
        <f>IF($A788="",0,IF(COUNTIF($O$2:$O788,$O788)=1,1,0))</f>
        <v>0</v>
      </c>
      <c r="Q788" t="str">
        <f>IF(AND($P788=1,$A788=经营数据!$B$3,$J788=经营数据!$BA$5),COUNTIFS($P$2:$P$3000,1,$A$2:$A$3000,$A788,$J$2:$J$3000,$J788,$N$2:$N$3000,"&lt;"&amp;$N788)+1,"")</f>
        <v/>
      </c>
      <c r="R788" t="str">
        <f t="shared" si="188"/>
        <v>嘉实物美消费封闭式基础设施证券投资基金|大成路项目</v>
      </c>
      <c r="S788">
        <f>IF($A788="",0,IF(COUNTIF($R$2:$R788,$R788)=1,1,0))</f>
        <v>0</v>
      </c>
      <c r="T788">
        <f t="shared" si="189"/>
        <v>784</v>
      </c>
      <c r="U788" t="str">
        <f>IF($A788="","",IF($A788=经营数据!$B$3,COUNTIFS($S$2:$S$3000,1,$A$2:$A$3000,$A788,$T$2:$T$3000,"&lt;"&amp;$T788)+1,""))</f>
        <v/>
      </c>
      <c r="V788" t="str">
        <f t="shared" si="190"/>
        <v>大成路项目|服务价格</v>
      </c>
      <c r="W788">
        <f t="shared" si="191"/>
        <v>787</v>
      </c>
      <c r="X788" t="str">
        <f t="shared" si="192"/>
        <v>大成路项目|期内租金单价水平</v>
      </c>
      <c r="Y788">
        <f t="shared" si="193"/>
        <v>787</v>
      </c>
      <c r="Z788">
        <f>IF($A788="",0,IF(AND($M788=1,$A788=经营数据!$B$3,$J788=经营数据!$BA$5,OR($I788=经营数据!$BA$4,COUNTIF(经营数据!$AA$9:$AA$38,$I788)&gt;0)),1,0))</f>
        <v>0</v>
      </c>
      <c r="AA788" t="str">
        <f t="shared" si="194"/>
        <v/>
      </c>
      <c r="AB788" t="str">
        <f t="shared" si="195"/>
        <v/>
      </c>
      <c r="AC788">
        <f>IF($A788="",0,IF(COUNTIF($A$2:$A788,$A788)=1,1,0))</f>
        <v>0</v>
      </c>
      <c r="AD788">
        <f t="shared" si="196"/>
        <v>8</v>
      </c>
      <c r="AE788" t="str">
        <f t="shared" si="197"/>
        <v>大成路项目|期内租金单价水平（元/平方米/天）</v>
      </c>
    </row>
    <row r="789" spans="1:31" x14ac:dyDescent="0.4">
      <c r="A789" t="str">
        <f>IF(原始经营数据!$D790="","",原始经营数据!$D790)</f>
        <v>嘉实物美消费封闭式基础设施证券投资基金</v>
      </c>
      <c r="B789" t="str">
        <f>IF(原始经营数据!$D790="","",T(原始经营数据!$E790))</f>
        <v>大成路项目</v>
      </c>
      <c r="C789" t="str">
        <f>IF(原始经营数据!$D790="","",原始经营数据!$F790)</f>
        <v>2024Q1</v>
      </c>
      <c r="D789" t="str">
        <f>IF(原始经营数据!$D790="","",原始经营数据!$H790)</f>
        <v>期末剩余租期情况</v>
      </c>
      <c r="E789">
        <f>IF(原始经营数据!$D790="","",原始经营数据!$I790)</f>
        <v>7.96</v>
      </c>
      <c r="F789" t="str">
        <f>IF(原始经营数据!$D790="","",T(原始经营数据!$J790))</f>
        <v>年</v>
      </c>
      <c r="G789" t="str">
        <f>IF(原始经营数据!$D790="","",T(原始经营数据!$K790))</f>
        <v/>
      </c>
      <c r="H789" t="str">
        <f>IF(原始经营数据!$D790="","",原始经营数据!$G790)</f>
        <v>服务量</v>
      </c>
      <c r="I789" t="str">
        <f>IF($A789="","",IF($B789&lt;&gt;"",$B789,IF(COUNTIFS(原始经营数据!$D$3:$D$3001,$A789,原始经营数据!$E$3:$E$3001,"",原始经营数据!$F$3:$F$3001,$C789,原始经营数据!$H$3:$H$3001,$D789,原始经营数据!$K$3:$K$3001,$G789)&gt;1,"基金整体·来源"&amp;原始经营数据!$A790,"基金整体")))</f>
        <v>大成路项目</v>
      </c>
      <c r="J789" t="str">
        <f t="shared" si="183"/>
        <v>季度</v>
      </c>
      <c r="K789" t="str">
        <f t="shared" si="184"/>
        <v>期末剩余租期情况（年）</v>
      </c>
      <c r="L789" t="str">
        <f t="shared" si="185"/>
        <v>大成路项目|期末剩余租期情况（年）|季度</v>
      </c>
      <c r="M789">
        <f>IF($A789="",0,IF(COUNTIF($L$2:$L789,$L789)=1,1,0))</f>
        <v>1</v>
      </c>
      <c r="N789">
        <f t="shared" si="186"/>
        <v>20241</v>
      </c>
      <c r="O789" t="str">
        <f t="shared" si="187"/>
        <v>嘉实物美消费封闭式基础设施证券投资基金|2024Q1|季度</v>
      </c>
      <c r="P789">
        <f>IF($A789="",0,IF(COUNTIF($O$2:$O789,$O789)=1,1,0))</f>
        <v>0</v>
      </c>
      <c r="Q789" t="str">
        <f>IF(AND($P789=1,$A789=经营数据!$B$3,$J789=经营数据!$BA$5),COUNTIFS($P$2:$P$3000,1,$A$2:$A$3000,$A789,$J$2:$J$3000,$J789,$N$2:$N$3000,"&lt;"&amp;$N789)+1,"")</f>
        <v/>
      </c>
      <c r="R789" t="str">
        <f t="shared" si="188"/>
        <v>嘉实物美消费封闭式基础设施证券投资基金|大成路项目</v>
      </c>
      <c r="S789">
        <f>IF($A789="",0,IF(COUNTIF($R$2:$R789,$R789)=1,1,0))</f>
        <v>0</v>
      </c>
      <c r="T789">
        <f t="shared" si="189"/>
        <v>784</v>
      </c>
      <c r="U789" t="str">
        <f>IF($A789="","",IF($A789=经营数据!$B$3,COUNTIFS($S$2:$S$3000,1,$A$2:$A$3000,$A789,$T$2:$T$3000,"&lt;"&amp;$T789)+1,""))</f>
        <v/>
      </c>
      <c r="V789" t="str">
        <f t="shared" si="190"/>
        <v>大成路项目|服务量</v>
      </c>
      <c r="W789">
        <f t="shared" si="191"/>
        <v>784</v>
      </c>
      <c r="X789" t="str">
        <f t="shared" si="192"/>
        <v>大成路项目|期末剩余租期情况</v>
      </c>
      <c r="Y789">
        <f t="shared" si="193"/>
        <v>788</v>
      </c>
      <c r="Z789">
        <f>IF($A789="",0,IF(AND($M789=1,$A789=经营数据!$B$3,$J789=经营数据!$BA$5,OR($I789=经营数据!$BA$4,COUNTIF(经营数据!$AA$9:$AA$38,$I789)&gt;0)),1,0))</f>
        <v>0</v>
      </c>
      <c r="AA789" t="str">
        <f t="shared" si="194"/>
        <v/>
      </c>
      <c r="AB789" t="str">
        <f t="shared" si="195"/>
        <v/>
      </c>
      <c r="AC789">
        <f>IF($A789="",0,IF(COUNTIF($A$2:$A789,$A789)=1,1,0))</f>
        <v>0</v>
      </c>
      <c r="AD789">
        <f t="shared" si="196"/>
        <v>8</v>
      </c>
      <c r="AE789" t="str">
        <f t="shared" si="197"/>
        <v>大成路项目|期末剩余租期情况（年）</v>
      </c>
    </row>
    <row r="790" spans="1:31" x14ac:dyDescent="0.4">
      <c r="A790" t="str">
        <f>IF(原始经营数据!$D791="","",原始经营数据!$D791)</f>
        <v>嘉实物美消费封闭式基础设施证券投资基金</v>
      </c>
      <c r="B790" t="str">
        <f>IF(原始经营数据!$D791="","",T(原始经营数据!$E791))</f>
        <v>大成路项目</v>
      </c>
      <c r="C790" t="str">
        <f>IF(原始经营数据!$D791="","",原始经营数据!$F791)</f>
        <v>2024Q1</v>
      </c>
      <c r="D790" t="str">
        <f>IF(原始经营数据!$D791="","",原始经营数据!$H791)</f>
        <v>期末租金收缴率</v>
      </c>
      <c r="E790">
        <f>IF(原始经营数据!$D791="","",原始经营数据!$I791)</f>
        <v>90.72</v>
      </c>
      <c r="F790" t="str">
        <f>IF(原始经营数据!$D791="","",T(原始经营数据!$J791))</f>
        <v>%</v>
      </c>
      <c r="G790" t="str">
        <f>IF(原始经营数据!$D791="","",T(原始经营数据!$K791))</f>
        <v/>
      </c>
      <c r="H790" t="str">
        <f>IF(原始经营数据!$D791="","",原始经营数据!$G791)</f>
        <v>服务效率</v>
      </c>
      <c r="I790" t="str">
        <f>IF($A790="","",IF($B790&lt;&gt;"",$B790,IF(COUNTIFS(原始经营数据!$D$3:$D$3001,$A790,原始经营数据!$E$3:$E$3001,"",原始经营数据!$F$3:$F$3001,$C790,原始经营数据!$H$3:$H$3001,$D790,原始经营数据!$K$3:$K$3001,$G790)&gt;1,"基金整体·来源"&amp;原始经营数据!$A791,"基金整体")))</f>
        <v>大成路项目</v>
      </c>
      <c r="J790" t="str">
        <f t="shared" si="183"/>
        <v>季度</v>
      </c>
      <c r="K790" t="str">
        <f t="shared" si="184"/>
        <v>期末租金收缴率（%）</v>
      </c>
      <c r="L790" t="str">
        <f t="shared" si="185"/>
        <v>大成路项目|期末租金收缴率（%）|季度</v>
      </c>
      <c r="M790">
        <f>IF($A790="",0,IF(COUNTIF($L$2:$L790,$L790)=1,1,0))</f>
        <v>1</v>
      </c>
      <c r="N790">
        <f t="shared" si="186"/>
        <v>20241</v>
      </c>
      <c r="O790" t="str">
        <f t="shared" si="187"/>
        <v>嘉实物美消费封闭式基础设施证券投资基金|2024Q1|季度</v>
      </c>
      <c r="P790">
        <f>IF($A790="",0,IF(COUNTIF($O$2:$O790,$O790)=1,1,0))</f>
        <v>0</v>
      </c>
      <c r="Q790" t="str">
        <f>IF(AND($P790=1,$A790=经营数据!$B$3,$J790=经营数据!$BA$5),COUNTIFS($P$2:$P$3000,1,$A$2:$A$3000,$A790,$J$2:$J$3000,$J790,$N$2:$N$3000,"&lt;"&amp;$N790)+1,"")</f>
        <v/>
      </c>
      <c r="R790" t="str">
        <f t="shared" si="188"/>
        <v>嘉实物美消费封闭式基础设施证券投资基金|大成路项目</v>
      </c>
      <c r="S790">
        <f>IF($A790="",0,IF(COUNTIF($R$2:$R790,$R790)=1,1,0))</f>
        <v>0</v>
      </c>
      <c r="T790">
        <f t="shared" si="189"/>
        <v>784</v>
      </c>
      <c r="U790" t="str">
        <f>IF($A790="","",IF($A790=经营数据!$B$3,COUNTIFS($S$2:$S$3000,1,$A$2:$A$3000,$A790,$T$2:$T$3000,"&lt;"&amp;$T790)+1,""))</f>
        <v/>
      </c>
      <c r="V790" t="str">
        <f t="shared" si="190"/>
        <v>大成路项目|服务效率</v>
      </c>
      <c r="W790">
        <f t="shared" si="191"/>
        <v>786</v>
      </c>
      <c r="X790" t="str">
        <f t="shared" si="192"/>
        <v>大成路项目|期末租金收缴率</v>
      </c>
      <c r="Y790">
        <f t="shared" si="193"/>
        <v>789</v>
      </c>
      <c r="Z790">
        <f>IF($A790="",0,IF(AND($M790=1,$A790=经营数据!$B$3,$J790=经营数据!$BA$5,OR($I790=经营数据!$BA$4,COUNTIF(经营数据!$AA$9:$AA$38,$I790)&gt;0)),1,0))</f>
        <v>0</v>
      </c>
      <c r="AA790" t="str">
        <f t="shared" si="194"/>
        <v/>
      </c>
      <c r="AB790" t="str">
        <f t="shared" si="195"/>
        <v/>
      </c>
      <c r="AC790">
        <f>IF($A790="",0,IF(COUNTIF($A$2:$A790,$A790)=1,1,0))</f>
        <v>0</v>
      </c>
      <c r="AD790">
        <f t="shared" si="196"/>
        <v>8</v>
      </c>
      <c r="AE790" t="str">
        <f t="shared" si="197"/>
        <v>大成路项目|期末租金收缴率（%）</v>
      </c>
    </row>
    <row r="791" spans="1:31" x14ac:dyDescent="0.4">
      <c r="A791" t="str">
        <f>IF(原始经营数据!$D792="","",原始经营数据!$D792)</f>
        <v>嘉实物美消费封闭式基础设施证券投资基金</v>
      </c>
      <c r="B791" t="str">
        <f>IF(原始经营数据!$D792="","",T(原始经营数据!$E792))</f>
        <v>大成路项目</v>
      </c>
      <c r="C791" t="str">
        <f>IF(原始经营数据!$D792="","",原始经营数据!$F792)</f>
        <v>2024Q2</v>
      </c>
      <c r="D791" t="str">
        <f>IF(原始经营数据!$D792="","",原始经营数据!$H792)</f>
        <v>期末可供出租面积</v>
      </c>
      <c r="E791">
        <f>IF(原始经营数据!$D792="","",原始经营数据!$I792)</f>
        <v>29043.4</v>
      </c>
      <c r="F791" t="str">
        <f>IF(原始经营数据!$D792="","",T(原始经营数据!$J792))</f>
        <v>平方米</v>
      </c>
      <c r="G791" t="str">
        <f>IF(原始经营数据!$D792="","",T(原始经营数据!$K792))</f>
        <v/>
      </c>
      <c r="H791" t="str">
        <f>IF(原始经营数据!$D792="","",原始经营数据!$G792)</f>
        <v>服务量</v>
      </c>
      <c r="I791" t="str">
        <f>IF($A791="","",IF($B791&lt;&gt;"",$B791,IF(COUNTIFS(原始经营数据!$D$3:$D$3001,$A791,原始经营数据!$E$3:$E$3001,"",原始经营数据!$F$3:$F$3001,$C791,原始经营数据!$H$3:$H$3001,$D791,原始经营数据!$K$3:$K$3001,$G791)&gt;1,"基金整体·来源"&amp;原始经营数据!$A792,"基金整体")))</f>
        <v>大成路项目</v>
      </c>
      <c r="J791" t="str">
        <f t="shared" si="183"/>
        <v>季度</v>
      </c>
      <c r="K791" t="str">
        <f t="shared" si="184"/>
        <v>期末可供出租面积（平方米）</v>
      </c>
      <c r="L791" t="str">
        <f t="shared" si="185"/>
        <v>大成路项目|期末可供出租面积（平方米）|季度</v>
      </c>
      <c r="M791">
        <f>IF($A791="",0,IF(COUNTIF($L$2:$L791,$L791)=1,1,0))</f>
        <v>0</v>
      </c>
      <c r="N791">
        <f t="shared" si="186"/>
        <v>20242</v>
      </c>
      <c r="O791" t="str">
        <f t="shared" si="187"/>
        <v>嘉实物美消费封闭式基础设施证券投资基金|2024Q2|季度</v>
      </c>
      <c r="P791">
        <f>IF($A791="",0,IF(COUNTIF($O$2:$O791,$O791)=1,1,0))</f>
        <v>0</v>
      </c>
      <c r="Q791" t="str">
        <f>IF(AND($P791=1,$A791=经营数据!$B$3,$J791=经营数据!$BA$5),COUNTIFS($P$2:$P$3000,1,$A$2:$A$3000,$A791,$J$2:$J$3000,$J791,$N$2:$N$3000,"&lt;"&amp;$N791)+1,"")</f>
        <v/>
      </c>
      <c r="R791" t="str">
        <f t="shared" si="188"/>
        <v>嘉实物美消费封闭式基础设施证券投资基金|大成路项目</v>
      </c>
      <c r="S791">
        <f>IF($A791="",0,IF(COUNTIF($R$2:$R791,$R791)=1,1,0))</f>
        <v>0</v>
      </c>
      <c r="T791">
        <f t="shared" si="189"/>
        <v>784</v>
      </c>
      <c r="U791" t="str">
        <f>IF($A791="","",IF($A791=经营数据!$B$3,COUNTIFS($S$2:$S$3000,1,$A$2:$A$3000,$A791,$T$2:$T$3000,"&lt;"&amp;$T791)+1,""))</f>
        <v/>
      </c>
      <c r="V791" t="str">
        <f t="shared" si="190"/>
        <v>大成路项目|服务量</v>
      </c>
      <c r="W791">
        <f t="shared" si="191"/>
        <v>784</v>
      </c>
      <c r="X791" t="str">
        <f t="shared" si="192"/>
        <v>大成路项目|期末可供出租面积</v>
      </c>
      <c r="Y791">
        <f t="shared" si="193"/>
        <v>784</v>
      </c>
      <c r="Z791">
        <f>IF($A791="",0,IF(AND($M791=1,$A791=经营数据!$B$3,$J791=经营数据!$BA$5,OR($I791=经营数据!$BA$4,COUNTIF(经营数据!$AA$9:$AA$38,$I791)&gt;0)),1,0))</f>
        <v>0</v>
      </c>
      <c r="AA791" t="str">
        <f t="shared" si="194"/>
        <v/>
      </c>
      <c r="AB791" t="str">
        <f t="shared" si="195"/>
        <v/>
      </c>
      <c r="AC791">
        <f>IF($A791="",0,IF(COUNTIF($A$2:$A791,$A791)=1,1,0))</f>
        <v>0</v>
      </c>
      <c r="AD791">
        <f t="shared" si="196"/>
        <v>8</v>
      </c>
      <c r="AE791" t="str">
        <f t="shared" si="197"/>
        <v>大成路项目|期末可供出租面积（平方米）</v>
      </c>
    </row>
    <row r="792" spans="1:31" x14ac:dyDescent="0.4">
      <c r="A792" t="str">
        <f>IF(原始经营数据!$D793="","",原始经营数据!$D793)</f>
        <v>嘉实物美消费封闭式基础设施证券投资基金</v>
      </c>
      <c r="B792" t="str">
        <f>IF(原始经营数据!$D793="","",T(原始经营数据!$E793))</f>
        <v>大成路项目</v>
      </c>
      <c r="C792" t="str">
        <f>IF(原始经营数据!$D793="","",原始经营数据!$F793)</f>
        <v>2024Q2</v>
      </c>
      <c r="D792" t="str">
        <f>IF(原始经营数据!$D793="","",原始经营数据!$H793)</f>
        <v>期末实际出租面积</v>
      </c>
      <c r="E792">
        <f>IF(原始经营数据!$D793="","",原始经营数据!$I793)</f>
        <v>28038.080000000002</v>
      </c>
      <c r="F792" t="str">
        <f>IF(原始经营数据!$D793="","",T(原始经营数据!$J793))</f>
        <v>平方米</v>
      </c>
      <c r="G792" t="str">
        <f>IF(原始经营数据!$D793="","",T(原始经营数据!$K793))</f>
        <v/>
      </c>
      <c r="H792" t="str">
        <f>IF(原始经营数据!$D793="","",原始经营数据!$G793)</f>
        <v>服务量</v>
      </c>
      <c r="I792" t="str">
        <f>IF($A792="","",IF($B792&lt;&gt;"",$B792,IF(COUNTIFS(原始经营数据!$D$3:$D$3001,$A792,原始经营数据!$E$3:$E$3001,"",原始经营数据!$F$3:$F$3001,$C792,原始经营数据!$H$3:$H$3001,$D792,原始经营数据!$K$3:$K$3001,$G792)&gt;1,"基金整体·来源"&amp;原始经营数据!$A793,"基金整体")))</f>
        <v>大成路项目</v>
      </c>
      <c r="J792" t="str">
        <f t="shared" si="183"/>
        <v>季度</v>
      </c>
      <c r="K792" t="str">
        <f t="shared" si="184"/>
        <v>期末实际出租面积（平方米）</v>
      </c>
      <c r="L792" t="str">
        <f t="shared" si="185"/>
        <v>大成路项目|期末实际出租面积（平方米）|季度</v>
      </c>
      <c r="M792">
        <f>IF($A792="",0,IF(COUNTIF($L$2:$L792,$L792)=1,1,0))</f>
        <v>0</v>
      </c>
      <c r="N792">
        <f t="shared" si="186"/>
        <v>20242</v>
      </c>
      <c r="O792" t="str">
        <f t="shared" si="187"/>
        <v>嘉实物美消费封闭式基础设施证券投资基金|2024Q2|季度</v>
      </c>
      <c r="P792">
        <f>IF($A792="",0,IF(COUNTIF($O$2:$O792,$O792)=1,1,0))</f>
        <v>0</v>
      </c>
      <c r="Q792" t="str">
        <f>IF(AND($P792=1,$A792=经营数据!$B$3,$J792=经营数据!$BA$5),COUNTIFS($P$2:$P$3000,1,$A$2:$A$3000,$A792,$J$2:$J$3000,$J792,$N$2:$N$3000,"&lt;"&amp;$N792)+1,"")</f>
        <v/>
      </c>
      <c r="R792" t="str">
        <f t="shared" si="188"/>
        <v>嘉实物美消费封闭式基础设施证券投资基金|大成路项目</v>
      </c>
      <c r="S792">
        <f>IF($A792="",0,IF(COUNTIF($R$2:$R792,$R792)=1,1,0))</f>
        <v>0</v>
      </c>
      <c r="T792">
        <f t="shared" si="189"/>
        <v>784</v>
      </c>
      <c r="U792" t="str">
        <f>IF($A792="","",IF($A792=经营数据!$B$3,COUNTIFS($S$2:$S$3000,1,$A$2:$A$3000,$A792,$T$2:$T$3000,"&lt;"&amp;$T792)+1,""))</f>
        <v/>
      </c>
      <c r="V792" t="str">
        <f t="shared" si="190"/>
        <v>大成路项目|服务量</v>
      </c>
      <c r="W792">
        <f t="shared" si="191"/>
        <v>784</v>
      </c>
      <c r="X792" t="str">
        <f t="shared" si="192"/>
        <v>大成路项目|期末实际出租面积</v>
      </c>
      <c r="Y792">
        <f t="shared" si="193"/>
        <v>785</v>
      </c>
      <c r="Z792">
        <f>IF($A792="",0,IF(AND($M792=1,$A792=经营数据!$B$3,$J792=经营数据!$BA$5,OR($I792=经营数据!$BA$4,COUNTIF(经营数据!$AA$9:$AA$38,$I792)&gt;0)),1,0))</f>
        <v>0</v>
      </c>
      <c r="AA792" t="str">
        <f t="shared" si="194"/>
        <v/>
      </c>
      <c r="AB792" t="str">
        <f t="shared" si="195"/>
        <v/>
      </c>
      <c r="AC792">
        <f>IF($A792="",0,IF(COUNTIF($A$2:$A792,$A792)=1,1,0))</f>
        <v>0</v>
      </c>
      <c r="AD792">
        <f t="shared" si="196"/>
        <v>8</v>
      </c>
      <c r="AE792" t="str">
        <f t="shared" si="197"/>
        <v>大成路项目|期末实际出租面积（平方米）</v>
      </c>
    </row>
    <row r="793" spans="1:31" x14ac:dyDescent="0.4">
      <c r="A793" t="str">
        <f>IF(原始经营数据!$D794="","",原始经营数据!$D794)</f>
        <v>嘉实物美消费封闭式基础设施证券投资基金</v>
      </c>
      <c r="B793" t="str">
        <f>IF(原始经营数据!$D794="","",T(原始经营数据!$E794))</f>
        <v>大成路项目</v>
      </c>
      <c r="C793" t="str">
        <f>IF(原始经营数据!$D794="","",原始经营数据!$F794)</f>
        <v>2024Q2</v>
      </c>
      <c r="D793" t="str">
        <f>IF(原始经营数据!$D794="","",原始经营数据!$H794)</f>
        <v>期末出租率</v>
      </c>
      <c r="E793">
        <f>IF(原始经营数据!$D794="","",原始经营数据!$I794)</f>
        <v>96.54</v>
      </c>
      <c r="F793" t="str">
        <f>IF(原始经营数据!$D794="","",T(原始经营数据!$J794))</f>
        <v>%</v>
      </c>
      <c r="G793" t="str">
        <f>IF(原始经营数据!$D794="","",T(原始经营数据!$K794))</f>
        <v/>
      </c>
      <c r="H793" t="str">
        <f>IF(原始经营数据!$D794="","",原始经营数据!$G794)</f>
        <v>服务效率</v>
      </c>
      <c r="I793" t="str">
        <f>IF($A793="","",IF($B793&lt;&gt;"",$B793,IF(COUNTIFS(原始经营数据!$D$3:$D$3001,$A793,原始经营数据!$E$3:$E$3001,"",原始经营数据!$F$3:$F$3001,$C793,原始经营数据!$H$3:$H$3001,$D793,原始经营数据!$K$3:$K$3001,$G793)&gt;1,"基金整体·来源"&amp;原始经营数据!$A794,"基金整体")))</f>
        <v>大成路项目</v>
      </c>
      <c r="J793" t="str">
        <f t="shared" si="183"/>
        <v>季度</v>
      </c>
      <c r="K793" t="str">
        <f t="shared" si="184"/>
        <v>期末出租率（%）</v>
      </c>
      <c r="L793" t="str">
        <f t="shared" si="185"/>
        <v>大成路项目|期末出租率（%）|季度</v>
      </c>
      <c r="M793">
        <f>IF($A793="",0,IF(COUNTIF($L$2:$L793,$L793)=1,1,0))</f>
        <v>0</v>
      </c>
      <c r="N793">
        <f t="shared" si="186"/>
        <v>20242</v>
      </c>
      <c r="O793" t="str">
        <f t="shared" si="187"/>
        <v>嘉实物美消费封闭式基础设施证券投资基金|2024Q2|季度</v>
      </c>
      <c r="P793">
        <f>IF($A793="",0,IF(COUNTIF($O$2:$O793,$O793)=1,1,0))</f>
        <v>0</v>
      </c>
      <c r="Q793" t="str">
        <f>IF(AND($P793=1,$A793=经营数据!$B$3,$J793=经营数据!$BA$5),COUNTIFS($P$2:$P$3000,1,$A$2:$A$3000,$A793,$J$2:$J$3000,$J793,$N$2:$N$3000,"&lt;"&amp;$N793)+1,"")</f>
        <v/>
      </c>
      <c r="R793" t="str">
        <f t="shared" si="188"/>
        <v>嘉实物美消费封闭式基础设施证券投资基金|大成路项目</v>
      </c>
      <c r="S793">
        <f>IF($A793="",0,IF(COUNTIF($R$2:$R793,$R793)=1,1,0))</f>
        <v>0</v>
      </c>
      <c r="T793">
        <f t="shared" si="189"/>
        <v>784</v>
      </c>
      <c r="U793" t="str">
        <f>IF($A793="","",IF($A793=经营数据!$B$3,COUNTIFS($S$2:$S$3000,1,$A$2:$A$3000,$A793,$T$2:$T$3000,"&lt;"&amp;$T793)+1,""))</f>
        <v/>
      </c>
      <c r="V793" t="str">
        <f t="shared" si="190"/>
        <v>大成路项目|服务效率</v>
      </c>
      <c r="W793">
        <f t="shared" si="191"/>
        <v>786</v>
      </c>
      <c r="X793" t="str">
        <f t="shared" si="192"/>
        <v>大成路项目|期末出租率</v>
      </c>
      <c r="Y793">
        <f t="shared" si="193"/>
        <v>786</v>
      </c>
      <c r="Z793">
        <f>IF($A793="",0,IF(AND($M793=1,$A793=经营数据!$B$3,$J793=经营数据!$BA$5,OR($I793=经营数据!$BA$4,COUNTIF(经营数据!$AA$9:$AA$38,$I793)&gt;0)),1,0))</f>
        <v>0</v>
      </c>
      <c r="AA793" t="str">
        <f t="shared" si="194"/>
        <v/>
      </c>
      <c r="AB793" t="str">
        <f t="shared" si="195"/>
        <v/>
      </c>
      <c r="AC793">
        <f>IF($A793="",0,IF(COUNTIF($A$2:$A793,$A793)=1,1,0))</f>
        <v>0</v>
      </c>
      <c r="AD793">
        <f t="shared" si="196"/>
        <v>8</v>
      </c>
      <c r="AE793" t="str">
        <f t="shared" si="197"/>
        <v>大成路项目|期末出租率（%）</v>
      </c>
    </row>
    <row r="794" spans="1:31" x14ac:dyDescent="0.4">
      <c r="A794" t="str">
        <f>IF(原始经营数据!$D795="","",原始经营数据!$D795)</f>
        <v>嘉实物美消费封闭式基础设施证券投资基金</v>
      </c>
      <c r="B794" t="str">
        <f>IF(原始经营数据!$D795="","",T(原始经营数据!$E795))</f>
        <v>大成路项目</v>
      </c>
      <c r="C794" t="str">
        <f>IF(原始经营数据!$D795="","",原始经营数据!$F795)</f>
        <v>2024Q2</v>
      </c>
      <c r="D794" t="str">
        <f>IF(原始经营数据!$D795="","",原始经营数据!$H795)</f>
        <v>期末剩余租期情况</v>
      </c>
      <c r="E794">
        <f>IF(原始经营数据!$D795="","",原始经营数据!$I795)</f>
        <v>8.86</v>
      </c>
      <c r="F794" t="str">
        <f>IF(原始经营数据!$D795="","",T(原始经营数据!$J795))</f>
        <v>年</v>
      </c>
      <c r="G794" t="str">
        <f>IF(原始经营数据!$D795="","",T(原始经营数据!$K795))</f>
        <v/>
      </c>
      <c r="H794" t="str">
        <f>IF(原始经营数据!$D795="","",原始经营数据!$G795)</f>
        <v>服务量</v>
      </c>
      <c r="I794" t="str">
        <f>IF($A794="","",IF($B794&lt;&gt;"",$B794,IF(COUNTIFS(原始经营数据!$D$3:$D$3001,$A794,原始经营数据!$E$3:$E$3001,"",原始经营数据!$F$3:$F$3001,$C794,原始经营数据!$H$3:$H$3001,$D794,原始经营数据!$K$3:$K$3001,$G794)&gt;1,"基金整体·来源"&amp;原始经营数据!$A795,"基金整体")))</f>
        <v>大成路项目</v>
      </c>
      <c r="J794" t="str">
        <f t="shared" si="183"/>
        <v>季度</v>
      </c>
      <c r="K794" t="str">
        <f t="shared" si="184"/>
        <v>期末剩余租期情况（年）</v>
      </c>
      <c r="L794" t="str">
        <f t="shared" si="185"/>
        <v>大成路项目|期末剩余租期情况（年）|季度</v>
      </c>
      <c r="M794">
        <f>IF($A794="",0,IF(COUNTIF($L$2:$L794,$L794)=1,1,0))</f>
        <v>0</v>
      </c>
      <c r="N794">
        <f t="shared" si="186"/>
        <v>20242</v>
      </c>
      <c r="O794" t="str">
        <f t="shared" si="187"/>
        <v>嘉实物美消费封闭式基础设施证券投资基金|2024Q2|季度</v>
      </c>
      <c r="P794">
        <f>IF($A794="",0,IF(COUNTIF($O$2:$O794,$O794)=1,1,0))</f>
        <v>0</v>
      </c>
      <c r="Q794" t="str">
        <f>IF(AND($P794=1,$A794=经营数据!$B$3,$J794=经营数据!$BA$5),COUNTIFS($P$2:$P$3000,1,$A$2:$A$3000,$A794,$J$2:$J$3000,$J794,$N$2:$N$3000,"&lt;"&amp;$N794)+1,"")</f>
        <v/>
      </c>
      <c r="R794" t="str">
        <f t="shared" si="188"/>
        <v>嘉实物美消费封闭式基础设施证券投资基金|大成路项目</v>
      </c>
      <c r="S794">
        <f>IF($A794="",0,IF(COUNTIF($R$2:$R794,$R794)=1,1,0))</f>
        <v>0</v>
      </c>
      <c r="T794">
        <f t="shared" si="189"/>
        <v>784</v>
      </c>
      <c r="U794" t="str">
        <f>IF($A794="","",IF($A794=经营数据!$B$3,COUNTIFS($S$2:$S$3000,1,$A$2:$A$3000,$A794,$T$2:$T$3000,"&lt;"&amp;$T794)+1,""))</f>
        <v/>
      </c>
      <c r="V794" t="str">
        <f t="shared" si="190"/>
        <v>大成路项目|服务量</v>
      </c>
      <c r="W794">
        <f t="shared" si="191"/>
        <v>784</v>
      </c>
      <c r="X794" t="str">
        <f t="shared" si="192"/>
        <v>大成路项目|期末剩余租期情况</v>
      </c>
      <c r="Y794">
        <f t="shared" si="193"/>
        <v>788</v>
      </c>
      <c r="Z794">
        <f>IF($A794="",0,IF(AND($M794=1,$A794=经营数据!$B$3,$J794=经营数据!$BA$5,OR($I794=经营数据!$BA$4,COUNTIF(经营数据!$AA$9:$AA$38,$I794)&gt;0)),1,0))</f>
        <v>0</v>
      </c>
      <c r="AA794" t="str">
        <f t="shared" si="194"/>
        <v/>
      </c>
      <c r="AB794" t="str">
        <f t="shared" si="195"/>
        <v/>
      </c>
      <c r="AC794">
        <f>IF($A794="",0,IF(COUNTIF($A$2:$A794,$A794)=1,1,0))</f>
        <v>0</v>
      </c>
      <c r="AD794">
        <f t="shared" si="196"/>
        <v>8</v>
      </c>
      <c r="AE794" t="str">
        <f t="shared" si="197"/>
        <v>大成路项目|期末剩余租期情况（年）</v>
      </c>
    </row>
    <row r="795" spans="1:31" x14ac:dyDescent="0.4">
      <c r="A795" t="str">
        <f>IF(原始经营数据!$D796="","",原始经营数据!$D796)</f>
        <v>嘉实物美消费封闭式基础设施证券投资基金</v>
      </c>
      <c r="B795" t="str">
        <f>IF(原始经营数据!$D796="","",T(原始经营数据!$E796))</f>
        <v>大成路项目</v>
      </c>
      <c r="C795" t="str">
        <f>IF(原始经营数据!$D796="","",原始经营数据!$F796)</f>
        <v>2024Q2</v>
      </c>
      <c r="D795" t="str">
        <f>IF(原始经营数据!$D796="","",原始经营数据!$H796)</f>
        <v>期末租金收缴率</v>
      </c>
      <c r="E795">
        <f>IF(原始经营数据!$D796="","",原始经营数据!$I796)</f>
        <v>99.88</v>
      </c>
      <c r="F795" t="str">
        <f>IF(原始经营数据!$D796="","",T(原始经营数据!$J796))</f>
        <v>%</v>
      </c>
      <c r="G795" t="str">
        <f>IF(原始经营数据!$D796="","",T(原始经营数据!$K796))</f>
        <v/>
      </c>
      <c r="H795" t="str">
        <f>IF(原始经营数据!$D796="","",原始经营数据!$G796)</f>
        <v>服务效率</v>
      </c>
      <c r="I795" t="str">
        <f>IF($A795="","",IF($B795&lt;&gt;"",$B795,IF(COUNTIFS(原始经营数据!$D$3:$D$3001,$A795,原始经营数据!$E$3:$E$3001,"",原始经营数据!$F$3:$F$3001,$C795,原始经营数据!$H$3:$H$3001,$D795,原始经营数据!$K$3:$K$3001,$G795)&gt;1,"基金整体·来源"&amp;原始经营数据!$A796,"基金整体")))</f>
        <v>大成路项目</v>
      </c>
      <c r="J795" t="str">
        <f t="shared" si="183"/>
        <v>季度</v>
      </c>
      <c r="K795" t="str">
        <f t="shared" si="184"/>
        <v>期末租金收缴率（%）</v>
      </c>
      <c r="L795" t="str">
        <f t="shared" si="185"/>
        <v>大成路项目|期末租金收缴率（%）|季度</v>
      </c>
      <c r="M795">
        <f>IF($A795="",0,IF(COUNTIF($L$2:$L795,$L795)=1,1,0))</f>
        <v>0</v>
      </c>
      <c r="N795">
        <f t="shared" si="186"/>
        <v>20242</v>
      </c>
      <c r="O795" t="str">
        <f t="shared" si="187"/>
        <v>嘉实物美消费封闭式基础设施证券投资基金|2024Q2|季度</v>
      </c>
      <c r="P795">
        <f>IF($A795="",0,IF(COUNTIF($O$2:$O795,$O795)=1,1,0))</f>
        <v>0</v>
      </c>
      <c r="Q795" t="str">
        <f>IF(AND($P795=1,$A795=经营数据!$B$3,$J795=经营数据!$BA$5),COUNTIFS($P$2:$P$3000,1,$A$2:$A$3000,$A795,$J$2:$J$3000,$J795,$N$2:$N$3000,"&lt;"&amp;$N795)+1,"")</f>
        <v/>
      </c>
      <c r="R795" t="str">
        <f t="shared" si="188"/>
        <v>嘉实物美消费封闭式基础设施证券投资基金|大成路项目</v>
      </c>
      <c r="S795">
        <f>IF($A795="",0,IF(COUNTIF($R$2:$R795,$R795)=1,1,0))</f>
        <v>0</v>
      </c>
      <c r="T795">
        <f t="shared" si="189"/>
        <v>784</v>
      </c>
      <c r="U795" t="str">
        <f>IF($A795="","",IF($A795=经营数据!$B$3,COUNTIFS($S$2:$S$3000,1,$A$2:$A$3000,$A795,$T$2:$T$3000,"&lt;"&amp;$T795)+1,""))</f>
        <v/>
      </c>
      <c r="V795" t="str">
        <f t="shared" si="190"/>
        <v>大成路项目|服务效率</v>
      </c>
      <c r="W795">
        <f t="shared" si="191"/>
        <v>786</v>
      </c>
      <c r="X795" t="str">
        <f t="shared" si="192"/>
        <v>大成路项目|期末租金收缴率</v>
      </c>
      <c r="Y795">
        <f t="shared" si="193"/>
        <v>789</v>
      </c>
      <c r="Z795">
        <f>IF($A795="",0,IF(AND($M795=1,$A795=经营数据!$B$3,$J795=经营数据!$BA$5,OR($I795=经营数据!$BA$4,COUNTIF(经营数据!$AA$9:$AA$38,$I795)&gt;0)),1,0))</f>
        <v>0</v>
      </c>
      <c r="AA795" t="str">
        <f t="shared" si="194"/>
        <v/>
      </c>
      <c r="AB795" t="str">
        <f t="shared" si="195"/>
        <v/>
      </c>
      <c r="AC795">
        <f>IF($A795="",0,IF(COUNTIF($A$2:$A795,$A795)=1,1,0))</f>
        <v>0</v>
      </c>
      <c r="AD795">
        <f t="shared" si="196"/>
        <v>8</v>
      </c>
      <c r="AE795" t="str">
        <f t="shared" si="197"/>
        <v>大成路项目|期末租金收缴率（%）</v>
      </c>
    </row>
    <row r="796" spans="1:31" x14ac:dyDescent="0.4">
      <c r="A796" t="str">
        <f>IF(原始经营数据!$D797="","",原始经营数据!$D797)</f>
        <v>嘉实物美消费封闭式基础设施证券投资基金</v>
      </c>
      <c r="B796" t="str">
        <f>IF(原始经营数据!$D797="","",T(原始经营数据!$E797))</f>
        <v>大成路项目</v>
      </c>
      <c r="C796" t="str">
        <f>IF(原始经营数据!$D797="","",原始经营数据!$F797)</f>
        <v>2024Q2</v>
      </c>
      <c r="D796" t="str">
        <f>IF(原始经营数据!$D797="","",原始经营数据!$H797)</f>
        <v>期内租金单价水平</v>
      </c>
      <c r="E796">
        <f>IF(原始经营数据!$D797="","",原始经营数据!$I797)</f>
        <v>3.24</v>
      </c>
      <c r="F796" t="str">
        <f>IF(原始经营数据!$D797="","",T(原始经营数据!$J797))</f>
        <v>元/平方米/天</v>
      </c>
      <c r="G796" t="str">
        <f>IF(原始经营数据!$D797="","",T(原始经营数据!$K797))</f>
        <v/>
      </c>
      <c r="H796" t="str">
        <f>IF(原始经营数据!$D797="","",原始经营数据!$G797)</f>
        <v>服务价格</v>
      </c>
      <c r="I796" t="str">
        <f>IF($A796="","",IF($B796&lt;&gt;"",$B796,IF(COUNTIFS(原始经营数据!$D$3:$D$3001,$A796,原始经营数据!$E$3:$E$3001,"",原始经营数据!$F$3:$F$3001,$C796,原始经营数据!$H$3:$H$3001,$D796,原始经营数据!$K$3:$K$3001,$G796)&gt;1,"基金整体·来源"&amp;原始经营数据!$A797,"基金整体")))</f>
        <v>大成路项目</v>
      </c>
      <c r="J796" t="str">
        <f t="shared" si="183"/>
        <v>季度</v>
      </c>
      <c r="K796" t="str">
        <f t="shared" si="184"/>
        <v>期内租金单价水平（元/平方米/天）</v>
      </c>
      <c r="L796" t="str">
        <f t="shared" si="185"/>
        <v>大成路项目|期内租金单价水平（元/平方米/天）|季度</v>
      </c>
      <c r="M796">
        <f>IF($A796="",0,IF(COUNTIF($L$2:$L796,$L796)=1,1,0))</f>
        <v>0</v>
      </c>
      <c r="N796">
        <f t="shared" si="186"/>
        <v>20242</v>
      </c>
      <c r="O796" t="str">
        <f t="shared" si="187"/>
        <v>嘉实物美消费封闭式基础设施证券投资基金|2024Q2|季度</v>
      </c>
      <c r="P796">
        <f>IF($A796="",0,IF(COUNTIF($O$2:$O796,$O796)=1,1,0))</f>
        <v>0</v>
      </c>
      <c r="Q796" t="str">
        <f>IF(AND($P796=1,$A796=经营数据!$B$3,$J796=经营数据!$BA$5),COUNTIFS($P$2:$P$3000,1,$A$2:$A$3000,$A796,$J$2:$J$3000,$J796,$N$2:$N$3000,"&lt;"&amp;$N796)+1,"")</f>
        <v/>
      </c>
      <c r="R796" t="str">
        <f t="shared" si="188"/>
        <v>嘉实物美消费封闭式基础设施证券投资基金|大成路项目</v>
      </c>
      <c r="S796">
        <f>IF($A796="",0,IF(COUNTIF($R$2:$R796,$R796)=1,1,0))</f>
        <v>0</v>
      </c>
      <c r="T796">
        <f t="shared" si="189"/>
        <v>784</v>
      </c>
      <c r="U796" t="str">
        <f>IF($A796="","",IF($A796=经营数据!$B$3,COUNTIFS($S$2:$S$3000,1,$A$2:$A$3000,$A796,$T$2:$T$3000,"&lt;"&amp;$T796)+1,""))</f>
        <v/>
      </c>
      <c r="V796" t="str">
        <f t="shared" si="190"/>
        <v>大成路项目|服务价格</v>
      </c>
      <c r="W796">
        <f t="shared" si="191"/>
        <v>787</v>
      </c>
      <c r="X796" t="str">
        <f t="shared" si="192"/>
        <v>大成路项目|期内租金单价水平</v>
      </c>
      <c r="Y796">
        <f t="shared" si="193"/>
        <v>787</v>
      </c>
      <c r="Z796">
        <f>IF($A796="",0,IF(AND($M796=1,$A796=经营数据!$B$3,$J796=经营数据!$BA$5,OR($I796=经营数据!$BA$4,COUNTIF(经营数据!$AA$9:$AA$38,$I796)&gt;0)),1,0))</f>
        <v>0</v>
      </c>
      <c r="AA796" t="str">
        <f t="shared" si="194"/>
        <v/>
      </c>
      <c r="AB796" t="str">
        <f t="shared" si="195"/>
        <v/>
      </c>
      <c r="AC796">
        <f>IF($A796="",0,IF(COUNTIF($A$2:$A796,$A796)=1,1,0))</f>
        <v>0</v>
      </c>
      <c r="AD796">
        <f t="shared" si="196"/>
        <v>8</v>
      </c>
      <c r="AE796" t="str">
        <f t="shared" si="197"/>
        <v>大成路项目|期内租金单价水平（元/平方米/天）</v>
      </c>
    </row>
    <row r="797" spans="1:31" x14ac:dyDescent="0.4">
      <c r="A797" t="str">
        <f>IF(原始经营数据!$D798="","",原始经营数据!$D798)</f>
        <v>嘉实物美消费封闭式基础设施证券投资基金</v>
      </c>
      <c r="B797" t="str">
        <f>IF(原始经营数据!$D798="","",T(原始经营数据!$E798))</f>
        <v>大成路项目</v>
      </c>
      <c r="C797" t="str">
        <f>IF(原始经营数据!$D798="","",原始经营数据!$F798)</f>
        <v>2024Q3</v>
      </c>
      <c r="D797" t="str">
        <f>IF(原始经营数据!$D798="","",原始经营数据!$H798)</f>
        <v>期内租金单价水平</v>
      </c>
      <c r="E797">
        <f>IF(原始经营数据!$D798="","",原始经营数据!$I798)</f>
        <v>3.38</v>
      </c>
      <c r="F797" t="str">
        <f>IF(原始经营数据!$D798="","",T(原始经营数据!$J798))</f>
        <v>元/平方米/天</v>
      </c>
      <c r="G797" t="str">
        <f>IF(原始经营数据!$D798="","",T(原始经营数据!$K798))</f>
        <v/>
      </c>
      <c r="H797" t="str">
        <f>IF(原始经营数据!$D798="","",原始经营数据!$G798)</f>
        <v>服务价格</v>
      </c>
      <c r="I797" t="str">
        <f>IF($A797="","",IF($B797&lt;&gt;"",$B797,IF(COUNTIFS(原始经营数据!$D$3:$D$3001,$A797,原始经营数据!$E$3:$E$3001,"",原始经营数据!$F$3:$F$3001,$C797,原始经营数据!$H$3:$H$3001,$D797,原始经营数据!$K$3:$K$3001,$G797)&gt;1,"基金整体·来源"&amp;原始经营数据!$A798,"基金整体")))</f>
        <v>大成路项目</v>
      </c>
      <c r="J797" t="str">
        <f t="shared" si="183"/>
        <v>季度</v>
      </c>
      <c r="K797" t="str">
        <f t="shared" si="184"/>
        <v>期内租金单价水平（元/平方米/天）</v>
      </c>
      <c r="L797" t="str">
        <f t="shared" si="185"/>
        <v>大成路项目|期内租金单价水平（元/平方米/天）|季度</v>
      </c>
      <c r="M797">
        <f>IF($A797="",0,IF(COUNTIF($L$2:$L797,$L797)=1,1,0))</f>
        <v>0</v>
      </c>
      <c r="N797">
        <f t="shared" si="186"/>
        <v>20243</v>
      </c>
      <c r="O797" t="str">
        <f t="shared" si="187"/>
        <v>嘉实物美消费封闭式基础设施证券投资基金|2024Q3|季度</v>
      </c>
      <c r="P797">
        <f>IF($A797="",0,IF(COUNTIF($O$2:$O797,$O797)=1,1,0))</f>
        <v>0</v>
      </c>
      <c r="Q797" t="str">
        <f>IF(AND($P797=1,$A797=经营数据!$B$3,$J797=经营数据!$BA$5),COUNTIFS($P$2:$P$3000,1,$A$2:$A$3000,$A797,$J$2:$J$3000,$J797,$N$2:$N$3000,"&lt;"&amp;$N797)+1,"")</f>
        <v/>
      </c>
      <c r="R797" t="str">
        <f t="shared" si="188"/>
        <v>嘉实物美消费封闭式基础设施证券投资基金|大成路项目</v>
      </c>
      <c r="S797">
        <f>IF($A797="",0,IF(COUNTIF($R$2:$R797,$R797)=1,1,0))</f>
        <v>0</v>
      </c>
      <c r="T797">
        <f t="shared" si="189"/>
        <v>784</v>
      </c>
      <c r="U797" t="str">
        <f>IF($A797="","",IF($A797=经营数据!$B$3,COUNTIFS($S$2:$S$3000,1,$A$2:$A$3000,$A797,$T$2:$T$3000,"&lt;"&amp;$T797)+1,""))</f>
        <v/>
      </c>
      <c r="V797" t="str">
        <f t="shared" si="190"/>
        <v>大成路项目|服务价格</v>
      </c>
      <c r="W797">
        <f t="shared" si="191"/>
        <v>787</v>
      </c>
      <c r="X797" t="str">
        <f t="shared" si="192"/>
        <v>大成路项目|期内租金单价水平</v>
      </c>
      <c r="Y797">
        <f t="shared" si="193"/>
        <v>787</v>
      </c>
      <c r="Z797">
        <f>IF($A797="",0,IF(AND($M797=1,$A797=经营数据!$B$3,$J797=经营数据!$BA$5,OR($I797=经营数据!$BA$4,COUNTIF(经营数据!$AA$9:$AA$38,$I797)&gt;0)),1,0))</f>
        <v>0</v>
      </c>
      <c r="AA797" t="str">
        <f t="shared" si="194"/>
        <v/>
      </c>
      <c r="AB797" t="str">
        <f t="shared" si="195"/>
        <v/>
      </c>
      <c r="AC797">
        <f>IF($A797="",0,IF(COUNTIF($A$2:$A797,$A797)=1,1,0))</f>
        <v>0</v>
      </c>
      <c r="AD797">
        <f t="shared" si="196"/>
        <v>8</v>
      </c>
      <c r="AE797" t="str">
        <f t="shared" si="197"/>
        <v>大成路项目|期内租金单价水平（元/平方米/天）</v>
      </c>
    </row>
    <row r="798" spans="1:31" x14ac:dyDescent="0.4">
      <c r="A798" t="str">
        <f>IF(原始经营数据!$D799="","",原始经营数据!$D799)</f>
        <v>嘉实物美消费封闭式基础设施证券投资基金</v>
      </c>
      <c r="B798" t="str">
        <f>IF(原始经营数据!$D799="","",T(原始经营数据!$E799))</f>
        <v>大成路项目</v>
      </c>
      <c r="C798" t="str">
        <f>IF(原始经营数据!$D799="","",原始经营数据!$F799)</f>
        <v>2024Q3</v>
      </c>
      <c r="D798" t="str">
        <f>IF(原始经营数据!$D799="","",原始经营数据!$H799)</f>
        <v>期末出租率</v>
      </c>
      <c r="E798">
        <f>IF(原始经营数据!$D799="","",原始经营数据!$I799)</f>
        <v>96.31</v>
      </c>
      <c r="F798" t="str">
        <f>IF(原始经营数据!$D799="","",T(原始经营数据!$J799))</f>
        <v>%</v>
      </c>
      <c r="G798" t="str">
        <f>IF(原始经营数据!$D799="","",T(原始经营数据!$K799))</f>
        <v/>
      </c>
      <c r="H798" t="str">
        <f>IF(原始经营数据!$D799="","",原始经营数据!$G799)</f>
        <v>服务效率</v>
      </c>
      <c r="I798" t="str">
        <f>IF($A798="","",IF($B798&lt;&gt;"",$B798,IF(COUNTIFS(原始经营数据!$D$3:$D$3001,$A798,原始经营数据!$E$3:$E$3001,"",原始经营数据!$F$3:$F$3001,$C798,原始经营数据!$H$3:$H$3001,$D798,原始经营数据!$K$3:$K$3001,$G798)&gt;1,"基金整体·来源"&amp;原始经营数据!$A799,"基金整体")))</f>
        <v>大成路项目</v>
      </c>
      <c r="J798" t="str">
        <f t="shared" si="183"/>
        <v>季度</v>
      </c>
      <c r="K798" t="str">
        <f t="shared" si="184"/>
        <v>期末出租率（%）</v>
      </c>
      <c r="L798" t="str">
        <f t="shared" si="185"/>
        <v>大成路项目|期末出租率（%）|季度</v>
      </c>
      <c r="M798">
        <f>IF($A798="",0,IF(COUNTIF($L$2:$L798,$L798)=1,1,0))</f>
        <v>0</v>
      </c>
      <c r="N798">
        <f t="shared" si="186"/>
        <v>20243</v>
      </c>
      <c r="O798" t="str">
        <f t="shared" si="187"/>
        <v>嘉实物美消费封闭式基础设施证券投资基金|2024Q3|季度</v>
      </c>
      <c r="P798">
        <f>IF($A798="",0,IF(COUNTIF($O$2:$O798,$O798)=1,1,0))</f>
        <v>0</v>
      </c>
      <c r="Q798" t="str">
        <f>IF(AND($P798=1,$A798=经营数据!$B$3,$J798=经营数据!$BA$5),COUNTIFS($P$2:$P$3000,1,$A$2:$A$3000,$A798,$J$2:$J$3000,$J798,$N$2:$N$3000,"&lt;"&amp;$N798)+1,"")</f>
        <v/>
      </c>
      <c r="R798" t="str">
        <f t="shared" si="188"/>
        <v>嘉实物美消费封闭式基础设施证券投资基金|大成路项目</v>
      </c>
      <c r="S798">
        <f>IF($A798="",0,IF(COUNTIF($R$2:$R798,$R798)=1,1,0))</f>
        <v>0</v>
      </c>
      <c r="T798">
        <f t="shared" si="189"/>
        <v>784</v>
      </c>
      <c r="U798" t="str">
        <f>IF($A798="","",IF($A798=经营数据!$B$3,COUNTIFS($S$2:$S$3000,1,$A$2:$A$3000,$A798,$T$2:$T$3000,"&lt;"&amp;$T798)+1,""))</f>
        <v/>
      </c>
      <c r="V798" t="str">
        <f t="shared" si="190"/>
        <v>大成路项目|服务效率</v>
      </c>
      <c r="W798">
        <f t="shared" si="191"/>
        <v>786</v>
      </c>
      <c r="X798" t="str">
        <f t="shared" si="192"/>
        <v>大成路项目|期末出租率</v>
      </c>
      <c r="Y798">
        <f t="shared" si="193"/>
        <v>786</v>
      </c>
      <c r="Z798">
        <f>IF($A798="",0,IF(AND($M798=1,$A798=经营数据!$B$3,$J798=经营数据!$BA$5,OR($I798=经营数据!$BA$4,COUNTIF(经营数据!$AA$9:$AA$38,$I798)&gt;0)),1,0))</f>
        <v>0</v>
      </c>
      <c r="AA798" t="str">
        <f t="shared" si="194"/>
        <v/>
      </c>
      <c r="AB798" t="str">
        <f t="shared" si="195"/>
        <v/>
      </c>
      <c r="AC798">
        <f>IF($A798="",0,IF(COUNTIF($A$2:$A798,$A798)=1,1,0))</f>
        <v>0</v>
      </c>
      <c r="AD798">
        <f t="shared" si="196"/>
        <v>8</v>
      </c>
      <c r="AE798" t="str">
        <f t="shared" si="197"/>
        <v>大成路项目|期末出租率（%）</v>
      </c>
    </row>
    <row r="799" spans="1:31" x14ac:dyDescent="0.4">
      <c r="A799" t="str">
        <f>IF(原始经营数据!$D800="","",原始经营数据!$D800)</f>
        <v>嘉实物美消费封闭式基础设施证券投资基金</v>
      </c>
      <c r="B799" t="str">
        <f>IF(原始经营数据!$D800="","",T(原始经营数据!$E800))</f>
        <v>大成路项目</v>
      </c>
      <c r="C799" t="str">
        <f>IF(原始经营数据!$D800="","",原始经营数据!$F800)</f>
        <v>2024Q3</v>
      </c>
      <c r="D799" t="str">
        <f>IF(原始经营数据!$D800="","",原始经营数据!$H800)</f>
        <v>期末可供出租面积</v>
      </c>
      <c r="E799">
        <f>IF(原始经营数据!$D800="","",原始经营数据!$I800)</f>
        <v>29043.4</v>
      </c>
      <c r="F799" t="str">
        <f>IF(原始经营数据!$D800="","",T(原始经营数据!$J800))</f>
        <v>平方米</v>
      </c>
      <c r="G799" t="str">
        <f>IF(原始经营数据!$D800="","",T(原始经营数据!$K800))</f>
        <v/>
      </c>
      <c r="H799" t="str">
        <f>IF(原始经营数据!$D800="","",原始经营数据!$G800)</f>
        <v>服务量</v>
      </c>
      <c r="I799" t="str">
        <f>IF($A799="","",IF($B799&lt;&gt;"",$B799,IF(COUNTIFS(原始经营数据!$D$3:$D$3001,$A799,原始经营数据!$E$3:$E$3001,"",原始经营数据!$F$3:$F$3001,$C799,原始经营数据!$H$3:$H$3001,$D799,原始经营数据!$K$3:$K$3001,$G799)&gt;1,"基金整体·来源"&amp;原始经营数据!$A800,"基金整体")))</f>
        <v>大成路项目</v>
      </c>
      <c r="J799" t="str">
        <f t="shared" si="183"/>
        <v>季度</v>
      </c>
      <c r="K799" t="str">
        <f t="shared" si="184"/>
        <v>期末可供出租面积（平方米）</v>
      </c>
      <c r="L799" t="str">
        <f t="shared" si="185"/>
        <v>大成路项目|期末可供出租面积（平方米）|季度</v>
      </c>
      <c r="M799">
        <f>IF($A799="",0,IF(COUNTIF($L$2:$L799,$L799)=1,1,0))</f>
        <v>0</v>
      </c>
      <c r="N799">
        <f t="shared" si="186"/>
        <v>20243</v>
      </c>
      <c r="O799" t="str">
        <f t="shared" si="187"/>
        <v>嘉实物美消费封闭式基础设施证券投资基金|2024Q3|季度</v>
      </c>
      <c r="P799">
        <f>IF($A799="",0,IF(COUNTIF($O$2:$O799,$O799)=1,1,0))</f>
        <v>0</v>
      </c>
      <c r="Q799" t="str">
        <f>IF(AND($P799=1,$A799=经营数据!$B$3,$J799=经营数据!$BA$5),COUNTIFS($P$2:$P$3000,1,$A$2:$A$3000,$A799,$J$2:$J$3000,$J799,$N$2:$N$3000,"&lt;"&amp;$N799)+1,"")</f>
        <v/>
      </c>
      <c r="R799" t="str">
        <f t="shared" si="188"/>
        <v>嘉实物美消费封闭式基础设施证券投资基金|大成路项目</v>
      </c>
      <c r="S799">
        <f>IF($A799="",0,IF(COUNTIF($R$2:$R799,$R799)=1,1,0))</f>
        <v>0</v>
      </c>
      <c r="T799">
        <f t="shared" si="189"/>
        <v>784</v>
      </c>
      <c r="U799" t="str">
        <f>IF($A799="","",IF($A799=经营数据!$B$3,COUNTIFS($S$2:$S$3000,1,$A$2:$A$3000,$A799,$T$2:$T$3000,"&lt;"&amp;$T799)+1,""))</f>
        <v/>
      </c>
      <c r="V799" t="str">
        <f t="shared" si="190"/>
        <v>大成路项目|服务量</v>
      </c>
      <c r="W799">
        <f t="shared" si="191"/>
        <v>784</v>
      </c>
      <c r="X799" t="str">
        <f t="shared" si="192"/>
        <v>大成路项目|期末可供出租面积</v>
      </c>
      <c r="Y799">
        <f t="shared" si="193"/>
        <v>784</v>
      </c>
      <c r="Z799">
        <f>IF($A799="",0,IF(AND($M799=1,$A799=经营数据!$B$3,$J799=经营数据!$BA$5,OR($I799=经营数据!$BA$4,COUNTIF(经营数据!$AA$9:$AA$38,$I799)&gt;0)),1,0))</f>
        <v>0</v>
      </c>
      <c r="AA799" t="str">
        <f t="shared" si="194"/>
        <v/>
      </c>
      <c r="AB799" t="str">
        <f t="shared" si="195"/>
        <v/>
      </c>
      <c r="AC799">
        <f>IF($A799="",0,IF(COUNTIF($A$2:$A799,$A799)=1,1,0))</f>
        <v>0</v>
      </c>
      <c r="AD799">
        <f t="shared" si="196"/>
        <v>8</v>
      </c>
      <c r="AE799" t="str">
        <f t="shared" si="197"/>
        <v>大成路项目|期末可供出租面积（平方米）</v>
      </c>
    </row>
    <row r="800" spans="1:31" x14ac:dyDescent="0.4">
      <c r="A800" t="str">
        <f>IF(原始经营数据!$D801="","",原始经营数据!$D801)</f>
        <v>嘉实物美消费封闭式基础设施证券投资基金</v>
      </c>
      <c r="B800" t="str">
        <f>IF(原始经营数据!$D801="","",T(原始经营数据!$E801))</f>
        <v>大成路项目</v>
      </c>
      <c r="C800" t="str">
        <f>IF(原始经营数据!$D801="","",原始经营数据!$F801)</f>
        <v>2024Q3</v>
      </c>
      <c r="D800" t="str">
        <f>IF(原始经营数据!$D801="","",原始经营数据!$H801)</f>
        <v>期末实际出租面积</v>
      </c>
      <c r="E800">
        <f>IF(原始经营数据!$D801="","",原始经营数据!$I801)</f>
        <v>27972.37</v>
      </c>
      <c r="F800" t="str">
        <f>IF(原始经营数据!$D801="","",T(原始经营数据!$J801))</f>
        <v>平方米</v>
      </c>
      <c r="G800" t="str">
        <f>IF(原始经营数据!$D801="","",T(原始经营数据!$K801))</f>
        <v/>
      </c>
      <c r="H800" t="str">
        <f>IF(原始经营数据!$D801="","",原始经营数据!$G801)</f>
        <v>服务量</v>
      </c>
      <c r="I800" t="str">
        <f>IF($A800="","",IF($B800&lt;&gt;"",$B800,IF(COUNTIFS(原始经营数据!$D$3:$D$3001,$A800,原始经营数据!$E$3:$E$3001,"",原始经营数据!$F$3:$F$3001,$C800,原始经营数据!$H$3:$H$3001,$D800,原始经营数据!$K$3:$K$3001,$G800)&gt;1,"基金整体·来源"&amp;原始经营数据!$A801,"基金整体")))</f>
        <v>大成路项目</v>
      </c>
      <c r="J800" t="str">
        <f t="shared" si="183"/>
        <v>季度</v>
      </c>
      <c r="K800" t="str">
        <f t="shared" si="184"/>
        <v>期末实际出租面积（平方米）</v>
      </c>
      <c r="L800" t="str">
        <f t="shared" si="185"/>
        <v>大成路项目|期末实际出租面积（平方米）|季度</v>
      </c>
      <c r="M800">
        <f>IF($A800="",0,IF(COUNTIF($L$2:$L800,$L800)=1,1,0))</f>
        <v>0</v>
      </c>
      <c r="N800">
        <f t="shared" si="186"/>
        <v>20243</v>
      </c>
      <c r="O800" t="str">
        <f t="shared" si="187"/>
        <v>嘉实物美消费封闭式基础设施证券投资基金|2024Q3|季度</v>
      </c>
      <c r="P800">
        <f>IF($A800="",0,IF(COUNTIF($O$2:$O800,$O800)=1,1,0))</f>
        <v>0</v>
      </c>
      <c r="Q800" t="str">
        <f>IF(AND($P800=1,$A800=经营数据!$B$3,$J800=经营数据!$BA$5),COUNTIFS($P$2:$P$3000,1,$A$2:$A$3000,$A800,$J$2:$J$3000,$J800,$N$2:$N$3000,"&lt;"&amp;$N800)+1,"")</f>
        <v/>
      </c>
      <c r="R800" t="str">
        <f t="shared" si="188"/>
        <v>嘉实物美消费封闭式基础设施证券投资基金|大成路项目</v>
      </c>
      <c r="S800">
        <f>IF($A800="",0,IF(COUNTIF($R$2:$R800,$R800)=1,1,0))</f>
        <v>0</v>
      </c>
      <c r="T800">
        <f t="shared" si="189"/>
        <v>784</v>
      </c>
      <c r="U800" t="str">
        <f>IF($A800="","",IF($A800=经营数据!$B$3,COUNTIFS($S$2:$S$3000,1,$A$2:$A$3000,$A800,$T$2:$T$3000,"&lt;"&amp;$T800)+1,""))</f>
        <v/>
      </c>
      <c r="V800" t="str">
        <f t="shared" si="190"/>
        <v>大成路项目|服务量</v>
      </c>
      <c r="W800">
        <f t="shared" si="191"/>
        <v>784</v>
      </c>
      <c r="X800" t="str">
        <f t="shared" si="192"/>
        <v>大成路项目|期末实际出租面积</v>
      </c>
      <c r="Y800">
        <f t="shared" si="193"/>
        <v>785</v>
      </c>
      <c r="Z800">
        <f>IF($A800="",0,IF(AND($M800=1,$A800=经营数据!$B$3,$J800=经营数据!$BA$5,OR($I800=经营数据!$BA$4,COUNTIF(经营数据!$AA$9:$AA$38,$I800)&gt;0)),1,0))</f>
        <v>0</v>
      </c>
      <c r="AA800" t="str">
        <f t="shared" si="194"/>
        <v/>
      </c>
      <c r="AB800" t="str">
        <f t="shared" si="195"/>
        <v/>
      </c>
      <c r="AC800">
        <f>IF($A800="",0,IF(COUNTIF($A$2:$A800,$A800)=1,1,0))</f>
        <v>0</v>
      </c>
      <c r="AD800">
        <f t="shared" si="196"/>
        <v>8</v>
      </c>
      <c r="AE800" t="str">
        <f t="shared" si="197"/>
        <v>大成路项目|期末实际出租面积（平方米）</v>
      </c>
    </row>
    <row r="801" spans="1:31" x14ac:dyDescent="0.4">
      <c r="A801" t="str">
        <f>IF(原始经营数据!$D802="","",原始经营数据!$D802)</f>
        <v>嘉实物美消费封闭式基础设施证券投资基金</v>
      </c>
      <c r="B801" t="str">
        <f>IF(原始经营数据!$D802="","",T(原始经营数据!$E802))</f>
        <v>大成路项目</v>
      </c>
      <c r="C801" t="str">
        <f>IF(原始经营数据!$D802="","",原始经营数据!$F802)</f>
        <v>2024Q3</v>
      </c>
      <c r="D801" t="str">
        <f>IF(原始经营数据!$D802="","",原始经营数据!$H802)</f>
        <v>期末租金收缴率</v>
      </c>
      <c r="E801">
        <f>IF(原始经营数据!$D802="","",原始经营数据!$I802)</f>
        <v>93.72</v>
      </c>
      <c r="F801" t="str">
        <f>IF(原始经营数据!$D802="","",T(原始经营数据!$J802))</f>
        <v>%</v>
      </c>
      <c r="G801" t="str">
        <f>IF(原始经营数据!$D802="","",T(原始经营数据!$K802))</f>
        <v/>
      </c>
      <c r="H801" t="str">
        <f>IF(原始经营数据!$D802="","",原始经营数据!$G802)</f>
        <v>服务效率</v>
      </c>
      <c r="I801" t="str">
        <f>IF($A801="","",IF($B801&lt;&gt;"",$B801,IF(COUNTIFS(原始经营数据!$D$3:$D$3001,$A801,原始经营数据!$E$3:$E$3001,"",原始经营数据!$F$3:$F$3001,$C801,原始经营数据!$H$3:$H$3001,$D801,原始经营数据!$K$3:$K$3001,$G801)&gt;1,"基金整体·来源"&amp;原始经营数据!$A802,"基金整体")))</f>
        <v>大成路项目</v>
      </c>
      <c r="J801" t="str">
        <f t="shared" si="183"/>
        <v>季度</v>
      </c>
      <c r="K801" t="str">
        <f t="shared" si="184"/>
        <v>期末租金收缴率（%）</v>
      </c>
      <c r="L801" t="str">
        <f t="shared" si="185"/>
        <v>大成路项目|期末租金收缴率（%）|季度</v>
      </c>
      <c r="M801">
        <f>IF($A801="",0,IF(COUNTIF($L$2:$L801,$L801)=1,1,0))</f>
        <v>0</v>
      </c>
      <c r="N801">
        <f t="shared" si="186"/>
        <v>20243</v>
      </c>
      <c r="O801" t="str">
        <f t="shared" si="187"/>
        <v>嘉实物美消费封闭式基础设施证券投资基金|2024Q3|季度</v>
      </c>
      <c r="P801">
        <f>IF($A801="",0,IF(COUNTIF($O$2:$O801,$O801)=1,1,0))</f>
        <v>0</v>
      </c>
      <c r="Q801" t="str">
        <f>IF(AND($P801=1,$A801=经营数据!$B$3,$J801=经营数据!$BA$5),COUNTIFS($P$2:$P$3000,1,$A$2:$A$3000,$A801,$J$2:$J$3000,$J801,$N$2:$N$3000,"&lt;"&amp;$N801)+1,"")</f>
        <v/>
      </c>
      <c r="R801" t="str">
        <f t="shared" si="188"/>
        <v>嘉实物美消费封闭式基础设施证券投资基金|大成路项目</v>
      </c>
      <c r="S801">
        <f>IF($A801="",0,IF(COUNTIF($R$2:$R801,$R801)=1,1,0))</f>
        <v>0</v>
      </c>
      <c r="T801">
        <f t="shared" si="189"/>
        <v>784</v>
      </c>
      <c r="U801" t="str">
        <f>IF($A801="","",IF($A801=经营数据!$B$3,COUNTIFS($S$2:$S$3000,1,$A$2:$A$3000,$A801,$T$2:$T$3000,"&lt;"&amp;$T801)+1,""))</f>
        <v/>
      </c>
      <c r="V801" t="str">
        <f t="shared" si="190"/>
        <v>大成路项目|服务效率</v>
      </c>
      <c r="W801">
        <f t="shared" si="191"/>
        <v>786</v>
      </c>
      <c r="X801" t="str">
        <f t="shared" si="192"/>
        <v>大成路项目|期末租金收缴率</v>
      </c>
      <c r="Y801">
        <f t="shared" si="193"/>
        <v>789</v>
      </c>
      <c r="Z801">
        <f>IF($A801="",0,IF(AND($M801=1,$A801=经营数据!$B$3,$J801=经营数据!$BA$5,OR($I801=经营数据!$BA$4,COUNTIF(经营数据!$AA$9:$AA$38,$I801)&gt;0)),1,0))</f>
        <v>0</v>
      </c>
      <c r="AA801" t="str">
        <f t="shared" si="194"/>
        <v/>
      </c>
      <c r="AB801" t="str">
        <f t="shared" si="195"/>
        <v/>
      </c>
      <c r="AC801">
        <f>IF($A801="",0,IF(COUNTIF($A$2:$A801,$A801)=1,1,0))</f>
        <v>0</v>
      </c>
      <c r="AD801">
        <f t="shared" si="196"/>
        <v>8</v>
      </c>
      <c r="AE801" t="str">
        <f t="shared" si="197"/>
        <v>大成路项目|期末租金收缴率（%）</v>
      </c>
    </row>
    <row r="802" spans="1:31" x14ac:dyDescent="0.4">
      <c r="A802" t="str">
        <f>IF(原始经营数据!$D803="","",原始经营数据!$D803)</f>
        <v>嘉实物美消费封闭式基础设施证券投资基金</v>
      </c>
      <c r="B802" t="str">
        <f>IF(原始经营数据!$D803="","",T(原始经营数据!$E803))</f>
        <v>大成路项目</v>
      </c>
      <c r="C802" t="str">
        <f>IF(原始经营数据!$D803="","",原始经营数据!$F803)</f>
        <v>2024Q3</v>
      </c>
      <c r="D802" t="str">
        <f>IF(原始经营数据!$D803="","",原始经营数据!$H803)</f>
        <v>期末剩余租期情况</v>
      </c>
      <c r="E802">
        <f>IF(原始经营数据!$D803="","",原始经营数据!$I803)</f>
        <v>8.6300000000000008</v>
      </c>
      <c r="F802" t="str">
        <f>IF(原始经营数据!$D803="","",T(原始经营数据!$J803))</f>
        <v>年</v>
      </c>
      <c r="G802" t="str">
        <f>IF(原始经营数据!$D803="","",T(原始经营数据!$K803))</f>
        <v/>
      </c>
      <c r="H802" t="str">
        <f>IF(原始经营数据!$D803="","",原始经营数据!$G803)</f>
        <v>服务量</v>
      </c>
      <c r="I802" t="str">
        <f>IF($A802="","",IF($B802&lt;&gt;"",$B802,IF(COUNTIFS(原始经营数据!$D$3:$D$3001,$A802,原始经营数据!$E$3:$E$3001,"",原始经营数据!$F$3:$F$3001,$C802,原始经营数据!$H$3:$H$3001,$D802,原始经营数据!$K$3:$K$3001,$G802)&gt;1,"基金整体·来源"&amp;原始经营数据!$A803,"基金整体")))</f>
        <v>大成路项目</v>
      </c>
      <c r="J802" t="str">
        <f t="shared" si="183"/>
        <v>季度</v>
      </c>
      <c r="K802" t="str">
        <f t="shared" si="184"/>
        <v>期末剩余租期情况（年）</v>
      </c>
      <c r="L802" t="str">
        <f t="shared" si="185"/>
        <v>大成路项目|期末剩余租期情况（年）|季度</v>
      </c>
      <c r="M802">
        <f>IF($A802="",0,IF(COUNTIF($L$2:$L802,$L802)=1,1,0))</f>
        <v>0</v>
      </c>
      <c r="N802">
        <f t="shared" si="186"/>
        <v>20243</v>
      </c>
      <c r="O802" t="str">
        <f t="shared" si="187"/>
        <v>嘉实物美消费封闭式基础设施证券投资基金|2024Q3|季度</v>
      </c>
      <c r="P802">
        <f>IF($A802="",0,IF(COUNTIF($O$2:$O802,$O802)=1,1,0))</f>
        <v>0</v>
      </c>
      <c r="Q802" t="str">
        <f>IF(AND($P802=1,$A802=经营数据!$B$3,$J802=经营数据!$BA$5),COUNTIFS($P$2:$P$3000,1,$A$2:$A$3000,$A802,$J$2:$J$3000,$J802,$N$2:$N$3000,"&lt;"&amp;$N802)+1,"")</f>
        <v/>
      </c>
      <c r="R802" t="str">
        <f t="shared" si="188"/>
        <v>嘉实物美消费封闭式基础设施证券投资基金|大成路项目</v>
      </c>
      <c r="S802">
        <f>IF($A802="",0,IF(COUNTIF($R$2:$R802,$R802)=1,1,0))</f>
        <v>0</v>
      </c>
      <c r="T802">
        <f t="shared" si="189"/>
        <v>784</v>
      </c>
      <c r="U802" t="str">
        <f>IF($A802="","",IF($A802=经营数据!$B$3,COUNTIFS($S$2:$S$3000,1,$A$2:$A$3000,$A802,$T$2:$T$3000,"&lt;"&amp;$T802)+1,""))</f>
        <v/>
      </c>
      <c r="V802" t="str">
        <f t="shared" si="190"/>
        <v>大成路项目|服务量</v>
      </c>
      <c r="W802">
        <f t="shared" si="191"/>
        <v>784</v>
      </c>
      <c r="X802" t="str">
        <f t="shared" si="192"/>
        <v>大成路项目|期末剩余租期情况</v>
      </c>
      <c r="Y802">
        <f t="shared" si="193"/>
        <v>788</v>
      </c>
      <c r="Z802">
        <f>IF($A802="",0,IF(AND($M802=1,$A802=经营数据!$B$3,$J802=经营数据!$BA$5,OR($I802=经营数据!$BA$4,COUNTIF(经营数据!$AA$9:$AA$38,$I802)&gt;0)),1,0))</f>
        <v>0</v>
      </c>
      <c r="AA802" t="str">
        <f t="shared" si="194"/>
        <v/>
      </c>
      <c r="AB802" t="str">
        <f t="shared" si="195"/>
        <v/>
      </c>
      <c r="AC802">
        <f>IF($A802="",0,IF(COUNTIF($A$2:$A802,$A802)=1,1,0))</f>
        <v>0</v>
      </c>
      <c r="AD802">
        <f t="shared" si="196"/>
        <v>8</v>
      </c>
      <c r="AE802" t="str">
        <f t="shared" si="197"/>
        <v>大成路项目|期末剩余租期情况（年）</v>
      </c>
    </row>
    <row r="803" spans="1:31" x14ac:dyDescent="0.4">
      <c r="A803" t="str">
        <f>IF(原始经营数据!$D804="","",原始经营数据!$D804)</f>
        <v>嘉实物美消费封闭式基础设施证券投资基金</v>
      </c>
      <c r="B803" t="str">
        <f>IF(原始经营数据!$D804="","",T(原始经营数据!$E804))</f>
        <v>大成路项目</v>
      </c>
      <c r="C803" t="str">
        <f>IF(原始经营数据!$D804="","",原始经营数据!$F804)</f>
        <v>2024Q4</v>
      </c>
      <c r="D803" t="str">
        <f>IF(原始经营数据!$D804="","",原始经营数据!$H804)</f>
        <v>期末实际出租面积</v>
      </c>
      <c r="E803">
        <f>IF(原始经营数据!$D804="","",原始经营数据!$I804)</f>
        <v>27919.45</v>
      </c>
      <c r="F803" t="str">
        <f>IF(原始经营数据!$D804="","",T(原始经营数据!$J804))</f>
        <v>平方米</v>
      </c>
      <c r="G803" t="str">
        <f>IF(原始经营数据!$D804="","",T(原始经营数据!$K804))</f>
        <v/>
      </c>
      <c r="H803" t="str">
        <f>IF(原始经营数据!$D804="","",原始经营数据!$G804)</f>
        <v>服务量</v>
      </c>
      <c r="I803" t="str">
        <f>IF($A803="","",IF($B803&lt;&gt;"",$B803,IF(COUNTIFS(原始经营数据!$D$3:$D$3001,$A803,原始经营数据!$E$3:$E$3001,"",原始经营数据!$F$3:$F$3001,$C803,原始经营数据!$H$3:$H$3001,$D803,原始经营数据!$K$3:$K$3001,$G803)&gt;1,"基金整体·来源"&amp;原始经营数据!$A804,"基金整体")))</f>
        <v>大成路项目</v>
      </c>
      <c r="J803" t="str">
        <f t="shared" si="183"/>
        <v>季度</v>
      </c>
      <c r="K803" t="str">
        <f t="shared" si="184"/>
        <v>期末实际出租面积（平方米）</v>
      </c>
      <c r="L803" t="str">
        <f t="shared" si="185"/>
        <v>大成路项目|期末实际出租面积（平方米）|季度</v>
      </c>
      <c r="M803">
        <f>IF($A803="",0,IF(COUNTIF($L$2:$L803,$L803)=1,1,0))</f>
        <v>0</v>
      </c>
      <c r="N803">
        <f t="shared" si="186"/>
        <v>20244</v>
      </c>
      <c r="O803" t="str">
        <f t="shared" si="187"/>
        <v>嘉实物美消费封闭式基础设施证券投资基金|2024Q4|季度</v>
      </c>
      <c r="P803">
        <f>IF($A803="",0,IF(COUNTIF($O$2:$O803,$O803)=1,1,0))</f>
        <v>0</v>
      </c>
      <c r="Q803" t="str">
        <f>IF(AND($P803=1,$A803=经营数据!$B$3,$J803=经营数据!$BA$5),COUNTIFS($P$2:$P$3000,1,$A$2:$A$3000,$A803,$J$2:$J$3000,$J803,$N$2:$N$3000,"&lt;"&amp;$N803)+1,"")</f>
        <v/>
      </c>
      <c r="R803" t="str">
        <f t="shared" si="188"/>
        <v>嘉实物美消费封闭式基础设施证券投资基金|大成路项目</v>
      </c>
      <c r="S803">
        <f>IF($A803="",0,IF(COUNTIF($R$2:$R803,$R803)=1,1,0))</f>
        <v>0</v>
      </c>
      <c r="T803">
        <f t="shared" si="189"/>
        <v>784</v>
      </c>
      <c r="U803" t="str">
        <f>IF($A803="","",IF($A803=经营数据!$B$3,COUNTIFS($S$2:$S$3000,1,$A$2:$A$3000,$A803,$T$2:$T$3000,"&lt;"&amp;$T803)+1,""))</f>
        <v/>
      </c>
      <c r="V803" t="str">
        <f t="shared" si="190"/>
        <v>大成路项目|服务量</v>
      </c>
      <c r="W803">
        <f t="shared" si="191"/>
        <v>784</v>
      </c>
      <c r="X803" t="str">
        <f t="shared" si="192"/>
        <v>大成路项目|期末实际出租面积</v>
      </c>
      <c r="Y803">
        <f t="shared" si="193"/>
        <v>785</v>
      </c>
      <c r="Z803">
        <f>IF($A803="",0,IF(AND($M803=1,$A803=经营数据!$B$3,$J803=经营数据!$BA$5,OR($I803=经营数据!$BA$4,COUNTIF(经营数据!$AA$9:$AA$38,$I803)&gt;0)),1,0))</f>
        <v>0</v>
      </c>
      <c r="AA803" t="str">
        <f t="shared" si="194"/>
        <v/>
      </c>
      <c r="AB803" t="str">
        <f t="shared" si="195"/>
        <v/>
      </c>
      <c r="AC803">
        <f>IF($A803="",0,IF(COUNTIF($A$2:$A803,$A803)=1,1,0))</f>
        <v>0</v>
      </c>
      <c r="AD803">
        <f t="shared" si="196"/>
        <v>8</v>
      </c>
      <c r="AE803" t="str">
        <f t="shared" si="197"/>
        <v>大成路项目|期末实际出租面积（平方米）</v>
      </c>
    </row>
    <row r="804" spans="1:31" x14ac:dyDescent="0.4">
      <c r="A804" t="str">
        <f>IF(原始经营数据!$D805="","",原始经营数据!$D805)</f>
        <v>嘉实物美消费封闭式基础设施证券投资基金</v>
      </c>
      <c r="B804" t="str">
        <f>IF(原始经营数据!$D805="","",T(原始经营数据!$E805))</f>
        <v>大成路项目</v>
      </c>
      <c r="C804" t="str">
        <f>IF(原始经营数据!$D805="","",原始经营数据!$F805)</f>
        <v>2024Q4</v>
      </c>
      <c r="D804" t="str">
        <f>IF(原始经营数据!$D805="","",原始经营数据!$H805)</f>
        <v>期末出租率</v>
      </c>
      <c r="E804">
        <f>IF(原始经营数据!$D805="","",原始经营数据!$I805)</f>
        <v>96.13</v>
      </c>
      <c r="F804" t="str">
        <f>IF(原始经营数据!$D805="","",T(原始经营数据!$J805))</f>
        <v>%</v>
      </c>
      <c r="G804" t="str">
        <f>IF(原始经营数据!$D805="","",T(原始经营数据!$K805))</f>
        <v/>
      </c>
      <c r="H804" t="str">
        <f>IF(原始经营数据!$D805="","",原始经营数据!$G805)</f>
        <v>服务效率</v>
      </c>
      <c r="I804" t="str">
        <f>IF($A804="","",IF($B804&lt;&gt;"",$B804,IF(COUNTIFS(原始经营数据!$D$3:$D$3001,$A804,原始经营数据!$E$3:$E$3001,"",原始经营数据!$F$3:$F$3001,$C804,原始经营数据!$H$3:$H$3001,$D804,原始经营数据!$K$3:$K$3001,$G804)&gt;1,"基金整体·来源"&amp;原始经营数据!$A805,"基金整体")))</f>
        <v>大成路项目</v>
      </c>
      <c r="J804" t="str">
        <f t="shared" si="183"/>
        <v>季度</v>
      </c>
      <c r="K804" t="str">
        <f t="shared" si="184"/>
        <v>期末出租率（%）</v>
      </c>
      <c r="L804" t="str">
        <f t="shared" si="185"/>
        <v>大成路项目|期末出租率（%）|季度</v>
      </c>
      <c r="M804">
        <f>IF($A804="",0,IF(COUNTIF($L$2:$L804,$L804)=1,1,0))</f>
        <v>0</v>
      </c>
      <c r="N804">
        <f t="shared" si="186"/>
        <v>20244</v>
      </c>
      <c r="O804" t="str">
        <f t="shared" si="187"/>
        <v>嘉实物美消费封闭式基础设施证券投资基金|2024Q4|季度</v>
      </c>
      <c r="P804">
        <f>IF($A804="",0,IF(COUNTIF($O$2:$O804,$O804)=1,1,0))</f>
        <v>0</v>
      </c>
      <c r="Q804" t="str">
        <f>IF(AND($P804=1,$A804=经营数据!$B$3,$J804=经营数据!$BA$5),COUNTIFS($P$2:$P$3000,1,$A$2:$A$3000,$A804,$J$2:$J$3000,$J804,$N$2:$N$3000,"&lt;"&amp;$N804)+1,"")</f>
        <v/>
      </c>
      <c r="R804" t="str">
        <f t="shared" si="188"/>
        <v>嘉实物美消费封闭式基础设施证券投资基金|大成路项目</v>
      </c>
      <c r="S804">
        <f>IF($A804="",0,IF(COUNTIF($R$2:$R804,$R804)=1,1,0))</f>
        <v>0</v>
      </c>
      <c r="T804">
        <f t="shared" si="189"/>
        <v>784</v>
      </c>
      <c r="U804" t="str">
        <f>IF($A804="","",IF($A804=经营数据!$B$3,COUNTIFS($S$2:$S$3000,1,$A$2:$A$3000,$A804,$T$2:$T$3000,"&lt;"&amp;$T804)+1,""))</f>
        <v/>
      </c>
      <c r="V804" t="str">
        <f t="shared" si="190"/>
        <v>大成路项目|服务效率</v>
      </c>
      <c r="W804">
        <f t="shared" si="191"/>
        <v>786</v>
      </c>
      <c r="X804" t="str">
        <f t="shared" si="192"/>
        <v>大成路项目|期末出租率</v>
      </c>
      <c r="Y804">
        <f t="shared" si="193"/>
        <v>786</v>
      </c>
      <c r="Z804">
        <f>IF($A804="",0,IF(AND($M804=1,$A804=经营数据!$B$3,$J804=经营数据!$BA$5,OR($I804=经营数据!$BA$4,COUNTIF(经营数据!$AA$9:$AA$38,$I804)&gt;0)),1,0))</f>
        <v>0</v>
      </c>
      <c r="AA804" t="str">
        <f t="shared" si="194"/>
        <v/>
      </c>
      <c r="AB804" t="str">
        <f t="shared" si="195"/>
        <v/>
      </c>
      <c r="AC804">
        <f>IF($A804="",0,IF(COUNTIF($A$2:$A804,$A804)=1,1,0))</f>
        <v>0</v>
      </c>
      <c r="AD804">
        <f t="shared" si="196"/>
        <v>8</v>
      </c>
      <c r="AE804" t="str">
        <f t="shared" si="197"/>
        <v>大成路项目|期末出租率（%）</v>
      </c>
    </row>
    <row r="805" spans="1:31" x14ac:dyDescent="0.4">
      <c r="A805" t="str">
        <f>IF(原始经营数据!$D806="","",原始经营数据!$D806)</f>
        <v>嘉实物美消费封闭式基础设施证券投资基金</v>
      </c>
      <c r="B805" t="str">
        <f>IF(原始经营数据!$D806="","",T(原始经营数据!$E806))</f>
        <v>大成路项目</v>
      </c>
      <c r="C805" t="str">
        <f>IF(原始经营数据!$D806="","",原始经营数据!$F806)</f>
        <v>2024Q4</v>
      </c>
      <c r="D805" t="str">
        <f>IF(原始经营数据!$D806="","",原始经营数据!$H806)</f>
        <v>期末可供出租面积</v>
      </c>
      <c r="E805">
        <f>IF(原始经营数据!$D806="","",原始经营数据!$I806)</f>
        <v>29043.4</v>
      </c>
      <c r="F805" t="str">
        <f>IF(原始经营数据!$D806="","",T(原始经营数据!$J806))</f>
        <v>平方米</v>
      </c>
      <c r="G805" t="str">
        <f>IF(原始经营数据!$D806="","",T(原始经营数据!$K806))</f>
        <v/>
      </c>
      <c r="H805" t="str">
        <f>IF(原始经营数据!$D806="","",原始经营数据!$G806)</f>
        <v>服务量</v>
      </c>
      <c r="I805" t="str">
        <f>IF($A805="","",IF($B805&lt;&gt;"",$B805,IF(COUNTIFS(原始经营数据!$D$3:$D$3001,$A805,原始经营数据!$E$3:$E$3001,"",原始经营数据!$F$3:$F$3001,$C805,原始经营数据!$H$3:$H$3001,$D805,原始经营数据!$K$3:$K$3001,$G805)&gt;1,"基金整体·来源"&amp;原始经营数据!$A806,"基金整体")))</f>
        <v>大成路项目</v>
      </c>
      <c r="J805" t="str">
        <f t="shared" si="183"/>
        <v>季度</v>
      </c>
      <c r="K805" t="str">
        <f t="shared" si="184"/>
        <v>期末可供出租面积（平方米）</v>
      </c>
      <c r="L805" t="str">
        <f t="shared" si="185"/>
        <v>大成路项目|期末可供出租面积（平方米）|季度</v>
      </c>
      <c r="M805">
        <f>IF($A805="",0,IF(COUNTIF($L$2:$L805,$L805)=1,1,0))</f>
        <v>0</v>
      </c>
      <c r="N805">
        <f t="shared" si="186"/>
        <v>20244</v>
      </c>
      <c r="O805" t="str">
        <f t="shared" si="187"/>
        <v>嘉实物美消费封闭式基础设施证券投资基金|2024Q4|季度</v>
      </c>
      <c r="P805">
        <f>IF($A805="",0,IF(COUNTIF($O$2:$O805,$O805)=1,1,0))</f>
        <v>0</v>
      </c>
      <c r="Q805" t="str">
        <f>IF(AND($P805=1,$A805=经营数据!$B$3,$J805=经营数据!$BA$5),COUNTIFS($P$2:$P$3000,1,$A$2:$A$3000,$A805,$J$2:$J$3000,$J805,$N$2:$N$3000,"&lt;"&amp;$N805)+1,"")</f>
        <v/>
      </c>
      <c r="R805" t="str">
        <f t="shared" si="188"/>
        <v>嘉实物美消费封闭式基础设施证券投资基金|大成路项目</v>
      </c>
      <c r="S805">
        <f>IF($A805="",0,IF(COUNTIF($R$2:$R805,$R805)=1,1,0))</f>
        <v>0</v>
      </c>
      <c r="T805">
        <f t="shared" si="189"/>
        <v>784</v>
      </c>
      <c r="U805" t="str">
        <f>IF($A805="","",IF($A805=经营数据!$B$3,COUNTIFS($S$2:$S$3000,1,$A$2:$A$3000,$A805,$T$2:$T$3000,"&lt;"&amp;$T805)+1,""))</f>
        <v/>
      </c>
      <c r="V805" t="str">
        <f t="shared" si="190"/>
        <v>大成路项目|服务量</v>
      </c>
      <c r="W805">
        <f t="shared" si="191"/>
        <v>784</v>
      </c>
      <c r="X805" t="str">
        <f t="shared" si="192"/>
        <v>大成路项目|期末可供出租面积</v>
      </c>
      <c r="Y805">
        <f t="shared" si="193"/>
        <v>784</v>
      </c>
      <c r="Z805">
        <f>IF($A805="",0,IF(AND($M805=1,$A805=经营数据!$B$3,$J805=经营数据!$BA$5,OR($I805=经营数据!$BA$4,COUNTIF(经营数据!$AA$9:$AA$38,$I805)&gt;0)),1,0))</f>
        <v>0</v>
      </c>
      <c r="AA805" t="str">
        <f t="shared" si="194"/>
        <v/>
      </c>
      <c r="AB805" t="str">
        <f t="shared" si="195"/>
        <v/>
      </c>
      <c r="AC805">
        <f>IF($A805="",0,IF(COUNTIF($A$2:$A805,$A805)=1,1,0))</f>
        <v>0</v>
      </c>
      <c r="AD805">
        <f t="shared" si="196"/>
        <v>8</v>
      </c>
      <c r="AE805" t="str">
        <f t="shared" si="197"/>
        <v>大成路项目|期末可供出租面积（平方米）</v>
      </c>
    </row>
    <row r="806" spans="1:31" x14ac:dyDescent="0.4">
      <c r="A806" t="str">
        <f>IF(原始经营数据!$D807="","",原始经营数据!$D807)</f>
        <v>嘉实物美消费封闭式基础设施证券投资基金</v>
      </c>
      <c r="B806" t="str">
        <f>IF(原始经营数据!$D807="","",T(原始经营数据!$E807))</f>
        <v>大成路项目</v>
      </c>
      <c r="C806" t="str">
        <f>IF(原始经营数据!$D807="","",原始经营数据!$F807)</f>
        <v>2024Q4</v>
      </c>
      <c r="D806" t="str">
        <f>IF(原始经营数据!$D807="","",原始经营数据!$H807)</f>
        <v>期内租金单价水平</v>
      </c>
      <c r="E806">
        <f>IF(原始经营数据!$D807="","",原始经营数据!$I807)</f>
        <v>3.16</v>
      </c>
      <c r="F806" t="str">
        <f>IF(原始经营数据!$D807="","",T(原始经营数据!$J807))</f>
        <v>元/平方米/天</v>
      </c>
      <c r="G806" t="str">
        <f>IF(原始经营数据!$D807="","",T(原始经营数据!$K807))</f>
        <v/>
      </c>
      <c r="H806" t="str">
        <f>IF(原始经营数据!$D807="","",原始经营数据!$G807)</f>
        <v>服务价格</v>
      </c>
      <c r="I806" t="str">
        <f>IF($A806="","",IF($B806&lt;&gt;"",$B806,IF(COUNTIFS(原始经营数据!$D$3:$D$3001,$A806,原始经营数据!$E$3:$E$3001,"",原始经营数据!$F$3:$F$3001,$C806,原始经营数据!$H$3:$H$3001,$D806,原始经营数据!$K$3:$K$3001,$G806)&gt;1,"基金整体·来源"&amp;原始经营数据!$A807,"基金整体")))</f>
        <v>大成路项目</v>
      </c>
      <c r="J806" t="str">
        <f t="shared" si="183"/>
        <v>季度</v>
      </c>
      <c r="K806" t="str">
        <f t="shared" si="184"/>
        <v>期内租金单价水平（元/平方米/天）</v>
      </c>
      <c r="L806" t="str">
        <f t="shared" si="185"/>
        <v>大成路项目|期内租金单价水平（元/平方米/天）|季度</v>
      </c>
      <c r="M806">
        <f>IF($A806="",0,IF(COUNTIF($L$2:$L806,$L806)=1,1,0))</f>
        <v>0</v>
      </c>
      <c r="N806">
        <f t="shared" si="186"/>
        <v>20244</v>
      </c>
      <c r="O806" t="str">
        <f t="shared" si="187"/>
        <v>嘉实物美消费封闭式基础设施证券投资基金|2024Q4|季度</v>
      </c>
      <c r="P806">
        <f>IF($A806="",0,IF(COUNTIF($O$2:$O806,$O806)=1,1,0))</f>
        <v>0</v>
      </c>
      <c r="Q806" t="str">
        <f>IF(AND($P806=1,$A806=经营数据!$B$3,$J806=经营数据!$BA$5),COUNTIFS($P$2:$P$3000,1,$A$2:$A$3000,$A806,$J$2:$J$3000,$J806,$N$2:$N$3000,"&lt;"&amp;$N806)+1,"")</f>
        <v/>
      </c>
      <c r="R806" t="str">
        <f t="shared" si="188"/>
        <v>嘉实物美消费封闭式基础设施证券投资基金|大成路项目</v>
      </c>
      <c r="S806">
        <f>IF($A806="",0,IF(COUNTIF($R$2:$R806,$R806)=1,1,0))</f>
        <v>0</v>
      </c>
      <c r="T806">
        <f t="shared" si="189"/>
        <v>784</v>
      </c>
      <c r="U806" t="str">
        <f>IF($A806="","",IF($A806=经营数据!$B$3,COUNTIFS($S$2:$S$3000,1,$A$2:$A$3000,$A806,$T$2:$T$3000,"&lt;"&amp;$T806)+1,""))</f>
        <v/>
      </c>
      <c r="V806" t="str">
        <f t="shared" si="190"/>
        <v>大成路项目|服务价格</v>
      </c>
      <c r="W806">
        <f t="shared" si="191"/>
        <v>787</v>
      </c>
      <c r="X806" t="str">
        <f t="shared" si="192"/>
        <v>大成路项目|期内租金单价水平</v>
      </c>
      <c r="Y806">
        <f t="shared" si="193"/>
        <v>787</v>
      </c>
      <c r="Z806">
        <f>IF($A806="",0,IF(AND($M806=1,$A806=经营数据!$B$3,$J806=经营数据!$BA$5,OR($I806=经营数据!$BA$4,COUNTIF(经营数据!$AA$9:$AA$38,$I806)&gt;0)),1,0))</f>
        <v>0</v>
      </c>
      <c r="AA806" t="str">
        <f t="shared" si="194"/>
        <v/>
      </c>
      <c r="AB806" t="str">
        <f t="shared" si="195"/>
        <v/>
      </c>
      <c r="AC806">
        <f>IF($A806="",0,IF(COUNTIF($A$2:$A806,$A806)=1,1,0))</f>
        <v>0</v>
      </c>
      <c r="AD806">
        <f t="shared" si="196"/>
        <v>8</v>
      </c>
      <c r="AE806" t="str">
        <f t="shared" si="197"/>
        <v>大成路项目|期内租金单价水平（元/平方米/天）</v>
      </c>
    </row>
    <row r="807" spans="1:31" x14ac:dyDescent="0.4">
      <c r="A807" t="str">
        <f>IF(原始经营数据!$D808="","",原始经营数据!$D808)</f>
        <v>嘉实物美消费封闭式基础设施证券投资基金</v>
      </c>
      <c r="B807" t="str">
        <f>IF(原始经营数据!$D808="","",T(原始经营数据!$E808))</f>
        <v>大成路项目</v>
      </c>
      <c r="C807" t="str">
        <f>IF(原始经营数据!$D808="","",原始经营数据!$F808)</f>
        <v>2024Q4</v>
      </c>
      <c r="D807" t="str">
        <f>IF(原始经营数据!$D808="","",原始经营数据!$H808)</f>
        <v>期末剩余租期情况</v>
      </c>
      <c r="E807">
        <f>IF(原始经营数据!$D808="","",原始经营数据!$I808)</f>
        <v>7.96</v>
      </c>
      <c r="F807" t="str">
        <f>IF(原始经营数据!$D808="","",T(原始经营数据!$J808))</f>
        <v>年</v>
      </c>
      <c r="G807" t="str">
        <f>IF(原始经营数据!$D808="","",T(原始经营数据!$K808))</f>
        <v/>
      </c>
      <c r="H807" t="str">
        <f>IF(原始经营数据!$D808="","",原始经营数据!$G808)</f>
        <v>服务量</v>
      </c>
      <c r="I807" t="str">
        <f>IF($A807="","",IF($B807&lt;&gt;"",$B807,IF(COUNTIFS(原始经营数据!$D$3:$D$3001,$A807,原始经营数据!$E$3:$E$3001,"",原始经营数据!$F$3:$F$3001,$C807,原始经营数据!$H$3:$H$3001,$D807,原始经营数据!$K$3:$K$3001,$G807)&gt;1,"基金整体·来源"&amp;原始经营数据!$A808,"基金整体")))</f>
        <v>大成路项目</v>
      </c>
      <c r="J807" t="str">
        <f t="shared" si="183"/>
        <v>季度</v>
      </c>
      <c r="K807" t="str">
        <f t="shared" si="184"/>
        <v>期末剩余租期情况（年）</v>
      </c>
      <c r="L807" t="str">
        <f t="shared" si="185"/>
        <v>大成路项目|期末剩余租期情况（年）|季度</v>
      </c>
      <c r="M807">
        <f>IF($A807="",0,IF(COUNTIF($L$2:$L807,$L807)=1,1,0))</f>
        <v>0</v>
      </c>
      <c r="N807">
        <f t="shared" si="186"/>
        <v>20244</v>
      </c>
      <c r="O807" t="str">
        <f t="shared" si="187"/>
        <v>嘉实物美消费封闭式基础设施证券投资基金|2024Q4|季度</v>
      </c>
      <c r="P807">
        <f>IF($A807="",0,IF(COUNTIF($O$2:$O807,$O807)=1,1,0))</f>
        <v>0</v>
      </c>
      <c r="Q807" t="str">
        <f>IF(AND($P807=1,$A807=经营数据!$B$3,$J807=经营数据!$BA$5),COUNTIFS($P$2:$P$3000,1,$A$2:$A$3000,$A807,$J$2:$J$3000,$J807,$N$2:$N$3000,"&lt;"&amp;$N807)+1,"")</f>
        <v/>
      </c>
      <c r="R807" t="str">
        <f t="shared" si="188"/>
        <v>嘉实物美消费封闭式基础设施证券投资基金|大成路项目</v>
      </c>
      <c r="S807">
        <f>IF($A807="",0,IF(COUNTIF($R$2:$R807,$R807)=1,1,0))</f>
        <v>0</v>
      </c>
      <c r="T807">
        <f t="shared" si="189"/>
        <v>784</v>
      </c>
      <c r="U807" t="str">
        <f>IF($A807="","",IF($A807=经营数据!$B$3,COUNTIFS($S$2:$S$3000,1,$A$2:$A$3000,$A807,$T$2:$T$3000,"&lt;"&amp;$T807)+1,""))</f>
        <v/>
      </c>
      <c r="V807" t="str">
        <f t="shared" si="190"/>
        <v>大成路项目|服务量</v>
      </c>
      <c r="W807">
        <f t="shared" si="191"/>
        <v>784</v>
      </c>
      <c r="X807" t="str">
        <f t="shared" si="192"/>
        <v>大成路项目|期末剩余租期情况</v>
      </c>
      <c r="Y807">
        <f t="shared" si="193"/>
        <v>788</v>
      </c>
      <c r="Z807">
        <f>IF($A807="",0,IF(AND($M807=1,$A807=经营数据!$B$3,$J807=经营数据!$BA$5,OR($I807=经营数据!$BA$4,COUNTIF(经营数据!$AA$9:$AA$38,$I807)&gt;0)),1,0))</f>
        <v>0</v>
      </c>
      <c r="AA807" t="str">
        <f t="shared" si="194"/>
        <v/>
      </c>
      <c r="AB807" t="str">
        <f t="shared" si="195"/>
        <v/>
      </c>
      <c r="AC807">
        <f>IF($A807="",0,IF(COUNTIF($A$2:$A807,$A807)=1,1,0))</f>
        <v>0</v>
      </c>
      <c r="AD807">
        <f t="shared" si="196"/>
        <v>8</v>
      </c>
      <c r="AE807" t="str">
        <f t="shared" si="197"/>
        <v>大成路项目|期末剩余租期情况（年）</v>
      </c>
    </row>
    <row r="808" spans="1:31" x14ac:dyDescent="0.4">
      <c r="A808" t="str">
        <f>IF(原始经营数据!$D809="","",原始经营数据!$D809)</f>
        <v>嘉实物美消费封闭式基础设施证券投资基金</v>
      </c>
      <c r="B808" t="str">
        <f>IF(原始经营数据!$D809="","",T(原始经营数据!$E809))</f>
        <v>大成路项目</v>
      </c>
      <c r="C808" t="str">
        <f>IF(原始经营数据!$D809="","",原始经营数据!$F809)</f>
        <v>2024Q4</v>
      </c>
      <c r="D808" t="str">
        <f>IF(原始经营数据!$D809="","",原始经营数据!$H809)</f>
        <v>期末租金收缴率</v>
      </c>
      <c r="E808">
        <f>IF(原始经营数据!$D809="","",原始经营数据!$I809)</f>
        <v>91.49</v>
      </c>
      <c r="F808" t="str">
        <f>IF(原始经营数据!$D809="","",T(原始经营数据!$J809))</f>
        <v>%</v>
      </c>
      <c r="G808" t="str">
        <f>IF(原始经营数据!$D809="","",T(原始经营数据!$K809))</f>
        <v/>
      </c>
      <c r="H808" t="str">
        <f>IF(原始经营数据!$D809="","",原始经营数据!$G809)</f>
        <v>服务效率</v>
      </c>
      <c r="I808" t="str">
        <f>IF($A808="","",IF($B808&lt;&gt;"",$B808,IF(COUNTIFS(原始经营数据!$D$3:$D$3001,$A808,原始经营数据!$E$3:$E$3001,"",原始经营数据!$F$3:$F$3001,$C808,原始经营数据!$H$3:$H$3001,$D808,原始经营数据!$K$3:$K$3001,$G808)&gt;1,"基金整体·来源"&amp;原始经营数据!$A809,"基金整体")))</f>
        <v>大成路项目</v>
      </c>
      <c r="J808" t="str">
        <f t="shared" si="183"/>
        <v>季度</v>
      </c>
      <c r="K808" t="str">
        <f t="shared" si="184"/>
        <v>期末租金收缴率（%）</v>
      </c>
      <c r="L808" t="str">
        <f t="shared" si="185"/>
        <v>大成路项目|期末租金收缴率（%）|季度</v>
      </c>
      <c r="M808">
        <f>IF($A808="",0,IF(COUNTIF($L$2:$L808,$L808)=1,1,0))</f>
        <v>0</v>
      </c>
      <c r="N808">
        <f t="shared" si="186"/>
        <v>20244</v>
      </c>
      <c r="O808" t="str">
        <f t="shared" si="187"/>
        <v>嘉实物美消费封闭式基础设施证券投资基金|2024Q4|季度</v>
      </c>
      <c r="P808">
        <f>IF($A808="",0,IF(COUNTIF($O$2:$O808,$O808)=1,1,0))</f>
        <v>0</v>
      </c>
      <c r="Q808" t="str">
        <f>IF(AND($P808=1,$A808=经营数据!$B$3,$J808=经营数据!$BA$5),COUNTIFS($P$2:$P$3000,1,$A$2:$A$3000,$A808,$J$2:$J$3000,$J808,$N$2:$N$3000,"&lt;"&amp;$N808)+1,"")</f>
        <v/>
      </c>
      <c r="R808" t="str">
        <f t="shared" si="188"/>
        <v>嘉实物美消费封闭式基础设施证券投资基金|大成路项目</v>
      </c>
      <c r="S808">
        <f>IF($A808="",0,IF(COUNTIF($R$2:$R808,$R808)=1,1,0))</f>
        <v>0</v>
      </c>
      <c r="T808">
        <f t="shared" si="189"/>
        <v>784</v>
      </c>
      <c r="U808" t="str">
        <f>IF($A808="","",IF($A808=经营数据!$B$3,COUNTIFS($S$2:$S$3000,1,$A$2:$A$3000,$A808,$T$2:$T$3000,"&lt;"&amp;$T808)+1,""))</f>
        <v/>
      </c>
      <c r="V808" t="str">
        <f t="shared" si="190"/>
        <v>大成路项目|服务效率</v>
      </c>
      <c r="W808">
        <f t="shared" si="191"/>
        <v>786</v>
      </c>
      <c r="X808" t="str">
        <f t="shared" si="192"/>
        <v>大成路项目|期末租金收缴率</v>
      </c>
      <c r="Y808">
        <f t="shared" si="193"/>
        <v>789</v>
      </c>
      <c r="Z808">
        <f>IF($A808="",0,IF(AND($M808=1,$A808=经营数据!$B$3,$J808=经营数据!$BA$5,OR($I808=经营数据!$BA$4,COUNTIF(经营数据!$AA$9:$AA$38,$I808)&gt;0)),1,0))</f>
        <v>0</v>
      </c>
      <c r="AA808" t="str">
        <f t="shared" si="194"/>
        <v/>
      </c>
      <c r="AB808" t="str">
        <f t="shared" si="195"/>
        <v/>
      </c>
      <c r="AC808">
        <f>IF($A808="",0,IF(COUNTIF($A$2:$A808,$A808)=1,1,0))</f>
        <v>0</v>
      </c>
      <c r="AD808">
        <f t="shared" si="196"/>
        <v>8</v>
      </c>
      <c r="AE808" t="str">
        <f t="shared" si="197"/>
        <v>大成路项目|期末租金收缴率（%）</v>
      </c>
    </row>
    <row r="809" spans="1:31" x14ac:dyDescent="0.4">
      <c r="A809" t="str">
        <f>IF(原始经营数据!$D810="","",原始经营数据!$D810)</f>
        <v>嘉实物美消费封闭式基础设施证券投资基金</v>
      </c>
      <c r="B809" t="str">
        <f>IF(原始经营数据!$D810="","",T(原始经营数据!$E810))</f>
        <v>大成路项目</v>
      </c>
      <c r="C809" t="str">
        <f>IF(原始经营数据!$D810="","",原始经营数据!$F810)</f>
        <v>2025Q1</v>
      </c>
      <c r="D809" t="str">
        <f>IF(原始经营数据!$D810="","",原始经营数据!$H810)</f>
        <v>期末可供出租面积</v>
      </c>
      <c r="E809">
        <f>IF(原始经营数据!$D810="","",原始经营数据!$I810)</f>
        <v>29043.4</v>
      </c>
      <c r="F809" t="str">
        <f>IF(原始经营数据!$D810="","",T(原始经营数据!$J810))</f>
        <v>平方米</v>
      </c>
      <c r="G809" t="str">
        <f>IF(原始经营数据!$D810="","",T(原始经营数据!$K810))</f>
        <v/>
      </c>
      <c r="H809" t="str">
        <f>IF(原始经营数据!$D810="","",原始经营数据!$G810)</f>
        <v>服务量</v>
      </c>
      <c r="I809" t="str">
        <f>IF($A809="","",IF($B809&lt;&gt;"",$B809,IF(COUNTIFS(原始经营数据!$D$3:$D$3001,$A809,原始经营数据!$E$3:$E$3001,"",原始经营数据!$F$3:$F$3001,$C809,原始经营数据!$H$3:$H$3001,$D809,原始经营数据!$K$3:$K$3001,$G809)&gt;1,"基金整体·来源"&amp;原始经营数据!$A810,"基金整体")))</f>
        <v>大成路项目</v>
      </c>
      <c r="J809" t="str">
        <f t="shared" si="183"/>
        <v>季度</v>
      </c>
      <c r="K809" t="str">
        <f t="shared" si="184"/>
        <v>期末可供出租面积（平方米）</v>
      </c>
      <c r="L809" t="str">
        <f t="shared" si="185"/>
        <v>大成路项目|期末可供出租面积（平方米）|季度</v>
      </c>
      <c r="M809">
        <f>IF($A809="",0,IF(COUNTIF($L$2:$L809,$L809)=1,1,0))</f>
        <v>0</v>
      </c>
      <c r="N809">
        <f t="shared" si="186"/>
        <v>20251</v>
      </c>
      <c r="O809" t="str">
        <f t="shared" si="187"/>
        <v>嘉实物美消费封闭式基础设施证券投资基金|2025Q1|季度</v>
      </c>
      <c r="P809">
        <f>IF($A809="",0,IF(COUNTIF($O$2:$O809,$O809)=1,1,0))</f>
        <v>0</v>
      </c>
      <c r="Q809" t="str">
        <f>IF(AND($P809=1,$A809=经营数据!$B$3,$J809=经营数据!$BA$5),COUNTIFS($P$2:$P$3000,1,$A$2:$A$3000,$A809,$J$2:$J$3000,$J809,$N$2:$N$3000,"&lt;"&amp;$N809)+1,"")</f>
        <v/>
      </c>
      <c r="R809" t="str">
        <f t="shared" si="188"/>
        <v>嘉实物美消费封闭式基础设施证券投资基金|大成路项目</v>
      </c>
      <c r="S809">
        <f>IF($A809="",0,IF(COUNTIF($R$2:$R809,$R809)=1,1,0))</f>
        <v>0</v>
      </c>
      <c r="T809">
        <f t="shared" si="189"/>
        <v>784</v>
      </c>
      <c r="U809" t="str">
        <f>IF($A809="","",IF($A809=经营数据!$B$3,COUNTIFS($S$2:$S$3000,1,$A$2:$A$3000,$A809,$T$2:$T$3000,"&lt;"&amp;$T809)+1,""))</f>
        <v/>
      </c>
      <c r="V809" t="str">
        <f t="shared" si="190"/>
        <v>大成路项目|服务量</v>
      </c>
      <c r="W809">
        <f t="shared" si="191"/>
        <v>784</v>
      </c>
      <c r="X809" t="str">
        <f t="shared" si="192"/>
        <v>大成路项目|期末可供出租面积</v>
      </c>
      <c r="Y809">
        <f t="shared" si="193"/>
        <v>784</v>
      </c>
      <c r="Z809">
        <f>IF($A809="",0,IF(AND($M809=1,$A809=经营数据!$B$3,$J809=经营数据!$BA$5,OR($I809=经营数据!$BA$4,COUNTIF(经营数据!$AA$9:$AA$38,$I809)&gt;0)),1,0))</f>
        <v>0</v>
      </c>
      <c r="AA809" t="str">
        <f t="shared" si="194"/>
        <v/>
      </c>
      <c r="AB809" t="str">
        <f t="shared" si="195"/>
        <v/>
      </c>
      <c r="AC809">
        <f>IF($A809="",0,IF(COUNTIF($A$2:$A809,$A809)=1,1,0))</f>
        <v>0</v>
      </c>
      <c r="AD809">
        <f t="shared" si="196"/>
        <v>8</v>
      </c>
      <c r="AE809" t="str">
        <f t="shared" si="197"/>
        <v>大成路项目|期末可供出租面积（平方米）</v>
      </c>
    </row>
    <row r="810" spans="1:31" x14ac:dyDescent="0.4">
      <c r="A810" t="str">
        <f>IF(原始经营数据!$D811="","",原始经营数据!$D811)</f>
        <v>嘉实物美消费封闭式基础设施证券投资基金</v>
      </c>
      <c r="B810" t="str">
        <f>IF(原始经营数据!$D811="","",T(原始经营数据!$E811))</f>
        <v>大成路项目</v>
      </c>
      <c r="C810" t="str">
        <f>IF(原始经营数据!$D811="","",原始经营数据!$F811)</f>
        <v>2025Q1</v>
      </c>
      <c r="D810" t="str">
        <f>IF(原始经营数据!$D811="","",原始经营数据!$H811)</f>
        <v>期末实际出租面积</v>
      </c>
      <c r="E810">
        <f>IF(原始经营数据!$D811="","",原始经营数据!$I811)</f>
        <v>27420.83</v>
      </c>
      <c r="F810" t="str">
        <f>IF(原始经营数据!$D811="","",T(原始经营数据!$J811))</f>
        <v>平方米</v>
      </c>
      <c r="G810" t="str">
        <f>IF(原始经营数据!$D811="","",T(原始经营数据!$K811))</f>
        <v/>
      </c>
      <c r="H810" t="str">
        <f>IF(原始经营数据!$D811="","",原始经营数据!$G811)</f>
        <v>服务量</v>
      </c>
      <c r="I810" t="str">
        <f>IF($A810="","",IF($B810&lt;&gt;"",$B810,IF(COUNTIFS(原始经营数据!$D$3:$D$3001,$A810,原始经营数据!$E$3:$E$3001,"",原始经营数据!$F$3:$F$3001,$C810,原始经营数据!$H$3:$H$3001,$D810,原始经营数据!$K$3:$K$3001,$G810)&gt;1,"基金整体·来源"&amp;原始经营数据!$A811,"基金整体")))</f>
        <v>大成路项目</v>
      </c>
      <c r="J810" t="str">
        <f t="shared" si="183"/>
        <v>季度</v>
      </c>
      <c r="K810" t="str">
        <f t="shared" si="184"/>
        <v>期末实际出租面积（平方米）</v>
      </c>
      <c r="L810" t="str">
        <f t="shared" si="185"/>
        <v>大成路项目|期末实际出租面积（平方米）|季度</v>
      </c>
      <c r="M810">
        <f>IF($A810="",0,IF(COUNTIF($L$2:$L810,$L810)=1,1,0))</f>
        <v>0</v>
      </c>
      <c r="N810">
        <f t="shared" si="186"/>
        <v>20251</v>
      </c>
      <c r="O810" t="str">
        <f t="shared" si="187"/>
        <v>嘉实物美消费封闭式基础设施证券投资基金|2025Q1|季度</v>
      </c>
      <c r="P810">
        <f>IF($A810="",0,IF(COUNTIF($O$2:$O810,$O810)=1,1,0))</f>
        <v>0</v>
      </c>
      <c r="Q810" t="str">
        <f>IF(AND($P810=1,$A810=经营数据!$B$3,$J810=经营数据!$BA$5),COUNTIFS($P$2:$P$3000,1,$A$2:$A$3000,$A810,$J$2:$J$3000,$J810,$N$2:$N$3000,"&lt;"&amp;$N810)+1,"")</f>
        <v/>
      </c>
      <c r="R810" t="str">
        <f t="shared" si="188"/>
        <v>嘉实物美消费封闭式基础设施证券投资基金|大成路项目</v>
      </c>
      <c r="S810">
        <f>IF($A810="",0,IF(COUNTIF($R$2:$R810,$R810)=1,1,0))</f>
        <v>0</v>
      </c>
      <c r="T810">
        <f t="shared" si="189"/>
        <v>784</v>
      </c>
      <c r="U810" t="str">
        <f>IF($A810="","",IF($A810=经营数据!$B$3,COUNTIFS($S$2:$S$3000,1,$A$2:$A$3000,$A810,$T$2:$T$3000,"&lt;"&amp;$T810)+1,""))</f>
        <v/>
      </c>
      <c r="V810" t="str">
        <f t="shared" si="190"/>
        <v>大成路项目|服务量</v>
      </c>
      <c r="W810">
        <f t="shared" si="191"/>
        <v>784</v>
      </c>
      <c r="X810" t="str">
        <f t="shared" si="192"/>
        <v>大成路项目|期末实际出租面积</v>
      </c>
      <c r="Y810">
        <f t="shared" si="193"/>
        <v>785</v>
      </c>
      <c r="Z810">
        <f>IF($A810="",0,IF(AND($M810=1,$A810=经营数据!$B$3,$J810=经营数据!$BA$5,OR($I810=经营数据!$BA$4,COUNTIF(经营数据!$AA$9:$AA$38,$I810)&gt;0)),1,0))</f>
        <v>0</v>
      </c>
      <c r="AA810" t="str">
        <f t="shared" si="194"/>
        <v/>
      </c>
      <c r="AB810" t="str">
        <f t="shared" si="195"/>
        <v/>
      </c>
      <c r="AC810">
        <f>IF($A810="",0,IF(COUNTIF($A$2:$A810,$A810)=1,1,0))</f>
        <v>0</v>
      </c>
      <c r="AD810">
        <f t="shared" si="196"/>
        <v>8</v>
      </c>
      <c r="AE810" t="str">
        <f t="shared" si="197"/>
        <v>大成路项目|期末实际出租面积（平方米）</v>
      </c>
    </row>
    <row r="811" spans="1:31" x14ac:dyDescent="0.4">
      <c r="A811" t="str">
        <f>IF(原始经营数据!$D812="","",原始经营数据!$D812)</f>
        <v>嘉实物美消费封闭式基础设施证券投资基金</v>
      </c>
      <c r="B811" t="str">
        <f>IF(原始经营数据!$D812="","",T(原始经营数据!$E812))</f>
        <v>大成路项目</v>
      </c>
      <c r="C811" t="str">
        <f>IF(原始经营数据!$D812="","",原始经营数据!$F812)</f>
        <v>2025Q1</v>
      </c>
      <c r="D811" t="str">
        <f>IF(原始经营数据!$D812="","",原始经营数据!$H812)</f>
        <v>期末出租率</v>
      </c>
      <c r="E811">
        <f>IF(原始经营数据!$D812="","",原始经营数据!$I812)</f>
        <v>94.41</v>
      </c>
      <c r="F811" t="str">
        <f>IF(原始经营数据!$D812="","",T(原始经营数据!$J812))</f>
        <v>%</v>
      </c>
      <c r="G811" t="str">
        <f>IF(原始经营数据!$D812="","",T(原始经营数据!$K812))</f>
        <v/>
      </c>
      <c r="H811" t="str">
        <f>IF(原始经营数据!$D812="","",原始经营数据!$G812)</f>
        <v>服务效率</v>
      </c>
      <c r="I811" t="str">
        <f>IF($A811="","",IF($B811&lt;&gt;"",$B811,IF(COUNTIFS(原始经营数据!$D$3:$D$3001,$A811,原始经营数据!$E$3:$E$3001,"",原始经营数据!$F$3:$F$3001,$C811,原始经营数据!$H$3:$H$3001,$D811,原始经营数据!$K$3:$K$3001,$G811)&gt;1,"基金整体·来源"&amp;原始经营数据!$A812,"基金整体")))</f>
        <v>大成路项目</v>
      </c>
      <c r="J811" t="str">
        <f t="shared" si="183"/>
        <v>季度</v>
      </c>
      <c r="K811" t="str">
        <f t="shared" si="184"/>
        <v>期末出租率（%）</v>
      </c>
      <c r="L811" t="str">
        <f t="shared" si="185"/>
        <v>大成路项目|期末出租率（%）|季度</v>
      </c>
      <c r="M811">
        <f>IF($A811="",0,IF(COUNTIF($L$2:$L811,$L811)=1,1,0))</f>
        <v>0</v>
      </c>
      <c r="N811">
        <f t="shared" si="186"/>
        <v>20251</v>
      </c>
      <c r="O811" t="str">
        <f t="shared" si="187"/>
        <v>嘉实物美消费封闭式基础设施证券投资基金|2025Q1|季度</v>
      </c>
      <c r="P811">
        <f>IF($A811="",0,IF(COUNTIF($O$2:$O811,$O811)=1,1,0))</f>
        <v>0</v>
      </c>
      <c r="Q811" t="str">
        <f>IF(AND($P811=1,$A811=经营数据!$B$3,$J811=经营数据!$BA$5),COUNTIFS($P$2:$P$3000,1,$A$2:$A$3000,$A811,$J$2:$J$3000,$J811,$N$2:$N$3000,"&lt;"&amp;$N811)+1,"")</f>
        <v/>
      </c>
      <c r="R811" t="str">
        <f t="shared" si="188"/>
        <v>嘉实物美消费封闭式基础设施证券投资基金|大成路项目</v>
      </c>
      <c r="S811">
        <f>IF($A811="",0,IF(COUNTIF($R$2:$R811,$R811)=1,1,0))</f>
        <v>0</v>
      </c>
      <c r="T811">
        <f t="shared" si="189"/>
        <v>784</v>
      </c>
      <c r="U811" t="str">
        <f>IF($A811="","",IF($A811=经营数据!$B$3,COUNTIFS($S$2:$S$3000,1,$A$2:$A$3000,$A811,$T$2:$T$3000,"&lt;"&amp;$T811)+1,""))</f>
        <v/>
      </c>
      <c r="V811" t="str">
        <f t="shared" si="190"/>
        <v>大成路项目|服务效率</v>
      </c>
      <c r="W811">
        <f t="shared" si="191"/>
        <v>786</v>
      </c>
      <c r="X811" t="str">
        <f t="shared" si="192"/>
        <v>大成路项目|期末出租率</v>
      </c>
      <c r="Y811">
        <f t="shared" si="193"/>
        <v>786</v>
      </c>
      <c r="Z811">
        <f>IF($A811="",0,IF(AND($M811=1,$A811=经营数据!$B$3,$J811=经营数据!$BA$5,OR($I811=经营数据!$BA$4,COUNTIF(经营数据!$AA$9:$AA$38,$I811)&gt;0)),1,0))</f>
        <v>0</v>
      </c>
      <c r="AA811" t="str">
        <f t="shared" si="194"/>
        <v/>
      </c>
      <c r="AB811" t="str">
        <f t="shared" si="195"/>
        <v/>
      </c>
      <c r="AC811">
        <f>IF($A811="",0,IF(COUNTIF($A$2:$A811,$A811)=1,1,0))</f>
        <v>0</v>
      </c>
      <c r="AD811">
        <f t="shared" si="196"/>
        <v>8</v>
      </c>
      <c r="AE811" t="str">
        <f t="shared" si="197"/>
        <v>大成路项目|期末出租率（%）</v>
      </c>
    </row>
    <row r="812" spans="1:31" x14ac:dyDescent="0.4">
      <c r="A812" t="str">
        <f>IF(原始经营数据!$D813="","",原始经营数据!$D813)</f>
        <v>嘉实物美消费封闭式基础设施证券投资基金</v>
      </c>
      <c r="B812" t="str">
        <f>IF(原始经营数据!$D813="","",T(原始经营数据!$E813))</f>
        <v>大成路项目</v>
      </c>
      <c r="C812" t="str">
        <f>IF(原始经营数据!$D813="","",原始经营数据!$F813)</f>
        <v>2025Q1</v>
      </c>
      <c r="D812" t="str">
        <f>IF(原始经营数据!$D813="","",原始经营数据!$H813)</f>
        <v>期内租金单价水平</v>
      </c>
      <c r="E812">
        <f>IF(原始经营数据!$D813="","",原始经营数据!$I813)</f>
        <v>2.87</v>
      </c>
      <c r="F812" t="str">
        <f>IF(原始经营数据!$D813="","",T(原始经营数据!$J813))</f>
        <v>元/平方米/天</v>
      </c>
      <c r="G812" t="str">
        <f>IF(原始经营数据!$D813="","",T(原始经营数据!$K813))</f>
        <v/>
      </c>
      <c r="H812" t="str">
        <f>IF(原始经营数据!$D813="","",原始经营数据!$G813)</f>
        <v>服务价格</v>
      </c>
      <c r="I812" t="str">
        <f>IF($A812="","",IF($B812&lt;&gt;"",$B812,IF(COUNTIFS(原始经营数据!$D$3:$D$3001,$A812,原始经营数据!$E$3:$E$3001,"",原始经营数据!$F$3:$F$3001,$C812,原始经营数据!$H$3:$H$3001,$D812,原始经营数据!$K$3:$K$3001,$G812)&gt;1,"基金整体·来源"&amp;原始经营数据!$A813,"基金整体")))</f>
        <v>大成路项目</v>
      </c>
      <c r="J812" t="str">
        <f t="shared" si="183"/>
        <v>季度</v>
      </c>
      <c r="K812" t="str">
        <f t="shared" si="184"/>
        <v>期内租金单价水平（元/平方米/天）</v>
      </c>
      <c r="L812" t="str">
        <f t="shared" si="185"/>
        <v>大成路项目|期内租金单价水平（元/平方米/天）|季度</v>
      </c>
      <c r="M812">
        <f>IF($A812="",0,IF(COUNTIF($L$2:$L812,$L812)=1,1,0))</f>
        <v>0</v>
      </c>
      <c r="N812">
        <f t="shared" si="186"/>
        <v>20251</v>
      </c>
      <c r="O812" t="str">
        <f t="shared" si="187"/>
        <v>嘉实物美消费封闭式基础设施证券投资基金|2025Q1|季度</v>
      </c>
      <c r="P812">
        <f>IF($A812="",0,IF(COUNTIF($O$2:$O812,$O812)=1,1,0))</f>
        <v>0</v>
      </c>
      <c r="Q812" t="str">
        <f>IF(AND($P812=1,$A812=经营数据!$B$3,$J812=经营数据!$BA$5),COUNTIFS($P$2:$P$3000,1,$A$2:$A$3000,$A812,$J$2:$J$3000,$J812,$N$2:$N$3000,"&lt;"&amp;$N812)+1,"")</f>
        <v/>
      </c>
      <c r="R812" t="str">
        <f t="shared" si="188"/>
        <v>嘉实物美消费封闭式基础设施证券投资基金|大成路项目</v>
      </c>
      <c r="S812">
        <f>IF($A812="",0,IF(COUNTIF($R$2:$R812,$R812)=1,1,0))</f>
        <v>0</v>
      </c>
      <c r="T812">
        <f t="shared" si="189"/>
        <v>784</v>
      </c>
      <c r="U812" t="str">
        <f>IF($A812="","",IF($A812=经营数据!$B$3,COUNTIFS($S$2:$S$3000,1,$A$2:$A$3000,$A812,$T$2:$T$3000,"&lt;"&amp;$T812)+1,""))</f>
        <v/>
      </c>
      <c r="V812" t="str">
        <f t="shared" si="190"/>
        <v>大成路项目|服务价格</v>
      </c>
      <c r="W812">
        <f t="shared" si="191"/>
        <v>787</v>
      </c>
      <c r="X812" t="str">
        <f t="shared" si="192"/>
        <v>大成路项目|期内租金单价水平</v>
      </c>
      <c r="Y812">
        <f t="shared" si="193"/>
        <v>787</v>
      </c>
      <c r="Z812">
        <f>IF($A812="",0,IF(AND($M812=1,$A812=经营数据!$B$3,$J812=经营数据!$BA$5,OR($I812=经营数据!$BA$4,COUNTIF(经营数据!$AA$9:$AA$38,$I812)&gt;0)),1,0))</f>
        <v>0</v>
      </c>
      <c r="AA812" t="str">
        <f t="shared" si="194"/>
        <v/>
      </c>
      <c r="AB812" t="str">
        <f t="shared" si="195"/>
        <v/>
      </c>
      <c r="AC812">
        <f>IF($A812="",0,IF(COUNTIF($A$2:$A812,$A812)=1,1,0))</f>
        <v>0</v>
      </c>
      <c r="AD812">
        <f t="shared" si="196"/>
        <v>8</v>
      </c>
      <c r="AE812" t="str">
        <f t="shared" si="197"/>
        <v>大成路项目|期内租金单价水平（元/平方米/天）</v>
      </c>
    </row>
    <row r="813" spans="1:31" x14ac:dyDescent="0.4">
      <c r="A813" t="str">
        <f>IF(原始经营数据!$D814="","",原始经营数据!$D814)</f>
        <v>嘉实物美消费封闭式基础设施证券投资基金</v>
      </c>
      <c r="B813" t="str">
        <f>IF(原始经营数据!$D814="","",T(原始经营数据!$E814))</f>
        <v>大成路项目</v>
      </c>
      <c r="C813" t="str">
        <f>IF(原始经营数据!$D814="","",原始经营数据!$F814)</f>
        <v>2025Q1</v>
      </c>
      <c r="D813" t="str">
        <f>IF(原始经营数据!$D814="","",原始经营数据!$H814)</f>
        <v>期末剩余租期情况</v>
      </c>
      <c r="E813">
        <f>IF(原始经营数据!$D814="","",原始经营数据!$I814)</f>
        <v>7.86</v>
      </c>
      <c r="F813" t="str">
        <f>IF(原始经营数据!$D814="","",T(原始经营数据!$J814))</f>
        <v>年</v>
      </c>
      <c r="G813" t="str">
        <f>IF(原始经营数据!$D814="","",T(原始经营数据!$K814))</f>
        <v/>
      </c>
      <c r="H813" t="str">
        <f>IF(原始经营数据!$D814="","",原始经营数据!$G814)</f>
        <v>服务量</v>
      </c>
      <c r="I813" t="str">
        <f>IF($A813="","",IF($B813&lt;&gt;"",$B813,IF(COUNTIFS(原始经营数据!$D$3:$D$3001,$A813,原始经营数据!$E$3:$E$3001,"",原始经营数据!$F$3:$F$3001,$C813,原始经营数据!$H$3:$H$3001,$D813,原始经营数据!$K$3:$K$3001,$G813)&gt;1,"基金整体·来源"&amp;原始经营数据!$A814,"基金整体")))</f>
        <v>大成路项目</v>
      </c>
      <c r="J813" t="str">
        <f t="shared" si="183"/>
        <v>季度</v>
      </c>
      <c r="K813" t="str">
        <f t="shared" si="184"/>
        <v>期末剩余租期情况（年）</v>
      </c>
      <c r="L813" t="str">
        <f t="shared" si="185"/>
        <v>大成路项目|期末剩余租期情况（年）|季度</v>
      </c>
      <c r="M813">
        <f>IF($A813="",0,IF(COUNTIF($L$2:$L813,$L813)=1,1,0))</f>
        <v>0</v>
      </c>
      <c r="N813">
        <f t="shared" si="186"/>
        <v>20251</v>
      </c>
      <c r="O813" t="str">
        <f t="shared" si="187"/>
        <v>嘉实物美消费封闭式基础设施证券投资基金|2025Q1|季度</v>
      </c>
      <c r="P813">
        <f>IF($A813="",0,IF(COUNTIF($O$2:$O813,$O813)=1,1,0))</f>
        <v>0</v>
      </c>
      <c r="Q813" t="str">
        <f>IF(AND($P813=1,$A813=经营数据!$B$3,$J813=经营数据!$BA$5),COUNTIFS($P$2:$P$3000,1,$A$2:$A$3000,$A813,$J$2:$J$3000,$J813,$N$2:$N$3000,"&lt;"&amp;$N813)+1,"")</f>
        <v/>
      </c>
      <c r="R813" t="str">
        <f t="shared" si="188"/>
        <v>嘉实物美消费封闭式基础设施证券投资基金|大成路项目</v>
      </c>
      <c r="S813">
        <f>IF($A813="",0,IF(COUNTIF($R$2:$R813,$R813)=1,1,0))</f>
        <v>0</v>
      </c>
      <c r="T813">
        <f t="shared" si="189"/>
        <v>784</v>
      </c>
      <c r="U813" t="str">
        <f>IF($A813="","",IF($A813=经营数据!$B$3,COUNTIFS($S$2:$S$3000,1,$A$2:$A$3000,$A813,$T$2:$T$3000,"&lt;"&amp;$T813)+1,""))</f>
        <v/>
      </c>
      <c r="V813" t="str">
        <f t="shared" si="190"/>
        <v>大成路项目|服务量</v>
      </c>
      <c r="W813">
        <f t="shared" si="191"/>
        <v>784</v>
      </c>
      <c r="X813" t="str">
        <f t="shared" si="192"/>
        <v>大成路项目|期末剩余租期情况</v>
      </c>
      <c r="Y813">
        <f t="shared" si="193"/>
        <v>788</v>
      </c>
      <c r="Z813">
        <f>IF($A813="",0,IF(AND($M813=1,$A813=经营数据!$B$3,$J813=经营数据!$BA$5,OR($I813=经营数据!$BA$4,COUNTIF(经营数据!$AA$9:$AA$38,$I813)&gt;0)),1,0))</f>
        <v>0</v>
      </c>
      <c r="AA813" t="str">
        <f t="shared" si="194"/>
        <v/>
      </c>
      <c r="AB813" t="str">
        <f t="shared" si="195"/>
        <v/>
      </c>
      <c r="AC813">
        <f>IF($A813="",0,IF(COUNTIF($A$2:$A813,$A813)=1,1,0))</f>
        <v>0</v>
      </c>
      <c r="AD813">
        <f t="shared" si="196"/>
        <v>8</v>
      </c>
      <c r="AE813" t="str">
        <f t="shared" si="197"/>
        <v>大成路项目|期末剩余租期情况（年）</v>
      </c>
    </row>
    <row r="814" spans="1:31" x14ac:dyDescent="0.4">
      <c r="A814" t="str">
        <f>IF(原始经营数据!$D815="","",原始经营数据!$D815)</f>
        <v>嘉实物美消费封闭式基础设施证券投资基金</v>
      </c>
      <c r="B814" t="str">
        <f>IF(原始经营数据!$D815="","",T(原始经营数据!$E815))</f>
        <v>大成路项目</v>
      </c>
      <c r="C814" t="str">
        <f>IF(原始经营数据!$D815="","",原始经营数据!$F815)</f>
        <v>2025Q1</v>
      </c>
      <c r="D814" t="str">
        <f>IF(原始经营数据!$D815="","",原始经营数据!$H815)</f>
        <v>期末租金收缴率</v>
      </c>
      <c r="E814">
        <f>IF(原始经营数据!$D815="","",原始经营数据!$I815)</f>
        <v>99.8</v>
      </c>
      <c r="F814" t="str">
        <f>IF(原始经营数据!$D815="","",T(原始经营数据!$J815))</f>
        <v>%</v>
      </c>
      <c r="G814" t="str">
        <f>IF(原始经营数据!$D815="","",T(原始经营数据!$K815))</f>
        <v/>
      </c>
      <c r="H814" t="str">
        <f>IF(原始经营数据!$D815="","",原始经营数据!$G815)</f>
        <v>服务效率</v>
      </c>
      <c r="I814" t="str">
        <f>IF($A814="","",IF($B814&lt;&gt;"",$B814,IF(COUNTIFS(原始经营数据!$D$3:$D$3001,$A814,原始经营数据!$E$3:$E$3001,"",原始经营数据!$F$3:$F$3001,$C814,原始经营数据!$H$3:$H$3001,$D814,原始经营数据!$K$3:$K$3001,$G814)&gt;1,"基金整体·来源"&amp;原始经营数据!$A815,"基金整体")))</f>
        <v>大成路项目</v>
      </c>
      <c r="J814" t="str">
        <f t="shared" si="183"/>
        <v>季度</v>
      </c>
      <c r="K814" t="str">
        <f t="shared" si="184"/>
        <v>期末租金收缴率（%）</v>
      </c>
      <c r="L814" t="str">
        <f t="shared" si="185"/>
        <v>大成路项目|期末租金收缴率（%）|季度</v>
      </c>
      <c r="M814">
        <f>IF($A814="",0,IF(COUNTIF($L$2:$L814,$L814)=1,1,0))</f>
        <v>0</v>
      </c>
      <c r="N814">
        <f t="shared" si="186"/>
        <v>20251</v>
      </c>
      <c r="O814" t="str">
        <f t="shared" si="187"/>
        <v>嘉实物美消费封闭式基础设施证券投资基金|2025Q1|季度</v>
      </c>
      <c r="P814">
        <f>IF($A814="",0,IF(COUNTIF($O$2:$O814,$O814)=1,1,0))</f>
        <v>0</v>
      </c>
      <c r="Q814" t="str">
        <f>IF(AND($P814=1,$A814=经营数据!$B$3,$J814=经营数据!$BA$5),COUNTIFS($P$2:$P$3000,1,$A$2:$A$3000,$A814,$J$2:$J$3000,$J814,$N$2:$N$3000,"&lt;"&amp;$N814)+1,"")</f>
        <v/>
      </c>
      <c r="R814" t="str">
        <f t="shared" si="188"/>
        <v>嘉实物美消费封闭式基础设施证券投资基金|大成路项目</v>
      </c>
      <c r="S814">
        <f>IF($A814="",0,IF(COUNTIF($R$2:$R814,$R814)=1,1,0))</f>
        <v>0</v>
      </c>
      <c r="T814">
        <f t="shared" si="189"/>
        <v>784</v>
      </c>
      <c r="U814" t="str">
        <f>IF($A814="","",IF($A814=经营数据!$B$3,COUNTIFS($S$2:$S$3000,1,$A$2:$A$3000,$A814,$T$2:$T$3000,"&lt;"&amp;$T814)+1,""))</f>
        <v/>
      </c>
      <c r="V814" t="str">
        <f t="shared" si="190"/>
        <v>大成路项目|服务效率</v>
      </c>
      <c r="W814">
        <f t="shared" si="191"/>
        <v>786</v>
      </c>
      <c r="X814" t="str">
        <f t="shared" si="192"/>
        <v>大成路项目|期末租金收缴率</v>
      </c>
      <c r="Y814">
        <f t="shared" si="193"/>
        <v>789</v>
      </c>
      <c r="Z814">
        <f>IF($A814="",0,IF(AND($M814=1,$A814=经营数据!$B$3,$J814=经营数据!$BA$5,OR($I814=经营数据!$BA$4,COUNTIF(经营数据!$AA$9:$AA$38,$I814)&gt;0)),1,0))</f>
        <v>0</v>
      </c>
      <c r="AA814" t="str">
        <f t="shared" si="194"/>
        <v/>
      </c>
      <c r="AB814" t="str">
        <f t="shared" si="195"/>
        <v/>
      </c>
      <c r="AC814">
        <f>IF($A814="",0,IF(COUNTIF($A$2:$A814,$A814)=1,1,0))</f>
        <v>0</v>
      </c>
      <c r="AD814">
        <f t="shared" si="196"/>
        <v>8</v>
      </c>
      <c r="AE814" t="str">
        <f t="shared" si="197"/>
        <v>大成路项目|期末租金收缴率（%）</v>
      </c>
    </row>
    <row r="815" spans="1:31" x14ac:dyDescent="0.4">
      <c r="A815" t="str">
        <f>IF(原始经营数据!$D816="","",原始经营数据!$D816)</f>
        <v>嘉实物美消费封闭式基础设施证券投资基金</v>
      </c>
      <c r="B815" t="str">
        <f>IF(原始经营数据!$D816="","",T(原始经营数据!$E816))</f>
        <v>大成路项目</v>
      </c>
      <c r="C815" t="str">
        <f>IF(原始经营数据!$D816="","",原始经营数据!$F816)</f>
        <v>2025Q2</v>
      </c>
      <c r="D815" t="str">
        <f>IF(原始经营数据!$D816="","",原始经营数据!$H816)</f>
        <v>期末可供出租面积</v>
      </c>
      <c r="E815">
        <f>IF(原始经营数据!$D816="","",原始经营数据!$I816)</f>
        <v>29043.4</v>
      </c>
      <c r="F815" t="str">
        <f>IF(原始经营数据!$D816="","",T(原始经营数据!$J816))</f>
        <v>平方米</v>
      </c>
      <c r="G815" t="str">
        <f>IF(原始经营数据!$D816="","",T(原始经营数据!$K816))</f>
        <v/>
      </c>
      <c r="H815" t="str">
        <f>IF(原始经营数据!$D816="","",原始经营数据!$G816)</f>
        <v>服务量</v>
      </c>
      <c r="I815" t="str">
        <f>IF($A815="","",IF($B815&lt;&gt;"",$B815,IF(COUNTIFS(原始经营数据!$D$3:$D$3001,$A815,原始经营数据!$E$3:$E$3001,"",原始经营数据!$F$3:$F$3001,$C815,原始经营数据!$H$3:$H$3001,$D815,原始经营数据!$K$3:$K$3001,$G815)&gt;1,"基金整体·来源"&amp;原始经营数据!$A816,"基金整体")))</f>
        <v>大成路项目</v>
      </c>
      <c r="J815" t="str">
        <f t="shared" si="183"/>
        <v>季度</v>
      </c>
      <c r="K815" t="str">
        <f t="shared" si="184"/>
        <v>期末可供出租面积（平方米）</v>
      </c>
      <c r="L815" t="str">
        <f t="shared" si="185"/>
        <v>大成路项目|期末可供出租面积（平方米）|季度</v>
      </c>
      <c r="M815">
        <f>IF($A815="",0,IF(COUNTIF($L$2:$L815,$L815)=1,1,0))</f>
        <v>0</v>
      </c>
      <c r="N815">
        <f t="shared" si="186"/>
        <v>20252</v>
      </c>
      <c r="O815" t="str">
        <f t="shared" si="187"/>
        <v>嘉实物美消费封闭式基础设施证券投资基金|2025Q2|季度</v>
      </c>
      <c r="P815">
        <f>IF($A815="",0,IF(COUNTIF($O$2:$O815,$O815)=1,1,0))</f>
        <v>0</v>
      </c>
      <c r="Q815" t="str">
        <f>IF(AND($P815=1,$A815=经营数据!$B$3,$J815=经营数据!$BA$5),COUNTIFS($P$2:$P$3000,1,$A$2:$A$3000,$A815,$J$2:$J$3000,$J815,$N$2:$N$3000,"&lt;"&amp;$N815)+1,"")</f>
        <v/>
      </c>
      <c r="R815" t="str">
        <f t="shared" si="188"/>
        <v>嘉实物美消费封闭式基础设施证券投资基金|大成路项目</v>
      </c>
      <c r="S815">
        <f>IF($A815="",0,IF(COUNTIF($R$2:$R815,$R815)=1,1,0))</f>
        <v>0</v>
      </c>
      <c r="T815">
        <f t="shared" si="189"/>
        <v>784</v>
      </c>
      <c r="U815" t="str">
        <f>IF($A815="","",IF($A815=经营数据!$B$3,COUNTIFS($S$2:$S$3000,1,$A$2:$A$3000,$A815,$T$2:$T$3000,"&lt;"&amp;$T815)+1,""))</f>
        <v/>
      </c>
      <c r="V815" t="str">
        <f t="shared" si="190"/>
        <v>大成路项目|服务量</v>
      </c>
      <c r="W815">
        <f t="shared" si="191"/>
        <v>784</v>
      </c>
      <c r="X815" t="str">
        <f t="shared" si="192"/>
        <v>大成路项目|期末可供出租面积</v>
      </c>
      <c r="Y815">
        <f t="shared" si="193"/>
        <v>784</v>
      </c>
      <c r="Z815">
        <f>IF($A815="",0,IF(AND($M815=1,$A815=经营数据!$B$3,$J815=经营数据!$BA$5,OR($I815=经营数据!$BA$4,COUNTIF(经营数据!$AA$9:$AA$38,$I815)&gt;0)),1,0))</f>
        <v>0</v>
      </c>
      <c r="AA815" t="str">
        <f t="shared" si="194"/>
        <v/>
      </c>
      <c r="AB815" t="str">
        <f t="shared" si="195"/>
        <v/>
      </c>
      <c r="AC815">
        <f>IF($A815="",0,IF(COUNTIF($A$2:$A815,$A815)=1,1,0))</f>
        <v>0</v>
      </c>
      <c r="AD815">
        <f t="shared" si="196"/>
        <v>8</v>
      </c>
      <c r="AE815" t="str">
        <f t="shared" si="197"/>
        <v>大成路项目|期末可供出租面积（平方米）</v>
      </c>
    </row>
    <row r="816" spans="1:31" x14ac:dyDescent="0.4">
      <c r="A816" t="str">
        <f>IF(原始经营数据!$D817="","",原始经营数据!$D817)</f>
        <v>嘉实物美消费封闭式基础设施证券投资基金</v>
      </c>
      <c r="B816" t="str">
        <f>IF(原始经营数据!$D817="","",T(原始经营数据!$E817))</f>
        <v>大成路项目</v>
      </c>
      <c r="C816" t="str">
        <f>IF(原始经营数据!$D817="","",原始经营数据!$F817)</f>
        <v>2025Q2</v>
      </c>
      <c r="D816" t="str">
        <f>IF(原始经营数据!$D817="","",原始经营数据!$H817)</f>
        <v>期末实际出租面积</v>
      </c>
      <c r="E816">
        <f>IF(原始经营数据!$D817="","",原始经营数据!$I817)</f>
        <v>27359.23</v>
      </c>
      <c r="F816" t="str">
        <f>IF(原始经营数据!$D817="","",T(原始经营数据!$J817))</f>
        <v>平方米</v>
      </c>
      <c r="G816" t="str">
        <f>IF(原始经营数据!$D817="","",T(原始经营数据!$K817))</f>
        <v/>
      </c>
      <c r="H816" t="str">
        <f>IF(原始经营数据!$D817="","",原始经营数据!$G817)</f>
        <v>服务量</v>
      </c>
      <c r="I816" t="str">
        <f>IF($A816="","",IF($B816&lt;&gt;"",$B816,IF(COUNTIFS(原始经营数据!$D$3:$D$3001,$A816,原始经营数据!$E$3:$E$3001,"",原始经营数据!$F$3:$F$3001,$C816,原始经营数据!$H$3:$H$3001,$D816,原始经营数据!$K$3:$K$3001,$G816)&gt;1,"基金整体·来源"&amp;原始经营数据!$A817,"基金整体")))</f>
        <v>大成路项目</v>
      </c>
      <c r="J816" t="str">
        <f t="shared" si="183"/>
        <v>季度</v>
      </c>
      <c r="K816" t="str">
        <f t="shared" si="184"/>
        <v>期末实际出租面积（平方米）</v>
      </c>
      <c r="L816" t="str">
        <f t="shared" si="185"/>
        <v>大成路项目|期末实际出租面积（平方米）|季度</v>
      </c>
      <c r="M816">
        <f>IF($A816="",0,IF(COUNTIF($L$2:$L816,$L816)=1,1,0))</f>
        <v>0</v>
      </c>
      <c r="N816">
        <f t="shared" si="186"/>
        <v>20252</v>
      </c>
      <c r="O816" t="str">
        <f t="shared" si="187"/>
        <v>嘉实物美消费封闭式基础设施证券投资基金|2025Q2|季度</v>
      </c>
      <c r="P816">
        <f>IF($A816="",0,IF(COUNTIF($O$2:$O816,$O816)=1,1,0))</f>
        <v>0</v>
      </c>
      <c r="Q816" t="str">
        <f>IF(AND($P816=1,$A816=经营数据!$B$3,$J816=经营数据!$BA$5),COUNTIFS($P$2:$P$3000,1,$A$2:$A$3000,$A816,$J$2:$J$3000,$J816,$N$2:$N$3000,"&lt;"&amp;$N816)+1,"")</f>
        <v/>
      </c>
      <c r="R816" t="str">
        <f t="shared" si="188"/>
        <v>嘉实物美消费封闭式基础设施证券投资基金|大成路项目</v>
      </c>
      <c r="S816">
        <f>IF($A816="",0,IF(COUNTIF($R$2:$R816,$R816)=1,1,0))</f>
        <v>0</v>
      </c>
      <c r="T816">
        <f t="shared" si="189"/>
        <v>784</v>
      </c>
      <c r="U816" t="str">
        <f>IF($A816="","",IF($A816=经营数据!$B$3,COUNTIFS($S$2:$S$3000,1,$A$2:$A$3000,$A816,$T$2:$T$3000,"&lt;"&amp;$T816)+1,""))</f>
        <v/>
      </c>
      <c r="V816" t="str">
        <f t="shared" si="190"/>
        <v>大成路项目|服务量</v>
      </c>
      <c r="W816">
        <f t="shared" si="191"/>
        <v>784</v>
      </c>
      <c r="X816" t="str">
        <f t="shared" si="192"/>
        <v>大成路项目|期末实际出租面积</v>
      </c>
      <c r="Y816">
        <f t="shared" si="193"/>
        <v>785</v>
      </c>
      <c r="Z816">
        <f>IF($A816="",0,IF(AND($M816=1,$A816=经营数据!$B$3,$J816=经营数据!$BA$5,OR($I816=经营数据!$BA$4,COUNTIF(经营数据!$AA$9:$AA$38,$I816)&gt;0)),1,0))</f>
        <v>0</v>
      </c>
      <c r="AA816" t="str">
        <f t="shared" si="194"/>
        <v/>
      </c>
      <c r="AB816" t="str">
        <f t="shared" si="195"/>
        <v/>
      </c>
      <c r="AC816">
        <f>IF($A816="",0,IF(COUNTIF($A$2:$A816,$A816)=1,1,0))</f>
        <v>0</v>
      </c>
      <c r="AD816">
        <f t="shared" si="196"/>
        <v>8</v>
      </c>
      <c r="AE816" t="str">
        <f t="shared" si="197"/>
        <v>大成路项目|期末实际出租面积（平方米）</v>
      </c>
    </row>
    <row r="817" spans="1:31" x14ac:dyDescent="0.4">
      <c r="A817" t="str">
        <f>IF(原始经营数据!$D818="","",原始经营数据!$D818)</f>
        <v>嘉实物美消费封闭式基础设施证券投资基金</v>
      </c>
      <c r="B817" t="str">
        <f>IF(原始经营数据!$D818="","",T(原始经营数据!$E818))</f>
        <v>大成路项目</v>
      </c>
      <c r="C817" t="str">
        <f>IF(原始经营数据!$D818="","",原始经营数据!$F818)</f>
        <v>2025Q2</v>
      </c>
      <c r="D817" t="str">
        <f>IF(原始经营数据!$D818="","",原始经营数据!$H818)</f>
        <v>期末出租率</v>
      </c>
      <c r="E817">
        <f>IF(原始经营数据!$D818="","",原始经营数据!$I818)</f>
        <v>94.2</v>
      </c>
      <c r="F817" t="str">
        <f>IF(原始经营数据!$D818="","",T(原始经营数据!$J818))</f>
        <v>%</v>
      </c>
      <c r="G817" t="str">
        <f>IF(原始经营数据!$D818="","",T(原始经营数据!$K818))</f>
        <v/>
      </c>
      <c r="H817" t="str">
        <f>IF(原始经营数据!$D818="","",原始经营数据!$G818)</f>
        <v>服务效率</v>
      </c>
      <c r="I817" t="str">
        <f>IF($A817="","",IF($B817&lt;&gt;"",$B817,IF(COUNTIFS(原始经营数据!$D$3:$D$3001,$A817,原始经营数据!$E$3:$E$3001,"",原始经营数据!$F$3:$F$3001,$C817,原始经营数据!$H$3:$H$3001,$D817,原始经营数据!$K$3:$K$3001,$G817)&gt;1,"基金整体·来源"&amp;原始经营数据!$A818,"基金整体")))</f>
        <v>大成路项目</v>
      </c>
      <c r="J817" t="str">
        <f t="shared" si="183"/>
        <v>季度</v>
      </c>
      <c r="K817" t="str">
        <f t="shared" si="184"/>
        <v>期末出租率（%）</v>
      </c>
      <c r="L817" t="str">
        <f t="shared" si="185"/>
        <v>大成路项目|期末出租率（%）|季度</v>
      </c>
      <c r="M817">
        <f>IF($A817="",0,IF(COUNTIF($L$2:$L817,$L817)=1,1,0))</f>
        <v>0</v>
      </c>
      <c r="N817">
        <f t="shared" si="186"/>
        <v>20252</v>
      </c>
      <c r="O817" t="str">
        <f t="shared" si="187"/>
        <v>嘉实物美消费封闭式基础设施证券投资基金|2025Q2|季度</v>
      </c>
      <c r="P817">
        <f>IF($A817="",0,IF(COUNTIF($O$2:$O817,$O817)=1,1,0))</f>
        <v>0</v>
      </c>
      <c r="Q817" t="str">
        <f>IF(AND($P817=1,$A817=经营数据!$B$3,$J817=经营数据!$BA$5),COUNTIFS($P$2:$P$3000,1,$A$2:$A$3000,$A817,$J$2:$J$3000,$J817,$N$2:$N$3000,"&lt;"&amp;$N817)+1,"")</f>
        <v/>
      </c>
      <c r="R817" t="str">
        <f t="shared" si="188"/>
        <v>嘉实物美消费封闭式基础设施证券投资基金|大成路项目</v>
      </c>
      <c r="S817">
        <f>IF($A817="",0,IF(COUNTIF($R$2:$R817,$R817)=1,1,0))</f>
        <v>0</v>
      </c>
      <c r="T817">
        <f t="shared" si="189"/>
        <v>784</v>
      </c>
      <c r="U817" t="str">
        <f>IF($A817="","",IF($A817=经营数据!$B$3,COUNTIFS($S$2:$S$3000,1,$A$2:$A$3000,$A817,$T$2:$T$3000,"&lt;"&amp;$T817)+1,""))</f>
        <v/>
      </c>
      <c r="V817" t="str">
        <f t="shared" si="190"/>
        <v>大成路项目|服务效率</v>
      </c>
      <c r="W817">
        <f t="shared" si="191"/>
        <v>786</v>
      </c>
      <c r="X817" t="str">
        <f t="shared" si="192"/>
        <v>大成路项目|期末出租率</v>
      </c>
      <c r="Y817">
        <f t="shared" si="193"/>
        <v>786</v>
      </c>
      <c r="Z817">
        <f>IF($A817="",0,IF(AND($M817=1,$A817=经营数据!$B$3,$J817=经营数据!$BA$5,OR($I817=经营数据!$BA$4,COUNTIF(经营数据!$AA$9:$AA$38,$I817)&gt;0)),1,0))</f>
        <v>0</v>
      </c>
      <c r="AA817" t="str">
        <f t="shared" si="194"/>
        <v/>
      </c>
      <c r="AB817" t="str">
        <f t="shared" si="195"/>
        <v/>
      </c>
      <c r="AC817">
        <f>IF($A817="",0,IF(COUNTIF($A$2:$A817,$A817)=1,1,0))</f>
        <v>0</v>
      </c>
      <c r="AD817">
        <f t="shared" si="196"/>
        <v>8</v>
      </c>
      <c r="AE817" t="str">
        <f t="shared" si="197"/>
        <v>大成路项目|期末出租率（%）</v>
      </c>
    </row>
    <row r="818" spans="1:31" x14ac:dyDescent="0.4">
      <c r="A818" t="str">
        <f>IF(原始经营数据!$D819="","",原始经营数据!$D819)</f>
        <v>嘉实物美消费封闭式基础设施证券投资基金</v>
      </c>
      <c r="B818" t="str">
        <f>IF(原始经营数据!$D819="","",T(原始经营数据!$E819))</f>
        <v>大成路项目</v>
      </c>
      <c r="C818" t="str">
        <f>IF(原始经营数据!$D819="","",原始经营数据!$F819)</f>
        <v>2025Q2</v>
      </c>
      <c r="D818" t="str">
        <f>IF(原始经营数据!$D819="","",原始经营数据!$H819)</f>
        <v>期内租金单价水平</v>
      </c>
      <c r="E818">
        <f>IF(原始经营数据!$D819="","",原始经营数据!$I819)</f>
        <v>2.95</v>
      </c>
      <c r="F818" t="str">
        <f>IF(原始经营数据!$D819="","",T(原始经营数据!$J819))</f>
        <v>元/平方米/天</v>
      </c>
      <c r="G818" t="str">
        <f>IF(原始经营数据!$D819="","",T(原始经营数据!$K819))</f>
        <v/>
      </c>
      <c r="H818" t="str">
        <f>IF(原始经营数据!$D819="","",原始经营数据!$G819)</f>
        <v>服务价格</v>
      </c>
      <c r="I818" t="str">
        <f>IF($A818="","",IF($B818&lt;&gt;"",$B818,IF(COUNTIFS(原始经营数据!$D$3:$D$3001,$A818,原始经营数据!$E$3:$E$3001,"",原始经营数据!$F$3:$F$3001,$C818,原始经营数据!$H$3:$H$3001,$D818,原始经营数据!$K$3:$K$3001,$G818)&gt;1,"基金整体·来源"&amp;原始经营数据!$A819,"基金整体")))</f>
        <v>大成路项目</v>
      </c>
      <c r="J818" t="str">
        <f t="shared" si="183"/>
        <v>季度</v>
      </c>
      <c r="K818" t="str">
        <f t="shared" si="184"/>
        <v>期内租金单价水平（元/平方米/天）</v>
      </c>
      <c r="L818" t="str">
        <f t="shared" si="185"/>
        <v>大成路项目|期内租金单价水平（元/平方米/天）|季度</v>
      </c>
      <c r="M818">
        <f>IF($A818="",0,IF(COUNTIF($L$2:$L818,$L818)=1,1,0))</f>
        <v>0</v>
      </c>
      <c r="N818">
        <f t="shared" si="186"/>
        <v>20252</v>
      </c>
      <c r="O818" t="str">
        <f t="shared" si="187"/>
        <v>嘉实物美消费封闭式基础设施证券投资基金|2025Q2|季度</v>
      </c>
      <c r="P818">
        <f>IF($A818="",0,IF(COUNTIF($O$2:$O818,$O818)=1,1,0))</f>
        <v>0</v>
      </c>
      <c r="Q818" t="str">
        <f>IF(AND($P818=1,$A818=经营数据!$B$3,$J818=经营数据!$BA$5),COUNTIFS($P$2:$P$3000,1,$A$2:$A$3000,$A818,$J$2:$J$3000,$J818,$N$2:$N$3000,"&lt;"&amp;$N818)+1,"")</f>
        <v/>
      </c>
      <c r="R818" t="str">
        <f t="shared" si="188"/>
        <v>嘉实物美消费封闭式基础设施证券投资基金|大成路项目</v>
      </c>
      <c r="S818">
        <f>IF($A818="",0,IF(COUNTIF($R$2:$R818,$R818)=1,1,0))</f>
        <v>0</v>
      </c>
      <c r="T818">
        <f t="shared" si="189"/>
        <v>784</v>
      </c>
      <c r="U818" t="str">
        <f>IF($A818="","",IF($A818=经营数据!$B$3,COUNTIFS($S$2:$S$3000,1,$A$2:$A$3000,$A818,$T$2:$T$3000,"&lt;"&amp;$T818)+1,""))</f>
        <v/>
      </c>
      <c r="V818" t="str">
        <f t="shared" si="190"/>
        <v>大成路项目|服务价格</v>
      </c>
      <c r="W818">
        <f t="shared" si="191"/>
        <v>787</v>
      </c>
      <c r="X818" t="str">
        <f t="shared" si="192"/>
        <v>大成路项目|期内租金单价水平</v>
      </c>
      <c r="Y818">
        <f t="shared" si="193"/>
        <v>787</v>
      </c>
      <c r="Z818">
        <f>IF($A818="",0,IF(AND($M818=1,$A818=经营数据!$B$3,$J818=经营数据!$BA$5,OR($I818=经营数据!$BA$4,COUNTIF(经营数据!$AA$9:$AA$38,$I818)&gt;0)),1,0))</f>
        <v>0</v>
      </c>
      <c r="AA818" t="str">
        <f t="shared" si="194"/>
        <v/>
      </c>
      <c r="AB818" t="str">
        <f t="shared" si="195"/>
        <v/>
      </c>
      <c r="AC818">
        <f>IF($A818="",0,IF(COUNTIF($A$2:$A818,$A818)=1,1,0))</f>
        <v>0</v>
      </c>
      <c r="AD818">
        <f t="shared" si="196"/>
        <v>8</v>
      </c>
      <c r="AE818" t="str">
        <f t="shared" si="197"/>
        <v>大成路项目|期内租金单价水平（元/平方米/天）</v>
      </c>
    </row>
    <row r="819" spans="1:31" x14ac:dyDescent="0.4">
      <c r="A819" t="str">
        <f>IF(原始经营数据!$D820="","",原始经营数据!$D820)</f>
        <v>嘉实物美消费封闭式基础设施证券投资基金</v>
      </c>
      <c r="B819" t="str">
        <f>IF(原始经营数据!$D820="","",T(原始经营数据!$E820))</f>
        <v>大成路项目</v>
      </c>
      <c r="C819" t="str">
        <f>IF(原始经营数据!$D820="","",原始经营数据!$F820)</f>
        <v>2025Q2</v>
      </c>
      <c r="D819" t="str">
        <f>IF(原始经营数据!$D820="","",原始经营数据!$H820)</f>
        <v>期末剩余租期情况</v>
      </c>
      <c r="E819">
        <f>IF(原始经营数据!$D820="","",原始经营数据!$I820)</f>
        <v>7.5</v>
      </c>
      <c r="F819" t="str">
        <f>IF(原始经营数据!$D820="","",T(原始经营数据!$J820))</f>
        <v>年</v>
      </c>
      <c r="G819" t="str">
        <f>IF(原始经营数据!$D820="","",T(原始经营数据!$K820))</f>
        <v/>
      </c>
      <c r="H819" t="str">
        <f>IF(原始经营数据!$D820="","",原始经营数据!$G820)</f>
        <v>服务量</v>
      </c>
      <c r="I819" t="str">
        <f>IF($A819="","",IF($B819&lt;&gt;"",$B819,IF(COUNTIFS(原始经营数据!$D$3:$D$3001,$A819,原始经营数据!$E$3:$E$3001,"",原始经营数据!$F$3:$F$3001,$C819,原始经营数据!$H$3:$H$3001,$D819,原始经营数据!$K$3:$K$3001,$G819)&gt;1,"基金整体·来源"&amp;原始经营数据!$A820,"基金整体")))</f>
        <v>大成路项目</v>
      </c>
      <c r="J819" t="str">
        <f t="shared" si="183"/>
        <v>季度</v>
      </c>
      <c r="K819" t="str">
        <f t="shared" si="184"/>
        <v>期末剩余租期情况（年）</v>
      </c>
      <c r="L819" t="str">
        <f t="shared" si="185"/>
        <v>大成路项目|期末剩余租期情况（年）|季度</v>
      </c>
      <c r="M819">
        <f>IF($A819="",0,IF(COUNTIF($L$2:$L819,$L819)=1,1,0))</f>
        <v>0</v>
      </c>
      <c r="N819">
        <f t="shared" si="186"/>
        <v>20252</v>
      </c>
      <c r="O819" t="str">
        <f t="shared" si="187"/>
        <v>嘉实物美消费封闭式基础设施证券投资基金|2025Q2|季度</v>
      </c>
      <c r="P819">
        <f>IF($A819="",0,IF(COUNTIF($O$2:$O819,$O819)=1,1,0))</f>
        <v>0</v>
      </c>
      <c r="Q819" t="str">
        <f>IF(AND($P819=1,$A819=经营数据!$B$3,$J819=经营数据!$BA$5),COUNTIFS($P$2:$P$3000,1,$A$2:$A$3000,$A819,$J$2:$J$3000,$J819,$N$2:$N$3000,"&lt;"&amp;$N819)+1,"")</f>
        <v/>
      </c>
      <c r="R819" t="str">
        <f t="shared" si="188"/>
        <v>嘉实物美消费封闭式基础设施证券投资基金|大成路项目</v>
      </c>
      <c r="S819">
        <f>IF($A819="",0,IF(COUNTIF($R$2:$R819,$R819)=1,1,0))</f>
        <v>0</v>
      </c>
      <c r="T819">
        <f t="shared" si="189"/>
        <v>784</v>
      </c>
      <c r="U819" t="str">
        <f>IF($A819="","",IF($A819=经营数据!$B$3,COUNTIFS($S$2:$S$3000,1,$A$2:$A$3000,$A819,$T$2:$T$3000,"&lt;"&amp;$T819)+1,""))</f>
        <v/>
      </c>
      <c r="V819" t="str">
        <f t="shared" si="190"/>
        <v>大成路项目|服务量</v>
      </c>
      <c r="W819">
        <f t="shared" si="191"/>
        <v>784</v>
      </c>
      <c r="X819" t="str">
        <f t="shared" si="192"/>
        <v>大成路项目|期末剩余租期情况</v>
      </c>
      <c r="Y819">
        <f t="shared" si="193"/>
        <v>788</v>
      </c>
      <c r="Z819">
        <f>IF($A819="",0,IF(AND($M819=1,$A819=经营数据!$B$3,$J819=经营数据!$BA$5,OR($I819=经营数据!$BA$4,COUNTIF(经营数据!$AA$9:$AA$38,$I819)&gt;0)),1,0))</f>
        <v>0</v>
      </c>
      <c r="AA819" t="str">
        <f t="shared" si="194"/>
        <v/>
      </c>
      <c r="AB819" t="str">
        <f t="shared" si="195"/>
        <v/>
      </c>
      <c r="AC819">
        <f>IF($A819="",0,IF(COUNTIF($A$2:$A819,$A819)=1,1,0))</f>
        <v>0</v>
      </c>
      <c r="AD819">
        <f t="shared" si="196"/>
        <v>8</v>
      </c>
      <c r="AE819" t="str">
        <f t="shared" si="197"/>
        <v>大成路项目|期末剩余租期情况（年）</v>
      </c>
    </row>
    <row r="820" spans="1:31" x14ac:dyDescent="0.4">
      <c r="A820" t="str">
        <f>IF(原始经营数据!$D821="","",原始经营数据!$D821)</f>
        <v>嘉实物美消费封闭式基础设施证券投资基金</v>
      </c>
      <c r="B820" t="str">
        <f>IF(原始经营数据!$D821="","",T(原始经营数据!$E821))</f>
        <v>大成路项目</v>
      </c>
      <c r="C820" t="str">
        <f>IF(原始经营数据!$D821="","",原始经营数据!$F821)</f>
        <v>2025Q2</v>
      </c>
      <c r="D820" t="str">
        <f>IF(原始经营数据!$D821="","",原始经营数据!$H821)</f>
        <v>期末租金收缴率</v>
      </c>
      <c r="E820">
        <f>IF(原始经营数据!$D821="","",原始经营数据!$I821)</f>
        <v>97.16</v>
      </c>
      <c r="F820" t="str">
        <f>IF(原始经营数据!$D821="","",T(原始经营数据!$J821))</f>
        <v>%</v>
      </c>
      <c r="G820" t="str">
        <f>IF(原始经营数据!$D821="","",T(原始经营数据!$K821))</f>
        <v/>
      </c>
      <c r="H820" t="str">
        <f>IF(原始经营数据!$D821="","",原始经营数据!$G821)</f>
        <v>服务效率</v>
      </c>
      <c r="I820" t="str">
        <f>IF($A820="","",IF($B820&lt;&gt;"",$B820,IF(COUNTIFS(原始经营数据!$D$3:$D$3001,$A820,原始经营数据!$E$3:$E$3001,"",原始经营数据!$F$3:$F$3001,$C820,原始经营数据!$H$3:$H$3001,$D820,原始经营数据!$K$3:$K$3001,$G820)&gt;1,"基金整体·来源"&amp;原始经营数据!$A821,"基金整体")))</f>
        <v>大成路项目</v>
      </c>
      <c r="J820" t="str">
        <f t="shared" si="183"/>
        <v>季度</v>
      </c>
      <c r="K820" t="str">
        <f t="shared" si="184"/>
        <v>期末租金收缴率（%）</v>
      </c>
      <c r="L820" t="str">
        <f t="shared" si="185"/>
        <v>大成路项目|期末租金收缴率（%）|季度</v>
      </c>
      <c r="M820">
        <f>IF($A820="",0,IF(COUNTIF($L$2:$L820,$L820)=1,1,0))</f>
        <v>0</v>
      </c>
      <c r="N820">
        <f t="shared" si="186"/>
        <v>20252</v>
      </c>
      <c r="O820" t="str">
        <f t="shared" si="187"/>
        <v>嘉实物美消费封闭式基础设施证券投资基金|2025Q2|季度</v>
      </c>
      <c r="P820">
        <f>IF($A820="",0,IF(COUNTIF($O$2:$O820,$O820)=1,1,0))</f>
        <v>0</v>
      </c>
      <c r="Q820" t="str">
        <f>IF(AND($P820=1,$A820=经营数据!$B$3,$J820=经营数据!$BA$5),COUNTIFS($P$2:$P$3000,1,$A$2:$A$3000,$A820,$J$2:$J$3000,$J820,$N$2:$N$3000,"&lt;"&amp;$N820)+1,"")</f>
        <v/>
      </c>
      <c r="R820" t="str">
        <f t="shared" si="188"/>
        <v>嘉实物美消费封闭式基础设施证券投资基金|大成路项目</v>
      </c>
      <c r="S820">
        <f>IF($A820="",0,IF(COUNTIF($R$2:$R820,$R820)=1,1,0))</f>
        <v>0</v>
      </c>
      <c r="T820">
        <f t="shared" si="189"/>
        <v>784</v>
      </c>
      <c r="U820" t="str">
        <f>IF($A820="","",IF($A820=经营数据!$B$3,COUNTIFS($S$2:$S$3000,1,$A$2:$A$3000,$A820,$T$2:$T$3000,"&lt;"&amp;$T820)+1,""))</f>
        <v/>
      </c>
      <c r="V820" t="str">
        <f t="shared" si="190"/>
        <v>大成路项目|服务效率</v>
      </c>
      <c r="W820">
        <f t="shared" si="191"/>
        <v>786</v>
      </c>
      <c r="X820" t="str">
        <f t="shared" si="192"/>
        <v>大成路项目|期末租金收缴率</v>
      </c>
      <c r="Y820">
        <f t="shared" si="193"/>
        <v>789</v>
      </c>
      <c r="Z820">
        <f>IF($A820="",0,IF(AND($M820=1,$A820=经营数据!$B$3,$J820=经营数据!$BA$5,OR($I820=经营数据!$BA$4,COUNTIF(经营数据!$AA$9:$AA$38,$I820)&gt;0)),1,0))</f>
        <v>0</v>
      </c>
      <c r="AA820" t="str">
        <f t="shared" si="194"/>
        <v/>
      </c>
      <c r="AB820" t="str">
        <f t="shared" si="195"/>
        <v/>
      </c>
      <c r="AC820">
        <f>IF($A820="",0,IF(COUNTIF($A$2:$A820,$A820)=1,1,0))</f>
        <v>0</v>
      </c>
      <c r="AD820">
        <f t="shared" si="196"/>
        <v>8</v>
      </c>
      <c r="AE820" t="str">
        <f t="shared" si="197"/>
        <v>大成路项目|期末租金收缴率（%）</v>
      </c>
    </row>
    <row r="821" spans="1:31" x14ac:dyDescent="0.4">
      <c r="A821" t="str">
        <f>IF(原始经营数据!$D822="","",原始经营数据!$D822)</f>
        <v>嘉实物美消费封闭式基础设施证券投资基金</v>
      </c>
      <c r="B821" t="str">
        <f>IF(原始经营数据!$D822="","",T(原始经营数据!$E822))</f>
        <v>大成路项目</v>
      </c>
      <c r="C821" t="str">
        <f>IF(原始经营数据!$D822="","",原始经营数据!$F822)</f>
        <v>2025Q3</v>
      </c>
      <c r="D821" t="str">
        <f>IF(原始经营数据!$D822="","",原始经营数据!$H822)</f>
        <v>期末租金收缴率</v>
      </c>
      <c r="E821">
        <f>IF(原始经营数据!$D822="","",原始经营数据!$I822)</f>
        <v>94.55</v>
      </c>
      <c r="F821" t="str">
        <f>IF(原始经营数据!$D822="","",T(原始经营数据!$J822))</f>
        <v>%</v>
      </c>
      <c r="G821" t="str">
        <f>IF(原始经营数据!$D822="","",T(原始经营数据!$K822))</f>
        <v/>
      </c>
      <c r="H821" t="str">
        <f>IF(原始经营数据!$D822="","",原始经营数据!$G822)</f>
        <v>服务效率</v>
      </c>
      <c r="I821" t="str">
        <f>IF($A821="","",IF($B821&lt;&gt;"",$B821,IF(COUNTIFS(原始经营数据!$D$3:$D$3001,$A821,原始经营数据!$E$3:$E$3001,"",原始经营数据!$F$3:$F$3001,$C821,原始经营数据!$H$3:$H$3001,$D821,原始经营数据!$K$3:$K$3001,$G821)&gt;1,"基金整体·来源"&amp;原始经营数据!$A822,"基金整体")))</f>
        <v>大成路项目</v>
      </c>
      <c r="J821" t="str">
        <f t="shared" si="183"/>
        <v>季度</v>
      </c>
      <c r="K821" t="str">
        <f t="shared" si="184"/>
        <v>期末租金收缴率（%）</v>
      </c>
      <c r="L821" t="str">
        <f t="shared" si="185"/>
        <v>大成路项目|期末租金收缴率（%）|季度</v>
      </c>
      <c r="M821">
        <f>IF($A821="",0,IF(COUNTIF($L$2:$L821,$L821)=1,1,0))</f>
        <v>0</v>
      </c>
      <c r="N821">
        <f t="shared" si="186"/>
        <v>20253</v>
      </c>
      <c r="O821" t="str">
        <f t="shared" si="187"/>
        <v>嘉实物美消费封闭式基础设施证券投资基金|2025Q3|季度</v>
      </c>
      <c r="P821">
        <f>IF($A821="",0,IF(COUNTIF($O$2:$O821,$O821)=1,1,0))</f>
        <v>0</v>
      </c>
      <c r="Q821" t="str">
        <f>IF(AND($P821=1,$A821=经营数据!$B$3,$J821=经营数据!$BA$5),COUNTIFS($P$2:$P$3000,1,$A$2:$A$3000,$A821,$J$2:$J$3000,$J821,$N$2:$N$3000,"&lt;"&amp;$N821)+1,"")</f>
        <v/>
      </c>
      <c r="R821" t="str">
        <f t="shared" si="188"/>
        <v>嘉实物美消费封闭式基础设施证券投资基金|大成路项目</v>
      </c>
      <c r="S821">
        <f>IF($A821="",0,IF(COUNTIF($R$2:$R821,$R821)=1,1,0))</f>
        <v>0</v>
      </c>
      <c r="T821">
        <f t="shared" si="189"/>
        <v>784</v>
      </c>
      <c r="U821" t="str">
        <f>IF($A821="","",IF($A821=经营数据!$B$3,COUNTIFS($S$2:$S$3000,1,$A$2:$A$3000,$A821,$T$2:$T$3000,"&lt;"&amp;$T821)+1,""))</f>
        <v/>
      </c>
      <c r="V821" t="str">
        <f t="shared" si="190"/>
        <v>大成路项目|服务效率</v>
      </c>
      <c r="W821">
        <f t="shared" si="191"/>
        <v>786</v>
      </c>
      <c r="X821" t="str">
        <f t="shared" si="192"/>
        <v>大成路项目|期末租金收缴率</v>
      </c>
      <c r="Y821">
        <f t="shared" si="193"/>
        <v>789</v>
      </c>
      <c r="Z821">
        <f>IF($A821="",0,IF(AND($M821=1,$A821=经营数据!$B$3,$J821=经营数据!$BA$5,OR($I821=经营数据!$BA$4,COUNTIF(经营数据!$AA$9:$AA$38,$I821)&gt;0)),1,0))</f>
        <v>0</v>
      </c>
      <c r="AA821" t="str">
        <f t="shared" si="194"/>
        <v/>
      </c>
      <c r="AB821" t="str">
        <f t="shared" si="195"/>
        <v/>
      </c>
      <c r="AC821">
        <f>IF($A821="",0,IF(COUNTIF($A$2:$A821,$A821)=1,1,0))</f>
        <v>0</v>
      </c>
      <c r="AD821">
        <f t="shared" si="196"/>
        <v>8</v>
      </c>
      <c r="AE821" t="str">
        <f t="shared" si="197"/>
        <v>大成路项目|期末租金收缴率（%）</v>
      </c>
    </row>
    <row r="822" spans="1:31" x14ac:dyDescent="0.4">
      <c r="A822" t="str">
        <f>IF(原始经营数据!$D823="","",原始经营数据!$D823)</f>
        <v>嘉实物美消费封闭式基础设施证券投资基金</v>
      </c>
      <c r="B822" t="str">
        <f>IF(原始经营数据!$D823="","",T(原始经营数据!$E823))</f>
        <v>大成路项目</v>
      </c>
      <c r="C822" t="str">
        <f>IF(原始经营数据!$D823="","",原始经营数据!$F823)</f>
        <v>2025Q3</v>
      </c>
      <c r="D822" t="str">
        <f>IF(原始经营数据!$D823="","",原始经营数据!$H823)</f>
        <v>期末剩余租期情况</v>
      </c>
      <c r="E822">
        <f>IF(原始经营数据!$D823="","",原始经营数据!$I823)</f>
        <v>7.29</v>
      </c>
      <c r="F822" t="str">
        <f>IF(原始经营数据!$D823="","",T(原始经营数据!$J823))</f>
        <v>年</v>
      </c>
      <c r="G822" t="str">
        <f>IF(原始经营数据!$D823="","",T(原始经营数据!$K823))</f>
        <v/>
      </c>
      <c r="H822" t="str">
        <f>IF(原始经营数据!$D823="","",原始经营数据!$G823)</f>
        <v>服务量</v>
      </c>
      <c r="I822" t="str">
        <f>IF($A822="","",IF($B822&lt;&gt;"",$B822,IF(COUNTIFS(原始经营数据!$D$3:$D$3001,$A822,原始经营数据!$E$3:$E$3001,"",原始经营数据!$F$3:$F$3001,$C822,原始经营数据!$H$3:$H$3001,$D822,原始经营数据!$K$3:$K$3001,$G822)&gt;1,"基金整体·来源"&amp;原始经营数据!$A823,"基金整体")))</f>
        <v>大成路项目</v>
      </c>
      <c r="J822" t="str">
        <f t="shared" si="183"/>
        <v>季度</v>
      </c>
      <c r="K822" t="str">
        <f t="shared" si="184"/>
        <v>期末剩余租期情况（年）</v>
      </c>
      <c r="L822" t="str">
        <f t="shared" si="185"/>
        <v>大成路项目|期末剩余租期情况（年）|季度</v>
      </c>
      <c r="M822">
        <f>IF($A822="",0,IF(COUNTIF($L$2:$L822,$L822)=1,1,0))</f>
        <v>0</v>
      </c>
      <c r="N822">
        <f t="shared" si="186"/>
        <v>20253</v>
      </c>
      <c r="O822" t="str">
        <f t="shared" si="187"/>
        <v>嘉实物美消费封闭式基础设施证券投资基金|2025Q3|季度</v>
      </c>
      <c r="P822">
        <f>IF($A822="",0,IF(COUNTIF($O$2:$O822,$O822)=1,1,0))</f>
        <v>0</v>
      </c>
      <c r="Q822" t="str">
        <f>IF(AND($P822=1,$A822=经营数据!$B$3,$J822=经营数据!$BA$5),COUNTIFS($P$2:$P$3000,1,$A$2:$A$3000,$A822,$J$2:$J$3000,$J822,$N$2:$N$3000,"&lt;"&amp;$N822)+1,"")</f>
        <v/>
      </c>
      <c r="R822" t="str">
        <f t="shared" si="188"/>
        <v>嘉实物美消费封闭式基础设施证券投资基金|大成路项目</v>
      </c>
      <c r="S822">
        <f>IF($A822="",0,IF(COUNTIF($R$2:$R822,$R822)=1,1,0))</f>
        <v>0</v>
      </c>
      <c r="T822">
        <f t="shared" si="189"/>
        <v>784</v>
      </c>
      <c r="U822" t="str">
        <f>IF($A822="","",IF($A822=经营数据!$B$3,COUNTIFS($S$2:$S$3000,1,$A$2:$A$3000,$A822,$T$2:$T$3000,"&lt;"&amp;$T822)+1,""))</f>
        <v/>
      </c>
      <c r="V822" t="str">
        <f t="shared" si="190"/>
        <v>大成路项目|服务量</v>
      </c>
      <c r="W822">
        <f t="shared" si="191"/>
        <v>784</v>
      </c>
      <c r="X822" t="str">
        <f t="shared" si="192"/>
        <v>大成路项目|期末剩余租期情况</v>
      </c>
      <c r="Y822">
        <f t="shared" si="193"/>
        <v>788</v>
      </c>
      <c r="Z822">
        <f>IF($A822="",0,IF(AND($M822=1,$A822=经营数据!$B$3,$J822=经营数据!$BA$5,OR($I822=经营数据!$BA$4,COUNTIF(经营数据!$AA$9:$AA$38,$I822)&gt;0)),1,0))</f>
        <v>0</v>
      </c>
      <c r="AA822" t="str">
        <f t="shared" si="194"/>
        <v/>
      </c>
      <c r="AB822" t="str">
        <f t="shared" si="195"/>
        <v/>
      </c>
      <c r="AC822">
        <f>IF($A822="",0,IF(COUNTIF($A$2:$A822,$A822)=1,1,0))</f>
        <v>0</v>
      </c>
      <c r="AD822">
        <f t="shared" si="196"/>
        <v>8</v>
      </c>
      <c r="AE822" t="str">
        <f t="shared" si="197"/>
        <v>大成路项目|期末剩余租期情况（年）</v>
      </c>
    </row>
    <row r="823" spans="1:31" x14ac:dyDescent="0.4">
      <c r="A823" t="str">
        <f>IF(原始经营数据!$D824="","",原始经营数据!$D824)</f>
        <v>嘉实物美消费封闭式基础设施证券投资基金</v>
      </c>
      <c r="B823" t="str">
        <f>IF(原始经营数据!$D824="","",T(原始经营数据!$E824))</f>
        <v>大成路项目</v>
      </c>
      <c r="C823" t="str">
        <f>IF(原始经营数据!$D824="","",原始经营数据!$F824)</f>
        <v>2025Q3</v>
      </c>
      <c r="D823" t="str">
        <f>IF(原始经营数据!$D824="","",原始经营数据!$H824)</f>
        <v>期内租金单价水平</v>
      </c>
      <c r="E823">
        <f>IF(原始经营数据!$D824="","",原始经营数据!$I824)</f>
        <v>3.06</v>
      </c>
      <c r="F823" t="str">
        <f>IF(原始经营数据!$D824="","",T(原始经营数据!$J824))</f>
        <v>元/平方米/天</v>
      </c>
      <c r="G823" t="str">
        <f>IF(原始经营数据!$D824="","",T(原始经营数据!$K824))</f>
        <v/>
      </c>
      <c r="H823" t="str">
        <f>IF(原始经营数据!$D824="","",原始经营数据!$G824)</f>
        <v>服务价格</v>
      </c>
      <c r="I823" t="str">
        <f>IF($A823="","",IF($B823&lt;&gt;"",$B823,IF(COUNTIFS(原始经营数据!$D$3:$D$3001,$A823,原始经营数据!$E$3:$E$3001,"",原始经营数据!$F$3:$F$3001,$C823,原始经营数据!$H$3:$H$3001,$D823,原始经营数据!$K$3:$K$3001,$G823)&gt;1,"基金整体·来源"&amp;原始经营数据!$A824,"基金整体")))</f>
        <v>大成路项目</v>
      </c>
      <c r="J823" t="str">
        <f t="shared" si="183"/>
        <v>季度</v>
      </c>
      <c r="K823" t="str">
        <f t="shared" si="184"/>
        <v>期内租金单价水平（元/平方米/天）</v>
      </c>
      <c r="L823" t="str">
        <f t="shared" si="185"/>
        <v>大成路项目|期内租金单价水平（元/平方米/天）|季度</v>
      </c>
      <c r="M823">
        <f>IF($A823="",0,IF(COUNTIF($L$2:$L823,$L823)=1,1,0))</f>
        <v>0</v>
      </c>
      <c r="N823">
        <f t="shared" si="186"/>
        <v>20253</v>
      </c>
      <c r="O823" t="str">
        <f t="shared" si="187"/>
        <v>嘉实物美消费封闭式基础设施证券投资基金|2025Q3|季度</v>
      </c>
      <c r="P823">
        <f>IF($A823="",0,IF(COUNTIF($O$2:$O823,$O823)=1,1,0))</f>
        <v>0</v>
      </c>
      <c r="Q823" t="str">
        <f>IF(AND($P823=1,$A823=经营数据!$B$3,$J823=经营数据!$BA$5),COUNTIFS($P$2:$P$3000,1,$A$2:$A$3000,$A823,$J$2:$J$3000,$J823,$N$2:$N$3000,"&lt;"&amp;$N823)+1,"")</f>
        <v/>
      </c>
      <c r="R823" t="str">
        <f t="shared" si="188"/>
        <v>嘉实物美消费封闭式基础设施证券投资基金|大成路项目</v>
      </c>
      <c r="S823">
        <f>IF($A823="",0,IF(COUNTIF($R$2:$R823,$R823)=1,1,0))</f>
        <v>0</v>
      </c>
      <c r="T823">
        <f t="shared" si="189"/>
        <v>784</v>
      </c>
      <c r="U823" t="str">
        <f>IF($A823="","",IF($A823=经营数据!$B$3,COUNTIFS($S$2:$S$3000,1,$A$2:$A$3000,$A823,$T$2:$T$3000,"&lt;"&amp;$T823)+1,""))</f>
        <v/>
      </c>
      <c r="V823" t="str">
        <f t="shared" si="190"/>
        <v>大成路项目|服务价格</v>
      </c>
      <c r="W823">
        <f t="shared" si="191"/>
        <v>787</v>
      </c>
      <c r="X823" t="str">
        <f t="shared" si="192"/>
        <v>大成路项目|期内租金单价水平</v>
      </c>
      <c r="Y823">
        <f t="shared" si="193"/>
        <v>787</v>
      </c>
      <c r="Z823">
        <f>IF($A823="",0,IF(AND($M823=1,$A823=经营数据!$B$3,$J823=经营数据!$BA$5,OR($I823=经营数据!$BA$4,COUNTIF(经营数据!$AA$9:$AA$38,$I823)&gt;0)),1,0))</f>
        <v>0</v>
      </c>
      <c r="AA823" t="str">
        <f t="shared" si="194"/>
        <v/>
      </c>
      <c r="AB823" t="str">
        <f t="shared" si="195"/>
        <v/>
      </c>
      <c r="AC823">
        <f>IF($A823="",0,IF(COUNTIF($A$2:$A823,$A823)=1,1,0))</f>
        <v>0</v>
      </c>
      <c r="AD823">
        <f t="shared" si="196"/>
        <v>8</v>
      </c>
      <c r="AE823" t="str">
        <f t="shared" si="197"/>
        <v>大成路项目|期内租金单价水平（元/平方米/天）</v>
      </c>
    </row>
    <row r="824" spans="1:31" x14ac:dyDescent="0.4">
      <c r="A824" t="str">
        <f>IF(原始经营数据!$D825="","",原始经营数据!$D825)</f>
        <v>嘉实物美消费封闭式基础设施证券投资基金</v>
      </c>
      <c r="B824" t="str">
        <f>IF(原始经营数据!$D825="","",T(原始经营数据!$E825))</f>
        <v>大成路项目</v>
      </c>
      <c r="C824" t="str">
        <f>IF(原始经营数据!$D825="","",原始经营数据!$F825)</f>
        <v>2025Q3</v>
      </c>
      <c r="D824" t="str">
        <f>IF(原始经营数据!$D825="","",原始经营数据!$H825)</f>
        <v>期末出租率</v>
      </c>
      <c r="E824">
        <f>IF(原始经营数据!$D825="","",原始经营数据!$I825)</f>
        <v>94.2</v>
      </c>
      <c r="F824" t="str">
        <f>IF(原始经营数据!$D825="","",T(原始经营数据!$J825))</f>
        <v>%</v>
      </c>
      <c r="G824" t="str">
        <f>IF(原始经营数据!$D825="","",T(原始经营数据!$K825))</f>
        <v/>
      </c>
      <c r="H824" t="str">
        <f>IF(原始经营数据!$D825="","",原始经营数据!$G825)</f>
        <v>服务效率</v>
      </c>
      <c r="I824" t="str">
        <f>IF($A824="","",IF($B824&lt;&gt;"",$B824,IF(COUNTIFS(原始经营数据!$D$3:$D$3001,$A824,原始经营数据!$E$3:$E$3001,"",原始经营数据!$F$3:$F$3001,$C824,原始经营数据!$H$3:$H$3001,$D824,原始经营数据!$K$3:$K$3001,$G824)&gt;1,"基金整体·来源"&amp;原始经营数据!$A825,"基金整体")))</f>
        <v>大成路项目</v>
      </c>
      <c r="J824" t="str">
        <f t="shared" si="183"/>
        <v>季度</v>
      </c>
      <c r="K824" t="str">
        <f t="shared" si="184"/>
        <v>期末出租率（%）</v>
      </c>
      <c r="L824" t="str">
        <f t="shared" si="185"/>
        <v>大成路项目|期末出租率（%）|季度</v>
      </c>
      <c r="M824">
        <f>IF($A824="",0,IF(COUNTIF($L$2:$L824,$L824)=1,1,0))</f>
        <v>0</v>
      </c>
      <c r="N824">
        <f t="shared" si="186"/>
        <v>20253</v>
      </c>
      <c r="O824" t="str">
        <f t="shared" si="187"/>
        <v>嘉实物美消费封闭式基础设施证券投资基金|2025Q3|季度</v>
      </c>
      <c r="P824">
        <f>IF($A824="",0,IF(COUNTIF($O$2:$O824,$O824)=1,1,0))</f>
        <v>0</v>
      </c>
      <c r="Q824" t="str">
        <f>IF(AND($P824=1,$A824=经营数据!$B$3,$J824=经营数据!$BA$5),COUNTIFS($P$2:$P$3000,1,$A$2:$A$3000,$A824,$J$2:$J$3000,$J824,$N$2:$N$3000,"&lt;"&amp;$N824)+1,"")</f>
        <v/>
      </c>
      <c r="R824" t="str">
        <f t="shared" si="188"/>
        <v>嘉实物美消费封闭式基础设施证券投资基金|大成路项目</v>
      </c>
      <c r="S824">
        <f>IF($A824="",0,IF(COUNTIF($R$2:$R824,$R824)=1,1,0))</f>
        <v>0</v>
      </c>
      <c r="T824">
        <f t="shared" si="189"/>
        <v>784</v>
      </c>
      <c r="U824" t="str">
        <f>IF($A824="","",IF($A824=经营数据!$B$3,COUNTIFS($S$2:$S$3000,1,$A$2:$A$3000,$A824,$T$2:$T$3000,"&lt;"&amp;$T824)+1,""))</f>
        <v/>
      </c>
      <c r="V824" t="str">
        <f t="shared" si="190"/>
        <v>大成路项目|服务效率</v>
      </c>
      <c r="W824">
        <f t="shared" si="191"/>
        <v>786</v>
      </c>
      <c r="X824" t="str">
        <f t="shared" si="192"/>
        <v>大成路项目|期末出租率</v>
      </c>
      <c r="Y824">
        <f t="shared" si="193"/>
        <v>786</v>
      </c>
      <c r="Z824">
        <f>IF($A824="",0,IF(AND($M824=1,$A824=经营数据!$B$3,$J824=经营数据!$BA$5,OR($I824=经营数据!$BA$4,COUNTIF(经营数据!$AA$9:$AA$38,$I824)&gt;0)),1,0))</f>
        <v>0</v>
      </c>
      <c r="AA824" t="str">
        <f t="shared" si="194"/>
        <v/>
      </c>
      <c r="AB824" t="str">
        <f t="shared" si="195"/>
        <v/>
      </c>
      <c r="AC824">
        <f>IF($A824="",0,IF(COUNTIF($A$2:$A824,$A824)=1,1,0))</f>
        <v>0</v>
      </c>
      <c r="AD824">
        <f t="shared" si="196"/>
        <v>8</v>
      </c>
      <c r="AE824" t="str">
        <f t="shared" si="197"/>
        <v>大成路项目|期末出租率（%）</v>
      </c>
    </row>
    <row r="825" spans="1:31" x14ac:dyDescent="0.4">
      <c r="A825" t="str">
        <f>IF(原始经营数据!$D826="","",原始经营数据!$D826)</f>
        <v>嘉实物美消费封闭式基础设施证券投资基金</v>
      </c>
      <c r="B825" t="str">
        <f>IF(原始经营数据!$D826="","",T(原始经营数据!$E826))</f>
        <v>大成路项目</v>
      </c>
      <c r="C825" t="str">
        <f>IF(原始经营数据!$D826="","",原始经营数据!$F826)</f>
        <v>2025Q3</v>
      </c>
      <c r="D825" t="str">
        <f>IF(原始经营数据!$D826="","",原始经营数据!$H826)</f>
        <v>期末实际出租面积</v>
      </c>
      <c r="E825">
        <f>IF(原始经营数据!$D826="","",原始经营数据!$I826)</f>
        <v>27359.23</v>
      </c>
      <c r="F825" t="str">
        <f>IF(原始经营数据!$D826="","",T(原始经营数据!$J826))</f>
        <v>平方米</v>
      </c>
      <c r="G825" t="str">
        <f>IF(原始经营数据!$D826="","",T(原始经营数据!$K826))</f>
        <v/>
      </c>
      <c r="H825" t="str">
        <f>IF(原始经营数据!$D826="","",原始经营数据!$G826)</f>
        <v>服务量</v>
      </c>
      <c r="I825" t="str">
        <f>IF($A825="","",IF($B825&lt;&gt;"",$B825,IF(COUNTIFS(原始经营数据!$D$3:$D$3001,$A825,原始经营数据!$E$3:$E$3001,"",原始经营数据!$F$3:$F$3001,$C825,原始经营数据!$H$3:$H$3001,$D825,原始经营数据!$K$3:$K$3001,$G825)&gt;1,"基金整体·来源"&amp;原始经营数据!$A826,"基金整体")))</f>
        <v>大成路项目</v>
      </c>
      <c r="J825" t="str">
        <f t="shared" si="183"/>
        <v>季度</v>
      </c>
      <c r="K825" t="str">
        <f t="shared" si="184"/>
        <v>期末实际出租面积（平方米）</v>
      </c>
      <c r="L825" t="str">
        <f t="shared" si="185"/>
        <v>大成路项目|期末实际出租面积（平方米）|季度</v>
      </c>
      <c r="M825">
        <f>IF($A825="",0,IF(COUNTIF($L$2:$L825,$L825)=1,1,0))</f>
        <v>0</v>
      </c>
      <c r="N825">
        <f t="shared" si="186"/>
        <v>20253</v>
      </c>
      <c r="O825" t="str">
        <f t="shared" si="187"/>
        <v>嘉实物美消费封闭式基础设施证券投资基金|2025Q3|季度</v>
      </c>
      <c r="P825">
        <f>IF($A825="",0,IF(COUNTIF($O$2:$O825,$O825)=1,1,0))</f>
        <v>0</v>
      </c>
      <c r="Q825" t="str">
        <f>IF(AND($P825=1,$A825=经营数据!$B$3,$J825=经营数据!$BA$5),COUNTIFS($P$2:$P$3000,1,$A$2:$A$3000,$A825,$J$2:$J$3000,$J825,$N$2:$N$3000,"&lt;"&amp;$N825)+1,"")</f>
        <v/>
      </c>
      <c r="R825" t="str">
        <f t="shared" si="188"/>
        <v>嘉实物美消费封闭式基础设施证券投资基金|大成路项目</v>
      </c>
      <c r="S825">
        <f>IF($A825="",0,IF(COUNTIF($R$2:$R825,$R825)=1,1,0))</f>
        <v>0</v>
      </c>
      <c r="T825">
        <f t="shared" si="189"/>
        <v>784</v>
      </c>
      <c r="U825" t="str">
        <f>IF($A825="","",IF($A825=经营数据!$B$3,COUNTIFS($S$2:$S$3000,1,$A$2:$A$3000,$A825,$T$2:$T$3000,"&lt;"&amp;$T825)+1,""))</f>
        <v/>
      </c>
      <c r="V825" t="str">
        <f t="shared" si="190"/>
        <v>大成路项目|服务量</v>
      </c>
      <c r="W825">
        <f t="shared" si="191"/>
        <v>784</v>
      </c>
      <c r="X825" t="str">
        <f t="shared" si="192"/>
        <v>大成路项目|期末实际出租面积</v>
      </c>
      <c r="Y825">
        <f t="shared" si="193"/>
        <v>785</v>
      </c>
      <c r="Z825">
        <f>IF($A825="",0,IF(AND($M825=1,$A825=经营数据!$B$3,$J825=经营数据!$BA$5,OR($I825=经营数据!$BA$4,COUNTIF(经营数据!$AA$9:$AA$38,$I825)&gt;0)),1,0))</f>
        <v>0</v>
      </c>
      <c r="AA825" t="str">
        <f t="shared" si="194"/>
        <v/>
      </c>
      <c r="AB825" t="str">
        <f t="shared" si="195"/>
        <v/>
      </c>
      <c r="AC825">
        <f>IF($A825="",0,IF(COUNTIF($A$2:$A825,$A825)=1,1,0))</f>
        <v>0</v>
      </c>
      <c r="AD825">
        <f t="shared" si="196"/>
        <v>8</v>
      </c>
      <c r="AE825" t="str">
        <f t="shared" si="197"/>
        <v>大成路项目|期末实际出租面积（平方米）</v>
      </c>
    </row>
    <row r="826" spans="1:31" x14ac:dyDescent="0.4">
      <c r="A826" t="str">
        <f>IF(原始经营数据!$D827="","",原始经营数据!$D827)</f>
        <v>嘉实物美消费封闭式基础设施证券投资基金</v>
      </c>
      <c r="B826" t="str">
        <f>IF(原始经营数据!$D827="","",T(原始经营数据!$E827))</f>
        <v>大成路项目</v>
      </c>
      <c r="C826" t="str">
        <f>IF(原始经营数据!$D827="","",原始经营数据!$F827)</f>
        <v>2025Q3</v>
      </c>
      <c r="D826" t="str">
        <f>IF(原始经营数据!$D827="","",原始经营数据!$H827)</f>
        <v>期末可供出租面积</v>
      </c>
      <c r="E826">
        <f>IF(原始经营数据!$D827="","",原始经营数据!$I827)</f>
        <v>29043.4</v>
      </c>
      <c r="F826" t="str">
        <f>IF(原始经营数据!$D827="","",T(原始经营数据!$J827))</f>
        <v>平方米</v>
      </c>
      <c r="G826" t="str">
        <f>IF(原始经营数据!$D827="","",T(原始经营数据!$K827))</f>
        <v/>
      </c>
      <c r="H826" t="str">
        <f>IF(原始经营数据!$D827="","",原始经营数据!$G827)</f>
        <v>服务量</v>
      </c>
      <c r="I826" t="str">
        <f>IF($A826="","",IF($B826&lt;&gt;"",$B826,IF(COUNTIFS(原始经营数据!$D$3:$D$3001,$A826,原始经营数据!$E$3:$E$3001,"",原始经营数据!$F$3:$F$3001,$C826,原始经营数据!$H$3:$H$3001,$D826,原始经营数据!$K$3:$K$3001,$G826)&gt;1,"基金整体·来源"&amp;原始经营数据!$A827,"基金整体")))</f>
        <v>大成路项目</v>
      </c>
      <c r="J826" t="str">
        <f t="shared" si="183"/>
        <v>季度</v>
      </c>
      <c r="K826" t="str">
        <f t="shared" si="184"/>
        <v>期末可供出租面积（平方米）</v>
      </c>
      <c r="L826" t="str">
        <f t="shared" si="185"/>
        <v>大成路项目|期末可供出租面积（平方米）|季度</v>
      </c>
      <c r="M826">
        <f>IF($A826="",0,IF(COUNTIF($L$2:$L826,$L826)=1,1,0))</f>
        <v>0</v>
      </c>
      <c r="N826">
        <f t="shared" si="186"/>
        <v>20253</v>
      </c>
      <c r="O826" t="str">
        <f t="shared" si="187"/>
        <v>嘉实物美消费封闭式基础设施证券投资基金|2025Q3|季度</v>
      </c>
      <c r="P826">
        <f>IF($A826="",0,IF(COUNTIF($O$2:$O826,$O826)=1,1,0))</f>
        <v>0</v>
      </c>
      <c r="Q826" t="str">
        <f>IF(AND($P826=1,$A826=经营数据!$B$3,$J826=经营数据!$BA$5),COUNTIFS($P$2:$P$3000,1,$A$2:$A$3000,$A826,$J$2:$J$3000,$J826,$N$2:$N$3000,"&lt;"&amp;$N826)+1,"")</f>
        <v/>
      </c>
      <c r="R826" t="str">
        <f t="shared" si="188"/>
        <v>嘉实物美消费封闭式基础设施证券投资基金|大成路项目</v>
      </c>
      <c r="S826">
        <f>IF($A826="",0,IF(COUNTIF($R$2:$R826,$R826)=1,1,0))</f>
        <v>0</v>
      </c>
      <c r="T826">
        <f t="shared" si="189"/>
        <v>784</v>
      </c>
      <c r="U826" t="str">
        <f>IF($A826="","",IF($A826=经营数据!$B$3,COUNTIFS($S$2:$S$3000,1,$A$2:$A$3000,$A826,$T$2:$T$3000,"&lt;"&amp;$T826)+1,""))</f>
        <v/>
      </c>
      <c r="V826" t="str">
        <f t="shared" si="190"/>
        <v>大成路项目|服务量</v>
      </c>
      <c r="W826">
        <f t="shared" si="191"/>
        <v>784</v>
      </c>
      <c r="X826" t="str">
        <f t="shared" si="192"/>
        <v>大成路项目|期末可供出租面积</v>
      </c>
      <c r="Y826">
        <f t="shared" si="193"/>
        <v>784</v>
      </c>
      <c r="Z826">
        <f>IF($A826="",0,IF(AND($M826=1,$A826=经营数据!$B$3,$J826=经营数据!$BA$5,OR($I826=经营数据!$BA$4,COUNTIF(经营数据!$AA$9:$AA$38,$I826)&gt;0)),1,0))</f>
        <v>0</v>
      </c>
      <c r="AA826" t="str">
        <f t="shared" si="194"/>
        <v/>
      </c>
      <c r="AB826" t="str">
        <f t="shared" si="195"/>
        <v/>
      </c>
      <c r="AC826">
        <f>IF($A826="",0,IF(COUNTIF($A$2:$A826,$A826)=1,1,0))</f>
        <v>0</v>
      </c>
      <c r="AD826">
        <f t="shared" si="196"/>
        <v>8</v>
      </c>
      <c r="AE826" t="str">
        <f t="shared" si="197"/>
        <v>大成路项目|期末可供出租面积（平方米）</v>
      </c>
    </row>
    <row r="827" spans="1:31" x14ac:dyDescent="0.4">
      <c r="A827" t="str">
        <f>IF(原始经营数据!$D828="","",原始经营数据!$D828)</f>
        <v>嘉实物美消费封闭式基础设施证券投资基金</v>
      </c>
      <c r="B827" t="str">
        <f>IF(原始经营数据!$D828="","",T(原始经营数据!$E828))</f>
        <v>大成路项目</v>
      </c>
      <c r="C827" t="str">
        <f>IF(原始经营数据!$D828="","",原始经营数据!$F828)</f>
        <v>2025Q4</v>
      </c>
      <c r="D827" t="str">
        <f>IF(原始经营数据!$D828="","",原始经营数据!$H828)</f>
        <v>期末可供出租面积</v>
      </c>
      <c r="E827">
        <f>IF(原始经营数据!$D828="","",原始经营数据!$I828)</f>
        <v>29043.4</v>
      </c>
      <c r="F827" t="str">
        <f>IF(原始经营数据!$D828="","",T(原始经营数据!$J828))</f>
        <v>平方米</v>
      </c>
      <c r="G827" t="str">
        <f>IF(原始经营数据!$D828="","",T(原始经营数据!$K828))</f>
        <v/>
      </c>
      <c r="H827" t="str">
        <f>IF(原始经营数据!$D828="","",原始经营数据!$G828)</f>
        <v>服务量</v>
      </c>
      <c r="I827" t="str">
        <f>IF($A827="","",IF($B827&lt;&gt;"",$B827,IF(COUNTIFS(原始经营数据!$D$3:$D$3001,$A827,原始经营数据!$E$3:$E$3001,"",原始经营数据!$F$3:$F$3001,$C827,原始经营数据!$H$3:$H$3001,$D827,原始经营数据!$K$3:$K$3001,$G827)&gt;1,"基金整体·来源"&amp;原始经营数据!$A828,"基金整体")))</f>
        <v>大成路项目</v>
      </c>
      <c r="J827" t="str">
        <f t="shared" si="183"/>
        <v>季度</v>
      </c>
      <c r="K827" t="str">
        <f t="shared" si="184"/>
        <v>期末可供出租面积（平方米）</v>
      </c>
      <c r="L827" t="str">
        <f t="shared" si="185"/>
        <v>大成路项目|期末可供出租面积（平方米）|季度</v>
      </c>
      <c r="M827">
        <f>IF($A827="",0,IF(COUNTIF($L$2:$L827,$L827)=1,1,0))</f>
        <v>0</v>
      </c>
      <c r="N827">
        <f t="shared" si="186"/>
        <v>20254</v>
      </c>
      <c r="O827" t="str">
        <f t="shared" si="187"/>
        <v>嘉实物美消费封闭式基础设施证券投资基金|2025Q4|季度</v>
      </c>
      <c r="P827">
        <f>IF($A827="",0,IF(COUNTIF($O$2:$O827,$O827)=1,1,0))</f>
        <v>0</v>
      </c>
      <c r="Q827" t="str">
        <f>IF(AND($P827=1,$A827=经营数据!$B$3,$J827=经营数据!$BA$5),COUNTIFS($P$2:$P$3000,1,$A$2:$A$3000,$A827,$J$2:$J$3000,$J827,$N$2:$N$3000,"&lt;"&amp;$N827)+1,"")</f>
        <v/>
      </c>
      <c r="R827" t="str">
        <f t="shared" si="188"/>
        <v>嘉实物美消费封闭式基础设施证券投资基金|大成路项目</v>
      </c>
      <c r="S827">
        <f>IF($A827="",0,IF(COUNTIF($R$2:$R827,$R827)=1,1,0))</f>
        <v>0</v>
      </c>
      <c r="T827">
        <f t="shared" si="189"/>
        <v>784</v>
      </c>
      <c r="U827" t="str">
        <f>IF($A827="","",IF($A827=经营数据!$B$3,COUNTIFS($S$2:$S$3000,1,$A$2:$A$3000,$A827,$T$2:$T$3000,"&lt;"&amp;$T827)+1,""))</f>
        <v/>
      </c>
      <c r="V827" t="str">
        <f t="shared" si="190"/>
        <v>大成路项目|服务量</v>
      </c>
      <c r="W827">
        <f t="shared" si="191"/>
        <v>784</v>
      </c>
      <c r="X827" t="str">
        <f t="shared" si="192"/>
        <v>大成路项目|期末可供出租面积</v>
      </c>
      <c r="Y827">
        <f t="shared" si="193"/>
        <v>784</v>
      </c>
      <c r="Z827">
        <f>IF($A827="",0,IF(AND($M827=1,$A827=经营数据!$B$3,$J827=经营数据!$BA$5,OR($I827=经营数据!$BA$4,COUNTIF(经营数据!$AA$9:$AA$38,$I827)&gt;0)),1,0))</f>
        <v>0</v>
      </c>
      <c r="AA827" t="str">
        <f t="shared" si="194"/>
        <v/>
      </c>
      <c r="AB827" t="str">
        <f t="shared" si="195"/>
        <v/>
      </c>
      <c r="AC827">
        <f>IF($A827="",0,IF(COUNTIF($A$2:$A827,$A827)=1,1,0))</f>
        <v>0</v>
      </c>
      <c r="AD827">
        <f t="shared" si="196"/>
        <v>8</v>
      </c>
      <c r="AE827" t="str">
        <f t="shared" si="197"/>
        <v>大成路项目|期末可供出租面积（平方米）</v>
      </c>
    </row>
    <row r="828" spans="1:31" x14ac:dyDescent="0.4">
      <c r="A828" t="str">
        <f>IF(原始经营数据!$D829="","",原始经营数据!$D829)</f>
        <v>嘉实物美消费封闭式基础设施证券投资基金</v>
      </c>
      <c r="B828" t="str">
        <f>IF(原始经营数据!$D829="","",T(原始经营数据!$E829))</f>
        <v>大成路项目</v>
      </c>
      <c r="C828" t="str">
        <f>IF(原始经营数据!$D829="","",原始经营数据!$F829)</f>
        <v>2025Q4</v>
      </c>
      <c r="D828" t="str">
        <f>IF(原始经营数据!$D829="","",原始经营数据!$H829)</f>
        <v>期末实际出租面积</v>
      </c>
      <c r="E828">
        <f>IF(原始经营数据!$D829="","",原始经营数据!$I829)</f>
        <v>27334.799999999999</v>
      </c>
      <c r="F828" t="str">
        <f>IF(原始经营数据!$D829="","",T(原始经营数据!$J829))</f>
        <v>平方米</v>
      </c>
      <c r="G828" t="str">
        <f>IF(原始经营数据!$D829="","",T(原始经营数据!$K829))</f>
        <v/>
      </c>
      <c r="H828" t="str">
        <f>IF(原始经营数据!$D829="","",原始经营数据!$G829)</f>
        <v>服务量</v>
      </c>
      <c r="I828" t="str">
        <f>IF($A828="","",IF($B828&lt;&gt;"",$B828,IF(COUNTIFS(原始经营数据!$D$3:$D$3001,$A828,原始经营数据!$E$3:$E$3001,"",原始经营数据!$F$3:$F$3001,$C828,原始经营数据!$H$3:$H$3001,$D828,原始经营数据!$K$3:$K$3001,$G828)&gt;1,"基金整体·来源"&amp;原始经营数据!$A829,"基金整体")))</f>
        <v>大成路项目</v>
      </c>
      <c r="J828" t="str">
        <f t="shared" si="183"/>
        <v>季度</v>
      </c>
      <c r="K828" t="str">
        <f t="shared" si="184"/>
        <v>期末实际出租面积（平方米）</v>
      </c>
      <c r="L828" t="str">
        <f t="shared" si="185"/>
        <v>大成路项目|期末实际出租面积（平方米）|季度</v>
      </c>
      <c r="M828">
        <f>IF($A828="",0,IF(COUNTIF($L$2:$L828,$L828)=1,1,0))</f>
        <v>0</v>
      </c>
      <c r="N828">
        <f t="shared" si="186"/>
        <v>20254</v>
      </c>
      <c r="O828" t="str">
        <f t="shared" si="187"/>
        <v>嘉实物美消费封闭式基础设施证券投资基金|2025Q4|季度</v>
      </c>
      <c r="P828">
        <f>IF($A828="",0,IF(COUNTIF($O$2:$O828,$O828)=1,1,0))</f>
        <v>0</v>
      </c>
      <c r="Q828" t="str">
        <f>IF(AND($P828=1,$A828=经营数据!$B$3,$J828=经营数据!$BA$5),COUNTIFS($P$2:$P$3000,1,$A$2:$A$3000,$A828,$J$2:$J$3000,$J828,$N$2:$N$3000,"&lt;"&amp;$N828)+1,"")</f>
        <v/>
      </c>
      <c r="R828" t="str">
        <f t="shared" si="188"/>
        <v>嘉实物美消费封闭式基础设施证券投资基金|大成路项目</v>
      </c>
      <c r="S828">
        <f>IF($A828="",0,IF(COUNTIF($R$2:$R828,$R828)=1,1,0))</f>
        <v>0</v>
      </c>
      <c r="T828">
        <f t="shared" si="189"/>
        <v>784</v>
      </c>
      <c r="U828" t="str">
        <f>IF($A828="","",IF($A828=经营数据!$B$3,COUNTIFS($S$2:$S$3000,1,$A$2:$A$3000,$A828,$T$2:$T$3000,"&lt;"&amp;$T828)+1,""))</f>
        <v/>
      </c>
      <c r="V828" t="str">
        <f t="shared" si="190"/>
        <v>大成路项目|服务量</v>
      </c>
      <c r="W828">
        <f t="shared" si="191"/>
        <v>784</v>
      </c>
      <c r="X828" t="str">
        <f t="shared" si="192"/>
        <v>大成路项目|期末实际出租面积</v>
      </c>
      <c r="Y828">
        <f t="shared" si="193"/>
        <v>785</v>
      </c>
      <c r="Z828">
        <f>IF($A828="",0,IF(AND($M828=1,$A828=经营数据!$B$3,$J828=经营数据!$BA$5,OR($I828=经营数据!$BA$4,COUNTIF(经营数据!$AA$9:$AA$38,$I828)&gt;0)),1,0))</f>
        <v>0</v>
      </c>
      <c r="AA828" t="str">
        <f t="shared" si="194"/>
        <v/>
      </c>
      <c r="AB828" t="str">
        <f t="shared" si="195"/>
        <v/>
      </c>
      <c r="AC828">
        <f>IF($A828="",0,IF(COUNTIF($A$2:$A828,$A828)=1,1,0))</f>
        <v>0</v>
      </c>
      <c r="AD828">
        <f t="shared" si="196"/>
        <v>8</v>
      </c>
      <c r="AE828" t="str">
        <f t="shared" si="197"/>
        <v>大成路项目|期末实际出租面积（平方米）</v>
      </c>
    </row>
    <row r="829" spans="1:31" x14ac:dyDescent="0.4">
      <c r="A829" t="str">
        <f>IF(原始经营数据!$D830="","",原始经营数据!$D830)</f>
        <v>嘉实物美消费封闭式基础设施证券投资基金</v>
      </c>
      <c r="B829" t="str">
        <f>IF(原始经营数据!$D830="","",T(原始经营数据!$E830))</f>
        <v>大成路项目</v>
      </c>
      <c r="C829" t="str">
        <f>IF(原始经营数据!$D830="","",原始经营数据!$F830)</f>
        <v>2025Q4</v>
      </c>
      <c r="D829" t="str">
        <f>IF(原始经营数据!$D830="","",原始经营数据!$H830)</f>
        <v>期末剩余租期情况</v>
      </c>
      <c r="E829">
        <f>IF(原始经营数据!$D830="","",原始经营数据!$I830)</f>
        <v>6.19</v>
      </c>
      <c r="F829" t="str">
        <f>IF(原始经营数据!$D830="","",T(原始经营数据!$J830))</f>
        <v>年</v>
      </c>
      <c r="G829" t="str">
        <f>IF(原始经营数据!$D830="","",T(原始经营数据!$K830))</f>
        <v/>
      </c>
      <c r="H829" t="str">
        <f>IF(原始经营数据!$D830="","",原始经营数据!$G830)</f>
        <v>服务量</v>
      </c>
      <c r="I829" t="str">
        <f>IF($A829="","",IF($B829&lt;&gt;"",$B829,IF(COUNTIFS(原始经营数据!$D$3:$D$3001,$A829,原始经营数据!$E$3:$E$3001,"",原始经营数据!$F$3:$F$3001,$C829,原始经营数据!$H$3:$H$3001,$D829,原始经营数据!$K$3:$K$3001,$G829)&gt;1,"基金整体·来源"&amp;原始经营数据!$A830,"基金整体")))</f>
        <v>大成路项目</v>
      </c>
      <c r="J829" t="str">
        <f t="shared" si="183"/>
        <v>季度</v>
      </c>
      <c r="K829" t="str">
        <f t="shared" si="184"/>
        <v>期末剩余租期情况（年）</v>
      </c>
      <c r="L829" t="str">
        <f t="shared" si="185"/>
        <v>大成路项目|期末剩余租期情况（年）|季度</v>
      </c>
      <c r="M829">
        <f>IF($A829="",0,IF(COUNTIF($L$2:$L829,$L829)=1,1,0))</f>
        <v>0</v>
      </c>
      <c r="N829">
        <f t="shared" si="186"/>
        <v>20254</v>
      </c>
      <c r="O829" t="str">
        <f t="shared" si="187"/>
        <v>嘉实物美消费封闭式基础设施证券投资基金|2025Q4|季度</v>
      </c>
      <c r="P829">
        <f>IF($A829="",0,IF(COUNTIF($O$2:$O829,$O829)=1,1,0))</f>
        <v>0</v>
      </c>
      <c r="Q829" t="str">
        <f>IF(AND($P829=1,$A829=经营数据!$B$3,$J829=经营数据!$BA$5),COUNTIFS($P$2:$P$3000,1,$A$2:$A$3000,$A829,$J$2:$J$3000,$J829,$N$2:$N$3000,"&lt;"&amp;$N829)+1,"")</f>
        <v/>
      </c>
      <c r="R829" t="str">
        <f t="shared" si="188"/>
        <v>嘉实物美消费封闭式基础设施证券投资基金|大成路项目</v>
      </c>
      <c r="S829">
        <f>IF($A829="",0,IF(COUNTIF($R$2:$R829,$R829)=1,1,0))</f>
        <v>0</v>
      </c>
      <c r="T829">
        <f t="shared" si="189"/>
        <v>784</v>
      </c>
      <c r="U829" t="str">
        <f>IF($A829="","",IF($A829=经营数据!$B$3,COUNTIFS($S$2:$S$3000,1,$A$2:$A$3000,$A829,$T$2:$T$3000,"&lt;"&amp;$T829)+1,""))</f>
        <v/>
      </c>
      <c r="V829" t="str">
        <f t="shared" si="190"/>
        <v>大成路项目|服务量</v>
      </c>
      <c r="W829">
        <f t="shared" si="191"/>
        <v>784</v>
      </c>
      <c r="X829" t="str">
        <f t="shared" si="192"/>
        <v>大成路项目|期末剩余租期情况</v>
      </c>
      <c r="Y829">
        <f t="shared" si="193"/>
        <v>788</v>
      </c>
      <c r="Z829">
        <f>IF($A829="",0,IF(AND($M829=1,$A829=经营数据!$B$3,$J829=经营数据!$BA$5,OR($I829=经营数据!$BA$4,COUNTIF(经营数据!$AA$9:$AA$38,$I829)&gt;0)),1,0))</f>
        <v>0</v>
      </c>
      <c r="AA829" t="str">
        <f t="shared" si="194"/>
        <v/>
      </c>
      <c r="AB829" t="str">
        <f t="shared" si="195"/>
        <v/>
      </c>
      <c r="AC829">
        <f>IF($A829="",0,IF(COUNTIF($A$2:$A829,$A829)=1,1,0))</f>
        <v>0</v>
      </c>
      <c r="AD829">
        <f t="shared" si="196"/>
        <v>8</v>
      </c>
      <c r="AE829" t="str">
        <f t="shared" si="197"/>
        <v>大成路项目|期末剩余租期情况（年）</v>
      </c>
    </row>
    <row r="830" spans="1:31" x14ac:dyDescent="0.4">
      <c r="A830" t="str">
        <f>IF(原始经营数据!$D831="","",原始经营数据!$D831)</f>
        <v>嘉实物美消费封闭式基础设施证券投资基金</v>
      </c>
      <c r="B830" t="str">
        <f>IF(原始经营数据!$D831="","",T(原始经营数据!$E831))</f>
        <v>大成路项目</v>
      </c>
      <c r="C830" t="str">
        <f>IF(原始经营数据!$D831="","",原始经营数据!$F831)</f>
        <v>2025Q4</v>
      </c>
      <c r="D830" t="str">
        <f>IF(原始经营数据!$D831="","",原始经营数据!$H831)</f>
        <v>期内租金单价水平</v>
      </c>
      <c r="E830">
        <f>IF(原始经营数据!$D831="","",原始经营数据!$I831)</f>
        <v>3.13</v>
      </c>
      <c r="F830" t="str">
        <f>IF(原始经营数据!$D831="","",T(原始经营数据!$J831))</f>
        <v>元/平方米/天</v>
      </c>
      <c r="G830" t="str">
        <f>IF(原始经营数据!$D831="","",T(原始经营数据!$K831))</f>
        <v/>
      </c>
      <c r="H830" t="str">
        <f>IF(原始经营数据!$D831="","",原始经营数据!$G831)</f>
        <v>服务价格</v>
      </c>
      <c r="I830" t="str">
        <f>IF($A830="","",IF($B830&lt;&gt;"",$B830,IF(COUNTIFS(原始经营数据!$D$3:$D$3001,$A830,原始经营数据!$E$3:$E$3001,"",原始经营数据!$F$3:$F$3001,$C830,原始经营数据!$H$3:$H$3001,$D830,原始经营数据!$K$3:$K$3001,$G830)&gt;1,"基金整体·来源"&amp;原始经营数据!$A831,"基金整体")))</f>
        <v>大成路项目</v>
      </c>
      <c r="J830" t="str">
        <f t="shared" si="183"/>
        <v>季度</v>
      </c>
      <c r="K830" t="str">
        <f t="shared" si="184"/>
        <v>期内租金单价水平（元/平方米/天）</v>
      </c>
      <c r="L830" t="str">
        <f t="shared" si="185"/>
        <v>大成路项目|期内租金单价水平（元/平方米/天）|季度</v>
      </c>
      <c r="M830">
        <f>IF($A830="",0,IF(COUNTIF($L$2:$L830,$L830)=1,1,0))</f>
        <v>0</v>
      </c>
      <c r="N830">
        <f t="shared" si="186"/>
        <v>20254</v>
      </c>
      <c r="O830" t="str">
        <f t="shared" si="187"/>
        <v>嘉实物美消费封闭式基础设施证券投资基金|2025Q4|季度</v>
      </c>
      <c r="P830">
        <f>IF($A830="",0,IF(COUNTIF($O$2:$O830,$O830)=1,1,0))</f>
        <v>0</v>
      </c>
      <c r="Q830" t="str">
        <f>IF(AND($P830=1,$A830=经营数据!$B$3,$J830=经营数据!$BA$5),COUNTIFS($P$2:$P$3000,1,$A$2:$A$3000,$A830,$J$2:$J$3000,$J830,$N$2:$N$3000,"&lt;"&amp;$N830)+1,"")</f>
        <v/>
      </c>
      <c r="R830" t="str">
        <f t="shared" si="188"/>
        <v>嘉实物美消费封闭式基础设施证券投资基金|大成路项目</v>
      </c>
      <c r="S830">
        <f>IF($A830="",0,IF(COUNTIF($R$2:$R830,$R830)=1,1,0))</f>
        <v>0</v>
      </c>
      <c r="T830">
        <f t="shared" si="189"/>
        <v>784</v>
      </c>
      <c r="U830" t="str">
        <f>IF($A830="","",IF($A830=经营数据!$B$3,COUNTIFS($S$2:$S$3000,1,$A$2:$A$3000,$A830,$T$2:$T$3000,"&lt;"&amp;$T830)+1,""))</f>
        <v/>
      </c>
      <c r="V830" t="str">
        <f t="shared" si="190"/>
        <v>大成路项目|服务价格</v>
      </c>
      <c r="W830">
        <f t="shared" si="191"/>
        <v>787</v>
      </c>
      <c r="X830" t="str">
        <f t="shared" si="192"/>
        <v>大成路项目|期内租金单价水平</v>
      </c>
      <c r="Y830">
        <f t="shared" si="193"/>
        <v>787</v>
      </c>
      <c r="Z830">
        <f>IF($A830="",0,IF(AND($M830=1,$A830=经营数据!$B$3,$J830=经营数据!$BA$5,OR($I830=经营数据!$BA$4,COUNTIF(经营数据!$AA$9:$AA$38,$I830)&gt;0)),1,0))</f>
        <v>0</v>
      </c>
      <c r="AA830" t="str">
        <f t="shared" si="194"/>
        <v/>
      </c>
      <c r="AB830" t="str">
        <f t="shared" si="195"/>
        <v/>
      </c>
      <c r="AC830">
        <f>IF($A830="",0,IF(COUNTIF($A$2:$A830,$A830)=1,1,0))</f>
        <v>0</v>
      </c>
      <c r="AD830">
        <f t="shared" si="196"/>
        <v>8</v>
      </c>
      <c r="AE830" t="str">
        <f t="shared" si="197"/>
        <v>大成路项目|期内租金单价水平（元/平方米/天）</v>
      </c>
    </row>
    <row r="831" spans="1:31" x14ac:dyDescent="0.4">
      <c r="A831" t="str">
        <f>IF(原始经营数据!$D832="","",原始经营数据!$D832)</f>
        <v>嘉实物美消费封闭式基础设施证券投资基金</v>
      </c>
      <c r="B831" t="str">
        <f>IF(原始经营数据!$D832="","",T(原始经营数据!$E832))</f>
        <v>大成路项目</v>
      </c>
      <c r="C831" t="str">
        <f>IF(原始经营数据!$D832="","",原始经营数据!$F832)</f>
        <v>2025Q4</v>
      </c>
      <c r="D831" t="str">
        <f>IF(原始经营数据!$D832="","",原始经营数据!$H832)</f>
        <v>期末出租率</v>
      </c>
      <c r="E831">
        <f>IF(原始经营数据!$D832="","",原始经营数据!$I832)</f>
        <v>94.12</v>
      </c>
      <c r="F831" t="str">
        <f>IF(原始经营数据!$D832="","",T(原始经营数据!$J832))</f>
        <v>%</v>
      </c>
      <c r="G831" t="str">
        <f>IF(原始经营数据!$D832="","",T(原始经营数据!$K832))</f>
        <v/>
      </c>
      <c r="H831" t="str">
        <f>IF(原始经营数据!$D832="","",原始经营数据!$G832)</f>
        <v>服务效率</v>
      </c>
      <c r="I831" t="str">
        <f>IF($A831="","",IF($B831&lt;&gt;"",$B831,IF(COUNTIFS(原始经营数据!$D$3:$D$3001,$A831,原始经营数据!$E$3:$E$3001,"",原始经营数据!$F$3:$F$3001,$C831,原始经营数据!$H$3:$H$3001,$D831,原始经营数据!$K$3:$K$3001,$G831)&gt;1,"基金整体·来源"&amp;原始经营数据!$A832,"基金整体")))</f>
        <v>大成路项目</v>
      </c>
      <c r="J831" t="str">
        <f t="shared" si="183"/>
        <v>季度</v>
      </c>
      <c r="K831" t="str">
        <f t="shared" si="184"/>
        <v>期末出租率（%）</v>
      </c>
      <c r="L831" t="str">
        <f t="shared" si="185"/>
        <v>大成路项目|期末出租率（%）|季度</v>
      </c>
      <c r="M831">
        <f>IF($A831="",0,IF(COUNTIF($L$2:$L831,$L831)=1,1,0))</f>
        <v>0</v>
      </c>
      <c r="N831">
        <f t="shared" si="186"/>
        <v>20254</v>
      </c>
      <c r="O831" t="str">
        <f t="shared" si="187"/>
        <v>嘉实物美消费封闭式基础设施证券投资基金|2025Q4|季度</v>
      </c>
      <c r="P831">
        <f>IF($A831="",0,IF(COUNTIF($O$2:$O831,$O831)=1,1,0))</f>
        <v>0</v>
      </c>
      <c r="Q831" t="str">
        <f>IF(AND($P831=1,$A831=经营数据!$B$3,$J831=经营数据!$BA$5),COUNTIFS($P$2:$P$3000,1,$A$2:$A$3000,$A831,$J$2:$J$3000,$J831,$N$2:$N$3000,"&lt;"&amp;$N831)+1,"")</f>
        <v/>
      </c>
      <c r="R831" t="str">
        <f t="shared" si="188"/>
        <v>嘉实物美消费封闭式基础设施证券投资基金|大成路项目</v>
      </c>
      <c r="S831">
        <f>IF($A831="",0,IF(COUNTIF($R$2:$R831,$R831)=1,1,0))</f>
        <v>0</v>
      </c>
      <c r="T831">
        <f t="shared" si="189"/>
        <v>784</v>
      </c>
      <c r="U831" t="str">
        <f>IF($A831="","",IF($A831=经营数据!$B$3,COUNTIFS($S$2:$S$3000,1,$A$2:$A$3000,$A831,$T$2:$T$3000,"&lt;"&amp;$T831)+1,""))</f>
        <v/>
      </c>
      <c r="V831" t="str">
        <f t="shared" si="190"/>
        <v>大成路项目|服务效率</v>
      </c>
      <c r="W831">
        <f t="shared" si="191"/>
        <v>786</v>
      </c>
      <c r="X831" t="str">
        <f t="shared" si="192"/>
        <v>大成路项目|期末出租率</v>
      </c>
      <c r="Y831">
        <f t="shared" si="193"/>
        <v>786</v>
      </c>
      <c r="Z831">
        <f>IF($A831="",0,IF(AND($M831=1,$A831=经营数据!$B$3,$J831=经营数据!$BA$5,OR($I831=经营数据!$BA$4,COUNTIF(经营数据!$AA$9:$AA$38,$I831)&gt;0)),1,0))</f>
        <v>0</v>
      </c>
      <c r="AA831" t="str">
        <f t="shared" si="194"/>
        <v/>
      </c>
      <c r="AB831" t="str">
        <f t="shared" si="195"/>
        <v/>
      </c>
      <c r="AC831">
        <f>IF($A831="",0,IF(COUNTIF($A$2:$A831,$A831)=1,1,0))</f>
        <v>0</v>
      </c>
      <c r="AD831">
        <f t="shared" si="196"/>
        <v>8</v>
      </c>
      <c r="AE831" t="str">
        <f t="shared" si="197"/>
        <v>大成路项目|期末出租率（%）</v>
      </c>
    </row>
    <row r="832" spans="1:31" x14ac:dyDescent="0.4">
      <c r="A832" t="str">
        <f>IF(原始经营数据!$D833="","",原始经营数据!$D833)</f>
        <v>嘉实物美消费封闭式基础设施证券投资基金</v>
      </c>
      <c r="B832" t="str">
        <f>IF(原始经营数据!$D833="","",T(原始经营数据!$E833))</f>
        <v>大成路项目</v>
      </c>
      <c r="C832" t="str">
        <f>IF(原始经营数据!$D833="","",原始经营数据!$F833)</f>
        <v>2025Q4</v>
      </c>
      <c r="D832" t="str">
        <f>IF(原始经营数据!$D833="","",原始经营数据!$H833)</f>
        <v>期末租金收缴率</v>
      </c>
      <c r="E832">
        <f>IF(原始经营数据!$D833="","",原始经营数据!$I833)</f>
        <v>97.01</v>
      </c>
      <c r="F832" t="str">
        <f>IF(原始经营数据!$D833="","",T(原始经营数据!$J833))</f>
        <v>%</v>
      </c>
      <c r="G832" t="str">
        <f>IF(原始经营数据!$D833="","",T(原始经营数据!$K833))</f>
        <v/>
      </c>
      <c r="H832" t="str">
        <f>IF(原始经营数据!$D833="","",原始经营数据!$G833)</f>
        <v>服务效率</v>
      </c>
      <c r="I832" t="str">
        <f>IF($A832="","",IF($B832&lt;&gt;"",$B832,IF(COUNTIFS(原始经营数据!$D$3:$D$3001,$A832,原始经营数据!$E$3:$E$3001,"",原始经营数据!$F$3:$F$3001,$C832,原始经营数据!$H$3:$H$3001,$D832,原始经营数据!$K$3:$K$3001,$G832)&gt;1,"基金整体·来源"&amp;原始经营数据!$A833,"基金整体")))</f>
        <v>大成路项目</v>
      </c>
      <c r="J832" t="str">
        <f t="shared" si="183"/>
        <v>季度</v>
      </c>
      <c r="K832" t="str">
        <f t="shared" si="184"/>
        <v>期末租金收缴率（%）</v>
      </c>
      <c r="L832" t="str">
        <f t="shared" si="185"/>
        <v>大成路项目|期末租金收缴率（%）|季度</v>
      </c>
      <c r="M832">
        <f>IF($A832="",0,IF(COUNTIF($L$2:$L832,$L832)=1,1,0))</f>
        <v>0</v>
      </c>
      <c r="N832">
        <f t="shared" si="186"/>
        <v>20254</v>
      </c>
      <c r="O832" t="str">
        <f t="shared" si="187"/>
        <v>嘉实物美消费封闭式基础设施证券投资基金|2025Q4|季度</v>
      </c>
      <c r="P832">
        <f>IF($A832="",0,IF(COUNTIF($O$2:$O832,$O832)=1,1,0))</f>
        <v>0</v>
      </c>
      <c r="Q832" t="str">
        <f>IF(AND($P832=1,$A832=经营数据!$B$3,$J832=经营数据!$BA$5),COUNTIFS($P$2:$P$3000,1,$A$2:$A$3000,$A832,$J$2:$J$3000,$J832,$N$2:$N$3000,"&lt;"&amp;$N832)+1,"")</f>
        <v/>
      </c>
      <c r="R832" t="str">
        <f t="shared" si="188"/>
        <v>嘉实物美消费封闭式基础设施证券投资基金|大成路项目</v>
      </c>
      <c r="S832">
        <f>IF($A832="",0,IF(COUNTIF($R$2:$R832,$R832)=1,1,0))</f>
        <v>0</v>
      </c>
      <c r="T832">
        <f t="shared" si="189"/>
        <v>784</v>
      </c>
      <c r="U832" t="str">
        <f>IF($A832="","",IF($A832=经营数据!$B$3,COUNTIFS($S$2:$S$3000,1,$A$2:$A$3000,$A832,$T$2:$T$3000,"&lt;"&amp;$T832)+1,""))</f>
        <v/>
      </c>
      <c r="V832" t="str">
        <f t="shared" si="190"/>
        <v>大成路项目|服务效率</v>
      </c>
      <c r="W832">
        <f t="shared" si="191"/>
        <v>786</v>
      </c>
      <c r="X832" t="str">
        <f t="shared" si="192"/>
        <v>大成路项目|期末租金收缴率</v>
      </c>
      <c r="Y832">
        <f t="shared" si="193"/>
        <v>789</v>
      </c>
      <c r="Z832">
        <f>IF($A832="",0,IF(AND($M832=1,$A832=经营数据!$B$3,$J832=经营数据!$BA$5,OR($I832=经营数据!$BA$4,COUNTIF(经营数据!$AA$9:$AA$38,$I832)&gt;0)),1,0))</f>
        <v>0</v>
      </c>
      <c r="AA832" t="str">
        <f t="shared" si="194"/>
        <v/>
      </c>
      <c r="AB832" t="str">
        <f t="shared" si="195"/>
        <v/>
      </c>
      <c r="AC832">
        <f>IF($A832="",0,IF(COUNTIF($A$2:$A832,$A832)=1,1,0))</f>
        <v>0</v>
      </c>
      <c r="AD832">
        <f t="shared" si="196"/>
        <v>8</v>
      </c>
      <c r="AE832" t="str">
        <f t="shared" si="197"/>
        <v>大成路项目|期末租金收缴率（%）</v>
      </c>
    </row>
    <row r="833" spans="1:31" x14ac:dyDescent="0.4">
      <c r="A833" t="str">
        <f>IF(原始经营数据!$D834="","",原始经营数据!$D834)</f>
        <v>嘉实物美消费封闭式基础设施证券投资基金</v>
      </c>
      <c r="B833" t="str">
        <f>IF(原始经营数据!$D834="","",T(原始经营数据!$E834))</f>
        <v>大成路项目</v>
      </c>
      <c r="C833" t="str">
        <f>IF(原始经营数据!$D834="","",原始经营数据!$F834)</f>
        <v>2026Q1</v>
      </c>
      <c r="D833" t="str">
        <f>IF(原始经营数据!$D834="","",原始经营数据!$H834)</f>
        <v>期末实际出租面积</v>
      </c>
      <c r="E833">
        <f>IF(原始经营数据!$D834="","",原始经营数据!$I834)</f>
        <v>26534.67</v>
      </c>
      <c r="F833" t="str">
        <f>IF(原始经营数据!$D834="","",T(原始经营数据!$J834))</f>
        <v>平方米</v>
      </c>
      <c r="G833" t="str">
        <f>IF(原始经营数据!$D834="","",T(原始经营数据!$K834))</f>
        <v/>
      </c>
      <c r="H833" t="str">
        <f>IF(原始经营数据!$D834="","",原始经营数据!$G834)</f>
        <v>服务量</v>
      </c>
      <c r="I833" t="str">
        <f>IF($A833="","",IF($B833&lt;&gt;"",$B833,IF(COUNTIFS(原始经营数据!$D$3:$D$3001,$A833,原始经营数据!$E$3:$E$3001,"",原始经营数据!$F$3:$F$3001,$C833,原始经营数据!$H$3:$H$3001,$D833,原始经营数据!$K$3:$K$3001,$G833)&gt;1,"基金整体·来源"&amp;原始经营数据!$A834,"基金整体")))</f>
        <v>大成路项目</v>
      </c>
      <c r="J833" t="str">
        <f t="shared" si="183"/>
        <v>季度</v>
      </c>
      <c r="K833" t="str">
        <f t="shared" si="184"/>
        <v>期末实际出租面积（平方米）</v>
      </c>
      <c r="L833" t="str">
        <f t="shared" si="185"/>
        <v>大成路项目|期末实际出租面积（平方米）|季度</v>
      </c>
      <c r="M833">
        <f>IF($A833="",0,IF(COUNTIF($L$2:$L833,$L833)=1,1,0))</f>
        <v>0</v>
      </c>
      <c r="N833">
        <f t="shared" si="186"/>
        <v>20261</v>
      </c>
      <c r="O833" t="str">
        <f t="shared" si="187"/>
        <v>嘉实物美消费封闭式基础设施证券投资基金|2026Q1|季度</v>
      </c>
      <c r="P833">
        <f>IF($A833="",0,IF(COUNTIF($O$2:$O833,$O833)=1,1,0))</f>
        <v>0</v>
      </c>
      <c r="Q833" t="str">
        <f>IF(AND($P833=1,$A833=经营数据!$B$3,$J833=经营数据!$BA$5),COUNTIFS($P$2:$P$3000,1,$A$2:$A$3000,$A833,$J$2:$J$3000,$J833,$N$2:$N$3000,"&lt;"&amp;$N833)+1,"")</f>
        <v/>
      </c>
      <c r="R833" t="str">
        <f t="shared" si="188"/>
        <v>嘉实物美消费封闭式基础设施证券投资基金|大成路项目</v>
      </c>
      <c r="S833">
        <f>IF($A833="",0,IF(COUNTIF($R$2:$R833,$R833)=1,1,0))</f>
        <v>0</v>
      </c>
      <c r="T833">
        <f t="shared" si="189"/>
        <v>784</v>
      </c>
      <c r="U833" t="str">
        <f>IF($A833="","",IF($A833=经营数据!$B$3,COUNTIFS($S$2:$S$3000,1,$A$2:$A$3000,$A833,$T$2:$T$3000,"&lt;"&amp;$T833)+1,""))</f>
        <v/>
      </c>
      <c r="V833" t="str">
        <f t="shared" si="190"/>
        <v>大成路项目|服务量</v>
      </c>
      <c r="W833">
        <f t="shared" si="191"/>
        <v>784</v>
      </c>
      <c r="X833" t="str">
        <f t="shared" si="192"/>
        <v>大成路项目|期末实际出租面积</v>
      </c>
      <c r="Y833">
        <f t="shared" si="193"/>
        <v>785</v>
      </c>
      <c r="Z833">
        <f>IF($A833="",0,IF(AND($M833=1,$A833=经营数据!$B$3,$J833=经营数据!$BA$5,OR($I833=经营数据!$BA$4,COUNTIF(经营数据!$AA$9:$AA$38,$I833)&gt;0)),1,0))</f>
        <v>0</v>
      </c>
      <c r="AA833" t="str">
        <f t="shared" si="194"/>
        <v/>
      </c>
      <c r="AB833" t="str">
        <f t="shared" si="195"/>
        <v/>
      </c>
      <c r="AC833">
        <f>IF($A833="",0,IF(COUNTIF($A$2:$A833,$A833)=1,1,0))</f>
        <v>0</v>
      </c>
      <c r="AD833">
        <f t="shared" si="196"/>
        <v>8</v>
      </c>
      <c r="AE833" t="str">
        <f t="shared" si="197"/>
        <v>大成路项目|期末实际出租面积（平方米）</v>
      </c>
    </row>
    <row r="834" spans="1:31" x14ac:dyDescent="0.4">
      <c r="A834" t="str">
        <f>IF(原始经营数据!$D835="","",原始经营数据!$D835)</f>
        <v>嘉实物美消费封闭式基础设施证券投资基金</v>
      </c>
      <c r="B834" t="str">
        <f>IF(原始经营数据!$D835="","",T(原始经营数据!$E835))</f>
        <v>大成路项目</v>
      </c>
      <c r="C834" t="str">
        <f>IF(原始经营数据!$D835="","",原始经营数据!$F835)</f>
        <v>2026Q1</v>
      </c>
      <c r="D834" t="str">
        <f>IF(原始经营数据!$D835="","",原始经营数据!$H835)</f>
        <v>期末出租率</v>
      </c>
      <c r="E834">
        <f>IF(原始经营数据!$D835="","",原始经营数据!$I835)</f>
        <v>91.36</v>
      </c>
      <c r="F834" t="str">
        <f>IF(原始经营数据!$D835="","",T(原始经营数据!$J835))</f>
        <v>%</v>
      </c>
      <c r="G834" t="str">
        <f>IF(原始经营数据!$D835="","",T(原始经营数据!$K835))</f>
        <v/>
      </c>
      <c r="H834" t="str">
        <f>IF(原始经营数据!$D835="","",原始经营数据!$G835)</f>
        <v>服务效率</v>
      </c>
      <c r="I834" t="str">
        <f>IF($A834="","",IF($B834&lt;&gt;"",$B834,IF(COUNTIFS(原始经营数据!$D$3:$D$3001,$A834,原始经营数据!$E$3:$E$3001,"",原始经营数据!$F$3:$F$3001,$C834,原始经营数据!$H$3:$H$3001,$D834,原始经营数据!$K$3:$K$3001,$G834)&gt;1,"基金整体·来源"&amp;原始经营数据!$A835,"基金整体")))</f>
        <v>大成路项目</v>
      </c>
      <c r="J834" t="str">
        <f t="shared" ref="J834:J897" si="198">IF($A834="","",IF(LEN($C834)=4,"年度",IF(AND(LEN($C834)=6,ISNUMBER(SEARCH("Q",$C834))),"季度","其他期间")))</f>
        <v>季度</v>
      </c>
      <c r="K834" t="str">
        <f t="shared" ref="K834:K897" si="199">IF($A834="","",$D834&amp;IF($G834="","","-"&amp;SUBSTITUTE($G834,CHAR(10),""))&amp;IF($F834="","","（"&amp;$F834&amp;"）"))</f>
        <v>期末出租率（%）</v>
      </c>
      <c r="L834" t="str">
        <f t="shared" ref="L834:L897" si="200">IF($A834="","",$I834&amp;"|"&amp;$K834&amp;"|"&amp;$J834)</f>
        <v>大成路项目|期末出租率（%）|季度</v>
      </c>
      <c r="M834">
        <f>IF($A834="",0,IF(COUNTIF($L$2:$L834,$L834)=1,1,0))</f>
        <v>0</v>
      </c>
      <c r="N834">
        <f t="shared" ref="N834:N897" si="201">IF($A834="","",IF($J834="年度",VALUE($C834)*10,IF($J834="季度",VALUE(LEFT($C834,4))*10+VALUE(RIGHT($C834,1)),VALUE(LEFT($C834,4))*10+9)))</f>
        <v>20261</v>
      </c>
      <c r="O834" t="str">
        <f t="shared" ref="O834:O897" si="202">IF($A834="","",$A834&amp;"|"&amp;$C834&amp;"|"&amp;$J834)</f>
        <v>嘉实物美消费封闭式基础设施证券投资基金|2026Q1|季度</v>
      </c>
      <c r="P834">
        <f>IF($A834="",0,IF(COUNTIF($O$2:$O834,$O834)=1,1,0))</f>
        <v>0</v>
      </c>
      <c r="Q834" t="str">
        <f>IF(AND($P834=1,$A834=经营数据!$B$3,$J834=经营数据!$BA$5),COUNTIFS($P$2:$P$3000,1,$A$2:$A$3000,$A834,$J$2:$J$3000,$J834,$N$2:$N$3000,"&lt;"&amp;$N834)+1,"")</f>
        <v/>
      </c>
      <c r="R834" t="str">
        <f t="shared" ref="R834:R897" si="203">IF($A834="","",$A834&amp;"|"&amp;$I834)</f>
        <v>嘉实物美消费封闭式基础设施证券投资基金|大成路项目</v>
      </c>
      <c r="S834">
        <f>IF($A834="",0,IF(COUNTIF($R$2:$R834,$R834)=1,1,0))</f>
        <v>0</v>
      </c>
      <c r="T834">
        <f t="shared" ref="T834:T897" si="204">IF($A834="","",MATCH($R834,$R$2:$R$3000,0))</f>
        <v>784</v>
      </c>
      <c r="U834" t="str">
        <f>IF($A834="","",IF($A834=经营数据!$B$3,COUNTIFS($S$2:$S$3000,1,$A$2:$A$3000,$A834,$T$2:$T$3000,"&lt;"&amp;$T834)+1,""))</f>
        <v/>
      </c>
      <c r="V834" t="str">
        <f t="shared" ref="V834:V897" si="205">IF($A834="","",$I834&amp;"|"&amp;$H834)</f>
        <v>大成路项目|服务效率</v>
      </c>
      <c r="W834">
        <f t="shared" ref="W834:W897" si="206">IF($A834="","",MATCH($V834,$V$2:$V$3000,0))</f>
        <v>786</v>
      </c>
      <c r="X834" t="str">
        <f t="shared" ref="X834:X897" si="207">IF($A834="","",$I834&amp;"|"&amp;$D834)</f>
        <v>大成路项目|期末出租率</v>
      </c>
      <c r="Y834">
        <f t="shared" ref="Y834:Y897" si="208">IF($A834="","",MATCH($X834,$X$2:$X$3000,0))</f>
        <v>786</v>
      </c>
      <c r="Z834">
        <f>IF($A834="",0,IF(AND($M834=1,$A834=经营数据!$B$3,$J834=经营数据!$BA$5,OR($I834=经营数据!$BA$4,COUNTIF(经营数据!$AA$9:$AA$38,$I834)&gt;0)),1,0))</f>
        <v>0</v>
      </c>
      <c r="AA834" t="str">
        <f t="shared" ref="AA834:AA897" si="209">IF($Z834=1,$U834*1000000000000+$W834*100000000+$Y834*10000+ROW(),"")</f>
        <v/>
      </c>
      <c r="AB834" t="str">
        <f t="shared" ref="AB834:AB897" si="210">IF($Z834=1,COUNTIFS($Z$2:$Z$3000,1,$AA$2:$AA$3000,"&lt;"&amp;$AA834)+1,"")</f>
        <v/>
      </c>
      <c r="AC834">
        <f>IF($A834="",0,IF(COUNTIF($A$2:$A834,$A834)=1,1,0))</f>
        <v>0</v>
      </c>
      <c r="AD834">
        <f t="shared" ref="AD834:AD897" si="211">IF($A834="",N(AD833),IF($AC834=1,N(AD833)+1,N(AD833)))</f>
        <v>8</v>
      </c>
      <c r="AE834" t="str">
        <f t="shared" ref="AE834:AE897" si="212">IF($A834="","",$I834&amp;"|"&amp;$K834)</f>
        <v>大成路项目|期末出租率（%）</v>
      </c>
    </row>
    <row r="835" spans="1:31" x14ac:dyDescent="0.4">
      <c r="A835" t="str">
        <f>IF(原始经营数据!$D836="","",原始经营数据!$D836)</f>
        <v>嘉实物美消费封闭式基础设施证券投资基金</v>
      </c>
      <c r="B835" t="str">
        <f>IF(原始经营数据!$D836="","",T(原始经营数据!$E836))</f>
        <v>大成路项目</v>
      </c>
      <c r="C835" t="str">
        <f>IF(原始经营数据!$D836="","",原始经营数据!$F836)</f>
        <v>2026Q1</v>
      </c>
      <c r="D835" t="str">
        <f>IF(原始经营数据!$D836="","",原始经营数据!$H836)</f>
        <v>期内租金单价水平</v>
      </c>
      <c r="E835">
        <f>IF(原始经营数据!$D836="","",原始经营数据!$I836)</f>
        <v>3.07</v>
      </c>
      <c r="F835" t="str">
        <f>IF(原始经营数据!$D836="","",T(原始经营数据!$J836))</f>
        <v>元/平方米/天</v>
      </c>
      <c r="G835" t="str">
        <f>IF(原始经营数据!$D836="","",T(原始经营数据!$K836))</f>
        <v/>
      </c>
      <c r="H835" t="str">
        <f>IF(原始经营数据!$D836="","",原始经营数据!$G836)</f>
        <v>服务价格</v>
      </c>
      <c r="I835" t="str">
        <f>IF($A835="","",IF($B835&lt;&gt;"",$B835,IF(COUNTIFS(原始经营数据!$D$3:$D$3001,$A835,原始经营数据!$E$3:$E$3001,"",原始经营数据!$F$3:$F$3001,$C835,原始经营数据!$H$3:$H$3001,$D835,原始经营数据!$K$3:$K$3001,$G835)&gt;1,"基金整体·来源"&amp;原始经营数据!$A836,"基金整体")))</f>
        <v>大成路项目</v>
      </c>
      <c r="J835" t="str">
        <f t="shared" si="198"/>
        <v>季度</v>
      </c>
      <c r="K835" t="str">
        <f t="shared" si="199"/>
        <v>期内租金单价水平（元/平方米/天）</v>
      </c>
      <c r="L835" t="str">
        <f t="shared" si="200"/>
        <v>大成路项目|期内租金单价水平（元/平方米/天）|季度</v>
      </c>
      <c r="M835">
        <f>IF($A835="",0,IF(COUNTIF($L$2:$L835,$L835)=1,1,0))</f>
        <v>0</v>
      </c>
      <c r="N835">
        <f t="shared" si="201"/>
        <v>20261</v>
      </c>
      <c r="O835" t="str">
        <f t="shared" si="202"/>
        <v>嘉实物美消费封闭式基础设施证券投资基金|2026Q1|季度</v>
      </c>
      <c r="P835">
        <f>IF($A835="",0,IF(COUNTIF($O$2:$O835,$O835)=1,1,0))</f>
        <v>0</v>
      </c>
      <c r="Q835" t="str">
        <f>IF(AND($P835=1,$A835=经营数据!$B$3,$J835=经营数据!$BA$5),COUNTIFS($P$2:$P$3000,1,$A$2:$A$3000,$A835,$J$2:$J$3000,$J835,$N$2:$N$3000,"&lt;"&amp;$N835)+1,"")</f>
        <v/>
      </c>
      <c r="R835" t="str">
        <f t="shared" si="203"/>
        <v>嘉实物美消费封闭式基础设施证券投资基金|大成路项目</v>
      </c>
      <c r="S835">
        <f>IF($A835="",0,IF(COUNTIF($R$2:$R835,$R835)=1,1,0))</f>
        <v>0</v>
      </c>
      <c r="T835">
        <f t="shared" si="204"/>
        <v>784</v>
      </c>
      <c r="U835" t="str">
        <f>IF($A835="","",IF($A835=经营数据!$B$3,COUNTIFS($S$2:$S$3000,1,$A$2:$A$3000,$A835,$T$2:$T$3000,"&lt;"&amp;$T835)+1,""))</f>
        <v/>
      </c>
      <c r="V835" t="str">
        <f t="shared" si="205"/>
        <v>大成路项目|服务价格</v>
      </c>
      <c r="W835">
        <f t="shared" si="206"/>
        <v>787</v>
      </c>
      <c r="X835" t="str">
        <f t="shared" si="207"/>
        <v>大成路项目|期内租金单价水平</v>
      </c>
      <c r="Y835">
        <f t="shared" si="208"/>
        <v>787</v>
      </c>
      <c r="Z835">
        <f>IF($A835="",0,IF(AND($M835=1,$A835=经营数据!$B$3,$J835=经营数据!$BA$5,OR($I835=经营数据!$BA$4,COUNTIF(经营数据!$AA$9:$AA$38,$I835)&gt;0)),1,0))</f>
        <v>0</v>
      </c>
      <c r="AA835" t="str">
        <f t="shared" si="209"/>
        <v/>
      </c>
      <c r="AB835" t="str">
        <f t="shared" si="210"/>
        <v/>
      </c>
      <c r="AC835">
        <f>IF($A835="",0,IF(COUNTIF($A$2:$A835,$A835)=1,1,0))</f>
        <v>0</v>
      </c>
      <c r="AD835">
        <f t="shared" si="211"/>
        <v>8</v>
      </c>
      <c r="AE835" t="str">
        <f t="shared" si="212"/>
        <v>大成路项目|期内租金单价水平（元/平方米/天）</v>
      </c>
    </row>
    <row r="836" spans="1:31" x14ac:dyDescent="0.4">
      <c r="A836" t="str">
        <f>IF(原始经营数据!$D837="","",原始经营数据!$D837)</f>
        <v>嘉实物美消费封闭式基础设施证券投资基金</v>
      </c>
      <c r="B836" t="str">
        <f>IF(原始经营数据!$D837="","",T(原始经营数据!$E837))</f>
        <v>大成路项目</v>
      </c>
      <c r="C836" t="str">
        <f>IF(原始经营数据!$D837="","",原始经营数据!$F837)</f>
        <v>2026Q1</v>
      </c>
      <c r="D836" t="str">
        <f>IF(原始经营数据!$D837="","",原始经营数据!$H837)</f>
        <v>期末剩余租期情况</v>
      </c>
      <c r="E836">
        <f>IF(原始经营数据!$D837="","",原始经营数据!$I837)</f>
        <v>6.24</v>
      </c>
      <c r="F836" t="str">
        <f>IF(原始经营数据!$D837="","",T(原始经营数据!$J837))</f>
        <v>年</v>
      </c>
      <c r="G836" t="str">
        <f>IF(原始经营数据!$D837="","",T(原始经营数据!$K837))</f>
        <v/>
      </c>
      <c r="H836" t="str">
        <f>IF(原始经营数据!$D837="","",原始经营数据!$G837)</f>
        <v>服务量</v>
      </c>
      <c r="I836" t="str">
        <f>IF($A836="","",IF($B836&lt;&gt;"",$B836,IF(COUNTIFS(原始经营数据!$D$3:$D$3001,$A836,原始经营数据!$E$3:$E$3001,"",原始经营数据!$F$3:$F$3001,$C836,原始经营数据!$H$3:$H$3001,$D836,原始经营数据!$K$3:$K$3001,$G836)&gt;1,"基金整体·来源"&amp;原始经营数据!$A837,"基金整体")))</f>
        <v>大成路项目</v>
      </c>
      <c r="J836" t="str">
        <f t="shared" si="198"/>
        <v>季度</v>
      </c>
      <c r="K836" t="str">
        <f t="shared" si="199"/>
        <v>期末剩余租期情况（年）</v>
      </c>
      <c r="L836" t="str">
        <f t="shared" si="200"/>
        <v>大成路项目|期末剩余租期情况（年）|季度</v>
      </c>
      <c r="M836">
        <f>IF($A836="",0,IF(COUNTIF($L$2:$L836,$L836)=1,1,0))</f>
        <v>0</v>
      </c>
      <c r="N836">
        <f t="shared" si="201"/>
        <v>20261</v>
      </c>
      <c r="O836" t="str">
        <f t="shared" si="202"/>
        <v>嘉实物美消费封闭式基础设施证券投资基金|2026Q1|季度</v>
      </c>
      <c r="P836">
        <f>IF($A836="",0,IF(COUNTIF($O$2:$O836,$O836)=1,1,0))</f>
        <v>0</v>
      </c>
      <c r="Q836" t="str">
        <f>IF(AND($P836=1,$A836=经营数据!$B$3,$J836=经营数据!$BA$5),COUNTIFS($P$2:$P$3000,1,$A$2:$A$3000,$A836,$J$2:$J$3000,$J836,$N$2:$N$3000,"&lt;"&amp;$N836)+1,"")</f>
        <v/>
      </c>
      <c r="R836" t="str">
        <f t="shared" si="203"/>
        <v>嘉实物美消费封闭式基础设施证券投资基金|大成路项目</v>
      </c>
      <c r="S836">
        <f>IF($A836="",0,IF(COUNTIF($R$2:$R836,$R836)=1,1,0))</f>
        <v>0</v>
      </c>
      <c r="T836">
        <f t="shared" si="204"/>
        <v>784</v>
      </c>
      <c r="U836" t="str">
        <f>IF($A836="","",IF($A836=经营数据!$B$3,COUNTIFS($S$2:$S$3000,1,$A$2:$A$3000,$A836,$T$2:$T$3000,"&lt;"&amp;$T836)+1,""))</f>
        <v/>
      </c>
      <c r="V836" t="str">
        <f t="shared" si="205"/>
        <v>大成路项目|服务量</v>
      </c>
      <c r="W836">
        <f t="shared" si="206"/>
        <v>784</v>
      </c>
      <c r="X836" t="str">
        <f t="shared" si="207"/>
        <v>大成路项目|期末剩余租期情况</v>
      </c>
      <c r="Y836">
        <f t="shared" si="208"/>
        <v>788</v>
      </c>
      <c r="Z836">
        <f>IF($A836="",0,IF(AND($M836=1,$A836=经营数据!$B$3,$J836=经营数据!$BA$5,OR($I836=经营数据!$BA$4,COUNTIF(经营数据!$AA$9:$AA$38,$I836)&gt;0)),1,0))</f>
        <v>0</v>
      </c>
      <c r="AA836" t="str">
        <f t="shared" si="209"/>
        <v/>
      </c>
      <c r="AB836" t="str">
        <f t="shared" si="210"/>
        <v/>
      </c>
      <c r="AC836">
        <f>IF($A836="",0,IF(COUNTIF($A$2:$A836,$A836)=1,1,0))</f>
        <v>0</v>
      </c>
      <c r="AD836">
        <f t="shared" si="211"/>
        <v>8</v>
      </c>
      <c r="AE836" t="str">
        <f t="shared" si="212"/>
        <v>大成路项目|期末剩余租期情况（年）</v>
      </c>
    </row>
    <row r="837" spans="1:31" x14ac:dyDescent="0.4">
      <c r="A837" t="str">
        <f>IF(原始经营数据!$D838="","",原始经营数据!$D838)</f>
        <v>嘉实物美消费封闭式基础设施证券投资基金</v>
      </c>
      <c r="B837" t="str">
        <f>IF(原始经营数据!$D838="","",T(原始经营数据!$E838))</f>
        <v>大成路项目</v>
      </c>
      <c r="C837" t="str">
        <f>IF(原始经营数据!$D838="","",原始经营数据!$F838)</f>
        <v>2026Q1</v>
      </c>
      <c r="D837" t="str">
        <f>IF(原始经营数据!$D838="","",原始经营数据!$H838)</f>
        <v>期末租金收缴率</v>
      </c>
      <c r="E837">
        <f>IF(原始经营数据!$D838="","",原始经营数据!$I838)</f>
        <v>98.78</v>
      </c>
      <c r="F837" t="str">
        <f>IF(原始经营数据!$D838="","",T(原始经营数据!$J838))</f>
        <v>%</v>
      </c>
      <c r="G837" t="str">
        <f>IF(原始经营数据!$D838="","",T(原始经营数据!$K838))</f>
        <v/>
      </c>
      <c r="H837" t="str">
        <f>IF(原始经营数据!$D838="","",原始经营数据!$G838)</f>
        <v>服务效率</v>
      </c>
      <c r="I837" t="str">
        <f>IF($A837="","",IF($B837&lt;&gt;"",$B837,IF(COUNTIFS(原始经营数据!$D$3:$D$3001,$A837,原始经营数据!$E$3:$E$3001,"",原始经营数据!$F$3:$F$3001,$C837,原始经营数据!$H$3:$H$3001,$D837,原始经营数据!$K$3:$K$3001,$G837)&gt;1,"基金整体·来源"&amp;原始经营数据!$A838,"基金整体")))</f>
        <v>大成路项目</v>
      </c>
      <c r="J837" t="str">
        <f t="shared" si="198"/>
        <v>季度</v>
      </c>
      <c r="K837" t="str">
        <f t="shared" si="199"/>
        <v>期末租金收缴率（%）</v>
      </c>
      <c r="L837" t="str">
        <f t="shared" si="200"/>
        <v>大成路项目|期末租金收缴率（%）|季度</v>
      </c>
      <c r="M837">
        <f>IF($A837="",0,IF(COUNTIF($L$2:$L837,$L837)=1,1,0))</f>
        <v>0</v>
      </c>
      <c r="N837">
        <f t="shared" si="201"/>
        <v>20261</v>
      </c>
      <c r="O837" t="str">
        <f t="shared" si="202"/>
        <v>嘉实物美消费封闭式基础设施证券投资基金|2026Q1|季度</v>
      </c>
      <c r="P837">
        <f>IF($A837="",0,IF(COUNTIF($O$2:$O837,$O837)=1,1,0))</f>
        <v>0</v>
      </c>
      <c r="Q837" t="str">
        <f>IF(AND($P837=1,$A837=经营数据!$B$3,$J837=经营数据!$BA$5),COUNTIFS($P$2:$P$3000,1,$A$2:$A$3000,$A837,$J$2:$J$3000,$J837,$N$2:$N$3000,"&lt;"&amp;$N837)+1,"")</f>
        <v/>
      </c>
      <c r="R837" t="str">
        <f t="shared" si="203"/>
        <v>嘉实物美消费封闭式基础设施证券投资基金|大成路项目</v>
      </c>
      <c r="S837">
        <f>IF($A837="",0,IF(COUNTIF($R$2:$R837,$R837)=1,1,0))</f>
        <v>0</v>
      </c>
      <c r="T837">
        <f t="shared" si="204"/>
        <v>784</v>
      </c>
      <c r="U837" t="str">
        <f>IF($A837="","",IF($A837=经营数据!$B$3,COUNTIFS($S$2:$S$3000,1,$A$2:$A$3000,$A837,$T$2:$T$3000,"&lt;"&amp;$T837)+1,""))</f>
        <v/>
      </c>
      <c r="V837" t="str">
        <f t="shared" si="205"/>
        <v>大成路项目|服务效率</v>
      </c>
      <c r="W837">
        <f t="shared" si="206"/>
        <v>786</v>
      </c>
      <c r="X837" t="str">
        <f t="shared" si="207"/>
        <v>大成路项目|期末租金收缴率</v>
      </c>
      <c r="Y837">
        <f t="shared" si="208"/>
        <v>789</v>
      </c>
      <c r="Z837">
        <f>IF($A837="",0,IF(AND($M837=1,$A837=经营数据!$B$3,$J837=经营数据!$BA$5,OR($I837=经营数据!$BA$4,COUNTIF(经营数据!$AA$9:$AA$38,$I837)&gt;0)),1,0))</f>
        <v>0</v>
      </c>
      <c r="AA837" t="str">
        <f t="shared" si="209"/>
        <v/>
      </c>
      <c r="AB837" t="str">
        <f t="shared" si="210"/>
        <v/>
      </c>
      <c r="AC837">
        <f>IF($A837="",0,IF(COUNTIF($A$2:$A837,$A837)=1,1,0))</f>
        <v>0</v>
      </c>
      <c r="AD837">
        <f t="shared" si="211"/>
        <v>8</v>
      </c>
      <c r="AE837" t="str">
        <f t="shared" si="212"/>
        <v>大成路项目|期末租金收缴率（%）</v>
      </c>
    </row>
    <row r="838" spans="1:31" x14ac:dyDescent="0.4">
      <c r="A838" t="str">
        <f>IF(原始经营数据!$D839="","",原始经营数据!$D839)</f>
        <v>嘉实物美消费封闭式基础设施证券投资基金</v>
      </c>
      <c r="B838" t="str">
        <f>IF(原始经营数据!$D839="","",T(原始经营数据!$E839))</f>
        <v>大成路项目</v>
      </c>
      <c r="C838" t="str">
        <f>IF(原始经营数据!$D839="","",原始经营数据!$F839)</f>
        <v>2026Q1</v>
      </c>
      <c r="D838" t="str">
        <f>IF(原始经营数据!$D839="","",原始经营数据!$H839)</f>
        <v>期末可供出租面积</v>
      </c>
      <c r="E838">
        <f>IF(原始经营数据!$D839="","",原始经营数据!$I839)</f>
        <v>29043.4</v>
      </c>
      <c r="F838" t="str">
        <f>IF(原始经营数据!$D839="","",T(原始经营数据!$J839))</f>
        <v>平方米</v>
      </c>
      <c r="G838" t="str">
        <f>IF(原始经营数据!$D839="","",T(原始经营数据!$K839))</f>
        <v/>
      </c>
      <c r="H838" t="str">
        <f>IF(原始经营数据!$D839="","",原始经营数据!$G839)</f>
        <v>服务量</v>
      </c>
      <c r="I838" t="str">
        <f>IF($A838="","",IF($B838&lt;&gt;"",$B838,IF(COUNTIFS(原始经营数据!$D$3:$D$3001,$A838,原始经营数据!$E$3:$E$3001,"",原始经营数据!$F$3:$F$3001,$C838,原始经营数据!$H$3:$H$3001,$D838,原始经营数据!$K$3:$K$3001,$G838)&gt;1,"基金整体·来源"&amp;原始经营数据!$A839,"基金整体")))</f>
        <v>大成路项目</v>
      </c>
      <c r="J838" t="str">
        <f t="shared" si="198"/>
        <v>季度</v>
      </c>
      <c r="K838" t="str">
        <f t="shared" si="199"/>
        <v>期末可供出租面积（平方米）</v>
      </c>
      <c r="L838" t="str">
        <f t="shared" si="200"/>
        <v>大成路项目|期末可供出租面积（平方米）|季度</v>
      </c>
      <c r="M838">
        <f>IF($A838="",0,IF(COUNTIF($L$2:$L838,$L838)=1,1,0))</f>
        <v>0</v>
      </c>
      <c r="N838">
        <f t="shared" si="201"/>
        <v>20261</v>
      </c>
      <c r="O838" t="str">
        <f t="shared" si="202"/>
        <v>嘉实物美消费封闭式基础设施证券投资基金|2026Q1|季度</v>
      </c>
      <c r="P838">
        <f>IF($A838="",0,IF(COUNTIF($O$2:$O838,$O838)=1,1,0))</f>
        <v>0</v>
      </c>
      <c r="Q838" t="str">
        <f>IF(AND($P838=1,$A838=经营数据!$B$3,$J838=经营数据!$BA$5),COUNTIFS($P$2:$P$3000,1,$A$2:$A$3000,$A838,$J$2:$J$3000,$J838,$N$2:$N$3000,"&lt;"&amp;$N838)+1,"")</f>
        <v/>
      </c>
      <c r="R838" t="str">
        <f t="shared" si="203"/>
        <v>嘉实物美消费封闭式基础设施证券投资基金|大成路项目</v>
      </c>
      <c r="S838">
        <f>IF($A838="",0,IF(COUNTIF($R$2:$R838,$R838)=1,1,0))</f>
        <v>0</v>
      </c>
      <c r="T838">
        <f t="shared" si="204"/>
        <v>784</v>
      </c>
      <c r="U838" t="str">
        <f>IF($A838="","",IF($A838=经营数据!$B$3,COUNTIFS($S$2:$S$3000,1,$A$2:$A$3000,$A838,$T$2:$T$3000,"&lt;"&amp;$T838)+1,""))</f>
        <v/>
      </c>
      <c r="V838" t="str">
        <f t="shared" si="205"/>
        <v>大成路项目|服务量</v>
      </c>
      <c r="W838">
        <f t="shared" si="206"/>
        <v>784</v>
      </c>
      <c r="X838" t="str">
        <f t="shared" si="207"/>
        <v>大成路项目|期末可供出租面积</v>
      </c>
      <c r="Y838">
        <f t="shared" si="208"/>
        <v>784</v>
      </c>
      <c r="Z838">
        <f>IF($A838="",0,IF(AND($M838=1,$A838=经营数据!$B$3,$J838=经营数据!$BA$5,OR($I838=经营数据!$BA$4,COUNTIF(经营数据!$AA$9:$AA$38,$I838)&gt;0)),1,0))</f>
        <v>0</v>
      </c>
      <c r="AA838" t="str">
        <f t="shared" si="209"/>
        <v/>
      </c>
      <c r="AB838" t="str">
        <f t="shared" si="210"/>
        <v/>
      </c>
      <c r="AC838">
        <f>IF($A838="",0,IF(COUNTIF($A$2:$A838,$A838)=1,1,0))</f>
        <v>0</v>
      </c>
      <c r="AD838">
        <f t="shared" si="211"/>
        <v>8</v>
      </c>
      <c r="AE838" t="str">
        <f t="shared" si="212"/>
        <v>大成路项目|期末可供出租面积（平方米）</v>
      </c>
    </row>
    <row r="839" spans="1:31" x14ac:dyDescent="0.4">
      <c r="A839" t="str">
        <f>IF(原始经营数据!$D840="","",原始经营数据!$D840)</f>
        <v>嘉实物美消费封闭式基础设施证券投资基金</v>
      </c>
      <c r="B839" t="str">
        <f>IF(原始经营数据!$D840="","",T(原始经营数据!$E840))</f>
        <v>大成路项目</v>
      </c>
      <c r="C839" t="str">
        <f>IF(原始经营数据!$D840="","",原始经营数据!$F840)</f>
        <v>2026Q2</v>
      </c>
      <c r="D839" t="str">
        <f>IF(原始经营数据!$D840="","",原始经营数据!$H840)</f>
        <v>期末可供出租面积</v>
      </c>
      <c r="E839">
        <f>IF(原始经营数据!$D840="","",原始经营数据!$I840)</f>
        <v>29043.4</v>
      </c>
      <c r="F839" t="str">
        <f>IF(原始经营数据!$D840="","",T(原始经营数据!$J840))</f>
        <v>平方米</v>
      </c>
      <c r="G839" t="str">
        <f>IF(原始经营数据!$D840="","",T(原始经营数据!$K840))</f>
        <v/>
      </c>
      <c r="H839" t="str">
        <f>IF(原始经营数据!$D840="","",原始经营数据!$G840)</f>
        <v>服务量</v>
      </c>
      <c r="I839" t="str">
        <f>IF($A839="","",IF($B839&lt;&gt;"",$B839,IF(COUNTIFS(原始经营数据!$D$3:$D$3001,$A839,原始经营数据!$E$3:$E$3001,"",原始经营数据!$F$3:$F$3001,$C839,原始经营数据!$H$3:$H$3001,$D839,原始经营数据!$K$3:$K$3001,$G839)&gt;1,"基金整体·来源"&amp;原始经营数据!$A840,"基金整体")))</f>
        <v>大成路项目</v>
      </c>
      <c r="J839" t="str">
        <f t="shared" si="198"/>
        <v>季度</v>
      </c>
      <c r="K839" t="str">
        <f t="shared" si="199"/>
        <v>期末可供出租面积（平方米）</v>
      </c>
      <c r="L839" t="str">
        <f t="shared" si="200"/>
        <v>大成路项目|期末可供出租面积（平方米）|季度</v>
      </c>
      <c r="M839">
        <f>IF($A839="",0,IF(COUNTIF($L$2:$L839,$L839)=1,1,0))</f>
        <v>0</v>
      </c>
      <c r="N839">
        <f t="shared" si="201"/>
        <v>20262</v>
      </c>
      <c r="O839" t="str">
        <f t="shared" si="202"/>
        <v>嘉实物美消费封闭式基础设施证券投资基金|2026Q2|季度</v>
      </c>
      <c r="P839">
        <f>IF($A839="",0,IF(COUNTIF($O$2:$O839,$O839)=1,1,0))</f>
        <v>0</v>
      </c>
      <c r="Q839" t="str">
        <f>IF(AND($P839=1,$A839=经营数据!$B$3,$J839=经营数据!$BA$5),COUNTIFS($P$2:$P$3000,1,$A$2:$A$3000,$A839,$J$2:$J$3000,$J839,$N$2:$N$3000,"&lt;"&amp;$N839)+1,"")</f>
        <v/>
      </c>
      <c r="R839" t="str">
        <f t="shared" si="203"/>
        <v>嘉实物美消费封闭式基础设施证券投资基金|大成路项目</v>
      </c>
      <c r="S839">
        <f>IF($A839="",0,IF(COUNTIF($R$2:$R839,$R839)=1,1,0))</f>
        <v>0</v>
      </c>
      <c r="T839">
        <f t="shared" si="204"/>
        <v>784</v>
      </c>
      <c r="U839" t="str">
        <f>IF($A839="","",IF($A839=经营数据!$B$3,COUNTIFS($S$2:$S$3000,1,$A$2:$A$3000,$A839,$T$2:$T$3000,"&lt;"&amp;$T839)+1,""))</f>
        <v/>
      </c>
      <c r="V839" t="str">
        <f t="shared" si="205"/>
        <v>大成路项目|服务量</v>
      </c>
      <c r="W839">
        <f t="shared" si="206"/>
        <v>784</v>
      </c>
      <c r="X839" t="str">
        <f t="shared" si="207"/>
        <v>大成路项目|期末可供出租面积</v>
      </c>
      <c r="Y839">
        <f t="shared" si="208"/>
        <v>784</v>
      </c>
      <c r="Z839">
        <f>IF($A839="",0,IF(AND($M839=1,$A839=经营数据!$B$3,$J839=经营数据!$BA$5,OR($I839=经营数据!$BA$4,COUNTIF(经营数据!$AA$9:$AA$38,$I839)&gt;0)),1,0))</f>
        <v>0</v>
      </c>
      <c r="AA839" t="str">
        <f t="shared" si="209"/>
        <v/>
      </c>
      <c r="AB839" t="str">
        <f t="shared" si="210"/>
        <v/>
      </c>
      <c r="AC839">
        <f>IF($A839="",0,IF(COUNTIF($A$2:$A839,$A839)=1,1,0))</f>
        <v>0</v>
      </c>
      <c r="AD839">
        <f t="shared" si="211"/>
        <v>8</v>
      </c>
      <c r="AE839" t="str">
        <f t="shared" si="212"/>
        <v>大成路项目|期末可供出租面积（平方米）</v>
      </c>
    </row>
    <row r="840" spans="1:31" x14ac:dyDescent="0.4">
      <c r="A840" t="str">
        <f>IF(原始经营数据!$D841="","",原始经营数据!$D841)</f>
        <v>嘉实物美消费封闭式基础设施证券投资基金</v>
      </c>
      <c r="B840" t="str">
        <f>IF(原始经营数据!$D841="","",T(原始经营数据!$E841))</f>
        <v>大成路项目</v>
      </c>
      <c r="C840" t="str">
        <f>IF(原始经营数据!$D841="","",原始经营数据!$F841)</f>
        <v>2026Q2</v>
      </c>
      <c r="D840" t="str">
        <f>IF(原始经营数据!$D841="","",原始经营数据!$H841)</f>
        <v>期末实际出租面积</v>
      </c>
      <c r="E840">
        <f>IF(原始经营数据!$D841="","",原始经营数据!$I841)</f>
        <v>25941.919999999998</v>
      </c>
      <c r="F840" t="str">
        <f>IF(原始经营数据!$D841="","",T(原始经营数据!$J841))</f>
        <v>平方米</v>
      </c>
      <c r="G840" t="str">
        <f>IF(原始经营数据!$D841="","",T(原始经营数据!$K841))</f>
        <v/>
      </c>
      <c r="H840" t="str">
        <f>IF(原始经营数据!$D841="","",原始经营数据!$G841)</f>
        <v>服务量</v>
      </c>
      <c r="I840" t="str">
        <f>IF($A840="","",IF($B840&lt;&gt;"",$B840,IF(COUNTIFS(原始经营数据!$D$3:$D$3001,$A840,原始经营数据!$E$3:$E$3001,"",原始经营数据!$F$3:$F$3001,$C840,原始经营数据!$H$3:$H$3001,$D840,原始经营数据!$K$3:$K$3001,$G840)&gt;1,"基金整体·来源"&amp;原始经营数据!$A841,"基金整体")))</f>
        <v>大成路项目</v>
      </c>
      <c r="J840" t="str">
        <f t="shared" si="198"/>
        <v>季度</v>
      </c>
      <c r="K840" t="str">
        <f t="shared" si="199"/>
        <v>期末实际出租面积（平方米）</v>
      </c>
      <c r="L840" t="str">
        <f t="shared" si="200"/>
        <v>大成路项目|期末实际出租面积（平方米）|季度</v>
      </c>
      <c r="M840">
        <f>IF($A840="",0,IF(COUNTIF($L$2:$L840,$L840)=1,1,0))</f>
        <v>0</v>
      </c>
      <c r="N840">
        <f t="shared" si="201"/>
        <v>20262</v>
      </c>
      <c r="O840" t="str">
        <f t="shared" si="202"/>
        <v>嘉实物美消费封闭式基础设施证券投资基金|2026Q2|季度</v>
      </c>
      <c r="P840">
        <f>IF($A840="",0,IF(COUNTIF($O$2:$O840,$O840)=1,1,0))</f>
        <v>0</v>
      </c>
      <c r="Q840" t="str">
        <f>IF(AND($P840=1,$A840=经营数据!$B$3,$J840=经营数据!$BA$5),COUNTIFS($P$2:$P$3000,1,$A$2:$A$3000,$A840,$J$2:$J$3000,$J840,$N$2:$N$3000,"&lt;"&amp;$N840)+1,"")</f>
        <v/>
      </c>
      <c r="R840" t="str">
        <f t="shared" si="203"/>
        <v>嘉实物美消费封闭式基础设施证券投资基金|大成路项目</v>
      </c>
      <c r="S840">
        <f>IF($A840="",0,IF(COUNTIF($R$2:$R840,$R840)=1,1,0))</f>
        <v>0</v>
      </c>
      <c r="T840">
        <f t="shared" si="204"/>
        <v>784</v>
      </c>
      <c r="U840" t="str">
        <f>IF($A840="","",IF($A840=经营数据!$B$3,COUNTIFS($S$2:$S$3000,1,$A$2:$A$3000,$A840,$T$2:$T$3000,"&lt;"&amp;$T840)+1,""))</f>
        <v/>
      </c>
      <c r="V840" t="str">
        <f t="shared" si="205"/>
        <v>大成路项目|服务量</v>
      </c>
      <c r="W840">
        <f t="shared" si="206"/>
        <v>784</v>
      </c>
      <c r="X840" t="str">
        <f t="shared" si="207"/>
        <v>大成路项目|期末实际出租面积</v>
      </c>
      <c r="Y840">
        <f t="shared" si="208"/>
        <v>785</v>
      </c>
      <c r="Z840">
        <f>IF($A840="",0,IF(AND($M840=1,$A840=经营数据!$B$3,$J840=经营数据!$BA$5,OR($I840=经营数据!$BA$4,COUNTIF(经营数据!$AA$9:$AA$38,$I840)&gt;0)),1,0))</f>
        <v>0</v>
      </c>
      <c r="AA840" t="str">
        <f t="shared" si="209"/>
        <v/>
      </c>
      <c r="AB840" t="str">
        <f t="shared" si="210"/>
        <v/>
      </c>
      <c r="AC840">
        <f>IF($A840="",0,IF(COUNTIF($A$2:$A840,$A840)=1,1,0))</f>
        <v>0</v>
      </c>
      <c r="AD840">
        <f t="shared" si="211"/>
        <v>8</v>
      </c>
      <c r="AE840" t="str">
        <f t="shared" si="212"/>
        <v>大成路项目|期末实际出租面积（平方米）</v>
      </c>
    </row>
    <row r="841" spans="1:31" x14ac:dyDescent="0.4">
      <c r="A841" t="str">
        <f>IF(原始经营数据!$D842="","",原始经营数据!$D842)</f>
        <v>嘉实物美消费封闭式基础设施证券投资基金</v>
      </c>
      <c r="B841" t="str">
        <f>IF(原始经营数据!$D842="","",T(原始经营数据!$E842))</f>
        <v>大成路项目</v>
      </c>
      <c r="C841" t="str">
        <f>IF(原始经营数据!$D842="","",原始经营数据!$F842)</f>
        <v>2026Q2</v>
      </c>
      <c r="D841" t="str">
        <f>IF(原始经营数据!$D842="","",原始经营数据!$H842)</f>
        <v>期末出租率</v>
      </c>
      <c r="E841">
        <f>IF(原始经营数据!$D842="","",原始经营数据!$I842)</f>
        <v>89.32</v>
      </c>
      <c r="F841" t="str">
        <f>IF(原始经营数据!$D842="","",T(原始经营数据!$J842))</f>
        <v>%</v>
      </c>
      <c r="G841" t="str">
        <f>IF(原始经营数据!$D842="","",T(原始经营数据!$K842))</f>
        <v/>
      </c>
      <c r="H841" t="str">
        <f>IF(原始经营数据!$D842="","",原始经营数据!$G842)</f>
        <v>服务效率</v>
      </c>
      <c r="I841" t="str">
        <f>IF($A841="","",IF($B841&lt;&gt;"",$B841,IF(COUNTIFS(原始经营数据!$D$3:$D$3001,$A841,原始经营数据!$E$3:$E$3001,"",原始经营数据!$F$3:$F$3001,$C841,原始经营数据!$H$3:$H$3001,$D841,原始经营数据!$K$3:$K$3001,$G841)&gt;1,"基金整体·来源"&amp;原始经营数据!$A842,"基金整体")))</f>
        <v>大成路项目</v>
      </c>
      <c r="J841" t="str">
        <f t="shared" si="198"/>
        <v>季度</v>
      </c>
      <c r="K841" t="str">
        <f t="shared" si="199"/>
        <v>期末出租率（%）</v>
      </c>
      <c r="L841" t="str">
        <f t="shared" si="200"/>
        <v>大成路项目|期末出租率（%）|季度</v>
      </c>
      <c r="M841">
        <f>IF($A841="",0,IF(COUNTIF($L$2:$L841,$L841)=1,1,0))</f>
        <v>0</v>
      </c>
      <c r="N841">
        <f t="shared" si="201"/>
        <v>20262</v>
      </c>
      <c r="O841" t="str">
        <f t="shared" si="202"/>
        <v>嘉实物美消费封闭式基础设施证券投资基金|2026Q2|季度</v>
      </c>
      <c r="P841">
        <f>IF($A841="",0,IF(COUNTIF($O$2:$O841,$O841)=1,1,0))</f>
        <v>0</v>
      </c>
      <c r="Q841" t="str">
        <f>IF(AND($P841=1,$A841=经营数据!$B$3,$J841=经营数据!$BA$5),COUNTIFS($P$2:$P$3000,1,$A$2:$A$3000,$A841,$J$2:$J$3000,$J841,$N$2:$N$3000,"&lt;"&amp;$N841)+1,"")</f>
        <v/>
      </c>
      <c r="R841" t="str">
        <f t="shared" si="203"/>
        <v>嘉实物美消费封闭式基础设施证券投资基金|大成路项目</v>
      </c>
      <c r="S841">
        <f>IF($A841="",0,IF(COUNTIF($R$2:$R841,$R841)=1,1,0))</f>
        <v>0</v>
      </c>
      <c r="T841">
        <f t="shared" si="204"/>
        <v>784</v>
      </c>
      <c r="U841" t="str">
        <f>IF($A841="","",IF($A841=经营数据!$B$3,COUNTIFS($S$2:$S$3000,1,$A$2:$A$3000,$A841,$T$2:$T$3000,"&lt;"&amp;$T841)+1,""))</f>
        <v/>
      </c>
      <c r="V841" t="str">
        <f t="shared" si="205"/>
        <v>大成路项目|服务效率</v>
      </c>
      <c r="W841">
        <f t="shared" si="206"/>
        <v>786</v>
      </c>
      <c r="X841" t="str">
        <f t="shared" si="207"/>
        <v>大成路项目|期末出租率</v>
      </c>
      <c r="Y841">
        <f t="shared" si="208"/>
        <v>786</v>
      </c>
      <c r="Z841">
        <f>IF($A841="",0,IF(AND($M841=1,$A841=经营数据!$B$3,$J841=经营数据!$BA$5,OR($I841=经营数据!$BA$4,COUNTIF(经营数据!$AA$9:$AA$38,$I841)&gt;0)),1,0))</f>
        <v>0</v>
      </c>
      <c r="AA841" t="str">
        <f t="shared" si="209"/>
        <v/>
      </c>
      <c r="AB841" t="str">
        <f t="shared" si="210"/>
        <v/>
      </c>
      <c r="AC841">
        <f>IF($A841="",0,IF(COUNTIF($A$2:$A841,$A841)=1,1,0))</f>
        <v>0</v>
      </c>
      <c r="AD841">
        <f t="shared" si="211"/>
        <v>8</v>
      </c>
      <c r="AE841" t="str">
        <f t="shared" si="212"/>
        <v>大成路项目|期末出租率（%）</v>
      </c>
    </row>
    <row r="842" spans="1:31" x14ac:dyDescent="0.4">
      <c r="A842" t="str">
        <f>IF(原始经营数据!$D843="","",原始经营数据!$D843)</f>
        <v>嘉实物美消费封闭式基础设施证券投资基金</v>
      </c>
      <c r="B842" t="str">
        <f>IF(原始经营数据!$D843="","",T(原始经营数据!$E843))</f>
        <v>大成路项目</v>
      </c>
      <c r="C842" t="str">
        <f>IF(原始经营数据!$D843="","",原始经营数据!$F843)</f>
        <v>2026Q2</v>
      </c>
      <c r="D842" t="str">
        <f>IF(原始经营数据!$D843="","",原始经营数据!$H843)</f>
        <v>期内租金单价水平</v>
      </c>
      <c r="E842">
        <f>IF(原始经营数据!$D843="","",原始经营数据!$I843)</f>
        <v>3.18</v>
      </c>
      <c r="F842" t="str">
        <f>IF(原始经营数据!$D843="","",T(原始经营数据!$J843))</f>
        <v>元/平方米/天</v>
      </c>
      <c r="G842" t="str">
        <f>IF(原始经营数据!$D843="","",T(原始经营数据!$K843))</f>
        <v/>
      </c>
      <c r="H842" t="str">
        <f>IF(原始经营数据!$D843="","",原始经营数据!$G843)</f>
        <v>服务价格</v>
      </c>
      <c r="I842" t="str">
        <f>IF($A842="","",IF($B842&lt;&gt;"",$B842,IF(COUNTIFS(原始经营数据!$D$3:$D$3001,$A842,原始经营数据!$E$3:$E$3001,"",原始经营数据!$F$3:$F$3001,$C842,原始经营数据!$H$3:$H$3001,$D842,原始经营数据!$K$3:$K$3001,$G842)&gt;1,"基金整体·来源"&amp;原始经营数据!$A843,"基金整体")))</f>
        <v>大成路项目</v>
      </c>
      <c r="J842" t="str">
        <f t="shared" si="198"/>
        <v>季度</v>
      </c>
      <c r="K842" t="str">
        <f t="shared" si="199"/>
        <v>期内租金单价水平（元/平方米/天）</v>
      </c>
      <c r="L842" t="str">
        <f t="shared" si="200"/>
        <v>大成路项目|期内租金单价水平（元/平方米/天）|季度</v>
      </c>
      <c r="M842">
        <f>IF($A842="",0,IF(COUNTIF($L$2:$L842,$L842)=1,1,0))</f>
        <v>0</v>
      </c>
      <c r="N842">
        <f t="shared" si="201"/>
        <v>20262</v>
      </c>
      <c r="O842" t="str">
        <f t="shared" si="202"/>
        <v>嘉实物美消费封闭式基础设施证券投资基金|2026Q2|季度</v>
      </c>
      <c r="P842">
        <f>IF($A842="",0,IF(COUNTIF($O$2:$O842,$O842)=1,1,0))</f>
        <v>0</v>
      </c>
      <c r="Q842" t="str">
        <f>IF(AND($P842=1,$A842=经营数据!$B$3,$J842=经营数据!$BA$5),COUNTIFS($P$2:$P$3000,1,$A$2:$A$3000,$A842,$J$2:$J$3000,$J842,$N$2:$N$3000,"&lt;"&amp;$N842)+1,"")</f>
        <v/>
      </c>
      <c r="R842" t="str">
        <f t="shared" si="203"/>
        <v>嘉实物美消费封闭式基础设施证券投资基金|大成路项目</v>
      </c>
      <c r="S842">
        <f>IF($A842="",0,IF(COUNTIF($R$2:$R842,$R842)=1,1,0))</f>
        <v>0</v>
      </c>
      <c r="T842">
        <f t="shared" si="204"/>
        <v>784</v>
      </c>
      <c r="U842" t="str">
        <f>IF($A842="","",IF($A842=经营数据!$B$3,COUNTIFS($S$2:$S$3000,1,$A$2:$A$3000,$A842,$T$2:$T$3000,"&lt;"&amp;$T842)+1,""))</f>
        <v/>
      </c>
      <c r="V842" t="str">
        <f t="shared" si="205"/>
        <v>大成路项目|服务价格</v>
      </c>
      <c r="W842">
        <f t="shared" si="206"/>
        <v>787</v>
      </c>
      <c r="X842" t="str">
        <f t="shared" si="207"/>
        <v>大成路项目|期内租金单价水平</v>
      </c>
      <c r="Y842">
        <f t="shared" si="208"/>
        <v>787</v>
      </c>
      <c r="Z842">
        <f>IF($A842="",0,IF(AND($M842=1,$A842=经营数据!$B$3,$J842=经营数据!$BA$5,OR($I842=经营数据!$BA$4,COUNTIF(经营数据!$AA$9:$AA$38,$I842)&gt;0)),1,0))</f>
        <v>0</v>
      </c>
      <c r="AA842" t="str">
        <f t="shared" si="209"/>
        <v/>
      </c>
      <c r="AB842" t="str">
        <f t="shared" si="210"/>
        <v/>
      </c>
      <c r="AC842">
        <f>IF($A842="",0,IF(COUNTIF($A$2:$A842,$A842)=1,1,0))</f>
        <v>0</v>
      </c>
      <c r="AD842">
        <f t="shared" si="211"/>
        <v>8</v>
      </c>
      <c r="AE842" t="str">
        <f t="shared" si="212"/>
        <v>大成路项目|期内租金单价水平（元/平方米/天）</v>
      </c>
    </row>
    <row r="843" spans="1:31" x14ac:dyDescent="0.4">
      <c r="A843" t="str">
        <f>IF(原始经营数据!$D844="","",原始经营数据!$D844)</f>
        <v>嘉实物美消费封闭式基础设施证券投资基金</v>
      </c>
      <c r="B843" t="str">
        <f>IF(原始经营数据!$D844="","",T(原始经营数据!$E844))</f>
        <v>大成路项目</v>
      </c>
      <c r="C843" t="str">
        <f>IF(原始经营数据!$D844="","",原始经营数据!$F844)</f>
        <v>2026Q2</v>
      </c>
      <c r="D843" t="str">
        <f>IF(原始经营数据!$D844="","",原始经营数据!$H844)</f>
        <v>期末剩余租期情况</v>
      </c>
      <c r="E843">
        <f>IF(原始经营数据!$D844="","",原始经营数据!$I844)</f>
        <v>6.06</v>
      </c>
      <c r="F843" t="str">
        <f>IF(原始经营数据!$D844="","",T(原始经营数据!$J844))</f>
        <v>年</v>
      </c>
      <c r="G843" t="str">
        <f>IF(原始经营数据!$D844="","",T(原始经营数据!$K844))</f>
        <v/>
      </c>
      <c r="H843" t="str">
        <f>IF(原始经营数据!$D844="","",原始经营数据!$G844)</f>
        <v>服务量</v>
      </c>
      <c r="I843" t="str">
        <f>IF($A843="","",IF($B843&lt;&gt;"",$B843,IF(COUNTIFS(原始经营数据!$D$3:$D$3001,$A843,原始经营数据!$E$3:$E$3001,"",原始经营数据!$F$3:$F$3001,$C843,原始经营数据!$H$3:$H$3001,$D843,原始经营数据!$K$3:$K$3001,$G843)&gt;1,"基金整体·来源"&amp;原始经营数据!$A844,"基金整体")))</f>
        <v>大成路项目</v>
      </c>
      <c r="J843" t="str">
        <f t="shared" si="198"/>
        <v>季度</v>
      </c>
      <c r="K843" t="str">
        <f t="shared" si="199"/>
        <v>期末剩余租期情况（年）</v>
      </c>
      <c r="L843" t="str">
        <f t="shared" si="200"/>
        <v>大成路项目|期末剩余租期情况（年）|季度</v>
      </c>
      <c r="M843">
        <f>IF($A843="",0,IF(COUNTIF($L$2:$L843,$L843)=1,1,0))</f>
        <v>0</v>
      </c>
      <c r="N843">
        <f t="shared" si="201"/>
        <v>20262</v>
      </c>
      <c r="O843" t="str">
        <f t="shared" si="202"/>
        <v>嘉实物美消费封闭式基础设施证券投资基金|2026Q2|季度</v>
      </c>
      <c r="P843">
        <f>IF($A843="",0,IF(COUNTIF($O$2:$O843,$O843)=1,1,0))</f>
        <v>0</v>
      </c>
      <c r="Q843" t="str">
        <f>IF(AND($P843=1,$A843=经营数据!$B$3,$J843=经营数据!$BA$5),COUNTIFS($P$2:$P$3000,1,$A$2:$A$3000,$A843,$J$2:$J$3000,$J843,$N$2:$N$3000,"&lt;"&amp;$N843)+1,"")</f>
        <v/>
      </c>
      <c r="R843" t="str">
        <f t="shared" si="203"/>
        <v>嘉实物美消费封闭式基础设施证券投资基金|大成路项目</v>
      </c>
      <c r="S843">
        <f>IF($A843="",0,IF(COUNTIF($R$2:$R843,$R843)=1,1,0))</f>
        <v>0</v>
      </c>
      <c r="T843">
        <f t="shared" si="204"/>
        <v>784</v>
      </c>
      <c r="U843" t="str">
        <f>IF($A843="","",IF($A843=经营数据!$B$3,COUNTIFS($S$2:$S$3000,1,$A$2:$A$3000,$A843,$T$2:$T$3000,"&lt;"&amp;$T843)+1,""))</f>
        <v/>
      </c>
      <c r="V843" t="str">
        <f t="shared" si="205"/>
        <v>大成路项目|服务量</v>
      </c>
      <c r="W843">
        <f t="shared" si="206"/>
        <v>784</v>
      </c>
      <c r="X843" t="str">
        <f t="shared" si="207"/>
        <v>大成路项目|期末剩余租期情况</v>
      </c>
      <c r="Y843">
        <f t="shared" si="208"/>
        <v>788</v>
      </c>
      <c r="Z843">
        <f>IF($A843="",0,IF(AND($M843=1,$A843=经营数据!$B$3,$J843=经营数据!$BA$5,OR($I843=经营数据!$BA$4,COUNTIF(经营数据!$AA$9:$AA$38,$I843)&gt;0)),1,0))</f>
        <v>0</v>
      </c>
      <c r="AA843" t="str">
        <f t="shared" si="209"/>
        <v/>
      </c>
      <c r="AB843" t="str">
        <f t="shared" si="210"/>
        <v/>
      </c>
      <c r="AC843">
        <f>IF($A843="",0,IF(COUNTIF($A$2:$A843,$A843)=1,1,0))</f>
        <v>0</v>
      </c>
      <c r="AD843">
        <f t="shared" si="211"/>
        <v>8</v>
      </c>
      <c r="AE843" t="str">
        <f t="shared" si="212"/>
        <v>大成路项目|期末剩余租期情况（年）</v>
      </c>
    </row>
    <row r="844" spans="1:31" x14ac:dyDescent="0.4">
      <c r="A844" t="str">
        <f>IF(原始经营数据!$D845="","",原始经营数据!$D845)</f>
        <v>嘉实物美消费封闭式基础设施证券投资基金</v>
      </c>
      <c r="B844" t="str">
        <f>IF(原始经营数据!$D845="","",T(原始经营数据!$E845))</f>
        <v>大成路项目</v>
      </c>
      <c r="C844" t="str">
        <f>IF(原始经营数据!$D845="","",原始经营数据!$F845)</f>
        <v>2026Q2</v>
      </c>
      <c r="D844" t="str">
        <f>IF(原始经营数据!$D845="","",原始经营数据!$H845)</f>
        <v>期末租金收缴率</v>
      </c>
      <c r="E844">
        <f>IF(原始经营数据!$D845="","",原始经营数据!$I845)</f>
        <v>99.92</v>
      </c>
      <c r="F844" t="str">
        <f>IF(原始经营数据!$D845="","",T(原始经营数据!$J845))</f>
        <v>%</v>
      </c>
      <c r="G844" t="str">
        <f>IF(原始经营数据!$D845="","",T(原始经营数据!$K845))</f>
        <v/>
      </c>
      <c r="H844" t="str">
        <f>IF(原始经营数据!$D845="","",原始经营数据!$G845)</f>
        <v>服务效率</v>
      </c>
      <c r="I844" t="str">
        <f>IF($A844="","",IF($B844&lt;&gt;"",$B844,IF(COUNTIFS(原始经营数据!$D$3:$D$3001,$A844,原始经营数据!$E$3:$E$3001,"",原始经营数据!$F$3:$F$3001,$C844,原始经营数据!$H$3:$H$3001,$D844,原始经营数据!$K$3:$K$3001,$G844)&gt;1,"基金整体·来源"&amp;原始经营数据!$A845,"基金整体")))</f>
        <v>大成路项目</v>
      </c>
      <c r="J844" t="str">
        <f t="shared" si="198"/>
        <v>季度</v>
      </c>
      <c r="K844" t="str">
        <f t="shared" si="199"/>
        <v>期末租金收缴率（%）</v>
      </c>
      <c r="L844" t="str">
        <f t="shared" si="200"/>
        <v>大成路项目|期末租金收缴率（%）|季度</v>
      </c>
      <c r="M844">
        <f>IF($A844="",0,IF(COUNTIF($L$2:$L844,$L844)=1,1,0))</f>
        <v>0</v>
      </c>
      <c r="N844">
        <f t="shared" si="201"/>
        <v>20262</v>
      </c>
      <c r="O844" t="str">
        <f t="shared" si="202"/>
        <v>嘉实物美消费封闭式基础设施证券投资基金|2026Q2|季度</v>
      </c>
      <c r="P844">
        <f>IF($A844="",0,IF(COUNTIF($O$2:$O844,$O844)=1,1,0))</f>
        <v>0</v>
      </c>
      <c r="Q844" t="str">
        <f>IF(AND($P844=1,$A844=经营数据!$B$3,$J844=经营数据!$BA$5),COUNTIFS($P$2:$P$3000,1,$A$2:$A$3000,$A844,$J$2:$J$3000,$J844,$N$2:$N$3000,"&lt;"&amp;$N844)+1,"")</f>
        <v/>
      </c>
      <c r="R844" t="str">
        <f t="shared" si="203"/>
        <v>嘉实物美消费封闭式基础设施证券投资基金|大成路项目</v>
      </c>
      <c r="S844">
        <f>IF($A844="",0,IF(COUNTIF($R$2:$R844,$R844)=1,1,0))</f>
        <v>0</v>
      </c>
      <c r="T844">
        <f t="shared" si="204"/>
        <v>784</v>
      </c>
      <c r="U844" t="str">
        <f>IF($A844="","",IF($A844=经营数据!$B$3,COUNTIFS($S$2:$S$3000,1,$A$2:$A$3000,$A844,$T$2:$T$3000,"&lt;"&amp;$T844)+1,""))</f>
        <v/>
      </c>
      <c r="V844" t="str">
        <f t="shared" si="205"/>
        <v>大成路项目|服务效率</v>
      </c>
      <c r="W844">
        <f t="shared" si="206"/>
        <v>786</v>
      </c>
      <c r="X844" t="str">
        <f t="shared" si="207"/>
        <v>大成路项目|期末租金收缴率</v>
      </c>
      <c r="Y844">
        <f t="shared" si="208"/>
        <v>789</v>
      </c>
      <c r="Z844">
        <f>IF($A844="",0,IF(AND($M844=1,$A844=经营数据!$B$3,$J844=经营数据!$BA$5,OR($I844=经营数据!$BA$4,COUNTIF(经营数据!$AA$9:$AA$38,$I844)&gt;0)),1,0))</f>
        <v>0</v>
      </c>
      <c r="AA844" t="str">
        <f t="shared" si="209"/>
        <v/>
      </c>
      <c r="AB844" t="str">
        <f t="shared" si="210"/>
        <v/>
      </c>
      <c r="AC844">
        <f>IF($A844="",0,IF(COUNTIF($A$2:$A844,$A844)=1,1,0))</f>
        <v>0</v>
      </c>
      <c r="AD844">
        <f t="shared" si="211"/>
        <v>8</v>
      </c>
      <c r="AE844" t="str">
        <f t="shared" si="212"/>
        <v>大成路项目|期末租金收缴率（%）</v>
      </c>
    </row>
    <row r="845" spans="1:31" x14ac:dyDescent="0.4">
      <c r="A845" t="str">
        <f>IF(原始经营数据!$D846="","",原始经营数据!$D846)</f>
        <v>嘉实物美消费封闭式基础设施证券投资基金</v>
      </c>
      <c r="B845" t="str">
        <f>IF(原始经营数据!$D846="","",T(原始经营数据!$E846))</f>
        <v>德胜门项目</v>
      </c>
      <c r="C845" t="str">
        <f>IF(原始经营数据!$D846="","",原始经营数据!$F846)</f>
        <v>2024Q1</v>
      </c>
      <c r="D845" t="str">
        <f>IF(原始经营数据!$D846="","",原始经营数据!$H846)</f>
        <v>期末租金收缴率</v>
      </c>
      <c r="E845">
        <f>IF(原始经营数据!$D846="","",原始经营数据!$I846)</f>
        <v>99.98</v>
      </c>
      <c r="F845" t="str">
        <f>IF(原始经营数据!$D846="","",T(原始经营数据!$J846))</f>
        <v>%</v>
      </c>
      <c r="G845" t="str">
        <f>IF(原始经营数据!$D846="","",T(原始经营数据!$K846))</f>
        <v/>
      </c>
      <c r="H845" t="str">
        <f>IF(原始经营数据!$D846="","",原始经营数据!$G846)</f>
        <v>服务效率</v>
      </c>
      <c r="I845" t="str">
        <f>IF($A845="","",IF($B845&lt;&gt;"",$B845,IF(COUNTIFS(原始经营数据!$D$3:$D$3001,$A845,原始经营数据!$E$3:$E$3001,"",原始经营数据!$F$3:$F$3001,$C845,原始经营数据!$H$3:$H$3001,$D845,原始经营数据!$K$3:$K$3001,$G845)&gt;1,"基金整体·来源"&amp;原始经营数据!$A846,"基金整体")))</f>
        <v>德胜门项目</v>
      </c>
      <c r="J845" t="str">
        <f t="shared" si="198"/>
        <v>季度</v>
      </c>
      <c r="K845" t="str">
        <f t="shared" si="199"/>
        <v>期末租金收缴率（%）</v>
      </c>
      <c r="L845" t="str">
        <f t="shared" si="200"/>
        <v>德胜门项目|期末租金收缴率（%）|季度</v>
      </c>
      <c r="M845">
        <f>IF($A845="",0,IF(COUNTIF($L$2:$L845,$L845)=1,1,0))</f>
        <v>1</v>
      </c>
      <c r="N845">
        <f t="shared" si="201"/>
        <v>20241</v>
      </c>
      <c r="O845" t="str">
        <f t="shared" si="202"/>
        <v>嘉实物美消费封闭式基础设施证券投资基金|2024Q1|季度</v>
      </c>
      <c r="P845">
        <f>IF($A845="",0,IF(COUNTIF($O$2:$O845,$O845)=1,1,0))</f>
        <v>0</v>
      </c>
      <c r="Q845" t="str">
        <f>IF(AND($P845=1,$A845=经营数据!$B$3,$J845=经营数据!$BA$5),COUNTIFS($P$2:$P$3000,1,$A$2:$A$3000,$A845,$J$2:$J$3000,$J845,$N$2:$N$3000,"&lt;"&amp;$N845)+1,"")</f>
        <v/>
      </c>
      <c r="R845" t="str">
        <f t="shared" si="203"/>
        <v>嘉实物美消费封闭式基础设施证券投资基金|德胜门项目</v>
      </c>
      <c r="S845">
        <f>IF($A845="",0,IF(COUNTIF($R$2:$R845,$R845)=1,1,0))</f>
        <v>1</v>
      </c>
      <c r="T845">
        <f t="shared" si="204"/>
        <v>844</v>
      </c>
      <c r="U845" t="str">
        <f>IF($A845="","",IF($A845=经营数据!$B$3,COUNTIFS($S$2:$S$3000,1,$A$2:$A$3000,$A845,$T$2:$T$3000,"&lt;"&amp;$T845)+1,""))</f>
        <v/>
      </c>
      <c r="V845" t="str">
        <f t="shared" si="205"/>
        <v>德胜门项目|服务效率</v>
      </c>
      <c r="W845">
        <f t="shared" si="206"/>
        <v>844</v>
      </c>
      <c r="X845" t="str">
        <f t="shared" si="207"/>
        <v>德胜门项目|期末租金收缴率</v>
      </c>
      <c r="Y845">
        <f t="shared" si="208"/>
        <v>844</v>
      </c>
      <c r="Z845">
        <f>IF($A845="",0,IF(AND($M845=1,$A845=经营数据!$B$3,$J845=经营数据!$BA$5,OR($I845=经营数据!$BA$4,COUNTIF(经营数据!$AA$9:$AA$38,$I845)&gt;0)),1,0))</f>
        <v>0</v>
      </c>
      <c r="AA845" t="str">
        <f t="shared" si="209"/>
        <v/>
      </c>
      <c r="AB845" t="str">
        <f t="shared" si="210"/>
        <v/>
      </c>
      <c r="AC845">
        <f>IF($A845="",0,IF(COUNTIF($A$2:$A845,$A845)=1,1,0))</f>
        <v>0</v>
      </c>
      <c r="AD845">
        <f t="shared" si="211"/>
        <v>8</v>
      </c>
      <c r="AE845" t="str">
        <f t="shared" si="212"/>
        <v>德胜门项目|期末租金收缴率（%）</v>
      </c>
    </row>
    <row r="846" spans="1:31" x14ac:dyDescent="0.4">
      <c r="A846" t="str">
        <f>IF(原始经营数据!$D847="","",原始经营数据!$D847)</f>
        <v>嘉实物美消费封闭式基础设施证券投资基金</v>
      </c>
      <c r="B846" t="str">
        <f>IF(原始经营数据!$D847="","",T(原始经营数据!$E847))</f>
        <v>德胜门项目</v>
      </c>
      <c r="C846" t="str">
        <f>IF(原始经营数据!$D847="","",原始经营数据!$F847)</f>
        <v>2024Q1</v>
      </c>
      <c r="D846" t="str">
        <f>IF(原始经营数据!$D847="","",原始经营数据!$H847)</f>
        <v>期末可供出租面积</v>
      </c>
      <c r="E846">
        <f>IF(原始经营数据!$D847="","",原始经营数据!$I847)</f>
        <v>8729.74</v>
      </c>
      <c r="F846" t="str">
        <f>IF(原始经营数据!$D847="","",T(原始经营数据!$J847))</f>
        <v>平方米</v>
      </c>
      <c r="G846" t="str">
        <f>IF(原始经营数据!$D847="","",T(原始经营数据!$K847))</f>
        <v/>
      </c>
      <c r="H846" t="str">
        <f>IF(原始经营数据!$D847="","",原始经营数据!$G847)</f>
        <v>服务量</v>
      </c>
      <c r="I846" t="str">
        <f>IF($A846="","",IF($B846&lt;&gt;"",$B846,IF(COUNTIFS(原始经营数据!$D$3:$D$3001,$A846,原始经营数据!$E$3:$E$3001,"",原始经营数据!$F$3:$F$3001,$C846,原始经营数据!$H$3:$H$3001,$D846,原始经营数据!$K$3:$K$3001,$G846)&gt;1,"基金整体·来源"&amp;原始经营数据!$A847,"基金整体")))</f>
        <v>德胜门项目</v>
      </c>
      <c r="J846" t="str">
        <f t="shared" si="198"/>
        <v>季度</v>
      </c>
      <c r="K846" t="str">
        <f t="shared" si="199"/>
        <v>期末可供出租面积（平方米）</v>
      </c>
      <c r="L846" t="str">
        <f t="shared" si="200"/>
        <v>德胜门项目|期末可供出租面积（平方米）|季度</v>
      </c>
      <c r="M846">
        <f>IF($A846="",0,IF(COUNTIF($L$2:$L846,$L846)=1,1,0))</f>
        <v>1</v>
      </c>
      <c r="N846">
        <f t="shared" si="201"/>
        <v>20241</v>
      </c>
      <c r="O846" t="str">
        <f t="shared" si="202"/>
        <v>嘉实物美消费封闭式基础设施证券投资基金|2024Q1|季度</v>
      </c>
      <c r="P846">
        <f>IF($A846="",0,IF(COUNTIF($O$2:$O846,$O846)=1,1,0))</f>
        <v>0</v>
      </c>
      <c r="Q846" t="str">
        <f>IF(AND($P846=1,$A846=经营数据!$B$3,$J846=经营数据!$BA$5),COUNTIFS($P$2:$P$3000,1,$A$2:$A$3000,$A846,$J$2:$J$3000,$J846,$N$2:$N$3000,"&lt;"&amp;$N846)+1,"")</f>
        <v/>
      </c>
      <c r="R846" t="str">
        <f t="shared" si="203"/>
        <v>嘉实物美消费封闭式基础设施证券投资基金|德胜门项目</v>
      </c>
      <c r="S846">
        <f>IF($A846="",0,IF(COUNTIF($R$2:$R846,$R846)=1,1,0))</f>
        <v>0</v>
      </c>
      <c r="T846">
        <f t="shared" si="204"/>
        <v>844</v>
      </c>
      <c r="U846" t="str">
        <f>IF($A846="","",IF($A846=经营数据!$B$3,COUNTIFS($S$2:$S$3000,1,$A$2:$A$3000,$A846,$T$2:$T$3000,"&lt;"&amp;$T846)+1,""))</f>
        <v/>
      </c>
      <c r="V846" t="str">
        <f t="shared" si="205"/>
        <v>德胜门项目|服务量</v>
      </c>
      <c r="W846">
        <f t="shared" si="206"/>
        <v>845</v>
      </c>
      <c r="X846" t="str">
        <f t="shared" si="207"/>
        <v>德胜门项目|期末可供出租面积</v>
      </c>
      <c r="Y846">
        <f t="shared" si="208"/>
        <v>845</v>
      </c>
      <c r="Z846">
        <f>IF($A846="",0,IF(AND($M846=1,$A846=经营数据!$B$3,$J846=经营数据!$BA$5,OR($I846=经营数据!$BA$4,COUNTIF(经营数据!$AA$9:$AA$38,$I846)&gt;0)),1,0))</f>
        <v>0</v>
      </c>
      <c r="AA846" t="str">
        <f t="shared" si="209"/>
        <v/>
      </c>
      <c r="AB846" t="str">
        <f t="shared" si="210"/>
        <v/>
      </c>
      <c r="AC846">
        <f>IF($A846="",0,IF(COUNTIF($A$2:$A846,$A846)=1,1,0))</f>
        <v>0</v>
      </c>
      <c r="AD846">
        <f t="shared" si="211"/>
        <v>8</v>
      </c>
      <c r="AE846" t="str">
        <f t="shared" si="212"/>
        <v>德胜门项目|期末可供出租面积（平方米）</v>
      </c>
    </row>
    <row r="847" spans="1:31" x14ac:dyDescent="0.4">
      <c r="A847" t="str">
        <f>IF(原始经营数据!$D848="","",原始经营数据!$D848)</f>
        <v>嘉实物美消费封闭式基础设施证券投资基金</v>
      </c>
      <c r="B847" t="str">
        <f>IF(原始经营数据!$D848="","",T(原始经营数据!$E848))</f>
        <v>德胜门项目</v>
      </c>
      <c r="C847" t="str">
        <f>IF(原始经营数据!$D848="","",原始经营数据!$F848)</f>
        <v>2024Q1</v>
      </c>
      <c r="D847" t="str">
        <f>IF(原始经营数据!$D848="","",原始经营数据!$H848)</f>
        <v>期末实际出租面积</v>
      </c>
      <c r="E847">
        <f>IF(原始经营数据!$D848="","",原始经营数据!$I848)</f>
        <v>8729.74</v>
      </c>
      <c r="F847" t="str">
        <f>IF(原始经营数据!$D848="","",T(原始经营数据!$J848))</f>
        <v>平方米</v>
      </c>
      <c r="G847" t="str">
        <f>IF(原始经营数据!$D848="","",T(原始经营数据!$K848))</f>
        <v/>
      </c>
      <c r="H847" t="str">
        <f>IF(原始经营数据!$D848="","",原始经营数据!$G848)</f>
        <v>服务量</v>
      </c>
      <c r="I847" t="str">
        <f>IF($A847="","",IF($B847&lt;&gt;"",$B847,IF(COUNTIFS(原始经营数据!$D$3:$D$3001,$A847,原始经营数据!$E$3:$E$3001,"",原始经营数据!$F$3:$F$3001,$C847,原始经营数据!$H$3:$H$3001,$D847,原始经营数据!$K$3:$K$3001,$G847)&gt;1,"基金整体·来源"&amp;原始经营数据!$A848,"基金整体")))</f>
        <v>德胜门项目</v>
      </c>
      <c r="J847" t="str">
        <f t="shared" si="198"/>
        <v>季度</v>
      </c>
      <c r="K847" t="str">
        <f t="shared" si="199"/>
        <v>期末实际出租面积（平方米）</v>
      </c>
      <c r="L847" t="str">
        <f t="shared" si="200"/>
        <v>德胜门项目|期末实际出租面积（平方米）|季度</v>
      </c>
      <c r="M847">
        <f>IF($A847="",0,IF(COUNTIF($L$2:$L847,$L847)=1,1,0))</f>
        <v>1</v>
      </c>
      <c r="N847">
        <f t="shared" si="201"/>
        <v>20241</v>
      </c>
      <c r="O847" t="str">
        <f t="shared" si="202"/>
        <v>嘉实物美消费封闭式基础设施证券投资基金|2024Q1|季度</v>
      </c>
      <c r="P847">
        <f>IF($A847="",0,IF(COUNTIF($O$2:$O847,$O847)=1,1,0))</f>
        <v>0</v>
      </c>
      <c r="Q847" t="str">
        <f>IF(AND($P847=1,$A847=经营数据!$B$3,$J847=经营数据!$BA$5),COUNTIFS($P$2:$P$3000,1,$A$2:$A$3000,$A847,$J$2:$J$3000,$J847,$N$2:$N$3000,"&lt;"&amp;$N847)+1,"")</f>
        <v/>
      </c>
      <c r="R847" t="str">
        <f t="shared" si="203"/>
        <v>嘉实物美消费封闭式基础设施证券投资基金|德胜门项目</v>
      </c>
      <c r="S847">
        <f>IF($A847="",0,IF(COUNTIF($R$2:$R847,$R847)=1,1,0))</f>
        <v>0</v>
      </c>
      <c r="T847">
        <f t="shared" si="204"/>
        <v>844</v>
      </c>
      <c r="U847" t="str">
        <f>IF($A847="","",IF($A847=经营数据!$B$3,COUNTIFS($S$2:$S$3000,1,$A$2:$A$3000,$A847,$T$2:$T$3000,"&lt;"&amp;$T847)+1,""))</f>
        <v/>
      </c>
      <c r="V847" t="str">
        <f t="shared" si="205"/>
        <v>德胜门项目|服务量</v>
      </c>
      <c r="W847">
        <f t="shared" si="206"/>
        <v>845</v>
      </c>
      <c r="X847" t="str">
        <f t="shared" si="207"/>
        <v>德胜门项目|期末实际出租面积</v>
      </c>
      <c r="Y847">
        <f t="shared" si="208"/>
        <v>846</v>
      </c>
      <c r="Z847">
        <f>IF($A847="",0,IF(AND($M847=1,$A847=经营数据!$B$3,$J847=经营数据!$BA$5,OR($I847=经营数据!$BA$4,COUNTIF(经营数据!$AA$9:$AA$38,$I847)&gt;0)),1,0))</f>
        <v>0</v>
      </c>
      <c r="AA847" t="str">
        <f t="shared" si="209"/>
        <v/>
      </c>
      <c r="AB847" t="str">
        <f t="shared" si="210"/>
        <v/>
      </c>
      <c r="AC847">
        <f>IF($A847="",0,IF(COUNTIF($A$2:$A847,$A847)=1,1,0))</f>
        <v>0</v>
      </c>
      <c r="AD847">
        <f t="shared" si="211"/>
        <v>8</v>
      </c>
      <c r="AE847" t="str">
        <f t="shared" si="212"/>
        <v>德胜门项目|期末实际出租面积（平方米）</v>
      </c>
    </row>
    <row r="848" spans="1:31" x14ac:dyDescent="0.4">
      <c r="A848" t="str">
        <f>IF(原始经营数据!$D849="","",原始经营数据!$D849)</f>
        <v>嘉实物美消费封闭式基础设施证券投资基金</v>
      </c>
      <c r="B848" t="str">
        <f>IF(原始经营数据!$D849="","",T(原始经营数据!$E849))</f>
        <v>德胜门项目</v>
      </c>
      <c r="C848" t="str">
        <f>IF(原始经营数据!$D849="","",原始经营数据!$F849)</f>
        <v>2024Q1</v>
      </c>
      <c r="D848" t="str">
        <f>IF(原始经营数据!$D849="","",原始经营数据!$H849)</f>
        <v>期末出租率</v>
      </c>
      <c r="E848">
        <f>IF(原始经营数据!$D849="","",原始经营数据!$I849)</f>
        <v>100</v>
      </c>
      <c r="F848" t="str">
        <f>IF(原始经营数据!$D849="","",T(原始经营数据!$J849))</f>
        <v>%</v>
      </c>
      <c r="G848" t="str">
        <f>IF(原始经营数据!$D849="","",T(原始经营数据!$K849))</f>
        <v/>
      </c>
      <c r="H848" t="str">
        <f>IF(原始经营数据!$D849="","",原始经营数据!$G849)</f>
        <v>服务效率</v>
      </c>
      <c r="I848" t="str">
        <f>IF($A848="","",IF($B848&lt;&gt;"",$B848,IF(COUNTIFS(原始经营数据!$D$3:$D$3001,$A848,原始经营数据!$E$3:$E$3001,"",原始经营数据!$F$3:$F$3001,$C848,原始经营数据!$H$3:$H$3001,$D848,原始经营数据!$K$3:$K$3001,$G848)&gt;1,"基金整体·来源"&amp;原始经营数据!$A849,"基金整体")))</f>
        <v>德胜门项目</v>
      </c>
      <c r="J848" t="str">
        <f t="shared" si="198"/>
        <v>季度</v>
      </c>
      <c r="K848" t="str">
        <f t="shared" si="199"/>
        <v>期末出租率（%）</v>
      </c>
      <c r="L848" t="str">
        <f t="shared" si="200"/>
        <v>德胜门项目|期末出租率（%）|季度</v>
      </c>
      <c r="M848">
        <f>IF($A848="",0,IF(COUNTIF($L$2:$L848,$L848)=1,1,0))</f>
        <v>1</v>
      </c>
      <c r="N848">
        <f t="shared" si="201"/>
        <v>20241</v>
      </c>
      <c r="O848" t="str">
        <f t="shared" si="202"/>
        <v>嘉实物美消费封闭式基础设施证券投资基金|2024Q1|季度</v>
      </c>
      <c r="P848">
        <f>IF($A848="",0,IF(COUNTIF($O$2:$O848,$O848)=1,1,0))</f>
        <v>0</v>
      </c>
      <c r="Q848" t="str">
        <f>IF(AND($P848=1,$A848=经营数据!$B$3,$J848=经营数据!$BA$5),COUNTIFS($P$2:$P$3000,1,$A$2:$A$3000,$A848,$J$2:$J$3000,$J848,$N$2:$N$3000,"&lt;"&amp;$N848)+1,"")</f>
        <v/>
      </c>
      <c r="R848" t="str">
        <f t="shared" si="203"/>
        <v>嘉实物美消费封闭式基础设施证券投资基金|德胜门项目</v>
      </c>
      <c r="S848">
        <f>IF($A848="",0,IF(COUNTIF($R$2:$R848,$R848)=1,1,0))</f>
        <v>0</v>
      </c>
      <c r="T848">
        <f t="shared" si="204"/>
        <v>844</v>
      </c>
      <c r="U848" t="str">
        <f>IF($A848="","",IF($A848=经营数据!$B$3,COUNTIFS($S$2:$S$3000,1,$A$2:$A$3000,$A848,$T$2:$T$3000,"&lt;"&amp;$T848)+1,""))</f>
        <v/>
      </c>
      <c r="V848" t="str">
        <f t="shared" si="205"/>
        <v>德胜门项目|服务效率</v>
      </c>
      <c r="W848">
        <f t="shared" si="206"/>
        <v>844</v>
      </c>
      <c r="X848" t="str">
        <f t="shared" si="207"/>
        <v>德胜门项目|期末出租率</v>
      </c>
      <c r="Y848">
        <f t="shared" si="208"/>
        <v>847</v>
      </c>
      <c r="Z848">
        <f>IF($A848="",0,IF(AND($M848=1,$A848=经营数据!$B$3,$J848=经营数据!$BA$5,OR($I848=经营数据!$BA$4,COUNTIF(经营数据!$AA$9:$AA$38,$I848)&gt;0)),1,0))</f>
        <v>0</v>
      </c>
      <c r="AA848" t="str">
        <f t="shared" si="209"/>
        <v/>
      </c>
      <c r="AB848" t="str">
        <f t="shared" si="210"/>
        <v/>
      </c>
      <c r="AC848">
        <f>IF($A848="",0,IF(COUNTIF($A$2:$A848,$A848)=1,1,0))</f>
        <v>0</v>
      </c>
      <c r="AD848">
        <f t="shared" si="211"/>
        <v>8</v>
      </c>
      <c r="AE848" t="str">
        <f t="shared" si="212"/>
        <v>德胜门项目|期末出租率（%）</v>
      </c>
    </row>
    <row r="849" spans="1:31" x14ac:dyDescent="0.4">
      <c r="A849" t="str">
        <f>IF(原始经营数据!$D850="","",原始经营数据!$D850)</f>
        <v>嘉实物美消费封闭式基础设施证券投资基金</v>
      </c>
      <c r="B849" t="str">
        <f>IF(原始经营数据!$D850="","",T(原始经营数据!$E850))</f>
        <v>德胜门项目</v>
      </c>
      <c r="C849" t="str">
        <f>IF(原始经营数据!$D850="","",原始经营数据!$F850)</f>
        <v>2024Q1</v>
      </c>
      <c r="D849" t="str">
        <f>IF(原始经营数据!$D850="","",原始经营数据!$H850)</f>
        <v>期末剩余租期情况</v>
      </c>
      <c r="E849">
        <f>IF(原始经营数据!$D850="","",原始经营数据!$I850)</f>
        <v>6.77</v>
      </c>
      <c r="F849" t="str">
        <f>IF(原始经营数据!$D850="","",T(原始经营数据!$J850))</f>
        <v>年</v>
      </c>
      <c r="G849" t="str">
        <f>IF(原始经营数据!$D850="","",T(原始经营数据!$K850))</f>
        <v/>
      </c>
      <c r="H849" t="str">
        <f>IF(原始经营数据!$D850="","",原始经营数据!$G850)</f>
        <v>服务量</v>
      </c>
      <c r="I849" t="str">
        <f>IF($A849="","",IF($B849&lt;&gt;"",$B849,IF(COUNTIFS(原始经营数据!$D$3:$D$3001,$A849,原始经营数据!$E$3:$E$3001,"",原始经营数据!$F$3:$F$3001,$C849,原始经营数据!$H$3:$H$3001,$D849,原始经营数据!$K$3:$K$3001,$G849)&gt;1,"基金整体·来源"&amp;原始经营数据!$A850,"基金整体")))</f>
        <v>德胜门项目</v>
      </c>
      <c r="J849" t="str">
        <f t="shared" si="198"/>
        <v>季度</v>
      </c>
      <c r="K849" t="str">
        <f t="shared" si="199"/>
        <v>期末剩余租期情况（年）</v>
      </c>
      <c r="L849" t="str">
        <f t="shared" si="200"/>
        <v>德胜门项目|期末剩余租期情况（年）|季度</v>
      </c>
      <c r="M849">
        <f>IF($A849="",0,IF(COUNTIF($L$2:$L849,$L849)=1,1,0))</f>
        <v>1</v>
      </c>
      <c r="N849">
        <f t="shared" si="201"/>
        <v>20241</v>
      </c>
      <c r="O849" t="str">
        <f t="shared" si="202"/>
        <v>嘉实物美消费封闭式基础设施证券投资基金|2024Q1|季度</v>
      </c>
      <c r="P849">
        <f>IF($A849="",0,IF(COUNTIF($O$2:$O849,$O849)=1,1,0))</f>
        <v>0</v>
      </c>
      <c r="Q849" t="str">
        <f>IF(AND($P849=1,$A849=经营数据!$B$3,$J849=经营数据!$BA$5),COUNTIFS($P$2:$P$3000,1,$A$2:$A$3000,$A849,$J$2:$J$3000,$J849,$N$2:$N$3000,"&lt;"&amp;$N849)+1,"")</f>
        <v/>
      </c>
      <c r="R849" t="str">
        <f t="shared" si="203"/>
        <v>嘉实物美消费封闭式基础设施证券投资基金|德胜门项目</v>
      </c>
      <c r="S849">
        <f>IF($A849="",0,IF(COUNTIF($R$2:$R849,$R849)=1,1,0))</f>
        <v>0</v>
      </c>
      <c r="T849">
        <f t="shared" si="204"/>
        <v>844</v>
      </c>
      <c r="U849" t="str">
        <f>IF($A849="","",IF($A849=经营数据!$B$3,COUNTIFS($S$2:$S$3000,1,$A$2:$A$3000,$A849,$T$2:$T$3000,"&lt;"&amp;$T849)+1,""))</f>
        <v/>
      </c>
      <c r="V849" t="str">
        <f t="shared" si="205"/>
        <v>德胜门项目|服务量</v>
      </c>
      <c r="W849">
        <f t="shared" si="206"/>
        <v>845</v>
      </c>
      <c r="X849" t="str">
        <f t="shared" si="207"/>
        <v>德胜门项目|期末剩余租期情况</v>
      </c>
      <c r="Y849">
        <f t="shared" si="208"/>
        <v>848</v>
      </c>
      <c r="Z849">
        <f>IF($A849="",0,IF(AND($M849=1,$A849=经营数据!$B$3,$J849=经营数据!$BA$5,OR($I849=经营数据!$BA$4,COUNTIF(经营数据!$AA$9:$AA$38,$I849)&gt;0)),1,0))</f>
        <v>0</v>
      </c>
      <c r="AA849" t="str">
        <f t="shared" si="209"/>
        <v/>
      </c>
      <c r="AB849" t="str">
        <f t="shared" si="210"/>
        <v/>
      </c>
      <c r="AC849">
        <f>IF($A849="",0,IF(COUNTIF($A$2:$A849,$A849)=1,1,0))</f>
        <v>0</v>
      </c>
      <c r="AD849">
        <f t="shared" si="211"/>
        <v>8</v>
      </c>
      <c r="AE849" t="str">
        <f t="shared" si="212"/>
        <v>德胜门项目|期末剩余租期情况（年）</v>
      </c>
    </row>
    <row r="850" spans="1:31" x14ac:dyDescent="0.4">
      <c r="A850" t="str">
        <f>IF(原始经营数据!$D851="","",原始经营数据!$D851)</f>
        <v>嘉实物美消费封闭式基础设施证券投资基金</v>
      </c>
      <c r="B850" t="str">
        <f>IF(原始经营数据!$D851="","",T(原始经营数据!$E851))</f>
        <v>德胜门项目</v>
      </c>
      <c r="C850" t="str">
        <f>IF(原始经营数据!$D851="","",原始经营数据!$F851)</f>
        <v>2024Q1</v>
      </c>
      <c r="D850" t="str">
        <f>IF(原始经营数据!$D851="","",原始经营数据!$H851)</f>
        <v>期内租金单价水平</v>
      </c>
      <c r="E850">
        <f>IF(原始经营数据!$D851="","",原始经营数据!$I851)</f>
        <v>4.79</v>
      </c>
      <c r="F850" t="str">
        <f>IF(原始经营数据!$D851="","",T(原始经营数据!$J851))</f>
        <v>元/平方米/天</v>
      </c>
      <c r="G850" t="str">
        <f>IF(原始经营数据!$D851="","",T(原始经营数据!$K851))</f>
        <v/>
      </c>
      <c r="H850" t="str">
        <f>IF(原始经营数据!$D851="","",原始经营数据!$G851)</f>
        <v>服务价格</v>
      </c>
      <c r="I850" t="str">
        <f>IF($A850="","",IF($B850&lt;&gt;"",$B850,IF(COUNTIFS(原始经营数据!$D$3:$D$3001,$A850,原始经营数据!$E$3:$E$3001,"",原始经营数据!$F$3:$F$3001,$C850,原始经营数据!$H$3:$H$3001,$D850,原始经营数据!$K$3:$K$3001,$G850)&gt;1,"基金整体·来源"&amp;原始经营数据!$A851,"基金整体")))</f>
        <v>德胜门项目</v>
      </c>
      <c r="J850" t="str">
        <f t="shared" si="198"/>
        <v>季度</v>
      </c>
      <c r="K850" t="str">
        <f t="shared" si="199"/>
        <v>期内租金单价水平（元/平方米/天）</v>
      </c>
      <c r="L850" t="str">
        <f t="shared" si="200"/>
        <v>德胜门项目|期内租金单价水平（元/平方米/天）|季度</v>
      </c>
      <c r="M850">
        <f>IF($A850="",0,IF(COUNTIF($L$2:$L850,$L850)=1,1,0))</f>
        <v>1</v>
      </c>
      <c r="N850">
        <f t="shared" si="201"/>
        <v>20241</v>
      </c>
      <c r="O850" t="str">
        <f t="shared" si="202"/>
        <v>嘉实物美消费封闭式基础设施证券投资基金|2024Q1|季度</v>
      </c>
      <c r="P850">
        <f>IF($A850="",0,IF(COUNTIF($O$2:$O850,$O850)=1,1,0))</f>
        <v>0</v>
      </c>
      <c r="Q850" t="str">
        <f>IF(AND($P850=1,$A850=经营数据!$B$3,$J850=经营数据!$BA$5),COUNTIFS($P$2:$P$3000,1,$A$2:$A$3000,$A850,$J$2:$J$3000,$J850,$N$2:$N$3000,"&lt;"&amp;$N850)+1,"")</f>
        <v/>
      </c>
      <c r="R850" t="str">
        <f t="shared" si="203"/>
        <v>嘉实物美消费封闭式基础设施证券投资基金|德胜门项目</v>
      </c>
      <c r="S850">
        <f>IF($A850="",0,IF(COUNTIF($R$2:$R850,$R850)=1,1,0))</f>
        <v>0</v>
      </c>
      <c r="T850">
        <f t="shared" si="204"/>
        <v>844</v>
      </c>
      <c r="U850" t="str">
        <f>IF($A850="","",IF($A850=经营数据!$B$3,COUNTIFS($S$2:$S$3000,1,$A$2:$A$3000,$A850,$T$2:$T$3000,"&lt;"&amp;$T850)+1,""))</f>
        <v/>
      </c>
      <c r="V850" t="str">
        <f t="shared" si="205"/>
        <v>德胜门项目|服务价格</v>
      </c>
      <c r="W850">
        <f t="shared" si="206"/>
        <v>849</v>
      </c>
      <c r="X850" t="str">
        <f t="shared" si="207"/>
        <v>德胜门项目|期内租金单价水平</v>
      </c>
      <c r="Y850">
        <f t="shared" si="208"/>
        <v>849</v>
      </c>
      <c r="Z850">
        <f>IF($A850="",0,IF(AND($M850=1,$A850=经营数据!$B$3,$J850=经营数据!$BA$5,OR($I850=经营数据!$BA$4,COUNTIF(经营数据!$AA$9:$AA$38,$I850)&gt;0)),1,0))</f>
        <v>0</v>
      </c>
      <c r="AA850" t="str">
        <f t="shared" si="209"/>
        <v/>
      </c>
      <c r="AB850" t="str">
        <f t="shared" si="210"/>
        <v/>
      </c>
      <c r="AC850">
        <f>IF($A850="",0,IF(COUNTIF($A$2:$A850,$A850)=1,1,0))</f>
        <v>0</v>
      </c>
      <c r="AD850">
        <f t="shared" si="211"/>
        <v>8</v>
      </c>
      <c r="AE850" t="str">
        <f t="shared" si="212"/>
        <v>德胜门项目|期内租金单价水平（元/平方米/天）</v>
      </c>
    </row>
    <row r="851" spans="1:31" x14ac:dyDescent="0.4">
      <c r="A851" t="str">
        <f>IF(原始经营数据!$D852="","",原始经营数据!$D852)</f>
        <v>嘉实物美消费封闭式基础设施证券投资基金</v>
      </c>
      <c r="B851" t="str">
        <f>IF(原始经营数据!$D852="","",T(原始经营数据!$E852))</f>
        <v>德胜门项目</v>
      </c>
      <c r="C851" t="str">
        <f>IF(原始经营数据!$D852="","",原始经营数据!$F852)</f>
        <v>2024Q2</v>
      </c>
      <c r="D851" t="str">
        <f>IF(原始经营数据!$D852="","",原始经营数据!$H852)</f>
        <v>期末可供出租面积</v>
      </c>
      <c r="E851">
        <f>IF(原始经营数据!$D852="","",原始经营数据!$I852)</f>
        <v>8729.74</v>
      </c>
      <c r="F851" t="str">
        <f>IF(原始经营数据!$D852="","",T(原始经营数据!$J852))</f>
        <v>平方米</v>
      </c>
      <c r="G851" t="str">
        <f>IF(原始经营数据!$D852="","",T(原始经营数据!$K852))</f>
        <v/>
      </c>
      <c r="H851" t="str">
        <f>IF(原始经营数据!$D852="","",原始经营数据!$G852)</f>
        <v>服务量</v>
      </c>
      <c r="I851" t="str">
        <f>IF($A851="","",IF($B851&lt;&gt;"",$B851,IF(COUNTIFS(原始经营数据!$D$3:$D$3001,$A851,原始经营数据!$E$3:$E$3001,"",原始经营数据!$F$3:$F$3001,$C851,原始经营数据!$H$3:$H$3001,$D851,原始经营数据!$K$3:$K$3001,$G851)&gt;1,"基金整体·来源"&amp;原始经营数据!$A852,"基金整体")))</f>
        <v>德胜门项目</v>
      </c>
      <c r="J851" t="str">
        <f t="shared" si="198"/>
        <v>季度</v>
      </c>
      <c r="K851" t="str">
        <f t="shared" si="199"/>
        <v>期末可供出租面积（平方米）</v>
      </c>
      <c r="L851" t="str">
        <f t="shared" si="200"/>
        <v>德胜门项目|期末可供出租面积（平方米）|季度</v>
      </c>
      <c r="M851">
        <f>IF($A851="",0,IF(COUNTIF($L$2:$L851,$L851)=1,1,0))</f>
        <v>0</v>
      </c>
      <c r="N851">
        <f t="shared" si="201"/>
        <v>20242</v>
      </c>
      <c r="O851" t="str">
        <f t="shared" si="202"/>
        <v>嘉实物美消费封闭式基础设施证券投资基金|2024Q2|季度</v>
      </c>
      <c r="P851">
        <f>IF($A851="",0,IF(COUNTIF($O$2:$O851,$O851)=1,1,0))</f>
        <v>0</v>
      </c>
      <c r="Q851" t="str">
        <f>IF(AND($P851=1,$A851=经营数据!$B$3,$J851=经营数据!$BA$5),COUNTIFS($P$2:$P$3000,1,$A$2:$A$3000,$A851,$J$2:$J$3000,$J851,$N$2:$N$3000,"&lt;"&amp;$N851)+1,"")</f>
        <v/>
      </c>
      <c r="R851" t="str">
        <f t="shared" si="203"/>
        <v>嘉实物美消费封闭式基础设施证券投资基金|德胜门项目</v>
      </c>
      <c r="S851">
        <f>IF($A851="",0,IF(COUNTIF($R$2:$R851,$R851)=1,1,0))</f>
        <v>0</v>
      </c>
      <c r="T851">
        <f t="shared" si="204"/>
        <v>844</v>
      </c>
      <c r="U851" t="str">
        <f>IF($A851="","",IF($A851=经营数据!$B$3,COUNTIFS($S$2:$S$3000,1,$A$2:$A$3000,$A851,$T$2:$T$3000,"&lt;"&amp;$T851)+1,""))</f>
        <v/>
      </c>
      <c r="V851" t="str">
        <f t="shared" si="205"/>
        <v>德胜门项目|服务量</v>
      </c>
      <c r="W851">
        <f t="shared" si="206"/>
        <v>845</v>
      </c>
      <c r="X851" t="str">
        <f t="shared" si="207"/>
        <v>德胜门项目|期末可供出租面积</v>
      </c>
      <c r="Y851">
        <f t="shared" si="208"/>
        <v>845</v>
      </c>
      <c r="Z851">
        <f>IF($A851="",0,IF(AND($M851=1,$A851=经营数据!$B$3,$J851=经营数据!$BA$5,OR($I851=经营数据!$BA$4,COUNTIF(经营数据!$AA$9:$AA$38,$I851)&gt;0)),1,0))</f>
        <v>0</v>
      </c>
      <c r="AA851" t="str">
        <f t="shared" si="209"/>
        <v/>
      </c>
      <c r="AB851" t="str">
        <f t="shared" si="210"/>
        <v/>
      </c>
      <c r="AC851">
        <f>IF($A851="",0,IF(COUNTIF($A$2:$A851,$A851)=1,1,0))</f>
        <v>0</v>
      </c>
      <c r="AD851">
        <f t="shared" si="211"/>
        <v>8</v>
      </c>
      <c r="AE851" t="str">
        <f t="shared" si="212"/>
        <v>德胜门项目|期末可供出租面积（平方米）</v>
      </c>
    </row>
    <row r="852" spans="1:31" x14ac:dyDescent="0.4">
      <c r="A852" t="str">
        <f>IF(原始经营数据!$D853="","",原始经营数据!$D853)</f>
        <v>嘉实物美消费封闭式基础设施证券投资基金</v>
      </c>
      <c r="B852" t="str">
        <f>IF(原始经营数据!$D853="","",T(原始经营数据!$E853))</f>
        <v>德胜门项目</v>
      </c>
      <c r="C852" t="str">
        <f>IF(原始经营数据!$D853="","",原始经营数据!$F853)</f>
        <v>2024Q2</v>
      </c>
      <c r="D852" t="str">
        <f>IF(原始经营数据!$D853="","",原始经营数据!$H853)</f>
        <v>期末实际出租面积</v>
      </c>
      <c r="E852">
        <f>IF(原始经营数据!$D853="","",原始经营数据!$I853)</f>
        <v>8729.74</v>
      </c>
      <c r="F852" t="str">
        <f>IF(原始经营数据!$D853="","",T(原始经营数据!$J853))</f>
        <v>平方米</v>
      </c>
      <c r="G852" t="str">
        <f>IF(原始经营数据!$D853="","",T(原始经营数据!$K853))</f>
        <v/>
      </c>
      <c r="H852" t="str">
        <f>IF(原始经营数据!$D853="","",原始经营数据!$G853)</f>
        <v>服务量</v>
      </c>
      <c r="I852" t="str">
        <f>IF($A852="","",IF($B852&lt;&gt;"",$B852,IF(COUNTIFS(原始经营数据!$D$3:$D$3001,$A852,原始经营数据!$E$3:$E$3001,"",原始经营数据!$F$3:$F$3001,$C852,原始经营数据!$H$3:$H$3001,$D852,原始经营数据!$K$3:$K$3001,$G852)&gt;1,"基金整体·来源"&amp;原始经营数据!$A853,"基金整体")))</f>
        <v>德胜门项目</v>
      </c>
      <c r="J852" t="str">
        <f t="shared" si="198"/>
        <v>季度</v>
      </c>
      <c r="K852" t="str">
        <f t="shared" si="199"/>
        <v>期末实际出租面积（平方米）</v>
      </c>
      <c r="L852" t="str">
        <f t="shared" si="200"/>
        <v>德胜门项目|期末实际出租面积（平方米）|季度</v>
      </c>
      <c r="M852">
        <f>IF($A852="",0,IF(COUNTIF($L$2:$L852,$L852)=1,1,0))</f>
        <v>0</v>
      </c>
      <c r="N852">
        <f t="shared" si="201"/>
        <v>20242</v>
      </c>
      <c r="O852" t="str">
        <f t="shared" si="202"/>
        <v>嘉实物美消费封闭式基础设施证券投资基金|2024Q2|季度</v>
      </c>
      <c r="P852">
        <f>IF($A852="",0,IF(COUNTIF($O$2:$O852,$O852)=1,1,0))</f>
        <v>0</v>
      </c>
      <c r="Q852" t="str">
        <f>IF(AND($P852=1,$A852=经营数据!$B$3,$J852=经营数据!$BA$5),COUNTIFS($P$2:$P$3000,1,$A$2:$A$3000,$A852,$J$2:$J$3000,$J852,$N$2:$N$3000,"&lt;"&amp;$N852)+1,"")</f>
        <v/>
      </c>
      <c r="R852" t="str">
        <f t="shared" si="203"/>
        <v>嘉实物美消费封闭式基础设施证券投资基金|德胜门项目</v>
      </c>
      <c r="S852">
        <f>IF($A852="",0,IF(COUNTIF($R$2:$R852,$R852)=1,1,0))</f>
        <v>0</v>
      </c>
      <c r="T852">
        <f t="shared" si="204"/>
        <v>844</v>
      </c>
      <c r="U852" t="str">
        <f>IF($A852="","",IF($A852=经营数据!$B$3,COUNTIFS($S$2:$S$3000,1,$A$2:$A$3000,$A852,$T$2:$T$3000,"&lt;"&amp;$T852)+1,""))</f>
        <v/>
      </c>
      <c r="V852" t="str">
        <f t="shared" si="205"/>
        <v>德胜门项目|服务量</v>
      </c>
      <c r="W852">
        <f t="shared" si="206"/>
        <v>845</v>
      </c>
      <c r="X852" t="str">
        <f t="shared" si="207"/>
        <v>德胜门项目|期末实际出租面积</v>
      </c>
      <c r="Y852">
        <f t="shared" si="208"/>
        <v>846</v>
      </c>
      <c r="Z852">
        <f>IF($A852="",0,IF(AND($M852=1,$A852=经营数据!$B$3,$J852=经营数据!$BA$5,OR($I852=经营数据!$BA$4,COUNTIF(经营数据!$AA$9:$AA$38,$I852)&gt;0)),1,0))</f>
        <v>0</v>
      </c>
      <c r="AA852" t="str">
        <f t="shared" si="209"/>
        <v/>
      </c>
      <c r="AB852" t="str">
        <f t="shared" si="210"/>
        <v/>
      </c>
      <c r="AC852">
        <f>IF($A852="",0,IF(COUNTIF($A$2:$A852,$A852)=1,1,0))</f>
        <v>0</v>
      </c>
      <c r="AD852">
        <f t="shared" si="211"/>
        <v>8</v>
      </c>
      <c r="AE852" t="str">
        <f t="shared" si="212"/>
        <v>德胜门项目|期末实际出租面积（平方米）</v>
      </c>
    </row>
    <row r="853" spans="1:31" x14ac:dyDescent="0.4">
      <c r="A853" t="str">
        <f>IF(原始经营数据!$D854="","",原始经营数据!$D854)</f>
        <v>嘉实物美消费封闭式基础设施证券投资基金</v>
      </c>
      <c r="B853" t="str">
        <f>IF(原始经营数据!$D854="","",T(原始经营数据!$E854))</f>
        <v>德胜门项目</v>
      </c>
      <c r="C853" t="str">
        <f>IF(原始经营数据!$D854="","",原始经营数据!$F854)</f>
        <v>2024Q2</v>
      </c>
      <c r="D853" t="str">
        <f>IF(原始经营数据!$D854="","",原始经营数据!$H854)</f>
        <v>期内租金单价水平</v>
      </c>
      <c r="E853">
        <f>IF(原始经营数据!$D854="","",原始经营数据!$I854)</f>
        <v>4.79</v>
      </c>
      <c r="F853" t="str">
        <f>IF(原始经营数据!$D854="","",T(原始经营数据!$J854))</f>
        <v>元/平方米/天</v>
      </c>
      <c r="G853" t="str">
        <f>IF(原始经营数据!$D854="","",T(原始经营数据!$K854))</f>
        <v/>
      </c>
      <c r="H853" t="str">
        <f>IF(原始经营数据!$D854="","",原始经营数据!$G854)</f>
        <v>服务价格</v>
      </c>
      <c r="I853" t="str">
        <f>IF($A853="","",IF($B853&lt;&gt;"",$B853,IF(COUNTIFS(原始经营数据!$D$3:$D$3001,$A853,原始经营数据!$E$3:$E$3001,"",原始经营数据!$F$3:$F$3001,$C853,原始经营数据!$H$3:$H$3001,$D853,原始经营数据!$K$3:$K$3001,$G853)&gt;1,"基金整体·来源"&amp;原始经营数据!$A854,"基金整体")))</f>
        <v>德胜门项目</v>
      </c>
      <c r="J853" t="str">
        <f t="shared" si="198"/>
        <v>季度</v>
      </c>
      <c r="K853" t="str">
        <f t="shared" si="199"/>
        <v>期内租金单价水平（元/平方米/天）</v>
      </c>
      <c r="L853" t="str">
        <f t="shared" si="200"/>
        <v>德胜门项目|期内租金单价水平（元/平方米/天）|季度</v>
      </c>
      <c r="M853">
        <f>IF($A853="",0,IF(COUNTIF($L$2:$L853,$L853)=1,1,0))</f>
        <v>0</v>
      </c>
      <c r="N853">
        <f t="shared" si="201"/>
        <v>20242</v>
      </c>
      <c r="O853" t="str">
        <f t="shared" si="202"/>
        <v>嘉实物美消费封闭式基础设施证券投资基金|2024Q2|季度</v>
      </c>
      <c r="P853">
        <f>IF($A853="",0,IF(COUNTIF($O$2:$O853,$O853)=1,1,0))</f>
        <v>0</v>
      </c>
      <c r="Q853" t="str">
        <f>IF(AND($P853=1,$A853=经营数据!$B$3,$J853=经营数据!$BA$5),COUNTIFS($P$2:$P$3000,1,$A$2:$A$3000,$A853,$J$2:$J$3000,$J853,$N$2:$N$3000,"&lt;"&amp;$N853)+1,"")</f>
        <v/>
      </c>
      <c r="R853" t="str">
        <f t="shared" si="203"/>
        <v>嘉实物美消费封闭式基础设施证券投资基金|德胜门项目</v>
      </c>
      <c r="S853">
        <f>IF($A853="",0,IF(COUNTIF($R$2:$R853,$R853)=1,1,0))</f>
        <v>0</v>
      </c>
      <c r="T853">
        <f t="shared" si="204"/>
        <v>844</v>
      </c>
      <c r="U853" t="str">
        <f>IF($A853="","",IF($A853=经营数据!$B$3,COUNTIFS($S$2:$S$3000,1,$A$2:$A$3000,$A853,$T$2:$T$3000,"&lt;"&amp;$T853)+1,""))</f>
        <v/>
      </c>
      <c r="V853" t="str">
        <f t="shared" si="205"/>
        <v>德胜门项目|服务价格</v>
      </c>
      <c r="W853">
        <f t="shared" si="206"/>
        <v>849</v>
      </c>
      <c r="X853" t="str">
        <f t="shared" si="207"/>
        <v>德胜门项目|期内租金单价水平</v>
      </c>
      <c r="Y853">
        <f t="shared" si="208"/>
        <v>849</v>
      </c>
      <c r="Z853">
        <f>IF($A853="",0,IF(AND($M853=1,$A853=经营数据!$B$3,$J853=经营数据!$BA$5,OR($I853=经营数据!$BA$4,COUNTIF(经营数据!$AA$9:$AA$38,$I853)&gt;0)),1,0))</f>
        <v>0</v>
      </c>
      <c r="AA853" t="str">
        <f t="shared" si="209"/>
        <v/>
      </c>
      <c r="AB853" t="str">
        <f t="shared" si="210"/>
        <v/>
      </c>
      <c r="AC853">
        <f>IF($A853="",0,IF(COUNTIF($A$2:$A853,$A853)=1,1,0))</f>
        <v>0</v>
      </c>
      <c r="AD853">
        <f t="shared" si="211"/>
        <v>8</v>
      </c>
      <c r="AE853" t="str">
        <f t="shared" si="212"/>
        <v>德胜门项目|期内租金单价水平（元/平方米/天）</v>
      </c>
    </row>
    <row r="854" spans="1:31" x14ac:dyDescent="0.4">
      <c r="A854" t="str">
        <f>IF(原始经营数据!$D855="","",原始经营数据!$D855)</f>
        <v>嘉实物美消费封闭式基础设施证券投资基金</v>
      </c>
      <c r="B854" t="str">
        <f>IF(原始经营数据!$D855="","",T(原始经营数据!$E855))</f>
        <v>德胜门项目</v>
      </c>
      <c r="C854" t="str">
        <f>IF(原始经营数据!$D855="","",原始经营数据!$F855)</f>
        <v>2024Q2</v>
      </c>
      <c r="D854" t="str">
        <f>IF(原始经营数据!$D855="","",原始经营数据!$H855)</f>
        <v>期末剩余租期情况</v>
      </c>
      <c r="E854">
        <f>IF(原始经营数据!$D855="","",原始经营数据!$I855)</f>
        <v>7.19</v>
      </c>
      <c r="F854" t="str">
        <f>IF(原始经营数据!$D855="","",T(原始经营数据!$J855))</f>
        <v>年</v>
      </c>
      <c r="G854" t="str">
        <f>IF(原始经营数据!$D855="","",T(原始经营数据!$K855))</f>
        <v/>
      </c>
      <c r="H854" t="str">
        <f>IF(原始经营数据!$D855="","",原始经营数据!$G855)</f>
        <v>服务量</v>
      </c>
      <c r="I854" t="str">
        <f>IF($A854="","",IF($B854&lt;&gt;"",$B854,IF(COUNTIFS(原始经营数据!$D$3:$D$3001,$A854,原始经营数据!$E$3:$E$3001,"",原始经营数据!$F$3:$F$3001,$C854,原始经营数据!$H$3:$H$3001,$D854,原始经营数据!$K$3:$K$3001,$G854)&gt;1,"基金整体·来源"&amp;原始经营数据!$A855,"基金整体")))</f>
        <v>德胜门项目</v>
      </c>
      <c r="J854" t="str">
        <f t="shared" si="198"/>
        <v>季度</v>
      </c>
      <c r="K854" t="str">
        <f t="shared" si="199"/>
        <v>期末剩余租期情况（年）</v>
      </c>
      <c r="L854" t="str">
        <f t="shared" si="200"/>
        <v>德胜门项目|期末剩余租期情况（年）|季度</v>
      </c>
      <c r="M854">
        <f>IF($A854="",0,IF(COUNTIF($L$2:$L854,$L854)=1,1,0))</f>
        <v>0</v>
      </c>
      <c r="N854">
        <f t="shared" si="201"/>
        <v>20242</v>
      </c>
      <c r="O854" t="str">
        <f t="shared" si="202"/>
        <v>嘉实物美消费封闭式基础设施证券投资基金|2024Q2|季度</v>
      </c>
      <c r="P854">
        <f>IF($A854="",0,IF(COUNTIF($O$2:$O854,$O854)=1,1,0))</f>
        <v>0</v>
      </c>
      <c r="Q854" t="str">
        <f>IF(AND($P854=1,$A854=经营数据!$B$3,$J854=经营数据!$BA$5),COUNTIFS($P$2:$P$3000,1,$A$2:$A$3000,$A854,$J$2:$J$3000,$J854,$N$2:$N$3000,"&lt;"&amp;$N854)+1,"")</f>
        <v/>
      </c>
      <c r="R854" t="str">
        <f t="shared" si="203"/>
        <v>嘉实物美消费封闭式基础设施证券投资基金|德胜门项目</v>
      </c>
      <c r="S854">
        <f>IF($A854="",0,IF(COUNTIF($R$2:$R854,$R854)=1,1,0))</f>
        <v>0</v>
      </c>
      <c r="T854">
        <f t="shared" si="204"/>
        <v>844</v>
      </c>
      <c r="U854" t="str">
        <f>IF($A854="","",IF($A854=经营数据!$B$3,COUNTIFS($S$2:$S$3000,1,$A$2:$A$3000,$A854,$T$2:$T$3000,"&lt;"&amp;$T854)+1,""))</f>
        <v/>
      </c>
      <c r="V854" t="str">
        <f t="shared" si="205"/>
        <v>德胜门项目|服务量</v>
      </c>
      <c r="W854">
        <f t="shared" si="206"/>
        <v>845</v>
      </c>
      <c r="X854" t="str">
        <f t="shared" si="207"/>
        <v>德胜门项目|期末剩余租期情况</v>
      </c>
      <c r="Y854">
        <f t="shared" si="208"/>
        <v>848</v>
      </c>
      <c r="Z854">
        <f>IF($A854="",0,IF(AND($M854=1,$A854=经营数据!$B$3,$J854=经营数据!$BA$5,OR($I854=经营数据!$BA$4,COUNTIF(经营数据!$AA$9:$AA$38,$I854)&gt;0)),1,0))</f>
        <v>0</v>
      </c>
      <c r="AA854" t="str">
        <f t="shared" si="209"/>
        <v/>
      </c>
      <c r="AB854" t="str">
        <f t="shared" si="210"/>
        <v/>
      </c>
      <c r="AC854">
        <f>IF($A854="",0,IF(COUNTIF($A$2:$A854,$A854)=1,1,0))</f>
        <v>0</v>
      </c>
      <c r="AD854">
        <f t="shared" si="211"/>
        <v>8</v>
      </c>
      <c r="AE854" t="str">
        <f t="shared" si="212"/>
        <v>德胜门项目|期末剩余租期情况（年）</v>
      </c>
    </row>
    <row r="855" spans="1:31" x14ac:dyDescent="0.4">
      <c r="A855" t="str">
        <f>IF(原始经营数据!$D856="","",原始经营数据!$D856)</f>
        <v>嘉实物美消费封闭式基础设施证券投资基金</v>
      </c>
      <c r="B855" t="str">
        <f>IF(原始经营数据!$D856="","",T(原始经营数据!$E856))</f>
        <v>德胜门项目</v>
      </c>
      <c r="C855" t="str">
        <f>IF(原始经营数据!$D856="","",原始经营数据!$F856)</f>
        <v>2024Q2</v>
      </c>
      <c r="D855" t="str">
        <f>IF(原始经营数据!$D856="","",原始经营数据!$H856)</f>
        <v>期末租金收缴率</v>
      </c>
      <c r="E855">
        <f>IF(原始经营数据!$D856="","",原始经营数据!$I856)</f>
        <v>99.98</v>
      </c>
      <c r="F855" t="str">
        <f>IF(原始经营数据!$D856="","",T(原始经营数据!$J856))</f>
        <v>%</v>
      </c>
      <c r="G855" t="str">
        <f>IF(原始经营数据!$D856="","",T(原始经营数据!$K856))</f>
        <v/>
      </c>
      <c r="H855" t="str">
        <f>IF(原始经营数据!$D856="","",原始经营数据!$G856)</f>
        <v>服务效率</v>
      </c>
      <c r="I855" t="str">
        <f>IF($A855="","",IF($B855&lt;&gt;"",$B855,IF(COUNTIFS(原始经营数据!$D$3:$D$3001,$A855,原始经营数据!$E$3:$E$3001,"",原始经营数据!$F$3:$F$3001,$C855,原始经营数据!$H$3:$H$3001,$D855,原始经营数据!$K$3:$K$3001,$G855)&gt;1,"基金整体·来源"&amp;原始经营数据!$A856,"基金整体")))</f>
        <v>德胜门项目</v>
      </c>
      <c r="J855" t="str">
        <f t="shared" si="198"/>
        <v>季度</v>
      </c>
      <c r="K855" t="str">
        <f t="shared" si="199"/>
        <v>期末租金收缴率（%）</v>
      </c>
      <c r="L855" t="str">
        <f t="shared" si="200"/>
        <v>德胜门项目|期末租金收缴率（%）|季度</v>
      </c>
      <c r="M855">
        <f>IF($A855="",0,IF(COUNTIF($L$2:$L855,$L855)=1,1,0))</f>
        <v>0</v>
      </c>
      <c r="N855">
        <f t="shared" si="201"/>
        <v>20242</v>
      </c>
      <c r="O855" t="str">
        <f t="shared" si="202"/>
        <v>嘉实物美消费封闭式基础设施证券投资基金|2024Q2|季度</v>
      </c>
      <c r="P855">
        <f>IF($A855="",0,IF(COUNTIF($O$2:$O855,$O855)=1,1,0))</f>
        <v>0</v>
      </c>
      <c r="Q855" t="str">
        <f>IF(AND($P855=1,$A855=经营数据!$B$3,$J855=经营数据!$BA$5),COUNTIFS($P$2:$P$3000,1,$A$2:$A$3000,$A855,$J$2:$J$3000,$J855,$N$2:$N$3000,"&lt;"&amp;$N855)+1,"")</f>
        <v/>
      </c>
      <c r="R855" t="str">
        <f t="shared" si="203"/>
        <v>嘉实物美消费封闭式基础设施证券投资基金|德胜门项目</v>
      </c>
      <c r="S855">
        <f>IF($A855="",0,IF(COUNTIF($R$2:$R855,$R855)=1,1,0))</f>
        <v>0</v>
      </c>
      <c r="T855">
        <f t="shared" si="204"/>
        <v>844</v>
      </c>
      <c r="U855" t="str">
        <f>IF($A855="","",IF($A855=经营数据!$B$3,COUNTIFS($S$2:$S$3000,1,$A$2:$A$3000,$A855,$T$2:$T$3000,"&lt;"&amp;$T855)+1,""))</f>
        <v/>
      </c>
      <c r="V855" t="str">
        <f t="shared" si="205"/>
        <v>德胜门项目|服务效率</v>
      </c>
      <c r="W855">
        <f t="shared" si="206"/>
        <v>844</v>
      </c>
      <c r="X855" t="str">
        <f t="shared" si="207"/>
        <v>德胜门项目|期末租金收缴率</v>
      </c>
      <c r="Y855">
        <f t="shared" si="208"/>
        <v>844</v>
      </c>
      <c r="Z855">
        <f>IF($A855="",0,IF(AND($M855=1,$A855=经营数据!$B$3,$J855=经营数据!$BA$5,OR($I855=经营数据!$BA$4,COUNTIF(经营数据!$AA$9:$AA$38,$I855)&gt;0)),1,0))</f>
        <v>0</v>
      </c>
      <c r="AA855" t="str">
        <f t="shared" si="209"/>
        <v/>
      </c>
      <c r="AB855" t="str">
        <f t="shared" si="210"/>
        <v/>
      </c>
      <c r="AC855">
        <f>IF($A855="",0,IF(COUNTIF($A$2:$A855,$A855)=1,1,0))</f>
        <v>0</v>
      </c>
      <c r="AD855">
        <f t="shared" si="211"/>
        <v>8</v>
      </c>
      <c r="AE855" t="str">
        <f t="shared" si="212"/>
        <v>德胜门项目|期末租金收缴率（%）</v>
      </c>
    </row>
    <row r="856" spans="1:31" x14ac:dyDescent="0.4">
      <c r="A856" t="str">
        <f>IF(原始经营数据!$D857="","",原始经营数据!$D857)</f>
        <v>嘉实物美消费封闭式基础设施证券投资基金</v>
      </c>
      <c r="B856" t="str">
        <f>IF(原始经营数据!$D857="","",T(原始经营数据!$E857))</f>
        <v>德胜门项目</v>
      </c>
      <c r="C856" t="str">
        <f>IF(原始经营数据!$D857="","",原始经营数据!$F857)</f>
        <v>2024Q2</v>
      </c>
      <c r="D856" t="str">
        <f>IF(原始经营数据!$D857="","",原始经营数据!$H857)</f>
        <v>期末出租率</v>
      </c>
      <c r="E856">
        <f>IF(原始经营数据!$D857="","",原始经营数据!$I857)</f>
        <v>100</v>
      </c>
      <c r="F856" t="str">
        <f>IF(原始经营数据!$D857="","",T(原始经营数据!$J857))</f>
        <v>%</v>
      </c>
      <c r="G856" t="str">
        <f>IF(原始经营数据!$D857="","",T(原始经营数据!$K857))</f>
        <v/>
      </c>
      <c r="H856" t="str">
        <f>IF(原始经营数据!$D857="","",原始经营数据!$G857)</f>
        <v>服务效率</v>
      </c>
      <c r="I856" t="str">
        <f>IF($A856="","",IF($B856&lt;&gt;"",$B856,IF(COUNTIFS(原始经营数据!$D$3:$D$3001,$A856,原始经营数据!$E$3:$E$3001,"",原始经营数据!$F$3:$F$3001,$C856,原始经营数据!$H$3:$H$3001,$D856,原始经营数据!$K$3:$K$3001,$G856)&gt;1,"基金整体·来源"&amp;原始经营数据!$A857,"基金整体")))</f>
        <v>德胜门项目</v>
      </c>
      <c r="J856" t="str">
        <f t="shared" si="198"/>
        <v>季度</v>
      </c>
      <c r="K856" t="str">
        <f t="shared" si="199"/>
        <v>期末出租率（%）</v>
      </c>
      <c r="L856" t="str">
        <f t="shared" si="200"/>
        <v>德胜门项目|期末出租率（%）|季度</v>
      </c>
      <c r="M856">
        <f>IF($A856="",0,IF(COUNTIF($L$2:$L856,$L856)=1,1,0))</f>
        <v>0</v>
      </c>
      <c r="N856">
        <f t="shared" si="201"/>
        <v>20242</v>
      </c>
      <c r="O856" t="str">
        <f t="shared" si="202"/>
        <v>嘉实物美消费封闭式基础设施证券投资基金|2024Q2|季度</v>
      </c>
      <c r="P856">
        <f>IF($A856="",0,IF(COUNTIF($O$2:$O856,$O856)=1,1,0))</f>
        <v>0</v>
      </c>
      <c r="Q856" t="str">
        <f>IF(AND($P856=1,$A856=经营数据!$B$3,$J856=经营数据!$BA$5),COUNTIFS($P$2:$P$3000,1,$A$2:$A$3000,$A856,$J$2:$J$3000,$J856,$N$2:$N$3000,"&lt;"&amp;$N856)+1,"")</f>
        <v/>
      </c>
      <c r="R856" t="str">
        <f t="shared" si="203"/>
        <v>嘉实物美消费封闭式基础设施证券投资基金|德胜门项目</v>
      </c>
      <c r="S856">
        <f>IF($A856="",0,IF(COUNTIF($R$2:$R856,$R856)=1,1,0))</f>
        <v>0</v>
      </c>
      <c r="T856">
        <f t="shared" si="204"/>
        <v>844</v>
      </c>
      <c r="U856" t="str">
        <f>IF($A856="","",IF($A856=经营数据!$B$3,COUNTIFS($S$2:$S$3000,1,$A$2:$A$3000,$A856,$T$2:$T$3000,"&lt;"&amp;$T856)+1,""))</f>
        <v/>
      </c>
      <c r="V856" t="str">
        <f t="shared" si="205"/>
        <v>德胜门项目|服务效率</v>
      </c>
      <c r="W856">
        <f t="shared" si="206"/>
        <v>844</v>
      </c>
      <c r="X856" t="str">
        <f t="shared" si="207"/>
        <v>德胜门项目|期末出租率</v>
      </c>
      <c r="Y856">
        <f t="shared" si="208"/>
        <v>847</v>
      </c>
      <c r="Z856">
        <f>IF($A856="",0,IF(AND($M856=1,$A856=经营数据!$B$3,$J856=经营数据!$BA$5,OR($I856=经营数据!$BA$4,COUNTIF(经营数据!$AA$9:$AA$38,$I856)&gt;0)),1,0))</f>
        <v>0</v>
      </c>
      <c r="AA856" t="str">
        <f t="shared" si="209"/>
        <v/>
      </c>
      <c r="AB856" t="str">
        <f t="shared" si="210"/>
        <v/>
      </c>
      <c r="AC856">
        <f>IF($A856="",0,IF(COUNTIF($A$2:$A856,$A856)=1,1,0))</f>
        <v>0</v>
      </c>
      <c r="AD856">
        <f t="shared" si="211"/>
        <v>8</v>
      </c>
      <c r="AE856" t="str">
        <f t="shared" si="212"/>
        <v>德胜门项目|期末出租率（%）</v>
      </c>
    </row>
    <row r="857" spans="1:31" x14ac:dyDescent="0.4">
      <c r="A857" t="str">
        <f>IF(原始经营数据!$D858="","",原始经营数据!$D858)</f>
        <v>嘉实物美消费封闭式基础设施证券投资基金</v>
      </c>
      <c r="B857" t="str">
        <f>IF(原始经营数据!$D858="","",T(原始经营数据!$E858))</f>
        <v>德胜门项目</v>
      </c>
      <c r="C857" t="str">
        <f>IF(原始经营数据!$D858="","",原始经营数据!$F858)</f>
        <v>2024Q3</v>
      </c>
      <c r="D857" t="str">
        <f>IF(原始经营数据!$D858="","",原始经营数据!$H858)</f>
        <v>期末剩余租期情况</v>
      </c>
      <c r="E857">
        <f>IF(原始经营数据!$D858="","",原始经营数据!$I858)</f>
        <v>7.04</v>
      </c>
      <c r="F857" t="str">
        <f>IF(原始经营数据!$D858="","",T(原始经营数据!$J858))</f>
        <v>年</v>
      </c>
      <c r="G857" t="str">
        <f>IF(原始经营数据!$D858="","",T(原始经营数据!$K858))</f>
        <v/>
      </c>
      <c r="H857" t="str">
        <f>IF(原始经营数据!$D858="","",原始经营数据!$G858)</f>
        <v>服务量</v>
      </c>
      <c r="I857" t="str">
        <f>IF($A857="","",IF($B857&lt;&gt;"",$B857,IF(COUNTIFS(原始经营数据!$D$3:$D$3001,$A857,原始经营数据!$E$3:$E$3001,"",原始经营数据!$F$3:$F$3001,$C857,原始经营数据!$H$3:$H$3001,$D857,原始经营数据!$K$3:$K$3001,$G857)&gt;1,"基金整体·来源"&amp;原始经营数据!$A858,"基金整体")))</f>
        <v>德胜门项目</v>
      </c>
      <c r="J857" t="str">
        <f t="shared" si="198"/>
        <v>季度</v>
      </c>
      <c r="K857" t="str">
        <f t="shared" si="199"/>
        <v>期末剩余租期情况（年）</v>
      </c>
      <c r="L857" t="str">
        <f t="shared" si="200"/>
        <v>德胜门项目|期末剩余租期情况（年）|季度</v>
      </c>
      <c r="M857">
        <f>IF($A857="",0,IF(COUNTIF($L$2:$L857,$L857)=1,1,0))</f>
        <v>0</v>
      </c>
      <c r="N857">
        <f t="shared" si="201"/>
        <v>20243</v>
      </c>
      <c r="O857" t="str">
        <f t="shared" si="202"/>
        <v>嘉实物美消费封闭式基础设施证券投资基金|2024Q3|季度</v>
      </c>
      <c r="P857">
        <f>IF($A857="",0,IF(COUNTIF($O$2:$O857,$O857)=1,1,0))</f>
        <v>0</v>
      </c>
      <c r="Q857" t="str">
        <f>IF(AND($P857=1,$A857=经营数据!$B$3,$J857=经营数据!$BA$5),COUNTIFS($P$2:$P$3000,1,$A$2:$A$3000,$A857,$J$2:$J$3000,$J857,$N$2:$N$3000,"&lt;"&amp;$N857)+1,"")</f>
        <v/>
      </c>
      <c r="R857" t="str">
        <f t="shared" si="203"/>
        <v>嘉实物美消费封闭式基础设施证券投资基金|德胜门项目</v>
      </c>
      <c r="S857">
        <f>IF($A857="",0,IF(COUNTIF($R$2:$R857,$R857)=1,1,0))</f>
        <v>0</v>
      </c>
      <c r="T857">
        <f t="shared" si="204"/>
        <v>844</v>
      </c>
      <c r="U857" t="str">
        <f>IF($A857="","",IF($A857=经营数据!$B$3,COUNTIFS($S$2:$S$3000,1,$A$2:$A$3000,$A857,$T$2:$T$3000,"&lt;"&amp;$T857)+1,""))</f>
        <v/>
      </c>
      <c r="V857" t="str">
        <f t="shared" si="205"/>
        <v>德胜门项目|服务量</v>
      </c>
      <c r="W857">
        <f t="shared" si="206"/>
        <v>845</v>
      </c>
      <c r="X857" t="str">
        <f t="shared" si="207"/>
        <v>德胜门项目|期末剩余租期情况</v>
      </c>
      <c r="Y857">
        <f t="shared" si="208"/>
        <v>848</v>
      </c>
      <c r="Z857">
        <f>IF($A857="",0,IF(AND($M857=1,$A857=经营数据!$B$3,$J857=经营数据!$BA$5,OR($I857=经营数据!$BA$4,COUNTIF(经营数据!$AA$9:$AA$38,$I857)&gt;0)),1,0))</f>
        <v>0</v>
      </c>
      <c r="AA857" t="str">
        <f t="shared" si="209"/>
        <v/>
      </c>
      <c r="AB857" t="str">
        <f t="shared" si="210"/>
        <v/>
      </c>
      <c r="AC857">
        <f>IF($A857="",0,IF(COUNTIF($A$2:$A857,$A857)=1,1,0))</f>
        <v>0</v>
      </c>
      <c r="AD857">
        <f t="shared" si="211"/>
        <v>8</v>
      </c>
      <c r="AE857" t="str">
        <f t="shared" si="212"/>
        <v>德胜门项目|期末剩余租期情况（年）</v>
      </c>
    </row>
    <row r="858" spans="1:31" x14ac:dyDescent="0.4">
      <c r="A858" t="str">
        <f>IF(原始经营数据!$D859="","",原始经营数据!$D859)</f>
        <v>嘉实物美消费封闭式基础设施证券投资基金</v>
      </c>
      <c r="B858" t="str">
        <f>IF(原始经营数据!$D859="","",T(原始经营数据!$E859))</f>
        <v>德胜门项目</v>
      </c>
      <c r="C858" t="str">
        <f>IF(原始经营数据!$D859="","",原始经营数据!$F859)</f>
        <v>2024Q3</v>
      </c>
      <c r="D858" t="str">
        <f>IF(原始经营数据!$D859="","",原始经营数据!$H859)</f>
        <v>期内租金单价水平</v>
      </c>
      <c r="E858">
        <f>IF(原始经营数据!$D859="","",原始经营数据!$I859)</f>
        <v>4.74</v>
      </c>
      <c r="F858" t="str">
        <f>IF(原始经营数据!$D859="","",T(原始经营数据!$J859))</f>
        <v>元/平方米/天</v>
      </c>
      <c r="G858" t="str">
        <f>IF(原始经营数据!$D859="","",T(原始经营数据!$K859))</f>
        <v/>
      </c>
      <c r="H858" t="str">
        <f>IF(原始经营数据!$D859="","",原始经营数据!$G859)</f>
        <v>服务价格</v>
      </c>
      <c r="I858" t="str">
        <f>IF($A858="","",IF($B858&lt;&gt;"",$B858,IF(COUNTIFS(原始经营数据!$D$3:$D$3001,$A858,原始经营数据!$E$3:$E$3001,"",原始经营数据!$F$3:$F$3001,$C858,原始经营数据!$H$3:$H$3001,$D858,原始经营数据!$K$3:$K$3001,$G858)&gt;1,"基金整体·来源"&amp;原始经营数据!$A859,"基金整体")))</f>
        <v>德胜门项目</v>
      </c>
      <c r="J858" t="str">
        <f t="shared" si="198"/>
        <v>季度</v>
      </c>
      <c r="K858" t="str">
        <f t="shared" si="199"/>
        <v>期内租金单价水平（元/平方米/天）</v>
      </c>
      <c r="L858" t="str">
        <f t="shared" si="200"/>
        <v>德胜门项目|期内租金单价水平（元/平方米/天）|季度</v>
      </c>
      <c r="M858">
        <f>IF($A858="",0,IF(COUNTIF($L$2:$L858,$L858)=1,1,0))</f>
        <v>0</v>
      </c>
      <c r="N858">
        <f t="shared" si="201"/>
        <v>20243</v>
      </c>
      <c r="O858" t="str">
        <f t="shared" si="202"/>
        <v>嘉实物美消费封闭式基础设施证券投资基金|2024Q3|季度</v>
      </c>
      <c r="P858">
        <f>IF($A858="",0,IF(COUNTIF($O$2:$O858,$O858)=1,1,0))</f>
        <v>0</v>
      </c>
      <c r="Q858" t="str">
        <f>IF(AND($P858=1,$A858=经营数据!$B$3,$J858=经营数据!$BA$5),COUNTIFS($P$2:$P$3000,1,$A$2:$A$3000,$A858,$J$2:$J$3000,$J858,$N$2:$N$3000,"&lt;"&amp;$N858)+1,"")</f>
        <v/>
      </c>
      <c r="R858" t="str">
        <f t="shared" si="203"/>
        <v>嘉实物美消费封闭式基础设施证券投资基金|德胜门项目</v>
      </c>
      <c r="S858">
        <f>IF($A858="",0,IF(COUNTIF($R$2:$R858,$R858)=1,1,0))</f>
        <v>0</v>
      </c>
      <c r="T858">
        <f t="shared" si="204"/>
        <v>844</v>
      </c>
      <c r="U858" t="str">
        <f>IF($A858="","",IF($A858=经营数据!$B$3,COUNTIFS($S$2:$S$3000,1,$A$2:$A$3000,$A858,$T$2:$T$3000,"&lt;"&amp;$T858)+1,""))</f>
        <v/>
      </c>
      <c r="V858" t="str">
        <f t="shared" si="205"/>
        <v>德胜门项目|服务价格</v>
      </c>
      <c r="W858">
        <f t="shared" si="206"/>
        <v>849</v>
      </c>
      <c r="X858" t="str">
        <f t="shared" si="207"/>
        <v>德胜门项目|期内租金单价水平</v>
      </c>
      <c r="Y858">
        <f t="shared" si="208"/>
        <v>849</v>
      </c>
      <c r="Z858">
        <f>IF($A858="",0,IF(AND($M858=1,$A858=经营数据!$B$3,$J858=经营数据!$BA$5,OR($I858=经营数据!$BA$4,COUNTIF(经营数据!$AA$9:$AA$38,$I858)&gt;0)),1,0))</f>
        <v>0</v>
      </c>
      <c r="AA858" t="str">
        <f t="shared" si="209"/>
        <v/>
      </c>
      <c r="AB858" t="str">
        <f t="shared" si="210"/>
        <v/>
      </c>
      <c r="AC858">
        <f>IF($A858="",0,IF(COUNTIF($A$2:$A858,$A858)=1,1,0))</f>
        <v>0</v>
      </c>
      <c r="AD858">
        <f t="shared" si="211"/>
        <v>8</v>
      </c>
      <c r="AE858" t="str">
        <f t="shared" si="212"/>
        <v>德胜门项目|期内租金单价水平（元/平方米/天）</v>
      </c>
    </row>
    <row r="859" spans="1:31" x14ac:dyDescent="0.4">
      <c r="A859" t="str">
        <f>IF(原始经营数据!$D860="","",原始经营数据!$D860)</f>
        <v>嘉实物美消费封闭式基础设施证券投资基金</v>
      </c>
      <c r="B859" t="str">
        <f>IF(原始经营数据!$D860="","",T(原始经营数据!$E860))</f>
        <v>德胜门项目</v>
      </c>
      <c r="C859" t="str">
        <f>IF(原始经营数据!$D860="","",原始经营数据!$F860)</f>
        <v>2024Q3</v>
      </c>
      <c r="D859" t="str">
        <f>IF(原始经营数据!$D860="","",原始经营数据!$H860)</f>
        <v>期末出租率</v>
      </c>
      <c r="E859">
        <f>IF(原始经营数据!$D860="","",原始经营数据!$I860)</f>
        <v>99.48</v>
      </c>
      <c r="F859" t="str">
        <f>IF(原始经营数据!$D860="","",T(原始经营数据!$J860))</f>
        <v>%</v>
      </c>
      <c r="G859" t="str">
        <f>IF(原始经营数据!$D860="","",T(原始经营数据!$K860))</f>
        <v/>
      </c>
      <c r="H859" t="str">
        <f>IF(原始经营数据!$D860="","",原始经营数据!$G860)</f>
        <v>服务效率</v>
      </c>
      <c r="I859" t="str">
        <f>IF($A859="","",IF($B859&lt;&gt;"",$B859,IF(COUNTIFS(原始经营数据!$D$3:$D$3001,$A859,原始经营数据!$E$3:$E$3001,"",原始经营数据!$F$3:$F$3001,$C859,原始经营数据!$H$3:$H$3001,$D859,原始经营数据!$K$3:$K$3001,$G859)&gt;1,"基金整体·来源"&amp;原始经营数据!$A860,"基金整体")))</f>
        <v>德胜门项目</v>
      </c>
      <c r="J859" t="str">
        <f t="shared" si="198"/>
        <v>季度</v>
      </c>
      <c r="K859" t="str">
        <f t="shared" si="199"/>
        <v>期末出租率（%）</v>
      </c>
      <c r="L859" t="str">
        <f t="shared" si="200"/>
        <v>德胜门项目|期末出租率（%）|季度</v>
      </c>
      <c r="M859">
        <f>IF($A859="",0,IF(COUNTIF($L$2:$L859,$L859)=1,1,0))</f>
        <v>0</v>
      </c>
      <c r="N859">
        <f t="shared" si="201"/>
        <v>20243</v>
      </c>
      <c r="O859" t="str">
        <f t="shared" si="202"/>
        <v>嘉实物美消费封闭式基础设施证券投资基金|2024Q3|季度</v>
      </c>
      <c r="P859">
        <f>IF($A859="",0,IF(COUNTIF($O$2:$O859,$O859)=1,1,0))</f>
        <v>0</v>
      </c>
      <c r="Q859" t="str">
        <f>IF(AND($P859=1,$A859=经营数据!$B$3,$J859=经营数据!$BA$5),COUNTIFS($P$2:$P$3000,1,$A$2:$A$3000,$A859,$J$2:$J$3000,$J859,$N$2:$N$3000,"&lt;"&amp;$N859)+1,"")</f>
        <v/>
      </c>
      <c r="R859" t="str">
        <f t="shared" si="203"/>
        <v>嘉实物美消费封闭式基础设施证券投资基金|德胜门项目</v>
      </c>
      <c r="S859">
        <f>IF($A859="",0,IF(COUNTIF($R$2:$R859,$R859)=1,1,0))</f>
        <v>0</v>
      </c>
      <c r="T859">
        <f t="shared" si="204"/>
        <v>844</v>
      </c>
      <c r="U859" t="str">
        <f>IF($A859="","",IF($A859=经营数据!$B$3,COUNTIFS($S$2:$S$3000,1,$A$2:$A$3000,$A859,$T$2:$T$3000,"&lt;"&amp;$T859)+1,""))</f>
        <v/>
      </c>
      <c r="V859" t="str">
        <f t="shared" si="205"/>
        <v>德胜门项目|服务效率</v>
      </c>
      <c r="W859">
        <f t="shared" si="206"/>
        <v>844</v>
      </c>
      <c r="X859" t="str">
        <f t="shared" si="207"/>
        <v>德胜门项目|期末出租率</v>
      </c>
      <c r="Y859">
        <f t="shared" si="208"/>
        <v>847</v>
      </c>
      <c r="Z859">
        <f>IF($A859="",0,IF(AND($M859=1,$A859=经营数据!$B$3,$J859=经营数据!$BA$5,OR($I859=经营数据!$BA$4,COUNTIF(经营数据!$AA$9:$AA$38,$I859)&gt;0)),1,0))</f>
        <v>0</v>
      </c>
      <c r="AA859" t="str">
        <f t="shared" si="209"/>
        <v/>
      </c>
      <c r="AB859" t="str">
        <f t="shared" si="210"/>
        <v/>
      </c>
      <c r="AC859">
        <f>IF($A859="",0,IF(COUNTIF($A$2:$A859,$A859)=1,1,0))</f>
        <v>0</v>
      </c>
      <c r="AD859">
        <f t="shared" si="211"/>
        <v>8</v>
      </c>
      <c r="AE859" t="str">
        <f t="shared" si="212"/>
        <v>德胜门项目|期末出租率（%）</v>
      </c>
    </row>
    <row r="860" spans="1:31" x14ac:dyDescent="0.4">
      <c r="A860" t="str">
        <f>IF(原始经营数据!$D861="","",原始经营数据!$D861)</f>
        <v>嘉实物美消费封闭式基础设施证券投资基金</v>
      </c>
      <c r="B860" t="str">
        <f>IF(原始经营数据!$D861="","",T(原始经营数据!$E861))</f>
        <v>德胜门项目</v>
      </c>
      <c r="C860" t="str">
        <f>IF(原始经营数据!$D861="","",原始经营数据!$F861)</f>
        <v>2024Q3</v>
      </c>
      <c r="D860" t="str">
        <f>IF(原始经营数据!$D861="","",原始经营数据!$H861)</f>
        <v>期末实际出租面积</v>
      </c>
      <c r="E860">
        <f>IF(原始经营数据!$D861="","",原始经营数据!$I861)</f>
        <v>8684.0400000000009</v>
      </c>
      <c r="F860" t="str">
        <f>IF(原始经营数据!$D861="","",T(原始经营数据!$J861))</f>
        <v>平方米</v>
      </c>
      <c r="G860" t="str">
        <f>IF(原始经营数据!$D861="","",T(原始经营数据!$K861))</f>
        <v/>
      </c>
      <c r="H860" t="str">
        <f>IF(原始经营数据!$D861="","",原始经营数据!$G861)</f>
        <v>服务量</v>
      </c>
      <c r="I860" t="str">
        <f>IF($A860="","",IF($B860&lt;&gt;"",$B860,IF(COUNTIFS(原始经营数据!$D$3:$D$3001,$A860,原始经营数据!$E$3:$E$3001,"",原始经营数据!$F$3:$F$3001,$C860,原始经营数据!$H$3:$H$3001,$D860,原始经营数据!$K$3:$K$3001,$G860)&gt;1,"基金整体·来源"&amp;原始经营数据!$A861,"基金整体")))</f>
        <v>德胜门项目</v>
      </c>
      <c r="J860" t="str">
        <f t="shared" si="198"/>
        <v>季度</v>
      </c>
      <c r="K860" t="str">
        <f t="shared" si="199"/>
        <v>期末实际出租面积（平方米）</v>
      </c>
      <c r="L860" t="str">
        <f t="shared" si="200"/>
        <v>德胜门项目|期末实际出租面积（平方米）|季度</v>
      </c>
      <c r="M860">
        <f>IF($A860="",0,IF(COUNTIF($L$2:$L860,$L860)=1,1,0))</f>
        <v>0</v>
      </c>
      <c r="N860">
        <f t="shared" si="201"/>
        <v>20243</v>
      </c>
      <c r="O860" t="str">
        <f t="shared" si="202"/>
        <v>嘉实物美消费封闭式基础设施证券投资基金|2024Q3|季度</v>
      </c>
      <c r="P860">
        <f>IF($A860="",0,IF(COUNTIF($O$2:$O860,$O860)=1,1,0))</f>
        <v>0</v>
      </c>
      <c r="Q860" t="str">
        <f>IF(AND($P860=1,$A860=经营数据!$B$3,$J860=经营数据!$BA$5),COUNTIFS($P$2:$P$3000,1,$A$2:$A$3000,$A860,$J$2:$J$3000,$J860,$N$2:$N$3000,"&lt;"&amp;$N860)+1,"")</f>
        <v/>
      </c>
      <c r="R860" t="str">
        <f t="shared" si="203"/>
        <v>嘉实物美消费封闭式基础设施证券投资基金|德胜门项目</v>
      </c>
      <c r="S860">
        <f>IF($A860="",0,IF(COUNTIF($R$2:$R860,$R860)=1,1,0))</f>
        <v>0</v>
      </c>
      <c r="T860">
        <f t="shared" si="204"/>
        <v>844</v>
      </c>
      <c r="U860" t="str">
        <f>IF($A860="","",IF($A860=经营数据!$B$3,COUNTIFS($S$2:$S$3000,1,$A$2:$A$3000,$A860,$T$2:$T$3000,"&lt;"&amp;$T860)+1,""))</f>
        <v/>
      </c>
      <c r="V860" t="str">
        <f t="shared" si="205"/>
        <v>德胜门项目|服务量</v>
      </c>
      <c r="W860">
        <f t="shared" si="206"/>
        <v>845</v>
      </c>
      <c r="X860" t="str">
        <f t="shared" si="207"/>
        <v>德胜门项目|期末实际出租面积</v>
      </c>
      <c r="Y860">
        <f t="shared" si="208"/>
        <v>846</v>
      </c>
      <c r="Z860">
        <f>IF($A860="",0,IF(AND($M860=1,$A860=经营数据!$B$3,$J860=经营数据!$BA$5,OR($I860=经营数据!$BA$4,COUNTIF(经营数据!$AA$9:$AA$38,$I860)&gt;0)),1,0))</f>
        <v>0</v>
      </c>
      <c r="AA860" t="str">
        <f t="shared" si="209"/>
        <v/>
      </c>
      <c r="AB860" t="str">
        <f t="shared" si="210"/>
        <v/>
      </c>
      <c r="AC860">
        <f>IF($A860="",0,IF(COUNTIF($A$2:$A860,$A860)=1,1,0))</f>
        <v>0</v>
      </c>
      <c r="AD860">
        <f t="shared" si="211"/>
        <v>8</v>
      </c>
      <c r="AE860" t="str">
        <f t="shared" si="212"/>
        <v>德胜门项目|期末实际出租面积（平方米）</v>
      </c>
    </row>
    <row r="861" spans="1:31" x14ac:dyDescent="0.4">
      <c r="A861" t="str">
        <f>IF(原始经营数据!$D862="","",原始经营数据!$D862)</f>
        <v>嘉实物美消费封闭式基础设施证券投资基金</v>
      </c>
      <c r="B861" t="str">
        <f>IF(原始经营数据!$D862="","",T(原始经营数据!$E862))</f>
        <v>德胜门项目</v>
      </c>
      <c r="C861" t="str">
        <f>IF(原始经营数据!$D862="","",原始经营数据!$F862)</f>
        <v>2024Q3</v>
      </c>
      <c r="D861" t="str">
        <f>IF(原始经营数据!$D862="","",原始经营数据!$H862)</f>
        <v>期末可供出租面积</v>
      </c>
      <c r="E861">
        <f>IF(原始经营数据!$D862="","",原始经营数据!$I862)</f>
        <v>8729.74</v>
      </c>
      <c r="F861" t="str">
        <f>IF(原始经营数据!$D862="","",T(原始经营数据!$J862))</f>
        <v>平方米</v>
      </c>
      <c r="G861" t="str">
        <f>IF(原始经营数据!$D862="","",T(原始经营数据!$K862))</f>
        <v/>
      </c>
      <c r="H861" t="str">
        <f>IF(原始经营数据!$D862="","",原始经营数据!$G862)</f>
        <v>服务量</v>
      </c>
      <c r="I861" t="str">
        <f>IF($A861="","",IF($B861&lt;&gt;"",$B861,IF(COUNTIFS(原始经营数据!$D$3:$D$3001,$A861,原始经营数据!$E$3:$E$3001,"",原始经营数据!$F$3:$F$3001,$C861,原始经营数据!$H$3:$H$3001,$D861,原始经营数据!$K$3:$K$3001,$G861)&gt;1,"基金整体·来源"&amp;原始经营数据!$A862,"基金整体")))</f>
        <v>德胜门项目</v>
      </c>
      <c r="J861" t="str">
        <f t="shared" si="198"/>
        <v>季度</v>
      </c>
      <c r="K861" t="str">
        <f t="shared" si="199"/>
        <v>期末可供出租面积（平方米）</v>
      </c>
      <c r="L861" t="str">
        <f t="shared" si="200"/>
        <v>德胜门项目|期末可供出租面积（平方米）|季度</v>
      </c>
      <c r="M861">
        <f>IF($A861="",0,IF(COUNTIF($L$2:$L861,$L861)=1,1,0))</f>
        <v>0</v>
      </c>
      <c r="N861">
        <f t="shared" si="201"/>
        <v>20243</v>
      </c>
      <c r="O861" t="str">
        <f t="shared" si="202"/>
        <v>嘉实物美消费封闭式基础设施证券投资基金|2024Q3|季度</v>
      </c>
      <c r="P861">
        <f>IF($A861="",0,IF(COUNTIF($O$2:$O861,$O861)=1,1,0))</f>
        <v>0</v>
      </c>
      <c r="Q861" t="str">
        <f>IF(AND($P861=1,$A861=经营数据!$B$3,$J861=经营数据!$BA$5),COUNTIFS($P$2:$P$3000,1,$A$2:$A$3000,$A861,$J$2:$J$3000,$J861,$N$2:$N$3000,"&lt;"&amp;$N861)+1,"")</f>
        <v/>
      </c>
      <c r="R861" t="str">
        <f t="shared" si="203"/>
        <v>嘉实物美消费封闭式基础设施证券投资基金|德胜门项目</v>
      </c>
      <c r="S861">
        <f>IF($A861="",0,IF(COUNTIF($R$2:$R861,$R861)=1,1,0))</f>
        <v>0</v>
      </c>
      <c r="T861">
        <f t="shared" si="204"/>
        <v>844</v>
      </c>
      <c r="U861" t="str">
        <f>IF($A861="","",IF($A861=经营数据!$B$3,COUNTIFS($S$2:$S$3000,1,$A$2:$A$3000,$A861,$T$2:$T$3000,"&lt;"&amp;$T861)+1,""))</f>
        <v/>
      </c>
      <c r="V861" t="str">
        <f t="shared" si="205"/>
        <v>德胜门项目|服务量</v>
      </c>
      <c r="W861">
        <f t="shared" si="206"/>
        <v>845</v>
      </c>
      <c r="X861" t="str">
        <f t="shared" si="207"/>
        <v>德胜门项目|期末可供出租面积</v>
      </c>
      <c r="Y861">
        <f t="shared" si="208"/>
        <v>845</v>
      </c>
      <c r="Z861">
        <f>IF($A861="",0,IF(AND($M861=1,$A861=经营数据!$B$3,$J861=经营数据!$BA$5,OR($I861=经营数据!$BA$4,COUNTIF(经营数据!$AA$9:$AA$38,$I861)&gt;0)),1,0))</f>
        <v>0</v>
      </c>
      <c r="AA861" t="str">
        <f t="shared" si="209"/>
        <v/>
      </c>
      <c r="AB861" t="str">
        <f t="shared" si="210"/>
        <v/>
      </c>
      <c r="AC861">
        <f>IF($A861="",0,IF(COUNTIF($A$2:$A861,$A861)=1,1,0))</f>
        <v>0</v>
      </c>
      <c r="AD861">
        <f t="shared" si="211"/>
        <v>8</v>
      </c>
      <c r="AE861" t="str">
        <f t="shared" si="212"/>
        <v>德胜门项目|期末可供出租面积（平方米）</v>
      </c>
    </row>
    <row r="862" spans="1:31" x14ac:dyDescent="0.4">
      <c r="A862" t="str">
        <f>IF(原始经营数据!$D863="","",原始经营数据!$D863)</f>
        <v>嘉实物美消费封闭式基础设施证券投资基金</v>
      </c>
      <c r="B862" t="str">
        <f>IF(原始经营数据!$D863="","",T(原始经营数据!$E863))</f>
        <v>德胜门项目</v>
      </c>
      <c r="C862" t="str">
        <f>IF(原始经营数据!$D863="","",原始经营数据!$F863)</f>
        <v>2024Q3</v>
      </c>
      <c r="D862" t="str">
        <f>IF(原始经营数据!$D863="","",原始经营数据!$H863)</f>
        <v>期末租金收缴率</v>
      </c>
      <c r="E862">
        <f>IF(原始经营数据!$D863="","",原始经营数据!$I863)</f>
        <v>99.97</v>
      </c>
      <c r="F862" t="str">
        <f>IF(原始经营数据!$D863="","",T(原始经营数据!$J863))</f>
        <v>%</v>
      </c>
      <c r="G862" t="str">
        <f>IF(原始经营数据!$D863="","",T(原始经营数据!$K863))</f>
        <v/>
      </c>
      <c r="H862" t="str">
        <f>IF(原始经营数据!$D863="","",原始经营数据!$G863)</f>
        <v>服务效率</v>
      </c>
      <c r="I862" t="str">
        <f>IF($A862="","",IF($B862&lt;&gt;"",$B862,IF(COUNTIFS(原始经营数据!$D$3:$D$3001,$A862,原始经营数据!$E$3:$E$3001,"",原始经营数据!$F$3:$F$3001,$C862,原始经营数据!$H$3:$H$3001,$D862,原始经营数据!$K$3:$K$3001,$G862)&gt;1,"基金整体·来源"&amp;原始经营数据!$A863,"基金整体")))</f>
        <v>德胜门项目</v>
      </c>
      <c r="J862" t="str">
        <f t="shared" si="198"/>
        <v>季度</v>
      </c>
      <c r="K862" t="str">
        <f t="shared" si="199"/>
        <v>期末租金收缴率（%）</v>
      </c>
      <c r="L862" t="str">
        <f t="shared" si="200"/>
        <v>德胜门项目|期末租金收缴率（%）|季度</v>
      </c>
      <c r="M862">
        <f>IF($A862="",0,IF(COUNTIF($L$2:$L862,$L862)=1,1,0))</f>
        <v>0</v>
      </c>
      <c r="N862">
        <f t="shared" si="201"/>
        <v>20243</v>
      </c>
      <c r="O862" t="str">
        <f t="shared" si="202"/>
        <v>嘉实物美消费封闭式基础设施证券投资基金|2024Q3|季度</v>
      </c>
      <c r="P862">
        <f>IF($A862="",0,IF(COUNTIF($O$2:$O862,$O862)=1,1,0))</f>
        <v>0</v>
      </c>
      <c r="Q862" t="str">
        <f>IF(AND($P862=1,$A862=经营数据!$B$3,$J862=经营数据!$BA$5),COUNTIFS($P$2:$P$3000,1,$A$2:$A$3000,$A862,$J$2:$J$3000,$J862,$N$2:$N$3000,"&lt;"&amp;$N862)+1,"")</f>
        <v/>
      </c>
      <c r="R862" t="str">
        <f t="shared" si="203"/>
        <v>嘉实物美消费封闭式基础设施证券投资基金|德胜门项目</v>
      </c>
      <c r="S862">
        <f>IF($A862="",0,IF(COUNTIF($R$2:$R862,$R862)=1,1,0))</f>
        <v>0</v>
      </c>
      <c r="T862">
        <f t="shared" si="204"/>
        <v>844</v>
      </c>
      <c r="U862" t="str">
        <f>IF($A862="","",IF($A862=经营数据!$B$3,COUNTIFS($S$2:$S$3000,1,$A$2:$A$3000,$A862,$T$2:$T$3000,"&lt;"&amp;$T862)+1,""))</f>
        <v/>
      </c>
      <c r="V862" t="str">
        <f t="shared" si="205"/>
        <v>德胜门项目|服务效率</v>
      </c>
      <c r="W862">
        <f t="shared" si="206"/>
        <v>844</v>
      </c>
      <c r="X862" t="str">
        <f t="shared" si="207"/>
        <v>德胜门项目|期末租金收缴率</v>
      </c>
      <c r="Y862">
        <f t="shared" si="208"/>
        <v>844</v>
      </c>
      <c r="Z862">
        <f>IF($A862="",0,IF(AND($M862=1,$A862=经营数据!$B$3,$J862=经营数据!$BA$5,OR($I862=经营数据!$BA$4,COUNTIF(经营数据!$AA$9:$AA$38,$I862)&gt;0)),1,0))</f>
        <v>0</v>
      </c>
      <c r="AA862" t="str">
        <f t="shared" si="209"/>
        <v/>
      </c>
      <c r="AB862" t="str">
        <f t="shared" si="210"/>
        <v/>
      </c>
      <c r="AC862">
        <f>IF($A862="",0,IF(COUNTIF($A$2:$A862,$A862)=1,1,0))</f>
        <v>0</v>
      </c>
      <c r="AD862">
        <f t="shared" si="211"/>
        <v>8</v>
      </c>
      <c r="AE862" t="str">
        <f t="shared" si="212"/>
        <v>德胜门项目|期末租金收缴率（%）</v>
      </c>
    </row>
    <row r="863" spans="1:31" x14ac:dyDescent="0.4">
      <c r="A863" t="str">
        <f>IF(原始经营数据!$D864="","",原始经营数据!$D864)</f>
        <v>嘉实物美消费封闭式基础设施证券投资基金</v>
      </c>
      <c r="B863" t="str">
        <f>IF(原始经营数据!$D864="","",T(原始经营数据!$E864))</f>
        <v>德胜门项目</v>
      </c>
      <c r="C863" t="str">
        <f>IF(原始经营数据!$D864="","",原始经营数据!$F864)</f>
        <v>2024Q4</v>
      </c>
      <c r="D863" t="str">
        <f>IF(原始经营数据!$D864="","",原始经营数据!$H864)</f>
        <v>期末租金收缴率</v>
      </c>
      <c r="E863">
        <f>IF(原始经营数据!$D864="","",原始经营数据!$I864)</f>
        <v>99.98</v>
      </c>
      <c r="F863" t="str">
        <f>IF(原始经营数据!$D864="","",T(原始经营数据!$J864))</f>
        <v>%</v>
      </c>
      <c r="G863" t="str">
        <f>IF(原始经营数据!$D864="","",T(原始经营数据!$K864))</f>
        <v/>
      </c>
      <c r="H863" t="str">
        <f>IF(原始经营数据!$D864="","",原始经营数据!$G864)</f>
        <v>服务效率</v>
      </c>
      <c r="I863" t="str">
        <f>IF($A863="","",IF($B863&lt;&gt;"",$B863,IF(COUNTIFS(原始经营数据!$D$3:$D$3001,$A863,原始经营数据!$E$3:$E$3001,"",原始经营数据!$F$3:$F$3001,$C863,原始经营数据!$H$3:$H$3001,$D863,原始经营数据!$K$3:$K$3001,$G863)&gt;1,"基金整体·来源"&amp;原始经营数据!$A864,"基金整体")))</f>
        <v>德胜门项目</v>
      </c>
      <c r="J863" t="str">
        <f t="shared" si="198"/>
        <v>季度</v>
      </c>
      <c r="K863" t="str">
        <f t="shared" si="199"/>
        <v>期末租金收缴率（%）</v>
      </c>
      <c r="L863" t="str">
        <f t="shared" si="200"/>
        <v>德胜门项目|期末租金收缴率（%）|季度</v>
      </c>
      <c r="M863">
        <f>IF($A863="",0,IF(COUNTIF($L$2:$L863,$L863)=1,1,0))</f>
        <v>0</v>
      </c>
      <c r="N863">
        <f t="shared" si="201"/>
        <v>20244</v>
      </c>
      <c r="O863" t="str">
        <f t="shared" si="202"/>
        <v>嘉实物美消费封闭式基础设施证券投资基金|2024Q4|季度</v>
      </c>
      <c r="P863">
        <f>IF($A863="",0,IF(COUNTIF($O$2:$O863,$O863)=1,1,0))</f>
        <v>0</v>
      </c>
      <c r="Q863" t="str">
        <f>IF(AND($P863=1,$A863=经营数据!$B$3,$J863=经营数据!$BA$5),COUNTIFS($P$2:$P$3000,1,$A$2:$A$3000,$A863,$J$2:$J$3000,$J863,$N$2:$N$3000,"&lt;"&amp;$N863)+1,"")</f>
        <v/>
      </c>
      <c r="R863" t="str">
        <f t="shared" si="203"/>
        <v>嘉实物美消费封闭式基础设施证券投资基金|德胜门项目</v>
      </c>
      <c r="S863">
        <f>IF($A863="",0,IF(COUNTIF($R$2:$R863,$R863)=1,1,0))</f>
        <v>0</v>
      </c>
      <c r="T863">
        <f t="shared" si="204"/>
        <v>844</v>
      </c>
      <c r="U863" t="str">
        <f>IF($A863="","",IF($A863=经营数据!$B$3,COUNTIFS($S$2:$S$3000,1,$A$2:$A$3000,$A863,$T$2:$T$3000,"&lt;"&amp;$T863)+1,""))</f>
        <v/>
      </c>
      <c r="V863" t="str">
        <f t="shared" si="205"/>
        <v>德胜门项目|服务效率</v>
      </c>
      <c r="W863">
        <f t="shared" si="206"/>
        <v>844</v>
      </c>
      <c r="X863" t="str">
        <f t="shared" si="207"/>
        <v>德胜门项目|期末租金收缴率</v>
      </c>
      <c r="Y863">
        <f t="shared" si="208"/>
        <v>844</v>
      </c>
      <c r="Z863">
        <f>IF($A863="",0,IF(AND($M863=1,$A863=经营数据!$B$3,$J863=经营数据!$BA$5,OR($I863=经营数据!$BA$4,COUNTIF(经营数据!$AA$9:$AA$38,$I863)&gt;0)),1,0))</f>
        <v>0</v>
      </c>
      <c r="AA863" t="str">
        <f t="shared" si="209"/>
        <v/>
      </c>
      <c r="AB863" t="str">
        <f t="shared" si="210"/>
        <v/>
      </c>
      <c r="AC863">
        <f>IF($A863="",0,IF(COUNTIF($A$2:$A863,$A863)=1,1,0))</f>
        <v>0</v>
      </c>
      <c r="AD863">
        <f t="shared" si="211"/>
        <v>8</v>
      </c>
      <c r="AE863" t="str">
        <f t="shared" si="212"/>
        <v>德胜门项目|期末租金收缴率（%）</v>
      </c>
    </row>
    <row r="864" spans="1:31" x14ac:dyDescent="0.4">
      <c r="A864" t="str">
        <f>IF(原始经营数据!$D865="","",原始经营数据!$D865)</f>
        <v>嘉实物美消费封闭式基础设施证券投资基金</v>
      </c>
      <c r="B864" t="str">
        <f>IF(原始经营数据!$D865="","",T(原始经营数据!$E865))</f>
        <v>德胜门项目</v>
      </c>
      <c r="C864" t="str">
        <f>IF(原始经营数据!$D865="","",原始经营数据!$F865)</f>
        <v>2024Q4</v>
      </c>
      <c r="D864" t="str">
        <f>IF(原始经营数据!$D865="","",原始经营数据!$H865)</f>
        <v>期末剩余租期情况</v>
      </c>
      <c r="E864">
        <f>IF(原始经营数据!$D865="","",原始经营数据!$I865)</f>
        <v>6.77</v>
      </c>
      <c r="F864" t="str">
        <f>IF(原始经营数据!$D865="","",T(原始经营数据!$J865))</f>
        <v>年</v>
      </c>
      <c r="G864" t="str">
        <f>IF(原始经营数据!$D865="","",T(原始经营数据!$K865))</f>
        <v/>
      </c>
      <c r="H864" t="str">
        <f>IF(原始经营数据!$D865="","",原始经营数据!$G865)</f>
        <v>服务量</v>
      </c>
      <c r="I864" t="str">
        <f>IF($A864="","",IF($B864&lt;&gt;"",$B864,IF(COUNTIFS(原始经营数据!$D$3:$D$3001,$A864,原始经营数据!$E$3:$E$3001,"",原始经营数据!$F$3:$F$3001,$C864,原始经营数据!$H$3:$H$3001,$D864,原始经营数据!$K$3:$K$3001,$G864)&gt;1,"基金整体·来源"&amp;原始经营数据!$A865,"基金整体")))</f>
        <v>德胜门项目</v>
      </c>
      <c r="J864" t="str">
        <f t="shared" si="198"/>
        <v>季度</v>
      </c>
      <c r="K864" t="str">
        <f t="shared" si="199"/>
        <v>期末剩余租期情况（年）</v>
      </c>
      <c r="L864" t="str">
        <f t="shared" si="200"/>
        <v>德胜门项目|期末剩余租期情况（年）|季度</v>
      </c>
      <c r="M864">
        <f>IF($A864="",0,IF(COUNTIF($L$2:$L864,$L864)=1,1,0))</f>
        <v>0</v>
      </c>
      <c r="N864">
        <f t="shared" si="201"/>
        <v>20244</v>
      </c>
      <c r="O864" t="str">
        <f t="shared" si="202"/>
        <v>嘉实物美消费封闭式基础设施证券投资基金|2024Q4|季度</v>
      </c>
      <c r="P864">
        <f>IF($A864="",0,IF(COUNTIF($O$2:$O864,$O864)=1,1,0))</f>
        <v>0</v>
      </c>
      <c r="Q864" t="str">
        <f>IF(AND($P864=1,$A864=经营数据!$B$3,$J864=经营数据!$BA$5),COUNTIFS($P$2:$P$3000,1,$A$2:$A$3000,$A864,$J$2:$J$3000,$J864,$N$2:$N$3000,"&lt;"&amp;$N864)+1,"")</f>
        <v/>
      </c>
      <c r="R864" t="str">
        <f t="shared" si="203"/>
        <v>嘉实物美消费封闭式基础设施证券投资基金|德胜门项目</v>
      </c>
      <c r="S864">
        <f>IF($A864="",0,IF(COUNTIF($R$2:$R864,$R864)=1,1,0))</f>
        <v>0</v>
      </c>
      <c r="T864">
        <f t="shared" si="204"/>
        <v>844</v>
      </c>
      <c r="U864" t="str">
        <f>IF($A864="","",IF($A864=经营数据!$B$3,COUNTIFS($S$2:$S$3000,1,$A$2:$A$3000,$A864,$T$2:$T$3000,"&lt;"&amp;$T864)+1,""))</f>
        <v/>
      </c>
      <c r="V864" t="str">
        <f t="shared" si="205"/>
        <v>德胜门项目|服务量</v>
      </c>
      <c r="W864">
        <f t="shared" si="206"/>
        <v>845</v>
      </c>
      <c r="X864" t="str">
        <f t="shared" si="207"/>
        <v>德胜门项目|期末剩余租期情况</v>
      </c>
      <c r="Y864">
        <f t="shared" si="208"/>
        <v>848</v>
      </c>
      <c r="Z864">
        <f>IF($A864="",0,IF(AND($M864=1,$A864=经营数据!$B$3,$J864=经营数据!$BA$5,OR($I864=经营数据!$BA$4,COUNTIF(经营数据!$AA$9:$AA$38,$I864)&gt;0)),1,0))</f>
        <v>0</v>
      </c>
      <c r="AA864" t="str">
        <f t="shared" si="209"/>
        <v/>
      </c>
      <c r="AB864" t="str">
        <f t="shared" si="210"/>
        <v/>
      </c>
      <c r="AC864">
        <f>IF($A864="",0,IF(COUNTIF($A$2:$A864,$A864)=1,1,0))</f>
        <v>0</v>
      </c>
      <c r="AD864">
        <f t="shared" si="211"/>
        <v>8</v>
      </c>
      <c r="AE864" t="str">
        <f t="shared" si="212"/>
        <v>德胜门项目|期末剩余租期情况（年）</v>
      </c>
    </row>
    <row r="865" spans="1:31" x14ac:dyDescent="0.4">
      <c r="A865" t="str">
        <f>IF(原始经营数据!$D866="","",原始经营数据!$D866)</f>
        <v>嘉实物美消费封闭式基础设施证券投资基金</v>
      </c>
      <c r="B865" t="str">
        <f>IF(原始经营数据!$D866="","",T(原始经营数据!$E866))</f>
        <v>德胜门项目</v>
      </c>
      <c r="C865" t="str">
        <f>IF(原始经营数据!$D866="","",原始经营数据!$F866)</f>
        <v>2024Q4</v>
      </c>
      <c r="D865" t="str">
        <f>IF(原始经营数据!$D866="","",原始经营数据!$H866)</f>
        <v>期末可供出租面积</v>
      </c>
      <c r="E865">
        <f>IF(原始经营数据!$D866="","",原始经营数据!$I866)</f>
        <v>8729.74</v>
      </c>
      <c r="F865" t="str">
        <f>IF(原始经营数据!$D866="","",T(原始经营数据!$J866))</f>
        <v>平方米</v>
      </c>
      <c r="G865" t="str">
        <f>IF(原始经营数据!$D866="","",T(原始经营数据!$K866))</f>
        <v/>
      </c>
      <c r="H865" t="str">
        <f>IF(原始经营数据!$D866="","",原始经营数据!$G866)</f>
        <v>服务量</v>
      </c>
      <c r="I865" t="str">
        <f>IF($A865="","",IF($B865&lt;&gt;"",$B865,IF(COUNTIFS(原始经营数据!$D$3:$D$3001,$A865,原始经营数据!$E$3:$E$3001,"",原始经营数据!$F$3:$F$3001,$C865,原始经营数据!$H$3:$H$3001,$D865,原始经营数据!$K$3:$K$3001,$G865)&gt;1,"基金整体·来源"&amp;原始经营数据!$A866,"基金整体")))</f>
        <v>德胜门项目</v>
      </c>
      <c r="J865" t="str">
        <f t="shared" si="198"/>
        <v>季度</v>
      </c>
      <c r="K865" t="str">
        <f t="shared" si="199"/>
        <v>期末可供出租面积（平方米）</v>
      </c>
      <c r="L865" t="str">
        <f t="shared" si="200"/>
        <v>德胜门项目|期末可供出租面积（平方米）|季度</v>
      </c>
      <c r="M865">
        <f>IF($A865="",0,IF(COUNTIF($L$2:$L865,$L865)=1,1,0))</f>
        <v>0</v>
      </c>
      <c r="N865">
        <f t="shared" si="201"/>
        <v>20244</v>
      </c>
      <c r="O865" t="str">
        <f t="shared" si="202"/>
        <v>嘉实物美消费封闭式基础设施证券投资基金|2024Q4|季度</v>
      </c>
      <c r="P865">
        <f>IF($A865="",0,IF(COUNTIF($O$2:$O865,$O865)=1,1,0))</f>
        <v>0</v>
      </c>
      <c r="Q865" t="str">
        <f>IF(AND($P865=1,$A865=经营数据!$B$3,$J865=经营数据!$BA$5),COUNTIFS($P$2:$P$3000,1,$A$2:$A$3000,$A865,$J$2:$J$3000,$J865,$N$2:$N$3000,"&lt;"&amp;$N865)+1,"")</f>
        <v/>
      </c>
      <c r="R865" t="str">
        <f t="shared" si="203"/>
        <v>嘉实物美消费封闭式基础设施证券投资基金|德胜门项目</v>
      </c>
      <c r="S865">
        <f>IF($A865="",0,IF(COUNTIF($R$2:$R865,$R865)=1,1,0))</f>
        <v>0</v>
      </c>
      <c r="T865">
        <f t="shared" si="204"/>
        <v>844</v>
      </c>
      <c r="U865" t="str">
        <f>IF($A865="","",IF($A865=经营数据!$B$3,COUNTIFS($S$2:$S$3000,1,$A$2:$A$3000,$A865,$T$2:$T$3000,"&lt;"&amp;$T865)+1,""))</f>
        <v/>
      </c>
      <c r="V865" t="str">
        <f t="shared" si="205"/>
        <v>德胜门项目|服务量</v>
      </c>
      <c r="W865">
        <f t="shared" si="206"/>
        <v>845</v>
      </c>
      <c r="X865" t="str">
        <f t="shared" si="207"/>
        <v>德胜门项目|期末可供出租面积</v>
      </c>
      <c r="Y865">
        <f t="shared" si="208"/>
        <v>845</v>
      </c>
      <c r="Z865">
        <f>IF($A865="",0,IF(AND($M865=1,$A865=经营数据!$B$3,$J865=经营数据!$BA$5,OR($I865=经营数据!$BA$4,COUNTIF(经营数据!$AA$9:$AA$38,$I865)&gt;0)),1,0))</f>
        <v>0</v>
      </c>
      <c r="AA865" t="str">
        <f t="shared" si="209"/>
        <v/>
      </c>
      <c r="AB865" t="str">
        <f t="shared" si="210"/>
        <v/>
      </c>
      <c r="AC865">
        <f>IF($A865="",0,IF(COUNTIF($A$2:$A865,$A865)=1,1,0))</f>
        <v>0</v>
      </c>
      <c r="AD865">
        <f t="shared" si="211"/>
        <v>8</v>
      </c>
      <c r="AE865" t="str">
        <f t="shared" si="212"/>
        <v>德胜门项目|期末可供出租面积（平方米）</v>
      </c>
    </row>
    <row r="866" spans="1:31" x14ac:dyDescent="0.4">
      <c r="A866" t="str">
        <f>IF(原始经营数据!$D867="","",原始经营数据!$D867)</f>
        <v>嘉实物美消费封闭式基础设施证券投资基金</v>
      </c>
      <c r="B866" t="str">
        <f>IF(原始经营数据!$D867="","",T(原始经营数据!$E867))</f>
        <v>德胜门项目</v>
      </c>
      <c r="C866" t="str">
        <f>IF(原始经营数据!$D867="","",原始经营数据!$F867)</f>
        <v>2024Q4</v>
      </c>
      <c r="D866" t="str">
        <f>IF(原始经营数据!$D867="","",原始经营数据!$H867)</f>
        <v>期末实际出租面积</v>
      </c>
      <c r="E866">
        <f>IF(原始经营数据!$D867="","",原始经营数据!$I867)</f>
        <v>8729.74</v>
      </c>
      <c r="F866" t="str">
        <f>IF(原始经营数据!$D867="","",T(原始经营数据!$J867))</f>
        <v>平方米</v>
      </c>
      <c r="G866" t="str">
        <f>IF(原始经营数据!$D867="","",T(原始经营数据!$K867))</f>
        <v/>
      </c>
      <c r="H866" t="str">
        <f>IF(原始经营数据!$D867="","",原始经营数据!$G867)</f>
        <v>服务量</v>
      </c>
      <c r="I866" t="str">
        <f>IF($A866="","",IF($B866&lt;&gt;"",$B866,IF(COUNTIFS(原始经营数据!$D$3:$D$3001,$A866,原始经营数据!$E$3:$E$3001,"",原始经营数据!$F$3:$F$3001,$C866,原始经营数据!$H$3:$H$3001,$D866,原始经营数据!$K$3:$K$3001,$G866)&gt;1,"基金整体·来源"&amp;原始经营数据!$A867,"基金整体")))</f>
        <v>德胜门项目</v>
      </c>
      <c r="J866" t="str">
        <f t="shared" si="198"/>
        <v>季度</v>
      </c>
      <c r="K866" t="str">
        <f t="shared" si="199"/>
        <v>期末实际出租面积（平方米）</v>
      </c>
      <c r="L866" t="str">
        <f t="shared" si="200"/>
        <v>德胜门项目|期末实际出租面积（平方米）|季度</v>
      </c>
      <c r="M866">
        <f>IF($A866="",0,IF(COUNTIF($L$2:$L866,$L866)=1,1,0))</f>
        <v>0</v>
      </c>
      <c r="N866">
        <f t="shared" si="201"/>
        <v>20244</v>
      </c>
      <c r="O866" t="str">
        <f t="shared" si="202"/>
        <v>嘉实物美消费封闭式基础设施证券投资基金|2024Q4|季度</v>
      </c>
      <c r="P866">
        <f>IF($A866="",0,IF(COUNTIF($O$2:$O866,$O866)=1,1,0))</f>
        <v>0</v>
      </c>
      <c r="Q866" t="str">
        <f>IF(AND($P866=1,$A866=经营数据!$B$3,$J866=经营数据!$BA$5),COUNTIFS($P$2:$P$3000,1,$A$2:$A$3000,$A866,$J$2:$J$3000,$J866,$N$2:$N$3000,"&lt;"&amp;$N866)+1,"")</f>
        <v/>
      </c>
      <c r="R866" t="str">
        <f t="shared" si="203"/>
        <v>嘉实物美消费封闭式基础设施证券投资基金|德胜门项目</v>
      </c>
      <c r="S866">
        <f>IF($A866="",0,IF(COUNTIF($R$2:$R866,$R866)=1,1,0))</f>
        <v>0</v>
      </c>
      <c r="T866">
        <f t="shared" si="204"/>
        <v>844</v>
      </c>
      <c r="U866" t="str">
        <f>IF($A866="","",IF($A866=经营数据!$B$3,COUNTIFS($S$2:$S$3000,1,$A$2:$A$3000,$A866,$T$2:$T$3000,"&lt;"&amp;$T866)+1,""))</f>
        <v/>
      </c>
      <c r="V866" t="str">
        <f t="shared" si="205"/>
        <v>德胜门项目|服务量</v>
      </c>
      <c r="W866">
        <f t="shared" si="206"/>
        <v>845</v>
      </c>
      <c r="X866" t="str">
        <f t="shared" si="207"/>
        <v>德胜门项目|期末实际出租面积</v>
      </c>
      <c r="Y866">
        <f t="shared" si="208"/>
        <v>846</v>
      </c>
      <c r="Z866">
        <f>IF($A866="",0,IF(AND($M866=1,$A866=经营数据!$B$3,$J866=经营数据!$BA$5,OR($I866=经营数据!$BA$4,COUNTIF(经营数据!$AA$9:$AA$38,$I866)&gt;0)),1,0))</f>
        <v>0</v>
      </c>
      <c r="AA866" t="str">
        <f t="shared" si="209"/>
        <v/>
      </c>
      <c r="AB866" t="str">
        <f t="shared" si="210"/>
        <v/>
      </c>
      <c r="AC866">
        <f>IF($A866="",0,IF(COUNTIF($A$2:$A866,$A866)=1,1,0))</f>
        <v>0</v>
      </c>
      <c r="AD866">
        <f t="shared" si="211"/>
        <v>8</v>
      </c>
      <c r="AE866" t="str">
        <f t="shared" si="212"/>
        <v>德胜门项目|期末实际出租面积（平方米）</v>
      </c>
    </row>
    <row r="867" spans="1:31" x14ac:dyDescent="0.4">
      <c r="A867" t="str">
        <f>IF(原始经营数据!$D868="","",原始经营数据!$D868)</f>
        <v>嘉实物美消费封闭式基础设施证券投资基金</v>
      </c>
      <c r="B867" t="str">
        <f>IF(原始经营数据!$D868="","",T(原始经营数据!$E868))</f>
        <v>德胜门项目</v>
      </c>
      <c r="C867" t="str">
        <f>IF(原始经营数据!$D868="","",原始经营数据!$F868)</f>
        <v>2024Q4</v>
      </c>
      <c r="D867" t="str">
        <f>IF(原始经营数据!$D868="","",原始经营数据!$H868)</f>
        <v>期末出租率</v>
      </c>
      <c r="E867">
        <f>IF(原始经营数据!$D868="","",原始经营数据!$I868)</f>
        <v>100</v>
      </c>
      <c r="F867" t="str">
        <f>IF(原始经营数据!$D868="","",T(原始经营数据!$J868))</f>
        <v>%</v>
      </c>
      <c r="G867" t="str">
        <f>IF(原始经营数据!$D868="","",T(原始经营数据!$K868))</f>
        <v/>
      </c>
      <c r="H867" t="str">
        <f>IF(原始经营数据!$D868="","",原始经营数据!$G868)</f>
        <v>服务效率</v>
      </c>
      <c r="I867" t="str">
        <f>IF($A867="","",IF($B867&lt;&gt;"",$B867,IF(COUNTIFS(原始经营数据!$D$3:$D$3001,$A867,原始经营数据!$E$3:$E$3001,"",原始经营数据!$F$3:$F$3001,$C867,原始经营数据!$H$3:$H$3001,$D867,原始经营数据!$K$3:$K$3001,$G867)&gt;1,"基金整体·来源"&amp;原始经营数据!$A868,"基金整体")))</f>
        <v>德胜门项目</v>
      </c>
      <c r="J867" t="str">
        <f t="shared" si="198"/>
        <v>季度</v>
      </c>
      <c r="K867" t="str">
        <f t="shared" si="199"/>
        <v>期末出租率（%）</v>
      </c>
      <c r="L867" t="str">
        <f t="shared" si="200"/>
        <v>德胜门项目|期末出租率（%）|季度</v>
      </c>
      <c r="M867">
        <f>IF($A867="",0,IF(COUNTIF($L$2:$L867,$L867)=1,1,0))</f>
        <v>0</v>
      </c>
      <c r="N867">
        <f t="shared" si="201"/>
        <v>20244</v>
      </c>
      <c r="O867" t="str">
        <f t="shared" si="202"/>
        <v>嘉实物美消费封闭式基础设施证券投资基金|2024Q4|季度</v>
      </c>
      <c r="P867">
        <f>IF($A867="",0,IF(COUNTIF($O$2:$O867,$O867)=1,1,0))</f>
        <v>0</v>
      </c>
      <c r="Q867" t="str">
        <f>IF(AND($P867=1,$A867=经营数据!$B$3,$J867=经营数据!$BA$5),COUNTIFS($P$2:$P$3000,1,$A$2:$A$3000,$A867,$J$2:$J$3000,$J867,$N$2:$N$3000,"&lt;"&amp;$N867)+1,"")</f>
        <v/>
      </c>
      <c r="R867" t="str">
        <f t="shared" si="203"/>
        <v>嘉实物美消费封闭式基础设施证券投资基金|德胜门项目</v>
      </c>
      <c r="S867">
        <f>IF($A867="",0,IF(COUNTIF($R$2:$R867,$R867)=1,1,0))</f>
        <v>0</v>
      </c>
      <c r="T867">
        <f t="shared" si="204"/>
        <v>844</v>
      </c>
      <c r="U867" t="str">
        <f>IF($A867="","",IF($A867=经营数据!$B$3,COUNTIFS($S$2:$S$3000,1,$A$2:$A$3000,$A867,$T$2:$T$3000,"&lt;"&amp;$T867)+1,""))</f>
        <v/>
      </c>
      <c r="V867" t="str">
        <f t="shared" si="205"/>
        <v>德胜门项目|服务效率</v>
      </c>
      <c r="W867">
        <f t="shared" si="206"/>
        <v>844</v>
      </c>
      <c r="X867" t="str">
        <f t="shared" si="207"/>
        <v>德胜门项目|期末出租率</v>
      </c>
      <c r="Y867">
        <f t="shared" si="208"/>
        <v>847</v>
      </c>
      <c r="Z867">
        <f>IF($A867="",0,IF(AND($M867=1,$A867=经营数据!$B$3,$J867=经营数据!$BA$5,OR($I867=经营数据!$BA$4,COUNTIF(经营数据!$AA$9:$AA$38,$I867)&gt;0)),1,0))</f>
        <v>0</v>
      </c>
      <c r="AA867" t="str">
        <f t="shared" si="209"/>
        <v/>
      </c>
      <c r="AB867" t="str">
        <f t="shared" si="210"/>
        <v/>
      </c>
      <c r="AC867">
        <f>IF($A867="",0,IF(COUNTIF($A$2:$A867,$A867)=1,1,0))</f>
        <v>0</v>
      </c>
      <c r="AD867">
        <f t="shared" si="211"/>
        <v>8</v>
      </c>
      <c r="AE867" t="str">
        <f t="shared" si="212"/>
        <v>德胜门项目|期末出租率（%）</v>
      </c>
    </row>
    <row r="868" spans="1:31" x14ac:dyDescent="0.4">
      <c r="A868" t="str">
        <f>IF(原始经营数据!$D869="","",原始经营数据!$D869)</f>
        <v>嘉实物美消费封闭式基础设施证券投资基金</v>
      </c>
      <c r="B868" t="str">
        <f>IF(原始经营数据!$D869="","",T(原始经营数据!$E869))</f>
        <v>德胜门项目</v>
      </c>
      <c r="C868" t="str">
        <f>IF(原始经营数据!$D869="","",原始经营数据!$F869)</f>
        <v>2024Q4</v>
      </c>
      <c r="D868" t="str">
        <f>IF(原始经营数据!$D869="","",原始经营数据!$H869)</f>
        <v>期内租金单价水平</v>
      </c>
      <c r="E868">
        <f>IF(原始经营数据!$D869="","",原始经营数据!$I869)</f>
        <v>4.8099999999999996</v>
      </c>
      <c r="F868" t="str">
        <f>IF(原始经营数据!$D869="","",T(原始经营数据!$J869))</f>
        <v>元/平方米/天</v>
      </c>
      <c r="G868" t="str">
        <f>IF(原始经营数据!$D869="","",T(原始经营数据!$K869))</f>
        <v/>
      </c>
      <c r="H868" t="str">
        <f>IF(原始经营数据!$D869="","",原始经营数据!$G869)</f>
        <v>服务价格</v>
      </c>
      <c r="I868" t="str">
        <f>IF($A868="","",IF($B868&lt;&gt;"",$B868,IF(COUNTIFS(原始经营数据!$D$3:$D$3001,$A868,原始经营数据!$E$3:$E$3001,"",原始经营数据!$F$3:$F$3001,$C868,原始经营数据!$H$3:$H$3001,$D868,原始经营数据!$K$3:$K$3001,$G868)&gt;1,"基金整体·来源"&amp;原始经营数据!$A869,"基金整体")))</f>
        <v>德胜门项目</v>
      </c>
      <c r="J868" t="str">
        <f t="shared" si="198"/>
        <v>季度</v>
      </c>
      <c r="K868" t="str">
        <f t="shared" si="199"/>
        <v>期内租金单价水平（元/平方米/天）</v>
      </c>
      <c r="L868" t="str">
        <f t="shared" si="200"/>
        <v>德胜门项目|期内租金单价水平（元/平方米/天）|季度</v>
      </c>
      <c r="M868">
        <f>IF($A868="",0,IF(COUNTIF($L$2:$L868,$L868)=1,1,0))</f>
        <v>0</v>
      </c>
      <c r="N868">
        <f t="shared" si="201"/>
        <v>20244</v>
      </c>
      <c r="O868" t="str">
        <f t="shared" si="202"/>
        <v>嘉实物美消费封闭式基础设施证券投资基金|2024Q4|季度</v>
      </c>
      <c r="P868">
        <f>IF($A868="",0,IF(COUNTIF($O$2:$O868,$O868)=1,1,0))</f>
        <v>0</v>
      </c>
      <c r="Q868" t="str">
        <f>IF(AND($P868=1,$A868=经营数据!$B$3,$J868=经营数据!$BA$5),COUNTIFS($P$2:$P$3000,1,$A$2:$A$3000,$A868,$J$2:$J$3000,$J868,$N$2:$N$3000,"&lt;"&amp;$N868)+1,"")</f>
        <v/>
      </c>
      <c r="R868" t="str">
        <f t="shared" si="203"/>
        <v>嘉实物美消费封闭式基础设施证券投资基金|德胜门项目</v>
      </c>
      <c r="S868">
        <f>IF($A868="",0,IF(COUNTIF($R$2:$R868,$R868)=1,1,0))</f>
        <v>0</v>
      </c>
      <c r="T868">
        <f t="shared" si="204"/>
        <v>844</v>
      </c>
      <c r="U868" t="str">
        <f>IF($A868="","",IF($A868=经营数据!$B$3,COUNTIFS($S$2:$S$3000,1,$A$2:$A$3000,$A868,$T$2:$T$3000,"&lt;"&amp;$T868)+1,""))</f>
        <v/>
      </c>
      <c r="V868" t="str">
        <f t="shared" si="205"/>
        <v>德胜门项目|服务价格</v>
      </c>
      <c r="W868">
        <f t="shared" si="206"/>
        <v>849</v>
      </c>
      <c r="X868" t="str">
        <f t="shared" si="207"/>
        <v>德胜门项目|期内租金单价水平</v>
      </c>
      <c r="Y868">
        <f t="shared" si="208"/>
        <v>849</v>
      </c>
      <c r="Z868">
        <f>IF($A868="",0,IF(AND($M868=1,$A868=经营数据!$B$3,$J868=经营数据!$BA$5,OR($I868=经营数据!$BA$4,COUNTIF(经营数据!$AA$9:$AA$38,$I868)&gt;0)),1,0))</f>
        <v>0</v>
      </c>
      <c r="AA868" t="str">
        <f t="shared" si="209"/>
        <v/>
      </c>
      <c r="AB868" t="str">
        <f t="shared" si="210"/>
        <v/>
      </c>
      <c r="AC868">
        <f>IF($A868="",0,IF(COUNTIF($A$2:$A868,$A868)=1,1,0))</f>
        <v>0</v>
      </c>
      <c r="AD868">
        <f t="shared" si="211"/>
        <v>8</v>
      </c>
      <c r="AE868" t="str">
        <f t="shared" si="212"/>
        <v>德胜门项目|期内租金单价水平（元/平方米/天）</v>
      </c>
    </row>
    <row r="869" spans="1:31" x14ac:dyDescent="0.4">
      <c r="A869" t="str">
        <f>IF(原始经营数据!$D870="","",原始经营数据!$D870)</f>
        <v>嘉实物美消费封闭式基础设施证券投资基金</v>
      </c>
      <c r="B869" t="str">
        <f>IF(原始经营数据!$D870="","",T(原始经营数据!$E870))</f>
        <v>德胜门项目</v>
      </c>
      <c r="C869" t="str">
        <f>IF(原始经营数据!$D870="","",原始经营数据!$F870)</f>
        <v>2025Q1</v>
      </c>
      <c r="D869" t="str">
        <f>IF(原始经营数据!$D870="","",原始经营数据!$H870)</f>
        <v>期末实际出租面积</v>
      </c>
      <c r="E869">
        <f>IF(原始经营数据!$D870="","",原始经营数据!$I870)</f>
        <v>8729.74</v>
      </c>
      <c r="F869" t="str">
        <f>IF(原始经营数据!$D870="","",T(原始经营数据!$J870))</f>
        <v>平方米</v>
      </c>
      <c r="G869" t="str">
        <f>IF(原始经营数据!$D870="","",T(原始经营数据!$K870))</f>
        <v/>
      </c>
      <c r="H869" t="str">
        <f>IF(原始经营数据!$D870="","",原始经营数据!$G870)</f>
        <v>服务量</v>
      </c>
      <c r="I869" t="str">
        <f>IF($A869="","",IF($B869&lt;&gt;"",$B869,IF(COUNTIFS(原始经营数据!$D$3:$D$3001,$A869,原始经营数据!$E$3:$E$3001,"",原始经营数据!$F$3:$F$3001,$C869,原始经营数据!$H$3:$H$3001,$D869,原始经营数据!$K$3:$K$3001,$G869)&gt;1,"基金整体·来源"&amp;原始经营数据!$A870,"基金整体")))</f>
        <v>德胜门项目</v>
      </c>
      <c r="J869" t="str">
        <f t="shared" si="198"/>
        <v>季度</v>
      </c>
      <c r="K869" t="str">
        <f t="shared" si="199"/>
        <v>期末实际出租面积（平方米）</v>
      </c>
      <c r="L869" t="str">
        <f t="shared" si="200"/>
        <v>德胜门项目|期末实际出租面积（平方米）|季度</v>
      </c>
      <c r="M869">
        <f>IF($A869="",0,IF(COUNTIF($L$2:$L869,$L869)=1,1,0))</f>
        <v>0</v>
      </c>
      <c r="N869">
        <f t="shared" si="201"/>
        <v>20251</v>
      </c>
      <c r="O869" t="str">
        <f t="shared" si="202"/>
        <v>嘉实物美消费封闭式基础设施证券投资基金|2025Q1|季度</v>
      </c>
      <c r="P869">
        <f>IF($A869="",0,IF(COUNTIF($O$2:$O869,$O869)=1,1,0))</f>
        <v>0</v>
      </c>
      <c r="Q869" t="str">
        <f>IF(AND($P869=1,$A869=经营数据!$B$3,$J869=经营数据!$BA$5),COUNTIFS($P$2:$P$3000,1,$A$2:$A$3000,$A869,$J$2:$J$3000,$J869,$N$2:$N$3000,"&lt;"&amp;$N869)+1,"")</f>
        <v/>
      </c>
      <c r="R869" t="str">
        <f t="shared" si="203"/>
        <v>嘉实物美消费封闭式基础设施证券投资基金|德胜门项目</v>
      </c>
      <c r="S869">
        <f>IF($A869="",0,IF(COUNTIF($R$2:$R869,$R869)=1,1,0))</f>
        <v>0</v>
      </c>
      <c r="T869">
        <f t="shared" si="204"/>
        <v>844</v>
      </c>
      <c r="U869" t="str">
        <f>IF($A869="","",IF($A869=经营数据!$B$3,COUNTIFS($S$2:$S$3000,1,$A$2:$A$3000,$A869,$T$2:$T$3000,"&lt;"&amp;$T869)+1,""))</f>
        <v/>
      </c>
      <c r="V869" t="str">
        <f t="shared" si="205"/>
        <v>德胜门项目|服务量</v>
      </c>
      <c r="W869">
        <f t="shared" si="206"/>
        <v>845</v>
      </c>
      <c r="X869" t="str">
        <f t="shared" si="207"/>
        <v>德胜门项目|期末实际出租面积</v>
      </c>
      <c r="Y869">
        <f t="shared" si="208"/>
        <v>846</v>
      </c>
      <c r="Z869">
        <f>IF($A869="",0,IF(AND($M869=1,$A869=经营数据!$B$3,$J869=经营数据!$BA$5,OR($I869=经营数据!$BA$4,COUNTIF(经营数据!$AA$9:$AA$38,$I869)&gt;0)),1,0))</f>
        <v>0</v>
      </c>
      <c r="AA869" t="str">
        <f t="shared" si="209"/>
        <v/>
      </c>
      <c r="AB869" t="str">
        <f t="shared" si="210"/>
        <v/>
      </c>
      <c r="AC869">
        <f>IF($A869="",0,IF(COUNTIF($A$2:$A869,$A869)=1,1,0))</f>
        <v>0</v>
      </c>
      <c r="AD869">
        <f t="shared" si="211"/>
        <v>8</v>
      </c>
      <c r="AE869" t="str">
        <f t="shared" si="212"/>
        <v>德胜门项目|期末实际出租面积（平方米）</v>
      </c>
    </row>
    <row r="870" spans="1:31" x14ac:dyDescent="0.4">
      <c r="A870" t="str">
        <f>IF(原始经营数据!$D871="","",原始经营数据!$D871)</f>
        <v>嘉实物美消费封闭式基础设施证券投资基金</v>
      </c>
      <c r="B870" t="str">
        <f>IF(原始经营数据!$D871="","",T(原始经营数据!$E871))</f>
        <v>德胜门项目</v>
      </c>
      <c r="C870" t="str">
        <f>IF(原始经营数据!$D871="","",原始经营数据!$F871)</f>
        <v>2025Q1</v>
      </c>
      <c r="D870" t="str">
        <f>IF(原始经营数据!$D871="","",原始经营数据!$H871)</f>
        <v>期末出租率</v>
      </c>
      <c r="E870">
        <f>IF(原始经营数据!$D871="","",原始经营数据!$I871)</f>
        <v>100</v>
      </c>
      <c r="F870" t="str">
        <f>IF(原始经营数据!$D871="","",T(原始经营数据!$J871))</f>
        <v>%</v>
      </c>
      <c r="G870" t="str">
        <f>IF(原始经营数据!$D871="","",T(原始经营数据!$K871))</f>
        <v/>
      </c>
      <c r="H870" t="str">
        <f>IF(原始经营数据!$D871="","",原始经营数据!$G871)</f>
        <v>服务效率</v>
      </c>
      <c r="I870" t="str">
        <f>IF($A870="","",IF($B870&lt;&gt;"",$B870,IF(COUNTIFS(原始经营数据!$D$3:$D$3001,$A870,原始经营数据!$E$3:$E$3001,"",原始经营数据!$F$3:$F$3001,$C870,原始经营数据!$H$3:$H$3001,$D870,原始经营数据!$K$3:$K$3001,$G870)&gt;1,"基金整体·来源"&amp;原始经营数据!$A871,"基金整体")))</f>
        <v>德胜门项目</v>
      </c>
      <c r="J870" t="str">
        <f t="shared" si="198"/>
        <v>季度</v>
      </c>
      <c r="K870" t="str">
        <f t="shared" si="199"/>
        <v>期末出租率（%）</v>
      </c>
      <c r="L870" t="str">
        <f t="shared" si="200"/>
        <v>德胜门项目|期末出租率（%）|季度</v>
      </c>
      <c r="M870">
        <f>IF($A870="",0,IF(COUNTIF($L$2:$L870,$L870)=1,1,0))</f>
        <v>0</v>
      </c>
      <c r="N870">
        <f t="shared" si="201"/>
        <v>20251</v>
      </c>
      <c r="O870" t="str">
        <f t="shared" si="202"/>
        <v>嘉实物美消费封闭式基础设施证券投资基金|2025Q1|季度</v>
      </c>
      <c r="P870">
        <f>IF($A870="",0,IF(COUNTIF($O$2:$O870,$O870)=1,1,0))</f>
        <v>0</v>
      </c>
      <c r="Q870" t="str">
        <f>IF(AND($P870=1,$A870=经营数据!$B$3,$J870=经营数据!$BA$5),COUNTIFS($P$2:$P$3000,1,$A$2:$A$3000,$A870,$J$2:$J$3000,$J870,$N$2:$N$3000,"&lt;"&amp;$N870)+1,"")</f>
        <v/>
      </c>
      <c r="R870" t="str">
        <f t="shared" si="203"/>
        <v>嘉实物美消费封闭式基础设施证券投资基金|德胜门项目</v>
      </c>
      <c r="S870">
        <f>IF($A870="",0,IF(COUNTIF($R$2:$R870,$R870)=1,1,0))</f>
        <v>0</v>
      </c>
      <c r="T870">
        <f t="shared" si="204"/>
        <v>844</v>
      </c>
      <c r="U870" t="str">
        <f>IF($A870="","",IF($A870=经营数据!$B$3,COUNTIFS($S$2:$S$3000,1,$A$2:$A$3000,$A870,$T$2:$T$3000,"&lt;"&amp;$T870)+1,""))</f>
        <v/>
      </c>
      <c r="V870" t="str">
        <f t="shared" si="205"/>
        <v>德胜门项目|服务效率</v>
      </c>
      <c r="W870">
        <f t="shared" si="206"/>
        <v>844</v>
      </c>
      <c r="X870" t="str">
        <f t="shared" si="207"/>
        <v>德胜门项目|期末出租率</v>
      </c>
      <c r="Y870">
        <f t="shared" si="208"/>
        <v>847</v>
      </c>
      <c r="Z870">
        <f>IF($A870="",0,IF(AND($M870=1,$A870=经营数据!$B$3,$J870=经营数据!$BA$5,OR($I870=经营数据!$BA$4,COUNTIF(经营数据!$AA$9:$AA$38,$I870)&gt;0)),1,0))</f>
        <v>0</v>
      </c>
      <c r="AA870" t="str">
        <f t="shared" si="209"/>
        <v/>
      </c>
      <c r="AB870" t="str">
        <f t="shared" si="210"/>
        <v/>
      </c>
      <c r="AC870">
        <f>IF($A870="",0,IF(COUNTIF($A$2:$A870,$A870)=1,1,0))</f>
        <v>0</v>
      </c>
      <c r="AD870">
        <f t="shared" si="211"/>
        <v>8</v>
      </c>
      <c r="AE870" t="str">
        <f t="shared" si="212"/>
        <v>德胜门项目|期末出租率（%）</v>
      </c>
    </row>
    <row r="871" spans="1:31" x14ac:dyDescent="0.4">
      <c r="A871" t="str">
        <f>IF(原始经营数据!$D872="","",原始经营数据!$D872)</f>
        <v>嘉实物美消费封闭式基础设施证券投资基金</v>
      </c>
      <c r="B871" t="str">
        <f>IF(原始经营数据!$D872="","",T(原始经营数据!$E872))</f>
        <v>德胜门项目</v>
      </c>
      <c r="C871" t="str">
        <f>IF(原始经营数据!$D872="","",原始经营数据!$F872)</f>
        <v>2025Q1</v>
      </c>
      <c r="D871" t="str">
        <f>IF(原始经营数据!$D872="","",原始经营数据!$H872)</f>
        <v>期内租金单价水平</v>
      </c>
      <c r="E871">
        <f>IF(原始经营数据!$D872="","",原始经营数据!$I872)</f>
        <v>4.9400000000000004</v>
      </c>
      <c r="F871" t="str">
        <f>IF(原始经营数据!$D872="","",T(原始经营数据!$J872))</f>
        <v>元/平方米/天</v>
      </c>
      <c r="G871" t="str">
        <f>IF(原始经营数据!$D872="","",T(原始经营数据!$K872))</f>
        <v/>
      </c>
      <c r="H871" t="str">
        <f>IF(原始经营数据!$D872="","",原始经营数据!$G872)</f>
        <v>服务价格</v>
      </c>
      <c r="I871" t="str">
        <f>IF($A871="","",IF($B871&lt;&gt;"",$B871,IF(COUNTIFS(原始经营数据!$D$3:$D$3001,$A871,原始经营数据!$E$3:$E$3001,"",原始经营数据!$F$3:$F$3001,$C871,原始经营数据!$H$3:$H$3001,$D871,原始经营数据!$K$3:$K$3001,$G871)&gt;1,"基金整体·来源"&amp;原始经营数据!$A872,"基金整体")))</f>
        <v>德胜门项目</v>
      </c>
      <c r="J871" t="str">
        <f t="shared" si="198"/>
        <v>季度</v>
      </c>
      <c r="K871" t="str">
        <f t="shared" si="199"/>
        <v>期内租金单价水平（元/平方米/天）</v>
      </c>
      <c r="L871" t="str">
        <f t="shared" si="200"/>
        <v>德胜门项目|期内租金单价水平（元/平方米/天）|季度</v>
      </c>
      <c r="M871">
        <f>IF($A871="",0,IF(COUNTIF($L$2:$L871,$L871)=1,1,0))</f>
        <v>0</v>
      </c>
      <c r="N871">
        <f t="shared" si="201"/>
        <v>20251</v>
      </c>
      <c r="O871" t="str">
        <f t="shared" si="202"/>
        <v>嘉实物美消费封闭式基础设施证券投资基金|2025Q1|季度</v>
      </c>
      <c r="P871">
        <f>IF($A871="",0,IF(COUNTIF($O$2:$O871,$O871)=1,1,0))</f>
        <v>0</v>
      </c>
      <c r="Q871" t="str">
        <f>IF(AND($P871=1,$A871=经营数据!$B$3,$J871=经营数据!$BA$5),COUNTIFS($P$2:$P$3000,1,$A$2:$A$3000,$A871,$J$2:$J$3000,$J871,$N$2:$N$3000,"&lt;"&amp;$N871)+1,"")</f>
        <v/>
      </c>
      <c r="R871" t="str">
        <f t="shared" si="203"/>
        <v>嘉实物美消费封闭式基础设施证券投资基金|德胜门项目</v>
      </c>
      <c r="S871">
        <f>IF($A871="",0,IF(COUNTIF($R$2:$R871,$R871)=1,1,0))</f>
        <v>0</v>
      </c>
      <c r="T871">
        <f t="shared" si="204"/>
        <v>844</v>
      </c>
      <c r="U871" t="str">
        <f>IF($A871="","",IF($A871=经营数据!$B$3,COUNTIFS($S$2:$S$3000,1,$A$2:$A$3000,$A871,$T$2:$T$3000,"&lt;"&amp;$T871)+1,""))</f>
        <v/>
      </c>
      <c r="V871" t="str">
        <f t="shared" si="205"/>
        <v>德胜门项目|服务价格</v>
      </c>
      <c r="W871">
        <f t="shared" si="206"/>
        <v>849</v>
      </c>
      <c r="X871" t="str">
        <f t="shared" si="207"/>
        <v>德胜门项目|期内租金单价水平</v>
      </c>
      <c r="Y871">
        <f t="shared" si="208"/>
        <v>849</v>
      </c>
      <c r="Z871">
        <f>IF($A871="",0,IF(AND($M871=1,$A871=经营数据!$B$3,$J871=经营数据!$BA$5,OR($I871=经营数据!$BA$4,COUNTIF(经营数据!$AA$9:$AA$38,$I871)&gt;0)),1,0))</f>
        <v>0</v>
      </c>
      <c r="AA871" t="str">
        <f t="shared" si="209"/>
        <v/>
      </c>
      <c r="AB871" t="str">
        <f t="shared" si="210"/>
        <v/>
      </c>
      <c r="AC871">
        <f>IF($A871="",0,IF(COUNTIF($A$2:$A871,$A871)=1,1,0))</f>
        <v>0</v>
      </c>
      <c r="AD871">
        <f t="shared" si="211"/>
        <v>8</v>
      </c>
      <c r="AE871" t="str">
        <f t="shared" si="212"/>
        <v>德胜门项目|期内租金单价水平（元/平方米/天）</v>
      </c>
    </row>
    <row r="872" spans="1:31" x14ac:dyDescent="0.4">
      <c r="A872" t="str">
        <f>IF(原始经营数据!$D873="","",原始经营数据!$D873)</f>
        <v>嘉实物美消费封闭式基础设施证券投资基金</v>
      </c>
      <c r="B872" t="str">
        <f>IF(原始经营数据!$D873="","",T(原始经营数据!$E873))</f>
        <v>德胜门项目</v>
      </c>
      <c r="C872" t="str">
        <f>IF(原始经营数据!$D873="","",原始经营数据!$F873)</f>
        <v>2025Q1</v>
      </c>
      <c r="D872" t="str">
        <f>IF(原始经营数据!$D873="","",原始经营数据!$H873)</f>
        <v>期末剩余租期情况</v>
      </c>
      <c r="E872">
        <f>IF(原始经营数据!$D873="","",原始经营数据!$I873)</f>
        <v>6.55</v>
      </c>
      <c r="F872" t="str">
        <f>IF(原始经营数据!$D873="","",T(原始经营数据!$J873))</f>
        <v>年</v>
      </c>
      <c r="G872" t="str">
        <f>IF(原始经营数据!$D873="","",T(原始经营数据!$K873))</f>
        <v/>
      </c>
      <c r="H872" t="str">
        <f>IF(原始经营数据!$D873="","",原始经营数据!$G873)</f>
        <v>服务量</v>
      </c>
      <c r="I872" t="str">
        <f>IF($A872="","",IF($B872&lt;&gt;"",$B872,IF(COUNTIFS(原始经营数据!$D$3:$D$3001,$A872,原始经营数据!$E$3:$E$3001,"",原始经营数据!$F$3:$F$3001,$C872,原始经营数据!$H$3:$H$3001,$D872,原始经营数据!$K$3:$K$3001,$G872)&gt;1,"基金整体·来源"&amp;原始经营数据!$A873,"基金整体")))</f>
        <v>德胜门项目</v>
      </c>
      <c r="J872" t="str">
        <f t="shared" si="198"/>
        <v>季度</v>
      </c>
      <c r="K872" t="str">
        <f t="shared" si="199"/>
        <v>期末剩余租期情况（年）</v>
      </c>
      <c r="L872" t="str">
        <f t="shared" si="200"/>
        <v>德胜门项目|期末剩余租期情况（年）|季度</v>
      </c>
      <c r="M872">
        <f>IF($A872="",0,IF(COUNTIF($L$2:$L872,$L872)=1,1,0))</f>
        <v>0</v>
      </c>
      <c r="N872">
        <f t="shared" si="201"/>
        <v>20251</v>
      </c>
      <c r="O872" t="str">
        <f t="shared" si="202"/>
        <v>嘉实物美消费封闭式基础设施证券投资基金|2025Q1|季度</v>
      </c>
      <c r="P872">
        <f>IF($A872="",0,IF(COUNTIF($O$2:$O872,$O872)=1,1,0))</f>
        <v>0</v>
      </c>
      <c r="Q872" t="str">
        <f>IF(AND($P872=1,$A872=经营数据!$B$3,$J872=经营数据!$BA$5),COUNTIFS($P$2:$P$3000,1,$A$2:$A$3000,$A872,$J$2:$J$3000,$J872,$N$2:$N$3000,"&lt;"&amp;$N872)+1,"")</f>
        <v/>
      </c>
      <c r="R872" t="str">
        <f t="shared" si="203"/>
        <v>嘉实物美消费封闭式基础设施证券投资基金|德胜门项目</v>
      </c>
      <c r="S872">
        <f>IF($A872="",0,IF(COUNTIF($R$2:$R872,$R872)=1,1,0))</f>
        <v>0</v>
      </c>
      <c r="T872">
        <f t="shared" si="204"/>
        <v>844</v>
      </c>
      <c r="U872" t="str">
        <f>IF($A872="","",IF($A872=经营数据!$B$3,COUNTIFS($S$2:$S$3000,1,$A$2:$A$3000,$A872,$T$2:$T$3000,"&lt;"&amp;$T872)+1,""))</f>
        <v/>
      </c>
      <c r="V872" t="str">
        <f t="shared" si="205"/>
        <v>德胜门项目|服务量</v>
      </c>
      <c r="W872">
        <f t="shared" si="206"/>
        <v>845</v>
      </c>
      <c r="X872" t="str">
        <f t="shared" si="207"/>
        <v>德胜门项目|期末剩余租期情况</v>
      </c>
      <c r="Y872">
        <f t="shared" si="208"/>
        <v>848</v>
      </c>
      <c r="Z872">
        <f>IF($A872="",0,IF(AND($M872=1,$A872=经营数据!$B$3,$J872=经营数据!$BA$5,OR($I872=经营数据!$BA$4,COUNTIF(经营数据!$AA$9:$AA$38,$I872)&gt;0)),1,0))</f>
        <v>0</v>
      </c>
      <c r="AA872" t="str">
        <f t="shared" si="209"/>
        <v/>
      </c>
      <c r="AB872" t="str">
        <f t="shared" si="210"/>
        <v/>
      </c>
      <c r="AC872">
        <f>IF($A872="",0,IF(COUNTIF($A$2:$A872,$A872)=1,1,0))</f>
        <v>0</v>
      </c>
      <c r="AD872">
        <f t="shared" si="211"/>
        <v>8</v>
      </c>
      <c r="AE872" t="str">
        <f t="shared" si="212"/>
        <v>德胜门项目|期末剩余租期情况（年）</v>
      </c>
    </row>
    <row r="873" spans="1:31" x14ac:dyDescent="0.4">
      <c r="A873" t="str">
        <f>IF(原始经营数据!$D874="","",原始经营数据!$D874)</f>
        <v>嘉实物美消费封闭式基础设施证券投资基金</v>
      </c>
      <c r="B873" t="str">
        <f>IF(原始经营数据!$D874="","",T(原始经营数据!$E874))</f>
        <v>德胜门项目</v>
      </c>
      <c r="C873" t="str">
        <f>IF(原始经营数据!$D874="","",原始经营数据!$F874)</f>
        <v>2025Q1</v>
      </c>
      <c r="D873" t="str">
        <f>IF(原始经营数据!$D874="","",原始经营数据!$H874)</f>
        <v>期末租金收缴率</v>
      </c>
      <c r="E873">
        <f>IF(原始经营数据!$D874="","",原始经营数据!$I874)</f>
        <v>99.91</v>
      </c>
      <c r="F873" t="str">
        <f>IF(原始经营数据!$D874="","",T(原始经营数据!$J874))</f>
        <v>%</v>
      </c>
      <c r="G873" t="str">
        <f>IF(原始经营数据!$D874="","",T(原始经营数据!$K874))</f>
        <v/>
      </c>
      <c r="H873" t="str">
        <f>IF(原始经营数据!$D874="","",原始经营数据!$G874)</f>
        <v>服务效率</v>
      </c>
      <c r="I873" t="str">
        <f>IF($A873="","",IF($B873&lt;&gt;"",$B873,IF(COUNTIFS(原始经营数据!$D$3:$D$3001,$A873,原始经营数据!$E$3:$E$3001,"",原始经营数据!$F$3:$F$3001,$C873,原始经营数据!$H$3:$H$3001,$D873,原始经营数据!$K$3:$K$3001,$G873)&gt;1,"基金整体·来源"&amp;原始经营数据!$A874,"基金整体")))</f>
        <v>德胜门项目</v>
      </c>
      <c r="J873" t="str">
        <f t="shared" si="198"/>
        <v>季度</v>
      </c>
      <c r="K873" t="str">
        <f t="shared" si="199"/>
        <v>期末租金收缴率（%）</v>
      </c>
      <c r="L873" t="str">
        <f t="shared" si="200"/>
        <v>德胜门项目|期末租金收缴率（%）|季度</v>
      </c>
      <c r="M873">
        <f>IF($A873="",0,IF(COUNTIF($L$2:$L873,$L873)=1,1,0))</f>
        <v>0</v>
      </c>
      <c r="N873">
        <f t="shared" si="201"/>
        <v>20251</v>
      </c>
      <c r="O873" t="str">
        <f t="shared" si="202"/>
        <v>嘉实物美消费封闭式基础设施证券投资基金|2025Q1|季度</v>
      </c>
      <c r="P873">
        <f>IF($A873="",0,IF(COUNTIF($O$2:$O873,$O873)=1,1,0))</f>
        <v>0</v>
      </c>
      <c r="Q873" t="str">
        <f>IF(AND($P873=1,$A873=经营数据!$B$3,$J873=经营数据!$BA$5),COUNTIFS($P$2:$P$3000,1,$A$2:$A$3000,$A873,$J$2:$J$3000,$J873,$N$2:$N$3000,"&lt;"&amp;$N873)+1,"")</f>
        <v/>
      </c>
      <c r="R873" t="str">
        <f t="shared" si="203"/>
        <v>嘉实物美消费封闭式基础设施证券投资基金|德胜门项目</v>
      </c>
      <c r="S873">
        <f>IF($A873="",0,IF(COUNTIF($R$2:$R873,$R873)=1,1,0))</f>
        <v>0</v>
      </c>
      <c r="T873">
        <f t="shared" si="204"/>
        <v>844</v>
      </c>
      <c r="U873" t="str">
        <f>IF($A873="","",IF($A873=经营数据!$B$3,COUNTIFS($S$2:$S$3000,1,$A$2:$A$3000,$A873,$T$2:$T$3000,"&lt;"&amp;$T873)+1,""))</f>
        <v/>
      </c>
      <c r="V873" t="str">
        <f t="shared" si="205"/>
        <v>德胜门项目|服务效率</v>
      </c>
      <c r="W873">
        <f t="shared" si="206"/>
        <v>844</v>
      </c>
      <c r="X873" t="str">
        <f t="shared" si="207"/>
        <v>德胜门项目|期末租金收缴率</v>
      </c>
      <c r="Y873">
        <f t="shared" si="208"/>
        <v>844</v>
      </c>
      <c r="Z873">
        <f>IF($A873="",0,IF(AND($M873=1,$A873=经营数据!$B$3,$J873=经营数据!$BA$5,OR($I873=经营数据!$BA$4,COUNTIF(经营数据!$AA$9:$AA$38,$I873)&gt;0)),1,0))</f>
        <v>0</v>
      </c>
      <c r="AA873" t="str">
        <f t="shared" si="209"/>
        <v/>
      </c>
      <c r="AB873" t="str">
        <f t="shared" si="210"/>
        <v/>
      </c>
      <c r="AC873">
        <f>IF($A873="",0,IF(COUNTIF($A$2:$A873,$A873)=1,1,0))</f>
        <v>0</v>
      </c>
      <c r="AD873">
        <f t="shared" si="211"/>
        <v>8</v>
      </c>
      <c r="AE873" t="str">
        <f t="shared" si="212"/>
        <v>德胜门项目|期末租金收缴率（%）</v>
      </c>
    </row>
    <row r="874" spans="1:31" x14ac:dyDescent="0.4">
      <c r="A874" t="str">
        <f>IF(原始经营数据!$D875="","",原始经营数据!$D875)</f>
        <v>嘉实物美消费封闭式基础设施证券投资基金</v>
      </c>
      <c r="B874" t="str">
        <f>IF(原始经营数据!$D875="","",T(原始经营数据!$E875))</f>
        <v>德胜门项目</v>
      </c>
      <c r="C874" t="str">
        <f>IF(原始经营数据!$D875="","",原始经营数据!$F875)</f>
        <v>2025Q1</v>
      </c>
      <c r="D874" t="str">
        <f>IF(原始经营数据!$D875="","",原始经营数据!$H875)</f>
        <v>期末可供出租面积</v>
      </c>
      <c r="E874">
        <f>IF(原始经营数据!$D875="","",原始经营数据!$I875)</f>
        <v>8729.74</v>
      </c>
      <c r="F874" t="str">
        <f>IF(原始经营数据!$D875="","",T(原始经营数据!$J875))</f>
        <v>平方米</v>
      </c>
      <c r="G874" t="str">
        <f>IF(原始经营数据!$D875="","",T(原始经营数据!$K875))</f>
        <v/>
      </c>
      <c r="H874" t="str">
        <f>IF(原始经营数据!$D875="","",原始经营数据!$G875)</f>
        <v>服务量</v>
      </c>
      <c r="I874" t="str">
        <f>IF($A874="","",IF($B874&lt;&gt;"",$B874,IF(COUNTIFS(原始经营数据!$D$3:$D$3001,$A874,原始经营数据!$E$3:$E$3001,"",原始经营数据!$F$3:$F$3001,$C874,原始经营数据!$H$3:$H$3001,$D874,原始经营数据!$K$3:$K$3001,$G874)&gt;1,"基金整体·来源"&amp;原始经营数据!$A875,"基金整体")))</f>
        <v>德胜门项目</v>
      </c>
      <c r="J874" t="str">
        <f t="shared" si="198"/>
        <v>季度</v>
      </c>
      <c r="K874" t="str">
        <f t="shared" si="199"/>
        <v>期末可供出租面积（平方米）</v>
      </c>
      <c r="L874" t="str">
        <f t="shared" si="200"/>
        <v>德胜门项目|期末可供出租面积（平方米）|季度</v>
      </c>
      <c r="M874">
        <f>IF($A874="",0,IF(COUNTIF($L$2:$L874,$L874)=1,1,0))</f>
        <v>0</v>
      </c>
      <c r="N874">
        <f t="shared" si="201"/>
        <v>20251</v>
      </c>
      <c r="O874" t="str">
        <f t="shared" si="202"/>
        <v>嘉实物美消费封闭式基础设施证券投资基金|2025Q1|季度</v>
      </c>
      <c r="P874">
        <f>IF($A874="",0,IF(COUNTIF($O$2:$O874,$O874)=1,1,0))</f>
        <v>0</v>
      </c>
      <c r="Q874" t="str">
        <f>IF(AND($P874=1,$A874=经营数据!$B$3,$J874=经营数据!$BA$5),COUNTIFS($P$2:$P$3000,1,$A$2:$A$3000,$A874,$J$2:$J$3000,$J874,$N$2:$N$3000,"&lt;"&amp;$N874)+1,"")</f>
        <v/>
      </c>
      <c r="R874" t="str">
        <f t="shared" si="203"/>
        <v>嘉实物美消费封闭式基础设施证券投资基金|德胜门项目</v>
      </c>
      <c r="S874">
        <f>IF($A874="",0,IF(COUNTIF($R$2:$R874,$R874)=1,1,0))</f>
        <v>0</v>
      </c>
      <c r="T874">
        <f t="shared" si="204"/>
        <v>844</v>
      </c>
      <c r="U874" t="str">
        <f>IF($A874="","",IF($A874=经营数据!$B$3,COUNTIFS($S$2:$S$3000,1,$A$2:$A$3000,$A874,$T$2:$T$3000,"&lt;"&amp;$T874)+1,""))</f>
        <v/>
      </c>
      <c r="V874" t="str">
        <f t="shared" si="205"/>
        <v>德胜门项目|服务量</v>
      </c>
      <c r="W874">
        <f t="shared" si="206"/>
        <v>845</v>
      </c>
      <c r="X874" t="str">
        <f t="shared" si="207"/>
        <v>德胜门项目|期末可供出租面积</v>
      </c>
      <c r="Y874">
        <f t="shared" si="208"/>
        <v>845</v>
      </c>
      <c r="Z874">
        <f>IF($A874="",0,IF(AND($M874=1,$A874=经营数据!$B$3,$J874=经营数据!$BA$5,OR($I874=经营数据!$BA$4,COUNTIF(经营数据!$AA$9:$AA$38,$I874)&gt;0)),1,0))</f>
        <v>0</v>
      </c>
      <c r="AA874" t="str">
        <f t="shared" si="209"/>
        <v/>
      </c>
      <c r="AB874" t="str">
        <f t="shared" si="210"/>
        <v/>
      </c>
      <c r="AC874">
        <f>IF($A874="",0,IF(COUNTIF($A$2:$A874,$A874)=1,1,0))</f>
        <v>0</v>
      </c>
      <c r="AD874">
        <f t="shared" si="211"/>
        <v>8</v>
      </c>
      <c r="AE874" t="str">
        <f t="shared" si="212"/>
        <v>德胜门项目|期末可供出租面积（平方米）</v>
      </c>
    </row>
    <row r="875" spans="1:31" x14ac:dyDescent="0.4">
      <c r="A875" t="str">
        <f>IF(原始经营数据!$D876="","",原始经营数据!$D876)</f>
        <v>嘉实物美消费封闭式基础设施证券投资基金</v>
      </c>
      <c r="B875" t="str">
        <f>IF(原始经营数据!$D876="","",T(原始经营数据!$E876))</f>
        <v>德胜门项目</v>
      </c>
      <c r="C875" t="str">
        <f>IF(原始经营数据!$D876="","",原始经营数据!$F876)</f>
        <v>2025Q2</v>
      </c>
      <c r="D875" t="str">
        <f>IF(原始经营数据!$D876="","",原始经营数据!$H876)</f>
        <v>期末可供出租面积</v>
      </c>
      <c r="E875">
        <f>IF(原始经营数据!$D876="","",原始经营数据!$I876)</f>
        <v>8729.74</v>
      </c>
      <c r="F875" t="str">
        <f>IF(原始经营数据!$D876="","",T(原始经营数据!$J876))</f>
        <v>平方米</v>
      </c>
      <c r="G875" t="str">
        <f>IF(原始经营数据!$D876="","",T(原始经营数据!$K876))</f>
        <v/>
      </c>
      <c r="H875" t="str">
        <f>IF(原始经营数据!$D876="","",原始经营数据!$G876)</f>
        <v>服务量</v>
      </c>
      <c r="I875" t="str">
        <f>IF($A875="","",IF($B875&lt;&gt;"",$B875,IF(COUNTIFS(原始经营数据!$D$3:$D$3001,$A875,原始经营数据!$E$3:$E$3001,"",原始经营数据!$F$3:$F$3001,$C875,原始经营数据!$H$3:$H$3001,$D875,原始经营数据!$K$3:$K$3001,$G875)&gt;1,"基金整体·来源"&amp;原始经营数据!$A876,"基金整体")))</f>
        <v>德胜门项目</v>
      </c>
      <c r="J875" t="str">
        <f t="shared" si="198"/>
        <v>季度</v>
      </c>
      <c r="K875" t="str">
        <f t="shared" si="199"/>
        <v>期末可供出租面积（平方米）</v>
      </c>
      <c r="L875" t="str">
        <f t="shared" si="200"/>
        <v>德胜门项目|期末可供出租面积（平方米）|季度</v>
      </c>
      <c r="M875">
        <f>IF($A875="",0,IF(COUNTIF($L$2:$L875,$L875)=1,1,0))</f>
        <v>0</v>
      </c>
      <c r="N875">
        <f t="shared" si="201"/>
        <v>20252</v>
      </c>
      <c r="O875" t="str">
        <f t="shared" si="202"/>
        <v>嘉实物美消费封闭式基础设施证券投资基金|2025Q2|季度</v>
      </c>
      <c r="P875">
        <f>IF($A875="",0,IF(COUNTIF($O$2:$O875,$O875)=1,1,0))</f>
        <v>0</v>
      </c>
      <c r="Q875" t="str">
        <f>IF(AND($P875=1,$A875=经营数据!$B$3,$J875=经营数据!$BA$5),COUNTIFS($P$2:$P$3000,1,$A$2:$A$3000,$A875,$J$2:$J$3000,$J875,$N$2:$N$3000,"&lt;"&amp;$N875)+1,"")</f>
        <v/>
      </c>
      <c r="R875" t="str">
        <f t="shared" si="203"/>
        <v>嘉实物美消费封闭式基础设施证券投资基金|德胜门项目</v>
      </c>
      <c r="S875">
        <f>IF($A875="",0,IF(COUNTIF($R$2:$R875,$R875)=1,1,0))</f>
        <v>0</v>
      </c>
      <c r="T875">
        <f t="shared" si="204"/>
        <v>844</v>
      </c>
      <c r="U875" t="str">
        <f>IF($A875="","",IF($A875=经营数据!$B$3,COUNTIFS($S$2:$S$3000,1,$A$2:$A$3000,$A875,$T$2:$T$3000,"&lt;"&amp;$T875)+1,""))</f>
        <v/>
      </c>
      <c r="V875" t="str">
        <f t="shared" si="205"/>
        <v>德胜门项目|服务量</v>
      </c>
      <c r="W875">
        <f t="shared" si="206"/>
        <v>845</v>
      </c>
      <c r="X875" t="str">
        <f t="shared" si="207"/>
        <v>德胜门项目|期末可供出租面积</v>
      </c>
      <c r="Y875">
        <f t="shared" si="208"/>
        <v>845</v>
      </c>
      <c r="Z875">
        <f>IF($A875="",0,IF(AND($M875=1,$A875=经营数据!$B$3,$J875=经营数据!$BA$5,OR($I875=经营数据!$BA$4,COUNTIF(经营数据!$AA$9:$AA$38,$I875)&gt;0)),1,0))</f>
        <v>0</v>
      </c>
      <c r="AA875" t="str">
        <f t="shared" si="209"/>
        <v/>
      </c>
      <c r="AB875" t="str">
        <f t="shared" si="210"/>
        <v/>
      </c>
      <c r="AC875">
        <f>IF($A875="",0,IF(COUNTIF($A$2:$A875,$A875)=1,1,0))</f>
        <v>0</v>
      </c>
      <c r="AD875">
        <f t="shared" si="211"/>
        <v>8</v>
      </c>
      <c r="AE875" t="str">
        <f t="shared" si="212"/>
        <v>德胜门项目|期末可供出租面积（平方米）</v>
      </c>
    </row>
    <row r="876" spans="1:31" x14ac:dyDescent="0.4">
      <c r="A876" t="str">
        <f>IF(原始经营数据!$D877="","",原始经营数据!$D877)</f>
        <v>嘉实物美消费封闭式基础设施证券投资基金</v>
      </c>
      <c r="B876" t="str">
        <f>IF(原始经营数据!$D877="","",T(原始经营数据!$E877))</f>
        <v>德胜门项目</v>
      </c>
      <c r="C876" t="str">
        <f>IF(原始经营数据!$D877="","",原始经营数据!$F877)</f>
        <v>2025Q2</v>
      </c>
      <c r="D876" t="str">
        <f>IF(原始经营数据!$D877="","",原始经营数据!$H877)</f>
        <v>期末实际出租面积</v>
      </c>
      <c r="E876">
        <f>IF(原始经营数据!$D877="","",原始经营数据!$I877)</f>
        <v>8615.7800000000007</v>
      </c>
      <c r="F876" t="str">
        <f>IF(原始经营数据!$D877="","",T(原始经营数据!$J877))</f>
        <v>平方米</v>
      </c>
      <c r="G876" t="str">
        <f>IF(原始经营数据!$D877="","",T(原始经营数据!$K877))</f>
        <v/>
      </c>
      <c r="H876" t="str">
        <f>IF(原始经营数据!$D877="","",原始经营数据!$G877)</f>
        <v>服务量</v>
      </c>
      <c r="I876" t="str">
        <f>IF($A876="","",IF($B876&lt;&gt;"",$B876,IF(COUNTIFS(原始经营数据!$D$3:$D$3001,$A876,原始经营数据!$E$3:$E$3001,"",原始经营数据!$F$3:$F$3001,$C876,原始经营数据!$H$3:$H$3001,$D876,原始经营数据!$K$3:$K$3001,$G876)&gt;1,"基金整体·来源"&amp;原始经营数据!$A877,"基金整体")))</f>
        <v>德胜门项目</v>
      </c>
      <c r="J876" t="str">
        <f t="shared" si="198"/>
        <v>季度</v>
      </c>
      <c r="K876" t="str">
        <f t="shared" si="199"/>
        <v>期末实际出租面积（平方米）</v>
      </c>
      <c r="L876" t="str">
        <f t="shared" si="200"/>
        <v>德胜门项目|期末实际出租面积（平方米）|季度</v>
      </c>
      <c r="M876">
        <f>IF($A876="",0,IF(COUNTIF($L$2:$L876,$L876)=1,1,0))</f>
        <v>0</v>
      </c>
      <c r="N876">
        <f t="shared" si="201"/>
        <v>20252</v>
      </c>
      <c r="O876" t="str">
        <f t="shared" si="202"/>
        <v>嘉实物美消费封闭式基础设施证券投资基金|2025Q2|季度</v>
      </c>
      <c r="P876">
        <f>IF($A876="",0,IF(COUNTIF($O$2:$O876,$O876)=1,1,0))</f>
        <v>0</v>
      </c>
      <c r="Q876" t="str">
        <f>IF(AND($P876=1,$A876=经营数据!$B$3,$J876=经营数据!$BA$5),COUNTIFS($P$2:$P$3000,1,$A$2:$A$3000,$A876,$J$2:$J$3000,$J876,$N$2:$N$3000,"&lt;"&amp;$N876)+1,"")</f>
        <v/>
      </c>
      <c r="R876" t="str">
        <f t="shared" si="203"/>
        <v>嘉实物美消费封闭式基础设施证券投资基金|德胜门项目</v>
      </c>
      <c r="S876">
        <f>IF($A876="",0,IF(COUNTIF($R$2:$R876,$R876)=1,1,0))</f>
        <v>0</v>
      </c>
      <c r="T876">
        <f t="shared" si="204"/>
        <v>844</v>
      </c>
      <c r="U876" t="str">
        <f>IF($A876="","",IF($A876=经营数据!$B$3,COUNTIFS($S$2:$S$3000,1,$A$2:$A$3000,$A876,$T$2:$T$3000,"&lt;"&amp;$T876)+1,""))</f>
        <v/>
      </c>
      <c r="V876" t="str">
        <f t="shared" si="205"/>
        <v>德胜门项目|服务量</v>
      </c>
      <c r="W876">
        <f t="shared" si="206"/>
        <v>845</v>
      </c>
      <c r="X876" t="str">
        <f t="shared" si="207"/>
        <v>德胜门项目|期末实际出租面积</v>
      </c>
      <c r="Y876">
        <f t="shared" si="208"/>
        <v>846</v>
      </c>
      <c r="Z876">
        <f>IF($A876="",0,IF(AND($M876=1,$A876=经营数据!$B$3,$J876=经营数据!$BA$5,OR($I876=经营数据!$BA$4,COUNTIF(经营数据!$AA$9:$AA$38,$I876)&gt;0)),1,0))</f>
        <v>0</v>
      </c>
      <c r="AA876" t="str">
        <f t="shared" si="209"/>
        <v/>
      </c>
      <c r="AB876" t="str">
        <f t="shared" si="210"/>
        <v/>
      </c>
      <c r="AC876">
        <f>IF($A876="",0,IF(COUNTIF($A$2:$A876,$A876)=1,1,0))</f>
        <v>0</v>
      </c>
      <c r="AD876">
        <f t="shared" si="211"/>
        <v>8</v>
      </c>
      <c r="AE876" t="str">
        <f t="shared" si="212"/>
        <v>德胜门项目|期末实际出租面积（平方米）</v>
      </c>
    </row>
    <row r="877" spans="1:31" x14ac:dyDescent="0.4">
      <c r="A877" t="str">
        <f>IF(原始经营数据!$D878="","",原始经营数据!$D878)</f>
        <v>嘉实物美消费封闭式基础设施证券投资基金</v>
      </c>
      <c r="B877" t="str">
        <f>IF(原始经营数据!$D878="","",T(原始经营数据!$E878))</f>
        <v>德胜门项目</v>
      </c>
      <c r="C877" t="str">
        <f>IF(原始经营数据!$D878="","",原始经营数据!$F878)</f>
        <v>2025Q2</v>
      </c>
      <c r="D877" t="str">
        <f>IF(原始经营数据!$D878="","",原始经营数据!$H878)</f>
        <v>期末出租率</v>
      </c>
      <c r="E877">
        <f>IF(原始经营数据!$D878="","",原始经营数据!$I878)</f>
        <v>98.69</v>
      </c>
      <c r="F877" t="str">
        <f>IF(原始经营数据!$D878="","",T(原始经营数据!$J878))</f>
        <v>%</v>
      </c>
      <c r="G877" t="str">
        <f>IF(原始经营数据!$D878="","",T(原始经营数据!$K878))</f>
        <v/>
      </c>
      <c r="H877" t="str">
        <f>IF(原始经营数据!$D878="","",原始经营数据!$G878)</f>
        <v>服务效率</v>
      </c>
      <c r="I877" t="str">
        <f>IF($A877="","",IF($B877&lt;&gt;"",$B877,IF(COUNTIFS(原始经营数据!$D$3:$D$3001,$A877,原始经营数据!$E$3:$E$3001,"",原始经营数据!$F$3:$F$3001,$C877,原始经营数据!$H$3:$H$3001,$D877,原始经营数据!$K$3:$K$3001,$G877)&gt;1,"基金整体·来源"&amp;原始经营数据!$A878,"基金整体")))</f>
        <v>德胜门项目</v>
      </c>
      <c r="J877" t="str">
        <f t="shared" si="198"/>
        <v>季度</v>
      </c>
      <c r="K877" t="str">
        <f t="shared" si="199"/>
        <v>期末出租率（%）</v>
      </c>
      <c r="L877" t="str">
        <f t="shared" si="200"/>
        <v>德胜门项目|期末出租率（%）|季度</v>
      </c>
      <c r="M877">
        <f>IF($A877="",0,IF(COUNTIF($L$2:$L877,$L877)=1,1,0))</f>
        <v>0</v>
      </c>
      <c r="N877">
        <f t="shared" si="201"/>
        <v>20252</v>
      </c>
      <c r="O877" t="str">
        <f t="shared" si="202"/>
        <v>嘉实物美消费封闭式基础设施证券投资基金|2025Q2|季度</v>
      </c>
      <c r="P877">
        <f>IF($A877="",0,IF(COUNTIF($O$2:$O877,$O877)=1,1,0))</f>
        <v>0</v>
      </c>
      <c r="Q877" t="str">
        <f>IF(AND($P877=1,$A877=经营数据!$B$3,$J877=经营数据!$BA$5),COUNTIFS($P$2:$P$3000,1,$A$2:$A$3000,$A877,$J$2:$J$3000,$J877,$N$2:$N$3000,"&lt;"&amp;$N877)+1,"")</f>
        <v/>
      </c>
      <c r="R877" t="str">
        <f t="shared" si="203"/>
        <v>嘉实物美消费封闭式基础设施证券投资基金|德胜门项目</v>
      </c>
      <c r="S877">
        <f>IF($A877="",0,IF(COUNTIF($R$2:$R877,$R877)=1,1,0))</f>
        <v>0</v>
      </c>
      <c r="T877">
        <f t="shared" si="204"/>
        <v>844</v>
      </c>
      <c r="U877" t="str">
        <f>IF($A877="","",IF($A877=经营数据!$B$3,COUNTIFS($S$2:$S$3000,1,$A$2:$A$3000,$A877,$T$2:$T$3000,"&lt;"&amp;$T877)+1,""))</f>
        <v/>
      </c>
      <c r="V877" t="str">
        <f t="shared" si="205"/>
        <v>德胜门项目|服务效率</v>
      </c>
      <c r="W877">
        <f t="shared" si="206"/>
        <v>844</v>
      </c>
      <c r="X877" t="str">
        <f t="shared" si="207"/>
        <v>德胜门项目|期末出租率</v>
      </c>
      <c r="Y877">
        <f t="shared" si="208"/>
        <v>847</v>
      </c>
      <c r="Z877">
        <f>IF($A877="",0,IF(AND($M877=1,$A877=经营数据!$B$3,$J877=经营数据!$BA$5,OR($I877=经营数据!$BA$4,COUNTIF(经营数据!$AA$9:$AA$38,$I877)&gt;0)),1,0))</f>
        <v>0</v>
      </c>
      <c r="AA877" t="str">
        <f t="shared" si="209"/>
        <v/>
      </c>
      <c r="AB877" t="str">
        <f t="shared" si="210"/>
        <v/>
      </c>
      <c r="AC877">
        <f>IF($A877="",0,IF(COUNTIF($A$2:$A877,$A877)=1,1,0))</f>
        <v>0</v>
      </c>
      <c r="AD877">
        <f t="shared" si="211"/>
        <v>8</v>
      </c>
      <c r="AE877" t="str">
        <f t="shared" si="212"/>
        <v>德胜门项目|期末出租率（%）</v>
      </c>
    </row>
    <row r="878" spans="1:31" x14ac:dyDescent="0.4">
      <c r="A878" t="str">
        <f>IF(原始经营数据!$D879="","",原始经营数据!$D879)</f>
        <v>嘉实物美消费封闭式基础设施证券投资基金</v>
      </c>
      <c r="B878" t="str">
        <f>IF(原始经营数据!$D879="","",T(原始经营数据!$E879))</f>
        <v>德胜门项目</v>
      </c>
      <c r="C878" t="str">
        <f>IF(原始经营数据!$D879="","",原始经营数据!$F879)</f>
        <v>2025Q2</v>
      </c>
      <c r="D878" t="str">
        <f>IF(原始经营数据!$D879="","",原始经营数据!$H879)</f>
        <v>期内租金单价水平</v>
      </c>
      <c r="E878">
        <f>IF(原始经营数据!$D879="","",原始经营数据!$I879)</f>
        <v>4.8600000000000003</v>
      </c>
      <c r="F878" t="str">
        <f>IF(原始经营数据!$D879="","",T(原始经营数据!$J879))</f>
        <v>元/平方米/天</v>
      </c>
      <c r="G878" t="str">
        <f>IF(原始经营数据!$D879="","",T(原始经营数据!$K879))</f>
        <v/>
      </c>
      <c r="H878" t="str">
        <f>IF(原始经营数据!$D879="","",原始经营数据!$G879)</f>
        <v>服务价格</v>
      </c>
      <c r="I878" t="str">
        <f>IF($A878="","",IF($B878&lt;&gt;"",$B878,IF(COUNTIFS(原始经营数据!$D$3:$D$3001,$A878,原始经营数据!$E$3:$E$3001,"",原始经营数据!$F$3:$F$3001,$C878,原始经营数据!$H$3:$H$3001,$D878,原始经营数据!$K$3:$K$3001,$G878)&gt;1,"基金整体·来源"&amp;原始经营数据!$A879,"基金整体")))</f>
        <v>德胜门项目</v>
      </c>
      <c r="J878" t="str">
        <f t="shared" si="198"/>
        <v>季度</v>
      </c>
      <c r="K878" t="str">
        <f t="shared" si="199"/>
        <v>期内租金单价水平（元/平方米/天）</v>
      </c>
      <c r="L878" t="str">
        <f t="shared" si="200"/>
        <v>德胜门项目|期内租金单价水平（元/平方米/天）|季度</v>
      </c>
      <c r="M878">
        <f>IF($A878="",0,IF(COUNTIF($L$2:$L878,$L878)=1,1,0))</f>
        <v>0</v>
      </c>
      <c r="N878">
        <f t="shared" si="201"/>
        <v>20252</v>
      </c>
      <c r="O878" t="str">
        <f t="shared" si="202"/>
        <v>嘉实物美消费封闭式基础设施证券投资基金|2025Q2|季度</v>
      </c>
      <c r="P878">
        <f>IF($A878="",0,IF(COUNTIF($O$2:$O878,$O878)=1,1,0))</f>
        <v>0</v>
      </c>
      <c r="Q878" t="str">
        <f>IF(AND($P878=1,$A878=经营数据!$B$3,$J878=经营数据!$BA$5),COUNTIFS($P$2:$P$3000,1,$A$2:$A$3000,$A878,$J$2:$J$3000,$J878,$N$2:$N$3000,"&lt;"&amp;$N878)+1,"")</f>
        <v/>
      </c>
      <c r="R878" t="str">
        <f t="shared" si="203"/>
        <v>嘉实物美消费封闭式基础设施证券投资基金|德胜门项目</v>
      </c>
      <c r="S878">
        <f>IF($A878="",0,IF(COUNTIF($R$2:$R878,$R878)=1,1,0))</f>
        <v>0</v>
      </c>
      <c r="T878">
        <f t="shared" si="204"/>
        <v>844</v>
      </c>
      <c r="U878" t="str">
        <f>IF($A878="","",IF($A878=经营数据!$B$3,COUNTIFS($S$2:$S$3000,1,$A$2:$A$3000,$A878,$T$2:$T$3000,"&lt;"&amp;$T878)+1,""))</f>
        <v/>
      </c>
      <c r="V878" t="str">
        <f t="shared" si="205"/>
        <v>德胜门项目|服务价格</v>
      </c>
      <c r="W878">
        <f t="shared" si="206"/>
        <v>849</v>
      </c>
      <c r="X878" t="str">
        <f t="shared" si="207"/>
        <v>德胜门项目|期内租金单价水平</v>
      </c>
      <c r="Y878">
        <f t="shared" si="208"/>
        <v>849</v>
      </c>
      <c r="Z878">
        <f>IF($A878="",0,IF(AND($M878=1,$A878=经营数据!$B$3,$J878=经营数据!$BA$5,OR($I878=经营数据!$BA$4,COUNTIF(经营数据!$AA$9:$AA$38,$I878)&gt;0)),1,0))</f>
        <v>0</v>
      </c>
      <c r="AA878" t="str">
        <f t="shared" si="209"/>
        <v/>
      </c>
      <c r="AB878" t="str">
        <f t="shared" si="210"/>
        <v/>
      </c>
      <c r="AC878">
        <f>IF($A878="",0,IF(COUNTIF($A$2:$A878,$A878)=1,1,0))</f>
        <v>0</v>
      </c>
      <c r="AD878">
        <f t="shared" si="211"/>
        <v>8</v>
      </c>
      <c r="AE878" t="str">
        <f t="shared" si="212"/>
        <v>德胜门项目|期内租金单价水平（元/平方米/天）</v>
      </c>
    </row>
    <row r="879" spans="1:31" x14ac:dyDescent="0.4">
      <c r="A879" t="str">
        <f>IF(原始经营数据!$D880="","",原始经营数据!$D880)</f>
        <v>嘉实物美消费封闭式基础设施证券投资基金</v>
      </c>
      <c r="B879" t="str">
        <f>IF(原始经营数据!$D880="","",T(原始经营数据!$E880))</f>
        <v>德胜门项目</v>
      </c>
      <c r="C879" t="str">
        <f>IF(原始经营数据!$D880="","",原始经营数据!$F880)</f>
        <v>2025Q2</v>
      </c>
      <c r="D879" t="str">
        <f>IF(原始经营数据!$D880="","",原始经营数据!$H880)</f>
        <v>期末剩余租期情况</v>
      </c>
      <c r="E879">
        <f>IF(原始经营数据!$D880="","",原始经营数据!$I880)</f>
        <v>6.49</v>
      </c>
      <c r="F879" t="str">
        <f>IF(原始经营数据!$D880="","",T(原始经营数据!$J880))</f>
        <v>年</v>
      </c>
      <c r="G879" t="str">
        <f>IF(原始经营数据!$D880="","",T(原始经营数据!$K880))</f>
        <v/>
      </c>
      <c r="H879" t="str">
        <f>IF(原始经营数据!$D880="","",原始经营数据!$G880)</f>
        <v>服务量</v>
      </c>
      <c r="I879" t="str">
        <f>IF($A879="","",IF($B879&lt;&gt;"",$B879,IF(COUNTIFS(原始经营数据!$D$3:$D$3001,$A879,原始经营数据!$E$3:$E$3001,"",原始经营数据!$F$3:$F$3001,$C879,原始经营数据!$H$3:$H$3001,$D879,原始经营数据!$K$3:$K$3001,$G879)&gt;1,"基金整体·来源"&amp;原始经营数据!$A880,"基金整体")))</f>
        <v>德胜门项目</v>
      </c>
      <c r="J879" t="str">
        <f t="shared" si="198"/>
        <v>季度</v>
      </c>
      <c r="K879" t="str">
        <f t="shared" si="199"/>
        <v>期末剩余租期情况（年）</v>
      </c>
      <c r="L879" t="str">
        <f t="shared" si="200"/>
        <v>德胜门项目|期末剩余租期情况（年）|季度</v>
      </c>
      <c r="M879">
        <f>IF($A879="",0,IF(COUNTIF($L$2:$L879,$L879)=1,1,0))</f>
        <v>0</v>
      </c>
      <c r="N879">
        <f t="shared" si="201"/>
        <v>20252</v>
      </c>
      <c r="O879" t="str">
        <f t="shared" si="202"/>
        <v>嘉实物美消费封闭式基础设施证券投资基金|2025Q2|季度</v>
      </c>
      <c r="P879">
        <f>IF($A879="",0,IF(COUNTIF($O$2:$O879,$O879)=1,1,0))</f>
        <v>0</v>
      </c>
      <c r="Q879" t="str">
        <f>IF(AND($P879=1,$A879=经营数据!$B$3,$J879=经营数据!$BA$5),COUNTIFS($P$2:$P$3000,1,$A$2:$A$3000,$A879,$J$2:$J$3000,$J879,$N$2:$N$3000,"&lt;"&amp;$N879)+1,"")</f>
        <v/>
      </c>
      <c r="R879" t="str">
        <f t="shared" si="203"/>
        <v>嘉实物美消费封闭式基础设施证券投资基金|德胜门项目</v>
      </c>
      <c r="S879">
        <f>IF($A879="",0,IF(COUNTIF($R$2:$R879,$R879)=1,1,0))</f>
        <v>0</v>
      </c>
      <c r="T879">
        <f t="shared" si="204"/>
        <v>844</v>
      </c>
      <c r="U879" t="str">
        <f>IF($A879="","",IF($A879=经营数据!$B$3,COUNTIFS($S$2:$S$3000,1,$A$2:$A$3000,$A879,$T$2:$T$3000,"&lt;"&amp;$T879)+1,""))</f>
        <v/>
      </c>
      <c r="V879" t="str">
        <f t="shared" si="205"/>
        <v>德胜门项目|服务量</v>
      </c>
      <c r="W879">
        <f t="shared" si="206"/>
        <v>845</v>
      </c>
      <c r="X879" t="str">
        <f t="shared" si="207"/>
        <v>德胜门项目|期末剩余租期情况</v>
      </c>
      <c r="Y879">
        <f t="shared" si="208"/>
        <v>848</v>
      </c>
      <c r="Z879">
        <f>IF($A879="",0,IF(AND($M879=1,$A879=经营数据!$B$3,$J879=经营数据!$BA$5,OR($I879=经营数据!$BA$4,COUNTIF(经营数据!$AA$9:$AA$38,$I879)&gt;0)),1,0))</f>
        <v>0</v>
      </c>
      <c r="AA879" t="str">
        <f t="shared" si="209"/>
        <v/>
      </c>
      <c r="AB879" t="str">
        <f t="shared" si="210"/>
        <v/>
      </c>
      <c r="AC879">
        <f>IF($A879="",0,IF(COUNTIF($A$2:$A879,$A879)=1,1,0))</f>
        <v>0</v>
      </c>
      <c r="AD879">
        <f t="shared" si="211"/>
        <v>8</v>
      </c>
      <c r="AE879" t="str">
        <f t="shared" si="212"/>
        <v>德胜门项目|期末剩余租期情况（年）</v>
      </c>
    </row>
    <row r="880" spans="1:31" x14ac:dyDescent="0.4">
      <c r="A880" t="str">
        <f>IF(原始经营数据!$D881="","",原始经营数据!$D881)</f>
        <v>嘉实物美消费封闭式基础设施证券投资基金</v>
      </c>
      <c r="B880" t="str">
        <f>IF(原始经营数据!$D881="","",T(原始经营数据!$E881))</f>
        <v>德胜门项目</v>
      </c>
      <c r="C880" t="str">
        <f>IF(原始经营数据!$D881="","",原始经营数据!$F881)</f>
        <v>2025Q2</v>
      </c>
      <c r="D880" t="str">
        <f>IF(原始经营数据!$D881="","",原始经营数据!$H881)</f>
        <v>期末租金收缴率</v>
      </c>
      <c r="E880">
        <f>IF(原始经营数据!$D881="","",原始经营数据!$I881)</f>
        <v>99.43</v>
      </c>
      <c r="F880" t="str">
        <f>IF(原始经营数据!$D881="","",T(原始经营数据!$J881))</f>
        <v>%</v>
      </c>
      <c r="G880" t="str">
        <f>IF(原始经营数据!$D881="","",T(原始经营数据!$K881))</f>
        <v/>
      </c>
      <c r="H880" t="str">
        <f>IF(原始经营数据!$D881="","",原始经营数据!$G881)</f>
        <v>服务效率</v>
      </c>
      <c r="I880" t="str">
        <f>IF($A880="","",IF($B880&lt;&gt;"",$B880,IF(COUNTIFS(原始经营数据!$D$3:$D$3001,$A880,原始经营数据!$E$3:$E$3001,"",原始经营数据!$F$3:$F$3001,$C880,原始经营数据!$H$3:$H$3001,$D880,原始经营数据!$K$3:$K$3001,$G880)&gt;1,"基金整体·来源"&amp;原始经营数据!$A881,"基金整体")))</f>
        <v>德胜门项目</v>
      </c>
      <c r="J880" t="str">
        <f t="shared" si="198"/>
        <v>季度</v>
      </c>
      <c r="K880" t="str">
        <f t="shared" si="199"/>
        <v>期末租金收缴率（%）</v>
      </c>
      <c r="L880" t="str">
        <f t="shared" si="200"/>
        <v>德胜门项目|期末租金收缴率（%）|季度</v>
      </c>
      <c r="M880">
        <f>IF($A880="",0,IF(COUNTIF($L$2:$L880,$L880)=1,1,0))</f>
        <v>0</v>
      </c>
      <c r="N880">
        <f t="shared" si="201"/>
        <v>20252</v>
      </c>
      <c r="O880" t="str">
        <f t="shared" si="202"/>
        <v>嘉实物美消费封闭式基础设施证券投资基金|2025Q2|季度</v>
      </c>
      <c r="P880">
        <f>IF($A880="",0,IF(COUNTIF($O$2:$O880,$O880)=1,1,0))</f>
        <v>0</v>
      </c>
      <c r="Q880" t="str">
        <f>IF(AND($P880=1,$A880=经营数据!$B$3,$J880=经营数据!$BA$5),COUNTIFS($P$2:$P$3000,1,$A$2:$A$3000,$A880,$J$2:$J$3000,$J880,$N$2:$N$3000,"&lt;"&amp;$N880)+1,"")</f>
        <v/>
      </c>
      <c r="R880" t="str">
        <f t="shared" si="203"/>
        <v>嘉实物美消费封闭式基础设施证券投资基金|德胜门项目</v>
      </c>
      <c r="S880">
        <f>IF($A880="",0,IF(COUNTIF($R$2:$R880,$R880)=1,1,0))</f>
        <v>0</v>
      </c>
      <c r="T880">
        <f t="shared" si="204"/>
        <v>844</v>
      </c>
      <c r="U880" t="str">
        <f>IF($A880="","",IF($A880=经营数据!$B$3,COUNTIFS($S$2:$S$3000,1,$A$2:$A$3000,$A880,$T$2:$T$3000,"&lt;"&amp;$T880)+1,""))</f>
        <v/>
      </c>
      <c r="V880" t="str">
        <f t="shared" si="205"/>
        <v>德胜门项目|服务效率</v>
      </c>
      <c r="W880">
        <f t="shared" si="206"/>
        <v>844</v>
      </c>
      <c r="X880" t="str">
        <f t="shared" si="207"/>
        <v>德胜门项目|期末租金收缴率</v>
      </c>
      <c r="Y880">
        <f t="shared" si="208"/>
        <v>844</v>
      </c>
      <c r="Z880">
        <f>IF($A880="",0,IF(AND($M880=1,$A880=经营数据!$B$3,$J880=经营数据!$BA$5,OR($I880=经营数据!$BA$4,COUNTIF(经营数据!$AA$9:$AA$38,$I880)&gt;0)),1,0))</f>
        <v>0</v>
      </c>
      <c r="AA880" t="str">
        <f t="shared" si="209"/>
        <v/>
      </c>
      <c r="AB880" t="str">
        <f t="shared" si="210"/>
        <v/>
      </c>
      <c r="AC880">
        <f>IF($A880="",0,IF(COUNTIF($A$2:$A880,$A880)=1,1,0))</f>
        <v>0</v>
      </c>
      <c r="AD880">
        <f t="shared" si="211"/>
        <v>8</v>
      </c>
      <c r="AE880" t="str">
        <f t="shared" si="212"/>
        <v>德胜门项目|期末租金收缴率（%）</v>
      </c>
    </row>
    <row r="881" spans="1:31" x14ac:dyDescent="0.4">
      <c r="A881" t="str">
        <f>IF(原始经营数据!$D882="","",原始经营数据!$D882)</f>
        <v>嘉实物美消费封闭式基础设施证券投资基金</v>
      </c>
      <c r="B881" t="str">
        <f>IF(原始经营数据!$D882="","",T(原始经营数据!$E882))</f>
        <v>德胜门项目</v>
      </c>
      <c r="C881" t="str">
        <f>IF(原始经营数据!$D882="","",原始经营数据!$F882)</f>
        <v>2025Q3</v>
      </c>
      <c r="D881" t="str">
        <f>IF(原始经营数据!$D882="","",原始经营数据!$H882)</f>
        <v>期末出租率</v>
      </c>
      <c r="E881">
        <f>IF(原始经营数据!$D882="","",原始经营数据!$I882)</f>
        <v>98.69</v>
      </c>
      <c r="F881" t="str">
        <f>IF(原始经营数据!$D882="","",T(原始经营数据!$J882))</f>
        <v>%</v>
      </c>
      <c r="G881" t="str">
        <f>IF(原始经营数据!$D882="","",T(原始经营数据!$K882))</f>
        <v/>
      </c>
      <c r="H881" t="str">
        <f>IF(原始经营数据!$D882="","",原始经营数据!$G882)</f>
        <v>服务效率</v>
      </c>
      <c r="I881" t="str">
        <f>IF($A881="","",IF($B881&lt;&gt;"",$B881,IF(COUNTIFS(原始经营数据!$D$3:$D$3001,$A881,原始经营数据!$E$3:$E$3001,"",原始经营数据!$F$3:$F$3001,$C881,原始经营数据!$H$3:$H$3001,$D881,原始经营数据!$K$3:$K$3001,$G881)&gt;1,"基金整体·来源"&amp;原始经营数据!$A882,"基金整体")))</f>
        <v>德胜门项目</v>
      </c>
      <c r="J881" t="str">
        <f t="shared" si="198"/>
        <v>季度</v>
      </c>
      <c r="K881" t="str">
        <f t="shared" si="199"/>
        <v>期末出租率（%）</v>
      </c>
      <c r="L881" t="str">
        <f t="shared" si="200"/>
        <v>德胜门项目|期末出租率（%）|季度</v>
      </c>
      <c r="M881">
        <f>IF($A881="",0,IF(COUNTIF($L$2:$L881,$L881)=1,1,0))</f>
        <v>0</v>
      </c>
      <c r="N881">
        <f t="shared" si="201"/>
        <v>20253</v>
      </c>
      <c r="O881" t="str">
        <f t="shared" si="202"/>
        <v>嘉实物美消费封闭式基础设施证券投资基金|2025Q3|季度</v>
      </c>
      <c r="P881">
        <f>IF($A881="",0,IF(COUNTIF($O$2:$O881,$O881)=1,1,0))</f>
        <v>0</v>
      </c>
      <c r="Q881" t="str">
        <f>IF(AND($P881=1,$A881=经营数据!$B$3,$J881=经营数据!$BA$5),COUNTIFS($P$2:$P$3000,1,$A$2:$A$3000,$A881,$J$2:$J$3000,$J881,$N$2:$N$3000,"&lt;"&amp;$N881)+1,"")</f>
        <v/>
      </c>
      <c r="R881" t="str">
        <f t="shared" si="203"/>
        <v>嘉实物美消费封闭式基础设施证券投资基金|德胜门项目</v>
      </c>
      <c r="S881">
        <f>IF($A881="",0,IF(COUNTIF($R$2:$R881,$R881)=1,1,0))</f>
        <v>0</v>
      </c>
      <c r="T881">
        <f t="shared" si="204"/>
        <v>844</v>
      </c>
      <c r="U881" t="str">
        <f>IF($A881="","",IF($A881=经营数据!$B$3,COUNTIFS($S$2:$S$3000,1,$A$2:$A$3000,$A881,$T$2:$T$3000,"&lt;"&amp;$T881)+1,""))</f>
        <v/>
      </c>
      <c r="V881" t="str">
        <f t="shared" si="205"/>
        <v>德胜门项目|服务效率</v>
      </c>
      <c r="W881">
        <f t="shared" si="206"/>
        <v>844</v>
      </c>
      <c r="X881" t="str">
        <f t="shared" si="207"/>
        <v>德胜门项目|期末出租率</v>
      </c>
      <c r="Y881">
        <f t="shared" si="208"/>
        <v>847</v>
      </c>
      <c r="Z881">
        <f>IF($A881="",0,IF(AND($M881=1,$A881=经营数据!$B$3,$J881=经营数据!$BA$5,OR($I881=经营数据!$BA$4,COUNTIF(经营数据!$AA$9:$AA$38,$I881)&gt;0)),1,0))</f>
        <v>0</v>
      </c>
      <c r="AA881" t="str">
        <f t="shared" si="209"/>
        <v/>
      </c>
      <c r="AB881" t="str">
        <f t="shared" si="210"/>
        <v/>
      </c>
      <c r="AC881">
        <f>IF($A881="",0,IF(COUNTIF($A$2:$A881,$A881)=1,1,0))</f>
        <v>0</v>
      </c>
      <c r="AD881">
        <f t="shared" si="211"/>
        <v>8</v>
      </c>
      <c r="AE881" t="str">
        <f t="shared" si="212"/>
        <v>德胜门项目|期末出租率（%）</v>
      </c>
    </row>
    <row r="882" spans="1:31" x14ac:dyDescent="0.4">
      <c r="A882" t="str">
        <f>IF(原始经营数据!$D883="","",原始经营数据!$D883)</f>
        <v>嘉实物美消费封闭式基础设施证券投资基金</v>
      </c>
      <c r="B882" t="str">
        <f>IF(原始经营数据!$D883="","",T(原始经营数据!$E883))</f>
        <v>德胜门项目</v>
      </c>
      <c r="C882" t="str">
        <f>IF(原始经营数据!$D883="","",原始经营数据!$F883)</f>
        <v>2025Q3</v>
      </c>
      <c r="D882" t="str">
        <f>IF(原始经营数据!$D883="","",原始经营数据!$H883)</f>
        <v>期末租金收缴率</v>
      </c>
      <c r="E882">
        <f>IF(原始经营数据!$D883="","",原始经营数据!$I883)</f>
        <v>99.98</v>
      </c>
      <c r="F882" t="str">
        <f>IF(原始经营数据!$D883="","",T(原始经营数据!$J883))</f>
        <v>%</v>
      </c>
      <c r="G882" t="str">
        <f>IF(原始经营数据!$D883="","",T(原始经营数据!$K883))</f>
        <v/>
      </c>
      <c r="H882" t="str">
        <f>IF(原始经营数据!$D883="","",原始经营数据!$G883)</f>
        <v>服务效率</v>
      </c>
      <c r="I882" t="str">
        <f>IF($A882="","",IF($B882&lt;&gt;"",$B882,IF(COUNTIFS(原始经营数据!$D$3:$D$3001,$A882,原始经营数据!$E$3:$E$3001,"",原始经营数据!$F$3:$F$3001,$C882,原始经营数据!$H$3:$H$3001,$D882,原始经营数据!$K$3:$K$3001,$G882)&gt;1,"基金整体·来源"&amp;原始经营数据!$A883,"基金整体")))</f>
        <v>德胜门项目</v>
      </c>
      <c r="J882" t="str">
        <f t="shared" si="198"/>
        <v>季度</v>
      </c>
      <c r="K882" t="str">
        <f t="shared" si="199"/>
        <v>期末租金收缴率（%）</v>
      </c>
      <c r="L882" t="str">
        <f t="shared" si="200"/>
        <v>德胜门项目|期末租金收缴率（%）|季度</v>
      </c>
      <c r="M882">
        <f>IF($A882="",0,IF(COUNTIF($L$2:$L882,$L882)=1,1,0))</f>
        <v>0</v>
      </c>
      <c r="N882">
        <f t="shared" si="201"/>
        <v>20253</v>
      </c>
      <c r="O882" t="str">
        <f t="shared" si="202"/>
        <v>嘉实物美消费封闭式基础设施证券投资基金|2025Q3|季度</v>
      </c>
      <c r="P882">
        <f>IF($A882="",0,IF(COUNTIF($O$2:$O882,$O882)=1,1,0))</f>
        <v>0</v>
      </c>
      <c r="Q882" t="str">
        <f>IF(AND($P882=1,$A882=经营数据!$B$3,$J882=经营数据!$BA$5),COUNTIFS($P$2:$P$3000,1,$A$2:$A$3000,$A882,$J$2:$J$3000,$J882,$N$2:$N$3000,"&lt;"&amp;$N882)+1,"")</f>
        <v/>
      </c>
      <c r="R882" t="str">
        <f t="shared" si="203"/>
        <v>嘉实物美消费封闭式基础设施证券投资基金|德胜门项目</v>
      </c>
      <c r="S882">
        <f>IF($A882="",0,IF(COUNTIF($R$2:$R882,$R882)=1,1,0))</f>
        <v>0</v>
      </c>
      <c r="T882">
        <f t="shared" si="204"/>
        <v>844</v>
      </c>
      <c r="U882" t="str">
        <f>IF($A882="","",IF($A882=经营数据!$B$3,COUNTIFS($S$2:$S$3000,1,$A$2:$A$3000,$A882,$T$2:$T$3000,"&lt;"&amp;$T882)+1,""))</f>
        <v/>
      </c>
      <c r="V882" t="str">
        <f t="shared" si="205"/>
        <v>德胜门项目|服务效率</v>
      </c>
      <c r="W882">
        <f t="shared" si="206"/>
        <v>844</v>
      </c>
      <c r="X882" t="str">
        <f t="shared" si="207"/>
        <v>德胜门项目|期末租金收缴率</v>
      </c>
      <c r="Y882">
        <f t="shared" si="208"/>
        <v>844</v>
      </c>
      <c r="Z882">
        <f>IF($A882="",0,IF(AND($M882=1,$A882=经营数据!$B$3,$J882=经营数据!$BA$5,OR($I882=经营数据!$BA$4,COUNTIF(经营数据!$AA$9:$AA$38,$I882)&gt;0)),1,0))</f>
        <v>0</v>
      </c>
      <c r="AA882" t="str">
        <f t="shared" si="209"/>
        <v/>
      </c>
      <c r="AB882" t="str">
        <f t="shared" si="210"/>
        <v/>
      </c>
      <c r="AC882">
        <f>IF($A882="",0,IF(COUNTIF($A$2:$A882,$A882)=1,1,0))</f>
        <v>0</v>
      </c>
      <c r="AD882">
        <f t="shared" si="211"/>
        <v>8</v>
      </c>
      <c r="AE882" t="str">
        <f t="shared" si="212"/>
        <v>德胜门项目|期末租金收缴率（%）</v>
      </c>
    </row>
    <row r="883" spans="1:31" x14ac:dyDescent="0.4">
      <c r="A883" t="str">
        <f>IF(原始经营数据!$D884="","",原始经营数据!$D884)</f>
        <v>嘉实物美消费封闭式基础设施证券投资基金</v>
      </c>
      <c r="B883" t="str">
        <f>IF(原始经营数据!$D884="","",T(原始经营数据!$E884))</f>
        <v>德胜门项目</v>
      </c>
      <c r="C883" t="str">
        <f>IF(原始经营数据!$D884="","",原始经营数据!$F884)</f>
        <v>2025Q3</v>
      </c>
      <c r="D883" t="str">
        <f>IF(原始经营数据!$D884="","",原始经营数据!$H884)</f>
        <v>期末剩余租期情况</v>
      </c>
      <c r="E883">
        <f>IF(原始经营数据!$D884="","",原始经营数据!$I884)</f>
        <v>6.28</v>
      </c>
      <c r="F883" t="str">
        <f>IF(原始经营数据!$D884="","",T(原始经营数据!$J884))</f>
        <v>年</v>
      </c>
      <c r="G883" t="str">
        <f>IF(原始经营数据!$D884="","",T(原始经营数据!$K884))</f>
        <v/>
      </c>
      <c r="H883" t="str">
        <f>IF(原始经营数据!$D884="","",原始经营数据!$G884)</f>
        <v>服务量</v>
      </c>
      <c r="I883" t="str">
        <f>IF($A883="","",IF($B883&lt;&gt;"",$B883,IF(COUNTIFS(原始经营数据!$D$3:$D$3001,$A883,原始经营数据!$E$3:$E$3001,"",原始经营数据!$F$3:$F$3001,$C883,原始经营数据!$H$3:$H$3001,$D883,原始经营数据!$K$3:$K$3001,$G883)&gt;1,"基金整体·来源"&amp;原始经营数据!$A884,"基金整体")))</f>
        <v>德胜门项目</v>
      </c>
      <c r="J883" t="str">
        <f t="shared" si="198"/>
        <v>季度</v>
      </c>
      <c r="K883" t="str">
        <f t="shared" si="199"/>
        <v>期末剩余租期情况（年）</v>
      </c>
      <c r="L883" t="str">
        <f t="shared" si="200"/>
        <v>德胜门项目|期末剩余租期情况（年）|季度</v>
      </c>
      <c r="M883">
        <f>IF($A883="",0,IF(COUNTIF($L$2:$L883,$L883)=1,1,0))</f>
        <v>0</v>
      </c>
      <c r="N883">
        <f t="shared" si="201"/>
        <v>20253</v>
      </c>
      <c r="O883" t="str">
        <f t="shared" si="202"/>
        <v>嘉实物美消费封闭式基础设施证券投资基金|2025Q3|季度</v>
      </c>
      <c r="P883">
        <f>IF($A883="",0,IF(COUNTIF($O$2:$O883,$O883)=1,1,0))</f>
        <v>0</v>
      </c>
      <c r="Q883" t="str">
        <f>IF(AND($P883=1,$A883=经营数据!$B$3,$J883=经营数据!$BA$5),COUNTIFS($P$2:$P$3000,1,$A$2:$A$3000,$A883,$J$2:$J$3000,$J883,$N$2:$N$3000,"&lt;"&amp;$N883)+1,"")</f>
        <v/>
      </c>
      <c r="R883" t="str">
        <f t="shared" si="203"/>
        <v>嘉实物美消费封闭式基础设施证券投资基金|德胜门项目</v>
      </c>
      <c r="S883">
        <f>IF($A883="",0,IF(COUNTIF($R$2:$R883,$R883)=1,1,0))</f>
        <v>0</v>
      </c>
      <c r="T883">
        <f t="shared" si="204"/>
        <v>844</v>
      </c>
      <c r="U883" t="str">
        <f>IF($A883="","",IF($A883=经营数据!$B$3,COUNTIFS($S$2:$S$3000,1,$A$2:$A$3000,$A883,$T$2:$T$3000,"&lt;"&amp;$T883)+1,""))</f>
        <v/>
      </c>
      <c r="V883" t="str">
        <f t="shared" si="205"/>
        <v>德胜门项目|服务量</v>
      </c>
      <c r="W883">
        <f t="shared" si="206"/>
        <v>845</v>
      </c>
      <c r="X883" t="str">
        <f t="shared" si="207"/>
        <v>德胜门项目|期末剩余租期情况</v>
      </c>
      <c r="Y883">
        <f t="shared" si="208"/>
        <v>848</v>
      </c>
      <c r="Z883">
        <f>IF($A883="",0,IF(AND($M883=1,$A883=经营数据!$B$3,$J883=经营数据!$BA$5,OR($I883=经营数据!$BA$4,COUNTIF(经营数据!$AA$9:$AA$38,$I883)&gt;0)),1,0))</f>
        <v>0</v>
      </c>
      <c r="AA883" t="str">
        <f t="shared" si="209"/>
        <v/>
      </c>
      <c r="AB883" t="str">
        <f t="shared" si="210"/>
        <v/>
      </c>
      <c r="AC883">
        <f>IF($A883="",0,IF(COUNTIF($A$2:$A883,$A883)=1,1,0))</f>
        <v>0</v>
      </c>
      <c r="AD883">
        <f t="shared" si="211"/>
        <v>8</v>
      </c>
      <c r="AE883" t="str">
        <f t="shared" si="212"/>
        <v>德胜门项目|期末剩余租期情况（年）</v>
      </c>
    </row>
    <row r="884" spans="1:31" x14ac:dyDescent="0.4">
      <c r="A884" t="str">
        <f>IF(原始经营数据!$D885="","",原始经营数据!$D885)</f>
        <v>嘉实物美消费封闭式基础设施证券投资基金</v>
      </c>
      <c r="B884" t="str">
        <f>IF(原始经营数据!$D885="","",T(原始经营数据!$E885))</f>
        <v>德胜门项目</v>
      </c>
      <c r="C884" t="str">
        <f>IF(原始经营数据!$D885="","",原始经营数据!$F885)</f>
        <v>2025Q3</v>
      </c>
      <c r="D884" t="str">
        <f>IF(原始经营数据!$D885="","",原始经营数据!$H885)</f>
        <v>期内租金单价水平</v>
      </c>
      <c r="E884">
        <f>IF(原始经营数据!$D885="","",原始经营数据!$I885)</f>
        <v>4.75</v>
      </c>
      <c r="F884" t="str">
        <f>IF(原始经营数据!$D885="","",T(原始经营数据!$J885))</f>
        <v>元/平方米/天</v>
      </c>
      <c r="G884" t="str">
        <f>IF(原始经营数据!$D885="","",T(原始经营数据!$K885))</f>
        <v/>
      </c>
      <c r="H884" t="str">
        <f>IF(原始经营数据!$D885="","",原始经营数据!$G885)</f>
        <v>服务价格</v>
      </c>
      <c r="I884" t="str">
        <f>IF($A884="","",IF($B884&lt;&gt;"",$B884,IF(COUNTIFS(原始经营数据!$D$3:$D$3001,$A884,原始经营数据!$E$3:$E$3001,"",原始经营数据!$F$3:$F$3001,$C884,原始经营数据!$H$3:$H$3001,$D884,原始经营数据!$K$3:$K$3001,$G884)&gt;1,"基金整体·来源"&amp;原始经营数据!$A885,"基金整体")))</f>
        <v>德胜门项目</v>
      </c>
      <c r="J884" t="str">
        <f t="shared" si="198"/>
        <v>季度</v>
      </c>
      <c r="K884" t="str">
        <f t="shared" si="199"/>
        <v>期内租金单价水平（元/平方米/天）</v>
      </c>
      <c r="L884" t="str">
        <f t="shared" si="200"/>
        <v>德胜门项目|期内租金单价水平（元/平方米/天）|季度</v>
      </c>
      <c r="M884">
        <f>IF($A884="",0,IF(COUNTIF($L$2:$L884,$L884)=1,1,0))</f>
        <v>0</v>
      </c>
      <c r="N884">
        <f t="shared" si="201"/>
        <v>20253</v>
      </c>
      <c r="O884" t="str">
        <f t="shared" si="202"/>
        <v>嘉实物美消费封闭式基础设施证券投资基金|2025Q3|季度</v>
      </c>
      <c r="P884">
        <f>IF($A884="",0,IF(COUNTIF($O$2:$O884,$O884)=1,1,0))</f>
        <v>0</v>
      </c>
      <c r="Q884" t="str">
        <f>IF(AND($P884=1,$A884=经营数据!$B$3,$J884=经营数据!$BA$5),COUNTIFS($P$2:$P$3000,1,$A$2:$A$3000,$A884,$J$2:$J$3000,$J884,$N$2:$N$3000,"&lt;"&amp;$N884)+1,"")</f>
        <v/>
      </c>
      <c r="R884" t="str">
        <f t="shared" si="203"/>
        <v>嘉实物美消费封闭式基础设施证券投资基金|德胜门项目</v>
      </c>
      <c r="S884">
        <f>IF($A884="",0,IF(COUNTIF($R$2:$R884,$R884)=1,1,0))</f>
        <v>0</v>
      </c>
      <c r="T884">
        <f t="shared" si="204"/>
        <v>844</v>
      </c>
      <c r="U884" t="str">
        <f>IF($A884="","",IF($A884=经营数据!$B$3,COUNTIFS($S$2:$S$3000,1,$A$2:$A$3000,$A884,$T$2:$T$3000,"&lt;"&amp;$T884)+1,""))</f>
        <v/>
      </c>
      <c r="V884" t="str">
        <f t="shared" si="205"/>
        <v>德胜门项目|服务价格</v>
      </c>
      <c r="W884">
        <f t="shared" si="206"/>
        <v>849</v>
      </c>
      <c r="X884" t="str">
        <f t="shared" si="207"/>
        <v>德胜门项目|期内租金单价水平</v>
      </c>
      <c r="Y884">
        <f t="shared" si="208"/>
        <v>849</v>
      </c>
      <c r="Z884">
        <f>IF($A884="",0,IF(AND($M884=1,$A884=经营数据!$B$3,$J884=经营数据!$BA$5,OR($I884=经营数据!$BA$4,COUNTIF(经营数据!$AA$9:$AA$38,$I884)&gt;0)),1,0))</f>
        <v>0</v>
      </c>
      <c r="AA884" t="str">
        <f t="shared" si="209"/>
        <v/>
      </c>
      <c r="AB884" t="str">
        <f t="shared" si="210"/>
        <v/>
      </c>
      <c r="AC884">
        <f>IF($A884="",0,IF(COUNTIF($A$2:$A884,$A884)=1,1,0))</f>
        <v>0</v>
      </c>
      <c r="AD884">
        <f t="shared" si="211"/>
        <v>8</v>
      </c>
      <c r="AE884" t="str">
        <f t="shared" si="212"/>
        <v>德胜门项目|期内租金单价水平（元/平方米/天）</v>
      </c>
    </row>
    <row r="885" spans="1:31" x14ac:dyDescent="0.4">
      <c r="A885" t="str">
        <f>IF(原始经营数据!$D886="","",原始经营数据!$D886)</f>
        <v>嘉实物美消费封闭式基础设施证券投资基金</v>
      </c>
      <c r="B885" t="str">
        <f>IF(原始经营数据!$D886="","",T(原始经营数据!$E886))</f>
        <v>德胜门项目</v>
      </c>
      <c r="C885" t="str">
        <f>IF(原始经营数据!$D886="","",原始经营数据!$F886)</f>
        <v>2025Q3</v>
      </c>
      <c r="D885" t="str">
        <f>IF(原始经营数据!$D886="","",原始经营数据!$H886)</f>
        <v>期末实际出租面积</v>
      </c>
      <c r="E885">
        <f>IF(原始经营数据!$D886="","",原始经营数据!$I886)</f>
        <v>8615.7800000000007</v>
      </c>
      <c r="F885" t="str">
        <f>IF(原始经营数据!$D886="","",T(原始经营数据!$J886))</f>
        <v>平方米</v>
      </c>
      <c r="G885" t="str">
        <f>IF(原始经营数据!$D886="","",T(原始经营数据!$K886))</f>
        <v/>
      </c>
      <c r="H885" t="str">
        <f>IF(原始经营数据!$D886="","",原始经营数据!$G886)</f>
        <v>服务量</v>
      </c>
      <c r="I885" t="str">
        <f>IF($A885="","",IF($B885&lt;&gt;"",$B885,IF(COUNTIFS(原始经营数据!$D$3:$D$3001,$A885,原始经营数据!$E$3:$E$3001,"",原始经营数据!$F$3:$F$3001,$C885,原始经营数据!$H$3:$H$3001,$D885,原始经营数据!$K$3:$K$3001,$G885)&gt;1,"基金整体·来源"&amp;原始经营数据!$A886,"基金整体")))</f>
        <v>德胜门项目</v>
      </c>
      <c r="J885" t="str">
        <f t="shared" si="198"/>
        <v>季度</v>
      </c>
      <c r="K885" t="str">
        <f t="shared" si="199"/>
        <v>期末实际出租面积（平方米）</v>
      </c>
      <c r="L885" t="str">
        <f t="shared" si="200"/>
        <v>德胜门项目|期末实际出租面积（平方米）|季度</v>
      </c>
      <c r="M885">
        <f>IF($A885="",0,IF(COUNTIF($L$2:$L885,$L885)=1,1,0))</f>
        <v>0</v>
      </c>
      <c r="N885">
        <f t="shared" si="201"/>
        <v>20253</v>
      </c>
      <c r="O885" t="str">
        <f t="shared" si="202"/>
        <v>嘉实物美消费封闭式基础设施证券投资基金|2025Q3|季度</v>
      </c>
      <c r="P885">
        <f>IF($A885="",0,IF(COUNTIF($O$2:$O885,$O885)=1,1,0))</f>
        <v>0</v>
      </c>
      <c r="Q885" t="str">
        <f>IF(AND($P885=1,$A885=经营数据!$B$3,$J885=经营数据!$BA$5),COUNTIFS($P$2:$P$3000,1,$A$2:$A$3000,$A885,$J$2:$J$3000,$J885,$N$2:$N$3000,"&lt;"&amp;$N885)+1,"")</f>
        <v/>
      </c>
      <c r="R885" t="str">
        <f t="shared" si="203"/>
        <v>嘉实物美消费封闭式基础设施证券投资基金|德胜门项目</v>
      </c>
      <c r="S885">
        <f>IF($A885="",0,IF(COUNTIF($R$2:$R885,$R885)=1,1,0))</f>
        <v>0</v>
      </c>
      <c r="T885">
        <f t="shared" si="204"/>
        <v>844</v>
      </c>
      <c r="U885" t="str">
        <f>IF($A885="","",IF($A885=经营数据!$B$3,COUNTIFS($S$2:$S$3000,1,$A$2:$A$3000,$A885,$T$2:$T$3000,"&lt;"&amp;$T885)+1,""))</f>
        <v/>
      </c>
      <c r="V885" t="str">
        <f t="shared" si="205"/>
        <v>德胜门项目|服务量</v>
      </c>
      <c r="W885">
        <f t="shared" si="206"/>
        <v>845</v>
      </c>
      <c r="X885" t="str">
        <f t="shared" si="207"/>
        <v>德胜门项目|期末实际出租面积</v>
      </c>
      <c r="Y885">
        <f t="shared" si="208"/>
        <v>846</v>
      </c>
      <c r="Z885">
        <f>IF($A885="",0,IF(AND($M885=1,$A885=经营数据!$B$3,$J885=经营数据!$BA$5,OR($I885=经营数据!$BA$4,COUNTIF(经营数据!$AA$9:$AA$38,$I885)&gt;0)),1,0))</f>
        <v>0</v>
      </c>
      <c r="AA885" t="str">
        <f t="shared" si="209"/>
        <v/>
      </c>
      <c r="AB885" t="str">
        <f t="shared" si="210"/>
        <v/>
      </c>
      <c r="AC885">
        <f>IF($A885="",0,IF(COUNTIF($A$2:$A885,$A885)=1,1,0))</f>
        <v>0</v>
      </c>
      <c r="AD885">
        <f t="shared" si="211"/>
        <v>8</v>
      </c>
      <c r="AE885" t="str">
        <f t="shared" si="212"/>
        <v>德胜门项目|期末实际出租面积（平方米）</v>
      </c>
    </row>
    <row r="886" spans="1:31" x14ac:dyDescent="0.4">
      <c r="A886" t="str">
        <f>IF(原始经营数据!$D887="","",原始经营数据!$D887)</f>
        <v>嘉实物美消费封闭式基础设施证券投资基金</v>
      </c>
      <c r="B886" t="str">
        <f>IF(原始经营数据!$D887="","",T(原始经营数据!$E887))</f>
        <v>德胜门项目</v>
      </c>
      <c r="C886" t="str">
        <f>IF(原始经营数据!$D887="","",原始经营数据!$F887)</f>
        <v>2025Q3</v>
      </c>
      <c r="D886" t="str">
        <f>IF(原始经营数据!$D887="","",原始经营数据!$H887)</f>
        <v>期末可供出租面积</v>
      </c>
      <c r="E886">
        <f>IF(原始经营数据!$D887="","",原始经营数据!$I887)</f>
        <v>8729.74</v>
      </c>
      <c r="F886" t="str">
        <f>IF(原始经营数据!$D887="","",T(原始经营数据!$J887))</f>
        <v>平方米</v>
      </c>
      <c r="G886" t="str">
        <f>IF(原始经营数据!$D887="","",T(原始经营数据!$K887))</f>
        <v/>
      </c>
      <c r="H886" t="str">
        <f>IF(原始经营数据!$D887="","",原始经营数据!$G887)</f>
        <v>服务量</v>
      </c>
      <c r="I886" t="str">
        <f>IF($A886="","",IF($B886&lt;&gt;"",$B886,IF(COUNTIFS(原始经营数据!$D$3:$D$3001,$A886,原始经营数据!$E$3:$E$3001,"",原始经营数据!$F$3:$F$3001,$C886,原始经营数据!$H$3:$H$3001,$D886,原始经营数据!$K$3:$K$3001,$G886)&gt;1,"基金整体·来源"&amp;原始经营数据!$A887,"基金整体")))</f>
        <v>德胜门项目</v>
      </c>
      <c r="J886" t="str">
        <f t="shared" si="198"/>
        <v>季度</v>
      </c>
      <c r="K886" t="str">
        <f t="shared" si="199"/>
        <v>期末可供出租面积（平方米）</v>
      </c>
      <c r="L886" t="str">
        <f t="shared" si="200"/>
        <v>德胜门项目|期末可供出租面积（平方米）|季度</v>
      </c>
      <c r="M886">
        <f>IF($A886="",0,IF(COUNTIF($L$2:$L886,$L886)=1,1,0))</f>
        <v>0</v>
      </c>
      <c r="N886">
        <f t="shared" si="201"/>
        <v>20253</v>
      </c>
      <c r="O886" t="str">
        <f t="shared" si="202"/>
        <v>嘉实物美消费封闭式基础设施证券投资基金|2025Q3|季度</v>
      </c>
      <c r="P886">
        <f>IF($A886="",0,IF(COUNTIF($O$2:$O886,$O886)=1,1,0))</f>
        <v>0</v>
      </c>
      <c r="Q886" t="str">
        <f>IF(AND($P886=1,$A886=经营数据!$B$3,$J886=经营数据!$BA$5),COUNTIFS($P$2:$P$3000,1,$A$2:$A$3000,$A886,$J$2:$J$3000,$J886,$N$2:$N$3000,"&lt;"&amp;$N886)+1,"")</f>
        <v/>
      </c>
      <c r="R886" t="str">
        <f t="shared" si="203"/>
        <v>嘉实物美消费封闭式基础设施证券投资基金|德胜门项目</v>
      </c>
      <c r="S886">
        <f>IF($A886="",0,IF(COUNTIF($R$2:$R886,$R886)=1,1,0))</f>
        <v>0</v>
      </c>
      <c r="T886">
        <f t="shared" si="204"/>
        <v>844</v>
      </c>
      <c r="U886" t="str">
        <f>IF($A886="","",IF($A886=经营数据!$B$3,COUNTIFS($S$2:$S$3000,1,$A$2:$A$3000,$A886,$T$2:$T$3000,"&lt;"&amp;$T886)+1,""))</f>
        <v/>
      </c>
      <c r="V886" t="str">
        <f t="shared" si="205"/>
        <v>德胜门项目|服务量</v>
      </c>
      <c r="W886">
        <f t="shared" si="206"/>
        <v>845</v>
      </c>
      <c r="X886" t="str">
        <f t="shared" si="207"/>
        <v>德胜门项目|期末可供出租面积</v>
      </c>
      <c r="Y886">
        <f t="shared" si="208"/>
        <v>845</v>
      </c>
      <c r="Z886">
        <f>IF($A886="",0,IF(AND($M886=1,$A886=经营数据!$B$3,$J886=经营数据!$BA$5,OR($I886=经营数据!$BA$4,COUNTIF(经营数据!$AA$9:$AA$38,$I886)&gt;0)),1,0))</f>
        <v>0</v>
      </c>
      <c r="AA886" t="str">
        <f t="shared" si="209"/>
        <v/>
      </c>
      <c r="AB886" t="str">
        <f t="shared" si="210"/>
        <v/>
      </c>
      <c r="AC886">
        <f>IF($A886="",0,IF(COUNTIF($A$2:$A886,$A886)=1,1,0))</f>
        <v>0</v>
      </c>
      <c r="AD886">
        <f t="shared" si="211"/>
        <v>8</v>
      </c>
      <c r="AE886" t="str">
        <f t="shared" si="212"/>
        <v>德胜门项目|期末可供出租面积（平方米）</v>
      </c>
    </row>
    <row r="887" spans="1:31" x14ac:dyDescent="0.4">
      <c r="A887" t="str">
        <f>IF(原始经营数据!$D888="","",原始经营数据!$D888)</f>
        <v>嘉实物美消费封闭式基础设施证券投资基金</v>
      </c>
      <c r="B887" t="str">
        <f>IF(原始经营数据!$D888="","",T(原始经营数据!$E888))</f>
        <v>德胜门项目</v>
      </c>
      <c r="C887" t="str">
        <f>IF(原始经营数据!$D888="","",原始经营数据!$F888)</f>
        <v>2025Q4</v>
      </c>
      <c r="D887" t="str">
        <f>IF(原始经营数据!$D888="","",原始经营数据!$H888)</f>
        <v>期末出租率</v>
      </c>
      <c r="E887">
        <f>IF(原始经营数据!$D888="","",原始经营数据!$I888)</f>
        <v>99.67</v>
      </c>
      <c r="F887" t="str">
        <f>IF(原始经营数据!$D888="","",T(原始经营数据!$J888))</f>
        <v>%</v>
      </c>
      <c r="G887" t="str">
        <f>IF(原始经营数据!$D888="","",T(原始经营数据!$K888))</f>
        <v/>
      </c>
      <c r="H887" t="str">
        <f>IF(原始经营数据!$D888="","",原始经营数据!$G888)</f>
        <v>服务效率</v>
      </c>
      <c r="I887" t="str">
        <f>IF($A887="","",IF($B887&lt;&gt;"",$B887,IF(COUNTIFS(原始经营数据!$D$3:$D$3001,$A887,原始经营数据!$E$3:$E$3001,"",原始经营数据!$F$3:$F$3001,$C887,原始经营数据!$H$3:$H$3001,$D887,原始经营数据!$K$3:$K$3001,$G887)&gt;1,"基金整体·来源"&amp;原始经营数据!$A888,"基金整体")))</f>
        <v>德胜门项目</v>
      </c>
      <c r="J887" t="str">
        <f t="shared" si="198"/>
        <v>季度</v>
      </c>
      <c r="K887" t="str">
        <f t="shared" si="199"/>
        <v>期末出租率（%）</v>
      </c>
      <c r="L887" t="str">
        <f t="shared" si="200"/>
        <v>德胜门项目|期末出租率（%）|季度</v>
      </c>
      <c r="M887">
        <f>IF($A887="",0,IF(COUNTIF($L$2:$L887,$L887)=1,1,0))</f>
        <v>0</v>
      </c>
      <c r="N887">
        <f t="shared" si="201"/>
        <v>20254</v>
      </c>
      <c r="O887" t="str">
        <f t="shared" si="202"/>
        <v>嘉实物美消费封闭式基础设施证券投资基金|2025Q4|季度</v>
      </c>
      <c r="P887">
        <f>IF($A887="",0,IF(COUNTIF($O$2:$O887,$O887)=1,1,0))</f>
        <v>0</v>
      </c>
      <c r="Q887" t="str">
        <f>IF(AND($P887=1,$A887=经营数据!$B$3,$J887=经营数据!$BA$5),COUNTIFS($P$2:$P$3000,1,$A$2:$A$3000,$A887,$J$2:$J$3000,$J887,$N$2:$N$3000,"&lt;"&amp;$N887)+1,"")</f>
        <v/>
      </c>
      <c r="R887" t="str">
        <f t="shared" si="203"/>
        <v>嘉实物美消费封闭式基础设施证券投资基金|德胜门项目</v>
      </c>
      <c r="S887">
        <f>IF($A887="",0,IF(COUNTIF($R$2:$R887,$R887)=1,1,0))</f>
        <v>0</v>
      </c>
      <c r="T887">
        <f t="shared" si="204"/>
        <v>844</v>
      </c>
      <c r="U887" t="str">
        <f>IF($A887="","",IF($A887=经营数据!$B$3,COUNTIFS($S$2:$S$3000,1,$A$2:$A$3000,$A887,$T$2:$T$3000,"&lt;"&amp;$T887)+1,""))</f>
        <v/>
      </c>
      <c r="V887" t="str">
        <f t="shared" si="205"/>
        <v>德胜门项目|服务效率</v>
      </c>
      <c r="W887">
        <f t="shared" si="206"/>
        <v>844</v>
      </c>
      <c r="X887" t="str">
        <f t="shared" si="207"/>
        <v>德胜门项目|期末出租率</v>
      </c>
      <c r="Y887">
        <f t="shared" si="208"/>
        <v>847</v>
      </c>
      <c r="Z887">
        <f>IF($A887="",0,IF(AND($M887=1,$A887=经营数据!$B$3,$J887=经营数据!$BA$5,OR($I887=经营数据!$BA$4,COUNTIF(经营数据!$AA$9:$AA$38,$I887)&gt;0)),1,0))</f>
        <v>0</v>
      </c>
      <c r="AA887" t="str">
        <f t="shared" si="209"/>
        <v/>
      </c>
      <c r="AB887" t="str">
        <f t="shared" si="210"/>
        <v/>
      </c>
      <c r="AC887">
        <f>IF($A887="",0,IF(COUNTIF($A$2:$A887,$A887)=1,1,0))</f>
        <v>0</v>
      </c>
      <c r="AD887">
        <f t="shared" si="211"/>
        <v>8</v>
      </c>
      <c r="AE887" t="str">
        <f t="shared" si="212"/>
        <v>德胜门项目|期末出租率（%）</v>
      </c>
    </row>
    <row r="888" spans="1:31" x14ac:dyDescent="0.4">
      <c r="A888" t="str">
        <f>IF(原始经营数据!$D889="","",原始经营数据!$D889)</f>
        <v>嘉实物美消费封闭式基础设施证券投资基金</v>
      </c>
      <c r="B888" t="str">
        <f>IF(原始经营数据!$D889="","",T(原始经营数据!$E889))</f>
        <v>德胜门项目</v>
      </c>
      <c r="C888" t="str">
        <f>IF(原始经营数据!$D889="","",原始经营数据!$F889)</f>
        <v>2025Q4</v>
      </c>
      <c r="D888" t="str">
        <f>IF(原始经营数据!$D889="","",原始经营数据!$H889)</f>
        <v>期末可供出租面积</v>
      </c>
      <c r="E888">
        <f>IF(原始经营数据!$D889="","",原始经营数据!$I889)</f>
        <v>8729.74</v>
      </c>
      <c r="F888" t="str">
        <f>IF(原始经营数据!$D889="","",T(原始经营数据!$J889))</f>
        <v>平方米</v>
      </c>
      <c r="G888" t="str">
        <f>IF(原始经营数据!$D889="","",T(原始经营数据!$K889))</f>
        <v/>
      </c>
      <c r="H888" t="str">
        <f>IF(原始经营数据!$D889="","",原始经营数据!$G889)</f>
        <v>服务量</v>
      </c>
      <c r="I888" t="str">
        <f>IF($A888="","",IF($B888&lt;&gt;"",$B888,IF(COUNTIFS(原始经营数据!$D$3:$D$3001,$A888,原始经营数据!$E$3:$E$3001,"",原始经营数据!$F$3:$F$3001,$C888,原始经营数据!$H$3:$H$3001,$D888,原始经营数据!$K$3:$K$3001,$G888)&gt;1,"基金整体·来源"&amp;原始经营数据!$A889,"基金整体")))</f>
        <v>德胜门项目</v>
      </c>
      <c r="J888" t="str">
        <f t="shared" si="198"/>
        <v>季度</v>
      </c>
      <c r="K888" t="str">
        <f t="shared" si="199"/>
        <v>期末可供出租面积（平方米）</v>
      </c>
      <c r="L888" t="str">
        <f t="shared" si="200"/>
        <v>德胜门项目|期末可供出租面积（平方米）|季度</v>
      </c>
      <c r="M888">
        <f>IF($A888="",0,IF(COUNTIF($L$2:$L888,$L888)=1,1,0))</f>
        <v>0</v>
      </c>
      <c r="N888">
        <f t="shared" si="201"/>
        <v>20254</v>
      </c>
      <c r="O888" t="str">
        <f t="shared" si="202"/>
        <v>嘉实物美消费封闭式基础设施证券投资基金|2025Q4|季度</v>
      </c>
      <c r="P888">
        <f>IF($A888="",0,IF(COUNTIF($O$2:$O888,$O888)=1,1,0))</f>
        <v>0</v>
      </c>
      <c r="Q888" t="str">
        <f>IF(AND($P888=1,$A888=经营数据!$B$3,$J888=经营数据!$BA$5),COUNTIFS($P$2:$P$3000,1,$A$2:$A$3000,$A888,$J$2:$J$3000,$J888,$N$2:$N$3000,"&lt;"&amp;$N888)+1,"")</f>
        <v/>
      </c>
      <c r="R888" t="str">
        <f t="shared" si="203"/>
        <v>嘉实物美消费封闭式基础设施证券投资基金|德胜门项目</v>
      </c>
      <c r="S888">
        <f>IF($A888="",0,IF(COUNTIF($R$2:$R888,$R888)=1,1,0))</f>
        <v>0</v>
      </c>
      <c r="T888">
        <f t="shared" si="204"/>
        <v>844</v>
      </c>
      <c r="U888" t="str">
        <f>IF($A888="","",IF($A888=经营数据!$B$3,COUNTIFS($S$2:$S$3000,1,$A$2:$A$3000,$A888,$T$2:$T$3000,"&lt;"&amp;$T888)+1,""))</f>
        <v/>
      </c>
      <c r="V888" t="str">
        <f t="shared" si="205"/>
        <v>德胜门项目|服务量</v>
      </c>
      <c r="W888">
        <f t="shared" si="206"/>
        <v>845</v>
      </c>
      <c r="X888" t="str">
        <f t="shared" si="207"/>
        <v>德胜门项目|期末可供出租面积</v>
      </c>
      <c r="Y888">
        <f t="shared" si="208"/>
        <v>845</v>
      </c>
      <c r="Z888">
        <f>IF($A888="",0,IF(AND($M888=1,$A888=经营数据!$B$3,$J888=经营数据!$BA$5,OR($I888=经营数据!$BA$4,COUNTIF(经营数据!$AA$9:$AA$38,$I888)&gt;0)),1,0))</f>
        <v>0</v>
      </c>
      <c r="AA888" t="str">
        <f t="shared" si="209"/>
        <v/>
      </c>
      <c r="AB888" t="str">
        <f t="shared" si="210"/>
        <v/>
      </c>
      <c r="AC888">
        <f>IF($A888="",0,IF(COUNTIF($A$2:$A888,$A888)=1,1,0))</f>
        <v>0</v>
      </c>
      <c r="AD888">
        <f t="shared" si="211"/>
        <v>8</v>
      </c>
      <c r="AE888" t="str">
        <f t="shared" si="212"/>
        <v>德胜门项目|期末可供出租面积（平方米）</v>
      </c>
    </row>
    <row r="889" spans="1:31" x14ac:dyDescent="0.4">
      <c r="A889" t="str">
        <f>IF(原始经营数据!$D890="","",原始经营数据!$D890)</f>
        <v>嘉实物美消费封闭式基础设施证券投资基金</v>
      </c>
      <c r="B889" t="str">
        <f>IF(原始经营数据!$D890="","",T(原始经营数据!$E890))</f>
        <v>德胜门项目</v>
      </c>
      <c r="C889" t="str">
        <f>IF(原始经营数据!$D890="","",原始经营数据!$F890)</f>
        <v>2025Q4</v>
      </c>
      <c r="D889" t="str">
        <f>IF(原始经营数据!$D890="","",原始经营数据!$H890)</f>
        <v>期末实际出租面积</v>
      </c>
      <c r="E889">
        <f>IF(原始经营数据!$D890="","",原始经营数据!$I890)</f>
        <v>8701.27</v>
      </c>
      <c r="F889" t="str">
        <f>IF(原始经营数据!$D890="","",T(原始经营数据!$J890))</f>
        <v>平方米</v>
      </c>
      <c r="G889" t="str">
        <f>IF(原始经营数据!$D890="","",T(原始经营数据!$K890))</f>
        <v/>
      </c>
      <c r="H889" t="str">
        <f>IF(原始经营数据!$D890="","",原始经营数据!$G890)</f>
        <v>服务量</v>
      </c>
      <c r="I889" t="str">
        <f>IF($A889="","",IF($B889&lt;&gt;"",$B889,IF(COUNTIFS(原始经营数据!$D$3:$D$3001,$A889,原始经营数据!$E$3:$E$3001,"",原始经营数据!$F$3:$F$3001,$C889,原始经营数据!$H$3:$H$3001,$D889,原始经营数据!$K$3:$K$3001,$G889)&gt;1,"基金整体·来源"&amp;原始经营数据!$A890,"基金整体")))</f>
        <v>德胜门项目</v>
      </c>
      <c r="J889" t="str">
        <f t="shared" si="198"/>
        <v>季度</v>
      </c>
      <c r="K889" t="str">
        <f t="shared" si="199"/>
        <v>期末实际出租面积（平方米）</v>
      </c>
      <c r="L889" t="str">
        <f t="shared" si="200"/>
        <v>德胜门项目|期末实际出租面积（平方米）|季度</v>
      </c>
      <c r="M889">
        <f>IF($A889="",0,IF(COUNTIF($L$2:$L889,$L889)=1,1,0))</f>
        <v>0</v>
      </c>
      <c r="N889">
        <f t="shared" si="201"/>
        <v>20254</v>
      </c>
      <c r="O889" t="str">
        <f t="shared" si="202"/>
        <v>嘉实物美消费封闭式基础设施证券投资基金|2025Q4|季度</v>
      </c>
      <c r="P889">
        <f>IF($A889="",0,IF(COUNTIF($O$2:$O889,$O889)=1,1,0))</f>
        <v>0</v>
      </c>
      <c r="Q889" t="str">
        <f>IF(AND($P889=1,$A889=经营数据!$B$3,$J889=经营数据!$BA$5),COUNTIFS($P$2:$P$3000,1,$A$2:$A$3000,$A889,$J$2:$J$3000,$J889,$N$2:$N$3000,"&lt;"&amp;$N889)+1,"")</f>
        <v/>
      </c>
      <c r="R889" t="str">
        <f t="shared" si="203"/>
        <v>嘉实物美消费封闭式基础设施证券投资基金|德胜门项目</v>
      </c>
      <c r="S889">
        <f>IF($A889="",0,IF(COUNTIF($R$2:$R889,$R889)=1,1,0))</f>
        <v>0</v>
      </c>
      <c r="T889">
        <f t="shared" si="204"/>
        <v>844</v>
      </c>
      <c r="U889" t="str">
        <f>IF($A889="","",IF($A889=经营数据!$B$3,COUNTIFS($S$2:$S$3000,1,$A$2:$A$3000,$A889,$T$2:$T$3000,"&lt;"&amp;$T889)+1,""))</f>
        <v/>
      </c>
      <c r="V889" t="str">
        <f t="shared" si="205"/>
        <v>德胜门项目|服务量</v>
      </c>
      <c r="W889">
        <f t="shared" si="206"/>
        <v>845</v>
      </c>
      <c r="X889" t="str">
        <f t="shared" si="207"/>
        <v>德胜门项目|期末实际出租面积</v>
      </c>
      <c r="Y889">
        <f t="shared" si="208"/>
        <v>846</v>
      </c>
      <c r="Z889">
        <f>IF($A889="",0,IF(AND($M889=1,$A889=经营数据!$B$3,$J889=经营数据!$BA$5,OR($I889=经营数据!$BA$4,COUNTIF(经营数据!$AA$9:$AA$38,$I889)&gt;0)),1,0))</f>
        <v>0</v>
      </c>
      <c r="AA889" t="str">
        <f t="shared" si="209"/>
        <v/>
      </c>
      <c r="AB889" t="str">
        <f t="shared" si="210"/>
        <v/>
      </c>
      <c r="AC889">
        <f>IF($A889="",0,IF(COUNTIF($A$2:$A889,$A889)=1,1,0))</f>
        <v>0</v>
      </c>
      <c r="AD889">
        <f t="shared" si="211"/>
        <v>8</v>
      </c>
      <c r="AE889" t="str">
        <f t="shared" si="212"/>
        <v>德胜门项目|期末实际出租面积（平方米）</v>
      </c>
    </row>
    <row r="890" spans="1:31" x14ac:dyDescent="0.4">
      <c r="A890" t="str">
        <f>IF(原始经营数据!$D891="","",原始经营数据!$D891)</f>
        <v>嘉实物美消费封闭式基础设施证券投资基金</v>
      </c>
      <c r="B890" t="str">
        <f>IF(原始经营数据!$D891="","",T(原始经营数据!$E891))</f>
        <v>德胜门项目</v>
      </c>
      <c r="C890" t="str">
        <f>IF(原始经营数据!$D891="","",原始经营数据!$F891)</f>
        <v>2025Q4</v>
      </c>
      <c r="D890" t="str">
        <f>IF(原始经营数据!$D891="","",原始经营数据!$H891)</f>
        <v>期内租金单价水平</v>
      </c>
      <c r="E890">
        <f>IF(原始经营数据!$D891="","",原始经营数据!$I891)</f>
        <v>4.92</v>
      </c>
      <c r="F890" t="str">
        <f>IF(原始经营数据!$D891="","",T(原始经营数据!$J891))</f>
        <v>元/平方米/天</v>
      </c>
      <c r="G890" t="str">
        <f>IF(原始经营数据!$D891="","",T(原始经营数据!$K891))</f>
        <v/>
      </c>
      <c r="H890" t="str">
        <f>IF(原始经营数据!$D891="","",原始经营数据!$G891)</f>
        <v>服务价格</v>
      </c>
      <c r="I890" t="str">
        <f>IF($A890="","",IF($B890&lt;&gt;"",$B890,IF(COUNTIFS(原始经营数据!$D$3:$D$3001,$A890,原始经营数据!$E$3:$E$3001,"",原始经营数据!$F$3:$F$3001,$C890,原始经营数据!$H$3:$H$3001,$D890,原始经营数据!$K$3:$K$3001,$G890)&gt;1,"基金整体·来源"&amp;原始经营数据!$A891,"基金整体")))</f>
        <v>德胜门项目</v>
      </c>
      <c r="J890" t="str">
        <f t="shared" si="198"/>
        <v>季度</v>
      </c>
      <c r="K890" t="str">
        <f t="shared" si="199"/>
        <v>期内租金单价水平（元/平方米/天）</v>
      </c>
      <c r="L890" t="str">
        <f t="shared" si="200"/>
        <v>德胜门项目|期内租金单价水平（元/平方米/天）|季度</v>
      </c>
      <c r="M890">
        <f>IF($A890="",0,IF(COUNTIF($L$2:$L890,$L890)=1,1,0))</f>
        <v>0</v>
      </c>
      <c r="N890">
        <f t="shared" si="201"/>
        <v>20254</v>
      </c>
      <c r="O890" t="str">
        <f t="shared" si="202"/>
        <v>嘉实物美消费封闭式基础设施证券投资基金|2025Q4|季度</v>
      </c>
      <c r="P890">
        <f>IF($A890="",0,IF(COUNTIF($O$2:$O890,$O890)=1,1,0))</f>
        <v>0</v>
      </c>
      <c r="Q890" t="str">
        <f>IF(AND($P890=1,$A890=经营数据!$B$3,$J890=经营数据!$BA$5),COUNTIFS($P$2:$P$3000,1,$A$2:$A$3000,$A890,$J$2:$J$3000,$J890,$N$2:$N$3000,"&lt;"&amp;$N890)+1,"")</f>
        <v/>
      </c>
      <c r="R890" t="str">
        <f t="shared" si="203"/>
        <v>嘉实物美消费封闭式基础设施证券投资基金|德胜门项目</v>
      </c>
      <c r="S890">
        <f>IF($A890="",0,IF(COUNTIF($R$2:$R890,$R890)=1,1,0))</f>
        <v>0</v>
      </c>
      <c r="T890">
        <f t="shared" si="204"/>
        <v>844</v>
      </c>
      <c r="U890" t="str">
        <f>IF($A890="","",IF($A890=经营数据!$B$3,COUNTIFS($S$2:$S$3000,1,$A$2:$A$3000,$A890,$T$2:$T$3000,"&lt;"&amp;$T890)+1,""))</f>
        <v/>
      </c>
      <c r="V890" t="str">
        <f t="shared" si="205"/>
        <v>德胜门项目|服务价格</v>
      </c>
      <c r="W890">
        <f t="shared" si="206"/>
        <v>849</v>
      </c>
      <c r="X890" t="str">
        <f t="shared" si="207"/>
        <v>德胜门项目|期内租金单价水平</v>
      </c>
      <c r="Y890">
        <f t="shared" si="208"/>
        <v>849</v>
      </c>
      <c r="Z890">
        <f>IF($A890="",0,IF(AND($M890=1,$A890=经营数据!$B$3,$J890=经营数据!$BA$5,OR($I890=经营数据!$BA$4,COUNTIF(经营数据!$AA$9:$AA$38,$I890)&gt;0)),1,0))</f>
        <v>0</v>
      </c>
      <c r="AA890" t="str">
        <f t="shared" si="209"/>
        <v/>
      </c>
      <c r="AB890" t="str">
        <f t="shared" si="210"/>
        <v/>
      </c>
      <c r="AC890">
        <f>IF($A890="",0,IF(COUNTIF($A$2:$A890,$A890)=1,1,0))</f>
        <v>0</v>
      </c>
      <c r="AD890">
        <f t="shared" si="211"/>
        <v>8</v>
      </c>
      <c r="AE890" t="str">
        <f t="shared" si="212"/>
        <v>德胜门项目|期内租金单价水平（元/平方米/天）</v>
      </c>
    </row>
    <row r="891" spans="1:31" x14ac:dyDescent="0.4">
      <c r="A891" t="str">
        <f>IF(原始经营数据!$D892="","",原始经营数据!$D892)</f>
        <v>嘉实物美消费封闭式基础设施证券投资基金</v>
      </c>
      <c r="B891" t="str">
        <f>IF(原始经营数据!$D892="","",T(原始经营数据!$E892))</f>
        <v>德胜门项目</v>
      </c>
      <c r="C891" t="str">
        <f>IF(原始经营数据!$D892="","",原始经营数据!$F892)</f>
        <v>2025Q4</v>
      </c>
      <c r="D891" t="str">
        <f>IF(原始经营数据!$D892="","",原始经营数据!$H892)</f>
        <v>期末剩余租期情况</v>
      </c>
      <c r="E891">
        <f>IF(原始经营数据!$D892="","",原始经营数据!$I892)</f>
        <v>6.25</v>
      </c>
      <c r="F891" t="str">
        <f>IF(原始经营数据!$D892="","",T(原始经营数据!$J892))</f>
        <v>年</v>
      </c>
      <c r="G891" t="str">
        <f>IF(原始经营数据!$D892="","",T(原始经营数据!$K892))</f>
        <v/>
      </c>
      <c r="H891" t="str">
        <f>IF(原始经营数据!$D892="","",原始经营数据!$G892)</f>
        <v>服务量</v>
      </c>
      <c r="I891" t="str">
        <f>IF($A891="","",IF($B891&lt;&gt;"",$B891,IF(COUNTIFS(原始经营数据!$D$3:$D$3001,$A891,原始经营数据!$E$3:$E$3001,"",原始经营数据!$F$3:$F$3001,$C891,原始经营数据!$H$3:$H$3001,$D891,原始经营数据!$K$3:$K$3001,$G891)&gt;1,"基金整体·来源"&amp;原始经营数据!$A892,"基金整体")))</f>
        <v>德胜门项目</v>
      </c>
      <c r="J891" t="str">
        <f t="shared" si="198"/>
        <v>季度</v>
      </c>
      <c r="K891" t="str">
        <f t="shared" si="199"/>
        <v>期末剩余租期情况（年）</v>
      </c>
      <c r="L891" t="str">
        <f t="shared" si="200"/>
        <v>德胜门项目|期末剩余租期情况（年）|季度</v>
      </c>
      <c r="M891">
        <f>IF($A891="",0,IF(COUNTIF($L$2:$L891,$L891)=1,1,0))</f>
        <v>0</v>
      </c>
      <c r="N891">
        <f t="shared" si="201"/>
        <v>20254</v>
      </c>
      <c r="O891" t="str">
        <f t="shared" si="202"/>
        <v>嘉实物美消费封闭式基础设施证券投资基金|2025Q4|季度</v>
      </c>
      <c r="P891">
        <f>IF($A891="",0,IF(COUNTIF($O$2:$O891,$O891)=1,1,0))</f>
        <v>0</v>
      </c>
      <c r="Q891" t="str">
        <f>IF(AND($P891=1,$A891=经营数据!$B$3,$J891=经营数据!$BA$5),COUNTIFS($P$2:$P$3000,1,$A$2:$A$3000,$A891,$J$2:$J$3000,$J891,$N$2:$N$3000,"&lt;"&amp;$N891)+1,"")</f>
        <v/>
      </c>
      <c r="R891" t="str">
        <f t="shared" si="203"/>
        <v>嘉实物美消费封闭式基础设施证券投资基金|德胜门项目</v>
      </c>
      <c r="S891">
        <f>IF($A891="",0,IF(COUNTIF($R$2:$R891,$R891)=1,1,0))</f>
        <v>0</v>
      </c>
      <c r="T891">
        <f t="shared" si="204"/>
        <v>844</v>
      </c>
      <c r="U891" t="str">
        <f>IF($A891="","",IF($A891=经营数据!$B$3,COUNTIFS($S$2:$S$3000,1,$A$2:$A$3000,$A891,$T$2:$T$3000,"&lt;"&amp;$T891)+1,""))</f>
        <v/>
      </c>
      <c r="V891" t="str">
        <f t="shared" si="205"/>
        <v>德胜门项目|服务量</v>
      </c>
      <c r="W891">
        <f t="shared" si="206"/>
        <v>845</v>
      </c>
      <c r="X891" t="str">
        <f t="shared" si="207"/>
        <v>德胜门项目|期末剩余租期情况</v>
      </c>
      <c r="Y891">
        <f t="shared" si="208"/>
        <v>848</v>
      </c>
      <c r="Z891">
        <f>IF($A891="",0,IF(AND($M891=1,$A891=经营数据!$B$3,$J891=经营数据!$BA$5,OR($I891=经营数据!$BA$4,COUNTIF(经营数据!$AA$9:$AA$38,$I891)&gt;0)),1,0))</f>
        <v>0</v>
      </c>
      <c r="AA891" t="str">
        <f t="shared" si="209"/>
        <v/>
      </c>
      <c r="AB891" t="str">
        <f t="shared" si="210"/>
        <v/>
      </c>
      <c r="AC891">
        <f>IF($A891="",0,IF(COUNTIF($A$2:$A891,$A891)=1,1,0))</f>
        <v>0</v>
      </c>
      <c r="AD891">
        <f t="shared" si="211"/>
        <v>8</v>
      </c>
      <c r="AE891" t="str">
        <f t="shared" si="212"/>
        <v>德胜门项目|期末剩余租期情况（年）</v>
      </c>
    </row>
    <row r="892" spans="1:31" x14ac:dyDescent="0.4">
      <c r="A892" t="str">
        <f>IF(原始经营数据!$D893="","",原始经营数据!$D893)</f>
        <v>嘉实物美消费封闭式基础设施证券投资基金</v>
      </c>
      <c r="B892" t="str">
        <f>IF(原始经营数据!$D893="","",T(原始经营数据!$E893))</f>
        <v>德胜门项目</v>
      </c>
      <c r="C892" t="str">
        <f>IF(原始经营数据!$D893="","",原始经营数据!$F893)</f>
        <v>2025Q4</v>
      </c>
      <c r="D892" t="str">
        <f>IF(原始经营数据!$D893="","",原始经营数据!$H893)</f>
        <v>期末租金收缴率</v>
      </c>
      <c r="E892">
        <f>IF(原始经营数据!$D893="","",原始经营数据!$I893)</f>
        <v>99.63</v>
      </c>
      <c r="F892" t="str">
        <f>IF(原始经营数据!$D893="","",T(原始经营数据!$J893))</f>
        <v>%</v>
      </c>
      <c r="G892" t="str">
        <f>IF(原始经营数据!$D893="","",T(原始经营数据!$K893))</f>
        <v/>
      </c>
      <c r="H892" t="str">
        <f>IF(原始经营数据!$D893="","",原始经营数据!$G893)</f>
        <v>服务效率</v>
      </c>
      <c r="I892" t="str">
        <f>IF($A892="","",IF($B892&lt;&gt;"",$B892,IF(COUNTIFS(原始经营数据!$D$3:$D$3001,$A892,原始经营数据!$E$3:$E$3001,"",原始经营数据!$F$3:$F$3001,$C892,原始经营数据!$H$3:$H$3001,$D892,原始经营数据!$K$3:$K$3001,$G892)&gt;1,"基金整体·来源"&amp;原始经营数据!$A893,"基金整体")))</f>
        <v>德胜门项目</v>
      </c>
      <c r="J892" t="str">
        <f t="shared" si="198"/>
        <v>季度</v>
      </c>
      <c r="K892" t="str">
        <f t="shared" si="199"/>
        <v>期末租金收缴率（%）</v>
      </c>
      <c r="L892" t="str">
        <f t="shared" si="200"/>
        <v>德胜门项目|期末租金收缴率（%）|季度</v>
      </c>
      <c r="M892">
        <f>IF($A892="",0,IF(COUNTIF($L$2:$L892,$L892)=1,1,0))</f>
        <v>0</v>
      </c>
      <c r="N892">
        <f t="shared" si="201"/>
        <v>20254</v>
      </c>
      <c r="O892" t="str">
        <f t="shared" si="202"/>
        <v>嘉实物美消费封闭式基础设施证券投资基金|2025Q4|季度</v>
      </c>
      <c r="P892">
        <f>IF($A892="",0,IF(COUNTIF($O$2:$O892,$O892)=1,1,0))</f>
        <v>0</v>
      </c>
      <c r="Q892" t="str">
        <f>IF(AND($P892=1,$A892=经营数据!$B$3,$J892=经营数据!$BA$5),COUNTIFS($P$2:$P$3000,1,$A$2:$A$3000,$A892,$J$2:$J$3000,$J892,$N$2:$N$3000,"&lt;"&amp;$N892)+1,"")</f>
        <v/>
      </c>
      <c r="R892" t="str">
        <f t="shared" si="203"/>
        <v>嘉实物美消费封闭式基础设施证券投资基金|德胜门项目</v>
      </c>
      <c r="S892">
        <f>IF($A892="",0,IF(COUNTIF($R$2:$R892,$R892)=1,1,0))</f>
        <v>0</v>
      </c>
      <c r="T892">
        <f t="shared" si="204"/>
        <v>844</v>
      </c>
      <c r="U892" t="str">
        <f>IF($A892="","",IF($A892=经营数据!$B$3,COUNTIFS($S$2:$S$3000,1,$A$2:$A$3000,$A892,$T$2:$T$3000,"&lt;"&amp;$T892)+1,""))</f>
        <v/>
      </c>
      <c r="V892" t="str">
        <f t="shared" si="205"/>
        <v>德胜门项目|服务效率</v>
      </c>
      <c r="W892">
        <f t="shared" si="206"/>
        <v>844</v>
      </c>
      <c r="X892" t="str">
        <f t="shared" si="207"/>
        <v>德胜门项目|期末租金收缴率</v>
      </c>
      <c r="Y892">
        <f t="shared" si="208"/>
        <v>844</v>
      </c>
      <c r="Z892">
        <f>IF($A892="",0,IF(AND($M892=1,$A892=经营数据!$B$3,$J892=经营数据!$BA$5,OR($I892=经营数据!$BA$4,COUNTIF(经营数据!$AA$9:$AA$38,$I892)&gt;0)),1,0))</f>
        <v>0</v>
      </c>
      <c r="AA892" t="str">
        <f t="shared" si="209"/>
        <v/>
      </c>
      <c r="AB892" t="str">
        <f t="shared" si="210"/>
        <v/>
      </c>
      <c r="AC892">
        <f>IF($A892="",0,IF(COUNTIF($A$2:$A892,$A892)=1,1,0))</f>
        <v>0</v>
      </c>
      <c r="AD892">
        <f t="shared" si="211"/>
        <v>8</v>
      </c>
      <c r="AE892" t="str">
        <f t="shared" si="212"/>
        <v>德胜门项目|期末租金收缴率（%）</v>
      </c>
    </row>
    <row r="893" spans="1:31" x14ac:dyDescent="0.4">
      <c r="A893" t="str">
        <f>IF(原始经营数据!$D894="","",原始经营数据!$D894)</f>
        <v>嘉实物美消费封闭式基础设施证券投资基金</v>
      </c>
      <c r="B893" t="str">
        <f>IF(原始经营数据!$D894="","",T(原始经营数据!$E894))</f>
        <v>德胜门项目</v>
      </c>
      <c r="C893" t="str">
        <f>IF(原始经营数据!$D894="","",原始经营数据!$F894)</f>
        <v>2026Q1</v>
      </c>
      <c r="D893" t="str">
        <f>IF(原始经营数据!$D894="","",原始经营数据!$H894)</f>
        <v>期内租金单价水平</v>
      </c>
      <c r="E893">
        <f>IF(原始经营数据!$D894="","",原始经营数据!$I894)</f>
        <v>4.97</v>
      </c>
      <c r="F893" t="str">
        <f>IF(原始经营数据!$D894="","",T(原始经营数据!$J894))</f>
        <v>元/平方米/天</v>
      </c>
      <c r="G893" t="str">
        <f>IF(原始经营数据!$D894="","",T(原始经营数据!$K894))</f>
        <v/>
      </c>
      <c r="H893" t="str">
        <f>IF(原始经营数据!$D894="","",原始经营数据!$G894)</f>
        <v>服务价格</v>
      </c>
      <c r="I893" t="str">
        <f>IF($A893="","",IF($B893&lt;&gt;"",$B893,IF(COUNTIFS(原始经营数据!$D$3:$D$3001,$A893,原始经营数据!$E$3:$E$3001,"",原始经营数据!$F$3:$F$3001,$C893,原始经营数据!$H$3:$H$3001,$D893,原始经营数据!$K$3:$K$3001,$G893)&gt;1,"基金整体·来源"&amp;原始经营数据!$A894,"基金整体")))</f>
        <v>德胜门项目</v>
      </c>
      <c r="J893" t="str">
        <f t="shared" si="198"/>
        <v>季度</v>
      </c>
      <c r="K893" t="str">
        <f t="shared" si="199"/>
        <v>期内租金单价水平（元/平方米/天）</v>
      </c>
      <c r="L893" t="str">
        <f t="shared" si="200"/>
        <v>德胜门项目|期内租金单价水平（元/平方米/天）|季度</v>
      </c>
      <c r="M893">
        <f>IF($A893="",0,IF(COUNTIF($L$2:$L893,$L893)=1,1,0))</f>
        <v>0</v>
      </c>
      <c r="N893">
        <f t="shared" si="201"/>
        <v>20261</v>
      </c>
      <c r="O893" t="str">
        <f t="shared" si="202"/>
        <v>嘉实物美消费封闭式基础设施证券投资基金|2026Q1|季度</v>
      </c>
      <c r="P893">
        <f>IF($A893="",0,IF(COUNTIF($O$2:$O893,$O893)=1,1,0))</f>
        <v>0</v>
      </c>
      <c r="Q893" t="str">
        <f>IF(AND($P893=1,$A893=经营数据!$B$3,$J893=经营数据!$BA$5),COUNTIFS($P$2:$P$3000,1,$A$2:$A$3000,$A893,$J$2:$J$3000,$J893,$N$2:$N$3000,"&lt;"&amp;$N893)+1,"")</f>
        <v/>
      </c>
      <c r="R893" t="str">
        <f t="shared" si="203"/>
        <v>嘉实物美消费封闭式基础设施证券投资基金|德胜门项目</v>
      </c>
      <c r="S893">
        <f>IF($A893="",0,IF(COUNTIF($R$2:$R893,$R893)=1,1,0))</f>
        <v>0</v>
      </c>
      <c r="T893">
        <f t="shared" si="204"/>
        <v>844</v>
      </c>
      <c r="U893" t="str">
        <f>IF($A893="","",IF($A893=经营数据!$B$3,COUNTIFS($S$2:$S$3000,1,$A$2:$A$3000,$A893,$T$2:$T$3000,"&lt;"&amp;$T893)+1,""))</f>
        <v/>
      </c>
      <c r="V893" t="str">
        <f t="shared" si="205"/>
        <v>德胜门项目|服务价格</v>
      </c>
      <c r="W893">
        <f t="shared" si="206"/>
        <v>849</v>
      </c>
      <c r="X893" t="str">
        <f t="shared" si="207"/>
        <v>德胜门项目|期内租金单价水平</v>
      </c>
      <c r="Y893">
        <f t="shared" si="208"/>
        <v>849</v>
      </c>
      <c r="Z893">
        <f>IF($A893="",0,IF(AND($M893=1,$A893=经营数据!$B$3,$J893=经营数据!$BA$5,OR($I893=经营数据!$BA$4,COUNTIF(经营数据!$AA$9:$AA$38,$I893)&gt;0)),1,0))</f>
        <v>0</v>
      </c>
      <c r="AA893" t="str">
        <f t="shared" si="209"/>
        <v/>
      </c>
      <c r="AB893" t="str">
        <f t="shared" si="210"/>
        <v/>
      </c>
      <c r="AC893">
        <f>IF($A893="",0,IF(COUNTIF($A$2:$A893,$A893)=1,1,0))</f>
        <v>0</v>
      </c>
      <c r="AD893">
        <f t="shared" si="211"/>
        <v>8</v>
      </c>
      <c r="AE893" t="str">
        <f t="shared" si="212"/>
        <v>德胜门项目|期内租金单价水平（元/平方米/天）</v>
      </c>
    </row>
    <row r="894" spans="1:31" x14ac:dyDescent="0.4">
      <c r="A894" t="str">
        <f>IF(原始经营数据!$D895="","",原始经营数据!$D895)</f>
        <v>嘉实物美消费封闭式基础设施证券投资基金</v>
      </c>
      <c r="B894" t="str">
        <f>IF(原始经营数据!$D895="","",T(原始经营数据!$E895))</f>
        <v>德胜门项目</v>
      </c>
      <c r="C894" t="str">
        <f>IF(原始经营数据!$D895="","",原始经营数据!$F895)</f>
        <v>2026Q1</v>
      </c>
      <c r="D894" t="str">
        <f>IF(原始经营数据!$D895="","",原始经营数据!$H895)</f>
        <v>期末出租率</v>
      </c>
      <c r="E894">
        <f>IF(原始经营数据!$D895="","",原始经营数据!$I895)</f>
        <v>99.67</v>
      </c>
      <c r="F894" t="str">
        <f>IF(原始经营数据!$D895="","",T(原始经营数据!$J895))</f>
        <v>%</v>
      </c>
      <c r="G894" t="str">
        <f>IF(原始经营数据!$D895="","",T(原始经营数据!$K895))</f>
        <v/>
      </c>
      <c r="H894" t="str">
        <f>IF(原始经营数据!$D895="","",原始经营数据!$G895)</f>
        <v>服务效率</v>
      </c>
      <c r="I894" t="str">
        <f>IF($A894="","",IF($B894&lt;&gt;"",$B894,IF(COUNTIFS(原始经营数据!$D$3:$D$3001,$A894,原始经营数据!$E$3:$E$3001,"",原始经营数据!$F$3:$F$3001,$C894,原始经营数据!$H$3:$H$3001,$D894,原始经营数据!$K$3:$K$3001,$G894)&gt;1,"基金整体·来源"&amp;原始经营数据!$A895,"基金整体")))</f>
        <v>德胜门项目</v>
      </c>
      <c r="J894" t="str">
        <f t="shared" si="198"/>
        <v>季度</v>
      </c>
      <c r="K894" t="str">
        <f t="shared" si="199"/>
        <v>期末出租率（%）</v>
      </c>
      <c r="L894" t="str">
        <f t="shared" si="200"/>
        <v>德胜门项目|期末出租率（%）|季度</v>
      </c>
      <c r="M894">
        <f>IF($A894="",0,IF(COUNTIF($L$2:$L894,$L894)=1,1,0))</f>
        <v>0</v>
      </c>
      <c r="N894">
        <f t="shared" si="201"/>
        <v>20261</v>
      </c>
      <c r="O894" t="str">
        <f t="shared" si="202"/>
        <v>嘉实物美消费封闭式基础设施证券投资基金|2026Q1|季度</v>
      </c>
      <c r="P894">
        <f>IF($A894="",0,IF(COUNTIF($O$2:$O894,$O894)=1,1,0))</f>
        <v>0</v>
      </c>
      <c r="Q894" t="str">
        <f>IF(AND($P894=1,$A894=经营数据!$B$3,$J894=经营数据!$BA$5),COUNTIFS($P$2:$P$3000,1,$A$2:$A$3000,$A894,$J$2:$J$3000,$J894,$N$2:$N$3000,"&lt;"&amp;$N894)+1,"")</f>
        <v/>
      </c>
      <c r="R894" t="str">
        <f t="shared" si="203"/>
        <v>嘉实物美消费封闭式基础设施证券投资基金|德胜门项目</v>
      </c>
      <c r="S894">
        <f>IF($A894="",0,IF(COUNTIF($R$2:$R894,$R894)=1,1,0))</f>
        <v>0</v>
      </c>
      <c r="T894">
        <f t="shared" si="204"/>
        <v>844</v>
      </c>
      <c r="U894" t="str">
        <f>IF($A894="","",IF($A894=经营数据!$B$3,COUNTIFS($S$2:$S$3000,1,$A$2:$A$3000,$A894,$T$2:$T$3000,"&lt;"&amp;$T894)+1,""))</f>
        <v/>
      </c>
      <c r="V894" t="str">
        <f t="shared" si="205"/>
        <v>德胜门项目|服务效率</v>
      </c>
      <c r="W894">
        <f t="shared" si="206"/>
        <v>844</v>
      </c>
      <c r="X894" t="str">
        <f t="shared" si="207"/>
        <v>德胜门项目|期末出租率</v>
      </c>
      <c r="Y894">
        <f t="shared" si="208"/>
        <v>847</v>
      </c>
      <c r="Z894">
        <f>IF($A894="",0,IF(AND($M894=1,$A894=经营数据!$B$3,$J894=经营数据!$BA$5,OR($I894=经营数据!$BA$4,COUNTIF(经营数据!$AA$9:$AA$38,$I894)&gt;0)),1,0))</f>
        <v>0</v>
      </c>
      <c r="AA894" t="str">
        <f t="shared" si="209"/>
        <v/>
      </c>
      <c r="AB894" t="str">
        <f t="shared" si="210"/>
        <v/>
      </c>
      <c r="AC894">
        <f>IF($A894="",0,IF(COUNTIF($A$2:$A894,$A894)=1,1,0))</f>
        <v>0</v>
      </c>
      <c r="AD894">
        <f t="shared" si="211"/>
        <v>8</v>
      </c>
      <c r="AE894" t="str">
        <f t="shared" si="212"/>
        <v>德胜门项目|期末出租率（%）</v>
      </c>
    </row>
    <row r="895" spans="1:31" x14ac:dyDescent="0.4">
      <c r="A895" t="str">
        <f>IF(原始经营数据!$D896="","",原始经营数据!$D896)</f>
        <v>嘉实物美消费封闭式基础设施证券投资基金</v>
      </c>
      <c r="B895" t="str">
        <f>IF(原始经营数据!$D896="","",T(原始经营数据!$E896))</f>
        <v>德胜门项目</v>
      </c>
      <c r="C895" t="str">
        <f>IF(原始经营数据!$D896="","",原始经营数据!$F896)</f>
        <v>2026Q1</v>
      </c>
      <c r="D895" t="str">
        <f>IF(原始经营数据!$D896="","",原始经营数据!$H896)</f>
        <v>期末实际出租面积</v>
      </c>
      <c r="E895">
        <f>IF(原始经营数据!$D896="","",原始经营数据!$I896)</f>
        <v>8701.27</v>
      </c>
      <c r="F895" t="str">
        <f>IF(原始经营数据!$D896="","",T(原始经营数据!$J896))</f>
        <v>平方米</v>
      </c>
      <c r="G895" t="str">
        <f>IF(原始经营数据!$D896="","",T(原始经营数据!$K896))</f>
        <v/>
      </c>
      <c r="H895" t="str">
        <f>IF(原始经营数据!$D896="","",原始经营数据!$G896)</f>
        <v>服务量</v>
      </c>
      <c r="I895" t="str">
        <f>IF($A895="","",IF($B895&lt;&gt;"",$B895,IF(COUNTIFS(原始经营数据!$D$3:$D$3001,$A895,原始经营数据!$E$3:$E$3001,"",原始经营数据!$F$3:$F$3001,$C895,原始经营数据!$H$3:$H$3001,$D895,原始经营数据!$K$3:$K$3001,$G895)&gt;1,"基金整体·来源"&amp;原始经营数据!$A896,"基金整体")))</f>
        <v>德胜门项目</v>
      </c>
      <c r="J895" t="str">
        <f t="shared" si="198"/>
        <v>季度</v>
      </c>
      <c r="K895" t="str">
        <f t="shared" si="199"/>
        <v>期末实际出租面积（平方米）</v>
      </c>
      <c r="L895" t="str">
        <f t="shared" si="200"/>
        <v>德胜门项目|期末实际出租面积（平方米）|季度</v>
      </c>
      <c r="M895">
        <f>IF($A895="",0,IF(COUNTIF($L$2:$L895,$L895)=1,1,0))</f>
        <v>0</v>
      </c>
      <c r="N895">
        <f t="shared" si="201"/>
        <v>20261</v>
      </c>
      <c r="O895" t="str">
        <f t="shared" si="202"/>
        <v>嘉实物美消费封闭式基础设施证券投资基金|2026Q1|季度</v>
      </c>
      <c r="P895">
        <f>IF($A895="",0,IF(COUNTIF($O$2:$O895,$O895)=1,1,0))</f>
        <v>0</v>
      </c>
      <c r="Q895" t="str">
        <f>IF(AND($P895=1,$A895=经营数据!$B$3,$J895=经营数据!$BA$5),COUNTIFS($P$2:$P$3000,1,$A$2:$A$3000,$A895,$J$2:$J$3000,$J895,$N$2:$N$3000,"&lt;"&amp;$N895)+1,"")</f>
        <v/>
      </c>
      <c r="R895" t="str">
        <f t="shared" si="203"/>
        <v>嘉实物美消费封闭式基础设施证券投资基金|德胜门项目</v>
      </c>
      <c r="S895">
        <f>IF($A895="",0,IF(COUNTIF($R$2:$R895,$R895)=1,1,0))</f>
        <v>0</v>
      </c>
      <c r="T895">
        <f t="shared" si="204"/>
        <v>844</v>
      </c>
      <c r="U895" t="str">
        <f>IF($A895="","",IF($A895=经营数据!$B$3,COUNTIFS($S$2:$S$3000,1,$A$2:$A$3000,$A895,$T$2:$T$3000,"&lt;"&amp;$T895)+1,""))</f>
        <v/>
      </c>
      <c r="V895" t="str">
        <f t="shared" si="205"/>
        <v>德胜门项目|服务量</v>
      </c>
      <c r="W895">
        <f t="shared" si="206"/>
        <v>845</v>
      </c>
      <c r="X895" t="str">
        <f t="shared" si="207"/>
        <v>德胜门项目|期末实际出租面积</v>
      </c>
      <c r="Y895">
        <f t="shared" si="208"/>
        <v>846</v>
      </c>
      <c r="Z895">
        <f>IF($A895="",0,IF(AND($M895=1,$A895=经营数据!$B$3,$J895=经营数据!$BA$5,OR($I895=经营数据!$BA$4,COUNTIF(经营数据!$AA$9:$AA$38,$I895)&gt;0)),1,0))</f>
        <v>0</v>
      </c>
      <c r="AA895" t="str">
        <f t="shared" si="209"/>
        <v/>
      </c>
      <c r="AB895" t="str">
        <f t="shared" si="210"/>
        <v/>
      </c>
      <c r="AC895">
        <f>IF($A895="",0,IF(COUNTIF($A$2:$A895,$A895)=1,1,0))</f>
        <v>0</v>
      </c>
      <c r="AD895">
        <f t="shared" si="211"/>
        <v>8</v>
      </c>
      <c r="AE895" t="str">
        <f t="shared" si="212"/>
        <v>德胜门项目|期末实际出租面积（平方米）</v>
      </c>
    </row>
    <row r="896" spans="1:31" x14ac:dyDescent="0.4">
      <c r="A896" t="str">
        <f>IF(原始经营数据!$D897="","",原始经营数据!$D897)</f>
        <v>嘉实物美消费封闭式基础设施证券投资基金</v>
      </c>
      <c r="B896" t="str">
        <f>IF(原始经营数据!$D897="","",T(原始经营数据!$E897))</f>
        <v>德胜门项目</v>
      </c>
      <c r="C896" t="str">
        <f>IF(原始经营数据!$D897="","",原始经营数据!$F897)</f>
        <v>2026Q1</v>
      </c>
      <c r="D896" t="str">
        <f>IF(原始经营数据!$D897="","",原始经营数据!$H897)</f>
        <v>期末可供出租面积</v>
      </c>
      <c r="E896">
        <f>IF(原始经营数据!$D897="","",原始经营数据!$I897)</f>
        <v>8729.74</v>
      </c>
      <c r="F896" t="str">
        <f>IF(原始经营数据!$D897="","",T(原始经营数据!$J897))</f>
        <v>平方米</v>
      </c>
      <c r="G896" t="str">
        <f>IF(原始经营数据!$D897="","",T(原始经营数据!$K897))</f>
        <v/>
      </c>
      <c r="H896" t="str">
        <f>IF(原始经营数据!$D897="","",原始经营数据!$G897)</f>
        <v>服务量</v>
      </c>
      <c r="I896" t="str">
        <f>IF($A896="","",IF($B896&lt;&gt;"",$B896,IF(COUNTIFS(原始经营数据!$D$3:$D$3001,$A896,原始经营数据!$E$3:$E$3001,"",原始经营数据!$F$3:$F$3001,$C896,原始经营数据!$H$3:$H$3001,$D896,原始经营数据!$K$3:$K$3001,$G896)&gt;1,"基金整体·来源"&amp;原始经营数据!$A897,"基金整体")))</f>
        <v>德胜门项目</v>
      </c>
      <c r="J896" t="str">
        <f t="shared" si="198"/>
        <v>季度</v>
      </c>
      <c r="K896" t="str">
        <f t="shared" si="199"/>
        <v>期末可供出租面积（平方米）</v>
      </c>
      <c r="L896" t="str">
        <f t="shared" si="200"/>
        <v>德胜门项目|期末可供出租面积（平方米）|季度</v>
      </c>
      <c r="M896">
        <f>IF($A896="",0,IF(COUNTIF($L$2:$L896,$L896)=1,1,0))</f>
        <v>0</v>
      </c>
      <c r="N896">
        <f t="shared" si="201"/>
        <v>20261</v>
      </c>
      <c r="O896" t="str">
        <f t="shared" si="202"/>
        <v>嘉实物美消费封闭式基础设施证券投资基金|2026Q1|季度</v>
      </c>
      <c r="P896">
        <f>IF($A896="",0,IF(COUNTIF($O$2:$O896,$O896)=1,1,0))</f>
        <v>0</v>
      </c>
      <c r="Q896" t="str">
        <f>IF(AND($P896=1,$A896=经营数据!$B$3,$J896=经营数据!$BA$5),COUNTIFS($P$2:$P$3000,1,$A$2:$A$3000,$A896,$J$2:$J$3000,$J896,$N$2:$N$3000,"&lt;"&amp;$N896)+1,"")</f>
        <v/>
      </c>
      <c r="R896" t="str">
        <f t="shared" si="203"/>
        <v>嘉实物美消费封闭式基础设施证券投资基金|德胜门项目</v>
      </c>
      <c r="S896">
        <f>IF($A896="",0,IF(COUNTIF($R$2:$R896,$R896)=1,1,0))</f>
        <v>0</v>
      </c>
      <c r="T896">
        <f t="shared" si="204"/>
        <v>844</v>
      </c>
      <c r="U896" t="str">
        <f>IF($A896="","",IF($A896=经营数据!$B$3,COUNTIFS($S$2:$S$3000,1,$A$2:$A$3000,$A896,$T$2:$T$3000,"&lt;"&amp;$T896)+1,""))</f>
        <v/>
      </c>
      <c r="V896" t="str">
        <f t="shared" si="205"/>
        <v>德胜门项目|服务量</v>
      </c>
      <c r="W896">
        <f t="shared" si="206"/>
        <v>845</v>
      </c>
      <c r="X896" t="str">
        <f t="shared" si="207"/>
        <v>德胜门项目|期末可供出租面积</v>
      </c>
      <c r="Y896">
        <f t="shared" si="208"/>
        <v>845</v>
      </c>
      <c r="Z896">
        <f>IF($A896="",0,IF(AND($M896=1,$A896=经营数据!$B$3,$J896=经营数据!$BA$5,OR($I896=经营数据!$BA$4,COUNTIF(经营数据!$AA$9:$AA$38,$I896)&gt;0)),1,0))</f>
        <v>0</v>
      </c>
      <c r="AA896" t="str">
        <f t="shared" si="209"/>
        <v/>
      </c>
      <c r="AB896" t="str">
        <f t="shared" si="210"/>
        <v/>
      </c>
      <c r="AC896">
        <f>IF($A896="",0,IF(COUNTIF($A$2:$A896,$A896)=1,1,0))</f>
        <v>0</v>
      </c>
      <c r="AD896">
        <f t="shared" si="211"/>
        <v>8</v>
      </c>
      <c r="AE896" t="str">
        <f t="shared" si="212"/>
        <v>德胜门项目|期末可供出租面积（平方米）</v>
      </c>
    </row>
    <row r="897" spans="1:31" x14ac:dyDescent="0.4">
      <c r="A897" t="str">
        <f>IF(原始经营数据!$D898="","",原始经营数据!$D898)</f>
        <v>嘉实物美消费封闭式基础设施证券投资基金</v>
      </c>
      <c r="B897" t="str">
        <f>IF(原始经营数据!$D898="","",T(原始经营数据!$E898))</f>
        <v>德胜门项目</v>
      </c>
      <c r="C897" t="str">
        <f>IF(原始经营数据!$D898="","",原始经营数据!$F898)</f>
        <v>2026Q1</v>
      </c>
      <c r="D897" t="str">
        <f>IF(原始经营数据!$D898="","",原始经营数据!$H898)</f>
        <v>期末剩余租期情况</v>
      </c>
      <c r="E897">
        <f>IF(原始经营数据!$D898="","",原始经营数据!$I898)</f>
        <v>6.01</v>
      </c>
      <c r="F897" t="str">
        <f>IF(原始经营数据!$D898="","",T(原始经营数据!$J898))</f>
        <v>年</v>
      </c>
      <c r="G897" t="str">
        <f>IF(原始经营数据!$D898="","",T(原始经营数据!$K898))</f>
        <v/>
      </c>
      <c r="H897" t="str">
        <f>IF(原始经营数据!$D898="","",原始经营数据!$G898)</f>
        <v>服务量</v>
      </c>
      <c r="I897" t="str">
        <f>IF($A897="","",IF($B897&lt;&gt;"",$B897,IF(COUNTIFS(原始经营数据!$D$3:$D$3001,$A897,原始经营数据!$E$3:$E$3001,"",原始经营数据!$F$3:$F$3001,$C897,原始经营数据!$H$3:$H$3001,$D897,原始经营数据!$K$3:$K$3001,$G897)&gt;1,"基金整体·来源"&amp;原始经营数据!$A898,"基金整体")))</f>
        <v>德胜门项目</v>
      </c>
      <c r="J897" t="str">
        <f t="shared" si="198"/>
        <v>季度</v>
      </c>
      <c r="K897" t="str">
        <f t="shared" si="199"/>
        <v>期末剩余租期情况（年）</v>
      </c>
      <c r="L897" t="str">
        <f t="shared" si="200"/>
        <v>德胜门项目|期末剩余租期情况（年）|季度</v>
      </c>
      <c r="M897">
        <f>IF($A897="",0,IF(COUNTIF($L$2:$L897,$L897)=1,1,0))</f>
        <v>0</v>
      </c>
      <c r="N897">
        <f t="shared" si="201"/>
        <v>20261</v>
      </c>
      <c r="O897" t="str">
        <f t="shared" si="202"/>
        <v>嘉实物美消费封闭式基础设施证券投资基金|2026Q1|季度</v>
      </c>
      <c r="P897">
        <f>IF($A897="",0,IF(COUNTIF($O$2:$O897,$O897)=1,1,0))</f>
        <v>0</v>
      </c>
      <c r="Q897" t="str">
        <f>IF(AND($P897=1,$A897=经营数据!$B$3,$J897=经营数据!$BA$5),COUNTIFS($P$2:$P$3000,1,$A$2:$A$3000,$A897,$J$2:$J$3000,$J897,$N$2:$N$3000,"&lt;"&amp;$N897)+1,"")</f>
        <v/>
      </c>
      <c r="R897" t="str">
        <f t="shared" si="203"/>
        <v>嘉实物美消费封闭式基础设施证券投资基金|德胜门项目</v>
      </c>
      <c r="S897">
        <f>IF($A897="",0,IF(COUNTIF($R$2:$R897,$R897)=1,1,0))</f>
        <v>0</v>
      </c>
      <c r="T897">
        <f t="shared" si="204"/>
        <v>844</v>
      </c>
      <c r="U897" t="str">
        <f>IF($A897="","",IF($A897=经营数据!$B$3,COUNTIFS($S$2:$S$3000,1,$A$2:$A$3000,$A897,$T$2:$T$3000,"&lt;"&amp;$T897)+1,""))</f>
        <v/>
      </c>
      <c r="V897" t="str">
        <f t="shared" si="205"/>
        <v>德胜门项目|服务量</v>
      </c>
      <c r="W897">
        <f t="shared" si="206"/>
        <v>845</v>
      </c>
      <c r="X897" t="str">
        <f t="shared" si="207"/>
        <v>德胜门项目|期末剩余租期情况</v>
      </c>
      <c r="Y897">
        <f t="shared" si="208"/>
        <v>848</v>
      </c>
      <c r="Z897">
        <f>IF($A897="",0,IF(AND($M897=1,$A897=经营数据!$B$3,$J897=经营数据!$BA$5,OR($I897=经营数据!$BA$4,COUNTIF(经营数据!$AA$9:$AA$38,$I897)&gt;0)),1,0))</f>
        <v>0</v>
      </c>
      <c r="AA897" t="str">
        <f t="shared" si="209"/>
        <v/>
      </c>
      <c r="AB897" t="str">
        <f t="shared" si="210"/>
        <v/>
      </c>
      <c r="AC897">
        <f>IF($A897="",0,IF(COUNTIF($A$2:$A897,$A897)=1,1,0))</f>
        <v>0</v>
      </c>
      <c r="AD897">
        <f t="shared" si="211"/>
        <v>8</v>
      </c>
      <c r="AE897" t="str">
        <f t="shared" si="212"/>
        <v>德胜门项目|期末剩余租期情况（年）</v>
      </c>
    </row>
    <row r="898" spans="1:31" x14ac:dyDescent="0.4">
      <c r="A898" t="str">
        <f>IF(原始经营数据!$D899="","",原始经营数据!$D899)</f>
        <v>嘉实物美消费封闭式基础设施证券投资基金</v>
      </c>
      <c r="B898" t="str">
        <f>IF(原始经营数据!$D899="","",T(原始经营数据!$E899))</f>
        <v>德胜门项目</v>
      </c>
      <c r="C898" t="str">
        <f>IF(原始经营数据!$D899="","",原始经营数据!$F899)</f>
        <v>2026Q1</v>
      </c>
      <c r="D898" t="str">
        <f>IF(原始经营数据!$D899="","",原始经营数据!$H899)</f>
        <v>期末租金收缴率</v>
      </c>
      <c r="E898">
        <f>IF(原始经营数据!$D899="","",原始经营数据!$I899)</f>
        <v>99.94</v>
      </c>
      <c r="F898" t="str">
        <f>IF(原始经营数据!$D899="","",T(原始经营数据!$J899))</f>
        <v>%</v>
      </c>
      <c r="G898" t="str">
        <f>IF(原始经营数据!$D899="","",T(原始经营数据!$K899))</f>
        <v/>
      </c>
      <c r="H898" t="str">
        <f>IF(原始经营数据!$D899="","",原始经营数据!$G899)</f>
        <v>服务效率</v>
      </c>
      <c r="I898" t="str">
        <f>IF($A898="","",IF($B898&lt;&gt;"",$B898,IF(COUNTIFS(原始经营数据!$D$3:$D$3001,$A898,原始经营数据!$E$3:$E$3001,"",原始经营数据!$F$3:$F$3001,$C898,原始经营数据!$H$3:$H$3001,$D898,原始经营数据!$K$3:$K$3001,$G898)&gt;1,"基金整体·来源"&amp;原始经营数据!$A899,"基金整体")))</f>
        <v>德胜门项目</v>
      </c>
      <c r="J898" t="str">
        <f t="shared" ref="J898:J961" si="213">IF($A898="","",IF(LEN($C898)=4,"年度",IF(AND(LEN($C898)=6,ISNUMBER(SEARCH("Q",$C898))),"季度","其他期间")))</f>
        <v>季度</v>
      </c>
      <c r="K898" t="str">
        <f t="shared" ref="K898:K961" si="214">IF($A898="","",$D898&amp;IF($G898="","","-"&amp;SUBSTITUTE($G898,CHAR(10),""))&amp;IF($F898="","","（"&amp;$F898&amp;"）"))</f>
        <v>期末租金收缴率（%）</v>
      </c>
      <c r="L898" t="str">
        <f t="shared" ref="L898:L961" si="215">IF($A898="","",$I898&amp;"|"&amp;$K898&amp;"|"&amp;$J898)</f>
        <v>德胜门项目|期末租金收缴率（%）|季度</v>
      </c>
      <c r="M898">
        <f>IF($A898="",0,IF(COUNTIF($L$2:$L898,$L898)=1,1,0))</f>
        <v>0</v>
      </c>
      <c r="N898">
        <f t="shared" ref="N898:N961" si="216">IF($A898="","",IF($J898="年度",VALUE($C898)*10,IF($J898="季度",VALUE(LEFT($C898,4))*10+VALUE(RIGHT($C898,1)),VALUE(LEFT($C898,4))*10+9)))</f>
        <v>20261</v>
      </c>
      <c r="O898" t="str">
        <f t="shared" ref="O898:O961" si="217">IF($A898="","",$A898&amp;"|"&amp;$C898&amp;"|"&amp;$J898)</f>
        <v>嘉实物美消费封闭式基础设施证券投资基金|2026Q1|季度</v>
      </c>
      <c r="P898">
        <f>IF($A898="",0,IF(COUNTIF($O$2:$O898,$O898)=1,1,0))</f>
        <v>0</v>
      </c>
      <c r="Q898" t="str">
        <f>IF(AND($P898=1,$A898=经营数据!$B$3,$J898=经营数据!$BA$5),COUNTIFS($P$2:$P$3000,1,$A$2:$A$3000,$A898,$J$2:$J$3000,$J898,$N$2:$N$3000,"&lt;"&amp;$N898)+1,"")</f>
        <v/>
      </c>
      <c r="R898" t="str">
        <f t="shared" ref="R898:R961" si="218">IF($A898="","",$A898&amp;"|"&amp;$I898)</f>
        <v>嘉实物美消费封闭式基础设施证券投资基金|德胜门项目</v>
      </c>
      <c r="S898">
        <f>IF($A898="",0,IF(COUNTIF($R$2:$R898,$R898)=1,1,0))</f>
        <v>0</v>
      </c>
      <c r="T898">
        <f t="shared" ref="T898:T961" si="219">IF($A898="","",MATCH($R898,$R$2:$R$3000,0))</f>
        <v>844</v>
      </c>
      <c r="U898" t="str">
        <f>IF($A898="","",IF($A898=经营数据!$B$3,COUNTIFS($S$2:$S$3000,1,$A$2:$A$3000,$A898,$T$2:$T$3000,"&lt;"&amp;$T898)+1,""))</f>
        <v/>
      </c>
      <c r="V898" t="str">
        <f t="shared" ref="V898:V961" si="220">IF($A898="","",$I898&amp;"|"&amp;$H898)</f>
        <v>德胜门项目|服务效率</v>
      </c>
      <c r="W898">
        <f t="shared" ref="W898:W961" si="221">IF($A898="","",MATCH($V898,$V$2:$V$3000,0))</f>
        <v>844</v>
      </c>
      <c r="X898" t="str">
        <f t="shared" ref="X898:X961" si="222">IF($A898="","",$I898&amp;"|"&amp;$D898)</f>
        <v>德胜门项目|期末租金收缴率</v>
      </c>
      <c r="Y898">
        <f t="shared" ref="Y898:Y961" si="223">IF($A898="","",MATCH($X898,$X$2:$X$3000,0))</f>
        <v>844</v>
      </c>
      <c r="Z898">
        <f>IF($A898="",0,IF(AND($M898=1,$A898=经营数据!$B$3,$J898=经营数据!$BA$5,OR($I898=经营数据!$BA$4,COUNTIF(经营数据!$AA$9:$AA$38,$I898)&gt;0)),1,0))</f>
        <v>0</v>
      </c>
      <c r="AA898" t="str">
        <f t="shared" ref="AA898:AA961" si="224">IF($Z898=1,$U898*1000000000000+$W898*100000000+$Y898*10000+ROW(),"")</f>
        <v/>
      </c>
      <c r="AB898" t="str">
        <f t="shared" ref="AB898:AB961" si="225">IF($Z898=1,COUNTIFS($Z$2:$Z$3000,1,$AA$2:$AA$3000,"&lt;"&amp;$AA898)+1,"")</f>
        <v/>
      </c>
      <c r="AC898">
        <f>IF($A898="",0,IF(COUNTIF($A$2:$A898,$A898)=1,1,0))</f>
        <v>0</v>
      </c>
      <c r="AD898">
        <f t="shared" ref="AD898:AD961" si="226">IF($A898="",N(AD897),IF($AC898=1,N(AD897)+1,N(AD897)))</f>
        <v>8</v>
      </c>
      <c r="AE898" t="str">
        <f t="shared" ref="AE898:AE961" si="227">IF($A898="","",$I898&amp;"|"&amp;$K898)</f>
        <v>德胜门项目|期末租金收缴率（%）</v>
      </c>
    </row>
    <row r="899" spans="1:31" x14ac:dyDescent="0.4">
      <c r="A899" t="str">
        <f>IF(原始经营数据!$D900="","",原始经营数据!$D900)</f>
        <v>嘉实物美消费封闭式基础设施证券投资基金</v>
      </c>
      <c r="B899" t="str">
        <f>IF(原始经营数据!$D900="","",T(原始经营数据!$E900))</f>
        <v>德胜门项目</v>
      </c>
      <c r="C899" t="str">
        <f>IF(原始经营数据!$D900="","",原始经营数据!$F900)</f>
        <v>2026Q2</v>
      </c>
      <c r="D899" t="str">
        <f>IF(原始经营数据!$D900="","",原始经营数据!$H900)</f>
        <v>期末租金收缴率</v>
      </c>
      <c r="E899">
        <f>IF(原始经营数据!$D900="","",原始经营数据!$I900)</f>
        <v>99.93</v>
      </c>
      <c r="F899" t="str">
        <f>IF(原始经营数据!$D900="","",T(原始经营数据!$J900))</f>
        <v>%</v>
      </c>
      <c r="G899" t="str">
        <f>IF(原始经营数据!$D900="","",T(原始经营数据!$K900))</f>
        <v/>
      </c>
      <c r="H899" t="str">
        <f>IF(原始经营数据!$D900="","",原始经营数据!$G900)</f>
        <v>服务效率</v>
      </c>
      <c r="I899" t="str">
        <f>IF($A899="","",IF($B899&lt;&gt;"",$B899,IF(COUNTIFS(原始经营数据!$D$3:$D$3001,$A899,原始经营数据!$E$3:$E$3001,"",原始经营数据!$F$3:$F$3001,$C899,原始经营数据!$H$3:$H$3001,$D899,原始经营数据!$K$3:$K$3001,$G899)&gt;1,"基金整体·来源"&amp;原始经营数据!$A900,"基金整体")))</f>
        <v>德胜门项目</v>
      </c>
      <c r="J899" t="str">
        <f t="shared" si="213"/>
        <v>季度</v>
      </c>
      <c r="K899" t="str">
        <f t="shared" si="214"/>
        <v>期末租金收缴率（%）</v>
      </c>
      <c r="L899" t="str">
        <f t="shared" si="215"/>
        <v>德胜门项目|期末租金收缴率（%）|季度</v>
      </c>
      <c r="M899">
        <f>IF($A899="",0,IF(COUNTIF($L$2:$L899,$L899)=1,1,0))</f>
        <v>0</v>
      </c>
      <c r="N899">
        <f t="shared" si="216"/>
        <v>20262</v>
      </c>
      <c r="O899" t="str">
        <f t="shared" si="217"/>
        <v>嘉实物美消费封闭式基础设施证券投资基金|2026Q2|季度</v>
      </c>
      <c r="P899">
        <f>IF($A899="",0,IF(COUNTIF($O$2:$O899,$O899)=1,1,0))</f>
        <v>0</v>
      </c>
      <c r="Q899" t="str">
        <f>IF(AND($P899=1,$A899=经营数据!$B$3,$J899=经营数据!$BA$5),COUNTIFS($P$2:$P$3000,1,$A$2:$A$3000,$A899,$J$2:$J$3000,$J899,$N$2:$N$3000,"&lt;"&amp;$N899)+1,"")</f>
        <v/>
      </c>
      <c r="R899" t="str">
        <f t="shared" si="218"/>
        <v>嘉实物美消费封闭式基础设施证券投资基金|德胜门项目</v>
      </c>
      <c r="S899">
        <f>IF($A899="",0,IF(COUNTIF($R$2:$R899,$R899)=1,1,0))</f>
        <v>0</v>
      </c>
      <c r="T899">
        <f t="shared" si="219"/>
        <v>844</v>
      </c>
      <c r="U899" t="str">
        <f>IF($A899="","",IF($A899=经营数据!$B$3,COUNTIFS($S$2:$S$3000,1,$A$2:$A$3000,$A899,$T$2:$T$3000,"&lt;"&amp;$T899)+1,""))</f>
        <v/>
      </c>
      <c r="V899" t="str">
        <f t="shared" si="220"/>
        <v>德胜门项目|服务效率</v>
      </c>
      <c r="W899">
        <f t="shared" si="221"/>
        <v>844</v>
      </c>
      <c r="X899" t="str">
        <f t="shared" si="222"/>
        <v>德胜门项目|期末租金收缴率</v>
      </c>
      <c r="Y899">
        <f t="shared" si="223"/>
        <v>844</v>
      </c>
      <c r="Z899">
        <f>IF($A899="",0,IF(AND($M899=1,$A899=经营数据!$B$3,$J899=经营数据!$BA$5,OR($I899=经营数据!$BA$4,COUNTIF(经营数据!$AA$9:$AA$38,$I899)&gt;0)),1,0))</f>
        <v>0</v>
      </c>
      <c r="AA899" t="str">
        <f t="shared" si="224"/>
        <v/>
      </c>
      <c r="AB899" t="str">
        <f t="shared" si="225"/>
        <v/>
      </c>
      <c r="AC899">
        <f>IF($A899="",0,IF(COUNTIF($A$2:$A899,$A899)=1,1,0))</f>
        <v>0</v>
      </c>
      <c r="AD899">
        <f t="shared" si="226"/>
        <v>8</v>
      </c>
      <c r="AE899" t="str">
        <f t="shared" si="227"/>
        <v>德胜门项目|期末租金收缴率（%）</v>
      </c>
    </row>
    <row r="900" spans="1:31" x14ac:dyDescent="0.4">
      <c r="A900" t="str">
        <f>IF(原始经营数据!$D901="","",原始经营数据!$D901)</f>
        <v>嘉实物美消费封闭式基础设施证券投资基金</v>
      </c>
      <c r="B900" t="str">
        <f>IF(原始经营数据!$D901="","",T(原始经营数据!$E901))</f>
        <v>德胜门项目</v>
      </c>
      <c r="C900" t="str">
        <f>IF(原始经营数据!$D901="","",原始经营数据!$F901)</f>
        <v>2026Q2</v>
      </c>
      <c r="D900" t="str">
        <f>IF(原始经营数据!$D901="","",原始经营数据!$H901)</f>
        <v>期末可供出租面积</v>
      </c>
      <c r="E900">
        <f>IF(原始经营数据!$D901="","",原始经营数据!$I901)</f>
        <v>8729.74</v>
      </c>
      <c r="F900" t="str">
        <f>IF(原始经营数据!$D901="","",T(原始经营数据!$J901))</f>
        <v>平方米</v>
      </c>
      <c r="G900" t="str">
        <f>IF(原始经营数据!$D901="","",T(原始经营数据!$K901))</f>
        <v/>
      </c>
      <c r="H900" t="str">
        <f>IF(原始经营数据!$D901="","",原始经营数据!$G901)</f>
        <v>服务量</v>
      </c>
      <c r="I900" t="str">
        <f>IF($A900="","",IF($B900&lt;&gt;"",$B900,IF(COUNTIFS(原始经营数据!$D$3:$D$3001,$A900,原始经营数据!$E$3:$E$3001,"",原始经营数据!$F$3:$F$3001,$C900,原始经营数据!$H$3:$H$3001,$D900,原始经营数据!$K$3:$K$3001,$G900)&gt;1,"基金整体·来源"&amp;原始经营数据!$A901,"基金整体")))</f>
        <v>德胜门项目</v>
      </c>
      <c r="J900" t="str">
        <f t="shared" si="213"/>
        <v>季度</v>
      </c>
      <c r="K900" t="str">
        <f t="shared" si="214"/>
        <v>期末可供出租面积（平方米）</v>
      </c>
      <c r="L900" t="str">
        <f t="shared" si="215"/>
        <v>德胜门项目|期末可供出租面积（平方米）|季度</v>
      </c>
      <c r="M900">
        <f>IF($A900="",0,IF(COUNTIF($L$2:$L900,$L900)=1,1,0))</f>
        <v>0</v>
      </c>
      <c r="N900">
        <f t="shared" si="216"/>
        <v>20262</v>
      </c>
      <c r="O900" t="str">
        <f t="shared" si="217"/>
        <v>嘉实物美消费封闭式基础设施证券投资基金|2026Q2|季度</v>
      </c>
      <c r="P900">
        <f>IF($A900="",0,IF(COUNTIF($O$2:$O900,$O900)=1,1,0))</f>
        <v>0</v>
      </c>
      <c r="Q900" t="str">
        <f>IF(AND($P900=1,$A900=经营数据!$B$3,$J900=经营数据!$BA$5),COUNTIFS($P$2:$P$3000,1,$A$2:$A$3000,$A900,$J$2:$J$3000,$J900,$N$2:$N$3000,"&lt;"&amp;$N900)+1,"")</f>
        <v/>
      </c>
      <c r="R900" t="str">
        <f t="shared" si="218"/>
        <v>嘉实物美消费封闭式基础设施证券投资基金|德胜门项目</v>
      </c>
      <c r="S900">
        <f>IF($A900="",0,IF(COUNTIF($R$2:$R900,$R900)=1,1,0))</f>
        <v>0</v>
      </c>
      <c r="T900">
        <f t="shared" si="219"/>
        <v>844</v>
      </c>
      <c r="U900" t="str">
        <f>IF($A900="","",IF($A900=经营数据!$B$3,COUNTIFS($S$2:$S$3000,1,$A$2:$A$3000,$A900,$T$2:$T$3000,"&lt;"&amp;$T900)+1,""))</f>
        <v/>
      </c>
      <c r="V900" t="str">
        <f t="shared" si="220"/>
        <v>德胜门项目|服务量</v>
      </c>
      <c r="W900">
        <f t="shared" si="221"/>
        <v>845</v>
      </c>
      <c r="X900" t="str">
        <f t="shared" si="222"/>
        <v>德胜门项目|期末可供出租面积</v>
      </c>
      <c r="Y900">
        <f t="shared" si="223"/>
        <v>845</v>
      </c>
      <c r="Z900">
        <f>IF($A900="",0,IF(AND($M900=1,$A900=经营数据!$B$3,$J900=经营数据!$BA$5,OR($I900=经营数据!$BA$4,COUNTIF(经营数据!$AA$9:$AA$38,$I900)&gt;0)),1,0))</f>
        <v>0</v>
      </c>
      <c r="AA900" t="str">
        <f t="shared" si="224"/>
        <v/>
      </c>
      <c r="AB900" t="str">
        <f t="shared" si="225"/>
        <v/>
      </c>
      <c r="AC900">
        <f>IF($A900="",0,IF(COUNTIF($A$2:$A900,$A900)=1,1,0))</f>
        <v>0</v>
      </c>
      <c r="AD900">
        <f t="shared" si="226"/>
        <v>8</v>
      </c>
      <c r="AE900" t="str">
        <f t="shared" si="227"/>
        <v>德胜门项目|期末可供出租面积（平方米）</v>
      </c>
    </row>
    <row r="901" spans="1:31" x14ac:dyDescent="0.4">
      <c r="A901" t="str">
        <f>IF(原始经营数据!$D902="","",原始经营数据!$D902)</f>
        <v>嘉实物美消费封闭式基础设施证券投资基金</v>
      </c>
      <c r="B901" t="str">
        <f>IF(原始经营数据!$D902="","",T(原始经营数据!$E902))</f>
        <v>德胜门项目</v>
      </c>
      <c r="C901" t="str">
        <f>IF(原始经营数据!$D902="","",原始经营数据!$F902)</f>
        <v>2026Q2</v>
      </c>
      <c r="D901" t="str">
        <f>IF(原始经营数据!$D902="","",原始经营数据!$H902)</f>
        <v>期末实际出租面积</v>
      </c>
      <c r="E901">
        <f>IF(原始经营数据!$D902="","",原始经营数据!$I902)</f>
        <v>8712.36</v>
      </c>
      <c r="F901" t="str">
        <f>IF(原始经营数据!$D902="","",T(原始经营数据!$J902))</f>
        <v>平方米</v>
      </c>
      <c r="G901" t="str">
        <f>IF(原始经营数据!$D902="","",T(原始经营数据!$K902))</f>
        <v/>
      </c>
      <c r="H901" t="str">
        <f>IF(原始经营数据!$D902="","",原始经营数据!$G902)</f>
        <v>服务量</v>
      </c>
      <c r="I901" t="str">
        <f>IF($A901="","",IF($B901&lt;&gt;"",$B901,IF(COUNTIFS(原始经营数据!$D$3:$D$3001,$A901,原始经营数据!$E$3:$E$3001,"",原始经营数据!$F$3:$F$3001,$C901,原始经营数据!$H$3:$H$3001,$D901,原始经营数据!$K$3:$K$3001,$G901)&gt;1,"基金整体·来源"&amp;原始经营数据!$A902,"基金整体")))</f>
        <v>德胜门项目</v>
      </c>
      <c r="J901" t="str">
        <f t="shared" si="213"/>
        <v>季度</v>
      </c>
      <c r="K901" t="str">
        <f t="shared" si="214"/>
        <v>期末实际出租面积（平方米）</v>
      </c>
      <c r="L901" t="str">
        <f t="shared" si="215"/>
        <v>德胜门项目|期末实际出租面积（平方米）|季度</v>
      </c>
      <c r="M901">
        <f>IF($A901="",0,IF(COUNTIF($L$2:$L901,$L901)=1,1,0))</f>
        <v>0</v>
      </c>
      <c r="N901">
        <f t="shared" si="216"/>
        <v>20262</v>
      </c>
      <c r="O901" t="str">
        <f t="shared" si="217"/>
        <v>嘉实物美消费封闭式基础设施证券投资基金|2026Q2|季度</v>
      </c>
      <c r="P901">
        <f>IF($A901="",0,IF(COUNTIF($O$2:$O901,$O901)=1,1,0))</f>
        <v>0</v>
      </c>
      <c r="Q901" t="str">
        <f>IF(AND($P901=1,$A901=经营数据!$B$3,$J901=经营数据!$BA$5),COUNTIFS($P$2:$P$3000,1,$A$2:$A$3000,$A901,$J$2:$J$3000,$J901,$N$2:$N$3000,"&lt;"&amp;$N901)+1,"")</f>
        <v/>
      </c>
      <c r="R901" t="str">
        <f t="shared" si="218"/>
        <v>嘉实物美消费封闭式基础设施证券投资基金|德胜门项目</v>
      </c>
      <c r="S901">
        <f>IF($A901="",0,IF(COUNTIF($R$2:$R901,$R901)=1,1,0))</f>
        <v>0</v>
      </c>
      <c r="T901">
        <f t="shared" si="219"/>
        <v>844</v>
      </c>
      <c r="U901" t="str">
        <f>IF($A901="","",IF($A901=经营数据!$B$3,COUNTIFS($S$2:$S$3000,1,$A$2:$A$3000,$A901,$T$2:$T$3000,"&lt;"&amp;$T901)+1,""))</f>
        <v/>
      </c>
      <c r="V901" t="str">
        <f t="shared" si="220"/>
        <v>德胜门项目|服务量</v>
      </c>
      <c r="W901">
        <f t="shared" si="221"/>
        <v>845</v>
      </c>
      <c r="X901" t="str">
        <f t="shared" si="222"/>
        <v>德胜门项目|期末实际出租面积</v>
      </c>
      <c r="Y901">
        <f t="shared" si="223"/>
        <v>846</v>
      </c>
      <c r="Z901">
        <f>IF($A901="",0,IF(AND($M901=1,$A901=经营数据!$B$3,$J901=经营数据!$BA$5,OR($I901=经营数据!$BA$4,COUNTIF(经营数据!$AA$9:$AA$38,$I901)&gt;0)),1,0))</f>
        <v>0</v>
      </c>
      <c r="AA901" t="str">
        <f t="shared" si="224"/>
        <v/>
      </c>
      <c r="AB901" t="str">
        <f t="shared" si="225"/>
        <v/>
      </c>
      <c r="AC901">
        <f>IF($A901="",0,IF(COUNTIF($A$2:$A901,$A901)=1,1,0))</f>
        <v>0</v>
      </c>
      <c r="AD901">
        <f t="shared" si="226"/>
        <v>8</v>
      </c>
      <c r="AE901" t="str">
        <f t="shared" si="227"/>
        <v>德胜门项目|期末实际出租面积（平方米）</v>
      </c>
    </row>
    <row r="902" spans="1:31" x14ac:dyDescent="0.4">
      <c r="A902" t="str">
        <f>IF(原始经营数据!$D903="","",原始经营数据!$D903)</f>
        <v>嘉实物美消费封闭式基础设施证券投资基金</v>
      </c>
      <c r="B902" t="str">
        <f>IF(原始经营数据!$D903="","",T(原始经营数据!$E903))</f>
        <v>德胜门项目</v>
      </c>
      <c r="C902" t="str">
        <f>IF(原始经营数据!$D903="","",原始经营数据!$F903)</f>
        <v>2026Q2</v>
      </c>
      <c r="D902" t="str">
        <f>IF(原始经营数据!$D903="","",原始经营数据!$H903)</f>
        <v>期末出租率</v>
      </c>
      <c r="E902">
        <f>IF(原始经营数据!$D903="","",原始经营数据!$I903)</f>
        <v>99.8</v>
      </c>
      <c r="F902" t="str">
        <f>IF(原始经营数据!$D903="","",T(原始经营数据!$J903))</f>
        <v>%</v>
      </c>
      <c r="G902" t="str">
        <f>IF(原始经营数据!$D903="","",T(原始经营数据!$K903))</f>
        <v/>
      </c>
      <c r="H902" t="str">
        <f>IF(原始经营数据!$D903="","",原始经营数据!$G903)</f>
        <v>服务效率</v>
      </c>
      <c r="I902" t="str">
        <f>IF($A902="","",IF($B902&lt;&gt;"",$B902,IF(COUNTIFS(原始经营数据!$D$3:$D$3001,$A902,原始经营数据!$E$3:$E$3001,"",原始经营数据!$F$3:$F$3001,$C902,原始经营数据!$H$3:$H$3001,$D902,原始经营数据!$K$3:$K$3001,$G902)&gt;1,"基金整体·来源"&amp;原始经营数据!$A903,"基金整体")))</f>
        <v>德胜门项目</v>
      </c>
      <c r="J902" t="str">
        <f t="shared" si="213"/>
        <v>季度</v>
      </c>
      <c r="K902" t="str">
        <f t="shared" si="214"/>
        <v>期末出租率（%）</v>
      </c>
      <c r="L902" t="str">
        <f t="shared" si="215"/>
        <v>德胜门项目|期末出租率（%）|季度</v>
      </c>
      <c r="M902">
        <f>IF($A902="",0,IF(COUNTIF($L$2:$L902,$L902)=1,1,0))</f>
        <v>0</v>
      </c>
      <c r="N902">
        <f t="shared" si="216"/>
        <v>20262</v>
      </c>
      <c r="O902" t="str">
        <f t="shared" si="217"/>
        <v>嘉实物美消费封闭式基础设施证券投资基金|2026Q2|季度</v>
      </c>
      <c r="P902">
        <f>IF($A902="",0,IF(COUNTIF($O$2:$O902,$O902)=1,1,0))</f>
        <v>0</v>
      </c>
      <c r="Q902" t="str">
        <f>IF(AND($P902=1,$A902=经营数据!$B$3,$J902=经营数据!$BA$5),COUNTIFS($P$2:$P$3000,1,$A$2:$A$3000,$A902,$J$2:$J$3000,$J902,$N$2:$N$3000,"&lt;"&amp;$N902)+1,"")</f>
        <v/>
      </c>
      <c r="R902" t="str">
        <f t="shared" si="218"/>
        <v>嘉实物美消费封闭式基础设施证券投资基金|德胜门项目</v>
      </c>
      <c r="S902">
        <f>IF($A902="",0,IF(COUNTIF($R$2:$R902,$R902)=1,1,0))</f>
        <v>0</v>
      </c>
      <c r="T902">
        <f t="shared" si="219"/>
        <v>844</v>
      </c>
      <c r="U902" t="str">
        <f>IF($A902="","",IF($A902=经营数据!$B$3,COUNTIFS($S$2:$S$3000,1,$A$2:$A$3000,$A902,$T$2:$T$3000,"&lt;"&amp;$T902)+1,""))</f>
        <v/>
      </c>
      <c r="V902" t="str">
        <f t="shared" si="220"/>
        <v>德胜门项目|服务效率</v>
      </c>
      <c r="W902">
        <f t="shared" si="221"/>
        <v>844</v>
      </c>
      <c r="X902" t="str">
        <f t="shared" si="222"/>
        <v>德胜门项目|期末出租率</v>
      </c>
      <c r="Y902">
        <f t="shared" si="223"/>
        <v>847</v>
      </c>
      <c r="Z902">
        <f>IF($A902="",0,IF(AND($M902=1,$A902=经营数据!$B$3,$J902=经营数据!$BA$5,OR($I902=经营数据!$BA$4,COUNTIF(经营数据!$AA$9:$AA$38,$I902)&gt;0)),1,0))</f>
        <v>0</v>
      </c>
      <c r="AA902" t="str">
        <f t="shared" si="224"/>
        <v/>
      </c>
      <c r="AB902" t="str">
        <f t="shared" si="225"/>
        <v/>
      </c>
      <c r="AC902">
        <f>IF($A902="",0,IF(COUNTIF($A$2:$A902,$A902)=1,1,0))</f>
        <v>0</v>
      </c>
      <c r="AD902">
        <f t="shared" si="226"/>
        <v>8</v>
      </c>
      <c r="AE902" t="str">
        <f t="shared" si="227"/>
        <v>德胜门项目|期末出租率（%）</v>
      </c>
    </row>
    <row r="903" spans="1:31" x14ac:dyDescent="0.4">
      <c r="A903" t="str">
        <f>IF(原始经营数据!$D904="","",原始经营数据!$D904)</f>
        <v>嘉实物美消费封闭式基础设施证券投资基金</v>
      </c>
      <c r="B903" t="str">
        <f>IF(原始经营数据!$D904="","",T(原始经营数据!$E904))</f>
        <v>德胜门项目</v>
      </c>
      <c r="C903" t="str">
        <f>IF(原始经营数据!$D904="","",原始经营数据!$F904)</f>
        <v>2026Q2</v>
      </c>
      <c r="D903" t="str">
        <f>IF(原始经营数据!$D904="","",原始经营数据!$H904)</f>
        <v>期内租金单价水平</v>
      </c>
      <c r="E903">
        <f>IF(原始经营数据!$D904="","",原始经营数据!$I904)</f>
        <v>4.8899999999999997</v>
      </c>
      <c r="F903" t="str">
        <f>IF(原始经营数据!$D904="","",T(原始经营数据!$J904))</f>
        <v>元/平方米/天</v>
      </c>
      <c r="G903" t="str">
        <f>IF(原始经营数据!$D904="","",T(原始经营数据!$K904))</f>
        <v/>
      </c>
      <c r="H903" t="str">
        <f>IF(原始经营数据!$D904="","",原始经营数据!$G904)</f>
        <v>服务价格</v>
      </c>
      <c r="I903" t="str">
        <f>IF($A903="","",IF($B903&lt;&gt;"",$B903,IF(COUNTIFS(原始经营数据!$D$3:$D$3001,$A903,原始经营数据!$E$3:$E$3001,"",原始经营数据!$F$3:$F$3001,$C903,原始经营数据!$H$3:$H$3001,$D903,原始经营数据!$K$3:$K$3001,$G903)&gt;1,"基金整体·来源"&amp;原始经营数据!$A904,"基金整体")))</f>
        <v>德胜门项目</v>
      </c>
      <c r="J903" t="str">
        <f t="shared" si="213"/>
        <v>季度</v>
      </c>
      <c r="K903" t="str">
        <f t="shared" si="214"/>
        <v>期内租金单价水平（元/平方米/天）</v>
      </c>
      <c r="L903" t="str">
        <f t="shared" si="215"/>
        <v>德胜门项目|期内租金单价水平（元/平方米/天）|季度</v>
      </c>
      <c r="M903">
        <f>IF($A903="",0,IF(COUNTIF($L$2:$L903,$L903)=1,1,0))</f>
        <v>0</v>
      </c>
      <c r="N903">
        <f t="shared" si="216"/>
        <v>20262</v>
      </c>
      <c r="O903" t="str">
        <f t="shared" si="217"/>
        <v>嘉实物美消费封闭式基础设施证券投资基金|2026Q2|季度</v>
      </c>
      <c r="P903">
        <f>IF($A903="",0,IF(COUNTIF($O$2:$O903,$O903)=1,1,0))</f>
        <v>0</v>
      </c>
      <c r="Q903" t="str">
        <f>IF(AND($P903=1,$A903=经营数据!$B$3,$J903=经营数据!$BA$5),COUNTIFS($P$2:$P$3000,1,$A$2:$A$3000,$A903,$J$2:$J$3000,$J903,$N$2:$N$3000,"&lt;"&amp;$N903)+1,"")</f>
        <v/>
      </c>
      <c r="R903" t="str">
        <f t="shared" si="218"/>
        <v>嘉实物美消费封闭式基础设施证券投资基金|德胜门项目</v>
      </c>
      <c r="S903">
        <f>IF($A903="",0,IF(COUNTIF($R$2:$R903,$R903)=1,1,0))</f>
        <v>0</v>
      </c>
      <c r="T903">
        <f t="shared" si="219"/>
        <v>844</v>
      </c>
      <c r="U903" t="str">
        <f>IF($A903="","",IF($A903=经营数据!$B$3,COUNTIFS($S$2:$S$3000,1,$A$2:$A$3000,$A903,$T$2:$T$3000,"&lt;"&amp;$T903)+1,""))</f>
        <v/>
      </c>
      <c r="V903" t="str">
        <f t="shared" si="220"/>
        <v>德胜门项目|服务价格</v>
      </c>
      <c r="W903">
        <f t="shared" si="221"/>
        <v>849</v>
      </c>
      <c r="X903" t="str">
        <f t="shared" si="222"/>
        <v>德胜门项目|期内租金单价水平</v>
      </c>
      <c r="Y903">
        <f t="shared" si="223"/>
        <v>849</v>
      </c>
      <c r="Z903">
        <f>IF($A903="",0,IF(AND($M903=1,$A903=经营数据!$B$3,$J903=经营数据!$BA$5,OR($I903=经营数据!$BA$4,COUNTIF(经营数据!$AA$9:$AA$38,$I903)&gt;0)),1,0))</f>
        <v>0</v>
      </c>
      <c r="AA903" t="str">
        <f t="shared" si="224"/>
        <v/>
      </c>
      <c r="AB903" t="str">
        <f t="shared" si="225"/>
        <v/>
      </c>
      <c r="AC903">
        <f>IF($A903="",0,IF(COUNTIF($A$2:$A903,$A903)=1,1,0))</f>
        <v>0</v>
      </c>
      <c r="AD903">
        <f t="shared" si="226"/>
        <v>8</v>
      </c>
      <c r="AE903" t="str">
        <f t="shared" si="227"/>
        <v>德胜门项目|期内租金单价水平（元/平方米/天）</v>
      </c>
    </row>
    <row r="904" spans="1:31" x14ac:dyDescent="0.4">
      <c r="A904" t="str">
        <f>IF(原始经营数据!$D905="","",原始经营数据!$D905)</f>
        <v>嘉实物美消费封闭式基础设施证券投资基金</v>
      </c>
      <c r="B904" t="str">
        <f>IF(原始经营数据!$D905="","",T(原始经营数据!$E905))</f>
        <v>德胜门项目</v>
      </c>
      <c r="C904" t="str">
        <f>IF(原始经营数据!$D905="","",原始经营数据!$F905)</f>
        <v>2026Q2</v>
      </c>
      <c r="D904" t="str">
        <f>IF(原始经营数据!$D905="","",原始经营数据!$H905)</f>
        <v>期末剩余租期情况</v>
      </c>
      <c r="E904">
        <f>IF(原始经营数据!$D905="","",原始经营数据!$I905)</f>
        <v>5.94</v>
      </c>
      <c r="F904" t="str">
        <f>IF(原始经营数据!$D905="","",T(原始经营数据!$J905))</f>
        <v>年</v>
      </c>
      <c r="G904" t="str">
        <f>IF(原始经营数据!$D905="","",T(原始经营数据!$K905))</f>
        <v/>
      </c>
      <c r="H904" t="str">
        <f>IF(原始经营数据!$D905="","",原始经营数据!$G905)</f>
        <v>服务量</v>
      </c>
      <c r="I904" t="str">
        <f>IF($A904="","",IF($B904&lt;&gt;"",$B904,IF(COUNTIFS(原始经营数据!$D$3:$D$3001,$A904,原始经营数据!$E$3:$E$3001,"",原始经营数据!$F$3:$F$3001,$C904,原始经营数据!$H$3:$H$3001,$D904,原始经营数据!$K$3:$K$3001,$G904)&gt;1,"基金整体·来源"&amp;原始经营数据!$A905,"基金整体")))</f>
        <v>德胜门项目</v>
      </c>
      <c r="J904" t="str">
        <f t="shared" si="213"/>
        <v>季度</v>
      </c>
      <c r="K904" t="str">
        <f t="shared" si="214"/>
        <v>期末剩余租期情况（年）</v>
      </c>
      <c r="L904" t="str">
        <f t="shared" si="215"/>
        <v>德胜门项目|期末剩余租期情况（年）|季度</v>
      </c>
      <c r="M904">
        <f>IF($A904="",0,IF(COUNTIF($L$2:$L904,$L904)=1,1,0))</f>
        <v>0</v>
      </c>
      <c r="N904">
        <f t="shared" si="216"/>
        <v>20262</v>
      </c>
      <c r="O904" t="str">
        <f t="shared" si="217"/>
        <v>嘉实物美消费封闭式基础设施证券投资基金|2026Q2|季度</v>
      </c>
      <c r="P904">
        <f>IF($A904="",0,IF(COUNTIF($O$2:$O904,$O904)=1,1,0))</f>
        <v>0</v>
      </c>
      <c r="Q904" t="str">
        <f>IF(AND($P904=1,$A904=经营数据!$B$3,$J904=经营数据!$BA$5),COUNTIFS($P$2:$P$3000,1,$A$2:$A$3000,$A904,$J$2:$J$3000,$J904,$N$2:$N$3000,"&lt;"&amp;$N904)+1,"")</f>
        <v/>
      </c>
      <c r="R904" t="str">
        <f t="shared" si="218"/>
        <v>嘉实物美消费封闭式基础设施证券投资基金|德胜门项目</v>
      </c>
      <c r="S904">
        <f>IF($A904="",0,IF(COUNTIF($R$2:$R904,$R904)=1,1,0))</f>
        <v>0</v>
      </c>
      <c r="T904">
        <f t="shared" si="219"/>
        <v>844</v>
      </c>
      <c r="U904" t="str">
        <f>IF($A904="","",IF($A904=经营数据!$B$3,COUNTIFS($S$2:$S$3000,1,$A$2:$A$3000,$A904,$T$2:$T$3000,"&lt;"&amp;$T904)+1,""))</f>
        <v/>
      </c>
      <c r="V904" t="str">
        <f t="shared" si="220"/>
        <v>德胜门项目|服务量</v>
      </c>
      <c r="W904">
        <f t="shared" si="221"/>
        <v>845</v>
      </c>
      <c r="X904" t="str">
        <f t="shared" si="222"/>
        <v>德胜门项目|期末剩余租期情况</v>
      </c>
      <c r="Y904">
        <f t="shared" si="223"/>
        <v>848</v>
      </c>
      <c r="Z904">
        <f>IF($A904="",0,IF(AND($M904=1,$A904=经营数据!$B$3,$J904=经营数据!$BA$5,OR($I904=经营数据!$BA$4,COUNTIF(经营数据!$AA$9:$AA$38,$I904)&gt;0)),1,0))</f>
        <v>0</v>
      </c>
      <c r="AA904" t="str">
        <f t="shared" si="224"/>
        <v/>
      </c>
      <c r="AB904" t="str">
        <f t="shared" si="225"/>
        <v/>
      </c>
      <c r="AC904">
        <f>IF($A904="",0,IF(COUNTIF($A$2:$A904,$A904)=1,1,0))</f>
        <v>0</v>
      </c>
      <c r="AD904">
        <f t="shared" si="226"/>
        <v>8</v>
      </c>
      <c r="AE904" t="str">
        <f t="shared" si="227"/>
        <v>德胜门项目|期末剩余租期情况（年）</v>
      </c>
    </row>
    <row r="905" spans="1:31" x14ac:dyDescent="0.4">
      <c r="A905" t="str">
        <f>IF(原始经营数据!$D906="","",原始经营数据!$D906)</f>
        <v>嘉实物美消费封闭式基础设施证券投资基金</v>
      </c>
      <c r="B905" t="str">
        <f>IF(原始经营数据!$D906="","",T(原始经营数据!$E906))</f>
        <v>玉蜓桥项目</v>
      </c>
      <c r="C905" t="str">
        <f>IF(原始经营数据!$D906="","",原始经营数据!$F906)</f>
        <v>2024Q1</v>
      </c>
      <c r="D905" t="str">
        <f>IF(原始经营数据!$D906="","",原始经营数据!$H906)</f>
        <v>期末可供出租面积</v>
      </c>
      <c r="E905">
        <f>IF(原始经营数据!$D906="","",原始经营数据!$I906)</f>
        <v>24840.41</v>
      </c>
      <c r="F905" t="str">
        <f>IF(原始经营数据!$D906="","",T(原始经营数据!$J906))</f>
        <v>平方米</v>
      </c>
      <c r="G905" t="str">
        <f>IF(原始经营数据!$D906="","",T(原始经营数据!$K906))</f>
        <v/>
      </c>
      <c r="H905" t="str">
        <f>IF(原始经营数据!$D906="","",原始经营数据!$G906)</f>
        <v>服务量</v>
      </c>
      <c r="I905" t="str">
        <f>IF($A905="","",IF($B905&lt;&gt;"",$B905,IF(COUNTIFS(原始经营数据!$D$3:$D$3001,$A905,原始经营数据!$E$3:$E$3001,"",原始经营数据!$F$3:$F$3001,$C905,原始经营数据!$H$3:$H$3001,$D905,原始经营数据!$K$3:$K$3001,$G905)&gt;1,"基金整体·来源"&amp;原始经营数据!$A906,"基金整体")))</f>
        <v>玉蜓桥项目</v>
      </c>
      <c r="J905" t="str">
        <f t="shared" si="213"/>
        <v>季度</v>
      </c>
      <c r="K905" t="str">
        <f t="shared" si="214"/>
        <v>期末可供出租面积（平方米）</v>
      </c>
      <c r="L905" t="str">
        <f t="shared" si="215"/>
        <v>玉蜓桥项目|期末可供出租面积（平方米）|季度</v>
      </c>
      <c r="M905">
        <f>IF($A905="",0,IF(COUNTIF($L$2:$L905,$L905)=1,1,0))</f>
        <v>1</v>
      </c>
      <c r="N905">
        <f t="shared" si="216"/>
        <v>20241</v>
      </c>
      <c r="O905" t="str">
        <f t="shared" si="217"/>
        <v>嘉实物美消费封闭式基础设施证券投资基金|2024Q1|季度</v>
      </c>
      <c r="P905">
        <f>IF($A905="",0,IF(COUNTIF($O$2:$O905,$O905)=1,1,0))</f>
        <v>0</v>
      </c>
      <c r="Q905" t="str">
        <f>IF(AND($P905=1,$A905=经营数据!$B$3,$J905=经营数据!$BA$5),COUNTIFS($P$2:$P$3000,1,$A$2:$A$3000,$A905,$J$2:$J$3000,$J905,$N$2:$N$3000,"&lt;"&amp;$N905)+1,"")</f>
        <v/>
      </c>
      <c r="R905" t="str">
        <f t="shared" si="218"/>
        <v>嘉实物美消费封闭式基础设施证券投资基金|玉蜓桥项目</v>
      </c>
      <c r="S905">
        <f>IF($A905="",0,IF(COUNTIF($R$2:$R905,$R905)=1,1,0))</f>
        <v>1</v>
      </c>
      <c r="T905">
        <f t="shared" si="219"/>
        <v>904</v>
      </c>
      <c r="U905" t="str">
        <f>IF($A905="","",IF($A905=经营数据!$B$3,COUNTIFS($S$2:$S$3000,1,$A$2:$A$3000,$A905,$T$2:$T$3000,"&lt;"&amp;$T905)+1,""))</f>
        <v/>
      </c>
      <c r="V905" t="str">
        <f t="shared" si="220"/>
        <v>玉蜓桥项目|服务量</v>
      </c>
      <c r="W905">
        <f t="shared" si="221"/>
        <v>904</v>
      </c>
      <c r="X905" t="str">
        <f t="shared" si="222"/>
        <v>玉蜓桥项目|期末可供出租面积</v>
      </c>
      <c r="Y905">
        <f t="shared" si="223"/>
        <v>904</v>
      </c>
      <c r="Z905">
        <f>IF($A905="",0,IF(AND($M905=1,$A905=经营数据!$B$3,$J905=经营数据!$BA$5,OR($I905=经营数据!$BA$4,COUNTIF(经营数据!$AA$9:$AA$38,$I905)&gt;0)),1,0))</f>
        <v>0</v>
      </c>
      <c r="AA905" t="str">
        <f t="shared" si="224"/>
        <v/>
      </c>
      <c r="AB905" t="str">
        <f t="shared" si="225"/>
        <v/>
      </c>
      <c r="AC905">
        <f>IF($A905="",0,IF(COUNTIF($A$2:$A905,$A905)=1,1,0))</f>
        <v>0</v>
      </c>
      <c r="AD905">
        <f t="shared" si="226"/>
        <v>8</v>
      </c>
      <c r="AE905" t="str">
        <f t="shared" si="227"/>
        <v>玉蜓桥项目|期末可供出租面积（平方米）</v>
      </c>
    </row>
    <row r="906" spans="1:31" x14ac:dyDescent="0.4">
      <c r="A906" t="str">
        <f>IF(原始经营数据!$D907="","",原始经营数据!$D907)</f>
        <v>嘉实物美消费封闭式基础设施证券投资基金</v>
      </c>
      <c r="B906" t="str">
        <f>IF(原始经营数据!$D907="","",T(原始经营数据!$E907))</f>
        <v>玉蜓桥项目</v>
      </c>
      <c r="C906" t="str">
        <f>IF(原始经营数据!$D907="","",原始经营数据!$F907)</f>
        <v>2024Q1</v>
      </c>
      <c r="D906" t="str">
        <f>IF(原始经营数据!$D907="","",原始经营数据!$H907)</f>
        <v>期末实际出租面积</v>
      </c>
      <c r="E906">
        <f>IF(原始经营数据!$D907="","",原始经营数据!$I907)</f>
        <v>24777.84</v>
      </c>
      <c r="F906" t="str">
        <f>IF(原始经营数据!$D907="","",T(原始经营数据!$J907))</f>
        <v>平方米</v>
      </c>
      <c r="G906" t="str">
        <f>IF(原始经营数据!$D907="","",T(原始经营数据!$K907))</f>
        <v/>
      </c>
      <c r="H906" t="str">
        <f>IF(原始经营数据!$D907="","",原始经营数据!$G907)</f>
        <v>服务量</v>
      </c>
      <c r="I906" t="str">
        <f>IF($A906="","",IF($B906&lt;&gt;"",$B906,IF(COUNTIFS(原始经营数据!$D$3:$D$3001,$A906,原始经营数据!$E$3:$E$3001,"",原始经营数据!$F$3:$F$3001,$C906,原始经营数据!$H$3:$H$3001,$D906,原始经营数据!$K$3:$K$3001,$G906)&gt;1,"基金整体·来源"&amp;原始经营数据!$A907,"基金整体")))</f>
        <v>玉蜓桥项目</v>
      </c>
      <c r="J906" t="str">
        <f t="shared" si="213"/>
        <v>季度</v>
      </c>
      <c r="K906" t="str">
        <f t="shared" si="214"/>
        <v>期末实际出租面积（平方米）</v>
      </c>
      <c r="L906" t="str">
        <f t="shared" si="215"/>
        <v>玉蜓桥项目|期末实际出租面积（平方米）|季度</v>
      </c>
      <c r="M906">
        <f>IF($A906="",0,IF(COUNTIF($L$2:$L906,$L906)=1,1,0))</f>
        <v>1</v>
      </c>
      <c r="N906">
        <f t="shared" si="216"/>
        <v>20241</v>
      </c>
      <c r="O906" t="str">
        <f t="shared" si="217"/>
        <v>嘉实物美消费封闭式基础设施证券投资基金|2024Q1|季度</v>
      </c>
      <c r="P906">
        <f>IF($A906="",0,IF(COUNTIF($O$2:$O906,$O906)=1,1,0))</f>
        <v>0</v>
      </c>
      <c r="Q906" t="str">
        <f>IF(AND($P906=1,$A906=经营数据!$B$3,$J906=经营数据!$BA$5),COUNTIFS($P$2:$P$3000,1,$A$2:$A$3000,$A906,$J$2:$J$3000,$J906,$N$2:$N$3000,"&lt;"&amp;$N906)+1,"")</f>
        <v/>
      </c>
      <c r="R906" t="str">
        <f t="shared" si="218"/>
        <v>嘉实物美消费封闭式基础设施证券投资基金|玉蜓桥项目</v>
      </c>
      <c r="S906">
        <f>IF($A906="",0,IF(COUNTIF($R$2:$R906,$R906)=1,1,0))</f>
        <v>0</v>
      </c>
      <c r="T906">
        <f t="shared" si="219"/>
        <v>904</v>
      </c>
      <c r="U906" t="str">
        <f>IF($A906="","",IF($A906=经营数据!$B$3,COUNTIFS($S$2:$S$3000,1,$A$2:$A$3000,$A906,$T$2:$T$3000,"&lt;"&amp;$T906)+1,""))</f>
        <v/>
      </c>
      <c r="V906" t="str">
        <f t="shared" si="220"/>
        <v>玉蜓桥项目|服务量</v>
      </c>
      <c r="W906">
        <f t="shared" si="221"/>
        <v>904</v>
      </c>
      <c r="X906" t="str">
        <f t="shared" si="222"/>
        <v>玉蜓桥项目|期末实际出租面积</v>
      </c>
      <c r="Y906">
        <f t="shared" si="223"/>
        <v>905</v>
      </c>
      <c r="Z906">
        <f>IF($A906="",0,IF(AND($M906=1,$A906=经营数据!$B$3,$J906=经营数据!$BA$5,OR($I906=经营数据!$BA$4,COUNTIF(经营数据!$AA$9:$AA$38,$I906)&gt;0)),1,0))</f>
        <v>0</v>
      </c>
      <c r="AA906" t="str">
        <f t="shared" si="224"/>
        <v/>
      </c>
      <c r="AB906" t="str">
        <f t="shared" si="225"/>
        <v/>
      </c>
      <c r="AC906">
        <f>IF($A906="",0,IF(COUNTIF($A$2:$A906,$A906)=1,1,0))</f>
        <v>0</v>
      </c>
      <c r="AD906">
        <f t="shared" si="226"/>
        <v>8</v>
      </c>
      <c r="AE906" t="str">
        <f t="shared" si="227"/>
        <v>玉蜓桥项目|期末实际出租面积（平方米）</v>
      </c>
    </row>
    <row r="907" spans="1:31" x14ac:dyDescent="0.4">
      <c r="A907" t="str">
        <f>IF(原始经营数据!$D908="","",原始经营数据!$D908)</f>
        <v>嘉实物美消费封闭式基础设施证券投资基金</v>
      </c>
      <c r="B907" t="str">
        <f>IF(原始经营数据!$D908="","",T(原始经营数据!$E908))</f>
        <v>玉蜓桥项目</v>
      </c>
      <c r="C907" t="str">
        <f>IF(原始经营数据!$D908="","",原始经营数据!$F908)</f>
        <v>2024Q1</v>
      </c>
      <c r="D907" t="str">
        <f>IF(原始经营数据!$D908="","",原始经营数据!$H908)</f>
        <v>期末出租率</v>
      </c>
      <c r="E907">
        <f>IF(原始经营数据!$D908="","",原始经营数据!$I908)</f>
        <v>99.75</v>
      </c>
      <c r="F907" t="str">
        <f>IF(原始经营数据!$D908="","",T(原始经营数据!$J908))</f>
        <v>%</v>
      </c>
      <c r="G907" t="str">
        <f>IF(原始经营数据!$D908="","",T(原始经营数据!$K908))</f>
        <v/>
      </c>
      <c r="H907" t="str">
        <f>IF(原始经营数据!$D908="","",原始经营数据!$G908)</f>
        <v>服务效率</v>
      </c>
      <c r="I907" t="str">
        <f>IF($A907="","",IF($B907&lt;&gt;"",$B907,IF(COUNTIFS(原始经营数据!$D$3:$D$3001,$A907,原始经营数据!$E$3:$E$3001,"",原始经营数据!$F$3:$F$3001,$C907,原始经营数据!$H$3:$H$3001,$D907,原始经营数据!$K$3:$K$3001,$G907)&gt;1,"基金整体·来源"&amp;原始经营数据!$A908,"基金整体")))</f>
        <v>玉蜓桥项目</v>
      </c>
      <c r="J907" t="str">
        <f t="shared" si="213"/>
        <v>季度</v>
      </c>
      <c r="K907" t="str">
        <f t="shared" si="214"/>
        <v>期末出租率（%）</v>
      </c>
      <c r="L907" t="str">
        <f t="shared" si="215"/>
        <v>玉蜓桥项目|期末出租率（%）|季度</v>
      </c>
      <c r="M907">
        <f>IF($A907="",0,IF(COUNTIF($L$2:$L907,$L907)=1,1,0))</f>
        <v>1</v>
      </c>
      <c r="N907">
        <f t="shared" si="216"/>
        <v>20241</v>
      </c>
      <c r="O907" t="str">
        <f t="shared" si="217"/>
        <v>嘉实物美消费封闭式基础设施证券投资基金|2024Q1|季度</v>
      </c>
      <c r="P907">
        <f>IF($A907="",0,IF(COUNTIF($O$2:$O907,$O907)=1,1,0))</f>
        <v>0</v>
      </c>
      <c r="Q907" t="str">
        <f>IF(AND($P907=1,$A907=经营数据!$B$3,$J907=经营数据!$BA$5),COUNTIFS($P$2:$P$3000,1,$A$2:$A$3000,$A907,$J$2:$J$3000,$J907,$N$2:$N$3000,"&lt;"&amp;$N907)+1,"")</f>
        <v/>
      </c>
      <c r="R907" t="str">
        <f t="shared" si="218"/>
        <v>嘉实物美消费封闭式基础设施证券投资基金|玉蜓桥项目</v>
      </c>
      <c r="S907">
        <f>IF($A907="",0,IF(COUNTIF($R$2:$R907,$R907)=1,1,0))</f>
        <v>0</v>
      </c>
      <c r="T907">
        <f t="shared" si="219"/>
        <v>904</v>
      </c>
      <c r="U907" t="str">
        <f>IF($A907="","",IF($A907=经营数据!$B$3,COUNTIFS($S$2:$S$3000,1,$A$2:$A$3000,$A907,$T$2:$T$3000,"&lt;"&amp;$T907)+1,""))</f>
        <v/>
      </c>
      <c r="V907" t="str">
        <f t="shared" si="220"/>
        <v>玉蜓桥项目|服务效率</v>
      </c>
      <c r="W907">
        <f t="shared" si="221"/>
        <v>906</v>
      </c>
      <c r="X907" t="str">
        <f t="shared" si="222"/>
        <v>玉蜓桥项目|期末出租率</v>
      </c>
      <c r="Y907">
        <f t="shared" si="223"/>
        <v>906</v>
      </c>
      <c r="Z907">
        <f>IF($A907="",0,IF(AND($M907=1,$A907=经营数据!$B$3,$J907=经营数据!$BA$5,OR($I907=经营数据!$BA$4,COUNTIF(经营数据!$AA$9:$AA$38,$I907)&gt;0)),1,0))</f>
        <v>0</v>
      </c>
      <c r="AA907" t="str">
        <f t="shared" si="224"/>
        <v/>
      </c>
      <c r="AB907" t="str">
        <f t="shared" si="225"/>
        <v/>
      </c>
      <c r="AC907">
        <f>IF($A907="",0,IF(COUNTIF($A$2:$A907,$A907)=1,1,0))</f>
        <v>0</v>
      </c>
      <c r="AD907">
        <f t="shared" si="226"/>
        <v>8</v>
      </c>
      <c r="AE907" t="str">
        <f t="shared" si="227"/>
        <v>玉蜓桥项目|期末出租率（%）</v>
      </c>
    </row>
    <row r="908" spans="1:31" x14ac:dyDescent="0.4">
      <c r="A908" t="str">
        <f>IF(原始经营数据!$D909="","",原始经营数据!$D909)</f>
        <v>嘉实物美消费封闭式基础设施证券投资基金</v>
      </c>
      <c r="B908" t="str">
        <f>IF(原始经营数据!$D909="","",T(原始经营数据!$E909))</f>
        <v>玉蜓桥项目</v>
      </c>
      <c r="C908" t="str">
        <f>IF(原始经营数据!$D909="","",原始经营数据!$F909)</f>
        <v>2024Q1</v>
      </c>
      <c r="D908" t="str">
        <f>IF(原始经营数据!$D909="","",原始经营数据!$H909)</f>
        <v>期末租金收缴率</v>
      </c>
      <c r="E908">
        <f>IF(原始经营数据!$D909="","",原始经营数据!$I909)</f>
        <v>99.89</v>
      </c>
      <c r="F908" t="str">
        <f>IF(原始经营数据!$D909="","",T(原始经营数据!$J909))</f>
        <v>%</v>
      </c>
      <c r="G908" t="str">
        <f>IF(原始经营数据!$D909="","",T(原始经营数据!$K909))</f>
        <v/>
      </c>
      <c r="H908" t="str">
        <f>IF(原始经营数据!$D909="","",原始经营数据!$G909)</f>
        <v>服务效率</v>
      </c>
      <c r="I908" t="str">
        <f>IF($A908="","",IF($B908&lt;&gt;"",$B908,IF(COUNTIFS(原始经营数据!$D$3:$D$3001,$A908,原始经营数据!$E$3:$E$3001,"",原始经营数据!$F$3:$F$3001,$C908,原始经营数据!$H$3:$H$3001,$D908,原始经营数据!$K$3:$K$3001,$G908)&gt;1,"基金整体·来源"&amp;原始经营数据!$A909,"基金整体")))</f>
        <v>玉蜓桥项目</v>
      </c>
      <c r="J908" t="str">
        <f t="shared" si="213"/>
        <v>季度</v>
      </c>
      <c r="K908" t="str">
        <f t="shared" si="214"/>
        <v>期末租金收缴率（%）</v>
      </c>
      <c r="L908" t="str">
        <f t="shared" si="215"/>
        <v>玉蜓桥项目|期末租金收缴率（%）|季度</v>
      </c>
      <c r="M908">
        <f>IF($A908="",0,IF(COUNTIF($L$2:$L908,$L908)=1,1,0))</f>
        <v>1</v>
      </c>
      <c r="N908">
        <f t="shared" si="216"/>
        <v>20241</v>
      </c>
      <c r="O908" t="str">
        <f t="shared" si="217"/>
        <v>嘉实物美消费封闭式基础设施证券投资基金|2024Q1|季度</v>
      </c>
      <c r="P908">
        <f>IF($A908="",0,IF(COUNTIF($O$2:$O908,$O908)=1,1,0))</f>
        <v>0</v>
      </c>
      <c r="Q908" t="str">
        <f>IF(AND($P908=1,$A908=经营数据!$B$3,$J908=经营数据!$BA$5),COUNTIFS($P$2:$P$3000,1,$A$2:$A$3000,$A908,$J$2:$J$3000,$J908,$N$2:$N$3000,"&lt;"&amp;$N908)+1,"")</f>
        <v/>
      </c>
      <c r="R908" t="str">
        <f t="shared" si="218"/>
        <v>嘉实物美消费封闭式基础设施证券投资基金|玉蜓桥项目</v>
      </c>
      <c r="S908">
        <f>IF($A908="",0,IF(COUNTIF($R$2:$R908,$R908)=1,1,0))</f>
        <v>0</v>
      </c>
      <c r="T908">
        <f t="shared" si="219"/>
        <v>904</v>
      </c>
      <c r="U908" t="str">
        <f>IF($A908="","",IF($A908=经营数据!$B$3,COUNTIFS($S$2:$S$3000,1,$A$2:$A$3000,$A908,$T$2:$T$3000,"&lt;"&amp;$T908)+1,""))</f>
        <v/>
      </c>
      <c r="V908" t="str">
        <f t="shared" si="220"/>
        <v>玉蜓桥项目|服务效率</v>
      </c>
      <c r="W908">
        <f t="shared" si="221"/>
        <v>906</v>
      </c>
      <c r="X908" t="str">
        <f t="shared" si="222"/>
        <v>玉蜓桥项目|期末租金收缴率</v>
      </c>
      <c r="Y908">
        <f t="shared" si="223"/>
        <v>907</v>
      </c>
      <c r="Z908">
        <f>IF($A908="",0,IF(AND($M908=1,$A908=经营数据!$B$3,$J908=经营数据!$BA$5,OR($I908=经营数据!$BA$4,COUNTIF(经营数据!$AA$9:$AA$38,$I908)&gt;0)),1,0))</f>
        <v>0</v>
      </c>
      <c r="AA908" t="str">
        <f t="shared" si="224"/>
        <v/>
      </c>
      <c r="AB908" t="str">
        <f t="shared" si="225"/>
        <v/>
      </c>
      <c r="AC908">
        <f>IF($A908="",0,IF(COUNTIF($A$2:$A908,$A908)=1,1,0))</f>
        <v>0</v>
      </c>
      <c r="AD908">
        <f t="shared" si="226"/>
        <v>8</v>
      </c>
      <c r="AE908" t="str">
        <f t="shared" si="227"/>
        <v>玉蜓桥项目|期末租金收缴率（%）</v>
      </c>
    </row>
    <row r="909" spans="1:31" x14ac:dyDescent="0.4">
      <c r="A909" t="str">
        <f>IF(原始经营数据!$D910="","",原始经营数据!$D910)</f>
        <v>嘉实物美消费封闭式基础设施证券投资基金</v>
      </c>
      <c r="B909" t="str">
        <f>IF(原始经营数据!$D910="","",T(原始经营数据!$E910))</f>
        <v>玉蜓桥项目</v>
      </c>
      <c r="C909" t="str">
        <f>IF(原始经营数据!$D910="","",原始经营数据!$F910)</f>
        <v>2024Q1</v>
      </c>
      <c r="D909" t="str">
        <f>IF(原始经营数据!$D910="","",原始经营数据!$H910)</f>
        <v>期内租金单价水平</v>
      </c>
      <c r="E909">
        <f>IF(原始经营数据!$D910="","",原始经营数据!$I910)</f>
        <v>4.91</v>
      </c>
      <c r="F909" t="str">
        <f>IF(原始经营数据!$D910="","",T(原始经营数据!$J910))</f>
        <v>元/平方米/天</v>
      </c>
      <c r="G909" t="str">
        <f>IF(原始经营数据!$D910="","",T(原始经营数据!$K910))</f>
        <v/>
      </c>
      <c r="H909" t="str">
        <f>IF(原始经营数据!$D910="","",原始经营数据!$G910)</f>
        <v>服务价格</v>
      </c>
      <c r="I909" t="str">
        <f>IF($A909="","",IF($B909&lt;&gt;"",$B909,IF(COUNTIFS(原始经营数据!$D$3:$D$3001,$A909,原始经营数据!$E$3:$E$3001,"",原始经营数据!$F$3:$F$3001,$C909,原始经营数据!$H$3:$H$3001,$D909,原始经营数据!$K$3:$K$3001,$G909)&gt;1,"基金整体·来源"&amp;原始经营数据!$A910,"基金整体")))</f>
        <v>玉蜓桥项目</v>
      </c>
      <c r="J909" t="str">
        <f t="shared" si="213"/>
        <v>季度</v>
      </c>
      <c r="K909" t="str">
        <f t="shared" si="214"/>
        <v>期内租金单价水平（元/平方米/天）</v>
      </c>
      <c r="L909" t="str">
        <f t="shared" si="215"/>
        <v>玉蜓桥项目|期内租金单价水平（元/平方米/天）|季度</v>
      </c>
      <c r="M909">
        <f>IF($A909="",0,IF(COUNTIF($L$2:$L909,$L909)=1,1,0))</f>
        <v>1</v>
      </c>
      <c r="N909">
        <f t="shared" si="216"/>
        <v>20241</v>
      </c>
      <c r="O909" t="str">
        <f t="shared" si="217"/>
        <v>嘉实物美消费封闭式基础设施证券投资基金|2024Q1|季度</v>
      </c>
      <c r="P909">
        <f>IF($A909="",0,IF(COUNTIF($O$2:$O909,$O909)=1,1,0))</f>
        <v>0</v>
      </c>
      <c r="Q909" t="str">
        <f>IF(AND($P909=1,$A909=经营数据!$B$3,$J909=经营数据!$BA$5),COUNTIFS($P$2:$P$3000,1,$A$2:$A$3000,$A909,$J$2:$J$3000,$J909,$N$2:$N$3000,"&lt;"&amp;$N909)+1,"")</f>
        <v/>
      </c>
      <c r="R909" t="str">
        <f t="shared" si="218"/>
        <v>嘉实物美消费封闭式基础设施证券投资基金|玉蜓桥项目</v>
      </c>
      <c r="S909">
        <f>IF($A909="",0,IF(COUNTIF($R$2:$R909,$R909)=1,1,0))</f>
        <v>0</v>
      </c>
      <c r="T909">
        <f t="shared" si="219"/>
        <v>904</v>
      </c>
      <c r="U909" t="str">
        <f>IF($A909="","",IF($A909=经营数据!$B$3,COUNTIFS($S$2:$S$3000,1,$A$2:$A$3000,$A909,$T$2:$T$3000,"&lt;"&amp;$T909)+1,""))</f>
        <v/>
      </c>
      <c r="V909" t="str">
        <f t="shared" si="220"/>
        <v>玉蜓桥项目|服务价格</v>
      </c>
      <c r="W909">
        <f t="shared" si="221"/>
        <v>908</v>
      </c>
      <c r="X909" t="str">
        <f t="shared" si="222"/>
        <v>玉蜓桥项目|期内租金单价水平</v>
      </c>
      <c r="Y909">
        <f t="shared" si="223"/>
        <v>908</v>
      </c>
      <c r="Z909">
        <f>IF($A909="",0,IF(AND($M909=1,$A909=经营数据!$B$3,$J909=经营数据!$BA$5,OR($I909=经营数据!$BA$4,COUNTIF(经营数据!$AA$9:$AA$38,$I909)&gt;0)),1,0))</f>
        <v>0</v>
      </c>
      <c r="AA909" t="str">
        <f t="shared" si="224"/>
        <v/>
      </c>
      <c r="AB909" t="str">
        <f t="shared" si="225"/>
        <v/>
      </c>
      <c r="AC909">
        <f>IF($A909="",0,IF(COUNTIF($A$2:$A909,$A909)=1,1,0))</f>
        <v>0</v>
      </c>
      <c r="AD909">
        <f t="shared" si="226"/>
        <v>8</v>
      </c>
      <c r="AE909" t="str">
        <f t="shared" si="227"/>
        <v>玉蜓桥项目|期内租金单价水平（元/平方米/天）</v>
      </c>
    </row>
    <row r="910" spans="1:31" x14ac:dyDescent="0.4">
      <c r="A910" t="str">
        <f>IF(原始经营数据!$D911="","",原始经营数据!$D911)</f>
        <v>嘉实物美消费封闭式基础设施证券投资基金</v>
      </c>
      <c r="B910" t="str">
        <f>IF(原始经营数据!$D911="","",T(原始经营数据!$E911))</f>
        <v>玉蜓桥项目</v>
      </c>
      <c r="C910" t="str">
        <f>IF(原始经营数据!$D911="","",原始经营数据!$F911)</f>
        <v>2024Q1</v>
      </c>
      <c r="D910" t="str">
        <f>IF(原始经营数据!$D911="","",原始经营数据!$H911)</f>
        <v>期末剩余租期情况</v>
      </c>
      <c r="E910">
        <f>IF(原始经营数据!$D911="","",原始经营数据!$I911)</f>
        <v>6.86</v>
      </c>
      <c r="F910" t="str">
        <f>IF(原始经营数据!$D911="","",T(原始经营数据!$J911))</f>
        <v>年</v>
      </c>
      <c r="G910" t="str">
        <f>IF(原始经营数据!$D911="","",T(原始经营数据!$K911))</f>
        <v/>
      </c>
      <c r="H910" t="str">
        <f>IF(原始经营数据!$D911="","",原始经营数据!$G911)</f>
        <v>服务量</v>
      </c>
      <c r="I910" t="str">
        <f>IF($A910="","",IF($B910&lt;&gt;"",$B910,IF(COUNTIFS(原始经营数据!$D$3:$D$3001,$A910,原始经营数据!$E$3:$E$3001,"",原始经营数据!$F$3:$F$3001,$C910,原始经营数据!$H$3:$H$3001,$D910,原始经营数据!$K$3:$K$3001,$G910)&gt;1,"基金整体·来源"&amp;原始经营数据!$A911,"基金整体")))</f>
        <v>玉蜓桥项目</v>
      </c>
      <c r="J910" t="str">
        <f t="shared" si="213"/>
        <v>季度</v>
      </c>
      <c r="K910" t="str">
        <f t="shared" si="214"/>
        <v>期末剩余租期情况（年）</v>
      </c>
      <c r="L910" t="str">
        <f t="shared" si="215"/>
        <v>玉蜓桥项目|期末剩余租期情况（年）|季度</v>
      </c>
      <c r="M910">
        <f>IF($A910="",0,IF(COUNTIF($L$2:$L910,$L910)=1,1,0))</f>
        <v>1</v>
      </c>
      <c r="N910">
        <f t="shared" si="216"/>
        <v>20241</v>
      </c>
      <c r="O910" t="str">
        <f t="shared" si="217"/>
        <v>嘉实物美消费封闭式基础设施证券投资基金|2024Q1|季度</v>
      </c>
      <c r="P910">
        <f>IF($A910="",0,IF(COUNTIF($O$2:$O910,$O910)=1,1,0))</f>
        <v>0</v>
      </c>
      <c r="Q910" t="str">
        <f>IF(AND($P910=1,$A910=经营数据!$B$3,$J910=经营数据!$BA$5),COUNTIFS($P$2:$P$3000,1,$A$2:$A$3000,$A910,$J$2:$J$3000,$J910,$N$2:$N$3000,"&lt;"&amp;$N910)+1,"")</f>
        <v/>
      </c>
      <c r="R910" t="str">
        <f t="shared" si="218"/>
        <v>嘉实物美消费封闭式基础设施证券投资基金|玉蜓桥项目</v>
      </c>
      <c r="S910">
        <f>IF($A910="",0,IF(COUNTIF($R$2:$R910,$R910)=1,1,0))</f>
        <v>0</v>
      </c>
      <c r="T910">
        <f t="shared" si="219"/>
        <v>904</v>
      </c>
      <c r="U910" t="str">
        <f>IF($A910="","",IF($A910=经营数据!$B$3,COUNTIFS($S$2:$S$3000,1,$A$2:$A$3000,$A910,$T$2:$T$3000,"&lt;"&amp;$T910)+1,""))</f>
        <v/>
      </c>
      <c r="V910" t="str">
        <f t="shared" si="220"/>
        <v>玉蜓桥项目|服务量</v>
      </c>
      <c r="W910">
        <f t="shared" si="221"/>
        <v>904</v>
      </c>
      <c r="X910" t="str">
        <f t="shared" si="222"/>
        <v>玉蜓桥项目|期末剩余租期情况</v>
      </c>
      <c r="Y910">
        <f t="shared" si="223"/>
        <v>909</v>
      </c>
      <c r="Z910">
        <f>IF($A910="",0,IF(AND($M910=1,$A910=经营数据!$B$3,$J910=经营数据!$BA$5,OR($I910=经营数据!$BA$4,COUNTIF(经营数据!$AA$9:$AA$38,$I910)&gt;0)),1,0))</f>
        <v>0</v>
      </c>
      <c r="AA910" t="str">
        <f t="shared" si="224"/>
        <v/>
      </c>
      <c r="AB910" t="str">
        <f t="shared" si="225"/>
        <v/>
      </c>
      <c r="AC910">
        <f>IF($A910="",0,IF(COUNTIF($A$2:$A910,$A910)=1,1,0))</f>
        <v>0</v>
      </c>
      <c r="AD910">
        <f t="shared" si="226"/>
        <v>8</v>
      </c>
      <c r="AE910" t="str">
        <f t="shared" si="227"/>
        <v>玉蜓桥项目|期末剩余租期情况（年）</v>
      </c>
    </row>
    <row r="911" spans="1:31" x14ac:dyDescent="0.4">
      <c r="A911" t="str">
        <f>IF(原始经营数据!$D912="","",原始经营数据!$D912)</f>
        <v>嘉实物美消费封闭式基础设施证券投资基金</v>
      </c>
      <c r="B911" t="str">
        <f>IF(原始经营数据!$D912="","",T(原始经营数据!$E912))</f>
        <v>玉蜓桥项目</v>
      </c>
      <c r="C911" t="str">
        <f>IF(原始经营数据!$D912="","",原始经营数据!$F912)</f>
        <v>2024Q2</v>
      </c>
      <c r="D911" t="str">
        <f>IF(原始经营数据!$D912="","",原始经营数据!$H912)</f>
        <v>期末租金收缴率</v>
      </c>
      <c r="E911">
        <f>IF(原始经营数据!$D912="","",原始经营数据!$I912)</f>
        <v>99.9</v>
      </c>
      <c r="F911" t="str">
        <f>IF(原始经营数据!$D912="","",T(原始经营数据!$J912))</f>
        <v>%</v>
      </c>
      <c r="G911" t="str">
        <f>IF(原始经营数据!$D912="","",T(原始经营数据!$K912))</f>
        <v/>
      </c>
      <c r="H911" t="str">
        <f>IF(原始经营数据!$D912="","",原始经营数据!$G912)</f>
        <v>服务效率</v>
      </c>
      <c r="I911" t="str">
        <f>IF($A911="","",IF($B911&lt;&gt;"",$B911,IF(COUNTIFS(原始经营数据!$D$3:$D$3001,$A911,原始经营数据!$E$3:$E$3001,"",原始经营数据!$F$3:$F$3001,$C911,原始经营数据!$H$3:$H$3001,$D911,原始经营数据!$K$3:$K$3001,$G911)&gt;1,"基金整体·来源"&amp;原始经营数据!$A912,"基金整体")))</f>
        <v>玉蜓桥项目</v>
      </c>
      <c r="J911" t="str">
        <f t="shared" si="213"/>
        <v>季度</v>
      </c>
      <c r="K911" t="str">
        <f t="shared" si="214"/>
        <v>期末租金收缴率（%）</v>
      </c>
      <c r="L911" t="str">
        <f t="shared" si="215"/>
        <v>玉蜓桥项目|期末租金收缴率（%）|季度</v>
      </c>
      <c r="M911">
        <f>IF($A911="",0,IF(COUNTIF($L$2:$L911,$L911)=1,1,0))</f>
        <v>0</v>
      </c>
      <c r="N911">
        <f t="shared" si="216"/>
        <v>20242</v>
      </c>
      <c r="O911" t="str">
        <f t="shared" si="217"/>
        <v>嘉实物美消费封闭式基础设施证券投资基金|2024Q2|季度</v>
      </c>
      <c r="P911">
        <f>IF($A911="",0,IF(COUNTIF($O$2:$O911,$O911)=1,1,0))</f>
        <v>0</v>
      </c>
      <c r="Q911" t="str">
        <f>IF(AND($P911=1,$A911=经营数据!$B$3,$J911=经营数据!$BA$5),COUNTIFS($P$2:$P$3000,1,$A$2:$A$3000,$A911,$J$2:$J$3000,$J911,$N$2:$N$3000,"&lt;"&amp;$N911)+1,"")</f>
        <v/>
      </c>
      <c r="R911" t="str">
        <f t="shared" si="218"/>
        <v>嘉实物美消费封闭式基础设施证券投资基金|玉蜓桥项目</v>
      </c>
      <c r="S911">
        <f>IF($A911="",0,IF(COUNTIF($R$2:$R911,$R911)=1,1,0))</f>
        <v>0</v>
      </c>
      <c r="T911">
        <f t="shared" si="219"/>
        <v>904</v>
      </c>
      <c r="U911" t="str">
        <f>IF($A911="","",IF($A911=经营数据!$B$3,COUNTIFS($S$2:$S$3000,1,$A$2:$A$3000,$A911,$T$2:$T$3000,"&lt;"&amp;$T911)+1,""))</f>
        <v/>
      </c>
      <c r="V911" t="str">
        <f t="shared" si="220"/>
        <v>玉蜓桥项目|服务效率</v>
      </c>
      <c r="W911">
        <f t="shared" si="221"/>
        <v>906</v>
      </c>
      <c r="X911" t="str">
        <f t="shared" si="222"/>
        <v>玉蜓桥项目|期末租金收缴率</v>
      </c>
      <c r="Y911">
        <f t="shared" si="223"/>
        <v>907</v>
      </c>
      <c r="Z911">
        <f>IF($A911="",0,IF(AND($M911=1,$A911=经营数据!$B$3,$J911=经营数据!$BA$5,OR($I911=经营数据!$BA$4,COUNTIF(经营数据!$AA$9:$AA$38,$I911)&gt;0)),1,0))</f>
        <v>0</v>
      </c>
      <c r="AA911" t="str">
        <f t="shared" si="224"/>
        <v/>
      </c>
      <c r="AB911" t="str">
        <f t="shared" si="225"/>
        <v/>
      </c>
      <c r="AC911">
        <f>IF($A911="",0,IF(COUNTIF($A$2:$A911,$A911)=1,1,0))</f>
        <v>0</v>
      </c>
      <c r="AD911">
        <f t="shared" si="226"/>
        <v>8</v>
      </c>
      <c r="AE911" t="str">
        <f t="shared" si="227"/>
        <v>玉蜓桥项目|期末租金收缴率（%）</v>
      </c>
    </row>
    <row r="912" spans="1:31" x14ac:dyDescent="0.4">
      <c r="A912" t="str">
        <f>IF(原始经营数据!$D913="","",原始经营数据!$D913)</f>
        <v>嘉实物美消费封闭式基础设施证券投资基金</v>
      </c>
      <c r="B912" t="str">
        <f>IF(原始经营数据!$D913="","",T(原始经营数据!$E913))</f>
        <v>玉蜓桥项目</v>
      </c>
      <c r="C912" t="str">
        <f>IF(原始经营数据!$D913="","",原始经营数据!$F913)</f>
        <v>2024Q2</v>
      </c>
      <c r="D912" t="str">
        <f>IF(原始经营数据!$D913="","",原始经营数据!$H913)</f>
        <v>期末可供出租面积</v>
      </c>
      <c r="E912">
        <f>IF(原始经营数据!$D913="","",原始经营数据!$I913)</f>
        <v>24840.41</v>
      </c>
      <c r="F912" t="str">
        <f>IF(原始经营数据!$D913="","",T(原始经营数据!$J913))</f>
        <v>平方米</v>
      </c>
      <c r="G912" t="str">
        <f>IF(原始经营数据!$D913="","",T(原始经营数据!$K913))</f>
        <v/>
      </c>
      <c r="H912" t="str">
        <f>IF(原始经营数据!$D913="","",原始经营数据!$G913)</f>
        <v>服务量</v>
      </c>
      <c r="I912" t="str">
        <f>IF($A912="","",IF($B912&lt;&gt;"",$B912,IF(COUNTIFS(原始经营数据!$D$3:$D$3001,$A912,原始经营数据!$E$3:$E$3001,"",原始经营数据!$F$3:$F$3001,$C912,原始经营数据!$H$3:$H$3001,$D912,原始经营数据!$K$3:$K$3001,$G912)&gt;1,"基金整体·来源"&amp;原始经营数据!$A913,"基金整体")))</f>
        <v>玉蜓桥项目</v>
      </c>
      <c r="J912" t="str">
        <f t="shared" si="213"/>
        <v>季度</v>
      </c>
      <c r="K912" t="str">
        <f t="shared" si="214"/>
        <v>期末可供出租面积（平方米）</v>
      </c>
      <c r="L912" t="str">
        <f t="shared" si="215"/>
        <v>玉蜓桥项目|期末可供出租面积（平方米）|季度</v>
      </c>
      <c r="M912">
        <f>IF($A912="",0,IF(COUNTIF($L$2:$L912,$L912)=1,1,0))</f>
        <v>0</v>
      </c>
      <c r="N912">
        <f t="shared" si="216"/>
        <v>20242</v>
      </c>
      <c r="O912" t="str">
        <f t="shared" si="217"/>
        <v>嘉实物美消费封闭式基础设施证券投资基金|2024Q2|季度</v>
      </c>
      <c r="P912">
        <f>IF($A912="",0,IF(COUNTIF($O$2:$O912,$O912)=1,1,0))</f>
        <v>0</v>
      </c>
      <c r="Q912" t="str">
        <f>IF(AND($P912=1,$A912=经营数据!$B$3,$J912=经营数据!$BA$5),COUNTIFS($P$2:$P$3000,1,$A$2:$A$3000,$A912,$J$2:$J$3000,$J912,$N$2:$N$3000,"&lt;"&amp;$N912)+1,"")</f>
        <v/>
      </c>
      <c r="R912" t="str">
        <f t="shared" si="218"/>
        <v>嘉实物美消费封闭式基础设施证券投资基金|玉蜓桥项目</v>
      </c>
      <c r="S912">
        <f>IF($A912="",0,IF(COUNTIF($R$2:$R912,$R912)=1,1,0))</f>
        <v>0</v>
      </c>
      <c r="T912">
        <f t="shared" si="219"/>
        <v>904</v>
      </c>
      <c r="U912" t="str">
        <f>IF($A912="","",IF($A912=经营数据!$B$3,COUNTIFS($S$2:$S$3000,1,$A$2:$A$3000,$A912,$T$2:$T$3000,"&lt;"&amp;$T912)+1,""))</f>
        <v/>
      </c>
      <c r="V912" t="str">
        <f t="shared" si="220"/>
        <v>玉蜓桥项目|服务量</v>
      </c>
      <c r="W912">
        <f t="shared" si="221"/>
        <v>904</v>
      </c>
      <c r="X912" t="str">
        <f t="shared" si="222"/>
        <v>玉蜓桥项目|期末可供出租面积</v>
      </c>
      <c r="Y912">
        <f t="shared" si="223"/>
        <v>904</v>
      </c>
      <c r="Z912">
        <f>IF($A912="",0,IF(AND($M912=1,$A912=经营数据!$B$3,$J912=经营数据!$BA$5,OR($I912=经营数据!$BA$4,COUNTIF(经营数据!$AA$9:$AA$38,$I912)&gt;0)),1,0))</f>
        <v>0</v>
      </c>
      <c r="AA912" t="str">
        <f t="shared" si="224"/>
        <v/>
      </c>
      <c r="AB912" t="str">
        <f t="shared" si="225"/>
        <v/>
      </c>
      <c r="AC912">
        <f>IF($A912="",0,IF(COUNTIF($A$2:$A912,$A912)=1,1,0))</f>
        <v>0</v>
      </c>
      <c r="AD912">
        <f t="shared" si="226"/>
        <v>8</v>
      </c>
      <c r="AE912" t="str">
        <f t="shared" si="227"/>
        <v>玉蜓桥项目|期末可供出租面积（平方米）</v>
      </c>
    </row>
    <row r="913" spans="1:31" x14ac:dyDescent="0.4">
      <c r="A913" t="str">
        <f>IF(原始经营数据!$D914="","",原始经营数据!$D914)</f>
        <v>嘉实物美消费封闭式基础设施证券投资基金</v>
      </c>
      <c r="B913" t="str">
        <f>IF(原始经营数据!$D914="","",T(原始经营数据!$E914))</f>
        <v>玉蜓桥项目</v>
      </c>
      <c r="C913" t="str">
        <f>IF(原始经营数据!$D914="","",原始经营数据!$F914)</f>
        <v>2024Q2</v>
      </c>
      <c r="D913" t="str">
        <f>IF(原始经营数据!$D914="","",原始经营数据!$H914)</f>
        <v>期末实际出租面积</v>
      </c>
      <c r="E913">
        <f>IF(原始经营数据!$D914="","",原始经营数据!$I914)</f>
        <v>24502.51</v>
      </c>
      <c r="F913" t="str">
        <f>IF(原始经营数据!$D914="","",T(原始经营数据!$J914))</f>
        <v>平方米</v>
      </c>
      <c r="G913" t="str">
        <f>IF(原始经营数据!$D914="","",T(原始经营数据!$K914))</f>
        <v/>
      </c>
      <c r="H913" t="str">
        <f>IF(原始经营数据!$D914="","",原始经营数据!$G914)</f>
        <v>服务量</v>
      </c>
      <c r="I913" t="str">
        <f>IF($A913="","",IF($B913&lt;&gt;"",$B913,IF(COUNTIFS(原始经营数据!$D$3:$D$3001,$A913,原始经营数据!$E$3:$E$3001,"",原始经营数据!$F$3:$F$3001,$C913,原始经营数据!$H$3:$H$3001,$D913,原始经营数据!$K$3:$K$3001,$G913)&gt;1,"基金整体·来源"&amp;原始经营数据!$A914,"基金整体")))</f>
        <v>玉蜓桥项目</v>
      </c>
      <c r="J913" t="str">
        <f t="shared" si="213"/>
        <v>季度</v>
      </c>
      <c r="K913" t="str">
        <f t="shared" si="214"/>
        <v>期末实际出租面积（平方米）</v>
      </c>
      <c r="L913" t="str">
        <f t="shared" si="215"/>
        <v>玉蜓桥项目|期末实际出租面积（平方米）|季度</v>
      </c>
      <c r="M913">
        <f>IF($A913="",0,IF(COUNTIF($L$2:$L913,$L913)=1,1,0))</f>
        <v>0</v>
      </c>
      <c r="N913">
        <f t="shared" si="216"/>
        <v>20242</v>
      </c>
      <c r="O913" t="str">
        <f t="shared" si="217"/>
        <v>嘉实物美消费封闭式基础设施证券投资基金|2024Q2|季度</v>
      </c>
      <c r="P913">
        <f>IF($A913="",0,IF(COUNTIF($O$2:$O913,$O913)=1,1,0))</f>
        <v>0</v>
      </c>
      <c r="Q913" t="str">
        <f>IF(AND($P913=1,$A913=经营数据!$B$3,$J913=经营数据!$BA$5),COUNTIFS($P$2:$P$3000,1,$A$2:$A$3000,$A913,$J$2:$J$3000,$J913,$N$2:$N$3000,"&lt;"&amp;$N913)+1,"")</f>
        <v/>
      </c>
      <c r="R913" t="str">
        <f t="shared" si="218"/>
        <v>嘉实物美消费封闭式基础设施证券投资基金|玉蜓桥项目</v>
      </c>
      <c r="S913">
        <f>IF($A913="",0,IF(COUNTIF($R$2:$R913,$R913)=1,1,0))</f>
        <v>0</v>
      </c>
      <c r="T913">
        <f t="shared" si="219"/>
        <v>904</v>
      </c>
      <c r="U913" t="str">
        <f>IF($A913="","",IF($A913=经营数据!$B$3,COUNTIFS($S$2:$S$3000,1,$A$2:$A$3000,$A913,$T$2:$T$3000,"&lt;"&amp;$T913)+1,""))</f>
        <v/>
      </c>
      <c r="V913" t="str">
        <f t="shared" si="220"/>
        <v>玉蜓桥项目|服务量</v>
      </c>
      <c r="W913">
        <f t="shared" si="221"/>
        <v>904</v>
      </c>
      <c r="X913" t="str">
        <f t="shared" si="222"/>
        <v>玉蜓桥项目|期末实际出租面积</v>
      </c>
      <c r="Y913">
        <f t="shared" si="223"/>
        <v>905</v>
      </c>
      <c r="Z913">
        <f>IF($A913="",0,IF(AND($M913=1,$A913=经营数据!$B$3,$J913=经营数据!$BA$5,OR($I913=经营数据!$BA$4,COUNTIF(经营数据!$AA$9:$AA$38,$I913)&gt;0)),1,0))</f>
        <v>0</v>
      </c>
      <c r="AA913" t="str">
        <f t="shared" si="224"/>
        <v/>
      </c>
      <c r="AB913" t="str">
        <f t="shared" si="225"/>
        <v/>
      </c>
      <c r="AC913">
        <f>IF($A913="",0,IF(COUNTIF($A$2:$A913,$A913)=1,1,0))</f>
        <v>0</v>
      </c>
      <c r="AD913">
        <f t="shared" si="226"/>
        <v>8</v>
      </c>
      <c r="AE913" t="str">
        <f t="shared" si="227"/>
        <v>玉蜓桥项目|期末实际出租面积（平方米）</v>
      </c>
    </row>
    <row r="914" spans="1:31" x14ac:dyDescent="0.4">
      <c r="A914" t="str">
        <f>IF(原始经营数据!$D915="","",原始经营数据!$D915)</f>
        <v>嘉实物美消费封闭式基础设施证券投资基金</v>
      </c>
      <c r="B914" t="str">
        <f>IF(原始经营数据!$D915="","",T(原始经营数据!$E915))</f>
        <v>玉蜓桥项目</v>
      </c>
      <c r="C914" t="str">
        <f>IF(原始经营数据!$D915="","",原始经营数据!$F915)</f>
        <v>2024Q2</v>
      </c>
      <c r="D914" t="str">
        <f>IF(原始经营数据!$D915="","",原始经营数据!$H915)</f>
        <v>期末出租率</v>
      </c>
      <c r="E914">
        <f>IF(原始经营数据!$D915="","",原始经营数据!$I915)</f>
        <v>98.64</v>
      </c>
      <c r="F914" t="str">
        <f>IF(原始经营数据!$D915="","",T(原始经营数据!$J915))</f>
        <v>%</v>
      </c>
      <c r="G914" t="str">
        <f>IF(原始经营数据!$D915="","",T(原始经营数据!$K915))</f>
        <v/>
      </c>
      <c r="H914" t="str">
        <f>IF(原始经营数据!$D915="","",原始经营数据!$G915)</f>
        <v>服务效率</v>
      </c>
      <c r="I914" t="str">
        <f>IF($A914="","",IF($B914&lt;&gt;"",$B914,IF(COUNTIFS(原始经营数据!$D$3:$D$3001,$A914,原始经营数据!$E$3:$E$3001,"",原始经营数据!$F$3:$F$3001,$C914,原始经营数据!$H$3:$H$3001,$D914,原始经营数据!$K$3:$K$3001,$G914)&gt;1,"基金整体·来源"&amp;原始经营数据!$A915,"基金整体")))</f>
        <v>玉蜓桥项目</v>
      </c>
      <c r="J914" t="str">
        <f t="shared" si="213"/>
        <v>季度</v>
      </c>
      <c r="K914" t="str">
        <f t="shared" si="214"/>
        <v>期末出租率（%）</v>
      </c>
      <c r="L914" t="str">
        <f t="shared" si="215"/>
        <v>玉蜓桥项目|期末出租率（%）|季度</v>
      </c>
      <c r="M914">
        <f>IF($A914="",0,IF(COUNTIF($L$2:$L914,$L914)=1,1,0))</f>
        <v>0</v>
      </c>
      <c r="N914">
        <f t="shared" si="216"/>
        <v>20242</v>
      </c>
      <c r="O914" t="str">
        <f t="shared" si="217"/>
        <v>嘉实物美消费封闭式基础设施证券投资基金|2024Q2|季度</v>
      </c>
      <c r="P914">
        <f>IF($A914="",0,IF(COUNTIF($O$2:$O914,$O914)=1,1,0))</f>
        <v>0</v>
      </c>
      <c r="Q914" t="str">
        <f>IF(AND($P914=1,$A914=经营数据!$B$3,$J914=经营数据!$BA$5),COUNTIFS($P$2:$P$3000,1,$A$2:$A$3000,$A914,$J$2:$J$3000,$J914,$N$2:$N$3000,"&lt;"&amp;$N914)+1,"")</f>
        <v/>
      </c>
      <c r="R914" t="str">
        <f t="shared" si="218"/>
        <v>嘉实物美消费封闭式基础设施证券投资基金|玉蜓桥项目</v>
      </c>
      <c r="S914">
        <f>IF($A914="",0,IF(COUNTIF($R$2:$R914,$R914)=1,1,0))</f>
        <v>0</v>
      </c>
      <c r="T914">
        <f t="shared" si="219"/>
        <v>904</v>
      </c>
      <c r="U914" t="str">
        <f>IF($A914="","",IF($A914=经营数据!$B$3,COUNTIFS($S$2:$S$3000,1,$A$2:$A$3000,$A914,$T$2:$T$3000,"&lt;"&amp;$T914)+1,""))</f>
        <v/>
      </c>
      <c r="V914" t="str">
        <f t="shared" si="220"/>
        <v>玉蜓桥项目|服务效率</v>
      </c>
      <c r="W914">
        <f t="shared" si="221"/>
        <v>906</v>
      </c>
      <c r="X914" t="str">
        <f t="shared" si="222"/>
        <v>玉蜓桥项目|期末出租率</v>
      </c>
      <c r="Y914">
        <f t="shared" si="223"/>
        <v>906</v>
      </c>
      <c r="Z914">
        <f>IF($A914="",0,IF(AND($M914=1,$A914=经营数据!$B$3,$J914=经营数据!$BA$5,OR($I914=经营数据!$BA$4,COUNTIF(经营数据!$AA$9:$AA$38,$I914)&gt;0)),1,0))</f>
        <v>0</v>
      </c>
      <c r="AA914" t="str">
        <f t="shared" si="224"/>
        <v/>
      </c>
      <c r="AB914" t="str">
        <f t="shared" si="225"/>
        <v/>
      </c>
      <c r="AC914">
        <f>IF($A914="",0,IF(COUNTIF($A$2:$A914,$A914)=1,1,0))</f>
        <v>0</v>
      </c>
      <c r="AD914">
        <f t="shared" si="226"/>
        <v>8</v>
      </c>
      <c r="AE914" t="str">
        <f t="shared" si="227"/>
        <v>玉蜓桥项目|期末出租率（%）</v>
      </c>
    </row>
    <row r="915" spans="1:31" x14ac:dyDescent="0.4">
      <c r="A915" t="str">
        <f>IF(原始经营数据!$D916="","",原始经营数据!$D916)</f>
        <v>嘉实物美消费封闭式基础设施证券投资基金</v>
      </c>
      <c r="B915" t="str">
        <f>IF(原始经营数据!$D916="","",T(原始经营数据!$E916))</f>
        <v>玉蜓桥项目</v>
      </c>
      <c r="C915" t="str">
        <f>IF(原始经营数据!$D916="","",原始经营数据!$F916)</f>
        <v>2024Q2</v>
      </c>
      <c r="D915" t="str">
        <f>IF(原始经营数据!$D916="","",原始经营数据!$H916)</f>
        <v>期内租金单价水平</v>
      </c>
      <c r="E915">
        <f>IF(原始经营数据!$D916="","",原始经营数据!$I916)</f>
        <v>4.7300000000000004</v>
      </c>
      <c r="F915" t="str">
        <f>IF(原始经营数据!$D916="","",T(原始经营数据!$J916))</f>
        <v>元/平方米/天</v>
      </c>
      <c r="G915" t="str">
        <f>IF(原始经营数据!$D916="","",T(原始经营数据!$K916))</f>
        <v/>
      </c>
      <c r="H915" t="str">
        <f>IF(原始经营数据!$D916="","",原始经营数据!$G916)</f>
        <v>服务价格</v>
      </c>
      <c r="I915" t="str">
        <f>IF($A915="","",IF($B915&lt;&gt;"",$B915,IF(COUNTIFS(原始经营数据!$D$3:$D$3001,$A915,原始经营数据!$E$3:$E$3001,"",原始经营数据!$F$3:$F$3001,$C915,原始经营数据!$H$3:$H$3001,$D915,原始经营数据!$K$3:$K$3001,$G915)&gt;1,"基金整体·来源"&amp;原始经营数据!$A916,"基金整体")))</f>
        <v>玉蜓桥项目</v>
      </c>
      <c r="J915" t="str">
        <f t="shared" si="213"/>
        <v>季度</v>
      </c>
      <c r="K915" t="str">
        <f t="shared" si="214"/>
        <v>期内租金单价水平（元/平方米/天）</v>
      </c>
      <c r="L915" t="str">
        <f t="shared" si="215"/>
        <v>玉蜓桥项目|期内租金单价水平（元/平方米/天）|季度</v>
      </c>
      <c r="M915">
        <f>IF($A915="",0,IF(COUNTIF($L$2:$L915,$L915)=1,1,0))</f>
        <v>0</v>
      </c>
      <c r="N915">
        <f t="shared" si="216"/>
        <v>20242</v>
      </c>
      <c r="O915" t="str">
        <f t="shared" si="217"/>
        <v>嘉实物美消费封闭式基础设施证券投资基金|2024Q2|季度</v>
      </c>
      <c r="P915">
        <f>IF($A915="",0,IF(COUNTIF($O$2:$O915,$O915)=1,1,0))</f>
        <v>0</v>
      </c>
      <c r="Q915" t="str">
        <f>IF(AND($P915=1,$A915=经营数据!$B$3,$J915=经营数据!$BA$5),COUNTIFS($P$2:$P$3000,1,$A$2:$A$3000,$A915,$J$2:$J$3000,$J915,$N$2:$N$3000,"&lt;"&amp;$N915)+1,"")</f>
        <v/>
      </c>
      <c r="R915" t="str">
        <f t="shared" si="218"/>
        <v>嘉实物美消费封闭式基础设施证券投资基金|玉蜓桥项目</v>
      </c>
      <c r="S915">
        <f>IF($A915="",0,IF(COUNTIF($R$2:$R915,$R915)=1,1,0))</f>
        <v>0</v>
      </c>
      <c r="T915">
        <f t="shared" si="219"/>
        <v>904</v>
      </c>
      <c r="U915" t="str">
        <f>IF($A915="","",IF($A915=经营数据!$B$3,COUNTIFS($S$2:$S$3000,1,$A$2:$A$3000,$A915,$T$2:$T$3000,"&lt;"&amp;$T915)+1,""))</f>
        <v/>
      </c>
      <c r="V915" t="str">
        <f t="shared" si="220"/>
        <v>玉蜓桥项目|服务价格</v>
      </c>
      <c r="W915">
        <f t="shared" si="221"/>
        <v>908</v>
      </c>
      <c r="X915" t="str">
        <f t="shared" si="222"/>
        <v>玉蜓桥项目|期内租金单价水平</v>
      </c>
      <c r="Y915">
        <f t="shared" si="223"/>
        <v>908</v>
      </c>
      <c r="Z915">
        <f>IF($A915="",0,IF(AND($M915=1,$A915=经营数据!$B$3,$J915=经营数据!$BA$5,OR($I915=经营数据!$BA$4,COUNTIF(经营数据!$AA$9:$AA$38,$I915)&gt;0)),1,0))</f>
        <v>0</v>
      </c>
      <c r="AA915" t="str">
        <f t="shared" si="224"/>
        <v/>
      </c>
      <c r="AB915" t="str">
        <f t="shared" si="225"/>
        <v/>
      </c>
      <c r="AC915">
        <f>IF($A915="",0,IF(COUNTIF($A$2:$A915,$A915)=1,1,0))</f>
        <v>0</v>
      </c>
      <c r="AD915">
        <f t="shared" si="226"/>
        <v>8</v>
      </c>
      <c r="AE915" t="str">
        <f t="shared" si="227"/>
        <v>玉蜓桥项目|期内租金单价水平（元/平方米/天）</v>
      </c>
    </row>
    <row r="916" spans="1:31" x14ac:dyDescent="0.4">
      <c r="A916" t="str">
        <f>IF(原始经营数据!$D917="","",原始经营数据!$D917)</f>
        <v>嘉实物美消费封闭式基础设施证券投资基金</v>
      </c>
      <c r="B916" t="str">
        <f>IF(原始经营数据!$D917="","",T(原始经营数据!$E917))</f>
        <v>玉蜓桥项目</v>
      </c>
      <c r="C916" t="str">
        <f>IF(原始经营数据!$D917="","",原始经营数据!$F917)</f>
        <v>2024Q2</v>
      </c>
      <c r="D916" t="str">
        <f>IF(原始经营数据!$D917="","",原始经营数据!$H917)</f>
        <v>期末剩余租期情况</v>
      </c>
      <c r="E916">
        <f>IF(原始经营数据!$D917="","",原始经营数据!$I917)</f>
        <v>7.4</v>
      </c>
      <c r="F916" t="str">
        <f>IF(原始经营数据!$D917="","",T(原始经营数据!$J917))</f>
        <v>年</v>
      </c>
      <c r="G916" t="str">
        <f>IF(原始经营数据!$D917="","",T(原始经营数据!$K917))</f>
        <v/>
      </c>
      <c r="H916" t="str">
        <f>IF(原始经营数据!$D917="","",原始经营数据!$G917)</f>
        <v>服务量</v>
      </c>
      <c r="I916" t="str">
        <f>IF($A916="","",IF($B916&lt;&gt;"",$B916,IF(COUNTIFS(原始经营数据!$D$3:$D$3001,$A916,原始经营数据!$E$3:$E$3001,"",原始经营数据!$F$3:$F$3001,$C916,原始经营数据!$H$3:$H$3001,$D916,原始经营数据!$K$3:$K$3001,$G916)&gt;1,"基金整体·来源"&amp;原始经营数据!$A917,"基金整体")))</f>
        <v>玉蜓桥项目</v>
      </c>
      <c r="J916" t="str">
        <f t="shared" si="213"/>
        <v>季度</v>
      </c>
      <c r="K916" t="str">
        <f t="shared" si="214"/>
        <v>期末剩余租期情况（年）</v>
      </c>
      <c r="L916" t="str">
        <f t="shared" si="215"/>
        <v>玉蜓桥项目|期末剩余租期情况（年）|季度</v>
      </c>
      <c r="M916">
        <f>IF($A916="",0,IF(COUNTIF($L$2:$L916,$L916)=1,1,0))</f>
        <v>0</v>
      </c>
      <c r="N916">
        <f t="shared" si="216"/>
        <v>20242</v>
      </c>
      <c r="O916" t="str">
        <f t="shared" si="217"/>
        <v>嘉实物美消费封闭式基础设施证券投资基金|2024Q2|季度</v>
      </c>
      <c r="P916">
        <f>IF($A916="",0,IF(COUNTIF($O$2:$O916,$O916)=1,1,0))</f>
        <v>0</v>
      </c>
      <c r="Q916" t="str">
        <f>IF(AND($P916=1,$A916=经营数据!$B$3,$J916=经营数据!$BA$5),COUNTIFS($P$2:$P$3000,1,$A$2:$A$3000,$A916,$J$2:$J$3000,$J916,$N$2:$N$3000,"&lt;"&amp;$N916)+1,"")</f>
        <v/>
      </c>
      <c r="R916" t="str">
        <f t="shared" si="218"/>
        <v>嘉实物美消费封闭式基础设施证券投资基金|玉蜓桥项目</v>
      </c>
      <c r="S916">
        <f>IF($A916="",0,IF(COUNTIF($R$2:$R916,$R916)=1,1,0))</f>
        <v>0</v>
      </c>
      <c r="T916">
        <f t="shared" si="219"/>
        <v>904</v>
      </c>
      <c r="U916" t="str">
        <f>IF($A916="","",IF($A916=经营数据!$B$3,COUNTIFS($S$2:$S$3000,1,$A$2:$A$3000,$A916,$T$2:$T$3000,"&lt;"&amp;$T916)+1,""))</f>
        <v/>
      </c>
      <c r="V916" t="str">
        <f t="shared" si="220"/>
        <v>玉蜓桥项目|服务量</v>
      </c>
      <c r="W916">
        <f t="shared" si="221"/>
        <v>904</v>
      </c>
      <c r="X916" t="str">
        <f t="shared" si="222"/>
        <v>玉蜓桥项目|期末剩余租期情况</v>
      </c>
      <c r="Y916">
        <f t="shared" si="223"/>
        <v>909</v>
      </c>
      <c r="Z916">
        <f>IF($A916="",0,IF(AND($M916=1,$A916=经营数据!$B$3,$J916=经营数据!$BA$5,OR($I916=经营数据!$BA$4,COUNTIF(经营数据!$AA$9:$AA$38,$I916)&gt;0)),1,0))</f>
        <v>0</v>
      </c>
      <c r="AA916" t="str">
        <f t="shared" si="224"/>
        <v/>
      </c>
      <c r="AB916" t="str">
        <f t="shared" si="225"/>
        <v/>
      </c>
      <c r="AC916">
        <f>IF($A916="",0,IF(COUNTIF($A$2:$A916,$A916)=1,1,0))</f>
        <v>0</v>
      </c>
      <c r="AD916">
        <f t="shared" si="226"/>
        <v>8</v>
      </c>
      <c r="AE916" t="str">
        <f t="shared" si="227"/>
        <v>玉蜓桥项目|期末剩余租期情况（年）</v>
      </c>
    </row>
    <row r="917" spans="1:31" x14ac:dyDescent="0.4">
      <c r="A917" t="str">
        <f>IF(原始经营数据!$D918="","",原始经营数据!$D918)</f>
        <v>嘉实物美消费封闭式基础设施证券投资基金</v>
      </c>
      <c r="B917" t="str">
        <f>IF(原始经营数据!$D918="","",T(原始经营数据!$E918))</f>
        <v>玉蜓桥项目</v>
      </c>
      <c r="C917" t="str">
        <f>IF(原始经营数据!$D918="","",原始经营数据!$F918)</f>
        <v>2024Q3</v>
      </c>
      <c r="D917" t="str">
        <f>IF(原始经营数据!$D918="","",原始经营数据!$H918)</f>
        <v>期末租金收缴率</v>
      </c>
      <c r="E917">
        <f>IF(原始经营数据!$D918="","",原始经营数据!$I918)</f>
        <v>99.98</v>
      </c>
      <c r="F917" t="str">
        <f>IF(原始经营数据!$D918="","",T(原始经营数据!$J918))</f>
        <v>%</v>
      </c>
      <c r="G917" t="str">
        <f>IF(原始经营数据!$D918="","",T(原始经营数据!$K918))</f>
        <v/>
      </c>
      <c r="H917" t="str">
        <f>IF(原始经营数据!$D918="","",原始经营数据!$G918)</f>
        <v>服务效率</v>
      </c>
      <c r="I917" t="str">
        <f>IF($A917="","",IF($B917&lt;&gt;"",$B917,IF(COUNTIFS(原始经营数据!$D$3:$D$3001,$A917,原始经营数据!$E$3:$E$3001,"",原始经营数据!$F$3:$F$3001,$C917,原始经营数据!$H$3:$H$3001,$D917,原始经营数据!$K$3:$K$3001,$G917)&gt;1,"基金整体·来源"&amp;原始经营数据!$A918,"基金整体")))</f>
        <v>玉蜓桥项目</v>
      </c>
      <c r="J917" t="str">
        <f t="shared" si="213"/>
        <v>季度</v>
      </c>
      <c r="K917" t="str">
        <f t="shared" si="214"/>
        <v>期末租金收缴率（%）</v>
      </c>
      <c r="L917" t="str">
        <f t="shared" si="215"/>
        <v>玉蜓桥项目|期末租金收缴率（%）|季度</v>
      </c>
      <c r="M917">
        <f>IF($A917="",0,IF(COUNTIF($L$2:$L917,$L917)=1,1,0))</f>
        <v>0</v>
      </c>
      <c r="N917">
        <f t="shared" si="216"/>
        <v>20243</v>
      </c>
      <c r="O917" t="str">
        <f t="shared" si="217"/>
        <v>嘉实物美消费封闭式基础设施证券投资基金|2024Q3|季度</v>
      </c>
      <c r="P917">
        <f>IF($A917="",0,IF(COUNTIF($O$2:$O917,$O917)=1,1,0))</f>
        <v>0</v>
      </c>
      <c r="Q917" t="str">
        <f>IF(AND($P917=1,$A917=经营数据!$B$3,$J917=经营数据!$BA$5),COUNTIFS($P$2:$P$3000,1,$A$2:$A$3000,$A917,$J$2:$J$3000,$J917,$N$2:$N$3000,"&lt;"&amp;$N917)+1,"")</f>
        <v/>
      </c>
      <c r="R917" t="str">
        <f t="shared" si="218"/>
        <v>嘉实物美消费封闭式基础设施证券投资基金|玉蜓桥项目</v>
      </c>
      <c r="S917">
        <f>IF($A917="",0,IF(COUNTIF($R$2:$R917,$R917)=1,1,0))</f>
        <v>0</v>
      </c>
      <c r="T917">
        <f t="shared" si="219"/>
        <v>904</v>
      </c>
      <c r="U917" t="str">
        <f>IF($A917="","",IF($A917=经营数据!$B$3,COUNTIFS($S$2:$S$3000,1,$A$2:$A$3000,$A917,$T$2:$T$3000,"&lt;"&amp;$T917)+1,""))</f>
        <v/>
      </c>
      <c r="V917" t="str">
        <f t="shared" si="220"/>
        <v>玉蜓桥项目|服务效率</v>
      </c>
      <c r="W917">
        <f t="shared" si="221"/>
        <v>906</v>
      </c>
      <c r="X917" t="str">
        <f t="shared" si="222"/>
        <v>玉蜓桥项目|期末租金收缴率</v>
      </c>
      <c r="Y917">
        <f t="shared" si="223"/>
        <v>907</v>
      </c>
      <c r="Z917">
        <f>IF($A917="",0,IF(AND($M917=1,$A917=经营数据!$B$3,$J917=经营数据!$BA$5,OR($I917=经营数据!$BA$4,COUNTIF(经营数据!$AA$9:$AA$38,$I917)&gt;0)),1,0))</f>
        <v>0</v>
      </c>
      <c r="AA917" t="str">
        <f t="shared" si="224"/>
        <v/>
      </c>
      <c r="AB917" t="str">
        <f t="shared" si="225"/>
        <v/>
      </c>
      <c r="AC917">
        <f>IF($A917="",0,IF(COUNTIF($A$2:$A917,$A917)=1,1,0))</f>
        <v>0</v>
      </c>
      <c r="AD917">
        <f t="shared" si="226"/>
        <v>8</v>
      </c>
      <c r="AE917" t="str">
        <f t="shared" si="227"/>
        <v>玉蜓桥项目|期末租金收缴率（%）</v>
      </c>
    </row>
    <row r="918" spans="1:31" x14ac:dyDescent="0.4">
      <c r="A918" t="str">
        <f>IF(原始经营数据!$D919="","",原始经营数据!$D919)</f>
        <v>嘉实物美消费封闭式基础设施证券投资基金</v>
      </c>
      <c r="B918" t="str">
        <f>IF(原始经营数据!$D919="","",T(原始经营数据!$E919))</f>
        <v>玉蜓桥项目</v>
      </c>
      <c r="C918" t="str">
        <f>IF(原始经营数据!$D919="","",原始经营数据!$F919)</f>
        <v>2024Q3</v>
      </c>
      <c r="D918" t="str">
        <f>IF(原始经营数据!$D919="","",原始经营数据!$H919)</f>
        <v>期末剩余租期情况</v>
      </c>
      <c r="E918">
        <f>IF(原始经营数据!$D919="","",原始经营数据!$I919)</f>
        <v>7.09</v>
      </c>
      <c r="F918" t="str">
        <f>IF(原始经营数据!$D919="","",T(原始经营数据!$J919))</f>
        <v>年</v>
      </c>
      <c r="G918" t="str">
        <f>IF(原始经营数据!$D919="","",T(原始经营数据!$K919))</f>
        <v/>
      </c>
      <c r="H918" t="str">
        <f>IF(原始经营数据!$D919="","",原始经营数据!$G919)</f>
        <v>服务量</v>
      </c>
      <c r="I918" t="str">
        <f>IF($A918="","",IF($B918&lt;&gt;"",$B918,IF(COUNTIFS(原始经营数据!$D$3:$D$3001,$A918,原始经营数据!$E$3:$E$3001,"",原始经营数据!$F$3:$F$3001,$C918,原始经营数据!$H$3:$H$3001,$D918,原始经营数据!$K$3:$K$3001,$G918)&gt;1,"基金整体·来源"&amp;原始经营数据!$A919,"基金整体")))</f>
        <v>玉蜓桥项目</v>
      </c>
      <c r="J918" t="str">
        <f t="shared" si="213"/>
        <v>季度</v>
      </c>
      <c r="K918" t="str">
        <f t="shared" si="214"/>
        <v>期末剩余租期情况（年）</v>
      </c>
      <c r="L918" t="str">
        <f t="shared" si="215"/>
        <v>玉蜓桥项目|期末剩余租期情况（年）|季度</v>
      </c>
      <c r="M918">
        <f>IF($A918="",0,IF(COUNTIF($L$2:$L918,$L918)=1,1,0))</f>
        <v>0</v>
      </c>
      <c r="N918">
        <f t="shared" si="216"/>
        <v>20243</v>
      </c>
      <c r="O918" t="str">
        <f t="shared" si="217"/>
        <v>嘉实物美消费封闭式基础设施证券投资基金|2024Q3|季度</v>
      </c>
      <c r="P918">
        <f>IF($A918="",0,IF(COUNTIF($O$2:$O918,$O918)=1,1,0))</f>
        <v>0</v>
      </c>
      <c r="Q918" t="str">
        <f>IF(AND($P918=1,$A918=经营数据!$B$3,$J918=经营数据!$BA$5),COUNTIFS($P$2:$P$3000,1,$A$2:$A$3000,$A918,$J$2:$J$3000,$J918,$N$2:$N$3000,"&lt;"&amp;$N918)+1,"")</f>
        <v/>
      </c>
      <c r="R918" t="str">
        <f t="shared" si="218"/>
        <v>嘉实物美消费封闭式基础设施证券投资基金|玉蜓桥项目</v>
      </c>
      <c r="S918">
        <f>IF($A918="",0,IF(COUNTIF($R$2:$R918,$R918)=1,1,0))</f>
        <v>0</v>
      </c>
      <c r="T918">
        <f t="shared" si="219"/>
        <v>904</v>
      </c>
      <c r="U918" t="str">
        <f>IF($A918="","",IF($A918=经营数据!$B$3,COUNTIFS($S$2:$S$3000,1,$A$2:$A$3000,$A918,$T$2:$T$3000,"&lt;"&amp;$T918)+1,""))</f>
        <v/>
      </c>
      <c r="V918" t="str">
        <f t="shared" si="220"/>
        <v>玉蜓桥项目|服务量</v>
      </c>
      <c r="W918">
        <f t="shared" si="221"/>
        <v>904</v>
      </c>
      <c r="X918" t="str">
        <f t="shared" si="222"/>
        <v>玉蜓桥项目|期末剩余租期情况</v>
      </c>
      <c r="Y918">
        <f t="shared" si="223"/>
        <v>909</v>
      </c>
      <c r="Z918">
        <f>IF($A918="",0,IF(AND($M918=1,$A918=经营数据!$B$3,$J918=经营数据!$BA$5,OR($I918=经营数据!$BA$4,COUNTIF(经营数据!$AA$9:$AA$38,$I918)&gt;0)),1,0))</f>
        <v>0</v>
      </c>
      <c r="AA918" t="str">
        <f t="shared" si="224"/>
        <v/>
      </c>
      <c r="AB918" t="str">
        <f t="shared" si="225"/>
        <v/>
      </c>
      <c r="AC918">
        <f>IF($A918="",0,IF(COUNTIF($A$2:$A918,$A918)=1,1,0))</f>
        <v>0</v>
      </c>
      <c r="AD918">
        <f t="shared" si="226"/>
        <v>8</v>
      </c>
      <c r="AE918" t="str">
        <f t="shared" si="227"/>
        <v>玉蜓桥项目|期末剩余租期情况（年）</v>
      </c>
    </row>
    <row r="919" spans="1:31" x14ac:dyDescent="0.4">
      <c r="A919" t="str">
        <f>IF(原始经营数据!$D920="","",原始经营数据!$D920)</f>
        <v>嘉实物美消费封闭式基础设施证券投资基金</v>
      </c>
      <c r="B919" t="str">
        <f>IF(原始经营数据!$D920="","",T(原始经营数据!$E920))</f>
        <v>玉蜓桥项目</v>
      </c>
      <c r="C919" t="str">
        <f>IF(原始经营数据!$D920="","",原始经营数据!$F920)</f>
        <v>2024Q3</v>
      </c>
      <c r="D919" t="str">
        <f>IF(原始经营数据!$D920="","",原始经营数据!$H920)</f>
        <v>期内租金单价水平</v>
      </c>
      <c r="E919">
        <f>IF(原始经营数据!$D920="","",原始经营数据!$I920)</f>
        <v>5.12</v>
      </c>
      <c r="F919" t="str">
        <f>IF(原始经营数据!$D920="","",T(原始经营数据!$J920))</f>
        <v>元/平方米/天</v>
      </c>
      <c r="G919" t="str">
        <f>IF(原始经营数据!$D920="","",T(原始经营数据!$K920))</f>
        <v/>
      </c>
      <c r="H919" t="str">
        <f>IF(原始经营数据!$D920="","",原始经营数据!$G920)</f>
        <v>服务价格</v>
      </c>
      <c r="I919" t="str">
        <f>IF($A919="","",IF($B919&lt;&gt;"",$B919,IF(COUNTIFS(原始经营数据!$D$3:$D$3001,$A919,原始经营数据!$E$3:$E$3001,"",原始经营数据!$F$3:$F$3001,$C919,原始经营数据!$H$3:$H$3001,$D919,原始经营数据!$K$3:$K$3001,$G919)&gt;1,"基金整体·来源"&amp;原始经营数据!$A920,"基金整体")))</f>
        <v>玉蜓桥项目</v>
      </c>
      <c r="J919" t="str">
        <f t="shared" si="213"/>
        <v>季度</v>
      </c>
      <c r="K919" t="str">
        <f t="shared" si="214"/>
        <v>期内租金单价水平（元/平方米/天）</v>
      </c>
      <c r="L919" t="str">
        <f t="shared" si="215"/>
        <v>玉蜓桥项目|期内租金单价水平（元/平方米/天）|季度</v>
      </c>
      <c r="M919">
        <f>IF($A919="",0,IF(COUNTIF($L$2:$L919,$L919)=1,1,0))</f>
        <v>0</v>
      </c>
      <c r="N919">
        <f t="shared" si="216"/>
        <v>20243</v>
      </c>
      <c r="O919" t="str">
        <f t="shared" si="217"/>
        <v>嘉实物美消费封闭式基础设施证券投资基金|2024Q3|季度</v>
      </c>
      <c r="P919">
        <f>IF($A919="",0,IF(COUNTIF($O$2:$O919,$O919)=1,1,0))</f>
        <v>0</v>
      </c>
      <c r="Q919" t="str">
        <f>IF(AND($P919=1,$A919=经营数据!$B$3,$J919=经营数据!$BA$5),COUNTIFS($P$2:$P$3000,1,$A$2:$A$3000,$A919,$J$2:$J$3000,$J919,$N$2:$N$3000,"&lt;"&amp;$N919)+1,"")</f>
        <v/>
      </c>
      <c r="R919" t="str">
        <f t="shared" si="218"/>
        <v>嘉实物美消费封闭式基础设施证券投资基金|玉蜓桥项目</v>
      </c>
      <c r="S919">
        <f>IF($A919="",0,IF(COUNTIF($R$2:$R919,$R919)=1,1,0))</f>
        <v>0</v>
      </c>
      <c r="T919">
        <f t="shared" si="219"/>
        <v>904</v>
      </c>
      <c r="U919" t="str">
        <f>IF($A919="","",IF($A919=经营数据!$B$3,COUNTIFS($S$2:$S$3000,1,$A$2:$A$3000,$A919,$T$2:$T$3000,"&lt;"&amp;$T919)+1,""))</f>
        <v/>
      </c>
      <c r="V919" t="str">
        <f t="shared" si="220"/>
        <v>玉蜓桥项目|服务价格</v>
      </c>
      <c r="W919">
        <f t="shared" si="221"/>
        <v>908</v>
      </c>
      <c r="X919" t="str">
        <f t="shared" si="222"/>
        <v>玉蜓桥项目|期内租金单价水平</v>
      </c>
      <c r="Y919">
        <f t="shared" si="223"/>
        <v>908</v>
      </c>
      <c r="Z919">
        <f>IF($A919="",0,IF(AND($M919=1,$A919=经营数据!$B$3,$J919=经营数据!$BA$5,OR($I919=经营数据!$BA$4,COUNTIF(经营数据!$AA$9:$AA$38,$I919)&gt;0)),1,0))</f>
        <v>0</v>
      </c>
      <c r="AA919" t="str">
        <f t="shared" si="224"/>
        <v/>
      </c>
      <c r="AB919" t="str">
        <f t="shared" si="225"/>
        <v/>
      </c>
      <c r="AC919">
        <f>IF($A919="",0,IF(COUNTIF($A$2:$A919,$A919)=1,1,0))</f>
        <v>0</v>
      </c>
      <c r="AD919">
        <f t="shared" si="226"/>
        <v>8</v>
      </c>
      <c r="AE919" t="str">
        <f t="shared" si="227"/>
        <v>玉蜓桥项目|期内租金单价水平（元/平方米/天）</v>
      </c>
    </row>
    <row r="920" spans="1:31" x14ac:dyDescent="0.4">
      <c r="A920" t="str">
        <f>IF(原始经营数据!$D921="","",原始经营数据!$D921)</f>
        <v>嘉实物美消费封闭式基础设施证券投资基金</v>
      </c>
      <c r="B920" t="str">
        <f>IF(原始经营数据!$D921="","",T(原始经营数据!$E921))</f>
        <v>玉蜓桥项目</v>
      </c>
      <c r="C920" t="str">
        <f>IF(原始经营数据!$D921="","",原始经营数据!$F921)</f>
        <v>2024Q3</v>
      </c>
      <c r="D920" t="str">
        <f>IF(原始经营数据!$D921="","",原始经营数据!$H921)</f>
        <v>期末出租率</v>
      </c>
      <c r="E920">
        <f>IF(原始经营数据!$D921="","",原始经营数据!$I921)</f>
        <v>100</v>
      </c>
      <c r="F920" t="str">
        <f>IF(原始经营数据!$D921="","",T(原始经营数据!$J921))</f>
        <v>%</v>
      </c>
      <c r="G920" t="str">
        <f>IF(原始经营数据!$D921="","",T(原始经营数据!$K921))</f>
        <v/>
      </c>
      <c r="H920" t="str">
        <f>IF(原始经营数据!$D921="","",原始经营数据!$G921)</f>
        <v>服务效率</v>
      </c>
      <c r="I920" t="str">
        <f>IF($A920="","",IF($B920&lt;&gt;"",$B920,IF(COUNTIFS(原始经营数据!$D$3:$D$3001,$A920,原始经营数据!$E$3:$E$3001,"",原始经营数据!$F$3:$F$3001,$C920,原始经营数据!$H$3:$H$3001,$D920,原始经营数据!$K$3:$K$3001,$G920)&gt;1,"基金整体·来源"&amp;原始经营数据!$A921,"基金整体")))</f>
        <v>玉蜓桥项目</v>
      </c>
      <c r="J920" t="str">
        <f t="shared" si="213"/>
        <v>季度</v>
      </c>
      <c r="K920" t="str">
        <f t="shared" si="214"/>
        <v>期末出租率（%）</v>
      </c>
      <c r="L920" t="str">
        <f t="shared" si="215"/>
        <v>玉蜓桥项目|期末出租率（%）|季度</v>
      </c>
      <c r="M920">
        <f>IF($A920="",0,IF(COUNTIF($L$2:$L920,$L920)=1,1,0))</f>
        <v>0</v>
      </c>
      <c r="N920">
        <f t="shared" si="216"/>
        <v>20243</v>
      </c>
      <c r="O920" t="str">
        <f t="shared" si="217"/>
        <v>嘉实物美消费封闭式基础设施证券投资基金|2024Q3|季度</v>
      </c>
      <c r="P920">
        <f>IF($A920="",0,IF(COUNTIF($O$2:$O920,$O920)=1,1,0))</f>
        <v>0</v>
      </c>
      <c r="Q920" t="str">
        <f>IF(AND($P920=1,$A920=经营数据!$B$3,$J920=经营数据!$BA$5),COUNTIFS($P$2:$P$3000,1,$A$2:$A$3000,$A920,$J$2:$J$3000,$J920,$N$2:$N$3000,"&lt;"&amp;$N920)+1,"")</f>
        <v/>
      </c>
      <c r="R920" t="str">
        <f t="shared" si="218"/>
        <v>嘉实物美消费封闭式基础设施证券投资基金|玉蜓桥项目</v>
      </c>
      <c r="S920">
        <f>IF($A920="",0,IF(COUNTIF($R$2:$R920,$R920)=1,1,0))</f>
        <v>0</v>
      </c>
      <c r="T920">
        <f t="shared" si="219"/>
        <v>904</v>
      </c>
      <c r="U920" t="str">
        <f>IF($A920="","",IF($A920=经营数据!$B$3,COUNTIFS($S$2:$S$3000,1,$A$2:$A$3000,$A920,$T$2:$T$3000,"&lt;"&amp;$T920)+1,""))</f>
        <v/>
      </c>
      <c r="V920" t="str">
        <f t="shared" si="220"/>
        <v>玉蜓桥项目|服务效率</v>
      </c>
      <c r="W920">
        <f t="shared" si="221"/>
        <v>906</v>
      </c>
      <c r="X920" t="str">
        <f t="shared" si="222"/>
        <v>玉蜓桥项目|期末出租率</v>
      </c>
      <c r="Y920">
        <f t="shared" si="223"/>
        <v>906</v>
      </c>
      <c r="Z920">
        <f>IF($A920="",0,IF(AND($M920=1,$A920=经营数据!$B$3,$J920=经营数据!$BA$5,OR($I920=经营数据!$BA$4,COUNTIF(经营数据!$AA$9:$AA$38,$I920)&gt;0)),1,0))</f>
        <v>0</v>
      </c>
      <c r="AA920" t="str">
        <f t="shared" si="224"/>
        <v/>
      </c>
      <c r="AB920" t="str">
        <f t="shared" si="225"/>
        <v/>
      </c>
      <c r="AC920">
        <f>IF($A920="",0,IF(COUNTIF($A$2:$A920,$A920)=1,1,0))</f>
        <v>0</v>
      </c>
      <c r="AD920">
        <f t="shared" si="226"/>
        <v>8</v>
      </c>
      <c r="AE920" t="str">
        <f t="shared" si="227"/>
        <v>玉蜓桥项目|期末出租率（%）</v>
      </c>
    </row>
    <row r="921" spans="1:31" x14ac:dyDescent="0.4">
      <c r="A921" t="str">
        <f>IF(原始经营数据!$D922="","",原始经营数据!$D922)</f>
        <v>嘉实物美消费封闭式基础设施证券投资基金</v>
      </c>
      <c r="B921" t="str">
        <f>IF(原始经营数据!$D922="","",T(原始经营数据!$E922))</f>
        <v>玉蜓桥项目</v>
      </c>
      <c r="C921" t="str">
        <f>IF(原始经营数据!$D922="","",原始经营数据!$F922)</f>
        <v>2024Q3</v>
      </c>
      <c r="D921" t="str">
        <f>IF(原始经营数据!$D922="","",原始经营数据!$H922)</f>
        <v>期末实际出租面积</v>
      </c>
      <c r="E921">
        <f>IF(原始经营数据!$D922="","",原始经营数据!$I922)</f>
        <v>24840.41</v>
      </c>
      <c r="F921" t="str">
        <f>IF(原始经营数据!$D922="","",T(原始经营数据!$J922))</f>
        <v>平方米</v>
      </c>
      <c r="G921" t="str">
        <f>IF(原始经营数据!$D922="","",T(原始经营数据!$K922))</f>
        <v/>
      </c>
      <c r="H921" t="str">
        <f>IF(原始经营数据!$D922="","",原始经营数据!$G922)</f>
        <v>服务量</v>
      </c>
      <c r="I921" t="str">
        <f>IF($A921="","",IF($B921&lt;&gt;"",$B921,IF(COUNTIFS(原始经营数据!$D$3:$D$3001,$A921,原始经营数据!$E$3:$E$3001,"",原始经营数据!$F$3:$F$3001,$C921,原始经营数据!$H$3:$H$3001,$D921,原始经营数据!$K$3:$K$3001,$G921)&gt;1,"基金整体·来源"&amp;原始经营数据!$A922,"基金整体")))</f>
        <v>玉蜓桥项目</v>
      </c>
      <c r="J921" t="str">
        <f t="shared" si="213"/>
        <v>季度</v>
      </c>
      <c r="K921" t="str">
        <f t="shared" si="214"/>
        <v>期末实际出租面积（平方米）</v>
      </c>
      <c r="L921" t="str">
        <f t="shared" si="215"/>
        <v>玉蜓桥项目|期末实际出租面积（平方米）|季度</v>
      </c>
      <c r="M921">
        <f>IF($A921="",0,IF(COUNTIF($L$2:$L921,$L921)=1,1,0))</f>
        <v>0</v>
      </c>
      <c r="N921">
        <f t="shared" si="216"/>
        <v>20243</v>
      </c>
      <c r="O921" t="str">
        <f t="shared" si="217"/>
        <v>嘉实物美消费封闭式基础设施证券投资基金|2024Q3|季度</v>
      </c>
      <c r="P921">
        <f>IF($A921="",0,IF(COUNTIF($O$2:$O921,$O921)=1,1,0))</f>
        <v>0</v>
      </c>
      <c r="Q921" t="str">
        <f>IF(AND($P921=1,$A921=经营数据!$B$3,$J921=经营数据!$BA$5),COUNTIFS($P$2:$P$3000,1,$A$2:$A$3000,$A921,$J$2:$J$3000,$J921,$N$2:$N$3000,"&lt;"&amp;$N921)+1,"")</f>
        <v/>
      </c>
      <c r="R921" t="str">
        <f t="shared" si="218"/>
        <v>嘉实物美消费封闭式基础设施证券投资基金|玉蜓桥项目</v>
      </c>
      <c r="S921">
        <f>IF($A921="",0,IF(COUNTIF($R$2:$R921,$R921)=1,1,0))</f>
        <v>0</v>
      </c>
      <c r="T921">
        <f t="shared" si="219"/>
        <v>904</v>
      </c>
      <c r="U921" t="str">
        <f>IF($A921="","",IF($A921=经营数据!$B$3,COUNTIFS($S$2:$S$3000,1,$A$2:$A$3000,$A921,$T$2:$T$3000,"&lt;"&amp;$T921)+1,""))</f>
        <v/>
      </c>
      <c r="V921" t="str">
        <f t="shared" si="220"/>
        <v>玉蜓桥项目|服务量</v>
      </c>
      <c r="W921">
        <f t="shared" si="221"/>
        <v>904</v>
      </c>
      <c r="X921" t="str">
        <f t="shared" si="222"/>
        <v>玉蜓桥项目|期末实际出租面积</v>
      </c>
      <c r="Y921">
        <f t="shared" si="223"/>
        <v>905</v>
      </c>
      <c r="Z921">
        <f>IF($A921="",0,IF(AND($M921=1,$A921=经营数据!$B$3,$J921=经营数据!$BA$5,OR($I921=经营数据!$BA$4,COUNTIF(经营数据!$AA$9:$AA$38,$I921)&gt;0)),1,0))</f>
        <v>0</v>
      </c>
      <c r="AA921" t="str">
        <f t="shared" si="224"/>
        <v/>
      </c>
      <c r="AB921" t="str">
        <f t="shared" si="225"/>
        <v/>
      </c>
      <c r="AC921">
        <f>IF($A921="",0,IF(COUNTIF($A$2:$A921,$A921)=1,1,0))</f>
        <v>0</v>
      </c>
      <c r="AD921">
        <f t="shared" si="226"/>
        <v>8</v>
      </c>
      <c r="AE921" t="str">
        <f t="shared" si="227"/>
        <v>玉蜓桥项目|期末实际出租面积（平方米）</v>
      </c>
    </row>
    <row r="922" spans="1:31" x14ac:dyDescent="0.4">
      <c r="A922" t="str">
        <f>IF(原始经营数据!$D923="","",原始经营数据!$D923)</f>
        <v>嘉实物美消费封闭式基础设施证券投资基金</v>
      </c>
      <c r="B922" t="str">
        <f>IF(原始经营数据!$D923="","",T(原始经营数据!$E923))</f>
        <v>玉蜓桥项目</v>
      </c>
      <c r="C922" t="str">
        <f>IF(原始经营数据!$D923="","",原始经营数据!$F923)</f>
        <v>2024Q3</v>
      </c>
      <c r="D922" t="str">
        <f>IF(原始经营数据!$D923="","",原始经营数据!$H923)</f>
        <v>期末可供出租面积</v>
      </c>
      <c r="E922">
        <f>IF(原始经营数据!$D923="","",原始经营数据!$I923)</f>
        <v>24840.41</v>
      </c>
      <c r="F922" t="str">
        <f>IF(原始经营数据!$D923="","",T(原始经营数据!$J923))</f>
        <v>平方米</v>
      </c>
      <c r="G922" t="str">
        <f>IF(原始经营数据!$D923="","",T(原始经营数据!$K923))</f>
        <v/>
      </c>
      <c r="H922" t="str">
        <f>IF(原始经营数据!$D923="","",原始经营数据!$G923)</f>
        <v>服务量</v>
      </c>
      <c r="I922" t="str">
        <f>IF($A922="","",IF($B922&lt;&gt;"",$B922,IF(COUNTIFS(原始经营数据!$D$3:$D$3001,$A922,原始经营数据!$E$3:$E$3001,"",原始经营数据!$F$3:$F$3001,$C922,原始经营数据!$H$3:$H$3001,$D922,原始经营数据!$K$3:$K$3001,$G922)&gt;1,"基金整体·来源"&amp;原始经营数据!$A923,"基金整体")))</f>
        <v>玉蜓桥项目</v>
      </c>
      <c r="J922" t="str">
        <f t="shared" si="213"/>
        <v>季度</v>
      </c>
      <c r="K922" t="str">
        <f t="shared" si="214"/>
        <v>期末可供出租面积（平方米）</v>
      </c>
      <c r="L922" t="str">
        <f t="shared" si="215"/>
        <v>玉蜓桥项目|期末可供出租面积（平方米）|季度</v>
      </c>
      <c r="M922">
        <f>IF($A922="",0,IF(COUNTIF($L$2:$L922,$L922)=1,1,0))</f>
        <v>0</v>
      </c>
      <c r="N922">
        <f t="shared" si="216"/>
        <v>20243</v>
      </c>
      <c r="O922" t="str">
        <f t="shared" si="217"/>
        <v>嘉实物美消费封闭式基础设施证券投资基金|2024Q3|季度</v>
      </c>
      <c r="P922">
        <f>IF($A922="",0,IF(COUNTIF($O$2:$O922,$O922)=1,1,0))</f>
        <v>0</v>
      </c>
      <c r="Q922" t="str">
        <f>IF(AND($P922=1,$A922=经营数据!$B$3,$J922=经营数据!$BA$5),COUNTIFS($P$2:$P$3000,1,$A$2:$A$3000,$A922,$J$2:$J$3000,$J922,$N$2:$N$3000,"&lt;"&amp;$N922)+1,"")</f>
        <v/>
      </c>
      <c r="R922" t="str">
        <f t="shared" si="218"/>
        <v>嘉实物美消费封闭式基础设施证券投资基金|玉蜓桥项目</v>
      </c>
      <c r="S922">
        <f>IF($A922="",0,IF(COUNTIF($R$2:$R922,$R922)=1,1,0))</f>
        <v>0</v>
      </c>
      <c r="T922">
        <f t="shared" si="219"/>
        <v>904</v>
      </c>
      <c r="U922" t="str">
        <f>IF($A922="","",IF($A922=经营数据!$B$3,COUNTIFS($S$2:$S$3000,1,$A$2:$A$3000,$A922,$T$2:$T$3000,"&lt;"&amp;$T922)+1,""))</f>
        <v/>
      </c>
      <c r="V922" t="str">
        <f t="shared" si="220"/>
        <v>玉蜓桥项目|服务量</v>
      </c>
      <c r="W922">
        <f t="shared" si="221"/>
        <v>904</v>
      </c>
      <c r="X922" t="str">
        <f t="shared" si="222"/>
        <v>玉蜓桥项目|期末可供出租面积</v>
      </c>
      <c r="Y922">
        <f t="shared" si="223"/>
        <v>904</v>
      </c>
      <c r="Z922">
        <f>IF($A922="",0,IF(AND($M922=1,$A922=经营数据!$B$3,$J922=经营数据!$BA$5,OR($I922=经营数据!$BA$4,COUNTIF(经营数据!$AA$9:$AA$38,$I922)&gt;0)),1,0))</f>
        <v>0</v>
      </c>
      <c r="AA922" t="str">
        <f t="shared" si="224"/>
        <v/>
      </c>
      <c r="AB922" t="str">
        <f t="shared" si="225"/>
        <v/>
      </c>
      <c r="AC922">
        <f>IF($A922="",0,IF(COUNTIF($A$2:$A922,$A922)=1,1,0))</f>
        <v>0</v>
      </c>
      <c r="AD922">
        <f t="shared" si="226"/>
        <v>8</v>
      </c>
      <c r="AE922" t="str">
        <f t="shared" si="227"/>
        <v>玉蜓桥项目|期末可供出租面积（平方米）</v>
      </c>
    </row>
    <row r="923" spans="1:31" x14ac:dyDescent="0.4">
      <c r="A923" t="str">
        <f>IF(原始经营数据!$D924="","",原始经营数据!$D924)</f>
        <v>嘉实物美消费封闭式基础设施证券投资基金</v>
      </c>
      <c r="B923" t="str">
        <f>IF(原始经营数据!$D924="","",T(原始经营数据!$E924))</f>
        <v>玉蜓桥项目</v>
      </c>
      <c r="C923" t="str">
        <f>IF(原始经营数据!$D924="","",原始经营数据!$F924)</f>
        <v>2024Q4</v>
      </c>
      <c r="D923" t="str">
        <f>IF(原始经营数据!$D924="","",原始经营数据!$H924)</f>
        <v>期内租金单价水平</v>
      </c>
      <c r="E923">
        <f>IF(原始经营数据!$D924="","",原始经营数据!$I924)</f>
        <v>4.79</v>
      </c>
      <c r="F923" t="str">
        <f>IF(原始经营数据!$D924="","",T(原始经营数据!$J924))</f>
        <v>元/平方米/天</v>
      </c>
      <c r="G923" t="str">
        <f>IF(原始经营数据!$D924="","",T(原始经营数据!$K924))</f>
        <v/>
      </c>
      <c r="H923" t="str">
        <f>IF(原始经营数据!$D924="","",原始经营数据!$G924)</f>
        <v>服务价格</v>
      </c>
      <c r="I923" t="str">
        <f>IF($A923="","",IF($B923&lt;&gt;"",$B923,IF(COUNTIFS(原始经营数据!$D$3:$D$3001,$A923,原始经营数据!$E$3:$E$3001,"",原始经营数据!$F$3:$F$3001,$C923,原始经营数据!$H$3:$H$3001,$D923,原始经营数据!$K$3:$K$3001,$G923)&gt;1,"基金整体·来源"&amp;原始经营数据!$A924,"基金整体")))</f>
        <v>玉蜓桥项目</v>
      </c>
      <c r="J923" t="str">
        <f t="shared" si="213"/>
        <v>季度</v>
      </c>
      <c r="K923" t="str">
        <f t="shared" si="214"/>
        <v>期内租金单价水平（元/平方米/天）</v>
      </c>
      <c r="L923" t="str">
        <f t="shared" si="215"/>
        <v>玉蜓桥项目|期内租金单价水平（元/平方米/天）|季度</v>
      </c>
      <c r="M923">
        <f>IF($A923="",0,IF(COUNTIF($L$2:$L923,$L923)=1,1,0))</f>
        <v>0</v>
      </c>
      <c r="N923">
        <f t="shared" si="216"/>
        <v>20244</v>
      </c>
      <c r="O923" t="str">
        <f t="shared" si="217"/>
        <v>嘉实物美消费封闭式基础设施证券投资基金|2024Q4|季度</v>
      </c>
      <c r="P923">
        <f>IF($A923="",0,IF(COUNTIF($O$2:$O923,$O923)=1,1,0))</f>
        <v>0</v>
      </c>
      <c r="Q923" t="str">
        <f>IF(AND($P923=1,$A923=经营数据!$B$3,$J923=经营数据!$BA$5),COUNTIFS($P$2:$P$3000,1,$A$2:$A$3000,$A923,$J$2:$J$3000,$J923,$N$2:$N$3000,"&lt;"&amp;$N923)+1,"")</f>
        <v/>
      </c>
      <c r="R923" t="str">
        <f t="shared" si="218"/>
        <v>嘉实物美消费封闭式基础设施证券投资基金|玉蜓桥项目</v>
      </c>
      <c r="S923">
        <f>IF($A923="",0,IF(COUNTIF($R$2:$R923,$R923)=1,1,0))</f>
        <v>0</v>
      </c>
      <c r="T923">
        <f t="shared" si="219"/>
        <v>904</v>
      </c>
      <c r="U923" t="str">
        <f>IF($A923="","",IF($A923=经营数据!$B$3,COUNTIFS($S$2:$S$3000,1,$A$2:$A$3000,$A923,$T$2:$T$3000,"&lt;"&amp;$T923)+1,""))</f>
        <v/>
      </c>
      <c r="V923" t="str">
        <f t="shared" si="220"/>
        <v>玉蜓桥项目|服务价格</v>
      </c>
      <c r="W923">
        <f t="shared" si="221"/>
        <v>908</v>
      </c>
      <c r="X923" t="str">
        <f t="shared" si="222"/>
        <v>玉蜓桥项目|期内租金单价水平</v>
      </c>
      <c r="Y923">
        <f t="shared" si="223"/>
        <v>908</v>
      </c>
      <c r="Z923">
        <f>IF($A923="",0,IF(AND($M923=1,$A923=经营数据!$B$3,$J923=经营数据!$BA$5,OR($I923=经营数据!$BA$4,COUNTIF(经营数据!$AA$9:$AA$38,$I923)&gt;0)),1,0))</f>
        <v>0</v>
      </c>
      <c r="AA923" t="str">
        <f t="shared" si="224"/>
        <v/>
      </c>
      <c r="AB923" t="str">
        <f t="shared" si="225"/>
        <v/>
      </c>
      <c r="AC923">
        <f>IF($A923="",0,IF(COUNTIF($A$2:$A923,$A923)=1,1,0))</f>
        <v>0</v>
      </c>
      <c r="AD923">
        <f t="shared" si="226"/>
        <v>8</v>
      </c>
      <c r="AE923" t="str">
        <f t="shared" si="227"/>
        <v>玉蜓桥项目|期内租金单价水平（元/平方米/天）</v>
      </c>
    </row>
    <row r="924" spans="1:31" x14ac:dyDescent="0.4">
      <c r="A924" t="str">
        <f>IF(原始经营数据!$D925="","",原始经营数据!$D925)</f>
        <v>嘉实物美消费封闭式基础设施证券投资基金</v>
      </c>
      <c r="B924" t="str">
        <f>IF(原始经营数据!$D925="","",T(原始经营数据!$E925))</f>
        <v>玉蜓桥项目</v>
      </c>
      <c r="C924" t="str">
        <f>IF(原始经营数据!$D925="","",原始经营数据!$F925)</f>
        <v>2024Q4</v>
      </c>
      <c r="D924" t="str">
        <f>IF(原始经营数据!$D925="","",原始经营数据!$H925)</f>
        <v>期末可供出租面积</v>
      </c>
      <c r="E924">
        <f>IF(原始经营数据!$D925="","",原始经营数据!$I925)</f>
        <v>24840.41</v>
      </c>
      <c r="F924" t="str">
        <f>IF(原始经营数据!$D925="","",T(原始经营数据!$J925))</f>
        <v>平方米</v>
      </c>
      <c r="G924" t="str">
        <f>IF(原始经营数据!$D925="","",T(原始经营数据!$K925))</f>
        <v/>
      </c>
      <c r="H924" t="str">
        <f>IF(原始经营数据!$D925="","",原始经营数据!$G925)</f>
        <v>服务量</v>
      </c>
      <c r="I924" t="str">
        <f>IF($A924="","",IF($B924&lt;&gt;"",$B924,IF(COUNTIFS(原始经营数据!$D$3:$D$3001,$A924,原始经营数据!$E$3:$E$3001,"",原始经营数据!$F$3:$F$3001,$C924,原始经营数据!$H$3:$H$3001,$D924,原始经营数据!$K$3:$K$3001,$G924)&gt;1,"基金整体·来源"&amp;原始经营数据!$A925,"基金整体")))</f>
        <v>玉蜓桥项目</v>
      </c>
      <c r="J924" t="str">
        <f t="shared" si="213"/>
        <v>季度</v>
      </c>
      <c r="K924" t="str">
        <f t="shared" si="214"/>
        <v>期末可供出租面积（平方米）</v>
      </c>
      <c r="L924" t="str">
        <f t="shared" si="215"/>
        <v>玉蜓桥项目|期末可供出租面积（平方米）|季度</v>
      </c>
      <c r="M924">
        <f>IF($A924="",0,IF(COUNTIF($L$2:$L924,$L924)=1,1,0))</f>
        <v>0</v>
      </c>
      <c r="N924">
        <f t="shared" si="216"/>
        <v>20244</v>
      </c>
      <c r="O924" t="str">
        <f t="shared" si="217"/>
        <v>嘉实物美消费封闭式基础设施证券投资基金|2024Q4|季度</v>
      </c>
      <c r="P924">
        <f>IF($A924="",0,IF(COUNTIF($O$2:$O924,$O924)=1,1,0))</f>
        <v>0</v>
      </c>
      <c r="Q924" t="str">
        <f>IF(AND($P924=1,$A924=经营数据!$B$3,$J924=经营数据!$BA$5),COUNTIFS($P$2:$P$3000,1,$A$2:$A$3000,$A924,$J$2:$J$3000,$J924,$N$2:$N$3000,"&lt;"&amp;$N924)+1,"")</f>
        <v/>
      </c>
      <c r="R924" t="str">
        <f t="shared" si="218"/>
        <v>嘉实物美消费封闭式基础设施证券投资基金|玉蜓桥项目</v>
      </c>
      <c r="S924">
        <f>IF($A924="",0,IF(COUNTIF($R$2:$R924,$R924)=1,1,0))</f>
        <v>0</v>
      </c>
      <c r="T924">
        <f t="shared" si="219"/>
        <v>904</v>
      </c>
      <c r="U924" t="str">
        <f>IF($A924="","",IF($A924=经营数据!$B$3,COUNTIFS($S$2:$S$3000,1,$A$2:$A$3000,$A924,$T$2:$T$3000,"&lt;"&amp;$T924)+1,""))</f>
        <v/>
      </c>
      <c r="V924" t="str">
        <f t="shared" si="220"/>
        <v>玉蜓桥项目|服务量</v>
      </c>
      <c r="W924">
        <f t="shared" si="221"/>
        <v>904</v>
      </c>
      <c r="X924" t="str">
        <f t="shared" si="222"/>
        <v>玉蜓桥项目|期末可供出租面积</v>
      </c>
      <c r="Y924">
        <f t="shared" si="223"/>
        <v>904</v>
      </c>
      <c r="Z924">
        <f>IF($A924="",0,IF(AND($M924=1,$A924=经营数据!$B$3,$J924=经营数据!$BA$5,OR($I924=经营数据!$BA$4,COUNTIF(经营数据!$AA$9:$AA$38,$I924)&gt;0)),1,0))</f>
        <v>0</v>
      </c>
      <c r="AA924" t="str">
        <f t="shared" si="224"/>
        <v/>
      </c>
      <c r="AB924" t="str">
        <f t="shared" si="225"/>
        <v/>
      </c>
      <c r="AC924">
        <f>IF($A924="",0,IF(COUNTIF($A$2:$A924,$A924)=1,1,0))</f>
        <v>0</v>
      </c>
      <c r="AD924">
        <f t="shared" si="226"/>
        <v>8</v>
      </c>
      <c r="AE924" t="str">
        <f t="shared" si="227"/>
        <v>玉蜓桥项目|期末可供出租面积（平方米）</v>
      </c>
    </row>
    <row r="925" spans="1:31" x14ac:dyDescent="0.4">
      <c r="A925" t="str">
        <f>IF(原始经营数据!$D926="","",原始经营数据!$D926)</f>
        <v>嘉实物美消费封闭式基础设施证券投资基金</v>
      </c>
      <c r="B925" t="str">
        <f>IF(原始经营数据!$D926="","",T(原始经营数据!$E926))</f>
        <v>玉蜓桥项目</v>
      </c>
      <c r="C925" t="str">
        <f>IF(原始经营数据!$D926="","",原始经营数据!$F926)</f>
        <v>2024Q4</v>
      </c>
      <c r="D925" t="str">
        <f>IF(原始经营数据!$D926="","",原始经营数据!$H926)</f>
        <v>期末实际出租面积</v>
      </c>
      <c r="E925">
        <f>IF(原始经营数据!$D926="","",原始经营数据!$I926)</f>
        <v>24777.84</v>
      </c>
      <c r="F925" t="str">
        <f>IF(原始经营数据!$D926="","",T(原始经营数据!$J926))</f>
        <v>平方米</v>
      </c>
      <c r="G925" t="str">
        <f>IF(原始经营数据!$D926="","",T(原始经营数据!$K926))</f>
        <v/>
      </c>
      <c r="H925" t="str">
        <f>IF(原始经营数据!$D926="","",原始经营数据!$G926)</f>
        <v>服务量</v>
      </c>
      <c r="I925" t="str">
        <f>IF($A925="","",IF($B925&lt;&gt;"",$B925,IF(COUNTIFS(原始经营数据!$D$3:$D$3001,$A925,原始经营数据!$E$3:$E$3001,"",原始经营数据!$F$3:$F$3001,$C925,原始经营数据!$H$3:$H$3001,$D925,原始经营数据!$K$3:$K$3001,$G925)&gt;1,"基金整体·来源"&amp;原始经营数据!$A926,"基金整体")))</f>
        <v>玉蜓桥项目</v>
      </c>
      <c r="J925" t="str">
        <f t="shared" si="213"/>
        <v>季度</v>
      </c>
      <c r="K925" t="str">
        <f t="shared" si="214"/>
        <v>期末实际出租面积（平方米）</v>
      </c>
      <c r="L925" t="str">
        <f t="shared" si="215"/>
        <v>玉蜓桥项目|期末实际出租面积（平方米）|季度</v>
      </c>
      <c r="M925">
        <f>IF($A925="",0,IF(COUNTIF($L$2:$L925,$L925)=1,1,0))</f>
        <v>0</v>
      </c>
      <c r="N925">
        <f t="shared" si="216"/>
        <v>20244</v>
      </c>
      <c r="O925" t="str">
        <f t="shared" si="217"/>
        <v>嘉实物美消费封闭式基础设施证券投资基金|2024Q4|季度</v>
      </c>
      <c r="P925">
        <f>IF($A925="",0,IF(COUNTIF($O$2:$O925,$O925)=1,1,0))</f>
        <v>0</v>
      </c>
      <c r="Q925" t="str">
        <f>IF(AND($P925=1,$A925=经营数据!$B$3,$J925=经营数据!$BA$5),COUNTIFS($P$2:$P$3000,1,$A$2:$A$3000,$A925,$J$2:$J$3000,$J925,$N$2:$N$3000,"&lt;"&amp;$N925)+1,"")</f>
        <v/>
      </c>
      <c r="R925" t="str">
        <f t="shared" si="218"/>
        <v>嘉实物美消费封闭式基础设施证券投资基金|玉蜓桥项目</v>
      </c>
      <c r="S925">
        <f>IF($A925="",0,IF(COUNTIF($R$2:$R925,$R925)=1,1,0))</f>
        <v>0</v>
      </c>
      <c r="T925">
        <f t="shared" si="219"/>
        <v>904</v>
      </c>
      <c r="U925" t="str">
        <f>IF($A925="","",IF($A925=经营数据!$B$3,COUNTIFS($S$2:$S$3000,1,$A$2:$A$3000,$A925,$T$2:$T$3000,"&lt;"&amp;$T925)+1,""))</f>
        <v/>
      </c>
      <c r="V925" t="str">
        <f t="shared" si="220"/>
        <v>玉蜓桥项目|服务量</v>
      </c>
      <c r="W925">
        <f t="shared" si="221"/>
        <v>904</v>
      </c>
      <c r="X925" t="str">
        <f t="shared" si="222"/>
        <v>玉蜓桥项目|期末实际出租面积</v>
      </c>
      <c r="Y925">
        <f t="shared" si="223"/>
        <v>905</v>
      </c>
      <c r="Z925">
        <f>IF($A925="",0,IF(AND($M925=1,$A925=经营数据!$B$3,$J925=经营数据!$BA$5,OR($I925=经营数据!$BA$4,COUNTIF(经营数据!$AA$9:$AA$38,$I925)&gt;0)),1,0))</f>
        <v>0</v>
      </c>
      <c r="AA925" t="str">
        <f t="shared" si="224"/>
        <v/>
      </c>
      <c r="AB925" t="str">
        <f t="shared" si="225"/>
        <v/>
      </c>
      <c r="AC925">
        <f>IF($A925="",0,IF(COUNTIF($A$2:$A925,$A925)=1,1,0))</f>
        <v>0</v>
      </c>
      <c r="AD925">
        <f t="shared" si="226"/>
        <v>8</v>
      </c>
      <c r="AE925" t="str">
        <f t="shared" si="227"/>
        <v>玉蜓桥项目|期末实际出租面积（平方米）</v>
      </c>
    </row>
    <row r="926" spans="1:31" x14ac:dyDescent="0.4">
      <c r="A926" t="str">
        <f>IF(原始经营数据!$D927="","",原始经营数据!$D927)</f>
        <v>嘉实物美消费封闭式基础设施证券投资基金</v>
      </c>
      <c r="B926" t="str">
        <f>IF(原始经营数据!$D927="","",T(原始经营数据!$E927))</f>
        <v>玉蜓桥项目</v>
      </c>
      <c r="C926" t="str">
        <f>IF(原始经营数据!$D927="","",原始经营数据!$F927)</f>
        <v>2024Q4</v>
      </c>
      <c r="D926" t="str">
        <f>IF(原始经营数据!$D927="","",原始经营数据!$H927)</f>
        <v>期末出租率</v>
      </c>
      <c r="E926">
        <f>IF(原始经营数据!$D927="","",原始经营数据!$I927)</f>
        <v>99.75</v>
      </c>
      <c r="F926" t="str">
        <f>IF(原始经营数据!$D927="","",T(原始经营数据!$J927))</f>
        <v>%</v>
      </c>
      <c r="G926" t="str">
        <f>IF(原始经营数据!$D927="","",T(原始经营数据!$K927))</f>
        <v/>
      </c>
      <c r="H926" t="str">
        <f>IF(原始经营数据!$D927="","",原始经营数据!$G927)</f>
        <v>服务效率</v>
      </c>
      <c r="I926" t="str">
        <f>IF($A926="","",IF($B926&lt;&gt;"",$B926,IF(COUNTIFS(原始经营数据!$D$3:$D$3001,$A926,原始经营数据!$E$3:$E$3001,"",原始经营数据!$F$3:$F$3001,$C926,原始经营数据!$H$3:$H$3001,$D926,原始经营数据!$K$3:$K$3001,$G926)&gt;1,"基金整体·来源"&amp;原始经营数据!$A927,"基金整体")))</f>
        <v>玉蜓桥项目</v>
      </c>
      <c r="J926" t="str">
        <f t="shared" si="213"/>
        <v>季度</v>
      </c>
      <c r="K926" t="str">
        <f t="shared" si="214"/>
        <v>期末出租率（%）</v>
      </c>
      <c r="L926" t="str">
        <f t="shared" si="215"/>
        <v>玉蜓桥项目|期末出租率（%）|季度</v>
      </c>
      <c r="M926">
        <f>IF($A926="",0,IF(COUNTIF($L$2:$L926,$L926)=1,1,0))</f>
        <v>0</v>
      </c>
      <c r="N926">
        <f t="shared" si="216"/>
        <v>20244</v>
      </c>
      <c r="O926" t="str">
        <f t="shared" si="217"/>
        <v>嘉实物美消费封闭式基础设施证券投资基金|2024Q4|季度</v>
      </c>
      <c r="P926">
        <f>IF($A926="",0,IF(COUNTIF($O$2:$O926,$O926)=1,1,0))</f>
        <v>0</v>
      </c>
      <c r="Q926" t="str">
        <f>IF(AND($P926=1,$A926=经营数据!$B$3,$J926=经营数据!$BA$5),COUNTIFS($P$2:$P$3000,1,$A$2:$A$3000,$A926,$J$2:$J$3000,$J926,$N$2:$N$3000,"&lt;"&amp;$N926)+1,"")</f>
        <v/>
      </c>
      <c r="R926" t="str">
        <f t="shared" si="218"/>
        <v>嘉实物美消费封闭式基础设施证券投资基金|玉蜓桥项目</v>
      </c>
      <c r="S926">
        <f>IF($A926="",0,IF(COUNTIF($R$2:$R926,$R926)=1,1,0))</f>
        <v>0</v>
      </c>
      <c r="T926">
        <f t="shared" si="219"/>
        <v>904</v>
      </c>
      <c r="U926" t="str">
        <f>IF($A926="","",IF($A926=经营数据!$B$3,COUNTIFS($S$2:$S$3000,1,$A$2:$A$3000,$A926,$T$2:$T$3000,"&lt;"&amp;$T926)+1,""))</f>
        <v/>
      </c>
      <c r="V926" t="str">
        <f t="shared" si="220"/>
        <v>玉蜓桥项目|服务效率</v>
      </c>
      <c r="W926">
        <f t="shared" si="221"/>
        <v>906</v>
      </c>
      <c r="X926" t="str">
        <f t="shared" si="222"/>
        <v>玉蜓桥项目|期末出租率</v>
      </c>
      <c r="Y926">
        <f t="shared" si="223"/>
        <v>906</v>
      </c>
      <c r="Z926">
        <f>IF($A926="",0,IF(AND($M926=1,$A926=经营数据!$B$3,$J926=经营数据!$BA$5,OR($I926=经营数据!$BA$4,COUNTIF(经营数据!$AA$9:$AA$38,$I926)&gt;0)),1,0))</f>
        <v>0</v>
      </c>
      <c r="AA926" t="str">
        <f t="shared" si="224"/>
        <v/>
      </c>
      <c r="AB926" t="str">
        <f t="shared" si="225"/>
        <v/>
      </c>
      <c r="AC926">
        <f>IF($A926="",0,IF(COUNTIF($A$2:$A926,$A926)=1,1,0))</f>
        <v>0</v>
      </c>
      <c r="AD926">
        <f t="shared" si="226"/>
        <v>8</v>
      </c>
      <c r="AE926" t="str">
        <f t="shared" si="227"/>
        <v>玉蜓桥项目|期末出租率（%）</v>
      </c>
    </row>
    <row r="927" spans="1:31" x14ac:dyDescent="0.4">
      <c r="A927" t="str">
        <f>IF(原始经营数据!$D928="","",原始经营数据!$D928)</f>
        <v>嘉实物美消费封闭式基础设施证券投资基金</v>
      </c>
      <c r="B927" t="str">
        <f>IF(原始经营数据!$D928="","",T(原始经营数据!$E928))</f>
        <v>玉蜓桥项目</v>
      </c>
      <c r="C927" t="str">
        <f>IF(原始经营数据!$D928="","",原始经营数据!$F928)</f>
        <v>2024Q4</v>
      </c>
      <c r="D927" t="str">
        <f>IF(原始经营数据!$D928="","",原始经营数据!$H928)</f>
        <v>期末剩余租期情况</v>
      </c>
      <c r="E927">
        <f>IF(原始经营数据!$D928="","",原始经营数据!$I928)</f>
        <v>6.86</v>
      </c>
      <c r="F927" t="str">
        <f>IF(原始经营数据!$D928="","",T(原始经营数据!$J928))</f>
        <v>年</v>
      </c>
      <c r="G927" t="str">
        <f>IF(原始经营数据!$D928="","",T(原始经营数据!$K928))</f>
        <v/>
      </c>
      <c r="H927" t="str">
        <f>IF(原始经营数据!$D928="","",原始经营数据!$G928)</f>
        <v>服务量</v>
      </c>
      <c r="I927" t="str">
        <f>IF($A927="","",IF($B927&lt;&gt;"",$B927,IF(COUNTIFS(原始经营数据!$D$3:$D$3001,$A927,原始经营数据!$E$3:$E$3001,"",原始经营数据!$F$3:$F$3001,$C927,原始经营数据!$H$3:$H$3001,$D927,原始经营数据!$K$3:$K$3001,$G927)&gt;1,"基金整体·来源"&amp;原始经营数据!$A928,"基金整体")))</f>
        <v>玉蜓桥项目</v>
      </c>
      <c r="J927" t="str">
        <f t="shared" si="213"/>
        <v>季度</v>
      </c>
      <c r="K927" t="str">
        <f t="shared" si="214"/>
        <v>期末剩余租期情况（年）</v>
      </c>
      <c r="L927" t="str">
        <f t="shared" si="215"/>
        <v>玉蜓桥项目|期末剩余租期情况（年）|季度</v>
      </c>
      <c r="M927">
        <f>IF($A927="",0,IF(COUNTIF($L$2:$L927,$L927)=1,1,0))</f>
        <v>0</v>
      </c>
      <c r="N927">
        <f t="shared" si="216"/>
        <v>20244</v>
      </c>
      <c r="O927" t="str">
        <f t="shared" si="217"/>
        <v>嘉实物美消费封闭式基础设施证券投资基金|2024Q4|季度</v>
      </c>
      <c r="P927">
        <f>IF($A927="",0,IF(COUNTIF($O$2:$O927,$O927)=1,1,0))</f>
        <v>0</v>
      </c>
      <c r="Q927" t="str">
        <f>IF(AND($P927=1,$A927=经营数据!$B$3,$J927=经营数据!$BA$5),COUNTIFS($P$2:$P$3000,1,$A$2:$A$3000,$A927,$J$2:$J$3000,$J927,$N$2:$N$3000,"&lt;"&amp;$N927)+1,"")</f>
        <v/>
      </c>
      <c r="R927" t="str">
        <f t="shared" si="218"/>
        <v>嘉实物美消费封闭式基础设施证券投资基金|玉蜓桥项目</v>
      </c>
      <c r="S927">
        <f>IF($A927="",0,IF(COUNTIF($R$2:$R927,$R927)=1,1,0))</f>
        <v>0</v>
      </c>
      <c r="T927">
        <f t="shared" si="219"/>
        <v>904</v>
      </c>
      <c r="U927" t="str">
        <f>IF($A927="","",IF($A927=经营数据!$B$3,COUNTIFS($S$2:$S$3000,1,$A$2:$A$3000,$A927,$T$2:$T$3000,"&lt;"&amp;$T927)+1,""))</f>
        <v/>
      </c>
      <c r="V927" t="str">
        <f t="shared" si="220"/>
        <v>玉蜓桥项目|服务量</v>
      </c>
      <c r="W927">
        <f t="shared" si="221"/>
        <v>904</v>
      </c>
      <c r="X927" t="str">
        <f t="shared" si="222"/>
        <v>玉蜓桥项目|期末剩余租期情况</v>
      </c>
      <c r="Y927">
        <f t="shared" si="223"/>
        <v>909</v>
      </c>
      <c r="Z927">
        <f>IF($A927="",0,IF(AND($M927=1,$A927=经营数据!$B$3,$J927=经营数据!$BA$5,OR($I927=经营数据!$BA$4,COUNTIF(经营数据!$AA$9:$AA$38,$I927)&gt;0)),1,0))</f>
        <v>0</v>
      </c>
      <c r="AA927" t="str">
        <f t="shared" si="224"/>
        <v/>
      </c>
      <c r="AB927" t="str">
        <f t="shared" si="225"/>
        <v/>
      </c>
      <c r="AC927">
        <f>IF($A927="",0,IF(COUNTIF($A$2:$A927,$A927)=1,1,0))</f>
        <v>0</v>
      </c>
      <c r="AD927">
        <f t="shared" si="226"/>
        <v>8</v>
      </c>
      <c r="AE927" t="str">
        <f t="shared" si="227"/>
        <v>玉蜓桥项目|期末剩余租期情况（年）</v>
      </c>
    </row>
    <row r="928" spans="1:31" x14ac:dyDescent="0.4">
      <c r="A928" t="str">
        <f>IF(原始经营数据!$D929="","",原始经营数据!$D929)</f>
        <v>嘉实物美消费封闭式基础设施证券投资基金</v>
      </c>
      <c r="B928" t="str">
        <f>IF(原始经营数据!$D929="","",T(原始经营数据!$E929))</f>
        <v>玉蜓桥项目</v>
      </c>
      <c r="C928" t="str">
        <f>IF(原始经营数据!$D929="","",原始经营数据!$F929)</f>
        <v>2024Q4</v>
      </c>
      <c r="D928" t="str">
        <f>IF(原始经营数据!$D929="","",原始经营数据!$H929)</f>
        <v>期末租金收缴率</v>
      </c>
      <c r="E928">
        <f>IF(原始经营数据!$D929="","",原始经营数据!$I929)</f>
        <v>99.89</v>
      </c>
      <c r="F928" t="str">
        <f>IF(原始经营数据!$D929="","",T(原始经营数据!$J929))</f>
        <v>%</v>
      </c>
      <c r="G928" t="str">
        <f>IF(原始经营数据!$D929="","",T(原始经营数据!$K929))</f>
        <v/>
      </c>
      <c r="H928" t="str">
        <f>IF(原始经营数据!$D929="","",原始经营数据!$G929)</f>
        <v>服务效率</v>
      </c>
      <c r="I928" t="str">
        <f>IF($A928="","",IF($B928&lt;&gt;"",$B928,IF(COUNTIFS(原始经营数据!$D$3:$D$3001,$A928,原始经营数据!$E$3:$E$3001,"",原始经营数据!$F$3:$F$3001,$C928,原始经营数据!$H$3:$H$3001,$D928,原始经营数据!$K$3:$K$3001,$G928)&gt;1,"基金整体·来源"&amp;原始经营数据!$A929,"基金整体")))</f>
        <v>玉蜓桥项目</v>
      </c>
      <c r="J928" t="str">
        <f t="shared" si="213"/>
        <v>季度</v>
      </c>
      <c r="K928" t="str">
        <f t="shared" si="214"/>
        <v>期末租金收缴率（%）</v>
      </c>
      <c r="L928" t="str">
        <f t="shared" si="215"/>
        <v>玉蜓桥项目|期末租金收缴率（%）|季度</v>
      </c>
      <c r="M928">
        <f>IF($A928="",0,IF(COUNTIF($L$2:$L928,$L928)=1,1,0))</f>
        <v>0</v>
      </c>
      <c r="N928">
        <f t="shared" si="216"/>
        <v>20244</v>
      </c>
      <c r="O928" t="str">
        <f t="shared" si="217"/>
        <v>嘉实物美消费封闭式基础设施证券投资基金|2024Q4|季度</v>
      </c>
      <c r="P928">
        <f>IF($A928="",0,IF(COUNTIF($O$2:$O928,$O928)=1,1,0))</f>
        <v>0</v>
      </c>
      <c r="Q928" t="str">
        <f>IF(AND($P928=1,$A928=经营数据!$B$3,$J928=经营数据!$BA$5),COUNTIFS($P$2:$P$3000,1,$A$2:$A$3000,$A928,$J$2:$J$3000,$J928,$N$2:$N$3000,"&lt;"&amp;$N928)+1,"")</f>
        <v/>
      </c>
      <c r="R928" t="str">
        <f t="shared" si="218"/>
        <v>嘉实物美消费封闭式基础设施证券投资基金|玉蜓桥项目</v>
      </c>
      <c r="S928">
        <f>IF($A928="",0,IF(COUNTIF($R$2:$R928,$R928)=1,1,0))</f>
        <v>0</v>
      </c>
      <c r="T928">
        <f t="shared" si="219"/>
        <v>904</v>
      </c>
      <c r="U928" t="str">
        <f>IF($A928="","",IF($A928=经营数据!$B$3,COUNTIFS($S$2:$S$3000,1,$A$2:$A$3000,$A928,$T$2:$T$3000,"&lt;"&amp;$T928)+1,""))</f>
        <v/>
      </c>
      <c r="V928" t="str">
        <f t="shared" si="220"/>
        <v>玉蜓桥项目|服务效率</v>
      </c>
      <c r="W928">
        <f t="shared" si="221"/>
        <v>906</v>
      </c>
      <c r="X928" t="str">
        <f t="shared" si="222"/>
        <v>玉蜓桥项目|期末租金收缴率</v>
      </c>
      <c r="Y928">
        <f t="shared" si="223"/>
        <v>907</v>
      </c>
      <c r="Z928">
        <f>IF($A928="",0,IF(AND($M928=1,$A928=经营数据!$B$3,$J928=经营数据!$BA$5,OR($I928=经营数据!$BA$4,COUNTIF(经营数据!$AA$9:$AA$38,$I928)&gt;0)),1,0))</f>
        <v>0</v>
      </c>
      <c r="AA928" t="str">
        <f t="shared" si="224"/>
        <v/>
      </c>
      <c r="AB928" t="str">
        <f t="shared" si="225"/>
        <v/>
      </c>
      <c r="AC928">
        <f>IF($A928="",0,IF(COUNTIF($A$2:$A928,$A928)=1,1,0))</f>
        <v>0</v>
      </c>
      <c r="AD928">
        <f t="shared" si="226"/>
        <v>8</v>
      </c>
      <c r="AE928" t="str">
        <f t="shared" si="227"/>
        <v>玉蜓桥项目|期末租金收缴率（%）</v>
      </c>
    </row>
    <row r="929" spans="1:31" x14ac:dyDescent="0.4">
      <c r="A929" t="str">
        <f>IF(原始经营数据!$D930="","",原始经营数据!$D930)</f>
        <v>嘉实物美消费封闭式基础设施证券投资基金</v>
      </c>
      <c r="B929" t="str">
        <f>IF(原始经营数据!$D930="","",T(原始经营数据!$E930))</f>
        <v>玉蜓桥项目</v>
      </c>
      <c r="C929" t="str">
        <f>IF(原始经营数据!$D930="","",原始经营数据!$F930)</f>
        <v>2025Q1</v>
      </c>
      <c r="D929" t="str">
        <f>IF(原始经营数据!$D930="","",原始经营数据!$H930)</f>
        <v>期末租金收缴率</v>
      </c>
      <c r="E929">
        <f>IF(原始经营数据!$D930="","",原始经营数据!$I930)</f>
        <v>99.93</v>
      </c>
      <c r="F929" t="str">
        <f>IF(原始经营数据!$D930="","",T(原始经营数据!$J930))</f>
        <v>%</v>
      </c>
      <c r="G929" t="str">
        <f>IF(原始经营数据!$D930="","",T(原始经营数据!$K930))</f>
        <v/>
      </c>
      <c r="H929" t="str">
        <f>IF(原始经营数据!$D930="","",原始经营数据!$G930)</f>
        <v>服务效率</v>
      </c>
      <c r="I929" t="str">
        <f>IF($A929="","",IF($B929&lt;&gt;"",$B929,IF(COUNTIFS(原始经营数据!$D$3:$D$3001,$A929,原始经营数据!$E$3:$E$3001,"",原始经营数据!$F$3:$F$3001,$C929,原始经营数据!$H$3:$H$3001,$D929,原始经营数据!$K$3:$K$3001,$G929)&gt;1,"基金整体·来源"&amp;原始经营数据!$A930,"基金整体")))</f>
        <v>玉蜓桥项目</v>
      </c>
      <c r="J929" t="str">
        <f t="shared" si="213"/>
        <v>季度</v>
      </c>
      <c r="K929" t="str">
        <f t="shared" si="214"/>
        <v>期末租金收缴率（%）</v>
      </c>
      <c r="L929" t="str">
        <f t="shared" si="215"/>
        <v>玉蜓桥项目|期末租金收缴率（%）|季度</v>
      </c>
      <c r="M929">
        <f>IF($A929="",0,IF(COUNTIF($L$2:$L929,$L929)=1,1,0))</f>
        <v>0</v>
      </c>
      <c r="N929">
        <f t="shared" si="216"/>
        <v>20251</v>
      </c>
      <c r="O929" t="str">
        <f t="shared" si="217"/>
        <v>嘉实物美消费封闭式基础设施证券投资基金|2025Q1|季度</v>
      </c>
      <c r="P929">
        <f>IF($A929="",0,IF(COUNTIF($O$2:$O929,$O929)=1,1,0))</f>
        <v>0</v>
      </c>
      <c r="Q929" t="str">
        <f>IF(AND($P929=1,$A929=经营数据!$B$3,$J929=经营数据!$BA$5),COUNTIFS($P$2:$P$3000,1,$A$2:$A$3000,$A929,$J$2:$J$3000,$J929,$N$2:$N$3000,"&lt;"&amp;$N929)+1,"")</f>
        <v/>
      </c>
      <c r="R929" t="str">
        <f t="shared" si="218"/>
        <v>嘉实物美消费封闭式基础设施证券投资基金|玉蜓桥项目</v>
      </c>
      <c r="S929">
        <f>IF($A929="",0,IF(COUNTIF($R$2:$R929,$R929)=1,1,0))</f>
        <v>0</v>
      </c>
      <c r="T929">
        <f t="shared" si="219"/>
        <v>904</v>
      </c>
      <c r="U929" t="str">
        <f>IF($A929="","",IF($A929=经营数据!$B$3,COUNTIFS($S$2:$S$3000,1,$A$2:$A$3000,$A929,$T$2:$T$3000,"&lt;"&amp;$T929)+1,""))</f>
        <v/>
      </c>
      <c r="V929" t="str">
        <f t="shared" si="220"/>
        <v>玉蜓桥项目|服务效率</v>
      </c>
      <c r="W929">
        <f t="shared" si="221"/>
        <v>906</v>
      </c>
      <c r="X929" t="str">
        <f t="shared" si="222"/>
        <v>玉蜓桥项目|期末租金收缴率</v>
      </c>
      <c r="Y929">
        <f t="shared" si="223"/>
        <v>907</v>
      </c>
      <c r="Z929">
        <f>IF($A929="",0,IF(AND($M929=1,$A929=经营数据!$B$3,$J929=经营数据!$BA$5,OR($I929=经营数据!$BA$4,COUNTIF(经营数据!$AA$9:$AA$38,$I929)&gt;0)),1,0))</f>
        <v>0</v>
      </c>
      <c r="AA929" t="str">
        <f t="shared" si="224"/>
        <v/>
      </c>
      <c r="AB929" t="str">
        <f t="shared" si="225"/>
        <v/>
      </c>
      <c r="AC929">
        <f>IF($A929="",0,IF(COUNTIF($A$2:$A929,$A929)=1,1,0))</f>
        <v>0</v>
      </c>
      <c r="AD929">
        <f t="shared" si="226"/>
        <v>8</v>
      </c>
      <c r="AE929" t="str">
        <f t="shared" si="227"/>
        <v>玉蜓桥项目|期末租金收缴率（%）</v>
      </c>
    </row>
    <row r="930" spans="1:31" x14ac:dyDescent="0.4">
      <c r="A930" t="str">
        <f>IF(原始经营数据!$D931="","",原始经营数据!$D931)</f>
        <v>嘉实物美消费封闭式基础设施证券投资基金</v>
      </c>
      <c r="B930" t="str">
        <f>IF(原始经营数据!$D931="","",T(原始经营数据!$E931))</f>
        <v>玉蜓桥项目</v>
      </c>
      <c r="C930" t="str">
        <f>IF(原始经营数据!$D931="","",原始经营数据!$F931)</f>
        <v>2025Q1</v>
      </c>
      <c r="D930" t="str">
        <f>IF(原始经营数据!$D931="","",原始经营数据!$H931)</f>
        <v>期末可供出租面积</v>
      </c>
      <c r="E930">
        <f>IF(原始经营数据!$D931="","",原始经营数据!$I931)</f>
        <v>24840.41</v>
      </c>
      <c r="F930" t="str">
        <f>IF(原始经营数据!$D931="","",T(原始经营数据!$J931))</f>
        <v>平方米</v>
      </c>
      <c r="G930" t="str">
        <f>IF(原始经营数据!$D931="","",T(原始经营数据!$K931))</f>
        <v/>
      </c>
      <c r="H930" t="str">
        <f>IF(原始经营数据!$D931="","",原始经营数据!$G931)</f>
        <v>服务量</v>
      </c>
      <c r="I930" t="str">
        <f>IF($A930="","",IF($B930&lt;&gt;"",$B930,IF(COUNTIFS(原始经营数据!$D$3:$D$3001,$A930,原始经营数据!$E$3:$E$3001,"",原始经营数据!$F$3:$F$3001,$C930,原始经营数据!$H$3:$H$3001,$D930,原始经营数据!$K$3:$K$3001,$G930)&gt;1,"基金整体·来源"&amp;原始经营数据!$A931,"基金整体")))</f>
        <v>玉蜓桥项目</v>
      </c>
      <c r="J930" t="str">
        <f t="shared" si="213"/>
        <v>季度</v>
      </c>
      <c r="K930" t="str">
        <f t="shared" si="214"/>
        <v>期末可供出租面积（平方米）</v>
      </c>
      <c r="L930" t="str">
        <f t="shared" si="215"/>
        <v>玉蜓桥项目|期末可供出租面积（平方米）|季度</v>
      </c>
      <c r="M930">
        <f>IF($A930="",0,IF(COUNTIF($L$2:$L930,$L930)=1,1,0))</f>
        <v>0</v>
      </c>
      <c r="N930">
        <f t="shared" si="216"/>
        <v>20251</v>
      </c>
      <c r="O930" t="str">
        <f t="shared" si="217"/>
        <v>嘉实物美消费封闭式基础设施证券投资基金|2025Q1|季度</v>
      </c>
      <c r="P930">
        <f>IF($A930="",0,IF(COUNTIF($O$2:$O930,$O930)=1,1,0))</f>
        <v>0</v>
      </c>
      <c r="Q930" t="str">
        <f>IF(AND($P930=1,$A930=经营数据!$B$3,$J930=经营数据!$BA$5),COUNTIFS($P$2:$P$3000,1,$A$2:$A$3000,$A930,$J$2:$J$3000,$J930,$N$2:$N$3000,"&lt;"&amp;$N930)+1,"")</f>
        <v/>
      </c>
      <c r="R930" t="str">
        <f t="shared" si="218"/>
        <v>嘉实物美消费封闭式基础设施证券投资基金|玉蜓桥项目</v>
      </c>
      <c r="S930">
        <f>IF($A930="",0,IF(COUNTIF($R$2:$R930,$R930)=1,1,0))</f>
        <v>0</v>
      </c>
      <c r="T930">
        <f t="shared" si="219"/>
        <v>904</v>
      </c>
      <c r="U930" t="str">
        <f>IF($A930="","",IF($A930=经营数据!$B$3,COUNTIFS($S$2:$S$3000,1,$A$2:$A$3000,$A930,$T$2:$T$3000,"&lt;"&amp;$T930)+1,""))</f>
        <v/>
      </c>
      <c r="V930" t="str">
        <f t="shared" si="220"/>
        <v>玉蜓桥项目|服务量</v>
      </c>
      <c r="W930">
        <f t="shared" si="221"/>
        <v>904</v>
      </c>
      <c r="X930" t="str">
        <f t="shared" si="222"/>
        <v>玉蜓桥项目|期末可供出租面积</v>
      </c>
      <c r="Y930">
        <f t="shared" si="223"/>
        <v>904</v>
      </c>
      <c r="Z930">
        <f>IF($A930="",0,IF(AND($M930=1,$A930=经营数据!$B$3,$J930=经营数据!$BA$5,OR($I930=经营数据!$BA$4,COUNTIF(经营数据!$AA$9:$AA$38,$I930)&gt;0)),1,0))</f>
        <v>0</v>
      </c>
      <c r="AA930" t="str">
        <f t="shared" si="224"/>
        <v/>
      </c>
      <c r="AB930" t="str">
        <f t="shared" si="225"/>
        <v/>
      </c>
      <c r="AC930">
        <f>IF($A930="",0,IF(COUNTIF($A$2:$A930,$A930)=1,1,0))</f>
        <v>0</v>
      </c>
      <c r="AD930">
        <f t="shared" si="226"/>
        <v>8</v>
      </c>
      <c r="AE930" t="str">
        <f t="shared" si="227"/>
        <v>玉蜓桥项目|期末可供出租面积（平方米）</v>
      </c>
    </row>
    <row r="931" spans="1:31" x14ac:dyDescent="0.4">
      <c r="A931" t="str">
        <f>IF(原始经营数据!$D932="","",原始经营数据!$D932)</f>
        <v>嘉实物美消费封闭式基础设施证券投资基金</v>
      </c>
      <c r="B931" t="str">
        <f>IF(原始经营数据!$D932="","",T(原始经营数据!$E932))</f>
        <v>玉蜓桥项目</v>
      </c>
      <c r="C931" t="str">
        <f>IF(原始经营数据!$D932="","",原始经营数据!$F932)</f>
        <v>2025Q1</v>
      </c>
      <c r="D931" t="str">
        <f>IF(原始经营数据!$D932="","",原始经营数据!$H932)</f>
        <v>期末实际出租面积</v>
      </c>
      <c r="E931">
        <f>IF(原始经营数据!$D932="","",原始经营数据!$I932)</f>
        <v>24263.4</v>
      </c>
      <c r="F931" t="str">
        <f>IF(原始经营数据!$D932="","",T(原始经营数据!$J932))</f>
        <v>平方米</v>
      </c>
      <c r="G931" t="str">
        <f>IF(原始经营数据!$D932="","",T(原始经营数据!$K932))</f>
        <v/>
      </c>
      <c r="H931" t="str">
        <f>IF(原始经营数据!$D932="","",原始经营数据!$G932)</f>
        <v>服务量</v>
      </c>
      <c r="I931" t="str">
        <f>IF($A931="","",IF($B931&lt;&gt;"",$B931,IF(COUNTIFS(原始经营数据!$D$3:$D$3001,$A931,原始经营数据!$E$3:$E$3001,"",原始经营数据!$F$3:$F$3001,$C931,原始经营数据!$H$3:$H$3001,$D931,原始经营数据!$K$3:$K$3001,$G931)&gt;1,"基金整体·来源"&amp;原始经营数据!$A932,"基金整体")))</f>
        <v>玉蜓桥项目</v>
      </c>
      <c r="J931" t="str">
        <f t="shared" si="213"/>
        <v>季度</v>
      </c>
      <c r="K931" t="str">
        <f t="shared" si="214"/>
        <v>期末实际出租面积（平方米）</v>
      </c>
      <c r="L931" t="str">
        <f t="shared" si="215"/>
        <v>玉蜓桥项目|期末实际出租面积（平方米）|季度</v>
      </c>
      <c r="M931">
        <f>IF($A931="",0,IF(COUNTIF($L$2:$L931,$L931)=1,1,0))</f>
        <v>0</v>
      </c>
      <c r="N931">
        <f t="shared" si="216"/>
        <v>20251</v>
      </c>
      <c r="O931" t="str">
        <f t="shared" si="217"/>
        <v>嘉实物美消费封闭式基础设施证券投资基金|2025Q1|季度</v>
      </c>
      <c r="P931">
        <f>IF($A931="",0,IF(COUNTIF($O$2:$O931,$O931)=1,1,0))</f>
        <v>0</v>
      </c>
      <c r="Q931" t="str">
        <f>IF(AND($P931=1,$A931=经营数据!$B$3,$J931=经营数据!$BA$5),COUNTIFS($P$2:$P$3000,1,$A$2:$A$3000,$A931,$J$2:$J$3000,$J931,$N$2:$N$3000,"&lt;"&amp;$N931)+1,"")</f>
        <v/>
      </c>
      <c r="R931" t="str">
        <f t="shared" si="218"/>
        <v>嘉实物美消费封闭式基础设施证券投资基金|玉蜓桥项目</v>
      </c>
      <c r="S931">
        <f>IF($A931="",0,IF(COUNTIF($R$2:$R931,$R931)=1,1,0))</f>
        <v>0</v>
      </c>
      <c r="T931">
        <f t="shared" si="219"/>
        <v>904</v>
      </c>
      <c r="U931" t="str">
        <f>IF($A931="","",IF($A931=经营数据!$B$3,COUNTIFS($S$2:$S$3000,1,$A$2:$A$3000,$A931,$T$2:$T$3000,"&lt;"&amp;$T931)+1,""))</f>
        <v/>
      </c>
      <c r="V931" t="str">
        <f t="shared" si="220"/>
        <v>玉蜓桥项目|服务量</v>
      </c>
      <c r="W931">
        <f t="shared" si="221"/>
        <v>904</v>
      </c>
      <c r="X931" t="str">
        <f t="shared" si="222"/>
        <v>玉蜓桥项目|期末实际出租面积</v>
      </c>
      <c r="Y931">
        <f t="shared" si="223"/>
        <v>905</v>
      </c>
      <c r="Z931">
        <f>IF($A931="",0,IF(AND($M931=1,$A931=经营数据!$B$3,$J931=经营数据!$BA$5,OR($I931=经营数据!$BA$4,COUNTIF(经营数据!$AA$9:$AA$38,$I931)&gt;0)),1,0))</f>
        <v>0</v>
      </c>
      <c r="AA931" t="str">
        <f t="shared" si="224"/>
        <v/>
      </c>
      <c r="AB931" t="str">
        <f t="shared" si="225"/>
        <v/>
      </c>
      <c r="AC931">
        <f>IF($A931="",0,IF(COUNTIF($A$2:$A931,$A931)=1,1,0))</f>
        <v>0</v>
      </c>
      <c r="AD931">
        <f t="shared" si="226"/>
        <v>8</v>
      </c>
      <c r="AE931" t="str">
        <f t="shared" si="227"/>
        <v>玉蜓桥项目|期末实际出租面积（平方米）</v>
      </c>
    </row>
    <row r="932" spans="1:31" x14ac:dyDescent="0.4">
      <c r="A932" t="str">
        <f>IF(原始经营数据!$D933="","",原始经营数据!$D933)</f>
        <v>嘉实物美消费封闭式基础设施证券投资基金</v>
      </c>
      <c r="B932" t="str">
        <f>IF(原始经营数据!$D933="","",T(原始经营数据!$E933))</f>
        <v>玉蜓桥项目</v>
      </c>
      <c r="C932" t="str">
        <f>IF(原始经营数据!$D933="","",原始经营数据!$F933)</f>
        <v>2025Q1</v>
      </c>
      <c r="D932" t="str">
        <f>IF(原始经营数据!$D933="","",原始经营数据!$H933)</f>
        <v>期末出租率</v>
      </c>
      <c r="E932">
        <f>IF(原始经营数据!$D933="","",原始经营数据!$I933)</f>
        <v>97.68</v>
      </c>
      <c r="F932" t="str">
        <f>IF(原始经营数据!$D933="","",T(原始经营数据!$J933))</f>
        <v>%</v>
      </c>
      <c r="G932" t="str">
        <f>IF(原始经营数据!$D933="","",T(原始经营数据!$K933))</f>
        <v/>
      </c>
      <c r="H932" t="str">
        <f>IF(原始经营数据!$D933="","",原始经营数据!$G933)</f>
        <v>服务效率</v>
      </c>
      <c r="I932" t="str">
        <f>IF($A932="","",IF($B932&lt;&gt;"",$B932,IF(COUNTIFS(原始经营数据!$D$3:$D$3001,$A932,原始经营数据!$E$3:$E$3001,"",原始经营数据!$F$3:$F$3001,$C932,原始经营数据!$H$3:$H$3001,$D932,原始经营数据!$K$3:$K$3001,$G932)&gt;1,"基金整体·来源"&amp;原始经营数据!$A933,"基金整体")))</f>
        <v>玉蜓桥项目</v>
      </c>
      <c r="J932" t="str">
        <f t="shared" si="213"/>
        <v>季度</v>
      </c>
      <c r="K932" t="str">
        <f t="shared" si="214"/>
        <v>期末出租率（%）</v>
      </c>
      <c r="L932" t="str">
        <f t="shared" si="215"/>
        <v>玉蜓桥项目|期末出租率（%）|季度</v>
      </c>
      <c r="M932">
        <f>IF($A932="",0,IF(COUNTIF($L$2:$L932,$L932)=1,1,0))</f>
        <v>0</v>
      </c>
      <c r="N932">
        <f t="shared" si="216"/>
        <v>20251</v>
      </c>
      <c r="O932" t="str">
        <f t="shared" si="217"/>
        <v>嘉实物美消费封闭式基础设施证券投资基金|2025Q1|季度</v>
      </c>
      <c r="P932">
        <f>IF($A932="",0,IF(COUNTIF($O$2:$O932,$O932)=1,1,0))</f>
        <v>0</v>
      </c>
      <c r="Q932" t="str">
        <f>IF(AND($P932=1,$A932=经营数据!$B$3,$J932=经营数据!$BA$5),COUNTIFS($P$2:$P$3000,1,$A$2:$A$3000,$A932,$J$2:$J$3000,$J932,$N$2:$N$3000,"&lt;"&amp;$N932)+1,"")</f>
        <v/>
      </c>
      <c r="R932" t="str">
        <f t="shared" si="218"/>
        <v>嘉实物美消费封闭式基础设施证券投资基金|玉蜓桥项目</v>
      </c>
      <c r="S932">
        <f>IF($A932="",0,IF(COUNTIF($R$2:$R932,$R932)=1,1,0))</f>
        <v>0</v>
      </c>
      <c r="T932">
        <f t="shared" si="219"/>
        <v>904</v>
      </c>
      <c r="U932" t="str">
        <f>IF($A932="","",IF($A932=经营数据!$B$3,COUNTIFS($S$2:$S$3000,1,$A$2:$A$3000,$A932,$T$2:$T$3000,"&lt;"&amp;$T932)+1,""))</f>
        <v/>
      </c>
      <c r="V932" t="str">
        <f t="shared" si="220"/>
        <v>玉蜓桥项目|服务效率</v>
      </c>
      <c r="W932">
        <f t="shared" si="221"/>
        <v>906</v>
      </c>
      <c r="X932" t="str">
        <f t="shared" si="222"/>
        <v>玉蜓桥项目|期末出租率</v>
      </c>
      <c r="Y932">
        <f t="shared" si="223"/>
        <v>906</v>
      </c>
      <c r="Z932">
        <f>IF($A932="",0,IF(AND($M932=1,$A932=经营数据!$B$3,$J932=经营数据!$BA$5,OR($I932=经营数据!$BA$4,COUNTIF(经营数据!$AA$9:$AA$38,$I932)&gt;0)),1,0))</f>
        <v>0</v>
      </c>
      <c r="AA932" t="str">
        <f t="shared" si="224"/>
        <v/>
      </c>
      <c r="AB932" t="str">
        <f t="shared" si="225"/>
        <v/>
      </c>
      <c r="AC932">
        <f>IF($A932="",0,IF(COUNTIF($A$2:$A932,$A932)=1,1,0))</f>
        <v>0</v>
      </c>
      <c r="AD932">
        <f t="shared" si="226"/>
        <v>8</v>
      </c>
      <c r="AE932" t="str">
        <f t="shared" si="227"/>
        <v>玉蜓桥项目|期末出租率（%）</v>
      </c>
    </row>
    <row r="933" spans="1:31" x14ac:dyDescent="0.4">
      <c r="A933" t="str">
        <f>IF(原始经营数据!$D934="","",原始经营数据!$D934)</f>
        <v>嘉实物美消费封闭式基础设施证券投资基金</v>
      </c>
      <c r="B933" t="str">
        <f>IF(原始经营数据!$D934="","",T(原始经营数据!$E934))</f>
        <v>玉蜓桥项目</v>
      </c>
      <c r="C933" t="str">
        <f>IF(原始经营数据!$D934="","",原始经营数据!$F934)</f>
        <v>2025Q1</v>
      </c>
      <c r="D933" t="str">
        <f>IF(原始经营数据!$D934="","",原始经营数据!$H934)</f>
        <v>期内租金单价水平</v>
      </c>
      <c r="E933">
        <f>IF(原始经营数据!$D934="","",原始经营数据!$I934)</f>
        <v>4.83</v>
      </c>
      <c r="F933" t="str">
        <f>IF(原始经营数据!$D934="","",T(原始经营数据!$J934))</f>
        <v>元/平方米/天</v>
      </c>
      <c r="G933" t="str">
        <f>IF(原始经营数据!$D934="","",T(原始经营数据!$K934))</f>
        <v/>
      </c>
      <c r="H933" t="str">
        <f>IF(原始经营数据!$D934="","",原始经营数据!$G934)</f>
        <v>服务价格</v>
      </c>
      <c r="I933" t="str">
        <f>IF($A933="","",IF($B933&lt;&gt;"",$B933,IF(COUNTIFS(原始经营数据!$D$3:$D$3001,$A933,原始经营数据!$E$3:$E$3001,"",原始经营数据!$F$3:$F$3001,$C933,原始经营数据!$H$3:$H$3001,$D933,原始经营数据!$K$3:$K$3001,$G933)&gt;1,"基金整体·来源"&amp;原始经营数据!$A934,"基金整体")))</f>
        <v>玉蜓桥项目</v>
      </c>
      <c r="J933" t="str">
        <f t="shared" si="213"/>
        <v>季度</v>
      </c>
      <c r="K933" t="str">
        <f t="shared" si="214"/>
        <v>期内租金单价水平（元/平方米/天）</v>
      </c>
      <c r="L933" t="str">
        <f t="shared" si="215"/>
        <v>玉蜓桥项目|期内租金单价水平（元/平方米/天）|季度</v>
      </c>
      <c r="M933">
        <f>IF($A933="",0,IF(COUNTIF($L$2:$L933,$L933)=1,1,0))</f>
        <v>0</v>
      </c>
      <c r="N933">
        <f t="shared" si="216"/>
        <v>20251</v>
      </c>
      <c r="O933" t="str">
        <f t="shared" si="217"/>
        <v>嘉实物美消费封闭式基础设施证券投资基金|2025Q1|季度</v>
      </c>
      <c r="P933">
        <f>IF($A933="",0,IF(COUNTIF($O$2:$O933,$O933)=1,1,0))</f>
        <v>0</v>
      </c>
      <c r="Q933" t="str">
        <f>IF(AND($P933=1,$A933=经营数据!$B$3,$J933=经营数据!$BA$5),COUNTIFS($P$2:$P$3000,1,$A$2:$A$3000,$A933,$J$2:$J$3000,$J933,$N$2:$N$3000,"&lt;"&amp;$N933)+1,"")</f>
        <v/>
      </c>
      <c r="R933" t="str">
        <f t="shared" si="218"/>
        <v>嘉实物美消费封闭式基础设施证券投资基金|玉蜓桥项目</v>
      </c>
      <c r="S933">
        <f>IF($A933="",0,IF(COUNTIF($R$2:$R933,$R933)=1,1,0))</f>
        <v>0</v>
      </c>
      <c r="T933">
        <f t="shared" si="219"/>
        <v>904</v>
      </c>
      <c r="U933" t="str">
        <f>IF($A933="","",IF($A933=经营数据!$B$3,COUNTIFS($S$2:$S$3000,1,$A$2:$A$3000,$A933,$T$2:$T$3000,"&lt;"&amp;$T933)+1,""))</f>
        <v/>
      </c>
      <c r="V933" t="str">
        <f t="shared" si="220"/>
        <v>玉蜓桥项目|服务价格</v>
      </c>
      <c r="W933">
        <f t="shared" si="221"/>
        <v>908</v>
      </c>
      <c r="X933" t="str">
        <f t="shared" si="222"/>
        <v>玉蜓桥项目|期内租金单价水平</v>
      </c>
      <c r="Y933">
        <f t="shared" si="223"/>
        <v>908</v>
      </c>
      <c r="Z933">
        <f>IF($A933="",0,IF(AND($M933=1,$A933=经营数据!$B$3,$J933=经营数据!$BA$5,OR($I933=经营数据!$BA$4,COUNTIF(经营数据!$AA$9:$AA$38,$I933)&gt;0)),1,0))</f>
        <v>0</v>
      </c>
      <c r="AA933" t="str">
        <f t="shared" si="224"/>
        <v/>
      </c>
      <c r="AB933" t="str">
        <f t="shared" si="225"/>
        <v/>
      </c>
      <c r="AC933">
        <f>IF($A933="",0,IF(COUNTIF($A$2:$A933,$A933)=1,1,0))</f>
        <v>0</v>
      </c>
      <c r="AD933">
        <f t="shared" si="226"/>
        <v>8</v>
      </c>
      <c r="AE933" t="str">
        <f t="shared" si="227"/>
        <v>玉蜓桥项目|期内租金单价水平（元/平方米/天）</v>
      </c>
    </row>
    <row r="934" spans="1:31" x14ac:dyDescent="0.4">
      <c r="A934" t="str">
        <f>IF(原始经营数据!$D935="","",原始经营数据!$D935)</f>
        <v>嘉实物美消费封闭式基础设施证券投资基金</v>
      </c>
      <c r="B934" t="str">
        <f>IF(原始经营数据!$D935="","",T(原始经营数据!$E935))</f>
        <v>玉蜓桥项目</v>
      </c>
      <c r="C934" t="str">
        <f>IF(原始经营数据!$D935="","",原始经营数据!$F935)</f>
        <v>2025Q1</v>
      </c>
      <c r="D934" t="str">
        <f>IF(原始经营数据!$D935="","",原始经营数据!$H935)</f>
        <v>期末剩余租期情况</v>
      </c>
      <c r="E934">
        <f>IF(原始经营数据!$D935="","",原始经营数据!$I935)</f>
        <v>6.78</v>
      </c>
      <c r="F934" t="str">
        <f>IF(原始经营数据!$D935="","",T(原始经营数据!$J935))</f>
        <v>年</v>
      </c>
      <c r="G934" t="str">
        <f>IF(原始经营数据!$D935="","",T(原始经营数据!$K935))</f>
        <v/>
      </c>
      <c r="H934" t="str">
        <f>IF(原始经营数据!$D935="","",原始经营数据!$G935)</f>
        <v>服务量</v>
      </c>
      <c r="I934" t="str">
        <f>IF($A934="","",IF($B934&lt;&gt;"",$B934,IF(COUNTIFS(原始经营数据!$D$3:$D$3001,$A934,原始经营数据!$E$3:$E$3001,"",原始经营数据!$F$3:$F$3001,$C934,原始经营数据!$H$3:$H$3001,$D934,原始经营数据!$K$3:$K$3001,$G934)&gt;1,"基金整体·来源"&amp;原始经营数据!$A935,"基金整体")))</f>
        <v>玉蜓桥项目</v>
      </c>
      <c r="J934" t="str">
        <f t="shared" si="213"/>
        <v>季度</v>
      </c>
      <c r="K934" t="str">
        <f t="shared" si="214"/>
        <v>期末剩余租期情况（年）</v>
      </c>
      <c r="L934" t="str">
        <f t="shared" si="215"/>
        <v>玉蜓桥项目|期末剩余租期情况（年）|季度</v>
      </c>
      <c r="M934">
        <f>IF($A934="",0,IF(COUNTIF($L$2:$L934,$L934)=1,1,0))</f>
        <v>0</v>
      </c>
      <c r="N934">
        <f t="shared" si="216"/>
        <v>20251</v>
      </c>
      <c r="O934" t="str">
        <f t="shared" si="217"/>
        <v>嘉实物美消费封闭式基础设施证券投资基金|2025Q1|季度</v>
      </c>
      <c r="P934">
        <f>IF($A934="",0,IF(COUNTIF($O$2:$O934,$O934)=1,1,0))</f>
        <v>0</v>
      </c>
      <c r="Q934" t="str">
        <f>IF(AND($P934=1,$A934=经营数据!$B$3,$J934=经营数据!$BA$5),COUNTIFS($P$2:$P$3000,1,$A$2:$A$3000,$A934,$J$2:$J$3000,$J934,$N$2:$N$3000,"&lt;"&amp;$N934)+1,"")</f>
        <v/>
      </c>
      <c r="R934" t="str">
        <f t="shared" si="218"/>
        <v>嘉实物美消费封闭式基础设施证券投资基金|玉蜓桥项目</v>
      </c>
      <c r="S934">
        <f>IF($A934="",0,IF(COUNTIF($R$2:$R934,$R934)=1,1,0))</f>
        <v>0</v>
      </c>
      <c r="T934">
        <f t="shared" si="219"/>
        <v>904</v>
      </c>
      <c r="U934" t="str">
        <f>IF($A934="","",IF($A934=经营数据!$B$3,COUNTIFS($S$2:$S$3000,1,$A$2:$A$3000,$A934,$T$2:$T$3000,"&lt;"&amp;$T934)+1,""))</f>
        <v/>
      </c>
      <c r="V934" t="str">
        <f t="shared" si="220"/>
        <v>玉蜓桥项目|服务量</v>
      </c>
      <c r="W934">
        <f t="shared" si="221"/>
        <v>904</v>
      </c>
      <c r="X934" t="str">
        <f t="shared" si="222"/>
        <v>玉蜓桥项目|期末剩余租期情况</v>
      </c>
      <c r="Y934">
        <f t="shared" si="223"/>
        <v>909</v>
      </c>
      <c r="Z934">
        <f>IF($A934="",0,IF(AND($M934=1,$A934=经营数据!$B$3,$J934=经营数据!$BA$5,OR($I934=经营数据!$BA$4,COUNTIF(经营数据!$AA$9:$AA$38,$I934)&gt;0)),1,0))</f>
        <v>0</v>
      </c>
      <c r="AA934" t="str">
        <f t="shared" si="224"/>
        <v/>
      </c>
      <c r="AB934" t="str">
        <f t="shared" si="225"/>
        <v/>
      </c>
      <c r="AC934">
        <f>IF($A934="",0,IF(COUNTIF($A$2:$A934,$A934)=1,1,0))</f>
        <v>0</v>
      </c>
      <c r="AD934">
        <f t="shared" si="226"/>
        <v>8</v>
      </c>
      <c r="AE934" t="str">
        <f t="shared" si="227"/>
        <v>玉蜓桥项目|期末剩余租期情况（年）</v>
      </c>
    </row>
    <row r="935" spans="1:31" x14ac:dyDescent="0.4">
      <c r="A935" t="str">
        <f>IF(原始经营数据!$D936="","",原始经营数据!$D936)</f>
        <v>嘉实物美消费封闭式基础设施证券投资基金</v>
      </c>
      <c r="B935" t="str">
        <f>IF(原始经营数据!$D936="","",T(原始经营数据!$E936))</f>
        <v>玉蜓桥项目</v>
      </c>
      <c r="C935" t="str">
        <f>IF(原始经营数据!$D936="","",原始经营数据!$F936)</f>
        <v>2025Q2</v>
      </c>
      <c r="D935" t="str">
        <f>IF(原始经营数据!$D936="","",原始经营数据!$H936)</f>
        <v>期末实际出租面积</v>
      </c>
      <c r="E935">
        <f>IF(原始经营数据!$D936="","",原始经营数据!$I936)</f>
        <v>24540.85</v>
      </c>
      <c r="F935" t="str">
        <f>IF(原始经营数据!$D936="","",T(原始经营数据!$J936))</f>
        <v>平方米</v>
      </c>
      <c r="G935" t="str">
        <f>IF(原始经营数据!$D936="","",T(原始经营数据!$K936))</f>
        <v/>
      </c>
      <c r="H935" t="str">
        <f>IF(原始经营数据!$D936="","",原始经营数据!$G936)</f>
        <v>服务量</v>
      </c>
      <c r="I935" t="str">
        <f>IF($A935="","",IF($B935&lt;&gt;"",$B935,IF(COUNTIFS(原始经营数据!$D$3:$D$3001,$A935,原始经营数据!$E$3:$E$3001,"",原始经营数据!$F$3:$F$3001,$C935,原始经营数据!$H$3:$H$3001,$D935,原始经营数据!$K$3:$K$3001,$G935)&gt;1,"基金整体·来源"&amp;原始经营数据!$A936,"基金整体")))</f>
        <v>玉蜓桥项目</v>
      </c>
      <c r="J935" t="str">
        <f t="shared" si="213"/>
        <v>季度</v>
      </c>
      <c r="K935" t="str">
        <f t="shared" si="214"/>
        <v>期末实际出租面积（平方米）</v>
      </c>
      <c r="L935" t="str">
        <f t="shared" si="215"/>
        <v>玉蜓桥项目|期末实际出租面积（平方米）|季度</v>
      </c>
      <c r="M935">
        <f>IF($A935="",0,IF(COUNTIF($L$2:$L935,$L935)=1,1,0))</f>
        <v>0</v>
      </c>
      <c r="N935">
        <f t="shared" si="216"/>
        <v>20252</v>
      </c>
      <c r="O935" t="str">
        <f t="shared" si="217"/>
        <v>嘉实物美消费封闭式基础设施证券投资基金|2025Q2|季度</v>
      </c>
      <c r="P935">
        <f>IF($A935="",0,IF(COUNTIF($O$2:$O935,$O935)=1,1,0))</f>
        <v>0</v>
      </c>
      <c r="Q935" t="str">
        <f>IF(AND($P935=1,$A935=经营数据!$B$3,$J935=经营数据!$BA$5),COUNTIFS($P$2:$P$3000,1,$A$2:$A$3000,$A935,$J$2:$J$3000,$J935,$N$2:$N$3000,"&lt;"&amp;$N935)+1,"")</f>
        <v/>
      </c>
      <c r="R935" t="str">
        <f t="shared" si="218"/>
        <v>嘉实物美消费封闭式基础设施证券投资基金|玉蜓桥项目</v>
      </c>
      <c r="S935">
        <f>IF($A935="",0,IF(COUNTIF($R$2:$R935,$R935)=1,1,0))</f>
        <v>0</v>
      </c>
      <c r="T935">
        <f t="shared" si="219"/>
        <v>904</v>
      </c>
      <c r="U935" t="str">
        <f>IF($A935="","",IF($A935=经营数据!$B$3,COUNTIFS($S$2:$S$3000,1,$A$2:$A$3000,$A935,$T$2:$T$3000,"&lt;"&amp;$T935)+1,""))</f>
        <v/>
      </c>
      <c r="V935" t="str">
        <f t="shared" si="220"/>
        <v>玉蜓桥项目|服务量</v>
      </c>
      <c r="W935">
        <f t="shared" si="221"/>
        <v>904</v>
      </c>
      <c r="X935" t="str">
        <f t="shared" si="222"/>
        <v>玉蜓桥项目|期末实际出租面积</v>
      </c>
      <c r="Y935">
        <f t="shared" si="223"/>
        <v>905</v>
      </c>
      <c r="Z935">
        <f>IF($A935="",0,IF(AND($M935=1,$A935=经营数据!$B$3,$J935=经营数据!$BA$5,OR($I935=经营数据!$BA$4,COUNTIF(经营数据!$AA$9:$AA$38,$I935)&gt;0)),1,0))</f>
        <v>0</v>
      </c>
      <c r="AA935" t="str">
        <f t="shared" si="224"/>
        <v/>
      </c>
      <c r="AB935" t="str">
        <f t="shared" si="225"/>
        <v/>
      </c>
      <c r="AC935">
        <f>IF($A935="",0,IF(COUNTIF($A$2:$A935,$A935)=1,1,0))</f>
        <v>0</v>
      </c>
      <c r="AD935">
        <f t="shared" si="226"/>
        <v>8</v>
      </c>
      <c r="AE935" t="str">
        <f t="shared" si="227"/>
        <v>玉蜓桥项目|期末实际出租面积（平方米）</v>
      </c>
    </row>
    <row r="936" spans="1:31" x14ac:dyDescent="0.4">
      <c r="A936" t="str">
        <f>IF(原始经营数据!$D937="","",原始经营数据!$D937)</f>
        <v>嘉实物美消费封闭式基础设施证券投资基金</v>
      </c>
      <c r="B936" t="str">
        <f>IF(原始经营数据!$D937="","",T(原始经营数据!$E937))</f>
        <v>玉蜓桥项目</v>
      </c>
      <c r="C936" t="str">
        <f>IF(原始经营数据!$D937="","",原始经营数据!$F937)</f>
        <v>2025Q2</v>
      </c>
      <c r="D936" t="str">
        <f>IF(原始经营数据!$D937="","",原始经营数据!$H937)</f>
        <v>期末出租率</v>
      </c>
      <c r="E936">
        <f>IF(原始经营数据!$D937="","",原始经营数据!$I937)</f>
        <v>98.79</v>
      </c>
      <c r="F936" t="str">
        <f>IF(原始经营数据!$D937="","",T(原始经营数据!$J937))</f>
        <v>%</v>
      </c>
      <c r="G936" t="str">
        <f>IF(原始经营数据!$D937="","",T(原始经营数据!$K937))</f>
        <v/>
      </c>
      <c r="H936" t="str">
        <f>IF(原始经营数据!$D937="","",原始经营数据!$G937)</f>
        <v>服务效率</v>
      </c>
      <c r="I936" t="str">
        <f>IF($A936="","",IF($B936&lt;&gt;"",$B936,IF(COUNTIFS(原始经营数据!$D$3:$D$3001,$A936,原始经营数据!$E$3:$E$3001,"",原始经营数据!$F$3:$F$3001,$C936,原始经营数据!$H$3:$H$3001,$D936,原始经营数据!$K$3:$K$3001,$G936)&gt;1,"基金整体·来源"&amp;原始经营数据!$A937,"基金整体")))</f>
        <v>玉蜓桥项目</v>
      </c>
      <c r="J936" t="str">
        <f t="shared" si="213"/>
        <v>季度</v>
      </c>
      <c r="K936" t="str">
        <f t="shared" si="214"/>
        <v>期末出租率（%）</v>
      </c>
      <c r="L936" t="str">
        <f t="shared" si="215"/>
        <v>玉蜓桥项目|期末出租率（%）|季度</v>
      </c>
      <c r="M936">
        <f>IF($A936="",0,IF(COUNTIF($L$2:$L936,$L936)=1,1,0))</f>
        <v>0</v>
      </c>
      <c r="N936">
        <f t="shared" si="216"/>
        <v>20252</v>
      </c>
      <c r="O936" t="str">
        <f t="shared" si="217"/>
        <v>嘉实物美消费封闭式基础设施证券投资基金|2025Q2|季度</v>
      </c>
      <c r="P936">
        <f>IF($A936="",0,IF(COUNTIF($O$2:$O936,$O936)=1,1,0))</f>
        <v>0</v>
      </c>
      <c r="Q936" t="str">
        <f>IF(AND($P936=1,$A936=经营数据!$B$3,$J936=经营数据!$BA$5),COUNTIFS($P$2:$P$3000,1,$A$2:$A$3000,$A936,$J$2:$J$3000,$J936,$N$2:$N$3000,"&lt;"&amp;$N936)+1,"")</f>
        <v/>
      </c>
      <c r="R936" t="str">
        <f t="shared" si="218"/>
        <v>嘉实物美消费封闭式基础设施证券投资基金|玉蜓桥项目</v>
      </c>
      <c r="S936">
        <f>IF($A936="",0,IF(COUNTIF($R$2:$R936,$R936)=1,1,0))</f>
        <v>0</v>
      </c>
      <c r="T936">
        <f t="shared" si="219"/>
        <v>904</v>
      </c>
      <c r="U936" t="str">
        <f>IF($A936="","",IF($A936=经营数据!$B$3,COUNTIFS($S$2:$S$3000,1,$A$2:$A$3000,$A936,$T$2:$T$3000,"&lt;"&amp;$T936)+1,""))</f>
        <v/>
      </c>
      <c r="V936" t="str">
        <f t="shared" si="220"/>
        <v>玉蜓桥项目|服务效率</v>
      </c>
      <c r="W936">
        <f t="shared" si="221"/>
        <v>906</v>
      </c>
      <c r="X936" t="str">
        <f t="shared" si="222"/>
        <v>玉蜓桥项目|期末出租率</v>
      </c>
      <c r="Y936">
        <f t="shared" si="223"/>
        <v>906</v>
      </c>
      <c r="Z936">
        <f>IF($A936="",0,IF(AND($M936=1,$A936=经营数据!$B$3,$J936=经营数据!$BA$5,OR($I936=经营数据!$BA$4,COUNTIF(经营数据!$AA$9:$AA$38,$I936)&gt;0)),1,0))</f>
        <v>0</v>
      </c>
      <c r="AA936" t="str">
        <f t="shared" si="224"/>
        <v/>
      </c>
      <c r="AB936" t="str">
        <f t="shared" si="225"/>
        <v/>
      </c>
      <c r="AC936">
        <f>IF($A936="",0,IF(COUNTIF($A$2:$A936,$A936)=1,1,0))</f>
        <v>0</v>
      </c>
      <c r="AD936">
        <f t="shared" si="226"/>
        <v>8</v>
      </c>
      <c r="AE936" t="str">
        <f t="shared" si="227"/>
        <v>玉蜓桥项目|期末出租率（%）</v>
      </c>
    </row>
    <row r="937" spans="1:31" x14ac:dyDescent="0.4">
      <c r="A937" t="str">
        <f>IF(原始经营数据!$D938="","",原始经营数据!$D938)</f>
        <v>嘉实物美消费封闭式基础设施证券投资基金</v>
      </c>
      <c r="B937" t="str">
        <f>IF(原始经营数据!$D938="","",T(原始经营数据!$E938))</f>
        <v>玉蜓桥项目</v>
      </c>
      <c r="C937" t="str">
        <f>IF(原始经营数据!$D938="","",原始经营数据!$F938)</f>
        <v>2025Q2</v>
      </c>
      <c r="D937" t="str">
        <f>IF(原始经营数据!$D938="","",原始经营数据!$H938)</f>
        <v>期内租金单价水平</v>
      </c>
      <c r="E937">
        <f>IF(原始经营数据!$D938="","",原始经营数据!$I938)</f>
        <v>4.8499999999999996</v>
      </c>
      <c r="F937" t="str">
        <f>IF(原始经营数据!$D938="","",T(原始经营数据!$J938))</f>
        <v>元/平方米/天</v>
      </c>
      <c r="G937" t="str">
        <f>IF(原始经营数据!$D938="","",T(原始经营数据!$K938))</f>
        <v/>
      </c>
      <c r="H937" t="str">
        <f>IF(原始经营数据!$D938="","",原始经营数据!$G938)</f>
        <v>服务价格</v>
      </c>
      <c r="I937" t="str">
        <f>IF($A937="","",IF($B937&lt;&gt;"",$B937,IF(COUNTIFS(原始经营数据!$D$3:$D$3001,$A937,原始经营数据!$E$3:$E$3001,"",原始经营数据!$F$3:$F$3001,$C937,原始经营数据!$H$3:$H$3001,$D937,原始经营数据!$K$3:$K$3001,$G937)&gt;1,"基金整体·来源"&amp;原始经营数据!$A938,"基金整体")))</f>
        <v>玉蜓桥项目</v>
      </c>
      <c r="J937" t="str">
        <f t="shared" si="213"/>
        <v>季度</v>
      </c>
      <c r="K937" t="str">
        <f t="shared" si="214"/>
        <v>期内租金单价水平（元/平方米/天）</v>
      </c>
      <c r="L937" t="str">
        <f t="shared" si="215"/>
        <v>玉蜓桥项目|期内租金单价水平（元/平方米/天）|季度</v>
      </c>
      <c r="M937">
        <f>IF($A937="",0,IF(COUNTIF($L$2:$L937,$L937)=1,1,0))</f>
        <v>0</v>
      </c>
      <c r="N937">
        <f t="shared" si="216"/>
        <v>20252</v>
      </c>
      <c r="O937" t="str">
        <f t="shared" si="217"/>
        <v>嘉实物美消费封闭式基础设施证券投资基金|2025Q2|季度</v>
      </c>
      <c r="P937">
        <f>IF($A937="",0,IF(COUNTIF($O$2:$O937,$O937)=1,1,0))</f>
        <v>0</v>
      </c>
      <c r="Q937" t="str">
        <f>IF(AND($P937=1,$A937=经营数据!$B$3,$J937=经营数据!$BA$5),COUNTIFS($P$2:$P$3000,1,$A$2:$A$3000,$A937,$J$2:$J$3000,$J937,$N$2:$N$3000,"&lt;"&amp;$N937)+1,"")</f>
        <v/>
      </c>
      <c r="R937" t="str">
        <f t="shared" si="218"/>
        <v>嘉实物美消费封闭式基础设施证券投资基金|玉蜓桥项目</v>
      </c>
      <c r="S937">
        <f>IF($A937="",0,IF(COUNTIF($R$2:$R937,$R937)=1,1,0))</f>
        <v>0</v>
      </c>
      <c r="T937">
        <f t="shared" si="219"/>
        <v>904</v>
      </c>
      <c r="U937" t="str">
        <f>IF($A937="","",IF($A937=经营数据!$B$3,COUNTIFS($S$2:$S$3000,1,$A$2:$A$3000,$A937,$T$2:$T$3000,"&lt;"&amp;$T937)+1,""))</f>
        <v/>
      </c>
      <c r="V937" t="str">
        <f t="shared" si="220"/>
        <v>玉蜓桥项目|服务价格</v>
      </c>
      <c r="W937">
        <f t="shared" si="221"/>
        <v>908</v>
      </c>
      <c r="X937" t="str">
        <f t="shared" si="222"/>
        <v>玉蜓桥项目|期内租金单价水平</v>
      </c>
      <c r="Y937">
        <f t="shared" si="223"/>
        <v>908</v>
      </c>
      <c r="Z937">
        <f>IF($A937="",0,IF(AND($M937=1,$A937=经营数据!$B$3,$J937=经营数据!$BA$5,OR($I937=经营数据!$BA$4,COUNTIF(经营数据!$AA$9:$AA$38,$I937)&gt;0)),1,0))</f>
        <v>0</v>
      </c>
      <c r="AA937" t="str">
        <f t="shared" si="224"/>
        <v/>
      </c>
      <c r="AB937" t="str">
        <f t="shared" si="225"/>
        <v/>
      </c>
      <c r="AC937">
        <f>IF($A937="",0,IF(COUNTIF($A$2:$A937,$A937)=1,1,0))</f>
        <v>0</v>
      </c>
      <c r="AD937">
        <f t="shared" si="226"/>
        <v>8</v>
      </c>
      <c r="AE937" t="str">
        <f t="shared" si="227"/>
        <v>玉蜓桥项目|期内租金单价水平（元/平方米/天）</v>
      </c>
    </row>
    <row r="938" spans="1:31" x14ac:dyDescent="0.4">
      <c r="A938" t="str">
        <f>IF(原始经营数据!$D939="","",原始经营数据!$D939)</f>
        <v>嘉实物美消费封闭式基础设施证券投资基金</v>
      </c>
      <c r="B938" t="str">
        <f>IF(原始经营数据!$D939="","",T(原始经营数据!$E939))</f>
        <v>玉蜓桥项目</v>
      </c>
      <c r="C938" t="str">
        <f>IF(原始经营数据!$D939="","",原始经营数据!$F939)</f>
        <v>2025Q2</v>
      </c>
      <c r="D938" t="str">
        <f>IF(原始经营数据!$D939="","",原始经营数据!$H939)</f>
        <v>期末剩余租期情况</v>
      </c>
      <c r="E938">
        <f>IF(原始经营数据!$D939="","",原始经营数据!$I939)</f>
        <v>6.67</v>
      </c>
      <c r="F938" t="str">
        <f>IF(原始经营数据!$D939="","",T(原始经营数据!$J939))</f>
        <v>年</v>
      </c>
      <c r="G938" t="str">
        <f>IF(原始经营数据!$D939="","",T(原始经营数据!$K939))</f>
        <v/>
      </c>
      <c r="H938" t="str">
        <f>IF(原始经营数据!$D939="","",原始经营数据!$G939)</f>
        <v>服务量</v>
      </c>
      <c r="I938" t="str">
        <f>IF($A938="","",IF($B938&lt;&gt;"",$B938,IF(COUNTIFS(原始经营数据!$D$3:$D$3001,$A938,原始经营数据!$E$3:$E$3001,"",原始经营数据!$F$3:$F$3001,$C938,原始经营数据!$H$3:$H$3001,$D938,原始经营数据!$K$3:$K$3001,$G938)&gt;1,"基金整体·来源"&amp;原始经营数据!$A939,"基金整体")))</f>
        <v>玉蜓桥项目</v>
      </c>
      <c r="J938" t="str">
        <f t="shared" si="213"/>
        <v>季度</v>
      </c>
      <c r="K938" t="str">
        <f t="shared" si="214"/>
        <v>期末剩余租期情况（年）</v>
      </c>
      <c r="L938" t="str">
        <f t="shared" si="215"/>
        <v>玉蜓桥项目|期末剩余租期情况（年）|季度</v>
      </c>
      <c r="M938">
        <f>IF($A938="",0,IF(COUNTIF($L$2:$L938,$L938)=1,1,0))</f>
        <v>0</v>
      </c>
      <c r="N938">
        <f t="shared" si="216"/>
        <v>20252</v>
      </c>
      <c r="O938" t="str">
        <f t="shared" si="217"/>
        <v>嘉实物美消费封闭式基础设施证券投资基金|2025Q2|季度</v>
      </c>
      <c r="P938">
        <f>IF($A938="",0,IF(COUNTIF($O$2:$O938,$O938)=1,1,0))</f>
        <v>0</v>
      </c>
      <c r="Q938" t="str">
        <f>IF(AND($P938=1,$A938=经营数据!$B$3,$J938=经营数据!$BA$5),COUNTIFS($P$2:$P$3000,1,$A$2:$A$3000,$A938,$J$2:$J$3000,$J938,$N$2:$N$3000,"&lt;"&amp;$N938)+1,"")</f>
        <v/>
      </c>
      <c r="R938" t="str">
        <f t="shared" si="218"/>
        <v>嘉实物美消费封闭式基础设施证券投资基金|玉蜓桥项目</v>
      </c>
      <c r="S938">
        <f>IF($A938="",0,IF(COUNTIF($R$2:$R938,$R938)=1,1,0))</f>
        <v>0</v>
      </c>
      <c r="T938">
        <f t="shared" si="219"/>
        <v>904</v>
      </c>
      <c r="U938" t="str">
        <f>IF($A938="","",IF($A938=经营数据!$B$3,COUNTIFS($S$2:$S$3000,1,$A$2:$A$3000,$A938,$T$2:$T$3000,"&lt;"&amp;$T938)+1,""))</f>
        <v/>
      </c>
      <c r="V938" t="str">
        <f t="shared" si="220"/>
        <v>玉蜓桥项目|服务量</v>
      </c>
      <c r="W938">
        <f t="shared" si="221"/>
        <v>904</v>
      </c>
      <c r="X938" t="str">
        <f t="shared" si="222"/>
        <v>玉蜓桥项目|期末剩余租期情况</v>
      </c>
      <c r="Y938">
        <f t="shared" si="223"/>
        <v>909</v>
      </c>
      <c r="Z938">
        <f>IF($A938="",0,IF(AND($M938=1,$A938=经营数据!$B$3,$J938=经营数据!$BA$5,OR($I938=经营数据!$BA$4,COUNTIF(经营数据!$AA$9:$AA$38,$I938)&gt;0)),1,0))</f>
        <v>0</v>
      </c>
      <c r="AA938" t="str">
        <f t="shared" si="224"/>
        <v/>
      </c>
      <c r="AB938" t="str">
        <f t="shared" si="225"/>
        <v/>
      </c>
      <c r="AC938">
        <f>IF($A938="",0,IF(COUNTIF($A$2:$A938,$A938)=1,1,0))</f>
        <v>0</v>
      </c>
      <c r="AD938">
        <f t="shared" si="226"/>
        <v>8</v>
      </c>
      <c r="AE938" t="str">
        <f t="shared" si="227"/>
        <v>玉蜓桥项目|期末剩余租期情况（年）</v>
      </c>
    </row>
    <row r="939" spans="1:31" x14ac:dyDescent="0.4">
      <c r="A939" t="str">
        <f>IF(原始经营数据!$D940="","",原始经营数据!$D940)</f>
        <v>嘉实物美消费封闭式基础设施证券投资基金</v>
      </c>
      <c r="B939" t="str">
        <f>IF(原始经营数据!$D940="","",T(原始经营数据!$E940))</f>
        <v>玉蜓桥项目</v>
      </c>
      <c r="C939" t="str">
        <f>IF(原始经营数据!$D940="","",原始经营数据!$F940)</f>
        <v>2025Q2</v>
      </c>
      <c r="D939" t="str">
        <f>IF(原始经营数据!$D940="","",原始经营数据!$H940)</f>
        <v>期末租金收缴率</v>
      </c>
      <c r="E939">
        <f>IF(原始经营数据!$D940="","",原始经营数据!$I940)</f>
        <v>99.97</v>
      </c>
      <c r="F939" t="str">
        <f>IF(原始经营数据!$D940="","",T(原始经营数据!$J940))</f>
        <v>%</v>
      </c>
      <c r="G939" t="str">
        <f>IF(原始经营数据!$D940="","",T(原始经营数据!$K940))</f>
        <v/>
      </c>
      <c r="H939" t="str">
        <f>IF(原始经营数据!$D940="","",原始经营数据!$G940)</f>
        <v>服务效率</v>
      </c>
      <c r="I939" t="str">
        <f>IF($A939="","",IF($B939&lt;&gt;"",$B939,IF(COUNTIFS(原始经营数据!$D$3:$D$3001,$A939,原始经营数据!$E$3:$E$3001,"",原始经营数据!$F$3:$F$3001,$C939,原始经营数据!$H$3:$H$3001,$D939,原始经营数据!$K$3:$K$3001,$G939)&gt;1,"基金整体·来源"&amp;原始经营数据!$A940,"基金整体")))</f>
        <v>玉蜓桥项目</v>
      </c>
      <c r="J939" t="str">
        <f t="shared" si="213"/>
        <v>季度</v>
      </c>
      <c r="K939" t="str">
        <f t="shared" si="214"/>
        <v>期末租金收缴率（%）</v>
      </c>
      <c r="L939" t="str">
        <f t="shared" si="215"/>
        <v>玉蜓桥项目|期末租金收缴率（%）|季度</v>
      </c>
      <c r="M939">
        <f>IF($A939="",0,IF(COUNTIF($L$2:$L939,$L939)=1,1,0))</f>
        <v>0</v>
      </c>
      <c r="N939">
        <f t="shared" si="216"/>
        <v>20252</v>
      </c>
      <c r="O939" t="str">
        <f t="shared" si="217"/>
        <v>嘉实物美消费封闭式基础设施证券投资基金|2025Q2|季度</v>
      </c>
      <c r="P939">
        <f>IF($A939="",0,IF(COUNTIF($O$2:$O939,$O939)=1,1,0))</f>
        <v>0</v>
      </c>
      <c r="Q939" t="str">
        <f>IF(AND($P939=1,$A939=经营数据!$B$3,$J939=经营数据!$BA$5),COUNTIFS($P$2:$P$3000,1,$A$2:$A$3000,$A939,$J$2:$J$3000,$J939,$N$2:$N$3000,"&lt;"&amp;$N939)+1,"")</f>
        <v/>
      </c>
      <c r="R939" t="str">
        <f t="shared" si="218"/>
        <v>嘉实物美消费封闭式基础设施证券投资基金|玉蜓桥项目</v>
      </c>
      <c r="S939">
        <f>IF($A939="",0,IF(COUNTIF($R$2:$R939,$R939)=1,1,0))</f>
        <v>0</v>
      </c>
      <c r="T939">
        <f t="shared" si="219"/>
        <v>904</v>
      </c>
      <c r="U939" t="str">
        <f>IF($A939="","",IF($A939=经营数据!$B$3,COUNTIFS($S$2:$S$3000,1,$A$2:$A$3000,$A939,$T$2:$T$3000,"&lt;"&amp;$T939)+1,""))</f>
        <v/>
      </c>
      <c r="V939" t="str">
        <f t="shared" si="220"/>
        <v>玉蜓桥项目|服务效率</v>
      </c>
      <c r="W939">
        <f t="shared" si="221"/>
        <v>906</v>
      </c>
      <c r="X939" t="str">
        <f t="shared" si="222"/>
        <v>玉蜓桥项目|期末租金收缴率</v>
      </c>
      <c r="Y939">
        <f t="shared" si="223"/>
        <v>907</v>
      </c>
      <c r="Z939">
        <f>IF($A939="",0,IF(AND($M939=1,$A939=经营数据!$B$3,$J939=经营数据!$BA$5,OR($I939=经营数据!$BA$4,COUNTIF(经营数据!$AA$9:$AA$38,$I939)&gt;0)),1,0))</f>
        <v>0</v>
      </c>
      <c r="AA939" t="str">
        <f t="shared" si="224"/>
        <v/>
      </c>
      <c r="AB939" t="str">
        <f t="shared" si="225"/>
        <v/>
      </c>
      <c r="AC939">
        <f>IF($A939="",0,IF(COUNTIF($A$2:$A939,$A939)=1,1,0))</f>
        <v>0</v>
      </c>
      <c r="AD939">
        <f t="shared" si="226"/>
        <v>8</v>
      </c>
      <c r="AE939" t="str">
        <f t="shared" si="227"/>
        <v>玉蜓桥项目|期末租金收缴率（%）</v>
      </c>
    </row>
    <row r="940" spans="1:31" x14ac:dyDescent="0.4">
      <c r="A940" t="str">
        <f>IF(原始经营数据!$D941="","",原始经营数据!$D941)</f>
        <v>嘉实物美消费封闭式基础设施证券投资基金</v>
      </c>
      <c r="B940" t="str">
        <f>IF(原始经营数据!$D941="","",T(原始经营数据!$E941))</f>
        <v>玉蜓桥项目</v>
      </c>
      <c r="C940" t="str">
        <f>IF(原始经营数据!$D941="","",原始经营数据!$F941)</f>
        <v>2025Q2</v>
      </c>
      <c r="D940" t="str">
        <f>IF(原始经营数据!$D941="","",原始经营数据!$H941)</f>
        <v>期末可供出租面积</v>
      </c>
      <c r="E940">
        <f>IF(原始经营数据!$D941="","",原始经营数据!$I941)</f>
        <v>24840.41</v>
      </c>
      <c r="F940" t="str">
        <f>IF(原始经营数据!$D941="","",T(原始经营数据!$J941))</f>
        <v>平方米</v>
      </c>
      <c r="G940" t="str">
        <f>IF(原始经营数据!$D941="","",T(原始经营数据!$K941))</f>
        <v/>
      </c>
      <c r="H940" t="str">
        <f>IF(原始经营数据!$D941="","",原始经营数据!$G941)</f>
        <v>服务量</v>
      </c>
      <c r="I940" t="str">
        <f>IF($A940="","",IF($B940&lt;&gt;"",$B940,IF(COUNTIFS(原始经营数据!$D$3:$D$3001,$A940,原始经营数据!$E$3:$E$3001,"",原始经营数据!$F$3:$F$3001,$C940,原始经营数据!$H$3:$H$3001,$D940,原始经营数据!$K$3:$K$3001,$G940)&gt;1,"基金整体·来源"&amp;原始经营数据!$A941,"基金整体")))</f>
        <v>玉蜓桥项目</v>
      </c>
      <c r="J940" t="str">
        <f t="shared" si="213"/>
        <v>季度</v>
      </c>
      <c r="K940" t="str">
        <f t="shared" si="214"/>
        <v>期末可供出租面积（平方米）</v>
      </c>
      <c r="L940" t="str">
        <f t="shared" si="215"/>
        <v>玉蜓桥项目|期末可供出租面积（平方米）|季度</v>
      </c>
      <c r="M940">
        <f>IF($A940="",0,IF(COUNTIF($L$2:$L940,$L940)=1,1,0))</f>
        <v>0</v>
      </c>
      <c r="N940">
        <f t="shared" si="216"/>
        <v>20252</v>
      </c>
      <c r="O940" t="str">
        <f t="shared" si="217"/>
        <v>嘉实物美消费封闭式基础设施证券投资基金|2025Q2|季度</v>
      </c>
      <c r="P940">
        <f>IF($A940="",0,IF(COUNTIF($O$2:$O940,$O940)=1,1,0))</f>
        <v>0</v>
      </c>
      <c r="Q940" t="str">
        <f>IF(AND($P940=1,$A940=经营数据!$B$3,$J940=经营数据!$BA$5),COUNTIFS($P$2:$P$3000,1,$A$2:$A$3000,$A940,$J$2:$J$3000,$J940,$N$2:$N$3000,"&lt;"&amp;$N940)+1,"")</f>
        <v/>
      </c>
      <c r="R940" t="str">
        <f t="shared" si="218"/>
        <v>嘉实物美消费封闭式基础设施证券投资基金|玉蜓桥项目</v>
      </c>
      <c r="S940">
        <f>IF($A940="",0,IF(COUNTIF($R$2:$R940,$R940)=1,1,0))</f>
        <v>0</v>
      </c>
      <c r="T940">
        <f t="shared" si="219"/>
        <v>904</v>
      </c>
      <c r="U940" t="str">
        <f>IF($A940="","",IF($A940=经营数据!$B$3,COUNTIFS($S$2:$S$3000,1,$A$2:$A$3000,$A940,$T$2:$T$3000,"&lt;"&amp;$T940)+1,""))</f>
        <v/>
      </c>
      <c r="V940" t="str">
        <f t="shared" si="220"/>
        <v>玉蜓桥项目|服务量</v>
      </c>
      <c r="W940">
        <f t="shared" si="221"/>
        <v>904</v>
      </c>
      <c r="X940" t="str">
        <f t="shared" si="222"/>
        <v>玉蜓桥项目|期末可供出租面积</v>
      </c>
      <c r="Y940">
        <f t="shared" si="223"/>
        <v>904</v>
      </c>
      <c r="Z940">
        <f>IF($A940="",0,IF(AND($M940=1,$A940=经营数据!$B$3,$J940=经营数据!$BA$5,OR($I940=经营数据!$BA$4,COUNTIF(经营数据!$AA$9:$AA$38,$I940)&gt;0)),1,0))</f>
        <v>0</v>
      </c>
      <c r="AA940" t="str">
        <f t="shared" si="224"/>
        <v/>
      </c>
      <c r="AB940" t="str">
        <f t="shared" si="225"/>
        <v/>
      </c>
      <c r="AC940">
        <f>IF($A940="",0,IF(COUNTIF($A$2:$A940,$A940)=1,1,0))</f>
        <v>0</v>
      </c>
      <c r="AD940">
        <f t="shared" si="226"/>
        <v>8</v>
      </c>
      <c r="AE940" t="str">
        <f t="shared" si="227"/>
        <v>玉蜓桥项目|期末可供出租面积（平方米）</v>
      </c>
    </row>
    <row r="941" spans="1:31" x14ac:dyDescent="0.4">
      <c r="A941" t="str">
        <f>IF(原始经营数据!$D942="","",原始经营数据!$D942)</f>
        <v>嘉实物美消费封闭式基础设施证券投资基金</v>
      </c>
      <c r="B941" t="str">
        <f>IF(原始经营数据!$D942="","",T(原始经营数据!$E942))</f>
        <v>玉蜓桥项目</v>
      </c>
      <c r="C941" t="str">
        <f>IF(原始经营数据!$D942="","",原始经营数据!$F942)</f>
        <v>2025Q3</v>
      </c>
      <c r="D941" t="str">
        <f>IF(原始经营数据!$D942="","",原始经营数据!$H942)</f>
        <v>期末租金收缴率</v>
      </c>
      <c r="E941">
        <f>IF(原始经营数据!$D942="","",原始经营数据!$I942)</f>
        <v>99.91</v>
      </c>
      <c r="F941" t="str">
        <f>IF(原始经营数据!$D942="","",T(原始经营数据!$J942))</f>
        <v>%</v>
      </c>
      <c r="G941" t="str">
        <f>IF(原始经营数据!$D942="","",T(原始经营数据!$K942))</f>
        <v/>
      </c>
      <c r="H941" t="str">
        <f>IF(原始经营数据!$D942="","",原始经营数据!$G942)</f>
        <v>服务效率</v>
      </c>
      <c r="I941" t="str">
        <f>IF($A941="","",IF($B941&lt;&gt;"",$B941,IF(COUNTIFS(原始经营数据!$D$3:$D$3001,$A941,原始经营数据!$E$3:$E$3001,"",原始经营数据!$F$3:$F$3001,$C941,原始经营数据!$H$3:$H$3001,$D941,原始经营数据!$K$3:$K$3001,$G941)&gt;1,"基金整体·来源"&amp;原始经营数据!$A942,"基金整体")))</f>
        <v>玉蜓桥项目</v>
      </c>
      <c r="J941" t="str">
        <f t="shared" si="213"/>
        <v>季度</v>
      </c>
      <c r="K941" t="str">
        <f t="shared" si="214"/>
        <v>期末租金收缴率（%）</v>
      </c>
      <c r="L941" t="str">
        <f t="shared" si="215"/>
        <v>玉蜓桥项目|期末租金收缴率（%）|季度</v>
      </c>
      <c r="M941">
        <f>IF($A941="",0,IF(COUNTIF($L$2:$L941,$L941)=1,1,0))</f>
        <v>0</v>
      </c>
      <c r="N941">
        <f t="shared" si="216"/>
        <v>20253</v>
      </c>
      <c r="O941" t="str">
        <f t="shared" si="217"/>
        <v>嘉实物美消费封闭式基础设施证券投资基金|2025Q3|季度</v>
      </c>
      <c r="P941">
        <f>IF($A941="",0,IF(COUNTIF($O$2:$O941,$O941)=1,1,0))</f>
        <v>0</v>
      </c>
      <c r="Q941" t="str">
        <f>IF(AND($P941=1,$A941=经营数据!$B$3,$J941=经营数据!$BA$5),COUNTIFS($P$2:$P$3000,1,$A$2:$A$3000,$A941,$J$2:$J$3000,$J941,$N$2:$N$3000,"&lt;"&amp;$N941)+1,"")</f>
        <v/>
      </c>
      <c r="R941" t="str">
        <f t="shared" si="218"/>
        <v>嘉实物美消费封闭式基础设施证券投资基金|玉蜓桥项目</v>
      </c>
      <c r="S941">
        <f>IF($A941="",0,IF(COUNTIF($R$2:$R941,$R941)=1,1,0))</f>
        <v>0</v>
      </c>
      <c r="T941">
        <f t="shared" si="219"/>
        <v>904</v>
      </c>
      <c r="U941" t="str">
        <f>IF($A941="","",IF($A941=经营数据!$B$3,COUNTIFS($S$2:$S$3000,1,$A$2:$A$3000,$A941,$T$2:$T$3000,"&lt;"&amp;$T941)+1,""))</f>
        <v/>
      </c>
      <c r="V941" t="str">
        <f t="shared" si="220"/>
        <v>玉蜓桥项目|服务效率</v>
      </c>
      <c r="W941">
        <f t="shared" si="221"/>
        <v>906</v>
      </c>
      <c r="X941" t="str">
        <f t="shared" si="222"/>
        <v>玉蜓桥项目|期末租金收缴率</v>
      </c>
      <c r="Y941">
        <f t="shared" si="223"/>
        <v>907</v>
      </c>
      <c r="Z941">
        <f>IF($A941="",0,IF(AND($M941=1,$A941=经营数据!$B$3,$J941=经营数据!$BA$5,OR($I941=经营数据!$BA$4,COUNTIF(经营数据!$AA$9:$AA$38,$I941)&gt;0)),1,0))</f>
        <v>0</v>
      </c>
      <c r="AA941" t="str">
        <f t="shared" si="224"/>
        <v/>
      </c>
      <c r="AB941" t="str">
        <f t="shared" si="225"/>
        <v/>
      </c>
      <c r="AC941">
        <f>IF($A941="",0,IF(COUNTIF($A$2:$A941,$A941)=1,1,0))</f>
        <v>0</v>
      </c>
      <c r="AD941">
        <f t="shared" si="226"/>
        <v>8</v>
      </c>
      <c r="AE941" t="str">
        <f t="shared" si="227"/>
        <v>玉蜓桥项目|期末租金收缴率（%）</v>
      </c>
    </row>
    <row r="942" spans="1:31" x14ac:dyDescent="0.4">
      <c r="A942" t="str">
        <f>IF(原始经营数据!$D943="","",原始经营数据!$D943)</f>
        <v>嘉实物美消费封闭式基础设施证券投资基金</v>
      </c>
      <c r="B942" t="str">
        <f>IF(原始经营数据!$D943="","",T(原始经营数据!$E943))</f>
        <v>玉蜓桥项目</v>
      </c>
      <c r="C942" t="str">
        <f>IF(原始经营数据!$D943="","",原始经营数据!$F943)</f>
        <v>2025Q3</v>
      </c>
      <c r="D942" t="str">
        <f>IF(原始经营数据!$D943="","",原始经营数据!$H943)</f>
        <v>期末剩余租期情况</v>
      </c>
      <c r="E942">
        <f>IF(原始经营数据!$D943="","",原始经营数据!$I943)</f>
        <v>6.45</v>
      </c>
      <c r="F942" t="str">
        <f>IF(原始经营数据!$D943="","",T(原始经营数据!$J943))</f>
        <v>年</v>
      </c>
      <c r="G942" t="str">
        <f>IF(原始经营数据!$D943="","",T(原始经营数据!$K943))</f>
        <v/>
      </c>
      <c r="H942" t="str">
        <f>IF(原始经营数据!$D943="","",原始经营数据!$G943)</f>
        <v>服务量</v>
      </c>
      <c r="I942" t="str">
        <f>IF($A942="","",IF($B942&lt;&gt;"",$B942,IF(COUNTIFS(原始经营数据!$D$3:$D$3001,$A942,原始经营数据!$E$3:$E$3001,"",原始经营数据!$F$3:$F$3001,$C942,原始经营数据!$H$3:$H$3001,$D942,原始经营数据!$K$3:$K$3001,$G942)&gt;1,"基金整体·来源"&amp;原始经营数据!$A943,"基金整体")))</f>
        <v>玉蜓桥项目</v>
      </c>
      <c r="J942" t="str">
        <f t="shared" si="213"/>
        <v>季度</v>
      </c>
      <c r="K942" t="str">
        <f t="shared" si="214"/>
        <v>期末剩余租期情况（年）</v>
      </c>
      <c r="L942" t="str">
        <f t="shared" si="215"/>
        <v>玉蜓桥项目|期末剩余租期情况（年）|季度</v>
      </c>
      <c r="M942">
        <f>IF($A942="",0,IF(COUNTIF($L$2:$L942,$L942)=1,1,0))</f>
        <v>0</v>
      </c>
      <c r="N942">
        <f t="shared" si="216"/>
        <v>20253</v>
      </c>
      <c r="O942" t="str">
        <f t="shared" si="217"/>
        <v>嘉实物美消费封闭式基础设施证券投资基金|2025Q3|季度</v>
      </c>
      <c r="P942">
        <f>IF($A942="",0,IF(COUNTIF($O$2:$O942,$O942)=1,1,0))</f>
        <v>0</v>
      </c>
      <c r="Q942" t="str">
        <f>IF(AND($P942=1,$A942=经营数据!$B$3,$J942=经营数据!$BA$5),COUNTIFS($P$2:$P$3000,1,$A$2:$A$3000,$A942,$J$2:$J$3000,$J942,$N$2:$N$3000,"&lt;"&amp;$N942)+1,"")</f>
        <v/>
      </c>
      <c r="R942" t="str">
        <f t="shared" si="218"/>
        <v>嘉实物美消费封闭式基础设施证券投资基金|玉蜓桥项目</v>
      </c>
      <c r="S942">
        <f>IF($A942="",0,IF(COUNTIF($R$2:$R942,$R942)=1,1,0))</f>
        <v>0</v>
      </c>
      <c r="T942">
        <f t="shared" si="219"/>
        <v>904</v>
      </c>
      <c r="U942" t="str">
        <f>IF($A942="","",IF($A942=经营数据!$B$3,COUNTIFS($S$2:$S$3000,1,$A$2:$A$3000,$A942,$T$2:$T$3000,"&lt;"&amp;$T942)+1,""))</f>
        <v/>
      </c>
      <c r="V942" t="str">
        <f t="shared" si="220"/>
        <v>玉蜓桥项目|服务量</v>
      </c>
      <c r="W942">
        <f t="shared" si="221"/>
        <v>904</v>
      </c>
      <c r="X942" t="str">
        <f t="shared" si="222"/>
        <v>玉蜓桥项目|期末剩余租期情况</v>
      </c>
      <c r="Y942">
        <f t="shared" si="223"/>
        <v>909</v>
      </c>
      <c r="Z942">
        <f>IF($A942="",0,IF(AND($M942=1,$A942=经营数据!$B$3,$J942=经营数据!$BA$5,OR($I942=经营数据!$BA$4,COUNTIF(经营数据!$AA$9:$AA$38,$I942)&gt;0)),1,0))</f>
        <v>0</v>
      </c>
      <c r="AA942" t="str">
        <f t="shared" si="224"/>
        <v/>
      </c>
      <c r="AB942" t="str">
        <f t="shared" si="225"/>
        <v/>
      </c>
      <c r="AC942">
        <f>IF($A942="",0,IF(COUNTIF($A$2:$A942,$A942)=1,1,0))</f>
        <v>0</v>
      </c>
      <c r="AD942">
        <f t="shared" si="226"/>
        <v>8</v>
      </c>
      <c r="AE942" t="str">
        <f t="shared" si="227"/>
        <v>玉蜓桥项目|期末剩余租期情况（年）</v>
      </c>
    </row>
    <row r="943" spans="1:31" x14ac:dyDescent="0.4">
      <c r="A943" t="str">
        <f>IF(原始经营数据!$D944="","",原始经营数据!$D944)</f>
        <v>嘉实物美消费封闭式基础设施证券投资基金</v>
      </c>
      <c r="B943" t="str">
        <f>IF(原始经营数据!$D944="","",T(原始经营数据!$E944))</f>
        <v>玉蜓桥项目</v>
      </c>
      <c r="C943" t="str">
        <f>IF(原始经营数据!$D944="","",原始经营数据!$F944)</f>
        <v>2025Q3</v>
      </c>
      <c r="D943" t="str">
        <f>IF(原始经营数据!$D944="","",原始经营数据!$H944)</f>
        <v>期内租金单价水平</v>
      </c>
      <c r="E943">
        <f>IF(原始经营数据!$D944="","",原始经营数据!$I944)</f>
        <v>4.88</v>
      </c>
      <c r="F943" t="str">
        <f>IF(原始经营数据!$D944="","",T(原始经营数据!$J944))</f>
        <v>元/平方米/天</v>
      </c>
      <c r="G943" t="str">
        <f>IF(原始经营数据!$D944="","",T(原始经营数据!$K944))</f>
        <v/>
      </c>
      <c r="H943" t="str">
        <f>IF(原始经营数据!$D944="","",原始经营数据!$G944)</f>
        <v>服务价格</v>
      </c>
      <c r="I943" t="str">
        <f>IF($A943="","",IF($B943&lt;&gt;"",$B943,IF(COUNTIFS(原始经营数据!$D$3:$D$3001,$A943,原始经营数据!$E$3:$E$3001,"",原始经营数据!$F$3:$F$3001,$C943,原始经营数据!$H$3:$H$3001,$D943,原始经营数据!$K$3:$K$3001,$G943)&gt;1,"基金整体·来源"&amp;原始经营数据!$A944,"基金整体")))</f>
        <v>玉蜓桥项目</v>
      </c>
      <c r="J943" t="str">
        <f t="shared" si="213"/>
        <v>季度</v>
      </c>
      <c r="K943" t="str">
        <f t="shared" si="214"/>
        <v>期内租金单价水平（元/平方米/天）</v>
      </c>
      <c r="L943" t="str">
        <f t="shared" si="215"/>
        <v>玉蜓桥项目|期内租金单价水平（元/平方米/天）|季度</v>
      </c>
      <c r="M943">
        <f>IF($A943="",0,IF(COUNTIF($L$2:$L943,$L943)=1,1,0))</f>
        <v>0</v>
      </c>
      <c r="N943">
        <f t="shared" si="216"/>
        <v>20253</v>
      </c>
      <c r="O943" t="str">
        <f t="shared" si="217"/>
        <v>嘉实物美消费封闭式基础设施证券投资基金|2025Q3|季度</v>
      </c>
      <c r="P943">
        <f>IF($A943="",0,IF(COUNTIF($O$2:$O943,$O943)=1,1,0))</f>
        <v>0</v>
      </c>
      <c r="Q943" t="str">
        <f>IF(AND($P943=1,$A943=经营数据!$B$3,$J943=经营数据!$BA$5),COUNTIFS($P$2:$P$3000,1,$A$2:$A$3000,$A943,$J$2:$J$3000,$J943,$N$2:$N$3000,"&lt;"&amp;$N943)+1,"")</f>
        <v/>
      </c>
      <c r="R943" t="str">
        <f t="shared" si="218"/>
        <v>嘉实物美消费封闭式基础设施证券投资基金|玉蜓桥项目</v>
      </c>
      <c r="S943">
        <f>IF($A943="",0,IF(COUNTIF($R$2:$R943,$R943)=1,1,0))</f>
        <v>0</v>
      </c>
      <c r="T943">
        <f t="shared" si="219"/>
        <v>904</v>
      </c>
      <c r="U943" t="str">
        <f>IF($A943="","",IF($A943=经营数据!$B$3,COUNTIFS($S$2:$S$3000,1,$A$2:$A$3000,$A943,$T$2:$T$3000,"&lt;"&amp;$T943)+1,""))</f>
        <v/>
      </c>
      <c r="V943" t="str">
        <f t="shared" si="220"/>
        <v>玉蜓桥项目|服务价格</v>
      </c>
      <c r="W943">
        <f t="shared" si="221"/>
        <v>908</v>
      </c>
      <c r="X943" t="str">
        <f t="shared" si="222"/>
        <v>玉蜓桥项目|期内租金单价水平</v>
      </c>
      <c r="Y943">
        <f t="shared" si="223"/>
        <v>908</v>
      </c>
      <c r="Z943">
        <f>IF($A943="",0,IF(AND($M943=1,$A943=经营数据!$B$3,$J943=经营数据!$BA$5,OR($I943=经营数据!$BA$4,COUNTIF(经营数据!$AA$9:$AA$38,$I943)&gt;0)),1,0))</f>
        <v>0</v>
      </c>
      <c r="AA943" t="str">
        <f t="shared" si="224"/>
        <v/>
      </c>
      <c r="AB943" t="str">
        <f t="shared" si="225"/>
        <v/>
      </c>
      <c r="AC943">
        <f>IF($A943="",0,IF(COUNTIF($A$2:$A943,$A943)=1,1,0))</f>
        <v>0</v>
      </c>
      <c r="AD943">
        <f t="shared" si="226"/>
        <v>8</v>
      </c>
      <c r="AE943" t="str">
        <f t="shared" si="227"/>
        <v>玉蜓桥项目|期内租金单价水平（元/平方米/天）</v>
      </c>
    </row>
    <row r="944" spans="1:31" x14ac:dyDescent="0.4">
      <c r="A944" t="str">
        <f>IF(原始经营数据!$D945="","",原始经营数据!$D945)</f>
        <v>嘉实物美消费封闭式基础设施证券投资基金</v>
      </c>
      <c r="B944" t="str">
        <f>IF(原始经营数据!$D945="","",T(原始经营数据!$E945))</f>
        <v>玉蜓桥项目</v>
      </c>
      <c r="C944" t="str">
        <f>IF(原始经营数据!$D945="","",原始经营数据!$F945)</f>
        <v>2025Q3</v>
      </c>
      <c r="D944" t="str">
        <f>IF(原始经营数据!$D945="","",原始经营数据!$H945)</f>
        <v>期末出租率</v>
      </c>
      <c r="E944">
        <f>IF(原始经营数据!$D945="","",原始经营数据!$I945)</f>
        <v>99.17</v>
      </c>
      <c r="F944" t="str">
        <f>IF(原始经营数据!$D945="","",T(原始经营数据!$J945))</f>
        <v>%</v>
      </c>
      <c r="G944" t="str">
        <f>IF(原始经营数据!$D945="","",T(原始经营数据!$K945))</f>
        <v/>
      </c>
      <c r="H944" t="str">
        <f>IF(原始经营数据!$D945="","",原始经营数据!$G945)</f>
        <v>服务效率</v>
      </c>
      <c r="I944" t="str">
        <f>IF($A944="","",IF($B944&lt;&gt;"",$B944,IF(COUNTIFS(原始经营数据!$D$3:$D$3001,$A944,原始经营数据!$E$3:$E$3001,"",原始经营数据!$F$3:$F$3001,$C944,原始经营数据!$H$3:$H$3001,$D944,原始经营数据!$K$3:$K$3001,$G944)&gt;1,"基金整体·来源"&amp;原始经营数据!$A945,"基金整体")))</f>
        <v>玉蜓桥项目</v>
      </c>
      <c r="J944" t="str">
        <f t="shared" si="213"/>
        <v>季度</v>
      </c>
      <c r="K944" t="str">
        <f t="shared" si="214"/>
        <v>期末出租率（%）</v>
      </c>
      <c r="L944" t="str">
        <f t="shared" si="215"/>
        <v>玉蜓桥项目|期末出租率（%）|季度</v>
      </c>
      <c r="M944">
        <f>IF($A944="",0,IF(COUNTIF($L$2:$L944,$L944)=1,1,0))</f>
        <v>0</v>
      </c>
      <c r="N944">
        <f t="shared" si="216"/>
        <v>20253</v>
      </c>
      <c r="O944" t="str">
        <f t="shared" si="217"/>
        <v>嘉实物美消费封闭式基础设施证券投资基金|2025Q3|季度</v>
      </c>
      <c r="P944">
        <f>IF($A944="",0,IF(COUNTIF($O$2:$O944,$O944)=1,1,0))</f>
        <v>0</v>
      </c>
      <c r="Q944" t="str">
        <f>IF(AND($P944=1,$A944=经营数据!$B$3,$J944=经营数据!$BA$5),COUNTIFS($P$2:$P$3000,1,$A$2:$A$3000,$A944,$J$2:$J$3000,$J944,$N$2:$N$3000,"&lt;"&amp;$N944)+1,"")</f>
        <v/>
      </c>
      <c r="R944" t="str">
        <f t="shared" si="218"/>
        <v>嘉实物美消费封闭式基础设施证券投资基金|玉蜓桥项目</v>
      </c>
      <c r="S944">
        <f>IF($A944="",0,IF(COUNTIF($R$2:$R944,$R944)=1,1,0))</f>
        <v>0</v>
      </c>
      <c r="T944">
        <f t="shared" si="219"/>
        <v>904</v>
      </c>
      <c r="U944" t="str">
        <f>IF($A944="","",IF($A944=经营数据!$B$3,COUNTIFS($S$2:$S$3000,1,$A$2:$A$3000,$A944,$T$2:$T$3000,"&lt;"&amp;$T944)+1,""))</f>
        <v/>
      </c>
      <c r="V944" t="str">
        <f t="shared" si="220"/>
        <v>玉蜓桥项目|服务效率</v>
      </c>
      <c r="W944">
        <f t="shared" si="221"/>
        <v>906</v>
      </c>
      <c r="X944" t="str">
        <f t="shared" si="222"/>
        <v>玉蜓桥项目|期末出租率</v>
      </c>
      <c r="Y944">
        <f t="shared" si="223"/>
        <v>906</v>
      </c>
      <c r="Z944">
        <f>IF($A944="",0,IF(AND($M944=1,$A944=经营数据!$B$3,$J944=经营数据!$BA$5,OR($I944=经营数据!$BA$4,COUNTIF(经营数据!$AA$9:$AA$38,$I944)&gt;0)),1,0))</f>
        <v>0</v>
      </c>
      <c r="AA944" t="str">
        <f t="shared" si="224"/>
        <v/>
      </c>
      <c r="AB944" t="str">
        <f t="shared" si="225"/>
        <v/>
      </c>
      <c r="AC944">
        <f>IF($A944="",0,IF(COUNTIF($A$2:$A944,$A944)=1,1,0))</f>
        <v>0</v>
      </c>
      <c r="AD944">
        <f t="shared" si="226"/>
        <v>8</v>
      </c>
      <c r="AE944" t="str">
        <f t="shared" si="227"/>
        <v>玉蜓桥项目|期末出租率（%）</v>
      </c>
    </row>
    <row r="945" spans="1:31" x14ac:dyDescent="0.4">
      <c r="A945" t="str">
        <f>IF(原始经营数据!$D946="","",原始经营数据!$D946)</f>
        <v>嘉实物美消费封闭式基础设施证券投资基金</v>
      </c>
      <c r="B945" t="str">
        <f>IF(原始经营数据!$D946="","",T(原始经营数据!$E946))</f>
        <v>玉蜓桥项目</v>
      </c>
      <c r="C945" t="str">
        <f>IF(原始经营数据!$D946="","",原始经营数据!$F946)</f>
        <v>2025Q3</v>
      </c>
      <c r="D945" t="str">
        <f>IF(原始经营数据!$D946="","",原始经营数据!$H946)</f>
        <v>期末实际出租面积</v>
      </c>
      <c r="E945">
        <f>IF(原始经营数据!$D946="","",原始经营数据!$I946)</f>
        <v>24633.75</v>
      </c>
      <c r="F945" t="str">
        <f>IF(原始经营数据!$D946="","",T(原始经营数据!$J946))</f>
        <v>平方米</v>
      </c>
      <c r="G945" t="str">
        <f>IF(原始经营数据!$D946="","",T(原始经营数据!$K946))</f>
        <v/>
      </c>
      <c r="H945" t="str">
        <f>IF(原始经营数据!$D946="","",原始经营数据!$G946)</f>
        <v>服务量</v>
      </c>
      <c r="I945" t="str">
        <f>IF($A945="","",IF($B945&lt;&gt;"",$B945,IF(COUNTIFS(原始经营数据!$D$3:$D$3001,$A945,原始经营数据!$E$3:$E$3001,"",原始经营数据!$F$3:$F$3001,$C945,原始经营数据!$H$3:$H$3001,$D945,原始经营数据!$K$3:$K$3001,$G945)&gt;1,"基金整体·来源"&amp;原始经营数据!$A946,"基金整体")))</f>
        <v>玉蜓桥项目</v>
      </c>
      <c r="J945" t="str">
        <f t="shared" si="213"/>
        <v>季度</v>
      </c>
      <c r="K945" t="str">
        <f t="shared" si="214"/>
        <v>期末实际出租面积（平方米）</v>
      </c>
      <c r="L945" t="str">
        <f t="shared" si="215"/>
        <v>玉蜓桥项目|期末实际出租面积（平方米）|季度</v>
      </c>
      <c r="M945">
        <f>IF($A945="",0,IF(COUNTIF($L$2:$L945,$L945)=1,1,0))</f>
        <v>0</v>
      </c>
      <c r="N945">
        <f t="shared" si="216"/>
        <v>20253</v>
      </c>
      <c r="O945" t="str">
        <f t="shared" si="217"/>
        <v>嘉实物美消费封闭式基础设施证券投资基金|2025Q3|季度</v>
      </c>
      <c r="P945">
        <f>IF($A945="",0,IF(COUNTIF($O$2:$O945,$O945)=1,1,0))</f>
        <v>0</v>
      </c>
      <c r="Q945" t="str">
        <f>IF(AND($P945=1,$A945=经营数据!$B$3,$J945=经营数据!$BA$5),COUNTIFS($P$2:$P$3000,1,$A$2:$A$3000,$A945,$J$2:$J$3000,$J945,$N$2:$N$3000,"&lt;"&amp;$N945)+1,"")</f>
        <v/>
      </c>
      <c r="R945" t="str">
        <f t="shared" si="218"/>
        <v>嘉实物美消费封闭式基础设施证券投资基金|玉蜓桥项目</v>
      </c>
      <c r="S945">
        <f>IF($A945="",0,IF(COUNTIF($R$2:$R945,$R945)=1,1,0))</f>
        <v>0</v>
      </c>
      <c r="T945">
        <f t="shared" si="219"/>
        <v>904</v>
      </c>
      <c r="U945" t="str">
        <f>IF($A945="","",IF($A945=经营数据!$B$3,COUNTIFS($S$2:$S$3000,1,$A$2:$A$3000,$A945,$T$2:$T$3000,"&lt;"&amp;$T945)+1,""))</f>
        <v/>
      </c>
      <c r="V945" t="str">
        <f t="shared" si="220"/>
        <v>玉蜓桥项目|服务量</v>
      </c>
      <c r="W945">
        <f t="shared" si="221"/>
        <v>904</v>
      </c>
      <c r="X945" t="str">
        <f t="shared" si="222"/>
        <v>玉蜓桥项目|期末实际出租面积</v>
      </c>
      <c r="Y945">
        <f t="shared" si="223"/>
        <v>905</v>
      </c>
      <c r="Z945">
        <f>IF($A945="",0,IF(AND($M945=1,$A945=经营数据!$B$3,$J945=经营数据!$BA$5,OR($I945=经营数据!$BA$4,COUNTIF(经营数据!$AA$9:$AA$38,$I945)&gt;0)),1,0))</f>
        <v>0</v>
      </c>
      <c r="AA945" t="str">
        <f t="shared" si="224"/>
        <v/>
      </c>
      <c r="AB945" t="str">
        <f t="shared" si="225"/>
        <v/>
      </c>
      <c r="AC945">
        <f>IF($A945="",0,IF(COUNTIF($A$2:$A945,$A945)=1,1,0))</f>
        <v>0</v>
      </c>
      <c r="AD945">
        <f t="shared" si="226"/>
        <v>8</v>
      </c>
      <c r="AE945" t="str">
        <f t="shared" si="227"/>
        <v>玉蜓桥项目|期末实际出租面积（平方米）</v>
      </c>
    </row>
    <row r="946" spans="1:31" x14ac:dyDescent="0.4">
      <c r="A946" t="str">
        <f>IF(原始经营数据!$D947="","",原始经营数据!$D947)</f>
        <v>嘉实物美消费封闭式基础设施证券投资基金</v>
      </c>
      <c r="B946" t="str">
        <f>IF(原始经营数据!$D947="","",T(原始经营数据!$E947))</f>
        <v>玉蜓桥项目</v>
      </c>
      <c r="C946" t="str">
        <f>IF(原始经营数据!$D947="","",原始经营数据!$F947)</f>
        <v>2025Q3</v>
      </c>
      <c r="D946" t="str">
        <f>IF(原始经营数据!$D947="","",原始经营数据!$H947)</f>
        <v>期末可供出租面积</v>
      </c>
      <c r="E946">
        <f>IF(原始经营数据!$D947="","",原始经营数据!$I947)</f>
        <v>24840.41</v>
      </c>
      <c r="F946" t="str">
        <f>IF(原始经营数据!$D947="","",T(原始经营数据!$J947))</f>
        <v>平方米</v>
      </c>
      <c r="G946" t="str">
        <f>IF(原始经营数据!$D947="","",T(原始经营数据!$K947))</f>
        <v/>
      </c>
      <c r="H946" t="str">
        <f>IF(原始经营数据!$D947="","",原始经营数据!$G947)</f>
        <v>服务量</v>
      </c>
      <c r="I946" t="str">
        <f>IF($A946="","",IF($B946&lt;&gt;"",$B946,IF(COUNTIFS(原始经营数据!$D$3:$D$3001,$A946,原始经营数据!$E$3:$E$3001,"",原始经营数据!$F$3:$F$3001,$C946,原始经营数据!$H$3:$H$3001,$D946,原始经营数据!$K$3:$K$3001,$G946)&gt;1,"基金整体·来源"&amp;原始经营数据!$A947,"基金整体")))</f>
        <v>玉蜓桥项目</v>
      </c>
      <c r="J946" t="str">
        <f t="shared" si="213"/>
        <v>季度</v>
      </c>
      <c r="K946" t="str">
        <f t="shared" si="214"/>
        <v>期末可供出租面积（平方米）</v>
      </c>
      <c r="L946" t="str">
        <f t="shared" si="215"/>
        <v>玉蜓桥项目|期末可供出租面积（平方米）|季度</v>
      </c>
      <c r="M946">
        <f>IF($A946="",0,IF(COUNTIF($L$2:$L946,$L946)=1,1,0))</f>
        <v>0</v>
      </c>
      <c r="N946">
        <f t="shared" si="216"/>
        <v>20253</v>
      </c>
      <c r="O946" t="str">
        <f t="shared" si="217"/>
        <v>嘉实物美消费封闭式基础设施证券投资基金|2025Q3|季度</v>
      </c>
      <c r="P946">
        <f>IF($A946="",0,IF(COUNTIF($O$2:$O946,$O946)=1,1,0))</f>
        <v>0</v>
      </c>
      <c r="Q946" t="str">
        <f>IF(AND($P946=1,$A946=经营数据!$B$3,$J946=经营数据!$BA$5),COUNTIFS($P$2:$P$3000,1,$A$2:$A$3000,$A946,$J$2:$J$3000,$J946,$N$2:$N$3000,"&lt;"&amp;$N946)+1,"")</f>
        <v/>
      </c>
      <c r="R946" t="str">
        <f t="shared" si="218"/>
        <v>嘉实物美消费封闭式基础设施证券投资基金|玉蜓桥项目</v>
      </c>
      <c r="S946">
        <f>IF($A946="",0,IF(COUNTIF($R$2:$R946,$R946)=1,1,0))</f>
        <v>0</v>
      </c>
      <c r="T946">
        <f t="shared" si="219"/>
        <v>904</v>
      </c>
      <c r="U946" t="str">
        <f>IF($A946="","",IF($A946=经营数据!$B$3,COUNTIFS($S$2:$S$3000,1,$A$2:$A$3000,$A946,$T$2:$T$3000,"&lt;"&amp;$T946)+1,""))</f>
        <v/>
      </c>
      <c r="V946" t="str">
        <f t="shared" si="220"/>
        <v>玉蜓桥项目|服务量</v>
      </c>
      <c r="W946">
        <f t="shared" si="221"/>
        <v>904</v>
      </c>
      <c r="X946" t="str">
        <f t="shared" si="222"/>
        <v>玉蜓桥项目|期末可供出租面积</v>
      </c>
      <c r="Y946">
        <f t="shared" si="223"/>
        <v>904</v>
      </c>
      <c r="Z946">
        <f>IF($A946="",0,IF(AND($M946=1,$A946=经营数据!$B$3,$J946=经营数据!$BA$5,OR($I946=经营数据!$BA$4,COUNTIF(经营数据!$AA$9:$AA$38,$I946)&gt;0)),1,0))</f>
        <v>0</v>
      </c>
      <c r="AA946" t="str">
        <f t="shared" si="224"/>
        <v/>
      </c>
      <c r="AB946" t="str">
        <f t="shared" si="225"/>
        <v/>
      </c>
      <c r="AC946">
        <f>IF($A946="",0,IF(COUNTIF($A$2:$A946,$A946)=1,1,0))</f>
        <v>0</v>
      </c>
      <c r="AD946">
        <f t="shared" si="226"/>
        <v>8</v>
      </c>
      <c r="AE946" t="str">
        <f t="shared" si="227"/>
        <v>玉蜓桥项目|期末可供出租面积（平方米）</v>
      </c>
    </row>
    <row r="947" spans="1:31" x14ac:dyDescent="0.4">
      <c r="A947" t="str">
        <f>IF(原始经营数据!$D948="","",原始经营数据!$D948)</f>
        <v>嘉实物美消费封闭式基础设施证券投资基金</v>
      </c>
      <c r="B947" t="str">
        <f>IF(原始经营数据!$D948="","",T(原始经营数据!$E948))</f>
        <v>玉蜓桥项目</v>
      </c>
      <c r="C947" t="str">
        <f>IF(原始经营数据!$D948="","",原始经营数据!$F948)</f>
        <v>2025Q4</v>
      </c>
      <c r="D947" t="str">
        <f>IF(原始经营数据!$D948="","",原始经营数据!$H948)</f>
        <v>期末剩余租期情况</v>
      </c>
      <c r="E947">
        <f>IF(原始经营数据!$D948="","",原始经营数据!$I948)</f>
        <v>6.33</v>
      </c>
      <c r="F947" t="str">
        <f>IF(原始经营数据!$D948="","",T(原始经营数据!$J948))</f>
        <v>年</v>
      </c>
      <c r="G947" t="str">
        <f>IF(原始经营数据!$D948="","",T(原始经营数据!$K948))</f>
        <v/>
      </c>
      <c r="H947" t="str">
        <f>IF(原始经营数据!$D948="","",原始经营数据!$G948)</f>
        <v>服务量</v>
      </c>
      <c r="I947" t="str">
        <f>IF($A947="","",IF($B947&lt;&gt;"",$B947,IF(COUNTIFS(原始经营数据!$D$3:$D$3001,$A947,原始经营数据!$E$3:$E$3001,"",原始经营数据!$F$3:$F$3001,$C947,原始经营数据!$H$3:$H$3001,$D947,原始经营数据!$K$3:$K$3001,$G947)&gt;1,"基金整体·来源"&amp;原始经营数据!$A948,"基金整体")))</f>
        <v>玉蜓桥项目</v>
      </c>
      <c r="J947" t="str">
        <f t="shared" si="213"/>
        <v>季度</v>
      </c>
      <c r="K947" t="str">
        <f t="shared" si="214"/>
        <v>期末剩余租期情况（年）</v>
      </c>
      <c r="L947" t="str">
        <f t="shared" si="215"/>
        <v>玉蜓桥项目|期末剩余租期情况（年）|季度</v>
      </c>
      <c r="M947">
        <f>IF($A947="",0,IF(COUNTIF($L$2:$L947,$L947)=1,1,0))</f>
        <v>0</v>
      </c>
      <c r="N947">
        <f t="shared" si="216"/>
        <v>20254</v>
      </c>
      <c r="O947" t="str">
        <f t="shared" si="217"/>
        <v>嘉实物美消费封闭式基础设施证券投资基金|2025Q4|季度</v>
      </c>
      <c r="P947">
        <f>IF($A947="",0,IF(COUNTIF($O$2:$O947,$O947)=1,1,0))</f>
        <v>0</v>
      </c>
      <c r="Q947" t="str">
        <f>IF(AND($P947=1,$A947=经营数据!$B$3,$J947=经营数据!$BA$5),COUNTIFS($P$2:$P$3000,1,$A$2:$A$3000,$A947,$J$2:$J$3000,$J947,$N$2:$N$3000,"&lt;"&amp;$N947)+1,"")</f>
        <v/>
      </c>
      <c r="R947" t="str">
        <f t="shared" si="218"/>
        <v>嘉实物美消费封闭式基础设施证券投资基金|玉蜓桥项目</v>
      </c>
      <c r="S947">
        <f>IF($A947="",0,IF(COUNTIF($R$2:$R947,$R947)=1,1,0))</f>
        <v>0</v>
      </c>
      <c r="T947">
        <f t="shared" si="219"/>
        <v>904</v>
      </c>
      <c r="U947" t="str">
        <f>IF($A947="","",IF($A947=经营数据!$B$3,COUNTIFS($S$2:$S$3000,1,$A$2:$A$3000,$A947,$T$2:$T$3000,"&lt;"&amp;$T947)+1,""))</f>
        <v/>
      </c>
      <c r="V947" t="str">
        <f t="shared" si="220"/>
        <v>玉蜓桥项目|服务量</v>
      </c>
      <c r="W947">
        <f t="shared" si="221"/>
        <v>904</v>
      </c>
      <c r="X947" t="str">
        <f t="shared" si="222"/>
        <v>玉蜓桥项目|期末剩余租期情况</v>
      </c>
      <c r="Y947">
        <f t="shared" si="223"/>
        <v>909</v>
      </c>
      <c r="Z947">
        <f>IF($A947="",0,IF(AND($M947=1,$A947=经营数据!$B$3,$J947=经营数据!$BA$5,OR($I947=经营数据!$BA$4,COUNTIF(经营数据!$AA$9:$AA$38,$I947)&gt;0)),1,0))</f>
        <v>0</v>
      </c>
      <c r="AA947" t="str">
        <f t="shared" si="224"/>
        <v/>
      </c>
      <c r="AB947" t="str">
        <f t="shared" si="225"/>
        <v/>
      </c>
      <c r="AC947">
        <f>IF($A947="",0,IF(COUNTIF($A$2:$A947,$A947)=1,1,0))</f>
        <v>0</v>
      </c>
      <c r="AD947">
        <f t="shared" si="226"/>
        <v>8</v>
      </c>
      <c r="AE947" t="str">
        <f t="shared" si="227"/>
        <v>玉蜓桥项目|期末剩余租期情况（年）</v>
      </c>
    </row>
    <row r="948" spans="1:31" x14ac:dyDescent="0.4">
      <c r="A948" t="str">
        <f>IF(原始经营数据!$D949="","",原始经营数据!$D949)</f>
        <v>嘉实物美消费封闭式基础设施证券投资基金</v>
      </c>
      <c r="B948" t="str">
        <f>IF(原始经营数据!$D949="","",T(原始经营数据!$E949))</f>
        <v>玉蜓桥项目</v>
      </c>
      <c r="C948" t="str">
        <f>IF(原始经营数据!$D949="","",原始经营数据!$F949)</f>
        <v>2025Q4</v>
      </c>
      <c r="D948" t="str">
        <f>IF(原始经营数据!$D949="","",原始经营数据!$H949)</f>
        <v>期末租金收缴率</v>
      </c>
      <c r="E948">
        <f>IF(原始经营数据!$D949="","",原始经营数据!$I949)</f>
        <v>99.95</v>
      </c>
      <c r="F948" t="str">
        <f>IF(原始经营数据!$D949="","",T(原始经营数据!$J949))</f>
        <v>%</v>
      </c>
      <c r="G948" t="str">
        <f>IF(原始经营数据!$D949="","",T(原始经营数据!$K949))</f>
        <v/>
      </c>
      <c r="H948" t="str">
        <f>IF(原始经营数据!$D949="","",原始经营数据!$G949)</f>
        <v>服务效率</v>
      </c>
      <c r="I948" t="str">
        <f>IF($A948="","",IF($B948&lt;&gt;"",$B948,IF(COUNTIFS(原始经营数据!$D$3:$D$3001,$A948,原始经营数据!$E$3:$E$3001,"",原始经营数据!$F$3:$F$3001,$C948,原始经营数据!$H$3:$H$3001,$D948,原始经营数据!$K$3:$K$3001,$G948)&gt;1,"基金整体·来源"&amp;原始经营数据!$A949,"基金整体")))</f>
        <v>玉蜓桥项目</v>
      </c>
      <c r="J948" t="str">
        <f t="shared" si="213"/>
        <v>季度</v>
      </c>
      <c r="K948" t="str">
        <f t="shared" si="214"/>
        <v>期末租金收缴率（%）</v>
      </c>
      <c r="L948" t="str">
        <f t="shared" si="215"/>
        <v>玉蜓桥项目|期末租金收缴率（%）|季度</v>
      </c>
      <c r="M948">
        <f>IF($A948="",0,IF(COUNTIF($L$2:$L948,$L948)=1,1,0))</f>
        <v>0</v>
      </c>
      <c r="N948">
        <f t="shared" si="216"/>
        <v>20254</v>
      </c>
      <c r="O948" t="str">
        <f t="shared" si="217"/>
        <v>嘉实物美消费封闭式基础设施证券投资基金|2025Q4|季度</v>
      </c>
      <c r="P948">
        <f>IF($A948="",0,IF(COUNTIF($O$2:$O948,$O948)=1,1,0))</f>
        <v>0</v>
      </c>
      <c r="Q948" t="str">
        <f>IF(AND($P948=1,$A948=经营数据!$B$3,$J948=经营数据!$BA$5),COUNTIFS($P$2:$P$3000,1,$A$2:$A$3000,$A948,$J$2:$J$3000,$J948,$N$2:$N$3000,"&lt;"&amp;$N948)+1,"")</f>
        <v/>
      </c>
      <c r="R948" t="str">
        <f t="shared" si="218"/>
        <v>嘉实物美消费封闭式基础设施证券投资基金|玉蜓桥项目</v>
      </c>
      <c r="S948">
        <f>IF($A948="",0,IF(COUNTIF($R$2:$R948,$R948)=1,1,0))</f>
        <v>0</v>
      </c>
      <c r="T948">
        <f t="shared" si="219"/>
        <v>904</v>
      </c>
      <c r="U948" t="str">
        <f>IF($A948="","",IF($A948=经营数据!$B$3,COUNTIFS($S$2:$S$3000,1,$A$2:$A$3000,$A948,$T$2:$T$3000,"&lt;"&amp;$T948)+1,""))</f>
        <v/>
      </c>
      <c r="V948" t="str">
        <f t="shared" si="220"/>
        <v>玉蜓桥项目|服务效率</v>
      </c>
      <c r="W948">
        <f t="shared" si="221"/>
        <v>906</v>
      </c>
      <c r="X948" t="str">
        <f t="shared" si="222"/>
        <v>玉蜓桥项目|期末租金收缴率</v>
      </c>
      <c r="Y948">
        <f t="shared" si="223"/>
        <v>907</v>
      </c>
      <c r="Z948">
        <f>IF($A948="",0,IF(AND($M948=1,$A948=经营数据!$B$3,$J948=经营数据!$BA$5,OR($I948=经营数据!$BA$4,COUNTIF(经营数据!$AA$9:$AA$38,$I948)&gt;0)),1,0))</f>
        <v>0</v>
      </c>
      <c r="AA948" t="str">
        <f t="shared" si="224"/>
        <v/>
      </c>
      <c r="AB948" t="str">
        <f t="shared" si="225"/>
        <v/>
      </c>
      <c r="AC948">
        <f>IF($A948="",0,IF(COUNTIF($A$2:$A948,$A948)=1,1,0))</f>
        <v>0</v>
      </c>
      <c r="AD948">
        <f t="shared" si="226"/>
        <v>8</v>
      </c>
      <c r="AE948" t="str">
        <f t="shared" si="227"/>
        <v>玉蜓桥项目|期末租金收缴率（%）</v>
      </c>
    </row>
    <row r="949" spans="1:31" x14ac:dyDescent="0.4">
      <c r="A949" t="str">
        <f>IF(原始经营数据!$D950="","",原始经营数据!$D950)</f>
        <v>嘉实物美消费封闭式基础设施证券投资基金</v>
      </c>
      <c r="B949" t="str">
        <f>IF(原始经营数据!$D950="","",T(原始经营数据!$E950))</f>
        <v>玉蜓桥项目</v>
      </c>
      <c r="C949" t="str">
        <f>IF(原始经营数据!$D950="","",原始经营数据!$F950)</f>
        <v>2025Q4</v>
      </c>
      <c r="D949" t="str">
        <f>IF(原始经营数据!$D950="","",原始经营数据!$H950)</f>
        <v>期内租金单价水平</v>
      </c>
      <c r="E949">
        <f>IF(原始经营数据!$D950="","",原始经营数据!$I950)</f>
        <v>5</v>
      </c>
      <c r="F949" t="str">
        <f>IF(原始经营数据!$D950="","",T(原始经营数据!$J950))</f>
        <v>元/平方米/天</v>
      </c>
      <c r="G949" t="str">
        <f>IF(原始经营数据!$D950="","",T(原始经营数据!$K950))</f>
        <v/>
      </c>
      <c r="H949" t="str">
        <f>IF(原始经营数据!$D950="","",原始经营数据!$G950)</f>
        <v>服务价格</v>
      </c>
      <c r="I949" t="str">
        <f>IF($A949="","",IF($B949&lt;&gt;"",$B949,IF(COUNTIFS(原始经营数据!$D$3:$D$3001,$A949,原始经营数据!$E$3:$E$3001,"",原始经营数据!$F$3:$F$3001,$C949,原始经营数据!$H$3:$H$3001,$D949,原始经营数据!$K$3:$K$3001,$G949)&gt;1,"基金整体·来源"&amp;原始经营数据!$A950,"基金整体")))</f>
        <v>玉蜓桥项目</v>
      </c>
      <c r="J949" t="str">
        <f t="shared" si="213"/>
        <v>季度</v>
      </c>
      <c r="K949" t="str">
        <f t="shared" si="214"/>
        <v>期内租金单价水平（元/平方米/天）</v>
      </c>
      <c r="L949" t="str">
        <f t="shared" si="215"/>
        <v>玉蜓桥项目|期内租金单价水平（元/平方米/天）|季度</v>
      </c>
      <c r="M949">
        <f>IF($A949="",0,IF(COUNTIF($L$2:$L949,$L949)=1,1,0))</f>
        <v>0</v>
      </c>
      <c r="N949">
        <f t="shared" si="216"/>
        <v>20254</v>
      </c>
      <c r="O949" t="str">
        <f t="shared" si="217"/>
        <v>嘉实物美消费封闭式基础设施证券投资基金|2025Q4|季度</v>
      </c>
      <c r="P949">
        <f>IF($A949="",0,IF(COUNTIF($O$2:$O949,$O949)=1,1,0))</f>
        <v>0</v>
      </c>
      <c r="Q949" t="str">
        <f>IF(AND($P949=1,$A949=经营数据!$B$3,$J949=经营数据!$BA$5),COUNTIFS($P$2:$P$3000,1,$A$2:$A$3000,$A949,$J$2:$J$3000,$J949,$N$2:$N$3000,"&lt;"&amp;$N949)+1,"")</f>
        <v/>
      </c>
      <c r="R949" t="str">
        <f t="shared" si="218"/>
        <v>嘉实物美消费封闭式基础设施证券投资基金|玉蜓桥项目</v>
      </c>
      <c r="S949">
        <f>IF($A949="",0,IF(COUNTIF($R$2:$R949,$R949)=1,1,0))</f>
        <v>0</v>
      </c>
      <c r="T949">
        <f t="shared" si="219"/>
        <v>904</v>
      </c>
      <c r="U949" t="str">
        <f>IF($A949="","",IF($A949=经营数据!$B$3,COUNTIFS($S$2:$S$3000,1,$A$2:$A$3000,$A949,$T$2:$T$3000,"&lt;"&amp;$T949)+1,""))</f>
        <v/>
      </c>
      <c r="V949" t="str">
        <f t="shared" si="220"/>
        <v>玉蜓桥项目|服务价格</v>
      </c>
      <c r="W949">
        <f t="shared" si="221"/>
        <v>908</v>
      </c>
      <c r="X949" t="str">
        <f t="shared" si="222"/>
        <v>玉蜓桥项目|期内租金单价水平</v>
      </c>
      <c r="Y949">
        <f t="shared" si="223"/>
        <v>908</v>
      </c>
      <c r="Z949">
        <f>IF($A949="",0,IF(AND($M949=1,$A949=经营数据!$B$3,$J949=经营数据!$BA$5,OR($I949=经营数据!$BA$4,COUNTIF(经营数据!$AA$9:$AA$38,$I949)&gt;0)),1,0))</f>
        <v>0</v>
      </c>
      <c r="AA949" t="str">
        <f t="shared" si="224"/>
        <v/>
      </c>
      <c r="AB949" t="str">
        <f t="shared" si="225"/>
        <v/>
      </c>
      <c r="AC949">
        <f>IF($A949="",0,IF(COUNTIF($A$2:$A949,$A949)=1,1,0))</f>
        <v>0</v>
      </c>
      <c r="AD949">
        <f t="shared" si="226"/>
        <v>8</v>
      </c>
      <c r="AE949" t="str">
        <f t="shared" si="227"/>
        <v>玉蜓桥项目|期内租金单价水平（元/平方米/天）</v>
      </c>
    </row>
    <row r="950" spans="1:31" x14ac:dyDescent="0.4">
      <c r="A950" t="str">
        <f>IF(原始经营数据!$D951="","",原始经营数据!$D951)</f>
        <v>嘉实物美消费封闭式基础设施证券投资基金</v>
      </c>
      <c r="B950" t="str">
        <f>IF(原始经营数据!$D951="","",T(原始经营数据!$E951))</f>
        <v>玉蜓桥项目</v>
      </c>
      <c r="C950" t="str">
        <f>IF(原始经营数据!$D951="","",原始经营数据!$F951)</f>
        <v>2025Q4</v>
      </c>
      <c r="D950" t="str">
        <f>IF(原始经营数据!$D951="","",原始经营数据!$H951)</f>
        <v>期末出租率</v>
      </c>
      <c r="E950">
        <f>IF(原始经营数据!$D951="","",原始经营数据!$I951)</f>
        <v>98.63</v>
      </c>
      <c r="F950" t="str">
        <f>IF(原始经营数据!$D951="","",T(原始经营数据!$J951))</f>
        <v>%</v>
      </c>
      <c r="G950" t="str">
        <f>IF(原始经营数据!$D951="","",T(原始经营数据!$K951))</f>
        <v/>
      </c>
      <c r="H950" t="str">
        <f>IF(原始经营数据!$D951="","",原始经营数据!$G951)</f>
        <v>服务效率</v>
      </c>
      <c r="I950" t="str">
        <f>IF($A950="","",IF($B950&lt;&gt;"",$B950,IF(COUNTIFS(原始经营数据!$D$3:$D$3001,$A950,原始经营数据!$E$3:$E$3001,"",原始经营数据!$F$3:$F$3001,$C950,原始经营数据!$H$3:$H$3001,$D950,原始经营数据!$K$3:$K$3001,$G950)&gt;1,"基金整体·来源"&amp;原始经营数据!$A951,"基金整体")))</f>
        <v>玉蜓桥项目</v>
      </c>
      <c r="J950" t="str">
        <f t="shared" si="213"/>
        <v>季度</v>
      </c>
      <c r="K950" t="str">
        <f t="shared" si="214"/>
        <v>期末出租率（%）</v>
      </c>
      <c r="L950" t="str">
        <f t="shared" si="215"/>
        <v>玉蜓桥项目|期末出租率（%）|季度</v>
      </c>
      <c r="M950">
        <f>IF($A950="",0,IF(COUNTIF($L$2:$L950,$L950)=1,1,0))</f>
        <v>0</v>
      </c>
      <c r="N950">
        <f t="shared" si="216"/>
        <v>20254</v>
      </c>
      <c r="O950" t="str">
        <f t="shared" si="217"/>
        <v>嘉实物美消费封闭式基础设施证券投资基金|2025Q4|季度</v>
      </c>
      <c r="P950">
        <f>IF($A950="",0,IF(COUNTIF($O$2:$O950,$O950)=1,1,0))</f>
        <v>0</v>
      </c>
      <c r="Q950" t="str">
        <f>IF(AND($P950=1,$A950=经营数据!$B$3,$J950=经营数据!$BA$5),COUNTIFS($P$2:$P$3000,1,$A$2:$A$3000,$A950,$J$2:$J$3000,$J950,$N$2:$N$3000,"&lt;"&amp;$N950)+1,"")</f>
        <v/>
      </c>
      <c r="R950" t="str">
        <f t="shared" si="218"/>
        <v>嘉实物美消费封闭式基础设施证券投资基金|玉蜓桥项目</v>
      </c>
      <c r="S950">
        <f>IF($A950="",0,IF(COUNTIF($R$2:$R950,$R950)=1,1,0))</f>
        <v>0</v>
      </c>
      <c r="T950">
        <f t="shared" si="219"/>
        <v>904</v>
      </c>
      <c r="U950" t="str">
        <f>IF($A950="","",IF($A950=经营数据!$B$3,COUNTIFS($S$2:$S$3000,1,$A$2:$A$3000,$A950,$T$2:$T$3000,"&lt;"&amp;$T950)+1,""))</f>
        <v/>
      </c>
      <c r="V950" t="str">
        <f t="shared" si="220"/>
        <v>玉蜓桥项目|服务效率</v>
      </c>
      <c r="W950">
        <f t="shared" si="221"/>
        <v>906</v>
      </c>
      <c r="X950" t="str">
        <f t="shared" si="222"/>
        <v>玉蜓桥项目|期末出租率</v>
      </c>
      <c r="Y950">
        <f t="shared" si="223"/>
        <v>906</v>
      </c>
      <c r="Z950">
        <f>IF($A950="",0,IF(AND($M950=1,$A950=经营数据!$B$3,$J950=经营数据!$BA$5,OR($I950=经营数据!$BA$4,COUNTIF(经营数据!$AA$9:$AA$38,$I950)&gt;0)),1,0))</f>
        <v>0</v>
      </c>
      <c r="AA950" t="str">
        <f t="shared" si="224"/>
        <v/>
      </c>
      <c r="AB950" t="str">
        <f t="shared" si="225"/>
        <v/>
      </c>
      <c r="AC950">
        <f>IF($A950="",0,IF(COUNTIF($A$2:$A950,$A950)=1,1,0))</f>
        <v>0</v>
      </c>
      <c r="AD950">
        <f t="shared" si="226"/>
        <v>8</v>
      </c>
      <c r="AE950" t="str">
        <f t="shared" si="227"/>
        <v>玉蜓桥项目|期末出租率（%）</v>
      </c>
    </row>
    <row r="951" spans="1:31" x14ac:dyDescent="0.4">
      <c r="A951" t="str">
        <f>IF(原始经营数据!$D952="","",原始经营数据!$D952)</f>
        <v>嘉实物美消费封闭式基础设施证券投资基金</v>
      </c>
      <c r="B951" t="str">
        <f>IF(原始经营数据!$D952="","",T(原始经营数据!$E952))</f>
        <v>玉蜓桥项目</v>
      </c>
      <c r="C951" t="str">
        <f>IF(原始经营数据!$D952="","",原始经营数据!$F952)</f>
        <v>2025Q4</v>
      </c>
      <c r="D951" t="str">
        <f>IF(原始经营数据!$D952="","",原始经营数据!$H952)</f>
        <v>期末实际出租面积</v>
      </c>
      <c r="E951">
        <f>IF(原始经营数据!$D952="","",原始经营数据!$I952)</f>
        <v>24500.86</v>
      </c>
      <c r="F951" t="str">
        <f>IF(原始经营数据!$D952="","",T(原始经营数据!$J952))</f>
        <v>平方米</v>
      </c>
      <c r="G951" t="str">
        <f>IF(原始经营数据!$D952="","",T(原始经营数据!$K952))</f>
        <v/>
      </c>
      <c r="H951" t="str">
        <f>IF(原始经营数据!$D952="","",原始经营数据!$G952)</f>
        <v>服务量</v>
      </c>
      <c r="I951" t="str">
        <f>IF($A951="","",IF($B951&lt;&gt;"",$B951,IF(COUNTIFS(原始经营数据!$D$3:$D$3001,$A951,原始经营数据!$E$3:$E$3001,"",原始经营数据!$F$3:$F$3001,$C951,原始经营数据!$H$3:$H$3001,$D951,原始经营数据!$K$3:$K$3001,$G951)&gt;1,"基金整体·来源"&amp;原始经营数据!$A952,"基金整体")))</f>
        <v>玉蜓桥项目</v>
      </c>
      <c r="J951" t="str">
        <f t="shared" si="213"/>
        <v>季度</v>
      </c>
      <c r="K951" t="str">
        <f t="shared" si="214"/>
        <v>期末实际出租面积（平方米）</v>
      </c>
      <c r="L951" t="str">
        <f t="shared" si="215"/>
        <v>玉蜓桥项目|期末实际出租面积（平方米）|季度</v>
      </c>
      <c r="M951">
        <f>IF($A951="",0,IF(COUNTIF($L$2:$L951,$L951)=1,1,0))</f>
        <v>0</v>
      </c>
      <c r="N951">
        <f t="shared" si="216"/>
        <v>20254</v>
      </c>
      <c r="O951" t="str">
        <f t="shared" si="217"/>
        <v>嘉实物美消费封闭式基础设施证券投资基金|2025Q4|季度</v>
      </c>
      <c r="P951">
        <f>IF($A951="",0,IF(COUNTIF($O$2:$O951,$O951)=1,1,0))</f>
        <v>0</v>
      </c>
      <c r="Q951" t="str">
        <f>IF(AND($P951=1,$A951=经营数据!$B$3,$J951=经营数据!$BA$5),COUNTIFS($P$2:$P$3000,1,$A$2:$A$3000,$A951,$J$2:$J$3000,$J951,$N$2:$N$3000,"&lt;"&amp;$N951)+1,"")</f>
        <v/>
      </c>
      <c r="R951" t="str">
        <f t="shared" si="218"/>
        <v>嘉实物美消费封闭式基础设施证券投资基金|玉蜓桥项目</v>
      </c>
      <c r="S951">
        <f>IF($A951="",0,IF(COUNTIF($R$2:$R951,$R951)=1,1,0))</f>
        <v>0</v>
      </c>
      <c r="T951">
        <f t="shared" si="219"/>
        <v>904</v>
      </c>
      <c r="U951" t="str">
        <f>IF($A951="","",IF($A951=经营数据!$B$3,COUNTIFS($S$2:$S$3000,1,$A$2:$A$3000,$A951,$T$2:$T$3000,"&lt;"&amp;$T951)+1,""))</f>
        <v/>
      </c>
      <c r="V951" t="str">
        <f t="shared" si="220"/>
        <v>玉蜓桥项目|服务量</v>
      </c>
      <c r="W951">
        <f t="shared" si="221"/>
        <v>904</v>
      </c>
      <c r="X951" t="str">
        <f t="shared" si="222"/>
        <v>玉蜓桥项目|期末实际出租面积</v>
      </c>
      <c r="Y951">
        <f t="shared" si="223"/>
        <v>905</v>
      </c>
      <c r="Z951">
        <f>IF($A951="",0,IF(AND($M951=1,$A951=经营数据!$B$3,$J951=经营数据!$BA$5,OR($I951=经营数据!$BA$4,COUNTIF(经营数据!$AA$9:$AA$38,$I951)&gt;0)),1,0))</f>
        <v>0</v>
      </c>
      <c r="AA951" t="str">
        <f t="shared" si="224"/>
        <v/>
      </c>
      <c r="AB951" t="str">
        <f t="shared" si="225"/>
        <v/>
      </c>
      <c r="AC951">
        <f>IF($A951="",0,IF(COUNTIF($A$2:$A951,$A951)=1,1,0))</f>
        <v>0</v>
      </c>
      <c r="AD951">
        <f t="shared" si="226"/>
        <v>8</v>
      </c>
      <c r="AE951" t="str">
        <f t="shared" si="227"/>
        <v>玉蜓桥项目|期末实际出租面积（平方米）</v>
      </c>
    </row>
    <row r="952" spans="1:31" x14ac:dyDescent="0.4">
      <c r="A952" t="str">
        <f>IF(原始经营数据!$D953="","",原始经营数据!$D953)</f>
        <v>嘉实物美消费封闭式基础设施证券投资基金</v>
      </c>
      <c r="B952" t="str">
        <f>IF(原始经营数据!$D953="","",T(原始经营数据!$E953))</f>
        <v>玉蜓桥项目</v>
      </c>
      <c r="C952" t="str">
        <f>IF(原始经营数据!$D953="","",原始经营数据!$F953)</f>
        <v>2025Q4</v>
      </c>
      <c r="D952" t="str">
        <f>IF(原始经营数据!$D953="","",原始经营数据!$H953)</f>
        <v>期末可供出租面积</v>
      </c>
      <c r="E952">
        <f>IF(原始经营数据!$D953="","",原始经营数据!$I953)</f>
        <v>24840.41</v>
      </c>
      <c r="F952" t="str">
        <f>IF(原始经营数据!$D953="","",T(原始经营数据!$J953))</f>
        <v>平方米</v>
      </c>
      <c r="G952" t="str">
        <f>IF(原始经营数据!$D953="","",T(原始经营数据!$K953))</f>
        <v/>
      </c>
      <c r="H952" t="str">
        <f>IF(原始经营数据!$D953="","",原始经营数据!$G953)</f>
        <v>服务量</v>
      </c>
      <c r="I952" t="str">
        <f>IF($A952="","",IF($B952&lt;&gt;"",$B952,IF(COUNTIFS(原始经营数据!$D$3:$D$3001,$A952,原始经营数据!$E$3:$E$3001,"",原始经营数据!$F$3:$F$3001,$C952,原始经营数据!$H$3:$H$3001,$D952,原始经营数据!$K$3:$K$3001,$G952)&gt;1,"基金整体·来源"&amp;原始经营数据!$A953,"基金整体")))</f>
        <v>玉蜓桥项目</v>
      </c>
      <c r="J952" t="str">
        <f t="shared" si="213"/>
        <v>季度</v>
      </c>
      <c r="K952" t="str">
        <f t="shared" si="214"/>
        <v>期末可供出租面积（平方米）</v>
      </c>
      <c r="L952" t="str">
        <f t="shared" si="215"/>
        <v>玉蜓桥项目|期末可供出租面积（平方米）|季度</v>
      </c>
      <c r="M952">
        <f>IF($A952="",0,IF(COUNTIF($L$2:$L952,$L952)=1,1,0))</f>
        <v>0</v>
      </c>
      <c r="N952">
        <f t="shared" si="216"/>
        <v>20254</v>
      </c>
      <c r="O952" t="str">
        <f t="shared" si="217"/>
        <v>嘉实物美消费封闭式基础设施证券投资基金|2025Q4|季度</v>
      </c>
      <c r="P952">
        <f>IF($A952="",0,IF(COUNTIF($O$2:$O952,$O952)=1,1,0))</f>
        <v>0</v>
      </c>
      <c r="Q952" t="str">
        <f>IF(AND($P952=1,$A952=经营数据!$B$3,$J952=经营数据!$BA$5),COUNTIFS($P$2:$P$3000,1,$A$2:$A$3000,$A952,$J$2:$J$3000,$J952,$N$2:$N$3000,"&lt;"&amp;$N952)+1,"")</f>
        <v/>
      </c>
      <c r="R952" t="str">
        <f t="shared" si="218"/>
        <v>嘉实物美消费封闭式基础设施证券投资基金|玉蜓桥项目</v>
      </c>
      <c r="S952">
        <f>IF($A952="",0,IF(COUNTIF($R$2:$R952,$R952)=1,1,0))</f>
        <v>0</v>
      </c>
      <c r="T952">
        <f t="shared" si="219"/>
        <v>904</v>
      </c>
      <c r="U952" t="str">
        <f>IF($A952="","",IF($A952=经营数据!$B$3,COUNTIFS($S$2:$S$3000,1,$A$2:$A$3000,$A952,$T$2:$T$3000,"&lt;"&amp;$T952)+1,""))</f>
        <v/>
      </c>
      <c r="V952" t="str">
        <f t="shared" si="220"/>
        <v>玉蜓桥项目|服务量</v>
      </c>
      <c r="W952">
        <f t="shared" si="221"/>
        <v>904</v>
      </c>
      <c r="X952" t="str">
        <f t="shared" si="222"/>
        <v>玉蜓桥项目|期末可供出租面积</v>
      </c>
      <c r="Y952">
        <f t="shared" si="223"/>
        <v>904</v>
      </c>
      <c r="Z952">
        <f>IF($A952="",0,IF(AND($M952=1,$A952=经营数据!$B$3,$J952=经营数据!$BA$5,OR($I952=经营数据!$BA$4,COUNTIF(经营数据!$AA$9:$AA$38,$I952)&gt;0)),1,0))</f>
        <v>0</v>
      </c>
      <c r="AA952" t="str">
        <f t="shared" si="224"/>
        <v/>
      </c>
      <c r="AB952" t="str">
        <f t="shared" si="225"/>
        <v/>
      </c>
      <c r="AC952">
        <f>IF($A952="",0,IF(COUNTIF($A$2:$A952,$A952)=1,1,0))</f>
        <v>0</v>
      </c>
      <c r="AD952">
        <f t="shared" si="226"/>
        <v>8</v>
      </c>
      <c r="AE952" t="str">
        <f t="shared" si="227"/>
        <v>玉蜓桥项目|期末可供出租面积（平方米）</v>
      </c>
    </row>
    <row r="953" spans="1:31" x14ac:dyDescent="0.4">
      <c r="A953" t="str">
        <f>IF(原始经营数据!$D954="","",原始经营数据!$D954)</f>
        <v>嘉实物美消费封闭式基础设施证券投资基金</v>
      </c>
      <c r="B953" t="str">
        <f>IF(原始经营数据!$D954="","",T(原始经营数据!$E954))</f>
        <v>玉蜓桥项目</v>
      </c>
      <c r="C953" t="str">
        <f>IF(原始经营数据!$D954="","",原始经营数据!$F954)</f>
        <v>2026Q1</v>
      </c>
      <c r="D953" t="str">
        <f>IF(原始经营数据!$D954="","",原始经营数据!$H954)</f>
        <v>期末可供出租面积</v>
      </c>
      <c r="E953">
        <f>IF(原始经营数据!$D954="","",原始经营数据!$I954)</f>
        <v>24840.41</v>
      </c>
      <c r="F953" t="str">
        <f>IF(原始经营数据!$D954="","",T(原始经营数据!$J954))</f>
        <v>平方米</v>
      </c>
      <c r="G953" t="str">
        <f>IF(原始经营数据!$D954="","",T(原始经营数据!$K954))</f>
        <v/>
      </c>
      <c r="H953" t="str">
        <f>IF(原始经营数据!$D954="","",原始经营数据!$G954)</f>
        <v>服务量</v>
      </c>
      <c r="I953" t="str">
        <f>IF($A953="","",IF($B953&lt;&gt;"",$B953,IF(COUNTIFS(原始经营数据!$D$3:$D$3001,$A953,原始经营数据!$E$3:$E$3001,"",原始经营数据!$F$3:$F$3001,$C953,原始经营数据!$H$3:$H$3001,$D953,原始经营数据!$K$3:$K$3001,$G953)&gt;1,"基金整体·来源"&amp;原始经营数据!$A954,"基金整体")))</f>
        <v>玉蜓桥项目</v>
      </c>
      <c r="J953" t="str">
        <f t="shared" si="213"/>
        <v>季度</v>
      </c>
      <c r="K953" t="str">
        <f t="shared" si="214"/>
        <v>期末可供出租面积（平方米）</v>
      </c>
      <c r="L953" t="str">
        <f t="shared" si="215"/>
        <v>玉蜓桥项目|期末可供出租面积（平方米）|季度</v>
      </c>
      <c r="M953">
        <f>IF($A953="",0,IF(COUNTIF($L$2:$L953,$L953)=1,1,0))</f>
        <v>0</v>
      </c>
      <c r="N953">
        <f t="shared" si="216"/>
        <v>20261</v>
      </c>
      <c r="O953" t="str">
        <f t="shared" si="217"/>
        <v>嘉实物美消费封闭式基础设施证券投资基金|2026Q1|季度</v>
      </c>
      <c r="P953">
        <f>IF($A953="",0,IF(COUNTIF($O$2:$O953,$O953)=1,1,0))</f>
        <v>0</v>
      </c>
      <c r="Q953" t="str">
        <f>IF(AND($P953=1,$A953=经营数据!$B$3,$J953=经营数据!$BA$5),COUNTIFS($P$2:$P$3000,1,$A$2:$A$3000,$A953,$J$2:$J$3000,$J953,$N$2:$N$3000,"&lt;"&amp;$N953)+1,"")</f>
        <v/>
      </c>
      <c r="R953" t="str">
        <f t="shared" si="218"/>
        <v>嘉实物美消费封闭式基础设施证券投资基金|玉蜓桥项目</v>
      </c>
      <c r="S953">
        <f>IF($A953="",0,IF(COUNTIF($R$2:$R953,$R953)=1,1,0))</f>
        <v>0</v>
      </c>
      <c r="T953">
        <f t="shared" si="219"/>
        <v>904</v>
      </c>
      <c r="U953" t="str">
        <f>IF($A953="","",IF($A953=经营数据!$B$3,COUNTIFS($S$2:$S$3000,1,$A$2:$A$3000,$A953,$T$2:$T$3000,"&lt;"&amp;$T953)+1,""))</f>
        <v/>
      </c>
      <c r="V953" t="str">
        <f t="shared" si="220"/>
        <v>玉蜓桥项目|服务量</v>
      </c>
      <c r="W953">
        <f t="shared" si="221"/>
        <v>904</v>
      </c>
      <c r="X953" t="str">
        <f t="shared" si="222"/>
        <v>玉蜓桥项目|期末可供出租面积</v>
      </c>
      <c r="Y953">
        <f t="shared" si="223"/>
        <v>904</v>
      </c>
      <c r="Z953">
        <f>IF($A953="",0,IF(AND($M953=1,$A953=经营数据!$B$3,$J953=经营数据!$BA$5,OR($I953=经营数据!$BA$4,COUNTIF(经营数据!$AA$9:$AA$38,$I953)&gt;0)),1,0))</f>
        <v>0</v>
      </c>
      <c r="AA953" t="str">
        <f t="shared" si="224"/>
        <v/>
      </c>
      <c r="AB953" t="str">
        <f t="shared" si="225"/>
        <v/>
      </c>
      <c r="AC953">
        <f>IF($A953="",0,IF(COUNTIF($A$2:$A953,$A953)=1,1,0))</f>
        <v>0</v>
      </c>
      <c r="AD953">
        <f t="shared" si="226"/>
        <v>8</v>
      </c>
      <c r="AE953" t="str">
        <f t="shared" si="227"/>
        <v>玉蜓桥项目|期末可供出租面积（平方米）</v>
      </c>
    </row>
    <row r="954" spans="1:31" x14ac:dyDescent="0.4">
      <c r="A954" t="str">
        <f>IF(原始经营数据!$D955="","",原始经营数据!$D955)</f>
        <v>嘉实物美消费封闭式基础设施证券投资基金</v>
      </c>
      <c r="B954" t="str">
        <f>IF(原始经营数据!$D955="","",T(原始经营数据!$E955))</f>
        <v>玉蜓桥项目</v>
      </c>
      <c r="C954" t="str">
        <f>IF(原始经营数据!$D955="","",原始经营数据!$F955)</f>
        <v>2026Q1</v>
      </c>
      <c r="D954" t="str">
        <f>IF(原始经营数据!$D955="","",原始经营数据!$H955)</f>
        <v>期末实际出租面积</v>
      </c>
      <c r="E954">
        <f>IF(原始经营数据!$D955="","",原始经营数据!$I955)</f>
        <v>24404.14</v>
      </c>
      <c r="F954" t="str">
        <f>IF(原始经营数据!$D955="","",T(原始经营数据!$J955))</f>
        <v>平方米</v>
      </c>
      <c r="G954" t="str">
        <f>IF(原始经营数据!$D955="","",T(原始经营数据!$K955))</f>
        <v/>
      </c>
      <c r="H954" t="str">
        <f>IF(原始经营数据!$D955="","",原始经营数据!$G955)</f>
        <v>服务量</v>
      </c>
      <c r="I954" t="str">
        <f>IF($A954="","",IF($B954&lt;&gt;"",$B954,IF(COUNTIFS(原始经营数据!$D$3:$D$3001,$A954,原始经营数据!$E$3:$E$3001,"",原始经营数据!$F$3:$F$3001,$C954,原始经营数据!$H$3:$H$3001,$D954,原始经营数据!$K$3:$K$3001,$G954)&gt;1,"基金整体·来源"&amp;原始经营数据!$A955,"基金整体")))</f>
        <v>玉蜓桥项目</v>
      </c>
      <c r="J954" t="str">
        <f t="shared" si="213"/>
        <v>季度</v>
      </c>
      <c r="K954" t="str">
        <f t="shared" si="214"/>
        <v>期末实际出租面积（平方米）</v>
      </c>
      <c r="L954" t="str">
        <f t="shared" si="215"/>
        <v>玉蜓桥项目|期末实际出租面积（平方米）|季度</v>
      </c>
      <c r="M954">
        <f>IF($A954="",0,IF(COUNTIF($L$2:$L954,$L954)=1,1,0))</f>
        <v>0</v>
      </c>
      <c r="N954">
        <f t="shared" si="216"/>
        <v>20261</v>
      </c>
      <c r="O954" t="str">
        <f t="shared" si="217"/>
        <v>嘉实物美消费封闭式基础设施证券投资基金|2026Q1|季度</v>
      </c>
      <c r="P954">
        <f>IF($A954="",0,IF(COUNTIF($O$2:$O954,$O954)=1,1,0))</f>
        <v>0</v>
      </c>
      <c r="Q954" t="str">
        <f>IF(AND($P954=1,$A954=经营数据!$B$3,$J954=经营数据!$BA$5),COUNTIFS($P$2:$P$3000,1,$A$2:$A$3000,$A954,$J$2:$J$3000,$J954,$N$2:$N$3000,"&lt;"&amp;$N954)+1,"")</f>
        <v/>
      </c>
      <c r="R954" t="str">
        <f t="shared" si="218"/>
        <v>嘉实物美消费封闭式基础设施证券投资基金|玉蜓桥项目</v>
      </c>
      <c r="S954">
        <f>IF($A954="",0,IF(COUNTIF($R$2:$R954,$R954)=1,1,0))</f>
        <v>0</v>
      </c>
      <c r="T954">
        <f t="shared" si="219"/>
        <v>904</v>
      </c>
      <c r="U954" t="str">
        <f>IF($A954="","",IF($A954=经营数据!$B$3,COUNTIFS($S$2:$S$3000,1,$A$2:$A$3000,$A954,$T$2:$T$3000,"&lt;"&amp;$T954)+1,""))</f>
        <v/>
      </c>
      <c r="V954" t="str">
        <f t="shared" si="220"/>
        <v>玉蜓桥项目|服务量</v>
      </c>
      <c r="W954">
        <f t="shared" si="221"/>
        <v>904</v>
      </c>
      <c r="X954" t="str">
        <f t="shared" si="222"/>
        <v>玉蜓桥项目|期末实际出租面积</v>
      </c>
      <c r="Y954">
        <f t="shared" si="223"/>
        <v>905</v>
      </c>
      <c r="Z954">
        <f>IF($A954="",0,IF(AND($M954=1,$A954=经营数据!$B$3,$J954=经营数据!$BA$5,OR($I954=经营数据!$BA$4,COUNTIF(经营数据!$AA$9:$AA$38,$I954)&gt;0)),1,0))</f>
        <v>0</v>
      </c>
      <c r="AA954" t="str">
        <f t="shared" si="224"/>
        <v/>
      </c>
      <c r="AB954" t="str">
        <f t="shared" si="225"/>
        <v/>
      </c>
      <c r="AC954">
        <f>IF($A954="",0,IF(COUNTIF($A$2:$A954,$A954)=1,1,0))</f>
        <v>0</v>
      </c>
      <c r="AD954">
        <f t="shared" si="226"/>
        <v>8</v>
      </c>
      <c r="AE954" t="str">
        <f t="shared" si="227"/>
        <v>玉蜓桥项目|期末实际出租面积（平方米）</v>
      </c>
    </row>
    <row r="955" spans="1:31" x14ac:dyDescent="0.4">
      <c r="A955" t="str">
        <f>IF(原始经营数据!$D956="","",原始经营数据!$D956)</f>
        <v>嘉实物美消费封闭式基础设施证券投资基金</v>
      </c>
      <c r="B955" t="str">
        <f>IF(原始经营数据!$D956="","",T(原始经营数据!$E956))</f>
        <v>玉蜓桥项目</v>
      </c>
      <c r="C955" t="str">
        <f>IF(原始经营数据!$D956="","",原始经营数据!$F956)</f>
        <v>2026Q1</v>
      </c>
      <c r="D955" t="str">
        <f>IF(原始经营数据!$D956="","",原始经营数据!$H956)</f>
        <v>期末出租率</v>
      </c>
      <c r="E955">
        <f>IF(原始经营数据!$D956="","",原始经营数据!$I956)</f>
        <v>98.24</v>
      </c>
      <c r="F955" t="str">
        <f>IF(原始经营数据!$D956="","",T(原始经营数据!$J956))</f>
        <v>%</v>
      </c>
      <c r="G955" t="str">
        <f>IF(原始经营数据!$D956="","",T(原始经营数据!$K956))</f>
        <v/>
      </c>
      <c r="H955" t="str">
        <f>IF(原始经营数据!$D956="","",原始经营数据!$G956)</f>
        <v>服务效率</v>
      </c>
      <c r="I955" t="str">
        <f>IF($A955="","",IF($B955&lt;&gt;"",$B955,IF(COUNTIFS(原始经营数据!$D$3:$D$3001,$A955,原始经营数据!$E$3:$E$3001,"",原始经营数据!$F$3:$F$3001,$C955,原始经营数据!$H$3:$H$3001,$D955,原始经营数据!$K$3:$K$3001,$G955)&gt;1,"基金整体·来源"&amp;原始经营数据!$A956,"基金整体")))</f>
        <v>玉蜓桥项目</v>
      </c>
      <c r="J955" t="str">
        <f t="shared" si="213"/>
        <v>季度</v>
      </c>
      <c r="K955" t="str">
        <f t="shared" si="214"/>
        <v>期末出租率（%）</v>
      </c>
      <c r="L955" t="str">
        <f t="shared" si="215"/>
        <v>玉蜓桥项目|期末出租率（%）|季度</v>
      </c>
      <c r="M955">
        <f>IF($A955="",0,IF(COUNTIF($L$2:$L955,$L955)=1,1,0))</f>
        <v>0</v>
      </c>
      <c r="N955">
        <f t="shared" si="216"/>
        <v>20261</v>
      </c>
      <c r="O955" t="str">
        <f t="shared" si="217"/>
        <v>嘉实物美消费封闭式基础设施证券投资基金|2026Q1|季度</v>
      </c>
      <c r="P955">
        <f>IF($A955="",0,IF(COUNTIF($O$2:$O955,$O955)=1,1,0))</f>
        <v>0</v>
      </c>
      <c r="Q955" t="str">
        <f>IF(AND($P955=1,$A955=经营数据!$B$3,$J955=经营数据!$BA$5),COUNTIFS($P$2:$P$3000,1,$A$2:$A$3000,$A955,$J$2:$J$3000,$J955,$N$2:$N$3000,"&lt;"&amp;$N955)+1,"")</f>
        <v/>
      </c>
      <c r="R955" t="str">
        <f t="shared" si="218"/>
        <v>嘉实物美消费封闭式基础设施证券投资基金|玉蜓桥项目</v>
      </c>
      <c r="S955">
        <f>IF($A955="",0,IF(COUNTIF($R$2:$R955,$R955)=1,1,0))</f>
        <v>0</v>
      </c>
      <c r="T955">
        <f t="shared" si="219"/>
        <v>904</v>
      </c>
      <c r="U955" t="str">
        <f>IF($A955="","",IF($A955=经营数据!$B$3,COUNTIFS($S$2:$S$3000,1,$A$2:$A$3000,$A955,$T$2:$T$3000,"&lt;"&amp;$T955)+1,""))</f>
        <v/>
      </c>
      <c r="V955" t="str">
        <f t="shared" si="220"/>
        <v>玉蜓桥项目|服务效率</v>
      </c>
      <c r="W955">
        <f t="shared" si="221"/>
        <v>906</v>
      </c>
      <c r="X955" t="str">
        <f t="shared" si="222"/>
        <v>玉蜓桥项目|期末出租率</v>
      </c>
      <c r="Y955">
        <f t="shared" si="223"/>
        <v>906</v>
      </c>
      <c r="Z955">
        <f>IF($A955="",0,IF(AND($M955=1,$A955=经营数据!$B$3,$J955=经营数据!$BA$5,OR($I955=经营数据!$BA$4,COUNTIF(经营数据!$AA$9:$AA$38,$I955)&gt;0)),1,0))</f>
        <v>0</v>
      </c>
      <c r="AA955" t="str">
        <f t="shared" si="224"/>
        <v/>
      </c>
      <c r="AB955" t="str">
        <f t="shared" si="225"/>
        <v/>
      </c>
      <c r="AC955">
        <f>IF($A955="",0,IF(COUNTIF($A$2:$A955,$A955)=1,1,0))</f>
        <v>0</v>
      </c>
      <c r="AD955">
        <f t="shared" si="226"/>
        <v>8</v>
      </c>
      <c r="AE955" t="str">
        <f t="shared" si="227"/>
        <v>玉蜓桥项目|期末出租率（%）</v>
      </c>
    </row>
    <row r="956" spans="1:31" x14ac:dyDescent="0.4">
      <c r="A956" t="str">
        <f>IF(原始经营数据!$D957="","",原始经营数据!$D957)</f>
        <v>嘉实物美消费封闭式基础设施证券投资基金</v>
      </c>
      <c r="B956" t="str">
        <f>IF(原始经营数据!$D957="","",T(原始经营数据!$E957))</f>
        <v>玉蜓桥项目</v>
      </c>
      <c r="C956" t="str">
        <f>IF(原始经营数据!$D957="","",原始经营数据!$F957)</f>
        <v>2026Q1</v>
      </c>
      <c r="D956" t="str">
        <f>IF(原始经营数据!$D957="","",原始经营数据!$H957)</f>
        <v>期内租金单价水平</v>
      </c>
      <c r="E956">
        <f>IF(原始经营数据!$D957="","",原始经营数据!$I957)</f>
        <v>5.07</v>
      </c>
      <c r="F956" t="str">
        <f>IF(原始经营数据!$D957="","",T(原始经营数据!$J957))</f>
        <v>元/平方米/天</v>
      </c>
      <c r="G956" t="str">
        <f>IF(原始经营数据!$D957="","",T(原始经营数据!$K957))</f>
        <v/>
      </c>
      <c r="H956" t="str">
        <f>IF(原始经营数据!$D957="","",原始经营数据!$G957)</f>
        <v>服务价格</v>
      </c>
      <c r="I956" t="str">
        <f>IF($A956="","",IF($B956&lt;&gt;"",$B956,IF(COUNTIFS(原始经营数据!$D$3:$D$3001,$A956,原始经营数据!$E$3:$E$3001,"",原始经营数据!$F$3:$F$3001,$C956,原始经营数据!$H$3:$H$3001,$D956,原始经营数据!$K$3:$K$3001,$G956)&gt;1,"基金整体·来源"&amp;原始经营数据!$A957,"基金整体")))</f>
        <v>玉蜓桥项目</v>
      </c>
      <c r="J956" t="str">
        <f t="shared" si="213"/>
        <v>季度</v>
      </c>
      <c r="K956" t="str">
        <f t="shared" si="214"/>
        <v>期内租金单价水平（元/平方米/天）</v>
      </c>
      <c r="L956" t="str">
        <f t="shared" si="215"/>
        <v>玉蜓桥项目|期内租金单价水平（元/平方米/天）|季度</v>
      </c>
      <c r="M956">
        <f>IF($A956="",0,IF(COUNTIF($L$2:$L956,$L956)=1,1,0))</f>
        <v>0</v>
      </c>
      <c r="N956">
        <f t="shared" si="216"/>
        <v>20261</v>
      </c>
      <c r="O956" t="str">
        <f t="shared" si="217"/>
        <v>嘉实物美消费封闭式基础设施证券投资基金|2026Q1|季度</v>
      </c>
      <c r="P956">
        <f>IF($A956="",0,IF(COUNTIF($O$2:$O956,$O956)=1,1,0))</f>
        <v>0</v>
      </c>
      <c r="Q956" t="str">
        <f>IF(AND($P956=1,$A956=经营数据!$B$3,$J956=经营数据!$BA$5),COUNTIFS($P$2:$P$3000,1,$A$2:$A$3000,$A956,$J$2:$J$3000,$J956,$N$2:$N$3000,"&lt;"&amp;$N956)+1,"")</f>
        <v/>
      </c>
      <c r="R956" t="str">
        <f t="shared" si="218"/>
        <v>嘉实物美消费封闭式基础设施证券投资基金|玉蜓桥项目</v>
      </c>
      <c r="S956">
        <f>IF($A956="",0,IF(COUNTIF($R$2:$R956,$R956)=1,1,0))</f>
        <v>0</v>
      </c>
      <c r="T956">
        <f t="shared" si="219"/>
        <v>904</v>
      </c>
      <c r="U956" t="str">
        <f>IF($A956="","",IF($A956=经营数据!$B$3,COUNTIFS($S$2:$S$3000,1,$A$2:$A$3000,$A956,$T$2:$T$3000,"&lt;"&amp;$T956)+1,""))</f>
        <v/>
      </c>
      <c r="V956" t="str">
        <f t="shared" si="220"/>
        <v>玉蜓桥项目|服务价格</v>
      </c>
      <c r="W956">
        <f t="shared" si="221"/>
        <v>908</v>
      </c>
      <c r="X956" t="str">
        <f t="shared" si="222"/>
        <v>玉蜓桥项目|期内租金单价水平</v>
      </c>
      <c r="Y956">
        <f t="shared" si="223"/>
        <v>908</v>
      </c>
      <c r="Z956">
        <f>IF($A956="",0,IF(AND($M956=1,$A956=经营数据!$B$3,$J956=经营数据!$BA$5,OR($I956=经营数据!$BA$4,COUNTIF(经营数据!$AA$9:$AA$38,$I956)&gt;0)),1,0))</f>
        <v>0</v>
      </c>
      <c r="AA956" t="str">
        <f t="shared" si="224"/>
        <v/>
      </c>
      <c r="AB956" t="str">
        <f t="shared" si="225"/>
        <v/>
      </c>
      <c r="AC956">
        <f>IF($A956="",0,IF(COUNTIF($A$2:$A956,$A956)=1,1,0))</f>
        <v>0</v>
      </c>
      <c r="AD956">
        <f t="shared" si="226"/>
        <v>8</v>
      </c>
      <c r="AE956" t="str">
        <f t="shared" si="227"/>
        <v>玉蜓桥项目|期内租金单价水平（元/平方米/天）</v>
      </c>
    </row>
    <row r="957" spans="1:31" x14ac:dyDescent="0.4">
      <c r="A957" t="str">
        <f>IF(原始经营数据!$D958="","",原始经营数据!$D958)</f>
        <v>嘉实物美消费封闭式基础设施证券投资基金</v>
      </c>
      <c r="B957" t="str">
        <f>IF(原始经营数据!$D958="","",T(原始经营数据!$E958))</f>
        <v>玉蜓桥项目</v>
      </c>
      <c r="C957" t="str">
        <f>IF(原始经营数据!$D958="","",原始经营数据!$F958)</f>
        <v>2026Q1</v>
      </c>
      <c r="D957" t="str">
        <f>IF(原始经营数据!$D958="","",原始经营数据!$H958)</f>
        <v>期末剩余租期情况</v>
      </c>
      <c r="E957">
        <f>IF(原始经营数据!$D958="","",原始经营数据!$I958)</f>
        <v>6.11</v>
      </c>
      <c r="F957" t="str">
        <f>IF(原始经营数据!$D958="","",T(原始经营数据!$J958))</f>
        <v>年</v>
      </c>
      <c r="G957" t="str">
        <f>IF(原始经营数据!$D958="","",T(原始经营数据!$K958))</f>
        <v/>
      </c>
      <c r="H957" t="str">
        <f>IF(原始经营数据!$D958="","",原始经营数据!$G958)</f>
        <v>服务量</v>
      </c>
      <c r="I957" t="str">
        <f>IF($A957="","",IF($B957&lt;&gt;"",$B957,IF(COUNTIFS(原始经营数据!$D$3:$D$3001,$A957,原始经营数据!$E$3:$E$3001,"",原始经营数据!$F$3:$F$3001,$C957,原始经营数据!$H$3:$H$3001,$D957,原始经营数据!$K$3:$K$3001,$G957)&gt;1,"基金整体·来源"&amp;原始经营数据!$A958,"基金整体")))</f>
        <v>玉蜓桥项目</v>
      </c>
      <c r="J957" t="str">
        <f t="shared" si="213"/>
        <v>季度</v>
      </c>
      <c r="K957" t="str">
        <f t="shared" si="214"/>
        <v>期末剩余租期情况（年）</v>
      </c>
      <c r="L957" t="str">
        <f t="shared" si="215"/>
        <v>玉蜓桥项目|期末剩余租期情况（年）|季度</v>
      </c>
      <c r="M957">
        <f>IF($A957="",0,IF(COUNTIF($L$2:$L957,$L957)=1,1,0))</f>
        <v>0</v>
      </c>
      <c r="N957">
        <f t="shared" si="216"/>
        <v>20261</v>
      </c>
      <c r="O957" t="str">
        <f t="shared" si="217"/>
        <v>嘉实物美消费封闭式基础设施证券投资基金|2026Q1|季度</v>
      </c>
      <c r="P957">
        <f>IF($A957="",0,IF(COUNTIF($O$2:$O957,$O957)=1,1,0))</f>
        <v>0</v>
      </c>
      <c r="Q957" t="str">
        <f>IF(AND($P957=1,$A957=经营数据!$B$3,$J957=经营数据!$BA$5),COUNTIFS($P$2:$P$3000,1,$A$2:$A$3000,$A957,$J$2:$J$3000,$J957,$N$2:$N$3000,"&lt;"&amp;$N957)+1,"")</f>
        <v/>
      </c>
      <c r="R957" t="str">
        <f t="shared" si="218"/>
        <v>嘉实物美消费封闭式基础设施证券投资基金|玉蜓桥项目</v>
      </c>
      <c r="S957">
        <f>IF($A957="",0,IF(COUNTIF($R$2:$R957,$R957)=1,1,0))</f>
        <v>0</v>
      </c>
      <c r="T957">
        <f t="shared" si="219"/>
        <v>904</v>
      </c>
      <c r="U957" t="str">
        <f>IF($A957="","",IF($A957=经营数据!$B$3,COUNTIFS($S$2:$S$3000,1,$A$2:$A$3000,$A957,$T$2:$T$3000,"&lt;"&amp;$T957)+1,""))</f>
        <v/>
      </c>
      <c r="V957" t="str">
        <f t="shared" si="220"/>
        <v>玉蜓桥项目|服务量</v>
      </c>
      <c r="W957">
        <f t="shared" si="221"/>
        <v>904</v>
      </c>
      <c r="X957" t="str">
        <f t="shared" si="222"/>
        <v>玉蜓桥项目|期末剩余租期情况</v>
      </c>
      <c r="Y957">
        <f t="shared" si="223"/>
        <v>909</v>
      </c>
      <c r="Z957">
        <f>IF($A957="",0,IF(AND($M957=1,$A957=经营数据!$B$3,$J957=经营数据!$BA$5,OR($I957=经营数据!$BA$4,COUNTIF(经营数据!$AA$9:$AA$38,$I957)&gt;0)),1,0))</f>
        <v>0</v>
      </c>
      <c r="AA957" t="str">
        <f t="shared" si="224"/>
        <v/>
      </c>
      <c r="AB957" t="str">
        <f t="shared" si="225"/>
        <v/>
      </c>
      <c r="AC957">
        <f>IF($A957="",0,IF(COUNTIF($A$2:$A957,$A957)=1,1,0))</f>
        <v>0</v>
      </c>
      <c r="AD957">
        <f t="shared" si="226"/>
        <v>8</v>
      </c>
      <c r="AE957" t="str">
        <f t="shared" si="227"/>
        <v>玉蜓桥项目|期末剩余租期情况（年）</v>
      </c>
    </row>
    <row r="958" spans="1:31" x14ac:dyDescent="0.4">
      <c r="A958" t="str">
        <f>IF(原始经营数据!$D959="","",原始经营数据!$D959)</f>
        <v>嘉实物美消费封闭式基础设施证券投资基金</v>
      </c>
      <c r="B958" t="str">
        <f>IF(原始经营数据!$D959="","",T(原始经营数据!$E959))</f>
        <v>玉蜓桥项目</v>
      </c>
      <c r="C958" t="str">
        <f>IF(原始经营数据!$D959="","",原始经营数据!$F959)</f>
        <v>2026Q1</v>
      </c>
      <c r="D958" t="str">
        <f>IF(原始经营数据!$D959="","",原始经营数据!$H959)</f>
        <v>期末租金收缴率</v>
      </c>
      <c r="E958">
        <f>IF(原始经营数据!$D959="","",原始经营数据!$I959)</f>
        <v>99.85</v>
      </c>
      <c r="F958" t="str">
        <f>IF(原始经营数据!$D959="","",T(原始经营数据!$J959))</f>
        <v>%</v>
      </c>
      <c r="G958" t="str">
        <f>IF(原始经营数据!$D959="","",T(原始经营数据!$K959))</f>
        <v/>
      </c>
      <c r="H958" t="str">
        <f>IF(原始经营数据!$D959="","",原始经营数据!$G959)</f>
        <v>服务效率</v>
      </c>
      <c r="I958" t="str">
        <f>IF($A958="","",IF($B958&lt;&gt;"",$B958,IF(COUNTIFS(原始经营数据!$D$3:$D$3001,$A958,原始经营数据!$E$3:$E$3001,"",原始经营数据!$F$3:$F$3001,$C958,原始经营数据!$H$3:$H$3001,$D958,原始经营数据!$K$3:$K$3001,$G958)&gt;1,"基金整体·来源"&amp;原始经营数据!$A959,"基金整体")))</f>
        <v>玉蜓桥项目</v>
      </c>
      <c r="J958" t="str">
        <f t="shared" si="213"/>
        <v>季度</v>
      </c>
      <c r="K958" t="str">
        <f t="shared" si="214"/>
        <v>期末租金收缴率（%）</v>
      </c>
      <c r="L958" t="str">
        <f t="shared" si="215"/>
        <v>玉蜓桥项目|期末租金收缴率（%）|季度</v>
      </c>
      <c r="M958">
        <f>IF($A958="",0,IF(COUNTIF($L$2:$L958,$L958)=1,1,0))</f>
        <v>0</v>
      </c>
      <c r="N958">
        <f t="shared" si="216"/>
        <v>20261</v>
      </c>
      <c r="O958" t="str">
        <f t="shared" si="217"/>
        <v>嘉实物美消费封闭式基础设施证券投资基金|2026Q1|季度</v>
      </c>
      <c r="P958">
        <f>IF($A958="",0,IF(COUNTIF($O$2:$O958,$O958)=1,1,0))</f>
        <v>0</v>
      </c>
      <c r="Q958" t="str">
        <f>IF(AND($P958=1,$A958=经营数据!$B$3,$J958=经营数据!$BA$5),COUNTIFS($P$2:$P$3000,1,$A$2:$A$3000,$A958,$J$2:$J$3000,$J958,$N$2:$N$3000,"&lt;"&amp;$N958)+1,"")</f>
        <v/>
      </c>
      <c r="R958" t="str">
        <f t="shared" si="218"/>
        <v>嘉实物美消费封闭式基础设施证券投资基金|玉蜓桥项目</v>
      </c>
      <c r="S958">
        <f>IF($A958="",0,IF(COUNTIF($R$2:$R958,$R958)=1,1,0))</f>
        <v>0</v>
      </c>
      <c r="T958">
        <f t="shared" si="219"/>
        <v>904</v>
      </c>
      <c r="U958" t="str">
        <f>IF($A958="","",IF($A958=经营数据!$B$3,COUNTIFS($S$2:$S$3000,1,$A$2:$A$3000,$A958,$T$2:$T$3000,"&lt;"&amp;$T958)+1,""))</f>
        <v/>
      </c>
      <c r="V958" t="str">
        <f t="shared" si="220"/>
        <v>玉蜓桥项目|服务效率</v>
      </c>
      <c r="W958">
        <f t="shared" si="221"/>
        <v>906</v>
      </c>
      <c r="X958" t="str">
        <f t="shared" si="222"/>
        <v>玉蜓桥项目|期末租金收缴率</v>
      </c>
      <c r="Y958">
        <f t="shared" si="223"/>
        <v>907</v>
      </c>
      <c r="Z958">
        <f>IF($A958="",0,IF(AND($M958=1,$A958=经营数据!$B$3,$J958=经营数据!$BA$5,OR($I958=经营数据!$BA$4,COUNTIF(经营数据!$AA$9:$AA$38,$I958)&gt;0)),1,0))</f>
        <v>0</v>
      </c>
      <c r="AA958" t="str">
        <f t="shared" si="224"/>
        <v/>
      </c>
      <c r="AB958" t="str">
        <f t="shared" si="225"/>
        <v/>
      </c>
      <c r="AC958">
        <f>IF($A958="",0,IF(COUNTIF($A$2:$A958,$A958)=1,1,0))</f>
        <v>0</v>
      </c>
      <c r="AD958">
        <f t="shared" si="226"/>
        <v>8</v>
      </c>
      <c r="AE958" t="str">
        <f t="shared" si="227"/>
        <v>玉蜓桥项目|期末租金收缴率（%）</v>
      </c>
    </row>
    <row r="959" spans="1:31" x14ac:dyDescent="0.4">
      <c r="A959" t="str">
        <f>IF(原始经营数据!$D960="","",原始经营数据!$D960)</f>
        <v>嘉实物美消费封闭式基础设施证券投资基金</v>
      </c>
      <c r="B959" t="str">
        <f>IF(原始经营数据!$D960="","",T(原始经营数据!$E960))</f>
        <v>玉蜓桥项目</v>
      </c>
      <c r="C959" t="str">
        <f>IF(原始经营数据!$D960="","",原始经营数据!$F960)</f>
        <v>2026Q2</v>
      </c>
      <c r="D959" t="str">
        <f>IF(原始经营数据!$D960="","",原始经营数据!$H960)</f>
        <v>期末可供出租面积</v>
      </c>
      <c r="E959">
        <f>IF(原始经营数据!$D960="","",原始经营数据!$I960)</f>
        <v>24840.41</v>
      </c>
      <c r="F959" t="str">
        <f>IF(原始经营数据!$D960="","",T(原始经营数据!$J960))</f>
        <v>平方米</v>
      </c>
      <c r="G959" t="str">
        <f>IF(原始经营数据!$D960="","",T(原始经营数据!$K960))</f>
        <v/>
      </c>
      <c r="H959" t="str">
        <f>IF(原始经营数据!$D960="","",原始经营数据!$G960)</f>
        <v>服务量</v>
      </c>
      <c r="I959" t="str">
        <f>IF($A959="","",IF($B959&lt;&gt;"",$B959,IF(COUNTIFS(原始经营数据!$D$3:$D$3001,$A959,原始经营数据!$E$3:$E$3001,"",原始经营数据!$F$3:$F$3001,$C959,原始经营数据!$H$3:$H$3001,$D959,原始经营数据!$K$3:$K$3001,$G959)&gt;1,"基金整体·来源"&amp;原始经营数据!$A960,"基金整体")))</f>
        <v>玉蜓桥项目</v>
      </c>
      <c r="J959" t="str">
        <f t="shared" si="213"/>
        <v>季度</v>
      </c>
      <c r="K959" t="str">
        <f t="shared" si="214"/>
        <v>期末可供出租面积（平方米）</v>
      </c>
      <c r="L959" t="str">
        <f t="shared" si="215"/>
        <v>玉蜓桥项目|期末可供出租面积（平方米）|季度</v>
      </c>
      <c r="M959">
        <f>IF($A959="",0,IF(COUNTIF($L$2:$L959,$L959)=1,1,0))</f>
        <v>0</v>
      </c>
      <c r="N959">
        <f t="shared" si="216"/>
        <v>20262</v>
      </c>
      <c r="O959" t="str">
        <f t="shared" si="217"/>
        <v>嘉实物美消费封闭式基础设施证券投资基金|2026Q2|季度</v>
      </c>
      <c r="P959">
        <f>IF($A959="",0,IF(COUNTIF($O$2:$O959,$O959)=1,1,0))</f>
        <v>0</v>
      </c>
      <c r="Q959" t="str">
        <f>IF(AND($P959=1,$A959=经营数据!$B$3,$J959=经营数据!$BA$5),COUNTIFS($P$2:$P$3000,1,$A$2:$A$3000,$A959,$J$2:$J$3000,$J959,$N$2:$N$3000,"&lt;"&amp;$N959)+1,"")</f>
        <v/>
      </c>
      <c r="R959" t="str">
        <f t="shared" si="218"/>
        <v>嘉实物美消费封闭式基础设施证券投资基金|玉蜓桥项目</v>
      </c>
      <c r="S959">
        <f>IF($A959="",0,IF(COUNTIF($R$2:$R959,$R959)=1,1,0))</f>
        <v>0</v>
      </c>
      <c r="T959">
        <f t="shared" si="219"/>
        <v>904</v>
      </c>
      <c r="U959" t="str">
        <f>IF($A959="","",IF($A959=经营数据!$B$3,COUNTIFS($S$2:$S$3000,1,$A$2:$A$3000,$A959,$T$2:$T$3000,"&lt;"&amp;$T959)+1,""))</f>
        <v/>
      </c>
      <c r="V959" t="str">
        <f t="shared" si="220"/>
        <v>玉蜓桥项目|服务量</v>
      </c>
      <c r="W959">
        <f t="shared" si="221"/>
        <v>904</v>
      </c>
      <c r="X959" t="str">
        <f t="shared" si="222"/>
        <v>玉蜓桥项目|期末可供出租面积</v>
      </c>
      <c r="Y959">
        <f t="shared" si="223"/>
        <v>904</v>
      </c>
      <c r="Z959">
        <f>IF($A959="",0,IF(AND($M959=1,$A959=经营数据!$B$3,$J959=经营数据!$BA$5,OR($I959=经营数据!$BA$4,COUNTIF(经营数据!$AA$9:$AA$38,$I959)&gt;0)),1,0))</f>
        <v>0</v>
      </c>
      <c r="AA959" t="str">
        <f t="shared" si="224"/>
        <v/>
      </c>
      <c r="AB959" t="str">
        <f t="shared" si="225"/>
        <v/>
      </c>
      <c r="AC959">
        <f>IF($A959="",0,IF(COUNTIF($A$2:$A959,$A959)=1,1,0))</f>
        <v>0</v>
      </c>
      <c r="AD959">
        <f t="shared" si="226"/>
        <v>8</v>
      </c>
      <c r="AE959" t="str">
        <f t="shared" si="227"/>
        <v>玉蜓桥项目|期末可供出租面积（平方米）</v>
      </c>
    </row>
    <row r="960" spans="1:31" x14ac:dyDescent="0.4">
      <c r="A960" t="str">
        <f>IF(原始经营数据!$D961="","",原始经营数据!$D961)</f>
        <v>嘉实物美消费封闭式基础设施证券投资基金</v>
      </c>
      <c r="B960" t="str">
        <f>IF(原始经营数据!$D961="","",T(原始经营数据!$E961))</f>
        <v>玉蜓桥项目</v>
      </c>
      <c r="C960" t="str">
        <f>IF(原始经营数据!$D961="","",原始经营数据!$F961)</f>
        <v>2026Q2</v>
      </c>
      <c r="D960" t="str">
        <f>IF(原始经营数据!$D961="","",原始经营数据!$H961)</f>
        <v>期末实际出租面积</v>
      </c>
      <c r="E960">
        <f>IF(原始经营数据!$D961="","",原始经营数据!$I961)</f>
        <v>24404.76</v>
      </c>
      <c r="F960" t="str">
        <f>IF(原始经营数据!$D961="","",T(原始经营数据!$J961))</f>
        <v>平方米</v>
      </c>
      <c r="G960" t="str">
        <f>IF(原始经营数据!$D961="","",T(原始经营数据!$K961))</f>
        <v/>
      </c>
      <c r="H960" t="str">
        <f>IF(原始经营数据!$D961="","",原始经营数据!$G961)</f>
        <v>服务量</v>
      </c>
      <c r="I960" t="str">
        <f>IF($A960="","",IF($B960&lt;&gt;"",$B960,IF(COUNTIFS(原始经营数据!$D$3:$D$3001,$A960,原始经营数据!$E$3:$E$3001,"",原始经营数据!$F$3:$F$3001,$C960,原始经营数据!$H$3:$H$3001,$D960,原始经营数据!$K$3:$K$3001,$G960)&gt;1,"基金整体·来源"&amp;原始经营数据!$A961,"基金整体")))</f>
        <v>玉蜓桥项目</v>
      </c>
      <c r="J960" t="str">
        <f t="shared" si="213"/>
        <v>季度</v>
      </c>
      <c r="K960" t="str">
        <f t="shared" si="214"/>
        <v>期末实际出租面积（平方米）</v>
      </c>
      <c r="L960" t="str">
        <f t="shared" si="215"/>
        <v>玉蜓桥项目|期末实际出租面积（平方米）|季度</v>
      </c>
      <c r="M960">
        <f>IF($A960="",0,IF(COUNTIF($L$2:$L960,$L960)=1,1,0))</f>
        <v>0</v>
      </c>
      <c r="N960">
        <f t="shared" si="216"/>
        <v>20262</v>
      </c>
      <c r="O960" t="str">
        <f t="shared" si="217"/>
        <v>嘉实物美消费封闭式基础设施证券投资基金|2026Q2|季度</v>
      </c>
      <c r="P960">
        <f>IF($A960="",0,IF(COUNTIF($O$2:$O960,$O960)=1,1,0))</f>
        <v>0</v>
      </c>
      <c r="Q960" t="str">
        <f>IF(AND($P960=1,$A960=经营数据!$B$3,$J960=经营数据!$BA$5),COUNTIFS($P$2:$P$3000,1,$A$2:$A$3000,$A960,$J$2:$J$3000,$J960,$N$2:$N$3000,"&lt;"&amp;$N960)+1,"")</f>
        <v/>
      </c>
      <c r="R960" t="str">
        <f t="shared" si="218"/>
        <v>嘉实物美消费封闭式基础设施证券投资基金|玉蜓桥项目</v>
      </c>
      <c r="S960">
        <f>IF($A960="",0,IF(COUNTIF($R$2:$R960,$R960)=1,1,0))</f>
        <v>0</v>
      </c>
      <c r="T960">
        <f t="shared" si="219"/>
        <v>904</v>
      </c>
      <c r="U960" t="str">
        <f>IF($A960="","",IF($A960=经营数据!$B$3,COUNTIFS($S$2:$S$3000,1,$A$2:$A$3000,$A960,$T$2:$T$3000,"&lt;"&amp;$T960)+1,""))</f>
        <v/>
      </c>
      <c r="V960" t="str">
        <f t="shared" si="220"/>
        <v>玉蜓桥项目|服务量</v>
      </c>
      <c r="W960">
        <f t="shared" si="221"/>
        <v>904</v>
      </c>
      <c r="X960" t="str">
        <f t="shared" si="222"/>
        <v>玉蜓桥项目|期末实际出租面积</v>
      </c>
      <c r="Y960">
        <f t="shared" si="223"/>
        <v>905</v>
      </c>
      <c r="Z960">
        <f>IF($A960="",0,IF(AND($M960=1,$A960=经营数据!$B$3,$J960=经营数据!$BA$5,OR($I960=经营数据!$BA$4,COUNTIF(经营数据!$AA$9:$AA$38,$I960)&gt;0)),1,0))</f>
        <v>0</v>
      </c>
      <c r="AA960" t="str">
        <f t="shared" si="224"/>
        <v/>
      </c>
      <c r="AB960" t="str">
        <f t="shared" si="225"/>
        <v/>
      </c>
      <c r="AC960">
        <f>IF($A960="",0,IF(COUNTIF($A$2:$A960,$A960)=1,1,0))</f>
        <v>0</v>
      </c>
      <c r="AD960">
        <f t="shared" si="226"/>
        <v>8</v>
      </c>
      <c r="AE960" t="str">
        <f t="shared" si="227"/>
        <v>玉蜓桥项目|期末实际出租面积（平方米）</v>
      </c>
    </row>
    <row r="961" spans="1:31" x14ac:dyDescent="0.4">
      <c r="A961" t="str">
        <f>IF(原始经营数据!$D962="","",原始经营数据!$D962)</f>
        <v>嘉实物美消费封闭式基础设施证券投资基金</v>
      </c>
      <c r="B961" t="str">
        <f>IF(原始经营数据!$D962="","",T(原始经营数据!$E962))</f>
        <v>玉蜓桥项目</v>
      </c>
      <c r="C961" t="str">
        <f>IF(原始经营数据!$D962="","",原始经营数据!$F962)</f>
        <v>2026Q2</v>
      </c>
      <c r="D961" t="str">
        <f>IF(原始经营数据!$D962="","",原始经营数据!$H962)</f>
        <v>期末出租率</v>
      </c>
      <c r="E961">
        <f>IF(原始经营数据!$D962="","",原始经营数据!$I962)</f>
        <v>98.25</v>
      </c>
      <c r="F961" t="str">
        <f>IF(原始经营数据!$D962="","",T(原始经营数据!$J962))</f>
        <v>%</v>
      </c>
      <c r="G961" t="str">
        <f>IF(原始经营数据!$D962="","",T(原始经营数据!$K962))</f>
        <v/>
      </c>
      <c r="H961" t="str">
        <f>IF(原始经营数据!$D962="","",原始经营数据!$G962)</f>
        <v>服务效率</v>
      </c>
      <c r="I961" t="str">
        <f>IF($A961="","",IF($B961&lt;&gt;"",$B961,IF(COUNTIFS(原始经营数据!$D$3:$D$3001,$A961,原始经营数据!$E$3:$E$3001,"",原始经营数据!$F$3:$F$3001,$C961,原始经营数据!$H$3:$H$3001,$D961,原始经营数据!$K$3:$K$3001,$G961)&gt;1,"基金整体·来源"&amp;原始经营数据!$A962,"基金整体")))</f>
        <v>玉蜓桥项目</v>
      </c>
      <c r="J961" t="str">
        <f t="shared" si="213"/>
        <v>季度</v>
      </c>
      <c r="K961" t="str">
        <f t="shared" si="214"/>
        <v>期末出租率（%）</v>
      </c>
      <c r="L961" t="str">
        <f t="shared" si="215"/>
        <v>玉蜓桥项目|期末出租率（%）|季度</v>
      </c>
      <c r="M961">
        <f>IF($A961="",0,IF(COUNTIF($L$2:$L961,$L961)=1,1,0))</f>
        <v>0</v>
      </c>
      <c r="N961">
        <f t="shared" si="216"/>
        <v>20262</v>
      </c>
      <c r="O961" t="str">
        <f t="shared" si="217"/>
        <v>嘉实物美消费封闭式基础设施证券投资基金|2026Q2|季度</v>
      </c>
      <c r="P961">
        <f>IF($A961="",0,IF(COUNTIF($O$2:$O961,$O961)=1,1,0))</f>
        <v>0</v>
      </c>
      <c r="Q961" t="str">
        <f>IF(AND($P961=1,$A961=经营数据!$B$3,$J961=经营数据!$BA$5),COUNTIFS($P$2:$P$3000,1,$A$2:$A$3000,$A961,$J$2:$J$3000,$J961,$N$2:$N$3000,"&lt;"&amp;$N961)+1,"")</f>
        <v/>
      </c>
      <c r="R961" t="str">
        <f t="shared" si="218"/>
        <v>嘉实物美消费封闭式基础设施证券投资基金|玉蜓桥项目</v>
      </c>
      <c r="S961">
        <f>IF($A961="",0,IF(COUNTIF($R$2:$R961,$R961)=1,1,0))</f>
        <v>0</v>
      </c>
      <c r="T961">
        <f t="shared" si="219"/>
        <v>904</v>
      </c>
      <c r="U961" t="str">
        <f>IF($A961="","",IF($A961=经营数据!$B$3,COUNTIFS($S$2:$S$3000,1,$A$2:$A$3000,$A961,$T$2:$T$3000,"&lt;"&amp;$T961)+1,""))</f>
        <v/>
      </c>
      <c r="V961" t="str">
        <f t="shared" si="220"/>
        <v>玉蜓桥项目|服务效率</v>
      </c>
      <c r="W961">
        <f t="shared" si="221"/>
        <v>906</v>
      </c>
      <c r="X961" t="str">
        <f t="shared" si="222"/>
        <v>玉蜓桥项目|期末出租率</v>
      </c>
      <c r="Y961">
        <f t="shared" si="223"/>
        <v>906</v>
      </c>
      <c r="Z961">
        <f>IF($A961="",0,IF(AND($M961=1,$A961=经营数据!$B$3,$J961=经营数据!$BA$5,OR($I961=经营数据!$BA$4,COUNTIF(经营数据!$AA$9:$AA$38,$I961)&gt;0)),1,0))</f>
        <v>0</v>
      </c>
      <c r="AA961" t="str">
        <f t="shared" si="224"/>
        <v/>
      </c>
      <c r="AB961" t="str">
        <f t="shared" si="225"/>
        <v/>
      </c>
      <c r="AC961">
        <f>IF($A961="",0,IF(COUNTIF($A$2:$A961,$A961)=1,1,0))</f>
        <v>0</v>
      </c>
      <c r="AD961">
        <f t="shared" si="226"/>
        <v>8</v>
      </c>
      <c r="AE961" t="str">
        <f t="shared" si="227"/>
        <v>玉蜓桥项目|期末出租率（%）</v>
      </c>
    </row>
    <row r="962" spans="1:31" x14ac:dyDescent="0.4">
      <c r="A962" t="str">
        <f>IF(原始经营数据!$D963="","",原始经营数据!$D963)</f>
        <v>嘉实物美消费封闭式基础设施证券投资基金</v>
      </c>
      <c r="B962" t="str">
        <f>IF(原始经营数据!$D963="","",T(原始经营数据!$E963))</f>
        <v>玉蜓桥项目</v>
      </c>
      <c r="C962" t="str">
        <f>IF(原始经营数据!$D963="","",原始经营数据!$F963)</f>
        <v>2026Q2</v>
      </c>
      <c r="D962" t="str">
        <f>IF(原始经营数据!$D963="","",原始经营数据!$H963)</f>
        <v>期末剩余租期情况</v>
      </c>
      <c r="E962">
        <f>IF(原始经营数据!$D963="","",原始经营数据!$I963)</f>
        <v>5.86</v>
      </c>
      <c r="F962" t="str">
        <f>IF(原始经营数据!$D963="","",T(原始经营数据!$J963))</f>
        <v>年</v>
      </c>
      <c r="G962" t="str">
        <f>IF(原始经营数据!$D963="","",T(原始经营数据!$K963))</f>
        <v/>
      </c>
      <c r="H962" t="str">
        <f>IF(原始经营数据!$D963="","",原始经营数据!$G963)</f>
        <v>服务量</v>
      </c>
      <c r="I962" t="str">
        <f>IF($A962="","",IF($B962&lt;&gt;"",$B962,IF(COUNTIFS(原始经营数据!$D$3:$D$3001,$A962,原始经营数据!$E$3:$E$3001,"",原始经营数据!$F$3:$F$3001,$C962,原始经营数据!$H$3:$H$3001,$D962,原始经营数据!$K$3:$K$3001,$G962)&gt;1,"基金整体·来源"&amp;原始经营数据!$A963,"基金整体")))</f>
        <v>玉蜓桥项目</v>
      </c>
      <c r="J962" t="str">
        <f t="shared" ref="J962:J1025" si="228">IF($A962="","",IF(LEN($C962)=4,"年度",IF(AND(LEN($C962)=6,ISNUMBER(SEARCH("Q",$C962))),"季度","其他期间")))</f>
        <v>季度</v>
      </c>
      <c r="K962" t="str">
        <f t="shared" ref="K962:K1025" si="229">IF($A962="","",$D962&amp;IF($G962="","","-"&amp;SUBSTITUTE($G962,CHAR(10),""))&amp;IF($F962="","","（"&amp;$F962&amp;"）"))</f>
        <v>期末剩余租期情况（年）</v>
      </c>
      <c r="L962" t="str">
        <f t="shared" ref="L962:L1025" si="230">IF($A962="","",$I962&amp;"|"&amp;$K962&amp;"|"&amp;$J962)</f>
        <v>玉蜓桥项目|期末剩余租期情况（年）|季度</v>
      </c>
      <c r="M962">
        <f>IF($A962="",0,IF(COUNTIF($L$2:$L962,$L962)=1,1,0))</f>
        <v>0</v>
      </c>
      <c r="N962">
        <f t="shared" ref="N962:N1025" si="231">IF($A962="","",IF($J962="年度",VALUE($C962)*10,IF($J962="季度",VALUE(LEFT($C962,4))*10+VALUE(RIGHT($C962,1)),VALUE(LEFT($C962,4))*10+9)))</f>
        <v>20262</v>
      </c>
      <c r="O962" t="str">
        <f t="shared" ref="O962:O1025" si="232">IF($A962="","",$A962&amp;"|"&amp;$C962&amp;"|"&amp;$J962)</f>
        <v>嘉实物美消费封闭式基础设施证券投资基金|2026Q2|季度</v>
      </c>
      <c r="P962">
        <f>IF($A962="",0,IF(COUNTIF($O$2:$O962,$O962)=1,1,0))</f>
        <v>0</v>
      </c>
      <c r="Q962" t="str">
        <f>IF(AND($P962=1,$A962=经营数据!$B$3,$J962=经营数据!$BA$5),COUNTIFS($P$2:$P$3000,1,$A$2:$A$3000,$A962,$J$2:$J$3000,$J962,$N$2:$N$3000,"&lt;"&amp;$N962)+1,"")</f>
        <v/>
      </c>
      <c r="R962" t="str">
        <f t="shared" ref="R962:R1025" si="233">IF($A962="","",$A962&amp;"|"&amp;$I962)</f>
        <v>嘉实物美消费封闭式基础设施证券投资基金|玉蜓桥项目</v>
      </c>
      <c r="S962">
        <f>IF($A962="",0,IF(COUNTIF($R$2:$R962,$R962)=1,1,0))</f>
        <v>0</v>
      </c>
      <c r="T962">
        <f t="shared" ref="T962:T1025" si="234">IF($A962="","",MATCH($R962,$R$2:$R$3000,0))</f>
        <v>904</v>
      </c>
      <c r="U962" t="str">
        <f>IF($A962="","",IF($A962=经营数据!$B$3,COUNTIFS($S$2:$S$3000,1,$A$2:$A$3000,$A962,$T$2:$T$3000,"&lt;"&amp;$T962)+1,""))</f>
        <v/>
      </c>
      <c r="V962" t="str">
        <f t="shared" ref="V962:V1025" si="235">IF($A962="","",$I962&amp;"|"&amp;$H962)</f>
        <v>玉蜓桥项目|服务量</v>
      </c>
      <c r="W962">
        <f t="shared" ref="W962:W1025" si="236">IF($A962="","",MATCH($V962,$V$2:$V$3000,0))</f>
        <v>904</v>
      </c>
      <c r="X962" t="str">
        <f t="shared" ref="X962:X1025" si="237">IF($A962="","",$I962&amp;"|"&amp;$D962)</f>
        <v>玉蜓桥项目|期末剩余租期情况</v>
      </c>
      <c r="Y962">
        <f t="shared" ref="Y962:Y1025" si="238">IF($A962="","",MATCH($X962,$X$2:$X$3000,0))</f>
        <v>909</v>
      </c>
      <c r="Z962">
        <f>IF($A962="",0,IF(AND($M962=1,$A962=经营数据!$B$3,$J962=经营数据!$BA$5,OR($I962=经营数据!$BA$4,COUNTIF(经营数据!$AA$9:$AA$38,$I962)&gt;0)),1,0))</f>
        <v>0</v>
      </c>
      <c r="AA962" t="str">
        <f t="shared" ref="AA962:AA1025" si="239">IF($Z962=1,$U962*1000000000000+$W962*100000000+$Y962*10000+ROW(),"")</f>
        <v/>
      </c>
      <c r="AB962" t="str">
        <f t="shared" ref="AB962:AB1025" si="240">IF($Z962=1,COUNTIFS($Z$2:$Z$3000,1,$AA$2:$AA$3000,"&lt;"&amp;$AA962)+1,"")</f>
        <v/>
      </c>
      <c r="AC962">
        <f>IF($A962="",0,IF(COUNTIF($A$2:$A962,$A962)=1,1,0))</f>
        <v>0</v>
      </c>
      <c r="AD962">
        <f t="shared" ref="AD962:AD1025" si="241">IF($A962="",N(AD961),IF($AC962=1,N(AD961)+1,N(AD961)))</f>
        <v>8</v>
      </c>
      <c r="AE962" t="str">
        <f t="shared" ref="AE962:AE1025" si="242">IF($A962="","",$I962&amp;"|"&amp;$K962)</f>
        <v>玉蜓桥项目|期末剩余租期情况（年）</v>
      </c>
    </row>
    <row r="963" spans="1:31" x14ac:dyDescent="0.4">
      <c r="A963" t="str">
        <f>IF(原始经营数据!$D964="","",原始经营数据!$D964)</f>
        <v>嘉实物美消费封闭式基础设施证券投资基金</v>
      </c>
      <c r="B963" t="str">
        <f>IF(原始经营数据!$D964="","",T(原始经营数据!$E964))</f>
        <v>玉蜓桥项目</v>
      </c>
      <c r="C963" t="str">
        <f>IF(原始经营数据!$D964="","",原始经营数据!$F964)</f>
        <v>2026Q2</v>
      </c>
      <c r="D963" t="str">
        <f>IF(原始经营数据!$D964="","",原始经营数据!$H964)</f>
        <v>期末租金收缴率</v>
      </c>
      <c r="E963">
        <f>IF(原始经营数据!$D964="","",原始经营数据!$I964)</f>
        <v>99.89</v>
      </c>
      <c r="F963" t="str">
        <f>IF(原始经营数据!$D964="","",T(原始经营数据!$J964))</f>
        <v>%</v>
      </c>
      <c r="G963" t="str">
        <f>IF(原始经营数据!$D964="","",T(原始经营数据!$K964))</f>
        <v/>
      </c>
      <c r="H963" t="str">
        <f>IF(原始经营数据!$D964="","",原始经营数据!$G964)</f>
        <v>服务效率</v>
      </c>
      <c r="I963" t="str">
        <f>IF($A963="","",IF($B963&lt;&gt;"",$B963,IF(COUNTIFS(原始经营数据!$D$3:$D$3001,$A963,原始经营数据!$E$3:$E$3001,"",原始经营数据!$F$3:$F$3001,$C963,原始经营数据!$H$3:$H$3001,$D963,原始经营数据!$K$3:$K$3001,$G963)&gt;1,"基金整体·来源"&amp;原始经营数据!$A964,"基金整体")))</f>
        <v>玉蜓桥项目</v>
      </c>
      <c r="J963" t="str">
        <f t="shared" si="228"/>
        <v>季度</v>
      </c>
      <c r="K963" t="str">
        <f t="shared" si="229"/>
        <v>期末租金收缴率（%）</v>
      </c>
      <c r="L963" t="str">
        <f t="shared" si="230"/>
        <v>玉蜓桥项目|期末租金收缴率（%）|季度</v>
      </c>
      <c r="M963">
        <f>IF($A963="",0,IF(COUNTIF($L$2:$L963,$L963)=1,1,0))</f>
        <v>0</v>
      </c>
      <c r="N963">
        <f t="shared" si="231"/>
        <v>20262</v>
      </c>
      <c r="O963" t="str">
        <f t="shared" si="232"/>
        <v>嘉实物美消费封闭式基础设施证券投资基金|2026Q2|季度</v>
      </c>
      <c r="P963">
        <f>IF($A963="",0,IF(COUNTIF($O$2:$O963,$O963)=1,1,0))</f>
        <v>0</v>
      </c>
      <c r="Q963" t="str">
        <f>IF(AND($P963=1,$A963=经营数据!$B$3,$J963=经营数据!$BA$5),COUNTIFS($P$2:$P$3000,1,$A$2:$A$3000,$A963,$J$2:$J$3000,$J963,$N$2:$N$3000,"&lt;"&amp;$N963)+1,"")</f>
        <v/>
      </c>
      <c r="R963" t="str">
        <f t="shared" si="233"/>
        <v>嘉实物美消费封闭式基础设施证券投资基金|玉蜓桥项目</v>
      </c>
      <c r="S963">
        <f>IF($A963="",0,IF(COUNTIF($R$2:$R963,$R963)=1,1,0))</f>
        <v>0</v>
      </c>
      <c r="T963">
        <f t="shared" si="234"/>
        <v>904</v>
      </c>
      <c r="U963" t="str">
        <f>IF($A963="","",IF($A963=经营数据!$B$3,COUNTIFS($S$2:$S$3000,1,$A$2:$A$3000,$A963,$T$2:$T$3000,"&lt;"&amp;$T963)+1,""))</f>
        <v/>
      </c>
      <c r="V963" t="str">
        <f t="shared" si="235"/>
        <v>玉蜓桥项目|服务效率</v>
      </c>
      <c r="W963">
        <f t="shared" si="236"/>
        <v>906</v>
      </c>
      <c r="X963" t="str">
        <f t="shared" si="237"/>
        <v>玉蜓桥项目|期末租金收缴率</v>
      </c>
      <c r="Y963">
        <f t="shared" si="238"/>
        <v>907</v>
      </c>
      <c r="Z963">
        <f>IF($A963="",0,IF(AND($M963=1,$A963=经营数据!$B$3,$J963=经营数据!$BA$5,OR($I963=经营数据!$BA$4,COUNTIF(经营数据!$AA$9:$AA$38,$I963)&gt;0)),1,0))</f>
        <v>0</v>
      </c>
      <c r="AA963" t="str">
        <f t="shared" si="239"/>
        <v/>
      </c>
      <c r="AB963" t="str">
        <f t="shared" si="240"/>
        <v/>
      </c>
      <c r="AC963">
        <f>IF($A963="",0,IF(COUNTIF($A$2:$A963,$A963)=1,1,0))</f>
        <v>0</v>
      </c>
      <c r="AD963">
        <f t="shared" si="241"/>
        <v>8</v>
      </c>
      <c r="AE963" t="str">
        <f t="shared" si="242"/>
        <v>玉蜓桥项目|期末租金收缴率（%）</v>
      </c>
    </row>
    <row r="964" spans="1:31" x14ac:dyDescent="0.4">
      <c r="A964" t="str">
        <f>IF(原始经营数据!$D965="","",原始经营数据!$D965)</f>
        <v>嘉实物美消费封闭式基础设施证券投资基金</v>
      </c>
      <c r="B964" t="str">
        <f>IF(原始经营数据!$D965="","",T(原始经营数据!$E965))</f>
        <v>玉蜓桥项目</v>
      </c>
      <c r="C964" t="str">
        <f>IF(原始经营数据!$D965="","",原始经营数据!$F965)</f>
        <v>2026Q2</v>
      </c>
      <c r="D964" t="str">
        <f>IF(原始经营数据!$D965="","",原始经营数据!$H965)</f>
        <v>期内租金单价水平</v>
      </c>
      <c r="E964">
        <f>IF(原始经营数据!$D965="","",原始经营数据!$I965)</f>
        <v>5.0999999999999996</v>
      </c>
      <c r="F964" t="str">
        <f>IF(原始经营数据!$D965="","",T(原始经营数据!$J965))</f>
        <v>元/平方米/天</v>
      </c>
      <c r="G964" t="str">
        <f>IF(原始经营数据!$D965="","",T(原始经营数据!$K965))</f>
        <v/>
      </c>
      <c r="H964" t="str">
        <f>IF(原始经营数据!$D965="","",原始经营数据!$G965)</f>
        <v>服务价格</v>
      </c>
      <c r="I964" t="str">
        <f>IF($A964="","",IF($B964&lt;&gt;"",$B964,IF(COUNTIFS(原始经营数据!$D$3:$D$3001,$A964,原始经营数据!$E$3:$E$3001,"",原始经营数据!$F$3:$F$3001,$C964,原始经营数据!$H$3:$H$3001,$D964,原始经营数据!$K$3:$K$3001,$G964)&gt;1,"基金整体·来源"&amp;原始经营数据!$A965,"基金整体")))</f>
        <v>玉蜓桥项目</v>
      </c>
      <c r="J964" t="str">
        <f t="shared" si="228"/>
        <v>季度</v>
      </c>
      <c r="K964" t="str">
        <f t="shared" si="229"/>
        <v>期内租金单价水平（元/平方米/天）</v>
      </c>
      <c r="L964" t="str">
        <f t="shared" si="230"/>
        <v>玉蜓桥项目|期内租金单价水平（元/平方米/天）|季度</v>
      </c>
      <c r="M964">
        <f>IF($A964="",0,IF(COUNTIF($L$2:$L964,$L964)=1,1,0))</f>
        <v>0</v>
      </c>
      <c r="N964">
        <f t="shared" si="231"/>
        <v>20262</v>
      </c>
      <c r="O964" t="str">
        <f t="shared" si="232"/>
        <v>嘉实物美消费封闭式基础设施证券投资基金|2026Q2|季度</v>
      </c>
      <c r="P964">
        <f>IF($A964="",0,IF(COUNTIF($O$2:$O964,$O964)=1,1,0))</f>
        <v>0</v>
      </c>
      <c r="Q964" t="str">
        <f>IF(AND($P964=1,$A964=经营数据!$B$3,$J964=经营数据!$BA$5),COUNTIFS($P$2:$P$3000,1,$A$2:$A$3000,$A964,$J$2:$J$3000,$J964,$N$2:$N$3000,"&lt;"&amp;$N964)+1,"")</f>
        <v/>
      </c>
      <c r="R964" t="str">
        <f t="shared" si="233"/>
        <v>嘉实物美消费封闭式基础设施证券投资基金|玉蜓桥项目</v>
      </c>
      <c r="S964">
        <f>IF($A964="",0,IF(COUNTIF($R$2:$R964,$R964)=1,1,0))</f>
        <v>0</v>
      </c>
      <c r="T964">
        <f t="shared" si="234"/>
        <v>904</v>
      </c>
      <c r="U964" t="str">
        <f>IF($A964="","",IF($A964=经营数据!$B$3,COUNTIFS($S$2:$S$3000,1,$A$2:$A$3000,$A964,$T$2:$T$3000,"&lt;"&amp;$T964)+1,""))</f>
        <v/>
      </c>
      <c r="V964" t="str">
        <f t="shared" si="235"/>
        <v>玉蜓桥项目|服务价格</v>
      </c>
      <c r="W964">
        <f t="shared" si="236"/>
        <v>908</v>
      </c>
      <c r="X964" t="str">
        <f t="shared" si="237"/>
        <v>玉蜓桥项目|期内租金单价水平</v>
      </c>
      <c r="Y964">
        <f t="shared" si="238"/>
        <v>908</v>
      </c>
      <c r="Z964">
        <f>IF($A964="",0,IF(AND($M964=1,$A964=经营数据!$B$3,$J964=经营数据!$BA$5,OR($I964=经营数据!$BA$4,COUNTIF(经营数据!$AA$9:$AA$38,$I964)&gt;0)),1,0))</f>
        <v>0</v>
      </c>
      <c r="AA964" t="str">
        <f t="shared" si="239"/>
        <v/>
      </c>
      <c r="AB964" t="str">
        <f t="shared" si="240"/>
        <v/>
      </c>
      <c r="AC964">
        <f>IF($A964="",0,IF(COUNTIF($A$2:$A964,$A964)=1,1,0))</f>
        <v>0</v>
      </c>
      <c r="AD964">
        <f t="shared" si="241"/>
        <v>8</v>
      </c>
      <c r="AE964" t="str">
        <f t="shared" si="242"/>
        <v>玉蜓桥项目|期内租金单价水平（元/平方米/天）</v>
      </c>
    </row>
    <row r="965" spans="1:31" x14ac:dyDescent="0.4">
      <c r="A965" t="str">
        <f>IF(原始经营数据!$D966="","",原始经营数据!$D966)</f>
        <v>华夏金茂消费封闭式基础设施证券投资基金</v>
      </c>
      <c r="B965" t="str">
        <f>IF(原始经营数据!$D966="","",T(原始经营数据!$E966))</f>
        <v>长沙览秀城</v>
      </c>
      <c r="C965" t="str">
        <f>IF(原始经营数据!$D966="","",原始经营数据!$F966)</f>
        <v>2024Q1</v>
      </c>
      <c r="D965" t="str">
        <f>IF(原始经营数据!$D966="","",原始经营数据!$H966)</f>
        <v>期末加权平均剩余租期</v>
      </c>
      <c r="E965">
        <f>IF(原始经营数据!$D966="","",原始经营数据!$I966)</f>
        <v>4.3600000000000003</v>
      </c>
      <c r="F965" t="str">
        <f>IF(原始经营数据!$D966="","",T(原始经营数据!$J966))</f>
        <v>年</v>
      </c>
      <c r="G965" t="str">
        <f>IF(原始经营数据!$D966="","",T(原始经营数据!$K966))</f>
        <v/>
      </c>
      <c r="H965" t="str">
        <f>IF(原始经营数据!$D966="","",原始经营数据!$G966)</f>
        <v>服务量</v>
      </c>
      <c r="I965" t="str">
        <f>IF($A965="","",IF($B965&lt;&gt;"",$B965,IF(COUNTIFS(原始经营数据!$D$3:$D$3001,$A965,原始经营数据!$E$3:$E$3001,"",原始经营数据!$F$3:$F$3001,$C965,原始经营数据!$H$3:$H$3001,$D965,原始经营数据!$K$3:$K$3001,$G965)&gt;1,"基金整体·来源"&amp;原始经营数据!$A966,"基金整体")))</f>
        <v>长沙览秀城</v>
      </c>
      <c r="J965" t="str">
        <f t="shared" si="228"/>
        <v>季度</v>
      </c>
      <c r="K965" t="str">
        <f t="shared" si="229"/>
        <v>期末加权平均剩余租期（年）</v>
      </c>
      <c r="L965" t="str">
        <f t="shared" si="230"/>
        <v>长沙览秀城|期末加权平均剩余租期（年）|季度</v>
      </c>
      <c r="M965">
        <f>IF($A965="",0,IF(COUNTIF($L$2:$L965,$L965)=1,1,0))</f>
        <v>1</v>
      </c>
      <c r="N965">
        <f t="shared" si="231"/>
        <v>20241</v>
      </c>
      <c r="O965" t="str">
        <f t="shared" si="232"/>
        <v>华夏金茂消费封闭式基础设施证券投资基金|2024Q1|季度</v>
      </c>
      <c r="P965">
        <f>IF($A965="",0,IF(COUNTIF($O$2:$O965,$O965)=1,1,0))</f>
        <v>1</v>
      </c>
      <c r="Q965" t="str">
        <f>IF(AND($P965=1,$A965=经营数据!$B$3,$J965=经营数据!$BA$5),COUNTIFS($P$2:$P$3000,1,$A$2:$A$3000,$A965,$J$2:$J$3000,$J965,$N$2:$N$3000,"&lt;"&amp;$N965)+1,"")</f>
        <v/>
      </c>
      <c r="R965" t="str">
        <f t="shared" si="233"/>
        <v>华夏金茂消费封闭式基础设施证券投资基金|长沙览秀城</v>
      </c>
      <c r="S965">
        <f>IF($A965="",0,IF(COUNTIF($R$2:$R965,$R965)=1,1,0))</f>
        <v>1</v>
      </c>
      <c r="T965">
        <f t="shared" si="234"/>
        <v>964</v>
      </c>
      <c r="U965" t="str">
        <f>IF($A965="","",IF($A965=经营数据!$B$3,COUNTIFS($S$2:$S$3000,1,$A$2:$A$3000,$A965,$T$2:$T$3000,"&lt;"&amp;$T965)+1,""))</f>
        <v/>
      </c>
      <c r="V965" t="str">
        <f t="shared" si="235"/>
        <v>长沙览秀城|服务量</v>
      </c>
      <c r="W965">
        <f t="shared" si="236"/>
        <v>964</v>
      </c>
      <c r="X965" t="str">
        <f t="shared" si="237"/>
        <v>长沙览秀城|期末加权平均剩余租期</v>
      </c>
      <c r="Y965">
        <f t="shared" si="238"/>
        <v>964</v>
      </c>
      <c r="Z965">
        <f>IF($A965="",0,IF(AND($M965=1,$A965=经营数据!$B$3,$J965=经营数据!$BA$5,OR($I965=经营数据!$BA$4,COUNTIF(经营数据!$AA$9:$AA$38,$I965)&gt;0)),1,0))</f>
        <v>0</v>
      </c>
      <c r="AA965" t="str">
        <f t="shared" si="239"/>
        <v/>
      </c>
      <c r="AB965" t="str">
        <f t="shared" si="240"/>
        <v/>
      </c>
      <c r="AC965">
        <f>IF($A965="",0,IF(COUNTIF($A$2:$A965,$A965)=1,1,0))</f>
        <v>1</v>
      </c>
      <c r="AD965">
        <f t="shared" si="241"/>
        <v>9</v>
      </c>
      <c r="AE965" t="str">
        <f t="shared" si="242"/>
        <v>长沙览秀城|期末加权平均剩余租期（年）</v>
      </c>
    </row>
    <row r="966" spans="1:31" x14ac:dyDescent="0.4">
      <c r="A966" t="str">
        <f>IF(原始经营数据!$D967="","",原始经营数据!$D967)</f>
        <v>华夏金茂消费封闭式基础设施证券投资基金</v>
      </c>
      <c r="B966" t="str">
        <f>IF(原始经营数据!$D967="","",T(原始经营数据!$E967))</f>
        <v>长沙览秀城</v>
      </c>
      <c r="C966" t="str">
        <f>IF(原始经营数据!$D967="","",原始经营数据!$F967)</f>
        <v>2024Q1</v>
      </c>
      <c r="D966" t="str">
        <f>IF(原始经营数据!$D967="","",原始经营数据!$H967)</f>
        <v>期内平均租金单价</v>
      </c>
      <c r="E966">
        <f>IF(原始经营数据!$D967="","",原始经营数据!$I967)</f>
        <v>83.73</v>
      </c>
      <c r="F966" t="str">
        <f>IF(原始经营数据!$D967="","",T(原始经营数据!$J967))</f>
        <v>元/平方米/月</v>
      </c>
      <c r="G966" t="str">
        <f>IF(原始经营数据!$D967="","",T(原始经营数据!$K967))</f>
        <v/>
      </c>
      <c r="H966" t="str">
        <f>IF(原始经营数据!$D967="","",原始经营数据!$G967)</f>
        <v>服务价格</v>
      </c>
      <c r="I966" t="str">
        <f>IF($A966="","",IF($B966&lt;&gt;"",$B966,IF(COUNTIFS(原始经营数据!$D$3:$D$3001,$A966,原始经营数据!$E$3:$E$3001,"",原始经营数据!$F$3:$F$3001,$C966,原始经营数据!$H$3:$H$3001,$D966,原始经营数据!$K$3:$K$3001,$G966)&gt;1,"基金整体·来源"&amp;原始经营数据!$A967,"基金整体")))</f>
        <v>长沙览秀城</v>
      </c>
      <c r="J966" t="str">
        <f t="shared" si="228"/>
        <v>季度</v>
      </c>
      <c r="K966" t="str">
        <f t="shared" si="229"/>
        <v>期内平均租金单价（元/平方米/月）</v>
      </c>
      <c r="L966" t="str">
        <f t="shared" si="230"/>
        <v>长沙览秀城|期内平均租金单价（元/平方米/月）|季度</v>
      </c>
      <c r="M966">
        <f>IF($A966="",0,IF(COUNTIF($L$2:$L966,$L966)=1,1,0))</f>
        <v>1</v>
      </c>
      <c r="N966">
        <f t="shared" si="231"/>
        <v>20241</v>
      </c>
      <c r="O966" t="str">
        <f t="shared" si="232"/>
        <v>华夏金茂消费封闭式基础设施证券投资基金|2024Q1|季度</v>
      </c>
      <c r="P966">
        <f>IF($A966="",0,IF(COUNTIF($O$2:$O966,$O966)=1,1,0))</f>
        <v>0</v>
      </c>
      <c r="Q966" t="str">
        <f>IF(AND($P966=1,$A966=经营数据!$B$3,$J966=经营数据!$BA$5),COUNTIFS($P$2:$P$3000,1,$A$2:$A$3000,$A966,$J$2:$J$3000,$J966,$N$2:$N$3000,"&lt;"&amp;$N966)+1,"")</f>
        <v/>
      </c>
      <c r="R966" t="str">
        <f t="shared" si="233"/>
        <v>华夏金茂消费封闭式基础设施证券投资基金|长沙览秀城</v>
      </c>
      <c r="S966">
        <f>IF($A966="",0,IF(COUNTIF($R$2:$R966,$R966)=1,1,0))</f>
        <v>0</v>
      </c>
      <c r="T966">
        <f t="shared" si="234"/>
        <v>964</v>
      </c>
      <c r="U966" t="str">
        <f>IF($A966="","",IF($A966=经营数据!$B$3,COUNTIFS($S$2:$S$3000,1,$A$2:$A$3000,$A966,$T$2:$T$3000,"&lt;"&amp;$T966)+1,""))</f>
        <v/>
      </c>
      <c r="V966" t="str">
        <f t="shared" si="235"/>
        <v>长沙览秀城|服务价格</v>
      </c>
      <c r="W966">
        <f t="shared" si="236"/>
        <v>965</v>
      </c>
      <c r="X966" t="str">
        <f t="shared" si="237"/>
        <v>长沙览秀城|期内平均租金单价</v>
      </c>
      <c r="Y966">
        <f t="shared" si="238"/>
        <v>965</v>
      </c>
      <c r="Z966">
        <f>IF($A966="",0,IF(AND($M966=1,$A966=经营数据!$B$3,$J966=经营数据!$BA$5,OR($I966=经营数据!$BA$4,COUNTIF(经营数据!$AA$9:$AA$38,$I966)&gt;0)),1,0))</f>
        <v>0</v>
      </c>
      <c r="AA966" t="str">
        <f t="shared" si="239"/>
        <v/>
      </c>
      <c r="AB966" t="str">
        <f t="shared" si="240"/>
        <v/>
      </c>
      <c r="AC966">
        <f>IF($A966="",0,IF(COUNTIF($A$2:$A966,$A966)=1,1,0))</f>
        <v>0</v>
      </c>
      <c r="AD966">
        <f t="shared" si="241"/>
        <v>9</v>
      </c>
      <c r="AE966" t="str">
        <f t="shared" si="242"/>
        <v>长沙览秀城|期内平均租金单价（元/平方米/月）</v>
      </c>
    </row>
    <row r="967" spans="1:31" x14ac:dyDescent="0.4">
      <c r="A967" t="str">
        <f>IF(原始经营数据!$D968="","",原始经营数据!$D968)</f>
        <v>华夏金茂消费封闭式基础设施证券投资基金</v>
      </c>
      <c r="B967" t="str">
        <f>IF(原始经营数据!$D968="","",T(原始经营数据!$E968))</f>
        <v>长沙览秀城</v>
      </c>
      <c r="C967" t="str">
        <f>IF(原始经营数据!$D968="","",原始经营数据!$F968)</f>
        <v>2024Q1</v>
      </c>
      <c r="D967" t="str">
        <f>IF(原始经营数据!$D968="","",原始经营数据!$H968)</f>
        <v>期末出租率</v>
      </c>
      <c r="E967">
        <f>IF(原始经营数据!$D968="","",原始经营数据!$I968)</f>
        <v>98.73</v>
      </c>
      <c r="F967" t="str">
        <f>IF(原始经营数据!$D968="","",T(原始经营数据!$J968))</f>
        <v>%</v>
      </c>
      <c r="G967" t="str">
        <f>IF(原始经营数据!$D968="","",T(原始经营数据!$K968))</f>
        <v/>
      </c>
      <c r="H967" t="str">
        <f>IF(原始经营数据!$D968="","",原始经营数据!$G968)</f>
        <v>服务效率</v>
      </c>
      <c r="I967" t="str">
        <f>IF($A967="","",IF($B967&lt;&gt;"",$B967,IF(COUNTIFS(原始经营数据!$D$3:$D$3001,$A967,原始经营数据!$E$3:$E$3001,"",原始经营数据!$F$3:$F$3001,$C967,原始经营数据!$H$3:$H$3001,$D967,原始经营数据!$K$3:$K$3001,$G967)&gt;1,"基金整体·来源"&amp;原始经营数据!$A968,"基金整体")))</f>
        <v>长沙览秀城</v>
      </c>
      <c r="J967" t="str">
        <f t="shared" si="228"/>
        <v>季度</v>
      </c>
      <c r="K967" t="str">
        <f t="shared" si="229"/>
        <v>期末出租率（%）</v>
      </c>
      <c r="L967" t="str">
        <f t="shared" si="230"/>
        <v>长沙览秀城|期末出租率（%）|季度</v>
      </c>
      <c r="M967">
        <f>IF($A967="",0,IF(COUNTIF($L$2:$L967,$L967)=1,1,0))</f>
        <v>1</v>
      </c>
      <c r="N967">
        <f t="shared" si="231"/>
        <v>20241</v>
      </c>
      <c r="O967" t="str">
        <f t="shared" si="232"/>
        <v>华夏金茂消费封闭式基础设施证券投资基金|2024Q1|季度</v>
      </c>
      <c r="P967">
        <f>IF($A967="",0,IF(COUNTIF($O$2:$O967,$O967)=1,1,0))</f>
        <v>0</v>
      </c>
      <c r="Q967" t="str">
        <f>IF(AND($P967=1,$A967=经营数据!$B$3,$J967=经营数据!$BA$5),COUNTIFS($P$2:$P$3000,1,$A$2:$A$3000,$A967,$J$2:$J$3000,$J967,$N$2:$N$3000,"&lt;"&amp;$N967)+1,"")</f>
        <v/>
      </c>
      <c r="R967" t="str">
        <f t="shared" si="233"/>
        <v>华夏金茂消费封闭式基础设施证券投资基金|长沙览秀城</v>
      </c>
      <c r="S967">
        <f>IF($A967="",0,IF(COUNTIF($R$2:$R967,$R967)=1,1,0))</f>
        <v>0</v>
      </c>
      <c r="T967">
        <f t="shared" si="234"/>
        <v>964</v>
      </c>
      <c r="U967" t="str">
        <f>IF($A967="","",IF($A967=经营数据!$B$3,COUNTIFS($S$2:$S$3000,1,$A$2:$A$3000,$A967,$T$2:$T$3000,"&lt;"&amp;$T967)+1,""))</f>
        <v/>
      </c>
      <c r="V967" t="str">
        <f t="shared" si="235"/>
        <v>长沙览秀城|服务效率</v>
      </c>
      <c r="W967">
        <f t="shared" si="236"/>
        <v>966</v>
      </c>
      <c r="X967" t="str">
        <f t="shared" si="237"/>
        <v>长沙览秀城|期末出租率</v>
      </c>
      <c r="Y967">
        <f t="shared" si="238"/>
        <v>966</v>
      </c>
      <c r="Z967">
        <f>IF($A967="",0,IF(AND($M967=1,$A967=经营数据!$B$3,$J967=经营数据!$BA$5,OR($I967=经营数据!$BA$4,COUNTIF(经营数据!$AA$9:$AA$38,$I967)&gt;0)),1,0))</f>
        <v>0</v>
      </c>
      <c r="AA967" t="str">
        <f t="shared" si="239"/>
        <v/>
      </c>
      <c r="AB967" t="str">
        <f t="shared" si="240"/>
        <v/>
      </c>
      <c r="AC967">
        <f>IF($A967="",0,IF(COUNTIF($A$2:$A967,$A967)=1,1,0))</f>
        <v>0</v>
      </c>
      <c r="AD967">
        <f t="shared" si="241"/>
        <v>9</v>
      </c>
      <c r="AE967" t="str">
        <f t="shared" si="242"/>
        <v>长沙览秀城|期末出租率（%）</v>
      </c>
    </row>
    <row r="968" spans="1:31" x14ac:dyDescent="0.4">
      <c r="A968" t="str">
        <f>IF(原始经营数据!$D969="","",原始经营数据!$D969)</f>
        <v>华夏金茂消费封闭式基础设施证券投资基金</v>
      </c>
      <c r="B968" t="str">
        <f>IF(原始经营数据!$D969="","",T(原始经营数据!$E969))</f>
        <v>长沙览秀城</v>
      </c>
      <c r="C968" t="str">
        <f>IF(原始经营数据!$D969="","",原始经营数据!$F969)</f>
        <v>2024Q1</v>
      </c>
      <c r="D968" t="str">
        <f>IF(原始经营数据!$D969="","",原始经营数据!$H969)</f>
        <v>期末实际出租面积</v>
      </c>
      <c r="E968">
        <f>IF(原始经营数据!$D969="","",原始经营数据!$I969)</f>
        <v>60400.33</v>
      </c>
      <c r="F968" t="str">
        <f>IF(原始经营数据!$D969="","",T(原始经营数据!$J969))</f>
        <v>平方米</v>
      </c>
      <c r="G968" t="str">
        <f>IF(原始经营数据!$D969="","",T(原始经营数据!$K969))</f>
        <v/>
      </c>
      <c r="H968" t="str">
        <f>IF(原始经营数据!$D969="","",原始经营数据!$G969)</f>
        <v>服务量</v>
      </c>
      <c r="I968" t="str">
        <f>IF($A968="","",IF($B968&lt;&gt;"",$B968,IF(COUNTIFS(原始经营数据!$D$3:$D$3001,$A968,原始经营数据!$E$3:$E$3001,"",原始经营数据!$F$3:$F$3001,$C968,原始经营数据!$H$3:$H$3001,$D968,原始经营数据!$K$3:$K$3001,$G968)&gt;1,"基金整体·来源"&amp;原始经营数据!$A969,"基金整体")))</f>
        <v>长沙览秀城</v>
      </c>
      <c r="J968" t="str">
        <f t="shared" si="228"/>
        <v>季度</v>
      </c>
      <c r="K968" t="str">
        <f t="shared" si="229"/>
        <v>期末实际出租面积（平方米）</v>
      </c>
      <c r="L968" t="str">
        <f t="shared" si="230"/>
        <v>长沙览秀城|期末实际出租面积（平方米）|季度</v>
      </c>
      <c r="M968">
        <f>IF($A968="",0,IF(COUNTIF($L$2:$L968,$L968)=1,1,0))</f>
        <v>1</v>
      </c>
      <c r="N968">
        <f t="shared" si="231"/>
        <v>20241</v>
      </c>
      <c r="O968" t="str">
        <f t="shared" si="232"/>
        <v>华夏金茂消费封闭式基础设施证券投资基金|2024Q1|季度</v>
      </c>
      <c r="P968">
        <f>IF($A968="",0,IF(COUNTIF($O$2:$O968,$O968)=1,1,0))</f>
        <v>0</v>
      </c>
      <c r="Q968" t="str">
        <f>IF(AND($P968=1,$A968=经营数据!$B$3,$J968=经营数据!$BA$5),COUNTIFS($P$2:$P$3000,1,$A$2:$A$3000,$A968,$J$2:$J$3000,$J968,$N$2:$N$3000,"&lt;"&amp;$N968)+1,"")</f>
        <v/>
      </c>
      <c r="R968" t="str">
        <f t="shared" si="233"/>
        <v>华夏金茂消费封闭式基础设施证券投资基金|长沙览秀城</v>
      </c>
      <c r="S968">
        <f>IF($A968="",0,IF(COUNTIF($R$2:$R968,$R968)=1,1,0))</f>
        <v>0</v>
      </c>
      <c r="T968">
        <f t="shared" si="234"/>
        <v>964</v>
      </c>
      <c r="U968" t="str">
        <f>IF($A968="","",IF($A968=经营数据!$B$3,COUNTIFS($S$2:$S$3000,1,$A$2:$A$3000,$A968,$T$2:$T$3000,"&lt;"&amp;$T968)+1,""))</f>
        <v/>
      </c>
      <c r="V968" t="str">
        <f t="shared" si="235"/>
        <v>长沙览秀城|服务量</v>
      </c>
      <c r="W968">
        <f t="shared" si="236"/>
        <v>964</v>
      </c>
      <c r="X968" t="str">
        <f t="shared" si="237"/>
        <v>长沙览秀城|期末实际出租面积</v>
      </c>
      <c r="Y968">
        <f t="shared" si="238"/>
        <v>967</v>
      </c>
      <c r="Z968">
        <f>IF($A968="",0,IF(AND($M968=1,$A968=经营数据!$B$3,$J968=经营数据!$BA$5,OR($I968=经营数据!$BA$4,COUNTIF(经营数据!$AA$9:$AA$38,$I968)&gt;0)),1,0))</f>
        <v>0</v>
      </c>
      <c r="AA968" t="str">
        <f t="shared" si="239"/>
        <v/>
      </c>
      <c r="AB968" t="str">
        <f t="shared" si="240"/>
        <v/>
      </c>
      <c r="AC968">
        <f>IF($A968="",0,IF(COUNTIF($A$2:$A968,$A968)=1,1,0))</f>
        <v>0</v>
      </c>
      <c r="AD968">
        <f t="shared" si="241"/>
        <v>9</v>
      </c>
      <c r="AE968" t="str">
        <f t="shared" si="242"/>
        <v>长沙览秀城|期末实际出租面积（平方米）</v>
      </c>
    </row>
    <row r="969" spans="1:31" x14ac:dyDescent="0.4">
      <c r="A969" t="str">
        <f>IF(原始经营数据!$D970="","",原始经营数据!$D970)</f>
        <v>华夏金茂消费封闭式基础设施证券投资基金</v>
      </c>
      <c r="B969" t="str">
        <f>IF(原始经营数据!$D970="","",T(原始经营数据!$E970))</f>
        <v>长沙览秀城</v>
      </c>
      <c r="C969" t="str">
        <f>IF(原始经营数据!$D970="","",原始经营数据!$F970)</f>
        <v>2024Q1</v>
      </c>
      <c r="D969" t="str">
        <f>IF(原始经营数据!$D970="","",原始经营数据!$H970)</f>
        <v>期末可供出租面积</v>
      </c>
      <c r="E969">
        <f>IF(原始经营数据!$D970="","",原始经营数据!$I970)</f>
        <v>61179.92</v>
      </c>
      <c r="F969" t="str">
        <f>IF(原始经营数据!$D970="","",T(原始经营数据!$J970))</f>
        <v>平方米</v>
      </c>
      <c r="G969" t="str">
        <f>IF(原始经营数据!$D970="","",T(原始经营数据!$K970))</f>
        <v/>
      </c>
      <c r="H969" t="str">
        <f>IF(原始经营数据!$D970="","",原始经营数据!$G970)</f>
        <v>服务量</v>
      </c>
      <c r="I969" t="str">
        <f>IF($A969="","",IF($B969&lt;&gt;"",$B969,IF(COUNTIFS(原始经营数据!$D$3:$D$3001,$A969,原始经营数据!$E$3:$E$3001,"",原始经营数据!$F$3:$F$3001,$C969,原始经营数据!$H$3:$H$3001,$D969,原始经营数据!$K$3:$K$3001,$G969)&gt;1,"基金整体·来源"&amp;原始经营数据!$A970,"基金整体")))</f>
        <v>长沙览秀城</v>
      </c>
      <c r="J969" t="str">
        <f t="shared" si="228"/>
        <v>季度</v>
      </c>
      <c r="K969" t="str">
        <f t="shared" si="229"/>
        <v>期末可供出租面积（平方米）</v>
      </c>
      <c r="L969" t="str">
        <f t="shared" si="230"/>
        <v>长沙览秀城|期末可供出租面积（平方米）|季度</v>
      </c>
      <c r="M969">
        <f>IF($A969="",0,IF(COUNTIF($L$2:$L969,$L969)=1,1,0))</f>
        <v>1</v>
      </c>
      <c r="N969">
        <f t="shared" si="231"/>
        <v>20241</v>
      </c>
      <c r="O969" t="str">
        <f t="shared" si="232"/>
        <v>华夏金茂消费封闭式基础设施证券投资基金|2024Q1|季度</v>
      </c>
      <c r="P969">
        <f>IF($A969="",0,IF(COUNTIF($O$2:$O969,$O969)=1,1,0))</f>
        <v>0</v>
      </c>
      <c r="Q969" t="str">
        <f>IF(AND($P969=1,$A969=经营数据!$B$3,$J969=经营数据!$BA$5),COUNTIFS($P$2:$P$3000,1,$A$2:$A$3000,$A969,$J$2:$J$3000,$J969,$N$2:$N$3000,"&lt;"&amp;$N969)+1,"")</f>
        <v/>
      </c>
      <c r="R969" t="str">
        <f t="shared" si="233"/>
        <v>华夏金茂消费封闭式基础设施证券投资基金|长沙览秀城</v>
      </c>
      <c r="S969">
        <f>IF($A969="",0,IF(COUNTIF($R$2:$R969,$R969)=1,1,0))</f>
        <v>0</v>
      </c>
      <c r="T969">
        <f t="shared" si="234"/>
        <v>964</v>
      </c>
      <c r="U969" t="str">
        <f>IF($A969="","",IF($A969=经营数据!$B$3,COUNTIFS($S$2:$S$3000,1,$A$2:$A$3000,$A969,$T$2:$T$3000,"&lt;"&amp;$T969)+1,""))</f>
        <v/>
      </c>
      <c r="V969" t="str">
        <f t="shared" si="235"/>
        <v>长沙览秀城|服务量</v>
      </c>
      <c r="W969">
        <f t="shared" si="236"/>
        <v>964</v>
      </c>
      <c r="X969" t="str">
        <f t="shared" si="237"/>
        <v>长沙览秀城|期末可供出租面积</v>
      </c>
      <c r="Y969">
        <f t="shared" si="238"/>
        <v>968</v>
      </c>
      <c r="Z969">
        <f>IF($A969="",0,IF(AND($M969=1,$A969=经营数据!$B$3,$J969=经营数据!$BA$5,OR($I969=经营数据!$BA$4,COUNTIF(经营数据!$AA$9:$AA$38,$I969)&gt;0)),1,0))</f>
        <v>0</v>
      </c>
      <c r="AA969" t="str">
        <f t="shared" si="239"/>
        <v/>
      </c>
      <c r="AB969" t="str">
        <f t="shared" si="240"/>
        <v/>
      </c>
      <c r="AC969">
        <f>IF($A969="",0,IF(COUNTIF($A$2:$A969,$A969)=1,1,0))</f>
        <v>0</v>
      </c>
      <c r="AD969">
        <f t="shared" si="241"/>
        <v>9</v>
      </c>
      <c r="AE969" t="str">
        <f t="shared" si="242"/>
        <v>长沙览秀城|期末可供出租面积（平方米）</v>
      </c>
    </row>
    <row r="970" spans="1:31" x14ac:dyDescent="0.4">
      <c r="A970" t="str">
        <f>IF(原始经营数据!$D971="","",原始经营数据!$D971)</f>
        <v>华夏金茂消费封闭式基础设施证券投资基金</v>
      </c>
      <c r="B970" t="str">
        <f>IF(原始经营数据!$D971="","",T(原始经营数据!$E971))</f>
        <v>长沙览秀城</v>
      </c>
      <c r="C970" t="str">
        <f>IF(原始经营数据!$D971="","",原始经营数据!$F971)</f>
        <v>2024Q1</v>
      </c>
      <c r="D970" t="str">
        <f>IF(原始经营数据!$D971="","",原始经营数据!$H971)</f>
        <v>期末收缴率</v>
      </c>
      <c r="E970">
        <f>IF(原始经营数据!$D971="","",原始经营数据!$I971)</f>
        <v>97.48</v>
      </c>
      <c r="F970" t="str">
        <f>IF(原始经营数据!$D971="","",T(原始经营数据!$J971))</f>
        <v>%</v>
      </c>
      <c r="G970" t="str">
        <f>IF(原始经营数据!$D971="","",T(原始经营数据!$K971))</f>
        <v/>
      </c>
      <c r="H970" t="str">
        <f>IF(原始经营数据!$D971="","",原始经营数据!$G971)</f>
        <v>服务效率</v>
      </c>
      <c r="I970" t="str">
        <f>IF($A970="","",IF($B970&lt;&gt;"",$B970,IF(COUNTIFS(原始经营数据!$D$3:$D$3001,$A970,原始经营数据!$E$3:$E$3001,"",原始经营数据!$F$3:$F$3001,$C970,原始经营数据!$H$3:$H$3001,$D970,原始经营数据!$K$3:$K$3001,$G970)&gt;1,"基金整体·来源"&amp;原始经营数据!$A971,"基金整体")))</f>
        <v>长沙览秀城</v>
      </c>
      <c r="J970" t="str">
        <f t="shared" si="228"/>
        <v>季度</v>
      </c>
      <c r="K970" t="str">
        <f t="shared" si="229"/>
        <v>期末收缴率（%）</v>
      </c>
      <c r="L970" t="str">
        <f t="shared" si="230"/>
        <v>长沙览秀城|期末收缴率（%）|季度</v>
      </c>
      <c r="M970">
        <f>IF($A970="",0,IF(COUNTIF($L$2:$L970,$L970)=1,1,0))</f>
        <v>1</v>
      </c>
      <c r="N970">
        <f t="shared" si="231"/>
        <v>20241</v>
      </c>
      <c r="O970" t="str">
        <f t="shared" si="232"/>
        <v>华夏金茂消费封闭式基础设施证券投资基金|2024Q1|季度</v>
      </c>
      <c r="P970">
        <f>IF($A970="",0,IF(COUNTIF($O$2:$O970,$O970)=1,1,0))</f>
        <v>0</v>
      </c>
      <c r="Q970" t="str">
        <f>IF(AND($P970=1,$A970=经营数据!$B$3,$J970=经营数据!$BA$5),COUNTIFS($P$2:$P$3000,1,$A$2:$A$3000,$A970,$J$2:$J$3000,$J970,$N$2:$N$3000,"&lt;"&amp;$N970)+1,"")</f>
        <v/>
      </c>
      <c r="R970" t="str">
        <f t="shared" si="233"/>
        <v>华夏金茂消费封闭式基础设施证券投资基金|长沙览秀城</v>
      </c>
      <c r="S970">
        <f>IF($A970="",0,IF(COUNTIF($R$2:$R970,$R970)=1,1,0))</f>
        <v>0</v>
      </c>
      <c r="T970">
        <f t="shared" si="234"/>
        <v>964</v>
      </c>
      <c r="U970" t="str">
        <f>IF($A970="","",IF($A970=经营数据!$B$3,COUNTIFS($S$2:$S$3000,1,$A$2:$A$3000,$A970,$T$2:$T$3000,"&lt;"&amp;$T970)+1,""))</f>
        <v/>
      </c>
      <c r="V970" t="str">
        <f t="shared" si="235"/>
        <v>长沙览秀城|服务效率</v>
      </c>
      <c r="W970">
        <f t="shared" si="236"/>
        <v>966</v>
      </c>
      <c r="X970" t="str">
        <f t="shared" si="237"/>
        <v>长沙览秀城|期末收缴率</v>
      </c>
      <c r="Y970">
        <f t="shared" si="238"/>
        <v>969</v>
      </c>
      <c r="Z970">
        <f>IF($A970="",0,IF(AND($M970=1,$A970=经营数据!$B$3,$J970=经营数据!$BA$5,OR($I970=经营数据!$BA$4,COUNTIF(经营数据!$AA$9:$AA$38,$I970)&gt;0)),1,0))</f>
        <v>0</v>
      </c>
      <c r="AA970" t="str">
        <f t="shared" si="239"/>
        <v/>
      </c>
      <c r="AB970" t="str">
        <f t="shared" si="240"/>
        <v/>
      </c>
      <c r="AC970">
        <f>IF($A970="",0,IF(COUNTIF($A$2:$A970,$A970)=1,1,0))</f>
        <v>0</v>
      </c>
      <c r="AD970">
        <f t="shared" si="241"/>
        <v>9</v>
      </c>
      <c r="AE970" t="str">
        <f t="shared" si="242"/>
        <v>长沙览秀城|期末收缴率（%）</v>
      </c>
    </row>
    <row r="971" spans="1:31" x14ac:dyDescent="0.4">
      <c r="A971" t="str">
        <f>IF(原始经营数据!$D972="","",原始经营数据!$D972)</f>
        <v>华夏金茂消费封闭式基础设施证券投资基金</v>
      </c>
      <c r="B971" t="str">
        <f>IF(原始经营数据!$D972="","",T(原始经营数据!$E972))</f>
        <v>长沙览秀城</v>
      </c>
      <c r="C971" t="str">
        <f>IF(原始经营数据!$D972="","",原始经营数据!$F972)</f>
        <v>2024Q1</v>
      </c>
      <c r="D971" t="str">
        <f>IF(原始经营数据!$D972="","",原始经营数据!$H972)</f>
        <v>期内租金单价水平</v>
      </c>
      <c r="E971">
        <f>IF(原始经营数据!$D972="","",原始经营数据!$I972)</f>
        <v>83.73</v>
      </c>
      <c r="F971" t="str">
        <f>IF(原始经营数据!$D972="","",T(原始经营数据!$J972))</f>
        <v>元/平方米/月</v>
      </c>
      <c r="G971" t="str">
        <f>IF(原始经营数据!$D972="","",T(原始经营数据!$K972))</f>
        <v/>
      </c>
      <c r="H971" t="str">
        <f>IF(原始经营数据!$D972="","",原始经营数据!$G972)</f>
        <v>服务价格</v>
      </c>
      <c r="I971" t="str">
        <f>IF($A971="","",IF($B971&lt;&gt;"",$B971,IF(COUNTIFS(原始经营数据!$D$3:$D$3001,$A971,原始经营数据!$E$3:$E$3001,"",原始经营数据!$F$3:$F$3001,$C971,原始经营数据!$H$3:$H$3001,$D971,原始经营数据!$K$3:$K$3001,$G971)&gt;1,"基金整体·来源"&amp;原始经营数据!$A972,"基金整体")))</f>
        <v>长沙览秀城</v>
      </c>
      <c r="J971" t="str">
        <f t="shared" si="228"/>
        <v>季度</v>
      </c>
      <c r="K971" t="str">
        <f t="shared" si="229"/>
        <v>期内租金单价水平（元/平方米/月）</v>
      </c>
      <c r="L971" t="str">
        <f t="shared" si="230"/>
        <v>长沙览秀城|期内租金单价水平（元/平方米/月）|季度</v>
      </c>
      <c r="M971">
        <f>IF($A971="",0,IF(COUNTIF($L$2:$L971,$L971)=1,1,0))</f>
        <v>1</v>
      </c>
      <c r="N971">
        <f t="shared" si="231"/>
        <v>20241</v>
      </c>
      <c r="O971" t="str">
        <f t="shared" si="232"/>
        <v>华夏金茂消费封闭式基础设施证券投资基金|2024Q1|季度</v>
      </c>
      <c r="P971">
        <f>IF($A971="",0,IF(COUNTIF($O$2:$O971,$O971)=1,1,0))</f>
        <v>0</v>
      </c>
      <c r="Q971" t="str">
        <f>IF(AND($P971=1,$A971=经营数据!$B$3,$J971=经营数据!$BA$5),COUNTIFS($P$2:$P$3000,1,$A$2:$A$3000,$A971,$J$2:$J$3000,$J971,$N$2:$N$3000,"&lt;"&amp;$N971)+1,"")</f>
        <v/>
      </c>
      <c r="R971" t="str">
        <f t="shared" si="233"/>
        <v>华夏金茂消费封闭式基础设施证券投资基金|长沙览秀城</v>
      </c>
      <c r="S971">
        <f>IF($A971="",0,IF(COUNTIF($R$2:$R971,$R971)=1,1,0))</f>
        <v>0</v>
      </c>
      <c r="T971">
        <f t="shared" si="234"/>
        <v>964</v>
      </c>
      <c r="U971" t="str">
        <f>IF($A971="","",IF($A971=经营数据!$B$3,COUNTIFS($S$2:$S$3000,1,$A$2:$A$3000,$A971,$T$2:$T$3000,"&lt;"&amp;$T971)+1,""))</f>
        <v/>
      </c>
      <c r="V971" t="str">
        <f t="shared" si="235"/>
        <v>长沙览秀城|服务价格</v>
      </c>
      <c r="W971">
        <f t="shared" si="236"/>
        <v>965</v>
      </c>
      <c r="X971" t="str">
        <f t="shared" si="237"/>
        <v>长沙览秀城|期内租金单价水平</v>
      </c>
      <c r="Y971">
        <f t="shared" si="238"/>
        <v>970</v>
      </c>
      <c r="Z971">
        <f>IF($A971="",0,IF(AND($M971=1,$A971=经营数据!$B$3,$J971=经营数据!$BA$5,OR($I971=经营数据!$BA$4,COUNTIF(经营数据!$AA$9:$AA$38,$I971)&gt;0)),1,0))</f>
        <v>0</v>
      </c>
      <c r="AA971" t="str">
        <f t="shared" si="239"/>
        <v/>
      </c>
      <c r="AB971" t="str">
        <f t="shared" si="240"/>
        <v/>
      </c>
      <c r="AC971">
        <f>IF($A971="",0,IF(COUNTIF($A$2:$A971,$A971)=1,1,0))</f>
        <v>0</v>
      </c>
      <c r="AD971">
        <f t="shared" si="241"/>
        <v>9</v>
      </c>
      <c r="AE971" t="str">
        <f t="shared" si="242"/>
        <v>长沙览秀城|期内租金单价水平（元/平方米/月）</v>
      </c>
    </row>
    <row r="972" spans="1:31" x14ac:dyDescent="0.4">
      <c r="A972" t="str">
        <f>IF(原始经营数据!$D973="","",原始经营数据!$D973)</f>
        <v>华夏金茂消费封闭式基础设施证券投资基金</v>
      </c>
      <c r="B972" t="str">
        <f>IF(原始经营数据!$D973="","",T(原始经营数据!$E973))</f>
        <v>长沙览秀城</v>
      </c>
      <c r="C972" t="str">
        <f>IF(原始经营数据!$D973="","",原始经营数据!$F973)</f>
        <v>2024Q2</v>
      </c>
      <c r="D972" t="str">
        <f>IF(原始经营数据!$D973="","",原始经营数据!$H973)</f>
        <v>期内租金单价水平</v>
      </c>
      <c r="E972">
        <f>IF(原始经营数据!$D973="","",原始经营数据!$I973)</f>
        <v>84.11</v>
      </c>
      <c r="F972" t="str">
        <f>IF(原始经营数据!$D973="","",T(原始经营数据!$J973))</f>
        <v>元/平方米/月</v>
      </c>
      <c r="G972" t="str">
        <f>IF(原始经营数据!$D973="","",T(原始经营数据!$K973))</f>
        <v/>
      </c>
      <c r="H972" t="str">
        <f>IF(原始经营数据!$D973="","",原始经营数据!$G973)</f>
        <v>服务价格</v>
      </c>
      <c r="I972" t="str">
        <f>IF($A972="","",IF($B972&lt;&gt;"",$B972,IF(COUNTIFS(原始经营数据!$D$3:$D$3001,$A972,原始经营数据!$E$3:$E$3001,"",原始经营数据!$F$3:$F$3001,$C972,原始经营数据!$H$3:$H$3001,$D972,原始经营数据!$K$3:$K$3001,$G972)&gt;1,"基金整体·来源"&amp;原始经营数据!$A973,"基金整体")))</f>
        <v>长沙览秀城</v>
      </c>
      <c r="J972" t="str">
        <f t="shared" si="228"/>
        <v>季度</v>
      </c>
      <c r="K972" t="str">
        <f t="shared" si="229"/>
        <v>期内租金单价水平（元/平方米/月）</v>
      </c>
      <c r="L972" t="str">
        <f t="shared" si="230"/>
        <v>长沙览秀城|期内租金单价水平（元/平方米/月）|季度</v>
      </c>
      <c r="M972">
        <f>IF($A972="",0,IF(COUNTIF($L$2:$L972,$L972)=1,1,0))</f>
        <v>0</v>
      </c>
      <c r="N972">
        <f t="shared" si="231"/>
        <v>20242</v>
      </c>
      <c r="O972" t="str">
        <f t="shared" si="232"/>
        <v>华夏金茂消费封闭式基础设施证券投资基金|2024Q2|季度</v>
      </c>
      <c r="P972">
        <f>IF($A972="",0,IF(COUNTIF($O$2:$O972,$O972)=1,1,0))</f>
        <v>1</v>
      </c>
      <c r="Q972" t="str">
        <f>IF(AND($P972=1,$A972=经营数据!$B$3,$J972=经营数据!$BA$5),COUNTIFS($P$2:$P$3000,1,$A$2:$A$3000,$A972,$J$2:$J$3000,$J972,$N$2:$N$3000,"&lt;"&amp;$N972)+1,"")</f>
        <v/>
      </c>
      <c r="R972" t="str">
        <f t="shared" si="233"/>
        <v>华夏金茂消费封闭式基础设施证券投资基金|长沙览秀城</v>
      </c>
      <c r="S972">
        <f>IF($A972="",0,IF(COUNTIF($R$2:$R972,$R972)=1,1,0))</f>
        <v>0</v>
      </c>
      <c r="T972">
        <f t="shared" si="234"/>
        <v>964</v>
      </c>
      <c r="U972" t="str">
        <f>IF($A972="","",IF($A972=经营数据!$B$3,COUNTIFS($S$2:$S$3000,1,$A$2:$A$3000,$A972,$T$2:$T$3000,"&lt;"&amp;$T972)+1,""))</f>
        <v/>
      </c>
      <c r="V972" t="str">
        <f t="shared" si="235"/>
        <v>长沙览秀城|服务价格</v>
      </c>
      <c r="W972">
        <f t="shared" si="236"/>
        <v>965</v>
      </c>
      <c r="X972" t="str">
        <f t="shared" si="237"/>
        <v>长沙览秀城|期内租金单价水平</v>
      </c>
      <c r="Y972">
        <f t="shared" si="238"/>
        <v>970</v>
      </c>
      <c r="Z972">
        <f>IF($A972="",0,IF(AND($M972=1,$A972=经营数据!$B$3,$J972=经营数据!$BA$5,OR($I972=经营数据!$BA$4,COUNTIF(经营数据!$AA$9:$AA$38,$I972)&gt;0)),1,0))</f>
        <v>0</v>
      </c>
      <c r="AA972" t="str">
        <f t="shared" si="239"/>
        <v/>
      </c>
      <c r="AB972" t="str">
        <f t="shared" si="240"/>
        <v/>
      </c>
      <c r="AC972">
        <f>IF($A972="",0,IF(COUNTIF($A$2:$A972,$A972)=1,1,0))</f>
        <v>0</v>
      </c>
      <c r="AD972">
        <f t="shared" si="241"/>
        <v>9</v>
      </c>
      <c r="AE972" t="str">
        <f t="shared" si="242"/>
        <v>长沙览秀城|期内租金单价水平（元/平方米/月）</v>
      </c>
    </row>
    <row r="973" spans="1:31" x14ac:dyDescent="0.4">
      <c r="A973" t="str">
        <f>IF(原始经营数据!$D974="","",原始经营数据!$D974)</f>
        <v>华夏金茂消费封闭式基础设施证券投资基金</v>
      </c>
      <c r="B973" t="str">
        <f>IF(原始经营数据!$D974="","",T(原始经营数据!$E974))</f>
        <v>长沙览秀城</v>
      </c>
      <c r="C973" t="str">
        <f>IF(原始经营数据!$D974="","",原始经营数据!$F974)</f>
        <v>2024Q2</v>
      </c>
      <c r="D973" t="str">
        <f>IF(原始经营数据!$D974="","",原始经营数据!$H974)</f>
        <v>期末可供出租面积</v>
      </c>
      <c r="E973">
        <f>IF(原始经营数据!$D974="","",原始经营数据!$I974)</f>
        <v>61179.92</v>
      </c>
      <c r="F973" t="str">
        <f>IF(原始经营数据!$D974="","",T(原始经营数据!$J974))</f>
        <v>平方米</v>
      </c>
      <c r="G973" t="str">
        <f>IF(原始经营数据!$D974="","",T(原始经营数据!$K974))</f>
        <v/>
      </c>
      <c r="H973" t="str">
        <f>IF(原始经营数据!$D974="","",原始经营数据!$G974)</f>
        <v>服务量</v>
      </c>
      <c r="I973" t="str">
        <f>IF($A973="","",IF($B973&lt;&gt;"",$B973,IF(COUNTIFS(原始经营数据!$D$3:$D$3001,$A973,原始经营数据!$E$3:$E$3001,"",原始经营数据!$F$3:$F$3001,$C973,原始经营数据!$H$3:$H$3001,$D973,原始经营数据!$K$3:$K$3001,$G973)&gt;1,"基金整体·来源"&amp;原始经营数据!$A974,"基金整体")))</f>
        <v>长沙览秀城</v>
      </c>
      <c r="J973" t="str">
        <f t="shared" si="228"/>
        <v>季度</v>
      </c>
      <c r="K973" t="str">
        <f t="shared" si="229"/>
        <v>期末可供出租面积（平方米）</v>
      </c>
      <c r="L973" t="str">
        <f t="shared" si="230"/>
        <v>长沙览秀城|期末可供出租面积（平方米）|季度</v>
      </c>
      <c r="M973">
        <f>IF($A973="",0,IF(COUNTIF($L$2:$L973,$L973)=1,1,0))</f>
        <v>0</v>
      </c>
      <c r="N973">
        <f t="shared" si="231"/>
        <v>20242</v>
      </c>
      <c r="O973" t="str">
        <f t="shared" si="232"/>
        <v>华夏金茂消费封闭式基础设施证券投资基金|2024Q2|季度</v>
      </c>
      <c r="P973">
        <f>IF($A973="",0,IF(COUNTIF($O$2:$O973,$O973)=1,1,0))</f>
        <v>0</v>
      </c>
      <c r="Q973" t="str">
        <f>IF(AND($P973=1,$A973=经营数据!$B$3,$J973=经营数据!$BA$5),COUNTIFS($P$2:$P$3000,1,$A$2:$A$3000,$A973,$J$2:$J$3000,$J973,$N$2:$N$3000,"&lt;"&amp;$N973)+1,"")</f>
        <v/>
      </c>
      <c r="R973" t="str">
        <f t="shared" si="233"/>
        <v>华夏金茂消费封闭式基础设施证券投资基金|长沙览秀城</v>
      </c>
      <c r="S973">
        <f>IF($A973="",0,IF(COUNTIF($R$2:$R973,$R973)=1,1,0))</f>
        <v>0</v>
      </c>
      <c r="T973">
        <f t="shared" si="234"/>
        <v>964</v>
      </c>
      <c r="U973" t="str">
        <f>IF($A973="","",IF($A973=经营数据!$B$3,COUNTIFS($S$2:$S$3000,1,$A$2:$A$3000,$A973,$T$2:$T$3000,"&lt;"&amp;$T973)+1,""))</f>
        <v/>
      </c>
      <c r="V973" t="str">
        <f t="shared" si="235"/>
        <v>长沙览秀城|服务量</v>
      </c>
      <c r="W973">
        <f t="shared" si="236"/>
        <v>964</v>
      </c>
      <c r="X973" t="str">
        <f t="shared" si="237"/>
        <v>长沙览秀城|期末可供出租面积</v>
      </c>
      <c r="Y973">
        <f t="shared" si="238"/>
        <v>968</v>
      </c>
      <c r="Z973">
        <f>IF($A973="",0,IF(AND($M973=1,$A973=经营数据!$B$3,$J973=经营数据!$BA$5,OR($I973=经营数据!$BA$4,COUNTIF(经营数据!$AA$9:$AA$38,$I973)&gt;0)),1,0))</f>
        <v>0</v>
      </c>
      <c r="AA973" t="str">
        <f t="shared" si="239"/>
        <v/>
      </c>
      <c r="AB973" t="str">
        <f t="shared" si="240"/>
        <v/>
      </c>
      <c r="AC973">
        <f>IF($A973="",0,IF(COUNTIF($A$2:$A973,$A973)=1,1,0))</f>
        <v>0</v>
      </c>
      <c r="AD973">
        <f t="shared" si="241"/>
        <v>9</v>
      </c>
      <c r="AE973" t="str">
        <f t="shared" si="242"/>
        <v>长沙览秀城|期末可供出租面积（平方米）</v>
      </c>
    </row>
    <row r="974" spans="1:31" x14ac:dyDescent="0.4">
      <c r="A974" t="str">
        <f>IF(原始经营数据!$D975="","",原始经营数据!$D975)</f>
        <v>华夏金茂消费封闭式基础设施证券投资基金</v>
      </c>
      <c r="B974" t="str">
        <f>IF(原始经营数据!$D975="","",T(原始经营数据!$E975))</f>
        <v>长沙览秀城</v>
      </c>
      <c r="C974" t="str">
        <f>IF(原始经营数据!$D975="","",原始经营数据!$F975)</f>
        <v>2024Q2</v>
      </c>
      <c r="D974" t="str">
        <f>IF(原始经营数据!$D975="","",原始经营数据!$H975)</f>
        <v>期末实际出租面积</v>
      </c>
      <c r="E974">
        <f>IF(原始经营数据!$D975="","",原始经营数据!$I975)</f>
        <v>60139.65</v>
      </c>
      <c r="F974" t="str">
        <f>IF(原始经营数据!$D975="","",T(原始经营数据!$J975))</f>
        <v>平方米</v>
      </c>
      <c r="G974" t="str">
        <f>IF(原始经营数据!$D975="","",T(原始经营数据!$K975))</f>
        <v/>
      </c>
      <c r="H974" t="str">
        <f>IF(原始经营数据!$D975="","",原始经营数据!$G975)</f>
        <v>服务量</v>
      </c>
      <c r="I974" t="str">
        <f>IF($A974="","",IF($B974&lt;&gt;"",$B974,IF(COUNTIFS(原始经营数据!$D$3:$D$3001,$A974,原始经营数据!$E$3:$E$3001,"",原始经营数据!$F$3:$F$3001,$C974,原始经营数据!$H$3:$H$3001,$D974,原始经营数据!$K$3:$K$3001,$G974)&gt;1,"基金整体·来源"&amp;原始经营数据!$A975,"基金整体")))</f>
        <v>长沙览秀城</v>
      </c>
      <c r="J974" t="str">
        <f t="shared" si="228"/>
        <v>季度</v>
      </c>
      <c r="K974" t="str">
        <f t="shared" si="229"/>
        <v>期末实际出租面积（平方米）</v>
      </c>
      <c r="L974" t="str">
        <f t="shared" si="230"/>
        <v>长沙览秀城|期末实际出租面积（平方米）|季度</v>
      </c>
      <c r="M974">
        <f>IF($A974="",0,IF(COUNTIF($L$2:$L974,$L974)=1,1,0))</f>
        <v>0</v>
      </c>
      <c r="N974">
        <f t="shared" si="231"/>
        <v>20242</v>
      </c>
      <c r="O974" t="str">
        <f t="shared" si="232"/>
        <v>华夏金茂消费封闭式基础设施证券投资基金|2024Q2|季度</v>
      </c>
      <c r="P974">
        <f>IF($A974="",0,IF(COUNTIF($O$2:$O974,$O974)=1,1,0))</f>
        <v>0</v>
      </c>
      <c r="Q974" t="str">
        <f>IF(AND($P974=1,$A974=经营数据!$B$3,$J974=经营数据!$BA$5),COUNTIFS($P$2:$P$3000,1,$A$2:$A$3000,$A974,$J$2:$J$3000,$J974,$N$2:$N$3000,"&lt;"&amp;$N974)+1,"")</f>
        <v/>
      </c>
      <c r="R974" t="str">
        <f t="shared" si="233"/>
        <v>华夏金茂消费封闭式基础设施证券投资基金|长沙览秀城</v>
      </c>
      <c r="S974">
        <f>IF($A974="",0,IF(COUNTIF($R$2:$R974,$R974)=1,1,0))</f>
        <v>0</v>
      </c>
      <c r="T974">
        <f t="shared" si="234"/>
        <v>964</v>
      </c>
      <c r="U974" t="str">
        <f>IF($A974="","",IF($A974=经营数据!$B$3,COUNTIFS($S$2:$S$3000,1,$A$2:$A$3000,$A974,$T$2:$T$3000,"&lt;"&amp;$T974)+1,""))</f>
        <v/>
      </c>
      <c r="V974" t="str">
        <f t="shared" si="235"/>
        <v>长沙览秀城|服务量</v>
      </c>
      <c r="W974">
        <f t="shared" si="236"/>
        <v>964</v>
      </c>
      <c r="X974" t="str">
        <f t="shared" si="237"/>
        <v>长沙览秀城|期末实际出租面积</v>
      </c>
      <c r="Y974">
        <f t="shared" si="238"/>
        <v>967</v>
      </c>
      <c r="Z974">
        <f>IF($A974="",0,IF(AND($M974=1,$A974=经营数据!$B$3,$J974=经营数据!$BA$5,OR($I974=经营数据!$BA$4,COUNTIF(经营数据!$AA$9:$AA$38,$I974)&gt;0)),1,0))</f>
        <v>0</v>
      </c>
      <c r="AA974" t="str">
        <f t="shared" si="239"/>
        <v/>
      </c>
      <c r="AB974" t="str">
        <f t="shared" si="240"/>
        <v/>
      </c>
      <c r="AC974">
        <f>IF($A974="",0,IF(COUNTIF($A$2:$A974,$A974)=1,1,0))</f>
        <v>0</v>
      </c>
      <c r="AD974">
        <f t="shared" si="241"/>
        <v>9</v>
      </c>
      <c r="AE974" t="str">
        <f t="shared" si="242"/>
        <v>长沙览秀城|期末实际出租面积（平方米）</v>
      </c>
    </row>
    <row r="975" spans="1:31" x14ac:dyDescent="0.4">
      <c r="A975" t="str">
        <f>IF(原始经营数据!$D976="","",原始经营数据!$D976)</f>
        <v>华夏金茂消费封闭式基础设施证券投资基金</v>
      </c>
      <c r="B975" t="str">
        <f>IF(原始经营数据!$D976="","",T(原始经营数据!$E976))</f>
        <v>长沙览秀城</v>
      </c>
      <c r="C975" t="str">
        <f>IF(原始经营数据!$D976="","",原始经营数据!$F976)</f>
        <v>2024Q2</v>
      </c>
      <c r="D975" t="str">
        <f>IF(原始经营数据!$D976="","",原始经营数据!$H976)</f>
        <v>期末收缴率</v>
      </c>
      <c r="E975">
        <f>IF(原始经营数据!$D976="","",原始经营数据!$I976)</f>
        <v>99.43</v>
      </c>
      <c r="F975" t="str">
        <f>IF(原始经营数据!$D976="","",T(原始经营数据!$J976))</f>
        <v>%</v>
      </c>
      <c r="G975" t="str">
        <f>IF(原始经营数据!$D976="","",T(原始经营数据!$K976))</f>
        <v/>
      </c>
      <c r="H975" t="str">
        <f>IF(原始经营数据!$D976="","",原始经营数据!$G976)</f>
        <v>服务效率</v>
      </c>
      <c r="I975" t="str">
        <f>IF($A975="","",IF($B975&lt;&gt;"",$B975,IF(COUNTIFS(原始经营数据!$D$3:$D$3001,$A975,原始经营数据!$E$3:$E$3001,"",原始经营数据!$F$3:$F$3001,$C975,原始经营数据!$H$3:$H$3001,$D975,原始经营数据!$K$3:$K$3001,$G975)&gt;1,"基金整体·来源"&amp;原始经营数据!$A976,"基金整体")))</f>
        <v>长沙览秀城</v>
      </c>
      <c r="J975" t="str">
        <f t="shared" si="228"/>
        <v>季度</v>
      </c>
      <c r="K975" t="str">
        <f t="shared" si="229"/>
        <v>期末收缴率（%）</v>
      </c>
      <c r="L975" t="str">
        <f t="shared" si="230"/>
        <v>长沙览秀城|期末收缴率（%）|季度</v>
      </c>
      <c r="M975">
        <f>IF($A975="",0,IF(COUNTIF($L$2:$L975,$L975)=1,1,0))</f>
        <v>0</v>
      </c>
      <c r="N975">
        <f t="shared" si="231"/>
        <v>20242</v>
      </c>
      <c r="O975" t="str">
        <f t="shared" si="232"/>
        <v>华夏金茂消费封闭式基础设施证券投资基金|2024Q2|季度</v>
      </c>
      <c r="P975">
        <f>IF($A975="",0,IF(COUNTIF($O$2:$O975,$O975)=1,1,0))</f>
        <v>0</v>
      </c>
      <c r="Q975" t="str">
        <f>IF(AND($P975=1,$A975=经营数据!$B$3,$J975=经营数据!$BA$5),COUNTIFS($P$2:$P$3000,1,$A$2:$A$3000,$A975,$J$2:$J$3000,$J975,$N$2:$N$3000,"&lt;"&amp;$N975)+1,"")</f>
        <v/>
      </c>
      <c r="R975" t="str">
        <f t="shared" si="233"/>
        <v>华夏金茂消费封闭式基础设施证券投资基金|长沙览秀城</v>
      </c>
      <c r="S975">
        <f>IF($A975="",0,IF(COUNTIF($R$2:$R975,$R975)=1,1,0))</f>
        <v>0</v>
      </c>
      <c r="T975">
        <f t="shared" si="234"/>
        <v>964</v>
      </c>
      <c r="U975" t="str">
        <f>IF($A975="","",IF($A975=经营数据!$B$3,COUNTIFS($S$2:$S$3000,1,$A$2:$A$3000,$A975,$T$2:$T$3000,"&lt;"&amp;$T975)+1,""))</f>
        <v/>
      </c>
      <c r="V975" t="str">
        <f t="shared" si="235"/>
        <v>长沙览秀城|服务效率</v>
      </c>
      <c r="W975">
        <f t="shared" si="236"/>
        <v>966</v>
      </c>
      <c r="X975" t="str">
        <f t="shared" si="237"/>
        <v>长沙览秀城|期末收缴率</v>
      </c>
      <c r="Y975">
        <f t="shared" si="238"/>
        <v>969</v>
      </c>
      <c r="Z975">
        <f>IF($A975="",0,IF(AND($M975=1,$A975=经营数据!$B$3,$J975=经营数据!$BA$5,OR($I975=经营数据!$BA$4,COUNTIF(经营数据!$AA$9:$AA$38,$I975)&gt;0)),1,0))</f>
        <v>0</v>
      </c>
      <c r="AA975" t="str">
        <f t="shared" si="239"/>
        <v/>
      </c>
      <c r="AB975" t="str">
        <f t="shared" si="240"/>
        <v/>
      </c>
      <c r="AC975">
        <f>IF($A975="",0,IF(COUNTIF($A$2:$A975,$A975)=1,1,0))</f>
        <v>0</v>
      </c>
      <c r="AD975">
        <f t="shared" si="241"/>
        <v>9</v>
      </c>
      <c r="AE975" t="str">
        <f t="shared" si="242"/>
        <v>长沙览秀城|期末收缴率（%）</v>
      </c>
    </row>
    <row r="976" spans="1:31" x14ac:dyDescent="0.4">
      <c r="A976" t="str">
        <f>IF(原始经营数据!$D977="","",原始经营数据!$D977)</f>
        <v>华夏金茂消费封闭式基础设施证券投资基金</v>
      </c>
      <c r="B976" t="str">
        <f>IF(原始经营数据!$D977="","",T(原始经营数据!$E977))</f>
        <v>长沙览秀城</v>
      </c>
      <c r="C976" t="str">
        <f>IF(原始经营数据!$D977="","",原始经营数据!$F977)</f>
        <v>2024Q2</v>
      </c>
      <c r="D976" t="str">
        <f>IF(原始经营数据!$D977="","",原始经营数据!$H977)</f>
        <v>期末加权平均剩余租期</v>
      </c>
      <c r="E976">
        <f>IF(原始经营数据!$D977="","",原始经营数据!$I977)</f>
        <v>4.6399999999999997</v>
      </c>
      <c r="F976" t="str">
        <f>IF(原始经营数据!$D977="","",T(原始经营数据!$J977))</f>
        <v>年</v>
      </c>
      <c r="G976" t="str">
        <f>IF(原始经营数据!$D977="","",T(原始经营数据!$K977))</f>
        <v/>
      </c>
      <c r="H976" t="str">
        <f>IF(原始经营数据!$D977="","",原始经营数据!$G977)</f>
        <v>服务量</v>
      </c>
      <c r="I976" t="str">
        <f>IF($A976="","",IF($B976&lt;&gt;"",$B976,IF(COUNTIFS(原始经营数据!$D$3:$D$3001,$A976,原始经营数据!$E$3:$E$3001,"",原始经营数据!$F$3:$F$3001,$C976,原始经营数据!$H$3:$H$3001,$D976,原始经营数据!$K$3:$K$3001,$G976)&gt;1,"基金整体·来源"&amp;原始经营数据!$A977,"基金整体")))</f>
        <v>长沙览秀城</v>
      </c>
      <c r="J976" t="str">
        <f t="shared" si="228"/>
        <v>季度</v>
      </c>
      <c r="K976" t="str">
        <f t="shared" si="229"/>
        <v>期末加权平均剩余租期（年）</v>
      </c>
      <c r="L976" t="str">
        <f t="shared" si="230"/>
        <v>长沙览秀城|期末加权平均剩余租期（年）|季度</v>
      </c>
      <c r="M976">
        <f>IF($A976="",0,IF(COUNTIF($L$2:$L976,$L976)=1,1,0))</f>
        <v>0</v>
      </c>
      <c r="N976">
        <f t="shared" si="231"/>
        <v>20242</v>
      </c>
      <c r="O976" t="str">
        <f t="shared" si="232"/>
        <v>华夏金茂消费封闭式基础设施证券投资基金|2024Q2|季度</v>
      </c>
      <c r="P976">
        <f>IF($A976="",0,IF(COUNTIF($O$2:$O976,$O976)=1,1,0))</f>
        <v>0</v>
      </c>
      <c r="Q976" t="str">
        <f>IF(AND($P976=1,$A976=经营数据!$B$3,$J976=经营数据!$BA$5),COUNTIFS($P$2:$P$3000,1,$A$2:$A$3000,$A976,$J$2:$J$3000,$J976,$N$2:$N$3000,"&lt;"&amp;$N976)+1,"")</f>
        <v/>
      </c>
      <c r="R976" t="str">
        <f t="shared" si="233"/>
        <v>华夏金茂消费封闭式基础设施证券投资基金|长沙览秀城</v>
      </c>
      <c r="S976">
        <f>IF($A976="",0,IF(COUNTIF($R$2:$R976,$R976)=1,1,0))</f>
        <v>0</v>
      </c>
      <c r="T976">
        <f t="shared" si="234"/>
        <v>964</v>
      </c>
      <c r="U976" t="str">
        <f>IF($A976="","",IF($A976=经营数据!$B$3,COUNTIFS($S$2:$S$3000,1,$A$2:$A$3000,$A976,$T$2:$T$3000,"&lt;"&amp;$T976)+1,""))</f>
        <v/>
      </c>
      <c r="V976" t="str">
        <f t="shared" si="235"/>
        <v>长沙览秀城|服务量</v>
      </c>
      <c r="W976">
        <f t="shared" si="236"/>
        <v>964</v>
      </c>
      <c r="X976" t="str">
        <f t="shared" si="237"/>
        <v>长沙览秀城|期末加权平均剩余租期</v>
      </c>
      <c r="Y976">
        <f t="shared" si="238"/>
        <v>964</v>
      </c>
      <c r="Z976">
        <f>IF($A976="",0,IF(AND($M976=1,$A976=经营数据!$B$3,$J976=经营数据!$BA$5,OR($I976=经营数据!$BA$4,COUNTIF(经营数据!$AA$9:$AA$38,$I976)&gt;0)),1,0))</f>
        <v>0</v>
      </c>
      <c r="AA976" t="str">
        <f t="shared" si="239"/>
        <v/>
      </c>
      <c r="AB976" t="str">
        <f t="shared" si="240"/>
        <v/>
      </c>
      <c r="AC976">
        <f>IF($A976="",0,IF(COUNTIF($A$2:$A976,$A976)=1,1,0))</f>
        <v>0</v>
      </c>
      <c r="AD976">
        <f t="shared" si="241"/>
        <v>9</v>
      </c>
      <c r="AE976" t="str">
        <f t="shared" si="242"/>
        <v>长沙览秀城|期末加权平均剩余租期（年）</v>
      </c>
    </row>
    <row r="977" spans="1:31" x14ac:dyDescent="0.4">
      <c r="A977" t="str">
        <f>IF(原始经营数据!$D978="","",原始经营数据!$D978)</f>
        <v>华夏金茂消费封闭式基础设施证券投资基金</v>
      </c>
      <c r="B977" t="str">
        <f>IF(原始经营数据!$D978="","",T(原始经营数据!$E978))</f>
        <v>长沙览秀城</v>
      </c>
      <c r="C977" t="str">
        <f>IF(原始经营数据!$D978="","",原始经营数据!$F978)</f>
        <v>2024Q2</v>
      </c>
      <c r="D977" t="str">
        <f>IF(原始经营数据!$D978="","",原始经营数据!$H978)</f>
        <v>期内平均租金单价</v>
      </c>
      <c r="E977">
        <f>IF(原始经营数据!$D978="","",原始经营数据!$I978)</f>
        <v>84.11</v>
      </c>
      <c r="F977" t="str">
        <f>IF(原始经营数据!$D978="","",T(原始经营数据!$J978))</f>
        <v>元/平方米/月</v>
      </c>
      <c r="G977" t="str">
        <f>IF(原始经营数据!$D978="","",T(原始经营数据!$K978))</f>
        <v/>
      </c>
      <c r="H977" t="str">
        <f>IF(原始经营数据!$D978="","",原始经营数据!$G978)</f>
        <v>服务价格</v>
      </c>
      <c r="I977" t="str">
        <f>IF($A977="","",IF($B977&lt;&gt;"",$B977,IF(COUNTIFS(原始经营数据!$D$3:$D$3001,$A977,原始经营数据!$E$3:$E$3001,"",原始经营数据!$F$3:$F$3001,$C977,原始经营数据!$H$3:$H$3001,$D977,原始经营数据!$K$3:$K$3001,$G977)&gt;1,"基金整体·来源"&amp;原始经营数据!$A978,"基金整体")))</f>
        <v>长沙览秀城</v>
      </c>
      <c r="J977" t="str">
        <f t="shared" si="228"/>
        <v>季度</v>
      </c>
      <c r="K977" t="str">
        <f t="shared" si="229"/>
        <v>期内平均租金单价（元/平方米/月）</v>
      </c>
      <c r="L977" t="str">
        <f t="shared" si="230"/>
        <v>长沙览秀城|期内平均租金单价（元/平方米/月）|季度</v>
      </c>
      <c r="M977">
        <f>IF($A977="",0,IF(COUNTIF($L$2:$L977,$L977)=1,1,0))</f>
        <v>0</v>
      </c>
      <c r="N977">
        <f t="shared" si="231"/>
        <v>20242</v>
      </c>
      <c r="O977" t="str">
        <f t="shared" si="232"/>
        <v>华夏金茂消费封闭式基础设施证券投资基金|2024Q2|季度</v>
      </c>
      <c r="P977">
        <f>IF($A977="",0,IF(COUNTIF($O$2:$O977,$O977)=1,1,0))</f>
        <v>0</v>
      </c>
      <c r="Q977" t="str">
        <f>IF(AND($P977=1,$A977=经营数据!$B$3,$J977=经营数据!$BA$5),COUNTIFS($P$2:$P$3000,1,$A$2:$A$3000,$A977,$J$2:$J$3000,$J977,$N$2:$N$3000,"&lt;"&amp;$N977)+1,"")</f>
        <v/>
      </c>
      <c r="R977" t="str">
        <f t="shared" si="233"/>
        <v>华夏金茂消费封闭式基础设施证券投资基金|长沙览秀城</v>
      </c>
      <c r="S977">
        <f>IF($A977="",0,IF(COUNTIF($R$2:$R977,$R977)=1,1,0))</f>
        <v>0</v>
      </c>
      <c r="T977">
        <f t="shared" si="234"/>
        <v>964</v>
      </c>
      <c r="U977" t="str">
        <f>IF($A977="","",IF($A977=经营数据!$B$3,COUNTIFS($S$2:$S$3000,1,$A$2:$A$3000,$A977,$T$2:$T$3000,"&lt;"&amp;$T977)+1,""))</f>
        <v/>
      </c>
      <c r="V977" t="str">
        <f t="shared" si="235"/>
        <v>长沙览秀城|服务价格</v>
      </c>
      <c r="W977">
        <f t="shared" si="236"/>
        <v>965</v>
      </c>
      <c r="X977" t="str">
        <f t="shared" si="237"/>
        <v>长沙览秀城|期内平均租金单价</v>
      </c>
      <c r="Y977">
        <f t="shared" si="238"/>
        <v>965</v>
      </c>
      <c r="Z977">
        <f>IF($A977="",0,IF(AND($M977=1,$A977=经营数据!$B$3,$J977=经营数据!$BA$5,OR($I977=经营数据!$BA$4,COUNTIF(经营数据!$AA$9:$AA$38,$I977)&gt;0)),1,0))</f>
        <v>0</v>
      </c>
      <c r="AA977" t="str">
        <f t="shared" si="239"/>
        <v/>
      </c>
      <c r="AB977" t="str">
        <f t="shared" si="240"/>
        <v/>
      </c>
      <c r="AC977">
        <f>IF($A977="",0,IF(COUNTIF($A$2:$A977,$A977)=1,1,0))</f>
        <v>0</v>
      </c>
      <c r="AD977">
        <f t="shared" si="241"/>
        <v>9</v>
      </c>
      <c r="AE977" t="str">
        <f t="shared" si="242"/>
        <v>长沙览秀城|期内平均租金单价（元/平方米/月）</v>
      </c>
    </row>
    <row r="978" spans="1:31" x14ac:dyDescent="0.4">
      <c r="A978" t="str">
        <f>IF(原始经营数据!$D979="","",原始经营数据!$D979)</f>
        <v>华夏金茂消费封闭式基础设施证券投资基金</v>
      </c>
      <c r="B978" t="str">
        <f>IF(原始经营数据!$D979="","",T(原始经营数据!$E979))</f>
        <v>长沙览秀城</v>
      </c>
      <c r="C978" t="str">
        <f>IF(原始经营数据!$D979="","",原始经营数据!$F979)</f>
        <v>2024Q2</v>
      </c>
      <c r="D978" t="str">
        <f>IF(原始经营数据!$D979="","",原始经营数据!$H979)</f>
        <v>期末出租率</v>
      </c>
      <c r="E978">
        <f>IF(原始经营数据!$D979="","",原始经营数据!$I979)</f>
        <v>98.3</v>
      </c>
      <c r="F978" t="str">
        <f>IF(原始经营数据!$D979="","",T(原始经营数据!$J979))</f>
        <v>%</v>
      </c>
      <c r="G978" t="str">
        <f>IF(原始经营数据!$D979="","",T(原始经营数据!$K979))</f>
        <v/>
      </c>
      <c r="H978" t="str">
        <f>IF(原始经营数据!$D979="","",原始经营数据!$G979)</f>
        <v>服务效率</v>
      </c>
      <c r="I978" t="str">
        <f>IF($A978="","",IF($B978&lt;&gt;"",$B978,IF(COUNTIFS(原始经营数据!$D$3:$D$3001,$A978,原始经营数据!$E$3:$E$3001,"",原始经营数据!$F$3:$F$3001,$C978,原始经营数据!$H$3:$H$3001,$D978,原始经营数据!$K$3:$K$3001,$G978)&gt;1,"基金整体·来源"&amp;原始经营数据!$A979,"基金整体")))</f>
        <v>长沙览秀城</v>
      </c>
      <c r="J978" t="str">
        <f t="shared" si="228"/>
        <v>季度</v>
      </c>
      <c r="K978" t="str">
        <f t="shared" si="229"/>
        <v>期末出租率（%）</v>
      </c>
      <c r="L978" t="str">
        <f t="shared" si="230"/>
        <v>长沙览秀城|期末出租率（%）|季度</v>
      </c>
      <c r="M978">
        <f>IF($A978="",0,IF(COUNTIF($L$2:$L978,$L978)=1,1,0))</f>
        <v>0</v>
      </c>
      <c r="N978">
        <f t="shared" si="231"/>
        <v>20242</v>
      </c>
      <c r="O978" t="str">
        <f t="shared" si="232"/>
        <v>华夏金茂消费封闭式基础设施证券投资基金|2024Q2|季度</v>
      </c>
      <c r="P978">
        <f>IF($A978="",0,IF(COUNTIF($O$2:$O978,$O978)=1,1,0))</f>
        <v>0</v>
      </c>
      <c r="Q978" t="str">
        <f>IF(AND($P978=1,$A978=经营数据!$B$3,$J978=经营数据!$BA$5),COUNTIFS($P$2:$P$3000,1,$A$2:$A$3000,$A978,$J$2:$J$3000,$J978,$N$2:$N$3000,"&lt;"&amp;$N978)+1,"")</f>
        <v/>
      </c>
      <c r="R978" t="str">
        <f t="shared" si="233"/>
        <v>华夏金茂消费封闭式基础设施证券投资基金|长沙览秀城</v>
      </c>
      <c r="S978">
        <f>IF($A978="",0,IF(COUNTIF($R$2:$R978,$R978)=1,1,0))</f>
        <v>0</v>
      </c>
      <c r="T978">
        <f t="shared" si="234"/>
        <v>964</v>
      </c>
      <c r="U978" t="str">
        <f>IF($A978="","",IF($A978=经营数据!$B$3,COUNTIFS($S$2:$S$3000,1,$A$2:$A$3000,$A978,$T$2:$T$3000,"&lt;"&amp;$T978)+1,""))</f>
        <v/>
      </c>
      <c r="V978" t="str">
        <f t="shared" si="235"/>
        <v>长沙览秀城|服务效率</v>
      </c>
      <c r="W978">
        <f t="shared" si="236"/>
        <v>966</v>
      </c>
      <c r="X978" t="str">
        <f t="shared" si="237"/>
        <v>长沙览秀城|期末出租率</v>
      </c>
      <c r="Y978">
        <f t="shared" si="238"/>
        <v>966</v>
      </c>
      <c r="Z978">
        <f>IF($A978="",0,IF(AND($M978=1,$A978=经营数据!$B$3,$J978=经营数据!$BA$5,OR($I978=经营数据!$BA$4,COUNTIF(经营数据!$AA$9:$AA$38,$I978)&gt;0)),1,0))</f>
        <v>0</v>
      </c>
      <c r="AA978" t="str">
        <f t="shared" si="239"/>
        <v/>
      </c>
      <c r="AB978" t="str">
        <f t="shared" si="240"/>
        <v/>
      </c>
      <c r="AC978">
        <f>IF($A978="",0,IF(COUNTIF($A$2:$A978,$A978)=1,1,0))</f>
        <v>0</v>
      </c>
      <c r="AD978">
        <f t="shared" si="241"/>
        <v>9</v>
      </c>
      <c r="AE978" t="str">
        <f t="shared" si="242"/>
        <v>长沙览秀城|期末出租率（%）</v>
      </c>
    </row>
    <row r="979" spans="1:31" x14ac:dyDescent="0.4">
      <c r="A979" t="str">
        <f>IF(原始经营数据!$D980="","",原始经营数据!$D980)</f>
        <v>华夏金茂消费封闭式基础设施证券投资基金</v>
      </c>
      <c r="B979" t="str">
        <f>IF(原始经营数据!$D980="","",T(原始经营数据!$E980))</f>
        <v>长沙览秀城</v>
      </c>
      <c r="C979" t="str">
        <f>IF(原始经营数据!$D980="","",原始经营数据!$F980)</f>
        <v>2024Q3</v>
      </c>
      <c r="D979" t="str">
        <f>IF(原始经营数据!$D980="","",原始经营数据!$H980)</f>
        <v>期内租金单价水平</v>
      </c>
      <c r="E979">
        <f>IF(原始经营数据!$D980="","",原始经营数据!$I980)</f>
        <v>87.01</v>
      </c>
      <c r="F979" t="str">
        <f>IF(原始经营数据!$D980="","",T(原始经营数据!$J980))</f>
        <v>元/平方米/月</v>
      </c>
      <c r="G979" t="str">
        <f>IF(原始经营数据!$D980="","",T(原始经营数据!$K980))</f>
        <v/>
      </c>
      <c r="H979" t="str">
        <f>IF(原始经营数据!$D980="","",原始经营数据!$G980)</f>
        <v>服务价格</v>
      </c>
      <c r="I979" t="str">
        <f>IF($A979="","",IF($B979&lt;&gt;"",$B979,IF(COUNTIFS(原始经营数据!$D$3:$D$3001,$A979,原始经营数据!$E$3:$E$3001,"",原始经营数据!$F$3:$F$3001,$C979,原始经营数据!$H$3:$H$3001,$D979,原始经营数据!$K$3:$K$3001,$G979)&gt;1,"基金整体·来源"&amp;原始经营数据!$A980,"基金整体")))</f>
        <v>长沙览秀城</v>
      </c>
      <c r="J979" t="str">
        <f t="shared" si="228"/>
        <v>季度</v>
      </c>
      <c r="K979" t="str">
        <f t="shared" si="229"/>
        <v>期内租金单价水平（元/平方米/月）</v>
      </c>
      <c r="L979" t="str">
        <f t="shared" si="230"/>
        <v>长沙览秀城|期内租金单价水平（元/平方米/月）|季度</v>
      </c>
      <c r="M979">
        <f>IF($A979="",0,IF(COUNTIF($L$2:$L979,$L979)=1,1,0))</f>
        <v>0</v>
      </c>
      <c r="N979">
        <f t="shared" si="231"/>
        <v>20243</v>
      </c>
      <c r="O979" t="str">
        <f t="shared" si="232"/>
        <v>华夏金茂消费封闭式基础设施证券投资基金|2024Q3|季度</v>
      </c>
      <c r="P979">
        <f>IF($A979="",0,IF(COUNTIF($O$2:$O979,$O979)=1,1,0))</f>
        <v>1</v>
      </c>
      <c r="Q979" t="str">
        <f>IF(AND($P979=1,$A979=经营数据!$B$3,$J979=经营数据!$BA$5),COUNTIFS($P$2:$P$3000,1,$A$2:$A$3000,$A979,$J$2:$J$3000,$J979,$N$2:$N$3000,"&lt;"&amp;$N979)+1,"")</f>
        <v/>
      </c>
      <c r="R979" t="str">
        <f t="shared" si="233"/>
        <v>华夏金茂消费封闭式基础设施证券投资基金|长沙览秀城</v>
      </c>
      <c r="S979">
        <f>IF($A979="",0,IF(COUNTIF($R$2:$R979,$R979)=1,1,0))</f>
        <v>0</v>
      </c>
      <c r="T979">
        <f t="shared" si="234"/>
        <v>964</v>
      </c>
      <c r="U979" t="str">
        <f>IF($A979="","",IF($A979=经营数据!$B$3,COUNTIFS($S$2:$S$3000,1,$A$2:$A$3000,$A979,$T$2:$T$3000,"&lt;"&amp;$T979)+1,""))</f>
        <v/>
      </c>
      <c r="V979" t="str">
        <f t="shared" si="235"/>
        <v>长沙览秀城|服务价格</v>
      </c>
      <c r="W979">
        <f t="shared" si="236"/>
        <v>965</v>
      </c>
      <c r="X979" t="str">
        <f t="shared" si="237"/>
        <v>长沙览秀城|期内租金单价水平</v>
      </c>
      <c r="Y979">
        <f t="shared" si="238"/>
        <v>970</v>
      </c>
      <c r="Z979">
        <f>IF($A979="",0,IF(AND($M979=1,$A979=经营数据!$B$3,$J979=经营数据!$BA$5,OR($I979=经营数据!$BA$4,COUNTIF(经营数据!$AA$9:$AA$38,$I979)&gt;0)),1,0))</f>
        <v>0</v>
      </c>
      <c r="AA979" t="str">
        <f t="shared" si="239"/>
        <v/>
      </c>
      <c r="AB979" t="str">
        <f t="shared" si="240"/>
        <v/>
      </c>
      <c r="AC979">
        <f>IF($A979="",0,IF(COUNTIF($A$2:$A979,$A979)=1,1,0))</f>
        <v>0</v>
      </c>
      <c r="AD979">
        <f t="shared" si="241"/>
        <v>9</v>
      </c>
      <c r="AE979" t="str">
        <f t="shared" si="242"/>
        <v>长沙览秀城|期内租金单价水平（元/平方米/月）</v>
      </c>
    </row>
    <row r="980" spans="1:31" x14ac:dyDescent="0.4">
      <c r="A980" t="str">
        <f>IF(原始经营数据!$D981="","",原始经营数据!$D981)</f>
        <v>华夏金茂消费封闭式基础设施证券投资基金</v>
      </c>
      <c r="B980" t="str">
        <f>IF(原始经营数据!$D981="","",T(原始经营数据!$E981))</f>
        <v>长沙览秀城</v>
      </c>
      <c r="C980" t="str">
        <f>IF(原始经营数据!$D981="","",原始经营数据!$F981)</f>
        <v>2024Q3</v>
      </c>
      <c r="D980" t="str">
        <f>IF(原始经营数据!$D981="","",原始经营数据!$H981)</f>
        <v>期末可供出租面积</v>
      </c>
      <c r="E980">
        <f>IF(原始经营数据!$D981="","",原始经营数据!$I981)</f>
        <v>61179.92</v>
      </c>
      <c r="F980" t="str">
        <f>IF(原始经营数据!$D981="","",T(原始经营数据!$J981))</f>
        <v>平方米</v>
      </c>
      <c r="G980" t="str">
        <f>IF(原始经营数据!$D981="","",T(原始经营数据!$K981))</f>
        <v/>
      </c>
      <c r="H980" t="str">
        <f>IF(原始经营数据!$D981="","",原始经营数据!$G981)</f>
        <v>服务量</v>
      </c>
      <c r="I980" t="str">
        <f>IF($A980="","",IF($B980&lt;&gt;"",$B980,IF(COUNTIFS(原始经营数据!$D$3:$D$3001,$A980,原始经营数据!$E$3:$E$3001,"",原始经营数据!$F$3:$F$3001,$C980,原始经营数据!$H$3:$H$3001,$D980,原始经营数据!$K$3:$K$3001,$G980)&gt;1,"基金整体·来源"&amp;原始经营数据!$A981,"基金整体")))</f>
        <v>长沙览秀城</v>
      </c>
      <c r="J980" t="str">
        <f t="shared" si="228"/>
        <v>季度</v>
      </c>
      <c r="K980" t="str">
        <f t="shared" si="229"/>
        <v>期末可供出租面积（平方米）</v>
      </c>
      <c r="L980" t="str">
        <f t="shared" si="230"/>
        <v>长沙览秀城|期末可供出租面积（平方米）|季度</v>
      </c>
      <c r="M980">
        <f>IF($A980="",0,IF(COUNTIF($L$2:$L980,$L980)=1,1,0))</f>
        <v>0</v>
      </c>
      <c r="N980">
        <f t="shared" si="231"/>
        <v>20243</v>
      </c>
      <c r="O980" t="str">
        <f t="shared" si="232"/>
        <v>华夏金茂消费封闭式基础设施证券投资基金|2024Q3|季度</v>
      </c>
      <c r="P980">
        <f>IF($A980="",0,IF(COUNTIF($O$2:$O980,$O980)=1,1,0))</f>
        <v>0</v>
      </c>
      <c r="Q980" t="str">
        <f>IF(AND($P980=1,$A980=经营数据!$B$3,$J980=经营数据!$BA$5),COUNTIFS($P$2:$P$3000,1,$A$2:$A$3000,$A980,$J$2:$J$3000,$J980,$N$2:$N$3000,"&lt;"&amp;$N980)+1,"")</f>
        <v/>
      </c>
      <c r="R980" t="str">
        <f t="shared" si="233"/>
        <v>华夏金茂消费封闭式基础设施证券投资基金|长沙览秀城</v>
      </c>
      <c r="S980">
        <f>IF($A980="",0,IF(COUNTIF($R$2:$R980,$R980)=1,1,0))</f>
        <v>0</v>
      </c>
      <c r="T980">
        <f t="shared" si="234"/>
        <v>964</v>
      </c>
      <c r="U980" t="str">
        <f>IF($A980="","",IF($A980=经营数据!$B$3,COUNTIFS($S$2:$S$3000,1,$A$2:$A$3000,$A980,$T$2:$T$3000,"&lt;"&amp;$T980)+1,""))</f>
        <v/>
      </c>
      <c r="V980" t="str">
        <f t="shared" si="235"/>
        <v>长沙览秀城|服务量</v>
      </c>
      <c r="W980">
        <f t="shared" si="236"/>
        <v>964</v>
      </c>
      <c r="X980" t="str">
        <f t="shared" si="237"/>
        <v>长沙览秀城|期末可供出租面积</v>
      </c>
      <c r="Y980">
        <f t="shared" si="238"/>
        <v>968</v>
      </c>
      <c r="Z980">
        <f>IF($A980="",0,IF(AND($M980=1,$A980=经营数据!$B$3,$J980=经营数据!$BA$5,OR($I980=经营数据!$BA$4,COUNTIF(经营数据!$AA$9:$AA$38,$I980)&gt;0)),1,0))</f>
        <v>0</v>
      </c>
      <c r="AA980" t="str">
        <f t="shared" si="239"/>
        <v/>
      </c>
      <c r="AB980" t="str">
        <f t="shared" si="240"/>
        <v/>
      </c>
      <c r="AC980">
        <f>IF($A980="",0,IF(COUNTIF($A$2:$A980,$A980)=1,1,0))</f>
        <v>0</v>
      </c>
      <c r="AD980">
        <f t="shared" si="241"/>
        <v>9</v>
      </c>
      <c r="AE980" t="str">
        <f t="shared" si="242"/>
        <v>长沙览秀城|期末可供出租面积（平方米）</v>
      </c>
    </row>
    <row r="981" spans="1:31" x14ac:dyDescent="0.4">
      <c r="A981" t="str">
        <f>IF(原始经营数据!$D982="","",原始经营数据!$D982)</f>
        <v>华夏金茂消费封闭式基础设施证券投资基金</v>
      </c>
      <c r="B981" t="str">
        <f>IF(原始经营数据!$D982="","",T(原始经营数据!$E982))</f>
        <v>长沙览秀城</v>
      </c>
      <c r="C981" t="str">
        <f>IF(原始经营数据!$D982="","",原始经营数据!$F982)</f>
        <v>2024Q3</v>
      </c>
      <c r="D981" t="str">
        <f>IF(原始经营数据!$D982="","",原始经营数据!$H982)</f>
        <v>期末实际出租面积</v>
      </c>
      <c r="E981">
        <f>IF(原始经营数据!$D982="","",原始经营数据!$I982)</f>
        <v>60138.65</v>
      </c>
      <c r="F981" t="str">
        <f>IF(原始经营数据!$D982="","",T(原始经营数据!$J982))</f>
        <v>平方米</v>
      </c>
      <c r="G981" t="str">
        <f>IF(原始经营数据!$D982="","",T(原始经营数据!$K982))</f>
        <v/>
      </c>
      <c r="H981" t="str">
        <f>IF(原始经营数据!$D982="","",原始经营数据!$G982)</f>
        <v>服务量</v>
      </c>
      <c r="I981" t="str">
        <f>IF($A981="","",IF($B981&lt;&gt;"",$B981,IF(COUNTIFS(原始经营数据!$D$3:$D$3001,$A981,原始经营数据!$E$3:$E$3001,"",原始经营数据!$F$3:$F$3001,$C981,原始经营数据!$H$3:$H$3001,$D981,原始经营数据!$K$3:$K$3001,$G981)&gt;1,"基金整体·来源"&amp;原始经营数据!$A982,"基金整体")))</f>
        <v>长沙览秀城</v>
      </c>
      <c r="J981" t="str">
        <f t="shared" si="228"/>
        <v>季度</v>
      </c>
      <c r="K981" t="str">
        <f t="shared" si="229"/>
        <v>期末实际出租面积（平方米）</v>
      </c>
      <c r="L981" t="str">
        <f t="shared" si="230"/>
        <v>长沙览秀城|期末实际出租面积（平方米）|季度</v>
      </c>
      <c r="M981">
        <f>IF($A981="",0,IF(COUNTIF($L$2:$L981,$L981)=1,1,0))</f>
        <v>0</v>
      </c>
      <c r="N981">
        <f t="shared" si="231"/>
        <v>20243</v>
      </c>
      <c r="O981" t="str">
        <f t="shared" si="232"/>
        <v>华夏金茂消费封闭式基础设施证券投资基金|2024Q3|季度</v>
      </c>
      <c r="P981">
        <f>IF($A981="",0,IF(COUNTIF($O$2:$O981,$O981)=1,1,0))</f>
        <v>0</v>
      </c>
      <c r="Q981" t="str">
        <f>IF(AND($P981=1,$A981=经营数据!$B$3,$J981=经营数据!$BA$5),COUNTIFS($P$2:$P$3000,1,$A$2:$A$3000,$A981,$J$2:$J$3000,$J981,$N$2:$N$3000,"&lt;"&amp;$N981)+1,"")</f>
        <v/>
      </c>
      <c r="R981" t="str">
        <f t="shared" si="233"/>
        <v>华夏金茂消费封闭式基础设施证券投资基金|长沙览秀城</v>
      </c>
      <c r="S981">
        <f>IF($A981="",0,IF(COUNTIF($R$2:$R981,$R981)=1,1,0))</f>
        <v>0</v>
      </c>
      <c r="T981">
        <f t="shared" si="234"/>
        <v>964</v>
      </c>
      <c r="U981" t="str">
        <f>IF($A981="","",IF($A981=经营数据!$B$3,COUNTIFS($S$2:$S$3000,1,$A$2:$A$3000,$A981,$T$2:$T$3000,"&lt;"&amp;$T981)+1,""))</f>
        <v/>
      </c>
      <c r="V981" t="str">
        <f t="shared" si="235"/>
        <v>长沙览秀城|服务量</v>
      </c>
      <c r="W981">
        <f t="shared" si="236"/>
        <v>964</v>
      </c>
      <c r="X981" t="str">
        <f t="shared" si="237"/>
        <v>长沙览秀城|期末实际出租面积</v>
      </c>
      <c r="Y981">
        <f t="shared" si="238"/>
        <v>967</v>
      </c>
      <c r="Z981">
        <f>IF($A981="",0,IF(AND($M981=1,$A981=经营数据!$B$3,$J981=经营数据!$BA$5,OR($I981=经营数据!$BA$4,COUNTIF(经营数据!$AA$9:$AA$38,$I981)&gt;0)),1,0))</f>
        <v>0</v>
      </c>
      <c r="AA981" t="str">
        <f t="shared" si="239"/>
        <v/>
      </c>
      <c r="AB981" t="str">
        <f t="shared" si="240"/>
        <v/>
      </c>
      <c r="AC981">
        <f>IF($A981="",0,IF(COUNTIF($A$2:$A981,$A981)=1,1,0))</f>
        <v>0</v>
      </c>
      <c r="AD981">
        <f t="shared" si="241"/>
        <v>9</v>
      </c>
      <c r="AE981" t="str">
        <f t="shared" si="242"/>
        <v>长沙览秀城|期末实际出租面积（平方米）</v>
      </c>
    </row>
    <row r="982" spans="1:31" x14ac:dyDescent="0.4">
      <c r="A982" t="str">
        <f>IF(原始经营数据!$D983="","",原始经营数据!$D983)</f>
        <v>华夏金茂消费封闭式基础设施证券投资基金</v>
      </c>
      <c r="B982" t="str">
        <f>IF(原始经营数据!$D983="","",T(原始经营数据!$E983))</f>
        <v>长沙览秀城</v>
      </c>
      <c r="C982" t="str">
        <f>IF(原始经营数据!$D983="","",原始经营数据!$F983)</f>
        <v>2024Q3</v>
      </c>
      <c r="D982" t="str">
        <f>IF(原始经营数据!$D983="","",原始经营数据!$H983)</f>
        <v>期末出租率</v>
      </c>
      <c r="E982">
        <f>IF(原始经营数据!$D983="","",原始经营数据!$I983)</f>
        <v>98.3</v>
      </c>
      <c r="F982" t="str">
        <f>IF(原始经营数据!$D983="","",T(原始经营数据!$J983))</f>
        <v>%</v>
      </c>
      <c r="G982" t="str">
        <f>IF(原始经营数据!$D983="","",T(原始经营数据!$K983))</f>
        <v/>
      </c>
      <c r="H982" t="str">
        <f>IF(原始经营数据!$D983="","",原始经营数据!$G983)</f>
        <v>服务效率</v>
      </c>
      <c r="I982" t="str">
        <f>IF($A982="","",IF($B982&lt;&gt;"",$B982,IF(COUNTIFS(原始经营数据!$D$3:$D$3001,$A982,原始经营数据!$E$3:$E$3001,"",原始经营数据!$F$3:$F$3001,$C982,原始经营数据!$H$3:$H$3001,$D982,原始经营数据!$K$3:$K$3001,$G982)&gt;1,"基金整体·来源"&amp;原始经营数据!$A983,"基金整体")))</f>
        <v>长沙览秀城</v>
      </c>
      <c r="J982" t="str">
        <f t="shared" si="228"/>
        <v>季度</v>
      </c>
      <c r="K982" t="str">
        <f t="shared" si="229"/>
        <v>期末出租率（%）</v>
      </c>
      <c r="L982" t="str">
        <f t="shared" si="230"/>
        <v>长沙览秀城|期末出租率（%）|季度</v>
      </c>
      <c r="M982">
        <f>IF($A982="",0,IF(COUNTIF($L$2:$L982,$L982)=1,1,0))</f>
        <v>0</v>
      </c>
      <c r="N982">
        <f t="shared" si="231"/>
        <v>20243</v>
      </c>
      <c r="O982" t="str">
        <f t="shared" si="232"/>
        <v>华夏金茂消费封闭式基础设施证券投资基金|2024Q3|季度</v>
      </c>
      <c r="P982">
        <f>IF($A982="",0,IF(COUNTIF($O$2:$O982,$O982)=1,1,0))</f>
        <v>0</v>
      </c>
      <c r="Q982" t="str">
        <f>IF(AND($P982=1,$A982=经营数据!$B$3,$J982=经营数据!$BA$5),COUNTIFS($P$2:$P$3000,1,$A$2:$A$3000,$A982,$J$2:$J$3000,$J982,$N$2:$N$3000,"&lt;"&amp;$N982)+1,"")</f>
        <v/>
      </c>
      <c r="R982" t="str">
        <f t="shared" si="233"/>
        <v>华夏金茂消费封闭式基础设施证券投资基金|长沙览秀城</v>
      </c>
      <c r="S982">
        <f>IF($A982="",0,IF(COUNTIF($R$2:$R982,$R982)=1,1,0))</f>
        <v>0</v>
      </c>
      <c r="T982">
        <f t="shared" si="234"/>
        <v>964</v>
      </c>
      <c r="U982" t="str">
        <f>IF($A982="","",IF($A982=经营数据!$B$3,COUNTIFS($S$2:$S$3000,1,$A$2:$A$3000,$A982,$T$2:$T$3000,"&lt;"&amp;$T982)+1,""))</f>
        <v/>
      </c>
      <c r="V982" t="str">
        <f t="shared" si="235"/>
        <v>长沙览秀城|服务效率</v>
      </c>
      <c r="W982">
        <f t="shared" si="236"/>
        <v>966</v>
      </c>
      <c r="X982" t="str">
        <f t="shared" si="237"/>
        <v>长沙览秀城|期末出租率</v>
      </c>
      <c r="Y982">
        <f t="shared" si="238"/>
        <v>966</v>
      </c>
      <c r="Z982">
        <f>IF($A982="",0,IF(AND($M982=1,$A982=经营数据!$B$3,$J982=经营数据!$BA$5,OR($I982=经营数据!$BA$4,COUNTIF(经营数据!$AA$9:$AA$38,$I982)&gt;0)),1,0))</f>
        <v>0</v>
      </c>
      <c r="AA982" t="str">
        <f t="shared" si="239"/>
        <v/>
      </c>
      <c r="AB982" t="str">
        <f t="shared" si="240"/>
        <v/>
      </c>
      <c r="AC982">
        <f>IF($A982="",0,IF(COUNTIF($A$2:$A982,$A982)=1,1,0))</f>
        <v>0</v>
      </c>
      <c r="AD982">
        <f t="shared" si="241"/>
        <v>9</v>
      </c>
      <c r="AE982" t="str">
        <f t="shared" si="242"/>
        <v>长沙览秀城|期末出租率（%）</v>
      </c>
    </row>
    <row r="983" spans="1:31" x14ac:dyDescent="0.4">
      <c r="A983" t="str">
        <f>IF(原始经营数据!$D984="","",原始经营数据!$D984)</f>
        <v>华夏金茂消费封闭式基础设施证券投资基金</v>
      </c>
      <c r="B983" t="str">
        <f>IF(原始经营数据!$D984="","",T(原始经营数据!$E984))</f>
        <v>长沙览秀城</v>
      </c>
      <c r="C983" t="str">
        <f>IF(原始经营数据!$D984="","",原始经营数据!$F984)</f>
        <v>2024Q3</v>
      </c>
      <c r="D983" t="str">
        <f>IF(原始经营数据!$D984="","",原始经营数据!$H984)</f>
        <v>期内平均租金单价</v>
      </c>
      <c r="E983">
        <f>IF(原始经营数据!$D984="","",原始经营数据!$I984)</f>
        <v>87.01</v>
      </c>
      <c r="F983" t="str">
        <f>IF(原始经营数据!$D984="","",T(原始经营数据!$J984))</f>
        <v>元/平方米/月</v>
      </c>
      <c r="G983" t="str">
        <f>IF(原始经营数据!$D984="","",T(原始经营数据!$K984))</f>
        <v/>
      </c>
      <c r="H983" t="str">
        <f>IF(原始经营数据!$D984="","",原始经营数据!$G984)</f>
        <v>服务价格</v>
      </c>
      <c r="I983" t="str">
        <f>IF($A983="","",IF($B983&lt;&gt;"",$B983,IF(COUNTIFS(原始经营数据!$D$3:$D$3001,$A983,原始经营数据!$E$3:$E$3001,"",原始经营数据!$F$3:$F$3001,$C983,原始经营数据!$H$3:$H$3001,$D983,原始经营数据!$K$3:$K$3001,$G983)&gt;1,"基金整体·来源"&amp;原始经营数据!$A984,"基金整体")))</f>
        <v>长沙览秀城</v>
      </c>
      <c r="J983" t="str">
        <f t="shared" si="228"/>
        <v>季度</v>
      </c>
      <c r="K983" t="str">
        <f t="shared" si="229"/>
        <v>期内平均租金单价（元/平方米/月）</v>
      </c>
      <c r="L983" t="str">
        <f t="shared" si="230"/>
        <v>长沙览秀城|期内平均租金单价（元/平方米/月）|季度</v>
      </c>
      <c r="M983">
        <f>IF($A983="",0,IF(COUNTIF($L$2:$L983,$L983)=1,1,0))</f>
        <v>0</v>
      </c>
      <c r="N983">
        <f t="shared" si="231"/>
        <v>20243</v>
      </c>
      <c r="O983" t="str">
        <f t="shared" si="232"/>
        <v>华夏金茂消费封闭式基础设施证券投资基金|2024Q3|季度</v>
      </c>
      <c r="P983">
        <f>IF($A983="",0,IF(COUNTIF($O$2:$O983,$O983)=1,1,0))</f>
        <v>0</v>
      </c>
      <c r="Q983" t="str">
        <f>IF(AND($P983=1,$A983=经营数据!$B$3,$J983=经营数据!$BA$5),COUNTIFS($P$2:$P$3000,1,$A$2:$A$3000,$A983,$J$2:$J$3000,$J983,$N$2:$N$3000,"&lt;"&amp;$N983)+1,"")</f>
        <v/>
      </c>
      <c r="R983" t="str">
        <f t="shared" si="233"/>
        <v>华夏金茂消费封闭式基础设施证券投资基金|长沙览秀城</v>
      </c>
      <c r="S983">
        <f>IF($A983="",0,IF(COUNTIF($R$2:$R983,$R983)=1,1,0))</f>
        <v>0</v>
      </c>
      <c r="T983">
        <f t="shared" si="234"/>
        <v>964</v>
      </c>
      <c r="U983" t="str">
        <f>IF($A983="","",IF($A983=经营数据!$B$3,COUNTIFS($S$2:$S$3000,1,$A$2:$A$3000,$A983,$T$2:$T$3000,"&lt;"&amp;$T983)+1,""))</f>
        <v/>
      </c>
      <c r="V983" t="str">
        <f t="shared" si="235"/>
        <v>长沙览秀城|服务价格</v>
      </c>
      <c r="W983">
        <f t="shared" si="236"/>
        <v>965</v>
      </c>
      <c r="X983" t="str">
        <f t="shared" si="237"/>
        <v>长沙览秀城|期内平均租金单价</v>
      </c>
      <c r="Y983">
        <f t="shared" si="238"/>
        <v>965</v>
      </c>
      <c r="Z983">
        <f>IF($A983="",0,IF(AND($M983=1,$A983=经营数据!$B$3,$J983=经营数据!$BA$5,OR($I983=经营数据!$BA$4,COUNTIF(经营数据!$AA$9:$AA$38,$I983)&gt;0)),1,0))</f>
        <v>0</v>
      </c>
      <c r="AA983" t="str">
        <f t="shared" si="239"/>
        <v/>
      </c>
      <c r="AB983" t="str">
        <f t="shared" si="240"/>
        <v/>
      </c>
      <c r="AC983">
        <f>IF($A983="",0,IF(COUNTIF($A$2:$A983,$A983)=1,1,0))</f>
        <v>0</v>
      </c>
      <c r="AD983">
        <f t="shared" si="241"/>
        <v>9</v>
      </c>
      <c r="AE983" t="str">
        <f t="shared" si="242"/>
        <v>长沙览秀城|期内平均租金单价（元/平方米/月）</v>
      </c>
    </row>
    <row r="984" spans="1:31" x14ac:dyDescent="0.4">
      <c r="A984" t="str">
        <f>IF(原始经营数据!$D985="","",原始经营数据!$D985)</f>
        <v>华夏金茂消费封闭式基础设施证券投资基金</v>
      </c>
      <c r="B984" t="str">
        <f>IF(原始经营数据!$D985="","",T(原始经营数据!$E985))</f>
        <v>长沙览秀城</v>
      </c>
      <c r="C984" t="str">
        <f>IF(原始经营数据!$D985="","",原始经营数据!$F985)</f>
        <v>2024Q3</v>
      </c>
      <c r="D984" t="str">
        <f>IF(原始经营数据!$D985="","",原始经营数据!$H985)</f>
        <v>期末加权平均剩余租期</v>
      </c>
      <c r="E984">
        <f>IF(原始经营数据!$D985="","",原始经营数据!$I985)</f>
        <v>4.46</v>
      </c>
      <c r="F984" t="str">
        <f>IF(原始经营数据!$D985="","",T(原始经营数据!$J985))</f>
        <v>年</v>
      </c>
      <c r="G984" t="str">
        <f>IF(原始经营数据!$D985="","",T(原始经营数据!$K985))</f>
        <v/>
      </c>
      <c r="H984" t="str">
        <f>IF(原始经营数据!$D985="","",原始经营数据!$G985)</f>
        <v>服务量</v>
      </c>
      <c r="I984" t="str">
        <f>IF($A984="","",IF($B984&lt;&gt;"",$B984,IF(COUNTIFS(原始经营数据!$D$3:$D$3001,$A984,原始经营数据!$E$3:$E$3001,"",原始经营数据!$F$3:$F$3001,$C984,原始经营数据!$H$3:$H$3001,$D984,原始经营数据!$K$3:$K$3001,$G984)&gt;1,"基金整体·来源"&amp;原始经营数据!$A985,"基金整体")))</f>
        <v>长沙览秀城</v>
      </c>
      <c r="J984" t="str">
        <f t="shared" si="228"/>
        <v>季度</v>
      </c>
      <c r="K984" t="str">
        <f t="shared" si="229"/>
        <v>期末加权平均剩余租期（年）</v>
      </c>
      <c r="L984" t="str">
        <f t="shared" si="230"/>
        <v>长沙览秀城|期末加权平均剩余租期（年）|季度</v>
      </c>
      <c r="M984">
        <f>IF($A984="",0,IF(COUNTIF($L$2:$L984,$L984)=1,1,0))</f>
        <v>0</v>
      </c>
      <c r="N984">
        <f t="shared" si="231"/>
        <v>20243</v>
      </c>
      <c r="O984" t="str">
        <f t="shared" si="232"/>
        <v>华夏金茂消费封闭式基础设施证券投资基金|2024Q3|季度</v>
      </c>
      <c r="P984">
        <f>IF($A984="",0,IF(COUNTIF($O$2:$O984,$O984)=1,1,0))</f>
        <v>0</v>
      </c>
      <c r="Q984" t="str">
        <f>IF(AND($P984=1,$A984=经营数据!$B$3,$J984=经营数据!$BA$5),COUNTIFS($P$2:$P$3000,1,$A$2:$A$3000,$A984,$J$2:$J$3000,$J984,$N$2:$N$3000,"&lt;"&amp;$N984)+1,"")</f>
        <v/>
      </c>
      <c r="R984" t="str">
        <f t="shared" si="233"/>
        <v>华夏金茂消费封闭式基础设施证券投资基金|长沙览秀城</v>
      </c>
      <c r="S984">
        <f>IF($A984="",0,IF(COUNTIF($R$2:$R984,$R984)=1,1,0))</f>
        <v>0</v>
      </c>
      <c r="T984">
        <f t="shared" si="234"/>
        <v>964</v>
      </c>
      <c r="U984" t="str">
        <f>IF($A984="","",IF($A984=经营数据!$B$3,COUNTIFS($S$2:$S$3000,1,$A$2:$A$3000,$A984,$T$2:$T$3000,"&lt;"&amp;$T984)+1,""))</f>
        <v/>
      </c>
      <c r="V984" t="str">
        <f t="shared" si="235"/>
        <v>长沙览秀城|服务量</v>
      </c>
      <c r="W984">
        <f t="shared" si="236"/>
        <v>964</v>
      </c>
      <c r="X984" t="str">
        <f t="shared" si="237"/>
        <v>长沙览秀城|期末加权平均剩余租期</v>
      </c>
      <c r="Y984">
        <f t="shared" si="238"/>
        <v>964</v>
      </c>
      <c r="Z984">
        <f>IF($A984="",0,IF(AND($M984=1,$A984=经营数据!$B$3,$J984=经营数据!$BA$5,OR($I984=经营数据!$BA$4,COUNTIF(经营数据!$AA$9:$AA$38,$I984)&gt;0)),1,0))</f>
        <v>0</v>
      </c>
      <c r="AA984" t="str">
        <f t="shared" si="239"/>
        <v/>
      </c>
      <c r="AB984" t="str">
        <f t="shared" si="240"/>
        <v/>
      </c>
      <c r="AC984">
        <f>IF($A984="",0,IF(COUNTIF($A$2:$A984,$A984)=1,1,0))</f>
        <v>0</v>
      </c>
      <c r="AD984">
        <f t="shared" si="241"/>
        <v>9</v>
      </c>
      <c r="AE984" t="str">
        <f t="shared" si="242"/>
        <v>长沙览秀城|期末加权平均剩余租期（年）</v>
      </c>
    </row>
    <row r="985" spans="1:31" x14ac:dyDescent="0.4">
      <c r="A985" t="str">
        <f>IF(原始经营数据!$D986="","",原始经营数据!$D986)</f>
        <v>华夏金茂消费封闭式基础设施证券投资基金</v>
      </c>
      <c r="B985" t="str">
        <f>IF(原始经营数据!$D986="","",T(原始经营数据!$E986))</f>
        <v>长沙览秀城</v>
      </c>
      <c r="C985" t="str">
        <f>IF(原始经营数据!$D986="","",原始经营数据!$F986)</f>
        <v>2024Q3</v>
      </c>
      <c r="D985" t="str">
        <f>IF(原始经营数据!$D986="","",原始经营数据!$H986)</f>
        <v>期末收缴率</v>
      </c>
      <c r="E985">
        <f>IF(原始经营数据!$D986="","",原始经营数据!$I986)</f>
        <v>99.06</v>
      </c>
      <c r="F985" t="str">
        <f>IF(原始经营数据!$D986="","",T(原始经营数据!$J986))</f>
        <v>%</v>
      </c>
      <c r="G985" t="str">
        <f>IF(原始经营数据!$D986="","",T(原始经营数据!$K986))</f>
        <v/>
      </c>
      <c r="H985" t="str">
        <f>IF(原始经营数据!$D986="","",原始经营数据!$G986)</f>
        <v>服务效率</v>
      </c>
      <c r="I985" t="str">
        <f>IF($A985="","",IF($B985&lt;&gt;"",$B985,IF(COUNTIFS(原始经营数据!$D$3:$D$3001,$A985,原始经营数据!$E$3:$E$3001,"",原始经营数据!$F$3:$F$3001,$C985,原始经营数据!$H$3:$H$3001,$D985,原始经营数据!$K$3:$K$3001,$G985)&gt;1,"基金整体·来源"&amp;原始经营数据!$A986,"基金整体")))</f>
        <v>长沙览秀城</v>
      </c>
      <c r="J985" t="str">
        <f t="shared" si="228"/>
        <v>季度</v>
      </c>
      <c r="K985" t="str">
        <f t="shared" si="229"/>
        <v>期末收缴率（%）</v>
      </c>
      <c r="L985" t="str">
        <f t="shared" si="230"/>
        <v>长沙览秀城|期末收缴率（%）|季度</v>
      </c>
      <c r="M985">
        <f>IF($A985="",0,IF(COUNTIF($L$2:$L985,$L985)=1,1,0))</f>
        <v>0</v>
      </c>
      <c r="N985">
        <f t="shared" si="231"/>
        <v>20243</v>
      </c>
      <c r="O985" t="str">
        <f t="shared" si="232"/>
        <v>华夏金茂消费封闭式基础设施证券投资基金|2024Q3|季度</v>
      </c>
      <c r="P985">
        <f>IF($A985="",0,IF(COUNTIF($O$2:$O985,$O985)=1,1,0))</f>
        <v>0</v>
      </c>
      <c r="Q985" t="str">
        <f>IF(AND($P985=1,$A985=经营数据!$B$3,$J985=经营数据!$BA$5),COUNTIFS($P$2:$P$3000,1,$A$2:$A$3000,$A985,$J$2:$J$3000,$J985,$N$2:$N$3000,"&lt;"&amp;$N985)+1,"")</f>
        <v/>
      </c>
      <c r="R985" t="str">
        <f t="shared" si="233"/>
        <v>华夏金茂消费封闭式基础设施证券投资基金|长沙览秀城</v>
      </c>
      <c r="S985">
        <f>IF($A985="",0,IF(COUNTIF($R$2:$R985,$R985)=1,1,0))</f>
        <v>0</v>
      </c>
      <c r="T985">
        <f t="shared" si="234"/>
        <v>964</v>
      </c>
      <c r="U985" t="str">
        <f>IF($A985="","",IF($A985=经营数据!$B$3,COUNTIFS($S$2:$S$3000,1,$A$2:$A$3000,$A985,$T$2:$T$3000,"&lt;"&amp;$T985)+1,""))</f>
        <v/>
      </c>
      <c r="V985" t="str">
        <f t="shared" si="235"/>
        <v>长沙览秀城|服务效率</v>
      </c>
      <c r="W985">
        <f t="shared" si="236"/>
        <v>966</v>
      </c>
      <c r="X985" t="str">
        <f t="shared" si="237"/>
        <v>长沙览秀城|期末收缴率</v>
      </c>
      <c r="Y985">
        <f t="shared" si="238"/>
        <v>969</v>
      </c>
      <c r="Z985">
        <f>IF($A985="",0,IF(AND($M985=1,$A985=经营数据!$B$3,$J985=经营数据!$BA$5,OR($I985=经营数据!$BA$4,COUNTIF(经营数据!$AA$9:$AA$38,$I985)&gt;0)),1,0))</f>
        <v>0</v>
      </c>
      <c r="AA985" t="str">
        <f t="shared" si="239"/>
        <v/>
      </c>
      <c r="AB985" t="str">
        <f t="shared" si="240"/>
        <v/>
      </c>
      <c r="AC985">
        <f>IF($A985="",0,IF(COUNTIF($A$2:$A985,$A985)=1,1,0))</f>
        <v>0</v>
      </c>
      <c r="AD985">
        <f t="shared" si="241"/>
        <v>9</v>
      </c>
      <c r="AE985" t="str">
        <f t="shared" si="242"/>
        <v>长沙览秀城|期末收缴率（%）</v>
      </c>
    </row>
    <row r="986" spans="1:31" x14ac:dyDescent="0.4">
      <c r="A986" t="str">
        <f>IF(原始经营数据!$D987="","",原始经营数据!$D987)</f>
        <v>华夏金茂消费封闭式基础设施证券投资基金</v>
      </c>
      <c r="B986" t="str">
        <f>IF(原始经营数据!$D987="","",T(原始经营数据!$E987))</f>
        <v>长沙览秀城</v>
      </c>
      <c r="C986" t="str">
        <f>IF(原始经营数据!$D987="","",原始经营数据!$F987)</f>
        <v>2024Q4</v>
      </c>
      <c r="D986" t="str">
        <f>IF(原始经营数据!$D987="","",原始经营数据!$H987)</f>
        <v>期末可供出租面积</v>
      </c>
      <c r="E986">
        <f>IF(原始经营数据!$D987="","",原始经营数据!$I987)</f>
        <v>61179.92</v>
      </c>
      <c r="F986" t="str">
        <f>IF(原始经营数据!$D987="","",T(原始经营数据!$J987))</f>
        <v>平方米</v>
      </c>
      <c r="G986" t="str">
        <f>IF(原始经营数据!$D987="","",T(原始经营数据!$K987))</f>
        <v/>
      </c>
      <c r="H986" t="str">
        <f>IF(原始经营数据!$D987="","",原始经营数据!$G987)</f>
        <v>服务量</v>
      </c>
      <c r="I986" t="str">
        <f>IF($A986="","",IF($B986&lt;&gt;"",$B986,IF(COUNTIFS(原始经营数据!$D$3:$D$3001,$A986,原始经营数据!$E$3:$E$3001,"",原始经营数据!$F$3:$F$3001,$C986,原始经营数据!$H$3:$H$3001,$D986,原始经营数据!$K$3:$K$3001,$G986)&gt;1,"基金整体·来源"&amp;原始经营数据!$A987,"基金整体")))</f>
        <v>长沙览秀城</v>
      </c>
      <c r="J986" t="str">
        <f t="shared" si="228"/>
        <v>季度</v>
      </c>
      <c r="K986" t="str">
        <f t="shared" si="229"/>
        <v>期末可供出租面积（平方米）</v>
      </c>
      <c r="L986" t="str">
        <f t="shared" si="230"/>
        <v>长沙览秀城|期末可供出租面积（平方米）|季度</v>
      </c>
      <c r="M986">
        <f>IF($A986="",0,IF(COUNTIF($L$2:$L986,$L986)=1,1,0))</f>
        <v>0</v>
      </c>
      <c r="N986">
        <f t="shared" si="231"/>
        <v>20244</v>
      </c>
      <c r="O986" t="str">
        <f t="shared" si="232"/>
        <v>华夏金茂消费封闭式基础设施证券投资基金|2024Q4|季度</v>
      </c>
      <c r="P986">
        <f>IF($A986="",0,IF(COUNTIF($O$2:$O986,$O986)=1,1,0))</f>
        <v>1</v>
      </c>
      <c r="Q986" t="str">
        <f>IF(AND($P986=1,$A986=经营数据!$B$3,$J986=经营数据!$BA$5),COUNTIFS($P$2:$P$3000,1,$A$2:$A$3000,$A986,$J$2:$J$3000,$J986,$N$2:$N$3000,"&lt;"&amp;$N986)+1,"")</f>
        <v/>
      </c>
      <c r="R986" t="str">
        <f t="shared" si="233"/>
        <v>华夏金茂消费封闭式基础设施证券投资基金|长沙览秀城</v>
      </c>
      <c r="S986">
        <f>IF($A986="",0,IF(COUNTIF($R$2:$R986,$R986)=1,1,0))</f>
        <v>0</v>
      </c>
      <c r="T986">
        <f t="shared" si="234"/>
        <v>964</v>
      </c>
      <c r="U986" t="str">
        <f>IF($A986="","",IF($A986=经营数据!$B$3,COUNTIFS($S$2:$S$3000,1,$A$2:$A$3000,$A986,$T$2:$T$3000,"&lt;"&amp;$T986)+1,""))</f>
        <v/>
      </c>
      <c r="V986" t="str">
        <f t="shared" si="235"/>
        <v>长沙览秀城|服务量</v>
      </c>
      <c r="W986">
        <f t="shared" si="236"/>
        <v>964</v>
      </c>
      <c r="X986" t="str">
        <f t="shared" si="237"/>
        <v>长沙览秀城|期末可供出租面积</v>
      </c>
      <c r="Y986">
        <f t="shared" si="238"/>
        <v>968</v>
      </c>
      <c r="Z986">
        <f>IF($A986="",0,IF(AND($M986=1,$A986=经营数据!$B$3,$J986=经营数据!$BA$5,OR($I986=经营数据!$BA$4,COUNTIF(经营数据!$AA$9:$AA$38,$I986)&gt;0)),1,0))</f>
        <v>0</v>
      </c>
      <c r="AA986" t="str">
        <f t="shared" si="239"/>
        <v/>
      </c>
      <c r="AB986" t="str">
        <f t="shared" si="240"/>
        <v/>
      </c>
      <c r="AC986">
        <f>IF($A986="",0,IF(COUNTIF($A$2:$A986,$A986)=1,1,0))</f>
        <v>0</v>
      </c>
      <c r="AD986">
        <f t="shared" si="241"/>
        <v>9</v>
      </c>
      <c r="AE986" t="str">
        <f t="shared" si="242"/>
        <v>长沙览秀城|期末可供出租面积（平方米）</v>
      </c>
    </row>
    <row r="987" spans="1:31" x14ac:dyDescent="0.4">
      <c r="A987" t="str">
        <f>IF(原始经营数据!$D988="","",原始经营数据!$D988)</f>
        <v>华夏金茂消费封闭式基础设施证券投资基金</v>
      </c>
      <c r="B987" t="str">
        <f>IF(原始经营数据!$D988="","",T(原始经营数据!$E988))</f>
        <v>长沙览秀城</v>
      </c>
      <c r="C987" t="str">
        <f>IF(原始经营数据!$D988="","",原始经营数据!$F988)</f>
        <v>2024Q4</v>
      </c>
      <c r="D987" t="str">
        <f>IF(原始经营数据!$D988="","",原始经营数据!$H988)</f>
        <v>期末实际出租面积</v>
      </c>
      <c r="E987">
        <f>IF(原始经营数据!$D988="","",原始经营数据!$I988)</f>
        <v>60400.33</v>
      </c>
      <c r="F987" t="str">
        <f>IF(原始经营数据!$D988="","",T(原始经营数据!$J988))</f>
        <v>平方米</v>
      </c>
      <c r="G987" t="str">
        <f>IF(原始经营数据!$D988="","",T(原始经营数据!$K988))</f>
        <v/>
      </c>
      <c r="H987" t="str">
        <f>IF(原始经营数据!$D988="","",原始经营数据!$G988)</f>
        <v>服务量</v>
      </c>
      <c r="I987" t="str">
        <f>IF($A987="","",IF($B987&lt;&gt;"",$B987,IF(COUNTIFS(原始经营数据!$D$3:$D$3001,$A987,原始经营数据!$E$3:$E$3001,"",原始经营数据!$F$3:$F$3001,$C987,原始经营数据!$H$3:$H$3001,$D987,原始经营数据!$K$3:$K$3001,$G987)&gt;1,"基金整体·来源"&amp;原始经营数据!$A988,"基金整体")))</f>
        <v>长沙览秀城</v>
      </c>
      <c r="J987" t="str">
        <f t="shared" si="228"/>
        <v>季度</v>
      </c>
      <c r="K987" t="str">
        <f t="shared" si="229"/>
        <v>期末实际出租面积（平方米）</v>
      </c>
      <c r="L987" t="str">
        <f t="shared" si="230"/>
        <v>长沙览秀城|期末实际出租面积（平方米）|季度</v>
      </c>
      <c r="M987">
        <f>IF($A987="",0,IF(COUNTIF($L$2:$L987,$L987)=1,1,0))</f>
        <v>0</v>
      </c>
      <c r="N987">
        <f t="shared" si="231"/>
        <v>20244</v>
      </c>
      <c r="O987" t="str">
        <f t="shared" si="232"/>
        <v>华夏金茂消费封闭式基础设施证券投资基金|2024Q4|季度</v>
      </c>
      <c r="P987">
        <f>IF($A987="",0,IF(COUNTIF($O$2:$O987,$O987)=1,1,0))</f>
        <v>0</v>
      </c>
      <c r="Q987" t="str">
        <f>IF(AND($P987=1,$A987=经营数据!$B$3,$J987=经营数据!$BA$5),COUNTIFS($P$2:$P$3000,1,$A$2:$A$3000,$A987,$J$2:$J$3000,$J987,$N$2:$N$3000,"&lt;"&amp;$N987)+1,"")</f>
        <v/>
      </c>
      <c r="R987" t="str">
        <f t="shared" si="233"/>
        <v>华夏金茂消费封闭式基础设施证券投资基金|长沙览秀城</v>
      </c>
      <c r="S987">
        <f>IF($A987="",0,IF(COUNTIF($R$2:$R987,$R987)=1,1,0))</f>
        <v>0</v>
      </c>
      <c r="T987">
        <f t="shared" si="234"/>
        <v>964</v>
      </c>
      <c r="U987" t="str">
        <f>IF($A987="","",IF($A987=经营数据!$B$3,COUNTIFS($S$2:$S$3000,1,$A$2:$A$3000,$A987,$T$2:$T$3000,"&lt;"&amp;$T987)+1,""))</f>
        <v/>
      </c>
      <c r="V987" t="str">
        <f t="shared" si="235"/>
        <v>长沙览秀城|服务量</v>
      </c>
      <c r="W987">
        <f t="shared" si="236"/>
        <v>964</v>
      </c>
      <c r="X987" t="str">
        <f t="shared" si="237"/>
        <v>长沙览秀城|期末实际出租面积</v>
      </c>
      <c r="Y987">
        <f t="shared" si="238"/>
        <v>967</v>
      </c>
      <c r="Z987">
        <f>IF($A987="",0,IF(AND($M987=1,$A987=经营数据!$B$3,$J987=经营数据!$BA$5,OR($I987=经营数据!$BA$4,COUNTIF(经营数据!$AA$9:$AA$38,$I987)&gt;0)),1,0))</f>
        <v>0</v>
      </c>
      <c r="AA987" t="str">
        <f t="shared" si="239"/>
        <v/>
      </c>
      <c r="AB987" t="str">
        <f t="shared" si="240"/>
        <v/>
      </c>
      <c r="AC987">
        <f>IF($A987="",0,IF(COUNTIF($A$2:$A987,$A987)=1,1,0))</f>
        <v>0</v>
      </c>
      <c r="AD987">
        <f t="shared" si="241"/>
        <v>9</v>
      </c>
      <c r="AE987" t="str">
        <f t="shared" si="242"/>
        <v>长沙览秀城|期末实际出租面积（平方米）</v>
      </c>
    </row>
    <row r="988" spans="1:31" x14ac:dyDescent="0.4">
      <c r="A988" t="str">
        <f>IF(原始经营数据!$D989="","",原始经营数据!$D989)</f>
        <v>华夏金茂消费封闭式基础设施证券投资基金</v>
      </c>
      <c r="B988" t="str">
        <f>IF(原始经营数据!$D989="","",T(原始经营数据!$E989))</f>
        <v>长沙览秀城</v>
      </c>
      <c r="C988" t="str">
        <f>IF(原始经营数据!$D989="","",原始经营数据!$F989)</f>
        <v>2024Q4</v>
      </c>
      <c r="D988" t="str">
        <f>IF(原始经营数据!$D989="","",原始经营数据!$H989)</f>
        <v>期末出租率</v>
      </c>
      <c r="E988">
        <f>IF(原始经营数据!$D989="","",原始经营数据!$I989)</f>
        <v>98.73</v>
      </c>
      <c r="F988" t="str">
        <f>IF(原始经营数据!$D989="","",T(原始经营数据!$J989))</f>
        <v>%</v>
      </c>
      <c r="G988" t="str">
        <f>IF(原始经营数据!$D989="","",T(原始经营数据!$K989))</f>
        <v/>
      </c>
      <c r="H988" t="str">
        <f>IF(原始经营数据!$D989="","",原始经营数据!$G989)</f>
        <v>服务效率</v>
      </c>
      <c r="I988" t="str">
        <f>IF($A988="","",IF($B988&lt;&gt;"",$B988,IF(COUNTIFS(原始经营数据!$D$3:$D$3001,$A988,原始经营数据!$E$3:$E$3001,"",原始经营数据!$F$3:$F$3001,$C988,原始经营数据!$H$3:$H$3001,$D988,原始经营数据!$K$3:$K$3001,$G988)&gt;1,"基金整体·来源"&amp;原始经营数据!$A989,"基金整体")))</f>
        <v>长沙览秀城</v>
      </c>
      <c r="J988" t="str">
        <f t="shared" si="228"/>
        <v>季度</v>
      </c>
      <c r="K988" t="str">
        <f t="shared" si="229"/>
        <v>期末出租率（%）</v>
      </c>
      <c r="L988" t="str">
        <f t="shared" si="230"/>
        <v>长沙览秀城|期末出租率（%）|季度</v>
      </c>
      <c r="M988">
        <f>IF($A988="",0,IF(COUNTIF($L$2:$L988,$L988)=1,1,0))</f>
        <v>0</v>
      </c>
      <c r="N988">
        <f t="shared" si="231"/>
        <v>20244</v>
      </c>
      <c r="O988" t="str">
        <f t="shared" si="232"/>
        <v>华夏金茂消费封闭式基础设施证券投资基金|2024Q4|季度</v>
      </c>
      <c r="P988">
        <f>IF($A988="",0,IF(COUNTIF($O$2:$O988,$O988)=1,1,0))</f>
        <v>0</v>
      </c>
      <c r="Q988" t="str">
        <f>IF(AND($P988=1,$A988=经营数据!$B$3,$J988=经营数据!$BA$5),COUNTIFS($P$2:$P$3000,1,$A$2:$A$3000,$A988,$J$2:$J$3000,$J988,$N$2:$N$3000,"&lt;"&amp;$N988)+1,"")</f>
        <v/>
      </c>
      <c r="R988" t="str">
        <f t="shared" si="233"/>
        <v>华夏金茂消费封闭式基础设施证券投资基金|长沙览秀城</v>
      </c>
      <c r="S988">
        <f>IF($A988="",0,IF(COUNTIF($R$2:$R988,$R988)=1,1,0))</f>
        <v>0</v>
      </c>
      <c r="T988">
        <f t="shared" si="234"/>
        <v>964</v>
      </c>
      <c r="U988" t="str">
        <f>IF($A988="","",IF($A988=经营数据!$B$3,COUNTIFS($S$2:$S$3000,1,$A$2:$A$3000,$A988,$T$2:$T$3000,"&lt;"&amp;$T988)+1,""))</f>
        <v/>
      </c>
      <c r="V988" t="str">
        <f t="shared" si="235"/>
        <v>长沙览秀城|服务效率</v>
      </c>
      <c r="W988">
        <f t="shared" si="236"/>
        <v>966</v>
      </c>
      <c r="X988" t="str">
        <f t="shared" si="237"/>
        <v>长沙览秀城|期末出租率</v>
      </c>
      <c r="Y988">
        <f t="shared" si="238"/>
        <v>966</v>
      </c>
      <c r="Z988">
        <f>IF($A988="",0,IF(AND($M988=1,$A988=经营数据!$B$3,$J988=经营数据!$BA$5,OR($I988=经营数据!$BA$4,COUNTIF(经营数据!$AA$9:$AA$38,$I988)&gt;0)),1,0))</f>
        <v>0</v>
      </c>
      <c r="AA988" t="str">
        <f t="shared" si="239"/>
        <v/>
      </c>
      <c r="AB988" t="str">
        <f t="shared" si="240"/>
        <v/>
      </c>
      <c r="AC988">
        <f>IF($A988="",0,IF(COUNTIF($A$2:$A988,$A988)=1,1,0))</f>
        <v>0</v>
      </c>
      <c r="AD988">
        <f t="shared" si="241"/>
        <v>9</v>
      </c>
      <c r="AE988" t="str">
        <f t="shared" si="242"/>
        <v>长沙览秀城|期末出租率（%）</v>
      </c>
    </row>
    <row r="989" spans="1:31" x14ac:dyDescent="0.4">
      <c r="A989" t="str">
        <f>IF(原始经营数据!$D990="","",原始经营数据!$D990)</f>
        <v>华夏金茂消费封闭式基础设施证券投资基金</v>
      </c>
      <c r="B989" t="str">
        <f>IF(原始经营数据!$D990="","",T(原始经营数据!$E990))</f>
        <v>长沙览秀城</v>
      </c>
      <c r="C989" t="str">
        <f>IF(原始经营数据!$D990="","",原始经营数据!$F990)</f>
        <v>2024Q4</v>
      </c>
      <c r="D989" t="str">
        <f>IF(原始经营数据!$D990="","",原始经营数据!$H990)</f>
        <v>期内租金单价水平</v>
      </c>
      <c r="E989">
        <f>IF(原始经营数据!$D990="","",原始经营数据!$I990)</f>
        <v>91.58</v>
      </c>
      <c r="F989" t="str">
        <f>IF(原始经营数据!$D990="","",T(原始经营数据!$J990))</f>
        <v>元/平方米/月</v>
      </c>
      <c r="G989" t="str">
        <f>IF(原始经营数据!$D990="","",T(原始经营数据!$K990))</f>
        <v/>
      </c>
      <c r="H989" t="str">
        <f>IF(原始经营数据!$D990="","",原始经营数据!$G990)</f>
        <v>服务价格</v>
      </c>
      <c r="I989" t="str">
        <f>IF($A989="","",IF($B989&lt;&gt;"",$B989,IF(COUNTIFS(原始经营数据!$D$3:$D$3001,$A989,原始经营数据!$E$3:$E$3001,"",原始经营数据!$F$3:$F$3001,$C989,原始经营数据!$H$3:$H$3001,$D989,原始经营数据!$K$3:$K$3001,$G989)&gt;1,"基金整体·来源"&amp;原始经营数据!$A990,"基金整体")))</f>
        <v>长沙览秀城</v>
      </c>
      <c r="J989" t="str">
        <f t="shared" si="228"/>
        <v>季度</v>
      </c>
      <c r="K989" t="str">
        <f t="shared" si="229"/>
        <v>期内租金单价水平（元/平方米/月）</v>
      </c>
      <c r="L989" t="str">
        <f t="shared" si="230"/>
        <v>长沙览秀城|期内租金单价水平（元/平方米/月）|季度</v>
      </c>
      <c r="M989">
        <f>IF($A989="",0,IF(COUNTIF($L$2:$L989,$L989)=1,1,0))</f>
        <v>0</v>
      </c>
      <c r="N989">
        <f t="shared" si="231"/>
        <v>20244</v>
      </c>
      <c r="O989" t="str">
        <f t="shared" si="232"/>
        <v>华夏金茂消费封闭式基础设施证券投资基金|2024Q4|季度</v>
      </c>
      <c r="P989">
        <f>IF($A989="",0,IF(COUNTIF($O$2:$O989,$O989)=1,1,0))</f>
        <v>0</v>
      </c>
      <c r="Q989" t="str">
        <f>IF(AND($P989=1,$A989=经营数据!$B$3,$J989=经营数据!$BA$5),COUNTIFS($P$2:$P$3000,1,$A$2:$A$3000,$A989,$J$2:$J$3000,$J989,$N$2:$N$3000,"&lt;"&amp;$N989)+1,"")</f>
        <v/>
      </c>
      <c r="R989" t="str">
        <f t="shared" si="233"/>
        <v>华夏金茂消费封闭式基础设施证券投资基金|长沙览秀城</v>
      </c>
      <c r="S989">
        <f>IF($A989="",0,IF(COUNTIF($R$2:$R989,$R989)=1,1,0))</f>
        <v>0</v>
      </c>
      <c r="T989">
        <f t="shared" si="234"/>
        <v>964</v>
      </c>
      <c r="U989" t="str">
        <f>IF($A989="","",IF($A989=经营数据!$B$3,COUNTIFS($S$2:$S$3000,1,$A$2:$A$3000,$A989,$T$2:$T$3000,"&lt;"&amp;$T989)+1,""))</f>
        <v/>
      </c>
      <c r="V989" t="str">
        <f t="shared" si="235"/>
        <v>长沙览秀城|服务价格</v>
      </c>
      <c r="W989">
        <f t="shared" si="236"/>
        <v>965</v>
      </c>
      <c r="X989" t="str">
        <f t="shared" si="237"/>
        <v>长沙览秀城|期内租金单价水平</v>
      </c>
      <c r="Y989">
        <f t="shared" si="238"/>
        <v>970</v>
      </c>
      <c r="Z989">
        <f>IF($A989="",0,IF(AND($M989=1,$A989=经营数据!$B$3,$J989=经营数据!$BA$5,OR($I989=经营数据!$BA$4,COUNTIF(经营数据!$AA$9:$AA$38,$I989)&gt;0)),1,0))</f>
        <v>0</v>
      </c>
      <c r="AA989" t="str">
        <f t="shared" si="239"/>
        <v/>
      </c>
      <c r="AB989" t="str">
        <f t="shared" si="240"/>
        <v/>
      </c>
      <c r="AC989">
        <f>IF($A989="",0,IF(COUNTIF($A$2:$A989,$A989)=1,1,0))</f>
        <v>0</v>
      </c>
      <c r="AD989">
        <f t="shared" si="241"/>
        <v>9</v>
      </c>
      <c r="AE989" t="str">
        <f t="shared" si="242"/>
        <v>长沙览秀城|期内租金单价水平（元/平方米/月）</v>
      </c>
    </row>
    <row r="990" spans="1:31" x14ac:dyDescent="0.4">
      <c r="A990" t="str">
        <f>IF(原始经营数据!$D991="","",原始经营数据!$D991)</f>
        <v>华夏金茂消费封闭式基础设施证券投资基金</v>
      </c>
      <c r="B990" t="str">
        <f>IF(原始经营数据!$D991="","",T(原始经营数据!$E991))</f>
        <v>长沙览秀城</v>
      </c>
      <c r="C990" t="str">
        <f>IF(原始经营数据!$D991="","",原始经营数据!$F991)</f>
        <v>2024Q4</v>
      </c>
      <c r="D990" t="str">
        <f>IF(原始经营数据!$D991="","",原始经营数据!$H991)</f>
        <v>期末加权平均剩余租期</v>
      </c>
      <c r="E990">
        <f>IF(原始经营数据!$D991="","",原始经营数据!$I991)</f>
        <v>4.3600000000000003</v>
      </c>
      <c r="F990" t="str">
        <f>IF(原始经营数据!$D991="","",T(原始经营数据!$J991))</f>
        <v>年</v>
      </c>
      <c r="G990" t="str">
        <f>IF(原始经营数据!$D991="","",T(原始经营数据!$K991))</f>
        <v/>
      </c>
      <c r="H990" t="str">
        <f>IF(原始经营数据!$D991="","",原始经营数据!$G991)</f>
        <v>服务量</v>
      </c>
      <c r="I990" t="str">
        <f>IF($A990="","",IF($B990&lt;&gt;"",$B990,IF(COUNTIFS(原始经营数据!$D$3:$D$3001,$A990,原始经营数据!$E$3:$E$3001,"",原始经营数据!$F$3:$F$3001,$C990,原始经营数据!$H$3:$H$3001,$D990,原始经营数据!$K$3:$K$3001,$G990)&gt;1,"基金整体·来源"&amp;原始经营数据!$A991,"基金整体")))</f>
        <v>长沙览秀城</v>
      </c>
      <c r="J990" t="str">
        <f t="shared" si="228"/>
        <v>季度</v>
      </c>
      <c r="K990" t="str">
        <f t="shared" si="229"/>
        <v>期末加权平均剩余租期（年）</v>
      </c>
      <c r="L990" t="str">
        <f t="shared" si="230"/>
        <v>长沙览秀城|期末加权平均剩余租期（年）|季度</v>
      </c>
      <c r="M990">
        <f>IF($A990="",0,IF(COUNTIF($L$2:$L990,$L990)=1,1,0))</f>
        <v>0</v>
      </c>
      <c r="N990">
        <f t="shared" si="231"/>
        <v>20244</v>
      </c>
      <c r="O990" t="str">
        <f t="shared" si="232"/>
        <v>华夏金茂消费封闭式基础设施证券投资基金|2024Q4|季度</v>
      </c>
      <c r="P990">
        <f>IF($A990="",0,IF(COUNTIF($O$2:$O990,$O990)=1,1,0))</f>
        <v>0</v>
      </c>
      <c r="Q990" t="str">
        <f>IF(AND($P990=1,$A990=经营数据!$B$3,$J990=经营数据!$BA$5),COUNTIFS($P$2:$P$3000,1,$A$2:$A$3000,$A990,$J$2:$J$3000,$J990,$N$2:$N$3000,"&lt;"&amp;$N990)+1,"")</f>
        <v/>
      </c>
      <c r="R990" t="str">
        <f t="shared" si="233"/>
        <v>华夏金茂消费封闭式基础设施证券投资基金|长沙览秀城</v>
      </c>
      <c r="S990">
        <f>IF($A990="",0,IF(COUNTIF($R$2:$R990,$R990)=1,1,0))</f>
        <v>0</v>
      </c>
      <c r="T990">
        <f t="shared" si="234"/>
        <v>964</v>
      </c>
      <c r="U990" t="str">
        <f>IF($A990="","",IF($A990=经营数据!$B$3,COUNTIFS($S$2:$S$3000,1,$A$2:$A$3000,$A990,$T$2:$T$3000,"&lt;"&amp;$T990)+1,""))</f>
        <v/>
      </c>
      <c r="V990" t="str">
        <f t="shared" si="235"/>
        <v>长沙览秀城|服务量</v>
      </c>
      <c r="W990">
        <f t="shared" si="236"/>
        <v>964</v>
      </c>
      <c r="X990" t="str">
        <f t="shared" si="237"/>
        <v>长沙览秀城|期末加权平均剩余租期</v>
      </c>
      <c r="Y990">
        <f t="shared" si="238"/>
        <v>964</v>
      </c>
      <c r="Z990">
        <f>IF($A990="",0,IF(AND($M990=1,$A990=经营数据!$B$3,$J990=经营数据!$BA$5,OR($I990=经营数据!$BA$4,COUNTIF(经营数据!$AA$9:$AA$38,$I990)&gt;0)),1,0))</f>
        <v>0</v>
      </c>
      <c r="AA990" t="str">
        <f t="shared" si="239"/>
        <v/>
      </c>
      <c r="AB990" t="str">
        <f t="shared" si="240"/>
        <v/>
      </c>
      <c r="AC990">
        <f>IF($A990="",0,IF(COUNTIF($A$2:$A990,$A990)=1,1,0))</f>
        <v>0</v>
      </c>
      <c r="AD990">
        <f t="shared" si="241"/>
        <v>9</v>
      </c>
      <c r="AE990" t="str">
        <f t="shared" si="242"/>
        <v>长沙览秀城|期末加权平均剩余租期（年）</v>
      </c>
    </row>
    <row r="991" spans="1:31" x14ac:dyDescent="0.4">
      <c r="A991" t="str">
        <f>IF(原始经营数据!$D992="","",原始经营数据!$D992)</f>
        <v>华夏金茂消费封闭式基础设施证券投资基金</v>
      </c>
      <c r="B991" t="str">
        <f>IF(原始经营数据!$D992="","",T(原始经营数据!$E992))</f>
        <v>长沙览秀城</v>
      </c>
      <c r="C991" t="str">
        <f>IF(原始经营数据!$D992="","",原始经营数据!$F992)</f>
        <v>2024Q4</v>
      </c>
      <c r="D991" t="str">
        <f>IF(原始经营数据!$D992="","",原始经营数据!$H992)</f>
        <v>期末收缴率</v>
      </c>
      <c r="E991">
        <f>IF(原始经营数据!$D992="","",原始经营数据!$I992)</f>
        <v>99.4</v>
      </c>
      <c r="F991" t="str">
        <f>IF(原始经营数据!$D992="","",T(原始经营数据!$J992))</f>
        <v>%</v>
      </c>
      <c r="G991" t="str">
        <f>IF(原始经营数据!$D992="","",T(原始经营数据!$K992))</f>
        <v/>
      </c>
      <c r="H991" t="str">
        <f>IF(原始经营数据!$D992="","",原始经营数据!$G992)</f>
        <v>服务效率</v>
      </c>
      <c r="I991" t="str">
        <f>IF($A991="","",IF($B991&lt;&gt;"",$B991,IF(COUNTIFS(原始经营数据!$D$3:$D$3001,$A991,原始经营数据!$E$3:$E$3001,"",原始经营数据!$F$3:$F$3001,$C991,原始经营数据!$H$3:$H$3001,$D991,原始经营数据!$K$3:$K$3001,$G991)&gt;1,"基金整体·来源"&amp;原始经营数据!$A992,"基金整体")))</f>
        <v>长沙览秀城</v>
      </c>
      <c r="J991" t="str">
        <f t="shared" si="228"/>
        <v>季度</v>
      </c>
      <c r="K991" t="str">
        <f t="shared" si="229"/>
        <v>期末收缴率（%）</v>
      </c>
      <c r="L991" t="str">
        <f t="shared" si="230"/>
        <v>长沙览秀城|期末收缴率（%）|季度</v>
      </c>
      <c r="M991">
        <f>IF($A991="",0,IF(COUNTIF($L$2:$L991,$L991)=1,1,0))</f>
        <v>0</v>
      </c>
      <c r="N991">
        <f t="shared" si="231"/>
        <v>20244</v>
      </c>
      <c r="O991" t="str">
        <f t="shared" si="232"/>
        <v>华夏金茂消费封闭式基础设施证券投资基金|2024Q4|季度</v>
      </c>
      <c r="P991">
        <f>IF($A991="",0,IF(COUNTIF($O$2:$O991,$O991)=1,1,0))</f>
        <v>0</v>
      </c>
      <c r="Q991" t="str">
        <f>IF(AND($P991=1,$A991=经营数据!$B$3,$J991=经营数据!$BA$5),COUNTIFS($P$2:$P$3000,1,$A$2:$A$3000,$A991,$J$2:$J$3000,$J991,$N$2:$N$3000,"&lt;"&amp;$N991)+1,"")</f>
        <v/>
      </c>
      <c r="R991" t="str">
        <f t="shared" si="233"/>
        <v>华夏金茂消费封闭式基础设施证券投资基金|长沙览秀城</v>
      </c>
      <c r="S991">
        <f>IF($A991="",0,IF(COUNTIF($R$2:$R991,$R991)=1,1,0))</f>
        <v>0</v>
      </c>
      <c r="T991">
        <f t="shared" si="234"/>
        <v>964</v>
      </c>
      <c r="U991" t="str">
        <f>IF($A991="","",IF($A991=经营数据!$B$3,COUNTIFS($S$2:$S$3000,1,$A$2:$A$3000,$A991,$T$2:$T$3000,"&lt;"&amp;$T991)+1,""))</f>
        <v/>
      </c>
      <c r="V991" t="str">
        <f t="shared" si="235"/>
        <v>长沙览秀城|服务效率</v>
      </c>
      <c r="W991">
        <f t="shared" si="236"/>
        <v>966</v>
      </c>
      <c r="X991" t="str">
        <f t="shared" si="237"/>
        <v>长沙览秀城|期末收缴率</v>
      </c>
      <c r="Y991">
        <f t="shared" si="238"/>
        <v>969</v>
      </c>
      <c r="Z991">
        <f>IF($A991="",0,IF(AND($M991=1,$A991=经营数据!$B$3,$J991=经营数据!$BA$5,OR($I991=经营数据!$BA$4,COUNTIF(经营数据!$AA$9:$AA$38,$I991)&gt;0)),1,0))</f>
        <v>0</v>
      </c>
      <c r="AA991" t="str">
        <f t="shared" si="239"/>
        <v/>
      </c>
      <c r="AB991" t="str">
        <f t="shared" si="240"/>
        <v/>
      </c>
      <c r="AC991">
        <f>IF($A991="",0,IF(COUNTIF($A$2:$A991,$A991)=1,1,0))</f>
        <v>0</v>
      </c>
      <c r="AD991">
        <f t="shared" si="241"/>
        <v>9</v>
      </c>
      <c r="AE991" t="str">
        <f t="shared" si="242"/>
        <v>长沙览秀城|期末收缴率（%）</v>
      </c>
    </row>
    <row r="992" spans="1:31" x14ac:dyDescent="0.4">
      <c r="A992" t="str">
        <f>IF(原始经营数据!$D993="","",原始经营数据!$D993)</f>
        <v>华夏金茂消费封闭式基础设施证券投资基金</v>
      </c>
      <c r="B992" t="str">
        <f>IF(原始经营数据!$D993="","",T(原始经营数据!$E993))</f>
        <v>长沙览秀城</v>
      </c>
      <c r="C992" t="str">
        <f>IF(原始经营数据!$D993="","",原始经营数据!$F993)</f>
        <v>2025Q1</v>
      </c>
      <c r="D992" t="str">
        <f>IF(原始经营数据!$D993="","",原始经营数据!$H993)</f>
        <v>期末收缴率</v>
      </c>
      <c r="E992">
        <f>IF(原始经营数据!$D993="","",原始经营数据!$I993)</f>
        <v>97.91</v>
      </c>
      <c r="F992" t="str">
        <f>IF(原始经营数据!$D993="","",T(原始经营数据!$J993))</f>
        <v>%</v>
      </c>
      <c r="G992" t="str">
        <f>IF(原始经营数据!$D993="","",T(原始经营数据!$K993))</f>
        <v/>
      </c>
      <c r="H992" t="str">
        <f>IF(原始经营数据!$D993="","",原始经营数据!$G993)</f>
        <v>服务效率</v>
      </c>
      <c r="I992" t="str">
        <f>IF($A992="","",IF($B992&lt;&gt;"",$B992,IF(COUNTIFS(原始经营数据!$D$3:$D$3001,$A992,原始经营数据!$E$3:$E$3001,"",原始经营数据!$F$3:$F$3001,$C992,原始经营数据!$H$3:$H$3001,$D992,原始经营数据!$K$3:$K$3001,$G992)&gt;1,"基金整体·来源"&amp;原始经营数据!$A993,"基金整体")))</f>
        <v>长沙览秀城</v>
      </c>
      <c r="J992" t="str">
        <f t="shared" si="228"/>
        <v>季度</v>
      </c>
      <c r="K992" t="str">
        <f t="shared" si="229"/>
        <v>期末收缴率（%）</v>
      </c>
      <c r="L992" t="str">
        <f t="shared" si="230"/>
        <v>长沙览秀城|期末收缴率（%）|季度</v>
      </c>
      <c r="M992">
        <f>IF($A992="",0,IF(COUNTIF($L$2:$L992,$L992)=1,1,0))</f>
        <v>0</v>
      </c>
      <c r="N992">
        <f t="shared" si="231"/>
        <v>20251</v>
      </c>
      <c r="O992" t="str">
        <f t="shared" si="232"/>
        <v>华夏金茂消费封闭式基础设施证券投资基金|2025Q1|季度</v>
      </c>
      <c r="P992">
        <f>IF($A992="",0,IF(COUNTIF($O$2:$O992,$O992)=1,1,0))</f>
        <v>1</v>
      </c>
      <c r="Q992" t="str">
        <f>IF(AND($P992=1,$A992=经营数据!$B$3,$J992=经营数据!$BA$5),COUNTIFS($P$2:$P$3000,1,$A$2:$A$3000,$A992,$J$2:$J$3000,$J992,$N$2:$N$3000,"&lt;"&amp;$N992)+1,"")</f>
        <v/>
      </c>
      <c r="R992" t="str">
        <f t="shared" si="233"/>
        <v>华夏金茂消费封闭式基础设施证券投资基金|长沙览秀城</v>
      </c>
      <c r="S992">
        <f>IF($A992="",0,IF(COUNTIF($R$2:$R992,$R992)=1,1,0))</f>
        <v>0</v>
      </c>
      <c r="T992">
        <f t="shared" si="234"/>
        <v>964</v>
      </c>
      <c r="U992" t="str">
        <f>IF($A992="","",IF($A992=经营数据!$B$3,COUNTIFS($S$2:$S$3000,1,$A$2:$A$3000,$A992,$T$2:$T$3000,"&lt;"&amp;$T992)+1,""))</f>
        <v/>
      </c>
      <c r="V992" t="str">
        <f t="shared" si="235"/>
        <v>长沙览秀城|服务效率</v>
      </c>
      <c r="W992">
        <f t="shared" si="236"/>
        <v>966</v>
      </c>
      <c r="X992" t="str">
        <f t="shared" si="237"/>
        <v>长沙览秀城|期末收缴率</v>
      </c>
      <c r="Y992">
        <f t="shared" si="238"/>
        <v>969</v>
      </c>
      <c r="Z992">
        <f>IF($A992="",0,IF(AND($M992=1,$A992=经营数据!$B$3,$J992=经营数据!$BA$5,OR($I992=经营数据!$BA$4,COUNTIF(经营数据!$AA$9:$AA$38,$I992)&gt;0)),1,0))</f>
        <v>0</v>
      </c>
      <c r="AA992" t="str">
        <f t="shared" si="239"/>
        <v/>
      </c>
      <c r="AB992" t="str">
        <f t="shared" si="240"/>
        <v/>
      </c>
      <c r="AC992">
        <f>IF($A992="",0,IF(COUNTIF($A$2:$A992,$A992)=1,1,0))</f>
        <v>0</v>
      </c>
      <c r="AD992">
        <f t="shared" si="241"/>
        <v>9</v>
      </c>
      <c r="AE992" t="str">
        <f t="shared" si="242"/>
        <v>长沙览秀城|期末收缴率（%）</v>
      </c>
    </row>
    <row r="993" spans="1:31" x14ac:dyDescent="0.4">
      <c r="A993" t="str">
        <f>IF(原始经营数据!$D994="","",原始经营数据!$D994)</f>
        <v>华夏金茂消费封闭式基础设施证券投资基金</v>
      </c>
      <c r="B993" t="str">
        <f>IF(原始经营数据!$D994="","",T(原始经营数据!$E994))</f>
        <v>长沙览秀城</v>
      </c>
      <c r="C993" t="str">
        <f>IF(原始经营数据!$D994="","",原始经营数据!$F994)</f>
        <v>2025Q1</v>
      </c>
      <c r="D993" t="str">
        <f>IF(原始经营数据!$D994="","",原始经营数据!$H994)</f>
        <v>期末加权平均剩余租期</v>
      </c>
      <c r="E993">
        <f>IF(原始经营数据!$D994="","",原始经营数据!$I994)</f>
        <v>3.91</v>
      </c>
      <c r="F993" t="str">
        <f>IF(原始经营数据!$D994="","",T(原始经营数据!$J994))</f>
        <v>年</v>
      </c>
      <c r="G993" t="str">
        <f>IF(原始经营数据!$D994="","",T(原始经营数据!$K994))</f>
        <v/>
      </c>
      <c r="H993" t="str">
        <f>IF(原始经营数据!$D994="","",原始经营数据!$G994)</f>
        <v>服务量</v>
      </c>
      <c r="I993" t="str">
        <f>IF($A993="","",IF($B993&lt;&gt;"",$B993,IF(COUNTIFS(原始经营数据!$D$3:$D$3001,$A993,原始经营数据!$E$3:$E$3001,"",原始经营数据!$F$3:$F$3001,$C993,原始经营数据!$H$3:$H$3001,$D993,原始经营数据!$K$3:$K$3001,$G993)&gt;1,"基金整体·来源"&amp;原始经营数据!$A994,"基金整体")))</f>
        <v>长沙览秀城</v>
      </c>
      <c r="J993" t="str">
        <f t="shared" si="228"/>
        <v>季度</v>
      </c>
      <c r="K993" t="str">
        <f t="shared" si="229"/>
        <v>期末加权平均剩余租期（年）</v>
      </c>
      <c r="L993" t="str">
        <f t="shared" si="230"/>
        <v>长沙览秀城|期末加权平均剩余租期（年）|季度</v>
      </c>
      <c r="M993">
        <f>IF($A993="",0,IF(COUNTIF($L$2:$L993,$L993)=1,1,0))</f>
        <v>0</v>
      </c>
      <c r="N993">
        <f t="shared" si="231"/>
        <v>20251</v>
      </c>
      <c r="O993" t="str">
        <f t="shared" si="232"/>
        <v>华夏金茂消费封闭式基础设施证券投资基金|2025Q1|季度</v>
      </c>
      <c r="P993">
        <f>IF($A993="",0,IF(COUNTIF($O$2:$O993,$O993)=1,1,0))</f>
        <v>0</v>
      </c>
      <c r="Q993" t="str">
        <f>IF(AND($P993=1,$A993=经营数据!$B$3,$J993=经营数据!$BA$5),COUNTIFS($P$2:$P$3000,1,$A$2:$A$3000,$A993,$J$2:$J$3000,$J993,$N$2:$N$3000,"&lt;"&amp;$N993)+1,"")</f>
        <v/>
      </c>
      <c r="R993" t="str">
        <f t="shared" si="233"/>
        <v>华夏金茂消费封闭式基础设施证券投资基金|长沙览秀城</v>
      </c>
      <c r="S993">
        <f>IF($A993="",0,IF(COUNTIF($R$2:$R993,$R993)=1,1,0))</f>
        <v>0</v>
      </c>
      <c r="T993">
        <f t="shared" si="234"/>
        <v>964</v>
      </c>
      <c r="U993" t="str">
        <f>IF($A993="","",IF($A993=经营数据!$B$3,COUNTIFS($S$2:$S$3000,1,$A$2:$A$3000,$A993,$T$2:$T$3000,"&lt;"&amp;$T993)+1,""))</f>
        <v/>
      </c>
      <c r="V993" t="str">
        <f t="shared" si="235"/>
        <v>长沙览秀城|服务量</v>
      </c>
      <c r="W993">
        <f t="shared" si="236"/>
        <v>964</v>
      </c>
      <c r="X993" t="str">
        <f t="shared" si="237"/>
        <v>长沙览秀城|期末加权平均剩余租期</v>
      </c>
      <c r="Y993">
        <f t="shared" si="238"/>
        <v>964</v>
      </c>
      <c r="Z993">
        <f>IF($A993="",0,IF(AND($M993=1,$A993=经营数据!$B$3,$J993=经营数据!$BA$5,OR($I993=经营数据!$BA$4,COUNTIF(经营数据!$AA$9:$AA$38,$I993)&gt;0)),1,0))</f>
        <v>0</v>
      </c>
      <c r="AA993" t="str">
        <f t="shared" si="239"/>
        <v/>
      </c>
      <c r="AB993" t="str">
        <f t="shared" si="240"/>
        <v/>
      </c>
      <c r="AC993">
        <f>IF($A993="",0,IF(COUNTIF($A$2:$A993,$A993)=1,1,0))</f>
        <v>0</v>
      </c>
      <c r="AD993">
        <f t="shared" si="241"/>
        <v>9</v>
      </c>
      <c r="AE993" t="str">
        <f t="shared" si="242"/>
        <v>长沙览秀城|期末加权平均剩余租期（年）</v>
      </c>
    </row>
    <row r="994" spans="1:31" x14ac:dyDescent="0.4">
      <c r="A994" t="str">
        <f>IF(原始经营数据!$D995="","",原始经营数据!$D995)</f>
        <v>华夏金茂消费封闭式基础设施证券投资基金</v>
      </c>
      <c r="B994" t="str">
        <f>IF(原始经营数据!$D995="","",T(原始经营数据!$E995))</f>
        <v>长沙览秀城</v>
      </c>
      <c r="C994" t="str">
        <f>IF(原始经营数据!$D995="","",原始经营数据!$F995)</f>
        <v>2025Q1</v>
      </c>
      <c r="D994" t="str">
        <f>IF(原始经营数据!$D995="","",原始经营数据!$H995)</f>
        <v>期内平均租金单价</v>
      </c>
      <c r="E994">
        <f>IF(原始经营数据!$D995="","",原始经营数据!$I995)</f>
        <v>92.11</v>
      </c>
      <c r="F994" t="str">
        <f>IF(原始经营数据!$D995="","",T(原始经营数据!$J995))</f>
        <v>元/平方米/月</v>
      </c>
      <c r="G994" t="str">
        <f>IF(原始经营数据!$D995="","",T(原始经营数据!$K995))</f>
        <v/>
      </c>
      <c r="H994" t="str">
        <f>IF(原始经营数据!$D995="","",原始经营数据!$G995)</f>
        <v>服务价格</v>
      </c>
      <c r="I994" t="str">
        <f>IF($A994="","",IF($B994&lt;&gt;"",$B994,IF(COUNTIFS(原始经营数据!$D$3:$D$3001,$A994,原始经营数据!$E$3:$E$3001,"",原始经营数据!$F$3:$F$3001,$C994,原始经营数据!$H$3:$H$3001,$D994,原始经营数据!$K$3:$K$3001,$G994)&gt;1,"基金整体·来源"&amp;原始经营数据!$A995,"基金整体")))</f>
        <v>长沙览秀城</v>
      </c>
      <c r="J994" t="str">
        <f t="shared" si="228"/>
        <v>季度</v>
      </c>
      <c r="K994" t="str">
        <f t="shared" si="229"/>
        <v>期内平均租金单价（元/平方米/月）</v>
      </c>
      <c r="L994" t="str">
        <f t="shared" si="230"/>
        <v>长沙览秀城|期内平均租金单价（元/平方米/月）|季度</v>
      </c>
      <c r="M994">
        <f>IF($A994="",0,IF(COUNTIF($L$2:$L994,$L994)=1,1,0))</f>
        <v>0</v>
      </c>
      <c r="N994">
        <f t="shared" si="231"/>
        <v>20251</v>
      </c>
      <c r="O994" t="str">
        <f t="shared" si="232"/>
        <v>华夏金茂消费封闭式基础设施证券投资基金|2025Q1|季度</v>
      </c>
      <c r="P994">
        <f>IF($A994="",0,IF(COUNTIF($O$2:$O994,$O994)=1,1,0))</f>
        <v>0</v>
      </c>
      <c r="Q994" t="str">
        <f>IF(AND($P994=1,$A994=经营数据!$B$3,$J994=经营数据!$BA$5),COUNTIFS($P$2:$P$3000,1,$A$2:$A$3000,$A994,$J$2:$J$3000,$J994,$N$2:$N$3000,"&lt;"&amp;$N994)+1,"")</f>
        <v/>
      </c>
      <c r="R994" t="str">
        <f t="shared" si="233"/>
        <v>华夏金茂消费封闭式基础设施证券投资基金|长沙览秀城</v>
      </c>
      <c r="S994">
        <f>IF($A994="",0,IF(COUNTIF($R$2:$R994,$R994)=1,1,0))</f>
        <v>0</v>
      </c>
      <c r="T994">
        <f t="shared" si="234"/>
        <v>964</v>
      </c>
      <c r="U994" t="str">
        <f>IF($A994="","",IF($A994=经营数据!$B$3,COUNTIFS($S$2:$S$3000,1,$A$2:$A$3000,$A994,$T$2:$T$3000,"&lt;"&amp;$T994)+1,""))</f>
        <v/>
      </c>
      <c r="V994" t="str">
        <f t="shared" si="235"/>
        <v>长沙览秀城|服务价格</v>
      </c>
      <c r="W994">
        <f t="shared" si="236"/>
        <v>965</v>
      </c>
      <c r="X994" t="str">
        <f t="shared" si="237"/>
        <v>长沙览秀城|期内平均租金单价</v>
      </c>
      <c r="Y994">
        <f t="shared" si="238"/>
        <v>965</v>
      </c>
      <c r="Z994">
        <f>IF($A994="",0,IF(AND($M994=1,$A994=经营数据!$B$3,$J994=经营数据!$BA$5,OR($I994=经营数据!$BA$4,COUNTIF(经营数据!$AA$9:$AA$38,$I994)&gt;0)),1,0))</f>
        <v>0</v>
      </c>
      <c r="AA994" t="str">
        <f t="shared" si="239"/>
        <v/>
      </c>
      <c r="AB994" t="str">
        <f t="shared" si="240"/>
        <v/>
      </c>
      <c r="AC994">
        <f>IF($A994="",0,IF(COUNTIF($A$2:$A994,$A994)=1,1,0))</f>
        <v>0</v>
      </c>
      <c r="AD994">
        <f t="shared" si="241"/>
        <v>9</v>
      </c>
      <c r="AE994" t="str">
        <f t="shared" si="242"/>
        <v>长沙览秀城|期内平均租金单价（元/平方米/月）</v>
      </c>
    </row>
    <row r="995" spans="1:31" x14ac:dyDescent="0.4">
      <c r="A995" t="str">
        <f>IF(原始经营数据!$D996="","",原始经营数据!$D996)</f>
        <v>华夏金茂消费封闭式基础设施证券投资基金</v>
      </c>
      <c r="B995" t="str">
        <f>IF(原始经营数据!$D996="","",T(原始经营数据!$E996))</f>
        <v>长沙览秀城</v>
      </c>
      <c r="C995" t="str">
        <f>IF(原始经营数据!$D996="","",原始经营数据!$F996)</f>
        <v>2025Q1</v>
      </c>
      <c r="D995" t="str">
        <f>IF(原始经营数据!$D996="","",原始经营数据!$H996)</f>
        <v>期末出租率</v>
      </c>
      <c r="E995">
        <f>IF(原始经营数据!$D996="","",原始经营数据!$I996)</f>
        <v>98.76</v>
      </c>
      <c r="F995" t="str">
        <f>IF(原始经营数据!$D996="","",T(原始经营数据!$J996))</f>
        <v>%</v>
      </c>
      <c r="G995" t="str">
        <f>IF(原始经营数据!$D996="","",T(原始经营数据!$K996))</f>
        <v/>
      </c>
      <c r="H995" t="str">
        <f>IF(原始经营数据!$D996="","",原始经营数据!$G996)</f>
        <v>服务效率</v>
      </c>
      <c r="I995" t="str">
        <f>IF($A995="","",IF($B995&lt;&gt;"",$B995,IF(COUNTIFS(原始经营数据!$D$3:$D$3001,$A995,原始经营数据!$E$3:$E$3001,"",原始经营数据!$F$3:$F$3001,$C995,原始经营数据!$H$3:$H$3001,$D995,原始经营数据!$K$3:$K$3001,$G995)&gt;1,"基金整体·来源"&amp;原始经营数据!$A996,"基金整体")))</f>
        <v>长沙览秀城</v>
      </c>
      <c r="J995" t="str">
        <f t="shared" si="228"/>
        <v>季度</v>
      </c>
      <c r="K995" t="str">
        <f t="shared" si="229"/>
        <v>期末出租率（%）</v>
      </c>
      <c r="L995" t="str">
        <f t="shared" si="230"/>
        <v>长沙览秀城|期末出租率（%）|季度</v>
      </c>
      <c r="M995">
        <f>IF($A995="",0,IF(COUNTIF($L$2:$L995,$L995)=1,1,0))</f>
        <v>0</v>
      </c>
      <c r="N995">
        <f t="shared" si="231"/>
        <v>20251</v>
      </c>
      <c r="O995" t="str">
        <f t="shared" si="232"/>
        <v>华夏金茂消费封闭式基础设施证券投资基金|2025Q1|季度</v>
      </c>
      <c r="P995">
        <f>IF($A995="",0,IF(COUNTIF($O$2:$O995,$O995)=1,1,0))</f>
        <v>0</v>
      </c>
      <c r="Q995" t="str">
        <f>IF(AND($P995=1,$A995=经营数据!$B$3,$J995=经营数据!$BA$5),COUNTIFS($P$2:$P$3000,1,$A$2:$A$3000,$A995,$J$2:$J$3000,$J995,$N$2:$N$3000,"&lt;"&amp;$N995)+1,"")</f>
        <v/>
      </c>
      <c r="R995" t="str">
        <f t="shared" si="233"/>
        <v>华夏金茂消费封闭式基础设施证券投资基金|长沙览秀城</v>
      </c>
      <c r="S995">
        <f>IF($A995="",0,IF(COUNTIF($R$2:$R995,$R995)=1,1,0))</f>
        <v>0</v>
      </c>
      <c r="T995">
        <f t="shared" si="234"/>
        <v>964</v>
      </c>
      <c r="U995" t="str">
        <f>IF($A995="","",IF($A995=经营数据!$B$3,COUNTIFS($S$2:$S$3000,1,$A$2:$A$3000,$A995,$T$2:$T$3000,"&lt;"&amp;$T995)+1,""))</f>
        <v/>
      </c>
      <c r="V995" t="str">
        <f t="shared" si="235"/>
        <v>长沙览秀城|服务效率</v>
      </c>
      <c r="W995">
        <f t="shared" si="236"/>
        <v>966</v>
      </c>
      <c r="X995" t="str">
        <f t="shared" si="237"/>
        <v>长沙览秀城|期末出租率</v>
      </c>
      <c r="Y995">
        <f t="shared" si="238"/>
        <v>966</v>
      </c>
      <c r="Z995">
        <f>IF($A995="",0,IF(AND($M995=1,$A995=经营数据!$B$3,$J995=经营数据!$BA$5,OR($I995=经营数据!$BA$4,COUNTIF(经营数据!$AA$9:$AA$38,$I995)&gt;0)),1,0))</f>
        <v>0</v>
      </c>
      <c r="AA995" t="str">
        <f t="shared" si="239"/>
        <v/>
      </c>
      <c r="AB995" t="str">
        <f t="shared" si="240"/>
        <v/>
      </c>
      <c r="AC995">
        <f>IF($A995="",0,IF(COUNTIF($A$2:$A995,$A995)=1,1,0))</f>
        <v>0</v>
      </c>
      <c r="AD995">
        <f t="shared" si="241"/>
        <v>9</v>
      </c>
      <c r="AE995" t="str">
        <f t="shared" si="242"/>
        <v>长沙览秀城|期末出租率（%）</v>
      </c>
    </row>
    <row r="996" spans="1:31" x14ac:dyDescent="0.4">
      <c r="A996" t="str">
        <f>IF(原始经营数据!$D997="","",原始经营数据!$D997)</f>
        <v>华夏金茂消费封闭式基础设施证券投资基金</v>
      </c>
      <c r="B996" t="str">
        <f>IF(原始经营数据!$D997="","",T(原始经营数据!$E997))</f>
        <v>长沙览秀城</v>
      </c>
      <c r="C996" t="str">
        <f>IF(原始经营数据!$D997="","",原始经营数据!$F997)</f>
        <v>2025Q1</v>
      </c>
      <c r="D996" t="str">
        <f>IF(原始经营数据!$D997="","",原始经营数据!$H997)</f>
        <v>期末实际出租面积</v>
      </c>
      <c r="E996">
        <f>IF(原始经营数据!$D997="","",原始经营数据!$I997)</f>
        <v>60423.27</v>
      </c>
      <c r="F996" t="str">
        <f>IF(原始经营数据!$D997="","",T(原始经营数据!$J997))</f>
        <v>平方米</v>
      </c>
      <c r="G996" t="str">
        <f>IF(原始经营数据!$D997="","",T(原始经营数据!$K997))</f>
        <v/>
      </c>
      <c r="H996" t="str">
        <f>IF(原始经营数据!$D997="","",原始经营数据!$G997)</f>
        <v>服务量</v>
      </c>
      <c r="I996" t="str">
        <f>IF($A996="","",IF($B996&lt;&gt;"",$B996,IF(COUNTIFS(原始经营数据!$D$3:$D$3001,$A996,原始经营数据!$E$3:$E$3001,"",原始经营数据!$F$3:$F$3001,$C996,原始经营数据!$H$3:$H$3001,$D996,原始经营数据!$K$3:$K$3001,$G996)&gt;1,"基金整体·来源"&amp;原始经营数据!$A997,"基金整体")))</f>
        <v>长沙览秀城</v>
      </c>
      <c r="J996" t="str">
        <f t="shared" si="228"/>
        <v>季度</v>
      </c>
      <c r="K996" t="str">
        <f t="shared" si="229"/>
        <v>期末实际出租面积（平方米）</v>
      </c>
      <c r="L996" t="str">
        <f t="shared" si="230"/>
        <v>长沙览秀城|期末实际出租面积（平方米）|季度</v>
      </c>
      <c r="M996">
        <f>IF($A996="",0,IF(COUNTIF($L$2:$L996,$L996)=1,1,0))</f>
        <v>0</v>
      </c>
      <c r="N996">
        <f t="shared" si="231"/>
        <v>20251</v>
      </c>
      <c r="O996" t="str">
        <f t="shared" si="232"/>
        <v>华夏金茂消费封闭式基础设施证券投资基金|2025Q1|季度</v>
      </c>
      <c r="P996">
        <f>IF($A996="",0,IF(COUNTIF($O$2:$O996,$O996)=1,1,0))</f>
        <v>0</v>
      </c>
      <c r="Q996" t="str">
        <f>IF(AND($P996=1,$A996=经营数据!$B$3,$J996=经营数据!$BA$5),COUNTIFS($P$2:$P$3000,1,$A$2:$A$3000,$A996,$J$2:$J$3000,$J996,$N$2:$N$3000,"&lt;"&amp;$N996)+1,"")</f>
        <v/>
      </c>
      <c r="R996" t="str">
        <f t="shared" si="233"/>
        <v>华夏金茂消费封闭式基础设施证券投资基金|长沙览秀城</v>
      </c>
      <c r="S996">
        <f>IF($A996="",0,IF(COUNTIF($R$2:$R996,$R996)=1,1,0))</f>
        <v>0</v>
      </c>
      <c r="T996">
        <f t="shared" si="234"/>
        <v>964</v>
      </c>
      <c r="U996" t="str">
        <f>IF($A996="","",IF($A996=经营数据!$B$3,COUNTIFS($S$2:$S$3000,1,$A$2:$A$3000,$A996,$T$2:$T$3000,"&lt;"&amp;$T996)+1,""))</f>
        <v/>
      </c>
      <c r="V996" t="str">
        <f t="shared" si="235"/>
        <v>长沙览秀城|服务量</v>
      </c>
      <c r="W996">
        <f t="shared" si="236"/>
        <v>964</v>
      </c>
      <c r="X996" t="str">
        <f t="shared" si="237"/>
        <v>长沙览秀城|期末实际出租面积</v>
      </c>
      <c r="Y996">
        <f t="shared" si="238"/>
        <v>967</v>
      </c>
      <c r="Z996">
        <f>IF($A996="",0,IF(AND($M996=1,$A996=经营数据!$B$3,$J996=经营数据!$BA$5,OR($I996=经营数据!$BA$4,COUNTIF(经营数据!$AA$9:$AA$38,$I996)&gt;0)),1,0))</f>
        <v>0</v>
      </c>
      <c r="AA996" t="str">
        <f t="shared" si="239"/>
        <v/>
      </c>
      <c r="AB996" t="str">
        <f t="shared" si="240"/>
        <v/>
      </c>
      <c r="AC996">
        <f>IF($A996="",0,IF(COUNTIF($A$2:$A996,$A996)=1,1,0))</f>
        <v>0</v>
      </c>
      <c r="AD996">
        <f t="shared" si="241"/>
        <v>9</v>
      </c>
      <c r="AE996" t="str">
        <f t="shared" si="242"/>
        <v>长沙览秀城|期末实际出租面积（平方米）</v>
      </c>
    </row>
    <row r="997" spans="1:31" x14ac:dyDescent="0.4">
      <c r="A997" t="str">
        <f>IF(原始经营数据!$D998="","",原始经营数据!$D998)</f>
        <v>华夏金茂消费封闭式基础设施证券投资基金</v>
      </c>
      <c r="B997" t="str">
        <f>IF(原始经营数据!$D998="","",T(原始经营数据!$E998))</f>
        <v>长沙览秀城</v>
      </c>
      <c r="C997" t="str">
        <f>IF(原始经营数据!$D998="","",原始经营数据!$F998)</f>
        <v>2025Q1</v>
      </c>
      <c r="D997" t="str">
        <f>IF(原始经营数据!$D998="","",原始经营数据!$H998)</f>
        <v>期末可供出租面积</v>
      </c>
      <c r="E997">
        <f>IF(原始经营数据!$D998="","",原始经营数据!$I998)</f>
        <v>61179.92</v>
      </c>
      <c r="F997" t="str">
        <f>IF(原始经营数据!$D998="","",T(原始经营数据!$J998))</f>
        <v>平方米</v>
      </c>
      <c r="G997" t="str">
        <f>IF(原始经营数据!$D998="","",T(原始经营数据!$K998))</f>
        <v/>
      </c>
      <c r="H997" t="str">
        <f>IF(原始经营数据!$D998="","",原始经营数据!$G998)</f>
        <v>服务量</v>
      </c>
      <c r="I997" t="str">
        <f>IF($A997="","",IF($B997&lt;&gt;"",$B997,IF(COUNTIFS(原始经营数据!$D$3:$D$3001,$A997,原始经营数据!$E$3:$E$3001,"",原始经营数据!$F$3:$F$3001,$C997,原始经营数据!$H$3:$H$3001,$D997,原始经营数据!$K$3:$K$3001,$G997)&gt;1,"基金整体·来源"&amp;原始经营数据!$A998,"基金整体")))</f>
        <v>长沙览秀城</v>
      </c>
      <c r="J997" t="str">
        <f t="shared" si="228"/>
        <v>季度</v>
      </c>
      <c r="K997" t="str">
        <f t="shared" si="229"/>
        <v>期末可供出租面积（平方米）</v>
      </c>
      <c r="L997" t="str">
        <f t="shared" si="230"/>
        <v>长沙览秀城|期末可供出租面积（平方米）|季度</v>
      </c>
      <c r="M997">
        <f>IF($A997="",0,IF(COUNTIF($L$2:$L997,$L997)=1,1,0))</f>
        <v>0</v>
      </c>
      <c r="N997">
        <f t="shared" si="231"/>
        <v>20251</v>
      </c>
      <c r="O997" t="str">
        <f t="shared" si="232"/>
        <v>华夏金茂消费封闭式基础设施证券投资基金|2025Q1|季度</v>
      </c>
      <c r="P997">
        <f>IF($A997="",0,IF(COUNTIF($O$2:$O997,$O997)=1,1,0))</f>
        <v>0</v>
      </c>
      <c r="Q997" t="str">
        <f>IF(AND($P997=1,$A997=经营数据!$B$3,$J997=经营数据!$BA$5),COUNTIFS($P$2:$P$3000,1,$A$2:$A$3000,$A997,$J$2:$J$3000,$J997,$N$2:$N$3000,"&lt;"&amp;$N997)+1,"")</f>
        <v/>
      </c>
      <c r="R997" t="str">
        <f t="shared" si="233"/>
        <v>华夏金茂消费封闭式基础设施证券投资基金|长沙览秀城</v>
      </c>
      <c r="S997">
        <f>IF($A997="",0,IF(COUNTIF($R$2:$R997,$R997)=1,1,0))</f>
        <v>0</v>
      </c>
      <c r="T997">
        <f t="shared" si="234"/>
        <v>964</v>
      </c>
      <c r="U997" t="str">
        <f>IF($A997="","",IF($A997=经营数据!$B$3,COUNTIFS($S$2:$S$3000,1,$A$2:$A$3000,$A997,$T$2:$T$3000,"&lt;"&amp;$T997)+1,""))</f>
        <v/>
      </c>
      <c r="V997" t="str">
        <f t="shared" si="235"/>
        <v>长沙览秀城|服务量</v>
      </c>
      <c r="W997">
        <f t="shared" si="236"/>
        <v>964</v>
      </c>
      <c r="X997" t="str">
        <f t="shared" si="237"/>
        <v>长沙览秀城|期末可供出租面积</v>
      </c>
      <c r="Y997">
        <f t="shared" si="238"/>
        <v>968</v>
      </c>
      <c r="Z997">
        <f>IF($A997="",0,IF(AND($M997=1,$A997=经营数据!$B$3,$J997=经营数据!$BA$5,OR($I997=经营数据!$BA$4,COUNTIF(经营数据!$AA$9:$AA$38,$I997)&gt;0)),1,0))</f>
        <v>0</v>
      </c>
      <c r="AA997" t="str">
        <f t="shared" si="239"/>
        <v/>
      </c>
      <c r="AB997" t="str">
        <f t="shared" si="240"/>
        <v/>
      </c>
      <c r="AC997">
        <f>IF($A997="",0,IF(COUNTIF($A$2:$A997,$A997)=1,1,0))</f>
        <v>0</v>
      </c>
      <c r="AD997">
        <f t="shared" si="241"/>
        <v>9</v>
      </c>
      <c r="AE997" t="str">
        <f t="shared" si="242"/>
        <v>长沙览秀城|期末可供出租面积（平方米）</v>
      </c>
    </row>
    <row r="998" spans="1:31" x14ac:dyDescent="0.4">
      <c r="A998" t="str">
        <f>IF(原始经营数据!$D999="","",原始经营数据!$D999)</f>
        <v>华夏金茂消费封闭式基础设施证券投资基金</v>
      </c>
      <c r="B998" t="str">
        <f>IF(原始经营数据!$D999="","",T(原始经营数据!$E999))</f>
        <v>长沙览秀城</v>
      </c>
      <c r="C998" t="str">
        <f>IF(原始经营数据!$D999="","",原始经营数据!$F999)</f>
        <v>2025Q1</v>
      </c>
      <c r="D998" t="str">
        <f>IF(原始经营数据!$D999="","",原始经营数据!$H999)</f>
        <v>期内租金单价水平</v>
      </c>
      <c r="E998">
        <f>IF(原始经营数据!$D999="","",原始经营数据!$I999)</f>
        <v>92.11</v>
      </c>
      <c r="F998" t="str">
        <f>IF(原始经营数据!$D999="","",T(原始经营数据!$J999))</f>
        <v>元/平方米/月</v>
      </c>
      <c r="G998" t="str">
        <f>IF(原始经营数据!$D999="","",T(原始经营数据!$K999))</f>
        <v/>
      </c>
      <c r="H998" t="str">
        <f>IF(原始经营数据!$D999="","",原始经营数据!$G999)</f>
        <v>服务价格</v>
      </c>
      <c r="I998" t="str">
        <f>IF($A998="","",IF($B998&lt;&gt;"",$B998,IF(COUNTIFS(原始经营数据!$D$3:$D$3001,$A998,原始经营数据!$E$3:$E$3001,"",原始经营数据!$F$3:$F$3001,$C998,原始经营数据!$H$3:$H$3001,$D998,原始经营数据!$K$3:$K$3001,$G998)&gt;1,"基金整体·来源"&amp;原始经营数据!$A999,"基金整体")))</f>
        <v>长沙览秀城</v>
      </c>
      <c r="J998" t="str">
        <f t="shared" si="228"/>
        <v>季度</v>
      </c>
      <c r="K998" t="str">
        <f t="shared" si="229"/>
        <v>期内租金单价水平（元/平方米/月）</v>
      </c>
      <c r="L998" t="str">
        <f t="shared" si="230"/>
        <v>长沙览秀城|期内租金单价水平（元/平方米/月）|季度</v>
      </c>
      <c r="M998">
        <f>IF($A998="",0,IF(COUNTIF($L$2:$L998,$L998)=1,1,0))</f>
        <v>0</v>
      </c>
      <c r="N998">
        <f t="shared" si="231"/>
        <v>20251</v>
      </c>
      <c r="O998" t="str">
        <f t="shared" si="232"/>
        <v>华夏金茂消费封闭式基础设施证券投资基金|2025Q1|季度</v>
      </c>
      <c r="P998">
        <f>IF($A998="",0,IF(COUNTIF($O$2:$O998,$O998)=1,1,0))</f>
        <v>0</v>
      </c>
      <c r="Q998" t="str">
        <f>IF(AND($P998=1,$A998=经营数据!$B$3,$J998=经营数据!$BA$5),COUNTIFS($P$2:$P$3000,1,$A$2:$A$3000,$A998,$J$2:$J$3000,$J998,$N$2:$N$3000,"&lt;"&amp;$N998)+1,"")</f>
        <v/>
      </c>
      <c r="R998" t="str">
        <f t="shared" si="233"/>
        <v>华夏金茂消费封闭式基础设施证券投资基金|长沙览秀城</v>
      </c>
      <c r="S998">
        <f>IF($A998="",0,IF(COUNTIF($R$2:$R998,$R998)=1,1,0))</f>
        <v>0</v>
      </c>
      <c r="T998">
        <f t="shared" si="234"/>
        <v>964</v>
      </c>
      <c r="U998" t="str">
        <f>IF($A998="","",IF($A998=经营数据!$B$3,COUNTIFS($S$2:$S$3000,1,$A$2:$A$3000,$A998,$T$2:$T$3000,"&lt;"&amp;$T998)+1,""))</f>
        <v/>
      </c>
      <c r="V998" t="str">
        <f t="shared" si="235"/>
        <v>长沙览秀城|服务价格</v>
      </c>
      <c r="W998">
        <f t="shared" si="236"/>
        <v>965</v>
      </c>
      <c r="X998" t="str">
        <f t="shared" si="237"/>
        <v>长沙览秀城|期内租金单价水平</v>
      </c>
      <c r="Y998">
        <f t="shared" si="238"/>
        <v>970</v>
      </c>
      <c r="Z998">
        <f>IF($A998="",0,IF(AND($M998=1,$A998=经营数据!$B$3,$J998=经营数据!$BA$5,OR($I998=经营数据!$BA$4,COUNTIF(经营数据!$AA$9:$AA$38,$I998)&gt;0)),1,0))</f>
        <v>0</v>
      </c>
      <c r="AA998" t="str">
        <f t="shared" si="239"/>
        <v/>
      </c>
      <c r="AB998" t="str">
        <f t="shared" si="240"/>
        <v/>
      </c>
      <c r="AC998">
        <f>IF($A998="",0,IF(COUNTIF($A$2:$A998,$A998)=1,1,0))</f>
        <v>0</v>
      </c>
      <c r="AD998">
        <f t="shared" si="241"/>
        <v>9</v>
      </c>
      <c r="AE998" t="str">
        <f t="shared" si="242"/>
        <v>长沙览秀城|期内租金单价水平（元/平方米/月）</v>
      </c>
    </row>
    <row r="999" spans="1:31" x14ac:dyDescent="0.4">
      <c r="A999" t="str">
        <f>IF(原始经营数据!$D1000="","",原始经营数据!$D1000)</f>
        <v>华夏金茂消费封闭式基础设施证券投资基金</v>
      </c>
      <c r="B999" t="str">
        <f>IF(原始经营数据!$D1000="","",T(原始经营数据!$E1000))</f>
        <v>长沙览秀城</v>
      </c>
      <c r="C999" t="str">
        <f>IF(原始经营数据!$D1000="","",原始经营数据!$F1000)</f>
        <v>2025Q2</v>
      </c>
      <c r="D999" t="str">
        <f>IF(原始经营数据!$D1000="","",原始经营数据!$H1000)</f>
        <v>期内租金单价水平</v>
      </c>
      <c r="E999">
        <f>IF(原始经营数据!$D1000="","",原始经营数据!$I1000)</f>
        <v>90.79</v>
      </c>
      <c r="F999" t="str">
        <f>IF(原始经营数据!$D1000="","",T(原始经营数据!$J1000))</f>
        <v>元/平方米/月</v>
      </c>
      <c r="G999" t="str">
        <f>IF(原始经营数据!$D1000="","",T(原始经营数据!$K1000))</f>
        <v/>
      </c>
      <c r="H999" t="str">
        <f>IF(原始经营数据!$D1000="","",原始经营数据!$G1000)</f>
        <v>服务价格</v>
      </c>
      <c r="I999" t="str">
        <f>IF($A999="","",IF($B999&lt;&gt;"",$B999,IF(COUNTIFS(原始经营数据!$D$3:$D$3001,$A999,原始经营数据!$E$3:$E$3001,"",原始经营数据!$F$3:$F$3001,$C999,原始经营数据!$H$3:$H$3001,$D999,原始经营数据!$K$3:$K$3001,$G999)&gt;1,"基金整体·来源"&amp;原始经营数据!$A1000,"基金整体")))</f>
        <v>长沙览秀城</v>
      </c>
      <c r="J999" t="str">
        <f t="shared" si="228"/>
        <v>季度</v>
      </c>
      <c r="K999" t="str">
        <f t="shared" si="229"/>
        <v>期内租金单价水平（元/平方米/月）</v>
      </c>
      <c r="L999" t="str">
        <f t="shared" si="230"/>
        <v>长沙览秀城|期内租金单价水平（元/平方米/月）|季度</v>
      </c>
      <c r="M999">
        <f>IF($A999="",0,IF(COUNTIF($L$2:$L999,$L999)=1,1,0))</f>
        <v>0</v>
      </c>
      <c r="N999">
        <f t="shared" si="231"/>
        <v>20252</v>
      </c>
      <c r="O999" t="str">
        <f t="shared" si="232"/>
        <v>华夏金茂消费封闭式基础设施证券投资基金|2025Q2|季度</v>
      </c>
      <c r="P999">
        <f>IF($A999="",0,IF(COUNTIF($O$2:$O999,$O999)=1,1,0))</f>
        <v>1</v>
      </c>
      <c r="Q999" t="str">
        <f>IF(AND($P999=1,$A999=经营数据!$B$3,$J999=经营数据!$BA$5),COUNTIFS($P$2:$P$3000,1,$A$2:$A$3000,$A999,$J$2:$J$3000,$J999,$N$2:$N$3000,"&lt;"&amp;$N999)+1,"")</f>
        <v/>
      </c>
      <c r="R999" t="str">
        <f t="shared" si="233"/>
        <v>华夏金茂消费封闭式基础设施证券投资基金|长沙览秀城</v>
      </c>
      <c r="S999">
        <f>IF($A999="",0,IF(COUNTIF($R$2:$R999,$R999)=1,1,0))</f>
        <v>0</v>
      </c>
      <c r="T999">
        <f t="shared" si="234"/>
        <v>964</v>
      </c>
      <c r="U999" t="str">
        <f>IF($A999="","",IF($A999=经营数据!$B$3,COUNTIFS($S$2:$S$3000,1,$A$2:$A$3000,$A999,$T$2:$T$3000,"&lt;"&amp;$T999)+1,""))</f>
        <v/>
      </c>
      <c r="V999" t="str">
        <f t="shared" si="235"/>
        <v>长沙览秀城|服务价格</v>
      </c>
      <c r="W999">
        <f t="shared" si="236"/>
        <v>965</v>
      </c>
      <c r="X999" t="str">
        <f t="shared" si="237"/>
        <v>长沙览秀城|期内租金单价水平</v>
      </c>
      <c r="Y999">
        <f t="shared" si="238"/>
        <v>970</v>
      </c>
      <c r="Z999">
        <f>IF($A999="",0,IF(AND($M999=1,$A999=经营数据!$B$3,$J999=经营数据!$BA$5,OR($I999=经营数据!$BA$4,COUNTIF(经营数据!$AA$9:$AA$38,$I999)&gt;0)),1,0))</f>
        <v>0</v>
      </c>
      <c r="AA999" t="str">
        <f t="shared" si="239"/>
        <v/>
      </c>
      <c r="AB999" t="str">
        <f t="shared" si="240"/>
        <v/>
      </c>
      <c r="AC999">
        <f>IF($A999="",0,IF(COUNTIF($A$2:$A999,$A999)=1,1,0))</f>
        <v>0</v>
      </c>
      <c r="AD999">
        <f t="shared" si="241"/>
        <v>9</v>
      </c>
      <c r="AE999" t="str">
        <f t="shared" si="242"/>
        <v>长沙览秀城|期内租金单价水平（元/平方米/月）</v>
      </c>
    </row>
    <row r="1000" spans="1:31" x14ac:dyDescent="0.4">
      <c r="A1000" t="str">
        <f>IF(原始经营数据!$D1001="","",原始经营数据!$D1001)</f>
        <v>华夏金茂消费封闭式基础设施证券投资基金</v>
      </c>
      <c r="B1000" t="str">
        <f>IF(原始经营数据!$D1001="","",T(原始经营数据!$E1001))</f>
        <v>长沙览秀城</v>
      </c>
      <c r="C1000" t="str">
        <f>IF(原始经营数据!$D1001="","",原始经营数据!$F1001)</f>
        <v>2025Q2</v>
      </c>
      <c r="D1000" t="str">
        <f>IF(原始经营数据!$D1001="","",原始经营数据!$H1001)</f>
        <v>期末收缴率</v>
      </c>
      <c r="E1000">
        <f>IF(原始经营数据!$D1001="","",原始经营数据!$I1001)</f>
        <v>97.88</v>
      </c>
      <c r="F1000" t="str">
        <f>IF(原始经营数据!$D1001="","",T(原始经营数据!$J1001))</f>
        <v>%</v>
      </c>
      <c r="G1000" t="str">
        <f>IF(原始经营数据!$D1001="","",T(原始经营数据!$K1001))</f>
        <v/>
      </c>
      <c r="H1000" t="str">
        <f>IF(原始经营数据!$D1001="","",原始经营数据!$G1001)</f>
        <v>服务效率</v>
      </c>
      <c r="I1000" t="str">
        <f>IF($A1000="","",IF($B1000&lt;&gt;"",$B1000,IF(COUNTIFS(原始经营数据!$D$3:$D$3001,$A1000,原始经营数据!$E$3:$E$3001,"",原始经营数据!$F$3:$F$3001,$C1000,原始经营数据!$H$3:$H$3001,$D1000,原始经营数据!$K$3:$K$3001,$G1000)&gt;1,"基金整体·来源"&amp;原始经营数据!$A1001,"基金整体")))</f>
        <v>长沙览秀城</v>
      </c>
      <c r="J1000" t="str">
        <f t="shared" si="228"/>
        <v>季度</v>
      </c>
      <c r="K1000" t="str">
        <f t="shared" si="229"/>
        <v>期末收缴率（%）</v>
      </c>
      <c r="L1000" t="str">
        <f t="shared" si="230"/>
        <v>长沙览秀城|期末收缴率（%）|季度</v>
      </c>
      <c r="M1000">
        <f>IF($A1000="",0,IF(COUNTIF($L$2:$L1000,$L1000)=1,1,0))</f>
        <v>0</v>
      </c>
      <c r="N1000">
        <f t="shared" si="231"/>
        <v>20252</v>
      </c>
      <c r="O1000" t="str">
        <f t="shared" si="232"/>
        <v>华夏金茂消费封闭式基础设施证券投资基金|2025Q2|季度</v>
      </c>
      <c r="P1000">
        <f>IF($A1000="",0,IF(COUNTIF($O$2:$O1000,$O1000)=1,1,0))</f>
        <v>0</v>
      </c>
      <c r="Q1000" t="str">
        <f>IF(AND($P1000=1,$A1000=经营数据!$B$3,$J1000=经营数据!$BA$5),COUNTIFS($P$2:$P$3000,1,$A$2:$A$3000,$A1000,$J$2:$J$3000,$J1000,$N$2:$N$3000,"&lt;"&amp;$N1000)+1,"")</f>
        <v/>
      </c>
      <c r="R1000" t="str">
        <f t="shared" si="233"/>
        <v>华夏金茂消费封闭式基础设施证券投资基金|长沙览秀城</v>
      </c>
      <c r="S1000">
        <f>IF($A1000="",0,IF(COUNTIF($R$2:$R1000,$R1000)=1,1,0))</f>
        <v>0</v>
      </c>
      <c r="T1000">
        <f t="shared" si="234"/>
        <v>964</v>
      </c>
      <c r="U1000" t="str">
        <f>IF($A1000="","",IF($A1000=经营数据!$B$3,COUNTIFS($S$2:$S$3000,1,$A$2:$A$3000,$A1000,$T$2:$T$3000,"&lt;"&amp;$T1000)+1,""))</f>
        <v/>
      </c>
      <c r="V1000" t="str">
        <f t="shared" si="235"/>
        <v>长沙览秀城|服务效率</v>
      </c>
      <c r="W1000">
        <f t="shared" si="236"/>
        <v>966</v>
      </c>
      <c r="X1000" t="str">
        <f t="shared" si="237"/>
        <v>长沙览秀城|期末收缴率</v>
      </c>
      <c r="Y1000">
        <f t="shared" si="238"/>
        <v>969</v>
      </c>
      <c r="Z1000">
        <f>IF($A1000="",0,IF(AND($M1000=1,$A1000=经营数据!$B$3,$J1000=经营数据!$BA$5,OR($I1000=经营数据!$BA$4,COUNTIF(经营数据!$AA$9:$AA$38,$I1000)&gt;0)),1,0))</f>
        <v>0</v>
      </c>
      <c r="AA1000" t="str">
        <f t="shared" si="239"/>
        <v/>
      </c>
      <c r="AB1000" t="str">
        <f t="shared" si="240"/>
        <v/>
      </c>
      <c r="AC1000">
        <f>IF($A1000="",0,IF(COUNTIF($A$2:$A1000,$A1000)=1,1,0))</f>
        <v>0</v>
      </c>
      <c r="AD1000">
        <f t="shared" si="241"/>
        <v>9</v>
      </c>
      <c r="AE1000" t="str">
        <f t="shared" si="242"/>
        <v>长沙览秀城|期末收缴率（%）</v>
      </c>
    </row>
    <row r="1001" spans="1:31" x14ac:dyDescent="0.4">
      <c r="A1001" t="str">
        <f>IF(原始经营数据!$D1002="","",原始经营数据!$D1002)</f>
        <v>华夏金茂消费封闭式基础设施证券投资基金</v>
      </c>
      <c r="B1001" t="str">
        <f>IF(原始经营数据!$D1002="","",T(原始经营数据!$E1002))</f>
        <v>长沙览秀城</v>
      </c>
      <c r="C1001" t="str">
        <f>IF(原始经营数据!$D1002="","",原始经营数据!$F1002)</f>
        <v>2025Q2</v>
      </c>
      <c r="D1001" t="str">
        <f>IF(原始经营数据!$D1002="","",原始经营数据!$H1002)</f>
        <v>期末加权平均剩余租期</v>
      </c>
      <c r="E1001">
        <f>IF(原始经营数据!$D1002="","",原始经营数据!$I1002)</f>
        <v>3.97</v>
      </c>
      <c r="F1001" t="str">
        <f>IF(原始经营数据!$D1002="","",T(原始经营数据!$J1002))</f>
        <v>年</v>
      </c>
      <c r="G1001" t="str">
        <f>IF(原始经营数据!$D1002="","",T(原始经营数据!$K1002))</f>
        <v/>
      </c>
      <c r="H1001" t="str">
        <f>IF(原始经营数据!$D1002="","",原始经营数据!$G1002)</f>
        <v>服务量</v>
      </c>
      <c r="I1001" t="str">
        <f>IF($A1001="","",IF($B1001&lt;&gt;"",$B1001,IF(COUNTIFS(原始经营数据!$D$3:$D$3001,$A1001,原始经营数据!$E$3:$E$3001,"",原始经营数据!$F$3:$F$3001,$C1001,原始经营数据!$H$3:$H$3001,$D1001,原始经营数据!$K$3:$K$3001,$G1001)&gt;1,"基金整体·来源"&amp;原始经营数据!$A1002,"基金整体")))</f>
        <v>长沙览秀城</v>
      </c>
      <c r="J1001" t="str">
        <f t="shared" si="228"/>
        <v>季度</v>
      </c>
      <c r="K1001" t="str">
        <f t="shared" si="229"/>
        <v>期末加权平均剩余租期（年）</v>
      </c>
      <c r="L1001" t="str">
        <f t="shared" si="230"/>
        <v>长沙览秀城|期末加权平均剩余租期（年）|季度</v>
      </c>
      <c r="M1001">
        <f>IF($A1001="",0,IF(COUNTIF($L$2:$L1001,$L1001)=1,1,0))</f>
        <v>0</v>
      </c>
      <c r="N1001">
        <f t="shared" si="231"/>
        <v>20252</v>
      </c>
      <c r="O1001" t="str">
        <f t="shared" si="232"/>
        <v>华夏金茂消费封闭式基础设施证券投资基金|2025Q2|季度</v>
      </c>
      <c r="P1001">
        <f>IF($A1001="",0,IF(COUNTIF($O$2:$O1001,$O1001)=1,1,0))</f>
        <v>0</v>
      </c>
      <c r="Q1001" t="str">
        <f>IF(AND($P1001=1,$A1001=经营数据!$B$3,$J1001=经营数据!$BA$5),COUNTIFS($P$2:$P$3000,1,$A$2:$A$3000,$A1001,$J$2:$J$3000,$J1001,$N$2:$N$3000,"&lt;"&amp;$N1001)+1,"")</f>
        <v/>
      </c>
      <c r="R1001" t="str">
        <f t="shared" si="233"/>
        <v>华夏金茂消费封闭式基础设施证券投资基金|长沙览秀城</v>
      </c>
      <c r="S1001">
        <f>IF($A1001="",0,IF(COUNTIF($R$2:$R1001,$R1001)=1,1,0))</f>
        <v>0</v>
      </c>
      <c r="T1001">
        <f t="shared" si="234"/>
        <v>964</v>
      </c>
      <c r="U1001" t="str">
        <f>IF($A1001="","",IF($A1001=经营数据!$B$3,COUNTIFS($S$2:$S$3000,1,$A$2:$A$3000,$A1001,$T$2:$T$3000,"&lt;"&amp;$T1001)+1,""))</f>
        <v/>
      </c>
      <c r="V1001" t="str">
        <f t="shared" si="235"/>
        <v>长沙览秀城|服务量</v>
      </c>
      <c r="W1001">
        <f t="shared" si="236"/>
        <v>964</v>
      </c>
      <c r="X1001" t="str">
        <f t="shared" si="237"/>
        <v>长沙览秀城|期末加权平均剩余租期</v>
      </c>
      <c r="Y1001">
        <f t="shared" si="238"/>
        <v>964</v>
      </c>
      <c r="Z1001">
        <f>IF($A1001="",0,IF(AND($M1001=1,$A1001=经营数据!$B$3,$J1001=经营数据!$BA$5,OR($I1001=经营数据!$BA$4,COUNTIF(经营数据!$AA$9:$AA$38,$I1001)&gt;0)),1,0))</f>
        <v>0</v>
      </c>
      <c r="AA1001" t="str">
        <f t="shared" si="239"/>
        <v/>
      </c>
      <c r="AB1001" t="str">
        <f t="shared" si="240"/>
        <v/>
      </c>
      <c r="AC1001">
        <f>IF($A1001="",0,IF(COUNTIF($A$2:$A1001,$A1001)=1,1,0))</f>
        <v>0</v>
      </c>
      <c r="AD1001">
        <f t="shared" si="241"/>
        <v>9</v>
      </c>
      <c r="AE1001" t="str">
        <f t="shared" si="242"/>
        <v>长沙览秀城|期末加权平均剩余租期（年）</v>
      </c>
    </row>
    <row r="1002" spans="1:31" x14ac:dyDescent="0.4">
      <c r="A1002" t="str">
        <f>IF(原始经营数据!$D1003="","",原始经营数据!$D1003)</f>
        <v>华夏金茂消费封闭式基础设施证券投资基金</v>
      </c>
      <c r="B1002" t="str">
        <f>IF(原始经营数据!$D1003="","",T(原始经营数据!$E1003))</f>
        <v>长沙览秀城</v>
      </c>
      <c r="C1002" t="str">
        <f>IF(原始经营数据!$D1003="","",原始经营数据!$F1003)</f>
        <v>2025Q2</v>
      </c>
      <c r="D1002" t="str">
        <f>IF(原始经营数据!$D1003="","",原始经营数据!$H1003)</f>
        <v>期内平均租金单价</v>
      </c>
      <c r="E1002">
        <f>IF(原始经营数据!$D1003="","",原始经营数据!$I1003)</f>
        <v>90.79</v>
      </c>
      <c r="F1002" t="str">
        <f>IF(原始经营数据!$D1003="","",T(原始经营数据!$J1003))</f>
        <v>元/平方米/月</v>
      </c>
      <c r="G1002" t="str">
        <f>IF(原始经营数据!$D1003="","",T(原始经营数据!$K1003))</f>
        <v/>
      </c>
      <c r="H1002" t="str">
        <f>IF(原始经营数据!$D1003="","",原始经营数据!$G1003)</f>
        <v>服务价格</v>
      </c>
      <c r="I1002" t="str">
        <f>IF($A1002="","",IF($B1002&lt;&gt;"",$B1002,IF(COUNTIFS(原始经营数据!$D$3:$D$3001,$A1002,原始经营数据!$E$3:$E$3001,"",原始经营数据!$F$3:$F$3001,$C1002,原始经营数据!$H$3:$H$3001,$D1002,原始经营数据!$K$3:$K$3001,$G1002)&gt;1,"基金整体·来源"&amp;原始经营数据!$A1003,"基金整体")))</f>
        <v>长沙览秀城</v>
      </c>
      <c r="J1002" t="str">
        <f t="shared" si="228"/>
        <v>季度</v>
      </c>
      <c r="K1002" t="str">
        <f t="shared" si="229"/>
        <v>期内平均租金单价（元/平方米/月）</v>
      </c>
      <c r="L1002" t="str">
        <f t="shared" si="230"/>
        <v>长沙览秀城|期内平均租金单价（元/平方米/月）|季度</v>
      </c>
      <c r="M1002">
        <f>IF($A1002="",0,IF(COUNTIF($L$2:$L1002,$L1002)=1,1,0))</f>
        <v>0</v>
      </c>
      <c r="N1002">
        <f t="shared" si="231"/>
        <v>20252</v>
      </c>
      <c r="O1002" t="str">
        <f t="shared" si="232"/>
        <v>华夏金茂消费封闭式基础设施证券投资基金|2025Q2|季度</v>
      </c>
      <c r="P1002">
        <f>IF($A1002="",0,IF(COUNTIF($O$2:$O1002,$O1002)=1,1,0))</f>
        <v>0</v>
      </c>
      <c r="Q1002" t="str">
        <f>IF(AND($P1002=1,$A1002=经营数据!$B$3,$J1002=经营数据!$BA$5),COUNTIFS($P$2:$P$3000,1,$A$2:$A$3000,$A1002,$J$2:$J$3000,$J1002,$N$2:$N$3000,"&lt;"&amp;$N1002)+1,"")</f>
        <v/>
      </c>
      <c r="R1002" t="str">
        <f t="shared" si="233"/>
        <v>华夏金茂消费封闭式基础设施证券投资基金|长沙览秀城</v>
      </c>
      <c r="S1002">
        <f>IF($A1002="",0,IF(COUNTIF($R$2:$R1002,$R1002)=1,1,0))</f>
        <v>0</v>
      </c>
      <c r="T1002">
        <f t="shared" si="234"/>
        <v>964</v>
      </c>
      <c r="U1002" t="str">
        <f>IF($A1002="","",IF($A1002=经营数据!$B$3,COUNTIFS($S$2:$S$3000,1,$A$2:$A$3000,$A1002,$T$2:$T$3000,"&lt;"&amp;$T1002)+1,""))</f>
        <v/>
      </c>
      <c r="V1002" t="str">
        <f t="shared" si="235"/>
        <v>长沙览秀城|服务价格</v>
      </c>
      <c r="W1002">
        <f t="shared" si="236"/>
        <v>965</v>
      </c>
      <c r="X1002" t="str">
        <f t="shared" si="237"/>
        <v>长沙览秀城|期内平均租金单价</v>
      </c>
      <c r="Y1002">
        <f t="shared" si="238"/>
        <v>965</v>
      </c>
      <c r="Z1002">
        <f>IF($A1002="",0,IF(AND($M1002=1,$A1002=经营数据!$B$3,$J1002=经营数据!$BA$5,OR($I1002=经营数据!$BA$4,COUNTIF(经营数据!$AA$9:$AA$38,$I1002)&gt;0)),1,0))</f>
        <v>0</v>
      </c>
      <c r="AA1002" t="str">
        <f t="shared" si="239"/>
        <v/>
      </c>
      <c r="AB1002" t="str">
        <f t="shared" si="240"/>
        <v/>
      </c>
      <c r="AC1002">
        <f>IF($A1002="",0,IF(COUNTIF($A$2:$A1002,$A1002)=1,1,0))</f>
        <v>0</v>
      </c>
      <c r="AD1002">
        <f t="shared" si="241"/>
        <v>9</v>
      </c>
      <c r="AE1002" t="str">
        <f t="shared" si="242"/>
        <v>长沙览秀城|期内平均租金单价（元/平方米/月）</v>
      </c>
    </row>
    <row r="1003" spans="1:31" x14ac:dyDescent="0.4">
      <c r="A1003" t="str">
        <f>IF(原始经营数据!$D1004="","",原始经营数据!$D1004)</f>
        <v>华夏金茂消费封闭式基础设施证券投资基金</v>
      </c>
      <c r="B1003" t="str">
        <f>IF(原始经营数据!$D1004="","",T(原始经营数据!$E1004))</f>
        <v>长沙览秀城</v>
      </c>
      <c r="C1003" t="str">
        <f>IF(原始经营数据!$D1004="","",原始经营数据!$F1004)</f>
        <v>2025Q2</v>
      </c>
      <c r="D1003" t="str">
        <f>IF(原始经营数据!$D1004="","",原始经营数据!$H1004)</f>
        <v>期末出租率</v>
      </c>
      <c r="E1003">
        <f>IF(原始经营数据!$D1004="","",原始经营数据!$I1004)</f>
        <v>99.03</v>
      </c>
      <c r="F1003" t="str">
        <f>IF(原始经营数据!$D1004="","",T(原始经营数据!$J1004))</f>
        <v>%</v>
      </c>
      <c r="G1003" t="str">
        <f>IF(原始经营数据!$D1004="","",T(原始经营数据!$K1004))</f>
        <v/>
      </c>
      <c r="H1003" t="str">
        <f>IF(原始经营数据!$D1004="","",原始经营数据!$G1004)</f>
        <v>服务效率</v>
      </c>
      <c r="I1003" t="str">
        <f>IF($A1003="","",IF($B1003&lt;&gt;"",$B1003,IF(COUNTIFS(原始经营数据!$D$3:$D$3001,$A1003,原始经营数据!$E$3:$E$3001,"",原始经营数据!$F$3:$F$3001,$C1003,原始经营数据!$H$3:$H$3001,$D1003,原始经营数据!$K$3:$K$3001,$G1003)&gt;1,"基金整体·来源"&amp;原始经营数据!$A1004,"基金整体")))</f>
        <v>长沙览秀城</v>
      </c>
      <c r="J1003" t="str">
        <f t="shared" si="228"/>
        <v>季度</v>
      </c>
      <c r="K1003" t="str">
        <f t="shared" si="229"/>
        <v>期末出租率（%）</v>
      </c>
      <c r="L1003" t="str">
        <f t="shared" si="230"/>
        <v>长沙览秀城|期末出租率（%）|季度</v>
      </c>
      <c r="M1003">
        <f>IF($A1003="",0,IF(COUNTIF($L$2:$L1003,$L1003)=1,1,0))</f>
        <v>0</v>
      </c>
      <c r="N1003">
        <f t="shared" si="231"/>
        <v>20252</v>
      </c>
      <c r="O1003" t="str">
        <f t="shared" si="232"/>
        <v>华夏金茂消费封闭式基础设施证券投资基金|2025Q2|季度</v>
      </c>
      <c r="P1003">
        <f>IF($A1003="",0,IF(COUNTIF($O$2:$O1003,$O1003)=1,1,0))</f>
        <v>0</v>
      </c>
      <c r="Q1003" t="str">
        <f>IF(AND($P1003=1,$A1003=经营数据!$B$3,$J1003=经营数据!$BA$5),COUNTIFS($P$2:$P$3000,1,$A$2:$A$3000,$A1003,$J$2:$J$3000,$J1003,$N$2:$N$3000,"&lt;"&amp;$N1003)+1,"")</f>
        <v/>
      </c>
      <c r="R1003" t="str">
        <f t="shared" si="233"/>
        <v>华夏金茂消费封闭式基础设施证券投资基金|长沙览秀城</v>
      </c>
      <c r="S1003">
        <f>IF($A1003="",0,IF(COUNTIF($R$2:$R1003,$R1003)=1,1,0))</f>
        <v>0</v>
      </c>
      <c r="T1003">
        <f t="shared" si="234"/>
        <v>964</v>
      </c>
      <c r="U1003" t="str">
        <f>IF($A1003="","",IF($A1003=经营数据!$B$3,COUNTIFS($S$2:$S$3000,1,$A$2:$A$3000,$A1003,$T$2:$T$3000,"&lt;"&amp;$T1003)+1,""))</f>
        <v/>
      </c>
      <c r="V1003" t="str">
        <f t="shared" si="235"/>
        <v>长沙览秀城|服务效率</v>
      </c>
      <c r="W1003">
        <f t="shared" si="236"/>
        <v>966</v>
      </c>
      <c r="X1003" t="str">
        <f t="shared" si="237"/>
        <v>长沙览秀城|期末出租率</v>
      </c>
      <c r="Y1003">
        <f t="shared" si="238"/>
        <v>966</v>
      </c>
      <c r="Z1003">
        <f>IF($A1003="",0,IF(AND($M1003=1,$A1003=经营数据!$B$3,$J1003=经营数据!$BA$5,OR($I1003=经营数据!$BA$4,COUNTIF(经营数据!$AA$9:$AA$38,$I1003)&gt;0)),1,0))</f>
        <v>0</v>
      </c>
      <c r="AA1003" t="str">
        <f t="shared" si="239"/>
        <v/>
      </c>
      <c r="AB1003" t="str">
        <f t="shared" si="240"/>
        <v/>
      </c>
      <c r="AC1003">
        <f>IF($A1003="",0,IF(COUNTIF($A$2:$A1003,$A1003)=1,1,0))</f>
        <v>0</v>
      </c>
      <c r="AD1003">
        <f t="shared" si="241"/>
        <v>9</v>
      </c>
      <c r="AE1003" t="str">
        <f t="shared" si="242"/>
        <v>长沙览秀城|期末出租率（%）</v>
      </c>
    </row>
    <row r="1004" spans="1:31" x14ac:dyDescent="0.4">
      <c r="A1004" t="str">
        <f>IF(原始经营数据!$D1005="","",原始经营数据!$D1005)</f>
        <v>华夏金茂消费封闭式基础设施证券投资基金</v>
      </c>
      <c r="B1004" t="str">
        <f>IF(原始经营数据!$D1005="","",T(原始经营数据!$E1005))</f>
        <v>长沙览秀城</v>
      </c>
      <c r="C1004" t="str">
        <f>IF(原始经营数据!$D1005="","",原始经营数据!$F1005)</f>
        <v>2025Q2</v>
      </c>
      <c r="D1004" t="str">
        <f>IF(原始经营数据!$D1005="","",原始经营数据!$H1005)</f>
        <v>期末实际出租面积</v>
      </c>
      <c r="E1004">
        <f>IF(原始经营数据!$D1005="","",原始经营数据!$I1005)</f>
        <v>60350.05</v>
      </c>
      <c r="F1004" t="str">
        <f>IF(原始经营数据!$D1005="","",T(原始经营数据!$J1005))</f>
        <v>平方米</v>
      </c>
      <c r="G1004" t="str">
        <f>IF(原始经营数据!$D1005="","",T(原始经营数据!$K1005))</f>
        <v/>
      </c>
      <c r="H1004" t="str">
        <f>IF(原始经营数据!$D1005="","",原始经营数据!$G1005)</f>
        <v>服务量</v>
      </c>
      <c r="I1004" t="str">
        <f>IF($A1004="","",IF($B1004&lt;&gt;"",$B1004,IF(COUNTIFS(原始经营数据!$D$3:$D$3001,$A1004,原始经营数据!$E$3:$E$3001,"",原始经营数据!$F$3:$F$3001,$C1004,原始经营数据!$H$3:$H$3001,$D1004,原始经营数据!$K$3:$K$3001,$G1004)&gt;1,"基金整体·来源"&amp;原始经营数据!$A1005,"基金整体")))</f>
        <v>长沙览秀城</v>
      </c>
      <c r="J1004" t="str">
        <f t="shared" si="228"/>
        <v>季度</v>
      </c>
      <c r="K1004" t="str">
        <f t="shared" si="229"/>
        <v>期末实际出租面积（平方米）</v>
      </c>
      <c r="L1004" t="str">
        <f t="shared" si="230"/>
        <v>长沙览秀城|期末实际出租面积（平方米）|季度</v>
      </c>
      <c r="M1004">
        <f>IF($A1004="",0,IF(COUNTIF($L$2:$L1004,$L1004)=1,1,0))</f>
        <v>0</v>
      </c>
      <c r="N1004">
        <f t="shared" si="231"/>
        <v>20252</v>
      </c>
      <c r="O1004" t="str">
        <f t="shared" si="232"/>
        <v>华夏金茂消费封闭式基础设施证券投资基金|2025Q2|季度</v>
      </c>
      <c r="P1004">
        <f>IF($A1004="",0,IF(COUNTIF($O$2:$O1004,$O1004)=1,1,0))</f>
        <v>0</v>
      </c>
      <c r="Q1004" t="str">
        <f>IF(AND($P1004=1,$A1004=经营数据!$B$3,$J1004=经营数据!$BA$5),COUNTIFS($P$2:$P$3000,1,$A$2:$A$3000,$A1004,$J$2:$J$3000,$J1004,$N$2:$N$3000,"&lt;"&amp;$N1004)+1,"")</f>
        <v/>
      </c>
      <c r="R1004" t="str">
        <f t="shared" si="233"/>
        <v>华夏金茂消费封闭式基础设施证券投资基金|长沙览秀城</v>
      </c>
      <c r="S1004">
        <f>IF($A1004="",0,IF(COUNTIF($R$2:$R1004,$R1004)=1,1,0))</f>
        <v>0</v>
      </c>
      <c r="T1004">
        <f t="shared" si="234"/>
        <v>964</v>
      </c>
      <c r="U1004" t="str">
        <f>IF($A1004="","",IF($A1004=经营数据!$B$3,COUNTIFS($S$2:$S$3000,1,$A$2:$A$3000,$A1004,$T$2:$T$3000,"&lt;"&amp;$T1004)+1,""))</f>
        <v/>
      </c>
      <c r="V1004" t="str">
        <f t="shared" si="235"/>
        <v>长沙览秀城|服务量</v>
      </c>
      <c r="W1004">
        <f t="shared" si="236"/>
        <v>964</v>
      </c>
      <c r="X1004" t="str">
        <f t="shared" si="237"/>
        <v>长沙览秀城|期末实际出租面积</v>
      </c>
      <c r="Y1004">
        <f t="shared" si="238"/>
        <v>967</v>
      </c>
      <c r="Z1004">
        <f>IF($A1004="",0,IF(AND($M1004=1,$A1004=经营数据!$B$3,$J1004=经营数据!$BA$5,OR($I1004=经营数据!$BA$4,COUNTIF(经营数据!$AA$9:$AA$38,$I1004)&gt;0)),1,0))</f>
        <v>0</v>
      </c>
      <c r="AA1004" t="str">
        <f t="shared" si="239"/>
        <v/>
      </c>
      <c r="AB1004" t="str">
        <f t="shared" si="240"/>
        <v/>
      </c>
      <c r="AC1004">
        <f>IF($A1004="",0,IF(COUNTIF($A$2:$A1004,$A1004)=1,1,0))</f>
        <v>0</v>
      </c>
      <c r="AD1004">
        <f t="shared" si="241"/>
        <v>9</v>
      </c>
      <c r="AE1004" t="str">
        <f t="shared" si="242"/>
        <v>长沙览秀城|期末实际出租面积（平方米）</v>
      </c>
    </row>
    <row r="1005" spans="1:31" x14ac:dyDescent="0.4">
      <c r="A1005" t="str">
        <f>IF(原始经营数据!$D1006="","",原始经营数据!$D1006)</f>
        <v>华夏金茂消费封闭式基础设施证券投资基金</v>
      </c>
      <c r="B1005" t="str">
        <f>IF(原始经营数据!$D1006="","",T(原始经营数据!$E1006))</f>
        <v>长沙览秀城</v>
      </c>
      <c r="C1005" t="str">
        <f>IF(原始经营数据!$D1006="","",原始经营数据!$F1006)</f>
        <v>2025Q2</v>
      </c>
      <c r="D1005" t="str">
        <f>IF(原始经营数据!$D1006="","",原始经营数据!$H1006)</f>
        <v>期末可供出租面积</v>
      </c>
      <c r="E1005">
        <f>IF(原始经营数据!$D1006="","",原始经营数据!$I1006)</f>
        <v>60938.42</v>
      </c>
      <c r="F1005" t="str">
        <f>IF(原始经营数据!$D1006="","",T(原始经营数据!$J1006))</f>
        <v>平方米</v>
      </c>
      <c r="G1005" t="str">
        <f>IF(原始经营数据!$D1006="","",T(原始经营数据!$K1006))</f>
        <v/>
      </c>
      <c r="H1005" t="str">
        <f>IF(原始经营数据!$D1006="","",原始经营数据!$G1006)</f>
        <v>服务量</v>
      </c>
      <c r="I1005" t="str">
        <f>IF($A1005="","",IF($B1005&lt;&gt;"",$B1005,IF(COUNTIFS(原始经营数据!$D$3:$D$3001,$A1005,原始经营数据!$E$3:$E$3001,"",原始经营数据!$F$3:$F$3001,$C1005,原始经营数据!$H$3:$H$3001,$D1005,原始经营数据!$K$3:$K$3001,$G1005)&gt;1,"基金整体·来源"&amp;原始经营数据!$A1006,"基金整体")))</f>
        <v>长沙览秀城</v>
      </c>
      <c r="J1005" t="str">
        <f t="shared" si="228"/>
        <v>季度</v>
      </c>
      <c r="K1005" t="str">
        <f t="shared" si="229"/>
        <v>期末可供出租面积（平方米）</v>
      </c>
      <c r="L1005" t="str">
        <f t="shared" si="230"/>
        <v>长沙览秀城|期末可供出租面积（平方米）|季度</v>
      </c>
      <c r="M1005">
        <f>IF($A1005="",0,IF(COUNTIF($L$2:$L1005,$L1005)=1,1,0))</f>
        <v>0</v>
      </c>
      <c r="N1005">
        <f t="shared" si="231"/>
        <v>20252</v>
      </c>
      <c r="O1005" t="str">
        <f t="shared" si="232"/>
        <v>华夏金茂消费封闭式基础设施证券投资基金|2025Q2|季度</v>
      </c>
      <c r="P1005">
        <f>IF($A1005="",0,IF(COUNTIF($O$2:$O1005,$O1005)=1,1,0))</f>
        <v>0</v>
      </c>
      <c r="Q1005" t="str">
        <f>IF(AND($P1005=1,$A1005=经营数据!$B$3,$J1005=经营数据!$BA$5),COUNTIFS($P$2:$P$3000,1,$A$2:$A$3000,$A1005,$J$2:$J$3000,$J1005,$N$2:$N$3000,"&lt;"&amp;$N1005)+1,"")</f>
        <v/>
      </c>
      <c r="R1005" t="str">
        <f t="shared" si="233"/>
        <v>华夏金茂消费封闭式基础设施证券投资基金|长沙览秀城</v>
      </c>
      <c r="S1005">
        <f>IF($A1005="",0,IF(COUNTIF($R$2:$R1005,$R1005)=1,1,0))</f>
        <v>0</v>
      </c>
      <c r="T1005">
        <f t="shared" si="234"/>
        <v>964</v>
      </c>
      <c r="U1005" t="str">
        <f>IF($A1005="","",IF($A1005=经营数据!$B$3,COUNTIFS($S$2:$S$3000,1,$A$2:$A$3000,$A1005,$T$2:$T$3000,"&lt;"&amp;$T1005)+1,""))</f>
        <v/>
      </c>
      <c r="V1005" t="str">
        <f t="shared" si="235"/>
        <v>长沙览秀城|服务量</v>
      </c>
      <c r="W1005">
        <f t="shared" si="236"/>
        <v>964</v>
      </c>
      <c r="X1005" t="str">
        <f t="shared" si="237"/>
        <v>长沙览秀城|期末可供出租面积</v>
      </c>
      <c r="Y1005">
        <f t="shared" si="238"/>
        <v>968</v>
      </c>
      <c r="Z1005">
        <f>IF($A1005="",0,IF(AND($M1005=1,$A1005=经营数据!$B$3,$J1005=经营数据!$BA$5,OR($I1005=经营数据!$BA$4,COUNTIF(经营数据!$AA$9:$AA$38,$I1005)&gt;0)),1,0))</f>
        <v>0</v>
      </c>
      <c r="AA1005" t="str">
        <f t="shared" si="239"/>
        <v/>
      </c>
      <c r="AB1005" t="str">
        <f t="shared" si="240"/>
        <v/>
      </c>
      <c r="AC1005">
        <f>IF($A1005="",0,IF(COUNTIF($A$2:$A1005,$A1005)=1,1,0))</f>
        <v>0</v>
      </c>
      <c r="AD1005">
        <f t="shared" si="241"/>
        <v>9</v>
      </c>
      <c r="AE1005" t="str">
        <f t="shared" si="242"/>
        <v>长沙览秀城|期末可供出租面积（平方米）</v>
      </c>
    </row>
    <row r="1006" spans="1:31" x14ac:dyDescent="0.4">
      <c r="A1006" t="str">
        <f>IF(原始经营数据!$D1007="","",原始经营数据!$D1007)</f>
        <v>华夏金茂消费封闭式基础设施证券投资基金</v>
      </c>
      <c r="B1006" t="str">
        <f>IF(原始经营数据!$D1007="","",T(原始经营数据!$E1007))</f>
        <v>长沙览秀城</v>
      </c>
      <c r="C1006" t="str">
        <f>IF(原始经营数据!$D1007="","",原始经营数据!$F1007)</f>
        <v>2025Q3</v>
      </c>
      <c r="D1006" t="str">
        <f>IF(原始经营数据!$D1007="","",原始经营数据!$H1007)</f>
        <v>期内租金单价水平</v>
      </c>
      <c r="E1006">
        <f>IF(原始经营数据!$D1007="","",原始经营数据!$I1007)</f>
        <v>91.53</v>
      </c>
      <c r="F1006" t="str">
        <f>IF(原始经营数据!$D1007="","",T(原始经营数据!$J1007))</f>
        <v>元/平方米/月</v>
      </c>
      <c r="G1006" t="str">
        <f>IF(原始经营数据!$D1007="","",T(原始经营数据!$K1007))</f>
        <v/>
      </c>
      <c r="H1006" t="str">
        <f>IF(原始经营数据!$D1007="","",原始经营数据!$G1007)</f>
        <v>服务价格</v>
      </c>
      <c r="I1006" t="str">
        <f>IF($A1006="","",IF($B1006&lt;&gt;"",$B1006,IF(COUNTIFS(原始经营数据!$D$3:$D$3001,$A1006,原始经营数据!$E$3:$E$3001,"",原始经营数据!$F$3:$F$3001,$C1006,原始经营数据!$H$3:$H$3001,$D1006,原始经营数据!$K$3:$K$3001,$G1006)&gt;1,"基金整体·来源"&amp;原始经营数据!$A1007,"基金整体")))</f>
        <v>长沙览秀城</v>
      </c>
      <c r="J1006" t="str">
        <f t="shared" si="228"/>
        <v>季度</v>
      </c>
      <c r="K1006" t="str">
        <f t="shared" si="229"/>
        <v>期内租金单价水平（元/平方米/月）</v>
      </c>
      <c r="L1006" t="str">
        <f t="shared" si="230"/>
        <v>长沙览秀城|期内租金单价水平（元/平方米/月）|季度</v>
      </c>
      <c r="M1006">
        <f>IF($A1006="",0,IF(COUNTIF($L$2:$L1006,$L1006)=1,1,0))</f>
        <v>0</v>
      </c>
      <c r="N1006">
        <f t="shared" si="231"/>
        <v>20253</v>
      </c>
      <c r="O1006" t="str">
        <f t="shared" si="232"/>
        <v>华夏金茂消费封闭式基础设施证券投资基金|2025Q3|季度</v>
      </c>
      <c r="P1006">
        <f>IF($A1006="",0,IF(COUNTIF($O$2:$O1006,$O1006)=1,1,0))</f>
        <v>1</v>
      </c>
      <c r="Q1006" t="str">
        <f>IF(AND($P1006=1,$A1006=经营数据!$B$3,$J1006=经营数据!$BA$5),COUNTIFS($P$2:$P$3000,1,$A$2:$A$3000,$A1006,$J$2:$J$3000,$J1006,$N$2:$N$3000,"&lt;"&amp;$N1006)+1,"")</f>
        <v/>
      </c>
      <c r="R1006" t="str">
        <f t="shared" si="233"/>
        <v>华夏金茂消费封闭式基础设施证券投资基金|长沙览秀城</v>
      </c>
      <c r="S1006">
        <f>IF($A1006="",0,IF(COUNTIF($R$2:$R1006,$R1006)=1,1,0))</f>
        <v>0</v>
      </c>
      <c r="T1006">
        <f t="shared" si="234"/>
        <v>964</v>
      </c>
      <c r="U1006" t="str">
        <f>IF($A1006="","",IF($A1006=经营数据!$B$3,COUNTIFS($S$2:$S$3000,1,$A$2:$A$3000,$A1006,$T$2:$T$3000,"&lt;"&amp;$T1006)+1,""))</f>
        <v/>
      </c>
      <c r="V1006" t="str">
        <f t="shared" si="235"/>
        <v>长沙览秀城|服务价格</v>
      </c>
      <c r="W1006">
        <f t="shared" si="236"/>
        <v>965</v>
      </c>
      <c r="X1006" t="str">
        <f t="shared" si="237"/>
        <v>长沙览秀城|期内租金单价水平</v>
      </c>
      <c r="Y1006">
        <f t="shared" si="238"/>
        <v>970</v>
      </c>
      <c r="Z1006">
        <f>IF($A1006="",0,IF(AND($M1006=1,$A1006=经营数据!$B$3,$J1006=经营数据!$BA$5,OR($I1006=经营数据!$BA$4,COUNTIF(经营数据!$AA$9:$AA$38,$I1006)&gt;0)),1,0))</f>
        <v>0</v>
      </c>
      <c r="AA1006" t="str">
        <f t="shared" si="239"/>
        <v/>
      </c>
      <c r="AB1006" t="str">
        <f t="shared" si="240"/>
        <v/>
      </c>
      <c r="AC1006">
        <f>IF($A1006="",0,IF(COUNTIF($A$2:$A1006,$A1006)=1,1,0))</f>
        <v>0</v>
      </c>
      <c r="AD1006">
        <f t="shared" si="241"/>
        <v>9</v>
      </c>
      <c r="AE1006" t="str">
        <f t="shared" si="242"/>
        <v>长沙览秀城|期内租金单价水平（元/平方米/月）</v>
      </c>
    </row>
    <row r="1007" spans="1:31" x14ac:dyDescent="0.4">
      <c r="A1007" t="str">
        <f>IF(原始经营数据!$D1008="","",原始经营数据!$D1008)</f>
        <v>华夏金茂消费封闭式基础设施证券投资基金</v>
      </c>
      <c r="B1007" t="str">
        <f>IF(原始经营数据!$D1008="","",T(原始经营数据!$E1008))</f>
        <v>长沙览秀城</v>
      </c>
      <c r="C1007" t="str">
        <f>IF(原始经营数据!$D1008="","",原始经营数据!$F1008)</f>
        <v>2025Q3</v>
      </c>
      <c r="D1007" t="str">
        <f>IF(原始经营数据!$D1008="","",原始经营数据!$H1008)</f>
        <v>期内平均租金单价</v>
      </c>
      <c r="E1007">
        <f>IF(原始经营数据!$D1008="","",原始经营数据!$I1008)</f>
        <v>91.53</v>
      </c>
      <c r="F1007" t="str">
        <f>IF(原始经营数据!$D1008="","",T(原始经营数据!$J1008))</f>
        <v>元/平方米/月</v>
      </c>
      <c r="G1007" t="str">
        <f>IF(原始经营数据!$D1008="","",T(原始经营数据!$K1008))</f>
        <v/>
      </c>
      <c r="H1007" t="str">
        <f>IF(原始经营数据!$D1008="","",原始经营数据!$G1008)</f>
        <v>服务价格</v>
      </c>
      <c r="I1007" t="str">
        <f>IF($A1007="","",IF($B1007&lt;&gt;"",$B1007,IF(COUNTIFS(原始经营数据!$D$3:$D$3001,$A1007,原始经营数据!$E$3:$E$3001,"",原始经营数据!$F$3:$F$3001,$C1007,原始经营数据!$H$3:$H$3001,$D1007,原始经营数据!$K$3:$K$3001,$G1007)&gt;1,"基金整体·来源"&amp;原始经营数据!$A1008,"基金整体")))</f>
        <v>长沙览秀城</v>
      </c>
      <c r="J1007" t="str">
        <f t="shared" si="228"/>
        <v>季度</v>
      </c>
      <c r="K1007" t="str">
        <f t="shared" si="229"/>
        <v>期内平均租金单价（元/平方米/月）</v>
      </c>
      <c r="L1007" t="str">
        <f t="shared" si="230"/>
        <v>长沙览秀城|期内平均租金单价（元/平方米/月）|季度</v>
      </c>
      <c r="M1007">
        <f>IF($A1007="",0,IF(COUNTIF($L$2:$L1007,$L1007)=1,1,0))</f>
        <v>0</v>
      </c>
      <c r="N1007">
        <f t="shared" si="231"/>
        <v>20253</v>
      </c>
      <c r="O1007" t="str">
        <f t="shared" si="232"/>
        <v>华夏金茂消费封闭式基础设施证券投资基金|2025Q3|季度</v>
      </c>
      <c r="P1007">
        <f>IF($A1007="",0,IF(COUNTIF($O$2:$O1007,$O1007)=1,1,0))</f>
        <v>0</v>
      </c>
      <c r="Q1007" t="str">
        <f>IF(AND($P1007=1,$A1007=经营数据!$B$3,$J1007=经营数据!$BA$5),COUNTIFS($P$2:$P$3000,1,$A$2:$A$3000,$A1007,$J$2:$J$3000,$J1007,$N$2:$N$3000,"&lt;"&amp;$N1007)+1,"")</f>
        <v/>
      </c>
      <c r="R1007" t="str">
        <f t="shared" si="233"/>
        <v>华夏金茂消费封闭式基础设施证券投资基金|长沙览秀城</v>
      </c>
      <c r="S1007">
        <f>IF($A1007="",0,IF(COUNTIF($R$2:$R1007,$R1007)=1,1,0))</f>
        <v>0</v>
      </c>
      <c r="T1007">
        <f t="shared" si="234"/>
        <v>964</v>
      </c>
      <c r="U1007" t="str">
        <f>IF($A1007="","",IF($A1007=经营数据!$B$3,COUNTIFS($S$2:$S$3000,1,$A$2:$A$3000,$A1007,$T$2:$T$3000,"&lt;"&amp;$T1007)+1,""))</f>
        <v/>
      </c>
      <c r="V1007" t="str">
        <f t="shared" si="235"/>
        <v>长沙览秀城|服务价格</v>
      </c>
      <c r="W1007">
        <f t="shared" si="236"/>
        <v>965</v>
      </c>
      <c r="X1007" t="str">
        <f t="shared" si="237"/>
        <v>长沙览秀城|期内平均租金单价</v>
      </c>
      <c r="Y1007">
        <f t="shared" si="238"/>
        <v>965</v>
      </c>
      <c r="Z1007">
        <f>IF($A1007="",0,IF(AND($M1007=1,$A1007=经营数据!$B$3,$J1007=经营数据!$BA$5,OR($I1007=经营数据!$BA$4,COUNTIF(经营数据!$AA$9:$AA$38,$I1007)&gt;0)),1,0))</f>
        <v>0</v>
      </c>
      <c r="AA1007" t="str">
        <f t="shared" si="239"/>
        <v/>
      </c>
      <c r="AB1007" t="str">
        <f t="shared" si="240"/>
        <v/>
      </c>
      <c r="AC1007">
        <f>IF($A1007="",0,IF(COUNTIF($A$2:$A1007,$A1007)=1,1,0))</f>
        <v>0</v>
      </c>
      <c r="AD1007">
        <f t="shared" si="241"/>
        <v>9</v>
      </c>
      <c r="AE1007" t="str">
        <f t="shared" si="242"/>
        <v>长沙览秀城|期内平均租金单价（元/平方米/月）</v>
      </c>
    </row>
    <row r="1008" spans="1:31" x14ac:dyDescent="0.4">
      <c r="A1008" t="str">
        <f>IF(原始经营数据!$D1009="","",原始经营数据!$D1009)</f>
        <v>华夏金茂消费封闭式基础设施证券投资基金</v>
      </c>
      <c r="B1008" t="str">
        <f>IF(原始经营数据!$D1009="","",T(原始经营数据!$E1009))</f>
        <v>长沙览秀城</v>
      </c>
      <c r="C1008" t="str">
        <f>IF(原始经营数据!$D1009="","",原始经营数据!$F1009)</f>
        <v>2025Q3</v>
      </c>
      <c r="D1008" t="str">
        <f>IF(原始经营数据!$D1009="","",原始经营数据!$H1009)</f>
        <v>期末可供出租面积</v>
      </c>
      <c r="E1008">
        <f>IF(原始经营数据!$D1009="","",原始经营数据!$I1009)</f>
        <v>60938.42</v>
      </c>
      <c r="F1008" t="str">
        <f>IF(原始经营数据!$D1009="","",T(原始经营数据!$J1009))</f>
        <v>平方米</v>
      </c>
      <c r="G1008" t="str">
        <f>IF(原始经营数据!$D1009="","",T(原始经营数据!$K1009))</f>
        <v/>
      </c>
      <c r="H1008" t="str">
        <f>IF(原始经营数据!$D1009="","",原始经营数据!$G1009)</f>
        <v>服务量</v>
      </c>
      <c r="I1008" t="str">
        <f>IF($A1008="","",IF($B1008&lt;&gt;"",$B1008,IF(COUNTIFS(原始经营数据!$D$3:$D$3001,$A1008,原始经营数据!$E$3:$E$3001,"",原始经营数据!$F$3:$F$3001,$C1008,原始经营数据!$H$3:$H$3001,$D1008,原始经营数据!$K$3:$K$3001,$G1008)&gt;1,"基金整体·来源"&amp;原始经营数据!$A1009,"基金整体")))</f>
        <v>长沙览秀城</v>
      </c>
      <c r="J1008" t="str">
        <f t="shared" si="228"/>
        <v>季度</v>
      </c>
      <c r="K1008" t="str">
        <f t="shared" si="229"/>
        <v>期末可供出租面积（平方米）</v>
      </c>
      <c r="L1008" t="str">
        <f t="shared" si="230"/>
        <v>长沙览秀城|期末可供出租面积（平方米）|季度</v>
      </c>
      <c r="M1008">
        <f>IF($A1008="",0,IF(COUNTIF($L$2:$L1008,$L1008)=1,1,0))</f>
        <v>0</v>
      </c>
      <c r="N1008">
        <f t="shared" si="231"/>
        <v>20253</v>
      </c>
      <c r="O1008" t="str">
        <f t="shared" si="232"/>
        <v>华夏金茂消费封闭式基础设施证券投资基金|2025Q3|季度</v>
      </c>
      <c r="P1008">
        <f>IF($A1008="",0,IF(COUNTIF($O$2:$O1008,$O1008)=1,1,0))</f>
        <v>0</v>
      </c>
      <c r="Q1008" t="str">
        <f>IF(AND($P1008=1,$A1008=经营数据!$B$3,$J1008=经营数据!$BA$5),COUNTIFS($P$2:$P$3000,1,$A$2:$A$3000,$A1008,$J$2:$J$3000,$J1008,$N$2:$N$3000,"&lt;"&amp;$N1008)+1,"")</f>
        <v/>
      </c>
      <c r="R1008" t="str">
        <f t="shared" si="233"/>
        <v>华夏金茂消费封闭式基础设施证券投资基金|长沙览秀城</v>
      </c>
      <c r="S1008">
        <f>IF($A1008="",0,IF(COUNTIF($R$2:$R1008,$R1008)=1,1,0))</f>
        <v>0</v>
      </c>
      <c r="T1008">
        <f t="shared" si="234"/>
        <v>964</v>
      </c>
      <c r="U1008" t="str">
        <f>IF($A1008="","",IF($A1008=经营数据!$B$3,COUNTIFS($S$2:$S$3000,1,$A$2:$A$3000,$A1008,$T$2:$T$3000,"&lt;"&amp;$T1008)+1,""))</f>
        <v/>
      </c>
      <c r="V1008" t="str">
        <f t="shared" si="235"/>
        <v>长沙览秀城|服务量</v>
      </c>
      <c r="W1008">
        <f t="shared" si="236"/>
        <v>964</v>
      </c>
      <c r="X1008" t="str">
        <f t="shared" si="237"/>
        <v>长沙览秀城|期末可供出租面积</v>
      </c>
      <c r="Y1008">
        <f t="shared" si="238"/>
        <v>968</v>
      </c>
      <c r="Z1008">
        <f>IF($A1008="",0,IF(AND($M1008=1,$A1008=经营数据!$B$3,$J1008=经营数据!$BA$5,OR($I1008=经营数据!$BA$4,COUNTIF(经营数据!$AA$9:$AA$38,$I1008)&gt;0)),1,0))</f>
        <v>0</v>
      </c>
      <c r="AA1008" t="str">
        <f t="shared" si="239"/>
        <v/>
      </c>
      <c r="AB1008" t="str">
        <f t="shared" si="240"/>
        <v/>
      </c>
      <c r="AC1008">
        <f>IF($A1008="",0,IF(COUNTIF($A$2:$A1008,$A1008)=1,1,0))</f>
        <v>0</v>
      </c>
      <c r="AD1008">
        <f t="shared" si="241"/>
        <v>9</v>
      </c>
      <c r="AE1008" t="str">
        <f t="shared" si="242"/>
        <v>长沙览秀城|期末可供出租面积（平方米）</v>
      </c>
    </row>
    <row r="1009" spans="1:31" x14ac:dyDescent="0.4">
      <c r="A1009" t="str">
        <f>IF(原始经营数据!$D1010="","",原始经营数据!$D1010)</f>
        <v>华夏金茂消费封闭式基础设施证券投资基金</v>
      </c>
      <c r="B1009" t="str">
        <f>IF(原始经营数据!$D1010="","",T(原始经营数据!$E1010))</f>
        <v>长沙览秀城</v>
      </c>
      <c r="C1009" t="str">
        <f>IF(原始经营数据!$D1010="","",原始经营数据!$F1010)</f>
        <v>2025Q3</v>
      </c>
      <c r="D1009" t="str">
        <f>IF(原始经营数据!$D1010="","",原始经营数据!$H1010)</f>
        <v>期末实际出租面积</v>
      </c>
      <c r="E1009">
        <f>IF(原始经营数据!$D1010="","",原始经营数据!$I1010)</f>
        <v>60112.22</v>
      </c>
      <c r="F1009" t="str">
        <f>IF(原始经营数据!$D1010="","",T(原始经营数据!$J1010))</f>
        <v>平方米</v>
      </c>
      <c r="G1009" t="str">
        <f>IF(原始经营数据!$D1010="","",T(原始经营数据!$K1010))</f>
        <v/>
      </c>
      <c r="H1009" t="str">
        <f>IF(原始经营数据!$D1010="","",原始经营数据!$G1010)</f>
        <v>服务量</v>
      </c>
      <c r="I1009" t="str">
        <f>IF($A1009="","",IF($B1009&lt;&gt;"",$B1009,IF(COUNTIFS(原始经营数据!$D$3:$D$3001,$A1009,原始经营数据!$E$3:$E$3001,"",原始经营数据!$F$3:$F$3001,$C1009,原始经营数据!$H$3:$H$3001,$D1009,原始经营数据!$K$3:$K$3001,$G1009)&gt;1,"基金整体·来源"&amp;原始经营数据!$A1010,"基金整体")))</f>
        <v>长沙览秀城</v>
      </c>
      <c r="J1009" t="str">
        <f t="shared" si="228"/>
        <v>季度</v>
      </c>
      <c r="K1009" t="str">
        <f t="shared" si="229"/>
        <v>期末实际出租面积（平方米）</v>
      </c>
      <c r="L1009" t="str">
        <f t="shared" si="230"/>
        <v>长沙览秀城|期末实际出租面积（平方米）|季度</v>
      </c>
      <c r="M1009">
        <f>IF($A1009="",0,IF(COUNTIF($L$2:$L1009,$L1009)=1,1,0))</f>
        <v>0</v>
      </c>
      <c r="N1009">
        <f t="shared" si="231"/>
        <v>20253</v>
      </c>
      <c r="O1009" t="str">
        <f t="shared" si="232"/>
        <v>华夏金茂消费封闭式基础设施证券投资基金|2025Q3|季度</v>
      </c>
      <c r="P1009">
        <f>IF($A1009="",0,IF(COUNTIF($O$2:$O1009,$O1009)=1,1,0))</f>
        <v>0</v>
      </c>
      <c r="Q1009" t="str">
        <f>IF(AND($P1009=1,$A1009=经营数据!$B$3,$J1009=经营数据!$BA$5),COUNTIFS($P$2:$P$3000,1,$A$2:$A$3000,$A1009,$J$2:$J$3000,$J1009,$N$2:$N$3000,"&lt;"&amp;$N1009)+1,"")</f>
        <v/>
      </c>
      <c r="R1009" t="str">
        <f t="shared" si="233"/>
        <v>华夏金茂消费封闭式基础设施证券投资基金|长沙览秀城</v>
      </c>
      <c r="S1009">
        <f>IF($A1009="",0,IF(COUNTIF($R$2:$R1009,$R1009)=1,1,0))</f>
        <v>0</v>
      </c>
      <c r="T1009">
        <f t="shared" si="234"/>
        <v>964</v>
      </c>
      <c r="U1009" t="str">
        <f>IF($A1009="","",IF($A1009=经营数据!$B$3,COUNTIFS($S$2:$S$3000,1,$A$2:$A$3000,$A1009,$T$2:$T$3000,"&lt;"&amp;$T1009)+1,""))</f>
        <v/>
      </c>
      <c r="V1009" t="str">
        <f t="shared" si="235"/>
        <v>长沙览秀城|服务量</v>
      </c>
      <c r="W1009">
        <f t="shared" si="236"/>
        <v>964</v>
      </c>
      <c r="X1009" t="str">
        <f t="shared" si="237"/>
        <v>长沙览秀城|期末实际出租面积</v>
      </c>
      <c r="Y1009">
        <f t="shared" si="238"/>
        <v>967</v>
      </c>
      <c r="Z1009">
        <f>IF($A1009="",0,IF(AND($M1009=1,$A1009=经营数据!$B$3,$J1009=经营数据!$BA$5,OR($I1009=经营数据!$BA$4,COUNTIF(经营数据!$AA$9:$AA$38,$I1009)&gt;0)),1,0))</f>
        <v>0</v>
      </c>
      <c r="AA1009" t="str">
        <f t="shared" si="239"/>
        <v/>
      </c>
      <c r="AB1009" t="str">
        <f t="shared" si="240"/>
        <v/>
      </c>
      <c r="AC1009">
        <f>IF($A1009="",0,IF(COUNTIF($A$2:$A1009,$A1009)=1,1,0))</f>
        <v>0</v>
      </c>
      <c r="AD1009">
        <f t="shared" si="241"/>
        <v>9</v>
      </c>
      <c r="AE1009" t="str">
        <f t="shared" si="242"/>
        <v>长沙览秀城|期末实际出租面积（平方米）</v>
      </c>
    </row>
    <row r="1010" spans="1:31" x14ac:dyDescent="0.4">
      <c r="A1010" t="str">
        <f>IF(原始经营数据!$D1011="","",原始经营数据!$D1011)</f>
        <v>华夏金茂消费封闭式基础设施证券投资基金</v>
      </c>
      <c r="B1010" t="str">
        <f>IF(原始经营数据!$D1011="","",T(原始经营数据!$E1011))</f>
        <v>长沙览秀城</v>
      </c>
      <c r="C1010" t="str">
        <f>IF(原始经营数据!$D1011="","",原始经营数据!$F1011)</f>
        <v>2025Q3</v>
      </c>
      <c r="D1010" t="str">
        <f>IF(原始经营数据!$D1011="","",原始经营数据!$H1011)</f>
        <v>期末出租率</v>
      </c>
      <c r="E1010">
        <f>IF(原始经营数据!$D1011="","",原始经营数据!$I1011)</f>
        <v>98.64</v>
      </c>
      <c r="F1010" t="str">
        <f>IF(原始经营数据!$D1011="","",T(原始经营数据!$J1011))</f>
        <v>%</v>
      </c>
      <c r="G1010" t="str">
        <f>IF(原始经营数据!$D1011="","",T(原始经营数据!$K1011))</f>
        <v/>
      </c>
      <c r="H1010" t="str">
        <f>IF(原始经营数据!$D1011="","",原始经营数据!$G1011)</f>
        <v>服务效率</v>
      </c>
      <c r="I1010" t="str">
        <f>IF($A1010="","",IF($B1010&lt;&gt;"",$B1010,IF(COUNTIFS(原始经营数据!$D$3:$D$3001,$A1010,原始经营数据!$E$3:$E$3001,"",原始经营数据!$F$3:$F$3001,$C1010,原始经营数据!$H$3:$H$3001,$D1010,原始经营数据!$K$3:$K$3001,$G1010)&gt;1,"基金整体·来源"&amp;原始经营数据!$A1011,"基金整体")))</f>
        <v>长沙览秀城</v>
      </c>
      <c r="J1010" t="str">
        <f t="shared" si="228"/>
        <v>季度</v>
      </c>
      <c r="K1010" t="str">
        <f t="shared" si="229"/>
        <v>期末出租率（%）</v>
      </c>
      <c r="L1010" t="str">
        <f t="shared" si="230"/>
        <v>长沙览秀城|期末出租率（%）|季度</v>
      </c>
      <c r="M1010">
        <f>IF($A1010="",0,IF(COUNTIF($L$2:$L1010,$L1010)=1,1,0))</f>
        <v>0</v>
      </c>
      <c r="N1010">
        <f t="shared" si="231"/>
        <v>20253</v>
      </c>
      <c r="O1010" t="str">
        <f t="shared" si="232"/>
        <v>华夏金茂消费封闭式基础设施证券投资基金|2025Q3|季度</v>
      </c>
      <c r="P1010">
        <f>IF($A1010="",0,IF(COUNTIF($O$2:$O1010,$O1010)=1,1,0))</f>
        <v>0</v>
      </c>
      <c r="Q1010" t="str">
        <f>IF(AND($P1010=1,$A1010=经营数据!$B$3,$J1010=经营数据!$BA$5),COUNTIFS($P$2:$P$3000,1,$A$2:$A$3000,$A1010,$J$2:$J$3000,$J1010,$N$2:$N$3000,"&lt;"&amp;$N1010)+1,"")</f>
        <v/>
      </c>
      <c r="R1010" t="str">
        <f t="shared" si="233"/>
        <v>华夏金茂消费封闭式基础设施证券投资基金|长沙览秀城</v>
      </c>
      <c r="S1010">
        <f>IF($A1010="",0,IF(COUNTIF($R$2:$R1010,$R1010)=1,1,0))</f>
        <v>0</v>
      </c>
      <c r="T1010">
        <f t="shared" si="234"/>
        <v>964</v>
      </c>
      <c r="U1010" t="str">
        <f>IF($A1010="","",IF($A1010=经营数据!$B$3,COUNTIFS($S$2:$S$3000,1,$A$2:$A$3000,$A1010,$T$2:$T$3000,"&lt;"&amp;$T1010)+1,""))</f>
        <v/>
      </c>
      <c r="V1010" t="str">
        <f t="shared" si="235"/>
        <v>长沙览秀城|服务效率</v>
      </c>
      <c r="W1010">
        <f t="shared" si="236"/>
        <v>966</v>
      </c>
      <c r="X1010" t="str">
        <f t="shared" si="237"/>
        <v>长沙览秀城|期末出租率</v>
      </c>
      <c r="Y1010">
        <f t="shared" si="238"/>
        <v>966</v>
      </c>
      <c r="Z1010">
        <f>IF($A1010="",0,IF(AND($M1010=1,$A1010=经营数据!$B$3,$J1010=经营数据!$BA$5,OR($I1010=经营数据!$BA$4,COUNTIF(经营数据!$AA$9:$AA$38,$I1010)&gt;0)),1,0))</f>
        <v>0</v>
      </c>
      <c r="AA1010" t="str">
        <f t="shared" si="239"/>
        <v/>
      </c>
      <c r="AB1010" t="str">
        <f t="shared" si="240"/>
        <v/>
      </c>
      <c r="AC1010">
        <f>IF($A1010="",0,IF(COUNTIF($A$2:$A1010,$A1010)=1,1,0))</f>
        <v>0</v>
      </c>
      <c r="AD1010">
        <f t="shared" si="241"/>
        <v>9</v>
      </c>
      <c r="AE1010" t="str">
        <f t="shared" si="242"/>
        <v>长沙览秀城|期末出租率（%）</v>
      </c>
    </row>
    <row r="1011" spans="1:31" x14ac:dyDescent="0.4">
      <c r="A1011" t="str">
        <f>IF(原始经营数据!$D1012="","",原始经营数据!$D1012)</f>
        <v>华夏金茂消费封闭式基础设施证券投资基金</v>
      </c>
      <c r="B1011" t="str">
        <f>IF(原始经营数据!$D1012="","",T(原始经营数据!$E1012))</f>
        <v>长沙览秀城</v>
      </c>
      <c r="C1011" t="str">
        <f>IF(原始经营数据!$D1012="","",原始经营数据!$F1012)</f>
        <v>2025Q3</v>
      </c>
      <c r="D1011" t="str">
        <f>IF(原始经营数据!$D1012="","",原始经营数据!$H1012)</f>
        <v>期末加权平均剩余租期</v>
      </c>
      <c r="E1011">
        <f>IF(原始经营数据!$D1012="","",原始经营数据!$I1012)</f>
        <v>3.98</v>
      </c>
      <c r="F1011" t="str">
        <f>IF(原始经营数据!$D1012="","",T(原始经营数据!$J1012))</f>
        <v>年</v>
      </c>
      <c r="G1011" t="str">
        <f>IF(原始经营数据!$D1012="","",T(原始经营数据!$K1012))</f>
        <v/>
      </c>
      <c r="H1011" t="str">
        <f>IF(原始经营数据!$D1012="","",原始经营数据!$G1012)</f>
        <v>服务量</v>
      </c>
      <c r="I1011" t="str">
        <f>IF($A1011="","",IF($B1011&lt;&gt;"",$B1011,IF(COUNTIFS(原始经营数据!$D$3:$D$3001,$A1011,原始经营数据!$E$3:$E$3001,"",原始经营数据!$F$3:$F$3001,$C1011,原始经营数据!$H$3:$H$3001,$D1011,原始经营数据!$K$3:$K$3001,$G1011)&gt;1,"基金整体·来源"&amp;原始经营数据!$A1012,"基金整体")))</f>
        <v>长沙览秀城</v>
      </c>
      <c r="J1011" t="str">
        <f t="shared" si="228"/>
        <v>季度</v>
      </c>
      <c r="K1011" t="str">
        <f t="shared" si="229"/>
        <v>期末加权平均剩余租期（年）</v>
      </c>
      <c r="L1011" t="str">
        <f t="shared" si="230"/>
        <v>长沙览秀城|期末加权平均剩余租期（年）|季度</v>
      </c>
      <c r="M1011">
        <f>IF($A1011="",0,IF(COUNTIF($L$2:$L1011,$L1011)=1,1,0))</f>
        <v>0</v>
      </c>
      <c r="N1011">
        <f t="shared" si="231"/>
        <v>20253</v>
      </c>
      <c r="O1011" t="str">
        <f t="shared" si="232"/>
        <v>华夏金茂消费封闭式基础设施证券投资基金|2025Q3|季度</v>
      </c>
      <c r="P1011">
        <f>IF($A1011="",0,IF(COUNTIF($O$2:$O1011,$O1011)=1,1,0))</f>
        <v>0</v>
      </c>
      <c r="Q1011" t="str">
        <f>IF(AND($P1011=1,$A1011=经营数据!$B$3,$J1011=经营数据!$BA$5),COUNTIFS($P$2:$P$3000,1,$A$2:$A$3000,$A1011,$J$2:$J$3000,$J1011,$N$2:$N$3000,"&lt;"&amp;$N1011)+1,"")</f>
        <v/>
      </c>
      <c r="R1011" t="str">
        <f t="shared" si="233"/>
        <v>华夏金茂消费封闭式基础设施证券投资基金|长沙览秀城</v>
      </c>
      <c r="S1011">
        <f>IF($A1011="",0,IF(COUNTIF($R$2:$R1011,$R1011)=1,1,0))</f>
        <v>0</v>
      </c>
      <c r="T1011">
        <f t="shared" si="234"/>
        <v>964</v>
      </c>
      <c r="U1011" t="str">
        <f>IF($A1011="","",IF($A1011=经营数据!$B$3,COUNTIFS($S$2:$S$3000,1,$A$2:$A$3000,$A1011,$T$2:$T$3000,"&lt;"&amp;$T1011)+1,""))</f>
        <v/>
      </c>
      <c r="V1011" t="str">
        <f t="shared" si="235"/>
        <v>长沙览秀城|服务量</v>
      </c>
      <c r="W1011">
        <f t="shared" si="236"/>
        <v>964</v>
      </c>
      <c r="X1011" t="str">
        <f t="shared" si="237"/>
        <v>长沙览秀城|期末加权平均剩余租期</v>
      </c>
      <c r="Y1011">
        <f t="shared" si="238"/>
        <v>964</v>
      </c>
      <c r="Z1011">
        <f>IF($A1011="",0,IF(AND($M1011=1,$A1011=经营数据!$B$3,$J1011=经营数据!$BA$5,OR($I1011=经营数据!$BA$4,COUNTIF(经营数据!$AA$9:$AA$38,$I1011)&gt;0)),1,0))</f>
        <v>0</v>
      </c>
      <c r="AA1011" t="str">
        <f t="shared" si="239"/>
        <v/>
      </c>
      <c r="AB1011" t="str">
        <f t="shared" si="240"/>
        <v/>
      </c>
      <c r="AC1011">
        <f>IF($A1011="",0,IF(COUNTIF($A$2:$A1011,$A1011)=1,1,0))</f>
        <v>0</v>
      </c>
      <c r="AD1011">
        <f t="shared" si="241"/>
        <v>9</v>
      </c>
      <c r="AE1011" t="str">
        <f t="shared" si="242"/>
        <v>长沙览秀城|期末加权平均剩余租期（年）</v>
      </c>
    </row>
    <row r="1012" spans="1:31" x14ac:dyDescent="0.4">
      <c r="A1012" t="str">
        <f>IF(原始经营数据!$D1013="","",原始经营数据!$D1013)</f>
        <v>华夏金茂消费封闭式基础设施证券投资基金</v>
      </c>
      <c r="B1012" t="str">
        <f>IF(原始经营数据!$D1013="","",T(原始经营数据!$E1013))</f>
        <v>长沙览秀城</v>
      </c>
      <c r="C1012" t="str">
        <f>IF(原始经营数据!$D1013="","",原始经营数据!$F1013)</f>
        <v>2025Q3</v>
      </c>
      <c r="D1012" t="str">
        <f>IF(原始经营数据!$D1013="","",原始经营数据!$H1013)</f>
        <v>期末收缴率</v>
      </c>
      <c r="E1012">
        <f>IF(原始经营数据!$D1013="","",原始经营数据!$I1013)</f>
        <v>99.13</v>
      </c>
      <c r="F1012" t="str">
        <f>IF(原始经营数据!$D1013="","",T(原始经营数据!$J1013))</f>
        <v>%</v>
      </c>
      <c r="G1012" t="str">
        <f>IF(原始经营数据!$D1013="","",T(原始经营数据!$K1013))</f>
        <v/>
      </c>
      <c r="H1012" t="str">
        <f>IF(原始经营数据!$D1013="","",原始经营数据!$G1013)</f>
        <v>服务效率</v>
      </c>
      <c r="I1012" t="str">
        <f>IF($A1012="","",IF($B1012&lt;&gt;"",$B1012,IF(COUNTIFS(原始经营数据!$D$3:$D$3001,$A1012,原始经营数据!$E$3:$E$3001,"",原始经营数据!$F$3:$F$3001,$C1012,原始经营数据!$H$3:$H$3001,$D1012,原始经营数据!$K$3:$K$3001,$G1012)&gt;1,"基金整体·来源"&amp;原始经营数据!$A1013,"基金整体")))</f>
        <v>长沙览秀城</v>
      </c>
      <c r="J1012" t="str">
        <f t="shared" si="228"/>
        <v>季度</v>
      </c>
      <c r="K1012" t="str">
        <f t="shared" si="229"/>
        <v>期末收缴率（%）</v>
      </c>
      <c r="L1012" t="str">
        <f t="shared" si="230"/>
        <v>长沙览秀城|期末收缴率（%）|季度</v>
      </c>
      <c r="M1012">
        <f>IF($A1012="",0,IF(COUNTIF($L$2:$L1012,$L1012)=1,1,0))</f>
        <v>0</v>
      </c>
      <c r="N1012">
        <f t="shared" si="231"/>
        <v>20253</v>
      </c>
      <c r="O1012" t="str">
        <f t="shared" si="232"/>
        <v>华夏金茂消费封闭式基础设施证券投资基金|2025Q3|季度</v>
      </c>
      <c r="P1012">
        <f>IF($A1012="",0,IF(COUNTIF($O$2:$O1012,$O1012)=1,1,0))</f>
        <v>0</v>
      </c>
      <c r="Q1012" t="str">
        <f>IF(AND($P1012=1,$A1012=经营数据!$B$3,$J1012=经营数据!$BA$5),COUNTIFS($P$2:$P$3000,1,$A$2:$A$3000,$A1012,$J$2:$J$3000,$J1012,$N$2:$N$3000,"&lt;"&amp;$N1012)+1,"")</f>
        <v/>
      </c>
      <c r="R1012" t="str">
        <f t="shared" si="233"/>
        <v>华夏金茂消费封闭式基础设施证券投资基金|长沙览秀城</v>
      </c>
      <c r="S1012">
        <f>IF($A1012="",0,IF(COUNTIF($R$2:$R1012,$R1012)=1,1,0))</f>
        <v>0</v>
      </c>
      <c r="T1012">
        <f t="shared" si="234"/>
        <v>964</v>
      </c>
      <c r="U1012" t="str">
        <f>IF($A1012="","",IF($A1012=经营数据!$B$3,COUNTIFS($S$2:$S$3000,1,$A$2:$A$3000,$A1012,$T$2:$T$3000,"&lt;"&amp;$T1012)+1,""))</f>
        <v/>
      </c>
      <c r="V1012" t="str">
        <f t="shared" si="235"/>
        <v>长沙览秀城|服务效率</v>
      </c>
      <c r="W1012">
        <f t="shared" si="236"/>
        <v>966</v>
      </c>
      <c r="X1012" t="str">
        <f t="shared" si="237"/>
        <v>长沙览秀城|期末收缴率</v>
      </c>
      <c r="Y1012">
        <f t="shared" si="238"/>
        <v>969</v>
      </c>
      <c r="Z1012">
        <f>IF($A1012="",0,IF(AND($M1012=1,$A1012=经营数据!$B$3,$J1012=经营数据!$BA$5,OR($I1012=经营数据!$BA$4,COUNTIF(经营数据!$AA$9:$AA$38,$I1012)&gt;0)),1,0))</f>
        <v>0</v>
      </c>
      <c r="AA1012" t="str">
        <f t="shared" si="239"/>
        <v/>
      </c>
      <c r="AB1012" t="str">
        <f t="shared" si="240"/>
        <v/>
      </c>
      <c r="AC1012">
        <f>IF($A1012="",0,IF(COUNTIF($A$2:$A1012,$A1012)=1,1,0))</f>
        <v>0</v>
      </c>
      <c r="AD1012">
        <f t="shared" si="241"/>
        <v>9</v>
      </c>
      <c r="AE1012" t="str">
        <f t="shared" si="242"/>
        <v>长沙览秀城|期末收缴率（%）</v>
      </c>
    </row>
    <row r="1013" spans="1:31" x14ac:dyDescent="0.4">
      <c r="A1013" t="str">
        <f>IF(原始经营数据!$D1014="","",原始经营数据!$D1014)</f>
        <v>华夏金茂消费封闭式基础设施证券投资基金</v>
      </c>
      <c r="B1013" t="str">
        <f>IF(原始经营数据!$D1014="","",T(原始经营数据!$E1014))</f>
        <v>长沙览秀城</v>
      </c>
      <c r="C1013" t="str">
        <f>IF(原始经营数据!$D1014="","",原始经营数据!$F1014)</f>
        <v>2025Q4</v>
      </c>
      <c r="D1013" t="str">
        <f>IF(原始经营数据!$D1014="","",原始经营数据!$H1014)</f>
        <v>期末可供出租面积</v>
      </c>
      <c r="E1013">
        <f>IF(原始经营数据!$D1014="","",原始经营数据!$I1014)</f>
        <v>60938.42</v>
      </c>
      <c r="F1013" t="str">
        <f>IF(原始经营数据!$D1014="","",T(原始经营数据!$J1014))</f>
        <v>平方米</v>
      </c>
      <c r="G1013" t="str">
        <f>IF(原始经营数据!$D1014="","",T(原始经营数据!$K1014))</f>
        <v/>
      </c>
      <c r="H1013" t="str">
        <f>IF(原始经营数据!$D1014="","",原始经营数据!$G1014)</f>
        <v>服务量</v>
      </c>
      <c r="I1013" t="str">
        <f>IF($A1013="","",IF($B1013&lt;&gt;"",$B1013,IF(COUNTIFS(原始经营数据!$D$3:$D$3001,$A1013,原始经营数据!$E$3:$E$3001,"",原始经营数据!$F$3:$F$3001,$C1013,原始经营数据!$H$3:$H$3001,$D1013,原始经营数据!$K$3:$K$3001,$G1013)&gt;1,"基金整体·来源"&amp;原始经营数据!$A1014,"基金整体")))</f>
        <v>长沙览秀城</v>
      </c>
      <c r="J1013" t="str">
        <f t="shared" si="228"/>
        <v>季度</v>
      </c>
      <c r="K1013" t="str">
        <f t="shared" si="229"/>
        <v>期末可供出租面积（平方米）</v>
      </c>
      <c r="L1013" t="str">
        <f t="shared" si="230"/>
        <v>长沙览秀城|期末可供出租面积（平方米）|季度</v>
      </c>
      <c r="M1013">
        <f>IF($A1013="",0,IF(COUNTIF($L$2:$L1013,$L1013)=1,1,0))</f>
        <v>0</v>
      </c>
      <c r="N1013">
        <f t="shared" si="231"/>
        <v>20254</v>
      </c>
      <c r="O1013" t="str">
        <f t="shared" si="232"/>
        <v>华夏金茂消费封闭式基础设施证券投资基金|2025Q4|季度</v>
      </c>
      <c r="P1013">
        <f>IF($A1013="",0,IF(COUNTIF($O$2:$O1013,$O1013)=1,1,0))</f>
        <v>1</v>
      </c>
      <c r="Q1013" t="str">
        <f>IF(AND($P1013=1,$A1013=经营数据!$B$3,$J1013=经营数据!$BA$5),COUNTIFS($P$2:$P$3000,1,$A$2:$A$3000,$A1013,$J$2:$J$3000,$J1013,$N$2:$N$3000,"&lt;"&amp;$N1013)+1,"")</f>
        <v/>
      </c>
      <c r="R1013" t="str">
        <f t="shared" si="233"/>
        <v>华夏金茂消费封闭式基础设施证券投资基金|长沙览秀城</v>
      </c>
      <c r="S1013">
        <f>IF($A1013="",0,IF(COUNTIF($R$2:$R1013,$R1013)=1,1,0))</f>
        <v>0</v>
      </c>
      <c r="T1013">
        <f t="shared" si="234"/>
        <v>964</v>
      </c>
      <c r="U1013" t="str">
        <f>IF($A1013="","",IF($A1013=经营数据!$B$3,COUNTIFS($S$2:$S$3000,1,$A$2:$A$3000,$A1013,$T$2:$T$3000,"&lt;"&amp;$T1013)+1,""))</f>
        <v/>
      </c>
      <c r="V1013" t="str">
        <f t="shared" si="235"/>
        <v>长沙览秀城|服务量</v>
      </c>
      <c r="W1013">
        <f t="shared" si="236"/>
        <v>964</v>
      </c>
      <c r="X1013" t="str">
        <f t="shared" si="237"/>
        <v>长沙览秀城|期末可供出租面积</v>
      </c>
      <c r="Y1013">
        <f t="shared" si="238"/>
        <v>968</v>
      </c>
      <c r="Z1013">
        <f>IF($A1013="",0,IF(AND($M1013=1,$A1013=经营数据!$B$3,$J1013=经营数据!$BA$5,OR($I1013=经营数据!$BA$4,COUNTIF(经营数据!$AA$9:$AA$38,$I1013)&gt;0)),1,0))</f>
        <v>0</v>
      </c>
      <c r="AA1013" t="str">
        <f t="shared" si="239"/>
        <v/>
      </c>
      <c r="AB1013" t="str">
        <f t="shared" si="240"/>
        <v/>
      </c>
      <c r="AC1013">
        <f>IF($A1013="",0,IF(COUNTIF($A$2:$A1013,$A1013)=1,1,0))</f>
        <v>0</v>
      </c>
      <c r="AD1013">
        <f t="shared" si="241"/>
        <v>9</v>
      </c>
      <c r="AE1013" t="str">
        <f t="shared" si="242"/>
        <v>长沙览秀城|期末可供出租面积（平方米）</v>
      </c>
    </row>
    <row r="1014" spans="1:31" x14ac:dyDescent="0.4">
      <c r="A1014" t="str">
        <f>IF(原始经营数据!$D1015="","",原始经营数据!$D1015)</f>
        <v>华夏金茂消费封闭式基础设施证券投资基金</v>
      </c>
      <c r="B1014" t="str">
        <f>IF(原始经营数据!$D1015="","",T(原始经营数据!$E1015))</f>
        <v>长沙览秀城</v>
      </c>
      <c r="C1014" t="str">
        <f>IF(原始经营数据!$D1015="","",原始经营数据!$F1015)</f>
        <v>2025Q4</v>
      </c>
      <c r="D1014" t="str">
        <f>IF(原始经营数据!$D1015="","",原始经营数据!$H1015)</f>
        <v>期末实际出租面积</v>
      </c>
      <c r="E1014">
        <f>IF(原始经营数据!$D1015="","",原始经营数据!$I1015)</f>
        <v>60448.42</v>
      </c>
      <c r="F1014" t="str">
        <f>IF(原始经营数据!$D1015="","",T(原始经营数据!$J1015))</f>
        <v>平方米</v>
      </c>
      <c r="G1014" t="str">
        <f>IF(原始经营数据!$D1015="","",T(原始经营数据!$K1015))</f>
        <v/>
      </c>
      <c r="H1014" t="str">
        <f>IF(原始经营数据!$D1015="","",原始经营数据!$G1015)</f>
        <v>服务量</v>
      </c>
      <c r="I1014" t="str">
        <f>IF($A1014="","",IF($B1014&lt;&gt;"",$B1014,IF(COUNTIFS(原始经营数据!$D$3:$D$3001,$A1014,原始经营数据!$E$3:$E$3001,"",原始经营数据!$F$3:$F$3001,$C1014,原始经营数据!$H$3:$H$3001,$D1014,原始经营数据!$K$3:$K$3001,$G1014)&gt;1,"基金整体·来源"&amp;原始经营数据!$A1015,"基金整体")))</f>
        <v>长沙览秀城</v>
      </c>
      <c r="J1014" t="str">
        <f t="shared" si="228"/>
        <v>季度</v>
      </c>
      <c r="K1014" t="str">
        <f t="shared" si="229"/>
        <v>期末实际出租面积（平方米）</v>
      </c>
      <c r="L1014" t="str">
        <f t="shared" si="230"/>
        <v>长沙览秀城|期末实际出租面积（平方米）|季度</v>
      </c>
      <c r="M1014">
        <f>IF($A1014="",0,IF(COUNTIF($L$2:$L1014,$L1014)=1,1,0))</f>
        <v>0</v>
      </c>
      <c r="N1014">
        <f t="shared" si="231"/>
        <v>20254</v>
      </c>
      <c r="O1014" t="str">
        <f t="shared" si="232"/>
        <v>华夏金茂消费封闭式基础设施证券投资基金|2025Q4|季度</v>
      </c>
      <c r="P1014">
        <f>IF($A1014="",0,IF(COUNTIF($O$2:$O1014,$O1014)=1,1,0))</f>
        <v>0</v>
      </c>
      <c r="Q1014" t="str">
        <f>IF(AND($P1014=1,$A1014=经营数据!$B$3,$J1014=经营数据!$BA$5),COUNTIFS($P$2:$P$3000,1,$A$2:$A$3000,$A1014,$J$2:$J$3000,$J1014,$N$2:$N$3000,"&lt;"&amp;$N1014)+1,"")</f>
        <v/>
      </c>
      <c r="R1014" t="str">
        <f t="shared" si="233"/>
        <v>华夏金茂消费封闭式基础设施证券投资基金|长沙览秀城</v>
      </c>
      <c r="S1014">
        <f>IF($A1014="",0,IF(COUNTIF($R$2:$R1014,$R1014)=1,1,0))</f>
        <v>0</v>
      </c>
      <c r="T1014">
        <f t="shared" si="234"/>
        <v>964</v>
      </c>
      <c r="U1014" t="str">
        <f>IF($A1014="","",IF($A1014=经营数据!$B$3,COUNTIFS($S$2:$S$3000,1,$A$2:$A$3000,$A1014,$T$2:$T$3000,"&lt;"&amp;$T1014)+1,""))</f>
        <v/>
      </c>
      <c r="V1014" t="str">
        <f t="shared" si="235"/>
        <v>长沙览秀城|服务量</v>
      </c>
      <c r="W1014">
        <f t="shared" si="236"/>
        <v>964</v>
      </c>
      <c r="X1014" t="str">
        <f t="shared" si="237"/>
        <v>长沙览秀城|期末实际出租面积</v>
      </c>
      <c r="Y1014">
        <f t="shared" si="238"/>
        <v>967</v>
      </c>
      <c r="Z1014">
        <f>IF($A1014="",0,IF(AND($M1014=1,$A1014=经营数据!$B$3,$J1014=经营数据!$BA$5,OR($I1014=经营数据!$BA$4,COUNTIF(经营数据!$AA$9:$AA$38,$I1014)&gt;0)),1,0))</f>
        <v>0</v>
      </c>
      <c r="AA1014" t="str">
        <f t="shared" si="239"/>
        <v/>
      </c>
      <c r="AB1014" t="str">
        <f t="shared" si="240"/>
        <v/>
      </c>
      <c r="AC1014">
        <f>IF($A1014="",0,IF(COUNTIF($A$2:$A1014,$A1014)=1,1,0))</f>
        <v>0</v>
      </c>
      <c r="AD1014">
        <f t="shared" si="241"/>
        <v>9</v>
      </c>
      <c r="AE1014" t="str">
        <f t="shared" si="242"/>
        <v>长沙览秀城|期末实际出租面积（平方米）</v>
      </c>
    </row>
    <row r="1015" spans="1:31" x14ac:dyDescent="0.4">
      <c r="A1015" t="str">
        <f>IF(原始经营数据!$D1016="","",原始经营数据!$D1016)</f>
        <v>华夏金茂消费封闭式基础设施证券投资基金</v>
      </c>
      <c r="B1015" t="str">
        <f>IF(原始经营数据!$D1016="","",T(原始经营数据!$E1016))</f>
        <v>长沙览秀城</v>
      </c>
      <c r="C1015" t="str">
        <f>IF(原始经营数据!$D1016="","",原始经营数据!$F1016)</f>
        <v>2025Q4</v>
      </c>
      <c r="D1015" t="str">
        <f>IF(原始经营数据!$D1016="","",原始经营数据!$H1016)</f>
        <v>期末出租率</v>
      </c>
      <c r="E1015">
        <f>IF(原始经营数据!$D1016="","",原始经营数据!$I1016)</f>
        <v>99.2</v>
      </c>
      <c r="F1015" t="str">
        <f>IF(原始经营数据!$D1016="","",T(原始经营数据!$J1016))</f>
        <v>%</v>
      </c>
      <c r="G1015" t="str">
        <f>IF(原始经营数据!$D1016="","",T(原始经营数据!$K1016))</f>
        <v/>
      </c>
      <c r="H1015" t="str">
        <f>IF(原始经营数据!$D1016="","",原始经营数据!$G1016)</f>
        <v>服务效率</v>
      </c>
      <c r="I1015" t="str">
        <f>IF($A1015="","",IF($B1015&lt;&gt;"",$B1015,IF(COUNTIFS(原始经营数据!$D$3:$D$3001,$A1015,原始经营数据!$E$3:$E$3001,"",原始经营数据!$F$3:$F$3001,$C1015,原始经营数据!$H$3:$H$3001,$D1015,原始经营数据!$K$3:$K$3001,$G1015)&gt;1,"基金整体·来源"&amp;原始经营数据!$A1016,"基金整体")))</f>
        <v>长沙览秀城</v>
      </c>
      <c r="J1015" t="str">
        <f t="shared" si="228"/>
        <v>季度</v>
      </c>
      <c r="K1015" t="str">
        <f t="shared" si="229"/>
        <v>期末出租率（%）</v>
      </c>
      <c r="L1015" t="str">
        <f t="shared" si="230"/>
        <v>长沙览秀城|期末出租率（%）|季度</v>
      </c>
      <c r="M1015">
        <f>IF($A1015="",0,IF(COUNTIF($L$2:$L1015,$L1015)=1,1,0))</f>
        <v>0</v>
      </c>
      <c r="N1015">
        <f t="shared" si="231"/>
        <v>20254</v>
      </c>
      <c r="O1015" t="str">
        <f t="shared" si="232"/>
        <v>华夏金茂消费封闭式基础设施证券投资基金|2025Q4|季度</v>
      </c>
      <c r="P1015">
        <f>IF($A1015="",0,IF(COUNTIF($O$2:$O1015,$O1015)=1,1,0))</f>
        <v>0</v>
      </c>
      <c r="Q1015" t="str">
        <f>IF(AND($P1015=1,$A1015=经营数据!$B$3,$J1015=经营数据!$BA$5),COUNTIFS($P$2:$P$3000,1,$A$2:$A$3000,$A1015,$J$2:$J$3000,$J1015,$N$2:$N$3000,"&lt;"&amp;$N1015)+1,"")</f>
        <v/>
      </c>
      <c r="R1015" t="str">
        <f t="shared" si="233"/>
        <v>华夏金茂消费封闭式基础设施证券投资基金|长沙览秀城</v>
      </c>
      <c r="S1015">
        <f>IF($A1015="",0,IF(COUNTIF($R$2:$R1015,$R1015)=1,1,0))</f>
        <v>0</v>
      </c>
      <c r="T1015">
        <f t="shared" si="234"/>
        <v>964</v>
      </c>
      <c r="U1015" t="str">
        <f>IF($A1015="","",IF($A1015=经营数据!$B$3,COUNTIFS($S$2:$S$3000,1,$A$2:$A$3000,$A1015,$T$2:$T$3000,"&lt;"&amp;$T1015)+1,""))</f>
        <v/>
      </c>
      <c r="V1015" t="str">
        <f t="shared" si="235"/>
        <v>长沙览秀城|服务效率</v>
      </c>
      <c r="W1015">
        <f t="shared" si="236"/>
        <v>966</v>
      </c>
      <c r="X1015" t="str">
        <f t="shared" si="237"/>
        <v>长沙览秀城|期末出租率</v>
      </c>
      <c r="Y1015">
        <f t="shared" si="238"/>
        <v>966</v>
      </c>
      <c r="Z1015">
        <f>IF($A1015="",0,IF(AND($M1015=1,$A1015=经营数据!$B$3,$J1015=经营数据!$BA$5,OR($I1015=经营数据!$BA$4,COUNTIF(经营数据!$AA$9:$AA$38,$I1015)&gt;0)),1,0))</f>
        <v>0</v>
      </c>
      <c r="AA1015" t="str">
        <f t="shared" si="239"/>
        <v/>
      </c>
      <c r="AB1015" t="str">
        <f t="shared" si="240"/>
        <v/>
      </c>
      <c r="AC1015">
        <f>IF($A1015="",0,IF(COUNTIF($A$2:$A1015,$A1015)=1,1,0))</f>
        <v>0</v>
      </c>
      <c r="AD1015">
        <f t="shared" si="241"/>
        <v>9</v>
      </c>
      <c r="AE1015" t="str">
        <f t="shared" si="242"/>
        <v>长沙览秀城|期末出租率（%）</v>
      </c>
    </row>
    <row r="1016" spans="1:31" x14ac:dyDescent="0.4">
      <c r="A1016" t="str">
        <f>IF(原始经营数据!$D1017="","",原始经营数据!$D1017)</f>
        <v>华夏金茂消费封闭式基础设施证券投资基金</v>
      </c>
      <c r="B1016" t="str">
        <f>IF(原始经营数据!$D1017="","",T(原始经营数据!$E1017))</f>
        <v>长沙览秀城</v>
      </c>
      <c r="C1016" t="str">
        <f>IF(原始经营数据!$D1017="","",原始经营数据!$F1017)</f>
        <v>2025Q4</v>
      </c>
      <c r="D1016" t="str">
        <f>IF(原始经营数据!$D1017="","",原始经营数据!$H1017)</f>
        <v>期内租金单价水平</v>
      </c>
      <c r="E1016">
        <f>IF(原始经营数据!$D1017="","",原始经营数据!$I1017)</f>
        <v>92.01</v>
      </c>
      <c r="F1016" t="str">
        <f>IF(原始经营数据!$D1017="","",T(原始经营数据!$J1017))</f>
        <v>元/平方米/月</v>
      </c>
      <c r="G1016" t="str">
        <f>IF(原始经营数据!$D1017="","",T(原始经营数据!$K1017))</f>
        <v/>
      </c>
      <c r="H1016" t="str">
        <f>IF(原始经营数据!$D1017="","",原始经营数据!$G1017)</f>
        <v>服务价格</v>
      </c>
      <c r="I1016" t="str">
        <f>IF($A1016="","",IF($B1016&lt;&gt;"",$B1016,IF(COUNTIFS(原始经营数据!$D$3:$D$3001,$A1016,原始经营数据!$E$3:$E$3001,"",原始经营数据!$F$3:$F$3001,$C1016,原始经营数据!$H$3:$H$3001,$D1016,原始经营数据!$K$3:$K$3001,$G1016)&gt;1,"基金整体·来源"&amp;原始经营数据!$A1017,"基金整体")))</f>
        <v>长沙览秀城</v>
      </c>
      <c r="J1016" t="str">
        <f t="shared" si="228"/>
        <v>季度</v>
      </c>
      <c r="K1016" t="str">
        <f t="shared" si="229"/>
        <v>期内租金单价水平（元/平方米/月）</v>
      </c>
      <c r="L1016" t="str">
        <f t="shared" si="230"/>
        <v>长沙览秀城|期内租金单价水平（元/平方米/月）|季度</v>
      </c>
      <c r="M1016">
        <f>IF($A1016="",0,IF(COUNTIF($L$2:$L1016,$L1016)=1,1,0))</f>
        <v>0</v>
      </c>
      <c r="N1016">
        <f t="shared" si="231"/>
        <v>20254</v>
      </c>
      <c r="O1016" t="str">
        <f t="shared" si="232"/>
        <v>华夏金茂消费封闭式基础设施证券投资基金|2025Q4|季度</v>
      </c>
      <c r="P1016">
        <f>IF($A1016="",0,IF(COUNTIF($O$2:$O1016,$O1016)=1,1,0))</f>
        <v>0</v>
      </c>
      <c r="Q1016" t="str">
        <f>IF(AND($P1016=1,$A1016=经营数据!$B$3,$J1016=经营数据!$BA$5),COUNTIFS($P$2:$P$3000,1,$A$2:$A$3000,$A1016,$J$2:$J$3000,$J1016,$N$2:$N$3000,"&lt;"&amp;$N1016)+1,"")</f>
        <v/>
      </c>
      <c r="R1016" t="str">
        <f t="shared" si="233"/>
        <v>华夏金茂消费封闭式基础设施证券投资基金|长沙览秀城</v>
      </c>
      <c r="S1016">
        <f>IF($A1016="",0,IF(COUNTIF($R$2:$R1016,$R1016)=1,1,0))</f>
        <v>0</v>
      </c>
      <c r="T1016">
        <f t="shared" si="234"/>
        <v>964</v>
      </c>
      <c r="U1016" t="str">
        <f>IF($A1016="","",IF($A1016=经营数据!$B$3,COUNTIFS($S$2:$S$3000,1,$A$2:$A$3000,$A1016,$T$2:$T$3000,"&lt;"&amp;$T1016)+1,""))</f>
        <v/>
      </c>
      <c r="V1016" t="str">
        <f t="shared" si="235"/>
        <v>长沙览秀城|服务价格</v>
      </c>
      <c r="W1016">
        <f t="shared" si="236"/>
        <v>965</v>
      </c>
      <c r="X1016" t="str">
        <f t="shared" si="237"/>
        <v>长沙览秀城|期内租金单价水平</v>
      </c>
      <c r="Y1016">
        <f t="shared" si="238"/>
        <v>970</v>
      </c>
      <c r="Z1016">
        <f>IF($A1016="",0,IF(AND($M1016=1,$A1016=经营数据!$B$3,$J1016=经营数据!$BA$5,OR($I1016=经营数据!$BA$4,COUNTIF(经营数据!$AA$9:$AA$38,$I1016)&gt;0)),1,0))</f>
        <v>0</v>
      </c>
      <c r="AA1016" t="str">
        <f t="shared" si="239"/>
        <v/>
      </c>
      <c r="AB1016" t="str">
        <f t="shared" si="240"/>
        <v/>
      </c>
      <c r="AC1016">
        <f>IF($A1016="",0,IF(COUNTIF($A$2:$A1016,$A1016)=1,1,0))</f>
        <v>0</v>
      </c>
      <c r="AD1016">
        <f t="shared" si="241"/>
        <v>9</v>
      </c>
      <c r="AE1016" t="str">
        <f t="shared" si="242"/>
        <v>长沙览秀城|期内租金单价水平（元/平方米/月）</v>
      </c>
    </row>
    <row r="1017" spans="1:31" x14ac:dyDescent="0.4">
      <c r="A1017" t="str">
        <f>IF(原始经营数据!$D1018="","",原始经营数据!$D1018)</f>
        <v>华夏金茂消费封闭式基础设施证券投资基金</v>
      </c>
      <c r="B1017" t="str">
        <f>IF(原始经营数据!$D1018="","",T(原始经营数据!$E1018))</f>
        <v>长沙览秀城</v>
      </c>
      <c r="C1017" t="str">
        <f>IF(原始经营数据!$D1018="","",原始经营数据!$F1018)</f>
        <v>2025Q4</v>
      </c>
      <c r="D1017" t="str">
        <f>IF(原始经营数据!$D1018="","",原始经营数据!$H1018)</f>
        <v>期末加权平均剩余租期</v>
      </c>
      <c r="E1017">
        <f>IF(原始经营数据!$D1018="","",原始经营数据!$I1018)</f>
        <v>3.81</v>
      </c>
      <c r="F1017" t="str">
        <f>IF(原始经营数据!$D1018="","",T(原始经营数据!$J1018))</f>
        <v>年</v>
      </c>
      <c r="G1017" t="str">
        <f>IF(原始经营数据!$D1018="","",T(原始经营数据!$K1018))</f>
        <v/>
      </c>
      <c r="H1017" t="str">
        <f>IF(原始经营数据!$D1018="","",原始经营数据!$G1018)</f>
        <v>服务量</v>
      </c>
      <c r="I1017" t="str">
        <f>IF($A1017="","",IF($B1017&lt;&gt;"",$B1017,IF(COUNTIFS(原始经营数据!$D$3:$D$3001,$A1017,原始经营数据!$E$3:$E$3001,"",原始经营数据!$F$3:$F$3001,$C1017,原始经营数据!$H$3:$H$3001,$D1017,原始经营数据!$K$3:$K$3001,$G1017)&gt;1,"基金整体·来源"&amp;原始经营数据!$A1018,"基金整体")))</f>
        <v>长沙览秀城</v>
      </c>
      <c r="J1017" t="str">
        <f t="shared" si="228"/>
        <v>季度</v>
      </c>
      <c r="K1017" t="str">
        <f t="shared" si="229"/>
        <v>期末加权平均剩余租期（年）</v>
      </c>
      <c r="L1017" t="str">
        <f t="shared" si="230"/>
        <v>长沙览秀城|期末加权平均剩余租期（年）|季度</v>
      </c>
      <c r="M1017">
        <f>IF($A1017="",0,IF(COUNTIF($L$2:$L1017,$L1017)=1,1,0))</f>
        <v>0</v>
      </c>
      <c r="N1017">
        <f t="shared" si="231"/>
        <v>20254</v>
      </c>
      <c r="O1017" t="str">
        <f t="shared" si="232"/>
        <v>华夏金茂消费封闭式基础设施证券投资基金|2025Q4|季度</v>
      </c>
      <c r="P1017">
        <f>IF($A1017="",0,IF(COUNTIF($O$2:$O1017,$O1017)=1,1,0))</f>
        <v>0</v>
      </c>
      <c r="Q1017" t="str">
        <f>IF(AND($P1017=1,$A1017=经营数据!$B$3,$J1017=经营数据!$BA$5),COUNTIFS($P$2:$P$3000,1,$A$2:$A$3000,$A1017,$J$2:$J$3000,$J1017,$N$2:$N$3000,"&lt;"&amp;$N1017)+1,"")</f>
        <v/>
      </c>
      <c r="R1017" t="str">
        <f t="shared" si="233"/>
        <v>华夏金茂消费封闭式基础设施证券投资基金|长沙览秀城</v>
      </c>
      <c r="S1017">
        <f>IF($A1017="",0,IF(COUNTIF($R$2:$R1017,$R1017)=1,1,0))</f>
        <v>0</v>
      </c>
      <c r="T1017">
        <f t="shared" si="234"/>
        <v>964</v>
      </c>
      <c r="U1017" t="str">
        <f>IF($A1017="","",IF($A1017=经营数据!$B$3,COUNTIFS($S$2:$S$3000,1,$A$2:$A$3000,$A1017,$T$2:$T$3000,"&lt;"&amp;$T1017)+1,""))</f>
        <v/>
      </c>
      <c r="V1017" t="str">
        <f t="shared" si="235"/>
        <v>长沙览秀城|服务量</v>
      </c>
      <c r="W1017">
        <f t="shared" si="236"/>
        <v>964</v>
      </c>
      <c r="X1017" t="str">
        <f t="shared" si="237"/>
        <v>长沙览秀城|期末加权平均剩余租期</v>
      </c>
      <c r="Y1017">
        <f t="shared" si="238"/>
        <v>964</v>
      </c>
      <c r="Z1017">
        <f>IF($A1017="",0,IF(AND($M1017=1,$A1017=经营数据!$B$3,$J1017=经营数据!$BA$5,OR($I1017=经营数据!$BA$4,COUNTIF(经营数据!$AA$9:$AA$38,$I1017)&gt;0)),1,0))</f>
        <v>0</v>
      </c>
      <c r="AA1017" t="str">
        <f t="shared" si="239"/>
        <v/>
      </c>
      <c r="AB1017" t="str">
        <f t="shared" si="240"/>
        <v/>
      </c>
      <c r="AC1017">
        <f>IF($A1017="",0,IF(COUNTIF($A$2:$A1017,$A1017)=1,1,0))</f>
        <v>0</v>
      </c>
      <c r="AD1017">
        <f t="shared" si="241"/>
        <v>9</v>
      </c>
      <c r="AE1017" t="str">
        <f t="shared" si="242"/>
        <v>长沙览秀城|期末加权平均剩余租期（年）</v>
      </c>
    </row>
    <row r="1018" spans="1:31" x14ac:dyDescent="0.4">
      <c r="A1018" t="str">
        <f>IF(原始经营数据!$D1019="","",原始经营数据!$D1019)</f>
        <v>华夏金茂消费封闭式基础设施证券投资基金</v>
      </c>
      <c r="B1018" t="str">
        <f>IF(原始经营数据!$D1019="","",T(原始经营数据!$E1019))</f>
        <v>长沙览秀城</v>
      </c>
      <c r="C1018" t="str">
        <f>IF(原始经营数据!$D1019="","",原始经营数据!$F1019)</f>
        <v>2025Q4</v>
      </c>
      <c r="D1018" t="str">
        <f>IF(原始经营数据!$D1019="","",原始经营数据!$H1019)</f>
        <v>期末收缴率</v>
      </c>
      <c r="E1018">
        <f>IF(原始经营数据!$D1019="","",原始经营数据!$I1019)</f>
        <v>99.57</v>
      </c>
      <c r="F1018" t="str">
        <f>IF(原始经营数据!$D1019="","",T(原始经营数据!$J1019))</f>
        <v>%</v>
      </c>
      <c r="G1018" t="str">
        <f>IF(原始经营数据!$D1019="","",T(原始经营数据!$K1019))</f>
        <v/>
      </c>
      <c r="H1018" t="str">
        <f>IF(原始经营数据!$D1019="","",原始经营数据!$G1019)</f>
        <v>服务效率</v>
      </c>
      <c r="I1018" t="str">
        <f>IF($A1018="","",IF($B1018&lt;&gt;"",$B1018,IF(COUNTIFS(原始经营数据!$D$3:$D$3001,$A1018,原始经营数据!$E$3:$E$3001,"",原始经营数据!$F$3:$F$3001,$C1018,原始经营数据!$H$3:$H$3001,$D1018,原始经营数据!$K$3:$K$3001,$G1018)&gt;1,"基金整体·来源"&amp;原始经营数据!$A1019,"基金整体")))</f>
        <v>长沙览秀城</v>
      </c>
      <c r="J1018" t="str">
        <f t="shared" si="228"/>
        <v>季度</v>
      </c>
      <c r="K1018" t="str">
        <f t="shared" si="229"/>
        <v>期末收缴率（%）</v>
      </c>
      <c r="L1018" t="str">
        <f t="shared" si="230"/>
        <v>长沙览秀城|期末收缴率（%）|季度</v>
      </c>
      <c r="M1018">
        <f>IF($A1018="",0,IF(COUNTIF($L$2:$L1018,$L1018)=1,1,0))</f>
        <v>0</v>
      </c>
      <c r="N1018">
        <f t="shared" si="231"/>
        <v>20254</v>
      </c>
      <c r="O1018" t="str">
        <f t="shared" si="232"/>
        <v>华夏金茂消费封闭式基础设施证券投资基金|2025Q4|季度</v>
      </c>
      <c r="P1018">
        <f>IF($A1018="",0,IF(COUNTIF($O$2:$O1018,$O1018)=1,1,0))</f>
        <v>0</v>
      </c>
      <c r="Q1018" t="str">
        <f>IF(AND($P1018=1,$A1018=经营数据!$B$3,$J1018=经营数据!$BA$5),COUNTIFS($P$2:$P$3000,1,$A$2:$A$3000,$A1018,$J$2:$J$3000,$J1018,$N$2:$N$3000,"&lt;"&amp;$N1018)+1,"")</f>
        <v/>
      </c>
      <c r="R1018" t="str">
        <f t="shared" si="233"/>
        <v>华夏金茂消费封闭式基础设施证券投资基金|长沙览秀城</v>
      </c>
      <c r="S1018">
        <f>IF($A1018="",0,IF(COUNTIF($R$2:$R1018,$R1018)=1,1,0))</f>
        <v>0</v>
      </c>
      <c r="T1018">
        <f t="shared" si="234"/>
        <v>964</v>
      </c>
      <c r="U1018" t="str">
        <f>IF($A1018="","",IF($A1018=经营数据!$B$3,COUNTIFS($S$2:$S$3000,1,$A$2:$A$3000,$A1018,$T$2:$T$3000,"&lt;"&amp;$T1018)+1,""))</f>
        <v/>
      </c>
      <c r="V1018" t="str">
        <f t="shared" si="235"/>
        <v>长沙览秀城|服务效率</v>
      </c>
      <c r="W1018">
        <f t="shared" si="236"/>
        <v>966</v>
      </c>
      <c r="X1018" t="str">
        <f t="shared" si="237"/>
        <v>长沙览秀城|期末收缴率</v>
      </c>
      <c r="Y1018">
        <f t="shared" si="238"/>
        <v>969</v>
      </c>
      <c r="Z1018">
        <f>IF($A1018="",0,IF(AND($M1018=1,$A1018=经营数据!$B$3,$J1018=经营数据!$BA$5,OR($I1018=经营数据!$BA$4,COUNTIF(经营数据!$AA$9:$AA$38,$I1018)&gt;0)),1,0))</f>
        <v>0</v>
      </c>
      <c r="AA1018" t="str">
        <f t="shared" si="239"/>
        <v/>
      </c>
      <c r="AB1018" t="str">
        <f t="shared" si="240"/>
        <v/>
      </c>
      <c r="AC1018">
        <f>IF($A1018="",0,IF(COUNTIF($A$2:$A1018,$A1018)=1,1,0))</f>
        <v>0</v>
      </c>
      <c r="AD1018">
        <f t="shared" si="241"/>
        <v>9</v>
      </c>
      <c r="AE1018" t="str">
        <f t="shared" si="242"/>
        <v>长沙览秀城|期末收缴率（%）</v>
      </c>
    </row>
    <row r="1019" spans="1:31" x14ac:dyDescent="0.4">
      <c r="A1019" t="str">
        <f>IF(原始经营数据!$D1020="","",原始经营数据!$D1020)</f>
        <v>华夏金茂消费封闭式基础设施证券投资基金</v>
      </c>
      <c r="B1019" t="str">
        <f>IF(原始经营数据!$D1020="","",T(原始经营数据!$E1020))</f>
        <v>长沙览秀城</v>
      </c>
      <c r="C1019" t="str">
        <f>IF(原始经营数据!$D1020="","",原始经营数据!$F1020)</f>
        <v>2026Q1</v>
      </c>
      <c r="D1019" t="str">
        <f>IF(原始经营数据!$D1020="","",原始经营数据!$H1020)</f>
        <v>期末收缴率</v>
      </c>
      <c r="E1019">
        <f>IF(原始经营数据!$D1020="","",原始经营数据!$I1020)</f>
        <v>99.32</v>
      </c>
      <c r="F1019" t="str">
        <f>IF(原始经营数据!$D1020="","",T(原始经营数据!$J1020))</f>
        <v>%</v>
      </c>
      <c r="G1019" t="str">
        <f>IF(原始经营数据!$D1020="","",T(原始经营数据!$K1020))</f>
        <v/>
      </c>
      <c r="H1019" t="str">
        <f>IF(原始经营数据!$D1020="","",原始经营数据!$G1020)</f>
        <v>服务效率</v>
      </c>
      <c r="I1019" t="str">
        <f>IF($A1019="","",IF($B1019&lt;&gt;"",$B1019,IF(COUNTIFS(原始经营数据!$D$3:$D$3001,$A1019,原始经营数据!$E$3:$E$3001,"",原始经营数据!$F$3:$F$3001,$C1019,原始经营数据!$H$3:$H$3001,$D1019,原始经营数据!$K$3:$K$3001,$G1019)&gt;1,"基金整体·来源"&amp;原始经营数据!$A1020,"基金整体")))</f>
        <v>长沙览秀城</v>
      </c>
      <c r="J1019" t="str">
        <f t="shared" si="228"/>
        <v>季度</v>
      </c>
      <c r="K1019" t="str">
        <f t="shared" si="229"/>
        <v>期末收缴率（%）</v>
      </c>
      <c r="L1019" t="str">
        <f t="shared" si="230"/>
        <v>长沙览秀城|期末收缴率（%）|季度</v>
      </c>
      <c r="M1019">
        <f>IF($A1019="",0,IF(COUNTIF($L$2:$L1019,$L1019)=1,1,0))</f>
        <v>0</v>
      </c>
      <c r="N1019">
        <f t="shared" si="231"/>
        <v>20261</v>
      </c>
      <c r="O1019" t="str">
        <f t="shared" si="232"/>
        <v>华夏金茂消费封闭式基础设施证券投资基金|2026Q1|季度</v>
      </c>
      <c r="P1019">
        <f>IF($A1019="",0,IF(COUNTIF($O$2:$O1019,$O1019)=1,1,0))</f>
        <v>1</v>
      </c>
      <c r="Q1019" t="str">
        <f>IF(AND($P1019=1,$A1019=经营数据!$B$3,$J1019=经营数据!$BA$5),COUNTIFS($P$2:$P$3000,1,$A$2:$A$3000,$A1019,$J$2:$J$3000,$J1019,$N$2:$N$3000,"&lt;"&amp;$N1019)+1,"")</f>
        <v/>
      </c>
      <c r="R1019" t="str">
        <f t="shared" si="233"/>
        <v>华夏金茂消费封闭式基础设施证券投资基金|长沙览秀城</v>
      </c>
      <c r="S1019">
        <f>IF($A1019="",0,IF(COUNTIF($R$2:$R1019,$R1019)=1,1,0))</f>
        <v>0</v>
      </c>
      <c r="T1019">
        <f t="shared" si="234"/>
        <v>964</v>
      </c>
      <c r="U1019" t="str">
        <f>IF($A1019="","",IF($A1019=经营数据!$B$3,COUNTIFS($S$2:$S$3000,1,$A$2:$A$3000,$A1019,$T$2:$T$3000,"&lt;"&amp;$T1019)+1,""))</f>
        <v/>
      </c>
      <c r="V1019" t="str">
        <f t="shared" si="235"/>
        <v>长沙览秀城|服务效率</v>
      </c>
      <c r="W1019">
        <f t="shared" si="236"/>
        <v>966</v>
      </c>
      <c r="X1019" t="str">
        <f t="shared" si="237"/>
        <v>长沙览秀城|期末收缴率</v>
      </c>
      <c r="Y1019">
        <f t="shared" si="238"/>
        <v>969</v>
      </c>
      <c r="Z1019">
        <f>IF($A1019="",0,IF(AND($M1019=1,$A1019=经营数据!$B$3,$J1019=经营数据!$BA$5,OR($I1019=经营数据!$BA$4,COUNTIF(经营数据!$AA$9:$AA$38,$I1019)&gt;0)),1,0))</f>
        <v>0</v>
      </c>
      <c r="AA1019" t="str">
        <f t="shared" si="239"/>
        <v/>
      </c>
      <c r="AB1019" t="str">
        <f t="shared" si="240"/>
        <v/>
      </c>
      <c r="AC1019">
        <f>IF($A1019="",0,IF(COUNTIF($A$2:$A1019,$A1019)=1,1,0))</f>
        <v>0</v>
      </c>
      <c r="AD1019">
        <f t="shared" si="241"/>
        <v>9</v>
      </c>
      <c r="AE1019" t="str">
        <f t="shared" si="242"/>
        <v>长沙览秀城|期末收缴率（%）</v>
      </c>
    </row>
    <row r="1020" spans="1:31" x14ac:dyDescent="0.4">
      <c r="A1020" t="str">
        <f>IF(原始经营数据!$D1021="","",原始经营数据!$D1021)</f>
        <v>华夏金茂消费封闭式基础设施证券投资基金</v>
      </c>
      <c r="B1020" t="str">
        <f>IF(原始经营数据!$D1021="","",T(原始经营数据!$E1021))</f>
        <v>长沙览秀城</v>
      </c>
      <c r="C1020" t="str">
        <f>IF(原始经营数据!$D1021="","",原始经营数据!$F1021)</f>
        <v>2026Q1</v>
      </c>
      <c r="D1020" t="str">
        <f>IF(原始经营数据!$D1021="","",原始经营数据!$H1021)</f>
        <v>期末加权平均剩余租期</v>
      </c>
      <c r="E1020">
        <f>IF(原始经营数据!$D1021="","",原始经营数据!$I1021)</f>
        <v>3.9</v>
      </c>
      <c r="F1020" t="str">
        <f>IF(原始经营数据!$D1021="","",T(原始经营数据!$J1021))</f>
        <v>年</v>
      </c>
      <c r="G1020" t="str">
        <f>IF(原始经营数据!$D1021="","",T(原始经营数据!$K1021))</f>
        <v/>
      </c>
      <c r="H1020" t="str">
        <f>IF(原始经营数据!$D1021="","",原始经营数据!$G1021)</f>
        <v>服务量</v>
      </c>
      <c r="I1020" t="str">
        <f>IF($A1020="","",IF($B1020&lt;&gt;"",$B1020,IF(COUNTIFS(原始经营数据!$D$3:$D$3001,$A1020,原始经营数据!$E$3:$E$3001,"",原始经营数据!$F$3:$F$3001,$C1020,原始经营数据!$H$3:$H$3001,$D1020,原始经营数据!$K$3:$K$3001,$G1020)&gt;1,"基金整体·来源"&amp;原始经营数据!$A1021,"基金整体")))</f>
        <v>长沙览秀城</v>
      </c>
      <c r="J1020" t="str">
        <f t="shared" si="228"/>
        <v>季度</v>
      </c>
      <c r="K1020" t="str">
        <f t="shared" si="229"/>
        <v>期末加权平均剩余租期（年）</v>
      </c>
      <c r="L1020" t="str">
        <f t="shared" si="230"/>
        <v>长沙览秀城|期末加权平均剩余租期（年）|季度</v>
      </c>
      <c r="M1020">
        <f>IF($A1020="",0,IF(COUNTIF($L$2:$L1020,$L1020)=1,1,0))</f>
        <v>0</v>
      </c>
      <c r="N1020">
        <f t="shared" si="231"/>
        <v>20261</v>
      </c>
      <c r="O1020" t="str">
        <f t="shared" si="232"/>
        <v>华夏金茂消费封闭式基础设施证券投资基金|2026Q1|季度</v>
      </c>
      <c r="P1020">
        <f>IF($A1020="",0,IF(COUNTIF($O$2:$O1020,$O1020)=1,1,0))</f>
        <v>0</v>
      </c>
      <c r="Q1020" t="str">
        <f>IF(AND($P1020=1,$A1020=经营数据!$B$3,$J1020=经营数据!$BA$5),COUNTIFS($P$2:$P$3000,1,$A$2:$A$3000,$A1020,$J$2:$J$3000,$J1020,$N$2:$N$3000,"&lt;"&amp;$N1020)+1,"")</f>
        <v/>
      </c>
      <c r="R1020" t="str">
        <f t="shared" si="233"/>
        <v>华夏金茂消费封闭式基础设施证券投资基金|长沙览秀城</v>
      </c>
      <c r="S1020">
        <f>IF($A1020="",0,IF(COUNTIF($R$2:$R1020,$R1020)=1,1,0))</f>
        <v>0</v>
      </c>
      <c r="T1020">
        <f t="shared" si="234"/>
        <v>964</v>
      </c>
      <c r="U1020" t="str">
        <f>IF($A1020="","",IF($A1020=经营数据!$B$3,COUNTIFS($S$2:$S$3000,1,$A$2:$A$3000,$A1020,$T$2:$T$3000,"&lt;"&amp;$T1020)+1,""))</f>
        <v/>
      </c>
      <c r="V1020" t="str">
        <f t="shared" si="235"/>
        <v>长沙览秀城|服务量</v>
      </c>
      <c r="W1020">
        <f t="shared" si="236"/>
        <v>964</v>
      </c>
      <c r="X1020" t="str">
        <f t="shared" si="237"/>
        <v>长沙览秀城|期末加权平均剩余租期</v>
      </c>
      <c r="Y1020">
        <f t="shared" si="238"/>
        <v>964</v>
      </c>
      <c r="Z1020">
        <f>IF($A1020="",0,IF(AND($M1020=1,$A1020=经营数据!$B$3,$J1020=经营数据!$BA$5,OR($I1020=经营数据!$BA$4,COUNTIF(经营数据!$AA$9:$AA$38,$I1020)&gt;0)),1,0))</f>
        <v>0</v>
      </c>
      <c r="AA1020" t="str">
        <f t="shared" si="239"/>
        <v/>
      </c>
      <c r="AB1020" t="str">
        <f t="shared" si="240"/>
        <v/>
      </c>
      <c r="AC1020">
        <f>IF($A1020="",0,IF(COUNTIF($A$2:$A1020,$A1020)=1,1,0))</f>
        <v>0</v>
      </c>
      <c r="AD1020">
        <f t="shared" si="241"/>
        <v>9</v>
      </c>
      <c r="AE1020" t="str">
        <f t="shared" si="242"/>
        <v>长沙览秀城|期末加权平均剩余租期（年）</v>
      </c>
    </row>
    <row r="1021" spans="1:31" x14ac:dyDescent="0.4">
      <c r="A1021" t="str">
        <f>IF(原始经营数据!$D1022="","",原始经营数据!$D1022)</f>
        <v>华夏金茂消费封闭式基础设施证券投资基金</v>
      </c>
      <c r="B1021" t="str">
        <f>IF(原始经营数据!$D1022="","",T(原始经营数据!$E1022))</f>
        <v>长沙览秀城</v>
      </c>
      <c r="C1021" t="str">
        <f>IF(原始经营数据!$D1022="","",原始经营数据!$F1022)</f>
        <v>2026Q1</v>
      </c>
      <c r="D1021" t="str">
        <f>IF(原始经营数据!$D1022="","",原始经营数据!$H1022)</f>
        <v>期内租金单价水平</v>
      </c>
      <c r="E1021">
        <f>IF(原始经营数据!$D1022="","",原始经营数据!$I1022)</f>
        <v>91.77</v>
      </c>
      <c r="F1021" t="str">
        <f>IF(原始经营数据!$D1022="","",T(原始经营数据!$J1022))</f>
        <v>元/平方米/月</v>
      </c>
      <c r="G1021" t="str">
        <f>IF(原始经营数据!$D1022="","",T(原始经营数据!$K1022))</f>
        <v/>
      </c>
      <c r="H1021" t="str">
        <f>IF(原始经营数据!$D1022="","",原始经营数据!$G1022)</f>
        <v>服务价格</v>
      </c>
      <c r="I1021" t="str">
        <f>IF($A1021="","",IF($B1021&lt;&gt;"",$B1021,IF(COUNTIFS(原始经营数据!$D$3:$D$3001,$A1021,原始经营数据!$E$3:$E$3001,"",原始经营数据!$F$3:$F$3001,$C1021,原始经营数据!$H$3:$H$3001,$D1021,原始经营数据!$K$3:$K$3001,$G1021)&gt;1,"基金整体·来源"&amp;原始经营数据!$A1022,"基金整体")))</f>
        <v>长沙览秀城</v>
      </c>
      <c r="J1021" t="str">
        <f t="shared" si="228"/>
        <v>季度</v>
      </c>
      <c r="K1021" t="str">
        <f t="shared" si="229"/>
        <v>期内租金单价水平（元/平方米/月）</v>
      </c>
      <c r="L1021" t="str">
        <f t="shared" si="230"/>
        <v>长沙览秀城|期内租金单价水平（元/平方米/月）|季度</v>
      </c>
      <c r="M1021">
        <f>IF($A1021="",0,IF(COUNTIF($L$2:$L1021,$L1021)=1,1,0))</f>
        <v>0</v>
      </c>
      <c r="N1021">
        <f t="shared" si="231"/>
        <v>20261</v>
      </c>
      <c r="O1021" t="str">
        <f t="shared" si="232"/>
        <v>华夏金茂消费封闭式基础设施证券投资基金|2026Q1|季度</v>
      </c>
      <c r="P1021">
        <f>IF($A1021="",0,IF(COUNTIF($O$2:$O1021,$O1021)=1,1,0))</f>
        <v>0</v>
      </c>
      <c r="Q1021" t="str">
        <f>IF(AND($P1021=1,$A1021=经营数据!$B$3,$J1021=经营数据!$BA$5),COUNTIFS($P$2:$P$3000,1,$A$2:$A$3000,$A1021,$J$2:$J$3000,$J1021,$N$2:$N$3000,"&lt;"&amp;$N1021)+1,"")</f>
        <v/>
      </c>
      <c r="R1021" t="str">
        <f t="shared" si="233"/>
        <v>华夏金茂消费封闭式基础设施证券投资基金|长沙览秀城</v>
      </c>
      <c r="S1021">
        <f>IF($A1021="",0,IF(COUNTIF($R$2:$R1021,$R1021)=1,1,0))</f>
        <v>0</v>
      </c>
      <c r="T1021">
        <f t="shared" si="234"/>
        <v>964</v>
      </c>
      <c r="U1021" t="str">
        <f>IF($A1021="","",IF($A1021=经营数据!$B$3,COUNTIFS($S$2:$S$3000,1,$A$2:$A$3000,$A1021,$T$2:$T$3000,"&lt;"&amp;$T1021)+1,""))</f>
        <v/>
      </c>
      <c r="V1021" t="str">
        <f t="shared" si="235"/>
        <v>长沙览秀城|服务价格</v>
      </c>
      <c r="W1021">
        <f t="shared" si="236"/>
        <v>965</v>
      </c>
      <c r="X1021" t="str">
        <f t="shared" si="237"/>
        <v>长沙览秀城|期内租金单价水平</v>
      </c>
      <c r="Y1021">
        <f t="shared" si="238"/>
        <v>970</v>
      </c>
      <c r="Z1021">
        <f>IF($A1021="",0,IF(AND($M1021=1,$A1021=经营数据!$B$3,$J1021=经营数据!$BA$5,OR($I1021=经营数据!$BA$4,COUNTIF(经营数据!$AA$9:$AA$38,$I1021)&gt;0)),1,0))</f>
        <v>0</v>
      </c>
      <c r="AA1021" t="str">
        <f t="shared" si="239"/>
        <v/>
      </c>
      <c r="AB1021" t="str">
        <f t="shared" si="240"/>
        <v/>
      </c>
      <c r="AC1021">
        <f>IF($A1021="",0,IF(COUNTIF($A$2:$A1021,$A1021)=1,1,0))</f>
        <v>0</v>
      </c>
      <c r="AD1021">
        <f t="shared" si="241"/>
        <v>9</v>
      </c>
      <c r="AE1021" t="str">
        <f t="shared" si="242"/>
        <v>长沙览秀城|期内租金单价水平（元/平方米/月）</v>
      </c>
    </row>
    <row r="1022" spans="1:31" x14ac:dyDescent="0.4">
      <c r="A1022" t="str">
        <f>IF(原始经营数据!$D1023="","",原始经营数据!$D1023)</f>
        <v>华夏金茂消费封闭式基础设施证券投资基金</v>
      </c>
      <c r="B1022" t="str">
        <f>IF(原始经营数据!$D1023="","",T(原始经营数据!$E1023))</f>
        <v>长沙览秀城</v>
      </c>
      <c r="C1022" t="str">
        <f>IF(原始经营数据!$D1023="","",原始经营数据!$F1023)</f>
        <v>2026Q1</v>
      </c>
      <c r="D1022" t="str">
        <f>IF(原始经营数据!$D1023="","",原始经营数据!$H1023)</f>
        <v>期末出租率</v>
      </c>
      <c r="E1022">
        <f>IF(原始经营数据!$D1023="","",原始经营数据!$I1023)</f>
        <v>99.22</v>
      </c>
      <c r="F1022" t="str">
        <f>IF(原始经营数据!$D1023="","",T(原始经营数据!$J1023))</f>
        <v>%</v>
      </c>
      <c r="G1022" t="str">
        <f>IF(原始经营数据!$D1023="","",T(原始经营数据!$K1023))</f>
        <v/>
      </c>
      <c r="H1022" t="str">
        <f>IF(原始经营数据!$D1023="","",原始经营数据!$G1023)</f>
        <v>服务效率</v>
      </c>
      <c r="I1022" t="str">
        <f>IF($A1022="","",IF($B1022&lt;&gt;"",$B1022,IF(COUNTIFS(原始经营数据!$D$3:$D$3001,$A1022,原始经营数据!$E$3:$E$3001,"",原始经营数据!$F$3:$F$3001,$C1022,原始经营数据!$H$3:$H$3001,$D1022,原始经营数据!$K$3:$K$3001,$G1022)&gt;1,"基金整体·来源"&amp;原始经营数据!$A1023,"基金整体")))</f>
        <v>长沙览秀城</v>
      </c>
      <c r="J1022" t="str">
        <f t="shared" si="228"/>
        <v>季度</v>
      </c>
      <c r="K1022" t="str">
        <f t="shared" si="229"/>
        <v>期末出租率（%）</v>
      </c>
      <c r="L1022" t="str">
        <f t="shared" si="230"/>
        <v>长沙览秀城|期末出租率（%）|季度</v>
      </c>
      <c r="M1022">
        <f>IF($A1022="",0,IF(COUNTIF($L$2:$L1022,$L1022)=1,1,0))</f>
        <v>0</v>
      </c>
      <c r="N1022">
        <f t="shared" si="231"/>
        <v>20261</v>
      </c>
      <c r="O1022" t="str">
        <f t="shared" si="232"/>
        <v>华夏金茂消费封闭式基础设施证券投资基金|2026Q1|季度</v>
      </c>
      <c r="P1022">
        <f>IF($A1022="",0,IF(COUNTIF($O$2:$O1022,$O1022)=1,1,0))</f>
        <v>0</v>
      </c>
      <c r="Q1022" t="str">
        <f>IF(AND($P1022=1,$A1022=经营数据!$B$3,$J1022=经营数据!$BA$5),COUNTIFS($P$2:$P$3000,1,$A$2:$A$3000,$A1022,$J$2:$J$3000,$J1022,$N$2:$N$3000,"&lt;"&amp;$N1022)+1,"")</f>
        <v/>
      </c>
      <c r="R1022" t="str">
        <f t="shared" si="233"/>
        <v>华夏金茂消费封闭式基础设施证券投资基金|长沙览秀城</v>
      </c>
      <c r="S1022">
        <f>IF($A1022="",0,IF(COUNTIF($R$2:$R1022,$R1022)=1,1,0))</f>
        <v>0</v>
      </c>
      <c r="T1022">
        <f t="shared" si="234"/>
        <v>964</v>
      </c>
      <c r="U1022" t="str">
        <f>IF($A1022="","",IF($A1022=经营数据!$B$3,COUNTIFS($S$2:$S$3000,1,$A$2:$A$3000,$A1022,$T$2:$T$3000,"&lt;"&amp;$T1022)+1,""))</f>
        <v/>
      </c>
      <c r="V1022" t="str">
        <f t="shared" si="235"/>
        <v>长沙览秀城|服务效率</v>
      </c>
      <c r="W1022">
        <f t="shared" si="236"/>
        <v>966</v>
      </c>
      <c r="X1022" t="str">
        <f t="shared" si="237"/>
        <v>长沙览秀城|期末出租率</v>
      </c>
      <c r="Y1022">
        <f t="shared" si="238"/>
        <v>966</v>
      </c>
      <c r="Z1022">
        <f>IF($A1022="",0,IF(AND($M1022=1,$A1022=经营数据!$B$3,$J1022=经营数据!$BA$5,OR($I1022=经营数据!$BA$4,COUNTIF(经营数据!$AA$9:$AA$38,$I1022)&gt;0)),1,0))</f>
        <v>0</v>
      </c>
      <c r="AA1022" t="str">
        <f t="shared" si="239"/>
        <v/>
      </c>
      <c r="AB1022" t="str">
        <f t="shared" si="240"/>
        <v/>
      </c>
      <c r="AC1022">
        <f>IF($A1022="",0,IF(COUNTIF($A$2:$A1022,$A1022)=1,1,0))</f>
        <v>0</v>
      </c>
      <c r="AD1022">
        <f t="shared" si="241"/>
        <v>9</v>
      </c>
      <c r="AE1022" t="str">
        <f t="shared" si="242"/>
        <v>长沙览秀城|期末出租率（%）</v>
      </c>
    </row>
    <row r="1023" spans="1:31" x14ac:dyDescent="0.4">
      <c r="A1023" t="str">
        <f>IF(原始经营数据!$D1024="","",原始经营数据!$D1024)</f>
        <v>华夏金茂消费封闭式基础设施证券投资基金</v>
      </c>
      <c r="B1023" t="str">
        <f>IF(原始经营数据!$D1024="","",T(原始经营数据!$E1024))</f>
        <v>长沙览秀城</v>
      </c>
      <c r="C1023" t="str">
        <f>IF(原始经营数据!$D1024="","",原始经营数据!$F1024)</f>
        <v>2026Q1</v>
      </c>
      <c r="D1023" t="str">
        <f>IF(原始经营数据!$D1024="","",原始经营数据!$H1024)</f>
        <v>期末实际出租面积</v>
      </c>
      <c r="E1023">
        <f>IF(原始经营数据!$D1024="","",原始经营数据!$I1024)</f>
        <v>60465.32</v>
      </c>
      <c r="F1023" t="str">
        <f>IF(原始经营数据!$D1024="","",T(原始经营数据!$J1024))</f>
        <v>平方米</v>
      </c>
      <c r="G1023" t="str">
        <f>IF(原始经营数据!$D1024="","",T(原始经营数据!$K1024))</f>
        <v/>
      </c>
      <c r="H1023" t="str">
        <f>IF(原始经营数据!$D1024="","",原始经营数据!$G1024)</f>
        <v>服务量</v>
      </c>
      <c r="I1023" t="str">
        <f>IF($A1023="","",IF($B1023&lt;&gt;"",$B1023,IF(COUNTIFS(原始经营数据!$D$3:$D$3001,$A1023,原始经营数据!$E$3:$E$3001,"",原始经营数据!$F$3:$F$3001,$C1023,原始经营数据!$H$3:$H$3001,$D1023,原始经营数据!$K$3:$K$3001,$G1023)&gt;1,"基金整体·来源"&amp;原始经营数据!$A1024,"基金整体")))</f>
        <v>长沙览秀城</v>
      </c>
      <c r="J1023" t="str">
        <f t="shared" si="228"/>
        <v>季度</v>
      </c>
      <c r="K1023" t="str">
        <f t="shared" si="229"/>
        <v>期末实际出租面积（平方米）</v>
      </c>
      <c r="L1023" t="str">
        <f t="shared" si="230"/>
        <v>长沙览秀城|期末实际出租面积（平方米）|季度</v>
      </c>
      <c r="M1023">
        <f>IF($A1023="",0,IF(COUNTIF($L$2:$L1023,$L1023)=1,1,0))</f>
        <v>0</v>
      </c>
      <c r="N1023">
        <f t="shared" si="231"/>
        <v>20261</v>
      </c>
      <c r="O1023" t="str">
        <f t="shared" si="232"/>
        <v>华夏金茂消费封闭式基础设施证券投资基金|2026Q1|季度</v>
      </c>
      <c r="P1023">
        <f>IF($A1023="",0,IF(COUNTIF($O$2:$O1023,$O1023)=1,1,0))</f>
        <v>0</v>
      </c>
      <c r="Q1023" t="str">
        <f>IF(AND($P1023=1,$A1023=经营数据!$B$3,$J1023=经营数据!$BA$5),COUNTIFS($P$2:$P$3000,1,$A$2:$A$3000,$A1023,$J$2:$J$3000,$J1023,$N$2:$N$3000,"&lt;"&amp;$N1023)+1,"")</f>
        <v/>
      </c>
      <c r="R1023" t="str">
        <f t="shared" si="233"/>
        <v>华夏金茂消费封闭式基础设施证券投资基金|长沙览秀城</v>
      </c>
      <c r="S1023">
        <f>IF($A1023="",0,IF(COUNTIF($R$2:$R1023,$R1023)=1,1,0))</f>
        <v>0</v>
      </c>
      <c r="T1023">
        <f t="shared" si="234"/>
        <v>964</v>
      </c>
      <c r="U1023" t="str">
        <f>IF($A1023="","",IF($A1023=经营数据!$B$3,COUNTIFS($S$2:$S$3000,1,$A$2:$A$3000,$A1023,$T$2:$T$3000,"&lt;"&amp;$T1023)+1,""))</f>
        <v/>
      </c>
      <c r="V1023" t="str">
        <f t="shared" si="235"/>
        <v>长沙览秀城|服务量</v>
      </c>
      <c r="W1023">
        <f t="shared" si="236"/>
        <v>964</v>
      </c>
      <c r="X1023" t="str">
        <f t="shared" si="237"/>
        <v>长沙览秀城|期末实际出租面积</v>
      </c>
      <c r="Y1023">
        <f t="shared" si="238"/>
        <v>967</v>
      </c>
      <c r="Z1023">
        <f>IF($A1023="",0,IF(AND($M1023=1,$A1023=经营数据!$B$3,$J1023=经营数据!$BA$5,OR($I1023=经营数据!$BA$4,COUNTIF(经营数据!$AA$9:$AA$38,$I1023)&gt;0)),1,0))</f>
        <v>0</v>
      </c>
      <c r="AA1023" t="str">
        <f t="shared" si="239"/>
        <v/>
      </c>
      <c r="AB1023" t="str">
        <f t="shared" si="240"/>
        <v/>
      </c>
      <c r="AC1023">
        <f>IF($A1023="",0,IF(COUNTIF($A$2:$A1023,$A1023)=1,1,0))</f>
        <v>0</v>
      </c>
      <c r="AD1023">
        <f t="shared" si="241"/>
        <v>9</v>
      </c>
      <c r="AE1023" t="str">
        <f t="shared" si="242"/>
        <v>长沙览秀城|期末实际出租面积（平方米）</v>
      </c>
    </row>
    <row r="1024" spans="1:31" x14ac:dyDescent="0.4">
      <c r="A1024" t="str">
        <f>IF(原始经营数据!$D1025="","",原始经营数据!$D1025)</f>
        <v>华夏金茂消费封闭式基础设施证券投资基金</v>
      </c>
      <c r="B1024" t="str">
        <f>IF(原始经营数据!$D1025="","",T(原始经营数据!$E1025))</f>
        <v>长沙览秀城</v>
      </c>
      <c r="C1024" t="str">
        <f>IF(原始经营数据!$D1025="","",原始经营数据!$F1025)</f>
        <v>2026Q1</v>
      </c>
      <c r="D1024" t="str">
        <f>IF(原始经营数据!$D1025="","",原始经营数据!$H1025)</f>
        <v>期末可供出租面积</v>
      </c>
      <c r="E1024">
        <f>IF(原始经营数据!$D1025="","",原始经营数据!$I1025)</f>
        <v>60938.42</v>
      </c>
      <c r="F1024" t="str">
        <f>IF(原始经营数据!$D1025="","",T(原始经营数据!$J1025))</f>
        <v>平方米</v>
      </c>
      <c r="G1024" t="str">
        <f>IF(原始经营数据!$D1025="","",T(原始经营数据!$K1025))</f>
        <v/>
      </c>
      <c r="H1024" t="str">
        <f>IF(原始经营数据!$D1025="","",原始经营数据!$G1025)</f>
        <v>服务量</v>
      </c>
      <c r="I1024" t="str">
        <f>IF($A1024="","",IF($B1024&lt;&gt;"",$B1024,IF(COUNTIFS(原始经营数据!$D$3:$D$3001,$A1024,原始经营数据!$E$3:$E$3001,"",原始经营数据!$F$3:$F$3001,$C1024,原始经营数据!$H$3:$H$3001,$D1024,原始经营数据!$K$3:$K$3001,$G1024)&gt;1,"基金整体·来源"&amp;原始经营数据!$A1025,"基金整体")))</f>
        <v>长沙览秀城</v>
      </c>
      <c r="J1024" t="str">
        <f t="shared" si="228"/>
        <v>季度</v>
      </c>
      <c r="K1024" t="str">
        <f t="shared" si="229"/>
        <v>期末可供出租面积（平方米）</v>
      </c>
      <c r="L1024" t="str">
        <f t="shared" si="230"/>
        <v>长沙览秀城|期末可供出租面积（平方米）|季度</v>
      </c>
      <c r="M1024">
        <f>IF($A1024="",0,IF(COUNTIF($L$2:$L1024,$L1024)=1,1,0))</f>
        <v>0</v>
      </c>
      <c r="N1024">
        <f t="shared" si="231"/>
        <v>20261</v>
      </c>
      <c r="O1024" t="str">
        <f t="shared" si="232"/>
        <v>华夏金茂消费封闭式基础设施证券投资基金|2026Q1|季度</v>
      </c>
      <c r="P1024">
        <f>IF($A1024="",0,IF(COUNTIF($O$2:$O1024,$O1024)=1,1,0))</f>
        <v>0</v>
      </c>
      <c r="Q1024" t="str">
        <f>IF(AND($P1024=1,$A1024=经营数据!$B$3,$J1024=经营数据!$BA$5),COUNTIFS($P$2:$P$3000,1,$A$2:$A$3000,$A1024,$J$2:$J$3000,$J1024,$N$2:$N$3000,"&lt;"&amp;$N1024)+1,"")</f>
        <v/>
      </c>
      <c r="R1024" t="str">
        <f t="shared" si="233"/>
        <v>华夏金茂消费封闭式基础设施证券投资基金|长沙览秀城</v>
      </c>
      <c r="S1024">
        <f>IF($A1024="",0,IF(COUNTIF($R$2:$R1024,$R1024)=1,1,0))</f>
        <v>0</v>
      </c>
      <c r="T1024">
        <f t="shared" si="234"/>
        <v>964</v>
      </c>
      <c r="U1024" t="str">
        <f>IF($A1024="","",IF($A1024=经营数据!$B$3,COUNTIFS($S$2:$S$3000,1,$A$2:$A$3000,$A1024,$T$2:$T$3000,"&lt;"&amp;$T1024)+1,""))</f>
        <v/>
      </c>
      <c r="V1024" t="str">
        <f t="shared" si="235"/>
        <v>长沙览秀城|服务量</v>
      </c>
      <c r="W1024">
        <f t="shared" si="236"/>
        <v>964</v>
      </c>
      <c r="X1024" t="str">
        <f t="shared" si="237"/>
        <v>长沙览秀城|期末可供出租面积</v>
      </c>
      <c r="Y1024">
        <f t="shared" si="238"/>
        <v>968</v>
      </c>
      <c r="Z1024">
        <f>IF($A1024="",0,IF(AND($M1024=1,$A1024=经营数据!$B$3,$J1024=经营数据!$BA$5,OR($I1024=经营数据!$BA$4,COUNTIF(经营数据!$AA$9:$AA$38,$I1024)&gt;0)),1,0))</f>
        <v>0</v>
      </c>
      <c r="AA1024" t="str">
        <f t="shared" si="239"/>
        <v/>
      </c>
      <c r="AB1024" t="str">
        <f t="shared" si="240"/>
        <v/>
      </c>
      <c r="AC1024">
        <f>IF($A1024="",0,IF(COUNTIF($A$2:$A1024,$A1024)=1,1,0))</f>
        <v>0</v>
      </c>
      <c r="AD1024">
        <f t="shared" si="241"/>
        <v>9</v>
      </c>
      <c r="AE1024" t="str">
        <f t="shared" si="242"/>
        <v>长沙览秀城|期末可供出租面积（平方米）</v>
      </c>
    </row>
    <row r="1025" spans="1:31" x14ac:dyDescent="0.4">
      <c r="A1025" t="str">
        <f>IF(原始经营数据!$D1026="","",原始经营数据!$D1026)</f>
        <v>华夏金茂消费封闭式基础设施证券投资基金</v>
      </c>
      <c r="B1025" t="str">
        <f>IF(原始经营数据!$D1026="","",T(原始经营数据!$E1026))</f>
        <v>长沙览秀城</v>
      </c>
      <c r="C1025" t="str">
        <f>IF(原始经营数据!$D1026="","",原始经营数据!$F1026)</f>
        <v>2026Q2</v>
      </c>
      <c r="D1025" t="str">
        <f>IF(原始经营数据!$D1026="","",原始经营数据!$H1026)</f>
        <v>期末收缴率</v>
      </c>
      <c r="E1025">
        <f>IF(原始经营数据!$D1026="","",原始经营数据!$I1026)</f>
        <v>99.51</v>
      </c>
      <c r="F1025" t="str">
        <f>IF(原始经营数据!$D1026="","",T(原始经营数据!$J1026))</f>
        <v>%</v>
      </c>
      <c r="G1025" t="str">
        <f>IF(原始经营数据!$D1026="","",T(原始经营数据!$K1026))</f>
        <v/>
      </c>
      <c r="H1025" t="str">
        <f>IF(原始经营数据!$D1026="","",原始经营数据!$G1026)</f>
        <v>服务效率</v>
      </c>
      <c r="I1025" t="str">
        <f>IF($A1025="","",IF($B1025&lt;&gt;"",$B1025,IF(COUNTIFS(原始经营数据!$D$3:$D$3001,$A1025,原始经营数据!$E$3:$E$3001,"",原始经营数据!$F$3:$F$3001,$C1025,原始经营数据!$H$3:$H$3001,$D1025,原始经营数据!$K$3:$K$3001,$G1025)&gt;1,"基金整体·来源"&amp;原始经营数据!$A1026,"基金整体")))</f>
        <v>长沙览秀城</v>
      </c>
      <c r="J1025" t="str">
        <f t="shared" si="228"/>
        <v>季度</v>
      </c>
      <c r="K1025" t="str">
        <f t="shared" si="229"/>
        <v>期末收缴率（%）</v>
      </c>
      <c r="L1025" t="str">
        <f t="shared" si="230"/>
        <v>长沙览秀城|期末收缴率（%）|季度</v>
      </c>
      <c r="M1025">
        <f>IF($A1025="",0,IF(COUNTIF($L$2:$L1025,$L1025)=1,1,0))</f>
        <v>0</v>
      </c>
      <c r="N1025">
        <f t="shared" si="231"/>
        <v>20262</v>
      </c>
      <c r="O1025" t="str">
        <f t="shared" si="232"/>
        <v>华夏金茂消费封闭式基础设施证券投资基金|2026Q2|季度</v>
      </c>
      <c r="P1025">
        <f>IF($A1025="",0,IF(COUNTIF($O$2:$O1025,$O1025)=1,1,0))</f>
        <v>1</v>
      </c>
      <c r="Q1025" t="str">
        <f>IF(AND($P1025=1,$A1025=经营数据!$B$3,$J1025=经营数据!$BA$5),COUNTIFS($P$2:$P$3000,1,$A$2:$A$3000,$A1025,$J$2:$J$3000,$J1025,$N$2:$N$3000,"&lt;"&amp;$N1025)+1,"")</f>
        <v/>
      </c>
      <c r="R1025" t="str">
        <f t="shared" si="233"/>
        <v>华夏金茂消费封闭式基础设施证券投资基金|长沙览秀城</v>
      </c>
      <c r="S1025">
        <f>IF($A1025="",0,IF(COUNTIF($R$2:$R1025,$R1025)=1,1,0))</f>
        <v>0</v>
      </c>
      <c r="T1025">
        <f t="shared" si="234"/>
        <v>964</v>
      </c>
      <c r="U1025" t="str">
        <f>IF($A1025="","",IF($A1025=经营数据!$B$3,COUNTIFS($S$2:$S$3000,1,$A$2:$A$3000,$A1025,$T$2:$T$3000,"&lt;"&amp;$T1025)+1,""))</f>
        <v/>
      </c>
      <c r="V1025" t="str">
        <f t="shared" si="235"/>
        <v>长沙览秀城|服务效率</v>
      </c>
      <c r="W1025">
        <f t="shared" si="236"/>
        <v>966</v>
      </c>
      <c r="X1025" t="str">
        <f t="shared" si="237"/>
        <v>长沙览秀城|期末收缴率</v>
      </c>
      <c r="Y1025">
        <f t="shared" si="238"/>
        <v>969</v>
      </c>
      <c r="Z1025">
        <f>IF($A1025="",0,IF(AND($M1025=1,$A1025=经营数据!$B$3,$J1025=经营数据!$BA$5,OR($I1025=经营数据!$BA$4,COUNTIF(经营数据!$AA$9:$AA$38,$I1025)&gt;0)),1,0))</f>
        <v>0</v>
      </c>
      <c r="AA1025" t="str">
        <f t="shared" si="239"/>
        <v/>
      </c>
      <c r="AB1025" t="str">
        <f t="shared" si="240"/>
        <v/>
      </c>
      <c r="AC1025">
        <f>IF($A1025="",0,IF(COUNTIF($A$2:$A1025,$A1025)=1,1,0))</f>
        <v>0</v>
      </c>
      <c r="AD1025">
        <f t="shared" si="241"/>
        <v>9</v>
      </c>
      <c r="AE1025" t="str">
        <f t="shared" si="242"/>
        <v>长沙览秀城|期末收缴率（%）</v>
      </c>
    </row>
    <row r="1026" spans="1:31" x14ac:dyDescent="0.4">
      <c r="A1026" t="str">
        <f>IF(原始经营数据!$D1027="","",原始经营数据!$D1027)</f>
        <v>华夏金茂消费封闭式基础设施证券投资基金</v>
      </c>
      <c r="B1026" t="str">
        <f>IF(原始经营数据!$D1027="","",T(原始经营数据!$E1027))</f>
        <v>长沙览秀城</v>
      </c>
      <c r="C1026" t="str">
        <f>IF(原始经营数据!$D1027="","",原始经营数据!$F1027)</f>
        <v>2026Q2</v>
      </c>
      <c r="D1026" t="str">
        <f>IF(原始经营数据!$D1027="","",原始经营数据!$H1027)</f>
        <v>期末加权平均剩余租期</v>
      </c>
      <c r="E1026">
        <f>IF(原始经营数据!$D1027="","",原始经营数据!$I1027)</f>
        <v>3.73</v>
      </c>
      <c r="F1026" t="str">
        <f>IF(原始经营数据!$D1027="","",T(原始经营数据!$J1027))</f>
        <v>年</v>
      </c>
      <c r="G1026" t="str">
        <f>IF(原始经营数据!$D1027="","",T(原始经营数据!$K1027))</f>
        <v/>
      </c>
      <c r="H1026" t="str">
        <f>IF(原始经营数据!$D1027="","",原始经营数据!$G1027)</f>
        <v>服务量</v>
      </c>
      <c r="I1026" t="str">
        <f>IF($A1026="","",IF($B1026&lt;&gt;"",$B1026,IF(COUNTIFS(原始经营数据!$D$3:$D$3001,$A1026,原始经营数据!$E$3:$E$3001,"",原始经营数据!$F$3:$F$3001,$C1026,原始经营数据!$H$3:$H$3001,$D1026,原始经营数据!$K$3:$K$3001,$G1026)&gt;1,"基金整体·来源"&amp;原始经营数据!$A1027,"基金整体")))</f>
        <v>长沙览秀城</v>
      </c>
      <c r="J1026" t="str">
        <f t="shared" ref="J1026:J1089" si="243">IF($A1026="","",IF(LEN($C1026)=4,"年度",IF(AND(LEN($C1026)=6,ISNUMBER(SEARCH("Q",$C1026))),"季度","其他期间")))</f>
        <v>季度</v>
      </c>
      <c r="K1026" t="str">
        <f t="shared" ref="K1026:K1089" si="244">IF($A1026="","",$D1026&amp;IF($G1026="","","-"&amp;SUBSTITUTE($G1026,CHAR(10),""))&amp;IF($F1026="","","（"&amp;$F1026&amp;"）"))</f>
        <v>期末加权平均剩余租期（年）</v>
      </c>
      <c r="L1026" t="str">
        <f t="shared" ref="L1026:L1089" si="245">IF($A1026="","",$I1026&amp;"|"&amp;$K1026&amp;"|"&amp;$J1026)</f>
        <v>长沙览秀城|期末加权平均剩余租期（年）|季度</v>
      </c>
      <c r="M1026">
        <f>IF($A1026="",0,IF(COUNTIF($L$2:$L1026,$L1026)=1,1,0))</f>
        <v>0</v>
      </c>
      <c r="N1026">
        <f t="shared" ref="N1026:N1089" si="246">IF($A1026="","",IF($J1026="年度",VALUE($C1026)*10,IF($J1026="季度",VALUE(LEFT($C1026,4))*10+VALUE(RIGHT($C1026,1)),VALUE(LEFT($C1026,4))*10+9)))</f>
        <v>20262</v>
      </c>
      <c r="O1026" t="str">
        <f t="shared" ref="O1026:O1089" si="247">IF($A1026="","",$A1026&amp;"|"&amp;$C1026&amp;"|"&amp;$J1026)</f>
        <v>华夏金茂消费封闭式基础设施证券投资基金|2026Q2|季度</v>
      </c>
      <c r="P1026">
        <f>IF($A1026="",0,IF(COUNTIF($O$2:$O1026,$O1026)=1,1,0))</f>
        <v>0</v>
      </c>
      <c r="Q1026" t="str">
        <f>IF(AND($P1026=1,$A1026=经营数据!$B$3,$J1026=经营数据!$BA$5),COUNTIFS($P$2:$P$3000,1,$A$2:$A$3000,$A1026,$J$2:$J$3000,$J1026,$N$2:$N$3000,"&lt;"&amp;$N1026)+1,"")</f>
        <v/>
      </c>
      <c r="R1026" t="str">
        <f t="shared" ref="R1026:R1089" si="248">IF($A1026="","",$A1026&amp;"|"&amp;$I1026)</f>
        <v>华夏金茂消费封闭式基础设施证券投资基金|长沙览秀城</v>
      </c>
      <c r="S1026">
        <f>IF($A1026="",0,IF(COUNTIF($R$2:$R1026,$R1026)=1,1,0))</f>
        <v>0</v>
      </c>
      <c r="T1026">
        <f t="shared" ref="T1026:T1089" si="249">IF($A1026="","",MATCH($R1026,$R$2:$R$3000,0))</f>
        <v>964</v>
      </c>
      <c r="U1026" t="str">
        <f>IF($A1026="","",IF($A1026=经营数据!$B$3,COUNTIFS($S$2:$S$3000,1,$A$2:$A$3000,$A1026,$T$2:$T$3000,"&lt;"&amp;$T1026)+1,""))</f>
        <v/>
      </c>
      <c r="V1026" t="str">
        <f t="shared" ref="V1026:V1089" si="250">IF($A1026="","",$I1026&amp;"|"&amp;$H1026)</f>
        <v>长沙览秀城|服务量</v>
      </c>
      <c r="W1026">
        <f t="shared" ref="W1026:W1089" si="251">IF($A1026="","",MATCH($V1026,$V$2:$V$3000,0))</f>
        <v>964</v>
      </c>
      <c r="X1026" t="str">
        <f t="shared" ref="X1026:X1089" si="252">IF($A1026="","",$I1026&amp;"|"&amp;$D1026)</f>
        <v>长沙览秀城|期末加权平均剩余租期</v>
      </c>
      <c r="Y1026">
        <f t="shared" ref="Y1026:Y1089" si="253">IF($A1026="","",MATCH($X1026,$X$2:$X$3000,0))</f>
        <v>964</v>
      </c>
      <c r="Z1026">
        <f>IF($A1026="",0,IF(AND($M1026=1,$A1026=经营数据!$B$3,$J1026=经营数据!$BA$5,OR($I1026=经营数据!$BA$4,COUNTIF(经营数据!$AA$9:$AA$38,$I1026)&gt;0)),1,0))</f>
        <v>0</v>
      </c>
      <c r="AA1026" t="str">
        <f t="shared" ref="AA1026:AA1089" si="254">IF($Z1026=1,$U1026*1000000000000+$W1026*100000000+$Y1026*10000+ROW(),"")</f>
        <v/>
      </c>
      <c r="AB1026" t="str">
        <f t="shared" ref="AB1026:AB1089" si="255">IF($Z1026=1,COUNTIFS($Z$2:$Z$3000,1,$AA$2:$AA$3000,"&lt;"&amp;$AA1026)+1,"")</f>
        <v/>
      </c>
      <c r="AC1026">
        <f>IF($A1026="",0,IF(COUNTIF($A$2:$A1026,$A1026)=1,1,0))</f>
        <v>0</v>
      </c>
      <c r="AD1026">
        <f t="shared" ref="AD1026:AD1089" si="256">IF($A1026="",N(AD1025),IF($AC1026=1,N(AD1025)+1,N(AD1025)))</f>
        <v>9</v>
      </c>
      <c r="AE1026" t="str">
        <f t="shared" ref="AE1026:AE1089" si="257">IF($A1026="","",$I1026&amp;"|"&amp;$K1026)</f>
        <v>长沙览秀城|期末加权平均剩余租期（年）</v>
      </c>
    </row>
    <row r="1027" spans="1:31" x14ac:dyDescent="0.4">
      <c r="A1027" t="str">
        <f>IF(原始经营数据!$D1028="","",原始经营数据!$D1028)</f>
        <v>华夏金茂消费封闭式基础设施证券投资基金</v>
      </c>
      <c r="B1027" t="str">
        <f>IF(原始经营数据!$D1028="","",T(原始经营数据!$E1028))</f>
        <v>长沙览秀城</v>
      </c>
      <c r="C1027" t="str">
        <f>IF(原始经营数据!$D1028="","",原始经营数据!$F1028)</f>
        <v>2026Q2</v>
      </c>
      <c r="D1027" t="str">
        <f>IF(原始经营数据!$D1028="","",原始经营数据!$H1028)</f>
        <v>期内租金单价水平</v>
      </c>
      <c r="E1027">
        <f>IF(原始经营数据!$D1028="","",原始经营数据!$I1028)</f>
        <v>92.77</v>
      </c>
      <c r="F1027" t="str">
        <f>IF(原始经营数据!$D1028="","",T(原始经营数据!$J1028))</f>
        <v>元/平方米/月</v>
      </c>
      <c r="G1027" t="str">
        <f>IF(原始经营数据!$D1028="","",T(原始经营数据!$K1028))</f>
        <v/>
      </c>
      <c r="H1027" t="str">
        <f>IF(原始经营数据!$D1028="","",原始经营数据!$G1028)</f>
        <v>服务价格</v>
      </c>
      <c r="I1027" t="str">
        <f>IF($A1027="","",IF($B1027&lt;&gt;"",$B1027,IF(COUNTIFS(原始经营数据!$D$3:$D$3001,$A1027,原始经营数据!$E$3:$E$3001,"",原始经营数据!$F$3:$F$3001,$C1027,原始经营数据!$H$3:$H$3001,$D1027,原始经营数据!$K$3:$K$3001,$G1027)&gt;1,"基金整体·来源"&amp;原始经营数据!$A1028,"基金整体")))</f>
        <v>长沙览秀城</v>
      </c>
      <c r="J1027" t="str">
        <f t="shared" si="243"/>
        <v>季度</v>
      </c>
      <c r="K1027" t="str">
        <f t="shared" si="244"/>
        <v>期内租金单价水平（元/平方米/月）</v>
      </c>
      <c r="L1027" t="str">
        <f t="shared" si="245"/>
        <v>长沙览秀城|期内租金单价水平（元/平方米/月）|季度</v>
      </c>
      <c r="M1027">
        <f>IF($A1027="",0,IF(COUNTIF($L$2:$L1027,$L1027)=1,1,0))</f>
        <v>0</v>
      </c>
      <c r="N1027">
        <f t="shared" si="246"/>
        <v>20262</v>
      </c>
      <c r="O1027" t="str">
        <f t="shared" si="247"/>
        <v>华夏金茂消费封闭式基础设施证券投资基金|2026Q2|季度</v>
      </c>
      <c r="P1027">
        <f>IF($A1027="",0,IF(COUNTIF($O$2:$O1027,$O1027)=1,1,0))</f>
        <v>0</v>
      </c>
      <c r="Q1027" t="str">
        <f>IF(AND($P1027=1,$A1027=经营数据!$B$3,$J1027=经营数据!$BA$5),COUNTIFS($P$2:$P$3000,1,$A$2:$A$3000,$A1027,$J$2:$J$3000,$J1027,$N$2:$N$3000,"&lt;"&amp;$N1027)+1,"")</f>
        <v/>
      </c>
      <c r="R1027" t="str">
        <f t="shared" si="248"/>
        <v>华夏金茂消费封闭式基础设施证券投资基金|长沙览秀城</v>
      </c>
      <c r="S1027">
        <f>IF($A1027="",0,IF(COUNTIF($R$2:$R1027,$R1027)=1,1,0))</f>
        <v>0</v>
      </c>
      <c r="T1027">
        <f t="shared" si="249"/>
        <v>964</v>
      </c>
      <c r="U1027" t="str">
        <f>IF($A1027="","",IF($A1027=经营数据!$B$3,COUNTIFS($S$2:$S$3000,1,$A$2:$A$3000,$A1027,$T$2:$T$3000,"&lt;"&amp;$T1027)+1,""))</f>
        <v/>
      </c>
      <c r="V1027" t="str">
        <f t="shared" si="250"/>
        <v>长沙览秀城|服务价格</v>
      </c>
      <c r="W1027">
        <f t="shared" si="251"/>
        <v>965</v>
      </c>
      <c r="X1027" t="str">
        <f t="shared" si="252"/>
        <v>长沙览秀城|期内租金单价水平</v>
      </c>
      <c r="Y1027">
        <f t="shared" si="253"/>
        <v>970</v>
      </c>
      <c r="Z1027">
        <f>IF($A1027="",0,IF(AND($M1027=1,$A1027=经营数据!$B$3,$J1027=经营数据!$BA$5,OR($I1027=经营数据!$BA$4,COUNTIF(经营数据!$AA$9:$AA$38,$I1027)&gt;0)),1,0))</f>
        <v>0</v>
      </c>
      <c r="AA1027" t="str">
        <f t="shared" si="254"/>
        <v/>
      </c>
      <c r="AB1027" t="str">
        <f t="shared" si="255"/>
        <v/>
      </c>
      <c r="AC1027">
        <f>IF($A1027="",0,IF(COUNTIF($A$2:$A1027,$A1027)=1,1,0))</f>
        <v>0</v>
      </c>
      <c r="AD1027">
        <f t="shared" si="256"/>
        <v>9</v>
      </c>
      <c r="AE1027" t="str">
        <f t="shared" si="257"/>
        <v>长沙览秀城|期内租金单价水平（元/平方米/月）</v>
      </c>
    </row>
    <row r="1028" spans="1:31" x14ac:dyDescent="0.4">
      <c r="A1028" t="str">
        <f>IF(原始经营数据!$D1029="","",原始经营数据!$D1029)</f>
        <v>华夏金茂消费封闭式基础设施证券投资基金</v>
      </c>
      <c r="B1028" t="str">
        <f>IF(原始经营数据!$D1029="","",T(原始经营数据!$E1029))</f>
        <v>长沙览秀城</v>
      </c>
      <c r="C1028" t="str">
        <f>IF(原始经营数据!$D1029="","",原始经营数据!$F1029)</f>
        <v>2026Q2</v>
      </c>
      <c r="D1028" t="str">
        <f>IF(原始经营数据!$D1029="","",原始经营数据!$H1029)</f>
        <v>期末出租率</v>
      </c>
      <c r="E1028">
        <f>IF(原始经营数据!$D1029="","",原始经营数据!$I1029)</f>
        <v>99.67</v>
      </c>
      <c r="F1028" t="str">
        <f>IF(原始经营数据!$D1029="","",T(原始经营数据!$J1029))</f>
        <v>%</v>
      </c>
      <c r="G1028" t="str">
        <f>IF(原始经营数据!$D1029="","",T(原始经营数据!$K1029))</f>
        <v/>
      </c>
      <c r="H1028" t="str">
        <f>IF(原始经营数据!$D1029="","",原始经营数据!$G1029)</f>
        <v>服务效率</v>
      </c>
      <c r="I1028" t="str">
        <f>IF($A1028="","",IF($B1028&lt;&gt;"",$B1028,IF(COUNTIFS(原始经营数据!$D$3:$D$3001,$A1028,原始经营数据!$E$3:$E$3001,"",原始经营数据!$F$3:$F$3001,$C1028,原始经营数据!$H$3:$H$3001,$D1028,原始经营数据!$K$3:$K$3001,$G1028)&gt;1,"基金整体·来源"&amp;原始经营数据!$A1029,"基金整体")))</f>
        <v>长沙览秀城</v>
      </c>
      <c r="J1028" t="str">
        <f t="shared" si="243"/>
        <v>季度</v>
      </c>
      <c r="K1028" t="str">
        <f t="shared" si="244"/>
        <v>期末出租率（%）</v>
      </c>
      <c r="L1028" t="str">
        <f t="shared" si="245"/>
        <v>长沙览秀城|期末出租率（%）|季度</v>
      </c>
      <c r="M1028">
        <f>IF($A1028="",0,IF(COUNTIF($L$2:$L1028,$L1028)=1,1,0))</f>
        <v>0</v>
      </c>
      <c r="N1028">
        <f t="shared" si="246"/>
        <v>20262</v>
      </c>
      <c r="O1028" t="str">
        <f t="shared" si="247"/>
        <v>华夏金茂消费封闭式基础设施证券投资基金|2026Q2|季度</v>
      </c>
      <c r="P1028">
        <f>IF($A1028="",0,IF(COUNTIF($O$2:$O1028,$O1028)=1,1,0))</f>
        <v>0</v>
      </c>
      <c r="Q1028" t="str">
        <f>IF(AND($P1028=1,$A1028=经营数据!$B$3,$J1028=经营数据!$BA$5),COUNTIFS($P$2:$P$3000,1,$A$2:$A$3000,$A1028,$J$2:$J$3000,$J1028,$N$2:$N$3000,"&lt;"&amp;$N1028)+1,"")</f>
        <v/>
      </c>
      <c r="R1028" t="str">
        <f t="shared" si="248"/>
        <v>华夏金茂消费封闭式基础设施证券投资基金|长沙览秀城</v>
      </c>
      <c r="S1028">
        <f>IF($A1028="",0,IF(COUNTIF($R$2:$R1028,$R1028)=1,1,0))</f>
        <v>0</v>
      </c>
      <c r="T1028">
        <f t="shared" si="249"/>
        <v>964</v>
      </c>
      <c r="U1028" t="str">
        <f>IF($A1028="","",IF($A1028=经营数据!$B$3,COUNTIFS($S$2:$S$3000,1,$A$2:$A$3000,$A1028,$T$2:$T$3000,"&lt;"&amp;$T1028)+1,""))</f>
        <v/>
      </c>
      <c r="V1028" t="str">
        <f t="shared" si="250"/>
        <v>长沙览秀城|服务效率</v>
      </c>
      <c r="W1028">
        <f t="shared" si="251"/>
        <v>966</v>
      </c>
      <c r="X1028" t="str">
        <f t="shared" si="252"/>
        <v>长沙览秀城|期末出租率</v>
      </c>
      <c r="Y1028">
        <f t="shared" si="253"/>
        <v>966</v>
      </c>
      <c r="Z1028">
        <f>IF($A1028="",0,IF(AND($M1028=1,$A1028=经营数据!$B$3,$J1028=经营数据!$BA$5,OR($I1028=经营数据!$BA$4,COUNTIF(经营数据!$AA$9:$AA$38,$I1028)&gt;0)),1,0))</f>
        <v>0</v>
      </c>
      <c r="AA1028" t="str">
        <f t="shared" si="254"/>
        <v/>
      </c>
      <c r="AB1028" t="str">
        <f t="shared" si="255"/>
        <v/>
      </c>
      <c r="AC1028">
        <f>IF($A1028="",0,IF(COUNTIF($A$2:$A1028,$A1028)=1,1,0))</f>
        <v>0</v>
      </c>
      <c r="AD1028">
        <f t="shared" si="256"/>
        <v>9</v>
      </c>
      <c r="AE1028" t="str">
        <f t="shared" si="257"/>
        <v>长沙览秀城|期末出租率（%）</v>
      </c>
    </row>
    <row r="1029" spans="1:31" x14ac:dyDescent="0.4">
      <c r="A1029" t="str">
        <f>IF(原始经营数据!$D1030="","",原始经营数据!$D1030)</f>
        <v>华夏金茂消费封闭式基础设施证券投资基金</v>
      </c>
      <c r="B1029" t="str">
        <f>IF(原始经营数据!$D1030="","",T(原始经营数据!$E1030))</f>
        <v>长沙览秀城</v>
      </c>
      <c r="C1029" t="str">
        <f>IF(原始经营数据!$D1030="","",原始经营数据!$F1030)</f>
        <v>2026Q2</v>
      </c>
      <c r="D1029" t="str">
        <f>IF(原始经营数据!$D1030="","",原始经营数据!$H1030)</f>
        <v>期末实际出租面积</v>
      </c>
      <c r="E1029">
        <f>IF(原始经营数据!$D1030="","",原始经营数据!$I1030)</f>
        <v>60735.72</v>
      </c>
      <c r="F1029" t="str">
        <f>IF(原始经营数据!$D1030="","",T(原始经营数据!$J1030))</f>
        <v>平方米</v>
      </c>
      <c r="G1029" t="str">
        <f>IF(原始经营数据!$D1030="","",T(原始经营数据!$K1030))</f>
        <v/>
      </c>
      <c r="H1029" t="str">
        <f>IF(原始经营数据!$D1030="","",原始经营数据!$G1030)</f>
        <v>服务量</v>
      </c>
      <c r="I1029" t="str">
        <f>IF($A1029="","",IF($B1029&lt;&gt;"",$B1029,IF(COUNTIFS(原始经营数据!$D$3:$D$3001,$A1029,原始经营数据!$E$3:$E$3001,"",原始经营数据!$F$3:$F$3001,$C1029,原始经营数据!$H$3:$H$3001,$D1029,原始经营数据!$K$3:$K$3001,$G1029)&gt;1,"基金整体·来源"&amp;原始经营数据!$A1030,"基金整体")))</f>
        <v>长沙览秀城</v>
      </c>
      <c r="J1029" t="str">
        <f t="shared" si="243"/>
        <v>季度</v>
      </c>
      <c r="K1029" t="str">
        <f t="shared" si="244"/>
        <v>期末实际出租面积（平方米）</v>
      </c>
      <c r="L1029" t="str">
        <f t="shared" si="245"/>
        <v>长沙览秀城|期末实际出租面积（平方米）|季度</v>
      </c>
      <c r="M1029">
        <f>IF($A1029="",0,IF(COUNTIF($L$2:$L1029,$L1029)=1,1,0))</f>
        <v>0</v>
      </c>
      <c r="N1029">
        <f t="shared" si="246"/>
        <v>20262</v>
      </c>
      <c r="O1029" t="str">
        <f t="shared" si="247"/>
        <v>华夏金茂消费封闭式基础设施证券投资基金|2026Q2|季度</v>
      </c>
      <c r="P1029">
        <f>IF($A1029="",0,IF(COUNTIF($O$2:$O1029,$O1029)=1,1,0))</f>
        <v>0</v>
      </c>
      <c r="Q1029" t="str">
        <f>IF(AND($P1029=1,$A1029=经营数据!$B$3,$J1029=经营数据!$BA$5),COUNTIFS($P$2:$P$3000,1,$A$2:$A$3000,$A1029,$J$2:$J$3000,$J1029,$N$2:$N$3000,"&lt;"&amp;$N1029)+1,"")</f>
        <v/>
      </c>
      <c r="R1029" t="str">
        <f t="shared" si="248"/>
        <v>华夏金茂消费封闭式基础设施证券投资基金|长沙览秀城</v>
      </c>
      <c r="S1029">
        <f>IF($A1029="",0,IF(COUNTIF($R$2:$R1029,$R1029)=1,1,0))</f>
        <v>0</v>
      </c>
      <c r="T1029">
        <f t="shared" si="249"/>
        <v>964</v>
      </c>
      <c r="U1029" t="str">
        <f>IF($A1029="","",IF($A1029=经营数据!$B$3,COUNTIFS($S$2:$S$3000,1,$A$2:$A$3000,$A1029,$T$2:$T$3000,"&lt;"&amp;$T1029)+1,""))</f>
        <v/>
      </c>
      <c r="V1029" t="str">
        <f t="shared" si="250"/>
        <v>长沙览秀城|服务量</v>
      </c>
      <c r="W1029">
        <f t="shared" si="251"/>
        <v>964</v>
      </c>
      <c r="X1029" t="str">
        <f t="shared" si="252"/>
        <v>长沙览秀城|期末实际出租面积</v>
      </c>
      <c r="Y1029">
        <f t="shared" si="253"/>
        <v>967</v>
      </c>
      <c r="Z1029">
        <f>IF($A1029="",0,IF(AND($M1029=1,$A1029=经营数据!$B$3,$J1029=经营数据!$BA$5,OR($I1029=经营数据!$BA$4,COUNTIF(经营数据!$AA$9:$AA$38,$I1029)&gt;0)),1,0))</f>
        <v>0</v>
      </c>
      <c r="AA1029" t="str">
        <f t="shared" si="254"/>
        <v/>
      </c>
      <c r="AB1029" t="str">
        <f t="shared" si="255"/>
        <v/>
      </c>
      <c r="AC1029">
        <f>IF($A1029="",0,IF(COUNTIF($A$2:$A1029,$A1029)=1,1,0))</f>
        <v>0</v>
      </c>
      <c r="AD1029">
        <f t="shared" si="256"/>
        <v>9</v>
      </c>
      <c r="AE1029" t="str">
        <f t="shared" si="257"/>
        <v>长沙览秀城|期末实际出租面积（平方米）</v>
      </c>
    </row>
    <row r="1030" spans="1:31" x14ac:dyDescent="0.4">
      <c r="A1030" t="str">
        <f>IF(原始经营数据!$D1031="","",原始经营数据!$D1031)</f>
        <v>华夏金茂消费封闭式基础设施证券投资基金</v>
      </c>
      <c r="B1030" t="str">
        <f>IF(原始经营数据!$D1031="","",T(原始经营数据!$E1031))</f>
        <v>长沙览秀城</v>
      </c>
      <c r="C1030" t="str">
        <f>IF(原始经营数据!$D1031="","",原始经营数据!$F1031)</f>
        <v>2026Q2</v>
      </c>
      <c r="D1030" t="str">
        <f>IF(原始经营数据!$D1031="","",原始经营数据!$H1031)</f>
        <v>期末可供出租面积</v>
      </c>
      <c r="E1030">
        <f>IF(原始经营数据!$D1031="","",原始经营数据!$I1031)</f>
        <v>60938.42</v>
      </c>
      <c r="F1030" t="str">
        <f>IF(原始经营数据!$D1031="","",T(原始经营数据!$J1031))</f>
        <v>平方米</v>
      </c>
      <c r="G1030" t="str">
        <f>IF(原始经营数据!$D1031="","",T(原始经营数据!$K1031))</f>
        <v/>
      </c>
      <c r="H1030" t="str">
        <f>IF(原始经营数据!$D1031="","",原始经营数据!$G1031)</f>
        <v>服务量</v>
      </c>
      <c r="I1030" t="str">
        <f>IF($A1030="","",IF($B1030&lt;&gt;"",$B1030,IF(COUNTIFS(原始经营数据!$D$3:$D$3001,$A1030,原始经营数据!$E$3:$E$3001,"",原始经营数据!$F$3:$F$3001,$C1030,原始经营数据!$H$3:$H$3001,$D1030,原始经营数据!$K$3:$K$3001,$G1030)&gt;1,"基金整体·来源"&amp;原始经营数据!$A1031,"基金整体")))</f>
        <v>长沙览秀城</v>
      </c>
      <c r="J1030" t="str">
        <f t="shared" si="243"/>
        <v>季度</v>
      </c>
      <c r="K1030" t="str">
        <f t="shared" si="244"/>
        <v>期末可供出租面积（平方米）</v>
      </c>
      <c r="L1030" t="str">
        <f t="shared" si="245"/>
        <v>长沙览秀城|期末可供出租面积（平方米）|季度</v>
      </c>
      <c r="M1030">
        <f>IF($A1030="",0,IF(COUNTIF($L$2:$L1030,$L1030)=1,1,0))</f>
        <v>0</v>
      </c>
      <c r="N1030">
        <f t="shared" si="246"/>
        <v>20262</v>
      </c>
      <c r="O1030" t="str">
        <f t="shared" si="247"/>
        <v>华夏金茂消费封闭式基础设施证券投资基金|2026Q2|季度</v>
      </c>
      <c r="P1030">
        <f>IF($A1030="",0,IF(COUNTIF($O$2:$O1030,$O1030)=1,1,0))</f>
        <v>0</v>
      </c>
      <c r="Q1030" t="str">
        <f>IF(AND($P1030=1,$A1030=经营数据!$B$3,$J1030=经营数据!$BA$5),COUNTIFS($P$2:$P$3000,1,$A$2:$A$3000,$A1030,$J$2:$J$3000,$J1030,$N$2:$N$3000,"&lt;"&amp;$N1030)+1,"")</f>
        <v/>
      </c>
      <c r="R1030" t="str">
        <f t="shared" si="248"/>
        <v>华夏金茂消费封闭式基础设施证券投资基金|长沙览秀城</v>
      </c>
      <c r="S1030">
        <f>IF($A1030="",0,IF(COUNTIF($R$2:$R1030,$R1030)=1,1,0))</f>
        <v>0</v>
      </c>
      <c r="T1030">
        <f t="shared" si="249"/>
        <v>964</v>
      </c>
      <c r="U1030" t="str">
        <f>IF($A1030="","",IF($A1030=经营数据!$B$3,COUNTIFS($S$2:$S$3000,1,$A$2:$A$3000,$A1030,$T$2:$T$3000,"&lt;"&amp;$T1030)+1,""))</f>
        <v/>
      </c>
      <c r="V1030" t="str">
        <f t="shared" si="250"/>
        <v>长沙览秀城|服务量</v>
      </c>
      <c r="W1030">
        <f t="shared" si="251"/>
        <v>964</v>
      </c>
      <c r="X1030" t="str">
        <f t="shared" si="252"/>
        <v>长沙览秀城|期末可供出租面积</v>
      </c>
      <c r="Y1030">
        <f t="shared" si="253"/>
        <v>968</v>
      </c>
      <c r="Z1030">
        <f>IF($A1030="",0,IF(AND($M1030=1,$A1030=经营数据!$B$3,$J1030=经营数据!$BA$5,OR($I1030=经营数据!$BA$4,COUNTIF(经营数据!$AA$9:$AA$38,$I1030)&gt;0)),1,0))</f>
        <v>0</v>
      </c>
      <c r="AA1030" t="str">
        <f t="shared" si="254"/>
        <v/>
      </c>
      <c r="AB1030" t="str">
        <f t="shared" si="255"/>
        <v/>
      </c>
      <c r="AC1030">
        <f>IF($A1030="",0,IF(COUNTIF($A$2:$A1030,$A1030)=1,1,0))</f>
        <v>0</v>
      </c>
      <c r="AD1030">
        <f t="shared" si="256"/>
        <v>9</v>
      </c>
      <c r="AE1030" t="str">
        <f t="shared" si="257"/>
        <v>长沙览秀城|期末可供出租面积（平方米）</v>
      </c>
    </row>
    <row r="1031" spans="1:31" x14ac:dyDescent="0.4">
      <c r="A1031" t="str">
        <f>IF(原始经营数据!$D1032="","",原始经营数据!$D1032)</f>
        <v>华夏凯德消费封闭式基础设施证券投资基金</v>
      </c>
      <c r="B1031" t="str">
        <f>IF(原始经营数据!$D1032="","",T(原始经营数据!$E1032))</f>
        <v>基金整体</v>
      </c>
      <c r="C1031" t="str">
        <f>IF(原始经营数据!$D1032="","",原始经营数据!$F1032)</f>
        <v>2025Q4</v>
      </c>
      <c r="D1031" t="str">
        <f>IF(原始经营数据!$D1032="","",原始经营数据!$H1032)</f>
        <v>期末出租率</v>
      </c>
      <c r="E1031">
        <f>IF(原始经营数据!$D1032="","",原始经营数据!$I1032)</f>
        <v>98.52</v>
      </c>
      <c r="F1031" t="str">
        <f>IF(原始经营数据!$D1032="","",T(原始经营数据!$J1032))</f>
        <v>%</v>
      </c>
      <c r="G1031" t="str">
        <f>IF(原始经营数据!$D1032="","",T(原始经营数据!$K1032))</f>
        <v/>
      </c>
      <c r="H1031" t="str">
        <f>IF(原始经营数据!$D1032="","",原始经营数据!$G1032)</f>
        <v>服务效率</v>
      </c>
      <c r="I1031" t="str">
        <f>IF($A1031="","",IF($B1031&lt;&gt;"",$B1031,IF(COUNTIFS(原始经营数据!$D$3:$D$3001,$A1031,原始经营数据!$E$3:$E$3001,"",原始经营数据!$F$3:$F$3001,$C1031,原始经营数据!$H$3:$H$3001,$D1031,原始经营数据!$K$3:$K$3001,$G1031)&gt;1,"基金整体·来源"&amp;原始经营数据!$A1032,"基金整体")))</f>
        <v>基金整体</v>
      </c>
      <c r="J1031" t="str">
        <f t="shared" si="243"/>
        <v>季度</v>
      </c>
      <c r="K1031" t="str">
        <f t="shared" si="244"/>
        <v>期末出租率（%）</v>
      </c>
      <c r="L1031" t="str">
        <f t="shared" si="245"/>
        <v>基金整体|期末出租率（%）|季度</v>
      </c>
      <c r="M1031">
        <f>IF($A1031="",0,IF(COUNTIF($L$2:$L1031,$L1031)=1,1,0))</f>
        <v>0</v>
      </c>
      <c r="N1031">
        <f t="shared" si="246"/>
        <v>20254</v>
      </c>
      <c r="O1031" t="str">
        <f t="shared" si="247"/>
        <v>华夏凯德消费封闭式基础设施证券投资基金|2025Q4|季度</v>
      </c>
      <c r="P1031">
        <f>IF($A1031="",0,IF(COUNTIF($O$2:$O1031,$O1031)=1,1,0))</f>
        <v>1</v>
      </c>
      <c r="Q1031" t="str">
        <f>IF(AND($P1031=1,$A1031=经营数据!$B$3,$J1031=经营数据!$BA$5),COUNTIFS($P$2:$P$3000,1,$A$2:$A$3000,$A1031,$J$2:$J$3000,$J1031,$N$2:$N$3000,"&lt;"&amp;$N1031)+1,"")</f>
        <v/>
      </c>
      <c r="R1031" t="str">
        <f t="shared" si="248"/>
        <v>华夏凯德消费封闭式基础设施证券投资基金|基金整体</v>
      </c>
      <c r="S1031">
        <f>IF($A1031="",0,IF(COUNTIF($R$2:$R1031,$R1031)=1,1,0))</f>
        <v>1</v>
      </c>
      <c r="T1031">
        <f t="shared" si="249"/>
        <v>1030</v>
      </c>
      <c r="U1031" t="str">
        <f>IF($A1031="","",IF($A1031=经营数据!$B$3,COUNTIFS($S$2:$S$3000,1,$A$2:$A$3000,$A1031,$T$2:$T$3000,"&lt;"&amp;$T1031)+1,""))</f>
        <v/>
      </c>
      <c r="V1031" t="str">
        <f t="shared" si="250"/>
        <v>基金整体|服务效率</v>
      </c>
      <c r="W1031">
        <f t="shared" si="251"/>
        <v>2</v>
      </c>
      <c r="X1031" t="str">
        <f t="shared" si="252"/>
        <v>基金整体|期末出租率</v>
      </c>
      <c r="Y1031">
        <f t="shared" si="253"/>
        <v>5</v>
      </c>
      <c r="Z1031">
        <f>IF($A1031="",0,IF(AND($M1031=1,$A1031=经营数据!$B$3,$J1031=经营数据!$BA$5,OR($I1031=经营数据!$BA$4,COUNTIF(经营数据!$AA$9:$AA$38,$I1031)&gt;0)),1,0))</f>
        <v>0</v>
      </c>
      <c r="AA1031" t="str">
        <f t="shared" si="254"/>
        <v/>
      </c>
      <c r="AB1031" t="str">
        <f t="shared" si="255"/>
        <v/>
      </c>
      <c r="AC1031">
        <f>IF($A1031="",0,IF(COUNTIF($A$2:$A1031,$A1031)=1,1,0))</f>
        <v>1</v>
      </c>
      <c r="AD1031">
        <f t="shared" si="256"/>
        <v>10</v>
      </c>
      <c r="AE1031" t="str">
        <f t="shared" si="257"/>
        <v>基金整体|期末出租率（%）</v>
      </c>
    </row>
    <row r="1032" spans="1:31" x14ac:dyDescent="0.4">
      <c r="A1032" t="str">
        <f>IF(原始经营数据!$D1033="","",原始经营数据!$D1033)</f>
        <v>华夏凯德消费封闭式基础设施证券投资基金</v>
      </c>
      <c r="B1032" t="str">
        <f>IF(原始经营数据!$D1033="","",T(原始经营数据!$E1033))</f>
        <v>基金整体</v>
      </c>
      <c r="C1032" t="str">
        <f>IF(原始经营数据!$D1033="","",原始经营数据!$F1033)</f>
        <v>2025Q4</v>
      </c>
      <c r="D1032" t="str">
        <f>IF(原始经营数据!$D1033="","",原始经营数据!$H1033)</f>
        <v>期内租金单价水平</v>
      </c>
      <c r="E1032">
        <f>IF(原始经营数据!$D1033="","",原始经营数据!$I1033)</f>
        <v>213.67</v>
      </c>
      <c r="F1032" t="str">
        <f>IF(原始经营数据!$D1033="","",T(原始经营数据!$J1033))</f>
        <v>元/平方米/月</v>
      </c>
      <c r="G1032" t="str">
        <f>IF(原始经营数据!$D1033="","",T(原始经营数据!$K1033))</f>
        <v/>
      </c>
      <c r="H1032" t="str">
        <f>IF(原始经营数据!$D1033="","",原始经营数据!$G1033)</f>
        <v>服务价格</v>
      </c>
      <c r="I1032" t="str">
        <f>IF($A1032="","",IF($B1032&lt;&gt;"",$B1032,IF(COUNTIFS(原始经营数据!$D$3:$D$3001,$A1032,原始经营数据!$E$3:$E$3001,"",原始经营数据!$F$3:$F$3001,$C1032,原始经营数据!$H$3:$H$3001,$D1032,原始经营数据!$K$3:$K$3001,$G1032)&gt;1,"基金整体·来源"&amp;原始经营数据!$A1033,"基金整体")))</f>
        <v>基金整体</v>
      </c>
      <c r="J1032" t="str">
        <f t="shared" si="243"/>
        <v>季度</v>
      </c>
      <c r="K1032" t="str">
        <f t="shared" si="244"/>
        <v>期内租金单价水平（元/平方米/月）</v>
      </c>
      <c r="L1032" t="str">
        <f t="shared" si="245"/>
        <v>基金整体|期内租金单价水平（元/平方米/月）|季度</v>
      </c>
      <c r="M1032">
        <f>IF($A1032="",0,IF(COUNTIF($L$2:$L1032,$L1032)=1,1,0))</f>
        <v>0</v>
      </c>
      <c r="N1032">
        <f t="shared" si="246"/>
        <v>20254</v>
      </c>
      <c r="O1032" t="str">
        <f t="shared" si="247"/>
        <v>华夏凯德消费封闭式基础设施证券投资基金|2025Q4|季度</v>
      </c>
      <c r="P1032">
        <f>IF($A1032="",0,IF(COUNTIF($O$2:$O1032,$O1032)=1,1,0))</f>
        <v>0</v>
      </c>
      <c r="Q1032" t="str">
        <f>IF(AND($P1032=1,$A1032=经营数据!$B$3,$J1032=经营数据!$BA$5),COUNTIFS($P$2:$P$3000,1,$A$2:$A$3000,$A1032,$J$2:$J$3000,$J1032,$N$2:$N$3000,"&lt;"&amp;$N1032)+1,"")</f>
        <v/>
      </c>
      <c r="R1032" t="str">
        <f t="shared" si="248"/>
        <v>华夏凯德消费封闭式基础设施证券投资基金|基金整体</v>
      </c>
      <c r="S1032">
        <f>IF($A1032="",0,IF(COUNTIF($R$2:$R1032,$R1032)=1,1,0))</f>
        <v>0</v>
      </c>
      <c r="T1032">
        <f t="shared" si="249"/>
        <v>1030</v>
      </c>
      <c r="U1032" t="str">
        <f>IF($A1032="","",IF($A1032=经营数据!$B$3,COUNTIFS($S$2:$S$3000,1,$A$2:$A$3000,$A1032,$T$2:$T$3000,"&lt;"&amp;$T1032)+1,""))</f>
        <v/>
      </c>
      <c r="V1032" t="str">
        <f t="shared" si="250"/>
        <v>基金整体|服务价格</v>
      </c>
      <c r="W1032">
        <f t="shared" si="251"/>
        <v>10</v>
      </c>
      <c r="X1032" t="str">
        <f t="shared" si="252"/>
        <v>基金整体|期内租金单价水平</v>
      </c>
      <c r="Y1032">
        <f t="shared" si="253"/>
        <v>529</v>
      </c>
      <c r="Z1032">
        <f>IF($A1032="",0,IF(AND($M1032=1,$A1032=经营数据!$B$3,$J1032=经营数据!$BA$5,OR($I1032=经营数据!$BA$4,COUNTIF(经营数据!$AA$9:$AA$38,$I1032)&gt;0)),1,0))</f>
        <v>0</v>
      </c>
      <c r="AA1032" t="str">
        <f t="shared" si="254"/>
        <v/>
      </c>
      <c r="AB1032" t="str">
        <f t="shared" si="255"/>
        <v/>
      </c>
      <c r="AC1032">
        <f>IF($A1032="",0,IF(COUNTIF($A$2:$A1032,$A1032)=1,1,0))</f>
        <v>0</v>
      </c>
      <c r="AD1032">
        <f t="shared" si="256"/>
        <v>10</v>
      </c>
      <c r="AE1032" t="str">
        <f t="shared" si="257"/>
        <v>基金整体|期内租金单价水平（元/平方米/月）</v>
      </c>
    </row>
    <row r="1033" spans="1:31" x14ac:dyDescent="0.4">
      <c r="A1033" t="str">
        <f>IF(原始经营数据!$D1034="","",原始经营数据!$D1034)</f>
        <v>华夏凯德消费封闭式基础设施证券投资基金</v>
      </c>
      <c r="B1033" t="str">
        <f>IF(原始经营数据!$D1034="","",T(原始经营数据!$E1034))</f>
        <v>基金整体</v>
      </c>
      <c r="C1033" t="str">
        <f>IF(原始经营数据!$D1034="","",原始经营数据!$F1034)</f>
        <v>2025Q4</v>
      </c>
      <c r="D1033" t="str">
        <f>IF(原始经营数据!$D1034="","",原始经营数据!$H1034)</f>
        <v>期末剩余租期情况</v>
      </c>
      <c r="E1033">
        <f>IF(原始经营数据!$D1034="","",原始经营数据!$I1034)</f>
        <v>2.95</v>
      </c>
      <c r="F1033" t="str">
        <f>IF(原始经营数据!$D1034="","",T(原始经营数据!$J1034))</f>
        <v>年</v>
      </c>
      <c r="G1033" t="str">
        <f>IF(原始经营数据!$D1034="","",T(原始经营数据!$K1034))</f>
        <v/>
      </c>
      <c r="H1033" t="str">
        <f>IF(原始经营数据!$D1034="","",原始经营数据!$G1034)</f>
        <v>服务量</v>
      </c>
      <c r="I1033" t="str">
        <f>IF($A1033="","",IF($B1033&lt;&gt;"",$B1033,IF(COUNTIFS(原始经营数据!$D$3:$D$3001,$A1033,原始经营数据!$E$3:$E$3001,"",原始经营数据!$F$3:$F$3001,$C1033,原始经营数据!$H$3:$H$3001,$D1033,原始经营数据!$K$3:$K$3001,$G1033)&gt;1,"基金整体·来源"&amp;原始经营数据!$A1034,"基金整体")))</f>
        <v>基金整体</v>
      </c>
      <c r="J1033" t="str">
        <f t="shared" si="243"/>
        <v>季度</v>
      </c>
      <c r="K1033" t="str">
        <f t="shared" si="244"/>
        <v>期末剩余租期情况（年）</v>
      </c>
      <c r="L1033" t="str">
        <f t="shared" si="245"/>
        <v>基金整体|期末剩余租期情况（年）|季度</v>
      </c>
      <c r="M1033">
        <f>IF($A1033="",0,IF(COUNTIF($L$2:$L1033,$L1033)=1,1,0))</f>
        <v>0</v>
      </c>
      <c r="N1033">
        <f t="shared" si="246"/>
        <v>20254</v>
      </c>
      <c r="O1033" t="str">
        <f t="shared" si="247"/>
        <v>华夏凯德消费封闭式基础设施证券投资基金|2025Q4|季度</v>
      </c>
      <c r="P1033">
        <f>IF($A1033="",0,IF(COUNTIF($O$2:$O1033,$O1033)=1,1,0))</f>
        <v>0</v>
      </c>
      <c r="Q1033" t="str">
        <f>IF(AND($P1033=1,$A1033=经营数据!$B$3,$J1033=经营数据!$BA$5),COUNTIFS($P$2:$P$3000,1,$A$2:$A$3000,$A1033,$J$2:$J$3000,$J1033,$N$2:$N$3000,"&lt;"&amp;$N1033)+1,"")</f>
        <v/>
      </c>
      <c r="R1033" t="str">
        <f t="shared" si="248"/>
        <v>华夏凯德消费封闭式基础设施证券投资基金|基金整体</v>
      </c>
      <c r="S1033">
        <f>IF($A1033="",0,IF(COUNTIF($R$2:$R1033,$R1033)=1,1,0))</f>
        <v>0</v>
      </c>
      <c r="T1033">
        <f t="shared" si="249"/>
        <v>1030</v>
      </c>
      <c r="U1033" t="str">
        <f>IF($A1033="","",IF($A1033=经营数据!$B$3,COUNTIFS($S$2:$S$3000,1,$A$2:$A$3000,$A1033,$T$2:$T$3000,"&lt;"&amp;$T1033)+1,""))</f>
        <v/>
      </c>
      <c r="V1033" t="str">
        <f t="shared" si="250"/>
        <v>基金整体|服务量</v>
      </c>
      <c r="W1033">
        <f t="shared" si="251"/>
        <v>1</v>
      </c>
      <c r="X1033" t="str">
        <f t="shared" si="252"/>
        <v>基金整体|期末剩余租期情况</v>
      </c>
      <c r="Y1033">
        <f t="shared" si="253"/>
        <v>665</v>
      </c>
      <c r="Z1033">
        <f>IF($A1033="",0,IF(AND($M1033=1,$A1033=经营数据!$B$3,$J1033=经营数据!$BA$5,OR($I1033=经营数据!$BA$4,COUNTIF(经营数据!$AA$9:$AA$38,$I1033)&gt;0)),1,0))</f>
        <v>0</v>
      </c>
      <c r="AA1033" t="str">
        <f t="shared" si="254"/>
        <v/>
      </c>
      <c r="AB1033" t="str">
        <f t="shared" si="255"/>
        <v/>
      </c>
      <c r="AC1033">
        <f>IF($A1033="",0,IF(COUNTIF($A$2:$A1033,$A1033)=1,1,0))</f>
        <v>0</v>
      </c>
      <c r="AD1033">
        <f t="shared" si="256"/>
        <v>10</v>
      </c>
      <c r="AE1033" t="str">
        <f t="shared" si="257"/>
        <v>基金整体|期末剩余租期情况（年）</v>
      </c>
    </row>
    <row r="1034" spans="1:31" x14ac:dyDescent="0.4">
      <c r="A1034" t="str">
        <f>IF(原始经营数据!$D1035="","",原始经营数据!$D1035)</f>
        <v>华夏凯德消费封闭式基础设施证券投资基金</v>
      </c>
      <c r="B1034" t="str">
        <f>IF(原始经营数据!$D1035="","",T(原始经营数据!$E1035))</f>
        <v>基金整体</v>
      </c>
      <c r="C1034" t="str">
        <f>IF(原始经营数据!$D1035="","",原始经营数据!$F1035)</f>
        <v>2025Q4</v>
      </c>
      <c r="D1034" t="str">
        <f>IF(原始经营数据!$D1035="","",原始经营数据!$H1035)</f>
        <v>期末租金收缴率</v>
      </c>
      <c r="E1034">
        <f>IF(原始经营数据!$D1035="","",原始经营数据!$I1035)</f>
        <v>99.25</v>
      </c>
      <c r="F1034" t="str">
        <f>IF(原始经营数据!$D1035="","",T(原始经营数据!$J1035))</f>
        <v>%</v>
      </c>
      <c r="G1034" t="str">
        <f>IF(原始经营数据!$D1035="","",T(原始经营数据!$K1035))</f>
        <v/>
      </c>
      <c r="H1034" t="str">
        <f>IF(原始经营数据!$D1035="","",原始经营数据!$G1035)</f>
        <v>服务效率</v>
      </c>
      <c r="I1034" t="str">
        <f>IF($A1034="","",IF($B1034&lt;&gt;"",$B1034,IF(COUNTIFS(原始经营数据!$D$3:$D$3001,$A1034,原始经营数据!$E$3:$E$3001,"",原始经营数据!$F$3:$F$3001,$C1034,原始经营数据!$H$3:$H$3001,$D1034,原始经营数据!$K$3:$K$3001,$G1034)&gt;1,"基金整体·来源"&amp;原始经营数据!$A1035,"基金整体")))</f>
        <v>基金整体</v>
      </c>
      <c r="J1034" t="str">
        <f t="shared" si="243"/>
        <v>季度</v>
      </c>
      <c r="K1034" t="str">
        <f t="shared" si="244"/>
        <v>期末租金收缴率（%）</v>
      </c>
      <c r="L1034" t="str">
        <f t="shared" si="245"/>
        <v>基金整体|期末租金收缴率（%）|季度</v>
      </c>
      <c r="M1034">
        <f>IF($A1034="",0,IF(COUNTIF($L$2:$L1034,$L1034)=1,1,0))</f>
        <v>0</v>
      </c>
      <c r="N1034">
        <f t="shared" si="246"/>
        <v>20254</v>
      </c>
      <c r="O1034" t="str">
        <f t="shared" si="247"/>
        <v>华夏凯德消费封闭式基础设施证券投资基金|2025Q4|季度</v>
      </c>
      <c r="P1034">
        <f>IF($A1034="",0,IF(COUNTIF($O$2:$O1034,$O1034)=1,1,0))</f>
        <v>0</v>
      </c>
      <c r="Q1034" t="str">
        <f>IF(AND($P1034=1,$A1034=经营数据!$B$3,$J1034=经营数据!$BA$5),COUNTIFS($P$2:$P$3000,1,$A$2:$A$3000,$A1034,$J$2:$J$3000,$J1034,$N$2:$N$3000,"&lt;"&amp;$N1034)+1,"")</f>
        <v/>
      </c>
      <c r="R1034" t="str">
        <f t="shared" si="248"/>
        <v>华夏凯德消费封闭式基础设施证券投资基金|基金整体</v>
      </c>
      <c r="S1034">
        <f>IF($A1034="",0,IF(COUNTIF($R$2:$R1034,$R1034)=1,1,0))</f>
        <v>0</v>
      </c>
      <c r="T1034">
        <f t="shared" si="249"/>
        <v>1030</v>
      </c>
      <c r="U1034" t="str">
        <f>IF($A1034="","",IF($A1034=经营数据!$B$3,COUNTIFS($S$2:$S$3000,1,$A$2:$A$3000,$A1034,$T$2:$T$3000,"&lt;"&amp;$T1034)+1,""))</f>
        <v/>
      </c>
      <c r="V1034" t="str">
        <f t="shared" si="250"/>
        <v>基金整体|服务效率</v>
      </c>
      <c r="W1034">
        <f t="shared" si="251"/>
        <v>2</v>
      </c>
      <c r="X1034" t="str">
        <f t="shared" si="252"/>
        <v>基金整体|期末租金收缴率</v>
      </c>
      <c r="Y1034">
        <f t="shared" si="253"/>
        <v>530</v>
      </c>
      <c r="Z1034">
        <f>IF($A1034="",0,IF(AND($M1034=1,$A1034=经营数据!$B$3,$J1034=经营数据!$BA$5,OR($I1034=经营数据!$BA$4,COUNTIF(经营数据!$AA$9:$AA$38,$I1034)&gt;0)),1,0))</f>
        <v>0</v>
      </c>
      <c r="AA1034" t="str">
        <f t="shared" si="254"/>
        <v/>
      </c>
      <c r="AB1034" t="str">
        <f t="shared" si="255"/>
        <v/>
      </c>
      <c r="AC1034">
        <f>IF($A1034="",0,IF(COUNTIF($A$2:$A1034,$A1034)=1,1,0))</f>
        <v>0</v>
      </c>
      <c r="AD1034">
        <f t="shared" si="256"/>
        <v>10</v>
      </c>
      <c r="AE1034" t="str">
        <f t="shared" si="257"/>
        <v>基金整体|期末租金收缴率（%）</v>
      </c>
    </row>
    <row r="1035" spans="1:31" x14ac:dyDescent="0.4">
      <c r="A1035" t="str">
        <f>IF(原始经营数据!$D1036="","",原始经营数据!$D1036)</f>
        <v>华夏凯德消费封闭式基础设施证券投资基金</v>
      </c>
      <c r="B1035" t="str">
        <f>IF(原始经营数据!$D1036="","",T(原始经营数据!$E1036))</f>
        <v>基金整体</v>
      </c>
      <c r="C1035" t="str">
        <f>IF(原始经营数据!$D1036="","",原始经营数据!$F1036)</f>
        <v>2025Q4</v>
      </c>
      <c r="D1035" t="str">
        <f>IF(原始经营数据!$D1036="","",原始经营数据!$H1036)</f>
        <v>期末实际出租面积</v>
      </c>
      <c r="E1035">
        <f>IF(原始经营数据!$D1036="","",原始经营数据!$I1036)</f>
        <v>86746.04</v>
      </c>
      <c r="F1035" t="str">
        <f>IF(原始经营数据!$D1036="","",T(原始经营数据!$J1036))</f>
        <v>平方米</v>
      </c>
      <c r="G1035" t="str">
        <f>IF(原始经营数据!$D1036="","",T(原始经营数据!$K1036))</f>
        <v/>
      </c>
      <c r="H1035" t="str">
        <f>IF(原始经营数据!$D1036="","",原始经营数据!$G1036)</f>
        <v>服务量</v>
      </c>
      <c r="I1035" t="str">
        <f>IF($A1035="","",IF($B1035&lt;&gt;"",$B1035,IF(COUNTIFS(原始经营数据!$D$3:$D$3001,$A1035,原始经营数据!$E$3:$E$3001,"",原始经营数据!$F$3:$F$3001,$C1035,原始经营数据!$H$3:$H$3001,$D1035,原始经营数据!$K$3:$K$3001,$G1035)&gt;1,"基金整体·来源"&amp;原始经营数据!$A1036,"基金整体")))</f>
        <v>基金整体</v>
      </c>
      <c r="J1035" t="str">
        <f t="shared" si="243"/>
        <v>季度</v>
      </c>
      <c r="K1035" t="str">
        <f t="shared" si="244"/>
        <v>期末实际出租面积（平方米）</v>
      </c>
      <c r="L1035" t="str">
        <f t="shared" si="245"/>
        <v>基金整体|期末实际出租面积（平方米）|季度</v>
      </c>
      <c r="M1035">
        <f>IF($A1035="",0,IF(COUNTIF($L$2:$L1035,$L1035)=1,1,0))</f>
        <v>0</v>
      </c>
      <c r="N1035">
        <f t="shared" si="246"/>
        <v>20254</v>
      </c>
      <c r="O1035" t="str">
        <f t="shared" si="247"/>
        <v>华夏凯德消费封闭式基础设施证券投资基金|2025Q4|季度</v>
      </c>
      <c r="P1035">
        <f>IF($A1035="",0,IF(COUNTIF($O$2:$O1035,$O1035)=1,1,0))</f>
        <v>0</v>
      </c>
      <c r="Q1035" t="str">
        <f>IF(AND($P1035=1,$A1035=经营数据!$B$3,$J1035=经营数据!$BA$5),COUNTIFS($P$2:$P$3000,1,$A$2:$A$3000,$A1035,$J$2:$J$3000,$J1035,$N$2:$N$3000,"&lt;"&amp;$N1035)+1,"")</f>
        <v/>
      </c>
      <c r="R1035" t="str">
        <f t="shared" si="248"/>
        <v>华夏凯德消费封闭式基础设施证券投资基金|基金整体</v>
      </c>
      <c r="S1035">
        <f>IF($A1035="",0,IF(COUNTIF($R$2:$R1035,$R1035)=1,1,0))</f>
        <v>0</v>
      </c>
      <c r="T1035">
        <f t="shared" si="249"/>
        <v>1030</v>
      </c>
      <c r="U1035" t="str">
        <f>IF($A1035="","",IF($A1035=经营数据!$B$3,COUNTIFS($S$2:$S$3000,1,$A$2:$A$3000,$A1035,$T$2:$T$3000,"&lt;"&amp;$T1035)+1,""))</f>
        <v/>
      </c>
      <c r="V1035" t="str">
        <f t="shared" si="250"/>
        <v>基金整体|服务量</v>
      </c>
      <c r="W1035">
        <f t="shared" si="251"/>
        <v>1</v>
      </c>
      <c r="X1035" t="str">
        <f t="shared" si="252"/>
        <v>基金整体|期末实际出租面积</v>
      </c>
      <c r="Y1035">
        <f t="shared" si="253"/>
        <v>4</v>
      </c>
      <c r="Z1035">
        <f>IF($A1035="",0,IF(AND($M1035=1,$A1035=经营数据!$B$3,$J1035=经营数据!$BA$5,OR($I1035=经营数据!$BA$4,COUNTIF(经营数据!$AA$9:$AA$38,$I1035)&gt;0)),1,0))</f>
        <v>0</v>
      </c>
      <c r="AA1035" t="str">
        <f t="shared" si="254"/>
        <v/>
      </c>
      <c r="AB1035" t="str">
        <f t="shared" si="255"/>
        <v/>
      </c>
      <c r="AC1035">
        <f>IF($A1035="",0,IF(COUNTIF($A$2:$A1035,$A1035)=1,1,0))</f>
        <v>0</v>
      </c>
      <c r="AD1035">
        <f t="shared" si="256"/>
        <v>10</v>
      </c>
      <c r="AE1035" t="str">
        <f t="shared" si="257"/>
        <v>基金整体|期末实际出租面积（平方米）</v>
      </c>
    </row>
    <row r="1036" spans="1:31" x14ac:dyDescent="0.4">
      <c r="A1036" t="str">
        <f>IF(原始经营数据!$D1037="","",原始经营数据!$D1037)</f>
        <v>华夏凯德消费封闭式基础设施证券投资基金</v>
      </c>
      <c r="B1036" t="str">
        <f>IF(原始经营数据!$D1037="","",T(原始经营数据!$E1037))</f>
        <v>基金整体</v>
      </c>
      <c r="C1036" t="str">
        <f>IF(原始经营数据!$D1037="","",原始经营数据!$F1037)</f>
        <v>2025Q4</v>
      </c>
      <c r="D1036" t="str">
        <f>IF(原始经营数据!$D1037="","",原始经营数据!$H1037)</f>
        <v>期末可供出租面积</v>
      </c>
      <c r="E1036">
        <f>IF(原始经营数据!$D1037="","",原始经营数据!$I1037)</f>
        <v>88051.47</v>
      </c>
      <c r="F1036" t="str">
        <f>IF(原始经营数据!$D1037="","",T(原始经营数据!$J1037))</f>
        <v>平方米</v>
      </c>
      <c r="G1036" t="str">
        <f>IF(原始经营数据!$D1037="","",T(原始经营数据!$K1037))</f>
        <v/>
      </c>
      <c r="H1036" t="str">
        <f>IF(原始经营数据!$D1037="","",原始经营数据!$G1037)</f>
        <v>服务量</v>
      </c>
      <c r="I1036" t="str">
        <f>IF($A1036="","",IF($B1036&lt;&gt;"",$B1036,IF(COUNTIFS(原始经营数据!$D$3:$D$3001,$A1036,原始经营数据!$E$3:$E$3001,"",原始经营数据!$F$3:$F$3001,$C1036,原始经营数据!$H$3:$H$3001,$D1036,原始经营数据!$K$3:$K$3001,$G1036)&gt;1,"基金整体·来源"&amp;原始经营数据!$A1037,"基金整体")))</f>
        <v>基金整体</v>
      </c>
      <c r="J1036" t="str">
        <f t="shared" si="243"/>
        <v>季度</v>
      </c>
      <c r="K1036" t="str">
        <f t="shared" si="244"/>
        <v>期末可供出租面积（平方米）</v>
      </c>
      <c r="L1036" t="str">
        <f t="shared" si="245"/>
        <v>基金整体|期末可供出租面积（平方米）|季度</v>
      </c>
      <c r="M1036">
        <f>IF($A1036="",0,IF(COUNTIF($L$2:$L1036,$L1036)=1,1,0))</f>
        <v>0</v>
      </c>
      <c r="N1036">
        <f t="shared" si="246"/>
        <v>20254</v>
      </c>
      <c r="O1036" t="str">
        <f t="shared" si="247"/>
        <v>华夏凯德消费封闭式基础设施证券投资基金|2025Q4|季度</v>
      </c>
      <c r="P1036">
        <f>IF($A1036="",0,IF(COUNTIF($O$2:$O1036,$O1036)=1,1,0))</f>
        <v>0</v>
      </c>
      <c r="Q1036" t="str">
        <f>IF(AND($P1036=1,$A1036=经营数据!$B$3,$J1036=经营数据!$BA$5),COUNTIFS($P$2:$P$3000,1,$A$2:$A$3000,$A1036,$J$2:$J$3000,$J1036,$N$2:$N$3000,"&lt;"&amp;$N1036)+1,"")</f>
        <v/>
      </c>
      <c r="R1036" t="str">
        <f t="shared" si="248"/>
        <v>华夏凯德消费封闭式基础设施证券投资基金|基金整体</v>
      </c>
      <c r="S1036">
        <f>IF($A1036="",0,IF(COUNTIF($R$2:$R1036,$R1036)=1,1,0))</f>
        <v>0</v>
      </c>
      <c r="T1036">
        <f t="shared" si="249"/>
        <v>1030</v>
      </c>
      <c r="U1036" t="str">
        <f>IF($A1036="","",IF($A1036=经营数据!$B$3,COUNTIFS($S$2:$S$3000,1,$A$2:$A$3000,$A1036,$T$2:$T$3000,"&lt;"&amp;$T1036)+1,""))</f>
        <v/>
      </c>
      <c r="V1036" t="str">
        <f t="shared" si="250"/>
        <v>基金整体|服务量</v>
      </c>
      <c r="W1036">
        <f t="shared" si="251"/>
        <v>1</v>
      </c>
      <c r="X1036" t="str">
        <f t="shared" si="252"/>
        <v>基金整体|期末可供出租面积</v>
      </c>
      <c r="Y1036">
        <f t="shared" si="253"/>
        <v>3</v>
      </c>
      <c r="Z1036">
        <f>IF($A1036="",0,IF(AND($M1036=1,$A1036=经营数据!$B$3,$J1036=经营数据!$BA$5,OR($I1036=经营数据!$BA$4,COUNTIF(经营数据!$AA$9:$AA$38,$I1036)&gt;0)),1,0))</f>
        <v>0</v>
      </c>
      <c r="AA1036" t="str">
        <f t="shared" si="254"/>
        <v/>
      </c>
      <c r="AB1036" t="str">
        <f t="shared" si="255"/>
        <v/>
      </c>
      <c r="AC1036">
        <f>IF($A1036="",0,IF(COUNTIF($A$2:$A1036,$A1036)=1,1,0))</f>
        <v>0</v>
      </c>
      <c r="AD1036">
        <f t="shared" si="256"/>
        <v>10</v>
      </c>
      <c r="AE1036" t="str">
        <f t="shared" si="257"/>
        <v>基金整体|期末可供出租面积（平方米）</v>
      </c>
    </row>
    <row r="1037" spans="1:31" x14ac:dyDescent="0.4">
      <c r="A1037" t="str">
        <f>IF(原始经营数据!$D1038="","",原始经营数据!$D1038)</f>
        <v>华夏凯德消费封闭式基础设施证券投资基金</v>
      </c>
      <c r="B1037" t="str">
        <f>IF(原始经营数据!$D1038="","",T(原始经营数据!$E1038))</f>
        <v>基金整体</v>
      </c>
      <c r="C1037" t="str">
        <f>IF(原始经营数据!$D1038="","",原始经营数据!$F1038)</f>
        <v>2026Q1</v>
      </c>
      <c r="D1037" t="str">
        <f>IF(原始经营数据!$D1038="","",原始经营数据!$H1038)</f>
        <v>期末出租率</v>
      </c>
      <c r="E1037">
        <f>IF(原始经营数据!$D1038="","",原始经营数据!$I1038)</f>
        <v>98.04</v>
      </c>
      <c r="F1037" t="str">
        <f>IF(原始经营数据!$D1038="","",T(原始经营数据!$J1038))</f>
        <v>%</v>
      </c>
      <c r="G1037" t="str">
        <f>IF(原始经营数据!$D1038="","",T(原始经营数据!$K1038))</f>
        <v/>
      </c>
      <c r="H1037" t="str">
        <f>IF(原始经营数据!$D1038="","",原始经营数据!$G1038)</f>
        <v>服务效率</v>
      </c>
      <c r="I1037" t="str">
        <f>IF($A1037="","",IF($B1037&lt;&gt;"",$B1037,IF(COUNTIFS(原始经营数据!$D$3:$D$3001,$A1037,原始经营数据!$E$3:$E$3001,"",原始经营数据!$F$3:$F$3001,$C1037,原始经营数据!$H$3:$H$3001,$D1037,原始经营数据!$K$3:$K$3001,$G1037)&gt;1,"基金整体·来源"&amp;原始经营数据!$A1038,"基金整体")))</f>
        <v>基金整体</v>
      </c>
      <c r="J1037" t="str">
        <f t="shared" si="243"/>
        <v>季度</v>
      </c>
      <c r="K1037" t="str">
        <f t="shared" si="244"/>
        <v>期末出租率（%）</v>
      </c>
      <c r="L1037" t="str">
        <f t="shared" si="245"/>
        <v>基金整体|期末出租率（%）|季度</v>
      </c>
      <c r="M1037">
        <f>IF($A1037="",0,IF(COUNTIF($L$2:$L1037,$L1037)=1,1,0))</f>
        <v>0</v>
      </c>
      <c r="N1037">
        <f t="shared" si="246"/>
        <v>20261</v>
      </c>
      <c r="O1037" t="str">
        <f t="shared" si="247"/>
        <v>华夏凯德消费封闭式基础设施证券投资基金|2026Q1|季度</v>
      </c>
      <c r="P1037">
        <f>IF($A1037="",0,IF(COUNTIF($O$2:$O1037,$O1037)=1,1,0))</f>
        <v>1</v>
      </c>
      <c r="Q1037" t="str">
        <f>IF(AND($P1037=1,$A1037=经营数据!$B$3,$J1037=经营数据!$BA$5),COUNTIFS($P$2:$P$3000,1,$A$2:$A$3000,$A1037,$J$2:$J$3000,$J1037,$N$2:$N$3000,"&lt;"&amp;$N1037)+1,"")</f>
        <v/>
      </c>
      <c r="R1037" t="str">
        <f t="shared" si="248"/>
        <v>华夏凯德消费封闭式基础设施证券投资基金|基金整体</v>
      </c>
      <c r="S1037">
        <f>IF($A1037="",0,IF(COUNTIF($R$2:$R1037,$R1037)=1,1,0))</f>
        <v>0</v>
      </c>
      <c r="T1037">
        <f t="shared" si="249"/>
        <v>1030</v>
      </c>
      <c r="U1037" t="str">
        <f>IF($A1037="","",IF($A1037=经营数据!$B$3,COUNTIFS($S$2:$S$3000,1,$A$2:$A$3000,$A1037,$T$2:$T$3000,"&lt;"&amp;$T1037)+1,""))</f>
        <v/>
      </c>
      <c r="V1037" t="str">
        <f t="shared" si="250"/>
        <v>基金整体|服务效率</v>
      </c>
      <c r="W1037">
        <f t="shared" si="251"/>
        <v>2</v>
      </c>
      <c r="X1037" t="str">
        <f t="shared" si="252"/>
        <v>基金整体|期末出租率</v>
      </c>
      <c r="Y1037">
        <f t="shared" si="253"/>
        <v>5</v>
      </c>
      <c r="Z1037">
        <f>IF($A1037="",0,IF(AND($M1037=1,$A1037=经营数据!$B$3,$J1037=经营数据!$BA$5,OR($I1037=经营数据!$BA$4,COUNTIF(经营数据!$AA$9:$AA$38,$I1037)&gt;0)),1,0))</f>
        <v>0</v>
      </c>
      <c r="AA1037" t="str">
        <f t="shared" si="254"/>
        <v/>
      </c>
      <c r="AB1037" t="str">
        <f t="shared" si="255"/>
        <v/>
      </c>
      <c r="AC1037">
        <f>IF($A1037="",0,IF(COUNTIF($A$2:$A1037,$A1037)=1,1,0))</f>
        <v>0</v>
      </c>
      <c r="AD1037">
        <f t="shared" si="256"/>
        <v>10</v>
      </c>
      <c r="AE1037" t="str">
        <f t="shared" si="257"/>
        <v>基金整体|期末出租率（%）</v>
      </c>
    </row>
    <row r="1038" spans="1:31" x14ac:dyDescent="0.4">
      <c r="A1038" t="str">
        <f>IF(原始经营数据!$D1039="","",原始经营数据!$D1039)</f>
        <v>华夏凯德消费封闭式基础设施证券投资基金</v>
      </c>
      <c r="B1038" t="str">
        <f>IF(原始经营数据!$D1039="","",T(原始经营数据!$E1039))</f>
        <v>基金整体</v>
      </c>
      <c r="C1038" t="str">
        <f>IF(原始经营数据!$D1039="","",原始经营数据!$F1039)</f>
        <v>2026Q1</v>
      </c>
      <c r="D1038" t="str">
        <f>IF(原始经营数据!$D1039="","",原始经营数据!$H1039)</f>
        <v>期内租金单价水平</v>
      </c>
      <c r="E1038">
        <f>IF(原始经营数据!$D1039="","",原始经营数据!$I1039)</f>
        <v>218.58</v>
      </c>
      <c r="F1038" t="str">
        <f>IF(原始经营数据!$D1039="","",T(原始经营数据!$J1039))</f>
        <v>元/平方米/月</v>
      </c>
      <c r="G1038" t="str">
        <f>IF(原始经营数据!$D1039="","",T(原始经营数据!$K1039))</f>
        <v/>
      </c>
      <c r="H1038" t="str">
        <f>IF(原始经营数据!$D1039="","",原始经营数据!$G1039)</f>
        <v>服务价格</v>
      </c>
      <c r="I1038" t="str">
        <f>IF($A1038="","",IF($B1038&lt;&gt;"",$B1038,IF(COUNTIFS(原始经营数据!$D$3:$D$3001,$A1038,原始经营数据!$E$3:$E$3001,"",原始经营数据!$F$3:$F$3001,$C1038,原始经营数据!$H$3:$H$3001,$D1038,原始经营数据!$K$3:$K$3001,$G1038)&gt;1,"基金整体·来源"&amp;原始经营数据!$A1039,"基金整体")))</f>
        <v>基金整体</v>
      </c>
      <c r="J1038" t="str">
        <f t="shared" si="243"/>
        <v>季度</v>
      </c>
      <c r="K1038" t="str">
        <f t="shared" si="244"/>
        <v>期内租金单价水平（元/平方米/月）</v>
      </c>
      <c r="L1038" t="str">
        <f t="shared" si="245"/>
        <v>基金整体|期内租金单价水平（元/平方米/月）|季度</v>
      </c>
      <c r="M1038">
        <f>IF($A1038="",0,IF(COUNTIF($L$2:$L1038,$L1038)=1,1,0))</f>
        <v>0</v>
      </c>
      <c r="N1038">
        <f t="shared" si="246"/>
        <v>20261</v>
      </c>
      <c r="O1038" t="str">
        <f t="shared" si="247"/>
        <v>华夏凯德消费封闭式基础设施证券投资基金|2026Q1|季度</v>
      </c>
      <c r="P1038">
        <f>IF($A1038="",0,IF(COUNTIF($O$2:$O1038,$O1038)=1,1,0))</f>
        <v>0</v>
      </c>
      <c r="Q1038" t="str">
        <f>IF(AND($P1038=1,$A1038=经营数据!$B$3,$J1038=经营数据!$BA$5),COUNTIFS($P$2:$P$3000,1,$A$2:$A$3000,$A1038,$J$2:$J$3000,$J1038,$N$2:$N$3000,"&lt;"&amp;$N1038)+1,"")</f>
        <v/>
      </c>
      <c r="R1038" t="str">
        <f t="shared" si="248"/>
        <v>华夏凯德消费封闭式基础设施证券投资基金|基金整体</v>
      </c>
      <c r="S1038">
        <f>IF($A1038="",0,IF(COUNTIF($R$2:$R1038,$R1038)=1,1,0))</f>
        <v>0</v>
      </c>
      <c r="T1038">
        <f t="shared" si="249"/>
        <v>1030</v>
      </c>
      <c r="U1038" t="str">
        <f>IF($A1038="","",IF($A1038=经营数据!$B$3,COUNTIFS($S$2:$S$3000,1,$A$2:$A$3000,$A1038,$T$2:$T$3000,"&lt;"&amp;$T1038)+1,""))</f>
        <v/>
      </c>
      <c r="V1038" t="str">
        <f t="shared" si="250"/>
        <v>基金整体|服务价格</v>
      </c>
      <c r="W1038">
        <f t="shared" si="251"/>
        <v>10</v>
      </c>
      <c r="X1038" t="str">
        <f t="shared" si="252"/>
        <v>基金整体|期内租金单价水平</v>
      </c>
      <c r="Y1038">
        <f t="shared" si="253"/>
        <v>529</v>
      </c>
      <c r="Z1038">
        <f>IF($A1038="",0,IF(AND($M1038=1,$A1038=经营数据!$B$3,$J1038=经营数据!$BA$5,OR($I1038=经营数据!$BA$4,COUNTIF(经营数据!$AA$9:$AA$38,$I1038)&gt;0)),1,0))</f>
        <v>0</v>
      </c>
      <c r="AA1038" t="str">
        <f t="shared" si="254"/>
        <v/>
      </c>
      <c r="AB1038" t="str">
        <f t="shared" si="255"/>
        <v/>
      </c>
      <c r="AC1038">
        <f>IF($A1038="",0,IF(COUNTIF($A$2:$A1038,$A1038)=1,1,0))</f>
        <v>0</v>
      </c>
      <c r="AD1038">
        <f t="shared" si="256"/>
        <v>10</v>
      </c>
      <c r="AE1038" t="str">
        <f t="shared" si="257"/>
        <v>基金整体|期内租金单价水平（元/平方米/月）</v>
      </c>
    </row>
    <row r="1039" spans="1:31" x14ac:dyDescent="0.4">
      <c r="A1039" t="str">
        <f>IF(原始经营数据!$D1040="","",原始经营数据!$D1040)</f>
        <v>华夏凯德消费封闭式基础设施证券投资基金</v>
      </c>
      <c r="B1039" t="str">
        <f>IF(原始经营数据!$D1040="","",T(原始经营数据!$E1040))</f>
        <v>基金整体</v>
      </c>
      <c r="C1039" t="str">
        <f>IF(原始经营数据!$D1040="","",原始经营数据!$F1040)</f>
        <v>2026Q1</v>
      </c>
      <c r="D1039" t="str">
        <f>IF(原始经营数据!$D1040="","",原始经营数据!$H1040)</f>
        <v>期末剩余租期情况</v>
      </c>
      <c r="E1039">
        <f>IF(原始经营数据!$D1040="","",原始经营数据!$I1040)</f>
        <v>2.84</v>
      </c>
      <c r="F1039" t="str">
        <f>IF(原始经营数据!$D1040="","",T(原始经营数据!$J1040))</f>
        <v>年</v>
      </c>
      <c r="G1039" t="str">
        <f>IF(原始经营数据!$D1040="","",T(原始经营数据!$K1040))</f>
        <v/>
      </c>
      <c r="H1039" t="str">
        <f>IF(原始经营数据!$D1040="","",原始经营数据!$G1040)</f>
        <v>服务量</v>
      </c>
      <c r="I1039" t="str">
        <f>IF($A1039="","",IF($B1039&lt;&gt;"",$B1039,IF(COUNTIFS(原始经营数据!$D$3:$D$3001,$A1039,原始经营数据!$E$3:$E$3001,"",原始经营数据!$F$3:$F$3001,$C1039,原始经营数据!$H$3:$H$3001,$D1039,原始经营数据!$K$3:$K$3001,$G1039)&gt;1,"基金整体·来源"&amp;原始经营数据!$A1040,"基金整体")))</f>
        <v>基金整体</v>
      </c>
      <c r="J1039" t="str">
        <f t="shared" si="243"/>
        <v>季度</v>
      </c>
      <c r="K1039" t="str">
        <f t="shared" si="244"/>
        <v>期末剩余租期情况（年）</v>
      </c>
      <c r="L1039" t="str">
        <f t="shared" si="245"/>
        <v>基金整体|期末剩余租期情况（年）|季度</v>
      </c>
      <c r="M1039">
        <f>IF($A1039="",0,IF(COUNTIF($L$2:$L1039,$L1039)=1,1,0))</f>
        <v>0</v>
      </c>
      <c r="N1039">
        <f t="shared" si="246"/>
        <v>20261</v>
      </c>
      <c r="O1039" t="str">
        <f t="shared" si="247"/>
        <v>华夏凯德消费封闭式基础设施证券投资基金|2026Q1|季度</v>
      </c>
      <c r="P1039">
        <f>IF($A1039="",0,IF(COUNTIF($O$2:$O1039,$O1039)=1,1,0))</f>
        <v>0</v>
      </c>
      <c r="Q1039" t="str">
        <f>IF(AND($P1039=1,$A1039=经营数据!$B$3,$J1039=经营数据!$BA$5),COUNTIFS($P$2:$P$3000,1,$A$2:$A$3000,$A1039,$J$2:$J$3000,$J1039,$N$2:$N$3000,"&lt;"&amp;$N1039)+1,"")</f>
        <v/>
      </c>
      <c r="R1039" t="str">
        <f t="shared" si="248"/>
        <v>华夏凯德消费封闭式基础设施证券投资基金|基金整体</v>
      </c>
      <c r="S1039">
        <f>IF($A1039="",0,IF(COUNTIF($R$2:$R1039,$R1039)=1,1,0))</f>
        <v>0</v>
      </c>
      <c r="T1039">
        <f t="shared" si="249"/>
        <v>1030</v>
      </c>
      <c r="U1039" t="str">
        <f>IF($A1039="","",IF($A1039=经营数据!$B$3,COUNTIFS($S$2:$S$3000,1,$A$2:$A$3000,$A1039,$T$2:$T$3000,"&lt;"&amp;$T1039)+1,""))</f>
        <v/>
      </c>
      <c r="V1039" t="str">
        <f t="shared" si="250"/>
        <v>基金整体|服务量</v>
      </c>
      <c r="W1039">
        <f t="shared" si="251"/>
        <v>1</v>
      </c>
      <c r="X1039" t="str">
        <f t="shared" si="252"/>
        <v>基金整体|期末剩余租期情况</v>
      </c>
      <c r="Y1039">
        <f t="shared" si="253"/>
        <v>665</v>
      </c>
      <c r="Z1039">
        <f>IF($A1039="",0,IF(AND($M1039=1,$A1039=经营数据!$B$3,$J1039=经营数据!$BA$5,OR($I1039=经营数据!$BA$4,COUNTIF(经营数据!$AA$9:$AA$38,$I1039)&gt;0)),1,0))</f>
        <v>0</v>
      </c>
      <c r="AA1039" t="str">
        <f t="shared" si="254"/>
        <v/>
      </c>
      <c r="AB1039" t="str">
        <f t="shared" si="255"/>
        <v/>
      </c>
      <c r="AC1039">
        <f>IF($A1039="",0,IF(COUNTIF($A$2:$A1039,$A1039)=1,1,0))</f>
        <v>0</v>
      </c>
      <c r="AD1039">
        <f t="shared" si="256"/>
        <v>10</v>
      </c>
      <c r="AE1039" t="str">
        <f t="shared" si="257"/>
        <v>基金整体|期末剩余租期情况（年）</v>
      </c>
    </row>
    <row r="1040" spans="1:31" x14ac:dyDescent="0.4">
      <c r="A1040" t="str">
        <f>IF(原始经营数据!$D1041="","",原始经营数据!$D1041)</f>
        <v>华夏凯德消费封闭式基础设施证券投资基金</v>
      </c>
      <c r="B1040" t="str">
        <f>IF(原始经营数据!$D1041="","",T(原始经营数据!$E1041))</f>
        <v>基金整体</v>
      </c>
      <c r="C1040" t="str">
        <f>IF(原始经营数据!$D1041="","",原始经营数据!$F1041)</f>
        <v>2026Q1</v>
      </c>
      <c r="D1040" t="str">
        <f>IF(原始经营数据!$D1041="","",原始经营数据!$H1041)</f>
        <v>期末租金收缴率</v>
      </c>
      <c r="E1040">
        <f>IF(原始经营数据!$D1041="","",原始经营数据!$I1041)</f>
        <v>97.27</v>
      </c>
      <c r="F1040" t="str">
        <f>IF(原始经营数据!$D1041="","",T(原始经营数据!$J1041))</f>
        <v>%</v>
      </c>
      <c r="G1040" t="str">
        <f>IF(原始经营数据!$D1041="","",T(原始经营数据!$K1041))</f>
        <v/>
      </c>
      <c r="H1040" t="str">
        <f>IF(原始经营数据!$D1041="","",原始经营数据!$G1041)</f>
        <v>服务效率</v>
      </c>
      <c r="I1040" t="str">
        <f>IF($A1040="","",IF($B1040&lt;&gt;"",$B1040,IF(COUNTIFS(原始经营数据!$D$3:$D$3001,$A1040,原始经营数据!$E$3:$E$3001,"",原始经营数据!$F$3:$F$3001,$C1040,原始经营数据!$H$3:$H$3001,$D1040,原始经营数据!$K$3:$K$3001,$G1040)&gt;1,"基金整体·来源"&amp;原始经营数据!$A1041,"基金整体")))</f>
        <v>基金整体</v>
      </c>
      <c r="J1040" t="str">
        <f t="shared" si="243"/>
        <v>季度</v>
      </c>
      <c r="K1040" t="str">
        <f t="shared" si="244"/>
        <v>期末租金收缴率（%）</v>
      </c>
      <c r="L1040" t="str">
        <f t="shared" si="245"/>
        <v>基金整体|期末租金收缴率（%）|季度</v>
      </c>
      <c r="M1040">
        <f>IF($A1040="",0,IF(COUNTIF($L$2:$L1040,$L1040)=1,1,0))</f>
        <v>0</v>
      </c>
      <c r="N1040">
        <f t="shared" si="246"/>
        <v>20261</v>
      </c>
      <c r="O1040" t="str">
        <f t="shared" si="247"/>
        <v>华夏凯德消费封闭式基础设施证券投资基金|2026Q1|季度</v>
      </c>
      <c r="P1040">
        <f>IF($A1040="",0,IF(COUNTIF($O$2:$O1040,$O1040)=1,1,0))</f>
        <v>0</v>
      </c>
      <c r="Q1040" t="str">
        <f>IF(AND($P1040=1,$A1040=经营数据!$B$3,$J1040=经营数据!$BA$5),COUNTIFS($P$2:$P$3000,1,$A$2:$A$3000,$A1040,$J$2:$J$3000,$J1040,$N$2:$N$3000,"&lt;"&amp;$N1040)+1,"")</f>
        <v/>
      </c>
      <c r="R1040" t="str">
        <f t="shared" si="248"/>
        <v>华夏凯德消费封闭式基础设施证券投资基金|基金整体</v>
      </c>
      <c r="S1040">
        <f>IF($A1040="",0,IF(COUNTIF($R$2:$R1040,$R1040)=1,1,0))</f>
        <v>0</v>
      </c>
      <c r="T1040">
        <f t="shared" si="249"/>
        <v>1030</v>
      </c>
      <c r="U1040" t="str">
        <f>IF($A1040="","",IF($A1040=经营数据!$B$3,COUNTIFS($S$2:$S$3000,1,$A$2:$A$3000,$A1040,$T$2:$T$3000,"&lt;"&amp;$T1040)+1,""))</f>
        <v/>
      </c>
      <c r="V1040" t="str">
        <f t="shared" si="250"/>
        <v>基金整体|服务效率</v>
      </c>
      <c r="W1040">
        <f t="shared" si="251"/>
        <v>2</v>
      </c>
      <c r="X1040" t="str">
        <f t="shared" si="252"/>
        <v>基金整体|期末租金收缴率</v>
      </c>
      <c r="Y1040">
        <f t="shared" si="253"/>
        <v>530</v>
      </c>
      <c r="Z1040">
        <f>IF($A1040="",0,IF(AND($M1040=1,$A1040=经营数据!$B$3,$J1040=经营数据!$BA$5,OR($I1040=经营数据!$BA$4,COUNTIF(经营数据!$AA$9:$AA$38,$I1040)&gt;0)),1,0))</f>
        <v>0</v>
      </c>
      <c r="AA1040" t="str">
        <f t="shared" si="254"/>
        <v/>
      </c>
      <c r="AB1040" t="str">
        <f t="shared" si="255"/>
        <v/>
      </c>
      <c r="AC1040">
        <f>IF($A1040="",0,IF(COUNTIF($A$2:$A1040,$A1040)=1,1,0))</f>
        <v>0</v>
      </c>
      <c r="AD1040">
        <f t="shared" si="256"/>
        <v>10</v>
      </c>
      <c r="AE1040" t="str">
        <f t="shared" si="257"/>
        <v>基金整体|期末租金收缴率（%）</v>
      </c>
    </row>
    <row r="1041" spans="1:31" x14ac:dyDescent="0.4">
      <c r="A1041" t="str">
        <f>IF(原始经营数据!$D1042="","",原始经营数据!$D1042)</f>
        <v>华夏凯德消费封闭式基础设施证券投资基金</v>
      </c>
      <c r="B1041" t="str">
        <f>IF(原始经营数据!$D1042="","",T(原始经营数据!$E1042))</f>
        <v>基金整体</v>
      </c>
      <c r="C1041" t="str">
        <f>IF(原始经营数据!$D1042="","",原始经营数据!$F1042)</f>
        <v>2026Q1</v>
      </c>
      <c r="D1041" t="str">
        <f>IF(原始经营数据!$D1042="","",原始经营数据!$H1042)</f>
        <v>期末实际出租面积</v>
      </c>
      <c r="E1041">
        <f>IF(原始经营数据!$D1042="","",原始经营数据!$I1042)</f>
        <v>85931.55</v>
      </c>
      <c r="F1041" t="str">
        <f>IF(原始经营数据!$D1042="","",T(原始经营数据!$J1042))</f>
        <v>平方米</v>
      </c>
      <c r="G1041" t="str">
        <f>IF(原始经营数据!$D1042="","",T(原始经营数据!$K1042))</f>
        <v/>
      </c>
      <c r="H1041" t="str">
        <f>IF(原始经营数据!$D1042="","",原始经营数据!$G1042)</f>
        <v>服务量</v>
      </c>
      <c r="I1041" t="str">
        <f>IF($A1041="","",IF($B1041&lt;&gt;"",$B1041,IF(COUNTIFS(原始经营数据!$D$3:$D$3001,$A1041,原始经营数据!$E$3:$E$3001,"",原始经营数据!$F$3:$F$3001,$C1041,原始经营数据!$H$3:$H$3001,$D1041,原始经营数据!$K$3:$K$3001,$G1041)&gt;1,"基金整体·来源"&amp;原始经营数据!$A1042,"基金整体")))</f>
        <v>基金整体</v>
      </c>
      <c r="J1041" t="str">
        <f t="shared" si="243"/>
        <v>季度</v>
      </c>
      <c r="K1041" t="str">
        <f t="shared" si="244"/>
        <v>期末实际出租面积（平方米）</v>
      </c>
      <c r="L1041" t="str">
        <f t="shared" si="245"/>
        <v>基金整体|期末实际出租面积（平方米）|季度</v>
      </c>
      <c r="M1041">
        <f>IF($A1041="",0,IF(COUNTIF($L$2:$L1041,$L1041)=1,1,0))</f>
        <v>0</v>
      </c>
      <c r="N1041">
        <f t="shared" si="246"/>
        <v>20261</v>
      </c>
      <c r="O1041" t="str">
        <f t="shared" si="247"/>
        <v>华夏凯德消费封闭式基础设施证券投资基金|2026Q1|季度</v>
      </c>
      <c r="P1041">
        <f>IF($A1041="",0,IF(COUNTIF($O$2:$O1041,$O1041)=1,1,0))</f>
        <v>0</v>
      </c>
      <c r="Q1041" t="str">
        <f>IF(AND($P1041=1,$A1041=经营数据!$B$3,$J1041=经营数据!$BA$5),COUNTIFS($P$2:$P$3000,1,$A$2:$A$3000,$A1041,$J$2:$J$3000,$J1041,$N$2:$N$3000,"&lt;"&amp;$N1041)+1,"")</f>
        <v/>
      </c>
      <c r="R1041" t="str">
        <f t="shared" si="248"/>
        <v>华夏凯德消费封闭式基础设施证券投资基金|基金整体</v>
      </c>
      <c r="S1041">
        <f>IF($A1041="",0,IF(COUNTIF($R$2:$R1041,$R1041)=1,1,0))</f>
        <v>0</v>
      </c>
      <c r="T1041">
        <f t="shared" si="249"/>
        <v>1030</v>
      </c>
      <c r="U1041" t="str">
        <f>IF($A1041="","",IF($A1041=经营数据!$B$3,COUNTIFS($S$2:$S$3000,1,$A$2:$A$3000,$A1041,$T$2:$T$3000,"&lt;"&amp;$T1041)+1,""))</f>
        <v/>
      </c>
      <c r="V1041" t="str">
        <f t="shared" si="250"/>
        <v>基金整体|服务量</v>
      </c>
      <c r="W1041">
        <f t="shared" si="251"/>
        <v>1</v>
      </c>
      <c r="X1041" t="str">
        <f t="shared" si="252"/>
        <v>基金整体|期末实际出租面积</v>
      </c>
      <c r="Y1041">
        <f t="shared" si="253"/>
        <v>4</v>
      </c>
      <c r="Z1041">
        <f>IF($A1041="",0,IF(AND($M1041=1,$A1041=经营数据!$B$3,$J1041=经营数据!$BA$5,OR($I1041=经营数据!$BA$4,COUNTIF(经营数据!$AA$9:$AA$38,$I1041)&gt;0)),1,0))</f>
        <v>0</v>
      </c>
      <c r="AA1041" t="str">
        <f t="shared" si="254"/>
        <v/>
      </c>
      <c r="AB1041" t="str">
        <f t="shared" si="255"/>
        <v/>
      </c>
      <c r="AC1041">
        <f>IF($A1041="",0,IF(COUNTIF($A$2:$A1041,$A1041)=1,1,0))</f>
        <v>0</v>
      </c>
      <c r="AD1041">
        <f t="shared" si="256"/>
        <v>10</v>
      </c>
      <c r="AE1041" t="str">
        <f t="shared" si="257"/>
        <v>基金整体|期末实际出租面积（平方米）</v>
      </c>
    </row>
    <row r="1042" spans="1:31" x14ac:dyDescent="0.4">
      <c r="A1042" t="str">
        <f>IF(原始经营数据!$D1043="","",原始经营数据!$D1043)</f>
        <v>华夏凯德消费封闭式基础设施证券投资基金</v>
      </c>
      <c r="B1042" t="str">
        <f>IF(原始经营数据!$D1043="","",T(原始经营数据!$E1043))</f>
        <v>基金整体</v>
      </c>
      <c r="C1042" t="str">
        <f>IF(原始经营数据!$D1043="","",原始经营数据!$F1043)</f>
        <v>2026Q1</v>
      </c>
      <c r="D1042" t="str">
        <f>IF(原始经营数据!$D1043="","",原始经营数据!$H1043)</f>
        <v>期末可供出租面积</v>
      </c>
      <c r="E1042">
        <f>IF(原始经营数据!$D1043="","",原始经营数据!$I1043)</f>
        <v>87649.87</v>
      </c>
      <c r="F1042" t="str">
        <f>IF(原始经营数据!$D1043="","",T(原始经营数据!$J1043))</f>
        <v>平方米</v>
      </c>
      <c r="G1042" t="str">
        <f>IF(原始经营数据!$D1043="","",T(原始经营数据!$K1043))</f>
        <v/>
      </c>
      <c r="H1042" t="str">
        <f>IF(原始经营数据!$D1043="","",原始经营数据!$G1043)</f>
        <v>服务量</v>
      </c>
      <c r="I1042" t="str">
        <f>IF($A1042="","",IF($B1042&lt;&gt;"",$B1042,IF(COUNTIFS(原始经营数据!$D$3:$D$3001,$A1042,原始经营数据!$E$3:$E$3001,"",原始经营数据!$F$3:$F$3001,$C1042,原始经营数据!$H$3:$H$3001,$D1042,原始经营数据!$K$3:$K$3001,$G1042)&gt;1,"基金整体·来源"&amp;原始经营数据!$A1043,"基金整体")))</f>
        <v>基金整体</v>
      </c>
      <c r="J1042" t="str">
        <f t="shared" si="243"/>
        <v>季度</v>
      </c>
      <c r="K1042" t="str">
        <f t="shared" si="244"/>
        <v>期末可供出租面积（平方米）</v>
      </c>
      <c r="L1042" t="str">
        <f t="shared" si="245"/>
        <v>基金整体|期末可供出租面积（平方米）|季度</v>
      </c>
      <c r="M1042">
        <f>IF($A1042="",0,IF(COUNTIF($L$2:$L1042,$L1042)=1,1,0))</f>
        <v>0</v>
      </c>
      <c r="N1042">
        <f t="shared" si="246"/>
        <v>20261</v>
      </c>
      <c r="O1042" t="str">
        <f t="shared" si="247"/>
        <v>华夏凯德消费封闭式基础设施证券投资基金|2026Q1|季度</v>
      </c>
      <c r="P1042">
        <f>IF($A1042="",0,IF(COUNTIF($O$2:$O1042,$O1042)=1,1,0))</f>
        <v>0</v>
      </c>
      <c r="Q1042" t="str">
        <f>IF(AND($P1042=1,$A1042=经营数据!$B$3,$J1042=经营数据!$BA$5),COUNTIFS($P$2:$P$3000,1,$A$2:$A$3000,$A1042,$J$2:$J$3000,$J1042,$N$2:$N$3000,"&lt;"&amp;$N1042)+1,"")</f>
        <v/>
      </c>
      <c r="R1042" t="str">
        <f t="shared" si="248"/>
        <v>华夏凯德消费封闭式基础设施证券投资基金|基金整体</v>
      </c>
      <c r="S1042">
        <f>IF($A1042="",0,IF(COUNTIF($R$2:$R1042,$R1042)=1,1,0))</f>
        <v>0</v>
      </c>
      <c r="T1042">
        <f t="shared" si="249"/>
        <v>1030</v>
      </c>
      <c r="U1042" t="str">
        <f>IF($A1042="","",IF($A1042=经营数据!$B$3,COUNTIFS($S$2:$S$3000,1,$A$2:$A$3000,$A1042,$T$2:$T$3000,"&lt;"&amp;$T1042)+1,""))</f>
        <v/>
      </c>
      <c r="V1042" t="str">
        <f t="shared" si="250"/>
        <v>基金整体|服务量</v>
      </c>
      <c r="W1042">
        <f t="shared" si="251"/>
        <v>1</v>
      </c>
      <c r="X1042" t="str">
        <f t="shared" si="252"/>
        <v>基金整体|期末可供出租面积</v>
      </c>
      <c r="Y1042">
        <f t="shared" si="253"/>
        <v>3</v>
      </c>
      <c r="Z1042">
        <f>IF($A1042="",0,IF(AND($M1042=1,$A1042=经营数据!$B$3,$J1042=经营数据!$BA$5,OR($I1042=经营数据!$BA$4,COUNTIF(经营数据!$AA$9:$AA$38,$I1042)&gt;0)),1,0))</f>
        <v>0</v>
      </c>
      <c r="AA1042" t="str">
        <f t="shared" si="254"/>
        <v/>
      </c>
      <c r="AB1042" t="str">
        <f t="shared" si="255"/>
        <v/>
      </c>
      <c r="AC1042">
        <f>IF($A1042="",0,IF(COUNTIF($A$2:$A1042,$A1042)=1,1,0))</f>
        <v>0</v>
      </c>
      <c r="AD1042">
        <f t="shared" si="256"/>
        <v>10</v>
      </c>
      <c r="AE1042" t="str">
        <f t="shared" si="257"/>
        <v>基金整体|期末可供出租面积（平方米）</v>
      </c>
    </row>
    <row r="1043" spans="1:31" x14ac:dyDescent="0.4">
      <c r="A1043" t="str">
        <f>IF(原始经营数据!$D1044="","",原始经营数据!$D1044)</f>
        <v>华夏凯德消费封闭式基础设施证券投资基金</v>
      </c>
      <c r="B1043" t="str">
        <f>IF(原始经营数据!$D1044="","",T(原始经营数据!$E1044))</f>
        <v>基金整体</v>
      </c>
      <c r="C1043" t="str">
        <f>IF(原始经营数据!$D1044="","",原始经营数据!$F1044)</f>
        <v>2026Q2</v>
      </c>
      <c r="D1043" t="str">
        <f>IF(原始经营数据!$D1044="","",原始经营数据!$H1044)</f>
        <v>期末可供出租面积</v>
      </c>
      <c r="E1043">
        <f>IF(原始经营数据!$D1044="","",原始经营数据!$I1044)</f>
        <v>87434.91</v>
      </c>
      <c r="F1043" t="str">
        <f>IF(原始经营数据!$D1044="","",T(原始经营数据!$J1044))</f>
        <v>平方米</v>
      </c>
      <c r="G1043" t="str">
        <f>IF(原始经营数据!$D1044="","",T(原始经营数据!$K1044))</f>
        <v/>
      </c>
      <c r="H1043" t="str">
        <f>IF(原始经营数据!$D1044="","",原始经营数据!$G1044)</f>
        <v>服务量</v>
      </c>
      <c r="I1043" t="str">
        <f>IF($A1043="","",IF($B1043&lt;&gt;"",$B1043,IF(COUNTIFS(原始经营数据!$D$3:$D$3001,$A1043,原始经营数据!$E$3:$E$3001,"",原始经营数据!$F$3:$F$3001,$C1043,原始经营数据!$H$3:$H$3001,$D1043,原始经营数据!$K$3:$K$3001,$G1043)&gt;1,"基金整体·来源"&amp;原始经营数据!$A1044,"基金整体")))</f>
        <v>基金整体</v>
      </c>
      <c r="J1043" t="str">
        <f t="shared" si="243"/>
        <v>季度</v>
      </c>
      <c r="K1043" t="str">
        <f t="shared" si="244"/>
        <v>期末可供出租面积（平方米）</v>
      </c>
      <c r="L1043" t="str">
        <f t="shared" si="245"/>
        <v>基金整体|期末可供出租面积（平方米）|季度</v>
      </c>
      <c r="M1043">
        <f>IF($A1043="",0,IF(COUNTIF($L$2:$L1043,$L1043)=1,1,0))</f>
        <v>0</v>
      </c>
      <c r="N1043">
        <f t="shared" si="246"/>
        <v>20262</v>
      </c>
      <c r="O1043" t="str">
        <f t="shared" si="247"/>
        <v>华夏凯德消费封闭式基础设施证券投资基金|2026Q2|季度</v>
      </c>
      <c r="P1043">
        <f>IF($A1043="",0,IF(COUNTIF($O$2:$O1043,$O1043)=1,1,0))</f>
        <v>1</v>
      </c>
      <c r="Q1043" t="str">
        <f>IF(AND($P1043=1,$A1043=经营数据!$B$3,$J1043=经营数据!$BA$5),COUNTIFS($P$2:$P$3000,1,$A$2:$A$3000,$A1043,$J$2:$J$3000,$J1043,$N$2:$N$3000,"&lt;"&amp;$N1043)+1,"")</f>
        <v/>
      </c>
      <c r="R1043" t="str">
        <f t="shared" si="248"/>
        <v>华夏凯德消费封闭式基础设施证券投资基金|基金整体</v>
      </c>
      <c r="S1043">
        <f>IF($A1043="",0,IF(COUNTIF($R$2:$R1043,$R1043)=1,1,0))</f>
        <v>0</v>
      </c>
      <c r="T1043">
        <f t="shared" si="249"/>
        <v>1030</v>
      </c>
      <c r="U1043" t="str">
        <f>IF($A1043="","",IF($A1043=经营数据!$B$3,COUNTIFS($S$2:$S$3000,1,$A$2:$A$3000,$A1043,$T$2:$T$3000,"&lt;"&amp;$T1043)+1,""))</f>
        <v/>
      </c>
      <c r="V1043" t="str">
        <f t="shared" si="250"/>
        <v>基金整体|服务量</v>
      </c>
      <c r="W1043">
        <f t="shared" si="251"/>
        <v>1</v>
      </c>
      <c r="X1043" t="str">
        <f t="shared" si="252"/>
        <v>基金整体|期末可供出租面积</v>
      </c>
      <c r="Y1043">
        <f t="shared" si="253"/>
        <v>3</v>
      </c>
      <c r="Z1043">
        <f>IF($A1043="",0,IF(AND($M1043=1,$A1043=经营数据!$B$3,$J1043=经营数据!$BA$5,OR($I1043=经营数据!$BA$4,COUNTIF(经营数据!$AA$9:$AA$38,$I1043)&gt;0)),1,0))</f>
        <v>0</v>
      </c>
      <c r="AA1043" t="str">
        <f t="shared" si="254"/>
        <v/>
      </c>
      <c r="AB1043" t="str">
        <f t="shared" si="255"/>
        <v/>
      </c>
      <c r="AC1043">
        <f>IF($A1043="",0,IF(COUNTIF($A$2:$A1043,$A1043)=1,1,0))</f>
        <v>0</v>
      </c>
      <c r="AD1043">
        <f t="shared" si="256"/>
        <v>10</v>
      </c>
      <c r="AE1043" t="str">
        <f t="shared" si="257"/>
        <v>基金整体|期末可供出租面积（平方米）</v>
      </c>
    </row>
    <row r="1044" spans="1:31" x14ac:dyDescent="0.4">
      <c r="A1044" t="str">
        <f>IF(原始经营数据!$D1045="","",原始经营数据!$D1045)</f>
        <v>华夏凯德消费封闭式基础设施证券投资基金</v>
      </c>
      <c r="B1044" t="str">
        <f>IF(原始经营数据!$D1045="","",T(原始经营数据!$E1045))</f>
        <v>基金整体</v>
      </c>
      <c r="C1044" t="str">
        <f>IF(原始经营数据!$D1045="","",原始经营数据!$F1045)</f>
        <v>2026Q2</v>
      </c>
      <c r="D1044" t="str">
        <f>IF(原始经营数据!$D1045="","",原始经营数据!$H1045)</f>
        <v>期末租金收缴率</v>
      </c>
      <c r="E1044">
        <f>IF(原始经营数据!$D1045="","",原始经营数据!$I1045)</f>
        <v>98.53</v>
      </c>
      <c r="F1044" t="str">
        <f>IF(原始经营数据!$D1045="","",T(原始经营数据!$J1045))</f>
        <v>%</v>
      </c>
      <c r="G1044" t="str">
        <f>IF(原始经营数据!$D1045="","",T(原始经营数据!$K1045))</f>
        <v/>
      </c>
      <c r="H1044" t="str">
        <f>IF(原始经营数据!$D1045="","",原始经营数据!$G1045)</f>
        <v>服务效率</v>
      </c>
      <c r="I1044" t="str">
        <f>IF($A1044="","",IF($B1044&lt;&gt;"",$B1044,IF(COUNTIFS(原始经营数据!$D$3:$D$3001,$A1044,原始经营数据!$E$3:$E$3001,"",原始经营数据!$F$3:$F$3001,$C1044,原始经营数据!$H$3:$H$3001,$D1044,原始经营数据!$K$3:$K$3001,$G1044)&gt;1,"基金整体·来源"&amp;原始经营数据!$A1045,"基金整体")))</f>
        <v>基金整体</v>
      </c>
      <c r="J1044" t="str">
        <f t="shared" si="243"/>
        <v>季度</v>
      </c>
      <c r="K1044" t="str">
        <f t="shared" si="244"/>
        <v>期末租金收缴率（%）</v>
      </c>
      <c r="L1044" t="str">
        <f t="shared" si="245"/>
        <v>基金整体|期末租金收缴率（%）|季度</v>
      </c>
      <c r="M1044">
        <f>IF($A1044="",0,IF(COUNTIF($L$2:$L1044,$L1044)=1,1,0))</f>
        <v>0</v>
      </c>
      <c r="N1044">
        <f t="shared" si="246"/>
        <v>20262</v>
      </c>
      <c r="O1044" t="str">
        <f t="shared" si="247"/>
        <v>华夏凯德消费封闭式基础设施证券投资基金|2026Q2|季度</v>
      </c>
      <c r="P1044">
        <f>IF($A1044="",0,IF(COUNTIF($O$2:$O1044,$O1044)=1,1,0))</f>
        <v>0</v>
      </c>
      <c r="Q1044" t="str">
        <f>IF(AND($P1044=1,$A1044=经营数据!$B$3,$J1044=经营数据!$BA$5),COUNTIFS($P$2:$P$3000,1,$A$2:$A$3000,$A1044,$J$2:$J$3000,$J1044,$N$2:$N$3000,"&lt;"&amp;$N1044)+1,"")</f>
        <v/>
      </c>
      <c r="R1044" t="str">
        <f t="shared" si="248"/>
        <v>华夏凯德消费封闭式基础设施证券投资基金|基金整体</v>
      </c>
      <c r="S1044">
        <f>IF($A1044="",0,IF(COUNTIF($R$2:$R1044,$R1044)=1,1,0))</f>
        <v>0</v>
      </c>
      <c r="T1044">
        <f t="shared" si="249"/>
        <v>1030</v>
      </c>
      <c r="U1044" t="str">
        <f>IF($A1044="","",IF($A1044=经营数据!$B$3,COUNTIFS($S$2:$S$3000,1,$A$2:$A$3000,$A1044,$T$2:$T$3000,"&lt;"&amp;$T1044)+1,""))</f>
        <v/>
      </c>
      <c r="V1044" t="str">
        <f t="shared" si="250"/>
        <v>基金整体|服务效率</v>
      </c>
      <c r="W1044">
        <f t="shared" si="251"/>
        <v>2</v>
      </c>
      <c r="X1044" t="str">
        <f t="shared" si="252"/>
        <v>基金整体|期末租金收缴率</v>
      </c>
      <c r="Y1044">
        <f t="shared" si="253"/>
        <v>530</v>
      </c>
      <c r="Z1044">
        <f>IF($A1044="",0,IF(AND($M1044=1,$A1044=经营数据!$B$3,$J1044=经营数据!$BA$5,OR($I1044=经营数据!$BA$4,COUNTIF(经营数据!$AA$9:$AA$38,$I1044)&gt;0)),1,0))</f>
        <v>0</v>
      </c>
      <c r="AA1044" t="str">
        <f t="shared" si="254"/>
        <v/>
      </c>
      <c r="AB1044" t="str">
        <f t="shared" si="255"/>
        <v/>
      </c>
      <c r="AC1044">
        <f>IF($A1044="",0,IF(COUNTIF($A$2:$A1044,$A1044)=1,1,0))</f>
        <v>0</v>
      </c>
      <c r="AD1044">
        <f t="shared" si="256"/>
        <v>10</v>
      </c>
      <c r="AE1044" t="str">
        <f t="shared" si="257"/>
        <v>基金整体|期末租金收缴率（%）</v>
      </c>
    </row>
    <row r="1045" spans="1:31" x14ac:dyDescent="0.4">
      <c r="A1045" t="str">
        <f>IF(原始经营数据!$D1046="","",原始经营数据!$D1046)</f>
        <v>华夏凯德消费封闭式基础设施证券投资基金</v>
      </c>
      <c r="B1045" t="str">
        <f>IF(原始经营数据!$D1046="","",T(原始经营数据!$E1046))</f>
        <v>基金整体</v>
      </c>
      <c r="C1045" t="str">
        <f>IF(原始经营数据!$D1046="","",原始经营数据!$F1046)</f>
        <v>2026Q2</v>
      </c>
      <c r="D1045" t="str">
        <f>IF(原始经营数据!$D1046="","",原始经营数据!$H1046)</f>
        <v>期末剩余租期情况</v>
      </c>
      <c r="E1045">
        <f>IF(原始经营数据!$D1046="","",原始经营数据!$I1046)</f>
        <v>3.4</v>
      </c>
      <c r="F1045" t="str">
        <f>IF(原始经营数据!$D1046="","",T(原始经营数据!$J1046))</f>
        <v>年</v>
      </c>
      <c r="G1045" t="str">
        <f>IF(原始经营数据!$D1046="","",T(原始经营数据!$K1046))</f>
        <v/>
      </c>
      <c r="H1045" t="str">
        <f>IF(原始经营数据!$D1046="","",原始经营数据!$G1046)</f>
        <v>服务量</v>
      </c>
      <c r="I1045" t="str">
        <f>IF($A1045="","",IF($B1045&lt;&gt;"",$B1045,IF(COUNTIFS(原始经营数据!$D$3:$D$3001,$A1045,原始经营数据!$E$3:$E$3001,"",原始经营数据!$F$3:$F$3001,$C1045,原始经营数据!$H$3:$H$3001,$D1045,原始经营数据!$K$3:$K$3001,$G1045)&gt;1,"基金整体·来源"&amp;原始经营数据!$A1046,"基金整体")))</f>
        <v>基金整体</v>
      </c>
      <c r="J1045" t="str">
        <f t="shared" si="243"/>
        <v>季度</v>
      </c>
      <c r="K1045" t="str">
        <f t="shared" si="244"/>
        <v>期末剩余租期情况（年）</v>
      </c>
      <c r="L1045" t="str">
        <f t="shared" si="245"/>
        <v>基金整体|期末剩余租期情况（年）|季度</v>
      </c>
      <c r="M1045">
        <f>IF($A1045="",0,IF(COUNTIF($L$2:$L1045,$L1045)=1,1,0))</f>
        <v>0</v>
      </c>
      <c r="N1045">
        <f t="shared" si="246"/>
        <v>20262</v>
      </c>
      <c r="O1045" t="str">
        <f t="shared" si="247"/>
        <v>华夏凯德消费封闭式基础设施证券投资基金|2026Q2|季度</v>
      </c>
      <c r="P1045">
        <f>IF($A1045="",0,IF(COUNTIF($O$2:$O1045,$O1045)=1,1,0))</f>
        <v>0</v>
      </c>
      <c r="Q1045" t="str">
        <f>IF(AND($P1045=1,$A1045=经营数据!$B$3,$J1045=经营数据!$BA$5),COUNTIFS($P$2:$P$3000,1,$A$2:$A$3000,$A1045,$J$2:$J$3000,$J1045,$N$2:$N$3000,"&lt;"&amp;$N1045)+1,"")</f>
        <v/>
      </c>
      <c r="R1045" t="str">
        <f t="shared" si="248"/>
        <v>华夏凯德消费封闭式基础设施证券投资基金|基金整体</v>
      </c>
      <c r="S1045">
        <f>IF($A1045="",0,IF(COUNTIF($R$2:$R1045,$R1045)=1,1,0))</f>
        <v>0</v>
      </c>
      <c r="T1045">
        <f t="shared" si="249"/>
        <v>1030</v>
      </c>
      <c r="U1045" t="str">
        <f>IF($A1045="","",IF($A1045=经营数据!$B$3,COUNTIFS($S$2:$S$3000,1,$A$2:$A$3000,$A1045,$T$2:$T$3000,"&lt;"&amp;$T1045)+1,""))</f>
        <v/>
      </c>
      <c r="V1045" t="str">
        <f t="shared" si="250"/>
        <v>基金整体|服务量</v>
      </c>
      <c r="W1045">
        <f t="shared" si="251"/>
        <v>1</v>
      </c>
      <c r="X1045" t="str">
        <f t="shared" si="252"/>
        <v>基金整体|期末剩余租期情况</v>
      </c>
      <c r="Y1045">
        <f t="shared" si="253"/>
        <v>665</v>
      </c>
      <c r="Z1045">
        <f>IF($A1045="",0,IF(AND($M1045=1,$A1045=经营数据!$B$3,$J1045=经营数据!$BA$5,OR($I1045=经营数据!$BA$4,COUNTIF(经营数据!$AA$9:$AA$38,$I1045)&gt;0)),1,0))</f>
        <v>0</v>
      </c>
      <c r="AA1045" t="str">
        <f t="shared" si="254"/>
        <v/>
      </c>
      <c r="AB1045" t="str">
        <f t="shared" si="255"/>
        <v/>
      </c>
      <c r="AC1045">
        <f>IF($A1045="",0,IF(COUNTIF($A$2:$A1045,$A1045)=1,1,0))</f>
        <v>0</v>
      </c>
      <c r="AD1045">
        <f t="shared" si="256"/>
        <v>10</v>
      </c>
      <c r="AE1045" t="str">
        <f t="shared" si="257"/>
        <v>基金整体|期末剩余租期情况（年）</v>
      </c>
    </row>
    <row r="1046" spans="1:31" x14ac:dyDescent="0.4">
      <c r="A1046" t="str">
        <f>IF(原始经营数据!$D1047="","",原始经营数据!$D1047)</f>
        <v>华夏凯德消费封闭式基础设施证券投资基金</v>
      </c>
      <c r="B1046" t="str">
        <f>IF(原始经营数据!$D1047="","",T(原始经营数据!$E1047))</f>
        <v>基金整体</v>
      </c>
      <c r="C1046" t="str">
        <f>IF(原始经营数据!$D1047="","",原始经营数据!$F1047)</f>
        <v>2026Q2</v>
      </c>
      <c r="D1046" t="str">
        <f>IF(原始经营数据!$D1047="","",原始经营数据!$H1047)</f>
        <v>期内租金单价水平</v>
      </c>
      <c r="E1046">
        <f>IF(原始经营数据!$D1047="","",原始经营数据!$I1047)</f>
        <v>219.93</v>
      </c>
      <c r="F1046" t="str">
        <f>IF(原始经营数据!$D1047="","",T(原始经营数据!$J1047))</f>
        <v>元/平方米/月</v>
      </c>
      <c r="G1046" t="str">
        <f>IF(原始经营数据!$D1047="","",T(原始经营数据!$K1047))</f>
        <v/>
      </c>
      <c r="H1046" t="str">
        <f>IF(原始经营数据!$D1047="","",原始经营数据!$G1047)</f>
        <v>服务价格</v>
      </c>
      <c r="I1046" t="str">
        <f>IF($A1046="","",IF($B1046&lt;&gt;"",$B1046,IF(COUNTIFS(原始经营数据!$D$3:$D$3001,$A1046,原始经营数据!$E$3:$E$3001,"",原始经营数据!$F$3:$F$3001,$C1046,原始经营数据!$H$3:$H$3001,$D1046,原始经营数据!$K$3:$K$3001,$G1046)&gt;1,"基金整体·来源"&amp;原始经营数据!$A1047,"基金整体")))</f>
        <v>基金整体</v>
      </c>
      <c r="J1046" t="str">
        <f t="shared" si="243"/>
        <v>季度</v>
      </c>
      <c r="K1046" t="str">
        <f t="shared" si="244"/>
        <v>期内租金单价水平（元/平方米/月）</v>
      </c>
      <c r="L1046" t="str">
        <f t="shared" si="245"/>
        <v>基金整体|期内租金单价水平（元/平方米/月）|季度</v>
      </c>
      <c r="M1046">
        <f>IF($A1046="",0,IF(COUNTIF($L$2:$L1046,$L1046)=1,1,0))</f>
        <v>0</v>
      </c>
      <c r="N1046">
        <f t="shared" si="246"/>
        <v>20262</v>
      </c>
      <c r="O1046" t="str">
        <f t="shared" si="247"/>
        <v>华夏凯德消费封闭式基础设施证券投资基金|2026Q2|季度</v>
      </c>
      <c r="P1046">
        <f>IF($A1046="",0,IF(COUNTIF($O$2:$O1046,$O1046)=1,1,0))</f>
        <v>0</v>
      </c>
      <c r="Q1046" t="str">
        <f>IF(AND($P1046=1,$A1046=经营数据!$B$3,$J1046=经营数据!$BA$5),COUNTIFS($P$2:$P$3000,1,$A$2:$A$3000,$A1046,$J$2:$J$3000,$J1046,$N$2:$N$3000,"&lt;"&amp;$N1046)+1,"")</f>
        <v/>
      </c>
      <c r="R1046" t="str">
        <f t="shared" si="248"/>
        <v>华夏凯德消费封闭式基础设施证券投资基金|基金整体</v>
      </c>
      <c r="S1046">
        <f>IF($A1046="",0,IF(COUNTIF($R$2:$R1046,$R1046)=1,1,0))</f>
        <v>0</v>
      </c>
      <c r="T1046">
        <f t="shared" si="249"/>
        <v>1030</v>
      </c>
      <c r="U1046" t="str">
        <f>IF($A1046="","",IF($A1046=经营数据!$B$3,COUNTIFS($S$2:$S$3000,1,$A$2:$A$3000,$A1046,$T$2:$T$3000,"&lt;"&amp;$T1046)+1,""))</f>
        <v/>
      </c>
      <c r="V1046" t="str">
        <f t="shared" si="250"/>
        <v>基金整体|服务价格</v>
      </c>
      <c r="W1046">
        <f t="shared" si="251"/>
        <v>10</v>
      </c>
      <c r="X1046" t="str">
        <f t="shared" si="252"/>
        <v>基金整体|期内租金单价水平</v>
      </c>
      <c r="Y1046">
        <f t="shared" si="253"/>
        <v>529</v>
      </c>
      <c r="Z1046">
        <f>IF($A1046="",0,IF(AND($M1046=1,$A1046=经营数据!$B$3,$J1046=经营数据!$BA$5,OR($I1046=经营数据!$BA$4,COUNTIF(经营数据!$AA$9:$AA$38,$I1046)&gt;0)),1,0))</f>
        <v>0</v>
      </c>
      <c r="AA1046" t="str">
        <f t="shared" si="254"/>
        <v/>
      </c>
      <c r="AB1046" t="str">
        <f t="shared" si="255"/>
        <v/>
      </c>
      <c r="AC1046">
        <f>IF($A1046="",0,IF(COUNTIF($A$2:$A1046,$A1046)=1,1,0))</f>
        <v>0</v>
      </c>
      <c r="AD1046">
        <f t="shared" si="256"/>
        <v>10</v>
      </c>
      <c r="AE1046" t="str">
        <f t="shared" si="257"/>
        <v>基金整体|期内租金单价水平（元/平方米/月）</v>
      </c>
    </row>
    <row r="1047" spans="1:31" x14ac:dyDescent="0.4">
      <c r="A1047" t="str">
        <f>IF(原始经营数据!$D1048="","",原始经营数据!$D1048)</f>
        <v>华夏凯德消费封闭式基础设施证券投资基金</v>
      </c>
      <c r="B1047" t="str">
        <f>IF(原始经营数据!$D1048="","",T(原始经营数据!$E1048))</f>
        <v>基金整体</v>
      </c>
      <c r="C1047" t="str">
        <f>IF(原始经营数据!$D1048="","",原始经营数据!$F1048)</f>
        <v>2026Q2</v>
      </c>
      <c r="D1047" t="str">
        <f>IF(原始经营数据!$D1048="","",原始经营数据!$H1048)</f>
        <v>期末出租率</v>
      </c>
      <c r="E1047">
        <f>IF(原始经营数据!$D1048="","",原始经营数据!$I1048)</f>
        <v>97.27</v>
      </c>
      <c r="F1047" t="str">
        <f>IF(原始经营数据!$D1048="","",T(原始经营数据!$J1048))</f>
        <v>%</v>
      </c>
      <c r="G1047" t="str">
        <f>IF(原始经营数据!$D1048="","",T(原始经营数据!$K1048))</f>
        <v/>
      </c>
      <c r="H1047" t="str">
        <f>IF(原始经营数据!$D1048="","",原始经营数据!$G1048)</f>
        <v>服务效率</v>
      </c>
      <c r="I1047" t="str">
        <f>IF($A1047="","",IF($B1047&lt;&gt;"",$B1047,IF(COUNTIFS(原始经营数据!$D$3:$D$3001,$A1047,原始经营数据!$E$3:$E$3001,"",原始经营数据!$F$3:$F$3001,$C1047,原始经营数据!$H$3:$H$3001,$D1047,原始经营数据!$K$3:$K$3001,$G1047)&gt;1,"基金整体·来源"&amp;原始经营数据!$A1048,"基金整体")))</f>
        <v>基金整体</v>
      </c>
      <c r="J1047" t="str">
        <f t="shared" si="243"/>
        <v>季度</v>
      </c>
      <c r="K1047" t="str">
        <f t="shared" si="244"/>
        <v>期末出租率（%）</v>
      </c>
      <c r="L1047" t="str">
        <f t="shared" si="245"/>
        <v>基金整体|期末出租率（%）|季度</v>
      </c>
      <c r="M1047">
        <f>IF($A1047="",0,IF(COUNTIF($L$2:$L1047,$L1047)=1,1,0))</f>
        <v>0</v>
      </c>
      <c r="N1047">
        <f t="shared" si="246"/>
        <v>20262</v>
      </c>
      <c r="O1047" t="str">
        <f t="shared" si="247"/>
        <v>华夏凯德消费封闭式基础设施证券投资基金|2026Q2|季度</v>
      </c>
      <c r="P1047">
        <f>IF($A1047="",0,IF(COUNTIF($O$2:$O1047,$O1047)=1,1,0))</f>
        <v>0</v>
      </c>
      <c r="Q1047" t="str">
        <f>IF(AND($P1047=1,$A1047=经营数据!$B$3,$J1047=经营数据!$BA$5),COUNTIFS($P$2:$P$3000,1,$A$2:$A$3000,$A1047,$J$2:$J$3000,$J1047,$N$2:$N$3000,"&lt;"&amp;$N1047)+1,"")</f>
        <v/>
      </c>
      <c r="R1047" t="str">
        <f t="shared" si="248"/>
        <v>华夏凯德消费封闭式基础设施证券投资基金|基金整体</v>
      </c>
      <c r="S1047">
        <f>IF($A1047="",0,IF(COUNTIF($R$2:$R1047,$R1047)=1,1,0))</f>
        <v>0</v>
      </c>
      <c r="T1047">
        <f t="shared" si="249"/>
        <v>1030</v>
      </c>
      <c r="U1047" t="str">
        <f>IF($A1047="","",IF($A1047=经营数据!$B$3,COUNTIFS($S$2:$S$3000,1,$A$2:$A$3000,$A1047,$T$2:$T$3000,"&lt;"&amp;$T1047)+1,""))</f>
        <v/>
      </c>
      <c r="V1047" t="str">
        <f t="shared" si="250"/>
        <v>基金整体|服务效率</v>
      </c>
      <c r="W1047">
        <f t="shared" si="251"/>
        <v>2</v>
      </c>
      <c r="X1047" t="str">
        <f t="shared" si="252"/>
        <v>基金整体|期末出租率</v>
      </c>
      <c r="Y1047">
        <f t="shared" si="253"/>
        <v>5</v>
      </c>
      <c r="Z1047">
        <f>IF($A1047="",0,IF(AND($M1047=1,$A1047=经营数据!$B$3,$J1047=经营数据!$BA$5,OR($I1047=经营数据!$BA$4,COUNTIF(经营数据!$AA$9:$AA$38,$I1047)&gt;0)),1,0))</f>
        <v>0</v>
      </c>
      <c r="AA1047" t="str">
        <f t="shared" si="254"/>
        <v/>
      </c>
      <c r="AB1047" t="str">
        <f t="shared" si="255"/>
        <v/>
      </c>
      <c r="AC1047">
        <f>IF($A1047="",0,IF(COUNTIF($A$2:$A1047,$A1047)=1,1,0))</f>
        <v>0</v>
      </c>
      <c r="AD1047">
        <f t="shared" si="256"/>
        <v>10</v>
      </c>
      <c r="AE1047" t="str">
        <f t="shared" si="257"/>
        <v>基金整体|期末出租率（%）</v>
      </c>
    </row>
    <row r="1048" spans="1:31" x14ac:dyDescent="0.4">
      <c r="A1048" t="str">
        <f>IF(原始经营数据!$D1049="","",原始经营数据!$D1049)</f>
        <v>华夏凯德消费封闭式基础设施证券投资基金</v>
      </c>
      <c r="B1048" t="str">
        <f>IF(原始经营数据!$D1049="","",T(原始经营数据!$E1049))</f>
        <v>基金整体</v>
      </c>
      <c r="C1048" t="str">
        <f>IF(原始经营数据!$D1049="","",原始经营数据!$F1049)</f>
        <v>2026Q2</v>
      </c>
      <c r="D1048" t="str">
        <f>IF(原始经营数据!$D1049="","",原始经营数据!$H1049)</f>
        <v>期末实际出租面积</v>
      </c>
      <c r="E1048">
        <f>IF(原始经营数据!$D1049="","",原始经营数据!$I1049)</f>
        <v>85048.75</v>
      </c>
      <c r="F1048" t="str">
        <f>IF(原始经营数据!$D1049="","",T(原始经营数据!$J1049))</f>
        <v>平方米</v>
      </c>
      <c r="G1048" t="str">
        <f>IF(原始经营数据!$D1049="","",T(原始经营数据!$K1049))</f>
        <v/>
      </c>
      <c r="H1048" t="str">
        <f>IF(原始经营数据!$D1049="","",原始经营数据!$G1049)</f>
        <v>服务量</v>
      </c>
      <c r="I1048" t="str">
        <f>IF($A1048="","",IF($B1048&lt;&gt;"",$B1048,IF(COUNTIFS(原始经营数据!$D$3:$D$3001,$A1048,原始经营数据!$E$3:$E$3001,"",原始经营数据!$F$3:$F$3001,$C1048,原始经营数据!$H$3:$H$3001,$D1048,原始经营数据!$K$3:$K$3001,$G1048)&gt;1,"基金整体·来源"&amp;原始经营数据!$A1049,"基金整体")))</f>
        <v>基金整体</v>
      </c>
      <c r="J1048" t="str">
        <f t="shared" si="243"/>
        <v>季度</v>
      </c>
      <c r="K1048" t="str">
        <f t="shared" si="244"/>
        <v>期末实际出租面积（平方米）</v>
      </c>
      <c r="L1048" t="str">
        <f t="shared" si="245"/>
        <v>基金整体|期末实际出租面积（平方米）|季度</v>
      </c>
      <c r="M1048">
        <f>IF($A1048="",0,IF(COUNTIF($L$2:$L1048,$L1048)=1,1,0))</f>
        <v>0</v>
      </c>
      <c r="N1048">
        <f t="shared" si="246"/>
        <v>20262</v>
      </c>
      <c r="O1048" t="str">
        <f t="shared" si="247"/>
        <v>华夏凯德消费封闭式基础设施证券投资基金|2026Q2|季度</v>
      </c>
      <c r="P1048">
        <f>IF($A1048="",0,IF(COUNTIF($O$2:$O1048,$O1048)=1,1,0))</f>
        <v>0</v>
      </c>
      <c r="Q1048" t="str">
        <f>IF(AND($P1048=1,$A1048=经营数据!$B$3,$J1048=经营数据!$BA$5),COUNTIFS($P$2:$P$3000,1,$A$2:$A$3000,$A1048,$J$2:$J$3000,$J1048,$N$2:$N$3000,"&lt;"&amp;$N1048)+1,"")</f>
        <v/>
      </c>
      <c r="R1048" t="str">
        <f t="shared" si="248"/>
        <v>华夏凯德消费封闭式基础设施证券投资基金|基金整体</v>
      </c>
      <c r="S1048">
        <f>IF($A1048="",0,IF(COUNTIF($R$2:$R1048,$R1048)=1,1,0))</f>
        <v>0</v>
      </c>
      <c r="T1048">
        <f t="shared" si="249"/>
        <v>1030</v>
      </c>
      <c r="U1048" t="str">
        <f>IF($A1048="","",IF($A1048=经营数据!$B$3,COUNTIFS($S$2:$S$3000,1,$A$2:$A$3000,$A1048,$T$2:$T$3000,"&lt;"&amp;$T1048)+1,""))</f>
        <v/>
      </c>
      <c r="V1048" t="str">
        <f t="shared" si="250"/>
        <v>基金整体|服务量</v>
      </c>
      <c r="W1048">
        <f t="shared" si="251"/>
        <v>1</v>
      </c>
      <c r="X1048" t="str">
        <f t="shared" si="252"/>
        <v>基金整体|期末实际出租面积</v>
      </c>
      <c r="Y1048">
        <f t="shared" si="253"/>
        <v>4</v>
      </c>
      <c r="Z1048">
        <f>IF($A1048="",0,IF(AND($M1048=1,$A1048=经营数据!$B$3,$J1048=经营数据!$BA$5,OR($I1048=经营数据!$BA$4,COUNTIF(经营数据!$AA$9:$AA$38,$I1048)&gt;0)),1,0))</f>
        <v>0</v>
      </c>
      <c r="AA1048" t="str">
        <f t="shared" si="254"/>
        <v/>
      </c>
      <c r="AB1048" t="str">
        <f t="shared" si="255"/>
        <v/>
      </c>
      <c r="AC1048">
        <f>IF($A1048="",0,IF(COUNTIF($A$2:$A1048,$A1048)=1,1,0))</f>
        <v>0</v>
      </c>
      <c r="AD1048">
        <f t="shared" si="256"/>
        <v>10</v>
      </c>
      <c r="AE1048" t="str">
        <f t="shared" si="257"/>
        <v>基金整体|期末实际出租面积（平方米）</v>
      </c>
    </row>
    <row r="1049" spans="1:31" x14ac:dyDescent="0.4">
      <c r="A1049" t="str">
        <f>IF(原始经营数据!$D1050="","",原始经营数据!$D1050)</f>
        <v>华夏凯德消费封闭式基础设施证券投资基金</v>
      </c>
      <c r="B1049" t="str">
        <f>IF(原始经营数据!$D1050="","",T(原始经营数据!$E1050))</f>
        <v>广州云尚项目</v>
      </c>
      <c r="C1049" t="str">
        <f>IF(原始经营数据!$D1050="","",原始经营数据!$F1050)</f>
        <v>2022</v>
      </c>
      <c r="D1049" t="str">
        <f>IF(原始经营数据!$D1050="","",原始经营数据!$H1050)</f>
        <v>租户数量</v>
      </c>
      <c r="E1049">
        <f>IF(原始经营数据!$D1050="","",原始经营数据!$I1050)</f>
        <v>195</v>
      </c>
      <c r="F1049" t="str">
        <f>IF(原始经营数据!$D1050="","",T(原始经营数据!$J1050))</f>
        <v/>
      </c>
      <c r="G1049" t="str">
        <f>IF(原始经营数据!$D1050="","",T(原始经营数据!$K1050))</f>
        <v>专门店</v>
      </c>
      <c r="H1049" t="str">
        <f>IF(原始经营数据!$D1050="","",原始经营数据!$G1050)</f>
        <v>服务量</v>
      </c>
      <c r="I1049" t="str">
        <f>IF($A1049="","",IF($B1049&lt;&gt;"",$B1049,IF(COUNTIFS(原始经营数据!$D$3:$D$3001,$A1049,原始经营数据!$E$3:$E$3001,"",原始经营数据!$F$3:$F$3001,$C1049,原始经营数据!$H$3:$H$3001,$D1049,原始经营数据!$K$3:$K$3001,$G1049)&gt;1,"基金整体·来源"&amp;原始经营数据!$A1050,"基金整体")))</f>
        <v>广州云尚项目</v>
      </c>
      <c r="J1049" t="str">
        <f t="shared" si="243"/>
        <v>年度</v>
      </c>
      <c r="K1049" t="str">
        <f t="shared" si="244"/>
        <v>租户数量-专门店</v>
      </c>
      <c r="L1049" t="str">
        <f t="shared" si="245"/>
        <v>广州云尚项目|租户数量-专门店|年度</v>
      </c>
      <c r="M1049">
        <f>IF($A1049="",0,IF(COUNTIF($L$2:$L1049,$L1049)=1,1,0))</f>
        <v>1</v>
      </c>
      <c r="N1049">
        <f t="shared" si="246"/>
        <v>20220</v>
      </c>
      <c r="O1049" t="str">
        <f t="shared" si="247"/>
        <v>华夏凯德消费封闭式基础设施证券投资基金|2022|年度</v>
      </c>
      <c r="P1049">
        <f>IF($A1049="",0,IF(COUNTIF($O$2:$O1049,$O1049)=1,1,0))</f>
        <v>1</v>
      </c>
      <c r="Q1049" t="str">
        <f>IF(AND($P1049=1,$A1049=经营数据!$B$3,$J1049=经营数据!$BA$5),COUNTIFS($P$2:$P$3000,1,$A$2:$A$3000,$A1049,$J$2:$J$3000,$J1049,$N$2:$N$3000,"&lt;"&amp;$N1049)+1,"")</f>
        <v/>
      </c>
      <c r="R1049" t="str">
        <f t="shared" si="248"/>
        <v>华夏凯德消费封闭式基础设施证券投资基金|广州云尚项目</v>
      </c>
      <c r="S1049">
        <f>IF($A1049="",0,IF(COUNTIF($R$2:$R1049,$R1049)=1,1,0))</f>
        <v>1</v>
      </c>
      <c r="T1049">
        <f t="shared" si="249"/>
        <v>1048</v>
      </c>
      <c r="U1049" t="str">
        <f>IF($A1049="","",IF($A1049=经营数据!$B$3,COUNTIFS($S$2:$S$3000,1,$A$2:$A$3000,$A1049,$T$2:$T$3000,"&lt;"&amp;$T1049)+1,""))</f>
        <v/>
      </c>
      <c r="V1049" t="str">
        <f t="shared" si="250"/>
        <v>广州云尚项目|服务量</v>
      </c>
      <c r="W1049">
        <f t="shared" si="251"/>
        <v>1048</v>
      </c>
      <c r="X1049" t="str">
        <f t="shared" si="252"/>
        <v>广州云尚项目|租户数量</v>
      </c>
      <c r="Y1049">
        <f t="shared" si="253"/>
        <v>1048</v>
      </c>
      <c r="Z1049">
        <f>IF($A1049="",0,IF(AND($M1049=1,$A1049=经营数据!$B$3,$J1049=经营数据!$BA$5,OR($I1049=经营数据!$BA$4,COUNTIF(经营数据!$AA$9:$AA$38,$I1049)&gt;0)),1,0))</f>
        <v>0</v>
      </c>
      <c r="AA1049" t="str">
        <f t="shared" si="254"/>
        <v/>
      </c>
      <c r="AB1049" t="str">
        <f t="shared" si="255"/>
        <v/>
      </c>
      <c r="AC1049">
        <f>IF($A1049="",0,IF(COUNTIF($A$2:$A1049,$A1049)=1,1,0))</f>
        <v>0</v>
      </c>
      <c r="AD1049">
        <f t="shared" si="256"/>
        <v>10</v>
      </c>
      <c r="AE1049" t="str">
        <f t="shared" si="257"/>
        <v>广州云尚项目|租户数量-专门店</v>
      </c>
    </row>
    <row r="1050" spans="1:31" x14ac:dyDescent="0.4">
      <c r="A1050" t="str">
        <f>IF(原始经营数据!$D1051="","",原始经营数据!$D1051)</f>
        <v>华夏凯德消费封闭式基础设施证券投资基金</v>
      </c>
      <c r="B1050" t="str">
        <f>IF(原始经营数据!$D1051="","",T(原始经营数据!$E1051))</f>
        <v>广州云尚项目</v>
      </c>
      <c r="C1050" t="str">
        <f>IF(原始经营数据!$D1051="","",原始经营数据!$F1051)</f>
        <v>2022</v>
      </c>
      <c r="D1050" t="str">
        <f>IF(原始经营数据!$D1051="","",原始经营数据!$H1051)</f>
        <v>租户数量</v>
      </c>
      <c r="E1050">
        <f>IF(原始经营数据!$D1051="","",原始经营数据!$I1051)</f>
        <v>2</v>
      </c>
      <c r="F1050" t="str">
        <f>IF(原始经营数据!$D1051="","",T(原始经营数据!$J1051))</f>
        <v/>
      </c>
      <c r="G1050" t="str">
        <f>IF(原始经营数据!$D1051="","",T(原始经营数据!$K1051))</f>
        <v>主力店</v>
      </c>
      <c r="H1050" t="str">
        <f>IF(原始经营数据!$D1051="","",原始经营数据!$G1051)</f>
        <v>服务量</v>
      </c>
      <c r="I1050" t="str">
        <f>IF($A1050="","",IF($B1050&lt;&gt;"",$B1050,IF(COUNTIFS(原始经营数据!$D$3:$D$3001,$A1050,原始经营数据!$E$3:$E$3001,"",原始经营数据!$F$3:$F$3001,$C1050,原始经营数据!$H$3:$H$3001,$D1050,原始经营数据!$K$3:$K$3001,$G1050)&gt;1,"基金整体·来源"&amp;原始经营数据!$A1051,"基金整体")))</f>
        <v>广州云尚项目</v>
      </c>
      <c r="J1050" t="str">
        <f t="shared" si="243"/>
        <v>年度</v>
      </c>
      <c r="K1050" t="str">
        <f t="shared" si="244"/>
        <v>租户数量-主力店</v>
      </c>
      <c r="L1050" t="str">
        <f t="shared" si="245"/>
        <v>广州云尚项目|租户数量-主力店|年度</v>
      </c>
      <c r="M1050">
        <f>IF($A1050="",0,IF(COUNTIF($L$2:$L1050,$L1050)=1,1,0))</f>
        <v>1</v>
      </c>
      <c r="N1050">
        <f t="shared" si="246"/>
        <v>20220</v>
      </c>
      <c r="O1050" t="str">
        <f t="shared" si="247"/>
        <v>华夏凯德消费封闭式基础设施证券投资基金|2022|年度</v>
      </c>
      <c r="P1050">
        <f>IF($A1050="",0,IF(COUNTIF($O$2:$O1050,$O1050)=1,1,0))</f>
        <v>0</v>
      </c>
      <c r="Q1050" t="str">
        <f>IF(AND($P1050=1,$A1050=经营数据!$B$3,$J1050=经营数据!$BA$5),COUNTIFS($P$2:$P$3000,1,$A$2:$A$3000,$A1050,$J$2:$J$3000,$J1050,$N$2:$N$3000,"&lt;"&amp;$N1050)+1,"")</f>
        <v/>
      </c>
      <c r="R1050" t="str">
        <f t="shared" si="248"/>
        <v>华夏凯德消费封闭式基础设施证券投资基金|广州云尚项目</v>
      </c>
      <c r="S1050">
        <f>IF($A1050="",0,IF(COUNTIF($R$2:$R1050,$R1050)=1,1,0))</f>
        <v>0</v>
      </c>
      <c r="T1050">
        <f t="shared" si="249"/>
        <v>1048</v>
      </c>
      <c r="U1050" t="str">
        <f>IF($A1050="","",IF($A1050=经营数据!$B$3,COUNTIFS($S$2:$S$3000,1,$A$2:$A$3000,$A1050,$T$2:$T$3000,"&lt;"&amp;$T1050)+1,""))</f>
        <v/>
      </c>
      <c r="V1050" t="str">
        <f t="shared" si="250"/>
        <v>广州云尚项目|服务量</v>
      </c>
      <c r="W1050">
        <f t="shared" si="251"/>
        <v>1048</v>
      </c>
      <c r="X1050" t="str">
        <f t="shared" si="252"/>
        <v>广州云尚项目|租户数量</v>
      </c>
      <c r="Y1050">
        <f t="shared" si="253"/>
        <v>1048</v>
      </c>
      <c r="Z1050">
        <f>IF($A1050="",0,IF(AND($M1050=1,$A1050=经营数据!$B$3,$J1050=经营数据!$BA$5,OR($I1050=经营数据!$BA$4,COUNTIF(经营数据!$AA$9:$AA$38,$I1050)&gt;0)),1,0))</f>
        <v>0</v>
      </c>
      <c r="AA1050" t="str">
        <f t="shared" si="254"/>
        <v/>
      </c>
      <c r="AB1050" t="str">
        <f t="shared" si="255"/>
        <v/>
      </c>
      <c r="AC1050">
        <f>IF($A1050="",0,IF(COUNTIF($A$2:$A1050,$A1050)=1,1,0))</f>
        <v>0</v>
      </c>
      <c r="AD1050">
        <f t="shared" si="256"/>
        <v>10</v>
      </c>
      <c r="AE1050" t="str">
        <f t="shared" si="257"/>
        <v>广州云尚项目|租户数量-主力店</v>
      </c>
    </row>
    <row r="1051" spans="1:31" x14ac:dyDescent="0.4">
      <c r="A1051" t="str">
        <f>IF(原始经营数据!$D1052="","",原始经营数据!$D1052)</f>
        <v>华夏凯德消费封闭式基础设施证券投资基金</v>
      </c>
      <c r="B1051" t="str">
        <f>IF(原始经营数据!$D1052="","",T(原始经营数据!$E1052))</f>
        <v>广州云尚项目</v>
      </c>
      <c r="C1051" t="str">
        <f>IF(原始经营数据!$D1052="","",原始经营数据!$F1052)</f>
        <v>2022</v>
      </c>
      <c r="D1051" t="str">
        <f>IF(原始经营数据!$D1052="","",原始经营数据!$H1052)</f>
        <v>营业收入（考虑租金减免，不含税）</v>
      </c>
      <c r="E1051">
        <f>IF(原始经营数据!$D1052="","",原始经营数据!$I1052)</f>
        <v>1211.27</v>
      </c>
      <c r="F1051" t="str">
        <f>IF(原始经营数据!$D1052="","",T(原始经营数据!$J1052))</f>
        <v>万元</v>
      </c>
      <c r="G1051" t="str">
        <f>IF(原始经营数据!$D1052="","",T(原始经营数据!$K1052))</f>
        <v>其他收入</v>
      </c>
      <c r="H1051" t="str">
        <f>IF(原始经营数据!$D1052="","",原始经营数据!$G1052)</f>
        <v>服务金额</v>
      </c>
      <c r="I1051" t="str">
        <f>IF($A1051="","",IF($B1051&lt;&gt;"",$B1051,IF(COUNTIFS(原始经营数据!$D$3:$D$3001,$A1051,原始经营数据!$E$3:$E$3001,"",原始经营数据!$F$3:$F$3001,$C1051,原始经营数据!$H$3:$H$3001,$D1051,原始经营数据!$K$3:$K$3001,$G1051)&gt;1,"基金整体·来源"&amp;原始经营数据!$A1052,"基金整体")))</f>
        <v>广州云尚项目</v>
      </c>
      <c r="J1051" t="str">
        <f t="shared" si="243"/>
        <v>年度</v>
      </c>
      <c r="K1051" t="str">
        <f t="shared" si="244"/>
        <v>营业收入（考虑租金减免，不含税）-其他收入（万元）</v>
      </c>
      <c r="L1051" t="str">
        <f t="shared" si="245"/>
        <v>广州云尚项目|营业收入（考虑租金减免，不含税）-其他收入（万元）|年度</v>
      </c>
      <c r="M1051">
        <f>IF($A1051="",0,IF(COUNTIF($L$2:$L1051,$L1051)=1,1,0))</f>
        <v>1</v>
      </c>
      <c r="N1051">
        <f t="shared" si="246"/>
        <v>20220</v>
      </c>
      <c r="O1051" t="str">
        <f t="shared" si="247"/>
        <v>华夏凯德消费封闭式基础设施证券投资基金|2022|年度</v>
      </c>
      <c r="P1051">
        <f>IF($A1051="",0,IF(COUNTIF($O$2:$O1051,$O1051)=1,1,0))</f>
        <v>0</v>
      </c>
      <c r="Q1051" t="str">
        <f>IF(AND($P1051=1,$A1051=经营数据!$B$3,$J1051=经营数据!$BA$5),COUNTIFS($P$2:$P$3000,1,$A$2:$A$3000,$A1051,$J$2:$J$3000,$J1051,$N$2:$N$3000,"&lt;"&amp;$N1051)+1,"")</f>
        <v/>
      </c>
      <c r="R1051" t="str">
        <f t="shared" si="248"/>
        <v>华夏凯德消费封闭式基础设施证券投资基金|广州云尚项目</v>
      </c>
      <c r="S1051">
        <f>IF($A1051="",0,IF(COUNTIF($R$2:$R1051,$R1051)=1,1,0))</f>
        <v>0</v>
      </c>
      <c r="T1051">
        <f t="shared" si="249"/>
        <v>1048</v>
      </c>
      <c r="U1051" t="str">
        <f>IF($A1051="","",IF($A1051=经营数据!$B$3,COUNTIFS($S$2:$S$3000,1,$A$2:$A$3000,$A1051,$T$2:$T$3000,"&lt;"&amp;$T1051)+1,""))</f>
        <v/>
      </c>
      <c r="V1051" t="str">
        <f t="shared" si="250"/>
        <v>广州云尚项目|服务金额</v>
      </c>
      <c r="W1051">
        <f t="shared" si="251"/>
        <v>1050</v>
      </c>
      <c r="X1051" t="str">
        <f t="shared" si="252"/>
        <v>广州云尚项目|营业收入（考虑租金减免，不含税）</v>
      </c>
      <c r="Y1051">
        <f t="shared" si="253"/>
        <v>1050</v>
      </c>
      <c r="Z1051">
        <f>IF($A1051="",0,IF(AND($M1051=1,$A1051=经营数据!$B$3,$J1051=经营数据!$BA$5,OR($I1051=经营数据!$BA$4,COUNTIF(经营数据!$AA$9:$AA$38,$I1051)&gt;0)),1,0))</f>
        <v>0</v>
      </c>
      <c r="AA1051" t="str">
        <f t="shared" si="254"/>
        <v/>
      </c>
      <c r="AB1051" t="str">
        <f t="shared" si="255"/>
        <v/>
      </c>
      <c r="AC1051">
        <f>IF($A1051="",0,IF(COUNTIF($A$2:$A1051,$A1051)=1,1,0))</f>
        <v>0</v>
      </c>
      <c r="AD1051">
        <f t="shared" si="256"/>
        <v>10</v>
      </c>
      <c r="AE1051" t="str">
        <f t="shared" si="257"/>
        <v>广州云尚项目|营业收入（考虑租金减免，不含税）-其他收入（万元）</v>
      </c>
    </row>
    <row r="1052" spans="1:31" x14ac:dyDescent="0.4">
      <c r="A1052" t="str">
        <f>IF(原始经营数据!$D1053="","",原始经营数据!$D1053)</f>
        <v>华夏凯德消费封闭式基础设施证券投资基金</v>
      </c>
      <c r="B1052" t="str">
        <f>IF(原始经营数据!$D1053="","",T(原始经营数据!$E1053))</f>
        <v>广州云尚项目</v>
      </c>
      <c r="C1052" t="str">
        <f>IF(原始经营数据!$D1053="","",原始经营数据!$F1053)</f>
        <v>2022</v>
      </c>
      <c r="D1052" t="str">
        <f>IF(原始经营数据!$D1053="","",原始经营数据!$H1053)</f>
        <v>营业收入（考虑租金减免，不含税）</v>
      </c>
      <c r="E1052">
        <f>IF(原始经营数据!$D1053="","",原始经营数据!$I1053)</f>
        <v>3865.35</v>
      </c>
      <c r="F1052" t="str">
        <f>IF(原始经营数据!$D1053="","",T(原始经营数据!$J1053))</f>
        <v>万元</v>
      </c>
      <c r="G1052" t="str">
        <f>IF(原始经营数据!$D1053="","",T(原始经营数据!$K1053))</f>
        <v>物业管理收入</v>
      </c>
      <c r="H1052" t="str">
        <f>IF(原始经营数据!$D1053="","",原始经营数据!$G1053)</f>
        <v>服务金额</v>
      </c>
      <c r="I1052" t="str">
        <f>IF($A1052="","",IF($B1052&lt;&gt;"",$B1052,IF(COUNTIFS(原始经营数据!$D$3:$D$3001,$A1052,原始经营数据!$E$3:$E$3001,"",原始经营数据!$F$3:$F$3001,$C1052,原始经营数据!$H$3:$H$3001,$D1052,原始经营数据!$K$3:$K$3001,$G1052)&gt;1,"基金整体·来源"&amp;原始经营数据!$A1053,"基金整体")))</f>
        <v>广州云尚项目</v>
      </c>
      <c r="J1052" t="str">
        <f t="shared" si="243"/>
        <v>年度</v>
      </c>
      <c r="K1052" t="str">
        <f t="shared" si="244"/>
        <v>营业收入（考虑租金减免，不含税）-物业管理收入（万元）</v>
      </c>
      <c r="L1052" t="str">
        <f t="shared" si="245"/>
        <v>广州云尚项目|营业收入（考虑租金减免，不含税）-物业管理收入（万元）|年度</v>
      </c>
      <c r="M1052">
        <f>IF($A1052="",0,IF(COUNTIF($L$2:$L1052,$L1052)=1,1,0))</f>
        <v>1</v>
      </c>
      <c r="N1052">
        <f t="shared" si="246"/>
        <v>20220</v>
      </c>
      <c r="O1052" t="str">
        <f t="shared" si="247"/>
        <v>华夏凯德消费封闭式基础设施证券投资基金|2022|年度</v>
      </c>
      <c r="P1052">
        <f>IF($A1052="",0,IF(COUNTIF($O$2:$O1052,$O1052)=1,1,0))</f>
        <v>0</v>
      </c>
      <c r="Q1052" t="str">
        <f>IF(AND($P1052=1,$A1052=经营数据!$B$3,$J1052=经营数据!$BA$5),COUNTIFS($P$2:$P$3000,1,$A$2:$A$3000,$A1052,$J$2:$J$3000,$J1052,$N$2:$N$3000,"&lt;"&amp;$N1052)+1,"")</f>
        <v/>
      </c>
      <c r="R1052" t="str">
        <f t="shared" si="248"/>
        <v>华夏凯德消费封闭式基础设施证券投资基金|广州云尚项目</v>
      </c>
      <c r="S1052">
        <f>IF($A1052="",0,IF(COUNTIF($R$2:$R1052,$R1052)=1,1,0))</f>
        <v>0</v>
      </c>
      <c r="T1052">
        <f t="shared" si="249"/>
        <v>1048</v>
      </c>
      <c r="U1052" t="str">
        <f>IF($A1052="","",IF($A1052=经营数据!$B$3,COUNTIFS($S$2:$S$3000,1,$A$2:$A$3000,$A1052,$T$2:$T$3000,"&lt;"&amp;$T1052)+1,""))</f>
        <v/>
      </c>
      <c r="V1052" t="str">
        <f t="shared" si="250"/>
        <v>广州云尚项目|服务金额</v>
      </c>
      <c r="W1052">
        <f t="shared" si="251"/>
        <v>1050</v>
      </c>
      <c r="X1052" t="str">
        <f t="shared" si="252"/>
        <v>广州云尚项目|营业收入（考虑租金减免，不含税）</v>
      </c>
      <c r="Y1052">
        <f t="shared" si="253"/>
        <v>1050</v>
      </c>
      <c r="Z1052">
        <f>IF($A1052="",0,IF(AND($M1052=1,$A1052=经营数据!$B$3,$J1052=经营数据!$BA$5,OR($I1052=经营数据!$BA$4,COUNTIF(经营数据!$AA$9:$AA$38,$I1052)&gt;0)),1,0))</f>
        <v>0</v>
      </c>
      <c r="AA1052" t="str">
        <f t="shared" si="254"/>
        <v/>
      </c>
      <c r="AB1052" t="str">
        <f t="shared" si="255"/>
        <v/>
      </c>
      <c r="AC1052">
        <f>IF($A1052="",0,IF(COUNTIF($A$2:$A1052,$A1052)=1,1,0))</f>
        <v>0</v>
      </c>
      <c r="AD1052">
        <f t="shared" si="256"/>
        <v>10</v>
      </c>
      <c r="AE1052" t="str">
        <f t="shared" si="257"/>
        <v>广州云尚项目|营业收入（考虑租金减免，不含税）-物业管理收入（万元）</v>
      </c>
    </row>
    <row r="1053" spans="1:31" x14ac:dyDescent="0.4">
      <c r="A1053" t="str">
        <f>IF(原始经营数据!$D1054="","",原始经营数据!$D1054)</f>
        <v>华夏凯德消费封闭式基础设施证券投资基金</v>
      </c>
      <c r="B1053" t="str">
        <f>IF(原始经营数据!$D1054="","",T(原始经营数据!$E1054))</f>
        <v>广州云尚项目</v>
      </c>
      <c r="C1053" t="str">
        <f>IF(原始经营数据!$D1054="","",原始经营数据!$F1054)</f>
        <v>2022</v>
      </c>
      <c r="D1053" t="str">
        <f>IF(原始经营数据!$D1054="","",原始经营数据!$H1054)</f>
        <v>专门店平均租金单价</v>
      </c>
      <c r="E1053">
        <f>IF(原始经营数据!$D1054="","",原始经营数据!$I1054)</f>
        <v>251</v>
      </c>
      <c r="F1053" t="str">
        <f>IF(原始经营数据!$D1054="","",T(原始经营数据!$J1054))</f>
        <v/>
      </c>
      <c r="G1053" t="str">
        <f>IF(原始经营数据!$D1054="","",T(原始经营数据!$K1054))</f>
        <v/>
      </c>
      <c r="H1053" t="str">
        <f>IF(原始经营数据!$D1054="","",原始经营数据!$G1054)</f>
        <v>服务价格</v>
      </c>
      <c r="I1053" t="str">
        <f>IF($A1053="","",IF($B1053&lt;&gt;"",$B1053,IF(COUNTIFS(原始经营数据!$D$3:$D$3001,$A1053,原始经营数据!$E$3:$E$3001,"",原始经营数据!$F$3:$F$3001,$C1053,原始经营数据!$H$3:$H$3001,$D1053,原始经营数据!$K$3:$K$3001,$G1053)&gt;1,"基金整体·来源"&amp;原始经营数据!$A1054,"基金整体")))</f>
        <v>广州云尚项目</v>
      </c>
      <c r="J1053" t="str">
        <f t="shared" si="243"/>
        <v>年度</v>
      </c>
      <c r="K1053" t="str">
        <f t="shared" si="244"/>
        <v>专门店平均租金单价</v>
      </c>
      <c r="L1053" t="str">
        <f t="shared" si="245"/>
        <v>广州云尚项目|专门店平均租金单价|年度</v>
      </c>
      <c r="M1053">
        <f>IF($A1053="",0,IF(COUNTIF($L$2:$L1053,$L1053)=1,1,0))</f>
        <v>1</v>
      </c>
      <c r="N1053">
        <f t="shared" si="246"/>
        <v>20220</v>
      </c>
      <c r="O1053" t="str">
        <f t="shared" si="247"/>
        <v>华夏凯德消费封闭式基础设施证券投资基金|2022|年度</v>
      </c>
      <c r="P1053">
        <f>IF($A1053="",0,IF(COUNTIF($O$2:$O1053,$O1053)=1,1,0))</f>
        <v>0</v>
      </c>
      <c r="Q1053" t="str">
        <f>IF(AND($P1053=1,$A1053=经营数据!$B$3,$J1053=经营数据!$BA$5),COUNTIFS($P$2:$P$3000,1,$A$2:$A$3000,$A1053,$J$2:$J$3000,$J1053,$N$2:$N$3000,"&lt;"&amp;$N1053)+1,"")</f>
        <v/>
      </c>
      <c r="R1053" t="str">
        <f t="shared" si="248"/>
        <v>华夏凯德消费封闭式基础设施证券投资基金|广州云尚项目</v>
      </c>
      <c r="S1053">
        <f>IF($A1053="",0,IF(COUNTIF($R$2:$R1053,$R1053)=1,1,0))</f>
        <v>0</v>
      </c>
      <c r="T1053">
        <f t="shared" si="249"/>
        <v>1048</v>
      </c>
      <c r="U1053" t="str">
        <f>IF($A1053="","",IF($A1053=经营数据!$B$3,COUNTIFS($S$2:$S$3000,1,$A$2:$A$3000,$A1053,$T$2:$T$3000,"&lt;"&amp;$T1053)+1,""))</f>
        <v/>
      </c>
      <c r="V1053" t="str">
        <f t="shared" si="250"/>
        <v>广州云尚项目|服务价格</v>
      </c>
      <c r="W1053">
        <f t="shared" si="251"/>
        <v>1052</v>
      </c>
      <c r="X1053" t="str">
        <f t="shared" si="252"/>
        <v>广州云尚项目|专门店平均租金单价</v>
      </c>
      <c r="Y1053">
        <f t="shared" si="253"/>
        <v>1052</v>
      </c>
      <c r="Z1053">
        <f>IF($A1053="",0,IF(AND($M1053=1,$A1053=经营数据!$B$3,$J1053=经营数据!$BA$5,OR($I1053=经营数据!$BA$4,COUNTIF(经营数据!$AA$9:$AA$38,$I1053)&gt;0)),1,0))</f>
        <v>0</v>
      </c>
      <c r="AA1053" t="str">
        <f t="shared" si="254"/>
        <v/>
      </c>
      <c r="AB1053" t="str">
        <f t="shared" si="255"/>
        <v/>
      </c>
      <c r="AC1053">
        <f>IF($A1053="",0,IF(COUNTIF($A$2:$A1053,$A1053)=1,1,0))</f>
        <v>0</v>
      </c>
      <c r="AD1053">
        <f t="shared" si="256"/>
        <v>10</v>
      </c>
      <c r="AE1053" t="str">
        <f t="shared" si="257"/>
        <v>广州云尚项目|专门店平均租金单价</v>
      </c>
    </row>
    <row r="1054" spans="1:31" x14ac:dyDescent="0.4">
      <c r="A1054" t="str">
        <f>IF(原始经营数据!$D1055="","",原始经营数据!$D1055)</f>
        <v>华夏凯德消费封闭式基础设施证券投资基金</v>
      </c>
      <c r="B1054" t="str">
        <f>IF(原始经营数据!$D1055="","",T(原始经营数据!$E1055))</f>
        <v>广州云尚项目</v>
      </c>
      <c r="C1054" t="str">
        <f>IF(原始经营数据!$D1055="","",原始经营数据!$F1055)</f>
        <v>2022</v>
      </c>
      <c r="D1054" t="str">
        <f>IF(原始经营数据!$D1055="","",原始经营数据!$H1055)</f>
        <v>主力店平均租金单价</v>
      </c>
      <c r="E1054">
        <f>IF(原始经营数据!$D1055="","",原始经营数据!$I1055)</f>
        <v>17</v>
      </c>
      <c r="F1054" t="str">
        <f>IF(原始经营数据!$D1055="","",T(原始经营数据!$J1055))</f>
        <v/>
      </c>
      <c r="G1054" t="str">
        <f>IF(原始经营数据!$D1055="","",T(原始经营数据!$K1055))</f>
        <v/>
      </c>
      <c r="H1054" t="str">
        <f>IF(原始经营数据!$D1055="","",原始经营数据!$G1055)</f>
        <v>服务价格</v>
      </c>
      <c r="I1054" t="str">
        <f>IF($A1054="","",IF($B1054&lt;&gt;"",$B1054,IF(COUNTIFS(原始经营数据!$D$3:$D$3001,$A1054,原始经营数据!$E$3:$E$3001,"",原始经营数据!$F$3:$F$3001,$C1054,原始经营数据!$H$3:$H$3001,$D1054,原始经营数据!$K$3:$K$3001,$G1054)&gt;1,"基金整体·来源"&amp;原始经营数据!$A1055,"基金整体")))</f>
        <v>广州云尚项目</v>
      </c>
      <c r="J1054" t="str">
        <f t="shared" si="243"/>
        <v>年度</v>
      </c>
      <c r="K1054" t="str">
        <f t="shared" si="244"/>
        <v>主力店平均租金单价</v>
      </c>
      <c r="L1054" t="str">
        <f t="shared" si="245"/>
        <v>广州云尚项目|主力店平均租金单价|年度</v>
      </c>
      <c r="M1054">
        <f>IF($A1054="",0,IF(COUNTIF($L$2:$L1054,$L1054)=1,1,0))</f>
        <v>1</v>
      </c>
      <c r="N1054">
        <f t="shared" si="246"/>
        <v>20220</v>
      </c>
      <c r="O1054" t="str">
        <f t="shared" si="247"/>
        <v>华夏凯德消费封闭式基础设施证券投资基金|2022|年度</v>
      </c>
      <c r="P1054">
        <f>IF($A1054="",0,IF(COUNTIF($O$2:$O1054,$O1054)=1,1,0))</f>
        <v>0</v>
      </c>
      <c r="Q1054" t="str">
        <f>IF(AND($P1054=1,$A1054=经营数据!$B$3,$J1054=经营数据!$BA$5),COUNTIFS($P$2:$P$3000,1,$A$2:$A$3000,$A1054,$J$2:$J$3000,$J1054,$N$2:$N$3000,"&lt;"&amp;$N1054)+1,"")</f>
        <v/>
      </c>
      <c r="R1054" t="str">
        <f t="shared" si="248"/>
        <v>华夏凯德消费封闭式基础设施证券投资基金|广州云尚项目</v>
      </c>
      <c r="S1054">
        <f>IF($A1054="",0,IF(COUNTIF($R$2:$R1054,$R1054)=1,1,0))</f>
        <v>0</v>
      </c>
      <c r="T1054">
        <f t="shared" si="249"/>
        <v>1048</v>
      </c>
      <c r="U1054" t="str">
        <f>IF($A1054="","",IF($A1054=经营数据!$B$3,COUNTIFS($S$2:$S$3000,1,$A$2:$A$3000,$A1054,$T$2:$T$3000,"&lt;"&amp;$T1054)+1,""))</f>
        <v/>
      </c>
      <c r="V1054" t="str">
        <f t="shared" si="250"/>
        <v>广州云尚项目|服务价格</v>
      </c>
      <c r="W1054">
        <f t="shared" si="251"/>
        <v>1052</v>
      </c>
      <c r="X1054" t="str">
        <f t="shared" si="252"/>
        <v>广州云尚项目|主力店平均租金单价</v>
      </c>
      <c r="Y1054">
        <f t="shared" si="253"/>
        <v>1053</v>
      </c>
      <c r="Z1054">
        <f>IF($A1054="",0,IF(AND($M1054=1,$A1054=经营数据!$B$3,$J1054=经营数据!$BA$5,OR($I1054=经营数据!$BA$4,COUNTIF(经营数据!$AA$9:$AA$38,$I1054)&gt;0)),1,0))</f>
        <v>0</v>
      </c>
      <c r="AA1054" t="str">
        <f t="shared" si="254"/>
        <v/>
      </c>
      <c r="AB1054" t="str">
        <f t="shared" si="255"/>
        <v/>
      </c>
      <c r="AC1054">
        <f>IF($A1054="",0,IF(COUNTIF($A$2:$A1054,$A1054)=1,1,0))</f>
        <v>0</v>
      </c>
      <c r="AD1054">
        <f t="shared" si="256"/>
        <v>10</v>
      </c>
      <c r="AE1054" t="str">
        <f t="shared" si="257"/>
        <v>广州云尚项目|主力店平均租金单价</v>
      </c>
    </row>
    <row r="1055" spans="1:31" x14ac:dyDescent="0.4">
      <c r="A1055" t="str">
        <f>IF(原始经营数据!$D1056="","",原始经营数据!$D1056)</f>
        <v>华夏凯德消费封闭式基础设施证券投资基金</v>
      </c>
      <c r="B1055" t="str">
        <f>IF(原始经营数据!$D1056="","",T(原始经营数据!$E1056))</f>
        <v>广州云尚项目</v>
      </c>
      <c r="C1055" t="str">
        <f>IF(原始经营数据!$D1056="","",原始经营数据!$F1056)</f>
        <v>2022</v>
      </c>
      <c r="D1055" t="str">
        <f>IF(原始经营数据!$D1056="","",原始经营数据!$H1056)</f>
        <v>营业收入（考虑租金减免，不含税）</v>
      </c>
      <c r="E1055">
        <f>IF(原始经营数据!$D1056="","",原始经营数据!$I1056)</f>
        <v>9716.3700000000008</v>
      </c>
      <c r="F1055" t="str">
        <f>IF(原始经营数据!$D1056="","",T(原始经营数据!$J1056))</f>
        <v>万元</v>
      </c>
      <c r="G1055" t="str">
        <f>IF(原始经营数据!$D1056="","",T(原始经营数据!$K1056))</f>
        <v>固定租金收入</v>
      </c>
      <c r="H1055" t="str">
        <f>IF(原始经营数据!$D1056="","",原始经营数据!$G1056)</f>
        <v>服务金额</v>
      </c>
      <c r="I1055" t="str">
        <f>IF($A1055="","",IF($B1055&lt;&gt;"",$B1055,IF(COUNTIFS(原始经营数据!$D$3:$D$3001,$A1055,原始经营数据!$E$3:$E$3001,"",原始经营数据!$F$3:$F$3001,$C1055,原始经营数据!$H$3:$H$3001,$D1055,原始经营数据!$K$3:$K$3001,$G1055)&gt;1,"基金整体·来源"&amp;原始经营数据!$A1056,"基金整体")))</f>
        <v>广州云尚项目</v>
      </c>
      <c r="J1055" t="str">
        <f t="shared" si="243"/>
        <v>年度</v>
      </c>
      <c r="K1055" t="str">
        <f t="shared" si="244"/>
        <v>营业收入（考虑租金减免，不含税）-固定租金收入（万元）</v>
      </c>
      <c r="L1055" t="str">
        <f t="shared" si="245"/>
        <v>广州云尚项目|营业收入（考虑租金减免，不含税）-固定租金收入（万元）|年度</v>
      </c>
      <c r="M1055">
        <f>IF($A1055="",0,IF(COUNTIF($L$2:$L1055,$L1055)=1,1,0))</f>
        <v>1</v>
      </c>
      <c r="N1055">
        <f t="shared" si="246"/>
        <v>20220</v>
      </c>
      <c r="O1055" t="str">
        <f t="shared" si="247"/>
        <v>华夏凯德消费封闭式基础设施证券投资基金|2022|年度</v>
      </c>
      <c r="P1055">
        <f>IF($A1055="",0,IF(COUNTIF($O$2:$O1055,$O1055)=1,1,0))</f>
        <v>0</v>
      </c>
      <c r="Q1055" t="str">
        <f>IF(AND($P1055=1,$A1055=经营数据!$B$3,$J1055=经营数据!$BA$5),COUNTIFS($P$2:$P$3000,1,$A$2:$A$3000,$A1055,$J$2:$J$3000,$J1055,$N$2:$N$3000,"&lt;"&amp;$N1055)+1,"")</f>
        <v/>
      </c>
      <c r="R1055" t="str">
        <f t="shared" si="248"/>
        <v>华夏凯德消费封闭式基础设施证券投资基金|广州云尚项目</v>
      </c>
      <c r="S1055">
        <f>IF($A1055="",0,IF(COUNTIF($R$2:$R1055,$R1055)=1,1,0))</f>
        <v>0</v>
      </c>
      <c r="T1055">
        <f t="shared" si="249"/>
        <v>1048</v>
      </c>
      <c r="U1055" t="str">
        <f>IF($A1055="","",IF($A1055=经营数据!$B$3,COUNTIFS($S$2:$S$3000,1,$A$2:$A$3000,$A1055,$T$2:$T$3000,"&lt;"&amp;$T1055)+1,""))</f>
        <v/>
      </c>
      <c r="V1055" t="str">
        <f t="shared" si="250"/>
        <v>广州云尚项目|服务金额</v>
      </c>
      <c r="W1055">
        <f t="shared" si="251"/>
        <v>1050</v>
      </c>
      <c r="X1055" t="str">
        <f t="shared" si="252"/>
        <v>广州云尚项目|营业收入（考虑租金减免，不含税）</v>
      </c>
      <c r="Y1055">
        <f t="shared" si="253"/>
        <v>1050</v>
      </c>
      <c r="Z1055">
        <f>IF($A1055="",0,IF(AND($M1055=1,$A1055=经营数据!$B$3,$J1055=经营数据!$BA$5,OR($I1055=经营数据!$BA$4,COUNTIF(经营数据!$AA$9:$AA$38,$I1055)&gt;0)),1,0))</f>
        <v>0</v>
      </c>
      <c r="AA1055" t="str">
        <f t="shared" si="254"/>
        <v/>
      </c>
      <c r="AB1055" t="str">
        <f t="shared" si="255"/>
        <v/>
      </c>
      <c r="AC1055">
        <f>IF($A1055="",0,IF(COUNTIF($A$2:$A1055,$A1055)=1,1,0))</f>
        <v>0</v>
      </c>
      <c r="AD1055">
        <f t="shared" si="256"/>
        <v>10</v>
      </c>
      <c r="AE1055" t="str">
        <f t="shared" si="257"/>
        <v>广州云尚项目|营业收入（考虑租金减免，不含税）-固定租金收入（万元）</v>
      </c>
    </row>
    <row r="1056" spans="1:31" x14ac:dyDescent="0.4">
      <c r="A1056" t="str">
        <f>IF(原始经营数据!$D1057="","",原始经营数据!$D1057)</f>
        <v>华夏凯德消费封闭式基础设施证券投资基金</v>
      </c>
      <c r="B1056" t="str">
        <f>IF(原始经营数据!$D1057="","",T(原始经营数据!$E1057))</f>
        <v>广州云尚项目</v>
      </c>
      <c r="C1056" t="str">
        <f>IF(原始经营数据!$D1057="","",原始经营数据!$F1057)</f>
        <v>2022</v>
      </c>
      <c r="D1056" t="str">
        <f>IF(原始经营数据!$D1057="","",原始经营数据!$H1057)</f>
        <v>平均出租率</v>
      </c>
      <c r="E1056">
        <f>IF(原始经营数据!$D1057="","",原始经营数据!$I1057)</f>
        <v>92.9</v>
      </c>
      <c r="F1056" t="str">
        <f>IF(原始经营数据!$D1057="","",T(原始经营数据!$J1057))</f>
        <v>%</v>
      </c>
      <c r="G1056" t="str">
        <f>IF(原始经营数据!$D1057="","",T(原始经营数据!$K1057))</f>
        <v/>
      </c>
      <c r="H1056" t="str">
        <f>IF(原始经营数据!$D1057="","",原始经营数据!$G1057)</f>
        <v>服务效率</v>
      </c>
      <c r="I1056" t="str">
        <f>IF($A1056="","",IF($B1056&lt;&gt;"",$B1056,IF(COUNTIFS(原始经营数据!$D$3:$D$3001,$A1056,原始经营数据!$E$3:$E$3001,"",原始经营数据!$F$3:$F$3001,$C1056,原始经营数据!$H$3:$H$3001,$D1056,原始经营数据!$K$3:$K$3001,$G1056)&gt;1,"基金整体·来源"&amp;原始经营数据!$A1057,"基金整体")))</f>
        <v>广州云尚项目</v>
      </c>
      <c r="J1056" t="str">
        <f t="shared" si="243"/>
        <v>年度</v>
      </c>
      <c r="K1056" t="str">
        <f t="shared" si="244"/>
        <v>平均出租率（%）</v>
      </c>
      <c r="L1056" t="str">
        <f t="shared" si="245"/>
        <v>广州云尚项目|平均出租率（%）|年度</v>
      </c>
      <c r="M1056">
        <f>IF($A1056="",0,IF(COUNTIF($L$2:$L1056,$L1056)=1,1,0))</f>
        <v>1</v>
      </c>
      <c r="N1056">
        <f t="shared" si="246"/>
        <v>20220</v>
      </c>
      <c r="O1056" t="str">
        <f t="shared" si="247"/>
        <v>华夏凯德消费封闭式基础设施证券投资基金|2022|年度</v>
      </c>
      <c r="P1056">
        <f>IF($A1056="",0,IF(COUNTIF($O$2:$O1056,$O1056)=1,1,0))</f>
        <v>0</v>
      </c>
      <c r="Q1056" t="str">
        <f>IF(AND($P1056=1,$A1056=经营数据!$B$3,$J1056=经营数据!$BA$5),COUNTIFS($P$2:$P$3000,1,$A$2:$A$3000,$A1056,$J$2:$J$3000,$J1056,$N$2:$N$3000,"&lt;"&amp;$N1056)+1,"")</f>
        <v/>
      </c>
      <c r="R1056" t="str">
        <f t="shared" si="248"/>
        <v>华夏凯德消费封闭式基础设施证券投资基金|广州云尚项目</v>
      </c>
      <c r="S1056">
        <f>IF($A1056="",0,IF(COUNTIF($R$2:$R1056,$R1056)=1,1,0))</f>
        <v>0</v>
      </c>
      <c r="T1056">
        <f t="shared" si="249"/>
        <v>1048</v>
      </c>
      <c r="U1056" t="str">
        <f>IF($A1056="","",IF($A1056=经营数据!$B$3,COUNTIFS($S$2:$S$3000,1,$A$2:$A$3000,$A1056,$T$2:$T$3000,"&lt;"&amp;$T1056)+1,""))</f>
        <v/>
      </c>
      <c r="V1056" t="str">
        <f t="shared" si="250"/>
        <v>广州云尚项目|服务效率</v>
      </c>
      <c r="W1056">
        <f t="shared" si="251"/>
        <v>1055</v>
      </c>
      <c r="X1056" t="str">
        <f t="shared" si="252"/>
        <v>广州云尚项目|平均出租率</v>
      </c>
      <c r="Y1056">
        <f t="shared" si="253"/>
        <v>1055</v>
      </c>
      <c r="Z1056">
        <f>IF($A1056="",0,IF(AND($M1056=1,$A1056=经营数据!$B$3,$J1056=经营数据!$BA$5,OR($I1056=经营数据!$BA$4,COUNTIF(经营数据!$AA$9:$AA$38,$I1056)&gt;0)),1,0))</f>
        <v>0</v>
      </c>
      <c r="AA1056" t="str">
        <f t="shared" si="254"/>
        <v/>
      </c>
      <c r="AB1056" t="str">
        <f t="shared" si="255"/>
        <v/>
      </c>
      <c r="AC1056">
        <f>IF($A1056="",0,IF(COUNTIF($A$2:$A1056,$A1056)=1,1,0))</f>
        <v>0</v>
      </c>
      <c r="AD1056">
        <f t="shared" si="256"/>
        <v>10</v>
      </c>
      <c r="AE1056" t="str">
        <f t="shared" si="257"/>
        <v>广州云尚项目|平均出租率（%）</v>
      </c>
    </row>
    <row r="1057" spans="1:31" x14ac:dyDescent="0.4">
      <c r="A1057" t="str">
        <f>IF(原始经营数据!$D1058="","",原始经营数据!$D1058)</f>
        <v>华夏凯德消费封闭式基础设施证券投资基金</v>
      </c>
      <c r="B1057" t="str">
        <f>IF(原始经营数据!$D1058="","",T(原始经营数据!$E1058))</f>
        <v>广州云尚项目</v>
      </c>
      <c r="C1057" t="str">
        <f>IF(原始经营数据!$D1058="","",原始经营数据!$F1058)</f>
        <v>2022</v>
      </c>
      <c r="D1057" t="str">
        <f>IF(原始经营数据!$D1058="","",原始经营数据!$H1058)</f>
        <v>期末时点出租率</v>
      </c>
      <c r="E1057">
        <f>IF(原始经营数据!$D1058="","",原始经营数据!$I1058)</f>
        <v>88.43</v>
      </c>
      <c r="F1057" t="str">
        <f>IF(原始经营数据!$D1058="","",T(原始经营数据!$J1058))</f>
        <v>%</v>
      </c>
      <c r="G1057" t="str">
        <f>IF(原始经营数据!$D1058="","",T(原始经营数据!$K1058))</f>
        <v/>
      </c>
      <c r="H1057" t="str">
        <f>IF(原始经营数据!$D1058="","",原始经营数据!$G1058)</f>
        <v>服务效率</v>
      </c>
      <c r="I1057" t="str">
        <f>IF($A1057="","",IF($B1057&lt;&gt;"",$B1057,IF(COUNTIFS(原始经营数据!$D$3:$D$3001,$A1057,原始经营数据!$E$3:$E$3001,"",原始经营数据!$F$3:$F$3001,$C1057,原始经营数据!$H$3:$H$3001,$D1057,原始经营数据!$K$3:$K$3001,$G1057)&gt;1,"基金整体·来源"&amp;原始经营数据!$A1058,"基金整体")))</f>
        <v>广州云尚项目</v>
      </c>
      <c r="J1057" t="str">
        <f t="shared" si="243"/>
        <v>年度</v>
      </c>
      <c r="K1057" t="str">
        <f t="shared" si="244"/>
        <v>期末时点出租率（%）</v>
      </c>
      <c r="L1057" t="str">
        <f t="shared" si="245"/>
        <v>广州云尚项目|期末时点出租率（%）|年度</v>
      </c>
      <c r="M1057">
        <f>IF($A1057="",0,IF(COUNTIF($L$2:$L1057,$L1057)=1,1,0))</f>
        <v>1</v>
      </c>
      <c r="N1057">
        <f t="shared" si="246"/>
        <v>20220</v>
      </c>
      <c r="O1057" t="str">
        <f t="shared" si="247"/>
        <v>华夏凯德消费封闭式基础设施证券投资基金|2022|年度</v>
      </c>
      <c r="P1057">
        <f>IF($A1057="",0,IF(COUNTIF($O$2:$O1057,$O1057)=1,1,0))</f>
        <v>0</v>
      </c>
      <c r="Q1057" t="str">
        <f>IF(AND($P1057=1,$A1057=经营数据!$B$3,$J1057=经营数据!$BA$5),COUNTIFS($P$2:$P$3000,1,$A$2:$A$3000,$A1057,$J$2:$J$3000,$J1057,$N$2:$N$3000,"&lt;"&amp;$N1057)+1,"")</f>
        <v/>
      </c>
      <c r="R1057" t="str">
        <f t="shared" si="248"/>
        <v>华夏凯德消费封闭式基础设施证券投资基金|广州云尚项目</v>
      </c>
      <c r="S1057">
        <f>IF($A1057="",0,IF(COUNTIF($R$2:$R1057,$R1057)=1,1,0))</f>
        <v>0</v>
      </c>
      <c r="T1057">
        <f t="shared" si="249"/>
        <v>1048</v>
      </c>
      <c r="U1057" t="str">
        <f>IF($A1057="","",IF($A1057=经营数据!$B$3,COUNTIFS($S$2:$S$3000,1,$A$2:$A$3000,$A1057,$T$2:$T$3000,"&lt;"&amp;$T1057)+1,""))</f>
        <v/>
      </c>
      <c r="V1057" t="str">
        <f t="shared" si="250"/>
        <v>广州云尚项目|服务效率</v>
      </c>
      <c r="W1057">
        <f t="shared" si="251"/>
        <v>1055</v>
      </c>
      <c r="X1057" t="str">
        <f t="shared" si="252"/>
        <v>广州云尚项目|期末时点出租率</v>
      </c>
      <c r="Y1057">
        <f t="shared" si="253"/>
        <v>1056</v>
      </c>
      <c r="Z1057">
        <f>IF($A1057="",0,IF(AND($M1057=1,$A1057=经营数据!$B$3,$J1057=经营数据!$BA$5,OR($I1057=经营数据!$BA$4,COUNTIF(经营数据!$AA$9:$AA$38,$I1057)&gt;0)),1,0))</f>
        <v>0</v>
      </c>
      <c r="AA1057" t="str">
        <f t="shared" si="254"/>
        <v/>
      </c>
      <c r="AB1057" t="str">
        <f t="shared" si="255"/>
        <v/>
      </c>
      <c r="AC1057">
        <f>IF($A1057="",0,IF(COUNTIF($A$2:$A1057,$A1057)=1,1,0))</f>
        <v>0</v>
      </c>
      <c r="AD1057">
        <f t="shared" si="256"/>
        <v>10</v>
      </c>
      <c r="AE1057" t="str">
        <f t="shared" si="257"/>
        <v>广州云尚项目|期末时点出租率（%）</v>
      </c>
    </row>
    <row r="1058" spans="1:31" x14ac:dyDescent="0.4">
      <c r="A1058" t="str">
        <f>IF(原始经营数据!$D1059="","",原始经营数据!$D1059)</f>
        <v>华夏凯德消费封闭式基础设施证券投资基金</v>
      </c>
      <c r="B1058" t="str">
        <f>IF(原始经营数据!$D1059="","",T(原始经营数据!$E1059))</f>
        <v>广州云尚项目</v>
      </c>
      <c r="C1058" t="str">
        <f>IF(原始经营数据!$D1059="","",原始经营数据!$F1059)</f>
        <v>2022</v>
      </c>
      <c r="D1058" t="str">
        <f>IF(原始经营数据!$D1059="","",原始经营数据!$H1059)</f>
        <v>租金收缴率</v>
      </c>
      <c r="E1058">
        <f>IF(原始经营数据!$D1059="","",原始经营数据!$I1059)</f>
        <v>97.9</v>
      </c>
      <c r="F1058" t="str">
        <f>IF(原始经营数据!$D1059="","",T(原始经营数据!$J1059))</f>
        <v>%</v>
      </c>
      <c r="G1058" t="str">
        <f>IF(原始经营数据!$D1059="","",T(原始经营数据!$K1059))</f>
        <v/>
      </c>
      <c r="H1058" t="str">
        <f>IF(原始经营数据!$D1059="","",原始经营数据!$G1059)</f>
        <v>服务效率</v>
      </c>
      <c r="I1058" t="str">
        <f>IF($A1058="","",IF($B1058&lt;&gt;"",$B1058,IF(COUNTIFS(原始经营数据!$D$3:$D$3001,$A1058,原始经营数据!$E$3:$E$3001,"",原始经营数据!$F$3:$F$3001,$C1058,原始经营数据!$H$3:$H$3001,$D1058,原始经营数据!$K$3:$K$3001,$G1058)&gt;1,"基金整体·来源"&amp;原始经营数据!$A1059,"基金整体")))</f>
        <v>广州云尚项目</v>
      </c>
      <c r="J1058" t="str">
        <f t="shared" si="243"/>
        <v>年度</v>
      </c>
      <c r="K1058" t="str">
        <f t="shared" si="244"/>
        <v>租金收缴率（%）</v>
      </c>
      <c r="L1058" t="str">
        <f t="shared" si="245"/>
        <v>广州云尚项目|租金收缴率（%）|年度</v>
      </c>
      <c r="M1058">
        <f>IF($A1058="",0,IF(COUNTIF($L$2:$L1058,$L1058)=1,1,0))</f>
        <v>1</v>
      </c>
      <c r="N1058">
        <f t="shared" si="246"/>
        <v>20220</v>
      </c>
      <c r="O1058" t="str">
        <f t="shared" si="247"/>
        <v>华夏凯德消费封闭式基础设施证券投资基金|2022|年度</v>
      </c>
      <c r="P1058">
        <f>IF($A1058="",0,IF(COUNTIF($O$2:$O1058,$O1058)=1,1,0))</f>
        <v>0</v>
      </c>
      <c r="Q1058" t="str">
        <f>IF(AND($P1058=1,$A1058=经营数据!$B$3,$J1058=经营数据!$BA$5),COUNTIFS($P$2:$P$3000,1,$A$2:$A$3000,$A1058,$J$2:$J$3000,$J1058,$N$2:$N$3000,"&lt;"&amp;$N1058)+1,"")</f>
        <v/>
      </c>
      <c r="R1058" t="str">
        <f t="shared" si="248"/>
        <v>华夏凯德消费封闭式基础设施证券投资基金|广州云尚项目</v>
      </c>
      <c r="S1058">
        <f>IF($A1058="",0,IF(COUNTIF($R$2:$R1058,$R1058)=1,1,0))</f>
        <v>0</v>
      </c>
      <c r="T1058">
        <f t="shared" si="249"/>
        <v>1048</v>
      </c>
      <c r="U1058" t="str">
        <f>IF($A1058="","",IF($A1058=经营数据!$B$3,COUNTIFS($S$2:$S$3000,1,$A$2:$A$3000,$A1058,$T$2:$T$3000,"&lt;"&amp;$T1058)+1,""))</f>
        <v/>
      </c>
      <c r="V1058" t="str">
        <f t="shared" si="250"/>
        <v>广州云尚项目|服务效率</v>
      </c>
      <c r="W1058">
        <f t="shared" si="251"/>
        <v>1055</v>
      </c>
      <c r="X1058" t="str">
        <f t="shared" si="252"/>
        <v>广州云尚项目|租金收缴率</v>
      </c>
      <c r="Y1058">
        <f t="shared" si="253"/>
        <v>1057</v>
      </c>
      <c r="Z1058">
        <f>IF($A1058="",0,IF(AND($M1058=1,$A1058=经营数据!$B$3,$J1058=经营数据!$BA$5,OR($I1058=经营数据!$BA$4,COUNTIF(经营数据!$AA$9:$AA$38,$I1058)&gt;0)),1,0))</f>
        <v>0</v>
      </c>
      <c r="AA1058" t="str">
        <f t="shared" si="254"/>
        <v/>
      </c>
      <c r="AB1058" t="str">
        <f t="shared" si="255"/>
        <v/>
      </c>
      <c r="AC1058">
        <f>IF($A1058="",0,IF(COUNTIF($A$2:$A1058,$A1058)=1,1,0))</f>
        <v>0</v>
      </c>
      <c r="AD1058">
        <f t="shared" si="256"/>
        <v>10</v>
      </c>
      <c r="AE1058" t="str">
        <f t="shared" si="257"/>
        <v>广州云尚项目|租金收缴率（%）</v>
      </c>
    </row>
    <row r="1059" spans="1:31" x14ac:dyDescent="0.4">
      <c r="A1059" t="str">
        <f>IF(原始经营数据!$D1060="","",原始经营数据!$D1060)</f>
        <v>华夏凯德消费封闭式基础设施证券投资基金</v>
      </c>
      <c r="B1059" t="str">
        <f>IF(原始经营数据!$D1060="","",T(原始经营数据!$E1060))</f>
        <v>广州云尚项目</v>
      </c>
      <c r="C1059" t="str">
        <f>IF(原始经营数据!$D1060="","",原始经营数据!$F1060)</f>
        <v>2022</v>
      </c>
      <c r="D1059" t="str">
        <f>IF(原始经营数据!$D1060="","",原始经营数据!$H1060)</f>
        <v>月销售坪效</v>
      </c>
      <c r="E1059">
        <f>IF(原始经营数据!$D1060="","",原始经营数据!$I1060)</f>
        <v>1159</v>
      </c>
      <c r="F1059" t="str">
        <f>IF(原始经营数据!$D1060="","",T(原始经营数据!$J1060))</f>
        <v>元/平方米</v>
      </c>
      <c r="G1059" t="str">
        <f>IF(原始经营数据!$D1060="","",T(原始经营数据!$K1060))</f>
        <v/>
      </c>
      <c r="H1059" t="str">
        <f>IF(原始经营数据!$D1060="","",原始经营数据!$G1060)</f>
        <v>服务价格</v>
      </c>
      <c r="I1059" t="str">
        <f>IF($A1059="","",IF($B1059&lt;&gt;"",$B1059,IF(COUNTIFS(原始经营数据!$D$3:$D$3001,$A1059,原始经营数据!$E$3:$E$3001,"",原始经营数据!$F$3:$F$3001,$C1059,原始经营数据!$H$3:$H$3001,$D1059,原始经营数据!$K$3:$K$3001,$G1059)&gt;1,"基金整体·来源"&amp;原始经营数据!$A1060,"基金整体")))</f>
        <v>广州云尚项目</v>
      </c>
      <c r="J1059" t="str">
        <f t="shared" si="243"/>
        <v>年度</v>
      </c>
      <c r="K1059" t="str">
        <f t="shared" si="244"/>
        <v>月销售坪效（元/平方米）</v>
      </c>
      <c r="L1059" t="str">
        <f t="shared" si="245"/>
        <v>广州云尚项目|月销售坪效（元/平方米）|年度</v>
      </c>
      <c r="M1059">
        <f>IF($A1059="",0,IF(COUNTIF($L$2:$L1059,$L1059)=1,1,0))</f>
        <v>1</v>
      </c>
      <c r="N1059">
        <f t="shared" si="246"/>
        <v>20220</v>
      </c>
      <c r="O1059" t="str">
        <f t="shared" si="247"/>
        <v>华夏凯德消费封闭式基础设施证券投资基金|2022|年度</v>
      </c>
      <c r="P1059">
        <f>IF($A1059="",0,IF(COUNTIF($O$2:$O1059,$O1059)=1,1,0))</f>
        <v>0</v>
      </c>
      <c r="Q1059" t="str">
        <f>IF(AND($P1059=1,$A1059=经营数据!$B$3,$J1059=经营数据!$BA$5),COUNTIFS($P$2:$P$3000,1,$A$2:$A$3000,$A1059,$J$2:$J$3000,$J1059,$N$2:$N$3000,"&lt;"&amp;$N1059)+1,"")</f>
        <v/>
      </c>
      <c r="R1059" t="str">
        <f t="shared" si="248"/>
        <v>华夏凯德消费封闭式基础设施证券投资基金|广州云尚项目</v>
      </c>
      <c r="S1059">
        <f>IF($A1059="",0,IF(COUNTIF($R$2:$R1059,$R1059)=1,1,0))</f>
        <v>0</v>
      </c>
      <c r="T1059">
        <f t="shared" si="249"/>
        <v>1048</v>
      </c>
      <c r="U1059" t="str">
        <f>IF($A1059="","",IF($A1059=经营数据!$B$3,COUNTIFS($S$2:$S$3000,1,$A$2:$A$3000,$A1059,$T$2:$T$3000,"&lt;"&amp;$T1059)+1,""))</f>
        <v/>
      </c>
      <c r="V1059" t="str">
        <f t="shared" si="250"/>
        <v>广州云尚项目|服务价格</v>
      </c>
      <c r="W1059">
        <f t="shared" si="251"/>
        <v>1052</v>
      </c>
      <c r="X1059" t="str">
        <f t="shared" si="252"/>
        <v>广州云尚项目|月销售坪效</v>
      </c>
      <c r="Y1059">
        <f t="shared" si="253"/>
        <v>1058</v>
      </c>
      <c r="Z1059">
        <f>IF($A1059="",0,IF(AND($M1059=1,$A1059=经营数据!$B$3,$J1059=经营数据!$BA$5,OR($I1059=经营数据!$BA$4,COUNTIF(经营数据!$AA$9:$AA$38,$I1059)&gt;0)),1,0))</f>
        <v>0</v>
      </c>
      <c r="AA1059" t="str">
        <f t="shared" si="254"/>
        <v/>
      </c>
      <c r="AB1059" t="str">
        <f t="shared" si="255"/>
        <v/>
      </c>
      <c r="AC1059">
        <f>IF($A1059="",0,IF(COUNTIF($A$2:$A1059,$A1059)=1,1,0))</f>
        <v>0</v>
      </c>
      <c r="AD1059">
        <f t="shared" si="256"/>
        <v>10</v>
      </c>
      <c r="AE1059" t="str">
        <f t="shared" si="257"/>
        <v>广州云尚项目|月销售坪效（元/平方米）</v>
      </c>
    </row>
    <row r="1060" spans="1:31" x14ac:dyDescent="0.4">
      <c r="A1060" t="str">
        <f>IF(原始经营数据!$D1061="","",原始经营数据!$D1061)</f>
        <v>华夏凯德消费封闭式基础设施证券投资基金</v>
      </c>
      <c r="B1060" t="str">
        <f>IF(原始经营数据!$D1061="","",T(原始经营数据!$E1061))</f>
        <v>广州云尚项目</v>
      </c>
      <c r="C1060" t="str">
        <f>IF(原始经营数据!$D1061="","",原始经营数据!$F1061)</f>
        <v>2022</v>
      </c>
      <c r="D1060" t="str">
        <f>IF(原始经营数据!$D1061="","",原始经营数据!$H1061)</f>
        <v>月租金坪效</v>
      </c>
      <c r="E1060">
        <f>IF(原始经营数据!$D1061="","",原始经营数据!$I1061)</f>
        <v>200</v>
      </c>
      <c r="F1060" t="str">
        <f>IF(原始经营数据!$D1061="","",T(原始经营数据!$J1061))</f>
        <v>元/平方米</v>
      </c>
      <c r="G1060" t="str">
        <f>IF(原始经营数据!$D1061="","",T(原始经营数据!$K1061))</f>
        <v/>
      </c>
      <c r="H1060" t="str">
        <f>IF(原始经营数据!$D1061="","",原始经营数据!$G1061)</f>
        <v>服务价格</v>
      </c>
      <c r="I1060" t="str">
        <f>IF($A1060="","",IF($B1060&lt;&gt;"",$B1060,IF(COUNTIFS(原始经营数据!$D$3:$D$3001,$A1060,原始经营数据!$E$3:$E$3001,"",原始经营数据!$F$3:$F$3001,$C1060,原始经营数据!$H$3:$H$3001,$D1060,原始经营数据!$K$3:$K$3001,$G1060)&gt;1,"基金整体·来源"&amp;原始经营数据!$A1061,"基金整体")))</f>
        <v>广州云尚项目</v>
      </c>
      <c r="J1060" t="str">
        <f t="shared" si="243"/>
        <v>年度</v>
      </c>
      <c r="K1060" t="str">
        <f t="shared" si="244"/>
        <v>月租金坪效（元/平方米）</v>
      </c>
      <c r="L1060" t="str">
        <f t="shared" si="245"/>
        <v>广州云尚项目|月租金坪效（元/平方米）|年度</v>
      </c>
      <c r="M1060">
        <f>IF($A1060="",0,IF(COUNTIF($L$2:$L1060,$L1060)=1,1,0))</f>
        <v>1</v>
      </c>
      <c r="N1060">
        <f t="shared" si="246"/>
        <v>20220</v>
      </c>
      <c r="O1060" t="str">
        <f t="shared" si="247"/>
        <v>华夏凯德消费封闭式基础设施证券投资基金|2022|年度</v>
      </c>
      <c r="P1060">
        <f>IF($A1060="",0,IF(COUNTIF($O$2:$O1060,$O1060)=1,1,0))</f>
        <v>0</v>
      </c>
      <c r="Q1060" t="str">
        <f>IF(AND($P1060=1,$A1060=经营数据!$B$3,$J1060=经营数据!$BA$5),COUNTIFS($P$2:$P$3000,1,$A$2:$A$3000,$A1060,$J$2:$J$3000,$J1060,$N$2:$N$3000,"&lt;"&amp;$N1060)+1,"")</f>
        <v/>
      </c>
      <c r="R1060" t="str">
        <f t="shared" si="248"/>
        <v>华夏凯德消费封闭式基础设施证券投资基金|广州云尚项目</v>
      </c>
      <c r="S1060">
        <f>IF($A1060="",0,IF(COUNTIF($R$2:$R1060,$R1060)=1,1,0))</f>
        <v>0</v>
      </c>
      <c r="T1060">
        <f t="shared" si="249"/>
        <v>1048</v>
      </c>
      <c r="U1060" t="str">
        <f>IF($A1060="","",IF($A1060=经营数据!$B$3,COUNTIFS($S$2:$S$3000,1,$A$2:$A$3000,$A1060,$T$2:$T$3000,"&lt;"&amp;$T1060)+1,""))</f>
        <v/>
      </c>
      <c r="V1060" t="str">
        <f t="shared" si="250"/>
        <v>广州云尚项目|服务价格</v>
      </c>
      <c r="W1060">
        <f t="shared" si="251"/>
        <v>1052</v>
      </c>
      <c r="X1060" t="str">
        <f t="shared" si="252"/>
        <v>广州云尚项目|月租金坪效</v>
      </c>
      <c r="Y1060">
        <f t="shared" si="253"/>
        <v>1059</v>
      </c>
      <c r="Z1060">
        <f>IF($A1060="",0,IF(AND($M1060=1,$A1060=经营数据!$B$3,$J1060=经营数据!$BA$5,OR($I1060=经营数据!$BA$4,COUNTIF(经营数据!$AA$9:$AA$38,$I1060)&gt;0)),1,0))</f>
        <v>0</v>
      </c>
      <c r="AA1060" t="str">
        <f t="shared" si="254"/>
        <v/>
      </c>
      <c r="AB1060" t="str">
        <f t="shared" si="255"/>
        <v/>
      </c>
      <c r="AC1060">
        <f>IF($A1060="",0,IF(COUNTIF($A$2:$A1060,$A1060)=1,1,0))</f>
        <v>0</v>
      </c>
      <c r="AD1060">
        <f t="shared" si="256"/>
        <v>10</v>
      </c>
      <c r="AE1060" t="str">
        <f t="shared" si="257"/>
        <v>广州云尚项目|月租金坪效（元/平方米）</v>
      </c>
    </row>
    <row r="1061" spans="1:31" x14ac:dyDescent="0.4">
      <c r="A1061" t="str">
        <f>IF(原始经营数据!$D1062="","",原始经营数据!$D1062)</f>
        <v>华夏凯德消费封闭式基础设施证券投资基金</v>
      </c>
      <c r="B1061" t="str">
        <f>IF(原始经营数据!$D1062="","",T(原始经营数据!$E1062))</f>
        <v>广州云尚项目</v>
      </c>
      <c r="C1061" t="str">
        <f>IF(原始经营数据!$D1062="","",原始经营数据!$F1062)</f>
        <v>2022</v>
      </c>
      <c r="D1061" t="str">
        <f>IF(原始经营数据!$D1062="","",原始经营数据!$H1062)</f>
        <v>租售比</v>
      </c>
      <c r="E1061">
        <f>IF(原始经营数据!$D1062="","",原始经营数据!$I1062)</f>
        <v>24.2</v>
      </c>
      <c r="F1061" t="str">
        <f>IF(原始经营数据!$D1062="","",T(原始经营数据!$J1062))</f>
        <v>%</v>
      </c>
      <c r="G1061" t="str">
        <f>IF(原始经营数据!$D1062="","",T(原始经营数据!$K1062))</f>
        <v/>
      </c>
      <c r="H1061" t="str">
        <f>IF(原始经营数据!$D1062="","",原始经营数据!$G1062)</f>
        <v>服务效率</v>
      </c>
      <c r="I1061" t="str">
        <f>IF($A1061="","",IF($B1061&lt;&gt;"",$B1061,IF(COUNTIFS(原始经营数据!$D$3:$D$3001,$A1061,原始经营数据!$E$3:$E$3001,"",原始经营数据!$F$3:$F$3001,$C1061,原始经营数据!$H$3:$H$3001,$D1061,原始经营数据!$K$3:$K$3001,$G1061)&gt;1,"基金整体·来源"&amp;原始经营数据!$A1062,"基金整体")))</f>
        <v>广州云尚项目</v>
      </c>
      <c r="J1061" t="str">
        <f t="shared" si="243"/>
        <v>年度</v>
      </c>
      <c r="K1061" t="str">
        <f t="shared" si="244"/>
        <v>租售比（%）</v>
      </c>
      <c r="L1061" t="str">
        <f t="shared" si="245"/>
        <v>广州云尚项目|租售比（%）|年度</v>
      </c>
      <c r="M1061">
        <f>IF($A1061="",0,IF(COUNTIF($L$2:$L1061,$L1061)=1,1,0))</f>
        <v>1</v>
      </c>
      <c r="N1061">
        <f t="shared" si="246"/>
        <v>20220</v>
      </c>
      <c r="O1061" t="str">
        <f t="shared" si="247"/>
        <v>华夏凯德消费封闭式基础设施证券投资基金|2022|年度</v>
      </c>
      <c r="P1061">
        <f>IF($A1061="",0,IF(COUNTIF($O$2:$O1061,$O1061)=1,1,0))</f>
        <v>0</v>
      </c>
      <c r="Q1061" t="str">
        <f>IF(AND($P1061=1,$A1061=经营数据!$B$3,$J1061=经营数据!$BA$5),COUNTIFS($P$2:$P$3000,1,$A$2:$A$3000,$A1061,$J$2:$J$3000,$J1061,$N$2:$N$3000,"&lt;"&amp;$N1061)+1,"")</f>
        <v/>
      </c>
      <c r="R1061" t="str">
        <f t="shared" si="248"/>
        <v>华夏凯德消费封闭式基础设施证券投资基金|广州云尚项目</v>
      </c>
      <c r="S1061">
        <f>IF($A1061="",0,IF(COUNTIF($R$2:$R1061,$R1061)=1,1,0))</f>
        <v>0</v>
      </c>
      <c r="T1061">
        <f t="shared" si="249"/>
        <v>1048</v>
      </c>
      <c r="U1061" t="str">
        <f>IF($A1061="","",IF($A1061=经营数据!$B$3,COUNTIFS($S$2:$S$3000,1,$A$2:$A$3000,$A1061,$T$2:$T$3000,"&lt;"&amp;$T1061)+1,""))</f>
        <v/>
      </c>
      <c r="V1061" t="str">
        <f t="shared" si="250"/>
        <v>广州云尚项目|服务效率</v>
      </c>
      <c r="W1061">
        <f t="shared" si="251"/>
        <v>1055</v>
      </c>
      <c r="X1061" t="str">
        <f t="shared" si="252"/>
        <v>广州云尚项目|租售比</v>
      </c>
      <c r="Y1061">
        <f t="shared" si="253"/>
        <v>1060</v>
      </c>
      <c r="Z1061">
        <f>IF($A1061="",0,IF(AND($M1061=1,$A1061=经营数据!$B$3,$J1061=经营数据!$BA$5,OR($I1061=经营数据!$BA$4,COUNTIF(经营数据!$AA$9:$AA$38,$I1061)&gt;0)),1,0))</f>
        <v>0</v>
      </c>
      <c r="AA1061" t="str">
        <f t="shared" si="254"/>
        <v/>
      </c>
      <c r="AB1061" t="str">
        <f t="shared" si="255"/>
        <v/>
      </c>
      <c r="AC1061">
        <f>IF($A1061="",0,IF(COUNTIF($A$2:$A1061,$A1061)=1,1,0))</f>
        <v>0</v>
      </c>
      <c r="AD1061">
        <f t="shared" si="256"/>
        <v>10</v>
      </c>
      <c r="AE1061" t="str">
        <f t="shared" si="257"/>
        <v>广州云尚项目|租售比（%）</v>
      </c>
    </row>
    <row r="1062" spans="1:31" x14ac:dyDescent="0.4">
      <c r="A1062" t="str">
        <f>IF(原始经营数据!$D1063="","",原始经营数据!$D1063)</f>
        <v>华夏凯德消费封闭式基础设施证券投资基金</v>
      </c>
      <c r="B1062" t="str">
        <f>IF(原始经营数据!$D1063="","",T(原始经营数据!$E1063))</f>
        <v>广州云尚项目</v>
      </c>
      <c r="C1062" t="str">
        <f>IF(原始经营数据!$D1063="","",原始经营数据!$F1063)</f>
        <v>2022</v>
      </c>
      <c r="D1062" t="str">
        <f>IF(原始经营数据!$D1063="","",原始经营数据!$H1063)</f>
        <v>客流量</v>
      </c>
      <c r="E1062">
        <f>IF(原始经营数据!$D1063="","",原始经营数据!$I1063)</f>
        <v>2.85</v>
      </c>
      <c r="F1062" t="str">
        <f>IF(原始经营数据!$D1063="","",T(原始经营数据!$J1063))</f>
        <v>万人/日</v>
      </c>
      <c r="G1062" t="str">
        <f>IF(原始经营数据!$D1063="","",T(原始经营数据!$K1063))</f>
        <v/>
      </c>
      <c r="H1062" t="str">
        <f>IF(原始经营数据!$D1063="","",原始经营数据!$G1063)</f>
        <v>服务量</v>
      </c>
      <c r="I1062" t="str">
        <f>IF($A1062="","",IF($B1062&lt;&gt;"",$B1062,IF(COUNTIFS(原始经营数据!$D$3:$D$3001,$A1062,原始经营数据!$E$3:$E$3001,"",原始经营数据!$F$3:$F$3001,$C1062,原始经营数据!$H$3:$H$3001,$D1062,原始经营数据!$K$3:$K$3001,$G1062)&gt;1,"基金整体·来源"&amp;原始经营数据!$A1063,"基金整体")))</f>
        <v>广州云尚项目</v>
      </c>
      <c r="J1062" t="str">
        <f t="shared" si="243"/>
        <v>年度</v>
      </c>
      <c r="K1062" t="str">
        <f t="shared" si="244"/>
        <v>客流量（万人/日）</v>
      </c>
      <c r="L1062" t="str">
        <f t="shared" si="245"/>
        <v>广州云尚项目|客流量（万人/日）|年度</v>
      </c>
      <c r="M1062">
        <f>IF($A1062="",0,IF(COUNTIF($L$2:$L1062,$L1062)=1,1,0))</f>
        <v>1</v>
      </c>
      <c r="N1062">
        <f t="shared" si="246"/>
        <v>20220</v>
      </c>
      <c r="O1062" t="str">
        <f t="shared" si="247"/>
        <v>华夏凯德消费封闭式基础设施证券投资基金|2022|年度</v>
      </c>
      <c r="P1062">
        <f>IF($A1062="",0,IF(COUNTIF($O$2:$O1062,$O1062)=1,1,0))</f>
        <v>0</v>
      </c>
      <c r="Q1062" t="str">
        <f>IF(AND($P1062=1,$A1062=经营数据!$B$3,$J1062=经营数据!$BA$5),COUNTIFS($P$2:$P$3000,1,$A$2:$A$3000,$A1062,$J$2:$J$3000,$J1062,$N$2:$N$3000,"&lt;"&amp;$N1062)+1,"")</f>
        <v/>
      </c>
      <c r="R1062" t="str">
        <f t="shared" si="248"/>
        <v>华夏凯德消费封闭式基础设施证券投资基金|广州云尚项目</v>
      </c>
      <c r="S1062">
        <f>IF($A1062="",0,IF(COUNTIF($R$2:$R1062,$R1062)=1,1,0))</f>
        <v>0</v>
      </c>
      <c r="T1062">
        <f t="shared" si="249"/>
        <v>1048</v>
      </c>
      <c r="U1062" t="str">
        <f>IF($A1062="","",IF($A1062=经营数据!$B$3,COUNTIFS($S$2:$S$3000,1,$A$2:$A$3000,$A1062,$T$2:$T$3000,"&lt;"&amp;$T1062)+1,""))</f>
        <v/>
      </c>
      <c r="V1062" t="str">
        <f t="shared" si="250"/>
        <v>广州云尚项目|服务量</v>
      </c>
      <c r="W1062">
        <f t="shared" si="251"/>
        <v>1048</v>
      </c>
      <c r="X1062" t="str">
        <f t="shared" si="252"/>
        <v>广州云尚项目|客流量</v>
      </c>
      <c r="Y1062">
        <f t="shared" si="253"/>
        <v>1061</v>
      </c>
      <c r="Z1062">
        <f>IF($A1062="",0,IF(AND($M1062=1,$A1062=经营数据!$B$3,$J1062=经营数据!$BA$5,OR($I1062=经营数据!$BA$4,COUNTIF(经营数据!$AA$9:$AA$38,$I1062)&gt;0)),1,0))</f>
        <v>0</v>
      </c>
      <c r="AA1062" t="str">
        <f t="shared" si="254"/>
        <v/>
      </c>
      <c r="AB1062" t="str">
        <f t="shared" si="255"/>
        <v/>
      </c>
      <c r="AC1062">
        <f>IF($A1062="",0,IF(COUNTIF($A$2:$A1062,$A1062)=1,1,0))</f>
        <v>0</v>
      </c>
      <c r="AD1062">
        <f t="shared" si="256"/>
        <v>10</v>
      </c>
      <c r="AE1062" t="str">
        <f t="shared" si="257"/>
        <v>广州云尚项目|客流量（万人/日）</v>
      </c>
    </row>
    <row r="1063" spans="1:31" x14ac:dyDescent="0.4">
      <c r="A1063" t="str">
        <f>IF(原始经营数据!$D1064="","",原始经营数据!$D1064)</f>
        <v>华夏凯德消费封闭式基础设施证券投资基金</v>
      </c>
      <c r="B1063" t="str">
        <f>IF(原始经营数据!$D1064="","",T(原始经营数据!$E1064))</f>
        <v>广州云尚项目</v>
      </c>
      <c r="C1063" t="str">
        <f>IF(原始经营数据!$D1064="","",原始经营数据!$F1064)</f>
        <v>2022</v>
      </c>
      <c r="D1063" t="str">
        <f>IF(原始经营数据!$D1064="","",原始经营数据!$H1064)</f>
        <v>销售额</v>
      </c>
      <c r="E1063">
        <f>IF(原始经营数据!$D1064="","",原始经营数据!$I1064)</f>
        <v>61600</v>
      </c>
      <c r="F1063" t="str">
        <f>IF(原始经营数据!$D1064="","",T(原始经营数据!$J1064))</f>
        <v>万元</v>
      </c>
      <c r="G1063" t="str">
        <f>IF(原始经营数据!$D1064="","",T(原始经营数据!$K1064))</f>
        <v/>
      </c>
      <c r="H1063" t="str">
        <f>IF(原始经营数据!$D1064="","",原始经营数据!$G1064)</f>
        <v>服务金额</v>
      </c>
      <c r="I1063" t="str">
        <f>IF($A1063="","",IF($B1063&lt;&gt;"",$B1063,IF(COUNTIFS(原始经营数据!$D$3:$D$3001,$A1063,原始经营数据!$E$3:$E$3001,"",原始经营数据!$F$3:$F$3001,$C1063,原始经营数据!$H$3:$H$3001,$D1063,原始经营数据!$K$3:$K$3001,$G1063)&gt;1,"基金整体·来源"&amp;原始经营数据!$A1064,"基金整体")))</f>
        <v>广州云尚项目</v>
      </c>
      <c r="J1063" t="str">
        <f t="shared" si="243"/>
        <v>年度</v>
      </c>
      <c r="K1063" t="str">
        <f t="shared" si="244"/>
        <v>销售额（万元）</v>
      </c>
      <c r="L1063" t="str">
        <f t="shared" si="245"/>
        <v>广州云尚项目|销售额（万元）|年度</v>
      </c>
      <c r="M1063">
        <f>IF($A1063="",0,IF(COUNTIF($L$2:$L1063,$L1063)=1,1,0))</f>
        <v>1</v>
      </c>
      <c r="N1063">
        <f t="shared" si="246"/>
        <v>20220</v>
      </c>
      <c r="O1063" t="str">
        <f t="shared" si="247"/>
        <v>华夏凯德消费封闭式基础设施证券投资基金|2022|年度</v>
      </c>
      <c r="P1063">
        <f>IF($A1063="",0,IF(COUNTIF($O$2:$O1063,$O1063)=1,1,0))</f>
        <v>0</v>
      </c>
      <c r="Q1063" t="str">
        <f>IF(AND($P1063=1,$A1063=经营数据!$B$3,$J1063=经营数据!$BA$5),COUNTIFS($P$2:$P$3000,1,$A$2:$A$3000,$A1063,$J$2:$J$3000,$J1063,$N$2:$N$3000,"&lt;"&amp;$N1063)+1,"")</f>
        <v/>
      </c>
      <c r="R1063" t="str">
        <f t="shared" si="248"/>
        <v>华夏凯德消费封闭式基础设施证券投资基金|广州云尚项目</v>
      </c>
      <c r="S1063">
        <f>IF($A1063="",0,IF(COUNTIF($R$2:$R1063,$R1063)=1,1,0))</f>
        <v>0</v>
      </c>
      <c r="T1063">
        <f t="shared" si="249"/>
        <v>1048</v>
      </c>
      <c r="U1063" t="str">
        <f>IF($A1063="","",IF($A1063=经营数据!$B$3,COUNTIFS($S$2:$S$3000,1,$A$2:$A$3000,$A1063,$T$2:$T$3000,"&lt;"&amp;$T1063)+1,""))</f>
        <v/>
      </c>
      <c r="V1063" t="str">
        <f t="shared" si="250"/>
        <v>广州云尚项目|服务金额</v>
      </c>
      <c r="W1063">
        <f t="shared" si="251"/>
        <v>1050</v>
      </c>
      <c r="X1063" t="str">
        <f t="shared" si="252"/>
        <v>广州云尚项目|销售额</v>
      </c>
      <c r="Y1063">
        <f t="shared" si="253"/>
        <v>1062</v>
      </c>
      <c r="Z1063">
        <f>IF($A1063="",0,IF(AND($M1063=1,$A1063=经营数据!$B$3,$J1063=经营数据!$BA$5,OR($I1063=经营数据!$BA$4,COUNTIF(经营数据!$AA$9:$AA$38,$I1063)&gt;0)),1,0))</f>
        <v>0</v>
      </c>
      <c r="AA1063" t="str">
        <f t="shared" si="254"/>
        <v/>
      </c>
      <c r="AB1063" t="str">
        <f t="shared" si="255"/>
        <v/>
      </c>
      <c r="AC1063">
        <f>IF($A1063="",0,IF(COUNTIF($A$2:$A1063,$A1063)=1,1,0))</f>
        <v>0</v>
      </c>
      <c r="AD1063">
        <f t="shared" si="256"/>
        <v>10</v>
      </c>
      <c r="AE1063" t="str">
        <f t="shared" si="257"/>
        <v>广州云尚项目|销售额（万元）</v>
      </c>
    </row>
    <row r="1064" spans="1:31" x14ac:dyDescent="0.4">
      <c r="A1064" t="str">
        <f>IF(原始经营数据!$D1065="","",原始经营数据!$D1065)</f>
        <v>华夏凯德消费封闭式基础设施证券投资基金</v>
      </c>
      <c r="B1064" t="str">
        <f>IF(原始经营数据!$D1065="","",T(原始经营数据!$E1065))</f>
        <v>广州云尚项目</v>
      </c>
      <c r="C1064" t="str">
        <f>IF(原始经营数据!$D1065="","",原始经营数据!$F1065)</f>
        <v>2022</v>
      </c>
      <c r="D1064" t="str">
        <f>IF(原始经营数据!$D1065="","",原始经营数据!$H1065)</f>
        <v>营业收入（考虑租金减免，不含税）</v>
      </c>
      <c r="E1064">
        <f>IF(原始经营数据!$D1065="","",原始经营数据!$I1065)</f>
        <v>15486.41</v>
      </c>
      <c r="F1064" t="str">
        <f>IF(原始经营数据!$D1065="","",T(原始经营数据!$J1065))</f>
        <v>万元</v>
      </c>
      <c r="G1064" t="str">
        <f>IF(原始经营数据!$D1065="","",T(原始经营数据!$K1065))</f>
        <v/>
      </c>
      <c r="H1064" t="str">
        <f>IF(原始经营数据!$D1065="","",原始经营数据!$G1065)</f>
        <v>服务金额</v>
      </c>
      <c r="I1064" t="str">
        <f>IF($A1064="","",IF($B1064&lt;&gt;"",$B1064,IF(COUNTIFS(原始经营数据!$D$3:$D$3001,$A1064,原始经营数据!$E$3:$E$3001,"",原始经营数据!$F$3:$F$3001,$C1064,原始经营数据!$H$3:$H$3001,$D1064,原始经营数据!$K$3:$K$3001,$G1064)&gt;1,"基金整体·来源"&amp;原始经营数据!$A1065,"基金整体")))</f>
        <v>广州云尚项目</v>
      </c>
      <c r="J1064" t="str">
        <f t="shared" si="243"/>
        <v>年度</v>
      </c>
      <c r="K1064" t="str">
        <f t="shared" si="244"/>
        <v>营业收入（考虑租金减免，不含税）（万元）</v>
      </c>
      <c r="L1064" t="str">
        <f t="shared" si="245"/>
        <v>广州云尚项目|营业收入（考虑租金减免，不含税）（万元）|年度</v>
      </c>
      <c r="M1064">
        <f>IF($A1064="",0,IF(COUNTIF($L$2:$L1064,$L1064)=1,1,0))</f>
        <v>1</v>
      </c>
      <c r="N1064">
        <f t="shared" si="246"/>
        <v>20220</v>
      </c>
      <c r="O1064" t="str">
        <f t="shared" si="247"/>
        <v>华夏凯德消费封闭式基础设施证券投资基金|2022|年度</v>
      </c>
      <c r="P1064">
        <f>IF($A1064="",0,IF(COUNTIF($O$2:$O1064,$O1064)=1,1,0))</f>
        <v>0</v>
      </c>
      <c r="Q1064" t="str">
        <f>IF(AND($P1064=1,$A1064=经营数据!$B$3,$J1064=经营数据!$BA$5),COUNTIFS($P$2:$P$3000,1,$A$2:$A$3000,$A1064,$J$2:$J$3000,$J1064,$N$2:$N$3000,"&lt;"&amp;$N1064)+1,"")</f>
        <v/>
      </c>
      <c r="R1064" t="str">
        <f t="shared" si="248"/>
        <v>华夏凯德消费封闭式基础设施证券投资基金|广州云尚项目</v>
      </c>
      <c r="S1064">
        <f>IF($A1064="",0,IF(COUNTIF($R$2:$R1064,$R1064)=1,1,0))</f>
        <v>0</v>
      </c>
      <c r="T1064">
        <f t="shared" si="249"/>
        <v>1048</v>
      </c>
      <c r="U1064" t="str">
        <f>IF($A1064="","",IF($A1064=经营数据!$B$3,COUNTIFS($S$2:$S$3000,1,$A$2:$A$3000,$A1064,$T$2:$T$3000,"&lt;"&amp;$T1064)+1,""))</f>
        <v/>
      </c>
      <c r="V1064" t="str">
        <f t="shared" si="250"/>
        <v>广州云尚项目|服务金额</v>
      </c>
      <c r="W1064">
        <f t="shared" si="251"/>
        <v>1050</v>
      </c>
      <c r="X1064" t="str">
        <f t="shared" si="252"/>
        <v>广州云尚项目|营业收入（考虑租金减免，不含税）</v>
      </c>
      <c r="Y1064">
        <f t="shared" si="253"/>
        <v>1050</v>
      </c>
      <c r="Z1064">
        <f>IF($A1064="",0,IF(AND($M1064=1,$A1064=经营数据!$B$3,$J1064=经营数据!$BA$5,OR($I1064=经营数据!$BA$4,COUNTIF(经营数据!$AA$9:$AA$38,$I1064)&gt;0)),1,0))</f>
        <v>0</v>
      </c>
      <c r="AA1064" t="str">
        <f t="shared" si="254"/>
        <v/>
      </c>
      <c r="AB1064" t="str">
        <f t="shared" si="255"/>
        <v/>
      </c>
      <c r="AC1064">
        <f>IF($A1064="",0,IF(COUNTIF($A$2:$A1064,$A1064)=1,1,0))</f>
        <v>0</v>
      </c>
      <c r="AD1064">
        <f t="shared" si="256"/>
        <v>10</v>
      </c>
      <c r="AE1064" t="str">
        <f t="shared" si="257"/>
        <v>广州云尚项目|营业收入（考虑租金减免，不含税）（万元）</v>
      </c>
    </row>
    <row r="1065" spans="1:31" x14ac:dyDescent="0.4">
      <c r="A1065" t="str">
        <f>IF(原始经营数据!$D1066="","",原始经营数据!$D1066)</f>
        <v>华夏凯德消费封闭式基础设施证券投资基金</v>
      </c>
      <c r="B1065" t="str">
        <f>IF(原始经营数据!$D1066="","",T(原始经营数据!$E1066))</f>
        <v>广州云尚项目</v>
      </c>
      <c r="C1065" t="str">
        <f>IF(原始经营数据!$D1066="","",原始经营数据!$F1066)</f>
        <v>2022</v>
      </c>
      <c r="D1065" t="str">
        <f>IF(原始经营数据!$D1066="","",原始经营数据!$H1066)</f>
        <v>营业收入（考虑租金减免，不含税）</v>
      </c>
      <c r="E1065">
        <f>IF(原始经营数据!$D1066="","",原始经营数据!$I1066)</f>
        <v>421.25</v>
      </c>
      <c r="F1065" t="str">
        <f>IF(原始经营数据!$D1066="","",T(原始经营数据!$J1066))</f>
        <v>万元</v>
      </c>
      <c r="G1065" t="str">
        <f>IF(原始经营数据!$D1066="","",T(原始经营数据!$K1066))</f>
        <v>抽成租金收入</v>
      </c>
      <c r="H1065" t="str">
        <f>IF(原始经营数据!$D1066="","",原始经营数据!$G1066)</f>
        <v>服务金额</v>
      </c>
      <c r="I1065" t="str">
        <f>IF($A1065="","",IF($B1065&lt;&gt;"",$B1065,IF(COUNTIFS(原始经营数据!$D$3:$D$3001,$A1065,原始经营数据!$E$3:$E$3001,"",原始经营数据!$F$3:$F$3001,$C1065,原始经营数据!$H$3:$H$3001,$D1065,原始经营数据!$K$3:$K$3001,$G1065)&gt;1,"基金整体·来源"&amp;原始经营数据!$A1066,"基金整体")))</f>
        <v>广州云尚项目</v>
      </c>
      <c r="J1065" t="str">
        <f t="shared" si="243"/>
        <v>年度</v>
      </c>
      <c r="K1065" t="str">
        <f t="shared" si="244"/>
        <v>营业收入（考虑租金减免，不含税）-抽成租金收入（万元）</v>
      </c>
      <c r="L1065" t="str">
        <f t="shared" si="245"/>
        <v>广州云尚项目|营业收入（考虑租金减免，不含税）-抽成租金收入（万元）|年度</v>
      </c>
      <c r="M1065">
        <f>IF($A1065="",0,IF(COUNTIF($L$2:$L1065,$L1065)=1,1,0))</f>
        <v>1</v>
      </c>
      <c r="N1065">
        <f t="shared" si="246"/>
        <v>20220</v>
      </c>
      <c r="O1065" t="str">
        <f t="shared" si="247"/>
        <v>华夏凯德消费封闭式基础设施证券投资基金|2022|年度</v>
      </c>
      <c r="P1065">
        <f>IF($A1065="",0,IF(COUNTIF($O$2:$O1065,$O1065)=1,1,0))</f>
        <v>0</v>
      </c>
      <c r="Q1065" t="str">
        <f>IF(AND($P1065=1,$A1065=经营数据!$B$3,$J1065=经营数据!$BA$5),COUNTIFS($P$2:$P$3000,1,$A$2:$A$3000,$A1065,$J$2:$J$3000,$J1065,$N$2:$N$3000,"&lt;"&amp;$N1065)+1,"")</f>
        <v/>
      </c>
      <c r="R1065" t="str">
        <f t="shared" si="248"/>
        <v>华夏凯德消费封闭式基础设施证券投资基金|广州云尚项目</v>
      </c>
      <c r="S1065">
        <f>IF($A1065="",0,IF(COUNTIF($R$2:$R1065,$R1065)=1,1,0))</f>
        <v>0</v>
      </c>
      <c r="T1065">
        <f t="shared" si="249"/>
        <v>1048</v>
      </c>
      <c r="U1065" t="str">
        <f>IF($A1065="","",IF($A1065=经营数据!$B$3,COUNTIFS($S$2:$S$3000,1,$A$2:$A$3000,$A1065,$T$2:$T$3000,"&lt;"&amp;$T1065)+1,""))</f>
        <v/>
      </c>
      <c r="V1065" t="str">
        <f t="shared" si="250"/>
        <v>广州云尚项目|服务金额</v>
      </c>
      <c r="W1065">
        <f t="shared" si="251"/>
        <v>1050</v>
      </c>
      <c r="X1065" t="str">
        <f t="shared" si="252"/>
        <v>广州云尚项目|营业收入（考虑租金减免，不含税）</v>
      </c>
      <c r="Y1065">
        <f t="shared" si="253"/>
        <v>1050</v>
      </c>
      <c r="Z1065">
        <f>IF($A1065="",0,IF(AND($M1065=1,$A1065=经营数据!$B$3,$J1065=经营数据!$BA$5,OR($I1065=经营数据!$BA$4,COUNTIF(经营数据!$AA$9:$AA$38,$I1065)&gt;0)),1,0))</f>
        <v>0</v>
      </c>
      <c r="AA1065" t="str">
        <f t="shared" si="254"/>
        <v/>
      </c>
      <c r="AB1065" t="str">
        <f t="shared" si="255"/>
        <v/>
      </c>
      <c r="AC1065">
        <f>IF($A1065="",0,IF(COUNTIF($A$2:$A1065,$A1065)=1,1,0))</f>
        <v>0</v>
      </c>
      <c r="AD1065">
        <f t="shared" si="256"/>
        <v>10</v>
      </c>
      <c r="AE1065" t="str">
        <f t="shared" si="257"/>
        <v>广州云尚项目|营业收入（考虑租金减免，不含税）-抽成租金收入（万元）</v>
      </c>
    </row>
    <row r="1066" spans="1:31" x14ac:dyDescent="0.4">
      <c r="A1066" t="str">
        <f>IF(原始经营数据!$D1067="","",原始经营数据!$D1067)</f>
        <v>华夏凯德消费封闭式基础设施证券投资基金</v>
      </c>
      <c r="B1066" t="str">
        <f>IF(原始经营数据!$D1067="","",T(原始经营数据!$E1067))</f>
        <v>广州云尚项目</v>
      </c>
      <c r="C1066" t="str">
        <f>IF(原始经营数据!$D1067="","",原始经营数据!$F1067)</f>
        <v>2022</v>
      </c>
      <c r="D1066" t="str">
        <f>IF(原始经营数据!$D1067="","",原始经营数据!$H1067)</f>
        <v>营业收入（考虑租金减免，不含税）</v>
      </c>
      <c r="E1066">
        <f>IF(原始经营数据!$D1067="","",原始经营数据!$I1067)</f>
        <v>272.17</v>
      </c>
      <c r="F1066" t="str">
        <f>IF(原始经营数据!$D1067="","",T(原始经营数据!$J1067))</f>
        <v>万元</v>
      </c>
      <c r="G1066" t="str">
        <f>IF(原始经营数据!$D1067="","",T(原始经营数据!$K1067))</f>
        <v>推广费收入</v>
      </c>
      <c r="H1066" t="str">
        <f>IF(原始经营数据!$D1067="","",原始经营数据!$G1067)</f>
        <v>服务金额</v>
      </c>
      <c r="I1066" t="str">
        <f>IF($A1066="","",IF($B1066&lt;&gt;"",$B1066,IF(COUNTIFS(原始经营数据!$D$3:$D$3001,$A1066,原始经营数据!$E$3:$E$3001,"",原始经营数据!$F$3:$F$3001,$C1066,原始经营数据!$H$3:$H$3001,$D1066,原始经营数据!$K$3:$K$3001,$G1066)&gt;1,"基金整体·来源"&amp;原始经营数据!$A1067,"基金整体")))</f>
        <v>广州云尚项目</v>
      </c>
      <c r="J1066" t="str">
        <f t="shared" si="243"/>
        <v>年度</v>
      </c>
      <c r="K1066" t="str">
        <f t="shared" si="244"/>
        <v>营业收入（考虑租金减免，不含税）-推广费收入（万元）</v>
      </c>
      <c r="L1066" t="str">
        <f t="shared" si="245"/>
        <v>广州云尚项目|营业收入（考虑租金减免，不含税）-推广费收入（万元）|年度</v>
      </c>
      <c r="M1066">
        <f>IF($A1066="",0,IF(COUNTIF($L$2:$L1066,$L1066)=1,1,0))</f>
        <v>1</v>
      </c>
      <c r="N1066">
        <f t="shared" si="246"/>
        <v>20220</v>
      </c>
      <c r="O1066" t="str">
        <f t="shared" si="247"/>
        <v>华夏凯德消费封闭式基础设施证券投资基金|2022|年度</v>
      </c>
      <c r="P1066">
        <f>IF($A1066="",0,IF(COUNTIF($O$2:$O1066,$O1066)=1,1,0))</f>
        <v>0</v>
      </c>
      <c r="Q1066" t="str">
        <f>IF(AND($P1066=1,$A1066=经营数据!$B$3,$J1066=经营数据!$BA$5),COUNTIFS($P$2:$P$3000,1,$A$2:$A$3000,$A1066,$J$2:$J$3000,$J1066,$N$2:$N$3000,"&lt;"&amp;$N1066)+1,"")</f>
        <v/>
      </c>
      <c r="R1066" t="str">
        <f t="shared" si="248"/>
        <v>华夏凯德消费封闭式基础设施证券投资基金|广州云尚项目</v>
      </c>
      <c r="S1066">
        <f>IF($A1066="",0,IF(COUNTIF($R$2:$R1066,$R1066)=1,1,0))</f>
        <v>0</v>
      </c>
      <c r="T1066">
        <f t="shared" si="249"/>
        <v>1048</v>
      </c>
      <c r="U1066" t="str">
        <f>IF($A1066="","",IF($A1066=经营数据!$B$3,COUNTIFS($S$2:$S$3000,1,$A$2:$A$3000,$A1066,$T$2:$T$3000,"&lt;"&amp;$T1066)+1,""))</f>
        <v/>
      </c>
      <c r="V1066" t="str">
        <f t="shared" si="250"/>
        <v>广州云尚项目|服务金额</v>
      </c>
      <c r="W1066">
        <f t="shared" si="251"/>
        <v>1050</v>
      </c>
      <c r="X1066" t="str">
        <f t="shared" si="252"/>
        <v>广州云尚项目|营业收入（考虑租金减免，不含税）</v>
      </c>
      <c r="Y1066">
        <f t="shared" si="253"/>
        <v>1050</v>
      </c>
      <c r="Z1066">
        <f>IF($A1066="",0,IF(AND($M1066=1,$A1066=经营数据!$B$3,$J1066=经营数据!$BA$5,OR($I1066=经营数据!$BA$4,COUNTIF(经营数据!$AA$9:$AA$38,$I1066)&gt;0)),1,0))</f>
        <v>0</v>
      </c>
      <c r="AA1066" t="str">
        <f t="shared" si="254"/>
        <v/>
      </c>
      <c r="AB1066" t="str">
        <f t="shared" si="255"/>
        <v/>
      </c>
      <c r="AC1066">
        <f>IF($A1066="",0,IF(COUNTIF($A$2:$A1066,$A1066)=1,1,0))</f>
        <v>0</v>
      </c>
      <c r="AD1066">
        <f t="shared" si="256"/>
        <v>10</v>
      </c>
      <c r="AE1066" t="str">
        <f t="shared" si="257"/>
        <v>广州云尚项目|营业收入（考虑租金减免，不含税）-推广费收入（万元）</v>
      </c>
    </row>
    <row r="1067" spans="1:31" x14ac:dyDescent="0.4">
      <c r="A1067" t="str">
        <f>IF(原始经营数据!$D1068="","",原始经营数据!$D1068)</f>
        <v>华夏凯德消费封闭式基础设施证券投资基金</v>
      </c>
      <c r="B1067" t="str">
        <f>IF(原始经营数据!$D1068="","",T(原始经营数据!$E1068))</f>
        <v>广州云尚项目</v>
      </c>
      <c r="C1067" t="str">
        <f>IF(原始经营数据!$D1068="","",原始经营数据!$F1068)</f>
        <v>2023</v>
      </c>
      <c r="D1067" t="str">
        <f>IF(原始经营数据!$D1068="","",原始经营数据!$H1068)</f>
        <v>专门店平均租金单价</v>
      </c>
      <c r="E1067">
        <f>IF(原始经营数据!$D1068="","",原始经营数据!$I1068)</f>
        <v>236</v>
      </c>
      <c r="F1067" t="str">
        <f>IF(原始经营数据!$D1068="","",T(原始经营数据!$J1068))</f>
        <v/>
      </c>
      <c r="G1067" t="str">
        <f>IF(原始经营数据!$D1068="","",T(原始经营数据!$K1068))</f>
        <v/>
      </c>
      <c r="H1067" t="str">
        <f>IF(原始经营数据!$D1068="","",原始经营数据!$G1068)</f>
        <v>服务价格</v>
      </c>
      <c r="I1067" t="str">
        <f>IF($A1067="","",IF($B1067&lt;&gt;"",$B1067,IF(COUNTIFS(原始经营数据!$D$3:$D$3001,$A1067,原始经营数据!$E$3:$E$3001,"",原始经营数据!$F$3:$F$3001,$C1067,原始经营数据!$H$3:$H$3001,$D1067,原始经营数据!$K$3:$K$3001,$G1067)&gt;1,"基金整体·来源"&amp;原始经营数据!$A1068,"基金整体")))</f>
        <v>广州云尚项目</v>
      </c>
      <c r="J1067" t="str">
        <f t="shared" si="243"/>
        <v>年度</v>
      </c>
      <c r="K1067" t="str">
        <f t="shared" si="244"/>
        <v>专门店平均租金单价</v>
      </c>
      <c r="L1067" t="str">
        <f t="shared" si="245"/>
        <v>广州云尚项目|专门店平均租金单价|年度</v>
      </c>
      <c r="M1067">
        <f>IF($A1067="",0,IF(COUNTIF($L$2:$L1067,$L1067)=1,1,0))</f>
        <v>0</v>
      </c>
      <c r="N1067">
        <f t="shared" si="246"/>
        <v>20230</v>
      </c>
      <c r="O1067" t="str">
        <f t="shared" si="247"/>
        <v>华夏凯德消费封闭式基础设施证券投资基金|2023|年度</v>
      </c>
      <c r="P1067">
        <f>IF($A1067="",0,IF(COUNTIF($O$2:$O1067,$O1067)=1,1,0))</f>
        <v>1</v>
      </c>
      <c r="Q1067" t="str">
        <f>IF(AND($P1067=1,$A1067=经营数据!$B$3,$J1067=经营数据!$BA$5),COUNTIFS($P$2:$P$3000,1,$A$2:$A$3000,$A1067,$J$2:$J$3000,$J1067,$N$2:$N$3000,"&lt;"&amp;$N1067)+1,"")</f>
        <v/>
      </c>
      <c r="R1067" t="str">
        <f t="shared" si="248"/>
        <v>华夏凯德消费封闭式基础设施证券投资基金|广州云尚项目</v>
      </c>
      <c r="S1067">
        <f>IF($A1067="",0,IF(COUNTIF($R$2:$R1067,$R1067)=1,1,0))</f>
        <v>0</v>
      </c>
      <c r="T1067">
        <f t="shared" si="249"/>
        <v>1048</v>
      </c>
      <c r="U1067" t="str">
        <f>IF($A1067="","",IF($A1067=经营数据!$B$3,COUNTIFS($S$2:$S$3000,1,$A$2:$A$3000,$A1067,$T$2:$T$3000,"&lt;"&amp;$T1067)+1,""))</f>
        <v/>
      </c>
      <c r="V1067" t="str">
        <f t="shared" si="250"/>
        <v>广州云尚项目|服务价格</v>
      </c>
      <c r="W1067">
        <f t="shared" si="251"/>
        <v>1052</v>
      </c>
      <c r="X1067" t="str">
        <f t="shared" si="252"/>
        <v>广州云尚项目|专门店平均租金单价</v>
      </c>
      <c r="Y1067">
        <f t="shared" si="253"/>
        <v>1052</v>
      </c>
      <c r="Z1067">
        <f>IF($A1067="",0,IF(AND($M1067=1,$A1067=经营数据!$B$3,$J1067=经营数据!$BA$5,OR($I1067=经营数据!$BA$4,COUNTIF(经营数据!$AA$9:$AA$38,$I1067)&gt;0)),1,0))</f>
        <v>0</v>
      </c>
      <c r="AA1067" t="str">
        <f t="shared" si="254"/>
        <v/>
      </c>
      <c r="AB1067" t="str">
        <f t="shared" si="255"/>
        <v/>
      </c>
      <c r="AC1067">
        <f>IF($A1067="",0,IF(COUNTIF($A$2:$A1067,$A1067)=1,1,0))</f>
        <v>0</v>
      </c>
      <c r="AD1067">
        <f t="shared" si="256"/>
        <v>10</v>
      </c>
      <c r="AE1067" t="str">
        <f t="shared" si="257"/>
        <v>广州云尚项目|专门店平均租金单价</v>
      </c>
    </row>
    <row r="1068" spans="1:31" x14ac:dyDescent="0.4">
      <c r="A1068" t="str">
        <f>IF(原始经营数据!$D1069="","",原始经营数据!$D1069)</f>
        <v>华夏凯德消费封闭式基础设施证券投资基金</v>
      </c>
      <c r="B1068" t="str">
        <f>IF(原始经营数据!$D1069="","",T(原始经营数据!$E1069))</f>
        <v>广州云尚项目</v>
      </c>
      <c r="C1068" t="str">
        <f>IF(原始经营数据!$D1069="","",原始经营数据!$F1069)</f>
        <v>2023</v>
      </c>
      <c r="D1068" t="str">
        <f>IF(原始经营数据!$D1069="","",原始经营数据!$H1069)</f>
        <v>主力店平均租金单价</v>
      </c>
      <c r="E1068">
        <f>IF(原始经营数据!$D1069="","",原始经营数据!$I1069)</f>
        <v>21</v>
      </c>
      <c r="F1068" t="str">
        <f>IF(原始经营数据!$D1069="","",T(原始经营数据!$J1069))</f>
        <v/>
      </c>
      <c r="G1068" t="str">
        <f>IF(原始经营数据!$D1069="","",T(原始经营数据!$K1069))</f>
        <v/>
      </c>
      <c r="H1068" t="str">
        <f>IF(原始经营数据!$D1069="","",原始经营数据!$G1069)</f>
        <v>服务价格</v>
      </c>
      <c r="I1068" t="str">
        <f>IF($A1068="","",IF($B1068&lt;&gt;"",$B1068,IF(COUNTIFS(原始经营数据!$D$3:$D$3001,$A1068,原始经营数据!$E$3:$E$3001,"",原始经营数据!$F$3:$F$3001,$C1068,原始经营数据!$H$3:$H$3001,$D1068,原始经营数据!$K$3:$K$3001,$G1068)&gt;1,"基金整体·来源"&amp;原始经营数据!$A1069,"基金整体")))</f>
        <v>广州云尚项目</v>
      </c>
      <c r="J1068" t="str">
        <f t="shared" si="243"/>
        <v>年度</v>
      </c>
      <c r="K1068" t="str">
        <f t="shared" si="244"/>
        <v>主力店平均租金单价</v>
      </c>
      <c r="L1068" t="str">
        <f t="shared" si="245"/>
        <v>广州云尚项目|主力店平均租金单价|年度</v>
      </c>
      <c r="M1068">
        <f>IF($A1068="",0,IF(COUNTIF($L$2:$L1068,$L1068)=1,1,0))</f>
        <v>0</v>
      </c>
      <c r="N1068">
        <f t="shared" si="246"/>
        <v>20230</v>
      </c>
      <c r="O1068" t="str">
        <f t="shared" si="247"/>
        <v>华夏凯德消费封闭式基础设施证券投资基金|2023|年度</v>
      </c>
      <c r="P1068">
        <f>IF($A1068="",0,IF(COUNTIF($O$2:$O1068,$O1068)=1,1,0))</f>
        <v>0</v>
      </c>
      <c r="Q1068" t="str">
        <f>IF(AND($P1068=1,$A1068=经营数据!$B$3,$J1068=经营数据!$BA$5),COUNTIFS($P$2:$P$3000,1,$A$2:$A$3000,$A1068,$J$2:$J$3000,$J1068,$N$2:$N$3000,"&lt;"&amp;$N1068)+1,"")</f>
        <v/>
      </c>
      <c r="R1068" t="str">
        <f t="shared" si="248"/>
        <v>华夏凯德消费封闭式基础设施证券投资基金|广州云尚项目</v>
      </c>
      <c r="S1068">
        <f>IF($A1068="",0,IF(COUNTIF($R$2:$R1068,$R1068)=1,1,0))</f>
        <v>0</v>
      </c>
      <c r="T1068">
        <f t="shared" si="249"/>
        <v>1048</v>
      </c>
      <c r="U1068" t="str">
        <f>IF($A1068="","",IF($A1068=经营数据!$B$3,COUNTIFS($S$2:$S$3000,1,$A$2:$A$3000,$A1068,$T$2:$T$3000,"&lt;"&amp;$T1068)+1,""))</f>
        <v/>
      </c>
      <c r="V1068" t="str">
        <f t="shared" si="250"/>
        <v>广州云尚项目|服务价格</v>
      </c>
      <c r="W1068">
        <f t="shared" si="251"/>
        <v>1052</v>
      </c>
      <c r="X1068" t="str">
        <f t="shared" si="252"/>
        <v>广州云尚项目|主力店平均租金单价</v>
      </c>
      <c r="Y1068">
        <f t="shared" si="253"/>
        <v>1053</v>
      </c>
      <c r="Z1068">
        <f>IF($A1068="",0,IF(AND($M1068=1,$A1068=经营数据!$B$3,$J1068=经营数据!$BA$5,OR($I1068=经营数据!$BA$4,COUNTIF(经营数据!$AA$9:$AA$38,$I1068)&gt;0)),1,0))</f>
        <v>0</v>
      </c>
      <c r="AA1068" t="str">
        <f t="shared" si="254"/>
        <v/>
      </c>
      <c r="AB1068" t="str">
        <f t="shared" si="255"/>
        <v/>
      </c>
      <c r="AC1068">
        <f>IF($A1068="",0,IF(COUNTIF($A$2:$A1068,$A1068)=1,1,0))</f>
        <v>0</v>
      </c>
      <c r="AD1068">
        <f t="shared" si="256"/>
        <v>10</v>
      </c>
      <c r="AE1068" t="str">
        <f t="shared" si="257"/>
        <v>广州云尚项目|主力店平均租金单价</v>
      </c>
    </row>
    <row r="1069" spans="1:31" x14ac:dyDescent="0.4">
      <c r="A1069" t="str">
        <f>IF(原始经营数据!$D1070="","",原始经营数据!$D1070)</f>
        <v>华夏凯德消费封闭式基础设施证券投资基金</v>
      </c>
      <c r="B1069" t="str">
        <f>IF(原始经营数据!$D1070="","",T(原始经营数据!$E1070))</f>
        <v>广州云尚项目</v>
      </c>
      <c r="C1069" t="str">
        <f>IF(原始经营数据!$D1070="","",原始经营数据!$F1070)</f>
        <v>2023</v>
      </c>
      <c r="D1069" t="str">
        <f>IF(原始经营数据!$D1070="","",原始经营数据!$H1070)</f>
        <v>平均出租率</v>
      </c>
      <c r="E1069">
        <f>IF(原始经营数据!$D1070="","",原始经营数据!$I1070)</f>
        <v>93.1</v>
      </c>
      <c r="F1069" t="str">
        <f>IF(原始经营数据!$D1070="","",T(原始经营数据!$J1070))</f>
        <v>%</v>
      </c>
      <c r="G1069" t="str">
        <f>IF(原始经营数据!$D1070="","",T(原始经营数据!$K1070))</f>
        <v/>
      </c>
      <c r="H1069" t="str">
        <f>IF(原始经营数据!$D1070="","",原始经营数据!$G1070)</f>
        <v>服务效率</v>
      </c>
      <c r="I1069" t="str">
        <f>IF($A1069="","",IF($B1069&lt;&gt;"",$B1069,IF(COUNTIFS(原始经营数据!$D$3:$D$3001,$A1069,原始经营数据!$E$3:$E$3001,"",原始经营数据!$F$3:$F$3001,$C1069,原始经营数据!$H$3:$H$3001,$D1069,原始经营数据!$K$3:$K$3001,$G1069)&gt;1,"基金整体·来源"&amp;原始经营数据!$A1070,"基金整体")))</f>
        <v>广州云尚项目</v>
      </c>
      <c r="J1069" t="str">
        <f t="shared" si="243"/>
        <v>年度</v>
      </c>
      <c r="K1069" t="str">
        <f t="shared" si="244"/>
        <v>平均出租率（%）</v>
      </c>
      <c r="L1069" t="str">
        <f t="shared" si="245"/>
        <v>广州云尚项目|平均出租率（%）|年度</v>
      </c>
      <c r="M1069">
        <f>IF($A1069="",0,IF(COUNTIF($L$2:$L1069,$L1069)=1,1,0))</f>
        <v>0</v>
      </c>
      <c r="N1069">
        <f t="shared" si="246"/>
        <v>20230</v>
      </c>
      <c r="O1069" t="str">
        <f t="shared" si="247"/>
        <v>华夏凯德消费封闭式基础设施证券投资基金|2023|年度</v>
      </c>
      <c r="P1069">
        <f>IF($A1069="",0,IF(COUNTIF($O$2:$O1069,$O1069)=1,1,0))</f>
        <v>0</v>
      </c>
      <c r="Q1069" t="str">
        <f>IF(AND($P1069=1,$A1069=经营数据!$B$3,$J1069=经营数据!$BA$5),COUNTIFS($P$2:$P$3000,1,$A$2:$A$3000,$A1069,$J$2:$J$3000,$J1069,$N$2:$N$3000,"&lt;"&amp;$N1069)+1,"")</f>
        <v/>
      </c>
      <c r="R1069" t="str">
        <f t="shared" si="248"/>
        <v>华夏凯德消费封闭式基础设施证券投资基金|广州云尚项目</v>
      </c>
      <c r="S1069">
        <f>IF($A1069="",0,IF(COUNTIF($R$2:$R1069,$R1069)=1,1,0))</f>
        <v>0</v>
      </c>
      <c r="T1069">
        <f t="shared" si="249"/>
        <v>1048</v>
      </c>
      <c r="U1069" t="str">
        <f>IF($A1069="","",IF($A1069=经营数据!$B$3,COUNTIFS($S$2:$S$3000,1,$A$2:$A$3000,$A1069,$T$2:$T$3000,"&lt;"&amp;$T1069)+1,""))</f>
        <v/>
      </c>
      <c r="V1069" t="str">
        <f t="shared" si="250"/>
        <v>广州云尚项目|服务效率</v>
      </c>
      <c r="W1069">
        <f t="shared" si="251"/>
        <v>1055</v>
      </c>
      <c r="X1069" t="str">
        <f t="shared" si="252"/>
        <v>广州云尚项目|平均出租率</v>
      </c>
      <c r="Y1069">
        <f t="shared" si="253"/>
        <v>1055</v>
      </c>
      <c r="Z1069">
        <f>IF($A1069="",0,IF(AND($M1069=1,$A1069=经营数据!$B$3,$J1069=经营数据!$BA$5,OR($I1069=经营数据!$BA$4,COUNTIF(经营数据!$AA$9:$AA$38,$I1069)&gt;0)),1,0))</f>
        <v>0</v>
      </c>
      <c r="AA1069" t="str">
        <f t="shared" si="254"/>
        <v/>
      </c>
      <c r="AB1069" t="str">
        <f t="shared" si="255"/>
        <v/>
      </c>
      <c r="AC1069">
        <f>IF($A1069="",0,IF(COUNTIF($A$2:$A1069,$A1069)=1,1,0))</f>
        <v>0</v>
      </c>
      <c r="AD1069">
        <f t="shared" si="256"/>
        <v>10</v>
      </c>
      <c r="AE1069" t="str">
        <f t="shared" si="257"/>
        <v>广州云尚项目|平均出租率（%）</v>
      </c>
    </row>
    <row r="1070" spans="1:31" x14ac:dyDescent="0.4">
      <c r="A1070" t="str">
        <f>IF(原始经营数据!$D1071="","",原始经营数据!$D1071)</f>
        <v>华夏凯德消费封闭式基础设施证券投资基金</v>
      </c>
      <c r="B1070" t="str">
        <f>IF(原始经营数据!$D1071="","",T(原始经营数据!$E1071))</f>
        <v>广州云尚项目</v>
      </c>
      <c r="C1070" t="str">
        <f>IF(原始经营数据!$D1071="","",原始经营数据!$F1071)</f>
        <v>2023</v>
      </c>
      <c r="D1070" t="str">
        <f>IF(原始经营数据!$D1071="","",原始经营数据!$H1071)</f>
        <v>期末时点出租率</v>
      </c>
      <c r="E1070">
        <f>IF(原始经营数据!$D1071="","",原始经营数据!$I1071)</f>
        <v>94.53</v>
      </c>
      <c r="F1070" t="str">
        <f>IF(原始经营数据!$D1071="","",T(原始经营数据!$J1071))</f>
        <v>%</v>
      </c>
      <c r="G1070" t="str">
        <f>IF(原始经营数据!$D1071="","",T(原始经营数据!$K1071))</f>
        <v/>
      </c>
      <c r="H1070" t="str">
        <f>IF(原始经营数据!$D1071="","",原始经营数据!$G1071)</f>
        <v>服务效率</v>
      </c>
      <c r="I1070" t="str">
        <f>IF($A1070="","",IF($B1070&lt;&gt;"",$B1070,IF(COUNTIFS(原始经营数据!$D$3:$D$3001,$A1070,原始经营数据!$E$3:$E$3001,"",原始经营数据!$F$3:$F$3001,$C1070,原始经营数据!$H$3:$H$3001,$D1070,原始经营数据!$K$3:$K$3001,$G1070)&gt;1,"基金整体·来源"&amp;原始经营数据!$A1071,"基金整体")))</f>
        <v>广州云尚项目</v>
      </c>
      <c r="J1070" t="str">
        <f t="shared" si="243"/>
        <v>年度</v>
      </c>
      <c r="K1070" t="str">
        <f t="shared" si="244"/>
        <v>期末时点出租率（%）</v>
      </c>
      <c r="L1070" t="str">
        <f t="shared" si="245"/>
        <v>广州云尚项目|期末时点出租率（%）|年度</v>
      </c>
      <c r="M1070">
        <f>IF($A1070="",0,IF(COUNTIF($L$2:$L1070,$L1070)=1,1,0))</f>
        <v>0</v>
      </c>
      <c r="N1070">
        <f t="shared" si="246"/>
        <v>20230</v>
      </c>
      <c r="O1070" t="str">
        <f t="shared" si="247"/>
        <v>华夏凯德消费封闭式基础设施证券投资基金|2023|年度</v>
      </c>
      <c r="P1070">
        <f>IF($A1070="",0,IF(COUNTIF($O$2:$O1070,$O1070)=1,1,0))</f>
        <v>0</v>
      </c>
      <c r="Q1070" t="str">
        <f>IF(AND($P1070=1,$A1070=经营数据!$B$3,$J1070=经营数据!$BA$5),COUNTIFS($P$2:$P$3000,1,$A$2:$A$3000,$A1070,$J$2:$J$3000,$J1070,$N$2:$N$3000,"&lt;"&amp;$N1070)+1,"")</f>
        <v/>
      </c>
      <c r="R1070" t="str">
        <f t="shared" si="248"/>
        <v>华夏凯德消费封闭式基础设施证券投资基金|广州云尚项目</v>
      </c>
      <c r="S1070">
        <f>IF($A1070="",0,IF(COUNTIF($R$2:$R1070,$R1070)=1,1,0))</f>
        <v>0</v>
      </c>
      <c r="T1070">
        <f t="shared" si="249"/>
        <v>1048</v>
      </c>
      <c r="U1070" t="str">
        <f>IF($A1070="","",IF($A1070=经营数据!$B$3,COUNTIFS($S$2:$S$3000,1,$A$2:$A$3000,$A1070,$T$2:$T$3000,"&lt;"&amp;$T1070)+1,""))</f>
        <v/>
      </c>
      <c r="V1070" t="str">
        <f t="shared" si="250"/>
        <v>广州云尚项目|服务效率</v>
      </c>
      <c r="W1070">
        <f t="shared" si="251"/>
        <v>1055</v>
      </c>
      <c r="X1070" t="str">
        <f t="shared" si="252"/>
        <v>广州云尚项目|期末时点出租率</v>
      </c>
      <c r="Y1070">
        <f t="shared" si="253"/>
        <v>1056</v>
      </c>
      <c r="Z1070">
        <f>IF($A1070="",0,IF(AND($M1070=1,$A1070=经营数据!$B$3,$J1070=经营数据!$BA$5,OR($I1070=经营数据!$BA$4,COUNTIF(经营数据!$AA$9:$AA$38,$I1070)&gt;0)),1,0))</f>
        <v>0</v>
      </c>
      <c r="AA1070" t="str">
        <f t="shared" si="254"/>
        <v/>
      </c>
      <c r="AB1070" t="str">
        <f t="shared" si="255"/>
        <v/>
      </c>
      <c r="AC1070">
        <f>IF($A1070="",0,IF(COUNTIF($A$2:$A1070,$A1070)=1,1,0))</f>
        <v>0</v>
      </c>
      <c r="AD1070">
        <f t="shared" si="256"/>
        <v>10</v>
      </c>
      <c r="AE1070" t="str">
        <f t="shared" si="257"/>
        <v>广州云尚项目|期末时点出租率（%）</v>
      </c>
    </row>
    <row r="1071" spans="1:31" x14ac:dyDescent="0.4">
      <c r="A1071" t="str">
        <f>IF(原始经营数据!$D1072="","",原始经营数据!$D1072)</f>
        <v>华夏凯德消费封闭式基础设施证券投资基金</v>
      </c>
      <c r="B1071" t="str">
        <f>IF(原始经营数据!$D1072="","",T(原始经营数据!$E1072))</f>
        <v>广州云尚项目</v>
      </c>
      <c r="C1071" t="str">
        <f>IF(原始经营数据!$D1072="","",原始经营数据!$F1072)</f>
        <v>2023</v>
      </c>
      <c r="D1071" t="str">
        <f>IF(原始经营数据!$D1072="","",原始经营数据!$H1072)</f>
        <v>租金收缴率</v>
      </c>
      <c r="E1071">
        <f>IF(原始经营数据!$D1072="","",原始经营数据!$I1072)</f>
        <v>99.29</v>
      </c>
      <c r="F1071" t="str">
        <f>IF(原始经营数据!$D1072="","",T(原始经营数据!$J1072))</f>
        <v>%</v>
      </c>
      <c r="G1071" t="str">
        <f>IF(原始经营数据!$D1072="","",T(原始经营数据!$K1072))</f>
        <v/>
      </c>
      <c r="H1071" t="str">
        <f>IF(原始经营数据!$D1072="","",原始经营数据!$G1072)</f>
        <v>服务效率</v>
      </c>
      <c r="I1071" t="str">
        <f>IF($A1071="","",IF($B1071&lt;&gt;"",$B1071,IF(COUNTIFS(原始经营数据!$D$3:$D$3001,$A1071,原始经营数据!$E$3:$E$3001,"",原始经营数据!$F$3:$F$3001,$C1071,原始经营数据!$H$3:$H$3001,$D1071,原始经营数据!$K$3:$K$3001,$G1071)&gt;1,"基金整体·来源"&amp;原始经营数据!$A1072,"基金整体")))</f>
        <v>广州云尚项目</v>
      </c>
      <c r="J1071" t="str">
        <f t="shared" si="243"/>
        <v>年度</v>
      </c>
      <c r="K1071" t="str">
        <f t="shared" si="244"/>
        <v>租金收缴率（%）</v>
      </c>
      <c r="L1071" t="str">
        <f t="shared" si="245"/>
        <v>广州云尚项目|租金收缴率（%）|年度</v>
      </c>
      <c r="M1071">
        <f>IF($A1071="",0,IF(COUNTIF($L$2:$L1071,$L1071)=1,1,0))</f>
        <v>0</v>
      </c>
      <c r="N1071">
        <f t="shared" si="246"/>
        <v>20230</v>
      </c>
      <c r="O1071" t="str">
        <f t="shared" si="247"/>
        <v>华夏凯德消费封闭式基础设施证券投资基金|2023|年度</v>
      </c>
      <c r="P1071">
        <f>IF($A1071="",0,IF(COUNTIF($O$2:$O1071,$O1071)=1,1,0))</f>
        <v>0</v>
      </c>
      <c r="Q1071" t="str">
        <f>IF(AND($P1071=1,$A1071=经营数据!$B$3,$J1071=经营数据!$BA$5),COUNTIFS($P$2:$P$3000,1,$A$2:$A$3000,$A1071,$J$2:$J$3000,$J1071,$N$2:$N$3000,"&lt;"&amp;$N1071)+1,"")</f>
        <v/>
      </c>
      <c r="R1071" t="str">
        <f t="shared" si="248"/>
        <v>华夏凯德消费封闭式基础设施证券投资基金|广州云尚项目</v>
      </c>
      <c r="S1071">
        <f>IF($A1071="",0,IF(COUNTIF($R$2:$R1071,$R1071)=1,1,0))</f>
        <v>0</v>
      </c>
      <c r="T1071">
        <f t="shared" si="249"/>
        <v>1048</v>
      </c>
      <c r="U1071" t="str">
        <f>IF($A1071="","",IF($A1071=经营数据!$B$3,COUNTIFS($S$2:$S$3000,1,$A$2:$A$3000,$A1071,$T$2:$T$3000,"&lt;"&amp;$T1071)+1,""))</f>
        <v/>
      </c>
      <c r="V1071" t="str">
        <f t="shared" si="250"/>
        <v>广州云尚项目|服务效率</v>
      </c>
      <c r="W1071">
        <f t="shared" si="251"/>
        <v>1055</v>
      </c>
      <c r="X1071" t="str">
        <f t="shared" si="252"/>
        <v>广州云尚项目|租金收缴率</v>
      </c>
      <c r="Y1071">
        <f t="shared" si="253"/>
        <v>1057</v>
      </c>
      <c r="Z1071">
        <f>IF($A1071="",0,IF(AND($M1071=1,$A1071=经营数据!$B$3,$J1071=经营数据!$BA$5,OR($I1071=经营数据!$BA$4,COUNTIF(经营数据!$AA$9:$AA$38,$I1071)&gt;0)),1,0))</f>
        <v>0</v>
      </c>
      <c r="AA1071" t="str">
        <f t="shared" si="254"/>
        <v/>
      </c>
      <c r="AB1071" t="str">
        <f t="shared" si="255"/>
        <v/>
      </c>
      <c r="AC1071">
        <f>IF($A1071="",0,IF(COUNTIF($A$2:$A1071,$A1071)=1,1,0))</f>
        <v>0</v>
      </c>
      <c r="AD1071">
        <f t="shared" si="256"/>
        <v>10</v>
      </c>
      <c r="AE1071" t="str">
        <f t="shared" si="257"/>
        <v>广州云尚项目|租金收缴率（%）</v>
      </c>
    </row>
    <row r="1072" spans="1:31" x14ac:dyDescent="0.4">
      <c r="A1072" t="str">
        <f>IF(原始经营数据!$D1073="","",原始经营数据!$D1073)</f>
        <v>华夏凯德消费封闭式基础设施证券投资基金</v>
      </c>
      <c r="B1072" t="str">
        <f>IF(原始经营数据!$D1073="","",T(原始经营数据!$E1073))</f>
        <v>广州云尚项目</v>
      </c>
      <c r="C1072" t="str">
        <f>IF(原始经营数据!$D1073="","",原始经营数据!$F1073)</f>
        <v>2023</v>
      </c>
      <c r="D1072" t="str">
        <f>IF(原始经营数据!$D1073="","",原始经营数据!$H1073)</f>
        <v>月销售坪效</v>
      </c>
      <c r="E1072">
        <f>IF(原始经营数据!$D1073="","",原始经营数据!$I1073)</f>
        <v>1434</v>
      </c>
      <c r="F1072" t="str">
        <f>IF(原始经营数据!$D1073="","",T(原始经营数据!$J1073))</f>
        <v>元/平方米</v>
      </c>
      <c r="G1072" t="str">
        <f>IF(原始经营数据!$D1073="","",T(原始经营数据!$K1073))</f>
        <v/>
      </c>
      <c r="H1072" t="str">
        <f>IF(原始经营数据!$D1073="","",原始经营数据!$G1073)</f>
        <v>服务价格</v>
      </c>
      <c r="I1072" t="str">
        <f>IF($A1072="","",IF($B1072&lt;&gt;"",$B1072,IF(COUNTIFS(原始经营数据!$D$3:$D$3001,$A1072,原始经营数据!$E$3:$E$3001,"",原始经营数据!$F$3:$F$3001,$C1072,原始经营数据!$H$3:$H$3001,$D1072,原始经营数据!$K$3:$K$3001,$G1072)&gt;1,"基金整体·来源"&amp;原始经营数据!$A1073,"基金整体")))</f>
        <v>广州云尚项目</v>
      </c>
      <c r="J1072" t="str">
        <f t="shared" si="243"/>
        <v>年度</v>
      </c>
      <c r="K1072" t="str">
        <f t="shared" si="244"/>
        <v>月销售坪效（元/平方米）</v>
      </c>
      <c r="L1072" t="str">
        <f t="shared" si="245"/>
        <v>广州云尚项目|月销售坪效（元/平方米）|年度</v>
      </c>
      <c r="M1072">
        <f>IF($A1072="",0,IF(COUNTIF($L$2:$L1072,$L1072)=1,1,0))</f>
        <v>0</v>
      </c>
      <c r="N1072">
        <f t="shared" si="246"/>
        <v>20230</v>
      </c>
      <c r="O1072" t="str">
        <f t="shared" si="247"/>
        <v>华夏凯德消费封闭式基础设施证券投资基金|2023|年度</v>
      </c>
      <c r="P1072">
        <f>IF($A1072="",0,IF(COUNTIF($O$2:$O1072,$O1072)=1,1,0))</f>
        <v>0</v>
      </c>
      <c r="Q1072" t="str">
        <f>IF(AND($P1072=1,$A1072=经营数据!$B$3,$J1072=经营数据!$BA$5),COUNTIFS($P$2:$P$3000,1,$A$2:$A$3000,$A1072,$J$2:$J$3000,$J1072,$N$2:$N$3000,"&lt;"&amp;$N1072)+1,"")</f>
        <v/>
      </c>
      <c r="R1072" t="str">
        <f t="shared" si="248"/>
        <v>华夏凯德消费封闭式基础设施证券投资基金|广州云尚项目</v>
      </c>
      <c r="S1072">
        <f>IF($A1072="",0,IF(COUNTIF($R$2:$R1072,$R1072)=1,1,0))</f>
        <v>0</v>
      </c>
      <c r="T1072">
        <f t="shared" si="249"/>
        <v>1048</v>
      </c>
      <c r="U1072" t="str">
        <f>IF($A1072="","",IF($A1072=经营数据!$B$3,COUNTIFS($S$2:$S$3000,1,$A$2:$A$3000,$A1072,$T$2:$T$3000,"&lt;"&amp;$T1072)+1,""))</f>
        <v/>
      </c>
      <c r="V1072" t="str">
        <f t="shared" si="250"/>
        <v>广州云尚项目|服务价格</v>
      </c>
      <c r="W1072">
        <f t="shared" si="251"/>
        <v>1052</v>
      </c>
      <c r="X1072" t="str">
        <f t="shared" si="252"/>
        <v>广州云尚项目|月销售坪效</v>
      </c>
      <c r="Y1072">
        <f t="shared" si="253"/>
        <v>1058</v>
      </c>
      <c r="Z1072">
        <f>IF($A1072="",0,IF(AND($M1072=1,$A1072=经营数据!$B$3,$J1072=经营数据!$BA$5,OR($I1072=经营数据!$BA$4,COUNTIF(经营数据!$AA$9:$AA$38,$I1072)&gt;0)),1,0))</f>
        <v>0</v>
      </c>
      <c r="AA1072" t="str">
        <f t="shared" si="254"/>
        <v/>
      </c>
      <c r="AB1072" t="str">
        <f t="shared" si="255"/>
        <v/>
      </c>
      <c r="AC1072">
        <f>IF($A1072="",0,IF(COUNTIF($A$2:$A1072,$A1072)=1,1,0))</f>
        <v>0</v>
      </c>
      <c r="AD1072">
        <f t="shared" si="256"/>
        <v>10</v>
      </c>
      <c r="AE1072" t="str">
        <f t="shared" si="257"/>
        <v>广州云尚项目|月销售坪效（元/平方米）</v>
      </c>
    </row>
    <row r="1073" spans="1:31" x14ac:dyDescent="0.4">
      <c r="A1073" t="str">
        <f>IF(原始经营数据!$D1074="","",原始经营数据!$D1074)</f>
        <v>华夏凯德消费封闭式基础设施证券投资基金</v>
      </c>
      <c r="B1073" t="str">
        <f>IF(原始经营数据!$D1074="","",T(原始经营数据!$E1074))</f>
        <v>广州云尚项目</v>
      </c>
      <c r="C1073" t="str">
        <f>IF(原始经营数据!$D1074="","",原始经营数据!$F1074)</f>
        <v>2023</v>
      </c>
      <c r="D1073" t="str">
        <f>IF(原始经营数据!$D1074="","",原始经营数据!$H1074)</f>
        <v>月租金坪效</v>
      </c>
      <c r="E1073">
        <f>IF(原始经营数据!$D1074="","",原始经营数据!$I1074)</f>
        <v>193</v>
      </c>
      <c r="F1073" t="str">
        <f>IF(原始经营数据!$D1074="","",T(原始经营数据!$J1074))</f>
        <v>元/平方米</v>
      </c>
      <c r="G1073" t="str">
        <f>IF(原始经营数据!$D1074="","",T(原始经营数据!$K1074))</f>
        <v/>
      </c>
      <c r="H1073" t="str">
        <f>IF(原始经营数据!$D1074="","",原始经营数据!$G1074)</f>
        <v>服务价格</v>
      </c>
      <c r="I1073" t="str">
        <f>IF($A1073="","",IF($B1073&lt;&gt;"",$B1073,IF(COUNTIFS(原始经营数据!$D$3:$D$3001,$A1073,原始经营数据!$E$3:$E$3001,"",原始经营数据!$F$3:$F$3001,$C1073,原始经营数据!$H$3:$H$3001,$D1073,原始经营数据!$K$3:$K$3001,$G1073)&gt;1,"基金整体·来源"&amp;原始经营数据!$A1074,"基金整体")))</f>
        <v>广州云尚项目</v>
      </c>
      <c r="J1073" t="str">
        <f t="shared" si="243"/>
        <v>年度</v>
      </c>
      <c r="K1073" t="str">
        <f t="shared" si="244"/>
        <v>月租金坪效（元/平方米）</v>
      </c>
      <c r="L1073" t="str">
        <f t="shared" si="245"/>
        <v>广州云尚项目|月租金坪效（元/平方米）|年度</v>
      </c>
      <c r="M1073">
        <f>IF($A1073="",0,IF(COUNTIF($L$2:$L1073,$L1073)=1,1,0))</f>
        <v>0</v>
      </c>
      <c r="N1073">
        <f t="shared" si="246"/>
        <v>20230</v>
      </c>
      <c r="O1073" t="str">
        <f t="shared" si="247"/>
        <v>华夏凯德消费封闭式基础设施证券投资基金|2023|年度</v>
      </c>
      <c r="P1073">
        <f>IF($A1073="",0,IF(COUNTIF($O$2:$O1073,$O1073)=1,1,0))</f>
        <v>0</v>
      </c>
      <c r="Q1073" t="str">
        <f>IF(AND($P1073=1,$A1073=经营数据!$B$3,$J1073=经营数据!$BA$5),COUNTIFS($P$2:$P$3000,1,$A$2:$A$3000,$A1073,$J$2:$J$3000,$J1073,$N$2:$N$3000,"&lt;"&amp;$N1073)+1,"")</f>
        <v/>
      </c>
      <c r="R1073" t="str">
        <f t="shared" si="248"/>
        <v>华夏凯德消费封闭式基础设施证券投资基金|广州云尚项目</v>
      </c>
      <c r="S1073">
        <f>IF($A1073="",0,IF(COUNTIF($R$2:$R1073,$R1073)=1,1,0))</f>
        <v>0</v>
      </c>
      <c r="T1073">
        <f t="shared" si="249"/>
        <v>1048</v>
      </c>
      <c r="U1073" t="str">
        <f>IF($A1073="","",IF($A1073=经营数据!$B$3,COUNTIFS($S$2:$S$3000,1,$A$2:$A$3000,$A1073,$T$2:$T$3000,"&lt;"&amp;$T1073)+1,""))</f>
        <v/>
      </c>
      <c r="V1073" t="str">
        <f t="shared" si="250"/>
        <v>广州云尚项目|服务价格</v>
      </c>
      <c r="W1073">
        <f t="shared" si="251"/>
        <v>1052</v>
      </c>
      <c r="X1073" t="str">
        <f t="shared" si="252"/>
        <v>广州云尚项目|月租金坪效</v>
      </c>
      <c r="Y1073">
        <f t="shared" si="253"/>
        <v>1059</v>
      </c>
      <c r="Z1073">
        <f>IF($A1073="",0,IF(AND($M1073=1,$A1073=经营数据!$B$3,$J1073=经营数据!$BA$5,OR($I1073=经营数据!$BA$4,COUNTIF(经营数据!$AA$9:$AA$38,$I1073)&gt;0)),1,0))</f>
        <v>0</v>
      </c>
      <c r="AA1073" t="str">
        <f t="shared" si="254"/>
        <v/>
      </c>
      <c r="AB1073" t="str">
        <f t="shared" si="255"/>
        <v/>
      </c>
      <c r="AC1073">
        <f>IF($A1073="",0,IF(COUNTIF($A$2:$A1073,$A1073)=1,1,0))</f>
        <v>0</v>
      </c>
      <c r="AD1073">
        <f t="shared" si="256"/>
        <v>10</v>
      </c>
      <c r="AE1073" t="str">
        <f t="shared" si="257"/>
        <v>广州云尚项目|月租金坪效（元/平方米）</v>
      </c>
    </row>
    <row r="1074" spans="1:31" x14ac:dyDescent="0.4">
      <c r="A1074" t="str">
        <f>IF(原始经营数据!$D1075="","",原始经营数据!$D1075)</f>
        <v>华夏凯德消费封闭式基础设施证券投资基金</v>
      </c>
      <c r="B1074" t="str">
        <f>IF(原始经营数据!$D1075="","",T(原始经营数据!$E1075))</f>
        <v>广州云尚项目</v>
      </c>
      <c r="C1074" t="str">
        <f>IF(原始经营数据!$D1075="","",原始经营数据!$F1075)</f>
        <v>2023</v>
      </c>
      <c r="D1074" t="str">
        <f>IF(原始经营数据!$D1075="","",原始经营数据!$H1075)</f>
        <v>营业收入（考虑租金减免，不含税）</v>
      </c>
      <c r="E1074">
        <f>IF(原始经营数据!$D1075="","",原始经营数据!$I1075)</f>
        <v>10246.879999999999</v>
      </c>
      <c r="F1074" t="str">
        <f>IF(原始经营数据!$D1075="","",T(原始经营数据!$J1075))</f>
        <v>万元</v>
      </c>
      <c r="G1074" t="str">
        <f>IF(原始经营数据!$D1075="","",T(原始经营数据!$K1075))</f>
        <v>固定租金收入</v>
      </c>
      <c r="H1074" t="str">
        <f>IF(原始经营数据!$D1075="","",原始经营数据!$G1075)</f>
        <v>服务金额</v>
      </c>
      <c r="I1074" t="str">
        <f>IF($A1074="","",IF($B1074&lt;&gt;"",$B1074,IF(COUNTIFS(原始经营数据!$D$3:$D$3001,$A1074,原始经营数据!$E$3:$E$3001,"",原始经营数据!$F$3:$F$3001,$C1074,原始经营数据!$H$3:$H$3001,$D1074,原始经营数据!$K$3:$K$3001,$G1074)&gt;1,"基金整体·来源"&amp;原始经营数据!$A1075,"基金整体")))</f>
        <v>广州云尚项目</v>
      </c>
      <c r="J1074" t="str">
        <f t="shared" si="243"/>
        <v>年度</v>
      </c>
      <c r="K1074" t="str">
        <f t="shared" si="244"/>
        <v>营业收入（考虑租金减免，不含税）-固定租金收入（万元）</v>
      </c>
      <c r="L1074" t="str">
        <f t="shared" si="245"/>
        <v>广州云尚项目|营业收入（考虑租金减免，不含税）-固定租金收入（万元）|年度</v>
      </c>
      <c r="M1074">
        <f>IF($A1074="",0,IF(COUNTIF($L$2:$L1074,$L1074)=1,1,0))</f>
        <v>0</v>
      </c>
      <c r="N1074">
        <f t="shared" si="246"/>
        <v>20230</v>
      </c>
      <c r="O1074" t="str">
        <f t="shared" si="247"/>
        <v>华夏凯德消费封闭式基础设施证券投资基金|2023|年度</v>
      </c>
      <c r="P1074">
        <f>IF($A1074="",0,IF(COUNTIF($O$2:$O1074,$O1074)=1,1,0))</f>
        <v>0</v>
      </c>
      <c r="Q1074" t="str">
        <f>IF(AND($P1074=1,$A1074=经营数据!$B$3,$J1074=经营数据!$BA$5),COUNTIFS($P$2:$P$3000,1,$A$2:$A$3000,$A1074,$J$2:$J$3000,$J1074,$N$2:$N$3000,"&lt;"&amp;$N1074)+1,"")</f>
        <v/>
      </c>
      <c r="R1074" t="str">
        <f t="shared" si="248"/>
        <v>华夏凯德消费封闭式基础设施证券投资基金|广州云尚项目</v>
      </c>
      <c r="S1074">
        <f>IF($A1074="",0,IF(COUNTIF($R$2:$R1074,$R1074)=1,1,0))</f>
        <v>0</v>
      </c>
      <c r="T1074">
        <f t="shared" si="249"/>
        <v>1048</v>
      </c>
      <c r="U1074" t="str">
        <f>IF($A1074="","",IF($A1074=经营数据!$B$3,COUNTIFS($S$2:$S$3000,1,$A$2:$A$3000,$A1074,$T$2:$T$3000,"&lt;"&amp;$T1074)+1,""))</f>
        <v/>
      </c>
      <c r="V1074" t="str">
        <f t="shared" si="250"/>
        <v>广州云尚项目|服务金额</v>
      </c>
      <c r="W1074">
        <f t="shared" si="251"/>
        <v>1050</v>
      </c>
      <c r="X1074" t="str">
        <f t="shared" si="252"/>
        <v>广州云尚项目|营业收入（考虑租金减免，不含税）</v>
      </c>
      <c r="Y1074">
        <f t="shared" si="253"/>
        <v>1050</v>
      </c>
      <c r="Z1074">
        <f>IF($A1074="",0,IF(AND($M1074=1,$A1074=经营数据!$B$3,$J1074=经营数据!$BA$5,OR($I1074=经营数据!$BA$4,COUNTIF(经营数据!$AA$9:$AA$38,$I1074)&gt;0)),1,0))</f>
        <v>0</v>
      </c>
      <c r="AA1074" t="str">
        <f t="shared" si="254"/>
        <v/>
      </c>
      <c r="AB1074" t="str">
        <f t="shared" si="255"/>
        <v/>
      </c>
      <c r="AC1074">
        <f>IF($A1074="",0,IF(COUNTIF($A$2:$A1074,$A1074)=1,1,0))</f>
        <v>0</v>
      </c>
      <c r="AD1074">
        <f t="shared" si="256"/>
        <v>10</v>
      </c>
      <c r="AE1074" t="str">
        <f t="shared" si="257"/>
        <v>广州云尚项目|营业收入（考虑租金减免，不含税）-固定租金收入（万元）</v>
      </c>
    </row>
    <row r="1075" spans="1:31" x14ac:dyDescent="0.4">
      <c r="A1075" t="str">
        <f>IF(原始经营数据!$D1076="","",原始经营数据!$D1076)</f>
        <v>华夏凯德消费封闭式基础设施证券投资基金</v>
      </c>
      <c r="B1075" t="str">
        <f>IF(原始经营数据!$D1076="","",T(原始经营数据!$E1076))</f>
        <v>广州云尚项目</v>
      </c>
      <c r="C1075" t="str">
        <f>IF(原始经营数据!$D1076="","",原始经营数据!$F1076)</f>
        <v>2023</v>
      </c>
      <c r="D1075" t="str">
        <f>IF(原始经营数据!$D1076="","",原始经营数据!$H1076)</f>
        <v>营业收入（考虑租金减免，不含税）</v>
      </c>
      <c r="E1075">
        <f>IF(原始经营数据!$D1076="","",原始经营数据!$I1076)</f>
        <v>521.5</v>
      </c>
      <c r="F1075" t="str">
        <f>IF(原始经营数据!$D1076="","",T(原始经营数据!$J1076))</f>
        <v>万元</v>
      </c>
      <c r="G1075" t="str">
        <f>IF(原始经营数据!$D1076="","",T(原始经营数据!$K1076))</f>
        <v>抽成租金收入</v>
      </c>
      <c r="H1075" t="str">
        <f>IF(原始经营数据!$D1076="","",原始经营数据!$G1076)</f>
        <v>服务金额</v>
      </c>
      <c r="I1075" t="str">
        <f>IF($A1075="","",IF($B1075&lt;&gt;"",$B1075,IF(COUNTIFS(原始经营数据!$D$3:$D$3001,$A1075,原始经营数据!$E$3:$E$3001,"",原始经营数据!$F$3:$F$3001,$C1075,原始经营数据!$H$3:$H$3001,$D1075,原始经营数据!$K$3:$K$3001,$G1075)&gt;1,"基金整体·来源"&amp;原始经营数据!$A1076,"基金整体")))</f>
        <v>广州云尚项目</v>
      </c>
      <c r="J1075" t="str">
        <f t="shared" si="243"/>
        <v>年度</v>
      </c>
      <c r="K1075" t="str">
        <f t="shared" si="244"/>
        <v>营业收入（考虑租金减免，不含税）-抽成租金收入（万元）</v>
      </c>
      <c r="L1075" t="str">
        <f t="shared" si="245"/>
        <v>广州云尚项目|营业收入（考虑租金减免，不含税）-抽成租金收入（万元）|年度</v>
      </c>
      <c r="M1075">
        <f>IF($A1075="",0,IF(COUNTIF($L$2:$L1075,$L1075)=1,1,0))</f>
        <v>0</v>
      </c>
      <c r="N1075">
        <f t="shared" si="246"/>
        <v>20230</v>
      </c>
      <c r="O1075" t="str">
        <f t="shared" si="247"/>
        <v>华夏凯德消费封闭式基础设施证券投资基金|2023|年度</v>
      </c>
      <c r="P1075">
        <f>IF($A1075="",0,IF(COUNTIF($O$2:$O1075,$O1075)=1,1,0))</f>
        <v>0</v>
      </c>
      <c r="Q1075" t="str">
        <f>IF(AND($P1075=1,$A1075=经营数据!$B$3,$J1075=经营数据!$BA$5),COUNTIFS($P$2:$P$3000,1,$A$2:$A$3000,$A1075,$J$2:$J$3000,$J1075,$N$2:$N$3000,"&lt;"&amp;$N1075)+1,"")</f>
        <v/>
      </c>
      <c r="R1075" t="str">
        <f t="shared" si="248"/>
        <v>华夏凯德消费封闭式基础设施证券投资基金|广州云尚项目</v>
      </c>
      <c r="S1075">
        <f>IF($A1075="",0,IF(COUNTIF($R$2:$R1075,$R1075)=1,1,0))</f>
        <v>0</v>
      </c>
      <c r="T1075">
        <f t="shared" si="249"/>
        <v>1048</v>
      </c>
      <c r="U1075" t="str">
        <f>IF($A1075="","",IF($A1075=经营数据!$B$3,COUNTIFS($S$2:$S$3000,1,$A$2:$A$3000,$A1075,$T$2:$T$3000,"&lt;"&amp;$T1075)+1,""))</f>
        <v/>
      </c>
      <c r="V1075" t="str">
        <f t="shared" si="250"/>
        <v>广州云尚项目|服务金额</v>
      </c>
      <c r="W1075">
        <f t="shared" si="251"/>
        <v>1050</v>
      </c>
      <c r="X1075" t="str">
        <f t="shared" si="252"/>
        <v>广州云尚项目|营业收入（考虑租金减免，不含税）</v>
      </c>
      <c r="Y1075">
        <f t="shared" si="253"/>
        <v>1050</v>
      </c>
      <c r="Z1075">
        <f>IF($A1075="",0,IF(AND($M1075=1,$A1075=经营数据!$B$3,$J1075=经营数据!$BA$5,OR($I1075=经营数据!$BA$4,COUNTIF(经营数据!$AA$9:$AA$38,$I1075)&gt;0)),1,0))</f>
        <v>0</v>
      </c>
      <c r="AA1075" t="str">
        <f t="shared" si="254"/>
        <v/>
      </c>
      <c r="AB1075" t="str">
        <f t="shared" si="255"/>
        <v/>
      </c>
      <c r="AC1075">
        <f>IF($A1075="",0,IF(COUNTIF($A$2:$A1075,$A1075)=1,1,0))</f>
        <v>0</v>
      </c>
      <c r="AD1075">
        <f t="shared" si="256"/>
        <v>10</v>
      </c>
      <c r="AE1075" t="str">
        <f t="shared" si="257"/>
        <v>广州云尚项目|营业收入（考虑租金减免，不含税）-抽成租金收入（万元）</v>
      </c>
    </row>
    <row r="1076" spans="1:31" x14ac:dyDescent="0.4">
      <c r="A1076" t="str">
        <f>IF(原始经营数据!$D1077="","",原始经营数据!$D1077)</f>
        <v>华夏凯德消费封闭式基础设施证券投资基金</v>
      </c>
      <c r="B1076" t="str">
        <f>IF(原始经营数据!$D1077="","",T(原始经营数据!$E1077))</f>
        <v>广州云尚项目</v>
      </c>
      <c r="C1076" t="str">
        <f>IF(原始经营数据!$D1077="","",原始经营数据!$F1077)</f>
        <v>2023</v>
      </c>
      <c r="D1076" t="str">
        <f>IF(原始经营数据!$D1077="","",原始经营数据!$H1077)</f>
        <v>营业收入（考虑租金减免，不含税）</v>
      </c>
      <c r="E1076">
        <f>IF(原始经营数据!$D1077="","",原始经营数据!$I1077)</f>
        <v>266.76</v>
      </c>
      <c r="F1076" t="str">
        <f>IF(原始经营数据!$D1077="","",T(原始经营数据!$J1077))</f>
        <v>万元</v>
      </c>
      <c r="G1076" t="str">
        <f>IF(原始经营数据!$D1077="","",T(原始经营数据!$K1077))</f>
        <v>推广费收入</v>
      </c>
      <c r="H1076" t="str">
        <f>IF(原始经营数据!$D1077="","",原始经营数据!$G1077)</f>
        <v>服务金额</v>
      </c>
      <c r="I1076" t="str">
        <f>IF($A1076="","",IF($B1076&lt;&gt;"",$B1076,IF(COUNTIFS(原始经营数据!$D$3:$D$3001,$A1076,原始经营数据!$E$3:$E$3001,"",原始经营数据!$F$3:$F$3001,$C1076,原始经营数据!$H$3:$H$3001,$D1076,原始经营数据!$K$3:$K$3001,$G1076)&gt;1,"基金整体·来源"&amp;原始经营数据!$A1077,"基金整体")))</f>
        <v>广州云尚项目</v>
      </c>
      <c r="J1076" t="str">
        <f t="shared" si="243"/>
        <v>年度</v>
      </c>
      <c r="K1076" t="str">
        <f t="shared" si="244"/>
        <v>营业收入（考虑租金减免，不含税）-推广费收入（万元）</v>
      </c>
      <c r="L1076" t="str">
        <f t="shared" si="245"/>
        <v>广州云尚项目|营业收入（考虑租金减免，不含税）-推广费收入（万元）|年度</v>
      </c>
      <c r="M1076">
        <f>IF($A1076="",0,IF(COUNTIF($L$2:$L1076,$L1076)=1,1,0))</f>
        <v>0</v>
      </c>
      <c r="N1076">
        <f t="shared" si="246"/>
        <v>20230</v>
      </c>
      <c r="O1076" t="str">
        <f t="shared" si="247"/>
        <v>华夏凯德消费封闭式基础设施证券投资基金|2023|年度</v>
      </c>
      <c r="P1076">
        <f>IF($A1076="",0,IF(COUNTIF($O$2:$O1076,$O1076)=1,1,0))</f>
        <v>0</v>
      </c>
      <c r="Q1076" t="str">
        <f>IF(AND($P1076=1,$A1076=经营数据!$B$3,$J1076=经营数据!$BA$5),COUNTIFS($P$2:$P$3000,1,$A$2:$A$3000,$A1076,$J$2:$J$3000,$J1076,$N$2:$N$3000,"&lt;"&amp;$N1076)+1,"")</f>
        <v/>
      </c>
      <c r="R1076" t="str">
        <f t="shared" si="248"/>
        <v>华夏凯德消费封闭式基础设施证券投资基金|广州云尚项目</v>
      </c>
      <c r="S1076">
        <f>IF($A1076="",0,IF(COUNTIF($R$2:$R1076,$R1076)=1,1,0))</f>
        <v>0</v>
      </c>
      <c r="T1076">
        <f t="shared" si="249"/>
        <v>1048</v>
      </c>
      <c r="U1076" t="str">
        <f>IF($A1076="","",IF($A1076=经营数据!$B$3,COUNTIFS($S$2:$S$3000,1,$A$2:$A$3000,$A1076,$T$2:$T$3000,"&lt;"&amp;$T1076)+1,""))</f>
        <v/>
      </c>
      <c r="V1076" t="str">
        <f t="shared" si="250"/>
        <v>广州云尚项目|服务金额</v>
      </c>
      <c r="W1076">
        <f t="shared" si="251"/>
        <v>1050</v>
      </c>
      <c r="X1076" t="str">
        <f t="shared" si="252"/>
        <v>广州云尚项目|营业收入（考虑租金减免，不含税）</v>
      </c>
      <c r="Y1076">
        <f t="shared" si="253"/>
        <v>1050</v>
      </c>
      <c r="Z1076">
        <f>IF($A1076="",0,IF(AND($M1076=1,$A1076=经营数据!$B$3,$J1076=经营数据!$BA$5,OR($I1076=经营数据!$BA$4,COUNTIF(经营数据!$AA$9:$AA$38,$I1076)&gt;0)),1,0))</f>
        <v>0</v>
      </c>
      <c r="AA1076" t="str">
        <f t="shared" si="254"/>
        <v/>
      </c>
      <c r="AB1076" t="str">
        <f t="shared" si="255"/>
        <v/>
      </c>
      <c r="AC1076">
        <f>IF($A1076="",0,IF(COUNTIF($A$2:$A1076,$A1076)=1,1,0))</f>
        <v>0</v>
      </c>
      <c r="AD1076">
        <f t="shared" si="256"/>
        <v>10</v>
      </c>
      <c r="AE1076" t="str">
        <f t="shared" si="257"/>
        <v>广州云尚项目|营业收入（考虑租金减免，不含税）-推广费收入（万元）</v>
      </c>
    </row>
    <row r="1077" spans="1:31" x14ac:dyDescent="0.4">
      <c r="A1077" t="str">
        <f>IF(原始经营数据!$D1078="","",原始经营数据!$D1078)</f>
        <v>华夏凯德消费封闭式基础设施证券投资基金</v>
      </c>
      <c r="B1077" t="str">
        <f>IF(原始经营数据!$D1078="","",T(原始经营数据!$E1078))</f>
        <v>广州云尚项目</v>
      </c>
      <c r="C1077" t="str">
        <f>IF(原始经营数据!$D1078="","",原始经营数据!$F1078)</f>
        <v>2023</v>
      </c>
      <c r="D1077" t="str">
        <f>IF(原始经营数据!$D1078="","",原始经营数据!$H1078)</f>
        <v>营业收入（考虑租金减免，不含税）</v>
      </c>
      <c r="E1077">
        <f>IF(原始经营数据!$D1078="","",原始经营数据!$I1078)</f>
        <v>1345.48</v>
      </c>
      <c r="F1077" t="str">
        <f>IF(原始经营数据!$D1078="","",T(原始经营数据!$J1078))</f>
        <v>万元</v>
      </c>
      <c r="G1077" t="str">
        <f>IF(原始经营数据!$D1078="","",T(原始经营数据!$K1078))</f>
        <v>其他收入</v>
      </c>
      <c r="H1077" t="str">
        <f>IF(原始经营数据!$D1078="","",原始经营数据!$G1078)</f>
        <v>服务金额</v>
      </c>
      <c r="I1077" t="str">
        <f>IF($A1077="","",IF($B1077&lt;&gt;"",$B1077,IF(COUNTIFS(原始经营数据!$D$3:$D$3001,$A1077,原始经营数据!$E$3:$E$3001,"",原始经营数据!$F$3:$F$3001,$C1077,原始经营数据!$H$3:$H$3001,$D1077,原始经营数据!$K$3:$K$3001,$G1077)&gt;1,"基金整体·来源"&amp;原始经营数据!$A1078,"基金整体")))</f>
        <v>广州云尚项目</v>
      </c>
      <c r="J1077" t="str">
        <f t="shared" si="243"/>
        <v>年度</v>
      </c>
      <c r="K1077" t="str">
        <f t="shared" si="244"/>
        <v>营业收入（考虑租金减免，不含税）-其他收入（万元）</v>
      </c>
      <c r="L1077" t="str">
        <f t="shared" si="245"/>
        <v>广州云尚项目|营业收入（考虑租金减免，不含税）-其他收入（万元）|年度</v>
      </c>
      <c r="M1077">
        <f>IF($A1077="",0,IF(COUNTIF($L$2:$L1077,$L1077)=1,1,0))</f>
        <v>0</v>
      </c>
      <c r="N1077">
        <f t="shared" si="246"/>
        <v>20230</v>
      </c>
      <c r="O1077" t="str">
        <f t="shared" si="247"/>
        <v>华夏凯德消费封闭式基础设施证券投资基金|2023|年度</v>
      </c>
      <c r="P1077">
        <f>IF($A1077="",0,IF(COUNTIF($O$2:$O1077,$O1077)=1,1,0))</f>
        <v>0</v>
      </c>
      <c r="Q1077" t="str">
        <f>IF(AND($P1077=1,$A1077=经营数据!$B$3,$J1077=经营数据!$BA$5),COUNTIFS($P$2:$P$3000,1,$A$2:$A$3000,$A1077,$J$2:$J$3000,$J1077,$N$2:$N$3000,"&lt;"&amp;$N1077)+1,"")</f>
        <v/>
      </c>
      <c r="R1077" t="str">
        <f t="shared" si="248"/>
        <v>华夏凯德消费封闭式基础设施证券投资基金|广州云尚项目</v>
      </c>
      <c r="S1077">
        <f>IF($A1077="",0,IF(COUNTIF($R$2:$R1077,$R1077)=1,1,0))</f>
        <v>0</v>
      </c>
      <c r="T1077">
        <f t="shared" si="249"/>
        <v>1048</v>
      </c>
      <c r="U1077" t="str">
        <f>IF($A1077="","",IF($A1077=经营数据!$B$3,COUNTIFS($S$2:$S$3000,1,$A$2:$A$3000,$A1077,$T$2:$T$3000,"&lt;"&amp;$T1077)+1,""))</f>
        <v/>
      </c>
      <c r="V1077" t="str">
        <f t="shared" si="250"/>
        <v>广州云尚项目|服务金额</v>
      </c>
      <c r="W1077">
        <f t="shared" si="251"/>
        <v>1050</v>
      </c>
      <c r="X1077" t="str">
        <f t="shared" si="252"/>
        <v>广州云尚项目|营业收入（考虑租金减免，不含税）</v>
      </c>
      <c r="Y1077">
        <f t="shared" si="253"/>
        <v>1050</v>
      </c>
      <c r="Z1077">
        <f>IF($A1077="",0,IF(AND($M1077=1,$A1077=经营数据!$B$3,$J1077=经营数据!$BA$5,OR($I1077=经营数据!$BA$4,COUNTIF(经营数据!$AA$9:$AA$38,$I1077)&gt;0)),1,0))</f>
        <v>0</v>
      </c>
      <c r="AA1077" t="str">
        <f t="shared" si="254"/>
        <v/>
      </c>
      <c r="AB1077" t="str">
        <f t="shared" si="255"/>
        <v/>
      </c>
      <c r="AC1077">
        <f>IF($A1077="",0,IF(COUNTIF($A$2:$A1077,$A1077)=1,1,0))</f>
        <v>0</v>
      </c>
      <c r="AD1077">
        <f t="shared" si="256"/>
        <v>10</v>
      </c>
      <c r="AE1077" t="str">
        <f t="shared" si="257"/>
        <v>广州云尚项目|营业收入（考虑租金减免，不含税）-其他收入（万元）</v>
      </c>
    </row>
    <row r="1078" spans="1:31" x14ac:dyDescent="0.4">
      <c r="A1078" t="str">
        <f>IF(原始经营数据!$D1079="","",原始经营数据!$D1079)</f>
        <v>华夏凯德消费封闭式基础设施证券投资基金</v>
      </c>
      <c r="B1078" t="str">
        <f>IF(原始经营数据!$D1079="","",T(原始经营数据!$E1079))</f>
        <v>广州云尚项目</v>
      </c>
      <c r="C1078" t="str">
        <f>IF(原始经营数据!$D1079="","",原始经营数据!$F1079)</f>
        <v>2023</v>
      </c>
      <c r="D1078" t="str">
        <f>IF(原始经营数据!$D1079="","",原始经营数据!$H1079)</f>
        <v>营业收入（考虑租金减免，不含税）</v>
      </c>
      <c r="E1078">
        <f>IF(原始经营数据!$D1079="","",原始经营数据!$I1079)</f>
        <v>3893.97</v>
      </c>
      <c r="F1078" t="str">
        <f>IF(原始经营数据!$D1079="","",T(原始经营数据!$J1079))</f>
        <v>万元</v>
      </c>
      <c r="G1078" t="str">
        <f>IF(原始经营数据!$D1079="","",T(原始经营数据!$K1079))</f>
        <v>物业管理收入</v>
      </c>
      <c r="H1078" t="str">
        <f>IF(原始经营数据!$D1079="","",原始经营数据!$G1079)</f>
        <v>服务金额</v>
      </c>
      <c r="I1078" t="str">
        <f>IF($A1078="","",IF($B1078&lt;&gt;"",$B1078,IF(COUNTIFS(原始经营数据!$D$3:$D$3001,$A1078,原始经营数据!$E$3:$E$3001,"",原始经营数据!$F$3:$F$3001,$C1078,原始经营数据!$H$3:$H$3001,$D1078,原始经营数据!$K$3:$K$3001,$G1078)&gt;1,"基金整体·来源"&amp;原始经营数据!$A1079,"基金整体")))</f>
        <v>广州云尚项目</v>
      </c>
      <c r="J1078" t="str">
        <f t="shared" si="243"/>
        <v>年度</v>
      </c>
      <c r="K1078" t="str">
        <f t="shared" si="244"/>
        <v>营业收入（考虑租金减免，不含税）-物业管理收入（万元）</v>
      </c>
      <c r="L1078" t="str">
        <f t="shared" si="245"/>
        <v>广州云尚项目|营业收入（考虑租金减免，不含税）-物业管理收入（万元）|年度</v>
      </c>
      <c r="M1078">
        <f>IF($A1078="",0,IF(COUNTIF($L$2:$L1078,$L1078)=1,1,0))</f>
        <v>0</v>
      </c>
      <c r="N1078">
        <f t="shared" si="246"/>
        <v>20230</v>
      </c>
      <c r="O1078" t="str">
        <f t="shared" si="247"/>
        <v>华夏凯德消费封闭式基础设施证券投资基金|2023|年度</v>
      </c>
      <c r="P1078">
        <f>IF($A1078="",0,IF(COUNTIF($O$2:$O1078,$O1078)=1,1,0))</f>
        <v>0</v>
      </c>
      <c r="Q1078" t="str">
        <f>IF(AND($P1078=1,$A1078=经营数据!$B$3,$J1078=经营数据!$BA$5),COUNTIFS($P$2:$P$3000,1,$A$2:$A$3000,$A1078,$J$2:$J$3000,$J1078,$N$2:$N$3000,"&lt;"&amp;$N1078)+1,"")</f>
        <v/>
      </c>
      <c r="R1078" t="str">
        <f t="shared" si="248"/>
        <v>华夏凯德消费封闭式基础设施证券投资基金|广州云尚项目</v>
      </c>
      <c r="S1078">
        <f>IF($A1078="",0,IF(COUNTIF($R$2:$R1078,$R1078)=1,1,0))</f>
        <v>0</v>
      </c>
      <c r="T1078">
        <f t="shared" si="249"/>
        <v>1048</v>
      </c>
      <c r="U1078" t="str">
        <f>IF($A1078="","",IF($A1078=经营数据!$B$3,COUNTIFS($S$2:$S$3000,1,$A$2:$A$3000,$A1078,$T$2:$T$3000,"&lt;"&amp;$T1078)+1,""))</f>
        <v/>
      </c>
      <c r="V1078" t="str">
        <f t="shared" si="250"/>
        <v>广州云尚项目|服务金额</v>
      </c>
      <c r="W1078">
        <f t="shared" si="251"/>
        <v>1050</v>
      </c>
      <c r="X1078" t="str">
        <f t="shared" si="252"/>
        <v>广州云尚项目|营业收入（考虑租金减免，不含税）</v>
      </c>
      <c r="Y1078">
        <f t="shared" si="253"/>
        <v>1050</v>
      </c>
      <c r="Z1078">
        <f>IF($A1078="",0,IF(AND($M1078=1,$A1078=经营数据!$B$3,$J1078=经营数据!$BA$5,OR($I1078=经营数据!$BA$4,COUNTIF(经营数据!$AA$9:$AA$38,$I1078)&gt;0)),1,0))</f>
        <v>0</v>
      </c>
      <c r="AA1078" t="str">
        <f t="shared" si="254"/>
        <v/>
      </c>
      <c r="AB1078" t="str">
        <f t="shared" si="255"/>
        <v/>
      </c>
      <c r="AC1078">
        <f>IF($A1078="",0,IF(COUNTIF($A$2:$A1078,$A1078)=1,1,0))</f>
        <v>0</v>
      </c>
      <c r="AD1078">
        <f t="shared" si="256"/>
        <v>10</v>
      </c>
      <c r="AE1078" t="str">
        <f t="shared" si="257"/>
        <v>广州云尚项目|营业收入（考虑租金减免，不含税）-物业管理收入（万元）</v>
      </c>
    </row>
    <row r="1079" spans="1:31" x14ac:dyDescent="0.4">
      <c r="A1079" t="str">
        <f>IF(原始经营数据!$D1080="","",原始经营数据!$D1080)</f>
        <v>华夏凯德消费封闭式基础设施证券投资基金</v>
      </c>
      <c r="B1079" t="str">
        <f>IF(原始经营数据!$D1080="","",T(原始经营数据!$E1080))</f>
        <v>广州云尚项目</v>
      </c>
      <c r="C1079" t="str">
        <f>IF(原始经营数据!$D1080="","",原始经营数据!$F1080)</f>
        <v>2023</v>
      </c>
      <c r="D1079" t="str">
        <f>IF(原始经营数据!$D1080="","",原始经营数据!$H1080)</f>
        <v>客流量</v>
      </c>
      <c r="E1079">
        <f>IF(原始经营数据!$D1080="","",原始经营数据!$I1080)</f>
        <v>4.07</v>
      </c>
      <c r="F1079" t="str">
        <f>IF(原始经营数据!$D1080="","",T(原始经营数据!$J1080))</f>
        <v>万人/日</v>
      </c>
      <c r="G1079" t="str">
        <f>IF(原始经营数据!$D1080="","",T(原始经营数据!$K1080))</f>
        <v/>
      </c>
      <c r="H1079" t="str">
        <f>IF(原始经营数据!$D1080="","",原始经营数据!$G1080)</f>
        <v>服务量</v>
      </c>
      <c r="I1079" t="str">
        <f>IF($A1079="","",IF($B1079&lt;&gt;"",$B1079,IF(COUNTIFS(原始经营数据!$D$3:$D$3001,$A1079,原始经营数据!$E$3:$E$3001,"",原始经营数据!$F$3:$F$3001,$C1079,原始经营数据!$H$3:$H$3001,$D1079,原始经营数据!$K$3:$K$3001,$G1079)&gt;1,"基金整体·来源"&amp;原始经营数据!$A1080,"基金整体")))</f>
        <v>广州云尚项目</v>
      </c>
      <c r="J1079" t="str">
        <f t="shared" si="243"/>
        <v>年度</v>
      </c>
      <c r="K1079" t="str">
        <f t="shared" si="244"/>
        <v>客流量（万人/日）</v>
      </c>
      <c r="L1079" t="str">
        <f t="shared" si="245"/>
        <v>广州云尚项目|客流量（万人/日）|年度</v>
      </c>
      <c r="M1079">
        <f>IF($A1079="",0,IF(COUNTIF($L$2:$L1079,$L1079)=1,1,0))</f>
        <v>0</v>
      </c>
      <c r="N1079">
        <f t="shared" si="246"/>
        <v>20230</v>
      </c>
      <c r="O1079" t="str">
        <f t="shared" si="247"/>
        <v>华夏凯德消费封闭式基础设施证券投资基金|2023|年度</v>
      </c>
      <c r="P1079">
        <f>IF($A1079="",0,IF(COUNTIF($O$2:$O1079,$O1079)=1,1,0))</f>
        <v>0</v>
      </c>
      <c r="Q1079" t="str">
        <f>IF(AND($P1079=1,$A1079=经营数据!$B$3,$J1079=经营数据!$BA$5),COUNTIFS($P$2:$P$3000,1,$A$2:$A$3000,$A1079,$J$2:$J$3000,$J1079,$N$2:$N$3000,"&lt;"&amp;$N1079)+1,"")</f>
        <v/>
      </c>
      <c r="R1079" t="str">
        <f t="shared" si="248"/>
        <v>华夏凯德消费封闭式基础设施证券投资基金|广州云尚项目</v>
      </c>
      <c r="S1079">
        <f>IF($A1079="",0,IF(COUNTIF($R$2:$R1079,$R1079)=1,1,0))</f>
        <v>0</v>
      </c>
      <c r="T1079">
        <f t="shared" si="249"/>
        <v>1048</v>
      </c>
      <c r="U1079" t="str">
        <f>IF($A1079="","",IF($A1079=经营数据!$B$3,COUNTIFS($S$2:$S$3000,1,$A$2:$A$3000,$A1079,$T$2:$T$3000,"&lt;"&amp;$T1079)+1,""))</f>
        <v/>
      </c>
      <c r="V1079" t="str">
        <f t="shared" si="250"/>
        <v>广州云尚项目|服务量</v>
      </c>
      <c r="W1079">
        <f t="shared" si="251"/>
        <v>1048</v>
      </c>
      <c r="X1079" t="str">
        <f t="shared" si="252"/>
        <v>广州云尚项目|客流量</v>
      </c>
      <c r="Y1079">
        <f t="shared" si="253"/>
        <v>1061</v>
      </c>
      <c r="Z1079">
        <f>IF($A1079="",0,IF(AND($M1079=1,$A1079=经营数据!$B$3,$J1079=经营数据!$BA$5,OR($I1079=经营数据!$BA$4,COUNTIF(经营数据!$AA$9:$AA$38,$I1079)&gt;0)),1,0))</f>
        <v>0</v>
      </c>
      <c r="AA1079" t="str">
        <f t="shared" si="254"/>
        <v/>
      </c>
      <c r="AB1079" t="str">
        <f t="shared" si="255"/>
        <v/>
      </c>
      <c r="AC1079">
        <f>IF($A1079="",0,IF(COUNTIF($A$2:$A1079,$A1079)=1,1,0))</f>
        <v>0</v>
      </c>
      <c r="AD1079">
        <f t="shared" si="256"/>
        <v>10</v>
      </c>
      <c r="AE1079" t="str">
        <f t="shared" si="257"/>
        <v>广州云尚项目|客流量（万人/日）</v>
      </c>
    </row>
    <row r="1080" spans="1:31" x14ac:dyDescent="0.4">
      <c r="A1080" t="str">
        <f>IF(原始经营数据!$D1081="","",原始经营数据!$D1081)</f>
        <v>华夏凯德消费封闭式基础设施证券投资基金</v>
      </c>
      <c r="B1080" t="str">
        <f>IF(原始经营数据!$D1081="","",T(原始经营数据!$E1081))</f>
        <v>广州云尚项目</v>
      </c>
      <c r="C1080" t="str">
        <f>IF(原始经营数据!$D1081="","",原始经营数据!$F1081)</f>
        <v>2023</v>
      </c>
      <c r="D1080" t="str">
        <f>IF(原始经营数据!$D1081="","",原始经营数据!$H1081)</f>
        <v>租户数量</v>
      </c>
      <c r="E1080">
        <f>IF(原始经营数据!$D1081="","",原始经营数据!$I1081)</f>
        <v>218</v>
      </c>
      <c r="F1080" t="str">
        <f>IF(原始经营数据!$D1081="","",T(原始经营数据!$J1081))</f>
        <v/>
      </c>
      <c r="G1080" t="str">
        <f>IF(原始经营数据!$D1081="","",T(原始经营数据!$K1081))</f>
        <v>专门店</v>
      </c>
      <c r="H1080" t="str">
        <f>IF(原始经营数据!$D1081="","",原始经营数据!$G1081)</f>
        <v>服务量</v>
      </c>
      <c r="I1080" t="str">
        <f>IF($A1080="","",IF($B1080&lt;&gt;"",$B1080,IF(COUNTIFS(原始经营数据!$D$3:$D$3001,$A1080,原始经营数据!$E$3:$E$3001,"",原始经营数据!$F$3:$F$3001,$C1080,原始经营数据!$H$3:$H$3001,$D1080,原始经营数据!$K$3:$K$3001,$G1080)&gt;1,"基金整体·来源"&amp;原始经营数据!$A1081,"基金整体")))</f>
        <v>广州云尚项目</v>
      </c>
      <c r="J1080" t="str">
        <f t="shared" si="243"/>
        <v>年度</v>
      </c>
      <c r="K1080" t="str">
        <f t="shared" si="244"/>
        <v>租户数量-专门店</v>
      </c>
      <c r="L1080" t="str">
        <f t="shared" si="245"/>
        <v>广州云尚项目|租户数量-专门店|年度</v>
      </c>
      <c r="M1080">
        <f>IF($A1080="",0,IF(COUNTIF($L$2:$L1080,$L1080)=1,1,0))</f>
        <v>0</v>
      </c>
      <c r="N1080">
        <f t="shared" si="246"/>
        <v>20230</v>
      </c>
      <c r="O1080" t="str">
        <f t="shared" si="247"/>
        <v>华夏凯德消费封闭式基础设施证券投资基金|2023|年度</v>
      </c>
      <c r="P1080">
        <f>IF($A1080="",0,IF(COUNTIF($O$2:$O1080,$O1080)=1,1,0))</f>
        <v>0</v>
      </c>
      <c r="Q1080" t="str">
        <f>IF(AND($P1080=1,$A1080=经营数据!$B$3,$J1080=经营数据!$BA$5),COUNTIFS($P$2:$P$3000,1,$A$2:$A$3000,$A1080,$J$2:$J$3000,$J1080,$N$2:$N$3000,"&lt;"&amp;$N1080)+1,"")</f>
        <v/>
      </c>
      <c r="R1080" t="str">
        <f t="shared" si="248"/>
        <v>华夏凯德消费封闭式基础设施证券投资基金|广州云尚项目</v>
      </c>
      <c r="S1080">
        <f>IF($A1080="",0,IF(COUNTIF($R$2:$R1080,$R1080)=1,1,0))</f>
        <v>0</v>
      </c>
      <c r="T1080">
        <f t="shared" si="249"/>
        <v>1048</v>
      </c>
      <c r="U1080" t="str">
        <f>IF($A1080="","",IF($A1080=经营数据!$B$3,COUNTIFS($S$2:$S$3000,1,$A$2:$A$3000,$A1080,$T$2:$T$3000,"&lt;"&amp;$T1080)+1,""))</f>
        <v/>
      </c>
      <c r="V1080" t="str">
        <f t="shared" si="250"/>
        <v>广州云尚项目|服务量</v>
      </c>
      <c r="W1080">
        <f t="shared" si="251"/>
        <v>1048</v>
      </c>
      <c r="X1080" t="str">
        <f t="shared" si="252"/>
        <v>广州云尚项目|租户数量</v>
      </c>
      <c r="Y1080">
        <f t="shared" si="253"/>
        <v>1048</v>
      </c>
      <c r="Z1080">
        <f>IF($A1080="",0,IF(AND($M1080=1,$A1080=经营数据!$B$3,$J1080=经营数据!$BA$5,OR($I1080=经营数据!$BA$4,COUNTIF(经营数据!$AA$9:$AA$38,$I1080)&gt;0)),1,0))</f>
        <v>0</v>
      </c>
      <c r="AA1080" t="str">
        <f t="shared" si="254"/>
        <v/>
      </c>
      <c r="AB1080" t="str">
        <f t="shared" si="255"/>
        <v/>
      </c>
      <c r="AC1080">
        <f>IF($A1080="",0,IF(COUNTIF($A$2:$A1080,$A1080)=1,1,0))</f>
        <v>0</v>
      </c>
      <c r="AD1080">
        <f t="shared" si="256"/>
        <v>10</v>
      </c>
      <c r="AE1080" t="str">
        <f t="shared" si="257"/>
        <v>广州云尚项目|租户数量-专门店</v>
      </c>
    </row>
    <row r="1081" spans="1:31" x14ac:dyDescent="0.4">
      <c r="A1081" t="str">
        <f>IF(原始经营数据!$D1082="","",原始经营数据!$D1082)</f>
        <v>华夏凯德消费封闭式基础设施证券投资基金</v>
      </c>
      <c r="B1081" t="str">
        <f>IF(原始经营数据!$D1082="","",T(原始经营数据!$E1082))</f>
        <v>广州云尚项目</v>
      </c>
      <c r="C1081" t="str">
        <f>IF(原始经营数据!$D1082="","",原始经营数据!$F1082)</f>
        <v>2023</v>
      </c>
      <c r="D1081" t="str">
        <f>IF(原始经营数据!$D1082="","",原始经营数据!$H1082)</f>
        <v>租户数量</v>
      </c>
      <c r="E1081">
        <f>IF(原始经营数据!$D1082="","",原始经营数据!$I1082)</f>
        <v>2</v>
      </c>
      <c r="F1081" t="str">
        <f>IF(原始经营数据!$D1082="","",T(原始经营数据!$J1082))</f>
        <v/>
      </c>
      <c r="G1081" t="str">
        <f>IF(原始经营数据!$D1082="","",T(原始经营数据!$K1082))</f>
        <v>主力店</v>
      </c>
      <c r="H1081" t="str">
        <f>IF(原始经营数据!$D1082="","",原始经营数据!$G1082)</f>
        <v>服务量</v>
      </c>
      <c r="I1081" t="str">
        <f>IF($A1081="","",IF($B1081&lt;&gt;"",$B1081,IF(COUNTIFS(原始经营数据!$D$3:$D$3001,$A1081,原始经营数据!$E$3:$E$3001,"",原始经营数据!$F$3:$F$3001,$C1081,原始经营数据!$H$3:$H$3001,$D1081,原始经营数据!$K$3:$K$3001,$G1081)&gt;1,"基金整体·来源"&amp;原始经营数据!$A1082,"基金整体")))</f>
        <v>广州云尚项目</v>
      </c>
      <c r="J1081" t="str">
        <f t="shared" si="243"/>
        <v>年度</v>
      </c>
      <c r="K1081" t="str">
        <f t="shared" si="244"/>
        <v>租户数量-主力店</v>
      </c>
      <c r="L1081" t="str">
        <f t="shared" si="245"/>
        <v>广州云尚项目|租户数量-主力店|年度</v>
      </c>
      <c r="M1081">
        <f>IF($A1081="",0,IF(COUNTIF($L$2:$L1081,$L1081)=1,1,0))</f>
        <v>0</v>
      </c>
      <c r="N1081">
        <f t="shared" si="246"/>
        <v>20230</v>
      </c>
      <c r="O1081" t="str">
        <f t="shared" si="247"/>
        <v>华夏凯德消费封闭式基础设施证券投资基金|2023|年度</v>
      </c>
      <c r="P1081">
        <f>IF($A1081="",0,IF(COUNTIF($O$2:$O1081,$O1081)=1,1,0))</f>
        <v>0</v>
      </c>
      <c r="Q1081" t="str">
        <f>IF(AND($P1081=1,$A1081=经营数据!$B$3,$J1081=经营数据!$BA$5),COUNTIFS($P$2:$P$3000,1,$A$2:$A$3000,$A1081,$J$2:$J$3000,$J1081,$N$2:$N$3000,"&lt;"&amp;$N1081)+1,"")</f>
        <v/>
      </c>
      <c r="R1081" t="str">
        <f t="shared" si="248"/>
        <v>华夏凯德消费封闭式基础设施证券投资基金|广州云尚项目</v>
      </c>
      <c r="S1081">
        <f>IF($A1081="",0,IF(COUNTIF($R$2:$R1081,$R1081)=1,1,0))</f>
        <v>0</v>
      </c>
      <c r="T1081">
        <f t="shared" si="249"/>
        <v>1048</v>
      </c>
      <c r="U1081" t="str">
        <f>IF($A1081="","",IF($A1081=经营数据!$B$3,COUNTIFS($S$2:$S$3000,1,$A$2:$A$3000,$A1081,$T$2:$T$3000,"&lt;"&amp;$T1081)+1,""))</f>
        <v/>
      </c>
      <c r="V1081" t="str">
        <f t="shared" si="250"/>
        <v>广州云尚项目|服务量</v>
      </c>
      <c r="W1081">
        <f t="shared" si="251"/>
        <v>1048</v>
      </c>
      <c r="X1081" t="str">
        <f t="shared" si="252"/>
        <v>广州云尚项目|租户数量</v>
      </c>
      <c r="Y1081">
        <f t="shared" si="253"/>
        <v>1048</v>
      </c>
      <c r="Z1081">
        <f>IF($A1081="",0,IF(AND($M1081=1,$A1081=经营数据!$B$3,$J1081=经营数据!$BA$5,OR($I1081=经营数据!$BA$4,COUNTIF(经营数据!$AA$9:$AA$38,$I1081)&gt;0)),1,0))</f>
        <v>0</v>
      </c>
      <c r="AA1081" t="str">
        <f t="shared" si="254"/>
        <v/>
      </c>
      <c r="AB1081" t="str">
        <f t="shared" si="255"/>
        <v/>
      </c>
      <c r="AC1081">
        <f>IF($A1081="",0,IF(COUNTIF($A$2:$A1081,$A1081)=1,1,0))</f>
        <v>0</v>
      </c>
      <c r="AD1081">
        <f t="shared" si="256"/>
        <v>10</v>
      </c>
      <c r="AE1081" t="str">
        <f t="shared" si="257"/>
        <v>广州云尚项目|租户数量-主力店</v>
      </c>
    </row>
    <row r="1082" spans="1:31" x14ac:dyDescent="0.4">
      <c r="A1082" t="str">
        <f>IF(原始经营数据!$D1083="","",原始经营数据!$D1083)</f>
        <v>华夏凯德消费封闭式基础设施证券投资基金</v>
      </c>
      <c r="B1082" t="str">
        <f>IF(原始经营数据!$D1083="","",T(原始经营数据!$E1083))</f>
        <v>广州云尚项目</v>
      </c>
      <c r="C1082" t="str">
        <f>IF(原始经营数据!$D1083="","",原始经营数据!$F1083)</f>
        <v>2023</v>
      </c>
      <c r="D1082" t="str">
        <f>IF(原始经营数据!$D1083="","",原始经营数据!$H1083)</f>
        <v>租售比</v>
      </c>
      <c r="E1082">
        <f>IF(原始经营数据!$D1083="","",原始经营数据!$I1083)</f>
        <v>18.899999999999999</v>
      </c>
      <c r="F1082" t="str">
        <f>IF(原始经营数据!$D1083="","",T(原始经营数据!$J1083))</f>
        <v>%</v>
      </c>
      <c r="G1082" t="str">
        <f>IF(原始经营数据!$D1083="","",T(原始经营数据!$K1083))</f>
        <v/>
      </c>
      <c r="H1082" t="str">
        <f>IF(原始经营数据!$D1083="","",原始经营数据!$G1083)</f>
        <v>服务效率</v>
      </c>
      <c r="I1082" t="str">
        <f>IF($A1082="","",IF($B1082&lt;&gt;"",$B1082,IF(COUNTIFS(原始经营数据!$D$3:$D$3001,$A1082,原始经营数据!$E$3:$E$3001,"",原始经营数据!$F$3:$F$3001,$C1082,原始经营数据!$H$3:$H$3001,$D1082,原始经营数据!$K$3:$K$3001,$G1082)&gt;1,"基金整体·来源"&amp;原始经营数据!$A1083,"基金整体")))</f>
        <v>广州云尚项目</v>
      </c>
      <c r="J1082" t="str">
        <f t="shared" si="243"/>
        <v>年度</v>
      </c>
      <c r="K1082" t="str">
        <f t="shared" si="244"/>
        <v>租售比（%）</v>
      </c>
      <c r="L1082" t="str">
        <f t="shared" si="245"/>
        <v>广州云尚项目|租售比（%）|年度</v>
      </c>
      <c r="M1082">
        <f>IF($A1082="",0,IF(COUNTIF($L$2:$L1082,$L1082)=1,1,0))</f>
        <v>0</v>
      </c>
      <c r="N1082">
        <f t="shared" si="246"/>
        <v>20230</v>
      </c>
      <c r="O1082" t="str">
        <f t="shared" si="247"/>
        <v>华夏凯德消费封闭式基础设施证券投资基金|2023|年度</v>
      </c>
      <c r="P1082">
        <f>IF($A1082="",0,IF(COUNTIF($O$2:$O1082,$O1082)=1,1,0))</f>
        <v>0</v>
      </c>
      <c r="Q1082" t="str">
        <f>IF(AND($P1082=1,$A1082=经营数据!$B$3,$J1082=经营数据!$BA$5),COUNTIFS($P$2:$P$3000,1,$A$2:$A$3000,$A1082,$J$2:$J$3000,$J1082,$N$2:$N$3000,"&lt;"&amp;$N1082)+1,"")</f>
        <v/>
      </c>
      <c r="R1082" t="str">
        <f t="shared" si="248"/>
        <v>华夏凯德消费封闭式基础设施证券投资基金|广州云尚项目</v>
      </c>
      <c r="S1082">
        <f>IF($A1082="",0,IF(COUNTIF($R$2:$R1082,$R1082)=1,1,0))</f>
        <v>0</v>
      </c>
      <c r="T1082">
        <f t="shared" si="249"/>
        <v>1048</v>
      </c>
      <c r="U1082" t="str">
        <f>IF($A1082="","",IF($A1082=经营数据!$B$3,COUNTIFS($S$2:$S$3000,1,$A$2:$A$3000,$A1082,$T$2:$T$3000,"&lt;"&amp;$T1082)+1,""))</f>
        <v/>
      </c>
      <c r="V1082" t="str">
        <f t="shared" si="250"/>
        <v>广州云尚项目|服务效率</v>
      </c>
      <c r="W1082">
        <f t="shared" si="251"/>
        <v>1055</v>
      </c>
      <c r="X1082" t="str">
        <f t="shared" si="252"/>
        <v>广州云尚项目|租售比</v>
      </c>
      <c r="Y1082">
        <f t="shared" si="253"/>
        <v>1060</v>
      </c>
      <c r="Z1082">
        <f>IF($A1082="",0,IF(AND($M1082=1,$A1082=经营数据!$B$3,$J1082=经营数据!$BA$5,OR($I1082=经营数据!$BA$4,COUNTIF(经营数据!$AA$9:$AA$38,$I1082)&gt;0)),1,0))</f>
        <v>0</v>
      </c>
      <c r="AA1082" t="str">
        <f t="shared" si="254"/>
        <v/>
      </c>
      <c r="AB1082" t="str">
        <f t="shared" si="255"/>
        <v/>
      </c>
      <c r="AC1082">
        <f>IF($A1082="",0,IF(COUNTIF($A$2:$A1082,$A1082)=1,1,0))</f>
        <v>0</v>
      </c>
      <c r="AD1082">
        <f t="shared" si="256"/>
        <v>10</v>
      </c>
      <c r="AE1082" t="str">
        <f t="shared" si="257"/>
        <v>广州云尚项目|租售比（%）</v>
      </c>
    </row>
    <row r="1083" spans="1:31" x14ac:dyDescent="0.4">
      <c r="A1083" t="str">
        <f>IF(原始经营数据!$D1084="","",原始经营数据!$D1084)</f>
        <v>华夏凯德消费封闭式基础设施证券投资基金</v>
      </c>
      <c r="B1083" t="str">
        <f>IF(原始经营数据!$D1084="","",T(原始经营数据!$E1084))</f>
        <v>广州云尚项目</v>
      </c>
      <c r="C1083" t="str">
        <f>IF(原始经营数据!$D1084="","",原始经营数据!$F1084)</f>
        <v>2023</v>
      </c>
      <c r="D1083" t="str">
        <f>IF(原始经营数据!$D1084="","",原始经营数据!$H1084)</f>
        <v>销售额</v>
      </c>
      <c r="E1083">
        <f>IF(原始经营数据!$D1084="","",原始经营数据!$I1084)</f>
        <v>74900</v>
      </c>
      <c r="F1083" t="str">
        <f>IF(原始经营数据!$D1084="","",T(原始经营数据!$J1084))</f>
        <v>万元</v>
      </c>
      <c r="G1083" t="str">
        <f>IF(原始经营数据!$D1084="","",T(原始经营数据!$K1084))</f>
        <v/>
      </c>
      <c r="H1083" t="str">
        <f>IF(原始经营数据!$D1084="","",原始经营数据!$G1084)</f>
        <v>服务金额</v>
      </c>
      <c r="I1083" t="str">
        <f>IF($A1083="","",IF($B1083&lt;&gt;"",$B1083,IF(COUNTIFS(原始经营数据!$D$3:$D$3001,$A1083,原始经营数据!$E$3:$E$3001,"",原始经营数据!$F$3:$F$3001,$C1083,原始经营数据!$H$3:$H$3001,$D1083,原始经营数据!$K$3:$K$3001,$G1083)&gt;1,"基金整体·来源"&amp;原始经营数据!$A1084,"基金整体")))</f>
        <v>广州云尚项目</v>
      </c>
      <c r="J1083" t="str">
        <f t="shared" si="243"/>
        <v>年度</v>
      </c>
      <c r="K1083" t="str">
        <f t="shared" si="244"/>
        <v>销售额（万元）</v>
      </c>
      <c r="L1083" t="str">
        <f t="shared" si="245"/>
        <v>广州云尚项目|销售额（万元）|年度</v>
      </c>
      <c r="M1083">
        <f>IF($A1083="",0,IF(COUNTIF($L$2:$L1083,$L1083)=1,1,0))</f>
        <v>0</v>
      </c>
      <c r="N1083">
        <f t="shared" si="246"/>
        <v>20230</v>
      </c>
      <c r="O1083" t="str">
        <f t="shared" si="247"/>
        <v>华夏凯德消费封闭式基础设施证券投资基金|2023|年度</v>
      </c>
      <c r="P1083">
        <f>IF($A1083="",0,IF(COUNTIF($O$2:$O1083,$O1083)=1,1,0))</f>
        <v>0</v>
      </c>
      <c r="Q1083" t="str">
        <f>IF(AND($P1083=1,$A1083=经营数据!$B$3,$J1083=经营数据!$BA$5),COUNTIFS($P$2:$P$3000,1,$A$2:$A$3000,$A1083,$J$2:$J$3000,$J1083,$N$2:$N$3000,"&lt;"&amp;$N1083)+1,"")</f>
        <v/>
      </c>
      <c r="R1083" t="str">
        <f t="shared" si="248"/>
        <v>华夏凯德消费封闭式基础设施证券投资基金|广州云尚项目</v>
      </c>
      <c r="S1083">
        <f>IF($A1083="",0,IF(COUNTIF($R$2:$R1083,$R1083)=1,1,0))</f>
        <v>0</v>
      </c>
      <c r="T1083">
        <f t="shared" si="249"/>
        <v>1048</v>
      </c>
      <c r="U1083" t="str">
        <f>IF($A1083="","",IF($A1083=经营数据!$B$3,COUNTIFS($S$2:$S$3000,1,$A$2:$A$3000,$A1083,$T$2:$T$3000,"&lt;"&amp;$T1083)+1,""))</f>
        <v/>
      </c>
      <c r="V1083" t="str">
        <f t="shared" si="250"/>
        <v>广州云尚项目|服务金额</v>
      </c>
      <c r="W1083">
        <f t="shared" si="251"/>
        <v>1050</v>
      </c>
      <c r="X1083" t="str">
        <f t="shared" si="252"/>
        <v>广州云尚项目|销售额</v>
      </c>
      <c r="Y1083">
        <f t="shared" si="253"/>
        <v>1062</v>
      </c>
      <c r="Z1083">
        <f>IF($A1083="",0,IF(AND($M1083=1,$A1083=经营数据!$B$3,$J1083=经营数据!$BA$5,OR($I1083=经营数据!$BA$4,COUNTIF(经营数据!$AA$9:$AA$38,$I1083)&gt;0)),1,0))</f>
        <v>0</v>
      </c>
      <c r="AA1083" t="str">
        <f t="shared" si="254"/>
        <v/>
      </c>
      <c r="AB1083" t="str">
        <f t="shared" si="255"/>
        <v/>
      </c>
      <c r="AC1083">
        <f>IF($A1083="",0,IF(COUNTIF($A$2:$A1083,$A1083)=1,1,0))</f>
        <v>0</v>
      </c>
      <c r="AD1083">
        <f t="shared" si="256"/>
        <v>10</v>
      </c>
      <c r="AE1083" t="str">
        <f t="shared" si="257"/>
        <v>广州云尚项目|销售额（万元）</v>
      </c>
    </row>
    <row r="1084" spans="1:31" x14ac:dyDescent="0.4">
      <c r="A1084" t="str">
        <f>IF(原始经营数据!$D1085="","",原始经营数据!$D1085)</f>
        <v>华夏凯德消费封闭式基础设施证券投资基金</v>
      </c>
      <c r="B1084" t="str">
        <f>IF(原始经营数据!$D1085="","",T(原始经营数据!$E1085))</f>
        <v>广州云尚项目</v>
      </c>
      <c r="C1084" t="str">
        <f>IF(原始经营数据!$D1085="","",原始经营数据!$F1085)</f>
        <v>2023</v>
      </c>
      <c r="D1084" t="str">
        <f>IF(原始经营数据!$D1085="","",原始经营数据!$H1085)</f>
        <v>营业收入（考虑租金减免，不含税）</v>
      </c>
      <c r="E1084">
        <f>IF(原始经营数据!$D1085="","",原始经营数据!$I1085)</f>
        <v>16274.6</v>
      </c>
      <c r="F1084" t="str">
        <f>IF(原始经营数据!$D1085="","",T(原始经营数据!$J1085))</f>
        <v>万元</v>
      </c>
      <c r="G1084" t="str">
        <f>IF(原始经营数据!$D1085="","",T(原始经营数据!$K1085))</f>
        <v/>
      </c>
      <c r="H1084" t="str">
        <f>IF(原始经营数据!$D1085="","",原始经营数据!$G1085)</f>
        <v>服务金额</v>
      </c>
      <c r="I1084" t="str">
        <f>IF($A1084="","",IF($B1084&lt;&gt;"",$B1084,IF(COUNTIFS(原始经营数据!$D$3:$D$3001,$A1084,原始经营数据!$E$3:$E$3001,"",原始经营数据!$F$3:$F$3001,$C1084,原始经营数据!$H$3:$H$3001,$D1084,原始经营数据!$K$3:$K$3001,$G1084)&gt;1,"基金整体·来源"&amp;原始经营数据!$A1085,"基金整体")))</f>
        <v>广州云尚项目</v>
      </c>
      <c r="J1084" t="str">
        <f t="shared" si="243"/>
        <v>年度</v>
      </c>
      <c r="K1084" t="str">
        <f t="shared" si="244"/>
        <v>营业收入（考虑租金减免，不含税）（万元）</v>
      </c>
      <c r="L1084" t="str">
        <f t="shared" si="245"/>
        <v>广州云尚项目|营业收入（考虑租金减免，不含税）（万元）|年度</v>
      </c>
      <c r="M1084">
        <f>IF($A1084="",0,IF(COUNTIF($L$2:$L1084,$L1084)=1,1,0))</f>
        <v>0</v>
      </c>
      <c r="N1084">
        <f t="shared" si="246"/>
        <v>20230</v>
      </c>
      <c r="O1084" t="str">
        <f t="shared" si="247"/>
        <v>华夏凯德消费封闭式基础设施证券投资基金|2023|年度</v>
      </c>
      <c r="P1084">
        <f>IF($A1084="",0,IF(COUNTIF($O$2:$O1084,$O1084)=1,1,0))</f>
        <v>0</v>
      </c>
      <c r="Q1084" t="str">
        <f>IF(AND($P1084=1,$A1084=经营数据!$B$3,$J1084=经营数据!$BA$5),COUNTIFS($P$2:$P$3000,1,$A$2:$A$3000,$A1084,$J$2:$J$3000,$J1084,$N$2:$N$3000,"&lt;"&amp;$N1084)+1,"")</f>
        <v/>
      </c>
      <c r="R1084" t="str">
        <f t="shared" si="248"/>
        <v>华夏凯德消费封闭式基础设施证券投资基金|广州云尚项目</v>
      </c>
      <c r="S1084">
        <f>IF($A1084="",0,IF(COUNTIF($R$2:$R1084,$R1084)=1,1,0))</f>
        <v>0</v>
      </c>
      <c r="T1084">
        <f t="shared" si="249"/>
        <v>1048</v>
      </c>
      <c r="U1084" t="str">
        <f>IF($A1084="","",IF($A1084=经营数据!$B$3,COUNTIFS($S$2:$S$3000,1,$A$2:$A$3000,$A1084,$T$2:$T$3000,"&lt;"&amp;$T1084)+1,""))</f>
        <v/>
      </c>
      <c r="V1084" t="str">
        <f t="shared" si="250"/>
        <v>广州云尚项目|服务金额</v>
      </c>
      <c r="W1084">
        <f t="shared" si="251"/>
        <v>1050</v>
      </c>
      <c r="X1084" t="str">
        <f t="shared" si="252"/>
        <v>广州云尚项目|营业收入（考虑租金减免，不含税）</v>
      </c>
      <c r="Y1084">
        <f t="shared" si="253"/>
        <v>1050</v>
      </c>
      <c r="Z1084">
        <f>IF($A1084="",0,IF(AND($M1084=1,$A1084=经营数据!$B$3,$J1084=经营数据!$BA$5,OR($I1084=经营数据!$BA$4,COUNTIF(经营数据!$AA$9:$AA$38,$I1084)&gt;0)),1,0))</f>
        <v>0</v>
      </c>
      <c r="AA1084" t="str">
        <f t="shared" si="254"/>
        <v/>
      </c>
      <c r="AB1084" t="str">
        <f t="shared" si="255"/>
        <v/>
      </c>
      <c r="AC1084">
        <f>IF($A1084="",0,IF(COUNTIF($A$2:$A1084,$A1084)=1,1,0))</f>
        <v>0</v>
      </c>
      <c r="AD1084">
        <f t="shared" si="256"/>
        <v>10</v>
      </c>
      <c r="AE1084" t="str">
        <f t="shared" si="257"/>
        <v>广州云尚项目|营业收入（考虑租金减免，不含税）（万元）</v>
      </c>
    </row>
    <row r="1085" spans="1:31" x14ac:dyDescent="0.4">
      <c r="A1085" t="str">
        <f>IF(原始经营数据!$D1086="","",原始经营数据!$D1086)</f>
        <v>华夏凯德消费封闭式基础设施证券投资基金</v>
      </c>
      <c r="B1085" t="str">
        <f>IF(原始经营数据!$D1086="","",T(原始经营数据!$E1086))</f>
        <v>广州云尚项目</v>
      </c>
      <c r="C1085" t="str">
        <f>IF(原始经营数据!$D1086="","",原始经营数据!$F1086)</f>
        <v>2024</v>
      </c>
      <c r="D1085" t="str">
        <f>IF(原始经营数据!$D1086="","",原始经营数据!$H1086)</f>
        <v>租户数量</v>
      </c>
      <c r="E1085">
        <f>IF(原始经营数据!$D1086="","",原始经营数据!$I1086)</f>
        <v>227</v>
      </c>
      <c r="F1085" t="str">
        <f>IF(原始经营数据!$D1086="","",T(原始经营数据!$J1086))</f>
        <v/>
      </c>
      <c r="G1085" t="str">
        <f>IF(原始经营数据!$D1086="","",T(原始经营数据!$K1086))</f>
        <v>专门店</v>
      </c>
      <c r="H1085" t="str">
        <f>IF(原始经营数据!$D1086="","",原始经营数据!$G1086)</f>
        <v>服务量</v>
      </c>
      <c r="I1085" t="str">
        <f>IF($A1085="","",IF($B1085&lt;&gt;"",$B1085,IF(COUNTIFS(原始经营数据!$D$3:$D$3001,$A1085,原始经营数据!$E$3:$E$3001,"",原始经营数据!$F$3:$F$3001,$C1085,原始经营数据!$H$3:$H$3001,$D1085,原始经营数据!$K$3:$K$3001,$G1085)&gt;1,"基金整体·来源"&amp;原始经营数据!$A1086,"基金整体")))</f>
        <v>广州云尚项目</v>
      </c>
      <c r="J1085" t="str">
        <f t="shared" si="243"/>
        <v>年度</v>
      </c>
      <c r="K1085" t="str">
        <f t="shared" si="244"/>
        <v>租户数量-专门店</v>
      </c>
      <c r="L1085" t="str">
        <f t="shared" si="245"/>
        <v>广州云尚项目|租户数量-专门店|年度</v>
      </c>
      <c r="M1085">
        <f>IF($A1085="",0,IF(COUNTIF($L$2:$L1085,$L1085)=1,1,0))</f>
        <v>0</v>
      </c>
      <c r="N1085">
        <f t="shared" si="246"/>
        <v>20240</v>
      </c>
      <c r="O1085" t="str">
        <f t="shared" si="247"/>
        <v>华夏凯德消费封闭式基础设施证券投资基金|2024|年度</v>
      </c>
      <c r="P1085">
        <f>IF($A1085="",0,IF(COUNTIF($O$2:$O1085,$O1085)=1,1,0))</f>
        <v>1</v>
      </c>
      <c r="Q1085" t="str">
        <f>IF(AND($P1085=1,$A1085=经营数据!$B$3,$J1085=经营数据!$BA$5),COUNTIFS($P$2:$P$3000,1,$A$2:$A$3000,$A1085,$J$2:$J$3000,$J1085,$N$2:$N$3000,"&lt;"&amp;$N1085)+1,"")</f>
        <v/>
      </c>
      <c r="R1085" t="str">
        <f t="shared" si="248"/>
        <v>华夏凯德消费封闭式基础设施证券投资基金|广州云尚项目</v>
      </c>
      <c r="S1085">
        <f>IF($A1085="",0,IF(COUNTIF($R$2:$R1085,$R1085)=1,1,0))</f>
        <v>0</v>
      </c>
      <c r="T1085">
        <f t="shared" si="249"/>
        <v>1048</v>
      </c>
      <c r="U1085" t="str">
        <f>IF($A1085="","",IF($A1085=经营数据!$B$3,COUNTIFS($S$2:$S$3000,1,$A$2:$A$3000,$A1085,$T$2:$T$3000,"&lt;"&amp;$T1085)+1,""))</f>
        <v/>
      </c>
      <c r="V1085" t="str">
        <f t="shared" si="250"/>
        <v>广州云尚项目|服务量</v>
      </c>
      <c r="W1085">
        <f t="shared" si="251"/>
        <v>1048</v>
      </c>
      <c r="X1085" t="str">
        <f t="shared" si="252"/>
        <v>广州云尚项目|租户数量</v>
      </c>
      <c r="Y1085">
        <f t="shared" si="253"/>
        <v>1048</v>
      </c>
      <c r="Z1085">
        <f>IF($A1085="",0,IF(AND($M1085=1,$A1085=经营数据!$B$3,$J1085=经营数据!$BA$5,OR($I1085=经营数据!$BA$4,COUNTIF(经营数据!$AA$9:$AA$38,$I1085)&gt;0)),1,0))</f>
        <v>0</v>
      </c>
      <c r="AA1085" t="str">
        <f t="shared" si="254"/>
        <v/>
      </c>
      <c r="AB1085" t="str">
        <f t="shared" si="255"/>
        <v/>
      </c>
      <c r="AC1085">
        <f>IF($A1085="",0,IF(COUNTIF($A$2:$A1085,$A1085)=1,1,0))</f>
        <v>0</v>
      </c>
      <c r="AD1085">
        <f t="shared" si="256"/>
        <v>10</v>
      </c>
      <c r="AE1085" t="str">
        <f t="shared" si="257"/>
        <v>广州云尚项目|租户数量-专门店</v>
      </c>
    </row>
    <row r="1086" spans="1:31" x14ac:dyDescent="0.4">
      <c r="A1086" t="str">
        <f>IF(原始经营数据!$D1087="","",原始经营数据!$D1087)</f>
        <v>华夏凯德消费封闭式基础设施证券投资基金</v>
      </c>
      <c r="B1086" t="str">
        <f>IF(原始经营数据!$D1087="","",T(原始经营数据!$E1087))</f>
        <v>广州云尚项目</v>
      </c>
      <c r="C1086" t="str">
        <f>IF(原始经营数据!$D1087="","",原始经营数据!$F1087)</f>
        <v>2024</v>
      </c>
      <c r="D1086" t="str">
        <f>IF(原始经营数据!$D1087="","",原始经营数据!$H1087)</f>
        <v>租户数量</v>
      </c>
      <c r="E1086">
        <f>IF(原始经营数据!$D1087="","",原始经营数据!$I1087)</f>
        <v>2</v>
      </c>
      <c r="F1086" t="str">
        <f>IF(原始经营数据!$D1087="","",T(原始经营数据!$J1087))</f>
        <v/>
      </c>
      <c r="G1086" t="str">
        <f>IF(原始经营数据!$D1087="","",T(原始经营数据!$K1087))</f>
        <v>主力店</v>
      </c>
      <c r="H1086" t="str">
        <f>IF(原始经营数据!$D1087="","",原始经营数据!$G1087)</f>
        <v>服务量</v>
      </c>
      <c r="I1086" t="str">
        <f>IF($A1086="","",IF($B1086&lt;&gt;"",$B1086,IF(COUNTIFS(原始经营数据!$D$3:$D$3001,$A1086,原始经营数据!$E$3:$E$3001,"",原始经营数据!$F$3:$F$3001,$C1086,原始经营数据!$H$3:$H$3001,$D1086,原始经营数据!$K$3:$K$3001,$G1086)&gt;1,"基金整体·来源"&amp;原始经营数据!$A1087,"基金整体")))</f>
        <v>广州云尚项目</v>
      </c>
      <c r="J1086" t="str">
        <f t="shared" si="243"/>
        <v>年度</v>
      </c>
      <c r="K1086" t="str">
        <f t="shared" si="244"/>
        <v>租户数量-主力店</v>
      </c>
      <c r="L1086" t="str">
        <f t="shared" si="245"/>
        <v>广州云尚项目|租户数量-主力店|年度</v>
      </c>
      <c r="M1086">
        <f>IF($A1086="",0,IF(COUNTIF($L$2:$L1086,$L1086)=1,1,0))</f>
        <v>0</v>
      </c>
      <c r="N1086">
        <f t="shared" si="246"/>
        <v>20240</v>
      </c>
      <c r="O1086" t="str">
        <f t="shared" si="247"/>
        <v>华夏凯德消费封闭式基础设施证券投资基金|2024|年度</v>
      </c>
      <c r="P1086">
        <f>IF($A1086="",0,IF(COUNTIF($O$2:$O1086,$O1086)=1,1,0))</f>
        <v>0</v>
      </c>
      <c r="Q1086" t="str">
        <f>IF(AND($P1086=1,$A1086=经营数据!$B$3,$J1086=经营数据!$BA$5),COUNTIFS($P$2:$P$3000,1,$A$2:$A$3000,$A1086,$J$2:$J$3000,$J1086,$N$2:$N$3000,"&lt;"&amp;$N1086)+1,"")</f>
        <v/>
      </c>
      <c r="R1086" t="str">
        <f t="shared" si="248"/>
        <v>华夏凯德消费封闭式基础设施证券投资基金|广州云尚项目</v>
      </c>
      <c r="S1086">
        <f>IF($A1086="",0,IF(COUNTIF($R$2:$R1086,$R1086)=1,1,0))</f>
        <v>0</v>
      </c>
      <c r="T1086">
        <f t="shared" si="249"/>
        <v>1048</v>
      </c>
      <c r="U1086" t="str">
        <f>IF($A1086="","",IF($A1086=经营数据!$B$3,COUNTIFS($S$2:$S$3000,1,$A$2:$A$3000,$A1086,$T$2:$T$3000,"&lt;"&amp;$T1086)+1,""))</f>
        <v/>
      </c>
      <c r="V1086" t="str">
        <f t="shared" si="250"/>
        <v>广州云尚项目|服务量</v>
      </c>
      <c r="W1086">
        <f t="shared" si="251"/>
        <v>1048</v>
      </c>
      <c r="X1086" t="str">
        <f t="shared" si="252"/>
        <v>广州云尚项目|租户数量</v>
      </c>
      <c r="Y1086">
        <f t="shared" si="253"/>
        <v>1048</v>
      </c>
      <c r="Z1086">
        <f>IF($A1086="",0,IF(AND($M1086=1,$A1086=经营数据!$B$3,$J1086=经营数据!$BA$5,OR($I1086=经营数据!$BA$4,COUNTIF(经营数据!$AA$9:$AA$38,$I1086)&gt;0)),1,0))</f>
        <v>0</v>
      </c>
      <c r="AA1086" t="str">
        <f t="shared" si="254"/>
        <v/>
      </c>
      <c r="AB1086" t="str">
        <f t="shared" si="255"/>
        <v/>
      </c>
      <c r="AC1086">
        <f>IF($A1086="",0,IF(COUNTIF($A$2:$A1086,$A1086)=1,1,0))</f>
        <v>0</v>
      </c>
      <c r="AD1086">
        <f t="shared" si="256"/>
        <v>10</v>
      </c>
      <c r="AE1086" t="str">
        <f t="shared" si="257"/>
        <v>广州云尚项目|租户数量-主力店</v>
      </c>
    </row>
    <row r="1087" spans="1:31" x14ac:dyDescent="0.4">
      <c r="A1087" t="str">
        <f>IF(原始经营数据!$D1088="","",原始经营数据!$D1088)</f>
        <v>华夏凯德消费封闭式基础设施证券投资基金</v>
      </c>
      <c r="B1087" t="str">
        <f>IF(原始经营数据!$D1088="","",T(原始经营数据!$E1088))</f>
        <v>广州云尚项目</v>
      </c>
      <c r="C1087" t="str">
        <f>IF(原始经营数据!$D1088="","",原始经营数据!$F1088)</f>
        <v>2024</v>
      </c>
      <c r="D1087" t="str">
        <f>IF(原始经营数据!$D1088="","",原始经营数据!$H1088)</f>
        <v>平均出租率</v>
      </c>
      <c r="E1087">
        <f>IF(原始经营数据!$D1088="","",原始经营数据!$I1088)</f>
        <v>95.5</v>
      </c>
      <c r="F1087" t="str">
        <f>IF(原始经营数据!$D1088="","",T(原始经营数据!$J1088))</f>
        <v>%</v>
      </c>
      <c r="G1087" t="str">
        <f>IF(原始经营数据!$D1088="","",T(原始经营数据!$K1088))</f>
        <v/>
      </c>
      <c r="H1087" t="str">
        <f>IF(原始经营数据!$D1088="","",原始经营数据!$G1088)</f>
        <v>服务效率</v>
      </c>
      <c r="I1087" t="str">
        <f>IF($A1087="","",IF($B1087&lt;&gt;"",$B1087,IF(COUNTIFS(原始经营数据!$D$3:$D$3001,$A1087,原始经营数据!$E$3:$E$3001,"",原始经营数据!$F$3:$F$3001,$C1087,原始经营数据!$H$3:$H$3001,$D1087,原始经营数据!$K$3:$K$3001,$G1087)&gt;1,"基金整体·来源"&amp;原始经营数据!$A1088,"基金整体")))</f>
        <v>广州云尚项目</v>
      </c>
      <c r="J1087" t="str">
        <f t="shared" si="243"/>
        <v>年度</v>
      </c>
      <c r="K1087" t="str">
        <f t="shared" si="244"/>
        <v>平均出租率（%）</v>
      </c>
      <c r="L1087" t="str">
        <f t="shared" si="245"/>
        <v>广州云尚项目|平均出租率（%）|年度</v>
      </c>
      <c r="M1087">
        <f>IF($A1087="",0,IF(COUNTIF($L$2:$L1087,$L1087)=1,1,0))</f>
        <v>0</v>
      </c>
      <c r="N1087">
        <f t="shared" si="246"/>
        <v>20240</v>
      </c>
      <c r="O1087" t="str">
        <f t="shared" si="247"/>
        <v>华夏凯德消费封闭式基础设施证券投资基金|2024|年度</v>
      </c>
      <c r="P1087">
        <f>IF($A1087="",0,IF(COUNTIF($O$2:$O1087,$O1087)=1,1,0))</f>
        <v>0</v>
      </c>
      <c r="Q1087" t="str">
        <f>IF(AND($P1087=1,$A1087=经营数据!$B$3,$J1087=经营数据!$BA$5),COUNTIFS($P$2:$P$3000,1,$A$2:$A$3000,$A1087,$J$2:$J$3000,$J1087,$N$2:$N$3000,"&lt;"&amp;$N1087)+1,"")</f>
        <v/>
      </c>
      <c r="R1087" t="str">
        <f t="shared" si="248"/>
        <v>华夏凯德消费封闭式基础设施证券投资基金|广州云尚项目</v>
      </c>
      <c r="S1087">
        <f>IF($A1087="",0,IF(COUNTIF($R$2:$R1087,$R1087)=1,1,0))</f>
        <v>0</v>
      </c>
      <c r="T1087">
        <f t="shared" si="249"/>
        <v>1048</v>
      </c>
      <c r="U1087" t="str">
        <f>IF($A1087="","",IF($A1087=经营数据!$B$3,COUNTIFS($S$2:$S$3000,1,$A$2:$A$3000,$A1087,$T$2:$T$3000,"&lt;"&amp;$T1087)+1,""))</f>
        <v/>
      </c>
      <c r="V1087" t="str">
        <f t="shared" si="250"/>
        <v>广州云尚项目|服务效率</v>
      </c>
      <c r="W1087">
        <f t="shared" si="251"/>
        <v>1055</v>
      </c>
      <c r="X1087" t="str">
        <f t="shared" si="252"/>
        <v>广州云尚项目|平均出租率</v>
      </c>
      <c r="Y1087">
        <f t="shared" si="253"/>
        <v>1055</v>
      </c>
      <c r="Z1087">
        <f>IF($A1087="",0,IF(AND($M1087=1,$A1087=经营数据!$B$3,$J1087=经营数据!$BA$5,OR($I1087=经营数据!$BA$4,COUNTIF(经营数据!$AA$9:$AA$38,$I1087)&gt;0)),1,0))</f>
        <v>0</v>
      </c>
      <c r="AA1087" t="str">
        <f t="shared" si="254"/>
        <v/>
      </c>
      <c r="AB1087" t="str">
        <f t="shared" si="255"/>
        <v/>
      </c>
      <c r="AC1087">
        <f>IF($A1087="",0,IF(COUNTIF($A$2:$A1087,$A1087)=1,1,0))</f>
        <v>0</v>
      </c>
      <c r="AD1087">
        <f t="shared" si="256"/>
        <v>10</v>
      </c>
      <c r="AE1087" t="str">
        <f t="shared" si="257"/>
        <v>广州云尚项目|平均出租率（%）</v>
      </c>
    </row>
    <row r="1088" spans="1:31" x14ac:dyDescent="0.4">
      <c r="A1088" t="str">
        <f>IF(原始经营数据!$D1089="","",原始经营数据!$D1089)</f>
        <v>华夏凯德消费封闭式基础设施证券投资基金</v>
      </c>
      <c r="B1088" t="str">
        <f>IF(原始经营数据!$D1089="","",T(原始经营数据!$E1089))</f>
        <v>广州云尚项目</v>
      </c>
      <c r="C1088" t="str">
        <f>IF(原始经营数据!$D1089="","",原始经营数据!$F1089)</f>
        <v>2024</v>
      </c>
      <c r="D1088" t="str">
        <f>IF(原始经营数据!$D1089="","",原始经营数据!$H1089)</f>
        <v>主力店平均租金单价</v>
      </c>
      <c r="E1088">
        <f>IF(原始经营数据!$D1089="","",原始经营数据!$I1089)</f>
        <v>34</v>
      </c>
      <c r="F1088" t="str">
        <f>IF(原始经营数据!$D1089="","",T(原始经营数据!$J1089))</f>
        <v/>
      </c>
      <c r="G1088" t="str">
        <f>IF(原始经营数据!$D1089="","",T(原始经营数据!$K1089))</f>
        <v/>
      </c>
      <c r="H1088" t="str">
        <f>IF(原始经营数据!$D1089="","",原始经营数据!$G1089)</f>
        <v>服务价格</v>
      </c>
      <c r="I1088" t="str">
        <f>IF($A1088="","",IF($B1088&lt;&gt;"",$B1088,IF(COUNTIFS(原始经营数据!$D$3:$D$3001,$A1088,原始经营数据!$E$3:$E$3001,"",原始经营数据!$F$3:$F$3001,$C1088,原始经营数据!$H$3:$H$3001,$D1088,原始经营数据!$K$3:$K$3001,$G1088)&gt;1,"基金整体·来源"&amp;原始经营数据!$A1089,"基金整体")))</f>
        <v>广州云尚项目</v>
      </c>
      <c r="J1088" t="str">
        <f t="shared" si="243"/>
        <v>年度</v>
      </c>
      <c r="K1088" t="str">
        <f t="shared" si="244"/>
        <v>主力店平均租金单价</v>
      </c>
      <c r="L1088" t="str">
        <f t="shared" si="245"/>
        <v>广州云尚项目|主力店平均租金单价|年度</v>
      </c>
      <c r="M1088">
        <f>IF($A1088="",0,IF(COUNTIF($L$2:$L1088,$L1088)=1,1,0))</f>
        <v>0</v>
      </c>
      <c r="N1088">
        <f t="shared" si="246"/>
        <v>20240</v>
      </c>
      <c r="O1088" t="str">
        <f t="shared" si="247"/>
        <v>华夏凯德消费封闭式基础设施证券投资基金|2024|年度</v>
      </c>
      <c r="P1088">
        <f>IF($A1088="",0,IF(COUNTIF($O$2:$O1088,$O1088)=1,1,0))</f>
        <v>0</v>
      </c>
      <c r="Q1088" t="str">
        <f>IF(AND($P1088=1,$A1088=经营数据!$B$3,$J1088=经营数据!$BA$5),COUNTIFS($P$2:$P$3000,1,$A$2:$A$3000,$A1088,$J$2:$J$3000,$J1088,$N$2:$N$3000,"&lt;"&amp;$N1088)+1,"")</f>
        <v/>
      </c>
      <c r="R1088" t="str">
        <f t="shared" si="248"/>
        <v>华夏凯德消费封闭式基础设施证券投资基金|广州云尚项目</v>
      </c>
      <c r="S1088">
        <f>IF($A1088="",0,IF(COUNTIF($R$2:$R1088,$R1088)=1,1,0))</f>
        <v>0</v>
      </c>
      <c r="T1088">
        <f t="shared" si="249"/>
        <v>1048</v>
      </c>
      <c r="U1088" t="str">
        <f>IF($A1088="","",IF($A1088=经营数据!$B$3,COUNTIFS($S$2:$S$3000,1,$A$2:$A$3000,$A1088,$T$2:$T$3000,"&lt;"&amp;$T1088)+1,""))</f>
        <v/>
      </c>
      <c r="V1088" t="str">
        <f t="shared" si="250"/>
        <v>广州云尚项目|服务价格</v>
      </c>
      <c r="W1088">
        <f t="shared" si="251"/>
        <v>1052</v>
      </c>
      <c r="X1088" t="str">
        <f t="shared" si="252"/>
        <v>广州云尚项目|主力店平均租金单价</v>
      </c>
      <c r="Y1088">
        <f t="shared" si="253"/>
        <v>1053</v>
      </c>
      <c r="Z1088">
        <f>IF($A1088="",0,IF(AND($M1088=1,$A1088=经营数据!$B$3,$J1088=经营数据!$BA$5,OR($I1088=经营数据!$BA$4,COUNTIF(经营数据!$AA$9:$AA$38,$I1088)&gt;0)),1,0))</f>
        <v>0</v>
      </c>
      <c r="AA1088" t="str">
        <f t="shared" si="254"/>
        <v/>
      </c>
      <c r="AB1088" t="str">
        <f t="shared" si="255"/>
        <v/>
      </c>
      <c r="AC1088">
        <f>IF($A1088="",0,IF(COUNTIF($A$2:$A1088,$A1088)=1,1,0))</f>
        <v>0</v>
      </c>
      <c r="AD1088">
        <f t="shared" si="256"/>
        <v>10</v>
      </c>
      <c r="AE1088" t="str">
        <f t="shared" si="257"/>
        <v>广州云尚项目|主力店平均租金单价</v>
      </c>
    </row>
    <row r="1089" spans="1:31" x14ac:dyDescent="0.4">
      <c r="A1089" t="str">
        <f>IF(原始经营数据!$D1090="","",原始经营数据!$D1090)</f>
        <v>华夏凯德消费封闭式基础设施证券投资基金</v>
      </c>
      <c r="B1089" t="str">
        <f>IF(原始经营数据!$D1090="","",T(原始经营数据!$E1090))</f>
        <v>广州云尚项目</v>
      </c>
      <c r="C1089" t="str">
        <f>IF(原始经营数据!$D1090="","",原始经营数据!$F1090)</f>
        <v>2024</v>
      </c>
      <c r="D1089" t="str">
        <f>IF(原始经营数据!$D1090="","",原始经营数据!$H1090)</f>
        <v>期末时点出租率</v>
      </c>
      <c r="E1089">
        <f>IF(原始经营数据!$D1090="","",原始经营数据!$I1090)</f>
        <v>95.51</v>
      </c>
      <c r="F1089" t="str">
        <f>IF(原始经营数据!$D1090="","",T(原始经营数据!$J1090))</f>
        <v>%</v>
      </c>
      <c r="G1089" t="str">
        <f>IF(原始经营数据!$D1090="","",T(原始经营数据!$K1090))</f>
        <v/>
      </c>
      <c r="H1089" t="str">
        <f>IF(原始经营数据!$D1090="","",原始经营数据!$G1090)</f>
        <v>服务效率</v>
      </c>
      <c r="I1089" t="str">
        <f>IF($A1089="","",IF($B1089&lt;&gt;"",$B1089,IF(COUNTIFS(原始经营数据!$D$3:$D$3001,$A1089,原始经营数据!$E$3:$E$3001,"",原始经营数据!$F$3:$F$3001,$C1089,原始经营数据!$H$3:$H$3001,$D1089,原始经营数据!$K$3:$K$3001,$G1089)&gt;1,"基金整体·来源"&amp;原始经营数据!$A1090,"基金整体")))</f>
        <v>广州云尚项目</v>
      </c>
      <c r="J1089" t="str">
        <f t="shared" si="243"/>
        <v>年度</v>
      </c>
      <c r="K1089" t="str">
        <f t="shared" si="244"/>
        <v>期末时点出租率（%）</v>
      </c>
      <c r="L1089" t="str">
        <f t="shared" si="245"/>
        <v>广州云尚项目|期末时点出租率（%）|年度</v>
      </c>
      <c r="M1089">
        <f>IF($A1089="",0,IF(COUNTIF($L$2:$L1089,$L1089)=1,1,0))</f>
        <v>0</v>
      </c>
      <c r="N1089">
        <f t="shared" si="246"/>
        <v>20240</v>
      </c>
      <c r="O1089" t="str">
        <f t="shared" si="247"/>
        <v>华夏凯德消费封闭式基础设施证券投资基金|2024|年度</v>
      </c>
      <c r="P1089">
        <f>IF($A1089="",0,IF(COUNTIF($O$2:$O1089,$O1089)=1,1,0))</f>
        <v>0</v>
      </c>
      <c r="Q1089" t="str">
        <f>IF(AND($P1089=1,$A1089=经营数据!$B$3,$J1089=经营数据!$BA$5),COUNTIFS($P$2:$P$3000,1,$A$2:$A$3000,$A1089,$J$2:$J$3000,$J1089,$N$2:$N$3000,"&lt;"&amp;$N1089)+1,"")</f>
        <v/>
      </c>
      <c r="R1089" t="str">
        <f t="shared" si="248"/>
        <v>华夏凯德消费封闭式基础设施证券投资基金|广州云尚项目</v>
      </c>
      <c r="S1089">
        <f>IF($A1089="",0,IF(COUNTIF($R$2:$R1089,$R1089)=1,1,0))</f>
        <v>0</v>
      </c>
      <c r="T1089">
        <f t="shared" si="249"/>
        <v>1048</v>
      </c>
      <c r="U1089" t="str">
        <f>IF($A1089="","",IF($A1089=经营数据!$B$3,COUNTIFS($S$2:$S$3000,1,$A$2:$A$3000,$A1089,$T$2:$T$3000,"&lt;"&amp;$T1089)+1,""))</f>
        <v/>
      </c>
      <c r="V1089" t="str">
        <f t="shared" si="250"/>
        <v>广州云尚项目|服务效率</v>
      </c>
      <c r="W1089">
        <f t="shared" si="251"/>
        <v>1055</v>
      </c>
      <c r="X1089" t="str">
        <f t="shared" si="252"/>
        <v>广州云尚项目|期末时点出租率</v>
      </c>
      <c r="Y1089">
        <f t="shared" si="253"/>
        <v>1056</v>
      </c>
      <c r="Z1089">
        <f>IF($A1089="",0,IF(AND($M1089=1,$A1089=经营数据!$B$3,$J1089=经营数据!$BA$5,OR($I1089=经营数据!$BA$4,COUNTIF(经营数据!$AA$9:$AA$38,$I1089)&gt;0)),1,0))</f>
        <v>0</v>
      </c>
      <c r="AA1089" t="str">
        <f t="shared" si="254"/>
        <v/>
      </c>
      <c r="AB1089" t="str">
        <f t="shared" si="255"/>
        <v/>
      </c>
      <c r="AC1089">
        <f>IF($A1089="",0,IF(COUNTIF($A$2:$A1089,$A1089)=1,1,0))</f>
        <v>0</v>
      </c>
      <c r="AD1089">
        <f t="shared" si="256"/>
        <v>10</v>
      </c>
      <c r="AE1089" t="str">
        <f t="shared" si="257"/>
        <v>广州云尚项目|期末时点出租率（%）</v>
      </c>
    </row>
    <row r="1090" spans="1:31" x14ac:dyDescent="0.4">
      <c r="A1090" t="str">
        <f>IF(原始经营数据!$D1091="","",原始经营数据!$D1091)</f>
        <v>华夏凯德消费封闭式基础设施证券投资基金</v>
      </c>
      <c r="B1090" t="str">
        <f>IF(原始经营数据!$D1091="","",T(原始经营数据!$E1091))</f>
        <v>广州云尚项目</v>
      </c>
      <c r="C1090" t="str">
        <f>IF(原始经营数据!$D1091="","",原始经营数据!$F1091)</f>
        <v>2024</v>
      </c>
      <c r="D1090" t="str">
        <f>IF(原始经营数据!$D1091="","",原始经营数据!$H1091)</f>
        <v>租金收缴率</v>
      </c>
      <c r="E1090">
        <f>IF(原始经营数据!$D1091="","",原始经营数据!$I1091)</f>
        <v>99.87</v>
      </c>
      <c r="F1090" t="str">
        <f>IF(原始经营数据!$D1091="","",T(原始经营数据!$J1091))</f>
        <v>%</v>
      </c>
      <c r="G1090" t="str">
        <f>IF(原始经营数据!$D1091="","",T(原始经营数据!$K1091))</f>
        <v/>
      </c>
      <c r="H1090" t="str">
        <f>IF(原始经营数据!$D1091="","",原始经营数据!$G1091)</f>
        <v>服务效率</v>
      </c>
      <c r="I1090" t="str">
        <f>IF($A1090="","",IF($B1090&lt;&gt;"",$B1090,IF(COUNTIFS(原始经营数据!$D$3:$D$3001,$A1090,原始经营数据!$E$3:$E$3001,"",原始经营数据!$F$3:$F$3001,$C1090,原始经营数据!$H$3:$H$3001,$D1090,原始经营数据!$K$3:$K$3001,$G1090)&gt;1,"基金整体·来源"&amp;原始经营数据!$A1091,"基金整体")))</f>
        <v>广州云尚项目</v>
      </c>
      <c r="J1090" t="str">
        <f t="shared" ref="J1090:J1153" si="258">IF($A1090="","",IF(LEN($C1090)=4,"年度",IF(AND(LEN($C1090)=6,ISNUMBER(SEARCH("Q",$C1090))),"季度","其他期间")))</f>
        <v>年度</v>
      </c>
      <c r="K1090" t="str">
        <f t="shared" ref="K1090:K1153" si="259">IF($A1090="","",$D1090&amp;IF($G1090="","","-"&amp;SUBSTITUTE($G1090,CHAR(10),""))&amp;IF($F1090="","","（"&amp;$F1090&amp;"）"))</f>
        <v>租金收缴率（%）</v>
      </c>
      <c r="L1090" t="str">
        <f t="shared" ref="L1090:L1153" si="260">IF($A1090="","",$I1090&amp;"|"&amp;$K1090&amp;"|"&amp;$J1090)</f>
        <v>广州云尚项目|租金收缴率（%）|年度</v>
      </c>
      <c r="M1090">
        <f>IF($A1090="",0,IF(COUNTIF($L$2:$L1090,$L1090)=1,1,0))</f>
        <v>0</v>
      </c>
      <c r="N1090">
        <f t="shared" ref="N1090:N1153" si="261">IF($A1090="","",IF($J1090="年度",VALUE($C1090)*10,IF($J1090="季度",VALUE(LEFT($C1090,4))*10+VALUE(RIGHT($C1090,1)),VALUE(LEFT($C1090,4))*10+9)))</f>
        <v>20240</v>
      </c>
      <c r="O1090" t="str">
        <f t="shared" ref="O1090:O1153" si="262">IF($A1090="","",$A1090&amp;"|"&amp;$C1090&amp;"|"&amp;$J1090)</f>
        <v>华夏凯德消费封闭式基础设施证券投资基金|2024|年度</v>
      </c>
      <c r="P1090">
        <f>IF($A1090="",0,IF(COUNTIF($O$2:$O1090,$O1090)=1,1,0))</f>
        <v>0</v>
      </c>
      <c r="Q1090" t="str">
        <f>IF(AND($P1090=1,$A1090=经营数据!$B$3,$J1090=经营数据!$BA$5),COUNTIFS($P$2:$P$3000,1,$A$2:$A$3000,$A1090,$J$2:$J$3000,$J1090,$N$2:$N$3000,"&lt;"&amp;$N1090)+1,"")</f>
        <v/>
      </c>
      <c r="R1090" t="str">
        <f t="shared" ref="R1090:R1153" si="263">IF($A1090="","",$A1090&amp;"|"&amp;$I1090)</f>
        <v>华夏凯德消费封闭式基础设施证券投资基金|广州云尚项目</v>
      </c>
      <c r="S1090">
        <f>IF($A1090="",0,IF(COUNTIF($R$2:$R1090,$R1090)=1,1,0))</f>
        <v>0</v>
      </c>
      <c r="T1090">
        <f t="shared" ref="T1090:T1153" si="264">IF($A1090="","",MATCH($R1090,$R$2:$R$3000,0))</f>
        <v>1048</v>
      </c>
      <c r="U1090" t="str">
        <f>IF($A1090="","",IF($A1090=经营数据!$B$3,COUNTIFS($S$2:$S$3000,1,$A$2:$A$3000,$A1090,$T$2:$T$3000,"&lt;"&amp;$T1090)+1,""))</f>
        <v/>
      </c>
      <c r="V1090" t="str">
        <f t="shared" ref="V1090:V1153" si="265">IF($A1090="","",$I1090&amp;"|"&amp;$H1090)</f>
        <v>广州云尚项目|服务效率</v>
      </c>
      <c r="W1090">
        <f t="shared" ref="W1090:W1153" si="266">IF($A1090="","",MATCH($V1090,$V$2:$V$3000,0))</f>
        <v>1055</v>
      </c>
      <c r="X1090" t="str">
        <f t="shared" ref="X1090:X1153" si="267">IF($A1090="","",$I1090&amp;"|"&amp;$D1090)</f>
        <v>广州云尚项目|租金收缴率</v>
      </c>
      <c r="Y1090">
        <f t="shared" ref="Y1090:Y1153" si="268">IF($A1090="","",MATCH($X1090,$X$2:$X$3000,0))</f>
        <v>1057</v>
      </c>
      <c r="Z1090">
        <f>IF($A1090="",0,IF(AND($M1090=1,$A1090=经营数据!$B$3,$J1090=经营数据!$BA$5,OR($I1090=经营数据!$BA$4,COUNTIF(经营数据!$AA$9:$AA$38,$I1090)&gt;0)),1,0))</f>
        <v>0</v>
      </c>
      <c r="AA1090" t="str">
        <f t="shared" ref="AA1090:AA1153" si="269">IF($Z1090=1,$U1090*1000000000000+$W1090*100000000+$Y1090*10000+ROW(),"")</f>
        <v/>
      </c>
      <c r="AB1090" t="str">
        <f t="shared" ref="AB1090:AB1153" si="270">IF($Z1090=1,COUNTIFS($Z$2:$Z$3000,1,$AA$2:$AA$3000,"&lt;"&amp;$AA1090)+1,"")</f>
        <v/>
      </c>
      <c r="AC1090">
        <f>IF($A1090="",0,IF(COUNTIF($A$2:$A1090,$A1090)=1,1,0))</f>
        <v>0</v>
      </c>
      <c r="AD1090">
        <f t="shared" ref="AD1090:AD1153" si="271">IF($A1090="",N(AD1089),IF($AC1090=1,N(AD1089)+1,N(AD1089)))</f>
        <v>10</v>
      </c>
      <c r="AE1090" t="str">
        <f t="shared" ref="AE1090:AE1153" si="272">IF($A1090="","",$I1090&amp;"|"&amp;$K1090)</f>
        <v>广州云尚项目|租金收缴率（%）</v>
      </c>
    </row>
    <row r="1091" spans="1:31" x14ac:dyDescent="0.4">
      <c r="A1091" t="str">
        <f>IF(原始经营数据!$D1092="","",原始经营数据!$D1092)</f>
        <v>华夏凯德消费封闭式基础设施证券投资基金</v>
      </c>
      <c r="B1091" t="str">
        <f>IF(原始经营数据!$D1092="","",T(原始经营数据!$E1092))</f>
        <v>广州云尚项目</v>
      </c>
      <c r="C1091" t="str">
        <f>IF(原始经营数据!$D1092="","",原始经营数据!$F1092)</f>
        <v>2024</v>
      </c>
      <c r="D1091" t="str">
        <f>IF(原始经营数据!$D1092="","",原始经营数据!$H1092)</f>
        <v>月销售坪效</v>
      </c>
      <c r="E1091">
        <f>IF(原始经营数据!$D1092="","",原始经营数据!$I1092)</f>
        <v>1375</v>
      </c>
      <c r="F1091" t="str">
        <f>IF(原始经营数据!$D1092="","",T(原始经营数据!$J1092))</f>
        <v>元/平方米</v>
      </c>
      <c r="G1091" t="str">
        <f>IF(原始经营数据!$D1092="","",T(原始经营数据!$K1092))</f>
        <v/>
      </c>
      <c r="H1091" t="str">
        <f>IF(原始经营数据!$D1092="","",原始经营数据!$G1092)</f>
        <v>服务价格</v>
      </c>
      <c r="I1091" t="str">
        <f>IF($A1091="","",IF($B1091&lt;&gt;"",$B1091,IF(COUNTIFS(原始经营数据!$D$3:$D$3001,$A1091,原始经营数据!$E$3:$E$3001,"",原始经营数据!$F$3:$F$3001,$C1091,原始经营数据!$H$3:$H$3001,$D1091,原始经营数据!$K$3:$K$3001,$G1091)&gt;1,"基金整体·来源"&amp;原始经营数据!$A1092,"基金整体")))</f>
        <v>广州云尚项目</v>
      </c>
      <c r="J1091" t="str">
        <f t="shared" si="258"/>
        <v>年度</v>
      </c>
      <c r="K1091" t="str">
        <f t="shared" si="259"/>
        <v>月销售坪效（元/平方米）</v>
      </c>
      <c r="L1091" t="str">
        <f t="shared" si="260"/>
        <v>广州云尚项目|月销售坪效（元/平方米）|年度</v>
      </c>
      <c r="M1091">
        <f>IF($A1091="",0,IF(COUNTIF($L$2:$L1091,$L1091)=1,1,0))</f>
        <v>0</v>
      </c>
      <c r="N1091">
        <f t="shared" si="261"/>
        <v>20240</v>
      </c>
      <c r="O1091" t="str">
        <f t="shared" si="262"/>
        <v>华夏凯德消费封闭式基础设施证券投资基金|2024|年度</v>
      </c>
      <c r="P1091">
        <f>IF($A1091="",0,IF(COUNTIF($O$2:$O1091,$O1091)=1,1,0))</f>
        <v>0</v>
      </c>
      <c r="Q1091" t="str">
        <f>IF(AND($P1091=1,$A1091=经营数据!$B$3,$J1091=经营数据!$BA$5),COUNTIFS($P$2:$P$3000,1,$A$2:$A$3000,$A1091,$J$2:$J$3000,$J1091,$N$2:$N$3000,"&lt;"&amp;$N1091)+1,"")</f>
        <v/>
      </c>
      <c r="R1091" t="str">
        <f t="shared" si="263"/>
        <v>华夏凯德消费封闭式基础设施证券投资基金|广州云尚项目</v>
      </c>
      <c r="S1091">
        <f>IF($A1091="",0,IF(COUNTIF($R$2:$R1091,$R1091)=1,1,0))</f>
        <v>0</v>
      </c>
      <c r="T1091">
        <f t="shared" si="264"/>
        <v>1048</v>
      </c>
      <c r="U1091" t="str">
        <f>IF($A1091="","",IF($A1091=经营数据!$B$3,COUNTIFS($S$2:$S$3000,1,$A$2:$A$3000,$A1091,$T$2:$T$3000,"&lt;"&amp;$T1091)+1,""))</f>
        <v/>
      </c>
      <c r="V1091" t="str">
        <f t="shared" si="265"/>
        <v>广州云尚项目|服务价格</v>
      </c>
      <c r="W1091">
        <f t="shared" si="266"/>
        <v>1052</v>
      </c>
      <c r="X1091" t="str">
        <f t="shared" si="267"/>
        <v>广州云尚项目|月销售坪效</v>
      </c>
      <c r="Y1091">
        <f t="shared" si="268"/>
        <v>1058</v>
      </c>
      <c r="Z1091">
        <f>IF($A1091="",0,IF(AND($M1091=1,$A1091=经营数据!$B$3,$J1091=经营数据!$BA$5,OR($I1091=经营数据!$BA$4,COUNTIF(经营数据!$AA$9:$AA$38,$I1091)&gt;0)),1,0))</f>
        <v>0</v>
      </c>
      <c r="AA1091" t="str">
        <f t="shared" si="269"/>
        <v/>
      </c>
      <c r="AB1091" t="str">
        <f t="shared" si="270"/>
        <v/>
      </c>
      <c r="AC1091">
        <f>IF($A1091="",0,IF(COUNTIF($A$2:$A1091,$A1091)=1,1,0))</f>
        <v>0</v>
      </c>
      <c r="AD1091">
        <f t="shared" si="271"/>
        <v>10</v>
      </c>
      <c r="AE1091" t="str">
        <f t="shared" si="272"/>
        <v>广州云尚项目|月销售坪效（元/平方米）</v>
      </c>
    </row>
    <row r="1092" spans="1:31" x14ac:dyDescent="0.4">
      <c r="A1092" t="str">
        <f>IF(原始经营数据!$D1093="","",原始经营数据!$D1093)</f>
        <v>华夏凯德消费封闭式基础设施证券投资基金</v>
      </c>
      <c r="B1092" t="str">
        <f>IF(原始经营数据!$D1093="","",T(原始经营数据!$E1093))</f>
        <v>广州云尚项目</v>
      </c>
      <c r="C1092" t="str">
        <f>IF(原始经营数据!$D1093="","",原始经营数据!$F1093)</f>
        <v>2024</v>
      </c>
      <c r="D1092" t="str">
        <f>IF(原始经营数据!$D1093="","",原始经营数据!$H1093)</f>
        <v>月租金坪效</v>
      </c>
      <c r="E1092">
        <f>IF(原始经营数据!$D1093="","",原始经营数据!$I1093)</f>
        <v>185</v>
      </c>
      <c r="F1092" t="str">
        <f>IF(原始经营数据!$D1093="","",T(原始经营数据!$J1093))</f>
        <v>元/平方米</v>
      </c>
      <c r="G1092" t="str">
        <f>IF(原始经营数据!$D1093="","",T(原始经营数据!$K1093))</f>
        <v/>
      </c>
      <c r="H1092" t="str">
        <f>IF(原始经营数据!$D1093="","",原始经营数据!$G1093)</f>
        <v>服务价格</v>
      </c>
      <c r="I1092" t="str">
        <f>IF($A1092="","",IF($B1092&lt;&gt;"",$B1092,IF(COUNTIFS(原始经营数据!$D$3:$D$3001,$A1092,原始经营数据!$E$3:$E$3001,"",原始经营数据!$F$3:$F$3001,$C1092,原始经营数据!$H$3:$H$3001,$D1092,原始经营数据!$K$3:$K$3001,$G1092)&gt;1,"基金整体·来源"&amp;原始经营数据!$A1093,"基金整体")))</f>
        <v>广州云尚项目</v>
      </c>
      <c r="J1092" t="str">
        <f t="shared" si="258"/>
        <v>年度</v>
      </c>
      <c r="K1092" t="str">
        <f t="shared" si="259"/>
        <v>月租金坪效（元/平方米）</v>
      </c>
      <c r="L1092" t="str">
        <f t="shared" si="260"/>
        <v>广州云尚项目|月租金坪效（元/平方米）|年度</v>
      </c>
      <c r="M1092">
        <f>IF($A1092="",0,IF(COUNTIF($L$2:$L1092,$L1092)=1,1,0))</f>
        <v>0</v>
      </c>
      <c r="N1092">
        <f t="shared" si="261"/>
        <v>20240</v>
      </c>
      <c r="O1092" t="str">
        <f t="shared" si="262"/>
        <v>华夏凯德消费封闭式基础设施证券投资基金|2024|年度</v>
      </c>
      <c r="P1092">
        <f>IF($A1092="",0,IF(COUNTIF($O$2:$O1092,$O1092)=1,1,0))</f>
        <v>0</v>
      </c>
      <c r="Q1092" t="str">
        <f>IF(AND($P1092=1,$A1092=经营数据!$B$3,$J1092=经营数据!$BA$5),COUNTIFS($P$2:$P$3000,1,$A$2:$A$3000,$A1092,$J$2:$J$3000,$J1092,$N$2:$N$3000,"&lt;"&amp;$N1092)+1,"")</f>
        <v/>
      </c>
      <c r="R1092" t="str">
        <f t="shared" si="263"/>
        <v>华夏凯德消费封闭式基础设施证券投资基金|广州云尚项目</v>
      </c>
      <c r="S1092">
        <f>IF($A1092="",0,IF(COUNTIF($R$2:$R1092,$R1092)=1,1,0))</f>
        <v>0</v>
      </c>
      <c r="T1092">
        <f t="shared" si="264"/>
        <v>1048</v>
      </c>
      <c r="U1092" t="str">
        <f>IF($A1092="","",IF($A1092=经营数据!$B$3,COUNTIFS($S$2:$S$3000,1,$A$2:$A$3000,$A1092,$T$2:$T$3000,"&lt;"&amp;$T1092)+1,""))</f>
        <v/>
      </c>
      <c r="V1092" t="str">
        <f t="shared" si="265"/>
        <v>广州云尚项目|服务价格</v>
      </c>
      <c r="W1092">
        <f t="shared" si="266"/>
        <v>1052</v>
      </c>
      <c r="X1092" t="str">
        <f t="shared" si="267"/>
        <v>广州云尚项目|月租金坪效</v>
      </c>
      <c r="Y1092">
        <f t="shared" si="268"/>
        <v>1059</v>
      </c>
      <c r="Z1092">
        <f>IF($A1092="",0,IF(AND($M1092=1,$A1092=经营数据!$B$3,$J1092=经营数据!$BA$5,OR($I1092=经营数据!$BA$4,COUNTIF(经营数据!$AA$9:$AA$38,$I1092)&gt;0)),1,0))</f>
        <v>0</v>
      </c>
      <c r="AA1092" t="str">
        <f t="shared" si="269"/>
        <v/>
      </c>
      <c r="AB1092" t="str">
        <f t="shared" si="270"/>
        <v/>
      </c>
      <c r="AC1092">
        <f>IF($A1092="",0,IF(COUNTIF($A$2:$A1092,$A1092)=1,1,0))</f>
        <v>0</v>
      </c>
      <c r="AD1092">
        <f t="shared" si="271"/>
        <v>10</v>
      </c>
      <c r="AE1092" t="str">
        <f t="shared" si="272"/>
        <v>广州云尚项目|月租金坪效（元/平方米）</v>
      </c>
    </row>
    <row r="1093" spans="1:31" x14ac:dyDescent="0.4">
      <c r="A1093" t="str">
        <f>IF(原始经营数据!$D1094="","",原始经营数据!$D1094)</f>
        <v>华夏凯德消费封闭式基础设施证券投资基金</v>
      </c>
      <c r="B1093" t="str">
        <f>IF(原始经营数据!$D1094="","",T(原始经营数据!$E1094))</f>
        <v>广州云尚项目</v>
      </c>
      <c r="C1093" t="str">
        <f>IF(原始经营数据!$D1094="","",原始经营数据!$F1094)</f>
        <v>2024</v>
      </c>
      <c r="D1093" t="str">
        <f>IF(原始经营数据!$D1094="","",原始经营数据!$H1094)</f>
        <v>租售比</v>
      </c>
      <c r="E1093">
        <f>IF(原始经营数据!$D1094="","",原始经营数据!$I1094)</f>
        <v>19.3</v>
      </c>
      <c r="F1093" t="str">
        <f>IF(原始经营数据!$D1094="","",T(原始经营数据!$J1094))</f>
        <v>%</v>
      </c>
      <c r="G1093" t="str">
        <f>IF(原始经营数据!$D1094="","",T(原始经营数据!$K1094))</f>
        <v/>
      </c>
      <c r="H1093" t="str">
        <f>IF(原始经营数据!$D1094="","",原始经营数据!$G1094)</f>
        <v>服务效率</v>
      </c>
      <c r="I1093" t="str">
        <f>IF($A1093="","",IF($B1093&lt;&gt;"",$B1093,IF(COUNTIFS(原始经营数据!$D$3:$D$3001,$A1093,原始经营数据!$E$3:$E$3001,"",原始经营数据!$F$3:$F$3001,$C1093,原始经营数据!$H$3:$H$3001,$D1093,原始经营数据!$K$3:$K$3001,$G1093)&gt;1,"基金整体·来源"&amp;原始经营数据!$A1094,"基金整体")))</f>
        <v>广州云尚项目</v>
      </c>
      <c r="J1093" t="str">
        <f t="shared" si="258"/>
        <v>年度</v>
      </c>
      <c r="K1093" t="str">
        <f t="shared" si="259"/>
        <v>租售比（%）</v>
      </c>
      <c r="L1093" t="str">
        <f t="shared" si="260"/>
        <v>广州云尚项目|租售比（%）|年度</v>
      </c>
      <c r="M1093">
        <f>IF($A1093="",0,IF(COUNTIF($L$2:$L1093,$L1093)=1,1,0))</f>
        <v>0</v>
      </c>
      <c r="N1093">
        <f t="shared" si="261"/>
        <v>20240</v>
      </c>
      <c r="O1093" t="str">
        <f t="shared" si="262"/>
        <v>华夏凯德消费封闭式基础设施证券投资基金|2024|年度</v>
      </c>
      <c r="P1093">
        <f>IF($A1093="",0,IF(COUNTIF($O$2:$O1093,$O1093)=1,1,0))</f>
        <v>0</v>
      </c>
      <c r="Q1093" t="str">
        <f>IF(AND($P1093=1,$A1093=经营数据!$B$3,$J1093=经营数据!$BA$5),COUNTIFS($P$2:$P$3000,1,$A$2:$A$3000,$A1093,$J$2:$J$3000,$J1093,$N$2:$N$3000,"&lt;"&amp;$N1093)+1,"")</f>
        <v/>
      </c>
      <c r="R1093" t="str">
        <f t="shared" si="263"/>
        <v>华夏凯德消费封闭式基础设施证券投资基金|广州云尚项目</v>
      </c>
      <c r="S1093">
        <f>IF($A1093="",0,IF(COUNTIF($R$2:$R1093,$R1093)=1,1,0))</f>
        <v>0</v>
      </c>
      <c r="T1093">
        <f t="shared" si="264"/>
        <v>1048</v>
      </c>
      <c r="U1093" t="str">
        <f>IF($A1093="","",IF($A1093=经营数据!$B$3,COUNTIFS($S$2:$S$3000,1,$A$2:$A$3000,$A1093,$T$2:$T$3000,"&lt;"&amp;$T1093)+1,""))</f>
        <v/>
      </c>
      <c r="V1093" t="str">
        <f t="shared" si="265"/>
        <v>广州云尚项目|服务效率</v>
      </c>
      <c r="W1093">
        <f t="shared" si="266"/>
        <v>1055</v>
      </c>
      <c r="X1093" t="str">
        <f t="shared" si="267"/>
        <v>广州云尚项目|租售比</v>
      </c>
      <c r="Y1093">
        <f t="shared" si="268"/>
        <v>1060</v>
      </c>
      <c r="Z1093">
        <f>IF($A1093="",0,IF(AND($M1093=1,$A1093=经营数据!$B$3,$J1093=经营数据!$BA$5,OR($I1093=经营数据!$BA$4,COUNTIF(经营数据!$AA$9:$AA$38,$I1093)&gt;0)),1,0))</f>
        <v>0</v>
      </c>
      <c r="AA1093" t="str">
        <f t="shared" si="269"/>
        <v/>
      </c>
      <c r="AB1093" t="str">
        <f t="shared" si="270"/>
        <v/>
      </c>
      <c r="AC1093">
        <f>IF($A1093="",0,IF(COUNTIF($A$2:$A1093,$A1093)=1,1,0))</f>
        <v>0</v>
      </c>
      <c r="AD1093">
        <f t="shared" si="271"/>
        <v>10</v>
      </c>
      <c r="AE1093" t="str">
        <f t="shared" si="272"/>
        <v>广州云尚项目|租售比（%）</v>
      </c>
    </row>
    <row r="1094" spans="1:31" x14ac:dyDescent="0.4">
      <c r="A1094" t="str">
        <f>IF(原始经营数据!$D1095="","",原始经营数据!$D1095)</f>
        <v>华夏凯德消费封闭式基础设施证券投资基金</v>
      </c>
      <c r="B1094" t="str">
        <f>IF(原始经营数据!$D1095="","",T(原始经营数据!$E1095))</f>
        <v>广州云尚项目</v>
      </c>
      <c r="C1094" t="str">
        <f>IF(原始经营数据!$D1095="","",原始经营数据!$F1095)</f>
        <v>2024</v>
      </c>
      <c r="D1094" t="str">
        <f>IF(原始经营数据!$D1095="","",原始经营数据!$H1095)</f>
        <v>客流量</v>
      </c>
      <c r="E1094">
        <f>IF(原始经营数据!$D1095="","",原始经营数据!$I1095)</f>
        <v>4.4400000000000004</v>
      </c>
      <c r="F1094" t="str">
        <f>IF(原始经营数据!$D1095="","",T(原始经营数据!$J1095))</f>
        <v>万人/日</v>
      </c>
      <c r="G1094" t="str">
        <f>IF(原始经营数据!$D1095="","",T(原始经营数据!$K1095))</f>
        <v/>
      </c>
      <c r="H1094" t="str">
        <f>IF(原始经营数据!$D1095="","",原始经营数据!$G1095)</f>
        <v>服务量</v>
      </c>
      <c r="I1094" t="str">
        <f>IF($A1094="","",IF($B1094&lt;&gt;"",$B1094,IF(COUNTIFS(原始经营数据!$D$3:$D$3001,$A1094,原始经营数据!$E$3:$E$3001,"",原始经营数据!$F$3:$F$3001,$C1094,原始经营数据!$H$3:$H$3001,$D1094,原始经营数据!$K$3:$K$3001,$G1094)&gt;1,"基金整体·来源"&amp;原始经营数据!$A1095,"基金整体")))</f>
        <v>广州云尚项目</v>
      </c>
      <c r="J1094" t="str">
        <f t="shared" si="258"/>
        <v>年度</v>
      </c>
      <c r="K1094" t="str">
        <f t="shared" si="259"/>
        <v>客流量（万人/日）</v>
      </c>
      <c r="L1094" t="str">
        <f t="shared" si="260"/>
        <v>广州云尚项目|客流量（万人/日）|年度</v>
      </c>
      <c r="M1094">
        <f>IF($A1094="",0,IF(COUNTIF($L$2:$L1094,$L1094)=1,1,0))</f>
        <v>0</v>
      </c>
      <c r="N1094">
        <f t="shared" si="261"/>
        <v>20240</v>
      </c>
      <c r="O1094" t="str">
        <f t="shared" si="262"/>
        <v>华夏凯德消费封闭式基础设施证券投资基金|2024|年度</v>
      </c>
      <c r="P1094">
        <f>IF($A1094="",0,IF(COUNTIF($O$2:$O1094,$O1094)=1,1,0))</f>
        <v>0</v>
      </c>
      <c r="Q1094" t="str">
        <f>IF(AND($P1094=1,$A1094=经营数据!$B$3,$J1094=经营数据!$BA$5),COUNTIFS($P$2:$P$3000,1,$A$2:$A$3000,$A1094,$J$2:$J$3000,$J1094,$N$2:$N$3000,"&lt;"&amp;$N1094)+1,"")</f>
        <v/>
      </c>
      <c r="R1094" t="str">
        <f t="shared" si="263"/>
        <v>华夏凯德消费封闭式基础设施证券投资基金|广州云尚项目</v>
      </c>
      <c r="S1094">
        <f>IF($A1094="",0,IF(COUNTIF($R$2:$R1094,$R1094)=1,1,0))</f>
        <v>0</v>
      </c>
      <c r="T1094">
        <f t="shared" si="264"/>
        <v>1048</v>
      </c>
      <c r="U1094" t="str">
        <f>IF($A1094="","",IF($A1094=经营数据!$B$3,COUNTIFS($S$2:$S$3000,1,$A$2:$A$3000,$A1094,$T$2:$T$3000,"&lt;"&amp;$T1094)+1,""))</f>
        <v/>
      </c>
      <c r="V1094" t="str">
        <f t="shared" si="265"/>
        <v>广州云尚项目|服务量</v>
      </c>
      <c r="W1094">
        <f t="shared" si="266"/>
        <v>1048</v>
      </c>
      <c r="X1094" t="str">
        <f t="shared" si="267"/>
        <v>广州云尚项目|客流量</v>
      </c>
      <c r="Y1094">
        <f t="shared" si="268"/>
        <v>1061</v>
      </c>
      <c r="Z1094">
        <f>IF($A1094="",0,IF(AND($M1094=1,$A1094=经营数据!$B$3,$J1094=经营数据!$BA$5,OR($I1094=经营数据!$BA$4,COUNTIF(经营数据!$AA$9:$AA$38,$I1094)&gt;0)),1,0))</f>
        <v>0</v>
      </c>
      <c r="AA1094" t="str">
        <f t="shared" si="269"/>
        <v/>
      </c>
      <c r="AB1094" t="str">
        <f t="shared" si="270"/>
        <v/>
      </c>
      <c r="AC1094">
        <f>IF($A1094="",0,IF(COUNTIF($A$2:$A1094,$A1094)=1,1,0))</f>
        <v>0</v>
      </c>
      <c r="AD1094">
        <f t="shared" si="271"/>
        <v>10</v>
      </c>
      <c r="AE1094" t="str">
        <f t="shared" si="272"/>
        <v>广州云尚项目|客流量（万人/日）</v>
      </c>
    </row>
    <row r="1095" spans="1:31" x14ac:dyDescent="0.4">
      <c r="A1095" t="str">
        <f>IF(原始经营数据!$D1096="","",原始经营数据!$D1096)</f>
        <v>华夏凯德消费封闭式基础设施证券投资基金</v>
      </c>
      <c r="B1095" t="str">
        <f>IF(原始经营数据!$D1096="","",T(原始经营数据!$E1096))</f>
        <v>广州云尚项目</v>
      </c>
      <c r="C1095" t="str">
        <f>IF(原始经营数据!$D1096="","",原始经营数据!$F1096)</f>
        <v>2024</v>
      </c>
      <c r="D1095" t="str">
        <f>IF(原始经营数据!$D1096="","",原始经营数据!$H1096)</f>
        <v>销售额</v>
      </c>
      <c r="E1095">
        <f>IF(原始经营数据!$D1096="","",原始经营数据!$I1096)</f>
        <v>74300</v>
      </c>
      <c r="F1095" t="str">
        <f>IF(原始经营数据!$D1096="","",T(原始经营数据!$J1096))</f>
        <v>万元</v>
      </c>
      <c r="G1095" t="str">
        <f>IF(原始经营数据!$D1096="","",T(原始经营数据!$K1096))</f>
        <v/>
      </c>
      <c r="H1095" t="str">
        <f>IF(原始经营数据!$D1096="","",原始经营数据!$G1096)</f>
        <v>服务金额</v>
      </c>
      <c r="I1095" t="str">
        <f>IF($A1095="","",IF($B1095&lt;&gt;"",$B1095,IF(COUNTIFS(原始经营数据!$D$3:$D$3001,$A1095,原始经营数据!$E$3:$E$3001,"",原始经营数据!$F$3:$F$3001,$C1095,原始经营数据!$H$3:$H$3001,$D1095,原始经营数据!$K$3:$K$3001,$G1095)&gt;1,"基金整体·来源"&amp;原始经营数据!$A1096,"基金整体")))</f>
        <v>广州云尚项目</v>
      </c>
      <c r="J1095" t="str">
        <f t="shared" si="258"/>
        <v>年度</v>
      </c>
      <c r="K1095" t="str">
        <f t="shared" si="259"/>
        <v>销售额（万元）</v>
      </c>
      <c r="L1095" t="str">
        <f t="shared" si="260"/>
        <v>广州云尚项目|销售额（万元）|年度</v>
      </c>
      <c r="M1095">
        <f>IF($A1095="",0,IF(COUNTIF($L$2:$L1095,$L1095)=1,1,0))</f>
        <v>0</v>
      </c>
      <c r="N1095">
        <f t="shared" si="261"/>
        <v>20240</v>
      </c>
      <c r="O1095" t="str">
        <f t="shared" si="262"/>
        <v>华夏凯德消费封闭式基础设施证券投资基金|2024|年度</v>
      </c>
      <c r="P1095">
        <f>IF($A1095="",0,IF(COUNTIF($O$2:$O1095,$O1095)=1,1,0))</f>
        <v>0</v>
      </c>
      <c r="Q1095" t="str">
        <f>IF(AND($P1095=1,$A1095=经营数据!$B$3,$J1095=经营数据!$BA$5),COUNTIFS($P$2:$P$3000,1,$A$2:$A$3000,$A1095,$J$2:$J$3000,$J1095,$N$2:$N$3000,"&lt;"&amp;$N1095)+1,"")</f>
        <v/>
      </c>
      <c r="R1095" t="str">
        <f t="shared" si="263"/>
        <v>华夏凯德消费封闭式基础设施证券投资基金|广州云尚项目</v>
      </c>
      <c r="S1095">
        <f>IF($A1095="",0,IF(COUNTIF($R$2:$R1095,$R1095)=1,1,0))</f>
        <v>0</v>
      </c>
      <c r="T1095">
        <f t="shared" si="264"/>
        <v>1048</v>
      </c>
      <c r="U1095" t="str">
        <f>IF($A1095="","",IF($A1095=经营数据!$B$3,COUNTIFS($S$2:$S$3000,1,$A$2:$A$3000,$A1095,$T$2:$T$3000,"&lt;"&amp;$T1095)+1,""))</f>
        <v/>
      </c>
      <c r="V1095" t="str">
        <f t="shared" si="265"/>
        <v>广州云尚项目|服务金额</v>
      </c>
      <c r="W1095">
        <f t="shared" si="266"/>
        <v>1050</v>
      </c>
      <c r="X1095" t="str">
        <f t="shared" si="267"/>
        <v>广州云尚项目|销售额</v>
      </c>
      <c r="Y1095">
        <f t="shared" si="268"/>
        <v>1062</v>
      </c>
      <c r="Z1095">
        <f>IF($A1095="",0,IF(AND($M1095=1,$A1095=经营数据!$B$3,$J1095=经营数据!$BA$5,OR($I1095=经营数据!$BA$4,COUNTIF(经营数据!$AA$9:$AA$38,$I1095)&gt;0)),1,0))</f>
        <v>0</v>
      </c>
      <c r="AA1095" t="str">
        <f t="shared" si="269"/>
        <v/>
      </c>
      <c r="AB1095" t="str">
        <f t="shared" si="270"/>
        <v/>
      </c>
      <c r="AC1095">
        <f>IF($A1095="",0,IF(COUNTIF($A$2:$A1095,$A1095)=1,1,0))</f>
        <v>0</v>
      </c>
      <c r="AD1095">
        <f t="shared" si="271"/>
        <v>10</v>
      </c>
      <c r="AE1095" t="str">
        <f t="shared" si="272"/>
        <v>广州云尚项目|销售额（万元）</v>
      </c>
    </row>
    <row r="1096" spans="1:31" x14ac:dyDescent="0.4">
      <c r="A1096" t="str">
        <f>IF(原始经营数据!$D1097="","",原始经营数据!$D1097)</f>
        <v>华夏凯德消费封闭式基础设施证券投资基金</v>
      </c>
      <c r="B1096" t="str">
        <f>IF(原始经营数据!$D1097="","",T(原始经营数据!$E1097))</f>
        <v>广州云尚项目</v>
      </c>
      <c r="C1096" t="str">
        <f>IF(原始经营数据!$D1097="","",原始经营数据!$F1097)</f>
        <v>2024</v>
      </c>
      <c r="D1096" t="str">
        <f>IF(原始经营数据!$D1097="","",原始经营数据!$H1097)</f>
        <v>营业收入（考虑租金减免，不含税）</v>
      </c>
      <c r="E1096">
        <f>IF(原始经营数据!$D1097="","",原始经营数据!$I1097)</f>
        <v>16470.689999999999</v>
      </c>
      <c r="F1096" t="str">
        <f>IF(原始经营数据!$D1097="","",T(原始经营数据!$J1097))</f>
        <v>万元</v>
      </c>
      <c r="G1096" t="str">
        <f>IF(原始经营数据!$D1097="","",T(原始经营数据!$K1097))</f>
        <v/>
      </c>
      <c r="H1096" t="str">
        <f>IF(原始经营数据!$D1097="","",原始经营数据!$G1097)</f>
        <v>服务金额</v>
      </c>
      <c r="I1096" t="str">
        <f>IF($A1096="","",IF($B1096&lt;&gt;"",$B1096,IF(COUNTIFS(原始经营数据!$D$3:$D$3001,$A1096,原始经营数据!$E$3:$E$3001,"",原始经营数据!$F$3:$F$3001,$C1096,原始经营数据!$H$3:$H$3001,$D1096,原始经营数据!$K$3:$K$3001,$G1096)&gt;1,"基金整体·来源"&amp;原始经营数据!$A1097,"基金整体")))</f>
        <v>广州云尚项目</v>
      </c>
      <c r="J1096" t="str">
        <f t="shared" si="258"/>
        <v>年度</v>
      </c>
      <c r="K1096" t="str">
        <f t="shared" si="259"/>
        <v>营业收入（考虑租金减免，不含税）（万元）</v>
      </c>
      <c r="L1096" t="str">
        <f t="shared" si="260"/>
        <v>广州云尚项目|营业收入（考虑租金减免，不含税）（万元）|年度</v>
      </c>
      <c r="M1096">
        <f>IF($A1096="",0,IF(COUNTIF($L$2:$L1096,$L1096)=1,1,0))</f>
        <v>0</v>
      </c>
      <c r="N1096">
        <f t="shared" si="261"/>
        <v>20240</v>
      </c>
      <c r="O1096" t="str">
        <f t="shared" si="262"/>
        <v>华夏凯德消费封闭式基础设施证券投资基金|2024|年度</v>
      </c>
      <c r="P1096">
        <f>IF($A1096="",0,IF(COUNTIF($O$2:$O1096,$O1096)=1,1,0))</f>
        <v>0</v>
      </c>
      <c r="Q1096" t="str">
        <f>IF(AND($P1096=1,$A1096=经营数据!$B$3,$J1096=经营数据!$BA$5),COUNTIFS($P$2:$P$3000,1,$A$2:$A$3000,$A1096,$J$2:$J$3000,$J1096,$N$2:$N$3000,"&lt;"&amp;$N1096)+1,"")</f>
        <v/>
      </c>
      <c r="R1096" t="str">
        <f t="shared" si="263"/>
        <v>华夏凯德消费封闭式基础设施证券投资基金|广州云尚项目</v>
      </c>
      <c r="S1096">
        <f>IF($A1096="",0,IF(COUNTIF($R$2:$R1096,$R1096)=1,1,0))</f>
        <v>0</v>
      </c>
      <c r="T1096">
        <f t="shared" si="264"/>
        <v>1048</v>
      </c>
      <c r="U1096" t="str">
        <f>IF($A1096="","",IF($A1096=经营数据!$B$3,COUNTIFS($S$2:$S$3000,1,$A$2:$A$3000,$A1096,$T$2:$T$3000,"&lt;"&amp;$T1096)+1,""))</f>
        <v/>
      </c>
      <c r="V1096" t="str">
        <f t="shared" si="265"/>
        <v>广州云尚项目|服务金额</v>
      </c>
      <c r="W1096">
        <f t="shared" si="266"/>
        <v>1050</v>
      </c>
      <c r="X1096" t="str">
        <f t="shared" si="267"/>
        <v>广州云尚项目|营业收入（考虑租金减免，不含税）</v>
      </c>
      <c r="Y1096">
        <f t="shared" si="268"/>
        <v>1050</v>
      </c>
      <c r="Z1096">
        <f>IF($A1096="",0,IF(AND($M1096=1,$A1096=经营数据!$B$3,$J1096=经营数据!$BA$5,OR($I1096=经营数据!$BA$4,COUNTIF(经营数据!$AA$9:$AA$38,$I1096)&gt;0)),1,0))</f>
        <v>0</v>
      </c>
      <c r="AA1096" t="str">
        <f t="shared" si="269"/>
        <v/>
      </c>
      <c r="AB1096" t="str">
        <f t="shared" si="270"/>
        <v/>
      </c>
      <c r="AC1096">
        <f>IF($A1096="",0,IF(COUNTIF($A$2:$A1096,$A1096)=1,1,0))</f>
        <v>0</v>
      </c>
      <c r="AD1096">
        <f t="shared" si="271"/>
        <v>10</v>
      </c>
      <c r="AE1096" t="str">
        <f t="shared" si="272"/>
        <v>广州云尚项目|营业收入（考虑租金减免，不含税）（万元）</v>
      </c>
    </row>
    <row r="1097" spans="1:31" x14ac:dyDescent="0.4">
      <c r="A1097" t="str">
        <f>IF(原始经营数据!$D1098="","",原始经营数据!$D1098)</f>
        <v>华夏凯德消费封闭式基础设施证券投资基金</v>
      </c>
      <c r="B1097" t="str">
        <f>IF(原始经营数据!$D1098="","",T(原始经营数据!$E1098))</f>
        <v>广州云尚项目</v>
      </c>
      <c r="C1097" t="str">
        <f>IF(原始经营数据!$D1098="","",原始经营数据!$F1098)</f>
        <v>2024</v>
      </c>
      <c r="D1097" t="str">
        <f>IF(原始经营数据!$D1098="","",原始经营数据!$H1098)</f>
        <v>专门店平均租金单价</v>
      </c>
      <c r="E1097">
        <f>IF(原始经营数据!$D1098="","",原始经营数据!$I1098)</f>
        <v>229</v>
      </c>
      <c r="F1097" t="str">
        <f>IF(原始经营数据!$D1098="","",T(原始经营数据!$J1098))</f>
        <v/>
      </c>
      <c r="G1097" t="str">
        <f>IF(原始经营数据!$D1098="","",T(原始经营数据!$K1098))</f>
        <v/>
      </c>
      <c r="H1097" t="str">
        <f>IF(原始经营数据!$D1098="","",原始经营数据!$G1098)</f>
        <v>服务价格</v>
      </c>
      <c r="I1097" t="str">
        <f>IF($A1097="","",IF($B1097&lt;&gt;"",$B1097,IF(COUNTIFS(原始经营数据!$D$3:$D$3001,$A1097,原始经营数据!$E$3:$E$3001,"",原始经营数据!$F$3:$F$3001,$C1097,原始经营数据!$H$3:$H$3001,$D1097,原始经营数据!$K$3:$K$3001,$G1097)&gt;1,"基金整体·来源"&amp;原始经营数据!$A1098,"基金整体")))</f>
        <v>广州云尚项目</v>
      </c>
      <c r="J1097" t="str">
        <f t="shared" si="258"/>
        <v>年度</v>
      </c>
      <c r="K1097" t="str">
        <f t="shared" si="259"/>
        <v>专门店平均租金单价</v>
      </c>
      <c r="L1097" t="str">
        <f t="shared" si="260"/>
        <v>广州云尚项目|专门店平均租金单价|年度</v>
      </c>
      <c r="M1097">
        <f>IF($A1097="",0,IF(COUNTIF($L$2:$L1097,$L1097)=1,1,0))</f>
        <v>0</v>
      </c>
      <c r="N1097">
        <f t="shared" si="261"/>
        <v>20240</v>
      </c>
      <c r="O1097" t="str">
        <f t="shared" si="262"/>
        <v>华夏凯德消费封闭式基础设施证券投资基金|2024|年度</v>
      </c>
      <c r="P1097">
        <f>IF($A1097="",0,IF(COUNTIF($O$2:$O1097,$O1097)=1,1,0))</f>
        <v>0</v>
      </c>
      <c r="Q1097" t="str">
        <f>IF(AND($P1097=1,$A1097=经营数据!$B$3,$J1097=经营数据!$BA$5),COUNTIFS($P$2:$P$3000,1,$A$2:$A$3000,$A1097,$J$2:$J$3000,$J1097,$N$2:$N$3000,"&lt;"&amp;$N1097)+1,"")</f>
        <v/>
      </c>
      <c r="R1097" t="str">
        <f t="shared" si="263"/>
        <v>华夏凯德消费封闭式基础设施证券投资基金|广州云尚项目</v>
      </c>
      <c r="S1097">
        <f>IF($A1097="",0,IF(COUNTIF($R$2:$R1097,$R1097)=1,1,0))</f>
        <v>0</v>
      </c>
      <c r="T1097">
        <f t="shared" si="264"/>
        <v>1048</v>
      </c>
      <c r="U1097" t="str">
        <f>IF($A1097="","",IF($A1097=经营数据!$B$3,COUNTIFS($S$2:$S$3000,1,$A$2:$A$3000,$A1097,$T$2:$T$3000,"&lt;"&amp;$T1097)+1,""))</f>
        <v/>
      </c>
      <c r="V1097" t="str">
        <f t="shared" si="265"/>
        <v>广州云尚项目|服务价格</v>
      </c>
      <c r="W1097">
        <f t="shared" si="266"/>
        <v>1052</v>
      </c>
      <c r="X1097" t="str">
        <f t="shared" si="267"/>
        <v>广州云尚项目|专门店平均租金单价</v>
      </c>
      <c r="Y1097">
        <f t="shared" si="268"/>
        <v>1052</v>
      </c>
      <c r="Z1097">
        <f>IF($A1097="",0,IF(AND($M1097=1,$A1097=经营数据!$B$3,$J1097=经营数据!$BA$5,OR($I1097=经营数据!$BA$4,COUNTIF(经营数据!$AA$9:$AA$38,$I1097)&gt;0)),1,0))</f>
        <v>0</v>
      </c>
      <c r="AA1097" t="str">
        <f t="shared" si="269"/>
        <v/>
      </c>
      <c r="AB1097" t="str">
        <f t="shared" si="270"/>
        <v/>
      </c>
      <c r="AC1097">
        <f>IF($A1097="",0,IF(COUNTIF($A$2:$A1097,$A1097)=1,1,0))</f>
        <v>0</v>
      </c>
      <c r="AD1097">
        <f t="shared" si="271"/>
        <v>10</v>
      </c>
      <c r="AE1097" t="str">
        <f t="shared" si="272"/>
        <v>广州云尚项目|专门店平均租金单价</v>
      </c>
    </row>
    <row r="1098" spans="1:31" x14ac:dyDescent="0.4">
      <c r="A1098" t="str">
        <f>IF(原始经营数据!$D1099="","",原始经营数据!$D1099)</f>
        <v>华夏凯德消费封闭式基础设施证券投资基金</v>
      </c>
      <c r="B1098" t="str">
        <f>IF(原始经营数据!$D1099="","",T(原始经营数据!$E1099))</f>
        <v>广州云尚项目</v>
      </c>
      <c r="C1098" t="str">
        <f>IF(原始经营数据!$D1099="","",原始经营数据!$F1099)</f>
        <v>2024</v>
      </c>
      <c r="D1098" t="str">
        <f>IF(原始经营数据!$D1099="","",原始经营数据!$H1099)</f>
        <v>营业收入（考虑租金减免，不含税）</v>
      </c>
      <c r="E1098">
        <f>IF(原始经营数据!$D1099="","",原始经营数据!$I1099)</f>
        <v>1485.31</v>
      </c>
      <c r="F1098" t="str">
        <f>IF(原始经营数据!$D1099="","",T(原始经营数据!$J1099))</f>
        <v>万元</v>
      </c>
      <c r="G1098" t="str">
        <f>IF(原始经营数据!$D1099="","",T(原始经营数据!$K1099))</f>
        <v>其他收入</v>
      </c>
      <c r="H1098" t="str">
        <f>IF(原始经营数据!$D1099="","",原始经营数据!$G1099)</f>
        <v>服务金额</v>
      </c>
      <c r="I1098" t="str">
        <f>IF($A1098="","",IF($B1098&lt;&gt;"",$B1098,IF(COUNTIFS(原始经营数据!$D$3:$D$3001,$A1098,原始经营数据!$E$3:$E$3001,"",原始经营数据!$F$3:$F$3001,$C1098,原始经营数据!$H$3:$H$3001,$D1098,原始经营数据!$K$3:$K$3001,$G1098)&gt;1,"基金整体·来源"&amp;原始经营数据!$A1099,"基金整体")))</f>
        <v>广州云尚项目</v>
      </c>
      <c r="J1098" t="str">
        <f t="shared" si="258"/>
        <v>年度</v>
      </c>
      <c r="K1098" t="str">
        <f t="shared" si="259"/>
        <v>营业收入（考虑租金减免，不含税）-其他收入（万元）</v>
      </c>
      <c r="L1098" t="str">
        <f t="shared" si="260"/>
        <v>广州云尚项目|营业收入（考虑租金减免，不含税）-其他收入（万元）|年度</v>
      </c>
      <c r="M1098">
        <f>IF($A1098="",0,IF(COUNTIF($L$2:$L1098,$L1098)=1,1,0))</f>
        <v>0</v>
      </c>
      <c r="N1098">
        <f t="shared" si="261"/>
        <v>20240</v>
      </c>
      <c r="O1098" t="str">
        <f t="shared" si="262"/>
        <v>华夏凯德消费封闭式基础设施证券投资基金|2024|年度</v>
      </c>
      <c r="P1098">
        <f>IF($A1098="",0,IF(COUNTIF($O$2:$O1098,$O1098)=1,1,0))</f>
        <v>0</v>
      </c>
      <c r="Q1098" t="str">
        <f>IF(AND($P1098=1,$A1098=经营数据!$B$3,$J1098=经营数据!$BA$5),COUNTIFS($P$2:$P$3000,1,$A$2:$A$3000,$A1098,$J$2:$J$3000,$J1098,$N$2:$N$3000,"&lt;"&amp;$N1098)+1,"")</f>
        <v/>
      </c>
      <c r="R1098" t="str">
        <f t="shared" si="263"/>
        <v>华夏凯德消费封闭式基础设施证券投资基金|广州云尚项目</v>
      </c>
      <c r="S1098">
        <f>IF($A1098="",0,IF(COUNTIF($R$2:$R1098,$R1098)=1,1,0))</f>
        <v>0</v>
      </c>
      <c r="T1098">
        <f t="shared" si="264"/>
        <v>1048</v>
      </c>
      <c r="U1098" t="str">
        <f>IF($A1098="","",IF($A1098=经营数据!$B$3,COUNTIFS($S$2:$S$3000,1,$A$2:$A$3000,$A1098,$T$2:$T$3000,"&lt;"&amp;$T1098)+1,""))</f>
        <v/>
      </c>
      <c r="V1098" t="str">
        <f t="shared" si="265"/>
        <v>广州云尚项目|服务金额</v>
      </c>
      <c r="W1098">
        <f t="shared" si="266"/>
        <v>1050</v>
      </c>
      <c r="X1098" t="str">
        <f t="shared" si="267"/>
        <v>广州云尚项目|营业收入（考虑租金减免，不含税）</v>
      </c>
      <c r="Y1098">
        <f t="shared" si="268"/>
        <v>1050</v>
      </c>
      <c r="Z1098">
        <f>IF($A1098="",0,IF(AND($M1098=1,$A1098=经营数据!$B$3,$J1098=经营数据!$BA$5,OR($I1098=经营数据!$BA$4,COUNTIF(经营数据!$AA$9:$AA$38,$I1098)&gt;0)),1,0))</f>
        <v>0</v>
      </c>
      <c r="AA1098" t="str">
        <f t="shared" si="269"/>
        <v/>
      </c>
      <c r="AB1098" t="str">
        <f t="shared" si="270"/>
        <v/>
      </c>
      <c r="AC1098">
        <f>IF($A1098="",0,IF(COUNTIF($A$2:$A1098,$A1098)=1,1,0))</f>
        <v>0</v>
      </c>
      <c r="AD1098">
        <f t="shared" si="271"/>
        <v>10</v>
      </c>
      <c r="AE1098" t="str">
        <f t="shared" si="272"/>
        <v>广州云尚项目|营业收入（考虑租金减免，不含税）-其他收入（万元）</v>
      </c>
    </row>
    <row r="1099" spans="1:31" x14ac:dyDescent="0.4">
      <c r="A1099" t="str">
        <f>IF(原始经营数据!$D1100="","",原始经营数据!$D1100)</f>
        <v>华夏凯德消费封闭式基础设施证券投资基金</v>
      </c>
      <c r="B1099" t="str">
        <f>IF(原始经营数据!$D1100="","",T(原始经营数据!$E1100))</f>
        <v>广州云尚项目</v>
      </c>
      <c r="C1099" t="str">
        <f>IF(原始经营数据!$D1100="","",原始经营数据!$F1100)</f>
        <v>2024</v>
      </c>
      <c r="D1099" t="str">
        <f>IF(原始经营数据!$D1100="","",原始经营数据!$H1100)</f>
        <v>营业收入（考虑租金减免，不含税）</v>
      </c>
      <c r="E1099">
        <f>IF(原始经营数据!$D1100="","",原始经营数据!$I1100)</f>
        <v>314.06</v>
      </c>
      <c r="F1099" t="str">
        <f>IF(原始经营数据!$D1100="","",T(原始经营数据!$J1100))</f>
        <v>万元</v>
      </c>
      <c r="G1099" t="str">
        <f>IF(原始经营数据!$D1100="","",T(原始经营数据!$K1100))</f>
        <v>推广费收入</v>
      </c>
      <c r="H1099" t="str">
        <f>IF(原始经营数据!$D1100="","",原始经营数据!$G1100)</f>
        <v>服务金额</v>
      </c>
      <c r="I1099" t="str">
        <f>IF($A1099="","",IF($B1099&lt;&gt;"",$B1099,IF(COUNTIFS(原始经营数据!$D$3:$D$3001,$A1099,原始经营数据!$E$3:$E$3001,"",原始经营数据!$F$3:$F$3001,$C1099,原始经营数据!$H$3:$H$3001,$D1099,原始经营数据!$K$3:$K$3001,$G1099)&gt;1,"基金整体·来源"&amp;原始经营数据!$A1100,"基金整体")))</f>
        <v>广州云尚项目</v>
      </c>
      <c r="J1099" t="str">
        <f t="shared" si="258"/>
        <v>年度</v>
      </c>
      <c r="K1099" t="str">
        <f t="shared" si="259"/>
        <v>营业收入（考虑租金减免，不含税）-推广费收入（万元）</v>
      </c>
      <c r="L1099" t="str">
        <f t="shared" si="260"/>
        <v>广州云尚项目|营业收入（考虑租金减免，不含税）-推广费收入（万元）|年度</v>
      </c>
      <c r="M1099">
        <f>IF($A1099="",0,IF(COUNTIF($L$2:$L1099,$L1099)=1,1,0))</f>
        <v>0</v>
      </c>
      <c r="N1099">
        <f t="shared" si="261"/>
        <v>20240</v>
      </c>
      <c r="O1099" t="str">
        <f t="shared" si="262"/>
        <v>华夏凯德消费封闭式基础设施证券投资基金|2024|年度</v>
      </c>
      <c r="P1099">
        <f>IF($A1099="",0,IF(COUNTIF($O$2:$O1099,$O1099)=1,1,0))</f>
        <v>0</v>
      </c>
      <c r="Q1099" t="str">
        <f>IF(AND($P1099=1,$A1099=经营数据!$B$3,$J1099=经营数据!$BA$5),COUNTIFS($P$2:$P$3000,1,$A$2:$A$3000,$A1099,$J$2:$J$3000,$J1099,$N$2:$N$3000,"&lt;"&amp;$N1099)+1,"")</f>
        <v/>
      </c>
      <c r="R1099" t="str">
        <f t="shared" si="263"/>
        <v>华夏凯德消费封闭式基础设施证券投资基金|广州云尚项目</v>
      </c>
      <c r="S1099">
        <f>IF($A1099="",0,IF(COUNTIF($R$2:$R1099,$R1099)=1,1,0))</f>
        <v>0</v>
      </c>
      <c r="T1099">
        <f t="shared" si="264"/>
        <v>1048</v>
      </c>
      <c r="U1099" t="str">
        <f>IF($A1099="","",IF($A1099=经营数据!$B$3,COUNTIFS($S$2:$S$3000,1,$A$2:$A$3000,$A1099,$T$2:$T$3000,"&lt;"&amp;$T1099)+1,""))</f>
        <v/>
      </c>
      <c r="V1099" t="str">
        <f t="shared" si="265"/>
        <v>广州云尚项目|服务金额</v>
      </c>
      <c r="W1099">
        <f t="shared" si="266"/>
        <v>1050</v>
      </c>
      <c r="X1099" t="str">
        <f t="shared" si="267"/>
        <v>广州云尚项目|营业收入（考虑租金减免，不含税）</v>
      </c>
      <c r="Y1099">
        <f t="shared" si="268"/>
        <v>1050</v>
      </c>
      <c r="Z1099">
        <f>IF($A1099="",0,IF(AND($M1099=1,$A1099=经营数据!$B$3,$J1099=经营数据!$BA$5,OR($I1099=经营数据!$BA$4,COUNTIF(经营数据!$AA$9:$AA$38,$I1099)&gt;0)),1,0))</f>
        <v>0</v>
      </c>
      <c r="AA1099" t="str">
        <f t="shared" si="269"/>
        <v/>
      </c>
      <c r="AB1099" t="str">
        <f t="shared" si="270"/>
        <v/>
      </c>
      <c r="AC1099">
        <f>IF($A1099="",0,IF(COUNTIF($A$2:$A1099,$A1099)=1,1,0))</f>
        <v>0</v>
      </c>
      <c r="AD1099">
        <f t="shared" si="271"/>
        <v>10</v>
      </c>
      <c r="AE1099" t="str">
        <f t="shared" si="272"/>
        <v>广州云尚项目|营业收入（考虑租金减免，不含税）-推广费收入（万元）</v>
      </c>
    </row>
    <row r="1100" spans="1:31" x14ac:dyDescent="0.4">
      <c r="A1100" t="str">
        <f>IF(原始经营数据!$D1101="","",原始经营数据!$D1101)</f>
        <v>华夏凯德消费封闭式基础设施证券投资基金</v>
      </c>
      <c r="B1100" t="str">
        <f>IF(原始经营数据!$D1101="","",T(原始经营数据!$E1101))</f>
        <v>广州云尚项目</v>
      </c>
      <c r="C1100" t="str">
        <f>IF(原始经营数据!$D1101="","",原始经营数据!$F1101)</f>
        <v>2024</v>
      </c>
      <c r="D1100" t="str">
        <f>IF(原始经营数据!$D1101="","",原始经营数据!$H1101)</f>
        <v>营业收入（考虑租金减免，不含税）</v>
      </c>
      <c r="E1100">
        <f>IF(原始经营数据!$D1101="","",原始经营数据!$I1101)</f>
        <v>4096.75</v>
      </c>
      <c r="F1100" t="str">
        <f>IF(原始经营数据!$D1101="","",T(原始经营数据!$J1101))</f>
        <v>万元</v>
      </c>
      <c r="G1100" t="str">
        <f>IF(原始经营数据!$D1101="","",T(原始经营数据!$K1101))</f>
        <v>物业管理收入</v>
      </c>
      <c r="H1100" t="str">
        <f>IF(原始经营数据!$D1101="","",原始经营数据!$G1101)</f>
        <v>服务金额</v>
      </c>
      <c r="I1100" t="str">
        <f>IF($A1100="","",IF($B1100&lt;&gt;"",$B1100,IF(COUNTIFS(原始经营数据!$D$3:$D$3001,$A1100,原始经营数据!$E$3:$E$3001,"",原始经营数据!$F$3:$F$3001,$C1100,原始经营数据!$H$3:$H$3001,$D1100,原始经营数据!$K$3:$K$3001,$G1100)&gt;1,"基金整体·来源"&amp;原始经营数据!$A1101,"基金整体")))</f>
        <v>广州云尚项目</v>
      </c>
      <c r="J1100" t="str">
        <f t="shared" si="258"/>
        <v>年度</v>
      </c>
      <c r="K1100" t="str">
        <f t="shared" si="259"/>
        <v>营业收入（考虑租金减免，不含税）-物业管理收入（万元）</v>
      </c>
      <c r="L1100" t="str">
        <f t="shared" si="260"/>
        <v>广州云尚项目|营业收入（考虑租金减免，不含税）-物业管理收入（万元）|年度</v>
      </c>
      <c r="M1100">
        <f>IF($A1100="",0,IF(COUNTIF($L$2:$L1100,$L1100)=1,1,0))</f>
        <v>0</v>
      </c>
      <c r="N1100">
        <f t="shared" si="261"/>
        <v>20240</v>
      </c>
      <c r="O1100" t="str">
        <f t="shared" si="262"/>
        <v>华夏凯德消费封闭式基础设施证券投资基金|2024|年度</v>
      </c>
      <c r="P1100">
        <f>IF($A1100="",0,IF(COUNTIF($O$2:$O1100,$O1100)=1,1,0))</f>
        <v>0</v>
      </c>
      <c r="Q1100" t="str">
        <f>IF(AND($P1100=1,$A1100=经营数据!$B$3,$J1100=经营数据!$BA$5),COUNTIFS($P$2:$P$3000,1,$A$2:$A$3000,$A1100,$J$2:$J$3000,$J1100,$N$2:$N$3000,"&lt;"&amp;$N1100)+1,"")</f>
        <v/>
      </c>
      <c r="R1100" t="str">
        <f t="shared" si="263"/>
        <v>华夏凯德消费封闭式基础设施证券投资基金|广州云尚项目</v>
      </c>
      <c r="S1100">
        <f>IF($A1100="",0,IF(COUNTIF($R$2:$R1100,$R1100)=1,1,0))</f>
        <v>0</v>
      </c>
      <c r="T1100">
        <f t="shared" si="264"/>
        <v>1048</v>
      </c>
      <c r="U1100" t="str">
        <f>IF($A1100="","",IF($A1100=经营数据!$B$3,COUNTIFS($S$2:$S$3000,1,$A$2:$A$3000,$A1100,$T$2:$T$3000,"&lt;"&amp;$T1100)+1,""))</f>
        <v/>
      </c>
      <c r="V1100" t="str">
        <f t="shared" si="265"/>
        <v>广州云尚项目|服务金额</v>
      </c>
      <c r="W1100">
        <f t="shared" si="266"/>
        <v>1050</v>
      </c>
      <c r="X1100" t="str">
        <f t="shared" si="267"/>
        <v>广州云尚项目|营业收入（考虑租金减免，不含税）</v>
      </c>
      <c r="Y1100">
        <f t="shared" si="268"/>
        <v>1050</v>
      </c>
      <c r="Z1100">
        <f>IF($A1100="",0,IF(AND($M1100=1,$A1100=经营数据!$B$3,$J1100=经营数据!$BA$5,OR($I1100=经营数据!$BA$4,COUNTIF(经营数据!$AA$9:$AA$38,$I1100)&gt;0)),1,0))</f>
        <v>0</v>
      </c>
      <c r="AA1100" t="str">
        <f t="shared" si="269"/>
        <v/>
      </c>
      <c r="AB1100" t="str">
        <f t="shared" si="270"/>
        <v/>
      </c>
      <c r="AC1100">
        <f>IF($A1100="",0,IF(COUNTIF($A$2:$A1100,$A1100)=1,1,0))</f>
        <v>0</v>
      </c>
      <c r="AD1100">
        <f t="shared" si="271"/>
        <v>10</v>
      </c>
      <c r="AE1100" t="str">
        <f t="shared" si="272"/>
        <v>广州云尚项目|营业收入（考虑租金减免，不含税）-物业管理收入（万元）</v>
      </c>
    </row>
    <row r="1101" spans="1:31" x14ac:dyDescent="0.4">
      <c r="A1101" t="str">
        <f>IF(原始经营数据!$D1102="","",原始经营数据!$D1102)</f>
        <v>华夏凯德消费封闭式基础设施证券投资基金</v>
      </c>
      <c r="B1101" t="str">
        <f>IF(原始经营数据!$D1102="","",T(原始经营数据!$E1102))</f>
        <v>广州云尚项目</v>
      </c>
      <c r="C1101" t="str">
        <f>IF(原始经营数据!$D1102="","",原始经营数据!$F1102)</f>
        <v>2024</v>
      </c>
      <c r="D1101" t="str">
        <f>IF(原始经营数据!$D1102="","",原始经营数据!$H1102)</f>
        <v>营业收入（考虑租金减免，不含税）</v>
      </c>
      <c r="E1101">
        <f>IF(原始经营数据!$D1102="","",原始经营数据!$I1102)</f>
        <v>500.02</v>
      </c>
      <c r="F1101" t="str">
        <f>IF(原始经营数据!$D1102="","",T(原始经营数据!$J1102))</f>
        <v>万元</v>
      </c>
      <c r="G1101" t="str">
        <f>IF(原始经营数据!$D1102="","",T(原始经营数据!$K1102))</f>
        <v>抽成租金收入</v>
      </c>
      <c r="H1101" t="str">
        <f>IF(原始经营数据!$D1102="","",原始经营数据!$G1102)</f>
        <v>服务金额</v>
      </c>
      <c r="I1101" t="str">
        <f>IF($A1101="","",IF($B1101&lt;&gt;"",$B1101,IF(COUNTIFS(原始经营数据!$D$3:$D$3001,$A1101,原始经营数据!$E$3:$E$3001,"",原始经营数据!$F$3:$F$3001,$C1101,原始经营数据!$H$3:$H$3001,$D1101,原始经营数据!$K$3:$K$3001,$G1101)&gt;1,"基金整体·来源"&amp;原始经营数据!$A1102,"基金整体")))</f>
        <v>广州云尚项目</v>
      </c>
      <c r="J1101" t="str">
        <f t="shared" si="258"/>
        <v>年度</v>
      </c>
      <c r="K1101" t="str">
        <f t="shared" si="259"/>
        <v>营业收入（考虑租金减免，不含税）-抽成租金收入（万元）</v>
      </c>
      <c r="L1101" t="str">
        <f t="shared" si="260"/>
        <v>广州云尚项目|营业收入（考虑租金减免，不含税）-抽成租金收入（万元）|年度</v>
      </c>
      <c r="M1101">
        <f>IF($A1101="",0,IF(COUNTIF($L$2:$L1101,$L1101)=1,1,0))</f>
        <v>0</v>
      </c>
      <c r="N1101">
        <f t="shared" si="261"/>
        <v>20240</v>
      </c>
      <c r="O1101" t="str">
        <f t="shared" si="262"/>
        <v>华夏凯德消费封闭式基础设施证券投资基金|2024|年度</v>
      </c>
      <c r="P1101">
        <f>IF($A1101="",0,IF(COUNTIF($O$2:$O1101,$O1101)=1,1,0))</f>
        <v>0</v>
      </c>
      <c r="Q1101" t="str">
        <f>IF(AND($P1101=1,$A1101=经营数据!$B$3,$J1101=经营数据!$BA$5),COUNTIFS($P$2:$P$3000,1,$A$2:$A$3000,$A1101,$J$2:$J$3000,$J1101,$N$2:$N$3000,"&lt;"&amp;$N1101)+1,"")</f>
        <v/>
      </c>
      <c r="R1101" t="str">
        <f t="shared" si="263"/>
        <v>华夏凯德消费封闭式基础设施证券投资基金|广州云尚项目</v>
      </c>
      <c r="S1101">
        <f>IF($A1101="",0,IF(COUNTIF($R$2:$R1101,$R1101)=1,1,0))</f>
        <v>0</v>
      </c>
      <c r="T1101">
        <f t="shared" si="264"/>
        <v>1048</v>
      </c>
      <c r="U1101" t="str">
        <f>IF($A1101="","",IF($A1101=经营数据!$B$3,COUNTIFS($S$2:$S$3000,1,$A$2:$A$3000,$A1101,$T$2:$T$3000,"&lt;"&amp;$T1101)+1,""))</f>
        <v/>
      </c>
      <c r="V1101" t="str">
        <f t="shared" si="265"/>
        <v>广州云尚项目|服务金额</v>
      </c>
      <c r="W1101">
        <f t="shared" si="266"/>
        <v>1050</v>
      </c>
      <c r="X1101" t="str">
        <f t="shared" si="267"/>
        <v>广州云尚项目|营业收入（考虑租金减免，不含税）</v>
      </c>
      <c r="Y1101">
        <f t="shared" si="268"/>
        <v>1050</v>
      </c>
      <c r="Z1101">
        <f>IF($A1101="",0,IF(AND($M1101=1,$A1101=经营数据!$B$3,$J1101=经营数据!$BA$5,OR($I1101=经营数据!$BA$4,COUNTIF(经营数据!$AA$9:$AA$38,$I1101)&gt;0)),1,0))</f>
        <v>0</v>
      </c>
      <c r="AA1101" t="str">
        <f t="shared" si="269"/>
        <v/>
      </c>
      <c r="AB1101" t="str">
        <f t="shared" si="270"/>
        <v/>
      </c>
      <c r="AC1101">
        <f>IF($A1101="",0,IF(COUNTIF($A$2:$A1101,$A1101)=1,1,0))</f>
        <v>0</v>
      </c>
      <c r="AD1101">
        <f t="shared" si="271"/>
        <v>10</v>
      </c>
      <c r="AE1101" t="str">
        <f t="shared" si="272"/>
        <v>广州云尚项目|营业收入（考虑租金减免，不含税）-抽成租金收入（万元）</v>
      </c>
    </row>
    <row r="1102" spans="1:31" x14ac:dyDescent="0.4">
      <c r="A1102" t="str">
        <f>IF(原始经营数据!$D1103="","",原始经营数据!$D1103)</f>
        <v>华夏凯德消费封闭式基础设施证券投资基金</v>
      </c>
      <c r="B1102" t="str">
        <f>IF(原始经营数据!$D1103="","",T(原始经营数据!$E1103))</f>
        <v>广州云尚项目</v>
      </c>
      <c r="C1102" t="str">
        <f>IF(原始经营数据!$D1103="","",原始经营数据!$F1103)</f>
        <v>2024</v>
      </c>
      <c r="D1102" t="str">
        <f>IF(原始经营数据!$D1103="","",原始经营数据!$H1103)</f>
        <v>营业收入（考虑租金减免，不含税）</v>
      </c>
      <c r="E1102">
        <f>IF(原始经营数据!$D1103="","",原始经营数据!$I1103)</f>
        <v>10074.540000000001</v>
      </c>
      <c r="F1102" t="str">
        <f>IF(原始经营数据!$D1103="","",T(原始经营数据!$J1103))</f>
        <v>万元</v>
      </c>
      <c r="G1102" t="str">
        <f>IF(原始经营数据!$D1103="","",T(原始经营数据!$K1103))</f>
        <v>固定租金收入</v>
      </c>
      <c r="H1102" t="str">
        <f>IF(原始经营数据!$D1103="","",原始经营数据!$G1103)</f>
        <v>服务金额</v>
      </c>
      <c r="I1102" t="str">
        <f>IF($A1102="","",IF($B1102&lt;&gt;"",$B1102,IF(COUNTIFS(原始经营数据!$D$3:$D$3001,$A1102,原始经营数据!$E$3:$E$3001,"",原始经营数据!$F$3:$F$3001,$C1102,原始经营数据!$H$3:$H$3001,$D1102,原始经营数据!$K$3:$K$3001,$G1102)&gt;1,"基金整体·来源"&amp;原始经营数据!$A1103,"基金整体")))</f>
        <v>广州云尚项目</v>
      </c>
      <c r="J1102" t="str">
        <f t="shared" si="258"/>
        <v>年度</v>
      </c>
      <c r="K1102" t="str">
        <f t="shared" si="259"/>
        <v>营业收入（考虑租金减免，不含税）-固定租金收入（万元）</v>
      </c>
      <c r="L1102" t="str">
        <f t="shared" si="260"/>
        <v>广州云尚项目|营业收入（考虑租金减免，不含税）-固定租金收入（万元）|年度</v>
      </c>
      <c r="M1102">
        <f>IF($A1102="",0,IF(COUNTIF($L$2:$L1102,$L1102)=1,1,0))</f>
        <v>0</v>
      </c>
      <c r="N1102">
        <f t="shared" si="261"/>
        <v>20240</v>
      </c>
      <c r="O1102" t="str">
        <f t="shared" si="262"/>
        <v>华夏凯德消费封闭式基础设施证券投资基金|2024|年度</v>
      </c>
      <c r="P1102">
        <f>IF($A1102="",0,IF(COUNTIF($O$2:$O1102,$O1102)=1,1,0))</f>
        <v>0</v>
      </c>
      <c r="Q1102" t="str">
        <f>IF(AND($P1102=1,$A1102=经营数据!$B$3,$J1102=经营数据!$BA$5),COUNTIFS($P$2:$P$3000,1,$A$2:$A$3000,$A1102,$J$2:$J$3000,$J1102,$N$2:$N$3000,"&lt;"&amp;$N1102)+1,"")</f>
        <v/>
      </c>
      <c r="R1102" t="str">
        <f t="shared" si="263"/>
        <v>华夏凯德消费封闭式基础设施证券投资基金|广州云尚项目</v>
      </c>
      <c r="S1102">
        <f>IF($A1102="",0,IF(COUNTIF($R$2:$R1102,$R1102)=1,1,0))</f>
        <v>0</v>
      </c>
      <c r="T1102">
        <f t="shared" si="264"/>
        <v>1048</v>
      </c>
      <c r="U1102" t="str">
        <f>IF($A1102="","",IF($A1102=经营数据!$B$3,COUNTIFS($S$2:$S$3000,1,$A$2:$A$3000,$A1102,$T$2:$T$3000,"&lt;"&amp;$T1102)+1,""))</f>
        <v/>
      </c>
      <c r="V1102" t="str">
        <f t="shared" si="265"/>
        <v>广州云尚项目|服务金额</v>
      </c>
      <c r="W1102">
        <f t="shared" si="266"/>
        <v>1050</v>
      </c>
      <c r="X1102" t="str">
        <f t="shared" si="267"/>
        <v>广州云尚项目|营业收入（考虑租金减免，不含税）</v>
      </c>
      <c r="Y1102">
        <f t="shared" si="268"/>
        <v>1050</v>
      </c>
      <c r="Z1102">
        <f>IF($A1102="",0,IF(AND($M1102=1,$A1102=经营数据!$B$3,$J1102=经营数据!$BA$5,OR($I1102=经营数据!$BA$4,COUNTIF(经营数据!$AA$9:$AA$38,$I1102)&gt;0)),1,0))</f>
        <v>0</v>
      </c>
      <c r="AA1102" t="str">
        <f t="shared" si="269"/>
        <v/>
      </c>
      <c r="AB1102" t="str">
        <f t="shared" si="270"/>
        <v/>
      </c>
      <c r="AC1102">
        <f>IF($A1102="",0,IF(COUNTIF($A$2:$A1102,$A1102)=1,1,0))</f>
        <v>0</v>
      </c>
      <c r="AD1102">
        <f t="shared" si="271"/>
        <v>10</v>
      </c>
      <c r="AE1102" t="str">
        <f t="shared" si="272"/>
        <v>广州云尚项目|营业收入（考虑租金减免，不含税）-固定租金收入（万元）</v>
      </c>
    </row>
    <row r="1103" spans="1:31" x14ac:dyDescent="0.4">
      <c r="A1103" t="str">
        <f>IF(原始经营数据!$D1104="","",原始经营数据!$D1104)</f>
        <v>华夏凯德消费封闭式基础设施证券投资基金</v>
      </c>
      <c r="B1103" t="str">
        <f>IF(原始经营数据!$D1104="","",T(原始经营数据!$E1104))</f>
        <v>广州云尚项目</v>
      </c>
      <c r="C1103" t="str">
        <f>IF(原始经营数据!$D1104="","",原始经营数据!$F1104)</f>
        <v>2025Q4</v>
      </c>
      <c r="D1103" t="str">
        <f>IF(原始经营数据!$D1104="","",原始经营数据!$H1104)</f>
        <v>期末可供出租面积</v>
      </c>
      <c r="E1103">
        <f>IF(原始经营数据!$D1104="","",原始经营数据!$I1104)</f>
        <v>44835.21</v>
      </c>
      <c r="F1103" t="str">
        <f>IF(原始经营数据!$D1104="","",T(原始经营数据!$J1104))</f>
        <v>平方米</v>
      </c>
      <c r="G1103" t="str">
        <f>IF(原始经营数据!$D1104="","",T(原始经营数据!$K1104))</f>
        <v/>
      </c>
      <c r="H1103" t="str">
        <f>IF(原始经营数据!$D1104="","",原始经营数据!$G1104)</f>
        <v>服务量</v>
      </c>
      <c r="I1103" t="str">
        <f>IF($A1103="","",IF($B1103&lt;&gt;"",$B1103,IF(COUNTIFS(原始经营数据!$D$3:$D$3001,$A1103,原始经营数据!$E$3:$E$3001,"",原始经营数据!$F$3:$F$3001,$C1103,原始经营数据!$H$3:$H$3001,$D1103,原始经营数据!$K$3:$K$3001,$G1103)&gt;1,"基金整体·来源"&amp;原始经营数据!$A1104,"基金整体")))</f>
        <v>广州云尚项目</v>
      </c>
      <c r="J1103" t="str">
        <f t="shared" si="258"/>
        <v>季度</v>
      </c>
      <c r="K1103" t="str">
        <f t="shared" si="259"/>
        <v>期末可供出租面积（平方米）</v>
      </c>
      <c r="L1103" t="str">
        <f t="shared" si="260"/>
        <v>广州云尚项目|期末可供出租面积（平方米）|季度</v>
      </c>
      <c r="M1103">
        <f>IF($A1103="",0,IF(COUNTIF($L$2:$L1103,$L1103)=1,1,0))</f>
        <v>1</v>
      </c>
      <c r="N1103">
        <f t="shared" si="261"/>
        <v>20254</v>
      </c>
      <c r="O1103" t="str">
        <f t="shared" si="262"/>
        <v>华夏凯德消费封闭式基础设施证券投资基金|2025Q4|季度</v>
      </c>
      <c r="P1103">
        <f>IF($A1103="",0,IF(COUNTIF($O$2:$O1103,$O1103)=1,1,0))</f>
        <v>0</v>
      </c>
      <c r="Q1103" t="str">
        <f>IF(AND($P1103=1,$A1103=经营数据!$B$3,$J1103=经营数据!$BA$5),COUNTIFS($P$2:$P$3000,1,$A$2:$A$3000,$A1103,$J$2:$J$3000,$J1103,$N$2:$N$3000,"&lt;"&amp;$N1103)+1,"")</f>
        <v/>
      </c>
      <c r="R1103" t="str">
        <f t="shared" si="263"/>
        <v>华夏凯德消费封闭式基础设施证券投资基金|广州云尚项目</v>
      </c>
      <c r="S1103">
        <f>IF($A1103="",0,IF(COUNTIF($R$2:$R1103,$R1103)=1,1,0))</f>
        <v>0</v>
      </c>
      <c r="T1103">
        <f t="shared" si="264"/>
        <v>1048</v>
      </c>
      <c r="U1103" t="str">
        <f>IF($A1103="","",IF($A1103=经营数据!$B$3,COUNTIFS($S$2:$S$3000,1,$A$2:$A$3000,$A1103,$T$2:$T$3000,"&lt;"&amp;$T1103)+1,""))</f>
        <v/>
      </c>
      <c r="V1103" t="str">
        <f t="shared" si="265"/>
        <v>广州云尚项目|服务量</v>
      </c>
      <c r="W1103">
        <f t="shared" si="266"/>
        <v>1048</v>
      </c>
      <c r="X1103" t="str">
        <f t="shared" si="267"/>
        <v>广州云尚项目|期末可供出租面积</v>
      </c>
      <c r="Y1103">
        <f t="shared" si="268"/>
        <v>1102</v>
      </c>
      <c r="Z1103">
        <f>IF($A1103="",0,IF(AND($M1103=1,$A1103=经营数据!$B$3,$J1103=经营数据!$BA$5,OR($I1103=经营数据!$BA$4,COUNTIF(经营数据!$AA$9:$AA$38,$I1103)&gt;0)),1,0))</f>
        <v>0</v>
      </c>
      <c r="AA1103" t="str">
        <f t="shared" si="269"/>
        <v/>
      </c>
      <c r="AB1103" t="str">
        <f t="shared" si="270"/>
        <v/>
      </c>
      <c r="AC1103">
        <f>IF($A1103="",0,IF(COUNTIF($A$2:$A1103,$A1103)=1,1,0))</f>
        <v>0</v>
      </c>
      <c r="AD1103">
        <f t="shared" si="271"/>
        <v>10</v>
      </c>
      <c r="AE1103" t="str">
        <f t="shared" si="272"/>
        <v>广州云尚项目|期末可供出租面积（平方米）</v>
      </c>
    </row>
    <row r="1104" spans="1:31" x14ac:dyDescent="0.4">
      <c r="A1104" t="str">
        <f>IF(原始经营数据!$D1105="","",原始经营数据!$D1105)</f>
        <v>华夏凯德消费封闭式基础设施证券投资基金</v>
      </c>
      <c r="B1104" t="str">
        <f>IF(原始经营数据!$D1105="","",T(原始经营数据!$E1105))</f>
        <v>广州云尚项目</v>
      </c>
      <c r="C1104" t="str">
        <f>IF(原始经营数据!$D1105="","",原始经营数据!$F1105)</f>
        <v>2025Q4</v>
      </c>
      <c r="D1104" t="str">
        <f>IF(原始经营数据!$D1105="","",原始经营数据!$H1105)</f>
        <v>期末实际出租面积</v>
      </c>
      <c r="E1104">
        <f>IF(原始经营数据!$D1105="","",原始经营数据!$I1105)</f>
        <v>44118.74</v>
      </c>
      <c r="F1104" t="str">
        <f>IF(原始经营数据!$D1105="","",T(原始经营数据!$J1105))</f>
        <v>平方米</v>
      </c>
      <c r="G1104" t="str">
        <f>IF(原始经营数据!$D1105="","",T(原始经营数据!$K1105))</f>
        <v/>
      </c>
      <c r="H1104" t="str">
        <f>IF(原始经营数据!$D1105="","",原始经营数据!$G1105)</f>
        <v>服务量</v>
      </c>
      <c r="I1104" t="str">
        <f>IF($A1104="","",IF($B1104&lt;&gt;"",$B1104,IF(COUNTIFS(原始经营数据!$D$3:$D$3001,$A1104,原始经营数据!$E$3:$E$3001,"",原始经营数据!$F$3:$F$3001,$C1104,原始经营数据!$H$3:$H$3001,$D1104,原始经营数据!$K$3:$K$3001,$G1104)&gt;1,"基金整体·来源"&amp;原始经营数据!$A1105,"基金整体")))</f>
        <v>广州云尚项目</v>
      </c>
      <c r="J1104" t="str">
        <f t="shared" si="258"/>
        <v>季度</v>
      </c>
      <c r="K1104" t="str">
        <f t="shared" si="259"/>
        <v>期末实际出租面积（平方米）</v>
      </c>
      <c r="L1104" t="str">
        <f t="shared" si="260"/>
        <v>广州云尚项目|期末实际出租面积（平方米）|季度</v>
      </c>
      <c r="M1104">
        <f>IF($A1104="",0,IF(COUNTIF($L$2:$L1104,$L1104)=1,1,0))</f>
        <v>1</v>
      </c>
      <c r="N1104">
        <f t="shared" si="261"/>
        <v>20254</v>
      </c>
      <c r="O1104" t="str">
        <f t="shared" si="262"/>
        <v>华夏凯德消费封闭式基础设施证券投资基金|2025Q4|季度</v>
      </c>
      <c r="P1104">
        <f>IF($A1104="",0,IF(COUNTIF($O$2:$O1104,$O1104)=1,1,0))</f>
        <v>0</v>
      </c>
      <c r="Q1104" t="str">
        <f>IF(AND($P1104=1,$A1104=经营数据!$B$3,$J1104=经营数据!$BA$5),COUNTIFS($P$2:$P$3000,1,$A$2:$A$3000,$A1104,$J$2:$J$3000,$J1104,$N$2:$N$3000,"&lt;"&amp;$N1104)+1,"")</f>
        <v/>
      </c>
      <c r="R1104" t="str">
        <f t="shared" si="263"/>
        <v>华夏凯德消费封闭式基础设施证券投资基金|广州云尚项目</v>
      </c>
      <c r="S1104">
        <f>IF($A1104="",0,IF(COUNTIF($R$2:$R1104,$R1104)=1,1,0))</f>
        <v>0</v>
      </c>
      <c r="T1104">
        <f t="shared" si="264"/>
        <v>1048</v>
      </c>
      <c r="U1104" t="str">
        <f>IF($A1104="","",IF($A1104=经营数据!$B$3,COUNTIFS($S$2:$S$3000,1,$A$2:$A$3000,$A1104,$T$2:$T$3000,"&lt;"&amp;$T1104)+1,""))</f>
        <v/>
      </c>
      <c r="V1104" t="str">
        <f t="shared" si="265"/>
        <v>广州云尚项目|服务量</v>
      </c>
      <c r="W1104">
        <f t="shared" si="266"/>
        <v>1048</v>
      </c>
      <c r="X1104" t="str">
        <f t="shared" si="267"/>
        <v>广州云尚项目|期末实际出租面积</v>
      </c>
      <c r="Y1104">
        <f t="shared" si="268"/>
        <v>1103</v>
      </c>
      <c r="Z1104">
        <f>IF($A1104="",0,IF(AND($M1104=1,$A1104=经营数据!$B$3,$J1104=经营数据!$BA$5,OR($I1104=经营数据!$BA$4,COUNTIF(经营数据!$AA$9:$AA$38,$I1104)&gt;0)),1,0))</f>
        <v>0</v>
      </c>
      <c r="AA1104" t="str">
        <f t="shared" si="269"/>
        <v/>
      </c>
      <c r="AB1104" t="str">
        <f t="shared" si="270"/>
        <v/>
      </c>
      <c r="AC1104">
        <f>IF($A1104="",0,IF(COUNTIF($A$2:$A1104,$A1104)=1,1,0))</f>
        <v>0</v>
      </c>
      <c r="AD1104">
        <f t="shared" si="271"/>
        <v>10</v>
      </c>
      <c r="AE1104" t="str">
        <f t="shared" si="272"/>
        <v>广州云尚项目|期末实际出租面积（平方米）</v>
      </c>
    </row>
    <row r="1105" spans="1:31" x14ac:dyDescent="0.4">
      <c r="A1105" t="str">
        <f>IF(原始经营数据!$D1106="","",原始经营数据!$D1106)</f>
        <v>华夏凯德消费封闭式基础设施证券投资基金</v>
      </c>
      <c r="B1105" t="str">
        <f>IF(原始经营数据!$D1106="","",T(原始经营数据!$E1106))</f>
        <v>广州云尚项目</v>
      </c>
      <c r="C1105" t="str">
        <f>IF(原始经营数据!$D1106="","",原始经营数据!$F1106)</f>
        <v>2025Q4</v>
      </c>
      <c r="D1105" t="str">
        <f>IF(原始经营数据!$D1106="","",原始经营数据!$H1106)</f>
        <v>期末出租率</v>
      </c>
      <c r="E1105">
        <f>IF(原始经营数据!$D1106="","",原始经营数据!$I1106)</f>
        <v>98.4</v>
      </c>
      <c r="F1105" t="str">
        <f>IF(原始经营数据!$D1106="","",T(原始经营数据!$J1106))</f>
        <v>%</v>
      </c>
      <c r="G1105" t="str">
        <f>IF(原始经营数据!$D1106="","",T(原始经营数据!$K1106))</f>
        <v/>
      </c>
      <c r="H1105" t="str">
        <f>IF(原始经营数据!$D1106="","",原始经营数据!$G1106)</f>
        <v>服务效率</v>
      </c>
      <c r="I1105" t="str">
        <f>IF($A1105="","",IF($B1105&lt;&gt;"",$B1105,IF(COUNTIFS(原始经营数据!$D$3:$D$3001,$A1105,原始经营数据!$E$3:$E$3001,"",原始经营数据!$F$3:$F$3001,$C1105,原始经营数据!$H$3:$H$3001,$D1105,原始经营数据!$K$3:$K$3001,$G1105)&gt;1,"基金整体·来源"&amp;原始经营数据!$A1106,"基金整体")))</f>
        <v>广州云尚项目</v>
      </c>
      <c r="J1105" t="str">
        <f t="shared" si="258"/>
        <v>季度</v>
      </c>
      <c r="K1105" t="str">
        <f t="shared" si="259"/>
        <v>期末出租率（%）</v>
      </c>
      <c r="L1105" t="str">
        <f t="shared" si="260"/>
        <v>广州云尚项目|期末出租率（%）|季度</v>
      </c>
      <c r="M1105">
        <f>IF($A1105="",0,IF(COUNTIF($L$2:$L1105,$L1105)=1,1,0))</f>
        <v>1</v>
      </c>
      <c r="N1105">
        <f t="shared" si="261"/>
        <v>20254</v>
      </c>
      <c r="O1105" t="str">
        <f t="shared" si="262"/>
        <v>华夏凯德消费封闭式基础设施证券投资基金|2025Q4|季度</v>
      </c>
      <c r="P1105">
        <f>IF($A1105="",0,IF(COUNTIF($O$2:$O1105,$O1105)=1,1,0))</f>
        <v>0</v>
      </c>
      <c r="Q1105" t="str">
        <f>IF(AND($P1105=1,$A1105=经营数据!$B$3,$J1105=经营数据!$BA$5),COUNTIFS($P$2:$P$3000,1,$A$2:$A$3000,$A1105,$J$2:$J$3000,$J1105,$N$2:$N$3000,"&lt;"&amp;$N1105)+1,"")</f>
        <v/>
      </c>
      <c r="R1105" t="str">
        <f t="shared" si="263"/>
        <v>华夏凯德消费封闭式基础设施证券投资基金|广州云尚项目</v>
      </c>
      <c r="S1105">
        <f>IF($A1105="",0,IF(COUNTIF($R$2:$R1105,$R1105)=1,1,0))</f>
        <v>0</v>
      </c>
      <c r="T1105">
        <f t="shared" si="264"/>
        <v>1048</v>
      </c>
      <c r="U1105" t="str">
        <f>IF($A1105="","",IF($A1105=经营数据!$B$3,COUNTIFS($S$2:$S$3000,1,$A$2:$A$3000,$A1105,$T$2:$T$3000,"&lt;"&amp;$T1105)+1,""))</f>
        <v/>
      </c>
      <c r="V1105" t="str">
        <f t="shared" si="265"/>
        <v>广州云尚项目|服务效率</v>
      </c>
      <c r="W1105">
        <f t="shared" si="266"/>
        <v>1055</v>
      </c>
      <c r="X1105" t="str">
        <f t="shared" si="267"/>
        <v>广州云尚项目|期末出租率</v>
      </c>
      <c r="Y1105">
        <f t="shared" si="268"/>
        <v>1104</v>
      </c>
      <c r="Z1105">
        <f>IF($A1105="",0,IF(AND($M1105=1,$A1105=经营数据!$B$3,$J1105=经营数据!$BA$5,OR($I1105=经营数据!$BA$4,COUNTIF(经营数据!$AA$9:$AA$38,$I1105)&gt;0)),1,0))</f>
        <v>0</v>
      </c>
      <c r="AA1105" t="str">
        <f t="shared" si="269"/>
        <v/>
      </c>
      <c r="AB1105" t="str">
        <f t="shared" si="270"/>
        <v/>
      </c>
      <c r="AC1105">
        <f>IF($A1105="",0,IF(COUNTIF($A$2:$A1105,$A1105)=1,1,0))</f>
        <v>0</v>
      </c>
      <c r="AD1105">
        <f t="shared" si="271"/>
        <v>10</v>
      </c>
      <c r="AE1105" t="str">
        <f t="shared" si="272"/>
        <v>广州云尚项目|期末出租率（%）</v>
      </c>
    </row>
    <row r="1106" spans="1:31" x14ac:dyDescent="0.4">
      <c r="A1106" t="str">
        <f>IF(原始经营数据!$D1107="","",原始经营数据!$D1107)</f>
        <v>华夏凯德消费封闭式基础设施证券投资基金</v>
      </c>
      <c r="B1106" t="str">
        <f>IF(原始经营数据!$D1107="","",T(原始经营数据!$E1107))</f>
        <v>广州云尚项目</v>
      </c>
      <c r="C1106" t="str">
        <f>IF(原始经营数据!$D1107="","",原始经营数据!$F1107)</f>
        <v>2025Q4</v>
      </c>
      <c r="D1106" t="str">
        <f>IF(原始经营数据!$D1107="","",原始经营数据!$H1107)</f>
        <v>期内租金单价水平</v>
      </c>
      <c r="E1106">
        <f>IF(原始经营数据!$D1107="","",原始经营数据!$I1107)</f>
        <v>267.45</v>
      </c>
      <c r="F1106" t="str">
        <f>IF(原始经营数据!$D1107="","",T(原始经营数据!$J1107))</f>
        <v>元/平方米/月</v>
      </c>
      <c r="G1106" t="str">
        <f>IF(原始经营数据!$D1107="","",T(原始经营数据!$K1107))</f>
        <v/>
      </c>
      <c r="H1106" t="str">
        <f>IF(原始经营数据!$D1107="","",原始经营数据!$G1107)</f>
        <v>服务价格</v>
      </c>
      <c r="I1106" t="str">
        <f>IF($A1106="","",IF($B1106&lt;&gt;"",$B1106,IF(COUNTIFS(原始经营数据!$D$3:$D$3001,$A1106,原始经营数据!$E$3:$E$3001,"",原始经营数据!$F$3:$F$3001,$C1106,原始经营数据!$H$3:$H$3001,$D1106,原始经营数据!$K$3:$K$3001,$G1106)&gt;1,"基金整体·来源"&amp;原始经营数据!$A1107,"基金整体")))</f>
        <v>广州云尚项目</v>
      </c>
      <c r="J1106" t="str">
        <f t="shared" si="258"/>
        <v>季度</v>
      </c>
      <c r="K1106" t="str">
        <f t="shared" si="259"/>
        <v>期内租金单价水平（元/平方米/月）</v>
      </c>
      <c r="L1106" t="str">
        <f t="shared" si="260"/>
        <v>广州云尚项目|期内租金单价水平（元/平方米/月）|季度</v>
      </c>
      <c r="M1106">
        <f>IF($A1106="",0,IF(COUNTIF($L$2:$L1106,$L1106)=1,1,0))</f>
        <v>1</v>
      </c>
      <c r="N1106">
        <f t="shared" si="261"/>
        <v>20254</v>
      </c>
      <c r="O1106" t="str">
        <f t="shared" si="262"/>
        <v>华夏凯德消费封闭式基础设施证券投资基金|2025Q4|季度</v>
      </c>
      <c r="P1106">
        <f>IF($A1106="",0,IF(COUNTIF($O$2:$O1106,$O1106)=1,1,0))</f>
        <v>0</v>
      </c>
      <c r="Q1106" t="str">
        <f>IF(AND($P1106=1,$A1106=经营数据!$B$3,$J1106=经营数据!$BA$5),COUNTIFS($P$2:$P$3000,1,$A$2:$A$3000,$A1106,$J$2:$J$3000,$J1106,$N$2:$N$3000,"&lt;"&amp;$N1106)+1,"")</f>
        <v/>
      </c>
      <c r="R1106" t="str">
        <f t="shared" si="263"/>
        <v>华夏凯德消费封闭式基础设施证券投资基金|广州云尚项目</v>
      </c>
      <c r="S1106">
        <f>IF($A1106="",0,IF(COUNTIF($R$2:$R1106,$R1106)=1,1,0))</f>
        <v>0</v>
      </c>
      <c r="T1106">
        <f t="shared" si="264"/>
        <v>1048</v>
      </c>
      <c r="U1106" t="str">
        <f>IF($A1106="","",IF($A1106=经营数据!$B$3,COUNTIFS($S$2:$S$3000,1,$A$2:$A$3000,$A1106,$T$2:$T$3000,"&lt;"&amp;$T1106)+1,""))</f>
        <v/>
      </c>
      <c r="V1106" t="str">
        <f t="shared" si="265"/>
        <v>广州云尚项目|服务价格</v>
      </c>
      <c r="W1106">
        <f t="shared" si="266"/>
        <v>1052</v>
      </c>
      <c r="X1106" t="str">
        <f t="shared" si="267"/>
        <v>广州云尚项目|期内租金单价水平</v>
      </c>
      <c r="Y1106">
        <f t="shared" si="268"/>
        <v>1105</v>
      </c>
      <c r="Z1106">
        <f>IF($A1106="",0,IF(AND($M1106=1,$A1106=经营数据!$B$3,$J1106=经营数据!$BA$5,OR($I1106=经营数据!$BA$4,COUNTIF(经营数据!$AA$9:$AA$38,$I1106)&gt;0)),1,0))</f>
        <v>0</v>
      </c>
      <c r="AA1106" t="str">
        <f t="shared" si="269"/>
        <v/>
      </c>
      <c r="AB1106" t="str">
        <f t="shared" si="270"/>
        <v/>
      </c>
      <c r="AC1106">
        <f>IF($A1106="",0,IF(COUNTIF($A$2:$A1106,$A1106)=1,1,0))</f>
        <v>0</v>
      </c>
      <c r="AD1106">
        <f t="shared" si="271"/>
        <v>10</v>
      </c>
      <c r="AE1106" t="str">
        <f t="shared" si="272"/>
        <v>广州云尚项目|期内租金单价水平（元/平方米/月）</v>
      </c>
    </row>
    <row r="1107" spans="1:31" x14ac:dyDescent="0.4">
      <c r="A1107" t="str">
        <f>IF(原始经营数据!$D1108="","",原始经营数据!$D1108)</f>
        <v>华夏凯德消费封闭式基础设施证券投资基金</v>
      </c>
      <c r="B1107" t="str">
        <f>IF(原始经营数据!$D1108="","",T(原始经营数据!$E1108))</f>
        <v>广州云尚项目</v>
      </c>
      <c r="C1107" t="str">
        <f>IF(原始经营数据!$D1108="","",原始经营数据!$F1108)</f>
        <v>2025Q4</v>
      </c>
      <c r="D1107" t="str">
        <f>IF(原始经营数据!$D1108="","",原始经营数据!$H1108)</f>
        <v>期末剩余租期情况</v>
      </c>
      <c r="E1107">
        <f>IF(原始经营数据!$D1108="","",原始经营数据!$I1108)</f>
        <v>1.87</v>
      </c>
      <c r="F1107" t="str">
        <f>IF(原始经营数据!$D1108="","",T(原始经营数据!$J1108))</f>
        <v>年</v>
      </c>
      <c r="G1107" t="str">
        <f>IF(原始经营数据!$D1108="","",T(原始经营数据!$K1108))</f>
        <v/>
      </c>
      <c r="H1107" t="str">
        <f>IF(原始经营数据!$D1108="","",原始经营数据!$G1108)</f>
        <v>服务量</v>
      </c>
      <c r="I1107" t="str">
        <f>IF($A1107="","",IF($B1107&lt;&gt;"",$B1107,IF(COUNTIFS(原始经营数据!$D$3:$D$3001,$A1107,原始经营数据!$E$3:$E$3001,"",原始经营数据!$F$3:$F$3001,$C1107,原始经营数据!$H$3:$H$3001,$D1107,原始经营数据!$K$3:$K$3001,$G1107)&gt;1,"基金整体·来源"&amp;原始经营数据!$A1108,"基金整体")))</f>
        <v>广州云尚项目</v>
      </c>
      <c r="J1107" t="str">
        <f t="shared" si="258"/>
        <v>季度</v>
      </c>
      <c r="K1107" t="str">
        <f t="shared" si="259"/>
        <v>期末剩余租期情况（年）</v>
      </c>
      <c r="L1107" t="str">
        <f t="shared" si="260"/>
        <v>广州云尚项目|期末剩余租期情况（年）|季度</v>
      </c>
      <c r="M1107">
        <f>IF($A1107="",0,IF(COUNTIF($L$2:$L1107,$L1107)=1,1,0))</f>
        <v>1</v>
      </c>
      <c r="N1107">
        <f t="shared" si="261"/>
        <v>20254</v>
      </c>
      <c r="O1107" t="str">
        <f t="shared" si="262"/>
        <v>华夏凯德消费封闭式基础设施证券投资基金|2025Q4|季度</v>
      </c>
      <c r="P1107">
        <f>IF($A1107="",0,IF(COUNTIF($O$2:$O1107,$O1107)=1,1,0))</f>
        <v>0</v>
      </c>
      <c r="Q1107" t="str">
        <f>IF(AND($P1107=1,$A1107=经营数据!$B$3,$J1107=经营数据!$BA$5),COUNTIFS($P$2:$P$3000,1,$A$2:$A$3000,$A1107,$J$2:$J$3000,$J1107,$N$2:$N$3000,"&lt;"&amp;$N1107)+1,"")</f>
        <v/>
      </c>
      <c r="R1107" t="str">
        <f t="shared" si="263"/>
        <v>华夏凯德消费封闭式基础设施证券投资基金|广州云尚项目</v>
      </c>
      <c r="S1107">
        <f>IF($A1107="",0,IF(COUNTIF($R$2:$R1107,$R1107)=1,1,0))</f>
        <v>0</v>
      </c>
      <c r="T1107">
        <f t="shared" si="264"/>
        <v>1048</v>
      </c>
      <c r="U1107" t="str">
        <f>IF($A1107="","",IF($A1107=经营数据!$B$3,COUNTIFS($S$2:$S$3000,1,$A$2:$A$3000,$A1107,$T$2:$T$3000,"&lt;"&amp;$T1107)+1,""))</f>
        <v/>
      </c>
      <c r="V1107" t="str">
        <f t="shared" si="265"/>
        <v>广州云尚项目|服务量</v>
      </c>
      <c r="W1107">
        <f t="shared" si="266"/>
        <v>1048</v>
      </c>
      <c r="X1107" t="str">
        <f t="shared" si="267"/>
        <v>广州云尚项目|期末剩余租期情况</v>
      </c>
      <c r="Y1107">
        <f t="shared" si="268"/>
        <v>1106</v>
      </c>
      <c r="Z1107">
        <f>IF($A1107="",0,IF(AND($M1107=1,$A1107=经营数据!$B$3,$J1107=经营数据!$BA$5,OR($I1107=经营数据!$BA$4,COUNTIF(经营数据!$AA$9:$AA$38,$I1107)&gt;0)),1,0))</f>
        <v>0</v>
      </c>
      <c r="AA1107" t="str">
        <f t="shared" si="269"/>
        <v/>
      </c>
      <c r="AB1107" t="str">
        <f t="shared" si="270"/>
        <v/>
      </c>
      <c r="AC1107">
        <f>IF($A1107="",0,IF(COUNTIF($A$2:$A1107,$A1107)=1,1,0))</f>
        <v>0</v>
      </c>
      <c r="AD1107">
        <f t="shared" si="271"/>
        <v>10</v>
      </c>
      <c r="AE1107" t="str">
        <f t="shared" si="272"/>
        <v>广州云尚项目|期末剩余租期情况（年）</v>
      </c>
    </row>
    <row r="1108" spans="1:31" x14ac:dyDescent="0.4">
      <c r="A1108" t="str">
        <f>IF(原始经营数据!$D1109="","",原始经营数据!$D1109)</f>
        <v>华夏凯德消费封闭式基础设施证券投资基金</v>
      </c>
      <c r="B1108" t="str">
        <f>IF(原始经营数据!$D1109="","",T(原始经营数据!$E1109))</f>
        <v>广州云尚项目</v>
      </c>
      <c r="C1108" t="str">
        <f>IF(原始经营数据!$D1109="","",原始经营数据!$F1109)</f>
        <v>2025Q4</v>
      </c>
      <c r="D1108" t="str">
        <f>IF(原始经营数据!$D1109="","",原始经营数据!$H1109)</f>
        <v>期末租金收缴率</v>
      </c>
      <c r="E1108">
        <f>IF(原始经营数据!$D1109="","",原始经营数据!$I1109)</f>
        <v>99.28</v>
      </c>
      <c r="F1108" t="str">
        <f>IF(原始经营数据!$D1109="","",T(原始经营数据!$J1109))</f>
        <v>%</v>
      </c>
      <c r="G1108" t="str">
        <f>IF(原始经营数据!$D1109="","",T(原始经营数据!$K1109))</f>
        <v/>
      </c>
      <c r="H1108" t="str">
        <f>IF(原始经营数据!$D1109="","",原始经营数据!$G1109)</f>
        <v>服务效率</v>
      </c>
      <c r="I1108" t="str">
        <f>IF($A1108="","",IF($B1108&lt;&gt;"",$B1108,IF(COUNTIFS(原始经营数据!$D$3:$D$3001,$A1108,原始经营数据!$E$3:$E$3001,"",原始经营数据!$F$3:$F$3001,$C1108,原始经营数据!$H$3:$H$3001,$D1108,原始经营数据!$K$3:$K$3001,$G1108)&gt;1,"基金整体·来源"&amp;原始经营数据!$A1109,"基金整体")))</f>
        <v>广州云尚项目</v>
      </c>
      <c r="J1108" t="str">
        <f t="shared" si="258"/>
        <v>季度</v>
      </c>
      <c r="K1108" t="str">
        <f t="shared" si="259"/>
        <v>期末租金收缴率（%）</v>
      </c>
      <c r="L1108" t="str">
        <f t="shared" si="260"/>
        <v>广州云尚项目|期末租金收缴率（%）|季度</v>
      </c>
      <c r="M1108">
        <f>IF($A1108="",0,IF(COUNTIF($L$2:$L1108,$L1108)=1,1,0))</f>
        <v>1</v>
      </c>
      <c r="N1108">
        <f t="shared" si="261"/>
        <v>20254</v>
      </c>
      <c r="O1108" t="str">
        <f t="shared" si="262"/>
        <v>华夏凯德消费封闭式基础设施证券投资基金|2025Q4|季度</v>
      </c>
      <c r="P1108">
        <f>IF($A1108="",0,IF(COUNTIF($O$2:$O1108,$O1108)=1,1,0))</f>
        <v>0</v>
      </c>
      <c r="Q1108" t="str">
        <f>IF(AND($P1108=1,$A1108=经营数据!$B$3,$J1108=经营数据!$BA$5),COUNTIFS($P$2:$P$3000,1,$A$2:$A$3000,$A1108,$J$2:$J$3000,$J1108,$N$2:$N$3000,"&lt;"&amp;$N1108)+1,"")</f>
        <v/>
      </c>
      <c r="R1108" t="str">
        <f t="shared" si="263"/>
        <v>华夏凯德消费封闭式基础设施证券投资基金|广州云尚项目</v>
      </c>
      <c r="S1108">
        <f>IF($A1108="",0,IF(COUNTIF($R$2:$R1108,$R1108)=1,1,0))</f>
        <v>0</v>
      </c>
      <c r="T1108">
        <f t="shared" si="264"/>
        <v>1048</v>
      </c>
      <c r="U1108" t="str">
        <f>IF($A1108="","",IF($A1108=经营数据!$B$3,COUNTIFS($S$2:$S$3000,1,$A$2:$A$3000,$A1108,$T$2:$T$3000,"&lt;"&amp;$T1108)+1,""))</f>
        <v/>
      </c>
      <c r="V1108" t="str">
        <f t="shared" si="265"/>
        <v>广州云尚项目|服务效率</v>
      </c>
      <c r="W1108">
        <f t="shared" si="266"/>
        <v>1055</v>
      </c>
      <c r="X1108" t="str">
        <f t="shared" si="267"/>
        <v>广州云尚项目|期末租金收缴率</v>
      </c>
      <c r="Y1108">
        <f t="shared" si="268"/>
        <v>1107</v>
      </c>
      <c r="Z1108">
        <f>IF($A1108="",0,IF(AND($M1108=1,$A1108=经营数据!$B$3,$J1108=经营数据!$BA$5,OR($I1108=经营数据!$BA$4,COUNTIF(经营数据!$AA$9:$AA$38,$I1108)&gt;0)),1,0))</f>
        <v>0</v>
      </c>
      <c r="AA1108" t="str">
        <f t="shared" si="269"/>
        <v/>
      </c>
      <c r="AB1108" t="str">
        <f t="shared" si="270"/>
        <v/>
      </c>
      <c r="AC1108">
        <f>IF($A1108="",0,IF(COUNTIF($A$2:$A1108,$A1108)=1,1,0))</f>
        <v>0</v>
      </c>
      <c r="AD1108">
        <f t="shared" si="271"/>
        <v>10</v>
      </c>
      <c r="AE1108" t="str">
        <f t="shared" si="272"/>
        <v>广州云尚项目|期末租金收缴率（%）</v>
      </c>
    </row>
    <row r="1109" spans="1:31" x14ac:dyDescent="0.4">
      <c r="A1109" t="str">
        <f>IF(原始经营数据!$D1110="","",原始经营数据!$D1110)</f>
        <v>华夏凯德消费封闭式基础设施证券投资基金</v>
      </c>
      <c r="B1109" t="str">
        <f>IF(原始经营数据!$D1110="","",T(原始经营数据!$E1110))</f>
        <v>广州云尚项目</v>
      </c>
      <c r="C1109" t="str">
        <f>IF(原始经营数据!$D1110="","",原始经营数据!$F1110)</f>
        <v>2026Q1</v>
      </c>
      <c r="D1109" t="str">
        <f>IF(原始经营数据!$D1110="","",原始经营数据!$H1110)</f>
        <v>期末租金收缴率</v>
      </c>
      <c r="E1109">
        <f>IF(原始经营数据!$D1110="","",原始经营数据!$I1110)</f>
        <v>96.73</v>
      </c>
      <c r="F1109" t="str">
        <f>IF(原始经营数据!$D1110="","",T(原始经营数据!$J1110))</f>
        <v>%</v>
      </c>
      <c r="G1109" t="str">
        <f>IF(原始经营数据!$D1110="","",T(原始经营数据!$K1110))</f>
        <v/>
      </c>
      <c r="H1109" t="str">
        <f>IF(原始经营数据!$D1110="","",原始经营数据!$G1110)</f>
        <v>服务效率</v>
      </c>
      <c r="I1109" t="str">
        <f>IF($A1109="","",IF($B1109&lt;&gt;"",$B1109,IF(COUNTIFS(原始经营数据!$D$3:$D$3001,$A1109,原始经营数据!$E$3:$E$3001,"",原始经营数据!$F$3:$F$3001,$C1109,原始经营数据!$H$3:$H$3001,$D1109,原始经营数据!$K$3:$K$3001,$G1109)&gt;1,"基金整体·来源"&amp;原始经营数据!$A1110,"基金整体")))</f>
        <v>广州云尚项目</v>
      </c>
      <c r="J1109" t="str">
        <f t="shared" si="258"/>
        <v>季度</v>
      </c>
      <c r="K1109" t="str">
        <f t="shared" si="259"/>
        <v>期末租金收缴率（%）</v>
      </c>
      <c r="L1109" t="str">
        <f t="shared" si="260"/>
        <v>广州云尚项目|期末租金收缴率（%）|季度</v>
      </c>
      <c r="M1109">
        <f>IF($A1109="",0,IF(COUNTIF($L$2:$L1109,$L1109)=1,1,0))</f>
        <v>0</v>
      </c>
      <c r="N1109">
        <f t="shared" si="261"/>
        <v>20261</v>
      </c>
      <c r="O1109" t="str">
        <f t="shared" si="262"/>
        <v>华夏凯德消费封闭式基础设施证券投资基金|2026Q1|季度</v>
      </c>
      <c r="P1109">
        <f>IF($A1109="",0,IF(COUNTIF($O$2:$O1109,$O1109)=1,1,0))</f>
        <v>0</v>
      </c>
      <c r="Q1109" t="str">
        <f>IF(AND($P1109=1,$A1109=经营数据!$B$3,$J1109=经营数据!$BA$5),COUNTIFS($P$2:$P$3000,1,$A$2:$A$3000,$A1109,$J$2:$J$3000,$J1109,$N$2:$N$3000,"&lt;"&amp;$N1109)+1,"")</f>
        <v/>
      </c>
      <c r="R1109" t="str">
        <f t="shared" si="263"/>
        <v>华夏凯德消费封闭式基础设施证券投资基金|广州云尚项目</v>
      </c>
      <c r="S1109">
        <f>IF($A1109="",0,IF(COUNTIF($R$2:$R1109,$R1109)=1,1,0))</f>
        <v>0</v>
      </c>
      <c r="T1109">
        <f t="shared" si="264"/>
        <v>1048</v>
      </c>
      <c r="U1109" t="str">
        <f>IF($A1109="","",IF($A1109=经营数据!$B$3,COUNTIFS($S$2:$S$3000,1,$A$2:$A$3000,$A1109,$T$2:$T$3000,"&lt;"&amp;$T1109)+1,""))</f>
        <v/>
      </c>
      <c r="V1109" t="str">
        <f t="shared" si="265"/>
        <v>广州云尚项目|服务效率</v>
      </c>
      <c r="W1109">
        <f t="shared" si="266"/>
        <v>1055</v>
      </c>
      <c r="X1109" t="str">
        <f t="shared" si="267"/>
        <v>广州云尚项目|期末租金收缴率</v>
      </c>
      <c r="Y1109">
        <f t="shared" si="268"/>
        <v>1107</v>
      </c>
      <c r="Z1109">
        <f>IF($A1109="",0,IF(AND($M1109=1,$A1109=经营数据!$B$3,$J1109=经营数据!$BA$5,OR($I1109=经营数据!$BA$4,COUNTIF(经营数据!$AA$9:$AA$38,$I1109)&gt;0)),1,0))</f>
        <v>0</v>
      </c>
      <c r="AA1109" t="str">
        <f t="shared" si="269"/>
        <v/>
      </c>
      <c r="AB1109" t="str">
        <f t="shared" si="270"/>
        <v/>
      </c>
      <c r="AC1109">
        <f>IF($A1109="",0,IF(COUNTIF($A$2:$A1109,$A1109)=1,1,0))</f>
        <v>0</v>
      </c>
      <c r="AD1109">
        <f t="shared" si="271"/>
        <v>10</v>
      </c>
      <c r="AE1109" t="str">
        <f t="shared" si="272"/>
        <v>广州云尚项目|期末租金收缴率（%）</v>
      </c>
    </row>
    <row r="1110" spans="1:31" x14ac:dyDescent="0.4">
      <c r="A1110" t="str">
        <f>IF(原始经营数据!$D1111="","",原始经营数据!$D1111)</f>
        <v>华夏凯德消费封闭式基础设施证券投资基金</v>
      </c>
      <c r="B1110" t="str">
        <f>IF(原始经营数据!$D1111="","",T(原始经营数据!$E1111))</f>
        <v>广州云尚项目</v>
      </c>
      <c r="C1110" t="str">
        <f>IF(原始经营数据!$D1111="","",原始经营数据!$F1111)</f>
        <v>2026Q1</v>
      </c>
      <c r="D1110" t="str">
        <f>IF(原始经营数据!$D1111="","",原始经营数据!$H1111)</f>
        <v>期末可供出租面积</v>
      </c>
      <c r="E1110">
        <f>IF(原始经营数据!$D1111="","",原始经营数据!$I1111)</f>
        <v>44433.61</v>
      </c>
      <c r="F1110" t="str">
        <f>IF(原始经营数据!$D1111="","",T(原始经营数据!$J1111))</f>
        <v>平方米</v>
      </c>
      <c r="G1110" t="str">
        <f>IF(原始经营数据!$D1111="","",T(原始经营数据!$K1111))</f>
        <v/>
      </c>
      <c r="H1110" t="str">
        <f>IF(原始经营数据!$D1111="","",原始经营数据!$G1111)</f>
        <v>服务量</v>
      </c>
      <c r="I1110" t="str">
        <f>IF($A1110="","",IF($B1110&lt;&gt;"",$B1110,IF(COUNTIFS(原始经营数据!$D$3:$D$3001,$A1110,原始经营数据!$E$3:$E$3001,"",原始经营数据!$F$3:$F$3001,$C1110,原始经营数据!$H$3:$H$3001,$D1110,原始经营数据!$K$3:$K$3001,$G1110)&gt;1,"基金整体·来源"&amp;原始经营数据!$A1111,"基金整体")))</f>
        <v>广州云尚项目</v>
      </c>
      <c r="J1110" t="str">
        <f t="shared" si="258"/>
        <v>季度</v>
      </c>
      <c r="K1110" t="str">
        <f t="shared" si="259"/>
        <v>期末可供出租面积（平方米）</v>
      </c>
      <c r="L1110" t="str">
        <f t="shared" si="260"/>
        <v>广州云尚项目|期末可供出租面积（平方米）|季度</v>
      </c>
      <c r="M1110">
        <f>IF($A1110="",0,IF(COUNTIF($L$2:$L1110,$L1110)=1,1,0))</f>
        <v>0</v>
      </c>
      <c r="N1110">
        <f t="shared" si="261"/>
        <v>20261</v>
      </c>
      <c r="O1110" t="str">
        <f t="shared" si="262"/>
        <v>华夏凯德消费封闭式基础设施证券投资基金|2026Q1|季度</v>
      </c>
      <c r="P1110">
        <f>IF($A1110="",0,IF(COUNTIF($O$2:$O1110,$O1110)=1,1,0))</f>
        <v>0</v>
      </c>
      <c r="Q1110" t="str">
        <f>IF(AND($P1110=1,$A1110=经营数据!$B$3,$J1110=经营数据!$BA$5),COUNTIFS($P$2:$P$3000,1,$A$2:$A$3000,$A1110,$J$2:$J$3000,$J1110,$N$2:$N$3000,"&lt;"&amp;$N1110)+1,"")</f>
        <v/>
      </c>
      <c r="R1110" t="str">
        <f t="shared" si="263"/>
        <v>华夏凯德消费封闭式基础设施证券投资基金|广州云尚项目</v>
      </c>
      <c r="S1110">
        <f>IF($A1110="",0,IF(COUNTIF($R$2:$R1110,$R1110)=1,1,0))</f>
        <v>0</v>
      </c>
      <c r="T1110">
        <f t="shared" si="264"/>
        <v>1048</v>
      </c>
      <c r="U1110" t="str">
        <f>IF($A1110="","",IF($A1110=经营数据!$B$3,COUNTIFS($S$2:$S$3000,1,$A$2:$A$3000,$A1110,$T$2:$T$3000,"&lt;"&amp;$T1110)+1,""))</f>
        <v/>
      </c>
      <c r="V1110" t="str">
        <f t="shared" si="265"/>
        <v>广州云尚项目|服务量</v>
      </c>
      <c r="W1110">
        <f t="shared" si="266"/>
        <v>1048</v>
      </c>
      <c r="X1110" t="str">
        <f t="shared" si="267"/>
        <v>广州云尚项目|期末可供出租面积</v>
      </c>
      <c r="Y1110">
        <f t="shared" si="268"/>
        <v>1102</v>
      </c>
      <c r="Z1110">
        <f>IF($A1110="",0,IF(AND($M1110=1,$A1110=经营数据!$B$3,$J1110=经营数据!$BA$5,OR($I1110=经营数据!$BA$4,COUNTIF(经营数据!$AA$9:$AA$38,$I1110)&gt;0)),1,0))</f>
        <v>0</v>
      </c>
      <c r="AA1110" t="str">
        <f t="shared" si="269"/>
        <v/>
      </c>
      <c r="AB1110" t="str">
        <f t="shared" si="270"/>
        <v/>
      </c>
      <c r="AC1110">
        <f>IF($A1110="",0,IF(COUNTIF($A$2:$A1110,$A1110)=1,1,0))</f>
        <v>0</v>
      </c>
      <c r="AD1110">
        <f t="shared" si="271"/>
        <v>10</v>
      </c>
      <c r="AE1110" t="str">
        <f t="shared" si="272"/>
        <v>广州云尚项目|期末可供出租面积（平方米）</v>
      </c>
    </row>
    <row r="1111" spans="1:31" x14ac:dyDescent="0.4">
      <c r="A1111" t="str">
        <f>IF(原始经营数据!$D1112="","",原始经营数据!$D1112)</f>
        <v>华夏凯德消费封闭式基础设施证券投资基金</v>
      </c>
      <c r="B1111" t="str">
        <f>IF(原始经营数据!$D1112="","",T(原始经营数据!$E1112))</f>
        <v>广州云尚项目</v>
      </c>
      <c r="C1111" t="str">
        <f>IF(原始经营数据!$D1112="","",原始经营数据!$F1112)</f>
        <v>2026Q1</v>
      </c>
      <c r="D1111" t="str">
        <f>IF(原始经营数据!$D1112="","",原始经营数据!$H1112)</f>
        <v>期末实际出租面积</v>
      </c>
      <c r="E1111">
        <f>IF(原始经营数据!$D1112="","",原始经营数据!$I1112)</f>
        <v>43139.14</v>
      </c>
      <c r="F1111" t="str">
        <f>IF(原始经营数据!$D1112="","",T(原始经营数据!$J1112))</f>
        <v>平方米</v>
      </c>
      <c r="G1111" t="str">
        <f>IF(原始经营数据!$D1112="","",T(原始经营数据!$K1112))</f>
        <v/>
      </c>
      <c r="H1111" t="str">
        <f>IF(原始经营数据!$D1112="","",原始经营数据!$G1112)</f>
        <v>服务量</v>
      </c>
      <c r="I1111" t="str">
        <f>IF($A1111="","",IF($B1111&lt;&gt;"",$B1111,IF(COUNTIFS(原始经营数据!$D$3:$D$3001,$A1111,原始经营数据!$E$3:$E$3001,"",原始经营数据!$F$3:$F$3001,$C1111,原始经营数据!$H$3:$H$3001,$D1111,原始经营数据!$K$3:$K$3001,$G1111)&gt;1,"基金整体·来源"&amp;原始经营数据!$A1112,"基金整体")))</f>
        <v>广州云尚项目</v>
      </c>
      <c r="J1111" t="str">
        <f t="shared" si="258"/>
        <v>季度</v>
      </c>
      <c r="K1111" t="str">
        <f t="shared" si="259"/>
        <v>期末实际出租面积（平方米）</v>
      </c>
      <c r="L1111" t="str">
        <f t="shared" si="260"/>
        <v>广州云尚项目|期末实际出租面积（平方米）|季度</v>
      </c>
      <c r="M1111">
        <f>IF($A1111="",0,IF(COUNTIF($L$2:$L1111,$L1111)=1,1,0))</f>
        <v>0</v>
      </c>
      <c r="N1111">
        <f t="shared" si="261"/>
        <v>20261</v>
      </c>
      <c r="O1111" t="str">
        <f t="shared" si="262"/>
        <v>华夏凯德消费封闭式基础设施证券投资基金|2026Q1|季度</v>
      </c>
      <c r="P1111">
        <f>IF($A1111="",0,IF(COUNTIF($O$2:$O1111,$O1111)=1,1,0))</f>
        <v>0</v>
      </c>
      <c r="Q1111" t="str">
        <f>IF(AND($P1111=1,$A1111=经营数据!$B$3,$J1111=经营数据!$BA$5),COUNTIFS($P$2:$P$3000,1,$A$2:$A$3000,$A1111,$J$2:$J$3000,$J1111,$N$2:$N$3000,"&lt;"&amp;$N1111)+1,"")</f>
        <v/>
      </c>
      <c r="R1111" t="str">
        <f t="shared" si="263"/>
        <v>华夏凯德消费封闭式基础设施证券投资基金|广州云尚项目</v>
      </c>
      <c r="S1111">
        <f>IF($A1111="",0,IF(COUNTIF($R$2:$R1111,$R1111)=1,1,0))</f>
        <v>0</v>
      </c>
      <c r="T1111">
        <f t="shared" si="264"/>
        <v>1048</v>
      </c>
      <c r="U1111" t="str">
        <f>IF($A1111="","",IF($A1111=经营数据!$B$3,COUNTIFS($S$2:$S$3000,1,$A$2:$A$3000,$A1111,$T$2:$T$3000,"&lt;"&amp;$T1111)+1,""))</f>
        <v/>
      </c>
      <c r="V1111" t="str">
        <f t="shared" si="265"/>
        <v>广州云尚项目|服务量</v>
      </c>
      <c r="W1111">
        <f t="shared" si="266"/>
        <v>1048</v>
      </c>
      <c r="X1111" t="str">
        <f t="shared" si="267"/>
        <v>广州云尚项目|期末实际出租面积</v>
      </c>
      <c r="Y1111">
        <f t="shared" si="268"/>
        <v>1103</v>
      </c>
      <c r="Z1111">
        <f>IF($A1111="",0,IF(AND($M1111=1,$A1111=经营数据!$B$3,$J1111=经营数据!$BA$5,OR($I1111=经营数据!$BA$4,COUNTIF(经营数据!$AA$9:$AA$38,$I1111)&gt;0)),1,0))</f>
        <v>0</v>
      </c>
      <c r="AA1111" t="str">
        <f t="shared" si="269"/>
        <v/>
      </c>
      <c r="AB1111" t="str">
        <f t="shared" si="270"/>
        <v/>
      </c>
      <c r="AC1111">
        <f>IF($A1111="",0,IF(COUNTIF($A$2:$A1111,$A1111)=1,1,0))</f>
        <v>0</v>
      </c>
      <c r="AD1111">
        <f t="shared" si="271"/>
        <v>10</v>
      </c>
      <c r="AE1111" t="str">
        <f t="shared" si="272"/>
        <v>广州云尚项目|期末实际出租面积（平方米）</v>
      </c>
    </row>
    <row r="1112" spans="1:31" x14ac:dyDescent="0.4">
      <c r="A1112" t="str">
        <f>IF(原始经营数据!$D1113="","",原始经营数据!$D1113)</f>
        <v>华夏凯德消费封闭式基础设施证券投资基金</v>
      </c>
      <c r="B1112" t="str">
        <f>IF(原始经营数据!$D1113="","",T(原始经营数据!$E1113))</f>
        <v>广州云尚项目</v>
      </c>
      <c r="C1112" t="str">
        <f>IF(原始经营数据!$D1113="","",原始经营数据!$F1113)</f>
        <v>2026Q1</v>
      </c>
      <c r="D1112" t="str">
        <f>IF(原始经营数据!$D1113="","",原始经营数据!$H1113)</f>
        <v>期末出租率</v>
      </c>
      <c r="E1112">
        <f>IF(原始经营数据!$D1113="","",原始经营数据!$I1113)</f>
        <v>97.09</v>
      </c>
      <c r="F1112" t="str">
        <f>IF(原始经营数据!$D1113="","",T(原始经营数据!$J1113))</f>
        <v>%</v>
      </c>
      <c r="G1112" t="str">
        <f>IF(原始经营数据!$D1113="","",T(原始经营数据!$K1113))</f>
        <v/>
      </c>
      <c r="H1112" t="str">
        <f>IF(原始经营数据!$D1113="","",原始经营数据!$G1113)</f>
        <v>服务效率</v>
      </c>
      <c r="I1112" t="str">
        <f>IF($A1112="","",IF($B1112&lt;&gt;"",$B1112,IF(COUNTIFS(原始经营数据!$D$3:$D$3001,$A1112,原始经营数据!$E$3:$E$3001,"",原始经营数据!$F$3:$F$3001,$C1112,原始经营数据!$H$3:$H$3001,$D1112,原始经营数据!$K$3:$K$3001,$G1112)&gt;1,"基金整体·来源"&amp;原始经营数据!$A1113,"基金整体")))</f>
        <v>广州云尚项目</v>
      </c>
      <c r="J1112" t="str">
        <f t="shared" si="258"/>
        <v>季度</v>
      </c>
      <c r="K1112" t="str">
        <f t="shared" si="259"/>
        <v>期末出租率（%）</v>
      </c>
      <c r="L1112" t="str">
        <f t="shared" si="260"/>
        <v>广州云尚项目|期末出租率（%）|季度</v>
      </c>
      <c r="M1112">
        <f>IF($A1112="",0,IF(COUNTIF($L$2:$L1112,$L1112)=1,1,0))</f>
        <v>0</v>
      </c>
      <c r="N1112">
        <f t="shared" si="261"/>
        <v>20261</v>
      </c>
      <c r="O1112" t="str">
        <f t="shared" si="262"/>
        <v>华夏凯德消费封闭式基础设施证券投资基金|2026Q1|季度</v>
      </c>
      <c r="P1112">
        <f>IF($A1112="",0,IF(COUNTIF($O$2:$O1112,$O1112)=1,1,0))</f>
        <v>0</v>
      </c>
      <c r="Q1112" t="str">
        <f>IF(AND($P1112=1,$A1112=经营数据!$B$3,$J1112=经营数据!$BA$5),COUNTIFS($P$2:$P$3000,1,$A$2:$A$3000,$A1112,$J$2:$J$3000,$J1112,$N$2:$N$3000,"&lt;"&amp;$N1112)+1,"")</f>
        <v/>
      </c>
      <c r="R1112" t="str">
        <f t="shared" si="263"/>
        <v>华夏凯德消费封闭式基础设施证券投资基金|广州云尚项目</v>
      </c>
      <c r="S1112">
        <f>IF($A1112="",0,IF(COUNTIF($R$2:$R1112,$R1112)=1,1,0))</f>
        <v>0</v>
      </c>
      <c r="T1112">
        <f t="shared" si="264"/>
        <v>1048</v>
      </c>
      <c r="U1112" t="str">
        <f>IF($A1112="","",IF($A1112=经营数据!$B$3,COUNTIFS($S$2:$S$3000,1,$A$2:$A$3000,$A1112,$T$2:$T$3000,"&lt;"&amp;$T1112)+1,""))</f>
        <v/>
      </c>
      <c r="V1112" t="str">
        <f t="shared" si="265"/>
        <v>广州云尚项目|服务效率</v>
      </c>
      <c r="W1112">
        <f t="shared" si="266"/>
        <v>1055</v>
      </c>
      <c r="X1112" t="str">
        <f t="shared" si="267"/>
        <v>广州云尚项目|期末出租率</v>
      </c>
      <c r="Y1112">
        <f t="shared" si="268"/>
        <v>1104</v>
      </c>
      <c r="Z1112">
        <f>IF($A1112="",0,IF(AND($M1112=1,$A1112=经营数据!$B$3,$J1112=经营数据!$BA$5,OR($I1112=经营数据!$BA$4,COUNTIF(经营数据!$AA$9:$AA$38,$I1112)&gt;0)),1,0))</f>
        <v>0</v>
      </c>
      <c r="AA1112" t="str">
        <f t="shared" si="269"/>
        <v/>
      </c>
      <c r="AB1112" t="str">
        <f t="shared" si="270"/>
        <v/>
      </c>
      <c r="AC1112">
        <f>IF($A1112="",0,IF(COUNTIF($A$2:$A1112,$A1112)=1,1,0))</f>
        <v>0</v>
      </c>
      <c r="AD1112">
        <f t="shared" si="271"/>
        <v>10</v>
      </c>
      <c r="AE1112" t="str">
        <f t="shared" si="272"/>
        <v>广州云尚项目|期末出租率（%）</v>
      </c>
    </row>
    <row r="1113" spans="1:31" x14ac:dyDescent="0.4">
      <c r="A1113" t="str">
        <f>IF(原始经营数据!$D1114="","",原始经营数据!$D1114)</f>
        <v>华夏凯德消费封闭式基础设施证券投资基金</v>
      </c>
      <c r="B1113" t="str">
        <f>IF(原始经营数据!$D1114="","",T(原始经营数据!$E1114))</f>
        <v>广州云尚项目</v>
      </c>
      <c r="C1113" t="str">
        <f>IF(原始经营数据!$D1114="","",原始经营数据!$F1114)</f>
        <v>2026Q1</v>
      </c>
      <c r="D1113" t="str">
        <f>IF(原始经营数据!$D1114="","",原始经营数据!$H1114)</f>
        <v>期内租金单价水平</v>
      </c>
      <c r="E1113">
        <f>IF(原始经营数据!$D1114="","",原始经营数据!$I1114)</f>
        <v>280.47000000000003</v>
      </c>
      <c r="F1113" t="str">
        <f>IF(原始经营数据!$D1114="","",T(原始经营数据!$J1114))</f>
        <v>元/平方米/月</v>
      </c>
      <c r="G1113" t="str">
        <f>IF(原始经营数据!$D1114="","",T(原始经营数据!$K1114))</f>
        <v/>
      </c>
      <c r="H1113" t="str">
        <f>IF(原始经营数据!$D1114="","",原始经营数据!$G1114)</f>
        <v>服务价格</v>
      </c>
      <c r="I1113" t="str">
        <f>IF($A1113="","",IF($B1113&lt;&gt;"",$B1113,IF(COUNTIFS(原始经营数据!$D$3:$D$3001,$A1113,原始经营数据!$E$3:$E$3001,"",原始经营数据!$F$3:$F$3001,$C1113,原始经营数据!$H$3:$H$3001,$D1113,原始经营数据!$K$3:$K$3001,$G1113)&gt;1,"基金整体·来源"&amp;原始经营数据!$A1114,"基金整体")))</f>
        <v>广州云尚项目</v>
      </c>
      <c r="J1113" t="str">
        <f t="shared" si="258"/>
        <v>季度</v>
      </c>
      <c r="K1113" t="str">
        <f t="shared" si="259"/>
        <v>期内租金单价水平（元/平方米/月）</v>
      </c>
      <c r="L1113" t="str">
        <f t="shared" si="260"/>
        <v>广州云尚项目|期内租金单价水平（元/平方米/月）|季度</v>
      </c>
      <c r="M1113">
        <f>IF($A1113="",0,IF(COUNTIF($L$2:$L1113,$L1113)=1,1,0))</f>
        <v>0</v>
      </c>
      <c r="N1113">
        <f t="shared" si="261"/>
        <v>20261</v>
      </c>
      <c r="O1113" t="str">
        <f t="shared" si="262"/>
        <v>华夏凯德消费封闭式基础设施证券投资基金|2026Q1|季度</v>
      </c>
      <c r="P1113">
        <f>IF($A1113="",0,IF(COUNTIF($O$2:$O1113,$O1113)=1,1,0))</f>
        <v>0</v>
      </c>
      <c r="Q1113" t="str">
        <f>IF(AND($P1113=1,$A1113=经营数据!$B$3,$J1113=经营数据!$BA$5),COUNTIFS($P$2:$P$3000,1,$A$2:$A$3000,$A1113,$J$2:$J$3000,$J1113,$N$2:$N$3000,"&lt;"&amp;$N1113)+1,"")</f>
        <v/>
      </c>
      <c r="R1113" t="str">
        <f t="shared" si="263"/>
        <v>华夏凯德消费封闭式基础设施证券投资基金|广州云尚项目</v>
      </c>
      <c r="S1113">
        <f>IF($A1113="",0,IF(COUNTIF($R$2:$R1113,$R1113)=1,1,0))</f>
        <v>0</v>
      </c>
      <c r="T1113">
        <f t="shared" si="264"/>
        <v>1048</v>
      </c>
      <c r="U1113" t="str">
        <f>IF($A1113="","",IF($A1113=经营数据!$B$3,COUNTIFS($S$2:$S$3000,1,$A$2:$A$3000,$A1113,$T$2:$T$3000,"&lt;"&amp;$T1113)+1,""))</f>
        <v/>
      </c>
      <c r="V1113" t="str">
        <f t="shared" si="265"/>
        <v>广州云尚项目|服务价格</v>
      </c>
      <c r="W1113">
        <f t="shared" si="266"/>
        <v>1052</v>
      </c>
      <c r="X1113" t="str">
        <f t="shared" si="267"/>
        <v>广州云尚项目|期内租金单价水平</v>
      </c>
      <c r="Y1113">
        <f t="shared" si="268"/>
        <v>1105</v>
      </c>
      <c r="Z1113">
        <f>IF($A1113="",0,IF(AND($M1113=1,$A1113=经营数据!$B$3,$J1113=经营数据!$BA$5,OR($I1113=经营数据!$BA$4,COUNTIF(经营数据!$AA$9:$AA$38,$I1113)&gt;0)),1,0))</f>
        <v>0</v>
      </c>
      <c r="AA1113" t="str">
        <f t="shared" si="269"/>
        <v/>
      </c>
      <c r="AB1113" t="str">
        <f t="shared" si="270"/>
        <v/>
      </c>
      <c r="AC1113">
        <f>IF($A1113="",0,IF(COUNTIF($A$2:$A1113,$A1113)=1,1,0))</f>
        <v>0</v>
      </c>
      <c r="AD1113">
        <f t="shared" si="271"/>
        <v>10</v>
      </c>
      <c r="AE1113" t="str">
        <f t="shared" si="272"/>
        <v>广州云尚项目|期内租金单价水平（元/平方米/月）</v>
      </c>
    </row>
    <row r="1114" spans="1:31" x14ac:dyDescent="0.4">
      <c r="A1114" t="str">
        <f>IF(原始经营数据!$D1115="","",原始经营数据!$D1115)</f>
        <v>华夏凯德消费封闭式基础设施证券投资基金</v>
      </c>
      <c r="B1114" t="str">
        <f>IF(原始经营数据!$D1115="","",T(原始经营数据!$E1115))</f>
        <v>广州云尚项目</v>
      </c>
      <c r="C1114" t="str">
        <f>IF(原始经营数据!$D1115="","",原始经营数据!$F1115)</f>
        <v>2026Q1</v>
      </c>
      <c r="D1114" t="str">
        <f>IF(原始经营数据!$D1115="","",原始经营数据!$H1115)</f>
        <v>期末剩余租期情况</v>
      </c>
      <c r="E1114">
        <f>IF(原始经营数据!$D1115="","",原始经营数据!$I1115)</f>
        <v>1.75</v>
      </c>
      <c r="F1114" t="str">
        <f>IF(原始经营数据!$D1115="","",T(原始经营数据!$J1115))</f>
        <v>年</v>
      </c>
      <c r="G1114" t="str">
        <f>IF(原始经营数据!$D1115="","",T(原始经营数据!$K1115))</f>
        <v/>
      </c>
      <c r="H1114" t="str">
        <f>IF(原始经营数据!$D1115="","",原始经营数据!$G1115)</f>
        <v>服务量</v>
      </c>
      <c r="I1114" t="str">
        <f>IF($A1114="","",IF($B1114&lt;&gt;"",$B1114,IF(COUNTIFS(原始经营数据!$D$3:$D$3001,$A1114,原始经营数据!$E$3:$E$3001,"",原始经营数据!$F$3:$F$3001,$C1114,原始经营数据!$H$3:$H$3001,$D1114,原始经营数据!$K$3:$K$3001,$G1114)&gt;1,"基金整体·来源"&amp;原始经营数据!$A1115,"基金整体")))</f>
        <v>广州云尚项目</v>
      </c>
      <c r="J1114" t="str">
        <f t="shared" si="258"/>
        <v>季度</v>
      </c>
      <c r="K1114" t="str">
        <f t="shared" si="259"/>
        <v>期末剩余租期情况（年）</v>
      </c>
      <c r="L1114" t="str">
        <f t="shared" si="260"/>
        <v>广州云尚项目|期末剩余租期情况（年）|季度</v>
      </c>
      <c r="M1114">
        <f>IF($A1114="",0,IF(COUNTIF($L$2:$L1114,$L1114)=1,1,0))</f>
        <v>0</v>
      </c>
      <c r="N1114">
        <f t="shared" si="261"/>
        <v>20261</v>
      </c>
      <c r="O1114" t="str">
        <f t="shared" si="262"/>
        <v>华夏凯德消费封闭式基础设施证券投资基金|2026Q1|季度</v>
      </c>
      <c r="P1114">
        <f>IF($A1114="",0,IF(COUNTIF($O$2:$O1114,$O1114)=1,1,0))</f>
        <v>0</v>
      </c>
      <c r="Q1114" t="str">
        <f>IF(AND($P1114=1,$A1114=经营数据!$B$3,$J1114=经营数据!$BA$5),COUNTIFS($P$2:$P$3000,1,$A$2:$A$3000,$A1114,$J$2:$J$3000,$J1114,$N$2:$N$3000,"&lt;"&amp;$N1114)+1,"")</f>
        <v/>
      </c>
      <c r="R1114" t="str">
        <f t="shared" si="263"/>
        <v>华夏凯德消费封闭式基础设施证券投资基金|广州云尚项目</v>
      </c>
      <c r="S1114">
        <f>IF($A1114="",0,IF(COUNTIF($R$2:$R1114,$R1114)=1,1,0))</f>
        <v>0</v>
      </c>
      <c r="T1114">
        <f t="shared" si="264"/>
        <v>1048</v>
      </c>
      <c r="U1114" t="str">
        <f>IF($A1114="","",IF($A1114=经营数据!$B$3,COUNTIFS($S$2:$S$3000,1,$A$2:$A$3000,$A1114,$T$2:$T$3000,"&lt;"&amp;$T1114)+1,""))</f>
        <v/>
      </c>
      <c r="V1114" t="str">
        <f t="shared" si="265"/>
        <v>广州云尚项目|服务量</v>
      </c>
      <c r="W1114">
        <f t="shared" si="266"/>
        <v>1048</v>
      </c>
      <c r="X1114" t="str">
        <f t="shared" si="267"/>
        <v>广州云尚项目|期末剩余租期情况</v>
      </c>
      <c r="Y1114">
        <f t="shared" si="268"/>
        <v>1106</v>
      </c>
      <c r="Z1114">
        <f>IF($A1114="",0,IF(AND($M1114=1,$A1114=经营数据!$B$3,$J1114=经营数据!$BA$5,OR($I1114=经营数据!$BA$4,COUNTIF(经营数据!$AA$9:$AA$38,$I1114)&gt;0)),1,0))</f>
        <v>0</v>
      </c>
      <c r="AA1114" t="str">
        <f t="shared" si="269"/>
        <v/>
      </c>
      <c r="AB1114" t="str">
        <f t="shared" si="270"/>
        <v/>
      </c>
      <c r="AC1114">
        <f>IF($A1114="",0,IF(COUNTIF($A$2:$A1114,$A1114)=1,1,0))</f>
        <v>0</v>
      </c>
      <c r="AD1114">
        <f t="shared" si="271"/>
        <v>10</v>
      </c>
      <c r="AE1114" t="str">
        <f t="shared" si="272"/>
        <v>广州云尚项目|期末剩余租期情况（年）</v>
      </c>
    </row>
    <row r="1115" spans="1:31" x14ac:dyDescent="0.4">
      <c r="A1115" t="str">
        <f>IF(原始经营数据!$D1116="","",原始经营数据!$D1116)</f>
        <v>华夏凯德消费封闭式基础设施证券投资基金</v>
      </c>
      <c r="B1115" t="str">
        <f>IF(原始经营数据!$D1116="","",T(原始经营数据!$E1116))</f>
        <v>广州云尚项目</v>
      </c>
      <c r="C1115" t="str">
        <f>IF(原始经营数据!$D1116="","",原始经营数据!$F1116)</f>
        <v>2026Q2</v>
      </c>
      <c r="D1115" t="str">
        <f>IF(原始经营数据!$D1116="","",原始经营数据!$H1116)</f>
        <v>期末剩余租期情况</v>
      </c>
      <c r="E1115">
        <f>IF(原始经营数据!$D1116="","",原始经营数据!$I1116)</f>
        <v>2.94</v>
      </c>
      <c r="F1115" t="str">
        <f>IF(原始经营数据!$D1116="","",T(原始经营数据!$J1116))</f>
        <v>年</v>
      </c>
      <c r="G1115" t="str">
        <f>IF(原始经营数据!$D1116="","",T(原始经营数据!$K1116))</f>
        <v/>
      </c>
      <c r="H1115" t="str">
        <f>IF(原始经营数据!$D1116="","",原始经营数据!$G1116)</f>
        <v>服务量</v>
      </c>
      <c r="I1115" t="str">
        <f>IF($A1115="","",IF($B1115&lt;&gt;"",$B1115,IF(COUNTIFS(原始经营数据!$D$3:$D$3001,$A1115,原始经营数据!$E$3:$E$3001,"",原始经营数据!$F$3:$F$3001,$C1115,原始经营数据!$H$3:$H$3001,$D1115,原始经营数据!$K$3:$K$3001,$G1115)&gt;1,"基金整体·来源"&amp;原始经营数据!$A1116,"基金整体")))</f>
        <v>广州云尚项目</v>
      </c>
      <c r="J1115" t="str">
        <f t="shared" si="258"/>
        <v>季度</v>
      </c>
      <c r="K1115" t="str">
        <f t="shared" si="259"/>
        <v>期末剩余租期情况（年）</v>
      </c>
      <c r="L1115" t="str">
        <f t="shared" si="260"/>
        <v>广州云尚项目|期末剩余租期情况（年）|季度</v>
      </c>
      <c r="M1115">
        <f>IF($A1115="",0,IF(COUNTIF($L$2:$L1115,$L1115)=1,1,0))</f>
        <v>0</v>
      </c>
      <c r="N1115">
        <f t="shared" si="261"/>
        <v>20262</v>
      </c>
      <c r="O1115" t="str">
        <f t="shared" si="262"/>
        <v>华夏凯德消费封闭式基础设施证券投资基金|2026Q2|季度</v>
      </c>
      <c r="P1115">
        <f>IF($A1115="",0,IF(COUNTIF($O$2:$O1115,$O1115)=1,1,0))</f>
        <v>0</v>
      </c>
      <c r="Q1115" t="str">
        <f>IF(AND($P1115=1,$A1115=经营数据!$B$3,$J1115=经营数据!$BA$5),COUNTIFS($P$2:$P$3000,1,$A$2:$A$3000,$A1115,$J$2:$J$3000,$J1115,$N$2:$N$3000,"&lt;"&amp;$N1115)+1,"")</f>
        <v/>
      </c>
      <c r="R1115" t="str">
        <f t="shared" si="263"/>
        <v>华夏凯德消费封闭式基础设施证券投资基金|广州云尚项目</v>
      </c>
      <c r="S1115">
        <f>IF($A1115="",0,IF(COUNTIF($R$2:$R1115,$R1115)=1,1,0))</f>
        <v>0</v>
      </c>
      <c r="T1115">
        <f t="shared" si="264"/>
        <v>1048</v>
      </c>
      <c r="U1115" t="str">
        <f>IF($A1115="","",IF($A1115=经营数据!$B$3,COUNTIFS($S$2:$S$3000,1,$A$2:$A$3000,$A1115,$T$2:$T$3000,"&lt;"&amp;$T1115)+1,""))</f>
        <v/>
      </c>
      <c r="V1115" t="str">
        <f t="shared" si="265"/>
        <v>广州云尚项目|服务量</v>
      </c>
      <c r="W1115">
        <f t="shared" si="266"/>
        <v>1048</v>
      </c>
      <c r="X1115" t="str">
        <f t="shared" si="267"/>
        <v>广州云尚项目|期末剩余租期情况</v>
      </c>
      <c r="Y1115">
        <f t="shared" si="268"/>
        <v>1106</v>
      </c>
      <c r="Z1115">
        <f>IF($A1115="",0,IF(AND($M1115=1,$A1115=经营数据!$B$3,$J1115=经营数据!$BA$5,OR($I1115=经营数据!$BA$4,COUNTIF(经营数据!$AA$9:$AA$38,$I1115)&gt;0)),1,0))</f>
        <v>0</v>
      </c>
      <c r="AA1115" t="str">
        <f t="shared" si="269"/>
        <v/>
      </c>
      <c r="AB1115" t="str">
        <f t="shared" si="270"/>
        <v/>
      </c>
      <c r="AC1115">
        <f>IF($A1115="",0,IF(COUNTIF($A$2:$A1115,$A1115)=1,1,0))</f>
        <v>0</v>
      </c>
      <c r="AD1115">
        <f t="shared" si="271"/>
        <v>10</v>
      </c>
      <c r="AE1115" t="str">
        <f t="shared" si="272"/>
        <v>广州云尚项目|期末剩余租期情况（年）</v>
      </c>
    </row>
    <row r="1116" spans="1:31" x14ac:dyDescent="0.4">
      <c r="A1116" t="str">
        <f>IF(原始经营数据!$D1117="","",原始经营数据!$D1117)</f>
        <v>华夏凯德消费封闭式基础设施证券投资基金</v>
      </c>
      <c r="B1116" t="str">
        <f>IF(原始经营数据!$D1117="","",T(原始经营数据!$E1117))</f>
        <v>广州云尚项目</v>
      </c>
      <c r="C1116" t="str">
        <f>IF(原始经营数据!$D1117="","",原始经营数据!$F1117)</f>
        <v>2026Q2</v>
      </c>
      <c r="D1116" t="str">
        <f>IF(原始经营数据!$D1117="","",原始经营数据!$H1117)</f>
        <v>期内租金单价水平</v>
      </c>
      <c r="E1116">
        <f>IF(原始经营数据!$D1117="","",原始经营数据!$I1117)</f>
        <v>291.45999999999998</v>
      </c>
      <c r="F1116" t="str">
        <f>IF(原始经营数据!$D1117="","",T(原始经营数据!$J1117))</f>
        <v>元/平方米/月</v>
      </c>
      <c r="G1116" t="str">
        <f>IF(原始经营数据!$D1117="","",T(原始经营数据!$K1117))</f>
        <v/>
      </c>
      <c r="H1116" t="str">
        <f>IF(原始经营数据!$D1117="","",原始经营数据!$G1117)</f>
        <v>服务价格</v>
      </c>
      <c r="I1116" t="str">
        <f>IF($A1116="","",IF($B1116&lt;&gt;"",$B1116,IF(COUNTIFS(原始经营数据!$D$3:$D$3001,$A1116,原始经营数据!$E$3:$E$3001,"",原始经营数据!$F$3:$F$3001,$C1116,原始经营数据!$H$3:$H$3001,$D1116,原始经营数据!$K$3:$K$3001,$G1116)&gt;1,"基金整体·来源"&amp;原始经营数据!$A1117,"基金整体")))</f>
        <v>广州云尚项目</v>
      </c>
      <c r="J1116" t="str">
        <f t="shared" si="258"/>
        <v>季度</v>
      </c>
      <c r="K1116" t="str">
        <f t="shared" si="259"/>
        <v>期内租金单价水平（元/平方米/月）</v>
      </c>
      <c r="L1116" t="str">
        <f t="shared" si="260"/>
        <v>广州云尚项目|期内租金单价水平（元/平方米/月）|季度</v>
      </c>
      <c r="M1116">
        <f>IF($A1116="",0,IF(COUNTIF($L$2:$L1116,$L1116)=1,1,0))</f>
        <v>0</v>
      </c>
      <c r="N1116">
        <f t="shared" si="261"/>
        <v>20262</v>
      </c>
      <c r="O1116" t="str">
        <f t="shared" si="262"/>
        <v>华夏凯德消费封闭式基础设施证券投资基金|2026Q2|季度</v>
      </c>
      <c r="P1116">
        <f>IF($A1116="",0,IF(COUNTIF($O$2:$O1116,$O1116)=1,1,0))</f>
        <v>0</v>
      </c>
      <c r="Q1116" t="str">
        <f>IF(AND($P1116=1,$A1116=经营数据!$B$3,$J1116=经营数据!$BA$5),COUNTIFS($P$2:$P$3000,1,$A$2:$A$3000,$A1116,$J$2:$J$3000,$J1116,$N$2:$N$3000,"&lt;"&amp;$N1116)+1,"")</f>
        <v/>
      </c>
      <c r="R1116" t="str">
        <f t="shared" si="263"/>
        <v>华夏凯德消费封闭式基础设施证券投资基金|广州云尚项目</v>
      </c>
      <c r="S1116">
        <f>IF($A1116="",0,IF(COUNTIF($R$2:$R1116,$R1116)=1,1,0))</f>
        <v>0</v>
      </c>
      <c r="T1116">
        <f t="shared" si="264"/>
        <v>1048</v>
      </c>
      <c r="U1116" t="str">
        <f>IF($A1116="","",IF($A1116=经营数据!$B$3,COUNTIFS($S$2:$S$3000,1,$A$2:$A$3000,$A1116,$T$2:$T$3000,"&lt;"&amp;$T1116)+1,""))</f>
        <v/>
      </c>
      <c r="V1116" t="str">
        <f t="shared" si="265"/>
        <v>广州云尚项目|服务价格</v>
      </c>
      <c r="W1116">
        <f t="shared" si="266"/>
        <v>1052</v>
      </c>
      <c r="X1116" t="str">
        <f t="shared" si="267"/>
        <v>广州云尚项目|期内租金单价水平</v>
      </c>
      <c r="Y1116">
        <f t="shared" si="268"/>
        <v>1105</v>
      </c>
      <c r="Z1116">
        <f>IF($A1116="",0,IF(AND($M1116=1,$A1116=经营数据!$B$3,$J1116=经营数据!$BA$5,OR($I1116=经营数据!$BA$4,COUNTIF(经营数据!$AA$9:$AA$38,$I1116)&gt;0)),1,0))</f>
        <v>0</v>
      </c>
      <c r="AA1116" t="str">
        <f t="shared" si="269"/>
        <v/>
      </c>
      <c r="AB1116" t="str">
        <f t="shared" si="270"/>
        <v/>
      </c>
      <c r="AC1116">
        <f>IF($A1116="",0,IF(COUNTIF($A$2:$A1116,$A1116)=1,1,0))</f>
        <v>0</v>
      </c>
      <c r="AD1116">
        <f t="shared" si="271"/>
        <v>10</v>
      </c>
      <c r="AE1116" t="str">
        <f t="shared" si="272"/>
        <v>广州云尚项目|期内租金单价水平（元/平方米/月）</v>
      </c>
    </row>
    <row r="1117" spans="1:31" x14ac:dyDescent="0.4">
      <c r="A1117" t="str">
        <f>IF(原始经营数据!$D1118="","",原始经营数据!$D1118)</f>
        <v>华夏凯德消费封闭式基础设施证券投资基金</v>
      </c>
      <c r="B1117" t="str">
        <f>IF(原始经营数据!$D1118="","",T(原始经营数据!$E1118))</f>
        <v>广州云尚项目</v>
      </c>
      <c r="C1117" t="str">
        <f>IF(原始经营数据!$D1118="","",原始经营数据!$F1118)</f>
        <v>2026Q2</v>
      </c>
      <c r="D1117" t="str">
        <f>IF(原始经营数据!$D1118="","",原始经营数据!$H1118)</f>
        <v>期末实际出租面积</v>
      </c>
      <c r="E1117">
        <f>IF(原始经营数据!$D1118="","",原始经营数据!$I1118)</f>
        <v>42584.04</v>
      </c>
      <c r="F1117" t="str">
        <f>IF(原始经营数据!$D1118="","",T(原始经营数据!$J1118))</f>
        <v>平方米</v>
      </c>
      <c r="G1117" t="str">
        <f>IF(原始经营数据!$D1118="","",T(原始经营数据!$K1118))</f>
        <v/>
      </c>
      <c r="H1117" t="str">
        <f>IF(原始经营数据!$D1118="","",原始经营数据!$G1118)</f>
        <v>服务量</v>
      </c>
      <c r="I1117" t="str">
        <f>IF($A1117="","",IF($B1117&lt;&gt;"",$B1117,IF(COUNTIFS(原始经营数据!$D$3:$D$3001,$A1117,原始经营数据!$E$3:$E$3001,"",原始经营数据!$F$3:$F$3001,$C1117,原始经营数据!$H$3:$H$3001,$D1117,原始经营数据!$K$3:$K$3001,$G1117)&gt;1,"基金整体·来源"&amp;原始经营数据!$A1118,"基金整体")))</f>
        <v>广州云尚项目</v>
      </c>
      <c r="J1117" t="str">
        <f t="shared" si="258"/>
        <v>季度</v>
      </c>
      <c r="K1117" t="str">
        <f t="shared" si="259"/>
        <v>期末实际出租面积（平方米）</v>
      </c>
      <c r="L1117" t="str">
        <f t="shared" si="260"/>
        <v>广州云尚项目|期末实际出租面积（平方米）|季度</v>
      </c>
      <c r="M1117">
        <f>IF($A1117="",0,IF(COUNTIF($L$2:$L1117,$L1117)=1,1,0))</f>
        <v>0</v>
      </c>
      <c r="N1117">
        <f t="shared" si="261"/>
        <v>20262</v>
      </c>
      <c r="O1117" t="str">
        <f t="shared" si="262"/>
        <v>华夏凯德消费封闭式基础设施证券投资基金|2026Q2|季度</v>
      </c>
      <c r="P1117">
        <f>IF($A1117="",0,IF(COUNTIF($O$2:$O1117,$O1117)=1,1,0))</f>
        <v>0</v>
      </c>
      <c r="Q1117" t="str">
        <f>IF(AND($P1117=1,$A1117=经营数据!$B$3,$J1117=经营数据!$BA$5),COUNTIFS($P$2:$P$3000,1,$A$2:$A$3000,$A1117,$J$2:$J$3000,$J1117,$N$2:$N$3000,"&lt;"&amp;$N1117)+1,"")</f>
        <v/>
      </c>
      <c r="R1117" t="str">
        <f t="shared" si="263"/>
        <v>华夏凯德消费封闭式基础设施证券投资基金|广州云尚项目</v>
      </c>
      <c r="S1117">
        <f>IF($A1117="",0,IF(COUNTIF($R$2:$R1117,$R1117)=1,1,0))</f>
        <v>0</v>
      </c>
      <c r="T1117">
        <f t="shared" si="264"/>
        <v>1048</v>
      </c>
      <c r="U1117" t="str">
        <f>IF($A1117="","",IF($A1117=经营数据!$B$3,COUNTIFS($S$2:$S$3000,1,$A$2:$A$3000,$A1117,$T$2:$T$3000,"&lt;"&amp;$T1117)+1,""))</f>
        <v/>
      </c>
      <c r="V1117" t="str">
        <f t="shared" si="265"/>
        <v>广州云尚项目|服务量</v>
      </c>
      <c r="W1117">
        <f t="shared" si="266"/>
        <v>1048</v>
      </c>
      <c r="X1117" t="str">
        <f t="shared" si="267"/>
        <v>广州云尚项目|期末实际出租面积</v>
      </c>
      <c r="Y1117">
        <f t="shared" si="268"/>
        <v>1103</v>
      </c>
      <c r="Z1117">
        <f>IF($A1117="",0,IF(AND($M1117=1,$A1117=经营数据!$B$3,$J1117=经营数据!$BA$5,OR($I1117=经营数据!$BA$4,COUNTIF(经营数据!$AA$9:$AA$38,$I1117)&gt;0)),1,0))</f>
        <v>0</v>
      </c>
      <c r="AA1117" t="str">
        <f t="shared" si="269"/>
        <v/>
      </c>
      <c r="AB1117" t="str">
        <f t="shared" si="270"/>
        <v/>
      </c>
      <c r="AC1117">
        <f>IF($A1117="",0,IF(COUNTIF($A$2:$A1117,$A1117)=1,1,0))</f>
        <v>0</v>
      </c>
      <c r="AD1117">
        <f t="shared" si="271"/>
        <v>10</v>
      </c>
      <c r="AE1117" t="str">
        <f t="shared" si="272"/>
        <v>广州云尚项目|期末实际出租面积（平方米）</v>
      </c>
    </row>
    <row r="1118" spans="1:31" x14ac:dyDescent="0.4">
      <c r="A1118" t="str">
        <f>IF(原始经营数据!$D1119="","",原始经营数据!$D1119)</f>
        <v>华夏凯德消费封闭式基础设施证券投资基金</v>
      </c>
      <c r="B1118" t="str">
        <f>IF(原始经营数据!$D1119="","",T(原始经营数据!$E1119))</f>
        <v>广州云尚项目</v>
      </c>
      <c r="C1118" t="str">
        <f>IF(原始经营数据!$D1119="","",原始经营数据!$F1119)</f>
        <v>2026Q2</v>
      </c>
      <c r="D1118" t="str">
        <f>IF(原始经营数据!$D1119="","",原始经营数据!$H1119)</f>
        <v>期末可供出租面积</v>
      </c>
      <c r="E1118">
        <f>IF(原始经营数据!$D1119="","",原始经营数据!$I1119)</f>
        <v>44220.81</v>
      </c>
      <c r="F1118" t="str">
        <f>IF(原始经营数据!$D1119="","",T(原始经营数据!$J1119))</f>
        <v>平方米</v>
      </c>
      <c r="G1118" t="str">
        <f>IF(原始经营数据!$D1119="","",T(原始经营数据!$K1119))</f>
        <v/>
      </c>
      <c r="H1118" t="str">
        <f>IF(原始经营数据!$D1119="","",原始经营数据!$G1119)</f>
        <v>服务量</v>
      </c>
      <c r="I1118" t="str">
        <f>IF($A1118="","",IF($B1118&lt;&gt;"",$B1118,IF(COUNTIFS(原始经营数据!$D$3:$D$3001,$A1118,原始经营数据!$E$3:$E$3001,"",原始经营数据!$F$3:$F$3001,$C1118,原始经营数据!$H$3:$H$3001,$D1118,原始经营数据!$K$3:$K$3001,$G1118)&gt;1,"基金整体·来源"&amp;原始经营数据!$A1119,"基金整体")))</f>
        <v>广州云尚项目</v>
      </c>
      <c r="J1118" t="str">
        <f t="shared" si="258"/>
        <v>季度</v>
      </c>
      <c r="K1118" t="str">
        <f t="shared" si="259"/>
        <v>期末可供出租面积（平方米）</v>
      </c>
      <c r="L1118" t="str">
        <f t="shared" si="260"/>
        <v>广州云尚项目|期末可供出租面积（平方米）|季度</v>
      </c>
      <c r="M1118">
        <f>IF($A1118="",0,IF(COUNTIF($L$2:$L1118,$L1118)=1,1,0))</f>
        <v>0</v>
      </c>
      <c r="N1118">
        <f t="shared" si="261"/>
        <v>20262</v>
      </c>
      <c r="O1118" t="str">
        <f t="shared" si="262"/>
        <v>华夏凯德消费封闭式基础设施证券投资基金|2026Q2|季度</v>
      </c>
      <c r="P1118">
        <f>IF($A1118="",0,IF(COUNTIF($O$2:$O1118,$O1118)=1,1,0))</f>
        <v>0</v>
      </c>
      <c r="Q1118" t="str">
        <f>IF(AND($P1118=1,$A1118=经营数据!$B$3,$J1118=经营数据!$BA$5),COUNTIFS($P$2:$P$3000,1,$A$2:$A$3000,$A1118,$J$2:$J$3000,$J1118,$N$2:$N$3000,"&lt;"&amp;$N1118)+1,"")</f>
        <v/>
      </c>
      <c r="R1118" t="str">
        <f t="shared" si="263"/>
        <v>华夏凯德消费封闭式基础设施证券投资基金|广州云尚项目</v>
      </c>
      <c r="S1118">
        <f>IF($A1118="",0,IF(COUNTIF($R$2:$R1118,$R1118)=1,1,0))</f>
        <v>0</v>
      </c>
      <c r="T1118">
        <f t="shared" si="264"/>
        <v>1048</v>
      </c>
      <c r="U1118" t="str">
        <f>IF($A1118="","",IF($A1118=经营数据!$B$3,COUNTIFS($S$2:$S$3000,1,$A$2:$A$3000,$A1118,$T$2:$T$3000,"&lt;"&amp;$T1118)+1,""))</f>
        <v/>
      </c>
      <c r="V1118" t="str">
        <f t="shared" si="265"/>
        <v>广州云尚项目|服务量</v>
      </c>
      <c r="W1118">
        <f t="shared" si="266"/>
        <v>1048</v>
      </c>
      <c r="X1118" t="str">
        <f t="shared" si="267"/>
        <v>广州云尚项目|期末可供出租面积</v>
      </c>
      <c r="Y1118">
        <f t="shared" si="268"/>
        <v>1102</v>
      </c>
      <c r="Z1118">
        <f>IF($A1118="",0,IF(AND($M1118=1,$A1118=经营数据!$B$3,$J1118=经营数据!$BA$5,OR($I1118=经营数据!$BA$4,COUNTIF(经营数据!$AA$9:$AA$38,$I1118)&gt;0)),1,0))</f>
        <v>0</v>
      </c>
      <c r="AA1118" t="str">
        <f t="shared" si="269"/>
        <v/>
      </c>
      <c r="AB1118" t="str">
        <f t="shared" si="270"/>
        <v/>
      </c>
      <c r="AC1118">
        <f>IF($A1118="",0,IF(COUNTIF($A$2:$A1118,$A1118)=1,1,0))</f>
        <v>0</v>
      </c>
      <c r="AD1118">
        <f t="shared" si="271"/>
        <v>10</v>
      </c>
      <c r="AE1118" t="str">
        <f t="shared" si="272"/>
        <v>广州云尚项目|期末可供出租面积（平方米）</v>
      </c>
    </row>
    <row r="1119" spans="1:31" x14ac:dyDescent="0.4">
      <c r="A1119" t="str">
        <f>IF(原始经营数据!$D1120="","",原始经营数据!$D1120)</f>
        <v>华夏凯德消费封闭式基础设施证券投资基金</v>
      </c>
      <c r="B1119" t="str">
        <f>IF(原始经营数据!$D1120="","",T(原始经营数据!$E1120))</f>
        <v>广州云尚项目</v>
      </c>
      <c r="C1119" t="str">
        <f>IF(原始经营数据!$D1120="","",原始经营数据!$F1120)</f>
        <v>2026Q2</v>
      </c>
      <c r="D1119" t="str">
        <f>IF(原始经营数据!$D1120="","",原始经营数据!$H1120)</f>
        <v>期末出租率</v>
      </c>
      <c r="E1119">
        <f>IF(原始经营数据!$D1120="","",原始经营数据!$I1120)</f>
        <v>96.3</v>
      </c>
      <c r="F1119" t="str">
        <f>IF(原始经营数据!$D1120="","",T(原始经营数据!$J1120))</f>
        <v>%</v>
      </c>
      <c r="G1119" t="str">
        <f>IF(原始经营数据!$D1120="","",T(原始经营数据!$K1120))</f>
        <v/>
      </c>
      <c r="H1119" t="str">
        <f>IF(原始经营数据!$D1120="","",原始经营数据!$G1120)</f>
        <v>服务效率</v>
      </c>
      <c r="I1119" t="str">
        <f>IF($A1119="","",IF($B1119&lt;&gt;"",$B1119,IF(COUNTIFS(原始经营数据!$D$3:$D$3001,$A1119,原始经营数据!$E$3:$E$3001,"",原始经营数据!$F$3:$F$3001,$C1119,原始经营数据!$H$3:$H$3001,$D1119,原始经营数据!$K$3:$K$3001,$G1119)&gt;1,"基金整体·来源"&amp;原始经营数据!$A1120,"基金整体")))</f>
        <v>广州云尚项目</v>
      </c>
      <c r="J1119" t="str">
        <f t="shared" si="258"/>
        <v>季度</v>
      </c>
      <c r="K1119" t="str">
        <f t="shared" si="259"/>
        <v>期末出租率（%）</v>
      </c>
      <c r="L1119" t="str">
        <f t="shared" si="260"/>
        <v>广州云尚项目|期末出租率（%）|季度</v>
      </c>
      <c r="M1119">
        <f>IF($A1119="",0,IF(COUNTIF($L$2:$L1119,$L1119)=1,1,0))</f>
        <v>0</v>
      </c>
      <c r="N1119">
        <f t="shared" si="261"/>
        <v>20262</v>
      </c>
      <c r="O1119" t="str">
        <f t="shared" si="262"/>
        <v>华夏凯德消费封闭式基础设施证券投资基金|2026Q2|季度</v>
      </c>
      <c r="P1119">
        <f>IF($A1119="",0,IF(COUNTIF($O$2:$O1119,$O1119)=1,1,0))</f>
        <v>0</v>
      </c>
      <c r="Q1119" t="str">
        <f>IF(AND($P1119=1,$A1119=经营数据!$B$3,$J1119=经营数据!$BA$5),COUNTIFS($P$2:$P$3000,1,$A$2:$A$3000,$A1119,$J$2:$J$3000,$J1119,$N$2:$N$3000,"&lt;"&amp;$N1119)+1,"")</f>
        <v/>
      </c>
      <c r="R1119" t="str">
        <f t="shared" si="263"/>
        <v>华夏凯德消费封闭式基础设施证券投资基金|广州云尚项目</v>
      </c>
      <c r="S1119">
        <f>IF($A1119="",0,IF(COUNTIF($R$2:$R1119,$R1119)=1,1,0))</f>
        <v>0</v>
      </c>
      <c r="T1119">
        <f t="shared" si="264"/>
        <v>1048</v>
      </c>
      <c r="U1119" t="str">
        <f>IF($A1119="","",IF($A1119=经营数据!$B$3,COUNTIFS($S$2:$S$3000,1,$A$2:$A$3000,$A1119,$T$2:$T$3000,"&lt;"&amp;$T1119)+1,""))</f>
        <v/>
      </c>
      <c r="V1119" t="str">
        <f t="shared" si="265"/>
        <v>广州云尚项目|服务效率</v>
      </c>
      <c r="W1119">
        <f t="shared" si="266"/>
        <v>1055</v>
      </c>
      <c r="X1119" t="str">
        <f t="shared" si="267"/>
        <v>广州云尚项目|期末出租率</v>
      </c>
      <c r="Y1119">
        <f t="shared" si="268"/>
        <v>1104</v>
      </c>
      <c r="Z1119">
        <f>IF($A1119="",0,IF(AND($M1119=1,$A1119=经营数据!$B$3,$J1119=经营数据!$BA$5,OR($I1119=经营数据!$BA$4,COUNTIF(经营数据!$AA$9:$AA$38,$I1119)&gt;0)),1,0))</f>
        <v>0</v>
      </c>
      <c r="AA1119" t="str">
        <f t="shared" si="269"/>
        <v/>
      </c>
      <c r="AB1119" t="str">
        <f t="shared" si="270"/>
        <v/>
      </c>
      <c r="AC1119">
        <f>IF($A1119="",0,IF(COUNTIF($A$2:$A1119,$A1119)=1,1,0))</f>
        <v>0</v>
      </c>
      <c r="AD1119">
        <f t="shared" si="271"/>
        <v>10</v>
      </c>
      <c r="AE1119" t="str">
        <f t="shared" si="272"/>
        <v>广州云尚项目|期末出租率（%）</v>
      </c>
    </row>
    <row r="1120" spans="1:31" x14ac:dyDescent="0.4">
      <c r="A1120" t="str">
        <f>IF(原始经营数据!$D1121="","",原始经营数据!$D1121)</f>
        <v>华夏凯德消费封闭式基础设施证券投资基金</v>
      </c>
      <c r="B1120" t="str">
        <f>IF(原始经营数据!$D1121="","",T(原始经营数据!$E1121))</f>
        <v>广州云尚项目</v>
      </c>
      <c r="C1120" t="str">
        <f>IF(原始经营数据!$D1121="","",原始经营数据!$F1121)</f>
        <v>2026Q2</v>
      </c>
      <c r="D1120" t="str">
        <f>IF(原始经营数据!$D1121="","",原始经营数据!$H1121)</f>
        <v>期末租金收缴率</v>
      </c>
      <c r="E1120">
        <f>IF(原始经营数据!$D1121="","",原始经营数据!$I1121)</f>
        <v>98.38</v>
      </c>
      <c r="F1120" t="str">
        <f>IF(原始经营数据!$D1121="","",T(原始经营数据!$J1121))</f>
        <v>%</v>
      </c>
      <c r="G1120" t="str">
        <f>IF(原始经营数据!$D1121="","",T(原始经营数据!$K1121))</f>
        <v/>
      </c>
      <c r="H1120" t="str">
        <f>IF(原始经营数据!$D1121="","",原始经营数据!$G1121)</f>
        <v>服务效率</v>
      </c>
      <c r="I1120" t="str">
        <f>IF($A1120="","",IF($B1120&lt;&gt;"",$B1120,IF(COUNTIFS(原始经营数据!$D$3:$D$3001,$A1120,原始经营数据!$E$3:$E$3001,"",原始经营数据!$F$3:$F$3001,$C1120,原始经营数据!$H$3:$H$3001,$D1120,原始经营数据!$K$3:$K$3001,$G1120)&gt;1,"基金整体·来源"&amp;原始经营数据!$A1121,"基金整体")))</f>
        <v>广州云尚项目</v>
      </c>
      <c r="J1120" t="str">
        <f t="shared" si="258"/>
        <v>季度</v>
      </c>
      <c r="K1120" t="str">
        <f t="shared" si="259"/>
        <v>期末租金收缴率（%）</v>
      </c>
      <c r="L1120" t="str">
        <f t="shared" si="260"/>
        <v>广州云尚项目|期末租金收缴率（%）|季度</v>
      </c>
      <c r="M1120">
        <f>IF($A1120="",0,IF(COUNTIF($L$2:$L1120,$L1120)=1,1,0))</f>
        <v>0</v>
      </c>
      <c r="N1120">
        <f t="shared" si="261"/>
        <v>20262</v>
      </c>
      <c r="O1120" t="str">
        <f t="shared" si="262"/>
        <v>华夏凯德消费封闭式基础设施证券投资基金|2026Q2|季度</v>
      </c>
      <c r="P1120">
        <f>IF($A1120="",0,IF(COUNTIF($O$2:$O1120,$O1120)=1,1,0))</f>
        <v>0</v>
      </c>
      <c r="Q1120" t="str">
        <f>IF(AND($P1120=1,$A1120=经营数据!$B$3,$J1120=经营数据!$BA$5),COUNTIFS($P$2:$P$3000,1,$A$2:$A$3000,$A1120,$J$2:$J$3000,$J1120,$N$2:$N$3000,"&lt;"&amp;$N1120)+1,"")</f>
        <v/>
      </c>
      <c r="R1120" t="str">
        <f t="shared" si="263"/>
        <v>华夏凯德消费封闭式基础设施证券投资基金|广州云尚项目</v>
      </c>
      <c r="S1120">
        <f>IF($A1120="",0,IF(COUNTIF($R$2:$R1120,$R1120)=1,1,0))</f>
        <v>0</v>
      </c>
      <c r="T1120">
        <f t="shared" si="264"/>
        <v>1048</v>
      </c>
      <c r="U1120" t="str">
        <f>IF($A1120="","",IF($A1120=经营数据!$B$3,COUNTIFS($S$2:$S$3000,1,$A$2:$A$3000,$A1120,$T$2:$T$3000,"&lt;"&amp;$T1120)+1,""))</f>
        <v/>
      </c>
      <c r="V1120" t="str">
        <f t="shared" si="265"/>
        <v>广州云尚项目|服务效率</v>
      </c>
      <c r="W1120">
        <f t="shared" si="266"/>
        <v>1055</v>
      </c>
      <c r="X1120" t="str">
        <f t="shared" si="267"/>
        <v>广州云尚项目|期末租金收缴率</v>
      </c>
      <c r="Y1120">
        <f t="shared" si="268"/>
        <v>1107</v>
      </c>
      <c r="Z1120">
        <f>IF($A1120="",0,IF(AND($M1120=1,$A1120=经营数据!$B$3,$J1120=经营数据!$BA$5,OR($I1120=经营数据!$BA$4,COUNTIF(经营数据!$AA$9:$AA$38,$I1120)&gt;0)),1,0))</f>
        <v>0</v>
      </c>
      <c r="AA1120" t="str">
        <f t="shared" si="269"/>
        <v/>
      </c>
      <c r="AB1120" t="str">
        <f t="shared" si="270"/>
        <v/>
      </c>
      <c r="AC1120">
        <f>IF($A1120="",0,IF(COUNTIF($A$2:$A1120,$A1120)=1,1,0))</f>
        <v>0</v>
      </c>
      <c r="AD1120">
        <f t="shared" si="271"/>
        <v>10</v>
      </c>
      <c r="AE1120" t="str">
        <f t="shared" si="272"/>
        <v>广州云尚项目|期末租金收缴率（%）</v>
      </c>
    </row>
    <row r="1121" spans="1:31" x14ac:dyDescent="0.4">
      <c r="A1121" t="str">
        <f>IF(原始经营数据!$D1122="","",原始经营数据!$D1122)</f>
        <v>华夏凯德消费封闭式基础设施证券投资基金</v>
      </c>
      <c r="B1121" t="str">
        <f>IF(原始经营数据!$D1122="","",T(原始经营数据!$E1122))</f>
        <v>长沙雨花亭项目</v>
      </c>
      <c r="C1121" t="str">
        <f>IF(原始经营数据!$D1122="","",原始经营数据!$F1122)</f>
        <v>2022</v>
      </c>
      <c r="D1121" t="str">
        <f>IF(原始经营数据!$D1122="","",原始经营数据!$H1122)</f>
        <v>营业收入（考虑租金减免，不含税）</v>
      </c>
      <c r="E1121">
        <f>IF(原始经营数据!$D1122="","",原始经营数据!$I1122)</f>
        <v>674.29</v>
      </c>
      <c r="F1121" t="str">
        <f>IF(原始经营数据!$D1122="","",T(原始经营数据!$J1122))</f>
        <v>万元</v>
      </c>
      <c r="G1121" t="str">
        <f>IF(原始经营数据!$D1122="","",T(原始经营数据!$K1122))</f>
        <v>其他收入</v>
      </c>
      <c r="H1121" t="str">
        <f>IF(原始经营数据!$D1122="","",原始经营数据!$G1122)</f>
        <v>服务金额</v>
      </c>
      <c r="I1121" t="str">
        <f>IF($A1121="","",IF($B1121&lt;&gt;"",$B1121,IF(COUNTIFS(原始经营数据!$D$3:$D$3001,$A1121,原始经营数据!$E$3:$E$3001,"",原始经营数据!$F$3:$F$3001,$C1121,原始经营数据!$H$3:$H$3001,$D1121,原始经营数据!$K$3:$K$3001,$G1121)&gt;1,"基金整体·来源"&amp;原始经营数据!$A1122,"基金整体")))</f>
        <v>长沙雨花亭项目</v>
      </c>
      <c r="J1121" t="str">
        <f t="shared" si="258"/>
        <v>年度</v>
      </c>
      <c r="K1121" t="str">
        <f t="shared" si="259"/>
        <v>营业收入（考虑租金减免，不含税）-其他收入（万元）</v>
      </c>
      <c r="L1121" t="str">
        <f t="shared" si="260"/>
        <v>长沙雨花亭项目|营业收入（考虑租金减免，不含税）-其他收入（万元）|年度</v>
      </c>
      <c r="M1121">
        <f>IF($A1121="",0,IF(COUNTIF($L$2:$L1121,$L1121)=1,1,0))</f>
        <v>1</v>
      </c>
      <c r="N1121">
        <f t="shared" si="261"/>
        <v>20220</v>
      </c>
      <c r="O1121" t="str">
        <f t="shared" si="262"/>
        <v>华夏凯德消费封闭式基础设施证券投资基金|2022|年度</v>
      </c>
      <c r="P1121">
        <f>IF($A1121="",0,IF(COUNTIF($O$2:$O1121,$O1121)=1,1,0))</f>
        <v>0</v>
      </c>
      <c r="Q1121" t="str">
        <f>IF(AND($P1121=1,$A1121=经营数据!$B$3,$J1121=经营数据!$BA$5),COUNTIFS($P$2:$P$3000,1,$A$2:$A$3000,$A1121,$J$2:$J$3000,$J1121,$N$2:$N$3000,"&lt;"&amp;$N1121)+1,"")</f>
        <v/>
      </c>
      <c r="R1121" t="str">
        <f t="shared" si="263"/>
        <v>华夏凯德消费封闭式基础设施证券投资基金|长沙雨花亭项目</v>
      </c>
      <c r="S1121">
        <f>IF($A1121="",0,IF(COUNTIF($R$2:$R1121,$R1121)=1,1,0))</f>
        <v>1</v>
      </c>
      <c r="T1121">
        <f t="shared" si="264"/>
        <v>1120</v>
      </c>
      <c r="U1121" t="str">
        <f>IF($A1121="","",IF($A1121=经营数据!$B$3,COUNTIFS($S$2:$S$3000,1,$A$2:$A$3000,$A1121,$T$2:$T$3000,"&lt;"&amp;$T1121)+1,""))</f>
        <v/>
      </c>
      <c r="V1121" t="str">
        <f t="shared" si="265"/>
        <v>长沙雨花亭项目|服务金额</v>
      </c>
      <c r="W1121">
        <f t="shared" si="266"/>
        <v>1120</v>
      </c>
      <c r="X1121" t="str">
        <f t="shared" si="267"/>
        <v>长沙雨花亭项目|营业收入（考虑租金减免，不含税）</v>
      </c>
      <c r="Y1121">
        <f t="shared" si="268"/>
        <v>1120</v>
      </c>
      <c r="Z1121">
        <f>IF($A1121="",0,IF(AND($M1121=1,$A1121=经营数据!$B$3,$J1121=经营数据!$BA$5,OR($I1121=经营数据!$BA$4,COUNTIF(经营数据!$AA$9:$AA$38,$I1121)&gt;0)),1,0))</f>
        <v>0</v>
      </c>
      <c r="AA1121" t="str">
        <f t="shared" si="269"/>
        <v/>
      </c>
      <c r="AB1121" t="str">
        <f t="shared" si="270"/>
        <v/>
      </c>
      <c r="AC1121">
        <f>IF($A1121="",0,IF(COUNTIF($A$2:$A1121,$A1121)=1,1,0))</f>
        <v>0</v>
      </c>
      <c r="AD1121">
        <f t="shared" si="271"/>
        <v>10</v>
      </c>
      <c r="AE1121" t="str">
        <f t="shared" si="272"/>
        <v>长沙雨花亭项目|营业收入（考虑租金减免，不含税）-其他收入（万元）</v>
      </c>
    </row>
    <row r="1122" spans="1:31" x14ac:dyDescent="0.4">
      <c r="A1122" t="str">
        <f>IF(原始经营数据!$D1123="","",原始经营数据!$D1123)</f>
        <v>华夏凯德消费封闭式基础设施证券投资基金</v>
      </c>
      <c r="B1122" t="str">
        <f>IF(原始经营数据!$D1123="","",T(原始经营数据!$E1123))</f>
        <v>长沙雨花亭项目</v>
      </c>
      <c r="C1122" t="str">
        <f>IF(原始经营数据!$D1123="","",原始经营数据!$F1123)</f>
        <v>2022</v>
      </c>
      <c r="D1122" t="str">
        <f>IF(原始经营数据!$D1123="","",原始经营数据!$H1123)</f>
        <v>营业收入（考虑租金减免，不含税）</v>
      </c>
      <c r="E1122">
        <f>IF(原始经营数据!$D1123="","",原始经营数据!$I1123)</f>
        <v>211.18</v>
      </c>
      <c r="F1122" t="str">
        <f>IF(原始经营数据!$D1123="","",T(原始经营数据!$J1123))</f>
        <v>万元</v>
      </c>
      <c r="G1122" t="str">
        <f>IF(原始经营数据!$D1123="","",T(原始经营数据!$K1123))</f>
        <v>推广费收入</v>
      </c>
      <c r="H1122" t="str">
        <f>IF(原始经营数据!$D1123="","",原始经营数据!$G1123)</f>
        <v>服务金额</v>
      </c>
      <c r="I1122" t="str">
        <f>IF($A1122="","",IF($B1122&lt;&gt;"",$B1122,IF(COUNTIFS(原始经营数据!$D$3:$D$3001,$A1122,原始经营数据!$E$3:$E$3001,"",原始经营数据!$F$3:$F$3001,$C1122,原始经营数据!$H$3:$H$3001,$D1122,原始经营数据!$K$3:$K$3001,$G1122)&gt;1,"基金整体·来源"&amp;原始经营数据!$A1123,"基金整体")))</f>
        <v>长沙雨花亭项目</v>
      </c>
      <c r="J1122" t="str">
        <f t="shared" si="258"/>
        <v>年度</v>
      </c>
      <c r="K1122" t="str">
        <f t="shared" si="259"/>
        <v>营业收入（考虑租金减免，不含税）-推广费收入（万元）</v>
      </c>
      <c r="L1122" t="str">
        <f t="shared" si="260"/>
        <v>长沙雨花亭项目|营业收入（考虑租金减免，不含税）-推广费收入（万元）|年度</v>
      </c>
      <c r="M1122">
        <f>IF($A1122="",0,IF(COUNTIF($L$2:$L1122,$L1122)=1,1,0))</f>
        <v>1</v>
      </c>
      <c r="N1122">
        <f t="shared" si="261"/>
        <v>20220</v>
      </c>
      <c r="O1122" t="str">
        <f t="shared" si="262"/>
        <v>华夏凯德消费封闭式基础设施证券投资基金|2022|年度</v>
      </c>
      <c r="P1122">
        <f>IF($A1122="",0,IF(COUNTIF($O$2:$O1122,$O1122)=1,1,0))</f>
        <v>0</v>
      </c>
      <c r="Q1122" t="str">
        <f>IF(AND($P1122=1,$A1122=经营数据!$B$3,$J1122=经营数据!$BA$5),COUNTIFS($P$2:$P$3000,1,$A$2:$A$3000,$A1122,$J$2:$J$3000,$J1122,$N$2:$N$3000,"&lt;"&amp;$N1122)+1,"")</f>
        <v/>
      </c>
      <c r="R1122" t="str">
        <f t="shared" si="263"/>
        <v>华夏凯德消费封闭式基础设施证券投资基金|长沙雨花亭项目</v>
      </c>
      <c r="S1122">
        <f>IF($A1122="",0,IF(COUNTIF($R$2:$R1122,$R1122)=1,1,0))</f>
        <v>0</v>
      </c>
      <c r="T1122">
        <f t="shared" si="264"/>
        <v>1120</v>
      </c>
      <c r="U1122" t="str">
        <f>IF($A1122="","",IF($A1122=经营数据!$B$3,COUNTIFS($S$2:$S$3000,1,$A$2:$A$3000,$A1122,$T$2:$T$3000,"&lt;"&amp;$T1122)+1,""))</f>
        <v/>
      </c>
      <c r="V1122" t="str">
        <f t="shared" si="265"/>
        <v>长沙雨花亭项目|服务金额</v>
      </c>
      <c r="W1122">
        <f t="shared" si="266"/>
        <v>1120</v>
      </c>
      <c r="X1122" t="str">
        <f t="shared" si="267"/>
        <v>长沙雨花亭项目|营业收入（考虑租金减免，不含税）</v>
      </c>
      <c r="Y1122">
        <f t="shared" si="268"/>
        <v>1120</v>
      </c>
      <c r="Z1122">
        <f>IF($A1122="",0,IF(AND($M1122=1,$A1122=经营数据!$B$3,$J1122=经营数据!$BA$5,OR($I1122=经营数据!$BA$4,COUNTIF(经营数据!$AA$9:$AA$38,$I1122)&gt;0)),1,0))</f>
        <v>0</v>
      </c>
      <c r="AA1122" t="str">
        <f t="shared" si="269"/>
        <v/>
      </c>
      <c r="AB1122" t="str">
        <f t="shared" si="270"/>
        <v/>
      </c>
      <c r="AC1122">
        <f>IF($A1122="",0,IF(COUNTIF($A$2:$A1122,$A1122)=1,1,0))</f>
        <v>0</v>
      </c>
      <c r="AD1122">
        <f t="shared" si="271"/>
        <v>10</v>
      </c>
      <c r="AE1122" t="str">
        <f t="shared" si="272"/>
        <v>长沙雨花亭项目|营业收入（考虑租金减免，不含税）-推广费收入（万元）</v>
      </c>
    </row>
    <row r="1123" spans="1:31" x14ac:dyDescent="0.4">
      <c r="A1123" t="str">
        <f>IF(原始经营数据!$D1124="","",原始经营数据!$D1124)</f>
        <v>华夏凯德消费封闭式基础设施证券投资基金</v>
      </c>
      <c r="B1123" t="str">
        <f>IF(原始经营数据!$D1124="","",T(原始经营数据!$E1124))</f>
        <v>长沙雨花亭项目</v>
      </c>
      <c r="C1123" t="str">
        <f>IF(原始经营数据!$D1124="","",原始经营数据!$F1124)</f>
        <v>2022</v>
      </c>
      <c r="D1123" t="str">
        <f>IF(原始经营数据!$D1124="","",原始经营数据!$H1124)</f>
        <v>营业收入（考虑租金减免，不含税）</v>
      </c>
      <c r="E1123">
        <f>IF(原始经营数据!$D1124="","",原始经营数据!$I1124)</f>
        <v>196.79</v>
      </c>
      <c r="F1123" t="str">
        <f>IF(原始经营数据!$D1124="","",T(原始经营数据!$J1124))</f>
        <v>万元</v>
      </c>
      <c r="G1123" t="str">
        <f>IF(原始经营数据!$D1124="","",T(原始经营数据!$K1124))</f>
        <v>抽成租金收入</v>
      </c>
      <c r="H1123" t="str">
        <f>IF(原始经营数据!$D1124="","",原始经营数据!$G1124)</f>
        <v>服务金额</v>
      </c>
      <c r="I1123" t="str">
        <f>IF($A1123="","",IF($B1123&lt;&gt;"",$B1123,IF(COUNTIFS(原始经营数据!$D$3:$D$3001,$A1123,原始经营数据!$E$3:$E$3001,"",原始经营数据!$F$3:$F$3001,$C1123,原始经营数据!$H$3:$H$3001,$D1123,原始经营数据!$K$3:$K$3001,$G1123)&gt;1,"基金整体·来源"&amp;原始经营数据!$A1124,"基金整体")))</f>
        <v>长沙雨花亭项目</v>
      </c>
      <c r="J1123" t="str">
        <f t="shared" si="258"/>
        <v>年度</v>
      </c>
      <c r="K1123" t="str">
        <f t="shared" si="259"/>
        <v>营业收入（考虑租金减免，不含税）-抽成租金收入（万元）</v>
      </c>
      <c r="L1123" t="str">
        <f t="shared" si="260"/>
        <v>长沙雨花亭项目|营业收入（考虑租金减免，不含税）-抽成租金收入（万元）|年度</v>
      </c>
      <c r="M1123">
        <f>IF($A1123="",0,IF(COUNTIF($L$2:$L1123,$L1123)=1,1,0))</f>
        <v>1</v>
      </c>
      <c r="N1123">
        <f t="shared" si="261"/>
        <v>20220</v>
      </c>
      <c r="O1123" t="str">
        <f t="shared" si="262"/>
        <v>华夏凯德消费封闭式基础设施证券投资基金|2022|年度</v>
      </c>
      <c r="P1123">
        <f>IF($A1123="",0,IF(COUNTIF($O$2:$O1123,$O1123)=1,1,0))</f>
        <v>0</v>
      </c>
      <c r="Q1123" t="str">
        <f>IF(AND($P1123=1,$A1123=经营数据!$B$3,$J1123=经营数据!$BA$5),COUNTIFS($P$2:$P$3000,1,$A$2:$A$3000,$A1123,$J$2:$J$3000,$J1123,$N$2:$N$3000,"&lt;"&amp;$N1123)+1,"")</f>
        <v/>
      </c>
      <c r="R1123" t="str">
        <f t="shared" si="263"/>
        <v>华夏凯德消费封闭式基础设施证券投资基金|长沙雨花亭项目</v>
      </c>
      <c r="S1123">
        <f>IF($A1123="",0,IF(COUNTIF($R$2:$R1123,$R1123)=1,1,0))</f>
        <v>0</v>
      </c>
      <c r="T1123">
        <f t="shared" si="264"/>
        <v>1120</v>
      </c>
      <c r="U1123" t="str">
        <f>IF($A1123="","",IF($A1123=经营数据!$B$3,COUNTIFS($S$2:$S$3000,1,$A$2:$A$3000,$A1123,$T$2:$T$3000,"&lt;"&amp;$T1123)+1,""))</f>
        <v/>
      </c>
      <c r="V1123" t="str">
        <f t="shared" si="265"/>
        <v>长沙雨花亭项目|服务金额</v>
      </c>
      <c r="W1123">
        <f t="shared" si="266"/>
        <v>1120</v>
      </c>
      <c r="X1123" t="str">
        <f t="shared" si="267"/>
        <v>长沙雨花亭项目|营业收入（考虑租金减免，不含税）</v>
      </c>
      <c r="Y1123">
        <f t="shared" si="268"/>
        <v>1120</v>
      </c>
      <c r="Z1123">
        <f>IF($A1123="",0,IF(AND($M1123=1,$A1123=经营数据!$B$3,$J1123=经营数据!$BA$5,OR($I1123=经营数据!$BA$4,COUNTIF(经营数据!$AA$9:$AA$38,$I1123)&gt;0)),1,0))</f>
        <v>0</v>
      </c>
      <c r="AA1123" t="str">
        <f t="shared" si="269"/>
        <v/>
      </c>
      <c r="AB1123" t="str">
        <f t="shared" si="270"/>
        <v/>
      </c>
      <c r="AC1123">
        <f>IF($A1123="",0,IF(COUNTIF($A$2:$A1123,$A1123)=1,1,0))</f>
        <v>0</v>
      </c>
      <c r="AD1123">
        <f t="shared" si="271"/>
        <v>10</v>
      </c>
      <c r="AE1123" t="str">
        <f t="shared" si="272"/>
        <v>长沙雨花亭项目|营业收入（考虑租金减免，不含税）-抽成租金收入（万元）</v>
      </c>
    </row>
    <row r="1124" spans="1:31" x14ac:dyDescent="0.4">
      <c r="A1124" t="str">
        <f>IF(原始经营数据!$D1125="","",原始经营数据!$D1125)</f>
        <v>华夏凯德消费封闭式基础设施证券投资基金</v>
      </c>
      <c r="B1124" t="str">
        <f>IF(原始经营数据!$D1125="","",T(原始经营数据!$E1125))</f>
        <v>长沙雨花亭项目</v>
      </c>
      <c r="C1124" t="str">
        <f>IF(原始经营数据!$D1125="","",原始经营数据!$F1125)</f>
        <v>2022</v>
      </c>
      <c r="D1124" t="str">
        <f>IF(原始经营数据!$D1125="","",原始经营数据!$H1125)</f>
        <v>营业收入（考虑租金减免，不含税）</v>
      </c>
      <c r="E1124">
        <f>IF(原始经营数据!$D1125="","",原始经营数据!$I1125)</f>
        <v>4937.8900000000003</v>
      </c>
      <c r="F1124" t="str">
        <f>IF(原始经营数据!$D1125="","",T(原始经营数据!$J1125))</f>
        <v>万元</v>
      </c>
      <c r="G1124" t="str">
        <f>IF(原始经营数据!$D1125="","",T(原始经营数据!$K1125))</f>
        <v>固定租金收入</v>
      </c>
      <c r="H1124" t="str">
        <f>IF(原始经营数据!$D1125="","",原始经营数据!$G1125)</f>
        <v>服务金额</v>
      </c>
      <c r="I1124" t="str">
        <f>IF($A1124="","",IF($B1124&lt;&gt;"",$B1124,IF(COUNTIFS(原始经营数据!$D$3:$D$3001,$A1124,原始经营数据!$E$3:$E$3001,"",原始经营数据!$F$3:$F$3001,$C1124,原始经营数据!$H$3:$H$3001,$D1124,原始经营数据!$K$3:$K$3001,$G1124)&gt;1,"基金整体·来源"&amp;原始经营数据!$A1125,"基金整体")))</f>
        <v>长沙雨花亭项目</v>
      </c>
      <c r="J1124" t="str">
        <f t="shared" si="258"/>
        <v>年度</v>
      </c>
      <c r="K1124" t="str">
        <f t="shared" si="259"/>
        <v>营业收入（考虑租金减免，不含税）-固定租金收入（万元）</v>
      </c>
      <c r="L1124" t="str">
        <f t="shared" si="260"/>
        <v>长沙雨花亭项目|营业收入（考虑租金减免，不含税）-固定租金收入（万元）|年度</v>
      </c>
      <c r="M1124">
        <f>IF($A1124="",0,IF(COUNTIF($L$2:$L1124,$L1124)=1,1,0))</f>
        <v>1</v>
      </c>
      <c r="N1124">
        <f t="shared" si="261"/>
        <v>20220</v>
      </c>
      <c r="O1124" t="str">
        <f t="shared" si="262"/>
        <v>华夏凯德消费封闭式基础设施证券投资基金|2022|年度</v>
      </c>
      <c r="P1124">
        <f>IF($A1124="",0,IF(COUNTIF($O$2:$O1124,$O1124)=1,1,0))</f>
        <v>0</v>
      </c>
      <c r="Q1124" t="str">
        <f>IF(AND($P1124=1,$A1124=经营数据!$B$3,$J1124=经营数据!$BA$5),COUNTIFS($P$2:$P$3000,1,$A$2:$A$3000,$A1124,$J$2:$J$3000,$J1124,$N$2:$N$3000,"&lt;"&amp;$N1124)+1,"")</f>
        <v/>
      </c>
      <c r="R1124" t="str">
        <f t="shared" si="263"/>
        <v>华夏凯德消费封闭式基础设施证券投资基金|长沙雨花亭项目</v>
      </c>
      <c r="S1124">
        <f>IF($A1124="",0,IF(COUNTIF($R$2:$R1124,$R1124)=1,1,0))</f>
        <v>0</v>
      </c>
      <c r="T1124">
        <f t="shared" si="264"/>
        <v>1120</v>
      </c>
      <c r="U1124" t="str">
        <f>IF($A1124="","",IF($A1124=经营数据!$B$3,COUNTIFS($S$2:$S$3000,1,$A$2:$A$3000,$A1124,$T$2:$T$3000,"&lt;"&amp;$T1124)+1,""))</f>
        <v/>
      </c>
      <c r="V1124" t="str">
        <f t="shared" si="265"/>
        <v>长沙雨花亭项目|服务金额</v>
      </c>
      <c r="W1124">
        <f t="shared" si="266"/>
        <v>1120</v>
      </c>
      <c r="X1124" t="str">
        <f t="shared" si="267"/>
        <v>长沙雨花亭项目|营业收入（考虑租金减免，不含税）</v>
      </c>
      <c r="Y1124">
        <f t="shared" si="268"/>
        <v>1120</v>
      </c>
      <c r="Z1124">
        <f>IF($A1124="",0,IF(AND($M1124=1,$A1124=经营数据!$B$3,$J1124=经营数据!$BA$5,OR($I1124=经营数据!$BA$4,COUNTIF(经营数据!$AA$9:$AA$38,$I1124)&gt;0)),1,0))</f>
        <v>0</v>
      </c>
      <c r="AA1124" t="str">
        <f t="shared" si="269"/>
        <v/>
      </c>
      <c r="AB1124" t="str">
        <f t="shared" si="270"/>
        <v/>
      </c>
      <c r="AC1124">
        <f>IF($A1124="",0,IF(COUNTIF($A$2:$A1124,$A1124)=1,1,0))</f>
        <v>0</v>
      </c>
      <c r="AD1124">
        <f t="shared" si="271"/>
        <v>10</v>
      </c>
      <c r="AE1124" t="str">
        <f t="shared" si="272"/>
        <v>长沙雨花亭项目|营业收入（考虑租金减免，不含税）-固定租金收入（万元）</v>
      </c>
    </row>
    <row r="1125" spans="1:31" x14ac:dyDescent="0.4">
      <c r="A1125" t="str">
        <f>IF(原始经营数据!$D1126="","",原始经营数据!$D1126)</f>
        <v>华夏凯德消费封闭式基础设施证券投资基金</v>
      </c>
      <c r="B1125" t="str">
        <f>IF(原始经营数据!$D1126="","",T(原始经营数据!$E1126))</f>
        <v>长沙雨花亭项目</v>
      </c>
      <c r="C1125" t="str">
        <f>IF(原始经营数据!$D1126="","",原始经营数据!$F1126)</f>
        <v>2022</v>
      </c>
      <c r="D1125" t="str">
        <f>IF(原始经营数据!$D1126="","",原始经营数据!$H1126)</f>
        <v>客流量</v>
      </c>
      <c r="E1125">
        <f>IF(原始经营数据!$D1126="","",原始经营数据!$I1126)</f>
        <v>2.65</v>
      </c>
      <c r="F1125" t="str">
        <f>IF(原始经营数据!$D1126="","",T(原始经营数据!$J1126))</f>
        <v>万人/日</v>
      </c>
      <c r="G1125" t="str">
        <f>IF(原始经营数据!$D1126="","",T(原始经营数据!$K1126))</f>
        <v/>
      </c>
      <c r="H1125" t="str">
        <f>IF(原始经营数据!$D1126="","",原始经营数据!$G1126)</f>
        <v>服务量</v>
      </c>
      <c r="I1125" t="str">
        <f>IF($A1125="","",IF($B1125&lt;&gt;"",$B1125,IF(COUNTIFS(原始经营数据!$D$3:$D$3001,$A1125,原始经营数据!$E$3:$E$3001,"",原始经营数据!$F$3:$F$3001,$C1125,原始经营数据!$H$3:$H$3001,$D1125,原始经营数据!$K$3:$K$3001,$G1125)&gt;1,"基金整体·来源"&amp;原始经营数据!$A1126,"基金整体")))</f>
        <v>长沙雨花亭项目</v>
      </c>
      <c r="J1125" t="str">
        <f t="shared" si="258"/>
        <v>年度</v>
      </c>
      <c r="K1125" t="str">
        <f t="shared" si="259"/>
        <v>客流量（万人/日）</v>
      </c>
      <c r="L1125" t="str">
        <f t="shared" si="260"/>
        <v>长沙雨花亭项目|客流量（万人/日）|年度</v>
      </c>
      <c r="M1125">
        <f>IF($A1125="",0,IF(COUNTIF($L$2:$L1125,$L1125)=1,1,0))</f>
        <v>1</v>
      </c>
      <c r="N1125">
        <f t="shared" si="261"/>
        <v>20220</v>
      </c>
      <c r="O1125" t="str">
        <f t="shared" si="262"/>
        <v>华夏凯德消费封闭式基础设施证券投资基金|2022|年度</v>
      </c>
      <c r="P1125">
        <f>IF($A1125="",0,IF(COUNTIF($O$2:$O1125,$O1125)=1,1,0))</f>
        <v>0</v>
      </c>
      <c r="Q1125" t="str">
        <f>IF(AND($P1125=1,$A1125=经营数据!$B$3,$J1125=经营数据!$BA$5),COUNTIFS($P$2:$P$3000,1,$A$2:$A$3000,$A1125,$J$2:$J$3000,$J1125,$N$2:$N$3000,"&lt;"&amp;$N1125)+1,"")</f>
        <v/>
      </c>
      <c r="R1125" t="str">
        <f t="shared" si="263"/>
        <v>华夏凯德消费封闭式基础设施证券投资基金|长沙雨花亭项目</v>
      </c>
      <c r="S1125">
        <f>IF($A1125="",0,IF(COUNTIF($R$2:$R1125,$R1125)=1,1,0))</f>
        <v>0</v>
      </c>
      <c r="T1125">
        <f t="shared" si="264"/>
        <v>1120</v>
      </c>
      <c r="U1125" t="str">
        <f>IF($A1125="","",IF($A1125=经营数据!$B$3,COUNTIFS($S$2:$S$3000,1,$A$2:$A$3000,$A1125,$T$2:$T$3000,"&lt;"&amp;$T1125)+1,""))</f>
        <v/>
      </c>
      <c r="V1125" t="str">
        <f t="shared" si="265"/>
        <v>长沙雨花亭项目|服务量</v>
      </c>
      <c r="W1125">
        <f t="shared" si="266"/>
        <v>1124</v>
      </c>
      <c r="X1125" t="str">
        <f t="shared" si="267"/>
        <v>长沙雨花亭项目|客流量</v>
      </c>
      <c r="Y1125">
        <f t="shared" si="268"/>
        <v>1124</v>
      </c>
      <c r="Z1125">
        <f>IF($A1125="",0,IF(AND($M1125=1,$A1125=经营数据!$B$3,$J1125=经营数据!$BA$5,OR($I1125=经营数据!$BA$4,COUNTIF(经营数据!$AA$9:$AA$38,$I1125)&gt;0)),1,0))</f>
        <v>0</v>
      </c>
      <c r="AA1125" t="str">
        <f t="shared" si="269"/>
        <v/>
      </c>
      <c r="AB1125" t="str">
        <f t="shared" si="270"/>
        <v/>
      </c>
      <c r="AC1125">
        <f>IF($A1125="",0,IF(COUNTIF($A$2:$A1125,$A1125)=1,1,0))</f>
        <v>0</v>
      </c>
      <c r="AD1125">
        <f t="shared" si="271"/>
        <v>10</v>
      </c>
      <c r="AE1125" t="str">
        <f t="shared" si="272"/>
        <v>长沙雨花亭项目|客流量（万人/日）</v>
      </c>
    </row>
    <row r="1126" spans="1:31" x14ac:dyDescent="0.4">
      <c r="A1126" t="str">
        <f>IF(原始经营数据!$D1127="","",原始经营数据!$D1127)</f>
        <v>华夏凯德消费封闭式基础设施证券投资基金</v>
      </c>
      <c r="B1126" t="str">
        <f>IF(原始经营数据!$D1127="","",T(原始经营数据!$E1127))</f>
        <v>长沙雨花亭项目</v>
      </c>
      <c r="C1126" t="str">
        <f>IF(原始经营数据!$D1127="","",原始经营数据!$F1127)</f>
        <v>2022</v>
      </c>
      <c r="D1126" t="str">
        <f>IF(原始经营数据!$D1127="","",原始经营数据!$H1127)</f>
        <v>销售额</v>
      </c>
      <c r="E1126">
        <f>IF(原始经营数据!$D1127="","",原始经营数据!$I1127)</f>
        <v>49500</v>
      </c>
      <c r="F1126" t="str">
        <f>IF(原始经营数据!$D1127="","",T(原始经营数据!$J1127))</f>
        <v>万元</v>
      </c>
      <c r="G1126" t="str">
        <f>IF(原始经营数据!$D1127="","",T(原始经营数据!$K1127))</f>
        <v/>
      </c>
      <c r="H1126" t="str">
        <f>IF(原始经营数据!$D1127="","",原始经营数据!$G1127)</f>
        <v>服务金额</v>
      </c>
      <c r="I1126" t="str">
        <f>IF($A1126="","",IF($B1126&lt;&gt;"",$B1126,IF(COUNTIFS(原始经营数据!$D$3:$D$3001,$A1126,原始经营数据!$E$3:$E$3001,"",原始经营数据!$F$3:$F$3001,$C1126,原始经营数据!$H$3:$H$3001,$D1126,原始经营数据!$K$3:$K$3001,$G1126)&gt;1,"基金整体·来源"&amp;原始经营数据!$A1127,"基金整体")))</f>
        <v>长沙雨花亭项目</v>
      </c>
      <c r="J1126" t="str">
        <f t="shared" si="258"/>
        <v>年度</v>
      </c>
      <c r="K1126" t="str">
        <f t="shared" si="259"/>
        <v>销售额（万元）</v>
      </c>
      <c r="L1126" t="str">
        <f t="shared" si="260"/>
        <v>长沙雨花亭项目|销售额（万元）|年度</v>
      </c>
      <c r="M1126">
        <f>IF($A1126="",0,IF(COUNTIF($L$2:$L1126,$L1126)=1,1,0))</f>
        <v>1</v>
      </c>
      <c r="N1126">
        <f t="shared" si="261"/>
        <v>20220</v>
      </c>
      <c r="O1126" t="str">
        <f t="shared" si="262"/>
        <v>华夏凯德消费封闭式基础设施证券投资基金|2022|年度</v>
      </c>
      <c r="P1126">
        <f>IF($A1126="",0,IF(COUNTIF($O$2:$O1126,$O1126)=1,1,0))</f>
        <v>0</v>
      </c>
      <c r="Q1126" t="str">
        <f>IF(AND($P1126=1,$A1126=经营数据!$B$3,$J1126=经营数据!$BA$5),COUNTIFS($P$2:$P$3000,1,$A$2:$A$3000,$A1126,$J$2:$J$3000,$J1126,$N$2:$N$3000,"&lt;"&amp;$N1126)+1,"")</f>
        <v/>
      </c>
      <c r="R1126" t="str">
        <f t="shared" si="263"/>
        <v>华夏凯德消费封闭式基础设施证券投资基金|长沙雨花亭项目</v>
      </c>
      <c r="S1126">
        <f>IF($A1126="",0,IF(COUNTIF($R$2:$R1126,$R1126)=1,1,0))</f>
        <v>0</v>
      </c>
      <c r="T1126">
        <f t="shared" si="264"/>
        <v>1120</v>
      </c>
      <c r="U1126" t="str">
        <f>IF($A1126="","",IF($A1126=经营数据!$B$3,COUNTIFS($S$2:$S$3000,1,$A$2:$A$3000,$A1126,$T$2:$T$3000,"&lt;"&amp;$T1126)+1,""))</f>
        <v/>
      </c>
      <c r="V1126" t="str">
        <f t="shared" si="265"/>
        <v>长沙雨花亭项目|服务金额</v>
      </c>
      <c r="W1126">
        <f t="shared" si="266"/>
        <v>1120</v>
      </c>
      <c r="X1126" t="str">
        <f t="shared" si="267"/>
        <v>长沙雨花亭项目|销售额</v>
      </c>
      <c r="Y1126">
        <f t="shared" si="268"/>
        <v>1125</v>
      </c>
      <c r="Z1126">
        <f>IF($A1126="",0,IF(AND($M1126=1,$A1126=经营数据!$B$3,$J1126=经营数据!$BA$5,OR($I1126=经营数据!$BA$4,COUNTIF(经营数据!$AA$9:$AA$38,$I1126)&gt;0)),1,0))</f>
        <v>0</v>
      </c>
      <c r="AA1126" t="str">
        <f t="shared" si="269"/>
        <v/>
      </c>
      <c r="AB1126" t="str">
        <f t="shared" si="270"/>
        <v/>
      </c>
      <c r="AC1126">
        <f>IF($A1126="",0,IF(COUNTIF($A$2:$A1126,$A1126)=1,1,0))</f>
        <v>0</v>
      </c>
      <c r="AD1126">
        <f t="shared" si="271"/>
        <v>10</v>
      </c>
      <c r="AE1126" t="str">
        <f t="shared" si="272"/>
        <v>长沙雨花亭项目|销售额（万元）</v>
      </c>
    </row>
    <row r="1127" spans="1:31" x14ac:dyDescent="0.4">
      <c r="A1127" t="str">
        <f>IF(原始经营数据!$D1128="","",原始经营数据!$D1128)</f>
        <v>华夏凯德消费封闭式基础设施证券投资基金</v>
      </c>
      <c r="B1127" t="str">
        <f>IF(原始经营数据!$D1128="","",T(原始经营数据!$E1128))</f>
        <v>长沙雨花亭项目</v>
      </c>
      <c r="C1127" t="str">
        <f>IF(原始经营数据!$D1128="","",原始经营数据!$F1128)</f>
        <v>2022</v>
      </c>
      <c r="D1127" t="str">
        <f>IF(原始经营数据!$D1128="","",原始经营数据!$H1128)</f>
        <v>营业收入（考虑租金减免，不含税）</v>
      </c>
      <c r="E1127">
        <f>IF(原始经营数据!$D1128="","",原始经营数据!$I1128)</f>
        <v>7526.87</v>
      </c>
      <c r="F1127" t="str">
        <f>IF(原始经营数据!$D1128="","",T(原始经营数据!$J1128))</f>
        <v>万元</v>
      </c>
      <c r="G1127" t="str">
        <f>IF(原始经营数据!$D1128="","",T(原始经营数据!$K1128))</f>
        <v/>
      </c>
      <c r="H1127" t="str">
        <f>IF(原始经营数据!$D1128="","",原始经营数据!$G1128)</f>
        <v>服务金额</v>
      </c>
      <c r="I1127" t="str">
        <f>IF($A1127="","",IF($B1127&lt;&gt;"",$B1127,IF(COUNTIFS(原始经营数据!$D$3:$D$3001,$A1127,原始经营数据!$E$3:$E$3001,"",原始经营数据!$F$3:$F$3001,$C1127,原始经营数据!$H$3:$H$3001,$D1127,原始经营数据!$K$3:$K$3001,$G1127)&gt;1,"基金整体·来源"&amp;原始经营数据!$A1128,"基金整体")))</f>
        <v>长沙雨花亭项目</v>
      </c>
      <c r="J1127" t="str">
        <f t="shared" si="258"/>
        <v>年度</v>
      </c>
      <c r="K1127" t="str">
        <f t="shared" si="259"/>
        <v>营业收入（考虑租金减免，不含税）（万元）</v>
      </c>
      <c r="L1127" t="str">
        <f t="shared" si="260"/>
        <v>长沙雨花亭项目|营业收入（考虑租金减免，不含税）（万元）|年度</v>
      </c>
      <c r="M1127">
        <f>IF($A1127="",0,IF(COUNTIF($L$2:$L1127,$L1127)=1,1,0))</f>
        <v>1</v>
      </c>
      <c r="N1127">
        <f t="shared" si="261"/>
        <v>20220</v>
      </c>
      <c r="O1127" t="str">
        <f t="shared" si="262"/>
        <v>华夏凯德消费封闭式基础设施证券投资基金|2022|年度</v>
      </c>
      <c r="P1127">
        <f>IF($A1127="",0,IF(COUNTIF($O$2:$O1127,$O1127)=1,1,0))</f>
        <v>0</v>
      </c>
      <c r="Q1127" t="str">
        <f>IF(AND($P1127=1,$A1127=经营数据!$B$3,$J1127=经营数据!$BA$5),COUNTIFS($P$2:$P$3000,1,$A$2:$A$3000,$A1127,$J$2:$J$3000,$J1127,$N$2:$N$3000,"&lt;"&amp;$N1127)+1,"")</f>
        <v/>
      </c>
      <c r="R1127" t="str">
        <f t="shared" si="263"/>
        <v>华夏凯德消费封闭式基础设施证券投资基金|长沙雨花亭项目</v>
      </c>
      <c r="S1127">
        <f>IF($A1127="",0,IF(COUNTIF($R$2:$R1127,$R1127)=1,1,0))</f>
        <v>0</v>
      </c>
      <c r="T1127">
        <f t="shared" si="264"/>
        <v>1120</v>
      </c>
      <c r="U1127" t="str">
        <f>IF($A1127="","",IF($A1127=经营数据!$B$3,COUNTIFS($S$2:$S$3000,1,$A$2:$A$3000,$A1127,$T$2:$T$3000,"&lt;"&amp;$T1127)+1,""))</f>
        <v/>
      </c>
      <c r="V1127" t="str">
        <f t="shared" si="265"/>
        <v>长沙雨花亭项目|服务金额</v>
      </c>
      <c r="W1127">
        <f t="shared" si="266"/>
        <v>1120</v>
      </c>
      <c r="X1127" t="str">
        <f t="shared" si="267"/>
        <v>长沙雨花亭项目|营业收入（考虑租金减免，不含税）</v>
      </c>
      <c r="Y1127">
        <f t="shared" si="268"/>
        <v>1120</v>
      </c>
      <c r="Z1127">
        <f>IF($A1127="",0,IF(AND($M1127=1,$A1127=经营数据!$B$3,$J1127=经营数据!$BA$5,OR($I1127=经营数据!$BA$4,COUNTIF(经营数据!$AA$9:$AA$38,$I1127)&gt;0)),1,0))</f>
        <v>0</v>
      </c>
      <c r="AA1127" t="str">
        <f t="shared" si="269"/>
        <v/>
      </c>
      <c r="AB1127" t="str">
        <f t="shared" si="270"/>
        <v/>
      </c>
      <c r="AC1127">
        <f>IF($A1127="",0,IF(COUNTIF($A$2:$A1127,$A1127)=1,1,0))</f>
        <v>0</v>
      </c>
      <c r="AD1127">
        <f t="shared" si="271"/>
        <v>10</v>
      </c>
      <c r="AE1127" t="str">
        <f t="shared" si="272"/>
        <v>长沙雨花亭项目|营业收入（考虑租金减免，不含税）（万元）</v>
      </c>
    </row>
    <row r="1128" spans="1:31" x14ac:dyDescent="0.4">
      <c r="A1128" t="str">
        <f>IF(原始经营数据!$D1129="","",原始经营数据!$D1129)</f>
        <v>华夏凯德消费封闭式基础设施证券投资基金</v>
      </c>
      <c r="B1128" t="str">
        <f>IF(原始经营数据!$D1129="","",T(原始经营数据!$E1129))</f>
        <v>长沙雨花亭项目</v>
      </c>
      <c r="C1128" t="str">
        <f>IF(原始经营数据!$D1129="","",原始经营数据!$F1129)</f>
        <v>2022</v>
      </c>
      <c r="D1128" t="str">
        <f>IF(原始经营数据!$D1129="","",原始经营数据!$H1129)</f>
        <v>租售比</v>
      </c>
      <c r="E1128">
        <f>IF(原始经营数据!$D1129="","",原始经营数据!$I1129)</f>
        <v>14.5</v>
      </c>
      <c r="F1128" t="str">
        <f>IF(原始经营数据!$D1129="","",T(原始经营数据!$J1129))</f>
        <v>%</v>
      </c>
      <c r="G1128" t="str">
        <f>IF(原始经营数据!$D1129="","",T(原始经营数据!$K1129))</f>
        <v/>
      </c>
      <c r="H1128" t="str">
        <f>IF(原始经营数据!$D1129="","",原始经营数据!$G1129)</f>
        <v>服务效率</v>
      </c>
      <c r="I1128" t="str">
        <f>IF($A1128="","",IF($B1128&lt;&gt;"",$B1128,IF(COUNTIFS(原始经营数据!$D$3:$D$3001,$A1128,原始经营数据!$E$3:$E$3001,"",原始经营数据!$F$3:$F$3001,$C1128,原始经营数据!$H$3:$H$3001,$D1128,原始经营数据!$K$3:$K$3001,$G1128)&gt;1,"基金整体·来源"&amp;原始经营数据!$A1129,"基金整体")))</f>
        <v>长沙雨花亭项目</v>
      </c>
      <c r="J1128" t="str">
        <f t="shared" si="258"/>
        <v>年度</v>
      </c>
      <c r="K1128" t="str">
        <f t="shared" si="259"/>
        <v>租售比（%）</v>
      </c>
      <c r="L1128" t="str">
        <f t="shared" si="260"/>
        <v>长沙雨花亭项目|租售比（%）|年度</v>
      </c>
      <c r="M1128">
        <f>IF($A1128="",0,IF(COUNTIF($L$2:$L1128,$L1128)=1,1,0))</f>
        <v>1</v>
      </c>
      <c r="N1128">
        <f t="shared" si="261"/>
        <v>20220</v>
      </c>
      <c r="O1128" t="str">
        <f t="shared" si="262"/>
        <v>华夏凯德消费封闭式基础设施证券投资基金|2022|年度</v>
      </c>
      <c r="P1128">
        <f>IF($A1128="",0,IF(COUNTIF($O$2:$O1128,$O1128)=1,1,0))</f>
        <v>0</v>
      </c>
      <c r="Q1128" t="str">
        <f>IF(AND($P1128=1,$A1128=经营数据!$B$3,$J1128=经营数据!$BA$5),COUNTIFS($P$2:$P$3000,1,$A$2:$A$3000,$A1128,$J$2:$J$3000,$J1128,$N$2:$N$3000,"&lt;"&amp;$N1128)+1,"")</f>
        <v/>
      </c>
      <c r="R1128" t="str">
        <f t="shared" si="263"/>
        <v>华夏凯德消费封闭式基础设施证券投资基金|长沙雨花亭项目</v>
      </c>
      <c r="S1128">
        <f>IF($A1128="",0,IF(COUNTIF($R$2:$R1128,$R1128)=1,1,0))</f>
        <v>0</v>
      </c>
      <c r="T1128">
        <f t="shared" si="264"/>
        <v>1120</v>
      </c>
      <c r="U1128" t="str">
        <f>IF($A1128="","",IF($A1128=经营数据!$B$3,COUNTIFS($S$2:$S$3000,1,$A$2:$A$3000,$A1128,$T$2:$T$3000,"&lt;"&amp;$T1128)+1,""))</f>
        <v/>
      </c>
      <c r="V1128" t="str">
        <f t="shared" si="265"/>
        <v>长沙雨花亭项目|服务效率</v>
      </c>
      <c r="W1128">
        <f t="shared" si="266"/>
        <v>1127</v>
      </c>
      <c r="X1128" t="str">
        <f t="shared" si="267"/>
        <v>长沙雨花亭项目|租售比</v>
      </c>
      <c r="Y1128">
        <f t="shared" si="268"/>
        <v>1127</v>
      </c>
      <c r="Z1128">
        <f>IF($A1128="",0,IF(AND($M1128=1,$A1128=经营数据!$B$3,$J1128=经营数据!$BA$5,OR($I1128=经营数据!$BA$4,COUNTIF(经营数据!$AA$9:$AA$38,$I1128)&gt;0)),1,0))</f>
        <v>0</v>
      </c>
      <c r="AA1128" t="str">
        <f t="shared" si="269"/>
        <v/>
      </c>
      <c r="AB1128" t="str">
        <f t="shared" si="270"/>
        <v/>
      </c>
      <c r="AC1128">
        <f>IF($A1128="",0,IF(COUNTIF($A$2:$A1128,$A1128)=1,1,0))</f>
        <v>0</v>
      </c>
      <c r="AD1128">
        <f t="shared" si="271"/>
        <v>10</v>
      </c>
      <c r="AE1128" t="str">
        <f t="shared" si="272"/>
        <v>长沙雨花亭项目|租售比（%）</v>
      </c>
    </row>
    <row r="1129" spans="1:31" x14ac:dyDescent="0.4">
      <c r="A1129" t="str">
        <f>IF(原始经营数据!$D1130="","",原始经营数据!$D1130)</f>
        <v>华夏凯德消费封闭式基础设施证券投资基金</v>
      </c>
      <c r="B1129" t="str">
        <f>IF(原始经营数据!$D1130="","",T(原始经营数据!$E1130))</f>
        <v>长沙雨花亭项目</v>
      </c>
      <c r="C1129" t="str">
        <f>IF(原始经营数据!$D1130="","",原始经营数据!$F1130)</f>
        <v>2022</v>
      </c>
      <c r="D1129" t="str">
        <f>IF(原始经营数据!$D1130="","",原始经营数据!$H1130)</f>
        <v>月租金坪效</v>
      </c>
      <c r="E1129">
        <f>IF(原始经营数据!$D1130="","",原始经营数据!$I1130)</f>
        <v>102.14</v>
      </c>
      <c r="F1129" t="str">
        <f>IF(原始经营数据!$D1130="","",T(原始经营数据!$J1130))</f>
        <v>元/平方米</v>
      </c>
      <c r="G1129" t="str">
        <f>IF(原始经营数据!$D1130="","",T(原始经营数据!$K1130))</f>
        <v/>
      </c>
      <c r="H1129" t="str">
        <f>IF(原始经营数据!$D1130="","",原始经营数据!$G1130)</f>
        <v>服务价格</v>
      </c>
      <c r="I1129" t="str">
        <f>IF($A1129="","",IF($B1129&lt;&gt;"",$B1129,IF(COUNTIFS(原始经营数据!$D$3:$D$3001,$A1129,原始经营数据!$E$3:$E$3001,"",原始经营数据!$F$3:$F$3001,$C1129,原始经营数据!$H$3:$H$3001,$D1129,原始经营数据!$K$3:$K$3001,$G1129)&gt;1,"基金整体·来源"&amp;原始经营数据!$A1130,"基金整体")))</f>
        <v>长沙雨花亭项目</v>
      </c>
      <c r="J1129" t="str">
        <f t="shared" si="258"/>
        <v>年度</v>
      </c>
      <c r="K1129" t="str">
        <f t="shared" si="259"/>
        <v>月租金坪效（元/平方米）</v>
      </c>
      <c r="L1129" t="str">
        <f t="shared" si="260"/>
        <v>长沙雨花亭项目|月租金坪效（元/平方米）|年度</v>
      </c>
      <c r="M1129">
        <f>IF($A1129="",0,IF(COUNTIF($L$2:$L1129,$L1129)=1,1,0))</f>
        <v>1</v>
      </c>
      <c r="N1129">
        <f t="shared" si="261"/>
        <v>20220</v>
      </c>
      <c r="O1129" t="str">
        <f t="shared" si="262"/>
        <v>华夏凯德消费封闭式基础设施证券投资基金|2022|年度</v>
      </c>
      <c r="P1129">
        <f>IF($A1129="",0,IF(COUNTIF($O$2:$O1129,$O1129)=1,1,0))</f>
        <v>0</v>
      </c>
      <c r="Q1129" t="str">
        <f>IF(AND($P1129=1,$A1129=经营数据!$B$3,$J1129=经营数据!$BA$5),COUNTIFS($P$2:$P$3000,1,$A$2:$A$3000,$A1129,$J$2:$J$3000,$J1129,$N$2:$N$3000,"&lt;"&amp;$N1129)+1,"")</f>
        <v/>
      </c>
      <c r="R1129" t="str">
        <f t="shared" si="263"/>
        <v>华夏凯德消费封闭式基础设施证券投资基金|长沙雨花亭项目</v>
      </c>
      <c r="S1129">
        <f>IF($A1129="",0,IF(COUNTIF($R$2:$R1129,$R1129)=1,1,0))</f>
        <v>0</v>
      </c>
      <c r="T1129">
        <f t="shared" si="264"/>
        <v>1120</v>
      </c>
      <c r="U1129" t="str">
        <f>IF($A1129="","",IF($A1129=经营数据!$B$3,COUNTIFS($S$2:$S$3000,1,$A$2:$A$3000,$A1129,$T$2:$T$3000,"&lt;"&amp;$T1129)+1,""))</f>
        <v/>
      </c>
      <c r="V1129" t="str">
        <f t="shared" si="265"/>
        <v>长沙雨花亭项目|服务价格</v>
      </c>
      <c r="W1129">
        <f t="shared" si="266"/>
        <v>1128</v>
      </c>
      <c r="X1129" t="str">
        <f t="shared" si="267"/>
        <v>长沙雨花亭项目|月租金坪效</v>
      </c>
      <c r="Y1129">
        <f t="shared" si="268"/>
        <v>1128</v>
      </c>
      <c r="Z1129">
        <f>IF($A1129="",0,IF(AND($M1129=1,$A1129=经营数据!$B$3,$J1129=经营数据!$BA$5,OR($I1129=经营数据!$BA$4,COUNTIF(经营数据!$AA$9:$AA$38,$I1129)&gt;0)),1,0))</f>
        <v>0</v>
      </c>
      <c r="AA1129" t="str">
        <f t="shared" si="269"/>
        <v/>
      </c>
      <c r="AB1129" t="str">
        <f t="shared" si="270"/>
        <v/>
      </c>
      <c r="AC1129">
        <f>IF($A1129="",0,IF(COUNTIF($A$2:$A1129,$A1129)=1,1,0))</f>
        <v>0</v>
      </c>
      <c r="AD1129">
        <f t="shared" si="271"/>
        <v>10</v>
      </c>
      <c r="AE1129" t="str">
        <f t="shared" si="272"/>
        <v>长沙雨花亭项目|月租金坪效（元/平方米）</v>
      </c>
    </row>
    <row r="1130" spans="1:31" x14ac:dyDescent="0.4">
      <c r="A1130" t="str">
        <f>IF(原始经营数据!$D1131="","",原始经营数据!$D1131)</f>
        <v>华夏凯德消费封闭式基础设施证券投资基金</v>
      </c>
      <c r="B1130" t="str">
        <f>IF(原始经营数据!$D1131="","",T(原始经营数据!$E1131))</f>
        <v>长沙雨花亭项目</v>
      </c>
      <c r="C1130" t="str">
        <f>IF(原始经营数据!$D1131="","",原始经营数据!$F1131)</f>
        <v>2022</v>
      </c>
      <c r="D1130" t="str">
        <f>IF(原始经营数据!$D1131="","",原始经营数据!$H1131)</f>
        <v>月销售坪效</v>
      </c>
      <c r="E1130">
        <f>IF(原始经营数据!$D1131="","",原始经营数据!$I1131)</f>
        <v>974.26</v>
      </c>
      <c r="F1130" t="str">
        <f>IF(原始经营数据!$D1131="","",T(原始经营数据!$J1131))</f>
        <v>元/平方米</v>
      </c>
      <c r="G1130" t="str">
        <f>IF(原始经营数据!$D1131="","",T(原始经营数据!$K1131))</f>
        <v/>
      </c>
      <c r="H1130" t="str">
        <f>IF(原始经营数据!$D1131="","",原始经营数据!$G1131)</f>
        <v>服务价格</v>
      </c>
      <c r="I1130" t="str">
        <f>IF($A1130="","",IF($B1130&lt;&gt;"",$B1130,IF(COUNTIFS(原始经营数据!$D$3:$D$3001,$A1130,原始经营数据!$E$3:$E$3001,"",原始经营数据!$F$3:$F$3001,$C1130,原始经营数据!$H$3:$H$3001,$D1130,原始经营数据!$K$3:$K$3001,$G1130)&gt;1,"基金整体·来源"&amp;原始经营数据!$A1131,"基金整体")))</f>
        <v>长沙雨花亭项目</v>
      </c>
      <c r="J1130" t="str">
        <f t="shared" si="258"/>
        <v>年度</v>
      </c>
      <c r="K1130" t="str">
        <f t="shared" si="259"/>
        <v>月销售坪效（元/平方米）</v>
      </c>
      <c r="L1130" t="str">
        <f t="shared" si="260"/>
        <v>长沙雨花亭项目|月销售坪效（元/平方米）|年度</v>
      </c>
      <c r="M1130">
        <f>IF($A1130="",0,IF(COUNTIF($L$2:$L1130,$L1130)=1,1,0))</f>
        <v>1</v>
      </c>
      <c r="N1130">
        <f t="shared" si="261"/>
        <v>20220</v>
      </c>
      <c r="O1130" t="str">
        <f t="shared" si="262"/>
        <v>华夏凯德消费封闭式基础设施证券投资基金|2022|年度</v>
      </c>
      <c r="P1130">
        <f>IF($A1130="",0,IF(COUNTIF($O$2:$O1130,$O1130)=1,1,0))</f>
        <v>0</v>
      </c>
      <c r="Q1130" t="str">
        <f>IF(AND($P1130=1,$A1130=经营数据!$B$3,$J1130=经营数据!$BA$5),COUNTIFS($P$2:$P$3000,1,$A$2:$A$3000,$A1130,$J$2:$J$3000,$J1130,$N$2:$N$3000,"&lt;"&amp;$N1130)+1,"")</f>
        <v/>
      </c>
      <c r="R1130" t="str">
        <f t="shared" si="263"/>
        <v>华夏凯德消费封闭式基础设施证券投资基金|长沙雨花亭项目</v>
      </c>
      <c r="S1130">
        <f>IF($A1130="",0,IF(COUNTIF($R$2:$R1130,$R1130)=1,1,0))</f>
        <v>0</v>
      </c>
      <c r="T1130">
        <f t="shared" si="264"/>
        <v>1120</v>
      </c>
      <c r="U1130" t="str">
        <f>IF($A1130="","",IF($A1130=经营数据!$B$3,COUNTIFS($S$2:$S$3000,1,$A$2:$A$3000,$A1130,$T$2:$T$3000,"&lt;"&amp;$T1130)+1,""))</f>
        <v/>
      </c>
      <c r="V1130" t="str">
        <f t="shared" si="265"/>
        <v>长沙雨花亭项目|服务价格</v>
      </c>
      <c r="W1130">
        <f t="shared" si="266"/>
        <v>1128</v>
      </c>
      <c r="X1130" t="str">
        <f t="shared" si="267"/>
        <v>长沙雨花亭项目|月销售坪效</v>
      </c>
      <c r="Y1130">
        <f t="shared" si="268"/>
        <v>1129</v>
      </c>
      <c r="Z1130">
        <f>IF($A1130="",0,IF(AND($M1130=1,$A1130=经营数据!$B$3,$J1130=经营数据!$BA$5,OR($I1130=经营数据!$BA$4,COUNTIF(经营数据!$AA$9:$AA$38,$I1130)&gt;0)),1,0))</f>
        <v>0</v>
      </c>
      <c r="AA1130" t="str">
        <f t="shared" si="269"/>
        <v/>
      </c>
      <c r="AB1130" t="str">
        <f t="shared" si="270"/>
        <v/>
      </c>
      <c r="AC1130">
        <f>IF($A1130="",0,IF(COUNTIF($A$2:$A1130,$A1130)=1,1,0))</f>
        <v>0</v>
      </c>
      <c r="AD1130">
        <f t="shared" si="271"/>
        <v>10</v>
      </c>
      <c r="AE1130" t="str">
        <f t="shared" si="272"/>
        <v>长沙雨花亭项目|月销售坪效（元/平方米）</v>
      </c>
    </row>
    <row r="1131" spans="1:31" x14ac:dyDescent="0.4">
      <c r="A1131" t="str">
        <f>IF(原始经营数据!$D1132="","",原始经营数据!$D1132)</f>
        <v>华夏凯德消费封闭式基础设施证券投资基金</v>
      </c>
      <c r="B1131" t="str">
        <f>IF(原始经营数据!$D1132="","",T(原始经营数据!$E1132))</f>
        <v>长沙雨花亭项目</v>
      </c>
      <c r="C1131" t="str">
        <f>IF(原始经营数据!$D1132="","",原始经营数据!$F1132)</f>
        <v>2022</v>
      </c>
      <c r="D1131" t="str">
        <f>IF(原始经营数据!$D1132="","",原始经营数据!$H1132)</f>
        <v>专门店平均租金单价</v>
      </c>
      <c r="E1131">
        <f>IF(原始经营数据!$D1132="","",原始经营数据!$I1132)</f>
        <v>215.67</v>
      </c>
      <c r="F1131" t="str">
        <f>IF(原始经营数据!$D1132="","",T(原始经营数据!$J1132))</f>
        <v/>
      </c>
      <c r="G1131" t="str">
        <f>IF(原始经营数据!$D1132="","",T(原始经营数据!$K1132))</f>
        <v/>
      </c>
      <c r="H1131" t="str">
        <f>IF(原始经营数据!$D1132="","",原始经营数据!$G1132)</f>
        <v>服务价格</v>
      </c>
      <c r="I1131" t="str">
        <f>IF($A1131="","",IF($B1131&lt;&gt;"",$B1131,IF(COUNTIFS(原始经营数据!$D$3:$D$3001,$A1131,原始经营数据!$E$3:$E$3001,"",原始经营数据!$F$3:$F$3001,$C1131,原始经营数据!$H$3:$H$3001,$D1131,原始经营数据!$K$3:$K$3001,$G1131)&gt;1,"基金整体·来源"&amp;原始经营数据!$A1132,"基金整体")))</f>
        <v>长沙雨花亭项目</v>
      </c>
      <c r="J1131" t="str">
        <f t="shared" si="258"/>
        <v>年度</v>
      </c>
      <c r="K1131" t="str">
        <f t="shared" si="259"/>
        <v>专门店平均租金单价</v>
      </c>
      <c r="L1131" t="str">
        <f t="shared" si="260"/>
        <v>长沙雨花亭项目|专门店平均租金单价|年度</v>
      </c>
      <c r="M1131">
        <f>IF($A1131="",0,IF(COUNTIF($L$2:$L1131,$L1131)=1,1,0))</f>
        <v>1</v>
      </c>
      <c r="N1131">
        <f t="shared" si="261"/>
        <v>20220</v>
      </c>
      <c r="O1131" t="str">
        <f t="shared" si="262"/>
        <v>华夏凯德消费封闭式基础设施证券投资基金|2022|年度</v>
      </c>
      <c r="P1131">
        <f>IF($A1131="",0,IF(COUNTIF($O$2:$O1131,$O1131)=1,1,0))</f>
        <v>0</v>
      </c>
      <c r="Q1131" t="str">
        <f>IF(AND($P1131=1,$A1131=经营数据!$B$3,$J1131=经营数据!$BA$5),COUNTIFS($P$2:$P$3000,1,$A$2:$A$3000,$A1131,$J$2:$J$3000,$J1131,$N$2:$N$3000,"&lt;"&amp;$N1131)+1,"")</f>
        <v/>
      </c>
      <c r="R1131" t="str">
        <f t="shared" si="263"/>
        <v>华夏凯德消费封闭式基础设施证券投资基金|长沙雨花亭项目</v>
      </c>
      <c r="S1131">
        <f>IF($A1131="",0,IF(COUNTIF($R$2:$R1131,$R1131)=1,1,0))</f>
        <v>0</v>
      </c>
      <c r="T1131">
        <f t="shared" si="264"/>
        <v>1120</v>
      </c>
      <c r="U1131" t="str">
        <f>IF($A1131="","",IF($A1131=经营数据!$B$3,COUNTIFS($S$2:$S$3000,1,$A$2:$A$3000,$A1131,$T$2:$T$3000,"&lt;"&amp;$T1131)+1,""))</f>
        <v/>
      </c>
      <c r="V1131" t="str">
        <f t="shared" si="265"/>
        <v>长沙雨花亭项目|服务价格</v>
      </c>
      <c r="W1131">
        <f t="shared" si="266"/>
        <v>1128</v>
      </c>
      <c r="X1131" t="str">
        <f t="shared" si="267"/>
        <v>长沙雨花亭项目|专门店平均租金单价</v>
      </c>
      <c r="Y1131">
        <f t="shared" si="268"/>
        <v>1130</v>
      </c>
      <c r="Z1131">
        <f>IF($A1131="",0,IF(AND($M1131=1,$A1131=经营数据!$B$3,$J1131=经营数据!$BA$5,OR($I1131=经营数据!$BA$4,COUNTIF(经营数据!$AA$9:$AA$38,$I1131)&gt;0)),1,0))</f>
        <v>0</v>
      </c>
      <c r="AA1131" t="str">
        <f t="shared" si="269"/>
        <v/>
      </c>
      <c r="AB1131" t="str">
        <f t="shared" si="270"/>
        <v/>
      </c>
      <c r="AC1131">
        <f>IF($A1131="",0,IF(COUNTIF($A$2:$A1131,$A1131)=1,1,0))</f>
        <v>0</v>
      </c>
      <c r="AD1131">
        <f t="shared" si="271"/>
        <v>10</v>
      </c>
      <c r="AE1131" t="str">
        <f t="shared" si="272"/>
        <v>长沙雨花亭项目|专门店平均租金单价</v>
      </c>
    </row>
    <row r="1132" spans="1:31" x14ac:dyDescent="0.4">
      <c r="A1132" t="str">
        <f>IF(原始经营数据!$D1133="","",原始经营数据!$D1133)</f>
        <v>华夏凯德消费封闭式基础设施证券投资基金</v>
      </c>
      <c r="B1132" t="str">
        <f>IF(原始经营数据!$D1133="","",T(原始经营数据!$E1133))</f>
        <v>长沙雨花亭项目</v>
      </c>
      <c r="C1132" t="str">
        <f>IF(原始经营数据!$D1133="","",原始经营数据!$F1133)</f>
        <v>2022</v>
      </c>
      <c r="D1132" t="str">
        <f>IF(原始经营数据!$D1133="","",原始经营数据!$H1133)</f>
        <v>主力店平均租金单价</v>
      </c>
      <c r="E1132">
        <f>IF(原始经营数据!$D1133="","",原始经营数据!$I1133)</f>
        <v>23.01</v>
      </c>
      <c r="F1132" t="str">
        <f>IF(原始经营数据!$D1133="","",T(原始经营数据!$J1133))</f>
        <v/>
      </c>
      <c r="G1132" t="str">
        <f>IF(原始经营数据!$D1133="","",T(原始经营数据!$K1133))</f>
        <v/>
      </c>
      <c r="H1132" t="str">
        <f>IF(原始经营数据!$D1133="","",原始经营数据!$G1133)</f>
        <v>服务价格</v>
      </c>
      <c r="I1132" t="str">
        <f>IF($A1132="","",IF($B1132&lt;&gt;"",$B1132,IF(COUNTIFS(原始经营数据!$D$3:$D$3001,$A1132,原始经营数据!$E$3:$E$3001,"",原始经营数据!$F$3:$F$3001,$C1132,原始经营数据!$H$3:$H$3001,$D1132,原始经营数据!$K$3:$K$3001,$G1132)&gt;1,"基金整体·来源"&amp;原始经营数据!$A1133,"基金整体")))</f>
        <v>长沙雨花亭项目</v>
      </c>
      <c r="J1132" t="str">
        <f t="shared" si="258"/>
        <v>年度</v>
      </c>
      <c r="K1132" t="str">
        <f t="shared" si="259"/>
        <v>主力店平均租金单价</v>
      </c>
      <c r="L1132" t="str">
        <f t="shared" si="260"/>
        <v>长沙雨花亭项目|主力店平均租金单价|年度</v>
      </c>
      <c r="M1132">
        <f>IF($A1132="",0,IF(COUNTIF($L$2:$L1132,$L1132)=1,1,0))</f>
        <v>1</v>
      </c>
      <c r="N1132">
        <f t="shared" si="261"/>
        <v>20220</v>
      </c>
      <c r="O1132" t="str">
        <f t="shared" si="262"/>
        <v>华夏凯德消费封闭式基础设施证券投资基金|2022|年度</v>
      </c>
      <c r="P1132">
        <f>IF($A1132="",0,IF(COUNTIF($O$2:$O1132,$O1132)=1,1,0))</f>
        <v>0</v>
      </c>
      <c r="Q1132" t="str">
        <f>IF(AND($P1132=1,$A1132=经营数据!$B$3,$J1132=经营数据!$BA$5),COUNTIFS($P$2:$P$3000,1,$A$2:$A$3000,$A1132,$J$2:$J$3000,$J1132,$N$2:$N$3000,"&lt;"&amp;$N1132)+1,"")</f>
        <v/>
      </c>
      <c r="R1132" t="str">
        <f t="shared" si="263"/>
        <v>华夏凯德消费封闭式基础设施证券投资基金|长沙雨花亭项目</v>
      </c>
      <c r="S1132">
        <f>IF($A1132="",0,IF(COUNTIF($R$2:$R1132,$R1132)=1,1,0))</f>
        <v>0</v>
      </c>
      <c r="T1132">
        <f t="shared" si="264"/>
        <v>1120</v>
      </c>
      <c r="U1132" t="str">
        <f>IF($A1132="","",IF($A1132=经营数据!$B$3,COUNTIFS($S$2:$S$3000,1,$A$2:$A$3000,$A1132,$T$2:$T$3000,"&lt;"&amp;$T1132)+1,""))</f>
        <v/>
      </c>
      <c r="V1132" t="str">
        <f t="shared" si="265"/>
        <v>长沙雨花亭项目|服务价格</v>
      </c>
      <c r="W1132">
        <f t="shared" si="266"/>
        <v>1128</v>
      </c>
      <c r="X1132" t="str">
        <f t="shared" si="267"/>
        <v>长沙雨花亭项目|主力店平均租金单价</v>
      </c>
      <c r="Y1132">
        <f t="shared" si="268"/>
        <v>1131</v>
      </c>
      <c r="Z1132">
        <f>IF($A1132="",0,IF(AND($M1132=1,$A1132=经营数据!$B$3,$J1132=经营数据!$BA$5,OR($I1132=经营数据!$BA$4,COUNTIF(经营数据!$AA$9:$AA$38,$I1132)&gt;0)),1,0))</f>
        <v>0</v>
      </c>
      <c r="AA1132" t="str">
        <f t="shared" si="269"/>
        <v/>
      </c>
      <c r="AB1132" t="str">
        <f t="shared" si="270"/>
        <v/>
      </c>
      <c r="AC1132">
        <f>IF($A1132="",0,IF(COUNTIF($A$2:$A1132,$A1132)=1,1,0))</f>
        <v>0</v>
      </c>
      <c r="AD1132">
        <f t="shared" si="271"/>
        <v>10</v>
      </c>
      <c r="AE1132" t="str">
        <f t="shared" si="272"/>
        <v>长沙雨花亭项目|主力店平均租金单价</v>
      </c>
    </row>
    <row r="1133" spans="1:31" x14ac:dyDescent="0.4">
      <c r="A1133" t="str">
        <f>IF(原始经营数据!$D1134="","",原始经营数据!$D1134)</f>
        <v>华夏凯德消费封闭式基础设施证券投资基金</v>
      </c>
      <c r="B1133" t="str">
        <f>IF(原始经营数据!$D1134="","",T(原始经营数据!$E1134))</f>
        <v>长沙雨花亭项目</v>
      </c>
      <c r="C1133" t="str">
        <f>IF(原始经营数据!$D1134="","",原始经营数据!$F1134)</f>
        <v>2022</v>
      </c>
      <c r="D1133" t="str">
        <f>IF(原始经营数据!$D1134="","",原始经营数据!$H1134)</f>
        <v>租户数量</v>
      </c>
      <c r="E1133">
        <f>IF(原始经营数据!$D1134="","",原始经营数据!$I1134)</f>
        <v>150</v>
      </c>
      <c r="F1133" t="str">
        <f>IF(原始经营数据!$D1134="","",T(原始经营数据!$J1134))</f>
        <v/>
      </c>
      <c r="G1133" t="str">
        <f>IF(原始经营数据!$D1134="","",T(原始经营数据!$K1134))</f>
        <v>专门店</v>
      </c>
      <c r="H1133" t="str">
        <f>IF(原始经营数据!$D1134="","",原始经营数据!$G1134)</f>
        <v>服务量</v>
      </c>
      <c r="I1133" t="str">
        <f>IF($A1133="","",IF($B1133&lt;&gt;"",$B1133,IF(COUNTIFS(原始经营数据!$D$3:$D$3001,$A1133,原始经营数据!$E$3:$E$3001,"",原始经营数据!$F$3:$F$3001,$C1133,原始经营数据!$H$3:$H$3001,$D1133,原始经营数据!$K$3:$K$3001,$G1133)&gt;1,"基金整体·来源"&amp;原始经营数据!$A1134,"基金整体")))</f>
        <v>长沙雨花亭项目</v>
      </c>
      <c r="J1133" t="str">
        <f t="shared" si="258"/>
        <v>年度</v>
      </c>
      <c r="K1133" t="str">
        <f t="shared" si="259"/>
        <v>租户数量-专门店</v>
      </c>
      <c r="L1133" t="str">
        <f t="shared" si="260"/>
        <v>长沙雨花亭项目|租户数量-专门店|年度</v>
      </c>
      <c r="M1133">
        <f>IF($A1133="",0,IF(COUNTIF($L$2:$L1133,$L1133)=1,1,0))</f>
        <v>1</v>
      </c>
      <c r="N1133">
        <f t="shared" si="261"/>
        <v>20220</v>
      </c>
      <c r="O1133" t="str">
        <f t="shared" si="262"/>
        <v>华夏凯德消费封闭式基础设施证券投资基金|2022|年度</v>
      </c>
      <c r="P1133">
        <f>IF($A1133="",0,IF(COUNTIF($O$2:$O1133,$O1133)=1,1,0))</f>
        <v>0</v>
      </c>
      <c r="Q1133" t="str">
        <f>IF(AND($P1133=1,$A1133=经营数据!$B$3,$J1133=经营数据!$BA$5),COUNTIFS($P$2:$P$3000,1,$A$2:$A$3000,$A1133,$J$2:$J$3000,$J1133,$N$2:$N$3000,"&lt;"&amp;$N1133)+1,"")</f>
        <v/>
      </c>
      <c r="R1133" t="str">
        <f t="shared" si="263"/>
        <v>华夏凯德消费封闭式基础设施证券投资基金|长沙雨花亭项目</v>
      </c>
      <c r="S1133">
        <f>IF($A1133="",0,IF(COUNTIF($R$2:$R1133,$R1133)=1,1,0))</f>
        <v>0</v>
      </c>
      <c r="T1133">
        <f t="shared" si="264"/>
        <v>1120</v>
      </c>
      <c r="U1133" t="str">
        <f>IF($A1133="","",IF($A1133=经营数据!$B$3,COUNTIFS($S$2:$S$3000,1,$A$2:$A$3000,$A1133,$T$2:$T$3000,"&lt;"&amp;$T1133)+1,""))</f>
        <v/>
      </c>
      <c r="V1133" t="str">
        <f t="shared" si="265"/>
        <v>长沙雨花亭项目|服务量</v>
      </c>
      <c r="W1133">
        <f t="shared" si="266"/>
        <v>1124</v>
      </c>
      <c r="X1133" t="str">
        <f t="shared" si="267"/>
        <v>长沙雨花亭项目|租户数量</v>
      </c>
      <c r="Y1133">
        <f t="shared" si="268"/>
        <v>1132</v>
      </c>
      <c r="Z1133">
        <f>IF($A1133="",0,IF(AND($M1133=1,$A1133=经营数据!$B$3,$J1133=经营数据!$BA$5,OR($I1133=经营数据!$BA$4,COUNTIF(经营数据!$AA$9:$AA$38,$I1133)&gt;0)),1,0))</f>
        <v>0</v>
      </c>
      <c r="AA1133" t="str">
        <f t="shared" si="269"/>
        <v/>
      </c>
      <c r="AB1133" t="str">
        <f t="shared" si="270"/>
        <v/>
      </c>
      <c r="AC1133">
        <f>IF($A1133="",0,IF(COUNTIF($A$2:$A1133,$A1133)=1,1,0))</f>
        <v>0</v>
      </c>
      <c r="AD1133">
        <f t="shared" si="271"/>
        <v>10</v>
      </c>
      <c r="AE1133" t="str">
        <f t="shared" si="272"/>
        <v>长沙雨花亭项目|租户数量-专门店</v>
      </c>
    </row>
    <row r="1134" spans="1:31" x14ac:dyDescent="0.4">
      <c r="A1134" t="str">
        <f>IF(原始经营数据!$D1135="","",原始经营数据!$D1135)</f>
        <v>华夏凯德消费封闭式基础设施证券投资基金</v>
      </c>
      <c r="B1134" t="str">
        <f>IF(原始经营数据!$D1135="","",T(原始经营数据!$E1135))</f>
        <v>长沙雨花亭项目</v>
      </c>
      <c r="C1134" t="str">
        <f>IF(原始经营数据!$D1135="","",原始经营数据!$F1135)</f>
        <v>2022</v>
      </c>
      <c r="D1134" t="str">
        <f>IF(原始经营数据!$D1135="","",原始经营数据!$H1135)</f>
        <v>租户数量</v>
      </c>
      <c r="E1134">
        <f>IF(原始经营数据!$D1135="","",原始经营数据!$I1135)</f>
        <v>6</v>
      </c>
      <c r="F1134" t="str">
        <f>IF(原始经营数据!$D1135="","",T(原始经营数据!$J1135))</f>
        <v/>
      </c>
      <c r="G1134" t="str">
        <f>IF(原始经营数据!$D1135="","",T(原始经营数据!$K1135))</f>
        <v>主力店</v>
      </c>
      <c r="H1134" t="str">
        <f>IF(原始经营数据!$D1135="","",原始经营数据!$G1135)</f>
        <v>服务量</v>
      </c>
      <c r="I1134" t="str">
        <f>IF($A1134="","",IF($B1134&lt;&gt;"",$B1134,IF(COUNTIFS(原始经营数据!$D$3:$D$3001,$A1134,原始经营数据!$E$3:$E$3001,"",原始经营数据!$F$3:$F$3001,$C1134,原始经营数据!$H$3:$H$3001,$D1134,原始经营数据!$K$3:$K$3001,$G1134)&gt;1,"基金整体·来源"&amp;原始经营数据!$A1135,"基金整体")))</f>
        <v>长沙雨花亭项目</v>
      </c>
      <c r="J1134" t="str">
        <f t="shared" si="258"/>
        <v>年度</v>
      </c>
      <c r="K1134" t="str">
        <f t="shared" si="259"/>
        <v>租户数量-主力店</v>
      </c>
      <c r="L1134" t="str">
        <f t="shared" si="260"/>
        <v>长沙雨花亭项目|租户数量-主力店|年度</v>
      </c>
      <c r="M1134">
        <f>IF($A1134="",0,IF(COUNTIF($L$2:$L1134,$L1134)=1,1,0))</f>
        <v>1</v>
      </c>
      <c r="N1134">
        <f t="shared" si="261"/>
        <v>20220</v>
      </c>
      <c r="O1134" t="str">
        <f t="shared" si="262"/>
        <v>华夏凯德消费封闭式基础设施证券投资基金|2022|年度</v>
      </c>
      <c r="P1134">
        <f>IF($A1134="",0,IF(COUNTIF($O$2:$O1134,$O1134)=1,1,0))</f>
        <v>0</v>
      </c>
      <c r="Q1134" t="str">
        <f>IF(AND($P1134=1,$A1134=经营数据!$B$3,$J1134=经营数据!$BA$5),COUNTIFS($P$2:$P$3000,1,$A$2:$A$3000,$A1134,$J$2:$J$3000,$J1134,$N$2:$N$3000,"&lt;"&amp;$N1134)+1,"")</f>
        <v/>
      </c>
      <c r="R1134" t="str">
        <f t="shared" si="263"/>
        <v>华夏凯德消费封闭式基础设施证券投资基金|长沙雨花亭项目</v>
      </c>
      <c r="S1134">
        <f>IF($A1134="",0,IF(COUNTIF($R$2:$R1134,$R1134)=1,1,0))</f>
        <v>0</v>
      </c>
      <c r="T1134">
        <f t="shared" si="264"/>
        <v>1120</v>
      </c>
      <c r="U1134" t="str">
        <f>IF($A1134="","",IF($A1134=经营数据!$B$3,COUNTIFS($S$2:$S$3000,1,$A$2:$A$3000,$A1134,$T$2:$T$3000,"&lt;"&amp;$T1134)+1,""))</f>
        <v/>
      </c>
      <c r="V1134" t="str">
        <f t="shared" si="265"/>
        <v>长沙雨花亭项目|服务量</v>
      </c>
      <c r="W1134">
        <f t="shared" si="266"/>
        <v>1124</v>
      </c>
      <c r="X1134" t="str">
        <f t="shared" si="267"/>
        <v>长沙雨花亭项目|租户数量</v>
      </c>
      <c r="Y1134">
        <f t="shared" si="268"/>
        <v>1132</v>
      </c>
      <c r="Z1134">
        <f>IF($A1134="",0,IF(AND($M1134=1,$A1134=经营数据!$B$3,$J1134=经营数据!$BA$5,OR($I1134=经营数据!$BA$4,COUNTIF(经营数据!$AA$9:$AA$38,$I1134)&gt;0)),1,0))</f>
        <v>0</v>
      </c>
      <c r="AA1134" t="str">
        <f t="shared" si="269"/>
        <v/>
      </c>
      <c r="AB1134" t="str">
        <f t="shared" si="270"/>
        <v/>
      </c>
      <c r="AC1134">
        <f>IF($A1134="",0,IF(COUNTIF($A$2:$A1134,$A1134)=1,1,0))</f>
        <v>0</v>
      </c>
      <c r="AD1134">
        <f t="shared" si="271"/>
        <v>10</v>
      </c>
      <c r="AE1134" t="str">
        <f t="shared" si="272"/>
        <v>长沙雨花亭项目|租户数量-主力店</v>
      </c>
    </row>
    <row r="1135" spans="1:31" x14ac:dyDescent="0.4">
      <c r="A1135" t="str">
        <f>IF(原始经营数据!$D1136="","",原始经营数据!$D1136)</f>
        <v>华夏凯德消费封闭式基础设施证券投资基金</v>
      </c>
      <c r="B1135" t="str">
        <f>IF(原始经营数据!$D1136="","",T(原始经营数据!$E1136))</f>
        <v>长沙雨花亭项目</v>
      </c>
      <c r="C1135" t="str">
        <f>IF(原始经营数据!$D1136="","",原始经营数据!$F1136)</f>
        <v>2022</v>
      </c>
      <c r="D1135" t="str">
        <f>IF(原始经营数据!$D1136="","",原始经营数据!$H1136)</f>
        <v>租金收缴率</v>
      </c>
      <c r="E1135">
        <f>IF(原始经营数据!$D1136="","",原始经营数据!$I1136)</f>
        <v>100</v>
      </c>
      <c r="F1135" t="str">
        <f>IF(原始经营数据!$D1136="","",T(原始经营数据!$J1136))</f>
        <v>%</v>
      </c>
      <c r="G1135" t="str">
        <f>IF(原始经营数据!$D1136="","",T(原始经营数据!$K1136))</f>
        <v/>
      </c>
      <c r="H1135" t="str">
        <f>IF(原始经营数据!$D1136="","",原始经营数据!$G1136)</f>
        <v>服务效率</v>
      </c>
      <c r="I1135" t="str">
        <f>IF($A1135="","",IF($B1135&lt;&gt;"",$B1135,IF(COUNTIFS(原始经营数据!$D$3:$D$3001,$A1135,原始经营数据!$E$3:$E$3001,"",原始经营数据!$F$3:$F$3001,$C1135,原始经营数据!$H$3:$H$3001,$D1135,原始经营数据!$K$3:$K$3001,$G1135)&gt;1,"基金整体·来源"&amp;原始经营数据!$A1136,"基金整体")))</f>
        <v>长沙雨花亭项目</v>
      </c>
      <c r="J1135" t="str">
        <f t="shared" si="258"/>
        <v>年度</v>
      </c>
      <c r="K1135" t="str">
        <f t="shared" si="259"/>
        <v>租金收缴率（%）</v>
      </c>
      <c r="L1135" t="str">
        <f t="shared" si="260"/>
        <v>长沙雨花亭项目|租金收缴率（%）|年度</v>
      </c>
      <c r="M1135">
        <f>IF($A1135="",0,IF(COUNTIF($L$2:$L1135,$L1135)=1,1,0))</f>
        <v>1</v>
      </c>
      <c r="N1135">
        <f t="shared" si="261"/>
        <v>20220</v>
      </c>
      <c r="O1135" t="str">
        <f t="shared" si="262"/>
        <v>华夏凯德消费封闭式基础设施证券投资基金|2022|年度</v>
      </c>
      <c r="P1135">
        <f>IF($A1135="",0,IF(COUNTIF($O$2:$O1135,$O1135)=1,1,0))</f>
        <v>0</v>
      </c>
      <c r="Q1135" t="str">
        <f>IF(AND($P1135=1,$A1135=经营数据!$B$3,$J1135=经营数据!$BA$5),COUNTIFS($P$2:$P$3000,1,$A$2:$A$3000,$A1135,$J$2:$J$3000,$J1135,$N$2:$N$3000,"&lt;"&amp;$N1135)+1,"")</f>
        <v/>
      </c>
      <c r="R1135" t="str">
        <f t="shared" si="263"/>
        <v>华夏凯德消费封闭式基础设施证券投资基金|长沙雨花亭项目</v>
      </c>
      <c r="S1135">
        <f>IF($A1135="",0,IF(COUNTIF($R$2:$R1135,$R1135)=1,1,0))</f>
        <v>0</v>
      </c>
      <c r="T1135">
        <f t="shared" si="264"/>
        <v>1120</v>
      </c>
      <c r="U1135" t="str">
        <f>IF($A1135="","",IF($A1135=经营数据!$B$3,COUNTIFS($S$2:$S$3000,1,$A$2:$A$3000,$A1135,$T$2:$T$3000,"&lt;"&amp;$T1135)+1,""))</f>
        <v/>
      </c>
      <c r="V1135" t="str">
        <f t="shared" si="265"/>
        <v>长沙雨花亭项目|服务效率</v>
      </c>
      <c r="W1135">
        <f t="shared" si="266"/>
        <v>1127</v>
      </c>
      <c r="X1135" t="str">
        <f t="shared" si="267"/>
        <v>长沙雨花亭项目|租金收缴率</v>
      </c>
      <c r="Y1135">
        <f t="shared" si="268"/>
        <v>1134</v>
      </c>
      <c r="Z1135">
        <f>IF($A1135="",0,IF(AND($M1135=1,$A1135=经营数据!$B$3,$J1135=经营数据!$BA$5,OR($I1135=经营数据!$BA$4,COUNTIF(经营数据!$AA$9:$AA$38,$I1135)&gt;0)),1,0))</f>
        <v>0</v>
      </c>
      <c r="AA1135" t="str">
        <f t="shared" si="269"/>
        <v/>
      </c>
      <c r="AB1135" t="str">
        <f t="shared" si="270"/>
        <v/>
      </c>
      <c r="AC1135">
        <f>IF($A1135="",0,IF(COUNTIF($A$2:$A1135,$A1135)=1,1,0))</f>
        <v>0</v>
      </c>
      <c r="AD1135">
        <f t="shared" si="271"/>
        <v>10</v>
      </c>
      <c r="AE1135" t="str">
        <f t="shared" si="272"/>
        <v>长沙雨花亭项目|租金收缴率（%）</v>
      </c>
    </row>
    <row r="1136" spans="1:31" x14ac:dyDescent="0.4">
      <c r="A1136" t="str">
        <f>IF(原始经营数据!$D1137="","",原始经营数据!$D1137)</f>
        <v>华夏凯德消费封闭式基础设施证券投资基金</v>
      </c>
      <c r="B1136" t="str">
        <f>IF(原始经营数据!$D1137="","",T(原始经营数据!$E1137))</f>
        <v>长沙雨花亭项目</v>
      </c>
      <c r="C1136" t="str">
        <f>IF(原始经营数据!$D1137="","",原始经营数据!$F1137)</f>
        <v>2022</v>
      </c>
      <c r="D1136" t="str">
        <f>IF(原始经营数据!$D1137="","",原始经营数据!$H1137)</f>
        <v>平均出租率</v>
      </c>
      <c r="E1136">
        <f>IF(原始经营数据!$D1137="","",原始经营数据!$I1137)</f>
        <v>95.63</v>
      </c>
      <c r="F1136" t="str">
        <f>IF(原始经营数据!$D1137="","",T(原始经营数据!$J1137))</f>
        <v>%</v>
      </c>
      <c r="G1136" t="str">
        <f>IF(原始经营数据!$D1137="","",T(原始经营数据!$K1137))</f>
        <v/>
      </c>
      <c r="H1136" t="str">
        <f>IF(原始经营数据!$D1137="","",原始经营数据!$G1137)</f>
        <v>服务效率</v>
      </c>
      <c r="I1136" t="str">
        <f>IF($A1136="","",IF($B1136&lt;&gt;"",$B1136,IF(COUNTIFS(原始经营数据!$D$3:$D$3001,$A1136,原始经营数据!$E$3:$E$3001,"",原始经营数据!$F$3:$F$3001,$C1136,原始经营数据!$H$3:$H$3001,$D1136,原始经营数据!$K$3:$K$3001,$G1136)&gt;1,"基金整体·来源"&amp;原始经营数据!$A1137,"基金整体")))</f>
        <v>长沙雨花亭项目</v>
      </c>
      <c r="J1136" t="str">
        <f t="shared" si="258"/>
        <v>年度</v>
      </c>
      <c r="K1136" t="str">
        <f t="shared" si="259"/>
        <v>平均出租率（%）</v>
      </c>
      <c r="L1136" t="str">
        <f t="shared" si="260"/>
        <v>长沙雨花亭项目|平均出租率（%）|年度</v>
      </c>
      <c r="M1136">
        <f>IF($A1136="",0,IF(COUNTIF($L$2:$L1136,$L1136)=1,1,0))</f>
        <v>1</v>
      </c>
      <c r="N1136">
        <f t="shared" si="261"/>
        <v>20220</v>
      </c>
      <c r="O1136" t="str">
        <f t="shared" si="262"/>
        <v>华夏凯德消费封闭式基础设施证券投资基金|2022|年度</v>
      </c>
      <c r="P1136">
        <f>IF($A1136="",0,IF(COUNTIF($O$2:$O1136,$O1136)=1,1,0))</f>
        <v>0</v>
      </c>
      <c r="Q1136" t="str">
        <f>IF(AND($P1136=1,$A1136=经营数据!$B$3,$J1136=经营数据!$BA$5),COUNTIFS($P$2:$P$3000,1,$A$2:$A$3000,$A1136,$J$2:$J$3000,$J1136,$N$2:$N$3000,"&lt;"&amp;$N1136)+1,"")</f>
        <v/>
      </c>
      <c r="R1136" t="str">
        <f t="shared" si="263"/>
        <v>华夏凯德消费封闭式基础设施证券投资基金|长沙雨花亭项目</v>
      </c>
      <c r="S1136">
        <f>IF($A1136="",0,IF(COUNTIF($R$2:$R1136,$R1136)=1,1,0))</f>
        <v>0</v>
      </c>
      <c r="T1136">
        <f t="shared" si="264"/>
        <v>1120</v>
      </c>
      <c r="U1136" t="str">
        <f>IF($A1136="","",IF($A1136=经营数据!$B$3,COUNTIFS($S$2:$S$3000,1,$A$2:$A$3000,$A1136,$T$2:$T$3000,"&lt;"&amp;$T1136)+1,""))</f>
        <v/>
      </c>
      <c r="V1136" t="str">
        <f t="shared" si="265"/>
        <v>长沙雨花亭项目|服务效率</v>
      </c>
      <c r="W1136">
        <f t="shared" si="266"/>
        <v>1127</v>
      </c>
      <c r="X1136" t="str">
        <f t="shared" si="267"/>
        <v>长沙雨花亭项目|平均出租率</v>
      </c>
      <c r="Y1136">
        <f t="shared" si="268"/>
        <v>1135</v>
      </c>
      <c r="Z1136">
        <f>IF($A1136="",0,IF(AND($M1136=1,$A1136=经营数据!$B$3,$J1136=经营数据!$BA$5,OR($I1136=经营数据!$BA$4,COUNTIF(经营数据!$AA$9:$AA$38,$I1136)&gt;0)),1,0))</f>
        <v>0</v>
      </c>
      <c r="AA1136" t="str">
        <f t="shared" si="269"/>
        <v/>
      </c>
      <c r="AB1136" t="str">
        <f t="shared" si="270"/>
        <v/>
      </c>
      <c r="AC1136">
        <f>IF($A1136="",0,IF(COUNTIF($A$2:$A1136,$A1136)=1,1,0))</f>
        <v>0</v>
      </c>
      <c r="AD1136">
        <f t="shared" si="271"/>
        <v>10</v>
      </c>
      <c r="AE1136" t="str">
        <f t="shared" si="272"/>
        <v>长沙雨花亭项目|平均出租率（%）</v>
      </c>
    </row>
    <row r="1137" spans="1:31" x14ac:dyDescent="0.4">
      <c r="A1137" t="str">
        <f>IF(原始经营数据!$D1138="","",原始经营数据!$D1138)</f>
        <v>华夏凯德消费封闭式基础设施证券投资基金</v>
      </c>
      <c r="B1137" t="str">
        <f>IF(原始经营数据!$D1138="","",T(原始经营数据!$E1138))</f>
        <v>长沙雨花亭项目</v>
      </c>
      <c r="C1137" t="str">
        <f>IF(原始经营数据!$D1138="","",原始经营数据!$F1138)</f>
        <v>2022</v>
      </c>
      <c r="D1137" t="str">
        <f>IF(原始经营数据!$D1138="","",原始经营数据!$H1138)</f>
        <v>营业收入（考虑租金减免，不含税）</v>
      </c>
      <c r="E1137">
        <f>IF(原始经营数据!$D1138="","",原始经营数据!$I1138)</f>
        <v>1506.72</v>
      </c>
      <c r="F1137" t="str">
        <f>IF(原始经营数据!$D1138="","",T(原始经营数据!$J1138))</f>
        <v>万元</v>
      </c>
      <c r="G1137" t="str">
        <f>IF(原始经营数据!$D1138="","",T(原始经营数据!$K1138))</f>
        <v>物业管理收入</v>
      </c>
      <c r="H1137" t="str">
        <f>IF(原始经营数据!$D1138="","",原始经营数据!$G1138)</f>
        <v>服务金额</v>
      </c>
      <c r="I1137" t="str">
        <f>IF($A1137="","",IF($B1137&lt;&gt;"",$B1137,IF(COUNTIFS(原始经营数据!$D$3:$D$3001,$A1137,原始经营数据!$E$3:$E$3001,"",原始经营数据!$F$3:$F$3001,$C1137,原始经营数据!$H$3:$H$3001,$D1137,原始经营数据!$K$3:$K$3001,$G1137)&gt;1,"基金整体·来源"&amp;原始经营数据!$A1138,"基金整体")))</f>
        <v>长沙雨花亭项目</v>
      </c>
      <c r="J1137" t="str">
        <f t="shared" si="258"/>
        <v>年度</v>
      </c>
      <c r="K1137" t="str">
        <f t="shared" si="259"/>
        <v>营业收入（考虑租金减免，不含税）-物业管理收入（万元）</v>
      </c>
      <c r="L1137" t="str">
        <f t="shared" si="260"/>
        <v>长沙雨花亭项目|营业收入（考虑租金减免，不含税）-物业管理收入（万元）|年度</v>
      </c>
      <c r="M1137">
        <f>IF($A1137="",0,IF(COUNTIF($L$2:$L1137,$L1137)=1,1,0))</f>
        <v>1</v>
      </c>
      <c r="N1137">
        <f t="shared" si="261"/>
        <v>20220</v>
      </c>
      <c r="O1137" t="str">
        <f t="shared" si="262"/>
        <v>华夏凯德消费封闭式基础设施证券投资基金|2022|年度</v>
      </c>
      <c r="P1137">
        <f>IF($A1137="",0,IF(COUNTIF($O$2:$O1137,$O1137)=1,1,0))</f>
        <v>0</v>
      </c>
      <c r="Q1137" t="str">
        <f>IF(AND($P1137=1,$A1137=经营数据!$B$3,$J1137=经营数据!$BA$5),COUNTIFS($P$2:$P$3000,1,$A$2:$A$3000,$A1137,$J$2:$J$3000,$J1137,$N$2:$N$3000,"&lt;"&amp;$N1137)+1,"")</f>
        <v/>
      </c>
      <c r="R1137" t="str">
        <f t="shared" si="263"/>
        <v>华夏凯德消费封闭式基础设施证券投资基金|长沙雨花亭项目</v>
      </c>
      <c r="S1137">
        <f>IF($A1137="",0,IF(COUNTIF($R$2:$R1137,$R1137)=1,1,0))</f>
        <v>0</v>
      </c>
      <c r="T1137">
        <f t="shared" si="264"/>
        <v>1120</v>
      </c>
      <c r="U1137" t="str">
        <f>IF($A1137="","",IF($A1137=经营数据!$B$3,COUNTIFS($S$2:$S$3000,1,$A$2:$A$3000,$A1137,$T$2:$T$3000,"&lt;"&amp;$T1137)+1,""))</f>
        <v/>
      </c>
      <c r="V1137" t="str">
        <f t="shared" si="265"/>
        <v>长沙雨花亭项目|服务金额</v>
      </c>
      <c r="W1137">
        <f t="shared" si="266"/>
        <v>1120</v>
      </c>
      <c r="X1137" t="str">
        <f t="shared" si="267"/>
        <v>长沙雨花亭项目|营业收入（考虑租金减免，不含税）</v>
      </c>
      <c r="Y1137">
        <f t="shared" si="268"/>
        <v>1120</v>
      </c>
      <c r="Z1137">
        <f>IF($A1137="",0,IF(AND($M1137=1,$A1137=经营数据!$B$3,$J1137=经营数据!$BA$5,OR($I1137=经营数据!$BA$4,COUNTIF(经营数据!$AA$9:$AA$38,$I1137)&gt;0)),1,0))</f>
        <v>0</v>
      </c>
      <c r="AA1137" t="str">
        <f t="shared" si="269"/>
        <v/>
      </c>
      <c r="AB1137" t="str">
        <f t="shared" si="270"/>
        <v/>
      </c>
      <c r="AC1137">
        <f>IF($A1137="",0,IF(COUNTIF($A$2:$A1137,$A1137)=1,1,0))</f>
        <v>0</v>
      </c>
      <c r="AD1137">
        <f t="shared" si="271"/>
        <v>10</v>
      </c>
      <c r="AE1137" t="str">
        <f t="shared" si="272"/>
        <v>长沙雨花亭项目|营业收入（考虑租金减免，不含税）-物业管理收入（万元）</v>
      </c>
    </row>
    <row r="1138" spans="1:31" x14ac:dyDescent="0.4">
      <c r="A1138" t="str">
        <f>IF(原始经营数据!$D1139="","",原始经营数据!$D1139)</f>
        <v>华夏凯德消费封闭式基础设施证券投资基金</v>
      </c>
      <c r="B1138" t="str">
        <f>IF(原始经营数据!$D1139="","",T(原始经营数据!$E1139))</f>
        <v>长沙雨花亭项目</v>
      </c>
      <c r="C1138" t="str">
        <f>IF(原始经营数据!$D1139="","",原始经营数据!$F1139)</f>
        <v>2022</v>
      </c>
      <c r="D1138" t="str">
        <f>IF(原始经营数据!$D1139="","",原始经营数据!$H1139)</f>
        <v>期末时点出租率</v>
      </c>
      <c r="E1138">
        <f>IF(原始经营数据!$D1139="","",原始经营数据!$I1139)</f>
        <v>86.85</v>
      </c>
      <c r="F1138" t="str">
        <f>IF(原始经营数据!$D1139="","",T(原始经营数据!$J1139))</f>
        <v>%</v>
      </c>
      <c r="G1138" t="str">
        <f>IF(原始经营数据!$D1139="","",T(原始经营数据!$K1139))</f>
        <v/>
      </c>
      <c r="H1138" t="str">
        <f>IF(原始经营数据!$D1139="","",原始经营数据!$G1139)</f>
        <v>服务效率</v>
      </c>
      <c r="I1138" t="str">
        <f>IF($A1138="","",IF($B1138&lt;&gt;"",$B1138,IF(COUNTIFS(原始经营数据!$D$3:$D$3001,$A1138,原始经营数据!$E$3:$E$3001,"",原始经营数据!$F$3:$F$3001,$C1138,原始经营数据!$H$3:$H$3001,$D1138,原始经营数据!$K$3:$K$3001,$G1138)&gt;1,"基金整体·来源"&amp;原始经营数据!$A1139,"基金整体")))</f>
        <v>长沙雨花亭项目</v>
      </c>
      <c r="J1138" t="str">
        <f t="shared" si="258"/>
        <v>年度</v>
      </c>
      <c r="K1138" t="str">
        <f t="shared" si="259"/>
        <v>期末时点出租率（%）</v>
      </c>
      <c r="L1138" t="str">
        <f t="shared" si="260"/>
        <v>长沙雨花亭项目|期末时点出租率（%）|年度</v>
      </c>
      <c r="M1138">
        <f>IF($A1138="",0,IF(COUNTIF($L$2:$L1138,$L1138)=1,1,0))</f>
        <v>1</v>
      </c>
      <c r="N1138">
        <f t="shared" si="261"/>
        <v>20220</v>
      </c>
      <c r="O1138" t="str">
        <f t="shared" si="262"/>
        <v>华夏凯德消费封闭式基础设施证券投资基金|2022|年度</v>
      </c>
      <c r="P1138">
        <f>IF($A1138="",0,IF(COUNTIF($O$2:$O1138,$O1138)=1,1,0))</f>
        <v>0</v>
      </c>
      <c r="Q1138" t="str">
        <f>IF(AND($P1138=1,$A1138=经营数据!$B$3,$J1138=经营数据!$BA$5),COUNTIFS($P$2:$P$3000,1,$A$2:$A$3000,$A1138,$J$2:$J$3000,$J1138,$N$2:$N$3000,"&lt;"&amp;$N1138)+1,"")</f>
        <v/>
      </c>
      <c r="R1138" t="str">
        <f t="shared" si="263"/>
        <v>华夏凯德消费封闭式基础设施证券投资基金|长沙雨花亭项目</v>
      </c>
      <c r="S1138">
        <f>IF($A1138="",0,IF(COUNTIF($R$2:$R1138,$R1138)=1,1,0))</f>
        <v>0</v>
      </c>
      <c r="T1138">
        <f t="shared" si="264"/>
        <v>1120</v>
      </c>
      <c r="U1138" t="str">
        <f>IF($A1138="","",IF($A1138=经营数据!$B$3,COUNTIFS($S$2:$S$3000,1,$A$2:$A$3000,$A1138,$T$2:$T$3000,"&lt;"&amp;$T1138)+1,""))</f>
        <v/>
      </c>
      <c r="V1138" t="str">
        <f t="shared" si="265"/>
        <v>长沙雨花亭项目|服务效率</v>
      </c>
      <c r="W1138">
        <f t="shared" si="266"/>
        <v>1127</v>
      </c>
      <c r="X1138" t="str">
        <f t="shared" si="267"/>
        <v>长沙雨花亭项目|期末时点出租率</v>
      </c>
      <c r="Y1138">
        <f t="shared" si="268"/>
        <v>1137</v>
      </c>
      <c r="Z1138">
        <f>IF($A1138="",0,IF(AND($M1138=1,$A1138=经营数据!$B$3,$J1138=经营数据!$BA$5,OR($I1138=经营数据!$BA$4,COUNTIF(经营数据!$AA$9:$AA$38,$I1138)&gt;0)),1,0))</f>
        <v>0</v>
      </c>
      <c r="AA1138" t="str">
        <f t="shared" si="269"/>
        <v/>
      </c>
      <c r="AB1138" t="str">
        <f t="shared" si="270"/>
        <v/>
      </c>
      <c r="AC1138">
        <f>IF($A1138="",0,IF(COUNTIF($A$2:$A1138,$A1138)=1,1,0))</f>
        <v>0</v>
      </c>
      <c r="AD1138">
        <f t="shared" si="271"/>
        <v>10</v>
      </c>
      <c r="AE1138" t="str">
        <f t="shared" si="272"/>
        <v>长沙雨花亭项目|期末时点出租率（%）</v>
      </c>
    </row>
    <row r="1139" spans="1:31" x14ac:dyDescent="0.4">
      <c r="A1139" t="str">
        <f>IF(原始经营数据!$D1140="","",原始经营数据!$D1140)</f>
        <v>华夏凯德消费封闭式基础设施证券投资基金</v>
      </c>
      <c r="B1139" t="str">
        <f>IF(原始经营数据!$D1140="","",T(原始经营数据!$E1140))</f>
        <v>长沙雨花亭项目</v>
      </c>
      <c r="C1139" t="str">
        <f>IF(原始经营数据!$D1140="","",原始经营数据!$F1140)</f>
        <v>2023</v>
      </c>
      <c r="D1139" t="str">
        <f>IF(原始经营数据!$D1140="","",原始经营数据!$H1140)</f>
        <v>月租金坪效</v>
      </c>
      <c r="E1139">
        <f>IF(原始经营数据!$D1140="","",原始经营数据!$I1140)</f>
        <v>117.83</v>
      </c>
      <c r="F1139" t="str">
        <f>IF(原始经营数据!$D1140="","",T(原始经营数据!$J1140))</f>
        <v>元/平方米</v>
      </c>
      <c r="G1139" t="str">
        <f>IF(原始经营数据!$D1140="","",T(原始经营数据!$K1140))</f>
        <v/>
      </c>
      <c r="H1139" t="str">
        <f>IF(原始经营数据!$D1140="","",原始经营数据!$G1140)</f>
        <v>服务价格</v>
      </c>
      <c r="I1139" t="str">
        <f>IF($A1139="","",IF($B1139&lt;&gt;"",$B1139,IF(COUNTIFS(原始经营数据!$D$3:$D$3001,$A1139,原始经营数据!$E$3:$E$3001,"",原始经营数据!$F$3:$F$3001,$C1139,原始经营数据!$H$3:$H$3001,$D1139,原始经营数据!$K$3:$K$3001,$G1139)&gt;1,"基金整体·来源"&amp;原始经营数据!$A1140,"基金整体")))</f>
        <v>长沙雨花亭项目</v>
      </c>
      <c r="J1139" t="str">
        <f t="shared" si="258"/>
        <v>年度</v>
      </c>
      <c r="K1139" t="str">
        <f t="shared" si="259"/>
        <v>月租金坪效（元/平方米）</v>
      </c>
      <c r="L1139" t="str">
        <f t="shared" si="260"/>
        <v>长沙雨花亭项目|月租金坪效（元/平方米）|年度</v>
      </c>
      <c r="M1139">
        <f>IF($A1139="",0,IF(COUNTIF($L$2:$L1139,$L1139)=1,1,0))</f>
        <v>0</v>
      </c>
      <c r="N1139">
        <f t="shared" si="261"/>
        <v>20230</v>
      </c>
      <c r="O1139" t="str">
        <f t="shared" si="262"/>
        <v>华夏凯德消费封闭式基础设施证券投资基金|2023|年度</v>
      </c>
      <c r="P1139">
        <f>IF($A1139="",0,IF(COUNTIF($O$2:$O1139,$O1139)=1,1,0))</f>
        <v>0</v>
      </c>
      <c r="Q1139" t="str">
        <f>IF(AND($P1139=1,$A1139=经营数据!$B$3,$J1139=经营数据!$BA$5),COUNTIFS($P$2:$P$3000,1,$A$2:$A$3000,$A1139,$J$2:$J$3000,$J1139,$N$2:$N$3000,"&lt;"&amp;$N1139)+1,"")</f>
        <v/>
      </c>
      <c r="R1139" t="str">
        <f t="shared" si="263"/>
        <v>华夏凯德消费封闭式基础设施证券投资基金|长沙雨花亭项目</v>
      </c>
      <c r="S1139">
        <f>IF($A1139="",0,IF(COUNTIF($R$2:$R1139,$R1139)=1,1,0))</f>
        <v>0</v>
      </c>
      <c r="T1139">
        <f t="shared" si="264"/>
        <v>1120</v>
      </c>
      <c r="U1139" t="str">
        <f>IF($A1139="","",IF($A1139=经营数据!$B$3,COUNTIFS($S$2:$S$3000,1,$A$2:$A$3000,$A1139,$T$2:$T$3000,"&lt;"&amp;$T1139)+1,""))</f>
        <v/>
      </c>
      <c r="V1139" t="str">
        <f t="shared" si="265"/>
        <v>长沙雨花亭项目|服务价格</v>
      </c>
      <c r="W1139">
        <f t="shared" si="266"/>
        <v>1128</v>
      </c>
      <c r="X1139" t="str">
        <f t="shared" si="267"/>
        <v>长沙雨花亭项目|月租金坪效</v>
      </c>
      <c r="Y1139">
        <f t="shared" si="268"/>
        <v>1128</v>
      </c>
      <c r="Z1139">
        <f>IF($A1139="",0,IF(AND($M1139=1,$A1139=经营数据!$B$3,$J1139=经营数据!$BA$5,OR($I1139=经营数据!$BA$4,COUNTIF(经营数据!$AA$9:$AA$38,$I1139)&gt;0)),1,0))</f>
        <v>0</v>
      </c>
      <c r="AA1139" t="str">
        <f t="shared" si="269"/>
        <v/>
      </c>
      <c r="AB1139" t="str">
        <f t="shared" si="270"/>
        <v/>
      </c>
      <c r="AC1139">
        <f>IF($A1139="",0,IF(COUNTIF($A$2:$A1139,$A1139)=1,1,0))</f>
        <v>0</v>
      </c>
      <c r="AD1139">
        <f t="shared" si="271"/>
        <v>10</v>
      </c>
      <c r="AE1139" t="str">
        <f t="shared" si="272"/>
        <v>长沙雨花亭项目|月租金坪效（元/平方米）</v>
      </c>
    </row>
    <row r="1140" spans="1:31" x14ac:dyDescent="0.4">
      <c r="A1140" t="str">
        <f>IF(原始经营数据!$D1141="","",原始经营数据!$D1141)</f>
        <v>华夏凯德消费封闭式基础设施证券投资基金</v>
      </c>
      <c r="B1140" t="str">
        <f>IF(原始经营数据!$D1141="","",T(原始经营数据!$E1141))</f>
        <v>长沙雨花亭项目</v>
      </c>
      <c r="C1140" t="str">
        <f>IF(原始经营数据!$D1141="","",原始经营数据!$F1141)</f>
        <v>2023</v>
      </c>
      <c r="D1140" t="str">
        <f>IF(原始经营数据!$D1141="","",原始经营数据!$H1141)</f>
        <v>平均出租率</v>
      </c>
      <c r="E1140">
        <f>IF(原始经营数据!$D1141="","",原始经营数据!$I1141)</f>
        <v>95.15</v>
      </c>
      <c r="F1140" t="str">
        <f>IF(原始经营数据!$D1141="","",T(原始经营数据!$J1141))</f>
        <v>%</v>
      </c>
      <c r="G1140" t="str">
        <f>IF(原始经营数据!$D1141="","",T(原始经营数据!$K1141))</f>
        <v/>
      </c>
      <c r="H1140" t="str">
        <f>IF(原始经营数据!$D1141="","",原始经营数据!$G1141)</f>
        <v>服务效率</v>
      </c>
      <c r="I1140" t="str">
        <f>IF($A1140="","",IF($B1140&lt;&gt;"",$B1140,IF(COUNTIFS(原始经营数据!$D$3:$D$3001,$A1140,原始经营数据!$E$3:$E$3001,"",原始经营数据!$F$3:$F$3001,$C1140,原始经营数据!$H$3:$H$3001,$D1140,原始经营数据!$K$3:$K$3001,$G1140)&gt;1,"基金整体·来源"&amp;原始经营数据!$A1141,"基金整体")))</f>
        <v>长沙雨花亭项目</v>
      </c>
      <c r="J1140" t="str">
        <f t="shared" si="258"/>
        <v>年度</v>
      </c>
      <c r="K1140" t="str">
        <f t="shared" si="259"/>
        <v>平均出租率（%）</v>
      </c>
      <c r="L1140" t="str">
        <f t="shared" si="260"/>
        <v>长沙雨花亭项目|平均出租率（%）|年度</v>
      </c>
      <c r="M1140">
        <f>IF($A1140="",0,IF(COUNTIF($L$2:$L1140,$L1140)=1,1,0))</f>
        <v>0</v>
      </c>
      <c r="N1140">
        <f t="shared" si="261"/>
        <v>20230</v>
      </c>
      <c r="O1140" t="str">
        <f t="shared" si="262"/>
        <v>华夏凯德消费封闭式基础设施证券投资基金|2023|年度</v>
      </c>
      <c r="P1140">
        <f>IF($A1140="",0,IF(COUNTIF($O$2:$O1140,$O1140)=1,1,0))</f>
        <v>0</v>
      </c>
      <c r="Q1140" t="str">
        <f>IF(AND($P1140=1,$A1140=经营数据!$B$3,$J1140=经营数据!$BA$5),COUNTIFS($P$2:$P$3000,1,$A$2:$A$3000,$A1140,$J$2:$J$3000,$J1140,$N$2:$N$3000,"&lt;"&amp;$N1140)+1,"")</f>
        <v/>
      </c>
      <c r="R1140" t="str">
        <f t="shared" si="263"/>
        <v>华夏凯德消费封闭式基础设施证券投资基金|长沙雨花亭项目</v>
      </c>
      <c r="S1140">
        <f>IF($A1140="",0,IF(COUNTIF($R$2:$R1140,$R1140)=1,1,0))</f>
        <v>0</v>
      </c>
      <c r="T1140">
        <f t="shared" si="264"/>
        <v>1120</v>
      </c>
      <c r="U1140" t="str">
        <f>IF($A1140="","",IF($A1140=经营数据!$B$3,COUNTIFS($S$2:$S$3000,1,$A$2:$A$3000,$A1140,$T$2:$T$3000,"&lt;"&amp;$T1140)+1,""))</f>
        <v/>
      </c>
      <c r="V1140" t="str">
        <f t="shared" si="265"/>
        <v>长沙雨花亭项目|服务效率</v>
      </c>
      <c r="W1140">
        <f t="shared" si="266"/>
        <v>1127</v>
      </c>
      <c r="X1140" t="str">
        <f t="shared" si="267"/>
        <v>长沙雨花亭项目|平均出租率</v>
      </c>
      <c r="Y1140">
        <f t="shared" si="268"/>
        <v>1135</v>
      </c>
      <c r="Z1140">
        <f>IF($A1140="",0,IF(AND($M1140=1,$A1140=经营数据!$B$3,$J1140=经营数据!$BA$5,OR($I1140=经营数据!$BA$4,COUNTIF(经营数据!$AA$9:$AA$38,$I1140)&gt;0)),1,0))</f>
        <v>0</v>
      </c>
      <c r="AA1140" t="str">
        <f t="shared" si="269"/>
        <v/>
      </c>
      <c r="AB1140" t="str">
        <f t="shared" si="270"/>
        <v/>
      </c>
      <c r="AC1140">
        <f>IF($A1140="",0,IF(COUNTIF($A$2:$A1140,$A1140)=1,1,0))</f>
        <v>0</v>
      </c>
      <c r="AD1140">
        <f t="shared" si="271"/>
        <v>10</v>
      </c>
      <c r="AE1140" t="str">
        <f t="shared" si="272"/>
        <v>长沙雨花亭项目|平均出租率（%）</v>
      </c>
    </row>
    <row r="1141" spans="1:31" x14ac:dyDescent="0.4">
      <c r="A1141" t="str">
        <f>IF(原始经营数据!$D1142="","",原始经营数据!$D1142)</f>
        <v>华夏凯德消费封闭式基础设施证券投资基金</v>
      </c>
      <c r="B1141" t="str">
        <f>IF(原始经营数据!$D1142="","",T(原始经营数据!$E1142))</f>
        <v>长沙雨花亭项目</v>
      </c>
      <c r="C1141" t="str">
        <f>IF(原始经营数据!$D1142="","",原始经营数据!$F1142)</f>
        <v>2023</v>
      </c>
      <c r="D1141" t="str">
        <f>IF(原始经营数据!$D1142="","",原始经营数据!$H1142)</f>
        <v>期末时点出租率</v>
      </c>
      <c r="E1141">
        <f>IF(原始经营数据!$D1142="","",原始经营数据!$I1142)</f>
        <v>98.5</v>
      </c>
      <c r="F1141" t="str">
        <f>IF(原始经营数据!$D1142="","",T(原始经营数据!$J1142))</f>
        <v>%</v>
      </c>
      <c r="G1141" t="str">
        <f>IF(原始经营数据!$D1142="","",T(原始经营数据!$K1142))</f>
        <v/>
      </c>
      <c r="H1141" t="str">
        <f>IF(原始经营数据!$D1142="","",原始经营数据!$G1142)</f>
        <v>服务效率</v>
      </c>
      <c r="I1141" t="str">
        <f>IF($A1141="","",IF($B1141&lt;&gt;"",$B1141,IF(COUNTIFS(原始经营数据!$D$3:$D$3001,$A1141,原始经营数据!$E$3:$E$3001,"",原始经营数据!$F$3:$F$3001,$C1141,原始经营数据!$H$3:$H$3001,$D1141,原始经营数据!$K$3:$K$3001,$G1141)&gt;1,"基金整体·来源"&amp;原始经营数据!$A1142,"基金整体")))</f>
        <v>长沙雨花亭项目</v>
      </c>
      <c r="J1141" t="str">
        <f t="shared" si="258"/>
        <v>年度</v>
      </c>
      <c r="K1141" t="str">
        <f t="shared" si="259"/>
        <v>期末时点出租率（%）</v>
      </c>
      <c r="L1141" t="str">
        <f t="shared" si="260"/>
        <v>长沙雨花亭项目|期末时点出租率（%）|年度</v>
      </c>
      <c r="M1141">
        <f>IF($A1141="",0,IF(COUNTIF($L$2:$L1141,$L1141)=1,1,0))</f>
        <v>0</v>
      </c>
      <c r="N1141">
        <f t="shared" si="261"/>
        <v>20230</v>
      </c>
      <c r="O1141" t="str">
        <f t="shared" si="262"/>
        <v>华夏凯德消费封闭式基础设施证券投资基金|2023|年度</v>
      </c>
      <c r="P1141">
        <f>IF($A1141="",0,IF(COUNTIF($O$2:$O1141,$O1141)=1,1,0))</f>
        <v>0</v>
      </c>
      <c r="Q1141" t="str">
        <f>IF(AND($P1141=1,$A1141=经营数据!$B$3,$J1141=经营数据!$BA$5),COUNTIFS($P$2:$P$3000,1,$A$2:$A$3000,$A1141,$J$2:$J$3000,$J1141,$N$2:$N$3000,"&lt;"&amp;$N1141)+1,"")</f>
        <v/>
      </c>
      <c r="R1141" t="str">
        <f t="shared" si="263"/>
        <v>华夏凯德消费封闭式基础设施证券投资基金|长沙雨花亭项目</v>
      </c>
      <c r="S1141">
        <f>IF($A1141="",0,IF(COUNTIF($R$2:$R1141,$R1141)=1,1,0))</f>
        <v>0</v>
      </c>
      <c r="T1141">
        <f t="shared" si="264"/>
        <v>1120</v>
      </c>
      <c r="U1141" t="str">
        <f>IF($A1141="","",IF($A1141=经营数据!$B$3,COUNTIFS($S$2:$S$3000,1,$A$2:$A$3000,$A1141,$T$2:$T$3000,"&lt;"&amp;$T1141)+1,""))</f>
        <v/>
      </c>
      <c r="V1141" t="str">
        <f t="shared" si="265"/>
        <v>长沙雨花亭项目|服务效率</v>
      </c>
      <c r="W1141">
        <f t="shared" si="266"/>
        <v>1127</v>
      </c>
      <c r="X1141" t="str">
        <f t="shared" si="267"/>
        <v>长沙雨花亭项目|期末时点出租率</v>
      </c>
      <c r="Y1141">
        <f t="shared" si="268"/>
        <v>1137</v>
      </c>
      <c r="Z1141">
        <f>IF($A1141="",0,IF(AND($M1141=1,$A1141=经营数据!$B$3,$J1141=经营数据!$BA$5,OR($I1141=经营数据!$BA$4,COUNTIF(经营数据!$AA$9:$AA$38,$I1141)&gt;0)),1,0))</f>
        <v>0</v>
      </c>
      <c r="AA1141" t="str">
        <f t="shared" si="269"/>
        <v/>
      </c>
      <c r="AB1141" t="str">
        <f t="shared" si="270"/>
        <v/>
      </c>
      <c r="AC1141">
        <f>IF($A1141="",0,IF(COUNTIF($A$2:$A1141,$A1141)=1,1,0))</f>
        <v>0</v>
      </c>
      <c r="AD1141">
        <f t="shared" si="271"/>
        <v>10</v>
      </c>
      <c r="AE1141" t="str">
        <f t="shared" si="272"/>
        <v>长沙雨花亭项目|期末时点出租率（%）</v>
      </c>
    </row>
    <row r="1142" spans="1:31" x14ac:dyDescent="0.4">
      <c r="A1142" t="str">
        <f>IF(原始经营数据!$D1143="","",原始经营数据!$D1143)</f>
        <v>华夏凯德消费封闭式基础设施证券投资基金</v>
      </c>
      <c r="B1142" t="str">
        <f>IF(原始经营数据!$D1143="","",T(原始经营数据!$E1143))</f>
        <v>长沙雨花亭项目</v>
      </c>
      <c r="C1142" t="str">
        <f>IF(原始经营数据!$D1143="","",原始经营数据!$F1143)</f>
        <v>2023</v>
      </c>
      <c r="D1142" t="str">
        <f>IF(原始经营数据!$D1143="","",原始经营数据!$H1143)</f>
        <v>租金收缴率</v>
      </c>
      <c r="E1142">
        <f>IF(原始经营数据!$D1143="","",原始经营数据!$I1143)</f>
        <v>99.75</v>
      </c>
      <c r="F1142" t="str">
        <f>IF(原始经营数据!$D1143="","",T(原始经营数据!$J1143))</f>
        <v>%</v>
      </c>
      <c r="G1142" t="str">
        <f>IF(原始经营数据!$D1143="","",T(原始经营数据!$K1143))</f>
        <v/>
      </c>
      <c r="H1142" t="str">
        <f>IF(原始经营数据!$D1143="","",原始经营数据!$G1143)</f>
        <v>服务效率</v>
      </c>
      <c r="I1142" t="str">
        <f>IF($A1142="","",IF($B1142&lt;&gt;"",$B1142,IF(COUNTIFS(原始经营数据!$D$3:$D$3001,$A1142,原始经营数据!$E$3:$E$3001,"",原始经营数据!$F$3:$F$3001,$C1142,原始经营数据!$H$3:$H$3001,$D1142,原始经营数据!$K$3:$K$3001,$G1142)&gt;1,"基金整体·来源"&amp;原始经营数据!$A1143,"基金整体")))</f>
        <v>长沙雨花亭项目</v>
      </c>
      <c r="J1142" t="str">
        <f t="shared" si="258"/>
        <v>年度</v>
      </c>
      <c r="K1142" t="str">
        <f t="shared" si="259"/>
        <v>租金收缴率（%）</v>
      </c>
      <c r="L1142" t="str">
        <f t="shared" si="260"/>
        <v>长沙雨花亭项目|租金收缴率（%）|年度</v>
      </c>
      <c r="M1142">
        <f>IF($A1142="",0,IF(COUNTIF($L$2:$L1142,$L1142)=1,1,0))</f>
        <v>0</v>
      </c>
      <c r="N1142">
        <f t="shared" si="261"/>
        <v>20230</v>
      </c>
      <c r="O1142" t="str">
        <f t="shared" si="262"/>
        <v>华夏凯德消费封闭式基础设施证券投资基金|2023|年度</v>
      </c>
      <c r="P1142">
        <f>IF($A1142="",0,IF(COUNTIF($O$2:$O1142,$O1142)=1,1,0))</f>
        <v>0</v>
      </c>
      <c r="Q1142" t="str">
        <f>IF(AND($P1142=1,$A1142=经营数据!$B$3,$J1142=经营数据!$BA$5),COUNTIFS($P$2:$P$3000,1,$A$2:$A$3000,$A1142,$J$2:$J$3000,$J1142,$N$2:$N$3000,"&lt;"&amp;$N1142)+1,"")</f>
        <v/>
      </c>
      <c r="R1142" t="str">
        <f t="shared" si="263"/>
        <v>华夏凯德消费封闭式基础设施证券投资基金|长沙雨花亭项目</v>
      </c>
      <c r="S1142">
        <f>IF($A1142="",0,IF(COUNTIF($R$2:$R1142,$R1142)=1,1,0))</f>
        <v>0</v>
      </c>
      <c r="T1142">
        <f t="shared" si="264"/>
        <v>1120</v>
      </c>
      <c r="U1142" t="str">
        <f>IF($A1142="","",IF($A1142=经营数据!$B$3,COUNTIFS($S$2:$S$3000,1,$A$2:$A$3000,$A1142,$T$2:$T$3000,"&lt;"&amp;$T1142)+1,""))</f>
        <v/>
      </c>
      <c r="V1142" t="str">
        <f t="shared" si="265"/>
        <v>长沙雨花亭项目|服务效率</v>
      </c>
      <c r="W1142">
        <f t="shared" si="266"/>
        <v>1127</v>
      </c>
      <c r="X1142" t="str">
        <f t="shared" si="267"/>
        <v>长沙雨花亭项目|租金收缴率</v>
      </c>
      <c r="Y1142">
        <f t="shared" si="268"/>
        <v>1134</v>
      </c>
      <c r="Z1142">
        <f>IF($A1142="",0,IF(AND($M1142=1,$A1142=经营数据!$B$3,$J1142=经营数据!$BA$5,OR($I1142=经营数据!$BA$4,COUNTIF(经营数据!$AA$9:$AA$38,$I1142)&gt;0)),1,0))</f>
        <v>0</v>
      </c>
      <c r="AA1142" t="str">
        <f t="shared" si="269"/>
        <v/>
      </c>
      <c r="AB1142" t="str">
        <f t="shared" si="270"/>
        <v/>
      </c>
      <c r="AC1142">
        <f>IF($A1142="",0,IF(COUNTIF($A$2:$A1142,$A1142)=1,1,0))</f>
        <v>0</v>
      </c>
      <c r="AD1142">
        <f t="shared" si="271"/>
        <v>10</v>
      </c>
      <c r="AE1142" t="str">
        <f t="shared" si="272"/>
        <v>长沙雨花亭项目|租金收缴率（%）</v>
      </c>
    </row>
    <row r="1143" spans="1:31" x14ac:dyDescent="0.4">
      <c r="A1143" t="str">
        <f>IF(原始经营数据!$D1144="","",原始经营数据!$D1144)</f>
        <v>华夏凯德消费封闭式基础设施证券投资基金</v>
      </c>
      <c r="B1143" t="str">
        <f>IF(原始经营数据!$D1144="","",T(原始经营数据!$E1144))</f>
        <v>长沙雨花亭项目</v>
      </c>
      <c r="C1143" t="str">
        <f>IF(原始经营数据!$D1144="","",原始经营数据!$F1144)</f>
        <v>2023</v>
      </c>
      <c r="D1143" t="str">
        <f>IF(原始经营数据!$D1144="","",原始经营数据!$H1144)</f>
        <v>月销售坪效</v>
      </c>
      <c r="E1143">
        <f>IF(原始经营数据!$D1144="","",原始经营数据!$I1144)</f>
        <v>1130.08</v>
      </c>
      <c r="F1143" t="str">
        <f>IF(原始经营数据!$D1144="","",T(原始经营数据!$J1144))</f>
        <v>元/平方米</v>
      </c>
      <c r="G1143" t="str">
        <f>IF(原始经营数据!$D1144="","",T(原始经营数据!$K1144))</f>
        <v/>
      </c>
      <c r="H1143" t="str">
        <f>IF(原始经营数据!$D1144="","",原始经营数据!$G1144)</f>
        <v>服务价格</v>
      </c>
      <c r="I1143" t="str">
        <f>IF($A1143="","",IF($B1143&lt;&gt;"",$B1143,IF(COUNTIFS(原始经营数据!$D$3:$D$3001,$A1143,原始经营数据!$E$3:$E$3001,"",原始经营数据!$F$3:$F$3001,$C1143,原始经营数据!$H$3:$H$3001,$D1143,原始经营数据!$K$3:$K$3001,$G1143)&gt;1,"基金整体·来源"&amp;原始经营数据!$A1144,"基金整体")))</f>
        <v>长沙雨花亭项目</v>
      </c>
      <c r="J1143" t="str">
        <f t="shared" si="258"/>
        <v>年度</v>
      </c>
      <c r="K1143" t="str">
        <f t="shared" si="259"/>
        <v>月销售坪效（元/平方米）</v>
      </c>
      <c r="L1143" t="str">
        <f t="shared" si="260"/>
        <v>长沙雨花亭项目|月销售坪效（元/平方米）|年度</v>
      </c>
      <c r="M1143">
        <f>IF($A1143="",0,IF(COUNTIF($L$2:$L1143,$L1143)=1,1,0))</f>
        <v>0</v>
      </c>
      <c r="N1143">
        <f t="shared" si="261"/>
        <v>20230</v>
      </c>
      <c r="O1143" t="str">
        <f t="shared" si="262"/>
        <v>华夏凯德消费封闭式基础设施证券投资基金|2023|年度</v>
      </c>
      <c r="P1143">
        <f>IF($A1143="",0,IF(COUNTIF($O$2:$O1143,$O1143)=1,1,0))</f>
        <v>0</v>
      </c>
      <c r="Q1143" t="str">
        <f>IF(AND($P1143=1,$A1143=经营数据!$B$3,$J1143=经营数据!$BA$5),COUNTIFS($P$2:$P$3000,1,$A$2:$A$3000,$A1143,$J$2:$J$3000,$J1143,$N$2:$N$3000,"&lt;"&amp;$N1143)+1,"")</f>
        <v/>
      </c>
      <c r="R1143" t="str">
        <f t="shared" si="263"/>
        <v>华夏凯德消费封闭式基础设施证券投资基金|长沙雨花亭项目</v>
      </c>
      <c r="S1143">
        <f>IF($A1143="",0,IF(COUNTIF($R$2:$R1143,$R1143)=1,1,0))</f>
        <v>0</v>
      </c>
      <c r="T1143">
        <f t="shared" si="264"/>
        <v>1120</v>
      </c>
      <c r="U1143" t="str">
        <f>IF($A1143="","",IF($A1143=经营数据!$B$3,COUNTIFS($S$2:$S$3000,1,$A$2:$A$3000,$A1143,$T$2:$T$3000,"&lt;"&amp;$T1143)+1,""))</f>
        <v/>
      </c>
      <c r="V1143" t="str">
        <f t="shared" si="265"/>
        <v>长沙雨花亭项目|服务价格</v>
      </c>
      <c r="W1143">
        <f t="shared" si="266"/>
        <v>1128</v>
      </c>
      <c r="X1143" t="str">
        <f t="shared" si="267"/>
        <v>长沙雨花亭项目|月销售坪效</v>
      </c>
      <c r="Y1143">
        <f t="shared" si="268"/>
        <v>1129</v>
      </c>
      <c r="Z1143">
        <f>IF($A1143="",0,IF(AND($M1143=1,$A1143=经营数据!$B$3,$J1143=经营数据!$BA$5,OR($I1143=经营数据!$BA$4,COUNTIF(经营数据!$AA$9:$AA$38,$I1143)&gt;0)),1,0))</f>
        <v>0</v>
      </c>
      <c r="AA1143" t="str">
        <f t="shared" si="269"/>
        <v/>
      </c>
      <c r="AB1143" t="str">
        <f t="shared" si="270"/>
        <v/>
      </c>
      <c r="AC1143">
        <f>IF($A1143="",0,IF(COUNTIF($A$2:$A1143,$A1143)=1,1,0))</f>
        <v>0</v>
      </c>
      <c r="AD1143">
        <f t="shared" si="271"/>
        <v>10</v>
      </c>
      <c r="AE1143" t="str">
        <f t="shared" si="272"/>
        <v>长沙雨花亭项目|月销售坪效（元/平方米）</v>
      </c>
    </row>
    <row r="1144" spans="1:31" x14ac:dyDescent="0.4">
      <c r="A1144" t="str">
        <f>IF(原始经营数据!$D1145="","",原始经营数据!$D1145)</f>
        <v>华夏凯德消费封闭式基础设施证券投资基金</v>
      </c>
      <c r="B1144" t="str">
        <f>IF(原始经营数据!$D1145="","",T(原始经营数据!$E1145))</f>
        <v>长沙雨花亭项目</v>
      </c>
      <c r="C1144" t="str">
        <f>IF(原始经营数据!$D1145="","",原始经营数据!$F1145)</f>
        <v>2023</v>
      </c>
      <c r="D1144" t="str">
        <f>IF(原始经营数据!$D1145="","",原始经营数据!$H1145)</f>
        <v>租售比</v>
      </c>
      <c r="E1144">
        <f>IF(原始经营数据!$D1145="","",原始经营数据!$I1145)</f>
        <v>14.4</v>
      </c>
      <c r="F1144" t="str">
        <f>IF(原始经营数据!$D1145="","",T(原始经营数据!$J1145))</f>
        <v>%</v>
      </c>
      <c r="G1144" t="str">
        <f>IF(原始经营数据!$D1145="","",T(原始经营数据!$K1145))</f>
        <v/>
      </c>
      <c r="H1144" t="str">
        <f>IF(原始经营数据!$D1145="","",原始经营数据!$G1145)</f>
        <v>服务效率</v>
      </c>
      <c r="I1144" t="str">
        <f>IF($A1144="","",IF($B1144&lt;&gt;"",$B1144,IF(COUNTIFS(原始经营数据!$D$3:$D$3001,$A1144,原始经营数据!$E$3:$E$3001,"",原始经营数据!$F$3:$F$3001,$C1144,原始经营数据!$H$3:$H$3001,$D1144,原始经营数据!$K$3:$K$3001,$G1144)&gt;1,"基金整体·来源"&amp;原始经营数据!$A1145,"基金整体")))</f>
        <v>长沙雨花亭项目</v>
      </c>
      <c r="J1144" t="str">
        <f t="shared" si="258"/>
        <v>年度</v>
      </c>
      <c r="K1144" t="str">
        <f t="shared" si="259"/>
        <v>租售比（%）</v>
      </c>
      <c r="L1144" t="str">
        <f t="shared" si="260"/>
        <v>长沙雨花亭项目|租售比（%）|年度</v>
      </c>
      <c r="M1144">
        <f>IF($A1144="",0,IF(COUNTIF($L$2:$L1144,$L1144)=1,1,0))</f>
        <v>0</v>
      </c>
      <c r="N1144">
        <f t="shared" si="261"/>
        <v>20230</v>
      </c>
      <c r="O1144" t="str">
        <f t="shared" si="262"/>
        <v>华夏凯德消费封闭式基础设施证券投资基金|2023|年度</v>
      </c>
      <c r="P1144">
        <f>IF($A1144="",0,IF(COUNTIF($O$2:$O1144,$O1144)=1,1,0))</f>
        <v>0</v>
      </c>
      <c r="Q1144" t="str">
        <f>IF(AND($P1144=1,$A1144=经营数据!$B$3,$J1144=经营数据!$BA$5),COUNTIFS($P$2:$P$3000,1,$A$2:$A$3000,$A1144,$J$2:$J$3000,$J1144,$N$2:$N$3000,"&lt;"&amp;$N1144)+1,"")</f>
        <v/>
      </c>
      <c r="R1144" t="str">
        <f t="shared" si="263"/>
        <v>华夏凯德消费封闭式基础设施证券投资基金|长沙雨花亭项目</v>
      </c>
      <c r="S1144">
        <f>IF($A1144="",0,IF(COUNTIF($R$2:$R1144,$R1144)=1,1,0))</f>
        <v>0</v>
      </c>
      <c r="T1144">
        <f t="shared" si="264"/>
        <v>1120</v>
      </c>
      <c r="U1144" t="str">
        <f>IF($A1144="","",IF($A1144=经营数据!$B$3,COUNTIFS($S$2:$S$3000,1,$A$2:$A$3000,$A1144,$T$2:$T$3000,"&lt;"&amp;$T1144)+1,""))</f>
        <v/>
      </c>
      <c r="V1144" t="str">
        <f t="shared" si="265"/>
        <v>长沙雨花亭项目|服务效率</v>
      </c>
      <c r="W1144">
        <f t="shared" si="266"/>
        <v>1127</v>
      </c>
      <c r="X1144" t="str">
        <f t="shared" si="267"/>
        <v>长沙雨花亭项目|租售比</v>
      </c>
      <c r="Y1144">
        <f t="shared" si="268"/>
        <v>1127</v>
      </c>
      <c r="Z1144">
        <f>IF($A1144="",0,IF(AND($M1144=1,$A1144=经营数据!$B$3,$J1144=经营数据!$BA$5,OR($I1144=经营数据!$BA$4,COUNTIF(经营数据!$AA$9:$AA$38,$I1144)&gt;0)),1,0))</f>
        <v>0</v>
      </c>
      <c r="AA1144" t="str">
        <f t="shared" si="269"/>
        <v/>
      </c>
      <c r="AB1144" t="str">
        <f t="shared" si="270"/>
        <v/>
      </c>
      <c r="AC1144">
        <f>IF($A1144="",0,IF(COUNTIF($A$2:$A1144,$A1144)=1,1,0))</f>
        <v>0</v>
      </c>
      <c r="AD1144">
        <f t="shared" si="271"/>
        <v>10</v>
      </c>
      <c r="AE1144" t="str">
        <f t="shared" si="272"/>
        <v>长沙雨花亭项目|租售比（%）</v>
      </c>
    </row>
    <row r="1145" spans="1:31" x14ac:dyDescent="0.4">
      <c r="A1145" t="str">
        <f>IF(原始经营数据!$D1146="","",原始经营数据!$D1146)</f>
        <v>华夏凯德消费封闭式基础设施证券投资基金</v>
      </c>
      <c r="B1145" t="str">
        <f>IF(原始经营数据!$D1146="","",T(原始经营数据!$E1146))</f>
        <v>长沙雨花亭项目</v>
      </c>
      <c r="C1145" t="str">
        <f>IF(原始经营数据!$D1146="","",原始经营数据!$F1146)</f>
        <v>2023</v>
      </c>
      <c r="D1145" t="str">
        <f>IF(原始经营数据!$D1146="","",原始经营数据!$H1146)</f>
        <v>销售额</v>
      </c>
      <c r="E1145">
        <f>IF(原始经营数据!$D1146="","",原始经营数据!$I1146)</f>
        <v>55000</v>
      </c>
      <c r="F1145" t="str">
        <f>IF(原始经营数据!$D1146="","",T(原始经营数据!$J1146))</f>
        <v>万元</v>
      </c>
      <c r="G1145" t="str">
        <f>IF(原始经营数据!$D1146="","",T(原始经营数据!$K1146))</f>
        <v/>
      </c>
      <c r="H1145" t="str">
        <f>IF(原始经营数据!$D1146="","",原始经营数据!$G1146)</f>
        <v>服务金额</v>
      </c>
      <c r="I1145" t="str">
        <f>IF($A1145="","",IF($B1145&lt;&gt;"",$B1145,IF(COUNTIFS(原始经营数据!$D$3:$D$3001,$A1145,原始经营数据!$E$3:$E$3001,"",原始经营数据!$F$3:$F$3001,$C1145,原始经营数据!$H$3:$H$3001,$D1145,原始经营数据!$K$3:$K$3001,$G1145)&gt;1,"基金整体·来源"&amp;原始经营数据!$A1146,"基金整体")))</f>
        <v>长沙雨花亭项目</v>
      </c>
      <c r="J1145" t="str">
        <f t="shared" si="258"/>
        <v>年度</v>
      </c>
      <c r="K1145" t="str">
        <f t="shared" si="259"/>
        <v>销售额（万元）</v>
      </c>
      <c r="L1145" t="str">
        <f t="shared" si="260"/>
        <v>长沙雨花亭项目|销售额（万元）|年度</v>
      </c>
      <c r="M1145">
        <f>IF($A1145="",0,IF(COUNTIF($L$2:$L1145,$L1145)=1,1,0))</f>
        <v>0</v>
      </c>
      <c r="N1145">
        <f t="shared" si="261"/>
        <v>20230</v>
      </c>
      <c r="O1145" t="str">
        <f t="shared" si="262"/>
        <v>华夏凯德消费封闭式基础设施证券投资基金|2023|年度</v>
      </c>
      <c r="P1145">
        <f>IF($A1145="",0,IF(COUNTIF($O$2:$O1145,$O1145)=1,1,0))</f>
        <v>0</v>
      </c>
      <c r="Q1145" t="str">
        <f>IF(AND($P1145=1,$A1145=经营数据!$B$3,$J1145=经营数据!$BA$5),COUNTIFS($P$2:$P$3000,1,$A$2:$A$3000,$A1145,$J$2:$J$3000,$J1145,$N$2:$N$3000,"&lt;"&amp;$N1145)+1,"")</f>
        <v/>
      </c>
      <c r="R1145" t="str">
        <f t="shared" si="263"/>
        <v>华夏凯德消费封闭式基础设施证券投资基金|长沙雨花亭项目</v>
      </c>
      <c r="S1145">
        <f>IF($A1145="",0,IF(COUNTIF($R$2:$R1145,$R1145)=1,1,0))</f>
        <v>0</v>
      </c>
      <c r="T1145">
        <f t="shared" si="264"/>
        <v>1120</v>
      </c>
      <c r="U1145" t="str">
        <f>IF($A1145="","",IF($A1145=经营数据!$B$3,COUNTIFS($S$2:$S$3000,1,$A$2:$A$3000,$A1145,$T$2:$T$3000,"&lt;"&amp;$T1145)+1,""))</f>
        <v/>
      </c>
      <c r="V1145" t="str">
        <f t="shared" si="265"/>
        <v>长沙雨花亭项目|服务金额</v>
      </c>
      <c r="W1145">
        <f t="shared" si="266"/>
        <v>1120</v>
      </c>
      <c r="X1145" t="str">
        <f t="shared" si="267"/>
        <v>长沙雨花亭项目|销售额</v>
      </c>
      <c r="Y1145">
        <f t="shared" si="268"/>
        <v>1125</v>
      </c>
      <c r="Z1145">
        <f>IF($A1145="",0,IF(AND($M1145=1,$A1145=经营数据!$B$3,$J1145=经营数据!$BA$5,OR($I1145=经营数据!$BA$4,COUNTIF(经营数据!$AA$9:$AA$38,$I1145)&gt;0)),1,0))</f>
        <v>0</v>
      </c>
      <c r="AA1145" t="str">
        <f t="shared" si="269"/>
        <v/>
      </c>
      <c r="AB1145" t="str">
        <f t="shared" si="270"/>
        <v/>
      </c>
      <c r="AC1145">
        <f>IF($A1145="",0,IF(COUNTIF($A$2:$A1145,$A1145)=1,1,0))</f>
        <v>0</v>
      </c>
      <c r="AD1145">
        <f t="shared" si="271"/>
        <v>10</v>
      </c>
      <c r="AE1145" t="str">
        <f t="shared" si="272"/>
        <v>长沙雨花亭项目|销售额（万元）</v>
      </c>
    </row>
    <row r="1146" spans="1:31" x14ac:dyDescent="0.4">
      <c r="A1146" t="str">
        <f>IF(原始经营数据!$D1147="","",原始经营数据!$D1147)</f>
        <v>华夏凯德消费封闭式基础设施证券投资基金</v>
      </c>
      <c r="B1146" t="str">
        <f>IF(原始经营数据!$D1147="","",T(原始经营数据!$E1147))</f>
        <v>长沙雨花亭项目</v>
      </c>
      <c r="C1146" t="str">
        <f>IF(原始经营数据!$D1147="","",原始经营数据!$F1147)</f>
        <v>2023</v>
      </c>
      <c r="D1146" t="str">
        <f>IF(原始经营数据!$D1147="","",原始经营数据!$H1147)</f>
        <v>营业收入（考虑租金减免，不含税）</v>
      </c>
      <c r="E1146">
        <f>IF(原始经营数据!$D1147="","",原始经营数据!$I1147)</f>
        <v>8221.92</v>
      </c>
      <c r="F1146" t="str">
        <f>IF(原始经营数据!$D1147="","",T(原始经营数据!$J1147))</f>
        <v>万元</v>
      </c>
      <c r="G1146" t="str">
        <f>IF(原始经营数据!$D1147="","",T(原始经营数据!$K1147))</f>
        <v/>
      </c>
      <c r="H1146" t="str">
        <f>IF(原始经营数据!$D1147="","",原始经营数据!$G1147)</f>
        <v>服务金额</v>
      </c>
      <c r="I1146" t="str">
        <f>IF($A1146="","",IF($B1146&lt;&gt;"",$B1146,IF(COUNTIFS(原始经营数据!$D$3:$D$3001,$A1146,原始经营数据!$E$3:$E$3001,"",原始经营数据!$F$3:$F$3001,$C1146,原始经营数据!$H$3:$H$3001,$D1146,原始经营数据!$K$3:$K$3001,$G1146)&gt;1,"基金整体·来源"&amp;原始经营数据!$A1147,"基金整体")))</f>
        <v>长沙雨花亭项目</v>
      </c>
      <c r="J1146" t="str">
        <f t="shared" si="258"/>
        <v>年度</v>
      </c>
      <c r="K1146" t="str">
        <f t="shared" si="259"/>
        <v>营业收入（考虑租金减免，不含税）（万元）</v>
      </c>
      <c r="L1146" t="str">
        <f t="shared" si="260"/>
        <v>长沙雨花亭项目|营业收入（考虑租金减免，不含税）（万元）|年度</v>
      </c>
      <c r="M1146">
        <f>IF($A1146="",0,IF(COUNTIF($L$2:$L1146,$L1146)=1,1,0))</f>
        <v>0</v>
      </c>
      <c r="N1146">
        <f t="shared" si="261"/>
        <v>20230</v>
      </c>
      <c r="O1146" t="str">
        <f t="shared" si="262"/>
        <v>华夏凯德消费封闭式基础设施证券投资基金|2023|年度</v>
      </c>
      <c r="P1146">
        <f>IF($A1146="",0,IF(COUNTIF($O$2:$O1146,$O1146)=1,1,0))</f>
        <v>0</v>
      </c>
      <c r="Q1146" t="str">
        <f>IF(AND($P1146=1,$A1146=经营数据!$B$3,$J1146=经营数据!$BA$5),COUNTIFS($P$2:$P$3000,1,$A$2:$A$3000,$A1146,$J$2:$J$3000,$J1146,$N$2:$N$3000,"&lt;"&amp;$N1146)+1,"")</f>
        <v/>
      </c>
      <c r="R1146" t="str">
        <f t="shared" si="263"/>
        <v>华夏凯德消费封闭式基础设施证券投资基金|长沙雨花亭项目</v>
      </c>
      <c r="S1146">
        <f>IF($A1146="",0,IF(COUNTIF($R$2:$R1146,$R1146)=1,1,0))</f>
        <v>0</v>
      </c>
      <c r="T1146">
        <f t="shared" si="264"/>
        <v>1120</v>
      </c>
      <c r="U1146" t="str">
        <f>IF($A1146="","",IF($A1146=经营数据!$B$3,COUNTIFS($S$2:$S$3000,1,$A$2:$A$3000,$A1146,$T$2:$T$3000,"&lt;"&amp;$T1146)+1,""))</f>
        <v/>
      </c>
      <c r="V1146" t="str">
        <f t="shared" si="265"/>
        <v>长沙雨花亭项目|服务金额</v>
      </c>
      <c r="W1146">
        <f t="shared" si="266"/>
        <v>1120</v>
      </c>
      <c r="X1146" t="str">
        <f t="shared" si="267"/>
        <v>长沙雨花亭项目|营业收入（考虑租金减免，不含税）</v>
      </c>
      <c r="Y1146">
        <f t="shared" si="268"/>
        <v>1120</v>
      </c>
      <c r="Z1146">
        <f>IF($A1146="",0,IF(AND($M1146=1,$A1146=经营数据!$B$3,$J1146=经营数据!$BA$5,OR($I1146=经营数据!$BA$4,COUNTIF(经营数据!$AA$9:$AA$38,$I1146)&gt;0)),1,0))</f>
        <v>0</v>
      </c>
      <c r="AA1146" t="str">
        <f t="shared" si="269"/>
        <v/>
      </c>
      <c r="AB1146" t="str">
        <f t="shared" si="270"/>
        <v/>
      </c>
      <c r="AC1146">
        <f>IF($A1146="",0,IF(COUNTIF($A$2:$A1146,$A1146)=1,1,0))</f>
        <v>0</v>
      </c>
      <c r="AD1146">
        <f t="shared" si="271"/>
        <v>10</v>
      </c>
      <c r="AE1146" t="str">
        <f t="shared" si="272"/>
        <v>长沙雨花亭项目|营业收入（考虑租金减免，不含税）（万元）</v>
      </c>
    </row>
    <row r="1147" spans="1:31" x14ac:dyDescent="0.4">
      <c r="A1147" t="str">
        <f>IF(原始经营数据!$D1148="","",原始经营数据!$D1148)</f>
        <v>华夏凯德消费封闭式基础设施证券投资基金</v>
      </c>
      <c r="B1147" t="str">
        <f>IF(原始经营数据!$D1148="","",T(原始经营数据!$E1148))</f>
        <v>长沙雨花亭项目</v>
      </c>
      <c r="C1147" t="str">
        <f>IF(原始经营数据!$D1148="","",原始经营数据!$F1148)</f>
        <v>2023</v>
      </c>
      <c r="D1147" t="str">
        <f>IF(原始经营数据!$D1148="","",原始经营数据!$H1148)</f>
        <v>客流量</v>
      </c>
      <c r="E1147">
        <f>IF(原始经营数据!$D1148="","",原始经营数据!$I1148)</f>
        <v>2.93</v>
      </c>
      <c r="F1147" t="str">
        <f>IF(原始经营数据!$D1148="","",T(原始经营数据!$J1148))</f>
        <v>万人/日</v>
      </c>
      <c r="G1147" t="str">
        <f>IF(原始经营数据!$D1148="","",T(原始经营数据!$K1148))</f>
        <v/>
      </c>
      <c r="H1147" t="str">
        <f>IF(原始经营数据!$D1148="","",原始经营数据!$G1148)</f>
        <v>服务量</v>
      </c>
      <c r="I1147" t="str">
        <f>IF($A1147="","",IF($B1147&lt;&gt;"",$B1147,IF(COUNTIFS(原始经营数据!$D$3:$D$3001,$A1147,原始经营数据!$E$3:$E$3001,"",原始经营数据!$F$3:$F$3001,$C1147,原始经营数据!$H$3:$H$3001,$D1147,原始经营数据!$K$3:$K$3001,$G1147)&gt;1,"基金整体·来源"&amp;原始经营数据!$A1148,"基金整体")))</f>
        <v>长沙雨花亭项目</v>
      </c>
      <c r="J1147" t="str">
        <f t="shared" si="258"/>
        <v>年度</v>
      </c>
      <c r="K1147" t="str">
        <f t="shared" si="259"/>
        <v>客流量（万人/日）</v>
      </c>
      <c r="L1147" t="str">
        <f t="shared" si="260"/>
        <v>长沙雨花亭项目|客流量（万人/日）|年度</v>
      </c>
      <c r="M1147">
        <f>IF($A1147="",0,IF(COUNTIF($L$2:$L1147,$L1147)=1,1,0))</f>
        <v>0</v>
      </c>
      <c r="N1147">
        <f t="shared" si="261"/>
        <v>20230</v>
      </c>
      <c r="O1147" t="str">
        <f t="shared" si="262"/>
        <v>华夏凯德消费封闭式基础设施证券投资基金|2023|年度</v>
      </c>
      <c r="P1147">
        <f>IF($A1147="",0,IF(COUNTIF($O$2:$O1147,$O1147)=1,1,0))</f>
        <v>0</v>
      </c>
      <c r="Q1147" t="str">
        <f>IF(AND($P1147=1,$A1147=经营数据!$B$3,$J1147=经营数据!$BA$5),COUNTIFS($P$2:$P$3000,1,$A$2:$A$3000,$A1147,$J$2:$J$3000,$J1147,$N$2:$N$3000,"&lt;"&amp;$N1147)+1,"")</f>
        <v/>
      </c>
      <c r="R1147" t="str">
        <f t="shared" si="263"/>
        <v>华夏凯德消费封闭式基础设施证券投资基金|长沙雨花亭项目</v>
      </c>
      <c r="S1147">
        <f>IF($A1147="",0,IF(COUNTIF($R$2:$R1147,$R1147)=1,1,0))</f>
        <v>0</v>
      </c>
      <c r="T1147">
        <f t="shared" si="264"/>
        <v>1120</v>
      </c>
      <c r="U1147" t="str">
        <f>IF($A1147="","",IF($A1147=经营数据!$B$3,COUNTIFS($S$2:$S$3000,1,$A$2:$A$3000,$A1147,$T$2:$T$3000,"&lt;"&amp;$T1147)+1,""))</f>
        <v/>
      </c>
      <c r="V1147" t="str">
        <f t="shared" si="265"/>
        <v>长沙雨花亭项目|服务量</v>
      </c>
      <c r="W1147">
        <f t="shared" si="266"/>
        <v>1124</v>
      </c>
      <c r="X1147" t="str">
        <f t="shared" si="267"/>
        <v>长沙雨花亭项目|客流量</v>
      </c>
      <c r="Y1147">
        <f t="shared" si="268"/>
        <v>1124</v>
      </c>
      <c r="Z1147">
        <f>IF($A1147="",0,IF(AND($M1147=1,$A1147=经营数据!$B$3,$J1147=经营数据!$BA$5,OR($I1147=经营数据!$BA$4,COUNTIF(经营数据!$AA$9:$AA$38,$I1147)&gt;0)),1,0))</f>
        <v>0</v>
      </c>
      <c r="AA1147" t="str">
        <f t="shared" si="269"/>
        <v/>
      </c>
      <c r="AB1147" t="str">
        <f t="shared" si="270"/>
        <v/>
      </c>
      <c r="AC1147">
        <f>IF($A1147="",0,IF(COUNTIF($A$2:$A1147,$A1147)=1,1,0))</f>
        <v>0</v>
      </c>
      <c r="AD1147">
        <f t="shared" si="271"/>
        <v>10</v>
      </c>
      <c r="AE1147" t="str">
        <f t="shared" si="272"/>
        <v>长沙雨花亭项目|客流量（万人/日）</v>
      </c>
    </row>
    <row r="1148" spans="1:31" x14ac:dyDescent="0.4">
      <c r="A1148" t="str">
        <f>IF(原始经营数据!$D1149="","",原始经营数据!$D1149)</f>
        <v>华夏凯德消费封闭式基础设施证券投资基金</v>
      </c>
      <c r="B1148" t="str">
        <f>IF(原始经营数据!$D1149="","",T(原始经营数据!$E1149))</f>
        <v>长沙雨花亭项目</v>
      </c>
      <c r="C1148" t="str">
        <f>IF(原始经营数据!$D1149="","",原始经营数据!$F1149)</f>
        <v>2023</v>
      </c>
      <c r="D1148" t="str">
        <f>IF(原始经营数据!$D1149="","",原始经营数据!$H1149)</f>
        <v>专门店平均租金单价</v>
      </c>
      <c r="E1148">
        <f>IF(原始经营数据!$D1149="","",原始经营数据!$I1149)</f>
        <v>206.13</v>
      </c>
      <c r="F1148" t="str">
        <f>IF(原始经营数据!$D1149="","",T(原始经营数据!$J1149))</f>
        <v/>
      </c>
      <c r="G1148" t="str">
        <f>IF(原始经营数据!$D1149="","",T(原始经营数据!$K1149))</f>
        <v/>
      </c>
      <c r="H1148" t="str">
        <f>IF(原始经营数据!$D1149="","",原始经营数据!$G1149)</f>
        <v>服务价格</v>
      </c>
      <c r="I1148" t="str">
        <f>IF($A1148="","",IF($B1148&lt;&gt;"",$B1148,IF(COUNTIFS(原始经营数据!$D$3:$D$3001,$A1148,原始经营数据!$E$3:$E$3001,"",原始经营数据!$F$3:$F$3001,$C1148,原始经营数据!$H$3:$H$3001,$D1148,原始经营数据!$K$3:$K$3001,$G1148)&gt;1,"基金整体·来源"&amp;原始经营数据!$A1149,"基金整体")))</f>
        <v>长沙雨花亭项目</v>
      </c>
      <c r="J1148" t="str">
        <f t="shared" si="258"/>
        <v>年度</v>
      </c>
      <c r="K1148" t="str">
        <f t="shared" si="259"/>
        <v>专门店平均租金单价</v>
      </c>
      <c r="L1148" t="str">
        <f t="shared" si="260"/>
        <v>长沙雨花亭项目|专门店平均租金单价|年度</v>
      </c>
      <c r="M1148">
        <f>IF($A1148="",0,IF(COUNTIF($L$2:$L1148,$L1148)=1,1,0))</f>
        <v>0</v>
      </c>
      <c r="N1148">
        <f t="shared" si="261"/>
        <v>20230</v>
      </c>
      <c r="O1148" t="str">
        <f t="shared" si="262"/>
        <v>华夏凯德消费封闭式基础设施证券投资基金|2023|年度</v>
      </c>
      <c r="P1148">
        <f>IF($A1148="",0,IF(COUNTIF($O$2:$O1148,$O1148)=1,1,0))</f>
        <v>0</v>
      </c>
      <c r="Q1148" t="str">
        <f>IF(AND($P1148=1,$A1148=经营数据!$B$3,$J1148=经营数据!$BA$5),COUNTIFS($P$2:$P$3000,1,$A$2:$A$3000,$A1148,$J$2:$J$3000,$J1148,$N$2:$N$3000,"&lt;"&amp;$N1148)+1,"")</f>
        <v/>
      </c>
      <c r="R1148" t="str">
        <f t="shared" si="263"/>
        <v>华夏凯德消费封闭式基础设施证券投资基金|长沙雨花亭项目</v>
      </c>
      <c r="S1148">
        <f>IF($A1148="",0,IF(COUNTIF($R$2:$R1148,$R1148)=1,1,0))</f>
        <v>0</v>
      </c>
      <c r="T1148">
        <f t="shared" si="264"/>
        <v>1120</v>
      </c>
      <c r="U1148" t="str">
        <f>IF($A1148="","",IF($A1148=经营数据!$B$3,COUNTIFS($S$2:$S$3000,1,$A$2:$A$3000,$A1148,$T$2:$T$3000,"&lt;"&amp;$T1148)+1,""))</f>
        <v/>
      </c>
      <c r="V1148" t="str">
        <f t="shared" si="265"/>
        <v>长沙雨花亭项目|服务价格</v>
      </c>
      <c r="W1148">
        <f t="shared" si="266"/>
        <v>1128</v>
      </c>
      <c r="X1148" t="str">
        <f t="shared" si="267"/>
        <v>长沙雨花亭项目|专门店平均租金单价</v>
      </c>
      <c r="Y1148">
        <f t="shared" si="268"/>
        <v>1130</v>
      </c>
      <c r="Z1148">
        <f>IF($A1148="",0,IF(AND($M1148=1,$A1148=经营数据!$B$3,$J1148=经营数据!$BA$5,OR($I1148=经营数据!$BA$4,COUNTIF(经营数据!$AA$9:$AA$38,$I1148)&gt;0)),1,0))</f>
        <v>0</v>
      </c>
      <c r="AA1148" t="str">
        <f t="shared" si="269"/>
        <v/>
      </c>
      <c r="AB1148" t="str">
        <f t="shared" si="270"/>
        <v/>
      </c>
      <c r="AC1148">
        <f>IF($A1148="",0,IF(COUNTIF($A$2:$A1148,$A1148)=1,1,0))</f>
        <v>0</v>
      </c>
      <c r="AD1148">
        <f t="shared" si="271"/>
        <v>10</v>
      </c>
      <c r="AE1148" t="str">
        <f t="shared" si="272"/>
        <v>长沙雨花亭项目|专门店平均租金单价</v>
      </c>
    </row>
    <row r="1149" spans="1:31" x14ac:dyDescent="0.4">
      <c r="A1149" t="str">
        <f>IF(原始经营数据!$D1150="","",原始经营数据!$D1150)</f>
        <v>华夏凯德消费封闭式基础设施证券投资基金</v>
      </c>
      <c r="B1149" t="str">
        <f>IF(原始经营数据!$D1150="","",T(原始经营数据!$E1150))</f>
        <v>长沙雨花亭项目</v>
      </c>
      <c r="C1149" t="str">
        <f>IF(原始经营数据!$D1150="","",原始经营数据!$F1150)</f>
        <v>2023</v>
      </c>
      <c r="D1149" t="str">
        <f>IF(原始经营数据!$D1150="","",原始经营数据!$H1150)</f>
        <v>主力店平均租金单价</v>
      </c>
      <c r="E1149">
        <f>IF(原始经营数据!$D1150="","",原始经营数据!$I1150)</f>
        <v>39.17</v>
      </c>
      <c r="F1149" t="str">
        <f>IF(原始经营数据!$D1150="","",T(原始经营数据!$J1150))</f>
        <v/>
      </c>
      <c r="G1149" t="str">
        <f>IF(原始经营数据!$D1150="","",T(原始经营数据!$K1150))</f>
        <v/>
      </c>
      <c r="H1149" t="str">
        <f>IF(原始经营数据!$D1150="","",原始经营数据!$G1150)</f>
        <v>服务价格</v>
      </c>
      <c r="I1149" t="str">
        <f>IF($A1149="","",IF($B1149&lt;&gt;"",$B1149,IF(COUNTIFS(原始经营数据!$D$3:$D$3001,$A1149,原始经营数据!$E$3:$E$3001,"",原始经营数据!$F$3:$F$3001,$C1149,原始经营数据!$H$3:$H$3001,$D1149,原始经营数据!$K$3:$K$3001,$G1149)&gt;1,"基金整体·来源"&amp;原始经营数据!$A1150,"基金整体")))</f>
        <v>长沙雨花亭项目</v>
      </c>
      <c r="J1149" t="str">
        <f t="shared" si="258"/>
        <v>年度</v>
      </c>
      <c r="K1149" t="str">
        <f t="shared" si="259"/>
        <v>主力店平均租金单价</v>
      </c>
      <c r="L1149" t="str">
        <f t="shared" si="260"/>
        <v>长沙雨花亭项目|主力店平均租金单价|年度</v>
      </c>
      <c r="M1149">
        <f>IF($A1149="",0,IF(COUNTIF($L$2:$L1149,$L1149)=1,1,0))</f>
        <v>0</v>
      </c>
      <c r="N1149">
        <f t="shared" si="261"/>
        <v>20230</v>
      </c>
      <c r="O1149" t="str">
        <f t="shared" si="262"/>
        <v>华夏凯德消费封闭式基础设施证券投资基金|2023|年度</v>
      </c>
      <c r="P1149">
        <f>IF($A1149="",0,IF(COUNTIF($O$2:$O1149,$O1149)=1,1,0))</f>
        <v>0</v>
      </c>
      <c r="Q1149" t="str">
        <f>IF(AND($P1149=1,$A1149=经营数据!$B$3,$J1149=经营数据!$BA$5),COUNTIFS($P$2:$P$3000,1,$A$2:$A$3000,$A1149,$J$2:$J$3000,$J1149,$N$2:$N$3000,"&lt;"&amp;$N1149)+1,"")</f>
        <v/>
      </c>
      <c r="R1149" t="str">
        <f t="shared" si="263"/>
        <v>华夏凯德消费封闭式基础设施证券投资基金|长沙雨花亭项目</v>
      </c>
      <c r="S1149">
        <f>IF($A1149="",0,IF(COUNTIF($R$2:$R1149,$R1149)=1,1,0))</f>
        <v>0</v>
      </c>
      <c r="T1149">
        <f t="shared" si="264"/>
        <v>1120</v>
      </c>
      <c r="U1149" t="str">
        <f>IF($A1149="","",IF($A1149=经营数据!$B$3,COUNTIFS($S$2:$S$3000,1,$A$2:$A$3000,$A1149,$T$2:$T$3000,"&lt;"&amp;$T1149)+1,""))</f>
        <v/>
      </c>
      <c r="V1149" t="str">
        <f t="shared" si="265"/>
        <v>长沙雨花亭项目|服务价格</v>
      </c>
      <c r="W1149">
        <f t="shared" si="266"/>
        <v>1128</v>
      </c>
      <c r="X1149" t="str">
        <f t="shared" si="267"/>
        <v>长沙雨花亭项目|主力店平均租金单价</v>
      </c>
      <c r="Y1149">
        <f t="shared" si="268"/>
        <v>1131</v>
      </c>
      <c r="Z1149">
        <f>IF($A1149="",0,IF(AND($M1149=1,$A1149=经营数据!$B$3,$J1149=经营数据!$BA$5,OR($I1149=经营数据!$BA$4,COUNTIF(经营数据!$AA$9:$AA$38,$I1149)&gt;0)),1,0))</f>
        <v>0</v>
      </c>
      <c r="AA1149" t="str">
        <f t="shared" si="269"/>
        <v/>
      </c>
      <c r="AB1149" t="str">
        <f t="shared" si="270"/>
        <v/>
      </c>
      <c r="AC1149">
        <f>IF($A1149="",0,IF(COUNTIF($A$2:$A1149,$A1149)=1,1,0))</f>
        <v>0</v>
      </c>
      <c r="AD1149">
        <f t="shared" si="271"/>
        <v>10</v>
      </c>
      <c r="AE1149" t="str">
        <f t="shared" si="272"/>
        <v>长沙雨花亭项目|主力店平均租金单价</v>
      </c>
    </row>
    <row r="1150" spans="1:31" x14ac:dyDescent="0.4">
      <c r="A1150" t="str">
        <f>IF(原始经营数据!$D1151="","",原始经营数据!$D1151)</f>
        <v>华夏凯德消费封闭式基础设施证券投资基金</v>
      </c>
      <c r="B1150" t="str">
        <f>IF(原始经营数据!$D1151="","",T(原始经营数据!$E1151))</f>
        <v>长沙雨花亭项目</v>
      </c>
      <c r="C1150" t="str">
        <f>IF(原始经营数据!$D1151="","",原始经营数据!$F1151)</f>
        <v>2023</v>
      </c>
      <c r="D1150" t="str">
        <f>IF(原始经营数据!$D1151="","",原始经营数据!$H1151)</f>
        <v>租户数量</v>
      </c>
      <c r="E1150">
        <f>IF(原始经营数据!$D1151="","",原始经营数据!$I1151)</f>
        <v>196</v>
      </c>
      <c r="F1150" t="str">
        <f>IF(原始经营数据!$D1151="","",T(原始经营数据!$J1151))</f>
        <v/>
      </c>
      <c r="G1150" t="str">
        <f>IF(原始经营数据!$D1151="","",T(原始经营数据!$K1151))</f>
        <v>专门店</v>
      </c>
      <c r="H1150" t="str">
        <f>IF(原始经营数据!$D1151="","",原始经营数据!$G1151)</f>
        <v>服务量</v>
      </c>
      <c r="I1150" t="str">
        <f>IF($A1150="","",IF($B1150&lt;&gt;"",$B1150,IF(COUNTIFS(原始经营数据!$D$3:$D$3001,$A1150,原始经营数据!$E$3:$E$3001,"",原始经营数据!$F$3:$F$3001,$C1150,原始经营数据!$H$3:$H$3001,$D1150,原始经营数据!$K$3:$K$3001,$G1150)&gt;1,"基金整体·来源"&amp;原始经营数据!$A1151,"基金整体")))</f>
        <v>长沙雨花亭项目</v>
      </c>
      <c r="J1150" t="str">
        <f t="shared" si="258"/>
        <v>年度</v>
      </c>
      <c r="K1150" t="str">
        <f t="shared" si="259"/>
        <v>租户数量-专门店</v>
      </c>
      <c r="L1150" t="str">
        <f t="shared" si="260"/>
        <v>长沙雨花亭项目|租户数量-专门店|年度</v>
      </c>
      <c r="M1150">
        <f>IF($A1150="",0,IF(COUNTIF($L$2:$L1150,$L1150)=1,1,0))</f>
        <v>0</v>
      </c>
      <c r="N1150">
        <f t="shared" si="261"/>
        <v>20230</v>
      </c>
      <c r="O1150" t="str">
        <f t="shared" si="262"/>
        <v>华夏凯德消费封闭式基础设施证券投资基金|2023|年度</v>
      </c>
      <c r="P1150">
        <f>IF($A1150="",0,IF(COUNTIF($O$2:$O1150,$O1150)=1,1,0))</f>
        <v>0</v>
      </c>
      <c r="Q1150" t="str">
        <f>IF(AND($P1150=1,$A1150=经营数据!$B$3,$J1150=经营数据!$BA$5),COUNTIFS($P$2:$P$3000,1,$A$2:$A$3000,$A1150,$J$2:$J$3000,$J1150,$N$2:$N$3000,"&lt;"&amp;$N1150)+1,"")</f>
        <v/>
      </c>
      <c r="R1150" t="str">
        <f t="shared" si="263"/>
        <v>华夏凯德消费封闭式基础设施证券投资基金|长沙雨花亭项目</v>
      </c>
      <c r="S1150">
        <f>IF($A1150="",0,IF(COUNTIF($R$2:$R1150,$R1150)=1,1,0))</f>
        <v>0</v>
      </c>
      <c r="T1150">
        <f t="shared" si="264"/>
        <v>1120</v>
      </c>
      <c r="U1150" t="str">
        <f>IF($A1150="","",IF($A1150=经营数据!$B$3,COUNTIFS($S$2:$S$3000,1,$A$2:$A$3000,$A1150,$T$2:$T$3000,"&lt;"&amp;$T1150)+1,""))</f>
        <v/>
      </c>
      <c r="V1150" t="str">
        <f t="shared" si="265"/>
        <v>长沙雨花亭项目|服务量</v>
      </c>
      <c r="W1150">
        <f t="shared" si="266"/>
        <v>1124</v>
      </c>
      <c r="X1150" t="str">
        <f t="shared" si="267"/>
        <v>长沙雨花亭项目|租户数量</v>
      </c>
      <c r="Y1150">
        <f t="shared" si="268"/>
        <v>1132</v>
      </c>
      <c r="Z1150">
        <f>IF($A1150="",0,IF(AND($M1150=1,$A1150=经营数据!$B$3,$J1150=经营数据!$BA$5,OR($I1150=经营数据!$BA$4,COUNTIF(经营数据!$AA$9:$AA$38,$I1150)&gt;0)),1,0))</f>
        <v>0</v>
      </c>
      <c r="AA1150" t="str">
        <f t="shared" si="269"/>
        <v/>
      </c>
      <c r="AB1150" t="str">
        <f t="shared" si="270"/>
        <v/>
      </c>
      <c r="AC1150">
        <f>IF($A1150="",0,IF(COUNTIF($A$2:$A1150,$A1150)=1,1,0))</f>
        <v>0</v>
      </c>
      <c r="AD1150">
        <f t="shared" si="271"/>
        <v>10</v>
      </c>
      <c r="AE1150" t="str">
        <f t="shared" si="272"/>
        <v>长沙雨花亭项目|租户数量-专门店</v>
      </c>
    </row>
    <row r="1151" spans="1:31" x14ac:dyDescent="0.4">
      <c r="A1151" t="str">
        <f>IF(原始经营数据!$D1152="","",原始经营数据!$D1152)</f>
        <v>华夏凯德消费封闭式基础设施证券投资基金</v>
      </c>
      <c r="B1151" t="str">
        <f>IF(原始经营数据!$D1152="","",T(原始经营数据!$E1152))</f>
        <v>长沙雨花亭项目</v>
      </c>
      <c r="C1151" t="str">
        <f>IF(原始经营数据!$D1152="","",原始经营数据!$F1152)</f>
        <v>2023</v>
      </c>
      <c r="D1151" t="str">
        <f>IF(原始经营数据!$D1152="","",原始经营数据!$H1152)</f>
        <v>租户数量</v>
      </c>
      <c r="E1151">
        <f>IF(原始经营数据!$D1152="","",原始经营数据!$I1152)</f>
        <v>7</v>
      </c>
      <c r="F1151" t="str">
        <f>IF(原始经营数据!$D1152="","",T(原始经营数据!$J1152))</f>
        <v/>
      </c>
      <c r="G1151" t="str">
        <f>IF(原始经营数据!$D1152="","",T(原始经营数据!$K1152))</f>
        <v>主力店</v>
      </c>
      <c r="H1151" t="str">
        <f>IF(原始经营数据!$D1152="","",原始经营数据!$G1152)</f>
        <v>服务量</v>
      </c>
      <c r="I1151" t="str">
        <f>IF($A1151="","",IF($B1151&lt;&gt;"",$B1151,IF(COUNTIFS(原始经营数据!$D$3:$D$3001,$A1151,原始经营数据!$E$3:$E$3001,"",原始经营数据!$F$3:$F$3001,$C1151,原始经营数据!$H$3:$H$3001,$D1151,原始经营数据!$K$3:$K$3001,$G1151)&gt;1,"基金整体·来源"&amp;原始经营数据!$A1152,"基金整体")))</f>
        <v>长沙雨花亭项目</v>
      </c>
      <c r="J1151" t="str">
        <f t="shared" si="258"/>
        <v>年度</v>
      </c>
      <c r="K1151" t="str">
        <f t="shared" si="259"/>
        <v>租户数量-主力店</v>
      </c>
      <c r="L1151" t="str">
        <f t="shared" si="260"/>
        <v>长沙雨花亭项目|租户数量-主力店|年度</v>
      </c>
      <c r="M1151">
        <f>IF($A1151="",0,IF(COUNTIF($L$2:$L1151,$L1151)=1,1,0))</f>
        <v>0</v>
      </c>
      <c r="N1151">
        <f t="shared" si="261"/>
        <v>20230</v>
      </c>
      <c r="O1151" t="str">
        <f t="shared" si="262"/>
        <v>华夏凯德消费封闭式基础设施证券投资基金|2023|年度</v>
      </c>
      <c r="P1151">
        <f>IF($A1151="",0,IF(COUNTIF($O$2:$O1151,$O1151)=1,1,0))</f>
        <v>0</v>
      </c>
      <c r="Q1151" t="str">
        <f>IF(AND($P1151=1,$A1151=经营数据!$B$3,$J1151=经营数据!$BA$5),COUNTIFS($P$2:$P$3000,1,$A$2:$A$3000,$A1151,$J$2:$J$3000,$J1151,$N$2:$N$3000,"&lt;"&amp;$N1151)+1,"")</f>
        <v/>
      </c>
      <c r="R1151" t="str">
        <f t="shared" si="263"/>
        <v>华夏凯德消费封闭式基础设施证券投资基金|长沙雨花亭项目</v>
      </c>
      <c r="S1151">
        <f>IF($A1151="",0,IF(COUNTIF($R$2:$R1151,$R1151)=1,1,0))</f>
        <v>0</v>
      </c>
      <c r="T1151">
        <f t="shared" si="264"/>
        <v>1120</v>
      </c>
      <c r="U1151" t="str">
        <f>IF($A1151="","",IF($A1151=经营数据!$B$3,COUNTIFS($S$2:$S$3000,1,$A$2:$A$3000,$A1151,$T$2:$T$3000,"&lt;"&amp;$T1151)+1,""))</f>
        <v/>
      </c>
      <c r="V1151" t="str">
        <f t="shared" si="265"/>
        <v>长沙雨花亭项目|服务量</v>
      </c>
      <c r="W1151">
        <f t="shared" si="266"/>
        <v>1124</v>
      </c>
      <c r="X1151" t="str">
        <f t="shared" si="267"/>
        <v>长沙雨花亭项目|租户数量</v>
      </c>
      <c r="Y1151">
        <f t="shared" si="268"/>
        <v>1132</v>
      </c>
      <c r="Z1151">
        <f>IF($A1151="",0,IF(AND($M1151=1,$A1151=经营数据!$B$3,$J1151=经营数据!$BA$5,OR($I1151=经营数据!$BA$4,COUNTIF(经营数据!$AA$9:$AA$38,$I1151)&gt;0)),1,0))</f>
        <v>0</v>
      </c>
      <c r="AA1151" t="str">
        <f t="shared" si="269"/>
        <v/>
      </c>
      <c r="AB1151" t="str">
        <f t="shared" si="270"/>
        <v/>
      </c>
      <c r="AC1151">
        <f>IF($A1151="",0,IF(COUNTIF($A$2:$A1151,$A1151)=1,1,0))</f>
        <v>0</v>
      </c>
      <c r="AD1151">
        <f t="shared" si="271"/>
        <v>10</v>
      </c>
      <c r="AE1151" t="str">
        <f t="shared" si="272"/>
        <v>长沙雨花亭项目|租户数量-主力店</v>
      </c>
    </row>
    <row r="1152" spans="1:31" x14ac:dyDescent="0.4">
      <c r="A1152" t="str">
        <f>IF(原始经营数据!$D1153="","",原始经营数据!$D1153)</f>
        <v>华夏凯德消费封闭式基础设施证券投资基金</v>
      </c>
      <c r="B1152" t="str">
        <f>IF(原始经营数据!$D1153="","",T(原始经营数据!$E1153))</f>
        <v>长沙雨花亭项目</v>
      </c>
      <c r="C1152" t="str">
        <f>IF(原始经营数据!$D1153="","",原始经营数据!$F1153)</f>
        <v>2023</v>
      </c>
      <c r="D1152" t="str">
        <f>IF(原始经营数据!$D1153="","",原始经营数据!$H1153)</f>
        <v>营业收入（考虑租金减免，不含税）</v>
      </c>
      <c r="E1152">
        <f>IF(原始经营数据!$D1153="","",原始经营数据!$I1153)</f>
        <v>159.88</v>
      </c>
      <c r="F1152" t="str">
        <f>IF(原始经营数据!$D1153="","",T(原始经营数据!$J1153))</f>
        <v>万元</v>
      </c>
      <c r="G1152" t="str">
        <f>IF(原始经营数据!$D1153="","",T(原始经营数据!$K1153))</f>
        <v>抽成租金收入</v>
      </c>
      <c r="H1152" t="str">
        <f>IF(原始经营数据!$D1153="","",原始经营数据!$G1153)</f>
        <v>服务金额</v>
      </c>
      <c r="I1152" t="str">
        <f>IF($A1152="","",IF($B1152&lt;&gt;"",$B1152,IF(COUNTIFS(原始经营数据!$D$3:$D$3001,$A1152,原始经营数据!$E$3:$E$3001,"",原始经营数据!$F$3:$F$3001,$C1152,原始经营数据!$H$3:$H$3001,$D1152,原始经营数据!$K$3:$K$3001,$G1152)&gt;1,"基金整体·来源"&amp;原始经营数据!$A1153,"基金整体")))</f>
        <v>长沙雨花亭项目</v>
      </c>
      <c r="J1152" t="str">
        <f t="shared" si="258"/>
        <v>年度</v>
      </c>
      <c r="K1152" t="str">
        <f t="shared" si="259"/>
        <v>营业收入（考虑租金减免，不含税）-抽成租金收入（万元）</v>
      </c>
      <c r="L1152" t="str">
        <f t="shared" si="260"/>
        <v>长沙雨花亭项目|营业收入（考虑租金减免，不含税）-抽成租金收入（万元）|年度</v>
      </c>
      <c r="M1152">
        <f>IF($A1152="",0,IF(COUNTIF($L$2:$L1152,$L1152)=1,1,0))</f>
        <v>0</v>
      </c>
      <c r="N1152">
        <f t="shared" si="261"/>
        <v>20230</v>
      </c>
      <c r="O1152" t="str">
        <f t="shared" si="262"/>
        <v>华夏凯德消费封闭式基础设施证券投资基金|2023|年度</v>
      </c>
      <c r="P1152">
        <f>IF($A1152="",0,IF(COUNTIF($O$2:$O1152,$O1152)=1,1,0))</f>
        <v>0</v>
      </c>
      <c r="Q1152" t="str">
        <f>IF(AND($P1152=1,$A1152=经营数据!$B$3,$J1152=经营数据!$BA$5),COUNTIFS($P$2:$P$3000,1,$A$2:$A$3000,$A1152,$J$2:$J$3000,$J1152,$N$2:$N$3000,"&lt;"&amp;$N1152)+1,"")</f>
        <v/>
      </c>
      <c r="R1152" t="str">
        <f t="shared" si="263"/>
        <v>华夏凯德消费封闭式基础设施证券投资基金|长沙雨花亭项目</v>
      </c>
      <c r="S1152">
        <f>IF($A1152="",0,IF(COUNTIF($R$2:$R1152,$R1152)=1,1,0))</f>
        <v>0</v>
      </c>
      <c r="T1152">
        <f t="shared" si="264"/>
        <v>1120</v>
      </c>
      <c r="U1152" t="str">
        <f>IF($A1152="","",IF($A1152=经营数据!$B$3,COUNTIFS($S$2:$S$3000,1,$A$2:$A$3000,$A1152,$T$2:$T$3000,"&lt;"&amp;$T1152)+1,""))</f>
        <v/>
      </c>
      <c r="V1152" t="str">
        <f t="shared" si="265"/>
        <v>长沙雨花亭项目|服务金额</v>
      </c>
      <c r="W1152">
        <f t="shared" si="266"/>
        <v>1120</v>
      </c>
      <c r="X1152" t="str">
        <f t="shared" si="267"/>
        <v>长沙雨花亭项目|营业收入（考虑租金减免，不含税）</v>
      </c>
      <c r="Y1152">
        <f t="shared" si="268"/>
        <v>1120</v>
      </c>
      <c r="Z1152">
        <f>IF($A1152="",0,IF(AND($M1152=1,$A1152=经营数据!$B$3,$J1152=经营数据!$BA$5,OR($I1152=经营数据!$BA$4,COUNTIF(经营数据!$AA$9:$AA$38,$I1152)&gt;0)),1,0))</f>
        <v>0</v>
      </c>
      <c r="AA1152" t="str">
        <f t="shared" si="269"/>
        <v/>
      </c>
      <c r="AB1152" t="str">
        <f t="shared" si="270"/>
        <v/>
      </c>
      <c r="AC1152">
        <f>IF($A1152="",0,IF(COUNTIF($A$2:$A1152,$A1152)=1,1,0))</f>
        <v>0</v>
      </c>
      <c r="AD1152">
        <f t="shared" si="271"/>
        <v>10</v>
      </c>
      <c r="AE1152" t="str">
        <f t="shared" si="272"/>
        <v>长沙雨花亭项目|营业收入（考虑租金减免，不含税）-抽成租金收入（万元）</v>
      </c>
    </row>
    <row r="1153" spans="1:31" x14ac:dyDescent="0.4">
      <c r="A1153" t="str">
        <f>IF(原始经营数据!$D1154="","",原始经营数据!$D1154)</f>
        <v>华夏凯德消费封闭式基础设施证券投资基金</v>
      </c>
      <c r="B1153" t="str">
        <f>IF(原始经营数据!$D1154="","",T(原始经营数据!$E1154))</f>
        <v>长沙雨花亭项目</v>
      </c>
      <c r="C1153" t="str">
        <f>IF(原始经营数据!$D1154="","",原始经营数据!$F1154)</f>
        <v>2023</v>
      </c>
      <c r="D1153" t="str">
        <f>IF(原始经营数据!$D1154="","",原始经营数据!$H1154)</f>
        <v>营业收入（考虑租金减免，不含税）</v>
      </c>
      <c r="E1153">
        <f>IF(原始经营数据!$D1154="","",原始经营数据!$I1154)</f>
        <v>655.08000000000004</v>
      </c>
      <c r="F1153" t="str">
        <f>IF(原始经营数据!$D1154="","",T(原始经营数据!$J1154))</f>
        <v>万元</v>
      </c>
      <c r="G1153" t="str">
        <f>IF(原始经营数据!$D1154="","",T(原始经营数据!$K1154))</f>
        <v>其他收入</v>
      </c>
      <c r="H1153" t="str">
        <f>IF(原始经营数据!$D1154="","",原始经营数据!$G1154)</f>
        <v>服务金额</v>
      </c>
      <c r="I1153" t="str">
        <f>IF($A1153="","",IF($B1153&lt;&gt;"",$B1153,IF(COUNTIFS(原始经营数据!$D$3:$D$3001,$A1153,原始经营数据!$E$3:$E$3001,"",原始经营数据!$F$3:$F$3001,$C1153,原始经营数据!$H$3:$H$3001,$D1153,原始经营数据!$K$3:$K$3001,$G1153)&gt;1,"基金整体·来源"&amp;原始经营数据!$A1154,"基金整体")))</f>
        <v>长沙雨花亭项目</v>
      </c>
      <c r="J1153" t="str">
        <f t="shared" si="258"/>
        <v>年度</v>
      </c>
      <c r="K1153" t="str">
        <f t="shared" si="259"/>
        <v>营业收入（考虑租金减免，不含税）-其他收入（万元）</v>
      </c>
      <c r="L1153" t="str">
        <f t="shared" si="260"/>
        <v>长沙雨花亭项目|营业收入（考虑租金减免，不含税）-其他收入（万元）|年度</v>
      </c>
      <c r="M1153">
        <f>IF($A1153="",0,IF(COUNTIF($L$2:$L1153,$L1153)=1,1,0))</f>
        <v>0</v>
      </c>
      <c r="N1153">
        <f t="shared" si="261"/>
        <v>20230</v>
      </c>
      <c r="O1153" t="str">
        <f t="shared" si="262"/>
        <v>华夏凯德消费封闭式基础设施证券投资基金|2023|年度</v>
      </c>
      <c r="P1153">
        <f>IF($A1153="",0,IF(COUNTIF($O$2:$O1153,$O1153)=1,1,0))</f>
        <v>0</v>
      </c>
      <c r="Q1153" t="str">
        <f>IF(AND($P1153=1,$A1153=经营数据!$B$3,$J1153=经营数据!$BA$5),COUNTIFS($P$2:$P$3000,1,$A$2:$A$3000,$A1153,$J$2:$J$3000,$J1153,$N$2:$N$3000,"&lt;"&amp;$N1153)+1,"")</f>
        <v/>
      </c>
      <c r="R1153" t="str">
        <f t="shared" si="263"/>
        <v>华夏凯德消费封闭式基础设施证券投资基金|长沙雨花亭项目</v>
      </c>
      <c r="S1153">
        <f>IF($A1153="",0,IF(COUNTIF($R$2:$R1153,$R1153)=1,1,0))</f>
        <v>0</v>
      </c>
      <c r="T1153">
        <f t="shared" si="264"/>
        <v>1120</v>
      </c>
      <c r="U1153" t="str">
        <f>IF($A1153="","",IF($A1153=经营数据!$B$3,COUNTIFS($S$2:$S$3000,1,$A$2:$A$3000,$A1153,$T$2:$T$3000,"&lt;"&amp;$T1153)+1,""))</f>
        <v/>
      </c>
      <c r="V1153" t="str">
        <f t="shared" si="265"/>
        <v>长沙雨花亭项目|服务金额</v>
      </c>
      <c r="W1153">
        <f t="shared" si="266"/>
        <v>1120</v>
      </c>
      <c r="X1153" t="str">
        <f t="shared" si="267"/>
        <v>长沙雨花亭项目|营业收入（考虑租金减免，不含税）</v>
      </c>
      <c r="Y1153">
        <f t="shared" si="268"/>
        <v>1120</v>
      </c>
      <c r="Z1153">
        <f>IF($A1153="",0,IF(AND($M1153=1,$A1153=经营数据!$B$3,$J1153=经营数据!$BA$5,OR($I1153=经营数据!$BA$4,COUNTIF(经营数据!$AA$9:$AA$38,$I1153)&gt;0)),1,0))</f>
        <v>0</v>
      </c>
      <c r="AA1153" t="str">
        <f t="shared" si="269"/>
        <v/>
      </c>
      <c r="AB1153" t="str">
        <f t="shared" si="270"/>
        <v/>
      </c>
      <c r="AC1153">
        <f>IF($A1153="",0,IF(COUNTIF($A$2:$A1153,$A1153)=1,1,0))</f>
        <v>0</v>
      </c>
      <c r="AD1153">
        <f t="shared" si="271"/>
        <v>10</v>
      </c>
      <c r="AE1153" t="str">
        <f t="shared" si="272"/>
        <v>长沙雨花亭项目|营业收入（考虑租金减免，不含税）-其他收入（万元）</v>
      </c>
    </row>
    <row r="1154" spans="1:31" x14ac:dyDescent="0.4">
      <c r="A1154" t="str">
        <f>IF(原始经营数据!$D1155="","",原始经营数据!$D1155)</f>
        <v>华夏凯德消费封闭式基础设施证券投资基金</v>
      </c>
      <c r="B1154" t="str">
        <f>IF(原始经营数据!$D1155="","",T(原始经营数据!$E1155))</f>
        <v>长沙雨花亭项目</v>
      </c>
      <c r="C1154" t="str">
        <f>IF(原始经营数据!$D1155="","",原始经营数据!$F1155)</f>
        <v>2023</v>
      </c>
      <c r="D1154" t="str">
        <f>IF(原始经营数据!$D1155="","",原始经营数据!$H1155)</f>
        <v>营业收入（考虑租金减免，不含税）</v>
      </c>
      <c r="E1154">
        <f>IF(原始经营数据!$D1155="","",原始经营数据!$I1155)</f>
        <v>255.31</v>
      </c>
      <c r="F1154" t="str">
        <f>IF(原始经营数据!$D1155="","",T(原始经营数据!$J1155))</f>
        <v>万元</v>
      </c>
      <c r="G1154" t="str">
        <f>IF(原始经营数据!$D1155="","",T(原始经营数据!$K1155))</f>
        <v>推广费收入</v>
      </c>
      <c r="H1154" t="str">
        <f>IF(原始经营数据!$D1155="","",原始经营数据!$G1155)</f>
        <v>服务金额</v>
      </c>
      <c r="I1154" t="str">
        <f>IF($A1154="","",IF($B1154&lt;&gt;"",$B1154,IF(COUNTIFS(原始经营数据!$D$3:$D$3001,$A1154,原始经营数据!$E$3:$E$3001,"",原始经营数据!$F$3:$F$3001,$C1154,原始经营数据!$H$3:$H$3001,$D1154,原始经营数据!$K$3:$K$3001,$G1154)&gt;1,"基金整体·来源"&amp;原始经营数据!$A1155,"基金整体")))</f>
        <v>长沙雨花亭项目</v>
      </c>
      <c r="J1154" t="str">
        <f t="shared" ref="J1154:J1217" si="273">IF($A1154="","",IF(LEN($C1154)=4,"年度",IF(AND(LEN($C1154)=6,ISNUMBER(SEARCH("Q",$C1154))),"季度","其他期间")))</f>
        <v>年度</v>
      </c>
      <c r="K1154" t="str">
        <f t="shared" ref="K1154:K1217" si="274">IF($A1154="","",$D1154&amp;IF($G1154="","","-"&amp;SUBSTITUTE($G1154,CHAR(10),""))&amp;IF($F1154="","","（"&amp;$F1154&amp;"）"))</f>
        <v>营业收入（考虑租金减免，不含税）-推广费收入（万元）</v>
      </c>
      <c r="L1154" t="str">
        <f t="shared" ref="L1154:L1217" si="275">IF($A1154="","",$I1154&amp;"|"&amp;$K1154&amp;"|"&amp;$J1154)</f>
        <v>长沙雨花亭项目|营业收入（考虑租金减免，不含税）-推广费收入（万元）|年度</v>
      </c>
      <c r="M1154">
        <f>IF($A1154="",0,IF(COUNTIF($L$2:$L1154,$L1154)=1,1,0))</f>
        <v>0</v>
      </c>
      <c r="N1154">
        <f t="shared" ref="N1154:N1217" si="276">IF($A1154="","",IF($J1154="年度",VALUE($C1154)*10,IF($J1154="季度",VALUE(LEFT($C1154,4))*10+VALUE(RIGHT($C1154,1)),VALUE(LEFT($C1154,4))*10+9)))</f>
        <v>20230</v>
      </c>
      <c r="O1154" t="str">
        <f t="shared" ref="O1154:O1217" si="277">IF($A1154="","",$A1154&amp;"|"&amp;$C1154&amp;"|"&amp;$J1154)</f>
        <v>华夏凯德消费封闭式基础设施证券投资基金|2023|年度</v>
      </c>
      <c r="P1154">
        <f>IF($A1154="",0,IF(COUNTIF($O$2:$O1154,$O1154)=1,1,0))</f>
        <v>0</v>
      </c>
      <c r="Q1154" t="str">
        <f>IF(AND($P1154=1,$A1154=经营数据!$B$3,$J1154=经营数据!$BA$5),COUNTIFS($P$2:$P$3000,1,$A$2:$A$3000,$A1154,$J$2:$J$3000,$J1154,$N$2:$N$3000,"&lt;"&amp;$N1154)+1,"")</f>
        <v/>
      </c>
      <c r="R1154" t="str">
        <f t="shared" ref="R1154:R1217" si="278">IF($A1154="","",$A1154&amp;"|"&amp;$I1154)</f>
        <v>华夏凯德消费封闭式基础设施证券投资基金|长沙雨花亭项目</v>
      </c>
      <c r="S1154">
        <f>IF($A1154="",0,IF(COUNTIF($R$2:$R1154,$R1154)=1,1,0))</f>
        <v>0</v>
      </c>
      <c r="T1154">
        <f t="shared" ref="T1154:T1217" si="279">IF($A1154="","",MATCH($R1154,$R$2:$R$3000,0))</f>
        <v>1120</v>
      </c>
      <c r="U1154" t="str">
        <f>IF($A1154="","",IF($A1154=经营数据!$B$3,COUNTIFS($S$2:$S$3000,1,$A$2:$A$3000,$A1154,$T$2:$T$3000,"&lt;"&amp;$T1154)+1,""))</f>
        <v/>
      </c>
      <c r="V1154" t="str">
        <f t="shared" ref="V1154:V1217" si="280">IF($A1154="","",$I1154&amp;"|"&amp;$H1154)</f>
        <v>长沙雨花亭项目|服务金额</v>
      </c>
      <c r="W1154">
        <f t="shared" ref="W1154:W1217" si="281">IF($A1154="","",MATCH($V1154,$V$2:$V$3000,0))</f>
        <v>1120</v>
      </c>
      <c r="X1154" t="str">
        <f t="shared" ref="X1154:X1217" si="282">IF($A1154="","",$I1154&amp;"|"&amp;$D1154)</f>
        <v>长沙雨花亭项目|营业收入（考虑租金减免，不含税）</v>
      </c>
      <c r="Y1154">
        <f t="shared" ref="Y1154:Y1217" si="283">IF($A1154="","",MATCH($X1154,$X$2:$X$3000,0))</f>
        <v>1120</v>
      </c>
      <c r="Z1154">
        <f>IF($A1154="",0,IF(AND($M1154=1,$A1154=经营数据!$B$3,$J1154=经营数据!$BA$5,OR($I1154=经营数据!$BA$4,COUNTIF(经营数据!$AA$9:$AA$38,$I1154)&gt;0)),1,0))</f>
        <v>0</v>
      </c>
      <c r="AA1154" t="str">
        <f t="shared" ref="AA1154:AA1217" si="284">IF($Z1154=1,$U1154*1000000000000+$W1154*100000000+$Y1154*10000+ROW(),"")</f>
        <v/>
      </c>
      <c r="AB1154" t="str">
        <f t="shared" ref="AB1154:AB1217" si="285">IF($Z1154=1,COUNTIFS($Z$2:$Z$3000,1,$AA$2:$AA$3000,"&lt;"&amp;$AA1154)+1,"")</f>
        <v/>
      </c>
      <c r="AC1154">
        <f>IF($A1154="",0,IF(COUNTIF($A$2:$A1154,$A1154)=1,1,0))</f>
        <v>0</v>
      </c>
      <c r="AD1154">
        <f t="shared" ref="AD1154:AD1217" si="286">IF($A1154="",N(AD1153),IF($AC1154=1,N(AD1153)+1,N(AD1153)))</f>
        <v>10</v>
      </c>
      <c r="AE1154" t="str">
        <f t="shared" ref="AE1154:AE1217" si="287">IF($A1154="","",$I1154&amp;"|"&amp;$K1154)</f>
        <v>长沙雨花亭项目|营业收入（考虑租金减免，不含税）-推广费收入（万元）</v>
      </c>
    </row>
    <row r="1155" spans="1:31" x14ac:dyDescent="0.4">
      <c r="A1155" t="str">
        <f>IF(原始经营数据!$D1156="","",原始经营数据!$D1156)</f>
        <v>华夏凯德消费封闭式基础设施证券投资基金</v>
      </c>
      <c r="B1155" t="str">
        <f>IF(原始经营数据!$D1156="","",T(原始经营数据!$E1156))</f>
        <v>长沙雨花亭项目</v>
      </c>
      <c r="C1155" t="str">
        <f>IF(原始经营数据!$D1156="","",原始经营数据!$F1156)</f>
        <v>2023</v>
      </c>
      <c r="D1155" t="str">
        <f>IF(原始经营数据!$D1156="","",原始经营数据!$H1156)</f>
        <v>营业收入（考虑租金减免，不含税）</v>
      </c>
      <c r="E1155">
        <f>IF(原始经营数据!$D1156="","",原始经营数据!$I1156)</f>
        <v>1740.9</v>
      </c>
      <c r="F1155" t="str">
        <f>IF(原始经营数据!$D1156="","",T(原始经营数据!$J1156))</f>
        <v>万元</v>
      </c>
      <c r="G1155" t="str">
        <f>IF(原始经营数据!$D1156="","",T(原始经营数据!$K1156))</f>
        <v>物业管理收入</v>
      </c>
      <c r="H1155" t="str">
        <f>IF(原始经营数据!$D1156="","",原始经营数据!$G1156)</f>
        <v>服务金额</v>
      </c>
      <c r="I1155" t="str">
        <f>IF($A1155="","",IF($B1155&lt;&gt;"",$B1155,IF(COUNTIFS(原始经营数据!$D$3:$D$3001,$A1155,原始经营数据!$E$3:$E$3001,"",原始经营数据!$F$3:$F$3001,$C1155,原始经营数据!$H$3:$H$3001,$D1155,原始经营数据!$K$3:$K$3001,$G1155)&gt;1,"基金整体·来源"&amp;原始经营数据!$A1156,"基金整体")))</f>
        <v>长沙雨花亭项目</v>
      </c>
      <c r="J1155" t="str">
        <f t="shared" si="273"/>
        <v>年度</v>
      </c>
      <c r="K1155" t="str">
        <f t="shared" si="274"/>
        <v>营业收入（考虑租金减免，不含税）-物业管理收入（万元）</v>
      </c>
      <c r="L1155" t="str">
        <f t="shared" si="275"/>
        <v>长沙雨花亭项目|营业收入（考虑租金减免，不含税）-物业管理收入（万元）|年度</v>
      </c>
      <c r="M1155">
        <f>IF($A1155="",0,IF(COUNTIF($L$2:$L1155,$L1155)=1,1,0))</f>
        <v>0</v>
      </c>
      <c r="N1155">
        <f t="shared" si="276"/>
        <v>20230</v>
      </c>
      <c r="O1155" t="str">
        <f t="shared" si="277"/>
        <v>华夏凯德消费封闭式基础设施证券投资基金|2023|年度</v>
      </c>
      <c r="P1155">
        <f>IF($A1155="",0,IF(COUNTIF($O$2:$O1155,$O1155)=1,1,0))</f>
        <v>0</v>
      </c>
      <c r="Q1155" t="str">
        <f>IF(AND($P1155=1,$A1155=经营数据!$B$3,$J1155=经营数据!$BA$5),COUNTIFS($P$2:$P$3000,1,$A$2:$A$3000,$A1155,$J$2:$J$3000,$J1155,$N$2:$N$3000,"&lt;"&amp;$N1155)+1,"")</f>
        <v/>
      </c>
      <c r="R1155" t="str">
        <f t="shared" si="278"/>
        <v>华夏凯德消费封闭式基础设施证券投资基金|长沙雨花亭项目</v>
      </c>
      <c r="S1155">
        <f>IF($A1155="",0,IF(COUNTIF($R$2:$R1155,$R1155)=1,1,0))</f>
        <v>0</v>
      </c>
      <c r="T1155">
        <f t="shared" si="279"/>
        <v>1120</v>
      </c>
      <c r="U1155" t="str">
        <f>IF($A1155="","",IF($A1155=经营数据!$B$3,COUNTIFS($S$2:$S$3000,1,$A$2:$A$3000,$A1155,$T$2:$T$3000,"&lt;"&amp;$T1155)+1,""))</f>
        <v/>
      </c>
      <c r="V1155" t="str">
        <f t="shared" si="280"/>
        <v>长沙雨花亭项目|服务金额</v>
      </c>
      <c r="W1155">
        <f t="shared" si="281"/>
        <v>1120</v>
      </c>
      <c r="X1155" t="str">
        <f t="shared" si="282"/>
        <v>长沙雨花亭项目|营业收入（考虑租金减免，不含税）</v>
      </c>
      <c r="Y1155">
        <f t="shared" si="283"/>
        <v>1120</v>
      </c>
      <c r="Z1155">
        <f>IF($A1155="",0,IF(AND($M1155=1,$A1155=经营数据!$B$3,$J1155=经营数据!$BA$5,OR($I1155=经营数据!$BA$4,COUNTIF(经营数据!$AA$9:$AA$38,$I1155)&gt;0)),1,0))</f>
        <v>0</v>
      </c>
      <c r="AA1155" t="str">
        <f t="shared" si="284"/>
        <v/>
      </c>
      <c r="AB1155" t="str">
        <f t="shared" si="285"/>
        <v/>
      </c>
      <c r="AC1155">
        <f>IF($A1155="",0,IF(COUNTIF($A$2:$A1155,$A1155)=1,1,0))</f>
        <v>0</v>
      </c>
      <c r="AD1155">
        <f t="shared" si="286"/>
        <v>10</v>
      </c>
      <c r="AE1155" t="str">
        <f t="shared" si="287"/>
        <v>长沙雨花亭项目|营业收入（考虑租金减免，不含税）-物业管理收入（万元）</v>
      </c>
    </row>
    <row r="1156" spans="1:31" x14ac:dyDescent="0.4">
      <c r="A1156" t="str">
        <f>IF(原始经营数据!$D1157="","",原始经营数据!$D1157)</f>
        <v>华夏凯德消费封闭式基础设施证券投资基金</v>
      </c>
      <c r="B1156" t="str">
        <f>IF(原始经营数据!$D1157="","",T(原始经营数据!$E1157))</f>
        <v>长沙雨花亭项目</v>
      </c>
      <c r="C1156" t="str">
        <f>IF(原始经营数据!$D1157="","",原始经营数据!$F1157)</f>
        <v>2023</v>
      </c>
      <c r="D1156" t="str">
        <f>IF(原始经营数据!$D1157="","",原始经营数据!$H1157)</f>
        <v>营业收入（考虑租金减免，不含税）</v>
      </c>
      <c r="E1156">
        <f>IF(原始经营数据!$D1157="","",原始经营数据!$I1157)</f>
        <v>5410.75</v>
      </c>
      <c r="F1156" t="str">
        <f>IF(原始经营数据!$D1157="","",T(原始经营数据!$J1157))</f>
        <v>万元</v>
      </c>
      <c r="G1156" t="str">
        <f>IF(原始经营数据!$D1157="","",T(原始经营数据!$K1157))</f>
        <v>固定租金收入</v>
      </c>
      <c r="H1156" t="str">
        <f>IF(原始经营数据!$D1157="","",原始经营数据!$G1157)</f>
        <v>服务金额</v>
      </c>
      <c r="I1156" t="str">
        <f>IF($A1156="","",IF($B1156&lt;&gt;"",$B1156,IF(COUNTIFS(原始经营数据!$D$3:$D$3001,$A1156,原始经营数据!$E$3:$E$3001,"",原始经营数据!$F$3:$F$3001,$C1156,原始经营数据!$H$3:$H$3001,$D1156,原始经营数据!$K$3:$K$3001,$G1156)&gt;1,"基金整体·来源"&amp;原始经营数据!$A1157,"基金整体")))</f>
        <v>长沙雨花亭项目</v>
      </c>
      <c r="J1156" t="str">
        <f t="shared" si="273"/>
        <v>年度</v>
      </c>
      <c r="K1156" t="str">
        <f t="shared" si="274"/>
        <v>营业收入（考虑租金减免，不含税）-固定租金收入（万元）</v>
      </c>
      <c r="L1156" t="str">
        <f t="shared" si="275"/>
        <v>长沙雨花亭项目|营业收入（考虑租金减免，不含税）-固定租金收入（万元）|年度</v>
      </c>
      <c r="M1156">
        <f>IF($A1156="",0,IF(COUNTIF($L$2:$L1156,$L1156)=1,1,0))</f>
        <v>0</v>
      </c>
      <c r="N1156">
        <f t="shared" si="276"/>
        <v>20230</v>
      </c>
      <c r="O1156" t="str">
        <f t="shared" si="277"/>
        <v>华夏凯德消费封闭式基础设施证券投资基金|2023|年度</v>
      </c>
      <c r="P1156">
        <f>IF($A1156="",0,IF(COUNTIF($O$2:$O1156,$O1156)=1,1,0))</f>
        <v>0</v>
      </c>
      <c r="Q1156" t="str">
        <f>IF(AND($P1156=1,$A1156=经营数据!$B$3,$J1156=经营数据!$BA$5),COUNTIFS($P$2:$P$3000,1,$A$2:$A$3000,$A1156,$J$2:$J$3000,$J1156,$N$2:$N$3000,"&lt;"&amp;$N1156)+1,"")</f>
        <v/>
      </c>
      <c r="R1156" t="str">
        <f t="shared" si="278"/>
        <v>华夏凯德消费封闭式基础设施证券投资基金|长沙雨花亭项目</v>
      </c>
      <c r="S1156">
        <f>IF($A1156="",0,IF(COUNTIF($R$2:$R1156,$R1156)=1,1,0))</f>
        <v>0</v>
      </c>
      <c r="T1156">
        <f t="shared" si="279"/>
        <v>1120</v>
      </c>
      <c r="U1156" t="str">
        <f>IF($A1156="","",IF($A1156=经营数据!$B$3,COUNTIFS($S$2:$S$3000,1,$A$2:$A$3000,$A1156,$T$2:$T$3000,"&lt;"&amp;$T1156)+1,""))</f>
        <v/>
      </c>
      <c r="V1156" t="str">
        <f t="shared" si="280"/>
        <v>长沙雨花亭项目|服务金额</v>
      </c>
      <c r="W1156">
        <f t="shared" si="281"/>
        <v>1120</v>
      </c>
      <c r="X1156" t="str">
        <f t="shared" si="282"/>
        <v>长沙雨花亭项目|营业收入（考虑租金减免，不含税）</v>
      </c>
      <c r="Y1156">
        <f t="shared" si="283"/>
        <v>1120</v>
      </c>
      <c r="Z1156">
        <f>IF($A1156="",0,IF(AND($M1156=1,$A1156=经营数据!$B$3,$J1156=经营数据!$BA$5,OR($I1156=经营数据!$BA$4,COUNTIF(经营数据!$AA$9:$AA$38,$I1156)&gt;0)),1,0))</f>
        <v>0</v>
      </c>
      <c r="AA1156" t="str">
        <f t="shared" si="284"/>
        <v/>
      </c>
      <c r="AB1156" t="str">
        <f t="shared" si="285"/>
        <v/>
      </c>
      <c r="AC1156">
        <f>IF($A1156="",0,IF(COUNTIF($A$2:$A1156,$A1156)=1,1,0))</f>
        <v>0</v>
      </c>
      <c r="AD1156">
        <f t="shared" si="286"/>
        <v>10</v>
      </c>
      <c r="AE1156" t="str">
        <f t="shared" si="287"/>
        <v>长沙雨花亭项目|营业收入（考虑租金减免，不含税）-固定租金收入（万元）</v>
      </c>
    </row>
    <row r="1157" spans="1:31" x14ac:dyDescent="0.4">
      <c r="A1157" t="str">
        <f>IF(原始经营数据!$D1158="","",原始经营数据!$D1158)</f>
        <v>华夏凯德消费封闭式基础设施证券投资基金</v>
      </c>
      <c r="B1157" t="str">
        <f>IF(原始经营数据!$D1158="","",T(原始经营数据!$E1158))</f>
        <v>长沙雨花亭项目</v>
      </c>
      <c r="C1157" t="str">
        <f>IF(原始经营数据!$D1158="","",原始经营数据!$F1158)</f>
        <v>2024</v>
      </c>
      <c r="D1157" t="str">
        <f>IF(原始经营数据!$D1158="","",原始经营数据!$H1158)</f>
        <v>营业收入（考虑租金减免，不含税）</v>
      </c>
      <c r="E1157">
        <f>IF(原始经营数据!$D1158="","",原始经营数据!$I1158)</f>
        <v>8725.5499999999993</v>
      </c>
      <c r="F1157" t="str">
        <f>IF(原始经营数据!$D1158="","",T(原始经营数据!$J1158))</f>
        <v>万元</v>
      </c>
      <c r="G1157" t="str">
        <f>IF(原始经营数据!$D1158="","",T(原始经营数据!$K1158))</f>
        <v/>
      </c>
      <c r="H1157" t="str">
        <f>IF(原始经营数据!$D1158="","",原始经营数据!$G1158)</f>
        <v>服务金额</v>
      </c>
      <c r="I1157" t="str">
        <f>IF($A1157="","",IF($B1157&lt;&gt;"",$B1157,IF(COUNTIFS(原始经营数据!$D$3:$D$3001,$A1157,原始经营数据!$E$3:$E$3001,"",原始经营数据!$F$3:$F$3001,$C1157,原始经营数据!$H$3:$H$3001,$D1157,原始经营数据!$K$3:$K$3001,$G1157)&gt;1,"基金整体·来源"&amp;原始经营数据!$A1158,"基金整体")))</f>
        <v>长沙雨花亭项目</v>
      </c>
      <c r="J1157" t="str">
        <f t="shared" si="273"/>
        <v>年度</v>
      </c>
      <c r="K1157" t="str">
        <f t="shared" si="274"/>
        <v>营业收入（考虑租金减免，不含税）（万元）</v>
      </c>
      <c r="L1157" t="str">
        <f t="shared" si="275"/>
        <v>长沙雨花亭项目|营业收入（考虑租金减免，不含税）（万元）|年度</v>
      </c>
      <c r="M1157">
        <f>IF($A1157="",0,IF(COUNTIF($L$2:$L1157,$L1157)=1,1,0))</f>
        <v>0</v>
      </c>
      <c r="N1157">
        <f t="shared" si="276"/>
        <v>20240</v>
      </c>
      <c r="O1157" t="str">
        <f t="shared" si="277"/>
        <v>华夏凯德消费封闭式基础设施证券投资基金|2024|年度</v>
      </c>
      <c r="P1157">
        <f>IF($A1157="",0,IF(COUNTIF($O$2:$O1157,$O1157)=1,1,0))</f>
        <v>0</v>
      </c>
      <c r="Q1157" t="str">
        <f>IF(AND($P1157=1,$A1157=经营数据!$B$3,$J1157=经营数据!$BA$5),COUNTIFS($P$2:$P$3000,1,$A$2:$A$3000,$A1157,$J$2:$J$3000,$J1157,$N$2:$N$3000,"&lt;"&amp;$N1157)+1,"")</f>
        <v/>
      </c>
      <c r="R1157" t="str">
        <f t="shared" si="278"/>
        <v>华夏凯德消费封闭式基础设施证券投资基金|长沙雨花亭项目</v>
      </c>
      <c r="S1157">
        <f>IF($A1157="",0,IF(COUNTIF($R$2:$R1157,$R1157)=1,1,0))</f>
        <v>0</v>
      </c>
      <c r="T1157">
        <f t="shared" si="279"/>
        <v>1120</v>
      </c>
      <c r="U1157" t="str">
        <f>IF($A1157="","",IF($A1157=经营数据!$B$3,COUNTIFS($S$2:$S$3000,1,$A$2:$A$3000,$A1157,$T$2:$T$3000,"&lt;"&amp;$T1157)+1,""))</f>
        <v/>
      </c>
      <c r="V1157" t="str">
        <f t="shared" si="280"/>
        <v>长沙雨花亭项目|服务金额</v>
      </c>
      <c r="W1157">
        <f t="shared" si="281"/>
        <v>1120</v>
      </c>
      <c r="X1157" t="str">
        <f t="shared" si="282"/>
        <v>长沙雨花亭项目|营业收入（考虑租金减免，不含税）</v>
      </c>
      <c r="Y1157">
        <f t="shared" si="283"/>
        <v>1120</v>
      </c>
      <c r="Z1157">
        <f>IF($A1157="",0,IF(AND($M1157=1,$A1157=经营数据!$B$3,$J1157=经营数据!$BA$5,OR($I1157=经营数据!$BA$4,COUNTIF(经营数据!$AA$9:$AA$38,$I1157)&gt;0)),1,0))</f>
        <v>0</v>
      </c>
      <c r="AA1157" t="str">
        <f t="shared" si="284"/>
        <v/>
      </c>
      <c r="AB1157" t="str">
        <f t="shared" si="285"/>
        <v/>
      </c>
      <c r="AC1157">
        <f>IF($A1157="",0,IF(COUNTIF($A$2:$A1157,$A1157)=1,1,0))</f>
        <v>0</v>
      </c>
      <c r="AD1157">
        <f t="shared" si="286"/>
        <v>10</v>
      </c>
      <c r="AE1157" t="str">
        <f t="shared" si="287"/>
        <v>长沙雨花亭项目|营业收入（考虑租金减免，不含税）（万元）</v>
      </c>
    </row>
    <row r="1158" spans="1:31" x14ac:dyDescent="0.4">
      <c r="A1158" t="str">
        <f>IF(原始经营数据!$D1159="","",原始经营数据!$D1159)</f>
        <v>华夏凯德消费封闭式基础设施证券投资基金</v>
      </c>
      <c r="B1158" t="str">
        <f>IF(原始经营数据!$D1159="","",T(原始经营数据!$E1159))</f>
        <v>长沙雨花亭项目</v>
      </c>
      <c r="C1158" t="str">
        <f>IF(原始经营数据!$D1159="","",原始经营数据!$F1159)</f>
        <v>2024</v>
      </c>
      <c r="D1158" t="str">
        <f>IF(原始经营数据!$D1159="","",原始经营数据!$H1159)</f>
        <v>期末时点出租率</v>
      </c>
      <c r="E1158">
        <f>IF(原始经营数据!$D1159="","",原始经营数据!$I1159)</f>
        <v>95.14</v>
      </c>
      <c r="F1158" t="str">
        <f>IF(原始经营数据!$D1159="","",T(原始经营数据!$J1159))</f>
        <v>%</v>
      </c>
      <c r="G1158" t="str">
        <f>IF(原始经营数据!$D1159="","",T(原始经营数据!$K1159))</f>
        <v/>
      </c>
      <c r="H1158" t="str">
        <f>IF(原始经营数据!$D1159="","",原始经营数据!$G1159)</f>
        <v>服务效率</v>
      </c>
      <c r="I1158" t="str">
        <f>IF($A1158="","",IF($B1158&lt;&gt;"",$B1158,IF(COUNTIFS(原始经营数据!$D$3:$D$3001,$A1158,原始经营数据!$E$3:$E$3001,"",原始经营数据!$F$3:$F$3001,$C1158,原始经营数据!$H$3:$H$3001,$D1158,原始经营数据!$K$3:$K$3001,$G1158)&gt;1,"基金整体·来源"&amp;原始经营数据!$A1159,"基金整体")))</f>
        <v>长沙雨花亭项目</v>
      </c>
      <c r="J1158" t="str">
        <f t="shared" si="273"/>
        <v>年度</v>
      </c>
      <c r="K1158" t="str">
        <f t="shared" si="274"/>
        <v>期末时点出租率（%）</v>
      </c>
      <c r="L1158" t="str">
        <f t="shared" si="275"/>
        <v>长沙雨花亭项目|期末时点出租率（%）|年度</v>
      </c>
      <c r="M1158">
        <f>IF($A1158="",0,IF(COUNTIF($L$2:$L1158,$L1158)=1,1,0))</f>
        <v>0</v>
      </c>
      <c r="N1158">
        <f t="shared" si="276"/>
        <v>20240</v>
      </c>
      <c r="O1158" t="str">
        <f t="shared" si="277"/>
        <v>华夏凯德消费封闭式基础设施证券投资基金|2024|年度</v>
      </c>
      <c r="P1158">
        <f>IF($A1158="",0,IF(COUNTIF($O$2:$O1158,$O1158)=1,1,0))</f>
        <v>0</v>
      </c>
      <c r="Q1158" t="str">
        <f>IF(AND($P1158=1,$A1158=经营数据!$B$3,$J1158=经营数据!$BA$5),COUNTIFS($P$2:$P$3000,1,$A$2:$A$3000,$A1158,$J$2:$J$3000,$J1158,$N$2:$N$3000,"&lt;"&amp;$N1158)+1,"")</f>
        <v/>
      </c>
      <c r="R1158" t="str">
        <f t="shared" si="278"/>
        <v>华夏凯德消费封闭式基础设施证券投资基金|长沙雨花亭项目</v>
      </c>
      <c r="S1158">
        <f>IF($A1158="",0,IF(COUNTIF($R$2:$R1158,$R1158)=1,1,0))</f>
        <v>0</v>
      </c>
      <c r="T1158">
        <f t="shared" si="279"/>
        <v>1120</v>
      </c>
      <c r="U1158" t="str">
        <f>IF($A1158="","",IF($A1158=经营数据!$B$3,COUNTIFS($S$2:$S$3000,1,$A$2:$A$3000,$A1158,$T$2:$T$3000,"&lt;"&amp;$T1158)+1,""))</f>
        <v/>
      </c>
      <c r="V1158" t="str">
        <f t="shared" si="280"/>
        <v>长沙雨花亭项目|服务效率</v>
      </c>
      <c r="W1158">
        <f t="shared" si="281"/>
        <v>1127</v>
      </c>
      <c r="X1158" t="str">
        <f t="shared" si="282"/>
        <v>长沙雨花亭项目|期末时点出租率</v>
      </c>
      <c r="Y1158">
        <f t="shared" si="283"/>
        <v>1137</v>
      </c>
      <c r="Z1158">
        <f>IF($A1158="",0,IF(AND($M1158=1,$A1158=经营数据!$B$3,$J1158=经营数据!$BA$5,OR($I1158=经营数据!$BA$4,COUNTIF(经营数据!$AA$9:$AA$38,$I1158)&gt;0)),1,0))</f>
        <v>0</v>
      </c>
      <c r="AA1158" t="str">
        <f t="shared" si="284"/>
        <v/>
      </c>
      <c r="AB1158" t="str">
        <f t="shared" si="285"/>
        <v/>
      </c>
      <c r="AC1158">
        <f>IF($A1158="",0,IF(COUNTIF($A$2:$A1158,$A1158)=1,1,0))</f>
        <v>0</v>
      </c>
      <c r="AD1158">
        <f t="shared" si="286"/>
        <v>10</v>
      </c>
      <c r="AE1158" t="str">
        <f t="shared" si="287"/>
        <v>长沙雨花亭项目|期末时点出租率（%）</v>
      </c>
    </row>
    <row r="1159" spans="1:31" x14ac:dyDescent="0.4">
      <c r="A1159" t="str">
        <f>IF(原始经营数据!$D1160="","",原始经营数据!$D1160)</f>
        <v>华夏凯德消费封闭式基础设施证券投资基金</v>
      </c>
      <c r="B1159" t="str">
        <f>IF(原始经营数据!$D1160="","",T(原始经营数据!$E1160))</f>
        <v>长沙雨花亭项目</v>
      </c>
      <c r="C1159" t="str">
        <f>IF(原始经营数据!$D1160="","",原始经营数据!$F1160)</f>
        <v>2024</v>
      </c>
      <c r="D1159" t="str">
        <f>IF(原始经营数据!$D1160="","",原始经营数据!$H1160)</f>
        <v>平均出租率</v>
      </c>
      <c r="E1159">
        <f>IF(原始经营数据!$D1160="","",原始经营数据!$I1160)</f>
        <v>97.46</v>
      </c>
      <c r="F1159" t="str">
        <f>IF(原始经营数据!$D1160="","",T(原始经营数据!$J1160))</f>
        <v>%</v>
      </c>
      <c r="G1159" t="str">
        <f>IF(原始经营数据!$D1160="","",T(原始经营数据!$K1160))</f>
        <v/>
      </c>
      <c r="H1159" t="str">
        <f>IF(原始经营数据!$D1160="","",原始经营数据!$G1160)</f>
        <v>服务效率</v>
      </c>
      <c r="I1159" t="str">
        <f>IF($A1159="","",IF($B1159&lt;&gt;"",$B1159,IF(COUNTIFS(原始经营数据!$D$3:$D$3001,$A1159,原始经营数据!$E$3:$E$3001,"",原始经营数据!$F$3:$F$3001,$C1159,原始经营数据!$H$3:$H$3001,$D1159,原始经营数据!$K$3:$K$3001,$G1159)&gt;1,"基金整体·来源"&amp;原始经营数据!$A1160,"基金整体")))</f>
        <v>长沙雨花亭项目</v>
      </c>
      <c r="J1159" t="str">
        <f t="shared" si="273"/>
        <v>年度</v>
      </c>
      <c r="K1159" t="str">
        <f t="shared" si="274"/>
        <v>平均出租率（%）</v>
      </c>
      <c r="L1159" t="str">
        <f t="shared" si="275"/>
        <v>长沙雨花亭项目|平均出租率（%）|年度</v>
      </c>
      <c r="M1159">
        <f>IF($A1159="",0,IF(COUNTIF($L$2:$L1159,$L1159)=1,1,0))</f>
        <v>0</v>
      </c>
      <c r="N1159">
        <f t="shared" si="276"/>
        <v>20240</v>
      </c>
      <c r="O1159" t="str">
        <f t="shared" si="277"/>
        <v>华夏凯德消费封闭式基础设施证券投资基金|2024|年度</v>
      </c>
      <c r="P1159">
        <f>IF($A1159="",0,IF(COUNTIF($O$2:$O1159,$O1159)=1,1,0))</f>
        <v>0</v>
      </c>
      <c r="Q1159" t="str">
        <f>IF(AND($P1159=1,$A1159=经营数据!$B$3,$J1159=经营数据!$BA$5),COUNTIFS($P$2:$P$3000,1,$A$2:$A$3000,$A1159,$J$2:$J$3000,$J1159,$N$2:$N$3000,"&lt;"&amp;$N1159)+1,"")</f>
        <v/>
      </c>
      <c r="R1159" t="str">
        <f t="shared" si="278"/>
        <v>华夏凯德消费封闭式基础设施证券投资基金|长沙雨花亭项目</v>
      </c>
      <c r="S1159">
        <f>IF($A1159="",0,IF(COUNTIF($R$2:$R1159,$R1159)=1,1,0))</f>
        <v>0</v>
      </c>
      <c r="T1159">
        <f t="shared" si="279"/>
        <v>1120</v>
      </c>
      <c r="U1159" t="str">
        <f>IF($A1159="","",IF($A1159=经营数据!$B$3,COUNTIFS($S$2:$S$3000,1,$A$2:$A$3000,$A1159,$T$2:$T$3000,"&lt;"&amp;$T1159)+1,""))</f>
        <v/>
      </c>
      <c r="V1159" t="str">
        <f t="shared" si="280"/>
        <v>长沙雨花亭项目|服务效率</v>
      </c>
      <c r="W1159">
        <f t="shared" si="281"/>
        <v>1127</v>
      </c>
      <c r="X1159" t="str">
        <f t="shared" si="282"/>
        <v>长沙雨花亭项目|平均出租率</v>
      </c>
      <c r="Y1159">
        <f t="shared" si="283"/>
        <v>1135</v>
      </c>
      <c r="Z1159">
        <f>IF($A1159="",0,IF(AND($M1159=1,$A1159=经营数据!$B$3,$J1159=经营数据!$BA$5,OR($I1159=经营数据!$BA$4,COUNTIF(经营数据!$AA$9:$AA$38,$I1159)&gt;0)),1,0))</f>
        <v>0</v>
      </c>
      <c r="AA1159" t="str">
        <f t="shared" si="284"/>
        <v/>
      </c>
      <c r="AB1159" t="str">
        <f t="shared" si="285"/>
        <v/>
      </c>
      <c r="AC1159">
        <f>IF($A1159="",0,IF(COUNTIF($A$2:$A1159,$A1159)=1,1,0))</f>
        <v>0</v>
      </c>
      <c r="AD1159">
        <f t="shared" si="286"/>
        <v>10</v>
      </c>
      <c r="AE1159" t="str">
        <f t="shared" si="287"/>
        <v>长沙雨花亭项目|平均出租率（%）</v>
      </c>
    </row>
    <row r="1160" spans="1:31" x14ac:dyDescent="0.4">
      <c r="A1160" t="str">
        <f>IF(原始经营数据!$D1161="","",原始经营数据!$D1161)</f>
        <v>华夏凯德消费封闭式基础设施证券投资基金</v>
      </c>
      <c r="B1160" t="str">
        <f>IF(原始经营数据!$D1161="","",T(原始经营数据!$E1161))</f>
        <v>长沙雨花亭项目</v>
      </c>
      <c r="C1160" t="str">
        <f>IF(原始经营数据!$D1161="","",原始经营数据!$F1161)</f>
        <v>2024</v>
      </c>
      <c r="D1160" t="str">
        <f>IF(原始经营数据!$D1161="","",原始经营数据!$H1161)</f>
        <v>租金收缴率</v>
      </c>
      <c r="E1160">
        <f>IF(原始经营数据!$D1161="","",原始经营数据!$I1161)</f>
        <v>99.77</v>
      </c>
      <c r="F1160" t="str">
        <f>IF(原始经营数据!$D1161="","",T(原始经营数据!$J1161))</f>
        <v>%</v>
      </c>
      <c r="G1160" t="str">
        <f>IF(原始经营数据!$D1161="","",T(原始经营数据!$K1161))</f>
        <v/>
      </c>
      <c r="H1160" t="str">
        <f>IF(原始经营数据!$D1161="","",原始经营数据!$G1161)</f>
        <v>服务效率</v>
      </c>
      <c r="I1160" t="str">
        <f>IF($A1160="","",IF($B1160&lt;&gt;"",$B1160,IF(COUNTIFS(原始经营数据!$D$3:$D$3001,$A1160,原始经营数据!$E$3:$E$3001,"",原始经营数据!$F$3:$F$3001,$C1160,原始经营数据!$H$3:$H$3001,$D1160,原始经营数据!$K$3:$K$3001,$G1160)&gt;1,"基金整体·来源"&amp;原始经营数据!$A1161,"基金整体")))</f>
        <v>长沙雨花亭项目</v>
      </c>
      <c r="J1160" t="str">
        <f t="shared" si="273"/>
        <v>年度</v>
      </c>
      <c r="K1160" t="str">
        <f t="shared" si="274"/>
        <v>租金收缴率（%）</v>
      </c>
      <c r="L1160" t="str">
        <f t="shared" si="275"/>
        <v>长沙雨花亭项目|租金收缴率（%）|年度</v>
      </c>
      <c r="M1160">
        <f>IF($A1160="",0,IF(COUNTIF($L$2:$L1160,$L1160)=1,1,0))</f>
        <v>0</v>
      </c>
      <c r="N1160">
        <f t="shared" si="276"/>
        <v>20240</v>
      </c>
      <c r="O1160" t="str">
        <f t="shared" si="277"/>
        <v>华夏凯德消费封闭式基础设施证券投资基金|2024|年度</v>
      </c>
      <c r="P1160">
        <f>IF($A1160="",0,IF(COUNTIF($O$2:$O1160,$O1160)=1,1,0))</f>
        <v>0</v>
      </c>
      <c r="Q1160" t="str">
        <f>IF(AND($P1160=1,$A1160=经营数据!$B$3,$J1160=经营数据!$BA$5),COUNTIFS($P$2:$P$3000,1,$A$2:$A$3000,$A1160,$J$2:$J$3000,$J1160,$N$2:$N$3000,"&lt;"&amp;$N1160)+1,"")</f>
        <v/>
      </c>
      <c r="R1160" t="str">
        <f t="shared" si="278"/>
        <v>华夏凯德消费封闭式基础设施证券投资基金|长沙雨花亭项目</v>
      </c>
      <c r="S1160">
        <f>IF($A1160="",0,IF(COUNTIF($R$2:$R1160,$R1160)=1,1,0))</f>
        <v>0</v>
      </c>
      <c r="T1160">
        <f t="shared" si="279"/>
        <v>1120</v>
      </c>
      <c r="U1160" t="str">
        <f>IF($A1160="","",IF($A1160=经营数据!$B$3,COUNTIFS($S$2:$S$3000,1,$A$2:$A$3000,$A1160,$T$2:$T$3000,"&lt;"&amp;$T1160)+1,""))</f>
        <v/>
      </c>
      <c r="V1160" t="str">
        <f t="shared" si="280"/>
        <v>长沙雨花亭项目|服务效率</v>
      </c>
      <c r="W1160">
        <f t="shared" si="281"/>
        <v>1127</v>
      </c>
      <c r="X1160" t="str">
        <f t="shared" si="282"/>
        <v>长沙雨花亭项目|租金收缴率</v>
      </c>
      <c r="Y1160">
        <f t="shared" si="283"/>
        <v>1134</v>
      </c>
      <c r="Z1160">
        <f>IF($A1160="",0,IF(AND($M1160=1,$A1160=经营数据!$B$3,$J1160=经营数据!$BA$5,OR($I1160=经营数据!$BA$4,COUNTIF(经营数据!$AA$9:$AA$38,$I1160)&gt;0)),1,0))</f>
        <v>0</v>
      </c>
      <c r="AA1160" t="str">
        <f t="shared" si="284"/>
        <v/>
      </c>
      <c r="AB1160" t="str">
        <f t="shared" si="285"/>
        <v/>
      </c>
      <c r="AC1160">
        <f>IF($A1160="",0,IF(COUNTIF($A$2:$A1160,$A1160)=1,1,0))</f>
        <v>0</v>
      </c>
      <c r="AD1160">
        <f t="shared" si="286"/>
        <v>10</v>
      </c>
      <c r="AE1160" t="str">
        <f t="shared" si="287"/>
        <v>长沙雨花亭项目|租金收缴率（%）</v>
      </c>
    </row>
    <row r="1161" spans="1:31" x14ac:dyDescent="0.4">
      <c r="A1161" t="str">
        <f>IF(原始经营数据!$D1162="","",原始经营数据!$D1162)</f>
        <v>华夏凯德消费封闭式基础设施证券投资基金</v>
      </c>
      <c r="B1161" t="str">
        <f>IF(原始经营数据!$D1162="","",T(原始经营数据!$E1162))</f>
        <v>长沙雨花亭项目</v>
      </c>
      <c r="C1161" t="str">
        <f>IF(原始经营数据!$D1162="","",原始经营数据!$F1162)</f>
        <v>2024</v>
      </c>
      <c r="D1161" t="str">
        <f>IF(原始经营数据!$D1162="","",原始经营数据!$H1162)</f>
        <v>月销售坪效</v>
      </c>
      <c r="E1161">
        <f>IF(原始经营数据!$D1162="","",原始经营数据!$I1162)</f>
        <v>1252.47</v>
      </c>
      <c r="F1161" t="str">
        <f>IF(原始经营数据!$D1162="","",T(原始经营数据!$J1162))</f>
        <v>元/平方米</v>
      </c>
      <c r="G1161" t="str">
        <f>IF(原始经营数据!$D1162="","",T(原始经营数据!$K1162))</f>
        <v/>
      </c>
      <c r="H1161" t="str">
        <f>IF(原始经营数据!$D1162="","",原始经营数据!$G1162)</f>
        <v>服务价格</v>
      </c>
      <c r="I1161" t="str">
        <f>IF($A1161="","",IF($B1161&lt;&gt;"",$B1161,IF(COUNTIFS(原始经营数据!$D$3:$D$3001,$A1161,原始经营数据!$E$3:$E$3001,"",原始经营数据!$F$3:$F$3001,$C1161,原始经营数据!$H$3:$H$3001,$D1161,原始经营数据!$K$3:$K$3001,$G1161)&gt;1,"基金整体·来源"&amp;原始经营数据!$A1162,"基金整体")))</f>
        <v>长沙雨花亭项目</v>
      </c>
      <c r="J1161" t="str">
        <f t="shared" si="273"/>
        <v>年度</v>
      </c>
      <c r="K1161" t="str">
        <f t="shared" si="274"/>
        <v>月销售坪效（元/平方米）</v>
      </c>
      <c r="L1161" t="str">
        <f t="shared" si="275"/>
        <v>长沙雨花亭项目|月销售坪效（元/平方米）|年度</v>
      </c>
      <c r="M1161">
        <f>IF($A1161="",0,IF(COUNTIF($L$2:$L1161,$L1161)=1,1,0))</f>
        <v>0</v>
      </c>
      <c r="N1161">
        <f t="shared" si="276"/>
        <v>20240</v>
      </c>
      <c r="O1161" t="str">
        <f t="shared" si="277"/>
        <v>华夏凯德消费封闭式基础设施证券投资基金|2024|年度</v>
      </c>
      <c r="P1161">
        <f>IF($A1161="",0,IF(COUNTIF($O$2:$O1161,$O1161)=1,1,0))</f>
        <v>0</v>
      </c>
      <c r="Q1161" t="str">
        <f>IF(AND($P1161=1,$A1161=经营数据!$B$3,$J1161=经营数据!$BA$5),COUNTIFS($P$2:$P$3000,1,$A$2:$A$3000,$A1161,$J$2:$J$3000,$J1161,$N$2:$N$3000,"&lt;"&amp;$N1161)+1,"")</f>
        <v/>
      </c>
      <c r="R1161" t="str">
        <f t="shared" si="278"/>
        <v>华夏凯德消费封闭式基础设施证券投资基金|长沙雨花亭项目</v>
      </c>
      <c r="S1161">
        <f>IF($A1161="",0,IF(COUNTIF($R$2:$R1161,$R1161)=1,1,0))</f>
        <v>0</v>
      </c>
      <c r="T1161">
        <f t="shared" si="279"/>
        <v>1120</v>
      </c>
      <c r="U1161" t="str">
        <f>IF($A1161="","",IF($A1161=经营数据!$B$3,COUNTIFS($S$2:$S$3000,1,$A$2:$A$3000,$A1161,$T$2:$T$3000,"&lt;"&amp;$T1161)+1,""))</f>
        <v/>
      </c>
      <c r="V1161" t="str">
        <f t="shared" si="280"/>
        <v>长沙雨花亭项目|服务价格</v>
      </c>
      <c r="W1161">
        <f t="shared" si="281"/>
        <v>1128</v>
      </c>
      <c r="X1161" t="str">
        <f t="shared" si="282"/>
        <v>长沙雨花亭项目|月销售坪效</v>
      </c>
      <c r="Y1161">
        <f t="shared" si="283"/>
        <v>1129</v>
      </c>
      <c r="Z1161">
        <f>IF($A1161="",0,IF(AND($M1161=1,$A1161=经营数据!$B$3,$J1161=经营数据!$BA$5,OR($I1161=经营数据!$BA$4,COUNTIF(经营数据!$AA$9:$AA$38,$I1161)&gt;0)),1,0))</f>
        <v>0</v>
      </c>
      <c r="AA1161" t="str">
        <f t="shared" si="284"/>
        <v/>
      </c>
      <c r="AB1161" t="str">
        <f t="shared" si="285"/>
        <v/>
      </c>
      <c r="AC1161">
        <f>IF($A1161="",0,IF(COUNTIF($A$2:$A1161,$A1161)=1,1,0))</f>
        <v>0</v>
      </c>
      <c r="AD1161">
        <f t="shared" si="286"/>
        <v>10</v>
      </c>
      <c r="AE1161" t="str">
        <f t="shared" si="287"/>
        <v>长沙雨花亭项目|月销售坪效（元/平方米）</v>
      </c>
    </row>
    <row r="1162" spans="1:31" x14ac:dyDescent="0.4">
      <c r="A1162" t="str">
        <f>IF(原始经营数据!$D1163="","",原始经营数据!$D1163)</f>
        <v>华夏凯德消费封闭式基础设施证券投资基金</v>
      </c>
      <c r="B1162" t="str">
        <f>IF(原始经营数据!$D1163="","",T(原始经营数据!$E1163))</f>
        <v>长沙雨花亭项目</v>
      </c>
      <c r="C1162" t="str">
        <f>IF(原始经营数据!$D1163="","",原始经营数据!$F1163)</f>
        <v>2024</v>
      </c>
      <c r="D1162" t="str">
        <f>IF(原始经营数据!$D1163="","",原始经营数据!$H1163)</f>
        <v>月租金坪效</v>
      </c>
      <c r="E1162">
        <f>IF(原始经营数据!$D1163="","",原始经营数据!$I1163)</f>
        <v>122.42</v>
      </c>
      <c r="F1162" t="str">
        <f>IF(原始经营数据!$D1163="","",T(原始经营数据!$J1163))</f>
        <v>元/平方米</v>
      </c>
      <c r="G1162" t="str">
        <f>IF(原始经营数据!$D1163="","",T(原始经营数据!$K1163))</f>
        <v/>
      </c>
      <c r="H1162" t="str">
        <f>IF(原始经营数据!$D1163="","",原始经营数据!$G1163)</f>
        <v>服务价格</v>
      </c>
      <c r="I1162" t="str">
        <f>IF($A1162="","",IF($B1162&lt;&gt;"",$B1162,IF(COUNTIFS(原始经营数据!$D$3:$D$3001,$A1162,原始经营数据!$E$3:$E$3001,"",原始经营数据!$F$3:$F$3001,$C1162,原始经营数据!$H$3:$H$3001,$D1162,原始经营数据!$K$3:$K$3001,$G1162)&gt;1,"基金整体·来源"&amp;原始经营数据!$A1163,"基金整体")))</f>
        <v>长沙雨花亭项目</v>
      </c>
      <c r="J1162" t="str">
        <f t="shared" si="273"/>
        <v>年度</v>
      </c>
      <c r="K1162" t="str">
        <f t="shared" si="274"/>
        <v>月租金坪效（元/平方米）</v>
      </c>
      <c r="L1162" t="str">
        <f t="shared" si="275"/>
        <v>长沙雨花亭项目|月租金坪效（元/平方米）|年度</v>
      </c>
      <c r="M1162">
        <f>IF($A1162="",0,IF(COUNTIF($L$2:$L1162,$L1162)=1,1,0))</f>
        <v>0</v>
      </c>
      <c r="N1162">
        <f t="shared" si="276"/>
        <v>20240</v>
      </c>
      <c r="O1162" t="str">
        <f t="shared" si="277"/>
        <v>华夏凯德消费封闭式基础设施证券投资基金|2024|年度</v>
      </c>
      <c r="P1162">
        <f>IF($A1162="",0,IF(COUNTIF($O$2:$O1162,$O1162)=1,1,0))</f>
        <v>0</v>
      </c>
      <c r="Q1162" t="str">
        <f>IF(AND($P1162=1,$A1162=经营数据!$B$3,$J1162=经营数据!$BA$5),COUNTIFS($P$2:$P$3000,1,$A$2:$A$3000,$A1162,$J$2:$J$3000,$J1162,$N$2:$N$3000,"&lt;"&amp;$N1162)+1,"")</f>
        <v/>
      </c>
      <c r="R1162" t="str">
        <f t="shared" si="278"/>
        <v>华夏凯德消费封闭式基础设施证券投资基金|长沙雨花亭项目</v>
      </c>
      <c r="S1162">
        <f>IF($A1162="",0,IF(COUNTIF($R$2:$R1162,$R1162)=1,1,0))</f>
        <v>0</v>
      </c>
      <c r="T1162">
        <f t="shared" si="279"/>
        <v>1120</v>
      </c>
      <c r="U1162" t="str">
        <f>IF($A1162="","",IF($A1162=经营数据!$B$3,COUNTIFS($S$2:$S$3000,1,$A$2:$A$3000,$A1162,$T$2:$T$3000,"&lt;"&amp;$T1162)+1,""))</f>
        <v/>
      </c>
      <c r="V1162" t="str">
        <f t="shared" si="280"/>
        <v>长沙雨花亭项目|服务价格</v>
      </c>
      <c r="W1162">
        <f t="shared" si="281"/>
        <v>1128</v>
      </c>
      <c r="X1162" t="str">
        <f t="shared" si="282"/>
        <v>长沙雨花亭项目|月租金坪效</v>
      </c>
      <c r="Y1162">
        <f t="shared" si="283"/>
        <v>1128</v>
      </c>
      <c r="Z1162">
        <f>IF($A1162="",0,IF(AND($M1162=1,$A1162=经营数据!$B$3,$J1162=经营数据!$BA$5,OR($I1162=经营数据!$BA$4,COUNTIF(经营数据!$AA$9:$AA$38,$I1162)&gt;0)),1,0))</f>
        <v>0</v>
      </c>
      <c r="AA1162" t="str">
        <f t="shared" si="284"/>
        <v/>
      </c>
      <c r="AB1162" t="str">
        <f t="shared" si="285"/>
        <v/>
      </c>
      <c r="AC1162">
        <f>IF($A1162="",0,IF(COUNTIF($A$2:$A1162,$A1162)=1,1,0))</f>
        <v>0</v>
      </c>
      <c r="AD1162">
        <f t="shared" si="286"/>
        <v>10</v>
      </c>
      <c r="AE1162" t="str">
        <f t="shared" si="287"/>
        <v>长沙雨花亭项目|月租金坪效（元/平方米）</v>
      </c>
    </row>
    <row r="1163" spans="1:31" x14ac:dyDescent="0.4">
      <c r="A1163" t="str">
        <f>IF(原始经营数据!$D1164="","",原始经营数据!$D1164)</f>
        <v>华夏凯德消费封闭式基础设施证券投资基金</v>
      </c>
      <c r="B1163" t="str">
        <f>IF(原始经营数据!$D1164="","",T(原始经营数据!$E1164))</f>
        <v>长沙雨花亭项目</v>
      </c>
      <c r="C1163" t="str">
        <f>IF(原始经营数据!$D1164="","",原始经营数据!$F1164)</f>
        <v>2024</v>
      </c>
      <c r="D1163" t="str">
        <f>IF(原始经营数据!$D1164="","",原始经营数据!$H1164)</f>
        <v>租售比</v>
      </c>
      <c r="E1163">
        <f>IF(原始经营数据!$D1164="","",原始经营数据!$I1164)</f>
        <v>13.5</v>
      </c>
      <c r="F1163" t="str">
        <f>IF(原始经营数据!$D1164="","",T(原始经营数据!$J1164))</f>
        <v>%</v>
      </c>
      <c r="G1163" t="str">
        <f>IF(原始经营数据!$D1164="","",T(原始经营数据!$K1164))</f>
        <v/>
      </c>
      <c r="H1163" t="str">
        <f>IF(原始经营数据!$D1164="","",原始经营数据!$G1164)</f>
        <v>服务效率</v>
      </c>
      <c r="I1163" t="str">
        <f>IF($A1163="","",IF($B1163&lt;&gt;"",$B1163,IF(COUNTIFS(原始经营数据!$D$3:$D$3001,$A1163,原始经营数据!$E$3:$E$3001,"",原始经营数据!$F$3:$F$3001,$C1163,原始经营数据!$H$3:$H$3001,$D1163,原始经营数据!$K$3:$K$3001,$G1163)&gt;1,"基金整体·来源"&amp;原始经营数据!$A1164,"基金整体")))</f>
        <v>长沙雨花亭项目</v>
      </c>
      <c r="J1163" t="str">
        <f t="shared" si="273"/>
        <v>年度</v>
      </c>
      <c r="K1163" t="str">
        <f t="shared" si="274"/>
        <v>租售比（%）</v>
      </c>
      <c r="L1163" t="str">
        <f t="shared" si="275"/>
        <v>长沙雨花亭项目|租售比（%）|年度</v>
      </c>
      <c r="M1163">
        <f>IF($A1163="",0,IF(COUNTIF($L$2:$L1163,$L1163)=1,1,0))</f>
        <v>0</v>
      </c>
      <c r="N1163">
        <f t="shared" si="276"/>
        <v>20240</v>
      </c>
      <c r="O1163" t="str">
        <f t="shared" si="277"/>
        <v>华夏凯德消费封闭式基础设施证券投资基金|2024|年度</v>
      </c>
      <c r="P1163">
        <f>IF($A1163="",0,IF(COUNTIF($O$2:$O1163,$O1163)=1,1,0))</f>
        <v>0</v>
      </c>
      <c r="Q1163" t="str">
        <f>IF(AND($P1163=1,$A1163=经营数据!$B$3,$J1163=经营数据!$BA$5),COUNTIFS($P$2:$P$3000,1,$A$2:$A$3000,$A1163,$J$2:$J$3000,$J1163,$N$2:$N$3000,"&lt;"&amp;$N1163)+1,"")</f>
        <v/>
      </c>
      <c r="R1163" t="str">
        <f t="shared" si="278"/>
        <v>华夏凯德消费封闭式基础设施证券投资基金|长沙雨花亭项目</v>
      </c>
      <c r="S1163">
        <f>IF($A1163="",0,IF(COUNTIF($R$2:$R1163,$R1163)=1,1,0))</f>
        <v>0</v>
      </c>
      <c r="T1163">
        <f t="shared" si="279"/>
        <v>1120</v>
      </c>
      <c r="U1163" t="str">
        <f>IF($A1163="","",IF($A1163=经营数据!$B$3,COUNTIFS($S$2:$S$3000,1,$A$2:$A$3000,$A1163,$T$2:$T$3000,"&lt;"&amp;$T1163)+1,""))</f>
        <v/>
      </c>
      <c r="V1163" t="str">
        <f t="shared" si="280"/>
        <v>长沙雨花亭项目|服务效率</v>
      </c>
      <c r="W1163">
        <f t="shared" si="281"/>
        <v>1127</v>
      </c>
      <c r="X1163" t="str">
        <f t="shared" si="282"/>
        <v>长沙雨花亭项目|租售比</v>
      </c>
      <c r="Y1163">
        <f t="shared" si="283"/>
        <v>1127</v>
      </c>
      <c r="Z1163">
        <f>IF($A1163="",0,IF(AND($M1163=1,$A1163=经营数据!$B$3,$J1163=经营数据!$BA$5,OR($I1163=经营数据!$BA$4,COUNTIF(经营数据!$AA$9:$AA$38,$I1163)&gt;0)),1,0))</f>
        <v>0</v>
      </c>
      <c r="AA1163" t="str">
        <f t="shared" si="284"/>
        <v/>
      </c>
      <c r="AB1163" t="str">
        <f t="shared" si="285"/>
        <v/>
      </c>
      <c r="AC1163">
        <f>IF($A1163="",0,IF(COUNTIF($A$2:$A1163,$A1163)=1,1,0))</f>
        <v>0</v>
      </c>
      <c r="AD1163">
        <f t="shared" si="286"/>
        <v>10</v>
      </c>
      <c r="AE1163" t="str">
        <f t="shared" si="287"/>
        <v>长沙雨花亭项目|租售比（%）</v>
      </c>
    </row>
    <row r="1164" spans="1:31" x14ac:dyDescent="0.4">
      <c r="A1164" t="str">
        <f>IF(原始经营数据!$D1165="","",原始经营数据!$D1165)</f>
        <v>华夏凯德消费封闭式基础设施证券投资基金</v>
      </c>
      <c r="B1164" t="str">
        <f>IF(原始经营数据!$D1165="","",T(原始经营数据!$E1165))</f>
        <v>长沙雨花亭项目</v>
      </c>
      <c r="C1164" t="str">
        <f>IF(原始经营数据!$D1165="","",原始经营数据!$F1165)</f>
        <v>2024</v>
      </c>
      <c r="D1164" t="str">
        <f>IF(原始经营数据!$D1165="","",原始经营数据!$H1165)</f>
        <v>客流量</v>
      </c>
      <c r="E1164">
        <f>IF(原始经营数据!$D1165="","",原始经营数据!$I1165)</f>
        <v>3.16</v>
      </c>
      <c r="F1164" t="str">
        <f>IF(原始经营数据!$D1165="","",T(原始经营数据!$J1165))</f>
        <v>万人/日</v>
      </c>
      <c r="G1164" t="str">
        <f>IF(原始经营数据!$D1165="","",T(原始经营数据!$K1165))</f>
        <v/>
      </c>
      <c r="H1164" t="str">
        <f>IF(原始经营数据!$D1165="","",原始经营数据!$G1165)</f>
        <v>服务量</v>
      </c>
      <c r="I1164" t="str">
        <f>IF($A1164="","",IF($B1164&lt;&gt;"",$B1164,IF(COUNTIFS(原始经营数据!$D$3:$D$3001,$A1164,原始经营数据!$E$3:$E$3001,"",原始经营数据!$F$3:$F$3001,$C1164,原始经营数据!$H$3:$H$3001,$D1164,原始经营数据!$K$3:$K$3001,$G1164)&gt;1,"基金整体·来源"&amp;原始经营数据!$A1165,"基金整体")))</f>
        <v>长沙雨花亭项目</v>
      </c>
      <c r="J1164" t="str">
        <f t="shared" si="273"/>
        <v>年度</v>
      </c>
      <c r="K1164" t="str">
        <f t="shared" si="274"/>
        <v>客流量（万人/日）</v>
      </c>
      <c r="L1164" t="str">
        <f t="shared" si="275"/>
        <v>长沙雨花亭项目|客流量（万人/日）|年度</v>
      </c>
      <c r="M1164">
        <f>IF($A1164="",0,IF(COUNTIF($L$2:$L1164,$L1164)=1,1,0))</f>
        <v>0</v>
      </c>
      <c r="N1164">
        <f t="shared" si="276"/>
        <v>20240</v>
      </c>
      <c r="O1164" t="str">
        <f t="shared" si="277"/>
        <v>华夏凯德消费封闭式基础设施证券投资基金|2024|年度</v>
      </c>
      <c r="P1164">
        <f>IF($A1164="",0,IF(COUNTIF($O$2:$O1164,$O1164)=1,1,0))</f>
        <v>0</v>
      </c>
      <c r="Q1164" t="str">
        <f>IF(AND($P1164=1,$A1164=经营数据!$B$3,$J1164=经营数据!$BA$5),COUNTIFS($P$2:$P$3000,1,$A$2:$A$3000,$A1164,$J$2:$J$3000,$J1164,$N$2:$N$3000,"&lt;"&amp;$N1164)+1,"")</f>
        <v/>
      </c>
      <c r="R1164" t="str">
        <f t="shared" si="278"/>
        <v>华夏凯德消费封闭式基础设施证券投资基金|长沙雨花亭项目</v>
      </c>
      <c r="S1164">
        <f>IF($A1164="",0,IF(COUNTIF($R$2:$R1164,$R1164)=1,1,0))</f>
        <v>0</v>
      </c>
      <c r="T1164">
        <f t="shared" si="279"/>
        <v>1120</v>
      </c>
      <c r="U1164" t="str">
        <f>IF($A1164="","",IF($A1164=经营数据!$B$3,COUNTIFS($S$2:$S$3000,1,$A$2:$A$3000,$A1164,$T$2:$T$3000,"&lt;"&amp;$T1164)+1,""))</f>
        <v/>
      </c>
      <c r="V1164" t="str">
        <f t="shared" si="280"/>
        <v>长沙雨花亭项目|服务量</v>
      </c>
      <c r="W1164">
        <f t="shared" si="281"/>
        <v>1124</v>
      </c>
      <c r="X1164" t="str">
        <f t="shared" si="282"/>
        <v>长沙雨花亭项目|客流量</v>
      </c>
      <c r="Y1164">
        <f t="shared" si="283"/>
        <v>1124</v>
      </c>
      <c r="Z1164">
        <f>IF($A1164="",0,IF(AND($M1164=1,$A1164=经营数据!$B$3,$J1164=经营数据!$BA$5,OR($I1164=经营数据!$BA$4,COUNTIF(经营数据!$AA$9:$AA$38,$I1164)&gt;0)),1,0))</f>
        <v>0</v>
      </c>
      <c r="AA1164" t="str">
        <f t="shared" si="284"/>
        <v/>
      </c>
      <c r="AB1164" t="str">
        <f t="shared" si="285"/>
        <v/>
      </c>
      <c r="AC1164">
        <f>IF($A1164="",0,IF(COUNTIF($A$2:$A1164,$A1164)=1,1,0))</f>
        <v>0</v>
      </c>
      <c r="AD1164">
        <f t="shared" si="286"/>
        <v>10</v>
      </c>
      <c r="AE1164" t="str">
        <f t="shared" si="287"/>
        <v>长沙雨花亭项目|客流量（万人/日）</v>
      </c>
    </row>
    <row r="1165" spans="1:31" x14ac:dyDescent="0.4">
      <c r="A1165" t="str">
        <f>IF(原始经营数据!$D1166="","",原始经营数据!$D1166)</f>
        <v>华夏凯德消费封闭式基础设施证券投资基金</v>
      </c>
      <c r="B1165" t="str">
        <f>IF(原始经营数据!$D1166="","",T(原始经营数据!$E1166))</f>
        <v>长沙雨花亭项目</v>
      </c>
      <c r="C1165" t="str">
        <f>IF(原始经营数据!$D1166="","",原始经营数据!$F1166)</f>
        <v>2024</v>
      </c>
      <c r="D1165" t="str">
        <f>IF(原始经营数据!$D1166="","",原始经营数据!$H1166)</f>
        <v>租户数量</v>
      </c>
      <c r="E1165">
        <f>IF(原始经营数据!$D1166="","",原始经营数据!$I1166)</f>
        <v>7</v>
      </c>
      <c r="F1165" t="str">
        <f>IF(原始经营数据!$D1166="","",T(原始经营数据!$J1166))</f>
        <v/>
      </c>
      <c r="G1165" t="str">
        <f>IF(原始经营数据!$D1166="","",T(原始经营数据!$K1166))</f>
        <v>主力店</v>
      </c>
      <c r="H1165" t="str">
        <f>IF(原始经营数据!$D1166="","",原始经营数据!$G1166)</f>
        <v>服务量</v>
      </c>
      <c r="I1165" t="str">
        <f>IF($A1165="","",IF($B1165&lt;&gt;"",$B1165,IF(COUNTIFS(原始经营数据!$D$3:$D$3001,$A1165,原始经营数据!$E$3:$E$3001,"",原始经营数据!$F$3:$F$3001,$C1165,原始经营数据!$H$3:$H$3001,$D1165,原始经营数据!$K$3:$K$3001,$G1165)&gt;1,"基金整体·来源"&amp;原始经营数据!$A1166,"基金整体")))</f>
        <v>长沙雨花亭项目</v>
      </c>
      <c r="J1165" t="str">
        <f t="shared" si="273"/>
        <v>年度</v>
      </c>
      <c r="K1165" t="str">
        <f t="shared" si="274"/>
        <v>租户数量-主力店</v>
      </c>
      <c r="L1165" t="str">
        <f t="shared" si="275"/>
        <v>长沙雨花亭项目|租户数量-主力店|年度</v>
      </c>
      <c r="M1165">
        <f>IF($A1165="",0,IF(COUNTIF($L$2:$L1165,$L1165)=1,1,0))</f>
        <v>0</v>
      </c>
      <c r="N1165">
        <f t="shared" si="276"/>
        <v>20240</v>
      </c>
      <c r="O1165" t="str">
        <f t="shared" si="277"/>
        <v>华夏凯德消费封闭式基础设施证券投资基金|2024|年度</v>
      </c>
      <c r="P1165">
        <f>IF($A1165="",0,IF(COUNTIF($O$2:$O1165,$O1165)=1,1,0))</f>
        <v>0</v>
      </c>
      <c r="Q1165" t="str">
        <f>IF(AND($P1165=1,$A1165=经营数据!$B$3,$J1165=经营数据!$BA$5),COUNTIFS($P$2:$P$3000,1,$A$2:$A$3000,$A1165,$J$2:$J$3000,$J1165,$N$2:$N$3000,"&lt;"&amp;$N1165)+1,"")</f>
        <v/>
      </c>
      <c r="R1165" t="str">
        <f t="shared" si="278"/>
        <v>华夏凯德消费封闭式基础设施证券投资基金|长沙雨花亭项目</v>
      </c>
      <c r="S1165">
        <f>IF($A1165="",0,IF(COUNTIF($R$2:$R1165,$R1165)=1,1,0))</f>
        <v>0</v>
      </c>
      <c r="T1165">
        <f t="shared" si="279"/>
        <v>1120</v>
      </c>
      <c r="U1165" t="str">
        <f>IF($A1165="","",IF($A1165=经营数据!$B$3,COUNTIFS($S$2:$S$3000,1,$A$2:$A$3000,$A1165,$T$2:$T$3000,"&lt;"&amp;$T1165)+1,""))</f>
        <v/>
      </c>
      <c r="V1165" t="str">
        <f t="shared" si="280"/>
        <v>长沙雨花亭项目|服务量</v>
      </c>
      <c r="W1165">
        <f t="shared" si="281"/>
        <v>1124</v>
      </c>
      <c r="X1165" t="str">
        <f t="shared" si="282"/>
        <v>长沙雨花亭项目|租户数量</v>
      </c>
      <c r="Y1165">
        <f t="shared" si="283"/>
        <v>1132</v>
      </c>
      <c r="Z1165">
        <f>IF($A1165="",0,IF(AND($M1165=1,$A1165=经营数据!$B$3,$J1165=经营数据!$BA$5,OR($I1165=经营数据!$BA$4,COUNTIF(经营数据!$AA$9:$AA$38,$I1165)&gt;0)),1,0))</f>
        <v>0</v>
      </c>
      <c r="AA1165" t="str">
        <f t="shared" si="284"/>
        <v/>
      </c>
      <c r="AB1165" t="str">
        <f t="shared" si="285"/>
        <v/>
      </c>
      <c r="AC1165">
        <f>IF($A1165="",0,IF(COUNTIF($A$2:$A1165,$A1165)=1,1,0))</f>
        <v>0</v>
      </c>
      <c r="AD1165">
        <f t="shared" si="286"/>
        <v>10</v>
      </c>
      <c r="AE1165" t="str">
        <f t="shared" si="287"/>
        <v>长沙雨花亭项目|租户数量-主力店</v>
      </c>
    </row>
    <row r="1166" spans="1:31" x14ac:dyDescent="0.4">
      <c r="A1166" t="str">
        <f>IF(原始经营数据!$D1167="","",原始经营数据!$D1167)</f>
        <v>华夏凯德消费封闭式基础设施证券投资基金</v>
      </c>
      <c r="B1166" t="str">
        <f>IF(原始经营数据!$D1167="","",T(原始经营数据!$E1167))</f>
        <v>长沙雨花亭项目</v>
      </c>
      <c r="C1166" t="str">
        <f>IF(原始经营数据!$D1167="","",原始经营数据!$F1167)</f>
        <v>2024</v>
      </c>
      <c r="D1166" t="str">
        <f>IF(原始经营数据!$D1167="","",原始经营数据!$H1167)</f>
        <v>专门店平均租金单价</v>
      </c>
      <c r="E1166">
        <f>IF(原始经营数据!$D1167="","",原始经营数据!$I1167)</f>
        <v>210.95</v>
      </c>
      <c r="F1166" t="str">
        <f>IF(原始经营数据!$D1167="","",T(原始经营数据!$J1167))</f>
        <v/>
      </c>
      <c r="G1166" t="str">
        <f>IF(原始经营数据!$D1167="","",T(原始经营数据!$K1167))</f>
        <v/>
      </c>
      <c r="H1166" t="str">
        <f>IF(原始经营数据!$D1167="","",原始经营数据!$G1167)</f>
        <v>服务价格</v>
      </c>
      <c r="I1166" t="str">
        <f>IF($A1166="","",IF($B1166&lt;&gt;"",$B1166,IF(COUNTIFS(原始经营数据!$D$3:$D$3001,$A1166,原始经营数据!$E$3:$E$3001,"",原始经营数据!$F$3:$F$3001,$C1166,原始经营数据!$H$3:$H$3001,$D1166,原始经营数据!$K$3:$K$3001,$G1166)&gt;1,"基金整体·来源"&amp;原始经营数据!$A1167,"基金整体")))</f>
        <v>长沙雨花亭项目</v>
      </c>
      <c r="J1166" t="str">
        <f t="shared" si="273"/>
        <v>年度</v>
      </c>
      <c r="K1166" t="str">
        <f t="shared" si="274"/>
        <v>专门店平均租金单价</v>
      </c>
      <c r="L1166" t="str">
        <f t="shared" si="275"/>
        <v>长沙雨花亭项目|专门店平均租金单价|年度</v>
      </c>
      <c r="M1166">
        <f>IF($A1166="",0,IF(COUNTIF($L$2:$L1166,$L1166)=1,1,0))</f>
        <v>0</v>
      </c>
      <c r="N1166">
        <f t="shared" si="276"/>
        <v>20240</v>
      </c>
      <c r="O1166" t="str">
        <f t="shared" si="277"/>
        <v>华夏凯德消费封闭式基础设施证券投资基金|2024|年度</v>
      </c>
      <c r="P1166">
        <f>IF($A1166="",0,IF(COUNTIF($O$2:$O1166,$O1166)=1,1,0))</f>
        <v>0</v>
      </c>
      <c r="Q1166" t="str">
        <f>IF(AND($P1166=1,$A1166=经营数据!$B$3,$J1166=经营数据!$BA$5),COUNTIFS($P$2:$P$3000,1,$A$2:$A$3000,$A1166,$J$2:$J$3000,$J1166,$N$2:$N$3000,"&lt;"&amp;$N1166)+1,"")</f>
        <v/>
      </c>
      <c r="R1166" t="str">
        <f t="shared" si="278"/>
        <v>华夏凯德消费封闭式基础设施证券投资基金|长沙雨花亭项目</v>
      </c>
      <c r="S1166">
        <f>IF($A1166="",0,IF(COUNTIF($R$2:$R1166,$R1166)=1,1,0))</f>
        <v>0</v>
      </c>
      <c r="T1166">
        <f t="shared" si="279"/>
        <v>1120</v>
      </c>
      <c r="U1166" t="str">
        <f>IF($A1166="","",IF($A1166=经营数据!$B$3,COUNTIFS($S$2:$S$3000,1,$A$2:$A$3000,$A1166,$T$2:$T$3000,"&lt;"&amp;$T1166)+1,""))</f>
        <v/>
      </c>
      <c r="V1166" t="str">
        <f t="shared" si="280"/>
        <v>长沙雨花亭项目|服务价格</v>
      </c>
      <c r="W1166">
        <f t="shared" si="281"/>
        <v>1128</v>
      </c>
      <c r="X1166" t="str">
        <f t="shared" si="282"/>
        <v>长沙雨花亭项目|专门店平均租金单价</v>
      </c>
      <c r="Y1166">
        <f t="shared" si="283"/>
        <v>1130</v>
      </c>
      <c r="Z1166">
        <f>IF($A1166="",0,IF(AND($M1166=1,$A1166=经营数据!$B$3,$J1166=经营数据!$BA$5,OR($I1166=经营数据!$BA$4,COUNTIF(经营数据!$AA$9:$AA$38,$I1166)&gt;0)),1,0))</f>
        <v>0</v>
      </c>
      <c r="AA1166" t="str">
        <f t="shared" si="284"/>
        <v/>
      </c>
      <c r="AB1166" t="str">
        <f t="shared" si="285"/>
        <v/>
      </c>
      <c r="AC1166">
        <f>IF($A1166="",0,IF(COUNTIF($A$2:$A1166,$A1166)=1,1,0))</f>
        <v>0</v>
      </c>
      <c r="AD1166">
        <f t="shared" si="286"/>
        <v>10</v>
      </c>
      <c r="AE1166" t="str">
        <f t="shared" si="287"/>
        <v>长沙雨花亭项目|专门店平均租金单价</v>
      </c>
    </row>
    <row r="1167" spans="1:31" x14ac:dyDescent="0.4">
      <c r="A1167" t="str">
        <f>IF(原始经营数据!$D1168="","",原始经营数据!$D1168)</f>
        <v>华夏凯德消费封闭式基础设施证券投资基金</v>
      </c>
      <c r="B1167" t="str">
        <f>IF(原始经营数据!$D1168="","",T(原始经营数据!$E1168))</f>
        <v>长沙雨花亭项目</v>
      </c>
      <c r="C1167" t="str">
        <f>IF(原始经营数据!$D1168="","",原始经营数据!$F1168)</f>
        <v>2024</v>
      </c>
      <c r="D1167" t="str">
        <f>IF(原始经营数据!$D1168="","",原始经营数据!$H1168)</f>
        <v>主力店平均租金单价</v>
      </c>
      <c r="E1167">
        <f>IF(原始经营数据!$D1168="","",原始经营数据!$I1168)</f>
        <v>39.76</v>
      </c>
      <c r="F1167" t="str">
        <f>IF(原始经营数据!$D1168="","",T(原始经营数据!$J1168))</f>
        <v/>
      </c>
      <c r="G1167" t="str">
        <f>IF(原始经营数据!$D1168="","",T(原始经营数据!$K1168))</f>
        <v/>
      </c>
      <c r="H1167" t="str">
        <f>IF(原始经营数据!$D1168="","",原始经营数据!$G1168)</f>
        <v>服务价格</v>
      </c>
      <c r="I1167" t="str">
        <f>IF($A1167="","",IF($B1167&lt;&gt;"",$B1167,IF(COUNTIFS(原始经营数据!$D$3:$D$3001,$A1167,原始经营数据!$E$3:$E$3001,"",原始经营数据!$F$3:$F$3001,$C1167,原始经营数据!$H$3:$H$3001,$D1167,原始经营数据!$K$3:$K$3001,$G1167)&gt;1,"基金整体·来源"&amp;原始经营数据!$A1168,"基金整体")))</f>
        <v>长沙雨花亭项目</v>
      </c>
      <c r="J1167" t="str">
        <f t="shared" si="273"/>
        <v>年度</v>
      </c>
      <c r="K1167" t="str">
        <f t="shared" si="274"/>
        <v>主力店平均租金单价</v>
      </c>
      <c r="L1167" t="str">
        <f t="shared" si="275"/>
        <v>长沙雨花亭项目|主力店平均租金单价|年度</v>
      </c>
      <c r="M1167">
        <f>IF($A1167="",0,IF(COUNTIF($L$2:$L1167,$L1167)=1,1,0))</f>
        <v>0</v>
      </c>
      <c r="N1167">
        <f t="shared" si="276"/>
        <v>20240</v>
      </c>
      <c r="O1167" t="str">
        <f t="shared" si="277"/>
        <v>华夏凯德消费封闭式基础设施证券投资基金|2024|年度</v>
      </c>
      <c r="P1167">
        <f>IF($A1167="",0,IF(COUNTIF($O$2:$O1167,$O1167)=1,1,0))</f>
        <v>0</v>
      </c>
      <c r="Q1167" t="str">
        <f>IF(AND($P1167=1,$A1167=经营数据!$B$3,$J1167=经营数据!$BA$5),COUNTIFS($P$2:$P$3000,1,$A$2:$A$3000,$A1167,$J$2:$J$3000,$J1167,$N$2:$N$3000,"&lt;"&amp;$N1167)+1,"")</f>
        <v/>
      </c>
      <c r="R1167" t="str">
        <f t="shared" si="278"/>
        <v>华夏凯德消费封闭式基础设施证券投资基金|长沙雨花亭项目</v>
      </c>
      <c r="S1167">
        <f>IF($A1167="",0,IF(COUNTIF($R$2:$R1167,$R1167)=1,1,0))</f>
        <v>0</v>
      </c>
      <c r="T1167">
        <f t="shared" si="279"/>
        <v>1120</v>
      </c>
      <c r="U1167" t="str">
        <f>IF($A1167="","",IF($A1167=经营数据!$B$3,COUNTIFS($S$2:$S$3000,1,$A$2:$A$3000,$A1167,$T$2:$T$3000,"&lt;"&amp;$T1167)+1,""))</f>
        <v/>
      </c>
      <c r="V1167" t="str">
        <f t="shared" si="280"/>
        <v>长沙雨花亭项目|服务价格</v>
      </c>
      <c r="W1167">
        <f t="shared" si="281"/>
        <v>1128</v>
      </c>
      <c r="X1167" t="str">
        <f t="shared" si="282"/>
        <v>长沙雨花亭项目|主力店平均租金单价</v>
      </c>
      <c r="Y1167">
        <f t="shared" si="283"/>
        <v>1131</v>
      </c>
      <c r="Z1167">
        <f>IF($A1167="",0,IF(AND($M1167=1,$A1167=经营数据!$B$3,$J1167=经营数据!$BA$5,OR($I1167=经营数据!$BA$4,COUNTIF(经营数据!$AA$9:$AA$38,$I1167)&gt;0)),1,0))</f>
        <v>0</v>
      </c>
      <c r="AA1167" t="str">
        <f t="shared" si="284"/>
        <v/>
      </c>
      <c r="AB1167" t="str">
        <f t="shared" si="285"/>
        <v/>
      </c>
      <c r="AC1167">
        <f>IF($A1167="",0,IF(COUNTIF($A$2:$A1167,$A1167)=1,1,0))</f>
        <v>0</v>
      </c>
      <c r="AD1167">
        <f t="shared" si="286"/>
        <v>10</v>
      </c>
      <c r="AE1167" t="str">
        <f t="shared" si="287"/>
        <v>长沙雨花亭项目|主力店平均租金单价</v>
      </c>
    </row>
    <row r="1168" spans="1:31" x14ac:dyDescent="0.4">
      <c r="A1168" t="str">
        <f>IF(原始经营数据!$D1169="","",原始经营数据!$D1169)</f>
        <v>华夏凯德消费封闭式基础设施证券投资基金</v>
      </c>
      <c r="B1168" t="str">
        <f>IF(原始经营数据!$D1169="","",T(原始经营数据!$E1169))</f>
        <v>长沙雨花亭项目</v>
      </c>
      <c r="C1168" t="str">
        <f>IF(原始经营数据!$D1169="","",原始经营数据!$F1169)</f>
        <v>2024</v>
      </c>
      <c r="D1168" t="str">
        <f>IF(原始经营数据!$D1169="","",原始经营数据!$H1169)</f>
        <v>租户数量</v>
      </c>
      <c r="E1168">
        <f>IF(原始经营数据!$D1169="","",原始经营数据!$I1169)</f>
        <v>186</v>
      </c>
      <c r="F1168" t="str">
        <f>IF(原始经营数据!$D1169="","",T(原始经营数据!$J1169))</f>
        <v/>
      </c>
      <c r="G1168" t="str">
        <f>IF(原始经营数据!$D1169="","",T(原始经营数据!$K1169))</f>
        <v>专门店</v>
      </c>
      <c r="H1168" t="str">
        <f>IF(原始经营数据!$D1169="","",原始经营数据!$G1169)</f>
        <v>服务量</v>
      </c>
      <c r="I1168" t="str">
        <f>IF($A1168="","",IF($B1168&lt;&gt;"",$B1168,IF(COUNTIFS(原始经营数据!$D$3:$D$3001,$A1168,原始经营数据!$E$3:$E$3001,"",原始经营数据!$F$3:$F$3001,$C1168,原始经营数据!$H$3:$H$3001,$D1168,原始经营数据!$K$3:$K$3001,$G1168)&gt;1,"基金整体·来源"&amp;原始经营数据!$A1169,"基金整体")))</f>
        <v>长沙雨花亭项目</v>
      </c>
      <c r="J1168" t="str">
        <f t="shared" si="273"/>
        <v>年度</v>
      </c>
      <c r="K1168" t="str">
        <f t="shared" si="274"/>
        <v>租户数量-专门店</v>
      </c>
      <c r="L1168" t="str">
        <f t="shared" si="275"/>
        <v>长沙雨花亭项目|租户数量-专门店|年度</v>
      </c>
      <c r="M1168">
        <f>IF($A1168="",0,IF(COUNTIF($L$2:$L1168,$L1168)=1,1,0))</f>
        <v>0</v>
      </c>
      <c r="N1168">
        <f t="shared" si="276"/>
        <v>20240</v>
      </c>
      <c r="O1168" t="str">
        <f t="shared" si="277"/>
        <v>华夏凯德消费封闭式基础设施证券投资基金|2024|年度</v>
      </c>
      <c r="P1168">
        <f>IF($A1168="",0,IF(COUNTIF($O$2:$O1168,$O1168)=1,1,0))</f>
        <v>0</v>
      </c>
      <c r="Q1168" t="str">
        <f>IF(AND($P1168=1,$A1168=经营数据!$B$3,$J1168=经营数据!$BA$5),COUNTIFS($P$2:$P$3000,1,$A$2:$A$3000,$A1168,$J$2:$J$3000,$J1168,$N$2:$N$3000,"&lt;"&amp;$N1168)+1,"")</f>
        <v/>
      </c>
      <c r="R1168" t="str">
        <f t="shared" si="278"/>
        <v>华夏凯德消费封闭式基础设施证券投资基金|长沙雨花亭项目</v>
      </c>
      <c r="S1168">
        <f>IF($A1168="",0,IF(COUNTIF($R$2:$R1168,$R1168)=1,1,0))</f>
        <v>0</v>
      </c>
      <c r="T1168">
        <f t="shared" si="279"/>
        <v>1120</v>
      </c>
      <c r="U1168" t="str">
        <f>IF($A1168="","",IF($A1168=经营数据!$B$3,COUNTIFS($S$2:$S$3000,1,$A$2:$A$3000,$A1168,$T$2:$T$3000,"&lt;"&amp;$T1168)+1,""))</f>
        <v/>
      </c>
      <c r="V1168" t="str">
        <f t="shared" si="280"/>
        <v>长沙雨花亭项目|服务量</v>
      </c>
      <c r="W1168">
        <f t="shared" si="281"/>
        <v>1124</v>
      </c>
      <c r="X1168" t="str">
        <f t="shared" si="282"/>
        <v>长沙雨花亭项目|租户数量</v>
      </c>
      <c r="Y1168">
        <f t="shared" si="283"/>
        <v>1132</v>
      </c>
      <c r="Z1168">
        <f>IF($A1168="",0,IF(AND($M1168=1,$A1168=经营数据!$B$3,$J1168=经营数据!$BA$5,OR($I1168=经营数据!$BA$4,COUNTIF(经营数据!$AA$9:$AA$38,$I1168)&gt;0)),1,0))</f>
        <v>0</v>
      </c>
      <c r="AA1168" t="str">
        <f t="shared" si="284"/>
        <v/>
      </c>
      <c r="AB1168" t="str">
        <f t="shared" si="285"/>
        <v/>
      </c>
      <c r="AC1168">
        <f>IF($A1168="",0,IF(COUNTIF($A$2:$A1168,$A1168)=1,1,0))</f>
        <v>0</v>
      </c>
      <c r="AD1168">
        <f t="shared" si="286"/>
        <v>10</v>
      </c>
      <c r="AE1168" t="str">
        <f t="shared" si="287"/>
        <v>长沙雨花亭项目|租户数量-专门店</v>
      </c>
    </row>
    <row r="1169" spans="1:31" x14ac:dyDescent="0.4">
      <c r="A1169" t="str">
        <f>IF(原始经营数据!$D1170="","",原始经营数据!$D1170)</f>
        <v>华夏凯德消费封闭式基础设施证券投资基金</v>
      </c>
      <c r="B1169" t="str">
        <f>IF(原始经营数据!$D1170="","",T(原始经营数据!$E1170))</f>
        <v>长沙雨花亭项目</v>
      </c>
      <c r="C1169" t="str">
        <f>IF(原始经营数据!$D1170="","",原始经营数据!$F1170)</f>
        <v>2024</v>
      </c>
      <c r="D1169" t="str">
        <f>IF(原始经营数据!$D1170="","",原始经营数据!$H1170)</f>
        <v>销售额</v>
      </c>
      <c r="E1169">
        <f>IF(原始经营数据!$D1170="","",原始经营数据!$I1170)</f>
        <v>62400</v>
      </c>
      <c r="F1169" t="str">
        <f>IF(原始经营数据!$D1170="","",T(原始经营数据!$J1170))</f>
        <v>万元</v>
      </c>
      <c r="G1169" t="str">
        <f>IF(原始经营数据!$D1170="","",T(原始经营数据!$K1170))</f>
        <v/>
      </c>
      <c r="H1169" t="str">
        <f>IF(原始经营数据!$D1170="","",原始经营数据!$G1170)</f>
        <v>服务金额</v>
      </c>
      <c r="I1169" t="str">
        <f>IF($A1169="","",IF($B1169&lt;&gt;"",$B1169,IF(COUNTIFS(原始经营数据!$D$3:$D$3001,$A1169,原始经营数据!$E$3:$E$3001,"",原始经营数据!$F$3:$F$3001,$C1169,原始经营数据!$H$3:$H$3001,$D1169,原始经营数据!$K$3:$K$3001,$G1169)&gt;1,"基金整体·来源"&amp;原始经营数据!$A1170,"基金整体")))</f>
        <v>长沙雨花亭项目</v>
      </c>
      <c r="J1169" t="str">
        <f t="shared" si="273"/>
        <v>年度</v>
      </c>
      <c r="K1169" t="str">
        <f t="shared" si="274"/>
        <v>销售额（万元）</v>
      </c>
      <c r="L1169" t="str">
        <f t="shared" si="275"/>
        <v>长沙雨花亭项目|销售额（万元）|年度</v>
      </c>
      <c r="M1169">
        <f>IF($A1169="",0,IF(COUNTIF($L$2:$L1169,$L1169)=1,1,0))</f>
        <v>0</v>
      </c>
      <c r="N1169">
        <f t="shared" si="276"/>
        <v>20240</v>
      </c>
      <c r="O1169" t="str">
        <f t="shared" si="277"/>
        <v>华夏凯德消费封闭式基础设施证券投资基金|2024|年度</v>
      </c>
      <c r="P1169">
        <f>IF($A1169="",0,IF(COUNTIF($O$2:$O1169,$O1169)=1,1,0))</f>
        <v>0</v>
      </c>
      <c r="Q1169" t="str">
        <f>IF(AND($P1169=1,$A1169=经营数据!$B$3,$J1169=经营数据!$BA$5),COUNTIFS($P$2:$P$3000,1,$A$2:$A$3000,$A1169,$J$2:$J$3000,$J1169,$N$2:$N$3000,"&lt;"&amp;$N1169)+1,"")</f>
        <v/>
      </c>
      <c r="R1169" t="str">
        <f t="shared" si="278"/>
        <v>华夏凯德消费封闭式基础设施证券投资基金|长沙雨花亭项目</v>
      </c>
      <c r="S1169">
        <f>IF($A1169="",0,IF(COUNTIF($R$2:$R1169,$R1169)=1,1,0))</f>
        <v>0</v>
      </c>
      <c r="T1169">
        <f t="shared" si="279"/>
        <v>1120</v>
      </c>
      <c r="U1169" t="str">
        <f>IF($A1169="","",IF($A1169=经营数据!$B$3,COUNTIFS($S$2:$S$3000,1,$A$2:$A$3000,$A1169,$T$2:$T$3000,"&lt;"&amp;$T1169)+1,""))</f>
        <v/>
      </c>
      <c r="V1169" t="str">
        <f t="shared" si="280"/>
        <v>长沙雨花亭项目|服务金额</v>
      </c>
      <c r="W1169">
        <f t="shared" si="281"/>
        <v>1120</v>
      </c>
      <c r="X1169" t="str">
        <f t="shared" si="282"/>
        <v>长沙雨花亭项目|销售额</v>
      </c>
      <c r="Y1169">
        <f t="shared" si="283"/>
        <v>1125</v>
      </c>
      <c r="Z1169">
        <f>IF($A1169="",0,IF(AND($M1169=1,$A1169=经营数据!$B$3,$J1169=经营数据!$BA$5,OR($I1169=经营数据!$BA$4,COUNTIF(经营数据!$AA$9:$AA$38,$I1169)&gt;0)),1,0))</f>
        <v>0</v>
      </c>
      <c r="AA1169" t="str">
        <f t="shared" si="284"/>
        <v/>
      </c>
      <c r="AB1169" t="str">
        <f t="shared" si="285"/>
        <v/>
      </c>
      <c r="AC1169">
        <f>IF($A1169="",0,IF(COUNTIF($A$2:$A1169,$A1169)=1,1,0))</f>
        <v>0</v>
      </c>
      <c r="AD1169">
        <f t="shared" si="286"/>
        <v>10</v>
      </c>
      <c r="AE1169" t="str">
        <f t="shared" si="287"/>
        <v>长沙雨花亭项目|销售额（万元）</v>
      </c>
    </row>
    <row r="1170" spans="1:31" x14ac:dyDescent="0.4">
      <c r="A1170" t="str">
        <f>IF(原始经营数据!$D1171="","",原始经营数据!$D1171)</f>
        <v>华夏凯德消费封闭式基础设施证券投资基金</v>
      </c>
      <c r="B1170" t="str">
        <f>IF(原始经营数据!$D1171="","",T(原始经营数据!$E1171))</f>
        <v>长沙雨花亭项目</v>
      </c>
      <c r="C1170" t="str">
        <f>IF(原始经营数据!$D1171="","",原始经营数据!$F1171)</f>
        <v>2024</v>
      </c>
      <c r="D1170" t="str">
        <f>IF(原始经营数据!$D1171="","",原始经营数据!$H1171)</f>
        <v>营业收入（考虑租金减免，不含税）</v>
      </c>
      <c r="E1170">
        <f>IF(原始经营数据!$D1171="","",原始经营数据!$I1171)</f>
        <v>1848.17</v>
      </c>
      <c r="F1170" t="str">
        <f>IF(原始经营数据!$D1171="","",T(原始经营数据!$J1171))</f>
        <v>万元</v>
      </c>
      <c r="G1170" t="str">
        <f>IF(原始经营数据!$D1171="","",T(原始经营数据!$K1171))</f>
        <v>物业管理收入</v>
      </c>
      <c r="H1170" t="str">
        <f>IF(原始经营数据!$D1171="","",原始经营数据!$G1171)</f>
        <v>服务金额</v>
      </c>
      <c r="I1170" t="str">
        <f>IF($A1170="","",IF($B1170&lt;&gt;"",$B1170,IF(COUNTIFS(原始经营数据!$D$3:$D$3001,$A1170,原始经营数据!$E$3:$E$3001,"",原始经营数据!$F$3:$F$3001,$C1170,原始经营数据!$H$3:$H$3001,$D1170,原始经营数据!$K$3:$K$3001,$G1170)&gt;1,"基金整体·来源"&amp;原始经营数据!$A1171,"基金整体")))</f>
        <v>长沙雨花亭项目</v>
      </c>
      <c r="J1170" t="str">
        <f t="shared" si="273"/>
        <v>年度</v>
      </c>
      <c r="K1170" t="str">
        <f t="shared" si="274"/>
        <v>营业收入（考虑租金减免，不含税）-物业管理收入（万元）</v>
      </c>
      <c r="L1170" t="str">
        <f t="shared" si="275"/>
        <v>长沙雨花亭项目|营业收入（考虑租金减免，不含税）-物业管理收入（万元）|年度</v>
      </c>
      <c r="M1170">
        <f>IF($A1170="",0,IF(COUNTIF($L$2:$L1170,$L1170)=1,1,0))</f>
        <v>0</v>
      </c>
      <c r="N1170">
        <f t="shared" si="276"/>
        <v>20240</v>
      </c>
      <c r="O1170" t="str">
        <f t="shared" si="277"/>
        <v>华夏凯德消费封闭式基础设施证券投资基金|2024|年度</v>
      </c>
      <c r="P1170">
        <f>IF($A1170="",0,IF(COUNTIF($O$2:$O1170,$O1170)=1,1,0))</f>
        <v>0</v>
      </c>
      <c r="Q1170" t="str">
        <f>IF(AND($P1170=1,$A1170=经营数据!$B$3,$J1170=经营数据!$BA$5),COUNTIFS($P$2:$P$3000,1,$A$2:$A$3000,$A1170,$J$2:$J$3000,$J1170,$N$2:$N$3000,"&lt;"&amp;$N1170)+1,"")</f>
        <v/>
      </c>
      <c r="R1170" t="str">
        <f t="shared" si="278"/>
        <v>华夏凯德消费封闭式基础设施证券投资基金|长沙雨花亭项目</v>
      </c>
      <c r="S1170">
        <f>IF($A1170="",0,IF(COUNTIF($R$2:$R1170,$R1170)=1,1,0))</f>
        <v>0</v>
      </c>
      <c r="T1170">
        <f t="shared" si="279"/>
        <v>1120</v>
      </c>
      <c r="U1170" t="str">
        <f>IF($A1170="","",IF($A1170=经营数据!$B$3,COUNTIFS($S$2:$S$3000,1,$A$2:$A$3000,$A1170,$T$2:$T$3000,"&lt;"&amp;$T1170)+1,""))</f>
        <v/>
      </c>
      <c r="V1170" t="str">
        <f t="shared" si="280"/>
        <v>长沙雨花亭项目|服务金额</v>
      </c>
      <c r="W1170">
        <f t="shared" si="281"/>
        <v>1120</v>
      </c>
      <c r="X1170" t="str">
        <f t="shared" si="282"/>
        <v>长沙雨花亭项目|营业收入（考虑租金减免，不含税）</v>
      </c>
      <c r="Y1170">
        <f t="shared" si="283"/>
        <v>1120</v>
      </c>
      <c r="Z1170">
        <f>IF($A1170="",0,IF(AND($M1170=1,$A1170=经营数据!$B$3,$J1170=经营数据!$BA$5,OR($I1170=经营数据!$BA$4,COUNTIF(经营数据!$AA$9:$AA$38,$I1170)&gt;0)),1,0))</f>
        <v>0</v>
      </c>
      <c r="AA1170" t="str">
        <f t="shared" si="284"/>
        <v/>
      </c>
      <c r="AB1170" t="str">
        <f t="shared" si="285"/>
        <v/>
      </c>
      <c r="AC1170">
        <f>IF($A1170="",0,IF(COUNTIF($A$2:$A1170,$A1170)=1,1,0))</f>
        <v>0</v>
      </c>
      <c r="AD1170">
        <f t="shared" si="286"/>
        <v>10</v>
      </c>
      <c r="AE1170" t="str">
        <f t="shared" si="287"/>
        <v>长沙雨花亭项目|营业收入（考虑租金减免，不含税）-物业管理收入（万元）</v>
      </c>
    </row>
    <row r="1171" spans="1:31" x14ac:dyDescent="0.4">
      <c r="A1171" t="str">
        <f>IF(原始经营数据!$D1172="","",原始经营数据!$D1172)</f>
        <v>华夏凯德消费封闭式基础设施证券投资基金</v>
      </c>
      <c r="B1171" t="str">
        <f>IF(原始经营数据!$D1172="","",T(原始经营数据!$E1172))</f>
        <v>长沙雨花亭项目</v>
      </c>
      <c r="C1171" t="str">
        <f>IF(原始经营数据!$D1172="","",原始经营数据!$F1172)</f>
        <v>2024</v>
      </c>
      <c r="D1171" t="str">
        <f>IF(原始经营数据!$D1172="","",原始经营数据!$H1172)</f>
        <v>营业收入（考虑租金减免，不含税）</v>
      </c>
      <c r="E1171">
        <f>IF(原始经营数据!$D1172="","",原始经营数据!$I1172)</f>
        <v>165.73</v>
      </c>
      <c r="F1171" t="str">
        <f>IF(原始经营数据!$D1172="","",T(原始经营数据!$J1172))</f>
        <v>万元</v>
      </c>
      <c r="G1171" t="str">
        <f>IF(原始经营数据!$D1172="","",T(原始经营数据!$K1172))</f>
        <v>抽成租金收入</v>
      </c>
      <c r="H1171" t="str">
        <f>IF(原始经营数据!$D1172="","",原始经营数据!$G1172)</f>
        <v>服务金额</v>
      </c>
      <c r="I1171" t="str">
        <f>IF($A1171="","",IF($B1171&lt;&gt;"",$B1171,IF(COUNTIFS(原始经营数据!$D$3:$D$3001,$A1171,原始经营数据!$E$3:$E$3001,"",原始经营数据!$F$3:$F$3001,$C1171,原始经营数据!$H$3:$H$3001,$D1171,原始经营数据!$K$3:$K$3001,$G1171)&gt;1,"基金整体·来源"&amp;原始经营数据!$A1172,"基金整体")))</f>
        <v>长沙雨花亭项目</v>
      </c>
      <c r="J1171" t="str">
        <f t="shared" si="273"/>
        <v>年度</v>
      </c>
      <c r="K1171" t="str">
        <f t="shared" si="274"/>
        <v>营业收入（考虑租金减免，不含税）-抽成租金收入（万元）</v>
      </c>
      <c r="L1171" t="str">
        <f t="shared" si="275"/>
        <v>长沙雨花亭项目|营业收入（考虑租金减免，不含税）-抽成租金收入（万元）|年度</v>
      </c>
      <c r="M1171">
        <f>IF($A1171="",0,IF(COUNTIF($L$2:$L1171,$L1171)=1,1,0))</f>
        <v>0</v>
      </c>
      <c r="N1171">
        <f t="shared" si="276"/>
        <v>20240</v>
      </c>
      <c r="O1171" t="str">
        <f t="shared" si="277"/>
        <v>华夏凯德消费封闭式基础设施证券投资基金|2024|年度</v>
      </c>
      <c r="P1171">
        <f>IF($A1171="",0,IF(COUNTIF($O$2:$O1171,$O1171)=1,1,0))</f>
        <v>0</v>
      </c>
      <c r="Q1171" t="str">
        <f>IF(AND($P1171=1,$A1171=经营数据!$B$3,$J1171=经营数据!$BA$5),COUNTIFS($P$2:$P$3000,1,$A$2:$A$3000,$A1171,$J$2:$J$3000,$J1171,$N$2:$N$3000,"&lt;"&amp;$N1171)+1,"")</f>
        <v/>
      </c>
      <c r="R1171" t="str">
        <f t="shared" si="278"/>
        <v>华夏凯德消费封闭式基础设施证券投资基金|长沙雨花亭项目</v>
      </c>
      <c r="S1171">
        <f>IF($A1171="",0,IF(COUNTIF($R$2:$R1171,$R1171)=1,1,0))</f>
        <v>0</v>
      </c>
      <c r="T1171">
        <f t="shared" si="279"/>
        <v>1120</v>
      </c>
      <c r="U1171" t="str">
        <f>IF($A1171="","",IF($A1171=经营数据!$B$3,COUNTIFS($S$2:$S$3000,1,$A$2:$A$3000,$A1171,$T$2:$T$3000,"&lt;"&amp;$T1171)+1,""))</f>
        <v/>
      </c>
      <c r="V1171" t="str">
        <f t="shared" si="280"/>
        <v>长沙雨花亭项目|服务金额</v>
      </c>
      <c r="W1171">
        <f t="shared" si="281"/>
        <v>1120</v>
      </c>
      <c r="X1171" t="str">
        <f t="shared" si="282"/>
        <v>长沙雨花亭项目|营业收入（考虑租金减免，不含税）</v>
      </c>
      <c r="Y1171">
        <f t="shared" si="283"/>
        <v>1120</v>
      </c>
      <c r="Z1171">
        <f>IF($A1171="",0,IF(AND($M1171=1,$A1171=经营数据!$B$3,$J1171=经营数据!$BA$5,OR($I1171=经营数据!$BA$4,COUNTIF(经营数据!$AA$9:$AA$38,$I1171)&gt;0)),1,0))</f>
        <v>0</v>
      </c>
      <c r="AA1171" t="str">
        <f t="shared" si="284"/>
        <v/>
      </c>
      <c r="AB1171" t="str">
        <f t="shared" si="285"/>
        <v/>
      </c>
      <c r="AC1171">
        <f>IF($A1171="",0,IF(COUNTIF($A$2:$A1171,$A1171)=1,1,0))</f>
        <v>0</v>
      </c>
      <c r="AD1171">
        <f t="shared" si="286"/>
        <v>10</v>
      </c>
      <c r="AE1171" t="str">
        <f t="shared" si="287"/>
        <v>长沙雨花亭项目|营业收入（考虑租金减免，不含税）-抽成租金收入（万元）</v>
      </c>
    </row>
    <row r="1172" spans="1:31" x14ac:dyDescent="0.4">
      <c r="A1172" t="str">
        <f>IF(原始经营数据!$D1173="","",原始经营数据!$D1173)</f>
        <v>华夏凯德消费封闭式基础设施证券投资基金</v>
      </c>
      <c r="B1172" t="str">
        <f>IF(原始经营数据!$D1173="","",T(原始经营数据!$E1173))</f>
        <v>长沙雨花亭项目</v>
      </c>
      <c r="C1172" t="str">
        <f>IF(原始经营数据!$D1173="","",原始经营数据!$F1173)</f>
        <v>2024</v>
      </c>
      <c r="D1172" t="str">
        <f>IF(原始经营数据!$D1173="","",原始经营数据!$H1173)</f>
        <v>营业收入（考虑租金减免，不含税）</v>
      </c>
      <c r="E1172">
        <f>IF(原始经营数据!$D1173="","",原始经营数据!$I1173)</f>
        <v>265.45</v>
      </c>
      <c r="F1172" t="str">
        <f>IF(原始经营数据!$D1173="","",T(原始经营数据!$J1173))</f>
        <v>万元</v>
      </c>
      <c r="G1172" t="str">
        <f>IF(原始经营数据!$D1173="","",T(原始经营数据!$K1173))</f>
        <v>推广费收入</v>
      </c>
      <c r="H1172" t="str">
        <f>IF(原始经营数据!$D1173="","",原始经营数据!$G1173)</f>
        <v>服务金额</v>
      </c>
      <c r="I1172" t="str">
        <f>IF($A1172="","",IF($B1172&lt;&gt;"",$B1172,IF(COUNTIFS(原始经营数据!$D$3:$D$3001,$A1172,原始经营数据!$E$3:$E$3001,"",原始经营数据!$F$3:$F$3001,$C1172,原始经营数据!$H$3:$H$3001,$D1172,原始经营数据!$K$3:$K$3001,$G1172)&gt;1,"基金整体·来源"&amp;原始经营数据!$A1173,"基金整体")))</f>
        <v>长沙雨花亭项目</v>
      </c>
      <c r="J1172" t="str">
        <f t="shared" si="273"/>
        <v>年度</v>
      </c>
      <c r="K1172" t="str">
        <f t="shared" si="274"/>
        <v>营业收入（考虑租金减免，不含税）-推广费收入（万元）</v>
      </c>
      <c r="L1172" t="str">
        <f t="shared" si="275"/>
        <v>长沙雨花亭项目|营业收入（考虑租金减免，不含税）-推广费收入（万元）|年度</v>
      </c>
      <c r="M1172">
        <f>IF($A1172="",0,IF(COUNTIF($L$2:$L1172,$L1172)=1,1,0))</f>
        <v>0</v>
      </c>
      <c r="N1172">
        <f t="shared" si="276"/>
        <v>20240</v>
      </c>
      <c r="O1172" t="str">
        <f t="shared" si="277"/>
        <v>华夏凯德消费封闭式基础设施证券投资基金|2024|年度</v>
      </c>
      <c r="P1172">
        <f>IF($A1172="",0,IF(COUNTIF($O$2:$O1172,$O1172)=1,1,0))</f>
        <v>0</v>
      </c>
      <c r="Q1172" t="str">
        <f>IF(AND($P1172=1,$A1172=经营数据!$B$3,$J1172=经营数据!$BA$5),COUNTIFS($P$2:$P$3000,1,$A$2:$A$3000,$A1172,$J$2:$J$3000,$J1172,$N$2:$N$3000,"&lt;"&amp;$N1172)+1,"")</f>
        <v/>
      </c>
      <c r="R1172" t="str">
        <f t="shared" si="278"/>
        <v>华夏凯德消费封闭式基础设施证券投资基金|长沙雨花亭项目</v>
      </c>
      <c r="S1172">
        <f>IF($A1172="",0,IF(COUNTIF($R$2:$R1172,$R1172)=1,1,0))</f>
        <v>0</v>
      </c>
      <c r="T1172">
        <f t="shared" si="279"/>
        <v>1120</v>
      </c>
      <c r="U1172" t="str">
        <f>IF($A1172="","",IF($A1172=经营数据!$B$3,COUNTIFS($S$2:$S$3000,1,$A$2:$A$3000,$A1172,$T$2:$T$3000,"&lt;"&amp;$T1172)+1,""))</f>
        <v/>
      </c>
      <c r="V1172" t="str">
        <f t="shared" si="280"/>
        <v>长沙雨花亭项目|服务金额</v>
      </c>
      <c r="W1172">
        <f t="shared" si="281"/>
        <v>1120</v>
      </c>
      <c r="X1172" t="str">
        <f t="shared" si="282"/>
        <v>长沙雨花亭项目|营业收入（考虑租金减免，不含税）</v>
      </c>
      <c r="Y1172">
        <f t="shared" si="283"/>
        <v>1120</v>
      </c>
      <c r="Z1172">
        <f>IF($A1172="",0,IF(AND($M1172=1,$A1172=经营数据!$B$3,$J1172=经营数据!$BA$5,OR($I1172=经营数据!$BA$4,COUNTIF(经营数据!$AA$9:$AA$38,$I1172)&gt;0)),1,0))</f>
        <v>0</v>
      </c>
      <c r="AA1172" t="str">
        <f t="shared" si="284"/>
        <v/>
      </c>
      <c r="AB1172" t="str">
        <f t="shared" si="285"/>
        <v/>
      </c>
      <c r="AC1172">
        <f>IF($A1172="",0,IF(COUNTIF($A$2:$A1172,$A1172)=1,1,0))</f>
        <v>0</v>
      </c>
      <c r="AD1172">
        <f t="shared" si="286"/>
        <v>10</v>
      </c>
      <c r="AE1172" t="str">
        <f t="shared" si="287"/>
        <v>长沙雨花亭项目|营业收入（考虑租金减免，不含税）-推广费收入（万元）</v>
      </c>
    </row>
    <row r="1173" spans="1:31" x14ac:dyDescent="0.4">
      <c r="A1173" t="str">
        <f>IF(原始经营数据!$D1174="","",原始经营数据!$D1174)</f>
        <v>华夏凯德消费封闭式基础设施证券投资基金</v>
      </c>
      <c r="B1173" t="str">
        <f>IF(原始经营数据!$D1174="","",T(原始经营数据!$E1174))</f>
        <v>长沙雨花亭项目</v>
      </c>
      <c r="C1173" t="str">
        <f>IF(原始经营数据!$D1174="","",原始经营数据!$F1174)</f>
        <v>2024</v>
      </c>
      <c r="D1173" t="str">
        <f>IF(原始经营数据!$D1174="","",原始经营数据!$H1174)</f>
        <v>营业收入（考虑租金减免，不含税）</v>
      </c>
      <c r="E1173">
        <f>IF(原始经营数据!$D1174="","",原始经营数据!$I1174)</f>
        <v>676.73</v>
      </c>
      <c r="F1173" t="str">
        <f>IF(原始经营数据!$D1174="","",T(原始经营数据!$J1174))</f>
        <v>万元</v>
      </c>
      <c r="G1173" t="str">
        <f>IF(原始经营数据!$D1174="","",T(原始经营数据!$K1174))</f>
        <v>其他收入</v>
      </c>
      <c r="H1173" t="str">
        <f>IF(原始经营数据!$D1174="","",原始经营数据!$G1174)</f>
        <v>服务金额</v>
      </c>
      <c r="I1173" t="str">
        <f>IF($A1173="","",IF($B1173&lt;&gt;"",$B1173,IF(COUNTIFS(原始经营数据!$D$3:$D$3001,$A1173,原始经营数据!$E$3:$E$3001,"",原始经营数据!$F$3:$F$3001,$C1173,原始经营数据!$H$3:$H$3001,$D1173,原始经营数据!$K$3:$K$3001,$G1173)&gt;1,"基金整体·来源"&amp;原始经营数据!$A1174,"基金整体")))</f>
        <v>长沙雨花亭项目</v>
      </c>
      <c r="J1173" t="str">
        <f t="shared" si="273"/>
        <v>年度</v>
      </c>
      <c r="K1173" t="str">
        <f t="shared" si="274"/>
        <v>营业收入（考虑租金减免，不含税）-其他收入（万元）</v>
      </c>
      <c r="L1173" t="str">
        <f t="shared" si="275"/>
        <v>长沙雨花亭项目|营业收入（考虑租金减免，不含税）-其他收入（万元）|年度</v>
      </c>
      <c r="M1173">
        <f>IF($A1173="",0,IF(COUNTIF($L$2:$L1173,$L1173)=1,1,0))</f>
        <v>0</v>
      </c>
      <c r="N1173">
        <f t="shared" si="276"/>
        <v>20240</v>
      </c>
      <c r="O1173" t="str">
        <f t="shared" si="277"/>
        <v>华夏凯德消费封闭式基础设施证券投资基金|2024|年度</v>
      </c>
      <c r="P1173">
        <f>IF($A1173="",0,IF(COUNTIF($O$2:$O1173,$O1173)=1,1,0))</f>
        <v>0</v>
      </c>
      <c r="Q1173" t="str">
        <f>IF(AND($P1173=1,$A1173=经营数据!$B$3,$J1173=经营数据!$BA$5),COUNTIFS($P$2:$P$3000,1,$A$2:$A$3000,$A1173,$J$2:$J$3000,$J1173,$N$2:$N$3000,"&lt;"&amp;$N1173)+1,"")</f>
        <v/>
      </c>
      <c r="R1173" t="str">
        <f t="shared" si="278"/>
        <v>华夏凯德消费封闭式基础设施证券投资基金|长沙雨花亭项目</v>
      </c>
      <c r="S1173">
        <f>IF($A1173="",0,IF(COUNTIF($R$2:$R1173,$R1173)=1,1,0))</f>
        <v>0</v>
      </c>
      <c r="T1173">
        <f t="shared" si="279"/>
        <v>1120</v>
      </c>
      <c r="U1173" t="str">
        <f>IF($A1173="","",IF($A1173=经营数据!$B$3,COUNTIFS($S$2:$S$3000,1,$A$2:$A$3000,$A1173,$T$2:$T$3000,"&lt;"&amp;$T1173)+1,""))</f>
        <v/>
      </c>
      <c r="V1173" t="str">
        <f t="shared" si="280"/>
        <v>长沙雨花亭项目|服务金额</v>
      </c>
      <c r="W1173">
        <f t="shared" si="281"/>
        <v>1120</v>
      </c>
      <c r="X1173" t="str">
        <f t="shared" si="282"/>
        <v>长沙雨花亭项目|营业收入（考虑租金减免，不含税）</v>
      </c>
      <c r="Y1173">
        <f t="shared" si="283"/>
        <v>1120</v>
      </c>
      <c r="Z1173">
        <f>IF($A1173="",0,IF(AND($M1173=1,$A1173=经营数据!$B$3,$J1173=经营数据!$BA$5,OR($I1173=经营数据!$BA$4,COUNTIF(经营数据!$AA$9:$AA$38,$I1173)&gt;0)),1,0))</f>
        <v>0</v>
      </c>
      <c r="AA1173" t="str">
        <f t="shared" si="284"/>
        <v/>
      </c>
      <c r="AB1173" t="str">
        <f t="shared" si="285"/>
        <v/>
      </c>
      <c r="AC1173">
        <f>IF($A1173="",0,IF(COUNTIF($A$2:$A1173,$A1173)=1,1,0))</f>
        <v>0</v>
      </c>
      <c r="AD1173">
        <f t="shared" si="286"/>
        <v>10</v>
      </c>
      <c r="AE1173" t="str">
        <f t="shared" si="287"/>
        <v>长沙雨花亭项目|营业收入（考虑租金减免，不含税）-其他收入（万元）</v>
      </c>
    </row>
    <row r="1174" spans="1:31" x14ac:dyDescent="0.4">
      <c r="A1174" t="str">
        <f>IF(原始经营数据!$D1175="","",原始经营数据!$D1175)</f>
        <v>华夏凯德消费封闭式基础设施证券投资基金</v>
      </c>
      <c r="B1174" t="str">
        <f>IF(原始经营数据!$D1175="","",T(原始经营数据!$E1175))</f>
        <v>长沙雨花亭项目</v>
      </c>
      <c r="C1174" t="str">
        <f>IF(原始经营数据!$D1175="","",原始经营数据!$F1175)</f>
        <v>2024</v>
      </c>
      <c r="D1174" t="str">
        <f>IF(原始经营数据!$D1175="","",原始经营数据!$H1175)</f>
        <v>营业收入（考虑租金减免，不含税）</v>
      </c>
      <c r="E1174">
        <f>IF(原始经营数据!$D1175="","",原始经营数据!$I1175)</f>
        <v>5769.46</v>
      </c>
      <c r="F1174" t="str">
        <f>IF(原始经营数据!$D1175="","",T(原始经营数据!$J1175))</f>
        <v>万元</v>
      </c>
      <c r="G1174" t="str">
        <f>IF(原始经营数据!$D1175="","",T(原始经营数据!$K1175))</f>
        <v>固定租金收入</v>
      </c>
      <c r="H1174" t="str">
        <f>IF(原始经营数据!$D1175="","",原始经营数据!$G1175)</f>
        <v>服务金额</v>
      </c>
      <c r="I1174" t="str">
        <f>IF($A1174="","",IF($B1174&lt;&gt;"",$B1174,IF(COUNTIFS(原始经营数据!$D$3:$D$3001,$A1174,原始经营数据!$E$3:$E$3001,"",原始经营数据!$F$3:$F$3001,$C1174,原始经营数据!$H$3:$H$3001,$D1174,原始经营数据!$K$3:$K$3001,$G1174)&gt;1,"基金整体·来源"&amp;原始经营数据!$A1175,"基金整体")))</f>
        <v>长沙雨花亭项目</v>
      </c>
      <c r="J1174" t="str">
        <f t="shared" si="273"/>
        <v>年度</v>
      </c>
      <c r="K1174" t="str">
        <f t="shared" si="274"/>
        <v>营业收入（考虑租金减免，不含税）-固定租金收入（万元）</v>
      </c>
      <c r="L1174" t="str">
        <f t="shared" si="275"/>
        <v>长沙雨花亭项目|营业收入（考虑租金减免，不含税）-固定租金收入（万元）|年度</v>
      </c>
      <c r="M1174">
        <f>IF($A1174="",0,IF(COUNTIF($L$2:$L1174,$L1174)=1,1,0))</f>
        <v>0</v>
      </c>
      <c r="N1174">
        <f t="shared" si="276"/>
        <v>20240</v>
      </c>
      <c r="O1174" t="str">
        <f t="shared" si="277"/>
        <v>华夏凯德消费封闭式基础设施证券投资基金|2024|年度</v>
      </c>
      <c r="P1174">
        <f>IF($A1174="",0,IF(COUNTIF($O$2:$O1174,$O1174)=1,1,0))</f>
        <v>0</v>
      </c>
      <c r="Q1174" t="str">
        <f>IF(AND($P1174=1,$A1174=经营数据!$B$3,$J1174=经营数据!$BA$5),COUNTIFS($P$2:$P$3000,1,$A$2:$A$3000,$A1174,$J$2:$J$3000,$J1174,$N$2:$N$3000,"&lt;"&amp;$N1174)+1,"")</f>
        <v/>
      </c>
      <c r="R1174" t="str">
        <f t="shared" si="278"/>
        <v>华夏凯德消费封闭式基础设施证券投资基金|长沙雨花亭项目</v>
      </c>
      <c r="S1174">
        <f>IF($A1174="",0,IF(COUNTIF($R$2:$R1174,$R1174)=1,1,0))</f>
        <v>0</v>
      </c>
      <c r="T1174">
        <f t="shared" si="279"/>
        <v>1120</v>
      </c>
      <c r="U1174" t="str">
        <f>IF($A1174="","",IF($A1174=经营数据!$B$3,COUNTIFS($S$2:$S$3000,1,$A$2:$A$3000,$A1174,$T$2:$T$3000,"&lt;"&amp;$T1174)+1,""))</f>
        <v/>
      </c>
      <c r="V1174" t="str">
        <f t="shared" si="280"/>
        <v>长沙雨花亭项目|服务金额</v>
      </c>
      <c r="W1174">
        <f t="shared" si="281"/>
        <v>1120</v>
      </c>
      <c r="X1174" t="str">
        <f t="shared" si="282"/>
        <v>长沙雨花亭项目|营业收入（考虑租金减免，不含税）</v>
      </c>
      <c r="Y1174">
        <f t="shared" si="283"/>
        <v>1120</v>
      </c>
      <c r="Z1174">
        <f>IF($A1174="",0,IF(AND($M1174=1,$A1174=经营数据!$B$3,$J1174=经营数据!$BA$5,OR($I1174=经营数据!$BA$4,COUNTIF(经营数据!$AA$9:$AA$38,$I1174)&gt;0)),1,0))</f>
        <v>0</v>
      </c>
      <c r="AA1174" t="str">
        <f t="shared" si="284"/>
        <v/>
      </c>
      <c r="AB1174" t="str">
        <f t="shared" si="285"/>
        <v/>
      </c>
      <c r="AC1174">
        <f>IF($A1174="",0,IF(COUNTIF($A$2:$A1174,$A1174)=1,1,0))</f>
        <v>0</v>
      </c>
      <c r="AD1174">
        <f t="shared" si="286"/>
        <v>10</v>
      </c>
      <c r="AE1174" t="str">
        <f t="shared" si="287"/>
        <v>长沙雨花亭项目|营业收入（考虑租金减免，不含税）-固定租金收入（万元）</v>
      </c>
    </row>
    <row r="1175" spans="1:31" x14ac:dyDescent="0.4">
      <c r="A1175" t="str">
        <f>IF(原始经营数据!$D1176="","",原始经营数据!$D1176)</f>
        <v>华夏凯德消费封闭式基础设施证券投资基金</v>
      </c>
      <c r="B1175" t="str">
        <f>IF(原始经营数据!$D1176="","",T(原始经营数据!$E1176))</f>
        <v>长沙雨花亭项目</v>
      </c>
      <c r="C1175" t="str">
        <f>IF(原始经营数据!$D1176="","",原始经营数据!$F1176)</f>
        <v>2025Q4</v>
      </c>
      <c r="D1175" t="str">
        <f>IF(原始经营数据!$D1176="","",原始经营数据!$H1176)</f>
        <v>期末可供出租面积</v>
      </c>
      <c r="E1175">
        <f>IF(原始经营数据!$D1176="","",原始经营数据!$I1176)</f>
        <v>43216.26</v>
      </c>
      <c r="F1175" t="str">
        <f>IF(原始经营数据!$D1176="","",T(原始经营数据!$J1176))</f>
        <v>平方米</v>
      </c>
      <c r="G1175" t="str">
        <f>IF(原始经营数据!$D1176="","",T(原始经营数据!$K1176))</f>
        <v/>
      </c>
      <c r="H1175" t="str">
        <f>IF(原始经营数据!$D1176="","",原始经营数据!$G1176)</f>
        <v>服务量</v>
      </c>
      <c r="I1175" t="str">
        <f>IF($A1175="","",IF($B1175&lt;&gt;"",$B1175,IF(COUNTIFS(原始经营数据!$D$3:$D$3001,$A1175,原始经营数据!$E$3:$E$3001,"",原始经营数据!$F$3:$F$3001,$C1175,原始经营数据!$H$3:$H$3001,$D1175,原始经营数据!$K$3:$K$3001,$G1175)&gt;1,"基金整体·来源"&amp;原始经营数据!$A1176,"基金整体")))</f>
        <v>长沙雨花亭项目</v>
      </c>
      <c r="J1175" t="str">
        <f t="shared" si="273"/>
        <v>季度</v>
      </c>
      <c r="K1175" t="str">
        <f t="shared" si="274"/>
        <v>期末可供出租面积（平方米）</v>
      </c>
      <c r="L1175" t="str">
        <f t="shared" si="275"/>
        <v>长沙雨花亭项目|期末可供出租面积（平方米）|季度</v>
      </c>
      <c r="M1175">
        <f>IF($A1175="",0,IF(COUNTIF($L$2:$L1175,$L1175)=1,1,0))</f>
        <v>1</v>
      </c>
      <c r="N1175">
        <f t="shared" si="276"/>
        <v>20254</v>
      </c>
      <c r="O1175" t="str">
        <f t="shared" si="277"/>
        <v>华夏凯德消费封闭式基础设施证券投资基金|2025Q4|季度</v>
      </c>
      <c r="P1175">
        <f>IF($A1175="",0,IF(COUNTIF($O$2:$O1175,$O1175)=1,1,0))</f>
        <v>0</v>
      </c>
      <c r="Q1175" t="str">
        <f>IF(AND($P1175=1,$A1175=经营数据!$B$3,$J1175=经营数据!$BA$5),COUNTIFS($P$2:$P$3000,1,$A$2:$A$3000,$A1175,$J$2:$J$3000,$J1175,$N$2:$N$3000,"&lt;"&amp;$N1175)+1,"")</f>
        <v/>
      </c>
      <c r="R1175" t="str">
        <f t="shared" si="278"/>
        <v>华夏凯德消费封闭式基础设施证券投资基金|长沙雨花亭项目</v>
      </c>
      <c r="S1175">
        <f>IF($A1175="",0,IF(COUNTIF($R$2:$R1175,$R1175)=1,1,0))</f>
        <v>0</v>
      </c>
      <c r="T1175">
        <f t="shared" si="279"/>
        <v>1120</v>
      </c>
      <c r="U1175" t="str">
        <f>IF($A1175="","",IF($A1175=经营数据!$B$3,COUNTIFS($S$2:$S$3000,1,$A$2:$A$3000,$A1175,$T$2:$T$3000,"&lt;"&amp;$T1175)+1,""))</f>
        <v/>
      </c>
      <c r="V1175" t="str">
        <f t="shared" si="280"/>
        <v>长沙雨花亭项目|服务量</v>
      </c>
      <c r="W1175">
        <f t="shared" si="281"/>
        <v>1124</v>
      </c>
      <c r="X1175" t="str">
        <f t="shared" si="282"/>
        <v>长沙雨花亭项目|期末可供出租面积</v>
      </c>
      <c r="Y1175">
        <f t="shared" si="283"/>
        <v>1174</v>
      </c>
      <c r="Z1175">
        <f>IF($A1175="",0,IF(AND($M1175=1,$A1175=经营数据!$B$3,$J1175=经营数据!$BA$5,OR($I1175=经营数据!$BA$4,COUNTIF(经营数据!$AA$9:$AA$38,$I1175)&gt;0)),1,0))</f>
        <v>0</v>
      </c>
      <c r="AA1175" t="str">
        <f t="shared" si="284"/>
        <v/>
      </c>
      <c r="AB1175" t="str">
        <f t="shared" si="285"/>
        <v/>
      </c>
      <c r="AC1175">
        <f>IF($A1175="",0,IF(COUNTIF($A$2:$A1175,$A1175)=1,1,0))</f>
        <v>0</v>
      </c>
      <c r="AD1175">
        <f t="shared" si="286"/>
        <v>10</v>
      </c>
      <c r="AE1175" t="str">
        <f t="shared" si="287"/>
        <v>长沙雨花亭项目|期末可供出租面积（平方米）</v>
      </c>
    </row>
    <row r="1176" spans="1:31" x14ac:dyDescent="0.4">
      <c r="A1176" t="str">
        <f>IF(原始经营数据!$D1177="","",原始经营数据!$D1177)</f>
        <v>华夏凯德消费封闭式基础设施证券投资基金</v>
      </c>
      <c r="B1176" t="str">
        <f>IF(原始经营数据!$D1177="","",T(原始经营数据!$E1177))</f>
        <v>长沙雨花亭项目</v>
      </c>
      <c r="C1176" t="str">
        <f>IF(原始经营数据!$D1177="","",原始经营数据!$F1177)</f>
        <v>2025Q4</v>
      </c>
      <c r="D1176" t="str">
        <f>IF(原始经营数据!$D1177="","",原始经营数据!$H1177)</f>
        <v>期末实际出租面积</v>
      </c>
      <c r="E1176">
        <f>IF(原始经营数据!$D1177="","",原始经营数据!$I1177)</f>
        <v>42627.3</v>
      </c>
      <c r="F1176" t="str">
        <f>IF(原始经营数据!$D1177="","",T(原始经营数据!$J1177))</f>
        <v>平方米</v>
      </c>
      <c r="G1176" t="str">
        <f>IF(原始经营数据!$D1177="","",T(原始经营数据!$K1177))</f>
        <v/>
      </c>
      <c r="H1176" t="str">
        <f>IF(原始经营数据!$D1177="","",原始经营数据!$G1177)</f>
        <v>服务量</v>
      </c>
      <c r="I1176" t="str">
        <f>IF($A1176="","",IF($B1176&lt;&gt;"",$B1176,IF(COUNTIFS(原始经营数据!$D$3:$D$3001,$A1176,原始经营数据!$E$3:$E$3001,"",原始经营数据!$F$3:$F$3001,$C1176,原始经营数据!$H$3:$H$3001,$D1176,原始经营数据!$K$3:$K$3001,$G1176)&gt;1,"基金整体·来源"&amp;原始经营数据!$A1177,"基金整体")))</f>
        <v>长沙雨花亭项目</v>
      </c>
      <c r="J1176" t="str">
        <f t="shared" si="273"/>
        <v>季度</v>
      </c>
      <c r="K1176" t="str">
        <f t="shared" si="274"/>
        <v>期末实际出租面积（平方米）</v>
      </c>
      <c r="L1176" t="str">
        <f t="shared" si="275"/>
        <v>长沙雨花亭项目|期末实际出租面积（平方米）|季度</v>
      </c>
      <c r="M1176">
        <f>IF($A1176="",0,IF(COUNTIF($L$2:$L1176,$L1176)=1,1,0))</f>
        <v>1</v>
      </c>
      <c r="N1176">
        <f t="shared" si="276"/>
        <v>20254</v>
      </c>
      <c r="O1176" t="str">
        <f t="shared" si="277"/>
        <v>华夏凯德消费封闭式基础设施证券投资基金|2025Q4|季度</v>
      </c>
      <c r="P1176">
        <f>IF($A1176="",0,IF(COUNTIF($O$2:$O1176,$O1176)=1,1,0))</f>
        <v>0</v>
      </c>
      <c r="Q1176" t="str">
        <f>IF(AND($P1176=1,$A1176=经营数据!$B$3,$J1176=经营数据!$BA$5),COUNTIFS($P$2:$P$3000,1,$A$2:$A$3000,$A1176,$J$2:$J$3000,$J1176,$N$2:$N$3000,"&lt;"&amp;$N1176)+1,"")</f>
        <v/>
      </c>
      <c r="R1176" t="str">
        <f t="shared" si="278"/>
        <v>华夏凯德消费封闭式基础设施证券投资基金|长沙雨花亭项目</v>
      </c>
      <c r="S1176">
        <f>IF($A1176="",0,IF(COUNTIF($R$2:$R1176,$R1176)=1,1,0))</f>
        <v>0</v>
      </c>
      <c r="T1176">
        <f t="shared" si="279"/>
        <v>1120</v>
      </c>
      <c r="U1176" t="str">
        <f>IF($A1176="","",IF($A1176=经营数据!$B$3,COUNTIFS($S$2:$S$3000,1,$A$2:$A$3000,$A1176,$T$2:$T$3000,"&lt;"&amp;$T1176)+1,""))</f>
        <v/>
      </c>
      <c r="V1176" t="str">
        <f t="shared" si="280"/>
        <v>长沙雨花亭项目|服务量</v>
      </c>
      <c r="W1176">
        <f t="shared" si="281"/>
        <v>1124</v>
      </c>
      <c r="X1176" t="str">
        <f t="shared" si="282"/>
        <v>长沙雨花亭项目|期末实际出租面积</v>
      </c>
      <c r="Y1176">
        <f t="shared" si="283"/>
        <v>1175</v>
      </c>
      <c r="Z1176">
        <f>IF($A1176="",0,IF(AND($M1176=1,$A1176=经营数据!$B$3,$J1176=经营数据!$BA$5,OR($I1176=经营数据!$BA$4,COUNTIF(经营数据!$AA$9:$AA$38,$I1176)&gt;0)),1,0))</f>
        <v>0</v>
      </c>
      <c r="AA1176" t="str">
        <f t="shared" si="284"/>
        <v/>
      </c>
      <c r="AB1176" t="str">
        <f t="shared" si="285"/>
        <v/>
      </c>
      <c r="AC1176">
        <f>IF($A1176="",0,IF(COUNTIF($A$2:$A1176,$A1176)=1,1,0))</f>
        <v>0</v>
      </c>
      <c r="AD1176">
        <f t="shared" si="286"/>
        <v>10</v>
      </c>
      <c r="AE1176" t="str">
        <f t="shared" si="287"/>
        <v>长沙雨花亭项目|期末实际出租面积（平方米）</v>
      </c>
    </row>
    <row r="1177" spans="1:31" x14ac:dyDescent="0.4">
      <c r="A1177" t="str">
        <f>IF(原始经营数据!$D1178="","",原始经营数据!$D1178)</f>
        <v>华夏凯德消费封闭式基础设施证券投资基金</v>
      </c>
      <c r="B1177" t="str">
        <f>IF(原始经营数据!$D1178="","",T(原始经营数据!$E1178))</f>
        <v>长沙雨花亭项目</v>
      </c>
      <c r="C1177" t="str">
        <f>IF(原始经营数据!$D1178="","",原始经营数据!$F1178)</f>
        <v>2025Q4</v>
      </c>
      <c r="D1177" t="str">
        <f>IF(原始经营数据!$D1178="","",原始经营数据!$H1178)</f>
        <v>期末出租率</v>
      </c>
      <c r="E1177">
        <f>IF(原始经营数据!$D1178="","",原始经营数据!$I1178)</f>
        <v>98.64</v>
      </c>
      <c r="F1177" t="str">
        <f>IF(原始经营数据!$D1178="","",T(原始经营数据!$J1178))</f>
        <v>%</v>
      </c>
      <c r="G1177" t="str">
        <f>IF(原始经营数据!$D1178="","",T(原始经营数据!$K1178))</f>
        <v/>
      </c>
      <c r="H1177" t="str">
        <f>IF(原始经营数据!$D1178="","",原始经营数据!$G1178)</f>
        <v>服务效率</v>
      </c>
      <c r="I1177" t="str">
        <f>IF($A1177="","",IF($B1177&lt;&gt;"",$B1177,IF(COUNTIFS(原始经营数据!$D$3:$D$3001,$A1177,原始经营数据!$E$3:$E$3001,"",原始经营数据!$F$3:$F$3001,$C1177,原始经营数据!$H$3:$H$3001,$D1177,原始经营数据!$K$3:$K$3001,$G1177)&gt;1,"基金整体·来源"&amp;原始经营数据!$A1178,"基金整体")))</f>
        <v>长沙雨花亭项目</v>
      </c>
      <c r="J1177" t="str">
        <f t="shared" si="273"/>
        <v>季度</v>
      </c>
      <c r="K1177" t="str">
        <f t="shared" si="274"/>
        <v>期末出租率（%）</v>
      </c>
      <c r="L1177" t="str">
        <f t="shared" si="275"/>
        <v>长沙雨花亭项目|期末出租率（%）|季度</v>
      </c>
      <c r="M1177">
        <f>IF($A1177="",0,IF(COUNTIF($L$2:$L1177,$L1177)=1,1,0))</f>
        <v>1</v>
      </c>
      <c r="N1177">
        <f t="shared" si="276"/>
        <v>20254</v>
      </c>
      <c r="O1177" t="str">
        <f t="shared" si="277"/>
        <v>华夏凯德消费封闭式基础设施证券投资基金|2025Q4|季度</v>
      </c>
      <c r="P1177">
        <f>IF($A1177="",0,IF(COUNTIF($O$2:$O1177,$O1177)=1,1,0))</f>
        <v>0</v>
      </c>
      <c r="Q1177" t="str">
        <f>IF(AND($P1177=1,$A1177=经营数据!$B$3,$J1177=经营数据!$BA$5),COUNTIFS($P$2:$P$3000,1,$A$2:$A$3000,$A1177,$J$2:$J$3000,$J1177,$N$2:$N$3000,"&lt;"&amp;$N1177)+1,"")</f>
        <v/>
      </c>
      <c r="R1177" t="str">
        <f t="shared" si="278"/>
        <v>华夏凯德消费封闭式基础设施证券投资基金|长沙雨花亭项目</v>
      </c>
      <c r="S1177">
        <f>IF($A1177="",0,IF(COUNTIF($R$2:$R1177,$R1177)=1,1,0))</f>
        <v>0</v>
      </c>
      <c r="T1177">
        <f t="shared" si="279"/>
        <v>1120</v>
      </c>
      <c r="U1177" t="str">
        <f>IF($A1177="","",IF($A1177=经营数据!$B$3,COUNTIFS($S$2:$S$3000,1,$A$2:$A$3000,$A1177,$T$2:$T$3000,"&lt;"&amp;$T1177)+1,""))</f>
        <v/>
      </c>
      <c r="V1177" t="str">
        <f t="shared" si="280"/>
        <v>长沙雨花亭项目|服务效率</v>
      </c>
      <c r="W1177">
        <f t="shared" si="281"/>
        <v>1127</v>
      </c>
      <c r="X1177" t="str">
        <f t="shared" si="282"/>
        <v>长沙雨花亭项目|期末出租率</v>
      </c>
      <c r="Y1177">
        <f t="shared" si="283"/>
        <v>1176</v>
      </c>
      <c r="Z1177">
        <f>IF($A1177="",0,IF(AND($M1177=1,$A1177=经营数据!$B$3,$J1177=经营数据!$BA$5,OR($I1177=经营数据!$BA$4,COUNTIF(经营数据!$AA$9:$AA$38,$I1177)&gt;0)),1,0))</f>
        <v>0</v>
      </c>
      <c r="AA1177" t="str">
        <f t="shared" si="284"/>
        <v/>
      </c>
      <c r="AB1177" t="str">
        <f t="shared" si="285"/>
        <v/>
      </c>
      <c r="AC1177">
        <f>IF($A1177="",0,IF(COUNTIF($A$2:$A1177,$A1177)=1,1,0))</f>
        <v>0</v>
      </c>
      <c r="AD1177">
        <f t="shared" si="286"/>
        <v>10</v>
      </c>
      <c r="AE1177" t="str">
        <f t="shared" si="287"/>
        <v>长沙雨花亭项目|期末出租率（%）</v>
      </c>
    </row>
    <row r="1178" spans="1:31" x14ac:dyDescent="0.4">
      <c r="A1178" t="str">
        <f>IF(原始经营数据!$D1179="","",原始经营数据!$D1179)</f>
        <v>华夏凯德消费封闭式基础设施证券投资基金</v>
      </c>
      <c r="B1178" t="str">
        <f>IF(原始经营数据!$D1179="","",T(原始经营数据!$E1179))</f>
        <v>长沙雨花亭项目</v>
      </c>
      <c r="C1178" t="str">
        <f>IF(原始经营数据!$D1179="","",原始经营数据!$F1179)</f>
        <v>2025Q4</v>
      </c>
      <c r="D1178" t="str">
        <f>IF(原始经营数据!$D1179="","",原始经营数据!$H1179)</f>
        <v>期内租金单价水平</v>
      </c>
      <c r="E1178">
        <f>IF(原始经营数据!$D1179="","",原始经营数据!$I1179)</f>
        <v>155.58000000000001</v>
      </c>
      <c r="F1178" t="str">
        <f>IF(原始经营数据!$D1179="","",T(原始经营数据!$J1179))</f>
        <v>元/平方米/月</v>
      </c>
      <c r="G1178" t="str">
        <f>IF(原始经营数据!$D1179="","",T(原始经营数据!$K1179))</f>
        <v/>
      </c>
      <c r="H1178" t="str">
        <f>IF(原始经营数据!$D1179="","",原始经营数据!$G1179)</f>
        <v>服务价格</v>
      </c>
      <c r="I1178" t="str">
        <f>IF($A1178="","",IF($B1178&lt;&gt;"",$B1178,IF(COUNTIFS(原始经营数据!$D$3:$D$3001,$A1178,原始经营数据!$E$3:$E$3001,"",原始经营数据!$F$3:$F$3001,$C1178,原始经营数据!$H$3:$H$3001,$D1178,原始经营数据!$K$3:$K$3001,$G1178)&gt;1,"基金整体·来源"&amp;原始经营数据!$A1179,"基金整体")))</f>
        <v>长沙雨花亭项目</v>
      </c>
      <c r="J1178" t="str">
        <f t="shared" si="273"/>
        <v>季度</v>
      </c>
      <c r="K1178" t="str">
        <f t="shared" si="274"/>
        <v>期内租金单价水平（元/平方米/月）</v>
      </c>
      <c r="L1178" t="str">
        <f t="shared" si="275"/>
        <v>长沙雨花亭项目|期内租金单价水平（元/平方米/月）|季度</v>
      </c>
      <c r="M1178">
        <f>IF($A1178="",0,IF(COUNTIF($L$2:$L1178,$L1178)=1,1,0))</f>
        <v>1</v>
      </c>
      <c r="N1178">
        <f t="shared" si="276"/>
        <v>20254</v>
      </c>
      <c r="O1178" t="str">
        <f t="shared" si="277"/>
        <v>华夏凯德消费封闭式基础设施证券投资基金|2025Q4|季度</v>
      </c>
      <c r="P1178">
        <f>IF($A1178="",0,IF(COUNTIF($O$2:$O1178,$O1178)=1,1,0))</f>
        <v>0</v>
      </c>
      <c r="Q1178" t="str">
        <f>IF(AND($P1178=1,$A1178=经营数据!$B$3,$J1178=经营数据!$BA$5),COUNTIFS($P$2:$P$3000,1,$A$2:$A$3000,$A1178,$J$2:$J$3000,$J1178,$N$2:$N$3000,"&lt;"&amp;$N1178)+1,"")</f>
        <v/>
      </c>
      <c r="R1178" t="str">
        <f t="shared" si="278"/>
        <v>华夏凯德消费封闭式基础设施证券投资基金|长沙雨花亭项目</v>
      </c>
      <c r="S1178">
        <f>IF($A1178="",0,IF(COUNTIF($R$2:$R1178,$R1178)=1,1,0))</f>
        <v>0</v>
      </c>
      <c r="T1178">
        <f t="shared" si="279"/>
        <v>1120</v>
      </c>
      <c r="U1178" t="str">
        <f>IF($A1178="","",IF($A1178=经营数据!$B$3,COUNTIFS($S$2:$S$3000,1,$A$2:$A$3000,$A1178,$T$2:$T$3000,"&lt;"&amp;$T1178)+1,""))</f>
        <v/>
      </c>
      <c r="V1178" t="str">
        <f t="shared" si="280"/>
        <v>长沙雨花亭项目|服务价格</v>
      </c>
      <c r="W1178">
        <f t="shared" si="281"/>
        <v>1128</v>
      </c>
      <c r="X1178" t="str">
        <f t="shared" si="282"/>
        <v>长沙雨花亭项目|期内租金单价水平</v>
      </c>
      <c r="Y1178">
        <f t="shared" si="283"/>
        <v>1177</v>
      </c>
      <c r="Z1178">
        <f>IF($A1178="",0,IF(AND($M1178=1,$A1178=经营数据!$B$3,$J1178=经营数据!$BA$5,OR($I1178=经营数据!$BA$4,COUNTIF(经营数据!$AA$9:$AA$38,$I1178)&gt;0)),1,0))</f>
        <v>0</v>
      </c>
      <c r="AA1178" t="str">
        <f t="shared" si="284"/>
        <v/>
      </c>
      <c r="AB1178" t="str">
        <f t="shared" si="285"/>
        <v/>
      </c>
      <c r="AC1178">
        <f>IF($A1178="",0,IF(COUNTIF($A$2:$A1178,$A1178)=1,1,0))</f>
        <v>0</v>
      </c>
      <c r="AD1178">
        <f t="shared" si="286"/>
        <v>10</v>
      </c>
      <c r="AE1178" t="str">
        <f t="shared" si="287"/>
        <v>长沙雨花亭项目|期内租金单价水平（元/平方米/月）</v>
      </c>
    </row>
    <row r="1179" spans="1:31" x14ac:dyDescent="0.4">
      <c r="A1179" t="str">
        <f>IF(原始经营数据!$D1180="","",原始经营数据!$D1180)</f>
        <v>华夏凯德消费封闭式基础设施证券投资基金</v>
      </c>
      <c r="B1179" t="str">
        <f>IF(原始经营数据!$D1180="","",T(原始经营数据!$E1180))</f>
        <v>长沙雨花亭项目</v>
      </c>
      <c r="C1179" t="str">
        <f>IF(原始经营数据!$D1180="","",原始经营数据!$F1180)</f>
        <v>2025Q4</v>
      </c>
      <c r="D1179" t="str">
        <f>IF(原始经营数据!$D1180="","",原始经营数据!$H1180)</f>
        <v>期末剩余租期情况</v>
      </c>
      <c r="E1179">
        <f>IF(原始经营数据!$D1180="","",原始经营数据!$I1180)</f>
        <v>4.0999999999999996</v>
      </c>
      <c r="F1179" t="str">
        <f>IF(原始经营数据!$D1180="","",T(原始经营数据!$J1180))</f>
        <v>年</v>
      </c>
      <c r="G1179" t="str">
        <f>IF(原始经营数据!$D1180="","",T(原始经营数据!$K1180))</f>
        <v/>
      </c>
      <c r="H1179" t="str">
        <f>IF(原始经营数据!$D1180="","",原始经营数据!$G1180)</f>
        <v>服务量</v>
      </c>
      <c r="I1179" t="str">
        <f>IF($A1179="","",IF($B1179&lt;&gt;"",$B1179,IF(COUNTIFS(原始经营数据!$D$3:$D$3001,$A1179,原始经营数据!$E$3:$E$3001,"",原始经营数据!$F$3:$F$3001,$C1179,原始经营数据!$H$3:$H$3001,$D1179,原始经营数据!$K$3:$K$3001,$G1179)&gt;1,"基金整体·来源"&amp;原始经营数据!$A1180,"基金整体")))</f>
        <v>长沙雨花亭项目</v>
      </c>
      <c r="J1179" t="str">
        <f t="shared" si="273"/>
        <v>季度</v>
      </c>
      <c r="K1179" t="str">
        <f t="shared" si="274"/>
        <v>期末剩余租期情况（年）</v>
      </c>
      <c r="L1179" t="str">
        <f t="shared" si="275"/>
        <v>长沙雨花亭项目|期末剩余租期情况（年）|季度</v>
      </c>
      <c r="M1179">
        <f>IF($A1179="",0,IF(COUNTIF($L$2:$L1179,$L1179)=1,1,0))</f>
        <v>1</v>
      </c>
      <c r="N1179">
        <f t="shared" si="276"/>
        <v>20254</v>
      </c>
      <c r="O1179" t="str">
        <f t="shared" si="277"/>
        <v>华夏凯德消费封闭式基础设施证券投资基金|2025Q4|季度</v>
      </c>
      <c r="P1179">
        <f>IF($A1179="",0,IF(COUNTIF($O$2:$O1179,$O1179)=1,1,0))</f>
        <v>0</v>
      </c>
      <c r="Q1179" t="str">
        <f>IF(AND($P1179=1,$A1179=经营数据!$B$3,$J1179=经营数据!$BA$5),COUNTIFS($P$2:$P$3000,1,$A$2:$A$3000,$A1179,$J$2:$J$3000,$J1179,$N$2:$N$3000,"&lt;"&amp;$N1179)+1,"")</f>
        <v/>
      </c>
      <c r="R1179" t="str">
        <f t="shared" si="278"/>
        <v>华夏凯德消费封闭式基础设施证券投资基金|长沙雨花亭项目</v>
      </c>
      <c r="S1179">
        <f>IF($A1179="",0,IF(COUNTIF($R$2:$R1179,$R1179)=1,1,0))</f>
        <v>0</v>
      </c>
      <c r="T1179">
        <f t="shared" si="279"/>
        <v>1120</v>
      </c>
      <c r="U1179" t="str">
        <f>IF($A1179="","",IF($A1179=经营数据!$B$3,COUNTIFS($S$2:$S$3000,1,$A$2:$A$3000,$A1179,$T$2:$T$3000,"&lt;"&amp;$T1179)+1,""))</f>
        <v/>
      </c>
      <c r="V1179" t="str">
        <f t="shared" si="280"/>
        <v>长沙雨花亭项目|服务量</v>
      </c>
      <c r="W1179">
        <f t="shared" si="281"/>
        <v>1124</v>
      </c>
      <c r="X1179" t="str">
        <f t="shared" si="282"/>
        <v>长沙雨花亭项目|期末剩余租期情况</v>
      </c>
      <c r="Y1179">
        <f t="shared" si="283"/>
        <v>1178</v>
      </c>
      <c r="Z1179">
        <f>IF($A1179="",0,IF(AND($M1179=1,$A1179=经营数据!$B$3,$J1179=经营数据!$BA$5,OR($I1179=经营数据!$BA$4,COUNTIF(经营数据!$AA$9:$AA$38,$I1179)&gt;0)),1,0))</f>
        <v>0</v>
      </c>
      <c r="AA1179" t="str">
        <f t="shared" si="284"/>
        <v/>
      </c>
      <c r="AB1179" t="str">
        <f t="shared" si="285"/>
        <v/>
      </c>
      <c r="AC1179">
        <f>IF($A1179="",0,IF(COUNTIF($A$2:$A1179,$A1179)=1,1,0))</f>
        <v>0</v>
      </c>
      <c r="AD1179">
        <f t="shared" si="286"/>
        <v>10</v>
      </c>
      <c r="AE1179" t="str">
        <f t="shared" si="287"/>
        <v>长沙雨花亭项目|期末剩余租期情况（年）</v>
      </c>
    </row>
    <row r="1180" spans="1:31" x14ac:dyDescent="0.4">
      <c r="A1180" t="str">
        <f>IF(原始经营数据!$D1181="","",原始经营数据!$D1181)</f>
        <v>华夏凯德消费封闭式基础设施证券投资基金</v>
      </c>
      <c r="B1180" t="str">
        <f>IF(原始经营数据!$D1181="","",T(原始经营数据!$E1181))</f>
        <v>长沙雨花亭项目</v>
      </c>
      <c r="C1180" t="str">
        <f>IF(原始经营数据!$D1181="","",原始经营数据!$F1181)</f>
        <v>2025Q4</v>
      </c>
      <c r="D1180" t="str">
        <f>IF(原始经营数据!$D1181="","",原始经营数据!$H1181)</f>
        <v>期末租金收缴率</v>
      </c>
      <c r="E1180">
        <f>IF(原始经营数据!$D1181="","",原始经营数据!$I1181)</f>
        <v>99.19</v>
      </c>
      <c r="F1180" t="str">
        <f>IF(原始经营数据!$D1181="","",T(原始经营数据!$J1181))</f>
        <v>%</v>
      </c>
      <c r="G1180" t="str">
        <f>IF(原始经营数据!$D1181="","",T(原始经营数据!$K1181))</f>
        <v/>
      </c>
      <c r="H1180" t="str">
        <f>IF(原始经营数据!$D1181="","",原始经营数据!$G1181)</f>
        <v>服务效率</v>
      </c>
      <c r="I1180" t="str">
        <f>IF($A1180="","",IF($B1180&lt;&gt;"",$B1180,IF(COUNTIFS(原始经营数据!$D$3:$D$3001,$A1180,原始经营数据!$E$3:$E$3001,"",原始经营数据!$F$3:$F$3001,$C1180,原始经营数据!$H$3:$H$3001,$D1180,原始经营数据!$K$3:$K$3001,$G1180)&gt;1,"基金整体·来源"&amp;原始经营数据!$A1181,"基金整体")))</f>
        <v>长沙雨花亭项目</v>
      </c>
      <c r="J1180" t="str">
        <f t="shared" si="273"/>
        <v>季度</v>
      </c>
      <c r="K1180" t="str">
        <f t="shared" si="274"/>
        <v>期末租金收缴率（%）</v>
      </c>
      <c r="L1180" t="str">
        <f t="shared" si="275"/>
        <v>长沙雨花亭项目|期末租金收缴率（%）|季度</v>
      </c>
      <c r="M1180">
        <f>IF($A1180="",0,IF(COUNTIF($L$2:$L1180,$L1180)=1,1,0))</f>
        <v>1</v>
      </c>
      <c r="N1180">
        <f t="shared" si="276"/>
        <v>20254</v>
      </c>
      <c r="O1180" t="str">
        <f t="shared" si="277"/>
        <v>华夏凯德消费封闭式基础设施证券投资基金|2025Q4|季度</v>
      </c>
      <c r="P1180">
        <f>IF($A1180="",0,IF(COUNTIF($O$2:$O1180,$O1180)=1,1,0))</f>
        <v>0</v>
      </c>
      <c r="Q1180" t="str">
        <f>IF(AND($P1180=1,$A1180=经营数据!$B$3,$J1180=经营数据!$BA$5),COUNTIFS($P$2:$P$3000,1,$A$2:$A$3000,$A1180,$J$2:$J$3000,$J1180,$N$2:$N$3000,"&lt;"&amp;$N1180)+1,"")</f>
        <v/>
      </c>
      <c r="R1180" t="str">
        <f t="shared" si="278"/>
        <v>华夏凯德消费封闭式基础设施证券投资基金|长沙雨花亭项目</v>
      </c>
      <c r="S1180">
        <f>IF($A1180="",0,IF(COUNTIF($R$2:$R1180,$R1180)=1,1,0))</f>
        <v>0</v>
      </c>
      <c r="T1180">
        <f t="shared" si="279"/>
        <v>1120</v>
      </c>
      <c r="U1180" t="str">
        <f>IF($A1180="","",IF($A1180=经营数据!$B$3,COUNTIFS($S$2:$S$3000,1,$A$2:$A$3000,$A1180,$T$2:$T$3000,"&lt;"&amp;$T1180)+1,""))</f>
        <v/>
      </c>
      <c r="V1180" t="str">
        <f t="shared" si="280"/>
        <v>长沙雨花亭项目|服务效率</v>
      </c>
      <c r="W1180">
        <f t="shared" si="281"/>
        <v>1127</v>
      </c>
      <c r="X1180" t="str">
        <f t="shared" si="282"/>
        <v>长沙雨花亭项目|期末租金收缴率</v>
      </c>
      <c r="Y1180">
        <f t="shared" si="283"/>
        <v>1179</v>
      </c>
      <c r="Z1180">
        <f>IF($A1180="",0,IF(AND($M1180=1,$A1180=经营数据!$B$3,$J1180=经营数据!$BA$5,OR($I1180=经营数据!$BA$4,COUNTIF(经营数据!$AA$9:$AA$38,$I1180)&gt;0)),1,0))</f>
        <v>0</v>
      </c>
      <c r="AA1180" t="str">
        <f t="shared" si="284"/>
        <v/>
      </c>
      <c r="AB1180" t="str">
        <f t="shared" si="285"/>
        <v/>
      </c>
      <c r="AC1180">
        <f>IF($A1180="",0,IF(COUNTIF($A$2:$A1180,$A1180)=1,1,0))</f>
        <v>0</v>
      </c>
      <c r="AD1180">
        <f t="shared" si="286"/>
        <v>10</v>
      </c>
      <c r="AE1180" t="str">
        <f t="shared" si="287"/>
        <v>长沙雨花亭项目|期末租金收缴率（%）</v>
      </c>
    </row>
    <row r="1181" spans="1:31" x14ac:dyDescent="0.4">
      <c r="A1181" t="str">
        <f>IF(原始经营数据!$D1182="","",原始经营数据!$D1182)</f>
        <v>华夏凯德消费封闭式基础设施证券投资基金</v>
      </c>
      <c r="B1181" t="str">
        <f>IF(原始经营数据!$D1182="","",T(原始经营数据!$E1182))</f>
        <v>长沙雨花亭项目</v>
      </c>
      <c r="C1181" t="str">
        <f>IF(原始经营数据!$D1182="","",原始经营数据!$F1182)</f>
        <v>2026Q1</v>
      </c>
      <c r="D1181" t="str">
        <f>IF(原始经营数据!$D1182="","",原始经营数据!$H1182)</f>
        <v>期末可供出租面积</v>
      </c>
      <c r="E1181">
        <f>IF(原始经营数据!$D1182="","",原始经营数据!$I1182)</f>
        <v>43216.26</v>
      </c>
      <c r="F1181" t="str">
        <f>IF(原始经营数据!$D1182="","",T(原始经营数据!$J1182))</f>
        <v>平方米</v>
      </c>
      <c r="G1181" t="str">
        <f>IF(原始经营数据!$D1182="","",T(原始经营数据!$K1182))</f>
        <v/>
      </c>
      <c r="H1181" t="str">
        <f>IF(原始经营数据!$D1182="","",原始经营数据!$G1182)</f>
        <v>服务量</v>
      </c>
      <c r="I1181" t="str">
        <f>IF($A1181="","",IF($B1181&lt;&gt;"",$B1181,IF(COUNTIFS(原始经营数据!$D$3:$D$3001,$A1181,原始经营数据!$E$3:$E$3001,"",原始经营数据!$F$3:$F$3001,$C1181,原始经营数据!$H$3:$H$3001,$D1181,原始经营数据!$K$3:$K$3001,$G1181)&gt;1,"基金整体·来源"&amp;原始经营数据!$A1182,"基金整体")))</f>
        <v>长沙雨花亭项目</v>
      </c>
      <c r="J1181" t="str">
        <f t="shared" si="273"/>
        <v>季度</v>
      </c>
      <c r="K1181" t="str">
        <f t="shared" si="274"/>
        <v>期末可供出租面积（平方米）</v>
      </c>
      <c r="L1181" t="str">
        <f t="shared" si="275"/>
        <v>长沙雨花亭项目|期末可供出租面积（平方米）|季度</v>
      </c>
      <c r="M1181">
        <f>IF($A1181="",0,IF(COUNTIF($L$2:$L1181,$L1181)=1,1,0))</f>
        <v>0</v>
      </c>
      <c r="N1181">
        <f t="shared" si="276"/>
        <v>20261</v>
      </c>
      <c r="O1181" t="str">
        <f t="shared" si="277"/>
        <v>华夏凯德消费封闭式基础设施证券投资基金|2026Q1|季度</v>
      </c>
      <c r="P1181">
        <f>IF($A1181="",0,IF(COUNTIF($O$2:$O1181,$O1181)=1,1,0))</f>
        <v>0</v>
      </c>
      <c r="Q1181" t="str">
        <f>IF(AND($P1181=1,$A1181=经营数据!$B$3,$J1181=经营数据!$BA$5),COUNTIFS($P$2:$P$3000,1,$A$2:$A$3000,$A1181,$J$2:$J$3000,$J1181,$N$2:$N$3000,"&lt;"&amp;$N1181)+1,"")</f>
        <v/>
      </c>
      <c r="R1181" t="str">
        <f t="shared" si="278"/>
        <v>华夏凯德消费封闭式基础设施证券投资基金|长沙雨花亭项目</v>
      </c>
      <c r="S1181">
        <f>IF($A1181="",0,IF(COUNTIF($R$2:$R1181,$R1181)=1,1,0))</f>
        <v>0</v>
      </c>
      <c r="T1181">
        <f t="shared" si="279"/>
        <v>1120</v>
      </c>
      <c r="U1181" t="str">
        <f>IF($A1181="","",IF($A1181=经营数据!$B$3,COUNTIFS($S$2:$S$3000,1,$A$2:$A$3000,$A1181,$T$2:$T$3000,"&lt;"&amp;$T1181)+1,""))</f>
        <v/>
      </c>
      <c r="V1181" t="str">
        <f t="shared" si="280"/>
        <v>长沙雨花亭项目|服务量</v>
      </c>
      <c r="W1181">
        <f t="shared" si="281"/>
        <v>1124</v>
      </c>
      <c r="X1181" t="str">
        <f t="shared" si="282"/>
        <v>长沙雨花亭项目|期末可供出租面积</v>
      </c>
      <c r="Y1181">
        <f t="shared" si="283"/>
        <v>1174</v>
      </c>
      <c r="Z1181">
        <f>IF($A1181="",0,IF(AND($M1181=1,$A1181=经营数据!$B$3,$J1181=经营数据!$BA$5,OR($I1181=经营数据!$BA$4,COUNTIF(经营数据!$AA$9:$AA$38,$I1181)&gt;0)),1,0))</f>
        <v>0</v>
      </c>
      <c r="AA1181" t="str">
        <f t="shared" si="284"/>
        <v/>
      </c>
      <c r="AB1181" t="str">
        <f t="shared" si="285"/>
        <v/>
      </c>
      <c r="AC1181">
        <f>IF($A1181="",0,IF(COUNTIF($A$2:$A1181,$A1181)=1,1,0))</f>
        <v>0</v>
      </c>
      <c r="AD1181">
        <f t="shared" si="286"/>
        <v>10</v>
      </c>
      <c r="AE1181" t="str">
        <f t="shared" si="287"/>
        <v>长沙雨花亭项目|期末可供出租面积（平方米）</v>
      </c>
    </row>
    <row r="1182" spans="1:31" x14ac:dyDescent="0.4">
      <c r="A1182" t="str">
        <f>IF(原始经营数据!$D1183="","",原始经营数据!$D1183)</f>
        <v>华夏凯德消费封闭式基础设施证券投资基金</v>
      </c>
      <c r="B1182" t="str">
        <f>IF(原始经营数据!$D1183="","",T(原始经营数据!$E1183))</f>
        <v>长沙雨花亭项目</v>
      </c>
      <c r="C1182" t="str">
        <f>IF(原始经营数据!$D1183="","",原始经营数据!$F1183)</f>
        <v>2026Q1</v>
      </c>
      <c r="D1182" t="str">
        <f>IF(原始经营数据!$D1183="","",原始经营数据!$H1183)</f>
        <v>期末实际出租面积</v>
      </c>
      <c r="E1182">
        <f>IF(原始经营数据!$D1183="","",原始经营数据!$I1183)</f>
        <v>42792.41</v>
      </c>
      <c r="F1182" t="str">
        <f>IF(原始经营数据!$D1183="","",T(原始经营数据!$J1183))</f>
        <v>平方米</v>
      </c>
      <c r="G1182" t="str">
        <f>IF(原始经营数据!$D1183="","",T(原始经营数据!$K1183))</f>
        <v/>
      </c>
      <c r="H1182" t="str">
        <f>IF(原始经营数据!$D1183="","",原始经营数据!$G1183)</f>
        <v>服务量</v>
      </c>
      <c r="I1182" t="str">
        <f>IF($A1182="","",IF($B1182&lt;&gt;"",$B1182,IF(COUNTIFS(原始经营数据!$D$3:$D$3001,$A1182,原始经营数据!$E$3:$E$3001,"",原始经营数据!$F$3:$F$3001,$C1182,原始经营数据!$H$3:$H$3001,$D1182,原始经营数据!$K$3:$K$3001,$G1182)&gt;1,"基金整体·来源"&amp;原始经营数据!$A1183,"基金整体")))</f>
        <v>长沙雨花亭项目</v>
      </c>
      <c r="J1182" t="str">
        <f t="shared" si="273"/>
        <v>季度</v>
      </c>
      <c r="K1182" t="str">
        <f t="shared" si="274"/>
        <v>期末实际出租面积（平方米）</v>
      </c>
      <c r="L1182" t="str">
        <f t="shared" si="275"/>
        <v>长沙雨花亭项目|期末实际出租面积（平方米）|季度</v>
      </c>
      <c r="M1182">
        <f>IF($A1182="",0,IF(COUNTIF($L$2:$L1182,$L1182)=1,1,0))</f>
        <v>0</v>
      </c>
      <c r="N1182">
        <f t="shared" si="276"/>
        <v>20261</v>
      </c>
      <c r="O1182" t="str">
        <f t="shared" si="277"/>
        <v>华夏凯德消费封闭式基础设施证券投资基金|2026Q1|季度</v>
      </c>
      <c r="P1182">
        <f>IF($A1182="",0,IF(COUNTIF($O$2:$O1182,$O1182)=1,1,0))</f>
        <v>0</v>
      </c>
      <c r="Q1182" t="str">
        <f>IF(AND($P1182=1,$A1182=经营数据!$B$3,$J1182=经营数据!$BA$5),COUNTIFS($P$2:$P$3000,1,$A$2:$A$3000,$A1182,$J$2:$J$3000,$J1182,$N$2:$N$3000,"&lt;"&amp;$N1182)+1,"")</f>
        <v/>
      </c>
      <c r="R1182" t="str">
        <f t="shared" si="278"/>
        <v>华夏凯德消费封闭式基础设施证券投资基金|长沙雨花亭项目</v>
      </c>
      <c r="S1182">
        <f>IF($A1182="",0,IF(COUNTIF($R$2:$R1182,$R1182)=1,1,0))</f>
        <v>0</v>
      </c>
      <c r="T1182">
        <f t="shared" si="279"/>
        <v>1120</v>
      </c>
      <c r="U1182" t="str">
        <f>IF($A1182="","",IF($A1182=经营数据!$B$3,COUNTIFS($S$2:$S$3000,1,$A$2:$A$3000,$A1182,$T$2:$T$3000,"&lt;"&amp;$T1182)+1,""))</f>
        <v/>
      </c>
      <c r="V1182" t="str">
        <f t="shared" si="280"/>
        <v>长沙雨花亭项目|服务量</v>
      </c>
      <c r="W1182">
        <f t="shared" si="281"/>
        <v>1124</v>
      </c>
      <c r="X1182" t="str">
        <f t="shared" si="282"/>
        <v>长沙雨花亭项目|期末实际出租面积</v>
      </c>
      <c r="Y1182">
        <f t="shared" si="283"/>
        <v>1175</v>
      </c>
      <c r="Z1182">
        <f>IF($A1182="",0,IF(AND($M1182=1,$A1182=经营数据!$B$3,$J1182=经营数据!$BA$5,OR($I1182=经营数据!$BA$4,COUNTIF(经营数据!$AA$9:$AA$38,$I1182)&gt;0)),1,0))</f>
        <v>0</v>
      </c>
      <c r="AA1182" t="str">
        <f t="shared" si="284"/>
        <v/>
      </c>
      <c r="AB1182" t="str">
        <f t="shared" si="285"/>
        <v/>
      </c>
      <c r="AC1182">
        <f>IF($A1182="",0,IF(COUNTIF($A$2:$A1182,$A1182)=1,1,0))</f>
        <v>0</v>
      </c>
      <c r="AD1182">
        <f t="shared" si="286"/>
        <v>10</v>
      </c>
      <c r="AE1182" t="str">
        <f t="shared" si="287"/>
        <v>长沙雨花亭项目|期末实际出租面积（平方米）</v>
      </c>
    </row>
    <row r="1183" spans="1:31" x14ac:dyDescent="0.4">
      <c r="A1183" t="str">
        <f>IF(原始经营数据!$D1184="","",原始经营数据!$D1184)</f>
        <v>华夏凯德消费封闭式基础设施证券投资基金</v>
      </c>
      <c r="B1183" t="str">
        <f>IF(原始经营数据!$D1184="","",T(原始经营数据!$E1184))</f>
        <v>长沙雨花亭项目</v>
      </c>
      <c r="C1183" t="str">
        <f>IF(原始经营数据!$D1184="","",原始经营数据!$F1184)</f>
        <v>2026Q1</v>
      </c>
      <c r="D1183" t="str">
        <f>IF(原始经营数据!$D1184="","",原始经营数据!$H1184)</f>
        <v>期末出租率</v>
      </c>
      <c r="E1183">
        <f>IF(原始经营数据!$D1184="","",原始经营数据!$I1184)</f>
        <v>99.02</v>
      </c>
      <c r="F1183" t="str">
        <f>IF(原始经营数据!$D1184="","",T(原始经营数据!$J1184))</f>
        <v>%</v>
      </c>
      <c r="G1183" t="str">
        <f>IF(原始经营数据!$D1184="","",T(原始经营数据!$K1184))</f>
        <v/>
      </c>
      <c r="H1183" t="str">
        <f>IF(原始经营数据!$D1184="","",原始经营数据!$G1184)</f>
        <v>服务效率</v>
      </c>
      <c r="I1183" t="str">
        <f>IF($A1183="","",IF($B1183&lt;&gt;"",$B1183,IF(COUNTIFS(原始经营数据!$D$3:$D$3001,$A1183,原始经营数据!$E$3:$E$3001,"",原始经营数据!$F$3:$F$3001,$C1183,原始经营数据!$H$3:$H$3001,$D1183,原始经营数据!$K$3:$K$3001,$G1183)&gt;1,"基金整体·来源"&amp;原始经营数据!$A1184,"基金整体")))</f>
        <v>长沙雨花亭项目</v>
      </c>
      <c r="J1183" t="str">
        <f t="shared" si="273"/>
        <v>季度</v>
      </c>
      <c r="K1183" t="str">
        <f t="shared" si="274"/>
        <v>期末出租率（%）</v>
      </c>
      <c r="L1183" t="str">
        <f t="shared" si="275"/>
        <v>长沙雨花亭项目|期末出租率（%）|季度</v>
      </c>
      <c r="M1183">
        <f>IF($A1183="",0,IF(COUNTIF($L$2:$L1183,$L1183)=1,1,0))</f>
        <v>0</v>
      </c>
      <c r="N1183">
        <f t="shared" si="276"/>
        <v>20261</v>
      </c>
      <c r="O1183" t="str">
        <f t="shared" si="277"/>
        <v>华夏凯德消费封闭式基础设施证券投资基金|2026Q1|季度</v>
      </c>
      <c r="P1183">
        <f>IF($A1183="",0,IF(COUNTIF($O$2:$O1183,$O1183)=1,1,0))</f>
        <v>0</v>
      </c>
      <c r="Q1183" t="str">
        <f>IF(AND($P1183=1,$A1183=经营数据!$B$3,$J1183=经营数据!$BA$5),COUNTIFS($P$2:$P$3000,1,$A$2:$A$3000,$A1183,$J$2:$J$3000,$J1183,$N$2:$N$3000,"&lt;"&amp;$N1183)+1,"")</f>
        <v/>
      </c>
      <c r="R1183" t="str">
        <f t="shared" si="278"/>
        <v>华夏凯德消费封闭式基础设施证券投资基金|长沙雨花亭项目</v>
      </c>
      <c r="S1183">
        <f>IF($A1183="",0,IF(COUNTIF($R$2:$R1183,$R1183)=1,1,0))</f>
        <v>0</v>
      </c>
      <c r="T1183">
        <f t="shared" si="279"/>
        <v>1120</v>
      </c>
      <c r="U1183" t="str">
        <f>IF($A1183="","",IF($A1183=经营数据!$B$3,COUNTIFS($S$2:$S$3000,1,$A$2:$A$3000,$A1183,$T$2:$T$3000,"&lt;"&amp;$T1183)+1,""))</f>
        <v/>
      </c>
      <c r="V1183" t="str">
        <f t="shared" si="280"/>
        <v>长沙雨花亭项目|服务效率</v>
      </c>
      <c r="W1183">
        <f t="shared" si="281"/>
        <v>1127</v>
      </c>
      <c r="X1183" t="str">
        <f t="shared" si="282"/>
        <v>长沙雨花亭项目|期末出租率</v>
      </c>
      <c r="Y1183">
        <f t="shared" si="283"/>
        <v>1176</v>
      </c>
      <c r="Z1183">
        <f>IF($A1183="",0,IF(AND($M1183=1,$A1183=经营数据!$B$3,$J1183=经营数据!$BA$5,OR($I1183=经营数据!$BA$4,COUNTIF(经营数据!$AA$9:$AA$38,$I1183)&gt;0)),1,0))</f>
        <v>0</v>
      </c>
      <c r="AA1183" t="str">
        <f t="shared" si="284"/>
        <v/>
      </c>
      <c r="AB1183" t="str">
        <f t="shared" si="285"/>
        <v/>
      </c>
      <c r="AC1183">
        <f>IF($A1183="",0,IF(COUNTIF($A$2:$A1183,$A1183)=1,1,0))</f>
        <v>0</v>
      </c>
      <c r="AD1183">
        <f t="shared" si="286"/>
        <v>10</v>
      </c>
      <c r="AE1183" t="str">
        <f t="shared" si="287"/>
        <v>长沙雨花亭项目|期末出租率（%）</v>
      </c>
    </row>
    <row r="1184" spans="1:31" x14ac:dyDescent="0.4">
      <c r="A1184" t="str">
        <f>IF(原始经营数据!$D1185="","",原始经营数据!$D1185)</f>
        <v>华夏凯德消费封闭式基础设施证券投资基金</v>
      </c>
      <c r="B1184" t="str">
        <f>IF(原始经营数据!$D1185="","",T(原始经营数据!$E1185))</f>
        <v>长沙雨花亭项目</v>
      </c>
      <c r="C1184" t="str">
        <f>IF(原始经营数据!$D1185="","",原始经营数据!$F1185)</f>
        <v>2026Q1</v>
      </c>
      <c r="D1184" t="str">
        <f>IF(原始经营数据!$D1185="","",原始经营数据!$H1185)</f>
        <v>期内租金单价水平</v>
      </c>
      <c r="E1184">
        <f>IF(原始经营数据!$D1185="","",原始经营数据!$I1185)</f>
        <v>155.36000000000001</v>
      </c>
      <c r="F1184" t="str">
        <f>IF(原始经营数据!$D1185="","",T(原始经营数据!$J1185))</f>
        <v>元/平方米/月</v>
      </c>
      <c r="G1184" t="str">
        <f>IF(原始经营数据!$D1185="","",T(原始经营数据!$K1185))</f>
        <v/>
      </c>
      <c r="H1184" t="str">
        <f>IF(原始经营数据!$D1185="","",原始经营数据!$G1185)</f>
        <v>服务价格</v>
      </c>
      <c r="I1184" t="str">
        <f>IF($A1184="","",IF($B1184&lt;&gt;"",$B1184,IF(COUNTIFS(原始经营数据!$D$3:$D$3001,$A1184,原始经营数据!$E$3:$E$3001,"",原始经营数据!$F$3:$F$3001,$C1184,原始经营数据!$H$3:$H$3001,$D1184,原始经营数据!$K$3:$K$3001,$G1184)&gt;1,"基金整体·来源"&amp;原始经营数据!$A1185,"基金整体")))</f>
        <v>长沙雨花亭项目</v>
      </c>
      <c r="J1184" t="str">
        <f t="shared" si="273"/>
        <v>季度</v>
      </c>
      <c r="K1184" t="str">
        <f t="shared" si="274"/>
        <v>期内租金单价水平（元/平方米/月）</v>
      </c>
      <c r="L1184" t="str">
        <f t="shared" si="275"/>
        <v>长沙雨花亭项目|期内租金单价水平（元/平方米/月）|季度</v>
      </c>
      <c r="M1184">
        <f>IF($A1184="",0,IF(COUNTIF($L$2:$L1184,$L1184)=1,1,0))</f>
        <v>0</v>
      </c>
      <c r="N1184">
        <f t="shared" si="276"/>
        <v>20261</v>
      </c>
      <c r="O1184" t="str">
        <f t="shared" si="277"/>
        <v>华夏凯德消费封闭式基础设施证券投资基金|2026Q1|季度</v>
      </c>
      <c r="P1184">
        <f>IF($A1184="",0,IF(COUNTIF($O$2:$O1184,$O1184)=1,1,0))</f>
        <v>0</v>
      </c>
      <c r="Q1184" t="str">
        <f>IF(AND($P1184=1,$A1184=经营数据!$B$3,$J1184=经营数据!$BA$5),COUNTIFS($P$2:$P$3000,1,$A$2:$A$3000,$A1184,$J$2:$J$3000,$J1184,$N$2:$N$3000,"&lt;"&amp;$N1184)+1,"")</f>
        <v/>
      </c>
      <c r="R1184" t="str">
        <f t="shared" si="278"/>
        <v>华夏凯德消费封闭式基础设施证券投资基金|长沙雨花亭项目</v>
      </c>
      <c r="S1184">
        <f>IF($A1184="",0,IF(COUNTIF($R$2:$R1184,$R1184)=1,1,0))</f>
        <v>0</v>
      </c>
      <c r="T1184">
        <f t="shared" si="279"/>
        <v>1120</v>
      </c>
      <c r="U1184" t="str">
        <f>IF($A1184="","",IF($A1184=经营数据!$B$3,COUNTIFS($S$2:$S$3000,1,$A$2:$A$3000,$A1184,$T$2:$T$3000,"&lt;"&amp;$T1184)+1,""))</f>
        <v/>
      </c>
      <c r="V1184" t="str">
        <f t="shared" si="280"/>
        <v>长沙雨花亭项目|服务价格</v>
      </c>
      <c r="W1184">
        <f t="shared" si="281"/>
        <v>1128</v>
      </c>
      <c r="X1184" t="str">
        <f t="shared" si="282"/>
        <v>长沙雨花亭项目|期内租金单价水平</v>
      </c>
      <c r="Y1184">
        <f t="shared" si="283"/>
        <v>1177</v>
      </c>
      <c r="Z1184">
        <f>IF($A1184="",0,IF(AND($M1184=1,$A1184=经营数据!$B$3,$J1184=经营数据!$BA$5,OR($I1184=经营数据!$BA$4,COUNTIF(经营数据!$AA$9:$AA$38,$I1184)&gt;0)),1,0))</f>
        <v>0</v>
      </c>
      <c r="AA1184" t="str">
        <f t="shared" si="284"/>
        <v/>
      </c>
      <c r="AB1184" t="str">
        <f t="shared" si="285"/>
        <v/>
      </c>
      <c r="AC1184">
        <f>IF($A1184="",0,IF(COUNTIF($A$2:$A1184,$A1184)=1,1,0))</f>
        <v>0</v>
      </c>
      <c r="AD1184">
        <f t="shared" si="286"/>
        <v>10</v>
      </c>
      <c r="AE1184" t="str">
        <f t="shared" si="287"/>
        <v>长沙雨花亭项目|期内租金单价水平（元/平方米/月）</v>
      </c>
    </row>
    <row r="1185" spans="1:31" x14ac:dyDescent="0.4">
      <c r="A1185" t="str">
        <f>IF(原始经营数据!$D1186="","",原始经营数据!$D1186)</f>
        <v>华夏凯德消费封闭式基础设施证券投资基金</v>
      </c>
      <c r="B1185" t="str">
        <f>IF(原始经营数据!$D1186="","",T(原始经营数据!$E1186))</f>
        <v>长沙雨花亭项目</v>
      </c>
      <c r="C1185" t="str">
        <f>IF(原始经营数据!$D1186="","",原始经营数据!$F1186)</f>
        <v>2026Q1</v>
      </c>
      <c r="D1185" t="str">
        <f>IF(原始经营数据!$D1186="","",原始经营数据!$H1186)</f>
        <v>期末剩余租期情况</v>
      </c>
      <c r="E1185">
        <f>IF(原始经营数据!$D1186="","",原始经营数据!$I1186)</f>
        <v>3.95</v>
      </c>
      <c r="F1185" t="str">
        <f>IF(原始经营数据!$D1186="","",T(原始经营数据!$J1186))</f>
        <v>年</v>
      </c>
      <c r="G1185" t="str">
        <f>IF(原始经营数据!$D1186="","",T(原始经营数据!$K1186))</f>
        <v/>
      </c>
      <c r="H1185" t="str">
        <f>IF(原始经营数据!$D1186="","",原始经营数据!$G1186)</f>
        <v>服务量</v>
      </c>
      <c r="I1185" t="str">
        <f>IF($A1185="","",IF($B1185&lt;&gt;"",$B1185,IF(COUNTIFS(原始经营数据!$D$3:$D$3001,$A1185,原始经营数据!$E$3:$E$3001,"",原始经营数据!$F$3:$F$3001,$C1185,原始经营数据!$H$3:$H$3001,$D1185,原始经营数据!$K$3:$K$3001,$G1185)&gt;1,"基金整体·来源"&amp;原始经营数据!$A1186,"基金整体")))</f>
        <v>长沙雨花亭项目</v>
      </c>
      <c r="J1185" t="str">
        <f t="shared" si="273"/>
        <v>季度</v>
      </c>
      <c r="K1185" t="str">
        <f t="shared" si="274"/>
        <v>期末剩余租期情况（年）</v>
      </c>
      <c r="L1185" t="str">
        <f t="shared" si="275"/>
        <v>长沙雨花亭项目|期末剩余租期情况（年）|季度</v>
      </c>
      <c r="M1185">
        <f>IF($A1185="",0,IF(COUNTIF($L$2:$L1185,$L1185)=1,1,0))</f>
        <v>0</v>
      </c>
      <c r="N1185">
        <f t="shared" si="276"/>
        <v>20261</v>
      </c>
      <c r="O1185" t="str">
        <f t="shared" si="277"/>
        <v>华夏凯德消费封闭式基础设施证券投资基金|2026Q1|季度</v>
      </c>
      <c r="P1185">
        <f>IF($A1185="",0,IF(COUNTIF($O$2:$O1185,$O1185)=1,1,0))</f>
        <v>0</v>
      </c>
      <c r="Q1185" t="str">
        <f>IF(AND($P1185=1,$A1185=经营数据!$B$3,$J1185=经营数据!$BA$5),COUNTIFS($P$2:$P$3000,1,$A$2:$A$3000,$A1185,$J$2:$J$3000,$J1185,$N$2:$N$3000,"&lt;"&amp;$N1185)+1,"")</f>
        <v/>
      </c>
      <c r="R1185" t="str">
        <f t="shared" si="278"/>
        <v>华夏凯德消费封闭式基础设施证券投资基金|长沙雨花亭项目</v>
      </c>
      <c r="S1185">
        <f>IF($A1185="",0,IF(COUNTIF($R$2:$R1185,$R1185)=1,1,0))</f>
        <v>0</v>
      </c>
      <c r="T1185">
        <f t="shared" si="279"/>
        <v>1120</v>
      </c>
      <c r="U1185" t="str">
        <f>IF($A1185="","",IF($A1185=经营数据!$B$3,COUNTIFS($S$2:$S$3000,1,$A$2:$A$3000,$A1185,$T$2:$T$3000,"&lt;"&amp;$T1185)+1,""))</f>
        <v/>
      </c>
      <c r="V1185" t="str">
        <f t="shared" si="280"/>
        <v>长沙雨花亭项目|服务量</v>
      </c>
      <c r="W1185">
        <f t="shared" si="281"/>
        <v>1124</v>
      </c>
      <c r="X1185" t="str">
        <f t="shared" si="282"/>
        <v>长沙雨花亭项目|期末剩余租期情况</v>
      </c>
      <c r="Y1185">
        <f t="shared" si="283"/>
        <v>1178</v>
      </c>
      <c r="Z1185">
        <f>IF($A1185="",0,IF(AND($M1185=1,$A1185=经营数据!$B$3,$J1185=经营数据!$BA$5,OR($I1185=经营数据!$BA$4,COUNTIF(经营数据!$AA$9:$AA$38,$I1185)&gt;0)),1,0))</f>
        <v>0</v>
      </c>
      <c r="AA1185" t="str">
        <f t="shared" si="284"/>
        <v/>
      </c>
      <c r="AB1185" t="str">
        <f t="shared" si="285"/>
        <v/>
      </c>
      <c r="AC1185">
        <f>IF($A1185="",0,IF(COUNTIF($A$2:$A1185,$A1185)=1,1,0))</f>
        <v>0</v>
      </c>
      <c r="AD1185">
        <f t="shared" si="286"/>
        <v>10</v>
      </c>
      <c r="AE1185" t="str">
        <f t="shared" si="287"/>
        <v>长沙雨花亭项目|期末剩余租期情况（年）</v>
      </c>
    </row>
    <row r="1186" spans="1:31" x14ac:dyDescent="0.4">
      <c r="A1186" t="str">
        <f>IF(原始经营数据!$D1187="","",原始经营数据!$D1187)</f>
        <v>华夏凯德消费封闭式基础设施证券投资基金</v>
      </c>
      <c r="B1186" t="str">
        <f>IF(原始经营数据!$D1187="","",T(原始经营数据!$E1187))</f>
        <v>长沙雨花亭项目</v>
      </c>
      <c r="C1186" t="str">
        <f>IF(原始经营数据!$D1187="","",原始经营数据!$F1187)</f>
        <v>2026Q1</v>
      </c>
      <c r="D1186" t="str">
        <f>IF(原始经营数据!$D1187="","",原始经营数据!$H1187)</f>
        <v>期末租金收缴率</v>
      </c>
      <c r="E1186">
        <f>IF(原始经营数据!$D1187="","",原始经营数据!$I1187)</f>
        <v>98.27</v>
      </c>
      <c r="F1186" t="str">
        <f>IF(原始经营数据!$D1187="","",T(原始经营数据!$J1187))</f>
        <v>%</v>
      </c>
      <c r="G1186" t="str">
        <f>IF(原始经营数据!$D1187="","",T(原始经营数据!$K1187))</f>
        <v/>
      </c>
      <c r="H1186" t="str">
        <f>IF(原始经营数据!$D1187="","",原始经营数据!$G1187)</f>
        <v>服务效率</v>
      </c>
      <c r="I1186" t="str">
        <f>IF($A1186="","",IF($B1186&lt;&gt;"",$B1186,IF(COUNTIFS(原始经营数据!$D$3:$D$3001,$A1186,原始经营数据!$E$3:$E$3001,"",原始经营数据!$F$3:$F$3001,$C1186,原始经营数据!$H$3:$H$3001,$D1186,原始经营数据!$K$3:$K$3001,$G1186)&gt;1,"基金整体·来源"&amp;原始经营数据!$A1187,"基金整体")))</f>
        <v>长沙雨花亭项目</v>
      </c>
      <c r="J1186" t="str">
        <f t="shared" si="273"/>
        <v>季度</v>
      </c>
      <c r="K1186" t="str">
        <f t="shared" si="274"/>
        <v>期末租金收缴率（%）</v>
      </c>
      <c r="L1186" t="str">
        <f t="shared" si="275"/>
        <v>长沙雨花亭项目|期末租金收缴率（%）|季度</v>
      </c>
      <c r="M1186">
        <f>IF($A1186="",0,IF(COUNTIF($L$2:$L1186,$L1186)=1,1,0))</f>
        <v>0</v>
      </c>
      <c r="N1186">
        <f t="shared" si="276"/>
        <v>20261</v>
      </c>
      <c r="O1186" t="str">
        <f t="shared" si="277"/>
        <v>华夏凯德消费封闭式基础设施证券投资基金|2026Q1|季度</v>
      </c>
      <c r="P1186">
        <f>IF($A1186="",0,IF(COUNTIF($O$2:$O1186,$O1186)=1,1,0))</f>
        <v>0</v>
      </c>
      <c r="Q1186" t="str">
        <f>IF(AND($P1186=1,$A1186=经营数据!$B$3,$J1186=经营数据!$BA$5),COUNTIFS($P$2:$P$3000,1,$A$2:$A$3000,$A1186,$J$2:$J$3000,$J1186,$N$2:$N$3000,"&lt;"&amp;$N1186)+1,"")</f>
        <v/>
      </c>
      <c r="R1186" t="str">
        <f t="shared" si="278"/>
        <v>华夏凯德消费封闭式基础设施证券投资基金|长沙雨花亭项目</v>
      </c>
      <c r="S1186">
        <f>IF($A1186="",0,IF(COUNTIF($R$2:$R1186,$R1186)=1,1,0))</f>
        <v>0</v>
      </c>
      <c r="T1186">
        <f t="shared" si="279"/>
        <v>1120</v>
      </c>
      <c r="U1186" t="str">
        <f>IF($A1186="","",IF($A1186=经营数据!$B$3,COUNTIFS($S$2:$S$3000,1,$A$2:$A$3000,$A1186,$T$2:$T$3000,"&lt;"&amp;$T1186)+1,""))</f>
        <v/>
      </c>
      <c r="V1186" t="str">
        <f t="shared" si="280"/>
        <v>长沙雨花亭项目|服务效率</v>
      </c>
      <c r="W1186">
        <f t="shared" si="281"/>
        <v>1127</v>
      </c>
      <c r="X1186" t="str">
        <f t="shared" si="282"/>
        <v>长沙雨花亭项目|期末租金收缴率</v>
      </c>
      <c r="Y1186">
        <f t="shared" si="283"/>
        <v>1179</v>
      </c>
      <c r="Z1186">
        <f>IF($A1186="",0,IF(AND($M1186=1,$A1186=经营数据!$B$3,$J1186=经营数据!$BA$5,OR($I1186=经营数据!$BA$4,COUNTIF(经营数据!$AA$9:$AA$38,$I1186)&gt;0)),1,0))</f>
        <v>0</v>
      </c>
      <c r="AA1186" t="str">
        <f t="shared" si="284"/>
        <v/>
      </c>
      <c r="AB1186" t="str">
        <f t="shared" si="285"/>
        <v/>
      </c>
      <c r="AC1186">
        <f>IF($A1186="",0,IF(COUNTIF($A$2:$A1186,$A1186)=1,1,0))</f>
        <v>0</v>
      </c>
      <c r="AD1186">
        <f t="shared" si="286"/>
        <v>10</v>
      </c>
      <c r="AE1186" t="str">
        <f t="shared" si="287"/>
        <v>长沙雨花亭项目|期末租金收缴率（%）</v>
      </c>
    </row>
    <row r="1187" spans="1:31" x14ac:dyDescent="0.4">
      <c r="A1187" t="str">
        <f>IF(原始经营数据!$D1188="","",原始经营数据!$D1188)</f>
        <v>华夏凯德消费封闭式基础设施证券投资基金</v>
      </c>
      <c r="B1187" t="str">
        <f>IF(原始经营数据!$D1188="","",T(原始经营数据!$E1188))</f>
        <v>长沙雨花亭项目</v>
      </c>
      <c r="C1187" t="str">
        <f>IF(原始经营数据!$D1188="","",原始经营数据!$F1188)</f>
        <v>2026Q2</v>
      </c>
      <c r="D1187" t="str">
        <f>IF(原始经营数据!$D1188="","",原始经营数据!$H1188)</f>
        <v>期末租金收缴率</v>
      </c>
      <c r="E1187">
        <f>IF(原始经营数据!$D1188="","",原始经营数据!$I1188)</f>
        <v>98.81</v>
      </c>
      <c r="F1187" t="str">
        <f>IF(原始经营数据!$D1188="","",T(原始经营数据!$J1188))</f>
        <v>%</v>
      </c>
      <c r="G1187" t="str">
        <f>IF(原始经营数据!$D1188="","",T(原始经营数据!$K1188))</f>
        <v/>
      </c>
      <c r="H1187" t="str">
        <f>IF(原始经营数据!$D1188="","",原始经营数据!$G1188)</f>
        <v>服务效率</v>
      </c>
      <c r="I1187" t="str">
        <f>IF($A1187="","",IF($B1187&lt;&gt;"",$B1187,IF(COUNTIFS(原始经营数据!$D$3:$D$3001,$A1187,原始经营数据!$E$3:$E$3001,"",原始经营数据!$F$3:$F$3001,$C1187,原始经营数据!$H$3:$H$3001,$D1187,原始经营数据!$K$3:$K$3001,$G1187)&gt;1,"基金整体·来源"&amp;原始经营数据!$A1188,"基金整体")))</f>
        <v>长沙雨花亭项目</v>
      </c>
      <c r="J1187" t="str">
        <f t="shared" si="273"/>
        <v>季度</v>
      </c>
      <c r="K1187" t="str">
        <f t="shared" si="274"/>
        <v>期末租金收缴率（%）</v>
      </c>
      <c r="L1187" t="str">
        <f t="shared" si="275"/>
        <v>长沙雨花亭项目|期末租金收缴率（%）|季度</v>
      </c>
      <c r="M1187">
        <f>IF($A1187="",0,IF(COUNTIF($L$2:$L1187,$L1187)=1,1,0))</f>
        <v>0</v>
      </c>
      <c r="N1187">
        <f t="shared" si="276"/>
        <v>20262</v>
      </c>
      <c r="O1187" t="str">
        <f t="shared" si="277"/>
        <v>华夏凯德消费封闭式基础设施证券投资基金|2026Q2|季度</v>
      </c>
      <c r="P1187">
        <f>IF($A1187="",0,IF(COUNTIF($O$2:$O1187,$O1187)=1,1,0))</f>
        <v>0</v>
      </c>
      <c r="Q1187" t="str">
        <f>IF(AND($P1187=1,$A1187=经营数据!$B$3,$J1187=经营数据!$BA$5),COUNTIFS($P$2:$P$3000,1,$A$2:$A$3000,$A1187,$J$2:$J$3000,$J1187,$N$2:$N$3000,"&lt;"&amp;$N1187)+1,"")</f>
        <v/>
      </c>
      <c r="R1187" t="str">
        <f t="shared" si="278"/>
        <v>华夏凯德消费封闭式基础设施证券投资基金|长沙雨花亭项目</v>
      </c>
      <c r="S1187">
        <f>IF($A1187="",0,IF(COUNTIF($R$2:$R1187,$R1187)=1,1,0))</f>
        <v>0</v>
      </c>
      <c r="T1187">
        <f t="shared" si="279"/>
        <v>1120</v>
      </c>
      <c r="U1187" t="str">
        <f>IF($A1187="","",IF($A1187=经营数据!$B$3,COUNTIFS($S$2:$S$3000,1,$A$2:$A$3000,$A1187,$T$2:$T$3000,"&lt;"&amp;$T1187)+1,""))</f>
        <v/>
      </c>
      <c r="V1187" t="str">
        <f t="shared" si="280"/>
        <v>长沙雨花亭项目|服务效率</v>
      </c>
      <c r="W1187">
        <f t="shared" si="281"/>
        <v>1127</v>
      </c>
      <c r="X1187" t="str">
        <f t="shared" si="282"/>
        <v>长沙雨花亭项目|期末租金收缴率</v>
      </c>
      <c r="Y1187">
        <f t="shared" si="283"/>
        <v>1179</v>
      </c>
      <c r="Z1187">
        <f>IF($A1187="",0,IF(AND($M1187=1,$A1187=经营数据!$B$3,$J1187=经营数据!$BA$5,OR($I1187=经营数据!$BA$4,COUNTIF(经营数据!$AA$9:$AA$38,$I1187)&gt;0)),1,0))</f>
        <v>0</v>
      </c>
      <c r="AA1187" t="str">
        <f t="shared" si="284"/>
        <v/>
      </c>
      <c r="AB1187" t="str">
        <f t="shared" si="285"/>
        <v/>
      </c>
      <c r="AC1187">
        <f>IF($A1187="",0,IF(COUNTIF($A$2:$A1187,$A1187)=1,1,0))</f>
        <v>0</v>
      </c>
      <c r="AD1187">
        <f t="shared" si="286"/>
        <v>10</v>
      </c>
      <c r="AE1187" t="str">
        <f t="shared" si="287"/>
        <v>长沙雨花亭项目|期末租金收缴率（%）</v>
      </c>
    </row>
    <row r="1188" spans="1:31" x14ac:dyDescent="0.4">
      <c r="A1188" t="str">
        <f>IF(原始经营数据!$D1189="","",原始经营数据!$D1189)</f>
        <v>华夏凯德消费封闭式基础设施证券投资基金</v>
      </c>
      <c r="B1188" t="str">
        <f>IF(原始经营数据!$D1189="","",T(原始经营数据!$E1189))</f>
        <v>长沙雨花亭项目</v>
      </c>
      <c r="C1188" t="str">
        <f>IF(原始经营数据!$D1189="","",原始经营数据!$F1189)</f>
        <v>2026Q2</v>
      </c>
      <c r="D1188" t="str">
        <f>IF(原始经营数据!$D1189="","",原始经营数据!$H1189)</f>
        <v>期末剩余租期情况</v>
      </c>
      <c r="E1188">
        <f>IF(原始经营数据!$D1189="","",原始经营数据!$I1189)</f>
        <v>3.87</v>
      </c>
      <c r="F1188" t="str">
        <f>IF(原始经营数据!$D1189="","",T(原始经营数据!$J1189))</f>
        <v>年</v>
      </c>
      <c r="G1188" t="str">
        <f>IF(原始经营数据!$D1189="","",T(原始经营数据!$K1189))</f>
        <v/>
      </c>
      <c r="H1188" t="str">
        <f>IF(原始经营数据!$D1189="","",原始经营数据!$G1189)</f>
        <v>服务量</v>
      </c>
      <c r="I1188" t="str">
        <f>IF($A1188="","",IF($B1188&lt;&gt;"",$B1188,IF(COUNTIFS(原始经营数据!$D$3:$D$3001,$A1188,原始经营数据!$E$3:$E$3001,"",原始经营数据!$F$3:$F$3001,$C1188,原始经营数据!$H$3:$H$3001,$D1188,原始经营数据!$K$3:$K$3001,$G1188)&gt;1,"基金整体·来源"&amp;原始经营数据!$A1189,"基金整体")))</f>
        <v>长沙雨花亭项目</v>
      </c>
      <c r="J1188" t="str">
        <f t="shared" si="273"/>
        <v>季度</v>
      </c>
      <c r="K1188" t="str">
        <f t="shared" si="274"/>
        <v>期末剩余租期情况（年）</v>
      </c>
      <c r="L1188" t="str">
        <f t="shared" si="275"/>
        <v>长沙雨花亭项目|期末剩余租期情况（年）|季度</v>
      </c>
      <c r="M1188">
        <f>IF($A1188="",0,IF(COUNTIF($L$2:$L1188,$L1188)=1,1,0))</f>
        <v>0</v>
      </c>
      <c r="N1188">
        <f t="shared" si="276"/>
        <v>20262</v>
      </c>
      <c r="O1188" t="str">
        <f t="shared" si="277"/>
        <v>华夏凯德消费封闭式基础设施证券投资基金|2026Q2|季度</v>
      </c>
      <c r="P1188">
        <f>IF($A1188="",0,IF(COUNTIF($O$2:$O1188,$O1188)=1,1,0))</f>
        <v>0</v>
      </c>
      <c r="Q1188" t="str">
        <f>IF(AND($P1188=1,$A1188=经营数据!$B$3,$J1188=经营数据!$BA$5),COUNTIFS($P$2:$P$3000,1,$A$2:$A$3000,$A1188,$J$2:$J$3000,$J1188,$N$2:$N$3000,"&lt;"&amp;$N1188)+1,"")</f>
        <v/>
      </c>
      <c r="R1188" t="str">
        <f t="shared" si="278"/>
        <v>华夏凯德消费封闭式基础设施证券投资基金|长沙雨花亭项目</v>
      </c>
      <c r="S1188">
        <f>IF($A1188="",0,IF(COUNTIF($R$2:$R1188,$R1188)=1,1,0))</f>
        <v>0</v>
      </c>
      <c r="T1188">
        <f t="shared" si="279"/>
        <v>1120</v>
      </c>
      <c r="U1188" t="str">
        <f>IF($A1188="","",IF($A1188=经营数据!$B$3,COUNTIFS($S$2:$S$3000,1,$A$2:$A$3000,$A1188,$T$2:$T$3000,"&lt;"&amp;$T1188)+1,""))</f>
        <v/>
      </c>
      <c r="V1188" t="str">
        <f t="shared" si="280"/>
        <v>长沙雨花亭项目|服务量</v>
      </c>
      <c r="W1188">
        <f t="shared" si="281"/>
        <v>1124</v>
      </c>
      <c r="X1188" t="str">
        <f t="shared" si="282"/>
        <v>长沙雨花亭项目|期末剩余租期情况</v>
      </c>
      <c r="Y1188">
        <f t="shared" si="283"/>
        <v>1178</v>
      </c>
      <c r="Z1188">
        <f>IF($A1188="",0,IF(AND($M1188=1,$A1188=经营数据!$B$3,$J1188=经营数据!$BA$5,OR($I1188=经营数据!$BA$4,COUNTIF(经营数据!$AA$9:$AA$38,$I1188)&gt;0)),1,0))</f>
        <v>0</v>
      </c>
      <c r="AA1188" t="str">
        <f t="shared" si="284"/>
        <v/>
      </c>
      <c r="AB1188" t="str">
        <f t="shared" si="285"/>
        <v/>
      </c>
      <c r="AC1188">
        <f>IF($A1188="",0,IF(COUNTIF($A$2:$A1188,$A1188)=1,1,0))</f>
        <v>0</v>
      </c>
      <c r="AD1188">
        <f t="shared" si="286"/>
        <v>10</v>
      </c>
      <c r="AE1188" t="str">
        <f t="shared" si="287"/>
        <v>长沙雨花亭项目|期末剩余租期情况（年）</v>
      </c>
    </row>
    <row r="1189" spans="1:31" x14ac:dyDescent="0.4">
      <c r="A1189" t="str">
        <f>IF(原始经营数据!$D1190="","",原始经营数据!$D1190)</f>
        <v>华夏凯德消费封闭式基础设施证券投资基金</v>
      </c>
      <c r="B1189" t="str">
        <f>IF(原始经营数据!$D1190="","",T(原始经营数据!$E1190))</f>
        <v>长沙雨花亭项目</v>
      </c>
      <c r="C1189" t="str">
        <f>IF(原始经营数据!$D1190="","",原始经营数据!$F1190)</f>
        <v>2026Q2</v>
      </c>
      <c r="D1189" t="str">
        <f>IF(原始经营数据!$D1190="","",原始经营数据!$H1190)</f>
        <v>期内租金单价水平</v>
      </c>
      <c r="E1189">
        <f>IF(原始经营数据!$D1190="","",原始经营数据!$I1190)</f>
        <v>150.6</v>
      </c>
      <c r="F1189" t="str">
        <f>IF(原始经营数据!$D1190="","",T(原始经营数据!$J1190))</f>
        <v>元/平方米/月</v>
      </c>
      <c r="G1189" t="str">
        <f>IF(原始经营数据!$D1190="","",T(原始经营数据!$K1190))</f>
        <v/>
      </c>
      <c r="H1189" t="str">
        <f>IF(原始经营数据!$D1190="","",原始经营数据!$G1190)</f>
        <v>服务价格</v>
      </c>
      <c r="I1189" t="str">
        <f>IF($A1189="","",IF($B1189&lt;&gt;"",$B1189,IF(COUNTIFS(原始经营数据!$D$3:$D$3001,$A1189,原始经营数据!$E$3:$E$3001,"",原始经营数据!$F$3:$F$3001,$C1189,原始经营数据!$H$3:$H$3001,$D1189,原始经营数据!$K$3:$K$3001,$G1189)&gt;1,"基金整体·来源"&amp;原始经营数据!$A1190,"基金整体")))</f>
        <v>长沙雨花亭项目</v>
      </c>
      <c r="J1189" t="str">
        <f t="shared" si="273"/>
        <v>季度</v>
      </c>
      <c r="K1189" t="str">
        <f t="shared" si="274"/>
        <v>期内租金单价水平（元/平方米/月）</v>
      </c>
      <c r="L1189" t="str">
        <f t="shared" si="275"/>
        <v>长沙雨花亭项目|期内租金单价水平（元/平方米/月）|季度</v>
      </c>
      <c r="M1189">
        <f>IF($A1189="",0,IF(COUNTIF($L$2:$L1189,$L1189)=1,1,0))</f>
        <v>0</v>
      </c>
      <c r="N1189">
        <f t="shared" si="276"/>
        <v>20262</v>
      </c>
      <c r="O1189" t="str">
        <f t="shared" si="277"/>
        <v>华夏凯德消费封闭式基础设施证券投资基金|2026Q2|季度</v>
      </c>
      <c r="P1189">
        <f>IF($A1189="",0,IF(COUNTIF($O$2:$O1189,$O1189)=1,1,0))</f>
        <v>0</v>
      </c>
      <c r="Q1189" t="str">
        <f>IF(AND($P1189=1,$A1189=经营数据!$B$3,$J1189=经营数据!$BA$5),COUNTIFS($P$2:$P$3000,1,$A$2:$A$3000,$A1189,$J$2:$J$3000,$J1189,$N$2:$N$3000,"&lt;"&amp;$N1189)+1,"")</f>
        <v/>
      </c>
      <c r="R1189" t="str">
        <f t="shared" si="278"/>
        <v>华夏凯德消费封闭式基础设施证券投资基金|长沙雨花亭项目</v>
      </c>
      <c r="S1189">
        <f>IF($A1189="",0,IF(COUNTIF($R$2:$R1189,$R1189)=1,1,0))</f>
        <v>0</v>
      </c>
      <c r="T1189">
        <f t="shared" si="279"/>
        <v>1120</v>
      </c>
      <c r="U1189" t="str">
        <f>IF($A1189="","",IF($A1189=经营数据!$B$3,COUNTIFS($S$2:$S$3000,1,$A$2:$A$3000,$A1189,$T$2:$T$3000,"&lt;"&amp;$T1189)+1,""))</f>
        <v/>
      </c>
      <c r="V1189" t="str">
        <f t="shared" si="280"/>
        <v>长沙雨花亭项目|服务价格</v>
      </c>
      <c r="W1189">
        <f t="shared" si="281"/>
        <v>1128</v>
      </c>
      <c r="X1189" t="str">
        <f t="shared" si="282"/>
        <v>长沙雨花亭项目|期内租金单价水平</v>
      </c>
      <c r="Y1189">
        <f t="shared" si="283"/>
        <v>1177</v>
      </c>
      <c r="Z1189">
        <f>IF($A1189="",0,IF(AND($M1189=1,$A1189=经营数据!$B$3,$J1189=经营数据!$BA$5,OR($I1189=经营数据!$BA$4,COUNTIF(经营数据!$AA$9:$AA$38,$I1189)&gt;0)),1,0))</f>
        <v>0</v>
      </c>
      <c r="AA1189" t="str">
        <f t="shared" si="284"/>
        <v/>
      </c>
      <c r="AB1189" t="str">
        <f t="shared" si="285"/>
        <v/>
      </c>
      <c r="AC1189">
        <f>IF($A1189="",0,IF(COUNTIF($A$2:$A1189,$A1189)=1,1,0))</f>
        <v>0</v>
      </c>
      <c r="AD1189">
        <f t="shared" si="286"/>
        <v>10</v>
      </c>
      <c r="AE1189" t="str">
        <f t="shared" si="287"/>
        <v>长沙雨花亭项目|期内租金单价水平（元/平方米/月）</v>
      </c>
    </row>
    <row r="1190" spans="1:31" x14ac:dyDescent="0.4">
      <c r="A1190" t="str">
        <f>IF(原始经营数据!$D1191="","",原始经营数据!$D1191)</f>
        <v>华夏凯德消费封闭式基础设施证券投资基金</v>
      </c>
      <c r="B1190" t="str">
        <f>IF(原始经营数据!$D1191="","",T(原始经营数据!$E1191))</f>
        <v>长沙雨花亭项目</v>
      </c>
      <c r="C1190" t="str">
        <f>IF(原始经营数据!$D1191="","",原始经营数据!$F1191)</f>
        <v>2026Q2</v>
      </c>
      <c r="D1190" t="str">
        <f>IF(原始经营数据!$D1191="","",原始经营数据!$H1191)</f>
        <v>期末出租率</v>
      </c>
      <c r="E1190">
        <f>IF(原始经营数据!$D1191="","",原始经营数据!$I1191)</f>
        <v>98.27</v>
      </c>
      <c r="F1190" t="str">
        <f>IF(原始经营数据!$D1191="","",T(原始经营数据!$J1191))</f>
        <v>%</v>
      </c>
      <c r="G1190" t="str">
        <f>IF(原始经营数据!$D1191="","",T(原始经营数据!$K1191))</f>
        <v/>
      </c>
      <c r="H1190" t="str">
        <f>IF(原始经营数据!$D1191="","",原始经营数据!$G1191)</f>
        <v>服务效率</v>
      </c>
      <c r="I1190" t="str">
        <f>IF($A1190="","",IF($B1190&lt;&gt;"",$B1190,IF(COUNTIFS(原始经营数据!$D$3:$D$3001,$A1190,原始经营数据!$E$3:$E$3001,"",原始经营数据!$F$3:$F$3001,$C1190,原始经营数据!$H$3:$H$3001,$D1190,原始经营数据!$K$3:$K$3001,$G1190)&gt;1,"基金整体·来源"&amp;原始经营数据!$A1191,"基金整体")))</f>
        <v>长沙雨花亭项目</v>
      </c>
      <c r="J1190" t="str">
        <f t="shared" si="273"/>
        <v>季度</v>
      </c>
      <c r="K1190" t="str">
        <f t="shared" si="274"/>
        <v>期末出租率（%）</v>
      </c>
      <c r="L1190" t="str">
        <f t="shared" si="275"/>
        <v>长沙雨花亭项目|期末出租率（%）|季度</v>
      </c>
      <c r="M1190">
        <f>IF($A1190="",0,IF(COUNTIF($L$2:$L1190,$L1190)=1,1,0))</f>
        <v>0</v>
      </c>
      <c r="N1190">
        <f t="shared" si="276"/>
        <v>20262</v>
      </c>
      <c r="O1190" t="str">
        <f t="shared" si="277"/>
        <v>华夏凯德消费封闭式基础设施证券投资基金|2026Q2|季度</v>
      </c>
      <c r="P1190">
        <f>IF($A1190="",0,IF(COUNTIF($O$2:$O1190,$O1190)=1,1,0))</f>
        <v>0</v>
      </c>
      <c r="Q1190" t="str">
        <f>IF(AND($P1190=1,$A1190=经营数据!$B$3,$J1190=经营数据!$BA$5),COUNTIFS($P$2:$P$3000,1,$A$2:$A$3000,$A1190,$J$2:$J$3000,$J1190,$N$2:$N$3000,"&lt;"&amp;$N1190)+1,"")</f>
        <v/>
      </c>
      <c r="R1190" t="str">
        <f t="shared" si="278"/>
        <v>华夏凯德消费封闭式基础设施证券投资基金|长沙雨花亭项目</v>
      </c>
      <c r="S1190">
        <f>IF($A1190="",0,IF(COUNTIF($R$2:$R1190,$R1190)=1,1,0))</f>
        <v>0</v>
      </c>
      <c r="T1190">
        <f t="shared" si="279"/>
        <v>1120</v>
      </c>
      <c r="U1190" t="str">
        <f>IF($A1190="","",IF($A1190=经营数据!$B$3,COUNTIFS($S$2:$S$3000,1,$A$2:$A$3000,$A1190,$T$2:$T$3000,"&lt;"&amp;$T1190)+1,""))</f>
        <v/>
      </c>
      <c r="V1190" t="str">
        <f t="shared" si="280"/>
        <v>长沙雨花亭项目|服务效率</v>
      </c>
      <c r="W1190">
        <f t="shared" si="281"/>
        <v>1127</v>
      </c>
      <c r="X1190" t="str">
        <f t="shared" si="282"/>
        <v>长沙雨花亭项目|期末出租率</v>
      </c>
      <c r="Y1190">
        <f t="shared" si="283"/>
        <v>1176</v>
      </c>
      <c r="Z1190">
        <f>IF($A1190="",0,IF(AND($M1190=1,$A1190=经营数据!$B$3,$J1190=经营数据!$BA$5,OR($I1190=经营数据!$BA$4,COUNTIF(经营数据!$AA$9:$AA$38,$I1190)&gt;0)),1,0))</f>
        <v>0</v>
      </c>
      <c r="AA1190" t="str">
        <f t="shared" si="284"/>
        <v/>
      </c>
      <c r="AB1190" t="str">
        <f t="shared" si="285"/>
        <v/>
      </c>
      <c r="AC1190">
        <f>IF($A1190="",0,IF(COUNTIF($A$2:$A1190,$A1190)=1,1,0))</f>
        <v>0</v>
      </c>
      <c r="AD1190">
        <f t="shared" si="286"/>
        <v>10</v>
      </c>
      <c r="AE1190" t="str">
        <f t="shared" si="287"/>
        <v>长沙雨花亭项目|期末出租率（%）</v>
      </c>
    </row>
    <row r="1191" spans="1:31" x14ac:dyDescent="0.4">
      <c r="A1191" t="str">
        <f>IF(原始经营数据!$D1192="","",原始经营数据!$D1192)</f>
        <v>华夏凯德消费封闭式基础设施证券投资基金</v>
      </c>
      <c r="B1191" t="str">
        <f>IF(原始经营数据!$D1192="","",T(原始经营数据!$E1192))</f>
        <v>长沙雨花亭项目</v>
      </c>
      <c r="C1191" t="str">
        <f>IF(原始经营数据!$D1192="","",原始经营数据!$F1192)</f>
        <v>2026Q2</v>
      </c>
      <c r="D1191" t="str">
        <f>IF(原始经营数据!$D1192="","",原始经营数据!$H1192)</f>
        <v>期末实际出租面积</v>
      </c>
      <c r="E1191">
        <f>IF(原始经营数据!$D1192="","",原始经营数据!$I1192)</f>
        <v>42464.71</v>
      </c>
      <c r="F1191" t="str">
        <f>IF(原始经营数据!$D1192="","",T(原始经营数据!$J1192))</f>
        <v>平方米</v>
      </c>
      <c r="G1191" t="str">
        <f>IF(原始经营数据!$D1192="","",T(原始经营数据!$K1192))</f>
        <v/>
      </c>
      <c r="H1191" t="str">
        <f>IF(原始经营数据!$D1192="","",原始经营数据!$G1192)</f>
        <v>服务量</v>
      </c>
      <c r="I1191" t="str">
        <f>IF($A1191="","",IF($B1191&lt;&gt;"",$B1191,IF(COUNTIFS(原始经营数据!$D$3:$D$3001,$A1191,原始经营数据!$E$3:$E$3001,"",原始经营数据!$F$3:$F$3001,$C1191,原始经营数据!$H$3:$H$3001,$D1191,原始经营数据!$K$3:$K$3001,$G1191)&gt;1,"基金整体·来源"&amp;原始经营数据!$A1192,"基金整体")))</f>
        <v>长沙雨花亭项目</v>
      </c>
      <c r="J1191" t="str">
        <f t="shared" si="273"/>
        <v>季度</v>
      </c>
      <c r="K1191" t="str">
        <f t="shared" si="274"/>
        <v>期末实际出租面积（平方米）</v>
      </c>
      <c r="L1191" t="str">
        <f t="shared" si="275"/>
        <v>长沙雨花亭项目|期末实际出租面积（平方米）|季度</v>
      </c>
      <c r="M1191">
        <f>IF($A1191="",0,IF(COUNTIF($L$2:$L1191,$L1191)=1,1,0))</f>
        <v>0</v>
      </c>
      <c r="N1191">
        <f t="shared" si="276"/>
        <v>20262</v>
      </c>
      <c r="O1191" t="str">
        <f t="shared" si="277"/>
        <v>华夏凯德消费封闭式基础设施证券投资基金|2026Q2|季度</v>
      </c>
      <c r="P1191">
        <f>IF($A1191="",0,IF(COUNTIF($O$2:$O1191,$O1191)=1,1,0))</f>
        <v>0</v>
      </c>
      <c r="Q1191" t="str">
        <f>IF(AND($P1191=1,$A1191=经营数据!$B$3,$J1191=经营数据!$BA$5),COUNTIFS($P$2:$P$3000,1,$A$2:$A$3000,$A1191,$J$2:$J$3000,$J1191,$N$2:$N$3000,"&lt;"&amp;$N1191)+1,"")</f>
        <v/>
      </c>
      <c r="R1191" t="str">
        <f t="shared" si="278"/>
        <v>华夏凯德消费封闭式基础设施证券投资基金|长沙雨花亭项目</v>
      </c>
      <c r="S1191">
        <f>IF($A1191="",0,IF(COUNTIF($R$2:$R1191,$R1191)=1,1,0))</f>
        <v>0</v>
      </c>
      <c r="T1191">
        <f t="shared" si="279"/>
        <v>1120</v>
      </c>
      <c r="U1191" t="str">
        <f>IF($A1191="","",IF($A1191=经营数据!$B$3,COUNTIFS($S$2:$S$3000,1,$A$2:$A$3000,$A1191,$T$2:$T$3000,"&lt;"&amp;$T1191)+1,""))</f>
        <v/>
      </c>
      <c r="V1191" t="str">
        <f t="shared" si="280"/>
        <v>长沙雨花亭项目|服务量</v>
      </c>
      <c r="W1191">
        <f t="shared" si="281"/>
        <v>1124</v>
      </c>
      <c r="X1191" t="str">
        <f t="shared" si="282"/>
        <v>长沙雨花亭项目|期末实际出租面积</v>
      </c>
      <c r="Y1191">
        <f t="shared" si="283"/>
        <v>1175</v>
      </c>
      <c r="Z1191">
        <f>IF($A1191="",0,IF(AND($M1191=1,$A1191=经营数据!$B$3,$J1191=经营数据!$BA$5,OR($I1191=经营数据!$BA$4,COUNTIF(经营数据!$AA$9:$AA$38,$I1191)&gt;0)),1,0))</f>
        <v>0</v>
      </c>
      <c r="AA1191" t="str">
        <f t="shared" si="284"/>
        <v/>
      </c>
      <c r="AB1191" t="str">
        <f t="shared" si="285"/>
        <v/>
      </c>
      <c r="AC1191">
        <f>IF($A1191="",0,IF(COUNTIF($A$2:$A1191,$A1191)=1,1,0))</f>
        <v>0</v>
      </c>
      <c r="AD1191">
        <f t="shared" si="286"/>
        <v>10</v>
      </c>
      <c r="AE1191" t="str">
        <f t="shared" si="287"/>
        <v>长沙雨花亭项目|期末实际出租面积（平方米）</v>
      </c>
    </row>
    <row r="1192" spans="1:31" x14ac:dyDescent="0.4">
      <c r="A1192" t="str">
        <f>IF(原始经营数据!$D1193="","",原始经营数据!$D1193)</f>
        <v>华夏凯德消费封闭式基础设施证券投资基金</v>
      </c>
      <c r="B1192" t="str">
        <f>IF(原始经营数据!$D1193="","",T(原始经营数据!$E1193))</f>
        <v>长沙雨花亭项目</v>
      </c>
      <c r="C1192" t="str">
        <f>IF(原始经营数据!$D1193="","",原始经营数据!$F1193)</f>
        <v>2026Q2</v>
      </c>
      <c r="D1192" t="str">
        <f>IF(原始经营数据!$D1193="","",原始经营数据!$H1193)</f>
        <v>期末可供出租面积</v>
      </c>
      <c r="E1192">
        <f>IF(原始经营数据!$D1193="","",原始经营数据!$I1193)</f>
        <v>43214.1</v>
      </c>
      <c r="F1192" t="str">
        <f>IF(原始经营数据!$D1193="","",T(原始经营数据!$J1193))</f>
        <v>平方米</v>
      </c>
      <c r="G1192" t="str">
        <f>IF(原始经营数据!$D1193="","",T(原始经营数据!$K1193))</f>
        <v/>
      </c>
      <c r="H1192" t="str">
        <f>IF(原始经营数据!$D1193="","",原始经营数据!$G1193)</f>
        <v>服务量</v>
      </c>
      <c r="I1192" t="str">
        <f>IF($A1192="","",IF($B1192&lt;&gt;"",$B1192,IF(COUNTIFS(原始经营数据!$D$3:$D$3001,$A1192,原始经营数据!$E$3:$E$3001,"",原始经营数据!$F$3:$F$3001,$C1192,原始经营数据!$H$3:$H$3001,$D1192,原始经营数据!$K$3:$K$3001,$G1192)&gt;1,"基金整体·来源"&amp;原始经营数据!$A1193,"基金整体")))</f>
        <v>长沙雨花亭项目</v>
      </c>
      <c r="J1192" t="str">
        <f t="shared" si="273"/>
        <v>季度</v>
      </c>
      <c r="K1192" t="str">
        <f t="shared" si="274"/>
        <v>期末可供出租面积（平方米）</v>
      </c>
      <c r="L1192" t="str">
        <f t="shared" si="275"/>
        <v>长沙雨花亭项目|期末可供出租面积（平方米）|季度</v>
      </c>
      <c r="M1192">
        <f>IF($A1192="",0,IF(COUNTIF($L$2:$L1192,$L1192)=1,1,0))</f>
        <v>0</v>
      </c>
      <c r="N1192">
        <f t="shared" si="276"/>
        <v>20262</v>
      </c>
      <c r="O1192" t="str">
        <f t="shared" si="277"/>
        <v>华夏凯德消费封闭式基础设施证券投资基金|2026Q2|季度</v>
      </c>
      <c r="P1192">
        <f>IF($A1192="",0,IF(COUNTIF($O$2:$O1192,$O1192)=1,1,0))</f>
        <v>0</v>
      </c>
      <c r="Q1192" t="str">
        <f>IF(AND($P1192=1,$A1192=经营数据!$B$3,$J1192=经营数据!$BA$5),COUNTIFS($P$2:$P$3000,1,$A$2:$A$3000,$A1192,$J$2:$J$3000,$J1192,$N$2:$N$3000,"&lt;"&amp;$N1192)+1,"")</f>
        <v/>
      </c>
      <c r="R1192" t="str">
        <f t="shared" si="278"/>
        <v>华夏凯德消费封闭式基础设施证券投资基金|长沙雨花亭项目</v>
      </c>
      <c r="S1192">
        <f>IF($A1192="",0,IF(COUNTIF($R$2:$R1192,$R1192)=1,1,0))</f>
        <v>0</v>
      </c>
      <c r="T1192">
        <f t="shared" si="279"/>
        <v>1120</v>
      </c>
      <c r="U1192" t="str">
        <f>IF($A1192="","",IF($A1192=经营数据!$B$3,COUNTIFS($S$2:$S$3000,1,$A$2:$A$3000,$A1192,$T$2:$T$3000,"&lt;"&amp;$T1192)+1,""))</f>
        <v/>
      </c>
      <c r="V1192" t="str">
        <f t="shared" si="280"/>
        <v>长沙雨花亭项目|服务量</v>
      </c>
      <c r="W1192">
        <f t="shared" si="281"/>
        <v>1124</v>
      </c>
      <c r="X1192" t="str">
        <f t="shared" si="282"/>
        <v>长沙雨花亭项目|期末可供出租面积</v>
      </c>
      <c r="Y1192">
        <f t="shared" si="283"/>
        <v>1174</v>
      </c>
      <c r="Z1192">
        <f>IF($A1192="",0,IF(AND($M1192=1,$A1192=经营数据!$B$3,$J1192=经营数据!$BA$5,OR($I1192=经营数据!$BA$4,COUNTIF(经营数据!$AA$9:$AA$38,$I1192)&gt;0)),1,0))</f>
        <v>0</v>
      </c>
      <c r="AA1192" t="str">
        <f t="shared" si="284"/>
        <v/>
      </c>
      <c r="AB1192" t="str">
        <f t="shared" si="285"/>
        <v/>
      </c>
      <c r="AC1192">
        <f>IF($A1192="",0,IF(COUNTIF($A$2:$A1192,$A1192)=1,1,0))</f>
        <v>0</v>
      </c>
      <c r="AD1192">
        <f t="shared" si="286"/>
        <v>10</v>
      </c>
      <c r="AE1192" t="str">
        <f t="shared" si="287"/>
        <v>长沙雨花亭项目|期末可供出租面积（平方米）</v>
      </c>
    </row>
    <row r="1193" spans="1:31" x14ac:dyDescent="0.4">
      <c r="A1193" t="str">
        <f>IF(原始经营数据!$D1194="","",原始经营数据!$D1194)</f>
        <v>中金唯品会奥特莱斯封闭式基础设施证券投资基金</v>
      </c>
      <c r="B1193" t="str">
        <f>IF(原始经营数据!$D1194="","",T(原始经营数据!$E1194))</f>
        <v>宁波杉井奥特莱斯</v>
      </c>
      <c r="C1193" t="str">
        <f>IF(原始经营数据!$D1194="","",原始经营数据!$F1194)</f>
        <v>2022</v>
      </c>
      <c r="D1193" t="str">
        <f>IF(原始经营数据!$D1194="","",原始经营数据!$H1194)</f>
        <v>提成租金比例</v>
      </c>
      <c r="E1193">
        <f>IF(原始经营数据!$D1194="","",原始经营数据!$I1194)</f>
        <v>10.76</v>
      </c>
      <c r="F1193" t="str">
        <f>IF(原始经营数据!$D1194="","",T(原始经营数据!$J1194))</f>
        <v>%</v>
      </c>
      <c r="G1193" t="str">
        <f>IF(原始经营数据!$D1194="","",T(原始经营数据!$K1194))</f>
        <v/>
      </c>
      <c r="H1193" t="str">
        <f>IF(原始经营数据!$D1194="","",原始经营数据!$G1194)</f>
        <v>服务量</v>
      </c>
      <c r="I1193" t="str">
        <f>IF($A1193="","",IF($B1193&lt;&gt;"",$B1193,IF(COUNTIFS(原始经营数据!$D$3:$D$3001,$A1193,原始经营数据!$E$3:$E$3001,"",原始经营数据!$F$3:$F$3001,$C1193,原始经营数据!$H$3:$H$3001,$D1193,原始经营数据!$K$3:$K$3001,$G1193)&gt;1,"基金整体·来源"&amp;原始经营数据!$A1194,"基金整体")))</f>
        <v>宁波杉井奥特莱斯</v>
      </c>
      <c r="J1193" t="str">
        <f t="shared" si="273"/>
        <v>年度</v>
      </c>
      <c r="K1193" t="str">
        <f t="shared" si="274"/>
        <v>提成租金比例（%）</v>
      </c>
      <c r="L1193" t="str">
        <f t="shared" si="275"/>
        <v>宁波杉井奥特莱斯|提成租金比例（%）|年度</v>
      </c>
      <c r="M1193">
        <f>IF($A1193="",0,IF(COUNTIF($L$2:$L1193,$L1193)=1,1,0))</f>
        <v>1</v>
      </c>
      <c r="N1193">
        <f t="shared" si="276"/>
        <v>20220</v>
      </c>
      <c r="O1193" t="str">
        <f t="shared" si="277"/>
        <v>中金唯品会奥特莱斯封闭式基础设施证券投资基金|2022|年度</v>
      </c>
      <c r="P1193">
        <f>IF($A1193="",0,IF(COUNTIF($O$2:$O1193,$O1193)=1,1,0))</f>
        <v>1</v>
      </c>
      <c r="Q1193" t="str">
        <f>IF(AND($P1193=1,$A1193=经营数据!$B$3,$J1193=经营数据!$BA$5),COUNTIFS($P$2:$P$3000,1,$A$2:$A$3000,$A1193,$J$2:$J$3000,$J1193,$N$2:$N$3000,"&lt;"&amp;$N1193)+1,"")</f>
        <v/>
      </c>
      <c r="R1193" t="str">
        <f t="shared" si="278"/>
        <v>中金唯品会奥特莱斯封闭式基础设施证券投资基金|宁波杉井奥特莱斯</v>
      </c>
      <c r="S1193">
        <f>IF($A1193="",0,IF(COUNTIF($R$2:$R1193,$R1193)=1,1,0))</f>
        <v>1</v>
      </c>
      <c r="T1193">
        <f t="shared" si="279"/>
        <v>1192</v>
      </c>
      <c r="U1193" t="str">
        <f>IF($A1193="","",IF($A1193=经营数据!$B$3,COUNTIFS($S$2:$S$3000,1,$A$2:$A$3000,$A1193,$T$2:$T$3000,"&lt;"&amp;$T1193)+1,""))</f>
        <v/>
      </c>
      <c r="V1193" t="str">
        <f t="shared" si="280"/>
        <v>宁波杉井奥特莱斯|服务量</v>
      </c>
      <c r="W1193">
        <f t="shared" si="281"/>
        <v>1192</v>
      </c>
      <c r="X1193" t="str">
        <f t="shared" si="282"/>
        <v>宁波杉井奥特莱斯|提成租金比例</v>
      </c>
      <c r="Y1193">
        <f t="shared" si="283"/>
        <v>1192</v>
      </c>
      <c r="Z1193">
        <f>IF($A1193="",0,IF(AND($M1193=1,$A1193=经营数据!$B$3,$J1193=经营数据!$BA$5,OR($I1193=经营数据!$BA$4,COUNTIF(经营数据!$AA$9:$AA$38,$I1193)&gt;0)),1,0))</f>
        <v>0</v>
      </c>
      <c r="AA1193" t="str">
        <f t="shared" si="284"/>
        <v/>
      </c>
      <c r="AB1193" t="str">
        <f t="shared" si="285"/>
        <v/>
      </c>
      <c r="AC1193">
        <f>IF($A1193="",0,IF(COUNTIF($A$2:$A1193,$A1193)=1,1,0))</f>
        <v>1</v>
      </c>
      <c r="AD1193">
        <f t="shared" si="286"/>
        <v>11</v>
      </c>
      <c r="AE1193" t="str">
        <f t="shared" si="287"/>
        <v>宁波杉井奥特莱斯|提成租金比例（%）</v>
      </c>
    </row>
    <row r="1194" spans="1:31" x14ac:dyDescent="0.4">
      <c r="A1194" t="str">
        <f>IF(原始经营数据!$D1195="","",原始经营数据!$D1195)</f>
        <v>中金唯品会奥特莱斯封闭式基础设施证券投资基金</v>
      </c>
      <c r="B1194" t="str">
        <f>IF(原始经营数据!$D1195="","",T(原始经营数据!$E1195))</f>
        <v>宁波杉井奥特莱斯</v>
      </c>
      <c r="C1194" t="str">
        <f>IF(原始经营数据!$D1195="","",原始经营数据!$F1195)</f>
        <v>2022</v>
      </c>
      <c r="D1194" t="str">
        <f>IF(原始经营数据!$D1195="","",原始经营数据!$H1195)</f>
        <v>租金收入</v>
      </c>
      <c r="E1194">
        <f>IF(原始经营数据!$D1195="","",原始经营数据!$I1195)</f>
        <v>1998.74</v>
      </c>
      <c r="F1194" t="str">
        <f>IF(原始经营数据!$D1195="","",T(原始经营数据!$J1195))</f>
        <v>万元</v>
      </c>
      <c r="G1194" t="str">
        <f>IF(原始经营数据!$D1195="","",T(原始经营数据!$K1195))</f>
        <v/>
      </c>
      <c r="H1194" t="str">
        <f>IF(原始经营数据!$D1195="","",原始经营数据!$G1195)</f>
        <v>服务金额</v>
      </c>
      <c r="I1194" t="str">
        <f>IF($A1194="","",IF($B1194&lt;&gt;"",$B1194,IF(COUNTIFS(原始经营数据!$D$3:$D$3001,$A1194,原始经营数据!$E$3:$E$3001,"",原始经营数据!$F$3:$F$3001,$C1194,原始经营数据!$H$3:$H$3001,$D1194,原始经营数据!$K$3:$K$3001,$G1194)&gt;1,"基金整体·来源"&amp;原始经营数据!$A1195,"基金整体")))</f>
        <v>宁波杉井奥特莱斯</v>
      </c>
      <c r="J1194" t="str">
        <f t="shared" si="273"/>
        <v>年度</v>
      </c>
      <c r="K1194" t="str">
        <f t="shared" si="274"/>
        <v>租金收入（万元）</v>
      </c>
      <c r="L1194" t="str">
        <f t="shared" si="275"/>
        <v>宁波杉井奥特莱斯|租金收入（万元）|年度</v>
      </c>
      <c r="M1194">
        <f>IF($A1194="",0,IF(COUNTIF($L$2:$L1194,$L1194)=1,1,0))</f>
        <v>1</v>
      </c>
      <c r="N1194">
        <f t="shared" si="276"/>
        <v>20220</v>
      </c>
      <c r="O1194" t="str">
        <f t="shared" si="277"/>
        <v>中金唯品会奥特莱斯封闭式基础设施证券投资基金|2022|年度</v>
      </c>
      <c r="P1194">
        <f>IF($A1194="",0,IF(COUNTIF($O$2:$O1194,$O1194)=1,1,0))</f>
        <v>0</v>
      </c>
      <c r="Q1194" t="str">
        <f>IF(AND($P1194=1,$A1194=经营数据!$B$3,$J1194=经营数据!$BA$5),COUNTIFS($P$2:$P$3000,1,$A$2:$A$3000,$A1194,$J$2:$J$3000,$J1194,$N$2:$N$3000,"&lt;"&amp;$N1194)+1,"")</f>
        <v/>
      </c>
      <c r="R1194" t="str">
        <f t="shared" si="278"/>
        <v>中金唯品会奥特莱斯封闭式基础设施证券投资基金|宁波杉井奥特莱斯</v>
      </c>
      <c r="S1194">
        <f>IF($A1194="",0,IF(COUNTIF($R$2:$R1194,$R1194)=1,1,0))</f>
        <v>0</v>
      </c>
      <c r="T1194">
        <f t="shared" si="279"/>
        <v>1192</v>
      </c>
      <c r="U1194" t="str">
        <f>IF($A1194="","",IF($A1194=经营数据!$B$3,COUNTIFS($S$2:$S$3000,1,$A$2:$A$3000,$A1194,$T$2:$T$3000,"&lt;"&amp;$T1194)+1,""))</f>
        <v/>
      </c>
      <c r="V1194" t="str">
        <f t="shared" si="280"/>
        <v>宁波杉井奥特莱斯|服务金额</v>
      </c>
      <c r="W1194">
        <f t="shared" si="281"/>
        <v>1193</v>
      </c>
      <c r="X1194" t="str">
        <f t="shared" si="282"/>
        <v>宁波杉井奥特莱斯|租金收入</v>
      </c>
      <c r="Y1194">
        <f t="shared" si="283"/>
        <v>1193</v>
      </c>
      <c r="Z1194">
        <f>IF($A1194="",0,IF(AND($M1194=1,$A1194=经营数据!$B$3,$J1194=经营数据!$BA$5,OR($I1194=经营数据!$BA$4,COUNTIF(经营数据!$AA$9:$AA$38,$I1194)&gt;0)),1,0))</f>
        <v>0</v>
      </c>
      <c r="AA1194" t="str">
        <f t="shared" si="284"/>
        <v/>
      </c>
      <c r="AB1194" t="str">
        <f t="shared" si="285"/>
        <v/>
      </c>
      <c r="AC1194">
        <f>IF($A1194="",0,IF(COUNTIF($A$2:$A1194,$A1194)=1,1,0))</f>
        <v>0</v>
      </c>
      <c r="AD1194">
        <f t="shared" si="286"/>
        <v>11</v>
      </c>
      <c r="AE1194" t="str">
        <f t="shared" si="287"/>
        <v>宁波杉井奥特莱斯|租金收入（万元）</v>
      </c>
    </row>
    <row r="1195" spans="1:31" x14ac:dyDescent="0.4">
      <c r="A1195" t="str">
        <f>IF(原始经营数据!$D1196="","",原始经营数据!$D1196)</f>
        <v>中金唯品会奥特莱斯封闭式基础设施证券投资基金</v>
      </c>
      <c r="B1195" t="str">
        <f>IF(原始经营数据!$D1196="","",T(原始经营数据!$E1196))</f>
        <v>宁波杉井奥特莱斯</v>
      </c>
      <c r="C1195" t="str">
        <f>IF(原始经营数据!$D1196="","",原始经营数据!$F1196)</f>
        <v>2022</v>
      </c>
      <c r="D1195" t="str">
        <f>IF(原始经营数据!$D1196="","",原始经营数据!$H1196)</f>
        <v>月整体销售坪效</v>
      </c>
      <c r="E1195">
        <f>IF(原始经营数据!$D1196="","",原始经营数据!$I1196)</f>
        <v>2676.79</v>
      </c>
      <c r="F1195" t="str">
        <f>IF(原始经营数据!$D1196="","",T(原始经营数据!$J1196))</f>
        <v>元/月/平方米</v>
      </c>
      <c r="G1195" t="str">
        <f>IF(原始经营数据!$D1196="","",T(原始经营数据!$K1196))</f>
        <v/>
      </c>
      <c r="H1195" t="str">
        <f>IF(原始经营数据!$D1196="","",原始经营数据!$G1196)</f>
        <v>服务量</v>
      </c>
      <c r="I1195" t="str">
        <f>IF($A1195="","",IF($B1195&lt;&gt;"",$B1195,IF(COUNTIFS(原始经营数据!$D$3:$D$3001,$A1195,原始经营数据!$E$3:$E$3001,"",原始经营数据!$F$3:$F$3001,$C1195,原始经营数据!$H$3:$H$3001,$D1195,原始经营数据!$K$3:$K$3001,$G1195)&gt;1,"基金整体·来源"&amp;原始经营数据!$A1196,"基金整体")))</f>
        <v>宁波杉井奥特莱斯</v>
      </c>
      <c r="J1195" t="str">
        <f t="shared" si="273"/>
        <v>年度</v>
      </c>
      <c r="K1195" t="str">
        <f t="shared" si="274"/>
        <v>月整体销售坪效（元/月/平方米）</v>
      </c>
      <c r="L1195" t="str">
        <f t="shared" si="275"/>
        <v>宁波杉井奥特莱斯|月整体销售坪效（元/月/平方米）|年度</v>
      </c>
      <c r="M1195">
        <f>IF($A1195="",0,IF(COUNTIF($L$2:$L1195,$L1195)=1,1,0))</f>
        <v>1</v>
      </c>
      <c r="N1195">
        <f t="shared" si="276"/>
        <v>20220</v>
      </c>
      <c r="O1195" t="str">
        <f t="shared" si="277"/>
        <v>中金唯品会奥特莱斯封闭式基础设施证券投资基金|2022|年度</v>
      </c>
      <c r="P1195">
        <f>IF($A1195="",0,IF(COUNTIF($O$2:$O1195,$O1195)=1,1,0))</f>
        <v>0</v>
      </c>
      <c r="Q1195" t="str">
        <f>IF(AND($P1195=1,$A1195=经营数据!$B$3,$J1195=经营数据!$BA$5),COUNTIFS($P$2:$P$3000,1,$A$2:$A$3000,$A1195,$J$2:$J$3000,$J1195,$N$2:$N$3000,"&lt;"&amp;$N1195)+1,"")</f>
        <v/>
      </c>
      <c r="R1195" t="str">
        <f t="shared" si="278"/>
        <v>中金唯品会奥特莱斯封闭式基础设施证券投资基金|宁波杉井奥特莱斯</v>
      </c>
      <c r="S1195">
        <f>IF($A1195="",0,IF(COUNTIF($R$2:$R1195,$R1195)=1,1,0))</f>
        <v>0</v>
      </c>
      <c r="T1195">
        <f t="shared" si="279"/>
        <v>1192</v>
      </c>
      <c r="U1195" t="str">
        <f>IF($A1195="","",IF($A1195=经营数据!$B$3,COUNTIFS($S$2:$S$3000,1,$A$2:$A$3000,$A1195,$T$2:$T$3000,"&lt;"&amp;$T1195)+1,""))</f>
        <v/>
      </c>
      <c r="V1195" t="str">
        <f t="shared" si="280"/>
        <v>宁波杉井奥特莱斯|服务量</v>
      </c>
      <c r="W1195">
        <f t="shared" si="281"/>
        <v>1192</v>
      </c>
      <c r="X1195" t="str">
        <f t="shared" si="282"/>
        <v>宁波杉井奥特莱斯|月整体销售坪效</v>
      </c>
      <c r="Y1195">
        <f t="shared" si="283"/>
        <v>1194</v>
      </c>
      <c r="Z1195">
        <f>IF($A1195="",0,IF(AND($M1195=1,$A1195=经营数据!$B$3,$J1195=经营数据!$BA$5,OR($I1195=经营数据!$BA$4,COUNTIF(经营数据!$AA$9:$AA$38,$I1195)&gt;0)),1,0))</f>
        <v>0</v>
      </c>
      <c r="AA1195" t="str">
        <f t="shared" si="284"/>
        <v/>
      </c>
      <c r="AB1195" t="str">
        <f t="shared" si="285"/>
        <v/>
      </c>
      <c r="AC1195">
        <f>IF($A1195="",0,IF(COUNTIF($A$2:$A1195,$A1195)=1,1,0))</f>
        <v>0</v>
      </c>
      <c r="AD1195">
        <f t="shared" si="286"/>
        <v>11</v>
      </c>
      <c r="AE1195" t="str">
        <f t="shared" si="287"/>
        <v>宁波杉井奥特莱斯|月整体销售坪效（元/月/平方米）</v>
      </c>
    </row>
    <row r="1196" spans="1:31" x14ac:dyDescent="0.4">
      <c r="A1196" t="str">
        <f>IF(原始经营数据!$D1197="","",原始经营数据!$D1197)</f>
        <v>中金唯品会奥特莱斯封闭式基础设施证券投资基金</v>
      </c>
      <c r="B1196" t="str">
        <f>IF(原始经营数据!$D1197="","",T(原始经营数据!$E1197))</f>
        <v>宁波杉井奥特莱斯</v>
      </c>
      <c r="C1196" t="str">
        <f>IF(原始经营数据!$D1197="","",原始经营数据!$F1197)</f>
        <v>2022</v>
      </c>
      <c r="D1196" t="str">
        <f>IF(原始经营数据!$D1197="","",原始经营数据!$H1197)</f>
        <v>月整体租金坪效</v>
      </c>
      <c r="E1196">
        <f>IF(原始经营数据!$D1197="","",原始经营数据!$I1197)</f>
        <v>314.22000000000003</v>
      </c>
      <c r="F1196" t="str">
        <f>IF(原始经营数据!$D1197="","",T(原始经营数据!$J1197))</f>
        <v>元/月/平方米</v>
      </c>
      <c r="G1196" t="str">
        <f>IF(原始经营数据!$D1197="","",T(原始经营数据!$K1197))</f>
        <v/>
      </c>
      <c r="H1196" t="str">
        <f>IF(原始经营数据!$D1197="","",原始经营数据!$G1197)</f>
        <v>服务量</v>
      </c>
      <c r="I1196" t="str">
        <f>IF($A1196="","",IF($B1196&lt;&gt;"",$B1196,IF(COUNTIFS(原始经营数据!$D$3:$D$3001,$A1196,原始经营数据!$E$3:$E$3001,"",原始经营数据!$F$3:$F$3001,$C1196,原始经营数据!$H$3:$H$3001,$D1196,原始经营数据!$K$3:$K$3001,$G1196)&gt;1,"基金整体·来源"&amp;原始经营数据!$A1197,"基金整体")))</f>
        <v>宁波杉井奥特莱斯</v>
      </c>
      <c r="J1196" t="str">
        <f t="shared" si="273"/>
        <v>年度</v>
      </c>
      <c r="K1196" t="str">
        <f t="shared" si="274"/>
        <v>月整体租金坪效（元/月/平方米）</v>
      </c>
      <c r="L1196" t="str">
        <f t="shared" si="275"/>
        <v>宁波杉井奥特莱斯|月整体租金坪效（元/月/平方米）|年度</v>
      </c>
      <c r="M1196">
        <f>IF($A1196="",0,IF(COUNTIF($L$2:$L1196,$L1196)=1,1,0))</f>
        <v>1</v>
      </c>
      <c r="N1196">
        <f t="shared" si="276"/>
        <v>20220</v>
      </c>
      <c r="O1196" t="str">
        <f t="shared" si="277"/>
        <v>中金唯品会奥特莱斯封闭式基础设施证券投资基金|2022|年度</v>
      </c>
      <c r="P1196">
        <f>IF($A1196="",0,IF(COUNTIF($O$2:$O1196,$O1196)=1,1,0))</f>
        <v>0</v>
      </c>
      <c r="Q1196" t="str">
        <f>IF(AND($P1196=1,$A1196=经营数据!$B$3,$J1196=经营数据!$BA$5),COUNTIFS($P$2:$P$3000,1,$A$2:$A$3000,$A1196,$J$2:$J$3000,$J1196,$N$2:$N$3000,"&lt;"&amp;$N1196)+1,"")</f>
        <v/>
      </c>
      <c r="R1196" t="str">
        <f t="shared" si="278"/>
        <v>中金唯品会奥特莱斯封闭式基础设施证券投资基金|宁波杉井奥特莱斯</v>
      </c>
      <c r="S1196">
        <f>IF($A1196="",0,IF(COUNTIF($R$2:$R1196,$R1196)=1,1,0))</f>
        <v>0</v>
      </c>
      <c r="T1196">
        <f t="shared" si="279"/>
        <v>1192</v>
      </c>
      <c r="U1196" t="str">
        <f>IF($A1196="","",IF($A1196=经营数据!$B$3,COUNTIFS($S$2:$S$3000,1,$A$2:$A$3000,$A1196,$T$2:$T$3000,"&lt;"&amp;$T1196)+1,""))</f>
        <v/>
      </c>
      <c r="V1196" t="str">
        <f t="shared" si="280"/>
        <v>宁波杉井奥特莱斯|服务量</v>
      </c>
      <c r="W1196">
        <f t="shared" si="281"/>
        <v>1192</v>
      </c>
      <c r="X1196" t="str">
        <f t="shared" si="282"/>
        <v>宁波杉井奥特莱斯|月整体租金坪效</v>
      </c>
      <c r="Y1196">
        <f t="shared" si="283"/>
        <v>1195</v>
      </c>
      <c r="Z1196">
        <f>IF($A1196="",0,IF(AND($M1196=1,$A1196=经营数据!$B$3,$J1196=经营数据!$BA$5,OR($I1196=经营数据!$BA$4,COUNTIF(经营数据!$AA$9:$AA$38,$I1196)&gt;0)),1,0))</f>
        <v>0</v>
      </c>
      <c r="AA1196" t="str">
        <f t="shared" si="284"/>
        <v/>
      </c>
      <c r="AB1196" t="str">
        <f t="shared" si="285"/>
        <v/>
      </c>
      <c r="AC1196">
        <f>IF($A1196="",0,IF(COUNTIF($A$2:$A1196,$A1196)=1,1,0))</f>
        <v>0</v>
      </c>
      <c r="AD1196">
        <f t="shared" si="286"/>
        <v>11</v>
      </c>
      <c r="AE1196" t="str">
        <f t="shared" si="287"/>
        <v>宁波杉井奥特莱斯|月整体租金坪效（元/月/平方米）</v>
      </c>
    </row>
    <row r="1197" spans="1:31" x14ac:dyDescent="0.4">
      <c r="A1197" t="str">
        <f>IF(原始经营数据!$D1198="","",原始经营数据!$D1198)</f>
        <v>中金唯品会奥特莱斯封闭式基础设施证券投资基金</v>
      </c>
      <c r="B1197" t="str">
        <f>IF(原始经营数据!$D1198="","",T(原始经营数据!$E1198))</f>
        <v>宁波杉井奥特莱斯</v>
      </c>
      <c r="C1197" t="str">
        <f>IF(原始经营数据!$D1198="","",原始经营数据!$F1198)</f>
        <v>2022</v>
      </c>
      <c r="D1197" t="str">
        <f>IF(原始经营数据!$D1198="","",原始经营数据!$H1198)</f>
        <v>租赁商户销售额</v>
      </c>
      <c r="E1197">
        <f>IF(原始经营数据!$D1198="","",原始经营数据!$I1198)</f>
        <v>19066.87</v>
      </c>
      <c r="F1197" t="str">
        <f>IF(原始经营数据!$D1198="","",T(原始经营数据!$J1198))</f>
        <v>万元</v>
      </c>
      <c r="G1197" t="str">
        <f>IF(原始经营数据!$D1198="","",T(原始经营数据!$K1198))</f>
        <v/>
      </c>
      <c r="H1197" t="str">
        <f>IF(原始经营数据!$D1198="","",原始经营数据!$G1198)</f>
        <v>服务金额</v>
      </c>
      <c r="I1197" t="str">
        <f>IF($A1197="","",IF($B1197&lt;&gt;"",$B1197,IF(COUNTIFS(原始经营数据!$D$3:$D$3001,$A1197,原始经营数据!$E$3:$E$3001,"",原始经营数据!$F$3:$F$3001,$C1197,原始经营数据!$H$3:$H$3001,$D1197,原始经营数据!$K$3:$K$3001,$G1197)&gt;1,"基金整体·来源"&amp;原始经营数据!$A1198,"基金整体")))</f>
        <v>宁波杉井奥特莱斯</v>
      </c>
      <c r="J1197" t="str">
        <f t="shared" si="273"/>
        <v>年度</v>
      </c>
      <c r="K1197" t="str">
        <f t="shared" si="274"/>
        <v>租赁商户销售额（万元）</v>
      </c>
      <c r="L1197" t="str">
        <f t="shared" si="275"/>
        <v>宁波杉井奥特莱斯|租赁商户销售额（万元）|年度</v>
      </c>
      <c r="M1197">
        <f>IF($A1197="",0,IF(COUNTIF($L$2:$L1197,$L1197)=1,1,0))</f>
        <v>1</v>
      </c>
      <c r="N1197">
        <f t="shared" si="276"/>
        <v>20220</v>
      </c>
      <c r="O1197" t="str">
        <f t="shared" si="277"/>
        <v>中金唯品会奥特莱斯封闭式基础设施证券投资基金|2022|年度</v>
      </c>
      <c r="P1197">
        <f>IF($A1197="",0,IF(COUNTIF($O$2:$O1197,$O1197)=1,1,0))</f>
        <v>0</v>
      </c>
      <c r="Q1197" t="str">
        <f>IF(AND($P1197=1,$A1197=经营数据!$B$3,$J1197=经营数据!$BA$5),COUNTIFS($P$2:$P$3000,1,$A$2:$A$3000,$A1197,$J$2:$J$3000,$J1197,$N$2:$N$3000,"&lt;"&amp;$N1197)+1,"")</f>
        <v/>
      </c>
      <c r="R1197" t="str">
        <f t="shared" si="278"/>
        <v>中金唯品会奥特莱斯封闭式基础设施证券投资基金|宁波杉井奥特莱斯</v>
      </c>
      <c r="S1197">
        <f>IF($A1197="",0,IF(COUNTIF($R$2:$R1197,$R1197)=1,1,0))</f>
        <v>0</v>
      </c>
      <c r="T1197">
        <f t="shared" si="279"/>
        <v>1192</v>
      </c>
      <c r="U1197" t="str">
        <f>IF($A1197="","",IF($A1197=经营数据!$B$3,COUNTIFS($S$2:$S$3000,1,$A$2:$A$3000,$A1197,$T$2:$T$3000,"&lt;"&amp;$T1197)+1,""))</f>
        <v/>
      </c>
      <c r="V1197" t="str">
        <f t="shared" si="280"/>
        <v>宁波杉井奥特莱斯|服务金额</v>
      </c>
      <c r="W1197">
        <f t="shared" si="281"/>
        <v>1193</v>
      </c>
      <c r="X1197" t="str">
        <f t="shared" si="282"/>
        <v>宁波杉井奥特莱斯|租赁商户销售额</v>
      </c>
      <c r="Y1197">
        <f t="shared" si="283"/>
        <v>1196</v>
      </c>
      <c r="Z1197">
        <f>IF($A1197="",0,IF(AND($M1197=1,$A1197=经营数据!$B$3,$J1197=经营数据!$BA$5,OR($I1197=经营数据!$BA$4,COUNTIF(经营数据!$AA$9:$AA$38,$I1197)&gt;0)),1,0))</f>
        <v>0</v>
      </c>
      <c r="AA1197" t="str">
        <f t="shared" si="284"/>
        <v/>
      </c>
      <c r="AB1197" t="str">
        <f t="shared" si="285"/>
        <v/>
      </c>
      <c r="AC1197">
        <f>IF($A1197="",0,IF(COUNTIF($A$2:$A1197,$A1197)=1,1,0))</f>
        <v>0</v>
      </c>
      <c r="AD1197">
        <f t="shared" si="286"/>
        <v>11</v>
      </c>
      <c r="AE1197" t="str">
        <f t="shared" si="287"/>
        <v>宁波杉井奥特莱斯|租赁商户销售额（万元）</v>
      </c>
    </row>
    <row r="1198" spans="1:31" x14ac:dyDescent="0.4">
      <c r="A1198" t="str">
        <f>IF(原始经营数据!$D1199="","",原始经营数据!$D1199)</f>
        <v>中金唯品会奥特莱斯封闭式基础设施证券投资基金</v>
      </c>
      <c r="B1198" t="str">
        <f>IF(原始经营数据!$D1199="","",T(原始经营数据!$E1199))</f>
        <v>宁波杉井奥特莱斯</v>
      </c>
      <c r="C1198" t="str">
        <f>IF(原始经营数据!$D1199="","",原始经营数据!$F1199)</f>
        <v>2022</v>
      </c>
      <c r="D1198" t="str">
        <f>IF(原始经营数据!$D1199="","",原始经营数据!$H1199)</f>
        <v>整体销售额</v>
      </c>
      <c r="E1198">
        <f>IF(原始经营数据!$D1199="","",原始经营数据!$I1199)</f>
        <v>163189.01999999999</v>
      </c>
      <c r="F1198" t="str">
        <f>IF(原始经营数据!$D1199="","",T(原始经营数据!$J1199))</f>
        <v>万元</v>
      </c>
      <c r="G1198" t="str">
        <f>IF(原始经营数据!$D1199="","",T(原始经营数据!$K1199))</f>
        <v/>
      </c>
      <c r="H1198" t="str">
        <f>IF(原始经营数据!$D1199="","",原始经营数据!$G1199)</f>
        <v>服务金额</v>
      </c>
      <c r="I1198" t="str">
        <f>IF($A1198="","",IF($B1198&lt;&gt;"",$B1198,IF(COUNTIFS(原始经营数据!$D$3:$D$3001,$A1198,原始经营数据!$E$3:$E$3001,"",原始经营数据!$F$3:$F$3001,$C1198,原始经营数据!$H$3:$H$3001,$D1198,原始经营数据!$K$3:$K$3001,$G1198)&gt;1,"基金整体·来源"&amp;原始经营数据!$A1199,"基金整体")))</f>
        <v>宁波杉井奥特莱斯</v>
      </c>
      <c r="J1198" t="str">
        <f t="shared" si="273"/>
        <v>年度</v>
      </c>
      <c r="K1198" t="str">
        <f t="shared" si="274"/>
        <v>整体销售额（万元）</v>
      </c>
      <c r="L1198" t="str">
        <f t="shared" si="275"/>
        <v>宁波杉井奥特莱斯|整体销售额（万元）|年度</v>
      </c>
      <c r="M1198">
        <f>IF($A1198="",0,IF(COUNTIF($L$2:$L1198,$L1198)=1,1,0))</f>
        <v>1</v>
      </c>
      <c r="N1198">
        <f t="shared" si="276"/>
        <v>20220</v>
      </c>
      <c r="O1198" t="str">
        <f t="shared" si="277"/>
        <v>中金唯品会奥特莱斯封闭式基础设施证券投资基金|2022|年度</v>
      </c>
      <c r="P1198">
        <f>IF($A1198="",0,IF(COUNTIF($O$2:$O1198,$O1198)=1,1,0))</f>
        <v>0</v>
      </c>
      <c r="Q1198" t="str">
        <f>IF(AND($P1198=1,$A1198=经营数据!$B$3,$J1198=经营数据!$BA$5),COUNTIFS($P$2:$P$3000,1,$A$2:$A$3000,$A1198,$J$2:$J$3000,$J1198,$N$2:$N$3000,"&lt;"&amp;$N1198)+1,"")</f>
        <v/>
      </c>
      <c r="R1198" t="str">
        <f t="shared" si="278"/>
        <v>中金唯品会奥特莱斯封闭式基础设施证券投资基金|宁波杉井奥特莱斯</v>
      </c>
      <c r="S1198">
        <f>IF($A1198="",0,IF(COUNTIF($R$2:$R1198,$R1198)=1,1,0))</f>
        <v>0</v>
      </c>
      <c r="T1198">
        <f t="shared" si="279"/>
        <v>1192</v>
      </c>
      <c r="U1198" t="str">
        <f>IF($A1198="","",IF($A1198=经营数据!$B$3,COUNTIFS($S$2:$S$3000,1,$A$2:$A$3000,$A1198,$T$2:$T$3000,"&lt;"&amp;$T1198)+1,""))</f>
        <v/>
      </c>
      <c r="V1198" t="str">
        <f t="shared" si="280"/>
        <v>宁波杉井奥特莱斯|服务金额</v>
      </c>
      <c r="W1198">
        <f t="shared" si="281"/>
        <v>1193</v>
      </c>
      <c r="X1198" t="str">
        <f t="shared" si="282"/>
        <v>宁波杉井奥特莱斯|整体销售额</v>
      </c>
      <c r="Y1198">
        <f t="shared" si="283"/>
        <v>1197</v>
      </c>
      <c r="Z1198">
        <f>IF($A1198="",0,IF(AND($M1198=1,$A1198=经营数据!$B$3,$J1198=经营数据!$BA$5,OR($I1198=经营数据!$BA$4,COUNTIF(经营数据!$AA$9:$AA$38,$I1198)&gt;0)),1,0))</f>
        <v>0</v>
      </c>
      <c r="AA1198" t="str">
        <f t="shared" si="284"/>
        <v/>
      </c>
      <c r="AB1198" t="str">
        <f t="shared" si="285"/>
        <v/>
      </c>
      <c r="AC1198">
        <f>IF($A1198="",0,IF(COUNTIF($A$2:$A1198,$A1198)=1,1,0))</f>
        <v>0</v>
      </c>
      <c r="AD1198">
        <f t="shared" si="286"/>
        <v>11</v>
      </c>
      <c r="AE1198" t="str">
        <f t="shared" si="287"/>
        <v>宁波杉井奥特莱斯|整体销售额（万元）</v>
      </c>
    </row>
    <row r="1199" spans="1:31" x14ac:dyDescent="0.4">
      <c r="A1199" t="str">
        <f>IF(原始经营数据!$D1200="","",原始经营数据!$D1200)</f>
        <v>中金唯品会奥特莱斯封闭式基础设施证券投资基金</v>
      </c>
      <c r="B1199" t="str">
        <f>IF(原始经营数据!$D1200="","",T(原始经营数据!$E1200))</f>
        <v>宁波杉井奥特莱斯</v>
      </c>
      <c r="C1199" t="str">
        <f>IF(原始经营数据!$D1200="","",原始经营数据!$F1200)</f>
        <v>2022</v>
      </c>
      <c r="D1199" t="str">
        <f>IF(原始经营数据!$D1200="","",原始经营数据!$H1200)</f>
        <v>联营商户销售额</v>
      </c>
      <c r="E1199">
        <f>IF(原始经营数据!$D1200="","",原始经营数据!$I1200)</f>
        <v>144122.15</v>
      </c>
      <c r="F1199" t="str">
        <f>IF(原始经营数据!$D1200="","",T(原始经营数据!$J1200))</f>
        <v>万元</v>
      </c>
      <c r="G1199" t="str">
        <f>IF(原始经营数据!$D1200="","",T(原始经营数据!$K1200))</f>
        <v/>
      </c>
      <c r="H1199" t="str">
        <f>IF(原始经营数据!$D1200="","",原始经营数据!$G1200)</f>
        <v>服务金额</v>
      </c>
      <c r="I1199" t="str">
        <f>IF($A1199="","",IF($B1199&lt;&gt;"",$B1199,IF(COUNTIFS(原始经营数据!$D$3:$D$3001,$A1199,原始经营数据!$E$3:$E$3001,"",原始经营数据!$F$3:$F$3001,$C1199,原始经营数据!$H$3:$H$3001,$D1199,原始经营数据!$K$3:$K$3001,$G1199)&gt;1,"基金整体·来源"&amp;原始经营数据!$A1200,"基金整体")))</f>
        <v>宁波杉井奥特莱斯</v>
      </c>
      <c r="J1199" t="str">
        <f t="shared" si="273"/>
        <v>年度</v>
      </c>
      <c r="K1199" t="str">
        <f t="shared" si="274"/>
        <v>联营商户销售额（万元）</v>
      </c>
      <c r="L1199" t="str">
        <f t="shared" si="275"/>
        <v>宁波杉井奥特莱斯|联营商户销售额（万元）|年度</v>
      </c>
      <c r="M1199">
        <f>IF($A1199="",0,IF(COUNTIF($L$2:$L1199,$L1199)=1,1,0))</f>
        <v>1</v>
      </c>
      <c r="N1199">
        <f t="shared" si="276"/>
        <v>20220</v>
      </c>
      <c r="O1199" t="str">
        <f t="shared" si="277"/>
        <v>中金唯品会奥特莱斯封闭式基础设施证券投资基金|2022|年度</v>
      </c>
      <c r="P1199">
        <f>IF($A1199="",0,IF(COUNTIF($O$2:$O1199,$O1199)=1,1,0))</f>
        <v>0</v>
      </c>
      <c r="Q1199" t="str">
        <f>IF(AND($P1199=1,$A1199=经营数据!$B$3,$J1199=经营数据!$BA$5),COUNTIFS($P$2:$P$3000,1,$A$2:$A$3000,$A1199,$J$2:$J$3000,$J1199,$N$2:$N$3000,"&lt;"&amp;$N1199)+1,"")</f>
        <v/>
      </c>
      <c r="R1199" t="str">
        <f t="shared" si="278"/>
        <v>中金唯品会奥特莱斯封闭式基础设施证券投资基金|宁波杉井奥特莱斯</v>
      </c>
      <c r="S1199">
        <f>IF($A1199="",0,IF(COUNTIF($R$2:$R1199,$R1199)=1,1,0))</f>
        <v>0</v>
      </c>
      <c r="T1199">
        <f t="shared" si="279"/>
        <v>1192</v>
      </c>
      <c r="U1199" t="str">
        <f>IF($A1199="","",IF($A1199=经营数据!$B$3,COUNTIFS($S$2:$S$3000,1,$A$2:$A$3000,$A1199,$T$2:$T$3000,"&lt;"&amp;$T1199)+1,""))</f>
        <v/>
      </c>
      <c r="V1199" t="str">
        <f t="shared" si="280"/>
        <v>宁波杉井奥特莱斯|服务金额</v>
      </c>
      <c r="W1199">
        <f t="shared" si="281"/>
        <v>1193</v>
      </c>
      <c r="X1199" t="str">
        <f t="shared" si="282"/>
        <v>宁波杉井奥特莱斯|联营商户销售额</v>
      </c>
      <c r="Y1199">
        <f t="shared" si="283"/>
        <v>1198</v>
      </c>
      <c r="Z1199">
        <f>IF($A1199="",0,IF(AND($M1199=1,$A1199=经营数据!$B$3,$J1199=经营数据!$BA$5,OR($I1199=经营数据!$BA$4,COUNTIF(经营数据!$AA$9:$AA$38,$I1199)&gt;0)),1,0))</f>
        <v>0</v>
      </c>
      <c r="AA1199" t="str">
        <f t="shared" si="284"/>
        <v/>
      </c>
      <c r="AB1199" t="str">
        <f t="shared" si="285"/>
        <v/>
      </c>
      <c r="AC1199">
        <f>IF($A1199="",0,IF(COUNTIF($A$2:$A1199,$A1199)=1,1,0))</f>
        <v>0</v>
      </c>
      <c r="AD1199">
        <f t="shared" si="286"/>
        <v>11</v>
      </c>
      <c r="AE1199" t="str">
        <f t="shared" si="287"/>
        <v>宁波杉井奥特莱斯|联营商户销售额（万元）</v>
      </c>
    </row>
    <row r="1200" spans="1:31" x14ac:dyDescent="0.4">
      <c r="A1200" t="str">
        <f>IF(原始经营数据!$D1201="","",原始经营数据!$D1201)</f>
        <v>中金唯品会奥特莱斯封闭式基础设施证券投资基金</v>
      </c>
      <c r="B1200" t="str">
        <f>IF(原始经营数据!$D1201="","",T(原始经营数据!$E1201))</f>
        <v>宁波杉井奥特莱斯</v>
      </c>
      <c r="C1200" t="str">
        <f>IF(原始经营数据!$D1201="","",原始经营数据!$F1201)</f>
        <v>2022</v>
      </c>
      <c r="D1200" t="str">
        <f>IF(原始经营数据!$D1201="","",原始经营数据!$H1201)</f>
        <v>联营模式收入</v>
      </c>
      <c r="E1200">
        <f>IF(原始经营数据!$D1201="","",原始经营数据!$I1201)</f>
        <v>17157.72</v>
      </c>
      <c r="F1200" t="str">
        <f>IF(原始经营数据!$D1201="","",T(原始经营数据!$J1201))</f>
        <v>万元</v>
      </c>
      <c r="G1200" t="str">
        <f>IF(原始经营数据!$D1201="","",T(原始经营数据!$K1201))</f>
        <v/>
      </c>
      <c r="H1200" t="str">
        <f>IF(原始经营数据!$D1201="","",原始经营数据!$G1201)</f>
        <v>服务金额</v>
      </c>
      <c r="I1200" t="str">
        <f>IF($A1200="","",IF($B1200&lt;&gt;"",$B1200,IF(COUNTIFS(原始经营数据!$D$3:$D$3001,$A1200,原始经营数据!$E$3:$E$3001,"",原始经营数据!$F$3:$F$3001,$C1200,原始经营数据!$H$3:$H$3001,$D1200,原始经营数据!$K$3:$K$3001,$G1200)&gt;1,"基金整体·来源"&amp;原始经营数据!$A1201,"基金整体")))</f>
        <v>宁波杉井奥特莱斯</v>
      </c>
      <c r="J1200" t="str">
        <f t="shared" si="273"/>
        <v>年度</v>
      </c>
      <c r="K1200" t="str">
        <f t="shared" si="274"/>
        <v>联营模式收入（万元）</v>
      </c>
      <c r="L1200" t="str">
        <f t="shared" si="275"/>
        <v>宁波杉井奥特莱斯|联营模式收入（万元）|年度</v>
      </c>
      <c r="M1200">
        <f>IF($A1200="",0,IF(COUNTIF($L$2:$L1200,$L1200)=1,1,0))</f>
        <v>1</v>
      </c>
      <c r="N1200">
        <f t="shared" si="276"/>
        <v>20220</v>
      </c>
      <c r="O1200" t="str">
        <f t="shared" si="277"/>
        <v>中金唯品会奥特莱斯封闭式基础设施证券投资基金|2022|年度</v>
      </c>
      <c r="P1200">
        <f>IF($A1200="",0,IF(COUNTIF($O$2:$O1200,$O1200)=1,1,0))</f>
        <v>0</v>
      </c>
      <c r="Q1200" t="str">
        <f>IF(AND($P1200=1,$A1200=经营数据!$B$3,$J1200=经营数据!$BA$5),COUNTIFS($P$2:$P$3000,1,$A$2:$A$3000,$A1200,$J$2:$J$3000,$J1200,$N$2:$N$3000,"&lt;"&amp;$N1200)+1,"")</f>
        <v/>
      </c>
      <c r="R1200" t="str">
        <f t="shared" si="278"/>
        <v>中金唯品会奥特莱斯封闭式基础设施证券投资基金|宁波杉井奥特莱斯</v>
      </c>
      <c r="S1200">
        <f>IF($A1200="",0,IF(COUNTIF($R$2:$R1200,$R1200)=1,1,0))</f>
        <v>0</v>
      </c>
      <c r="T1200">
        <f t="shared" si="279"/>
        <v>1192</v>
      </c>
      <c r="U1200" t="str">
        <f>IF($A1200="","",IF($A1200=经营数据!$B$3,COUNTIFS($S$2:$S$3000,1,$A$2:$A$3000,$A1200,$T$2:$T$3000,"&lt;"&amp;$T1200)+1,""))</f>
        <v/>
      </c>
      <c r="V1200" t="str">
        <f t="shared" si="280"/>
        <v>宁波杉井奥特莱斯|服务金额</v>
      </c>
      <c r="W1200">
        <f t="shared" si="281"/>
        <v>1193</v>
      </c>
      <c r="X1200" t="str">
        <f t="shared" si="282"/>
        <v>宁波杉井奥特莱斯|联营模式收入</v>
      </c>
      <c r="Y1200">
        <f t="shared" si="283"/>
        <v>1199</v>
      </c>
      <c r="Z1200">
        <f>IF($A1200="",0,IF(AND($M1200=1,$A1200=经营数据!$B$3,$J1200=经营数据!$BA$5,OR($I1200=经营数据!$BA$4,COUNTIF(经营数据!$AA$9:$AA$38,$I1200)&gt;0)),1,0))</f>
        <v>0</v>
      </c>
      <c r="AA1200" t="str">
        <f t="shared" si="284"/>
        <v/>
      </c>
      <c r="AB1200" t="str">
        <f t="shared" si="285"/>
        <v/>
      </c>
      <c r="AC1200">
        <f>IF($A1200="",0,IF(COUNTIF($A$2:$A1200,$A1200)=1,1,0))</f>
        <v>0</v>
      </c>
      <c r="AD1200">
        <f t="shared" si="286"/>
        <v>11</v>
      </c>
      <c r="AE1200" t="str">
        <f t="shared" si="287"/>
        <v>宁波杉井奥特莱斯|联营模式收入（万元）</v>
      </c>
    </row>
    <row r="1201" spans="1:31" x14ac:dyDescent="0.4">
      <c r="A1201" t="str">
        <f>IF(原始经营数据!$D1202="","",原始经营数据!$D1202)</f>
        <v>中金唯品会奥特莱斯封闭式基础设施证券投资基金</v>
      </c>
      <c r="B1201" t="str">
        <f>IF(原始经营数据!$D1202="","",T(原始经营数据!$E1202))</f>
        <v>宁波杉井奥特莱斯</v>
      </c>
      <c r="C1201" t="str">
        <f>IF(原始经营数据!$D1202="","",原始经营数据!$F1202)</f>
        <v>2022</v>
      </c>
      <c r="D1201" t="str">
        <f>IF(原始经营数据!$D1202="","",原始经营数据!$H1202)</f>
        <v>联营模式扣率</v>
      </c>
      <c r="E1201">
        <f>IF(原始经营数据!$D1202="","",原始经营数据!$I1202)</f>
        <v>13.45</v>
      </c>
      <c r="F1201" t="str">
        <f>IF(原始经营数据!$D1202="","",T(原始经营数据!$J1202))</f>
        <v>%</v>
      </c>
      <c r="G1201" t="str">
        <f>IF(原始经营数据!$D1202="","",T(原始经营数据!$K1202))</f>
        <v/>
      </c>
      <c r="H1201" t="str">
        <f>IF(原始经营数据!$D1202="","",原始经营数据!$G1202)</f>
        <v>服务效率</v>
      </c>
      <c r="I1201" t="str">
        <f>IF($A1201="","",IF($B1201&lt;&gt;"",$B1201,IF(COUNTIFS(原始经营数据!$D$3:$D$3001,$A1201,原始经营数据!$E$3:$E$3001,"",原始经营数据!$F$3:$F$3001,$C1201,原始经营数据!$H$3:$H$3001,$D1201,原始经营数据!$K$3:$K$3001,$G1201)&gt;1,"基金整体·来源"&amp;原始经营数据!$A1202,"基金整体")))</f>
        <v>宁波杉井奥特莱斯</v>
      </c>
      <c r="J1201" t="str">
        <f t="shared" si="273"/>
        <v>年度</v>
      </c>
      <c r="K1201" t="str">
        <f t="shared" si="274"/>
        <v>联营模式扣率（%）</v>
      </c>
      <c r="L1201" t="str">
        <f t="shared" si="275"/>
        <v>宁波杉井奥特莱斯|联营模式扣率（%）|年度</v>
      </c>
      <c r="M1201">
        <f>IF($A1201="",0,IF(COUNTIF($L$2:$L1201,$L1201)=1,1,0))</f>
        <v>1</v>
      </c>
      <c r="N1201">
        <f t="shared" si="276"/>
        <v>20220</v>
      </c>
      <c r="O1201" t="str">
        <f t="shared" si="277"/>
        <v>中金唯品会奥特莱斯封闭式基础设施证券投资基金|2022|年度</v>
      </c>
      <c r="P1201">
        <f>IF($A1201="",0,IF(COUNTIF($O$2:$O1201,$O1201)=1,1,0))</f>
        <v>0</v>
      </c>
      <c r="Q1201" t="str">
        <f>IF(AND($P1201=1,$A1201=经营数据!$B$3,$J1201=经营数据!$BA$5),COUNTIFS($P$2:$P$3000,1,$A$2:$A$3000,$A1201,$J$2:$J$3000,$J1201,$N$2:$N$3000,"&lt;"&amp;$N1201)+1,"")</f>
        <v/>
      </c>
      <c r="R1201" t="str">
        <f t="shared" si="278"/>
        <v>中金唯品会奥特莱斯封闭式基础设施证券投资基金|宁波杉井奥特莱斯</v>
      </c>
      <c r="S1201">
        <f>IF($A1201="",0,IF(COUNTIF($R$2:$R1201,$R1201)=1,1,0))</f>
        <v>0</v>
      </c>
      <c r="T1201">
        <f t="shared" si="279"/>
        <v>1192</v>
      </c>
      <c r="U1201" t="str">
        <f>IF($A1201="","",IF($A1201=经营数据!$B$3,COUNTIFS($S$2:$S$3000,1,$A$2:$A$3000,$A1201,$T$2:$T$3000,"&lt;"&amp;$T1201)+1,""))</f>
        <v/>
      </c>
      <c r="V1201" t="str">
        <f t="shared" si="280"/>
        <v>宁波杉井奥特莱斯|服务效率</v>
      </c>
      <c r="W1201">
        <f t="shared" si="281"/>
        <v>1200</v>
      </c>
      <c r="X1201" t="str">
        <f t="shared" si="282"/>
        <v>宁波杉井奥特莱斯|联营模式扣率</v>
      </c>
      <c r="Y1201">
        <f t="shared" si="283"/>
        <v>1200</v>
      </c>
      <c r="Z1201">
        <f>IF($A1201="",0,IF(AND($M1201=1,$A1201=经营数据!$B$3,$J1201=经营数据!$BA$5,OR($I1201=经营数据!$BA$4,COUNTIF(经营数据!$AA$9:$AA$38,$I1201)&gt;0)),1,0))</f>
        <v>0</v>
      </c>
      <c r="AA1201" t="str">
        <f t="shared" si="284"/>
        <v/>
      </c>
      <c r="AB1201" t="str">
        <f t="shared" si="285"/>
        <v/>
      </c>
      <c r="AC1201">
        <f>IF($A1201="",0,IF(COUNTIF($A$2:$A1201,$A1201)=1,1,0))</f>
        <v>0</v>
      </c>
      <c r="AD1201">
        <f t="shared" si="286"/>
        <v>11</v>
      </c>
      <c r="AE1201" t="str">
        <f t="shared" si="287"/>
        <v>宁波杉井奥特莱斯|联营模式扣率（%）</v>
      </c>
    </row>
    <row r="1202" spans="1:31" x14ac:dyDescent="0.4">
      <c r="A1202" t="str">
        <f>IF(原始经营数据!$D1203="","",原始经营数据!$D1203)</f>
        <v>中金唯品会奥特莱斯封闭式基础设施证券投资基金</v>
      </c>
      <c r="B1202" t="str">
        <f>IF(原始经营数据!$D1203="","",T(原始经营数据!$E1203))</f>
        <v>宁波杉井奥特莱斯</v>
      </c>
      <c r="C1202" t="str">
        <f>IF(原始经营数据!$D1203="","",原始经营数据!$F1203)</f>
        <v>2022</v>
      </c>
      <c r="D1202" t="str">
        <f>IF(原始经营数据!$D1203="","",原始经营数据!$H1203)</f>
        <v>平均出租率</v>
      </c>
      <c r="E1202">
        <f>IF(原始经营数据!$D1203="","",原始经营数据!$I1203)</f>
        <v>98.26</v>
      </c>
      <c r="F1202" t="str">
        <f>IF(原始经营数据!$D1203="","",T(原始经营数据!$J1203))</f>
        <v>%</v>
      </c>
      <c r="G1202" t="str">
        <f>IF(原始经营数据!$D1203="","",T(原始经营数据!$K1203))</f>
        <v/>
      </c>
      <c r="H1202" t="str">
        <f>IF(原始经营数据!$D1203="","",原始经营数据!$G1203)</f>
        <v>服务效率</v>
      </c>
      <c r="I1202" t="str">
        <f>IF($A1202="","",IF($B1202&lt;&gt;"",$B1202,IF(COUNTIFS(原始经营数据!$D$3:$D$3001,$A1202,原始经营数据!$E$3:$E$3001,"",原始经营数据!$F$3:$F$3001,$C1202,原始经营数据!$H$3:$H$3001,$D1202,原始经营数据!$K$3:$K$3001,$G1202)&gt;1,"基金整体·来源"&amp;原始经营数据!$A1203,"基金整体")))</f>
        <v>宁波杉井奥特莱斯</v>
      </c>
      <c r="J1202" t="str">
        <f t="shared" si="273"/>
        <v>年度</v>
      </c>
      <c r="K1202" t="str">
        <f t="shared" si="274"/>
        <v>平均出租率（%）</v>
      </c>
      <c r="L1202" t="str">
        <f t="shared" si="275"/>
        <v>宁波杉井奥特莱斯|平均出租率（%）|年度</v>
      </c>
      <c r="M1202">
        <f>IF($A1202="",0,IF(COUNTIF($L$2:$L1202,$L1202)=1,1,0))</f>
        <v>1</v>
      </c>
      <c r="N1202">
        <f t="shared" si="276"/>
        <v>20220</v>
      </c>
      <c r="O1202" t="str">
        <f t="shared" si="277"/>
        <v>中金唯品会奥特莱斯封闭式基础设施证券投资基金|2022|年度</v>
      </c>
      <c r="P1202">
        <f>IF($A1202="",0,IF(COUNTIF($O$2:$O1202,$O1202)=1,1,0))</f>
        <v>0</v>
      </c>
      <c r="Q1202" t="str">
        <f>IF(AND($P1202=1,$A1202=经营数据!$B$3,$J1202=经营数据!$BA$5),COUNTIFS($P$2:$P$3000,1,$A$2:$A$3000,$A1202,$J$2:$J$3000,$J1202,$N$2:$N$3000,"&lt;"&amp;$N1202)+1,"")</f>
        <v/>
      </c>
      <c r="R1202" t="str">
        <f t="shared" si="278"/>
        <v>中金唯品会奥特莱斯封闭式基础设施证券投资基金|宁波杉井奥特莱斯</v>
      </c>
      <c r="S1202">
        <f>IF($A1202="",0,IF(COUNTIF($R$2:$R1202,$R1202)=1,1,0))</f>
        <v>0</v>
      </c>
      <c r="T1202">
        <f t="shared" si="279"/>
        <v>1192</v>
      </c>
      <c r="U1202" t="str">
        <f>IF($A1202="","",IF($A1202=经营数据!$B$3,COUNTIFS($S$2:$S$3000,1,$A$2:$A$3000,$A1202,$T$2:$T$3000,"&lt;"&amp;$T1202)+1,""))</f>
        <v/>
      </c>
      <c r="V1202" t="str">
        <f t="shared" si="280"/>
        <v>宁波杉井奥特莱斯|服务效率</v>
      </c>
      <c r="W1202">
        <f t="shared" si="281"/>
        <v>1200</v>
      </c>
      <c r="X1202" t="str">
        <f t="shared" si="282"/>
        <v>宁波杉井奥特莱斯|平均出租率</v>
      </c>
      <c r="Y1202">
        <f t="shared" si="283"/>
        <v>1201</v>
      </c>
      <c r="Z1202">
        <f>IF($A1202="",0,IF(AND($M1202=1,$A1202=经营数据!$B$3,$J1202=经营数据!$BA$5,OR($I1202=经营数据!$BA$4,COUNTIF(经营数据!$AA$9:$AA$38,$I1202)&gt;0)),1,0))</f>
        <v>0</v>
      </c>
      <c r="AA1202" t="str">
        <f t="shared" si="284"/>
        <v/>
      </c>
      <c r="AB1202" t="str">
        <f t="shared" si="285"/>
        <v/>
      </c>
      <c r="AC1202">
        <f>IF($A1202="",0,IF(COUNTIF($A$2:$A1202,$A1202)=1,1,0))</f>
        <v>0</v>
      </c>
      <c r="AD1202">
        <f t="shared" si="286"/>
        <v>11</v>
      </c>
      <c r="AE1202" t="str">
        <f t="shared" si="287"/>
        <v>宁波杉井奥特莱斯|平均出租率（%）</v>
      </c>
    </row>
    <row r="1203" spans="1:31" x14ac:dyDescent="0.4">
      <c r="A1203" t="str">
        <f>IF(原始经营数据!$D1204="","",原始经营数据!$D1204)</f>
        <v>中金唯品会奥特莱斯封闭式基础设施证券投资基金</v>
      </c>
      <c r="B1203" t="str">
        <f>IF(原始经营数据!$D1204="","",T(原始经营数据!$E1204))</f>
        <v>宁波杉井奥特莱斯</v>
      </c>
      <c r="C1203" t="str">
        <f>IF(原始经营数据!$D1204="","",原始经营数据!$F1204)</f>
        <v>2023</v>
      </c>
      <c r="D1203" t="str">
        <f>IF(原始经营数据!$D1204="","",原始经营数据!$H1204)</f>
        <v>租金收入</v>
      </c>
      <c r="E1203">
        <f>IF(原始经营数据!$D1204="","",原始经营数据!$I1204)</f>
        <v>2237.5700000000002</v>
      </c>
      <c r="F1203" t="str">
        <f>IF(原始经营数据!$D1204="","",T(原始经营数据!$J1204))</f>
        <v>万元</v>
      </c>
      <c r="G1203" t="str">
        <f>IF(原始经营数据!$D1204="","",T(原始经营数据!$K1204))</f>
        <v/>
      </c>
      <c r="H1203" t="str">
        <f>IF(原始经营数据!$D1204="","",原始经营数据!$G1204)</f>
        <v>服务金额</v>
      </c>
      <c r="I1203" t="str">
        <f>IF($A1203="","",IF($B1203&lt;&gt;"",$B1203,IF(COUNTIFS(原始经营数据!$D$3:$D$3001,$A1203,原始经营数据!$E$3:$E$3001,"",原始经营数据!$F$3:$F$3001,$C1203,原始经营数据!$H$3:$H$3001,$D1203,原始经营数据!$K$3:$K$3001,$G1203)&gt;1,"基金整体·来源"&amp;原始经营数据!$A1204,"基金整体")))</f>
        <v>宁波杉井奥特莱斯</v>
      </c>
      <c r="J1203" t="str">
        <f t="shared" si="273"/>
        <v>年度</v>
      </c>
      <c r="K1203" t="str">
        <f t="shared" si="274"/>
        <v>租金收入（万元）</v>
      </c>
      <c r="L1203" t="str">
        <f t="shared" si="275"/>
        <v>宁波杉井奥特莱斯|租金收入（万元）|年度</v>
      </c>
      <c r="M1203">
        <f>IF($A1203="",0,IF(COUNTIF($L$2:$L1203,$L1203)=1,1,0))</f>
        <v>0</v>
      </c>
      <c r="N1203">
        <f t="shared" si="276"/>
        <v>20230</v>
      </c>
      <c r="O1203" t="str">
        <f t="shared" si="277"/>
        <v>中金唯品会奥特莱斯封闭式基础设施证券投资基金|2023|年度</v>
      </c>
      <c r="P1203">
        <f>IF($A1203="",0,IF(COUNTIF($O$2:$O1203,$O1203)=1,1,0))</f>
        <v>1</v>
      </c>
      <c r="Q1203" t="str">
        <f>IF(AND($P1203=1,$A1203=经营数据!$B$3,$J1203=经营数据!$BA$5),COUNTIFS($P$2:$P$3000,1,$A$2:$A$3000,$A1203,$J$2:$J$3000,$J1203,$N$2:$N$3000,"&lt;"&amp;$N1203)+1,"")</f>
        <v/>
      </c>
      <c r="R1203" t="str">
        <f t="shared" si="278"/>
        <v>中金唯品会奥特莱斯封闭式基础设施证券投资基金|宁波杉井奥特莱斯</v>
      </c>
      <c r="S1203">
        <f>IF($A1203="",0,IF(COUNTIF($R$2:$R1203,$R1203)=1,1,0))</f>
        <v>0</v>
      </c>
      <c r="T1203">
        <f t="shared" si="279"/>
        <v>1192</v>
      </c>
      <c r="U1203" t="str">
        <f>IF($A1203="","",IF($A1203=经营数据!$B$3,COUNTIFS($S$2:$S$3000,1,$A$2:$A$3000,$A1203,$T$2:$T$3000,"&lt;"&amp;$T1203)+1,""))</f>
        <v/>
      </c>
      <c r="V1203" t="str">
        <f t="shared" si="280"/>
        <v>宁波杉井奥特莱斯|服务金额</v>
      </c>
      <c r="W1203">
        <f t="shared" si="281"/>
        <v>1193</v>
      </c>
      <c r="X1203" t="str">
        <f t="shared" si="282"/>
        <v>宁波杉井奥特莱斯|租金收入</v>
      </c>
      <c r="Y1203">
        <f t="shared" si="283"/>
        <v>1193</v>
      </c>
      <c r="Z1203">
        <f>IF($A1203="",0,IF(AND($M1203=1,$A1203=经营数据!$B$3,$J1203=经营数据!$BA$5,OR($I1203=经营数据!$BA$4,COUNTIF(经营数据!$AA$9:$AA$38,$I1203)&gt;0)),1,0))</f>
        <v>0</v>
      </c>
      <c r="AA1203" t="str">
        <f t="shared" si="284"/>
        <v/>
      </c>
      <c r="AB1203" t="str">
        <f t="shared" si="285"/>
        <v/>
      </c>
      <c r="AC1203">
        <f>IF($A1203="",0,IF(COUNTIF($A$2:$A1203,$A1203)=1,1,0))</f>
        <v>0</v>
      </c>
      <c r="AD1203">
        <f t="shared" si="286"/>
        <v>11</v>
      </c>
      <c r="AE1203" t="str">
        <f t="shared" si="287"/>
        <v>宁波杉井奥特莱斯|租金收入（万元）</v>
      </c>
    </row>
    <row r="1204" spans="1:31" x14ac:dyDescent="0.4">
      <c r="A1204" t="str">
        <f>IF(原始经营数据!$D1205="","",原始经营数据!$D1205)</f>
        <v>中金唯品会奥特莱斯封闭式基础设施证券投资基金</v>
      </c>
      <c r="B1204" t="str">
        <f>IF(原始经营数据!$D1205="","",T(原始经营数据!$E1205))</f>
        <v>宁波杉井奥特莱斯</v>
      </c>
      <c r="C1204" t="str">
        <f>IF(原始经营数据!$D1205="","",原始经营数据!$F1205)</f>
        <v>2023</v>
      </c>
      <c r="D1204" t="str">
        <f>IF(原始经营数据!$D1205="","",原始经营数据!$H1205)</f>
        <v>提成租金比例</v>
      </c>
      <c r="E1204">
        <f>IF(原始经营数据!$D1205="","",原始经营数据!$I1205)</f>
        <v>8.99</v>
      </c>
      <c r="F1204" t="str">
        <f>IF(原始经营数据!$D1205="","",T(原始经营数据!$J1205))</f>
        <v>%</v>
      </c>
      <c r="G1204" t="str">
        <f>IF(原始经营数据!$D1205="","",T(原始经营数据!$K1205))</f>
        <v/>
      </c>
      <c r="H1204" t="str">
        <f>IF(原始经营数据!$D1205="","",原始经营数据!$G1205)</f>
        <v>服务量</v>
      </c>
      <c r="I1204" t="str">
        <f>IF($A1204="","",IF($B1204&lt;&gt;"",$B1204,IF(COUNTIFS(原始经营数据!$D$3:$D$3001,$A1204,原始经营数据!$E$3:$E$3001,"",原始经营数据!$F$3:$F$3001,$C1204,原始经营数据!$H$3:$H$3001,$D1204,原始经营数据!$K$3:$K$3001,$G1204)&gt;1,"基金整体·来源"&amp;原始经营数据!$A1205,"基金整体")))</f>
        <v>宁波杉井奥特莱斯</v>
      </c>
      <c r="J1204" t="str">
        <f t="shared" si="273"/>
        <v>年度</v>
      </c>
      <c r="K1204" t="str">
        <f t="shared" si="274"/>
        <v>提成租金比例（%）</v>
      </c>
      <c r="L1204" t="str">
        <f t="shared" si="275"/>
        <v>宁波杉井奥特莱斯|提成租金比例（%）|年度</v>
      </c>
      <c r="M1204">
        <f>IF($A1204="",0,IF(COUNTIF($L$2:$L1204,$L1204)=1,1,0))</f>
        <v>0</v>
      </c>
      <c r="N1204">
        <f t="shared" si="276"/>
        <v>20230</v>
      </c>
      <c r="O1204" t="str">
        <f t="shared" si="277"/>
        <v>中金唯品会奥特莱斯封闭式基础设施证券投资基金|2023|年度</v>
      </c>
      <c r="P1204">
        <f>IF($A1204="",0,IF(COUNTIF($O$2:$O1204,$O1204)=1,1,0))</f>
        <v>0</v>
      </c>
      <c r="Q1204" t="str">
        <f>IF(AND($P1204=1,$A1204=经营数据!$B$3,$J1204=经营数据!$BA$5),COUNTIFS($P$2:$P$3000,1,$A$2:$A$3000,$A1204,$J$2:$J$3000,$J1204,$N$2:$N$3000,"&lt;"&amp;$N1204)+1,"")</f>
        <v/>
      </c>
      <c r="R1204" t="str">
        <f t="shared" si="278"/>
        <v>中金唯品会奥特莱斯封闭式基础设施证券投资基金|宁波杉井奥特莱斯</v>
      </c>
      <c r="S1204">
        <f>IF($A1204="",0,IF(COUNTIF($R$2:$R1204,$R1204)=1,1,0))</f>
        <v>0</v>
      </c>
      <c r="T1204">
        <f t="shared" si="279"/>
        <v>1192</v>
      </c>
      <c r="U1204" t="str">
        <f>IF($A1204="","",IF($A1204=经营数据!$B$3,COUNTIFS($S$2:$S$3000,1,$A$2:$A$3000,$A1204,$T$2:$T$3000,"&lt;"&amp;$T1204)+1,""))</f>
        <v/>
      </c>
      <c r="V1204" t="str">
        <f t="shared" si="280"/>
        <v>宁波杉井奥特莱斯|服务量</v>
      </c>
      <c r="W1204">
        <f t="shared" si="281"/>
        <v>1192</v>
      </c>
      <c r="X1204" t="str">
        <f t="shared" si="282"/>
        <v>宁波杉井奥特莱斯|提成租金比例</v>
      </c>
      <c r="Y1204">
        <f t="shared" si="283"/>
        <v>1192</v>
      </c>
      <c r="Z1204">
        <f>IF($A1204="",0,IF(AND($M1204=1,$A1204=经营数据!$B$3,$J1204=经营数据!$BA$5,OR($I1204=经营数据!$BA$4,COUNTIF(经营数据!$AA$9:$AA$38,$I1204)&gt;0)),1,0))</f>
        <v>0</v>
      </c>
      <c r="AA1204" t="str">
        <f t="shared" si="284"/>
        <v/>
      </c>
      <c r="AB1204" t="str">
        <f t="shared" si="285"/>
        <v/>
      </c>
      <c r="AC1204">
        <f>IF($A1204="",0,IF(COUNTIF($A$2:$A1204,$A1204)=1,1,0))</f>
        <v>0</v>
      </c>
      <c r="AD1204">
        <f t="shared" si="286"/>
        <v>11</v>
      </c>
      <c r="AE1204" t="str">
        <f t="shared" si="287"/>
        <v>宁波杉井奥特莱斯|提成租金比例（%）</v>
      </c>
    </row>
    <row r="1205" spans="1:31" x14ac:dyDescent="0.4">
      <c r="A1205" t="str">
        <f>IF(原始经营数据!$D1206="","",原始经营数据!$D1206)</f>
        <v>中金唯品会奥特莱斯封闭式基础设施证券投资基金</v>
      </c>
      <c r="B1205" t="str">
        <f>IF(原始经营数据!$D1206="","",T(原始经营数据!$E1206))</f>
        <v>宁波杉井奥特莱斯</v>
      </c>
      <c r="C1205" t="str">
        <f>IF(原始经营数据!$D1206="","",原始经营数据!$F1206)</f>
        <v>2023</v>
      </c>
      <c r="D1205" t="str">
        <f>IF(原始经营数据!$D1206="","",原始经营数据!$H1206)</f>
        <v>月整体租金坪效</v>
      </c>
      <c r="E1205">
        <f>IF(原始经营数据!$D1206="","",原始经营数据!$I1206)</f>
        <v>362.83</v>
      </c>
      <c r="F1205" t="str">
        <f>IF(原始经营数据!$D1206="","",T(原始经营数据!$J1206))</f>
        <v>元/月/平方米</v>
      </c>
      <c r="G1205" t="str">
        <f>IF(原始经营数据!$D1206="","",T(原始经营数据!$K1206))</f>
        <v/>
      </c>
      <c r="H1205" t="str">
        <f>IF(原始经营数据!$D1206="","",原始经营数据!$G1206)</f>
        <v>服务量</v>
      </c>
      <c r="I1205" t="str">
        <f>IF($A1205="","",IF($B1205&lt;&gt;"",$B1205,IF(COUNTIFS(原始经营数据!$D$3:$D$3001,$A1205,原始经营数据!$E$3:$E$3001,"",原始经营数据!$F$3:$F$3001,$C1205,原始经营数据!$H$3:$H$3001,$D1205,原始经营数据!$K$3:$K$3001,$G1205)&gt;1,"基金整体·来源"&amp;原始经营数据!$A1206,"基金整体")))</f>
        <v>宁波杉井奥特莱斯</v>
      </c>
      <c r="J1205" t="str">
        <f t="shared" si="273"/>
        <v>年度</v>
      </c>
      <c r="K1205" t="str">
        <f t="shared" si="274"/>
        <v>月整体租金坪效（元/月/平方米）</v>
      </c>
      <c r="L1205" t="str">
        <f t="shared" si="275"/>
        <v>宁波杉井奥特莱斯|月整体租金坪效（元/月/平方米）|年度</v>
      </c>
      <c r="M1205">
        <f>IF($A1205="",0,IF(COUNTIF($L$2:$L1205,$L1205)=1,1,0))</f>
        <v>0</v>
      </c>
      <c r="N1205">
        <f t="shared" si="276"/>
        <v>20230</v>
      </c>
      <c r="O1205" t="str">
        <f t="shared" si="277"/>
        <v>中金唯品会奥特莱斯封闭式基础设施证券投资基金|2023|年度</v>
      </c>
      <c r="P1205">
        <f>IF($A1205="",0,IF(COUNTIF($O$2:$O1205,$O1205)=1,1,0))</f>
        <v>0</v>
      </c>
      <c r="Q1205" t="str">
        <f>IF(AND($P1205=1,$A1205=经营数据!$B$3,$J1205=经营数据!$BA$5),COUNTIFS($P$2:$P$3000,1,$A$2:$A$3000,$A1205,$J$2:$J$3000,$J1205,$N$2:$N$3000,"&lt;"&amp;$N1205)+1,"")</f>
        <v/>
      </c>
      <c r="R1205" t="str">
        <f t="shared" si="278"/>
        <v>中金唯品会奥特莱斯封闭式基础设施证券投资基金|宁波杉井奥特莱斯</v>
      </c>
      <c r="S1205">
        <f>IF($A1205="",0,IF(COUNTIF($R$2:$R1205,$R1205)=1,1,0))</f>
        <v>0</v>
      </c>
      <c r="T1205">
        <f t="shared" si="279"/>
        <v>1192</v>
      </c>
      <c r="U1205" t="str">
        <f>IF($A1205="","",IF($A1205=经营数据!$B$3,COUNTIFS($S$2:$S$3000,1,$A$2:$A$3000,$A1205,$T$2:$T$3000,"&lt;"&amp;$T1205)+1,""))</f>
        <v/>
      </c>
      <c r="V1205" t="str">
        <f t="shared" si="280"/>
        <v>宁波杉井奥特莱斯|服务量</v>
      </c>
      <c r="W1205">
        <f t="shared" si="281"/>
        <v>1192</v>
      </c>
      <c r="X1205" t="str">
        <f t="shared" si="282"/>
        <v>宁波杉井奥特莱斯|月整体租金坪效</v>
      </c>
      <c r="Y1205">
        <f t="shared" si="283"/>
        <v>1195</v>
      </c>
      <c r="Z1205">
        <f>IF($A1205="",0,IF(AND($M1205=1,$A1205=经营数据!$B$3,$J1205=经营数据!$BA$5,OR($I1205=经营数据!$BA$4,COUNTIF(经营数据!$AA$9:$AA$38,$I1205)&gt;0)),1,0))</f>
        <v>0</v>
      </c>
      <c r="AA1205" t="str">
        <f t="shared" si="284"/>
        <v/>
      </c>
      <c r="AB1205" t="str">
        <f t="shared" si="285"/>
        <v/>
      </c>
      <c r="AC1205">
        <f>IF($A1205="",0,IF(COUNTIF($A$2:$A1205,$A1205)=1,1,0))</f>
        <v>0</v>
      </c>
      <c r="AD1205">
        <f t="shared" si="286"/>
        <v>11</v>
      </c>
      <c r="AE1205" t="str">
        <f t="shared" si="287"/>
        <v>宁波杉井奥特莱斯|月整体租金坪效（元/月/平方米）</v>
      </c>
    </row>
    <row r="1206" spans="1:31" x14ac:dyDescent="0.4">
      <c r="A1206" t="str">
        <f>IF(原始经营数据!$D1207="","",原始经营数据!$D1207)</f>
        <v>中金唯品会奥特莱斯封闭式基础设施证券投资基金</v>
      </c>
      <c r="B1206" t="str">
        <f>IF(原始经营数据!$D1207="","",T(原始经营数据!$E1207))</f>
        <v>宁波杉井奥特莱斯</v>
      </c>
      <c r="C1206" t="str">
        <f>IF(原始经营数据!$D1207="","",原始经营数据!$F1207)</f>
        <v>2023</v>
      </c>
      <c r="D1206" t="str">
        <f>IF(原始经营数据!$D1207="","",原始经营数据!$H1207)</f>
        <v>月整体销售坪效</v>
      </c>
      <c r="E1206">
        <f>IF(原始经营数据!$D1207="","",原始经营数据!$I1207)</f>
        <v>3259.49</v>
      </c>
      <c r="F1206" t="str">
        <f>IF(原始经营数据!$D1207="","",T(原始经营数据!$J1207))</f>
        <v>元/月/平方米</v>
      </c>
      <c r="G1206" t="str">
        <f>IF(原始经营数据!$D1207="","",T(原始经营数据!$K1207))</f>
        <v/>
      </c>
      <c r="H1206" t="str">
        <f>IF(原始经营数据!$D1207="","",原始经营数据!$G1207)</f>
        <v>服务量</v>
      </c>
      <c r="I1206" t="str">
        <f>IF($A1206="","",IF($B1206&lt;&gt;"",$B1206,IF(COUNTIFS(原始经营数据!$D$3:$D$3001,$A1206,原始经营数据!$E$3:$E$3001,"",原始经营数据!$F$3:$F$3001,$C1206,原始经营数据!$H$3:$H$3001,$D1206,原始经营数据!$K$3:$K$3001,$G1206)&gt;1,"基金整体·来源"&amp;原始经营数据!$A1207,"基金整体")))</f>
        <v>宁波杉井奥特莱斯</v>
      </c>
      <c r="J1206" t="str">
        <f t="shared" si="273"/>
        <v>年度</v>
      </c>
      <c r="K1206" t="str">
        <f t="shared" si="274"/>
        <v>月整体销售坪效（元/月/平方米）</v>
      </c>
      <c r="L1206" t="str">
        <f t="shared" si="275"/>
        <v>宁波杉井奥特莱斯|月整体销售坪效（元/月/平方米）|年度</v>
      </c>
      <c r="M1206">
        <f>IF($A1206="",0,IF(COUNTIF($L$2:$L1206,$L1206)=1,1,0))</f>
        <v>0</v>
      </c>
      <c r="N1206">
        <f t="shared" si="276"/>
        <v>20230</v>
      </c>
      <c r="O1206" t="str">
        <f t="shared" si="277"/>
        <v>中金唯品会奥特莱斯封闭式基础设施证券投资基金|2023|年度</v>
      </c>
      <c r="P1206">
        <f>IF($A1206="",0,IF(COUNTIF($O$2:$O1206,$O1206)=1,1,0))</f>
        <v>0</v>
      </c>
      <c r="Q1206" t="str">
        <f>IF(AND($P1206=1,$A1206=经营数据!$B$3,$J1206=经营数据!$BA$5),COUNTIFS($P$2:$P$3000,1,$A$2:$A$3000,$A1206,$J$2:$J$3000,$J1206,$N$2:$N$3000,"&lt;"&amp;$N1206)+1,"")</f>
        <v/>
      </c>
      <c r="R1206" t="str">
        <f t="shared" si="278"/>
        <v>中金唯品会奥特莱斯封闭式基础设施证券投资基金|宁波杉井奥特莱斯</v>
      </c>
      <c r="S1206">
        <f>IF($A1206="",0,IF(COUNTIF($R$2:$R1206,$R1206)=1,1,0))</f>
        <v>0</v>
      </c>
      <c r="T1206">
        <f t="shared" si="279"/>
        <v>1192</v>
      </c>
      <c r="U1206" t="str">
        <f>IF($A1206="","",IF($A1206=经营数据!$B$3,COUNTIFS($S$2:$S$3000,1,$A$2:$A$3000,$A1206,$T$2:$T$3000,"&lt;"&amp;$T1206)+1,""))</f>
        <v/>
      </c>
      <c r="V1206" t="str">
        <f t="shared" si="280"/>
        <v>宁波杉井奥特莱斯|服务量</v>
      </c>
      <c r="W1206">
        <f t="shared" si="281"/>
        <v>1192</v>
      </c>
      <c r="X1206" t="str">
        <f t="shared" si="282"/>
        <v>宁波杉井奥特莱斯|月整体销售坪效</v>
      </c>
      <c r="Y1206">
        <f t="shared" si="283"/>
        <v>1194</v>
      </c>
      <c r="Z1206">
        <f>IF($A1206="",0,IF(AND($M1206=1,$A1206=经营数据!$B$3,$J1206=经营数据!$BA$5,OR($I1206=经营数据!$BA$4,COUNTIF(经营数据!$AA$9:$AA$38,$I1206)&gt;0)),1,0))</f>
        <v>0</v>
      </c>
      <c r="AA1206" t="str">
        <f t="shared" si="284"/>
        <v/>
      </c>
      <c r="AB1206" t="str">
        <f t="shared" si="285"/>
        <v/>
      </c>
      <c r="AC1206">
        <f>IF($A1206="",0,IF(COUNTIF($A$2:$A1206,$A1206)=1,1,0))</f>
        <v>0</v>
      </c>
      <c r="AD1206">
        <f t="shared" si="286"/>
        <v>11</v>
      </c>
      <c r="AE1206" t="str">
        <f t="shared" si="287"/>
        <v>宁波杉井奥特莱斯|月整体销售坪效（元/月/平方米）</v>
      </c>
    </row>
    <row r="1207" spans="1:31" x14ac:dyDescent="0.4">
      <c r="A1207" t="str">
        <f>IF(原始经营数据!$D1208="","",原始经营数据!$D1208)</f>
        <v>中金唯品会奥特莱斯封闭式基础设施证券投资基金</v>
      </c>
      <c r="B1207" t="str">
        <f>IF(原始经营数据!$D1208="","",T(原始经营数据!$E1208))</f>
        <v>宁波杉井奥特莱斯</v>
      </c>
      <c r="C1207" t="str">
        <f>IF(原始经营数据!$D1208="","",原始经营数据!$F1208)</f>
        <v>2023</v>
      </c>
      <c r="D1207" t="str">
        <f>IF(原始经营数据!$D1208="","",原始经营数据!$H1208)</f>
        <v>整体销售额</v>
      </c>
      <c r="E1207">
        <f>IF(原始经营数据!$D1208="","",原始经营数据!$I1208)</f>
        <v>198816.73</v>
      </c>
      <c r="F1207" t="str">
        <f>IF(原始经营数据!$D1208="","",T(原始经营数据!$J1208))</f>
        <v>万元</v>
      </c>
      <c r="G1207" t="str">
        <f>IF(原始经营数据!$D1208="","",T(原始经营数据!$K1208))</f>
        <v/>
      </c>
      <c r="H1207" t="str">
        <f>IF(原始经营数据!$D1208="","",原始经营数据!$G1208)</f>
        <v>服务金额</v>
      </c>
      <c r="I1207" t="str">
        <f>IF($A1207="","",IF($B1207&lt;&gt;"",$B1207,IF(COUNTIFS(原始经营数据!$D$3:$D$3001,$A1207,原始经营数据!$E$3:$E$3001,"",原始经营数据!$F$3:$F$3001,$C1207,原始经营数据!$H$3:$H$3001,$D1207,原始经营数据!$K$3:$K$3001,$G1207)&gt;1,"基金整体·来源"&amp;原始经营数据!$A1208,"基金整体")))</f>
        <v>宁波杉井奥特莱斯</v>
      </c>
      <c r="J1207" t="str">
        <f t="shared" si="273"/>
        <v>年度</v>
      </c>
      <c r="K1207" t="str">
        <f t="shared" si="274"/>
        <v>整体销售额（万元）</v>
      </c>
      <c r="L1207" t="str">
        <f t="shared" si="275"/>
        <v>宁波杉井奥特莱斯|整体销售额（万元）|年度</v>
      </c>
      <c r="M1207">
        <f>IF($A1207="",0,IF(COUNTIF($L$2:$L1207,$L1207)=1,1,0))</f>
        <v>0</v>
      </c>
      <c r="N1207">
        <f t="shared" si="276"/>
        <v>20230</v>
      </c>
      <c r="O1207" t="str">
        <f t="shared" si="277"/>
        <v>中金唯品会奥特莱斯封闭式基础设施证券投资基金|2023|年度</v>
      </c>
      <c r="P1207">
        <f>IF($A1207="",0,IF(COUNTIF($O$2:$O1207,$O1207)=1,1,0))</f>
        <v>0</v>
      </c>
      <c r="Q1207" t="str">
        <f>IF(AND($P1207=1,$A1207=经营数据!$B$3,$J1207=经营数据!$BA$5),COUNTIFS($P$2:$P$3000,1,$A$2:$A$3000,$A1207,$J$2:$J$3000,$J1207,$N$2:$N$3000,"&lt;"&amp;$N1207)+1,"")</f>
        <v/>
      </c>
      <c r="R1207" t="str">
        <f t="shared" si="278"/>
        <v>中金唯品会奥特莱斯封闭式基础设施证券投资基金|宁波杉井奥特莱斯</v>
      </c>
      <c r="S1207">
        <f>IF($A1207="",0,IF(COUNTIF($R$2:$R1207,$R1207)=1,1,0))</f>
        <v>0</v>
      </c>
      <c r="T1207">
        <f t="shared" si="279"/>
        <v>1192</v>
      </c>
      <c r="U1207" t="str">
        <f>IF($A1207="","",IF($A1207=经营数据!$B$3,COUNTIFS($S$2:$S$3000,1,$A$2:$A$3000,$A1207,$T$2:$T$3000,"&lt;"&amp;$T1207)+1,""))</f>
        <v/>
      </c>
      <c r="V1207" t="str">
        <f t="shared" si="280"/>
        <v>宁波杉井奥特莱斯|服务金额</v>
      </c>
      <c r="W1207">
        <f t="shared" si="281"/>
        <v>1193</v>
      </c>
      <c r="X1207" t="str">
        <f t="shared" si="282"/>
        <v>宁波杉井奥特莱斯|整体销售额</v>
      </c>
      <c r="Y1207">
        <f t="shared" si="283"/>
        <v>1197</v>
      </c>
      <c r="Z1207">
        <f>IF($A1207="",0,IF(AND($M1207=1,$A1207=经营数据!$B$3,$J1207=经营数据!$BA$5,OR($I1207=经营数据!$BA$4,COUNTIF(经营数据!$AA$9:$AA$38,$I1207)&gt;0)),1,0))</f>
        <v>0</v>
      </c>
      <c r="AA1207" t="str">
        <f t="shared" si="284"/>
        <v/>
      </c>
      <c r="AB1207" t="str">
        <f t="shared" si="285"/>
        <v/>
      </c>
      <c r="AC1207">
        <f>IF($A1207="",0,IF(COUNTIF($A$2:$A1207,$A1207)=1,1,0))</f>
        <v>0</v>
      </c>
      <c r="AD1207">
        <f t="shared" si="286"/>
        <v>11</v>
      </c>
      <c r="AE1207" t="str">
        <f t="shared" si="287"/>
        <v>宁波杉井奥特莱斯|整体销售额（万元）</v>
      </c>
    </row>
    <row r="1208" spans="1:31" x14ac:dyDescent="0.4">
      <c r="A1208" t="str">
        <f>IF(原始经营数据!$D1209="","",原始经营数据!$D1209)</f>
        <v>中金唯品会奥特莱斯封闭式基础设施证券投资基金</v>
      </c>
      <c r="B1208" t="str">
        <f>IF(原始经营数据!$D1209="","",T(原始经营数据!$E1209))</f>
        <v>宁波杉井奥特莱斯</v>
      </c>
      <c r="C1208" t="str">
        <f>IF(原始经营数据!$D1209="","",原始经营数据!$F1209)</f>
        <v>2023</v>
      </c>
      <c r="D1208" t="str">
        <f>IF(原始经营数据!$D1209="","",原始经营数据!$H1209)</f>
        <v>联营商户销售额</v>
      </c>
      <c r="E1208">
        <f>IF(原始经营数据!$D1209="","",原始经营数据!$I1209)</f>
        <v>172642.18</v>
      </c>
      <c r="F1208" t="str">
        <f>IF(原始经营数据!$D1209="","",T(原始经营数据!$J1209))</f>
        <v>万元</v>
      </c>
      <c r="G1208" t="str">
        <f>IF(原始经营数据!$D1209="","",T(原始经营数据!$K1209))</f>
        <v/>
      </c>
      <c r="H1208" t="str">
        <f>IF(原始经营数据!$D1209="","",原始经营数据!$G1209)</f>
        <v>服务金额</v>
      </c>
      <c r="I1208" t="str">
        <f>IF($A1208="","",IF($B1208&lt;&gt;"",$B1208,IF(COUNTIFS(原始经营数据!$D$3:$D$3001,$A1208,原始经营数据!$E$3:$E$3001,"",原始经营数据!$F$3:$F$3001,$C1208,原始经营数据!$H$3:$H$3001,$D1208,原始经营数据!$K$3:$K$3001,$G1208)&gt;1,"基金整体·来源"&amp;原始经营数据!$A1209,"基金整体")))</f>
        <v>宁波杉井奥特莱斯</v>
      </c>
      <c r="J1208" t="str">
        <f t="shared" si="273"/>
        <v>年度</v>
      </c>
      <c r="K1208" t="str">
        <f t="shared" si="274"/>
        <v>联营商户销售额（万元）</v>
      </c>
      <c r="L1208" t="str">
        <f t="shared" si="275"/>
        <v>宁波杉井奥特莱斯|联营商户销售额（万元）|年度</v>
      </c>
      <c r="M1208">
        <f>IF($A1208="",0,IF(COUNTIF($L$2:$L1208,$L1208)=1,1,0))</f>
        <v>0</v>
      </c>
      <c r="N1208">
        <f t="shared" si="276"/>
        <v>20230</v>
      </c>
      <c r="O1208" t="str">
        <f t="shared" si="277"/>
        <v>中金唯品会奥特莱斯封闭式基础设施证券投资基金|2023|年度</v>
      </c>
      <c r="P1208">
        <f>IF($A1208="",0,IF(COUNTIF($O$2:$O1208,$O1208)=1,1,0))</f>
        <v>0</v>
      </c>
      <c r="Q1208" t="str">
        <f>IF(AND($P1208=1,$A1208=经营数据!$B$3,$J1208=经营数据!$BA$5),COUNTIFS($P$2:$P$3000,1,$A$2:$A$3000,$A1208,$J$2:$J$3000,$J1208,$N$2:$N$3000,"&lt;"&amp;$N1208)+1,"")</f>
        <v/>
      </c>
      <c r="R1208" t="str">
        <f t="shared" si="278"/>
        <v>中金唯品会奥特莱斯封闭式基础设施证券投资基金|宁波杉井奥特莱斯</v>
      </c>
      <c r="S1208">
        <f>IF($A1208="",0,IF(COUNTIF($R$2:$R1208,$R1208)=1,1,0))</f>
        <v>0</v>
      </c>
      <c r="T1208">
        <f t="shared" si="279"/>
        <v>1192</v>
      </c>
      <c r="U1208" t="str">
        <f>IF($A1208="","",IF($A1208=经营数据!$B$3,COUNTIFS($S$2:$S$3000,1,$A$2:$A$3000,$A1208,$T$2:$T$3000,"&lt;"&amp;$T1208)+1,""))</f>
        <v/>
      </c>
      <c r="V1208" t="str">
        <f t="shared" si="280"/>
        <v>宁波杉井奥特莱斯|服务金额</v>
      </c>
      <c r="W1208">
        <f t="shared" si="281"/>
        <v>1193</v>
      </c>
      <c r="X1208" t="str">
        <f t="shared" si="282"/>
        <v>宁波杉井奥特莱斯|联营商户销售额</v>
      </c>
      <c r="Y1208">
        <f t="shared" si="283"/>
        <v>1198</v>
      </c>
      <c r="Z1208">
        <f>IF($A1208="",0,IF(AND($M1208=1,$A1208=经营数据!$B$3,$J1208=经营数据!$BA$5,OR($I1208=经营数据!$BA$4,COUNTIF(经营数据!$AA$9:$AA$38,$I1208)&gt;0)),1,0))</f>
        <v>0</v>
      </c>
      <c r="AA1208" t="str">
        <f t="shared" si="284"/>
        <v/>
      </c>
      <c r="AB1208" t="str">
        <f t="shared" si="285"/>
        <v/>
      </c>
      <c r="AC1208">
        <f>IF($A1208="",0,IF(COUNTIF($A$2:$A1208,$A1208)=1,1,0))</f>
        <v>0</v>
      </c>
      <c r="AD1208">
        <f t="shared" si="286"/>
        <v>11</v>
      </c>
      <c r="AE1208" t="str">
        <f t="shared" si="287"/>
        <v>宁波杉井奥特莱斯|联营商户销售额（万元）</v>
      </c>
    </row>
    <row r="1209" spans="1:31" x14ac:dyDescent="0.4">
      <c r="A1209" t="str">
        <f>IF(原始经营数据!$D1210="","",原始经营数据!$D1210)</f>
        <v>中金唯品会奥特莱斯封闭式基础设施证券投资基金</v>
      </c>
      <c r="B1209" t="str">
        <f>IF(原始经营数据!$D1210="","",T(原始经营数据!$E1210))</f>
        <v>宁波杉井奥特莱斯</v>
      </c>
      <c r="C1209" t="str">
        <f>IF(原始经营数据!$D1210="","",原始经营数据!$F1210)</f>
        <v>2023</v>
      </c>
      <c r="D1209" t="str">
        <f>IF(原始经营数据!$D1210="","",原始经营数据!$H1210)</f>
        <v>联营模式收入</v>
      </c>
      <c r="E1209">
        <f>IF(原始经营数据!$D1210="","",原始经营数据!$I1210)</f>
        <v>19893.419999999998</v>
      </c>
      <c r="F1209" t="str">
        <f>IF(原始经营数据!$D1210="","",T(原始经营数据!$J1210))</f>
        <v>万元</v>
      </c>
      <c r="G1209" t="str">
        <f>IF(原始经营数据!$D1210="","",T(原始经营数据!$K1210))</f>
        <v/>
      </c>
      <c r="H1209" t="str">
        <f>IF(原始经营数据!$D1210="","",原始经营数据!$G1210)</f>
        <v>服务金额</v>
      </c>
      <c r="I1209" t="str">
        <f>IF($A1209="","",IF($B1209&lt;&gt;"",$B1209,IF(COUNTIFS(原始经营数据!$D$3:$D$3001,$A1209,原始经营数据!$E$3:$E$3001,"",原始经营数据!$F$3:$F$3001,$C1209,原始经营数据!$H$3:$H$3001,$D1209,原始经营数据!$K$3:$K$3001,$G1209)&gt;1,"基金整体·来源"&amp;原始经营数据!$A1210,"基金整体")))</f>
        <v>宁波杉井奥特莱斯</v>
      </c>
      <c r="J1209" t="str">
        <f t="shared" si="273"/>
        <v>年度</v>
      </c>
      <c r="K1209" t="str">
        <f t="shared" si="274"/>
        <v>联营模式收入（万元）</v>
      </c>
      <c r="L1209" t="str">
        <f t="shared" si="275"/>
        <v>宁波杉井奥特莱斯|联营模式收入（万元）|年度</v>
      </c>
      <c r="M1209">
        <f>IF($A1209="",0,IF(COUNTIF($L$2:$L1209,$L1209)=1,1,0))</f>
        <v>0</v>
      </c>
      <c r="N1209">
        <f t="shared" si="276"/>
        <v>20230</v>
      </c>
      <c r="O1209" t="str">
        <f t="shared" si="277"/>
        <v>中金唯品会奥特莱斯封闭式基础设施证券投资基金|2023|年度</v>
      </c>
      <c r="P1209">
        <f>IF($A1209="",0,IF(COUNTIF($O$2:$O1209,$O1209)=1,1,0))</f>
        <v>0</v>
      </c>
      <c r="Q1209" t="str">
        <f>IF(AND($P1209=1,$A1209=经营数据!$B$3,$J1209=经营数据!$BA$5),COUNTIFS($P$2:$P$3000,1,$A$2:$A$3000,$A1209,$J$2:$J$3000,$J1209,$N$2:$N$3000,"&lt;"&amp;$N1209)+1,"")</f>
        <v/>
      </c>
      <c r="R1209" t="str">
        <f t="shared" si="278"/>
        <v>中金唯品会奥特莱斯封闭式基础设施证券投资基金|宁波杉井奥特莱斯</v>
      </c>
      <c r="S1209">
        <f>IF($A1209="",0,IF(COUNTIF($R$2:$R1209,$R1209)=1,1,0))</f>
        <v>0</v>
      </c>
      <c r="T1209">
        <f t="shared" si="279"/>
        <v>1192</v>
      </c>
      <c r="U1209" t="str">
        <f>IF($A1209="","",IF($A1209=经营数据!$B$3,COUNTIFS($S$2:$S$3000,1,$A$2:$A$3000,$A1209,$T$2:$T$3000,"&lt;"&amp;$T1209)+1,""))</f>
        <v/>
      </c>
      <c r="V1209" t="str">
        <f t="shared" si="280"/>
        <v>宁波杉井奥特莱斯|服务金额</v>
      </c>
      <c r="W1209">
        <f t="shared" si="281"/>
        <v>1193</v>
      </c>
      <c r="X1209" t="str">
        <f t="shared" si="282"/>
        <v>宁波杉井奥特莱斯|联营模式收入</v>
      </c>
      <c r="Y1209">
        <f t="shared" si="283"/>
        <v>1199</v>
      </c>
      <c r="Z1209">
        <f>IF($A1209="",0,IF(AND($M1209=1,$A1209=经营数据!$B$3,$J1209=经营数据!$BA$5,OR($I1209=经营数据!$BA$4,COUNTIF(经营数据!$AA$9:$AA$38,$I1209)&gt;0)),1,0))</f>
        <v>0</v>
      </c>
      <c r="AA1209" t="str">
        <f t="shared" si="284"/>
        <v/>
      </c>
      <c r="AB1209" t="str">
        <f t="shared" si="285"/>
        <v/>
      </c>
      <c r="AC1209">
        <f>IF($A1209="",0,IF(COUNTIF($A$2:$A1209,$A1209)=1,1,0))</f>
        <v>0</v>
      </c>
      <c r="AD1209">
        <f t="shared" si="286"/>
        <v>11</v>
      </c>
      <c r="AE1209" t="str">
        <f t="shared" si="287"/>
        <v>宁波杉井奥特莱斯|联营模式收入（万元）</v>
      </c>
    </row>
    <row r="1210" spans="1:31" x14ac:dyDescent="0.4">
      <c r="A1210" t="str">
        <f>IF(原始经营数据!$D1211="","",原始经营数据!$D1211)</f>
        <v>中金唯品会奥特莱斯封闭式基础设施证券投资基金</v>
      </c>
      <c r="B1210" t="str">
        <f>IF(原始经营数据!$D1211="","",T(原始经营数据!$E1211))</f>
        <v>宁波杉井奥特莱斯</v>
      </c>
      <c r="C1210" t="str">
        <f>IF(原始经营数据!$D1211="","",原始经营数据!$F1211)</f>
        <v>2023</v>
      </c>
      <c r="D1210" t="str">
        <f>IF(原始经营数据!$D1211="","",原始经营数据!$H1211)</f>
        <v>联营模式扣率</v>
      </c>
      <c r="E1210">
        <f>IF(原始经营数据!$D1211="","",原始经营数据!$I1211)</f>
        <v>13.02</v>
      </c>
      <c r="F1210" t="str">
        <f>IF(原始经营数据!$D1211="","",T(原始经营数据!$J1211))</f>
        <v>%</v>
      </c>
      <c r="G1210" t="str">
        <f>IF(原始经营数据!$D1211="","",T(原始经营数据!$K1211))</f>
        <v/>
      </c>
      <c r="H1210" t="str">
        <f>IF(原始经营数据!$D1211="","",原始经营数据!$G1211)</f>
        <v>服务效率</v>
      </c>
      <c r="I1210" t="str">
        <f>IF($A1210="","",IF($B1210&lt;&gt;"",$B1210,IF(COUNTIFS(原始经营数据!$D$3:$D$3001,$A1210,原始经营数据!$E$3:$E$3001,"",原始经营数据!$F$3:$F$3001,$C1210,原始经营数据!$H$3:$H$3001,$D1210,原始经营数据!$K$3:$K$3001,$G1210)&gt;1,"基金整体·来源"&amp;原始经营数据!$A1211,"基金整体")))</f>
        <v>宁波杉井奥特莱斯</v>
      </c>
      <c r="J1210" t="str">
        <f t="shared" si="273"/>
        <v>年度</v>
      </c>
      <c r="K1210" t="str">
        <f t="shared" si="274"/>
        <v>联营模式扣率（%）</v>
      </c>
      <c r="L1210" t="str">
        <f t="shared" si="275"/>
        <v>宁波杉井奥特莱斯|联营模式扣率（%）|年度</v>
      </c>
      <c r="M1210">
        <f>IF($A1210="",0,IF(COUNTIF($L$2:$L1210,$L1210)=1,1,0))</f>
        <v>0</v>
      </c>
      <c r="N1210">
        <f t="shared" si="276"/>
        <v>20230</v>
      </c>
      <c r="O1210" t="str">
        <f t="shared" si="277"/>
        <v>中金唯品会奥特莱斯封闭式基础设施证券投资基金|2023|年度</v>
      </c>
      <c r="P1210">
        <f>IF($A1210="",0,IF(COUNTIF($O$2:$O1210,$O1210)=1,1,0))</f>
        <v>0</v>
      </c>
      <c r="Q1210" t="str">
        <f>IF(AND($P1210=1,$A1210=经营数据!$B$3,$J1210=经营数据!$BA$5),COUNTIFS($P$2:$P$3000,1,$A$2:$A$3000,$A1210,$J$2:$J$3000,$J1210,$N$2:$N$3000,"&lt;"&amp;$N1210)+1,"")</f>
        <v/>
      </c>
      <c r="R1210" t="str">
        <f t="shared" si="278"/>
        <v>中金唯品会奥特莱斯封闭式基础设施证券投资基金|宁波杉井奥特莱斯</v>
      </c>
      <c r="S1210">
        <f>IF($A1210="",0,IF(COUNTIF($R$2:$R1210,$R1210)=1,1,0))</f>
        <v>0</v>
      </c>
      <c r="T1210">
        <f t="shared" si="279"/>
        <v>1192</v>
      </c>
      <c r="U1210" t="str">
        <f>IF($A1210="","",IF($A1210=经营数据!$B$3,COUNTIFS($S$2:$S$3000,1,$A$2:$A$3000,$A1210,$T$2:$T$3000,"&lt;"&amp;$T1210)+1,""))</f>
        <v/>
      </c>
      <c r="V1210" t="str">
        <f t="shared" si="280"/>
        <v>宁波杉井奥特莱斯|服务效率</v>
      </c>
      <c r="W1210">
        <f t="shared" si="281"/>
        <v>1200</v>
      </c>
      <c r="X1210" t="str">
        <f t="shared" si="282"/>
        <v>宁波杉井奥特莱斯|联营模式扣率</v>
      </c>
      <c r="Y1210">
        <f t="shared" si="283"/>
        <v>1200</v>
      </c>
      <c r="Z1210">
        <f>IF($A1210="",0,IF(AND($M1210=1,$A1210=经营数据!$B$3,$J1210=经营数据!$BA$5,OR($I1210=经营数据!$BA$4,COUNTIF(经营数据!$AA$9:$AA$38,$I1210)&gt;0)),1,0))</f>
        <v>0</v>
      </c>
      <c r="AA1210" t="str">
        <f t="shared" si="284"/>
        <v/>
      </c>
      <c r="AB1210" t="str">
        <f t="shared" si="285"/>
        <v/>
      </c>
      <c r="AC1210">
        <f>IF($A1210="",0,IF(COUNTIF($A$2:$A1210,$A1210)=1,1,0))</f>
        <v>0</v>
      </c>
      <c r="AD1210">
        <f t="shared" si="286"/>
        <v>11</v>
      </c>
      <c r="AE1210" t="str">
        <f t="shared" si="287"/>
        <v>宁波杉井奥特莱斯|联营模式扣率（%）</v>
      </c>
    </row>
    <row r="1211" spans="1:31" x14ac:dyDescent="0.4">
      <c r="A1211" t="str">
        <f>IF(原始经营数据!$D1212="","",原始经营数据!$D1212)</f>
        <v>中金唯品会奥特莱斯封闭式基础设施证券投资基金</v>
      </c>
      <c r="B1211" t="str">
        <f>IF(原始经营数据!$D1212="","",T(原始经营数据!$E1212))</f>
        <v>宁波杉井奥特莱斯</v>
      </c>
      <c r="C1211" t="str">
        <f>IF(原始经营数据!$D1212="","",原始经营数据!$F1212)</f>
        <v>2023</v>
      </c>
      <c r="D1211" t="str">
        <f>IF(原始经营数据!$D1212="","",原始经营数据!$H1212)</f>
        <v>平均出租率</v>
      </c>
      <c r="E1211">
        <f>IF(原始经营数据!$D1212="","",原始经营数据!$I1212)</f>
        <v>98.1</v>
      </c>
      <c r="F1211" t="str">
        <f>IF(原始经营数据!$D1212="","",T(原始经营数据!$J1212))</f>
        <v>%</v>
      </c>
      <c r="G1211" t="str">
        <f>IF(原始经营数据!$D1212="","",T(原始经营数据!$K1212))</f>
        <v/>
      </c>
      <c r="H1211" t="str">
        <f>IF(原始经营数据!$D1212="","",原始经营数据!$G1212)</f>
        <v>服务效率</v>
      </c>
      <c r="I1211" t="str">
        <f>IF($A1211="","",IF($B1211&lt;&gt;"",$B1211,IF(COUNTIFS(原始经营数据!$D$3:$D$3001,$A1211,原始经营数据!$E$3:$E$3001,"",原始经营数据!$F$3:$F$3001,$C1211,原始经营数据!$H$3:$H$3001,$D1211,原始经营数据!$K$3:$K$3001,$G1211)&gt;1,"基金整体·来源"&amp;原始经营数据!$A1212,"基金整体")))</f>
        <v>宁波杉井奥特莱斯</v>
      </c>
      <c r="J1211" t="str">
        <f t="shared" si="273"/>
        <v>年度</v>
      </c>
      <c r="K1211" t="str">
        <f t="shared" si="274"/>
        <v>平均出租率（%）</v>
      </c>
      <c r="L1211" t="str">
        <f t="shared" si="275"/>
        <v>宁波杉井奥特莱斯|平均出租率（%）|年度</v>
      </c>
      <c r="M1211">
        <f>IF($A1211="",0,IF(COUNTIF($L$2:$L1211,$L1211)=1,1,0))</f>
        <v>0</v>
      </c>
      <c r="N1211">
        <f t="shared" si="276"/>
        <v>20230</v>
      </c>
      <c r="O1211" t="str">
        <f t="shared" si="277"/>
        <v>中金唯品会奥特莱斯封闭式基础设施证券投资基金|2023|年度</v>
      </c>
      <c r="P1211">
        <f>IF($A1211="",0,IF(COUNTIF($O$2:$O1211,$O1211)=1,1,0))</f>
        <v>0</v>
      </c>
      <c r="Q1211" t="str">
        <f>IF(AND($P1211=1,$A1211=经营数据!$B$3,$J1211=经营数据!$BA$5),COUNTIFS($P$2:$P$3000,1,$A$2:$A$3000,$A1211,$J$2:$J$3000,$J1211,$N$2:$N$3000,"&lt;"&amp;$N1211)+1,"")</f>
        <v/>
      </c>
      <c r="R1211" t="str">
        <f t="shared" si="278"/>
        <v>中金唯品会奥特莱斯封闭式基础设施证券投资基金|宁波杉井奥特莱斯</v>
      </c>
      <c r="S1211">
        <f>IF($A1211="",0,IF(COUNTIF($R$2:$R1211,$R1211)=1,1,0))</f>
        <v>0</v>
      </c>
      <c r="T1211">
        <f t="shared" si="279"/>
        <v>1192</v>
      </c>
      <c r="U1211" t="str">
        <f>IF($A1211="","",IF($A1211=经营数据!$B$3,COUNTIFS($S$2:$S$3000,1,$A$2:$A$3000,$A1211,$T$2:$T$3000,"&lt;"&amp;$T1211)+1,""))</f>
        <v/>
      </c>
      <c r="V1211" t="str">
        <f t="shared" si="280"/>
        <v>宁波杉井奥特莱斯|服务效率</v>
      </c>
      <c r="W1211">
        <f t="shared" si="281"/>
        <v>1200</v>
      </c>
      <c r="X1211" t="str">
        <f t="shared" si="282"/>
        <v>宁波杉井奥特莱斯|平均出租率</v>
      </c>
      <c r="Y1211">
        <f t="shared" si="283"/>
        <v>1201</v>
      </c>
      <c r="Z1211">
        <f>IF($A1211="",0,IF(AND($M1211=1,$A1211=经营数据!$B$3,$J1211=经营数据!$BA$5,OR($I1211=经营数据!$BA$4,COUNTIF(经营数据!$AA$9:$AA$38,$I1211)&gt;0)),1,0))</f>
        <v>0</v>
      </c>
      <c r="AA1211" t="str">
        <f t="shared" si="284"/>
        <v/>
      </c>
      <c r="AB1211" t="str">
        <f t="shared" si="285"/>
        <v/>
      </c>
      <c r="AC1211">
        <f>IF($A1211="",0,IF(COUNTIF($A$2:$A1211,$A1211)=1,1,0))</f>
        <v>0</v>
      </c>
      <c r="AD1211">
        <f t="shared" si="286"/>
        <v>11</v>
      </c>
      <c r="AE1211" t="str">
        <f t="shared" si="287"/>
        <v>宁波杉井奥特莱斯|平均出租率（%）</v>
      </c>
    </row>
    <row r="1212" spans="1:31" x14ac:dyDescent="0.4">
      <c r="A1212" t="str">
        <f>IF(原始经营数据!$D1213="","",原始经营数据!$D1213)</f>
        <v>中金唯品会奥特莱斯封闭式基础设施证券投资基金</v>
      </c>
      <c r="B1212" t="str">
        <f>IF(原始经营数据!$D1213="","",T(原始经营数据!$E1213))</f>
        <v>宁波杉井奥特莱斯</v>
      </c>
      <c r="C1212" t="str">
        <f>IF(原始经营数据!$D1213="","",原始经营数据!$F1213)</f>
        <v>2023</v>
      </c>
      <c r="D1212" t="str">
        <f>IF(原始经营数据!$D1213="","",原始经营数据!$H1213)</f>
        <v>租赁商户销售额</v>
      </c>
      <c r="E1212">
        <f>IF(原始经营数据!$D1213="","",原始经营数据!$I1213)</f>
        <v>26174.55</v>
      </c>
      <c r="F1212" t="str">
        <f>IF(原始经营数据!$D1213="","",T(原始经营数据!$J1213))</f>
        <v>万元</v>
      </c>
      <c r="G1212" t="str">
        <f>IF(原始经营数据!$D1213="","",T(原始经营数据!$K1213))</f>
        <v/>
      </c>
      <c r="H1212" t="str">
        <f>IF(原始经营数据!$D1213="","",原始经营数据!$G1213)</f>
        <v>服务金额</v>
      </c>
      <c r="I1212" t="str">
        <f>IF($A1212="","",IF($B1212&lt;&gt;"",$B1212,IF(COUNTIFS(原始经营数据!$D$3:$D$3001,$A1212,原始经营数据!$E$3:$E$3001,"",原始经营数据!$F$3:$F$3001,$C1212,原始经营数据!$H$3:$H$3001,$D1212,原始经营数据!$K$3:$K$3001,$G1212)&gt;1,"基金整体·来源"&amp;原始经营数据!$A1213,"基金整体")))</f>
        <v>宁波杉井奥特莱斯</v>
      </c>
      <c r="J1212" t="str">
        <f t="shared" si="273"/>
        <v>年度</v>
      </c>
      <c r="K1212" t="str">
        <f t="shared" si="274"/>
        <v>租赁商户销售额（万元）</v>
      </c>
      <c r="L1212" t="str">
        <f t="shared" si="275"/>
        <v>宁波杉井奥特莱斯|租赁商户销售额（万元）|年度</v>
      </c>
      <c r="M1212">
        <f>IF($A1212="",0,IF(COUNTIF($L$2:$L1212,$L1212)=1,1,0))</f>
        <v>0</v>
      </c>
      <c r="N1212">
        <f t="shared" si="276"/>
        <v>20230</v>
      </c>
      <c r="O1212" t="str">
        <f t="shared" si="277"/>
        <v>中金唯品会奥特莱斯封闭式基础设施证券投资基金|2023|年度</v>
      </c>
      <c r="P1212">
        <f>IF($A1212="",0,IF(COUNTIF($O$2:$O1212,$O1212)=1,1,0))</f>
        <v>0</v>
      </c>
      <c r="Q1212" t="str">
        <f>IF(AND($P1212=1,$A1212=经营数据!$B$3,$J1212=经营数据!$BA$5),COUNTIFS($P$2:$P$3000,1,$A$2:$A$3000,$A1212,$J$2:$J$3000,$J1212,$N$2:$N$3000,"&lt;"&amp;$N1212)+1,"")</f>
        <v/>
      </c>
      <c r="R1212" t="str">
        <f t="shared" si="278"/>
        <v>中金唯品会奥特莱斯封闭式基础设施证券投资基金|宁波杉井奥特莱斯</v>
      </c>
      <c r="S1212">
        <f>IF($A1212="",0,IF(COUNTIF($R$2:$R1212,$R1212)=1,1,0))</f>
        <v>0</v>
      </c>
      <c r="T1212">
        <f t="shared" si="279"/>
        <v>1192</v>
      </c>
      <c r="U1212" t="str">
        <f>IF($A1212="","",IF($A1212=经营数据!$B$3,COUNTIFS($S$2:$S$3000,1,$A$2:$A$3000,$A1212,$T$2:$T$3000,"&lt;"&amp;$T1212)+1,""))</f>
        <v/>
      </c>
      <c r="V1212" t="str">
        <f t="shared" si="280"/>
        <v>宁波杉井奥特莱斯|服务金额</v>
      </c>
      <c r="W1212">
        <f t="shared" si="281"/>
        <v>1193</v>
      </c>
      <c r="X1212" t="str">
        <f t="shared" si="282"/>
        <v>宁波杉井奥特莱斯|租赁商户销售额</v>
      </c>
      <c r="Y1212">
        <f t="shared" si="283"/>
        <v>1196</v>
      </c>
      <c r="Z1212">
        <f>IF($A1212="",0,IF(AND($M1212=1,$A1212=经营数据!$B$3,$J1212=经营数据!$BA$5,OR($I1212=经营数据!$BA$4,COUNTIF(经营数据!$AA$9:$AA$38,$I1212)&gt;0)),1,0))</f>
        <v>0</v>
      </c>
      <c r="AA1212" t="str">
        <f t="shared" si="284"/>
        <v/>
      </c>
      <c r="AB1212" t="str">
        <f t="shared" si="285"/>
        <v/>
      </c>
      <c r="AC1212">
        <f>IF($A1212="",0,IF(COUNTIF($A$2:$A1212,$A1212)=1,1,0))</f>
        <v>0</v>
      </c>
      <c r="AD1212">
        <f t="shared" si="286"/>
        <v>11</v>
      </c>
      <c r="AE1212" t="str">
        <f t="shared" si="287"/>
        <v>宁波杉井奥特莱斯|租赁商户销售额（万元）</v>
      </c>
    </row>
    <row r="1213" spans="1:31" x14ac:dyDescent="0.4">
      <c r="A1213" t="str">
        <f>IF(原始经营数据!$D1214="","",原始经营数据!$D1214)</f>
        <v>中金唯品会奥特莱斯封闭式基础设施证券投资基金</v>
      </c>
      <c r="B1213" t="str">
        <f>IF(原始经营数据!$D1214="","",T(原始经营数据!$E1214))</f>
        <v>宁波杉井奥特莱斯</v>
      </c>
      <c r="C1213" t="str">
        <f>IF(原始经营数据!$D1214="","",原始经营数据!$F1214)</f>
        <v>2024</v>
      </c>
      <c r="D1213" t="str">
        <f>IF(原始经营数据!$D1214="","",原始经营数据!$H1214)</f>
        <v>提成租金比例</v>
      </c>
      <c r="E1213">
        <f>IF(原始经营数据!$D1214="","",原始经营数据!$I1214)</f>
        <v>8.7899999999999991</v>
      </c>
      <c r="F1213" t="str">
        <f>IF(原始经营数据!$D1214="","",T(原始经营数据!$J1214))</f>
        <v>%</v>
      </c>
      <c r="G1213" t="str">
        <f>IF(原始经营数据!$D1214="","",T(原始经营数据!$K1214))</f>
        <v/>
      </c>
      <c r="H1213" t="str">
        <f>IF(原始经营数据!$D1214="","",原始经营数据!$G1214)</f>
        <v>服务量</v>
      </c>
      <c r="I1213" t="str">
        <f>IF($A1213="","",IF($B1213&lt;&gt;"",$B1213,IF(COUNTIFS(原始经营数据!$D$3:$D$3001,$A1213,原始经营数据!$E$3:$E$3001,"",原始经营数据!$F$3:$F$3001,$C1213,原始经营数据!$H$3:$H$3001,$D1213,原始经营数据!$K$3:$K$3001,$G1213)&gt;1,"基金整体·来源"&amp;原始经营数据!$A1214,"基金整体")))</f>
        <v>宁波杉井奥特莱斯</v>
      </c>
      <c r="J1213" t="str">
        <f t="shared" si="273"/>
        <v>年度</v>
      </c>
      <c r="K1213" t="str">
        <f t="shared" si="274"/>
        <v>提成租金比例（%）</v>
      </c>
      <c r="L1213" t="str">
        <f t="shared" si="275"/>
        <v>宁波杉井奥特莱斯|提成租金比例（%）|年度</v>
      </c>
      <c r="M1213">
        <f>IF($A1213="",0,IF(COUNTIF($L$2:$L1213,$L1213)=1,1,0))</f>
        <v>0</v>
      </c>
      <c r="N1213">
        <f t="shared" si="276"/>
        <v>20240</v>
      </c>
      <c r="O1213" t="str">
        <f t="shared" si="277"/>
        <v>中金唯品会奥特莱斯封闭式基础设施证券投资基金|2024|年度</v>
      </c>
      <c r="P1213">
        <f>IF($A1213="",0,IF(COUNTIF($O$2:$O1213,$O1213)=1,1,0))</f>
        <v>1</v>
      </c>
      <c r="Q1213" t="str">
        <f>IF(AND($P1213=1,$A1213=经营数据!$B$3,$J1213=经营数据!$BA$5),COUNTIFS($P$2:$P$3000,1,$A$2:$A$3000,$A1213,$J$2:$J$3000,$J1213,$N$2:$N$3000,"&lt;"&amp;$N1213)+1,"")</f>
        <v/>
      </c>
      <c r="R1213" t="str">
        <f t="shared" si="278"/>
        <v>中金唯品会奥特莱斯封闭式基础设施证券投资基金|宁波杉井奥特莱斯</v>
      </c>
      <c r="S1213">
        <f>IF($A1213="",0,IF(COUNTIF($R$2:$R1213,$R1213)=1,1,0))</f>
        <v>0</v>
      </c>
      <c r="T1213">
        <f t="shared" si="279"/>
        <v>1192</v>
      </c>
      <c r="U1213" t="str">
        <f>IF($A1213="","",IF($A1213=经营数据!$B$3,COUNTIFS($S$2:$S$3000,1,$A$2:$A$3000,$A1213,$T$2:$T$3000,"&lt;"&amp;$T1213)+1,""))</f>
        <v/>
      </c>
      <c r="V1213" t="str">
        <f t="shared" si="280"/>
        <v>宁波杉井奥特莱斯|服务量</v>
      </c>
      <c r="W1213">
        <f t="shared" si="281"/>
        <v>1192</v>
      </c>
      <c r="X1213" t="str">
        <f t="shared" si="282"/>
        <v>宁波杉井奥特莱斯|提成租金比例</v>
      </c>
      <c r="Y1213">
        <f t="shared" si="283"/>
        <v>1192</v>
      </c>
      <c r="Z1213">
        <f>IF($A1213="",0,IF(AND($M1213=1,$A1213=经营数据!$B$3,$J1213=经营数据!$BA$5,OR($I1213=经营数据!$BA$4,COUNTIF(经营数据!$AA$9:$AA$38,$I1213)&gt;0)),1,0))</f>
        <v>0</v>
      </c>
      <c r="AA1213" t="str">
        <f t="shared" si="284"/>
        <v/>
      </c>
      <c r="AB1213" t="str">
        <f t="shared" si="285"/>
        <v/>
      </c>
      <c r="AC1213">
        <f>IF($A1213="",0,IF(COUNTIF($A$2:$A1213,$A1213)=1,1,0))</f>
        <v>0</v>
      </c>
      <c r="AD1213">
        <f t="shared" si="286"/>
        <v>11</v>
      </c>
      <c r="AE1213" t="str">
        <f t="shared" si="287"/>
        <v>宁波杉井奥特莱斯|提成租金比例（%）</v>
      </c>
    </row>
    <row r="1214" spans="1:31" x14ac:dyDescent="0.4">
      <c r="A1214" t="str">
        <f>IF(原始经营数据!$D1215="","",原始经营数据!$D1215)</f>
        <v>中金唯品会奥特莱斯封闭式基础设施证券投资基金</v>
      </c>
      <c r="B1214" t="str">
        <f>IF(原始经营数据!$D1215="","",T(原始经营数据!$E1215))</f>
        <v>宁波杉井奥特莱斯</v>
      </c>
      <c r="C1214" t="str">
        <f>IF(原始经营数据!$D1215="","",原始经营数据!$F1215)</f>
        <v>2024</v>
      </c>
      <c r="D1214" t="str">
        <f>IF(原始经营数据!$D1215="","",原始经营数据!$H1215)</f>
        <v>月整体销售坪效</v>
      </c>
      <c r="E1214">
        <f>IF(原始经营数据!$D1215="","",原始经营数据!$I1215)</f>
        <v>3225.74</v>
      </c>
      <c r="F1214" t="str">
        <f>IF(原始经营数据!$D1215="","",T(原始经营数据!$J1215))</f>
        <v>元/月/平方米</v>
      </c>
      <c r="G1214" t="str">
        <f>IF(原始经营数据!$D1215="","",T(原始经营数据!$K1215))</f>
        <v/>
      </c>
      <c r="H1214" t="str">
        <f>IF(原始经营数据!$D1215="","",原始经营数据!$G1215)</f>
        <v>服务量</v>
      </c>
      <c r="I1214" t="str">
        <f>IF($A1214="","",IF($B1214&lt;&gt;"",$B1214,IF(COUNTIFS(原始经营数据!$D$3:$D$3001,$A1214,原始经营数据!$E$3:$E$3001,"",原始经营数据!$F$3:$F$3001,$C1214,原始经营数据!$H$3:$H$3001,$D1214,原始经营数据!$K$3:$K$3001,$G1214)&gt;1,"基金整体·来源"&amp;原始经营数据!$A1215,"基金整体")))</f>
        <v>宁波杉井奥特莱斯</v>
      </c>
      <c r="J1214" t="str">
        <f t="shared" si="273"/>
        <v>年度</v>
      </c>
      <c r="K1214" t="str">
        <f t="shared" si="274"/>
        <v>月整体销售坪效（元/月/平方米）</v>
      </c>
      <c r="L1214" t="str">
        <f t="shared" si="275"/>
        <v>宁波杉井奥特莱斯|月整体销售坪效（元/月/平方米）|年度</v>
      </c>
      <c r="M1214">
        <f>IF($A1214="",0,IF(COUNTIF($L$2:$L1214,$L1214)=1,1,0))</f>
        <v>0</v>
      </c>
      <c r="N1214">
        <f t="shared" si="276"/>
        <v>20240</v>
      </c>
      <c r="O1214" t="str">
        <f t="shared" si="277"/>
        <v>中金唯品会奥特莱斯封闭式基础设施证券投资基金|2024|年度</v>
      </c>
      <c r="P1214">
        <f>IF($A1214="",0,IF(COUNTIF($O$2:$O1214,$O1214)=1,1,0))</f>
        <v>0</v>
      </c>
      <c r="Q1214" t="str">
        <f>IF(AND($P1214=1,$A1214=经营数据!$B$3,$J1214=经营数据!$BA$5),COUNTIFS($P$2:$P$3000,1,$A$2:$A$3000,$A1214,$J$2:$J$3000,$J1214,$N$2:$N$3000,"&lt;"&amp;$N1214)+1,"")</f>
        <v/>
      </c>
      <c r="R1214" t="str">
        <f t="shared" si="278"/>
        <v>中金唯品会奥特莱斯封闭式基础设施证券投资基金|宁波杉井奥特莱斯</v>
      </c>
      <c r="S1214">
        <f>IF($A1214="",0,IF(COUNTIF($R$2:$R1214,$R1214)=1,1,0))</f>
        <v>0</v>
      </c>
      <c r="T1214">
        <f t="shared" si="279"/>
        <v>1192</v>
      </c>
      <c r="U1214" t="str">
        <f>IF($A1214="","",IF($A1214=经营数据!$B$3,COUNTIFS($S$2:$S$3000,1,$A$2:$A$3000,$A1214,$T$2:$T$3000,"&lt;"&amp;$T1214)+1,""))</f>
        <v/>
      </c>
      <c r="V1214" t="str">
        <f t="shared" si="280"/>
        <v>宁波杉井奥特莱斯|服务量</v>
      </c>
      <c r="W1214">
        <f t="shared" si="281"/>
        <v>1192</v>
      </c>
      <c r="X1214" t="str">
        <f t="shared" si="282"/>
        <v>宁波杉井奥特莱斯|月整体销售坪效</v>
      </c>
      <c r="Y1214">
        <f t="shared" si="283"/>
        <v>1194</v>
      </c>
      <c r="Z1214">
        <f>IF($A1214="",0,IF(AND($M1214=1,$A1214=经营数据!$B$3,$J1214=经营数据!$BA$5,OR($I1214=经营数据!$BA$4,COUNTIF(经营数据!$AA$9:$AA$38,$I1214)&gt;0)),1,0))</f>
        <v>0</v>
      </c>
      <c r="AA1214" t="str">
        <f t="shared" si="284"/>
        <v/>
      </c>
      <c r="AB1214" t="str">
        <f t="shared" si="285"/>
        <v/>
      </c>
      <c r="AC1214">
        <f>IF($A1214="",0,IF(COUNTIF($A$2:$A1214,$A1214)=1,1,0))</f>
        <v>0</v>
      </c>
      <c r="AD1214">
        <f t="shared" si="286"/>
        <v>11</v>
      </c>
      <c r="AE1214" t="str">
        <f t="shared" si="287"/>
        <v>宁波杉井奥特莱斯|月整体销售坪效（元/月/平方米）</v>
      </c>
    </row>
    <row r="1215" spans="1:31" x14ac:dyDescent="0.4">
      <c r="A1215" t="str">
        <f>IF(原始经营数据!$D1216="","",原始经营数据!$D1216)</f>
        <v>中金唯品会奥特莱斯封闭式基础设施证券投资基金</v>
      </c>
      <c r="B1215" t="str">
        <f>IF(原始经营数据!$D1216="","",T(原始经营数据!$E1216))</f>
        <v>宁波杉井奥特莱斯</v>
      </c>
      <c r="C1215" t="str">
        <f>IF(原始经营数据!$D1216="","",原始经营数据!$F1216)</f>
        <v>2024</v>
      </c>
      <c r="D1215" t="str">
        <f>IF(原始经营数据!$D1216="","",原始经营数据!$H1216)</f>
        <v>月整体租金坪效</v>
      </c>
      <c r="E1215">
        <f>IF(原始经营数据!$D1216="","",原始经营数据!$I1216)</f>
        <v>369.93</v>
      </c>
      <c r="F1215" t="str">
        <f>IF(原始经营数据!$D1216="","",T(原始经营数据!$J1216))</f>
        <v>元/月/平方米</v>
      </c>
      <c r="G1215" t="str">
        <f>IF(原始经营数据!$D1216="","",T(原始经营数据!$K1216))</f>
        <v/>
      </c>
      <c r="H1215" t="str">
        <f>IF(原始经营数据!$D1216="","",原始经营数据!$G1216)</f>
        <v>服务量</v>
      </c>
      <c r="I1215" t="str">
        <f>IF($A1215="","",IF($B1215&lt;&gt;"",$B1215,IF(COUNTIFS(原始经营数据!$D$3:$D$3001,$A1215,原始经营数据!$E$3:$E$3001,"",原始经营数据!$F$3:$F$3001,$C1215,原始经营数据!$H$3:$H$3001,$D1215,原始经营数据!$K$3:$K$3001,$G1215)&gt;1,"基金整体·来源"&amp;原始经营数据!$A1216,"基金整体")))</f>
        <v>宁波杉井奥特莱斯</v>
      </c>
      <c r="J1215" t="str">
        <f t="shared" si="273"/>
        <v>年度</v>
      </c>
      <c r="K1215" t="str">
        <f t="shared" si="274"/>
        <v>月整体租金坪效（元/月/平方米）</v>
      </c>
      <c r="L1215" t="str">
        <f t="shared" si="275"/>
        <v>宁波杉井奥特莱斯|月整体租金坪效（元/月/平方米）|年度</v>
      </c>
      <c r="M1215">
        <f>IF($A1215="",0,IF(COUNTIF($L$2:$L1215,$L1215)=1,1,0))</f>
        <v>0</v>
      </c>
      <c r="N1215">
        <f t="shared" si="276"/>
        <v>20240</v>
      </c>
      <c r="O1215" t="str">
        <f t="shared" si="277"/>
        <v>中金唯品会奥特莱斯封闭式基础设施证券投资基金|2024|年度</v>
      </c>
      <c r="P1215">
        <f>IF($A1215="",0,IF(COUNTIF($O$2:$O1215,$O1215)=1,1,0))</f>
        <v>0</v>
      </c>
      <c r="Q1215" t="str">
        <f>IF(AND($P1215=1,$A1215=经营数据!$B$3,$J1215=经营数据!$BA$5),COUNTIFS($P$2:$P$3000,1,$A$2:$A$3000,$A1215,$J$2:$J$3000,$J1215,$N$2:$N$3000,"&lt;"&amp;$N1215)+1,"")</f>
        <v/>
      </c>
      <c r="R1215" t="str">
        <f t="shared" si="278"/>
        <v>中金唯品会奥特莱斯封闭式基础设施证券投资基金|宁波杉井奥特莱斯</v>
      </c>
      <c r="S1215">
        <f>IF($A1215="",0,IF(COUNTIF($R$2:$R1215,$R1215)=1,1,0))</f>
        <v>0</v>
      </c>
      <c r="T1215">
        <f t="shared" si="279"/>
        <v>1192</v>
      </c>
      <c r="U1215" t="str">
        <f>IF($A1215="","",IF($A1215=经营数据!$B$3,COUNTIFS($S$2:$S$3000,1,$A$2:$A$3000,$A1215,$T$2:$T$3000,"&lt;"&amp;$T1215)+1,""))</f>
        <v/>
      </c>
      <c r="V1215" t="str">
        <f t="shared" si="280"/>
        <v>宁波杉井奥特莱斯|服务量</v>
      </c>
      <c r="W1215">
        <f t="shared" si="281"/>
        <v>1192</v>
      </c>
      <c r="X1215" t="str">
        <f t="shared" si="282"/>
        <v>宁波杉井奥特莱斯|月整体租金坪效</v>
      </c>
      <c r="Y1215">
        <f t="shared" si="283"/>
        <v>1195</v>
      </c>
      <c r="Z1215">
        <f>IF($A1215="",0,IF(AND($M1215=1,$A1215=经营数据!$B$3,$J1215=经营数据!$BA$5,OR($I1215=经营数据!$BA$4,COUNTIF(经营数据!$AA$9:$AA$38,$I1215)&gt;0)),1,0))</f>
        <v>0</v>
      </c>
      <c r="AA1215" t="str">
        <f t="shared" si="284"/>
        <v/>
      </c>
      <c r="AB1215" t="str">
        <f t="shared" si="285"/>
        <v/>
      </c>
      <c r="AC1215">
        <f>IF($A1215="",0,IF(COUNTIF($A$2:$A1215,$A1215)=1,1,0))</f>
        <v>0</v>
      </c>
      <c r="AD1215">
        <f t="shared" si="286"/>
        <v>11</v>
      </c>
      <c r="AE1215" t="str">
        <f t="shared" si="287"/>
        <v>宁波杉井奥特莱斯|月整体租金坪效（元/月/平方米）</v>
      </c>
    </row>
    <row r="1216" spans="1:31" x14ac:dyDescent="0.4">
      <c r="A1216" t="str">
        <f>IF(原始经营数据!$D1217="","",原始经营数据!$D1217)</f>
        <v>中金唯品会奥特莱斯封闭式基础设施证券投资基金</v>
      </c>
      <c r="B1216" t="str">
        <f>IF(原始经营数据!$D1217="","",T(原始经营数据!$E1217))</f>
        <v>宁波杉井奥特莱斯</v>
      </c>
      <c r="C1216" t="str">
        <f>IF(原始经营数据!$D1217="","",原始经营数据!$F1217)</f>
        <v>2024</v>
      </c>
      <c r="D1216" t="str">
        <f>IF(原始经营数据!$D1217="","",原始经营数据!$H1217)</f>
        <v>平均出租率</v>
      </c>
      <c r="E1216">
        <f>IF(原始经营数据!$D1217="","",原始经营数据!$I1217)</f>
        <v>97.57</v>
      </c>
      <c r="F1216" t="str">
        <f>IF(原始经营数据!$D1217="","",T(原始经营数据!$J1217))</f>
        <v>%</v>
      </c>
      <c r="G1216" t="str">
        <f>IF(原始经营数据!$D1217="","",T(原始经营数据!$K1217))</f>
        <v/>
      </c>
      <c r="H1216" t="str">
        <f>IF(原始经营数据!$D1217="","",原始经营数据!$G1217)</f>
        <v>服务效率</v>
      </c>
      <c r="I1216" t="str">
        <f>IF($A1216="","",IF($B1216&lt;&gt;"",$B1216,IF(COUNTIFS(原始经营数据!$D$3:$D$3001,$A1216,原始经营数据!$E$3:$E$3001,"",原始经营数据!$F$3:$F$3001,$C1216,原始经营数据!$H$3:$H$3001,$D1216,原始经营数据!$K$3:$K$3001,$G1216)&gt;1,"基金整体·来源"&amp;原始经营数据!$A1217,"基金整体")))</f>
        <v>宁波杉井奥特莱斯</v>
      </c>
      <c r="J1216" t="str">
        <f t="shared" si="273"/>
        <v>年度</v>
      </c>
      <c r="K1216" t="str">
        <f t="shared" si="274"/>
        <v>平均出租率（%）</v>
      </c>
      <c r="L1216" t="str">
        <f t="shared" si="275"/>
        <v>宁波杉井奥特莱斯|平均出租率（%）|年度</v>
      </c>
      <c r="M1216">
        <f>IF($A1216="",0,IF(COUNTIF($L$2:$L1216,$L1216)=1,1,0))</f>
        <v>0</v>
      </c>
      <c r="N1216">
        <f t="shared" si="276"/>
        <v>20240</v>
      </c>
      <c r="O1216" t="str">
        <f t="shared" si="277"/>
        <v>中金唯品会奥特莱斯封闭式基础设施证券投资基金|2024|年度</v>
      </c>
      <c r="P1216">
        <f>IF($A1216="",0,IF(COUNTIF($O$2:$O1216,$O1216)=1,1,0))</f>
        <v>0</v>
      </c>
      <c r="Q1216" t="str">
        <f>IF(AND($P1216=1,$A1216=经营数据!$B$3,$J1216=经营数据!$BA$5),COUNTIFS($P$2:$P$3000,1,$A$2:$A$3000,$A1216,$J$2:$J$3000,$J1216,$N$2:$N$3000,"&lt;"&amp;$N1216)+1,"")</f>
        <v/>
      </c>
      <c r="R1216" t="str">
        <f t="shared" si="278"/>
        <v>中金唯品会奥特莱斯封闭式基础设施证券投资基金|宁波杉井奥特莱斯</v>
      </c>
      <c r="S1216">
        <f>IF($A1216="",0,IF(COUNTIF($R$2:$R1216,$R1216)=1,1,0))</f>
        <v>0</v>
      </c>
      <c r="T1216">
        <f t="shared" si="279"/>
        <v>1192</v>
      </c>
      <c r="U1216" t="str">
        <f>IF($A1216="","",IF($A1216=经营数据!$B$3,COUNTIFS($S$2:$S$3000,1,$A$2:$A$3000,$A1216,$T$2:$T$3000,"&lt;"&amp;$T1216)+1,""))</f>
        <v/>
      </c>
      <c r="V1216" t="str">
        <f t="shared" si="280"/>
        <v>宁波杉井奥特莱斯|服务效率</v>
      </c>
      <c r="W1216">
        <f t="shared" si="281"/>
        <v>1200</v>
      </c>
      <c r="X1216" t="str">
        <f t="shared" si="282"/>
        <v>宁波杉井奥特莱斯|平均出租率</v>
      </c>
      <c r="Y1216">
        <f t="shared" si="283"/>
        <v>1201</v>
      </c>
      <c r="Z1216">
        <f>IF($A1216="",0,IF(AND($M1216=1,$A1216=经营数据!$B$3,$J1216=经营数据!$BA$5,OR($I1216=经营数据!$BA$4,COUNTIF(经营数据!$AA$9:$AA$38,$I1216)&gt;0)),1,0))</f>
        <v>0</v>
      </c>
      <c r="AA1216" t="str">
        <f t="shared" si="284"/>
        <v/>
      </c>
      <c r="AB1216" t="str">
        <f t="shared" si="285"/>
        <v/>
      </c>
      <c r="AC1216">
        <f>IF($A1216="",0,IF(COUNTIF($A$2:$A1216,$A1216)=1,1,0))</f>
        <v>0</v>
      </c>
      <c r="AD1216">
        <f t="shared" si="286"/>
        <v>11</v>
      </c>
      <c r="AE1216" t="str">
        <f t="shared" si="287"/>
        <v>宁波杉井奥特莱斯|平均出租率（%）</v>
      </c>
    </row>
    <row r="1217" spans="1:31" x14ac:dyDescent="0.4">
      <c r="A1217" t="str">
        <f>IF(原始经营数据!$D1218="","",原始经营数据!$D1218)</f>
        <v>中金唯品会奥特莱斯封闭式基础设施证券投资基金</v>
      </c>
      <c r="B1217" t="str">
        <f>IF(原始经营数据!$D1218="","",T(原始经营数据!$E1218))</f>
        <v>宁波杉井奥特莱斯</v>
      </c>
      <c r="C1217" t="str">
        <f>IF(原始经营数据!$D1218="","",原始经营数据!$F1218)</f>
        <v>2024</v>
      </c>
      <c r="D1217" t="str">
        <f>IF(原始经营数据!$D1218="","",原始经营数据!$H1218)</f>
        <v>租金收入</v>
      </c>
      <c r="E1217">
        <f>IF(原始经营数据!$D1218="","",原始经营数据!$I1218)</f>
        <v>2231.02</v>
      </c>
      <c r="F1217" t="str">
        <f>IF(原始经营数据!$D1218="","",T(原始经营数据!$J1218))</f>
        <v>万元</v>
      </c>
      <c r="G1217" t="str">
        <f>IF(原始经营数据!$D1218="","",T(原始经营数据!$K1218))</f>
        <v/>
      </c>
      <c r="H1217" t="str">
        <f>IF(原始经营数据!$D1218="","",原始经营数据!$G1218)</f>
        <v>服务金额</v>
      </c>
      <c r="I1217" t="str">
        <f>IF($A1217="","",IF($B1217&lt;&gt;"",$B1217,IF(COUNTIFS(原始经营数据!$D$3:$D$3001,$A1217,原始经营数据!$E$3:$E$3001,"",原始经营数据!$F$3:$F$3001,$C1217,原始经营数据!$H$3:$H$3001,$D1217,原始经营数据!$K$3:$K$3001,$G1217)&gt;1,"基金整体·来源"&amp;原始经营数据!$A1218,"基金整体")))</f>
        <v>宁波杉井奥特莱斯</v>
      </c>
      <c r="J1217" t="str">
        <f t="shared" si="273"/>
        <v>年度</v>
      </c>
      <c r="K1217" t="str">
        <f t="shared" si="274"/>
        <v>租金收入（万元）</v>
      </c>
      <c r="L1217" t="str">
        <f t="shared" si="275"/>
        <v>宁波杉井奥特莱斯|租金收入（万元）|年度</v>
      </c>
      <c r="M1217">
        <f>IF($A1217="",0,IF(COUNTIF($L$2:$L1217,$L1217)=1,1,0))</f>
        <v>0</v>
      </c>
      <c r="N1217">
        <f t="shared" si="276"/>
        <v>20240</v>
      </c>
      <c r="O1217" t="str">
        <f t="shared" si="277"/>
        <v>中金唯品会奥特莱斯封闭式基础设施证券投资基金|2024|年度</v>
      </c>
      <c r="P1217">
        <f>IF($A1217="",0,IF(COUNTIF($O$2:$O1217,$O1217)=1,1,0))</f>
        <v>0</v>
      </c>
      <c r="Q1217" t="str">
        <f>IF(AND($P1217=1,$A1217=经营数据!$B$3,$J1217=经营数据!$BA$5),COUNTIFS($P$2:$P$3000,1,$A$2:$A$3000,$A1217,$J$2:$J$3000,$J1217,$N$2:$N$3000,"&lt;"&amp;$N1217)+1,"")</f>
        <v/>
      </c>
      <c r="R1217" t="str">
        <f t="shared" si="278"/>
        <v>中金唯品会奥特莱斯封闭式基础设施证券投资基金|宁波杉井奥特莱斯</v>
      </c>
      <c r="S1217">
        <f>IF($A1217="",0,IF(COUNTIF($R$2:$R1217,$R1217)=1,1,0))</f>
        <v>0</v>
      </c>
      <c r="T1217">
        <f t="shared" si="279"/>
        <v>1192</v>
      </c>
      <c r="U1217" t="str">
        <f>IF($A1217="","",IF($A1217=经营数据!$B$3,COUNTIFS($S$2:$S$3000,1,$A$2:$A$3000,$A1217,$T$2:$T$3000,"&lt;"&amp;$T1217)+1,""))</f>
        <v/>
      </c>
      <c r="V1217" t="str">
        <f t="shared" si="280"/>
        <v>宁波杉井奥特莱斯|服务金额</v>
      </c>
      <c r="W1217">
        <f t="shared" si="281"/>
        <v>1193</v>
      </c>
      <c r="X1217" t="str">
        <f t="shared" si="282"/>
        <v>宁波杉井奥特莱斯|租金收入</v>
      </c>
      <c r="Y1217">
        <f t="shared" si="283"/>
        <v>1193</v>
      </c>
      <c r="Z1217">
        <f>IF($A1217="",0,IF(AND($M1217=1,$A1217=经营数据!$B$3,$J1217=经营数据!$BA$5,OR($I1217=经营数据!$BA$4,COUNTIF(经营数据!$AA$9:$AA$38,$I1217)&gt;0)),1,0))</f>
        <v>0</v>
      </c>
      <c r="AA1217" t="str">
        <f t="shared" si="284"/>
        <v/>
      </c>
      <c r="AB1217" t="str">
        <f t="shared" si="285"/>
        <v/>
      </c>
      <c r="AC1217">
        <f>IF($A1217="",0,IF(COUNTIF($A$2:$A1217,$A1217)=1,1,0))</f>
        <v>0</v>
      </c>
      <c r="AD1217">
        <f t="shared" si="286"/>
        <v>11</v>
      </c>
      <c r="AE1217" t="str">
        <f t="shared" si="287"/>
        <v>宁波杉井奥特莱斯|租金收入（万元）</v>
      </c>
    </row>
    <row r="1218" spans="1:31" x14ac:dyDescent="0.4">
      <c r="A1218" t="str">
        <f>IF(原始经营数据!$D1219="","",原始经营数据!$D1219)</f>
        <v>中金唯品会奥特莱斯封闭式基础设施证券投资基金</v>
      </c>
      <c r="B1218" t="str">
        <f>IF(原始经营数据!$D1219="","",T(原始经营数据!$E1219))</f>
        <v>宁波杉井奥特莱斯</v>
      </c>
      <c r="C1218" t="str">
        <f>IF(原始经营数据!$D1219="","",原始经营数据!$F1219)</f>
        <v>2024</v>
      </c>
      <c r="D1218" t="str">
        <f>IF(原始经营数据!$D1219="","",原始经营数据!$H1219)</f>
        <v>整体销售额</v>
      </c>
      <c r="E1218">
        <f>IF(原始经营数据!$D1219="","",原始经营数据!$I1219)</f>
        <v>197086.19</v>
      </c>
      <c r="F1218" t="str">
        <f>IF(原始经营数据!$D1219="","",T(原始经营数据!$J1219))</f>
        <v>万元</v>
      </c>
      <c r="G1218" t="str">
        <f>IF(原始经营数据!$D1219="","",T(原始经营数据!$K1219))</f>
        <v/>
      </c>
      <c r="H1218" t="str">
        <f>IF(原始经营数据!$D1219="","",原始经营数据!$G1219)</f>
        <v>服务金额</v>
      </c>
      <c r="I1218" t="str">
        <f>IF($A1218="","",IF($B1218&lt;&gt;"",$B1218,IF(COUNTIFS(原始经营数据!$D$3:$D$3001,$A1218,原始经营数据!$E$3:$E$3001,"",原始经营数据!$F$3:$F$3001,$C1218,原始经营数据!$H$3:$H$3001,$D1218,原始经营数据!$K$3:$K$3001,$G1218)&gt;1,"基金整体·来源"&amp;原始经营数据!$A1219,"基金整体")))</f>
        <v>宁波杉井奥特莱斯</v>
      </c>
      <c r="J1218" t="str">
        <f t="shared" ref="J1218:J1281" si="288">IF($A1218="","",IF(LEN($C1218)=4,"年度",IF(AND(LEN($C1218)=6,ISNUMBER(SEARCH("Q",$C1218))),"季度","其他期间")))</f>
        <v>年度</v>
      </c>
      <c r="K1218" t="str">
        <f t="shared" ref="K1218:K1281" si="289">IF($A1218="","",$D1218&amp;IF($G1218="","","-"&amp;SUBSTITUTE($G1218,CHAR(10),""))&amp;IF($F1218="","","（"&amp;$F1218&amp;"）"))</f>
        <v>整体销售额（万元）</v>
      </c>
      <c r="L1218" t="str">
        <f t="shared" ref="L1218:L1281" si="290">IF($A1218="","",$I1218&amp;"|"&amp;$K1218&amp;"|"&amp;$J1218)</f>
        <v>宁波杉井奥特莱斯|整体销售额（万元）|年度</v>
      </c>
      <c r="M1218">
        <f>IF($A1218="",0,IF(COUNTIF($L$2:$L1218,$L1218)=1,1,0))</f>
        <v>0</v>
      </c>
      <c r="N1218">
        <f t="shared" ref="N1218:N1281" si="291">IF($A1218="","",IF($J1218="年度",VALUE($C1218)*10,IF($J1218="季度",VALUE(LEFT($C1218,4))*10+VALUE(RIGHT($C1218,1)),VALUE(LEFT($C1218,4))*10+9)))</f>
        <v>20240</v>
      </c>
      <c r="O1218" t="str">
        <f t="shared" ref="O1218:O1281" si="292">IF($A1218="","",$A1218&amp;"|"&amp;$C1218&amp;"|"&amp;$J1218)</f>
        <v>中金唯品会奥特莱斯封闭式基础设施证券投资基金|2024|年度</v>
      </c>
      <c r="P1218">
        <f>IF($A1218="",0,IF(COUNTIF($O$2:$O1218,$O1218)=1,1,0))</f>
        <v>0</v>
      </c>
      <c r="Q1218" t="str">
        <f>IF(AND($P1218=1,$A1218=经营数据!$B$3,$J1218=经营数据!$BA$5),COUNTIFS($P$2:$P$3000,1,$A$2:$A$3000,$A1218,$J$2:$J$3000,$J1218,$N$2:$N$3000,"&lt;"&amp;$N1218)+1,"")</f>
        <v/>
      </c>
      <c r="R1218" t="str">
        <f t="shared" ref="R1218:R1281" si="293">IF($A1218="","",$A1218&amp;"|"&amp;$I1218)</f>
        <v>中金唯品会奥特莱斯封闭式基础设施证券投资基金|宁波杉井奥特莱斯</v>
      </c>
      <c r="S1218">
        <f>IF($A1218="",0,IF(COUNTIF($R$2:$R1218,$R1218)=1,1,0))</f>
        <v>0</v>
      </c>
      <c r="T1218">
        <f t="shared" ref="T1218:T1281" si="294">IF($A1218="","",MATCH($R1218,$R$2:$R$3000,0))</f>
        <v>1192</v>
      </c>
      <c r="U1218" t="str">
        <f>IF($A1218="","",IF($A1218=经营数据!$B$3,COUNTIFS($S$2:$S$3000,1,$A$2:$A$3000,$A1218,$T$2:$T$3000,"&lt;"&amp;$T1218)+1,""))</f>
        <v/>
      </c>
      <c r="V1218" t="str">
        <f t="shared" ref="V1218:V1281" si="295">IF($A1218="","",$I1218&amp;"|"&amp;$H1218)</f>
        <v>宁波杉井奥特莱斯|服务金额</v>
      </c>
      <c r="W1218">
        <f t="shared" ref="W1218:W1281" si="296">IF($A1218="","",MATCH($V1218,$V$2:$V$3000,0))</f>
        <v>1193</v>
      </c>
      <c r="X1218" t="str">
        <f t="shared" ref="X1218:X1281" si="297">IF($A1218="","",$I1218&amp;"|"&amp;$D1218)</f>
        <v>宁波杉井奥特莱斯|整体销售额</v>
      </c>
      <c r="Y1218">
        <f t="shared" ref="Y1218:Y1281" si="298">IF($A1218="","",MATCH($X1218,$X$2:$X$3000,0))</f>
        <v>1197</v>
      </c>
      <c r="Z1218">
        <f>IF($A1218="",0,IF(AND($M1218=1,$A1218=经营数据!$B$3,$J1218=经营数据!$BA$5,OR($I1218=经营数据!$BA$4,COUNTIF(经营数据!$AA$9:$AA$38,$I1218)&gt;0)),1,0))</f>
        <v>0</v>
      </c>
      <c r="AA1218" t="str">
        <f t="shared" ref="AA1218:AA1281" si="299">IF($Z1218=1,$U1218*1000000000000+$W1218*100000000+$Y1218*10000+ROW(),"")</f>
        <v/>
      </c>
      <c r="AB1218" t="str">
        <f t="shared" ref="AB1218:AB1281" si="300">IF($Z1218=1,COUNTIFS($Z$2:$Z$3000,1,$AA$2:$AA$3000,"&lt;"&amp;$AA1218)+1,"")</f>
        <v/>
      </c>
      <c r="AC1218">
        <f>IF($A1218="",0,IF(COUNTIF($A$2:$A1218,$A1218)=1,1,0))</f>
        <v>0</v>
      </c>
      <c r="AD1218">
        <f t="shared" ref="AD1218:AD1281" si="301">IF($A1218="",N(AD1217),IF($AC1218=1,N(AD1217)+1,N(AD1217)))</f>
        <v>11</v>
      </c>
      <c r="AE1218" t="str">
        <f t="shared" ref="AE1218:AE1281" si="302">IF($A1218="","",$I1218&amp;"|"&amp;$K1218)</f>
        <v>宁波杉井奥特莱斯|整体销售额（万元）</v>
      </c>
    </row>
    <row r="1219" spans="1:31" x14ac:dyDescent="0.4">
      <c r="A1219" t="str">
        <f>IF(原始经营数据!$D1220="","",原始经营数据!$D1220)</f>
        <v>中金唯品会奥特莱斯封闭式基础设施证券投资基金</v>
      </c>
      <c r="B1219" t="str">
        <f>IF(原始经营数据!$D1220="","",T(原始经营数据!$E1220))</f>
        <v>宁波杉井奥特莱斯</v>
      </c>
      <c r="C1219" t="str">
        <f>IF(原始经营数据!$D1220="","",原始经营数据!$F1220)</f>
        <v>2024</v>
      </c>
      <c r="D1219" t="str">
        <f>IF(原始经营数据!$D1220="","",原始经营数据!$H1220)</f>
        <v>联营商户销售额</v>
      </c>
      <c r="E1219">
        <f>IF(原始经营数据!$D1220="","",原始经营数据!$I1220)</f>
        <v>173235.26</v>
      </c>
      <c r="F1219" t="str">
        <f>IF(原始经营数据!$D1220="","",T(原始经营数据!$J1220))</f>
        <v>万元</v>
      </c>
      <c r="G1219" t="str">
        <f>IF(原始经营数据!$D1220="","",T(原始经营数据!$K1220))</f>
        <v/>
      </c>
      <c r="H1219" t="str">
        <f>IF(原始经营数据!$D1220="","",原始经营数据!$G1220)</f>
        <v>服务金额</v>
      </c>
      <c r="I1219" t="str">
        <f>IF($A1219="","",IF($B1219&lt;&gt;"",$B1219,IF(COUNTIFS(原始经营数据!$D$3:$D$3001,$A1219,原始经营数据!$E$3:$E$3001,"",原始经营数据!$F$3:$F$3001,$C1219,原始经营数据!$H$3:$H$3001,$D1219,原始经营数据!$K$3:$K$3001,$G1219)&gt;1,"基金整体·来源"&amp;原始经营数据!$A1220,"基金整体")))</f>
        <v>宁波杉井奥特莱斯</v>
      </c>
      <c r="J1219" t="str">
        <f t="shared" si="288"/>
        <v>年度</v>
      </c>
      <c r="K1219" t="str">
        <f t="shared" si="289"/>
        <v>联营商户销售额（万元）</v>
      </c>
      <c r="L1219" t="str">
        <f t="shared" si="290"/>
        <v>宁波杉井奥特莱斯|联营商户销售额（万元）|年度</v>
      </c>
      <c r="M1219">
        <f>IF($A1219="",0,IF(COUNTIF($L$2:$L1219,$L1219)=1,1,0))</f>
        <v>0</v>
      </c>
      <c r="N1219">
        <f t="shared" si="291"/>
        <v>20240</v>
      </c>
      <c r="O1219" t="str">
        <f t="shared" si="292"/>
        <v>中金唯品会奥特莱斯封闭式基础设施证券投资基金|2024|年度</v>
      </c>
      <c r="P1219">
        <f>IF($A1219="",0,IF(COUNTIF($O$2:$O1219,$O1219)=1,1,0))</f>
        <v>0</v>
      </c>
      <c r="Q1219" t="str">
        <f>IF(AND($P1219=1,$A1219=经营数据!$B$3,$J1219=经营数据!$BA$5),COUNTIFS($P$2:$P$3000,1,$A$2:$A$3000,$A1219,$J$2:$J$3000,$J1219,$N$2:$N$3000,"&lt;"&amp;$N1219)+1,"")</f>
        <v/>
      </c>
      <c r="R1219" t="str">
        <f t="shared" si="293"/>
        <v>中金唯品会奥特莱斯封闭式基础设施证券投资基金|宁波杉井奥特莱斯</v>
      </c>
      <c r="S1219">
        <f>IF($A1219="",0,IF(COUNTIF($R$2:$R1219,$R1219)=1,1,0))</f>
        <v>0</v>
      </c>
      <c r="T1219">
        <f t="shared" si="294"/>
        <v>1192</v>
      </c>
      <c r="U1219" t="str">
        <f>IF($A1219="","",IF($A1219=经营数据!$B$3,COUNTIFS($S$2:$S$3000,1,$A$2:$A$3000,$A1219,$T$2:$T$3000,"&lt;"&amp;$T1219)+1,""))</f>
        <v/>
      </c>
      <c r="V1219" t="str">
        <f t="shared" si="295"/>
        <v>宁波杉井奥特莱斯|服务金额</v>
      </c>
      <c r="W1219">
        <f t="shared" si="296"/>
        <v>1193</v>
      </c>
      <c r="X1219" t="str">
        <f t="shared" si="297"/>
        <v>宁波杉井奥特莱斯|联营商户销售额</v>
      </c>
      <c r="Y1219">
        <f t="shared" si="298"/>
        <v>1198</v>
      </c>
      <c r="Z1219">
        <f>IF($A1219="",0,IF(AND($M1219=1,$A1219=经营数据!$B$3,$J1219=经营数据!$BA$5,OR($I1219=经营数据!$BA$4,COUNTIF(经营数据!$AA$9:$AA$38,$I1219)&gt;0)),1,0))</f>
        <v>0</v>
      </c>
      <c r="AA1219" t="str">
        <f t="shared" si="299"/>
        <v/>
      </c>
      <c r="AB1219" t="str">
        <f t="shared" si="300"/>
        <v/>
      </c>
      <c r="AC1219">
        <f>IF($A1219="",0,IF(COUNTIF($A$2:$A1219,$A1219)=1,1,0))</f>
        <v>0</v>
      </c>
      <c r="AD1219">
        <f t="shared" si="301"/>
        <v>11</v>
      </c>
      <c r="AE1219" t="str">
        <f t="shared" si="302"/>
        <v>宁波杉井奥特莱斯|联营商户销售额（万元）</v>
      </c>
    </row>
    <row r="1220" spans="1:31" x14ac:dyDescent="0.4">
      <c r="A1220" t="str">
        <f>IF(原始经营数据!$D1221="","",原始经营数据!$D1221)</f>
        <v>中金唯品会奥特莱斯封闭式基础设施证券投资基金</v>
      </c>
      <c r="B1220" t="str">
        <f>IF(原始经营数据!$D1221="","",T(原始经营数据!$E1221))</f>
        <v>宁波杉井奥特莱斯</v>
      </c>
      <c r="C1220" t="str">
        <f>IF(原始经营数据!$D1221="","",原始经营数据!$F1221)</f>
        <v>2024</v>
      </c>
      <c r="D1220" t="str">
        <f>IF(原始经营数据!$D1221="","",原始经营数据!$H1221)</f>
        <v>联营模式收入</v>
      </c>
      <c r="E1220">
        <f>IF(原始经营数据!$D1221="","",原始经营数据!$I1221)</f>
        <v>20370.8</v>
      </c>
      <c r="F1220" t="str">
        <f>IF(原始经营数据!$D1221="","",T(原始经营数据!$J1221))</f>
        <v>万元</v>
      </c>
      <c r="G1220" t="str">
        <f>IF(原始经营数据!$D1221="","",T(原始经营数据!$K1221))</f>
        <v/>
      </c>
      <c r="H1220" t="str">
        <f>IF(原始经营数据!$D1221="","",原始经营数据!$G1221)</f>
        <v>服务金额</v>
      </c>
      <c r="I1220" t="str">
        <f>IF($A1220="","",IF($B1220&lt;&gt;"",$B1220,IF(COUNTIFS(原始经营数据!$D$3:$D$3001,$A1220,原始经营数据!$E$3:$E$3001,"",原始经营数据!$F$3:$F$3001,$C1220,原始经营数据!$H$3:$H$3001,$D1220,原始经营数据!$K$3:$K$3001,$G1220)&gt;1,"基金整体·来源"&amp;原始经营数据!$A1221,"基金整体")))</f>
        <v>宁波杉井奥特莱斯</v>
      </c>
      <c r="J1220" t="str">
        <f t="shared" si="288"/>
        <v>年度</v>
      </c>
      <c r="K1220" t="str">
        <f t="shared" si="289"/>
        <v>联营模式收入（万元）</v>
      </c>
      <c r="L1220" t="str">
        <f t="shared" si="290"/>
        <v>宁波杉井奥特莱斯|联营模式收入（万元）|年度</v>
      </c>
      <c r="M1220">
        <f>IF($A1220="",0,IF(COUNTIF($L$2:$L1220,$L1220)=1,1,0))</f>
        <v>0</v>
      </c>
      <c r="N1220">
        <f t="shared" si="291"/>
        <v>20240</v>
      </c>
      <c r="O1220" t="str">
        <f t="shared" si="292"/>
        <v>中金唯品会奥特莱斯封闭式基础设施证券投资基金|2024|年度</v>
      </c>
      <c r="P1220">
        <f>IF($A1220="",0,IF(COUNTIF($O$2:$O1220,$O1220)=1,1,0))</f>
        <v>0</v>
      </c>
      <c r="Q1220" t="str">
        <f>IF(AND($P1220=1,$A1220=经营数据!$B$3,$J1220=经营数据!$BA$5),COUNTIFS($P$2:$P$3000,1,$A$2:$A$3000,$A1220,$J$2:$J$3000,$J1220,$N$2:$N$3000,"&lt;"&amp;$N1220)+1,"")</f>
        <v/>
      </c>
      <c r="R1220" t="str">
        <f t="shared" si="293"/>
        <v>中金唯品会奥特莱斯封闭式基础设施证券投资基金|宁波杉井奥特莱斯</v>
      </c>
      <c r="S1220">
        <f>IF($A1220="",0,IF(COUNTIF($R$2:$R1220,$R1220)=1,1,0))</f>
        <v>0</v>
      </c>
      <c r="T1220">
        <f t="shared" si="294"/>
        <v>1192</v>
      </c>
      <c r="U1220" t="str">
        <f>IF($A1220="","",IF($A1220=经营数据!$B$3,COUNTIFS($S$2:$S$3000,1,$A$2:$A$3000,$A1220,$T$2:$T$3000,"&lt;"&amp;$T1220)+1,""))</f>
        <v/>
      </c>
      <c r="V1220" t="str">
        <f t="shared" si="295"/>
        <v>宁波杉井奥特莱斯|服务金额</v>
      </c>
      <c r="W1220">
        <f t="shared" si="296"/>
        <v>1193</v>
      </c>
      <c r="X1220" t="str">
        <f t="shared" si="297"/>
        <v>宁波杉井奥特莱斯|联营模式收入</v>
      </c>
      <c r="Y1220">
        <f t="shared" si="298"/>
        <v>1199</v>
      </c>
      <c r="Z1220">
        <f>IF($A1220="",0,IF(AND($M1220=1,$A1220=经营数据!$B$3,$J1220=经营数据!$BA$5,OR($I1220=经营数据!$BA$4,COUNTIF(经营数据!$AA$9:$AA$38,$I1220)&gt;0)),1,0))</f>
        <v>0</v>
      </c>
      <c r="AA1220" t="str">
        <f t="shared" si="299"/>
        <v/>
      </c>
      <c r="AB1220" t="str">
        <f t="shared" si="300"/>
        <v/>
      </c>
      <c r="AC1220">
        <f>IF($A1220="",0,IF(COUNTIF($A$2:$A1220,$A1220)=1,1,0))</f>
        <v>0</v>
      </c>
      <c r="AD1220">
        <f t="shared" si="301"/>
        <v>11</v>
      </c>
      <c r="AE1220" t="str">
        <f t="shared" si="302"/>
        <v>宁波杉井奥特莱斯|联营模式收入（万元）</v>
      </c>
    </row>
    <row r="1221" spans="1:31" x14ac:dyDescent="0.4">
      <c r="A1221" t="str">
        <f>IF(原始经营数据!$D1222="","",原始经营数据!$D1222)</f>
        <v>中金唯品会奥特莱斯封闭式基础设施证券投资基金</v>
      </c>
      <c r="B1221" t="str">
        <f>IF(原始经营数据!$D1222="","",T(原始经营数据!$E1222))</f>
        <v>宁波杉井奥特莱斯</v>
      </c>
      <c r="C1221" t="str">
        <f>IF(原始经营数据!$D1222="","",原始经营数据!$F1222)</f>
        <v>2024</v>
      </c>
      <c r="D1221" t="str">
        <f>IF(原始经营数据!$D1222="","",原始经营数据!$H1222)</f>
        <v>联营模式扣率</v>
      </c>
      <c r="E1221">
        <f>IF(原始经营数据!$D1222="","",原始经营数据!$I1222)</f>
        <v>13.29</v>
      </c>
      <c r="F1221" t="str">
        <f>IF(原始经营数据!$D1222="","",T(原始经营数据!$J1222))</f>
        <v>%</v>
      </c>
      <c r="G1221" t="str">
        <f>IF(原始经营数据!$D1222="","",T(原始经营数据!$K1222))</f>
        <v/>
      </c>
      <c r="H1221" t="str">
        <f>IF(原始经营数据!$D1222="","",原始经营数据!$G1222)</f>
        <v>服务效率</v>
      </c>
      <c r="I1221" t="str">
        <f>IF($A1221="","",IF($B1221&lt;&gt;"",$B1221,IF(COUNTIFS(原始经营数据!$D$3:$D$3001,$A1221,原始经营数据!$E$3:$E$3001,"",原始经营数据!$F$3:$F$3001,$C1221,原始经营数据!$H$3:$H$3001,$D1221,原始经营数据!$K$3:$K$3001,$G1221)&gt;1,"基金整体·来源"&amp;原始经营数据!$A1222,"基金整体")))</f>
        <v>宁波杉井奥特莱斯</v>
      </c>
      <c r="J1221" t="str">
        <f t="shared" si="288"/>
        <v>年度</v>
      </c>
      <c r="K1221" t="str">
        <f t="shared" si="289"/>
        <v>联营模式扣率（%）</v>
      </c>
      <c r="L1221" t="str">
        <f t="shared" si="290"/>
        <v>宁波杉井奥特莱斯|联营模式扣率（%）|年度</v>
      </c>
      <c r="M1221">
        <f>IF($A1221="",0,IF(COUNTIF($L$2:$L1221,$L1221)=1,1,0))</f>
        <v>0</v>
      </c>
      <c r="N1221">
        <f t="shared" si="291"/>
        <v>20240</v>
      </c>
      <c r="O1221" t="str">
        <f t="shared" si="292"/>
        <v>中金唯品会奥特莱斯封闭式基础设施证券投资基金|2024|年度</v>
      </c>
      <c r="P1221">
        <f>IF($A1221="",0,IF(COUNTIF($O$2:$O1221,$O1221)=1,1,0))</f>
        <v>0</v>
      </c>
      <c r="Q1221" t="str">
        <f>IF(AND($P1221=1,$A1221=经营数据!$B$3,$J1221=经营数据!$BA$5),COUNTIFS($P$2:$P$3000,1,$A$2:$A$3000,$A1221,$J$2:$J$3000,$J1221,$N$2:$N$3000,"&lt;"&amp;$N1221)+1,"")</f>
        <v/>
      </c>
      <c r="R1221" t="str">
        <f t="shared" si="293"/>
        <v>中金唯品会奥特莱斯封闭式基础设施证券投资基金|宁波杉井奥特莱斯</v>
      </c>
      <c r="S1221">
        <f>IF($A1221="",0,IF(COUNTIF($R$2:$R1221,$R1221)=1,1,0))</f>
        <v>0</v>
      </c>
      <c r="T1221">
        <f t="shared" si="294"/>
        <v>1192</v>
      </c>
      <c r="U1221" t="str">
        <f>IF($A1221="","",IF($A1221=经营数据!$B$3,COUNTIFS($S$2:$S$3000,1,$A$2:$A$3000,$A1221,$T$2:$T$3000,"&lt;"&amp;$T1221)+1,""))</f>
        <v/>
      </c>
      <c r="V1221" t="str">
        <f t="shared" si="295"/>
        <v>宁波杉井奥特莱斯|服务效率</v>
      </c>
      <c r="W1221">
        <f t="shared" si="296"/>
        <v>1200</v>
      </c>
      <c r="X1221" t="str">
        <f t="shared" si="297"/>
        <v>宁波杉井奥特莱斯|联营模式扣率</v>
      </c>
      <c r="Y1221">
        <f t="shared" si="298"/>
        <v>1200</v>
      </c>
      <c r="Z1221">
        <f>IF($A1221="",0,IF(AND($M1221=1,$A1221=经营数据!$B$3,$J1221=经营数据!$BA$5,OR($I1221=经营数据!$BA$4,COUNTIF(经营数据!$AA$9:$AA$38,$I1221)&gt;0)),1,0))</f>
        <v>0</v>
      </c>
      <c r="AA1221" t="str">
        <f t="shared" si="299"/>
        <v/>
      </c>
      <c r="AB1221" t="str">
        <f t="shared" si="300"/>
        <v/>
      </c>
      <c r="AC1221">
        <f>IF($A1221="",0,IF(COUNTIF($A$2:$A1221,$A1221)=1,1,0))</f>
        <v>0</v>
      </c>
      <c r="AD1221">
        <f t="shared" si="301"/>
        <v>11</v>
      </c>
      <c r="AE1221" t="str">
        <f t="shared" si="302"/>
        <v>宁波杉井奥特莱斯|联营模式扣率（%）</v>
      </c>
    </row>
    <row r="1222" spans="1:31" x14ac:dyDescent="0.4">
      <c r="A1222" t="str">
        <f>IF(原始经营数据!$D1223="","",原始经营数据!$D1223)</f>
        <v>中金唯品会奥特莱斯封闭式基础设施证券投资基金</v>
      </c>
      <c r="B1222" t="str">
        <f>IF(原始经营数据!$D1223="","",T(原始经营数据!$E1223))</f>
        <v>宁波杉井奥特莱斯</v>
      </c>
      <c r="C1222" t="str">
        <f>IF(原始经营数据!$D1223="","",原始经营数据!$F1223)</f>
        <v>2024</v>
      </c>
      <c r="D1222" t="str">
        <f>IF(原始经营数据!$D1223="","",原始经营数据!$H1223)</f>
        <v>租赁商户销售额</v>
      </c>
      <c r="E1222">
        <f>IF(原始经营数据!$D1223="","",原始经营数据!$I1223)</f>
        <v>23850.93</v>
      </c>
      <c r="F1222" t="str">
        <f>IF(原始经营数据!$D1223="","",T(原始经营数据!$J1223))</f>
        <v>万元</v>
      </c>
      <c r="G1222" t="str">
        <f>IF(原始经营数据!$D1223="","",T(原始经营数据!$K1223))</f>
        <v/>
      </c>
      <c r="H1222" t="str">
        <f>IF(原始经营数据!$D1223="","",原始经营数据!$G1223)</f>
        <v>服务金额</v>
      </c>
      <c r="I1222" t="str">
        <f>IF($A1222="","",IF($B1222&lt;&gt;"",$B1222,IF(COUNTIFS(原始经营数据!$D$3:$D$3001,$A1222,原始经营数据!$E$3:$E$3001,"",原始经营数据!$F$3:$F$3001,$C1222,原始经营数据!$H$3:$H$3001,$D1222,原始经营数据!$K$3:$K$3001,$G1222)&gt;1,"基金整体·来源"&amp;原始经营数据!$A1223,"基金整体")))</f>
        <v>宁波杉井奥特莱斯</v>
      </c>
      <c r="J1222" t="str">
        <f t="shared" si="288"/>
        <v>年度</v>
      </c>
      <c r="K1222" t="str">
        <f t="shared" si="289"/>
        <v>租赁商户销售额（万元）</v>
      </c>
      <c r="L1222" t="str">
        <f t="shared" si="290"/>
        <v>宁波杉井奥特莱斯|租赁商户销售额（万元）|年度</v>
      </c>
      <c r="M1222">
        <f>IF($A1222="",0,IF(COUNTIF($L$2:$L1222,$L1222)=1,1,0))</f>
        <v>0</v>
      </c>
      <c r="N1222">
        <f t="shared" si="291"/>
        <v>20240</v>
      </c>
      <c r="O1222" t="str">
        <f t="shared" si="292"/>
        <v>中金唯品会奥特莱斯封闭式基础设施证券投资基金|2024|年度</v>
      </c>
      <c r="P1222">
        <f>IF($A1222="",0,IF(COUNTIF($O$2:$O1222,$O1222)=1,1,0))</f>
        <v>0</v>
      </c>
      <c r="Q1222" t="str">
        <f>IF(AND($P1222=1,$A1222=经营数据!$B$3,$J1222=经营数据!$BA$5),COUNTIFS($P$2:$P$3000,1,$A$2:$A$3000,$A1222,$J$2:$J$3000,$J1222,$N$2:$N$3000,"&lt;"&amp;$N1222)+1,"")</f>
        <v/>
      </c>
      <c r="R1222" t="str">
        <f t="shared" si="293"/>
        <v>中金唯品会奥特莱斯封闭式基础设施证券投资基金|宁波杉井奥特莱斯</v>
      </c>
      <c r="S1222">
        <f>IF($A1222="",0,IF(COUNTIF($R$2:$R1222,$R1222)=1,1,0))</f>
        <v>0</v>
      </c>
      <c r="T1222">
        <f t="shared" si="294"/>
        <v>1192</v>
      </c>
      <c r="U1222" t="str">
        <f>IF($A1222="","",IF($A1222=经营数据!$B$3,COUNTIFS($S$2:$S$3000,1,$A$2:$A$3000,$A1222,$T$2:$T$3000,"&lt;"&amp;$T1222)+1,""))</f>
        <v/>
      </c>
      <c r="V1222" t="str">
        <f t="shared" si="295"/>
        <v>宁波杉井奥特莱斯|服务金额</v>
      </c>
      <c r="W1222">
        <f t="shared" si="296"/>
        <v>1193</v>
      </c>
      <c r="X1222" t="str">
        <f t="shared" si="297"/>
        <v>宁波杉井奥特莱斯|租赁商户销售额</v>
      </c>
      <c r="Y1222">
        <f t="shared" si="298"/>
        <v>1196</v>
      </c>
      <c r="Z1222">
        <f>IF($A1222="",0,IF(AND($M1222=1,$A1222=经营数据!$B$3,$J1222=经营数据!$BA$5,OR($I1222=经营数据!$BA$4,COUNTIF(经营数据!$AA$9:$AA$38,$I1222)&gt;0)),1,0))</f>
        <v>0</v>
      </c>
      <c r="AA1222" t="str">
        <f t="shared" si="299"/>
        <v/>
      </c>
      <c r="AB1222" t="str">
        <f t="shared" si="300"/>
        <v/>
      </c>
      <c r="AC1222">
        <f>IF($A1222="",0,IF(COUNTIF($A$2:$A1222,$A1222)=1,1,0))</f>
        <v>0</v>
      </c>
      <c r="AD1222">
        <f t="shared" si="301"/>
        <v>11</v>
      </c>
      <c r="AE1222" t="str">
        <f t="shared" si="302"/>
        <v>宁波杉井奥特莱斯|租赁商户销售额（万元）</v>
      </c>
    </row>
    <row r="1223" spans="1:31" x14ac:dyDescent="0.4">
      <c r="A1223" t="str">
        <f>IF(原始经营数据!$D1224="","",原始经营数据!$D1224)</f>
        <v>中金唯品会奥特莱斯封闭式基础设施证券投资基金</v>
      </c>
      <c r="B1223" t="str">
        <f>IF(原始经营数据!$D1224="","",T(原始经营数据!$E1224))</f>
        <v>宁波杉井奥特莱斯</v>
      </c>
      <c r="C1223" t="str">
        <f>IF(原始经营数据!$D1224="","",原始经营数据!$F1224)</f>
        <v>2025Q1</v>
      </c>
      <c r="D1223" t="str">
        <f>IF(原始经营数据!$D1224="","",原始经营数据!$H1224)</f>
        <v>整体销售额</v>
      </c>
      <c r="E1223">
        <f>IF(原始经营数据!$D1224="","",原始经营数据!$I1224)</f>
        <v>55221.36</v>
      </c>
      <c r="F1223" t="str">
        <f>IF(原始经营数据!$D1224="","",T(原始经营数据!$J1224))</f>
        <v>万元</v>
      </c>
      <c r="G1223" t="str">
        <f>IF(原始经营数据!$D1224="","",T(原始经营数据!$K1224))</f>
        <v/>
      </c>
      <c r="H1223" t="str">
        <f>IF(原始经营数据!$D1224="","",原始经营数据!$G1224)</f>
        <v>服务金额</v>
      </c>
      <c r="I1223" t="str">
        <f>IF($A1223="","",IF($B1223&lt;&gt;"",$B1223,IF(COUNTIFS(原始经营数据!$D$3:$D$3001,$A1223,原始经营数据!$E$3:$E$3001,"",原始经营数据!$F$3:$F$3001,$C1223,原始经营数据!$H$3:$H$3001,$D1223,原始经营数据!$K$3:$K$3001,$G1223)&gt;1,"基金整体·来源"&amp;原始经营数据!$A1224,"基金整体")))</f>
        <v>宁波杉井奥特莱斯</v>
      </c>
      <c r="J1223" t="str">
        <f t="shared" si="288"/>
        <v>季度</v>
      </c>
      <c r="K1223" t="str">
        <f t="shared" si="289"/>
        <v>整体销售额（万元）</v>
      </c>
      <c r="L1223" t="str">
        <f t="shared" si="290"/>
        <v>宁波杉井奥特莱斯|整体销售额（万元）|季度</v>
      </c>
      <c r="M1223">
        <f>IF($A1223="",0,IF(COUNTIF($L$2:$L1223,$L1223)=1,1,0))</f>
        <v>1</v>
      </c>
      <c r="N1223">
        <f t="shared" si="291"/>
        <v>20251</v>
      </c>
      <c r="O1223" t="str">
        <f t="shared" si="292"/>
        <v>中金唯品会奥特莱斯封闭式基础设施证券投资基金|2025Q1|季度</v>
      </c>
      <c r="P1223">
        <f>IF($A1223="",0,IF(COUNTIF($O$2:$O1223,$O1223)=1,1,0))</f>
        <v>1</v>
      </c>
      <c r="Q1223" t="str">
        <f>IF(AND($P1223=1,$A1223=经营数据!$B$3,$J1223=经营数据!$BA$5),COUNTIFS($P$2:$P$3000,1,$A$2:$A$3000,$A1223,$J$2:$J$3000,$J1223,$N$2:$N$3000,"&lt;"&amp;$N1223)+1,"")</f>
        <v/>
      </c>
      <c r="R1223" t="str">
        <f t="shared" si="293"/>
        <v>中金唯品会奥特莱斯封闭式基础设施证券投资基金|宁波杉井奥特莱斯</v>
      </c>
      <c r="S1223">
        <f>IF($A1223="",0,IF(COUNTIF($R$2:$R1223,$R1223)=1,1,0))</f>
        <v>0</v>
      </c>
      <c r="T1223">
        <f t="shared" si="294"/>
        <v>1192</v>
      </c>
      <c r="U1223" t="str">
        <f>IF($A1223="","",IF($A1223=经营数据!$B$3,COUNTIFS($S$2:$S$3000,1,$A$2:$A$3000,$A1223,$T$2:$T$3000,"&lt;"&amp;$T1223)+1,""))</f>
        <v/>
      </c>
      <c r="V1223" t="str">
        <f t="shared" si="295"/>
        <v>宁波杉井奥特莱斯|服务金额</v>
      </c>
      <c r="W1223">
        <f t="shared" si="296"/>
        <v>1193</v>
      </c>
      <c r="X1223" t="str">
        <f t="shared" si="297"/>
        <v>宁波杉井奥特莱斯|整体销售额</v>
      </c>
      <c r="Y1223">
        <f t="shared" si="298"/>
        <v>1197</v>
      </c>
      <c r="Z1223">
        <f>IF($A1223="",0,IF(AND($M1223=1,$A1223=经营数据!$B$3,$J1223=经营数据!$BA$5,OR($I1223=经营数据!$BA$4,COUNTIF(经营数据!$AA$9:$AA$38,$I1223)&gt;0)),1,0))</f>
        <v>0</v>
      </c>
      <c r="AA1223" t="str">
        <f t="shared" si="299"/>
        <v/>
      </c>
      <c r="AB1223" t="str">
        <f t="shared" si="300"/>
        <v/>
      </c>
      <c r="AC1223">
        <f>IF($A1223="",0,IF(COUNTIF($A$2:$A1223,$A1223)=1,1,0))</f>
        <v>0</v>
      </c>
      <c r="AD1223">
        <f t="shared" si="301"/>
        <v>11</v>
      </c>
      <c r="AE1223" t="str">
        <f t="shared" si="302"/>
        <v>宁波杉井奥特莱斯|整体销售额（万元）</v>
      </c>
    </row>
    <row r="1224" spans="1:31" x14ac:dyDescent="0.4">
      <c r="A1224" t="str">
        <f>IF(原始经营数据!$D1225="","",原始经营数据!$D1225)</f>
        <v>中金唯品会奥特莱斯封闭式基础设施证券投资基金</v>
      </c>
      <c r="B1224" t="str">
        <f>IF(原始经营数据!$D1225="","",T(原始经营数据!$E1225))</f>
        <v>宁波杉井奥特莱斯</v>
      </c>
      <c r="C1224" t="str">
        <f>IF(原始经营数据!$D1225="","",原始经营数据!$F1225)</f>
        <v>2025Q1</v>
      </c>
      <c r="D1224" t="str">
        <f>IF(原始经营数据!$D1225="","",原始经营数据!$H1225)</f>
        <v>提成租金比例</v>
      </c>
      <c r="E1224">
        <f>IF(原始经营数据!$D1225="","",原始经营数据!$I1225)</f>
        <v>9.31</v>
      </c>
      <c r="F1224" t="str">
        <f>IF(原始经营数据!$D1225="","",T(原始经营数据!$J1225))</f>
        <v>%</v>
      </c>
      <c r="G1224" t="str">
        <f>IF(原始经营数据!$D1225="","",T(原始经营数据!$K1225))</f>
        <v/>
      </c>
      <c r="H1224" t="str">
        <f>IF(原始经营数据!$D1225="","",原始经营数据!$G1225)</f>
        <v>服务量</v>
      </c>
      <c r="I1224" t="str">
        <f>IF($A1224="","",IF($B1224&lt;&gt;"",$B1224,IF(COUNTIFS(原始经营数据!$D$3:$D$3001,$A1224,原始经营数据!$E$3:$E$3001,"",原始经营数据!$F$3:$F$3001,$C1224,原始经营数据!$H$3:$H$3001,$D1224,原始经营数据!$K$3:$K$3001,$G1224)&gt;1,"基金整体·来源"&amp;原始经营数据!$A1225,"基金整体")))</f>
        <v>宁波杉井奥特莱斯</v>
      </c>
      <c r="J1224" t="str">
        <f t="shared" si="288"/>
        <v>季度</v>
      </c>
      <c r="K1224" t="str">
        <f t="shared" si="289"/>
        <v>提成租金比例（%）</v>
      </c>
      <c r="L1224" t="str">
        <f t="shared" si="290"/>
        <v>宁波杉井奥特莱斯|提成租金比例（%）|季度</v>
      </c>
      <c r="M1224">
        <f>IF($A1224="",0,IF(COUNTIF($L$2:$L1224,$L1224)=1,1,0))</f>
        <v>1</v>
      </c>
      <c r="N1224">
        <f t="shared" si="291"/>
        <v>20251</v>
      </c>
      <c r="O1224" t="str">
        <f t="shared" si="292"/>
        <v>中金唯品会奥特莱斯封闭式基础设施证券投资基金|2025Q1|季度</v>
      </c>
      <c r="P1224">
        <f>IF($A1224="",0,IF(COUNTIF($O$2:$O1224,$O1224)=1,1,0))</f>
        <v>0</v>
      </c>
      <c r="Q1224" t="str">
        <f>IF(AND($P1224=1,$A1224=经营数据!$B$3,$J1224=经营数据!$BA$5),COUNTIFS($P$2:$P$3000,1,$A$2:$A$3000,$A1224,$J$2:$J$3000,$J1224,$N$2:$N$3000,"&lt;"&amp;$N1224)+1,"")</f>
        <v/>
      </c>
      <c r="R1224" t="str">
        <f t="shared" si="293"/>
        <v>中金唯品会奥特莱斯封闭式基础设施证券投资基金|宁波杉井奥特莱斯</v>
      </c>
      <c r="S1224">
        <f>IF($A1224="",0,IF(COUNTIF($R$2:$R1224,$R1224)=1,1,0))</f>
        <v>0</v>
      </c>
      <c r="T1224">
        <f t="shared" si="294"/>
        <v>1192</v>
      </c>
      <c r="U1224" t="str">
        <f>IF($A1224="","",IF($A1224=经营数据!$B$3,COUNTIFS($S$2:$S$3000,1,$A$2:$A$3000,$A1224,$T$2:$T$3000,"&lt;"&amp;$T1224)+1,""))</f>
        <v/>
      </c>
      <c r="V1224" t="str">
        <f t="shared" si="295"/>
        <v>宁波杉井奥特莱斯|服务量</v>
      </c>
      <c r="W1224">
        <f t="shared" si="296"/>
        <v>1192</v>
      </c>
      <c r="X1224" t="str">
        <f t="shared" si="297"/>
        <v>宁波杉井奥特莱斯|提成租金比例</v>
      </c>
      <c r="Y1224">
        <f t="shared" si="298"/>
        <v>1192</v>
      </c>
      <c r="Z1224">
        <f>IF($A1224="",0,IF(AND($M1224=1,$A1224=经营数据!$B$3,$J1224=经营数据!$BA$5,OR($I1224=经营数据!$BA$4,COUNTIF(经营数据!$AA$9:$AA$38,$I1224)&gt;0)),1,0))</f>
        <v>0</v>
      </c>
      <c r="AA1224" t="str">
        <f t="shared" si="299"/>
        <v/>
      </c>
      <c r="AB1224" t="str">
        <f t="shared" si="300"/>
        <v/>
      </c>
      <c r="AC1224">
        <f>IF($A1224="",0,IF(COUNTIF($A$2:$A1224,$A1224)=1,1,0))</f>
        <v>0</v>
      </c>
      <c r="AD1224">
        <f t="shared" si="301"/>
        <v>11</v>
      </c>
      <c r="AE1224" t="str">
        <f t="shared" si="302"/>
        <v>宁波杉井奥特莱斯|提成租金比例（%）</v>
      </c>
    </row>
    <row r="1225" spans="1:31" x14ac:dyDescent="0.4">
      <c r="A1225" t="str">
        <f>IF(原始经营数据!$D1226="","",原始经营数据!$D1226)</f>
        <v>中金唯品会奥特莱斯封闭式基础设施证券投资基金</v>
      </c>
      <c r="B1225" t="str">
        <f>IF(原始经营数据!$D1226="","",T(原始经营数据!$E1226))</f>
        <v>宁波杉井奥特莱斯</v>
      </c>
      <c r="C1225" t="str">
        <f>IF(原始经营数据!$D1226="","",原始经营数据!$F1226)</f>
        <v>2025Q1</v>
      </c>
      <c r="D1225" t="str">
        <f>IF(原始经营数据!$D1226="","",原始经营数据!$H1226)</f>
        <v>月整体销售坪效</v>
      </c>
      <c r="E1225">
        <f>IF(原始经营数据!$D1226="","",原始经营数据!$I1226)</f>
        <v>3615.27</v>
      </c>
      <c r="F1225" t="str">
        <f>IF(原始经营数据!$D1226="","",T(原始经营数据!$J1226))</f>
        <v>元/月/平方米</v>
      </c>
      <c r="G1225" t="str">
        <f>IF(原始经营数据!$D1226="","",T(原始经营数据!$K1226))</f>
        <v/>
      </c>
      <c r="H1225" t="str">
        <f>IF(原始经营数据!$D1226="","",原始经营数据!$G1226)</f>
        <v>服务量</v>
      </c>
      <c r="I1225" t="str">
        <f>IF($A1225="","",IF($B1225&lt;&gt;"",$B1225,IF(COUNTIFS(原始经营数据!$D$3:$D$3001,$A1225,原始经营数据!$E$3:$E$3001,"",原始经营数据!$F$3:$F$3001,$C1225,原始经营数据!$H$3:$H$3001,$D1225,原始经营数据!$K$3:$K$3001,$G1225)&gt;1,"基金整体·来源"&amp;原始经营数据!$A1226,"基金整体")))</f>
        <v>宁波杉井奥特莱斯</v>
      </c>
      <c r="J1225" t="str">
        <f t="shared" si="288"/>
        <v>季度</v>
      </c>
      <c r="K1225" t="str">
        <f t="shared" si="289"/>
        <v>月整体销售坪效（元/月/平方米）</v>
      </c>
      <c r="L1225" t="str">
        <f t="shared" si="290"/>
        <v>宁波杉井奥特莱斯|月整体销售坪效（元/月/平方米）|季度</v>
      </c>
      <c r="M1225">
        <f>IF($A1225="",0,IF(COUNTIF($L$2:$L1225,$L1225)=1,1,0))</f>
        <v>1</v>
      </c>
      <c r="N1225">
        <f t="shared" si="291"/>
        <v>20251</v>
      </c>
      <c r="O1225" t="str">
        <f t="shared" si="292"/>
        <v>中金唯品会奥特莱斯封闭式基础设施证券投资基金|2025Q1|季度</v>
      </c>
      <c r="P1225">
        <f>IF($A1225="",0,IF(COUNTIF($O$2:$O1225,$O1225)=1,1,0))</f>
        <v>0</v>
      </c>
      <c r="Q1225" t="str">
        <f>IF(AND($P1225=1,$A1225=经营数据!$B$3,$J1225=经营数据!$BA$5),COUNTIFS($P$2:$P$3000,1,$A$2:$A$3000,$A1225,$J$2:$J$3000,$J1225,$N$2:$N$3000,"&lt;"&amp;$N1225)+1,"")</f>
        <v/>
      </c>
      <c r="R1225" t="str">
        <f t="shared" si="293"/>
        <v>中金唯品会奥特莱斯封闭式基础设施证券投资基金|宁波杉井奥特莱斯</v>
      </c>
      <c r="S1225">
        <f>IF($A1225="",0,IF(COUNTIF($R$2:$R1225,$R1225)=1,1,0))</f>
        <v>0</v>
      </c>
      <c r="T1225">
        <f t="shared" si="294"/>
        <v>1192</v>
      </c>
      <c r="U1225" t="str">
        <f>IF($A1225="","",IF($A1225=经营数据!$B$3,COUNTIFS($S$2:$S$3000,1,$A$2:$A$3000,$A1225,$T$2:$T$3000,"&lt;"&amp;$T1225)+1,""))</f>
        <v/>
      </c>
      <c r="V1225" t="str">
        <f t="shared" si="295"/>
        <v>宁波杉井奥特莱斯|服务量</v>
      </c>
      <c r="W1225">
        <f t="shared" si="296"/>
        <v>1192</v>
      </c>
      <c r="X1225" t="str">
        <f t="shared" si="297"/>
        <v>宁波杉井奥特莱斯|月整体销售坪效</v>
      </c>
      <c r="Y1225">
        <f t="shared" si="298"/>
        <v>1194</v>
      </c>
      <c r="Z1225">
        <f>IF($A1225="",0,IF(AND($M1225=1,$A1225=经营数据!$B$3,$J1225=经营数据!$BA$5,OR($I1225=经营数据!$BA$4,COUNTIF(经营数据!$AA$9:$AA$38,$I1225)&gt;0)),1,0))</f>
        <v>0</v>
      </c>
      <c r="AA1225" t="str">
        <f t="shared" si="299"/>
        <v/>
      </c>
      <c r="AB1225" t="str">
        <f t="shared" si="300"/>
        <v/>
      </c>
      <c r="AC1225">
        <f>IF($A1225="",0,IF(COUNTIF($A$2:$A1225,$A1225)=1,1,0))</f>
        <v>0</v>
      </c>
      <c r="AD1225">
        <f t="shared" si="301"/>
        <v>11</v>
      </c>
      <c r="AE1225" t="str">
        <f t="shared" si="302"/>
        <v>宁波杉井奥特莱斯|月整体销售坪效（元/月/平方米）</v>
      </c>
    </row>
    <row r="1226" spans="1:31" x14ac:dyDescent="0.4">
      <c r="A1226" t="str">
        <f>IF(原始经营数据!$D1227="","",原始经营数据!$D1227)</f>
        <v>中金唯品会奥特莱斯封闭式基础设施证券投资基金</v>
      </c>
      <c r="B1226" t="str">
        <f>IF(原始经营数据!$D1227="","",T(原始经营数据!$E1227))</f>
        <v>宁波杉井奥特莱斯</v>
      </c>
      <c r="C1226" t="str">
        <f>IF(原始经营数据!$D1227="","",原始经营数据!$F1227)</f>
        <v>2025Q1</v>
      </c>
      <c r="D1226" t="str">
        <f>IF(原始经营数据!$D1227="","",原始经营数据!$H1227)</f>
        <v>月整体租金坪效</v>
      </c>
      <c r="E1226">
        <f>IF(原始经营数据!$D1227="","",原始经营数据!$I1227)</f>
        <v>393.73</v>
      </c>
      <c r="F1226" t="str">
        <f>IF(原始经营数据!$D1227="","",T(原始经营数据!$J1227))</f>
        <v>元/月/平方米</v>
      </c>
      <c r="G1226" t="str">
        <f>IF(原始经营数据!$D1227="","",T(原始经营数据!$K1227))</f>
        <v/>
      </c>
      <c r="H1226" t="str">
        <f>IF(原始经营数据!$D1227="","",原始经营数据!$G1227)</f>
        <v>服务量</v>
      </c>
      <c r="I1226" t="str">
        <f>IF($A1226="","",IF($B1226&lt;&gt;"",$B1226,IF(COUNTIFS(原始经营数据!$D$3:$D$3001,$A1226,原始经营数据!$E$3:$E$3001,"",原始经营数据!$F$3:$F$3001,$C1226,原始经营数据!$H$3:$H$3001,$D1226,原始经营数据!$K$3:$K$3001,$G1226)&gt;1,"基金整体·来源"&amp;原始经营数据!$A1227,"基金整体")))</f>
        <v>宁波杉井奥特莱斯</v>
      </c>
      <c r="J1226" t="str">
        <f t="shared" si="288"/>
        <v>季度</v>
      </c>
      <c r="K1226" t="str">
        <f t="shared" si="289"/>
        <v>月整体租金坪效（元/月/平方米）</v>
      </c>
      <c r="L1226" t="str">
        <f t="shared" si="290"/>
        <v>宁波杉井奥特莱斯|月整体租金坪效（元/月/平方米）|季度</v>
      </c>
      <c r="M1226">
        <f>IF($A1226="",0,IF(COUNTIF($L$2:$L1226,$L1226)=1,1,0))</f>
        <v>1</v>
      </c>
      <c r="N1226">
        <f t="shared" si="291"/>
        <v>20251</v>
      </c>
      <c r="O1226" t="str">
        <f t="shared" si="292"/>
        <v>中金唯品会奥特莱斯封闭式基础设施证券投资基金|2025Q1|季度</v>
      </c>
      <c r="P1226">
        <f>IF($A1226="",0,IF(COUNTIF($O$2:$O1226,$O1226)=1,1,0))</f>
        <v>0</v>
      </c>
      <c r="Q1226" t="str">
        <f>IF(AND($P1226=1,$A1226=经营数据!$B$3,$J1226=经营数据!$BA$5),COUNTIFS($P$2:$P$3000,1,$A$2:$A$3000,$A1226,$J$2:$J$3000,$J1226,$N$2:$N$3000,"&lt;"&amp;$N1226)+1,"")</f>
        <v/>
      </c>
      <c r="R1226" t="str">
        <f t="shared" si="293"/>
        <v>中金唯品会奥特莱斯封闭式基础设施证券投资基金|宁波杉井奥特莱斯</v>
      </c>
      <c r="S1226">
        <f>IF($A1226="",0,IF(COUNTIF($R$2:$R1226,$R1226)=1,1,0))</f>
        <v>0</v>
      </c>
      <c r="T1226">
        <f t="shared" si="294"/>
        <v>1192</v>
      </c>
      <c r="U1226" t="str">
        <f>IF($A1226="","",IF($A1226=经营数据!$B$3,COUNTIFS($S$2:$S$3000,1,$A$2:$A$3000,$A1226,$T$2:$T$3000,"&lt;"&amp;$T1226)+1,""))</f>
        <v/>
      </c>
      <c r="V1226" t="str">
        <f t="shared" si="295"/>
        <v>宁波杉井奥特莱斯|服务量</v>
      </c>
      <c r="W1226">
        <f t="shared" si="296"/>
        <v>1192</v>
      </c>
      <c r="X1226" t="str">
        <f t="shared" si="297"/>
        <v>宁波杉井奥特莱斯|月整体租金坪效</v>
      </c>
      <c r="Y1226">
        <f t="shared" si="298"/>
        <v>1195</v>
      </c>
      <c r="Z1226">
        <f>IF($A1226="",0,IF(AND($M1226=1,$A1226=经营数据!$B$3,$J1226=经营数据!$BA$5,OR($I1226=经营数据!$BA$4,COUNTIF(经营数据!$AA$9:$AA$38,$I1226)&gt;0)),1,0))</f>
        <v>0</v>
      </c>
      <c r="AA1226" t="str">
        <f t="shared" si="299"/>
        <v/>
      </c>
      <c r="AB1226" t="str">
        <f t="shared" si="300"/>
        <v/>
      </c>
      <c r="AC1226">
        <f>IF($A1226="",0,IF(COUNTIF($A$2:$A1226,$A1226)=1,1,0))</f>
        <v>0</v>
      </c>
      <c r="AD1226">
        <f t="shared" si="301"/>
        <v>11</v>
      </c>
      <c r="AE1226" t="str">
        <f t="shared" si="302"/>
        <v>宁波杉井奥特莱斯|月整体租金坪效（元/月/平方米）</v>
      </c>
    </row>
    <row r="1227" spans="1:31" x14ac:dyDescent="0.4">
      <c r="A1227" t="str">
        <f>IF(原始经营数据!$D1228="","",原始经营数据!$D1228)</f>
        <v>中金唯品会奥特莱斯封闭式基础设施证券投资基金</v>
      </c>
      <c r="B1227" t="str">
        <f>IF(原始经营数据!$D1228="","",T(原始经营数据!$E1228))</f>
        <v>宁波杉井奥特莱斯</v>
      </c>
      <c r="C1227" t="str">
        <f>IF(原始经营数据!$D1228="","",原始经营数据!$F1228)</f>
        <v>2025Q1</v>
      </c>
      <c r="D1227" t="str">
        <f>IF(原始经营数据!$D1228="","",原始经营数据!$H1228)</f>
        <v>平均出租率</v>
      </c>
      <c r="E1227">
        <f>IF(原始经营数据!$D1228="","",原始经营数据!$I1228)</f>
        <v>98.8</v>
      </c>
      <c r="F1227" t="str">
        <f>IF(原始经营数据!$D1228="","",T(原始经营数据!$J1228))</f>
        <v>%</v>
      </c>
      <c r="G1227" t="str">
        <f>IF(原始经营数据!$D1228="","",T(原始经营数据!$K1228))</f>
        <v/>
      </c>
      <c r="H1227" t="str">
        <f>IF(原始经营数据!$D1228="","",原始经营数据!$G1228)</f>
        <v>服务效率</v>
      </c>
      <c r="I1227" t="str">
        <f>IF($A1227="","",IF($B1227&lt;&gt;"",$B1227,IF(COUNTIFS(原始经营数据!$D$3:$D$3001,$A1227,原始经营数据!$E$3:$E$3001,"",原始经营数据!$F$3:$F$3001,$C1227,原始经营数据!$H$3:$H$3001,$D1227,原始经营数据!$K$3:$K$3001,$G1227)&gt;1,"基金整体·来源"&amp;原始经营数据!$A1228,"基金整体")))</f>
        <v>宁波杉井奥特莱斯</v>
      </c>
      <c r="J1227" t="str">
        <f t="shared" si="288"/>
        <v>季度</v>
      </c>
      <c r="K1227" t="str">
        <f t="shared" si="289"/>
        <v>平均出租率（%）</v>
      </c>
      <c r="L1227" t="str">
        <f t="shared" si="290"/>
        <v>宁波杉井奥特莱斯|平均出租率（%）|季度</v>
      </c>
      <c r="M1227">
        <f>IF($A1227="",0,IF(COUNTIF($L$2:$L1227,$L1227)=1,1,0))</f>
        <v>1</v>
      </c>
      <c r="N1227">
        <f t="shared" si="291"/>
        <v>20251</v>
      </c>
      <c r="O1227" t="str">
        <f t="shared" si="292"/>
        <v>中金唯品会奥特莱斯封闭式基础设施证券投资基金|2025Q1|季度</v>
      </c>
      <c r="P1227">
        <f>IF($A1227="",0,IF(COUNTIF($O$2:$O1227,$O1227)=1,1,0))</f>
        <v>0</v>
      </c>
      <c r="Q1227" t="str">
        <f>IF(AND($P1227=1,$A1227=经营数据!$B$3,$J1227=经营数据!$BA$5),COUNTIFS($P$2:$P$3000,1,$A$2:$A$3000,$A1227,$J$2:$J$3000,$J1227,$N$2:$N$3000,"&lt;"&amp;$N1227)+1,"")</f>
        <v/>
      </c>
      <c r="R1227" t="str">
        <f t="shared" si="293"/>
        <v>中金唯品会奥特莱斯封闭式基础设施证券投资基金|宁波杉井奥特莱斯</v>
      </c>
      <c r="S1227">
        <f>IF($A1227="",0,IF(COUNTIF($R$2:$R1227,$R1227)=1,1,0))</f>
        <v>0</v>
      </c>
      <c r="T1227">
        <f t="shared" si="294"/>
        <v>1192</v>
      </c>
      <c r="U1227" t="str">
        <f>IF($A1227="","",IF($A1227=经营数据!$B$3,COUNTIFS($S$2:$S$3000,1,$A$2:$A$3000,$A1227,$T$2:$T$3000,"&lt;"&amp;$T1227)+1,""))</f>
        <v/>
      </c>
      <c r="V1227" t="str">
        <f t="shared" si="295"/>
        <v>宁波杉井奥特莱斯|服务效率</v>
      </c>
      <c r="W1227">
        <f t="shared" si="296"/>
        <v>1200</v>
      </c>
      <c r="X1227" t="str">
        <f t="shared" si="297"/>
        <v>宁波杉井奥特莱斯|平均出租率</v>
      </c>
      <c r="Y1227">
        <f t="shared" si="298"/>
        <v>1201</v>
      </c>
      <c r="Z1227">
        <f>IF($A1227="",0,IF(AND($M1227=1,$A1227=经营数据!$B$3,$J1227=经营数据!$BA$5,OR($I1227=经营数据!$BA$4,COUNTIF(经营数据!$AA$9:$AA$38,$I1227)&gt;0)),1,0))</f>
        <v>0</v>
      </c>
      <c r="AA1227" t="str">
        <f t="shared" si="299"/>
        <v/>
      </c>
      <c r="AB1227" t="str">
        <f t="shared" si="300"/>
        <v/>
      </c>
      <c r="AC1227">
        <f>IF($A1227="",0,IF(COUNTIF($A$2:$A1227,$A1227)=1,1,0))</f>
        <v>0</v>
      </c>
      <c r="AD1227">
        <f t="shared" si="301"/>
        <v>11</v>
      </c>
      <c r="AE1227" t="str">
        <f t="shared" si="302"/>
        <v>宁波杉井奥特莱斯|平均出租率（%）</v>
      </c>
    </row>
    <row r="1228" spans="1:31" x14ac:dyDescent="0.4">
      <c r="A1228" t="str">
        <f>IF(原始经营数据!$D1229="","",原始经营数据!$D1229)</f>
        <v>中金唯品会奥特莱斯封闭式基础设施证券投资基金</v>
      </c>
      <c r="B1228" t="str">
        <f>IF(原始经营数据!$D1229="","",T(原始经营数据!$E1229))</f>
        <v>宁波杉井奥特莱斯</v>
      </c>
      <c r="C1228" t="str">
        <f>IF(原始经营数据!$D1229="","",原始经营数据!$F1229)</f>
        <v>2025Q1</v>
      </c>
      <c r="D1228" t="str">
        <f>IF(原始经营数据!$D1229="","",原始经营数据!$H1229)</f>
        <v>租金收入</v>
      </c>
      <c r="E1228">
        <f>IF(原始经营数据!$D1229="","",原始经营数据!$I1229)</f>
        <v>594.9</v>
      </c>
      <c r="F1228" t="str">
        <f>IF(原始经营数据!$D1229="","",T(原始经营数据!$J1229))</f>
        <v>万元</v>
      </c>
      <c r="G1228" t="str">
        <f>IF(原始经营数据!$D1229="","",T(原始经营数据!$K1229))</f>
        <v/>
      </c>
      <c r="H1228" t="str">
        <f>IF(原始经营数据!$D1229="","",原始经营数据!$G1229)</f>
        <v>服务金额</v>
      </c>
      <c r="I1228" t="str">
        <f>IF($A1228="","",IF($B1228&lt;&gt;"",$B1228,IF(COUNTIFS(原始经营数据!$D$3:$D$3001,$A1228,原始经营数据!$E$3:$E$3001,"",原始经营数据!$F$3:$F$3001,$C1228,原始经营数据!$H$3:$H$3001,$D1228,原始经营数据!$K$3:$K$3001,$G1228)&gt;1,"基金整体·来源"&amp;原始经营数据!$A1229,"基金整体")))</f>
        <v>宁波杉井奥特莱斯</v>
      </c>
      <c r="J1228" t="str">
        <f t="shared" si="288"/>
        <v>季度</v>
      </c>
      <c r="K1228" t="str">
        <f t="shared" si="289"/>
        <v>租金收入（万元）</v>
      </c>
      <c r="L1228" t="str">
        <f t="shared" si="290"/>
        <v>宁波杉井奥特莱斯|租金收入（万元）|季度</v>
      </c>
      <c r="M1228">
        <f>IF($A1228="",0,IF(COUNTIF($L$2:$L1228,$L1228)=1,1,0))</f>
        <v>1</v>
      </c>
      <c r="N1228">
        <f t="shared" si="291"/>
        <v>20251</v>
      </c>
      <c r="O1228" t="str">
        <f t="shared" si="292"/>
        <v>中金唯品会奥特莱斯封闭式基础设施证券投资基金|2025Q1|季度</v>
      </c>
      <c r="P1228">
        <f>IF($A1228="",0,IF(COUNTIF($O$2:$O1228,$O1228)=1,1,0))</f>
        <v>0</v>
      </c>
      <c r="Q1228" t="str">
        <f>IF(AND($P1228=1,$A1228=经营数据!$B$3,$J1228=经营数据!$BA$5),COUNTIFS($P$2:$P$3000,1,$A$2:$A$3000,$A1228,$J$2:$J$3000,$J1228,$N$2:$N$3000,"&lt;"&amp;$N1228)+1,"")</f>
        <v/>
      </c>
      <c r="R1228" t="str">
        <f t="shared" si="293"/>
        <v>中金唯品会奥特莱斯封闭式基础设施证券投资基金|宁波杉井奥特莱斯</v>
      </c>
      <c r="S1228">
        <f>IF($A1228="",0,IF(COUNTIF($R$2:$R1228,$R1228)=1,1,0))</f>
        <v>0</v>
      </c>
      <c r="T1228">
        <f t="shared" si="294"/>
        <v>1192</v>
      </c>
      <c r="U1228" t="str">
        <f>IF($A1228="","",IF($A1228=经营数据!$B$3,COUNTIFS($S$2:$S$3000,1,$A$2:$A$3000,$A1228,$T$2:$T$3000,"&lt;"&amp;$T1228)+1,""))</f>
        <v/>
      </c>
      <c r="V1228" t="str">
        <f t="shared" si="295"/>
        <v>宁波杉井奥特莱斯|服务金额</v>
      </c>
      <c r="W1228">
        <f t="shared" si="296"/>
        <v>1193</v>
      </c>
      <c r="X1228" t="str">
        <f t="shared" si="297"/>
        <v>宁波杉井奥特莱斯|租金收入</v>
      </c>
      <c r="Y1228">
        <f t="shared" si="298"/>
        <v>1193</v>
      </c>
      <c r="Z1228">
        <f>IF($A1228="",0,IF(AND($M1228=1,$A1228=经营数据!$B$3,$J1228=经营数据!$BA$5,OR($I1228=经营数据!$BA$4,COUNTIF(经营数据!$AA$9:$AA$38,$I1228)&gt;0)),1,0))</f>
        <v>0</v>
      </c>
      <c r="AA1228" t="str">
        <f t="shared" si="299"/>
        <v/>
      </c>
      <c r="AB1228" t="str">
        <f t="shared" si="300"/>
        <v/>
      </c>
      <c r="AC1228">
        <f>IF($A1228="",0,IF(COUNTIF($A$2:$A1228,$A1228)=1,1,0))</f>
        <v>0</v>
      </c>
      <c r="AD1228">
        <f t="shared" si="301"/>
        <v>11</v>
      </c>
      <c r="AE1228" t="str">
        <f t="shared" si="302"/>
        <v>宁波杉井奥特莱斯|租金收入（万元）</v>
      </c>
    </row>
    <row r="1229" spans="1:31" x14ac:dyDescent="0.4">
      <c r="A1229" t="str">
        <f>IF(原始经营数据!$D1230="","",原始经营数据!$D1230)</f>
        <v>中金唯品会奥特莱斯封闭式基础设施证券投资基金</v>
      </c>
      <c r="B1229" t="str">
        <f>IF(原始经营数据!$D1230="","",T(原始经营数据!$E1230))</f>
        <v>宁波杉井奥特莱斯</v>
      </c>
      <c r="C1229" t="str">
        <f>IF(原始经营数据!$D1230="","",原始经营数据!$F1230)</f>
        <v>2025Q1</v>
      </c>
      <c r="D1229" t="str">
        <f>IF(原始经营数据!$D1230="","",原始经营数据!$H1230)</f>
        <v>联营商户销售额</v>
      </c>
      <c r="E1229">
        <f>IF(原始经营数据!$D1230="","",原始经营数据!$I1230)</f>
        <v>49014.02</v>
      </c>
      <c r="F1229" t="str">
        <f>IF(原始经营数据!$D1230="","",T(原始经营数据!$J1230))</f>
        <v>万元</v>
      </c>
      <c r="G1229" t="str">
        <f>IF(原始经营数据!$D1230="","",T(原始经营数据!$K1230))</f>
        <v/>
      </c>
      <c r="H1229" t="str">
        <f>IF(原始经营数据!$D1230="","",原始经营数据!$G1230)</f>
        <v>服务金额</v>
      </c>
      <c r="I1229" t="str">
        <f>IF($A1229="","",IF($B1229&lt;&gt;"",$B1229,IF(COUNTIFS(原始经营数据!$D$3:$D$3001,$A1229,原始经营数据!$E$3:$E$3001,"",原始经营数据!$F$3:$F$3001,$C1229,原始经营数据!$H$3:$H$3001,$D1229,原始经营数据!$K$3:$K$3001,$G1229)&gt;1,"基金整体·来源"&amp;原始经营数据!$A1230,"基金整体")))</f>
        <v>宁波杉井奥特莱斯</v>
      </c>
      <c r="J1229" t="str">
        <f t="shared" si="288"/>
        <v>季度</v>
      </c>
      <c r="K1229" t="str">
        <f t="shared" si="289"/>
        <v>联营商户销售额（万元）</v>
      </c>
      <c r="L1229" t="str">
        <f t="shared" si="290"/>
        <v>宁波杉井奥特莱斯|联营商户销售额（万元）|季度</v>
      </c>
      <c r="M1229">
        <f>IF($A1229="",0,IF(COUNTIF($L$2:$L1229,$L1229)=1,1,0))</f>
        <v>1</v>
      </c>
      <c r="N1229">
        <f t="shared" si="291"/>
        <v>20251</v>
      </c>
      <c r="O1229" t="str">
        <f t="shared" si="292"/>
        <v>中金唯品会奥特莱斯封闭式基础设施证券投资基金|2025Q1|季度</v>
      </c>
      <c r="P1229">
        <f>IF($A1229="",0,IF(COUNTIF($O$2:$O1229,$O1229)=1,1,0))</f>
        <v>0</v>
      </c>
      <c r="Q1229" t="str">
        <f>IF(AND($P1229=1,$A1229=经营数据!$B$3,$J1229=经营数据!$BA$5),COUNTIFS($P$2:$P$3000,1,$A$2:$A$3000,$A1229,$J$2:$J$3000,$J1229,$N$2:$N$3000,"&lt;"&amp;$N1229)+1,"")</f>
        <v/>
      </c>
      <c r="R1229" t="str">
        <f t="shared" si="293"/>
        <v>中金唯品会奥特莱斯封闭式基础设施证券投资基金|宁波杉井奥特莱斯</v>
      </c>
      <c r="S1229">
        <f>IF($A1229="",0,IF(COUNTIF($R$2:$R1229,$R1229)=1,1,0))</f>
        <v>0</v>
      </c>
      <c r="T1229">
        <f t="shared" si="294"/>
        <v>1192</v>
      </c>
      <c r="U1229" t="str">
        <f>IF($A1229="","",IF($A1229=经营数据!$B$3,COUNTIFS($S$2:$S$3000,1,$A$2:$A$3000,$A1229,$T$2:$T$3000,"&lt;"&amp;$T1229)+1,""))</f>
        <v/>
      </c>
      <c r="V1229" t="str">
        <f t="shared" si="295"/>
        <v>宁波杉井奥特莱斯|服务金额</v>
      </c>
      <c r="W1229">
        <f t="shared" si="296"/>
        <v>1193</v>
      </c>
      <c r="X1229" t="str">
        <f t="shared" si="297"/>
        <v>宁波杉井奥特莱斯|联营商户销售额</v>
      </c>
      <c r="Y1229">
        <f t="shared" si="298"/>
        <v>1198</v>
      </c>
      <c r="Z1229">
        <f>IF($A1229="",0,IF(AND($M1229=1,$A1229=经营数据!$B$3,$J1229=经营数据!$BA$5,OR($I1229=经营数据!$BA$4,COUNTIF(经营数据!$AA$9:$AA$38,$I1229)&gt;0)),1,0))</f>
        <v>0</v>
      </c>
      <c r="AA1229" t="str">
        <f t="shared" si="299"/>
        <v/>
      </c>
      <c r="AB1229" t="str">
        <f t="shared" si="300"/>
        <v/>
      </c>
      <c r="AC1229">
        <f>IF($A1229="",0,IF(COUNTIF($A$2:$A1229,$A1229)=1,1,0))</f>
        <v>0</v>
      </c>
      <c r="AD1229">
        <f t="shared" si="301"/>
        <v>11</v>
      </c>
      <c r="AE1229" t="str">
        <f t="shared" si="302"/>
        <v>宁波杉井奥特莱斯|联营商户销售额（万元）</v>
      </c>
    </row>
    <row r="1230" spans="1:31" x14ac:dyDescent="0.4">
      <c r="A1230" t="str">
        <f>IF(原始经营数据!$D1231="","",原始经营数据!$D1231)</f>
        <v>中金唯品会奥特莱斯封闭式基础设施证券投资基金</v>
      </c>
      <c r="B1230" t="str">
        <f>IF(原始经营数据!$D1231="","",T(原始经营数据!$E1231))</f>
        <v>宁波杉井奥特莱斯</v>
      </c>
      <c r="C1230" t="str">
        <f>IF(原始经营数据!$D1231="","",原始经营数据!$F1231)</f>
        <v>2025Q1</v>
      </c>
      <c r="D1230" t="str">
        <f>IF(原始经营数据!$D1231="","",原始经营数据!$H1231)</f>
        <v>联营模式收入</v>
      </c>
      <c r="E1230">
        <f>IF(原始经营数据!$D1231="","",原始经营数据!$I1231)</f>
        <v>5419.08</v>
      </c>
      <c r="F1230" t="str">
        <f>IF(原始经营数据!$D1231="","",T(原始经营数据!$J1231))</f>
        <v>万元</v>
      </c>
      <c r="G1230" t="str">
        <f>IF(原始经营数据!$D1231="","",T(原始经营数据!$K1231))</f>
        <v/>
      </c>
      <c r="H1230" t="str">
        <f>IF(原始经营数据!$D1231="","",原始经营数据!$G1231)</f>
        <v>服务金额</v>
      </c>
      <c r="I1230" t="str">
        <f>IF($A1230="","",IF($B1230&lt;&gt;"",$B1230,IF(COUNTIFS(原始经营数据!$D$3:$D$3001,$A1230,原始经营数据!$E$3:$E$3001,"",原始经营数据!$F$3:$F$3001,$C1230,原始经营数据!$H$3:$H$3001,$D1230,原始经营数据!$K$3:$K$3001,$G1230)&gt;1,"基金整体·来源"&amp;原始经营数据!$A1231,"基金整体")))</f>
        <v>宁波杉井奥特莱斯</v>
      </c>
      <c r="J1230" t="str">
        <f t="shared" si="288"/>
        <v>季度</v>
      </c>
      <c r="K1230" t="str">
        <f t="shared" si="289"/>
        <v>联营模式收入（万元）</v>
      </c>
      <c r="L1230" t="str">
        <f t="shared" si="290"/>
        <v>宁波杉井奥特莱斯|联营模式收入（万元）|季度</v>
      </c>
      <c r="M1230">
        <f>IF($A1230="",0,IF(COUNTIF($L$2:$L1230,$L1230)=1,1,0))</f>
        <v>1</v>
      </c>
      <c r="N1230">
        <f t="shared" si="291"/>
        <v>20251</v>
      </c>
      <c r="O1230" t="str">
        <f t="shared" si="292"/>
        <v>中金唯品会奥特莱斯封闭式基础设施证券投资基金|2025Q1|季度</v>
      </c>
      <c r="P1230">
        <f>IF($A1230="",0,IF(COUNTIF($O$2:$O1230,$O1230)=1,1,0))</f>
        <v>0</v>
      </c>
      <c r="Q1230" t="str">
        <f>IF(AND($P1230=1,$A1230=经营数据!$B$3,$J1230=经营数据!$BA$5),COUNTIFS($P$2:$P$3000,1,$A$2:$A$3000,$A1230,$J$2:$J$3000,$J1230,$N$2:$N$3000,"&lt;"&amp;$N1230)+1,"")</f>
        <v/>
      </c>
      <c r="R1230" t="str">
        <f t="shared" si="293"/>
        <v>中金唯品会奥特莱斯封闭式基础设施证券投资基金|宁波杉井奥特莱斯</v>
      </c>
      <c r="S1230">
        <f>IF($A1230="",0,IF(COUNTIF($R$2:$R1230,$R1230)=1,1,0))</f>
        <v>0</v>
      </c>
      <c r="T1230">
        <f t="shared" si="294"/>
        <v>1192</v>
      </c>
      <c r="U1230" t="str">
        <f>IF($A1230="","",IF($A1230=经营数据!$B$3,COUNTIFS($S$2:$S$3000,1,$A$2:$A$3000,$A1230,$T$2:$T$3000,"&lt;"&amp;$T1230)+1,""))</f>
        <v/>
      </c>
      <c r="V1230" t="str">
        <f t="shared" si="295"/>
        <v>宁波杉井奥特莱斯|服务金额</v>
      </c>
      <c r="W1230">
        <f t="shared" si="296"/>
        <v>1193</v>
      </c>
      <c r="X1230" t="str">
        <f t="shared" si="297"/>
        <v>宁波杉井奥特莱斯|联营模式收入</v>
      </c>
      <c r="Y1230">
        <f t="shared" si="298"/>
        <v>1199</v>
      </c>
      <c r="Z1230">
        <f>IF($A1230="",0,IF(AND($M1230=1,$A1230=经营数据!$B$3,$J1230=经营数据!$BA$5,OR($I1230=经营数据!$BA$4,COUNTIF(经营数据!$AA$9:$AA$38,$I1230)&gt;0)),1,0))</f>
        <v>0</v>
      </c>
      <c r="AA1230" t="str">
        <f t="shared" si="299"/>
        <v/>
      </c>
      <c r="AB1230" t="str">
        <f t="shared" si="300"/>
        <v/>
      </c>
      <c r="AC1230">
        <f>IF($A1230="",0,IF(COUNTIF($A$2:$A1230,$A1230)=1,1,0))</f>
        <v>0</v>
      </c>
      <c r="AD1230">
        <f t="shared" si="301"/>
        <v>11</v>
      </c>
      <c r="AE1230" t="str">
        <f t="shared" si="302"/>
        <v>宁波杉井奥特莱斯|联营模式收入（万元）</v>
      </c>
    </row>
    <row r="1231" spans="1:31" x14ac:dyDescent="0.4">
      <c r="A1231" t="str">
        <f>IF(原始经营数据!$D1232="","",原始经营数据!$D1232)</f>
        <v>中金唯品会奥特莱斯封闭式基础设施证券投资基金</v>
      </c>
      <c r="B1231" t="str">
        <f>IF(原始经营数据!$D1232="","",T(原始经营数据!$E1232))</f>
        <v>宁波杉井奥特莱斯</v>
      </c>
      <c r="C1231" t="str">
        <f>IF(原始经营数据!$D1232="","",原始经营数据!$F1232)</f>
        <v>2025Q1</v>
      </c>
      <c r="D1231" t="str">
        <f>IF(原始经营数据!$D1232="","",原始经营数据!$H1232)</f>
        <v>联营模式扣率</v>
      </c>
      <c r="E1231">
        <f>IF(原始经营数据!$D1232="","",原始经营数据!$I1232)</f>
        <v>12.6</v>
      </c>
      <c r="F1231" t="str">
        <f>IF(原始经营数据!$D1232="","",T(原始经营数据!$J1232))</f>
        <v>%</v>
      </c>
      <c r="G1231" t="str">
        <f>IF(原始经营数据!$D1232="","",T(原始经营数据!$K1232))</f>
        <v/>
      </c>
      <c r="H1231" t="str">
        <f>IF(原始经营数据!$D1232="","",原始经营数据!$G1232)</f>
        <v>服务效率</v>
      </c>
      <c r="I1231" t="str">
        <f>IF($A1231="","",IF($B1231&lt;&gt;"",$B1231,IF(COUNTIFS(原始经营数据!$D$3:$D$3001,$A1231,原始经营数据!$E$3:$E$3001,"",原始经营数据!$F$3:$F$3001,$C1231,原始经营数据!$H$3:$H$3001,$D1231,原始经营数据!$K$3:$K$3001,$G1231)&gt;1,"基金整体·来源"&amp;原始经营数据!$A1232,"基金整体")))</f>
        <v>宁波杉井奥特莱斯</v>
      </c>
      <c r="J1231" t="str">
        <f t="shared" si="288"/>
        <v>季度</v>
      </c>
      <c r="K1231" t="str">
        <f t="shared" si="289"/>
        <v>联营模式扣率（%）</v>
      </c>
      <c r="L1231" t="str">
        <f t="shared" si="290"/>
        <v>宁波杉井奥特莱斯|联营模式扣率（%）|季度</v>
      </c>
      <c r="M1231">
        <f>IF($A1231="",0,IF(COUNTIF($L$2:$L1231,$L1231)=1,1,0))</f>
        <v>1</v>
      </c>
      <c r="N1231">
        <f t="shared" si="291"/>
        <v>20251</v>
      </c>
      <c r="O1231" t="str">
        <f t="shared" si="292"/>
        <v>中金唯品会奥特莱斯封闭式基础设施证券投资基金|2025Q1|季度</v>
      </c>
      <c r="P1231">
        <f>IF($A1231="",0,IF(COUNTIF($O$2:$O1231,$O1231)=1,1,0))</f>
        <v>0</v>
      </c>
      <c r="Q1231" t="str">
        <f>IF(AND($P1231=1,$A1231=经营数据!$B$3,$J1231=经营数据!$BA$5),COUNTIFS($P$2:$P$3000,1,$A$2:$A$3000,$A1231,$J$2:$J$3000,$J1231,$N$2:$N$3000,"&lt;"&amp;$N1231)+1,"")</f>
        <v/>
      </c>
      <c r="R1231" t="str">
        <f t="shared" si="293"/>
        <v>中金唯品会奥特莱斯封闭式基础设施证券投资基金|宁波杉井奥特莱斯</v>
      </c>
      <c r="S1231">
        <f>IF($A1231="",0,IF(COUNTIF($R$2:$R1231,$R1231)=1,1,0))</f>
        <v>0</v>
      </c>
      <c r="T1231">
        <f t="shared" si="294"/>
        <v>1192</v>
      </c>
      <c r="U1231" t="str">
        <f>IF($A1231="","",IF($A1231=经营数据!$B$3,COUNTIFS($S$2:$S$3000,1,$A$2:$A$3000,$A1231,$T$2:$T$3000,"&lt;"&amp;$T1231)+1,""))</f>
        <v/>
      </c>
      <c r="V1231" t="str">
        <f t="shared" si="295"/>
        <v>宁波杉井奥特莱斯|服务效率</v>
      </c>
      <c r="W1231">
        <f t="shared" si="296"/>
        <v>1200</v>
      </c>
      <c r="X1231" t="str">
        <f t="shared" si="297"/>
        <v>宁波杉井奥特莱斯|联营模式扣率</v>
      </c>
      <c r="Y1231">
        <f t="shared" si="298"/>
        <v>1200</v>
      </c>
      <c r="Z1231">
        <f>IF($A1231="",0,IF(AND($M1231=1,$A1231=经营数据!$B$3,$J1231=经营数据!$BA$5,OR($I1231=经营数据!$BA$4,COUNTIF(经营数据!$AA$9:$AA$38,$I1231)&gt;0)),1,0))</f>
        <v>0</v>
      </c>
      <c r="AA1231" t="str">
        <f t="shared" si="299"/>
        <v/>
      </c>
      <c r="AB1231" t="str">
        <f t="shared" si="300"/>
        <v/>
      </c>
      <c r="AC1231">
        <f>IF($A1231="",0,IF(COUNTIF($A$2:$A1231,$A1231)=1,1,0))</f>
        <v>0</v>
      </c>
      <c r="AD1231">
        <f t="shared" si="301"/>
        <v>11</v>
      </c>
      <c r="AE1231" t="str">
        <f t="shared" si="302"/>
        <v>宁波杉井奥特莱斯|联营模式扣率（%）</v>
      </c>
    </row>
    <row r="1232" spans="1:31" x14ac:dyDescent="0.4">
      <c r="A1232" t="str">
        <f>IF(原始经营数据!$D1233="","",原始经营数据!$D1233)</f>
        <v>中金唯品会奥特莱斯封闭式基础设施证券投资基金</v>
      </c>
      <c r="B1232" t="str">
        <f>IF(原始经营数据!$D1233="","",T(原始经营数据!$E1233))</f>
        <v>宁波杉井奥特莱斯</v>
      </c>
      <c r="C1232" t="str">
        <f>IF(原始经营数据!$D1233="","",原始经营数据!$F1233)</f>
        <v>2025Q1</v>
      </c>
      <c r="D1232" t="str">
        <f>IF(原始经营数据!$D1233="","",原始经营数据!$H1233)</f>
        <v>租赁商户销售额</v>
      </c>
      <c r="E1232">
        <f>IF(原始经营数据!$D1233="","",原始经营数据!$I1233)</f>
        <v>6207.34</v>
      </c>
      <c r="F1232" t="str">
        <f>IF(原始经营数据!$D1233="","",T(原始经营数据!$J1233))</f>
        <v>万元</v>
      </c>
      <c r="G1232" t="str">
        <f>IF(原始经营数据!$D1233="","",T(原始经营数据!$K1233))</f>
        <v/>
      </c>
      <c r="H1232" t="str">
        <f>IF(原始经营数据!$D1233="","",原始经营数据!$G1233)</f>
        <v>服务金额</v>
      </c>
      <c r="I1232" t="str">
        <f>IF($A1232="","",IF($B1232&lt;&gt;"",$B1232,IF(COUNTIFS(原始经营数据!$D$3:$D$3001,$A1232,原始经营数据!$E$3:$E$3001,"",原始经营数据!$F$3:$F$3001,$C1232,原始经营数据!$H$3:$H$3001,$D1232,原始经营数据!$K$3:$K$3001,$G1232)&gt;1,"基金整体·来源"&amp;原始经营数据!$A1233,"基金整体")))</f>
        <v>宁波杉井奥特莱斯</v>
      </c>
      <c r="J1232" t="str">
        <f t="shared" si="288"/>
        <v>季度</v>
      </c>
      <c r="K1232" t="str">
        <f t="shared" si="289"/>
        <v>租赁商户销售额（万元）</v>
      </c>
      <c r="L1232" t="str">
        <f t="shared" si="290"/>
        <v>宁波杉井奥特莱斯|租赁商户销售额（万元）|季度</v>
      </c>
      <c r="M1232">
        <f>IF($A1232="",0,IF(COUNTIF($L$2:$L1232,$L1232)=1,1,0))</f>
        <v>1</v>
      </c>
      <c r="N1232">
        <f t="shared" si="291"/>
        <v>20251</v>
      </c>
      <c r="O1232" t="str">
        <f t="shared" si="292"/>
        <v>中金唯品会奥特莱斯封闭式基础设施证券投资基金|2025Q1|季度</v>
      </c>
      <c r="P1232">
        <f>IF($A1232="",0,IF(COUNTIF($O$2:$O1232,$O1232)=1,1,0))</f>
        <v>0</v>
      </c>
      <c r="Q1232" t="str">
        <f>IF(AND($P1232=1,$A1232=经营数据!$B$3,$J1232=经营数据!$BA$5),COUNTIFS($P$2:$P$3000,1,$A$2:$A$3000,$A1232,$J$2:$J$3000,$J1232,$N$2:$N$3000,"&lt;"&amp;$N1232)+1,"")</f>
        <v/>
      </c>
      <c r="R1232" t="str">
        <f t="shared" si="293"/>
        <v>中金唯品会奥特莱斯封闭式基础设施证券投资基金|宁波杉井奥特莱斯</v>
      </c>
      <c r="S1232">
        <f>IF($A1232="",0,IF(COUNTIF($R$2:$R1232,$R1232)=1,1,0))</f>
        <v>0</v>
      </c>
      <c r="T1232">
        <f t="shared" si="294"/>
        <v>1192</v>
      </c>
      <c r="U1232" t="str">
        <f>IF($A1232="","",IF($A1232=经营数据!$B$3,COUNTIFS($S$2:$S$3000,1,$A$2:$A$3000,$A1232,$T$2:$T$3000,"&lt;"&amp;$T1232)+1,""))</f>
        <v/>
      </c>
      <c r="V1232" t="str">
        <f t="shared" si="295"/>
        <v>宁波杉井奥特莱斯|服务金额</v>
      </c>
      <c r="W1232">
        <f t="shared" si="296"/>
        <v>1193</v>
      </c>
      <c r="X1232" t="str">
        <f t="shared" si="297"/>
        <v>宁波杉井奥特莱斯|租赁商户销售额</v>
      </c>
      <c r="Y1232">
        <f t="shared" si="298"/>
        <v>1196</v>
      </c>
      <c r="Z1232">
        <f>IF($A1232="",0,IF(AND($M1232=1,$A1232=经营数据!$B$3,$J1232=经营数据!$BA$5,OR($I1232=经营数据!$BA$4,COUNTIF(经营数据!$AA$9:$AA$38,$I1232)&gt;0)),1,0))</f>
        <v>0</v>
      </c>
      <c r="AA1232" t="str">
        <f t="shared" si="299"/>
        <v/>
      </c>
      <c r="AB1232" t="str">
        <f t="shared" si="300"/>
        <v/>
      </c>
      <c r="AC1232">
        <f>IF($A1232="",0,IF(COUNTIF($A$2:$A1232,$A1232)=1,1,0))</f>
        <v>0</v>
      </c>
      <c r="AD1232">
        <f t="shared" si="301"/>
        <v>11</v>
      </c>
      <c r="AE1232" t="str">
        <f t="shared" si="302"/>
        <v>宁波杉井奥特莱斯|租赁商户销售额（万元）</v>
      </c>
    </row>
    <row r="1233" spans="1:31" x14ac:dyDescent="0.4">
      <c r="A1233" t="str">
        <f>IF(原始经营数据!$D1234="","",原始经营数据!$D1234)</f>
        <v>中金唯品会奥特莱斯封闭式基础设施证券投资基金</v>
      </c>
      <c r="B1233" t="str">
        <f>IF(原始经营数据!$D1234="","",T(原始经营数据!$E1234))</f>
        <v>宁波杉井奥特莱斯</v>
      </c>
      <c r="C1233" t="str">
        <f>IF(原始经营数据!$D1234="","",原始经营数据!$F1234)</f>
        <v>2025Q4</v>
      </c>
      <c r="D1233" t="str">
        <f>IF(原始经营数据!$D1234="","",原始经营数据!$H1234)</f>
        <v>期末出租率</v>
      </c>
      <c r="E1233">
        <f>IF(原始经营数据!$D1234="","",原始经营数据!$I1234)</f>
        <v>100</v>
      </c>
      <c r="F1233" t="str">
        <f>IF(原始经营数据!$D1234="","",T(原始经营数据!$J1234))</f>
        <v>%</v>
      </c>
      <c r="G1233" t="str">
        <f>IF(原始经营数据!$D1234="","",T(原始经营数据!$K1234))</f>
        <v/>
      </c>
      <c r="H1233" t="str">
        <f>IF(原始经营数据!$D1234="","",原始经营数据!$G1234)</f>
        <v>服务效率</v>
      </c>
      <c r="I1233" t="str">
        <f>IF($A1233="","",IF($B1233&lt;&gt;"",$B1233,IF(COUNTIFS(原始经营数据!$D$3:$D$3001,$A1233,原始经营数据!$E$3:$E$3001,"",原始经营数据!$F$3:$F$3001,$C1233,原始经营数据!$H$3:$H$3001,$D1233,原始经营数据!$K$3:$K$3001,$G1233)&gt;1,"基金整体·来源"&amp;原始经营数据!$A1234,"基金整体")))</f>
        <v>宁波杉井奥特莱斯</v>
      </c>
      <c r="J1233" t="str">
        <f t="shared" si="288"/>
        <v>季度</v>
      </c>
      <c r="K1233" t="str">
        <f t="shared" si="289"/>
        <v>期末出租率（%）</v>
      </c>
      <c r="L1233" t="str">
        <f t="shared" si="290"/>
        <v>宁波杉井奥特莱斯|期末出租率（%）|季度</v>
      </c>
      <c r="M1233">
        <f>IF($A1233="",0,IF(COUNTIF($L$2:$L1233,$L1233)=1,1,0))</f>
        <v>1</v>
      </c>
      <c r="N1233">
        <f t="shared" si="291"/>
        <v>20254</v>
      </c>
      <c r="O1233" t="str">
        <f t="shared" si="292"/>
        <v>中金唯品会奥特莱斯封闭式基础设施证券投资基金|2025Q4|季度</v>
      </c>
      <c r="P1233">
        <f>IF($A1233="",0,IF(COUNTIF($O$2:$O1233,$O1233)=1,1,0))</f>
        <v>1</v>
      </c>
      <c r="Q1233" t="str">
        <f>IF(AND($P1233=1,$A1233=经营数据!$B$3,$J1233=经营数据!$BA$5),COUNTIFS($P$2:$P$3000,1,$A$2:$A$3000,$A1233,$J$2:$J$3000,$J1233,$N$2:$N$3000,"&lt;"&amp;$N1233)+1,"")</f>
        <v/>
      </c>
      <c r="R1233" t="str">
        <f t="shared" si="293"/>
        <v>中金唯品会奥特莱斯封闭式基础设施证券投资基金|宁波杉井奥特莱斯</v>
      </c>
      <c r="S1233">
        <f>IF($A1233="",0,IF(COUNTIF($R$2:$R1233,$R1233)=1,1,0))</f>
        <v>0</v>
      </c>
      <c r="T1233">
        <f t="shared" si="294"/>
        <v>1192</v>
      </c>
      <c r="U1233" t="str">
        <f>IF($A1233="","",IF($A1233=经营数据!$B$3,COUNTIFS($S$2:$S$3000,1,$A$2:$A$3000,$A1233,$T$2:$T$3000,"&lt;"&amp;$T1233)+1,""))</f>
        <v/>
      </c>
      <c r="V1233" t="str">
        <f t="shared" si="295"/>
        <v>宁波杉井奥特莱斯|服务效率</v>
      </c>
      <c r="W1233">
        <f t="shared" si="296"/>
        <v>1200</v>
      </c>
      <c r="X1233" t="str">
        <f t="shared" si="297"/>
        <v>宁波杉井奥特莱斯|期末出租率</v>
      </c>
      <c r="Y1233">
        <f t="shared" si="298"/>
        <v>1232</v>
      </c>
      <c r="Z1233">
        <f>IF($A1233="",0,IF(AND($M1233=1,$A1233=经营数据!$B$3,$J1233=经营数据!$BA$5,OR($I1233=经营数据!$BA$4,COUNTIF(经营数据!$AA$9:$AA$38,$I1233)&gt;0)),1,0))</f>
        <v>0</v>
      </c>
      <c r="AA1233" t="str">
        <f t="shared" si="299"/>
        <v/>
      </c>
      <c r="AB1233" t="str">
        <f t="shared" si="300"/>
        <v/>
      </c>
      <c r="AC1233">
        <f>IF($A1233="",0,IF(COUNTIF($A$2:$A1233,$A1233)=1,1,0))</f>
        <v>0</v>
      </c>
      <c r="AD1233">
        <f t="shared" si="301"/>
        <v>11</v>
      </c>
      <c r="AE1233" t="str">
        <f t="shared" si="302"/>
        <v>宁波杉井奥特莱斯|期末出租率（%）</v>
      </c>
    </row>
    <row r="1234" spans="1:31" x14ac:dyDescent="0.4">
      <c r="A1234" t="str">
        <f>IF(原始经营数据!$D1235="","",原始经营数据!$D1235)</f>
        <v>中金唯品会奥特莱斯封闭式基础设施证券投资基金</v>
      </c>
      <c r="B1234" t="str">
        <f>IF(原始经营数据!$D1235="","",T(原始经营数据!$E1235))</f>
        <v>宁波杉井奥特莱斯</v>
      </c>
      <c r="C1234" t="str">
        <f>IF(原始经营数据!$D1235="","",原始经营数据!$F1235)</f>
        <v>2025Q4</v>
      </c>
      <c r="D1234" t="str">
        <f>IF(原始经营数据!$D1235="","",原始经营数据!$H1235)</f>
        <v>期内租金单价水平</v>
      </c>
      <c r="E1234">
        <f>IF(原始经营数据!$D1235="","",原始经营数据!$I1235)</f>
        <v>439.53</v>
      </c>
      <c r="F1234" t="str">
        <f>IF(原始经营数据!$D1235="","",T(原始经营数据!$J1235))</f>
        <v>元/平方米/月</v>
      </c>
      <c r="G1234" t="str">
        <f>IF(原始经营数据!$D1235="","",T(原始经营数据!$K1235))</f>
        <v/>
      </c>
      <c r="H1234" t="str">
        <f>IF(原始经营数据!$D1235="","",原始经营数据!$G1235)</f>
        <v>服务价格</v>
      </c>
      <c r="I1234" t="str">
        <f>IF($A1234="","",IF($B1234&lt;&gt;"",$B1234,IF(COUNTIFS(原始经营数据!$D$3:$D$3001,$A1234,原始经营数据!$E$3:$E$3001,"",原始经营数据!$F$3:$F$3001,$C1234,原始经营数据!$H$3:$H$3001,$D1234,原始经营数据!$K$3:$K$3001,$G1234)&gt;1,"基金整体·来源"&amp;原始经营数据!$A1235,"基金整体")))</f>
        <v>宁波杉井奥特莱斯</v>
      </c>
      <c r="J1234" t="str">
        <f t="shared" si="288"/>
        <v>季度</v>
      </c>
      <c r="K1234" t="str">
        <f t="shared" si="289"/>
        <v>期内租金单价水平（元/平方米/月）</v>
      </c>
      <c r="L1234" t="str">
        <f t="shared" si="290"/>
        <v>宁波杉井奥特莱斯|期内租金单价水平（元/平方米/月）|季度</v>
      </c>
      <c r="M1234">
        <f>IF($A1234="",0,IF(COUNTIF($L$2:$L1234,$L1234)=1,1,0))</f>
        <v>1</v>
      </c>
      <c r="N1234">
        <f t="shared" si="291"/>
        <v>20254</v>
      </c>
      <c r="O1234" t="str">
        <f t="shared" si="292"/>
        <v>中金唯品会奥特莱斯封闭式基础设施证券投资基金|2025Q4|季度</v>
      </c>
      <c r="P1234">
        <f>IF($A1234="",0,IF(COUNTIF($O$2:$O1234,$O1234)=1,1,0))</f>
        <v>0</v>
      </c>
      <c r="Q1234" t="str">
        <f>IF(AND($P1234=1,$A1234=经营数据!$B$3,$J1234=经营数据!$BA$5),COUNTIFS($P$2:$P$3000,1,$A$2:$A$3000,$A1234,$J$2:$J$3000,$J1234,$N$2:$N$3000,"&lt;"&amp;$N1234)+1,"")</f>
        <v/>
      </c>
      <c r="R1234" t="str">
        <f t="shared" si="293"/>
        <v>中金唯品会奥特莱斯封闭式基础设施证券投资基金|宁波杉井奥特莱斯</v>
      </c>
      <c r="S1234">
        <f>IF($A1234="",0,IF(COUNTIF($R$2:$R1234,$R1234)=1,1,0))</f>
        <v>0</v>
      </c>
      <c r="T1234">
        <f t="shared" si="294"/>
        <v>1192</v>
      </c>
      <c r="U1234" t="str">
        <f>IF($A1234="","",IF($A1234=经营数据!$B$3,COUNTIFS($S$2:$S$3000,1,$A$2:$A$3000,$A1234,$T$2:$T$3000,"&lt;"&amp;$T1234)+1,""))</f>
        <v/>
      </c>
      <c r="V1234" t="str">
        <f t="shared" si="295"/>
        <v>宁波杉井奥特莱斯|服务价格</v>
      </c>
      <c r="W1234">
        <f t="shared" si="296"/>
        <v>1233</v>
      </c>
      <c r="X1234" t="str">
        <f t="shared" si="297"/>
        <v>宁波杉井奥特莱斯|期内租金单价水平</v>
      </c>
      <c r="Y1234">
        <f t="shared" si="298"/>
        <v>1233</v>
      </c>
      <c r="Z1234">
        <f>IF($A1234="",0,IF(AND($M1234=1,$A1234=经营数据!$B$3,$J1234=经营数据!$BA$5,OR($I1234=经营数据!$BA$4,COUNTIF(经营数据!$AA$9:$AA$38,$I1234)&gt;0)),1,0))</f>
        <v>0</v>
      </c>
      <c r="AA1234" t="str">
        <f t="shared" si="299"/>
        <v/>
      </c>
      <c r="AB1234" t="str">
        <f t="shared" si="300"/>
        <v/>
      </c>
      <c r="AC1234">
        <f>IF($A1234="",0,IF(COUNTIF($A$2:$A1234,$A1234)=1,1,0))</f>
        <v>0</v>
      </c>
      <c r="AD1234">
        <f t="shared" si="301"/>
        <v>11</v>
      </c>
      <c r="AE1234" t="str">
        <f t="shared" si="302"/>
        <v>宁波杉井奥特莱斯|期内租金单价水平（元/平方米/月）</v>
      </c>
    </row>
    <row r="1235" spans="1:31" x14ac:dyDescent="0.4">
      <c r="A1235" t="str">
        <f>IF(原始经营数据!$D1236="","",原始经营数据!$D1236)</f>
        <v>中金唯品会奥特莱斯封闭式基础设施证券投资基金</v>
      </c>
      <c r="B1235" t="str">
        <f>IF(原始经营数据!$D1236="","",T(原始经营数据!$E1236))</f>
        <v>宁波杉井奥特莱斯</v>
      </c>
      <c r="C1235" t="str">
        <f>IF(原始经营数据!$D1236="","",原始经营数据!$F1236)</f>
        <v>2025Q4</v>
      </c>
      <c r="D1235" t="str">
        <f>IF(原始经营数据!$D1236="","",原始经营数据!$H1236)</f>
        <v>期末剩余租期情况</v>
      </c>
      <c r="E1235">
        <f>IF(原始经营数据!$D1236="","",原始经营数据!$I1236)</f>
        <v>1.72</v>
      </c>
      <c r="F1235" t="str">
        <f>IF(原始经营数据!$D1236="","",T(原始经营数据!$J1236))</f>
        <v>年</v>
      </c>
      <c r="G1235" t="str">
        <f>IF(原始经营数据!$D1236="","",T(原始经营数据!$K1236))</f>
        <v/>
      </c>
      <c r="H1235" t="str">
        <f>IF(原始经营数据!$D1236="","",原始经营数据!$G1236)</f>
        <v>服务量</v>
      </c>
      <c r="I1235" t="str">
        <f>IF($A1235="","",IF($B1235&lt;&gt;"",$B1235,IF(COUNTIFS(原始经营数据!$D$3:$D$3001,$A1235,原始经营数据!$E$3:$E$3001,"",原始经营数据!$F$3:$F$3001,$C1235,原始经营数据!$H$3:$H$3001,$D1235,原始经营数据!$K$3:$K$3001,$G1235)&gt;1,"基金整体·来源"&amp;原始经营数据!$A1236,"基金整体")))</f>
        <v>宁波杉井奥特莱斯</v>
      </c>
      <c r="J1235" t="str">
        <f t="shared" si="288"/>
        <v>季度</v>
      </c>
      <c r="K1235" t="str">
        <f t="shared" si="289"/>
        <v>期末剩余租期情况（年）</v>
      </c>
      <c r="L1235" t="str">
        <f t="shared" si="290"/>
        <v>宁波杉井奥特莱斯|期末剩余租期情况（年）|季度</v>
      </c>
      <c r="M1235">
        <f>IF($A1235="",0,IF(COUNTIF($L$2:$L1235,$L1235)=1,1,0))</f>
        <v>1</v>
      </c>
      <c r="N1235">
        <f t="shared" si="291"/>
        <v>20254</v>
      </c>
      <c r="O1235" t="str">
        <f t="shared" si="292"/>
        <v>中金唯品会奥特莱斯封闭式基础设施证券投资基金|2025Q4|季度</v>
      </c>
      <c r="P1235">
        <f>IF($A1235="",0,IF(COUNTIF($O$2:$O1235,$O1235)=1,1,0))</f>
        <v>0</v>
      </c>
      <c r="Q1235" t="str">
        <f>IF(AND($P1235=1,$A1235=经营数据!$B$3,$J1235=经营数据!$BA$5),COUNTIFS($P$2:$P$3000,1,$A$2:$A$3000,$A1235,$J$2:$J$3000,$J1235,$N$2:$N$3000,"&lt;"&amp;$N1235)+1,"")</f>
        <v/>
      </c>
      <c r="R1235" t="str">
        <f t="shared" si="293"/>
        <v>中金唯品会奥特莱斯封闭式基础设施证券投资基金|宁波杉井奥特莱斯</v>
      </c>
      <c r="S1235">
        <f>IF($A1235="",0,IF(COUNTIF($R$2:$R1235,$R1235)=1,1,0))</f>
        <v>0</v>
      </c>
      <c r="T1235">
        <f t="shared" si="294"/>
        <v>1192</v>
      </c>
      <c r="U1235" t="str">
        <f>IF($A1235="","",IF($A1235=经营数据!$B$3,COUNTIFS($S$2:$S$3000,1,$A$2:$A$3000,$A1235,$T$2:$T$3000,"&lt;"&amp;$T1235)+1,""))</f>
        <v/>
      </c>
      <c r="V1235" t="str">
        <f t="shared" si="295"/>
        <v>宁波杉井奥特莱斯|服务量</v>
      </c>
      <c r="W1235">
        <f t="shared" si="296"/>
        <v>1192</v>
      </c>
      <c r="X1235" t="str">
        <f t="shared" si="297"/>
        <v>宁波杉井奥特莱斯|期末剩余租期情况</v>
      </c>
      <c r="Y1235">
        <f t="shared" si="298"/>
        <v>1234</v>
      </c>
      <c r="Z1235">
        <f>IF($A1235="",0,IF(AND($M1235=1,$A1235=经营数据!$B$3,$J1235=经营数据!$BA$5,OR($I1235=经营数据!$BA$4,COUNTIF(经营数据!$AA$9:$AA$38,$I1235)&gt;0)),1,0))</f>
        <v>0</v>
      </c>
      <c r="AA1235" t="str">
        <f t="shared" si="299"/>
        <v/>
      </c>
      <c r="AB1235" t="str">
        <f t="shared" si="300"/>
        <v/>
      </c>
      <c r="AC1235">
        <f>IF($A1235="",0,IF(COUNTIF($A$2:$A1235,$A1235)=1,1,0))</f>
        <v>0</v>
      </c>
      <c r="AD1235">
        <f t="shared" si="301"/>
        <v>11</v>
      </c>
      <c r="AE1235" t="str">
        <f t="shared" si="302"/>
        <v>宁波杉井奥特莱斯|期末剩余租期情况（年）</v>
      </c>
    </row>
    <row r="1236" spans="1:31" x14ac:dyDescent="0.4">
      <c r="A1236" t="str">
        <f>IF(原始经营数据!$D1237="","",原始经营数据!$D1237)</f>
        <v>中金唯品会奥特莱斯封闭式基础设施证券投资基金</v>
      </c>
      <c r="B1236" t="str">
        <f>IF(原始经营数据!$D1237="","",T(原始经营数据!$E1237))</f>
        <v>宁波杉井奥特莱斯</v>
      </c>
      <c r="C1236" t="str">
        <f>IF(原始经营数据!$D1237="","",原始经营数据!$F1237)</f>
        <v>2025Q4</v>
      </c>
      <c r="D1236" t="str">
        <f>IF(原始经营数据!$D1237="","",原始经营数据!$H1237)</f>
        <v>期末租金收缴率</v>
      </c>
      <c r="E1236">
        <f>IF(原始经营数据!$D1237="","",原始经营数据!$I1237)</f>
        <v>100</v>
      </c>
      <c r="F1236" t="str">
        <f>IF(原始经营数据!$D1237="","",T(原始经营数据!$J1237))</f>
        <v>%</v>
      </c>
      <c r="G1236" t="str">
        <f>IF(原始经营数据!$D1237="","",T(原始经营数据!$K1237))</f>
        <v/>
      </c>
      <c r="H1236" t="str">
        <f>IF(原始经营数据!$D1237="","",原始经营数据!$G1237)</f>
        <v>服务效率</v>
      </c>
      <c r="I1236" t="str">
        <f>IF($A1236="","",IF($B1236&lt;&gt;"",$B1236,IF(COUNTIFS(原始经营数据!$D$3:$D$3001,$A1236,原始经营数据!$E$3:$E$3001,"",原始经营数据!$F$3:$F$3001,$C1236,原始经营数据!$H$3:$H$3001,$D1236,原始经营数据!$K$3:$K$3001,$G1236)&gt;1,"基金整体·来源"&amp;原始经营数据!$A1237,"基金整体")))</f>
        <v>宁波杉井奥特莱斯</v>
      </c>
      <c r="J1236" t="str">
        <f t="shared" si="288"/>
        <v>季度</v>
      </c>
      <c r="K1236" t="str">
        <f t="shared" si="289"/>
        <v>期末租金收缴率（%）</v>
      </c>
      <c r="L1236" t="str">
        <f t="shared" si="290"/>
        <v>宁波杉井奥特莱斯|期末租金收缴率（%）|季度</v>
      </c>
      <c r="M1236">
        <f>IF($A1236="",0,IF(COUNTIF($L$2:$L1236,$L1236)=1,1,0))</f>
        <v>1</v>
      </c>
      <c r="N1236">
        <f t="shared" si="291"/>
        <v>20254</v>
      </c>
      <c r="O1236" t="str">
        <f t="shared" si="292"/>
        <v>中金唯品会奥特莱斯封闭式基础设施证券投资基金|2025Q4|季度</v>
      </c>
      <c r="P1236">
        <f>IF($A1236="",0,IF(COUNTIF($O$2:$O1236,$O1236)=1,1,0))</f>
        <v>0</v>
      </c>
      <c r="Q1236" t="str">
        <f>IF(AND($P1236=1,$A1236=经营数据!$B$3,$J1236=经营数据!$BA$5),COUNTIFS($P$2:$P$3000,1,$A$2:$A$3000,$A1236,$J$2:$J$3000,$J1236,$N$2:$N$3000,"&lt;"&amp;$N1236)+1,"")</f>
        <v/>
      </c>
      <c r="R1236" t="str">
        <f t="shared" si="293"/>
        <v>中金唯品会奥特莱斯封闭式基础设施证券投资基金|宁波杉井奥特莱斯</v>
      </c>
      <c r="S1236">
        <f>IF($A1236="",0,IF(COUNTIF($R$2:$R1236,$R1236)=1,1,0))</f>
        <v>0</v>
      </c>
      <c r="T1236">
        <f t="shared" si="294"/>
        <v>1192</v>
      </c>
      <c r="U1236" t="str">
        <f>IF($A1236="","",IF($A1236=经营数据!$B$3,COUNTIFS($S$2:$S$3000,1,$A$2:$A$3000,$A1236,$T$2:$T$3000,"&lt;"&amp;$T1236)+1,""))</f>
        <v/>
      </c>
      <c r="V1236" t="str">
        <f t="shared" si="295"/>
        <v>宁波杉井奥特莱斯|服务效率</v>
      </c>
      <c r="W1236">
        <f t="shared" si="296"/>
        <v>1200</v>
      </c>
      <c r="X1236" t="str">
        <f t="shared" si="297"/>
        <v>宁波杉井奥特莱斯|期末租金收缴率</v>
      </c>
      <c r="Y1236">
        <f t="shared" si="298"/>
        <v>1235</v>
      </c>
      <c r="Z1236">
        <f>IF($A1236="",0,IF(AND($M1236=1,$A1236=经营数据!$B$3,$J1236=经营数据!$BA$5,OR($I1236=经营数据!$BA$4,COUNTIF(经营数据!$AA$9:$AA$38,$I1236)&gt;0)),1,0))</f>
        <v>0</v>
      </c>
      <c r="AA1236" t="str">
        <f t="shared" si="299"/>
        <v/>
      </c>
      <c r="AB1236" t="str">
        <f t="shared" si="300"/>
        <v/>
      </c>
      <c r="AC1236">
        <f>IF($A1236="",0,IF(COUNTIF($A$2:$A1236,$A1236)=1,1,0))</f>
        <v>0</v>
      </c>
      <c r="AD1236">
        <f t="shared" si="301"/>
        <v>11</v>
      </c>
      <c r="AE1236" t="str">
        <f t="shared" si="302"/>
        <v>宁波杉井奥特莱斯|期末租金收缴率（%）</v>
      </c>
    </row>
    <row r="1237" spans="1:31" x14ac:dyDescent="0.4">
      <c r="A1237" t="str">
        <f>IF(原始经营数据!$D1238="","",原始经营数据!$D1238)</f>
        <v>中金唯品会奥特莱斯封闭式基础设施证券投资基金</v>
      </c>
      <c r="B1237" t="str">
        <f>IF(原始经营数据!$D1238="","",T(原始经营数据!$E1238))</f>
        <v>宁波杉井奥特莱斯</v>
      </c>
      <c r="C1237" t="str">
        <f>IF(原始经营数据!$D1238="","",原始经营数据!$F1238)</f>
        <v>2025Q4</v>
      </c>
      <c r="D1237" t="str">
        <f>IF(原始经营数据!$D1238="","",原始经营数据!$H1238)</f>
        <v>期末实际出租面积</v>
      </c>
      <c r="E1237">
        <f>IF(原始经营数据!$D1238="","",原始经营数据!$I1238)</f>
        <v>50914.95</v>
      </c>
      <c r="F1237" t="str">
        <f>IF(原始经营数据!$D1238="","",T(原始经营数据!$J1238))</f>
        <v>平方米</v>
      </c>
      <c r="G1237" t="str">
        <f>IF(原始经营数据!$D1238="","",T(原始经营数据!$K1238))</f>
        <v/>
      </c>
      <c r="H1237" t="str">
        <f>IF(原始经营数据!$D1238="","",原始经营数据!$G1238)</f>
        <v>服务量</v>
      </c>
      <c r="I1237" t="str">
        <f>IF($A1237="","",IF($B1237&lt;&gt;"",$B1237,IF(COUNTIFS(原始经营数据!$D$3:$D$3001,$A1237,原始经营数据!$E$3:$E$3001,"",原始经营数据!$F$3:$F$3001,$C1237,原始经营数据!$H$3:$H$3001,$D1237,原始经营数据!$K$3:$K$3001,$G1237)&gt;1,"基金整体·来源"&amp;原始经营数据!$A1238,"基金整体")))</f>
        <v>宁波杉井奥特莱斯</v>
      </c>
      <c r="J1237" t="str">
        <f t="shared" si="288"/>
        <v>季度</v>
      </c>
      <c r="K1237" t="str">
        <f t="shared" si="289"/>
        <v>期末实际出租面积（平方米）</v>
      </c>
      <c r="L1237" t="str">
        <f t="shared" si="290"/>
        <v>宁波杉井奥特莱斯|期末实际出租面积（平方米）|季度</v>
      </c>
      <c r="M1237">
        <f>IF($A1237="",0,IF(COUNTIF($L$2:$L1237,$L1237)=1,1,0))</f>
        <v>1</v>
      </c>
      <c r="N1237">
        <f t="shared" si="291"/>
        <v>20254</v>
      </c>
      <c r="O1237" t="str">
        <f t="shared" si="292"/>
        <v>中金唯品会奥特莱斯封闭式基础设施证券投资基金|2025Q4|季度</v>
      </c>
      <c r="P1237">
        <f>IF($A1237="",0,IF(COUNTIF($O$2:$O1237,$O1237)=1,1,0))</f>
        <v>0</v>
      </c>
      <c r="Q1237" t="str">
        <f>IF(AND($P1237=1,$A1237=经营数据!$B$3,$J1237=经营数据!$BA$5),COUNTIFS($P$2:$P$3000,1,$A$2:$A$3000,$A1237,$J$2:$J$3000,$J1237,$N$2:$N$3000,"&lt;"&amp;$N1237)+1,"")</f>
        <v/>
      </c>
      <c r="R1237" t="str">
        <f t="shared" si="293"/>
        <v>中金唯品会奥特莱斯封闭式基础设施证券投资基金|宁波杉井奥特莱斯</v>
      </c>
      <c r="S1237">
        <f>IF($A1237="",0,IF(COUNTIF($R$2:$R1237,$R1237)=1,1,0))</f>
        <v>0</v>
      </c>
      <c r="T1237">
        <f t="shared" si="294"/>
        <v>1192</v>
      </c>
      <c r="U1237" t="str">
        <f>IF($A1237="","",IF($A1237=经营数据!$B$3,COUNTIFS($S$2:$S$3000,1,$A$2:$A$3000,$A1237,$T$2:$T$3000,"&lt;"&amp;$T1237)+1,""))</f>
        <v/>
      </c>
      <c r="V1237" t="str">
        <f t="shared" si="295"/>
        <v>宁波杉井奥特莱斯|服务量</v>
      </c>
      <c r="W1237">
        <f t="shared" si="296"/>
        <v>1192</v>
      </c>
      <c r="X1237" t="str">
        <f t="shared" si="297"/>
        <v>宁波杉井奥特莱斯|期末实际出租面积</v>
      </c>
      <c r="Y1237">
        <f t="shared" si="298"/>
        <v>1236</v>
      </c>
      <c r="Z1237">
        <f>IF($A1237="",0,IF(AND($M1237=1,$A1237=经营数据!$B$3,$J1237=经营数据!$BA$5,OR($I1237=经营数据!$BA$4,COUNTIF(经营数据!$AA$9:$AA$38,$I1237)&gt;0)),1,0))</f>
        <v>0</v>
      </c>
      <c r="AA1237" t="str">
        <f t="shared" si="299"/>
        <v/>
      </c>
      <c r="AB1237" t="str">
        <f t="shared" si="300"/>
        <v/>
      </c>
      <c r="AC1237">
        <f>IF($A1237="",0,IF(COUNTIF($A$2:$A1237,$A1237)=1,1,0))</f>
        <v>0</v>
      </c>
      <c r="AD1237">
        <f t="shared" si="301"/>
        <v>11</v>
      </c>
      <c r="AE1237" t="str">
        <f t="shared" si="302"/>
        <v>宁波杉井奥特莱斯|期末实际出租面积（平方米）</v>
      </c>
    </row>
    <row r="1238" spans="1:31" x14ac:dyDescent="0.4">
      <c r="A1238" t="str">
        <f>IF(原始经营数据!$D1239="","",原始经营数据!$D1239)</f>
        <v>中金唯品会奥特莱斯封闭式基础设施证券投资基金</v>
      </c>
      <c r="B1238" t="str">
        <f>IF(原始经营数据!$D1239="","",T(原始经营数据!$E1239))</f>
        <v>宁波杉井奥特莱斯</v>
      </c>
      <c r="C1238" t="str">
        <f>IF(原始经营数据!$D1239="","",原始经营数据!$F1239)</f>
        <v>2025Q4</v>
      </c>
      <c r="D1238" t="str">
        <f>IF(原始经营数据!$D1239="","",原始经营数据!$H1239)</f>
        <v>期末可供出租面积</v>
      </c>
      <c r="E1238">
        <f>IF(原始经营数据!$D1239="","",原始经营数据!$I1239)</f>
        <v>50914.95</v>
      </c>
      <c r="F1238" t="str">
        <f>IF(原始经营数据!$D1239="","",T(原始经营数据!$J1239))</f>
        <v>平方米</v>
      </c>
      <c r="G1238" t="str">
        <f>IF(原始经营数据!$D1239="","",T(原始经营数据!$K1239))</f>
        <v/>
      </c>
      <c r="H1238" t="str">
        <f>IF(原始经营数据!$D1239="","",原始经营数据!$G1239)</f>
        <v>服务量</v>
      </c>
      <c r="I1238" t="str">
        <f>IF($A1238="","",IF($B1238&lt;&gt;"",$B1238,IF(COUNTIFS(原始经营数据!$D$3:$D$3001,$A1238,原始经营数据!$E$3:$E$3001,"",原始经营数据!$F$3:$F$3001,$C1238,原始经营数据!$H$3:$H$3001,$D1238,原始经营数据!$K$3:$K$3001,$G1238)&gt;1,"基金整体·来源"&amp;原始经营数据!$A1239,"基金整体")))</f>
        <v>宁波杉井奥特莱斯</v>
      </c>
      <c r="J1238" t="str">
        <f t="shared" si="288"/>
        <v>季度</v>
      </c>
      <c r="K1238" t="str">
        <f t="shared" si="289"/>
        <v>期末可供出租面积（平方米）</v>
      </c>
      <c r="L1238" t="str">
        <f t="shared" si="290"/>
        <v>宁波杉井奥特莱斯|期末可供出租面积（平方米）|季度</v>
      </c>
      <c r="M1238">
        <f>IF($A1238="",0,IF(COUNTIF($L$2:$L1238,$L1238)=1,1,0))</f>
        <v>1</v>
      </c>
      <c r="N1238">
        <f t="shared" si="291"/>
        <v>20254</v>
      </c>
      <c r="O1238" t="str">
        <f t="shared" si="292"/>
        <v>中金唯品会奥特莱斯封闭式基础设施证券投资基金|2025Q4|季度</v>
      </c>
      <c r="P1238">
        <f>IF($A1238="",0,IF(COUNTIF($O$2:$O1238,$O1238)=1,1,0))</f>
        <v>0</v>
      </c>
      <c r="Q1238" t="str">
        <f>IF(AND($P1238=1,$A1238=经营数据!$B$3,$J1238=经营数据!$BA$5),COUNTIFS($P$2:$P$3000,1,$A$2:$A$3000,$A1238,$J$2:$J$3000,$J1238,$N$2:$N$3000,"&lt;"&amp;$N1238)+1,"")</f>
        <v/>
      </c>
      <c r="R1238" t="str">
        <f t="shared" si="293"/>
        <v>中金唯品会奥特莱斯封闭式基础设施证券投资基金|宁波杉井奥特莱斯</v>
      </c>
      <c r="S1238">
        <f>IF($A1238="",0,IF(COUNTIF($R$2:$R1238,$R1238)=1,1,0))</f>
        <v>0</v>
      </c>
      <c r="T1238">
        <f t="shared" si="294"/>
        <v>1192</v>
      </c>
      <c r="U1238" t="str">
        <f>IF($A1238="","",IF($A1238=经营数据!$B$3,COUNTIFS($S$2:$S$3000,1,$A$2:$A$3000,$A1238,$T$2:$T$3000,"&lt;"&amp;$T1238)+1,""))</f>
        <v/>
      </c>
      <c r="V1238" t="str">
        <f t="shared" si="295"/>
        <v>宁波杉井奥特莱斯|服务量</v>
      </c>
      <c r="W1238">
        <f t="shared" si="296"/>
        <v>1192</v>
      </c>
      <c r="X1238" t="str">
        <f t="shared" si="297"/>
        <v>宁波杉井奥特莱斯|期末可供出租面积</v>
      </c>
      <c r="Y1238">
        <f t="shared" si="298"/>
        <v>1237</v>
      </c>
      <c r="Z1238">
        <f>IF($A1238="",0,IF(AND($M1238=1,$A1238=经营数据!$B$3,$J1238=经营数据!$BA$5,OR($I1238=经营数据!$BA$4,COUNTIF(经营数据!$AA$9:$AA$38,$I1238)&gt;0)),1,0))</f>
        <v>0</v>
      </c>
      <c r="AA1238" t="str">
        <f t="shared" si="299"/>
        <v/>
      </c>
      <c r="AB1238" t="str">
        <f t="shared" si="300"/>
        <v/>
      </c>
      <c r="AC1238">
        <f>IF($A1238="",0,IF(COUNTIF($A$2:$A1238,$A1238)=1,1,0))</f>
        <v>0</v>
      </c>
      <c r="AD1238">
        <f t="shared" si="301"/>
        <v>11</v>
      </c>
      <c r="AE1238" t="str">
        <f t="shared" si="302"/>
        <v>宁波杉井奥特莱斯|期末可供出租面积（平方米）</v>
      </c>
    </row>
    <row r="1239" spans="1:31" x14ac:dyDescent="0.4">
      <c r="A1239" t="str">
        <f>IF(原始经营数据!$D1240="","",原始经营数据!$D1240)</f>
        <v>中金唯品会奥特莱斯封闭式基础设施证券投资基金</v>
      </c>
      <c r="B1239" t="str">
        <f>IF(原始经营数据!$D1240="","",T(原始经营数据!$E1240))</f>
        <v>宁波杉井奥特莱斯</v>
      </c>
      <c r="C1239" t="str">
        <f>IF(原始经营数据!$D1240="","",原始经营数据!$F1240)</f>
        <v>2026Q2</v>
      </c>
      <c r="D1239" t="str">
        <f>IF(原始经营数据!$D1240="","",原始经营数据!$H1240)</f>
        <v>期末租金收缴率</v>
      </c>
      <c r="E1239">
        <f>IF(原始经营数据!$D1240="","",原始经营数据!$I1240)</f>
        <v>100</v>
      </c>
      <c r="F1239" t="str">
        <f>IF(原始经营数据!$D1240="","",T(原始经营数据!$J1240))</f>
        <v>%</v>
      </c>
      <c r="G1239" t="str">
        <f>IF(原始经营数据!$D1240="","",T(原始经营数据!$K1240))</f>
        <v/>
      </c>
      <c r="H1239" t="str">
        <f>IF(原始经营数据!$D1240="","",原始经营数据!$G1240)</f>
        <v>服务效率</v>
      </c>
      <c r="I1239" t="str">
        <f>IF($A1239="","",IF($B1239&lt;&gt;"",$B1239,IF(COUNTIFS(原始经营数据!$D$3:$D$3001,$A1239,原始经营数据!$E$3:$E$3001,"",原始经营数据!$F$3:$F$3001,$C1239,原始经营数据!$H$3:$H$3001,$D1239,原始经营数据!$K$3:$K$3001,$G1239)&gt;1,"基金整体·来源"&amp;原始经营数据!$A1240,"基金整体")))</f>
        <v>宁波杉井奥特莱斯</v>
      </c>
      <c r="J1239" t="str">
        <f t="shared" si="288"/>
        <v>季度</v>
      </c>
      <c r="K1239" t="str">
        <f t="shared" si="289"/>
        <v>期末租金收缴率（%）</v>
      </c>
      <c r="L1239" t="str">
        <f t="shared" si="290"/>
        <v>宁波杉井奥特莱斯|期末租金收缴率（%）|季度</v>
      </c>
      <c r="M1239">
        <f>IF($A1239="",0,IF(COUNTIF($L$2:$L1239,$L1239)=1,1,0))</f>
        <v>0</v>
      </c>
      <c r="N1239">
        <f t="shared" si="291"/>
        <v>20262</v>
      </c>
      <c r="O1239" t="str">
        <f t="shared" si="292"/>
        <v>中金唯品会奥特莱斯封闭式基础设施证券投资基金|2026Q2|季度</v>
      </c>
      <c r="P1239">
        <f>IF($A1239="",0,IF(COUNTIF($O$2:$O1239,$O1239)=1,1,0))</f>
        <v>1</v>
      </c>
      <c r="Q1239" t="str">
        <f>IF(AND($P1239=1,$A1239=经营数据!$B$3,$J1239=经营数据!$BA$5),COUNTIFS($P$2:$P$3000,1,$A$2:$A$3000,$A1239,$J$2:$J$3000,$J1239,$N$2:$N$3000,"&lt;"&amp;$N1239)+1,"")</f>
        <v/>
      </c>
      <c r="R1239" t="str">
        <f t="shared" si="293"/>
        <v>中金唯品会奥特莱斯封闭式基础设施证券投资基金|宁波杉井奥特莱斯</v>
      </c>
      <c r="S1239">
        <f>IF($A1239="",0,IF(COUNTIF($R$2:$R1239,$R1239)=1,1,0))</f>
        <v>0</v>
      </c>
      <c r="T1239">
        <f t="shared" si="294"/>
        <v>1192</v>
      </c>
      <c r="U1239" t="str">
        <f>IF($A1239="","",IF($A1239=经营数据!$B$3,COUNTIFS($S$2:$S$3000,1,$A$2:$A$3000,$A1239,$T$2:$T$3000,"&lt;"&amp;$T1239)+1,""))</f>
        <v/>
      </c>
      <c r="V1239" t="str">
        <f t="shared" si="295"/>
        <v>宁波杉井奥特莱斯|服务效率</v>
      </c>
      <c r="W1239">
        <f t="shared" si="296"/>
        <v>1200</v>
      </c>
      <c r="X1239" t="str">
        <f t="shared" si="297"/>
        <v>宁波杉井奥特莱斯|期末租金收缴率</v>
      </c>
      <c r="Y1239">
        <f t="shared" si="298"/>
        <v>1235</v>
      </c>
      <c r="Z1239">
        <f>IF($A1239="",0,IF(AND($M1239=1,$A1239=经营数据!$B$3,$J1239=经营数据!$BA$5,OR($I1239=经营数据!$BA$4,COUNTIF(经营数据!$AA$9:$AA$38,$I1239)&gt;0)),1,0))</f>
        <v>0</v>
      </c>
      <c r="AA1239" t="str">
        <f t="shared" si="299"/>
        <v/>
      </c>
      <c r="AB1239" t="str">
        <f t="shared" si="300"/>
        <v/>
      </c>
      <c r="AC1239">
        <f>IF($A1239="",0,IF(COUNTIF($A$2:$A1239,$A1239)=1,1,0))</f>
        <v>0</v>
      </c>
      <c r="AD1239">
        <f t="shared" si="301"/>
        <v>11</v>
      </c>
      <c r="AE1239" t="str">
        <f t="shared" si="302"/>
        <v>宁波杉井奥特莱斯|期末租金收缴率（%）</v>
      </c>
    </row>
    <row r="1240" spans="1:31" x14ac:dyDescent="0.4">
      <c r="A1240" t="str">
        <f>IF(原始经营数据!$D1241="","",原始经营数据!$D1241)</f>
        <v>中金唯品会奥特莱斯封闭式基础设施证券投资基金</v>
      </c>
      <c r="B1240" t="str">
        <f>IF(原始经营数据!$D1241="","",T(原始经营数据!$E1241))</f>
        <v>宁波杉井奥特莱斯</v>
      </c>
      <c r="C1240" t="str">
        <f>IF(原始经营数据!$D1241="","",原始经营数据!$F1241)</f>
        <v>2026Q2</v>
      </c>
      <c r="D1240" t="str">
        <f>IF(原始经营数据!$D1241="","",原始经营数据!$H1241)</f>
        <v>期末剩余租期情况</v>
      </c>
      <c r="E1240">
        <f>IF(原始经营数据!$D1241="","",原始经营数据!$I1241)</f>
        <v>1.74</v>
      </c>
      <c r="F1240" t="str">
        <f>IF(原始经营数据!$D1241="","",T(原始经营数据!$J1241))</f>
        <v>年</v>
      </c>
      <c r="G1240" t="str">
        <f>IF(原始经营数据!$D1241="","",T(原始经营数据!$K1241))</f>
        <v/>
      </c>
      <c r="H1240" t="str">
        <f>IF(原始经营数据!$D1241="","",原始经营数据!$G1241)</f>
        <v>服务量</v>
      </c>
      <c r="I1240" t="str">
        <f>IF($A1240="","",IF($B1240&lt;&gt;"",$B1240,IF(COUNTIFS(原始经营数据!$D$3:$D$3001,$A1240,原始经营数据!$E$3:$E$3001,"",原始经营数据!$F$3:$F$3001,$C1240,原始经营数据!$H$3:$H$3001,$D1240,原始经营数据!$K$3:$K$3001,$G1240)&gt;1,"基金整体·来源"&amp;原始经营数据!$A1241,"基金整体")))</f>
        <v>宁波杉井奥特莱斯</v>
      </c>
      <c r="J1240" t="str">
        <f t="shared" si="288"/>
        <v>季度</v>
      </c>
      <c r="K1240" t="str">
        <f t="shared" si="289"/>
        <v>期末剩余租期情况（年）</v>
      </c>
      <c r="L1240" t="str">
        <f t="shared" si="290"/>
        <v>宁波杉井奥特莱斯|期末剩余租期情况（年）|季度</v>
      </c>
      <c r="M1240">
        <f>IF($A1240="",0,IF(COUNTIF($L$2:$L1240,$L1240)=1,1,0))</f>
        <v>0</v>
      </c>
      <c r="N1240">
        <f t="shared" si="291"/>
        <v>20262</v>
      </c>
      <c r="O1240" t="str">
        <f t="shared" si="292"/>
        <v>中金唯品会奥特莱斯封闭式基础设施证券投资基金|2026Q2|季度</v>
      </c>
      <c r="P1240">
        <f>IF($A1240="",0,IF(COUNTIF($O$2:$O1240,$O1240)=1,1,0))</f>
        <v>0</v>
      </c>
      <c r="Q1240" t="str">
        <f>IF(AND($P1240=1,$A1240=经营数据!$B$3,$J1240=经营数据!$BA$5),COUNTIFS($P$2:$P$3000,1,$A$2:$A$3000,$A1240,$J$2:$J$3000,$J1240,$N$2:$N$3000,"&lt;"&amp;$N1240)+1,"")</f>
        <v/>
      </c>
      <c r="R1240" t="str">
        <f t="shared" si="293"/>
        <v>中金唯品会奥特莱斯封闭式基础设施证券投资基金|宁波杉井奥特莱斯</v>
      </c>
      <c r="S1240">
        <f>IF($A1240="",0,IF(COUNTIF($R$2:$R1240,$R1240)=1,1,0))</f>
        <v>0</v>
      </c>
      <c r="T1240">
        <f t="shared" si="294"/>
        <v>1192</v>
      </c>
      <c r="U1240" t="str">
        <f>IF($A1240="","",IF($A1240=经营数据!$B$3,COUNTIFS($S$2:$S$3000,1,$A$2:$A$3000,$A1240,$T$2:$T$3000,"&lt;"&amp;$T1240)+1,""))</f>
        <v/>
      </c>
      <c r="V1240" t="str">
        <f t="shared" si="295"/>
        <v>宁波杉井奥特莱斯|服务量</v>
      </c>
      <c r="W1240">
        <f t="shared" si="296"/>
        <v>1192</v>
      </c>
      <c r="X1240" t="str">
        <f t="shared" si="297"/>
        <v>宁波杉井奥特莱斯|期末剩余租期情况</v>
      </c>
      <c r="Y1240">
        <f t="shared" si="298"/>
        <v>1234</v>
      </c>
      <c r="Z1240">
        <f>IF($A1240="",0,IF(AND($M1240=1,$A1240=经营数据!$B$3,$J1240=经营数据!$BA$5,OR($I1240=经营数据!$BA$4,COUNTIF(经营数据!$AA$9:$AA$38,$I1240)&gt;0)),1,0))</f>
        <v>0</v>
      </c>
      <c r="AA1240" t="str">
        <f t="shared" si="299"/>
        <v/>
      </c>
      <c r="AB1240" t="str">
        <f t="shared" si="300"/>
        <v/>
      </c>
      <c r="AC1240">
        <f>IF($A1240="",0,IF(COUNTIF($A$2:$A1240,$A1240)=1,1,0))</f>
        <v>0</v>
      </c>
      <c r="AD1240">
        <f t="shared" si="301"/>
        <v>11</v>
      </c>
      <c r="AE1240" t="str">
        <f t="shared" si="302"/>
        <v>宁波杉井奥特莱斯|期末剩余租期情况（年）</v>
      </c>
    </row>
    <row r="1241" spans="1:31" x14ac:dyDescent="0.4">
      <c r="A1241" t="str">
        <f>IF(原始经营数据!$D1242="","",原始经营数据!$D1242)</f>
        <v>中金唯品会奥特莱斯封闭式基础设施证券投资基金</v>
      </c>
      <c r="B1241" t="str">
        <f>IF(原始经营数据!$D1242="","",T(原始经营数据!$E1242))</f>
        <v>宁波杉井奥特莱斯</v>
      </c>
      <c r="C1241" t="str">
        <f>IF(原始经营数据!$D1242="","",原始经营数据!$F1242)</f>
        <v>2026Q2</v>
      </c>
      <c r="D1241" t="str">
        <f>IF(原始经营数据!$D1242="","",原始经营数据!$H1242)</f>
        <v>期内租金单价水平</v>
      </c>
      <c r="E1241">
        <f>IF(原始经营数据!$D1242="","",原始经营数据!$I1242)</f>
        <v>351.45</v>
      </c>
      <c r="F1241" t="str">
        <f>IF(原始经营数据!$D1242="","",T(原始经营数据!$J1242))</f>
        <v>元/平方米/月</v>
      </c>
      <c r="G1241" t="str">
        <f>IF(原始经营数据!$D1242="","",T(原始经营数据!$K1242))</f>
        <v/>
      </c>
      <c r="H1241" t="str">
        <f>IF(原始经营数据!$D1242="","",原始经营数据!$G1242)</f>
        <v>服务价格</v>
      </c>
      <c r="I1241" t="str">
        <f>IF($A1241="","",IF($B1241&lt;&gt;"",$B1241,IF(COUNTIFS(原始经营数据!$D$3:$D$3001,$A1241,原始经营数据!$E$3:$E$3001,"",原始经营数据!$F$3:$F$3001,$C1241,原始经营数据!$H$3:$H$3001,$D1241,原始经营数据!$K$3:$K$3001,$G1241)&gt;1,"基金整体·来源"&amp;原始经营数据!$A1242,"基金整体")))</f>
        <v>宁波杉井奥特莱斯</v>
      </c>
      <c r="J1241" t="str">
        <f t="shared" si="288"/>
        <v>季度</v>
      </c>
      <c r="K1241" t="str">
        <f t="shared" si="289"/>
        <v>期内租金单价水平（元/平方米/月）</v>
      </c>
      <c r="L1241" t="str">
        <f t="shared" si="290"/>
        <v>宁波杉井奥特莱斯|期内租金单价水平（元/平方米/月）|季度</v>
      </c>
      <c r="M1241">
        <f>IF($A1241="",0,IF(COUNTIF($L$2:$L1241,$L1241)=1,1,0))</f>
        <v>0</v>
      </c>
      <c r="N1241">
        <f t="shared" si="291"/>
        <v>20262</v>
      </c>
      <c r="O1241" t="str">
        <f t="shared" si="292"/>
        <v>中金唯品会奥特莱斯封闭式基础设施证券投资基金|2026Q2|季度</v>
      </c>
      <c r="P1241">
        <f>IF($A1241="",0,IF(COUNTIF($O$2:$O1241,$O1241)=1,1,0))</f>
        <v>0</v>
      </c>
      <c r="Q1241" t="str">
        <f>IF(AND($P1241=1,$A1241=经营数据!$B$3,$J1241=经营数据!$BA$5),COUNTIFS($P$2:$P$3000,1,$A$2:$A$3000,$A1241,$J$2:$J$3000,$J1241,$N$2:$N$3000,"&lt;"&amp;$N1241)+1,"")</f>
        <v/>
      </c>
      <c r="R1241" t="str">
        <f t="shared" si="293"/>
        <v>中金唯品会奥特莱斯封闭式基础设施证券投资基金|宁波杉井奥特莱斯</v>
      </c>
      <c r="S1241">
        <f>IF($A1241="",0,IF(COUNTIF($R$2:$R1241,$R1241)=1,1,0))</f>
        <v>0</v>
      </c>
      <c r="T1241">
        <f t="shared" si="294"/>
        <v>1192</v>
      </c>
      <c r="U1241" t="str">
        <f>IF($A1241="","",IF($A1241=经营数据!$B$3,COUNTIFS($S$2:$S$3000,1,$A$2:$A$3000,$A1241,$T$2:$T$3000,"&lt;"&amp;$T1241)+1,""))</f>
        <v/>
      </c>
      <c r="V1241" t="str">
        <f t="shared" si="295"/>
        <v>宁波杉井奥特莱斯|服务价格</v>
      </c>
      <c r="W1241">
        <f t="shared" si="296"/>
        <v>1233</v>
      </c>
      <c r="X1241" t="str">
        <f t="shared" si="297"/>
        <v>宁波杉井奥特莱斯|期内租金单价水平</v>
      </c>
      <c r="Y1241">
        <f t="shared" si="298"/>
        <v>1233</v>
      </c>
      <c r="Z1241">
        <f>IF($A1241="",0,IF(AND($M1241=1,$A1241=经营数据!$B$3,$J1241=经营数据!$BA$5,OR($I1241=经营数据!$BA$4,COUNTIF(经营数据!$AA$9:$AA$38,$I1241)&gt;0)),1,0))</f>
        <v>0</v>
      </c>
      <c r="AA1241" t="str">
        <f t="shared" si="299"/>
        <v/>
      </c>
      <c r="AB1241" t="str">
        <f t="shared" si="300"/>
        <v/>
      </c>
      <c r="AC1241">
        <f>IF($A1241="",0,IF(COUNTIF($A$2:$A1241,$A1241)=1,1,0))</f>
        <v>0</v>
      </c>
      <c r="AD1241">
        <f t="shared" si="301"/>
        <v>11</v>
      </c>
      <c r="AE1241" t="str">
        <f t="shared" si="302"/>
        <v>宁波杉井奥特莱斯|期内租金单价水平（元/平方米/月）</v>
      </c>
    </row>
    <row r="1242" spans="1:31" x14ac:dyDescent="0.4">
      <c r="A1242" t="str">
        <f>IF(原始经营数据!$D1243="","",原始经营数据!$D1243)</f>
        <v>中金唯品会奥特莱斯封闭式基础设施证券投资基金</v>
      </c>
      <c r="B1242" t="str">
        <f>IF(原始经营数据!$D1243="","",T(原始经营数据!$E1243))</f>
        <v>宁波杉井奥特莱斯</v>
      </c>
      <c r="C1242" t="str">
        <f>IF(原始经营数据!$D1243="","",原始经营数据!$F1243)</f>
        <v>2026Q2</v>
      </c>
      <c r="D1242" t="str">
        <f>IF(原始经营数据!$D1243="","",原始经营数据!$H1243)</f>
        <v>期末出租率</v>
      </c>
      <c r="E1242">
        <f>IF(原始经营数据!$D1243="","",原始经营数据!$I1243)</f>
        <v>100</v>
      </c>
      <c r="F1242" t="str">
        <f>IF(原始经营数据!$D1243="","",T(原始经营数据!$J1243))</f>
        <v>%</v>
      </c>
      <c r="G1242" t="str">
        <f>IF(原始经营数据!$D1243="","",T(原始经营数据!$K1243))</f>
        <v/>
      </c>
      <c r="H1242" t="str">
        <f>IF(原始经营数据!$D1243="","",原始经营数据!$G1243)</f>
        <v>服务效率</v>
      </c>
      <c r="I1242" t="str">
        <f>IF($A1242="","",IF($B1242&lt;&gt;"",$B1242,IF(COUNTIFS(原始经营数据!$D$3:$D$3001,$A1242,原始经营数据!$E$3:$E$3001,"",原始经营数据!$F$3:$F$3001,$C1242,原始经营数据!$H$3:$H$3001,$D1242,原始经营数据!$K$3:$K$3001,$G1242)&gt;1,"基金整体·来源"&amp;原始经营数据!$A1243,"基金整体")))</f>
        <v>宁波杉井奥特莱斯</v>
      </c>
      <c r="J1242" t="str">
        <f t="shared" si="288"/>
        <v>季度</v>
      </c>
      <c r="K1242" t="str">
        <f t="shared" si="289"/>
        <v>期末出租率（%）</v>
      </c>
      <c r="L1242" t="str">
        <f t="shared" si="290"/>
        <v>宁波杉井奥特莱斯|期末出租率（%）|季度</v>
      </c>
      <c r="M1242">
        <f>IF($A1242="",0,IF(COUNTIF($L$2:$L1242,$L1242)=1,1,0))</f>
        <v>0</v>
      </c>
      <c r="N1242">
        <f t="shared" si="291"/>
        <v>20262</v>
      </c>
      <c r="O1242" t="str">
        <f t="shared" si="292"/>
        <v>中金唯品会奥特莱斯封闭式基础设施证券投资基金|2026Q2|季度</v>
      </c>
      <c r="P1242">
        <f>IF($A1242="",0,IF(COUNTIF($O$2:$O1242,$O1242)=1,1,0))</f>
        <v>0</v>
      </c>
      <c r="Q1242" t="str">
        <f>IF(AND($P1242=1,$A1242=经营数据!$B$3,$J1242=经营数据!$BA$5),COUNTIFS($P$2:$P$3000,1,$A$2:$A$3000,$A1242,$J$2:$J$3000,$J1242,$N$2:$N$3000,"&lt;"&amp;$N1242)+1,"")</f>
        <v/>
      </c>
      <c r="R1242" t="str">
        <f t="shared" si="293"/>
        <v>中金唯品会奥特莱斯封闭式基础设施证券投资基金|宁波杉井奥特莱斯</v>
      </c>
      <c r="S1242">
        <f>IF($A1242="",0,IF(COUNTIF($R$2:$R1242,$R1242)=1,1,0))</f>
        <v>0</v>
      </c>
      <c r="T1242">
        <f t="shared" si="294"/>
        <v>1192</v>
      </c>
      <c r="U1242" t="str">
        <f>IF($A1242="","",IF($A1242=经营数据!$B$3,COUNTIFS($S$2:$S$3000,1,$A$2:$A$3000,$A1242,$T$2:$T$3000,"&lt;"&amp;$T1242)+1,""))</f>
        <v/>
      </c>
      <c r="V1242" t="str">
        <f t="shared" si="295"/>
        <v>宁波杉井奥特莱斯|服务效率</v>
      </c>
      <c r="W1242">
        <f t="shared" si="296"/>
        <v>1200</v>
      </c>
      <c r="X1242" t="str">
        <f t="shared" si="297"/>
        <v>宁波杉井奥特莱斯|期末出租率</v>
      </c>
      <c r="Y1242">
        <f t="shared" si="298"/>
        <v>1232</v>
      </c>
      <c r="Z1242">
        <f>IF($A1242="",0,IF(AND($M1242=1,$A1242=经营数据!$B$3,$J1242=经营数据!$BA$5,OR($I1242=经营数据!$BA$4,COUNTIF(经营数据!$AA$9:$AA$38,$I1242)&gt;0)),1,0))</f>
        <v>0</v>
      </c>
      <c r="AA1242" t="str">
        <f t="shared" si="299"/>
        <v/>
      </c>
      <c r="AB1242" t="str">
        <f t="shared" si="300"/>
        <v/>
      </c>
      <c r="AC1242">
        <f>IF($A1242="",0,IF(COUNTIF($A$2:$A1242,$A1242)=1,1,0))</f>
        <v>0</v>
      </c>
      <c r="AD1242">
        <f t="shared" si="301"/>
        <v>11</v>
      </c>
      <c r="AE1242" t="str">
        <f t="shared" si="302"/>
        <v>宁波杉井奥特莱斯|期末出租率（%）</v>
      </c>
    </row>
    <row r="1243" spans="1:31" x14ac:dyDescent="0.4">
      <c r="A1243" t="str">
        <f>IF(原始经营数据!$D1244="","",原始经营数据!$D1244)</f>
        <v>中金唯品会奥特莱斯封闭式基础设施证券投资基金</v>
      </c>
      <c r="B1243" t="str">
        <f>IF(原始经营数据!$D1244="","",T(原始经营数据!$E1244))</f>
        <v>宁波杉井奥特莱斯</v>
      </c>
      <c r="C1243" t="str">
        <f>IF(原始经营数据!$D1244="","",原始经营数据!$F1244)</f>
        <v>2026Q2</v>
      </c>
      <c r="D1243" t="str">
        <f>IF(原始经营数据!$D1244="","",原始经营数据!$H1244)</f>
        <v>期末实际出租面积</v>
      </c>
      <c r="E1243">
        <f>IF(原始经营数据!$D1244="","",原始经营数据!$I1244)</f>
        <v>51427.27</v>
      </c>
      <c r="F1243" t="str">
        <f>IF(原始经营数据!$D1244="","",T(原始经营数据!$J1244))</f>
        <v>平方米</v>
      </c>
      <c r="G1243" t="str">
        <f>IF(原始经营数据!$D1244="","",T(原始经营数据!$K1244))</f>
        <v/>
      </c>
      <c r="H1243" t="str">
        <f>IF(原始经营数据!$D1244="","",原始经营数据!$G1244)</f>
        <v>服务量</v>
      </c>
      <c r="I1243" t="str">
        <f>IF($A1243="","",IF($B1243&lt;&gt;"",$B1243,IF(COUNTIFS(原始经营数据!$D$3:$D$3001,$A1243,原始经营数据!$E$3:$E$3001,"",原始经营数据!$F$3:$F$3001,$C1243,原始经营数据!$H$3:$H$3001,$D1243,原始经营数据!$K$3:$K$3001,$G1243)&gt;1,"基金整体·来源"&amp;原始经营数据!$A1244,"基金整体")))</f>
        <v>宁波杉井奥特莱斯</v>
      </c>
      <c r="J1243" t="str">
        <f t="shared" si="288"/>
        <v>季度</v>
      </c>
      <c r="K1243" t="str">
        <f t="shared" si="289"/>
        <v>期末实际出租面积（平方米）</v>
      </c>
      <c r="L1243" t="str">
        <f t="shared" si="290"/>
        <v>宁波杉井奥特莱斯|期末实际出租面积（平方米）|季度</v>
      </c>
      <c r="M1243">
        <f>IF($A1243="",0,IF(COUNTIF($L$2:$L1243,$L1243)=1,1,0))</f>
        <v>0</v>
      </c>
      <c r="N1243">
        <f t="shared" si="291"/>
        <v>20262</v>
      </c>
      <c r="O1243" t="str">
        <f t="shared" si="292"/>
        <v>中金唯品会奥特莱斯封闭式基础设施证券投资基金|2026Q2|季度</v>
      </c>
      <c r="P1243">
        <f>IF($A1243="",0,IF(COUNTIF($O$2:$O1243,$O1243)=1,1,0))</f>
        <v>0</v>
      </c>
      <c r="Q1243" t="str">
        <f>IF(AND($P1243=1,$A1243=经营数据!$B$3,$J1243=经营数据!$BA$5),COUNTIFS($P$2:$P$3000,1,$A$2:$A$3000,$A1243,$J$2:$J$3000,$J1243,$N$2:$N$3000,"&lt;"&amp;$N1243)+1,"")</f>
        <v/>
      </c>
      <c r="R1243" t="str">
        <f t="shared" si="293"/>
        <v>中金唯品会奥特莱斯封闭式基础设施证券投资基金|宁波杉井奥特莱斯</v>
      </c>
      <c r="S1243">
        <f>IF($A1243="",0,IF(COUNTIF($R$2:$R1243,$R1243)=1,1,0))</f>
        <v>0</v>
      </c>
      <c r="T1243">
        <f t="shared" si="294"/>
        <v>1192</v>
      </c>
      <c r="U1243" t="str">
        <f>IF($A1243="","",IF($A1243=经营数据!$B$3,COUNTIFS($S$2:$S$3000,1,$A$2:$A$3000,$A1243,$T$2:$T$3000,"&lt;"&amp;$T1243)+1,""))</f>
        <v/>
      </c>
      <c r="V1243" t="str">
        <f t="shared" si="295"/>
        <v>宁波杉井奥特莱斯|服务量</v>
      </c>
      <c r="W1243">
        <f t="shared" si="296"/>
        <v>1192</v>
      </c>
      <c r="X1243" t="str">
        <f t="shared" si="297"/>
        <v>宁波杉井奥特莱斯|期末实际出租面积</v>
      </c>
      <c r="Y1243">
        <f t="shared" si="298"/>
        <v>1236</v>
      </c>
      <c r="Z1243">
        <f>IF($A1243="",0,IF(AND($M1243=1,$A1243=经营数据!$B$3,$J1243=经营数据!$BA$5,OR($I1243=经营数据!$BA$4,COUNTIF(经营数据!$AA$9:$AA$38,$I1243)&gt;0)),1,0))</f>
        <v>0</v>
      </c>
      <c r="AA1243" t="str">
        <f t="shared" si="299"/>
        <v/>
      </c>
      <c r="AB1243" t="str">
        <f t="shared" si="300"/>
        <v/>
      </c>
      <c r="AC1243">
        <f>IF($A1243="",0,IF(COUNTIF($A$2:$A1243,$A1243)=1,1,0))</f>
        <v>0</v>
      </c>
      <c r="AD1243">
        <f t="shared" si="301"/>
        <v>11</v>
      </c>
      <c r="AE1243" t="str">
        <f t="shared" si="302"/>
        <v>宁波杉井奥特莱斯|期末实际出租面积（平方米）</v>
      </c>
    </row>
    <row r="1244" spans="1:31" x14ac:dyDescent="0.4">
      <c r="A1244" t="str">
        <f>IF(原始经营数据!$D1245="","",原始经营数据!$D1245)</f>
        <v>中金唯品会奥特莱斯封闭式基础设施证券投资基金</v>
      </c>
      <c r="B1244" t="str">
        <f>IF(原始经营数据!$D1245="","",T(原始经营数据!$E1245))</f>
        <v>宁波杉井奥特莱斯</v>
      </c>
      <c r="C1244" t="str">
        <f>IF(原始经营数据!$D1245="","",原始经营数据!$F1245)</f>
        <v>2026Q2</v>
      </c>
      <c r="D1244" t="str">
        <f>IF(原始经营数据!$D1245="","",原始经营数据!$H1245)</f>
        <v>期末可供出租面积</v>
      </c>
      <c r="E1244">
        <f>IF(原始经营数据!$D1245="","",原始经营数据!$I1245)</f>
        <v>51427.27</v>
      </c>
      <c r="F1244" t="str">
        <f>IF(原始经营数据!$D1245="","",T(原始经营数据!$J1245))</f>
        <v>平方米</v>
      </c>
      <c r="G1244" t="str">
        <f>IF(原始经营数据!$D1245="","",T(原始经营数据!$K1245))</f>
        <v/>
      </c>
      <c r="H1244" t="str">
        <f>IF(原始经营数据!$D1245="","",原始经营数据!$G1245)</f>
        <v>服务量</v>
      </c>
      <c r="I1244" t="str">
        <f>IF($A1244="","",IF($B1244&lt;&gt;"",$B1244,IF(COUNTIFS(原始经营数据!$D$3:$D$3001,$A1244,原始经营数据!$E$3:$E$3001,"",原始经营数据!$F$3:$F$3001,$C1244,原始经营数据!$H$3:$H$3001,$D1244,原始经营数据!$K$3:$K$3001,$G1244)&gt;1,"基金整体·来源"&amp;原始经营数据!$A1245,"基金整体")))</f>
        <v>宁波杉井奥特莱斯</v>
      </c>
      <c r="J1244" t="str">
        <f t="shared" si="288"/>
        <v>季度</v>
      </c>
      <c r="K1244" t="str">
        <f t="shared" si="289"/>
        <v>期末可供出租面积（平方米）</v>
      </c>
      <c r="L1244" t="str">
        <f t="shared" si="290"/>
        <v>宁波杉井奥特莱斯|期末可供出租面积（平方米）|季度</v>
      </c>
      <c r="M1244">
        <f>IF($A1244="",0,IF(COUNTIF($L$2:$L1244,$L1244)=1,1,0))</f>
        <v>0</v>
      </c>
      <c r="N1244">
        <f t="shared" si="291"/>
        <v>20262</v>
      </c>
      <c r="O1244" t="str">
        <f t="shared" si="292"/>
        <v>中金唯品会奥特莱斯封闭式基础设施证券投资基金|2026Q2|季度</v>
      </c>
      <c r="P1244">
        <f>IF($A1244="",0,IF(COUNTIF($O$2:$O1244,$O1244)=1,1,0))</f>
        <v>0</v>
      </c>
      <c r="Q1244" t="str">
        <f>IF(AND($P1244=1,$A1244=经营数据!$B$3,$J1244=经营数据!$BA$5),COUNTIFS($P$2:$P$3000,1,$A$2:$A$3000,$A1244,$J$2:$J$3000,$J1244,$N$2:$N$3000,"&lt;"&amp;$N1244)+1,"")</f>
        <v/>
      </c>
      <c r="R1244" t="str">
        <f t="shared" si="293"/>
        <v>中金唯品会奥特莱斯封闭式基础设施证券投资基金|宁波杉井奥特莱斯</v>
      </c>
      <c r="S1244">
        <f>IF($A1244="",0,IF(COUNTIF($R$2:$R1244,$R1244)=1,1,0))</f>
        <v>0</v>
      </c>
      <c r="T1244">
        <f t="shared" si="294"/>
        <v>1192</v>
      </c>
      <c r="U1244" t="str">
        <f>IF($A1244="","",IF($A1244=经营数据!$B$3,COUNTIFS($S$2:$S$3000,1,$A$2:$A$3000,$A1244,$T$2:$T$3000,"&lt;"&amp;$T1244)+1,""))</f>
        <v/>
      </c>
      <c r="V1244" t="str">
        <f t="shared" si="295"/>
        <v>宁波杉井奥特莱斯|服务量</v>
      </c>
      <c r="W1244">
        <f t="shared" si="296"/>
        <v>1192</v>
      </c>
      <c r="X1244" t="str">
        <f t="shared" si="297"/>
        <v>宁波杉井奥特莱斯|期末可供出租面积</v>
      </c>
      <c r="Y1244">
        <f t="shared" si="298"/>
        <v>1237</v>
      </c>
      <c r="Z1244">
        <f>IF($A1244="",0,IF(AND($M1244=1,$A1244=经营数据!$B$3,$J1244=经营数据!$BA$5,OR($I1244=经营数据!$BA$4,COUNTIF(经营数据!$AA$9:$AA$38,$I1244)&gt;0)),1,0))</f>
        <v>0</v>
      </c>
      <c r="AA1244" t="str">
        <f t="shared" si="299"/>
        <v/>
      </c>
      <c r="AB1244" t="str">
        <f t="shared" si="300"/>
        <v/>
      </c>
      <c r="AC1244">
        <f>IF($A1244="",0,IF(COUNTIF($A$2:$A1244,$A1244)=1,1,0))</f>
        <v>0</v>
      </c>
      <c r="AD1244">
        <f t="shared" si="301"/>
        <v>11</v>
      </c>
      <c r="AE1244" t="str">
        <f t="shared" si="302"/>
        <v>宁波杉井奥特莱斯|期末可供出租面积（平方米）</v>
      </c>
    </row>
    <row r="1245" spans="1:31" x14ac:dyDescent="0.4">
      <c r="A1245" t="str">
        <f>IF(原始经营数据!$D1246="","",原始经营数据!$D1246)</f>
        <v>华夏中海消费封闭式基础设施证券投资基金</v>
      </c>
      <c r="B1245" t="str">
        <f>IF(原始经营数据!$D1246="","",T(原始经营数据!$E1246))</f>
        <v>佛山映月湖环宇城</v>
      </c>
      <c r="C1245" t="str">
        <f>IF(原始经营数据!$D1246="","",原始经营数据!$F1246)</f>
        <v>2022</v>
      </c>
      <c r="D1245" t="str">
        <f>IF(原始经营数据!$D1246="","",原始经营数据!$H1246)</f>
        <v>营业收入（考虑租金减免，不含税）</v>
      </c>
      <c r="E1245">
        <f>IF(原始经营数据!$D1246="","",原始经营数据!$I1246)</f>
        <v>10114.06</v>
      </c>
      <c r="F1245" t="str">
        <f>IF(原始经营数据!$D1246="","",T(原始经营数据!$J1246))</f>
        <v>万元</v>
      </c>
      <c r="G1245" t="str">
        <f>IF(原始经营数据!$D1246="","",T(原始经营数据!$K1246))</f>
        <v/>
      </c>
      <c r="H1245" t="str">
        <f>IF(原始经营数据!$D1246="","",原始经营数据!$G1246)</f>
        <v>服务金额</v>
      </c>
      <c r="I1245" t="str">
        <f>IF($A1245="","",IF($B1245&lt;&gt;"",$B1245,IF(COUNTIFS(原始经营数据!$D$3:$D$3001,$A1245,原始经营数据!$E$3:$E$3001,"",原始经营数据!$F$3:$F$3001,$C1245,原始经营数据!$H$3:$H$3001,$D1245,原始经营数据!$K$3:$K$3001,$G1245)&gt;1,"基金整体·来源"&amp;原始经营数据!$A1246,"基金整体")))</f>
        <v>佛山映月湖环宇城</v>
      </c>
      <c r="J1245" t="str">
        <f t="shared" si="288"/>
        <v>年度</v>
      </c>
      <c r="K1245" t="str">
        <f t="shared" si="289"/>
        <v>营业收入（考虑租金减免，不含税）（万元）</v>
      </c>
      <c r="L1245" t="str">
        <f t="shared" si="290"/>
        <v>佛山映月湖环宇城|营业收入（考虑租金减免，不含税）（万元）|年度</v>
      </c>
      <c r="M1245">
        <f>IF($A1245="",0,IF(COUNTIF($L$2:$L1245,$L1245)=1,1,0))</f>
        <v>1</v>
      </c>
      <c r="N1245">
        <f t="shared" si="291"/>
        <v>20220</v>
      </c>
      <c r="O1245" t="str">
        <f t="shared" si="292"/>
        <v>华夏中海消费封闭式基础设施证券投资基金|2022|年度</v>
      </c>
      <c r="P1245">
        <f>IF($A1245="",0,IF(COUNTIF($O$2:$O1245,$O1245)=1,1,0))</f>
        <v>1</v>
      </c>
      <c r="Q1245" t="str">
        <f>IF(AND($P1245=1,$A1245=经营数据!$B$3,$J1245=经营数据!$BA$5),COUNTIFS($P$2:$P$3000,1,$A$2:$A$3000,$A1245,$J$2:$J$3000,$J1245,$N$2:$N$3000,"&lt;"&amp;$N1245)+1,"")</f>
        <v/>
      </c>
      <c r="R1245" t="str">
        <f t="shared" si="293"/>
        <v>华夏中海消费封闭式基础设施证券投资基金|佛山映月湖环宇城</v>
      </c>
      <c r="S1245">
        <f>IF($A1245="",0,IF(COUNTIF($R$2:$R1245,$R1245)=1,1,0))</f>
        <v>1</v>
      </c>
      <c r="T1245">
        <f t="shared" si="294"/>
        <v>1244</v>
      </c>
      <c r="U1245" t="str">
        <f>IF($A1245="","",IF($A1245=经营数据!$B$3,COUNTIFS($S$2:$S$3000,1,$A$2:$A$3000,$A1245,$T$2:$T$3000,"&lt;"&amp;$T1245)+1,""))</f>
        <v/>
      </c>
      <c r="V1245" t="str">
        <f t="shared" si="295"/>
        <v>佛山映月湖环宇城|服务金额</v>
      </c>
      <c r="W1245">
        <f t="shared" si="296"/>
        <v>1244</v>
      </c>
      <c r="X1245" t="str">
        <f t="shared" si="297"/>
        <v>佛山映月湖环宇城|营业收入（考虑租金减免，不含税）</v>
      </c>
      <c r="Y1245">
        <f t="shared" si="298"/>
        <v>1244</v>
      </c>
      <c r="Z1245">
        <f>IF($A1245="",0,IF(AND($M1245=1,$A1245=经营数据!$B$3,$J1245=经营数据!$BA$5,OR($I1245=经营数据!$BA$4,COUNTIF(经营数据!$AA$9:$AA$38,$I1245)&gt;0)),1,0))</f>
        <v>0</v>
      </c>
      <c r="AA1245" t="str">
        <f t="shared" si="299"/>
        <v/>
      </c>
      <c r="AB1245" t="str">
        <f t="shared" si="300"/>
        <v/>
      </c>
      <c r="AC1245">
        <f>IF($A1245="",0,IF(COUNTIF($A$2:$A1245,$A1245)=1,1,0))</f>
        <v>1</v>
      </c>
      <c r="AD1245">
        <f t="shared" si="301"/>
        <v>12</v>
      </c>
      <c r="AE1245" t="str">
        <f t="shared" si="302"/>
        <v>佛山映月湖环宇城|营业收入（考虑租金减免，不含税）（万元）</v>
      </c>
    </row>
    <row r="1246" spans="1:31" x14ac:dyDescent="0.4">
      <c r="A1246" t="str">
        <f>IF(原始经营数据!$D1247="","",原始经营数据!$D1247)</f>
        <v>华夏中海消费封闭式基础设施证券投资基金</v>
      </c>
      <c r="B1246" t="str">
        <f>IF(原始经营数据!$D1247="","",T(原始经营数据!$E1247))</f>
        <v>佛山映月湖环宇城</v>
      </c>
      <c r="C1246" t="str">
        <f>IF(原始经营数据!$D1247="","",原始经营数据!$F1247)</f>
        <v>2022</v>
      </c>
      <c r="D1246" t="str">
        <f>IF(原始经营数据!$D1247="","",原始经营数据!$H1247)</f>
        <v>销售额</v>
      </c>
      <c r="E1246">
        <f>IF(原始经营数据!$D1247="","",原始经营数据!$I1247)</f>
        <v>104933.06</v>
      </c>
      <c r="F1246" t="str">
        <f>IF(原始经营数据!$D1247="","",T(原始经营数据!$J1247))</f>
        <v>万元</v>
      </c>
      <c r="G1246" t="str">
        <f>IF(原始经营数据!$D1247="","",T(原始经营数据!$K1247))</f>
        <v/>
      </c>
      <c r="H1246" t="str">
        <f>IF(原始经营数据!$D1247="","",原始经营数据!$G1247)</f>
        <v>服务金额</v>
      </c>
      <c r="I1246" t="str">
        <f>IF($A1246="","",IF($B1246&lt;&gt;"",$B1246,IF(COUNTIFS(原始经营数据!$D$3:$D$3001,$A1246,原始经营数据!$E$3:$E$3001,"",原始经营数据!$F$3:$F$3001,$C1246,原始经营数据!$H$3:$H$3001,$D1246,原始经营数据!$K$3:$K$3001,$G1246)&gt;1,"基金整体·来源"&amp;原始经营数据!$A1247,"基金整体")))</f>
        <v>佛山映月湖环宇城</v>
      </c>
      <c r="J1246" t="str">
        <f t="shared" si="288"/>
        <v>年度</v>
      </c>
      <c r="K1246" t="str">
        <f t="shared" si="289"/>
        <v>销售额（万元）</v>
      </c>
      <c r="L1246" t="str">
        <f t="shared" si="290"/>
        <v>佛山映月湖环宇城|销售额（万元）|年度</v>
      </c>
      <c r="M1246">
        <f>IF($A1246="",0,IF(COUNTIF($L$2:$L1246,$L1246)=1,1,0))</f>
        <v>1</v>
      </c>
      <c r="N1246">
        <f t="shared" si="291"/>
        <v>20220</v>
      </c>
      <c r="O1246" t="str">
        <f t="shared" si="292"/>
        <v>华夏中海消费封闭式基础设施证券投资基金|2022|年度</v>
      </c>
      <c r="P1246">
        <f>IF($A1246="",0,IF(COUNTIF($O$2:$O1246,$O1246)=1,1,0))</f>
        <v>0</v>
      </c>
      <c r="Q1246" t="str">
        <f>IF(AND($P1246=1,$A1246=经营数据!$B$3,$J1246=经营数据!$BA$5),COUNTIFS($P$2:$P$3000,1,$A$2:$A$3000,$A1246,$J$2:$J$3000,$J1246,$N$2:$N$3000,"&lt;"&amp;$N1246)+1,"")</f>
        <v/>
      </c>
      <c r="R1246" t="str">
        <f t="shared" si="293"/>
        <v>华夏中海消费封闭式基础设施证券投资基金|佛山映月湖环宇城</v>
      </c>
      <c r="S1246">
        <f>IF($A1246="",0,IF(COUNTIF($R$2:$R1246,$R1246)=1,1,0))</f>
        <v>0</v>
      </c>
      <c r="T1246">
        <f t="shared" si="294"/>
        <v>1244</v>
      </c>
      <c r="U1246" t="str">
        <f>IF($A1246="","",IF($A1246=经营数据!$B$3,COUNTIFS($S$2:$S$3000,1,$A$2:$A$3000,$A1246,$T$2:$T$3000,"&lt;"&amp;$T1246)+1,""))</f>
        <v/>
      </c>
      <c r="V1246" t="str">
        <f t="shared" si="295"/>
        <v>佛山映月湖环宇城|服务金额</v>
      </c>
      <c r="W1246">
        <f t="shared" si="296"/>
        <v>1244</v>
      </c>
      <c r="X1246" t="str">
        <f t="shared" si="297"/>
        <v>佛山映月湖环宇城|销售额</v>
      </c>
      <c r="Y1246">
        <f t="shared" si="298"/>
        <v>1245</v>
      </c>
      <c r="Z1246">
        <f>IF($A1246="",0,IF(AND($M1246=1,$A1246=经营数据!$B$3,$J1246=经营数据!$BA$5,OR($I1246=经营数据!$BA$4,COUNTIF(经营数据!$AA$9:$AA$38,$I1246)&gt;0)),1,0))</f>
        <v>0</v>
      </c>
      <c r="AA1246" t="str">
        <f t="shared" si="299"/>
        <v/>
      </c>
      <c r="AB1246" t="str">
        <f t="shared" si="300"/>
        <v/>
      </c>
      <c r="AC1246">
        <f>IF($A1246="",0,IF(COUNTIF($A$2:$A1246,$A1246)=1,1,0))</f>
        <v>0</v>
      </c>
      <c r="AD1246">
        <f t="shared" si="301"/>
        <v>12</v>
      </c>
      <c r="AE1246" t="str">
        <f t="shared" si="302"/>
        <v>佛山映月湖环宇城|销售额（万元）</v>
      </c>
    </row>
    <row r="1247" spans="1:31" x14ac:dyDescent="0.4">
      <c r="A1247" t="str">
        <f>IF(原始经营数据!$D1248="","",原始经营数据!$D1248)</f>
        <v>华夏中海消费封闭式基础设施证券投资基金</v>
      </c>
      <c r="B1247" t="str">
        <f>IF(原始经营数据!$D1248="","",T(原始经营数据!$E1248))</f>
        <v>佛山映月湖环宇城</v>
      </c>
      <c r="C1247" t="str">
        <f>IF(原始经营数据!$D1248="","",原始经营数据!$F1248)</f>
        <v>2022</v>
      </c>
      <c r="D1247" t="str">
        <f>IF(原始经营数据!$D1248="","",原始经营数据!$H1248)</f>
        <v>新能源汽车销售额</v>
      </c>
      <c r="E1247">
        <f>IF(原始经营数据!$D1248="","",原始经营数据!$I1248)</f>
        <v>34600.01</v>
      </c>
      <c r="F1247" t="str">
        <f>IF(原始经营数据!$D1248="","",T(原始经营数据!$J1248))</f>
        <v>万元</v>
      </c>
      <c r="G1247" t="str">
        <f>IF(原始经营数据!$D1248="","",T(原始经营数据!$K1248))</f>
        <v/>
      </c>
      <c r="H1247" t="str">
        <f>IF(原始经营数据!$D1248="","",原始经营数据!$G1248)</f>
        <v>服务金额</v>
      </c>
      <c r="I1247" t="str">
        <f>IF($A1247="","",IF($B1247&lt;&gt;"",$B1247,IF(COUNTIFS(原始经营数据!$D$3:$D$3001,$A1247,原始经营数据!$E$3:$E$3001,"",原始经营数据!$F$3:$F$3001,$C1247,原始经营数据!$H$3:$H$3001,$D1247,原始经营数据!$K$3:$K$3001,$G1247)&gt;1,"基金整体·来源"&amp;原始经营数据!$A1248,"基金整体")))</f>
        <v>佛山映月湖环宇城</v>
      </c>
      <c r="J1247" t="str">
        <f t="shared" si="288"/>
        <v>年度</v>
      </c>
      <c r="K1247" t="str">
        <f t="shared" si="289"/>
        <v>新能源汽车销售额（万元）</v>
      </c>
      <c r="L1247" t="str">
        <f t="shared" si="290"/>
        <v>佛山映月湖环宇城|新能源汽车销售额（万元）|年度</v>
      </c>
      <c r="M1247">
        <f>IF($A1247="",0,IF(COUNTIF($L$2:$L1247,$L1247)=1,1,0))</f>
        <v>1</v>
      </c>
      <c r="N1247">
        <f t="shared" si="291"/>
        <v>20220</v>
      </c>
      <c r="O1247" t="str">
        <f t="shared" si="292"/>
        <v>华夏中海消费封闭式基础设施证券投资基金|2022|年度</v>
      </c>
      <c r="P1247">
        <f>IF($A1247="",0,IF(COUNTIF($O$2:$O1247,$O1247)=1,1,0))</f>
        <v>0</v>
      </c>
      <c r="Q1247" t="str">
        <f>IF(AND($P1247=1,$A1247=经营数据!$B$3,$J1247=经营数据!$BA$5),COUNTIFS($P$2:$P$3000,1,$A$2:$A$3000,$A1247,$J$2:$J$3000,$J1247,$N$2:$N$3000,"&lt;"&amp;$N1247)+1,"")</f>
        <v/>
      </c>
      <c r="R1247" t="str">
        <f t="shared" si="293"/>
        <v>华夏中海消费封闭式基础设施证券投资基金|佛山映月湖环宇城</v>
      </c>
      <c r="S1247">
        <f>IF($A1247="",0,IF(COUNTIF($R$2:$R1247,$R1247)=1,1,0))</f>
        <v>0</v>
      </c>
      <c r="T1247">
        <f t="shared" si="294"/>
        <v>1244</v>
      </c>
      <c r="U1247" t="str">
        <f>IF($A1247="","",IF($A1247=经营数据!$B$3,COUNTIFS($S$2:$S$3000,1,$A$2:$A$3000,$A1247,$T$2:$T$3000,"&lt;"&amp;$T1247)+1,""))</f>
        <v/>
      </c>
      <c r="V1247" t="str">
        <f t="shared" si="295"/>
        <v>佛山映月湖环宇城|服务金额</v>
      </c>
      <c r="W1247">
        <f t="shared" si="296"/>
        <v>1244</v>
      </c>
      <c r="X1247" t="str">
        <f t="shared" si="297"/>
        <v>佛山映月湖环宇城|新能源汽车销售额</v>
      </c>
      <c r="Y1247">
        <f t="shared" si="298"/>
        <v>1246</v>
      </c>
      <c r="Z1247">
        <f>IF($A1247="",0,IF(AND($M1247=1,$A1247=经营数据!$B$3,$J1247=经营数据!$BA$5,OR($I1247=经营数据!$BA$4,COUNTIF(经营数据!$AA$9:$AA$38,$I1247)&gt;0)),1,0))</f>
        <v>0</v>
      </c>
      <c r="AA1247" t="str">
        <f t="shared" si="299"/>
        <v/>
      </c>
      <c r="AB1247" t="str">
        <f t="shared" si="300"/>
        <v/>
      </c>
      <c r="AC1247">
        <f>IF($A1247="",0,IF(COUNTIF($A$2:$A1247,$A1247)=1,1,0))</f>
        <v>0</v>
      </c>
      <c r="AD1247">
        <f t="shared" si="301"/>
        <v>12</v>
      </c>
      <c r="AE1247" t="str">
        <f t="shared" si="302"/>
        <v>佛山映月湖环宇城|新能源汽车销售额（万元）</v>
      </c>
    </row>
    <row r="1248" spans="1:31" x14ac:dyDescent="0.4">
      <c r="A1248" t="str">
        <f>IF(原始经营数据!$D1249="","",原始经营数据!$D1249)</f>
        <v>华夏中海消费封闭式基础设施证券投资基金</v>
      </c>
      <c r="B1248" t="str">
        <f>IF(原始经营数据!$D1249="","",T(原始经营数据!$E1249))</f>
        <v>佛山映月湖环宇城</v>
      </c>
      <c r="C1248" t="str">
        <f>IF(原始经营数据!$D1249="","",原始经营数据!$F1249)</f>
        <v>2022</v>
      </c>
      <c r="D1248" t="str">
        <f>IF(原始经营数据!$D1249="","",原始经营数据!$H1249)</f>
        <v>销售额（不含车）</v>
      </c>
      <c r="E1248">
        <f>IF(原始经营数据!$D1249="","",原始经营数据!$I1249)</f>
        <v>70333.05</v>
      </c>
      <c r="F1248" t="str">
        <f>IF(原始经营数据!$D1249="","",T(原始经营数据!$J1249))</f>
        <v>万元</v>
      </c>
      <c r="G1248" t="str">
        <f>IF(原始经营数据!$D1249="","",T(原始经营数据!$K1249))</f>
        <v/>
      </c>
      <c r="H1248" t="str">
        <f>IF(原始经营数据!$D1249="","",原始经营数据!$G1249)</f>
        <v>服务金额</v>
      </c>
      <c r="I1248" t="str">
        <f>IF($A1248="","",IF($B1248&lt;&gt;"",$B1248,IF(COUNTIFS(原始经营数据!$D$3:$D$3001,$A1248,原始经营数据!$E$3:$E$3001,"",原始经营数据!$F$3:$F$3001,$C1248,原始经营数据!$H$3:$H$3001,$D1248,原始经营数据!$K$3:$K$3001,$G1248)&gt;1,"基金整体·来源"&amp;原始经营数据!$A1249,"基金整体")))</f>
        <v>佛山映月湖环宇城</v>
      </c>
      <c r="J1248" t="str">
        <f t="shared" si="288"/>
        <v>年度</v>
      </c>
      <c r="K1248" t="str">
        <f t="shared" si="289"/>
        <v>销售额（不含车）（万元）</v>
      </c>
      <c r="L1248" t="str">
        <f t="shared" si="290"/>
        <v>佛山映月湖环宇城|销售额（不含车）（万元）|年度</v>
      </c>
      <c r="M1248">
        <f>IF($A1248="",0,IF(COUNTIF($L$2:$L1248,$L1248)=1,1,0))</f>
        <v>1</v>
      </c>
      <c r="N1248">
        <f t="shared" si="291"/>
        <v>20220</v>
      </c>
      <c r="O1248" t="str">
        <f t="shared" si="292"/>
        <v>华夏中海消费封闭式基础设施证券投资基金|2022|年度</v>
      </c>
      <c r="P1248">
        <f>IF($A1248="",0,IF(COUNTIF($O$2:$O1248,$O1248)=1,1,0))</f>
        <v>0</v>
      </c>
      <c r="Q1248" t="str">
        <f>IF(AND($P1248=1,$A1248=经营数据!$B$3,$J1248=经营数据!$BA$5),COUNTIFS($P$2:$P$3000,1,$A$2:$A$3000,$A1248,$J$2:$J$3000,$J1248,$N$2:$N$3000,"&lt;"&amp;$N1248)+1,"")</f>
        <v/>
      </c>
      <c r="R1248" t="str">
        <f t="shared" si="293"/>
        <v>华夏中海消费封闭式基础设施证券投资基金|佛山映月湖环宇城</v>
      </c>
      <c r="S1248">
        <f>IF($A1248="",0,IF(COUNTIF($R$2:$R1248,$R1248)=1,1,0))</f>
        <v>0</v>
      </c>
      <c r="T1248">
        <f t="shared" si="294"/>
        <v>1244</v>
      </c>
      <c r="U1248" t="str">
        <f>IF($A1248="","",IF($A1248=经营数据!$B$3,COUNTIFS($S$2:$S$3000,1,$A$2:$A$3000,$A1248,$T$2:$T$3000,"&lt;"&amp;$T1248)+1,""))</f>
        <v/>
      </c>
      <c r="V1248" t="str">
        <f t="shared" si="295"/>
        <v>佛山映月湖环宇城|服务金额</v>
      </c>
      <c r="W1248">
        <f t="shared" si="296"/>
        <v>1244</v>
      </c>
      <c r="X1248" t="str">
        <f t="shared" si="297"/>
        <v>佛山映月湖环宇城|销售额（不含车）</v>
      </c>
      <c r="Y1248">
        <f t="shared" si="298"/>
        <v>1247</v>
      </c>
      <c r="Z1248">
        <f>IF($A1248="",0,IF(AND($M1248=1,$A1248=经营数据!$B$3,$J1248=经营数据!$BA$5,OR($I1248=经营数据!$BA$4,COUNTIF(经营数据!$AA$9:$AA$38,$I1248)&gt;0)),1,0))</f>
        <v>0</v>
      </c>
      <c r="AA1248" t="str">
        <f t="shared" si="299"/>
        <v/>
      </c>
      <c r="AB1248" t="str">
        <f t="shared" si="300"/>
        <v/>
      </c>
      <c r="AC1248">
        <f>IF($A1248="",0,IF(COUNTIF($A$2:$A1248,$A1248)=1,1,0))</f>
        <v>0</v>
      </c>
      <c r="AD1248">
        <f t="shared" si="301"/>
        <v>12</v>
      </c>
      <c r="AE1248" t="str">
        <f t="shared" si="302"/>
        <v>佛山映月湖环宇城|销售额（不含车）（万元）</v>
      </c>
    </row>
    <row r="1249" spans="1:31" x14ac:dyDescent="0.4">
      <c r="A1249" t="str">
        <f>IF(原始经营数据!$D1250="","",原始经营数据!$D1250)</f>
        <v>华夏中海消费封闭式基础设施证券投资基金</v>
      </c>
      <c r="B1249" t="str">
        <f>IF(原始经营数据!$D1250="","",T(原始经营数据!$E1250))</f>
        <v>佛山映月湖环宇城</v>
      </c>
      <c r="C1249" t="str">
        <f>IF(原始经营数据!$D1250="","",原始经营数据!$F1250)</f>
        <v>2022</v>
      </c>
      <c r="D1249" t="str">
        <f>IF(原始经营数据!$D1250="","",原始经营数据!$H1250)</f>
        <v>租户数量</v>
      </c>
      <c r="E1249">
        <f>IF(原始经营数据!$D1250="","",原始经营数据!$I1250)</f>
        <v>12</v>
      </c>
      <c r="F1249" t="str">
        <f>IF(原始经营数据!$D1250="","",T(原始经营数据!$J1250))</f>
        <v/>
      </c>
      <c r="G1249" t="str">
        <f>IF(原始经营数据!$D1250="","",T(原始经营数据!$K1250))</f>
        <v>主力店及次主力店</v>
      </c>
      <c r="H1249" t="str">
        <f>IF(原始经营数据!$D1250="","",原始经营数据!$G1250)</f>
        <v>服务量</v>
      </c>
      <c r="I1249" t="str">
        <f>IF($A1249="","",IF($B1249&lt;&gt;"",$B1249,IF(COUNTIFS(原始经营数据!$D$3:$D$3001,$A1249,原始经营数据!$E$3:$E$3001,"",原始经营数据!$F$3:$F$3001,$C1249,原始经营数据!$H$3:$H$3001,$D1249,原始经营数据!$K$3:$K$3001,$G1249)&gt;1,"基金整体·来源"&amp;原始经营数据!$A1250,"基金整体")))</f>
        <v>佛山映月湖环宇城</v>
      </c>
      <c r="J1249" t="str">
        <f t="shared" si="288"/>
        <v>年度</v>
      </c>
      <c r="K1249" t="str">
        <f t="shared" si="289"/>
        <v>租户数量-主力店及次主力店</v>
      </c>
      <c r="L1249" t="str">
        <f t="shared" si="290"/>
        <v>佛山映月湖环宇城|租户数量-主力店及次主力店|年度</v>
      </c>
      <c r="M1249">
        <f>IF($A1249="",0,IF(COUNTIF($L$2:$L1249,$L1249)=1,1,0))</f>
        <v>1</v>
      </c>
      <c r="N1249">
        <f t="shared" si="291"/>
        <v>20220</v>
      </c>
      <c r="O1249" t="str">
        <f t="shared" si="292"/>
        <v>华夏中海消费封闭式基础设施证券投资基金|2022|年度</v>
      </c>
      <c r="P1249">
        <f>IF($A1249="",0,IF(COUNTIF($O$2:$O1249,$O1249)=1,1,0))</f>
        <v>0</v>
      </c>
      <c r="Q1249" t="str">
        <f>IF(AND($P1249=1,$A1249=经营数据!$B$3,$J1249=经营数据!$BA$5),COUNTIFS($P$2:$P$3000,1,$A$2:$A$3000,$A1249,$J$2:$J$3000,$J1249,$N$2:$N$3000,"&lt;"&amp;$N1249)+1,"")</f>
        <v/>
      </c>
      <c r="R1249" t="str">
        <f t="shared" si="293"/>
        <v>华夏中海消费封闭式基础设施证券投资基金|佛山映月湖环宇城</v>
      </c>
      <c r="S1249">
        <f>IF($A1249="",0,IF(COUNTIF($R$2:$R1249,$R1249)=1,1,0))</f>
        <v>0</v>
      </c>
      <c r="T1249">
        <f t="shared" si="294"/>
        <v>1244</v>
      </c>
      <c r="U1249" t="str">
        <f>IF($A1249="","",IF($A1249=经营数据!$B$3,COUNTIFS($S$2:$S$3000,1,$A$2:$A$3000,$A1249,$T$2:$T$3000,"&lt;"&amp;$T1249)+1,""))</f>
        <v/>
      </c>
      <c r="V1249" t="str">
        <f t="shared" si="295"/>
        <v>佛山映月湖环宇城|服务量</v>
      </c>
      <c r="W1249">
        <f t="shared" si="296"/>
        <v>1248</v>
      </c>
      <c r="X1249" t="str">
        <f t="shared" si="297"/>
        <v>佛山映月湖环宇城|租户数量</v>
      </c>
      <c r="Y1249">
        <f t="shared" si="298"/>
        <v>1248</v>
      </c>
      <c r="Z1249">
        <f>IF($A1249="",0,IF(AND($M1249=1,$A1249=经营数据!$B$3,$J1249=经营数据!$BA$5,OR($I1249=经营数据!$BA$4,COUNTIF(经营数据!$AA$9:$AA$38,$I1249)&gt;0)),1,0))</f>
        <v>0</v>
      </c>
      <c r="AA1249" t="str">
        <f t="shared" si="299"/>
        <v/>
      </c>
      <c r="AB1249" t="str">
        <f t="shared" si="300"/>
        <v/>
      </c>
      <c r="AC1249">
        <f>IF($A1249="",0,IF(COUNTIF($A$2:$A1249,$A1249)=1,1,0))</f>
        <v>0</v>
      </c>
      <c r="AD1249">
        <f t="shared" si="301"/>
        <v>12</v>
      </c>
      <c r="AE1249" t="str">
        <f t="shared" si="302"/>
        <v>佛山映月湖环宇城|租户数量-主力店及次主力店</v>
      </c>
    </row>
    <row r="1250" spans="1:31" x14ac:dyDescent="0.4">
      <c r="A1250" t="str">
        <f>IF(原始经营数据!$D1251="","",原始经营数据!$D1251)</f>
        <v>华夏中海消费封闭式基础设施证券投资基金</v>
      </c>
      <c r="B1250" t="str">
        <f>IF(原始经营数据!$D1251="","",T(原始经营数据!$E1251))</f>
        <v>佛山映月湖环宇城</v>
      </c>
      <c r="C1250" t="str">
        <f>IF(原始经营数据!$D1251="","",原始经营数据!$F1251)</f>
        <v>2022</v>
      </c>
      <c r="D1250" t="str">
        <f>IF(原始经营数据!$D1251="","",原始经营数据!$H1251)</f>
        <v>租户数量</v>
      </c>
      <c r="E1250">
        <f>IF(原始经营数据!$D1251="","",原始经营数据!$I1251)</f>
        <v>197</v>
      </c>
      <c r="F1250" t="str">
        <f>IF(原始经营数据!$D1251="","",T(原始经营数据!$J1251))</f>
        <v/>
      </c>
      <c r="G1250" t="str">
        <f>IF(原始经营数据!$D1251="","",T(原始经营数据!$K1251))</f>
        <v>专门店</v>
      </c>
      <c r="H1250" t="str">
        <f>IF(原始经营数据!$D1251="","",原始经营数据!$G1251)</f>
        <v>服务量</v>
      </c>
      <c r="I1250" t="str">
        <f>IF($A1250="","",IF($B1250&lt;&gt;"",$B1250,IF(COUNTIFS(原始经营数据!$D$3:$D$3001,$A1250,原始经营数据!$E$3:$E$3001,"",原始经营数据!$F$3:$F$3001,$C1250,原始经营数据!$H$3:$H$3001,$D1250,原始经营数据!$K$3:$K$3001,$G1250)&gt;1,"基金整体·来源"&amp;原始经营数据!$A1251,"基金整体")))</f>
        <v>佛山映月湖环宇城</v>
      </c>
      <c r="J1250" t="str">
        <f t="shared" si="288"/>
        <v>年度</v>
      </c>
      <c r="K1250" t="str">
        <f t="shared" si="289"/>
        <v>租户数量-专门店</v>
      </c>
      <c r="L1250" t="str">
        <f t="shared" si="290"/>
        <v>佛山映月湖环宇城|租户数量-专门店|年度</v>
      </c>
      <c r="M1250">
        <f>IF($A1250="",0,IF(COUNTIF($L$2:$L1250,$L1250)=1,1,0))</f>
        <v>1</v>
      </c>
      <c r="N1250">
        <f t="shared" si="291"/>
        <v>20220</v>
      </c>
      <c r="O1250" t="str">
        <f t="shared" si="292"/>
        <v>华夏中海消费封闭式基础设施证券投资基金|2022|年度</v>
      </c>
      <c r="P1250">
        <f>IF($A1250="",0,IF(COUNTIF($O$2:$O1250,$O1250)=1,1,0))</f>
        <v>0</v>
      </c>
      <c r="Q1250" t="str">
        <f>IF(AND($P1250=1,$A1250=经营数据!$B$3,$J1250=经营数据!$BA$5),COUNTIFS($P$2:$P$3000,1,$A$2:$A$3000,$A1250,$J$2:$J$3000,$J1250,$N$2:$N$3000,"&lt;"&amp;$N1250)+1,"")</f>
        <v/>
      </c>
      <c r="R1250" t="str">
        <f t="shared" si="293"/>
        <v>华夏中海消费封闭式基础设施证券投资基金|佛山映月湖环宇城</v>
      </c>
      <c r="S1250">
        <f>IF($A1250="",0,IF(COUNTIF($R$2:$R1250,$R1250)=1,1,0))</f>
        <v>0</v>
      </c>
      <c r="T1250">
        <f t="shared" si="294"/>
        <v>1244</v>
      </c>
      <c r="U1250" t="str">
        <f>IF($A1250="","",IF($A1250=经营数据!$B$3,COUNTIFS($S$2:$S$3000,1,$A$2:$A$3000,$A1250,$T$2:$T$3000,"&lt;"&amp;$T1250)+1,""))</f>
        <v/>
      </c>
      <c r="V1250" t="str">
        <f t="shared" si="295"/>
        <v>佛山映月湖环宇城|服务量</v>
      </c>
      <c r="W1250">
        <f t="shared" si="296"/>
        <v>1248</v>
      </c>
      <c r="X1250" t="str">
        <f t="shared" si="297"/>
        <v>佛山映月湖环宇城|租户数量</v>
      </c>
      <c r="Y1250">
        <f t="shared" si="298"/>
        <v>1248</v>
      </c>
      <c r="Z1250">
        <f>IF($A1250="",0,IF(AND($M1250=1,$A1250=经营数据!$B$3,$J1250=经营数据!$BA$5,OR($I1250=经营数据!$BA$4,COUNTIF(经营数据!$AA$9:$AA$38,$I1250)&gt;0)),1,0))</f>
        <v>0</v>
      </c>
      <c r="AA1250" t="str">
        <f t="shared" si="299"/>
        <v/>
      </c>
      <c r="AB1250" t="str">
        <f t="shared" si="300"/>
        <v/>
      </c>
      <c r="AC1250">
        <f>IF($A1250="",0,IF(COUNTIF($A$2:$A1250,$A1250)=1,1,0))</f>
        <v>0</v>
      </c>
      <c r="AD1250">
        <f t="shared" si="301"/>
        <v>12</v>
      </c>
      <c r="AE1250" t="str">
        <f t="shared" si="302"/>
        <v>佛山映月湖环宇城|租户数量-专门店</v>
      </c>
    </row>
    <row r="1251" spans="1:31" x14ac:dyDescent="0.4">
      <c r="A1251" t="str">
        <f>IF(原始经营数据!$D1252="","",原始经营数据!$D1252)</f>
        <v>华夏中海消费封闭式基础设施证券投资基金</v>
      </c>
      <c r="B1251" t="str">
        <f>IF(原始经营数据!$D1252="","",T(原始经营数据!$E1252))</f>
        <v>佛山映月湖环宇城</v>
      </c>
      <c r="C1251" t="str">
        <f>IF(原始经营数据!$D1252="","",原始经营数据!$F1252)</f>
        <v>2022</v>
      </c>
      <c r="D1251" t="str">
        <f>IF(原始经营数据!$D1252="","",原始经营数据!$H1252)</f>
        <v>月销售坪效</v>
      </c>
      <c r="E1251">
        <f>IF(原始经营数据!$D1252="","",原始经营数据!$I1252)</f>
        <v>915.28</v>
      </c>
      <c r="F1251" t="str">
        <f>IF(原始经营数据!$D1252="","",T(原始经营数据!$J1252))</f>
        <v>元/平方米</v>
      </c>
      <c r="G1251" t="str">
        <f>IF(原始经营数据!$D1252="","",T(原始经营数据!$K1252))</f>
        <v/>
      </c>
      <c r="H1251" t="str">
        <f>IF(原始经营数据!$D1252="","",原始经营数据!$G1252)</f>
        <v>服务价格</v>
      </c>
      <c r="I1251" t="str">
        <f>IF($A1251="","",IF($B1251&lt;&gt;"",$B1251,IF(COUNTIFS(原始经营数据!$D$3:$D$3001,$A1251,原始经营数据!$E$3:$E$3001,"",原始经营数据!$F$3:$F$3001,$C1251,原始经营数据!$H$3:$H$3001,$D1251,原始经营数据!$K$3:$K$3001,$G1251)&gt;1,"基金整体·来源"&amp;原始经营数据!$A1252,"基金整体")))</f>
        <v>佛山映月湖环宇城</v>
      </c>
      <c r="J1251" t="str">
        <f t="shared" si="288"/>
        <v>年度</v>
      </c>
      <c r="K1251" t="str">
        <f t="shared" si="289"/>
        <v>月销售坪效（元/平方米）</v>
      </c>
      <c r="L1251" t="str">
        <f t="shared" si="290"/>
        <v>佛山映月湖环宇城|月销售坪效（元/平方米）|年度</v>
      </c>
      <c r="M1251">
        <f>IF($A1251="",0,IF(COUNTIF($L$2:$L1251,$L1251)=1,1,0))</f>
        <v>1</v>
      </c>
      <c r="N1251">
        <f t="shared" si="291"/>
        <v>20220</v>
      </c>
      <c r="O1251" t="str">
        <f t="shared" si="292"/>
        <v>华夏中海消费封闭式基础设施证券投资基金|2022|年度</v>
      </c>
      <c r="P1251">
        <f>IF($A1251="",0,IF(COUNTIF($O$2:$O1251,$O1251)=1,1,0))</f>
        <v>0</v>
      </c>
      <c r="Q1251" t="str">
        <f>IF(AND($P1251=1,$A1251=经营数据!$B$3,$J1251=经营数据!$BA$5),COUNTIFS($P$2:$P$3000,1,$A$2:$A$3000,$A1251,$J$2:$J$3000,$J1251,$N$2:$N$3000,"&lt;"&amp;$N1251)+1,"")</f>
        <v/>
      </c>
      <c r="R1251" t="str">
        <f t="shared" si="293"/>
        <v>华夏中海消费封闭式基础设施证券投资基金|佛山映月湖环宇城</v>
      </c>
      <c r="S1251">
        <f>IF($A1251="",0,IF(COUNTIF($R$2:$R1251,$R1251)=1,1,0))</f>
        <v>0</v>
      </c>
      <c r="T1251">
        <f t="shared" si="294"/>
        <v>1244</v>
      </c>
      <c r="U1251" t="str">
        <f>IF($A1251="","",IF($A1251=经营数据!$B$3,COUNTIFS($S$2:$S$3000,1,$A$2:$A$3000,$A1251,$T$2:$T$3000,"&lt;"&amp;$T1251)+1,""))</f>
        <v/>
      </c>
      <c r="V1251" t="str">
        <f t="shared" si="295"/>
        <v>佛山映月湖环宇城|服务价格</v>
      </c>
      <c r="W1251">
        <f t="shared" si="296"/>
        <v>1250</v>
      </c>
      <c r="X1251" t="str">
        <f t="shared" si="297"/>
        <v>佛山映月湖环宇城|月销售坪效</v>
      </c>
      <c r="Y1251">
        <f t="shared" si="298"/>
        <v>1250</v>
      </c>
      <c r="Z1251">
        <f>IF($A1251="",0,IF(AND($M1251=1,$A1251=经营数据!$B$3,$J1251=经营数据!$BA$5,OR($I1251=经营数据!$BA$4,COUNTIF(经营数据!$AA$9:$AA$38,$I1251)&gt;0)),1,0))</f>
        <v>0</v>
      </c>
      <c r="AA1251" t="str">
        <f t="shared" si="299"/>
        <v/>
      </c>
      <c r="AB1251" t="str">
        <f t="shared" si="300"/>
        <v/>
      </c>
      <c r="AC1251">
        <f>IF($A1251="",0,IF(COUNTIF($A$2:$A1251,$A1251)=1,1,0))</f>
        <v>0</v>
      </c>
      <c r="AD1251">
        <f t="shared" si="301"/>
        <v>12</v>
      </c>
      <c r="AE1251" t="str">
        <f t="shared" si="302"/>
        <v>佛山映月湖环宇城|月销售坪效（元/平方米）</v>
      </c>
    </row>
    <row r="1252" spans="1:31" x14ac:dyDescent="0.4">
      <c r="A1252" t="str">
        <f>IF(原始经营数据!$D1253="","",原始经营数据!$D1253)</f>
        <v>华夏中海消费封闭式基础设施证券投资基金</v>
      </c>
      <c r="B1252" t="str">
        <f>IF(原始经营数据!$D1253="","",T(原始经营数据!$E1253))</f>
        <v>佛山映月湖环宇城</v>
      </c>
      <c r="C1252" t="str">
        <f>IF(原始经营数据!$D1253="","",原始经营数据!$F1253)</f>
        <v>2022</v>
      </c>
      <c r="D1252" t="str">
        <f>IF(原始经营数据!$D1253="","",原始经营数据!$H1253)</f>
        <v>主力店平均租金单价（含物管费）</v>
      </c>
      <c r="E1252">
        <f>IF(原始经营数据!$D1253="","",原始经营数据!$I1253)</f>
        <v>58.91</v>
      </c>
      <c r="F1252" t="str">
        <f>IF(原始经营数据!$D1253="","",T(原始经营数据!$J1253))</f>
        <v>元/平方米/月</v>
      </c>
      <c r="G1252" t="str">
        <f>IF(原始经营数据!$D1253="","",T(原始经营数据!$K1253))</f>
        <v/>
      </c>
      <c r="H1252" t="str">
        <f>IF(原始经营数据!$D1253="","",原始经营数据!$G1253)</f>
        <v>服务价格</v>
      </c>
      <c r="I1252" t="str">
        <f>IF($A1252="","",IF($B1252&lt;&gt;"",$B1252,IF(COUNTIFS(原始经营数据!$D$3:$D$3001,$A1252,原始经营数据!$E$3:$E$3001,"",原始经营数据!$F$3:$F$3001,$C1252,原始经营数据!$H$3:$H$3001,$D1252,原始经营数据!$K$3:$K$3001,$G1252)&gt;1,"基金整体·来源"&amp;原始经营数据!$A1253,"基金整体")))</f>
        <v>佛山映月湖环宇城</v>
      </c>
      <c r="J1252" t="str">
        <f t="shared" si="288"/>
        <v>年度</v>
      </c>
      <c r="K1252" t="str">
        <f t="shared" si="289"/>
        <v>主力店平均租金单价（含物管费）（元/平方米/月）</v>
      </c>
      <c r="L1252" t="str">
        <f t="shared" si="290"/>
        <v>佛山映月湖环宇城|主力店平均租金单价（含物管费）（元/平方米/月）|年度</v>
      </c>
      <c r="M1252">
        <f>IF($A1252="",0,IF(COUNTIF($L$2:$L1252,$L1252)=1,1,0))</f>
        <v>1</v>
      </c>
      <c r="N1252">
        <f t="shared" si="291"/>
        <v>20220</v>
      </c>
      <c r="O1252" t="str">
        <f t="shared" si="292"/>
        <v>华夏中海消费封闭式基础设施证券投资基金|2022|年度</v>
      </c>
      <c r="P1252">
        <f>IF($A1252="",0,IF(COUNTIF($O$2:$O1252,$O1252)=1,1,0))</f>
        <v>0</v>
      </c>
      <c r="Q1252" t="str">
        <f>IF(AND($P1252=1,$A1252=经营数据!$B$3,$J1252=经营数据!$BA$5),COUNTIFS($P$2:$P$3000,1,$A$2:$A$3000,$A1252,$J$2:$J$3000,$J1252,$N$2:$N$3000,"&lt;"&amp;$N1252)+1,"")</f>
        <v/>
      </c>
      <c r="R1252" t="str">
        <f t="shared" si="293"/>
        <v>华夏中海消费封闭式基础设施证券投资基金|佛山映月湖环宇城</v>
      </c>
      <c r="S1252">
        <f>IF($A1252="",0,IF(COUNTIF($R$2:$R1252,$R1252)=1,1,0))</f>
        <v>0</v>
      </c>
      <c r="T1252">
        <f t="shared" si="294"/>
        <v>1244</v>
      </c>
      <c r="U1252" t="str">
        <f>IF($A1252="","",IF($A1252=经营数据!$B$3,COUNTIFS($S$2:$S$3000,1,$A$2:$A$3000,$A1252,$T$2:$T$3000,"&lt;"&amp;$T1252)+1,""))</f>
        <v/>
      </c>
      <c r="V1252" t="str">
        <f t="shared" si="295"/>
        <v>佛山映月湖环宇城|服务价格</v>
      </c>
      <c r="W1252">
        <f t="shared" si="296"/>
        <v>1250</v>
      </c>
      <c r="X1252" t="str">
        <f t="shared" si="297"/>
        <v>佛山映月湖环宇城|主力店平均租金单价（含物管费）</v>
      </c>
      <c r="Y1252">
        <f t="shared" si="298"/>
        <v>1251</v>
      </c>
      <c r="Z1252">
        <f>IF($A1252="",0,IF(AND($M1252=1,$A1252=经营数据!$B$3,$J1252=经营数据!$BA$5,OR($I1252=经营数据!$BA$4,COUNTIF(经营数据!$AA$9:$AA$38,$I1252)&gt;0)),1,0))</f>
        <v>0</v>
      </c>
      <c r="AA1252" t="str">
        <f t="shared" si="299"/>
        <v/>
      </c>
      <c r="AB1252" t="str">
        <f t="shared" si="300"/>
        <v/>
      </c>
      <c r="AC1252">
        <f>IF($A1252="",0,IF(COUNTIF($A$2:$A1252,$A1252)=1,1,0))</f>
        <v>0</v>
      </c>
      <c r="AD1252">
        <f t="shared" si="301"/>
        <v>12</v>
      </c>
      <c r="AE1252" t="str">
        <f t="shared" si="302"/>
        <v>佛山映月湖环宇城|主力店平均租金单价（含物管费）（元/平方米/月）</v>
      </c>
    </row>
    <row r="1253" spans="1:31" x14ac:dyDescent="0.4">
      <c r="A1253" t="str">
        <f>IF(原始经营数据!$D1254="","",原始经营数据!$D1254)</f>
        <v>华夏中海消费封闭式基础设施证券投资基金</v>
      </c>
      <c r="B1253" t="str">
        <f>IF(原始经营数据!$D1254="","",T(原始经营数据!$E1254))</f>
        <v>佛山映月湖环宇城</v>
      </c>
      <c r="C1253" t="str">
        <f>IF(原始经营数据!$D1254="","",原始经营数据!$F1254)</f>
        <v>2022</v>
      </c>
      <c r="D1253" t="str">
        <f>IF(原始经营数据!$D1254="","",原始经营数据!$H1254)</f>
        <v>专门店平均租金单价（含物管费）</v>
      </c>
      <c r="E1253">
        <f>IF(原始经营数据!$D1254="","",原始经营数据!$I1254)</f>
        <v>169.24</v>
      </c>
      <c r="F1253" t="str">
        <f>IF(原始经营数据!$D1254="","",T(原始经营数据!$J1254))</f>
        <v>元/平方米/月</v>
      </c>
      <c r="G1253" t="str">
        <f>IF(原始经营数据!$D1254="","",T(原始经营数据!$K1254))</f>
        <v/>
      </c>
      <c r="H1253" t="str">
        <f>IF(原始经营数据!$D1254="","",原始经营数据!$G1254)</f>
        <v>服务价格</v>
      </c>
      <c r="I1253" t="str">
        <f>IF($A1253="","",IF($B1253&lt;&gt;"",$B1253,IF(COUNTIFS(原始经营数据!$D$3:$D$3001,$A1253,原始经营数据!$E$3:$E$3001,"",原始经营数据!$F$3:$F$3001,$C1253,原始经营数据!$H$3:$H$3001,$D1253,原始经营数据!$K$3:$K$3001,$G1253)&gt;1,"基金整体·来源"&amp;原始经营数据!$A1254,"基金整体")))</f>
        <v>佛山映月湖环宇城</v>
      </c>
      <c r="J1253" t="str">
        <f t="shared" si="288"/>
        <v>年度</v>
      </c>
      <c r="K1253" t="str">
        <f t="shared" si="289"/>
        <v>专门店平均租金单价（含物管费）（元/平方米/月）</v>
      </c>
      <c r="L1253" t="str">
        <f t="shared" si="290"/>
        <v>佛山映月湖环宇城|专门店平均租金单价（含物管费）（元/平方米/月）|年度</v>
      </c>
      <c r="M1253">
        <f>IF($A1253="",0,IF(COUNTIF($L$2:$L1253,$L1253)=1,1,0))</f>
        <v>1</v>
      </c>
      <c r="N1253">
        <f t="shared" si="291"/>
        <v>20220</v>
      </c>
      <c r="O1253" t="str">
        <f t="shared" si="292"/>
        <v>华夏中海消费封闭式基础设施证券投资基金|2022|年度</v>
      </c>
      <c r="P1253">
        <f>IF($A1253="",0,IF(COUNTIF($O$2:$O1253,$O1253)=1,1,0))</f>
        <v>0</v>
      </c>
      <c r="Q1253" t="str">
        <f>IF(AND($P1253=1,$A1253=经营数据!$B$3,$J1253=经营数据!$BA$5),COUNTIFS($P$2:$P$3000,1,$A$2:$A$3000,$A1253,$J$2:$J$3000,$J1253,$N$2:$N$3000,"&lt;"&amp;$N1253)+1,"")</f>
        <v/>
      </c>
      <c r="R1253" t="str">
        <f t="shared" si="293"/>
        <v>华夏中海消费封闭式基础设施证券投资基金|佛山映月湖环宇城</v>
      </c>
      <c r="S1253">
        <f>IF($A1253="",0,IF(COUNTIF($R$2:$R1253,$R1253)=1,1,0))</f>
        <v>0</v>
      </c>
      <c r="T1253">
        <f t="shared" si="294"/>
        <v>1244</v>
      </c>
      <c r="U1253" t="str">
        <f>IF($A1253="","",IF($A1253=经营数据!$B$3,COUNTIFS($S$2:$S$3000,1,$A$2:$A$3000,$A1253,$T$2:$T$3000,"&lt;"&amp;$T1253)+1,""))</f>
        <v/>
      </c>
      <c r="V1253" t="str">
        <f t="shared" si="295"/>
        <v>佛山映月湖环宇城|服务价格</v>
      </c>
      <c r="W1253">
        <f t="shared" si="296"/>
        <v>1250</v>
      </c>
      <c r="X1253" t="str">
        <f t="shared" si="297"/>
        <v>佛山映月湖环宇城|专门店平均租金单价（含物管费）</v>
      </c>
      <c r="Y1253">
        <f t="shared" si="298"/>
        <v>1252</v>
      </c>
      <c r="Z1253">
        <f>IF($A1253="",0,IF(AND($M1253=1,$A1253=经营数据!$B$3,$J1253=经营数据!$BA$5,OR($I1253=经营数据!$BA$4,COUNTIF(经营数据!$AA$9:$AA$38,$I1253)&gt;0)),1,0))</f>
        <v>0</v>
      </c>
      <c r="AA1253" t="str">
        <f t="shared" si="299"/>
        <v/>
      </c>
      <c r="AB1253" t="str">
        <f t="shared" si="300"/>
        <v/>
      </c>
      <c r="AC1253">
        <f>IF($A1253="",0,IF(COUNTIF($A$2:$A1253,$A1253)=1,1,0))</f>
        <v>0</v>
      </c>
      <c r="AD1253">
        <f t="shared" si="301"/>
        <v>12</v>
      </c>
      <c r="AE1253" t="str">
        <f t="shared" si="302"/>
        <v>佛山映月湖环宇城|专门店平均租金单价（含物管费）（元/平方米/月）</v>
      </c>
    </row>
    <row r="1254" spans="1:31" x14ac:dyDescent="0.4">
      <c r="A1254" t="str">
        <f>IF(原始经营数据!$D1255="","",原始经营数据!$D1255)</f>
        <v>华夏中海消费封闭式基础设施证券投资基金</v>
      </c>
      <c r="B1254" t="str">
        <f>IF(原始经营数据!$D1255="","",T(原始经营数据!$E1255))</f>
        <v>佛山映月湖环宇城</v>
      </c>
      <c r="C1254" t="str">
        <f>IF(原始经营数据!$D1255="","",原始经营数据!$F1255)</f>
        <v>2022</v>
      </c>
      <c r="D1254" t="str">
        <f>IF(原始经营数据!$D1255="","",原始经营数据!$H1255)</f>
        <v>租售比</v>
      </c>
      <c r="E1254">
        <f>IF(原始经营数据!$D1255="","",原始经营数据!$I1255)</f>
        <v>13.67</v>
      </c>
      <c r="F1254" t="str">
        <f>IF(原始经营数据!$D1255="","",T(原始经营数据!$J1255))</f>
        <v>%</v>
      </c>
      <c r="G1254" t="str">
        <f>IF(原始经营数据!$D1255="","",T(原始经营数据!$K1255))</f>
        <v/>
      </c>
      <c r="H1254" t="str">
        <f>IF(原始经营数据!$D1255="","",原始经营数据!$G1255)</f>
        <v>服务效率</v>
      </c>
      <c r="I1254" t="str">
        <f>IF($A1254="","",IF($B1254&lt;&gt;"",$B1254,IF(COUNTIFS(原始经营数据!$D$3:$D$3001,$A1254,原始经营数据!$E$3:$E$3001,"",原始经营数据!$F$3:$F$3001,$C1254,原始经营数据!$H$3:$H$3001,$D1254,原始经营数据!$K$3:$K$3001,$G1254)&gt;1,"基金整体·来源"&amp;原始经营数据!$A1255,"基金整体")))</f>
        <v>佛山映月湖环宇城</v>
      </c>
      <c r="J1254" t="str">
        <f t="shared" si="288"/>
        <v>年度</v>
      </c>
      <c r="K1254" t="str">
        <f t="shared" si="289"/>
        <v>租售比（%）</v>
      </c>
      <c r="L1254" t="str">
        <f t="shared" si="290"/>
        <v>佛山映月湖环宇城|租售比（%）|年度</v>
      </c>
      <c r="M1254">
        <f>IF($A1254="",0,IF(COUNTIF($L$2:$L1254,$L1254)=1,1,0))</f>
        <v>1</v>
      </c>
      <c r="N1254">
        <f t="shared" si="291"/>
        <v>20220</v>
      </c>
      <c r="O1254" t="str">
        <f t="shared" si="292"/>
        <v>华夏中海消费封闭式基础设施证券投资基金|2022|年度</v>
      </c>
      <c r="P1254">
        <f>IF($A1254="",0,IF(COUNTIF($O$2:$O1254,$O1254)=1,1,0))</f>
        <v>0</v>
      </c>
      <c r="Q1254" t="str">
        <f>IF(AND($P1254=1,$A1254=经营数据!$B$3,$J1254=经营数据!$BA$5),COUNTIFS($P$2:$P$3000,1,$A$2:$A$3000,$A1254,$J$2:$J$3000,$J1254,$N$2:$N$3000,"&lt;"&amp;$N1254)+1,"")</f>
        <v/>
      </c>
      <c r="R1254" t="str">
        <f t="shared" si="293"/>
        <v>华夏中海消费封闭式基础设施证券投资基金|佛山映月湖环宇城</v>
      </c>
      <c r="S1254">
        <f>IF($A1254="",0,IF(COUNTIF($R$2:$R1254,$R1254)=1,1,0))</f>
        <v>0</v>
      </c>
      <c r="T1254">
        <f t="shared" si="294"/>
        <v>1244</v>
      </c>
      <c r="U1254" t="str">
        <f>IF($A1254="","",IF($A1254=经营数据!$B$3,COUNTIFS($S$2:$S$3000,1,$A$2:$A$3000,$A1254,$T$2:$T$3000,"&lt;"&amp;$T1254)+1,""))</f>
        <v/>
      </c>
      <c r="V1254" t="str">
        <f t="shared" si="295"/>
        <v>佛山映月湖环宇城|服务效率</v>
      </c>
      <c r="W1254">
        <f t="shared" si="296"/>
        <v>1253</v>
      </c>
      <c r="X1254" t="str">
        <f t="shared" si="297"/>
        <v>佛山映月湖环宇城|租售比</v>
      </c>
      <c r="Y1254">
        <f t="shared" si="298"/>
        <v>1253</v>
      </c>
      <c r="Z1254">
        <f>IF($A1254="",0,IF(AND($M1254=1,$A1254=经营数据!$B$3,$J1254=经营数据!$BA$5,OR($I1254=经营数据!$BA$4,COUNTIF(经营数据!$AA$9:$AA$38,$I1254)&gt;0)),1,0))</f>
        <v>0</v>
      </c>
      <c r="AA1254" t="str">
        <f t="shared" si="299"/>
        <v/>
      </c>
      <c r="AB1254" t="str">
        <f t="shared" si="300"/>
        <v/>
      </c>
      <c r="AC1254">
        <f>IF($A1254="",0,IF(COUNTIF($A$2:$A1254,$A1254)=1,1,0))</f>
        <v>0</v>
      </c>
      <c r="AD1254">
        <f t="shared" si="301"/>
        <v>12</v>
      </c>
      <c r="AE1254" t="str">
        <f t="shared" si="302"/>
        <v>佛山映月湖环宇城|租售比（%）</v>
      </c>
    </row>
    <row r="1255" spans="1:31" x14ac:dyDescent="0.4">
      <c r="A1255" t="str">
        <f>IF(原始经营数据!$D1256="","",原始经营数据!$D1256)</f>
        <v>华夏中海消费封闭式基础设施证券投资基金</v>
      </c>
      <c r="B1255" t="str">
        <f>IF(原始经营数据!$D1256="","",T(原始经营数据!$E1256))</f>
        <v>佛山映月湖环宇城</v>
      </c>
      <c r="C1255" t="str">
        <f>IF(原始经营数据!$D1256="","",原始经营数据!$F1256)</f>
        <v>2022</v>
      </c>
      <c r="D1255" t="str">
        <f>IF(原始经营数据!$D1256="","",原始经营数据!$H1256)</f>
        <v>客流量</v>
      </c>
      <c r="E1255">
        <f>IF(原始经营数据!$D1256="","",原始经营数据!$I1256)</f>
        <v>1061</v>
      </c>
      <c r="F1255" t="str">
        <f>IF(原始经营数据!$D1256="","",T(原始经营数据!$J1256))</f>
        <v>万人</v>
      </c>
      <c r="G1255" t="str">
        <f>IF(原始经营数据!$D1256="","",T(原始经营数据!$K1256))</f>
        <v/>
      </c>
      <c r="H1255" t="str">
        <f>IF(原始经营数据!$D1256="","",原始经营数据!$G1256)</f>
        <v>服务量</v>
      </c>
      <c r="I1255" t="str">
        <f>IF($A1255="","",IF($B1255&lt;&gt;"",$B1255,IF(COUNTIFS(原始经营数据!$D$3:$D$3001,$A1255,原始经营数据!$E$3:$E$3001,"",原始经营数据!$F$3:$F$3001,$C1255,原始经营数据!$H$3:$H$3001,$D1255,原始经营数据!$K$3:$K$3001,$G1255)&gt;1,"基金整体·来源"&amp;原始经营数据!$A1256,"基金整体")))</f>
        <v>佛山映月湖环宇城</v>
      </c>
      <c r="J1255" t="str">
        <f t="shared" si="288"/>
        <v>年度</v>
      </c>
      <c r="K1255" t="str">
        <f t="shared" si="289"/>
        <v>客流量（万人）</v>
      </c>
      <c r="L1255" t="str">
        <f t="shared" si="290"/>
        <v>佛山映月湖环宇城|客流量（万人）|年度</v>
      </c>
      <c r="M1255">
        <f>IF($A1255="",0,IF(COUNTIF($L$2:$L1255,$L1255)=1,1,0))</f>
        <v>1</v>
      </c>
      <c r="N1255">
        <f t="shared" si="291"/>
        <v>20220</v>
      </c>
      <c r="O1255" t="str">
        <f t="shared" si="292"/>
        <v>华夏中海消费封闭式基础设施证券投资基金|2022|年度</v>
      </c>
      <c r="P1255">
        <f>IF($A1255="",0,IF(COUNTIF($O$2:$O1255,$O1255)=1,1,0))</f>
        <v>0</v>
      </c>
      <c r="Q1255" t="str">
        <f>IF(AND($P1255=1,$A1255=经营数据!$B$3,$J1255=经营数据!$BA$5),COUNTIFS($P$2:$P$3000,1,$A$2:$A$3000,$A1255,$J$2:$J$3000,$J1255,$N$2:$N$3000,"&lt;"&amp;$N1255)+1,"")</f>
        <v/>
      </c>
      <c r="R1255" t="str">
        <f t="shared" si="293"/>
        <v>华夏中海消费封闭式基础设施证券投资基金|佛山映月湖环宇城</v>
      </c>
      <c r="S1255">
        <f>IF($A1255="",0,IF(COUNTIF($R$2:$R1255,$R1255)=1,1,0))</f>
        <v>0</v>
      </c>
      <c r="T1255">
        <f t="shared" si="294"/>
        <v>1244</v>
      </c>
      <c r="U1255" t="str">
        <f>IF($A1255="","",IF($A1255=经营数据!$B$3,COUNTIFS($S$2:$S$3000,1,$A$2:$A$3000,$A1255,$T$2:$T$3000,"&lt;"&amp;$T1255)+1,""))</f>
        <v/>
      </c>
      <c r="V1255" t="str">
        <f t="shared" si="295"/>
        <v>佛山映月湖环宇城|服务量</v>
      </c>
      <c r="W1255">
        <f t="shared" si="296"/>
        <v>1248</v>
      </c>
      <c r="X1255" t="str">
        <f t="shared" si="297"/>
        <v>佛山映月湖环宇城|客流量</v>
      </c>
      <c r="Y1255">
        <f t="shared" si="298"/>
        <v>1254</v>
      </c>
      <c r="Z1255">
        <f>IF($A1255="",0,IF(AND($M1255=1,$A1255=经营数据!$B$3,$J1255=经营数据!$BA$5,OR($I1255=经营数据!$BA$4,COUNTIF(经营数据!$AA$9:$AA$38,$I1255)&gt;0)),1,0))</f>
        <v>0</v>
      </c>
      <c r="AA1255" t="str">
        <f t="shared" si="299"/>
        <v/>
      </c>
      <c r="AB1255" t="str">
        <f t="shared" si="300"/>
        <v/>
      </c>
      <c r="AC1255">
        <f>IF($A1255="",0,IF(COUNTIF($A$2:$A1255,$A1255)=1,1,0))</f>
        <v>0</v>
      </c>
      <c r="AD1255">
        <f t="shared" si="301"/>
        <v>12</v>
      </c>
      <c r="AE1255" t="str">
        <f t="shared" si="302"/>
        <v>佛山映月湖环宇城|客流量（万人）</v>
      </c>
    </row>
    <row r="1256" spans="1:31" x14ac:dyDescent="0.4">
      <c r="A1256" t="str">
        <f>IF(原始经营数据!$D1257="","",原始经营数据!$D1257)</f>
        <v>华夏中海消费封闭式基础设施证券投资基金</v>
      </c>
      <c r="B1256" t="str">
        <f>IF(原始经营数据!$D1257="","",T(原始经营数据!$E1257))</f>
        <v>佛山映月湖环宇城</v>
      </c>
      <c r="C1256" t="str">
        <f>IF(原始经营数据!$D1257="","",原始经营数据!$F1257)</f>
        <v>2022</v>
      </c>
      <c r="D1256" t="str">
        <f>IF(原始经营数据!$D1257="","",原始经营数据!$H1257)</f>
        <v>营业收入（考虑租金减免，不含税）</v>
      </c>
      <c r="E1256">
        <f>IF(原始经营数据!$D1257="","",原始经营数据!$I1257)</f>
        <v>0</v>
      </c>
      <c r="F1256" t="str">
        <f>IF(原始经营数据!$D1257="","",T(原始经营数据!$J1257))</f>
        <v>万元</v>
      </c>
      <c r="G1256" t="str">
        <f>IF(原始经营数据!$D1257="","",T(原始经营数据!$K1257))</f>
        <v>电影放映服务收入</v>
      </c>
      <c r="H1256" t="str">
        <f>IF(原始经营数据!$D1257="","",原始经营数据!$G1257)</f>
        <v>服务金额</v>
      </c>
      <c r="I1256" t="str">
        <f>IF($A1256="","",IF($B1256&lt;&gt;"",$B1256,IF(COUNTIFS(原始经营数据!$D$3:$D$3001,$A1256,原始经营数据!$E$3:$E$3001,"",原始经营数据!$F$3:$F$3001,$C1256,原始经营数据!$H$3:$H$3001,$D1256,原始经营数据!$K$3:$K$3001,$G1256)&gt;1,"基金整体·来源"&amp;原始经营数据!$A1257,"基金整体")))</f>
        <v>佛山映月湖环宇城</v>
      </c>
      <c r="J1256" t="str">
        <f t="shared" si="288"/>
        <v>年度</v>
      </c>
      <c r="K1256" t="str">
        <f t="shared" si="289"/>
        <v>营业收入（考虑租金减免，不含税）-电影放映服务收入（万元）</v>
      </c>
      <c r="L1256" t="str">
        <f t="shared" si="290"/>
        <v>佛山映月湖环宇城|营业收入（考虑租金减免，不含税）-电影放映服务收入（万元）|年度</v>
      </c>
      <c r="M1256">
        <f>IF($A1256="",0,IF(COUNTIF($L$2:$L1256,$L1256)=1,1,0))</f>
        <v>1</v>
      </c>
      <c r="N1256">
        <f t="shared" si="291"/>
        <v>20220</v>
      </c>
      <c r="O1256" t="str">
        <f t="shared" si="292"/>
        <v>华夏中海消费封闭式基础设施证券投资基金|2022|年度</v>
      </c>
      <c r="P1256">
        <f>IF($A1256="",0,IF(COUNTIF($O$2:$O1256,$O1256)=1,1,0))</f>
        <v>0</v>
      </c>
      <c r="Q1256" t="str">
        <f>IF(AND($P1256=1,$A1256=经营数据!$B$3,$J1256=经营数据!$BA$5),COUNTIFS($P$2:$P$3000,1,$A$2:$A$3000,$A1256,$J$2:$J$3000,$J1256,$N$2:$N$3000,"&lt;"&amp;$N1256)+1,"")</f>
        <v/>
      </c>
      <c r="R1256" t="str">
        <f t="shared" si="293"/>
        <v>华夏中海消费封闭式基础设施证券投资基金|佛山映月湖环宇城</v>
      </c>
      <c r="S1256">
        <f>IF($A1256="",0,IF(COUNTIF($R$2:$R1256,$R1256)=1,1,0))</f>
        <v>0</v>
      </c>
      <c r="T1256">
        <f t="shared" si="294"/>
        <v>1244</v>
      </c>
      <c r="U1256" t="str">
        <f>IF($A1256="","",IF($A1256=经营数据!$B$3,COUNTIFS($S$2:$S$3000,1,$A$2:$A$3000,$A1256,$T$2:$T$3000,"&lt;"&amp;$T1256)+1,""))</f>
        <v/>
      </c>
      <c r="V1256" t="str">
        <f t="shared" si="295"/>
        <v>佛山映月湖环宇城|服务金额</v>
      </c>
      <c r="W1256">
        <f t="shared" si="296"/>
        <v>1244</v>
      </c>
      <c r="X1256" t="str">
        <f t="shared" si="297"/>
        <v>佛山映月湖环宇城|营业收入（考虑租金减免，不含税）</v>
      </c>
      <c r="Y1256">
        <f t="shared" si="298"/>
        <v>1244</v>
      </c>
      <c r="Z1256">
        <f>IF($A1256="",0,IF(AND($M1256=1,$A1256=经营数据!$B$3,$J1256=经营数据!$BA$5,OR($I1256=经营数据!$BA$4,COUNTIF(经营数据!$AA$9:$AA$38,$I1256)&gt;0)),1,0))</f>
        <v>0</v>
      </c>
      <c r="AA1256" t="str">
        <f t="shared" si="299"/>
        <v/>
      </c>
      <c r="AB1256" t="str">
        <f t="shared" si="300"/>
        <v/>
      </c>
      <c r="AC1256">
        <f>IF($A1256="",0,IF(COUNTIF($A$2:$A1256,$A1256)=1,1,0))</f>
        <v>0</v>
      </c>
      <c r="AD1256">
        <f t="shared" si="301"/>
        <v>12</v>
      </c>
      <c r="AE1256" t="str">
        <f t="shared" si="302"/>
        <v>佛山映月湖环宇城|营业收入（考虑租金减免，不含税）-电影放映服务收入（万元）</v>
      </c>
    </row>
    <row r="1257" spans="1:31" x14ac:dyDescent="0.4">
      <c r="A1257" t="str">
        <f>IF(原始经营数据!$D1258="","",原始经营数据!$D1258)</f>
        <v>华夏中海消费封闭式基础设施证券投资基金</v>
      </c>
      <c r="B1257" t="str">
        <f>IF(原始经营数据!$D1258="","",T(原始经营数据!$E1258))</f>
        <v>佛山映月湖环宇城</v>
      </c>
      <c r="C1257" t="str">
        <f>IF(原始经营数据!$D1258="","",原始经营数据!$F1258)</f>
        <v>2022</v>
      </c>
      <c r="D1257" t="str">
        <f>IF(原始经营数据!$D1258="","",原始经营数据!$H1258)</f>
        <v>月租金坪效</v>
      </c>
      <c r="E1257">
        <f>IF(原始经营数据!$D1258="","",原始经营数据!$I1258)</f>
        <v>114.8</v>
      </c>
      <c r="F1257" t="str">
        <f>IF(原始经营数据!$D1258="","",T(原始经营数据!$J1258))</f>
        <v>元/平方米</v>
      </c>
      <c r="G1257" t="str">
        <f>IF(原始经营数据!$D1258="","",T(原始经营数据!$K1258))</f>
        <v/>
      </c>
      <c r="H1257" t="str">
        <f>IF(原始经营数据!$D1258="","",原始经营数据!$G1258)</f>
        <v>服务价格</v>
      </c>
      <c r="I1257" t="str">
        <f>IF($A1257="","",IF($B1257&lt;&gt;"",$B1257,IF(COUNTIFS(原始经营数据!$D$3:$D$3001,$A1257,原始经营数据!$E$3:$E$3001,"",原始经营数据!$F$3:$F$3001,$C1257,原始经营数据!$H$3:$H$3001,$D1257,原始经营数据!$K$3:$K$3001,$G1257)&gt;1,"基金整体·来源"&amp;原始经营数据!$A1258,"基金整体")))</f>
        <v>佛山映月湖环宇城</v>
      </c>
      <c r="J1257" t="str">
        <f t="shared" si="288"/>
        <v>年度</v>
      </c>
      <c r="K1257" t="str">
        <f t="shared" si="289"/>
        <v>月租金坪效（元/平方米）</v>
      </c>
      <c r="L1257" t="str">
        <f t="shared" si="290"/>
        <v>佛山映月湖环宇城|月租金坪效（元/平方米）|年度</v>
      </c>
      <c r="M1257">
        <f>IF($A1257="",0,IF(COUNTIF($L$2:$L1257,$L1257)=1,1,0))</f>
        <v>1</v>
      </c>
      <c r="N1257">
        <f t="shared" si="291"/>
        <v>20220</v>
      </c>
      <c r="O1257" t="str">
        <f t="shared" si="292"/>
        <v>华夏中海消费封闭式基础设施证券投资基金|2022|年度</v>
      </c>
      <c r="P1257">
        <f>IF($A1257="",0,IF(COUNTIF($O$2:$O1257,$O1257)=1,1,0))</f>
        <v>0</v>
      </c>
      <c r="Q1257" t="str">
        <f>IF(AND($P1257=1,$A1257=经营数据!$B$3,$J1257=经营数据!$BA$5),COUNTIFS($P$2:$P$3000,1,$A$2:$A$3000,$A1257,$J$2:$J$3000,$J1257,$N$2:$N$3000,"&lt;"&amp;$N1257)+1,"")</f>
        <v/>
      </c>
      <c r="R1257" t="str">
        <f t="shared" si="293"/>
        <v>华夏中海消费封闭式基础设施证券投资基金|佛山映月湖环宇城</v>
      </c>
      <c r="S1257">
        <f>IF($A1257="",0,IF(COUNTIF($R$2:$R1257,$R1257)=1,1,0))</f>
        <v>0</v>
      </c>
      <c r="T1257">
        <f t="shared" si="294"/>
        <v>1244</v>
      </c>
      <c r="U1257" t="str">
        <f>IF($A1257="","",IF($A1257=经营数据!$B$3,COUNTIFS($S$2:$S$3000,1,$A$2:$A$3000,$A1257,$T$2:$T$3000,"&lt;"&amp;$T1257)+1,""))</f>
        <v/>
      </c>
      <c r="V1257" t="str">
        <f t="shared" si="295"/>
        <v>佛山映月湖环宇城|服务价格</v>
      </c>
      <c r="W1257">
        <f t="shared" si="296"/>
        <v>1250</v>
      </c>
      <c r="X1257" t="str">
        <f t="shared" si="297"/>
        <v>佛山映月湖环宇城|月租金坪效</v>
      </c>
      <c r="Y1257">
        <f t="shared" si="298"/>
        <v>1256</v>
      </c>
      <c r="Z1257">
        <f>IF($A1257="",0,IF(AND($M1257=1,$A1257=经营数据!$B$3,$J1257=经营数据!$BA$5,OR($I1257=经营数据!$BA$4,COUNTIF(经营数据!$AA$9:$AA$38,$I1257)&gt;0)),1,0))</f>
        <v>0</v>
      </c>
      <c r="AA1257" t="str">
        <f t="shared" si="299"/>
        <v/>
      </c>
      <c r="AB1257" t="str">
        <f t="shared" si="300"/>
        <v/>
      </c>
      <c r="AC1257">
        <f>IF($A1257="",0,IF(COUNTIF($A$2:$A1257,$A1257)=1,1,0))</f>
        <v>0</v>
      </c>
      <c r="AD1257">
        <f t="shared" si="301"/>
        <v>12</v>
      </c>
      <c r="AE1257" t="str">
        <f t="shared" si="302"/>
        <v>佛山映月湖环宇城|月租金坪效（元/平方米）</v>
      </c>
    </row>
    <row r="1258" spans="1:31" x14ac:dyDescent="0.4">
      <c r="A1258" t="str">
        <f>IF(原始经营数据!$D1259="","",原始经营数据!$D1259)</f>
        <v>华夏中海消费封闭式基础设施证券投资基金</v>
      </c>
      <c r="B1258" t="str">
        <f>IF(原始经营数据!$D1259="","",T(原始经营数据!$E1259))</f>
        <v>佛山映月湖环宇城</v>
      </c>
      <c r="C1258" t="str">
        <f>IF(原始经营数据!$D1259="","",原始经营数据!$F1259)</f>
        <v>2022</v>
      </c>
      <c r="D1258" t="str">
        <f>IF(原始经营数据!$D1259="","",原始经营数据!$H1259)</f>
        <v>租金收缴率</v>
      </c>
      <c r="E1258">
        <f>IF(原始经营数据!$D1259="","",原始经营数据!$I1259)</f>
        <v>0.998</v>
      </c>
      <c r="F1258" t="str">
        <f>IF(原始经营数据!$D1259="","",T(原始经营数据!$J1259))</f>
        <v>%</v>
      </c>
      <c r="G1258" t="str">
        <f>IF(原始经营数据!$D1259="","",T(原始经营数据!$K1259))</f>
        <v/>
      </c>
      <c r="H1258" t="str">
        <f>IF(原始经营数据!$D1259="","",原始经营数据!$G1259)</f>
        <v>服务效率</v>
      </c>
      <c r="I1258" t="str">
        <f>IF($A1258="","",IF($B1258&lt;&gt;"",$B1258,IF(COUNTIFS(原始经营数据!$D$3:$D$3001,$A1258,原始经营数据!$E$3:$E$3001,"",原始经营数据!$F$3:$F$3001,$C1258,原始经营数据!$H$3:$H$3001,$D1258,原始经营数据!$K$3:$K$3001,$G1258)&gt;1,"基金整体·来源"&amp;原始经营数据!$A1259,"基金整体")))</f>
        <v>佛山映月湖环宇城</v>
      </c>
      <c r="J1258" t="str">
        <f t="shared" si="288"/>
        <v>年度</v>
      </c>
      <c r="K1258" t="str">
        <f t="shared" si="289"/>
        <v>租金收缴率（%）</v>
      </c>
      <c r="L1258" t="str">
        <f t="shared" si="290"/>
        <v>佛山映月湖环宇城|租金收缴率（%）|年度</v>
      </c>
      <c r="M1258">
        <f>IF($A1258="",0,IF(COUNTIF($L$2:$L1258,$L1258)=1,1,0))</f>
        <v>1</v>
      </c>
      <c r="N1258">
        <f t="shared" si="291"/>
        <v>20220</v>
      </c>
      <c r="O1258" t="str">
        <f t="shared" si="292"/>
        <v>华夏中海消费封闭式基础设施证券投资基金|2022|年度</v>
      </c>
      <c r="P1258">
        <f>IF($A1258="",0,IF(COUNTIF($O$2:$O1258,$O1258)=1,1,0))</f>
        <v>0</v>
      </c>
      <c r="Q1258" t="str">
        <f>IF(AND($P1258=1,$A1258=经营数据!$B$3,$J1258=经营数据!$BA$5),COUNTIFS($P$2:$P$3000,1,$A$2:$A$3000,$A1258,$J$2:$J$3000,$J1258,$N$2:$N$3000,"&lt;"&amp;$N1258)+1,"")</f>
        <v/>
      </c>
      <c r="R1258" t="str">
        <f t="shared" si="293"/>
        <v>华夏中海消费封闭式基础设施证券投资基金|佛山映月湖环宇城</v>
      </c>
      <c r="S1258">
        <f>IF($A1258="",0,IF(COUNTIF($R$2:$R1258,$R1258)=1,1,0))</f>
        <v>0</v>
      </c>
      <c r="T1258">
        <f t="shared" si="294"/>
        <v>1244</v>
      </c>
      <c r="U1258" t="str">
        <f>IF($A1258="","",IF($A1258=经营数据!$B$3,COUNTIFS($S$2:$S$3000,1,$A$2:$A$3000,$A1258,$T$2:$T$3000,"&lt;"&amp;$T1258)+1,""))</f>
        <v/>
      </c>
      <c r="V1258" t="str">
        <f t="shared" si="295"/>
        <v>佛山映月湖环宇城|服务效率</v>
      </c>
      <c r="W1258">
        <f t="shared" si="296"/>
        <v>1253</v>
      </c>
      <c r="X1258" t="str">
        <f t="shared" si="297"/>
        <v>佛山映月湖环宇城|租金收缴率</v>
      </c>
      <c r="Y1258">
        <f t="shared" si="298"/>
        <v>1257</v>
      </c>
      <c r="Z1258">
        <f>IF($A1258="",0,IF(AND($M1258=1,$A1258=经营数据!$B$3,$J1258=经营数据!$BA$5,OR($I1258=经营数据!$BA$4,COUNTIF(经营数据!$AA$9:$AA$38,$I1258)&gt;0)),1,0))</f>
        <v>0</v>
      </c>
      <c r="AA1258" t="str">
        <f t="shared" si="299"/>
        <v/>
      </c>
      <c r="AB1258" t="str">
        <f t="shared" si="300"/>
        <v/>
      </c>
      <c r="AC1258">
        <f>IF($A1258="",0,IF(COUNTIF($A$2:$A1258,$A1258)=1,1,0))</f>
        <v>0</v>
      </c>
      <c r="AD1258">
        <f t="shared" si="301"/>
        <v>12</v>
      </c>
      <c r="AE1258" t="str">
        <f t="shared" si="302"/>
        <v>佛山映月湖环宇城|租金收缴率（%）</v>
      </c>
    </row>
    <row r="1259" spans="1:31" x14ac:dyDescent="0.4">
      <c r="A1259" t="str">
        <f>IF(原始经营数据!$D1260="","",原始经营数据!$D1260)</f>
        <v>华夏中海消费封闭式基础设施证券投资基金</v>
      </c>
      <c r="B1259" t="str">
        <f>IF(原始经营数据!$D1260="","",T(原始经营数据!$E1260))</f>
        <v>佛山映月湖环宇城</v>
      </c>
      <c r="C1259" t="str">
        <f>IF(原始经营数据!$D1260="","",原始经营数据!$F1260)</f>
        <v>2022</v>
      </c>
      <c r="D1259" t="str">
        <f>IF(原始经营数据!$D1260="","",原始经营数据!$H1260)</f>
        <v>期末时点出租率</v>
      </c>
      <c r="E1259">
        <f>IF(原始经营数据!$D1260="","",原始经营数据!$I1260)</f>
        <v>94.26</v>
      </c>
      <c r="F1259" t="str">
        <f>IF(原始经营数据!$D1260="","",T(原始经营数据!$J1260))</f>
        <v>%</v>
      </c>
      <c r="G1259" t="str">
        <f>IF(原始经营数据!$D1260="","",T(原始经营数据!$K1260))</f>
        <v/>
      </c>
      <c r="H1259" t="str">
        <f>IF(原始经营数据!$D1260="","",原始经营数据!$G1260)</f>
        <v>服务效率</v>
      </c>
      <c r="I1259" t="str">
        <f>IF($A1259="","",IF($B1259&lt;&gt;"",$B1259,IF(COUNTIFS(原始经营数据!$D$3:$D$3001,$A1259,原始经营数据!$E$3:$E$3001,"",原始经营数据!$F$3:$F$3001,$C1259,原始经营数据!$H$3:$H$3001,$D1259,原始经营数据!$K$3:$K$3001,$G1259)&gt;1,"基金整体·来源"&amp;原始经营数据!$A1260,"基金整体")))</f>
        <v>佛山映月湖环宇城</v>
      </c>
      <c r="J1259" t="str">
        <f t="shared" si="288"/>
        <v>年度</v>
      </c>
      <c r="K1259" t="str">
        <f t="shared" si="289"/>
        <v>期末时点出租率（%）</v>
      </c>
      <c r="L1259" t="str">
        <f t="shared" si="290"/>
        <v>佛山映月湖环宇城|期末时点出租率（%）|年度</v>
      </c>
      <c r="M1259">
        <f>IF($A1259="",0,IF(COUNTIF($L$2:$L1259,$L1259)=1,1,0))</f>
        <v>1</v>
      </c>
      <c r="N1259">
        <f t="shared" si="291"/>
        <v>20220</v>
      </c>
      <c r="O1259" t="str">
        <f t="shared" si="292"/>
        <v>华夏中海消费封闭式基础设施证券投资基金|2022|年度</v>
      </c>
      <c r="P1259">
        <f>IF($A1259="",0,IF(COUNTIF($O$2:$O1259,$O1259)=1,1,0))</f>
        <v>0</v>
      </c>
      <c r="Q1259" t="str">
        <f>IF(AND($P1259=1,$A1259=经营数据!$B$3,$J1259=经营数据!$BA$5),COUNTIFS($P$2:$P$3000,1,$A$2:$A$3000,$A1259,$J$2:$J$3000,$J1259,$N$2:$N$3000,"&lt;"&amp;$N1259)+1,"")</f>
        <v/>
      </c>
      <c r="R1259" t="str">
        <f t="shared" si="293"/>
        <v>华夏中海消费封闭式基础设施证券投资基金|佛山映月湖环宇城</v>
      </c>
      <c r="S1259">
        <f>IF($A1259="",0,IF(COUNTIF($R$2:$R1259,$R1259)=1,1,0))</f>
        <v>0</v>
      </c>
      <c r="T1259">
        <f t="shared" si="294"/>
        <v>1244</v>
      </c>
      <c r="U1259" t="str">
        <f>IF($A1259="","",IF($A1259=经营数据!$B$3,COUNTIFS($S$2:$S$3000,1,$A$2:$A$3000,$A1259,$T$2:$T$3000,"&lt;"&amp;$T1259)+1,""))</f>
        <v/>
      </c>
      <c r="V1259" t="str">
        <f t="shared" si="295"/>
        <v>佛山映月湖环宇城|服务效率</v>
      </c>
      <c r="W1259">
        <f t="shared" si="296"/>
        <v>1253</v>
      </c>
      <c r="X1259" t="str">
        <f t="shared" si="297"/>
        <v>佛山映月湖环宇城|期末时点出租率</v>
      </c>
      <c r="Y1259">
        <f t="shared" si="298"/>
        <v>1258</v>
      </c>
      <c r="Z1259">
        <f>IF($A1259="",0,IF(AND($M1259=1,$A1259=经营数据!$B$3,$J1259=经营数据!$BA$5,OR($I1259=经营数据!$BA$4,COUNTIF(经营数据!$AA$9:$AA$38,$I1259)&gt;0)),1,0))</f>
        <v>0</v>
      </c>
      <c r="AA1259" t="str">
        <f t="shared" si="299"/>
        <v/>
      </c>
      <c r="AB1259" t="str">
        <f t="shared" si="300"/>
        <v/>
      </c>
      <c r="AC1259">
        <f>IF($A1259="",0,IF(COUNTIF($A$2:$A1259,$A1259)=1,1,0))</f>
        <v>0</v>
      </c>
      <c r="AD1259">
        <f t="shared" si="301"/>
        <v>12</v>
      </c>
      <c r="AE1259" t="str">
        <f t="shared" si="302"/>
        <v>佛山映月湖环宇城|期末时点出租率（%）</v>
      </c>
    </row>
    <row r="1260" spans="1:31" x14ac:dyDescent="0.4">
      <c r="A1260" t="str">
        <f>IF(原始经营数据!$D1261="","",原始经营数据!$D1261)</f>
        <v>华夏中海消费封闭式基础设施证券投资基金</v>
      </c>
      <c r="B1260" t="str">
        <f>IF(原始经营数据!$D1261="","",T(原始经营数据!$E1261))</f>
        <v>佛山映月湖环宇城</v>
      </c>
      <c r="C1260" t="str">
        <f>IF(原始经营数据!$D1261="","",原始经营数据!$F1261)</f>
        <v>2022</v>
      </c>
      <c r="D1260" t="str">
        <f>IF(原始经营数据!$D1261="","",原始经营数据!$H1261)</f>
        <v>加权平均出租率</v>
      </c>
      <c r="E1260">
        <f>IF(原始经营数据!$D1261="","",原始经营数据!$I1261)</f>
        <v>92.4</v>
      </c>
      <c r="F1260" t="str">
        <f>IF(原始经营数据!$D1261="","",T(原始经营数据!$J1261))</f>
        <v>%</v>
      </c>
      <c r="G1260" t="str">
        <f>IF(原始经营数据!$D1261="","",T(原始经营数据!$K1261))</f>
        <v/>
      </c>
      <c r="H1260" t="str">
        <f>IF(原始经营数据!$D1261="","",原始经营数据!$G1261)</f>
        <v>服务效率</v>
      </c>
      <c r="I1260" t="str">
        <f>IF($A1260="","",IF($B1260&lt;&gt;"",$B1260,IF(COUNTIFS(原始经营数据!$D$3:$D$3001,$A1260,原始经营数据!$E$3:$E$3001,"",原始经营数据!$F$3:$F$3001,$C1260,原始经营数据!$H$3:$H$3001,$D1260,原始经营数据!$K$3:$K$3001,$G1260)&gt;1,"基金整体·来源"&amp;原始经营数据!$A1261,"基金整体")))</f>
        <v>佛山映月湖环宇城</v>
      </c>
      <c r="J1260" t="str">
        <f t="shared" si="288"/>
        <v>年度</v>
      </c>
      <c r="K1260" t="str">
        <f t="shared" si="289"/>
        <v>加权平均出租率（%）</v>
      </c>
      <c r="L1260" t="str">
        <f t="shared" si="290"/>
        <v>佛山映月湖环宇城|加权平均出租率（%）|年度</v>
      </c>
      <c r="M1260">
        <f>IF($A1260="",0,IF(COUNTIF($L$2:$L1260,$L1260)=1,1,0))</f>
        <v>1</v>
      </c>
      <c r="N1260">
        <f t="shared" si="291"/>
        <v>20220</v>
      </c>
      <c r="O1260" t="str">
        <f t="shared" si="292"/>
        <v>华夏中海消费封闭式基础设施证券投资基金|2022|年度</v>
      </c>
      <c r="P1260">
        <f>IF($A1260="",0,IF(COUNTIF($O$2:$O1260,$O1260)=1,1,0))</f>
        <v>0</v>
      </c>
      <c r="Q1260" t="str">
        <f>IF(AND($P1260=1,$A1260=经营数据!$B$3,$J1260=经营数据!$BA$5),COUNTIFS($P$2:$P$3000,1,$A$2:$A$3000,$A1260,$J$2:$J$3000,$J1260,$N$2:$N$3000,"&lt;"&amp;$N1260)+1,"")</f>
        <v/>
      </c>
      <c r="R1260" t="str">
        <f t="shared" si="293"/>
        <v>华夏中海消费封闭式基础设施证券投资基金|佛山映月湖环宇城</v>
      </c>
      <c r="S1260">
        <f>IF($A1260="",0,IF(COUNTIF($R$2:$R1260,$R1260)=1,1,0))</f>
        <v>0</v>
      </c>
      <c r="T1260">
        <f t="shared" si="294"/>
        <v>1244</v>
      </c>
      <c r="U1260" t="str">
        <f>IF($A1260="","",IF($A1260=经营数据!$B$3,COUNTIFS($S$2:$S$3000,1,$A$2:$A$3000,$A1260,$T$2:$T$3000,"&lt;"&amp;$T1260)+1,""))</f>
        <v/>
      </c>
      <c r="V1260" t="str">
        <f t="shared" si="295"/>
        <v>佛山映月湖环宇城|服务效率</v>
      </c>
      <c r="W1260">
        <f t="shared" si="296"/>
        <v>1253</v>
      </c>
      <c r="X1260" t="str">
        <f t="shared" si="297"/>
        <v>佛山映月湖环宇城|加权平均出租率</v>
      </c>
      <c r="Y1260">
        <f t="shared" si="298"/>
        <v>1259</v>
      </c>
      <c r="Z1260">
        <f>IF($A1260="",0,IF(AND($M1260=1,$A1260=经营数据!$B$3,$J1260=经营数据!$BA$5,OR($I1260=经营数据!$BA$4,COUNTIF(经营数据!$AA$9:$AA$38,$I1260)&gt;0)),1,0))</f>
        <v>0</v>
      </c>
      <c r="AA1260" t="str">
        <f t="shared" si="299"/>
        <v/>
      </c>
      <c r="AB1260" t="str">
        <f t="shared" si="300"/>
        <v/>
      </c>
      <c r="AC1260">
        <f>IF($A1260="",0,IF(COUNTIF($A$2:$A1260,$A1260)=1,1,0))</f>
        <v>0</v>
      </c>
      <c r="AD1260">
        <f t="shared" si="301"/>
        <v>12</v>
      </c>
      <c r="AE1260" t="str">
        <f t="shared" si="302"/>
        <v>佛山映月湖环宇城|加权平均出租率（%）</v>
      </c>
    </row>
    <row r="1261" spans="1:31" x14ac:dyDescent="0.4">
      <c r="A1261" t="str">
        <f>IF(原始经营数据!$D1262="","",原始经营数据!$D1262)</f>
        <v>华夏中海消费封闭式基础设施证券投资基金</v>
      </c>
      <c r="B1261" t="str">
        <f>IF(原始经营数据!$D1262="","",T(原始经营数据!$E1262))</f>
        <v>佛山映月湖环宇城</v>
      </c>
      <c r="C1261" t="str">
        <f>IF(原始经营数据!$D1262="","",原始经营数据!$F1262)</f>
        <v>2022</v>
      </c>
      <c r="D1261" t="str">
        <f>IF(原始经营数据!$D1262="","",原始经营数据!$H1262)</f>
        <v>续租率</v>
      </c>
      <c r="E1261">
        <f>IF(原始经营数据!$D1262="","",原始经营数据!$I1262)</f>
        <v>34.950000000000003</v>
      </c>
      <c r="F1261" t="str">
        <f>IF(原始经营数据!$D1262="","",T(原始经营数据!$J1262))</f>
        <v>%</v>
      </c>
      <c r="G1261" t="str">
        <f>IF(原始经营数据!$D1262="","",T(原始经营数据!$K1262))</f>
        <v/>
      </c>
      <c r="H1261" t="str">
        <f>IF(原始经营数据!$D1262="","",原始经营数据!$G1262)</f>
        <v>服务效率</v>
      </c>
      <c r="I1261" t="str">
        <f>IF($A1261="","",IF($B1261&lt;&gt;"",$B1261,IF(COUNTIFS(原始经营数据!$D$3:$D$3001,$A1261,原始经营数据!$E$3:$E$3001,"",原始经营数据!$F$3:$F$3001,$C1261,原始经营数据!$H$3:$H$3001,$D1261,原始经营数据!$K$3:$K$3001,$G1261)&gt;1,"基金整体·来源"&amp;原始经营数据!$A1262,"基金整体")))</f>
        <v>佛山映月湖环宇城</v>
      </c>
      <c r="J1261" t="str">
        <f t="shared" si="288"/>
        <v>年度</v>
      </c>
      <c r="K1261" t="str">
        <f t="shared" si="289"/>
        <v>续租率（%）</v>
      </c>
      <c r="L1261" t="str">
        <f t="shared" si="290"/>
        <v>佛山映月湖环宇城|续租率（%）|年度</v>
      </c>
      <c r="M1261">
        <f>IF($A1261="",0,IF(COUNTIF($L$2:$L1261,$L1261)=1,1,0))</f>
        <v>1</v>
      </c>
      <c r="N1261">
        <f t="shared" si="291"/>
        <v>20220</v>
      </c>
      <c r="O1261" t="str">
        <f t="shared" si="292"/>
        <v>华夏中海消费封闭式基础设施证券投资基金|2022|年度</v>
      </c>
      <c r="P1261">
        <f>IF($A1261="",0,IF(COUNTIF($O$2:$O1261,$O1261)=1,1,0))</f>
        <v>0</v>
      </c>
      <c r="Q1261" t="str">
        <f>IF(AND($P1261=1,$A1261=经营数据!$B$3,$J1261=经营数据!$BA$5),COUNTIFS($P$2:$P$3000,1,$A$2:$A$3000,$A1261,$J$2:$J$3000,$J1261,$N$2:$N$3000,"&lt;"&amp;$N1261)+1,"")</f>
        <v/>
      </c>
      <c r="R1261" t="str">
        <f t="shared" si="293"/>
        <v>华夏中海消费封闭式基础设施证券投资基金|佛山映月湖环宇城</v>
      </c>
      <c r="S1261">
        <f>IF($A1261="",0,IF(COUNTIF($R$2:$R1261,$R1261)=1,1,0))</f>
        <v>0</v>
      </c>
      <c r="T1261">
        <f t="shared" si="294"/>
        <v>1244</v>
      </c>
      <c r="U1261" t="str">
        <f>IF($A1261="","",IF($A1261=经营数据!$B$3,COUNTIFS($S$2:$S$3000,1,$A$2:$A$3000,$A1261,$T$2:$T$3000,"&lt;"&amp;$T1261)+1,""))</f>
        <v/>
      </c>
      <c r="V1261" t="str">
        <f t="shared" si="295"/>
        <v>佛山映月湖环宇城|服务效率</v>
      </c>
      <c r="W1261">
        <f t="shared" si="296"/>
        <v>1253</v>
      </c>
      <c r="X1261" t="str">
        <f t="shared" si="297"/>
        <v>佛山映月湖环宇城|续租率</v>
      </c>
      <c r="Y1261">
        <f t="shared" si="298"/>
        <v>1260</v>
      </c>
      <c r="Z1261">
        <f>IF($A1261="",0,IF(AND($M1261=1,$A1261=经营数据!$B$3,$J1261=经营数据!$BA$5,OR($I1261=经营数据!$BA$4,COUNTIF(经营数据!$AA$9:$AA$38,$I1261)&gt;0)),1,0))</f>
        <v>0</v>
      </c>
      <c r="AA1261" t="str">
        <f t="shared" si="299"/>
        <v/>
      </c>
      <c r="AB1261" t="str">
        <f t="shared" si="300"/>
        <v/>
      </c>
      <c r="AC1261">
        <f>IF($A1261="",0,IF(COUNTIF($A$2:$A1261,$A1261)=1,1,0))</f>
        <v>0</v>
      </c>
      <c r="AD1261">
        <f t="shared" si="301"/>
        <v>12</v>
      </c>
      <c r="AE1261" t="str">
        <f t="shared" si="302"/>
        <v>佛山映月湖环宇城|续租率（%）</v>
      </c>
    </row>
    <row r="1262" spans="1:31" x14ac:dyDescent="0.4">
      <c r="A1262" t="str">
        <f>IF(原始经营数据!$D1263="","",原始经营数据!$D1263)</f>
        <v>华夏中海消费封闭式基础设施证券投资基金</v>
      </c>
      <c r="B1262" t="str">
        <f>IF(原始经营数据!$D1263="","",T(原始经营数据!$E1263))</f>
        <v>佛山映月湖环宇城</v>
      </c>
      <c r="C1262" t="str">
        <f>IF(原始经营数据!$D1263="","",原始经营数据!$F1263)</f>
        <v>2022</v>
      </c>
      <c r="D1262" t="str">
        <f>IF(原始经营数据!$D1263="","",原始经营数据!$H1263)</f>
        <v>平均固定租金单价（不含税）</v>
      </c>
      <c r="E1262">
        <f>IF(原始经营数据!$D1263="","",原始经营数据!$I1263)</f>
        <v>82.09</v>
      </c>
      <c r="F1262" t="str">
        <f>IF(原始经营数据!$D1263="","",T(原始经营数据!$J1263))</f>
        <v>元/平方米</v>
      </c>
      <c r="G1262" t="str">
        <f>IF(原始经营数据!$D1263="","",T(原始经营数据!$K1263))</f>
        <v/>
      </c>
      <c r="H1262" t="str">
        <f>IF(原始经营数据!$D1263="","",原始经营数据!$G1263)</f>
        <v>服务价格</v>
      </c>
      <c r="I1262" t="str">
        <f>IF($A1262="","",IF($B1262&lt;&gt;"",$B1262,IF(COUNTIFS(原始经营数据!$D$3:$D$3001,$A1262,原始经营数据!$E$3:$E$3001,"",原始经营数据!$F$3:$F$3001,$C1262,原始经营数据!$H$3:$H$3001,$D1262,原始经营数据!$K$3:$K$3001,$G1262)&gt;1,"基金整体·来源"&amp;原始经营数据!$A1263,"基金整体")))</f>
        <v>佛山映月湖环宇城</v>
      </c>
      <c r="J1262" t="str">
        <f t="shared" si="288"/>
        <v>年度</v>
      </c>
      <c r="K1262" t="str">
        <f t="shared" si="289"/>
        <v>平均固定租金单价（不含税）（元/平方米）</v>
      </c>
      <c r="L1262" t="str">
        <f t="shared" si="290"/>
        <v>佛山映月湖环宇城|平均固定租金单价（不含税）（元/平方米）|年度</v>
      </c>
      <c r="M1262">
        <f>IF($A1262="",0,IF(COUNTIF($L$2:$L1262,$L1262)=1,1,0))</f>
        <v>1</v>
      </c>
      <c r="N1262">
        <f t="shared" si="291"/>
        <v>20220</v>
      </c>
      <c r="O1262" t="str">
        <f t="shared" si="292"/>
        <v>华夏中海消费封闭式基础设施证券投资基金|2022|年度</v>
      </c>
      <c r="P1262">
        <f>IF($A1262="",0,IF(COUNTIF($O$2:$O1262,$O1262)=1,1,0))</f>
        <v>0</v>
      </c>
      <c r="Q1262" t="str">
        <f>IF(AND($P1262=1,$A1262=经营数据!$B$3,$J1262=经营数据!$BA$5),COUNTIFS($P$2:$P$3000,1,$A$2:$A$3000,$A1262,$J$2:$J$3000,$J1262,$N$2:$N$3000,"&lt;"&amp;$N1262)+1,"")</f>
        <v/>
      </c>
      <c r="R1262" t="str">
        <f t="shared" si="293"/>
        <v>华夏中海消费封闭式基础设施证券投资基金|佛山映月湖环宇城</v>
      </c>
      <c r="S1262">
        <f>IF($A1262="",0,IF(COUNTIF($R$2:$R1262,$R1262)=1,1,0))</f>
        <v>0</v>
      </c>
      <c r="T1262">
        <f t="shared" si="294"/>
        <v>1244</v>
      </c>
      <c r="U1262" t="str">
        <f>IF($A1262="","",IF($A1262=经营数据!$B$3,COUNTIFS($S$2:$S$3000,1,$A$2:$A$3000,$A1262,$T$2:$T$3000,"&lt;"&amp;$T1262)+1,""))</f>
        <v/>
      </c>
      <c r="V1262" t="str">
        <f t="shared" si="295"/>
        <v>佛山映月湖环宇城|服务价格</v>
      </c>
      <c r="W1262">
        <f t="shared" si="296"/>
        <v>1250</v>
      </c>
      <c r="X1262" t="str">
        <f t="shared" si="297"/>
        <v>佛山映月湖环宇城|平均固定租金单价（不含税）</v>
      </c>
      <c r="Y1262">
        <f t="shared" si="298"/>
        <v>1261</v>
      </c>
      <c r="Z1262">
        <f>IF($A1262="",0,IF(AND($M1262=1,$A1262=经营数据!$B$3,$J1262=经营数据!$BA$5,OR($I1262=经营数据!$BA$4,COUNTIF(经营数据!$AA$9:$AA$38,$I1262)&gt;0)),1,0))</f>
        <v>0</v>
      </c>
      <c r="AA1262" t="str">
        <f t="shared" si="299"/>
        <v/>
      </c>
      <c r="AB1262" t="str">
        <f t="shared" si="300"/>
        <v/>
      </c>
      <c r="AC1262">
        <f>IF($A1262="",0,IF(COUNTIF($A$2:$A1262,$A1262)=1,1,0))</f>
        <v>0</v>
      </c>
      <c r="AD1262">
        <f t="shared" si="301"/>
        <v>12</v>
      </c>
      <c r="AE1262" t="str">
        <f t="shared" si="302"/>
        <v>佛山映月湖环宇城|平均固定租金单价（不含税）（元/平方米）</v>
      </c>
    </row>
    <row r="1263" spans="1:31" x14ac:dyDescent="0.4">
      <c r="A1263" t="str">
        <f>IF(原始经营数据!$D1264="","",原始经营数据!$D1264)</f>
        <v>华夏中海消费封闭式基础设施证券投资基金</v>
      </c>
      <c r="B1263" t="str">
        <f>IF(原始经营数据!$D1264="","",T(原始经营数据!$E1264))</f>
        <v>佛山映月湖环宇城</v>
      </c>
      <c r="C1263" t="str">
        <f>IF(原始经营数据!$D1264="","",原始经营数据!$F1264)</f>
        <v>2022</v>
      </c>
      <c r="D1263" t="str">
        <f>IF(原始经营数据!$D1264="","",原始经营数据!$H1264)</f>
        <v>营业收入（考虑租金减免，不含税）</v>
      </c>
      <c r="E1263">
        <f>IF(原始经营数据!$D1264="","",原始经营数据!$I1264)</f>
        <v>6916.31</v>
      </c>
      <c r="F1263" t="str">
        <f>IF(原始经营数据!$D1264="","",T(原始经营数据!$J1264))</f>
        <v>万元</v>
      </c>
      <c r="G1263" t="str">
        <f>IF(原始经营数据!$D1264="","",T(原始经营数据!$K1264))</f>
        <v>租赁收入</v>
      </c>
      <c r="H1263" t="str">
        <f>IF(原始经营数据!$D1264="","",原始经营数据!$G1264)</f>
        <v>服务金额</v>
      </c>
      <c r="I1263" t="str">
        <f>IF($A1263="","",IF($B1263&lt;&gt;"",$B1263,IF(COUNTIFS(原始经营数据!$D$3:$D$3001,$A1263,原始经营数据!$E$3:$E$3001,"",原始经营数据!$F$3:$F$3001,$C1263,原始经营数据!$H$3:$H$3001,$D1263,原始经营数据!$K$3:$K$3001,$G1263)&gt;1,"基金整体·来源"&amp;原始经营数据!$A1264,"基金整体")))</f>
        <v>佛山映月湖环宇城</v>
      </c>
      <c r="J1263" t="str">
        <f t="shared" si="288"/>
        <v>年度</v>
      </c>
      <c r="K1263" t="str">
        <f t="shared" si="289"/>
        <v>营业收入（考虑租金减免，不含税）-租赁收入（万元）</v>
      </c>
      <c r="L1263" t="str">
        <f t="shared" si="290"/>
        <v>佛山映月湖环宇城|营业收入（考虑租金减免，不含税）-租赁收入（万元）|年度</v>
      </c>
      <c r="M1263">
        <f>IF($A1263="",0,IF(COUNTIF($L$2:$L1263,$L1263)=1,1,0))</f>
        <v>1</v>
      </c>
      <c r="N1263">
        <f t="shared" si="291"/>
        <v>20220</v>
      </c>
      <c r="O1263" t="str">
        <f t="shared" si="292"/>
        <v>华夏中海消费封闭式基础设施证券投资基金|2022|年度</v>
      </c>
      <c r="P1263">
        <f>IF($A1263="",0,IF(COUNTIF($O$2:$O1263,$O1263)=1,1,0))</f>
        <v>0</v>
      </c>
      <c r="Q1263" t="str">
        <f>IF(AND($P1263=1,$A1263=经营数据!$B$3,$J1263=经营数据!$BA$5),COUNTIFS($P$2:$P$3000,1,$A$2:$A$3000,$A1263,$J$2:$J$3000,$J1263,$N$2:$N$3000,"&lt;"&amp;$N1263)+1,"")</f>
        <v/>
      </c>
      <c r="R1263" t="str">
        <f t="shared" si="293"/>
        <v>华夏中海消费封闭式基础设施证券投资基金|佛山映月湖环宇城</v>
      </c>
      <c r="S1263">
        <f>IF($A1263="",0,IF(COUNTIF($R$2:$R1263,$R1263)=1,1,0))</f>
        <v>0</v>
      </c>
      <c r="T1263">
        <f t="shared" si="294"/>
        <v>1244</v>
      </c>
      <c r="U1263" t="str">
        <f>IF($A1263="","",IF($A1263=经营数据!$B$3,COUNTIFS($S$2:$S$3000,1,$A$2:$A$3000,$A1263,$T$2:$T$3000,"&lt;"&amp;$T1263)+1,""))</f>
        <v/>
      </c>
      <c r="V1263" t="str">
        <f t="shared" si="295"/>
        <v>佛山映月湖环宇城|服务金额</v>
      </c>
      <c r="W1263">
        <f t="shared" si="296"/>
        <v>1244</v>
      </c>
      <c r="X1263" t="str">
        <f t="shared" si="297"/>
        <v>佛山映月湖环宇城|营业收入（考虑租金减免，不含税）</v>
      </c>
      <c r="Y1263">
        <f t="shared" si="298"/>
        <v>1244</v>
      </c>
      <c r="Z1263">
        <f>IF($A1263="",0,IF(AND($M1263=1,$A1263=经营数据!$B$3,$J1263=经营数据!$BA$5,OR($I1263=经营数据!$BA$4,COUNTIF(经营数据!$AA$9:$AA$38,$I1263)&gt;0)),1,0))</f>
        <v>0</v>
      </c>
      <c r="AA1263" t="str">
        <f t="shared" si="299"/>
        <v/>
      </c>
      <c r="AB1263" t="str">
        <f t="shared" si="300"/>
        <v/>
      </c>
      <c r="AC1263">
        <f>IF($A1263="",0,IF(COUNTIF($A$2:$A1263,$A1263)=1,1,0))</f>
        <v>0</v>
      </c>
      <c r="AD1263">
        <f t="shared" si="301"/>
        <v>12</v>
      </c>
      <c r="AE1263" t="str">
        <f t="shared" si="302"/>
        <v>佛山映月湖环宇城|营业收入（考虑租金减免，不含税）-租赁收入（万元）</v>
      </c>
    </row>
    <row r="1264" spans="1:31" x14ac:dyDescent="0.4">
      <c r="A1264" t="str">
        <f>IF(原始经营数据!$D1265="","",原始经营数据!$D1265)</f>
        <v>华夏中海消费封闭式基础设施证券投资基金</v>
      </c>
      <c r="B1264" t="str">
        <f>IF(原始经营数据!$D1265="","",T(原始经营数据!$E1265))</f>
        <v>佛山映月湖环宇城</v>
      </c>
      <c r="C1264" t="str">
        <f>IF(原始经营数据!$D1265="","",原始经营数据!$F1265)</f>
        <v>2022</v>
      </c>
      <c r="D1264" t="str">
        <f>IF(原始经营数据!$D1265="","",原始经营数据!$H1265)</f>
        <v>营业收入（考虑租金减免，不含税）</v>
      </c>
      <c r="E1264">
        <f>IF(原始经营数据!$D1265="","",原始经营数据!$I1265)</f>
        <v>2757.36</v>
      </c>
      <c r="F1264" t="str">
        <f>IF(原始经营数据!$D1265="","",T(原始经营数据!$J1265))</f>
        <v>万元</v>
      </c>
      <c r="G1264" t="str">
        <f>IF(原始经营数据!$D1265="","",T(原始经营数据!$K1265))</f>
        <v>物业管理服务及其他收入</v>
      </c>
      <c r="H1264" t="str">
        <f>IF(原始经营数据!$D1265="","",原始经营数据!$G1265)</f>
        <v>服务金额</v>
      </c>
      <c r="I1264" t="str">
        <f>IF($A1264="","",IF($B1264&lt;&gt;"",$B1264,IF(COUNTIFS(原始经营数据!$D$3:$D$3001,$A1264,原始经营数据!$E$3:$E$3001,"",原始经营数据!$F$3:$F$3001,$C1264,原始经营数据!$H$3:$H$3001,$D1264,原始经营数据!$K$3:$K$3001,$G1264)&gt;1,"基金整体·来源"&amp;原始经营数据!$A1265,"基金整体")))</f>
        <v>佛山映月湖环宇城</v>
      </c>
      <c r="J1264" t="str">
        <f t="shared" si="288"/>
        <v>年度</v>
      </c>
      <c r="K1264" t="str">
        <f t="shared" si="289"/>
        <v>营业收入（考虑租金减免，不含税）-物业管理服务及其他收入（万元）</v>
      </c>
      <c r="L1264" t="str">
        <f t="shared" si="290"/>
        <v>佛山映月湖环宇城|营业收入（考虑租金减免，不含税）-物业管理服务及其他收入（万元）|年度</v>
      </c>
      <c r="M1264">
        <f>IF($A1264="",0,IF(COUNTIF($L$2:$L1264,$L1264)=1,1,0))</f>
        <v>1</v>
      </c>
      <c r="N1264">
        <f t="shared" si="291"/>
        <v>20220</v>
      </c>
      <c r="O1264" t="str">
        <f t="shared" si="292"/>
        <v>华夏中海消费封闭式基础设施证券投资基金|2022|年度</v>
      </c>
      <c r="P1264">
        <f>IF($A1264="",0,IF(COUNTIF($O$2:$O1264,$O1264)=1,1,0))</f>
        <v>0</v>
      </c>
      <c r="Q1264" t="str">
        <f>IF(AND($P1264=1,$A1264=经营数据!$B$3,$J1264=经营数据!$BA$5),COUNTIFS($P$2:$P$3000,1,$A$2:$A$3000,$A1264,$J$2:$J$3000,$J1264,$N$2:$N$3000,"&lt;"&amp;$N1264)+1,"")</f>
        <v/>
      </c>
      <c r="R1264" t="str">
        <f t="shared" si="293"/>
        <v>华夏中海消费封闭式基础设施证券投资基金|佛山映月湖环宇城</v>
      </c>
      <c r="S1264">
        <f>IF($A1264="",0,IF(COUNTIF($R$2:$R1264,$R1264)=1,1,0))</f>
        <v>0</v>
      </c>
      <c r="T1264">
        <f t="shared" si="294"/>
        <v>1244</v>
      </c>
      <c r="U1264" t="str">
        <f>IF($A1264="","",IF($A1264=经营数据!$B$3,COUNTIFS($S$2:$S$3000,1,$A$2:$A$3000,$A1264,$T$2:$T$3000,"&lt;"&amp;$T1264)+1,""))</f>
        <v/>
      </c>
      <c r="V1264" t="str">
        <f t="shared" si="295"/>
        <v>佛山映月湖环宇城|服务金额</v>
      </c>
      <c r="W1264">
        <f t="shared" si="296"/>
        <v>1244</v>
      </c>
      <c r="X1264" t="str">
        <f t="shared" si="297"/>
        <v>佛山映月湖环宇城|营业收入（考虑租金减免，不含税）</v>
      </c>
      <c r="Y1264">
        <f t="shared" si="298"/>
        <v>1244</v>
      </c>
      <c r="Z1264">
        <f>IF($A1264="",0,IF(AND($M1264=1,$A1264=经营数据!$B$3,$J1264=经营数据!$BA$5,OR($I1264=经营数据!$BA$4,COUNTIF(经营数据!$AA$9:$AA$38,$I1264)&gt;0)),1,0))</f>
        <v>0</v>
      </c>
      <c r="AA1264" t="str">
        <f t="shared" si="299"/>
        <v/>
      </c>
      <c r="AB1264" t="str">
        <f t="shared" si="300"/>
        <v/>
      </c>
      <c r="AC1264">
        <f>IF($A1264="",0,IF(COUNTIF($A$2:$A1264,$A1264)=1,1,0))</f>
        <v>0</v>
      </c>
      <c r="AD1264">
        <f t="shared" si="301"/>
        <v>12</v>
      </c>
      <c r="AE1264" t="str">
        <f t="shared" si="302"/>
        <v>佛山映月湖环宇城|营业收入（考虑租金减免，不含税）-物业管理服务及其他收入（万元）</v>
      </c>
    </row>
    <row r="1265" spans="1:31" x14ac:dyDescent="0.4">
      <c r="A1265" t="str">
        <f>IF(原始经营数据!$D1266="","",原始经营数据!$D1266)</f>
        <v>华夏中海消费封闭式基础设施证券投资基金</v>
      </c>
      <c r="B1265" t="str">
        <f>IF(原始经营数据!$D1266="","",T(原始经营数据!$E1266))</f>
        <v>佛山映月湖环宇城</v>
      </c>
      <c r="C1265" t="str">
        <f>IF(原始经营数据!$D1266="","",原始经营数据!$F1266)</f>
        <v>2022</v>
      </c>
      <c r="D1265" t="str">
        <f>IF(原始经营数据!$D1266="","",原始经营数据!$H1266)</f>
        <v>营业收入（考虑租金减免，不含税）</v>
      </c>
      <c r="E1265">
        <f>IF(原始经营数据!$D1266="","",原始经营数据!$I1266)</f>
        <v>440.4</v>
      </c>
      <c r="F1265" t="str">
        <f>IF(原始经营数据!$D1266="","",T(原始经营数据!$J1266))</f>
        <v>万元</v>
      </c>
      <c r="G1265" t="str">
        <f>IF(原始经营数据!$D1266="","",T(原始经营数据!$K1266))</f>
        <v>推广服务收入</v>
      </c>
      <c r="H1265" t="str">
        <f>IF(原始经营数据!$D1266="","",原始经营数据!$G1266)</f>
        <v>服务金额</v>
      </c>
      <c r="I1265" t="str">
        <f>IF($A1265="","",IF($B1265&lt;&gt;"",$B1265,IF(COUNTIFS(原始经营数据!$D$3:$D$3001,$A1265,原始经营数据!$E$3:$E$3001,"",原始经营数据!$F$3:$F$3001,$C1265,原始经营数据!$H$3:$H$3001,$D1265,原始经营数据!$K$3:$K$3001,$G1265)&gt;1,"基金整体·来源"&amp;原始经营数据!$A1266,"基金整体")))</f>
        <v>佛山映月湖环宇城</v>
      </c>
      <c r="J1265" t="str">
        <f t="shared" si="288"/>
        <v>年度</v>
      </c>
      <c r="K1265" t="str">
        <f t="shared" si="289"/>
        <v>营业收入（考虑租金减免，不含税）-推广服务收入（万元）</v>
      </c>
      <c r="L1265" t="str">
        <f t="shared" si="290"/>
        <v>佛山映月湖环宇城|营业收入（考虑租金减免，不含税）-推广服务收入（万元）|年度</v>
      </c>
      <c r="M1265">
        <f>IF($A1265="",0,IF(COUNTIF($L$2:$L1265,$L1265)=1,1,0))</f>
        <v>1</v>
      </c>
      <c r="N1265">
        <f t="shared" si="291"/>
        <v>20220</v>
      </c>
      <c r="O1265" t="str">
        <f t="shared" si="292"/>
        <v>华夏中海消费封闭式基础设施证券投资基金|2022|年度</v>
      </c>
      <c r="P1265">
        <f>IF($A1265="",0,IF(COUNTIF($O$2:$O1265,$O1265)=1,1,0))</f>
        <v>0</v>
      </c>
      <c r="Q1265" t="str">
        <f>IF(AND($P1265=1,$A1265=经营数据!$B$3,$J1265=经营数据!$BA$5),COUNTIFS($P$2:$P$3000,1,$A$2:$A$3000,$A1265,$J$2:$J$3000,$J1265,$N$2:$N$3000,"&lt;"&amp;$N1265)+1,"")</f>
        <v/>
      </c>
      <c r="R1265" t="str">
        <f t="shared" si="293"/>
        <v>华夏中海消费封闭式基础设施证券投资基金|佛山映月湖环宇城</v>
      </c>
      <c r="S1265">
        <f>IF($A1265="",0,IF(COUNTIF($R$2:$R1265,$R1265)=1,1,0))</f>
        <v>0</v>
      </c>
      <c r="T1265">
        <f t="shared" si="294"/>
        <v>1244</v>
      </c>
      <c r="U1265" t="str">
        <f>IF($A1265="","",IF($A1265=经营数据!$B$3,COUNTIFS($S$2:$S$3000,1,$A$2:$A$3000,$A1265,$T$2:$T$3000,"&lt;"&amp;$T1265)+1,""))</f>
        <v/>
      </c>
      <c r="V1265" t="str">
        <f t="shared" si="295"/>
        <v>佛山映月湖环宇城|服务金额</v>
      </c>
      <c r="W1265">
        <f t="shared" si="296"/>
        <v>1244</v>
      </c>
      <c r="X1265" t="str">
        <f t="shared" si="297"/>
        <v>佛山映月湖环宇城|营业收入（考虑租金减免，不含税）</v>
      </c>
      <c r="Y1265">
        <f t="shared" si="298"/>
        <v>1244</v>
      </c>
      <c r="Z1265">
        <f>IF($A1265="",0,IF(AND($M1265=1,$A1265=经营数据!$B$3,$J1265=经营数据!$BA$5,OR($I1265=经营数据!$BA$4,COUNTIF(经营数据!$AA$9:$AA$38,$I1265)&gt;0)),1,0))</f>
        <v>0</v>
      </c>
      <c r="AA1265" t="str">
        <f t="shared" si="299"/>
        <v/>
      </c>
      <c r="AB1265" t="str">
        <f t="shared" si="300"/>
        <v/>
      </c>
      <c r="AC1265">
        <f>IF($A1265="",0,IF(COUNTIF($A$2:$A1265,$A1265)=1,1,0))</f>
        <v>0</v>
      </c>
      <c r="AD1265">
        <f t="shared" si="301"/>
        <v>12</v>
      </c>
      <c r="AE1265" t="str">
        <f t="shared" si="302"/>
        <v>佛山映月湖环宇城|营业收入（考虑租金减免，不含税）-推广服务收入（万元）</v>
      </c>
    </row>
    <row r="1266" spans="1:31" x14ac:dyDescent="0.4">
      <c r="A1266" t="str">
        <f>IF(原始经营数据!$D1267="","",原始经营数据!$D1267)</f>
        <v>华夏中海消费封闭式基础设施证券投资基金</v>
      </c>
      <c r="B1266" t="str">
        <f>IF(原始经营数据!$D1267="","",T(原始经营数据!$E1267))</f>
        <v>佛山映月湖环宇城</v>
      </c>
      <c r="C1266" t="str">
        <f>IF(原始经营数据!$D1267="","",原始经营数据!$F1267)</f>
        <v>2023</v>
      </c>
      <c r="D1266" t="str">
        <f>IF(原始经营数据!$D1267="","",原始经营数据!$H1267)</f>
        <v>营业收入（考虑租金减免，不含税）</v>
      </c>
      <c r="E1266">
        <f>IF(原始经营数据!$D1267="","",原始经营数据!$I1267)</f>
        <v>11234.93</v>
      </c>
      <c r="F1266" t="str">
        <f>IF(原始经营数据!$D1267="","",T(原始经营数据!$J1267))</f>
        <v>万元</v>
      </c>
      <c r="G1266" t="str">
        <f>IF(原始经营数据!$D1267="","",T(原始经营数据!$K1267))</f>
        <v/>
      </c>
      <c r="H1266" t="str">
        <f>IF(原始经营数据!$D1267="","",原始经营数据!$G1267)</f>
        <v>服务金额</v>
      </c>
      <c r="I1266" t="str">
        <f>IF($A1266="","",IF($B1266&lt;&gt;"",$B1266,IF(COUNTIFS(原始经营数据!$D$3:$D$3001,$A1266,原始经营数据!$E$3:$E$3001,"",原始经营数据!$F$3:$F$3001,$C1266,原始经营数据!$H$3:$H$3001,$D1266,原始经营数据!$K$3:$K$3001,$G1266)&gt;1,"基金整体·来源"&amp;原始经营数据!$A1267,"基金整体")))</f>
        <v>佛山映月湖环宇城</v>
      </c>
      <c r="J1266" t="str">
        <f t="shared" si="288"/>
        <v>年度</v>
      </c>
      <c r="K1266" t="str">
        <f t="shared" si="289"/>
        <v>营业收入（考虑租金减免，不含税）（万元）</v>
      </c>
      <c r="L1266" t="str">
        <f t="shared" si="290"/>
        <v>佛山映月湖环宇城|营业收入（考虑租金减免，不含税）（万元）|年度</v>
      </c>
      <c r="M1266">
        <f>IF($A1266="",0,IF(COUNTIF($L$2:$L1266,$L1266)=1,1,0))</f>
        <v>0</v>
      </c>
      <c r="N1266">
        <f t="shared" si="291"/>
        <v>20230</v>
      </c>
      <c r="O1266" t="str">
        <f t="shared" si="292"/>
        <v>华夏中海消费封闭式基础设施证券投资基金|2023|年度</v>
      </c>
      <c r="P1266">
        <f>IF($A1266="",0,IF(COUNTIF($O$2:$O1266,$O1266)=1,1,0))</f>
        <v>1</v>
      </c>
      <c r="Q1266" t="str">
        <f>IF(AND($P1266=1,$A1266=经营数据!$B$3,$J1266=经营数据!$BA$5),COUNTIFS($P$2:$P$3000,1,$A$2:$A$3000,$A1266,$J$2:$J$3000,$J1266,$N$2:$N$3000,"&lt;"&amp;$N1266)+1,"")</f>
        <v/>
      </c>
      <c r="R1266" t="str">
        <f t="shared" si="293"/>
        <v>华夏中海消费封闭式基础设施证券投资基金|佛山映月湖环宇城</v>
      </c>
      <c r="S1266">
        <f>IF($A1266="",0,IF(COUNTIF($R$2:$R1266,$R1266)=1,1,0))</f>
        <v>0</v>
      </c>
      <c r="T1266">
        <f t="shared" si="294"/>
        <v>1244</v>
      </c>
      <c r="U1266" t="str">
        <f>IF($A1266="","",IF($A1266=经营数据!$B$3,COUNTIFS($S$2:$S$3000,1,$A$2:$A$3000,$A1266,$T$2:$T$3000,"&lt;"&amp;$T1266)+1,""))</f>
        <v/>
      </c>
      <c r="V1266" t="str">
        <f t="shared" si="295"/>
        <v>佛山映月湖环宇城|服务金额</v>
      </c>
      <c r="W1266">
        <f t="shared" si="296"/>
        <v>1244</v>
      </c>
      <c r="X1266" t="str">
        <f t="shared" si="297"/>
        <v>佛山映月湖环宇城|营业收入（考虑租金减免，不含税）</v>
      </c>
      <c r="Y1266">
        <f t="shared" si="298"/>
        <v>1244</v>
      </c>
      <c r="Z1266">
        <f>IF($A1266="",0,IF(AND($M1266=1,$A1266=经营数据!$B$3,$J1266=经营数据!$BA$5,OR($I1266=经营数据!$BA$4,COUNTIF(经营数据!$AA$9:$AA$38,$I1266)&gt;0)),1,0))</f>
        <v>0</v>
      </c>
      <c r="AA1266" t="str">
        <f t="shared" si="299"/>
        <v/>
      </c>
      <c r="AB1266" t="str">
        <f t="shared" si="300"/>
        <v/>
      </c>
      <c r="AC1266">
        <f>IF($A1266="",0,IF(COUNTIF($A$2:$A1266,$A1266)=1,1,0))</f>
        <v>0</v>
      </c>
      <c r="AD1266">
        <f t="shared" si="301"/>
        <v>12</v>
      </c>
      <c r="AE1266" t="str">
        <f t="shared" si="302"/>
        <v>佛山映月湖环宇城|营业收入（考虑租金减免，不含税）（万元）</v>
      </c>
    </row>
    <row r="1267" spans="1:31" x14ac:dyDescent="0.4">
      <c r="A1267" t="str">
        <f>IF(原始经营数据!$D1268="","",原始经营数据!$D1268)</f>
        <v>华夏中海消费封闭式基础设施证券投资基金</v>
      </c>
      <c r="B1267" t="str">
        <f>IF(原始经营数据!$D1268="","",T(原始经营数据!$E1268))</f>
        <v>佛山映月湖环宇城</v>
      </c>
      <c r="C1267" t="str">
        <f>IF(原始经营数据!$D1268="","",原始经营数据!$F1268)</f>
        <v>2023</v>
      </c>
      <c r="D1267" t="str">
        <f>IF(原始经营数据!$D1268="","",原始经营数据!$H1268)</f>
        <v>销售额</v>
      </c>
      <c r="E1267">
        <f>IF(原始经营数据!$D1268="","",原始经营数据!$I1268)</f>
        <v>169330.44</v>
      </c>
      <c r="F1267" t="str">
        <f>IF(原始经营数据!$D1268="","",T(原始经营数据!$J1268))</f>
        <v>万元</v>
      </c>
      <c r="G1267" t="str">
        <f>IF(原始经营数据!$D1268="","",T(原始经营数据!$K1268))</f>
        <v/>
      </c>
      <c r="H1267" t="str">
        <f>IF(原始经营数据!$D1268="","",原始经营数据!$G1268)</f>
        <v>服务金额</v>
      </c>
      <c r="I1267" t="str">
        <f>IF($A1267="","",IF($B1267&lt;&gt;"",$B1267,IF(COUNTIFS(原始经营数据!$D$3:$D$3001,$A1267,原始经营数据!$E$3:$E$3001,"",原始经营数据!$F$3:$F$3001,$C1267,原始经营数据!$H$3:$H$3001,$D1267,原始经营数据!$K$3:$K$3001,$G1267)&gt;1,"基金整体·来源"&amp;原始经营数据!$A1268,"基金整体")))</f>
        <v>佛山映月湖环宇城</v>
      </c>
      <c r="J1267" t="str">
        <f t="shared" si="288"/>
        <v>年度</v>
      </c>
      <c r="K1267" t="str">
        <f t="shared" si="289"/>
        <v>销售额（万元）</v>
      </c>
      <c r="L1267" t="str">
        <f t="shared" si="290"/>
        <v>佛山映月湖环宇城|销售额（万元）|年度</v>
      </c>
      <c r="M1267">
        <f>IF($A1267="",0,IF(COUNTIF($L$2:$L1267,$L1267)=1,1,0))</f>
        <v>0</v>
      </c>
      <c r="N1267">
        <f t="shared" si="291"/>
        <v>20230</v>
      </c>
      <c r="O1267" t="str">
        <f t="shared" si="292"/>
        <v>华夏中海消费封闭式基础设施证券投资基金|2023|年度</v>
      </c>
      <c r="P1267">
        <f>IF($A1267="",0,IF(COUNTIF($O$2:$O1267,$O1267)=1,1,0))</f>
        <v>0</v>
      </c>
      <c r="Q1267" t="str">
        <f>IF(AND($P1267=1,$A1267=经营数据!$B$3,$J1267=经营数据!$BA$5),COUNTIFS($P$2:$P$3000,1,$A$2:$A$3000,$A1267,$J$2:$J$3000,$J1267,$N$2:$N$3000,"&lt;"&amp;$N1267)+1,"")</f>
        <v/>
      </c>
      <c r="R1267" t="str">
        <f t="shared" si="293"/>
        <v>华夏中海消费封闭式基础设施证券投资基金|佛山映月湖环宇城</v>
      </c>
      <c r="S1267">
        <f>IF($A1267="",0,IF(COUNTIF($R$2:$R1267,$R1267)=1,1,0))</f>
        <v>0</v>
      </c>
      <c r="T1267">
        <f t="shared" si="294"/>
        <v>1244</v>
      </c>
      <c r="U1267" t="str">
        <f>IF($A1267="","",IF($A1267=经营数据!$B$3,COUNTIFS($S$2:$S$3000,1,$A$2:$A$3000,$A1267,$T$2:$T$3000,"&lt;"&amp;$T1267)+1,""))</f>
        <v/>
      </c>
      <c r="V1267" t="str">
        <f t="shared" si="295"/>
        <v>佛山映月湖环宇城|服务金额</v>
      </c>
      <c r="W1267">
        <f t="shared" si="296"/>
        <v>1244</v>
      </c>
      <c r="X1267" t="str">
        <f t="shared" si="297"/>
        <v>佛山映月湖环宇城|销售额</v>
      </c>
      <c r="Y1267">
        <f t="shared" si="298"/>
        <v>1245</v>
      </c>
      <c r="Z1267">
        <f>IF($A1267="",0,IF(AND($M1267=1,$A1267=经营数据!$B$3,$J1267=经营数据!$BA$5,OR($I1267=经营数据!$BA$4,COUNTIF(经营数据!$AA$9:$AA$38,$I1267)&gt;0)),1,0))</f>
        <v>0</v>
      </c>
      <c r="AA1267" t="str">
        <f t="shared" si="299"/>
        <v/>
      </c>
      <c r="AB1267" t="str">
        <f t="shared" si="300"/>
        <v/>
      </c>
      <c r="AC1267">
        <f>IF($A1267="",0,IF(COUNTIF($A$2:$A1267,$A1267)=1,1,0))</f>
        <v>0</v>
      </c>
      <c r="AD1267">
        <f t="shared" si="301"/>
        <v>12</v>
      </c>
      <c r="AE1267" t="str">
        <f t="shared" si="302"/>
        <v>佛山映月湖环宇城|销售额（万元）</v>
      </c>
    </row>
    <row r="1268" spans="1:31" x14ac:dyDescent="0.4">
      <c r="A1268" t="str">
        <f>IF(原始经营数据!$D1269="","",原始经营数据!$D1269)</f>
        <v>华夏中海消费封闭式基础设施证券投资基金</v>
      </c>
      <c r="B1268" t="str">
        <f>IF(原始经营数据!$D1269="","",T(原始经营数据!$E1269))</f>
        <v>佛山映月湖环宇城</v>
      </c>
      <c r="C1268" t="str">
        <f>IF(原始经营数据!$D1269="","",原始经营数据!$F1269)</f>
        <v>2023</v>
      </c>
      <c r="D1268" t="str">
        <f>IF(原始经营数据!$D1269="","",原始经营数据!$H1269)</f>
        <v>新能源汽车销售额</v>
      </c>
      <c r="E1268">
        <f>IF(原始经营数据!$D1269="","",原始经营数据!$I1269)</f>
        <v>82856.06</v>
      </c>
      <c r="F1268" t="str">
        <f>IF(原始经营数据!$D1269="","",T(原始经营数据!$J1269))</f>
        <v>万元</v>
      </c>
      <c r="G1268" t="str">
        <f>IF(原始经营数据!$D1269="","",T(原始经营数据!$K1269))</f>
        <v/>
      </c>
      <c r="H1268" t="str">
        <f>IF(原始经营数据!$D1269="","",原始经营数据!$G1269)</f>
        <v>服务金额</v>
      </c>
      <c r="I1268" t="str">
        <f>IF($A1268="","",IF($B1268&lt;&gt;"",$B1268,IF(COUNTIFS(原始经营数据!$D$3:$D$3001,$A1268,原始经营数据!$E$3:$E$3001,"",原始经营数据!$F$3:$F$3001,$C1268,原始经营数据!$H$3:$H$3001,$D1268,原始经营数据!$K$3:$K$3001,$G1268)&gt;1,"基金整体·来源"&amp;原始经营数据!$A1269,"基金整体")))</f>
        <v>佛山映月湖环宇城</v>
      </c>
      <c r="J1268" t="str">
        <f t="shared" si="288"/>
        <v>年度</v>
      </c>
      <c r="K1268" t="str">
        <f t="shared" si="289"/>
        <v>新能源汽车销售额（万元）</v>
      </c>
      <c r="L1268" t="str">
        <f t="shared" si="290"/>
        <v>佛山映月湖环宇城|新能源汽车销售额（万元）|年度</v>
      </c>
      <c r="M1268">
        <f>IF($A1268="",0,IF(COUNTIF($L$2:$L1268,$L1268)=1,1,0))</f>
        <v>0</v>
      </c>
      <c r="N1268">
        <f t="shared" si="291"/>
        <v>20230</v>
      </c>
      <c r="O1268" t="str">
        <f t="shared" si="292"/>
        <v>华夏中海消费封闭式基础设施证券投资基金|2023|年度</v>
      </c>
      <c r="P1268">
        <f>IF($A1268="",0,IF(COUNTIF($O$2:$O1268,$O1268)=1,1,0))</f>
        <v>0</v>
      </c>
      <c r="Q1268" t="str">
        <f>IF(AND($P1268=1,$A1268=经营数据!$B$3,$J1268=经营数据!$BA$5),COUNTIFS($P$2:$P$3000,1,$A$2:$A$3000,$A1268,$J$2:$J$3000,$J1268,$N$2:$N$3000,"&lt;"&amp;$N1268)+1,"")</f>
        <v/>
      </c>
      <c r="R1268" t="str">
        <f t="shared" si="293"/>
        <v>华夏中海消费封闭式基础设施证券投资基金|佛山映月湖环宇城</v>
      </c>
      <c r="S1268">
        <f>IF($A1268="",0,IF(COUNTIF($R$2:$R1268,$R1268)=1,1,0))</f>
        <v>0</v>
      </c>
      <c r="T1268">
        <f t="shared" si="294"/>
        <v>1244</v>
      </c>
      <c r="U1268" t="str">
        <f>IF($A1268="","",IF($A1268=经营数据!$B$3,COUNTIFS($S$2:$S$3000,1,$A$2:$A$3000,$A1268,$T$2:$T$3000,"&lt;"&amp;$T1268)+1,""))</f>
        <v/>
      </c>
      <c r="V1268" t="str">
        <f t="shared" si="295"/>
        <v>佛山映月湖环宇城|服务金额</v>
      </c>
      <c r="W1268">
        <f t="shared" si="296"/>
        <v>1244</v>
      </c>
      <c r="X1268" t="str">
        <f t="shared" si="297"/>
        <v>佛山映月湖环宇城|新能源汽车销售额</v>
      </c>
      <c r="Y1268">
        <f t="shared" si="298"/>
        <v>1246</v>
      </c>
      <c r="Z1268">
        <f>IF($A1268="",0,IF(AND($M1268=1,$A1268=经营数据!$B$3,$J1268=经营数据!$BA$5,OR($I1268=经营数据!$BA$4,COUNTIF(经营数据!$AA$9:$AA$38,$I1268)&gt;0)),1,0))</f>
        <v>0</v>
      </c>
      <c r="AA1268" t="str">
        <f t="shared" si="299"/>
        <v/>
      </c>
      <c r="AB1268" t="str">
        <f t="shared" si="300"/>
        <v/>
      </c>
      <c r="AC1268">
        <f>IF($A1268="",0,IF(COUNTIF($A$2:$A1268,$A1268)=1,1,0))</f>
        <v>0</v>
      </c>
      <c r="AD1268">
        <f t="shared" si="301"/>
        <v>12</v>
      </c>
      <c r="AE1268" t="str">
        <f t="shared" si="302"/>
        <v>佛山映月湖环宇城|新能源汽车销售额（万元）</v>
      </c>
    </row>
    <row r="1269" spans="1:31" x14ac:dyDescent="0.4">
      <c r="A1269" t="str">
        <f>IF(原始经营数据!$D1270="","",原始经营数据!$D1270)</f>
        <v>华夏中海消费封闭式基础设施证券投资基金</v>
      </c>
      <c r="B1269" t="str">
        <f>IF(原始经营数据!$D1270="","",T(原始经营数据!$E1270))</f>
        <v>佛山映月湖环宇城</v>
      </c>
      <c r="C1269" t="str">
        <f>IF(原始经营数据!$D1270="","",原始经营数据!$F1270)</f>
        <v>2023</v>
      </c>
      <c r="D1269" t="str">
        <f>IF(原始经营数据!$D1270="","",原始经营数据!$H1270)</f>
        <v>销售额（不含车）</v>
      </c>
      <c r="E1269">
        <f>IF(原始经营数据!$D1270="","",原始经营数据!$I1270)</f>
        <v>86474.38</v>
      </c>
      <c r="F1269" t="str">
        <f>IF(原始经营数据!$D1270="","",T(原始经营数据!$J1270))</f>
        <v>万元</v>
      </c>
      <c r="G1269" t="str">
        <f>IF(原始经营数据!$D1270="","",T(原始经营数据!$K1270))</f>
        <v/>
      </c>
      <c r="H1269" t="str">
        <f>IF(原始经营数据!$D1270="","",原始经营数据!$G1270)</f>
        <v>服务金额</v>
      </c>
      <c r="I1269" t="str">
        <f>IF($A1269="","",IF($B1269&lt;&gt;"",$B1269,IF(COUNTIFS(原始经营数据!$D$3:$D$3001,$A1269,原始经营数据!$E$3:$E$3001,"",原始经营数据!$F$3:$F$3001,$C1269,原始经营数据!$H$3:$H$3001,$D1269,原始经营数据!$K$3:$K$3001,$G1269)&gt;1,"基金整体·来源"&amp;原始经营数据!$A1270,"基金整体")))</f>
        <v>佛山映月湖环宇城</v>
      </c>
      <c r="J1269" t="str">
        <f t="shared" si="288"/>
        <v>年度</v>
      </c>
      <c r="K1269" t="str">
        <f t="shared" si="289"/>
        <v>销售额（不含车）（万元）</v>
      </c>
      <c r="L1269" t="str">
        <f t="shared" si="290"/>
        <v>佛山映月湖环宇城|销售额（不含车）（万元）|年度</v>
      </c>
      <c r="M1269">
        <f>IF($A1269="",0,IF(COUNTIF($L$2:$L1269,$L1269)=1,1,0))</f>
        <v>0</v>
      </c>
      <c r="N1269">
        <f t="shared" si="291"/>
        <v>20230</v>
      </c>
      <c r="O1269" t="str">
        <f t="shared" si="292"/>
        <v>华夏中海消费封闭式基础设施证券投资基金|2023|年度</v>
      </c>
      <c r="P1269">
        <f>IF($A1269="",0,IF(COUNTIF($O$2:$O1269,$O1269)=1,1,0))</f>
        <v>0</v>
      </c>
      <c r="Q1269" t="str">
        <f>IF(AND($P1269=1,$A1269=经营数据!$B$3,$J1269=经营数据!$BA$5),COUNTIFS($P$2:$P$3000,1,$A$2:$A$3000,$A1269,$J$2:$J$3000,$J1269,$N$2:$N$3000,"&lt;"&amp;$N1269)+1,"")</f>
        <v/>
      </c>
      <c r="R1269" t="str">
        <f t="shared" si="293"/>
        <v>华夏中海消费封闭式基础设施证券投资基金|佛山映月湖环宇城</v>
      </c>
      <c r="S1269">
        <f>IF($A1269="",0,IF(COUNTIF($R$2:$R1269,$R1269)=1,1,0))</f>
        <v>0</v>
      </c>
      <c r="T1269">
        <f t="shared" si="294"/>
        <v>1244</v>
      </c>
      <c r="U1269" t="str">
        <f>IF($A1269="","",IF($A1269=经营数据!$B$3,COUNTIFS($S$2:$S$3000,1,$A$2:$A$3000,$A1269,$T$2:$T$3000,"&lt;"&amp;$T1269)+1,""))</f>
        <v/>
      </c>
      <c r="V1269" t="str">
        <f t="shared" si="295"/>
        <v>佛山映月湖环宇城|服务金额</v>
      </c>
      <c r="W1269">
        <f t="shared" si="296"/>
        <v>1244</v>
      </c>
      <c r="X1269" t="str">
        <f t="shared" si="297"/>
        <v>佛山映月湖环宇城|销售额（不含车）</v>
      </c>
      <c r="Y1269">
        <f t="shared" si="298"/>
        <v>1247</v>
      </c>
      <c r="Z1269">
        <f>IF($A1269="",0,IF(AND($M1269=1,$A1269=经营数据!$B$3,$J1269=经营数据!$BA$5,OR($I1269=经营数据!$BA$4,COUNTIF(经营数据!$AA$9:$AA$38,$I1269)&gt;0)),1,0))</f>
        <v>0</v>
      </c>
      <c r="AA1269" t="str">
        <f t="shared" si="299"/>
        <v/>
      </c>
      <c r="AB1269" t="str">
        <f t="shared" si="300"/>
        <v/>
      </c>
      <c r="AC1269">
        <f>IF($A1269="",0,IF(COUNTIF($A$2:$A1269,$A1269)=1,1,0))</f>
        <v>0</v>
      </c>
      <c r="AD1269">
        <f t="shared" si="301"/>
        <v>12</v>
      </c>
      <c r="AE1269" t="str">
        <f t="shared" si="302"/>
        <v>佛山映月湖环宇城|销售额（不含车）（万元）</v>
      </c>
    </row>
    <row r="1270" spans="1:31" x14ac:dyDescent="0.4">
      <c r="A1270" t="str">
        <f>IF(原始经营数据!$D1271="","",原始经营数据!$D1271)</f>
        <v>华夏中海消费封闭式基础设施证券投资基金</v>
      </c>
      <c r="B1270" t="str">
        <f>IF(原始经营数据!$D1271="","",T(原始经营数据!$E1271))</f>
        <v>佛山映月湖环宇城</v>
      </c>
      <c r="C1270" t="str">
        <f>IF(原始经营数据!$D1271="","",原始经营数据!$F1271)</f>
        <v>2023</v>
      </c>
      <c r="D1270" t="str">
        <f>IF(原始经营数据!$D1271="","",原始经营数据!$H1271)</f>
        <v>客流量</v>
      </c>
      <c r="E1270">
        <f>IF(原始经营数据!$D1271="","",原始经营数据!$I1271)</f>
        <v>1349</v>
      </c>
      <c r="F1270" t="str">
        <f>IF(原始经营数据!$D1271="","",T(原始经营数据!$J1271))</f>
        <v>万人</v>
      </c>
      <c r="G1270" t="str">
        <f>IF(原始经营数据!$D1271="","",T(原始经营数据!$K1271))</f>
        <v/>
      </c>
      <c r="H1270" t="str">
        <f>IF(原始经营数据!$D1271="","",原始经营数据!$G1271)</f>
        <v>服务量</v>
      </c>
      <c r="I1270" t="str">
        <f>IF($A1270="","",IF($B1270&lt;&gt;"",$B1270,IF(COUNTIFS(原始经营数据!$D$3:$D$3001,$A1270,原始经营数据!$E$3:$E$3001,"",原始经营数据!$F$3:$F$3001,$C1270,原始经营数据!$H$3:$H$3001,$D1270,原始经营数据!$K$3:$K$3001,$G1270)&gt;1,"基金整体·来源"&amp;原始经营数据!$A1271,"基金整体")))</f>
        <v>佛山映月湖环宇城</v>
      </c>
      <c r="J1270" t="str">
        <f t="shared" si="288"/>
        <v>年度</v>
      </c>
      <c r="K1270" t="str">
        <f t="shared" si="289"/>
        <v>客流量（万人）</v>
      </c>
      <c r="L1270" t="str">
        <f t="shared" si="290"/>
        <v>佛山映月湖环宇城|客流量（万人）|年度</v>
      </c>
      <c r="M1270">
        <f>IF($A1270="",0,IF(COUNTIF($L$2:$L1270,$L1270)=1,1,0))</f>
        <v>0</v>
      </c>
      <c r="N1270">
        <f t="shared" si="291"/>
        <v>20230</v>
      </c>
      <c r="O1270" t="str">
        <f t="shared" si="292"/>
        <v>华夏中海消费封闭式基础设施证券投资基金|2023|年度</v>
      </c>
      <c r="P1270">
        <f>IF($A1270="",0,IF(COUNTIF($O$2:$O1270,$O1270)=1,1,0))</f>
        <v>0</v>
      </c>
      <c r="Q1270" t="str">
        <f>IF(AND($P1270=1,$A1270=经营数据!$B$3,$J1270=经营数据!$BA$5),COUNTIFS($P$2:$P$3000,1,$A$2:$A$3000,$A1270,$J$2:$J$3000,$J1270,$N$2:$N$3000,"&lt;"&amp;$N1270)+1,"")</f>
        <v/>
      </c>
      <c r="R1270" t="str">
        <f t="shared" si="293"/>
        <v>华夏中海消费封闭式基础设施证券投资基金|佛山映月湖环宇城</v>
      </c>
      <c r="S1270">
        <f>IF($A1270="",0,IF(COUNTIF($R$2:$R1270,$R1270)=1,1,0))</f>
        <v>0</v>
      </c>
      <c r="T1270">
        <f t="shared" si="294"/>
        <v>1244</v>
      </c>
      <c r="U1270" t="str">
        <f>IF($A1270="","",IF($A1270=经营数据!$B$3,COUNTIFS($S$2:$S$3000,1,$A$2:$A$3000,$A1270,$T$2:$T$3000,"&lt;"&amp;$T1270)+1,""))</f>
        <v/>
      </c>
      <c r="V1270" t="str">
        <f t="shared" si="295"/>
        <v>佛山映月湖环宇城|服务量</v>
      </c>
      <c r="W1270">
        <f t="shared" si="296"/>
        <v>1248</v>
      </c>
      <c r="X1270" t="str">
        <f t="shared" si="297"/>
        <v>佛山映月湖环宇城|客流量</v>
      </c>
      <c r="Y1270">
        <f t="shared" si="298"/>
        <v>1254</v>
      </c>
      <c r="Z1270">
        <f>IF($A1270="",0,IF(AND($M1270=1,$A1270=经营数据!$B$3,$J1270=经营数据!$BA$5,OR($I1270=经营数据!$BA$4,COUNTIF(经营数据!$AA$9:$AA$38,$I1270)&gt;0)),1,0))</f>
        <v>0</v>
      </c>
      <c r="AA1270" t="str">
        <f t="shared" si="299"/>
        <v/>
      </c>
      <c r="AB1270" t="str">
        <f t="shared" si="300"/>
        <v/>
      </c>
      <c r="AC1270">
        <f>IF($A1270="",0,IF(COUNTIF($A$2:$A1270,$A1270)=1,1,0))</f>
        <v>0</v>
      </c>
      <c r="AD1270">
        <f t="shared" si="301"/>
        <v>12</v>
      </c>
      <c r="AE1270" t="str">
        <f t="shared" si="302"/>
        <v>佛山映月湖环宇城|客流量（万人）</v>
      </c>
    </row>
    <row r="1271" spans="1:31" x14ac:dyDescent="0.4">
      <c r="A1271" t="str">
        <f>IF(原始经营数据!$D1272="","",原始经营数据!$D1272)</f>
        <v>华夏中海消费封闭式基础设施证券投资基金</v>
      </c>
      <c r="B1271" t="str">
        <f>IF(原始经营数据!$D1272="","",T(原始经营数据!$E1272))</f>
        <v>佛山映月湖环宇城</v>
      </c>
      <c r="C1271" t="str">
        <f>IF(原始经营数据!$D1272="","",原始经营数据!$F1272)</f>
        <v>2023</v>
      </c>
      <c r="D1271" t="str">
        <f>IF(原始经营数据!$D1272="","",原始经营数据!$H1272)</f>
        <v>租售比</v>
      </c>
      <c r="E1271">
        <f>IF(原始经营数据!$D1272="","",原始经营数据!$I1272)</f>
        <v>12.74</v>
      </c>
      <c r="F1271" t="str">
        <f>IF(原始经营数据!$D1272="","",T(原始经营数据!$J1272))</f>
        <v>%</v>
      </c>
      <c r="G1271" t="str">
        <f>IF(原始经营数据!$D1272="","",T(原始经营数据!$K1272))</f>
        <v/>
      </c>
      <c r="H1271" t="str">
        <f>IF(原始经营数据!$D1272="","",原始经营数据!$G1272)</f>
        <v>服务效率</v>
      </c>
      <c r="I1271" t="str">
        <f>IF($A1271="","",IF($B1271&lt;&gt;"",$B1271,IF(COUNTIFS(原始经营数据!$D$3:$D$3001,$A1271,原始经营数据!$E$3:$E$3001,"",原始经营数据!$F$3:$F$3001,$C1271,原始经营数据!$H$3:$H$3001,$D1271,原始经营数据!$K$3:$K$3001,$G1271)&gt;1,"基金整体·来源"&amp;原始经营数据!$A1272,"基金整体")))</f>
        <v>佛山映月湖环宇城</v>
      </c>
      <c r="J1271" t="str">
        <f t="shared" si="288"/>
        <v>年度</v>
      </c>
      <c r="K1271" t="str">
        <f t="shared" si="289"/>
        <v>租售比（%）</v>
      </c>
      <c r="L1271" t="str">
        <f t="shared" si="290"/>
        <v>佛山映月湖环宇城|租售比（%）|年度</v>
      </c>
      <c r="M1271">
        <f>IF($A1271="",0,IF(COUNTIF($L$2:$L1271,$L1271)=1,1,0))</f>
        <v>0</v>
      </c>
      <c r="N1271">
        <f t="shared" si="291"/>
        <v>20230</v>
      </c>
      <c r="O1271" t="str">
        <f t="shared" si="292"/>
        <v>华夏中海消费封闭式基础设施证券投资基金|2023|年度</v>
      </c>
      <c r="P1271">
        <f>IF($A1271="",0,IF(COUNTIF($O$2:$O1271,$O1271)=1,1,0))</f>
        <v>0</v>
      </c>
      <c r="Q1271" t="str">
        <f>IF(AND($P1271=1,$A1271=经营数据!$B$3,$J1271=经营数据!$BA$5),COUNTIFS($P$2:$P$3000,1,$A$2:$A$3000,$A1271,$J$2:$J$3000,$J1271,$N$2:$N$3000,"&lt;"&amp;$N1271)+1,"")</f>
        <v/>
      </c>
      <c r="R1271" t="str">
        <f t="shared" si="293"/>
        <v>华夏中海消费封闭式基础设施证券投资基金|佛山映月湖环宇城</v>
      </c>
      <c r="S1271">
        <f>IF($A1271="",0,IF(COUNTIF($R$2:$R1271,$R1271)=1,1,0))</f>
        <v>0</v>
      </c>
      <c r="T1271">
        <f t="shared" si="294"/>
        <v>1244</v>
      </c>
      <c r="U1271" t="str">
        <f>IF($A1271="","",IF($A1271=经营数据!$B$3,COUNTIFS($S$2:$S$3000,1,$A$2:$A$3000,$A1271,$T$2:$T$3000,"&lt;"&amp;$T1271)+1,""))</f>
        <v/>
      </c>
      <c r="V1271" t="str">
        <f t="shared" si="295"/>
        <v>佛山映月湖环宇城|服务效率</v>
      </c>
      <c r="W1271">
        <f t="shared" si="296"/>
        <v>1253</v>
      </c>
      <c r="X1271" t="str">
        <f t="shared" si="297"/>
        <v>佛山映月湖环宇城|租售比</v>
      </c>
      <c r="Y1271">
        <f t="shared" si="298"/>
        <v>1253</v>
      </c>
      <c r="Z1271">
        <f>IF($A1271="",0,IF(AND($M1271=1,$A1271=经营数据!$B$3,$J1271=经营数据!$BA$5,OR($I1271=经营数据!$BA$4,COUNTIF(经营数据!$AA$9:$AA$38,$I1271)&gt;0)),1,0))</f>
        <v>0</v>
      </c>
      <c r="AA1271" t="str">
        <f t="shared" si="299"/>
        <v/>
      </c>
      <c r="AB1271" t="str">
        <f t="shared" si="300"/>
        <v/>
      </c>
      <c r="AC1271">
        <f>IF($A1271="",0,IF(COUNTIF($A$2:$A1271,$A1271)=1,1,0))</f>
        <v>0</v>
      </c>
      <c r="AD1271">
        <f t="shared" si="301"/>
        <v>12</v>
      </c>
      <c r="AE1271" t="str">
        <f t="shared" si="302"/>
        <v>佛山映月湖环宇城|租售比（%）</v>
      </c>
    </row>
    <row r="1272" spans="1:31" x14ac:dyDescent="0.4">
      <c r="A1272" t="str">
        <f>IF(原始经营数据!$D1273="","",原始经营数据!$D1273)</f>
        <v>华夏中海消费封闭式基础设施证券投资基金</v>
      </c>
      <c r="B1272" t="str">
        <f>IF(原始经营数据!$D1273="","",T(原始经营数据!$E1273))</f>
        <v>佛山映月湖环宇城</v>
      </c>
      <c r="C1272" t="str">
        <f>IF(原始经营数据!$D1273="","",原始经营数据!$F1273)</f>
        <v>2023</v>
      </c>
      <c r="D1272" t="str">
        <f>IF(原始经营数据!$D1273="","",原始经营数据!$H1273)</f>
        <v>月租金坪效</v>
      </c>
      <c r="E1272">
        <f>IF(原始经营数据!$D1273="","",原始经营数据!$I1273)</f>
        <v>136.62</v>
      </c>
      <c r="F1272" t="str">
        <f>IF(原始经营数据!$D1273="","",T(原始经营数据!$J1273))</f>
        <v>元/平方米</v>
      </c>
      <c r="G1272" t="str">
        <f>IF(原始经营数据!$D1273="","",T(原始经营数据!$K1273))</f>
        <v/>
      </c>
      <c r="H1272" t="str">
        <f>IF(原始经营数据!$D1273="","",原始经营数据!$G1273)</f>
        <v>服务价格</v>
      </c>
      <c r="I1272" t="str">
        <f>IF($A1272="","",IF($B1272&lt;&gt;"",$B1272,IF(COUNTIFS(原始经营数据!$D$3:$D$3001,$A1272,原始经营数据!$E$3:$E$3001,"",原始经营数据!$F$3:$F$3001,$C1272,原始经营数据!$H$3:$H$3001,$D1272,原始经营数据!$K$3:$K$3001,$G1272)&gt;1,"基金整体·来源"&amp;原始经营数据!$A1273,"基金整体")))</f>
        <v>佛山映月湖环宇城</v>
      </c>
      <c r="J1272" t="str">
        <f t="shared" si="288"/>
        <v>年度</v>
      </c>
      <c r="K1272" t="str">
        <f t="shared" si="289"/>
        <v>月租金坪效（元/平方米）</v>
      </c>
      <c r="L1272" t="str">
        <f t="shared" si="290"/>
        <v>佛山映月湖环宇城|月租金坪效（元/平方米）|年度</v>
      </c>
      <c r="M1272">
        <f>IF($A1272="",0,IF(COUNTIF($L$2:$L1272,$L1272)=1,1,0))</f>
        <v>0</v>
      </c>
      <c r="N1272">
        <f t="shared" si="291"/>
        <v>20230</v>
      </c>
      <c r="O1272" t="str">
        <f t="shared" si="292"/>
        <v>华夏中海消费封闭式基础设施证券投资基金|2023|年度</v>
      </c>
      <c r="P1272">
        <f>IF($A1272="",0,IF(COUNTIF($O$2:$O1272,$O1272)=1,1,0))</f>
        <v>0</v>
      </c>
      <c r="Q1272" t="str">
        <f>IF(AND($P1272=1,$A1272=经营数据!$B$3,$J1272=经营数据!$BA$5),COUNTIFS($P$2:$P$3000,1,$A$2:$A$3000,$A1272,$J$2:$J$3000,$J1272,$N$2:$N$3000,"&lt;"&amp;$N1272)+1,"")</f>
        <v/>
      </c>
      <c r="R1272" t="str">
        <f t="shared" si="293"/>
        <v>华夏中海消费封闭式基础设施证券投资基金|佛山映月湖环宇城</v>
      </c>
      <c r="S1272">
        <f>IF($A1272="",0,IF(COUNTIF($R$2:$R1272,$R1272)=1,1,0))</f>
        <v>0</v>
      </c>
      <c r="T1272">
        <f t="shared" si="294"/>
        <v>1244</v>
      </c>
      <c r="U1272" t="str">
        <f>IF($A1272="","",IF($A1272=经营数据!$B$3,COUNTIFS($S$2:$S$3000,1,$A$2:$A$3000,$A1272,$T$2:$T$3000,"&lt;"&amp;$T1272)+1,""))</f>
        <v/>
      </c>
      <c r="V1272" t="str">
        <f t="shared" si="295"/>
        <v>佛山映月湖环宇城|服务价格</v>
      </c>
      <c r="W1272">
        <f t="shared" si="296"/>
        <v>1250</v>
      </c>
      <c r="X1272" t="str">
        <f t="shared" si="297"/>
        <v>佛山映月湖环宇城|月租金坪效</v>
      </c>
      <c r="Y1272">
        <f t="shared" si="298"/>
        <v>1256</v>
      </c>
      <c r="Z1272">
        <f>IF($A1272="",0,IF(AND($M1272=1,$A1272=经营数据!$B$3,$J1272=经营数据!$BA$5,OR($I1272=经营数据!$BA$4,COUNTIF(经营数据!$AA$9:$AA$38,$I1272)&gt;0)),1,0))</f>
        <v>0</v>
      </c>
      <c r="AA1272" t="str">
        <f t="shared" si="299"/>
        <v/>
      </c>
      <c r="AB1272" t="str">
        <f t="shared" si="300"/>
        <v/>
      </c>
      <c r="AC1272">
        <f>IF($A1272="",0,IF(COUNTIF($A$2:$A1272,$A1272)=1,1,0))</f>
        <v>0</v>
      </c>
      <c r="AD1272">
        <f t="shared" si="301"/>
        <v>12</v>
      </c>
      <c r="AE1272" t="str">
        <f t="shared" si="302"/>
        <v>佛山映月湖环宇城|月租金坪效（元/平方米）</v>
      </c>
    </row>
    <row r="1273" spans="1:31" x14ac:dyDescent="0.4">
      <c r="A1273" t="str">
        <f>IF(原始经营数据!$D1274="","",原始经营数据!$D1274)</f>
        <v>华夏中海消费封闭式基础设施证券投资基金</v>
      </c>
      <c r="B1273" t="str">
        <f>IF(原始经营数据!$D1274="","",T(原始经营数据!$E1274))</f>
        <v>佛山映月湖环宇城</v>
      </c>
      <c r="C1273" t="str">
        <f>IF(原始经营数据!$D1274="","",原始经营数据!$F1274)</f>
        <v>2023</v>
      </c>
      <c r="D1273" t="str">
        <f>IF(原始经营数据!$D1274="","",原始经营数据!$H1274)</f>
        <v>期末时点出租率</v>
      </c>
      <c r="E1273">
        <f>IF(原始经营数据!$D1274="","",原始经营数据!$I1274)</f>
        <v>98.56</v>
      </c>
      <c r="F1273" t="str">
        <f>IF(原始经营数据!$D1274="","",T(原始经营数据!$J1274))</f>
        <v>%</v>
      </c>
      <c r="G1273" t="str">
        <f>IF(原始经营数据!$D1274="","",T(原始经营数据!$K1274))</f>
        <v/>
      </c>
      <c r="H1273" t="str">
        <f>IF(原始经营数据!$D1274="","",原始经营数据!$G1274)</f>
        <v>服务效率</v>
      </c>
      <c r="I1273" t="str">
        <f>IF($A1273="","",IF($B1273&lt;&gt;"",$B1273,IF(COUNTIFS(原始经营数据!$D$3:$D$3001,$A1273,原始经营数据!$E$3:$E$3001,"",原始经营数据!$F$3:$F$3001,$C1273,原始经营数据!$H$3:$H$3001,$D1273,原始经营数据!$K$3:$K$3001,$G1273)&gt;1,"基金整体·来源"&amp;原始经营数据!$A1274,"基金整体")))</f>
        <v>佛山映月湖环宇城</v>
      </c>
      <c r="J1273" t="str">
        <f t="shared" si="288"/>
        <v>年度</v>
      </c>
      <c r="K1273" t="str">
        <f t="shared" si="289"/>
        <v>期末时点出租率（%）</v>
      </c>
      <c r="L1273" t="str">
        <f t="shared" si="290"/>
        <v>佛山映月湖环宇城|期末时点出租率（%）|年度</v>
      </c>
      <c r="M1273">
        <f>IF($A1273="",0,IF(COUNTIF($L$2:$L1273,$L1273)=1,1,0))</f>
        <v>0</v>
      </c>
      <c r="N1273">
        <f t="shared" si="291"/>
        <v>20230</v>
      </c>
      <c r="O1273" t="str">
        <f t="shared" si="292"/>
        <v>华夏中海消费封闭式基础设施证券投资基金|2023|年度</v>
      </c>
      <c r="P1273">
        <f>IF($A1273="",0,IF(COUNTIF($O$2:$O1273,$O1273)=1,1,0))</f>
        <v>0</v>
      </c>
      <c r="Q1273" t="str">
        <f>IF(AND($P1273=1,$A1273=经营数据!$B$3,$J1273=经营数据!$BA$5),COUNTIFS($P$2:$P$3000,1,$A$2:$A$3000,$A1273,$J$2:$J$3000,$J1273,$N$2:$N$3000,"&lt;"&amp;$N1273)+1,"")</f>
        <v/>
      </c>
      <c r="R1273" t="str">
        <f t="shared" si="293"/>
        <v>华夏中海消费封闭式基础设施证券投资基金|佛山映月湖环宇城</v>
      </c>
      <c r="S1273">
        <f>IF($A1273="",0,IF(COUNTIF($R$2:$R1273,$R1273)=1,1,0))</f>
        <v>0</v>
      </c>
      <c r="T1273">
        <f t="shared" si="294"/>
        <v>1244</v>
      </c>
      <c r="U1273" t="str">
        <f>IF($A1273="","",IF($A1273=经营数据!$B$3,COUNTIFS($S$2:$S$3000,1,$A$2:$A$3000,$A1273,$T$2:$T$3000,"&lt;"&amp;$T1273)+1,""))</f>
        <v/>
      </c>
      <c r="V1273" t="str">
        <f t="shared" si="295"/>
        <v>佛山映月湖环宇城|服务效率</v>
      </c>
      <c r="W1273">
        <f t="shared" si="296"/>
        <v>1253</v>
      </c>
      <c r="X1273" t="str">
        <f t="shared" si="297"/>
        <v>佛山映月湖环宇城|期末时点出租率</v>
      </c>
      <c r="Y1273">
        <f t="shared" si="298"/>
        <v>1258</v>
      </c>
      <c r="Z1273">
        <f>IF($A1273="",0,IF(AND($M1273=1,$A1273=经营数据!$B$3,$J1273=经营数据!$BA$5,OR($I1273=经营数据!$BA$4,COUNTIF(经营数据!$AA$9:$AA$38,$I1273)&gt;0)),1,0))</f>
        <v>0</v>
      </c>
      <c r="AA1273" t="str">
        <f t="shared" si="299"/>
        <v/>
      </c>
      <c r="AB1273" t="str">
        <f t="shared" si="300"/>
        <v/>
      </c>
      <c r="AC1273">
        <f>IF($A1273="",0,IF(COUNTIF($A$2:$A1273,$A1273)=1,1,0))</f>
        <v>0</v>
      </c>
      <c r="AD1273">
        <f t="shared" si="301"/>
        <v>12</v>
      </c>
      <c r="AE1273" t="str">
        <f t="shared" si="302"/>
        <v>佛山映月湖环宇城|期末时点出租率（%）</v>
      </c>
    </row>
    <row r="1274" spans="1:31" x14ac:dyDescent="0.4">
      <c r="A1274" t="str">
        <f>IF(原始经营数据!$D1275="","",原始经营数据!$D1275)</f>
        <v>华夏中海消费封闭式基础设施证券投资基金</v>
      </c>
      <c r="B1274" t="str">
        <f>IF(原始经营数据!$D1275="","",T(原始经营数据!$E1275))</f>
        <v>佛山映月湖环宇城</v>
      </c>
      <c r="C1274" t="str">
        <f>IF(原始经营数据!$D1275="","",原始经营数据!$F1275)</f>
        <v>2023</v>
      </c>
      <c r="D1274" t="str">
        <f>IF(原始经营数据!$D1275="","",原始经营数据!$H1275)</f>
        <v>加权平均出租率</v>
      </c>
      <c r="E1274">
        <f>IF(原始经营数据!$D1275="","",原始经营数据!$I1275)</f>
        <v>97.67</v>
      </c>
      <c r="F1274" t="str">
        <f>IF(原始经营数据!$D1275="","",T(原始经营数据!$J1275))</f>
        <v>%</v>
      </c>
      <c r="G1274" t="str">
        <f>IF(原始经营数据!$D1275="","",T(原始经营数据!$K1275))</f>
        <v/>
      </c>
      <c r="H1274" t="str">
        <f>IF(原始经营数据!$D1275="","",原始经营数据!$G1275)</f>
        <v>服务效率</v>
      </c>
      <c r="I1274" t="str">
        <f>IF($A1274="","",IF($B1274&lt;&gt;"",$B1274,IF(COUNTIFS(原始经营数据!$D$3:$D$3001,$A1274,原始经营数据!$E$3:$E$3001,"",原始经营数据!$F$3:$F$3001,$C1274,原始经营数据!$H$3:$H$3001,$D1274,原始经营数据!$K$3:$K$3001,$G1274)&gt;1,"基金整体·来源"&amp;原始经营数据!$A1275,"基金整体")))</f>
        <v>佛山映月湖环宇城</v>
      </c>
      <c r="J1274" t="str">
        <f t="shared" si="288"/>
        <v>年度</v>
      </c>
      <c r="K1274" t="str">
        <f t="shared" si="289"/>
        <v>加权平均出租率（%）</v>
      </c>
      <c r="L1274" t="str">
        <f t="shared" si="290"/>
        <v>佛山映月湖环宇城|加权平均出租率（%）|年度</v>
      </c>
      <c r="M1274">
        <f>IF($A1274="",0,IF(COUNTIF($L$2:$L1274,$L1274)=1,1,0))</f>
        <v>0</v>
      </c>
      <c r="N1274">
        <f t="shared" si="291"/>
        <v>20230</v>
      </c>
      <c r="O1274" t="str">
        <f t="shared" si="292"/>
        <v>华夏中海消费封闭式基础设施证券投资基金|2023|年度</v>
      </c>
      <c r="P1274">
        <f>IF($A1274="",0,IF(COUNTIF($O$2:$O1274,$O1274)=1,1,0))</f>
        <v>0</v>
      </c>
      <c r="Q1274" t="str">
        <f>IF(AND($P1274=1,$A1274=经营数据!$B$3,$J1274=经营数据!$BA$5),COUNTIFS($P$2:$P$3000,1,$A$2:$A$3000,$A1274,$J$2:$J$3000,$J1274,$N$2:$N$3000,"&lt;"&amp;$N1274)+1,"")</f>
        <v/>
      </c>
      <c r="R1274" t="str">
        <f t="shared" si="293"/>
        <v>华夏中海消费封闭式基础设施证券投资基金|佛山映月湖环宇城</v>
      </c>
      <c r="S1274">
        <f>IF($A1274="",0,IF(COUNTIF($R$2:$R1274,$R1274)=1,1,0))</f>
        <v>0</v>
      </c>
      <c r="T1274">
        <f t="shared" si="294"/>
        <v>1244</v>
      </c>
      <c r="U1274" t="str">
        <f>IF($A1274="","",IF($A1274=经营数据!$B$3,COUNTIFS($S$2:$S$3000,1,$A$2:$A$3000,$A1274,$T$2:$T$3000,"&lt;"&amp;$T1274)+1,""))</f>
        <v/>
      </c>
      <c r="V1274" t="str">
        <f t="shared" si="295"/>
        <v>佛山映月湖环宇城|服务效率</v>
      </c>
      <c r="W1274">
        <f t="shared" si="296"/>
        <v>1253</v>
      </c>
      <c r="X1274" t="str">
        <f t="shared" si="297"/>
        <v>佛山映月湖环宇城|加权平均出租率</v>
      </c>
      <c r="Y1274">
        <f t="shared" si="298"/>
        <v>1259</v>
      </c>
      <c r="Z1274">
        <f>IF($A1274="",0,IF(AND($M1274=1,$A1274=经营数据!$B$3,$J1274=经营数据!$BA$5,OR($I1274=经营数据!$BA$4,COUNTIF(经营数据!$AA$9:$AA$38,$I1274)&gt;0)),1,0))</f>
        <v>0</v>
      </c>
      <c r="AA1274" t="str">
        <f t="shared" si="299"/>
        <v/>
      </c>
      <c r="AB1274" t="str">
        <f t="shared" si="300"/>
        <v/>
      </c>
      <c r="AC1274">
        <f>IF($A1274="",0,IF(COUNTIF($A$2:$A1274,$A1274)=1,1,0))</f>
        <v>0</v>
      </c>
      <c r="AD1274">
        <f t="shared" si="301"/>
        <v>12</v>
      </c>
      <c r="AE1274" t="str">
        <f t="shared" si="302"/>
        <v>佛山映月湖环宇城|加权平均出租率（%）</v>
      </c>
    </row>
    <row r="1275" spans="1:31" x14ac:dyDescent="0.4">
      <c r="A1275" t="str">
        <f>IF(原始经营数据!$D1276="","",原始经营数据!$D1276)</f>
        <v>华夏中海消费封闭式基础设施证券投资基金</v>
      </c>
      <c r="B1275" t="str">
        <f>IF(原始经营数据!$D1276="","",T(原始经营数据!$E1276))</f>
        <v>佛山映月湖环宇城</v>
      </c>
      <c r="C1275" t="str">
        <f>IF(原始经营数据!$D1276="","",原始经营数据!$F1276)</f>
        <v>2023</v>
      </c>
      <c r="D1275" t="str">
        <f>IF(原始经营数据!$D1276="","",原始经营数据!$H1276)</f>
        <v>续租率</v>
      </c>
      <c r="E1275">
        <f>IF(原始经营数据!$D1276="","",原始经营数据!$I1276)</f>
        <v>39.81</v>
      </c>
      <c r="F1275" t="str">
        <f>IF(原始经营数据!$D1276="","",T(原始经营数据!$J1276))</f>
        <v>%</v>
      </c>
      <c r="G1275" t="str">
        <f>IF(原始经营数据!$D1276="","",T(原始经营数据!$K1276))</f>
        <v/>
      </c>
      <c r="H1275" t="str">
        <f>IF(原始经营数据!$D1276="","",原始经营数据!$G1276)</f>
        <v>服务效率</v>
      </c>
      <c r="I1275" t="str">
        <f>IF($A1275="","",IF($B1275&lt;&gt;"",$B1275,IF(COUNTIFS(原始经营数据!$D$3:$D$3001,$A1275,原始经营数据!$E$3:$E$3001,"",原始经营数据!$F$3:$F$3001,$C1275,原始经营数据!$H$3:$H$3001,$D1275,原始经营数据!$K$3:$K$3001,$G1275)&gt;1,"基金整体·来源"&amp;原始经营数据!$A1276,"基金整体")))</f>
        <v>佛山映月湖环宇城</v>
      </c>
      <c r="J1275" t="str">
        <f t="shared" si="288"/>
        <v>年度</v>
      </c>
      <c r="K1275" t="str">
        <f t="shared" si="289"/>
        <v>续租率（%）</v>
      </c>
      <c r="L1275" t="str">
        <f t="shared" si="290"/>
        <v>佛山映月湖环宇城|续租率（%）|年度</v>
      </c>
      <c r="M1275">
        <f>IF($A1275="",0,IF(COUNTIF($L$2:$L1275,$L1275)=1,1,0))</f>
        <v>0</v>
      </c>
      <c r="N1275">
        <f t="shared" si="291"/>
        <v>20230</v>
      </c>
      <c r="O1275" t="str">
        <f t="shared" si="292"/>
        <v>华夏中海消费封闭式基础设施证券投资基金|2023|年度</v>
      </c>
      <c r="P1275">
        <f>IF($A1275="",0,IF(COUNTIF($O$2:$O1275,$O1275)=1,1,0))</f>
        <v>0</v>
      </c>
      <c r="Q1275" t="str">
        <f>IF(AND($P1275=1,$A1275=经营数据!$B$3,$J1275=经营数据!$BA$5),COUNTIFS($P$2:$P$3000,1,$A$2:$A$3000,$A1275,$J$2:$J$3000,$J1275,$N$2:$N$3000,"&lt;"&amp;$N1275)+1,"")</f>
        <v/>
      </c>
      <c r="R1275" t="str">
        <f t="shared" si="293"/>
        <v>华夏中海消费封闭式基础设施证券投资基金|佛山映月湖环宇城</v>
      </c>
      <c r="S1275">
        <f>IF($A1275="",0,IF(COUNTIF($R$2:$R1275,$R1275)=1,1,0))</f>
        <v>0</v>
      </c>
      <c r="T1275">
        <f t="shared" si="294"/>
        <v>1244</v>
      </c>
      <c r="U1275" t="str">
        <f>IF($A1275="","",IF($A1275=经营数据!$B$3,COUNTIFS($S$2:$S$3000,1,$A$2:$A$3000,$A1275,$T$2:$T$3000,"&lt;"&amp;$T1275)+1,""))</f>
        <v/>
      </c>
      <c r="V1275" t="str">
        <f t="shared" si="295"/>
        <v>佛山映月湖环宇城|服务效率</v>
      </c>
      <c r="W1275">
        <f t="shared" si="296"/>
        <v>1253</v>
      </c>
      <c r="X1275" t="str">
        <f t="shared" si="297"/>
        <v>佛山映月湖环宇城|续租率</v>
      </c>
      <c r="Y1275">
        <f t="shared" si="298"/>
        <v>1260</v>
      </c>
      <c r="Z1275">
        <f>IF($A1275="",0,IF(AND($M1275=1,$A1275=经营数据!$B$3,$J1275=经营数据!$BA$5,OR($I1275=经营数据!$BA$4,COUNTIF(经营数据!$AA$9:$AA$38,$I1275)&gt;0)),1,0))</f>
        <v>0</v>
      </c>
      <c r="AA1275" t="str">
        <f t="shared" si="299"/>
        <v/>
      </c>
      <c r="AB1275" t="str">
        <f t="shared" si="300"/>
        <v/>
      </c>
      <c r="AC1275">
        <f>IF($A1275="",0,IF(COUNTIF($A$2:$A1275,$A1275)=1,1,0))</f>
        <v>0</v>
      </c>
      <c r="AD1275">
        <f t="shared" si="301"/>
        <v>12</v>
      </c>
      <c r="AE1275" t="str">
        <f t="shared" si="302"/>
        <v>佛山映月湖环宇城|续租率（%）</v>
      </c>
    </row>
    <row r="1276" spans="1:31" x14ac:dyDescent="0.4">
      <c r="A1276" t="str">
        <f>IF(原始经营数据!$D1277="","",原始经营数据!$D1277)</f>
        <v>华夏中海消费封闭式基础设施证券投资基金</v>
      </c>
      <c r="B1276" t="str">
        <f>IF(原始经营数据!$D1277="","",T(原始经营数据!$E1277))</f>
        <v>佛山映月湖环宇城</v>
      </c>
      <c r="C1276" t="str">
        <f>IF(原始经营数据!$D1277="","",原始经营数据!$F1277)</f>
        <v>2023</v>
      </c>
      <c r="D1276" t="str">
        <f>IF(原始经营数据!$D1277="","",原始经营数据!$H1277)</f>
        <v>平均固定租金单价（不含税）</v>
      </c>
      <c r="E1276">
        <f>IF(原始经营数据!$D1277="","",原始经营数据!$I1277)</f>
        <v>95.59</v>
      </c>
      <c r="F1276" t="str">
        <f>IF(原始经营数据!$D1277="","",T(原始经营数据!$J1277))</f>
        <v>元/平方米</v>
      </c>
      <c r="G1276" t="str">
        <f>IF(原始经营数据!$D1277="","",T(原始经营数据!$K1277))</f>
        <v/>
      </c>
      <c r="H1276" t="str">
        <f>IF(原始经营数据!$D1277="","",原始经营数据!$G1277)</f>
        <v>服务价格</v>
      </c>
      <c r="I1276" t="str">
        <f>IF($A1276="","",IF($B1276&lt;&gt;"",$B1276,IF(COUNTIFS(原始经营数据!$D$3:$D$3001,$A1276,原始经营数据!$E$3:$E$3001,"",原始经营数据!$F$3:$F$3001,$C1276,原始经营数据!$H$3:$H$3001,$D1276,原始经营数据!$K$3:$K$3001,$G1276)&gt;1,"基金整体·来源"&amp;原始经营数据!$A1277,"基金整体")))</f>
        <v>佛山映月湖环宇城</v>
      </c>
      <c r="J1276" t="str">
        <f t="shared" si="288"/>
        <v>年度</v>
      </c>
      <c r="K1276" t="str">
        <f t="shared" si="289"/>
        <v>平均固定租金单价（不含税）（元/平方米）</v>
      </c>
      <c r="L1276" t="str">
        <f t="shared" si="290"/>
        <v>佛山映月湖环宇城|平均固定租金单价（不含税）（元/平方米）|年度</v>
      </c>
      <c r="M1276">
        <f>IF($A1276="",0,IF(COUNTIF($L$2:$L1276,$L1276)=1,1,0))</f>
        <v>0</v>
      </c>
      <c r="N1276">
        <f t="shared" si="291"/>
        <v>20230</v>
      </c>
      <c r="O1276" t="str">
        <f t="shared" si="292"/>
        <v>华夏中海消费封闭式基础设施证券投资基金|2023|年度</v>
      </c>
      <c r="P1276">
        <f>IF($A1276="",0,IF(COUNTIF($O$2:$O1276,$O1276)=1,1,0))</f>
        <v>0</v>
      </c>
      <c r="Q1276" t="str">
        <f>IF(AND($P1276=1,$A1276=经营数据!$B$3,$J1276=经营数据!$BA$5),COUNTIFS($P$2:$P$3000,1,$A$2:$A$3000,$A1276,$J$2:$J$3000,$J1276,$N$2:$N$3000,"&lt;"&amp;$N1276)+1,"")</f>
        <v/>
      </c>
      <c r="R1276" t="str">
        <f t="shared" si="293"/>
        <v>华夏中海消费封闭式基础设施证券投资基金|佛山映月湖环宇城</v>
      </c>
      <c r="S1276">
        <f>IF($A1276="",0,IF(COUNTIF($R$2:$R1276,$R1276)=1,1,0))</f>
        <v>0</v>
      </c>
      <c r="T1276">
        <f t="shared" si="294"/>
        <v>1244</v>
      </c>
      <c r="U1276" t="str">
        <f>IF($A1276="","",IF($A1276=经营数据!$B$3,COUNTIFS($S$2:$S$3000,1,$A$2:$A$3000,$A1276,$T$2:$T$3000,"&lt;"&amp;$T1276)+1,""))</f>
        <v/>
      </c>
      <c r="V1276" t="str">
        <f t="shared" si="295"/>
        <v>佛山映月湖环宇城|服务价格</v>
      </c>
      <c r="W1276">
        <f t="shared" si="296"/>
        <v>1250</v>
      </c>
      <c r="X1276" t="str">
        <f t="shared" si="297"/>
        <v>佛山映月湖环宇城|平均固定租金单价（不含税）</v>
      </c>
      <c r="Y1276">
        <f t="shared" si="298"/>
        <v>1261</v>
      </c>
      <c r="Z1276">
        <f>IF($A1276="",0,IF(AND($M1276=1,$A1276=经营数据!$B$3,$J1276=经营数据!$BA$5,OR($I1276=经营数据!$BA$4,COUNTIF(经营数据!$AA$9:$AA$38,$I1276)&gt;0)),1,0))</f>
        <v>0</v>
      </c>
      <c r="AA1276" t="str">
        <f t="shared" si="299"/>
        <v/>
      </c>
      <c r="AB1276" t="str">
        <f t="shared" si="300"/>
        <v/>
      </c>
      <c r="AC1276">
        <f>IF($A1276="",0,IF(COUNTIF($A$2:$A1276,$A1276)=1,1,0))</f>
        <v>0</v>
      </c>
      <c r="AD1276">
        <f t="shared" si="301"/>
        <v>12</v>
      </c>
      <c r="AE1276" t="str">
        <f t="shared" si="302"/>
        <v>佛山映月湖环宇城|平均固定租金单价（不含税）（元/平方米）</v>
      </c>
    </row>
    <row r="1277" spans="1:31" x14ac:dyDescent="0.4">
      <c r="A1277" t="str">
        <f>IF(原始经营数据!$D1278="","",原始经营数据!$D1278)</f>
        <v>华夏中海消费封闭式基础设施证券投资基金</v>
      </c>
      <c r="B1277" t="str">
        <f>IF(原始经营数据!$D1278="","",T(原始经营数据!$E1278))</f>
        <v>佛山映月湖环宇城</v>
      </c>
      <c r="C1277" t="str">
        <f>IF(原始经营数据!$D1278="","",原始经营数据!$F1278)</f>
        <v>2023</v>
      </c>
      <c r="D1277" t="str">
        <f>IF(原始经营数据!$D1278="","",原始经营数据!$H1278)</f>
        <v>月销售坪效</v>
      </c>
      <c r="E1277">
        <f>IF(原始经营数据!$D1278="","",原始经营数据!$I1278)</f>
        <v>1153.6600000000001</v>
      </c>
      <c r="F1277" t="str">
        <f>IF(原始经营数据!$D1278="","",T(原始经营数据!$J1278))</f>
        <v>元/平方米</v>
      </c>
      <c r="G1277" t="str">
        <f>IF(原始经营数据!$D1278="","",T(原始经营数据!$K1278))</f>
        <v/>
      </c>
      <c r="H1277" t="str">
        <f>IF(原始经营数据!$D1278="","",原始经营数据!$G1278)</f>
        <v>服务价格</v>
      </c>
      <c r="I1277" t="str">
        <f>IF($A1277="","",IF($B1277&lt;&gt;"",$B1277,IF(COUNTIFS(原始经营数据!$D$3:$D$3001,$A1277,原始经营数据!$E$3:$E$3001,"",原始经营数据!$F$3:$F$3001,$C1277,原始经营数据!$H$3:$H$3001,$D1277,原始经营数据!$K$3:$K$3001,$G1277)&gt;1,"基金整体·来源"&amp;原始经营数据!$A1278,"基金整体")))</f>
        <v>佛山映月湖环宇城</v>
      </c>
      <c r="J1277" t="str">
        <f t="shared" si="288"/>
        <v>年度</v>
      </c>
      <c r="K1277" t="str">
        <f t="shared" si="289"/>
        <v>月销售坪效（元/平方米）</v>
      </c>
      <c r="L1277" t="str">
        <f t="shared" si="290"/>
        <v>佛山映月湖环宇城|月销售坪效（元/平方米）|年度</v>
      </c>
      <c r="M1277">
        <f>IF($A1277="",0,IF(COUNTIF($L$2:$L1277,$L1277)=1,1,0))</f>
        <v>0</v>
      </c>
      <c r="N1277">
        <f t="shared" si="291"/>
        <v>20230</v>
      </c>
      <c r="O1277" t="str">
        <f t="shared" si="292"/>
        <v>华夏中海消费封闭式基础设施证券投资基金|2023|年度</v>
      </c>
      <c r="P1277">
        <f>IF($A1277="",0,IF(COUNTIF($O$2:$O1277,$O1277)=1,1,0))</f>
        <v>0</v>
      </c>
      <c r="Q1277" t="str">
        <f>IF(AND($P1277=1,$A1277=经营数据!$B$3,$J1277=经营数据!$BA$5),COUNTIFS($P$2:$P$3000,1,$A$2:$A$3000,$A1277,$J$2:$J$3000,$J1277,$N$2:$N$3000,"&lt;"&amp;$N1277)+1,"")</f>
        <v/>
      </c>
      <c r="R1277" t="str">
        <f t="shared" si="293"/>
        <v>华夏中海消费封闭式基础设施证券投资基金|佛山映月湖环宇城</v>
      </c>
      <c r="S1277">
        <f>IF($A1277="",0,IF(COUNTIF($R$2:$R1277,$R1277)=1,1,0))</f>
        <v>0</v>
      </c>
      <c r="T1277">
        <f t="shared" si="294"/>
        <v>1244</v>
      </c>
      <c r="U1277" t="str">
        <f>IF($A1277="","",IF($A1277=经营数据!$B$3,COUNTIFS($S$2:$S$3000,1,$A$2:$A$3000,$A1277,$T$2:$T$3000,"&lt;"&amp;$T1277)+1,""))</f>
        <v/>
      </c>
      <c r="V1277" t="str">
        <f t="shared" si="295"/>
        <v>佛山映月湖环宇城|服务价格</v>
      </c>
      <c r="W1277">
        <f t="shared" si="296"/>
        <v>1250</v>
      </c>
      <c r="X1277" t="str">
        <f t="shared" si="297"/>
        <v>佛山映月湖环宇城|月销售坪效</v>
      </c>
      <c r="Y1277">
        <f t="shared" si="298"/>
        <v>1250</v>
      </c>
      <c r="Z1277">
        <f>IF($A1277="",0,IF(AND($M1277=1,$A1277=经营数据!$B$3,$J1277=经营数据!$BA$5,OR($I1277=经营数据!$BA$4,COUNTIF(经营数据!$AA$9:$AA$38,$I1277)&gt;0)),1,0))</f>
        <v>0</v>
      </c>
      <c r="AA1277" t="str">
        <f t="shared" si="299"/>
        <v/>
      </c>
      <c r="AB1277" t="str">
        <f t="shared" si="300"/>
        <v/>
      </c>
      <c r="AC1277">
        <f>IF($A1277="",0,IF(COUNTIF($A$2:$A1277,$A1277)=1,1,0))</f>
        <v>0</v>
      </c>
      <c r="AD1277">
        <f t="shared" si="301"/>
        <v>12</v>
      </c>
      <c r="AE1277" t="str">
        <f t="shared" si="302"/>
        <v>佛山映月湖环宇城|月销售坪效（元/平方米）</v>
      </c>
    </row>
    <row r="1278" spans="1:31" x14ac:dyDescent="0.4">
      <c r="A1278" t="str">
        <f>IF(原始经营数据!$D1279="","",原始经营数据!$D1279)</f>
        <v>华夏中海消费封闭式基础设施证券投资基金</v>
      </c>
      <c r="B1278" t="str">
        <f>IF(原始经营数据!$D1279="","",T(原始经营数据!$E1279))</f>
        <v>佛山映月湖环宇城</v>
      </c>
      <c r="C1278" t="str">
        <f>IF(原始经营数据!$D1279="","",原始经营数据!$F1279)</f>
        <v>2023</v>
      </c>
      <c r="D1278" t="str">
        <f>IF(原始经营数据!$D1279="","",原始经营数据!$H1279)</f>
        <v>租金收缴率</v>
      </c>
      <c r="E1278">
        <f>IF(原始经营数据!$D1279="","",原始经营数据!$I1279)</f>
        <v>0.99870000000000003</v>
      </c>
      <c r="F1278" t="str">
        <f>IF(原始经营数据!$D1279="","",T(原始经营数据!$J1279))</f>
        <v>%</v>
      </c>
      <c r="G1278" t="str">
        <f>IF(原始经营数据!$D1279="","",T(原始经营数据!$K1279))</f>
        <v/>
      </c>
      <c r="H1278" t="str">
        <f>IF(原始经营数据!$D1279="","",原始经营数据!$G1279)</f>
        <v>服务效率</v>
      </c>
      <c r="I1278" t="str">
        <f>IF($A1278="","",IF($B1278&lt;&gt;"",$B1278,IF(COUNTIFS(原始经营数据!$D$3:$D$3001,$A1278,原始经营数据!$E$3:$E$3001,"",原始经营数据!$F$3:$F$3001,$C1278,原始经营数据!$H$3:$H$3001,$D1278,原始经营数据!$K$3:$K$3001,$G1278)&gt;1,"基金整体·来源"&amp;原始经营数据!$A1279,"基金整体")))</f>
        <v>佛山映月湖环宇城</v>
      </c>
      <c r="J1278" t="str">
        <f t="shared" si="288"/>
        <v>年度</v>
      </c>
      <c r="K1278" t="str">
        <f t="shared" si="289"/>
        <v>租金收缴率（%）</v>
      </c>
      <c r="L1278" t="str">
        <f t="shared" si="290"/>
        <v>佛山映月湖环宇城|租金收缴率（%）|年度</v>
      </c>
      <c r="M1278">
        <f>IF($A1278="",0,IF(COUNTIF($L$2:$L1278,$L1278)=1,1,0))</f>
        <v>0</v>
      </c>
      <c r="N1278">
        <f t="shared" si="291"/>
        <v>20230</v>
      </c>
      <c r="O1278" t="str">
        <f t="shared" si="292"/>
        <v>华夏中海消费封闭式基础设施证券投资基金|2023|年度</v>
      </c>
      <c r="P1278">
        <f>IF($A1278="",0,IF(COUNTIF($O$2:$O1278,$O1278)=1,1,0))</f>
        <v>0</v>
      </c>
      <c r="Q1278" t="str">
        <f>IF(AND($P1278=1,$A1278=经营数据!$B$3,$J1278=经营数据!$BA$5),COUNTIFS($P$2:$P$3000,1,$A$2:$A$3000,$A1278,$J$2:$J$3000,$J1278,$N$2:$N$3000,"&lt;"&amp;$N1278)+1,"")</f>
        <v/>
      </c>
      <c r="R1278" t="str">
        <f t="shared" si="293"/>
        <v>华夏中海消费封闭式基础设施证券投资基金|佛山映月湖环宇城</v>
      </c>
      <c r="S1278">
        <f>IF($A1278="",0,IF(COUNTIF($R$2:$R1278,$R1278)=1,1,0))</f>
        <v>0</v>
      </c>
      <c r="T1278">
        <f t="shared" si="294"/>
        <v>1244</v>
      </c>
      <c r="U1278" t="str">
        <f>IF($A1278="","",IF($A1278=经营数据!$B$3,COUNTIFS($S$2:$S$3000,1,$A$2:$A$3000,$A1278,$T$2:$T$3000,"&lt;"&amp;$T1278)+1,""))</f>
        <v/>
      </c>
      <c r="V1278" t="str">
        <f t="shared" si="295"/>
        <v>佛山映月湖环宇城|服务效率</v>
      </c>
      <c r="W1278">
        <f t="shared" si="296"/>
        <v>1253</v>
      </c>
      <c r="X1278" t="str">
        <f t="shared" si="297"/>
        <v>佛山映月湖环宇城|租金收缴率</v>
      </c>
      <c r="Y1278">
        <f t="shared" si="298"/>
        <v>1257</v>
      </c>
      <c r="Z1278">
        <f>IF($A1278="",0,IF(AND($M1278=1,$A1278=经营数据!$B$3,$J1278=经营数据!$BA$5,OR($I1278=经营数据!$BA$4,COUNTIF(经营数据!$AA$9:$AA$38,$I1278)&gt;0)),1,0))</f>
        <v>0</v>
      </c>
      <c r="AA1278" t="str">
        <f t="shared" si="299"/>
        <v/>
      </c>
      <c r="AB1278" t="str">
        <f t="shared" si="300"/>
        <v/>
      </c>
      <c r="AC1278">
        <f>IF($A1278="",0,IF(COUNTIF($A$2:$A1278,$A1278)=1,1,0))</f>
        <v>0</v>
      </c>
      <c r="AD1278">
        <f t="shared" si="301"/>
        <v>12</v>
      </c>
      <c r="AE1278" t="str">
        <f t="shared" si="302"/>
        <v>佛山映月湖环宇城|租金收缴率（%）</v>
      </c>
    </row>
    <row r="1279" spans="1:31" x14ac:dyDescent="0.4">
      <c r="A1279" t="str">
        <f>IF(原始经营数据!$D1280="","",原始经营数据!$D1280)</f>
        <v>华夏中海消费封闭式基础设施证券投资基金</v>
      </c>
      <c r="B1279" t="str">
        <f>IF(原始经营数据!$D1280="","",T(原始经营数据!$E1280))</f>
        <v>佛山映月湖环宇城</v>
      </c>
      <c r="C1279" t="str">
        <f>IF(原始经营数据!$D1280="","",原始经营数据!$F1280)</f>
        <v>2023</v>
      </c>
      <c r="D1279" t="str">
        <f>IF(原始经营数据!$D1280="","",原始经营数据!$H1280)</f>
        <v>租户数量</v>
      </c>
      <c r="E1279">
        <f>IF(原始经营数据!$D1280="","",原始经营数据!$I1280)</f>
        <v>12</v>
      </c>
      <c r="F1279" t="str">
        <f>IF(原始经营数据!$D1280="","",T(原始经营数据!$J1280))</f>
        <v/>
      </c>
      <c r="G1279" t="str">
        <f>IF(原始经营数据!$D1280="","",T(原始经营数据!$K1280))</f>
        <v>主力店及次主力店</v>
      </c>
      <c r="H1279" t="str">
        <f>IF(原始经营数据!$D1280="","",原始经营数据!$G1280)</f>
        <v>服务量</v>
      </c>
      <c r="I1279" t="str">
        <f>IF($A1279="","",IF($B1279&lt;&gt;"",$B1279,IF(COUNTIFS(原始经营数据!$D$3:$D$3001,$A1279,原始经营数据!$E$3:$E$3001,"",原始经营数据!$F$3:$F$3001,$C1279,原始经营数据!$H$3:$H$3001,$D1279,原始经营数据!$K$3:$K$3001,$G1279)&gt;1,"基金整体·来源"&amp;原始经营数据!$A1280,"基金整体")))</f>
        <v>佛山映月湖环宇城</v>
      </c>
      <c r="J1279" t="str">
        <f t="shared" si="288"/>
        <v>年度</v>
      </c>
      <c r="K1279" t="str">
        <f t="shared" si="289"/>
        <v>租户数量-主力店及次主力店</v>
      </c>
      <c r="L1279" t="str">
        <f t="shared" si="290"/>
        <v>佛山映月湖环宇城|租户数量-主力店及次主力店|年度</v>
      </c>
      <c r="M1279">
        <f>IF($A1279="",0,IF(COUNTIF($L$2:$L1279,$L1279)=1,1,0))</f>
        <v>0</v>
      </c>
      <c r="N1279">
        <f t="shared" si="291"/>
        <v>20230</v>
      </c>
      <c r="O1279" t="str">
        <f t="shared" si="292"/>
        <v>华夏中海消费封闭式基础设施证券投资基金|2023|年度</v>
      </c>
      <c r="P1279">
        <f>IF($A1279="",0,IF(COUNTIF($O$2:$O1279,$O1279)=1,1,0))</f>
        <v>0</v>
      </c>
      <c r="Q1279" t="str">
        <f>IF(AND($P1279=1,$A1279=经营数据!$B$3,$J1279=经营数据!$BA$5),COUNTIFS($P$2:$P$3000,1,$A$2:$A$3000,$A1279,$J$2:$J$3000,$J1279,$N$2:$N$3000,"&lt;"&amp;$N1279)+1,"")</f>
        <v/>
      </c>
      <c r="R1279" t="str">
        <f t="shared" si="293"/>
        <v>华夏中海消费封闭式基础设施证券投资基金|佛山映月湖环宇城</v>
      </c>
      <c r="S1279">
        <f>IF($A1279="",0,IF(COUNTIF($R$2:$R1279,$R1279)=1,1,0))</f>
        <v>0</v>
      </c>
      <c r="T1279">
        <f t="shared" si="294"/>
        <v>1244</v>
      </c>
      <c r="U1279" t="str">
        <f>IF($A1279="","",IF($A1279=经营数据!$B$3,COUNTIFS($S$2:$S$3000,1,$A$2:$A$3000,$A1279,$T$2:$T$3000,"&lt;"&amp;$T1279)+1,""))</f>
        <v/>
      </c>
      <c r="V1279" t="str">
        <f t="shared" si="295"/>
        <v>佛山映月湖环宇城|服务量</v>
      </c>
      <c r="W1279">
        <f t="shared" si="296"/>
        <v>1248</v>
      </c>
      <c r="X1279" t="str">
        <f t="shared" si="297"/>
        <v>佛山映月湖环宇城|租户数量</v>
      </c>
      <c r="Y1279">
        <f t="shared" si="298"/>
        <v>1248</v>
      </c>
      <c r="Z1279">
        <f>IF($A1279="",0,IF(AND($M1279=1,$A1279=经营数据!$B$3,$J1279=经营数据!$BA$5,OR($I1279=经营数据!$BA$4,COUNTIF(经营数据!$AA$9:$AA$38,$I1279)&gt;0)),1,0))</f>
        <v>0</v>
      </c>
      <c r="AA1279" t="str">
        <f t="shared" si="299"/>
        <v/>
      </c>
      <c r="AB1279" t="str">
        <f t="shared" si="300"/>
        <v/>
      </c>
      <c r="AC1279">
        <f>IF($A1279="",0,IF(COUNTIF($A$2:$A1279,$A1279)=1,1,0))</f>
        <v>0</v>
      </c>
      <c r="AD1279">
        <f t="shared" si="301"/>
        <v>12</v>
      </c>
      <c r="AE1279" t="str">
        <f t="shared" si="302"/>
        <v>佛山映月湖环宇城|租户数量-主力店及次主力店</v>
      </c>
    </row>
    <row r="1280" spans="1:31" x14ac:dyDescent="0.4">
      <c r="A1280" t="str">
        <f>IF(原始经营数据!$D1281="","",原始经营数据!$D1281)</f>
        <v>华夏中海消费封闭式基础设施证券投资基金</v>
      </c>
      <c r="B1280" t="str">
        <f>IF(原始经营数据!$D1281="","",T(原始经营数据!$E1281))</f>
        <v>佛山映月湖环宇城</v>
      </c>
      <c r="C1280" t="str">
        <f>IF(原始经营数据!$D1281="","",原始经营数据!$F1281)</f>
        <v>2023</v>
      </c>
      <c r="D1280" t="str">
        <f>IF(原始经营数据!$D1281="","",原始经营数据!$H1281)</f>
        <v>租户数量</v>
      </c>
      <c r="E1280">
        <f>IF(原始经营数据!$D1281="","",原始经营数据!$I1281)</f>
        <v>215</v>
      </c>
      <c r="F1280" t="str">
        <f>IF(原始经营数据!$D1281="","",T(原始经营数据!$J1281))</f>
        <v/>
      </c>
      <c r="G1280" t="str">
        <f>IF(原始经营数据!$D1281="","",T(原始经营数据!$K1281))</f>
        <v>专门店</v>
      </c>
      <c r="H1280" t="str">
        <f>IF(原始经营数据!$D1281="","",原始经营数据!$G1281)</f>
        <v>服务量</v>
      </c>
      <c r="I1280" t="str">
        <f>IF($A1280="","",IF($B1280&lt;&gt;"",$B1280,IF(COUNTIFS(原始经营数据!$D$3:$D$3001,$A1280,原始经营数据!$E$3:$E$3001,"",原始经营数据!$F$3:$F$3001,$C1280,原始经营数据!$H$3:$H$3001,$D1280,原始经营数据!$K$3:$K$3001,$G1280)&gt;1,"基金整体·来源"&amp;原始经营数据!$A1281,"基金整体")))</f>
        <v>佛山映月湖环宇城</v>
      </c>
      <c r="J1280" t="str">
        <f t="shared" si="288"/>
        <v>年度</v>
      </c>
      <c r="K1280" t="str">
        <f t="shared" si="289"/>
        <v>租户数量-专门店</v>
      </c>
      <c r="L1280" t="str">
        <f t="shared" si="290"/>
        <v>佛山映月湖环宇城|租户数量-专门店|年度</v>
      </c>
      <c r="M1280">
        <f>IF($A1280="",0,IF(COUNTIF($L$2:$L1280,$L1280)=1,1,0))</f>
        <v>0</v>
      </c>
      <c r="N1280">
        <f t="shared" si="291"/>
        <v>20230</v>
      </c>
      <c r="O1280" t="str">
        <f t="shared" si="292"/>
        <v>华夏中海消费封闭式基础设施证券投资基金|2023|年度</v>
      </c>
      <c r="P1280">
        <f>IF($A1280="",0,IF(COUNTIF($O$2:$O1280,$O1280)=1,1,0))</f>
        <v>0</v>
      </c>
      <c r="Q1280" t="str">
        <f>IF(AND($P1280=1,$A1280=经营数据!$B$3,$J1280=经营数据!$BA$5),COUNTIFS($P$2:$P$3000,1,$A$2:$A$3000,$A1280,$J$2:$J$3000,$J1280,$N$2:$N$3000,"&lt;"&amp;$N1280)+1,"")</f>
        <v/>
      </c>
      <c r="R1280" t="str">
        <f t="shared" si="293"/>
        <v>华夏中海消费封闭式基础设施证券投资基金|佛山映月湖环宇城</v>
      </c>
      <c r="S1280">
        <f>IF($A1280="",0,IF(COUNTIF($R$2:$R1280,$R1280)=1,1,0))</f>
        <v>0</v>
      </c>
      <c r="T1280">
        <f t="shared" si="294"/>
        <v>1244</v>
      </c>
      <c r="U1280" t="str">
        <f>IF($A1280="","",IF($A1280=经营数据!$B$3,COUNTIFS($S$2:$S$3000,1,$A$2:$A$3000,$A1280,$T$2:$T$3000,"&lt;"&amp;$T1280)+1,""))</f>
        <v/>
      </c>
      <c r="V1280" t="str">
        <f t="shared" si="295"/>
        <v>佛山映月湖环宇城|服务量</v>
      </c>
      <c r="W1280">
        <f t="shared" si="296"/>
        <v>1248</v>
      </c>
      <c r="X1280" t="str">
        <f t="shared" si="297"/>
        <v>佛山映月湖环宇城|租户数量</v>
      </c>
      <c r="Y1280">
        <f t="shared" si="298"/>
        <v>1248</v>
      </c>
      <c r="Z1280">
        <f>IF($A1280="",0,IF(AND($M1280=1,$A1280=经营数据!$B$3,$J1280=经营数据!$BA$5,OR($I1280=经营数据!$BA$4,COUNTIF(经营数据!$AA$9:$AA$38,$I1280)&gt;0)),1,0))</f>
        <v>0</v>
      </c>
      <c r="AA1280" t="str">
        <f t="shared" si="299"/>
        <v/>
      </c>
      <c r="AB1280" t="str">
        <f t="shared" si="300"/>
        <v/>
      </c>
      <c r="AC1280">
        <f>IF($A1280="",0,IF(COUNTIF($A$2:$A1280,$A1280)=1,1,0))</f>
        <v>0</v>
      </c>
      <c r="AD1280">
        <f t="shared" si="301"/>
        <v>12</v>
      </c>
      <c r="AE1280" t="str">
        <f t="shared" si="302"/>
        <v>佛山映月湖环宇城|租户数量-专门店</v>
      </c>
    </row>
    <row r="1281" spans="1:31" x14ac:dyDescent="0.4">
      <c r="A1281" t="str">
        <f>IF(原始经营数据!$D1282="","",原始经营数据!$D1282)</f>
        <v>华夏中海消费封闭式基础设施证券投资基金</v>
      </c>
      <c r="B1281" t="str">
        <f>IF(原始经营数据!$D1282="","",T(原始经营数据!$E1282))</f>
        <v>佛山映月湖环宇城</v>
      </c>
      <c r="C1281" t="str">
        <f>IF(原始经营数据!$D1282="","",原始经营数据!$F1282)</f>
        <v>2023</v>
      </c>
      <c r="D1281" t="str">
        <f>IF(原始经营数据!$D1282="","",原始经营数据!$H1282)</f>
        <v>主力店平均租金单价（含物管费）</v>
      </c>
      <c r="E1281">
        <f>IF(原始经营数据!$D1282="","",原始经营数据!$I1282)</f>
        <v>58.71</v>
      </c>
      <c r="F1281" t="str">
        <f>IF(原始经营数据!$D1282="","",T(原始经营数据!$J1282))</f>
        <v>元/平方米/月</v>
      </c>
      <c r="G1281" t="str">
        <f>IF(原始经营数据!$D1282="","",T(原始经营数据!$K1282))</f>
        <v/>
      </c>
      <c r="H1281" t="str">
        <f>IF(原始经营数据!$D1282="","",原始经营数据!$G1282)</f>
        <v>服务价格</v>
      </c>
      <c r="I1281" t="str">
        <f>IF($A1281="","",IF($B1281&lt;&gt;"",$B1281,IF(COUNTIFS(原始经营数据!$D$3:$D$3001,$A1281,原始经营数据!$E$3:$E$3001,"",原始经营数据!$F$3:$F$3001,$C1281,原始经营数据!$H$3:$H$3001,$D1281,原始经营数据!$K$3:$K$3001,$G1281)&gt;1,"基金整体·来源"&amp;原始经营数据!$A1282,"基金整体")))</f>
        <v>佛山映月湖环宇城</v>
      </c>
      <c r="J1281" t="str">
        <f t="shared" si="288"/>
        <v>年度</v>
      </c>
      <c r="K1281" t="str">
        <f t="shared" si="289"/>
        <v>主力店平均租金单价（含物管费）（元/平方米/月）</v>
      </c>
      <c r="L1281" t="str">
        <f t="shared" si="290"/>
        <v>佛山映月湖环宇城|主力店平均租金单价（含物管费）（元/平方米/月）|年度</v>
      </c>
      <c r="M1281">
        <f>IF($A1281="",0,IF(COUNTIF($L$2:$L1281,$L1281)=1,1,0))</f>
        <v>0</v>
      </c>
      <c r="N1281">
        <f t="shared" si="291"/>
        <v>20230</v>
      </c>
      <c r="O1281" t="str">
        <f t="shared" si="292"/>
        <v>华夏中海消费封闭式基础设施证券投资基金|2023|年度</v>
      </c>
      <c r="P1281">
        <f>IF($A1281="",0,IF(COUNTIF($O$2:$O1281,$O1281)=1,1,0))</f>
        <v>0</v>
      </c>
      <c r="Q1281" t="str">
        <f>IF(AND($P1281=1,$A1281=经营数据!$B$3,$J1281=经营数据!$BA$5),COUNTIFS($P$2:$P$3000,1,$A$2:$A$3000,$A1281,$J$2:$J$3000,$J1281,$N$2:$N$3000,"&lt;"&amp;$N1281)+1,"")</f>
        <v/>
      </c>
      <c r="R1281" t="str">
        <f t="shared" si="293"/>
        <v>华夏中海消费封闭式基础设施证券投资基金|佛山映月湖环宇城</v>
      </c>
      <c r="S1281">
        <f>IF($A1281="",0,IF(COUNTIF($R$2:$R1281,$R1281)=1,1,0))</f>
        <v>0</v>
      </c>
      <c r="T1281">
        <f t="shared" si="294"/>
        <v>1244</v>
      </c>
      <c r="U1281" t="str">
        <f>IF($A1281="","",IF($A1281=经营数据!$B$3,COUNTIFS($S$2:$S$3000,1,$A$2:$A$3000,$A1281,$T$2:$T$3000,"&lt;"&amp;$T1281)+1,""))</f>
        <v/>
      </c>
      <c r="V1281" t="str">
        <f t="shared" si="295"/>
        <v>佛山映月湖环宇城|服务价格</v>
      </c>
      <c r="W1281">
        <f t="shared" si="296"/>
        <v>1250</v>
      </c>
      <c r="X1281" t="str">
        <f t="shared" si="297"/>
        <v>佛山映月湖环宇城|主力店平均租金单价（含物管费）</v>
      </c>
      <c r="Y1281">
        <f t="shared" si="298"/>
        <v>1251</v>
      </c>
      <c r="Z1281">
        <f>IF($A1281="",0,IF(AND($M1281=1,$A1281=经营数据!$B$3,$J1281=经营数据!$BA$5,OR($I1281=经营数据!$BA$4,COUNTIF(经营数据!$AA$9:$AA$38,$I1281)&gt;0)),1,0))</f>
        <v>0</v>
      </c>
      <c r="AA1281" t="str">
        <f t="shared" si="299"/>
        <v/>
      </c>
      <c r="AB1281" t="str">
        <f t="shared" si="300"/>
        <v/>
      </c>
      <c r="AC1281">
        <f>IF($A1281="",0,IF(COUNTIF($A$2:$A1281,$A1281)=1,1,0))</f>
        <v>0</v>
      </c>
      <c r="AD1281">
        <f t="shared" si="301"/>
        <v>12</v>
      </c>
      <c r="AE1281" t="str">
        <f t="shared" si="302"/>
        <v>佛山映月湖环宇城|主力店平均租金单价（含物管费）（元/平方米/月）</v>
      </c>
    </row>
    <row r="1282" spans="1:31" x14ac:dyDescent="0.4">
      <c r="A1282" t="str">
        <f>IF(原始经营数据!$D1283="","",原始经营数据!$D1283)</f>
        <v>华夏中海消费封闭式基础设施证券投资基金</v>
      </c>
      <c r="B1282" t="str">
        <f>IF(原始经营数据!$D1283="","",T(原始经营数据!$E1283))</f>
        <v>佛山映月湖环宇城</v>
      </c>
      <c r="C1282" t="str">
        <f>IF(原始经营数据!$D1283="","",原始经营数据!$F1283)</f>
        <v>2023</v>
      </c>
      <c r="D1282" t="str">
        <f>IF(原始经营数据!$D1283="","",原始经营数据!$H1283)</f>
        <v>专门店平均租金单价（含物管费）</v>
      </c>
      <c r="E1282">
        <f>IF(原始经营数据!$D1283="","",原始经营数据!$I1283)</f>
        <v>182.52</v>
      </c>
      <c r="F1282" t="str">
        <f>IF(原始经营数据!$D1283="","",T(原始经营数据!$J1283))</f>
        <v>元/平方米/月</v>
      </c>
      <c r="G1282" t="str">
        <f>IF(原始经营数据!$D1283="","",T(原始经营数据!$K1283))</f>
        <v/>
      </c>
      <c r="H1282" t="str">
        <f>IF(原始经营数据!$D1283="","",原始经营数据!$G1283)</f>
        <v>服务价格</v>
      </c>
      <c r="I1282" t="str">
        <f>IF($A1282="","",IF($B1282&lt;&gt;"",$B1282,IF(COUNTIFS(原始经营数据!$D$3:$D$3001,$A1282,原始经营数据!$E$3:$E$3001,"",原始经营数据!$F$3:$F$3001,$C1282,原始经营数据!$H$3:$H$3001,$D1282,原始经营数据!$K$3:$K$3001,$G1282)&gt;1,"基金整体·来源"&amp;原始经营数据!$A1283,"基金整体")))</f>
        <v>佛山映月湖环宇城</v>
      </c>
      <c r="J1282" t="str">
        <f t="shared" ref="J1282:J1345" si="303">IF($A1282="","",IF(LEN($C1282)=4,"年度",IF(AND(LEN($C1282)=6,ISNUMBER(SEARCH("Q",$C1282))),"季度","其他期间")))</f>
        <v>年度</v>
      </c>
      <c r="K1282" t="str">
        <f t="shared" ref="K1282:K1345" si="304">IF($A1282="","",$D1282&amp;IF($G1282="","","-"&amp;SUBSTITUTE($G1282,CHAR(10),""))&amp;IF($F1282="","","（"&amp;$F1282&amp;"）"))</f>
        <v>专门店平均租金单价（含物管费）（元/平方米/月）</v>
      </c>
      <c r="L1282" t="str">
        <f t="shared" ref="L1282:L1345" si="305">IF($A1282="","",$I1282&amp;"|"&amp;$K1282&amp;"|"&amp;$J1282)</f>
        <v>佛山映月湖环宇城|专门店平均租金单价（含物管费）（元/平方米/月）|年度</v>
      </c>
      <c r="M1282">
        <f>IF($A1282="",0,IF(COUNTIF($L$2:$L1282,$L1282)=1,1,0))</f>
        <v>0</v>
      </c>
      <c r="N1282">
        <f t="shared" ref="N1282:N1345" si="306">IF($A1282="","",IF($J1282="年度",VALUE($C1282)*10,IF($J1282="季度",VALUE(LEFT($C1282,4))*10+VALUE(RIGHT($C1282,1)),VALUE(LEFT($C1282,4))*10+9)))</f>
        <v>20230</v>
      </c>
      <c r="O1282" t="str">
        <f t="shared" ref="O1282:O1345" si="307">IF($A1282="","",$A1282&amp;"|"&amp;$C1282&amp;"|"&amp;$J1282)</f>
        <v>华夏中海消费封闭式基础设施证券投资基金|2023|年度</v>
      </c>
      <c r="P1282">
        <f>IF($A1282="",0,IF(COUNTIF($O$2:$O1282,$O1282)=1,1,0))</f>
        <v>0</v>
      </c>
      <c r="Q1282" t="str">
        <f>IF(AND($P1282=1,$A1282=经营数据!$B$3,$J1282=经营数据!$BA$5),COUNTIFS($P$2:$P$3000,1,$A$2:$A$3000,$A1282,$J$2:$J$3000,$J1282,$N$2:$N$3000,"&lt;"&amp;$N1282)+1,"")</f>
        <v/>
      </c>
      <c r="R1282" t="str">
        <f t="shared" ref="R1282:R1345" si="308">IF($A1282="","",$A1282&amp;"|"&amp;$I1282)</f>
        <v>华夏中海消费封闭式基础设施证券投资基金|佛山映月湖环宇城</v>
      </c>
      <c r="S1282">
        <f>IF($A1282="",0,IF(COUNTIF($R$2:$R1282,$R1282)=1,1,0))</f>
        <v>0</v>
      </c>
      <c r="T1282">
        <f t="shared" ref="T1282:T1345" si="309">IF($A1282="","",MATCH($R1282,$R$2:$R$3000,0))</f>
        <v>1244</v>
      </c>
      <c r="U1282" t="str">
        <f>IF($A1282="","",IF($A1282=经营数据!$B$3,COUNTIFS($S$2:$S$3000,1,$A$2:$A$3000,$A1282,$T$2:$T$3000,"&lt;"&amp;$T1282)+1,""))</f>
        <v/>
      </c>
      <c r="V1282" t="str">
        <f t="shared" ref="V1282:V1345" si="310">IF($A1282="","",$I1282&amp;"|"&amp;$H1282)</f>
        <v>佛山映月湖环宇城|服务价格</v>
      </c>
      <c r="W1282">
        <f t="shared" ref="W1282:W1345" si="311">IF($A1282="","",MATCH($V1282,$V$2:$V$3000,0))</f>
        <v>1250</v>
      </c>
      <c r="X1282" t="str">
        <f t="shared" ref="X1282:X1345" si="312">IF($A1282="","",$I1282&amp;"|"&amp;$D1282)</f>
        <v>佛山映月湖环宇城|专门店平均租金单价（含物管费）</v>
      </c>
      <c r="Y1282">
        <f t="shared" ref="Y1282:Y1345" si="313">IF($A1282="","",MATCH($X1282,$X$2:$X$3000,0))</f>
        <v>1252</v>
      </c>
      <c r="Z1282">
        <f>IF($A1282="",0,IF(AND($M1282=1,$A1282=经营数据!$B$3,$J1282=经营数据!$BA$5,OR($I1282=经营数据!$BA$4,COUNTIF(经营数据!$AA$9:$AA$38,$I1282)&gt;0)),1,0))</f>
        <v>0</v>
      </c>
      <c r="AA1282" t="str">
        <f t="shared" ref="AA1282:AA1345" si="314">IF($Z1282=1,$U1282*1000000000000+$W1282*100000000+$Y1282*10000+ROW(),"")</f>
        <v/>
      </c>
      <c r="AB1282" t="str">
        <f t="shared" ref="AB1282:AB1345" si="315">IF($Z1282=1,COUNTIFS($Z$2:$Z$3000,1,$AA$2:$AA$3000,"&lt;"&amp;$AA1282)+1,"")</f>
        <v/>
      </c>
      <c r="AC1282">
        <f>IF($A1282="",0,IF(COUNTIF($A$2:$A1282,$A1282)=1,1,0))</f>
        <v>0</v>
      </c>
      <c r="AD1282">
        <f t="shared" ref="AD1282:AD1345" si="316">IF($A1282="",N(AD1281),IF($AC1282=1,N(AD1281)+1,N(AD1281)))</f>
        <v>12</v>
      </c>
      <c r="AE1282" t="str">
        <f t="shared" ref="AE1282:AE1345" si="317">IF($A1282="","",$I1282&amp;"|"&amp;$K1282)</f>
        <v>佛山映月湖环宇城|专门店平均租金单价（含物管费）（元/平方米/月）</v>
      </c>
    </row>
    <row r="1283" spans="1:31" x14ac:dyDescent="0.4">
      <c r="A1283" t="str">
        <f>IF(原始经营数据!$D1284="","",原始经营数据!$D1284)</f>
        <v>华夏中海消费封闭式基础设施证券投资基金</v>
      </c>
      <c r="B1283" t="str">
        <f>IF(原始经营数据!$D1284="","",T(原始经营数据!$E1284))</f>
        <v>佛山映月湖环宇城</v>
      </c>
      <c r="C1283" t="str">
        <f>IF(原始经营数据!$D1284="","",原始经营数据!$F1284)</f>
        <v>2023</v>
      </c>
      <c r="D1283" t="str">
        <f>IF(原始经营数据!$D1284="","",原始经营数据!$H1284)</f>
        <v>营业收入（考虑租金减免，不含税）</v>
      </c>
      <c r="E1283">
        <f>IF(原始经营数据!$D1284="","",原始经营数据!$I1284)</f>
        <v>6728</v>
      </c>
      <c r="F1283" t="str">
        <f>IF(原始经营数据!$D1284="","",T(原始经营数据!$J1284))</f>
        <v>万元</v>
      </c>
      <c r="G1283" t="str">
        <f>IF(原始经营数据!$D1284="","",T(原始经营数据!$K1284))</f>
        <v>租赁收入</v>
      </c>
      <c r="H1283" t="str">
        <f>IF(原始经营数据!$D1284="","",原始经营数据!$G1284)</f>
        <v>服务金额</v>
      </c>
      <c r="I1283" t="str">
        <f>IF($A1283="","",IF($B1283&lt;&gt;"",$B1283,IF(COUNTIFS(原始经营数据!$D$3:$D$3001,$A1283,原始经营数据!$E$3:$E$3001,"",原始经营数据!$F$3:$F$3001,$C1283,原始经营数据!$H$3:$H$3001,$D1283,原始经营数据!$K$3:$K$3001,$G1283)&gt;1,"基金整体·来源"&amp;原始经营数据!$A1284,"基金整体")))</f>
        <v>佛山映月湖环宇城</v>
      </c>
      <c r="J1283" t="str">
        <f t="shared" si="303"/>
        <v>年度</v>
      </c>
      <c r="K1283" t="str">
        <f t="shared" si="304"/>
        <v>营业收入（考虑租金减免，不含税）-租赁收入（万元）</v>
      </c>
      <c r="L1283" t="str">
        <f t="shared" si="305"/>
        <v>佛山映月湖环宇城|营业收入（考虑租金减免，不含税）-租赁收入（万元）|年度</v>
      </c>
      <c r="M1283">
        <f>IF($A1283="",0,IF(COUNTIF($L$2:$L1283,$L1283)=1,1,0))</f>
        <v>0</v>
      </c>
      <c r="N1283">
        <f t="shared" si="306"/>
        <v>20230</v>
      </c>
      <c r="O1283" t="str">
        <f t="shared" si="307"/>
        <v>华夏中海消费封闭式基础设施证券投资基金|2023|年度</v>
      </c>
      <c r="P1283">
        <f>IF($A1283="",0,IF(COUNTIF($O$2:$O1283,$O1283)=1,1,0))</f>
        <v>0</v>
      </c>
      <c r="Q1283" t="str">
        <f>IF(AND($P1283=1,$A1283=经营数据!$B$3,$J1283=经营数据!$BA$5),COUNTIFS($P$2:$P$3000,1,$A$2:$A$3000,$A1283,$J$2:$J$3000,$J1283,$N$2:$N$3000,"&lt;"&amp;$N1283)+1,"")</f>
        <v/>
      </c>
      <c r="R1283" t="str">
        <f t="shared" si="308"/>
        <v>华夏中海消费封闭式基础设施证券投资基金|佛山映月湖环宇城</v>
      </c>
      <c r="S1283">
        <f>IF($A1283="",0,IF(COUNTIF($R$2:$R1283,$R1283)=1,1,0))</f>
        <v>0</v>
      </c>
      <c r="T1283">
        <f t="shared" si="309"/>
        <v>1244</v>
      </c>
      <c r="U1283" t="str">
        <f>IF($A1283="","",IF($A1283=经营数据!$B$3,COUNTIFS($S$2:$S$3000,1,$A$2:$A$3000,$A1283,$T$2:$T$3000,"&lt;"&amp;$T1283)+1,""))</f>
        <v/>
      </c>
      <c r="V1283" t="str">
        <f t="shared" si="310"/>
        <v>佛山映月湖环宇城|服务金额</v>
      </c>
      <c r="W1283">
        <f t="shared" si="311"/>
        <v>1244</v>
      </c>
      <c r="X1283" t="str">
        <f t="shared" si="312"/>
        <v>佛山映月湖环宇城|营业收入（考虑租金减免，不含税）</v>
      </c>
      <c r="Y1283">
        <f t="shared" si="313"/>
        <v>1244</v>
      </c>
      <c r="Z1283">
        <f>IF($A1283="",0,IF(AND($M1283=1,$A1283=经营数据!$B$3,$J1283=经营数据!$BA$5,OR($I1283=经营数据!$BA$4,COUNTIF(经营数据!$AA$9:$AA$38,$I1283)&gt;0)),1,0))</f>
        <v>0</v>
      </c>
      <c r="AA1283" t="str">
        <f t="shared" si="314"/>
        <v/>
      </c>
      <c r="AB1283" t="str">
        <f t="shared" si="315"/>
        <v/>
      </c>
      <c r="AC1283">
        <f>IF($A1283="",0,IF(COUNTIF($A$2:$A1283,$A1283)=1,1,0))</f>
        <v>0</v>
      </c>
      <c r="AD1283">
        <f t="shared" si="316"/>
        <v>12</v>
      </c>
      <c r="AE1283" t="str">
        <f t="shared" si="317"/>
        <v>佛山映月湖环宇城|营业收入（考虑租金减免，不含税）-租赁收入（万元）</v>
      </c>
    </row>
    <row r="1284" spans="1:31" x14ac:dyDescent="0.4">
      <c r="A1284" t="str">
        <f>IF(原始经营数据!$D1285="","",原始经营数据!$D1285)</f>
        <v>华夏中海消费封闭式基础设施证券投资基金</v>
      </c>
      <c r="B1284" t="str">
        <f>IF(原始经营数据!$D1285="","",T(原始经营数据!$E1285))</f>
        <v>佛山映月湖环宇城</v>
      </c>
      <c r="C1284" t="str">
        <f>IF(原始经营数据!$D1285="","",原始经营数据!$F1285)</f>
        <v>2023</v>
      </c>
      <c r="D1284" t="str">
        <f>IF(原始经营数据!$D1285="","",原始经营数据!$H1285)</f>
        <v>营业收入（考虑租金减免，不含税）</v>
      </c>
      <c r="E1284">
        <f>IF(原始经营数据!$D1285="","",原始经营数据!$I1285)</f>
        <v>2984.47</v>
      </c>
      <c r="F1284" t="str">
        <f>IF(原始经营数据!$D1285="","",T(原始经营数据!$J1285))</f>
        <v>万元</v>
      </c>
      <c r="G1284" t="str">
        <f>IF(原始经营数据!$D1285="","",T(原始经营数据!$K1285))</f>
        <v>物业管理服务及其他收入</v>
      </c>
      <c r="H1284" t="str">
        <f>IF(原始经营数据!$D1285="","",原始经营数据!$G1285)</f>
        <v>服务金额</v>
      </c>
      <c r="I1284" t="str">
        <f>IF($A1284="","",IF($B1284&lt;&gt;"",$B1284,IF(COUNTIFS(原始经营数据!$D$3:$D$3001,$A1284,原始经营数据!$E$3:$E$3001,"",原始经营数据!$F$3:$F$3001,$C1284,原始经营数据!$H$3:$H$3001,$D1284,原始经营数据!$K$3:$K$3001,$G1284)&gt;1,"基金整体·来源"&amp;原始经营数据!$A1285,"基金整体")))</f>
        <v>佛山映月湖环宇城</v>
      </c>
      <c r="J1284" t="str">
        <f t="shared" si="303"/>
        <v>年度</v>
      </c>
      <c r="K1284" t="str">
        <f t="shared" si="304"/>
        <v>营业收入（考虑租金减免，不含税）-物业管理服务及其他收入（万元）</v>
      </c>
      <c r="L1284" t="str">
        <f t="shared" si="305"/>
        <v>佛山映月湖环宇城|营业收入（考虑租金减免，不含税）-物业管理服务及其他收入（万元）|年度</v>
      </c>
      <c r="M1284">
        <f>IF($A1284="",0,IF(COUNTIF($L$2:$L1284,$L1284)=1,1,0))</f>
        <v>0</v>
      </c>
      <c r="N1284">
        <f t="shared" si="306"/>
        <v>20230</v>
      </c>
      <c r="O1284" t="str">
        <f t="shared" si="307"/>
        <v>华夏中海消费封闭式基础设施证券投资基金|2023|年度</v>
      </c>
      <c r="P1284">
        <f>IF($A1284="",0,IF(COUNTIF($O$2:$O1284,$O1284)=1,1,0))</f>
        <v>0</v>
      </c>
      <c r="Q1284" t="str">
        <f>IF(AND($P1284=1,$A1284=经营数据!$B$3,$J1284=经营数据!$BA$5),COUNTIFS($P$2:$P$3000,1,$A$2:$A$3000,$A1284,$J$2:$J$3000,$J1284,$N$2:$N$3000,"&lt;"&amp;$N1284)+1,"")</f>
        <v/>
      </c>
      <c r="R1284" t="str">
        <f t="shared" si="308"/>
        <v>华夏中海消费封闭式基础设施证券投资基金|佛山映月湖环宇城</v>
      </c>
      <c r="S1284">
        <f>IF($A1284="",0,IF(COUNTIF($R$2:$R1284,$R1284)=1,1,0))</f>
        <v>0</v>
      </c>
      <c r="T1284">
        <f t="shared" si="309"/>
        <v>1244</v>
      </c>
      <c r="U1284" t="str">
        <f>IF($A1284="","",IF($A1284=经营数据!$B$3,COUNTIFS($S$2:$S$3000,1,$A$2:$A$3000,$A1284,$T$2:$T$3000,"&lt;"&amp;$T1284)+1,""))</f>
        <v/>
      </c>
      <c r="V1284" t="str">
        <f t="shared" si="310"/>
        <v>佛山映月湖环宇城|服务金额</v>
      </c>
      <c r="W1284">
        <f t="shared" si="311"/>
        <v>1244</v>
      </c>
      <c r="X1284" t="str">
        <f t="shared" si="312"/>
        <v>佛山映月湖环宇城|营业收入（考虑租金减免，不含税）</v>
      </c>
      <c r="Y1284">
        <f t="shared" si="313"/>
        <v>1244</v>
      </c>
      <c r="Z1284">
        <f>IF($A1284="",0,IF(AND($M1284=1,$A1284=经营数据!$B$3,$J1284=经营数据!$BA$5,OR($I1284=经营数据!$BA$4,COUNTIF(经营数据!$AA$9:$AA$38,$I1284)&gt;0)),1,0))</f>
        <v>0</v>
      </c>
      <c r="AA1284" t="str">
        <f t="shared" si="314"/>
        <v/>
      </c>
      <c r="AB1284" t="str">
        <f t="shared" si="315"/>
        <v/>
      </c>
      <c r="AC1284">
        <f>IF($A1284="",0,IF(COUNTIF($A$2:$A1284,$A1284)=1,1,0))</f>
        <v>0</v>
      </c>
      <c r="AD1284">
        <f t="shared" si="316"/>
        <v>12</v>
      </c>
      <c r="AE1284" t="str">
        <f t="shared" si="317"/>
        <v>佛山映月湖环宇城|营业收入（考虑租金减免，不含税）-物业管理服务及其他收入（万元）</v>
      </c>
    </row>
    <row r="1285" spans="1:31" x14ac:dyDescent="0.4">
      <c r="A1285" t="str">
        <f>IF(原始经营数据!$D1286="","",原始经营数据!$D1286)</f>
        <v>华夏中海消费封闭式基础设施证券投资基金</v>
      </c>
      <c r="B1285" t="str">
        <f>IF(原始经营数据!$D1286="","",T(原始经营数据!$E1286))</f>
        <v>佛山映月湖环宇城</v>
      </c>
      <c r="C1285" t="str">
        <f>IF(原始经营数据!$D1286="","",原始经营数据!$F1286)</f>
        <v>2023</v>
      </c>
      <c r="D1285" t="str">
        <f>IF(原始经营数据!$D1286="","",原始经营数据!$H1286)</f>
        <v>营业收入（考虑租金减免，不含税）</v>
      </c>
      <c r="E1285">
        <f>IF(原始经营数据!$D1286="","",原始经营数据!$I1286)</f>
        <v>1039.5999999999999</v>
      </c>
      <c r="F1285" t="str">
        <f>IF(原始经营数据!$D1286="","",T(原始经营数据!$J1286))</f>
        <v>万元</v>
      </c>
      <c r="G1285" t="str">
        <f>IF(原始经营数据!$D1286="","",T(原始经营数据!$K1286))</f>
        <v>电影放映服务收入</v>
      </c>
      <c r="H1285" t="str">
        <f>IF(原始经营数据!$D1286="","",原始经营数据!$G1286)</f>
        <v>服务金额</v>
      </c>
      <c r="I1285" t="str">
        <f>IF($A1285="","",IF($B1285&lt;&gt;"",$B1285,IF(COUNTIFS(原始经营数据!$D$3:$D$3001,$A1285,原始经营数据!$E$3:$E$3001,"",原始经营数据!$F$3:$F$3001,$C1285,原始经营数据!$H$3:$H$3001,$D1285,原始经营数据!$K$3:$K$3001,$G1285)&gt;1,"基金整体·来源"&amp;原始经营数据!$A1286,"基金整体")))</f>
        <v>佛山映月湖环宇城</v>
      </c>
      <c r="J1285" t="str">
        <f t="shared" si="303"/>
        <v>年度</v>
      </c>
      <c r="K1285" t="str">
        <f t="shared" si="304"/>
        <v>营业收入（考虑租金减免，不含税）-电影放映服务收入（万元）</v>
      </c>
      <c r="L1285" t="str">
        <f t="shared" si="305"/>
        <v>佛山映月湖环宇城|营业收入（考虑租金减免，不含税）-电影放映服务收入（万元）|年度</v>
      </c>
      <c r="M1285">
        <f>IF($A1285="",0,IF(COUNTIF($L$2:$L1285,$L1285)=1,1,0))</f>
        <v>0</v>
      </c>
      <c r="N1285">
        <f t="shared" si="306"/>
        <v>20230</v>
      </c>
      <c r="O1285" t="str">
        <f t="shared" si="307"/>
        <v>华夏中海消费封闭式基础设施证券投资基金|2023|年度</v>
      </c>
      <c r="P1285">
        <f>IF($A1285="",0,IF(COUNTIF($O$2:$O1285,$O1285)=1,1,0))</f>
        <v>0</v>
      </c>
      <c r="Q1285" t="str">
        <f>IF(AND($P1285=1,$A1285=经营数据!$B$3,$J1285=经营数据!$BA$5),COUNTIFS($P$2:$P$3000,1,$A$2:$A$3000,$A1285,$J$2:$J$3000,$J1285,$N$2:$N$3000,"&lt;"&amp;$N1285)+1,"")</f>
        <v/>
      </c>
      <c r="R1285" t="str">
        <f t="shared" si="308"/>
        <v>华夏中海消费封闭式基础设施证券投资基金|佛山映月湖环宇城</v>
      </c>
      <c r="S1285">
        <f>IF($A1285="",0,IF(COUNTIF($R$2:$R1285,$R1285)=1,1,0))</f>
        <v>0</v>
      </c>
      <c r="T1285">
        <f t="shared" si="309"/>
        <v>1244</v>
      </c>
      <c r="U1285" t="str">
        <f>IF($A1285="","",IF($A1285=经营数据!$B$3,COUNTIFS($S$2:$S$3000,1,$A$2:$A$3000,$A1285,$T$2:$T$3000,"&lt;"&amp;$T1285)+1,""))</f>
        <v/>
      </c>
      <c r="V1285" t="str">
        <f t="shared" si="310"/>
        <v>佛山映月湖环宇城|服务金额</v>
      </c>
      <c r="W1285">
        <f t="shared" si="311"/>
        <v>1244</v>
      </c>
      <c r="X1285" t="str">
        <f t="shared" si="312"/>
        <v>佛山映月湖环宇城|营业收入（考虑租金减免，不含税）</v>
      </c>
      <c r="Y1285">
        <f t="shared" si="313"/>
        <v>1244</v>
      </c>
      <c r="Z1285">
        <f>IF($A1285="",0,IF(AND($M1285=1,$A1285=经营数据!$B$3,$J1285=经营数据!$BA$5,OR($I1285=经营数据!$BA$4,COUNTIF(经营数据!$AA$9:$AA$38,$I1285)&gt;0)),1,0))</f>
        <v>0</v>
      </c>
      <c r="AA1285" t="str">
        <f t="shared" si="314"/>
        <v/>
      </c>
      <c r="AB1285" t="str">
        <f t="shared" si="315"/>
        <v/>
      </c>
      <c r="AC1285">
        <f>IF($A1285="",0,IF(COUNTIF($A$2:$A1285,$A1285)=1,1,0))</f>
        <v>0</v>
      </c>
      <c r="AD1285">
        <f t="shared" si="316"/>
        <v>12</v>
      </c>
      <c r="AE1285" t="str">
        <f t="shared" si="317"/>
        <v>佛山映月湖环宇城|营业收入（考虑租金减免，不含税）-电影放映服务收入（万元）</v>
      </c>
    </row>
    <row r="1286" spans="1:31" x14ac:dyDescent="0.4">
      <c r="A1286" t="str">
        <f>IF(原始经营数据!$D1287="","",原始经营数据!$D1287)</f>
        <v>华夏中海消费封闭式基础设施证券投资基金</v>
      </c>
      <c r="B1286" t="str">
        <f>IF(原始经营数据!$D1287="","",T(原始经营数据!$E1287))</f>
        <v>佛山映月湖环宇城</v>
      </c>
      <c r="C1286" t="str">
        <f>IF(原始经营数据!$D1287="","",原始经营数据!$F1287)</f>
        <v>2023</v>
      </c>
      <c r="D1286" t="str">
        <f>IF(原始经营数据!$D1287="","",原始经营数据!$H1287)</f>
        <v>营业收入（考虑租金减免，不含税）</v>
      </c>
      <c r="E1286">
        <f>IF(原始经营数据!$D1287="","",原始经营数据!$I1287)</f>
        <v>482.88</v>
      </c>
      <c r="F1286" t="str">
        <f>IF(原始经营数据!$D1287="","",T(原始经营数据!$J1287))</f>
        <v>万元</v>
      </c>
      <c r="G1286" t="str">
        <f>IF(原始经营数据!$D1287="","",T(原始经营数据!$K1287))</f>
        <v>推广服务收入</v>
      </c>
      <c r="H1286" t="str">
        <f>IF(原始经营数据!$D1287="","",原始经营数据!$G1287)</f>
        <v>服务金额</v>
      </c>
      <c r="I1286" t="str">
        <f>IF($A1286="","",IF($B1286&lt;&gt;"",$B1286,IF(COUNTIFS(原始经营数据!$D$3:$D$3001,$A1286,原始经营数据!$E$3:$E$3001,"",原始经营数据!$F$3:$F$3001,$C1286,原始经营数据!$H$3:$H$3001,$D1286,原始经营数据!$K$3:$K$3001,$G1286)&gt;1,"基金整体·来源"&amp;原始经营数据!$A1287,"基金整体")))</f>
        <v>佛山映月湖环宇城</v>
      </c>
      <c r="J1286" t="str">
        <f t="shared" si="303"/>
        <v>年度</v>
      </c>
      <c r="K1286" t="str">
        <f t="shared" si="304"/>
        <v>营业收入（考虑租金减免，不含税）-推广服务收入（万元）</v>
      </c>
      <c r="L1286" t="str">
        <f t="shared" si="305"/>
        <v>佛山映月湖环宇城|营业收入（考虑租金减免，不含税）-推广服务收入（万元）|年度</v>
      </c>
      <c r="M1286">
        <f>IF($A1286="",0,IF(COUNTIF($L$2:$L1286,$L1286)=1,1,0))</f>
        <v>0</v>
      </c>
      <c r="N1286">
        <f t="shared" si="306"/>
        <v>20230</v>
      </c>
      <c r="O1286" t="str">
        <f t="shared" si="307"/>
        <v>华夏中海消费封闭式基础设施证券投资基金|2023|年度</v>
      </c>
      <c r="P1286">
        <f>IF($A1286="",0,IF(COUNTIF($O$2:$O1286,$O1286)=1,1,0))</f>
        <v>0</v>
      </c>
      <c r="Q1286" t="str">
        <f>IF(AND($P1286=1,$A1286=经营数据!$B$3,$J1286=经营数据!$BA$5),COUNTIFS($P$2:$P$3000,1,$A$2:$A$3000,$A1286,$J$2:$J$3000,$J1286,$N$2:$N$3000,"&lt;"&amp;$N1286)+1,"")</f>
        <v/>
      </c>
      <c r="R1286" t="str">
        <f t="shared" si="308"/>
        <v>华夏中海消费封闭式基础设施证券投资基金|佛山映月湖环宇城</v>
      </c>
      <c r="S1286">
        <f>IF($A1286="",0,IF(COUNTIF($R$2:$R1286,$R1286)=1,1,0))</f>
        <v>0</v>
      </c>
      <c r="T1286">
        <f t="shared" si="309"/>
        <v>1244</v>
      </c>
      <c r="U1286" t="str">
        <f>IF($A1286="","",IF($A1286=经营数据!$B$3,COUNTIFS($S$2:$S$3000,1,$A$2:$A$3000,$A1286,$T$2:$T$3000,"&lt;"&amp;$T1286)+1,""))</f>
        <v/>
      </c>
      <c r="V1286" t="str">
        <f t="shared" si="310"/>
        <v>佛山映月湖环宇城|服务金额</v>
      </c>
      <c r="W1286">
        <f t="shared" si="311"/>
        <v>1244</v>
      </c>
      <c r="X1286" t="str">
        <f t="shared" si="312"/>
        <v>佛山映月湖环宇城|营业收入（考虑租金减免，不含税）</v>
      </c>
      <c r="Y1286">
        <f t="shared" si="313"/>
        <v>1244</v>
      </c>
      <c r="Z1286">
        <f>IF($A1286="",0,IF(AND($M1286=1,$A1286=经营数据!$B$3,$J1286=经营数据!$BA$5,OR($I1286=经营数据!$BA$4,COUNTIF(经营数据!$AA$9:$AA$38,$I1286)&gt;0)),1,0))</f>
        <v>0</v>
      </c>
      <c r="AA1286" t="str">
        <f t="shared" si="314"/>
        <v/>
      </c>
      <c r="AB1286" t="str">
        <f t="shared" si="315"/>
        <v/>
      </c>
      <c r="AC1286">
        <f>IF($A1286="",0,IF(COUNTIF($A$2:$A1286,$A1286)=1,1,0))</f>
        <v>0</v>
      </c>
      <c r="AD1286">
        <f t="shared" si="316"/>
        <v>12</v>
      </c>
      <c r="AE1286" t="str">
        <f t="shared" si="317"/>
        <v>佛山映月湖环宇城|营业收入（考虑租金减免，不含税）-推广服务收入（万元）</v>
      </c>
    </row>
    <row r="1287" spans="1:31" x14ac:dyDescent="0.4">
      <c r="A1287" t="str">
        <f>IF(原始经营数据!$D1288="","",原始经营数据!$D1288)</f>
        <v>华夏中海消费封闭式基础设施证券投资基金</v>
      </c>
      <c r="B1287" t="str">
        <f>IF(原始经营数据!$D1288="","",T(原始经营数据!$E1288))</f>
        <v>佛山映月湖环宇城</v>
      </c>
      <c r="C1287" t="str">
        <f>IF(原始经营数据!$D1288="","",原始经营数据!$F1288)</f>
        <v>2024</v>
      </c>
      <c r="D1287" t="str">
        <f>IF(原始经营数据!$D1288="","",原始经营数据!$H1288)</f>
        <v>平均固定租金单价（不含税）</v>
      </c>
      <c r="E1287">
        <f>IF(原始经营数据!$D1288="","",原始经营数据!$I1288)</f>
        <v>96.91</v>
      </c>
      <c r="F1287" t="str">
        <f>IF(原始经营数据!$D1288="","",T(原始经营数据!$J1288))</f>
        <v>元/平方米</v>
      </c>
      <c r="G1287" t="str">
        <f>IF(原始经营数据!$D1288="","",T(原始经营数据!$K1288))</f>
        <v/>
      </c>
      <c r="H1287" t="str">
        <f>IF(原始经营数据!$D1288="","",原始经营数据!$G1288)</f>
        <v>服务价格</v>
      </c>
      <c r="I1287" t="str">
        <f>IF($A1287="","",IF($B1287&lt;&gt;"",$B1287,IF(COUNTIFS(原始经营数据!$D$3:$D$3001,$A1287,原始经营数据!$E$3:$E$3001,"",原始经营数据!$F$3:$F$3001,$C1287,原始经营数据!$H$3:$H$3001,$D1287,原始经营数据!$K$3:$K$3001,$G1287)&gt;1,"基金整体·来源"&amp;原始经营数据!$A1288,"基金整体")))</f>
        <v>佛山映月湖环宇城</v>
      </c>
      <c r="J1287" t="str">
        <f t="shared" si="303"/>
        <v>年度</v>
      </c>
      <c r="K1287" t="str">
        <f t="shared" si="304"/>
        <v>平均固定租金单价（不含税）（元/平方米）</v>
      </c>
      <c r="L1287" t="str">
        <f t="shared" si="305"/>
        <v>佛山映月湖环宇城|平均固定租金单价（不含税）（元/平方米）|年度</v>
      </c>
      <c r="M1287">
        <f>IF($A1287="",0,IF(COUNTIF($L$2:$L1287,$L1287)=1,1,0))</f>
        <v>0</v>
      </c>
      <c r="N1287">
        <f t="shared" si="306"/>
        <v>20240</v>
      </c>
      <c r="O1287" t="str">
        <f t="shared" si="307"/>
        <v>华夏中海消费封闭式基础设施证券投资基金|2024|年度</v>
      </c>
      <c r="P1287">
        <f>IF($A1287="",0,IF(COUNTIF($O$2:$O1287,$O1287)=1,1,0))</f>
        <v>1</v>
      </c>
      <c r="Q1287" t="str">
        <f>IF(AND($P1287=1,$A1287=经营数据!$B$3,$J1287=经营数据!$BA$5),COUNTIFS($P$2:$P$3000,1,$A$2:$A$3000,$A1287,$J$2:$J$3000,$J1287,$N$2:$N$3000,"&lt;"&amp;$N1287)+1,"")</f>
        <v/>
      </c>
      <c r="R1287" t="str">
        <f t="shared" si="308"/>
        <v>华夏中海消费封闭式基础设施证券投资基金|佛山映月湖环宇城</v>
      </c>
      <c r="S1287">
        <f>IF($A1287="",0,IF(COUNTIF($R$2:$R1287,$R1287)=1,1,0))</f>
        <v>0</v>
      </c>
      <c r="T1287">
        <f t="shared" si="309"/>
        <v>1244</v>
      </c>
      <c r="U1287" t="str">
        <f>IF($A1287="","",IF($A1287=经营数据!$B$3,COUNTIFS($S$2:$S$3000,1,$A$2:$A$3000,$A1287,$T$2:$T$3000,"&lt;"&amp;$T1287)+1,""))</f>
        <v/>
      </c>
      <c r="V1287" t="str">
        <f t="shared" si="310"/>
        <v>佛山映月湖环宇城|服务价格</v>
      </c>
      <c r="W1287">
        <f t="shared" si="311"/>
        <v>1250</v>
      </c>
      <c r="X1287" t="str">
        <f t="shared" si="312"/>
        <v>佛山映月湖环宇城|平均固定租金单价（不含税）</v>
      </c>
      <c r="Y1287">
        <f t="shared" si="313"/>
        <v>1261</v>
      </c>
      <c r="Z1287">
        <f>IF($A1287="",0,IF(AND($M1287=1,$A1287=经营数据!$B$3,$J1287=经营数据!$BA$5,OR($I1287=经营数据!$BA$4,COUNTIF(经营数据!$AA$9:$AA$38,$I1287)&gt;0)),1,0))</f>
        <v>0</v>
      </c>
      <c r="AA1287" t="str">
        <f t="shared" si="314"/>
        <v/>
      </c>
      <c r="AB1287" t="str">
        <f t="shared" si="315"/>
        <v/>
      </c>
      <c r="AC1287">
        <f>IF($A1287="",0,IF(COUNTIF($A$2:$A1287,$A1287)=1,1,0))</f>
        <v>0</v>
      </c>
      <c r="AD1287">
        <f t="shared" si="316"/>
        <v>12</v>
      </c>
      <c r="AE1287" t="str">
        <f t="shared" si="317"/>
        <v>佛山映月湖环宇城|平均固定租金单价（不含税）（元/平方米）</v>
      </c>
    </row>
    <row r="1288" spans="1:31" x14ac:dyDescent="0.4">
      <c r="A1288" t="str">
        <f>IF(原始经营数据!$D1289="","",原始经营数据!$D1289)</f>
        <v>华夏中海消费封闭式基础设施证券投资基金</v>
      </c>
      <c r="B1288" t="str">
        <f>IF(原始经营数据!$D1289="","",T(原始经营数据!$E1289))</f>
        <v>佛山映月湖环宇城</v>
      </c>
      <c r="C1288" t="str">
        <f>IF(原始经营数据!$D1289="","",原始经营数据!$F1289)</f>
        <v>2024</v>
      </c>
      <c r="D1288" t="str">
        <f>IF(原始经营数据!$D1289="","",原始经营数据!$H1289)</f>
        <v>续租率</v>
      </c>
      <c r="E1288">
        <f>IF(原始经营数据!$D1289="","",原始经营数据!$I1289)</f>
        <v>39.29</v>
      </c>
      <c r="F1288" t="str">
        <f>IF(原始经营数据!$D1289="","",T(原始经营数据!$J1289))</f>
        <v>%</v>
      </c>
      <c r="G1288" t="str">
        <f>IF(原始经营数据!$D1289="","",T(原始经营数据!$K1289))</f>
        <v/>
      </c>
      <c r="H1288" t="str">
        <f>IF(原始经营数据!$D1289="","",原始经营数据!$G1289)</f>
        <v>服务效率</v>
      </c>
      <c r="I1288" t="str">
        <f>IF($A1288="","",IF($B1288&lt;&gt;"",$B1288,IF(COUNTIFS(原始经营数据!$D$3:$D$3001,$A1288,原始经营数据!$E$3:$E$3001,"",原始经营数据!$F$3:$F$3001,$C1288,原始经营数据!$H$3:$H$3001,$D1288,原始经营数据!$K$3:$K$3001,$G1288)&gt;1,"基金整体·来源"&amp;原始经营数据!$A1289,"基金整体")))</f>
        <v>佛山映月湖环宇城</v>
      </c>
      <c r="J1288" t="str">
        <f t="shared" si="303"/>
        <v>年度</v>
      </c>
      <c r="K1288" t="str">
        <f t="shared" si="304"/>
        <v>续租率（%）</v>
      </c>
      <c r="L1288" t="str">
        <f t="shared" si="305"/>
        <v>佛山映月湖环宇城|续租率（%）|年度</v>
      </c>
      <c r="M1288">
        <f>IF($A1288="",0,IF(COUNTIF($L$2:$L1288,$L1288)=1,1,0))</f>
        <v>0</v>
      </c>
      <c r="N1288">
        <f t="shared" si="306"/>
        <v>20240</v>
      </c>
      <c r="O1288" t="str">
        <f t="shared" si="307"/>
        <v>华夏中海消费封闭式基础设施证券投资基金|2024|年度</v>
      </c>
      <c r="P1288">
        <f>IF($A1288="",0,IF(COUNTIF($O$2:$O1288,$O1288)=1,1,0))</f>
        <v>0</v>
      </c>
      <c r="Q1288" t="str">
        <f>IF(AND($P1288=1,$A1288=经营数据!$B$3,$J1288=经营数据!$BA$5),COUNTIFS($P$2:$P$3000,1,$A$2:$A$3000,$A1288,$J$2:$J$3000,$J1288,$N$2:$N$3000,"&lt;"&amp;$N1288)+1,"")</f>
        <v/>
      </c>
      <c r="R1288" t="str">
        <f t="shared" si="308"/>
        <v>华夏中海消费封闭式基础设施证券投资基金|佛山映月湖环宇城</v>
      </c>
      <c r="S1288">
        <f>IF($A1288="",0,IF(COUNTIF($R$2:$R1288,$R1288)=1,1,0))</f>
        <v>0</v>
      </c>
      <c r="T1288">
        <f t="shared" si="309"/>
        <v>1244</v>
      </c>
      <c r="U1288" t="str">
        <f>IF($A1288="","",IF($A1288=经营数据!$B$3,COUNTIFS($S$2:$S$3000,1,$A$2:$A$3000,$A1288,$T$2:$T$3000,"&lt;"&amp;$T1288)+1,""))</f>
        <v/>
      </c>
      <c r="V1288" t="str">
        <f t="shared" si="310"/>
        <v>佛山映月湖环宇城|服务效率</v>
      </c>
      <c r="W1288">
        <f t="shared" si="311"/>
        <v>1253</v>
      </c>
      <c r="X1288" t="str">
        <f t="shared" si="312"/>
        <v>佛山映月湖环宇城|续租率</v>
      </c>
      <c r="Y1288">
        <f t="shared" si="313"/>
        <v>1260</v>
      </c>
      <c r="Z1288">
        <f>IF($A1288="",0,IF(AND($M1288=1,$A1288=经营数据!$B$3,$J1288=经营数据!$BA$5,OR($I1288=经营数据!$BA$4,COUNTIF(经营数据!$AA$9:$AA$38,$I1288)&gt;0)),1,0))</f>
        <v>0</v>
      </c>
      <c r="AA1288" t="str">
        <f t="shared" si="314"/>
        <v/>
      </c>
      <c r="AB1288" t="str">
        <f t="shared" si="315"/>
        <v/>
      </c>
      <c r="AC1288">
        <f>IF($A1288="",0,IF(COUNTIF($A$2:$A1288,$A1288)=1,1,0))</f>
        <v>0</v>
      </c>
      <c r="AD1288">
        <f t="shared" si="316"/>
        <v>12</v>
      </c>
      <c r="AE1288" t="str">
        <f t="shared" si="317"/>
        <v>佛山映月湖环宇城|续租率（%）</v>
      </c>
    </row>
    <row r="1289" spans="1:31" x14ac:dyDescent="0.4">
      <c r="A1289" t="str">
        <f>IF(原始经营数据!$D1290="","",原始经营数据!$D1290)</f>
        <v>华夏中海消费封闭式基础设施证券投资基金</v>
      </c>
      <c r="B1289" t="str">
        <f>IF(原始经营数据!$D1290="","",T(原始经营数据!$E1290))</f>
        <v>佛山映月湖环宇城</v>
      </c>
      <c r="C1289" t="str">
        <f>IF(原始经营数据!$D1290="","",原始经营数据!$F1290)</f>
        <v>2024</v>
      </c>
      <c r="D1289" t="str">
        <f>IF(原始经营数据!$D1290="","",原始经营数据!$H1290)</f>
        <v>加权平均出租率</v>
      </c>
      <c r="E1289">
        <f>IF(原始经营数据!$D1290="","",原始经营数据!$I1290)</f>
        <v>97.79</v>
      </c>
      <c r="F1289" t="str">
        <f>IF(原始经营数据!$D1290="","",T(原始经营数据!$J1290))</f>
        <v>%</v>
      </c>
      <c r="G1289" t="str">
        <f>IF(原始经营数据!$D1290="","",T(原始经营数据!$K1290))</f>
        <v/>
      </c>
      <c r="H1289" t="str">
        <f>IF(原始经营数据!$D1290="","",原始经营数据!$G1290)</f>
        <v>服务效率</v>
      </c>
      <c r="I1289" t="str">
        <f>IF($A1289="","",IF($B1289&lt;&gt;"",$B1289,IF(COUNTIFS(原始经营数据!$D$3:$D$3001,$A1289,原始经营数据!$E$3:$E$3001,"",原始经营数据!$F$3:$F$3001,$C1289,原始经营数据!$H$3:$H$3001,$D1289,原始经营数据!$K$3:$K$3001,$G1289)&gt;1,"基金整体·来源"&amp;原始经营数据!$A1290,"基金整体")))</f>
        <v>佛山映月湖环宇城</v>
      </c>
      <c r="J1289" t="str">
        <f t="shared" si="303"/>
        <v>年度</v>
      </c>
      <c r="K1289" t="str">
        <f t="shared" si="304"/>
        <v>加权平均出租率（%）</v>
      </c>
      <c r="L1289" t="str">
        <f t="shared" si="305"/>
        <v>佛山映月湖环宇城|加权平均出租率（%）|年度</v>
      </c>
      <c r="M1289">
        <f>IF($A1289="",0,IF(COUNTIF($L$2:$L1289,$L1289)=1,1,0))</f>
        <v>0</v>
      </c>
      <c r="N1289">
        <f t="shared" si="306"/>
        <v>20240</v>
      </c>
      <c r="O1289" t="str">
        <f t="shared" si="307"/>
        <v>华夏中海消费封闭式基础设施证券投资基金|2024|年度</v>
      </c>
      <c r="P1289">
        <f>IF($A1289="",0,IF(COUNTIF($O$2:$O1289,$O1289)=1,1,0))</f>
        <v>0</v>
      </c>
      <c r="Q1289" t="str">
        <f>IF(AND($P1289=1,$A1289=经营数据!$B$3,$J1289=经营数据!$BA$5),COUNTIFS($P$2:$P$3000,1,$A$2:$A$3000,$A1289,$J$2:$J$3000,$J1289,$N$2:$N$3000,"&lt;"&amp;$N1289)+1,"")</f>
        <v/>
      </c>
      <c r="R1289" t="str">
        <f t="shared" si="308"/>
        <v>华夏中海消费封闭式基础设施证券投资基金|佛山映月湖环宇城</v>
      </c>
      <c r="S1289">
        <f>IF($A1289="",0,IF(COUNTIF($R$2:$R1289,$R1289)=1,1,0))</f>
        <v>0</v>
      </c>
      <c r="T1289">
        <f t="shared" si="309"/>
        <v>1244</v>
      </c>
      <c r="U1289" t="str">
        <f>IF($A1289="","",IF($A1289=经营数据!$B$3,COUNTIFS($S$2:$S$3000,1,$A$2:$A$3000,$A1289,$T$2:$T$3000,"&lt;"&amp;$T1289)+1,""))</f>
        <v/>
      </c>
      <c r="V1289" t="str">
        <f t="shared" si="310"/>
        <v>佛山映月湖环宇城|服务效率</v>
      </c>
      <c r="W1289">
        <f t="shared" si="311"/>
        <v>1253</v>
      </c>
      <c r="X1289" t="str">
        <f t="shared" si="312"/>
        <v>佛山映月湖环宇城|加权平均出租率</v>
      </c>
      <c r="Y1289">
        <f t="shared" si="313"/>
        <v>1259</v>
      </c>
      <c r="Z1289">
        <f>IF($A1289="",0,IF(AND($M1289=1,$A1289=经营数据!$B$3,$J1289=经营数据!$BA$5,OR($I1289=经营数据!$BA$4,COUNTIF(经营数据!$AA$9:$AA$38,$I1289)&gt;0)),1,0))</f>
        <v>0</v>
      </c>
      <c r="AA1289" t="str">
        <f t="shared" si="314"/>
        <v/>
      </c>
      <c r="AB1289" t="str">
        <f t="shared" si="315"/>
        <v/>
      </c>
      <c r="AC1289">
        <f>IF($A1289="",0,IF(COUNTIF($A$2:$A1289,$A1289)=1,1,0))</f>
        <v>0</v>
      </c>
      <c r="AD1289">
        <f t="shared" si="316"/>
        <v>12</v>
      </c>
      <c r="AE1289" t="str">
        <f t="shared" si="317"/>
        <v>佛山映月湖环宇城|加权平均出租率（%）</v>
      </c>
    </row>
    <row r="1290" spans="1:31" x14ac:dyDescent="0.4">
      <c r="A1290" t="str">
        <f>IF(原始经营数据!$D1291="","",原始经营数据!$D1291)</f>
        <v>华夏中海消费封闭式基础设施证券投资基金</v>
      </c>
      <c r="B1290" t="str">
        <f>IF(原始经营数据!$D1291="","",T(原始经营数据!$E1291))</f>
        <v>佛山映月湖环宇城</v>
      </c>
      <c r="C1290" t="str">
        <f>IF(原始经营数据!$D1291="","",原始经营数据!$F1291)</f>
        <v>2024</v>
      </c>
      <c r="D1290" t="str">
        <f>IF(原始经营数据!$D1291="","",原始经营数据!$H1291)</f>
        <v>期末时点出租率</v>
      </c>
      <c r="E1290">
        <f>IF(原始经营数据!$D1291="","",原始经营数据!$I1291)</f>
        <v>98.64</v>
      </c>
      <c r="F1290" t="str">
        <f>IF(原始经营数据!$D1291="","",T(原始经营数据!$J1291))</f>
        <v>%</v>
      </c>
      <c r="G1290" t="str">
        <f>IF(原始经营数据!$D1291="","",T(原始经营数据!$K1291))</f>
        <v/>
      </c>
      <c r="H1290" t="str">
        <f>IF(原始经营数据!$D1291="","",原始经营数据!$G1291)</f>
        <v>服务效率</v>
      </c>
      <c r="I1290" t="str">
        <f>IF($A1290="","",IF($B1290&lt;&gt;"",$B1290,IF(COUNTIFS(原始经营数据!$D$3:$D$3001,$A1290,原始经营数据!$E$3:$E$3001,"",原始经营数据!$F$3:$F$3001,$C1290,原始经营数据!$H$3:$H$3001,$D1290,原始经营数据!$K$3:$K$3001,$G1290)&gt;1,"基金整体·来源"&amp;原始经营数据!$A1291,"基金整体")))</f>
        <v>佛山映月湖环宇城</v>
      </c>
      <c r="J1290" t="str">
        <f t="shared" si="303"/>
        <v>年度</v>
      </c>
      <c r="K1290" t="str">
        <f t="shared" si="304"/>
        <v>期末时点出租率（%）</v>
      </c>
      <c r="L1290" t="str">
        <f t="shared" si="305"/>
        <v>佛山映月湖环宇城|期末时点出租率（%）|年度</v>
      </c>
      <c r="M1290">
        <f>IF($A1290="",0,IF(COUNTIF($L$2:$L1290,$L1290)=1,1,0))</f>
        <v>0</v>
      </c>
      <c r="N1290">
        <f t="shared" si="306"/>
        <v>20240</v>
      </c>
      <c r="O1290" t="str">
        <f t="shared" si="307"/>
        <v>华夏中海消费封闭式基础设施证券投资基金|2024|年度</v>
      </c>
      <c r="P1290">
        <f>IF($A1290="",0,IF(COUNTIF($O$2:$O1290,$O1290)=1,1,0))</f>
        <v>0</v>
      </c>
      <c r="Q1290" t="str">
        <f>IF(AND($P1290=1,$A1290=经营数据!$B$3,$J1290=经营数据!$BA$5),COUNTIFS($P$2:$P$3000,1,$A$2:$A$3000,$A1290,$J$2:$J$3000,$J1290,$N$2:$N$3000,"&lt;"&amp;$N1290)+1,"")</f>
        <v/>
      </c>
      <c r="R1290" t="str">
        <f t="shared" si="308"/>
        <v>华夏中海消费封闭式基础设施证券投资基金|佛山映月湖环宇城</v>
      </c>
      <c r="S1290">
        <f>IF($A1290="",0,IF(COUNTIF($R$2:$R1290,$R1290)=1,1,0))</f>
        <v>0</v>
      </c>
      <c r="T1290">
        <f t="shared" si="309"/>
        <v>1244</v>
      </c>
      <c r="U1290" t="str">
        <f>IF($A1290="","",IF($A1290=经营数据!$B$3,COUNTIFS($S$2:$S$3000,1,$A$2:$A$3000,$A1290,$T$2:$T$3000,"&lt;"&amp;$T1290)+1,""))</f>
        <v/>
      </c>
      <c r="V1290" t="str">
        <f t="shared" si="310"/>
        <v>佛山映月湖环宇城|服务效率</v>
      </c>
      <c r="W1290">
        <f t="shared" si="311"/>
        <v>1253</v>
      </c>
      <c r="X1290" t="str">
        <f t="shared" si="312"/>
        <v>佛山映月湖环宇城|期末时点出租率</v>
      </c>
      <c r="Y1290">
        <f t="shared" si="313"/>
        <v>1258</v>
      </c>
      <c r="Z1290">
        <f>IF($A1290="",0,IF(AND($M1290=1,$A1290=经营数据!$B$3,$J1290=经营数据!$BA$5,OR($I1290=经营数据!$BA$4,COUNTIF(经营数据!$AA$9:$AA$38,$I1290)&gt;0)),1,0))</f>
        <v>0</v>
      </c>
      <c r="AA1290" t="str">
        <f t="shared" si="314"/>
        <v/>
      </c>
      <c r="AB1290" t="str">
        <f t="shared" si="315"/>
        <v/>
      </c>
      <c r="AC1290">
        <f>IF($A1290="",0,IF(COUNTIF($A$2:$A1290,$A1290)=1,1,0))</f>
        <v>0</v>
      </c>
      <c r="AD1290">
        <f t="shared" si="316"/>
        <v>12</v>
      </c>
      <c r="AE1290" t="str">
        <f t="shared" si="317"/>
        <v>佛山映月湖环宇城|期末时点出租率（%）</v>
      </c>
    </row>
    <row r="1291" spans="1:31" x14ac:dyDescent="0.4">
      <c r="A1291" t="str">
        <f>IF(原始经营数据!$D1292="","",原始经营数据!$D1292)</f>
        <v>华夏中海消费封闭式基础设施证券投资基金</v>
      </c>
      <c r="B1291" t="str">
        <f>IF(原始经营数据!$D1292="","",T(原始经营数据!$E1292))</f>
        <v>佛山映月湖环宇城</v>
      </c>
      <c r="C1291" t="str">
        <f>IF(原始经营数据!$D1292="","",原始经营数据!$F1292)</f>
        <v>2024</v>
      </c>
      <c r="D1291" t="str">
        <f>IF(原始经营数据!$D1292="","",原始经营数据!$H1292)</f>
        <v>租金收缴率</v>
      </c>
      <c r="E1291">
        <f>IF(原始经营数据!$D1292="","",原始经营数据!$I1292)</f>
        <v>0.99009999999999998</v>
      </c>
      <c r="F1291" t="str">
        <f>IF(原始经营数据!$D1292="","",T(原始经营数据!$J1292))</f>
        <v>%</v>
      </c>
      <c r="G1291" t="str">
        <f>IF(原始经营数据!$D1292="","",T(原始经营数据!$K1292))</f>
        <v/>
      </c>
      <c r="H1291" t="str">
        <f>IF(原始经营数据!$D1292="","",原始经营数据!$G1292)</f>
        <v>服务效率</v>
      </c>
      <c r="I1291" t="str">
        <f>IF($A1291="","",IF($B1291&lt;&gt;"",$B1291,IF(COUNTIFS(原始经营数据!$D$3:$D$3001,$A1291,原始经营数据!$E$3:$E$3001,"",原始经营数据!$F$3:$F$3001,$C1291,原始经营数据!$H$3:$H$3001,$D1291,原始经营数据!$K$3:$K$3001,$G1291)&gt;1,"基金整体·来源"&amp;原始经营数据!$A1292,"基金整体")))</f>
        <v>佛山映月湖环宇城</v>
      </c>
      <c r="J1291" t="str">
        <f t="shared" si="303"/>
        <v>年度</v>
      </c>
      <c r="K1291" t="str">
        <f t="shared" si="304"/>
        <v>租金收缴率（%）</v>
      </c>
      <c r="L1291" t="str">
        <f t="shared" si="305"/>
        <v>佛山映月湖环宇城|租金收缴率（%）|年度</v>
      </c>
      <c r="M1291">
        <f>IF($A1291="",0,IF(COUNTIF($L$2:$L1291,$L1291)=1,1,0))</f>
        <v>0</v>
      </c>
      <c r="N1291">
        <f t="shared" si="306"/>
        <v>20240</v>
      </c>
      <c r="O1291" t="str">
        <f t="shared" si="307"/>
        <v>华夏中海消费封闭式基础设施证券投资基金|2024|年度</v>
      </c>
      <c r="P1291">
        <f>IF($A1291="",0,IF(COUNTIF($O$2:$O1291,$O1291)=1,1,0))</f>
        <v>0</v>
      </c>
      <c r="Q1291" t="str">
        <f>IF(AND($P1291=1,$A1291=经营数据!$B$3,$J1291=经营数据!$BA$5),COUNTIFS($P$2:$P$3000,1,$A$2:$A$3000,$A1291,$J$2:$J$3000,$J1291,$N$2:$N$3000,"&lt;"&amp;$N1291)+1,"")</f>
        <v/>
      </c>
      <c r="R1291" t="str">
        <f t="shared" si="308"/>
        <v>华夏中海消费封闭式基础设施证券投资基金|佛山映月湖环宇城</v>
      </c>
      <c r="S1291">
        <f>IF($A1291="",0,IF(COUNTIF($R$2:$R1291,$R1291)=1,1,0))</f>
        <v>0</v>
      </c>
      <c r="T1291">
        <f t="shared" si="309"/>
        <v>1244</v>
      </c>
      <c r="U1291" t="str">
        <f>IF($A1291="","",IF($A1291=经营数据!$B$3,COUNTIFS($S$2:$S$3000,1,$A$2:$A$3000,$A1291,$T$2:$T$3000,"&lt;"&amp;$T1291)+1,""))</f>
        <v/>
      </c>
      <c r="V1291" t="str">
        <f t="shared" si="310"/>
        <v>佛山映月湖环宇城|服务效率</v>
      </c>
      <c r="W1291">
        <f t="shared" si="311"/>
        <v>1253</v>
      </c>
      <c r="X1291" t="str">
        <f t="shared" si="312"/>
        <v>佛山映月湖环宇城|租金收缴率</v>
      </c>
      <c r="Y1291">
        <f t="shared" si="313"/>
        <v>1257</v>
      </c>
      <c r="Z1291">
        <f>IF($A1291="",0,IF(AND($M1291=1,$A1291=经营数据!$B$3,$J1291=经营数据!$BA$5,OR($I1291=经营数据!$BA$4,COUNTIF(经营数据!$AA$9:$AA$38,$I1291)&gt;0)),1,0))</f>
        <v>0</v>
      </c>
      <c r="AA1291" t="str">
        <f t="shared" si="314"/>
        <v/>
      </c>
      <c r="AB1291" t="str">
        <f t="shared" si="315"/>
        <v/>
      </c>
      <c r="AC1291">
        <f>IF($A1291="",0,IF(COUNTIF($A$2:$A1291,$A1291)=1,1,0))</f>
        <v>0</v>
      </c>
      <c r="AD1291">
        <f t="shared" si="316"/>
        <v>12</v>
      </c>
      <c r="AE1291" t="str">
        <f t="shared" si="317"/>
        <v>佛山映月湖环宇城|租金收缴率（%）</v>
      </c>
    </row>
    <row r="1292" spans="1:31" x14ac:dyDescent="0.4">
      <c r="A1292" t="str">
        <f>IF(原始经营数据!$D1293="","",原始经营数据!$D1293)</f>
        <v>华夏中海消费封闭式基础设施证券投资基金</v>
      </c>
      <c r="B1292" t="str">
        <f>IF(原始经营数据!$D1293="","",T(原始经营数据!$E1293))</f>
        <v>佛山映月湖环宇城</v>
      </c>
      <c r="C1292" t="str">
        <f>IF(原始经营数据!$D1293="","",原始经营数据!$F1293)</f>
        <v>2024</v>
      </c>
      <c r="D1292" t="str">
        <f>IF(原始经营数据!$D1293="","",原始经营数据!$H1293)</f>
        <v>租户数量</v>
      </c>
      <c r="E1292">
        <f>IF(原始经营数据!$D1293="","",原始经营数据!$I1293)</f>
        <v>11</v>
      </c>
      <c r="F1292" t="str">
        <f>IF(原始经营数据!$D1293="","",T(原始经营数据!$J1293))</f>
        <v/>
      </c>
      <c r="G1292" t="str">
        <f>IF(原始经营数据!$D1293="","",T(原始经营数据!$K1293))</f>
        <v>主力店及次主力店</v>
      </c>
      <c r="H1292" t="str">
        <f>IF(原始经营数据!$D1293="","",原始经营数据!$G1293)</f>
        <v>服务量</v>
      </c>
      <c r="I1292" t="str">
        <f>IF($A1292="","",IF($B1292&lt;&gt;"",$B1292,IF(COUNTIFS(原始经营数据!$D$3:$D$3001,$A1292,原始经营数据!$E$3:$E$3001,"",原始经营数据!$F$3:$F$3001,$C1292,原始经营数据!$H$3:$H$3001,$D1292,原始经营数据!$K$3:$K$3001,$G1292)&gt;1,"基金整体·来源"&amp;原始经营数据!$A1293,"基金整体")))</f>
        <v>佛山映月湖环宇城</v>
      </c>
      <c r="J1292" t="str">
        <f t="shared" si="303"/>
        <v>年度</v>
      </c>
      <c r="K1292" t="str">
        <f t="shared" si="304"/>
        <v>租户数量-主力店及次主力店</v>
      </c>
      <c r="L1292" t="str">
        <f t="shared" si="305"/>
        <v>佛山映月湖环宇城|租户数量-主力店及次主力店|年度</v>
      </c>
      <c r="M1292">
        <f>IF($A1292="",0,IF(COUNTIF($L$2:$L1292,$L1292)=1,1,0))</f>
        <v>0</v>
      </c>
      <c r="N1292">
        <f t="shared" si="306"/>
        <v>20240</v>
      </c>
      <c r="O1292" t="str">
        <f t="shared" si="307"/>
        <v>华夏中海消费封闭式基础设施证券投资基金|2024|年度</v>
      </c>
      <c r="P1292">
        <f>IF($A1292="",0,IF(COUNTIF($O$2:$O1292,$O1292)=1,1,0))</f>
        <v>0</v>
      </c>
      <c r="Q1292" t="str">
        <f>IF(AND($P1292=1,$A1292=经营数据!$B$3,$J1292=经营数据!$BA$5),COUNTIFS($P$2:$P$3000,1,$A$2:$A$3000,$A1292,$J$2:$J$3000,$J1292,$N$2:$N$3000,"&lt;"&amp;$N1292)+1,"")</f>
        <v/>
      </c>
      <c r="R1292" t="str">
        <f t="shared" si="308"/>
        <v>华夏中海消费封闭式基础设施证券投资基金|佛山映月湖环宇城</v>
      </c>
      <c r="S1292">
        <f>IF($A1292="",0,IF(COUNTIF($R$2:$R1292,$R1292)=1,1,0))</f>
        <v>0</v>
      </c>
      <c r="T1292">
        <f t="shared" si="309"/>
        <v>1244</v>
      </c>
      <c r="U1292" t="str">
        <f>IF($A1292="","",IF($A1292=经营数据!$B$3,COUNTIFS($S$2:$S$3000,1,$A$2:$A$3000,$A1292,$T$2:$T$3000,"&lt;"&amp;$T1292)+1,""))</f>
        <v/>
      </c>
      <c r="V1292" t="str">
        <f t="shared" si="310"/>
        <v>佛山映月湖环宇城|服务量</v>
      </c>
      <c r="W1292">
        <f t="shared" si="311"/>
        <v>1248</v>
      </c>
      <c r="X1292" t="str">
        <f t="shared" si="312"/>
        <v>佛山映月湖环宇城|租户数量</v>
      </c>
      <c r="Y1292">
        <f t="shared" si="313"/>
        <v>1248</v>
      </c>
      <c r="Z1292">
        <f>IF($A1292="",0,IF(AND($M1292=1,$A1292=经营数据!$B$3,$J1292=经营数据!$BA$5,OR($I1292=经营数据!$BA$4,COUNTIF(经营数据!$AA$9:$AA$38,$I1292)&gt;0)),1,0))</f>
        <v>0</v>
      </c>
      <c r="AA1292" t="str">
        <f t="shared" si="314"/>
        <v/>
      </c>
      <c r="AB1292" t="str">
        <f t="shared" si="315"/>
        <v/>
      </c>
      <c r="AC1292">
        <f>IF($A1292="",0,IF(COUNTIF($A$2:$A1292,$A1292)=1,1,0))</f>
        <v>0</v>
      </c>
      <c r="AD1292">
        <f t="shared" si="316"/>
        <v>12</v>
      </c>
      <c r="AE1292" t="str">
        <f t="shared" si="317"/>
        <v>佛山映月湖环宇城|租户数量-主力店及次主力店</v>
      </c>
    </row>
    <row r="1293" spans="1:31" x14ac:dyDescent="0.4">
      <c r="A1293" t="str">
        <f>IF(原始经营数据!$D1294="","",原始经营数据!$D1294)</f>
        <v>华夏中海消费封闭式基础设施证券投资基金</v>
      </c>
      <c r="B1293" t="str">
        <f>IF(原始经营数据!$D1294="","",T(原始经营数据!$E1294))</f>
        <v>佛山映月湖环宇城</v>
      </c>
      <c r="C1293" t="str">
        <f>IF(原始经营数据!$D1294="","",原始经营数据!$F1294)</f>
        <v>2024</v>
      </c>
      <c r="D1293" t="str">
        <f>IF(原始经营数据!$D1294="","",原始经营数据!$H1294)</f>
        <v>租户数量</v>
      </c>
      <c r="E1293">
        <f>IF(原始经营数据!$D1294="","",原始经营数据!$I1294)</f>
        <v>219</v>
      </c>
      <c r="F1293" t="str">
        <f>IF(原始经营数据!$D1294="","",T(原始经营数据!$J1294))</f>
        <v/>
      </c>
      <c r="G1293" t="str">
        <f>IF(原始经营数据!$D1294="","",T(原始经营数据!$K1294))</f>
        <v>专门店</v>
      </c>
      <c r="H1293" t="str">
        <f>IF(原始经营数据!$D1294="","",原始经营数据!$G1294)</f>
        <v>服务量</v>
      </c>
      <c r="I1293" t="str">
        <f>IF($A1293="","",IF($B1293&lt;&gt;"",$B1293,IF(COUNTIFS(原始经营数据!$D$3:$D$3001,$A1293,原始经营数据!$E$3:$E$3001,"",原始经营数据!$F$3:$F$3001,$C1293,原始经营数据!$H$3:$H$3001,$D1293,原始经营数据!$K$3:$K$3001,$G1293)&gt;1,"基金整体·来源"&amp;原始经营数据!$A1294,"基金整体")))</f>
        <v>佛山映月湖环宇城</v>
      </c>
      <c r="J1293" t="str">
        <f t="shared" si="303"/>
        <v>年度</v>
      </c>
      <c r="K1293" t="str">
        <f t="shared" si="304"/>
        <v>租户数量-专门店</v>
      </c>
      <c r="L1293" t="str">
        <f t="shared" si="305"/>
        <v>佛山映月湖环宇城|租户数量-专门店|年度</v>
      </c>
      <c r="M1293">
        <f>IF($A1293="",0,IF(COUNTIF($L$2:$L1293,$L1293)=1,1,0))</f>
        <v>0</v>
      </c>
      <c r="N1293">
        <f t="shared" si="306"/>
        <v>20240</v>
      </c>
      <c r="O1293" t="str">
        <f t="shared" si="307"/>
        <v>华夏中海消费封闭式基础设施证券投资基金|2024|年度</v>
      </c>
      <c r="P1293">
        <f>IF($A1293="",0,IF(COUNTIF($O$2:$O1293,$O1293)=1,1,0))</f>
        <v>0</v>
      </c>
      <c r="Q1293" t="str">
        <f>IF(AND($P1293=1,$A1293=经营数据!$B$3,$J1293=经营数据!$BA$5),COUNTIFS($P$2:$P$3000,1,$A$2:$A$3000,$A1293,$J$2:$J$3000,$J1293,$N$2:$N$3000,"&lt;"&amp;$N1293)+1,"")</f>
        <v/>
      </c>
      <c r="R1293" t="str">
        <f t="shared" si="308"/>
        <v>华夏中海消费封闭式基础设施证券投资基金|佛山映月湖环宇城</v>
      </c>
      <c r="S1293">
        <f>IF($A1293="",0,IF(COUNTIF($R$2:$R1293,$R1293)=1,1,0))</f>
        <v>0</v>
      </c>
      <c r="T1293">
        <f t="shared" si="309"/>
        <v>1244</v>
      </c>
      <c r="U1293" t="str">
        <f>IF($A1293="","",IF($A1293=经营数据!$B$3,COUNTIFS($S$2:$S$3000,1,$A$2:$A$3000,$A1293,$T$2:$T$3000,"&lt;"&amp;$T1293)+1,""))</f>
        <v/>
      </c>
      <c r="V1293" t="str">
        <f t="shared" si="310"/>
        <v>佛山映月湖环宇城|服务量</v>
      </c>
      <c r="W1293">
        <f t="shared" si="311"/>
        <v>1248</v>
      </c>
      <c r="X1293" t="str">
        <f t="shared" si="312"/>
        <v>佛山映月湖环宇城|租户数量</v>
      </c>
      <c r="Y1293">
        <f t="shared" si="313"/>
        <v>1248</v>
      </c>
      <c r="Z1293">
        <f>IF($A1293="",0,IF(AND($M1293=1,$A1293=经营数据!$B$3,$J1293=经营数据!$BA$5,OR($I1293=经营数据!$BA$4,COUNTIF(经营数据!$AA$9:$AA$38,$I1293)&gt;0)),1,0))</f>
        <v>0</v>
      </c>
      <c r="AA1293" t="str">
        <f t="shared" si="314"/>
        <v/>
      </c>
      <c r="AB1293" t="str">
        <f t="shared" si="315"/>
        <v/>
      </c>
      <c r="AC1293">
        <f>IF($A1293="",0,IF(COUNTIF($A$2:$A1293,$A1293)=1,1,0))</f>
        <v>0</v>
      </c>
      <c r="AD1293">
        <f t="shared" si="316"/>
        <v>12</v>
      </c>
      <c r="AE1293" t="str">
        <f t="shared" si="317"/>
        <v>佛山映月湖环宇城|租户数量-专门店</v>
      </c>
    </row>
    <row r="1294" spans="1:31" x14ac:dyDescent="0.4">
      <c r="A1294" t="str">
        <f>IF(原始经营数据!$D1295="","",原始经营数据!$D1295)</f>
        <v>华夏中海消费封闭式基础设施证券投资基金</v>
      </c>
      <c r="B1294" t="str">
        <f>IF(原始经营数据!$D1295="","",T(原始经营数据!$E1295))</f>
        <v>佛山映月湖环宇城</v>
      </c>
      <c r="C1294" t="str">
        <f>IF(原始经营数据!$D1295="","",原始经营数据!$F1295)</f>
        <v>2024</v>
      </c>
      <c r="D1294" t="str">
        <f>IF(原始经营数据!$D1295="","",原始经营数据!$H1295)</f>
        <v>主力店平均租金单价（含物管费）</v>
      </c>
      <c r="E1294">
        <f>IF(原始经营数据!$D1295="","",原始经营数据!$I1295)</f>
        <v>58.91</v>
      </c>
      <c r="F1294" t="str">
        <f>IF(原始经营数据!$D1295="","",T(原始经营数据!$J1295))</f>
        <v>元/平方米/月</v>
      </c>
      <c r="G1294" t="str">
        <f>IF(原始经营数据!$D1295="","",T(原始经营数据!$K1295))</f>
        <v/>
      </c>
      <c r="H1294" t="str">
        <f>IF(原始经营数据!$D1295="","",原始经营数据!$G1295)</f>
        <v>服务价格</v>
      </c>
      <c r="I1294" t="str">
        <f>IF($A1294="","",IF($B1294&lt;&gt;"",$B1294,IF(COUNTIFS(原始经营数据!$D$3:$D$3001,$A1294,原始经营数据!$E$3:$E$3001,"",原始经营数据!$F$3:$F$3001,$C1294,原始经营数据!$H$3:$H$3001,$D1294,原始经营数据!$K$3:$K$3001,$G1294)&gt;1,"基金整体·来源"&amp;原始经营数据!$A1295,"基金整体")))</f>
        <v>佛山映月湖环宇城</v>
      </c>
      <c r="J1294" t="str">
        <f t="shared" si="303"/>
        <v>年度</v>
      </c>
      <c r="K1294" t="str">
        <f t="shared" si="304"/>
        <v>主力店平均租金单价（含物管费）（元/平方米/月）</v>
      </c>
      <c r="L1294" t="str">
        <f t="shared" si="305"/>
        <v>佛山映月湖环宇城|主力店平均租金单价（含物管费）（元/平方米/月）|年度</v>
      </c>
      <c r="M1294">
        <f>IF($A1294="",0,IF(COUNTIF($L$2:$L1294,$L1294)=1,1,0))</f>
        <v>0</v>
      </c>
      <c r="N1294">
        <f t="shared" si="306"/>
        <v>20240</v>
      </c>
      <c r="O1294" t="str">
        <f t="shared" si="307"/>
        <v>华夏中海消费封闭式基础设施证券投资基金|2024|年度</v>
      </c>
      <c r="P1294">
        <f>IF($A1294="",0,IF(COUNTIF($O$2:$O1294,$O1294)=1,1,0))</f>
        <v>0</v>
      </c>
      <c r="Q1294" t="str">
        <f>IF(AND($P1294=1,$A1294=经营数据!$B$3,$J1294=经营数据!$BA$5),COUNTIFS($P$2:$P$3000,1,$A$2:$A$3000,$A1294,$J$2:$J$3000,$J1294,$N$2:$N$3000,"&lt;"&amp;$N1294)+1,"")</f>
        <v/>
      </c>
      <c r="R1294" t="str">
        <f t="shared" si="308"/>
        <v>华夏中海消费封闭式基础设施证券投资基金|佛山映月湖环宇城</v>
      </c>
      <c r="S1294">
        <f>IF($A1294="",0,IF(COUNTIF($R$2:$R1294,$R1294)=1,1,0))</f>
        <v>0</v>
      </c>
      <c r="T1294">
        <f t="shared" si="309"/>
        <v>1244</v>
      </c>
      <c r="U1294" t="str">
        <f>IF($A1294="","",IF($A1294=经营数据!$B$3,COUNTIFS($S$2:$S$3000,1,$A$2:$A$3000,$A1294,$T$2:$T$3000,"&lt;"&amp;$T1294)+1,""))</f>
        <v/>
      </c>
      <c r="V1294" t="str">
        <f t="shared" si="310"/>
        <v>佛山映月湖环宇城|服务价格</v>
      </c>
      <c r="W1294">
        <f t="shared" si="311"/>
        <v>1250</v>
      </c>
      <c r="X1294" t="str">
        <f t="shared" si="312"/>
        <v>佛山映月湖环宇城|主力店平均租金单价（含物管费）</v>
      </c>
      <c r="Y1294">
        <f t="shared" si="313"/>
        <v>1251</v>
      </c>
      <c r="Z1294">
        <f>IF($A1294="",0,IF(AND($M1294=1,$A1294=经营数据!$B$3,$J1294=经营数据!$BA$5,OR($I1294=经营数据!$BA$4,COUNTIF(经营数据!$AA$9:$AA$38,$I1294)&gt;0)),1,0))</f>
        <v>0</v>
      </c>
      <c r="AA1294" t="str">
        <f t="shared" si="314"/>
        <v/>
      </c>
      <c r="AB1294" t="str">
        <f t="shared" si="315"/>
        <v/>
      </c>
      <c r="AC1294">
        <f>IF($A1294="",0,IF(COUNTIF($A$2:$A1294,$A1294)=1,1,0))</f>
        <v>0</v>
      </c>
      <c r="AD1294">
        <f t="shared" si="316"/>
        <v>12</v>
      </c>
      <c r="AE1294" t="str">
        <f t="shared" si="317"/>
        <v>佛山映月湖环宇城|主力店平均租金单价（含物管费）（元/平方米/月）</v>
      </c>
    </row>
    <row r="1295" spans="1:31" x14ac:dyDescent="0.4">
      <c r="A1295" t="str">
        <f>IF(原始经营数据!$D1296="","",原始经营数据!$D1296)</f>
        <v>华夏中海消费封闭式基础设施证券投资基金</v>
      </c>
      <c r="B1295" t="str">
        <f>IF(原始经营数据!$D1296="","",T(原始经营数据!$E1296))</f>
        <v>佛山映月湖环宇城</v>
      </c>
      <c r="C1295" t="str">
        <f>IF(原始经营数据!$D1296="","",原始经营数据!$F1296)</f>
        <v>2024</v>
      </c>
      <c r="D1295" t="str">
        <f>IF(原始经营数据!$D1296="","",原始经营数据!$H1296)</f>
        <v>营业收入（考虑租金减免，不含税）</v>
      </c>
      <c r="E1295">
        <f>IF(原始经营数据!$D1296="","",原始经营数据!$I1296)</f>
        <v>13664.62</v>
      </c>
      <c r="F1295" t="str">
        <f>IF(原始经营数据!$D1296="","",T(原始经营数据!$J1296))</f>
        <v>万元</v>
      </c>
      <c r="G1295" t="str">
        <f>IF(原始经营数据!$D1296="","",T(原始经营数据!$K1296))</f>
        <v/>
      </c>
      <c r="H1295" t="str">
        <f>IF(原始经营数据!$D1296="","",原始经营数据!$G1296)</f>
        <v>服务金额</v>
      </c>
      <c r="I1295" t="str">
        <f>IF($A1295="","",IF($B1295&lt;&gt;"",$B1295,IF(COUNTIFS(原始经营数据!$D$3:$D$3001,$A1295,原始经营数据!$E$3:$E$3001,"",原始经营数据!$F$3:$F$3001,$C1295,原始经营数据!$H$3:$H$3001,$D1295,原始经营数据!$K$3:$K$3001,$G1295)&gt;1,"基金整体·来源"&amp;原始经营数据!$A1296,"基金整体")))</f>
        <v>佛山映月湖环宇城</v>
      </c>
      <c r="J1295" t="str">
        <f t="shared" si="303"/>
        <v>年度</v>
      </c>
      <c r="K1295" t="str">
        <f t="shared" si="304"/>
        <v>营业收入（考虑租金减免，不含税）（万元）</v>
      </c>
      <c r="L1295" t="str">
        <f t="shared" si="305"/>
        <v>佛山映月湖环宇城|营业收入（考虑租金减免，不含税）（万元）|年度</v>
      </c>
      <c r="M1295">
        <f>IF($A1295="",0,IF(COUNTIF($L$2:$L1295,$L1295)=1,1,0))</f>
        <v>0</v>
      </c>
      <c r="N1295">
        <f t="shared" si="306"/>
        <v>20240</v>
      </c>
      <c r="O1295" t="str">
        <f t="shared" si="307"/>
        <v>华夏中海消费封闭式基础设施证券投资基金|2024|年度</v>
      </c>
      <c r="P1295">
        <f>IF($A1295="",0,IF(COUNTIF($O$2:$O1295,$O1295)=1,1,0))</f>
        <v>0</v>
      </c>
      <c r="Q1295" t="str">
        <f>IF(AND($P1295=1,$A1295=经营数据!$B$3,$J1295=经营数据!$BA$5),COUNTIFS($P$2:$P$3000,1,$A$2:$A$3000,$A1295,$J$2:$J$3000,$J1295,$N$2:$N$3000,"&lt;"&amp;$N1295)+1,"")</f>
        <v/>
      </c>
      <c r="R1295" t="str">
        <f t="shared" si="308"/>
        <v>华夏中海消费封闭式基础设施证券投资基金|佛山映月湖环宇城</v>
      </c>
      <c r="S1295">
        <f>IF($A1295="",0,IF(COUNTIF($R$2:$R1295,$R1295)=1,1,0))</f>
        <v>0</v>
      </c>
      <c r="T1295">
        <f t="shared" si="309"/>
        <v>1244</v>
      </c>
      <c r="U1295" t="str">
        <f>IF($A1295="","",IF($A1295=经营数据!$B$3,COUNTIFS($S$2:$S$3000,1,$A$2:$A$3000,$A1295,$T$2:$T$3000,"&lt;"&amp;$T1295)+1,""))</f>
        <v/>
      </c>
      <c r="V1295" t="str">
        <f t="shared" si="310"/>
        <v>佛山映月湖环宇城|服务金额</v>
      </c>
      <c r="W1295">
        <f t="shared" si="311"/>
        <v>1244</v>
      </c>
      <c r="X1295" t="str">
        <f t="shared" si="312"/>
        <v>佛山映月湖环宇城|营业收入（考虑租金减免，不含税）</v>
      </c>
      <c r="Y1295">
        <f t="shared" si="313"/>
        <v>1244</v>
      </c>
      <c r="Z1295">
        <f>IF($A1295="",0,IF(AND($M1295=1,$A1295=经营数据!$B$3,$J1295=经营数据!$BA$5,OR($I1295=经营数据!$BA$4,COUNTIF(经营数据!$AA$9:$AA$38,$I1295)&gt;0)),1,0))</f>
        <v>0</v>
      </c>
      <c r="AA1295" t="str">
        <f t="shared" si="314"/>
        <v/>
      </c>
      <c r="AB1295" t="str">
        <f t="shared" si="315"/>
        <v/>
      </c>
      <c r="AC1295">
        <f>IF($A1295="",0,IF(COUNTIF($A$2:$A1295,$A1295)=1,1,0))</f>
        <v>0</v>
      </c>
      <c r="AD1295">
        <f t="shared" si="316"/>
        <v>12</v>
      </c>
      <c r="AE1295" t="str">
        <f t="shared" si="317"/>
        <v>佛山映月湖环宇城|营业收入（考虑租金减免，不含税）（万元）</v>
      </c>
    </row>
    <row r="1296" spans="1:31" x14ac:dyDescent="0.4">
      <c r="A1296" t="str">
        <f>IF(原始经营数据!$D1297="","",原始经营数据!$D1297)</f>
        <v>华夏中海消费封闭式基础设施证券投资基金</v>
      </c>
      <c r="B1296" t="str">
        <f>IF(原始经营数据!$D1297="","",T(原始经营数据!$E1297))</f>
        <v>佛山映月湖环宇城</v>
      </c>
      <c r="C1296" t="str">
        <f>IF(原始经营数据!$D1297="","",原始经营数据!$F1297)</f>
        <v>2024</v>
      </c>
      <c r="D1296" t="str">
        <f>IF(原始经营数据!$D1297="","",原始经营数据!$H1297)</f>
        <v>销售额</v>
      </c>
      <c r="E1296">
        <f>IF(原始经营数据!$D1297="","",原始经营数据!$I1297)</f>
        <v>158590.91</v>
      </c>
      <c r="F1296" t="str">
        <f>IF(原始经营数据!$D1297="","",T(原始经营数据!$J1297))</f>
        <v>万元</v>
      </c>
      <c r="G1296" t="str">
        <f>IF(原始经营数据!$D1297="","",T(原始经营数据!$K1297))</f>
        <v/>
      </c>
      <c r="H1296" t="str">
        <f>IF(原始经营数据!$D1297="","",原始经营数据!$G1297)</f>
        <v>服务金额</v>
      </c>
      <c r="I1296" t="str">
        <f>IF($A1296="","",IF($B1296&lt;&gt;"",$B1296,IF(COUNTIFS(原始经营数据!$D$3:$D$3001,$A1296,原始经营数据!$E$3:$E$3001,"",原始经营数据!$F$3:$F$3001,$C1296,原始经营数据!$H$3:$H$3001,$D1296,原始经营数据!$K$3:$K$3001,$G1296)&gt;1,"基金整体·来源"&amp;原始经营数据!$A1297,"基金整体")))</f>
        <v>佛山映月湖环宇城</v>
      </c>
      <c r="J1296" t="str">
        <f t="shared" si="303"/>
        <v>年度</v>
      </c>
      <c r="K1296" t="str">
        <f t="shared" si="304"/>
        <v>销售额（万元）</v>
      </c>
      <c r="L1296" t="str">
        <f t="shared" si="305"/>
        <v>佛山映月湖环宇城|销售额（万元）|年度</v>
      </c>
      <c r="M1296">
        <f>IF($A1296="",0,IF(COUNTIF($L$2:$L1296,$L1296)=1,1,0))</f>
        <v>0</v>
      </c>
      <c r="N1296">
        <f t="shared" si="306"/>
        <v>20240</v>
      </c>
      <c r="O1296" t="str">
        <f t="shared" si="307"/>
        <v>华夏中海消费封闭式基础设施证券投资基金|2024|年度</v>
      </c>
      <c r="P1296">
        <f>IF($A1296="",0,IF(COUNTIF($O$2:$O1296,$O1296)=1,1,0))</f>
        <v>0</v>
      </c>
      <c r="Q1296" t="str">
        <f>IF(AND($P1296=1,$A1296=经营数据!$B$3,$J1296=经营数据!$BA$5),COUNTIFS($P$2:$P$3000,1,$A$2:$A$3000,$A1296,$J$2:$J$3000,$J1296,$N$2:$N$3000,"&lt;"&amp;$N1296)+1,"")</f>
        <v/>
      </c>
      <c r="R1296" t="str">
        <f t="shared" si="308"/>
        <v>华夏中海消费封闭式基础设施证券投资基金|佛山映月湖环宇城</v>
      </c>
      <c r="S1296">
        <f>IF($A1296="",0,IF(COUNTIF($R$2:$R1296,$R1296)=1,1,0))</f>
        <v>0</v>
      </c>
      <c r="T1296">
        <f t="shared" si="309"/>
        <v>1244</v>
      </c>
      <c r="U1296" t="str">
        <f>IF($A1296="","",IF($A1296=经营数据!$B$3,COUNTIFS($S$2:$S$3000,1,$A$2:$A$3000,$A1296,$T$2:$T$3000,"&lt;"&amp;$T1296)+1,""))</f>
        <v/>
      </c>
      <c r="V1296" t="str">
        <f t="shared" si="310"/>
        <v>佛山映月湖环宇城|服务金额</v>
      </c>
      <c r="W1296">
        <f t="shared" si="311"/>
        <v>1244</v>
      </c>
      <c r="X1296" t="str">
        <f t="shared" si="312"/>
        <v>佛山映月湖环宇城|销售额</v>
      </c>
      <c r="Y1296">
        <f t="shared" si="313"/>
        <v>1245</v>
      </c>
      <c r="Z1296">
        <f>IF($A1296="",0,IF(AND($M1296=1,$A1296=经营数据!$B$3,$J1296=经营数据!$BA$5,OR($I1296=经营数据!$BA$4,COUNTIF(经营数据!$AA$9:$AA$38,$I1296)&gt;0)),1,0))</f>
        <v>0</v>
      </c>
      <c r="AA1296" t="str">
        <f t="shared" si="314"/>
        <v/>
      </c>
      <c r="AB1296" t="str">
        <f t="shared" si="315"/>
        <v/>
      </c>
      <c r="AC1296">
        <f>IF($A1296="",0,IF(COUNTIF($A$2:$A1296,$A1296)=1,1,0))</f>
        <v>0</v>
      </c>
      <c r="AD1296">
        <f t="shared" si="316"/>
        <v>12</v>
      </c>
      <c r="AE1296" t="str">
        <f t="shared" si="317"/>
        <v>佛山映月湖环宇城|销售额（万元）</v>
      </c>
    </row>
    <row r="1297" spans="1:31" x14ac:dyDescent="0.4">
      <c r="A1297" t="str">
        <f>IF(原始经营数据!$D1298="","",原始经营数据!$D1298)</f>
        <v>华夏中海消费封闭式基础设施证券投资基金</v>
      </c>
      <c r="B1297" t="str">
        <f>IF(原始经营数据!$D1298="","",T(原始经营数据!$E1298))</f>
        <v>佛山映月湖环宇城</v>
      </c>
      <c r="C1297" t="str">
        <f>IF(原始经营数据!$D1298="","",原始经营数据!$F1298)</f>
        <v>2024</v>
      </c>
      <c r="D1297" t="str">
        <f>IF(原始经营数据!$D1298="","",原始经营数据!$H1298)</f>
        <v>新能源汽车销售额</v>
      </c>
      <c r="E1297">
        <f>IF(原始经营数据!$D1298="","",原始经营数据!$I1298)</f>
        <v>62906</v>
      </c>
      <c r="F1297" t="str">
        <f>IF(原始经营数据!$D1298="","",T(原始经营数据!$J1298))</f>
        <v>万元</v>
      </c>
      <c r="G1297" t="str">
        <f>IF(原始经营数据!$D1298="","",T(原始经营数据!$K1298))</f>
        <v/>
      </c>
      <c r="H1297" t="str">
        <f>IF(原始经营数据!$D1298="","",原始经营数据!$G1298)</f>
        <v>服务金额</v>
      </c>
      <c r="I1297" t="str">
        <f>IF($A1297="","",IF($B1297&lt;&gt;"",$B1297,IF(COUNTIFS(原始经营数据!$D$3:$D$3001,$A1297,原始经营数据!$E$3:$E$3001,"",原始经营数据!$F$3:$F$3001,$C1297,原始经营数据!$H$3:$H$3001,$D1297,原始经营数据!$K$3:$K$3001,$G1297)&gt;1,"基金整体·来源"&amp;原始经营数据!$A1298,"基金整体")))</f>
        <v>佛山映月湖环宇城</v>
      </c>
      <c r="J1297" t="str">
        <f t="shared" si="303"/>
        <v>年度</v>
      </c>
      <c r="K1297" t="str">
        <f t="shared" si="304"/>
        <v>新能源汽车销售额（万元）</v>
      </c>
      <c r="L1297" t="str">
        <f t="shared" si="305"/>
        <v>佛山映月湖环宇城|新能源汽车销售额（万元）|年度</v>
      </c>
      <c r="M1297">
        <f>IF($A1297="",0,IF(COUNTIF($L$2:$L1297,$L1297)=1,1,0))</f>
        <v>0</v>
      </c>
      <c r="N1297">
        <f t="shared" si="306"/>
        <v>20240</v>
      </c>
      <c r="O1297" t="str">
        <f t="shared" si="307"/>
        <v>华夏中海消费封闭式基础设施证券投资基金|2024|年度</v>
      </c>
      <c r="P1297">
        <f>IF($A1297="",0,IF(COUNTIF($O$2:$O1297,$O1297)=1,1,0))</f>
        <v>0</v>
      </c>
      <c r="Q1297" t="str">
        <f>IF(AND($P1297=1,$A1297=经营数据!$B$3,$J1297=经营数据!$BA$5),COUNTIFS($P$2:$P$3000,1,$A$2:$A$3000,$A1297,$J$2:$J$3000,$J1297,$N$2:$N$3000,"&lt;"&amp;$N1297)+1,"")</f>
        <v/>
      </c>
      <c r="R1297" t="str">
        <f t="shared" si="308"/>
        <v>华夏中海消费封闭式基础设施证券投资基金|佛山映月湖环宇城</v>
      </c>
      <c r="S1297">
        <f>IF($A1297="",0,IF(COUNTIF($R$2:$R1297,$R1297)=1,1,0))</f>
        <v>0</v>
      </c>
      <c r="T1297">
        <f t="shared" si="309"/>
        <v>1244</v>
      </c>
      <c r="U1297" t="str">
        <f>IF($A1297="","",IF($A1297=经营数据!$B$3,COUNTIFS($S$2:$S$3000,1,$A$2:$A$3000,$A1297,$T$2:$T$3000,"&lt;"&amp;$T1297)+1,""))</f>
        <v/>
      </c>
      <c r="V1297" t="str">
        <f t="shared" si="310"/>
        <v>佛山映月湖环宇城|服务金额</v>
      </c>
      <c r="W1297">
        <f t="shared" si="311"/>
        <v>1244</v>
      </c>
      <c r="X1297" t="str">
        <f t="shared" si="312"/>
        <v>佛山映月湖环宇城|新能源汽车销售额</v>
      </c>
      <c r="Y1297">
        <f t="shared" si="313"/>
        <v>1246</v>
      </c>
      <c r="Z1297">
        <f>IF($A1297="",0,IF(AND($M1297=1,$A1297=经营数据!$B$3,$J1297=经营数据!$BA$5,OR($I1297=经营数据!$BA$4,COUNTIF(经营数据!$AA$9:$AA$38,$I1297)&gt;0)),1,0))</f>
        <v>0</v>
      </c>
      <c r="AA1297" t="str">
        <f t="shared" si="314"/>
        <v/>
      </c>
      <c r="AB1297" t="str">
        <f t="shared" si="315"/>
        <v/>
      </c>
      <c r="AC1297">
        <f>IF($A1297="",0,IF(COUNTIF($A$2:$A1297,$A1297)=1,1,0))</f>
        <v>0</v>
      </c>
      <c r="AD1297">
        <f t="shared" si="316"/>
        <v>12</v>
      </c>
      <c r="AE1297" t="str">
        <f t="shared" si="317"/>
        <v>佛山映月湖环宇城|新能源汽车销售额（万元）</v>
      </c>
    </row>
    <row r="1298" spans="1:31" x14ac:dyDescent="0.4">
      <c r="A1298" t="str">
        <f>IF(原始经营数据!$D1299="","",原始经营数据!$D1299)</f>
        <v>华夏中海消费封闭式基础设施证券投资基金</v>
      </c>
      <c r="B1298" t="str">
        <f>IF(原始经营数据!$D1299="","",T(原始经营数据!$E1299))</f>
        <v>佛山映月湖环宇城</v>
      </c>
      <c r="C1298" t="str">
        <f>IF(原始经营数据!$D1299="","",原始经营数据!$F1299)</f>
        <v>2024</v>
      </c>
      <c r="D1298" t="str">
        <f>IF(原始经营数据!$D1299="","",原始经营数据!$H1299)</f>
        <v>销售额（不含车）</v>
      </c>
      <c r="E1298">
        <f>IF(原始经营数据!$D1299="","",原始经营数据!$I1299)</f>
        <v>95684.91</v>
      </c>
      <c r="F1298" t="str">
        <f>IF(原始经营数据!$D1299="","",T(原始经营数据!$J1299))</f>
        <v>万元</v>
      </c>
      <c r="G1298" t="str">
        <f>IF(原始经营数据!$D1299="","",T(原始经营数据!$K1299))</f>
        <v/>
      </c>
      <c r="H1298" t="str">
        <f>IF(原始经营数据!$D1299="","",原始经营数据!$G1299)</f>
        <v>服务金额</v>
      </c>
      <c r="I1298" t="str">
        <f>IF($A1298="","",IF($B1298&lt;&gt;"",$B1298,IF(COUNTIFS(原始经营数据!$D$3:$D$3001,$A1298,原始经营数据!$E$3:$E$3001,"",原始经营数据!$F$3:$F$3001,$C1298,原始经营数据!$H$3:$H$3001,$D1298,原始经营数据!$K$3:$K$3001,$G1298)&gt;1,"基金整体·来源"&amp;原始经营数据!$A1299,"基金整体")))</f>
        <v>佛山映月湖环宇城</v>
      </c>
      <c r="J1298" t="str">
        <f t="shared" si="303"/>
        <v>年度</v>
      </c>
      <c r="K1298" t="str">
        <f t="shared" si="304"/>
        <v>销售额（不含车）（万元）</v>
      </c>
      <c r="L1298" t="str">
        <f t="shared" si="305"/>
        <v>佛山映月湖环宇城|销售额（不含车）（万元）|年度</v>
      </c>
      <c r="M1298">
        <f>IF($A1298="",0,IF(COUNTIF($L$2:$L1298,$L1298)=1,1,0))</f>
        <v>0</v>
      </c>
      <c r="N1298">
        <f t="shared" si="306"/>
        <v>20240</v>
      </c>
      <c r="O1298" t="str">
        <f t="shared" si="307"/>
        <v>华夏中海消费封闭式基础设施证券投资基金|2024|年度</v>
      </c>
      <c r="P1298">
        <f>IF($A1298="",0,IF(COUNTIF($O$2:$O1298,$O1298)=1,1,0))</f>
        <v>0</v>
      </c>
      <c r="Q1298" t="str">
        <f>IF(AND($P1298=1,$A1298=经营数据!$B$3,$J1298=经营数据!$BA$5),COUNTIFS($P$2:$P$3000,1,$A$2:$A$3000,$A1298,$J$2:$J$3000,$J1298,$N$2:$N$3000,"&lt;"&amp;$N1298)+1,"")</f>
        <v/>
      </c>
      <c r="R1298" t="str">
        <f t="shared" si="308"/>
        <v>华夏中海消费封闭式基础设施证券投资基金|佛山映月湖环宇城</v>
      </c>
      <c r="S1298">
        <f>IF($A1298="",0,IF(COUNTIF($R$2:$R1298,$R1298)=1,1,0))</f>
        <v>0</v>
      </c>
      <c r="T1298">
        <f t="shared" si="309"/>
        <v>1244</v>
      </c>
      <c r="U1298" t="str">
        <f>IF($A1298="","",IF($A1298=经营数据!$B$3,COUNTIFS($S$2:$S$3000,1,$A$2:$A$3000,$A1298,$T$2:$T$3000,"&lt;"&amp;$T1298)+1,""))</f>
        <v/>
      </c>
      <c r="V1298" t="str">
        <f t="shared" si="310"/>
        <v>佛山映月湖环宇城|服务金额</v>
      </c>
      <c r="W1298">
        <f t="shared" si="311"/>
        <v>1244</v>
      </c>
      <c r="X1298" t="str">
        <f t="shared" si="312"/>
        <v>佛山映月湖环宇城|销售额（不含车）</v>
      </c>
      <c r="Y1298">
        <f t="shared" si="313"/>
        <v>1247</v>
      </c>
      <c r="Z1298">
        <f>IF($A1298="",0,IF(AND($M1298=1,$A1298=经营数据!$B$3,$J1298=经营数据!$BA$5,OR($I1298=经营数据!$BA$4,COUNTIF(经营数据!$AA$9:$AA$38,$I1298)&gt;0)),1,0))</f>
        <v>0</v>
      </c>
      <c r="AA1298" t="str">
        <f t="shared" si="314"/>
        <v/>
      </c>
      <c r="AB1298" t="str">
        <f t="shared" si="315"/>
        <v/>
      </c>
      <c r="AC1298">
        <f>IF($A1298="",0,IF(COUNTIF($A$2:$A1298,$A1298)=1,1,0))</f>
        <v>0</v>
      </c>
      <c r="AD1298">
        <f t="shared" si="316"/>
        <v>12</v>
      </c>
      <c r="AE1298" t="str">
        <f t="shared" si="317"/>
        <v>佛山映月湖环宇城|销售额（不含车）（万元）</v>
      </c>
    </row>
    <row r="1299" spans="1:31" x14ac:dyDescent="0.4">
      <c r="A1299" t="str">
        <f>IF(原始经营数据!$D1300="","",原始经营数据!$D1300)</f>
        <v>华夏中海消费封闭式基础设施证券投资基金</v>
      </c>
      <c r="B1299" t="str">
        <f>IF(原始经营数据!$D1300="","",T(原始经营数据!$E1300))</f>
        <v>佛山映月湖环宇城</v>
      </c>
      <c r="C1299" t="str">
        <f>IF(原始经营数据!$D1300="","",原始经营数据!$F1300)</f>
        <v>2024</v>
      </c>
      <c r="D1299" t="str">
        <f>IF(原始经营数据!$D1300="","",原始经营数据!$H1300)</f>
        <v>客流量</v>
      </c>
      <c r="E1299">
        <f>IF(原始经营数据!$D1300="","",原始经营数据!$I1300)</f>
        <v>1413.05</v>
      </c>
      <c r="F1299" t="str">
        <f>IF(原始经营数据!$D1300="","",T(原始经营数据!$J1300))</f>
        <v>万人</v>
      </c>
      <c r="G1299" t="str">
        <f>IF(原始经营数据!$D1300="","",T(原始经营数据!$K1300))</f>
        <v/>
      </c>
      <c r="H1299" t="str">
        <f>IF(原始经营数据!$D1300="","",原始经营数据!$G1300)</f>
        <v>服务量</v>
      </c>
      <c r="I1299" t="str">
        <f>IF($A1299="","",IF($B1299&lt;&gt;"",$B1299,IF(COUNTIFS(原始经营数据!$D$3:$D$3001,$A1299,原始经营数据!$E$3:$E$3001,"",原始经营数据!$F$3:$F$3001,$C1299,原始经营数据!$H$3:$H$3001,$D1299,原始经营数据!$K$3:$K$3001,$G1299)&gt;1,"基金整体·来源"&amp;原始经营数据!$A1300,"基金整体")))</f>
        <v>佛山映月湖环宇城</v>
      </c>
      <c r="J1299" t="str">
        <f t="shared" si="303"/>
        <v>年度</v>
      </c>
      <c r="K1299" t="str">
        <f t="shared" si="304"/>
        <v>客流量（万人）</v>
      </c>
      <c r="L1299" t="str">
        <f t="shared" si="305"/>
        <v>佛山映月湖环宇城|客流量（万人）|年度</v>
      </c>
      <c r="M1299">
        <f>IF($A1299="",0,IF(COUNTIF($L$2:$L1299,$L1299)=1,1,0))</f>
        <v>0</v>
      </c>
      <c r="N1299">
        <f t="shared" si="306"/>
        <v>20240</v>
      </c>
      <c r="O1299" t="str">
        <f t="shared" si="307"/>
        <v>华夏中海消费封闭式基础设施证券投资基金|2024|年度</v>
      </c>
      <c r="P1299">
        <f>IF($A1299="",0,IF(COUNTIF($O$2:$O1299,$O1299)=1,1,0))</f>
        <v>0</v>
      </c>
      <c r="Q1299" t="str">
        <f>IF(AND($P1299=1,$A1299=经营数据!$B$3,$J1299=经营数据!$BA$5),COUNTIFS($P$2:$P$3000,1,$A$2:$A$3000,$A1299,$J$2:$J$3000,$J1299,$N$2:$N$3000,"&lt;"&amp;$N1299)+1,"")</f>
        <v/>
      </c>
      <c r="R1299" t="str">
        <f t="shared" si="308"/>
        <v>华夏中海消费封闭式基础设施证券投资基金|佛山映月湖环宇城</v>
      </c>
      <c r="S1299">
        <f>IF($A1299="",0,IF(COUNTIF($R$2:$R1299,$R1299)=1,1,0))</f>
        <v>0</v>
      </c>
      <c r="T1299">
        <f t="shared" si="309"/>
        <v>1244</v>
      </c>
      <c r="U1299" t="str">
        <f>IF($A1299="","",IF($A1299=经营数据!$B$3,COUNTIFS($S$2:$S$3000,1,$A$2:$A$3000,$A1299,$T$2:$T$3000,"&lt;"&amp;$T1299)+1,""))</f>
        <v/>
      </c>
      <c r="V1299" t="str">
        <f t="shared" si="310"/>
        <v>佛山映月湖环宇城|服务量</v>
      </c>
      <c r="W1299">
        <f t="shared" si="311"/>
        <v>1248</v>
      </c>
      <c r="X1299" t="str">
        <f t="shared" si="312"/>
        <v>佛山映月湖环宇城|客流量</v>
      </c>
      <c r="Y1299">
        <f t="shared" si="313"/>
        <v>1254</v>
      </c>
      <c r="Z1299">
        <f>IF($A1299="",0,IF(AND($M1299=1,$A1299=经营数据!$B$3,$J1299=经营数据!$BA$5,OR($I1299=经营数据!$BA$4,COUNTIF(经营数据!$AA$9:$AA$38,$I1299)&gt;0)),1,0))</f>
        <v>0</v>
      </c>
      <c r="AA1299" t="str">
        <f t="shared" si="314"/>
        <v/>
      </c>
      <c r="AB1299" t="str">
        <f t="shared" si="315"/>
        <v/>
      </c>
      <c r="AC1299">
        <f>IF($A1299="",0,IF(COUNTIF($A$2:$A1299,$A1299)=1,1,0))</f>
        <v>0</v>
      </c>
      <c r="AD1299">
        <f t="shared" si="316"/>
        <v>12</v>
      </c>
      <c r="AE1299" t="str">
        <f t="shared" si="317"/>
        <v>佛山映月湖环宇城|客流量（万人）</v>
      </c>
    </row>
    <row r="1300" spans="1:31" x14ac:dyDescent="0.4">
      <c r="A1300" t="str">
        <f>IF(原始经营数据!$D1301="","",原始经营数据!$D1301)</f>
        <v>华夏中海消费封闭式基础设施证券投资基金</v>
      </c>
      <c r="B1300" t="str">
        <f>IF(原始经营数据!$D1301="","",T(原始经营数据!$E1301))</f>
        <v>佛山映月湖环宇城</v>
      </c>
      <c r="C1300" t="str">
        <f>IF(原始经营数据!$D1301="","",原始经营数据!$F1301)</f>
        <v>2024</v>
      </c>
      <c r="D1300" t="str">
        <f>IF(原始经营数据!$D1301="","",原始经营数据!$H1301)</f>
        <v>租售比</v>
      </c>
      <c r="E1300">
        <f>IF(原始经营数据!$D1301="","",原始经营数据!$I1301)</f>
        <v>12.07</v>
      </c>
      <c r="F1300" t="str">
        <f>IF(原始经营数据!$D1301="","",T(原始经营数据!$J1301))</f>
        <v>%</v>
      </c>
      <c r="G1300" t="str">
        <f>IF(原始经营数据!$D1301="","",T(原始经营数据!$K1301))</f>
        <v/>
      </c>
      <c r="H1300" t="str">
        <f>IF(原始经营数据!$D1301="","",原始经营数据!$G1301)</f>
        <v>服务效率</v>
      </c>
      <c r="I1300" t="str">
        <f>IF($A1300="","",IF($B1300&lt;&gt;"",$B1300,IF(COUNTIFS(原始经营数据!$D$3:$D$3001,$A1300,原始经营数据!$E$3:$E$3001,"",原始经营数据!$F$3:$F$3001,$C1300,原始经营数据!$H$3:$H$3001,$D1300,原始经营数据!$K$3:$K$3001,$G1300)&gt;1,"基金整体·来源"&amp;原始经营数据!$A1301,"基金整体")))</f>
        <v>佛山映月湖环宇城</v>
      </c>
      <c r="J1300" t="str">
        <f t="shared" si="303"/>
        <v>年度</v>
      </c>
      <c r="K1300" t="str">
        <f t="shared" si="304"/>
        <v>租售比（%）</v>
      </c>
      <c r="L1300" t="str">
        <f t="shared" si="305"/>
        <v>佛山映月湖环宇城|租售比（%）|年度</v>
      </c>
      <c r="M1300">
        <f>IF($A1300="",0,IF(COUNTIF($L$2:$L1300,$L1300)=1,1,0))</f>
        <v>0</v>
      </c>
      <c r="N1300">
        <f t="shared" si="306"/>
        <v>20240</v>
      </c>
      <c r="O1300" t="str">
        <f t="shared" si="307"/>
        <v>华夏中海消费封闭式基础设施证券投资基金|2024|年度</v>
      </c>
      <c r="P1300">
        <f>IF($A1300="",0,IF(COUNTIF($O$2:$O1300,$O1300)=1,1,0))</f>
        <v>0</v>
      </c>
      <c r="Q1300" t="str">
        <f>IF(AND($P1300=1,$A1300=经营数据!$B$3,$J1300=经营数据!$BA$5),COUNTIFS($P$2:$P$3000,1,$A$2:$A$3000,$A1300,$J$2:$J$3000,$J1300,$N$2:$N$3000,"&lt;"&amp;$N1300)+1,"")</f>
        <v/>
      </c>
      <c r="R1300" t="str">
        <f t="shared" si="308"/>
        <v>华夏中海消费封闭式基础设施证券投资基金|佛山映月湖环宇城</v>
      </c>
      <c r="S1300">
        <f>IF($A1300="",0,IF(COUNTIF($R$2:$R1300,$R1300)=1,1,0))</f>
        <v>0</v>
      </c>
      <c r="T1300">
        <f t="shared" si="309"/>
        <v>1244</v>
      </c>
      <c r="U1300" t="str">
        <f>IF($A1300="","",IF($A1300=经营数据!$B$3,COUNTIFS($S$2:$S$3000,1,$A$2:$A$3000,$A1300,$T$2:$T$3000,"&lt;"&amp;$T1300)+1,""))</f>
        <v/>
      </c>
      <c r="V1300" t="str">
        <f t="shared" si="310"/>
        <v>佛山映月湖环宇城|服务效率</v>
      </c>
      <c r="W1300">
        <f t="shared" si="311"/>
        <v>1253</v>
      </c>
      <c r="X1300" t="str">
        <f t="shared" si="312"/>
        <v>佛山映月湖环宇城|租售比</v>
      </c>
      <c r="Y1300">
        <f t="shared" si="313"/>
        <v>1253</v>
      </c>
      <c r="Z1300">
        <f>IF($A1300="",0,IF(AND($M1300=1,$A1300=经营数据!$B$3,$J1300=经营数据!$BA$5,OR($I1300=经营数据!$BA$4,COUNTIF(经营数据!$AA$9:$AA$38,$I1300)&gt;0)),1,0))</f>
        <v>0</v>
      </c>
      <c r="AA1300" t="str">
        <f t="shared" si="314"/>
        <v/>
      </c>
      <c r="AB1300" t="str">
        <f t="shared" si="315"/>
        <v/>
      </c>
      <c r="AC1300">
        <f>IF($A1300="",0,IF(COUNTIF($A$2:$A1300,$A1300)=1,1,0))</f>
        <v>0</v>
      </c>
      <c r="AD1300">
        <f t="shared" si="316"/>
        <v>12</v>
      </c>
      <c r="AE1300" t="str">
        <f t="shared" si="317"/>
        <v>佛山映月湖环宇城|租售比（%）</v>
      </c>
    </row>
    <row r="1301" spans="1:31" x14ac:dyDescent="0.4">
      <c r="A1301" t="str">
        <f>IF(原始经营数据!$D1302="","",原始经营数据!$D1302)</f>
        <v>华夏中海消费封闭式基础设施证券投资基金</v>
      </c>
      <c r="B1301" t="str">
        <f>IF(原始经营数据!$D1302="","",T(原始经营数据!$E1302))</f>
        <v>佛山映月湖环宇城</v>
      </c>
      <c r="C1301" t="str">
        <f>IF(原始经营数据!$D1302="","",原始经营数据!$F1302)</f>
        <v>2024</v>
      </c>
      <c r="D1301" t="str">
        <f>IF(原始经营数据!$D1302="","",原始经营数据!$H1302)</f>
        <v>月租金坪效</v>
      </c>
      <c r="E1301">
        <f>IF(原始经营数据!$D1302="","",原始经营数据!$I1302)</f>
        <v>146.72999999999999</v>
      </c>
      <c r="F1301" t="str">
        <f>IF(原始经营数据!$D1302="","",T(原始经营数据!$J1302))</f>
        <v>元/平方米</v>
      </c>
      <c r="G1301" t="str">
        <f>IF(原始经营数据!$D1302="","",T(原始经营数据!$K1302))</f>
        <v/>
      </c>
      <c r="H1301" t="str">
        <f>IF(原始经营数据!$D1302="","",原始经营数据!$G1302)</f>
        <v>服务价格</v>
      </c>
      <c r="I1301" t="str">
        <f>IF($A1301="","",IF($B1301&lt;&gt;"",$B1301,IF(COUNTIFS(原始经营数据!$D$3:$D$3001,$A1301,原始经营数据!$E$3:$E$3001,"",原始经营数据!$F$3:$F$3001,$C1301,原始经营数据!$H$3:$H$3001,$D1301,原始经营数据!$K$3:$K$3001,$G1301)&gt;1,"基金整体·来源"&amp;原始经营数据!$A1302,"基金整体")))</f>
        <v>佛山映月湖环宇城</v>
      </c>
      <c r="J1301" t="str">
        <f t="shared" si="303"/>
        <v>年度</v>
      </c>
      <c r="K1301" t="str">
        <f t="shared" si="304"/>
        <v>月租金坪效（元/平方米）</v>
      </c>
      <c r="L1301" t="str">
        <f t="shared" si="305"/>
        <v>佛山映月湖环宇城|月租金坪效（元/平方米）|年度</v>
      </c>
      <c r="M1301">
        <f>IF($A1301="",0,IF(COUNTIF($L$2:$L1301,$L1301)=1,1,0))</f>
        <v>0</v>
      </c>
      <c r="N1301">
        <f t="shared" si="306"/>
        <v>20240</v>
      </c>
      <c r="O1301" t="str">
        <f t="shared" si="307"/>
        <v>华夏中海消费封闭式基础设施证券投资基金|2024|年度</v>
      </c>
      <c r="P1301">
        <f>IF($A1301="",0,IF(COUNTIF($O$2:$O1301,$O1301)=1,1,0))</f>
        <v>0</v>
      </c>
      <c r="Q1301" t="str">
        <f>IF(AND($P1301=1,$A1301=经营数据!$B$3,$J1301=经营数据!$BA$5),COUNTIFS($P$2:$P$3000,1,$A$2:$A$3000,$A1301,$J$2:$J$3000,$J1301,$N$2:$N$3000,"&lt;"&amp;$N1301)+1,"")</f>
        <v/>
      </c>
      <c r="R1301" t="str">
        <f t="shared" si="308"/>
        <v>华夏中海消费封闭式基础设施证券投资基金|佛山映月湖环宇城</v>
      </c>
      <c r="S1301">
        <f>IF($A1301="",0,IF(COUNTIF($R$2:$R1301,$R1301)=1,1,0))</f>
        <v>0</v>
      </c>
      <c r="T1301">
        <f t="shared" si="309"/>
        <v>1244</v>
      </c>
      <c r="U1301" t="str">
        <f>IF($A1301="","",IF($A1301=经营数据!$B$3,COUNTIFS($S$2:$S$3000,1,$A$2:$A$3000,$A1301,$T$2:$T$3000,"&lt;"&amp;$T1301)+1,""))</f>
        <v/>
      </c>
      <c r="V1301" t="str">
        <f t="shared" si="310"/>
        <v>佛山映月湖环宇城|服务价格</v>
      </c>
      <c r="W1301">
        <f t="shared" si="311"/>
        <v>1250</v>
      </c>
      <c r="X1301" t="str">
        <f t="shared" si="312"/>
        <v>佛山映月湖环宇城|月租金坪效</v>
      </c>
      <c r="Y1301">
        <f t="shared" si="313"/>
        <v>1256</v>
      </c>
      <c r="Z1301">
        <f>IF($A1301="",0,IF(AND($M1301=1,$A1301=经营数据!$B$3,$J1301=经营数据!$BA$5,OR($I1301=经营数据!$BA$4,COUNTIF(经营数据!$AA$9:$AA$38,$I1301)&gt;0)),1,0))</f>
        <v>0</v>
      </c>
      <c r="AA1301" t="str">
        <f t="shared" si="314"/>
        <v/>
      </c>
      <c r="AB1301" t="str">
        <f t="shared" si="315"/>
        <v/>
      </c>
      <c r="AC1301">
        <f>IF($A1301="",0,IF(COUNTIF($A$2:$A1301,$A1301)=1,1,0))</f>
        <v>0</v>
      </c>
      <c r="AD1301">
        <f t="shared" si="316"/>
        <v>12</v>
      </c>
      <c r="AE1301" t="str">
        <f t="shared" si="317"/>
        <v>佛山映月湖环宇城|月租金坪效（元/平方米）</v>
      </c>
    </row>
    <row r="1302" spans="1:31" x14ac:dyDescent="0.4">
      <c r="A1302" t="str">
        <f>IF(原始经营数据!$D1303="","",原始经营数据!$D1303)</f>
        <v>华夏中海消费封闭式基础设施证券投资基金</v>
      </c>
      <c r="B1302" t="str">
        <f>IF(原始经营数据!$D1303="","",T(原始经营数据!$E1303))</f>
        <v>佛山映月湖环宇城</v>
      </c>
      <c r="C1302" t="str">
        <f>IF(原始经营数据!$D1303="","",原始经营数据!$F1303)</f>
        <v>2024</v>
      </c>
      <c r="D1302" t="str">
        <f>IF(原始经营数据!$D1303="","",原始经营数据!$H1303)</f>
        <v>月销售坪效</v>
      </c>
      <c r="E1302">
        <f>IF(原始经营数据!$D1303="","",原始经营数据!$I1303)</f>
        <v>1282.1500000000001</v>
      </c>
      <c r="F1302" t="str">
        <f>IF(原始经营数据!$D1303="","",T(原始经营数据!$J1303))</f>
        <v>元/平方米</v>
      </c>
      <c r="G1302" t="str">
        <f>IF(原始经营数据!$D1303="","",T(原始经营数据!$K1303))</f>
        <v/>
      </c>
      <c r="H1302" t="str">
        <f>IF(原始经营数据!$D1303="","",原始经营数据!$G1303)</f>
        <v>服务价格</v>
      </c>
      <c r="I1302" t="str">
        <f>IF($A1302="","",IF($B1302&lt;&gt;"",$B1302,IF(COUNTIFS(原始经营数据!$D$3:$D$3001,$A1302,原始经营数据!$E$3:$E$3001,"",原始经营数据!$F$3:$F$3001,$C1302,原始经营数据!$H$3:$H$3001,$D1302,原始经营数据!$K$3:$K$3001,$G1302)&gt;1,"基金整体·来源"&amp;原始经营数据!$A1303,"基金整体")))</f>
        <v>佛山映月湖环宇城</v>
      </c>
      <c r="J1302" t="str">
        <f t="shared" si="303"/>
        <v>年度</v>
      </c>
      <c r="K1302" t="str">
        <f t="shared" si="304"/>
        <v>月销售坪效（元/平方米）</v>
      </c>
      <c r="L1302" t="str">
        <f t="shared" si="305"/>
        <v>佛山映月湖环宇城|月销售坪效（元/平方米）|年度</v>
      </c>
      <c r="M1302">
        <f>IF($A1302="",0,IF(COUNTIF($L$2:$L1302,$L1302)=1,1,0))</f>
        <v>0</v>
      </c>
      <c r="N1302">
        <f t="shared" si="306"/>
        <v>20240</v>
      </c>
      <c r="O1302" t="str">
        <f t="shared" si="307"/>
        <v>华夏中海消费封闭式基础设施证券投资基金|2024|年度</v>
      </c>
      <c r="P1302">
        <f>IF($A1302="",0,IF(COUNTIF($O$2:$O1302,$O1302)=1,1,0))</f>
        <v>0</v>
      </c>
      <c r="Q1302" t="str">
        <f>IF(AND($P1302=1,$A1302=经营数据!$B$3,$J1302=经营数据!$BA$5),COUNTIFS($P$2:$P$3000,1,$A$2:$A$3000,$A1302,$J$2:$J$3000,$J1302,$N$2:$N$3000,"&lt;"&amp;$N1302)+1,"")</f>
        <v/>
      </c>
      <c r="R1302" t="str">
        <f t="shared" si="308"/>
        <v>华夏中海消费封闭式基础设施证券投资基金|佛山映月湖环宇城</v>
      </c>
      <c r="S1302">
        <f>IF($A1302="",0,IF(COUNTIF($R$2:$R1302,$R1302)=1,1,0))</f>
        <v>0</v>
      </c>
      <c r="T1302">
        <f t="shared" si="309"/>
        <v>1244</v>
      </c>
      <c r="U1302" t="str">
        <f>IF($A1302="","",IF($A1302=经营数据!$B$3,COUNTIFS($S$2:$S$3000,1,$A$2:$A$3000,$A1302,$T$2:$T$3000,"&lt;"&amp;$T1302)+1,""))</f>
        <v/>
      </c>
      <c r="V1302" t="str">
        <f t="shared" si="310"/>
        <v>佛山映月湖环宇城|服务价格</v>
      </c>
      <c r="W1302">
        <f t="shared" si="311"/>
        <v>1250</v>
      </c>
      <c r="X1302" t="str">
        <f t="shared" si="312"/>
        <v>佛山映月湖环宇城|月销售坪效</v>
      </c>
      <c r="Y1302">
        <f t="shared" si="313"/>
        <v>1250</v>
      </c>
      <c r="Z1302">
        <f>IF($A1302="",0,IF(AND($M1302=1,$A1302=经营数据!$B$3,$J1302=经营数据!$BA$5,OR($I1302=经营数据!$BA$4,COUNTIF(经营数据!$AA$9:$AA$38,$I1302)&gt;0)),1,0))</f>
        <v>0</v>
      </c>
      <c r="AA1302" t="str">
        <f t="shared" si="314"/>
        <v/>
      </c>
      <c r="AB1302" t="str">
        <f t="shared" si="315"/>
        <v/>
      </c>
      <c r="AC1302">
        <f>IF($A1302="",0,IF(COUNTIF($A$2:$A1302,$A1302)=1,1,0))</f>
        <v>0</v>
      </c>
      <c r="AD1302">
        <f t="shared" si="316"/>
        <v>12</v>
      </c>
      <c r="AE1302" t="str">
        <f t="shared" si="317"/>
        <v>佛山映月湖环宇城|月销售坪效（元/平方米）</v>
      </c>
    </row>
    <row r="1303" spans="1:31" x14ac:dyDescent="0.4">
      <c r="A1303" t="str">
        <f>IF(原始经营数据!$D1304="","",原始经营数据!$D1304)</f>
        <v>华夏中海消费封闭式基础设施证券投资基金</v>
      </c>
      <c r="B1303" t="str">
        <f>IF(原始经营数据!$D1304="","",T(原始经营数据!$E1304))</f>
        <v>佛山映月湖环宇城</v>
      </c>
      <c r="C1303" t="str">
        <f>IF(原始经营数据!$D1304="","",原始经营数据!$F1304)</f>
        <v>2024</v>
      </c>
      <c r="D1303" t="str">
        <f>IF(原始经营数据!$D1304="","",原始经营数据!$H1304)</f>
        <v>专门店平均租金单价（含物管费）</v>
      </c>
      <c r="E1303">
        <f>IF(原始经营数据!$D1304="","",原始经营数据!$I1304)</f>
        <v>193.66</v>
      </c>
      <c r="F1303" t="str">
        <f>IF(原始经营数据!$D1304="","",T(原始经营数据!$J1304))</f>
        <v>元/平方米/月</v>
      </c>
      <c r="G1303" t="str">
        <f>IF(原始经营数据!$D1304="","",T(原始经营数据!$K1304))</f>
        <v/>
      </c>
      <c r="H1303" t="str">
        <f>IF(原始经营数据!$D1304="","",原始经营数据!$G1304)</f>
        <v>服务价格</v>
      </c>
      <c r="I1303" t="str">
        <f>IF($A1303="","",IF($B1303&lt;&gt;"",$B1303,IF(COUNTIFS(原始经营数据!$D$3:$D$3001,$A1303,原始经营数据!$E$3:$E$3001,"",原始经营数据!$F$3:$F$3001,$C1303,原始经营数据!$H$3:$H$3001,$D1303,原始经营数据!$K$3:$K$3001,$G1303)&gt;1,"基金整体·来源"&amp;原始经营数据!$A1304,"基金整体")))</f>
        <v>佛山映月湖环宇城</v>
      </c>
      <c r="J1303" t="str">
        <f t="shared" si="303"/>
        <v>年度</v>
      </c>
      <c r="K1303" t="str">
        <f t="shared" si="304"/>
        <v>专门店平均租金单价（含物管费）（元/平方米/月）</v>
      </c>
      <c r="L1303" t="str">
        <f t="shared" si="305"/>
        <v>佛山映月湖环宇城|专门店平均租金单价（含物管费）（元/平方米/月）|年度</v>
      </c>
      <c r="M1303">
        <f>IF($A1303="",0,IF(COUNTIF($L$2:$L1303,$L1303)=1,1,0))</f>
        <v>0</v>
      </c>
      <c r="N1303">
        <f t="shared" si="306"/>
        <v>20240</v>
      </c>
      <c r="O1303" t="str">
        <f t="shared" si="307"/>
        <v>华夏中海消费封闭式基础设施证券投资基金|2024|年度</v>
      </c>
      <c r="P1303">
        <f>IF($A1303="",0,IF(COUNTIF($O$2:$O1303,$O1303)=1,1,0))</f>
        <v>0</v>
      </c>
      <c r="Q1303" t="str">
        <f>IF(AND($P1303=1,$A1303=经营数据!$B$3,$J1303=经营数据!$BA$5),COUNTIFS($P$2:$P$3000,1,$A$2:$A$3000,$A1303,$J$2:$J$3000,$J1303,$N$2:$N$3000,"&lt;"&amp;$N1303)+1,"")</f>
        <v/>
      </c>
      <c r="R1303" t="str">
        <f t="shared" si="308"/>
        <v>华夏中海消费封闭式基础设施证券投资基金|佛山映月湖环宇城</v>
      </c>
      <c r="S1303">
        <f>IF($A1303="",0,IF(COUNTIF($R$2:$R1303,$R1303)=1,1,0))</f>
        <v>0</v>
      </c>
      <c r="T1303">
        <f t="shared" si="309"/>
        <v>1244</v>
      </c>
      <c r="U1303" t="str">
        <f>IF($A1303="","",IF($A1303=经营数据!$B$3,COUNTIFS($S$2:$S$3000,1,$A$2:$A$3000,$A1303,$T$2:$T$3000,"&lt;"&amp;$T1303)+1,""))</f>
        <v/>
      </c>
      <c r="V1303" t="str">
        <f t="shared" si="310"/>
        <v>佛山映月湖环宇城|服务价格</v>
      </c>
      <c r="W1303">
        <f t="shared" si="311"/>
        <v>1250</v>
      </c>
      <c r="X1303" t="str">
        <f t="shared" si="312"/>
        <v>佛山映月湖环宇城|专门店平均租金单价（含物管费）</v>
      </c>
      <c r="Y1303">
        <f t="shared" si="313"/>
        <v>1252</v>
      </c>
      <c r="Z1303">
        <f>IF($A1303="",0,IF(AND($M1303=1,$A1303=经营数据!$B$3,$J1303=经营数据!$BA$5,OR($I1303=经营数据!$BA$4,COUNTIF(经营数据!$AA$9:$AA$38,$I1303)&gt;0)),1,0))</f>
        <v>0</v>
      </c>
      <c r="AA1303" t="str">
        <f t="shared" si="314"/>
        <v/>
      </c>
      <c r="AB1303" t="str">
        <f t="shared" si="315"/>
        <v/>
      </c>
      <c r="AC1303">
        <f>IF($A1303="",0,IF(COUNTIF($A$2:$A1303,$A1303)=1,1,0))</f>
        <v>0</v>
      </c>
      <c r="AD1303">
        <f t="shared" si="316"/>
        <v>12</v>
      </c>
      <c r="AE1303" t="str">
        <f t="shared" si="317"/>
        <v>佛山映月湖环宇城|专门店平均租金单价（含物管费）（元/平方米/月）</v>
      </c>
    </row>
    <row r="1304" spans="1:31" x14ac:dyDescent="0.4">
      <c r="A1304" t="str">
        <f>IF(原始经营数据!$D1305="","",原始经营数据!$D1305)</f>
        <v>华夏中海消费封闭式基础设施证券投资基金</v>
      </c>
      <c r="B1304" t="str">
        <f>IF(原始经营数据!$D1305="","",T(原始经营数据!$E1305))</f>
        <v>佛山映月湖环宇城</v>
      </c>
      <c r="C1304" t="str">
        <f>IF(原始经营数据!$D1305="","",原始经营数据!$F1305)</f>
        <v>2024</v>
      </c>
      <c r="D1304" t="str">
        <f>IF(原始经营数据!$D1305="","",原始经营数据!$H1305)</f>
        <v>营业收入（考虑租金减免，不含税）</v>
      </c>
      <c r="E1304">
        <f>IF(原始经营数据!$D1305="","",原始经营数据!$I1305)</f>
        <v>8852.44</v>
      </c>
      <c r="F1304" t="str">
        <f>IF(原始经营数据!$D1305="","",T(原始经营数据!$J1305))</f>
        <v>万元</v>
      </c>
      <c r="G1304" t="str">
        <f>IF(原始经营数据!$D1305="","",T(原始经营数据!$K1305))</f>
        <v>租赁收入</v>
      </c>
      <c r="H1304" t="str">
        <f>IF(原始经营数据!$D1305="","",原始经营数据!$G1305)</f>
        <v>服务金额</v>
      </c>
      <c r="I1304" t="str">
        <f>IF($A1304="","",IF($B1304&lt;&gt;"",$B1304,IF(COUNTIFS(原始经营数据!$D$3:$D$3001,$A1304,原始经营数据!$E$3:$E$3001,"",原始经营数据!$F$3:$F$3001,$C1304,原始经营数据!$H$3:$H$3001,$D1304,原始经营数据!$K$3:$K$3001,$G1304)&gt;1,"基金整体·来源"&amp;原始经营数据!$A1305,"基金整体")))</f>
        <v>佛山映月湖环宇城</v>
      </c>
      <c r="J1304" t="str">
        <f t="shared" si="303"/>
        <v>年度</v>
      </c>
      <c r="K1304" t="str">
        <f t="shared" si="304"/>
        <v>营业收入（考虑租金减免，不含税）-租赁收入（万元）</v>
      </c>
      <c r="L1304" t="str">
        <f t="shared" si="305"/>
        <v>佛山映月湖环宇城|营业收入（考虑租金减免，不含税）-租赁收入（万元）|年度</v>
      </c>
      <c r="M1304">
        <f>IF($A1304="",0,IF(COUNTIF($L$2:$L1304,$L1304)=1,1,0))</f>
        <v>0</v>
      </c>
      <c r="N1304">
        <f t="shared" si="306"/>
        <v>20240</v>
      </c>
      <c r="O1304" t="str">
        <f t="shared" si="307"/>
        <v>华夏中海消费封闭式基础设施证券投资基金|2024|年度</v>
      </c>
      <c r="P1304">
        <f>IF($A1304="",0,IF(COUNTIF($O$2:$O1304,$O1304)=1,1,0))</f>
        <v>0</v>
      </c>
      <c r="Q1304" t="str">
        <f>IF(AND($P1304=1,$A1304=经营数据!$B$3,$J1304=经营数据!$BA$5),COUNTIFS($P$2:$P$3000,1,$A$2:$A$3000,$A1304,$J$2:$J$3000,$J1304,$N$2:$N$3000,"&lt;"&amp;$N1304)+1,"")</f>
        <v/>
      </c>
      <c r="R1304" t="str">
        <f t="shared" si="308"/>
        <v>华夏中海消费封闭式基础设施证券投资基金|佛山映月湖环宇城</v>
      </c>
      <c r="S1304">
        <f>IF($A1304="",0,IF(COUNTIF($R$2:$R1304,$R1304)=1,1,0))</f>
        <v>0</v>
      </c>
      <c r="T1304">
        <f t="shared" si="309"/>
        <v>1244</v>
      </c>
      <c r="U1304" t="str">
        <f>IF($A1304="","",IF($A1304=经营数据!$B$3,COUNTIFS($S$2:$S$3000,1,$A$2:$A$3000,$A1304,$T$2:$T$3000,"&lt;"&amp;$T1304)+1,""))</f>
        <v/>
      </c>
      <c r="V1304" t="str">
        <f t="shared" si="310"/>
        <v>佛山映月湖环宇城|服务金额</v>
      </c>
      <c r="W1304">
        <f t="shared" si="311"/>
        <v>1244</v>
      </c>
      <c r="X1304" t="str">
        <f t="shared" si="312"/>
        <v>佛山映月湖环宇城|营业收入（考虑租金减免，不含税）</v>
      </c>
      <c r="Y1304">
        <f t="shared" si="313"/>
        <v>1244</v>
      </c>
      <c r="Z1304">
        <f>IF($A1304="",0,IF(AND($M1304=1,$A1304=经营数据!$B$3,$J1304=经营数据!$BA$5,OR($I1304=经营数据!$BA$4,COUNTIF(经营数据!$AA$9:$AA$38,$I1304)&gt;0)),1,0))</f>
        <v>0</v>
      </c>
      <c r="AA1304" t="str">
        <f t="shared" si="314"/>
        <v/>
      </c>
      <c r="AB1304" t="str">
        <f t="shared" si="315"/>
        <v/>
      </c>
      <c r="AC1304">
        <f>IF($A1304="",0,IF(COUNTIF($A$2:$A1304,$A1304)=1,1,0))</f>
        <v>0</v>
      </c>
      <c r="AD1304">
        <f t="shared" si="316"/>
        <v>12</v>
      </c>
      <c r="AE1304" t="str">
        <f t="shared" si="317"/>
        <v>佛山映月湖环宇城|营业收入（考虑租金减免，不含税）-租赁收入（万元）</v>
      </c>
    </row>
    <row r="1305" spans="1:31" x14ac:dyDescent="0.4">
      <c r="A1305" t="str">
        <f>IF(原始经营数据!$D1306="","",原始经营数据!$D1306)</f>
        <v>华夏中海消费封闭式基础设施证券投资基金</v>
      </c>
      <c r="B1305" t="str">
        <f>IF(原始经营数据!$D1306="","",T(原始经营数据!$E1306))</f>
        <v>佛山映月湖环宇城</v>
      </c>
      <c r="C1305" t="str">
        <f>IF(原始经营数据!$D1306="","",原始经营数据!$F1306)</f>
        <v>2024</v>
      </c>
      <c r="D1305" t="str">
        <f>IF(原始经营数据!$D1306="","",原始经营数据!$H1306)</f>
        <v>营业收入（考虑租金减免，不含税）</v>
      </c>
      <c r="E1305">
        <f>IF(原始经营数据!$D1306="","",原始经营数据!$I1306)</f>
        <v>3236.86</v>
      </c>
      <c r="F1305" t="str">
        <f>IF(原始经营数据!$D1306="","",T(原始经营数据!$J1306))</f>
        <v>万元</v>
      </c>
      <c r="G1305" t="str">
        <f>IF(原始经营数据!$D1306="","",T(原始经营数据!$K1306))</f>
        <v>物业管理服务及其他收入</v>
      </c>
      <c r="H1305" t="str">
        <f>IF(原始经营数据!$D1306="","",原始经营数据!$G1306)</f>
        <v>服务金额</v>
      </c>
      <c r="I1305" t="str">
        <f>IF($A1305="","",IF($B1305&lt;&gt;"",$B1305,IF(COUNTIFS(原始经营数据!$D$3:$D$3001,$A1305,原始经营数据!$E$3:$E$3001,"",原始经营数据!$F$3:$F$3001,$C1305,原始经营数据!$H$3:$H$3001,$D1305,原始经营数据!$K$3:$K$3001,$G1305)&gt;1,"基金整体·来源"&amp;原始经营数据!$A1306,"基金整体")))</f>
        <v>佛山映月湖环宇城</v>
      </c>
      <c r="J1305" t="str">
        <f t="shared" si="303"/>
        <v>年度</v>
      </c>
      <c r="K1305" t="str">
        <f t="shared" si="304"/>
        <v>营业收入（考虑租金减免，不含税）-物业管理服务及其他收入（万元）</v>
      </c>
      <c r="L1305" t="str">
        <f t="shared" si="305"/>
        <v>佛山映月湖环宇城|营业收入（考虑租金减免，不含税）-物业管理服务及其他收入（万元）|年度</v>
      </c>
      <c r="M1305">
        <f>IF($A1305="",0,IF(COUNTIF($L$2:$L1305,$L1305)=1,1,0))</f>
        <v>0</v>
      </c>
      <c r="N1305">
        <f t="shared" si="306"/>
        <v>20240</v>
      </c>
      <c r="O1305" t="str">
        <f t="shared" si="307"/>
        <v>华夏中海消费封闭式基础设施证券投资基金|2024|年度</v>
      </c>
      <c r="P1305">
        <f>IF($A1305="",0,IF(COUNTIF($O$2:$O1305,$O1305)=1,1,0))</f>
        <v>0</v>
      </c>
      <c r="Q1305" t="str">
        <f>IF(AND($P1305=1,$A1305=经营数据!$B$3,$J1305=经营数据!$BA$5),COUNTIFS($P$2:$P$3000,1,$A$2:$A$3000,$A1305,$J$2:$J$3000,$J1305,$N$2:$N$3000,"&lt;"&amp;$N1305)+1,"")</f>
        <v/>
      </c>
      <c r="R1305" t="str">
        <f t="shared" si="308"/>
        <v>华夏中海消费封闭式基础设施证券投资基金|佛山映月湖环宇城</v>
      </c>
      <c r="S1305">
        <f>IF($A1305="",0,IF(COUNTIF($R$2:$R1305,$R1305)=1,1,0))</f>
        <v>0</v>
      </c>
      <c r="T1305">
        <f t="shared" si="309"/>
        <v>1244</v>
      </c>
      <c r="U1305" t="str">
        <f>IF($A1305="","",IF($A1305=经营数据!$B$3,COUNTIFS($S$2:$S$3000,1,$A$2:$A$3000,$A1305,$T$2:$T$3000,"&lt;"&amp;$T1305)+1,""))</f>
        <v/>
      </c>
      <c r="V1305" t="str">
        <f t="shared" si="310"/>
        <v>佛山映月湖环宇城|服务金额</v>
      </c>
      <c r="W1305">
        <f t="shared" si="311"/>
        <v>1244</v>
      </c>
      <c r="X1305" t="str">
        <f t="shared" si="312"/>
        <v>佛山映月湖环宇城|营业收入（考虑租金减免，不含税）</v>
      </c>
      <c r="Y1305">
        <f t="shared" si="313"/>
        <v>1244</v>
      </c>
      <c r="Z1305">
        <f>IF($A1305="",0,IF(AND($M1305=1,$A1305=经营数据!$B$3,$J1305=经营数据!$BA$5,OR($I1305=经营数据!$BA$4,COUNTIF(经营数据!$AA$9:$AA$38,$I1305)&gt;0)),1,0))</f>
        <v>0</v>
      </c>
      <c r="AA1305" t="str">
        <f t="shared" si="314"/>
        <v/>
      </c>
      <c r="AB1305" t="str">
        <f t="shared" si="315"/>
        <v/>
      </c>
      <c r="AC1305">
        <f>IF($A1305="",0,IF(COUNTIF($A$2:$A1305,$A1305)=1,1,0))</f>
        <v>0</v>
      </c>
      <c r="AD1305">
        <f t="shared" si="316"/>
        <v>12</v>
      </c>
      <c r="AE1305" t="str">
        <f t="shared" si="317"/>
        <v>佛山映月湖环宇城|营业收入（考虑租金减免，不含税）-物业管理服务及其他收入（万元）</v>
      </c>
    </row>
    <row r="1306" spans="1:31" x14ac:dyDescent="0.4">
      <c r="A1306" t="str">
        <f>IF(原始经营数据!$D1307="","",原始经营数据!$D1307)</f>
        <v>华夏中海消费封闭式基础设施证券投资基金</v>
      </c>
      <c r="B1306" t="str">
        <f>IF(原始经营数据!$D1307="","",T(原始经营数据!$E1307))</f>
        <v>佛山映月湖环宇城</v>
      </c>
      <c r="C1306" t="str">
        <f>IF(原始经营数据!$D1307="","",原始经营数据!$F1307)</f>
        <v>2024</v>
      </c>
      <c r="D1306" t="str">
        <f>IF(原始经营数据!$D1307="","",原始经营数据!$H1307)</f>
        <v>营业收入（考虑租金减免，不含税）</v>
      </c>
      <c r="E1306">
        <f>IF(原始经营数据!$D1307="","",原始经营数据!$I1307)</f>
        <v>1071.76</v>
      </c>
      <c r="F1306" t="str">
        <f>IF(原始经营数据!$D1307="","",T(原始经营数据!$J1307))</f>
        <v>万元</v>
      </c>
      <c r="G1306" t="str">
        <f>IF(原始经营数据!$D1307="","",T(原始经营数据!$K1307))</f>
        <v>电影放映服务收入</v>
      </c>
      <c r="H1306" t="str">
        <f>IF(原始经营数据!$D1307="","",原始经营数据!$G1307)</f>
        <v>服务金额</v>
      </c>
      <c r="I1306" t="str">
        <f>IF($A1306="","",IF($B1306&lt;&gt;"",$B1306,IF(COUNTIFS(原始经营数据!$D$3:$D$3001,$A1306,原始经营数据!$E$3:$E$3001,"",原始经营数据!$F$3:$F$3001,$C1306,原始经营数据!$H$3:$H$3001,$D1306,原始经营数据!$K$3:$K$3001,$G1306)&gt;1,"基金整体·来源"&amp;原始经营数据!$A1307,"基金整体")))</f>
        <v>佛山映月湖环宇城</v>
      </c>
      <c r="J1306" t="str">
        <f t="shared" si="303"/>
        <v>年度</v>
      </c>
      <c r="K1306" t="str">
        <f t="shared" si="304"/>
        <v>营业收入（考虑租金减免，不含税）-电影放映服务收入（万元）</v>
      </c>
      <c r="L1306" t="str">
        <f t="shared" si="305"/>
        <v>佛山映月湖环宇城|营业收入（考虑租金减免，不含税）-电影放映服务收入（万元）|年度</v>
      </c>
      <c r="M1306">
        <f>IF($A1306="",0,IF(COUNTIF($L$2:$L1306,$L1306)=1,1,0))</f>
        <v>0</v>
      </c>
      <c r="N1306">
        <f t="shared" si="306"/>
        <v>20240</v>
      </c>
      <c r="O1306" t="str">
        <f t="shared" si="307"/>
        <v>华夏中海消费封闭式基础设施证券投资基金|2024|年度</v>
      </c>
      <c r="P1306">
        <f>IF($A1306="",0,IF(COUNTIF($O$2:$O1306,$O1306)=1,1,0))</f>
        <v>0</v>
      </c>
      <c r="Q1306" t="str">
        <f>IF(AND($P1306=1,$A1306=经营数据!$B$3,$J1306=经营数据!$BA$5),COUNTIFS($P$2:$P$3000,1,$A$2:$A$3000,$A1306,$J$2:$J$3000,$J1306,$N$2:$N$3000,"&lt;"&amp;$N1306)+1,"")</f>
        <v/>
      </c>
      <c r="R1306" t="str">
        <f t="shared" si="308"/>
        <v>华夏中海消费封闭式基础设施证券投资基金|佛山映月湖环宇城</v>
      </c>
      <c r="S1306">
        <f>IF($A1306="",0,IF(COUNTIF($R$2:$R1306,$R1306)=1,1,0))</f>
        <v>0</v>
      </c>
      <c r="T1306">
        <f t="shared" si="309"/>
        <v>1244</v>
      </c>
      <c r="U1306" t="str">
        <f>IF($A1306="","",IF($A1306=经营数据!$B$3,COUNTIFS($S$2:$S$3000,1,$A$2:$A$3000,$A1306,$T$2:$T$3000,"&lt;"&amp;$T1306)+1,""))</f>
        <v/>
      </c>
      <c r="V1306" t="str">
        <f t="shared" si="310"/>
        <v>佛山映月湖环宇城|服务金额</v>
      </c>
      <c r="W1306">
        <f t="shared" si="311"/>
        <v>1244</v>
      </c>
      <c r="X1306" t="str">
        <f t="shared" si="312"/>
        <v>佛山映月湖环宇城|营业收入（考虑租金减免，不含税）</v>
      </c>
      <c r="Y1306">
        <f t="shared" si="313"/>
        <v>1244</v>
      </c>
      <c r="Z1306">
        <f>IF($A1306="",0,IF(AND($M1306=1,$A1306=经营数据!$B$3,$J1306=经营数据!$BA$5,OR($I1306=经营数据!$BA$4,COUNTIF(经营数据!$AA$9:$AA$38,$I1306)&gt;0)),1,0))</f>
        <v>0</v>
      </c>
      <c r="AA1306" t="str">
        <f t="shared" si="314"/>
        <v/>
      </c>
      <c r="AB1306" t="str">
        <f t="shared" si="315"/>
        <v/>
      </c>
      <c r="AC1306">
        <f>IF($A1306="",0,IF(COUNTIF($A$2:$A1306,$A1306)=1,1,0))</f>
        <v>0</v>
      </c>
      <c r="AD1306">
        <f t="shared" si="316"/>
        <v>12</v>
      </c>
      <c r="AE1306" t="str">
        <f t="shared" si="317"/>
        <v>佛山映月湖环宇城|营业收入（考虑租金减免，不含税）-电影放映服务收入（万元）</v>
      </c>
    </row>
    <row r="1307" spans="1:31" x14ac:dyDescent="0.4">
      <c r="A1307" t="str">
        <f>IF(原始经营数据!$D1308="","",原始经营数据!$D1308)</f>
        <v>华夏中海消费封闭式基础设施证券投资基金</v>
      </c>
      <c r="B1307" t="str">
        <f>IF(原始经营数据!$D1308="","",T(原始经营数据!$E1308))</f>
        <v>佛山映月湖环宇城</v>
      </c>
      <c r="C1307" t="str">
        <f>IF(原始经营数据!$D1308="","",原始经营数据!$F1308)</f>
        <v>2024</v>
      </c>
      <c r="D1307" t="str">
        <f>IF(原始经营数据!$D1308="","",原始经营数据!$H1308)</f>
        <v>营业收入（考虑租金减免，不含税）</v>
      </c>
      <c r="E1307">
        <f>IF(原始经营数据!$D1308="","",原始经营数据!$I1308)</f>
        <v>503.55</v>
      </c>
      <c r="F1307" t="str">
        <f>IF(原始经营数据!$D1308="","",T(原始经营数据!$J1308))</f>
        <v>万元</v>
      </c>
      <c r="G1307" t="str">
        <f>IF(原始经营数据!$D1308="","",T(原始经营数据!$K1308))</f>
        <v>推广服务收入</v>
      </c>
      <c r="H1307" t="str">
        <f>IF(原始经营数据!$D1308="","",原始经营数据!$G1308)</f>
        <v>服务金额</v>
      </c>
      <c r="I1307" t="str">
        <f>IF($A1307="","",IF($B1307&lt;&gt;"",$B1307,IF(COUNTIFS(原始经营数据!$D$3:$D$3001,$A1307,原始经营数据!$E$3:$E$3001,"",原始经营数据!$F$3:$F$3001,$C1307,原始经营数据!$H$3:$H$3001,$D1307,原始经营数据!$K$3:$K$3001,$G1307)&gt;1,"基金整体·来源"&amp;原始经营数据!$A1308,"基金整体")))</f>
        <v>佛山映月湖环宇城</v>
      </c>
      <c r="J1307" t="str">
        <f t="shared" si="303"/>
        <v>年度</v>
      </c>
      <c r="K1307" t="str">
        <f t="shared" si="304"/>
        <v>营业收入（考虑租金减免，不含税）-推广服务收入（万元）</v>
      </c>
      <c r="L1307" t="str">
        <f t="shared" si="305"/>
        <v>佛山映月湖环宇城|营业收入（考虑租金减免，不含税）-推广服务收入（万元）|年度</v>
      </c>
      <c r="M1307">
        <f>IF($A1307="",0,IF(COUNTIF($L$2:$L1307,$L1307)=1,1,0))</f>
        <v>0</v>
      </c>
      <c r="N1307">
        <f t="shared" si="306"/>
        <v>20240</v>
      </c>
      <c r="O1307" t="str">
        <f t="shared" si="307"/>
        <v>华夏中海消费封闭式基础设施证券投资基金|2024|年度</v>
      </c>
      <c r="P1307">
        <f>IF($A1307="",0,IF(COUNTIF($O$2:$O1307,$O1307)=1,1,0))</f>
        <v>0</v>
      </c>
      <c r="Q1307" t="str">
        <f>IF(AND($P1307=1,$A1307=经营数据!$B$3,$J1307=经营数据!$BA$5),COUNTIFS($P$2:$P$3000,1,$A$2:$A$3000,$A1307,$J$2:$J$3000,$J1307,$N$2:$N$3000,"&lt;"&amp;$N1307)+1,"")</f>
        <v/>
      </c>
      <c r="R1307" t="str">
        <f t="shared" si="308"/>
        <v>华夏中海消费封闭式基础设施证券投资基金|佛山映月湖环宇城</v>
      </c>
      <c r="S1307">
        <f>IF($A1307="",0,IF(COUNTIF($R$2:$R1307,$R1307)=1,1,0))</f>
        <v>0</v>
      </c>
      <c r="T1307">
        <f t="shared" si="309"/>
        <v>1244</v>
      </c>
      <c r="U1307" t="str">
        <f>IF($A1307="","",IF($A1307=经营数据!$B$3,COUNTIFS($S$2:$S$3000,1,$A$2:$A$3000,$A1307,$T$2:$T$3000,"&lt;"&amp;$T1307)+1,""))</f>
        <v/>
      </c>
      <c r="V1307" t="str">
        <f t="shared" si="310"/>
        <v>佛山映月湖环宇城|服务金额</v>
      </c>
      <c r="W1307">
        <f t="shared" si="311"/>
        <v>1244</v>
      </c>
      <c r="X1307" t="str">
        <f t="shared" si="312"/>
        <v>佛山映月湖环宇城|营业收入（考虑租金减免，不含税）</v>
      </c>
      <c r="Y1307">
        <f t="shared" si="313"/>
        <v>1244</v>
      </c>
      <c r="Z1307">
        <f>IF($A1307="",0,IF(AND($M1307=1,$A1307=经营数据!$B$3,$J1307=经营数据!$BA$5,OR($I1307=经营数据!$BA$4,COUNTIF(经营数据!$AA$9:$AA$38,$I1307)&gt;0)),1,0))</f>
        <v>0</v>
      </c>
      <c r="AA1307" t="str">
        <f t="shared" si="314"/>
        <v/>
      </c>
      <c r="AB1307" t="str">
        <f t="shared" si="315"/>
        <v/>
      </c>
      <c r="AC1307">
        <f>IF($A1307="",0,IF(COUNTIF($A$2:$A1307,$A1307)=1,1,0))</f>
        <v>0</v>
      </c>
      <c r="AD1307">
        <f t="shared" si="316"/>
        <v>12</v>
      </c>
      <c r="AE1307" t="str">
        <f t="shared" si="317"/>
        <v>佛山映月湖环宇城|营业收入（考虑租金减免，不含税）-推广服务收入（万元）</v>
      </c>
    </row>
    <row r="1308" spans="1:31" x14ac:dyDescent="0.4">
      <c r="A1308" t="str">
        <f>IF(原始经营数据!$D1309="","",原始经营数据!$D1309)</f>
        <v>华夏中海消费封闭式基础设施证券投资基金</v>
      </c>
      <c r="B1308" t="str">
        <f>IF(原始经营数据!$D1309="","",T(原始经营数据!$E1309))</f>
        <v>佛山映月湖环宇城</v>
      </c>
      <c r="C1308" t="str">
        <f>IF(原始经营数据!$D1309="","",原始经营数据!$F1309)</f>
        <v>2025Q1</v>
      </c>
      <c r="D1308" t="str">
        <f>IF(原始经营数据!$D1309="","",原始经营数据!$H1309)</f>
        <v>项目业态分布</v>
      </c>
      <c r="E1308">
        <f>IF(原始经营数据!$D1309="","",原始经营数据!$I1309)</f>
        <v>2168.73</v>
      </c>
      <c r="F1308" t="str">
        <f>IF(原始经营数据!$D1309="","",T(原始经营数据!$J1309))</f>
        <v>平方米</v>
      </c>
      <c r="G1308" t="str">
        <f>IF(原始经营数据!$D1309="","",T(原始经营数据!$K1309))</f>
        <v>展销</v>
      </c>
      <c r="H1308" t="str">
        <f>IF(原始经营数据!$D1309="","",原始经营数据!$G1309)</f>
        <v>服务量</v>
      </c>
      <c r="I1308" t="str">
        <f>IF($A1308="","",IF($B1308&lt;&gt;"",$B1308,IF(COUNTIFS(原始经营数据!$D$3:$D$3001,$A1308,原始经营数据!$E$3:$E$3001,"",原始经营数据!$F$3:$F$3001,$C1308,原始经营数据!$H$3:$H$3001,$D1308,原始经营数据!$K$3:$K$3001,$G1308)&gt;1,"基金整体·来源"&amp;原始经营数据!$A1309,"基金整体")))</f>
        <v>佛山映月湖环宇城</v>
      </c>
      <c r="J1308" t="str">
        <f t="shared" si="303"/>
        <v>季度</v>
      </c>
      <c r="K1308" t="str">
        <f t="shared" si="304"/>
        <v>项目业态分布-展销（平方米）</v>
      </c>
      <c r="L1308" t="str">
        <f t="shared" si="305"/>
        <v>佛山映月湖环宇城|项目业态分布-展销（平方米）|季度</v>
      </c>
      <c r="M1308">
        <f>IF($A1308="",0,IF(COUNTIF($L$2:$L1308,$L1308)=1,1,0))</f>
        <v>1</v>
      </c>
      <c r="N1308">
        <f t="shared" si="306"/>
        <v>20251</v>
      </c>
      <c r="O1308" t="str">
        <f t="shared" si="307"/>
        <v>华夏中海消费封闭式基础设施证券投资基金|2025Q1|季度</v>
      </c>
      <c r="P1308">
        <f>IF($A1308="",0,IF(COUNTIF($O$2:$O1308,$O1308)=1,1,0))</f>
        <v>1</v>
      </c>
      <c r="Q1308" t="str">
        <f>IF(AND($P1308=1,$A1308=经营数据!$B$3,$J1308=经营数据!$BA$5),COUNTIFS($P$2:$P$3000,1,$A$2:$A$3000,$A1308,$J$2:$J$3000,$J1308,$N$2:$N$3000,"&lt;"&amp;$N1308)+1,"")</f>
        <v/>
      </c>
      <c r="R1308" t="str">
        <f t="shared" si="308"/>
        <v>华夏中海消费封闭式基础设施证券投资基金|佛山映月湖环宇城</v>
      </c>
      <c r="S1308">
        <f>IF($A1308="",0,IF(COUNTIF($R$2:$R1308,$R1308)=1,1,0))</f>
        <v>0</v>
      </c>
      <c r="T1308">
        <f t="shared" si="309"/>
        <v>1244</v>
      </c>
      <c r="U1308" t="str">
        <f>IF($A1308="","",IF($A1308=经营数据!$B$3,COUNTIFS($S$2:$S$3000,1,$A$2:$A$3000,$A1308,$T$2:$T$3000,"&lt;"&amp;$T1308)+1,""))</f>
        <v/>
      </c>
      <c r="V1308" t="str">
        <f t="shared" si="310"/>
        <v>佛山映月湖环宇城|服务量</v>
      </c>
      <c r="W1308">
        <f t="shared" si="311"/>
        <v>1248</v>
      </c>
      <c r="X1308" t="str">
        <f t="shared" si="312"/>
        <v>佛山映月湖环宇城|项目业态分布</v>
      </c>
      <c r="Y1308">
        <f t="shared" si="313"/>
        <v>1307</v>
      </c>
      <c r="Z1308">
        <f>IF($A1308="",0,IF(AND($M1308=1,$A1308=经营数据!$B$3,$J1308=经营数据!$BA$5,OR($I1308=经营数据!$BA$4,COUNTIF(经营数据!$AA$9:$AA$38,$I1308)&gt;0)),1,0))</f>
        <v>0</v>
      </c>
      <c r="AA1308" t="str">
        <f t="shared" si="314"/>
        <v/>
      </c>
      <c r="AB1308" t="str">
        <f t="shared" si="315"/>
        <v/>
      </c>
      <c r="AC1308">
        <f>IF($A1308="",0,IF(COUNTIF($A$2:$A1308,$A1308)=1,1,0))</f>
        <v>0</v>
      </c>
      <c r="AD1308">
        <f t="shared" si="316"/>
        <v>12</v>
      </c>
      <c r="AE1308" t="str">
        <f t="shared" si="317"/>
        <v>佛山映月湖环宇城|项目业态分布-展销（平方米）</v>
      </c>
    </row>
    <row r="1309" spans="1:31" x14ac:dyDescent="0.4">
      <c r="A1309" t="str">
        <f>IF(原始经营数据!$D1310="","",原始经营数据!$D1310)</f>
        <v>华夏中海消费封闭式基础设施证券投资基金</v>
      </c>
      <c r="B1309" t="str">
        <f>IF(原始经营数据!$D1310="","",T(原始经营数据!$E1310))</f>
        <v>佛山映月湖环宇城</v>
      </c>
      <c r="C1309" t="str">
        <f>IF(原始经营数据!$D1310="","",原始经营数据!$F1310)</f>
        <v>2025Q1</v>
      </c>
      <c r="D1309" t="str">
        <f>IF(原始经营数据!$D1310="","",原始经营数据!$H1310)</f>
        <v>主力店平均租金单价（含物管费）</v>
      </c>
      <c r="E1309">
        <f>IF(原始经营数据!$D1310="","",原始经营数据!$I1310)</f>
        <v>55.32</v>
      </c>
      <c r="F1309" t="str">
        <f>IF(原始经营数据!$D1310="","",T(原始经营数据!$J1310))</f>
        <v>元/平方米/月</v>
      </c>
      <c r="G1309" t="str">
        <f>IF(原始经营数据!$D1310="","",T(原始经营数据!$K1310))</f>
        <v/>
      </c>
      <c r="H1309" t="str">
        <f>IF(原始经营数据!$D1310="","",原始经营数据!$G1310)</f>
        <v>服务价格</v>
      </c>
      <c r="I1309" t="str">
        <f>IF($A1309="","",IF($B1309&lt;&gt;"",$B1309,IF(COUNTIFS(原始经营数据!$D$3:$D$3001,$A1309,原始经营数据!$E$3:$E$3001,"",原始经营数据!$F$3:$F$3001,$C1309,原始经营数据!$H$3:$H$3001,$D1309,原始经营数据!$K$3:$K$3001,$G1309)&gt;1,"基金整体·来源"&amp;原始经营数据!$A1310,"基金整体")))</f>
        <v>佛山映月湖环宇城</v>
      </c>
      <c r="J1309" t="str">
        <f t="shared" si="303"/>
        <v>季度</v>
      </c>
      <c r="K1309" t="str">
        <f t="shared" si="304"/>
        <v>主力店平均租金单价（含物管费）（元/平方米/月）</v>
      </c>
      <c r="L1309" t="str">
        <f t="shared" si="305"/>
        <v>佛山映月湖环宇城|主力店平均租金单价（含物管费）（元/平方米/月）|季度</v>
      </c>
      <c r="M1309">
        <f>IF($A1309="",0,IF(COUNTIF($L$2:$L1309,$L1309)=1,1,0))</f>
        <v>1</v>
      </c>
      <c r="N1309">
        <f t="shared" si="306"/>
        <v>20251</v>
      </c>
      <c r="O1309" t="str">
        <f t="shared" si="307"/>
        <v>华夏中海消费封闭式基础设施证券投资基金|2025Q1|季度</v>
      </c>
      <c r="P1309">
        <f>IF($A1309="",0,IF(COUNTIF($O$2:$O1309,$O1309)=1,1,0))</f>
        <v>0</v>
      </c>
      <c r="Q1309" t="str">
        <f>IF(AND($P1309=1,$A1309=经营数据!$B$3,$J1309=经营数据!$BA$5),COUNTIFS($P$2:$P$3000,1,$A$2:$A$3000,$A1309,$J$2:$J$3000,$J1309,$N$2:$N$3000,"&lt;"&amp;$N1309)+1,"")</f>
        <v/>
      </c>
      <c r="R1309" t="str">
        <f t="shared" si="308"/>
        <v>华夏中海消费封闭式基础设施证券投资基金|佛山映月湖环宇城</v>
      </c>
      <c r="S1309">
        <f>IF($A1309="",0,IF(COUNTIF($R$2:$R1309,$R1309)=1,1,0))</f>
        <v>0</v>
      </c>
      <c r="T1309">
        <f t="shared" si="309"/>
        <v>1244</v>
      </c>
      <c r="U1309" t="str">
        <f>IF($A1309="","",IF($A1309=经营数据!$B$3,COUNTIFS($S$2:$S$3000,1,$A$2:$A$3000,$A1309,$T$2:$T$3000,"&lt;"&amp;$T1309)+1,""))</f>
        <v/>
      </c>
      <c r="V1309" t="str">
        <f t="shared" si="310"/>
        <v>佛山映月湖环宇城|服务价格</v>
      </c>
      <c r="W1309">
        <f t="shared" si="311"/>
        <v>1250</v>
      </c>
      <c r="X1309" t="str">
        <f t="shared" si="312"/>
        <v>佛山映月湖环宇城|主力店平均租金单价（含物管费）</v>
      </c>
      <c r="Y1309">
        <f t="shared" si="313"/>
        <v>1251</v>
      </c>
      <c r="Z1309">
        <f>IF($A1309="",0,IF(AND($M1309=1,$A1309=经营数据!$B$3,$J1309=经营数据!$BA$5,OR($I1309=经营数据!$BA$4,COUNTIF(经营数据!$AA$9:$AA$38,$I1309)&gt;0)),1,0))</f>
        <v>0</v>
      </c>
      <c r="AA1309" t="str">
        <f t="shared" si="314"/>
        <v/>
      </c>
      <c r="AB1309" t="str">
        <f t="shared" si="315"/>
        <v/>
      </c>
      <c r="AC1309">
        <f>IF($A1309="",0,IF(COUNTIF($A$2:$A1309,$A1309)=1,1,0))</f>
        <v>0</v>
      </c>
      <c r="AD1309">
        <f t="shared" si="316"/>
        <v>12</v>
      </c>
      <c r="AE1309" t="str">
        <f t="shared" si="317"/>
        <v>佛山映月湖环宇城|主力店平均租金单价（含物管费）（元/平方米/月）</v>
      </c>
    </row>
    <row r="1310" spans="1:31" x14ac:dyDescent="0.4">
      <c r="A1310" t="str">
        <f>IF(原始经营数据!$D1311="","",原始经营数据!$D1311)</f>
        <v>华夏中海消费封闭式基础设施证券投资基金</v>
      </c>
      <c r="B1310" t="str">
        <f>IF(原始经营数据!$D1311="","",T(原始经营数据!$E1311))</f>
        <v>佛山映月湖环宇城</v>
      </c>
      <c r="C1310" t="str">
        <f>IF(原始经营数据!$D1311="","",原始经营数据!$F1311)</f>
        <v>2025Q1</v>
      </c>
      <c r="D1310" t="str">
        <f>IF(原始经营数据!$D1311="","",原始经营数据!$H1311)</f>
        <v>专门店平均租金单价（含物管费）</v>
      </c>
      <c r="E1310">
        <f>IF(原始经营数据!$D1311="","",原始经营数据!$I1311)</f>
        <v>201.08</v>
      </c>
      <c r="F1310" t="str">
        <f>IF(原始经营数据!$D1311="","",T(原始经营数据!$J1311))</f>
        <v>元/平方米/月</v>
      </c>
      <c r="G1310" t="str">
        <f>IF(原始经营数据!$D1311="","",T(原始经营数据!$K1311))</f>
        <v/>
      </c>
      <c r="H1310" t="str">
        <f>IF(原始经营数据!$D1311="","",原始经营数据!$G1311)</f>
        <v>服务价格</v>
      </c>
      <c r="I1310" t="str">
        <f>IF($A1310="","",IF($B1310&lt;&gt;"",$B1310,IF(COUNTIFS(原始经营数据!$D$3:$D$3001,$A1310,原始经营数据!$E$3:$E$3001,"",原始经营数据!$F$3:$F$3001,$C1310,原始经营数据!$H$3:$H$3001,$D1310,原始经营数据!$K$3:$K$3001,$G1310)&gt;1,"基金整体·来源"&amp;原始经营数据!$A1311,"基金整体")))</f>
        <v>佛山映月湖环宇城</v>
      </c>
      <c r="J1310" t="str">
        <f t="shared" si="303"/>
        <v>季度</v>
      </c>
      <c r="K1310" t="str">
        <f t="shared" si="304"/>
        <v>专门店平均租金单价（含物管费）（元/平方米/月）</v>
      </c>
      <c r="L1310" t="str">
        <f t="shared" si="305"/>
        <v>佛山映月湖环宇城|专门店平均租金单价（含物管费）（元/平方米/月）|季度</v>
      </c>
      <c r="M1310">
        <f>IF($A1310="",0,IF(COUNTIF($L$2:$L1310,$L1310)=1,1,0))</f>
        <v>1</v>
      </c>
      <c r="N1310">
        <f t="shared" si="306"/>
        <v>20251</v>
      </c>
      <c r="O1310" t="str">
        <f t="shared" si="307"/>
        <v>华夏中海消费封闭式基础设施证券投资基金|2025Q1|季度</v>
      </c>
      <c r="P1310">
        <f>IF($A1310="",0,IF(COUNTIF($O$2:$O1310,$O1310)=1,1,0))</f>
        <v>0</v>
      </c>
      <c r="Q1310" t="str">
        <f>IF(AND($P1310=1,$A1310=经营数据!$B$3,$J1310=经营数据!$BA$5),COUNTIFS($P$2:$P$3000,1,$A$2:$A$3000,$A1310,$J$2:$J$3000,$J1310,$N$2:$N$3000,"&lt;"&amp;$N1310)+1,"")</f>
        <v/>
      </c>
      <c r="R1310" t="str">
        <f t="shared" si="308"/>
        <v>华夏中海消费封闭式基础设施证券投资基金|佛山映月湖环宇城</v>
      </c>
      <c r="S1310">
        <f>IF($A1310="",0,IF(COUNTIF($R$2:$R1310,$R1310)=1,1,0))</f>
        <v>0</v>
      </c>
      <c r="T1310">
        <f t="shared" si="309"/>
        <v>1244</v>
      </c>
      <c r="U1310" t="str">
        <f>IF($A1310="","",IF($A1310=经营数据!$B$3,COUNTIFS($S$2:$S$3000,1,$A$2:$A$3000,$A1310,$T$2:$T$3000,"&lt;"&amp;$T1310)+1,""))</f>
        <v/>
      </c>
      <c r="V1310" t="str">
        <f t="shared" si="310"/>
        <v>佛山映月湖环宇城|服务价格</v>
      </c>
      <c r="W1310">
        <f t="shared" si="311"/>
        <v>1250</v>
      </c>
      <c r="X1310" t="str">
        <f t="shared" si="312"/>
        <v>佛山映月湖环宇城|专门店平均租金单价（含物管费）</v>
      </c>
      <c r="Y1310">
        <f t="shared" si="313"/>
        <v>1252</v>
      </c>
      <c r="Z1310">
        <f>IF($A1310="",0,IF(AND($M1310=1,$A1310=经营数据!$B$3,$J1310=经营数据!$BA$5,OR($I1310=经营数据!$BA$4,COUNTIF(经营数据!$AA$9:$AA$38,$I1310)&gt;0)),1,0))</f>
        <v>0</v>
      </c>
      <c r="AA1310" t="str">
        <f t="shared" si="314"/>
        <v/>
      </c>
      <c r="AB1310" t="str">
        <f t="shared" si="315"/>
        <v/>
      </c>
      <c r="AC1310">
        <f>IF($A1310="",0,IF(COUNTIF($A$2:$A1310,$A1310)=1,1,0))</f>
        <v>0</v>
      </c>
      <c r="AD1310">
        <f t="shared" si="316"/>
        <v>12</v>
      </c>
      <c r="AE1310" t="str">
        <f t="shared" si="317"/>
        <v>佛山映月湖环宇城|专门店平均租金单价（含物管费）（元/平方米/月）</v>
      </c>
    </row>
    <row r="1311" spans="1:31" x14ac:dyDescent="0.4">
      <c r="A1311" t="str">
        <f>IF(原始经营数据!$D1312="","",原始经营数据!$D1312)</f>
        <v>华夏中海消费封闭式基础设施证券投资基金</v>
      </c>
      <c r="B1311" t="str">
        <f>IF(原始经营数据!$D1312="","",T(原始经营数据!$E1312))</f>
        <v>佛山映月湖环宇城</v>
      </c>
      <c r="C1311" t="str">
        <f>IF(原始经营数据!$D1312="","",原始经营数据!$F1312)</f>
        <v>2025Q1</v>
      </c>
      <c r="D1311" t="str">
        <f>IF(原始经营数据!$D1312="","",原始经营数据!$H1312)</f>
        <v>租户数量</v>
      </c>
      <c r="E1311">
        <f>IF(原始经营数据!$D1312="","",原始经营数据!$I1312)</f>
        <v>210</v>
      </c>
      <c r="F1311" t="str">
        <f>IF(原始经营数据!$D1312="","",T(原始经营数据!$J1312))</f>
        <v/>
      </c>
      <c r="G1311" t="str">
        <f>IF(原始经营数据!$D1312="","",T(原始经营数据!$K1312))</f>
        <v>专门店</v>
      </c>
      <c r="H1311" t="str">
        <f>IF(原始经营数据!$D1312="","",原始经营数据!$G1312)</f>
        <v>服务量</v>
      </c>
      <c r="I1311" t="str">
        <f>IF($A1311="","",IF($B1311&lt;&gt;"",$B1311,IF(COUNTIFS(原始经营数据!$D$3:$D$3001,$A1311,原始经营数据!$E$3:$E$3001,"",原始经营数据!$F$3:$F$3001,$C1311,原始经营数据!$H$3:$H$3001,$D1311,原始经营数据!$K$3:$K$3001,$G1311)&gt;1,"基金整体·来源"&amp;原始经营数据!$A1312,"基金整体")))</f>
        <v>佛山映月湖环宇城</v>
      </c>
      <c r="J1311" t="str">
        <f t="shared" si="303"/>
        <v>季度</v>
      </c>
      <c r="K1311" t="str">
        <f t="shared" si="304"/>
        <v>租户数量-专门店</v>
      </c>
      <c r="L1311" t="str">
        <f t="shared" si="305"/>
        <v>佛山映月湖环宇城|租户数量-专门店|季度</v>
      </c>
      <c r="M1311">
        <f>IF($A1311="",0,IF(COUNTIF($L$2:$L1311,$L1311)=1,1,0))</f>
        <v>1</v>
      </c>
      <c r="N1311">
        <f t="shared" si="306"/>
        <v>20251</v>
      </c>
      <c r="O1311" t="str">
        <f t="shared" si="307"/>
        <v>华夏中海消费封闭式基础设施证券投资基金|2025Q1|季度</v>
      </c>
      <c r="P1311">
        <f>IF($A1311="",0,IF(COUNTIF($O$2:$O1311,$O1311)=1,1,0))</f>
        <v>0</v>
      </c>
      <c r="Q1311" t="str">
        <f>IF(AND($P1311=1,$A1311=经营数据!$B$3,$J1311=经营数据!$BA$5),COUNTIFS($P$2:$P$3000,1,$A$2:$A$3000,$A1311,$J$2:$J$3000,$J1311,$N$2:$N$3000,"&lt;"&amp;$N1311)+1,"")</f>
        <v/>
      </c>
      <c r="R1311" t="str">
        <f t="shared" si="308"/>
        <v>华夏中海消费封闭式基础设施证券投资基金|佛山映月湖环宇城</v>
      </c>
      <c r="S1311">
        <f>IF($A1311="",0,IF(COUNTIF($R$2:$R1311,$R1311)=1,1,0))</f>
        <v>0</v>
      </c>
      <c r="T1311">
        <f t="shared" si="309"/>
        <v>1244</v>
      </c>
      <c r="U1311" t="str">
        <f>IF($A1311="","",IF($A1311=经营数据!$B$3,COUNTIFS($S$2:$S$3000,1,$A$2:$A$3000,$A1311,$T$2:$T$3000,"&lt;"&amp;$T1311)+1,""))</f>
        <v/>
      </c>
      <c r="V1311" t="str">
        <f t="shared" si="310"/>
        <v>佛山映月湖环宇城|服务量</v>
      </c>
      <c r="W1311">
        <f t="shared" si="311"/>
        <v>1248</v>
      </c>
      <c r="X1311" t="str">
        <f t="shared" si="312"/>
        <v>佛山映月湖环宇城|租户数量</v>
      </c>
      <c r="Y1311">
        <f t="shared" si="313"/>
        <v>1248</v>
      </c>
      <c r="Z1311">
        <f>IF($A1311="",0,IF(AND($M1311=1,$A1311=经营数据!$B$3,$J1311=经营数据!$BA$5,OR($I1311=经营数据!$BA$4,COUNTIF(经营数据!$AA$9:$AA$38,$I1311)&gt;0)),1,0))</f>
        <v>0</v>
      </c>
      <c r="AA1311" t="str">
        <f t="shared" si="314"/>
        <v/>
      </c>
      <c r="AB1311" t="str">
        <f t="shared" si="315"/>
        <v/>
      </c>
      <c r="AC1311">
        <f>IF($A1311="",0,IF(COUNTIF($A$2:$A1311,$A1311)=1,1,0))</f>
        <v>0</v>
      </c>
      <c r="AD1311">
        <f t="shared" si="316"/>
        <v>12</v>
      </c>
      <c r="AE1311" t="str">
        <f t="shared" si="317"/>
        <v>佛山映月湖环宇城|租户数量-专门店</v>
      </c>
    </row>
    <row r="1312" spans="1:31" x14ac:dyDescent="0.4">
      <c r="A1312" t="str">
        <f>IF(原始经营数据!$D1313="","",原始经营数据!$D1313)</f>
        <v>华夏中海消费封闭式基础设施证券投资基金</v>
      </c>
      <c r="B1312" t="str">
        <f>IF(原始经营数据!$D1313="","",T(原始经营数据!$E1313))</f>
        <v>佛山映月湖环宇城</v>
      </c>
      <c r="C1312" t="str">
        <f>IF(原始经营数据!$D1313="","",原始经营数据!$F1313)</f>
        <v>2025Q1</v>
      </c>
      <c r="D1312" t="str">
        <f>IF(原始经营数据!$D1313="","",原始经营数据!$H1313)</f>
        <v>项目业态分布</v>
      </c>
      <c r="E1312">
        <f>IF(原始经营数据!$D1313="","",原始经营数据!$I1313)</f>
        <v>30548.05</v>
      </c>
      <c r="F1312" t="str">
        <f>IF(原始经营数据!$D1313="","",T(原始经营数据!$J1313))</f>
        <v>平方米</v>
      </c>
      <c r="G1312" t="str">
        <f>IF(原始经营数据!$D1313="","",T(原始经营数据!$K1313))</f>
        <v>零售</v>
      </c>
      <c r="H1312" t="str">
        <f>IF(原始经营数据!$D1313="","",原始经营数据!$G1313)</f>
        <v>服务量</v>
      </c>
      <c r="I1312" t="str">
        <f>IF($A1312="","",IF($B1312&lt;&gt;"",$B1312,IF(COUNTIFS(原始经营数据!$D$3:$D$3001,$A1312,原始经营数据!$E$3:$E$3001,"",原始经营数据!$F$3:$F$3001,$C1312,原始经营数据!$H$3:$H$3001,$D1312,原始经营数据!$K$3:$K$3001,$G1312)&gt;1,"基金整体·来源"&amp;原始经营数据!$A1313,"基金整体")))</f>
        <v>佛山映月湖环宇城</v>
      </c>
      <c r="J1312" t="str">
        <f t="shared" si="303"/>
        <v>季度</v>
      </c>
      <c r="K1312" t="str">
        <f t="shared" si="304"/>
        <v>项目业态分布-零售（平方米）</v>
      </c>
      <c r="L1312" t="str">
        <f t="shared" si="305"/>
        <v>佛山映月湖环宇城|项目业态分布-零售（平方米）|季度</v>
      </c>
      <c r="M1312">
        <f>IF($A1312="",0,IF(COUNTIF($L$2:$L1312,$L1312)=1,1,0))</f>
        <v>1</v>
      </c>
      <c r="N1312">
        <f t="shared" si="306"/>
        <v>20251</v>
      </c>
      <c r="O1312" t="str">
        <f t="shared" si="307"/>
        <v>华夏中海消费封闭式基础设施证券投资基金|2025Q1|季度</v>
      </c>
      <c r="P1312">
        <f>IF($A1312="",0,IF(COUNTIF($O$2:$O1312,$O1312)=1,1,0))</f>
        <v>0</v>
      </c>
      <c r="Q1312" t="str">
        <f>IF(AND($P1312=1,$A1312=经营数据!$B$3,$J1312=经营数据!$BA$5),COUNTIFS($P$2:$P$3000,1,$A$2:$A$3000,$A1312,$J$2:$J$3000,$J1312,$N$2:$N$3000,"&lt;"&amp;$N1312)+1,"")</f>
        <v/>
      </c>
      <c r="R1312" t="str">
        <f t="shared" si="308"/>
        <v>华夏中海消费封闭式基础设施证券投资基金|佛山映月湖环宇城</v>
      </c>
      <c r="S1312">
        <f>IF($A1312="",0,IF(COUNTIF($R$2:$R1312,$R1312)=1,1,0))</f>
        <v>0</v>
      </c>
      <c r="T1312">
        <f t="shared" si="309"/>
        <v>1244</v>
      </c>
      <c r="U1312" t="str">
        <f>IF($A1312="","",IF($A1312=经营数据!$B$3,COUNTIFS($S$2:$S$3000,1,$A$2:$A$3000,$A1312,$T$2:$T$3000,"&lt;"&amp;$T1312)+1,""))</f>
        <v/>
      </c>
      <c r="V1312" t="str">
        <f t="shared" si="310"/>
        <v>佛山映月湖环宇城|服务量</v>
      </c>
      <c r="W1312">
        <f t="shared" si="311"/>
        <v>1248</v>
      </c>
      <c r="X1312" t="str">
        <f t="shared" si="312"/>
        <v>佛山映月湖环宇城|项目业态分布</v>
      </c>
      <c r="Y1312">
        <f t="shared" si="313"/>
        <v>1307</v>
      </c>
      <c r="Z1312">
        <f>IF($A1312="",0,IF(AND($M1312=1,$A1312=经营数据!$B$3,$J1312=经营数据!$BA$5,OR($I1312=经营数据!$BA$4,COUNTIF(经营数据!$AA$9:$AA$38,$I1312)&gt;0)),1,0))</f>
        <v>0</v>
      </c>
      <c r="AA1312" t="str">
        <f t="shared" si="314"/>
        <v/>
      </c>
      <c r="AB1312" t="str">
        <f t="shared" si="315"/>
        <v/>
      </c>
      <c r="AC1312">
        <f>IF($A1312="",0,IF(COUNTIF($A$2:$A1312,$A1312)=1,1,0))</f>
        <v>0</v>
      </c>
      <c r="AD1312">
        <f t="shared" si="316"/>
        <v>12</v>
      </c>
      <c r="AE1312" t="str">
        <f t="shared" si="317"/>
        <v>佛山映月湖环宇城|项目业态分布-零售（平方米）</v>
      </c>
    </row>
    <row r="1313" spans="1:31" x14ac:dyDescent="0.4">
      <c r="A1313" t="str">
        <f>IF(原始经营数据!$D1314="","",原始经营数据!$D1314)</f>
        <v>华夏中海消费封闭式基础设施证券投资基金</v>
      </c>
      <c r="B1313" t="str">
        <f>IF(原始经营数据!$D1314="","",T(原始经营数据!$E1314))</f>
        <v>佛山映月湖环宇城</v>
      </c>
      <c r="C1313" t="str">
        <f>IF(原始经营数据!$D1314="","",原始经营数据!$F1314)</f>
        <v>2025Q1</v>
      </c>
      <c r="D1313" t="str">
        <f>IF(原始经营数据!$D1314="","",原始经营数据!$H1314)</f>
        <v>项目业态分布</v>
      </c>
      <c r="E1313">
        <f>IF(原始经营数据!$D1314="","",原始经营数据!$I1314)</f>
        <v>13360.84</v>
      </c>
      <c r="F1313" t="str">
        <f>IF(原始经营数据!$D1314="","",T(原始经营数据!$J1314))</f>
        <v>平方米</v>
      </c>
      <c r="G1313" t="str">
        <f>IF(原始经营数据!$D1314="","",T(原始经营数据!$K1314))</f>
        <v>餐饮</v>
      </c>
      <c r="H1313" t="str">
        <f>IF(原始经营数据!$D1314="","",原始经营数据!$G1314)</f>
        <v>服务量</v>
      </c>
      <c r="I1313" t="str">
        <f>IF($A1313="","",IF($B1313&lt;&gt;"",$B1313,IF(COUNTIFS(原始经营数据!$D$3:$D$3001,$A1313,原始经营数据!$E$3:$E$3001,"",原始经营数据!$F$3:$F$3001,$C1313,原始经营数据!$H$3:$H$3001,$D1313,原始经营数据!$K$3:$K$3001,$G1313)&gt;1,"基金整体·来源"&amp;原始经营数据!$A1314,"基金整体")))</f>
        <v>佛山映月湖环宇城</v>
      </c>
      <c r="J1313" t="str">
        <f t="shared" si="303"/>
        <v>季度</v>
      </c>
      <c r="K1313" t="str">
        <f t="shared" si="304"/>
        <v>项目业态分布-餐饮（平方米）</v>
      </c>
      <c r="L1313" t="str">
        <f t="shared" si="305"/>
        <v>佛山映月湖环宇城|项目业态分布-餐饮（平方米）|季度</v>
      </c>
      <c r="M1313">
        <f>IF($A1313="",0,IF(COUNTIF($L$2:$L1313,$L1313)=1,1,0))</f>
        <v>1</v>
      </c>
      <c r="N1313">
        <f t="shared" si="306"/>
        <v>20251</v>
      </c>
      <c r="O1313" t="str">
        <f t="shared" si="307"/>
        <v>华夏中海消费封闭式基础设施证券投资基金|2025Q1|季度</v>
      </c>
      <c r="P1313">
        <f>IF($A1313="",0,IF(COUNTIF($O$2:$O1313,$O1313)=1,1,0))</f>
        <v>0</v>
      </c>
      <c r="Q1313" t="str">
        <f>IF(AND($P1313=1,$A1313=经营数据!$B$3,$J1313=经营数据!$BA$5),COUNTIFS($P$2:$P$3000,1,$A$2:$A$3000,$A1313,$J$2:$J$3000,$J1313,$N$2:$N$3000,"&lt;"&amp;$N1313)+1,"")</f>
        <v/>
      </c>
      <c r="R1313" t="str">
        <f t="shared" si="308"/>
        <v>华夏中海消费封闭式基础设施证券投资基金|佛山映月湖环宇城</v>
      </c>
      <c r="S1313">
        <f>IF($A1313="",0,IF(COUNTIF($R$2:$R1313,$R1313)=1,1,0))</f>
        <v>0</v>
      </c>
      <c r="T1313">
        <f t="shared" si="309"/>
        <v>1244</v>
      </c>
      <c r="U1313" t="str">
        <f>IF($A1313="","",IF($A1313=经营数据!$B$3,COUNTIFS($S$2:$S$3000,1,$A$2:$A$3000,$A1313,$T$2:$T$3000,"&lt;"&amp;$T1313)+1,""))</f>
        <v/>
      </c>
      <c r="V1313" t="str">
        <f t="shared" si="310"/>
        <v>佛山映月湖环宇城|服务量</v>
      </c>
      <c r="W1313">
        <f t="shared" si="311"/>
        <v>1248</v>
      </c>
      <c r="X1313" t="str">
        <f t="shared" si="312"/>
        <v>佛山映月湖环宇城|项目业态分布</v>
      </c>
      <c r="Y1313">
        <f t="shared" si="313"/>
        <v>1307</v>
      </c>
      <c r="Z1313">
        <f>IF($A1313="",0,IF(AND($M1313=1,$A1313=经营数据!$B$3,$J1313=经营数据!$BA$5,OR($I1313=经营数据!$BA$4,COUNTIF(经营数据!$AA$9:$AA$38,$I1313)&gt;0)),1,0))</f>
        <v>0</v>
      </c>
      <c r="AA1313" t="str">
        <f t="shared" si="314"/>
        <v/>
      </c>
      <c r="AB1313" t="str">
        <f t="shared" si="315"/>
        <v/>
      </c>
      <c r="AC1313">
        <f>IF($A1313="",0,IF(COUNTIF($A$2:$A1313,$A1313)=1,1,0))</f>
        <v>0</v>
      </c>
      <c r="AD1313">
        <f t="shared" si="316"/>
        <v>12</v>
      </c>
      <c r="AE1313" t="str">
        <f t="shared" si="317"/>
        <v>佛山映月湖环宇城|项目业态分布-餐饮（平方米）</v>
      </c>
    </row>
    <row r="1314" spans="1:31" x14ac:dyDescent="0.4">
      <c r="A1314" t="str">
        <f>IF(原始经营数据!$D1315="","",原始经营数据!$D1315)</f>
        <v>华夏中海消费封闭式基础设施证券投资基金</v>
      </c>
      <c r="B1314" t="str">
        <f>IF(原始经营数据!$D1315="","",T(原始经营数据!$E1315))</f>
        <v>佛山映月湖环宇城</v>
      </c>
      <c r="C1314" t="str">
        <f>IF(原始经营数据!$D1315="","",原始经营数据!$F1315)</f>
        <v>2025Q1</v>
      </c>
      <c r="D1314" t="str">
        <f>IF(原始经营数据!$D1315="","",原始经营数据!$H1315)</f>
        <v>项目业态分布</v>
      </c>
      <c r="E1314">
        <f>IF(原始经营数据!$D1315="","",原始经营数据!$I1315)</f>
        <v>8894.6</v>
      </c>
      <c r="F1314" t="str">
        <f>IF(原始经营数据!$D1315="","",T(原始经营数据!$J1315))</f>
        <v>平方米</v>
      </c>
      <c r="G1314" t="str">
        <f>IF(原始经营数据!$D1315="","",T(原始经营数据!$K1315))</f>
        <v>体验</v>
      </c>
      <c r="H1314" t="str">
        <f>IF(原始经营数据!$D1315="","",原始经营数据!$G1315)</f>
        <v>服务量</v>
      </c>
      <c r="I1314" t="str">
        <f>IF($A1314="","",IF($B1314&lt;&gt;"",$B1314,IF(COUNTIFS(原始经营数据!$D$3:$D$3001,$A1314,原始经营数据!$E$3:$E$3001,"",原始经营数据!$F$3:$F$3001,$C1314,原始经营数据!$H$3:$H$3001,$D1314,原始经营数据!$K$3:$K$3001,$G1314)&gt;1,"基金整体·来源"&amp;原始经营数据!$A1315,"基金整体")))</f>
        <v>佛山映月湖环宇城</v>
      </c>
      <c r="J1314" t="str">
        <f t="shared" si="303"/>
        <v>季度</v>
      </c>
      <c r="K1314" t="str">
        <f t="shared" si="304"/>
        <v>项目业态分布-体验（平方米）</v>
      </c>
      <c r="L1314" t="str">
        <f t="shared" si="305"/>
        <v>佛山映月湖环宇城|项目业态分布-体验（平方米）|季度</v>
      </c>
      <c r="M1314">
        <f>IF($A1314="",0,IF(COUNTIF($L$2:$L1314,$L1314)=1,1,0))</f>
        <v>1</v>
      </c>
      <c r="N1314">
        <f t="shared" si="306"/>
        <v>20251</v>
      </c>
      <c r="O1314" t="str">
        <f t="shared" si="307"/>
        <v>华夏中海消费封闭式基础设施证券投资基金|2025Q1|季度</v>
      </c>
      <c r="P1314">
        <f>IF($A1314="",0,IF(COUNTIF($O$2:$O1314,$O1314)=1,1,0))</f>
        <v>0</v>
      </c>
      <c r="Q1314" t="str">
        <f>IF(AND($P1314=1,$A1314=经营数据!$B$3,$J1314=经营数据!$BA$5),COUNTIFS($P$2:$P$3000,1,$A$2:$A$3000,$A1314,$J$2:$J$3000,$J1314,$N$2:$N$3000,"&lt;"&amp;$N1314)+1,"")</f>
        <v/>
      </c>
      <c r="R1314" t="str">
        <f t="shared" si="308"/>
        <v>华夏中海消费封闭式基础设施证券投资基金|佛山映月湖环宇城</v>
      </c>
      <c r="S1314">
        <f>IF($A1314="",0,IF(COUNTIF($R$2:$R1314,$R1314)=1,1,0))</f>
        <v>0</v>
      </c>
      <c r="T1314">
        <f t="shared" si="309"/>
        <v>1244</v>
      </c>
      <c r="U1314" t="str">
        <f>IF($A1314="","",IF($A1314=经营数据!$B$3,COUNTIFS($S$2:$S$3000,1,$A$2:$A$3000,$A1314,$T$2:$T$3000,"&lt;"&amp;$T1314)+1,""))</f>
        <v/>
      </c>
      <c r="V1314" t="str">
        <f t="shared" si="310"/>
        <v>佛山映月湖环宇城|服务量</v>
      </c>
      <c r="W1314">
        <f t="shared" si="311"/>
        <v>1248</v>
      </c>
      <c r="X1314" t="str">
        <f t="shared" si="312"/>
        <v>佛山映月湖环宇城|项目业态分布</v>
      </c>
      <c r="Y1314">
        <f t="shared" si="313"/>
        <v>1307</v>
      </c>
      <c r="Z1314">
        <f>IF($A1314="",0,IF(AND($M1314=1,$A1314=经营数据!$B$3,$J1314=经营数据!$BA$5,OR($I1314=经营数据!$BA$4,COUNTIF(经营数据!$AA$9:$AA$38,$I1314)&gt;0)),1,0))</f>
        <v>0</v>
      </c>
      <c r="AA1314" t="str">
        <f t="shared" si="314"/>
        <v/>
      </c>
      <c r="AB1314" t="str">
        <f t="shared" si="315"/>
        <v/>
      </c>
      <c r="AC1314">
        <f>IF($A1314="",0,IF(COUNTIF($A$2:$A1314,$A1314)=1,1,0))</f>
        <v>0</v>
      </c>
      <c r="AD1314">
        <f t="shared" si="316"/>
        <v>12</v>
      </c>
      <c r="AE1314" t="str">
        <f t="shared" si="317"/>
        <v>佛山映月湖环宇城|项目业态分布-体验（平方米）</v>
      </c>
    </row>
    <row r="1315" spans="1:31" x14ac:dyDescent="0.4">
      <c r="A1315" t="str">
        <f>IF(原始经营数据!$D1316="","",原始经营数据!$D1316)</f>
        <v>华夏中海消费封闭式基础设施证券投资基金</v>
      </c>
      <c r="B1315" t="str">
        <f>IF(原始经营数据!$D1316="","",T(原始经营数据!$E1316))</f>
        <v>佛山映月湖环宇城</v>
      </c>
      <c r="C1315" t="str">
        <f>IF(原始经营数据!$D1316="","",原始经营数据!$F1316)</f>
        <v>2025Q1</v>
      </c>
      <c r="D1315" t="str">
        <f>IF(原始经营数据!$D1316="","",原始经营数据!$H1316)</f>
        <v>项目业态分布</v>
      </c>
      <c r="E1315">
        <f>IF(原始经营数据!$D1316="","",原始经营数据!$I1316)</f>
        <v>7576.92</v>
      </c>
      <c r="F1315" t="str">
        <f>IF(原始经营数据!$D1316="","",T(原始经营数据!$J1316))</f>
        <v>平方米</v>
      </c>
      <c r="G1315" t="str">
        <f>IF(原始经营数据!$D1316="","",T(原始经营数据!$K1316))</f>
        <v>服务</v>
      </c>
      <c r="H1315" t="str">
        <f>IF(原始经营数据!$D1316="","",原始经营数据!$G1316)</f>
        <v>服务量</v>
      </c>
      <c r="I1315" t="str">
        <f>IF($A1315="","",IF($B1315&lt;&gt;"",$B1315,IF(COUNTIFS(原始经营数据!$D$3:$D$3001,$A1315,原始经营数据!$E$3:$E$3001,"",原始经营数据!$F$3:$F$3001,$C1315,原始经营数据!$H$3:$H$3001,$D1315,原始经营数据!$K$3:$K$3001,$G1315)&gt;1,"基金整体·来源"&amp;原始经营数据!$A1316,"基金整体")))</f>
        <v>佛山映月湖环宇城</v>
      </c>
      <c r="J1315" t="str">
        <f t="shared" si="303"/>
        <v>季度</v>
      </c>
      <c r="K1315" t="str">
        <f t="shared" si="304"/>
        <v>项目业态分布-服务（平方米）</v>
      </c>
      <c r="L1315" t="str">
        <f t="shared" si="305"/>
        <v>佛山映月湖环宇城|项目业态分布-服务（平方米）|季度</v>
      </c>
      <c r="M1315">
        <f>IF($A1315="",0,IF(COUNTIF($L$2:$L1315,$L1315)=1,1,0))</f>
        <v>1</v>
      </c>
      <c r="N1315">
        <f t="shared" si="306"/>
        <v>20251</v>
      </c>
      <c r="O1315" t="str">
        <f t="shared" si="307"/>
        <v>华夏中海消费封闭式基础设施证券投资基金|2025Q1|季度</v>
      </c>
      <c r="P1315">
        <f>IF($A1315="",0,IF(COUNTIF($O$2:$O1315,$O1315)=1,1,0))</f>
        <v>0</v>
      </c>
      <c r="Q1315" t="str">
        <f>IF(AND($P1315=1,$A1315=经营数据!$B$3,$J1315=经营数据!$BA$5),COUNTIFS($P$2:$P$3000,1,$A$2:$A$3000,$A1315,$J$2:$J$3000,$J1315,$N$2:$N$3000,"&lt;"&amp;$N1315)+1,"")</f>
        <v/>
      </c>
      <c r="R1315" t="str">
        <f t="shared" si="308"/>
        <v>华夏中海消费封闭式基础设施证券投资基金|佛山映月湖环宇城</v>
      </c>
      <c r="S1315">
        <f>IF($A1315="",0,IF(COUNTIF($R$2:$R1315,$R1315)=1,1,0))</f>
        <v>0</v>
      </c>
      <c r="T1315">
        <f t="shared" si="309"/>
        <v>1244</v>
      </c>
      <c r="U1315" t="str">
        <f>IF($A1315="","",IF($A1315=经营数据!$B$3,COUNTIFS($S$2:$S$3000,1,$A$2:$A$3000,$A1315,$T$2:$T$3000,"&lt;"&amp;$T1315)+1,""))</f>
        <v/>
      </c>
      <c r="V1315" t="str">
        <f t="shared" si="310"/>
        <v>佛山映月湖环宇城|服务量</v>
      </c>
      <c r="W1315">
        <f t="shared" si="311"/>
        <v>1248</v>
      </c>
      <c r="X1315" t="str">
        <f t="shared" si="312"/>
        <v>佛山映月湖环宇城|项目业态分布</v>
      </c>
      <c r="Y1315">
        <f t="shared" si="313"/>
        <v>1307</v>
      </c>
      <c r="Z1315">
        <f>IF($A1315="",0,IF(AND($M1315=1,$A1315=经营数据!$B$3,$J1315=经营数据!$BA$5,OR($I1315=经营数据!$BA$4,COUNTIF(经营数据!$AA$9:$AA$38,$I1315)&gt;0)),1,0))</f>
        <v>0</v>
      </c>
      <c r="AA1315" t="str">
        <f t="shared" si="314"/>
        <v/>
      </c>
      <c r="AB1315" t="str">
        <f t="shared" si="315"/>
        <v/>
      </c>
      <c r="AC1315">
        <f>IF($A1315="",0,IF(COUNTIF($A$2:$A1315,$A1315)=1,1,0))</f>
        <v>0</v>
      </c>
      <c r="AD1315">
        <f t="shared" si="316"/>
        <v>12</v>
      </c>
      <c r="AE1315" t="str">
        <f t="shared" si="317"/>
        <v>佛山映月湖环宇城|项目业态分布-服务（平方米）</v>
      </c>
    </row>
    <row r="1316" spans="1:31" x14ac:dyDescent="0.4">
      <c r="A1316" t="str">
        <f>IF(原始经营数据!$D1317="","",原始经营数据!$D1317)</f>
        <v>华夏中海消费封闭式基础设施证券投资基金</v>
      </c>
      <c r="B1316" t="str">
        <f>IF(原始经营数据!$D1317="","",T(原始经营数据!$E1317))</f>
        <v>佛山映月湖环宇城</v>
      </c>
      <c r="C1316" t="str">
        <f>IF(原始经营数据!$D1317="","",原始经营数据!$F1317)</f>
        <v>2025Q1</v>
      </c>
      <c r="D1316" t="str">
        <f>IF(原始经营数据!$D1317="","",原始经营数据!$H1317)</f>
        <v>销售额</v>
      </c>
      <c r="E1316">
        <f>IF(原始经营数据!$D1317="","",原始经营数据!$I1317)</f>
        <v>26172.42</v>
      </c>
      <c r="F1316" t="str">
        <f>IF(原始经营数据!$D1317="","",T(原始经营数据!$J1317))</f>
        <v>万元</v>
      </c>
      <c r="G1316" t="str">
        <f>IF(原始经营数据!$D1317="","",T(原始经营数据!$K1317))</f>
        <v/>
      </c>
      <c r="H1316" t="str">
        <f>IF(原始经营数据!$D1317="","",原始经营数据!$G1317)</f>
        <v>服务金额</v>
      </c>
      <c r="I1316" t="str">
        <f>IF($A1316="","",IF($B1316&lt;&gt;"",$B1316,IF(COUNTIFS(原始经营数据!$D$3:$D$3001,$A1316,原始经营数据!$E$3:$E$3001,"",原始经营数据!$F$3:$F$3001,$C1316,原始经营数据!$H$3:$H$3001,$D1316,原始经营数据!$K$3:$K$3001,$G1316)&gt;1,"基金整体·来源"&amp;原始经营数据!$A1317,"基金整体")))</f>
        <v>佛山映月湖环宇城</v>
      </c>
      <c r="J1316" t="str">
        <f t="shared" si="303"/>
        <v>季度</v>
      </c>
      <c r="K1316" t="str">
        <f t="shared" si="304"/>
        <v>销售额（万元）</v>
      </c>
      <c r="L1316" t="str">
        <f t="shared" si="305"/>
        <v>佛山映月湖环宇城|销售额（万元）|季度</v>
      </c>
      <c r="M1316">
        <f>IF($A1316="",0,IF(COUNTIF($L$2:$L1316,$L1316)=1,1,0))</f>
        <v>1</v>
      </c>
      <c r="N1316">
        <f t="shared" si="306"/>
        <v>20251</v>
      </c>
      <c r="O1316" t="str">
        <f t="shared" si="307"/>
        <v>华夏中海消费封闭式基础设施证券投资基金|2025Q1|季度</v>
      </c>
      <c r="P1316">
        <f>IF($A1316="",0,IF(COUNTIF($O$2:$O1316,$O1316)=1,1,0))</f>
        <v>0</v>
      </c>
      <c r="Q1316" t="str">
        <f>IF(AND($P1316=1,$A1316=经营数据!$B$3,$J1316=经营数据!$BA$5),COUNTIFS($P$2:$P$3000,1,$A$2:$A$3000,$A1316,$J$2:$J$3000,$J1316,$N$2:$N$3000,"&lt;"&amp;$N1316)+1,"")</f>
        <v/>
      </c>
      <c r="R1316" t="str">
        <f t="shared" si="308"/>
        <v>华夏中海消费封闭式基础设施证券投资基金|佛山映月湖环宇城</v>
      </c>
      <c r="S1316">
        <f>IF($A1316="",0,IF(COUNTIF($R$2:$R1316,$R1316)=1,1,0))</f>
        <v>0</v>
      </c>
      <c r="T1316">
        <f t="shared" si="309"/>
        <v>1244</v>
      </c>
      <c r="U1316" t="str">
        <f>IF($A1316="","",IF($A1316=经营数据!$B$3,COUNTIFS($S$2:$S$3000,1,$A$2:$A$3000,$A1316,$T$2:$T$3000,"&lt;"&amp;$T1316)+1,""))</f>
        <v/>
      </c>
      <c r="V1316" t="str">
        <f t="shared" si="310"/>
        <v>佛山映月湖环宇城|服务金额</v>
      </c>
      <c r="W1316">
        <f t="shared" si="311"/>
        <v>1244</v>
      </c>
      <c r="X1316" t="str">
        <f t="shared" si="312"/>
        <v>佛山映月湖环宇城|销售额</v>
      </c>
      <c r="Y1316">
        <f t="shared" si="313"/>
        <v>1245</v>
      </c>
      <c r="Z1316">
        <f>IF($A1316="",0,IF(AND($M1316=1,$A1316=经营数据!$B$3,$J1316=经营数据!$BA$5,OR($I1316=经营数据!$BA$4,COUNTIF(经营数据!$AA$9:$AA$38,$I1316)&gt;0)),1,0))</f>
        <v>0</v>
      </c>
      <c r="AA1316" t="str">
        <f t="shared" si="314"/>
        <v/>
      </c>
      <c r="AB1316" t="str">
        <f t="shared" si="315"/>
        <v/>
      </c>
      <c r="AC1316">
        <f>IF($A1316="",0,IF(COUNTIF($A$2:$A1316,$A1316)=1,1,0))</f>
        <v>0</v>
      </c>
      <c r="AD1316">
        <f t="shared" si="316"/>
        <v>12</v>
      </c>
      <c r="AE1316" t="str">
        <f t="shared" si="317"/>
        <v>佛山映月湖环宇城|销售额（万元）</v>
      </c>
    </row>
    <row r="1317" spans="1:31" x14ac:dyDescent="0.4">
      <c r="A1317" t="str">
        <f>IF(原始经营数据!$D1318="","",原始经营数据!$D1318)</f>
        <v>华夏中海消费封闭式基础设施证券投资基金</v>
      </c>
      <c r="B1317" t="str">
        <f>IF(原始经营数据!$D1318="","",T(原始经营数据!$E1318))</f>
        <v>佛山映月湖环宇城</v>
      </c>
      <c r="C1317" t="str">
        <f>IF(原始经营数据!$D1318="","",原始经营数据!$F1318)</f>
        <v>2025Q1</v>
      </c>
      <c r="D1317" t="str">
        <f>IF(原始经营数据!$D1318="","",原始经营数据!$H1318)</f>
        <v>新能源汽车销售额</v>
      </c>
      <c r="E1317">
        <f>IF(原始经营数据!$D1318="","",原始经营数据!$I1318)</f>
        <v>4387.8599999999997</v>
      </c>
      <c r="F1317" t="str">
        <f>IF(原始经营数据!$D1318="","",T(原始经营数据!$J1318))</f>
        <v>万元</v>
      </c>
      <c r="G1317" t="str">
        <f>IF(原始经营数据!$D1318="","",T(原始经营数据!$K1318))</f>
        <v/>
      </c>
      <c r="H1317" t="str">
        <f>IF(原始经营数据!$D1318="","",原始经营数据!$G1318)</f>
        <v>服务金额</v>
      </c>
      <c r="I1317" t="str">
        <f>IF($A1317="","",IF($B1317&lt;&gt;"",$B1317,IF(COUNTIFS(原始经营数据!$D$3:$D$3001,$A1317,原始经营数据!$E$3:$E$3001,"",原始经营数据!$F$3:$F$3001,$C1317,原始经营数据!$H$3:$H$3001,$D1317,原始经营数据!$K$3:$K$3001,$G1317)&gt;1,"基金整体·来源"&amp;原始经营数据!$A1318,"基金整体")))</f>
        <v>佛山映月湖环宇城</v>
      </c>
      <c r="J1317" t="str">
        <f t="shared" si="303"/>
        <v>季度</v>
      </c>
      <c r="K1317" t="str">
        <f t="shared" si="304"/>
        <v>新能源汽车销售额（万元）</v>
      </c>
      <c r="L1317" t="str">
        <f t="shared" si="305"/>
        <v>佛山映月湖环宇城|新能源汽车销售额（万元）|季度</v>
      </c>
      <c r="M1317">
        <f>IF($A1317="",0,IF(COUNTIF($L$2:$L1317,$L1317)=1,1,0))</f>
        <v>1</v>
      </c>
      <c r="N1317">
        <f t="shared" si="306"/>
        <v>20251</v>
      </c>
      <c r="O1317" t="str">
        <f t="shared" si="307"/>
        <v>华夏中海消费封闭式基础设施证券投资基金|2025Q1|季度</v>
      </c>
      <c r="P1317">
        <f>IF($A1317="",0,IF(COUNTIF($O$2:$O1317,$O1317)=1,1,0))</f>
        <v>0</v>
      </c>
      <c r="Q1317" t="str">
        <f>IF(AND($P1317=1,$A1317=经营数据!$B$3,$J1317=经营数据!$BA$5),COUNTIFS($P$2:$P$3000,1,$A$2:$A$3000,$A1317,$J$2:$J$3000,$J1317,$N$2:$N$3000,"&lt;"&amp;$N1317)+1,"")</f>
        <v/>
      </c>
      <c r="R1317" t="str">
        <f t="shared" si="308"/>
        <v>华夏中海消费封闭式基础设施证券投资基金|佛山映月湖环宇城</v>
      </c>
      <c r="S1317">
        <f>IF($A1317="",0,IF(COUNTIF($R$2:$R1317,$R1317)=1,1,0))</f>
        <v>0</v>
      </c>
      <c r="T1317">
        <f t="shared" si="309"/>
        <v>1244</v>
      </c>
      <c r="U1317" t="str">
        <f>IF($A1317="","",IF($A1317=经营数据!$B$3,COUNTIFS($S$2:$S$3000,1,$A$2:$A$3000,$A1317,$T$2:$T$3000,"&lt;"&amp;$T1317)+1,""))</f>
        <v/>
      </c>
      <c r="V1317" t="str">
        <f t="shared" si="310"/>
        <v>佛山映月湖环宇城|服务金额</v>
      </c>
      <c r="W1317">
        <f t="shared" si="311"/>
        <v>1244</v>
      </c>
      <c r="X1317" t="str">
        <f t="shared" si="312"/>
        <v>佛山映月湖环宇城|新能源汽车销售额</v>
      </c>
      <c r="Y1317">
        <f t="shared" si="313"/>
        <v>1246</v>
      </c>
      <c r="Z1317">
        <f>IF($A1317="",0,IF(AND($M1317=1,$A1317=经营数据!$B$3,$J1317=经营数据!$BA$5,OR($I1317=经营数据!$BA$4,COUNTIF(经营数据!$AA$9:$AA$38,$I1317)&gt;0)),1,0))</f>
        <v>0</v>
      </c>
      <c r="AA1317" t="str">
        <f t="shared" si="314"/>
        <v/>
      </c>
      <c r="AB1317" t="str">
        <f t="shared" si="315"/>
        <v/>
      </c>
      <c r="AC1317">
        <f>IF($A1317="",0,IF(COUNTIF($A$2:$A1317,$A1317)=1,1,0))</f>
        <v>0</v>
      </c>
      <c r="AD1317">
        <f t="shared" si="316"/>
        <v>12</v>
      </c>
      <c r="AE1317" t="str">
        <f t="shared" si="317"/>
        <v>佛山映月湖环宇城|新能源汽车销售额（万元）</v>
      </c>
    </row>
    <row r="1318" spans="1:31" x14ac:dyDescent="0.4">
      <c r="A1318" t="str">
        <f>IF(原始经营数据!$D1319="","",原始经营数据!$D1319)</f>
        <v>华夏中海消费封闭式基础设施证券投资基金</v>
      </c>
      <c r="B1318" t="str">
        <f>IF(原始经营数据!$D1319="","",T(原始经营数据!$E1319))</f>
        <v>佛山映月湖环宇城</v>
      </c>
      <c r="C1318" t="str">
        <f>IF(原始经营数据!$D1319="","",原始经营数据!$F1319)</f>
        <v>2025Q1</v>
      </c>
      <c r="D1318" t="str">
        <f>IF(原始经营数据!$D1319="","",原始经营数据!$H1319)</f>
        <v>销售额（不含车）</v>
      </c>
      <c r="E1318">
        <f>IF(原始经营数据!$D1319="","",原始经营数据!$I1319)</f>
        <v>21784.560000000001</v>
      </c>
      <c r="F1318" t="str">
        <f>IF(原始经营数据!$D1319="","",T(原始经营数据!$J1319))</f>
        <v>万元</v>
      </c>
      <c r="G1318" t="str">
        <f>IF(原始经营数据!$D1319="","",T(原始经营数据!$K1319))</f>
        <v/>
      </c>
      <c r="H1318" t="str">
        <f>IF(原始经营数据!$D1319="","",原始经营数据!$G1319)</f>
        <v>服务金额</v>
      </c>
      <c r="I1318" t="str">
        <f>IF($A1318="","",IF($B1318&lt;&gt;"",$B1318,IF(COUNTIFS(原始经营数据!$D$3:$D$3001,$A1318,原始经营数据!$E$3:$E$3001,"",原始经营数据!$F$3:$F$3001,$C1318,原始经营数据!$H$3:$H$3001,$D1318,原始经营数据!$K$3:$K$3001,$G1318)&gt;1,"基金整体·来源"&amp;原始经营数据!$A1319,"基金整体")))</f>
        <v>佛山映月湖环宇城</v>
      </c>
      <c r="J1318" t="str">
        <f t="shared" si="303"/>
        <v>季度</v>
      </c>
      <c r="K1318" t="str">
        <f t="shared" si="304"/>
        <v>销售额（不含车）（万元）</v>
      </c>
      <c r="L1318" t="str">
        <f t="shared" si="305"/>
        <v>佛山映月湖环宇城|销售额（不含车）（万元）|季度</v>
      </c>
      <c r="M1318">
        <f>IF($A1318="",0,IF(COUNTIF($L$2:$L1318,$L1318)=1,1,0))</f>
        <v>1</v>
      </c>
      <c r="N1318">
        <f t="shared" si="306"/>
        <v>20251</v>
      </c>
      <c r="O1318" t="str">
        <f t="shared" si="307"/>
        <v>华夏中海消费封闭式基础设施证券投资基金|2025Q1|季度</v>
      </c>
      <c r="P1318">
        <f>IF($A1318="",0,IF(COUNTIF($O$2:$O1318,$O1318)=1,1,0))</f>
        <v>0</v>
      </c>
      <c r="Q1318" t="str">
        <f>IF(AND($P1318=1,$A1318=经营数据!$B$3,$J1318=经营数据!$BA$5),COUNTIFS($P$2:$P$3000,1,$A$2:$A$3000,$A1318,$J$2:$J$3000,$J1318,$N$2:$N$3000,"&lt;"&amp;$N1318)+1,"")</f>
        <v/>
      </c>
      <c r="R1318" t="str">
        <f t="shared" si="308"/>
        <v>华夏中海消费封闭式基础设施证券投资基金|佛山映月湖环宇城</v>
      </c>
      <c r="S1318">
        <f>IF($A1318="",0,IF(COUNTIF($R$2:$R1318,$R1318)=1,1,0))</f>
        <v>0</v>
      </c>
      <c r="T1318">
        <f t="shared" si="309"/>
        <v>1244</v>
      </c>
      <c r="U1318" t="str">
        <f>IF($A1318="","",IF($A1318=经营数据!$B$3,COUNTIFS($S$2:$S$3000,1,$A$2:$A$3000,$A1318,$T$2:$T$3000,"&lt;"&amp;$T1318)+1,""))</f>
        <v/>
      </c>
      <c r="V1318" t="str">
        <f t="shared" si="310"/>
        <v>佛山映月湖环宇城|服务金额</v>
      </c>
      <c r="W1318">
        <f t="shared" si="311"/>
        <v>1244</v>
      </c>
      <c r="X1318" t="str">
        <f t="shared" si="312"/>
        <v>佛山映月湖环宇城|销售额（不含车）</v>
      </c>
      <c r="Y1318">
        <f t="shared" si="313"/>
        <v>1247</v>
      </c>
      <c r="Z1318">
        <f>IF($A1318="",0,IF(AND($M1318=1,$A1318=经营数据!$B$3,$J1318=经营数据!$BA$5,OR($I1318=经营数据!$BA$4,COUNTIF(经营数据!$AA$9:$AA$38,$I1318)&gt;0)),1,0))</f>
        <v>0</v>
      </c>
      <c r="AA1318" t="str">
        <f t="shared" si="314"/>
        <v/>
      </c>
      <c r="AB1318" t="str">
        <f t="shared" si="315"/>
        <v/>
      </c>
      <c r="AC1318">
        <f>IF($A1318="",0,IF(COUNTIF($A$2:$A1318,$A1318)=1,1,0))</f>
        <v>0</v>
      </c>
      <c r="AD1318">
        <f t="shared" si="316"/>
        <v>12</v>
      </c>
      <c r="AE1318" t="str">
        <f t="shared" si="317"/>
        <v>佛山映月湖环宇城|销售额（不含车）（万元）</v>
      </c>
    </row>
    <row r="1319" spans="1:31" x14ac:dyDescent="0.4">
      <c r="A1319" t="str">
        <f>IF(原始经营数据!$D1320="","",原始经营数据!$D1320)</f>
        <v>华夏中海消费封闭式基础设施证券投资基金</v>
      </c>
      <c r="B1319" t="str">
        <f>IF(原始经营数据!$D1320="","",T(原始经营数据!$E1320))</f>
        <v>佛山映月湖环宇城</v>
      </c>
      <c r="C1319" t="str">
        <f>IF(原始经营数据!$D1320="","",原始经营数据!$F1320)</f>
        <v>2025Q1</v>
      </c>
      <c r="D1319" t="str">
        <f>IF(原始经营数据!$D1320="","",原始经营数据!$H1320)</f>
        <v>客流量</v>
      </c>
      <c r="E1319">
        <f>IF(原始经营数据!$D1320="","",原始经营数据!$I1320)</f>
        <v>333.64</v>
      </c>
      <c r="F1319" t="str">
        <f>IF(原始经营数据!$D1320="","",T(原始经营数据!$J1320))</f>
        <v>万人</v>
      </c>
      <c r="G1319" t="str">
        <f>IF(原始经营数据!$D1320="","",T(原始经营数据!$K1320))</f>
        <v/>
      </c>
      <c r="H1319" t="str">
        <f>IF(原始经营数据!$D1320="","",原始经营数据!$G1320)</f>
        <v>服务量</v>
      </c>
      <c r="I1319" t="str">
        <f>IF($A1319="","",IF($B1319&lt;&gt;"",$B1319,IF(COUNTIFS(原始经营数据!$D$3:$D$3001,$A1319,原始经营数据!$E$3:$E$3001,"",原始经营数据!$F$3:$F$3001,$C1319,原始经营数据!$H$3:$H$3001,$D1319,原始经营数据!$K$3:$K$3001,$G1319)&gt;1,"基金整体·来源"&amp;原始经营数据!$A1320,"基金整体")))</f>
        <v>佛山映月湖环宇城</v>
      </c>
      <c r="J1319" t="str">
        <f t="shared" si="303"/>
        <v>季度</v>
      </c>
      <c r="K1319" t="str">
        <f t="shared" si="304"/>
        <v>客流量（万人）</v>
      </c>
      <c r="L1319" t="str">
        <f t="shared" si="305"/>
        <v>佛山映月湖环宇城|客流量（万人）|季度</v>
      </c>
      <c r="M1319">
        <f>IF($A1319="",0,IF(COUNTIF($L$2:$L1319,$L1319)=1,1,0))</f>
        <v>1</v>
      </c>
      <c r="N1319">
        <f t="shared" si="306"/>
        <v>20251</v>
      </c>
      <c r="O1319" t="str">
        <f t="shared" si="307"/>
        <v>华夏中海消费封闭式基础设施证券投资基金|2025Q1|季度</v>
      </c>
      <c r="P1319">
        <f>IF($A1319="",0,IF(COUNTIF($O$2:$O1319,$O1319)=1,1,0))</f>
        <v>0</v>
      </c>
      <c r="Q1319" t="str">
        <f>IF(AND($P1319=1,$A1319=经营数据!$B$3,$J1319=经营数据!$BA$5),COUNTIFS($P$2:$P$3000,1,$A$2:$A$3000,$A1319,$J$2:$J$3000,$J1319,$N$2:$N$3000,"&lt;"&amp;$N1319)+1,"")</f>
        <v/>
      </c>
      <c r="R1319" t="str">
        <f t="shared" si="308"/>
        <v>华夏中海消费封闭式基础设施证券投资基金|佛山映月湖环宇城</v>
      </c>
      <c r="S1319">
        <f>IF($A1319="",0,IF(COUNTIF($R$2:$R1319,$R1319)=1,1,0))</f>
        <v>0</v>
      </c>
      <c r="T1319">
        <f t="shared" si="309"/>
        <v>1244</v>
      </c>
      <c r="U1319" t="str">
        <f>IF($A1319="","",IF($A1319=经营数据!$B$3,COUNTIFS($S$2:$S$3000,1,$A$2:$A$3000,$A1319,$T$2:$T$3000,"&lt;"&amp;$T1319)+1,""))</f>
        <v/>
      </c>
      <c r="V1319" t="str">
        <f t="shared" si="310"/>
        <v>佛山映月湖环宇城|服务量</v>
      </c>
      <c r="W1319">
        <f t="shared" si="311"/>
        <v>1248</v>
      </c>
      <c r="X1319" t="str">
        <f t="shared" si="312"/>
        <v>佛山映月湖环宇城|客流量</v>
      </c>
      <c r="Y1319">
        <f t="shared" si="313"/>
        <v>1254</v>
      </c>
      <c r="Z1319">
        <f>IF($A1319="",0,IF(AND($M1319=1,$A1319=经营数据!$B$3,$J1319=经营数据!$BA$5,OR($I1319=经营数据!$BA$4,COUNTIF(经营数据!$AA$9:$AA$38,$I1319)&gt;0)),1,0))</f>
        <v>0</v>
      </c>
      <c r="AA1319" t="str">
        <f t="shared" si="314"/>
        <v/>
      </c>
      <c r="AB1319" t="str">
        <f t="shared" si="315"/>
        <v/>
      </c>
      <c r="AC1319">
        <f>IF($A1319="",0,IF(COUNTIF($A$2:$A1319,$A1319)=1,1,0))</f>
        <v>0</v>
      </c>
      <c r="AD1319">
        <f t="shared" si="316"/>
        <v>12</v>
      </c>
      <c r="AE1319" t="str">
        <f t="shared" si="317"/>
        <v>佛山映月湖环宇城|客流量（万人）</v>
      </c>
    </row>
    <row r="1320" spans="1:31" x14ac:dyDescent="0.4">
      <c r="A1320" t="str">
        <f>IF(原始经营数据!$D1321="","",原始经营数据!$D1321)</f>
        <v>华夏中海消费封闭式基础设施证券投资基金</v>
      </c>
      <c r="B1320" t="str">
        <f>IF(原始经营数据!$D1321="","",T(原始经营数据!$E1321))</f>
        <v>佛山映月湖环宇城</v>
      </c>
      <c r="C1320" t="str">
        <f>IF(原始经营数据!$D1321="","",原始经营数据!$F1321)</f>
        <v>2025Q1</v>
      </c>
      <c r="D1320" t="str">
        <f>IF(原始经营数据!$D1321="","",原始经营数据!$H1321)</f>
        <v>租售比</v>
      </c>
      <c r="E1320">
        <f>IF(原始经营数据!$D1321="","",原始经营数据!$I1321)</f>
        <v>13.12</v>
      </c>
      <c r="F1320" t="str">
        <f>IF(原始经营数据!$D1321="","",T(原始经营数据!$J1321))</f>
        <v>%</v>
      </c>
      <c r="G1320" t="str">
        <f>IF(原始经营数据!$D1321="","",T(原始经营数据!$K1321))</f>
        <v/>
      </c>
      <c r="H1320" t="str">
        <f>IF(原始经营数据!$D1321="","",原始经营数据!$G1321)</f>
        <v>服务效率</v>
      </c>
      <c r="I1320" t="str">
        <f>IF($A1320="","",IF($B1320&lt;&gt;"",$B1320,IF(COUNTIFS(原始经营数据!$D$3:$D$3001,$A1320,原始经营数据!$E$3:$E$3001,"",原始经营数据!$F$3:$F$3001,$C1320,原始经营数据!$H$3:$H$3001,$D1320,原始经营数据!$K$3:$K$3001,$G1320)&gt;1,"基金整体·来源"&amp;原始经营数据!$A1321,"基金整体")))</f>
        <v>佛山映月湖环宇城</v>
      </c>
      <c r="J1320" t="str">
        <f t="shared" si="303"/>
        <v>季度</v>
      </c>
      <c r="K1320" t="str">
        <f t="shared" si="304"/>
        <v>租售比（%）</v>
      </c>
      <c r="L1320" t="str">
        <f t="shared" si="305"/>
        <v>佛山映月湖环宇城|租售比（%）|季度</v>
      </c>
      <c r="M1320">
        <f>IF($A1320="",0,IF(COUNTIF($L$2:$L1320,$L1320)=1,1,0))</f>
        <v>1</v>
      </c>
      <c r="N1320">
        <f t="shared" si="306"/>
        <v>20251</v>
      </c>
      <c r="O1320" t="str">
        <f t="shared" si="307"/>
        <v>华夏中海消费封闭式基础设施证券投资基金|2025Q1|季度</v>
      </c>
      <c r="P1320">
        <f>IF($A1320="",0,IF(COUNTIF($O$2:$O1320,$O1320)=1,1,0))</f>
        <v>0</v>
      </c>
      <c r="Q1320" t="str">
        <f>IF(AND($P1320=1,$A1320=经营数据!$B$3,$J1320=经营数据!$BA$5),COUNTIFS($P$2:$P$3000,1,$A$2:$A$3000,$A1320,$J$2:$J$3000,$J1320,$N$2:$N$3000,"&lt;"&amp;$N1320)+1,"")</f>
        <v/>
      </c>
      <c r="R1320" t="str">
        <f t="shared" si="308"/>
        <v>华夏中海消费封闭式基础设施证券投资基金|佛山映月湖环宇城</v>
      </c>
      <c r="S1320">
        <f>IF($A1320="",0,IF(COUNTIF($R$2:$R1320,$R1320)=1,1,0))</f>
        <v>0</v>
      </c>
      <c r="T1320">
        <f t="shared" si="309"/>
        <v>1244</v>
      </c>
      <c r="U1320" t="str">
        <f>IF($A1320="","",IF($A1320=经营数据!$B$3,COUNTIFS($S$2:$S$3000,1,$A$2:$A$3000,$A1320,$T$2:$T$3000,"&lt;"&amp;$T1320)+1,""))</f>
        <v/>
      </c>
      <c r="V1320" t="str">
        <f t="shared" si="310"/>
        <v>佛山映月湖环宇城|服务效率</v>
      </c>
      <c r="W1320">
        <f t="shared" si="311"/>
        <v>1253</v>
      </c>
      <c r="X1320" t="str">
        <f t="shared" si="312"/>
        <v>佛山映月湖环宇城|租售比</v>
      </c>
      <c r="Y1320">
        <f t="shared" si="313"/>
        <v>1253</v>
      </c>
      <c r="Z1320">
        <f>IF($A1320="",0,IF(AND($M1320=1,$A1320=经营数据!$B$3,$J1320=经营数据!$BA$5,OR($I1320=经营数据!$BA$4,COUNTIF(经营数据!$AA$9:$AA$38,$I1320)&gt;0)),1,0))</f>
        <v>0</v>
      </c>
      <c r="AA1320" t="str">
        <f t="shared" si="314"/>
        <v/>
      </c>
      <c r="AB1320" t="str">
        <f t="shared" si="315"/>
        <v/>
      </c>
      <c r="AC1320">
        <f>IF($A1320="",0,IF(COUNTIF($A$2:$A1320,$A1320)=1,1,0))</f>
        <v>0</v>
      </c>
      <c r="AD1320">
        <f t="shared" si="316"/>
        <v>12</v>
      </c>
      <c r="AE1320" t="str">
        <f t="shared" si="317"/>
        <v>佛山映月湖环宇城|租售比（%）</v>
      </c>
    </row>
    <row r="1321" spans="1:31" x14ac:dyDescent="0.4">
      <c r="A1321" t="str">
        <f>IF(原始经营数据!$D1322="","",原始经营数据!$D1322)</f>
        <v>华夏中海消费封闭式基础设施证券投资基金</v>
      </c>
      <c r="B1321" t="str">
        <f>IF(原始经营数据!$D1322="","",T(原始经营数据!$E1322))</f>
        <v>佛山映月湖环宇城</v>
      </c>
      <c r="C1321" t="str">
        <f>IF(原始经营数据!$D1322="","",原始经营数据!$F1322)</f>
        <v>2025Q1</v>
      </c>
      <c r="D1321" t="str">
        <f>IF(原始经营数据!$D1322="","",原始经营数据!$H1322)</f>
        <v>月租金坪效</v>
      </c>
      <c r="E1321">
        <f>IF(原始经营数据!$D1322="","",原始经营数据!$I1322)</f>
        <v>141.1</v>
      </c>
      <c r="F1321" t="str">
        <f>IF(原始经营数据!$D1322="","",T(原始经营数据!$J1322))</f>
        <v>元/平方米</v>
      </c>
      <c r="G1321" t="str">
        <f>IF(原始经营数据!$D1322="","",T(原始经营数据!$K1322))</f>
        <v/>
      </c>
      <c r="H1321" t="str">
        <f>IF(原始经营数据!$D1322="","",原始经营数据!$G1322)</f>
        <v>服务价格</v>
      </c>
      <c r="I1321" t="str">
        <f>IF($A1321="","",IF($B1321&lt;&gt;"",$B1321,IF(COUNTIFS(原始经营数据!$D$3:$D$3001,$A1321,原始经营数据!$E$3:$E$3001,"",原始经营数据!$F$3:$F$3001,$C1321,原始经营数据!$H$3:$H$3001,$D1321,原始经营数据!$K$3:$K$3001,$G1321)&gt;1,"基金整体·来源"&amp;原始经营数据!$A1322,"基金整体")))</f>
        <v>佛山映月湖环宇城</v>
      </c>
      <c r="J1321" t="str">
        <f t="shared" si="303"/>
        <v>季度</v>
      </c>
      <c r="K1321" t="str">
        <f t="shared" si="304"/>
        <v>月租金坪效（元/平方米）</v>
      </c>
      <c r="L1321" t="str">
        <f t="shared" si="305"/>
        <v>佛山映月湖环宇城|月租金坪效（元/平方米）|季度</v>
      </c>
      <c r="M1321">
        <f>IF($A1321="",0,IF(COUNTIF($L$2:$L1321,$L1321)=1,1,0))</f>
        <v>1</v>
      </c>
      <c r="N1321">
        <f t="shared" si="306"/>
        <v>20251</v>
      </c>
      <c r="O1321" t="str">
        <f t="shared" si="307"/>
        <v>华夏中海消费封闭式基础设施证券投资基金|2025Q1|季度</v>
      </c>
      <c r="P1321">
        <f>IF($A1321="",0,IF(COUNTIF($O$2:$O1321,$O1321)=1,1,0))</f>
        <v>0</v>
      </c>
      <c r="Q1321" t="str">
        <f>IF(AND($P1321=1,$A1321=经营数据!$B$3,$J1321=经营数据!$BA$5),COUNTIFS($P$2:$P$3000,1,$A$2:$A$3000,$A1321,$J$2:$J$3000,$J1321,$N$2:$N$3000,"&lt;"&amp;$N1321)+1,"")</f>
        <v/>
      </c>
      <c r="R1321" t="str">
        <f t="shared" si="308"/>
        <v>华夏中海消费封闭式基础设施证券投资基金|佛山映月湖环宇城</v>
      </c>
      <c r="S1321">
        <f>IF($A1321="",0,IF(COUNTIF($R$2:$R1321,$R1321)=1,1,0))</f>
        <v>0</v>
      </c>
      <c r="T1321">
        <f t="shared" si="309"/>
        <v>1244</v>
      </c>
      <c r="U1321" t="str">
        <f>IF($A1321="","",IF($A1321=经营数据!$B$3,COUNTIFS($S$2:$S$3000,1,$A$2:$A$3000,$A1321,$T$2:$T$3000,"&lt;"&amp;$T1321)+1,""))</f>
        <v/>
      </c>
      <c r="V1321" t="str">
        <f t="shared" si="310"/>
        <v>佛山映月湖环宇城|服务价格</v>
      </c>
      <c r="W1321">
        <f t="shared" si="311"/>
        <v>1250</v>
      </c>
      <c r="X1321" t="str">
        <f t="shared" si="312"/>
        <v>佛山映月湖环宇城|月租金坪效</v>
      </c>
      <c r="Y1321">
        <f t="shared" si="313"/>
        <v>1256</v>
      </c>
      <c r="Z1321">
        <f>IF($A1321="",0,IF(AND($M1321=1,$A1321=经营数据!$B$3,$J1321=经营数据!$BA$5,OR($I1321=经营数据!$BA$4,COUNTIF(经营数据!$AA$9:$AA$38,$I1321)&gt;0)),1,0))</f>
        <v>0</v>
      </c>
      <c r="AA1321" t="str">
        <f t="shared" si="314"/>
        <v/>
      </c>
      <c r="AB1321" t="str">
        <f t="shared" si="315"/>
        <v/>
      </c>
      <c r="AC1321">
        <f>IF($A1321="",0,IF(COUNTIF($A$2:$A1321,$A1321)=1,1,0))</f>
        <v>0</v>
      </c>
      <c r="AD1321">
        <f t="shared" si="316"/>
        <v>12</v>
      </c>
      <c r="AE1321" t="str">
        <f t="shared" si="317"/>
        <v>佛山映月湖环宇城|月租金坪效（元/平方米）</v>
      </c>
    </row>
    <row r="1322" spans="1:31" x14ac:dyDescent="0.4">
      <c r="A1322" t="str">
        <f>IF(原始经营数据!$D1323="","",原始经营数据!$D1323)</f>
        <v>华夏中海消费封闭式基础设施证券投资基金</v>
      </c>
      <c r="B1322" t="str">
        <f>IF(原始经营数据!$D1323="","",T(原始经营数据!$E1323))</f>
        <v>佛山映月湖环宇城</v>
      </c>
      <c r="C1322" t="str">
        <f>IF(原始经营数据!$D1323="","",原始经营数据!$F1323)</f>
        <v>2025Q1</v>
      </c>
      <c r="D1322" t="str">
        <f>IF(原始经营数据!$D1323="","",原始经营数据!$H1323)</f>
        <v>月销售坪效</v>
      </c>
      <c r="E1322">
        <f>IF(原始经营数据!$D1323="","",原始经营数据!$I1323)</f>
        <v>1217.5</v>
      </c>
      <c r="F1322" t="str">
        <f>IF(原始经营数据!$D1323="","",T(原始经营数据!$J1323))</f>
        <v>元/平方米</v>
      </c>
      <c r="G1322" t="str">
        <f>IF(原始经营数据!$D1323="","",T(原始经营数据!$K1323))</f>
        <v/>
      </c>
      <c r="H1322" t="str">
        <f>IF(原始经营数据!$D1323="","",原始经营数据!$G1323)</f>
        <v>服务价格</v>
      </c>
      <c r="I1322" t="str">
        <f>IF($A1322="","",IF($B1322&lt;&gt;"",$B1322,IF(COUNTIFS(原始经营数据!$D$3:$D$3001,$A1322,原始经营数据!$E$3:$E$3001,"",原始经营数据!$F$3:$F$3001,$C1322,原始经营数据!$H$3:$H$3001,$D1322,原始经营数据!$K$3:$K$3001,$G1322)&gt;1,"基金整体·来源"&amp;原始经营数据!$A1323,"基金整体")))</f>
        <v>佛山映月湖环宇城</v>
      </c>
      <c r="J1322" t="str">
        <f t="shared" si="303"/>
        <v>季度</v>
      </c>
      <c r="K1322" t="str">
        <f t="shared" si="304"/>
        <v>月销售坪效（元/平方米）</v>
      </c>
      <c r="L1322" t="str">
        <f t="shared" si="305"/>
        <v>佛山映月湖环宇城|月销售坪效（元/平方米）|季度</v>
      </c>
      <c r="M1322">
        <f>IF($A1322="",0,IF(COUNTIF($L$2:$L1322,$L1322)=1,1,0))</f>
        <v>1</v>
      </c>
      <c r="N1322">
        <f t="shared" si="306"/>
        <v>20251</v>
      </c>
      <c r="O1322" t="str">
        <f t="shared" si="307"/>
        <v>华夏中海消费封闭式基础设施证券投资基金|2025Q1|季度</v>
      </c>
      <c r="P1322">
        <f>IF($A1322="",0,IF(COUNTIF($O$2:$O1322,$O1322)=1,1,0))</f>
        <v>0</v>
      </c>
      <c r="Q1322" t="str">
        <f>IF(AND($P1322=1,$A1322=经营数据!$B$3,$J1322=经营数据!$BA$5),COUNTIFS($P$2:$P$3000,1,$A$2:$A$3000,$A1322,$J$2:$J$3000,$J1322,$N$2:$N$3000,"&lt;"&amp;$N1322)+1,"")</f>
        <v/>
      </c>
      <c r="R1322" t="str">
        <f t="shared" si="308"/>
        <v>华夏中海消费封闭式基础设施证券投资基金|佛山映月湖环宇城</v>
      </c>
      <c r="S1322">
        <f>IF($A1322="",0,IF(COUNTIF($R$2:$R1322,$R1322)=1,1,0))</f>
        <v>0</v>
      </c>
      <c r="T1322">
        <f t="shared" si="309"/>
        <v>1244</v>
      </c>
      <c r="U1322" t="str">
        <f>IF($A1322="","",IF($A1322=经营数据!$B$3,COUNTIFS($S$2:$S$3000,1,$A$2:$A$3000,$A1322,$T$2:$T$3000,"&lt;"&amp;$T1322)+1,""))</f>
        <v/>
      </c>
      <c r="V1322" t="str">
        <f t="shared" si="310"/>
        <v>佛山映月湖环宇城|服务价格</v>
      </c>
      <c r="W1322">
        <f t="shared" si="311"/>
        <v>1250</v>
      </c>
      <c r="X1322" t="str">
        <f t="shared" si="312"/>
        <v>佛山映月湖环宇城|月销售坪效</v>
      </c>
      <c r="Y1322">
        <f t="shared" si="313"/>
        <v>1250</v>
      </c>
      <c r="Z1322">
        <f>IF($A1322="",0,IF(AND($M1322=1,$A1322=经营数据!$B$3,$J1322=经营数据!$BA$5,OR($I1322=经营数据!$BA$4,COUNTIF(经营数据!$AA$9:$AA$38,$I1322)&gt;0)),1,0))</f>
        <v>0</v>
      </c>
      <c r="AA1322" t="str">
        <f t="shared" si="314"/>
        <v/>
      </c>
      <c r="AB1322" t="str">
        <f t="shared" si="315"/>
        <v/>
      </c>
      <c r="AC1322">
        <f>IF($A1322="",0,IF(COUNTIF($A$2:$A1322,$A1322)=1,1,0))</f>
        <v>0</v>
      </c>
      <c r="AD1322">
        <f t="shared" si="316"/>
        <v>12</v>
      </c>
      <c r="AE1322" t="str">
        <f t="shared" si="317"/>
        <v>佛山映月湖环宇城|月销售坪效（元/平方米）</v>
      </c>
    </row>
    <row r="1323" spans="1:31" x14ac:dyDescent="0.4">
      <c r="A1323" t="str">
        <f>IF(原始经营数据!$D1324="","",原始经营数据!$D1324)</f>
        <v>华夏中海消费封闭式基础设施证券投资基金</v>
      </c>
      <c r="B1323" t="str">
        <f>IF(原始经营数据!$D1324="","",T(原始经营数据!$E1324))</f>
        <v>佛山映月湖环宇城</v>
      </c>
      <c r="C1323" t="str">
        <f>IF(原始经营数据!$D1324="","",原始经营数据!$F1324)</f>
        <v>2025Q1</v>
      </c>
      <c r="D1323" t="str">
        <f>IF(原始经营数据!$D1324="","",原始经营数据!$H1324)</f>
        <v>租金收缴率</v>
      </c>
      <c r="E1323">
        <f>IF(原始经营数据!$D1324="","",原始经营数据!$I1324)</f>
        <v>0.98099999999999998</v>
      </c>
      <c r="F1323" t="str">
        <f>IF(原始经营数据!$D1324="","",T(原始经营数据!$J1324))</f>
        <v>%</v>
      </c>
      <c r="G1323" t="str">
        <f>IF(原始经营数据!$D1324="","",T(原始经营数据!$K1324))</f>
        <v/>
      </c>
      <c r="H1323" t="str">
        <f>IF(原始经营数据!$D1324="","",原始经营数据!$G1324)</f>
        <v>服务效率</v>
      </c>
      <c r="I1323" t="str">
        <f>IF($A1323="","",IF($B1323&lt;&gt;"",$B1323,IF(COUNTIFS(原始经营数据!$D$3:$D$3001,$A1323,原始经营数据!$E$3:$E$3001,"",原始经营数据!$F$3:$F$3001,$C1323,原始经营数据!$H$3:$H$3001,$D1323,原始经营数据!$K$3:$K$3001,$G1323)&gt;1,"基金整体·来源"&amp;原始经营数据!$A1324,"基金整体")))</f>
        <v>佛山映月湖环宇城</v>
      </c>
      <c r="J1323" t="str">
        <f t="shared" si="303"/>
        <v>季度</v>
      </c>
      <c r="K1323" t="str">
        <f t="shared" si="304"/>
        <v>租金收缴率（%）</v>
      </c>
      <c r="L1323" t="str">
        <f t="shared" si="305"/>
        <v>佛山映月湖环宇城|租金收缴率（%）|季度</v>
      </c>
      <c r="M1323">
        <f>IF($A1323="",0,IF(COUNTIF($L$2:$L1323,$L1323)=1,1,0))</f>
        <v>1</v>
      </c>
      <c r="N1323">
        <f t="shared" si="306"/>
        <v>20251</v>
      </c>
      <c r="O1323" t="str">
        <f t="shared" si="307"/>
        <v>华夏中海消费封闭式基础设施证券投资基金|2025Q1|季度</v>
      </c>
      <c r="P1323">
        <f>IF($A1323="",0,IF(COUNTIF($O$2:$O1323,$O1323)=1,1,0))</f>
        <v>0</v>
      </c>
      <c r="Q1323" t="str">
        <f>IF(AND($P1323=1,$A1323=经营数据!$B$3,$J1323=经营数据!$BA$5),COUNTIFS($P$2:$P$3000,1,$A$2:$A$3000,$A1323,$J$2:$J$3000,$J1323,$N$2:$N$3000,"&lt;"&amp;$N1323)+1,"")</f>
        <v/>
      </c>
      <c r="R1323" t="str">
        <f t="shared" si="308"/>
        <v>华夏中海消费封闭式基础设施证券投资基金|佛山映月湖环宇城</v>
      </c>
      <c r="S1323">
        <f>IF($A1323="",0,IF(COUNTIF($R$2:$R1323,$R1323)=1,1,0))</f>
        <v>0</v>
      </c>
      <c r="T1323">
        <f t="shared" si="309"/>
        <v>1244</v>
      </c>
      <c r="U1323" t="str">
        <f>IF($A1323="","",IF($A1323=经营数据!$B$3,COUNTIFS($S$2:$S$3000,1,$A$2:$A$3000,$A1323,$T$2:$T$3000,"&lt;"&amp;$T1323)+1,""))</f>
        <v/>
      </c>
      <c r="V1323" t="str">
        <f t="shared" si="310"/>
        <v>佛山映月湖环宇城|服务效率</v>
      </c>
      <c r="W1323">
        <f t="shared" si="311"/>
        <v>1253</v>
      </c>
      <c r="X1323" t="str">
        <f t="shared" si="312"/>
        <v>佛山映月湖环宇城|租金收缴率</v>
      </c>
      <c r="Y1323">
        <f t="shared" si="313"/>
        <v>1257</v>
      </c>
      <c r="Z1323">
        <f>IF($A1323="",0,IF(AND($M1323=1,$A1323=经营数据!$B$3,$J1323=经营数据!$BA$5,OR($I1323=经营数据!$BA$4,COUNTIF(经营数据!$AA$9:$AA$38,$I1323)&gt;0)),1,0))</f>
        <v>0</v>
      </c>
      <c r="AA1323" t="str">
        <f t="shared" si="314"/>
        <v/>
      </c>
      <c r="AB1323" t="str">
        <f t="shared" si="315"/>
        <v/>
      </c>
      <c r="AC1323">
        <f>IF($A1323="",0,IF(COUNTIF($A$2:$A1323,$A1323)=1,1,0))</f>
        <v>0</v>
      </c>
      <c r="AD1323">
        <f t="shared" si="316"/>
        <v>12</v>
      </c>
      <c r="AE1323" t="str">
        <f t="shared" si="317"/>
        <v>佛山映月湖环宇城|租金收缴率（%）</v>
      </c>
    </row>
    <row r="1324" spans="1:31" x14ac:dyDescent="0.4">
      <c r="A1324" t="str">
        <f>IF(原始经营数据!$D1325="","",原始经营数据!$D1325)</f>
        <v>华夏中海消费封闭式基础设施证券投资基金</v>
      </c>
      <c r="B1324" t="str">
        <f>IF(原始经营数据!$D1325="","",T(原始经营数据!$E1325))</f>
        <v>佛山映月湖环宇城</v>
      </c>
      <c r="C1324" t="str">
        <f>IF(原始经营数据!$D1325="","",原始经营数据!$F1325)</f>
        <v>2025Q1</v>
      </c>
      <c r="D1324" t="str">
        <f>IF(原始经营数据!$D1325="","",原始经营数据!$H1325)</f>
        <v>期末时点出租率</v>
      </c>
      <c r="E1324">
        <f>IF(原始经营数据!$D1325="","",原始经营数据!$I1325)</f>
        <v>97.92</v>
      </c>
      <c r="F1324" t="str">
        <f>IF(原始经营数据!$D1325="","",T(原始经营数据!$J1325))</f>
        <v>%</v>
      </c>
      <c r="G1324" t="str">
        <f>IF(原始经营数据!$D1325="","",T(原始经营数据!$K1325))</f>
        <v/>
      </c>
      <c r="H1324" t="str">
        <f>IF(原始经营数据!$D1325="","",原始经营数据!$G1325)</f>
        <v>服务效率</v>
      </c>
      <c r="I1324" t="str">
        <f>IF($A1324="","",IF($B1324&lt;&gt;"",$B1324,IF(COUNTIFS(原始经营数据!$D$3:$D$3001,$A1324,原始经营数据!$E$3:$E$3001,"",原始经营数据!$F$3:$F$3001,$C1324,原始经营数据!$H$3:$H$3001,$D1324,原始经营数据!$K$3:$K$3001,$G1324)&gt;1,"基金整体·来源"&amp;原始经营数据!$A1325,"基金整体")))</f>
        <v>佛山映月湖环宇城</v>
      </c>
      <c r="J1324" t="str">
        <f t="shared" si="303"/>
        <v>季度</v>
      </c>
      <c r="K1324" t="str">
        <f t="shared" si="304"/>
        <v>期末时点出租率（%）</v>
      </c>
      <c r="L1324" t="str">
        <f t="shared" si="305"/>
        <v>佛山映月湖环宇城|期末时点出租率（%）|季度</v>
      </c>
      <c r="M1324">
        <f>IF($A1324="",0,IF(COUNTIF($L$2:$L1324,$L1324)=1,1,0))</f>
        <v>1</v>
      </c>
      <c r="N1324">
        <f t="shared" si="306"/>
        <v>20251</v>
      </c>
      <c r="O1324" t="str">
        <f t="shared" si="307"/>
        <v>华夏中海消费封闭式基础设施证券投资基金|2025Q1|季度</v>
      </c>
      <c r="P1324">
        <f>IF($A1324="",0,IF(COUNTIF($O$2:$O1324,$O1324)=1,1,0))</f>
        <v>0</v>
      </c>
      <c r="Q1324" t="str">
        <f>IF(AND($P1324=1,$A1324=经营数据!$B$3,$J1324=经营数据!$BA$5),COUNTIFS($P$2:$P$3000,1,$A$2:$A$3000,$A1324,$J$2:$J$3000,$J1324,$N$2:$N$3000,"&lt;"&amp;$N1324)+1,"")</f>
        <v/>
      </c>
      <c r="R1324" t="str">
        <f t="shared" si="308"/>
        <v>华夏中海消费封闭式基础设施证券投资基金|佛山映月湖环宇城</v>
      </c>
      <c r="S1324">
        <f>IF($A1324="",0,IF(COUNTIF($R$2:$R1324,$R1324)=1,1,0))</f>
        <v>0</v>
      </c>
      <c r="T1324">
        <f t="shared" si="309"/>
        <v>1244</v>
      </c>
      <c r="U1324" t="str">
        <f>IF($A1324="","",IF($A1324=经营数据!$B$3,COUNTIFS($S$2:$S$3000,1,$A$2:$A$3000,$A1324,$T$2:$T$3000,"&lt;"&amp;$T1324)+1,""))</f>
        <v/>
      </c>
      <c r="V1324" t="str">
        <f t="shared" si="310"/>
        <v>佛山映月湖环宇城|服务效率</v>
      </c>
      <c r="W1324">
        <f t="shared" si="311"/>
        <v>1253</v>
      </c>
      <c r="X1324" t="str">
        <f t="shared" si="312"/>
        <v>佛山映月湖环宇城|期末时点出租率</v>
      </c>
      <c r="Y1324">
        <f t="shared" si="313"/>
        <v>1258</v>
      </c>
      <c r="Z1324">
        <f>IF($A1324="",0,IF(AND($M1324=1,$A1324=经营数据!$B$3,$J1324=经营数据!$BA$5,OR($I1324=经营数据!$BA$4,COUNTIF(经营数据!$AA$9:$AA$38,$I1324)&gt;0)),1,0))</f>
        <v>0</v>
      </c>
      <c r="AA1324" t="str">
        <f t="shared" si="314"/>
        <v/>
      </c>
      <c r="AB1324" t="str">
        <f t="shared" si="315"/>
        <v/>
      </c>
      <c r="AC1324">
        <f>IF($A1324="",0,IF(COUNTIF($A$2:$A1324,$A1324)=1,1,0))</f>
        <v>0</v>
      </c>
      <c r="AD1324">
        <f t="shared" si="316"/>
        <v>12</v>
      </c>
      <c r="AE1324" t="str">
        <f t="shared" si="317"/>
        <v>佛山映月湖环宇城|期末时点出租率（%）</v>
      </c>
    </row>
    <row r="1325" spans="1:31" x14ac:dyDescent="0.4">
      <c r="A1325" t="str">
        <f>IF(原始经营数据!$D1326="","",原始经营数据!$D1326)</f>
        <v>华夏中海消费封闭式基础设施证券投资基金</v>
      </c>
      <c r="B1325" t="str">
        <f>IF(原始经营数据!$D1326="","",T(原始经营数据!$E1326))</f>
        <v>佛山映月湖环宇城</v>
      </c>
      <c r="C1325" t="str">
        <f>IF(原始经营数据!$D1326="","",原始经营数据!$F1326)</f>
        <v>2025Q1</v>
      </c>
      <c r="D1325" t="str">
        <f>IF(原始经营数据!$D1326="","",原始经营数据!$H1326)</f>
        <v>加权平均出租率</v>
      </c>
      <c r="E1325">
        <f>IF(原始经营数据!$D1326="","",原始经营数据!$I1326)</f>
        <v>97.17</v>
      </c>
      <c r="F1325" t="str">
        <f>IF(原始经营数据!$D1326="","",T(原始经营数据!$J1326))</f>
        <v>%</v>
      </c>
      <c r="G1325" t="str">
        <f>IF(原始经营数据!$D1326="","",T(原始经营数据!$K1326))</f>
        <v/>
      </c>
      <c r="H1325" t="str">
        <f>IF(原始经营数据!$D1326="","",原始经营数据!$G1326)</f>
        <v>服务效率</v>
      </c>
      <c r="I1325" t="str">
        <f>IF($A1325="","",IF($B1325&lt;&gt;"",$B1325,IF(COUNTIFS(原始经营数据!$D$3:$D$3001,$A1325,原始经营数据!$E$3:$E$3001,"",原始经营数据!$F$3:$F$3001,$C1325,原始经营数据!$H$3:$H$3001,$D1325,原始经营数据!$K$3:$K$3001,$G1325)&gt;1,"基金整体·来源"&amp;原始经营数据!$A1326,"基金整体")))</f>
        <v>佛山映月湖环宇城</v>
      </c>
      <c r="J1325" t="str">
        <f t="shared" si="303"/>
        <v>季度</v>
      </c>
      <c r="K1325" t="str">
        <f t="shared" si="304"/>
        <v>加权平均出租率（%）</v>
      </c>
      <c r="L1325" t="str">
        <f t="shared" si="305"/>
        <v>佛山映月湖环宇城|加权平均出租率（%）|季度</v>
      </c>
      <c r="M1325">
        <f>IF($A1325="",0,IF(COUNTIF($L$2:$L1325,$L1325)=1,1,0))</f>
        <v>1</v>
      </c>
      <c r="N1325">
        <f t="shared" si="306"/>
        <v>20251</v>
      </c>
      <c r="O1325" t="str">
        <f t="shared" si="307"/>
        <v>华夏中海消费封闭式基础设施证券投资基金|2025Q1|季度</v>
      </c>
      <c r="P1325">
        <f>IF($A1325="",0,IF(COUNTIF($O$2:$O1325,$O1325)=1,1,0))</f>
        <v>0</v>
      </c>
      <c r="Q1325" t="str">
        <f>IF(AND($P1325=1,$A1325=经营数据!$B$3,$J1325=经营数据!$BA$5),COUNTIFS($P$2:$P$3000,1,$A$2:$A$3000,$A1325,$J$2:$J$3000,$J1325,$N$2:$N$3000,"&lt;"&amp;$N1325)+1,"")</f>
        <v/>
      </c>
      <c r="R1325" t="str">
        <f t="shared" si="308"/>
        <v>华夏中海消费封闭式基础设施证券投资基金|佛山映月湖环宇城</v>
      </c>
      <c r="S1325">
        <f>IF($A1325="",0,IF(COUNTIF($R$2:$R1325,$R1325)=1,1,0))</f>
        <v>0</v>
      </c>
      <c r="T1325">
        <f t="shared" si="309"/>
        <v>1244</v>
      </c>
      <c r="U1325" t="str">
        <f>IF($A1325="","",IF($A1325=经营数据!$B$3,COUNTIFS($S$2:$S$3000,1,$A$2:$A$3000,$A1325,$T$2:$T$3000,"&lt;"&amp;$T1325)+1,""))</f>
        <v/>
      </c>
      <c r="V1325" t="str">
        <f t="shared" si="310"/>
        <v>佛山映月湖环宇城|服务效率</v>
      </c>
      <c r="W1325">
        <f t="shared" si="311"/>
        <v>1253</v>
      </c>
      <c r="X1325" t="str">
        <f t="shared" si="312"/>
        <v>佛山映月湖环宇城|加权平均出租率</v>
      </c>
      <c r="Y1325">
        <f t="shared" si="313"/>
        <v>1259</v>
      </c>
      <c r="Z1325">
        <f>IF($A1325="",0,IF(AND($M1325=1,$A1325=经营数据!$B$3,$J1325=经营数据!$BA$5,OR($I1325=经营数据!$BA$4,COUNTIF(经营数据!$AA$9:$AA$38,$I1325)&gt;0)),1,0))</f>
        <v>0</v>
      </c>
      <c r="AA1325" t="str">
        <f t="shared" si="314"/>
        <v/>
      </c>
      <c r="AB1325" t="str">
        <f t="shared" si="315"/>
        <v/>
      </c>
      <c r="AC1325">
        <f>IF($A1325="",0,IF(COUNTIF($A$2:$A1325,$A1325)=1,1,0))</f>
        <v>0</v>
      </c>
      <c r="AD1325">
        <f t="shared" si="316"/>
        <v>12</v>
      </c>
      <c r="AE1325" t="str">
        <f t="shared" si="317"/>
        <v>佛山映月湖环宇城|加权平均出租率（%）</v>
      </c>
    </row>
    <row r="1326" spans="1:31" x14ac:dyDescent="0.4">
      <c r="A1326" t="str">
        <f>IF(原始经营数据!$D1327="","",原始经营数据!$D1327)</f>
        <v>华夏中海消费封闭式基础设施证券投资基金</v>
      </c>
      <c r="B1326" t="str">
        <f>IF(原始经营数据!$D1327="","",T(原始经营数据!$E1327))</f>
        <v>佛山映月湖环宇城</v>
      </c>
      <c r="C1326" t="str">
        <f>IF(原始经营数据!$D1327="","",原始经营数据!$F1327)</f>
        <v>2025Q1</v>
      </c>
      <c r="D1326" t="str">
        <f>IF(原始经营数据!$D1327="","",原始经营数据!$H1327)</f>
        <v>续租率</v>
      </c>
      <c r="E1326">
        <f>IF(原始经营数据!$D1327="","",原始经营数据!$I1327)</f>
        <v>35.619999999999997</v>
      </c>
      <c r="F1326" t="str">
        <f>IF(原始经营数据!$D1327="","",T(原始经营数据!$J1327))</f>
        <v>%</v>
      </c>
      <c r="G1326" t="str">
        <f>IF(原始经营数据!$D1327="","",T(原始经营数据!$K1327))</f>
        <v/>
      </c>
      <c r="H1326" t="str">
        <f>IF(原始经营数据!$D1327="","",原始经营数据!$G1327)</f>
        <v>服务效率</v>
      </c>
      <c r="I1326" t="str">
        <f>IF($A1326="","",IF($B1326&lt;&gt;"",$B1326,IF(COUNTIFS(原始经营数据!$D$3:$D$3001,$A1326,原始经营数据!$E$3:$E$3001,"",原始经营数据!$F$3:$F$3001,$C1326,原始经营数据!$H$3:$H$3001,$D1326,原始经营数据!$K$3:$K$3001,$G1326)&gt;1,"基金整体·来源"&amp;原始经营数据!$A1327,"基金整体")))</f>
        <v>佛山映月湖环宇城</v>
      </c>
      <c r="J1326" t="str">
        <f t="shared" si="303"/>
        <v>季度</v>
      </c>
      <c r="K1326" t="str">
        <f t="shared" si="304"/>
        <v>续租率（%）</v>
      </c>
      <c r="L1326" t="str">
        <f t="shared" si="305"/>
        <v>佛山映月湖环宇城|续租率（%）|季度</v>
      </c>
      <c r="M1326">
        <f>IF($A1326="",0,IF(COUNTIF($L$2:$L1326,$L1326)=1,1,0))</f>
        <v>1</v>
      </c>
      <c r="N1326">
        <f t="shared" si="306"/>
        <v>20251</v>
      </c>
      <c r="O1326" t="str">
        <f t="shared" si="307"/>
        <v>华夏中海消费封闭式基础设施证券投资基金|2025Q1|季度</v>
      </c>
      <c r="P1326">
        <f>IF($A1326="",0,IF(COUNTIF($O$2:$O1326,$O1326)=1,1,0))</f>
        <v>0</v>
      </c>
      <c r="Q1326" t="str">
        <f>IF(AND($P1326=1,$A1326=经营数据!$B$3,$J1326=经营数据!$BA$5),COUNTIFS($P$2:$P$3000,1,$A$2:$A$3000,$A1326,$J$2:$J$3000,$J1326,$N$2:$N$3000,"&lt;"&amp;$N1326)+1,"")</f>
        <v/>
      </c>
      <c r="R1326" t="str">
        <f t="shared" si="308"/>
        <v>华夏中海消费封闭式基础设施证券投资基金|佛山映月湖环宇城</v>
      </c>
      <c r="S1326">
        <f>IF($A1326="",0,IF(COUNTIF($R$2:$R1326,$R1326)=1,1,0))</f>
        <v>0</v>
      </c>
      <c r="T1326">
        <f t="shared" si="309"/>
        <v>1244</v>
      </c>
      <c r="U1326" t="str">
        <f>IF($A1326="","",IF($A1326=经营数据!$B$3,COUNTIFS($S$2:$S$3000,1,$A$2:$A$3000,$A1326,$T$2:$T$3000,"&lt;"&amp;$T1326)+1,""))</f>
        <v/>
      </c>
      <c r="V1326" t="str">
        <f t="shared" si="310"/>
        <v>佛山映月湖环宇城|服务效率</v>
      </c>
      <c r="W1326">
        <f t="shared" si="311"/>
        <v>1253</v>
      </c>
      <c r="X1326" t="str">
        <f t="shared" si="312"/>
        <v>佛山映月湖环宇城|续租率</v>
      </c>
      <c r="Y1326">
        <f t="shared" si="313"/>
        <v>1260</v>
      </c>
      <c r="Z1326">
        <f>IF($A1326="",0,IF(AND($M1326=1,$A1326=经营数据!$B$3,$J1326=经营数据!$BA$5,OR($I1326=经营数据!$BA$4,COUNTIF(经营数据!$AA$9:$AA$38,$I1326)&gt;0)),1,0))</f>
        <v>0</v>
      </c>
      <c r="AA1326" t="str">
        <f t="shared" si="314"/>
        <v/>
      </c>
      <c r="AB1326" t="str">
        <f t="shared" si="315"/>
        <v/>
      </c>
      <c r="AC1326">
        <f>IF($A1326="",0,IF(COUNTIF($A$2:$A1326,$A1326)=1,1,0))</f>
        <v>0</v>
      </c>
      <c r="AD1326">
        <f t="shared" si="316"/>
        <v>12</v>
      </c>
      <c r="AE1326" t="str">
        <f t="shared" si="317"/>
        <v>佛山映月湖环宇城|续租率（%）</v>
      </c>
    </row>
    <row r="1327" spans="1:31" x14ac:dyDescent="0.4">
      <c r="A1327" t="str">
        <f>IF(原始经营数据!$D1328="","",原始经营数据!$D1328)</f>
        <v>华夏中海消费封闭式基础设施证券投资基金</v>
      </c>
      <c r="B1327" t="str">
        <f>IF(原始经营数据!$D1328="","",T(原始经营数据!$E1328))</f>
        <v>佛山映月湖环宇城</v>
      </c>
      <c r="C1327" t="str">
        <f>IF(原始经营数据!$D1328="","",原始经营数据!$F1328)</f>
        <v>2025Q1</v>
      </c>
      <c r="D1327" t="str">
        <f>IF(原始经营数据!$D1328="","",原始经营数据!$H1328)</f>
        <v>平均固定租金单价（不含税）</v>
      </c>
      <c r="E1327">
        <f>IF(原始经营数据!$D1328="","",原始经营数据!$I1328)</f>
        <v>95.44</v>
      </c>
      <c r="F1327" t="str">
        <f>IF(原始经营数据!$D1328="","",T(原始经营数据!$J1328))</f>
        <v>元/平方米</v>
      </c>
      <c r="G1327" t="str">
        <f>IF(原始经营数据!$D1328="","",T(原始经营数据!$K1328))</f>
        <v/>
      </c>
      <c r="H1327" t="str">
        <f>IF(原始经营数据!$D1328="","",原始经营数据!$G1328)</f>
        <v>服务价格</v>
      </c>
      <c r="I1327" t="str">
        <f>IF($A1327="","",IF($B1327&lt;&gt;"",$B1327,IF(COUNTIFS(原始经营数据!$D$3:$D$3001,$A1327,原始经营数据!$E$3:$E$3001,"",原始经营数据!$F$3:$F$3001,$C1327,原始经营数据!$H$3:$H$3001,$D1327,原始经营数据!$K$3:$K$3001,$G1327)&gt;1,"基金整体·来源"&amp;原始经营数据!$A1328,"基金整体")))</f>
        <v>佛山映月湖环宇城</v>
      </c>
      <c r="J1327" t="str">
        <f t="shared" si="303"/>
        <v>季度</v>
      </c>
      <c r="K1327" t="str">
        <f t="shared" si="304"/>
        <v>平均固定租金单价（不含税）（元/平方米）</v>
      </c>
      <c r="L1327" t="str">
        <f t="shared" si="305"/>
        <v>佛山映月湖环宇城|平均固定租金单价（不含税）（元/平方米）|季度</v>
      </c>
      <c r="M1327">
        <f>IF($A1327="",0,IF(COUNTIF($L$2:$L1327,$L1327)=1,1,0))</f>
        <v>1</v>
      </c>
      <c r="N1327">
        <f t="shared" si="306"/>
        <v>20251</v>
      </c>
      <c r="O1327" t="str">
        <f t="shared" si="307"/>
        <v>华夏中海消费封闭式基础设施证券投资基金|2025Q1|季度</v>
      </c>
      <c r="P1327">
        <f>IF($A1327="",0,IF(COUNTIF($O$2:$O1327,$O1327)=1,1,0))</f>
        <v>0</v>
      </c>
      <c r="Q1327" t="str">
        <f>IF(AND($P1327=1,$A1327=经营数据!$B$3,$J1327=经营数据!$BA$5),COUNTIFS($P$2:$P$3000,1,$A$2:$A$3000,$A1327,$J$2:$J$3000,$J1327,$N$2:$N$3000,"&lt;"&amp;$N1327)+1,"")</f>
        <v/>
      </c>
      <c r="R1327" t="str">
        <f t="shared" si="308"/>
        <v>华夏中海消费封闭式基础设施证券投资基金|佛山映月湖环宇城</v>
      </c>
      <c r="S1327">
        <f>IF($A1327="",0,IF(COUNTIF($R$2:$R1327,$R1327)=1,1,0))</f>
        <v>0</v>
      </c>
      <c r="T1327">
        <f t="shared" si="309"/>
        <v>1244</v>
      </c>
      <c r="U1327" t="str">
        <f>IF($A1327="","",IF($A1327=经营数据!$B$3,COUNTIFS($S$2:$S$3000,1,$A$2:$A$3000,$A1327,$T$2:$T$3000,"&lt;"&amp;$T1327)+1,""))</f>
        <v/>
      </c>
      <c r="V1327" t="str">
        <f t="shared" si="310"/>
        <v>佛山映月湖环宇城|服务价格</v>
      </c>
      <c r="W1327">
        <f t="shared" si="311"/>
        <v>1250</v>
      </c>
      <c r="X1327" t="str">
        <f t="shared" si="312"/>
        <v>佛山映月湖环宇城|平均固定租金单价（不含税）</v>
      </c>
      <c r="Y1327">
        <f t="shared" si="313"/>
        <v>1261</v>
      </c>
      <c r="Z1327">
        <f>IF($A1327="",0,IF(AND($M1327=1,$A1327=经营数据!$B$3,$J1327=经营数据!$BA$5,OR($I1327=经营数据!$BA$4,COUNTIF(经营数据!$AA$9:$AA$38,$I1327)&gt;0)),1,0))</f>
        <v>0</v>
      </c>
      <c r="AA1327" t="str">
        <f t="shared" si="314"/>
        <v/>
      </c>
      <c r="AB1327" t="str">
        <f t="shared" si="315"/>
        <v/>
      </c>
      <c r="AC1327">
        <f>IF($A1327="",0,IF(COUNTIF($A$2:$A1327,$A1327)=1,1,0))</f>
        <v>0</v>
      </c>
      <c r="AD1327">
        <f t="shared" si="316"/>
        <v>12</v>
      </c>
      <c r="AE1327" t="str">
        <f t="shared" si="317"/>
        <v>佛山映月湖环宇城|平均固定租金单价（不含税）（元/平方米）</v>
      </c>
    </row>
    <row r="1328" spans="1:31" x14ac:dyDescent="0.4">
      <c r="A1328" t="str">
        <f>IF(原始经营数据!$D1329="","",原始经营数据!$D1329)</f>
        <v>华夏中海消费封闭式基础设施证券投资基金</v>
      </c>
      <c r="B1328" t="str">
        <f>IF(原始经营数据!$D1329="","",T(原始经营数据!$E1329))</f>
        <v>佛山映月湖环宇城</v>
      </c>
      <c r="C1328" t="str">
        <f>IF(原始经营数据!$D1329="","",原始经营数据!$F1329)</f>
        <v>2025Q1</v>
      </c>
      <c r="D1328" t="str">
        <f>IF(原始经营数据!$D1329="","",原始经营数据!$H1329)</f>
        <v>租户数量</v>
      </c>
      <c r="E1328">
        <f>IF(原始经营数据!$D1329="","",原始经营数据!$I1329)</f>
        <v>11</v>
      </c>
      <c r="F1328" t="str">
        <f>IF(原始经营数据!$D1329="","",T(原始经营数据!$J1329))</f>
        <v/>
      </c>
      <c r="G1328" t="str">
        <f>IF(原始经营数据!$D1329="","",T(原始经营数据!$K1329))</f>
        <v>主力店及次主力店</v>
      </c>
      <c r="H1328" t="str">
        <f>IF(原始经营数据!$D1329="","",原始经营数据!$G1329)</f>
        <v>服务量</v>
      </c>
      <c r="I1328" t="str">
        <f>IF($A1328="","",IF($B1328&lt;&gt;"",$B1328,IF(COUNTIFS(原始经营数据!$D$3:$D$3001,$A1328,原始经营数据!$E$3:$E$3001,"",原始经营数据!$F$3:$F$3001,$C1328,原始经营数据!$H$3:$H$3001,$D1328,原始经营数据!$K$3:$K$3001,$G1328)&gt;1,"基金整体·来源"&amp;原始经营数据!$A1329,"基金整体")))</f>
        <v>佛山映月湖环宇城</v>
      </c>
      <c r="J1328" t="str">
        <f t="shared" si="303"/>
        <v>季度</v>
      </c>
      <c r="K1328" t="str">
        <f t="shared" si="304"/>
        <v>租户数量-主力店及次主力店</v>
      </c>
      <c r="L1328" t="str">
        <f t="shared" si="305"/>
        <v>佛山映月湖环宇城|租户数量-主力店及次主力店|季度</v>
      </c>
      <c r="M1328">
        <f>IF($A1328="",0,IF(COUNTIF($L$2:$L1328,$L1328)=1,1,0))</f>
        <v>1</v>
      </c>
      <c r="N1328">
        <f t="shared" si="306"/>
        <v>20251</v>
      </c>
      <c r="O1328" t="str">
        <f t="shared" si="307"/>
        <v>华夏中海消费封闭式基础设施证券投资基金|2025Q1|季度</v>
      </c>
      <c r="P1328">
        <f>IF($A1328="",0,IF(COUNTIF($O$2:$O1328,$O1328)=1,1,0))</f>
        <v>0</v>
      </c>
      <c r="Q1328" t="str">
        <f>IF(AND($P1328=1,$A1328=经营数据!$B$3,$J1328=经营数据!$BA$5),COUNTIFS($P$2:$P$3000,1,$A$2:$A$3000,$A1328,$J$2:$J$3000,$J1328,$N$2:$N$3000,"&lt;"&amp;$N1328)+1,"")</f>
        <v/>
      </c>
      <c r="R1328" t="str">
        <f t="shared" si="308"/>
        <v>华夏中海消费封闭式基础设施证券投资基金|佛山映月湖环宇城</v>
      </c>
      <c r="S1328">
        <f>IF($A1328="",0,IF(COUNTIF($R$2:$R1328,$R1328)=1,1,0))</f>
        <v>0</v>
      </c>
      <c r="T1328">
        <f t="shared" si="309"/>
        <v>1244</v>
      </c>
      <c r="U1328" t="str">
        <f>IF($A1328="","",IF($A1328=经营数据!$B$3,COUNTIFS($S$2:$S$3000,1,$A$2:$A$3000,$A1328,$T$2:$T$3000,"&lt;"&amp;$T1328)+1,""))</f>
        <v/>
      </c>
      <c r="V1328" t="str">
        <f t="shared" si="310"/>
        <v>佛山映月湖环宇城|服务量</v>
      </c>
      <c r="W1328">
        <f t="shared" si="311"/>
        <v>1248</v>
      </c>
      <c r="X1328" t="str">
        <f t="shared" si="312"/>
        <v>佛山映月湖环宇城|租户数量</v>
      </c>
      <c r="Y1328">
        <f t="shared" si="313"/>
        <v>1248</v>
      </c>
      <c r="Z1328">
        <f>IF($A1328="",0,IF(AND($M1328=1,$A1328=经营数据!$B$3,$J1328=经营数据!$BA$5,OR($I1328=经营数据!$BA$4,COUNTIF(经营数据!$AA$9:$AA$38,$I1328)&gt;0)),1,0))</f>
        <v>0</v>
      </c>
      <c r="AA1328" t="str">
        <f t="shared" si="314"/>
        <v/>
      </c>
      <c r="AB1328" t="str">
        <f t="shared" si="315"/>
        <v/>
      </c>
      <c r="AC1328">
        <f>IF($A1328="",0,IF(COUNTIF($A$2:$A1328,$A1328)=1,1,0))</f>
        <v>0</v>
      </c>
      <c r="AD1328">
        <f t="shared" si="316"/>
        <v>12</v>
      </c>
      <c r="AE1328" t="str">
        <f t="shared" si="317"/>
        <v>佛山映月湖环宇城|租户数量-主力店及次主力店</v>
      </c>
    </row>
    <row r="1329" spans="1:31" x14ac:dyDescent="0.4">
      <c r="A1329" t="str">
        <f>IF(原始经营数据!$D1330="","",原始经营数据!$D1330)</f>
        <v>华夏中海消费封闭式基础设施证券投资基金</v>
      </c>
      <c r="B1329" t="str">
        <f>IF(原始经营数据!$D1330="","",T(原始经营数据!$E1330))</f>
        <v>佛山映月湖环宇城</v>
      </c>
      <c r="C1329" t="str">
        <f>IF(原始经营数据!$D1330="","",原始经营数据!$F1330)</f>
        <v>2025Q1</v>
      </c>
      <c r="D1329" t="str">
        <f>IF(原始经营数据!$D1330="","",原始经营数据!$H1330)</f>
        <v>营业收入（考虑租金减免，不含税）</v>
      </c>
      <c r="E1329">
        <f>IF(原始经营数据!$D1330="","",原始经营数据!$I1330)</f>
        <v>3245.56</v>
      </c>
      <c r="F1329" t="str">
        <f>IF(原始经营数据!$D1330="","",T(原始经营数据!$J1330))</f>
        <v>万元</v>
      </c>
      <c r="G1329" t="str">
        <f>IF(原始经营数据!$D1330="","",T(原始经营数据!$K1330))</f>
        <v/>
      </c>
      <c r="H1329" t="str">
        <f>IF(原始经营数据!$D1330="","",原始经营数据!$G1330)</f>
        <v>服务金额</v>
      </c>
      <c r="I1329" t="str">
        <f>IF($A1329="","",IF($B1329&lt;&gt;"",$B1329,IF(COUNTIFS(原始经营数据!$D$3:$D$3001,$A1329,原始经营数据!$E$3:$E$3001,"",原始经营数据!$F$3:$F$3001,$C1329,原始经营数据!$H$3:$H$3001,$D1329,原始经营数据!$K$3:$K$3001,$G1329)&gt;1,"基金整体·来源"&amp;原始经营数据!$A1330,"基金整体")))</f>
        <v>佛山映月湖环宇城</v>
      </c>
      <c r="J1329" t="str">
        <f t="shared" si="303"/>
        <v>季度</v>
      </c>
      <c r="K1329" t="str">
        <f t="shared" si="304"/>
        <v>营业收入（考虑租金减免，不含税）（万元）</v>
      </c>
      <c r="L1329" t="str">
        <f t="shared" si="305"/>
        <v>佛山映月湖环宇城|营业收入（考虑租金减免，不含税）（万元）|季度</v>
      </c>
      <c r="M1329">
        <f>IF($A1329="",0,IF(COUNTIF($L$2:$L1329,$L1329)=1,1,0))</f>
        <v>1</v>
      </c>
      <c r="N1329">
        <f t="shared" si="306"/>
        <v>20251</v>
      </c>
      <c r="O1329" t="str">
        <f t="shared" si="307"/>
        <v>华夏中海消费封闭式基础设施证券投资基金|2025Q1|季度</v>
      </c>
      <c r="P1329">
        <f>IF($A1329="",0,IF(COUNTIF($O$2:$O1329,$O1329)=1,1,0))</f>
        <v>0</v>
      </c>
      <c r="Q1329" t="str">
        <f>IF(AND($P1329=1,$A1329=经营数据!$B$3,$J1329=经营数据!$BA$5),COUNTIFS($P$2:$P$3000,1,$A$2:$A$3000,$A1329,$J$2:$J$3000,$J1329,$N$2:$N$3000,"&lt;"&amp;$N1329)+1,"")</f>
        <v/>
      </c>
      <c r="R1329" t="str">
        <f t="shared" si="308"/>
        <v>华夏中海消费封闭式基础设施证券投资基金|佛山映月湖环宇城</v>
      </c>
      <c r="S1329">
        <f>IF($A1329="",0,IF(COUNTIF($R$2:$R1329,$R1329)=1,1,0))</f>
        <v>0</v>
      </c>
      <c r="T1329">
        <f t="shared" si="309"/>
        <v>1244</v>
      </c>
      <c r="U1329" t="str">
        <f>IF($A1329="","",IF($A1329=经营数据!$B$3,COUNTIFS($S$2:$S$3000,1,$A$2:$A$3000,$A1329,$T$2:$T$3000,"&lt;"&amp;$T1329)+1,""))</f>
        <v/>
      </c>
      <c r="V1329" t="str">
        <f t="shared" si="310"/>
        <v>佛山映月湖环宇城|服务金额</v>
      </c>
      <c r="W1329">
        <f t="shared" si="311"/>
        <v>1244</v>
      </c>
      <c r="X1329" t="str">
        <f t="shared" si="312"/>
        <v>佛山映月湖环宇城|营业收入（考虑租金减免，不含税）</v>
      </c>
      <c r="Y1329">
        <f t="shared" si="313"/>
        <v>1244</v>
      </c>
      <c r="Z1329">
        <f>IF($A1329="",0,IF(AND($M1329=1,$A1329=经营数据!$B$3,$J1329=经营数据!$BA$5,OR($I1329=经营数据!$BA$4,COUNTIF(经营数据!$AA$9:$AA$38,$I1329)&gt;0)),1,0))</f>
        <v>0</v>
      </c>
      <c r="AA1329" t="str">
        <f t="shared" si="314"/>
        <v/>
      </c>
      <c r="AB1329" t="str">
        <f t="shared" si="315"/>
        <v/>
      </c>
      <c r="AC1329">
        <f>IF($A1329="",0,IF(COUNTIF($A$2:$A1329,$A1329)=1,1,0))</f>
        <v>0</v>
      </c>
      <c r="AD1329">
        <f t="shared" si="316"/>
        <v>12</v>
      </c>
      <c r="AE1329" t="str">
        <f t="shared" si="317"/>
        <v>佛山映月湖环宇城|营业收入（考虑租金减免，不含税）（万元）</v>
      </c>
    </row>
    <row r="1330" spans="1:31" x14ac:dyDescent="0.4">
      <c r="A1330" t="str">
        <f>IF(原始经营数据!$D1331="","",原始经营数据!$D1331)</f>
        <v>华夏中海消费封闭式基础设施证券投资基金</v>
      </c>
      <c r="B1330" t="str">
        <f>IF(原始经营数据!$D1331="","",T(原始经营数据!$E1331))</f>
        <v>佛山映月湖环宇城</v>
      </c>
      <c r="C1330" t="str">
        <f>IF(原始经营数据!$D1331="","",原始经营数据!$F1331)</f>
        <v>2025Q1</v>
      </c>
      <c r="D1330" t="str">
        <f>IF(原始经营数据!$D1331="","",原始经营数据!$H1331)</f>
        <v>营业收入（考虑租金减免，不含税）</v>
      </c>
      <c r="E1330">
        <f>IF(原始经营数据!$D1331="","",原始经营数据!$I1331)</f>
        <v>1873.15</v>
      </c>
      <c r="F1330" t="str">
        <f>IF(原始经营数据!$D1331="","",T(原始经营数据!$J1331))</f>
        <v>万元</v>
      </c>
      <c r="G1330" t="str">
        <f>IF(原始经营数据!$D1331="","",T(原始经营数据!$K1331))</f>
        <v>租赁收入</v>
      </c>
      <c r="H1330" t="str">
        <f>IF(原始经营数据!$D1331="","",原始经营数据!$G1331)</f>
        <v>服务金额</v>
      </c>
      <c r="I1330" t="str">
        <f>IF($A1330="","",IF($B1330&lt;&gt;"",$B1330,IF(COUNTIFS(原始经营数据!$D$3:$D$3001,$A1330,原始经营数据!$E$3:$E$3001,"",原始经营数据!$F$3:$F$3001,$C1330,原始经营数据!$H$3:$H$3001,$D1330,原始经营数据!$K$3:$K$3001,$G1330)&gt;1,"基金整体·来源"&amp;原始经营数据!$A1331,"基金整体")))</f>
        <v>佛山映月湖环宇城</v>
      </c>
      <c r="J1330" t="str">
        <f t="shared" si="303"/>
        <v>季度</v>
      </c>
      <c r="K1330" t="str">
        <f t="shared" si="304"/>
        <v>营业收入（考虑租金减免，不含税）-租赁收入（万元）</v>
      </c>
      <c r="L1330" t="str">
        <f t="shared" si="305"/>
        <v>佛山映月湖环宇城|营业收入（考虑租金减免，不含税）-租赁收入（万元）|季度</v>
      </c>
      <c r="M1330">
        <f>IF($A1330="",0,IF(COUNTIF($L$2:$L1330,$L1330)=1,1,0))</f>
        <v>1</v>
      </c>
      <c r="N1330">
        <f t="shared" si="306"/>
        <v>20251</v>
      </c>
      <c r="O1330" t="str">
        <f t="shared" si="307"/>
        <v>华夏中海消费封闭式基础设施证券投资基金|2025Q1|季度</v>
      </c>
      <c r="P1330">
        <f>IF($A1330="",0,IF(COUNTIF($O$2:$O1330,$O1330)=1,1,0))</f>
        <v>0</v>
      </c>
      <c r="Q1330" t="str">
        <f>IF(AND($P1330=1,$A1330=经营数据!$B$3,$J1330=经营数据!$BA$5),COUNTIFS($P$2:$P$3000,1,$A$2:$A$3000,$A1330,$J$2:$J$3000,$J1330,$N$2:$N$3000,"&lt;"&amp;$N1330)+1,"")</f>
        <v/>
      </c>
      <c r="R1330" t="str">
        <f t="shared" si="308"/>
        <v>华夏中海消费封闭式基础设施证券投资基金|佛山映月湖环宇城</v>
      </c>
      <c r="S1330">
        <f>IF($A1330="",0,IF(COUNTIF($R$2:$R1330,$R1330)=1,1,0))</f>
        <v>0</v>
      </c>
      <c r="T1330">
        <f t="shared" si="309"/>
        <v>1244</v>
      </c>
      <c r="U1330" t="str">
        <f>IF($A1330="","",IF($A1330=经营数据!$B$3,COUNTIFS($S$2:$S$3000,1,$A$2:$A$3000,$A1330,$T$2:$T$3000,"&lt;"&amp;$T1330)+1,""))</f>
        <v/>
      </c>
      <c r="V1330" t="str">
        <f t="shared" si="310"/>
        <v>佛山映月湖环宇城|服务金额</v>
      </c>
      <c r="W1330">
        <f t="shared" si="311"/>
        <v>1244</v>
      </c>
      <c r="X1330" t="str">
        <f t="shared" si="312"/>
        <v>佛山映月湖环宇城|营业收入（考虑租金减免，不含税）</v>
      </c>
      <c r="Y1330">
        <f t="shared" si="313"/>
        <v>1244</v>
      </c>
      <c r="Z1330">
        <f>IF($A1330="",0,IF(AND($M1330=1,$A1330=经营数据!$B$3,$J1330=经营数据!$BA$5,OR($I1330=经营数据!$BA$4,COUNTIF(经营数据!$AA$9:$AA$38,$I1330)&gt;0)),1,0))</f>
        <v>0</v>
      </c>
      <c r="AA1330" t="str">
        <f t="shared" si="314"/>
        <v/>
      </c>
      <c r="AB1330" t="str">
        <f t="shared" si="315"/>
        <v/>
      </c>
      <c r="AC1330">
        <f>IF($A1330="",0,IF(COUNTIF($A$2:$A1330,$A1330)=1,1,0))</f>
        <v>0</v>
      </c>
      <c r="AD1330">
        <f t="shared" si="316"/>
        <v>12</v>
      </c>
      <c r="AE1330" t="str">
        <f t="shared" si="317"/>
        <v>佛山映月湖环宇城|营业收入（考虑租金减免，不含税）-租赁收入（万元）</v>
      </c>
    </row>
    <row r="1331" spans="1:31" x14ac:dyDescent="0.4">
      <c r="A1331" t="str">
        <f>IF(原始经营数据!$D1332="","",原始经营数据!$D1332)</f>
        <v>华夏中海消费封闭式基础设施证券投资基金</v>
      </c>
      <c r="B1331" t="str">
        <f>IF(原始经营数据!$D1332="","",T(原始经营数据!$E1332))</f>
        <v>佛山映月湖环宇城</v>
      </c>
      <c r="C1331" t="str">
        <f>IF(原始经营数据!$D1332="","",原始经营数据!$F1332)</f>
        <v>2025Q1</v>
      </c>
      <c r="D1331" t="str">
        <f>IF(原始经营数据!$D1332="","",原始经营数据!$H1332)</f>
        <v>营业收入（考虑租金减免，不含税）</v>
      </c>
      <c r="E1331">
        <f>IF(原始经营数据!$D1332="","",原始经营数据!$I1332)</f>
        <v>800.02</v>
      </c>
      <c r="F1331" t="str">
        <f>IF(原始经营数据!$D1332="","",T(原始经营数据!$J1332))</f>
        <v>万元</v>
      </c>
      <c r="G1331" t="str">
        <f>IF(原始经营数据!$D1332="","",T(原始经营数据!$K1332))</f>
        <v>物业管理服务及其他收入</v>
      </c>
      <c r="H1331" t="str">
        <f>IF(原始经营数据!$D1332="","",原始经营数据!$G1332)</f>
        <v>服务金额</v>
      </c>
      <c r="I1331" t="str">
        <f>IF($A1331="","",IF($B1331&lt;&gt;"",$B1331,IF(COUNTIFS(原始经营数据!$D$3:$D$3001,$A1331,原始经营数据!$E$3:$E$3001,"",原始经营数据!$F$3:$F$3001,$C1331,原始经营数据!$H$3:$H$3001,$D1331,原始经营数据!$K$3:$K$3001,$G1331)&gt;1,"基金整体·来源"&amp;原始经营数据!$A1332,"基金整体")))</f>
        <v>佛山映月湖环宇城</v>
      </c>
      <c r="J1331" t="str">
        <f t="shared" si="303"/>
        <v>季度</v>
      </c>
      <c r="K1331" t="str">
        <f t="shared" si="304"/>
        <v>营业收入（考虑租金减免，不含税）-物业管理服务及其他收入（万元）</v>
      </c>
      <c r="L1331" t="str">
        <f t="shared" si="305"/>
        <v>佛山映月湖环宇城|营业收入（考虑租金减免，不含税）-物业管理服务及其他收入（万元）|季度</v>
      </c>
      <c r="M1331">
        <f>IF($A1331="",0,IF(COUNTIF($L$2:$L1331,$L1331)=1,1,0))</f>
        <v>1</v>
      </c>
      <c r="N1331">
        <f t="shared" si="306"/>
        <v>20251</v>
      </c>
      <c r="O1331" t="str">
        <f t="shared" si="307"/>
        <v>华夏中海消费封闭式基础设施证券投资基金|2025Q1|季度</v>
      </c>
      <c r="P1331">
        <f>IF($A1331="",0,IF(COUNTIF($O$2:$O1331,$O1331)=1,1,0))</f>
        <v>0</v>
      </c>
      <c r="Q1331" t="str">
        <f>IF(AND($P1331=1,$A1331=经营数据!$B$3,$J1331=经营数据!$BA$5),COUNTIFS($P$2:$P$3000,1,$A$2:$A$3000,$A1331,$J$2:$J$3000,$J1331,$N$2:$N$3000,"&lt;"&amp;$N1331)+1,"")</f>
        <v/>
      </c>
      <c r="R1331" t="str">
        <f t="shared" si="308"/>
        <v>华夏中海消费封闭式基础设施证券投资基金|佛山映月湖环宇城</v>
      </c>
      <c r="S1331">
        <f>IF($A1331="",0,IF(COUNTIF($R$2:$R1331,$R1331)=1,1,0))</f>
        <v>0</v>
      </c>
      <c r="T1331">
        <f t="shared" si="309"/>
        <v>1244</v>
      </c>
      <c r="U1331" t="str">
        <f>IF($A1331="","",IF($A1331=经营数据!$B$3,COUNTIFS($S$2:$S$3000,1,$A$2:$A$3000,$A1331,$T$2:$T$3000,"&lt;"&amp;$T1331)+1,""))</f>
        <v/>
      </c>
      <c r="V1331" t="str">
        <f t="shared" si="310"/>
        <v>佛山映月湖环宇城|服务金额</v>
      </c>
      <c r="W1331">
        <f t="shared" si="311"/>
        <v>1244</v>
      </c>
      <c r="X1331" t="str">
        <f t="shared" si="312"/>
        <v>佛山映月湖环宇城|营业收入（考虑租金减免，不含税）</v>
      </c>
      <c r="Y1331">
        <f t="shared" si="313"/>
        <v>1244</v>
      </c>
      <c r="Z1331">
        <f>IF($A1331="",0,IF(AND($M1331=1,$A1331=经营数据!$B$3,$J1331=经营数据!$BA$5,OR($I1331=经营数据!$BA$4,COUNTIF(经营数据!$AA$9:$AA$38,$I1331)&gt;0)),1,0))</f>
        <v>0</v>
      </c>
      <c r="AA1331" t="str">
        <f t="shared" si="314"/>
        <v/>
      </c>
      <c r="AB1331" t="str">
        <f t="shared" si="315"/>
        <v/>
      </c>
      <c r="AC1331">
        <f>IF($A1331="",0,IF(COUNTIF($A$2:$A1331,$A1331)=1,1,0))</f>
        <v>0</v>
      </c>
      <c r="AD1331">
        <f t="shared" si="316"/>
        <v>12</v>
      </c>
      <c r="AE1331" t="str">
        <f t="shared" si="317"/>
        <v>佛山映月湖环宇城|营业收入（考虑租金减免，不含税）-物业管理服务及其他收入（万元）</v>
      </c>
    </row>
    <row r="1332" spans="1:31" x14ac:dyDescent="0.4">
      <c r="A1332" t="str">
        <f>IF(原始经营数据!$D1333="","",原始经营数据!$D1333)</f>
        <v>华夏中海消费封闭式基础设施证券投资基金</v>
      </c>
      <c r="B1332" t="str">
        <f>IF(原始经营数据!$D1333="","",T(原始经营数据!$E1333))</f>
        <v>佛山映月湖环宇城</v>
      </c>
      <c r="C1332" t="str">
        <f>IF(原始经营数据!$D1333="","",原始经营数据!$F1333)</f>
        <v>2025Q1</v>
      </c>
      <c r="D1332" t="str">
        <f>IF(原始经营数据!$D1333="","",原始经营数据!$H1333)</f>
        <v>营业收入（考虑租金减免，不含税）</v>
      </c>
      <c r="E1332">
        <f>IF(原始经营数据!$D1333="","",原始经营数据!$I1333)</f>
        <v>459.66</v>
      </c>
      <c r="F1332" t="str">
        <f>IF(原始经营数据!$D1333="","",T(原始经营数据!$J1333))</f>
        <v>万元</v>
      </c>
      <c r="G1332" t="str">
        <f>IF(原始经营数据!$D1333="","",T(原始经营数据!$K1333))</f>
        <v>电影放映服务收入</v>
      </c>
      <c r="H1332" t="str">
        <f>IF(原始经营数据!$D1333="","",原始经营数据!$G1333)</f>
        <v>服务金额</v>
      </c>
      <c r="I1332" t="str">
        <f>IF($A1332="","",IF($B1332&lt;&gt;"",$B1332,IF(COUNTIFS(原始经营数据!$D$3:$D$3001,$A1332,原始经营数据!$E$3:$E$3001,"",原始经营数据!$F$3:$F$3001,$C1332,原始经营数据!$H$3:$H$3001,$D1332,原始经营数据!$K$3:$K$3001,$G1332)&gt;1,"基金整体·来源"&amp;原始经营数据!$A1333,"基金整体")))</f>
        <v>佛山映月湖环宇城</v>
      </c>
      <c r="J1332" t="str">
        <f t="shared" si="303"/>
        <v>季度</v>
      </c>
      <c r="K1332" t="str">
        <f t="shared" si="304"/>
        <v>营业收入（考虑租金减免，不含税）-电影放映服务收入（万元）</v>
      </c>
      <c r="L1332" t="str">
        <f t="shared" si="305"/>
        <v>佛山映月湖环宇城|营业收入（考虑租金减免，不含税）-电影放映服务收入（万元）|季度</v>
      </c>
      <c r="M1332">
        <f>IF($A1332="",0,IF(COUNTIF($L$2:$L1332,$L1332)=1,1,0))</f>
        <v>1</v>
      </c>
      <c r="N1332">
        <f t="shared" si="306"/>
        <v>20251</v>
      </c>
      <c r="O1332" t="str">
        <f t="shared" si="307"/>
        <v>华夏中海消费封闭式基础设施证券投资基金|2025Q1|季度</v>
      </c>
      <c r="P1332">
        <f>IF($A1332="",0,IF(COUNTIF($O$2:$O1332,$O1332)=1,1,0))</f>
        <v>0</v>
      </c>
      <c r="Q1332" t="str">
        <f>IF(AND($P1332=1,$A1332=经营数据!$B$3,$J1332=经营数据!$BA$5),COUNTIFS($P$2:$P$3000,1,$A$2:$A$3000,$A1332,$J$2:$J$3000,$J1332,$N$2:$N$3000,"&lt;"&amp;$N1332)+1,"")</f>
        <v/>
      </c>
      <c r="R1332" t="str">
        <f t="shared" si="308"/>
        <v>华夏中海消费封闭式基础设施证券投资基金|佛山映月湖环宇城</v>
      </c>
      <c r="S1332">
        <f>IF($A1332="",0,IF(COUNTIF($R$2:$R1332,$R1332)=1,1,0))</f>
        <v>0</v>
      </c>
      <c r="T1332">
        <f t="shared" si="309"/>
        <v>1244</v>
      </c>
      <c r="U1332" t="str">
        <f>IF($A1332="","",IF($A1332=经营数据!$B$3,COUNTIFS($S$2:$S$3000,1,$A$2:$A$3000,$A1332,$T$2:$T$3000,"&lt;"&amp;$T1332)+1,""))</f>
        <v/>
      </c>
      <c r="V1332" t="str">
        <f t="shared" si="310"/>
        <v>佛山映月湖环宇城|服务金额</v>
      </c>
      <c r="W1332">
        <f t="shared" si="311"/>
        <v>1244</v>
      </c>
      <c r="X1332" t="str">
        <f t="shared" si="312"/>
        <v>佛山映月湖环宇城|营业收入（考虑租金减免，不含税）</v>
      </c>
      <c r="Y1332">
        <f t="shared" si="313"/>
        <v>1244</v>
      </c>
      <c r="Z1332">
        <f>IF($A1332="",0,IF(AND($M1332=1,$A1332=经营数据!$B$3,$J1332=经营数据!$BA$5,OR($I1332=经营数据!$BA$4,COUNTIF(经营数据!$AA$9:$AA$38,$I1332)&gt;0)),1,0))</f>
        <v>0</v>
      </c>
      <c r="AA1332" t="str">
        <f t="shared" si="314"/>
        <v/>
      </c>
      <c r="AB1332" t="str">
        <f t="shared" si="315"/>
        <v/>
      </c>
      <c r="AC1332">
        <f>IF($A1332="",0,IF(COUNTIF($A$2:$A1332,$A1332)=1,1,0))</f>
        <v>0</v>
      </c>
      <c r="AD1332">
        <f t="shared" si="316"/>
        <v>12</v>
      </c>
      <c r="AE1332" t="str">
        <f t="shared" si="317"/>
        <v>佛山映月湖环宇城|营业收入（考虑租金减免，不含税）-电影放映服务收入（万元）</v>
      </c>
    </row>
    <row r="1333" spans="1:31" x14ac:dyDescent="0.4">
      <c r="A1333" t="str">
        <f>IF(原始经营数据!$D1334="","",原始经营数据!$D1334)</f>
        <v>华夏中海消费封闭式基础设施证券投资基金</v>
      </c>
      <c r="B1333" t="str">
        <f>IF(原始经营数据!$D1334="","",T(原始经营数据!$E1334))</f>
        <v>佛山映月湖环宇城</v>
      </c>
      <c r="C1333" t="str">
        <f>IF(原始经营数据!$D1334="","",原始经营数据!$F1334)</f>
        <v>2025Q1</v>
      </c>
      <c r="D1333" t="str">
        <f>IF(原始经营数据!$D1334="","",原始经营数据!$H1334)</f>
        <v>营业收入（考虑租金减免，不含税）</v>
      </c>
      <c r="E1333">
        <f>IF(原始经营数据!$D1334="","",原始经营数据!$I1334)</f>
        <v>112.72</v>
      </c>
      <c r="F1333" t="str">
        <f>IF(原始经营数据!$D1334="","",T(原始经营数据!$J1334))</f>
        <v>万元</v>
      </c>
      <c r="G1333" t="str">
        <f>IF(原始经营数据!$D1334="","",T(原始经营数据!$K1334))</f>
        <v>推广服务收入</v>
      </c>
      <c r="H1333" t="str">
        <f>IF(原始经营数据!$D1334="","",原始经营数据!$G1334)</f>
        <v>服务金额</v>
      </c>
      <c r="I1333" t="str">
        <f>IF($A1333="","",IF($B1333&lt;&gt;"",$B1333,IF(COUNTIFS(原始经营数据!$D$3:$D$3001,$A1333,原始经营数据!$E$3:$E$3001,"",原始经营数据!$F$3:$F$3001,$C1333,原始经营数据!$H$3:$H$3001,$D1333,原始经营数据!$K$3:$K$3001,$G1333)&gt;1,"基金整体·来源"&amp;原始经营数据!$A1334,"基金整体")))</f>
        <v>佛山映月湖环宇城</v>
      </c>
      <c r="J1333" t="str">
        <f t="shared" si="303"/>
        <v>季度</v>
      </c>
      <c r="K1333" t="str">
        <f t="shared" si="304"/>
        <v>营业收入（考虑租金减免，不含税）-推广服务收入（万元）</v>
      </c>
      <c r="L1333" t="str">
        <f t="shared" si="305"/>
        <v>佛山映月湖环宇城|营业收入（考虑租金减免，不含税）-推广服务收入（万元）|季度</v>
      </c>
      <c r="M1333">
        <f>IF($A1333="",0,IF(COUNTIF($L$2:$L1333,$L1333)=1,1,0))</f>
        <v>1</v>
      </c>
      <c r="N1333">
        <f t="shared" si="306"/>
        <v>20251</v>
      </c>
      <c r="O1333" t="str">
        <f t="shared" si="307"/>
        <v>华夏中海消费封闭式基础设施证券投资基金|2025Q1|季度</v>
      </c>
      <c r="P1333">
        <f>IF($A1333="",0,IF(COUNTIF($O$2:$O1333,$O1333)=1,1,0))</f>
        <v>0</v>
      </c>
      <c r="Q1333" t="str">
        <f>IF(AND($P1333=1,$A1333=经营数据!$B$3,$J1333=经营数据!$BA$5),COUNTIFS($P$2:$P$3000,1,$A$2:$A$3000,$A1333,$J$2:$J$3000,$J1333,$N$2:$N$3000,"&lt;"&amp;$N1333)+1,"")</f>
        <v/>
      </c>
      <c r="R1333" t="str">
        <f t="shared" si="308"/>
        <v>华夏中海消费封闭式基础设施证券投资基金|佛山映月湖环宇城</v>
      </c>
      <c r="S1333">
        <f>IF($A1333="",0,IF(COUNTIF($R$2:$R1333,$R1333)=1,1,0))</f>
        <v>0</v>
      </c>
      <c r="T1333">
        <f t="shared" si="309"/>
        <v>1244</v>
      </c>
      <c r="U1333" t="str">
        <f>IF($A1333="","",IF($A1333=经营数据!$B$3,COUNTIFS($S$2:$S$3000,1,$A$2:$A$3000,$A1333,$T$2:$T$3000,"&lt;"&amp;$T1333)+1,""))</f>
        <v/>
      </c>
      <c r="V1333" t="str">
        <f t="shared" si="310"/>
        <v>佛山映月湖环宇城|服务金额</v>
      </c>
      <c r="W1333">
        <f t="shared" si="311"/>
        <v>1244</v>
      </c>
      <c r="X1333" t="str">
        <f t="shared" si="312"/>
        <v>佛山映月湖环宇城|营业收入（考虑租金减免，不含税）</v>
      </c>
      <c r="Y1333">
        <f t="shared" si="313"/>
        <v>1244</v>
      </c>
      <c r="Z1333">
        <f>IF($A1333="",0,IF(AND($M1333=1,$A1333=经营数据!$B$3,$J1333=经营数据!$BA$5,OR($I1333=经营数据!$BA$4,COUNTIF(经营数据!$AA$9:$AA$38,$I1333)&gt;0)),1,0))</f>
        <v>0</v>
      </c>
      <c r="AA1333" t="str">
        <f t="shared" si="314"/>
        <v/>
      </c>
      <c r="AB1333" t="str">
        <f t="shared" si="315"/>
        <v/>
      </c>
      <c r="AC1333">
        <f>IF($A1333="",0,IF(COUNTIF($A$2:$A1333,$A1333)=1,1,0))</f>
        <v>0</v>
      </c>
      <c r="AD1333">
        <f t="shared" si="316"/>
        <v>12</v>
      </c>
      <c r="AE1333" t="str">
        <f t="shared" si="317"/>
        <v>佛山映月湖环宇城|营业收入（考虑租金减免，不含税）-推广服务收入（万元）</v>
      </c>
    </row>
    <row r="1334" spans="1:31" x14ac:dyDescent="0.4">
      <c r="A1334" t="str">
        <f>IF(原始经营数据!$D1335="","",原始经营数据!$D1335)</f>
        <v>华夏中海消费封闭式基础设施证券投资基金</v>
      </c>
      <c r="B1334" t="str">
        <f>IF(原始经营数据!$D1335="","",T(原始经营数据!$E1335))</f>
        <v>佛山映月湖环宇城</v>
      </c>
      <c r="C1334" t="str">
        <f>IF(原始经营数据!$D1335="","",原始经营数据!$F1335)</f>
        <v>2025Q4</v>
      </c>
      <c r="D1334" t="str">
        <f>IF(原始经营数据!$D1335="","",原始经营数据!$H1335)</f>
        <v>期末出租率</v>
      </c>
      <c r="E1334">
        <f>IF(原始经营数据!$D1335="","",原始经营数据!$I1335)</f>
        <v>99.27</v>
      </c>
      <c r="F1334" t="str">
        <f>IF(原始经营数据!$D1335="","",T(原始经营数据!$J1335))</f>
        <v>%</v>
      </c>
      <c r="G1334" t="str">
        <f>IF(原始经营数据!$D1335="","",T(原始经营数据!$K1335))</f>
        <v/>
      </c>
      <c r="H1334" t="str">
        <f>IF(原始经营数据!$D1335="","",原始经营数据!$G1335)</f>
        <v>服务效率</v>
      </c>
      <c r="I1334" t="str">
        <f>IF($A1334="","",IF($B1334&lt;&gt;"",$B1334,IF(COUNTIFS(原始经营数据!$D$3:$D$3001,$A1334,原始经营数据!$E$3:$E$3001,"",原始经营数据!$F$3:$F$3001,$C1334,原始经营数据!$H$3:$H$3001,$D1334,原始经营数据!$K$3:$K$3001,$G1334)&gt;1,"基金整体·来源"&amp;原始经营数据!$A1335,"基金整体")))</f>
        <v>佛山映月湖环宇城</v>
      </c>
      <c r="J1334" t="str">
        <f t="shared" si="303"/>
        <v>季度</v>
      </c>
      <c r="K1334" t="str">
        <f t="shared" si="304"/>
        <v>期末出租率（%）</v>
      </c>
      <c r="L1334" t="str">
        <f t="shared" si="305"/>
        <v>佛山映月湖环宇城|期末出租率（%）|季度</v>
      </c>
      <c r="M1334">
        <f>IF($A1334="",0,IF(COUNTIF($L$2:$L1334,$L1334)=1,1,0))</f>
        <v>1</v>
      </c>
      <c r="N1334">
        <f t="shared" si="306"/>
        <v>20254</v>
      </c>
      <c r="O1334" t="str">
        <f t="shared" si="307"/>
        <v>华夏中海消费封闭式基础设施证券投资基金|2025Q4|季度</v>
      </c>
      <c r="P1334">
        <f>IF($A1334="",0,IF(COUNTIF($O$2:$O1334,$O1334)=1,1,0))</f>
        <v>1</v>
      </c>
      <c r="Q1334" t="str">
        <f>IF(AND($P1334=1,$A1334=经营数据!$B$3,$J1334=经营数据!$BA$5),COUNTIFS($P$2:$P$3000,1,$A$2:$A$3000,$A1334,$J$2:$J$3000,$J1334,$N$2:$N$3000,"&lt;"&amp;$N1334)+1,"")</f>
        <v/>
      </c>
      <c r="R1334" t="str">
        <f t="shared" si="308"/>
        <v>华夏中海消费封闭式基础设施证券投资基金|佛山映月湖环宇城</v>
      </c>
      <c r="S1334">
        <f>IF($A1334="",0,IF(COUNTIF($R$2:$R1334,$R1334)=1,1,0))</f>
        <v>0</v>
      </c>
      <c r="T1334">
        <f t="shared" si="309"/>
        <v>1244</v>
      </c>
      <c r="U1334" t="str">
        <f>IF($A1334="","",IF($A1334=经营数据!$B$3,COUNTIFS($S$2:$S$3000,1,$A$2:$A$3000,$A1334,$T$2:$T$3000,"&lt;"&amp;$T1334)+1,""))</f>
        <v/>
      </c>
      <c r="V1334" t="str">
        <f t="shared" si="310"/>
        <v>佛山映月湖环宇城|服务效率</v>
      </c>
      <c r="W1334">
        <f t="shared" si="311"/>
        <v>1253</v>
      </c>
      <c r="X1334" t="str">
        <f t="shared" si="312"/>
        <v>佛山映月湖环宇城|期末出租率</v>
      </c>
      <c r="Y1334">
        <f t="shared" si="313"/>
        <v>1333</v>
      </c>
      <c r="Z1334">
        <f>IF($A1334="",0,IF(AND($M1334=1,$A1334=经营数据!$B$3,$J1334=经营数据!$BA$5,OR($I1334=经营数据!$BA$4,COUNTIF(经营数据!$AA$9:$AA$38,$I1334)&gt;0)),1,0))</f>
        <v>0</v>
      </c>
      <c r="AA1334" t="str">
        <f t="shared" si="314"/>
        <v/>
      </c>
      <c r="AB1334" t="str">
        <f t="shared" si="315"/>
        <v/>
      </c>
      <c r="AC1334">
        <f>IF($A1334="",0,IF(COUNTIF($A$2:$A1334,$A1334)=1,1,0))</f>
        <v>0</v>
      </c>
      <c r="AD1334">
        <f t="shared" si="316"/>
        <v>12</v>
      </c>
      <c r="AE1334" t="str">
        <f t="shared" si="317"/>
        <v>佛山映月湖环宇城|期末出租率（%）</v>
      </c>
    </row>
    <row r="1335" spans="1:31" x14ac:dyDescent="0.4">
      <c r="A1335" t="str">
        <f>IF(原始经营数据!$D1336="","",原始经营数据!$D1336)</f>
        <v>华夏中海消费封闭式基础设施证券投资基金</v>
      </c>
      <c r="B1335" t="str">
        <f>IF(原始经营数据!$D1336="","",T(原始经营数据!$E1336))</f>
        <v>佛山映月湖环宇城</v>
      </c>
      <c r="C1335" t="str">
        <f>IF(原始经营数据!$D1336="","",原始经营数据!$F1336)</f>
        <v>2025Q4</v>
      </c>
      <c r="D1335" t="str">
        <f>IF(原始经营数据!$D1336="","",原始经营数据!$H1336)</f>
        <v>期内租金单价水平</v>
      </c>
      <c r="E1335">
        <f>IF(原始经营数据!$D1336="","",原始经营数据!$I1336)</f>
        <v>161.63</v>
      </c>
      <c r="F1335" t="str">
        <f>IF(原始经营数据!$D1336="","",T(原始经营数据!$J1336))</f>
        <v>元/平方米/月</v>
      </c>
      <c r="G1335" t="str">
        <f>IF(原始经营数据!$D1336="","",T(原始经营数据!$K1336))</f>
        <v/>
      </c>
      <c r="H1335" t="str">
        <f>IF(原始经营数据!$D1336="","",原始经营数据!$G1336)</f>
        <v>服务价格</v>
      </c>
      <c r="I1335" t="str">
        <f>IF($A1335="","",IF($B1335&lt;&gt;"",$B1335,IF(COUNTIFS(原始经营数据!$D$3:$D$3001,$A1335,原始经营数据!$E$3:$E$3001,"",原始经营数据!$F$3:$F$3001,$C1335,原始经营数据!$H$3:$H$3001,$D1335,原始经营数据!$K$3:$K$3001,$G1335)&gt;1,"基金整体·来源"&amp;原始经营数据!$A1336,"基金整体")))</f>
        <v>佛山映月湖环宇城</v>
      </c>
      <c r="J1335" t="str">
        <f t="shared" si="303"/>
        <v>季度</v>
      </c>
      <c r="K1335" t="str">
        <f t="shared" si="304"/>
        <v>期内租金单价水平（元/平方米/月）</v>
      </c>
      <c r="L1335" t="str">
        <f t="shared" si="305"/>
        <v>佛山映月湖环宇城|期内租金单价水平（元/平方米/月）|季度</v>
      </c>
      <c r="M1335">
        <f>IF($A1335="",0,IF(COUNTIF($L$2:$L1335,$L1335)=1,1,0))</f>
        <v>1</v>
      </c>
      <c r="N1335">
        <f t="shared" si="306"/>
        <v>20254</v>
      </c>
      <c r="O1335" t="str">
        <f t="shared" si="307"/>
        <v>华夏中海消费封闭式基础设施证券投资基金|2025Q4|季度</v>
      </c>
      <c r="P1335">
        <f>IF($A1335="",0,IF(COUNTIF($O$2:$O1335,$O1335)=1,1,0))</f>
        <v>0</v>
      </c>
      <c r="Q1335" t="str">
        <f>IF(AND($P1335=1,$A1335=经营数据!$B$3,$J1335=经营数据!$BA$5),COUNTIFS($P$2:$P$3000,1,$A$2:$A$3000,$A1335,$J$2:$J$3000,$J1335,$N$2:$N$3000,"&lt;"&amp;$N1335)+1,"")</f>
        <v/>
      </c>
      <c r="R1335" t="str">
        <f t="shared" si="308"/>
        <v>华夏中海消费封闭式基础设施证券投资基金|佛山映月湖环宇城</v>
      </c>
      <c r="S1335">
        <f>IF($A1335="",0,IF(COUNTIF($R$2:$R1335,$R1335)=1,1,0))</f>
        <v>0</v>
      </c>
      <c r="T1335">
        <f t="shared" si="309"/>
        <v>1244</v>
      </c>
      <c r="U1335" t="str">
        <f>IF($A1335="","",IF($A1335=经营数据!$B$3,COUNTIFS($S$2:$S$3000,1,$A$2:$A$3000,$A1335,$T$2:$T$3000,"&lt;"&amp;$T1335)+1,""))</f>
        <v/>
      </c>
      <c r="V1335" t="str">
        <f t="shared" si="310"/>
        <v>佛山映月湖环宇城|服务价格</v>
      </c>
      <c r="W1335">
        <f t="shared" si="311"/>
        <v>1250</v>
      </c>
      <c r="X1335" t="str">
        <f t="shared" si="312"/>
        <v>佛山映月湖环宇城|期内租金单价水平</v>
      </c>
      <c r="Y1335">
        <f t="shared" si="313"/>
        <v>1334</v>
      </c>
      <c r="Z1335">
        <f>IF($A1335="",0,IF(AND($M1335=1,$A1335=经营数据!$B$3,$J1335=经营数据!$BA$5,OR($I1335=经营数据!$BA$4,COUNTIF(经营数据!$AA$9:$AA$38,$I1335)&gt;0)),1,0))</f>
        <v>0</v>
      </c>
      <c r="AA1335" t="str">
        <f t="shared" si="314"/>
        <v/>
      </c>
      <c r="AB1335" t="str">
        <f t="shared" si="315"/>
        <v/>
      </c>
      <c r="AC1335">
        <f>IF($A1335="",0,IF(COUNTIF($A$2:$A1335,$A1335)=1,1,0))</f>
        <v>0</v>
      </c>
      <c r="AD1335">
        <f t="shared" si="316"/>
        <v>12</v>
      </c>
      <c r="AE1335" t="str">
        <f t="shared" si="317"/>
        <v>佛山映月湖环宇城|期内租金单价水平（元/平方米/月）</v>
      </c>
    </row>
    <row r="1336" spans="1:31" x14ac:dyDescent="0.4">
      <c r="A1336" t="str">
        <f>IF(原始经营数据!$D1337="","",原始经营数据!$D1337)</f>
        <v>华夏中海消费封闭式基础设施证券投资基金</v>
      </c>
      <c r="B1336" t="str">
        <f>IF(原始经营数据!$D1337="","",T(原始经营数据!$E1337))</f>
        <v>佛山映月湖环宇城</v>
      </c>
      <c r="C1336" t="str">
        <f>IF(原始经营数据!$D1337="","",原始经营数据!$F1337)</f>
        <v>2025Q4</v>
      </c>
      <c r="D1336" t="str">
        <f>IF(原始经营数据!$D1337="","",原始经营数据!$H1337)</f>
        <v>期末加权平均剩余租期</v>
      </c>
      <c r="E1336">
        <f>IF(原始经营数据!$D1337="","",原始经营数据!$I1337)</f>
        <v>4.0999999999999996</v>
      </c>
      <c r="F1336" t="str">
        <f>IF(原始经营数据!$D1337="","",T(原始经营数据!$J1337))</f>
        <v>年</v>
      </c>
      <c r="G1336" t="str">
        <f>IF(原始经营数据!$D1337="","",T(原始经营数据!$K1337))</f>
        <v/>
      </c>
      <c r="H1336" t="str">
        <f>IF(原始经营数据!$D1337="","",原始经营数据!$G1337)</f>
        <v>服务量</v>
      </c>
      <c r="I1336" t="str">
        <f>IF($A1336="","",IF($B1336&lt;&gt;"",$B1336,IF(COUNTIFS(原始经营数据!$D$3:$D$3001,$A1336,原始经营数据!$E$3:$E$3001,"",原始经营数据!$F$3:$F$3001,$C1336,原始经营数据!$H$3:$H$3001,$D1336,原始经营数据!$K$3:$K$3001,$G1336)&gt;1,"基金整体·来源"&amp;原始经营数据!$A1337,"基金整体")))</f>
        <v>佛山映月湖环宇城</v>
      </c>
      <c r="J1336" t="str">
        <f t="shared" si="303"/>
        <v>季度</v>
      </c>
      <c r="K1336" t="str">
        <f t="shared" si="304"/>
        <v>期末加权平均剩余租期（年）</v>
      </c>
      <c r="L1336" t="str">
        <f t="shared" si="305"/>
        <v>佛山映月湖环宇城|期末加权平均剩余租期（年）|季度</v>
      </c>
      <c r="M1336">
        <f>IF($A1336="",0,IF(COUNTIF($L$2:$L1336,$L1336)=1,1,0))</f>
        <v>1</v>
      </c>
      <c r="N1336">
        <f t="shared" si="306"/>
        <v>20254</v>
      </c>
      <c r="O1336" t="str">
        <f t="shared" si="307"/>
        <v>华夏中海消费封闭式基础设施证券投资基金|2025Q4|季度</v>
      </c>
      <c r="P1336">
        <f>IF($A1336="",0,IF(COUNTIF($O$2:$O1336,$O1336)=1,1,0))</f>
        <v>0</v>
      </c>
      <c r="Q1336" t="str">
        <f>IF(AND($P1336=1,$A1336=经营数据!$B$3,$J1336=经营数据!$BA$5),COUNTIFS($P$2:$P$3000,1,$A$2:$A$3000,$A1336,$J$2:$J$3000,$J1336,$N$2:$N$3000,"&lt;"&amp;$N1336)+1,"")</f>
        <v/>
      </c>
      <c r="R1336" t="str">
        <f t="shared" si="308"/>
        <v>华夏中海消费封闭式基础设施证券投资基金|佛山映月湖环宇城</v>
      </c>
      <c r="S1336">
        <f>IF($A1336="",0,IF(COUNTIF($R$2:$R1336,$R1336)=1,1,0))</f>
        <v>0</v>
      </c>
      <c r="T1336">
        <f t="shared" si="309"/>
        <v>1244</v>
      </c>
      <c r="U1336" t="str">
        <f>IF($A1336="","",IF($A1336=经营数据!$B$3,COUNTIFS($S$2:$S$3000,1,$A$2:$A$3000,$A1336,$T$2:$T$3000,"&lt;"&amp;$T1336)+1,""))</f>
        <v/>
      </c>
      <c r="V1336" t="str">
        <f t="shared" si="310"/>
        <v>佛山映月湖环宇城|服务量</v>
      </c>
      <c r="W1336">
        <f t="shared" si="311"/>
        <v>1248</v>
      </c>
      <c r="X1336" t="str">
        <f t="shared" si="312"/>
        <v>佛山映月湖环宇城|期末加权平均剩余租期</v>
      </c>
      <c r="Y1336">
        <f t="shared" si="313"/>
        <v>1335</v>
      </c>
      <c r="Z1336">
        <f>IF($A1336="",0,IF(AND($M1336=1,$A1336=经营数据!$B$3,$J1336=经营数据!$BA$5,OR($I1336=经营数据!$BA$4,COUNTIF(经营数据!$AA$9:$AA$38,$I1336)&gt;0)),1,0))</f>
        <v>0</v>
      </c>
      <c r="AA1336" t="str">
        <f t="shared" si="314"/>
        <v/>
      </c>
      <c r="AB1336" t="str">
        <f t="shared" si="315"/>
        <v/>
      </c>
      <c r="AC1336">
        <f>IF($A1336="",0,IF(COUNTIF($A$2:$A1336,$A1336)=1,1,0))</f>
        <v>0</v>
      </c>
      <c r="AD1336">
        <f t="shared" si="316"/>
        <v>12</v>
      </c>
      <c r="AE1336" t="str">
        <f t="shared" si="317"/>
        <v>佛山映月湖环宇城|期末加权平均剩余租期（年）</v>
      </c>
    </row>
    <row r="1337" spans="1:31" x14ac:dyDescent="0.4">
      <c r="A1337" t="str">
        <f>IF(原始经营数据!$D1338="","",原始经营数据!$D1338)</f>
        <v>华夏中海消费封闭式基础设施证券投资基金</v>
      </c>
      <c r="B1337" t="str">
        <f>IF(原始经营数据!$D1338="","",T(原始经营数据!$E1338))</f>
        <v>佛山映月湖环宇城</v>
      </c>
      <c r="C1337" t="str">
        <f>IF(原始经营数据!$D1338="","",原始经营数据!$F1338)</f>
        <v>2025Q4</v>
      </c>
      <c r="D1337" t="str">
        <f>IF(原始经营数据!$D1338="","",原始经营数据!$H1338)</f>
        <v>期末租金收缴率</v>
      </c>
      <c r="E1337">
        <f>IF(原始经营数据!$D1338="","",原始经营数据!$I1338)</f>
        <v>99.85</v>
      </c>
      <c r="F1337" t="str">
        <f>IF(原始经营数据!$D1338="","",T(原始经营数据!$J1338))</f>
        <v>%</v>
      </c>
      <c r="G1337" t="str">
        <f>IF(原始经营数据!$D1338="","",T(原始经营数据!$K1338))</f>
        <v/>
      </c>
      <c r="H1337" t="str">
        <f>IF(原始经营数据!$D1338="","",原始经营数据!$G1338)</f>
        <v>服务效率</v>
      </c>
      <c r="I1337" t="str">
        <f>IF($A1337="","",IF($B1337&lt;&gt;"",$B1337,IF(COUNTIFS(原始经营数据!$D$3:$D$3001,$A1337,原始经营数据!$E$3:$E$3001,"",原始经营数据!$F$3:$F$3001,$C1337,原始经营数据!$H$3:$H$3001,$D1337,原始经营数据!$K$3:$K$3001,$G1337)&gt;1,"基金整体·来源"&amp;原始经营数据!$A1338,"基金整体")))</f>
        <v>佛山映月湖环宇城</v>
      </c>
      <c r="J1337" t="str">
        <f t="shared" si="303"/>
        <v>季度</v>
      </c>
      <c r="K1337" t="str">
        <f t="shared" si="304"/>
        <v>期末租金收缴率（%）</v>
      </c>
      <c r="L1337" t="str">
        <f t="shared" si="305"/>
        <v>佛山映月湖环宇城|期末租金收缴率（%）|季度</v>
      </c>
      <c r="M1337">
        <f>IF($A1337="",0,IF(COUNTIF($L$2:$L1337,$L1337)=1,1,0))</f>
        <v>1</v>
      </c>
      <c r="N1337">
        <f t="shared" si="306"/>
        <v>20254</v>
      </c>
      <c r="O1337" t="str">
        <f t="shared" si="307"/>
        <v>华夏中海消费封闭式基础设施证券投资基金|2025Q4|季度</v>
      </c>
      <c r="P1337">
        <f>IF($A1337="",0,IF(COUNTIF($O$2:$O1337,$O1337)=1,1,0))</f>
        <v>0</v>
      </c>
      <c r="Q1337" t="str">
        <f>IF(AND($P1337=1,$A1337=经营数据!$B$3,$J1337=经营数据!$BA$5),COUNTIFS($P$2:$P$3000,1,$A$2:$A$3000,$A1337,$J$2:$J$3000,$J1337,$N$2:$N$3000,"&lt;"&amp;$N1337)+1,"")</f>
        <v/>
      </c>
      <c r="R1337" t="str">
        <f t="shared" si="308"/>
        <v>华夏中海消费封闭式基础设施证券投资基金|佛山映月湖环宇城</v>
      </c>
      <c r="S1337">
        <f>IF($A1337="",0,IF(COUNTIF($R$2:$R1337,$R1337)=1,1,0))</f>
        <v>0</v>
      </c>
      <c r="T1337">
        <f t="shared" si="309"/>
        <v>1244</v>
      </c>
      <c r="U1337" t="str">
        <f>IF($A1337="","",IF($A1337=经营数据!$B$3,COUNTIFS($S$2:$S$3000,1,$A$2:$A$3000,$A1337,$T$2:$T$3000,"&lt;"&amp;$T1337)+1,""))</f>
        <v/>
      </c>
      <c r="V1337" t="str">
        <f t="shared" si="310"/>
        <v>佛山映月湖环宇城|服务效率</v>
      </c>
      <c r="W1337">
        <f t="shared" si="311"/>
        <v>1253</v>
      </c>
      <c r="X1337" t="str">
        <f t="shared" si="312"/>
        <v>佛山映月湖环宇城|期末租金收缴率</v>
      </c>
      <c r="Y1337">
        <f t="shared" si="313"/>
        <v>1336</v>
      </c>
      <c r="Z1337">
        <f>IF($A1337="",0,IF(AND($M1337=1,$A1337=经营数据!$B$3,$J1337=经营数据!$BA$5,OR($I1337=经营数据!$BA$4,COUNTIF(经营数据!$AA$9:$AA$38,$I1337)&gt;0)),1,0))</f>
        <v>0</v>
      </c>
      <c r="AA1337" t="str">
        <f t="shared" si="314"/>
        <v/>
      </c>
      <c r="AB1337" t="str">
        <f t="shared" si="315"/>
        <v/>
      </c>
      <c r="AC1337">
        <f>IF($A1337="",0,IF(COUNTIF($A$2:$A1337,$A1337)=1,1,0))</f>
        <v>0</v>
      </c>
      <c r="AD1337">
        <f t="shared" si="316"/>
        <v>12</v>
      </c>
      <c r="AE1337" t="str">
        <f t="shared" si="317"/>
        <v>佛山映月湖环宇城|期末租金收缴率（%）</v>
      </c>
    </row>
    <row r="1338" spans="1:31" x14ac:dyDescent="0.4">
      <c r="A1338" t="str">
        <f>IF(原始经营数据!$D1339="","",原始经营数据!$D1339)</f>
        <v>华夏中海消费封闭式基础设施证券投资基金</v>
      </c>
      <c r="B1338" t="str">
        <f>IF(原始经营数据!$D1339="","",T(原始经营数据!$E1339))</f>
        <v>佛山映月湖环宇城</v>
      </c>
      <c r="C1338" t="str">
        <f>IF(原始经营数据!$D1339="","",原始经营数据!$F1339)</f>
        <v>2025Q4</v>
      </c>
      <c r="D1338" t="str">
        <f>IF(原始经营数据!$D1339="","",原始经营数据!$H1339)</f>
        <v>期末实际出租面积</v>
      </c>
      <c r="E1338">
        <f>IF(原始经营数据!$D1339="","",原始经营数据!$I1339)</f>
        <v>69213.289999999994</v>
      </c>
      <c r="F1338" t="str">
        <f>IF(原始经营数据!$D1339="","",T(原始经营数据!$J1339))</f>
        <v>平方米</v>
      </c>
      <c r="G1338" t="str">
        <f>IF(原始经营数据!$D1339="","",T(原始经营数据!$K1339))</f>
        <v/>
      </c>
      <c r="H1338" t="str">
        <f>IF(原始经营数据!$D1339="","",原始经营数据!$G1339)</f>
        <v>服务量</v>
      </c>
      <c r="I1338" t="str">
        <f>IF($A1338="","",IF($B1338&lt;&gt;"",$B1338,IF(COUNTIFS(原始经营数据!$D$3:$D$3001,$A1338,原始经营数据!$E$3:$E$3001,"",原始经营数据!$F$3:$F$3001,$C1338,原始经营数据!$H$3:$H$3001,$D1338,原始经营数据!$K$3:$K$3001,$G1338)&gt;1,"基金整体·来源"&amp;原始经营数据!$A1339,"基金整体")))</f>
        <v>佛山映月湖环宇城</v>
      </c>
      <c r="J1338" t="str">
        <f t="shared" si="303"/>
        <v>季度</v>
      </c>
      <c r="K1338" t="str">
        <f t="shared" si="304"/>
        <v>期末实际出租面积（平方米）</v>
      </c>
      <c r="L1338" t="str">
        <f t="shared" si="305"/>
        <v>佛山映月湖环宇城|期末实际出租面积（平方米）|季度</v>
      </c>
      <c r="M1338">
        <f>IF($A1338="",0,IF(COUNTIF($L$2:$L1338,$L1338)=1,1,0))</f>
        <v>1</v>
      </c>
      <c r="N1338">
        <f t="shared" si="306"/>
        <v>20254</v>
      </c>
      <c r="O1338" t="str">
        <f t="shared" si="307"/>
        <v>华夏中海消费封闭式基础设施证券投资基金|2025Q4|季度</v>
      </c>
      <c r="P1338">
        <f>IF($A1338="",0,IF(COUNTIF($O$2:$O1338,$O1338)=1,1,0))</f>
        <v>0</v>
      </c>
      <c r="Q1338" t="str">
        <f>IF(AND($P1338=1,$A1338=经营数据!$B$3,$J1338=经营数据!$BA$5),COUNTIFS($P$2:$P$3000,1,$A$2:$A$3000,$A1338,$J$2:$J$3000,$J1338,$N$2:$N$3000,"&lt;"&amp;$N1338)+1,"")</f>
        <v/>
      </c>
      <c r="R1338" t="str">
        <f t="shared" si="308"/>
        <v>华夏中海消费封闭式基础设施证券投资基金|佛山映月湖环宇城</v>
      </c>
      <c r="S1338">
        <f>IF($A1338="",0,IF(COUNTIF($R$2:$R1338,$R1338)=1,1,0))</f>
        <v>0</v>
      </c>
      <c r="T1338">
        <f t="shared" si="309"/>
        <v>1244</v>
      </c>
      <c r="U1338" t="str">
        <f>IF($A1338="","",IF($A1338=经营数据!$B$3,COUNTIFS($S$2:$S$3000,1,$A$2:$A$3000,$A1338,$T$2:$T$3000,"&lt;"&amp;$T1338)+1,""))</f>
        <v/>
      </c>
      <c r="V1338" t="str">
        <f t="shared" si="310"/>
        <v>佛山映月湖环宇城|服务量</v>
      </c>
      <c r="W1338">
        <f t="shared" si="311"/>
        <v>1248</v>
      </c>
      <c r="X1338" t="str">
        <f t="shared" si="312"/>
        <v>佛山映月湖环宇城|期末实际出租面积</v>
      </c>
      <c r="Y1338">
        <f t="shared" si="313"/>
        <v>1337</v>
      </c>
      <c r="Z1338">
        <f>IF($A1338="",0,IF(AND($M1338=1,$A1338=经营数据!$B$3,$J1338=经营数据!$BA$5,OR($I1338=经营数据!$BA$4,COUNTIF(经营数据!$AA$9:$AA$38,$I1338)&gt;0)),1,0))</f>
        <v>0</v>
      </c>
      <c r="AA1338" t="str">
        <f t="shared" si="314"/>
        <v/>
      </c>
      <c r="AB1338" t="str">
        <f t="shared" si="315"/>
        <v/>
      </c>
      <c r="AC1338">
        <f>IF($A1338="",0,IF(COUNTIF($A$2:$A1338,$A1338)=1,1,0))</f>
        <v>0</v>
      </c>
      <c r="AD1338">
        <f t="shared" si="316"/>
        <v>12</v>
      </c>
      <c r="AE1338" t="str">
        <f t="shared" si="317"/>
        <v>佛山映月湖环宇城|期末实际出租面积（平方米）</v>
      </c>
    </row>
    <row r="1339" spans="1:31" x14ac:dyDescent="0.4">
      <c r="A1339" t="str">
        <f>IF(原始经营数据!$D1340="","",原始经营数据!$D1340)</f>
        <v>华夏中海消费封闭式基础设施证券投资基金</v>
      </c>
      <c r="B1339" t="str">
        <f>IF(原始经营数据!$D1340="","",T(原始经营数据!$E1340))</f>
        <v>佛山映月湖环宇城</v>
      </c>
      <c r="C1339" t="str">
        <f>IF(原始经营数据!$D1340="","",原始经营数据!$F1340)</f>
        <v>2025Q4</v>
      </c>
      <c r="D1339" t="str">
        <f>IF(原始经营数据!$D1340="","",原始经营数据!$H1340)</f>
        <v>期末可供出租面积</v>
      </c>
      <c r="E1339">
        <f>IF(原始经营数据!$D1340="","",原始经营数据!$I1340)</f>
        <v>69721.899999999994</v>
      </c>
      <c r="F1339" t="str">
        <f>IF(原始经营数据!$D1340="","",T(原始经营数据!$J1340))</f>
        <v>平方米</v>
      </c>
      <c r="G1339" t="str">
        <f>IF(原始经营数据!$D1340="","",T(原始经营数据!$K1340))</f>
        <v/>
      </c>
      <c r="H1339" t="str">
        <f>IF(原始经营数据!$D1340="","",原始经营数据!$G1340)</f>
        <v>服务量</v>
      </c>
      <c r="I1339" t="str">
        <f>IF($A1339="","",IF($B1339&lt;&gt;"",$B1339,IF(COUNTIFS(原始经营数据!$D$3:$D$3001,$A1339,原始经营数据!$E$3:$E$3001,"",原始经营数据!$F$3:$F$3001,$C1339,原始经营数据!$H$3:$H$3001,$D1339,原始经营数据!$K$3:$K$3001,$G1339)&gt;1,"基金整体·来源"&amp;原始经营数据!$A1340,"基金整体")))</f>
        <v>佛山映月湖环宇城</v>
      </c>
      <c r="J1339" t="str">
        <f t="shared" si="303"/>
        <v>季度</v>
      </c>
      <c r="K1339" t="str">
        <f t="shared" si="304"/>
        <v>期末可供出租面积（平方米）</v>
      </c>
      <c r="L1339" t="str">
        <f t="shared" si="305"/>
        <v>佛山映月湖环宇城|期末可供出租面积（平方米）|季度</v>
      </c>
      <c r="M1339">
        <f>IF($A1339="",0,IF(COUNTIF($L$2:$L1339,$L1339)=1,1,0))</f>
        <v>1</v>
      </c>
      <c r="N1339">
        <f t="shared" si="306"/>
        <v>20254</v>
      </c>
      <c r="O1339" t="str">
        <f t="shared" si="307"/>
        <v>华夏中海消费封闭式基础设施证券投资基金|2025Q4|季度</v>
      </c>
      <c r="P1339">
        <f>IF($A1339="",0,IF(COUNTIF($O$2:$O1339,$O1339)=1,1,0))</f>
        <v>0</v>
      </c>
      <c r="Q1339" t="str">
        <f>IF(AND($P1339=1,$A1339=经营数据!$B$3,$J1339=经营数据!$BA$5),COUNTIFS($P$2:$P$3000,1,$A$2:$A$3000,$A1339,$J$2:$J$3000,$J1339,$N$2:$N$3000,"&lt;"&amp;$N1339)+1,"")</f>
        <v/>
      </c>
      <c r="R1339" t="str">
        <f t="shared" si="308"/>
        <v>华夏中海消费封闭式基础设施证券投资基金|佛山映月湖环宇城</v>
      </c>
      <c r="S1339">
        <f>IF($A1339="",0,IF(COUNTIF($R$2:$R1339,$R1339)=1,1,0))</f>
        <v>0</v>
      </c>
      <c r="T1339">
        <f t="shared" si="309"/>
        <v>1244</v>
      </c>
      <c r="U1339" t="str">
        <f>IF($A1339="","",IF($A1339=经营数据!$B$3,COUNTIFS($S$2:$S$3000,1,$A$2:$A$3000,$A1339,$T$2:$T$3000,"&lt;"&amp;$T1339)+1,""))</f>
        <v/>
      </c>
      <c r="V1339" t="str">
        <f t="shared" si="310"/>
        <v>佛山映月湖环宇城|服务量</v>
      </c>
      <c r="W1339">
        <f t="shared" si="311"/>
        <v>1248</v>
      </c>
      <c r="X1339" t="str">
        <f t="shared" si="312"/>
        <v>佛山映月湖环宇城|期末可供出租面积</v>
      </c>
      <c r="Y1339">
        <f t="shared" si="313"/>
        <v>1338</v>
      </c>
      <c r="Z1339">
        <f>IF($A1339="",0,IF(AND($M1339=1,$A1339=经营数据!$B$3,$J1339=经营数据!$BA$5,OR($I1339=经营数据!$BA$4,COUNTIF(经营数据!$AA$9:$AA$38,$I1339)&gt;0)),1,0))</f>
        <v>0</v>
      </c>
      <c r="AA1339" t="str">
        <f t="shared" si="314"/>
        <v/>
      </c>
      <c r="AB1339" t="str">
        <f t="shared" si="315"/>
        <v/>
      </c>
      <c r="AC1339">
        <f>IF($A1339="",0,IF(COUNTIF($A$2:$A1339,$A1339)=1,1,0))</f>
        <v>0</v>
      </c>
      <c r="AD1339">
        <f t="shared" si="316"/>
        <v>12</v>
      </c>
      <c r="AE1339" t="str">
        <f t="shared" si="317"/>
        <v>佛山映月湖环宇城|期末可供出租面积（平方米）</v>
      </c>
    </row>
    <row r="1340" spans="1:31" x14ac:dyDescent="0.4">
      <c r="A1340" t="str">
        <f>IF(原始经营数据!$D1341="","",原始经营数据!$D1341)</f>
        <v>华夏中海消费封闭式基础设施证券投资基金</v>
      </c>
      <c r="B1340" t="str">
        <f>IF(原始经营数据!$D1341="","",T(原始经营数据!$E1341))</f>
        <v>佛山映月湖环宇城</v>
      </c>
      <c r="C1340" t="str">
        <f>IF(原始经营数据!$D1341="","",原始经营数据!$F1341)</f>
        <v>2026Q1</v>
      </c>
      <c r="D1340" t="str">
        <f>IF(原始经营数据!$D1341="","",原始经营数据!$H1341)</f>
        <v>期末实际出租面积</v>
      </c>
      <c r="E1340">
        <f>IF(原始经营数据!$D1341="","",原始经营数据!$I1341)</f>
        <v>68943.509999999995</v>
      </c>
      <c r="F1340" t="str">
        <f>IF(原始经营数据!$D1341="","",T(原始经营数据!$J1341))</f>
        <v>平方米</v>
      </c>
      <c r="G1340" t="str">
        <f>IF(原始经营数据!$D1341="","",T(原始经营数据!$K1341))</f>
        <v/>
      </c>
      <c r="H1340" t="str">
        <f>IF(原始经营数据!$D1341="","",原始经营数据!$G1341)</f>
        <v>服务量</v>
      </c>
      <c r="I1340" t="str">
        <f>IF($A1340="","",IF($B1340&lt;&gt;"",$B1340,IF(COUNTIFS(原始经营数据!$D$3:$D$3001,$A1340,原始经营数据!$E$3:$E$3001,"",原始经营数据!$F$3:$F$3001,$C1340,原始经营数据!$H$3:$H$3001,$D1340,原始经营数据!$K$3:$K$3001,$G1340)&gt;1,"基金整体·来源"&amp;原始经营数据!$A1341,"基金整体")))</f>
        <v>佛山映月湖环宇城</v>
      </c>
      <c r="J1340" t="str">
        <f t="shared" si="303"/>
        <v>季度</v>
      </c>
      <c r="K1340" t="str">
        <f t="shared" si="304"/>
        <v>期末实际出租面积（平方米）</v>
      </c>
      <c r="L1340" t="str">
        <f t="shared" si="305"/>
        <v>佛山映月湖环宇城|期末实际出租面积（平方米）|季度</v>
      </c>
      <c r="M1340">
        <f>IF($A1340="",0,IF(COUNTIF($L$2:$L1340,$L1340)=1,1,0))</f>
        <v>0</v>
      </c>
      <c r="N1340">
        <f t="shared" si="306"/>
        <v>20261</v>
      </c>
      <c r="O1340" t="str">
        <f t="shared" si="307"/>
        <v>华夏中海消费封闭式基础设施证券投资基金|2026Q1|季度</v>
      </c>
      <c r="P1340">
        <f>IF($A1340="",0,IF(COUNTIF($O$2:$O1340,$O1340)=1,1,0))</f>
        <v>1</v>
      </c>
      <c r="Q1340" t="str">
        <f>IF(AND($P1340=1,$A1340=经营数据!$B$3,$J1340=经营数据!$BA$5),COUNTIFS($P$2:$P$3000,1,$A$2:$A$3000,$A1340,$J$2:$J$3000,$J1340,$N$2:$N$3000,"&lt;"&amp;$N1340)+1,"")</f>
        <v/>
      </c>
      <c r="R1340" t="str">
        <f t="shared" si="308"/>
        <v>华夏中海消费封闭式基础设施证券投资基金|佛山映月湖环宇城</v>
      </c>
      <c r="S1340">
        <f>IF($A1340="",0,IF(COUNTIF($R$2:$R1340,$R1340)=1,1,0))</f>
        <v>0</v>
      </c>
      <c r="T1340">
        <f t="shared" si="309"/>
        <v>1244</v>
      </c>
      <c r="U1340" t="str">
        <f>IF($A1340="","",IF($A1340=经营数据!$B$3,COUNTIFS($S$2:$S$3000,1,$A$2:$A$3000,$A1340,$T$2:$T$3000,"&lt;"&amp;$T1340)+1,""))</f>
        <v/>
      </c>
      <c r="V1340" t="str">
        <f t="shared" si="310"/>
        <v>佛山映月湖环宇城|服务量</v>
      </c>
      <c r="W1340">
        <f t="shared" si="311"/>
        <v>1248</v>
      </c>
      <c r="X1340" t="str">
        <f t="shared" si="312"/>
        <v>佛山映月湖环宇城|期末实际出租面积</v>
      </c>
      <c r="Y1340">
        <f t="shared" si="313"/>
        <v>1337</v>
      </c>
      <c r="Z1340">
        <f>IF($A1340="",0,IF(AND($M1340=1,$A1340=经营数据!$B$3,$J1340=经营数据!$BA$5,OR($I1340=经营数据!$BA$4,COUNTIF(经营数据!$AA$9:$AA$38,$I1340)&gt;0)),1,0))</f>
        <v>0</v>
      </c>
      <c r="AA1340" t="str">
        <f t="shared" si="314"/>
        <v/>
      </c>
      <c r="AB1340" t="str">
        <f t="shared" si="315"/>
        <v/>
      </c>
      <c r="AC1340">
        <f>IF($A1340="",0,IF(COUNTIF($A$2:$A1340,$A1340)=1,1,0))</f>
        <v>0</v>
      </c>
      <c r="AD1340">
        <f t="shared" si="316"/>
        <v>12</v>
      </c>
      <c r="AE1340" t="str">
        <f t="shared" si="317"/>
        <v>佛山映月湖环宇城|期末实际出租面积（平方米）</v>
      </c>
    </row>
    <row r="1341" spans="1:31" x14ac:dyDescent="0.4">
      <c r="A1341" t="str">
        <f>IF(原始经营数据!$D1342="","",原始经营数据!$D1342)</f>
        <v>华夏中海消费封闭式基础设施证券投资基金</v>
      </c>
      <c r="B1341" t="str">
        <f>IF(原始经营数据!$D1342="","",T(原始经营数据!$E1342))</f>
        <v>佛山映月湖环宇城</v>
      </c>
      <c r="C1341" t="str">
        <f>IF(原始经营数据!$D1342="","",原始经营数据!$F1342)</f>
        <v>2026Q1</v>
      </c>
      <c r="D1341" t="str">
        <f>IF(原始经营数据!$D1342="","",原始经营数据!$H1342)</f>
        <v>期末租金收缴率</v>
      </c>
      <c r="E1341">
        <f>IF(原始经营数据!$D1342="","",原始经营数据!$I1342)</f>
        <v>99.67</v>
      </c>
      <c r="F1341" t="str">
        <f>IF(原始经营数据!$D1342="","",T(原始经营数据!$J1342))</f>
        <v>%</v>
      </c>
      <c r="G1341" t="str">
        <f>IF(原始经营数据!$D1342="","",T(原始经营数据!$K1342))</f>
        <v/>
      </c>
      <c r="H1341" t="str">
        <f>IF(原始经营数据!$D1342="","",原始经营数据!$G1342)</f>
        <v>服务效率</v>
      </c>
      <c r="I1341" t="str">
        <f>IF($A1341="","",IF($B1341&lt;&gt;"",$B1341,IF(COUNTIFS(原始经营数据!$D$3:$D$3001,$A1341,原始经营数据!$E$3:$E$3001,"",原始经营数据!$F$3:$F$3001,$C1341,原始经营数据!$H$3:$H$3001,$D1341,原始经营数据!$K$3:$K$3001,$G1341)&gt;1,"基金整体·来源"&amp;原始经营数据!$A1342,"基金整体")))</f>
        <v>佛山映月湖环宇城</v>
      </c>
      <c r="J1341" t="str">
        <f t="shared" si="303"/>
        <v>季度</v>
      </c>
      <c r="K1341" t="str">
        <f t="shared" si="304"/>
        <v>期末租金收缴率（%）</v>
      </c>
      <c r="L1341" t="str">
        <f t="shared" si="305"/>
        <v>佛山映月湖环宇城|期末租金收缴率（%）|季度</v>
      </c>
      <c r="M1341">
        <f>IF($A1341="",0,IF(COUNTIF($L$2:$L1341,$L1341)=1,1,0))</f>
        <v>0</v>
      </c>
      <c r="N1341">
        <f t="shared" si="306"/>
        <v>20261</v>
      </c>
      <c r="O1341" t="str">
        <f t="shared" si="307"/>
        <v>华夏中海消费封闭式基础设施证券投资基金|2026Q1|季度</v>
      </c>
      <c r="P1341">
        <f>IF($A1341="",0,IF(COUNTIF($O$2:$O1341,$O1341)=1,1,0))</f>
        <v>0</v>
      </c>
      <c r="Q1341" t="str">
        <f>IF(AND($P1341=1,$A1341=经营数据!$B$3,$J1341=经营数据!$BA$5),COUNTIFS($P$2:$P$3000,1,$A$2:$A$3000,$A1341,$J$2:$J$3000,$J1341,$N$2:$N$3000,"&lt;"&amp;$N1341)+1,"")</f>
        <v/>
      </c>
      <c r="R1341" t="str">
        <f t="shared" si="308"/>
        <v>华夏中海消费封闭式基础设施证券投资基金|佛山映月湖环宇城</v>
      </c>
      <c r="S1341">
        <f>IF($A1341="",0,IF(COUNTIF($R$2:$R1341,$R1341)=1,1,0))</f>
        <v>0</v>
      </c>
      <c r="T1341">
        <f t="shared" si="309"/>
        <v>1244</v>
      </c>
      <c r="U1341" t="str">
        <f>IF($A1341="","",IF($A1341=经营数据!$B$3,COUNTIFS($S$2:$S$3000,1,$A$2:$A$3000,$A1341,$T$2:$T$3000,"&lt;"&amp;$T1341)+1,""))</f>
        <v/>
      </c>
      <c r="V1341" t="str">
        <f t="shared" si="310"/>
        <v>佛山映月湖环宇城|服务效率</v>
      </c>
      <c r="W1341">
        <f t="shared" si="311"/>
        <v>1253</v>
      </c>
      <c r="X1341" t="str">
        <f t="shared" si="312"/>
        <v>佛山映月湖环宇城|期末租金收缴率</v>
      </c>
      <c r="Y1341">
        <f t="shared" si="313"/>
        <v>1336</v>
      </c>
      <c r="Z1341">
        <f>IF($A1341="",0,IF(AND($M1341=1,$A1341=经营数据!$B$3,$J1341=经营数据!$BA$5,OR($I1341=经营数据!$BA$4,COUNTIF(经营数据!$AA$9:$AA$38,$I1341)&gt;0)),1,0))</f>
        <v>0</v>
      </c>
      <c r="AA1341" t="str">
        <f t="shared" si="314"/>
        <v/>
      </c>
      <c r="AB1341" t="str">
        <f t="shared" si="315"/>
        <v/>
      </c>
      <c r="AC1341">
        <f>IF($A1341="",0,IF(COUNTIF($A$2:$A1341,$A1341)=1,1,0))</f>
        <v>0</v>
      </c>
      <c r="AD1341">
        <f t="shared" si="316"/>
        <v>12</v>
      </c>
      <c r="AE1341" t="str">
        <f t="shared" si="317"/>
        <v>佛山映月湖环宇城|期末租金收缴率（%）</v>
      </c>
    </row>
    <row r="1342" spans="1:31" x14ac:dyDescent="0.4">
      <c r="A1342" t="str">
        <f>IF(原始经营数据!$D1343="","",原始经营数据!$D1343)</f>
        <v>华夏中海消费封闭式基础设施证券投资基金</v>
      </c>
      <c r="B1342" t="str">
        <f>IF(原始经营数据!$D1343="","",T(原始经营数据!$E1343))</f>
        <v>佛山映月湖环宇城</v>
      </c>
      <c r="C1342" t="str">
        <f>IF(原始经营数据!$D1343="","",原始经营数据!$F1343)</f>
        <v>2026Q1</v>
      </c>
      <c r="D1342" t="str">
        <f>IF(原始经营数据!$D1343="","",原始经营数据!$H1343)</f>
        <v>期末加权平均剩余租期</v>
      </c>
      <c r="E1342">
        <f>IF(原始经营数据!$D1343="","",原始经营数据!$I1343)</f>
        <v>3.89</v>
      </c>
      <c r="F1342" t="str">
        <f>IF(原始经营数据!$D1343="","",T(原始经营数据!$J1343))</f>
        <v>年</v>
      </c>
      <c r="G1342" t="str">
        <f>IF(原始经营数据!$D1343="","",T(原始经营数据!$K1343))</f>
        <v/>
      </c>
      <c r="H1342" t="str">
        <f>IF(原始经营数据!$D1343="","",原始经营数据!$G1343)</f>
        <v>服务量</v>
      </c>
      <c r="I1342" t="str">
        <f>IF($A1342="","",IF($B1342&lt;&gt;"",$B1342,IF(COUNTIFS(原始经营数据!$D$3:$D$3001,$A1342,原始经营数据!$E$3:$E$3001,"",原始经营数据!$F$3:$F$3001,$C1342,原始经营数据!$H$3:$H$3001,$D1342,原始经营数据!$K$3:$K$3001,$G1342)&gt;1,"基金整体·来源"&amp;原始经营数据!$A1343,"基金整体")))</f>
        <v>佛山映月湖环宇城</v>
      </c>
      <c r="J1342" t="str">
        <f t="shared" si="303"/>
        <v>季度</v>
      </c>
      <c r="K1342" t="str">
        <f t="shared" si="304"/>
        <v>期末加权平均剩余租期（年）</v>
      </c>
      <c r="L1342" t="str">
        <f t="shared" si="305"/>
        <v>佛山映月湖环宇城|期末加权平均剩余租期（年）|季度</v>
      </c>
      <c r="M1342">
        <f>IF($A1342="",0,IF(COUNTIF($L$2:$L1342,$L1342)=1,1,0))</f>
        <v>0</v>
      </c>
      <c r="N1342">
        <f t="shared" si="306"/>
        <v>20261</v>
      </c>
      <c r="O1342" t="str">
        <f t="shared" si="307"/>
        <v>华夏中海消费封闭式基础设施证券投资基金|2026Q1|季度</v>
      </c>
      <c r="P1342">
        <f>IF($A1342="",0,IF(COUNTIF($O$2:$O1342,$O1342)=1,1,0))</f>
        <v>0</v>
      </c>
      <c r="Q1342" t="str">
        <f>IF(AND($P1342=1,$A1342=经营数据!$B$3,$J1342=经营数据!$BA$5),COUNTIFS($P$2:$P$3000,1,$A$2:$A$3000,$A1342,$J$2:$J$3000,$J1342,$N$2:$N$3000,"&lt;"&amp;$N1342)+1,"")</f>
        <v/>
      </c>
      <c r="R1342" t="str">
        <f t="shared" si="308"/>
        <v>华夏中海消费封闭式基础设施证券投资基金|佛山映月湖环宇城</v>
      </c>
      <c r="S1342">
        <f>IF($A1342="",0,IF(COUNTIF($R$2:$R1342,$R1342)=1,1,0))</f>
        <v>0</v>
      </c>
      <c r="T1342">
        <f t="shared" si="309"/>
        <v>1244</v>
      </c>
      <c r="U1342" t="str">
        <f>IF($A1342="","",IF($A1342=经营数据!$B$3,COUNTIFS($S$2:$S$3000,1,$A$2:$A$3000,$A1342,$T$2:$T$3000,"&lt;"&amp;$T1342)+1,""))</f>
        <v/>
      </c>
      <c r="V1342" t="str">
        <f t="shared" si="310"/>
        <v>佛山映月湖环宇城|服务量</v>
      </c>
      <c r="W1342">
        <f t="shared" si="311"/>
        <v>1248</v>
      </c>
      <c r="X1342" t="str">
        <f t="shared" si="312"/>
        <v>佛山映月湖环宇城|期末加权平均剩余租期</v>
      </c>
      <c r="Y1342">
        <f t="shared" si="313"/>
        <v>1335</v>
      </c>
      <c r="Z1342">
        <f>IF($A1342="",0,IF(AND($M1342=1,$A1342=经营数据!$B$3,$J1342=经营数据!$BA$5,OR($I1342=经营数据!$BA$4,COUNTIF(经营数据!$AA$9:$AA$38,$I1342)&gt;0)),1,0))</f>
        <v>0</v>
      </c>
      <c r="AA1342" t="str">
        <f t="shared" si="314"/>
        <v/>
      </c>
      <c r="AB1342" t="str">
        <f t="shared" si="315"/>
        <v/>
      </c>
      <c r="AC1342">
        <f>IF($A1342="",0,IF(COUNTIF($A$2:$A1342,$A1342)=1,1,0))</f>
        <v>0</v>
      </c>
      <c r="AD1342">
        <f t="shared" si="316"/>
        <v>12</v>
      </c>
      <c r="AE1342" t="str">
        <f t="shared" si="317"/>
        <v>佛山映月湖环宇城|期末加权平均剩余租期（年）</v>
      </c>
    </row>
    <row r="1343" spans="1:31" x14ac:dyDescent="0.4">
      <c r="A1343" t="str">
        <f>IF(原始经营数据!$D1344="","",原始经营数据!$D1344)</f>
        <v>华夏中海消费封闭式基础设施证券投资基金</v>
      </c>
      <c r="B1343" t="str">
        <f>IF(原始经营数据!$D1344="","",T(原始经营数据!$E1344))</f>
        <v>佛山映月湖环宇城</v>
      </c>
      <c r="C1343" t="str">
        <f>IF(原始经营数据!$D1344="","",原始经营数据!$F1344)</f>
        <v>2026Q1</v>
      </c>
      <c r="D1343" t="str">
        <f>IF(原始经营数据!$D1344="","",原始经营数据!$H1344)</f>
        <v>期内租金单价水平</v>
      </c>
      <c r="E1343">
        <f>IF(原始经营数据!$D1344="","",原始经营数据!$I1344)</f>
        <v>158.56</v>
      </c>
      <c r="F1343" t="str">
        <f>IF(原始经营数据!$D1344="","",T(原始经营数据!$J1344))</f>
        <v>元/平方米/月</v>
      </c>
      <c r="G1343" t="str">
        <f>IF(原始经营数据!$D1344="","",T(原始经营数据!$K1344))</f>
        <v/>
      </c>
      <c r="H1343" t="str">
        <f>IF(原始经营数据!$D1344="","",原始经营数据!$G1344)</f>
        <v>服务价格</v>
      </c>
      <c r="I1343" t="str">
        <f>IF($A1343="","",IF($B1343&lt;&gt;"",$B1343,IF(COUNTIFS(原始经营数据!$D$3:$D$3001,$A1343,原始经营数据!$E$3:$E$3001,"",原始经营数据!$F$3:$F$3001,$C1343,原始经营数据!$H$3:$H$3001,$D1343,原始经营数据!$K$3:$K$3001,$G1343)&gt;1,"基金整体·来源"&amp;原始经营数据!$A1344,"基金整体")))</f>
        <v>佛山映月湖环宇城</v>
      </c>
      <c r="J1343" t="str">
        <f t="shared" si="303"/>
        <v>季度</v>
      </c>
      <c r="K1343" t="str">
        <f t="shared" si="304"/>
        <v>期内租金单价水平（元/平方米/月）</v>
      </c>
      <c r="L1343" t="str">
        <f t="shared" si="305"/>
        <v>佛山映月湖环宇城|期内租金单价水平（元/平方米/月）|季度</v>
      </c>
      <c r="M1343">
        <f>IF($A1343="",0,IF(COUNTIF($L$2:$L1343,$L1343)=1,1,0))</f>
        <v>0</v>
      </c>
      <c r="N1343">
        <f t="shared" si="306"/>
        <v>20261</v>
      </c>
      <c r="O1343" t="str">
        <f t="shared" si="307"/>
        <v>华夏中海消费封闭式基础设施证券投资基金|2026Q1|季度</v>
      </c>
      <c r="P1343">
        <f>IF($A1343="",0,IF(COUNTIF($O$2:$O1343,$O1343)=1,1,0))</f>
        <v>0</v>
      </c>
      <c r="Q1343" t="str">
        <f>IF(AND($P1343=1,$A1343=经营数据!$B$3,$J1343=经营数据!$BA$5),COUNTIFS($P$2:$P$3000,1,$A$2:$A$3000,$A1343,$J$2:$J$3000,$J1343,$N$2:$N$3000,"&lt;"&amp;$N1343)+1,"")</f>
        <v/>
      </c>
      <c r="R1343" t="str">
        <f t="shared" si="308"/>
        <v>华夏中海消费封闭式基础设施证券投资基金|佛山映月湖环宇城</v>
      </c>
      <c r="S1343">
        <f>IF($A1343="",0,IF(COUNTIF($R$2:$R1343,$R1343)=1,1,0))</f>
        <v>0</v>
      </c>
      <c r="T1343">
        <f t="shared" si="309"/>
        <v>1244</v>
      </c>
      <c r="U1343" t="str">
        <f>IF($A1343="","",IF($A1343=经营数据!$B$3,COUNTIFS($S$2:$S$3000,1,$A$2:$A$3000,$A1343,$T$2:$T$3000,"&lt;"&amp;$T1343)+1,""))</f>
        <v/>
      </c>
      <c r="V1343" t="str">
        <f t="shared" si="310"/>
        <v>佛山映月湖环宇城|服务价格</v>
      </c>
      <c r="W1343">
        <f t="shared" si="311"/>
        <v>1250</v>
      </c>
      <c r="X1343" t="str">
        <f t="shared" si="312"/>
        <v>佛山映月湖环宇城|期内租金单价水平</v>
      </c>
      <c r="Y1343">
        <f t="shared" si="313"/>
        <v>1334</v>
      </c>
      <c r="Z1343">
        <f>IF($A1343="",0,IF(AND($M1343=1,$A1343=经营数据!$B$3,$J1343=经营数据!$BA$5,OR($I1343=经营数据!$BA$4,COUNTIF(经营数据!$AA$9:$AA$38,$I1343)&gt;0)),1,0))</f>
        <v>0</v>
      </c>
      <c r="AA1343" t="str">
        <f t="shared" si="314"/>
        <v/>
      </c>
      <c r="AB1343" t="str">
        <f t="shared" si="315"/>
        <v/>
      </c>
      <c r="AC1343">
        <f>IF($A1343="",0,IF(COUNTIF($A$2:$A1343,$A1343)=1,1,0))</f>
        <v>0</v>
      </c>
      <c r="AD1343">
        <f t="shared" si="316"/>
        <v>12</v>
      </c>
      <c r="AE1343" t="str">
        <f t="shared" si="317"/>
        <v>佛山映月湖环宇城|期内租金单价水平（元/平方米/月）</v>
      </c>
    </row>
    <row r="1344" spans="1:31" x14ac:dyDescent="0.4">
      <c r="A1344" t="str">
        <f>IF(原始经营数据!$D1345="","",原始经营数据!$D1345)</f>
        <v>华夏中海消费封闭式基础设施证券投资基金</v>
      </c>
      <c r="B1344" t="str">
        <f>IF(原始经营数据!$D1345="","",T(原始经营数据!$E1345))</f>
        <v>佛山映月湖环宇城</v>
      </c>
      <c r="C1344" t="str">
        <f>IF(原始经营数据!$D1345="","",原始经营数据!$F1345)</f>
        <v>2026Q1</v>
      </c>
      <c r="D1344" t="str">
        <f>IF(原始经营数据!$D1345="","",原始经营数据!$H1345)</f>
        <v>期末出租率</v>
      </c>
      <c r="E1344">
        <f>IF(原始经营数据!$D1345="","",原始经营数据!$I1345)</f>
        <v>98.88</v>
      </c>
      <c r="F1344" t="str">
        <f>IF(原始经营数据!$D1345="","",T(原始经营数据!$J1345))</f>
        <v>%</v>
      </c>
      <c r="G1344" t="str">
        <f>IF(原始经营数据!$D1345="","",T(原始经营数据!$K1345))</f>
        <v/>
      </c>
      <c r="H1344" t="str">
        <f>IF(原始经营数据!$D1345="","",原始经营数据!$G1345)</f>
        <v>服务效率</v>
      </c>
      <c r="I1344" t="str">
        <f>IF($A1344="","",IF($B1344&lt;&gt;"",$B1344,IF(COUNTIFS(原始经营数据!$D$3:$D$3001,$A1344,原始经营数据!$E$3:$E$3001,"",原始经营数据!$F$3:$F$3001,$C1344,原始经营数据!$H$3:$H$3001,$D1344,原始经营数据!$K$3:$K$3001,$G1344)&gt;1,"基金整体·来源"&amp;原始经营数据!$A1345,"基金整体")))</f>
        <v>佛山映月湖环宇城</v>
      </c>
      <c r="J1344" t="str">
        <f t="shared" si="303"/>
        <v>季度</v>
      </c>
      <c r="K1344" t="str">
        <f t="shared" si="304"/>
        <v>期末出租率（%）</v>
      </c>
      <c r="L1344" t="str">
        <f t="shared" si="305"/>
        <v>佛山映月湖环宇城|期末出租率（%）|季度</v>
      </c>
      <c r="M1344">
        <f>IF($A1344="",0,IF(COUNTIF($L$2:$L1344,$L1344)=1,1,0))</f>
        <v>0</v>
      </c>
      <c r="N1344">
        <f t="shared" si="306"/>
        <v>20261</v>
      </c>
      <c r="O1344" t="str">
        <f t="shared" si="307"/>
        <v>华夏中海消费封闭式基础设施证券投资基金|2026Q1|季度</v>
      </c>
      <c r="P1344">
        <f>IF($A1344="",0,IF(COUNTIF($O$2:$O1344,$O1344)=1,1,0))</f>
        <v>0</v>
      </c>
      <c r="Q1344" t="str">
        <f>IF(AND($P1344=1,$A1344=经营数据!$B$3,$J1344=经营数据!$BA$5),COUNTIFS($P$2:$P$3000,1,$A$2:$A$3000,$A1344,$J$2:$J$3000,$J1344,$N$2:$N$3000,"&lt;"&amp;$N1344)+1,"")</f>
        <v/>
      </c>
      <c r="R1344" t="str">
        <f t="shared" si="308"/>
        <v>华夏中海消费封闭式基础设施证券投资基金|佛山映月湖环宇城</v>
      </c>
      <c r="S1344">
        <f>IF($A1344="",0,IF(COUNTIF($R$2:$R1344,$R1344)=1,1,0))</f>
        <v>0</v>
      </c>
      <c r="T1344">
        <f t="shared" si="309"/>
        <v>1244</v>
      </c>
      <c r="U1344" t="str">
        <f>IF($A1344="","",IF($A1344=经营数据!$B$3,COUNTIFS($S$2:$S$3000,1,$A$2:$A$3000,$A1344,$T$2:$T$3000,"&lt;"&amp;$T1344)+1,""))</f>
        <v/>
      </c>
      <c r="V1344" t="str">
        <f t="shared" si="310"/>
        <v>佛山映月湖环宇城|服务效率</v>
      </c>
      <c r="W1344">
        <f t="shared" si="311"/>
        <v>1253</v>
      </c>
      <c r="X1344" t="str">
        <f t="shared" si="312"/>
        <v>佛山映月湖环宇城|期末出租率</v>
      </c>
      <c r="Y1344">
        <f t="shared" si="313"/>
        <v>1333</v>
      </c>
      <c r="Z1344">
        <f>IF($A1344="",0,IF(AND($M1344=1,$A1344=经营数据!$B$3,$J1344=经营数据!$BA$5,OR($I1344=经营数据!$BA$4,COUNTIF(经营数据!$AA$9:$AA$38,$I1344)&gt;0)),1,0))</f>
        <v>0</v>
      </c>
      <c r="AA1344" t="str">
        <f t="shared" si="314"/>
        <v/>
      </c>
      <c r="AB1344" t="str">
        <f t="shared" si="315"/>
        <v/>
      </c>
      <c r="AC1344">
        <f>IF($A1344="",0,IF(COUNTIF($A$2:$A1344,$A1344)=1,1,0))</f>
        <v>0</v>
      </c>
      <c r="AD1344">
        <f t="shared" si="316"/>
        <v>12</v>
      </c>
      <c r="AE1344" t="str">
        <f t="shared" si="317"/>
        <v>佛山映月湖环宇城|期末出租率（%）</v>
      </c>
    </row>
    <row r="1345" spans="1:31" x14ac:dyDescent="0.4">
      <c r="A1345" t="str">
        <f>IF(原始经营数据!$D1346="","",原始经营数据!$D1346)</f>
        <v>华夏中海消费封闭式基础设施证券投资基金</v>
      </c>
      <c r="B1345" t="str">
        <f>IF(原始经营数据!$D1346="","",T(原始经营数据!$E1346))</f>
        <v>佛山映月湖环宇城</v>
      </c>
      <c r="C1345" t="str">
        <f>IF(原始经营数据!$D1346="","",原始经营数据!$F1346)</f>
        <v>2026Q1</v>
      </c>
      <c r="D1345" t="str">
        <f>IF(原始经营数据!$D1346="","",原始经营数据!$H1346)</f>
        <v>期末可供出租面积</v>
      </c>
      <c r="E1345">
        <f>IF(原始经营数据!$D1346="","",原始经营数据!$I1346)</f>
        <v>69721.899999999994</v>
      </c>
      <c r="F1345" t="str">
        <f>IF(原始经营数据!$D1346="","",T(原始经营数据!$J1346))</f>
        <v>平方米</v>
      </c>
      <c r="G1345" t="str">
        <f>IF(原始经营数据!$D1346="","",T(原始经营数据!$K1346))</f>
        <v/>
      </c>
      <c r="H1345" t="str">
        <f>IF(原始经营数据!$D1346="","",原始经营数据!$G1346)</f>
        <v>服务量</v>
      </c>
      <c r="I1345" t="str">
        <f>IF($A1345="","",IF($B1345&lt;&gt;"",$B1345,IF(COUNTIFS(原始经营数据!$D$3:$D$3001,$A1345,原始经营数据!$E$3:$E$3001,"",原始经营数据!$F$3:$F$3001,$C1345,原始经营数据!$H$3:$H$3001,$D1345,原始经营数据!$K$3:$K$3001,$G1345)&gt;1,"基金整体·来源"&amp;原始经营数据!$A1346,"基金整体")))</f>
        <v>佛山映月湖环宇城</v>
      </c>
      <c r="J1345" t="str">
        <f t="shared" si="303"/>
        <v>季度</v>
      </c>
      <c r="K1345" t="str">
        <f t="shared" si="304"/>
        <v>期末可供出租面积（平方米）</v>
      </c>
      <c r="L1345" t="str">
        <f t="shared" si="305"/>
        <v>佛山映月湖环宇城|期末可供出租面积（平方米）|季度</v>
      </c>
      <c r="M1345">
        <f>IF($A1345="",0,IF(COUNTIF($L$2:$L1345,$L1345)=1,1,0))</f>
        <v>0</v>
      </c>
      <c r="N1345">
        <f t="shared" si="306"/>
        <v>20261</v>
      </c>
      <c r="O1345" t="str">
        <f t="shared" si="307"/>
        <v>华夏中海消费封闭式基础设施证券投资基金|2026Q1|季度</v>
      </c>
      <c r="P1345">
        <f>IF($A1345="",0,IF(COUNTIF($O$2:$O1345,$O1345)=1,1,0))</f>
        <v>0</v>
      </c>
      <c r="Q1345" t="str">
        <f>IF(AND($P1345=1,$A1345=经营数据!$B$3,$J1345=经营数据!$BA$5),COUNTIFS($P$2:$P$3000,1,$A$2:$A$3000,$A1345,$J$2:$J$3000,$J1345,$N$2:$N$3000,"&lt;"&amp;$N1345)+1,"")</f>
        <v/>
      </c>
      <c r="R1345" t="str">
        <f t="shared" si="308"/>
        <v>华夏中海消费封闭式基础设施证券投资基金|佛山映月湖环宇城</v>
      </c>
      <c r="S1345">
        <f>IF($A1345="",0,IF(COUNTIF($R$2:$R1345,$R1345)=1,1,0))</f>
        <v>0</v>
      </c>
      <c r="T1345">
        <f t="shared" si="309"/>
        <v>1244</v>
      </c>
      <c r="U1345" t="str">
        <f>IF($A1345="","",IF($A1345=经营数据!$B$3,COUNTIFS($S$2:$S$3000,1,$A$2:$A$3000,$A1345,$T$2:$T$3000,"&lt;"&amp;$T1345)+1,""))</f>
        <v/>
      </c>
      <c r="V1345" t="str">
        <f t="shared" si="310"/>
        <v>佛山映月湖环宇城|服务量</v>
      </c>
      <c r="W1345">
        <f t="shared" si="311"/>
        <v>1248</v>
      </c>
      <c r="X1345" t="str">
        <f t="shared" si="312"/>
        <v>佛山映月湖环宇城|期末可供出租面积</v>
      </c>
      <c r="Y1345">
        <f t="shared" si="313"/>
        <v>1338</v>
      </c>
      <c r="Z1345">
        <f>IF($A1345="",0,IF(AND($M1345=1,$A1345=经营数据!$B$3,$J1345=经营数据!$BA$5,OR($I1345=经营数据!$BA$4,COUNTIF(经营数据!$AA$9:$AA$38,$I1345)&gt;0)),1,0))</f>
        <v>0</v>
      </c>
      <c r="AA1345" t="str">
        <f t="shared" si="314"/>
        <v/>
      </c>
      <c r="AB1345" t="str">
        <f t="shared" si="315"/>
        <v/>
      </c>
      <c r="AC1345">
        <f>IF($A1345="",0,IF(COUNTIF($A$2:$A1345,$A1345)=1,1,0))</f>
        <v>0</v>
      </c>
      <c r="AD1345">
        <f t="shared" si="316"/>
        <v>12</v>
      </c>
      <c r="AE1345" t="str">
        <f t="shared" si="317"/>
        <v>佛山映月湖环宇城|期末可供出租面积（平方米）</v>
      </c>
    </row>
    <row r="1346" spans="1:31" x14ac:dyDescent="0.4">
      <c r="A1346" t="str">
        <f>IF(原始经营数据!$D1347="","",原始经营数据!$D1347)</f>
        <v>华夏中海消费封闭式基础设施证券投资基金</v>
      </c>
      <c r="B1346" t="str">
        <f>IF(原始经营数据!$D1347="","",T(原始经营数据!$E1347))</f>
        <v>佛山映月湖环宇城</v>
      </c>
      <c r="C1346" t="str">
        <f>IF(原始经营数据!$D1347="","",原始经营数据!$F1347)</f>
        <v>2026Q2</v>
      </c>
      <c r="D1346" t="str">
        <f>IF(原始经营数据!$D1347="","",原始经营数据!$H1347)</f>
        <v>期末可供出租面积</v>
      </c>
      <c r="E1346">
        <f>IF(原始经营数据!$D1347="","",原始经营数据!$I1347)</f>
        <v>69721.899999999994</v>
      </c>
      <c r="F1346" t="str">
        <f>IF(原始经营数据!$D1347="","",T(原始经营数据!$J1347))</f>
        <v>平方米</v>
      </c>
      <c r="G1346" t="str">
        <f>IF(原始经营数据!$D1347="","",T(原始经营数据!$K1347))</f>
        <v/>
      </c>
      <c r="H1346" t="str">
        <f>IF(原始经营数据!$D1347="","",原始经营数据!$G1347)</f>
        <v>服务量</v>
      </c>
      <c r="I1346" t="str">
        <f>IF($A1346="","",IF($B1346&lt;&gt;"",$B1346,IF(COUNTIFS(原始经营数据!$D$3:$D$3001,$A1346,原始经营数据!$E$3:$E$3001,"",原始经营数据!$F$3:$F$3001,$C1346,原始经营数据!$H$3:$H$3001,$D1346,原始经营数据!$K$3:$K$3001,$G1346)&gt;1,"基金整体·来源"&amp;原始经营数据!$A1347,"基金整体")))</f>
        <v>佛山映月湖环宇城</v>
      </c>
      <c r="J1346" t="str">
        <f t="shared" ref="J1346:J1409" si="318">IF($A1346="","",IF(LEN($C1346)=4,"年度",IF(AND(LEN($C1346)=6,ISNUMBER(SEARCH("Q",$C1346))),"季度","其他期间")))</f>
        <v>季度</v>
      </c>
      <c r="K1346" t="str">
        <f t="shared" ref="K1346:K1409" si="319">IF($A1346="","",$D1346&amp;IF($G1346="","","-"&amp;SUBSTITUTE($G1346,CHAR(10),""))&amp;IF($F1346="","","（"&amp;$F1346&amp;"）"))</f>
        <v>期末可供出租面积（平方米）</v>
      </c>
      <c r="L1346" t="str">
        <f t="shared" ref="L1346:L1409" si="320">IF($A1346="","",$I1346&amp;"|"&amp;$K1346&amp;"|"&amp;$J1346)</f>
        <v>佛山映月湖环宇城|期末可供出租面积（平方米）|季度</v>
      </c>
      <c r="M1346">
        <f>IF($A1346="",0,IF(COUNTIF($L$2:$L1346,$L1346)=1,1,0))</f>
        <v>0</v>
      </c>
      <c r="N1346">
        <f t="shared" ref="N1346:N1409" si="321">IF($A1346="","",IF($J1346="年度",VALUE($C1346)*10,IF($J1346="季度",VALUE(LEFT($C1346,4))*10+VALUE(RIGHT($C1346,1)),VALUE(LEFT($C1346,4))*10+9)))</f>
        <v>20262</v>
      </c>
      <c r="O1346" t="str">
        <f t="shared" ref="O1346:O1409" si="322">IF($A1346="","",$A1346&amp;"|"&amp;$C1346&amp;"|"&amp;$J1346)</f>
        <v>华夏中海消费封闭式基础设施证券投资基金|2026Q2|季度</v>
      </c>
      <c r="P1346">
        <f>IF($A1346="",0,IF(COUNTIF($O$2:$O1346,$O1346)=1,1,0))</f>
        <v>1</v>
      </c>
      <c r="Q1346" t="str">
        <f>IF(AND($P1346=1,$A1346=经营数据!$B$3,$J1346=经营数据!$BA$5),COUNTIFS($P$2:$P$3000,1,$A$2:$A$3000,$A1346,$J$2:$J$3000,$J1346,$N$2:$N$3000,"&lt;"&amp;$N1346)+1,"")</f>
        <v/>
      </c>
      <c r="R1346" t="str">
        <f t="shared" ref="R1346:R1409" si="323">IF($A1346="","",$A1346&amp;"|"&amp;$I1346)</f>
        <v>华夏中海消费封闭式基础设施证券投资基金|佛山映月湖环宇城</v>
      </c>
      <c r="S1346">
        <f>IF($A1346="",0,IF(COUNTIF($R$2:$R1346,$R1346)=1,1,0))</f>
        <v>0</v>
      </c>
      <c r="T1346">
        <f t="shared" ref="T1346:T1409" si="324">IF($A1346="","",MATCH($R1346,$R$2:$R$3000,0))</f>
        <v>1244</v>
      </c>
      <c r="U1346" t="str">
        <f>IF($A1346="","",IF($A1346=经营数据!$B$3,COUNTIFS($S$2:$S$3000,1,$A$2:$A$3000,$A1346,$T$2:$T$3000,"&lt;"&amp;$T1346)+1,""))</f>
        <v/>
      </c>
      <c r="V1346" t="str">
        <f t="shared" ref="V1346:V1409" si="325">IF($A1346="","",$I1346&amp;"|"&amp;$H1346)</f>
        <v>佛山映月湖环宇城|服务量</v>
      </c>
      <c r="W1346">
        <f t="shared" ref="W1346:W1409" si="326">IF($A1346="","",MATCH($V1346,$V$2:$V$3000,0))</f>
        <v>1248</v>
      </c>
      <c r="X1346" t="str">
        <f t="shared" ref="X1346:X1409" si="327">IF($A1346="","",$I1346&amp;"|"&amp;$D1346)</f>
        <v>佛山映月湖环宇城|期末可供出租面积</v>
      </c>
      <c r="Y1346">
        <f t="shared" ref="Y1346:Y1409" si="328">IF($A1346="","",MATCH($X1346,$X$2:$X$3000,0))</f>
        <v>1338</v>
      </c>
      <c r="Z1346">
        <f>IF($A1346="",0,IF(AND($M1346=1,$A1346=经营数据!$B$3,$J1346=经营数据!$BA$5,OR($I1346=经营数据!$BA$4,COUNTIF(经营数据!$AA$9:$AA$38,$I1346)&gt;0)),1,0))</f>
        <v>0</v>
      </c>
      <c r="AA1346" t="str">
        <f t="shared" ref="AA1346:AA1409" si="329">IF($Z1346=1,$U1346*1000000000000+$W1346*100000000+$Y1346*10000+ROW(),"")</f>
        <v/>
      </c>
      <c r="AB1346" t="str">
        <f t="shared" ref="AB1346:AB1409" si="330">IF($Z1346=1,COUNTIFS($Z$2:$Z$3000,1,$AA$2:$AA$3000,"&lt;"&amp;$AA1346)+1,"")</f>
        <v/>
      </c>
      <c r="AC1346">
        <f>IF($A1346="",0,IF(COUNTIF($A$2:$A1346,$A1346)=1,1,0))</f>
        <v>0</v>
      </c>
      <c r="AD1346">
        <f t="shared" ref="AD1346:AD1409" si="331">IF($A1346="",N(AD1345),IF($AC1346=1,N(AD1345)+1,N(AD1345)))</f>
        <v>12</v>
      </c>
      <c r="AE1346" t="str">
        <f t="shared" ref="AE1346:AE1409" si="332">IF($A1346="","",$I1346&amp;"|"&amp;$K1346)</f>
        <v>佛山映月湖环宇城|期末可供出租面积（平方米）</v>
      </c>
    </row>
    <row r="1347" spans="1:31" x14ac:dyDescent="0.4">
      <c r="A1347" t="str">
        <f>IF(原始经营数据!$D1348="","",原始经营数据!$D1348)</f>
        <v>华夏中海消费封闭式基础设施证券投资基金</v>
      </c>
      <c r="B1347" t="str">
        <f>IF(原始经营数据!$D1348="","",T(原始经营数据!$E1348))</f>
        <v>佛山映月湖环宇城</v>
      </c>
      <c r="C1347" t="str">
        <f>IF(原始经营数据!$D1348="","",原始经营数据!$F1348)</f>
        <v>2026Q2</v>
      </c>
      <c r="D1347" t="str">
        <f>IF(原始经营数据!$D1348="","",原始经营数据!$H1348)</f>
        <v>期末实际出租面积</v>
      </c>
      <c r="E1347">
        <f>IF(原始经营数据!$D1348="","",原始经营数据!$I1348)</f>
        <v>69721.899999999994</v>
      </c>
      <c r="F1347" t="str">
        <f>IF(原始经营数据!$D1348="","",T(原始经营数据!$J1348))</f>
        <v>平方米</v>
      </c>
      <c r="G1347" t="str">
        <f>IF(原始经营数据!$D1348="","",T(原始经营数据!$K1348))</f>
        <v/>
      </c>
      <c r="H1347" t="str">
        <f>IF(原始经营数据!$D1348="","",原始经营数据!$G1348)</f>
        <v>服务量</v>
      </c>
      <c r="I1347" t="str">
        <f>IF($A1347="","",IF($B1347&lt;&gt;"",$B1347,IF(COUNTIFS(原始经营数据!$D$3:$D$3001,$A1347,原始经营数据!$E$3:$E$3001,"",原始经营数据!$F$3:$F$3001,$C1347,原始经营数据!$H$3:$H$3001,$D1347,原始经营数据!$K$3:$K$3001,$G1347)&gt;1,"基金整体·来源"&amp;原始经营数据!$A1348,"基金整体")))</f>
        <v>佛山映月湖环宇城</v>
      </c>
      <c r="J1347" t="str">
        <f t="shared" si="318"/>
        <v>季度</v>
      </c>
      <c r="K1347" t="str">
        <f t="shared" si="319"/>
        <v>期末实际出租面积（平方米）</v>
      </c>
      <c r="L1347" t="str">
        <f t="shared" si="320"/>
        <v>佛山映月湖环宇城|期末实际出租面积（平方米）|季度</v>
      </c>
      <c r="M1347">
        <f>IF($A1347="",0,IF(COUNTIF($L$2:$L1347,$L1347)=1,1,0))</f>
        <v>0</v>
      </c>
      <c r="N1347">
        <f t="shared" si="321"/>
        <v>20262</v>
      </c>
      <c r="O1347" t="str">
        <f t="shared" si="322"/>
        <v>华夏中海消费封闭式基础设施证券投资基金|2026Q2|季度</v>
      </c>
      <c r="P1347">
        <f>IF($A1347="",0,IF(COUNTIF($O$2:$O1347,$O1347)=1,1,0))</f>
        <v>0</v>
      </c>
      <c r="Q1347" t="str">
        <f>IF(AND($P1347=1,$A1347=经营数据!$B$3,$J1347=经营数据!$BA$5),COUNTIFS($P$2:$P$3000,1,$A$2:$A$3000,$A1347,$J$2:$J$3000,$J1347,$N$2:$N$3000,"&lt;"&amp;$N1347)+1,"")</f>
        <v/>
      </c>
      <c r="R1347" t="str">
        <f t="shared" si="323"/>
        <v>华夏中海消费封闭式基础设施证券投资基金|佛山映月湖环宇城</v>
      </c>
      <c r="S1347">
        <f>IF($A1347="",0,IF(COUNTIF($R$2:$R1347,$R1347)=1,1,0))</f>
        <v>0</v>
      </c>
      <c r="T1347">
        <f t="shared" si="324"/>
        <v>1244</v>
      </c>
      <c r="U1347" t="str">
        <f>IF($A1347="","",IF($A1347=经营数据!$B$3,COUNTIFS($S$2:$S$3000,1,$A$2:$A$3000,$A1347,$T$2:$T$3000,"&lt;"&amp;$T1347)+1,""))</f>
        <v/>
      </c>
      <c r="V1347" t="str">
        <f t="shared" si="325"/>
        <v>佛山映月湖环宇城|服务量</v>
      </c>
      <c r="W1347">
        <f t="shared" si="326"/>
        <v>1248</v>
      </c>
      <c r="X1347" t="str">
        <f t="shared" si="327"/>
        <v>佛山映月湖环宇城|期末实际出租面积</v>
      </c>
      <c r="Y1347">
        <f t="shared" si="328"/>
        <v>1337</v>
      </c>
      <c r="Z1347">
        <f>IF($A1347="",0,IF(AND($M1347=1,$A1347=经营数据!$B$3,$J1347=经营数据!$BA$5,OR($I1347=经营数据!$BA$4,COUNTIF(经营数据!$AA$9:$AA$38,$I1347)&gt;0)),1,0))</f>
        <v>0</v>
      </c>
      <c r="AA1347" t="str">
        <f t="shared" si="329"/>
        <v/>
      </c>
      <c r="AB1347" t="str">
        <f t="shared" si="330"/>
        <v/>
      </c>
      <c r="AC1347">
        <f>IF($A1347="",0,IF(COUNTIF($A$2:$A1347,$A1347)=1,1,0))</f>
        <v>0</v>
      </c>
      <c r="AD1347">
        <f t="shared" si="331"/>
        <v>12</v>
      </c>
      <c r="AE1347" t="str">
        <f t="shared" si="332"/>
        <v>佛山映月湖环宇城|期末实际出租面积（平方米）</v>
      </c>
    </row>
    <row r="1348" spans="1:31" x14ac:dyDescent="0.4">
      <c r="A1348" t="str">
        <f>IF(原始经营数据!$D1349="","",原始经营数据!$D1349)</f>
        <v>华夏中海消费封闭式基础设施证券投资基金</v>
      </c>
      <c r="B1348" t="str">
        <f>IF(原始经营数据!$D1349="","",T(原始经营数据!$E1349))</f>
        <v>佛山映月湖环宇城</v>
      </c>
      <c r="C1348" t="str">
        <f>IF(原始经营数据!$D1349="","",原始经营数据!$F1349)</f>
        <v>2026Q2</v>
      </c>
      <c r="D1348" t="str">
        <f>IF(原始经营数据!$D1349="","",原始经营数据!$H1349)</f>
        <v>期末出租率</v>
      </c>
      <c r="E1348">
        <f>IF(原始经营数据!$D1349="","",原始经营数据!$I1349)</f>
        <v>100</v>
      </c>
      <c r="F1348" t="str">
        <f>IF(原始经营数据!$D1349="","",T(原始经营数据!$J1349))</f>
        <v>%</v>
      </c>
      <c r="G1348" t="str">
        <f>IF(原始经营数据!$D1349="","",T(原始经营数据!$K1349))</f>
        <v/>
      </c>
      <c r="H1348" t="str">
        <f>IF(原始经营数据!$D1349="","",原始经营数据!$G1349)</f>
        <v>服务效率</v>
      </c>
      <c r="I1348" t="str">
        <f>IF($A1348="","",IF($B1348&lt;&gt;"",$B1348,IF(COUNTIFS(原始经营数据!$D$3:$D$3001,$A1348,原始经营数据!$E$3:$E$3001,"",原始经营数据!$F$3:$F$3001,$C1348,原始经营数据!$H$3:$H$3001,$D1348,原始经营数据!$K$3:$K$3001,$G1348)&gt;1,"基金整体·来源"&amp;原始经营数据!$A1349,"基金整体")))</f>
        <v>佛山映月湖环宇城</v>
      </c>
      <c r="J1348" t="str">
        <f t="shared" si="318"/>
        <v>季度</v>
      </c>
      <c r="K1348" t="str">
        <f t="shared" si="319"/>
        <v>期末出租率（%）</v>
      </c>
      <c r="L1348" t="str">
        <f t="shared" si="320"/>
        <v>佛山映月湖环宇城|期末出租率（%）|季度</v>
      </c>
      <c r="M1348">
        <f>IF($A1348="",0,IF(COUNTIF($L$2:$L1348,$L1348)=1,1,0))</f>
        <v>0</v>
      </c>
      <c r="N1348">
        <f t="shared" si="321"/>
        <v>20262</v>
      </c>
      <c r="O1348" t="str">
        <f t="shared" si="322"/>
        <v>华夏中海消费封闭式基础设施证券投资基金|2026Q2|季度</v>
      </c>
      <c r="P1348">
        <f>IF($A1348="",0,IF(COUNTIF($O$2:$O1348,$O1348)=1,1,0))</f>
        <v>0</v>
      </c>
      <c r="Q1348" t="str">
        <f>IF(AND($P1348=1,$A1348=经营数据!$B$3,$J1348=经营数据!$BA$5),COUNTIFS($P$2:$P$3000,1,$A$2:$A$3000,$A1348,$J$2:$J$3000,$J1348,$N$2:$N$3000,"&lt;"&amp;$N1348)+1,"")</f>
        <v/>
      </c>
      <c r="R1348" t="str">
        <f t="shared" si="323"/>
        <v>华夏中海消费封闭式基础设施证券投资基金|佛山映月湖环宇城</v>
      </c>
      <c r="S1348">
        <f>IF($A1348="",0,IF(COUNTIF($R$2:$R1348,$R1348)=1,1,0))</f>
        <v>0</v>
      </c>
      <c r="T1348">
        <f t="shared" si="324"/>
        <v>1244</v>
      </c>
      <c r="U1348" t="str">
        <f>IF($A1348="","",IF($A1348=经营数据!$B$3,COUNTIFS($S$2:$S$3000,1,$A$2:$A$3000,$A1348,$T$2:$T$3000,"&lt;"&amp;$T1348)+1,""))</f>
        <v/>
      </c>
      <c r="V1348" t="str">
        <f t="shared" si="325"/>
        <v>佛山映月湖环宇城|服务效率</v>
      </c>
      <c r="W1348">
        <f t="shared" si="326"/>
        <v>1253</v>
      </c>
      <c r="X1348" t="str">
        <f t="shared" si="327"/>
        <v>佛山映月湖环宇城|期末出租率</v>
      </c>
      <c r="Y1348">
        <f t="shared" si="328"/>
        <v>1333</v>
      </c>
      <c r="Z1348">
        <f>IF($A1348="",0,IF(AND($M1348=1,$A1348=经营数据!$B$3,$J1348=经营数据!$BA$5,OR($I1348=经营数据!$BA$4,COUNTIF(经营数据!$AA$9:$AA$38,$I1348)&gt;0)),1,0))</f>
        <v>0</v>
      </c>
      <c r="AA1348" t="str">
        <f t="shared" si="329"/>
        <v/>
      </c>
      <c r="AB1348" t="str">
        <f t="shared" si="330"/>
        <v/>
      </c>
      <c r="AC1348">
        <f>IF($A1348="",0,IF(COUNTIF($A$2:$A1348,$A1348)=1,1,0))</f>
        <v>0</v>
      </c>
      <c r="AD1348">
        <f t="shared" si="331"/>
        <v>12</v>
      </c>
      <c r="AE1348" t="str">
        <f t="shared" si="332"/>
        <v>佛山映月湖环宇城|期末出租率（%）</v>
      </c>
    </row>
    <row r="1349" spans="1:31" x14ac:dyDescent="0.4">
      <c r="A1349" t="str">
        <f>IF(原始经营数据!$D1350="","",原始经营数据!$D1350)</f>
        <v>华夏中海消费封闭式基础设施证券投资基金</v>
      </c>
      <c r="B1349" t="str">
        <f>IF(原始经营数据!$D1350="","",T(原始经营数据!$E1350))</f>
        <v>佛山映月湖环宇城</v>
      </c>
      <c r="C1349" t="str">
        <f>IF(原始经营数据!$D1350="","",原始经营数据!$F1350)</f>
        <v>2026Q2</v>
      </c>
      <c r="D1349" t="str">
        <f>IF(原始经营数据!$D1350="","",原始经营数据!$H1350)</f>
        <v>期内租金单价水平</v>
      </c>
      <c r="E1349">
        <f>IF(原始经营数据!$D1350="","",原始经营数据!$I1350)</f>
        <v>156.38999999999999</v>
      </c>
      <c r="F1349" t="str">
        <f>IF(原始经营数据!$D1350="","",T(原始经营数据!$J1350))</f>
        <v>元/平方米/月</v>
      </c>
      <c r="G1349" t="str">
        <f>IF(原始经营数据!$D1350="","",T(原始经营数据!$K1350))</f>
        <v/>
      </c>
      <c r="H1349" t="str">
        <f>IF(原始经营数据!$D1350="","",原始经营数据!$G1350)</f>
        <v>服务价格</v>
      </c>
      <c r="I1349" t="str">
        <f>IF($A1349="","",IF($B1349&lt;&gt;"",$B1349,IF(COUNTIFS(原始经营数据!$D$3:$D$3001,$A1349,原始经营数据!$E$3:$E$3001,"",原始经营数据!$F$3:$F$3001,$C1349,原始经营数据!$H$3:$H$3001,$D1349,原始经营数据!$K$3:$K$3001,$G1349)&gt;1,"基金整体·来源"&amp;原始经营数据!$A1350,"基金整体")))</f>
        <v>佛山映月湖环宇城</v>
      </c>
      <c r="J1349" t="str">
        <f t="shared" si="318"/>
        <v>季度</v>
      </c>
      <c r="K1349" t="str">
        <f t="shared" si="319"/>
        <v>期内租金单价水平（元/平方米/月）</v>
      </c>
      <c r="L1349" t="str">
        <f t="shared" si="320"/>
        <v>佛山映月湖环宇城|期内租金单价水平（元/平方米/月）|季度</v>
      </c>
      <c r="M1349">
        <f>IF($A1349="",0,IF(COUNTIF($L$2:$L1349,$L1349)=1,1,0))</f>
        <v>0</v>
      </c>
      <c r="N1349">
        <f t="shared" si="321"/>
        <v>20262</v>
      </c>
      <c r="O1349" t="str">
        <f t="shared" si="322"/>
        <v>华夏中海消费封闭式基础设施证券投资基金|2026Q2|季度</v>
      </c>
      <c r="P1349">
        <f>IF($A1349="",0,IF(COUNTIF($O$2:$O1349,$O1349)=1,1,0))</f>
        <v>0</v>
      </c>
      <c r="Q1349" t="str">
        <f>IF(AND($P1349=1,$A1349=经营数据!$B$3,$J1349=经营数据!$BA$5),COUNTIFS($P$2:$P$3000,1,$A$2:$A$3000,$A1349,$J$2:$J$3000,$J1349,$N$2:$N$3000,"&lt;"&amp;$N1349)+1,"")</f>
        <v/>
      </c>
      <c r="R1349" t="str">
        <f t="shared" si="323"/>
        <v>华夏中海消费封闭式基础设施证券投资基金|佛山映月湖环宇城</v>
      </c>
      <c r="S1349">
        <f>IF($A1349="",0,IF(COUNTIF($R$2:$R1349,$R1349)=1,1,0))</f>
        <v>0</v>
      </c>
      <c r="T1349">
        <f t="shared" si="324"/>
        <v>1244</v>
      </c>
      <c r="U1349" t="str">
        <f>IF($A1349="","",IF($A1349=经营数据!$B$3,COUNTIFS($S$2:$S$3000,1,$A$2:$A$3000,$A1349,$T$2:$T$3000,"&lt;"&amp;$T1349)+1,""))</f>
        <v/>
      </c>
      <c r="V1349" t="str">
        <f t="shared" si="325"/>
        <v>佛山映月湖环宇城|服务价格</v>
      </c>
      <c r="W1349">
        <f t="shared" si="326"/>
        <v>1250</v>
      </c>
      <c r="X1349" t="str">
        <f t="shared" si="327"/>
        <v>佛山映月湖环宇城|期内租金单价水平</v>
      </c>
      <c r="Y1349">
        <f t="shared" si="328"/>
        <v>1334</v>
      </c>
      <c r="Z1349">
        <f>IF($A1349="",0,IF(AND($M1349=1,$A1349=经营数据!$B$3,$J1349=经营数据!$BA$5,OR($I1349=经营数据!$BA$4,COUNTIF(经营数据!$AA$9:$AA$38,$I1349)&gt;0)),1,0))</f>
        <v>0</v>
      </c>
      <c r="AA1349" t="str">
        <f t="shared" si="329"/>
        <v/>
      </c>
      <c r="AB1349" t="str">
        <f t="shared" si="330"/>
        <v/>
      </c>
      <c r="AC1349">
        <f>IF($A1349="",0,IF(COUNTIF($A$2:$A1349,$A1349)=1,1,0))</f>
        <v>0</v>
      </c>
      <c r="AD1349">
        <f t="shared" si="331"/>
        <v>12</v>
      </c>
      <c r="AE1349" t="str">
        <f t="shared" si="332"/>
        <v>佛山映月湖环宇城|期内租金单价水平（元/平方米/月）</v>
      </c>
    </row>
    <row r="1350" spans="1:31" x14ac:dyDescent="0.4">
      <c r="A1350" t="str">
        <f>IF(原始经营数据!$D1351="","",原始经营数据!$D1351)</f>
        <v>华夏中海消费封闭式基础设施证券投资基金</v>
      </c>
      <c r="B1350" t="str">
        <f>IF(原始经营数据!$D1351="","",T(原始经营数据!$E1351))</f>
        <v>佛山映月湖环宇城</v>
      </c>
      <c r="C1350" t="str">
        <f>IF(原始经营数据!$D1351="","",原始经营数据!$F1351)</f>
        <v>2026Q2</v>
      </c>
      <c r="D1350" t="str">
        <f>IF(原始经营数据!$D1351="","",原始经营数据!$H1351)</f>
        <v>期末加权平均剩余租期</v>
      </c>
      <c r="E1350">
        <f>IF(原始经营数据!$D1351="","",原始经营数据!$I1351)</f>
        <v>3.83</v>
      </c>
      <c r="F1350" t="str">
        <f>IF(原始经营数据!$D1351="","",T(原始经营数据!$J1351))</f>
        <v>年</v>
      </c>
      <c r="G1350" t="str">
        <f>IF(原始经营数据!$D1351="","",T(原始经营数据!$K1351))</f>
        <v/>
      </c>
      <c r="H1350" t="str">
        <f>IF(原始经营数据!$D1351="","",原始经营数据!$G1351)</f>
        <v>服务量</v>
      </c>
      <c r="I1350" t="str">
        <f>IF($A1350="","",IF($B1350&lt;&gt;"",$B1350,IF(COUNTIFS(原始经营数据!$D$3:$D$3001,$A1350,原始经营数据!$E$3:$E$3001,"",原始经营数据!$F$3:$F$3001,$C1350,原始经营数据!$H$3:$H$3001,$D1350,原始经营数据!$K$3:$K$3001,$G1350)&gt;1,"基金整体·来源"&amp;原始经营数据!$A1351,"基金整体")))</f>
        <v>佛山映月湖环宇城</v>
      </c>
      <c r="J1350" t="str">
        <f t="shared" si="318"/>
        <v>季度</v>
      </c>
      <c r="K1350" t="str">
        <f t="shared" si="319"/>
        <v>期末加权平均剩余租期（年）</v>
      </c>
      <c r="L1350" t="str">
        <f t="shared" si="320"/>
        <v>佛山映月湖环宇城|期末加权平均剩余租期（年）|季度</v>
      </c>
      <c r="M1350">
        <f>IF($A1350="",0,IF(COUNTIF($L$2:$L1350,$L1350)=1,1,0))</f>
        <v>0</v>
      </c>
      <c r="N1350">
        <f t="shared" si="321"/>
        <v>20262</v>
      </c>
      <c r="O1350" t="str">
        <f t="shared" si="322"/>
        <v>华夏中海消费封闭式基础设施证券投资基金|2026Q2|季度</v>
      </c>
      <c r="P1350">
        <f>IF($A1350="",0,IF(COUNTIF($O$2:$O1350,$O1350)=1,1,0))</f>
        <v>0</v>
      </c>
      <c r="Q1350" t="str">
        <f>IF(AND($P1350=1,$A1350=经营数据!$B$3,$J1350=经营数据!$BA$5),COUNTIFS($P$2:$P$3000,1,$A$2:$A$3000,$A1350,$J$2:$J$3000,$J1350,$N$2:$N$3000,"&lt;"&amp;$N1350)+1,"")</f>
        <v/>
      </c>
      <c r="R1350" t="str">
        <f t="shared" si="323"/>
        <v>华夏中海消费封闭式基础设施证券投资基金|佛山映月湖环宇城</v>
      </c>
      <c r="S1350">
        <f>IF($A1350="",0,IF(COUNTIF($R$2:$R1350,$R1350)=1,1,0))</f>
        <v>0</v>
      </c>
      <c r="T1350">
        <f t="shared" si="324"/>
        <v>1244</v>
      </c>
      <c r="U1350" t="str">
        <f>IF($A1350="","",IF($A1350=经营数据!$B$3,COUNTIFS($S$2:$S$3000,1,$A$2:$A$3000,$A1350,$T$2:$T$3000,"&lt;"&amp;$T1350)+1,""))</f>
        <v/>
      </c>
      <c r="V1350" t="str">
        <f t="shared" si="325"/>
        <v>佛山映月湖环宇城|服务量</v>
      </c>
      <c r="W1350">
        <f t="shared" si="326"/>
        <v>1248</v>
      </c>
      <c r="X1350" t="str">
        <f t="shared" si="327"/>
        <v>佛山映月湖环宇城|期末加权平均剩余租期</v>
      </c>
      <c r="Y1350">
        <f t="shared" si="328"/>
        <v>1335</v>
      </c>
      <c r="Z1350">
        <f>IF($A1350="",0,IF(AND($M1350=1,$A1350=经营数据!$B$3,$J1350=经营数据!$BA$5,OR($I1350=经营数据!$BA$4,COUNTIF(经营数据!$AA$9:$AA$38,$I1350)&gt;0)),1,0))</f>
        <v>0</v>
      </c>
      <c r="AA1350" t="str">
        <f t="shared" si="329"/>
        <v/>
      </c>
      <c r="AB1350" t="str">
        <f t="shared" si="330"/>
        <v/>
      </c>
      <c r="AC1350">
        <f>IF($A1350="",0,IF(COUNTIF($A$2:$A1350,$A1350)=1,1,0))</f>
        <v>0</v>
      </c>
      <c r="AD1350">
        <f t="shared" si="331"/>
        <v>12</v>
      </c>
      <c r="AE1350" t="str">
        <f t="shared" si="332"/>
        <v>佛山映月湖环宇城|期末加权平均剩余租期（年）</v>
      </c>
    </row>
    <row r="1351" spans="1:31" x14ac:dyDescent="0.4">
      <c r="A1351" t="str">
        <f>IF(原始经营数据!$D1352="","",原始经营数据!$D1352)</f>
        <v>华夏中海消费封闭式基础设施证券投资基金</v>
      </c>
      <c r="B1351" t="str">
        <f>IF(原始经营数据!$D1352="","",T(原始经营数据!$E1352))</f>
        <v>佛山映月湖环宇城</v>
      </c>
      <c r="C1351" t="str">
        <f>IF(原始经营数据!$D1352="","",原始经营数据!$F1352)</f>
        <v>2026Q2</v>
      </c>
      <c r="D1351" t="str">
        <f>IF(原始经营数据!$D1352="","",原始经营数据!$H1352)</f>
        <v>期末租金收缴率</v>
      </c>
      <c r="E1351">
        <f>IF(原始经营数据!$D1352="","",原始经营数据!$I1352)</f>
        <v>100</v>
      </c>
      <c r="F1351" t="str">
        <f>IF(原始经营数据!$D1352="","",T(原始经营数据!$J1352))</f>
        <v>%</v>
      </c>
      <c r="G1351" t="str">
        <f>IF(原始经营数据!$D1352="","",T(原始经营数据!$K1352))</f>
        <v/>
      </c>
      <c r="H1351" t="str">
        <f>IF(原始经营数据!$D1352="","",原始经营数据!$G1352)</f>
        <v>服务效率</v>
      </c>
      <c r="I1351" t="str">
        <f>IF($A1351="","",IF($B1351&lt;&gt;"",$B1351,IF(COUNTIFS(原始经营数据!$D$3:$D$3001,$A1351,原始经营数据!$E$3:$E$3001,"",原始经营数据!$F$3:$F$3001,$C1351,原始经营数据!$H$3:$H$3001,$D1351,原始经营数据!$K$3:$K$3001,$G1351)&gt;1,"基金整体·来源"&amp;原始经营数据!$A1352,"基金整体")))</f>
        <v>佛山映月湖环宇城</v>
      </c>
      <c r="J1351" t="str">
        <f t="shared" si="318"/>
        <v>季度</v>
      </c>
      <c r="K1351" t="str">
        <f t="shared" si="319"/>
        <v>期末租金收缴率（%）</v>
      </c>
      <c r="L1351" t="str">
        <f t="shared" si="320"/>
        <v>佛山映月湖环宇城|期末租金收缴率（%）|季度</v>
      </c>
      <c r="M1351">
        <f>IF($A1351="",0,IF(COUNTIF($L$2:$L1351,$L1351)=1,1,0))</f>
        <v>0</v>
      </c>
      <c r="N1351">
        <f t="shared" si="321"/>
        <v>20262</v>
      </c>
      <c r="O1351" t="str">
        <f t="shared" si="322"/>
        <v>华夏中海消费封闭式基础设施证券投资基金|2026Q2|季度</v>
      </c>
      <c r="P1351">
        <f>IF($A1351="",0,IF(COUNTIF($O$2:$O1351,$O1351)=1,1,0))</f>
        <v>0</v>
      </c>
      <c r="Q1351" t="str">
        <f>IF(AND($P1351=1,$A1351=经营数据!$B$3,$J1351=经营数据!$BA$5),COUNTIFS($P$2:$P$3000,1,$A$2:$A$3000,$A1351,$J$2:$J$3000,$J1351,$N$2:$N$3000,"&lt;"&amp;$N1351)+1,"")</f>
        <v/>
      </c>
      <c r="R1351" t="str">
        <f t="shared" si="323"/>
        <v>华夏中海消费封闭式基础设施证券投资基金|佛山映月湖环宇城</v>
      </c>
      <c r="S1351">
        <f>IF($A1351="",0,IF(COUNTIF($R$2:$R1351,$R1351)=1,1,0))</f>
        <v>0</v>
      </c>
      <c r="T1351">
        <f t="shared" si="324"/>
        <v>1244</v>
      </c>
      <c r="U1351" t="str">
        <f>IF($A1351="","",IF($A1351=经营数据!$B$3,COUNTIFS($S$2:$S$3000,1,$A$2:$A$3000,$A1351,$T$2:$T$3000,"&lt;"&amp;$T1351)+1,""))</f>
        <v/>
      </c>
      <c r="V1351" t="str">
        <f t="shared" si="325"/>
        <v>佛山映月湖环宇城|服务效率</v>
      </c>
      <c r="W1351">
        <f t="shared" si="326"/>
        <v>1253</v>
      </c>
      <c r="X1351" t="str">
        <f t="shared" si="327"/>
        <v>佛山映月湖环宇城|期末租金收缴率</v>
      </c>
      <c r="Y1351">
        <f t="shared" si="328"/>
        <v>1336</v>
      </c>
      <c r="Z1351">
        <f>IF($A1351="",0,IF(AND($M1351=1,$A1351=经营数据!$B$3,$J1351=经营数据!$BA$5,OR($I1351=经营数据!$BA$4,COUNTIF(经营数据!$AA$9:$AA$38,$I1351)&gt;0)),1,0))</f>
        <v>0</v>
      </c>
      <c r="AA1351" t="str">
        <f t="shared" si="329"/>
        <v/>
      </c>
      <c r="AB1351" t="str">
        <f t="shared" si="330"/>
        <v/>
      </c>
      <c r="AC1351">
        <f>IF($A1351="",0,IF(COUNTIF($A$2:$A1351,$A1351)=1,1,0))</f>
        <v>0</v>
      </c>
      <c r="AD1351">
        <f t="shared" si="331"/>
        <v>12</v>
      </c>
      <c r="AE1351" t="str">
        <f t="shared" si="332"/>
        <v>佛山映月湖环宇城|期末租金收缴率（%）</v>
      </c>
    </row>
    <row r="1352" spans="1:31" x14ac:dyDescent="0.4">
      <c r="A1352" t="str">
        <f>IF(原始经营数据!$D1353="","",原始经营数据!$D1353)</f>
        <v>汇添富上海地产封闭式商业不动产证券投资基金</v>
      </c>
      <c r="B1352" t="str">
        <f>IF(原始经营数据!$D1353="","",T(原始经营数据!$E1353))</f>
        <v>鼎保大厦</v>
      </c>
      <c r="C1352" t="str">
        <f>IF(原始经营数据!$D1353="","",原始经营数据!$F1353)</f>
        <v>2023</v>
      </c>
      <c r="D1352" t="str">
        <f>IF(原始经营数据!$D1353="","",原始经营数据!$H1353)</f>
        <v>期末出租率</v>
      </c>
      <c r="E1352">
        <f>IF(原始经营数据!$D1353="","",原始经营数据!$I1353)</f>
        <v>97.96</v>
      </c>
      <c r="F1352" t="str">
        <f>IF(原始经营数据!$D1353="","",T(原始经营数据!$J1353))</f>
        <v>%</v>
      </c>
      <c r="G1352" t="str">
        <f>IF(原始经营数据!$D1353="","",T(原始经营数据!$K1353))</f>
        <v/>
      </c>
      <c r="H1352" t="str">
        <f>IF(原始经营数据!$D1353="","",原始经营数据!$G1353)</f>
        <v>服务效率</v>
      </c>
      <c r="I1352" t="str">
        <f>IF($A1352="","",IF($B1352&lt;&gt;"",$B1352,IF(COUNTIFS(原始经营数据!$D$3:$D$3001,$A1352,原始经营数据!$E$3:$E$3001,"",原始经营数据!$F$3:$F$3001,$C1352,原始经营数据!$H$3:$H$3001,$D1352,原始经营数据!$K$3:$K$3001,$G1352)&gt;1,"基金整体·来源"&amp;原始经营数据!$A1353,"基金整体")))</f>
        <v>鼎保大厦</v>
      </c>
      <c r="J1352" t="str">
        <f t="shared" si="318"/>
        <v>年度</v>
      </c>
      <c r="K1352" t="str">
        <f t="shared" si="319"/>
        <v>期末出租率（%）</v>
      </c>
      <c r="L1352" t="str">
        <f t="shared" si="320"/>
        <v>鼎保大厦|期末出租率（%）|年度</v>
      </c>
      <c r="M1352">
        <f>IF($A1352="",0,IF(COUNTIF($L$2:$L1352,$L1352)=1,1,0))</f>
        <v>1</v>
      </c>
      <c r="N1352">
        <f t="shared" si="321"/>
        <v>20230</v>
      </c>
      <c r="O1352" t="str">
        <f t="shared" si="322"/>
        <v>汇添富上海地产封闭式商业不动产证券投资基金|2023|年度</v>
      </c>
      <c r="P1352">
        <f>IF($A1352="",0,IF(COUNTIF($O$2:$O1352,$O1352)=1,1,0))</f>
        <v>1</v>
      </c>
      <c r="Q1352" t="str">
        <f>IF(AND($P1352=1,$A1352=经营数据!$B$3,$J1352=经营数据!$BA$5),COUNTIFS($P$2:$P$3000,1,$A$2:$A$3000,$A1352,$J$2:$J$3000,$J1352,$N$2:$N$3000,"&lt;"&amp;$N1352)+1,"")</f>
        <v/>
      </c>
      <c r="R1352" t="str">
        <f t="shared" si="323"/>
        <v>汇添富上海地产封闭式商业不动产证券投资基金|鼎保大厦</v>
      </c>
      <c r="S1352">
        <f>IF($A1352="",0,IF(COUNTIF($R$2:$R1352,$R1352)=1,1,0))</f>
        <v>1</v>
      </c>
      <c r="T1352">
        <f t="shared" si="324"/>
        <v>1351</v>
      </c>
      <c r="U1352" t="str">
        <f>IF($A1352="","",IF($A1352=经营数据!$B$3,COUNTIFS($S$2:$S$3000,1,$A$2:$A$3000,$A1352,$T$2:$T$3000,"&lt;"&amp;$T1352)+1,""))</f>
        <v/>
      </c>
      <c r="V1352" t="str">
        <f t="shared" si="325"/>
        <v>鼎保大厦|服务效率</v>
      </c>
      <c r="W1352">
        <f t="shared" si="326"/>
        <v>1351</v>
      </c>
      <c r="X1352" t="str">
        <f t="shared" si="327"/>
        <v>鼎保大厦|期末出租率</v>
      </c>
      <c r="Y1352">
        <f t="shared" si="328"/>
        <v>1351</v>
      </c>
      <c r="Z1352">
        <f>IF($A1352="",0,IF(AND($M1352=1,$A1352=经营数据!$B$3,$J1352=经营数据!$BA$5,OR($I1352=经营数据!$BA$4,COUNTIF(经营数据!$AA$9:$AA$38,$I1352)&gt;0)),1,0))</f>
        <v>0</v>
      </c>
      <c r="AA1352" t="str">
        <f t="shared" si="329"/>
        <v/>
      </c>
      <c r="AB1352" t="str">
        <f t="shared" si="330"/>
        <v/>
      </c>
      <c r="AC1352">
        <f>IF($A1352="",0,IF(COUNTIF($A$2:$A1352,$A1352)=1,1,0))</f>
        <v>1</v>
      </c>
      <c r="AD1352">
        <f t="shared" si="331"/>
        <v>13</v>
      </c>
      <c r="AE1352" t="str">
        <f t="shared" si="332"/>
        <v>鼎保大厦|期末出租率（%）</v>
      </c>
    </row>
    <row r="1353" spans="1:31" x14ac:dyDescent="0.4">
      <c r="A1353" t="str">
        <f>IF(原始经营数据!$D1354="","",原始经营数据!$D1354)</f>
        <v>汇添富上海地产封闭式商业不动产证券投资基金</v>
      </c>
      <c r="B1353" t="str">
        <f>IF(原始经营数据!$D1354="","",T(原始经营数据!$E1354))</f>
        <v>鼎保大厦</v>
      </c>
      <c r="C1353" t="str">
        <f>IF(原始经营数据!$D1354="","",原始经营数据!$F1354)</f>
        <v>2023</v>
      </c>
      <c r="D1353" t="str">
        <f>IF(原始经营数据!$D1354="","",原始经营数据!$H1354)</f>
        <v>加权平均出租率</v>
      </c>
      <c r="E1353">
        <f>IF(原始经营数据!$D1354="","",原始经营数据!$I1354)</f>
        <v>98.69</v>
      </c>
      <c r="F1353" t="str">
        <f>IF(原始经营数据!$D1354="","",T(原始经营数据!$J1354))</f>
        <v>%</v>
      </c>
      <c r="G1353" t="str">
        <f>IF(原始经营数据!$D1354="","",T(原始经营数据!$K1354))</f>
        <v/>
      </c>
      <c r="H1353" t="str">
        <f>IF(原始经营数据!$D1354="","",原始经营数据!$G1354)</f>
        <v>服务效率</v>
      </c>
      <c r="I1353" t="str">
        <f>IF($A1353="","",IF($B1353&lt;&gt;"",$B1353,IF(COUNTIFS(原始经营数据!$D$3:$D$3001,$A1353,原始经营数据!$E$3:$E$3001,"",原始经营数据!$F$3:$F$3001,$C1353,原始经营数据!$H$3:$H$3001,$D1353,原始经营数据!$K$3:$K$3001,$G1353)&gt;1,"基金整体·来源"&amp;原始经营数据!$A1354,"基金整体")))</f>
        <v>鼎保大厦</v>
      </c>
      <c r="J1353" t="str">
        <f t="shared" si="318"/>
        <v>年度</v>
      </c>
      <c r="K1353" t="str">
        <f t="shared" si="319"/>
        <v>加权平均出租率（%）</v>
      </c>
      <c r="L1353" t="str">
        <f t="shared" si="320"/>
        <v>鼎保大厦|加权平均出租率（%）|年度</v>
      </c>
      <c r="M1353">
        <f>IF($A1353="",0,IF(COUNTIF($L$2:$L1353,$L1353)=1,1,0))</f>
        <v>1</v>
      </c>
      <c r="N1353">
        <f t="shared" si="321"/>
        <v>20230</v>
      </c>
      <c r="O1353" t="str">
        <f t="shared" si="322"/>
        <v>汇添富上海地产封闭式商业不动产证券投资基金|2023|年度</v>
      </c>
      <c r="P1353">
        <f>IF($A1353="",0,IF(COUNTIF($O$2:$O1353,$O1353)=1,1,0))</f>
        <v>0</v>
      </c>
      <c r="Q1353" t="str">
        <f>IF(AND($P1353=1,$A1353=经营数据!$B$3,$J1353=经营数据!$BA$5),COUNTIFS($P$2:$P$3000,1,$A$2:$A$3000,$A1353,$J$2:$J$3000,$J1353,$N$2:$N$3000,"&lt;"&amp;$N1353)+1,"")</f>
        <v/>
      </c>
      <c r="R1353" t="str">
        <f t="shared" si="323"/>
        <v>汇添富上海地产封闭式商业不动产证券投资基金|鼎保大厦</v>
      </c>
      <c r="S1353">
        <f>IF($A1353="",0,IF(COUNTIF($R$2:$R1353,$R1353)=1,1,0))</f>
        <v>0</v>
      </c>
      <c r="T1353">
        <f t="shared" si="324"/>
        <v>1351</v>
      </c>
      <c r="U1353" t="str">
        <f>IF($A1353="","",IF($A1353=经营数据!$B$3,COUNTIFS($S$2:$S$3000,1,$A$2:$A$3000,$A1353,$T$2:$T$3000,"&lt;"&amp;$T1353)+1,""))</f>
        <v/>
      </c>
      <c r="V1353" t="str">
        <f t="shared" si="325"/>
        <v>鼎保大厦|服务效率</v>
      </c>
      <c r="W1353">
        <f t="shared" si="326"/>
        <v>1351</v>
      </c>
      <c r="X1353" t="str">
        <f t="shared" si="327"/>
        <v>鼎保大厦|加权平均出租率</v>
      </c>
      <c r="Y1353">
        <f t="shared" si="328"/>
        <v>1352</v>
      </c>
      <c r="Z1353">
        <f>IF($A1353="",0,IF(AND($M1353=1,$A1353=经营数据!$B$3,$J1353=经营数据!$BA$5,OR($I1353=经营数据!$BA$4,COUNTIF(经营数据!$AA$9:$AA$38,$I1353)&gt;0)),1,0))</f>
        <v>0</v>
      </c>
      <c r="AA1353" t="str">
        <f t="shared" si="329"/>
        <v/>
      </c>
      <c r="AB1353" t="str">
        <f t="shared" si="330"/>
        <v/>
      </c>
      <c r="AC1353">
        <f>IF($A1353="",0,IF(COUNTIF($A$2:$A1353,$A1353)=1,1,0))</f>
        <v>0</v>
      </c>
      <c r="AD1353">
        <f t="shared" si="331"/>
        <v>13</v>
      </c>
      <c r="AE1353" t="str">
        <f t="shared" si="332"/>
        <v>鼎保大厦|加权平均出租率（%）</v>
      </c>
    </row>
    <row r="1354" spans="1:31" x14ac:dyDescent="0.4">
      <c r="A1354" t="str">
        <f>IF(原始经营数据!$D1355="","",原始经营数据!$D1355)</f>
        <v>汇添富上海地产封闭式商业不动产证券投资基金</v>
      </c>
      <c r="B1354" t="str">
        <f>IF(原始经营数据!$D1355="","",T(原始经营数据!$E1355))</f>
        <v>鼎保大厦</v>
      </c>
      <c r="C1354" t="str">
        <f>IF(原始经营数据!$D1355="","",原始经营数据!$F1355)</f>
        <v>2023</v>
      </c>
      <c r="D1354" t="str">
        <f>IF(原始经营数据!$D1355="","",原始经营数据!$H1355)</f>
        <v>期末合同租金单价</v>
      </c>
      <c r="E1354">
        <f>IF(原始经营数据!$D1355="","",原始经营数据!$I1355)</f>
        <v>175.94</v>
      </c>
      <c r="F1354" t="str">
        <f>IF(原始经营数据!$D1355="","",T(原始经营数据!$J1355))</f>
        <v>元/平方米/月</v>
      </c>
      <c r="G1354" t="str">
        <f>IF(原始经营数据!$D1355="","",T(原始经营数据!$K1355))</f>
        <v/>
      </c>
      <c r="H1354" t="str">
        <f>IF(原始经营数据!$D1355="","",原始经营数据!$G1355)</f>
        <v>服务价格</v>
      </c>
      <c r="I1354" t="str">
        <f>IF($A1354="","",IF($B1354&lt;&gt;"",$B1354,IF(COUNTIFS(原始经营数据!$D$3:$D$3001,$A1354,原始经营数据!$E$3:$E$3001,"",原始经营数据!$F$3:$F$3001,$C1354,原始经营数据!$H$3:$H$3001,$D1354,原始经营数据!$K$3:$K$3001,$G1354)&gt;1,"基金整体·来源"&amp;原始经营数据!$A1355,"基金整体")))</f>
        <v>鼎保大厦</v>
      </c>
      <c r="J1354" t="str">
        <f t="shared" si="318"/>
        <v>年度</v>
      </c>
      <c r="K1354" t="str">
        <f t="shared" si="319"/>
        <v>期末合同租金单价（元/平方米/月）</v>
      </c>
      <c r="L1354" t="str">
        <f t="shared" si="320"/>
        <v>鼎保大厦|期末合同租金单价（元/平方米/月）|年度</v>
      </c>
      <c r="M1354">
        <f>IF($A1354="",0,IF(COUNTIF($L$2:$L1354,$L1354)=1,1,0))</f>
        <v>1</v>
      </c>
      <c r="N1354">
        <f t="shared" si="321"/>
        <v>20230</v>
      </c>
      <c r="O1354" t="str">
        <f t="shared" si="322"/>
        <v>汇添富上海地产封闭式商业不动产证券投资基金|2023|年度</v>
      </c>
      <c r="P1354">
        <f>IF($A1354="",0,IF(COUNTIF($O$2:$O1354,$O1354)=1,1,0))</f>
        <v>0</v>
      </c>
      <c r="Q1354" t="str">
        <f>IF(AND($P1354=1,$A1354=经营数据!$B$3,$J1354=经营数据!$BA$5),COUNTIFS($P$2:$P$3000,1,$A$2:$A$3000,$A1354,$J$2:$J$3000,$J1354,$N$2:$N$3000,"&lt;"&amp;$N1354)+1,"")</f>
        <v/>
      </c>
      <c r="R1354" t="str">
        <f t="shared" si="323"/>
        <v>汇添富上海地产封闭式商业不动产证券投资基金|鼎保大厦</v>
      </c>
      <c r="S1354">
        <f>IF($A1354="",0,IF(COUNTIF($R$2:$R1354,$R1354)=1,1,0))</f>
        <v>0</v>
      </c>
      <c r="T1354">
        <f t="shared" si="324"/>
        <v>1351</v>
      </c>
      <c r="U1354" t="str">
        <f>IF($A1354="","",IF($A1354=经营数据!$B$3,COUNTIFS($S$2:$S$3000,1,$A$2:$A$3000,$A1354,$T$2:$T$3000,"&lt;"&amp;$T1354)+1,""))</f>
        <v/>
      </c>
      <c r="V1354" t="str">
        <f t="shared" si="325"/>
        <v>鼎保大厦|服务价格</v>
      </c>
      <c r="W1354">
        <f t="shared" si="326"/>
        <v>1353</v>
      </c>
      <c r="X1354" t="str">
        <f t="shared" si="327"/>
        <v>鼎保大厦|期末合同租金单价</v>
      </c>
      <c r="Y1354">
        <f t="shared" si="328"/>
        <v>1353</v>
      </c>
      <c r="Z1354">
        <f>IF($A1354="",0,IF(AND($M1354=1,$A1354=经营数据!$B$3,$J1354=经营数据!$BA$5,OR($I1354=经营数据!$BA$4,COUNTIF(经营数据!$AA$9:$AA$38,$I1354)&gt;0)),1,0))</f>
        <v>0</v>
      </c>
      <c r="AA1354" t="str">
        <f t="shared" si="329"/>
        <v/>
      </c>
      <c r="AB1354" t="str">
        <f t="shared" si="330"/>
        <v/>
      </c>
      <c r="AC1354">
        <f>IF($A1354="",0,IF(COUNTIF($A$2:$A1354,$A1354)=1,1,0))</f>
        <v>0</v>
      </c>
      <c r="AD1354">
        <f t="shared" si="331"/>
        <v>13</v>
      </c>
      <c r="AE1354" t="str">
        <f t="shared" si="332"/>
        <v>鼎保大厦|期末合同租金单价（元/平方米/月）</v>
      </c>
    </row>
    <row r="1355" spans="1:31" x14ac:dyDescent="0.4">
      <c r="A1355" t="str">
        <f>IF(原始经营数据!$D1356="","",原始经营数据!$D1356)</f>
        <v>汇添富上海地产封闭式商业不动产证券投资基金</v>
      </c>
      <c r="B1355" t="str">
        <f>IF(原始经营数据!$D1356="","",T(原始经营数据!$E1356))</f>
        <v>鼎保大厦</v>
      </c>
      <c r="C1355" t="str">
        <f>IF(原始经营数据!$D1356="","",原始经营数据!$F1356)</f>
        <v>2023</v>
      </c>
      <c r="D1355" t="str">
        <f>IF(原始经营数据!$D1356="","",原始经营数据!$H1356)</f>
        <v>期末有效租金单价</v>
      </c>
      <c r="E1355">
        <f>IF(原始经营数据!$D1356="","",原始经营数据!$I1356)</f>
        <v>167.03</v>
      </c>
      <c r="F1355" t="str">
        <f>IF(原始经营数据!$D1356="","",T(原始经营数据!$J1356))</f>
        <v>元/平方米/月</v>
      </c>
      <c r="G1355" t="str">
        <f>IF(原始经营数据!$D1356="","",T(原始经营数据!$K1356))</f>
        <v/>
      </c>
      <c r="H1355" t="str">
        <f>IF(原始经营数据!$D1356="","",原始经营数据!$G1356)</f>
        <v>服务价格</v>
      </c>
      <c r="I1355" t="str">
        <f>IF($A1355="","",IF($B1355&lt;&gt;"",$B1355,IF(COUNTIFS(原始经营数据!$D$3:$D$3001,$A1355,原始经营数据!$E$3:$E$3001,"",原始经营数据!$F$3:$F$3001,$C1355,原始经营数据!$H$3:$H$3001,$D1355,原始经营数据!$K$3:$K$3001,$G1355)&gt;1,"基金整体·来源"&amp;原始经营数据!$A1356,"基金整体")))</f>
        <v>鼎保大厦</v>
      </c>
      <c r="J1355" t="str">
        <f t="shared" si="318"/>
        <v>年度</v>
      </c>
      <c r="K1355" t="str">
        <f t="shared" si="319"/>
        <v>期末有效租金单价（元/平方米/月）</v>
      </c>
      <c r="L1355" t="str">
        <f t="shared" si="320"/>
        <v>鼎保大厦|期末有效租金单价（元/平方米/月）|年度</v>
      </c>
      <c r="M1355">
        <f>IF($A1355="",0,IF(COUNTIF($L$2:$L1355,$L1355)=1,1,0))</f>
        <v>1</v>
      </c>
      <c r="N1355">
        <f t="shared" si="321"/>
        <v>20230</v>
      </c>
      <c r="O1355" t="str">
        <f t="shared" si="322"/>
        <v>汇添富上海地产封闭式商业不动产证券投资基金|2023|年度</v>
      </c>
      <c r="P1355">
        <f>IF($A1355="",0,IF(COUNTIF($O$2:$O1355,$O1355)=1,1,0))</f>
        <v>0</v>
      </c>
      <c r="Q1355" t="str">
        <f>IF(AND($P1355=1,$A1355=经营数据!$B$3,$J1355=经营数据!$BA$5),COUNTIFS($P$2:$P$3000,1,$A$2:$A$3000,$A1355,$J$2:$J$3000,$J1355,$N$2:$N$3000,"&lt;"&amp;$N1355)+1,"")</f>
        <v/>
      </c>
      <c r="R1355" t="str">
        <f t="shared" si="323"/>
        <v>汇添富上海地产封闭式商业不动产证券投资基金|鼎保大厦</v>
      </c>
      <c r="S1355">
        <f>IF($A1355="",0,IF(COUNTIF($R$2:$R1355,$R1355)=1,1,0))</f>
        <v>0</v>
      </c>
      <c r="T1355">
        <f t="shared" si="324"/>
        <v>1351</v>
      </c>
      <c r="U1355" t="str">
        <f>IF($A1355="","",IF($A1355=经营数据!$B$3,COUNTIFS($S$2:$S$3000,1,$A$2:$A$3000,$A1355,$T$2:$T$3000,"&lt;"&amp;$T1355)+1,""))</f>
        <v/>
      </c>
      <c r="V1355" t="str">
        <f t="shared" si="325"/>
        <v>鼎保大厦|服务价格</v>
      </c>
      <c r="W1355">
        <f t="shared" si="326"/>
        <v>1353</v>
      </c>
      <c r="X1355" t="str">
        <f t="shared" si="327"/>
        <v>鼎保大厦|期末有效租金单价</v>
      </c>
      <c r="Y1355">
        <f t="shared" si="328"/>
        <v>1354</v>
      </c>
      <c r="Z1355">
        <f>IF($A1355="",0,IF(AND($M1355=1,$A1355=经营数据!$B$3,$J1355=经营数据!$BA$5,OR($I1355=经营数据!$BA$4,COUNTIF(经营数据!$AA$9:$AA$38,$I1355)&gt;0)),1,0))</f>
        <v>0</v>
      </c>
      <c r="AA1355" t="str">
        <f t="shared" si="329"/>
        <v/>
      </c>
      <c r="AB1355" t="str">
        <f t="shared" si="330"/>
        <v/>
      </c>
      <c r="AC1355">
        <f>IF($A1355="",0,IF(COUNTIF($A$2:$A1355,$A1355)=1,1,0))</f>
        <v>0</v>
      </c>
      <c r="AD1355">
        <f t="shared" si="331"/>
        <v>13</v>
      </c>
      <c r="AE1355" t="str">
        <f t="shared" si="332"/>
        <v>鼎保大厦|期末有效租金单价（元/平方米/月）</v>
      </c>
    </row>
    <row r="1356" spans="1:31" x14ac:dyDescent="0.4">
      <c r="A1356" t="str">
        <f>IF(原始经营数据!$D1357="","",原始经营数据!$D1357)</f>
        <v>汇添富上海地产封闭式商业不动产证券投资基金</v>
      </c>
      <c r="B1356" t="str">
        <f>IF(原始经营数据!$D1357="","",T(原始经营数据!$E1357))</f>
        <v>鼎保大厦</v>
      </c>
      <c r="C1356" t="str">
        <f>IF(原始经营数据!$D1357="","",原始经营数据!$F1357)</f>
        <v>2024</v>
      </c>
      <c r="D1356" t="str">
        <f>IF(原始经营数据!$D1357="","",原始经营数据!$H1357)</f>
        <v>期末出租率</v>
      </c>
      <c r="E1356">
        <f>IF(原始经营数据!$D1357="","",原始经营数据!$I1357)</f>
        <v>99.06</v>
      </c>
      <c r="F1356" t="str">
        <f>IF(原始经营数据!$D1357="","",T(原始经营数据!$J1357))</f>
        <v>%</v>
      </c>
      <c r="G1356" t="str">
        <f>IF(原始经营数据!$D1357="","",T(原始经营数据!$K1357))</f>
        <v/>
      </c>
      <c r="H1356" t="str">
        <f>IF(原始经营数据!$D1357="","",原始经营数据!$G1357)</f>
        <v>服务效率</v>
      </c>
      <c r="I1356" t="str">
        <f>IF($A1356="","",IF($B1356&lt;&gt;"",$B1356,IF(COUNTIFS(原始经营数据!$D$3:$D$3001,$A1356,原始经营数据!$E$3:$E$3001,"",原始经营数据!$F$3:$F$3001,$C1356,原始经营数据!$H$3:$H$3001,$D1356,原始经营数据!$K$3:$K$3001,$G1356)&gt;1,"基金整体·来源"&amp;原始经营数据!$A1357,"基金整体")))</f>
        <v>鼎保大厦</v>
      </c>
      <c r="J1356" t="str">
        <f t="shared" si="318"/>
        <v>年度</v>
      </c>
      <c r="K1356" t="str">
        <f t="shared" si="319"/>
        <v>期末出租率（%）</v>
      </c>
      <c r="L1356" t="str">
        <f t="shared" si="320"/>
        <v>鼎保大厦|期末出租率（%）|年度</v>
      </c>
      <c r="M1356">
        <f>IF($A1356="",0,IF(COUNTIF($L$2:$L1356,$L1356)=1,1,0))</f>
        <v>0</v>
      </c>
      <c r="N1356">
        <f t="shared" si="321"/>
        <v>20240</v>
      </c>
      <c r="O1356" t="str">
        <f t="shared" si="322"/>
        <v>汇添富上海地产封闭式商业不动产证券投资基金|2024|年度</v>
      </c>
      <c r="P1356">
        <f>IF($A1356="",0,IF(COUNTIF($O$2:$O1356,$O1356)=1,1,0))</f>
        <v>1</v>
      </c>
      <c r="Q1356" t="str">
        <f>IF(AND($P1356=1,$A1356=经营数据!$B$3,$J1356=经营数据!$BA$5),COUNTIFS($P$2:$P$3000,1,$A$2:$A$3000,$A1356,$J$2:$J$3000,$J1356,$N$2:$N$3000,"&lt;"&amp;$N1356)+1,"")</f>
        <v/>
      </c>
      <c r="R1356" t="str">
        <f t="shared" si="323"/>
        <v>汇添富上海地产封闭式商业不动产证券投资基金|鼎保大厦</v>
      </c>
      <c r="S1356">
        <f>IF($A1356="",0,IF(COUNTIF($R$2:$R1356,$R1356)=1,1,0))</f>
        <v>0</v>
      </c>
      <c r="T1356">
        <f t="shared" si="324"/>
        <v>1351</v>
      </c>
      <c r="U1356" t="str">
        <f>IF($A1356="","",IF($A1356=经营数据!$B$3,COUNTIFS($S$2:$S$3000,1,$A$2:$A$3000,$A1356,$T$2:$T$3000,"&lt;"&amp;$T1356)+1,""))</f>
        <v/>
      </c>
      <c r="V1356" t="str">
        <f t="shared" si="325"/>
        <v>鼎保大厦|服务效率</v>
      </c>
      <c r="W1356">
        <f t="shared" si="326"/>
        <v>1351</v>
      </c>
      <c r="X1356" t="str">
        <f t="shared" si="327"/>
        <v>鼎保大厦|期末出租率</v>
      </c>
      <c r="Y1356">
        <f t="shared" si="328"/>
        <v>1351</v>
      </c>
      <c r="Z1356">
        <f>IF($A1356="",0,IF(AND($M1356=1,$A1356=经营数据!$B$3,$J1356=经营数据!$BA$5,OR($I1356=经营数据!$BA$4,COUNTIF(经营数据!$AA$9:$AA$38,$I1356)&gt;0)),1,0))</f>
        <v>0</v>
      </c>
      <c r="AA1356" t="str">
        <f t="shared" si="329"/>
        <v/>
      </c>
      <c r="AB1356" t="str">
        <f t="shared" si="330"/>
        <v/>
      </c>
      <c r="AC1356">
        <f>IF($A1356="",0,IF(COUNTIF($A$2:$A1356,$A1356)=1,1,0))</f>
        <v>0</v>
      </c>
      <c r="AD1356">
        <f t="shared" si="331"/>
        <v>13</v>
      </c>
      <c r="AE1356" t="str">
        <f t="shared" si="332"/>
        <v>鼎保大厦|期末出租率（%）</v>
      </c>
    </row>
    <row r="1357" spans="1:31" x14ac:dyDescent="0.4">
      <c r="A1357" t="str">
        <f>IF(原始经营数据!$D1358="","",原始经营数据!$D1358)</f>
        <v>汇添富上海地产封闭式商业不动产证券投资基金</v>
      </c>
      <c r="B1357" t="str">
        <f>IF(原始经营数据!$D1358="","",T(原始经营数据!$E1358))</f>
        <v>鼎保大厦</v>
      </c>
      <c r="C1357" t="str">
        <f>IF(原始经营数据!$D1358="","",原始经营数据!$F1358)</f>
        <v>2024</v>
      </c>
      <c r="D1357" t="str">
        <f>IF(原始经营数据!$D1358="","",原始经营数据!$H1358)</f>
        <v>加权平均出租率</v>
      </c>
      <c r="E1357">
        <f>IF(原始经营数据!$D1358="","",原始经营数据!$I1358)</f>
        <v>98.69</v>
      </c>
      <c r="F1357" t="str">
        <f>IF(原始经营数据!$D1358="","",T(原始经营数据!$J1358))</f>
        <v>%</v>
      </c>
      <c r="G1357" t="str">
        <f>IF(原始经营数据!$D1358="","",T(原始经营数据!$K1358))</f>
        <v/>
      </c>
      <c r="H1357" t="str">
        <f>IF(原始经营数据!$D1358="","",原始经营数据!$G1358)</f>
        <v>服务效率</v>
      </c>
      <c r="I1357" t="str">
        <f>IF($A1357="","",IF($B1357&lt;&gt;"",$B1357,IF(COUNTIFS(原始经营数据!$D$3:$D$3001,$A1357,原始经营数据!$E$3:$E$3001,"",原始经营数据!$F$3:$F$3001,$C1357,原始经营数据!$H$3:$H$3001,$D1357,原始经营数据!$K$3:$K$3001,$G1357)&gt;1,"基金整体·来源"&amp;原始经营数据!$A1358,"基金整体")))</f>
        <v>鼎保大厦</v>
      </c>
      <c r="J1357" t="str">
        <f t="shared" si="318"/>
        <v>年度</v>
      </c>
      <c r="K1357" t="str">
        <f t="shared" si="319"/>
        <v>加权平均出租率（%）</v>
      </c>
      <c r="L1357" t="str">
        <f t="shared" si="320"/>
        <v>鼎保大厦|加权平均出租率（%）|年度</v>
      </c>
      <c r="M1357">
        <f>IF($A1357="",0,IF(COUNTIF($L$2:$L1357,$L1357)=1,1,0))</f>
        <v>0</v>
      </c>
      <c r="N1357">
        <f t="shared" si="321"/>
        <v>20240</v>
      </c>
      <c r="O1357" t="str">
        <f t="shared" si="322"/>
        <v>汇添富上海地产封闭式商业不动产证券投资基金|2024|年度</v>
      </c>
      <c r="P1357">
        <f>IF($A1357="",0,IF(COUNTIF($O$2:$O1357,$O1357)=1,1,0))</f>
        <v>0</v>
      </c>
      <c r="Q1357" t="str">
        <f>IF(AND($P1357=1,$A1357=经营数据!$B$3,$J1357=经营数据!$BA$5),COUNTIFS($P$2:$P$3000,1,$A$2:$A$3000,$A1357,$J$2:$J$3000,$J1357,$N$2:$N$3000,"&lt;"&amp;$N1357)+1,"")</f>
        <v/>
      </c>
      <c r="R1357" t="str">
        <f t="shared" si="323"/>
        <v>汇添富上海地产封闭式商业不动产证券投资基金|鼎保大厦</v>
      </c>
      <c r="S1357">
        <f>IF($A1357="",0,IF(COUNTIF($R$2:$R1357,$R1357)=1,1,0))</f>
        <v>0</v>
      </c>
      <c r="T1357">
        <f t="shared" si="324"/>
        <v>1351</v>
      </c>
      <c r="U1357" t="str">
        <f>IF($A1357="","",IF($A1357=经营数据!$B$3,COUNTIFS($S$2:$S$3000,1,$A$2:$A$3000,$A1357,$T$2:$T$3000,"&lt;"&amp;$T1357)+1,""))</f>
        <v/>
      </c>
      <c r="V1357" t="str">
        <f t="shared" si="325"/>
        <v>鼎保大厦|服务效率</v>
      </c>
      <c r="W1357">
        <f t="shared" si="326"/>
        <v>1351</v>
      </c>
      <c r="X1357" t="str">
        <f t="shared" si="327"/>
        <v>鼎保大厦|加权平均出租率</v>
      </c>
      <c r="Y1357">
        <f t="shared" si="328"/>
        <v>1352</v>
      </c>
      <c r="Z1357">
        <f>IF($A1357="",0,IF(AND($M1357=1,$A1357=经营数据!$B$3,$J1357=经营数据!$BA$5,OR($I1357=经营数据!$BA$4,COUNTIF(经营数据!$AA$9:$AA$38,$I1357)&gt;0)),1,0))</f>
        <v>0</v>
      </c>
      <c r="AA1357" t="str">
        <f t="shared" si="329"/>
        <v/>
      </c>
      <c r="AB1357" t="str">
        <f t="shared" si="330"/>
        <v/>
      </c>
      <c r="AC1357">
        <f>IF($A1357="",0,IF(COUNTIF($A$2:$A1357,$A1357)=1,1,0))</f>
        <v>0</v>
      </c>
      <c r="AD1357">
        <f t="shared" si="331"/>
        <v>13</v>
      </c>
      <c r="AE1357" t="str">
        <f t="shared" si="332"/>
        <v>鼎保大厦|加权平均出租率（%）</v>
      </c>
    </row>
    <row r="1358" spans="1:31" x14ac:dyDescent="0.4">
      <c r="A1358" t="str">
        <f>IF(原始经营数据!$D1359="","",原始经营数据!$D1359)</f>
        <v>汇添富上海地产封闭式商业不动产证券投资基金</v>
      </c>
      <c r="B1358" t="str">
        <f>IF(原始经营数据!$D1359="","",T(原始经营数据!$E1359))</f>
        <v>鼎保大厦</v>
      </c>
      <c r="C1358" t="str">
        <f>IF(原始经营数据!$D1359="","",原始经营数据!$F1359)</f>
        <v>2024</v>
      </c>
      <c r="D1358" t="str">
        <f>IF(原始经营数据!$D1359="","",原始经营数据!$H1359)</f>
        <v>期末合同租金单价</v>
      </c>
      <c r="E1358">
        <f>IF(原始经营数据!$D1359="","",原始经营数据!$I1359)</f>
        <v>176.19</v>
      </c>
      <c r="F1358" t="str">
        <f>IF(原始经营数据!$D1359="","",T(原始经营数据!$J1359))</f>
        <v>元/平方米/月</v>
      </c>
      <c r="G1358" t="str">
        <f>IF(原始经营数据!$D1359="","",T(原始经营数据!$K1359))</f>
        <v/>
      </c>
      <c r="H1358" t="str">
        <f>IF(原始经营数据!$D1359="","",原始经营数据!$G1359)</f>
        <v>服务价格</v>
      </c>
      <c r="I1358" t="str">
        <f>IF($A1358="","",IF($B1358&lt;&gt;"",$B1358,IF(COUNTIFS(原始经营数据!$D$3:$D$3001,$A1358,原始经营数据!$E$3:$E$3001,"",原始经营数据!$F$3:$F$3001,$C1358,原始经营数据!$H$3:$H$3001,$D1358,原始经营数据!$K$3:$K$3001,$G1358)&gt;1,"基金整体·来源"&amp;原始经营数据!$A1359,"基金整体")))</f>
        <v>鼎保大厦</v>
      </c>
      <c r="J1358" t="str">
        <f t="shared" si="318"/>
        <v>年度</v>
      </c>
      <c r="K1358" t="str">
        <f t="shared" si="319"/>
        <v>期末合同租金单价（元/平方米/月）</v>
      </c>
      <c r="L1358" t="str">
        <f t="shared" si="320"/>
        <v>鼎保大厦|期末合同租金单价（元/平方米/月）|年度</v>
      </c>
      <c r="M1358">
        <f>IF($A1358="",0,IF(COUNTIF($L$2:$L1358,$L1358)=1,1,0))</f>
        <v>0</v>
      </c>
      <c r="N1358">
        <f t="shared" si="321"/>
        <v>20240</v>
      </c>
      <c r="O1358" t="str">
        <f t="shared" si="322"/>
        <v>汇添富上海地产封闭式商业不动产证券投资基金|2024|年度</v>
      </c>
      <c r="P1358">
        <f>IF($A1358="",0,IF(COUNTIF($O$2:$O1358,$O1358)=1,1,0))</f>
        <v>0</v>
      </c>
      <c r="Q1358" t="str">
        <f>IF(AND($P1358=1,$A1358=经营数据!$B$3,$J1358=经营数据!$BA$5),COUNTIFS($P$2:$P$3000,1,$A$2:$A$3000,$A1358,$J$2:$J$3000,$J1358,$N$2:$N$3000,"&lt;"&amp;$N1358)+1,"")</f>
        <v/>
      </c>
      <c r="R1358" t="str">
        <f t="shared" si="323"/>
        <v>汇添富上海地产封闭式商业不动产证券投资基金|鼎保大厦</v>
      </c>
      <c r="S1358">
        <f>IF($A1358="",0,IF(COUNTIF($R$2:$R1358,$R1358)=1,1,0))</f>
        <v>0</v>
      </c>
      <c r="T1358">
        <f t="shared" si="324"/>
        <v>1351</v>
      </c>
      <c r="U1358" t="str">
        <f>IF($A1358="","",IF($A1358=经营数据!$B$3,COUNTIFS($S$2:$S$3000,1,$A$2:$A$3000,$A1358,$T$2:$T$3000,"&lt;"&amp;$T1358)+1,""))</f>
        <v/>
      </c>
      <c r="V1358" t="str">
        <f t="shared" si="325"/>
        <v>鼎保大厦|服务价格</v>
      </c>
      <c r="W1358">
        <f t="shared" si="326"/>
        <v>1353</v>
      </c>
      <c r="X1358" t="str">
        <f t="shared" si="327"/>
        <v>鼎保大厦|期末合同租金单价</v>
      </c>
      <c r="Y1358">
        <f t="shared" si="328"/>
        <v>1353</v>
      </c>
      <c r="Z1358">
        <f>IF($A1358="",0,IF(AND($M1358=1,$A1358=经营数据!$B$3,$J1358=经营数据!$BA$5,OR($I1358=经营数据!$BA$4,COUNTIF(经营数据!$AA$9:$AA$38,$I1358)&gt;0)),1,0))</f>
        <v>0</v>
      </c>
      <c r="AA1358" t="str">
        <f t="shared" si="329"/>
        <v/>
      </c>
      <c r="AB1358" t="str">
        <f t="shared" si="330"/>
        <v/>
      </c>
      <c r="AC1358">
        <f>IF($A1358="",0,IF(COUNTIF($A$2:$A1358,$A1358)=1,1,0))</f>
        <v>0</v>
      </c>
      <c r="AD1358">
        <f t="shared" si="331"/>
        <v>13</v>
      </c>
      <c r="AE1358" t="str">
        <f t="shared" si="332"/>
        <v>鼎保大厦|期末合同租金单价（元/平方米/月）</v>
      </c>
    </row>
    <row r="1359" spans="1:31" x14ac:dyDescent="0.4">
      <c r="A1359" t="str">
        <f>IF(原始经营数据!$D1360="","",原始经营数据!$D1360)</f>
        <v>汇添富上海地产封闭式商业不动产证券投资基金</v>
      </c>
      <c r="B1359" t="str">
        <f>IF(原始经营数据!$D1360="","",T(原始经营数据!$E1360))</f>
        <v>鼎保大厦</v>
      </c>
      <c r="C1359" t="str">
        <f>IF(原始经营数据!$D1360="","",原始经营数据!$F1360)</f>
        <v>2024</v>
      </c>
      <c r="D1359" t="str">
        <f>IF(原始经营数据!$D1360="","",原始经营数据!$H1360)</f>
        <v>期末有效租金单价</v>
      </c>
      <c r="E1359">
        <f>IF(原始经营数据!$D1360="","",原始经营数据!$I1360)</f>
        <v>167.23</v>
      </c>
      <c r="F1359" t="str">
        <f>IF(原始经营数据!$D1360="","",T(原始经营数据!$J1360))</f>
        <v>元/平方米/月</v>
      </c>
      <c r="G1359" t="str">
        <f>IF(原始经营数据!$D1360="","",T(原始经营数据!$K1360))</f>
        <v/>
      </c>
      <c r="H1359" t="str">
        <f>IF(原始经营数据!$D1360="","",原始经营数据!$G1360)</f>
        <v>服务价格</v>
      </c>
      <c r="I1359" t="str">
        <f>IF($A1359="","",IF($B1359&lt;&gt;"",$B1359,IF(COUNTIFS(原始经营数据!$D$3:$D$3001,$A1359,原始经营数据!$E$3:$E$3001,"",原始经营数据!$F$3:$F$3001,$C1359,原始经营数据!$H$3:$H$3001,$D1359,原始经营数据!$K$3:$K$3001,$G1359)&gt;1,"基金整体·来源"&amp;原始经营数据!$A1360,"基金整体")))</f>
        <v>鼎保大厦</v>
      </c>
      <c r="J1359" t="str">
        <f t="shared" si="318"/>
        <v>年度</v>
      </c>
      <c r="K1359" t="str">
        <f t="shared" si="319"/>
        <v>期末有效租金单价（元/平方米/月）</v>
      </c>
      <c r="L1359" t="str">
        <f t="shared" si="320"/>
        <v>鼎保大厦|期末有效租金单价（元/平方米/月）|年度</v>
      </c>
      <c r="M1359">
        <f>IF($A1359="",0,IF(COUNTIF($L$2:$L1359,$L1359)=1,1,0))</f>
        <v>0</v>
      </c>
      <c r="N1359">
        <f t="shared" si="321"/>
        <v>20240</v>
      </c>
      <c r="O1359" t="str">
        <f t="shared" si="322"/>
        <v>汇添富上海地产封闭式商业不动产证券投资基金|2024|年度</v>
      </c>
      <c r="P1359">
        <f>IF($A1359="",0,IF(COUNTIF($O$2:$O1359,$O1359)=1,1,0))</f>
        <v>0</v>
      </c>
      <c r="Q1359" t="str">
        <f>IF(AND($P1359=1,$A1359=经营数据!$B$3,$J1359=经营数据!$BA$5),COUNTIFS($P$2:$P$3000,1,$A$2:$A$3000,$A1359,$J$2:$J$3000,$J1359,$N$2:$N$3000,"&lt;"&amp;$N1359)+1,"")</f>
        <v/>
      </c>
      <c r="R1359" t="str">
        <f t="shared" si="323"/>
        <v>汇添富上海地产封闭式商业不动产证券投资基金|鼎保大厦</v>
      </c>
      <c r="S1359">
        <f>IF($A1359="",0,IF(COUNTIF($R$2:$R1359,$R1359)=1,1,0))</f>
        <v>0</v>
      </c>
      <c r="T1359">
        <f t="shared" si="324"/>
        <v>1351</v>
      </c>
      <c r="U1359" t="str">
        <f>IF($A1359="","",IF($A1359=经营数据!$B$3,COUNTIFS($S$2:$S$3000,1,$A$2:$A$3000,$A1359,$T$2:$T$3000,"&lt;"&amp;$T1359)+1,""))</f>
        <v/>
      </c>
      <c r="V1359" t="str">
        <f t="shared" si="325"/>
        <v>鼎保大厦|服务价格</v>
      </c>
      <c r="W1359">
        <f t="shared" si="326"/>
        <v>1353</v>
      </c>
      <c r="X1359" t="str">
        <f t="shared" si="327"/>
        <v>鼎保大厦|期末有效租金单价</v>
      </c>
      <c r="Y1359">
        <f t="shared" si="328"/>
        <v>1354</v>
      </c>
      <c r="Z1359">
        <f>IF($A1359="",0,IF(AND($M1359=1,$A1359=经营数据!$B$3,$J1359=经营数据!$BA$5,OR($I1359=经营数据!$BA$4,COUNTIF(经营数据!$AA$9:$AA$38,$I1359)&gt;0)),1,0))</f>
        <v>0</v>
      </c>
      <c r="AA1359" t="str">
        <f t="shared" si="329"/>
        <v/>
      </c>
      <c r="AB1359" t="str">
        <f t="shared" si="330"/>
        <v/>
      </c>
      <c r="AC1359">
        <f>IF($A1359="",0,IF(COUNTIF($A$2:$A1359,$A1359)=1,1,0))</f>
        <v>0</v>
      </c>
      <c r="AD1359">
        <f t="shared" si="331"/>
        <v>13</v>
      </c>
      <c r="AE1359" t="str">
        <f t="shared" si="332"/>
        <v>鼎保大厦|期末有效租金单价（元/平方米/月）</v>
      </c>
    </row>
    <row r="1360" spans="1:31" x14ac:dyDescent="0.4">
      <c r="A1360" t="str">
        <f>IF(原始经营数据!$D1361="","",原始经营数据!$D1361)</f>
        <v>汇添富上海地产封闭式商业不动产证券投资基金</v>
      </c>
      <c r="B1360" t="str">
        <f>IF(原始经营数据!$D1361="","",T(原始经营数据!$E1361))</f>
        <v>鼎保大厦</v>
      </c>
      <c r="C1360" t="str">
        <f>IF(原始经营数据!$D1361="","",原始经营数据!$F1361)</f>
        <v>2025</v>
      </c>
      <c r="D1360" t="str">
        <f>IF(原始经营数据!$D1361="","",原始经营数据!$H1361)</f>
        <v>期末有效租金单价</v>
      </c>
      <c r="E1360">
        <f>IF(原始经营数据!$D1361="","",原始经营数据!$I1361)</f>
        <v>170.08</v>
      </c>
      <c r="F1360" t="str">
        <f>IF(原始经营数据!$D1361="","",T(原始经营数据!$J1361))</f>
        <v>元/平方米/月</v>
      </c>
      <c r="G1360" t="str">
        <f>IF(原始经营数据!$D1361="","",T(原始经营数据!$K1361))</f>
        <v/>
      </c>
      <c r="H1360" t="str">
        <f>IF(原始经营数据!$D1361="","",原始经营数据!$G1361)</f>
        <v>服务价格</v>
      </c>
      <c r="I1360" t="str">
        <f>IF($A1360="","",IF($B1360&lt;&gt;"",$B1360,IF(COUNTIFS(原始经营数据!$D$3:$D$3001,$A1360,原始经营数据!$E$3:$E$3001,"",原始经营数据!$F$3:$F$3001,$C1360,原始经营数据!$H$3:$H$3001,$D1360,原始经营数据!$K$3:$K$3001,$G1360)&gt;1,"基金整体·来源"&amp;原始经营数据!$A1361,"基金整体")))</f>
        <v>鼎保大厦</v>
      </c>
      <c r="J1360" t="str">
        <f t="shared" si="318"/>
        <v>年度</v>
      </c>
      <c r="K1360" t="str">
        <f t="shared" si="319"/>
        <v>期末有效租金单价（元/平方米/月）</v>
      </c>
      <c r="L1360" t="str">
        <f t="shared" si="320"/>
        <v>鼎保大厦|期末有效租金单价（元/平方米/月）|年度</v>
      </c>
      <c r="M1360">
        <f>IF($A1360="",0,IF(COUNTIF($L$2:$L1360,$L1360)=1,1,0))</f>
        <v>0</v>
      </c>
      <c r="N1360">
        <f t="shared" si="321"/>
        <v>20250</v>
      </c>
      <c r="O1360" t="str">
        <f t="shared" si="322"/>
        <v>汇添富上海地产封闭式商业不动产证券投资基金|2025|年度</v>
      </c>
      <c r="P1360">
        <f>IF($A1360="",0,IF(COUNTIF($O$2:$O1360,$O1360)=1,1,0))</f>
        <v>1</v>
      </c>
      <c r="Q1360" t="str">
        <f>IF(AND($P1360=1,$A1360=经营数据!$B$3,$J1360=经营数据!$BA$5),COUNTIFS($P$2:$P$3000,1,$A$2:$A$3000,$A1360,$J$2:$J$3000,$J1360,$N$2:$N$3000,"&lt;"&amp;$N1360)+1,"")</f>
        <v/>
      </c>
      <c r="R1360" t="str">
        <f t="shared" si="323"/>
        <v>汇添富上海地产封闭式商业不动产证券投资基金|鼎保大厦</v>
      </c>
      <c r="S1360">
        <f>IF($A1360="",0,IF(COUNTIF($R$2:$R1360,$R1360)=1,1,0))</f>
        <v>0</v>
      </c>
      <c r="T1360">
        <f t="shared" si="324"/>
        <v>1351</v>
      </c>
      <c r="U1360" t="str">
        <f>IF($A1360="","",IF($A1360=经营数据!$B$3,COUNTIFS($S$2:$S$3000,1,$A$2:$A$3000,$A1360,$T$2:$T$3000,"&lt;"&amp;$T1360)+1,""))</f>
        <v/>
      </c>
      <c r="V1360" t="str">
        <f t="shared" si="325"/>
        <v>鼎保大厦|服务价格</v>
      </c>
      <c r="W1360">
        <f t="shared" si="326"/>
        <v>1353</v>
      </c>
      <c r="X1360" t="str">
        <f t="shared" si="327"/>
        <v>鼎保大厦|期末有效租金单价</v>
      </c>
      <c r="Y1360">
        <f t="shared" si="328"/>
        <v>1354</v>
      </c>
      <c r="Z1360">
        <f>IF($A1360="",0,IF(AND($M1360=1,$A1360=经营数据!$B$3,$J1360=经营数据!$BA$5,OR($I1360=经营数据!$BA$4,COUNTIF(经营数据!$AA$9:$AA$38,$I1360)&gt;0)),1,0))</f>
        <v>0</v>
      </c>
      <c r="AA1360" t="str">
        <f t="shared" si="329"/>
        <v/>
      </c>
      <c r="AB1360" t="str">
        <f t="shared" si="330"/>
        <v/>
      </c>
      <c r="AC1360">
        <f>IF($A1360="",0,IF(COUNTIF($A$2:$A1360,$A1360)=1,1,0))</f>
        <v>0</v>
      </c>
      <c r="AD1360">
        <f t="shared" si="331"/>
        <v>13</v>
      </c>
      <c r="AE1360" t="str">
        <f t="shared" si="332"/>
        <v>鼎保大厦|期末有效租金单价（元/平方米/月）</v>
      </c>
    </row>
    <row r="1361" spans="1:31" x14ac:dyDescent="0.4">
      <c r="A1361" t="str">
        <f>IF(原始经营数据!$D1362="","",原始经营数据!$D1362)</f>
        <v>汇添富上海地产封闭式商业不动产证券投资基金</v>
      </c>
      <c r="B1361" t="str">
        <f>IF(原始经营数据!$D1362="","",T(原始经营数据!$E1362))</f>
        <v>鼎保大厦</v>
      </c>
      <c r="C1361" t="str">
        <f>IF(原始经营数据!$D1362="","",原始经营数据!$F1362)</f>
        <v>2025</v>
      </c>
      <c r="D1361" t="str">
        <f>IF(原始经营数据!$D1362="","",原始经营数据!$H1362)</f>
        <v>期末出租率</v>
      </c>
      <c r="E1361">
        <f>IF(原始经营数据!$D1362="","",原始经营数据!$I1362)</f>
        <v>100</v>
      </c>
      <c r="F1361" t="str">
        <f>IF(原始经营数据!$D1362="","",T(原始经营数据!$J1362))</f>
        <v>%</v>
      </c>
      <c r="G1361" t="str">
        <f>IF(原始经营数据!$D1362="","",T(原始经营数据!$K1362))</f>
        <v/>
      </c>
      <c r="H1361" t="str">
        <f>IF(原始经营数据!$D1362="","",原始经营数据!$G1362)</f>
        <v>服务效率</v>
      </c>
      <c r="I1361" t="str">
        <f>IF($A1361="","",IF($B1361&lt;&gt;"",$B1361,IF(COUNTIFS(原始经营数据!$D$3:$D$3001,$A1361,原始经营数据!$E$3:$E$3001,"",原始经营数据!$F$3:$F$3001,$C1361,原始经营数据!$H$3:$H$3001,$D1361,原始经营数据!$K$3:$K$3001,$G1361)&gt;1,"基金整体·来源"&amp;原始经营数据!$A1362,"基金整体")))</f>
        <v>鼎保大厦</v>
      </c>
      <c r="J1361" t="str">
        <f t="shared" si="318"/>
        <v>年度</v>
      </c>
      <c r="K1361" t="str">
        <f t="shared" si="319"/>
        <v>期末出租率（%）</v>
      </c>
      <c r="L1361" t="str">
        <f t="shared" si="320"/>
        <v>鼎保大厦|期末出租率（%）|年度</v>
      </c>
      <c r="M1361">
        <f>IF($A1361="",0,IF(COUNTIF($L$2:$L1361,$L1361)=1,1,0))</f>
        <v>0</v>
      </c>
      <c r="N1361">
        <f t="shared" si="321"/>
        <v>20250</v>
      </c>
      <c r="O1361" t="str">
        <f t="shared" si="322"/>
        <v>汇添富上海地产封闭式商业不动产证券投资基金|2025|年度</v>
      </c>
      <c r="P1361">
        <f>IF($A1361="",0,IF(COUNTIF($O$2:$O1361,$O1361)=1,1,0))</f>
        <v>0</v>
      </c>
      <c r="Q1361" t="str">
        <f>IF(AND($P1361=1,$A1361=经营数据!$B$3,$J1361=经营数据!$BA$5),COUNTIFS($P$2:$P$3000,1,$A$2:$A$3000,$A1361,$J$2:$J$3000,$J1361,$N$2:$N$3000,"&lt;"&amp;$N1361)+1,"")</f>
        <v/>
      </c>
      <c r="R1361" t="str">
        <f t="shared" si="323"/>
        <v>汇添富上海地产封闭式商业不动产证券投资基金|鼎保大厦</v>
      </c>
      <c r="S1361">
        <f>IF($A1361="",0,IF(COUNTIF($R$2:$R1361,$R1361)=1,1,0))</f>
        <v>0</v>
      </c>
      <c r="T1361">
        <f t="shared" si="324"/>
        <v>1351</v>
      </c>
      <c r="U1361" t="str">
        <f>IF($A1361="","",IF($A1361=经营数据!$B$3,COUNTIFS($S$2:$S$3000,1,$A$2:$A$3000,$A1361,$T$2:$T$3000,"&lt;"&amp;$T1361)+1,""))</f>
        <v/>
      </c>
      <c r="V1361" t="str">
        <f t="shared" si="325"/>
        <v>鼎保大厦|服务效率</v>
      </c>
      <c r="W1361">
        <f t="shared" si="326"/>
        <v>1351</v>
      </c>
      <c r="X1361" t="str">
        <f t="shared" si="327"/>
        <v>鼎保大厦|期末出租率</v>
      </c>
      <c r="Y1361">
        <f t="shared" si="328"/>
        <v>1351</v>
      </c>
      <c r="Z1361">
        <f>IF($A1361="",0,IF(AND($M1361=1,$A1361=经营数据!$B$3,$J1361=经营数据!$BA$5,OR($I1361=经营数据!$BA$4,COUNTIF(经营数据!$AA$9:$AA$38,$I1361)&gt;0)),1,0))</f>
        <v>0</v>
      </c>
      <c r="AA1361" t="str">
        <f t="shared" si="329"/>
        <v/>
      </c>
      <c r="AB1361" t="str">
        <f t="shared" si="330"/>
        <v/>
      </c>
      <c r="AC1361">
        <f>IF($A1361="",0,IF(COUNTIF($A$2:$A1361,$A1361)=1,1,0))</f>
        <v>0</v>
      </c>
      <c r="AD1361">
        <f t="shared" si="331"/>
        <v>13</v>
      </c>
      <c r="AE1361" t="str">
        <f t="shared" si="332"/>
        <v>鼎保大厦|期末出租率（%）</v>
      </c>
    </row>
    <row r="1362" spans="1:31" x14ac:dyDescent="0.4">
      <c r="A1362" t="str">
        <f>IF(原始经营数据!$D1363="","",原始经营数据!$D1363)</f>
        <v>汇添富上海地产封闭式商业不动产证券投资基金</v>
      </c>
      <c r="B1362" t="str">
        <f>IF(原始经营数据!$D1363="","",T(原始经营数据!$E1363))</f>
        <v>鼎保大厦</v>
      </c>
      <c r="C1362" t="str">
        <f>IF(原始经营数据!$D1363="","",原始经营数据!$F1363)</f>
        <v>2025</v>
      </c>
      <c r="D1362" t="str">
        <f>IF(原始经营数据!$D1363="","",原始经营数据!$H1363)</f>
        <v>加权平均出租率</v>
      </c>
      <c r="E1362">
        <f>IF(原始经营数据!$D1363="","",原始经营数据!$I1363)</f>
        <v>99.37</v>
      </c>
      <c r="F1362" t="str">
        <f>IF(原始经营数据!$D1363="","",T(原始经营数据!$J1363))</f>
        <v>%</v>
      </c>
      <c r="G1362" t="str">
        <f>IF(原始经营数据!$D1363="","",T(原始经营数据!$K1363))</f>
        <v/>
      </c>
      <c r="H1362" t="str">
        <f>IF(原始经营数据!$D1363="","",原始经营数据!$G1363)</f>
        <v>服务效率</v>
      </c>
      <c r="I1362" t="str">
        <f>IF($A1362="","",IF($B1362&lt;&gt;"",$B1362,IF(COUNTIFS(原始经营数据!$D$3:$D$3001,$A1362,原始经营数据!$E$3:$E$3001,"",原始经营数据!$F$3:$F$3001,$C1362,原始经营数据!$H$3:$H$3001,$D1362,原始经营数据!$K$3:$K$3001,$G1362)&gt;1,"基金整体·来源"&amp;原始经营数据!$A1363,"基金整体")))</f>
        <v>鼎保大厦</v>
      </c>
      <c r="J1362" t="str">
        <f t="shared" si="318"/>
        <v>年度</v>
      </c>
      <c r="K1362" t="str">
        <f t="shared" si="319"/>
        <v>加权平均出租率（%）</v>
      </c>
      <c r="L1362" t="str">
        <f t="shared" si="320"/>
        <v>鼎保大厦|加权平均出租率（%）|年度</v>
      </c>
      <c r="M1362">
        <f>IF($A1362="",0,IF(COUNTIF($L$2:$L1362,$L1362)=1,1,0))</f>
        <v>0</v>
      </c>
      <c r="N1362">
        <f t="shared" si="321"/>
        <v>20250</v>
      </c>
      <c r="O1362" t="str">
        <f t="shared" si="322"/>
        <v>汇添富上海地产封闭式商业不动产证券投资基金|2025|年度</v>
      </c>
      <c r="P1362">
        <f>IF($A1362="",0,IF(COUNTIF($O$2:$O1362,$O1362)=1,1,0))</f>
        <v>0</v>
      </c>
      <c r="Q1362" t="str">
        <f>IF(AND($P1362=1,$A1362=经营数据!$B$3,$J1362=经营数据!$BA$5),COUNTIFS($P$2:$P$3000,1,$A$2:$A$3000,$A1362,$J$2:$J$3000,$J1362,$N$2:$N$3000,"&lt;"&amp;$N1362)+1,"")</f>
        <v/>
      </c>
      <c r="R1362" t="str">
        <f t="shared" si="323"/>
        <v>汇添富上海地产封闭式商业不动产证券投资基金|鼎保大厦</v>
      </c>
      <c r="S1362">
        <f>IF($A1362="",0,IF(COUNTIF($R$2:$R1362,$R1362)=1,1,0))</f>
        <v>0</v>
      </c>
      <c r="T1362">
        <f t="shared" si="324"/>
        <v>1351</v>
      </c>
      <c r="U1362" t="str">
        <f>IF($A1362="","",IF($A1362=经营数据!$B$3,COUNTIFS($S$2:$S$3000,1,$A$2:$A$3000,$A1362,$T$2:$T$3000,"&lt;"&amp;$T1362)+1,""))</f>
        <v/>
      </c>
      <c r="V1362" t="str">
        <f t="shared" si="325"/>
        <v>鼎保大厦|服务效率</v>
      </c>
      <c r="W1362">
        <f t="shared" si="326"/>
        <v>1351</v>
      </c>
      <c r="X1362" t="str">
        <f t="shared" si="327"/>
        <v>鼎保大厦|加权平均出租率</v>
      </c>
      <c r="Y1362">
        <f t="shared" si="328"/>
        <v>1352</v>
      </c>
      <c r="Z1362">
        <f>IF($A1362="",0,IF(AND($M1362=1,$A1362=经营数据!$B$3,$J1362=经营数据!$BA$5,OR($I1362=经营数据!$BA$4,COUNTIF(经营数据!$AA$9:$AA$38,$I1362)&gt;0)),1,0))</f>
        <v>0</v>
      </c>
      <c r="AA1362" t="str">
        <f t="shared" si="329"/>
        <v/>
      </c>
      <c r="AB1362" t="str">
        <f t="shared" si="330"/>
        <v/>
      </c>
      <c r="AC1362">
        <f>IF($A1362="",0,IF(COUNTIF($A$2:$A1362,$A1362)=1,1,0))</f>
        <v>0</v>
      </c>
      <c r="AD1362">
        <f t="shared" si="331"/>
        <v>13</v>
      </c>
      <c r="AE1362" t="str">
        <f t="shared" si="332"/>
        <v>鼎保大厦|加权平均出租率（%）</v>
      </c>
    </row>
    <row r="1363" spans="1:31" x14ac:dyDescent="0.4">
      <c r="A1363" t="str">
        <f>IF(原始经营数据!$D1364="","",原始经营数据!$D1364)</f>
        <v>汇添富上海地产封闭式商业不动产证券投资基金</v>
      </c>
      <c r="B1363" t="str">
        <f>IF(原始经营数据!$D1364="","",T(原始经营数据!$E1364))</f>
        <v>鼎保大厦</v>
      </c>
      <c r="C1363" t="str">
        <f>IF(原始经营数据!$D1364="","",原始经营数据!$F1364)</f>
        <v>2025</v>
      </c>
      <c r="D1363" t="str">
        <f>IF(原始经营数据!$D1364="","",原始经营数据!$H1364)</f>
        <v>期末合同租金单价</v>
      </c>
      <c r="E1363">
        <f>IF(原始经营数据!$D1364="","",原始经营数据!$I1364)</f>
        <v>179.11</v>
      </c>
      <c r="F1363" t="str">
        <f>IF(原始经营数据!$D1364="","",T(原始经营数据!$J1364))</f>
        <v>元/平方米/月</v>
      </c>
      <c r="G1363" t="str">
        <f>IF(原始经营数据!$D1364="","",T(原始经营数据!$K1364))</f>
        <v/>
      </c>
      <c r="H1363" t="str">
        <f>IF(原始经营数据!$D1364="","",原始经营数据!$G1364)</f>
        <v>服务价格</v>
      </c>
      <c r="I1363" t="str">
        <f>IF($A1363="","",IF($B1363&lt;&gt;"",$B1363,IF(COUNTIFS(原始经营数据!$D$3:$D$3001,$A1363,原始经营数据!$E$3:$E$3001,"",原始经营数据!$F$3:$F$3001,$C1363,原始经营数据!$H$3:$H$3001,$D1363,原始经营数据!$K$3:$K$3001,$G1363)&gt;1,"基金整体·来源"&amp;原始经营数据!$A1364,"基金整体")))</f>
        <v>鼎保大厦</v>
      </c>
      <c r="J1363" t="str">
        <f t="shared" si="318"/>
        <v>年度</v>
      </c>
      <c r="K1363" t="str">
        <f t="shared" si="319"/>
        <v>期末合同租金单价（元/平方米/月）</v>
      </c>
      <c r="L1363" t="str">
        <f t="shared" si="320"/>
        <v>鼎保大厦|期末合同租金单价（元/平方米/月）|年度</v>
      </c>
      <c r="M1363">
        <f>IF($A1363="",0,IF(COUNTIF($L$2:$L1363,$L1363)=1,1,0))</f>
        <v>0</v>
      </c>
      <c r="N1363">
        <f t="shared" si="321"/>
        <v>20250</v>
      </c>
      <c r="O1363" t="str">
        <f t="shared" si="322"/>
        <v>汇添富上海地产封闭式商业不动产证券投资基金|2025|年度</v>
      </c>
      <c r="P1363">
        <f>IF($A1363="",0,IF(COUNTIF($O$2:$O1363,$O1363)=1,1,0))</f>
        <v>0</v>
      </c>
      <c r="Q1363" t="str">
        <f>IF(AND($P1363=1,$A1363=经营数据!$B$3,$J1363=经营数据!$BA$5),COUNTIFS($P$2:$P$3000,1,$A$2:$A$3000,$A1363,$J$2:$J$3000,$J1363,$N$2:$N$3000,"&lt;"&amp;$N1363)+1,"")</f>
        <v/>
      </c>
      <c r="R1363" t="str">
        <f t="shared" si="323"/>
        <v>汇添富上海地产封闭式商业不动产证券投资基金|鼎保大厦</v>
      </c>
      <c r="S1363">
        <f>IF($A1363="",0,IF(COUNTIF($R$2:$R1363,$R1363)=1,1,0))</f>
        <v>0</v>
      </c>
      <c r="T1363">
        <f t="shared" si="324"/>
        <v>1351</v>
      </c>
      <c r="U1363" t="str">
        <f>IF($A1363="","",IF($A1363=经营数据!$B$3,COUNTIFS($S$2:$S$3000,1,$A$2:$A$3000,$A1363,$T$2:$T$3000,"&lt;"&amp;$T1363)+1,""))</f>
        <v/>
      </c>
      <c r="V1363" t="str">
        <f t="shared" si="325"/>
        <v>鼎保大厦|服务价格</v>
      </c>
      <c r="W1363">
        <f t="shared" si="326"/>
        <v>1353</v>
      </c>
      <c r="X1363" t="str">
        <f t="shared" si="327"/>
        <v>鼎保大厦|期末合同租金单价</v>
      </c>
      <c r="Y1363">
        <f t="shared" si="328"/>
        <v>1353</v>
      </c>
      <c r="Z1363">
        <f>IF($A1363="",0,IF(AND($M1363=1,$A1363=经营数据!$B$3,$J1363=经营数据!$BA$5,OR($I1363=经营数据!$BA$4,COUNTIF(经营数据!$AA$9:$AA$38,$I1363)&gt;0)),1,0))</f>
        <v>0</v>
      </c>
      <c r="AA1363" t="str">
        <f t="shared" si="329"/>
        <v/>
      </c>
      <c r="AB1363" t="str">
        <f t="shared" si="330"/>
        <v/>
      </c>
      <c r="AC1363">
        <f>IF($A1363="",0,IF(COUNTIF($A$2:$A1363,$A1363)=1,1,0))</f>
        <v>0</v>
      </c>
      <c r="AD1363">
        <f t="shared" si="331"/>
        <v>13</v>
      </c>
      <c r="AE1363" t="str">
        <f t="shared" si="332"/>
        <v>鼎保大厦|期末合同租金单价（元/平方米/月）</v>
      </c>
    </row>
    <row r="1364" spans="1:31" x14ac:dyDescent="0.4">
      <c r="A1364" t="str">
        <f>IF(原始经营数据!$D1365="","",原始经营数据!$D1365)</f>
        <v>汇添富上海地产封闭式商业不动产证券投资基金</v>
      </c>
      <c r="B1364" t="str">
        <f>IF(原始经营数据!$D1365="","",T(原始经营数据!$E1365))</f>
        <v>鼎博大厦</v>
      </c>
      <c r="C1364" t="str">
        <f>IF(原始经营数据!$D1365="","",原始经营数据!$F1365)</f>
        <v>2023</v>
      </c>
      <c r="D1364" t="str">
        <f>IF(原始经营数据!$D1365="","",原始经营数据!$H1365)</f>
        <v>期末合同租金单价</v>
      </c>
      <c r="E1364">
        <f>IF(原始经营数据!$D1365="","",原始经营数据!$I1365)</f>
        <v>203.62</v>
      </c>
      <c r="F1364" t="str">
        <f>IF(原始经营数据!$D1365="","",T(原始经营数据!$J1365))</f>
        <v>元/平方米/月</v>
      </c>
      <c r="G1364" t="str">
        <f>IF(原始经营数据!$D1365="","",T(原始经营数据!$K1365))</f>
        <v/>
      </c>
      <c r="H1364" t="str">
        <f>IF(原始经营数据!$D1365="","",原始经营数据!$G1365)</f>
        <v>服务价格</v>
      </c>
      <c r="I1364" t="str">
        <f>IF($A1364="","",IF($B1364&lt;&gt;"",$B1364,IF(COUNTIFS(原始经营数据!$D$3:$D$3001,$A1364,原始经营数据!$E$3:$E$3001,"",原始经营数据!$F$3:$F$3001,$C1364,原始经营数据!$H$3:$H$3001,$D1364,原始经营数据!$K$3:$K$3001,$G1364)&gt;1,"基金整体·来源"&amp;原始经营数据!$A1365,"基金整体")))</f>
        <v>鼎博大厦</v>
      </c>
      <c r="J1364" t="str">
        <f t="shared" si="318"/>
        <v>年度</v>
      </c>
      <c r="K1364" t="str">
        <f t="shared" si="319"/>
        <v>期末合同租金单价（元/平方米/月）</v>
      </c>
      <c r="L1364" t="str">
        <f t="shared" si="320"/>
        <v>鼎博大厦|期末合同租金单价（元/平方米/月）|年度</v>
      </c>
      <c r="M1364">
        <f>IF($A1364="",0,IF(COUNTIF($L$2:$L1364,$L1364)=1,1,0))</f>
        <v>1</v>
      </c>
      <c r="N1364">
        <f t="shared" si="321"/>
        <v>20230</v>
      </c>
      <c r="O1364" t="str">
        <f t="shared" si="322"/>
        <v>汇添富上海地产封闭式商业不动产证券投资基金|2023|年度</v>
      </c>
      <c r="P1364">
        <f>IF($A1364="",0,IF(COUNTIF($O$2:$O1364,$O1364)=1,1,0))</f>
        <v>0</v>
      </c>
      <c r="Q1364" t="str">
        <f>IF(AND($P1364=1,$A1364=经营数据!$B$3,$J1364=经营数据!$BA$5),COUNTIFS($P$2:$P$3000,1,$A$2:$A$3000,$A1364,$J$2:$J$3000,$J1364,$N$2:$N$3000,"&lt;"&amp;$N1364)+1,"")</f>
        <v/>
      </c>
      <c r="R1364" t="str">
        <f t="shared" si="323"/>
        <v>汇添富上海地产封闭式商业不动产证券投资基金|鼎博大厦</v>
      </c>
      <c r="S1364">
        <f>IF($A1364="",0,IF(COUNTIF($R$2:$R1364,$R1364)=1,1,0))</f>
        <v>1</v>
      </c>
      <c r="T1364">
        <f t="shared" si="324"/>
        <v>1363</v>
      </c>
      <c r="U1364" t="str">
        <f>IF($A1364="","",IF($A1364=经营数据!$B$3,COUNTIFS($S$2:$S$3000,1,$A$2:$A$3000,$A1364,$T$2:$T$3000,"&lt;"&amp;$T1364)+1,""))</f>
        <v/>
      </c>
      <c r="V1364" t="str">
        <f t="shared" si="325"/>
        <v>鼎博大厦|服务价格</v>
      </c>
      <c r="W1364">
        <f t="shared" si="326"/>
        <v>1363</v>
      </c>
      <c r="X1364" t="str">
        <f t="shared" si="327"/>
        <v>鼎博大厦|期末合同租金单价</v>
      </c>
      <c r="Y1364">
        <f t="shared" si="328"/>
        <v>1363</v>
      </c>
      <c r="Z1364">
        <f>IF($A1364="",0,IF(AND($M1364=1,$A1364=经营数据!$B$3,$J1364=经营数据!$BA$5,OR($I1364=经营数据!$BA$4,COUNTIF(经营数据!$AA$9:$AA$38,$I1364)&gt;0)),1,0))</f>
        <v>0</v>
      </c>
      <c r="AA1364" t="str">
        <f t="shared" si="329"/>
        <v/>
      </c>
      <c r="AB1364" t="str">
        <f t="shared" si="330"/>
        <v/>
      </c>
      <c r="AC1364">
        <f>IF($A1364="",0,IF(COUNTIF($A$2:$A1364,$A1364)=1,1,0))</f>
        <v>0</v>
      </c>
      <c r="AD1364">
        <f t="shared" si="331"/>
        <v>13</v>
      </c>
      <c r="AE1364" t="str">
        <f t="shared" si="332"/>
        <v>鼎博大厦|期末合同租金单价（元/平方米/月）</v>
      </c>
    </row>
    <row r="1365" spans="1:31" x14ac:dyDescent="0.4">
      <c r="A1365" t="str">
        <f>IF(原始经营数据!$D1366="","",原始经营数据!$D1366)</f>
        <v>汇添富上海地产封闭式商业不动产证券投资基金</v>
      </c>
      <c r="B1365" t="str">
        <f>IF(原始经营数据!$D1366="","",T(原始经营数据!$E1366))</f>
        <v>鼎博大厦</v>
      </c>
      <c r="C1365" t="str">
        <f>IF(原始经营数据!$D1366="","",原始经营数据!$F1366)</f>
        <v>2023</v>
      </c>
      <c r="D1365" t="str">
        <f>IF(原始经营数据!$D1366="","",原始经营数据!$H1366)</f>
        <v>期末出租率</v>
      </c>
      <c r="E1365">
        <f>IF(原始经营数据!$D1366="","",原始经营数据!$I1366)</f>
        <v>23.68</v>
      </c>
      <c r="F1365" t="str">
        <f>IF(原始经营数据!$D1366="","",T(原始经营数据!$J1366))</f>
        <v>%</v>
      </c>
      <c r="G1365" t="str">
        <f>IF(原始经营数据!$D1366="","",T(原始经营数据!$K1366))</f>
        <v/>
      </c>
      <c r="H1365" t="str">
        <f>IF(原始经营数据!$D1366="","",原始经营数据!$G1366)</f>
        <v>服务效率</v>
      </c>
      <c r="I1365" t="str">
        <f>IF($A1365="","",IF($B1365&lt;&gt;"",$B1365,IF(COUNTIFS(原始经营数据!$D$3:$D$3001,$A1365,原始经营数据!$E$3:$E$3001,"",原始经营数据!$F$3:$F$3001,$C1365,原始经营数据!$H$3:$H$3001,$D1365,原始经营数据!$K$3:$K$3001,$G1365)&gt;1,"基金整体·来源"&amp;原始经营数据!$A1366,"基金整体")))</f>
        <v>鼎博大厦</v>
      </c>
      <c r="J1365" t="str">
        <f t="shared" si="318"/>
        <v>年度</v>
      </c>
      <c r="K1365" t="str">
        <f t="shared" si="319"/>
        <v>期末出租率（%）</v>
      </c>
      <c r="L1365" t="str">
        <f t="shared" si="320"/>
        <v>鼎博大厦|期末出租率（%）|年度</v>
      </c>
      <c r="M1365">
        <f>IF($A1365="",0,IF(COUNTIF($L$2:$L1365,$L1365)=1,1,0))</f>
        <v>1</v>
      </c>
      <c r="N1365">
        <f t="shared" si="321"/>
        <v>20230</v>
      </c>
      <c r="O1365" t="str">
        <f t="shared" si="322"/>
        <v>汇添富上海地产封闭式商业不动产证券投资基金|2023|年度</v>
      </c>
      <c r="P1365">
        <f>IF($A1365="",0,IF(COUNTIF($O$2:$O1365,$O1365)=1,1,0))</f>
        <v>0</v>
      </c>
      <c r="Q1365" t="str">
        <f>IF(AND($P1365=1,$A1365=经营数据!$B$3,$J1365=经营数据!$BA$5),COUNTIFS($P$2:$P$3000,1,$A$2:$A$3000,$A1365,$J$2:$J$3000,$J1365,$N$2:$N$3000,"&lt;"&amp;$N1365)+1,"")</f>
        <v/>
      </c>
      <c r="R1365" t="str">
        <f t="shared" si="323"/>
        <v>汇添富上海地产封闭式商业不动产证券投资基金|鼎博大厦</v>
      </c>
      <c r="S1365">
        <f>IF($A1365="",0,IF(COUNTIF($R$2:$R1365,$R1365)=1,1,0))</f>
        <v>0</v>
      </c>
      <c r="T1365">
        <f t="shared" si="324"/>
        <v>1363</v>
      </c>
      <c r="U1365" t="str">
        <f>IF($A1365="","",IF($A1365=经营数据!$B$3,COUNTIFS($S$2:$S$3000,1,$A$2:$A$3000,$A1365,$T$2:$T$3000,"&lt;"&amp;$T1365)+1,""))</f>
        <v/>
      </c>
      <c r="V1365" t="str">
        <f t="shared" si="325"/>
        <v>鼎博大厦|服务效率</v>
      </c>
      <c r="W1365">
        <f t="shared" si="326"/>
        <v>1364</v>
      </c>
      <c r="X1365" t="str">
        <f t="shared" si="327"/>
        <v>鼎博大厦|期末出租率</v>
      </c>
      <c r="Y1365">
        <f t="shared" si="328"/>
        <v>1364</v>
      </c>
      <c r="Z1365">
        <f>IF($A1365="",0,IF(AND($M1365=1,$A1365=经营数据!$B$3,$J1365=经营数据!$BA$5,OR($I1365=经营数据!$BA$4,COUNTIF(经营数据!$AA$9:$AA$38,$I1365)&gt;0)),1,0))</f>
        <v>0</v>
      </c>
      <c r="AA1365" t="str">
        <f t="shared" si="329"/>
        <v/>
      </c>
      <c r="AB1365" t="str">
        <f t="shared" si="330"/>
        <v/>
      </c>
      <c r="AC1365">
        <f>IF($A1365="",0,IF(COUNTIF($A$2:$A1365,$A1365)=1,1,0))</f>
        <v>0</v>
      </c>
      <c r="AD1365">
        <f t="shared" si="331"/>
        <v>13</v>
      </c>
      <c r="AE1365" t="str">
        <f t="shared" si="332"/>
        <v>鼎博大厦|期末出租率（%）</v>
      </c>
    </row>
    <row r="1366" spans="1:31" x14ac:dyDescent="0.4">
      <c r="A1366" t="str">
        <f>IF(原始经营数据!$D1367="","",原始经营数据!$D1367)</f>
        <v>汇添富上海地产封闭式商业不动产证券投资基金</v>
      </c>
      <c r="B1366" t="str">
        <f>IF(原始经营数据!$D1367="","",T(原始经营数据!$E1367))</f>
        <v>鼎博大厦</v>
      </c>
      <c r="C1366" t="str">
        <f>IF(原始经营数据!$D1367="","",原始经营数据!$F1367)</f>
        <v>2023</v>
      </c>
      <c r="D1366" t="str">
        <f>IF(原始经营数据!$D1367="","",原始经营数据!$H1367)</f>
        <v>加权平均出租率</v>
      </c>
      <c r="E1366">
        <f>IF(原始经营数据!$D1367="","",原始经营数据!$I1367)</f>
        <v>16.78</v>
      </c>
      <c r="F1366" t="str">
        <f>IF(原始经营数据!$D1367="","",T(原始经营数据!$J1367))</f>
        <v>%</v>
      </c>
      <c r="G1366" t="str">
        <f>IF(原始经营数据!$D1367="","",T(原始经营数据!$K1367))</f>
        <v/>
      </c>
      <c r="H1366" t="str">
        <f>IF(原始经营数据!$D1367="","",原始经营数据!$G1367)</f>
        <v>服务效率</v>
      </c>
      <c r="I1366" t="str">
        <f>IF($A1366="","",IF($B1366&lt;&gt;"",$B1366,IF(COUNTIFS(原始经营数据!$D$3:$D$3001,$A1366,原始经营数据!$E$3:$E$3001,"",原始经营数据!$F$3:$F$3001,$C1366,原始经营数据!$H$3:$H$3001,$D1366,原始经营数据!$K$3:$K$3001,$G1366)&gt;1,"基金整体·来源"&amp;原始经营数据!$A1367,"基金整体")))</f>
        <v>鼎博大厦</v>
      </c>
      <c r="J1366" t="str">
        <f t="shared" si="318"/>
        <v>年度</v>
      </c>
      <c r="K1366" t="str">
        <f t="shared" si="319"/>
        <v>加权平均出租率（%）</v>
      </c>
      <c r="L1366" t="str">
        <f t="shared" si="320"/>
        <v>鼎博大厦|加权平均出租率（%）|年度</v>
      </c>
      <c r="M1366">
        <f>IF($A1366="",0,IF(COUNTIF($L$2:$L1366,$L1366)=1,1,0))</f>
        <v>1</v>
      </c>
      <c r="N1366">
        <f t="shared" si="321"/>
        <v>20230</v>
      </c>
      <c r="O1366" t="str">
        <f t="shared" si="322"/>
        <v>汇添富上海地产封闭式商业不动产证券投资基金|2023|年度</v>
      </c>
      <c r="P1366">
        <f>IF($A1366="",0,IF(COUNTIF($O$2:$O1366,$O1366)=1,1,0))</f>
        <v>0</v>
      </c>
      <c r="Q1366" t="str">
        <f>IF(AND($P1366=1,$A1366=经营数据!$B$3,$J1366=经营数据!$BA$5),COUNTIFS($P$2:$P$3000,1,$A$2:$A$3000,$A1366,$J$2:$J$3000,$J1366,$N$2:$N$3000,"&lt;"&amp;$N1366)+1,"")</f>
        <v/>
      </c>
      <c r="R1366" t="str">
        <f t="shared" si="323"/>
        <v>汇添富上海地产封闭式商业不动产证券投资基金|鼎博大厦</v>
      </c>
      <c r="S1366">
        <f>IF($A1366="",0,IF(COUNTIF($R$2:$R1366,$R1366)=1,1,0))</f>
        <v>0</v>
      </c>
      <c r="T1366">
        <f t="shared" si="324"/>
        <v>1363</v>
      </c>
      <c r="U1366" t="str">
        <f>IF($A1366="","",IF($A1366=经营数据!$B$3,COUNTIFS($S$2:$S$3000,1,$A$2:$A$3000,$A1366,$T$2:$T$3000,"&lt;"&amp;$T1366)+1,""))</f>
        <v/>
      </c>
      <c r="V1366" t="str">
        <f t="shared" si="325"/>
        <v>鼎博大厦|服务效率</v>
      </c>
      <c r="W1366">
        <f t="shared" si="326"/>
        <v>1364</v>
      </c>
      <c r="X1366" t="str">
        <f t="shared" si="327"/>
        <v>鼎博大厦|加权平均出租率</v>
      </c>
      <c r="Y1366">
        <f t="shared" si="328"/>
        <v>1365</v>
      </c>
      <c r="Z1366">
        <f>IF($A1366="",0,IF(AND($M1366=1,$A1366=经营数据!$B$3,$J1366=经营数据!$BA$5,OR($I1366=经营数据!$BA$4,COUNTIF(经营数据!$AA$9:$AA$38,$I1366)&gt;0)),1,0))</f>
        <v>0</v>
      </c>
      <c r="AA1366" t="str">
        <f t="shared" si="329"/>
        <v/>
      </c>
      <c r="AB1366" t="str">
        <f t="shared" si="330"/>
        <v/>
      </c>
      <c r="AC1366">
        <f>IF($A1366="",0,IF(COUNTIF($A$2:$A1366,$A1366)=1,1,0))</f>
        <v>0</v>
      </c>
      <c r="AD1366">
        <f t="shared" si="331"/>
        <v>13</v>
      </c>
      <c r="AE1366" t="str">
        <f t="shared" si="332"/>
        <v>鼎博大厦|加权平均出租率（%）</v>
      </c>
    </row>
    <row r="1367" spans="1:31" x14ac:dyDescent="0.4">
      <c r="A1367" t="str">
        <f>IF(原始经营数据!$D1368="","",原始经营数据!$D1368)</f>
        <v>汇添富上海地产封闭式商业不动产证券投资基金</v>
      </c>
      <c r="B1367" t="str">
        <f>IF(原始经营数据!$D1368="","",T(原始经营数据!$E1368))</f>
        <v>鼎博大厦</v>
      </c>
      <c r="C1367" t="str">
        <f>IF(原始经营数据!$D1368="","",原始经营数据!$F1368)</f>
        <v>2023</v>
      </c>
      <c r="D1367" t="str">
        <f>IF(原始经营数据!$D1368="","",原始经营数据!$H1368)</f>
        <v>期末有效租金单价</v>
      </c>
      <c r="E1367">
        <f>IF(原始经营数据!$D1368="","",原始经营数据!$I1368)</f>
        <v>194.3</v>
      </c>
      <c r="F1367" t="str">
        <f>IF(原始经营数据!$D1368="","",T(原始经营数据!$J1368))</f>
        <v>元/平方米/月</v>
      </c>
      <c r="G1367" t="str">
        <f>IF(原始经营数据!$D1368="","",T(原始经营数据!$K1368))</f>
        <v/>
      </c>
      <c r="H1367" t="str">
        <f>IF(原始经营数据!$D1368="","",原始经营数据!$G1368)</f>
        <v>服务价格</v>
      </c>
      <c r="I1367" t="str">
        <f>IF($A1367="","",IF($B1367&lt;&gt;"",$B1367,IF(COUNTIFS(原始经营数据!$D$3:$D$3001,$A1367,原始经营数据!$E$3:$E$3001,"",原始经营数据!$F$3:$F$3001,$C1367,原始经营数据!$H$3:$H$3001,$D1367,原始经营数据!$K$3:$K$3001,$G1367)&gt;1,"基金整体·来源"&amp;原始经营数据!$A1368,"基金整体")))</f>
        <v>鼎博大厦</v>
      </c>
      <c r="J1367" t="str">
        <f t="shared" si="318"/>
        <v>年度</v>
      </c>
      <c r="K1367" t="str">
        <f t="shared" si="319"/>
        <v>期末有效租金单价（元/平方米/月）</v>
      </c>
      <c r="L1367" t="str">
        <f t="shared" si="320"/>
        <v>鼎博大厦|期末有效租金单价（元/平方米/月）|年度</v>
      </c>
      <c r="M1367">
        <f>IF($A1367="",0,IF(COUNTIF($L$2:$L1367,$L1367)=1,1,0))</f>
        <v>1</v>
      </c>
      <c r="N1367">
        <f t="shared" si="321"/>
        <v>20230</v>
      </c>
      <c r="O1367" t="str">
        <f t="shared" si="322"/>
        <v>汇添富上海地产封闭式商业不动产证券投资基金|2023|年度</v>
      </c>
      <c r="P1367">
        <f>IF($A1367="",0,IF(COUNTIF($O$2:$O1367,$O1367)=1,1,0))</f>
        <v>0</v>
      </c>
      <c r="Q1367" t="str">
        <f>IF(AND($P1367=1,$A1367=经营数据!$B$3,$J1367=经营数据!$BA$5),COUNTIFS($P$2:$P$3000,1,$A$2:$A$3000,$A1367,$J$2:$J$3000,$J1367,$N$2:$N$3000,"&lt;"&amp;$N1367)+1,"")</f>
        <v/>
      </c>
      <c r="R1367" t="str">
        <f t="shared" si="323"/>
        <v>汇添富上海地产封闭式商业不动产证券投资基金|鼎博大厦</v>
      </c>
      <c r="S1367">
        <f>IF($A1367="",0,IF(COUNTIF($R$2:$R1367,$R1367)=1,1,0))</f>
        <v>0</v>
      </c>
      <c r="T1367">
        <f t="shared" si="324"/>
        <v>1363</v>
      </c>
      <c r="U1367" t="str">
        <f>IF($A1367="","",IF($A1367=经营数据!$B$3,COUNTIFS($S$2:$S$3000,1,$A$2:$A$3000,$A1367,$T$2:$T$3000,"&lt;"&amp;$T1367)+1,""))</f>
        <v/>
      </c>
      <c r="V1367" t="str">
        <f t="shared" si="325"/>
        <v>鼎博大厦|服务价格</v>
      </c>
      <c r="W1367">
        <f t="shared" si="326"/>
        <v>1363</v>
      </c>
      <c r="X1367" t="str">
        <f t="shared" si="327"/>
        <v>鼎博大厦|期末有效租金单价</v>
      </c>
      <c r="Y1367">
        <f t="shared" si="328"/>
        <v>1366</v>
      </c>
      <c r="Z1367">
        <f>IF($A1367="",0,IF(AND($M1367=1,$A1367=经营数据!$B$3,$J1367=经营数据!$BA$5,OR($I1367=经营数据!$BA$4,COUNTIF(经营数据!$AA$9:$AA$38,$I1367)&gt;0)),1,0))</f>
        <v>0</v>
      </c>
      <c r="AA1367" t="str">
        <f t="shared" si="329"/>
        <v/>
      </c>
      <c r="AB1367" t="str">
        <f t="shared" si="330"/>
        <v/>
      </c>
      <c r="AC1367">
        <f>IF($A1367="",0,IF(COUNTIF($A$2:$A1367,$A1367)=1,1,0))</f>
        <v>0</v>
      </c>
      <c r="AD1367">
        <f t="shared" si="331"/>
        <v>13</v>
      </c>
      <c r="AE1367" t="str">
        <f t="shared" si="332"/>
        <v>鼎博大厦|期末有效租金单价（元/平方米/月）</v>
      </c>
    </row>
    <row r="1368" spans="1:31" x14ac:dyDescent="0.4">
      <c r="A1368" t="str">
        <f>IF(原始经营数据!$D1369="","",原始经营数据!$D1369)</f>
        <v>汇添富上海地产封闭式商业不动产证券投资基金</v>
      </c>
      <c r="B1368" t="str">
        <f>IF(原始经营数据!$D1369="","",T(原始经营数据!$E1369))</f>
        <v>鼎博大厦</v>
      </c>
      <c r="C1368" t="str">
        <f>IF(原始经营数据!$D1369="","",原始经营数据!$F1369)</f>
        <v>2024</v>
      </c>
      <c r="D1368" t="str">
        <f>IF(原始经营数据!$D1369="","",原始经营数据!$H1369)</f>
        <v>期末出租率</v>
      </c>
      <c r="E1368">
        <f>IF(原始经营数据!$D1369="","",原始经营数据!$I1369)</f>
        <v>57</v>
      </c>
      <c r="F1368" t="str">
        <f>IF(原始经营数据!$D1369="","",T(原始经营数据!$J1369))</f>
        <v>%</v>
      </c>
      <c r="G1368" t="str">
        <f>IF(原始经营数据!$D1369="","",T(原始经营数据!$K1369))</f>
        <v/>
      </c>
      <c r="H1368" t="str">
        <f>IF(原始经营数据!$D1369="","",原始经营数据!$G1369)</f>
        <v>服务效率</v>
      </c>
      <c r="I1368" t="str">
        <f>IF($A1368="","",IF($B1368&lt;&gt;"",$B1368,IF(COUNTIFS(原始经营数据!$D$3:$D$3001,$A1368,原始经营数据!$E$3:$E$3001,"",原始经营数据!$F$3:$F$3001,$C1368,原始经营数据!$H$3:$H$3001,$D1368,原始经营数据!$K$3:$K$3001,$G1368)&gt;1,"基金整体·来源"&amp;原始经营数据!$A1369,"基金整体")))</f>
        <v>鼎博大厦</v>
      </c>
      <c r="J1368" t="str">
        <f t="shared" si="318"/>
        <v>年度</v>
      </c>
      <c r="K1368" t="str">
        <f t="shared" si="319"/>
        <v>期末出租率（%）</v>
      </c>
      <c r="L1368" t="str">
        <f t="shared" si="320"/>
        <v>鼎博大厦|期末出租率（%）|年度</v>
      </c>
      <c r="M1368">
        <f>IF($A1368="",0,IF(COUNTIF($L$2:$L1368,$L1368)=1,1,0))</f>
        <v>0</v>
      </c>
      <c r="N1368">
        <f t="shared" si="321"/>
        <v>20240</v>
      </c>
      <c r="O1368" t="str">
        <f t="shared" si="322"/>
        <v>汇添富上海地产封闭式商业不动产证券投资基金|2024|年度</v>
      </c>
      <c r="P1368">
        <f>IF($A1368="",0,IF(COUNTIF($O$2:$O1368,$O1368)=1,1,0))</f>
        <v>0</v>
      </c>
      <c r="Q1368" t="str">
        <f>IF(AND($P1368=1,$A1368=经营数据!$B$3,$J1368=经营数据!$BA$5),COUNTIFS($P$2:$P$3000,1,$A$2:$A$3000,$A1368,$J$2:$J$3000,$J1368,$N$2:$N$3000,"&lt;"&amp;$N1368)+1,"")</f>
        <v/>
      </c>
      <c r="R1368" t="str">
        <f t="shared" si="323"/>
        <v>汇添富上海地产封闭式商业不动产证券投资基金|鼎博大厦</v>
      </c>
      <c r="S1368">
        <f>IF($A1368="",0,IF(COUNTIF($R$2:$R1368,$R1368)=1,1,0))</f>
        <v>0</v>
      </c>
      <c r="T1368">
        <f t="shared" si="324"/>
        <v>1363</v>
      </c>
      <c r="U1368" t="str">
        <f>IF($A1368="","",IF($A1368=经营数据!$B$3,COUNTIFS($S$2:$S$3000,1,$A$2:$A$3000,$A1368,$T$2:$T$3000,"&lt;"&amp;$T1368)+1,""))</f>
        <v/>
      </c>
      <c r="V1368" t="str">
        <f t="shared" si="325"/>
        <v>鼎博大厦|服务效率</v>
      </c>
      <c r="W1368">
        <f t="shared" si="326"/>
        <v>1364</v>
      </c>
      <c r="X1368" t="str">
        <f t="shared" si="327"/>
        <v>鼎博大厦|期末出租率</v>
      </c>
      <c r="Y1368">
        <f t="shared" si="328"/>
        <v>1364</v>
      </c>
      <c r="Z1368">
        <f>IF($A1368="",0,IF(AND($M1368=1,$A1368=经营数据!$B$3,$J1368=经营数据!$BA$5,OR($I1368=经营数据!$BA$4,COUNTIF(经营数据!$AA$9:$AA$38,$I1368)&gt;0)),1,0))</f>
        <v>0</v>
      </c>
      <c r="AA1368" t="str">
        <f t="shared" si="329"/>
        <v/>
      </c>
      <c r="AB1368" t="str">
        <f t="shared" si="330"/>
        <v/>
      </c>
      <c r="AC1368">
        <f>IF($A1368="",0,IF(COUNTIF($A$2:$A1368,$A1368)=1,1,0))</f>
        <v>0</v>
      </c>
      <c r="AD1368">
        <f t="shared" si="331"/>
        <v>13</v>
      </c>
      <c r="AE1368" t="str">
        <f t="shared" si="332"/>
        <v>鼎博大厦|期末出租率（%）</v>
      </c>
    </row>
    <row r="1369" spans="1:31" x14ac:dyDescent="0.4">
      <c r="A1369" t="str">
        <f>IF(原始经营数据!$D1370="","",原始经营数据!$D1370)</f>
        <v>汇添富上海地产封闭式商业不动产证券投资基金</v>
      </c>
      <c r="B1369" t="str">
        <f>IF(原始经营数据!$D1370="","",T(原始经营数据!$E1370))</f>
        <v>鼎博大厦</v>
      </c>
      <c r="C1369" t="str">
        <f>IF(原始经营数据!$D1370="","",原始经营数据!$F1370)</f>
        <v>2024</v>
      </c>
      <c r="D1369" t="str">
        <f>IF(原始经营数据!$D1370="","",原始经营数据!$H1370)</f>
        <v>加权平均出租率</v>
      </c>
      <c r="E1369">
        <f>IF(原始经营数据!$D1370="","",原始经营数据!$I1370)</f>
        <v>38.590000000000003</v>
      </c>
      <c r="F1369" t="str">
        <f>IF(原始经营数据!$D1370="","",T(原始经营数据!$J1370))</f>
        <v>%</v>
      </c>
      <c r="G1369" t="str">
        <f>IF(原始经营数据!$D1370="","",T(原始经营数据!$K1370))</f>
        <v/>
      </c>
      <c r="H1369" t="str">
        <f>IF(原始经营数据!$D1370="","",原始经营数据!$G1370)</f>
        <v>服务效率</v>
      </c>
      <c r="I1369" t="str">
        <f>IF($A1369="","",IF($B1369&lt;&gt;"",$B1369,IF(COUNTIFS(原始经营数据!$D$3:$D$3001,$A1369,原始经营数据!$E$3:$E$3001,"",原始经营数据!$F$3:$F$3001,$C1369,原始经营数据!$H$3:$H$3001,$D1369,原始经营数据!$K$3:$K$3001,$G1369)&gt;1,"基金整体·来源"&amp;原始经营数据!$A1370,"基金整体")))</f>
        <v>鼎博大厦</v>
      </c>
      <c r="J1369" t="str">
        <f t="shared" si="318"/>
        <v>年度</v>
      </c>
      <c r="K1369" t="str">
        <f t="shared" si="319"/>
        <v>加权平均出租率（%）</v>
      </c>
      <c r="L1369" t="str">
        <f t="shared" si="320"/>
        <v>鼎博大厦|加权平均出租率（%）|年度</v>
      </c>
      <c r="M1369">
        <f>IF($A1369="",0,IF(COUNTIF($L$2:$L1369,$L1369)=1,1,0))</f>
        <v>0</v>
      </c>
      <c r="N1369">
        <f t="shared" si="321"/>
        <v>20240</v>
      </c>
      <c r="O1369" t="str">
        <f t="shared" si="322"/>
        <v>汇添富上海地产封闭式商业不动产证券投资基金|2024|年度</v>
      </c>
      <c r="P1369">
        <f>IF($A1369="",0,IF(COUNTIF($O$2:$O1369,$O1369)=1,1,0))</f>
        <v>0</v>
      </c>
      <c r="Q1369" t="str">
        <f>IF(AND($P1369=1,$A1369=经营数据!$B$3,$J1369=经营数据!$BA$5),COUNTIFS($P$2:$P$3000,1,$A$2:$A$3000,$A1369,$J$2:$J$3000,$J1369,$N$2:$N$3000,"&lt;"&amp;$N1369)+1,"")</f>
        <v/>
      </c>
      <c r="R1369" t="str">
        <f t="shared" si="323"/>
        <v>汇添富上海地产封闭式商业不动产证券投资基金|鼎博大厦</v>
      </c>
      <c r="S1369">
        <f>IF($A1369="",0,IF(COUNTIF($R$2:$R1369,$R1369)=1,1,0))</f>
        <v>0</v>
      </c>
      <c r="T1369">
        <f t="shared" si="324"/>
        <v>1363</v>
      </c>
      <c r="U1369" t="str">
        <f>IF($A1369="","",IF($A1369=经营数据!$B$3,COUNTIFS($S$2:$S$3000,1,$A$2:$A$3000,$A1369,$T$2:$T$3000,"&lt;"&amp;$T1369)+1,""))</f>
        <v/>
      </c>
      <c r="V1369" t="str">
        <f t="shared" si="325"/>
        <v>鼎博大厦|服务效率</v>
      </c>
      <c r="W1369">
        <f t="shared" si="326"/>
        <v>1364</v>
      </c>
      <c r="X1369" t="str">
        <f t="shared" si="327"/>
        <v>鼎博大厦|加权平均出租率</v>
      </c>
      <c r="Y1369">
        <f t="shared" si="328"/>
        <v>1365</v>
      </c>
      <c r="Z1369">
        <f>IF($A1369="",0,IF(AND($M1369=1,$A1369=经营数据!$B$3,$J1369=经营数据!$BA$5,OR($I1369=经营数据!$BA$4,COUNTIF(经营数据!$AA$9:$AA$38,$I1369)&gt;0)),1,0))</f>
        <v>0</v>
      </c>
      <c r="AA1369" t="str">
        <f t="shared" si="329"/>
        <v/>
      </c>
      <c r="AB1369" t="str">
        <f t="shared" si="330"/>
        <v/>
      </c>
      <c r="AC1369">
        <f>IF($A1369="",0,IF(COUNTIF($A$2:$A1369,$A1369)=1,1,0))</f>
        <v>0</v>
      </c>
      <c r="AD1369">
        <f t="shared" si="331"/>
        <v>13</v>
      </c>
      <c r="AE1369" t="str">
        <f t="shared" si="332"/>
        <v>鼎博大厦|加权平均出租率（%）</v>
      </c>
    </row>
    <row r="1370" spans="1:31" x14ac:dyDescent="0.4">
      <c r="A1370" t="str">
        <f>IF(原始经营数据!$D1371="","",原始经营数据!$D1371)</f>
        <v>汇添富上海地产封闭式商业不动产证券投资基金</v>
      </c>
      <c r="B1370" t="str">
        <f>IF(原始经营数据!$D1371="","",T(原始经营数据!$E1371))</f>
        <v>鼎博大厦</v>
      </c>
      <c r="C1370" t="str">
        <f>IF(原始经营数据!$D1371="","",原始经营数据!$F1371)</f>
        <v>2024</v>
      </c>
      <c r="D1370" t="str">
        <f>IF(原始经营数据!$D1371="","",原始经营数据!$H1371)</f>
        <v>期末有效租金单价</v>
      </c>
      <c r="E1370">
        <f>IF(原始经营数据!$D1371="","",原始经营数据!$I1371)</f>
        <v>199.41</v>
      </c>
      <c r="F1370" t="str">
        <f>IF(原始经营数据!$D1371="","",T(原始经营数据!$J1371))</f>
        <v>元/平方米/月</v>
      </c>
      <c r="G1370" t="str">
        <f>IF(原始经营数据!$D1371="","",T(原始经营数据!$K1371))</f>
        <v/>
      </c>
      <c r="H1370" t="str">
        <f>IF(原始经营数据!$D1371="","",原始经营数据!$G1371)</f>
        <v>服务价格</v>
      </c>
      <c r="I1370" t="str">
        <f>IF($A1370="","",IF($B1370&lt;&gt;"",$B1370,IF(COUNTIFS(原始经营数据!$D$3:$D$3001,$A1370,原始经营数据!$E$3:$E$3001,"",原始经营数据!$F$3:$F$3001,$C1370,原始经营数据!$H$3:$H$3001,$D1370,原始经营数据!$K$3:$K$3001,$G1370)&gt;1,"基金整体·来源"&amp;原始经营数据!$A1371,"基金整体")))</f>
        <v>鼎博大厦</v>
      </c>
      <c r="J1370" t="str">
        <f t="shared" si="318"/>
        <v>年度</v>
      </c>
      <c r="K1370" t="str">
        <f t="shared" si="319"/>
        <v>期末有效租金单价（元/平方米/月）</v>
      </c>
      <c r="L1370" t="str">
        <f t="shared" si="320"/>
        <v>鼎博大厦|期末有效租金单价（元/平方米/月）|年度</v>
      </c>
      <c r="M1370">
        <f>IF($A1370="",0,IF(COUNTIF($L$2:$L1370,$L1370)=1,1,0))</f>
        <v>0</v>
      </c>
      <c r="N1370">
        <f t="shared" si="321"/>
        <v>20240</v>
      </c>
      <c r="O1370" t="str">
        <f t="shared" si="322"/>
        <v>汇添富上海地产封闭式商业不动产证券投资基金|2024|年度</v>
      </c>
      <c r="P1370">
        <f>IF($A1370="",0,IF(COUNTIF($O$2:$O1370,$O1370)=1,1,0))</f>
        <v>0</v>
      </c>
      <c r="Q1370" t="str">
        <f>IF(AND($P1370=1,$A1370=经营数据!$B$3,$J1370=经营数据!$BA$5),COUNTIFS($P$2:$P$3000,1,$A$2:$A$3000,$A1370,$J$2:$J$3000,$J1370,$N$2:$N$3000,"&lt;"&amp;$N1370)+1,"")</f>
        <v/>
      </c>
      <c r="R1370" t="str">
        <f t="shared" si="323"/>
        <v>汇添富上海地产封闭式商业不动产证券投资基金|鼎博大厦</v>
      </c>
      <c r="S1370">
        <f>IF($A1370="",0,IF(COUNTIF($R$2:$R1370,$R1370)=1,1,0))</f>
        <v>0</v>
      </c>
      <c r="T1370">
        <f t="shared" si="324"/>
        <v>1363</v>
      </c>
      <c r="U1370" t="str">
        <f>IF($A1370="","",IF($A1370=经营数据!$B$3,COUNTIFS($S$2:$S$3000,1,$A$2:$A$3000,$A1370,$T$2:$T$3000,"&lt;"&amp;$T1370)+1,""))</f>
        <v/>
      </c>
      <c r="V1370" t="str">
        <f t="shared" si="325"/>
        <v>鼎博大厦|服务价格</v>
      </c>
      <c r="W1370">
        <f t="shared" si="326"/>
        <v>1363</v>
      </c>
      <c r="X1370" t="str">
        <f t="shared" si="327"/>
        <v>鼎博大厦|期末有效租金单价</v>
      </c>
      <c r="Y1370">
        <f t="shared" si="328"/>
        <v>1366</v>
      </c>
      <c r="Z1370">
        <f>IF($A1370="",0,IF(AND($M1370=1,$A1370=经营数据!$B$3,$J1370=经营数据!$BA$5,OR($I1370=经营数据!$BA$4,COUNTIF(经营数据!$AA$9:$AA$38,$I1370)&gt;0)),1,0))</f>
        <v>0</v>
      </c>
      <c r="AA1370" t="str">
        <f t="shared" si="329"/>
        <v/>
      </c>
      <c r="AB1370" t="str">
        <f t="shared" si="330"/>
        <v/>
      </c>
      <c r="AC1370">
        <f>IF($A1370="",0,IF(COUNTIF($A$2:$A1370,$A1370)=1,1,0))</f>
        <v>0</v>
      </c>
      <c r="AD1370">
        <f t="shared" si="331"/>
        <v>13</v>
      </c>
      <c r="AE1370" t="str">
        <f t="shared" si="332"/>
        <v>鼎博大厦|期末有效租金单价（元/平方米/月）</v>
      </c>
    </row>
    <row r="1371" spans="1:31" x14ac:dyDescent="0.4">
      <c r="A1371" t="str">
        <f>IF(原始经营数据!$D1372="","",原始经营数据!$D1372)</f>
        <v>汇添富上海地产封闭式商业不动产证券投资基金</v>
      </c>
      <c r="B1371" t="str">
        <f>IF(原始经营数据!$D1372="","",T(原始经营数据!$E1372))</f>
        <v>鼎博大厦</v>
      </c>
      <c r="C1371" t="str">
        <f>IF(原始经营数据!$D1372="","",原始经营数据!$F1372)</f>
        <v>2024</v>
      </c>
      <c r="D1371" t="str">
        <f>IF(原始经营数据!$D1372="","",原始经营数据!$H1372)</f>
        <v>期末合同租金单价</v>
      </c>
      <c r="E1371">
        <f>IF(原始经营数据!$D1372="","",原始经营数据!$I1372)</f>
        <v>210.97</v>
      </c>
      <c r="F1371" t="str">
        <f>IF(原始经营数据!$D1372="","",T(原始经营数据!$J1372))</f>
        <v>元/平方米/月</v>
      </c>
      <c r="G1371" t="str">
        <f>IF(原始经营数据!$D1372="","",T(原始经营数据!$K1372))</f>
        <v/>
      </c>
      <c r="H1371" t="str">
        <f>IF(原始经营数据!$D1372="","",原始经营数据!$G1372)</f>
        <v>服务价格</v>
      </c>
      <c r="I1371" t="str">
        <f>IF($A1371="","",IF($B1371&lt;&gt;"",$B1371,IF(COUNTIFS(原始经营数据!$D$3:$D$3001,$A1371,原始经营数据!$E$3:$E$3001,"",原始经营数据!$F$3:$F$3001,$C1371,原始经营数据!$H$3:$H$3001,$D1371,原始经营数据!$K$3:$K$3001,$G1371)&gt;1,"基金整体·来源"&amp;原始经营数据!$A1372,"基金整体")))</f>
        <v>鼎博大厦</v>
      </c>
      <c r="J1371" t="str">
        <f t="shared" si="318"/>
        <v>年度</v>
      </c>
      <c r="K1371" t="str">
        <f t="shared" si="319"/>
        <v>期末合同租金单价（元/平方米/月）</v>
      </c>
      <c r="L1371" t="str">
        <f t="shared" si="320"/>
        <v>鼎博大厦|期末合同租金单价（元/平方米/月）|年度</v>
      </c>
      <c r="M1371">
        <f>IF($A1371="",0,IF(COUNTIF($L$2:$L1371,$L1371)=1,1,0))</f>
        <v>0</v>
      </c>
      <c r="N1371">
        <f t="shared" si="321"/>
        <v>20240</v>
      </c>
      <c r="O1371" t="str">
        <f t="shared" si="322"/>
        <v>汇添富上海地产封闭式商业不动产证券投资基金|2024|年度</v>
      </c>
      <c r="P1371">
        <f>IF($A1371="",0,IF(COUNTIF($O$2:$O1371,$O1371)=1,1,0))</f>
        <v>0</v>
      </c>
      <c r="Q1371" t="str">
        <f>IF(AND($P1371=1,$A1371=经营数据!$B$3,$J1371=经营数据!$BA$5),COUNTIFS($P$2:$P$3000,1,$A$2:$A$3000,$A1371,$J$2:$J$3000,$J1371,$N$2:$N$3000,"&lt;"&amp;$N1371)+1,"")</f>
        <v/>
      </c>
      <c r="R1371" t="str">
        <f t="shared" si="323"/>
        <v>汇添富上海地产封闭式商业不动产证券投资基金|鼎博大厦</v>
      </c>
      <c r="S1371">
        <f>IF($A1371="",0,IF(COUNTIF($R$2:$R1371,$R1371)=1,1,0))</f>
        <v>0</v>
      </c>
      <c r="T1371">
        <f t="shared" si="324"/>
        <v>1363</v>
      </c>
      <c r="U1371" t="str">
        <f>IF($A1371="","",IF($A1371=经营数据!$B$3,COUNTIFS($S$2:$S$3000,1,$A$2:$A$3000,$A1371,$T$2:$T$3000,"&lt;"&amp;$T1371)+1,""))</f>
        <v/>
      </c>
      <c r="V1371" t="str">
        <f t="shared" si="325"/>
        <v>鼎博大厦|服务价格</v>
      </c>
      <c r="W1371">
        <f t="shared" si="326"/>
        <v>1363</v>
      </c>
      <c r="X1371" t="str">
        <f t="shared" si="327"/>
        <v>鼎博大厦|期末合同租金单价</v>
      </c>
      <c r="Y1371">
        <f t="shared" si="328"/>
        <v>1363</v>
      </c>
      <c r="Z1371">
        <f>IF($A1371="",0,IF(AND($M1371=1,$A1371=经营数据!$B$3,$J1371=经营数据!$BA$5,OR($I1371=经营数据!$BA$4,COUNTIF(经营数据!$AA$9:$AA$38,$I1371)&gt;0)),1,0))</f>
        <v>0</v>
      </c>
      <c r="AA1371" t="str">
        <f t="shared" si="329"/>
        <v/>
      </c>
      <c r="AB1371" t="str">
        <f t="shared" si="330"/>
        <v/>
      </c>
      <c r="AC1371">
        <f>IF($A1371="",0,IF(COUNTIF($A$2:$A1371,$A1371)=1,1,0))</f>
        <v>0</v>
      </c>
      <c r="AD1371">
        <f t="shared" si="331"/>
        <v>13</v>
      </c>
      <c r="AE1371" t="str">
        <f t="shared" si="332"/>
        <v>鼎博大厦|期末合同租金单价（元/平方米/月）</v>
      </c>
    </row>
    <row r="1372" spans="1:31" x14ac:dyDescent="0.4">
      <c r="A1372" t="str">
        <f>IF(原始经营数据!$D1373="","",原始经营数据!$D1373)</f>
        <v>汇添富上海地产封闭式商业不动产证券投资基金</v>
      </c>
      <c r="B1372" t="str">
        <f>IF(原始经营数据!$D1373="","",T(原始经营数据!$E1373))</f>
        <v>鼎博大厦</v>
      </c>
      <c r="C1372" t="str">
        <f>IF(原始经营数据!$D1373="","",原始经营数据!$F1373)</f>
        <v>2025</v>
      </c>
      <c r="D1372" t="str">
        <f>IF(原始经营数据!$D1373="","",原始经营数据!$H1373)</f>
        <v>期末合同租金单价</v>
      </c>
      <c r="E1372">
        <f>IF(原始经营数据!$D1373="","",原始经营数据!$I1373)</f>
        <v>172.68</v>
      </c>
      <c r="F1372" t="str">
        <f>IF(原始经营数据!$D1373="","",T(原始经营数据!$J1373))</f>
        <v>元/平方米/月</v>
      </c>
      <c r="G1372" t="str">
        <f>IF(原始经营数据!$D1373="","",T(原始经营数据!$K1373))</f>
        <v/>
      </c>
      <c r="H1372" t="str">
        <f>IF(原始经营数据!$D1373="","",原始经营数据!$G1373)</f>
        <v>服务价格</v>
      </c>
      <c r="I1372" t="str">
        <f>IF($A1372="","",IF($B1372&lt;&gt;"",$B1372,IF(COUNTIFS(原始经营数据!$D$3:$D$3001,$A1372,原始经营数据!$E$3:$E$3001,"",原始经营数据!$F$3:$F$3001,$C1372,原始经营数据!$H$3:$H$3001,$D1372,原始经营数据!$K$3:$K$3001,$G1372)&gt;1,"基金整体·来源"&amp;原始经营数据!$A1373,"基金整体")))</f>
        <v>鼎博大厦</v>
      </c>
      <c r="J1372" t="str">
        <f t="shared" si="318"/>
        <v>年度</v>
      </c>
      <c r="K1372" t="str">
        <f t="shared" si="319"/>
        <v>期末合同租金单价（元/平方米/月）</v>
      </c>
      <c r="L1372" t="str">
        <f t="shared" si="320"/>
        <v>鼎博大厦|期末合同租金单价（元/平方米/月）|年度</v>
      </c>
      <c r="M1372">
        <f>IF($A1372="",0,IF(COUNTIF($L$2:$L1372,$L1372)=1,1,0))</f>
        <v>0</v>
      </c>
      <c r="N1372">
        <f t="shared" si="321"/>
        <v>20250</v>
      </c>
      <c r="O1372" t="str">
        <f t="shared" si="322"/>
        <v>汇添富上海地产封闭式商业不动产证券投资基金|2025|年度</v>
      </c>
      <c r="P1372">
        <f>IF($A1372="",0,IF(COUNTIF($O$2:$O1372,$O1372)=1,1,0))</f>
        <v>0</v>
      </c>
      <c r="Q1372" t="str">
        <f>IF(AND($P1372=1,$A1372=经营数据!$B$3,$J1372=经营数据!$BA$5),COUNTIFS($P$2:$P$3000,1,$A$2:$A$3000,$A1372,$J$2:$J$3000,$J1372,$N$2:$N$3000,"&lt;"&amp;$N1372)+1,"")</f>
        <v/>
      </c>
      <c r="R1372" t="str">
        <f t="shared" si="323"/>
        <v>汇添富上海地产封闭式商业不动产证券投资基金|鼎博大厦</v>
      </c>
      <c r="S1372">
        <f>IF($A1372="",0,IF(COUNTIF($R$2:$R1372,$R1372)=1,1,0))</f>
        <v>0</v>
      </c>
      <c r="T1372">
        <f t="shared" si="324"/>
        <v>1363</v>
      </c>
      <c r="U1372" t="str">
        <f>IF($A1372="","",IF($A1372=经营数据!$B$3,COUNTIFS($S$2:$S$3000,1,$A$2:$A$3000,$A1372,$T$2:$T$3000,"&lt;"&amp;$T1372)+1,""))</f>
        <v/>
      </c>
      <c r="V1372" t="str">
        <f t="shared" si="325"/>
        <v>鼎博大厦|服务价格</v>
      </c>
      <c r="W1372">
        <f t="shared" si="326"/>
        <v>1363</v>
      </c>
      <c r="X1372" t="str">
        <f t="shared" si="327"/>
        <v>鼎博大厦|期末合同租金单价</v>
      </c>
      <c r="Y1372">
        <f t="shared" si="328"/>
        <v>1363</v>
      </c>
      <c r="Z1372">
        <f>IF($A1372="",0,IF(AND($M1372=1,$A1372=经营数据!$B$3,$J1372=经营数据!$BA$5,OR($I1372=经营数据!$BA$4,COUNTIF(经营数据!$AA$9:$AA$38,$I1372)&gt;0)),1,0))</f>
        <v>0</v>
      </c>
      <c r="AA1372" t="str">
        <f t="shared" si="329"/>
        <v/>
      </c>
      <c r="AB1372" t="str">
        <f t="shared" si="330"/>
        <v/>
      </c>
      <c r="AC1372">
        <f>IF($A1372="",0,IF(COUNTIF($A$2:$A1372,$A1372)=1,1,0))</f>
        <v>0</v>
      </c>
      <c r="AD1372">
        <f t="shared" si="331"/>
        <v>13</v>
      </c>
      <c r="AE1372" t="str">
        <f t="shared" si="332"/>
        <v>鼎博大厦|期末合同租金单价（元/平方米/月）</v>
      </c>
    </row>
    <row r="1373" spans="1:31" x14ac:dyDescent="0.4">
      <c r="A1373" t="str">
        <f>IF(原始经营数据!$D1374="","",原始经营数据!$D1374)</f>
        <v>汇添富上海地产封闭式商业不动产证券投资基金</v>
      </c>
      <c r="B1373" t="str">
        <f>IF(原始经营数据!$D1374="","",T(原始经营数据!$E1374))</f>
        <v>鼎博大厦</v>
      </c>
      <c r="C1373" t="str">
        <f>IF(原始经营数据!$D1374="","",原始经营数据!$F1374)</f>
        <v>2025</v>
      </c>
      <c r="D1373" t="str">
        <f>IF(原始经营数据!$D1374="","",原始经营数据!$H1374)</f>
        <v>期末出租率</v>
      </c>
      <c r="E1373">
        <f>IF(原始经营数据!$D1374="","",原始经营数据!$I1374)</f>
        <v>99.33</v>
      </c>
      <c r="F1373" t="str">
        <f>IF(原始经营数据!$D1374="","",T(原始经营数据!$J1374))</f>
        <v>%</v>
      </c>
      <c r="G1373" t="str">
        <f>IF(原始经营数据!$D1374="","",T(原始经营数据!$K1374))</f>
        <v/>
      </c>
      <c r="H1373" t="str">
        <f>IF(原始经营数据!$D1374="","",原始经营数据!$G1374)</f>
        <v>服务效率</v>
      </c>
      <c r="I1373" t="str">
        <f>IF($A1373="","",IF($B1373&lt;&gt;"",$B1373,IF(COUNTIFS(原始经营数据!$D$3:$D$3001,$A1373,原始经营数据!$E$3:$E$3001,"",原始经营数据!$F$3:$F$3001,$C1373,原始经营数据!$H$3:$H$3001,$D1373,原始经营数据!$K$3:$K$3001,$G1373)&gt;1,"基金整体·来源"&amp;原始经营数据!$A1374,"基金整体")))</f>
        <v>鼎博大厦</v>
      </c>
      <c r="J1373" t="str">
        <f t="shared" si="318"/>
        <v>年度</v>
      </c>
      <c r="K1373" t="str">
        <f t="shared" si="319"/>
        <v>期末出租率（%）</v>
      </c>
      <c r="L1373" t="str">
        <f t="shared" si="320"/>
        <v>鼎博大厦|期末出租率（%）|年度</v>
      </c>
      <c r="M1373">
        <f>IF($A1373="",0,IF(COUNTIF($L$2:$L1373,$L1373)=1,1,0))</f>
        <v>0</v>
      </c>
      <c r="N1373">
        <f t="shared" si="321"/>
        <v>20250</v>
      </c>
      <c r="O1373" t="str">
        <f t="shared" si="322"/>
        <v>汇添富上海地产封闭式商业不动产证券投资基金|2025|年度</v>
      </c>
      <c r="P1373">
        <f>IF($A1373="",0,IF(COUNTIF($O$2:$O1373,$O1373)=1,1,0))</f>
        <v>0</v>
      </c>
      <c r="Q1373" t="str">
        <f>IF(AND($P1373=1,$A1373=经营数据!$B$3,$J1373=经营数据!$BA$5),COUNTIFS($P$2:$P$3000,1,$A$2:$A$3000,$A1373,$J$2:$J$3000,$J1373,$N$2:$N$3000,"&lt;"&amp;$N1373)+1,"")</f>
        <v/>
      </c>
      <c r="R1373" t="str">
        <f t="shared" si="323"/>
        <v>汇添富上海地产封闭式商业不动产证券投资基金|鼎博大厦</v>
      </c>
      <c r="S1373">
        <f>IF($A1373="",0,IF(COUNTIF($R$2:$R1373,$R1373)=1,1,0))</f>
        <v>0</v>
      </c>
      <c r="T1373">
        <f t="shared" si="324"/>
        <v>1363</v>
      </c>
      <c r="U1373" t="str">
        <f>IF($A1373="","",IF($A1373=经营数据!$B$3,COUNTIFS($S$2:$S$3000,1,$A$2:$A$3000,$A1373,$T$2:$T$3000,"&lt;"&amp;$T1373)+1,""))</f>
        <v/>
      </c>
      <c r="V1373" t="str">
        <f t="shared" si="325"/>
        <v>鼎博大厦|服务效率</v>
      </c>
      <c r="W1373">
        <f t="shared" si="326"/>
        <v>1364</v>
      </c>
      <c r="X1373" t="str">
        <f t="shared" si="327"/>
        <v>鼎博大厦|期末出租率</v>
      </c>
      <c r="Y1373">
        <f t="shared" si="328"/>
        <v>1364</v>
      </c>
      <c r="Z1373">
        <f>IF($A1373="",0,IF(AND($M1373=1,$A1373=经营数据!$B$3,$J1373=经营数据!$BA$5,OR($I1373=经营数据!$BA$4,COUNTIF(经营数据!$AA$9:$AA$38,$I1373)&gt;0)),1,0))</f>
        <v>0</v>
      </c>
      <c r="AA1373" t="str">
        <f t="shared" si="329"/>
        <v/>
      </c>
      <c r="AB1373" t="str">
        <f t="shared" si="330"/>
        <v/>
      </c>
      <c r="AC1373">
        <f>IF($A1373="",0,IF(COUNTIF($A$2:$A1373,$A1373)=1,1,0))</f>
        <v>0</v>
      </c>
      <c r="AD1373">
        <f t="shared" si="331"/>
        <v>13</v>
      </c>
      <c r="AE1373" t="str">
        <f t="shared" si="332"/>
        <v>鼎博大厦|期末出租率（%）</v>
      </c>
    </row>
    <row r="1374" spans="1:31" x14ac:dyDescent="0.4">
      <c r="A1374" t="str">
        <f>IF(原始经营数据!$D1375="","",原始经营数据!$D1375)</f>
        <v>汇添富上海地产封闭式商业不动产证券投资基金</v>
      </c>
      <c r="B1374" t="str">
        <f>IF(原始经营数据!$D1375="","",T(原始经营数据!$E1375))</f>
        <v>鼎博大厦</v>
      </c>
      <c r="C1374" t="str">
        <f>IF(原始经营数据!$D1375="","",原始经营数据!$F1375)</f>
        <v>2025</v>
      </c>
      <c r="D1374" t="str">
        <f>IF(原始经营数据!$D1375="","",原始经营数据!$H1375)</f>
        <v>加权平均出租率</v>
      </c>
      <c r="E1374">
        <f>IF(原始经营数据!$D1375="","",原始经营数据!$I1375)</f>
        <v>92.33</v>
      </c>
      <c r="F1374" t="str">
        <f>IF(原始经营数据!$D1375="","",T(原始经营数据!$J1375))</f>
        <v>%</v>
      </c>
      <c r="G1374" t="str">
        <f>IF(原始经营数据!$D1375="","",T(原始经营数据!$K1375))</f>
        <v/>
      </c>
      <c r="H1374" t="str">
        <f>IF(原始经营数据!$D1375="","",原始经营数据!$G1375)</f>
        <v>服务效率</v>
      </c>
      <c r="I1374" t="str">
        <f>IF($A1374="","",IF($B1374&lt;&gt;"",$B1374,IF(COUNTIFS(原始经营数据!$D$3:$D$3001,$A1374,原始经营数据!$E$3:$E$3001,"",原始经营数据!$F$3:$F$3001,$C1374,原始经营数据!$H$3:$H$3001,$D1374,原始经营数据!$K$3:$K$3001,$G1374)&gt;1,"基金整体·来源"&amp;原始经营数据!$A1375,"基金整体")))</f>
        <v>鼎博大厦</v>
      </c>
      <c r="J1374" t="str">
        <f t="shared" si="318"/>
        <v>年度</v>
      </c>
      <c r="K1374" t="str">
        <f t="shared" si="319"/>
        <v>加权平均出租率（%）</v>
      </c>
      <c r="L1374" t="str">
        <f t="shared" si="320"/>
        <v>鼎博大厦|加权平均出租率（%）|年度</v>
      </c>
      <c r="M1374">
        <f>IF($A1374="",0,IF(COUNTIF($L$2:$L1374,$L1374)=1,1,0))</f>
        <v>0</v>
      </c>
      <c r="N1374">
        <f t="shared" si="321"/>
        <v>20250</v>
      </c>
      <c r="O1374" t="str">
        <f t="shared" si="322"/>
        <v>汇添富上海地产封闭式商业不动产证券投资基金|2025|年度</v>
      </c>
      <c r="P1374">
        <f>IF($A1374="",0,IF(COUNTIF($O$2:$O1374,$O1374)=1,1,0))</f>
        <v>0</v>
      </c>
      <c r="Q1374" t="str">
        <f>IF(AND($P1374=1,$A1374=经营数据!$B$3,$J1374=经营数据!$BA$5),COUNTIFS($P$2:$P$3000,1,$A$2:$A$3000,$A1374,$J$2:$J$3000,$J1374,$N$2:$N$3000,"&lt;"&amp;$N1374)+1,"")</f>
        <v/>
      </c>
      <c r="R1374" t="str">
        <f t="shared" si="323"/>
        <v>汇添富上海地产封闭式商业不动产证券投资基金|鼎博大厦</v>
      </c>
      <c r="S1374">
        <f>IF($A1374="",0,IF(COUNTIF($R$2:$R1374,$R1374)=1,1,0))</f>
        <v>0</v>
      </c>
      <c r="T1374">
        <f t="shared" si="324"/>
        <v>1363</v>
      </c>
      <c r="U1374" t="str">
        <f>IF($A1374="","",IF($A1374=经营数据!$B$3,COUNTIFS($S$2:$S$3000,1,$A$2:$A$3000,$A1374,$T$2:$T$3000,"&lt;"&amp;$T1374)+1,""))</f>
        <v/>
      </c>
      <c r="V1374" t="str">
        <f t="shared" si="325"/>
        <v>鼎博大厦|服务效率</v>
      </c>
      <c r="W1374">
        <f t="shared" si="326"/>
        <v>1364</v>
      </c>
      <c r="X1374" t="str">
        <f t="shared" si="327"/>
        <v>鼎博大厦|加权平均出租率</v>
      </c>
      <c r="Y1374">
        <f t="shared" si="328"/>
        <v>1365</v>
      </c>
      <c r="Z1374">
        <f>IF($A1374="",0,IF(AND($M1374=1,$A1374=经营数据!$B$3,$J1374=经营数据!$BA$5,OR($I1374=经营数据!$BA$4,COUNTIF(经营数据!$AA$9:$AA$38,$I1374)&gt;0)),1,0))</f>
        <v>0</v>
      </c>
      <c r="AA1374" t="str">
        <f t="shared" si="329"/>
        <v/>
      </c>
      <c r="AB1374" t="str">
        <f t="shared" si="330"/>
        <v/>
      </c>
      <c r="AC1374">
        <f>IF($A1374="",0,IF(COUNTIF($A$2:$A1374,$A1374)=1,1,0))</f>
        <v>0</v>
      </c>
      <c r="AD1374">
        <f t="shared" si="331"/>
        <v>13</v>
      </c>
      <c r="AE1374" t="str">
        <f t="shared" si="332"/>
        <v>鼎博大厦|加权平均出租率（%）</v>
      </c>
    </row>
    <row r="1375" spans="1:31" x14ac:dyDescent="0.4">
      <c r="A1375" t="str">
        <f>IF(原始经营数据!$D1376="","",原始经营数据!$D1376)</f>
        <v>汇添富上海地产封闭式商业不动产证券投资基金</v>
      </c>
      <c r="B1375" t="str">
        <f>IF(原始经营数据!$D1376="","",T(原始经营数据!$E1376))</f>
        <v>鼎博大厦</v>
      </c>
      <c r="C1375" t="str">
        <f>IF(原始经营数据!$D1376="","",原始经营数据!$F1376)</f>
        <v>2025</v>
      </c>
      <c r="D1375" t="str">
        <f>IF(原始经营数据!$D1376="","",原始经营数据!$H1376)</f>
        <v>期末有效租金单价</v>
      </c>
      <c r="E1375">
        <f>IF(原始经营数据!$D1376="","",原始经营数据!$I1376)</f>
        <v>160.71</v>
      </c>
      <c r="F1375" t="str">
        <f>IF(原始经营数据!$D1376="","",T(原始经营数据!$J1376))</f>
        <v>元/平方米/月</v>
      </c>
      <c r="G1375" t="str">
        <f>IF(原始经营数据!$D1376="","",T(原始经营数据!$K1376))</f>
        <v/>
      </c>
      <c r="H1375" t="str">
        <f>IF(原始经营数据!$D1376="","",原始经营数据!$G1376)</f>
        <v>服务价格</v>
      </c>
      <c r="I1375" t="str">
        <f>IF($A1375="","",IF($B1375&lt;&gt;"",$B1375,IF(COUNTIFS(原始经营数据!$D$3:$D$3001,$A1375,原始经营数据!$E$3:$E$3001,"",原始经营数据!$F$3:$F$3001,$C1375,原始经营数据!$H$3:$H$3001,$D1375,原始经营数据!$K$3:$K$3001,$G1375)&gt;1,"基金整体·来源"&amp;原始经营数据!$A1376,"基金整体")))</f>
        <v>鼎博大厦</v>
      </c>
      <c r="J1375" t="str">
        <f t="shared" si="318"/>
        <v>年度</v>
      </c>
      <c r="K1375" t="str">
        <f t="shared" si="319"/>
        <v>期末有效租金单价（元/平方米/月）</v>
      </c>
      <c r="L1375" t="str">
        <f t="shared" si="320"/>
        <v>鼎博大厦|期末有效租金单价（元/平方米/月）|年度</v>
      </c>
      <c r="M1375">
        <f>IF($A1375="",0,IF(COUNTIF($L$2:$L1375,$L1375)=1,1,0))</f>
        <v>0</v>
      </c>
      <c r="N1375">
        <f t="shared" si="321"/>
        <v>20250</v>
      </c>
      <c r="O1375" t="str">
        <f t="shared" si="322"/>
        <v>汇添富上海地产封闭式商业不动产证券投资基金|2025|年度</v>
      </c>
      <c r="P1375">
        <f>IF($A1375="",0,IF(COUNTIF($O$2:$O1375,$O1375)=1,1,0))</f>
        <v>0</v>
      </c>
      <c r="Q1375" t="str">
        <f>IF(AND($P1375=1,$A1375=经营数据!$B$3,$J1375=经营数据!$BA$5),COUNTIFS($P$2:$P$3000,1,$A$2:$A$3000,$A1375,$J$2:$J$3000,$J1375,$N$2:$N$3000,"&lt;"&amp;$N1375)+1,"")</f>
        <v/>
      </c>
      <c r="R1375" t="str">
        <f t="shared" si="323"/>
        <v>汇添富上海地产封闭式商业不动产证券投资基金|鼎博大厦</v>
      </c>
      <c r="S1375">
        <f>IF($A1375="",0,IF(COUNTIF($R$2:$R1375,$R1375)=1,1,0))</f>
        <v>0</v>
      </c>
      <c r="T1375">
        <f t="shared" si="324"/>
        <v>1363</v>
      </c>
      <c r="U1375" t="str">
        <f>IF($A1375="","",IF($A1375=经营数据!$B$3,COUNTIFS($S$2:$S$3000,1,$A$2:$A$3000,$A1375,$T$2:$T$3000,"&lt;"&amp;$T1375)+1,""))</f>
        <v/>
      </c>
      <c r="V1375" t="str">
        <f t="shared" si="325"/>
        <v>鼎博大厦|服务价格</v>
      </c>
      <c r="W1375">
        <f t="shared" si="326"/>
        <v>1363</v>
      </c>
      <c r="X1375" t="str">
        <f t="shared" si="327"/>
        <v>鼎博大厦|期末有效租金单价</v>
      </c>
      <c r="Y1375">
        <f t="shared" si="328"/>
        <v>1366</v>
      </c>
      <c r="Z1375">
        <f>IF($A1375="",0,IF(AND($M1375=1,$A1375=经营数据!$B$3,$J1375=经营数据!$BA$5,OR($I1375=经营数据!$BA$4,COUNTIF(经营数据!$AA$9:$AA$38,$I1375)&gt;0)),1,0))</f>
        <v>0</v>
      </c>
      <c r="AA1375" t="str">
        <f t="shared" si="329"/>
        <v/>
      </c>
      <c r="AB1375" t="str">
        <f t="shared" si="330"/>
        <v/>
      </c>
      <c r="AC1375">
        <f>IF($A1375="",0,IF(COUNTIF($A$2:$A1375,$A1375)=1,1,0))</f>
        <v>0</v>
      </c>
      <c r="AD1375">
        <f t="shared" si="331"/>
        <v>13</v>
      </c>
      <c r="AE1375" t="str">
        <f t="shared" si="332"/>
        <v>鼎博大厦|期末有效租金单价（元/平方米/月）</v>
      </c>
    </row>
    <row r="1376" spans="1:31" x14ac:dyDescent="0.4">
      <c r="A1376" t="str">
        <f>IF(原始经营数据!$D1377="","",原始经营数据!$D1377)</f>
        <v>中金唯品会封闭式商业不动产证券投资基金</v>
      </c>
      <c r="B1376" t="str">
        <f>IF(原始经营数据!$D1377="","",T(原始经营数据!$E1377))</f>
        <v>哈尔滨杉杉奥特莱斯项目</v>
      </c>
      <c r="C1376" t="str">
        <f>IF(原始经营数据!$D1377="","",原始经营数据!$F1377)</f>
        <v>2023</v>
      </c>
      <c r="D1376" t="str">
        <f>IF(原始经营数据!$D1377="","",原始经营数据!$H1377)</f>
        <v>租金收入</v>
      </c>
      <c r="E1376">
        <f>IF(原始经营数据!$D1377="","",原始经营数据!$I1377)</f>
        <v>2718.15</v>
      </c>
      <c r="F1376" t="str">
        <f>IF(原始经营数据!$D1377="","",T(原始经营数据!$J1377))</f>
        <v>万元</v>
      </c>
      <c r="G1376" t="str">
        <f>IF(原始经营数据!$D1377="","",T(原始经营数据!$K1377))</f>
        <v/>
      </c>
      <c r="H1376" t="str">
        <f>IF(原始经营数据!$D1377="","",原始经营数据!$G1377)</f>
        <v>服务金额</v>
      </c>
      <c r="I1376" t="str">
        <f>IF($A1376="","",IF($B1376&lt;&gt;"",$B1376,IF(COUNTIFS(原始经营数据!$D$3:$D$3001,$A1376,原始经营数据!$E$3:$E$3001,"",原始经营数据!$F$3:$F$3001,$C1376,原始经营数据!$H$3:$H$3001,$D1376,原始经营数据!$K$3:$K$3001,$G1376)&gt;1,"基金整体·来源"&amp;原始经营数据!$A1377,"基金整体")))</f>
        <v>哈尔滨杉杉奥特莱斯项目</v>
      </c>
      <c r="J1376" t="str">
        <f t="shared" si="318"/>
        <v>年度</v>
      </c>
      <c r="K1376" t="str">
        <f t="shared" si="319"/>
        <v>租金收入（万元）</v>
      </c>
      <c r="L1376" t="str">
        <f t="shared" si="320"/>
        <v>哈尔滨杉杉奥特莱斯项目|租金收入（万元）|年度</v>
      </c>
      <c r="M1376">
        <f>IF($A1376="",0,IF(COUNTIF($L$2:$L1376,$L1376)=1,1,0))</f>
        <v>1</v>
      </c>
      <c r="N1376">
        <f t="shared" si="321"/>
        <v>20230</v>
      </c>
      <c r="O1376" t="str">
        <f t="shared" si="322"/>
        <v>中金唯品会封闭式商业不动产证券投资基金|2023|年度</v>
      </c>
      <c r="P1376">
        <f>IF($A1376="",0,IF(COUNTIF($O$2:$O1376,$O1376)=1,1,0))</f>
        <v>1</v>
      </c>
      <c r="Q1376" t="str">
        <f>IF(AND($P1376=1,$A1376=经营数据!$B$3,$J1376=经营数据!$BA$5),COUNTIFS($P$2:$P$3000,1,$A$2:$A$3000,$A1376,$J$2:$J$3000,$J1376,$N$2:$N$3000,"&lt;"&amp;$N1376)+1,"")</f>
        <v/>
      </c>
      <c r="R1376" t="str">
        <f t="shared" si="323"/>
        <v>中金唯品会封闭式商业不动产证券投资基金|哈尔滨杉杉奥特莱斯项目</v>
      </c>
      <c r="S1376">
        <f>IF($A1376="",0,IF(COUNTIF($R$2:$R1376,$R1376)=1,1,0))</f>
        <v>1</v>
      </c>
      <c r="T1376">
        <f t="shared" si="324"/>
        <v>1375</v>
      </c>
      <c r="U1376" t="str">
        <f>IF($A1376="","",IF($A1376=经营数据!$B$3,COUNTIFS($S$2:$S$3000,1,$A$2:$A$3000,$A1376,$T$2:$T$3000,"&lt;"&amp;$T1376)+1,""))</f>
        <v/>
      </c>
      <c r="V1376" t="str">
        <f t="shared" si="325"/>
        <v>哈尔滨杉杉奥特莱斯项目|服务金额</v>
      </c>
      <c r="W1376">
        <f t="shared" si="326"/>
        <v>1375</v>
      </c>
      <c r="X1376" t="str">
        <f t="shared" si="327"/>
        <v>哈尔滨杉杉奥特莱斯项目|租金收入</v>
      </c>
      <c r="Y1376">
        <f t="shared" si="328"/>
        <v>1375</v>
      </c>
      <c r="Z1376">
        <f>IF($A1376="",0,IF(AND($M1376=1,$A1376=经营数据!$B$3,$J1376=经营数据!$BA$5,OR($I1376=经营数据!$BA$4,COUNTIF(经营数据!$AA$9:$AA$38,$I1376)&gt;0)),1,0))</f>
        <v>0</v>
      </c>
      <c r="AA1376" t="str">
        <f t="shared" si="329"/>
        <v/>
      </c>
      <c r="AB1376" t="str">
        <f t="shared" si="330"/>
        <v/>
      </c>
      <c r="AC1376">
        <f>IF($A1376="",0,IF(COUNTIF($A$2:$A1376,$A1376)=1,1,0))</f>
        <v>1</v>
      </c>
      <c r="AD1376">
        <f t="shared" si="331"/>
        <v>14</v>
      </c>
      <c r="AE1376" t="str">
        <f t="shared" si="332"/>
        <v>哈尔滨杉杉奥特莱斯项目|租金收入（万元）</v>
      </c>
    </row>
    <row r="1377" spans="1:31" x14ac:dyDescent="0.4">
      <c r="A1377" t="str">
        <f>IF(原始经营数据!$D1378="","",原始经营数据!$D1378)</f>
        <v>中金唯品会封闭式商业不动产证券投资基金</v>
      </c>
      <c r="B1377" t="str">
        <f>IF(原始经营数据!$D1378="","",T(原始经营数据!$E1378))</f>
        <v>哈尔滨杉杉奥特莱斯项目</v>
      </c>
      <c r="C1377" t="str">
        <f>IF(原始经营数据!$D1378="","",原始经营数据!$F1378)</f>
        <v>2023</v>
      </c>
      <c r="D1377" t="str">
        <f>IF(原始经营数据!$D1378="","",原始经营数据!$H1378)</f>
        <v>加权平均出租率</v>
      </c>
      <c r="E1377">
        <f>IF(原始经营数据!$D1378="","",原始经营数据!$I1378)</f>
        <v>99.56</v>
      </c>
      <c r="F1377" t="str">
        <f>IF(原始经营数据!$D1378="","",T(原始经营数据!$J1378))</f>
        <v>%</v>
      </c>
      <c r="G1377" t="str">
        <f>IF(原始经营数据!$D1378="","",T(原始经营数据!$K1378))</f>
        <v/>
      </c>
      <c r="H1377" t="str">
        <f>IF(原始经营数据!$D1378="","",原始经营数据!$G1378)</f>
        <v>服务效率</v>
      </c>
      <c r="I1377" t="str">
        <f>IF($A1377="","",IF($B1377&lt;&gt;"",$B1377,IF(COUNTIFS(原始经营数据!$D$3:$D$3001,$A1377,原始经营数据!$E$3:$E$3001,"",原始经营数据!$F$3:$F$3001,$C1377,原始经营数据!$H$3:$H$3001,$D1377,原始经营数据!$K$3:$K$3001,$G1377)&gt;1,"基金整体·来源"&amp;原始经营数据!$A1378,"基金整体")))</f>
        <v>哈尔滨杉杉奥特莱斯项目</v>
      </c>
      <c r="J1377" t="str">
        <f t="shared" si="318"/>
        <v>年度</v>
      </c>
      <c r="K1377" t="str">
        <f t="shared" si="319"/>
        <v>加权平均出租率（%）</v>
      </c>
      <c r="L1377" t="str">
        <f t="shared" si="320"/>
        <v>哈尔滨杉杉奥特莱斯项目|加权平均出租率（%）|年度</v>
      </c>
      <c r="M1377">
        <f>IF($A1377="",0,IF(COUNTIF($L$2:$L1377,$L1377)=1,1,0))</f>
        <v>1</v>
      </c>
      <c r="N1377">
        <f t="shared" si="321"/>
        <v>20230</v>
      </c>
      <c r="O1377" t="str">
        <f t="shared" si="322"/>
        <v>中金唯品会封闭式商业不动产证券投资基金|2023|年度</v>
      </c>
      <c r="P1377">
        <f>IF($A1377="",0,IF(COUNTIF($O$2:$O1377,$O1377)=1,1,0))</f>
        <v>0</v>
      </c>
      <c r="Q1377" t="str">
        <f>IF(AND($P1377=1,$A1377=经营数据!$B$3,$J1377=经营数据!$BA$5),COUNTIFS($P$2:$P$3000,1,$A$2:$A$3000,$A1377,$J$2:$J$3000,$J1377,$N$2:$N$3000,"&lt;"&amp;$N1377)+1,"")</f>
        <v/>
      </c>
      <c r="R1377" t="str">
        <f t="shared" si="323"/>
        <v>中金唯品会封闭式商业不动产证券投资基金|哈尔滨杉杉奥特莱斯项目</v>
      </c>
      <c r="S1377">
        <f>IF($A1377="",0,IF(COUNTIF($R$2:$R1377,$R1377)=1,1,0))</f>
        <v>0</v>
      </c>
      <c r="T1377">
        <f t="shared" si="324"/>
        <v>1375</v>
      </c>
      <c r="U1377" t="str">
        <f>IF($A1377="","",IF($A1377=经营数据!$B$3,COUNTIFS($S$2:$S$3000,1,$A$2:$A$3000,$A1377,$T$2:$T$3000,"&lt;"&amp;$T1377)+1,""))</f>
        <v/>
      </c>
      <c r="V1377" t="str">
        <f t="shared" si="325"/>
        <v>哈尔滨杉杉奥特莱斯项目|服务效率</v>
      </c>
      <c r="W1377">
        <f t="shared" si="326"/>
        <v>1376</v>
      </c>
      <c r="X1377" t="str">
        <f t="shared" si="327"/>
        <v>哈尔滨杉杉奥特莱斯项目|加权平均出租率</v>
      </c>
      <c r="Y1377">
        <f t="shared" si="328"/>
        <v>1376</v>
      </c>
      <c r="Z1377">
        <f>IF($A1377="",0,IF(AND($M1377=1,$A1377=经营数据!$B$3,$J1377=经营数据!$BA$5,OR($I1377=经营数据!$BA$4,COUNTIF(经营数据!$AA$9:$AA$38,$I1377)&gt;0)),1,0))</f>
        <v>0</v>
      </c>
      <c r="AA1377" t="str">
        <f t="shared" si="329"/>
        <v/>
      </c>
      <c r="AB1377" t="str">
        <f t="shared" si="330"/>
        <v/>
      </c>
      <c r="AC1377">
        <f>IF($A1377="",0,IF(COUNTIF($A$2:$A1377,$A1377)=1,1,0))</f>
        <v>0</v>
      </c>
      <c r="AD1377">
        <f t="shared" si="331"/>
        <v>14</v>
      </c>
      <c r="AE1377" t="str">
        <f t="shared" si="332"/>
        <v>哈尔滨杉杉奥特莱斯项目|加权平均出租率（%）</v>
      </c>
    </row>
    <row r="1378" spans="1:31" x14ac:dyDescent="0.4">
      <c r="A1378" t="str">
        <f>IF(原始经营数据!$D1379="","",原始经营数据!$D1379)</f>
        <v>中金唯品会封闭式商业不动产证券投资基金</v>
      </c>
      <c r="B1378" t="str">
        <f>IF(原始经营数据!$D1379="","",T(原始经营数据!$E1379))</f>
        <v>哈尔滨杉杉奥特莱斯项目</v>
      </c>
      <c r="C1378" t="str">
        <f>IF(原始经营数据!$D1379="","",原始经营数据!$F1379)</f>
        <v>2024</v>
      </c>
      <c r="D1378" t="str">
        <f>IF(原始经营数据!$D1379="","",原始经营数据!$H1379)</f>
        <v>租金收入</v>
      </c>
      <c r="E1378">
        <f>IF(原始经营数据!$D1379="","",原始经营数据!$I1379)</f>
        <v>2623.42</v>
      </c>
      <c r="F1378" t="str">
        <f>IF(原始经营数据!$D1379="","",T(原始经营数据!$J1379))</f>
        <v>万元</v>
      </c>
      <c r="G1378" t="str">
        <f>IF(原始经营数据!$D1379="","",T(原始经营数据!$K1379))</f>
        <v/>
      </c>
      <c r="H1378" t="str">
        <f>IF(原始经营数据!$D1379="","",原始经营数据!$G1379)</f>
        <v>服务金额</v>
      </c>
      <c r="I1378" t="str">
        <f>IF($A1378="","",IF($B1378&lt;&gt;"",$B1378,IF(COUNTIFS(原始经营数据!$D$3:$D$3001,$A1378,原始经营数据!$E$3:$E$3001,"",原始经营数据!$F$3:$F$3001,$C1378,原始经营数据!$H$3:$H$3001,$D1378,原始经营数据!$K$3:$K$3001,$G1378)&gt;1,"基金整体·来源"&amp;原始经营数据!$A1379,"基金整体")))</f>
        <v>哈尔滨杉杉奥特莱斯项目</v>
      </c>
      <c r="J1378" t="str">
        <f t="shared" si="318"/>
        <v>年度</v>
      </c>
      <c r="K1378" t="str">
        <f t="shared" si="319"/>
        <v>租金收入（万元）</v>
      </c>
      <c r="L1378" t="str">
        <f t="shared" si="320"/>
        <v>哈尔滨杉杉奥特莱斯项目|租金收入（万元）|年度</v>
      </c>
      <c r="M1378">
        <f>IF($A1378="",0,IF(COUNTIF($L$2:$L1378,$L1378)=1,1,0))</f>
        <v>0</v>
      </c>
      <c r="N1378">
        <f t="shared" si="321"/>
        <v>20240</v>
      </c>
      <c r="O1378" t="str">
        <f t="shared" si="322"/>
        <v>中金唯品会封闭式商业不动产证券投资基金|2024|年度</v>
      </c>
      <c r="P1378">
        <f>IF($A1378="",0,IF(COUNTIF($O$2:$O1378,$O1378)=1,1,0))</f>
        <v>1</v>
      </c>
      <c r="Q1378" t="str">
        <f>IF(AND($P1378=1,$A1378=经营数据!$B$3,$J1378=经营数据!$BA$5),COUNTIFS($P$2:$P$3000,1,$A$2:$A$3000,$A1378,$J$2:$J$3000,$J1378,$N$2:$N$3000,"&lt;"&amp;$N1378)+1,"")</f>
        <v/>
      </c>
      <c r="R1378" t="str">
        <f t="shared" si="323"/>
        <v>中金唯品会封闭式商业不动产证券投资基金|哈尔滨杉杉奥特莱斯项目</v>
      </c>
      <c r="S1378">
        <f>IF($A1378="",0,IF(COUNTIF($R$2:$R1378,$R1378)=1,1,0))</f>
        <v>0</v>
      </c>
      <c r="T1378">
        <f t="shared" si="324"/>
        <v>1375</v>
      </c>
      <c r="U1378" t="str">
        <f>IF($A1378="","",IF($A1378=经营数据!$B$3,COUNTIFS($S$2:$S$3000,1,$A$2:$A$3000,$A1378,$T$2:$T$3000,"&lt;"&amp;$T1378)+1,""))</f>
        <v/>
      </c>
      <c r="V1378" t="str">
        <f t="shared" si="325"/>
        <v>哈尔滨杉杉奥特莱斯项目|服务金额</v>
      </c>
      <c r="W1378">
        <f t="shared" si="326"/>
        <v>1375</v>
      </c>
      <c r="X1378" t="str">
        <f t="shared" si="327"/>
        <v>哈尔滨杉杉奥特莱斯项目|租金收入</v>
      </c>
      <c r="Y1378">
        <f t="shared" si="328"/>
        <v>1375</v>
      </c>
      <c r="Z1378">
        <f>IF($A1378="",0,IF(AND($M1378=1,$A1378=经营数据!$B$3,$J1378=经营数据!$BA$5,OR($I1378=经营数据!$BA$4,COUNTIF(经营数据!$AA$9:$AA$38,$I1378)&gt;0)),1,0))</f>
        <v>0</v>
      </c>
      <c r="AA1378" t="str">
        <f t="shared" si="329"/>
        <v/>
      </c>
      <c r="AB1378" t="str">
        <f t="shared" si="330"/>
        <v/>
      </c>
      <c r="AC1378">
        <f>IF($A1378="",0,IF(COUNTIF($A$2:$A1378,$A1378)=1,1,0))</f>
        <v>0</v>
      </c>
      <c r="AD1378">
        <f t="shared" si="331"/>
        <v>14</v>
      </c>
      <c r="AE1378" t="str">
        <f t="shared" si="332"/>
        <v>哈尔滨杉杉奥特莱斯项目|租金收入（万元）</v>
      </c>
    </row>
    <row r="1379" spans="1:31" x14ac:dyDescent="0.4">
      <c r="A1379" t="str">
        <f>IF(原始经营数据!$D1380="","",原始经营数据!$D1380)</f>
        <v>中金唯品会封闭式商业不动产证券投资基金</v>
      </c>
      <c r="B1379" t="str">
        <f>IF(原始经营数据!$D1380="","",T(原始经营数据!$E1380))</f>
        <v>哈尔滨杉杉奥特莱斯项目</v>
      </c>
      <c r="C1379" t="str">
        <f>IF(原始经营数据!$D1380="","",原始经营数据!$F1380)</f>
        <v>2024</v>
      </c>
      <c r="D1379" t="str">
        <f>IF(原始经营数据!$D1380="","",原始经营数据!$H1380)</f>
        <v>加权平均出租率</v>
      </c>
      <c r="E1379">
        <f>IF(原始经营数据!$D1380="","",原始经营数据!$I1380)</f>
        <v>99.61</v>
      </c>
      <c r="F1379" t="str">
        <f>IF(原始经营数据!$D1380="","",T(原始经营数据!$J1380))</f>
        <v>%</v>
      </c>
      <c r="G1379" t="str">
        <f>IF(原始经营数据!$D1380="","",T(原始经营数据!$K1380))</f>
        <v/>
      </c>
      <c r="H1379" t="str">
        <f>IF(原始经营数据!$D1380="","",原始经营数据!$G1380)</f>
        <v>服务效率</v>
      </c>
      <c r="I1379" t="str">
        <f>IF($A1379="","",IF($B1379&lt;&gt;"",$B1379,IF(COUNTIFS(原始经营数据!$D$3:$D$3001,$A1379,原始经营数据!$E$3:$E$3001,"",原始经营数据!$F$3:$F$3001,$C1379,原始经营数据!$H$3:$H$3001,$D1379,原始经营数据!$K$3:$K$3001,$G1379)&gt;1,"基金整体·来源"&amp;原始经营数据!$A1380,"基金整体")))</f>
        <v>哈尔滨杉杉奥特莱斯项目</v>
      </c>
      <c r="J1379" t="str">
        <f t="shared" si="318"/>
        <v>年度</v>
      </c>
      <c r="K1379" t="str">
        <f t="shared" si="319"/>
        <v>加权平均出租率（%）</v>
      </c>
      <c r="L1379" t="str">
        <f t="shared" si="320"/>
        <v>哈尔滨杉杉奥特莱斯项目|加权平均出租率（%）|年度</v>
      </c>
      <c r="M1379">
        <f>IF($A1379="",0,IF(COUNTIF($L$2:$L1379,$L1379)=1,1,0))</f>
        <v>0</v>
      </c>
      <c r="N1379">
        <f t="shared" si="321"/>
        <v>20240</v>
      </c>
      <c r="O1379" t="str">
        <f t="shared" si="322"/>
        <v>中金唯品会封闭式商业不动产证券投资基金|2024|年度</v>
      </c>
      <c r="P1379">
        <f>IF($A1379="",0,IF(COUNTIF($O$2:$O1379,$O1379)=1,1,0))</f>
        <v>0</v>
      </c>
      <c r="Q1379" t="str">
        <f>IF(AND($P1379=1,$A1379=经营数据!$B$3,$J1379=经营数据!$BA$5),COUNTIFS($P$2:$P$3000,1,$A$2:$A$3000,$A1379,$J$2:$J$3000,$J1379,$N$2:$N$3000,"&lt;"&amp;$N1379)+1,"")</f>
        <v/>
      </c>
      <c r="R1379" t="str">
        <f t="shared" si="323"/>
        <v>中金唯品会封闭式商业不动产证券投资基金|哈尔滨杉杉奥特莱斯项目</v>
      </c>
      <c r="S1379">
        <f>IF($A1379="",0,IF(COUNTIF($R$2:$R1379,$R1379)=1,1,0))</f>
        <v>0</v>
      </c>
      <c r="T1379">
        <f t="shared" si="324"/>
        <v>1375</v>
      </c>
      <c r="U1379" t="str">
        <f>IF($A1379="","",IF($A1379=经营数据!$B$3,COUNTIFS($S$2:$S$3000,1,$A$2:$A$3000,$A1379,$T$2:$T$3000,"&lt;"&amp;$T1379)+1,""))</f>
        <v/>
      </c>
      <c r="V1379" t="str">
        <f t="shared" si="325"/>
        <v>哈尔滨杉杉奥特莱斯项目|服务效率</v>
      </c>
      <c r="W1379">
        <f t="shared" si="326"/>
        <v>1376</v>
      </c>
      <c r="X1379" t="str">
        <f t="shared" si="327"/>
        <v>哈尔滨杉杉奥特莱斯项目|加权平均出租率</v>
      </c>
      <c r="Y1379">
        <f t="shared" si="328"/>
        <v>1376</v>
      </c>
      <c r="Z1379">
        <f>IF($A1379="",0,IF(AND($M1379=1,$A1379=经营数据!$B$3,$J1379=经营数据!$BA$5,OR($I1379=经营数据!$BA$4,COUNTIF(经营数据!$AA$9:$AA$38,$I1379)&gt;0)),1,0))</f>
        <v>0</v>
      </c>
      <c r="AA1379" t="str">
        <f t="shared" si="329"/>
        <v/>
      </c>
      <c r="AB1379" t="str">
        <f t="shared" si="330"/>
        <v/>
      </c>
      <c r="AC1379">
        <f>IF($A1379="",0,IF(COUNTIF($A$2:$A1379,$A1379)=1,1,0))</f>
        <v>0</v>
      </c>
      <c r="AD1379">
        <f t="shared" si="331"/>
        <v>14</v>
      </c>
      <c r="AE1379" t="str">
        <f t="shared" si="332"/>
        <v>哈尔滨杉杉奥特莱斯项目|加权平均出租率（%）</v>
      </c>
    </row>
    <row r="1380" spans="1:31" x14ac:dyDescent="0.4">
      <c r="A1380" t="str">
        <f>IF(原始经营数据!$D1381="","",原始经营数据!$D1381)</f>
        <v>中金唯品会封闭式商业不动产证券投资基金</v>
      </c>
      <c r="B1380" t="str">
        <f>IF(原始经营数据!$D1381="","",T(原始经营数据!$E1381))</f>
        <v>哈尔滨杉杉奥特莱斯项目</v>
      </c>
      <c r="C1380" t="str">
        <f>IF(原始经营数据!$D1381="","",原始经营数据!$F1381)</f>
        <v>2025</v>
      </c>
      <c r="D1380" t="str">
        <f>IF(原始经营数据!$D1381="","",原始经营数据!$H1381)</f>
        <v>租金收入</v>
      </c>
      <c r="E1380">
        <f>IF(原始经营数据!$D1381="","",原始经营数据!$I1381)</f>
        <v>2703.93</v>
      </c>
      <c r="F1380" t="str">
        <f>IF(原始经营数据!$D1381="","",T(原始经营数据!$J1381))</f>
        <v>万元</v>
      </c>
      <c r="G1380" t="str">
        <f>IF(原始经营数据!$D1381="","",T(原始经营数据!$K1381))</f>
        <v/>
      </c>
      <c r="H1380" t="str">
        <f>IF(原始经营数据!$D1381="","",原始经营数据!$G1381)</f>
        <v>服务金额</v>
      </c>
      <c r="I1380" t="str">
        <f>IF($A1380="","",IF($B1380&lt;&gt;"",$B1380,IF(COUNTIFS(原始经营数据!$D$3:$D$3001,$A1380,原始经营数据!$E$3:$E$3001,"",原始经营数据!$F$3:$F$3001,$C1380,原始经营数据!$H$3:$H$3001,$D1380,原始经营数据!$K$3:$K$3001,$G1380)&gt;1,"基金整体·来源"&amp;原始经营数据!$A1381,"基金整体")))</f>
        <v>哈尔滨杉杉奥特莱斯项目</v>
      </c>
      <c r="J1380" t="str">
        <f t="shared" si="318"/>
        <v>年度</v>
      </c>
      <c r="K1380" t="str">
        <f t="shared" si="319"/>
        <v>租金收入（万元）</v>
      </c>
      <c r="L1380" t="str">
        <f t="shared" si="320"/>
        <v>哈尔滨杉杉奥特莱斯项目|租金收入（万元）|年度</v>
      </c>
      <c r="M1380">
        <f>IF($A1380="",0,IF(COUNTIF($L$2:$L1380,$L1380)=1,1,0))</f>
        <v>0</v>
      </c>
      <c r="N1380">
        <f t="shared" si="321"/>
        <v>20250</v>
      </c>
      <c r="O1380" t="str">
        <f t="shared" si="322"/>
        <v>中金唯品会封闭式商业不动产证券投资基金|2025|年度</v>
      </c>
      <c r="P1380">
        <f>IF($A1380="",0,IF(COUNTIF($O$2:$O1380,$O1380)=1,1,0))</f>
        <v>1</v>
      </c>
      <c r="Q1380" t="str">
        <f>IF(AND($P1380=1,$A1380=经营数据!$B$3,$J1380=经营数据!$BA$5),COUNTIFS($P$2:$P$3000,1,$A$2:$A$3000,$A1380,$J$2:$J$3000,$J1380,$N$2:$N$3000,"&lt;"&amp;$N1380)+1,"")</f>
        <v/>
      </c>
      <c r="R1380" t="str">
        <f t="shared" si="323"/>
        <v>中金唯品会封闭式商业不动产证券投资基金|哈尔滨杉杉奥特莱斯项目</v>
      </c>
      <c r="S1380">
        <f>IF($A1380="",0,IF(COUNTIF($R$2:$R1380,$R1380)=1,1,0))</f>
        <v>0</v>
      </c>
      <c r="T1380">
        <f t="shared" si="324"/>
        <v>1375</v>
      </c>
      <c r="U1380" t="str">
        <f>IF($A1380="","",IF($A1380=经营数据!$B$3,COUNTIFS($S$2:$S$3000,1,$A$2:$A$3000,$A1380,$T$2:$T$3000,"&lt;"&amp;$T1380)+1,""))</f>
        <v/>
      </c>
      <c r="V1380" t="str">
        <f t="shared" si="325"/>
        <v>哈尔滨杉杉奥特莱斯项目|服务金额</v>
      </c>
      <c r="W1380">
        <f t="shared" si="326"/>
        <v>1375</v>
      </c>
      <c r="X1380" t="str">
        <f t="shared" si="327"/>
        <v>哈尔滨杉杉奥特莱斯项目|租金收入</v>
      </c>
      <c r="Y1380">
        <f t="shared" si="328"/>
        <v>1375</v>
      </c>
      <c r="Z1380">
        <f>IF($A1380="",0,IF(AND($M1380=1,$A1380=经营数据!$B$3,$J1380=经营数据!$BA$5,OR($I1380=经营数据!$BA$4,COUNTIF(经营数据!$AA$9:$AA$38,$I1380)&gt;0)),1,0))</f>
        <v>0</v>
      </c>
      <c r="AA1380" t="str">
        <f t="shared" si="329"/>
        <v/>
      </c>
      <c r="AB1380" t="str">
        <f t="shared" si="330"/>
        <v/>
      </c>
      <c r="AC1380">
        <f>IF($A1380="",0,IF(COUNTIF($A$2:$A1380,$A1380)=1,1,0))</f>
        <v>0</v>
      </c>
      <c r="AD1380">
        <f t="shared" si="331"/>
        <v>14</v>
      </c>
      <c r="AE1380" t="str">
        <f t="shared" si="332"/>
        <v>哈尔滨杉杉奥特莱斯项目|租金收入（万元）</v>
      </c>
    </row>
    <row r="1381" spans="1:31" x14ac:dyDescent="0.4">
      <c r="A1381" t="str">
        <f>IF(原始经营数据!$D1382="","",原始经营数据!$D1382)</f>
        <v>中金唯品会封闭式商业不动产证券投资基金</v>
      </c>
      <c r="B1381" t="str">
        <f>IF(原始经营数据!$D1382="","",T(原始经营数据!$E1382))</f>
        <v>哈尔滨杉杉奥特莱斯项目</v>
      </c>
      <c r="C1381" t="str">
        <f>IF(原始经营数据!$D1382="","",原始经营数据!$F1382)</f>
        <v>2025</v>
      </c>
      <c r="D1381" t="str">
        <f>IF(原始经营数据!$D1382="","",原始经营数据!$H1382)</f>
        <v>加权平均出租率</v>
      </c>
      <c r="E1381">
        <f>IF(原始经营数据!$D1382="","",原始经营数据!$I1382)</f>
        <v>99.89</v>
      </c>
      <c r="F1381" t="str">
        <f>IF(原始经营数据!$D1382="","",T(原始经营数据!$J1382))</f>
        <v>%</v>
      </c>
      <c r="G1381" t="str">
        <f>IF(原始经营数据!$D1382="","",T(原始经营数据!$K1382))</f>
        <v/>
      </c>
      <c r="H1381" t="str">
        <f>IF(原始经营数据!$D1382="","",原始经营数据!$G1382)</f>
        <v>服务效率</v>
      </c>
      <c r="I1381" t="str">
        <f>IF($A1381="","",IF($B1381&lt;&gt;"",$B1381,IF(COUNTIFS(原始经营数据!$D$3:$D$3001,$A1381,原始经营数据!$E$3:$E$3001,"",原始经营数据!$F$3:$F$3001,$C1381,原始经营数据!$H$3:$H$3001,$D1381,原始经营数据!$K$3:$K$3001,$G1381)&gt;1,"基金整体·来源"&amp;原始经营数据!$A1382,"基金整体")))</f>
        <v>哈尔滨杉杉奥特莱斯项目</v>
      </c>
      <c r="J1381" t="str">
        <f t="shared" si="318"/>
        <v>年度</v>
      </c>
      <c r="K1381" t="str">
        <f t="shared" si="319"/>
        <v>加权平均出租率（%）</v>
      </c>
      <c r="L1381" t="str">
        <f t="shared" si="320"/>
        <v>哈尔滨杉杉奥特莱斯项目|加权平均出租率（%）|年度</v>
      </c>
      <c r="M1381">
        <f>IF($A1381="",0,IF(COUNTIF($L$2:$L1381,$L1381)=1,1,0))</f>
        <v>0</v>
      </c>
      <c r="N1381">
        <f t="shared" si="321"/>
        <v>20250</v>
      </c>
      <c r="O1381" t="str">
        <f t="shared" si="322"/>
        <v>中金唯品会封闭式商业不动产证券投资基金|2025|年度</v>
      </c>
      <c r="P1381">
        <f>IF($A1381="",0,IF(COUNTIF($O$2:$O1381,$O1381)=1,1,0))</f>
        <v>0</v>
      </c>
      <c r="Q1381" t="str">
        <f>IF(AND($P1381=1,$A1381=经营数据!$B$3,$J1381=经营数据!$BA$5),COUNTIFS($P$2:$P$3000,1,$A$2:$A$3000,$A1381,$J$2:$J$3000,$J1381,$N$2:$N$3000,"&lt;"&amp;$N1381)+1,"")</f>
        <v/>
      </c>
      <c r="R1381" t="str">
        <f t="shared" si="323"/>
        <v>中金唯品会封闭式商业不动产证券投资基金|哈尔滨杉杉奥特莱斯项目</v>
      </c>
      <c r="S1381">
        <f>IF($A1381="",0,IF(COUNTIF($R$2:$R1381,$R1381)=1,1,0))</f>
        <v>0</v>
      </c>
      <c r="T1381">
        <f t="shared" si="324"/>
        <v>1375</v>
      </c>
      <c r="U1381" t="str">
        <f>IF($A1381="","",IF($A1381=经营数据!$B$3,COUNTIFS($S$2:$S$3000,1,$A$2:$A$3000,$A1381,$T$2:$T$3000,"&lt;"&amp;$T1381)+1,""))</f>
        <v/>
      </c>
      <c r="V1381" t="str">
        <f t="shared" si="325"/>
        <v>哈尔滨杉杉奥特莱斯项目|服务效率</v>
      </c>
      <c r="W1381">
        <f t="shared" si="326"/>
        <v>1376</v>
      </c>
      <c r="X1381" t="str">
        <f t="shared" si="327"/>
        <v>哈尔滨杉杉奥特莱斯项目|加权平均出租率</v>
      </c>
      <c r="Y1381">
        <f t="shared" si="328"/>
        <v>1376</v>
      </c>
      <c r="Z1381">
        <f>IF($A1381="",0,IF(AND($M1381=1,$A1381=经营数据!$B$3,$J1381=经营数据!$BA$5,OR($I1381=经营数据!$BA$4,COUNTIF(经营数据!$AA$9:$AA$38,$I1381)&gt;0)),1,0))</f>
        <v>0</v>
      </c>
      <c r="AA1381" t="str">
        <f t="shared" si="329"/>
        <v/>
      </c>
      <c r="AB1381" t="str">
        <f t="shared" si="330"/>
        <v/>
      </c>
      <c r="AC1381">
        <f>IF($A1381="",0,IF(COUNTIF($A$2:$A1381,$A1381)=1,1,0))</f>
        <v>0</v>
      </c>
      <c r="AD1381">
        <f t="shared" si="331"/>
        <v>14</v>
      </c>
      <c r="AE1381" t="str">
        <f t="shared" si="332"/>
        <v>哈尔滨杉杉奥特莱斯项目|加权平均出租率（%）</v>
      </c>
    </row>
    <row r="1382" spans="1:31" x14ac:dyDescent="0.4">
      <c r="A1382" t="str">
        <f>IF(原始经营数据!$D1383="","",原始经营数据!$D1383)</f>
        <v>中金唯品会封闭式商业不动产证券投资基金</v>
      </c>
      <c r="B1382" t="str">
        <f>IF(原始经营数据!$D1383="","",T(原始经营数据!$E1383))</f>
        <v>郑州杉杉奥特莱斯项目</v>
      </c>
      <c r="C1382" t="str">
        <f>IF(原始经营数据!$D1383="","",原始经营数据!$F1383)</f>
        <v>2023</v>
      </c>
      <c r="D1382" t="str">
        <f>IF(原始经营数据!$D1383="","",原始经营数据!$H1383)</f>
        <v>加权平均出租率</v>
      </c>
      <c r="E1382">
        <f>IF(原始经营数据!$D1383="","",原始经营数据!$I1383)</f>
        <v>99.44</v>
      </c>
      <c r="F1382" t="str">
        <f>IF(原始经营数据!$D1383="","",T(原始经营数据!$J1383))</f>
        <v>%</v>
      </c>
      <c r="G1382" t="str">
        <f>IF(原始经营数据!$D1383="","",T(原始经营数据!$K1383))</f>
        <v/>
      </c>
      <c r="H1382" t="str">
        <f>IF(原始经营数据!$D1383="","",原始经营数据!$G1383)</f>
        <v>服务效率</v>
      </c>
      <c r="I1382" t="str">
        <f>IF($A1382="","",IF($B1382&lt;&gt;"",$B1382,IF(COUNTIFS(原始经营数据!$D$3:$D$3001,$A1382,原始经营数据!$E$3:$E$3001,"",原始经营数据!$F$3:$F$3001,$C1382,原始经营数据!$H$3:$H$3001,$D1382,原始经营数据!$K$3:$K$3001,$G1382)&gt;1,"基金整体·来源"&amp;原始经营数据!$A1383,"基金整体")))</f>
        <v>郑州杉杉奥特莱斯项目</v>
      </c>
      <c r="J1382" t="str">
        <f t="shared" si="318"/>
        <v>年度</v>
      </c>
      <c r="K1382" t="str">
        <f t="shared" si="319"/>
        <v>加权平均出租率（%）</v>
      </c>
      <c r="L1382" t="str">
        <f t="shared" si="320"/>
        <v>郑州杉杉奥特莱斯项目|加权平均出租率（%）|年度</v>
      </c>
      <c r="M1382">
        <f>IF($A1382="",0,IF(COUNTIF($L$2:$L1382,$L1382)=1,1,0))</f>
        <v>1</v>
      </c>
      <c r="N1382">
        <f t="shared" si="321"/>
        <v>20230</v>
      </c>
      <c r="O1382" t="str">
        <f t="shared" si="322"/>
        <v>中金唯品会封闭式商业不动产证券投资基金|2023|年度</v>
      </c>
      <c r="P1382">
        <f>IF($A1382="",0,IF(COUNTIF($O$2:$O1382,$O1382)=1,1,0))</f>
        <v>0</v>
      </c>
      <c r="Q1382" t="str">
        <f>IF(AND($P1382=1,$A1382=经营数据!$B$3,$J1382=经营数据!$BA$5),COUNTIFS($P$2:$P$3000,1,$A$2:$A$3000,$A1382,$J$2:$J$3000,$J1382,$N$2:$N$3000,"&lt;"&amp;$N1382)+1,"")</f>
        <v/>
      </c>
      <c r="R1382" t="str">
        <f t="shared" si="323"/>
        <v>中金唯品会封闭式商业不动产证券投资基金|郑州杉杉奥特莱斯项目</v>
      </c>
      <c r="S1382">
        <f>IF($A1382="",0,IF(COUNTIF($R$2:$R1382,$R1382)=1,1,0))</f>
        <v>1</v>
      </c>
      <c r="T1382">
        <f t="shared" si="324"/>
        <v>1381</v>
      </c>
      <c r="U1382" t="str">
        <f>IF($A1382="","",IF($A1382=经营数据!$B$3,COUNTIFS($S$2:$S$3000,1,$A$2:$A$3000,$A1382,$T$2:$T$3000,"&lt;"&amp;$T1382)+1,""))</f>
        <v/>
      </c>
      <c r="V1382" t="str">
        <f t="shared" si="325"/>
        <v>郑州杉杉奥特莱斯项目|服务效率</v>
      </c>
      <c r="W1382">
        <f t="shared" si="326"/>
        <v>1381</v>
      </c>
      <c r="X1382" t="str">
        <f t="shared" si="327"/>
        <v>郑州杉杉奥特莱斯项目|加权平均出租率</v>
      </c>
      <c r="Y1382">
        <f t="shared" si="328"/>
        <v>1381</v>
      </c>
      <c r="Z1382">
        <f>IF($A1382="",0,IF(AND($M1382=1,$A1382=经营数据!$B$3,$J1382=经营数据!$BA$5,OR($I1382=经营数据!$BA$4,COUNTIF(经营数据!$AA$9:$AA$38,$I1382)&gt;0)),1,0))</f>
        <v>0</v>
      </c>
      <c r="AA1382" t="str">
        <f t="shared" si="329"/>
        <v/>
      </c>
      <c r="AB1382" t="str">
        <f t="shared" si="330"/>
        <v/>
      </c>
      <c r="AC1382">
        <f>IF($A1382="",0,IF(COUNTIF($A$2:$A1382,$A1382)=1,1,0))</f>
        <v>0</v>
      </c>
      <c r="AD1382">
        <f t="shared" si="331"/>
        <v>14</v>
      </c>
      <c r="AE1382" t="str">
        <f t="shared" si="332"/>
        <v>郑州杉杉奥特莱斯项目|加权平均出租率（%）</v>
      </c>
    </row>
    <row r="1383" spans="1:31" x14ac:dyDescent="0.4">
      <c r="A1383" t="str">
        <f>IF(原始经营数据!$D1384="","",原始经营数据!$D1384)</f>
        <v>中金唯品会封闭式商业不动产证券投资基金</v>
      </c>
      <c r="B1383" t="str">
        <f>IF(原始经营数据!$D1384="","",T(原始经营数据!$E1384))</f>
        <v>郑州杉杉奥特莱斯项目</v>
      </c>
      <c r="C1383" t="str">
        <f>IF(原始经营数据!$D1384="","",原始经营数据!$F1384)</f>
        <v>2023</v>
      </c>
      <c r="D1383" t="str">
        <f>IF(原始经营数据!$D1384="","",原始经营数据!$H1384)</f>
        <v>租金收入</v>
      </c>
      <c r="E1383">
        <f>IF(原始经营数据!$D1384="","",原始经营数据!$I1384)</f>
        <v>1995.33</v>
      </c>
      <c r="F1383" t="str">
        <f>IF(原始经营数据!$D1384="","",T(原始经营数据!$J1384))</f>
        <v>万元</v>
      </c>
      <c r="G1383" t="str">
        <f>IF(原始经营数据!$D1384="","",T(原始经营数据!$K1384))</f>
        <v/>
      </c>
      <c r="H1383" t="str">
        <f>IF(原始经营数据!$D1384="","",原始经营数据!$G1384)</f>
        <v>服务金额</v>
      </c>
      <c r="I1383" t="str">
        <f>IF($A1383="","",IF($B1383&lt;&gt;"",$B1383,IF(COUNTIFS(原始经营数据!$D$3:$D$3001,$A1383,原始经营数据!$E$3:$E$3001,"",原始经营数据!$F$3:$F$3001,$C1383,原始经营数据!$H$3:$H$3001,$D1383,原始经营数据!$K$3:$K$3001,$G1383)&gt;1,"基金整体·来源"&amp;原始经营数据!$A1384,"基金整体")))</f>
        <v>郑州杉杉奥特莱斯项目</v>
      </c>
      <c r="J1383" t="str">
        <f t="shared" si="318"/>
        <v>年度</v>
      </c>
      <c r="K1383" t="str">
        <f t="shared" si="319"/>
        <v>租金收入（万元）</v>
      </c>
      <c r="L1383" t="str">
        <f t="shared" si="320"/>
        <v>郑州杉杉奥特莱斯项目|租金收入（万元）|年度</v>
      </c>
      <c r="M1383">
        <f>IF($A1383="",0,IF(COUNTIF($L$2:$L1383,$L1383)=1,1,0))</f>
        <v>1</v>
      </c>
      <c r="N1383">
        <f t="shared" si="321"/>
        <v>20230</v>
      </c>
      <c r="O1383" t="str">
        <f t="shared" si="322"/>
        <v>中金唯品会封闭式商业不动产证券投资基金|2023|年度</v>
      </c>
      <c r="P1383">
        <f>IF($A1383="",0,IF(COUNTIF($O$2:$O1383,$O1383)=1,1,0))</f>
        <v>0</v>
      </c>
      <c r="Q1383" t="str">
        <f>IF(AND($P1383=1,$A1383=经营数据!$B$3,$J1383=经营数据!$BA$5),COUNTIFS($P$2:$P$3000,1,$A$2:$A$3000,$A1383,$J$2:$J$3000,$J1383,$N$2:$N$3000,"&lt;"&amp;$N1383)+1,"")</f>
        <v/>
      </c>
      <c r="R1383" t="str">
        <f t="shared" si="323"/>
        <v>中金唯品会封闭式商业不动产证券投资基金|郑州杉杉奥特莱斯项目</v>
      </c>
      <c r="S1383">
        <f>IF($A1383="",0,IF(COUNTIF($R$2:$R1383,$R1383)=1,1,0))</f>
        <v>0</v>
      </c>
      <c r="T1383">
        <f t="shared" si="324"/>
        <v>1381</v>
      </c>
      <c r="U1383" t="str">
        <f>IF($A1383="","",IF($A1383=经营数据!$B$3,COUNTIFS($S$2:$S$3000,1,$A$2:$A$3000,$A1383,$T$2:$T$3000,"&lt;"&amp;$T1383)+1,""))</f>
        <v/>
      </c>
      <c r="V1383" t="str">
        <f t="shared" si="325"/>
        <v>郑州杉杉奥特莱斯项目|服务金额</v>
      </c>
      <c r="W1383">
        <f t="shared" si="326"/>
        <v>1382</v>
      </c>
      <c r="X1383" t="str">
        <f t="shared" si="327"/>
        <v>郑州杉杉奥特莱斯项目|租金收入</v>
      </c>
      <c r="Y1383">
        <f t="shared" si="328"/>
        <v>1382</v>
      </c>
      <c r="Z1383">
        <f>IF($A1383="",0,IF(AND($M1383=1,$A1383=经营数据!$B$3,$J1383=经营数据!$BA$5,OR($I1383=经营数据!$BA$4,COUNTIF(经营数据!$AA$9:$AA$38,$I1383)&gt;0)),1,0))</f>
        <v>0</v>
      </c>
      <c r="AA1383" t="str">
        <f t="shared" si="329"/>
        <v/>
      </c>
      <c r="AB1383" t="str">
        <f t="shared" si="330"/>
        <v/>
      </c>
      <c r="AC1383">
        <f>IF($A1383="",0,IF(COUNTIF($A$2:$A1383,$A1383)=1,1,0))</f>
        <v>0</v>
      </c>
      <c r="AD1383">
        <f t="shared" si="331"/>
        <v>14</v>
      </c>
      <c r="AE1383" t="str">
        <f t="shared" si="332"/>
        <v>郑州杉杉奥特莱斯项目|租金收入（万元）</v>
      </c>
    </row>
    <row r="1384" spans="1:31" x14ac:dyDescent="0.4">
      <c r="A1384" t="str">
        <f>IF(原始经营数据!$D1385="","",原始经营数据!$D1385)</f>
        <v>中金唯品会封闭式商业不动产证券投资基金</v>
      </c>
      <c r="B1384" t="str">
        <f>IF(原始经营数据!$D1385="","",T(原始经营数据!$E1385))</f>
        <v>郑州杉杉奥特莱斯项目</v>
      </c>
      <c r="C1384" t="str">
        <f>IF(原始经营数据!$D1385="","",原始经营数据!$F1385)</f>
        <v>2024</v>
      </c>
      <c r="D1384" t="str">
        <f>IF(原始经营数据!$D1385="","",原始经营数据!$H1385)</f>
        <v>加权平均出租率</v>
      </c>
      <c r="E1384">
        <f>IF(原始经营数据!$D1385="","",原始经营数据!$I1385)</f>
        <v>99.27</v>
      </c>
      <c r="F1384" t="str">
        <f>IF(原始经营数据!$D1385="","",T(原始经营数据!$J1385))</f>
        <v>%</v>
      </c>
      <c r="G1384" t="str">
        <f>IF(原始经营数据!$D1385="","",T(原始经营数据!$K1385))</f>
        <v/>
      </c>
      <c r="H1384" t="str">
        <f>IF(原始经营数据!$D1385="","",原始经营数据!$G1385)</f>
        <v>服务效率</v>
      </c>
      <c r="I1384" t="str">
        <f>IF($A1384="","",IF($B1384&lt;&gt;"",$B1384,IF(COUNTIFS(原始经营数据!$D$3:$D$3001,$A1384,原始经营数据!$E$3:$E$3001,"",原始经营数据!$F$3:$F$3001,$C1384,原始经营数据!$H$3:$H$3001,$D1384,原始经营数据!$K$3:$K$3001,$G1384)&gt;1,"基金整体·来源"&amp;原始经营数据!$A1385,"基金整体")))</f>
        <v>郑州杉杉奥特莱斯项目</v>
      </c>
      <c r="J1384" t="str">
        <f t="shared" si="318"/>
        <v>年度</v>
      </c>
      <c r="K1384" t="str">
        <f t="shared" si="319"/>
        <v>加权平均出租率（%）</v>
      </c>
      <c r="L1384" t="str">
        <f t="shared" si="320"/>
        <v>郑州杉杉奥特莱斯项目|加权平均出租率（%）|年度</v>
      </c>
      <c r="M1384">
        <f>IF($A1384="",0,IF(COUNTIF($L$2:$L1384,$L1384)=1,1,0))</f>
        <v>0</v>
      </c>
      <c r="N1384">
        <f t="shared" si="321"/>
        <v>20240</v>
      </c>
      <c r="O1384" t="str">
        <f t="shared" si="322"/>
        <v>中金唯品会封闭式商业不动产证券投资基金|2024|年度</v>
      </c>
      <c r="P1384">
        <f>IF($A1384="",0,IF(COUNTIF($O$2:$O1384,$O1384)=1,1,0))</f>
        <v>0</v>
      </c>
      <c r="Q1384" t="str">
        <f>IF(AND($P1384=1,$A1384=经营数据!$B$3,$J1384=经营数据!$BA$5),COUNTIFS($P$2:$P$3000,1,$A$2:$A$3000,$A1384,$J$2:$J$3000,$J1384,$N$2:$N$3000,"&lt;"&amp;$N1384)+1,"")</f>
        <v/>
      </c>
      <c r="R1384" t="str">
        <f t="shared" si="323"/>
        <v>中金唯品会封闭式商业不动产证券投资基金|郑州杉杉奥特莱斯项目</v>
      </c>
      <c r="S1384">
        <f>IF($A1384="",0,IF(COUNTIF($R$2:$R1384,$R1384)=1,1,0))</f>
        <v>0</v>
      </c>
      <c r="T1384">
        <f t="shared" si="324"/>
        <v>1381</v>
      </c>
      <c r="U1384" t="str">
        <f>IF($A1384="","",IF($A1384=经营数据!$B$3,COUNTIFS($S$2:$S$3000,1,$A$2:$A$3000,$A1384,$T$2:$T$3000,"&lt;"&amp;$T1384)+1,""))</f>
        <v/>
      </c>
      <c r="V1384" t="str">
        <f t="shared" si="325"/>
        <v>郑州杉杉奥特莱斯项目|服务效率</v>
      </c>
      <c r="W1384">
        <f t="shared" si="326"/>
        <v>1381</v>
      </c>
      <c r="X1384" t="str">
        <f t="shared" si="327"/>
        <v>郑州杉杉奥特莱斯项目|加权平均出租率</v>
      </c>
      <c r="Y1384">
        <f t="shared" si="328"/>
        <v>1381</v>
      </c>
      <c r="Z1384">
        <f>IF($A1384="",0,IF(AND($M1384=1,$A1384=经营数据!$B$3,$J1384=经营数据!$BA$5,OR($I1384=经营数据!$BA$4,COUNTIF(经营数据!$AA$9:$AA$38,$I1384)&gt;0)),1,0))</f>
        <v>0</v>
      </c>
      <c r="AA1384" t="str">
        <f t="shared" si="329"/>
        <v/>
      </c>
      <c r="AB1384" t="str">
        <f t="shared" si="330"/>
        <v/>
      </c>
      <c r="AC1384">
        <f>IF($A1384="",0,IF(COUNTIF($A$2:$A1384,$A1384)=1,1,0))</f>
        <v>0</v>
      </c>
      <c r="AD1384">
        <f t="shared" si="331"/>
        <v>14</v>
      </c>
      <c r="AE1384" t="str">
        <f t="shared" si="332"/>
        <v>郑州杉杉奥特莱斯项目|加权平均出租率（%）</v>
      </c>
    </row>
    <row r="1385" spans="1:31" x14ac:dyDescent="0.4">
      <c r="A1385" t="str">
        <f>IF(原始经营数据!$D1386="","",原始经营数据!$D1386)</f>
        <v>中金唯品会封闭式商业不动产证券投资基金</v>
      </c>
      <c r="B1385" t="str">
        <f>IF(原始经营数据!$D1386="","",T(原始经营数据!$E1386))</f>
        <v>郑州杉杉奥特莱斯项目</v>
      </c>
      <c r="C1385" t="str">
        <f>IF(原始经营数据!$D1386="","",原始经营数据!$F1386)</f>
        <v>2024</v>
      </c>
      <c r="D1385" t="str">
        <f>IF(原始经营数据!$D1386="","",原始经营数据!$H1386)</f>
        <v>租金收入</v>
      </c>
      <c r="E1385">
        <f>IF(原始经营数据!$D1386="","",原始经营数据!$I1386)</f>
        <v>2023.39</v>
      </c>
      <c r="F1385" t="str">
        <f>IF(原始经营数据!$D1386="","",T(原始经营数据!$J1386))</f>
        <v>万元</v>
      </c>
      <c r="G1385" t="str">
        <f>IF(原始经营数据!$D1386="","",T(原始经营数据!$K1386))</f>
        <v/>
      </c>
      <c r="H1385" t="str">
        <f>IF(原始经营数据!$D1386="","",原始经营数据!$G1386)</f>
        <v>服务金额</v>
      </c>
      <c r="I1385" t="str">
        <f>IF($A1385="","",IF($B1385&lt;&gt;"",$B1385,IF(COUNTIFS(原始经营数据!$D$3:$D$3001,$A1385,原始经营数据!$E$3:$E$3001,"",原始经营数据!$F$3:$F$3001,$C1385,原始经营数据!$H$3:$H$3001,$D1385,原始经营数据!$K$3:$K$3001,$G1385)&gt;1,"基金整体·来源"&amp;原始经营数据!$A1386,"基金整体")))</f>
        <v>郑州杉杉奥特莱斯项目</v>
      </c>
      <c r="J1385" t="str">
        <f t="shared" si="318"/>
        <v>年度</v>
      </c>
      <c r="K1385" t="str">
        <f t="shared" si="319"/>
        <v>租金收入（万元）</v>
      </c>
      <c r="L1385" t="str">
        <f t="shared" si="320"/>
        <v>郑州杉杉奥特莱斯项目|租金收入（万元）|年度</v>
      </c>
      <c r="M1385">
        <f>IF($A1385="",0,IF(COUNTIF($L$2:$L1385,$L1385)=1,1,0))</f>
        <v>0</v>
      </c>
      <c r="N1385">
        <f t="shared" si="321"/>
        <v>20240</v>
      </c>
      <c r="O1385" t="str">
        <f t="shared" si="322"/>
        <v>中金唯品会封闭式商业不动产证券投资基金|2024|年度</v>
      </c>
      <c r="P1385">
        <f>IF($A1385="",0,IF(COUNTIF($O$2:$O1385,$O1385)=1,1,0))</f>
        <v>0</v>
      </c>
      <c r="Q1385" t="str">
        <f>IF(AND($P1385=1,$A1385=经营数据!$B$3,$J1385=经营数据!$BA$5),COUNTIFS($P$2:$P$3000,1,$A$2:$A$3000,$A1385,$J$2:$J$3000,$J1385,$N$2:$N$3000,"&lt;"&amp;$N1385)+1,"")</f>
        <v/>
      </c>
      <c r="R1385" t="str">
        <f t="shared" si="323"/>
        <v>中金唯品会封闭式商业不动产证券投资基金|郑州杉杉奥特莱斯项目</v>
      </c>
      <c r="S1385">
        <f>IF($A1385="",0,IF(COUNTIF($R$2:$R1385,$R1385)=1,1,0))</f>
        <v>0</v>
      </c>
      <c r="T1385">
        <f t="shared" si="324"/>
        <v>1381</v>
      </c>
      <c r="U1385" t="str">
        <f>IF($A1385="","",IF($A1385=经营数据!$B$3,COUNTIFS($S$2:$S$3000,1,$A$2:$A$3000,$A1385,$T$2:$T$3000,"&lt;"&amp;$T1385)+1,""))</f>
        <v/>
      </c>
      <c r="V1385" t="str">
        <f t="shared" si="325"/>
        <v>郑州杉杉奥特莱斯项目|服务金额</v>
      </c>
      <c r="W1385">
        <f t="shared" si="326"/>
        <v>1382</v>
      </c>
      <c r="X1385" t="str">
        <f t="shared" si="327"/>
        <v>郑州杉杉奥特莱斯项目|租金收入</v>
      </c>
      <c r="Y1385">
        <f t="shared" si="328"/>
        <v>1382</v>
      </c>
      <c r="Z1385">
        <f>IF($A1385="",0,IF(AND($M1385=1,$A1385=经营数据!$B$3,$J1385=经营数据!$BA$5,OR($I1385=经营数据!$BA$4,COUNTIF(经营数据!$AA$9:$AA$38,$I1385)&gt;0)),1,0))</f>
        <v>0</v>
      </c>
      <c r="AA1385" t="str">
        <f t="shared" si="329"/>
        <v/>
      </c>
      <c r="AB1385" t="str">
        <f t="shared" si="330"/>
        <v/>
      </c>
      <c r="AC1385">
        <f>IF($A1385="",0,IF(COUNTIF($A$2:$A1385,$A1385)=1,1,0))</f>
        <v>0</v>
      </c>
      <c r="AD1385">
        <f t="shared" si="331"/>
        <v>14</v>
      </c>
      <c r="AE1385" t="str">
        <f t="shared" si="332"/>
        <v>郑州杉杉奥特莱斯项目|租金收入（万元）</v>
      </c>
    </row>
    <row r="1386" spans="1:31" x14ac:dyDescent="0.4">
      <c r="A1386" t="str">
        <f>IF(原始经营数据!$D1387="","",原始经营数据!$D1387)</f>
        <v>中金唯品会封闭式商业不动产证券投资基金</v>
      </c>
      <c r="B1386" t="str">
        <f>IF(原始经营数据!$D1387="","",T(原始经营数据!$E1387))</f>
        <v>郑州杉杉奥特莱斯项目</v>
      </c>
      <c r="C1386" t="str">
        <f>IF(原始经营数据!$D1387="","",原始经营数据!$F1387)</f>
        <v>2025</v>
      </c>
      <c r="D1386" t="str">
        <f>IF(原始经营数据!$D1387="","",原始经营数据!$H1387)</f>
        <v>加权平均出租率</v>
      </c>
      <c r="E1386">
        <f>IF(原始经营数据!$D1387="","",原始经营数据!$I1387)</f>
        <v>99.52</v>
      </c>
      <c r="F1386" t="str">
        <f>IF(原始经营数据!$D1387="","",T(原始经营数据!$J1387))</f>
        <v>%</v>
      </c>
      <c r="G1386" t="str">
        <f>IF(原始经营数据!$D1387="","",T(原始经营数据!$K1387))</f>
        <v/>
      </c>
      <c r="H1386" t="str">
        <f>IF(原始经营数据!$D1387="","",原始经营数据!$G1387)</f>
        <v>服务效率</v>
      </c>
      <c r="I1386" t="str">
        <f>IF($A1386="","",IF($B1386&lt;&gt;"",$B1386,IF(COUNTIFS(原始经营数据!$D$3:$D$3001,$A1386,原始经营数据!$E$3:$E$3001,"",原始经营数据!$F$3:$F$3001,$C1386,原始经营数据!$H$3:$H$3001,$D1386,原始经营数据!$K$3:$K$3001,$G1386)&gt;1,"基金整体·来源"&amp;原始经营数据!$A1387,"基金整体")))</f>
        <v>郑州杉杉奥特莱斯项目</v>
      </c>
      <c r="J1386" t="str">
        <f t="shared" si="318"/>
        <v>年度</v>
      </c>
      <c r="K1386" t="str">
        <f t="shared" si="319"/>
        <v>加权平均出租率（%）</v>
      </c>
      <c r="L1386" t="str">
        <f t="shared" si="320"/>
        <v>郑州杉杉奥特莱斯项目|加权平均出租率（%）|年度</v>
      </c>
      <c r="M1386">
        <f>IF($A1386="",0,IF(COUNTIF($L$2:$L1386,$L1386)=1,1,0))</f>
        <v>0</v>
      </c>
      <c r="N1386">
        <f t="shared" si="321"/>
        <v>20250</v>
      </c>
      <c r="O1386" t="str">
        <f t="shared" si="322"/>
        <v>中金唯品会封闭式商业不动产证券投资基金|2025|年度</v>
      </c>
      <c r="P1386">
        <f>IF($A1386="",0,IF(COUNTIF($O$2:$O1386,$O1386)=1,1,0))</f>
        <v>0</v>
      </c>
      <c r="Q1386" t="str">
        <f>IF(AND($P1386=1,$A1386=经营数据!$B$3,$J1386=经营数据!$BA$5),COUNTIFS($P$2:$P$3000,1,$A$2:$A$3000,$A1386,$J$2:$J$3000,$J1386,$N$2:$N$3000,"&lt;"&amp;$N1386)+1,"")</f>
        <v/>
      </c>
      <c r="R1386" t="str">
        <f t="shared" si="323"/>
        <v>中金唯品会封闭式商业不动产证券投资基金|郑州杉杉奥特莱斯项目</v>
      </c>
      <c r="S1386">
        <f>IF($A1386="",0,IF(COUNTIF($R$2:$R1386,$R1386)=1,1,0))</f>
        <v>0</v>
      </c>
      <c r="T1386">
        <f t="shared" si="324"/>
        <v>1381</v>
      </c>
      <c r="U1386" t="str">
        <f>IF($A1386="","",IF($A1386=经营数据!$B$3,COUNTIFS($S$2:$S$3000,1,$A$2:$A$3000,$A1386,$T$2:$T$3000,"&lt;"&amp;$T1386)+1,""))</f>
        <v/>
      </c>
      <c r="V1386" t="str">
        <f t="shared" si="325"/>
        <v>郑州杉杉奥特莱斯项目|服务效率</v>
      </c>
      <c r="W1386">
        <f t="shared" si="326"/>
        <v>1381</v>
      </c>
      <c r="X1386" t="str">
        <f t="shared" si="327"/>
        <v>郑州杉杉奥特莱斯项目|加权平均出租率</v>
      </c>
      <c r="Y1386">
        <f t="shared" si="328"/>
        <v>1381</v>
      </c>
      <c r="Z1386">
        <f>IF($A1386="",0,IF(AND($M1386=1,$A1386=经营数据!$B$3,$J1386=经营数据!$BA$5,OR($I1386=经营数据!$BA$4,COUNTIF(经营数据!$AA$9:$AA$38,$I1386)&gt;0)),1,0))</f>
        <v>0</v>
      </c>
      <c r="AA1386" t="str">
        <f t="shared" si="329"/>
        <v/>
      </c>
      <c r="AB1386" t="str">
        <f t="shared" si="330"/>
        <v/>
      </c>
      <c r="AC1386">
        <f>IF($A1386="",0,IF(COUNTIF($A$2:$A1386,$A1386)=1,1,0))</f>
        <v>0</v>
      </c>
      <c r="AD1386">
        <f t="shared" si="331"/>
        <v>14</v>
      </c>
      <c r="AE1386" t="str">
        <f t="shared" si="332"/>
        <v>郑州杉杉奥特莱斯项目|加权平均出租率（%）</v>
      </c>
    </row>
    <row r="1387" spans="1:31" x14ac:dyDescent="0.4">
      <c r="A1387" t="str">
        <f>IF(原始经营数据!$D1388="","",原始经营数据!$D1388)</f>
        <v>中金唯品会封闭式商业不动产证券投资基金</v>
      </c>
      <c r="B1387" t="str">
        <f>IF(原始经营数据!$D1388="","",T(原始经营数据!$E1388))</f>
        <v>郑州杉杉奥特莱斯项目</v>
      </c>
      <c r="C1387" t="str">
        <f>IF(原始经营数据!$D1388="","",原始经营数据!$F1388)</f>
        <v>2025</v>
      </c>
      <c r="D1387" t="str">
        <f>IF(原始经营数据!$D1388="","",原始经营数据!$H1388)</f>
        <v>租金收入</v>
      </c>
      <c r="E1387">
        <f>IF(原始经营数据!$D1388="","",原始经营数据!$I1388)</f>
        <v>1909.17</v>
      </c>
      <c r="F1387" t="str">
        <f>IF(原始经营数据!$D1388="","",T(原始经营数据!$J1388))</f>
        <v>万元</v>
      </c>
      <c r="G1387" t="str">
        <f>IF(原始经营数据!$D1388="","",T(原始经营数据!$K1388))</f>
        <v/>
      </c>
      <c r="H1387" t="str">
        <f>IF(原始经营数据!$D1388="","",原始经营数据!$G1388)</f>
        <v>服务金额</v>
      </c>
      <c r="I1387" t="str">
        <f>IF($A1387="","",IF($B1387&lt;&gt;"",$B1387,IF(COUNTIFS(原始经营数据!$D$3:$D$3001,$A1387,原始经营数据!$E$3:$E$3001,"",原始经营数据!$F$3:$F$3001,$C1387,原始经营数据!$H$3:$H$3001,$D1387,原始经营数据!$K$3:$K$3001,$G1387)&gt;1,"基金整体·来源"&amp;原始经营数据!$A1388,"基金整体")))</f>
        <v>郑州杉杉奥特莱斯项目</v>
      </c>
      <c r="J1387" t="str">
        <f t="shared" si="318"/>
        <v>年度</v>
      </c>
      <c r="K1387" t="str">
        <f t="shared" si="319"/>
        <v>租金收入（万元）</v>
      </c>
      <c r="L1387" t="str">
        <f t="shared" si="320"/>
        <v>郑州杉杉奥特莱斯项目|租金收入（万元）|年度</v>
      </c>
      <c r="M1387">
        <f>IF($A1387="",0,IF(COUNTIF($L$2:$L1387,$L1387)=1,1,0))</f>
        <v>0</v>
      </c>
      <c r="N1387">
        <f t="shared" si="321"/>
        <v>20250</v>
      </c>
      <c r="O1387" t="str">
        <f t="shared" si="322"/>
        <v>中金唯品会封闭式商业不动产证券投资基金|2025|年度</v>
      </c>
      <c r="P1387">
        <f>IF($A1387="",0,IF(COUNTIF($O$2:$O1387,$O1387)=1,1,0))</f>
        <v>0</v>
      </c>
      <c r="Q1387" t="str">
        <f>IF(AND($P1387=1,$A1387=经营数据!$B$3,$J1387=经营数据!$BA$5),COUNTIFS($P$2:$P$3000,1,$A$2:$A$3000,$A1387,$J$2:$J$3000,$J1387,$N$2:$N$3000,"&lt;"&amp;$N1387)+1,"")</f>
        <v/>
      </c>
      <c r="R1387" t="str">
        <f t="shared" si="323"/>
        <v>中金唯品会封闭式商业不动产证券投资基金|郑州杉杉奥特莱斯项目</v>
      </c>
      <c r="S1387">
        <f>IF($A1387="",0,IF(COUNTIF($R$2:$R1387,$R1387)=1,1,0))</f>
        <v>0</v>
      </c>
      <c r="T1387">
        <f t="shared" si="324"/>
        <v>1381</v>
      </c>
      <c r="U1387" t="str">
        <f>IF($A1387="","",IF($A1387=经营数据!$B$3,COUNTIFS($S$2:$S$3000,1,$A$2:$A$3000,$A1387,$T$2:$T$3000,"&lt;"&amp;$T1387)+1,""))</f>
        <v/>
      </c>
      <c r="V1387" t="str">
        <f t="shared" si="325"/>
        <v>郑州杉杉奥特莱斯项目|服务金额</v>
      </c>
      <c r="W1387">
        <f t="shared" si="326"/>
        <v>1382</v>
      </c>
      <c r="X1387" t="str">
        <f t="shared" si="327"/>
        <v>郑州杉杉奥特莱斯项目|租金收入</v>
      </c>
      <c r="Y1387">
        <f t="shared" si="328"/>
        <v>1382</v>
      </c>
      <c r="Z1387">
        <f>IF($A1387="",0,IF(AND($M1387=1,$A1387=经营数据!$B$3,$J1387=经营数据!$BA$5,OR($I1387=经营数据!$BA$4,COUNTIF(经营数据!$AA$9:$AA$38,$I1387)&gt;0)),1,0))</f>
        <v>0</v>
      </c>
      <c r="AA1387" t="str">
        <f t="shared" si="329"/>
        <v/>
      </c>
      <c r="AB1387" t="str">
        <f t="shared" si="330"/>
        <v/>
      </c>
      <c r="AC1387">
        <f>IF($A1387="",0,IF(COUNTIF($A$2:$A1387,$A1387)=1,1,0))</f>
        <v>0</v>
      </c>
      <c r="AD1387">
        <f t="shared" si="331"/>
        <v>14</v>
      </c>
      <c r="AE1387" t="str">
        <f t="shared" si="332"/>
        <v>郑州杉杉奥特莱斯项目|租金收入（万元）</v>
      </c>
    </row>
    <row r="1388" spans="1:31" x14ac:dyDescent="0.4">
      <c r="A1388" t="str">
        <f>IF(原始经营数据!$D1389="","",原始经营数据!$D1389)</f>
        <v>国泰海通砂之船封闭式商业不动产证券投资基金</v>
      </c>
      <c r="B1388" t="str">
        <f>IF(原始经营数据!$D1389="","",T(原始经营数据!$E1389))</f>
        <v>砂之船（西安）奥特莱斯项目</v>
      </c>
      <c r="C1388" t="str">
        <f>IF(原始经营数据!$D1389="","",原始经营数据!$F1389)</f>
        <v>2023</v>
      </c>
      <c r="D1388" t="str">
        <f>IF(原始经营数据!$D1389="","",原始经营数据!$H1389)</f>
        <v>客流量</v>
      </c>
      <c r="E1388">
        <f>IF(原始经营数据!$D1389="","",原始经营数据!$I1389)</f>
        <v>1057.04</v>
      </c>
      <c r="F1388" t="str">
        <f>IF(原始经营数据!$D1389="","",T(原始经营数据!$J1389))</f>
        <v>万人</v>
      </c>
      <c r="G1388" t="str">
        <f>IF(原始经营数据!$D1389="","",T(原始经营数据!$K1389))</f>
        <v/>
      </c>
      <c r="H1388" t="str">
        <f>IF(原始经营数据!$D1389="","",原始经营数据!$G1389)</f>
        <v>服务量</v>
      </c>
      <c r="I1388" t="str">
        <f>IF($A1388="","",IF($B1388&lt;&gt;"",$B1388,IF(COUNTIFS(原始经营数据!$D$3:$D$3001,$A1388,原始经营数据!$E$3:$E$3001,"",原始经营数据!$F$3:$F$3001,$C1388,原始经营数据!$H$3:$H$3001,$D1388,原始经营数据!$K$3:$K$3001,$G1388)&gt;1,"基金整体·来源"&amp;原始经营数据!$A1389,"基金整体")))</f>
        <v>砂之船（西安）奥特莱斯项目</v>
      </c>
      <c r="J1388" t="str">
        <f t="shared" si="318"/>
        <v>年度</v>
      </c>
      <c r="K1388" t="str">
        <f t="shared" si="319"/>
        <v>客流量（万人）</v>
      </c>
      <c r="L1388" t="str">
        <f t="shared" si="320"/>
        <v>砂之船（西安）奥特莱斯项目|客流量（万人）|年度</v>
      </c>
      <c r="M1388">
        <f>IF($A1388="",0,IF(COUNTIF($L$2:$L1388,$L1388)=1,1,0))</f>
        <v>1</v>
      </c>
      <c r="N1388">
        <f t="shared" si="321"/>
        <v>20230</v>
      </c>
      <c r="O1388" t="str">
        <f t="shared" si="322"/>
        <v>国泰海通砂之船封闭式商业不动产证券投资基金|2023|年度</v>
      </c>
      <c r="P1388">
        <f>IF($A1388="",0,IF(COUNTIF($O$2:$O1388,$O1388)=1,1,0))</f>
        <v>1</v>
      </c>
      <c r="Q1388" t="str">
        <f>IF(AND($P1388=1,$A1388=经营数据!$B$3,$J1388=经营数据!$BA$5),COUNTIFS($P$2:$P$3000,1,$A$2:$A$3000,$A1388,$J$2:$J$3000,$J1388,$N$2:$N$3000,"&lt;"&amp;$N1388)+1,"")</f>
        <v/>
      </c>
      <c r="R1388" t="str">
        <f t="shared" si="323"/>
        <v>国泰海通砂之船封闭式商业不动产证券投资基金|砂之船（西安）奥特莱斯项目</v>
      </c>
      <c r="S1388">
        <f>IF($A1388="",0,IF(COUNTIF($R$2:$R1388,$R1388)=1,1,0))</f>
        <v>1</v>
      </c>
      <c r="T1388">
        <f t="shared" si="324"/>
        <v>1387</v>
      </c>
      <c r="U1388" t="str">
        <f>IF($A1388="","",IF($A1388=经营数据!$B$3,COUNTIFS($S$2:$S$3000,1,$A$2:$A$3000,$A1388,$T$2:$T$3000,"&lt;"&amp;$T1388)+1,""))</f>
        <v/>
      </c>
      <c r="V1388" t="str">
        <f t="shared" si="325"/>
        <v>砂之船（西安）奥特莱斯项目|服务量</v>
      </c>
      <c r="W1388">
        <f t="shared" si="326"/>
        <v>1387</v>
      </c>
      <c r="X1388" t="str">
        <f t="shared" si="327"/>
        <v>砂之船（西安）奥特莱斯项目|客流量</v>
      </c>
      <c r="Y1388">
        <f t="shared" si="328"/>
        <v>1387</v>
      </c>
      <c r="Z1388">
        <f>IF($A1388="",0,IF(AND($M1388=1,$A1388=经营数据!$B$3,$J1388=经营数据!$BA$5,OR($I1388=经营数据!$BA$4,COUNTIF(经营数据!$AA$9:$AA$38,$I1388)&gt;0)),1,0))</f>
        <v>0</v>
      </c>
      <c r="AA1388" t="str">
        <f t="shared" si="329"/>
        <v/>
      </c>
      <c r="AB1388" t="str">
        <f t="shared" si="330"/>
        <v/>
      </c>
      <c r="AC1388">
        <f>IF($A1388="",0,IF(COUNTIF($A$2:$A1388,$A1388)=1,1,0))</f>
        <v>1</v>
      </c>
      <c r="AD1388">
        <f t="shared" si="331"/>
        <v>15</v>
      </c>
      <c r="AE1388" t="str">
        <f t="shared" si="332"/>
        <v>砂之船（西安）奥特莱斯项目|客流量（万人）</v>
      </c>
    </row>
    <row r="1389" spans="1:31" x14ac:dyDescent="0.4">
      <c r="A1389" t="str">
        <f>IF(原始经营数据!$D1390="","",原始经营数据!$D1390)</f>
        <v>国泰海通砂之船封闭式商业不动产证券投资基金</v>
      </c>
      <c r="B1389" t="str">
        <f>IF(原始经营数据!$D1390="","",T(原始经营数据!$E1390))</f>
        <v>砂之船（西安）奥特莱斯项目</v>
      </c>
      <c r="C1389" t="str">
        <f>IF(原始经营数据!$D1390="","",原始经营数据!$F1390)</f>
        <v>2023</v>
      </c>
      <c r="D1389" t="str">
        <f>IF(原始经营数据!$D1390="","",原始经营数据!$H1390)</f>
        <v>加权平均出租率</v>
      </c>
      <c r="E1389">
        <f>IF(原始经营数据!$D1390="","",原始经营数据!$I1390)</f>
        <v>98.19</v>
      </c>
      <c r="F1389" t="str">
        <f>IF(原始经营数据!$D1390="","",T(原始经营数据!$J1390))</f>
        <v>%</v>
      </c>
      <c r="G1389" t="str">
        <f>IF(原始经营数据!$D1390="","",T(原始经营数据!$K1390))</f>
        <v/>
      </c>
      <c r="H1389" t="str">
        <f>IF(原始经营数据!$D1390="","",原始经营数据!$G1390)</f>
        <v>服务效率</v>
      </c>
      <c r="I1389" t="str">
        <f>IF($A1389="","",IF($B1389&lt;&gt;"",$B1389,IF(COUNTIFS(原始经营数据!$D$3:$D$3001,$A1389,原始经营数据!$E$3:$E$3001,"",原始经营数据!$F$3:$F$3001,$C1389,原始经营数据!$H$3:$H$3001,$D1389,原始经营数据!$K$3:$K$3001,$G1389)&gt;1,"基金整体·来源"&amp;原始经营数据!$A1390,"基金整体")))</f>
        <v>砂之船（西安）奥特莱斯项目</v>
      </c>
      <c r="J1389" t="str">
        <f t="shared" si="318"/>
        <v>年度</v>
      </c>
      <c r="K1389" t="str">
        <f t="shared" si="319"/>
        <v>加权平均出租率（%）</v>
      </c>
      <c r="L1389" t="str">
        <f t="shared" si="320"/>
        <v>砂之船（西安）奥特莱斯项目|加权平均出租率（%）|年度</v>
      </c>
      <c r="M1389">
        <f>IF($A1389="",0,IF(COUNTIF($L$2:$L1389,$L1389)=1,1,0))</f>
        <v>1</v>
      </c>
      <c r="N1389">
        <f t="shared" si="321"/>
        <v>20230</v>
      </c>
      <c r="O1389" t="str">
        <f t="shared" si="322"/>
        <v>国泰海通砂之船封闭式商业不动产证券投资基金|2023|年度</v>
      </c>
      <c r="P1389">
        <f>IF($A1389="",0,IF(COUNTIF($O$2:$O1389,$O1389)=1,1,0))</f>
        <v>0</v>
      </c>
      <c r="Q1389" t="str">
        <f>IF(AND($P1389=1,$A1389=经营数据!$B$3,$J1389=经营数据!$BA$5),COUNTIFS($P$2:$P$3000,1,$A$2:$A$3000,$A1389,$J$2:$J$3000,$J1389,$N$2:$N$3000,"&lt;"&amp;$N1389)+1,"")</f>
        <v/>
      </c>
      <c r="R1389" t="str">
        <f t="shared" si="323"/>
        <v>国泰海通砂之船封闭式商业不动产证券投资基金|砂之船（西安）奥特莱斯项目</v>
      </c>
      <c r="S1389">
        <f>IF($A1389="",0,IF(COUNTIF($R$2:$R1389,$R1389)=1,1,0))</f>
        <v>0</v>
      </c>
      <c r="T1389">
        <f t="shared" si="324"/>
        <v>1387</v>
      </c>
      <c r="U1389" t="str">
        <f>IF($A1389="","",IF($A1389=经营数据!$B$3,COUNTIFS($S$2:$S$3000,1,$A$2:$A$3000,$A1389,$T$2:$T$3000,"&lt;"&amp;$T1389)+1,""))</f>
        <v/>
      </c>
      <c r="V1389" t="str">
        <f t="shared" si="325"/>
        <v>砂之船（西安）奥特莱斯项目|服务效率</v>
      </c>
      <c r="W1389">
        <f t="shared" si="326"/>
        <v>1388</v>
      </c>
      <c r="X1389" t="str">
        <f t="shared" si="327"/>
        <v>砂之船（西安）奥特莱斯项目|加权平均出租率</v>
      </c>
      <c r="Y1389">
        <f t="shared" si="328"/>
        <v>1388</v>
      </c>
      <c r="Z1389">
        <f>IF($A1389="",0,IF(AND($M1389=1,$A1389=经营数据!$B$3,$J1389=经营数据!$BA$5,OR($I1389=经营数据!$BA$4,COUNTIF(经营数据!$AA$9:$AA$38,$I1389)&gt;0)),1,0))</f>
        <v>0</v>
      </c>
      <c r="AA1389" t="str">
        <f t="shared" si="329"/>
        <v/>
      </c>
      <c r="AB1389" t="str">
        <f t="shared" si="330"/>
        <v/>
      </c>
      <c r="AC1389">
        <f>IF($A1389="",0,IF(COUNTIF($A$2:$A1389,$A1389)=1,1,0))</f>
        <v>0</v>
      </c>
      <c r="AD1389">
        <f t="shared" si="331"/>
        <v>15</v>
      </c>
      <c r="AE1389" t="str">
        <f t="shared" si="332"/>
        <v>砂之船（西安）奥特莱斯项目|加权平均出租率（%）</v>
      </c>
    </row>
    <row r="1390" spans="1:31" x14ac:dyDescent="0.4">
      <c r="A1390" t="str">
        <f>IF(原始经营数据!$D1391="","",原始经营数据!$D1391)</f>
        <v>国泰海通砂之船封闭式商业不动产证券投资基金</v>
      </c>
      <c r="B1390" t="str">
        <f>IF(原始经营数据!$D1391="","",T(原始经营数据!$E1391))</f>
        <v>砂之船（西安）奥特莱斯项目</v>
      </c>
      <c r="C1390" t="str">
        <f>IF(原始经营数据!$D1391="","",原始经营数据!$F1391)</f>
        <v>2023</v>
      </c>
      <c r="D1390" t="str">
        <f>IF(原始经营数据!$D1391="","",原始经营数据!$H1391)</f>
        <v>期末出租率</v>
      </c>
      <c r="E1390">
        <f>IF(原始经营数据!$D1391="","",原始经营数据!$I1391)</f>
        <v>98.82</v>
      </c>
      <c r="F1390" t="str">
        <f>IF(原始经营数据!$D1391="","",T(原始经营数据!$J1391))</f>
        <v>%</v>
      </c>
      <c r="G1390" t="str">
        <f>IF(原始经营数据!$D1391="","",T(原始经营数据!$K1391))</f>
        <v/>
      </c>
      <c r="H1390" t="str">
        <f>IF(原始经营数据!$D1391="","",原始经营数据!$G1391)</f>
        <v>服务效率</v>
      </c>
      <c r="I1390" t="str">
        <f>IF($A1390="","",IF($B1390&lt;&gt;"",$B1390,IF(COUNTIFS(原始经营数据!$D$3:$D$3001,$A1390,原始经营数据!$E$3:$E$3001,"",原始经营数据!$F$3:$F$3001,$C1390,原始经营数据!$H$3:$H$3001,$D1390,原始经营数据!$K$3:$K$3001,$G1390)&gt;1,"基金整体·来源"&amp;原始经营数据!$A1391,"基金整体")))</f>
        <v>砂之船（西安）奥特莱斯项目</v>
      </c>
      <c r="J1390" t="str">
        <f t="shared" si="318"/>
        <v>年度</v>
      </c>
      <c r="K1390" t="str">
        <f t="shared" si="319"/>
        <v>期末出租率（%）</v>
      </c>
      <c r="L1390" t="str">
        <f t="shared" si="320"/>
        <v>砂之船（西安）奥特莱斯项目|期末出租率（%）|年度</v>
      </c>
      <c r="M1390">
        <f>IF($A1390="",0,IF(COUNTIF($L$2:$L1390,$L1390)=1,1,0))</f>
        <v>1</v>
      </c>
      <c r="N1390">
        <f t="shared" si="321"/>
        <v>20230</v>
      </c>
      <c r="O1390" t="str">
        <f t="shared" si="322"/>
        <v>国泰海通砂之船封闭式商业不动产证券投资基金|2023|年度</v>
      </c>
      <c r="P1390">
        <f>IF($A1390="",0,IF(COUNTIF($O$2:$O1390,$O1390)=1,1,0))</f>
        <v>0</v>
      </c>
      <c r="Q1390" t="str">
        <f>IF(AND($P1390=1,$A1390=经营数据!$B$3,$J1390=经营数据!$BA$5),COUNTIFS($P$2:$P$3000,1,$A$2:$A$3000,$A1390,$J$2:$J$3000,$J1390,$N$2:$N$3000,"&lt;"&amp;$N1390)+1,"")</f>
        <v/>
      </c>
      <c r="R1390" t="str">
        <f t="shared" si="323"/>
        <v>国泰海通砂之船封闭式商业不动产证券投资基金|砂之船（西安）奥特莱斯项目</v>
      </c>
      <c r="S1390">
        <f>IF($A1390="",0,IF(COUNTIF($R$2:$R1390,$R1390)=1,1,0))</f>
        <v>0</v>
      </c>
      <c r="T1390">
        <f t="shared" si="324"/>
        <v>1387</v>
      </c>
      <c r="U1390" t="str">
        <f>IF($A1390="","",IF($A1390=经营数据!$B$3,COUNTIFS($S$2:$S$3000,1,$A$2:$A$3000,$A1390,$T$2:$T$3000,"&lt;"&amp;$T1390)+1,""))</f>
        <v/>
      </c>
      <c r="V1390" t="str">
        <f t="shared" si="325"/>
        <v>砂之船（西安）奥特莱斯项目|服务效率</v>
      </c>
      <c r="W1390">
        <f t="shared" si="326"/>
        <v>1388</v>
      </c>
      <c r="X1390" t="str">
        <f t="shared" si="327"/>
        <v>砂之船（西安）奥特莱斯项目|期末出租率</v>
      </c>
      <c r="Y1390">
        <f t="shared" si="328"/>
        <v>1389</v>
      </c>
      <c r="Z1390">
        <f>IF($A1390="",0,IF(AND($M1390=1,$A1390=经营数据!$B$3,$J1390=经营数据!$BA$5,OR($I1390=经营数据!$BA$4,COUNTIF(经营数据!$AA$9:$AA$38,$I1390)&gt;0)),1,0))</f>
        <v>0</v>
      </c>
      <c r="AA1390" t="str">
        <f t="shared" si="329"/>
        <v/>
      </c>
      <c r="AB1390" t="str">
        <f t="shared" si="330"/>
        <v/>
      </c>
      <c r="AC1390">
        <f>IF($A1390="",0,IF(COUNTIF($A$2:$A1390,$A1390)=1,1,0))</f>
        <v>0</v>
      </c>
      <c r="AD1390">
        <f t="shared" si="331"/>
        <v>15</v>
      </c>
      <c r="AE1390" t="str">
        <f t="shared" si="332"/>
        <v>砂之船（西安）奥特莱斯项目|期末出租率（%）</v>
      </c>
    </row>
    <row r="1391" spans="1:31" x14ac:dyDescent="0.4">
      <c r="A1391" t="str">
        <f>IF(原始经营数据!$D1392="","",原始经营数据!$D1392)</f>
        <v>国泰海通砂之船封闭式商业不动产证券投资基金</v>
      </c>
      <c r="B1391" t="str">
        <f>IF(原始经营数据!$D1392="","",T(原始经营数据!$E1392))</f>
        <v>砂之船（西安）奥特莱斯项目</v>
      </c>
      <c r="C1391" t="str">
        <f>IF(原始经营数据!$D1392="","",原始经营数据!$F1392)</f>
        <v>2024</v>
      </c>
      <c r="D1391" t="str">
        <f>IF(原始经营数据!$D1392="","",原始经营数据!$H1392)</f>
        <v>客流量</v>
      </c>
      <c r="E1391">
        <f>IF(原始经营数据!$D1392="","",原始经营数据!$I1392)</f>
        <v>1164.48</v>
      </c>
      <c r="F1391" t="str">
        <f>IF(原始经营数据!$D1392="","",T(原始经营数据!$J1392))</f>
        <v>万人</v>
      </c>
      <c r="G1391" t="str">
        <f>IF(原始经营数据!$D1392="","",T(原始经营数据!$K1392))</f>
        <v/>
      </c>
      <c r="H1391" t="str">
        <f>IF(原始经营数据!$D1392="","",原始经营数据!$G1392)</f>
        <v>服务量</v>
      </c>
      <c r="I1391" t="str">
        <f>IF($A1391="","",IF($B1391&lt;&gt;"",$B1391,IF(COUNTIFS(原始经营数据!$D$3:$D$3001,$A1391,原始经营数据!$E$3:$E$3001,"",原始经营数据!$F$3:$F$3001,$C1391,原始经营数据!$H$3:$H$3001,$D1391,原始经营数据!$K$3:$K$3001,$G1391)&gt;1,"基金整体·来源"&amp;原始经营数据!$A1392,"基金整体")))</f>
        <v>砂之船（西安）奥特莱斯项目</v>
      </c>
      <c r="J1391" t="str">
        <f t="shared" si="318"/>
        <v>年度</v>
      </c>
      <c r="K1391" t="str">
        <f t="shared" si="319"/>
        <v>客流量（万人）</v>
      </c>
      <c r="L1391" t="str">
        <f t="shared" si="320"/>
        <v>砂之船（西安）奥特莱斯项目|客流量（万人）|年度</v>
      </c>
      <c r="M1391">
        <f>IF($A1391="",0,IF(COUNTIF($L$2:$L1391,$L1391)=1,1,0))</f>
        <v>0</v>
      </c>
      <c r="N1391">
        <f t="shared" si="321"/>
        <v>20240</v>
      </c>
      <c r="O1391" t="str">
        <f t="shared" si="322"/>
        <v>国泰海通砂之船封闭式商业不动产证券投资基金|2024|年度</v>
      </c>
      <c r="P1391">
        <f>IF($A1391="",0,IF(COUNTIF($O$2:$O1391,$O1391)=1,1,0))</f>
        <v>1</v>
      </c>
      <c r="Q1391" t="str">
        <f>IF(AND($P1391=1,$A1391=经营数据!$B$3,$J1391=经营数据!$BA$5),COUNTIFS($P$2:$P$3000,1,$A$2:$A$3000,$A1391,$J$2:$J$3000,$J1391,$N$2:$N$3000,"&lt;"&amp;$N1391)+1,"")</f>
        <v/>
      </c>
      <c r="R1391" t="str">
        <f t="shared" si="323"/>
        <v>国泰海通砂之船封闭式商业不动产证券投资基金|砂之船（西安）奥特莱斯项目</v>
      </c>
      <c r="S1391">
        <f>IF($A1391="",0,IF(COUNTIF($R$2:$R1391,$R1391)=1,1,0))</f>
        <v>0</v>
      </c>
      <c r="T1391">
        <f t="shared" si="324"/>
        <v>1387</v>
      </c>
      <c r="U1391" t="str">
        <f>IF($A1391="","",IF($A1391=经营数据!$B$3,COUNTIFS($S$2:$S$3000,1,$A$2:$A$3000,$A1391,$T$2:$T$3000,"&lt;"&amp;$T1391)+1,""))</f>
        <v/>
      </c>
      <c r="V1391" t="str">
        <f t="shared" si="325"/>
        <v>砂之船（西安）奥特莱斯项目|服务量</v>
      </c>
      <c r="W1391">
        <f t="shared" si="326"/>
        <v>1387</v>
      </c>
      <c r="X1391" t="str">
        <f t="shared" si="327"/>
        <v>砂之船（西安）奥特莱斯项目|客流量</v>
      </c>
      <c r="Y1391">
        <f t="shared" si="328"/>
        <v>1387</v>
      </c>
      <c r="Z1391">
        <f>IF($A1391="",0,IF(AND($M1391=1,$A1391=经营数据!$B$3,$J1391=经营数据!$BA$5,OR($I1391=经营数据!$BA$4,COUNTIF(经营数据!$AA$9:$AA$38,$I1391)&gt;0)),1,0))</f>
        <v>0</v>
      </c>
      <c r="AA1391" t="str">
        <f t="shared" si="329"/>
        <v/>
      </c>
      <c r="AB1391" t="str">
        <f t="shared" si="330"/>
        <v/>
      </c>
      <c r="AC1391">
        <f>IF($A1391="",0,IF(COUNTIF($A$2:$A1391,$A1391)=1,1,0))</f>
        <v>0</v>
      </c>
      <c r="AD1391">
        <f t="shared" si="331"/>
        <v>15</v>
      </c>
      <c r="AE1391" t="str">
        <f t="shared" si="332"/>
        <v>砂之船（西安）奥特莱斯项目|客流量（万人）</v>
      </c>
    </row>
    <row r="1392" spans="1:31" x14ac:dyDescent="0.4">
      <c r="A1392" t="str">
        <f>IF(原始经营数据!$D1393="","",原始经营数据!$D1393)</f>
        <v>国泰海通砂之船封闭式商业不动产证券投资基金</v>
      </c>
      <c r="B1392" t="str">
        <f>IF(原始经营数据!$D1393="","",T(原始经营数据!$E1393))</f>
        <v>砂之船（西安）奥特莱斯项目</v>
      </c>
      <c r="C1392" t="str">
        <f>IF(原始经营数据!$D1393="","",原始经营数据!$F1393)</f>
        <v>2024</v>
      </c>
      <c r="D1392" t="str">
        <f>IF(原始经营数据!$D1393="","",原始经营数据!$H1393)</f>
        <v>加权平均出租率</v>
      </c>
      <c r="E1392">
        <f>IF(原始经营数据!$D1393="","",原始经营数据!$I1393)</f>
        <v>98.65</v>
      </c>
      <c r="F1392" t="str">
        <f>IF(原始经营数据!$D1393="","",T(原始经营数据!$J1393))</f>
        <v>%</v>
      </c>
      <c r="G1392" t="str">
        <f>IF(原始经营数据!$D1393="","",T(原始经营数据!$K1393))</f>
        <v/>
      </c>
      <c r="H1392" t="str">
        <f>IF(原始经营数据!$D1393="","",原始经营数据!$G1393)</f>
        <v>服务效率</v>
      </c>
      <c r="I1392" t="str">
        <f>IF($A1392="","",IF($B1392&lt;&gt;"",$B1392,IF(COUNTIFS(原始经营数据!$D$3:$D$3001,$A1392,原始经营数据!$E$3:$E$3001,"",原始经营数据!$F$3:$F$3001,$C1392,原始经营数据!$H$3:$H$3001,$D1392,原始经营数据!$K$3:$K$3001,$G1392)&gt;1,"基金整体·来源"&amp;原始经营数据!$A1393,"基金整体")))</f>
        <v>砂之船（西安）奥特莱斯项目</v>
      </c>
      <c r="J1392" t="str">
        <f t="shared" si="318"/>
        <v>年度</v>
      </c>
      <c r="K1392" t="str">
        <f t="shared" si="319"/>
        <v>加权平均出租率（%）</v>
      </c>
      <c r="L1392" t="str">
        <f t="shared" si="320"/>
        <v>砂之船（西安）奥特莱斯项目|加权平均出租率（%）|年度</v>
      </c>
      <c r="M1392">
        <f>IF($A1392="",0,IF(COUNTIF($L$2:$L1392,$L1392)=1,1,0))</f>
        <v>0</v>
      </c>
      <c r="N1392">
        <f t="shared" si="321"/>
        <v>20240</v>
      </c>
      <c r="O1392" t="str">
        <f t="shared" si="322"/>
        <v>国泰海通砂之船封闭式商业不动产证券投资基金|2024|年度</v>
      </c>
      <c r="P1392">
        <f>IF($A1392="",0,IF(COUNTIF($O$2:$O1392,$O1392)=1,1,0))</f>
        <v>0</v>
      </c>
      <c r="Q1392" t="str">
        <f>IF(AND($P1392=1,$A1392=经营数据!$B$3,$J1392=经营数据!$BA$5),COUNTIFS($P$2:$P$3000,1,$A$2:$A$3000,$A1392,$J$2:$J$3000,$J1392,$N$2:$N$3000,"&lt;"&amp;$N1392)+1,"")</f>
        <v/>
      </c>
      <c r="R1392" t="str">
        <f t="shared" si="323"/>
        <v>国泰海通砂之船封闭式商业不动产证券投资基金|砂之船（西安）奥特莱斯项目</v>
      </c>
      <c r="S1392">
        <f>IF($A1392="",0,IF(COUNTIF($R$2:$R1392,$R1392)=1,1,0))</f>
        <v>0</v>
      </c>
      <c r="T1392">
        <f t="shared" si="324"/>
        <v>1387</v>
      </c>
      <c r="U1392" t="str">
        <f>IF($A1392="","",IF($A1392=经营数据!$B$3,COUNTIFS($S$2:$S$3000,1,$A$2:$A$3000,$A1392,$T$2:$T$3000,"&lt;"&amp;$T1392)+1,""))</f>
        <v/>
      </c>
      <c r="V1392" t="str">
        <f t="shared" si="325"/>
        <v>砂之船（西安）奥特莱斯项目|服务效率</v>
      </c>
      <c r="W1392">
        <f t="shared" si="326"/>
        <v>1388</v>
      </c>
      <c r="X1392" t="str">
        <f t="shared" si="327"/>
        <v>砂之船（西安）奥特莱斯项目|加权平均出租率</v>
      </c>
      <c r="Y1392">
        <f t="shared" si="328"/>
        <v>1388</v>
      </c>
      <c r="Z1392">
        <f>IF($A1392="",0,IF(AND($M1392=1,$A1392=经营数据!$B$3,$J1392=经营数据!$BA$5,OR($I1392=经营数据!$BA$4,COUNTIF(经营数据!$AA$9:$AA$38,$I1392)&gt;0)),1,0))</f>
        <v>0</v>
      </c>
      <c r="AA1392" t="str">
        <f t="shared" si="329"/>
        <v/>
      </c>
      <c r="AB1392" t="str">
        <f t="shared" si="330"/>
        <v/>
      </c>
      <c r="AC1392">
        <f>IF($A1392="",0,IF(COUNTIF($A$2:$A1392,$A1392)=1,1,0))</f>
        <v>0</v>
      </c>
      <c r="AD1392">
        <f t="shared" si="331"/>
        <v>15</v>
      </c>
      <c r="AE1392" t="str">
        <f t="shared" si="332"/>
        <v>砂之船（西安）奥特莱斯项目|加权平均出租率（%）</v>
      </c>
    </row>
    <row r="1393" spans="1:31" x14ac:dyDescent="0.4">
      <c r="A1393" t="str">
        <f>IF(原始经营数据!$D1394="","",原始经营数据!$D1394)</f>
        <v>国泰海通砂之船封闭式商业不动产证券投资基金</v>
      </c>
      <c r="B1393" t="str">
        <f>IF(原始经营数据!$D1394="","",T(原始经营数据!$E1394))</f>
        <v>砂之船（西安）奥特莱斯项目</v>
      </c>
      <c r="C1393" t="str">
        <f>IF(原始经营数据!$D1394="","",原始经营数据!$F1394)</f>
        <v>2024</v>
      </c>
      <c r="D1393" t="str">
        <f>IF(原始经营数据!$D1394="","",原始经营数据!$H1394)</f>
        <v>期末出租率</v>
      </c>
      <c r="E1393">
        <f>IF(原始经营数据!$D1394="","",原始经营数据!$I1394)</f>
        <v>98.54</v>
      </c>
      <c r="F1393" t="str">
        <f>IF(原始经营数据!$D1394="","",T(原始经营数据!$J1394))</f>
        <v>%</v>
      </c>
      <c r="G1393" t="str">
        <f>IF(原始经营数据!$D1394="","",T(原始经营数据!$K1394))</f>
        <v/>
      </c>
      <c r="H1393" t="str">
        <f>IF(原始经营数据!$D1394="","",原始经营数据!$G1394)</f>
        <v>服务效率</v>
      </c>
      <c r="I1393" t="str">
        <f>IF($A1393="","",IF($B1393&lt;&gt;"",$B1393,IF(COUNTIFS(原始经营数据!$D$3:$D$3001,$A1393,原始经营数据!$E$3:$E$3001,"",原始经营数据!$F$3:$F$3001,$C1393,原始经营数据!$H$3:$H$3001,$D1393,原始经营数据!$K$3:$K$3001,$G1393)&gt;1,"基金整体·来源"&amp;原始经营数据!$A1394,"基金整体")))</f>
        <v>砂之船（西安）奥特莱斯项目</v>
      </c>
      <c r="J1393" t="str">
        <f t="shared" si="318"/>
        <v>年度</v>
      </c>
      <c r="K1393" t="str">
        <f t="shared" si="319"/>
        <v>期末出租率（%）</v>
      </c>
      <c r="L1393" t="str">
        <f t="shared" si="320"/>
        <v>砂之船（西安）奥特莱斯项目|期末出租率（%）|年度</v>
      </c>
      <c r="M1393">
        <f>IF($A1393="",0,IF(COUNTIF($L$2:$L1393,$L1393)=1,1,0))</f>
        <v>0</v>
      </c>
      <c r="N1393">
        <f t="shared" si="321"/>
        <v>20240</v>
      </c>
      <c r="O1393" t="str">
        <f t="shared" si="322"/>
        <v>国泰海通砂之船封闭式商业不动产证券投资基金|2024|年度</v>
      </c>
      <c r="P1393">
        <f>IF($A1393="",0,IF(COUNTIF($O$2:$O1393,$O1393)=1,1,0))</f>
        <v>0</v>
      </c>
      <c r="Q1393" t="str">
        <f>IF(AND($P1393=1,$A1393=经营数据!$B$3,$J1393=经营数据!$BA$5),COUNTIFS($P$2:$P$3000,1,$A$2:$A$3000,$A1393,$J$2:$J$3000,$J1393,$N$2:$N$3000,"&lt;"&amp;$N1393)+1,"")</f>
        <v/>
      </c>
      <c r="R1393" t="str">
        <f t="shared" si="323"/>
        <v>国泰海通砂之船封闭式商业不动产证券投资基金|砂之船（西安）奥特莱斯项目</v>
      </c>
      <c r="S1393">
        <f>IF($A1393="",0,IF(COUNTIF($R$2:$R1393,$R1393)=1,1,0))</f>
        <v>0</v>
      </c>
      <c r="T1393">
        <f t="shared" si="324"/>
        <v>1387</v>
      </c>
      <c r="U1393" t="str">
        <f>IF($A1393="","",IF($A1393=经营数据!$B$3,COUNTIFS($S$2:$S$3000,1,$A$2:$A$3000,$A1393,$T$2:$T$3000,"&lt;"&amp;$T1393)+1,""))</f>
        <v/>
      </c>
      <c r="V1393" t="str">
        <f t="shared" si="325"/>
        <v>砂之船（西安）奥特莱斯项目|服务效率</v>
      </c>
      <c r="W1393">
        <f t="shared" si="326"/>
        <v>1388</v>
      </c>
      <c r="X1393" t="str">
        <f t="shared" si="327"/>
        <v>砂之船（西安）奥特莱斯项目|期末出租率</v>
      </c>
      <c r="Y1393">
        <f t="shared" si="328"/>
        <v>1389</v>
      </c>
      <c r="Z1393">
        <f>IF($A1393="",0,IF(AND($M1393=1,$A1393=经营数据!$B$3,$J1393=经营数据!$BA$5,OR($I1393=经营数据!$BA$4,COUNTIF(经营数据!$AA$9:$AA$38,$I1393)&gt;0)),1,0))</f>
        <v>0</v>
      </c>
      <c r="AA1393" t="str">
        <f t="shared" si="329"/>
        <v/>
      </c>
      <c r="AB1393" t="str">
        <f t="shared" si="330"/>
        <v/>
      </c>
      <c r="AC1393">
        <f>IF($A1393="",0,IF(COUNTIF($A$2:$A1393,$A1393)=1,1,0))</f>
        <v>0</v>
      </c>
      <c r="AD1393">
        <f t="shared" si="331"/>
        <v>15</v>
      </c>
      <c r="AE1393" t="str">
        <f t="shared" si="332"/>
        <v>砂之船（西安）奥特莱斯项目|期末出租率（%）</v>
      </c>
    </row>
    <row r="1394" spans="1:31" x14ac:dyDescent="0.4">
      <c r="A1394" t="str">
        <f>IF(原始经营数据!$D1395="","",原始经营数据!$D1395)</f>
        <v>国泰海通砂之船封闭式商业不动产证券投资基金</v>
      </c>
      <c r="B1394" t="str">
        <f>IF(原始经营数据!$D1395="","",T(原始经营数据!$E1395))</f>
        <v>砂之船（西安）奥特莱斯项目</v>
      </c>
      <c r="C1394" t="str">
        <f>IF(原始经营数据!$D1395="","",原始经营数据!$F1395)</f>
        <v>2025</v>
      </c>
      <c r="D1394" t="str">
        <f>IF(原始经营数据!$D1395="","",原始经营数据!$H1395)</f>
        <v>客流量</v>
      </c>
      <c r="E1394">
        <f>IF(原始经营数据!$D1395="","",原始经营数据!$I1395)</f>
        <v>1258.82</v>
      </c>
      <c r="F1394" t="str">
        <f>IF(原始经营数据!$D1395="","",T(原始经营数据!$J1395))</f>
        <v>万人</v>
      </c>
      <c r="G1394" t="str">
        <f>IF(原始经营数据!$D1395="","",T(原始经营数据!$K1395))</f>
        <v/>
      </c>
      <c r="H1394" t="str">
        <f>IF(原始经营数据!$D1395="","",原始经营数据!$G1395)</f>
        <v>服务量</v>
      </c>
      <c r="I1394" t="str">
        <f>IF($A1394="","",IF($B1394&lt;&gt;"",$B1394,IF(COUNTIFS(原始经营数据!$D$3:$D$3001,$A1394,原始经营数据!$E$3:$E$3001,"",原始经营数据!$F$3:$F$3001,$C1394,原始经营数据!$H$3:$H$3001,$D1394,原始经营数据!$K$3:$K$3001,$G1394)&gt;1,"基金整体·来源"&amp;原始经营数据!$A1395,"基金整体")))</f>
        <v>砂之船（西安）奥特莱斯项目</v>
      </c>
      <c r="J1394" t="str">
        <f t="shared" si="318"/>
        <v>年度</v>
      </c>
      <c r="K1394" t="str">
        <f t="shared" si="319"/>
        <v>客流量（万人）</v>
      </c>
      <c r="L1394" t="str">
        <f t="shared" si="320"/>
        <v>砂之船（西安）奥特莱斯项目|客流量（万人）|年度</v>
      </c>
      <c r="M1394">
        <f>IF($A1394="",0,IF(COUNTIF($L$2:$L1394,$L1394)=1,1,0))</f>
        <v>0</v>
      </c>
      <c r="N1394">
        <f t="shared" si="321"/>
        <v>20250</v>
      </c>
      <c r="O1394" t="str">
        <f t="shared" si="322"/>
        <v>国泰海通砂之船封闭式商业不动产证券投资基金|2025|年度</v>
      </c>
      <c r="P1394">
        <f>IF($A1394="",0,IF(COUNTIF($O$2:$O1394,$O1394)=1,1,0))</f>
        <v>1</v>
      </c>
      <c r="Q1394" t="str">
        <f>IF(AND($P1394=1,$A1394=经营数据!$B$3,$J1394=经营数据!$BA$5),COUNTIFS($P$2:$P$3000,1,$A$2:$A$3000,$A1394,$J$2:$J$3000,$J1394,$N$2:$N$3000,"&lt;"&amp;$N1394)+1,"")</f>
        <v/>
      </c>
      <c r="R1394" t="str">
        <f t="shared" si="323"/>
        <v>国泰海通砂之船封闭式商业不动产证券投资基金|砂之船（西安）奥特莱斯项目</v>
      </c>
      <c r="S1394">
        <f>IF($A1394="",0,IF(COUNTIF($R$2:$R1394,$R1394)=1,1,0))</f>
        <v>0</v>
      </c>
      <c r="T1394">
        <f t="shared" si="324"/>
        <v>1387</v>
      </c>
      <c r="U1394" t="str">
        <f>IF($A1394="","",IF($A1394=经营数据!$B$3,COUNTIFS($S$2:$S$3000,1,$A$2:$A$3000,$A1394,$T$2:$T$3000,"&lt;"&amp;$T1394)+1,""))</f>
        <v/>
      </c>
      <c r="V1394" t="str">
        <f t="shared" si="325"/>
        <v>砂之船（西安）奥特莱斯项目|服务量</v>
      </c>
      <c r="W1394">
        <f t="shared" si="326"/>
        <v>1387</v>
      </c>
      <c r="X1394" t="str">
        <f t="shared" si="327"/>
        <v>砂之船（西安）奥特莱斯项目|客流量</v>
      </c>
      <c r="Y1394">
        <f t="shared" si="328"/>
        <v>1387</v>
      </c>
      <c r="Z1394">
        <f>IF($A1394="",0,IF(AND($M1394=1,$A1394=经营数据!$B$3,$J1394=经营数据!$BA$5,OR($I1394=经营数据!$BA$4,COUNTIF(经营数据!$AA$9:$AA$38,$I1394)&gt;0)),1,0))</f>
        <v>0</v>
      </c>
      <c r="AA1394" t="str">
        <f t="shared" si="329"/>
        <v/>
      </c>
      <c r="AB1394" t="str">
        <f t="shared" si="330"/>
        <v/>
      </c>
      <c r="AC1394">
        <f>IF($A1394="",0,IF(COUNTIF($A$2:$A1394,$A1394)=1,1,0))</f>
        <v>0</v>
      </c>
      <c r="AD1394">
        <f t="shared" si="331"/>
        <v>15</v>
      </c>
      <c r="AE1394" t="str">
        <f t="shared" si="332"/>
        <v>砂之船（西安）奥特莱斯项目|客流量（万人）</v>
      </c>
    </row>
    <row r="1395" spans="1:31" x14ac:dyDescent="0.4">
      <c r="A1395" t="str">
        <f>IF(原始经营数据!$D1396="","",原始经营数据!$D1396)</f>
        <v>国泰海通砂之船封闭式商业不动产证券投资基金</v>
      </c>
      <c r="B1395" t="str">
        <f>IF(原始经营数据!$D1396="","",T(原始经营数据!$E1396))</f>
        <v>砂之船（西安）奥特莱斯项目</v>
      </c>
      <c r="C1395" t="str">
        <f>IF(原始经营数据!$D1396="","",原始经营数据!$F1396)</f>
        <v>2025</v>
      </c>
      <c r="D1395" t="str">
        <f>IF(原始经营数据!$D1396="","",原始经营数据!$H1396)</f>
        <v>加权平均出租率</v>
      </c>
      <c r="E1395">
        <f>IF(原始经营数据!$D1396="","",原始经营数据!$I1396)</f>
        <v>98.03</v>
      </c>
      <c r="F1395" t="str">
        <f>IF(原始经营数据!$D1396="","",T(原始经营数据!$J1396))</f>
        <v>%</v>
      </c>
      <c r="G1395" t="str">
        <f>IF(原始经营数据!$D1396="","",T(原始经营数据!$K1396))</f>
        <v/>
      </c>
      <c r="H1395" t="str">
        <f>IF(原始经营数据!$D1396="","",原始经营数据!$G1396)</f>
        <v>服务效率</v>
      </c>
      <c r="I1395" t="str">
        <f>IF($A1395="","",IF($B1395&lt;&gt;"",$B1395,IF(COUNTIFS(原始经营数据!$D$3:$D$3001,$A1395,原始经营数据!$E$3:$E$3001,"",原始经营数据!$F$3:$F$3001,$C1395,原始经营数据!$H$3:$H$3001,$D1395,原始经营数据!$K$3:$K$3001,$G1395)&gt;1,"基金整体·来源"&amp;原始经营数据!$A1396,"基金整体")))</f>
        <v>砂之船（西安）奥特莱斯项目</v>
      </c>
      <c r="J1395" t="str">
        <f t="shared" si="318"/>
        <v>年度</v>
      </c>
      <c r="K1395" t="str">
        <f t="shared" si="319"/>
        <v>加权平均出租率（%）</v>
      </c>
      <c r="L1395" t="str">
        <f t="shared" si="320"/>
        <v>砂之船（西安）奥特莱斯项目|加权平均出租率（%）|年度</v>
      </c>
      <c r="M1395">
        <f>IF($A1395="",0,IF(COUNTIF($L$2:$L1395,$L1395)=1,1,0))</f>
        <v>0</v>
      </c>
      <c r="N1395">
        <f t="shared" si="321"/>
        <v>20250</v>
      </c>
      <c r="O1395" t="str">
        <f t="shared" si="322"/>
        <v>国泰海通砂之船封闭式商业不动产证券投资基金|2025|年度</v>
      </c>
      <c r="P1395">
        <f>IF($A1395="",0,IF(COUNTIF($O$2:$O1395,$O1395)=1,1,0))</f>
        <v>0</v>
      </c>
      <c r="Q1395" t="str">
        <f>IF(AND($P1395=1,$A1395=经营数据!$B$3,$J1395=经营数据!$BA$5),COUNTIFS($P$2:$P$3000,1,$A$2:$A$3000,$A1395,$J$2:$J$3000,$J1395,$N$2:$N$3000,"&lt;"&amp;$N1395)+1,"")</f>
        <v/>
      </c>
      <c r="R1395" t="str">
        <f t="shared" si="323"/>
        <v>国泰海通砂之船封闭式商业不动产证券投资基金|砂之船（西安）奥特莱斯项目</v>
      </c>
      <c r="S1395">
        <f>IF($A1395="",0,IF(COUNTIF($R$2:$R1395,$R1395)=1,1,0))</f>
        <v>0</v>
      </c>
      <c r="T1395">
        <f t="shared" si="324"/>
        <v>1387</v>
      </c>
      <c r="U1395" t="str">
        <f>IF($A1395="","",IF($A1395=经营数据!$B$3,COUNTIFS($S$2:$S$3000,1,$A$2:$A$3000,$A1395,$T$2:$T$3000,"&lt;"&amp;$T1395)+1,""))</f>
        <v/>
      </c>
      <c r="V1395" t="str">
        <f t="shared" si="325"/>
        <v>砂之船（西安）奥特莱斯项目|服务效率</v>
      </c>
      <c r="W1395">
        <f t="shared" si="326"/>
        <v>1388</v>
      </c>
      <c r="X1395" t="str">
        <f t="shared" si="327"/>
        <v>砂之船（西安）奥特莱斯项目|加权平均出租率</v>
      </c>
      <c r="Y1395">
        <f t="shared" si="328"/>
        <v>1388</v>
      </c>
      <c r="Z1395">
        <f>IF($A1395="",0,IF(AND($M1395=1,$A1395=经营数据!$B$3,$J1395=经营数据!$BA$5,OR($I1395=经营数据!$BA$4,COUNTIF(经营数据!$AA$9:$AA$38,$I1395)&gt;0)),1,0))</f>
        <v>0</v>
      </c>
      <c r="AA1395" t="str">
        <f t="shared" si="329"/>
        <v/>
      </c>
      <c r="AB1395" t="str">
        <f t="shared" si="330"/>
        <v/>
      </c>
      <c r="AC1395">
        <f>IF($A1395="",0,IF(COUNTIF($A$2:$A1395,$A1395)=1,1,0))</f>
        <v>0</v>
      </c>
      <c r="AD1395">
        <f t="shared" si="331"/>
        <v>15</v>
      </c>
      <c r="AE1395" t="str">
        <f t="shared" si="332"/>
        <v>砂之船（西安）奥特莱斯项目|加权平均出租率（%）</v>
      </c>
    </row>
    <row r="1396" spans="1:31" x14ac:dyDescent="0.4">
      <c r="A1396" t="str">
        <f>IF(原始经营数据!$D1397="","",原始经营数据!$D1397)</f>
        <v>国泰海通砂之船封闭式商业不动产证券投资基金</v>
      </c>
      <c r="B1396" t="str">
        <f>IF(原始经营数据!$D1397="","",T(原始经营数据!$E1397))</f>
        <v>砂之船（西安）奥特莱斯项目</v>
      </c>
      <c r="C1396" t="str">
        <f>IF(原始经营数据!$D1397="","",原始经营数据!$F1397)</f>
        <v>2025</v>
      </c>
      <c r="D1396" t="str">
        <f>IF(原始经营数据!$D1397="","",原始经营数据!$H1397)</f>
        <v>期末出租率</v>
      </c>
      <c r="E1396">
        <f>IF(原始经营数据!$D1397="","",原始经营数据!$I1397)</f>
        <v>94.36</v>
      </c>
      <c r="F1396" t="str">
        <f>IF(原始经营数据!$D1397="","",T(原始经营数据!$J1397))</f>
        <v>%</v>
      </c>
      <c r="G1396" t="str">
        <f>IF(原始经营数据!$D1397="","",T(原始经营数据!$K1397))</f>
        <v/>
      </c>
      <c r="H1396" t="str">
        <f>IF(原始经营数据!$D1397="","",原始经营数据!$G1397)</f>
        <v>服务效率</v>
      </c>
      <c r="I1396" t="str">
        <f>IF($A1396="","",IF($B1396&lt;&gt;"",$B1396,IF(COUNTIFS(原始经营数据!$D$3:$D$3001,$A1396,原始经营数据!$E$3:$E$3001,"",原始经营数据!$F$3:$F$3001,$C1396,原始经营数据!$H$3:$H$3001,$D1396,原始经营数据!$K$3:$K$3001,$G1396)&gt;1,"基金整体·来源"&amp;原始经营数据!$A1397,"基金整体")))</f>
        <v>砂之船（西安）奥特莱斯项目</v>
      </c>
      <c r="J1396" t="str">
        <f t="shared" si="318"/>
        <v>年度</v>
      </c>
      <c r="K1396" t="str">
        <f t="shared" si="319"/>
        <v>期末出租率（%）</v>
      </c>
      <c r="L1396" t="str">
        <f t="shared" si="320"/>
        <v>砂之船（西安）奥特莱斯项目|期末出租率（%）|年度</v>
      </c>
      <c r="M1396">
        <f>IF($A1396="",0,IF(COUNTIF($L$2:$L1396,$L1396)=1,1,0))</f>
        <v>0</v>
      </c>
      <c r="N1396">
        <f t="shared" si="321"/>
        <v>20250</v>
      </c>
      <c r="O1396" t="str">
        <f t="shared" si="322"/>
        <v>国泰海通砂之船封闭式商业不动产证券投资基金|2025|年度</v>
      </c>
      <c r="P1396">
        <f>IF($A1396="",0,IF(COUNTIF($O$2:$O1396,$O1396)=1,1,0))</f>
        <v>0</v>
      </c>
      <c r="Q1396" t="str">
        <f>IF(AND($P1396=1,$A1396=经营数据!$B$3,$J1396=经营数据!$BA$5),COUNTIFS($P$2:$P$3000,1,$A$2:$A$3000,$A1396,$J$2:$J$3000,$J1396,$N$2:$N$3000,"&lt;"&amp;$N1396)+1,"")</f>
        <v/>
      </c>
      <c r="R1396" t="str">
        <f t="shared" si="323"/>
        <v>国泰海通砂之船封闭式商业不动产证券投资基金|砂之船（西安）奥特莱斯项目</v>
      </c>
      <c r="S1396">
        <f>IF($A1396="",0,IF(COUNTIF($R$2:$R1396,$R1396)=1,1,0))</f>
        <v>0</v>
      </c>
      <c r="T1396">
        <f t="shared" si="324"/>
        <v>1387</v>
      </c>
      <c r="U1396" t="str">
        <f>IF($A1396="","",IF($A1396=经营数据!$B$3,COUNTIFS($S$2:$S$3000,1,$A$2:$A$3000,$A1396,$T$2:$T$3000,"&lt;"&amp;$T1396)+1,""))</f>
        <v/>
      </c>
      <c r="V1396" t="str">
        <f t="shared" si="325"/>
        <v>砂之船（西安）奥特莱斯项目|服务效率</v>
      </c>
      <c r="W1396">
        <f t="shared" si="326"/>
        <v>1388</v>
      </c>
      <c r="X1396" t="str">
        <f t="shared" si="327"/>
        <v>砂之船（西安）奥特莱斯项目|期末出租率</v>
      </c>
      <c r="Y1396">
        <f t="shared" si="328"/>
        <v>1389</v>
      </c>
      <c r="Z1396">
        <f>IF($A1396="",0,IF(AND($M1396=1,$A1396=经营数据!$B$3,$J1396=经营数据!$BA$5,OR($I1396=经营数据!$BA$4,COUNTIF(经营数据!$AA$9:$AA$38,$I1396)&gt;0)),1,0))</f>
        <v>0</v>
      </c>
      <c r="AA1396" t="str">
        <f t="shared" si="329"/>
        <v/>
      </c>
      <c r="AB1396" t="str">
        <f t="shared" si="330"/>
        <v/>
      </c>
      <c r="AC1396">
        <f>IF($A1396="",0,IF(COUNTIF($A$2:$A1396,$A1396)=1,1,0))</f>
        <v>0</v>
      </c>
      <c r="AD1396">
        <f t="shared" si="331"/>
        <v>15</v>
      </c>
      <c r="AE1396" t="str">
        <f t="shared" si="332"/>
        <v>砂之船（西安）奥特莱斯项目|期末出租率（%）</v>
      </c>
    </row>
    <row r="1397" spans="1:31" x14ac:dyDescent="0.4">
      <c r="A1397" t="str">
        <f>IF(原始经营数据!$D1398="","",原始经营数据!$D1398)</f>
        <v>中信建投首农食品集团封闭式商业不动产证券投资基金</v>
      </c>
      <c r="B1397" t="str">
        <f>IF(原始经营数据!$D1398="","",T(原始经营数据!$E1398))</f>
        <v>龙德广场</v>
      </c>
      <c r="C1397" t="str">
        <f>IF(原始经营数据!$D1398="","",原始经营数据!$F1398)</f>
        <v>2023</v>
      </c>
      <c r="D1397" t="str">
        <f>IF(原始经营数据!$D1398="","",原始经营数据!$H1398)</f>
        <v>期末出租率</v>
      </c>
      <c r="E1397">
        <f>IF(原始经营数据!$D1398="","",原始经营数据!$I1398)</f>
        <v>77.33</v>
      </c>
      <c r="F1397" t="str">
        <f>IF(原始经营数据!$D1398="","",T(原始经营数据!$J1398))</f>
        <v>%</v>
      </c>
      <c r="G1397" t="str">
        <f>IF(原始经营数据!$D1398="","",T(原始经营数据!$K1398))</f>
        <v/>
      </c>
      <c r="H1397" t="str">
        <f>IF(原始经营数据!$D1398="","",原始经营数据!$G1398)</f>
        <v>服务效率</v>
      </c>
      <c r="I1397" t="str">
        <f>IF($A1397="","",IF($B1397&lt;&gt;"",$B1397,IF(COUNTIFS(原始经营数据!$D$3:$D$3001,$A1397,原始经营数据!$E$3:$E$3001,"",原始经营数据!$F$3:$F$3001,$C1397,原始经营数据!$H$3:$H$3001,$D1397,原始经营数据!$K$3:$K$3001,$G1397)&gt;1,"基金整体·来源"&amp;原始经营数据!$A1398,"基金整体")))</f>
        <v>龙德广场</v>
      </c>
      <c r="J1397" t="str">
        <f t="shared" si="318"/>
        <v>年度</v>
      </c>
      <c r="K1397" t="str">
        <f t="shared" si="319"/>
        <v>期末出租率（%）</v>
      </c>
      <c r="L1397" t="str">
        <f t="shared" si="320"/>
        <v>龙德广场|期末出租率（%）|年度</v>
      </c>
      <c r="M1397">
        <f>IF($A1397="",0,IF(COUNTIF($L$2:$L1397,$L1397)=1,1,0))</f>
        <v>1</v>
      </c>
      <c r="N1397">
        <f t="shared" si="321"/>
        <v>20230</v>
      </c>
      <c r="O1397" t="str">
        <f t="shared" si="322"/>
        <v>中信建投首农食品集团封闭式商业不动产证券投资基金|2023|年度</v>
      </c>
      <c r="P1397">
        <f>IF($A1397="",0,IF(COUNTIF($O$2:$O1397,$O1397)=1,1,0))</f>
        <v>1</v>
      </c>
      <c r="Q1397" t="str">
        <f>IF(AND($P1397=1,$A1397=经营数据!$B$3,$J1397=经营数据!$BA$5),COUNTIFS($P$2:$P$3000,1,$A$2:$A$3000,$A1397,$J$2:$J$3000,$J1397,$N$2:$N$3000,"&lt;"&amp;$N1397)+1,"")</f>
        <v/>
      </c>
      <c r="R1397" t="str">
        <f t="shared" si="323"/>
        <v>中信建投首农食品集团封闭式商业不动产证券投资基金|龙德广场</v>
      </c>
      <c r="S1397">
        <f>IF($A1397="",0,IF(COUNTIF($R$2:$R1397,$R1397)=1,1,0))</f>
        <v>1</v>
      </c>
      <c r="T1397">
        <f t="shared" si="324"/>
        <v>1396</v>
      </c>
      <c r="U1397" t="str">
        <f>IF($A1397="","",IF($A1397=经营数据!$B$3,COUNTIFS($S$2:$S$3000,1,$A$2:$A$3000,$A1397,$T$2:$T$3000,"&lt;"&amp;$T1397)+1,""))</f>
        <v/>
      </c>
      <c r="V1397" t="str">
        <f t="shared" si="325"/>
        <v>龙德广场|服务效率</v>
      </c>
      <c r="W1397">
        <f t="shared" si="326"/>
        <v>1396</v>
      </c>
      <c r="X1397" t="str">
        <f t="shared" si="327"/>
        <v>龙德广场|期末出租率</v>
      </c>
      <c r="Y1397">
        <f t="shared" si="328"/>
        <v>1396</v>
      </c>
      <c r="Z1397">
        <f>IF($A1397="",0,IF(AND($M1397=1,$A1397=经营数据!$B$3,$J1397=经营数据!$BA$5,OR($I1397=经营数据!$BA$4,COUNTIF(经营数据!$AA$9:$AA$38,$I1397)&gt;0)),1,0))</f>
        <v>0</v>
      </c>
      <c r="AA1397" t="str">
        <f t="shared" si="329"/>
        <v/>
      </c>
      <c r="AB1397" t="str">
        <f t="shared" si="330"/>
        <v/>
      </c>
      <c r="AC1397">
        <f>IF($A1397="",0,IF(COUNTIF($A$2:$A1397,$A1397)=1,1,0))</f>
        <v>1</v>
      </c>
      <c r="AD1397">
        <f t="shared" si="331"/>
        <v>16</v>
      </c>
      <c r="AE1397" t="str">
        <f t="shared" si="332"/>
        <v>龙德广场|期末出租率（%）</v>
      </c>
    </row>
    <row r="1398" spans="1:31" x14ac:dyDescent="0.4">
      <c r="A1398" t="str">
        <f>IF(原始经营数据!$D1399="","",原始经营数据!$D1399)</f>
        <v>中信建投首农食品集团封闭式商业不动产证券投资基金</v>
      </c>
      <c r="B1398" t="str">
        <f>IF(原始经营数据!$D1399="","",T(原始经营数据!$E1399))</f>
        <v>龙德广场</v>
      </c>
      <c r="C1398" t="str">
        <f>IF(原始经营数据!$D1399="","",原始经营数据!$F1399)</f>
        <v>2023</v>
      </c>
      <c r="D1398" t="str">
        <f>IF(原始经营数据!$D1399="","",原始经营数据!$H1399)</f>
        <v>加权平均出租率</v>
      </c>
      <c r="E1398">
        <f>IF(原始经营数据!$D1399="","",原始经营数据!$I1399)</f>
        <v>87.82</v>
      </c>
      <c r="F1398" t="str">
        <f>IF(原始经营数据!$D1399="","",T(原始经营数据!$J1399))</f>
        <v>%</v>
      </c>
      <c r="G1398" t="str">
        <f>IF(原始经营数据!$D1399="","",T(原始经营数据!$K1399))</f>
        <v/>
      </c>
      <c r="H1398" t="str">
        <f>IF(原始经营数据!$D1399="","",原始经营数据!$G1399)</f>
        <v>服务效率</v>
      </c>
      <c r="I1398" t="str">
        <f>IF($A1398="","",IF($B1398&lt;&gt;"",$B1398,IF(COUNTIFS(原始经营数据!$D$3:$D$3001,$A1398,原始经营数据!$E$3:$E$3001,"",原始经营数据!$F$3:$F$3001,$C1398,原始经营数据!$H$3:$H$3001,$D1398,原始经营数据!$K$3:$K$3001,$G1398)&gt;1,"基金整体·来源"&amp;原始经营数据!$A1399,"基金整体")))</f>
        <v>龙德广场</v>
      </c>
      <c r="J1398" t="str">
        <f t="shared" si="318"/>
        <v>年度</v>
      </c>
      <c r="K1398" t="str">
        <f t="shared" si="319"/>
        <v>加权平均出租率（%）</v>
      </c>
      <c r="L1398" t="str">
        <f t="shared" si="320"/>
        <v>龙德广场|加权平均出租率（%）|年度</v>
      </c>
      <c r="M1398">
        <f>IF($A1398="",0,IF(COUNTIF($L$2:$L1398,$L1398)=1,1,0))</f>
        <v>1</v>
      </c>
      <c r="N1398">
        <f t="shared" si="321"/>
        <v>20230</v>
      </c>
      <c r="O1398" t="str">
        <f t="shared" si="322"/>
        <v>中信建投首农食品集团封闭式商业不动产证券投资基金|2023|年度</v>
      </c>
      <c r="P1398">
        <f>IF($A1398="",0,IF(COUNTIF($O$2:$O1398,$O1398)=1,1,0))</f>
        <v>0</v>
      </c>
      <c r="Q1398" t="str">
        <f>IF(AND($P1398=1,$A1398=经营数据!$B$3,$J1398=经营数据!$BA$5),COUNTIFS($P$2:$P$3000,1,$A$2:$A$3000,$A1398,$J$2:$J$3000,$J1398,$N$2:$N$3000,"&lt;"&amp;$N1398)+1,"")</f>
        <v/>
      </c>
      <c r="R1398" t="str">
        <f t="shared" si="323"/>
        <v>中信建投首农食品集团封闭式商业不动产证券投资基金|龙德广场</v>
      </c>
      <c r="S1398">
        <f>IF($A1398="",0,IF(COUNTIF($R$2:$R1398,$R1398)=1,1,0))</f>
        <v>0</v>
      </c>
      <c r="T1398">
        <f t="shared" si="324"/>
        <v>1396</v>
      </c>
      <c r="U1398" t="str">
        <f>IF($A1398="","",IF($A1398=经营数据!$B$3,COUNTIFS($S$2:$S$3000,1,$A$2:$A$3000,$A1398,$T$2:$T$3000,"&lt;"&amp;$T1398)+1,""))</f>
        <v/>
      </c>
      <c r="V1398" t="str">
        <f t="shared" si="325"/>
        <v>龙德广场|服务效率</v>
      </c>
      <c r="W1398">
        <f t="shared" si="326"/>
        <v>1396</v>
      </c>
      <c r="X1398" t="str">
        <f t="shared" si="327"/>
        <v>龙德广场|加权平均出租率</v>
      </c>
      <c r="Y1398">
        <f t="shared" si="328"/>
        <v>1397</v>
      </c>
      <c r="Z1398">
        <f>IF($A1398="",0,IF(AND($M1398=1,$A1398=经营数据!$B$3,$J1398=经营数据!$BA$5,OR($I1398=经营数据!$BA$4,COUNTIF(经营数据!$AA$9:$AA$38,$I1398)&gt;0)),1,0))</f>
        <v>0</v>
      </c>
      <c r="AA1398" t="str">
        <f t="shared" si="329"/>
        <v/>
      </c>
      <c r="AB1398" t="str">
        <f t="shared" si="330"/>
        <v/>
      </c>
      <c r="AC1398">
        <f>IF($A1398="",0,IF(COUNTIF($A$2:$A1398,$A1398)=1,1,0))</f>
        <v>0</v>
      </c>
      <c r="AD1398">
        <f t="shared" si="331"/>
        <v>16</v>
      </c>
      <c r="AE1398" t="str">
        <f t="shared" si="332"/>
        <v>龙德广场|加权平均出租率（%）</v>
      </c>
    </row>
    <row r="1399" spans="1:31" x14ac:dyDescent="0.4">
      <c r="A1399" t="str">
        <f>IF(原始经营数据!$D1400="","",原始经营数据!$D1400)</f>
        <v>中信建投首农食品集团封闭式商业不动产证券投资基金</v>
      </c>
      <c r="B1399" t="str">
        <f>IF(原始经营数据!$D1400="","",T(原始经营数据!$E1400))</f>
        <v>龙德广场</v>
      </c>
      <c r="C1399" t="str">
        <f>IF(原始经营数据!$D1400="","",原始经营数据!$F1400)</f>
        <v>2023</v>
      </c>
      <c r="D1399" t="str">
        <f>IF(原始经营数据!$D1400="","",原始经营数据!$H1400)</f>
        <v>期末平均租金单价（含税）</v>
      </c>
      <c r="E1399">
        <f>IF(原始经营数据!$D1400="","",原始经营数据!$I1400)</f>
        <v>166.14</v>
      </c>
      <c r="F1399" t="str">
        <f>IF(原始经营数据!$D1400="","",T(原始经营数据!$J1400))</f>
        <v>元/平方米/月</v>
      </c>
      <c r="G1399" t="str">
        <f>IF(原始经营数据!$D1400="","",T(原始经营数据!$K1400))</f>
        <v/>
      </c>
      <c r="H1399" t="str">
        <f>IF(原始经营数据!$D1400="","",原始经营数据!$G1400)</f>
        <v>服务价格</v>
      </c>
      <c r="I1399" t="str">
        <f>IF($A1399="","",IF($B1399&lt;&gt;"",$B1399,IF(COUNTIFS(原始经营数据!$D$3:$D$3001,$A1399,原始经营数据!$E$3:$E$3001,"",原始经营数据!$F$3:$F$3001,$C1399,原始经营数据!$H$3:$H$3001,$D1399,原始经营数据!$K$3:$K$3001,$G1399)&gt;1,"基金整体·来源"&amp;原始经营数据!$A1400,"基金整体")))</f>
        <v>龙德广场</v>
      </c>
      <c r="J1399" t="str">
        <f t="shared" si="318"/>
        <v>年度</v>
      </c>
      <c r="K1399" t="str">
        <f t="shared" si="319"/>
        <v>期末平均租金单价（含税）（元/平方米/月）</v>
      </c>
      <c r="L1399" t="str">
        <f t="shared" si="320"/>
        <v>龙德广场|期末平均租金单价（含税）（元/平方米/月）|年度</v>
      </c>
      <c r="M1399">
        <f>IF($A1399="",0,IF(COUNTIF($L$2:$L1399,$L1399)=1,1,0))</f>
        <v>1</v>
      </c>
      <c r="N1399">
        <f t="shared" si="321"/>
        <v>20230</v>
      </c>
      <c r="O1399" t="str">
        <f t="shared" si="322"/>
        <v>中信建投首农食品集团封闭式商业不动产证券投资基金|2023|年度</v>
      </c>
      <c r="P1399">
        <f>IF($A1399="",0,IF(COUNTIF($O$2:$O1399,$O1399)=1,1,0))</f>
        <v>0</v>
      </c>
      <c r="Q1399" t="str">
        <f>IF(AND($P1399=1,$A1399=经营数据!$B$3,$J1399=经营数据!$BA$5),COUNTIFS($P$2:$P$3000,1,$A$2:$A$3000,$A1399,$J$2:$J$3000,$J1399,$N$2:$N$3000,"&lt;"&amp;$N1399)+1,"")</f>
        <v/>
      </c>
      <c r="R1399" t="str">
        <f t="shared" si="323"/>
        <v>中信建投首农食品集团封闭式商业不动产证券投资基金|龙德广场</v>
      </c>
      <c r="S1399">
        <f>IF($A1399="",0,IF(COUNTIF($R$2:$R1399,$R1399)=1,1,0))</f>
        <v>0</v>
      </c>
      <c r="T1399">
        <f t="shared" si="324"/>
        <v>1396</v>
      </c>
      <c r="U1399" t="str">
        <f>IF($A1399="","",IF($A1399=经营数据!$B$3,COUNTIFS($S$2:$S$3000,1,$A$2:$A$3000,$A1399,$T$2:$T$3000,"&lt;"&amp;$T1399)+1,""))</f>
        <v/>
      </c>
      <c r="V1399" t="str">
        <f t="shared" si="325"/>
        <v>龙德广场|服务价格</v>
      </c>
      <c r="W1399">
        <f t="shared" si="326"/>
        <v>1398</v>
      </c>
      <c r="X1399" t="str">
        <f t="shared" si="327"/>
        <v>龙德广场|期末平均租金单价（含税）</v>
      </c>
      <c r="Y1399">
        <f t="shared" si="328"/>
        <v>1398</v>
      </c>
      <c r="Z1399">
        <f>IF($A1399="",0,IF(AND($M1399=1,$A1399=经营数据!$B$3,$J1399=经营数据!$BA$5,OR($I1399=经营数据!$BA$4,COUNTIF(经营数据!$AA$9:$AA$38,$I1399)&gt;0)),1,0))</f>
        <v>0</v>
      </c>
      <c r="AA1399" t="str">
        <f t="shared" si="329"/>
        <v/>
      </c>
      <c r="AB1399" t="str">
        <f t="shared" si="330"/>
        <v/>
      </c>
      <c r="AC1399">
        <f>IF($A1399="",0,IF(COUNTIF($A$2:$A1399,$A1399)=1,1,0))</f>
        <v>0</v>
      </c>
      <c r="AD1399">
        <f t="shared" si="331"/>
        <v>16</v>
      </c>
      <c r="AE1399" t="str">
        <f t="shared" si="332"/>
        <v>龙德广场|期末平均租金单价（含税）（元/平方米/月）</v>
      </c>
    </row>
    <row r="1400" spans="1:31" x14ac:dyDescent="0.4">
      <c r="A1400" t="str">
        <f>IF(原始经营数据!$D1401="","",原始经营数据!$D1401)</f>
        <v>中信建投首农食品集团封闭式商业不动产证券投资基金</v>
      </c>
      <c r="B1400" t="str">
        <f>IF(原始经营数据!$D1401="","",T(原始经营数据!$E1401))</f>
        <v>龙德广场</v>
      </c>
      <c r="C1400" t="str">
        <f>IF(原始经营数据!$D1401="","",原始经营数据!$F1401)</f>
        <v>2024</v>
      </c>
      <c r="D1400" t="str">
        <f>IF(原始经营数据!$D1401="","",原始经营数据!$H1401)</f>
        <v>加权平均出租率</v>
      </c>
      <c r="E1400">
        <f>IF(原始经营数据!$D1401="","",原始经营数据!$I1401)</f>
        <v>79.38</v>
      </c>
      <c r="F1400" t="str">
        <f>IF(原始经营数据!$D1401="","",T(原始经营数据!$J1401))</f>
        <v>%</v>
      </c>
      <c r="G1400" t="str">
        <f>IF(原始经营数据!$D1401="","",T(原始经营数据!$K1401))</f>
        <v/>
      </c>
      <c r="H1400" t="str">
        <f>IF(原始经营数据!$D1401="","",原始经营数据!$G1401)</f>
        <v>服务效率</v>
      </c>
      <c r="I1400" t="str">
        <f>IF($A1400="","",IF($B1400&lt;&gt;"",$B1400,IF(COUNTIFS(原始经营数据!$D$3:$D$3001,$A1400,原始经营数据!$E$3:$E$3001,"",原始经营数据!$F$3:$F$3001,$C1400,原始经营数据!$H$3:$H$3001,$D1400,原始经营数据!$K$3:$K$3001,$G1400)&gt;1,"基金整体·来源"&amp;原始经营数据!$A1401,"基金整体")))</f>
        <v>龙德广场</v>
      </c>
      <c r="J1400" t="str">
        <f t="shared" si="318"/>
        <v>年度</v>
      </c>
      <c r="K1400" t="str">
        <f t="shared" si="319"/>
        <v>加权平均出租率（%）</v>
      </c>
      <c r="L1400" t="str">
        <f t="shared" si="320"/>
        <v>龙德广场|加权平均出租率（%）|年度</v>
      </c>
      <c r="M1400">
        <f>IF($A1400="",0,IF(COUNTIF($L$2:$L1400,$L1400)=1,1,0))</f>
        <v>0</v>
      </c>
      <c r="N1400">
        <f t="shared" si="321"/>
        <v>20240</v>
      </c>
      <c r="O1400" t="str">
        <f t="shared" si="322"/>
        <v>中信建投首农食品集团封闭式商业不动产证券投资基金|2024|年度</v>
      </c>
      <c r="P1400">
        <f>IF($A1400="",0,IF(COUNTIF($O$2:$O1400,$O1400)=1,1,0))</f>
        <v>1</v>
      </c>
      <c r="Q1400" t="str">
        <f>IF(AND($P1400=1,$A1400=经营数据!$B$3,$J1400=经营数据!$BA$5),COUNTIFS($P$2:$P$3000,1,$A$2:$A$3000,$A1400,$J$2:$J$3000,$J1400,$N$2:$N$3000,"&lt;"&amp;$N1400)+1,"")</f>
        <v/>
      </c>
      <c r="R1400" t="str">
        <f t="shared" si="323"/>
        <v>中信建投首农食品集团封闭式商业不动产证券投资基金|龙德广场</v>
      </c>
      <c r="S1400">
        <f>IF($A1400="",0,IF(COUNTIF($R$2:$R1400,$R1400)=1,1,0))</f>
        <v>0</v>
      </c>
      <c r="T1400">
        <f t="shared" si="324"/>
        <v>1396</v>
      </c>
      <c r="U1400" t="str">
        <f>IF($A1400="","",IF($A1400=经营数据!$B$3,COUNTIFS($S$2:$S$3000,1,$A$2:$A$3000,$A1400,$T$2:$T$3000,"&lt;"&amp;$T1400)+1,""))</f>
        <v/>
      </c>
      <c r="V1400" t="str">
        <f t="shared" si="325"/>
        <v>龙德广场|服务效率</v>
      </c>
      <c r="W1400">
        <f t="shared" si="326"/>
        <v>1396</v>
      </c>
      <c r="X1400" t="str">
        <f t="shared" si="327"/>
        <v>龙德广场|加权平均出租率</v>
      </c>
      <c r="Y1400">
        <f t="shared" si="328"/>
        <v>1397</v>
      </c>
      <c r="Z1400">
        <f>IF($A1400="",0,IF(AND($M1400=1,$A1400=经营数据!$B$3,$J1400=经营数据!$BA$5,OR($I1400=经营数据!$BA$4,COUNTIF(经营数据!$AA$9:$AA$38,$I1400)&gt;0)),1,0))</f>
        <v>0</v>
      </c>
      <c r="AA1400" t="str">
        <f t="shared" si="329"/>
        <v/>
      </c>
      <c r="AB1400" t="str">
        <f t="shared" si="330"/>
        <v/>
      </c>
      <c r="AC1400">
        <f>IF($A1400="",0,IF(COUNTIF($A$2:$A1400,$A1400)=1,1,0))</f>
        <v>0</v>
      </c>
      <c r="AD1400">
        <f t="shared" si="331"/>
        <v>16</v>
      </c>
      <c r="AE1400" t="str">
        <f t="shared" si="332"/>
        <v>龙德广场|加权平均出租率（%）</v>
      </c>
    </row>
    <row r="1401" spans="1:31" x14ac:dyDescent="0.4">
      <c r="A1401" t="str">
        <f>IF(原始经营数据!$D1402="","",原始经营数据!$D1402)</f>
        <v>中信建投首农食品集团封闭式商业不动产证券投资基金</v>
      </c>
      <c r="B1401" t="str">
        <f>IF(原始经营数据!$D1402="","",T(原始经营数据!$E1402))</f>
        <v>龙德广场</v>
      </c>
      <c r="C1401" t="str">
        <f>IF(原始经营数据!$D1402="","",原始经营数据!$F1402)</f>
        <v>2024</v>
      </c>
      <c r="D1401" t="str">
        <f>IF(原始经营数据!$D1402="","",原始经营数据!$H1402)</f>
        <v>期末平均租金单价（含税）</v>
      </c>
      <c r="E1401">
        <f>IF(原始经营数据!$D1402="","",原始经营数据!$I1402)</f>
        <v>156.41</v>
      </c>
      <c r="F1401" t="str">
        <f>IF(原始经营数据!$D1402="","",T(原始经营数据!$J1402))</f>
        <v>元/平方米/月</v>
      </c>
      <c r="G1401" t="str">
        <f>IF(原始经营数据!$D1402="","",T(原始经营数据!$K1402))</f>
        <v/>
      </c>
      <c r="H1401" t="str">
        <f>IF(原始经营数据!$D1402="","",原始经营数据!$G1402)</f>
        <v>服务价格</v>
      </c>
      <c r="I1401" t="str">
        <f>IF($A1401="","",IF($B1401&lt;&gt;"",$B1401,IF(COUNTIFS(原始经营数据!$D$3:$D$3001,$A1401,原始经营数据!$E$3:$E$3001,"",原始经营数据!$F$3:$F$3001,$C1401,原始经营数据!$H$3:$H$3001,$D1401,原始经营数据!$K$3:$K$3001,$G1401)&gt;1,"基金整体·来源"&amp;原始经营数据!$A1402,"基金整体")))</f>
        <v>龙德广场</v>
      </c>
      <c r="J1401" t="str">
        <f t="shared" si="318"/>
        <v>年度</v>
      </c>
      <c r="K1401" t="str">
        <f t="shared" si="319"/>
        <v>期末平均租金单价（含税）（元/平方米/月）</v>
      </c>
      <c r="L1401" t="str">
        <f t="shared" si="320"/>
        <v>龙德广场|期末平均租金单价（含税）（元/平方米/月）|年度</v>
      </c>
      <c r="M1401">
        <f>IF($A1401="",0,IF(COUNTIF($L$2:$L1401,$L1401)=1,1,0))</f>
        <v>0</v>
      </c>
      <c r="N1401">
        <f t="shared" si="321"/>
        <v>20240</v>
      </c>
      <c r="O1401" t="str">
        <f t="shared" si="322"/>
        <v>中信建投首农食品集团封闭式商业不动产证券投资基金|2024|年度</v>
      </c>
      <c r="P1401">
        <f>IF($A1401="",0,IF(COUNTIF($O$2:$O1401,$O1401)=1,1,0))</f>
        <v>0</v>
      </c>
      <c r="Q1401" t="str">
        <f>IF(AND($P1401=1,$A1401=经营数据!$B$3,$J1401=经营数据!$BA$5),COUNTIFS($P$2:$P$3000,1,$A$2:$A$3000,$A1401,$J$2:$J$3000,$J1401,$N$2:$N$3000,"&lt;"&amp;$N1401)+1,"")</f>
        <v/>
      </c>
      <c r="R1401" t="str">
        <f t="shared" si="323"/>
        <v>中信建投首农食品集团封闭式商业不动产证券投资基金|龙德广场</v>
      </c>
      <c r="S1401">
        <f>IF($A1401="",0,IF(COUNTIF($R$2:$R1401,$R1401)=1,1,0))</f>
        <v>0</v>
      </c>
      <c r="T1401">
        <f t="shared" si="324"/>
        <v>1396</v>
      </c>
      <c r="U1401" t="str">
        <f>IF($A1401="","",IF($A1401=经营数据!$B$3,COUNTIFS($S$2:$S$3000,1,$A$2:$A$3000,$A1401,$T$2:$T$3000,"&lt;"&amp;$T1401)+1,""))</f>
        <v/>
      </c>
      <c r="V1401" t="str">
        <f t="shared" si="325"/>
        <v>龙德广场|服务价格</v>
      </c>
      <c r="W1401">
        <f t="shared" si="326"/>
        <v>1398</v>
      </c>
      <c r="X1401" t="str">
        <f t="shared" si="327"/>
        <v>龙德广场|期末平均租金单价（含税）</v>
      </c>
      <c r="Y1401">
        <f t="shared" si="328"/>
        <v>1398</v>
      </c>
      <c r="Z1401">
        <f>IF($A1401="",0,IF(AND($M1401=1,$A1401=经营数据!$B$3,$J1401=经营数据!$BA$5,OR($I1401=经营数据!$BA$4,COUNTIF(经营数据!$AA$9:$AA$38,$I1401)&gt;0)),1,0))</f>
        <v>0</v>
      </c>
      <c r="AA1401" t="str">
        <f t="shared" si="329"/>
        <v/>
      </c>
      <c r="AB1401" t="str">
        <f t="shared" si="330"/>
        <v/>
      </c>
      <c r="AC1401">
        <f>IF($A1401="",0,IF(COUNTIF($A$2:$A1401,$A1401)=1,1,0))</f>
        <v>0</v>
      </c>
      <c r="AD1401">
        <f t="shared" si="331"/>
        <v>16</v>
      </c>
      <c r="AE1401" t="str">
        <f t="shared" si="332"/>
        <v>龙德广场|期末平均租金单价（含税）（元/平方米/月）</v>
      </c>
    </row>
    <row r="1402" spans="1:31" x14ac:dyDescent="0.4">
      <c r="A1402" t="str">
        <f>IF(原始经营数据!$D1403="","",原始经营数据!$D1403)</f>
        <v>中信建投首农食品集团封闭式商业不动产证券投资基金</v>
      </c>
      <c r="B1402" t="str">
        <f>IF(原始经营数据!$D1403="","",T(原始经营数据!$E1403))</f>
        <v>龙德广场</v>
      </c>
      <c r="C1402" t="str">
        <f>IF(原始经营数据!$D1403="","",原始经营数据!$F1403)</f>
        <v>2024</v>
      </c>
      <c r="D1402" t="str">
        <f>IF(原始经营数据!$D1403="","",原始经营数据!$H1403)</f>
        <v>期末出租率</v>
      </c>
      <c r="E1402">
        <f>IF(原始经营数据!$D1403="","",原始经营数据!$I1403)</f>
        <v>99.51</v>
      </c>
      <c r="F1402" t="str">
        <f>IF(原始经营数据!$D1403="","",T(原始经营数据!$J1403))</f>
        <v>%</v>
      </c>
      <c r="G1402" t="str">
        <f>IF(原始经营数据!$D1403="","",T(原始经营数据!$K1403))</f>
        <v/>
      </c>
      <c r="H1402" t="str">
        <f>IF(原始经营数据!$D1403="","",原始经营数据!$G1403)</f>
        <v>服务效率</v>
      </c>
      <c r="I1402" t="str">
        <f>IF($A1402="","",IF($B1402&lt;&gt;"",$B1402,IF(COUNTIFS(原始经营数据!$D$3:$D$3001,$A1402,原始经营数据!$E$3:$E$3001,"",原始经营数据!$F$3:$F$3001,$C1402,原始经营数据!$H$3:$H$3001,$D1402,原始经营数据!$K$3:$K$3001,$G1402)&gt;1,"基金整体·来源"&amp;原始经营数据!$A1403,"基金整体")))</f>
        <v>龙德广场</v>
      </c>
      <c r="J1402" t="str">
        <f t="shared" si="318"/>
        <v>年度</v>
      </c>
      <c r="K1402" t="str">
        <f t="shared" si="319"/>
        <v>期末出租率（%）</v>
      </c>
      <c r="L1402" t="str">
        <f t="shared" si="320"/>
        <v>龙德广场|期末出租率（%）|年度</v>
      </c>
      <c r="M1402">
        <f>IF($A1402="",0,IF(COUNTIF($L$2:$L1402,$L1402)=1,1,0))</f>
        <v>0</v>
      </c>
      <c r="N1402">
        <f t="shared" si="321"/>
        <v>20240</v>
      </c>
      <c r="O1402" t="str">
        <f t="shared" si="322"/>
        <v>中信建投首农食品集团封闭式商业不动产证券投资基金|2024|年度</v>
      </c>
      <c r="P1402">
        <f>IF($A1402="",0,IF(COUNTIF($O$2:$O1402,$O1402)=1,1,0))</f>
        <v>0</v>
      </c>
      <c r="Q1402" t="str">
        <f>IF(AND($P1402=1,$A1402=经营数据!$B$3,$J1402=经营数据!$BA$5),COUNTIFS($P$2:$P$3000,1,$A$2:$A$3000,$A1402,$J$2:$J$3000,$J1402,$N$2:$N$3000,"&lt;"&amp;$N1402)+1,"")</f>
        <v/>
      </c>
      <c r="R1402" t="str">
        <f t="shared" si="323"/>
        <v>中信建投首农食品集团封闭式商业不动产证券投资基金|龙德广场</v>
      </c>
      <c r="S1402">
        <f>IF($A1402="",0,IF(COUNTIF($R$2:$R1402,$R1402)=1,1,0))</f>
        <v>0</v>
      </c>
      <c r="T1402">
        <f t="shared" si="324"/>
        <v>1396</v>
      </c>
      <c r="U1402" t="str">
        <f>IF($A1402="","",IF($A1402=经营数据!$B$3,COUNTIFS($S$2:$S$3000,1,$A$2:$A$3000,$A1402,$T$2:$T$3000,"&lt;"&amp;$T1402)+1,""))</f>
        <v/>
      </c>
      <c r="V1402" t="str">
        <f t="shared" si="325"/>
        <v>龙德广场|服务效率</v>
      </c>
      <c r="W1402">
        <f t="shared" si="326"/>
        <v>1396</v>
      </c>
      <c r="X1402" t="str">
        <f t="shared" si="327"/>
        <v>龙德广场|期末出租率</v>
      </c>
      <c r="Y1402">
        <f t="shared" si="328"/>
        <v>1396</v>
      </c>
      <c r="Z1402">
        <f>IF($A1402="",0,IF(AND($M1402=1,$A1402=经营数据!$B$3,$J1402=经营数据!$BA$5,OR($I1402=经营数据!$BA$4,COUNTIF(经营数据!$AA$9:$AA$38,$I1402)&gt;0)),1,0))</f>
        <v>0</v>
      </c>
      <c r="AA1402" t="str">
        <f t="shared" si="329"/>
        <v/>
      </c>
      <c r="AB1402" t="str">
        <f t="shared" si="330"/>
        <v/>
      </c>
      <c r="AC1402">
        <f>IF($A1402="",0,IF(COUNTIF($A$2:$A1402,$A1402)=1,1,0))</f>
        <v>0</v>
      </c>
      <c r="AD1402">
        <f t="shared" si="331"/>
        <v>16</v>
      </c>
      <c r="AE1402" t="str">
        <f t="shared" si="332"/>
        <v>龙德广场|期末出租率（%）</v>
      </c>
    </row>
    <row r="1403" spans="1:31" x14ac:dyDescent="0.4">
      <c r="A1403" t="str">
        <f>IF(原始经营数据!$D1404="","",原始经营数据!$D1404)</f>
        <v>中信建投首农食品集团封闭式商业不动产证券投资基金</v>
      </c>
      <c r="B1403" t="str">
        <f>IF(原始经营数据!$D1404="","",T(原始经营数据!$E1404))</f>
        <v>龙德广场</v>
      </c>
      <c r="C1403" t="str">
        <f>IF(原始经营数据!$D1404="","",原始经营数据!$F1404)</f>
        <v>2025</v>
      </c>
      <c r="D1403" t="str">
        <f>IF(原始经营数据!$D1404="","",原始经营数据!$H1404)</f>
        <v>期末出租率</v>
      </c>
      <c r="E1403">
        <f>IF(原始经营数据!$D1404="","",原始经营数据!$I1404)</f>
        <v>98.26</v>
      </c>
      <c r="F1403" t="str">
        <f>IF(原始经营数据!$D1404="","",T(原始经营数据!$J1404))</f>
        <v>%</v>
      </c>
      <c r="G1403" t="str">
        <f>IF(原始经营数据!$D1404="","",T(原始经营数据!$K1404))</f>
        <v/>
      </c>
      <c r="H1403" t="str">
        <f>IF(原始经营数据!$D1404="","",原始经营数据!$G1404)</f>
        <v>服务效率</v>
      </c>
      <c r="I1403" t="str">
        <f>IF($A1403="","",IF($B1403&lt;&gt;"",$B1403,IF(COUNTIFS(原始经营数据!$D$3:$D$3001,$A1403,原始经营数据!$E$3:$E$3001,"",原始经营数据!$F$3:$F$3001,$C1403,原始经营数据!$H$3:$H$3001,$D1403,原始经营数据!$K$3:$K$3001,$G1403)&gt;1,"基金整体·来源"&amp;原始经营数据!$A1404,"基金整体")))</f>
        <v>龙德广场</v>
      </c>
      <c r="J1403" t="str">
        <f t="shared" si="318"/>
        <v>年度</v>
      </c>
      <c r="K1403" t="str">
        <f t="shared" si="319"/>
        <v>期末出租率（%）</v>
      </c>
      <c r="L1403" t="str">
        <f t="shared" si="320"/>
        <v>龙德广场|期末出租率（%）|年度</v>
      </c>
      <c r="M1403">
        <f>IF($A1403="",0,IF(COUNTIF($L$2:$L1403,$L1403)=1,1,0))</f>
        <v>0</v>
      </c>
      <c r="N1403">
        <f t="shared" si="321"/>
        <v>20250</v>
      </c>
      <c r="O1403" t="str">
        <f t="shared" si="322"/>
        <v>中信建投首农食品集团封闭式商业不动产证券投资基金|2025|年度</v>
      </c>
      <c r="P1403">
        <f>IF($A1403="",0,IF(COUNTIF($O$2:$O1403,$O1403)=1,1,0))</f>
        <v>1</v>
      </c>
      <c r="Q1403" t="str">
        <f>IF(AND($P1403=1,$A1403=经营数据!$B$3,$J1403=经营数据!$BA$5),COUNTIFS($P$2:$P$3000,1,$A$2:$A$3000,$A1403,$J$2:$J$3000,$J1403,$N$2:$N$3000,"&lt;"&amp;$N1403)+1,"")</f>
        <v/>
      </c>
      <c r="R1403" t="str">
        <f t="shared" si="323"/>
        <v>中信建投首农食品集团封闭式商业不动产证券投资基金|龙德广场</v>
      </c>
      <c r="S1403">
        <f>IF($A1403="",0,IF(COUNTIF($R$2:$R1403,$R1403)=1,1,0))</f>
        <v>0</v>
      </c>
      <c r="T1403">
        <f t="shared" si="324"/>
        <v>1396</v>
      </c>
      <c r="U1403" t="str">
        <f>IF($A1403="","",IF($A1403=经营数据!$B$3,COUNTIFS($S$2:$S$3000,1,$A$2:$A$3000,$A1403,$T$2:$T$3000,"&lt;"&amp;$T1403)+1,""))</f>
        <v/>
      </c>
      <c r="V1403" t="str">
        <f t="shared" si="325"/>
        <v>龙德广场|服务效率</v>
      </c>
      <c r="W1403">
        <f t="shared" si="326"/>
        <v>1396</v>
      </c>
      <c r="X1403" t="str">
        <f t="shared" si="327"/>
        <v>龙德广场|期末出租率</v>
      </c>
      <c r="Y1403">
        <f t="shared" si="328"/>
        <v>1396</v>
      </c>
      <c r="Z1403">
        <f>IF($A1403="",0,IF(AND($M1403=1,$A1403=经营数据!$B$3,$J1403=经营数据!$BA$5,OR($I1403=经营数据!$BA$4,COUNTIF(经营数据!$AA$9:$AA$38,$I1403)&gt;0)),1,0))</f>
        <v>0</v>
      </c>
      <c r="AA1403" t="str">
        <f t="shared" si="329"/>
        <v/>
      </c>
      <c r="AB1403" t="str">
        <f t="shared" si="330"/>
        <v/>
      </c>
      <c r="AC1403">
        <f>IF($A1403="",0,IF(COUNTIF($A$2:$A1403,$A1403)=1,1,0))</f>
        <v>0</v>
      </c>
      <c r="AD1403">
        <f t="shared" si="331"/>
        <v>16</v>
      </c>
      <c r="AE1403" t="str">
        <f t="shared" si="332"/>
        <v>龙德广场|期末出租率（%）</v>
      </c>
    </row>
    <row r="1404" spans="1:31" x14ac:dyDescent="0.4">
      <c r="A1404" t="str">
        <f>IF(原始经营数据!$D1405="","",原始经营数据!$D1405)</f>
        <v>中信建投首农食品集团封闭式商业不动产证券投资基金</v>
      </c>
      <c r="B1404" t="str">
        <f>IF(原始经营数据!$D1405="","",T(原始经营数据!$E1405))</f>
        <v>龙德广场</v>
      </c>
      <c r="C1404" t="str">
        <f>IF(原始经营数据!$D1405="","",原始经营数据!$F1405)</f>
        <v>2025</v>
      </c>
      <c r="D1404" t="str">
        <f>IF(原始经营数据!$D1405="","",原始经营数据!$H1405)</f>
        <v>加权平均出租率</v>
      </c>
      <c r="E1404">
        <f>IF(原始经营数据!$D1405="","",原始经营数据!$I1405)</f>
        <v>96.89</v>
      </c>
      <c r="F1404" t="str">
        <f>IF(原始经营数据!$D1405="","",T(原始经营数据!$J1405))</f>
        <v>%</v>
      </c>
      <c r="G1404" t="str">
        <f>IF(原始经营数据!$D1405="","",T(原始经营数据!$K1405))</f>
        <v/>
      </c>
      <c r="H1404" t="str">
        <f>IF(原始经营数据!$D1405="","",原始经营数据!$G1405)</f>
        <v>服务效率</v>
      </c>
      <c r="I1404" t="str">
        <f>IF($A1404="","",IF($B1404&lt;&gt;"",$B1404,IF(COUNTIFS(原始经营数据!$D$3:$D$3001,$A1404,原始经营数据!$E$3:$E$3001,"",原始经营数据!$F$3:$F$3001,$C1404,原始经营数据!$H$3:$H$3001,$D1404,原始经营数据!$K$3:$K$3001,$G1404)&gt;1,"基金整体·来源"&amp;原始经营数据!$A1405,"基金整体")))</f>
        <v>龙德广场</v>
      </c>
      <c r="J1404" t="str">
        <f t="shared" si="318"/>
        <v>年度</v>
      </c>
      <c r="K1404" t="str">
        <f t="shared" si="319"/>
        <v>加权平均出租率（%）</v>
      </c>
      <c r="L1404" t="str">
        <f t="shared" si="320"/>
        <v>龙德广场|加权平均出租率（%）|年度</v>
      </c>
      <c r="M1404">
        <f>IF($A1404="",0,IF(COUNTIF($L$2:$L1404,$L1404)=1,1,0))</f>
        <v>0</v>
      </c>
      <c r="N1404">
        <f t="shared" si="321"/>
        <v>20250</v>
      </c>
      <c r="O1404" t="str">
        <f t="shared" si="322"/>
        <v>中信建投首农食品集团封闭式商业不动产证券投资基金|2025|年度</v>
      </c>
      <c r="P1404">
        <f>IF($A1404="",0,IF(COUNTIF($O$2:$O1404,$O1404)=1,1,0))</f>
        <v>0</v>
      </c>
      <c r="Q1404" t="str">
        <f>IF(AND($P1404=1,$A1404=经营数据!$B$3,$J1404=经营数据!$BA$5),COUNTIFS($P$2:$P$3000,1,$A$2:$A$3000,$A1404,$J$2:$J$3000,$J1404,$N$2:$N$3000,"&lt;"&amp;$N1404)+1,"")</f>
        <v/>
      </c>
      <c r="R1404" t="str">
        <f t="shared" si="323"/>
        <v>中信建投首农食品集团封闭式商业不动产证券投资基金|龙德广场</v>
      </c>
      <c r="S1404">
        <f>IF($A1404="",0,IF(COUNTIF($R$2:$R1404,$R1404)=1,1,0))</f>
        <v>0</v>
      </c>
      <c r="T1404">
        <f t="shared" si="324"/>
        <v>1396</v>
      </c>
      <c r="U1404" t="str">
        <f>IF($A1404="","",IF($A1404=经营数据!$B$3,COUNTIFS($S$2:$S$3000,1,$A$2:$A$3000,$A1404,$T$2:$T$3000,"&lt;"&amp;$T1404)+1,""))</f>
        <v/>
      </c>
      <c r="V1404" t="str">
        <f t="shared" si="325"/>
        <v>龙德广场|服务效率</v>
      </c>
      <c r="W1404">
        <f t="shared" si="326"/>
        <v>1396</v>
      </c>
      <c r="X1404" t="str">
        <f t="shared" si="327"/>
        <v>龙德广场|加权平均出租率</v>
      </c>
      <c r="Y1404">
        <f t="shared" si="328"/>
        <v>1397</v>
      </c>
      <c r="Z1404">
        <f>IF($A1404="",0,IF(AND($M1404=1,$A1404=经营数据!$B$3,$J1404=经营数据!$BA$5,OR($I1404=经营数据!$BA$4,COUNTIF(经营数据!$AA$9:$AA$38,$I1404)&gt;0)),1,0))</f>
        <v>0</v>
      </c>
      <c r="AA1404" t="str">
        <f t="shared" si="329"/>
        <v/>
      </c>
      <c r="AB1404" t="str">
        <f t="shared" si="330"/>
        <v/>
      </c>
      <c r="AC1404">
        <f>IF($A1404="",0,IF(COUNTIF($A$2:$A1404,$A1404)=1,1,0))</f>
        <v>0</v>
      </c>
      <c r="AD1404">
        <f t="shared" si="331"/>
        <v>16</v>
      </c>
      <c r="AE1404" t="str">
        <f t="shared" si="332"/>
        <v>龙德广场|加权平均出租率（%）</v>
      </c>
    </row>
    <row r="1405" spans="1:31" x14ac:dyDescent="0.4">
      <c r="A1405" t="str">
        <f>IF(原始经营数据!$D1406="","",原始经营数据!$D1406)</f>
        <v>中信建投首农食品集团封闭式商业不动产证券投资基金</v>
      </c>
      <c r="B1405" t="str">
        <f>IF(原始经营数据!$D1406="","",T(原始经营数据!$E1406))</f>
        <v>龙德广场</v>
      </c>
      <c r="C1405" t="str">
        <f>IF(原始经营数据!$D1406="","",原始经营数据!$F1406)</f>
        <v>2025</v>
      </c>
      <c r="D1405" t="str">
        <f>IF(原始经营数据!$D1406="","",原始经营数据!$H1406)</f>
        <v>期末平均租金单价（含税）</v>
      </c>
      <c r="E1405">
        <f>IF(原始经营数据!$D1406="","",原始经营数据!$I1406)</f>
        <v>145.9</v>
      </c>
      <c r="F1405" t="str">
        <f>IF(原始经营数据!$D1406="","",T(原始经营数据!$J1406))</f>
        <v>元/平方米/月</v>
      </c>
      <c r="G1405" t="str">
        <f>IF(原始经营数据!$D1406="","",T(原始经营数据!$K1406))</f>
        <v/>
      </c>
      <c r="H1405" t="str">
        <f>IF(原始经营数据!$D1406="","",原始经营数据!$G1406)</f>
        <v>服务价格</v>
      </c>
      <c r="I1405" t="str">
        <f>IF($A1405="","",IF($B1405&lt;&gt;"",$B1405,IF(COUNTIFS(原始经营数据!$D$3:$D$3001,$A1405,原始经营数据!$E$3:$E$3001,"",原始经营数据!$F$3:$F$3001,$C1405,原始经营数据!$H$3:$H$3001,$D1405,原始经营数据!$K$3:$K$3001,$G1405)&gt;1,"基金整体·来源"&amp;原始经营数据!$A1406,"基金整体")))</f>
        <v>龙德广场</v>
      </c>
      <c r="J1405" t="str">
        <f t="shared" si="318"/>
        <v>年度</v>
      </c>
      <c r="K1405" t="str">
        <f t="shared" si="319"/>
        <v>期末平均租金单价（含税）（元/平方米/月）</v>
      </c>
      <c r="L1405" t="str">
        <f t="shared" si="320"/>
        <v>龙德广场|期末平均租金单价（含税）（元/平方米/月）|年度</v>
      </c>
      <c r="M1405">
        <f>IF($A1405="",0,IF(COUNTIF($L$2:$L1405,$L1405)=1,1,0))</f>
        <v>0</v>
      </c>
      <c r="N1405">
        <f t="shared" si="321"/>
        <v>20250</v>
      </c>
      <c r="O1405" t="str">
        <f t="shared" si="322"/>
        <v>中信建投首农食品集团封闭式商业不动产证券投资基金|2025|年度</v>
      </c>
      <c r="P1405">
        <f>IF($A1405="",0,IF(COUNTIF($O$2:$O1405,$O1405)=1,1,0))</f>
        <v>0</v>
      </c>
      <c r="Q1405" t="str">
        <f>IF(AND($P1405=1,$A1405=经营数据!$B$3,$J1405=经营数据!$BA$5),COUNTIFS($P$2:$P$3000,1,$A$2:$A$3000,$A1405,$J$2:$J$3000,$J1405,$N$2:$N$3000,"&lt;"&amp;$N1405)+1,"")</f>
        <v/>
      </c>
      <c r="R1405" t="str">
        <f t="shared" si="323"/>
        <v>中信建投首农食品集团封闭式商业不动产证券投资基金|龙德广场</v>
      </c>
      <c r="S1405">
        <f>IF($A1405="",0,IF(COUNTIF($R$2:$R1405,$R1405)=1,1,0))</f>
        <v>0</v>
      </c>
      <c r="T1405">
        <f t="shared" si="324"/>
        <v>1396</v>
      </c>
      <c r="U1405" t="str">
        <f>IF($A1405="","",IF($A1405=经营数据!$B$3,COUNTIFS($S$2:$S$3000,1,$A$2:$A$3000,$A1405,$T$2:$T$3000,"&lt;"&amp;$T1405)+1,""))</f>
        <v/>
      </c>
      <c r="V1405" t="str">
        <f t="shared" si="325"/>
        <v>龙德广场|服务价格</v>
      </c>
      <c r="W1405">
        <f t="shared" si="326"/>
        <v>1398</v>
      </c>
      <c r="X1405" t="str">
        <f t="shared" si="327"/>
        <v>龙德广场|期末平均租金单价（含税）</v>
      </c>
      <c r="Y1405">
        <f t="shared" si="328"/>
        <v>1398</v>
      </c>
      <c r="Z1405">
        <f>IF($A1405="",0,IF(AND($M1405=1,$A1405=经营数据!$B$3,$J1405=经营数据!$BA$5,OR($I1405=经营数据!$BA$4,COUNTIF(经营数据!$AA$9:$AA$38,$I1405)&gt;0)),1,0))</f>
        <v>0</v>
      </c>
      <c r="AA1405" t="str">
        <f t="shared" si="329"/>
        <v/>
      </c>
      <c r="AB1405" t="str">
        <f t="shared" si="330"/>
        <v/>
      </c>
      <c r="AC1405">
        <f>IF($A1405="",0,IF(COUNTIF($A$2:$A1405,$A1405)=1,1,0))</f>
        <v>0</v>
      </c>
      <c r="AD1405">
        <f t="shared" si="331"/>
        <v>16</v>
      </c>
      <c r="AE1405" t="str">
        <f t="shared" si="332"/>
        <v>龙德广场|期末平均租金单价（含税）（元/平方米/月）</v>
      </c>
    </row>
    <row r="1406" spans="1:31" x14ac:dyDescent="0.4">
      <c r="A1406" t="str">
        <f>IF(原始经营数据!$D1407="","",原始经营数据!$D1407)</f>
        <v>创金合信北京国资封闭式商业不动产证券投资基金</v>
      </c>
      <c r="B1406" t="str">
        <f>IF(原始经营数据!$D1407="","",T(原始经营数据!$E1407))</f>
        <v>隆福寺一期项目</v>
      </c>
      <c r="C1406" t="str">
        <f>IF(原始经营数据!$D1407="","",原始经营数据!$F1407)</f>
        <v>2023</v>
      </c>
      <c r="D1406" t="str">
        <f>IF(原始经营数据!$D1407="","",原始经营数据!$H1407)</f>
        <v>租金收缴率</v>
      </c>
      <c r="E1406">
        <f>IF(原始经营数据!$D1407="","",原始经营数据!$I1407)</f>
        <v>100</v>
      </c>
      <c r="F1406" t="str">
        <f>IF(原始经营数据!$D1407="","",T(原始经营数据!$J1407))</f>
        <v>%</v>
      </c>
      <c r="G1406" t="str">
        <f>IF(原始经营数据!$D1407="","",T(原始经营数据!$K1407))</f>
        <v/>
      </c>
      <c r="H1406" t="str">
        <f>IF(原始经营数据!$D1407="","",原始经营数据!$G1407)</f>
        <v>服务效率</v>
      </c>
      <c r="I1406" t="str">
        <f>IF($A1406="","",IF($B1406&lt;&gt;"",$B1406,IF(COUNTIFS(原始经营数据!$D$3:$D$3001,$A1406,原始经营数据!$E$3:$E$3001,"",原始经营数据!$F$3:$F$3001,$C1406,原始经营数据!$H$3:$H$3001,$D1406,原始经营数据!$K$3:$K$3001,$G1406)&gt;1,"基金整体·来源"&amp;原始经营数据!$A1407,"基金整体")))</f>
        <v>隆福寺一期项目</v>
      </c>
      <c r="J1406" t="str">
        <f t="shared" si="318"/>
        <v>年度</v>
      </c>
      <c r="K1406" t="str">
        <f t="shared" si="319"/>
        <v>租金收缴率（%）</v>
      </c>
      <c r="L1406" t="str">
        <f t="shared" si="320"/>
        <v>隆福寺一期项目|租金收缴率（%）|年度</v>
      </c>
      <c r="M1406">
        <f>IF($A1406="",0,IF(COUNTIF($L$2:$L1406,$L1406)=1,1,0))</f>
        <v>1</v>
      </c>
      <c r="N1406">
        <f t="shared" si="321"/>
        <v>20230</v>
      </c>
      <c r="O1406" t="str">
        <f t="shared" si="322"/>
        <v>创金合信北京国资封闭式商业不动产证券投资基金|2023|年度</v>
      </c>
      <c r="P1406">
        <f>IF($A1406="",0,IF(COUNTIF($O$2:$O1406,$O1406)=1,1,0))</f>
        <v>1</v>
      </c>
      <c r="Q1406" t="str">
        <f>IF(AND($P1406=1,$A1406=经营数据!$B$3,$J1406=经营数据!$BA$5),COUNTIFS($P$2:$P$3000,1,$A$2:$A$3000,$A1406,$J$2:$J$3000,$J1406,$N$2:$N$3000,"&lt;"&amp;$N1406)+1,"")</f>
        <v/>
      </c>
      <c r="R1406" t="str">
        <f t="shared" si="323"/>
        <v>创金合信北京国资封闭式商业不动产证券投资基金|隆福寺一期项目</v>
      </c>
      <c r="S1406">
        <f>IF($A1406="",0,IF(COUNTIF($R$2:$R1406,$R1406)=1,1,0))</f>
        <v>1</v>
      </c>
      <c r="T1406">
        <f t="shared" si="324"/>
        <v>1405</v>
      </c>
      <c r="U1406" t="str">
        <f>IF($A1406="","",IF($A1406=经营数据!$B$3,COUNTIFS($S$2:$S$3000,1,$A$2:$A$3000,$A1406,$T$2:$T$3000,"&lt;"&amp;$T1406)+1,""))</f>
        <v/>
      </c>
      <c r="V1406" t="str">
        <f t="shared" si="325"/>
        <v>隆福寺一期项目|服务效率</v>
      </c>
      <c r="W1406">
        <f t="shared" si="326"/>
        <v>1405</v>
      </c>
      <c r="X1406" t="str">
        <f t="shared" si="327"/>
        <v>隆福寺一期项目|租金收缴率</v>
      </c>
      <c r="Y1406">
        <f t="shared" si="328"/>
        <v>1405</v>
      </c>
      <c r="Z1406">
        <f>IF($A1406="",0,IF(AND($M1406=1,$A1406=经营数据!$B$3,$J1406=经营数据!$BA$5,OR($I1406=经营数据!$BA$4,COUNTIF(经营数据!$AA$9:$AA$38,$I1406)&gt;0)),1,0))</f>
        <v>0</v>
      </c>
      <c r="AA1406" t="str">
        <f t="shared" si="329"/>
        <v/>
      </c>
      <c r="AB1406" t="str">
        <f t="shared" si="330"/>
        <v/>
      </c>
      <c r="AC1406">
        <f>IF($A1406="",0,IF(COUNTIF($A$2:$A1406,$A1406)=1,1,0))</f>
        <v>1</v>
      </c>
      <c r="AD1406">
        <f t="shared" si="331"/>
        <v>17</v>
      </c>
      <c r="AE1406" t="str">
        <f t="shared" si="332"/>
        <v>隆福寺一期项目|租金收缴率（%）</v>
      </c>
    </row>
    <row r="1407" spans="1:31" x14ac:dyDescent="0.4">
      <c r="A1407" t="str">
        <f>IF(原始经营数据!$D1408="","",原始经营数据!$D1408)</f>
        <v>创金合信北京国资封闭式商业不动产证券投资基金</v>
      </c>
      <c r="B1407" t="str">
        <f>IF(原始经营数据!$D1408="","",T(原始经营数据!$E1408))</f>
        <v>隆福寺一期项目</v>
      </c>
      <c r="C1407" t="str">
        <f>IF(原始经营数据!$D1408="","",原始经营数据!$F1408)</f>
        <v>2023</v>
      </c>
      <c r="D1407" t="str">
        <f>IF(原始经营数据!$D1408="","",原始经营数据!$H1408)</f>
        <v>平均租金单价</v>
      </c>
      <c r="E1407">
        <f>IF(原始经营数据!$D1408="","",原始经营数据!$I1408)</f>
        <v>7.52</v>
      </c>
      <c r="F1407" t="str">
        <f>IF(原始经营数据!$D1408="","",T(原始经营数据!$J1408))</f>
        <v>元/平方米/天</v>
      </c>
      <c r="G1407" t="str">
        <f>IF(原始经营数据!$D1408="","",T(原始经营数据!$K1408))</f>
        <v/>
      </c>
      <c r="H1407" t="str">
        <f>IF(原始经营数据!$D1408="","",原始经营数据!$G1408)</f>
        <v>服务价格</v>
      </c>
      <c r="I1407" t="str">
        <f>IF($A1407="","",IF($B1407&lt;&gt;"",$B1407,IF(COUNTIFS(原始经营数据!$D$3:$D$3001,$A1407,原始经营数据!$E$3:$E$3001,"",原始经营数据!$F$3:$F$3001,$C1407,原始经营数据!$H$3:$H$3001,$D1407,原始经营数据!$K$3:$K$3001,$G1407)&gt;1,"基金整体·来源"&amp;原始经营数据!$A1408,"基金整体")))</f>
        <v>隆福寺一期项目</v>
      </c>
      <c r="J1407" t="str">
        <f t="shared" si="318"/>
        <v>年度</v>
      </c>
      <c r="K1407" t="str">
        <f t="shared" si="319"/>
        <v>平均租金单价（元/平方米/天）</v>
      </c>
      <c r="L1407" t="str">
        <f t="shared" si="320"/>
        <v>隆福寺一期项目|平均租金单价（元/平方米/天）|年度</v>
      </c>
      <c r="M1407">
        <f>IF($A1407="",0,IF(COUNTIF($L$2:$L1407,$L1407)=1,1,0))</f>
        <v>1</v>
      </c>
      <c r="N1407">
        <f t="shared" si="321"/>
        <v>20230</v>
      </c>
      <c r="O1407" t="str">
        <f t="shared" si="322"/>
        <v>创金合信北京国资封闭式商业不动产证券投资基金|2023|年度</v>
      </c>
      <c r="P1407">
        <f>IF($A1407="",0,IF(COUNTIF($O$2:$O1407,$O1407)=1,1,0))</f>
        <v>0</v>
      </c>
      <c r="Q1407" t="str">
        <f>IF(AND($P1407=1,$A1407=经营数据!$B$3,$J1407=经营数据!$BA$5),COUNTIFS($P$2:$P$3000,1,$A$2:$A$3000,$A1407,$J$2:$J$3000,$J1407,$N$2:$N$3000,"&lt;"&amp;$N1407)+1,"")</f>
        <v/>
      </c>
      <c r="R1407" t="str">
        <f t="shared" si="323"/>
        <v>创金合信北京国资封闭式商业不动产证券投资基金|隆福寺一期项目</v>
      </c>
      <c r="S1407">
        <f>IF($A1407="",0,IF(COUNTIF($R$2:$R1407,$R1407)=1,1,0))</f>
        <v>0</v>
      </c>
      <c r="T1407">
        <f t="shared" si="324"/>
        <v>1405</v>
      </c>
      <c r="U1407" t="str">
        <f>IF($A1407="","",IF($A1407=经营数据!$B$3,COUNTIFS($S$2:$S$3000,1,$A$2:$A$3000,$A1407,$T$2:$T$3000,"&lt;"&amp;$T1407)+1,""))</f>
        <v/>
      </c>
      <c r="V1407" t="str">
        <f t="shared" si="325"/>
        <v>隆福寺一期项目|服务价格</v>
      </c>
      <c r="W1407">
        <f t="shared" si="326"/>
        <v>1406</v>
      </c>
      <c r="X1407" t="str">
        <f t="shared" si="327"/>
        <v>隆福寺一期项目|平均租金单价</v>
      </c>
      <c r="Y1407">
        <f t="shared" si="328"/>
        <v>1406</v>
      </c>
      <c r="Z1407">
        <f>IF($A1407="",0,IF(AND($M1407=1,$A1407=经营数据!$B$3,$J1407=经营数据!$BA$5,OR($I1407=经营数据!$BA$4,COUNTIF(经营数据!$AA$9:$AA$38,$I1407)&gt;0)),1,0))</f>
        <v>0</v>
      </c>
      <c r="AA1407" t="str">
        <f t="shared" si="329"/>
        <v/>
      </c>
      <c r="AB1407" t="str">
        <f t="shared" si="330"/>
        <v/>
      </c>
      <c r="AC1407">
        <f>IF($A1407="",0,IF(COUNTIF($A$2:$A1407,$A1407)=1,1,0))</f>
        <v>0</v>
      </c>
      <c r="AD1407">
        <f t="shared" si="331"/>
        <v>17</v>
      </c>
      <c r="AE1407" t="str">
        <f t="shared" si="332"/>
        <v>隆福寺一期项目|平均租金单价（元/平方米/天）</v>
      </c>
    </row>
    <row r="1408" spans="1:31" x14ac:dyDescent="0.4">
      <c r="A1408" t="str">
        <f>IF(原始经营数据!$D1409="","",原始经营数据!$D1409)</f>
        <v>创金合信北京国资封闭式商业不动产证券投资基金</v>
      </c>
      <c r="B1408" t="str">
        <f>IF(原始经营数据!$D1409="","",T(原始经营数据!$E1409))</f>
        <v>隆福寺一期项目</v>
      </c>
      <c r="C1408" t="str">
        <f>IF(原始经营数据!$D1409="","",原始经营数据!$F1409)</f>
        <v>2023</v>
      </c>
      <c r="D1408" t="str">
        <f>IF(原始经营数据!$D1409="","",原始经营数据!$H1409)</f>
        <v>加权平均出租率</v>
      </c>
      <c r="E1408">
        <f>IF(原始经营数据!$D1409="","",原始经营数据!$I1409)</f>
        <v>81.540000000000006</v>
      </c>
      <c r="F1408" t="str">
        <f>IF(原始经营数据!$D1409="","",T(原始经营数据!$J1409))</f>
        <v>%</v>
      </c>
      <c r="G1408" t="str">
        <f>IF(原始经营数据!$D1409="","",T(原始经营数据!$K1409))</f>
        <v/>
      </c>
      <c r="H1408" t="str">
        <f>IF(原始经营数据!$D1409="","",原始经营数据!$G1409)</f>
        <v>服务效率</v>
      </c>
      <c r="I1408" t="str">
        <f>IF($A1408="","",IF($B1408&lt;&gt;"",$B1408,IF(COUNTIFS(原始经营数据!$D$3:$D$3001,$A1408,原始经营数据!$E$3:$E$3001,"",原始经营数据!$F$3:$F$3001,$C1408,原始经营数据!$H$3:$H$3001,$D1408,原始经营数据!$K$3:$K$3001,$G1408)&gt;1,"基金整体·来源"&amp;原始经营数据!$A1409,"基金整体")))</f>
        <v>隆福寺一期项目</v>
      </c>
      <c r="J1408" t="str">
        <f t="shared" si="318"/>
        <v>年度</v>
      </c>
      <c r="K1408" t="str">
        <f t="shared" si="319"/>
        <v>加权平均出租率（%）</v>
      </c>
      <c r="L1408" t="str">
        <f t="shared" si="320"/>
        <v>隆福寺一期项目|加权平均出租率（%）|年度</v>
      </c>
      <c r="M1408">
        <f>IF($A1408="",0,IF(COUNTIF($L$2:$L1408,$L1408)=1,1,0))</f>
        <v>1</v>
      </c>
      <c r="N1408">
        <f t="shared" si="321"/>
        <v>20230</v>
      </c>
      <c r="O1408" t="str">
        <f t="shared" si="322"/>
        <v>创金合信北京国资封闭式商业不动产证券投资基金|2023|年度</v>
      </c>
      <c r="P1408">
        <f>IF($A1408="",0,IF(COUNTIF($O$2:$O1408,$O1408)=1,1,0))</f>
        <v>0</v>
      </c>
      <c r="Q1408" t="str">
        <f>IF(AND($P1408=1,$A1408=经营数据!$B$3,$J1408=经营数据!$BA$5),COUNTIFS($P$2:$P$3000,1,$A$2:$A$3000,$A1408,$J$2:$J$3000,$J1408,$N$2:$N$3000,"&lt;"&amp;$N1408)+1,"")</f>
        <v/>
      </c>
      <c r="R1408" t="str">
        <f t="shared" si="323"/>
        <v>创金合信北京国资封闭式商业不动产证券投资基金|隆福寺一期项目</v>
      </c>
      <c r="S1408">
        <f>IF($A1408="",0,IF(COUNTIF($R$2:$R1408,$R1408)=1,1,0))</f>
        <v>0</v>
      </c>
      <c r="T1408">
        <f t="shared" si="324"/>
        <v>1405</v>
      </c>
      <c r="U1408" t="str">
        <f>IF($A1408="","",IF($A1408=经营数据!$B$3,COUNTIFS($S$2:$S$3000,1,$A$2:$A$3000,$A1408,$T$2:$T$3000,"&lt;"&amp;$T1408)+1,""))</f>
        <v/>
      </c>
      <c r="V1408" t="str">
        <f t="shared" si="325"/>
        <v>隆福寺一期项目|服务效率</v>
      </c>
      <c r="W1408">
        <f t="shared" si="326"/>
        <v>1405</v>
      </c>
      <c r="X1408" t="str">
        <f t="shared" si="327"/>
        <v>隆福寺一期项目|加权平均出租率</v>
      </c>
      <c r="Y1408">
        <f t="shared" si="328"/>
        <v>1407</v>
      </c>
      <c r="Z1408">
        <f>IF($A1408="",0,IF(AND($M1408=1,$A1408=经营数据!$B$3,$J1408=经营数据!$BA$5,OR($I1408=经营数据!$BA$4,COUNTIF(经营数据!$AA$9:$AA$38,$I1408)&gt;0)),1,0))</f>
        <v>0</v>
      </c>
      <c r="AA1408" t="str">
        <f t="shared" si="329"/>
        <v/>
      </c>
      <c r="AB1408" t="str">
        <f t="shared" si="330"/>
        <v/>
      </c>
      <c r="AC1408">
        <f>IF($A1408="",0,IF(COUNTIF($A$2:$A1408,$A1408)=1,1,0))</f>
        <v>0</v>
      </c>
      <c r="AD1408">
        <f t="shared" si="331"/>
        <v>17</v>
      </c>
      <c r="AE1408" t="str">
        <f t="shared" si="332"/>
        <v>隆福寺一期项目|加权平均出租率（%）</v>
      </c>
    </row>
    <row r="1409" spans="1:31" x14ac:dyDescent="0.4">
      <c r="A1409" t="str">
        <f>IF(原始经营数据!$D1410="","",原始经营数据!$D1410)</f>
        <v>创金合信北京国资封闭式商业不动产证券投资基金</v>
      </c>
      <c r="B1409" t="str">
        <f>IF(原始经营数据!$D1410="","",T(原始经营数据!$E1410))</f>
        <v>隆福寺一期项目</v>
      </c>
      <c r="C1409" t="str">
        <f>IF(原始经营数据!$D1410="","",原始经营数据!$F1410)</f>
        <v>2023</v>
      </c>
      <c r="D1409" t="str">
        <f>IF(原始经营数据!$D1410="","",原始经营数据!$H1410)</f>
        <v>期末出租率</v>
      </c>
      <c r="E1409">
        <f>IF(原始经营数据!$D1410="","",原始经营数据!$I1410)</f>
        <v>63.87</v>
      </c>
      <c r="F1409" t="str">
        <f>IF(原始经营数据!$D1410="","",T(原始经营数据!$J1410))</f>
        <v>%</v>
      </c>
      <c r="G1409" t="str">
        <f>IF(原始经营数据!$D1410="","",T(原始经营数据!$K1410))</f>
        <v/>
      </c>
      <c r="H1409" t="str">
        <f>IF(原始经营数据!$D1410="","",原始经营数据!$G1410)</f>
        <v>服务效率</v>
      </c>
      <c r="I1409" t="str">
        <f>IF($A1409="","",IF($B1409&lt;&gt;"",$B1409,IF(COUNTIFS(原始经营数据!$D$3:$D$3001,$A1409,原始经营数据!$E$3:$E$3001,"",原始经营数据!$F$3:$F$3001,$C1409,原始经营数据!$H$3:$H$3001,$D1409,原始经营数据!$K$3:$K$3001,$G1409)&gt;1,"基金整体·来源"&amp;原始经营数据!$A1410,"基金整体")))</f>
        <v>隆福寺一期项目</v>
      </c>
      <c r="J1409" t="str">
        <f t="shared" si="318"/>
        <v>年度</v>
      </c>
      <c r="K1409" t="str">
        <f t="shared" si="319"/>
        <v>期末出租率（%）</v>
      </c>
      <c r="L1409" t="str">
        <f t="shared" si="320"/>
        <v>隆福寺一期项目|期末出租率（%）|年度</v>
      </c>
      <c r="M1409">
        <f>IF($A1409="",0,IF(COUNTIF($L$2:$L1409,$L1409)=1,1,0))</f>
        <v>1</v>
      </c>
      <c r="N1409">
        <f t="shared" si="321"/>
        <v>20230</v>
      </c>
      <c r="O1409" t="str">
        <f t="shared" si="322"/>
        <v>创金合信北京国资封闭式商业不动产证券投资基金|2023|年度</v>
      </c>
      <c r="P1409">
        <f>IF($A1409="",0,IF(COUNTIF($O$2:$O1409,$O1409)=1,1,0))</f>
        <v>0</v>
      </c>
      <c r="Q1409" t="str">
        <f>IF(AND($P1409=1,$A1409=经营数据!$B$3,$J1409=经营数据!$BA$5),COUNTIFS($P$2:$P$3000,1,$A$2:$A$3000,$A1409,$J$2:$J$3000,$J1409,$N$2:$N$3000,"&lt;"&amp;$N1409)+1,"")</f>
        <v/>
      </c>
      <c r="R1409" t="str">
        <f t="shared" si="323"/>
        <v>创金合信北京国资封闭式商业不动产证券投资基金|隆福寺一期项目</v>
      </c>
      <c r="S1409">
        <f>IF($A1409="",0,IF(COUNTIF($R$2:$R1409,$R1409)=1,1,0))</f>
        <v>0</v>
      </c>
      <c r="T1409">
        <f t="shared" si="324"/>
        <v>1405</v>
      </c>
      <c r="U1409" t="str">
        <f>IF($A1409="","",IF($A1409=经营数据!$B$3,COUNTIFS($S$2:$S$3000,1,$A$2:$A$3000,$A1409,$T$2:$T$3000,"&lt;"&amp;$T1409)+1,""))</f>
        <v/>
      </c>
      <c r="V1409" t="str">
        <f t="shared" si="325"/>
        <v>隆福寺一期项目|服务效率</v>
      </c>
      <c r="W1409">
        <f t="shared" si="326"/>
        <v>1405</v>
      </c>
      <c r="X1409" t="str">
        <f t="shared" si="327"/>
        <v>隆福寺一期项目|期末出租率</v>
      </c>
      <c r="Y1409">
        <f t="shared" si="328"/>
        <v>1408</v>
      </c>
      <c r="Z1409">
        <f>IF($A1409="",0,IF(AND($M1409=1,$A1409=经营数据!$B$3,$J1409=经营数据!$BA$5,OR($I1409=经营数据!$BA$4,COUNTIF(经营数据!$AA$9:$AA$38,$I1409)&gt;0)),1,0))</f>
        <v>0</v>
      </c>
      <c r="AA1409" t="str">
        <f t="shared" si="329"/>
        <v/>
      </c>
      <c r="AB1409" t="str">
        <f t="shared" si="330"/>
        <v/>
      </c>
      <c r="AC1409">
        <f>IF($A1409="",0,IF(COUNTIF($A$2:$A1409,$A1409)=1,1,0))</f>
        <v>0</v>
      </c>
      <c r="AD1409">
        <f t="shared" si="331"/>
        <v>17</v>
      </c>
      <c r="AE1409" t="str">
        <f t="shared" si="332"/>
        <v>隆福寺一期项目|期末出租率（%）</v>
      </c>
    </row>
    <row r="1410" spans="1:31" x14ac:dyDescent="0.4">
      <c r="A1410" t="str">
        <f>IF(原始经营数据!$D1411="","",原始经营数据!$D1411)</f>
        <v>创金合信北京国资封闭式商业不动产证券投资基金</v>
      </c>
      <c r="B1410" t="str">
        <f>IF(原始经营数据!$D1411="","",T(原始经营数据!$E1411))</f>
        <v>隆福寺一期项目</v>
      </c>
      <c r="C1410" t="str">
        <f>IF(原始经营数据!$D1411="","",原始经营数据!$F1411)</f>
        <v>2024</v>
      </c>
      <c r="D1410" t="str">
        <f>IF(原始经营数据!$D1411="","",原始经营数据!$H1411)</f>
        <v>平均租金单价</v>
      </c>
      <c r="E1410">
        <f>IF(原始经营数据!$D1411="","",原始经营数据!$I1411)</f>
        <v>7.64</v>
      </c>
      <c r="F1410" t="str">
        <f>IF(原始经营数据!$D1411="","",T(原始经营数据!$J1411))</f>
        <v>元/平方米/天</v>
      </c>
      <c r="G1410" t="str">
        <f>IF(原始经营数据!$D1411="","",T(原始经营数据!$K1411))</f>
        <v/>
      </c>
      <c r="H1410" t="str">
        <f>IF(原始经营数据!$D1411="","",原始经营数据!$G1411)</f>
        <v>服务价格</v>
      </c>
      <c r="I1410" t="str">
        <f>IF($A1410="","",IF($B1410&lt;&gt;"",$B1410,IF(COUNTIFS(原始经营数据!$D$3:$D$3001,$A1410,原始经营数据!$E$3:$E$3001,"",原始经营数据!$F$3:$F$3001,$C1410,原始经营数据!$H$3:$H$3001,$D1410,原始经营数据!$K$3:$K$3001,$G1410)&gt;1,"基金整体·来源"&amp;原始经营数据!$A1411,"基金整体")))</f>
        <v>隆福寺一期项目</v>
      </c>
      <c r="J1410" t="str">
        <f t="shared" ref="J1410:J1473" si="333">IF($A1410="","",IF(LEN($C1410)=4,"年度",IF(AND(LEN($C1410)=6,ISNUMBER(SEARCH("Q",$C1410))),"季度","其他期间")))</f>
        <v>年度</v>
      </c>
      <c r="K1410" t="str">
        <f t="shared" ref="K1410:K1473" si="334">IF($A1410="","",$D1410&amp;IF($G1410="","","-"&amp;SUBSTITUTE($G1410,CHAR(10),""))&amp;IF($F1410="","","（"&amp;$F1410&amp;"）"))</f>
        <v>平均租金单价（元/平方米/天）</v>
      </c>
      <c r="L1410" t="str">
        <f t="shared" ref="L1410:L1473" si="335">IF($A1410="","",$I1410&amp;"|"&amp;$K1410&amp;"|"&amp;$J1410)</f>
        <v>隆福寺一期项目|平均租金单价（元/平方米/天）|年度</v>
      </c>
      <c r="M1410">
        <f>IF($A1410="",0,IF(COUNTIF($L$2:$L1410,$L1410)=1,1,0))</f>
        <v>0</v>
      </c>
      <c r="N1410">
        <f t="shared" ref="N1410:N1473" si="336">IF($A1410="","",IF($J1410="年度",VALUE($C1410)*10,IF($J1410="季度",VALUE(LEFT($C1410,4))*10+VALUE(RIGHT($C1410,1)),VALUE(LEFT($C1410,4))*10+9)))</f>
        <v>20240</v>
      </c>
      <c r="O1410" t="str">
        <f t="shared" ref="O1410:O1473" si="337">IF($A1410="","",$A1410&amp;"|"&amp;$C1410&amp;"|"&amp;$J1410)</f>
        <v>创金合信北京国资封闭式商业不动产证券投资基金|2024|年度</v>
      </c>
      <c r="P1410">
        <f>IF($A1410="",0,IF(COUNTIF($O$2:$O1410,$O1410)=1,1,0))</f>
        <v>1</v>
      </c>
      <c r="Q1410" t="str">
        <f>IF(AND($P1410=1,$A1410=经营数据!$B$3,$J1410=经营数据!$BA$5),COUNTIFS($P$2:$P$3000,1,$A$2:$A$3000,$A1410,$J$2:$J$3000,$J1410,$N$2:$N$3000,"&lt;"&amp;$N1410)+1,"")</f>
        <v/>
      </c>
      <c r="R1410" t="str">
        <f t="shared" ref="R1410:R1473" si="338">IF($A1410="","",$A1410&amp;"|"&amp;$I1410)</f>
        <v>创金合信北京国资封闭式商业不动产证券投资基金|隆福寺一期项目</v>
      </c>
      <c r="S1410">
        <f>IF($A1410="",0,IF(COUNTIF($R$2:$R1410,$R1410)=1,1,0))</f>
        <v>0</v>
      </c>
      <c r="T1410">
        <f t="shared" ref="T1410:T1473" si="339">IF($A1410="","",MATCH($R1410,$R$2:$R$3000,0))</f>
        <v>1405</v>
      </c>
      <c r="U1410" t="str">
        <f>IF($A1410="","",IF($A1410=经营数据!$B$3,COUNTIFS($S$2:$S$3000,1,$A$2:$A$3000,$A1410,$T$2:$T$3000,"&lt;"&amp;$T1410)+1,""))</f>
        <v/>
      </c>
      <c r="V1410" t="str">
        <f t="shared" ref="V1410:V1473" si="340">IF($A1410="","",$I1410&amp;"|"&amp;$H1410)</f>
        <v>隆福寺一期项目|服务价格</v>
      </c>
      <c r="W1410">
        <f t="shared" ref="W1410:W1473" si="341">IF($A1410="","",MATCH($V1410,$V$2:$V$3000,0))</f>
        <v>1406</v>
      </c>
      <c r="X1410" t="str">
        <f t="shared" ref="X1410:X1473" si="342">IF($A1410="","",$I1410&amp;"|"&amp;$D1410)</f>
        <v>隆福寺一期项目|平均租金单价</v>
      </c>
      <c r="Y1410">
        <f t="shared" ref="Y1410:Y1473" si="343">IF($A1410="","",MATCH($X1410,$X$2:$X$3000,0))</f>
        <v>1406</v>
      </c>
      <c r="Z1410">
        <f>IF($A1410="",0,IF(AND($M1410=1,$A1410=经营数据!$B$3,$J1410=经营数据!$BA$5,OR($I1410=经营数据!$BA$4,COUNTIF(经营数据!$AA$9:$AA$38,$I1410)&gt;0)),1,0))</f>
        <v>0</v>
      </c>
      <c r="AA1410" t="str">
        <f t="shared" ref="AA1410:AA1473" si="344">IF($Z1410=1,$U1410*1000000000000+$W1410*100000000+$Y1410*10000+ROW(),"")</f>
        <v/>
      </c>
      <c r="AB1410" t="str">
        <f t="shared" ref="AB1410:AB1473" si="345">IF($Z1410=1,COUNTIFS($Z$2:$Z$3000,1,$AA$2:$AA$3000,"&lt;"&amp;$AA1410)+1,"")</f>
        <v/>
      </c>
      <c r="AC1410">
        <f>IF($A1410="",0,IF(COUNTIF($A$2:$A1410,$A1410)=1,1,0))</f>
        <v>0</v>
      </c>
      <c r="AD1410">
        <f t="shared" ref="AD1410:AD1473" si="346">IF($A1410="",N(AD1409),IF($AC1410=1,N(AD1409)+1,N(AD1409)))</f>
        <v>17</v>
      </c>
      <c r="AE1410" t="str">
        <f t="shared" ref="AE1410:AE1473" si="347">IF($A1410="","",$I1410&amp;"|"&amp;$K1410)</f>
        <v>隆福寺一期项目|平均租金单价（元/平方米/天）</v>
      </c>
    </row>
    <row r="1411" spans="1:31" x14ac:dyDescent="0.4">
      <c r="A1411" t="str">
        <f>IF(原始经营数据!$D1412="","",原始经营数据!$D1412)</f>
        <v>创金合信北京国资封闭式商业不动产证券投资基金</v>
      </c>
      <c r="B1411" t="str">
        <f>IF(原始经营数据!$D1412="","",T(原始经营数据!$E1412))</f>
        <v>隆福寺一期项目</v>
      </c>
      <c r="C1411" t="str">
        <f>IF(原始经营数据!$D1412="","",原始经营数据!$F1412)</f>
        <v>2024</v>
      </c>
      <c r="D1411" t="str">
        <f>IF(原始经营数据!$D1412="","",原始经营数据!$H1412)</f>
        <v>租金收缴率</v>
      </c>
      <c r="E1411">
        <f>IF(原始经营数据!$D1412="","",原始经营数据!$I1412)</f>
        <v>96.84</v>
      </c>
      <c r="F1411" t="str">
        <f>IF(原始经营数据!$D1412="","",T(原始经营数据!$J1412))</f>
        <v>%</v>
      </c>
      <c r="G1411" t="str">
        <f>IF(原始经营数据!$D1412="","",T(原始经营数据!$K1412))</f>
        <v/>
      </c>
      <c r="H1411" t="str">
        <f>IF(原始经营数据!$D1412="","",原始经营数据!$G1412)</f>
        <v>服务效率</v>
      </c>
      <c r="I1411" t="str">
        <f>IF($A1411="","",IF($B1411&lt;&gt;"",$B1411,IF(COUNTIFS(原始经营数据!$D$3:$D$3001,$A1411,原始经营数据!$E$3:$E$3001,"",原始经营数据!$F$3:$F$3001,$C1411,原始经营数据!$H$3:$H$3001,$D1411,原始经营数据!$K$3:$K$3001,$G1411)&gt;1,"基金整体·来源"&amp;原始经营数据!$A1412,"基金整体")))</f>
        <v>隆福寺一期项目</v>
      </c>
      <c r="J1411" t="str">
        <f t="shared" si="333"/>
        <v>年度</v>
      </c>
      <c r="K1411" t="str">
        <f t="shared" si="334"/>
        <v>租金收缴率（%）</v>
      </c>
      <c r="L1411" t="str">
        <f t="shared" si="335"/>
        <v>隆福寺一期项目|租金收缴率（%）|年度</v>
      </c>
      <c r="M1411">
        <f>IF($A1411="",0,IF(COUNTIF($L$2:$L1411,$L1411)=1,1,0))</f>
        <v>0</v>
      </c>
      <c r="N1411">
        <f t="shared" si="336"/>
        <v>20240</v>
      </c>
      <c r="O1411" t="str">
        <f t="shared" si="337"/>
        <v>创金合信北京国资封闭式商业不动产证券投资基金|2024|年度</v>
      </c>
      <c r="P1411">
        <f>IF($A1411="",0,IF(COUNTIF($O$2:$O1411,$O1411)=1,1,0))</f>
        <v>0</v>
      </c>
      <c r="Q1411" t="str">
        <f>IF(AND($P1411=1,$A1411=经营数据!$B$3,$J1411=经营数据!$BA$5),COUNTIFS($P$2:$P$3000,1,$A$2:$A$3000,$A1411,$J$2:$J$3000,$J1411,$N$2:$N$3000,"&lt;"&amp;$N1411)+1,"")</f>
        <v/>
      </c>
      <c r="R1411" t="str">
        <f t="shared" si="338"/>
        <v>创金合信北京国资封闭式商业不动产证券投资基金|隆福寺一期项目</v>
      </c>
      <c r="S1411">
        <f>IF($A1411="",0,IF(COUNTIF($R$2:$R1411,$R1411)=1,1,0))</f>
        <v>0</v>
      </c>
      <c r="T1411">
        <f t="shared" si="339"/>
        <v>1405</v>
      </c>
      <c r="U1411" t="str">
        <f>IF($A1411="","",IF($A1411=经营数据!$B$3,COUNTIFS($S$2:$S$3000,1,$A$2:$A$3000,$A1411,$T$2:$T$3000,"&lt;"&amp;$T1411)+1,""))</f>
        <v/>
      </c>
      <c r="V1411" t="str">
        <f t="shared" si="340"/>
        <v>隆福寺一期项目|服务效率</v>
      </c>
      <c r="W1411">
        <f t="shared" si="341"/>
        <v>1405</v>
      </c>
      <c r="X1411" t="str">
        <f t="shared" si="342"/>
        <v>隆福寺一期项目|租金收缴率</v>
      </c>
      <c r="Y1411">
        <f t="shared" si="343"/>
        <v>1405</v>
      </c>
      <c r="Z1411">
        <f>IF($A1411="",0,IF(AND($M1411=1,$A1411=经营数据!$B$3,$J1411=经营数据!$BA$5,OR($I1411=经营数据!$BA$4,COUNTIF(经营数据!$AA$9:$AA$38,$I1411)&gt;0)),1,0))</f>
        <v>0</v>
      </c>
      <c r="AA1411" t="str">
        <f t="shared" si="344"/>
        <v/>
      </c>
      <c r="AB1411" t="str">
        <f t="shared" si="345"/>
        <v/>
      </c>
      <c r="AC1411">
        <f>IF($A1411="",0,IF(COUNTIF($A$2:$A1411,$A1411)=1,1,0))</f>
        <v>0</v>
      </c>
      <c r="AD1411">
        <f t="shared" si="346"/>
        <v>17</v>
      </c>
      <c r="AE1411" t="str">
        <f t="shared" si="347"/>
        <v>隆福寺一期项目|租金收缴率（%）</v>
      </c>
    </row>
    <row r="1412" spans="1:31" x14ac:dyDescent="0.4">
      <c r="A1412" t="str">
        <f>IF(原始经营数据!$D1413="","",原始经营数据!$D1413)</f>
        <v>创金合信北京国资封闭式商业不动产证券投资基金</v>
      </c>
      <c r="B1412" t="str">
        <f>IF(原始经营数据!$D1413="","",T(原始经营数据!$E1413))</f>
        <v>隆福寺一期项目</v>
      </c>
      <c r="C1412" t="str">
        <f>IF(原始经营数据!$D1413="","",原始经营数据!$F1413)</f>
        <v>2024</v>
      </c>
      <c r="D1412" t="str">
        <f>IF(原始经营数据!$D1413="","",原始经营数据!$H1413)</f>
        <v>加权平均出租率</v>
      </c>
      <c r="E1412">
        <f>IF(原始经营数据!$D1413="","",原始经营数据!$I1413)</f>
        <v>86.9</v>
      </c>
      <c r="F1412" t="str">
        <f>IF(原始经营数据!$D1413="","",T(原始经营数据!$J1413))</f>
        <v>%</v>
      </c>
      <c r="G1412" t="str">
        <f>IF(原始经营数据!$D1413="","",T(原始经营数据!$K1413))</f>
        <v/>
      </c>
      <c r="H1412" t="str">
        <f>IF(原始经营数据!$D1413="","",原始经营数据!$G1413)</f>
        <v>服务效率</v>
      </c>
      <c r="I1412" t="str">
        <f>IF($A1412="","",IF($B1412&lt;&gt;"",$B1412,IF(COUNTIFS(原始经营数据!$D$3:$D$3001,$A1412,原始经营数据!$E$3:$E$3001,"",原始经营数据!$F$3:$F$3001,$C1412,原始经营数据!$H$3:$H$3001,$D1412,原始经营数据!$K$3:$K$3001,$G1412)&gt;1,"基金整体·来源"&amp;原始经营数据!$A1413,"基金整体")))</f>
        <v>隆福寺一期项目</v>
      </c>
      <c r="J1412" t="str">
        <f t="shared" si="333"/>
        <v>年度</v>
      </c>
      <c r="K1412" t="str">
        <f t="shared" si="334"/>
        <v>加权平均出租率（%）</v>
      </c>
      <c r="L1412" t="str">
        <f t="shared" si="335"/>
        <v>隆福寺一期项目|加权平均出租率（%）|年度</v>
      </c>
      <c r="M1412">
        <f>IF($A1412="",0,IF(COUNTIF($L$2:$L1412,$L1412)=1,1,0))</f>
        <v>0</v>
      </c>
      <c r="N1412">
        <f t="shared" si="336"/>
        <v>20240</v>
      </c>
      <c r="O1412" t="str">
        <f t="shared" si="337"/>
        <v>创金合信北京国资封闭式商业不动产证券投资基金|2024|年度</v>
      </c>
      <c r="P1412">
        <f>IF($A1412="",0,IF(COUNTIF($O$2:$O1412,$O1412)=1,1,0))</f>
        <v>0</v>
      </c>
      <c r="Q1412" t="str">
        <f>IF(AND($P1412=1,$A1412=经营数据!$B$3,$J1412=经营数据!$BA$5),COUNTIFS($P$2:$P$3000,1,$A$2:$A$3000,$A1412,$J$2:$J$3000,$J1412,$N$2:$N$3000,"&lt;"&amp;$N1412)+1,"")</f>
        <v/>
      </c>
      <c r="R1412" t="str">
        <f t="shared" si="338"/>
        <v>创金合信北京国资封闭式商业不动产证券投资基金|隆福寺一期项目</v>
      </c>
      <c r="S1412">
        <f>IF($A1412="",0,IF(COUNTIF($R$2:$R1412,$R1412)=1,1,0))</f>
        <v>0</v>
      </c>
      <c r="T1412">
        <f t="shared" si="339"/>
        <v>1405</v>
      </c>
      <c r="U1412" t="str">
        <f>IF($A1412="","",IF($A1412=经营数据!$B$3,COUNTIFS($S$2:$S$3000,1,$A$2:$A$3000,$A1412,$T$2:$T$3000,"&lt;"&amp;$T1412)+1,""))</f>
        <v/>
      </c>
      <c r="V1412" t="str">
        <f t="shared" si="340"/>
        <v>隆福寺一期项目|服务效率</v>
      </c>
      <c r="W1412">
        <f t="shared" si="341"/>
        <v>1405</v>
      </c>
      <c r="X1412" t="str">
        <f t="shared" si="342"/>
        <v>隆福寺一期项目|加权平均出租率</v>
      </c>
      <c r="Y1412">
        <f t="shared" si="343"/>
        <v>1407</v>
      </c>
      <c r="Z1412">
        <f>IF($A1412="",0,IF(AND($M1412=1,$A1412=经营数据!$B$3,$J1412=经营数据!$BA$5,OR($I1412=经营数据!$BA$4,COUNTIF(经营数据!$AA$9:$AA$38,$I1412)&gt;0)),1,0))</f>
        <v>0</v>
      </c>
      <c r="AA1412" t="str">
        <f t="shared" si="344"/>
        <v/>
      </c>
      <c r="AB1412" t="str">
        <f t="shared" si="345"/>
        <v/>
      </c>
      <c r="AC1412">
        <f>IF($A1412="",0,IF(COUNTIF($A$2:$A1412,$A1412)=1,1,0))</f>
        <v>0</v>
      </c>
      <c r="AD1412">
        <f t="shared" si="346"/>
        <v>17</v>
      </c>
      <c r="AE1412" t="str">
        <f t="shared" si="347"/>
        <v>隆福寺一期项目|加权平均出租率（%）</v>
      </c>
    </row>
    <row r="1413" spans="1:31" x14ac:dyDescent="0.4">
      <c r="A1413" t="str">
        <f>IF(原始经营数据!$D1414="","",原始经营数据!$D1414)</f>
        <v>创金合信北京国资封闭式商业不动产证券投资基金</v>
      </c>
      <c r="B1413" t="str">
        <f>IF(原始经营数据!$D1414="","",T(原始经营数据!$E1414))</f>
        <v>隆福寺一期项目</v>
      </c>
      <c r="C1413" t="str">
        <f>IF(原始经营数据!$D1414="","",原始经营数据!$F1414)</f>
        <v>2024</v>
      </c>
      <c r="D1413" t="str">
        <f>IF(原始经营数据!$D1414="","",原始经营数据!$H1414)</f>
        <v>期末出租率</v>
      </c>
      <c r="E1413">
        <f>IF(原始经营数据!$D1414="","",原始经营数据!$I1414)</f>
        <v>88.64</v>
      </c>
      <c r="F1413" t="str">
        <f>IF(原始经营数据!$D1414="","",T(原始经营数据!$J1414))</f>
        <v>%</v>
      </c>
      <c r="G1413" t="str">
        <f>IF(原始经营数据!$D1414="","",T(原始经营数据!$K1414))</f>
        <v/>
      </c>
      <c r="H1413" t="str">
        <f>IF(原始经营数据!$D1414="","",原始经营数据!$G1414)</f>
        <v>服务效率</v>
      </c>
      <c r="I1413" t="str">
        <f>IF($A1413="","",IF($B1413&lt;&gt;"",$B1413,IF(COUNTIFS(原始经营数据!$D$3:$D$3001,$A1413,原始经营数据!$E$3:$E$3001,"",原始经营数据!$F$3:$F$3001,$C1413,原始经营数据!$H$3:$H$3001,$D1413,原始经营数据!$K$3:$K$3001,$G1413)&gt;1,"基金整体·来源"&amp;原始经营数据!$A1414,"基金整体")))</f>
        <v>隆福寺一期项目</v>
      </c>
      <c r="J1413" t="str">
        <f t="shared" si="333"/>
        <v>年度</v>
      </c>
      <c r="K1413" t="str">
        <f t="shared" si="334"/>
        <v>期末出租率（%）</v>
      </c>
      <c r="L1413" t="str">
        <f t="shared" si="335"/>
        <v>隆福寺一期项目|期末出租率（%）|年度</v>
      </c>
      <c r="M1413">
        <f>IF($A1413="",0,IF(COUNTIF($L$2:$L1413,$L1413)=1,1,0))</f>
        <v>0</v>
      </c>
      <c r="N1413">
        <f t="shared" si="336"/>
        <v>20240</v>
      </c>
      <c r="O1413" t="str">
        <f t="shared" si="337"/>
        <v>创金合信北京国资封闭式商业不动产证券投资基金|2024|年度</v>
      </c>
      <c r="P1413">
        <f>IF($A1413="",0,IF(COUNTIF($O$2:$O1413,$O1413)=1,1,0))</f>
        <v>0</v>
      </c>
      <c r="Q1413" t="str">
        <f>IF(AND($P1413=1,$A1413=经营数据!$B$3,$J1413=经营数据!$BA$5),COUNTIFS($P$2:$P$3000,1,$A$2:$A$3000,$A1413,$J$2:$J$3000,$J1413,$N$2:$N$3000,"&lt;"&amp;$N1413)+1,"")</f>
        <v/>
      </c>
      <c r="R1413" t="str">
        <f t="shared" si="338"/>
        <v>创金合信北京国资封闭式商业不动产证券投资基金|隆福寺一期项目</v>
      </c>
      <c r="S1413">
        <f>IF($A1413="",0,IF(COUNTIF($R$2:$R1413,$R1413)=1,1,0))</f>
        <v>0</v>
      </c>
      <c r="T1413">
        <f t="shared" si="339"/>
        <v>1405</v>
      </c>
      <c r="U1413" t="str">
        <f>IF($A1413="","",IF($A1413=经营数据!$B$3,COUNTIFS($S$2:$S$3000,1,$A$2:$A$3000,$A1413,$T$2:$T$3000,"&lt;"&amp;$T1413)+1,""))</f>
        <v/>
      </c>
      <c r="V1413" t="str">
        <f t="shared" si="340"/>
        <v>隆福寺一期项目|服务效率</v>
      </c>
      <c r="W1413">
        <f t="shared" si="341"/>
        <v>1405</v>
      </c>
      <c r="X1413" t="str">
        <f t="shared" si="342"/>
        <v>隆福寺一期项目|期末出租率</v>
      </c>
      <c r="Y1413">
        <f t="shared" si="343"/>
        <v>1408</v>
      </c>
      <c r="Z1413">
        <f>IF($A1413="",0,IF(AND($M1413=1,$A1413=经营数据!$B$3,$J1413=经营数据!$BA$5,OR($I1413=经营数据!$BA$4,COUNTIF(经营数据!$AA$9:$AA$38,$I1413)&gt;0)),1,0))</f>
        <v>0</v>
      </c>
      <c r="AA1413" t="str">
        <f t="shared" si="344"/>
        <v/>
      </c>
      <c r="AB1413" t="str">
        <f t="shared" si="345"/>
        <v/>
      </c>
      <c r="AC1413">
        <f>IF($A1413="",0,IF(COUNTIF($A$2:$A1413,$A1413)=1,1,0))</f>
        <v>0</v>
      </c>
      <c r="AD1413">
        <f t="shared" si="346"/>
        <v>17</v>
      </c>
      <c r="AE1413" t="str">
        <f t="shared" si="347"/>
        <v>隆福寺一期项目|期末出租率（%）</v>
      </c>
    </row>
    <row r="1414" spans="1:31" x14ac:dyDescent="0.4">
      <c r="A1414" t="str">
        <f>IF(原始经营数据!$D1415="","",原始经营数据!$D1415)</f>
        <v>创金合信北京国资封闭式商业不动产证券投资基金</v>
      </c>
      <c r="B1414" t="str">
        <f>IF(原始经营数据!$D1415="","",T(原始经营数据!$E1415))</f>
        <v>隆福寺一期项目</v>
      </c>
      <c r="C1414" t="str">
        <f>IF(原始经营数据!$D1415="","",原始经营数据!$F1415)</f>
        <v>2025</v>
      </c>
      <c r="D1414" t="str">
        <f>IF(原始经营数据!$D1415="","",原始经营数据!$H1415)</f>
        <v>平均租金单价</v>
      </c>
      <c r="E1414">
        <f>IF(原始经营数据!$D1415="","",原始经营数据!$I1415)</f>
        <v>7.19</v>
      </c>
      <c r="F1414" t="str">
        <f>IF(原始经营数据!$D1415="","",T(原始经营数据!$J1415))</f>
        <v>元/平方米/天</v>
      </c>
      <c r="G1414" t="str">
        <f>IF(原始经营数据!$D1415="","",T(原始经营数据!$K1415))</f>
        <v/>
      </c>
      <c r="H1414" t="str">
        <f>IF(原始经营数据!$D1415="","",原始经营数据!$G1415)</f>
        <v>服务价格</v>
      </c>
      <c r="I1414" t="str">
        <f>IF($A1414="","",IF($B1414&lt;&gt;"",$B1414,IF(COUNTIFS(原始经营数据!$D$3:$D$3001,$A1414,原始经营数据!$E$3:$E$3001,"",原始经营数据!$F$3:$F$3001,$C1414,原始经营数据!$H$3:$H$3001,$D1414,原始经营数据!$K$3:$K$3001,$G1414)&gt;1,"基金整体·来源"&amp;原始经营数据!$A1415,"基金整体")))</f>
        <v>隆福寺一期项目</v>
      </c>
      <c r="J1414" t="str">
        <f t="shared" si="333"/>
        <v>年度</v>
      </c>
      <c r="K1414" t="str">
        <f t="shared" si="334"/>
        <v>平均租金单价（元/平方米/天）</v>
      </c>
      <c r="L1414" t="str">
        <f t="shared" si="335"/>
        <v>隆福寺一期项目|平均租金单价（元/平方米/天）|年度</v>
      </c>
      <c r="M1414">
        <f>IF($A1414="",0,IF(COUNTIF($L$2:$L1414,$L1414)=1,1,0))</f>
        <v>0</v>
      </c>
      <c r="N1414">
        <f t="shared" si="336"/>
        <v>20250</v>
      </c>
      <c r="O1414" t="str">
        <f t="shared" si="337"/>
        <v>创金合信北京国资封闭式商业不动产证券投资基金|2025|年度</v>
      </c>
      <c r="P1414">
        <f>IF($A1414="",0,IF(COUNTIF($O$2:$O1414,$O1414)=1,1,0))</f>
        <v>1</v>
      </c>
      <c r="Q1414" t="str">
        <f>IF(AND($P1414=1,$A1414=经营数据!$B$3,$J1414=经营数据!$BA$5),COUNTIFS($P$2:$P$3000,1,$A$2:$A$3000,$A1414,$J$2:$J$3000,$J1414,$N$2:$N$3000,"&lt;"&amp;$N1414)+1,"")</f>
        <v/>
      </c>
      <c r="R1414" t="str">
        <f t="shared" si="338"/>
        <v>创金合信北京国资封闭式商业不动产证券投资基金|隆福寺一期项目</v>
      </c>
      <c r="S1414">
        <f>IF($A1414="",0,IF(COUNTIF($R$2:$R1414,$R1414)=1,1,0))</f>
        <v>0</v>
      </c>
      <c r="T1414">
        <f t="shared" si="339"/>
        <v>1405</v>
      </c>
      <c r="U1414" t="str">
        <f>IF($A1414="","",IF($A1414=经营数据!$B$3,COUNTIFS($S$2:$S$3000,1,$A$2:$A$3000,$A1414,$T$2:$T$3000,"&lt;"&amp;$T1414)+1,""))</f>
        <v/>
      </c>
      <c r="V1414" t="str">
        <f t="shared" si="340"/>
        <v>隆福寺一期项目|服务价格</v>
      </c>
      <c r="W1414">
        <f t="shared" si="341"/>
        <v>1406</v>
      </c>
      <c r="X1414" t="str">
        <f t="shared" si="342"/>
        <v>隆福寺一期项目|平均租金单价</v>
      </c>
      <c r="Y1414">
        <f t="shared" si="343"/>
        <v>1406</v>
      </c>
      <c r="Z1414">
        <f>IF($A1414="",0,IF(AND($M1414=1,$A1414=经营数据!$B$3,$J1414=经营数据!$BA$5,OR($I1414=经营数据!$BA$4,COUNTIF(经营数据!$AA$9:$AA$38,$I1414)&gt;0)),1,0))</f>
        <v>0</v>
      </c>
      <c r="AA1414" t="str">
        <f t="shared" si="344"/>
        <v/>
      </c>
      <c r="AB1414" t="str">
        <f t="shared" si="345"/>
        <v/>
      </c>
      <c r="AC1414">
        <f>IF($A1414="",0,IF(COUNTIF($A$2:$A1414,$A1414)=1,1,0))</f>
        <v>0</v>
      </c>
      <c r="AD1414">
        <f t="shared" si="346"/>
        <v>17</v>
      </c>
      <c r="AE1414" t="str">
        <f t="shared" si="347"/>
        <v>隆福寺一期项目|平均租金单价（元/平方米/天）</v>
      </c>
    </row>
    <row r="1415" spans="1:31" x14ac:dyDescent="0.4">
      <c r="A1415" t="str">
        <f>IF(原始经营数据!$D1416="","",原始经营数据!$D1416)</f>
        <v>创金合信北京国资封闭式商业不动产证券投资基金</v>
      </c>
      <c r="B1415" t="str">
        <f>IF(原始经营数据!$D1416="","",T(原始经营数据!$E1416))</f>
        <v>隆福寺一期项目</v>
      </c>
      <c r="C1415" t="str">
        <f>IF(原始经营数据!$D1416="","",原始经营数据!$F1416)</f>
        <v>2025</v>
      </c>
      <c r="D1415" t="str">
        <f>IF(原始经营数据!$D1416="","",原始经营数据!$H1416)</f>
        <v>加权平均出租率</v>
      </c>
      <c r="E1415">
        <f>IF(原始经营数据!$D1416="","",原始经营数据!$I1416)</f>
        <v>88.01</v>
      </c>
      <c r="F1415" t="str">
        <f>IF(原始经营数据!$D1416="","",T(原始经营数据!$J1416))</f>
        <v>%</v>
      </c>
      <c r="G1415" t="str">
        <f>IF(原始经营数据!$D1416="","",T(原始经营数据!$K1416))</f>
        <v/>
      </c>
      <c r="H1415" t="str">
        <f>IF(原始经营数据!$D1416="","",原始经营数据!$G1416)</f>
        <v>服务效率</v>
      </c>
      <c r="I1415" t="str">
        <f>IF($A1415="","",IF($B1415&lt;&gt;"",$B1415,IF(COUNTIFS(原始经营数据!$D$3:$D$3001,$A1415,原始经营数据!$E$3:$E$3001,"",原始经营数据!$F$3:$F$3001,$C1415,原始经营数据!$H$3:$H$3001,$D1415,原始经营数据!$K$3:$K$3001,$G1415)&gt;1,"基金整体·来源"&amp;原始经营数据!$A1416,"基金整体")))</f>
        <v>隆福寺一期项目</v>
      </c>
      <c r="J1415" t="str">
        <f t="shared" si="333"/>
        <v>年度</v>
      </c>
      <c r="K1415" t="str">
        <f t="shared" si="334"/>
        <v>加权平均出租率（%）</v>
      </c>
      <c r="L1415" t="str">
        <f t="shared" si="335"/>
        <v>隆福寺一期项目|加权平均出租率（%）|年度</v>
      </c>
      <c r="M1415">
        <f>IF($A1415="",0,IF(COUNTIF($L$2:$L1415,$L1415)=1,1,0))</f>
        <v>0</v>
      </c>
      <c r="N1415">
        <f t="shared" si="336"/>
        <v>20250</v>
      </c>
      <c r="O1415" t="str">
        <f t="shared" si="337"/>
        <v>创金合信北京国资封闭式商业不动产证券投资基金|2025|年度</v>
      </c>
      <c r="P1415">
        <f>IF($A1415="",0,IF(COUNTIF($O$2:$O1415,$O1415)=1,1,0))</f>
        <v>0</v>
      </c>
      <c r="Q1415" t="str">
        <f>IF(AND($P1415=1,$A1415=经营数据!$B$3,$J1415=经营数据!$BA$5),COUNTIFS($P$2:$P$3000,1,$A$2:$A$3000,$A1415,$J$2:$J$3000,$J1415,$N$2:$N$3000,"&lt;"&amp;$N1415)+1,"")</f>
        <v/>
      </c>
      <c r="R1415" t="str">
        <f t="shared" si="338"/>
        <v>创金合信北京国资封闭式商业不动产证券投资基金|隆福寺一期项目</v>
      </c>
      <c r="S1415">
        <f>IF($A1415="",0,IF(COUNTIF($R$2:$R1415,$R1415)=1,1,0))</f>
        <v>0</v>
      </c>
      <c r="T1415">
        <f t="shared" si="339"/>
        <v>1405</v>
      </c>
      <c r="U1415" t="str">
        <f>IF($A1415="","",IF($A1415=经营数据!$B$3,COUNTIFS($S$2:$S$3000,1,$A$2:$A$3000,$A1415,$T$2:$T$3000,"&lt;"&amp;$T1415)+1,""))</f>
        <v/>
      </c>
      <c r="V1415" t="str">
        <f t="shared" si="340"/>
        <v>隆福寺一期项目|服务效率</v>
      </c>
      <c r="W1415">
        <f t="shared" si="341"/>
        <v>1405</v>
      </c>
      <c r="X1415" t="str">
        <f t="shared" si="342"/>
        <v>隆福寺一期项目|加权平均出租率</v>
      </c>
      <c r="Y1415">
        <f t="shared" si="343"/>
        <v>1407</v>
      </c>
      <c r="Z1415">
        <f>IF($A1415="",0,IF(AND($M1415=1,$A1415=经营数据!$B$3,$J1415=经营数据!$BA$5,OR($I1415=经营数据!$BA$4,COUNTIF(经营数据!$AA$9:$AA$38,$I1415)&gt;0)),1,0))</f>
        <v>0</v>
      </c>
      <c r="AA1415" t="str">
        <f t="shared" si="344"/>
        <v/>
      </c>
      <c r="AB1415" t="str">
        <f t="shared" si="345"/>
        <v/>
      </c>
      <c r="AC1415">
        <f>IF($A1415="",0,IF(COUNTIF($A$2:$A1415,$A1415)=1,1,0))</f>
        <v>0</v>
      </c>
      <c r="AD1415">
        <f t="shared" si="346"/>
        <v>17</v>
      </c>
      <c r="AE1415" t="str">
        <f t="shared" si="347"/>
        <v>隆福寺一期项目|加权平均出租率（%）</v>
      </c>
    </row>
    <row r="1416" spans="1:31" x14ac:dyDescent="0.4">
      <c r="A1416" t="str">
        <f>IF(原始经营数据!$D1417="","",原始经营数据!$D1417)</f>
        <v>创金合信北京国资封闭式商业不动产证券投资基金</v>
      </c>
      <c r="B1416" t="str">
        <f>IF(原始经营数据!$D1417="","",T(原始经营数据!$E1417))</f>
        <v>隆福寺一期项目</v>
      </c>
      <c r="C1416" t="str">
        <f>IF(原始经营数据!$D1417="","",原始经营数据!$F1417)</f>
        <v>2025</v>
      </c>
      <c r="D1416" t="str">
        <f>IF(原始经营数据!$D1417="","",原始经营数据!$H1417)</f>
        <v>期末出租率</v>
      </c>
      <c r="E1416">
        <f>IF(原始经营数据!$D1417="","",原始经营数据!$I1417)</f>
        <v>82.65</v>
      </c>
      <c r="F1416" t="str">
        <f>IF(原始经营数据!$D1417="","",T(原始经营数据!$J1417))</f>
        <v>%</v>
      </c>
      <c r="G1416" t="str">
        <f>IF(原始经营数据!$D1417="","",T(原始经营数据!$K1417))</f>
        <v/>
      </c>
      <c r="H1416" t="str">
        <f>IF(原始经营数据!$D1417="","",原始经营数据!$G1417)</f>
        <v>服务效率</v>
      </c>
      <c r="I1416" t="str">
        <f>IF($A1416="","",IF($B1416&lt;&gt;"",$B1416,IF(COUNTIFS(原始经营数据!$D$3:$D$3001,$A1416,原始经营数据!$E$3:$E$3001,"",原始经营数据!$F$3:$F$3001,$C1416,原始经营数据!$H$3:$H$3001,$D1416,原始经营数据!$K$3:$K$3001,$G1416)&gt;1,"基金整体·来源"&amp;原始经营数据!$A1417,"基金整体")))</f>
        <v>隆福寺一期项目</v>
      </c>
      <c r="J1416" t="str">
        <f t="shared" si="333"/>
        <v>年度</v>
      </c>
      <c r="K1416" t="str">
        <f t="shared" si="334"/>
        <v>期末出租率（%）</v>
      </c>
      <c r="L1416" t="str">
        <f t="shared" si="335"/>
        <v>隆福寺一期项目|期末出租率（%）|年度</v>
      </c>
      <c r="M1416">
        <f>IF($A1416="",0,IF(COUNTIF($L$2:$L1416,$L1416)=1,1,0))</f>
        <v>0</v>
      </c>
      <c r="N1416">
        <f t="shared" si="336"/>
        <v>20250</v>
      </c>
      <c r="O1416" t="str">
        <f t="shared" si="337"/>
        <v>创金合信北京国资封闭式商业不动产证券投资基金|2025|年度</v>
      </c>
      <c r="P1416">
        <f>IF($A1416="",0,IF(COUNTIF($O$2:$O1416,$O1416)=1,1,0))</f>
        <v>0</v>
      </c>
      <c r="Q1416" t="str">
        <f>IF(AND($P1416=1,$A1416=经营数据!$B$3,$J1416=经营数据!$BA$5),COUNTIFS($P$2:$P$3000,1,$A$2:$A$3000,$A1416,$J$2:$J$3000,$J1416,$N$2:$N$3000,"&lt;"&amp;$N1416)+1,"")</f>
        <v/>
      </c>
      <c r="R1416" t="str">
        <f t="shared" si="338"/>
        <v>创金合信北京国资封闭式商业不动产证券投资基金|隆福寺一期项目</v>
      </c>
      <c r="S1416">
        <f>IF($A1416="",0,IF(COUNTIF($R$2:$R1416,$R1416)=1,1,0))</f>
        <v>0</v>
      </c>
      <c r="T1416">
        <f t="shared" si="339"/>
        <v>1405</v>
      </c>
      <c r="U1416" t="str">
        <f>IF($A1416="","",IF($A1416=经营数据!$B$3,COUNTIFS($S$2:$S$3000,1,$A$2:$A$3000,$A1416,$T$2:$T$3000,"&lt;"&amp;$T1416)+1,""))</f>
        <v/>
      </c>
      <c r="V1416" t="str">
        <f t="shared" si="340"/>
        <v>隆福寺一期项目|服务效率</v>
      </c>
      <c r="W1416">
        <f t="shared" si="341"/>
        <v>1405</v>
      </c>
      <c r="X1416" t="str">
        <f t="shared" si="342"/>
        <v>隆福寺一期项目|期末出租率</v>
      </c>
      <c r="Y1416">
        <f t="shared" si="343"/>
        <v>1408</v>
      </c>
      <c r="Z1416">
        <f>IF($A1416="",0,IF(AND($M1416=1,$A1416=经营数据!$B$3,$J1416=经营数据!$BA$5,OR($I1416=经营数据!$BA$4,COUNTIF(经营数据!$AA$9:$AA$38,$I1416)&gt;0)),1,0))</f>
        <v>0</v>
      </c>
      <c r="AA1416" t="str">
        <f t="shared" si="344"/>
        <v/>
      </c>
      <c r="AB1416" t="str">
        <f t="shared" si="345"/>
        <v/>
      </c>
      <c r="AC1416">
        <f>IF($A1416="",0,IF(COUNTIF($A$2:$A1416,$A1416)=1,1,0))</f>
        <v>0</v>
      </c>
      <c r="AD1416">
        <f t="shared" si="346"/>
        <v>17</v>
      </c>
      <c r="AE1416" t="str">
        <f t="shared" si="347"/>
        <v>隆福寺一期项目|期末出租率（%）</v>
      </c>
    </row>
    <row r="1417" spans="1:31" x14ac:dyDescent="0.4">
      <c r="A1417" t="str">
        <f>IF(原始经营数据!$D1418="","",原始经营数据!$D1418)</f>
        <v>创金合信北京国资封闭式商业不动产证券投资基金</v>
      </c>
      <c r="B1417" t="str">
        <f>IF(原始经营数据!$D1418="","",T(原始经营数据!$E1418))</f>
        <v>隆福寺一期项目</v>
      </c>
      <c r="C1417" t="str">
        <f>IF(原始经营数据!$D1418="","",原始经营数据!$F1418)</f>
        <v>2025</v>
      </c>
      <c r="D1417" t="str">
        <f>IF(原始经营数据!$D1418="","",原始经营数据!$H1418)</f>
        <v>租金收缴率</v>
      </c>
      <c r="E1417">
        <f>IF(原始经营数据!$D1418="","",原始经营数据!$I1418)</f>
        <v>95.76</v>
      </c>
      <c r="F1417" t="str">
        <f>IF(原始经营数据!$D1418="","",T(原始经营数据!$J1418))</f>
        <v>%</v>
      </c>
      <c r="G1417" t="str">
        <f>IF(原始经营数据!$D1418="","",T(原始经营数据!$K1418))</f>
        <v/>
      </c>
      <c r="H1417" t="str">
        <f>IF(原始经营数据!$D1418="","",原始经营数据!$G1418)</f>
        <v>服务效率</v>
      </c>
      <c r="I1417" t="str">
        <f>IF($A1417="","",IF($B1417&lt;&gt;"",$B1417,IF(COUNTIFS(原始经营数据!$D$3:$D$3001,$A1417,原始经营数据!$E$3:$E$3001,"",原始经营数据!$F$3:$F$3001,$C1417,原始经营数据!$H$3:$H$3001,$D1417,原始经营数据!$K$3:$K$3001,$G1417)&gt;1,"基金整体·来源"&amp;原始经营数据!$A1418,"基金整体")))</f>
        <v>隆福寺一期项目</v>
      </c>
      <c r="J1417" t="str">
        <f t="shared" si="333"/>
        <v>年度</v>
      </c>
      <c r="K1417" t="str">
        <f t="shared" si="334"/>
        <v>租金收缴率（%）</v>
      </c>
      <c r="L1417" t="str">
        <f t="shared" si="335"/>
        <v>隆福寺一期项目|租金收缴率（%）|年度</v>
      </c>
      <c r="M1417">
        <f>IF($A1417="",0,IF(COUNTIF($L$2:$L1417,$L1417)=1,1,0))</f>
        <v>0</v>
      </c>
      <c r="N1417">
        <f t="shared" si="336"/>
        <v>20250</v>
      </c>
      <c r="O1417" t="str">
        <f t="shared" si="337"/>
        <v>创金合信北京国资封闭式商业不动产证券投资基金|2025|年度</v>
      </c>
      <c r="P1417">
        <f>IF($A1417="",0,IF(COUNTIF($O$2:$O1417,$O1417)=1,1,0))</f>
        <v>0</v>
      </c>
      <c r="Q1417" t="str">
        <f>IF(AND($P1417=1,$A1417=经营数据!$B$3,$J1417=经营数据!$BA$5),COUNTIFS($P$2:$P$3000,1,$A$2:$A$3000,$A1417,$J$2:$J$3000,$J1417,$N$2:$N$3000,"&lt;"&amp;$N1417)+1,"")</f>
        <v/>
      </c>
      <c r="R1417" t="str">
        <f t="shared" si="338"/>
        <v>创金合信北京国资封闭式商业不动产证券投资基金|隆福寺一期项目</v>
      </c>
      <c r="S1417">
        <f>IF($A1417="",0,IF(COUNTIF($R$2:$R1417,$R1417)=1,1,0))</f>
        <v>0</v>
      </c>
      <c r="T1417">
        <f t="shared" si="339"/>
        <v>1405</v>
      </c>
      <c r="U1417" t="str">
        <f>IF($A1417="","",IF($A1417=经营数据!$B$3,COUNTIFS($S$2:$S$3000,1,$A$2:$A$3000,$A1417,$T$2:$T$3000,"&lt;"&amp;$T1417)+1,""))</f>
        <v/>
      </c>
      <c r="V1417" t="str">
        <f t="shared" si="340"/>
        <v>隆福寺一期项目|服务效率</v>
      </c>
      <c r="W1417">
        <f t="shared" si="341"/>
        <v>1405</v>
      </c>
      <c r="X1417" t="str">
        <f t="shared" si="342"/>
        <v>隆福寺一期项目|租金收缴率</v>
      </c>
      <c r="Y1417">
        <f t="shared" si="343"/>
        <v>1405</v>
      </c>
      <c r="Z1417">
        <f>IF($A1417="",0,IF(AND($M1417=1,$A1417=经营数据!$B$3,$J1417=经营数据!$BA$5,OR($I1417=经营数据!$BA$4,COUNTIF(经营数据!$AA$9:$AA$38,$I1417)&gt;0)),1,0))</f>
        <v>0</v>
      </c>
      <c r="AA1417" t="str">
        <f t="shared" si="344"/>
        <v/>
      </c>
      <c r="AB1417" t="str">
        <f t="shared" si="345"/>
        <v/>
      </c>
      <c r="AC1417">
        <f>IF($A1417="",0,IF(COUNTIF($A$2:$A1417,$A1417)=1,1,0))</f>
        <v>0</v>
      </c>
      <c r="AD1417">
        <f t="shared" si="346"/>
        <v>17</v>
      </c>
      <c r="AE1417" t="str">
        <f t="shared" si="347"/>
        <v>隆福寺一期项目|租金收缴率（%）</v>
      </c>
    </row>
    <row r="1418" spans="1:31" x14ac:dyDescent="0.4">
      <c r="A1418" t="str">
        <f>IF(原始经营数据!$D1419="","",原始经营数据!$D1419)</f>
        <v>创金合信北京国资封闭式商业不动产证券投资基金</v>
      </c>
      <c r="B1418" t="str">
        <f>IF(原始经营数据!$D1419="","",T(原始经营数据!$E1419))</f>
        <v>集智未来项目</v>
      </c>
      <c r="C1418" t="str">
        <f>IF(原始经营数据!$D1419="","",原始经营数据!$F1419)</f>
        <v>2023</v>
      </c>
      <c r="D1418" t="str">
        <f>IF(原始经营数据!$D1419="","",原始经营数据!$H1419)</f>
        <v>期末出租率</v>
      </c>
      <c r="E1418">
        <f>IF(原始经营数据!$D1419="","",原始经营数据!$I1419)</f>
        <v>91.27</v>
      </c>
      <c r="F1418" t="str">
        <f>IF(原始经营数据!$D1419="","",T(原始经营数据!$J1419))</f>
        <v>%</v>
      </c>
      <c r="G1418" t="str">
        <f>IF(原始经营数据!$D1419="","",T(原始经营数据!$K1419))</f>
        <v/>
      </c>
      <c r="H1418" t="str">
        <f>IF(原始经营数据!$D1419="","",原始经营数据!$G1419)</f>
        <v>服务效率</v>
      </c>
      <c r="I1418" t="str">
        <f>IF($A1418="","",IF($B1418&lt;&gt;"",$B1418,IF(COUNTIFS(原始经营数据!$D$3:$D$3001,$A1418,原始经营数据!$E$3:$E$3001,"",原始经营数据!$F$3:$F$3001,$C1418,原始经营数据!$H$3:$H$3001,$D1418,原始经营数据!$K$3:$K$3001,$G1418)&gt;1,"基金整体·来源"&amp;原始经营数据!$A1419,"基金整体")))</f>
        <v>集智未来项目</v>
      </c>
      <c r="J1418" t="str">
        <f t="shared" si="333"/>
        <v>年度</v>
      </c>
      <c r="K1418" t="str">
        <f t="shared" si="334"/>
        <v>期末出租率（%）</v>
      </c>
      <c r="L1418" t="str">
        <f t="shared" si="335"/>
        <v>集智未来项目|期末出租率（%）|年度</v>
      </c>
      <c r="M1418">
        <f>IF($A1418="",0,IF(COUNTIF($L$2:$L1418,$L1418)=1,1,0))</f>
        <v>1</v>
      </c>
      <c r="N1418">
        <f t="shared" si="336"/>
        <v>20230</v>
      </c>
      <c r="O1418" t="str">
        <f t="shared" si="337"/>
        <v>创金合信北京国资封闭式商业不动产证券投资基金|2023|年度</v>
      </c>
      <c r="P1418">
        <f>IF($A1418="",0,IF(COUNTIF($O$2:$O1418,$O1418)=1,1,0))</f>
        <v>0</v>
      </c>
      <c r="Q1418" t="str">
        <f>IF(AND($P1418=1,$A1418=经营数据!$B$3,$J1418=经营数据!$BA$5),COUNTIFS($P$2:$P$3000,1,$A$2:$A$3000,$A1418,$J$2:$J$3000,$J1418,$N$2:$N$3000,"&lt;"&amp;$N1418)+1,"")</f>
        <v/>
      </c>
      <c r="R1418" t="str">
        <f t="shared" si="338"/>
        <v>创金合信北京国资封闭式商业不动产证券投资基金|集智未来项目</v>
      </c>
      <c r="S1418">
        <f>IF($A1418="",0,IF(COUNTIF($R$2:$R1418,$R1418)=1,1,0))</f>
        <v>1</v>
      </c>
      <c r="T1418">
        <f t="shared" si="339"/>
        <v>1417</v>
      </c>
      <c r="U1418" t="str">
        <f>IF($A1418="","",IF($A1418=经营数据!$B$3,COUNTIFS($S$2:$S$3000,1,$A$2:$A$3000,$A1418,$T$2:$T$3000,"&lt;"&amp;$T1418)+1,""))</f>
        <v/>
      </c>
      <c r="V1418" t="str">
        <f t="shared" si="340"/>
        <v>集智未来项目|服务效率</v>
      </c>
      <c r="W1418">
        <f t="shared" si="341"/>
        <v>1417</v>
      </c>
      <c r="X1418" t="str">
        <f t="shared" si="342"/>
        <v>集智未来项目|期末出租率</v>
      </c>
      <c r="Y1418">
        <f t="shared" si="343"/>
        <v>1417</v>
      </c>
      <c r="Z1418">
        <f>IF($A1418="",0,IF(AND($M1418=1,$A1418=经营数据!$B$3,$J1418=经营数据!$BA$5,OR($I1418=经营数据!$BA$4,COUNTIF(经营数据!$AA$9:$AA$38,$I1418)&gt;0)),1,0))</f>
        <v>0</v>
      </c>
      <c r="AA1418" t="str">
        <f t="shared" si="344"/>
        <v/>
      </c>
      <c r="AB1418" t="str">
        <f t="shared" si="345"/>
        <v/>
      </c>
      <c r="AC1418">
        <f>IF($A1418="",0,IF(COUNTIF($A$2:$A1418,$A1418)=1,1,0))</f>
        <v>0</v>
      </c>
      <c r="AD1418">
        <f t="shared" si="346"/>
        <v>17</v>
      </c>
      <c r="AE1418" t="str">
        <f t="shared" si="347"/>
        <v>集智未来项目|期末出租率（%）</v>
      </c>
    </row>
    <row r="1419" spans="1:31" x14ac:dyDescent="0.4">
      <c r="A1419" t="str">
        <f>IF(原始经营数据!$D1420="","",原始经营数据!$D1420)</f>
        <v>创金合信北京国资封闭式商业不动产证券投资基金</v>
      </c>
      <c r="B1419" t="str">
        <f>IF(原始经营数据!$D1420="","",T(原始经营数据!$E1420))</f>
        <v>集智未来项目</v>
      </c>
      <c r="C1419" t="str">
        <f>IF(原始经营数据!$D1420="","",原始经营数据!$F1420)</f>
        <v>2023</v>
      </c>
      <c r="D1419" t="str">
        <f>IF(原始经营数据!$D1420="","",原始经营数据!$H1420)</f>
        <v>租金收缴率</v>
      </c>
      <c r="E1419">
        <f>IF(原始经营数据!$D1420="","",原始经营数据!$I1420)</f>
        <v>98.34</v>
      </c>
      <c r="F1419" t="str">
        <f>IF(原始经营数据!$D1420="","",T(原始经营数据!$J1420))</f>
        <v>%</v>
      </c>
      <c r="G1419" t="str">
        <f>IF(原始经营数据!$D1420="","",T(原始经营数据!$K1420))</f>
        <v/>
      </c>
      <c r="H1419" t="str">
        <f>IF(原始经营数据!$D1420="","",原始经营数据!$G1420)</f>
        <v>服务效率</v>
      </c>
      <c r="I1419" t="str">
        <f>IF($A1419="","",IF($B1419&lt;&gt;"",$B1419,IF(COUNTIFS(原始经营数据!$D$3:$D$3001,$A1419,原始经营数据!$E$3:$E$3001,"",原始经营数据!$F$3:$F$3001,$C1419,原始经营数据!$H$3:$H$3001,$D1419,原始经营数据!$K$3:$K$3001,$G1419)&gt;1,"基金整体·来源"&amp;原始经营数据!$A1420,"基金整体")))</f>
        <v>集智未来项目</v>
      </c>
      <c r="J1419" t="str">
        <f t="shared" si="333"/>
        <v>年度</v>
      </c>
      <c r="K1419" t="str">
        <f t="shared" si="334"/>
        <v>租金收缴率（%）</v>
      </c>
      <c r="L1419" t="str">
        <f t="shared" si="335"/>
        <v>集智未来项目|租金收缴率（%）|年度</v>
      </c>
      <c r="M1419">
        <f>IF($A1419="",0,IF(COUNTIF($L$2:$L1419,$L1419)=1,1,0))</f>
        <v>1</v>
      </c>
      <c r="N1419">
        <f t="shared" si="336"/>
        <v>20230</v>
      </c>
      <c r="O1419" t="str">
        <f t="shared" si="337"/>
        <v>创金合信北京国资封闭式商业不动产证券投资基金|2023|年度</v>
      </c>
      <c r="P1419">
        <f>IF($A1419="",0,IF(COUNTIF($O$2:$O1419,$O1419)=1,1,0))</f>
        <v>0</v>
      </c>
      <c r="Q1419" t="str">
        <f>IF(AND($P1419=1,$A1419=经营数据!$B$3,$J1419=经营数据!$BA$5),COUNTIFS($P$2:$P$3000,1,$A$2:$A$3000,$A1419,$J$2:$J$3000,$J1419,$N$2:$N$3000,"&lt;"&amp;$N1419)+1,"")</f>
        <v/>
      </c>
      <c r="R1419" t="str">
        <f t="shared" si="338"/>
        <v>创金合信北京国资封闭式商业不动产证券投资基金|集智未来项目</v>
      </c>
      <c r="S1419">
        <f>IF($A1419="",0,IF(COUNTIF($R$2:$R1419,$R1419)=1,1,0))</f>
        <v>0</v>
      </c>
      <c r="T1419">
        <f t="shared" si="339"/>
        <v>1417</v>
      </c>
      <c r="U1419" t="str">
        <f>IF($A1419="","",IF($A1419=经营数据!$B$3,COUNTIFS($S$2:$S$3000,1,$A$2:$A$3000,$A1419,$T$2:$T$3000,"&lt;"&amp;$T1419)+1,""))</f>
        <v/>
      </c>
      <c r="V1419" t="str">
        <f t="shared" si="340"/>
        <v>集智未来项目|服务效率</v>
      </c>
      <c r="W1419">
        <f t="shared" si="341"/>
        <v>1417</v>
      </c>
      <c r="X1419" t="str">
        <f t="shared" si="342"/>
        <v>集智未来项目|租金收缴率</v>
      </c>
      <c r="Y1419">
        <f t="shared" si="343"/>
        <v>1418</v>
      </c>
      <c r="Z1419">
        <f>IF($A1419="",0,IF(AND($M1419=1,$A1419=经营数据!$B$3,$J1419=经营数据!$BA$5,OR($I1419=经营数据!$BA$4,COUNTIF(经营数据!$AA$9:$AA$38,$I1419)&gt;0)),1,0))</f>
        <v>0</v>
      </c>
      <c r="AA1419" t="str">
        <f t="shared" si="344"/>
        <v/>
      </c>
      <c r="AB1419" t="str">
        <f t="shared" si="345"/>
        <v/>
      </c>
      <c r="AC1419">
        <f>IF($A1419="",0,IF(COUNTIF($A$2:$A1419,$A1419)=1,1,0))</f>
        <v>0</v>
      </c>
      <c r="AD1419">
        <f t="shared" si="346"/>
        <v>17</v>
      </c>
      <c r="AE1419" t="str">
        <f t="shared" si="347"/>
        <v>集智未来项目|租金收缴率（%）</v>
      </c>
    </row>
    <row r="1420" spans="1:31" x14ac:dyDescent="0.4">
      <c r="A1420" t="str">
        <f>IF(原始经营数据!$D1421="","",原始经营数据!$D1421)</f>
        <v>创金合信北京国资封闭式商业不动产证券投资基金</v>
      </c>
      <c r="B1420" t="str">
        <f>IF(原始经营数据!$D1421="","",T(原始经营数据!$E1421))</f>
        <v>集智未来项目</v>
      </c>
      <c r="C1420" t="str">
        <f>IF(原始经营数据!$D1421="","",原始经营数据!$F1421)</f>
        <v>2023</v>
      </c>
      <c r="D1420" t="str">
        <f>IF(原始经营数据!$D1421="","",原始经营数据!$H1421)</f>
        <v>平均租金单价</v>
      </c>
      <c r="E1420">
        <f>IF(原始经营数据!$D1421="","",原始经营数据!$I1421)</f>
        <v>8.0299999999999994</v>
      </c>
      <c r="F1420" t="str">
        <f>IF(原始经营数据!$D1421="","",T(原始经营数据!$J1421))</f>
        <v>元/平方米/天</v>
      </c>
      <c r="G1420" t="str">
        <f>IF(原始经营数据!$D1421="","",T(原始经营数据!$K1421))</f>
        <v/>
      </c>
      <c r="H1420" t="str">
        <f>IF(原始经营数据!$D1421="","",原始经营数据!$G1421)</f>
        <v>服务价格</v>
      </c>
      <c r="I1420" t="str">
        <f>IF($A1420="","",IF($B1420&lt;&gt;"",$B1420,IF(COUNTIFS(原始经营数据!$D$3:$D$3001,$A1420,原始经营数据!$E$3:$E$3001,"",原始经营数据!$F$3:$F$3001,$C1420,原始经营数据!$H$3:$H$3001,$D1420,原始经营数据!$K$3:$K$3001,$G1420)&gt;1,"基金整体·来源"&amp;原始经营数据!$A1421,"基金整体")))</f>
        <v>集智未来项目</v>
      </c>
      <c r="J1420" t="str">
        <f t="shared" si="333"/>
        <v>年度</v>
      </c>
      <c r="K1420" t="str">
        <f t="shared" si="334"/>
        <v>平均租金单价（元/平方米/天）</v>
      </c>
      <c r="L1420" t="str">
        <f t="shared" si="335"/>
        <v>集智未来项目|平均租金单价（元/平方米/天）|年度</v>
      </c>
      <c r="M1420">
        <f>IF($A1420="",0,IF(COUNTIF($L$2:$L1420,$L1420)=1,1,0))</f>
        <v>1</v>
      </c>
      <c r="N1420">
        <f t="shared" si="336"/>
        <v>20230</v>
      </c>
      <c r="O1420" t="str">
        <f t="shared" si="337"/>
        <v>创金合信北京国资封闭式商业不动产证券投资基金|2023|年度</v>
      </c>
      <c r="P1420">
        <f>IF($A1420="",0,IF(COUNTIF($O$2:$O1420,$O1420)=1,1,0))</f>
        <v>0</v>
      </c>
      <c r="Q1420" t="str">
        <f>IF(AND($P1420=1,$A1420=经营数据!$B$3,$J1420=经营数据!$BA$5),COUNTIFS($P$2:$P$3000,1,$A$2:$A$3000,$A1420,$J$2:$J$3000,$J1420,$N$2:$N$3000,"&lt;"&amp;$N1420)+1,"")</f>
        <v/>
      </c>
      <c r="R1420" t="str">
        <f t="shared" si="338"/>
        <v>创金合信北京国资封闭式商业不动产证券投资基金|集智未来项目</v>
      </c>
      <c r="S1420">
        <f>IF($A1420="",0,IF(COUNTIF($R$2:$R1420,$R1420)=1,1,0))</f>
        <v>0</v>
      </c>
      <c r="T1420">
        <f t="shared" si="339"/>
        <v>1417</v>
      </c>
      <c r="U1420" t="str">
        <f>IF($A1420="","",IF($A1420=经营数据!$B$3,COUNTIFS($S$2:$S$3000,1,$A$2:$A$3000,$A1420,$T$2:$T$3000,"&lt;"&amp;$T1420)+1,""))</f>
        <v/>
      </c>
      <c r="V1420" t="str">
        <f t="shared" si="340"/>
        <v>集智未来项目|服务价格</v>
      </c>
      <c r="W1420">
        <f t="shared" si="341"/>
        <v>1419</v>
      </c>
      <c r="X1420" t="str">
        <f t="shared" si="342"/>
        <v>集智未来项目|平均租金单价</v>
      </c>
      <c r="Y1420">
        <f t="shared" si="343"/>
        <v>1419</v>
      </c>
      <c r="Z1420">
        <f>IF($A1420="",0,IF(AND($M1420=1,$A1420=经营数据!$B$3,$J1420=经营数据!$BA$5,OR($I1420=经营数据!$BA$4,COUNTIF(经营数据!$AA$9:$AA$38,$I1420)&gt;0)),1,0))</f>
        <v>0</v>
      </c>
      <c r="AA1420" t="str">
        <f t="shared" si="344"/>
        <v/>
      </c>
      <c r="AB1420" t="str">
        <f t="shared" si="345"/>
        <v/>
      </c>
      <c r="AC1420">
        <f>IF($A1420="",0,IF(COUNTIF($A$2:$A1420,$A1420)=1,1,0))</f>
        <v>0</v>
      </c>
      <c r="AD1420">
        <f t="shared" si="346"/>
        <v>17</v>
      </c>
      <c r="AE1420" t="str">
        <f t="shared" si="347"/>
        <v>集智未来项目|平均租金单价（元/平方米/天）</v>
      </c>
    </row>
    <row r="1421" spans="1:31" x14ac:dyDescent="0.4">
      <c r="A1421" t="str">
        <f>IF(原始经营数据!$D1422="","",原始经营数据!$D1422)</f>
        <v>创金合信北京国资封闭式商业不动产证券投资基金</v>
      </c>
      <c r="B1421" t="str">
        <f>IF(原始经营数据!$D1422="","",T(原始经营数据!$E1422))</f>
        <v>集智未来项目</v>
      </c>
      <c r="C1421" t="str">
        <f>IF(原始经营数据!$D1422="","",原始经营数据!$F1422)</f>
        <v>2023</v>
      </c>
      <c r="D1421" t="str">
        <f>IF(原始经营数据!$D1422="","",原始经营数据!$H1422)</f>
        <v>加权平均出租率</v>
      </c>
      <c r="E1421">
        <f>IF(原始经营数据!$D1422="","",原始经营数据!$I1422)</f>
        <v>84.99</v>
      </c>
      <c r="F1421" t="str">
        <f>IF(原始经营数据!$D1422="","",T(原始经营数据!$J1422))</f>
        <v>%</v>
      </c>
      <c r="G1421" t="str">
        <f>IF(原始经营数据!$D1422="","",T(原始经营数据!$K1422))</f>
        <v/>
      </c>
      <c r="H1421" t="str">
        <f>IF(原始经营数据!$D1422="","",原始经营数据!$G1422)</f>
        <v>服务效率</v>
      </c>
      <c r="I1421" t="str">
        <f>IF($A1421="","",IF($B1421&lt;&gt;"",$B1421,IF(COUNTIFS(原始经营数据!$D$3:$D$3001,$A1421,原始经营数据!$E$3:$E$3001,"",原始经营数据!$F$3:$F$3001,$C1421,原始经营数据!$H$3:$H$3001,$D1421,原始经营数据!$K$3:$K$3001,$G1421)&gt;1,"基金整体·来源"&amp;原始经营数据!$A1422,"基金整体")))</f>
        <v>集智未来项目</v>
      </c>
      <c r="J1421" t="str">
        <f t="shared" si="333"/>
        <v>年度</v>
      </c>
      <c r="K1421" t="str">
        <f t="shared" si="334"/>
        <v>加权平均出租率（%）</v>
      </c>
      <c r="L1421" t="str">
        <f t="shared" si="335"/>
        <v>集智未来项目|加权平均出租率（%）|年度</v>
      </c>
      <c r="M1421">
        <f>IF($A1421="",0,IF(COUNTIF($L$2:$L1421,$L1421)=1,1,0))</f>
        <v>1</v>
      </c>
      <c r="N1421">
        <f t="shared" si="336"/>
        <v>20230</v>
      </c>
      <c r="O1421" t="str">
        <f t="shared" si="337"/>
        <v>创金合信北京国资封闭式商业不动产证券投资基金|2023|年度</v>
      </c>
      <c r="P1421">
        <f>IF($A1421="",0,IF(COUNTIF($O$2:$O1421,$O1421)=1,1,0))</f>
        <v>0</v>
      </c>
      <c r="Q1421" t="str">
        <f>IF(AND($P1421=1,$A1421=经营数据!$B$3,$J1421=经营数据!$BA$5),COUNTIFS($P$2:$P$3000,1,$A$2:$A$3000,$A1421,$J$2:$J$3000,$J1421,$N$2:$N$3000,"&lt;"&amp;$N1421)+1,"")</f>
        <v/>
      </c>
      <c r="R1421" t="str">
        <f t="shared" si="338"/>
        <v>创金合信北京国资封闭式商业不动产证券投资基金|集智未来项目</v>
      </c>
      <c r="S1421">
        <f>IF($A1421="",0,IF(COUNTIF($R$2:$R1421,$R1421)=1,1,0))</f>
        <v>0</v>
      </c>
      <c r="T1421">
        <f t="shared" si="339"/>
        <v>1417</v>
      </c>
      <c r="U1421" t="str">
        <f>IF($A1421="","",IF($A1421=经营数据!$B$3,COUNTIFS($S$2:$S$3000,1,$A$2:$A$3000,$A1421,$T$2:$T$3000,"&lt;"&amp;$T1421)+1,""))</f>
        <v/>
      </c>
      <c r="V1421" t="str">
        <f t="shared" si="340"/>
        <v>集智未来项目|服务效率</v>
      </c>
      <c r="W1421">
        <f t="shared" si="341"/>
        <v>1417</v>
      </c>
      <c r="X1421" t="str">
        <f t="shared" si="342"/>
        <v>集智未来项目|加权平均出租率</v>
      </c>
      <c r="Y1421">
        <f t="shared" si="343"/>
        <v>1420</v>
      </c>
      <c r="Z1421">
        <f>IF($A1421="",0,IF(AND($M1421=1,$A1421=经营数据!$B$3,$J1421=经营数据!$BA$5,OR($I1421=经营数据!$BA$4,COUNTIF(经营数据!$AA$9:$AA$38,$I1421)&gt;0)),1,0))</f>
        <v>0</v>
      </c>
      <c r="AA1421" t="str">
        <f t="shared" si="344"/>
        <v/>
      </c>
      <c r="AB1421" t="str">
        <f t="shared" si="345"/>
        <v/>
      </c>
      <c r="AC1421">
        <f>IF($A1421="",0,IF(COUNTIF($A$2:$A1421,$A1421)=1,1,0))</f>
        <v>0</v>
      </c>
      <c r="AD1421">
        <f t="shared" si="346"/>
        <v>17</v>
      </c>
      <c r="AE1421" t="str">
        <f t="shared" si="347"/>
        <v>集智未来项目|加权平均出租率（%）</v>
      </c>
    </row>
    <row r="1422" spans="1:31" x14ac:dyDescent="0.4">
      <c r="A1422" t="str">
        <f>IF(原始经营数据!$D1423="","",原始经营数据!$D1423)</f>
        <v>创金合信北京国资封闭式商业不动产证券投资基金</v>
      </c>
      <c r="B1422" t="str">
        <f>IF(原始经营数据!$D1423="","",T(原始经营数据!$E1423))</f>
        <v>集智未来项目</v>
      </c>
      <c r="C1422" t="str">
        <f>IF(原始经营数据!$D1423="","",原始经营数据!$F1423)</f>
        <v>2024</v>
      </c>
      <c r="D1422" t="str">
        <f>IF(原始经营数据!$D1423="","",原始经营数据!$H1423)</f>
        <v>期末出租率</v>
      </c>
      <c r="E1422">
        <f>IF(原始经营数据!$D1423="","",原始经营数据!$I1423)</f>
        <v>88.97</v>
      </c>
      <c r="F1422" t="str">
        <f>IF(原始经营数据!$D1423="","",T(原始经营数据!$J1423))</f>
        <v>%</v>
      </c>
      <c r="G1422" t="str">
        <f>IF(原始经营数据!$D1423="","",T(原始经营数据!$K1423))</f>
        <v/>
      </c>
      <c r="H1422" t="str">
        <f>IF(原始经营数据!$D1423="","",原始经营数据!$G1423)</f>
        <v>服务效率</v>
      </c>
      <c r="I1422" t="str">
        <f>IF($A1422="","",IF($B1422&lt;&gt;"",$B1422,IF(COUNTIFS(原始经营数据!$D$3:$D$3001,$A1422,原始经营数据!$E$3:$E$3001,"",原始经营数据!$F$3:$F$3001,$C1422,原始经营数据!$H$3:$H$3001,$D1422,原始经营数据!$K$3:$K$3001,$G1422)&gt;1,"基金整体·来源"&amp;原始经营数据!$A1423,"基金整体")))</f>
        <v>集智未来项目</v>
      </c>
      <c r="J1422" t="str">
        <f t="shared" si="333"/>
        <v>年度</v>
      </c>
      <c r="K1422" t="str">
        <f t="shared" si="334"/>
        <v>期末出租率（%）</v>
      </c>
      <c r="L1422" t="str">
        <f t="shared" si="335"/>
        <v>集智未来项目|期末出租率（%）|年度</v>
      </c>
      <c r="M1422">
        <f>IF($A1422="",0,IF(COUNTIF($L$2:$L1422,$L1422)=1,1,0))</f>
        <v>0</v>
      </c>
      <c r="N1422">
        <f t="shared" si="336"/>
        <v>20240</v>
      </c>
      <c r="O1422" t="str">
        <f t="shared" si="337"/>
        <v>创金合信北京国资封闭式商业不动产证券投资基金|2024|年度</v>
      </c>
      <c r="P1422">
        <f>IF($A1422="",0,IF(COUNTIF($O$2:$O1422,$O1422)=1,1,0))</f>
        <v>0</v>
      </c>
      <c r="Q1422" t="str">
        <f>IF(AND($P1422=1,$A1422=经营数据!$B$3,$J1422=经营数据!$BA$5),COUNTIFS($P$2:$P$3000,1,$A$2:$A$3000,$A1422,$J$2:$J$3000,$J1422,$N$2:$N$3000,"&lt;"&amp;$N1422)+1,"")</f>
        <v/>
      </c>
      <c r="R1422" t="str">
        <f t="shared" si="338"/>
        <v>创金合信北京国资封闭式商业不动产证券投资基金|集智未来项目</v>
      </c>
      <c r="S1422">
        <f>IF($A1422="",0,IF(COUNTIF($R$2:$R1422,$R1422)=1,1,0))</f>
        <v>0</v>
      </c>
      <c r="T1422">
        <f t="shared" si="339"/>
        <v>1417</v>
      </c>
      <c r="U1422" t="str">
        <f>IF($A1422="","",IF($A1422=经营数据!$B$3,COUNTIFS($S$2:$S$3000,1,$A$2:$A$3000,$A1422,$T$2:$T$3000,"&lt;"&amp;$T1422)+1,""))</f>
        <v/>
      </c>
      <c r="V1422" t="str">
        <f t="shared" si="340"/>
        <v>集智未来项目|服务效率</v>
      </c>
      <c r="W1422">
        <f t="shared" si="341"/>
        <v>1417</v>
      </c>
      <c r="X1422" t="str">
        <f t="shared" si="342"/>
        <v>集智未来项目|期末出租率</v>
      </c>
      <c r="Y1422">
        <f t="shared" si="343"/>
        <v>1417</v>
      </c>
      <c r="Z1422">
        <f>IF($A1422="",0,IF(AND($M1422=1,$A1422=经营数据!$B$3,$J1422=经营数据!$BA$5,OR($I1422=经营数据!$BA$4,COUNTIF(经营数据!$AA$9:$AA$38,$I1422)&gt;0)),1,0))</f>
        <v>0</v>
      </c>
      <c r="AA1422" t="str">
        <f t="shared" si="344"/>
        <v/>
      </c>
      <c r="AB1422" t="str">
        <f t="shared" si="345"/>
        <v/>
      </c>
      <c r="AC1422">
        <f>IF($A1422="",0,IF(COUNTIF($A$2:$A1422,$A1422)=1,1,0))</f>
        <v>0</v>
      </c>
      <c r="AD1422">
        <f t="shared" si="346"/>
        <v>17</v>
      </c>
      <c r="AE1422" t="str">
        <f t="shared" si="347"/>
        <v>集智未来项目|期末出租率（%）</v>
      </c>
    </row>
    <row r="1423" spans="1:31" x14ac:dyDescent="0.4">
      <c r="A1423" t="str">
        <f>IF(原始经营数据!$D1424="","",原始经营数据!$D1424)</f>
        <v>创金合信北京国资封闭式商业不动产证券投资基金</v>
      </c>
      <c r="B1423" t="str">
        <f>IF(原始经营数据!$D1424="","",T(原始经营数据!$E1424))</f>
        <v>集智未来项目</v>
      </c>
      <c r="C1423" t="str">
        <f>IF(原始经营数据!$D1424="","",原始经营数据!$F1424)</f>
        <v>2024</v>
      </c>
      <c r="D1423" t="str">
        <f>IF(原始经营数据!$D1424="","",原始经营数据!$H1424)</f>
        <v>租金收缴率</v>
      </c>
      <c r="E1423">
        <f>IF(原始经营数据!$D1424="","",原始经营数据!$I1424)</f>
        <v>99.44</v>
      </c>
      <c r="F1423" t="str">
        <f>IF(原始经营数据!$D1424="","",T(原始经营数据!$J1424))</f>
        <v>%</v>
      </c>
      <c r="G1423" t="str">
        <f>IF(原始经营数据!$D1424="","",T(原始经营数据!$K1424))</f>
        <v/>
      </c>
      <c r="H1423" t="str">
        <f>IF(原始经营数据!$D1424="","",原始经营数据!$G1424)</f>
        <v>服务效率</v>
      </c>
      <c r="I1423" t="str">
        <f>IF($A1423="","",IF($B1423&lt;&gt;"",$B1423,IF(COUNTIFS(原始经营数据!$D$3:$D$3001,$A1423,原始经营数据!$E$3:$E$3001,"",原始经营数据!$F$3:$F$3001,$C1423,原始经营数据!$H$3:$H$3001,$D1423,原始经营数据!$K$3:$K$3001,$G1423)&gt;1,"基金整体·来源"&amp;原始经营数据!$A1424,"基金整体")))</f>
        <v>集智未来项目</v>
      </c>
      <c r="J1423" t="str">
        <f t="shared" si="333"/>
        <v>年度</v>
      </c>
      <c r="K1423" t="str">
        <f t="shared" si="334"/>
        <v>租金收缴率（%）</v>
      </c>
      <c r="L1423" t="str">
        <f t="shared" si="335"/>
        <v>集智未来项目|租金收缴率（%）|年度</v>
      </c>
      <c r="M1423">
        <f>IF($A1423="",0,IF(COUNTIF($L$2:$L1423,$L1423)=1,1,0))</f>
        <v>0</v>
      </c>
      <c r="N1423">
        <f t="shared" si="336"/>
        <v>20240</v>
      </c>
      <c r="O1423" t="str">
        <f t="shared" si="337"/>
        <v>创金合信北京国资封闭式商业不动产证券投资基金|2024|年度</v>
      </c>
      <c r="P1423">
        <f>IF($A1423="",0,IF(COUNTIF($O$2:$O1423,$O1423)=1,1,0))</f>
        <v>0</v>
      </c>
      <c r="Q1423" t="str">
        <f>IF(AND($P1423=1,$A1423=经营数据!$B$3,$J1423=经营数据!$BA$5),COUNTIFS($P$2:$P$3000,1,$A$2:$A$3000,$A1423,$J$2:$J$3000,$J1423,$N$2:$N$3000,"&lt;"&amp;$N1423)+1,"")</f>
        <v/>
      </c>
      <c r="R1423" t="str">
        <f t="shared" si="338"/>
        <v>创金合信北京国资封闭式商业不动产证券投资基金|集智未来项目</v>
      </c>
      <c r="S1423">
        <f>IF($A1423="",0,IF(COUNTIF($R$2:$R1423,$R1423)=1,1,0))</f>
        <v>0</v>
      </c>
      <c r="T1423">
        <f t="shared" si="339"/>
        <v>1417</v>
      </c>
      <c r="U1423" t="str">
        <f>IF($A1423="","",IF($A1423=经营数据!$B$3,COUNTIFS($S$2:$S$3000,1,$A$2:$A$3000,$A1423,$T$2:$T$3000,"&lt;"&amp;$T1423)+1,""))</f>
        <v/>
      </c>
      <c r="V1423" t="str">
        <f t="shared" si="340"/>
        <v>集智未来项目|服务效率</v>
      </c>
      <c r="W1423">
        <f t="shared" si="341"/>
        <v>1417</v>
      </c>
      <c r="X1423" t="str">
        <f t="shared" si="342"/>
        <v>集智未来项目|租金收缴率</v>
      </c>
      <c r="Y1423">
        <f t="shared" si="343"/>
        <v>1418</v>
      </c>
      <c r="Z1423">
        <f>IF($A1423="",0,IF(AND($M1423=1,$A1423=经营数据!$B$3,$J1423=经营数据!$BA$5,OR($I1423=经营数据!$BA$4,COUNTIF(经营数据!$AA$9:$AA$38,$I1423)&gt;0)),1,0))</f>
        <v>0</v>
      </c>
      <c r="AA1423" t="str">
        <f t="shared" si="344"/>
        <v/>
      </c>
      <c r="AB1423" t="str">
        <f t="shared" si="345"/>
        <v/>
      </c>
      <c r="AC1423">
        <f>IF($A1423="",0,IF(COUNTIF($A$2:$A1423,$A1423)=1,1,0))</f>
        <v>0</v>
      </c>
      <c r="AD1423">
        <f t="shared" si="346"/>
        <v>17</v>
      </c>
      <c r="AE1423" t="str">
        <f t="shared" si="347"/>
        <v>集智未来项目|租金收缴率（%）</v>
      </c>
    </row>
    <row r="1424" spans="1:31" x14ac:dyDescent="0.4">
      <c r="A1424" t="str">
        <f>IF(原始经营数据!$D1425="","",原始经营数据!$D1425)</f>
        <v>创金合信北京国资封闭式商业不动产证券投资基金</v>
      </c>
      <c r="B1424" t="str">
        <f>IF(原始经营数据!$D1425="","",T(原始经营数据!$E1425))</f>
        <v>集智未来项目</v>
      </c>
      <c r="C1424" t="str">
        <f>IF(原始经营数据!$D1425="","",原始经营数据!$F1425)</f>
        <v>2024</v>
      </c>
      <c r="D1424" t="str">
        <f>IF(原始经营数据!$D1425="","",原始经营数据!$H1425)</f>
        <v>平均租金单价</v>
      </c>
      <c r="E1424">
        <f>IF(原始经营数据!$D1425="","",原始经营数据!$I1425)</f>
        <v>7.29</v>
      </c>
      <c r="F1424" t="str">
        <f>IF(原始经营数据!$D1425="","",T(原始经营数据!$J1425))</f>
        <v>元/平方米/天</v>
      </c>
      <c r="G1424" t="str">
        <f>IF(原始经营数据!$D1425="","",T(原始经营数据!$K1425))</f>
        <v/>
      </c>
      <c r="H1424" t="str">
        <f>IF(原始经营数据!$D1425="","",原始经营数据!$G1425)</f>
        <v>服务价格</v>
      </c>
      <c r="I1424" t="str">
        <f>IF($A1424="","",IF($B1424&lt;&gt;"",$B1424,IF(COUNTIFS(原始经营数据!$D$3:$D$3001,$A1424,原始经营数据!$E$3:$E$3001,"",原始经营数据!$F$3:$F$3001,$C1424,原始经营数据!$H$3:$H$3001,$D1424,原始经营数据!$K$3:$K$3001,$G1424)&gt;1,"基金整体·来源"&amp;原始经营数据!$A1425,"基金整体")))</f>
        <v>集智未来项目</v>
      </c>
      <c r="J1424" t="str">
        <f t="shared" si="333"/>
        <v>年度</v>
      </c>
      <c r="K1424" t="str">
        <f t="shared" si="334"/>
        <v>平均租金单价（元/平方米/天）</v>
      </c>
      <c r="L1424" t="str">
        <f t="shared" si="335"/>
        <v>集智未来项目|平均租金单价（元/平方米/天）|年度</v>
      </c>
      <c r="M1424">
        <f>IF($A1424="",0,IF(COUNTIF($L$2:$L1424,$L1424)=1,1,0))</f>
        <v>0</v>
      </c>
      <c r="N1424">
        <f t="shared" si="336"/>
        <v>20240</v>
      </c>
      <c r="O1424" t="str">
        <f t="shared" si="337"/>
        <v>创金合信北京国资封闭式商业不动产证券投资基金|2024|年度</v>
      </c>
      <c r="P1424">
        <f>IF($A1424="",0,IF(COUNTIF($O$2:$O1424,$O1424)=1,1,0))</f>
        <v>0</v>
      </c>
      <c r="Q1424" t="str">
        <f>IF(AND($P1424=1,$A1424=经营数据!$B$3,$J1424=经营数据!$BA$5),COUNTIFS($P$2:$P$3000,1,$A$2:$A$3000,$A1424,$J$2:$J$3000,$J1424,$N$2:$N$3000,"&lt;"&amp;$N1424)+1,"")</f>
        <v/>
      </c>
      <c r="R1424" t="str">
        <f t="shared" si="338"/>
        <v>创金合信北京国资封闭式商业不动产证券投资基金|集智未来项目</v>
      </c>
      <c r="S1424">
        <f>IF($A1424="",0,IF(COUNTIF($R$2:$R1424,$R1424)=1,1,0))</f>
        <v>0</v>
      </c>
      <c r="T1424">
        <f t="shared" si="339"/>
        <v>1417</v>
      </c>
      <c r="U1424" t="str">
        <f>IF($A1424="","",IF($A1424=经营数据!$B$3,COUNTIFS($S$2:$S$3000,1,$A$2:$A$3000,$A1424,$T$2:$T$3000,"&lt;"&amp;$T1424)+1,""))</f>
        <v/>
      </c>
      <c r="V1424" t="str">
        <f t="shared" si="340"/>
        <v>集智未来项目|服务价格</v>
      </c>
      <c r="W1424">
        <f t="shared" si="341"/>
        <v>1419</v>
      </c>
      <c r="X1424" t="str">
        <f t="shared" si="342"/>
        <v>集智未来项目|平均租金单价</v>
      </c>
      <c r="Y1424">
        <f t="shared" si="343"/>
        <v>1419</v>
      </c>
      <c r="Z1424">
        <f>IF($A1424="",0,IF(AND($M1424=1,$A1424=经营数据!$B$3,$J1424=经营数据!$BA$5,OR($I1424=经营数据!$BA$4,COUNTIF(经营数据!$AA$9:$AA$38,$I1424)&gt;0)),1,0))</f>
        <v>0</v>
      </c>
      <c r="AA1424" t="str">
        <f t="shared" si="344"/>
        <v/>
      </c>
      <c r="AB1424" t="str">
        <f t="shared" si="345"/>
        <v/>
      </c>
      <c r="AC1424">
        <f>IF($A1424="",0,IF(COUNTIF($A$2:$A1424,$A1424)=1,1,0))</f>
        <v>0</v>
      </c>
      <c r="AD1424">
        <f t="shared" si="346"/>
        <v>17</v>
      </c>
      <c r="AE1424" t="str">
        <f t="shared" si="347"/>
        <v>集智未来项目|平均租金单价（元/平方米/天）</v>
      </c>
    </row>
    <row r="1425" spans="1:31" x14ac:dyDescent="0.4">
      <c r="A1425" t="str">
        <f>IF(原始经营数据!$D1426="","",原始经营数据!$D1426)</f>
        <v>创金合信北京国资封闭式商业不动产证券投资基金</v>
      </c>
      <c r="B1425" t="str">
        <f>IF(原始经营数据!$D1426="","",T(原始经营数据!$E1426))</f>
        <v>集智未来项目</v>
      </c>
      <c r="C1425" t="str">
        <f>IF(原始经营数据!$D1426="","",原始经营数据!$F1426)</f>
        <v>2024</v>
      </c>
      <c r="D1425" t="str">
        <f>IF(原始经营数据!$D1426="","",原始经营数据!$H1426)</f>
        <v>加权平均出租率</v>
      </c>
      <c r="E1425">
        <f>IF(原始经营数据!$D1426="","",原始经营数据!$I1426)</f>
        <v>89.39</v>
      </c>
      <c r="F1425" t="str">
        <f>IF(原始经营数据!$D1426="","",T(原始经营数据!$J1426))</f>
        <v>%</v>
      </c>
      <c r="G1425" t="str">
        <f>IF(原始经营数据!$D1426="","",T(原始经营数据!$K1426))</f>
        <v/>
      </c>
      <c r="H1425" t="str">
        <f>IF(原始经营数据!$D1426="","",原始经营数据!$G1426)</f>
        <v>服务效率</v>
      </c>
      <c r="I1425" t="str">
        <f>IF($A1425="","",IF($B1425&lt;&gt;"",$B1425,IF(COUNTIFS(原始经营数据!$D$3:$D$3001,$A1425,原始经营数据!$E$3:$E$3001,"",原始经营数据!$F$3:$F$3001,$C1425,原始经营数据!$H$3:$H$3001,$D1425,原始经营数据!$K$3:$K$3001,$G1425)&gt;1,"基金整体·来源"&amp;原始经营数据!$A1426,"基金整体")))</f>
        <v>集智未来项目</v>
      </c>
      <c r="J1425" t="str">
        <f t="shared" si="333"/>
        <v>年度</v>
      </c>
      <c r="K1425" t="str">
        <f t="shared" si="334"/>
        <v>加权平均出租率（%）</v>
      </c>
      <c r="L1425" t="str">
        <f t="shared" si="335"/>
        <v>集智未来项目|加权平均出租率（%）|年度</v>
      </c>
      <c r="M1425">
        <f>IF($A1425="",0,IF(COUNTIF($L$2:$L1425,$L1425)=1,1,0))</f>
        <v>0</v>
      </c>
      <c r="N1425">
        <f t="shared" si="336"/>
        <v>20240</v>
      </c>
      <c r="O1425" t="str">
        <f t="shared" si="337"/>
        <v>创金合信北京国资封闭式商业不动产证券投资基金|2024|年度</v>
      </c>
      <c r="P1425">
        <f>IF($A1425="",0,IF(COUNTIF($O$2:$O1425,$O1425)=1,1,0))</f>
        <v>0</v>
      </c>
      <c r="Q1425" t="str">
        <f>IF(AND($P1425=1,$A1425=经营数据!$B$3,$J1425=经营数据!$BA$5),COUNTIFS($P$2:$P$3000,1,$A$2:$A$3000,$A1425,$J$2:$J$3000,$J1425,$N$2:$N$3000,"&lt;"&amp;$N1425)+1,"")</f>
        <v/>
      </c>
      <c r="R1425" t="str">
        <f t="shared" si="338"/>
        <v>创金合信北京国资封闭式商业不动产证券投资基金|集智未来项目</v>
      </c>
      <c r="S1425">
        <f>IF($A1425="",0,IF(COUNTIF($R$2:$R1425,$R1425)=1,1,0))</f>
        <v>0</v>
      </c>
      <c r="T1425">
        <f t="shared" si="339"/>
        <v>1417</v>
      </c>
      <c r="U1425" t="str">
        <f>IF($A1425="","",IF($A1425=经营数据!$B$3,COUNTIFS($S$2:$S$3000,1,$A$2:$A$3000,$A1425,$T$2:$T$3000,"&lt;"&amp;$T1425)+1,""))</f>
        <v/>
      </c>
      <c r="V1425" t="str">
        <f t="shared" si="340"/>
        <v>集智未来项目|服务效率</v>
      </c>
      <c r="W1425">
        <f t="shared" si="341"/>
        <v>1417</v>
      </c>
      <c r="X1425" t="str">
        <f t="shared" si="342"/>
        <v>集智未来项目|加权平均出租率</v>
      </c>
      <c r="Y1425">
        <f t="shared" si="343"/>
        <v>1420</v>
      </c>
      <c r="Z1425">
        <f>IF($A1425="",0,IF(AND($M1425=1,$A1425=经营数据!$B$3,$J1425=经营数据!$BA$5,OR($I1425=经营数据!$BA$4,COUNTIF(经营数据!$AA$9:$AA$38,$I1425)&gt;0)),1,0))</f>
        <v>0</v>
      </c>
      <c r="AA1425" t="str">
        <f t="shared" si="344"/>
        <v/>
      </c>
      <c r="AB1425" t="str">
        <f t="shared" si="345"/>
        <v/>
      </c>
      <c r="AC1425">
        <f>IF($A1425="",0,IF(COUNTIF($A$2:$A1425,$A1425)=1,1,0))</f>
        <v>0</v>
      </c>
      <c r="AD1425">
        <f t="shared" si="346"/>
        <v>17</v>
      </c>
      <c r="AE1425" t="str">
        <f t="shared" si="347"/>
        <v>集智未来项目|加权平均出租率（%）</v>
      </c>
    </row>
    <row r="1426" spans="1:31" x14ac:dyDescent="0.4">
      <c r="A1426" t="str">
        <f>IF(原始经营数据!$D1427="","",原始经营数据!$D1427)</f>
        <v>创金合信北京国资封闭式商业不动产证券投资基金</v>
      </c>
      <c r="B1426" t="str">
        <f>IF(原始经营数据!$D1427="","",T(原始经营数据!$E1427))</f>
        <v>集智未来项目</v>
      </c>
      <c r="C1426" t="str">
        <f>IF(原始经营数据!$D1427="","",原始经营数据!$F1427)</f>
        <v>2025</v>
      </c>
      <c r="D1426" t="str">
        <f>IF(原始经营数据!$D1427="","",原始经营数据!$H1427)</f>
        <v>租金收缴率</v>
      </c>
      <c r="E1426">
        <f>IF(原始经营数据!$D1427="","",原始经营数据!$I1427)</f>
        <v>99.89</v>
      </c>
      <c r="F1426" t="str">
        <f>IF(原始经营数据!$D1427="","",T(原始经营数据!$J1427))</f>
        <v>%</v>
      </c>
      <c r="G1426" t="str">
        <f>IF(原始经营数据!$D1427="","",T(原始经营数据!$K1427))</f>
        <v/>
      </c>
      <c r="H1426" t="str">
        <f>IF(原始经营数据!$D1427="","",原始经营数据!$G1427)</f>
        <v>服务效率</v>
      </c>
      <c r="I1426" t="str">
        <f>IF($A1426="","",IF($B1426&lt;&gt;"",$B1426,IF(COUNTIFS(原始经营数据!$D$3:$D$3001,$A1426,原始经营数据!$E$3:$E$3001,"",原始经营数据!$F$3:$F$3001,$C1426,原始经营数据!$H$3:$H$3001,$D1426,原始经营数据!$K$3:$K$3001,$G1426)&gt;1,"基金整体·来源"&amp;原始经营数据!$A1427,"基金整体")))</f>
        <v>集智未来项目</v>
      </c>
      <c r="J1426" t="str">
        <f t="shared" si="333"/>
        <v>年度</v>
      </c>
      <c r="K1426" t="str">
        <f t="shared" si="334"/>
        <v>租金收缴率（%）</v>
      </c>
      <c r="L1426" t="str">
        <f t="shared" si="335"/>
        <v>集智未来项目|租金收缴率（%）|年度</v>
      </c>
      <c r="M1426">
        <f>IF($A1426="",0,IF(COUNTIF($L$2:$L1426,$L1426)=1,1,0))</f>
        <v>0</v>
      </c>
      <c r="N1426">
        <f t="shared" si="336"/>
        <v>20250</v>
      </c>
      <c r="O1426" t="str">
        <f t="shared" si="337"/>
        <v>创金合信北京国资封闭式商业不动产证券投资基金|2025|年度</v>
      </c>
      <c r="P1426">
        <f>IF($A1426="",0,IF(COUNTIF($O$2:$O1426,$O1426)=1,1,0))</f>
        <v>0</v>
      </c>
      <c r="Q1426" t="str">
        <f>IF(AND($P1426=1,$A1426=经营数据!$B$3,$J1426=经营数据!$BA$5),COUNTIFS($P$2:$P$3000,1,$A$2:$A$3000,$A1426,$J$2:$J$3000,$J1426,$N$2:$N$3000,"&lt;"&amp;$N1426)+1,"")</f>
        <v/>
      </c>
      <c r="R1426" t="str">
        <f t="shared" si="338"/>
        <v>创金合信北京国资封闭式商业不动产证券投资基金|集智未来项目</v>
      </c>
      <c r="S1426">
        <f>IF($A1426="",0,IF(COUNTIF($R$2:$R1426,$R1426)=1,1,0))</f>
        <v>0</v>
      </c>
      <c r="T1426">
        <f t="shared" si="339"/>
        <v>1417</v>
      </c>
      <c r="U1426" t="str">
        <f>IF($A1426="","",IF($A1426=经营数据!$B$3,COUNTIFS($S$2:$S$3000,1,$A$2:$A$3000,$A1426,$T$2:$T$3000,"&lt;"&amp;$T1426)+1,""))</f>
        <v/>
      </c>
      <c r="V1426" t="str">
        <f t="shared" si="340"/>
        <v>集智未来项目|服务效率</v>
      </c>
      <c r="W1426">
        <f t="shared" si="341"/>
        <v>1417</v>
      </c>
      <c r="X1426" t="str">
        <f t="shared" si="342"/>
        <v>集智未来项目|租金收缴率</v>
      </c>
      <c r="Y1426">
        <f t="shared" si="343"/>
        <v>1418</v>
      </c>
      <c r="Z1426">
        <f>IF($A1426="",0,IF(AND($M1426=1,$A1426=经营数据!$B$3,$J1426=经营数据!$BA$5,OR($I1426=经营数据!$BA$4,COUNTIF(经营数据!$AA$9:$AA$38,$I1426)&gt;0)),1,0))</f>
        <v>0</v>
      </c>
      <c r="AA1426" t="str">
        <f t="shared" si="344"/>
        <v/>
      </c>
      <c r="AB1426" t="str">
        <f t="shared" si="345"/>
        <v/>
      </c>
      <c r="AC1426">
        <f>IF($A1426="",0,IF(COUNTIF($A$2:$A1426,$A1426)=1,1,0))</f>
        <v>0</v>
      </c>
      <c r="AD1426">
        <f t="shared" si="346"/>
        <v>17</v>
      </c>
      <c r="AE1426" t="str">
        <f t="shared" si="347"/>
        <v>集智未来项目|租金收缴率（%）</v>
      </c>
    </row>
    <row r="1427" spans="1:31" x14ac:dyDescent="0.4">
      <c r="A1427" t="str">
        <f>IF(原始经营数据!$D1428="","",原始经营数据!$D1428)</f>
        <v>创金合信北京国资封闭式商业不动产证券投资基金</v>
      </c>
      <c r="B1427" t="str">
        <f>IF(原始经营数据!$D1428="","",T(原始经营数据!$E1428))</f>
        <v>集智未来项目</v>
      </c>
      <c r="C1427" t="str">
        <f>IF(原始经营数据!$D1428="","",原始经营数据!$F1428)</f>
        <v>2025</v>
      </c>
      <c r="D1427" t="str">
        <f>IF(原始经营数据!$D1428="","",原始经营数据!$H1428)</f>
        <v>加权平均出租率</v>
      </c>
      <c r="E1427">
        <f>IF(原始经营数据!$D1428="","",原始经营数据!$I1428)</f>
        <v>91.9</v>
      </c>
      <c r="F1427" t="str">
        <f>IF(原始经营数据!$D1428="","",T(原始经营数据!$J1428))</f>
        <v>%</v>
      </c>
      <c r="G1427" t="str">
        <f>IF(原始经营数据!$D1428="","",T(原始经营数据!$K1428))</f>
        <v/>
      </c>
      <c r="H1427" t="str">
        <f>IF(原始经营数据!$D1428="","",原始经营数据!$G1428)</f>
        <v>服务效率</v>
      </c>
      <c r="I1427" t="str">
        <f>IF($A1427="","",IF($B1427&lt;&gt;"",$B1427,IF(COUNTIFS(原始经营数据!$D$3:$D$3001,$A1427,原始经营数据!$E$3:$E$3001,"",原始经营数据!$F$3:$F$3001,$C1427,原始经营数据!$H$3:$H$3001,$D1427,原始经营数据!$K$3:$K$3001,$G1427)&gt;1,"基金整体·来源"&amp;原始经营数据!$A1428,"基金整体")))</f>
        <v>集智未来项目</v>
      </c>
      <c r="J1427" t="str">
        <f t="shared" si="333"/>
        <v>年度</v>
      </c>
      <c r="K1427" t="str">
        <f t="shared" si="334"/>
        <v>加权平均出租率（%）</v>
      </c>
      <c r="L1427" t="str">
        <f t="shared" si="335"/>
        <v>集智未来项目|加权平均出租率（%）|年度</v>
      </c>
      <c r="M1427">
        <f>IF($A1427="",0,IF(COUNTIF($L$2:$L1427,$L1427)=1,1,0))</f>
        <v>0</v>
      </c>
      <c r="N1427">
        <f t="shared" si="336"/>
        <v>20250</v>
      </c>
      <c r="O1427" t="str">
        <f t="shared" si="337"/>
        <v>创金合信北京国资封闭式商业不动产证券投资基金|2025|年度</v>
      </c>
      <c r="P1427">
        <f>IF($A1427="",0,IF(COUNTIF($O$2:$O1427,$O1427)=1,1,0))</f>
        <v>0</v>
      </c>
      <c r="Q1427" t="str">
        <f>IF(AND($P1427=1,$A1427=经营数据!$B$3,$J1427=经营数据!$BA$5),COUNTIFS($P$2:$P$3000,1,$A$2:$A$3000,$A1427,$J$2:$J$3000,$J1427,$N$2:$N$3000,"&lt;"&amp;$N1427)+1,"")</f>
        <v/>
      </c>
      <c r="R1427" t="str">
        <f t="shared" si="338"/>
        <v>创金合信北京国资封闭式商业不动产证券投资基金|集智未来项目</v>
      </c>
      <c r="S1427">
        <f>IF($A1427="",0,IF(COUNTIF($R$2:$R1427,$R1427)=1,1,0))</f>
        <v>0</v>
      </c>
      <c r="T1427">
        <f t="shared" si="339"/>
        <v>1417</v>
      </c>
      <c r="U1427" t="str">
        <f>IF($A1427="","",IF($A1427=经营数据!$B$3,COUNTIFS($S$2:$S$3000,1,$A$2:$A$3000,$A1427,$T$2:$T$3000,"&lt;"&amp;$T1427)+1,""))</f>
        <v/>
      </c>
      <c r="V1427" t="str">
        <f t="shared" si="340"/>
        <v>集智未来项目|服务效率</v>
      </c>
      <c r="W1427">
        <f t="shared" si="341"/>
        <v>1417</v>
      </c>
      <c r="X1427" t="str">
        <f t="shared" si="342"/>
        <v>集智未来项目|加权平均出租率</v>
      </c>
      <c r="Y1427">
        <f t="shared" si="343"/>
        <v>1420</v>
      </c>
      <c r="Z1427">
        <f>IF($A1427="",0,IF(AND($M1427=1,$A1427=经营数据!$B$3,$J1427=经营数据!$BA$5,OR($I1427=经营数据!$BA$4,COUNTIF(经营数据!$AA$9:$AA$38,$I1427)&gt;0)),1,0))</f>
        <v>0</v>
      </c>
      <c r="AA1427" t="str">
        <f t="shared" si="344"/>
        <v/>
      </c>
      <c r="AB1427" t="str">
        <f t="shared" si="345"/>
        <v/>
      </c>
      <c r="AC1427">
        <f>IF($A1427="",0,IF(COUNTIF($A$2:$A1427,$A1427)=1,1,0))</f>
        <v>0</v>
      </c>
      <c r="AD1427">
        <f t="shared" si="346"/>
        <v>17</v>
      </c>
      <c r="AE1427" t="str">
        <f t="shared" si="347"/>
        <v>集智未来项目|加权平均出租率（%）</v>
      </c>
    </row>
    <row r="1428" spans="1:31" x14ac:dyDescent="0.4">
      <c r="A1428" t="str">
        <f>IF(原始经营数据!$D1429="","",原始经营数据!$D1429)</f>
        <v>创金合信北京国资封闭式商业不动产证券投资基金</v>
      </c>
      <c r="B1428" t="str">
        <f>IF(原始经营数据!$D1429="","",T(原始经营数据!$E1429))</f>
        <v>集智未来项目</v>
      </c>
      <c r="C1428" t="str">
        <f>IF(原始经营数据!$D1429="","",原始经营数据!$F1429)</f>
        <v>2025</v>
      </c>
      <c r="D1428" t="str">
        <f>IF(原始经营数据!$D1429="","",原始经营数据!$H1429)</f>
        <v>期末出租率</v>
      </c>
      <c r="E1428">
        <f>IF(原始经营数据!$D1429="","",原始经营数据!$I1429)</f>
        <v>94.81</v>
      </c>
      <c r="F1428" t="str">
        <f>IF(原始经营数据!$D1429="","",T(原始经营数据!$J1429))</f>
        <v>%</v>
      </c>
      <c r="G1428" t="str">
        <f>IF(原始经营数据!$D1429="","",T(原始经营数据!$K1429))</f>
        <v/>
      </c>
      <c r="H1428" t="str">
        <f>IF(原始经营数据!$D1429="","",原始经营数据!$G1429)</f>
        <v>服务效率</v>
      </c>
      <c r="I1428" t="str">
        <f>IF($A1428="","",IF($B1428&lt;&gt;"",$B1428,IF(COUNTIFS(原始经营数据!$D$3:$D$3001,$A1428,原始经营数据!$E$3:$E$3001,"",原始经营数据!$F$3:$F$3001,$C1428,原始经营数据!$H$3:$H$3001,$D1428,原始经营数据!$K$3:$K$3001,$G1428)&gt;1,"基金整体·来源"&amp;原始经营数据!$A1429,"基金整体")))</f>
        <v>集智未来项目</v>
      </c>
      <c r="J1428" t="str">
        <f t="shared" si="333"/>
        <v>年度</v>
      </c>
      <c r="K1428" t="str">
        <f t="shared" si="334"/>
        <v>期末出租率（%）</v>
      </c>
      <c r="L1428" t="str">
        <f t="shared" si="335"/>
        <v>集智未来项目|期末出租率（%）|年度</v>
      </c>
      <c r="M1428">
        <f>IF($A1428="",0,IF(COUNTIF($L$2:$L1428,$L1428)=1,1,0))</f>
        <v>0</v>
      </c>
      <c r="N1428">
        <f t="shared" si="336"/>
        <v>20250</v>
      </c>
      <c r="O1428" t="str">
        <f t="shared" si="337"/>
        <v>创金合信北京国资封闭式商业不动产证券投资基金|2025|年度</v>
      </c>
      <c r="P1428">
        <f>IF($A1428="",0,IF(COUNTIF($O$2:$O1428,$O1428)=1,1,0))</f>
        <v>0</v>
      </c>
      <c r="Q1428" t="str">
        <f>IF(AND($P1428=1,$A1428=经营数据!$B$3,$J1428=经营数据!$BA$5),COUNTIFS($P$2:$P$3000,1,$A$2:$A$3000,$A1428,$J$2:$J$3000,$J1428,$N$2:$N$3000,"&lt;"&amp;$N1428)+1,"")</f>
        <v/>
      </c>
      <c r="R1428" t="str">
        <f t="shared" si="338"/>
        <v>创金合信北京国资封闭式商业不动产证券投资基金|集智未来项目</v>
      </c>
      <c r="S1428">
        <f>IF($A1428="",0,IF(COUNTIF($R$2:$R1428,$R1428)=1,1,0))</f>
        <v>0</v>
      </c>
      <c r="T1428">
        <f t="shared" si="339"/>
        <v>1417</v>
      </c>
      <c r="U1428" t="str">
        <f>IF($A1428="","",IF($A1428=经营数据!$B$3,COUNTIFS($S$2:$S$3000,1,$A$2:$A$3000,$A1428,$T$2:$T$3000,"&lt;"&amp;$T1428)+1,""))</f>
        <v/>
      </c>
      <c r="V1428" t="str">
        <f t="shared" si="340"/>
        <v>集智未来项目|服务效率</v>
      </c>
      <c r="W1428">
        <f t="shared" si="341"/>
        <v>1417</v>
      </c>
      <c r="X1428" t="str">
        <f t="shared" si="342"/>
        <v>集智未来项目|期末出租率</v>
      </c>
      <c r="Y1428">
        <f t="shared" si="343"/>
        <v>1417</v>
      </c>
      <c r="Z1428">
        <f>IF($A1428="",0,IF(AND($M1428=1,$A1428=经营数据!$B$3,$J1428=经营数据!$BA$5,OR($I1428=经营数据!$BA$4,COUNTIF(经营数据!$AA$9:$AA$38,$I1428)&gt;0)),1,0))</f>
        <v>0</v>
      </c>
      <c r="AA1428" t="str">
        <f t="shared" si="344"/>
        <v/>
      </c>
      <c r="AB1428" t="str">
        <f t="shared" si="345"/>
        <v/>
      </c>
      <c r="AC1428">
        <f>IF($A1428="",0,IF(COUNTIF($A$2:$A1428,$A1428)=1,1,0))</f>
        <v>0</v>
      </c>
      <c r="AD1428">
        <f t="shared" si="346"/>
        <v>17</v>
      </c>
      <c r="AE1428" t="str">
        <f t="shared" si="347"/>
        <v>集智未来项目|期末出租率（%）</v>
      </c>
    </row>
    <row r="1429" spans="1:31" x14ac:dyDescent="0.4">
      <c r="A1429" t="str">
        <f>IF(原始经营数据!$D1430="","",原始经营数据!$D1430)</f>
        <v>创金合信北京国资封闭式商业不动产证券投资基金</v>
      </c>
      <c r="B1429" t="str">
        <f>IF(原始经营数据!$D1430="","",T(原始经营数据!$E1430))</f>
        <v>集智未来项目</v>
      </c>
      <c r="C1429" t="str">
        <f>IF(原始经营数据!$D1430="","",原始经营数据!$F1430)</f>
        <v>2025</v>
      </c>
      <c r="D1429" t="str">
        <f>IF(原始经营数据!$D1430="","",原始经营数据!$H1430)</f>
        <v>平均租金单价</v>
      </c>
      <c r="E1429">
        <f>IF(原始经营数据!$D1430="","",原始经营数据!$I1430)</f>
        <v>6.32</v>
      </c>
      <c r="F1429" t="str">
        <f>IF(原始经营数据!$D1430="","",T(原始经营数据!$J1430))</f>
        <v>元/平方米/天</v>
      </c>
      <c r="G1429" t="str">
        <f>IF(原始经营数据!$D1430="","",T(原始经营数据!$K1430))</f>
        <v/>
      </c>
      <c r="H1429" t="str">
        <f>IF(原始经营数据!$D1430="","",原始经营数据!$G1430)</f>
        <v>服务价格</v>
      </c>
      <c r="I1429" t="str">
        <f>IF($A1429="","",IF($B1429&lt;&gt;"",$B1429,IF(COUNTIFS(原始经营数据!$D$3:$D$3001,$A1429,原始经营数据!$E$3:$E$3001,"",原始经营数据!$F$3:$F$3001,$C1429,原始经营数据!$H$3:$H$3001,$D1429,原始经营数据!$K$3:$K$3001,$G1429)&gt;1,"基金整体·来源"&amp;原始经营数据!$A1430,"基金整体")))</f>
        <v>集智未来项目</v>
      </c>
      <c r="J1429" t="str">
        <f t="shared" si="333"/>
        <v>年度</v>
      </c>
      <c r="K1429" t="str">
        <f t="shared" si="334"/>
        <v>平均租金单价（元/平方米/天）</v>
      </c>
      <c r="L1429" t="str">
        <f t="shared" si="335"/>
        <v>集智未来项目|平均租金单价（元/平方米/天）|年度</v>
      </c>
      <c r="M1429">
        <f>IF($A1429="",0,IF(COUNTIF($L$2:$L1429,$L1429)=1,1,0))</f>
        <v>0</v>
      </c>
      <c r="N1429">
        <f t="shared" si="336"/>
        <v>20250</v>
      </c>
      <c r="O1429" t="str">
        <f t="shared" si="337"/>
        <v>创金合信北京国资封闭式商业不动产证券投资基金|2025|年度</v>
      </c>
      <c r="P1429">
        <f>IF($A1429="",0,IF(COUNTIF($O$2:$O1429,$O1429)=1,1,0))</f>
        <v>0</v>
      </c>
      <c r="Q1429" t="str">
        <f>IF(AND($P1429=1,$A1429=经营数据!$B$3,$J1429=经营数据!$BA$5),COUNTIFS($P$2:$P$3000,1,$A$2:$A$3000,$A1429,$J$2:$J$3000,$J1429,$N$2:$N$3000,"&lt;"&amp;$N1429)+1,"")</f>
        <v/>
      </c>
      <c r="R1429" t="str">
        <f t="shared" si="338"/>
        <v>创金合信北京国资封闭式商业不动产证券投资基金|集智未来项目</v>
      </c>
      <c r="S1429">
        <f>IF($A1429="",0,IF(COUNTIF($R$2:$R1429,$R1429)=1,1,0))</f>
        <v>0</v>
      </c>
      <c r="T1429">
        <f t="shared" si="339"/>
        <v>1417</v>
      </c>
      <c r="U1429" t="str">
        <f>IF($A1429="","",IF($A1429=经营数据!$B$3,COUNTIFS($S$2:$S$3000,1,$A$2:$A$3000,$A1429,$T$2:$T$3000,"&lt;"&amp;$T1429)+1,""))</f>
        <v/>
      </c>
      <c r="V1429" t="str">
        <f t="shared" si="340"/>
        <v>集智未来项目|服务价格</v>
      </c>
      <c r="W1429">
        <f t="shared" si="341"/>
        <v>1419</v>
      </c>
      <c r="X1429" t="str">
        <f t="shared" si="342"/>
        <v>集智未来项目|平均租金单价</v>
      </c>
      <c r="Y1429">
        <f t="shared" si="343"/>
        <v>1419</v>
      </c>
      <c r="Z1429">
        <f>IF($A1429="",0,IF(AND($M1429=1,$A1429=经营数据!$B$3,$J1429=经营数据!$BA$5,OR($I1429=经营数据!$BA$4,COUNTIF(经营数据!$AA$9:$AA$38,$I1429)&gt;0)),1,0))</f>
        <v>0</v>
      </c>
      <c r="AA1429" t="str">
        <f t="shared" si="344"/>
        <v/>
      </c>
      <c r="AB1429" t="str">
        <f t="shared" si="345"/>
        <v/>
      </c>
      <c r="AC1429">
        <f>IF($A1429="",0,IF(COUNTIF($A$2:$A1429,$A1429)=1,1,0))</f>
        <v>0</v>
      </c>
      <c r="AD1429">
        <f t="shared" si="346"/>
        <v>17</v>
      </c>
      <c r="AE1429" t="str">
        <f t="shared" si="347"/>
        <v>集智未来项目|平均租金单价（元/平方米/天）</v>
      </c>
    </row>
    <row r="1430" spans="1:31" x14ac:dyDescent="0.4">
      <c r="A1430" t="str">
        <f>IF(原始经营数据!$D1431="","",原始经营数据!$D1431)</f>
        <v>华安锦江封闭式商业不动产证券投资基金</v>
      </c>
      <c r="B1430" t="str">
        <f>IF(原始经营数据!$D1431="","",T(原始经营数据!$E1431))</f>
        <v>基金整体</v>
      </c>
      <c r="C1430" t="str">
        <f>IF(原始经营数据!$D1431="","",原始经营数据!$F1431)</f>
        <v>2022</v>
      </c>
      <c r="D1430" t="str">
        <f>IF(原始经营数据!$D1431="","",原始经营数据!$H1431)</f>
        <v>平均房价</v>
      </c>
      <c r="E1430">
        <f>IF(原始经营数据!$D1431="","",原始经营数据!$I1431)</f>
        <v>252.79</v>
      </c>
      <c r="F1430" t="str">
        <f>IF(原始经营数据!$D1431="","",T(原始经营数据!$J1431))</f>
        <v>元/间</v>
      </c>
      <c r="G1430" t="str">
        <f>IF(原始经营数据!$D1431="","",T(原始经营数据!$K1431))</f>
        <v/>
      </c>
      <c r="H1430" t="str">
        <f>IF(原始经营数据!$D1431="","",原始经营数据!$G1431)</f>
        <v>服务价格</v>
      </c>
      <c r="I1430" t="str">
        <f>IF($A1430="","",IF($B1430&lt;&gt;"",$B1430,IF(COUNTIFS(原始经营数据!$D$3:$D$3001,$A1430,原始经营数据!$E$3:$E$3001,"",原始经营数据!$F$3:$F$3001,$C1430,原始经营数据!$H$3:$H$3001,$D1430,原始经营数据!$K$3:$K$3001,$G1430)&gt;1,"基金整体·来源"&amp;原始经营数据!$A1431,"基金整体")))</f>
        <v>基金整体</v>
      </c>
      <c r="J1430" t="str">
        <f t="shared" si="333"/>
        <v>年度</v>
      </c>
      <c r="K1430" t="str">
        <f t="shared" si="334"/>
        <v>平均房价（元/间）</v>
      </c>
      <c r="L1430" t="str">
        <f t="shared" si="335"/>
        <v>基金整体|平均房价（元/间）|年度</v>
      </c>
      <c r="M1430">
        <f>IF($A1430="",0,IF(COUNTIF($L$2:$L1430,$L1430)=1,1,0))</f>
        <v>1</v>
      </c>
      <c r="N1430">
        <f t="shared" si="336"/>
        <v>20220</v>
      </c>
      <c r="O1430" t="str">
        <f t="shared" si="337"/>
        <v>华安锦江封闭式商业不动产证券投资基金|2022|年度</v>
      </c>
      <c r="P1430">
        <f>IF($A1430="",0,IF(COUNTIF($O$2:$O1430,$O1430)=1,1,0))</f>
        <v>1</v>
      </c>
      <c r="Q1430" t="str">
        <f>IF(AND($P1430=1,$A1430=经营数据!$B$3,$J1430=经营数据!$BA$5),COUNTIFS($P$2:$P$3000,1,$A$2:$A$3000,$A1430,$J$2:$J$3000,$J1430,$N$2:$N$3000,"&lt;"&amp;$N1430)+1,"")</f>
        <v/>
      </c>
      <c r="R1430" t="str">
        <f t="shared" si="338"/>
        <v>华安锦江封闭式商业不动产证券投资基金|基金整体</v>
      </c>
      <c r="S1430">
        <f>IF($A1430="",0,IF(COUNTIF($R$2:$R1430,$R1430)=1,1,0))</f>
        <v>1</v>
      </c>
      <c r="T1430">
        <f t="shared" si="339"/>
        <v>1429</v>
      </c>
      <c r="U1430" t="str">
        <f>IF($A1430="","",IF($A1430=经营数据!$B$3,COUNTIFS($S$2:$S$3000,1,$A$2:$A$3000,$A1430,$T$2:$T$3000,"&lt;"&amp;$T1430)+1,""))</f>
        <v/>
      </c>
      <c r="V1430" t="str">
        <f t="shared" si="340"/>
        <v>基金整体|服务价格</v>
      </c>
      <c r="W1430">
        <f t="shared" si="341"/>
        <v>10</v>
      </c>
      <c r="X1430" t="str">
        <f t="shared" si="342"/>
        <v>基金整体|平均房价</v>
      </c>
      <c r="Y1430">
        <f t="shared" si="343"/>
        <v>1429</v>
      </c>
      <c r="Z1430">
        <f>IF($A1430="",0,IF(AND($M1430=1,$A1430=经营数据!$B$3,$J1430=经营数据!$BA$5,OR($I1430=经营数据!$BA$4,COUNTIF(经营数据!$AA$9:$AA$38,$I1430)&gt;0)),1,0))</f>
        <v>0</v>
      </c>
      <c r="AA1430" t="str">
        <f t="shared" si="344"/>
        <v/>
      </c>
      <c r="AB1430" t="str">
        <f t="shared" si="345"/>
        <v/>
      </c>
      <c r="AC1430">
        <f>IF($A1430="",0,IF(COUNTIF($A$2:$A1430,$A1430)=1,1,0))</f>
        <v>1</v>
      </c>
      <c r="AD1430">
        <f t="shared" si="346"/>
        <v>18</v>
      </c>
      <c r="AE1430" t="str">
        <f t="shared" si="347"/>
        <v>基金整体|平均房价（元/间）</v>
      </c>
    </row>
    <row r="1431" spans="1:31" x14ac:dyDescent="0.4">
      <c r="A1431" t="str">
        <f>IF(原始经营数据!$D1432="","",原始经营数据!$D1432)</f>
        <v>华安锦江封闭式商业不动产证券投资基金</v>
      </c>
      <c r="B1431" t="str">
        <f>IF(原始经营数据!$D1432="","",T(原始经营数据!$E1432))</f>
        <v>基金整体</v>
      </c>
      <c r="C1431" t="str">
        <f>IF(原始经营数据!$D1432="","",原始经营数据!$F1432)</f>
        <v>2022</v>
      </c>
      <c r="D1431" t="str">
        <f>IF(原始经营数据!$D1432="","",原始经营数据!$H1432)</f>
        <v>平均入住率</v>
      </c>
      <c r="E1431">
        <f>IF(原始经营数据!$D1432="","",原始经营数据!$I1432)</f>
        <v>58.4</v>
      </c>
      <c r="F1431" t="str">
        <f>IF(原始经营数据!$D1432="","",T(原始经营数据!$J1432))</f>
        <v>%</v>
      </c>
      <c r="G1431" t="str">
        <f>IF(原始经营数据!$D1432="","",T(原始经营数据!$K1432))</f>
        <v/>
      </c>
      <c r="H1431" t="str">
        <f>IF(原始经营数据!$D1432="","",原始经营数据!$G1432)</f>
        <v>服务效率</v>
      </c>
      <c r="I1431" t="str">
        <f>IF($A1431="","",IF($B1431&lt;&gt;"",$B1431,IF(COUNTIFS(原始经营数据!$D$3:$D$3001,$A1431,原始经营数据!$E$3:$E$3001,"",原始经营数据!$F$3:$F$3001,$C1431,原始经营数据!$H$3:$H$3001,$D1431,原始经营数据!$K$3:$K$3001,$G1431)&gt;1,"基金整体·来源"&amp;原始经营数据!$A1432,"基金整体")))</f>
        <v>基金整体</v>
      </c>
      <c r="J1431" t="str">
        <f t="shared" si="333"/>
        <v>年度</v>
      </c>
      <c r="K1431" t="str">
        <f t="shared" si="334"/>
        <v>平均入住率（%）</v>
      </c>
      <c r="L1431" t="str">
        <f t="shared" si="335"/>
        <v>基金整体|平均入住率（%）|年度</v>
      </c>
      <c r="M1431">
        <f>IF($A1431="",0,IF(COUNTIF($L$2:$L1431,$L1431)=1,1,0))</f>
        <v>1</v>
      </c>
      <c r="N1431">
        <f t="shared" si="336"/>
        <v>20220</v>
      </c>
      <c r="O1431" t="str">
        <f t="shared" si="337"/>
        <v>华安锦江封闭式商业不动产证券投资基金|2022|年度</v>
      </c>
      <c r="P1431">
        <f>IF($A1431="",0,IF(COUNTIF($O$2:$O1431,$O1431)=1,1,0))</f>
        <v>0</v>
      </c>
      <c r="Q1431" t="str">
        <f>IF(AND($P1431=1,$A1431=经营数据!$B$3,$J1431=经营数据!$BA$5),COUNTIFS($P$2:$P$3000,1,$A$2:$A$3000,$A1431,$J$2:$J$3000,$J1431,$N$2:$N$3000,"&lt;"&amp;$N1431)+1,"")</f>
        <v/>
      </c>
      <c r="R1431" t="str">
        <f t="shared" si="338"/>
        <v>华安锦江封闭式商业不动产证券投资基金|基金整体</v>
      </c>
      <c r="S1431">
        <f>IF($A1431="",0,IF(COUNTIF($R$2:$R1431,$R1431)=1,1,0))</f>
        <v>0</v>
      </c>
      <c r="T1431">
        <f t="shared" si="339"/>
        <v>1429</v>
      </c>
      <c r="U1431" t="str">
        <f>IF($A1431="","",IF($A1431=经营数据!$B$3,COUNTIFS($S$2:$S$3000,1,$A$2:$A$3000,$A1431,$T$2:$T$3000,"&lt;"&amp;$T1431)+1,""))</f>
        <v/>
      </c>
      <c r="V1431" t="str">
        <f t="shared" si="340"/>
        <v>基金整体|服务效率</v>
      </c>
      <c r="W1431">
        <f t="shared" si="341"/>
        <v>2</v>
      </c>
      <c r="X1431" t="str">
        <f t="shared" si="342"/>
        <v>基金整体|平均入住率</v>
      </c>
      <c r="Y1431">
        <f t="shared" si="343"/>
        <v>1430</v>
      </c>
      <c r="Z1431">
        <f>IF($A1431="",0,IF(AND($M1431=1,$A1431=经营数据!$B$3,$J1431=经营数据!$BA$5,OR($I1431=经营数据!$BA$4,COUNTIF(经营数据!$AA$9:$AA$38,$I1431)&gt;0)),1,0))</f>
        <v>0</v>
      </c>
      <c r="AA1431" t="str">
        <f t="shared" si="344"/>
        <v/>
      </c>
      <c r="AB1431" t="str">
        <f t="shared" si="345"/>
        <v/>
      </c>
      <c r="AC1431">
        <f>IF($A1431="",0,IF(COUNTIF($A$2:$A1431,$A1431)=1,1,0))</f>
        <v>0</v>
      </c>
      <c r="AD1431">
        <f t="shared" si="346"/>
        <v>18</v>
      </c>
      <c r="AE1431" t="str">
        <f t="shared" si="347"/>
        <v>基金整体|平均入住率（%）</v>
      </c>
    </row>
    <row r="1432" spans="1:31" x14ac:dyDescent="0.4">
      <c r="A1432" t="str">
        <f>IF(原始经营数据!$D1433="","",原始经营数据!$D1433)</f>
        <v>华安锦江封闭式商业不动产证券投资基金</v>
      </c>
      <c r="B1432" t="str">
        <f>IF(原始经营数据!$D1433="","",T(原始经营数据!$E1433))</f>
        <v>基金整体</v>
      </c>
      <c r="C1432" t="str">
        <f>IF(原始经营数据!$D1433="","",原始经营数据!$F1433)</f>
        <v>2022</v>
      </c>
      <c r="D1432" t="str">
        <f>IF(原始经营数据!$D1433="","",原始经营数据!$H1433)</f>
        <v>可供房数</v>
      </c>
      <c r="E1432">
        <f>IF(原始经营数据!$D1433="","",原始经营数据!$I1433)</f>
        <v>1074857</v>
      </c>
      <c r="F1432" t="str">
        <f>IF(原始经营数据!$D1433="","",T(原始经营数据!$J1433))</f>
        <v>间</v>
      </c>
      <c r="G1432" t="str">
        <f>IF(原始经营数据!$D1433="","",T(原始经营数据!$K1433))</f>
        <v/>
      </c>
      <c r="H1432" t="str">
        <f>IF(原始经营数据!$D1433="","",原始经营数据!$G1433)</f>
        <v>服务量</v>
      </c>
      <c r="I1432" t="str">
        <f>IF($A1432="","",IF($B1432&lt;&gt;"",$B1432,IF(COUNTIFS(原始经营数据!$D$3:$D$3001,$A1432,原始经营数据!$E$3:$E$3001,"",原始经营数据!$F$3:$F$3001,$C1432,原始经营数据!$H$3:$H$3001,$D1432,原始经营数据!$K$3:$K$3001,$G1432)&gt;1,"基金整体·来源"&amp;原始经营数据!$A1433,"基金整体")))</f>
        <v>基金整体</v>
      </c>
      <c r="J1432" t="str">
        <f t="shared" si="333"/>
        <v>年度</v>
      </c>
      <c r="K1432" t="str">
        <f t="shared" si="334"/>
        <v>可供房数（间）</v>
      </c>
      <c r="L1432" t="str">
        <f t="shared" si="335"/>
        <v>基金整体|可供房数（间）|年度</v>
      </c>
      <c r="M1432">
        <f>IF($A1432="",0,IF(COUNTIF($L$2:$L1432,$L1432)=1,1,0))</f>
        <v>1</v>
      </c>
      <c r="N1432">
        <f t="shared" si="336"/>
        <v>20220</v>
      </c>
      <c r="O1432" t="str">
        <f t="shared" si="337"/>
        <v>华安锦江封闭式商业不动产证券投资基金|2022|年度</v>
      </c>
      <c r="P1432">
        <f>IF($A1432="",0,IF(COUNTIF($O$2:$O1432,$O1432)=1,1,0))</f>
        <v>0</v>
      </c>
      <c r="Q1432" t="str">
        <f>IF(AND($P1432=1,$A1432=经营数据!$B$3,$J1432=经营数据!$BA$5),COUNTIFS($P$2:$P$3000,1,$A$2:$A$3000,$A1432,$J$2:$J$3000,$J1432,$N$2:$N$3000,"&lt;"&amp;$N1432)+1,"")</f>
        <v/>
      </c>
      <c r="R1432" t="str">
        <f t="shared" si="338"/>
        <v>华安锦江封闭式商业不动产证券投资基金|基金整体</v>
      </c>
      <c r="S1432">
        <f>IF($A1432="",0,IF(COUNTIF($R$2:$R1432,$R1432)=1,1,0))</f>
        <v>0</v>
      </c>
      <c r="T1432">
        <f t="shared" si="339"/>
        <v>1429</v>
      </c>
      <c r="U1432" t="str">
        <f>IF($A1432="","",IF($A1432=经营数据!$B$3,COUNTIFS($S$2:$S$3000,1,$A$2:$A$3000,$A1432,$T$2:$T$3000,"&lt;"&amp;$T1432)+1,""))</f>
        <v/>
      </c>
      <c r="V1432" t="str">
        <f t="shared" si="340"/>
        <v>基金整体|服务量</v>
      </c>
      <c r="W1432">
        <f t="shared" si="341"/>
        <v>1</v>
      </c>
      <c r="X1432" t="str">
        <f t="shared" si="342"/>
        <v>基金整体|可供房数</v>
      </c>
      <c r="Y1432">
        <f t="shared" si="343"/>
        <v>1431</v>
      </c>
      <c r="Z1432">
        <f>IF($A1432="",0,IF(AND($M1432=1,$A1432=经营数据!$B$3,$J1432=经营数据!$BA$5,OR($I1432=经营数据!$BA$4,COUNTIF(经营数据!$AA$9:$AA$38,$I1432)&gt;0)),1,0))</f>
        <v>0</v>
      </c>
      <c r="AA1432" t="str">
        <f t="shared" si="344"/>
        <v/>
      </c>
      <c r="AB1432" t="str">
        <f t="shared" si="345"/>
        <v/>
      </c>
      <c r="AC1432">
        <f>IF($A1432="",0,IF(COUNTIF($A$2:$A1432,$A1432)=1,1,0))</f>
        <v>0</v>
      </c>
      <c r="AD1432">
        <f t="shared" si="346"/>
        <v>18</v>
      </c>
      <c r="AE1432" t="str">
        <f t="shared" si="347"/>
        <v>基金整体|可供房数（间）</v>
      </c>
    </row>
    <row r="1433" spans="1:31" x14ac:dyDescent="0.4">
      <c r="A1433" t="str">
        <f>IF(原始经营数据!$D1434="","",原始经营数据!$D1434)</f>
        <v>华安锦江封闭式商业不动产证券投资基金</v>
      </c>
      <c r="B1433" t="str">
        <f>IF(原始经营数据!$D1434="","",T(原始经营数据!$E1434))</f>
        <v>基金整体</v>
      </c>
      <c r="C1433" t="str">
        <f>IF(原始经营数据!$D1434="","",原始经营数据!$F1434)</f>
        <v>2023</v>
      </c>
      <c r="D1433" t="str">
        <f>IF(原始经营数据!$D1434="","",原始经营数据!$H1434)</f>
        <v>可供房数</v>
      </c>
      <c r="E1433">
        <f>IF(原始经营数据!$D1434="","",原始经营数据!$I1434)</f>
        <v>1047297</v>
      </c>
      <c r="F1433" t="str">
        <f>IF(原始经营数据!$D1434="","",T(原始经营数据!$J1434))</f>
        <v>间</v>
      </c>
      <c r="G1433" t="str">
        <f>IF(原始经营数据!$D1434="","",T(原始经营数据!$K1434))</f>
        <v/>
      </c>
      <c r="H1433" t="str">
        <f>IF(原始经营数据!$D1434="","",原始经营数据!$G1434)</f>
        <v>服务量</v>
      </c>
      <c r="I1433" t="str">
        <f>IF($A1433="","",IF($B1433&lt;&gt;"",$B1433,IF(COUNTIFS(原始经营数据!$D$3:$D$3001,$A1433,原始经营数据!$E$3:$E$3001,"",原始经营数据!$F$3:$F$3001,$C1433,原始经营数据!$H$3:$H$3001,$D1433,原始经营数据!$K$3:$K$3001,$G1433)&gt;1,"基金整体·来源"&amp;原始经营数据!$A1434,"基金整体")))</f>
        <v>基金整体</v>
      </c>
      <c r="J1433" t="str">
        <f t="shared" si="333"/>
        <v>年度</v>
      </c>
      <c r="K1433" t="str">
        <f t="shared" si="334"/>
        <v>可供房数（间）</v>
      </c>
      <c r="L1433" t="str">
        <f t="shared" si="335"/>
        <v>基金整体|可供房数（间）|年度</v>
      </c>
      <c r="M1433">
        <f>IF($A1433="",0,IF(COUNTIF($L$2:$L1433,$L1433)=1,1,0))</f>
        <v>0</v>
      </c>
      <c r="N1433">
        <f t="shared" si="336"/>
        <v>20230</v>
      </c>
      <c r="O1433" t="str">
        <f t="shared" si="337"/>
        <v>华安锦江封闭式商业不动产证券投资基金|2023|年度</v>
      </c>
      <c r="P1433">
        <f>IF($A1433="",0,IF(COUNTIF($O$2:$O1433,$O1433)=1,1,0))</f>
        <v>1</v>
      </c>
      <c r="Q1433" t="str">
        <f>IF(AND($P1433=1,$A1433=经营数据!$B$3,$J1433=经营数据!$BA$5),COUNTIFS($P$2:$P$3000,1,$A$2:$A$3000,$A1433,$J$2:$J$3000,$J1433,$N$2:$N$3000,"&lt;"&amp;$N1433)+1,"")</f>
        <v/>
      </c>
      <c r="R1433" t="str">
        <f t="shared" si="338"/>
        <v>华安锦江封闭式商业不动产证券投资基金|基金整体</v>
      </c>
      <c r="S1433">
        <f>IF($A1433="",0,IF(COUNTIF($R$2:$R1433,$R1433)=1,1,0))</f>
        <v>0</v>
      </c>
      <c r="T1433">
        <f t="shared" si="339"/>
        <v>1429</v>
      </c>
      <c r="U1433" t="str">
        <f>IF($A1433="","",IF($A1433=经营数据!$B$3,COUNTIFS($S$2:$S$3000,1,$A$2:$A$3000,$A1433,$T$2:$T$3000,"&lt;"&amp;$T1433)+1,""))</f>
        <v/>
      </c>
      <c r="V1433" t="str">
        <f t="shared" si="340"/>
        <v>基金整体|服务量</v>
      </c>
      <c r="W1433">
        <f t="shared" si="341"/>
        <v>1</v>
      </c>
      <c r="X1433" t="str">
        <f t="shared" si="342"/>
        <v>基金整体|可供房数</v>
      </c>
      <c r="Y1433">
        <f t="shared" si="343"/>
        <v>1431</v>
      </c>
      <c r="Z1433">
        <f>IF($A1433="",0,IF(AND($M1433=1,$A1433=经营数据!$B$3,$J1433=经营数据!$BA$5,OR($I1433=经营数据!$BA$4,COUNTIF(经营数据!$AA$9:$AA$38,$I1433)&gt;0)),1,0))</f>
        <v>0</v>
      </c>
      <c r="AA1433" t="str">
        <f t="shared" si="344"/>
        <v/>
      </c>
      <c r="AB1433" t="str">
        <f t="shared" si="345"/>
        <v/>
      </c>
      <c r="AC1433">
        <f>IF($A1433="",0,IF(COUNTIF($A$2:$A1433,$A1433)=1,1,0))</f>
        <v>0</v>
      </c>
      <c r="AD1433">
        <f t="shared" si="346"/>
        <v>18</v>
      </c>
      <c r="AE1433" t="str">
        <f t="shared" si="347"/>
        <v>基金整体|可供房数（间）</v>
      </c>
    </row>
    <row r="1434" spans="1:31" x14ac:dyDescent="0.4">
      <c r="A1434" t="str">
        <f>IF(原始经营数据!$D1435="","",原始经营数据!$D1435)</f>
        <v>华安锦江封闭式商业不动产证券投资基金</v>
      </c>
      <c r="B1434" t="str">
        <f>IF(原始经营数据!$D1435="","",T(原始经营数据!$E1435))</f>
        <v>基金整体</v>
      </c>
      <c r="C1434" t="str">
        <f>IF(原始经营数据!$D1435="","",原始经营数据!$F1435)</f>
        <v>2023</v>
      </c>
      <c r="D1434" t="str">
        <f>IF(原始经营数据!$D1435="","",原始经营数据!$H1435)</f>
        <v>平均房价</v>
      </c>
      <c r="E1434">
        <f>IF(原始经营数据!$D1435="","",原始经营数据!$I1435)</f>
        <v>279.83</v>
      </c>
      <c r="F1434" t="str">
        <f>IF(原始经营数据!$D1435="","",T(原始经营数据!$J1435))</f>
        <v>元/间</v>
      </c>
      <c r="G1434" t="str">
        <f>IF(原始经营数据!$D1435="","",T(原始经营数据!$K1435))</f>
        <v/>
      </c>
      <c r="H1434" t="str">
        <f>IF(原始经营数据!$D1435="","",原始经营数据!$G1435)</f>
        <v>服务价格</v>
      </c>
      <c r="I1434" t="str">
        <f>IF($A1434="","",IF($B1434&lt;&gt;"",$B1434,IF(COUNTIFS(原始经营数据!$D$3:$D$3001,$A1434,原始经营数据!$E$3:$E$3001,"",原始经营数据!$F$3:$F$3001,$C1434,原始经营数据!$H$3:$H$3001,$D1434,原始经营数据!$K$3:$K$3001,$G1434)&gt;1,"基金整体·来源"&amp;原始经营数据!$A1435,"基金整体")))</f>
        <v>基金整体</v>
      </c>
      <c r="J1434" t="str">
        <f t="shared" si="333"/>
        <v>年度</v>
      </c>
      <c r="K1434" t="str">
        <f t="shared" si="334"/>
        <v>平均房价（元/间）</v>
      </c>
      <c r="L1434" t="str">
        <f t="shared" si="335"/>
        <v>基金整体|平均房价（元/间）|年度</v>
      </c>
      <c r="M1434">
        <f>IF($A1434="",0,IF(COUNTIF($L$2:$L1434,$L1434)=1,1,0))</f>
        <v>0</v>
      </c>
      <c r="N1434">
        <f t="shared" si="336"/>
        <v>20230</v>
      </c>
      <c r="O1434" t="str">
        <f t="shared" si="337"/>
        <v>华安锦江封闭式商业不动产证券投资基金|2023|年度</v>
      </c>
      <c r="P1434">
        <f>IF($A1434="",0,IF(COUNTIF($O$2:$O1434,$O1434)=1,1,0))</f>
        <v>0</v>
      </c>
      <c r="Q1434" t="str">
        <f>IF(AND($P1434=1,$A1434=经营数据!$B$3,$J1434=经营数据!$BA$5),COUNTIFS($P$2:$P$3000,1,$A$2:$A$3000,$A1434,$J$2:$J$3000,$J1434,$N$2:$N$3000,"&lt;"&amp;$N1434)+1,"")</f>
        <v/>
      </c>
      <c r="R1434" t="str">
        <f t="shared" si="338"/>
        <v>华安锦江封闭式商业不动产证券投资基金|基金整体</v>
      </c>
      <c r="S1434">
        <f>IF($A1434="",0,IF(COUNTIF($R$2:$R1434,$R1434)=1,1,0))</f>
        <v>0</v>
      </c>
      <c r="T1434">
        <f t="shared" si="339"/>
        <v>1429</v>
      </c>
      <c r="U1434" t="str">
        <f>IF($A1434="","",IF($A1434=经营数据!$B$3,COUNTIFS($S$2:$S$3000,1,$A$2:$A$3000,$A1434,$T$2:$T$3000,"&lt;"&amp;$T1434)+1,""))</f>
        <v/>
      </c>
      <c r="V1434" t="str">
        <f t="shared" si="340"/>
        <v>基金整体|服务价格</v>
      </c>
      <c r="W1434">
        <f t="shared" si="341"/>
        <v>10</v>
      </c>
      <c r="X1434" t="str">
        <f t="shared" si="342"/>
        <v>基金整体|平均房价</v>
      </c>
      <c r="Y1434">
        <f t="shared" si="343"/>
        <v>1429</v>
      </c>
      <c r="Z1434">
        <f>IF($A1434="",0,IF(AND($M1434=1,$A1434=经营数据!$B$3,$J1434=经营数据!$BA$5,OR($I1434=经营数据!$BA$4,COUNTIF(经营数据!$AA$9:$AA$38,$I1434)&gt;0)),1,0))</f>
        <v>0</v>
      </c>
      <c r="AA1434" t="str">
        <f t="shared" si="344"/>
        <v/>
      </c>
      <c r="AB1434" t="str">
        <f t="shared" si="345"/>
        <v/>
      </c>
      <c r="AC1434">
        <f>IF($A1434="",0,IF(COUNTIF($A$2:$A1434,$A1434)=1,1,0))</f>
        <v>0</v>
      </c>
      <c r="AD1434">
        <f t="shared" si="346"/>
        <v>18</v>
      </c>
      <c r="AE1434" t="str">
        <f t="shared" si="347"/>
        <v>基金整体|平均房价（元/间）</v>
      </c>
    </row>
    <row r="1435" spans="1:31" x14ac:dyDescent="0.4">
      <c r="A1435" t="str">
        <f>IF(原始经营数据!$D1436="","",原始经营数据!$D1436)</f>
        <v>华安锦江封闭式商业不动产证券投资基金</v>
      </c>
      <c r="B1435" t="str">
        <f>IF(原始经营数据!$D1436="","",T(原始经营数据!$E1436))</f>
        <v>基金整体</v>
      </c>
      <c r="C1435" t="str">
        <f>IF(原始经营数据!$D1436="","",原始经营数据!$F1436)</f>
        <v>2023</v>
      </c>
      <c r="D1435" t="str">
        <f>IF(原始经营数据!$D1436="","",原始经营数据!$H1436)</f>
        <v>平均入住率</v>
      </c>
      <c r="E1435">
        <f>IF(原始经营数据!$D1436="","",原始经营数据!$I1436)</f>
        <v>69.37</v>
      </c>
      <c r="F1435" t="str">
        <f>IF(原始经营数据!$D1436="","",T(原始经营数据!$J1436))</f>
        <v>%</v>
      </c>
      <c r="G1435" t="str">
        <f>IF(原始经营数据!$D1436="","",T(原始经营数据!$K1436))</f>
        <v/>
      </c>
      <c r="H1435" t="str">
        <f>IF(原始经营数据!$D1436="","",原始经营数据!$G1436)</f>
        <v>服务效率</v>
      </c>
      <c r="I1435" t="str">
        <f>IF($A1435="","",IF($B1435&lt;&gt;"",$B1435,IF(COUNTIFS(原始经营数据!$D$3:$D$3001,$A1435,原始经营数据!$E$3:$E$3001,"",原始经营数据!$F$3:$F$3001,$C1435,原始经营数据!$H$3:$H$3001,$D1435,原始经营数据!$K$3:$K$3001,$G1435)&gt;1,"基金整体·来源"&amp;原始经营数据!$A1436,"基金整体")))</f>
        <v>基金整体</v>
      </c>
      <c r="J1435" t="str">
        <f t="shared" si="333"/>
        <v>年度</v>
      </c>
      <c r="K1435" t="str">
        <f t="shared" si="334"/>
        <v>平均入住率（%）</v>
      </c>
      <c r="L1435" t="str">
        <f t="shared" si="335"/>
        <v>基金整体|平均入住率（%）|年度</v>
      </c>
      <c r="M1435">
        <f>IF($A1435="",0,IF(COUNTIF($L$2:$L1435,$L1435)=1,1,0))</f>
        <v>0</v>
      </c>
      <c r="N1435">
        <f t="shared" si="336"/>
        <v>20230</v>
      </c>
      <c r="O1435" t="str">
        <f t="shared" si="337"/>
        <v>华安锦江封闭式商业不动产证券投资基金|2023|年度</v>
      </c>
      <c r="P1435">
        <f>IF($A1435="",0,IF(COUNTIF($O$2:$O1435,$O1435)=1,1,0))</f>
        <v>0</v>
      </c>
      <c r="Q1435" t="str">
        <f>IF(AND($P1435=1,$A1435=经营数据!$B$3,$J1435=经营数据!$BA$5),COUNTIFS($P$2:$P$3000,1,$A$2:$A$3000,$A1435,$J$2:$J$3000,$J1435,$N$2:$N$3000,"&lt;"&amp;$N1435)+1,"")</f>
        <v/>
      </c>
      <c r="R1435" t="str">
        <f t="shared" si="338"/>
        <v>华安锦江封闭式商业不动产证券投资基金|基金整体</v>
      </c>
      <c r="S1435">
        <f>IF($A1435="",0,IF(COUNTIF($R$2:$R1435,$R1435)=1,1,0))</f>
        <v>0</v>
      </c>
      <c r="T1435">
        <f t="shared" si="339"/>
        <v>1429</v>
      </c>
      <c r="U1435" t="str">
        <f>IF($A1435="","",IF($A1435=经营数据!$B$3,COUNTIFS($S$2:$S$3000,1,$A$2:$A$3000,$A1435,$T$2:$T$3000,"&lt;"&amp;$T1435)+1,""))</f>
        <v/>
      </c>
      <c r="V1435" t="str">
        <f t="shared" si="340"/>
        <v>基金整体|服务效率</v>
      </c>
      <c r="W1435">
        <f t="shared" si="341"/>
        <v>2</v>
      </c>
      <c r="X1435" t="str">
        <f t="shared" si="342"/>
        <v>基金整体|平均入住率</v>
      </c>
      <c r="Y1435">
        <f t="shared" si="343"/>
        <v>1430</v>
      </c>
      <c r="Z1435">
        <f>IF($A1435="",0,IF(AND($M1435=1,$A1435=经营数据!$B$3,$J1435=经营数据!$BA$5,OR($I1435=经营数据!$BA$4,COUNTIF(经营数据!$AA$9:$AA$38,$I1435)&gt;0)),1,0))</f>
        <v>0</v>
      </c>
      <c r="AA1435" t="str">
        <f t="shared" si="344"/>
        <v/>
      </c>
      <c r="AB1435" t="str">
        <f t="shared" si="345"/>
        <v/>
      </c>
      <c r="AC1435">
        <f>IF($A1435="",0,IF(COUNTIF($A$2:$A1435,$A1435)=1,1,0))</f>
        <v>0</v>
      </c>
      <c r="AD1435">
        <f t="shared" si="346"/>
        <v>18</v>
      </c>
      <c r="AE1435" t="str">
        <f t="shared" si="347"/>
        <v>基金整体|平均入住率（%）</v>
      </c>
    </row>
    <row r="1436" spans="1:31" x14ac:dyDescent="0.4">
      <c r="A1436" t="str">
        <f>IF(原始经营数据!$D1437="","",原始经营数据!$D1437)</f>
        <v>华安锦江封闭式商业不动产证券投资基金</v>
      </c>
      <c r="B1436" t="str">
        <f>IF(原始经营数据!$D1437="","",T(原始经营数据!$E1437))</f>
        <v>基金整体</v>
      </c>
      <c r="C1436" t="str">
        <f>IF(原始经营数据!$D1437="","",原始经营数据!$F1437)</f>
        <v>2024</v>
      </c>
      <c r="D1436" t="str">
        <f>IF(原始经营数据!$D1437="","",原始经营数据!$H1437)</f>
        <v>平均房价</v>
      </c>
      <c r="E1436">
        <f>IF(原始经营数据!$D1437="","",原始经营数据!$I1437)</f>
        <v>273.58</v>
      </c>
      <c r="F1436" t="str">
        <f>IF(原始经营数据!$D1437="","",T(原始经营数据!$J1437))</f>
        <v>元/间</v>
      </c>
      <c r="G1436" t="str">
        <f>IF(原始经营数据!$D1437="","",T(原始经营数据!$K1437))</f>
        <v/>
      </c>
      <c r="H1436" t="str">
        <f>IF(原始经营数据!$D1437="","",原始经营数据!$G1437)</f>
        <v>服务价格</v>
      </c>
      <c r="I1436" t="str">
        <f>IF($A1436="","",IF($B1436&lt;&gt;"",$B1436,IF(COUNTIFS(原始经营数据!$D$3:$D$3001,$A1436,原始经营数据!$E$3:$E$3001,"",原始经营数据!$F$3:$F$3001,$C1436,原始经营数据!$H$3:$H$3001,$D1436,原始经营数据!$K$3:$K$3001,$G1436)&gt;1,"基金整体·来源"&amp;原始经营数据!$A1437,"基金整体")))</f>
        <v>基金整体</v>
      </c>
      <c r="J1436" t="str">
        <f t="shared" si="333"/>
        <v>年度</v>
      </c>
      <c r="K1436" t="str">
        <f t="shared" si="334"/>
        <v>平均房价（元/间）</v>
      </c>
      <c r="L1436" t="str">
        <f t="shared" si="335"/>
        <v>基金整体|平均房价（元/间）|年度</v>
      </c>
      <c r="M1436">
        <f>IF($A1436="",0,IF(COUNTIF($L$2:$L1436,$L1436)=1,1,0))</f>
        <v>0</v>
      </c>
      <c r="N1436">
        <f t="shared" si="336"/>
        <v>20240</v>
      </c>
      <c r="O1436" t="str">
        <f t="shared" si="337"/>
        <v>华安锦江封闭式商业不动产证券投资基金|2024|年度</v>
      </c>
      <c r="P1436">
        <f>IF($A1436="",0,IF(COUNTIF($O$2:$O1436,$O1436)=1,1,0))</f>
        <v>1</v>
      </c>
      <c r="Q1436" t="str">
        <f>IF(AND($P1436=1,$A1436=经营数据!$B$3,$J1436=经营数据!$BA$5),COUNTIFS($P$2:$P$3000,1,$A$2:$A$3000,$A1436,$J$2:$J$3000,$J1436,$N$2:$N$3000,"&lt;"&amp;$N1436)+1,"")</f>
        <v/>
      </c>
      <c r="R1436" t="str">
        <f t="shared" si="338"/>
        <v>华安锦江封闭式商业不动产证券投资基金|基金整体</v>
      </c>
      <c r="S1436">
        <f>IF($A1436="",0,IF(COUNTIF($R$2:$R1436,$R1436)=1,1,0))</f>
        <v>0</v>
      </c>
      <c r="T1436">
        <f t="shared" si="339"/>
        <v>1429</v>
      </c>
      <c r="U1436" t="str">
        <f>IF($A1436="","",IF($A1436=经营数据!$B$3,COUNTIFS($S$2:$S$3000,1,$A$2:$A$3000,$A1436,$T$2:$T$3000,"&lt;"&amp;$T1436)+1,""))</f>
        <v/>
      </c>
      <c r="V1436" t="str">
        <f t="shared" si="340"/>
        <v>基金整体|服务价格</v>
      </c>
      <c r="W1436">
        <f t="shared" si="341"/>
        <v>10</v>
      </c>
      <c r="X1436" t="str">
        <f t="shared" si="342"/>
        <v>基金整体|平均房价</v>
      </c>
      <c r="Y1436">
        <f t="shared" si="343"/>
        <v>1429</v>
      </c>
      <c r="Z1436">
        <f>IF($A1436="",0,IF(AND($M1436=1,$A1436=经营数据!$B$3,$J1436=经营数据!$BA$5,OR($I1436=经营数据!$BA$4,COUNTIF(经营数据!$AA$9:$AA$38,$I1436)&gt;0)),1,0))</f>
        <v>0</v>
      </c>
      <c r="AA1436" t="str">
        <f t="shared" si="344"/>
        <v/>
      </c>
      <c r="AB1436" t="str">
        <f t="shared" si="345"/>
        <v/>
      </c>
      <c r="AC1436">
        <f>IF($A1436="",0,IF(COUNTIF($A$2:$A1436,$A1436)=1,1,0))</f>
        <v>0</v>
      </c>
      <c r="AD1436">
        <f t="shared" si="346"/>
        <v>18</v>
      </c>
      <c r="AE1436" t="str">
        <f t="shared" si="347"/>
        <v>基金整体|平均房价（元/间）</v>
      </c>
    </row>
    <row r="1437" spans="1:31" x14ac:dyDescent="0.4">
      <c r="A1437" t="str">
        <f>IF(原始经营数据!$D1438="","",原始经营数据!$D1438)</f>
        <v>华安锦江封闭式商业不动产证券投资基金</v>
      </c>
      <c r="B1437" t="str">
        <f>IF(原始经营数据!$D1438="","",T(原始经营数据!$E1438))</f>
        <v>基金整体</v>
      </c>
      <c r="C1437" t="str">
        <f>IF(原始经营数据!$D1438="","",原始经营数据!$F1438)</f>
        <v>2024</v>
      </c>
      <c r="D1437" t="str">
        <f>IF(原始经营数据!$D1438="","",原始经营数据!$H1438)</f>
        <v>平均入住率</v>
      </c>
      <c r="E1437">
        <f>IF(原始经营数据!$D1438="","",原始经营数据!$I1438)</f>
        <v>62.39</v>
      </c>
      <c r="F1437" t="str">
        <f>IF(原始经营数据!$D1438="","",T(原始经营数据!$J1438))</f>
        <v>%</v>
      </c>
      <c r="G1437" t="str">
        <f>IF(原始经营数据!$D1438="","",T(原始经营数据!$K1438))</f>
        <v/>
      </c>
      <c r="H1437" t="str">
        <f>IF(原始经营数据!$D1438="","",原始经营数据!$G1438)</f>
        <v>服务效率</v>
      </c>
      <c r="I1437" t="str">
        <f>IF($A1437="","",IF($B1437&lt;&gt;"",$B1437,IF(COUNTIFS(原始经营数据!$D$3:$D$3001,$A1437,原始经营数据!$E$3:$E$3001,"",原始经营数据!$F$3:$F$3001,$C1437,原始经营数据!$H$3:$H$3001,$D1437,原始经营数据!$K$3:$K$3001,$G1437)&gt;1,"基金整体·来源"&amp;原始经营数据!$A1438,"基金整体")))</f>
        <v>基金整体</v>
      </c>
      <c r="J1437" t="str">
        <f t="shared" si="333"/>
        <v>年度</v>
      </c>
      <c r="K1437" t="str">
        <f t="shared" si="334"/>
        <v>平均入住率（%）</v>
      </c>
      <c r="L1437" t="str">
        <f t="shared" si="335"/>
        <v>基金整体|平均入住率（%）|年度</v>
      </c>
      <c r="M1437">
        <f>IF($A1437="",0,IF(COUNTIF($L$2:$L1437,$L1437)=1,1,0))</f>
        <v>0</v>
      </c>
      <c r="N1437">
        <f t="shared" si="336"/>
        <v>20240</v>
      </c>
      <c r="O1437" t="str">
        <f t="shared" si="337"/>
        <v>华安锦江封闭式商业不动产证券投资基金|2024|年度</v>
      </c>
      <c r="P1437">
        <f>IF($A1437="",0,IF(COUNTIF($O$2:$O1437,$O1437)=1,1,0))</f>
        <v>0</v>
      </c>
      <c r="Q1437" t="str">
        <f>IF(AND($P1437=1,$A1437=经营数据!$B$3,$J1437=经营数据!$BA$5),COUNTIFS($P$2:$P$3000,1,$A$2:$A$3000,$A1437,$J$2:$J$3000,$J1437,$N$2:$N$3000,"&lt;"&amp;$N1437)+1,"")</f>
        <v/>
      </c>
      <c r="R1437" t="str">
        <f t="shared" si="338"/>
        <v>华安锦江封闭式商业不动产证券投资基金|基金整体</v>
      </c>
      <c r="S1437">
        <f>IF($A1437="",0,IF(COUNTIF($R$2:$R1437,$R1437)=1,1,0))</f>
        <v>0</v>
      </c>
      <c r="T1437">
        <f t="shared" si="339"/>
        <v>1429</v>
      </c>
      <c r="U1437" t="str">
        <f>IF($A1437="","",IF($A1437=经营数据!$B$3,COUNTIFS($S$2:$S$3000,1,$A$2:$A$3000,$A1437,$T$2:$T$3000,"&lt;"&amp;$T1437)+1,""))</f>
        <v/>
      </c>
      <c r="V1437" t="str">
        <f t="shared" si="340"/>
        <v>基金整体|服务效率</v>
      </c>
      <c r="W1437">
        <f t="shared" si="341"/>
        <v>2</v>
      </c>
      <c r="X1437" t="str">
        <f t="shared" si="342"/>
        <v>基金整体|平均入住率</v>
      </c>
      <c r="Y1437">
        <f t="shared" si="343"/>
        <v>1430</v>
      </c>
      <c r="Z1437">
        <f>IF($A1437="",0,IF(AND($M1437=1,$A1437=经营数据!$B$3,$J1437=经营数据!$BA$5,OR($I1437=经营数据!$BA$4,COUNTIF(经营数据!$AA$9:$AA$38,$I1437)&gt;0)),1,0))</f>
        <v>0</v>
      </c>
      <c r="AA1437" t="str">
        <f t="shared" si="344"/>
        <v/>
      </c>
      <c r="AB1437" t="str">
        <f t="shared" si="345"/>
        <v/>
      </c>
      <c r="AC1437">
        <f>IF($A1437="",0,IF(COUNTIF($A$2:$A1437,$A1437)=1,1,0))</f>
        <v>0</v>
      </c>
      <c r="AD1437">
        <f t="shared" si="346"/>
        <v>18</v>
      </c>
      <c r="AE1437" t="str">
        <f t="shared" si="347"/>
        <v>基金整体|平均入住率（%）</v>
      </c>
    </row>
    <row r="1438" spans="1:31" x14ac:dyDescent="0.4">
      <c r="A1438" t="str">
        <f>IF(原始经营数据!$D1439="","",原始经营数据!$D1439)</f>
        <v>华安锦江封闭式商业不动产证券投资基金</v>
      </c>
      <c r="B1438" t="str">
        <f>IF(原始经营数据!$D1439="","",T(原始经营数据!$E1439))</f>
        <v>基金整体</v>
      </c>
      <c r="C1438" t="str">
        <f>IF(原始经营数据!$D1439="","",原始经营数据!$F1439)</f>
        <v>2024</v>
      </c>
      <c r="D1438" t="str">
        <f>IF(原始经营数据!$D1439="","",原始经营数据!$H1439)</f>
        <v>可供房数</v>
      </c>
      <c r="E1438">
        <f>IF(原始经营数据!$D1439="","",原始经营数据!$I1439)</f>
        <v>1112275</v>
      </c>
      <c r="F1438" t="str">
        <f>IF(原始经营数据!$D1439="","",T(原始经营数据!$J1439))</f>
        <v>间</v>
      </c>
      <c r="G1438" t="str">
        <f>IF(原始经营数据!$D1439="","",T(原始经营数据!$K1439))</f>
        <v/>
      </c>
      <c r="H1438" t="str">
        <f>IF(原始经营数据!$D1439="","",原始经营数据!$G1439)</f>
        <v>服务量</v>
      </c>
      <c r="I1438" t="str">
        <f>IF($A1438="","",IF($B1438&lt;&gt;"",$B1438,IF(COUNTIFS(原始经营数据!$D$3:$D$3001,$A1438,原始经营数据!$E$3:$E$3001,"",原始经营数据!$F$3:$F$3001,$C1438,原始经营数据!$H$3:$H$3001,$D1438,原始经营数据!$K$3:$K$3001,$G1438)&gt;1,"基金整体·来源"&amp;原始经营数据!$A1439,"基金整体")))</f>
        <v>基金整体</v>
      </c>
      <c r="J1438" t="str">
        <f t="shared" si="333"/>
        <v>年度</v>
      </c>
      <c r="K1438" t="str">
        <f t="shared" si="334"/>
        <v>可供房数（间）</v>
      </c>
      <c r="L1438" t="str">
        <f t="shared" si="335"/>
        <v>基金整体|可供房数（间）|年度</v>
      </c>
      <c r="M1438">
        <f>IF($A1438="",0,IF(COUNTIF($L$2:$L1438,$L1438)=1,1,0))</f>
        <v>0</v>
      </c>
      <c r="N1438">
        <f t="shared" si="336"/>
        <v>20240</v>
      </c>
      <c r="O1438" t="str">
        <f t="shared" si="337"/>
        <v>华安锦江封闭式商业不动产证券投资基金|2024|年度</v>
      </c>
      <c r="P1438">
        <f>IF($A1438="",0,IF(COUNTIF($O$2:$O1438,$O1438)=1,1,0))</f>
        <v>0</v>
      </c>
      <c r="Q1438" t="str">
        <f>IF(AND($P1438=1,$A1438=经营数据!$B$3,$J1438=经营数据!$BA$5),COUNTIFS($P$2:$P$3000,1,$A$2:$A$3000,$A1438,$J$2:$J$3000,$J1438,$N$2:$N$3000,"&lt;"&amp;$N1438)+1,"")</f>
        <v/>
      </c>
      <c r="R1438" t="str">
        <f t="shared" si="338"/>
        <v>华安锦江封闭式商业不动产证券投资基金|基金整体</v>
      </c>
      <c r="S1438">
        <f>IF($A1438="",0,IF(COUNTIF($R$2:$R1438,$R1438)=1,1,0))</f>
        <v>0</v>
      </c>
      <c r="T1438">
        <f t="shared" si="339"/>
        <v>1429</v>
      </c>
      <c r="U1438" t="str">
        <f>IF($A1438="","",IF($A1438=经营数据!$B$3,COUNTIFS($S$2:$S$3000,1,$A$2:$A$3000,$A1438,$T$2:$T$3000,"&lt;"&amp;$T1438)+1,""))</f>
        <v/>
      </c>
      <c r="V1438" t="str">
        <f t="shared" si="340"/>
        <v>基金整体|服务量</v>
      </c>
      <c r="W1438">
        <f t="shared" si="341"/>
        <v>1</v>
      </c>
      <c r="X1438" t="str">
        <f t="shared" si="342"/>
        <v>基金整体|可供房数</v>
      </c>
      <c r="Y1438">
        <f t="shared" si="343"/>
        <v>1431</v>
      </c>
      <c r="Z1438">
        <f>IF($A1438="",0,IF(AND($M1438=1,$A1438=经营数据!$B$3,$J1438=经营数据!$BA$5,OR($I1438=经营数据!$BA$4,COUNTIF(经营数据!$AA$9:$AA$38,$I1438)&gt;0)),1,0))</f>
        <v>0</v>
      </c>
      <c r="AA1438" t="str">
        <f t="shared" si="344"/>
        <v/>
      </c>
      <c r="AB1438" t="str">
        <f t="shared" si="345"/>
        <v/>
      </c>
      <c r="AC1438">
        <f>IF($A1438="",0,IF(COUNTIF($A$2:$A1438,$A1438)=1,1,0))</f>
        <v>0</v>
      </c>
      <c r="AD1438">
        <f t="shared" si="346"/>
        <v>18</v>
      </c>
      <c r="AE1438" t="str">
        <f t="shared" si="347"/>
        <v>基金整体|可供房数（间）</v>
      </c>
    </row>
    <row r="1439" spans="1:31" x14ac:dyDescent="0.4">
      <c r="A1439" t="str">
        <f>IF(原始经营数据!$D1440="","",原始经营数据!$D1440)</f>
        <v>华安锦江封闭式商业不动产证券投资基金</v>
      </c>
      <c r="B1439" t="str">
        <f>IF(原始经营数据!$D1440="","",T(原始经营数据!$E1440))</f>
        <v>基金整体</v>
      </c>
      <c r="C1439" t="str">
        <f>IF(原始经营数据!$D1440="","",原始经营数据!$F1440)</f>
        <v>2025</v>
      </c>
      <c r="D1439" t="str">
        <f>IF(原始经营数据!$D1440="","",原始经营数据!$H1440)</f>
        <v>平均入住率</v>
      </c>
      <c r="E1439">
        <f>IF(原始经营数据!$D1440="","",原始经营数据!$I1440)</f>
        <v>61.93</v>
      </c>
      <c r="F1439" t="str">
        <f>IF(原始经营数据!$D1440="","",T(原始经营数据!$J1440))</f>
        <v>%</v>
      </c>
      <c r="G1439" t="str">
        <f>IF(原始经营数据!$D1440="","",T(原始经营数据!$K1440))</f>
        <v/>
      </c>
      <c r="H1439" t="str">
        <f>IF(原始经营数据!$D1440="","",原始经营数据!$G1440)</f>
        <v>服务效率</v>
      </c>
      <c r="I1439" t="str">
        <f>IF($A1439="","",IF($B1439&lt;&gt;"",$B1439,IF(COUNTIFS(原始经营数据!$D$3:$D$3001,$A1439,原始经营数据!$E$3:$E$3001,"",原始经营数据!$F$3:$F$3001,$C1439,原始经营数据!$H$3:$H$3001,$D1439,原始经营数据!$K$3:$K$3001,$G1439)&gt;1,"基金整体·来源"&amp;原始经营数据!$A1440,"基金整体")))</f>
        <v>基金整体</v>
      </c>
      <c r="J1439" t="str">
        <f t="shared" si="333"/>
        <v>年度</v>
      </c>
      <c r="K1439" t="str">
        <f t="shared" si="334"/>
        <v>平均入住率（%）</v>
      </c>
      <c r="L1439" t="str">
        <f t="shared" si="335"/>
        <v>基金整体|平均入住率（%）|年度</v>
      </c>
      <c r="M1439">
        <f>IF($A1439="",0,IF(COUNTIF($L$2:$L1439,$L1439)=1,1,0))</f>
        <v>0</v>
      </c>
      <c r="N1439">
        <f t="shared" si="336"/>
        <v>20250</v>
      </c>
      <c r="O1439" t="str">
        <f t="shared" si="337"/>
        <v>华安锦江封闭式商业不动产证券投资基金|2025|年度</v>
      </c>
      <c r="P1439">
        <f>IF($A1439="",0,IF(COUNTIF($O$2:$O1439,$O1439)=1,1,0))</f>
        <v>1</v>
      </c>
      <c r="Q1439" t="str">
        <f>IF(AND($P1439=1,$A1439=经营数据!$B$3,$J1439=经营数据!$BA$5),COUNTIFS($P$2:$P$3000,1,$A$2:$A$3000,$A1439,$J$2:$J$3000,$J1439,$N$2:$N$3000,"&lt;"&amp;$N1439)+1,"")</f>
        <v/>
      </c>
      <c r="R1439" t="str">
        <f t="shared" si="338"/>
        <v>华安锦江封闭式商业不动产证券投资基金|基金整体</v>
      </c>
      <c r="S1439">
        <f>IF($A1439="",0,IF(COUNTIF($R$2:$R1439,$R1439)=1,1,0))</f>
        <v>0</v>
      </c>
      <c r="T1439">
        <f t="shared" si="339"/>
        <v>1429</v>
      </c>
      <c r="U1439" t="str">
        <f>IF($A1439="","",IF($A1439=经营数据!$B$3,COUNTIFS($S$2:$S$3000,1,$A$2:$A$3000,$A1439,$T$2:$T$3000,"&lt;"&amp;$T1439)+1,""))</f>
        <v/>
      </c>
      <c r="V1439" t="str">
        <f t="shared" si="340"/>
        <v>基金整体|服务效率</v>
      </c>
      <c r="W1439">
        <f t="shared" si="341"/>
        <v>2</v>
      </c>
      <c r="X1439" t="str">
        <f t="shared" si="342"/>
        <v>基金整体|平均入住率</v>
      </c>
      <c r="Y1439">
        <f t="shared" si="343"/>
        <v>1430</v>
      </c>
      <c r="Z1439">
        <f>IF($A1439="",0,IF(AND($M1439=1,$A1439=经营数据!$B$3,$J1439=经营数据!$BA$5,OR($I1439=经营数据!$BA$4,COUNTIF(经营数据!$AA$9:$AA$38,$I1439)&gt;0)),1,0))</f>
        <v>0</v>
      </c>
      <c r="AA1439" t="str">
        <f t="shared" si="344"/>
        <v/>
      </c>
      <c r="AB1439" t="str">
        <f t="shared" si="345"/>
        <v/>
      </c>
      <c r="AC1439">
        <f>IF($A1439="",0,IF(COUNTIF($A$2:$A1439,$A1439)=1,1,0))</f>
        <v>0</v>
      </c>
      <c r="AD1439">
        <f t="shared" si="346"/>
        <v>18</v>
      </c>
      <c r="AE1439" t="str">
        <f t="shared" si="347"/>
        <v>基金整体|平均入住率（%）</v>
      </c>
    </row>
    <row r="1440" spans="1:31" x14ac:dyDescent="0.4">
      <c r="A1440" t="str">
        <f>IF(原始经营数据!$D1441="","",原始经营数据!$D1441)</f>
        <v>华安锦江封闭式商业不动产证券投资基金</v>
      </c>
      <c r="B1440" t="str">
        <f>IF(原始经营数据!$D1441="","",T(原始经营数据!$E1441))</f>
        <v>基金整体</v>
      </c>
      <c r="C1440" t="str">
        <f>IF(原始经营数据!$D1441="","",原始经营数据!$F1441)</f>
        <v>2025</v>
      </c>
      <c r="D1440" t="str">
        <f>IF(原始经营数据!$D1441="","",原始经营数据!$H1441)</f>
        <v>平均房价</v>
      </c>
      <c r="E1440">
        <f>IF(原始经营数据!$D1441="","",原始经营数据!$I1441)</f>
        <v>255.99</v>
      </c>
      <c r="F1440" t="str">
        <f>IF(原始经营数据!$D1441="","",T(原始经营数据!$J1441))</f>
        <v>元/间</v>
      </c>
      <c r="G1440" t="str">
        <f>IF(原始经营数据!$D1441="","",T(原始经营数据!$K1441))</f>
        <v/>
      </c>
      <c r="H1440" t="str">
        <f>IF(原始经营数据!$D1441="","",原始经营数据!$G1441)</f>
        <v>服务价格</v>
      </c>
      <c r="I1440" t="str">
        <f>IF($A1440="","",IF($B1440&lt;&gt;"",$B1440,IF(COUNTIFS(原始经营数据!$D$3:$D$3001,$A1440,原始经营数据!$E$3:$E$3001,"",原始经营数据!$F$3:$F$3001,$C1440,原始经营数据!$H$3:$H$3001,$D1440,原始经营数据!$K$3:$K$3001,$G1440)&gt;1,"基金整体·来源"&amp;原始经营数据!$A1441,"基金整体")))</f>
        <v>基金整体</v>
      </c>
      <c r="J1440" t="str">
        <f t="shared" si="333"/>
        <v>年度</v>
      </c>
      <c r="K1440" t="str">
        <f t="shared" si="334"/>
        <v>平均房价（元/间）</v>
      </c>
      <c r="L1440" t="str">
        <f t="shared" si="335"/>
        <v>基金整体|平均房价（元/间）|年度</v>
      </c>
      <c r="M1440">
        <f>IF($A1440="",0,IF(COUNTIF($L$2:$L1440,$L1440)=1,1,0))</f>
        <v>0</v>
      </c>
      <c r="N1440">
        <f t="shared" si="336"/>
        <v>20250</v>
      </c>
      <c r="O1440" t="str">
        <f t="shared" si="337"/>
        <v>华安锦江封闭式商业不动产证券投资基金|2025|年度</v>
      </c>
      <c r="P1440">
        <f>IF($A1440="",0,IF(COUNTIF($O$2:$O1440,$O1440)=1,1,0))</f>
        <v>0</v>
      </c>
      <c r="Q1440" t="str">
        <f>IF(AND($P1440=1,$A1440=经营数据!$B$3,$J1440=经营数据!$BA$5),COUNTIFS($P$2:$P$3000,1,$A$2:$A$3000,$A1440,$J$2:$J$3000,$J1440,$N$2:$N$3000,"&lt;"&amp;$N1440)+1,"")</f>
        <v/>
      </c>
      <c r="R1440" t="str">
        <f t="shared" si="338"/>
        <v>华安锦江封闭式商业不动产证券投资基金|基金整体</v>
      </c>
      <c r="S1440">
        <f>IF($A1440="",0,IF(COUNTIF($R$2:$R1440,$R1440)=1,1,0))</f>
        <v>0</v>
      </c>
      <c r="T1440">
        <f t="shared" si="339"/>
        <v>1429</v>
      </c>
      <c r="U1440" t="str">
        <f>IF($A1440="","",IF($A1440=经营数据!$B$3,COUNTIFS($S$2:$S$3000,1,$A$2:$A$3000,$A1440,$T$2:$T$3000,"&lt;"&amp;$T1440)+1,""))</f>
        <v/>
      </c>
      <c r="V1440" t="str">
        <f t="shared" si="340"/>
        <v>基金整体|服务价格</v>
      </c>
      <c r="W1440">
        <f t="shared" si="341"/>
        <v>10</v>
      </c>
      <c r="X1440" t="str">
        <f t="shared" si="342"/>
        <v>基金整体|平均房价</v>
      </c>
      <c r="Y1440">
        <f t="shared" si="343"/>
        <v>1429</v>
      </c>
      <c r="Z1440">
        <f>IF($A1440="",0,IF(AND($M1440=1,$A1440=经营数据!$B$3,$J1440=经营数据!$BA$5,OR($I1440=经营数据!$BA$4,COUNTIF(经营数据!$AA$9:$AA$38,$I1440)&gt;0)),1,0))</f>
        <v>0</v>
      </c>
      <c r="AA1440" t="str">
        <f t="shared" si="344"/>
        <v/>
      </c>
      <c r="AB1440" t="str">
        <f t="shared" si="345"/>
        <v/>
      </c>
      <c r="AC1440">
        <f>IF($A1440="",0,IF(COUNTIF($A$2:$A1440,$A1440)=1,1,0))</f>
        <v>0</v>
      </c>
      <c r="AD1440">
        <f t="shared" si="346"/>
        <v>18</v>
      </c>
      <c r="AE1440" t="str">
        <f t="shared" si="347"/>
        <v>基金整体|平均房价（元/间）</v>
      </c>
    </row>
    <row r="1441" spans="1:31" x14ac:dyDescent="0.4">
      <c r="A1441" t="str">
        <f>IF(原始经营数据!$D1442="","",原始经营数据!$D1442)</f>
        <v>华安锦江封闭式商业不动产证券投资基金</v>
      </c>
      <c r="B1441" t="str">
        <f>IF(原始经营数据!$D1442="","",T(原始经营数据!$E1442))</f>
        <v>基金整体</v>
      </c>
      <c r="C1441" t="str">
        <f>IF(原始经营数据!$D1442="","",原始经营数据!$F1442)</f>
        <v>2025</v>
      </c>
      <c r="D1441" t="str">
        <f>IF(原始经营数据!$D1442="","",原始经营数据!$H1442)</f>
        <v>可供房数</v>
      </c>
      <c r="E1441">
        <f>IF(原始经营数据!$D1442="","",原始经营数据!$I1442)</f>
        <v>1081345</v>
      </c>
      <c r="F1441" t="str">
        <f>IF(原始经营数据!$D1442="","",T(原始经营数据!$J1442))</f>
        <v>间</v>
      </c>
      <c r="G1441" t="str">
        <f>IF(原始经营数据!$D1442="","",T(原始经营数据!$K1442))</f>
        <v/>
      </c>
      <c r="H1441" t="str">
        <f>IF(原始经营数据!$D1442="","",原始经营数据!$G1442)</f>
        <v>服务量</v>
      </c>
      <c r="I1441" t="str">
        <f>IF($A1441="","",IF($B1441&lt;&gt;"",$B1441,IF(COUNTIFS(原始经营数据!$D$3:$D$3001,$A1441,原始经营数据!$E$3:$E$3001,"",原始经营数据!$F$3:$F$3001,$C1441,原始经营数据!$H$3:$H$3001,$D1441,原始经营数据!$K$3:$K$3001,$G1441)&gt;1,"基金整体·来源"&amp;原始经营数据!$A1442,"基金整体")))</f>
        <v>基金整体</v>
      </c>
      <c r="J1441" t="str">
        <f t="shared" si="333"/>
        <v>年度</v>
      </c>
      <c r="K1441" t="str">
        <f t="shared" si="334"/>
        <v>可供房数（间）</v>
      </c>
      <c r="L1441" t="str">
        <f t="shared" si="335"/>
        <v>基金整体|可供房数（间）|年度</v>
      </c>
      <c r="M1441">
        <f>IF($A1441="",0,IF(COUNTIF($L$2:$L1441,$L1441)=1,1,0))</f>
        <v>0</v>
      </c>
      <c r="N1441">
        <f t="shared" si="336"/>
        <v>20250</v>
      </c>
      <c r="O1441" t="str">
        <f t="shared" si="337"/>
        <v>华安锦江封闭式商业不动产证券投资基金|2025|年度</v>
      </c>
      <c r="P1441">
        <f>IF($A1441="",0,IF(COUNTIF($O$2:$O1441,$O1441)=1,1,0))</f>
        <v>0</v>
      </c>
      <c r="Q1441" t="str">
        <f>IF(AND($P1441=1,$A1441=经营数据!$B$3,$J1441=经营数据!$BA$5),COUNTIFS($P$2:$P$3000,1,$A$2:$A$3000,$A1441,$J$2:$J$3000,$J1441,$N$2:$N$3000,"&lt;"&amp;$N1441)+1,"")</f>
        <v/>
      </c>
      <c r="R1441" t="str">
        <f t="shared" si="338"/>
        <v>华安锦江封闭式商业不动产证券投资基金|基金整体</v>
      </c>
      <c r="S1441">
        <f>IF($A1441="",0,IF(COUNTIF($R$2:$R1441,$R1441)=1,1,0))</f>
        <v>0</v>
      </c>
      <c r="T1441">
        <f t="shared" si="339"/>
        <v>1429</v>
      </c>
      <c r="U1441" t="str">
        <f>IF($A1441="","",IF($A1441=经营数据!$B$3,COUNTIFS($S$2:$S$3000,1,$A$2:$A$3000,$A1441,$T$2:$T$3000,"&lt;"&amp;$T1441)+1,""))</f>
        <v/>
      </c>
      <c r="V1441" t="str">
        <f t="shared" si="340"/>
        <v>基金整体|服务量</v>
      </c>
      <c r="W1441">
        <f t="shared" si="341"/>
        <v>1</v>
      </c>
      <c r="X1441" t="str">
        <f t="shared" si="342"/>
        <v>基金整体|可供房数</v>
      </c>
      <c r="Y1441">
        <f t="shared" si="343"/>
        <v>1431</v>
      </c>
      <c r="Z1441">
        <f>IF($A1441="",0,IF(AND($M1441=1,$A1441=经营数据!$B$3,$J1441=经营数据!$BA$5,OR($I1441=经营数据!$BA$4,COUNTIF(经营数据!$AA$9:$AA$38,$I1441)&gt;0)),1,0))</f>
        <v>0</v>
      </c>
      <c r="AA1441" t="str">
        <f t="shared" si="344"/>
        <v/>
      </c>
      <c r="AB1441" t="str">
        <f t="shared" si="345"/>
        <v/>
      </c>
      <c r="AC1441">
        <f>IF($A1441="",0,IF(COUNTIF($A$2:$A1441,$A1441)=1,1,0))</f>
        <v>0</v>
      </c>
      <c r="AD1441">
        <f t="shared" si="346"/>
        <v>18</v>
      </c>
      <c r="AE1441" t="str">
        <f t="shared" si="347"/>
        <v>基金整体|可供房数（间）</v>
      </c>
    </row>
    <row r="1442" spans="1:31" x14ac:dyDescent="0.4">
      <c r="A1442" t="str">
        <f>IF(原始经营数据!$D1443="","",原始经营数据!$D1443)</f>
        <v>华安锦江封闭式商业不动产证券投资基金</v>
      </c>
      <c r="B1442" t="str">
        <f>IF(原始经营数据!$D1443="","",T(原始经营数据!$E1443))</f>
        <v>锦江都城南昌红谷滩店</v>
      </c>
      <c r="C1442" t="str">
        <f>IF(原始经营数据!$D1443="","",原始经营数据!$F1443)</f>
        <v>2022</v>
      </c>
      <c r="D1442" t="str">
        <f>IF(原始经营数据!$D1443="","",原始经营数据!$H1443)</f>
        <v>平均房价</v>
      </c>
      <c r="E1442">
        <f>IF(原始经营数据!$D1443="","",原始经营数据!$I1443)</f>
        <v>221.41</v>
      </c>
      <c r="F1442" t="str">
        <f>IF(原始经营数据!$D1443="","",T(原始经营数据!$J1443))</f>
        <v>元/间</v>
      </c>
      <c r="G1442" t="str">
        <f>IF(原始经营数据!$D1443="","",T(原始经营数据!$K1443))</f>
        <v/>
      </c>
      <c r="H1442" t="str">
        <f>IF(原始经营数据!$D1443="","",原始经营数据!$G1443)</f>
        <v>服务量</v>
      </c>
      <c r="I1442" t="str">
        <f>IF($A1442="","",IF($B1442&lt;&gt;"",$B1442,IF(COUNTIFS(原始经营数据!$D$3:$D$3001,$A1442,原始经营数据!$E$3:$E$3001,"",原始经营数据!$F$3:$F$3001,$C1442,原始经营数据!$H$3:$H$3001,$D1442,原始经营数据!$K$3:$K$3001,$G1442)&gt;1,"基金整体·来源"&amp;原始经营数据!$A1443,"基金整体")))</f>
        <v>锦江都城南昌红谷滩店</v>
      </c>
      <c r="J1442" t="str">
        <f t="shared" si="333"/>
        <v>年度</v>
      </c>
      <c r="K1442" t="str">
        <f t="shared" si="334"/>
        <v>平均房价（元/间）</v>
      </c>
      <c r="L1442" t="str">
        <f t="shared" si="335"/>
        <v>锦江都城南昌红谷滩店|平均房价（元/间）|年度</v>
      </c>
      <c r="M1442">
        <f>IF($A1442="",0,IF(COUNTIF($L$2:$L1442,$L1442)=1,1,0))</f>
        <v>1</v>
      </c>
      <c r="N1442">
        <f t="shared" si="336"/>
        <v>20220</v>
      </c>
      <c r="O1442" t="str">
        <f t="shared" si="337"/>
        <v>华安锦江封闭式商业不动产证券投资基金|2022|年度</v>
      </c>
      <c r="P1442">
        <f>IF($A1442="",0,IF(COUNTIF($O$2:$O1442,$O1442)=1,1,0))</f>
        <v>0</v>
      </c>
      <c r="Q1442" t="str">
        <f>IF(AND($P1442=1,$A1442=经营数据!$B$3,$J1442=经营数据!$BA$5),COUNTIFS($P$2:$P$3000,1,$A$2:$A$3000,$A1442,$J$2:$J$3000,$J1442,$N$2:$N$3000,"&lt;"&amp;$N1442)+1,"")</f>
        <v/>
      </c>
      <c r="R1442" t="str">
        <f t="shared" si="338"/>
        <v>华安锦江封闭式商业不动产证券投资基金|锦江都城南昌红谷滩店</v>
      </c>
      <c r="S1442">
        <f>IF($A1442="",0,IF(COUNTIF($R$2:$R1442,$R1442)=1,1,0))</f>
        <v>1</v>
      </c>
      <c r="T1442">
        <f t="shared" si="339"/>
        <v>1441</v>
      </c>
      <c r="U1442" t="str">
        <f>IF($A1442="","",IF($A1442=经营数据!$B$3,COUNTIFS($S$2:$S$3000,1,$A$2:$A$3000,$A1442,$T$2:$T$3000,"&lt;"&amp;$T1442)+1,""))</f>
        <v/>
      </c>
      <c r="V1442" t="str">
        <f t="shared" si="340"/>
        <v>锦江都城南昌红谷滩店|服务量</v>
      </c>
      <c r="W1442">
        <f t="shared" si="341"/>
        <v>1441</v>
      </c>
      <c r="X1442" t="str">
        <f t="shared" si="342"/>
        <v>锦江都城南昌红谷滩店|平均房价</v>
      </c>
      <c r="Y1442">
        <f t="shared" si="343"/>
        <v>1441</v>
      </c>
      <c r="Z1442">
        <f>IF($A1442="",0,IF(AND($M1442=1,$A1442=经营数据!$B$3,$J1442=经营数据!$BA$5,OR($I1442=经营数据!$BA$4,COUNTIF(经营数据!$AA$9:$AA$38,$I1442)&gt;0)),1,0))</f>
        <v>0</v>
      </c>
      <c r="AA1442" t="str">
        <f t="shared" si="344"/>
        <v/>
      </c>
      <c r="AB1442" t="str">
        <f t="shared" si="345"/>
        <v/>
      </c>
      <c r="AC1442">
        <f>IF($A1442="",0,IF(COUNTIF($A$2:$A1442,$A1442)=1,1,0))</f>
        <v>0</v>
      </c>
      <c r="AD1442">
        <f t="shared" si="346"/>
        <v>18</v>
      </c>
      <c r="AE1442" t="str">
        <f t="shared" si="347"/>
        <v>锦江都城南昌红谷滩店|平均房价（元/间）</v>
      </c>
    </row>
    <row r="1443" spans="1:31" x14ac:dyDescent="0.4">
      <c r="A1443" t="str">
        <f>IF(原始经营数据!$D1444="","",原始经营数据!$D1444)</f>
        <v>华安锦江封闭式商业不动产证券投资基金</v>
      </c>
      <c r="B1443" t="str">
        <f>IF(原始经营数据!$D1444="","",T(原始经营数据!$E1444))</f>
        <v>锦江都城南昌红谷滩店</v>
      </c>
      <c r="C1443" t="str">
        <f>IF(原始经营数据!$D1444="","",原始经营数据!$F1444)</f>
        <v>2022</v>
      </c>
      <c r="D1443" t="str">
        <f>IF(原始经营数据!$D1444="","",原始经营数据!$H1444)</f>
        <v>平均入住率</v>
      </c>
      <c r="E1443">
        <f>IF(原始经营数据!$D1444="","",原始经营数据!$I1444)</f>
        <v>52.58</v>
      </c>
      <c r="F1443" t="str">
        <f>IF(原始经营数据!$D1444="","",T(原始经营数据!$J1444))</f>
        <v>%</v>
      </c>
      <c r="G1443" t="str">
        <f>IF(原始经营数据!$D1444="","",T(原始经营数据!$K1444))</f>
        <v/>
      </c>
      <c r="H1443" t="str">
        <f>IF(原始经营数据!$D1444="","",原始经营数据!$G1444)</f>
        <v>服务量</v>
      </c>
      <c r="I1443" t="str">
        <f>IF($A1443="","",IF($B1443&lt;&gt;"",$B1443,IF(COUNTIFS(原始经营数据!$D$3:$D$3001,$A1443,原始经营数据!$E$3:$E$3001,"",原始经营数据!$F$3:$F$3001,$C1443,原始经营数据!$H$3:$H$3001,$D1443,原始经营数据!$K$3:$K$3001,$G1443)&gt;1,"基金整体·来源"&amp;原始经营数据!$A1444,"基金整体")))</f>
        <v>锦江都城南昌红谷滩店</v>
      </c>
      <c r="J1443" t="str">
        <f t="shared" si="333"/>
        <v>年度</v>
      </c>
      <c r="K1443" t="str">
        <f t="shared" si="334"/>
        <v>平均入住率（%）</v>
      </c>
      <c r="L1443" t="str">
        <f t="shared" si="335"/>
        <v>锦江都城南昌红谷滩店|平均入住率（%）|年度</v>
      </c>
      <c r="M1443">
        <f>IF($A1443="",0,IF(COUNTIF($L$2:$L1443,$L1443)=1,1,0))</f>
        <v>1</v>
      </c>
      <c r="N1443">
        <f t="shared" si="336"/>
        <v>20220</v>
      </c>
      <c r="O1443" t="str">
        <f t="shared" si="337"/>
        <v>华安锦江封闭式商业不动产证券投资基金|2022|年度</v>
      </c>
      <c r="P1443">
        <f>IF($A1443="",0,IF(COUNTIF($O$2:$O1443,$O1443)=1,1,0))</f>
        <v>0</v>
      </c>
      <c r="Q1443" t="str">
        <f>IF(AND($P1443=1,$A1443=经营数据!$B$3,$J1443=经营数据!$BA$5),COUNTIFS($P$2:$P$3000,1,$A$2:$A$3000,$A1443,$J$2:$J$3000,$J1443,$N$2:$N$3000,"&lt;"&amp;$N1443)+1,"")</f>
        <v/>
      </c>
      <c r="R1443" t="str">
        <f t="shared" si="338"/>
        <v>华安锦江封闭式商业不动产证券投资基金|锦江都城南昌红谷滩店</v>
      </c>
      <c r="S1443">
        <f>IF($A1443="",0,IF(COUNTIF($R$2:$R1443,$R1443)=1,1,0))</f>
        <v>0</v>
      </c>
      <c r="T1443">
        <f t="shared" si="339"/>
        <v>1441</v>
      </c>
      <c r="U1443" t="str">
        <f>IF($A1443="","",IF($A1443=经营数据!$B$3,COUNTIFS($S$2:$S$3000,1,$A$2:$A$3000,$A1443,$T$2:$T$3000,"&lt;"&amp;$T1443)+1,""))</f>
        <v/>
      </c>
      <c r="V1443" t="str">
        <f t="shared" si="340"/>
        <v>锦江都城南昌红谷滩店|服务量</v>
      </c>
      <c r="W1443">
        <f t="shared" si="341"/>
        <v>1441</v>
      </c>
      <c r="X1443" t="str">
        <f t="shared" si="342"/>
        <v>锦江都城南昌红谷滩店|平均入住率</v>
      </c>
      <c r="Y1443">
        <f t="shared" si="343"/>
        <v>1442</v>
      </c>
      <c r="Z1443">
        <f>IF($A1443="",0,IF(AND($M1443=1,$A1443=经营数据!$B$3,$J1443=经营数据!$BA$5,OR($I1443=经营数据!$BA$4,COUNTIF(经营数据!$AA$9:$AA$38,$I1443)&gt;0)),1,0))</f>
        <v>0</v>
      </c>
      <c r="AA1443" t="str">
        <f t="shared" si="344"/>
        <v/>
      </c>
      <c r="AB1443" t="str">
        <f t="shared" si="345"/>
        <v/>
      </c>
      <c r="AC1443">
        <f>IF($A1443="",0,IF(COUNTIF($A$2:$A1443,$A1443)=1,1,0))</f>
        <v>0</v>
      </c>
      <c r="AD1443">
        <f t="shared" si="346"/>
        <v>18</v>
      </c>
      <c r="AE1443" t="str">
        <f t="shared" si="347"/>
        <v>锦江都城南昌红谷滩店|平均入住率（%）</v>
      </c>
    </row>
    <row r="1444" spans="1:31" x14ac:dyDescent="0.4">
      <c r="A1444" t="str">
        <f>IF(原始经营数据!$D1445="","",原始经营数据!$D1445)</f>
        <v>华安锦江封闭式商业不动产证券投资基金</v>
      </c>
      <c r="B1444" t="str">
        <f>IF(原始经营数据!$D1445="","",T(原始经营数据!$E1445))</f>
        <v>锦江都城南昌红谷滩店</v>
      </c>
      <c r="C1444" t="str">
        <f>IF(原始经营数据!$D1445="","",原始经营数据!$F1445)</f>
        <v>2022</v>
      </c>
      <c r="D1444" t="str">
        <f>IF(原始经营数据!$D1445="","",原始经营数据!$H1445)</f>
        <v>可供房数</v>
      </c>
      <c r="E1444">
        <f>IF(原始经营数据!$D1445="","",原始经营数据!$I1445)</f>
        <v>49979</v>
      </c>
      <c r="F1444" t="str">
        <f>IF(原始经营数据!$D1445="","",T(原始经营数据!$J1445))</f>
        <v>间</v>
      </c>
      <c r="G1444" t="str">
        <f>IF(原始经营数据!$D1445="","",T(原始经营数据!$K1445))</f>
        <v/>
      </c>
      <c r="H1444" t="str">
        <f>IF(原始经营数据!$D1445="","",原始经营数据!$G1445)</f>
        <v>服务量</v>
      </c>
      <c r="I1444" t="str">
        <f>IF($A1444="","",IF($B1444&lt;&gt;"",$B1444,IF(COUNTIFS(原始经营数据!$D$3:$D$3001,$A1444,原始经营数据!$E$3:$E$3001,"",原始经营数据!$F$3:$F$3001,$C1444,原始经营数据!$H$3:$H$3001,$D1444,原始经营数据!$K$3:$K$3001,$G1444)&gt;1,"基金整体·来源"&amp;原始经营数据!$A1445,"基金整体")))</f>
        <v>锦江都城南昌红谷滩店</v>
      </c>
      <c r="J1444" t="str">
        <f t="shared" si="333"/>
        <v>年度</v>
      </c>
      <c r="K1444" t="str">
        <f t="shared" si="334"/>
        <v>可供房数（间）</v>
      </c>
      <c r="L1444" t="str">
        <f t="shared" si="335"/>
        <v>锦江都城南昌红谷滩店|可供房数（间）|年度</v>
      </c>
      <c r="M1444">
        <f>IF($A1444="",0,IF(COUNTIF($L$2:$L1444,$L1444)=1,1,0))</f>
        <v>1</v>
      </c>
      <c r="N1444">
        <f t="shared" si="336"/>
        <v>20220</v>
      </c>
      <c r="O1444" t="str">
        <f t="shared" si="337"/>
        <v>华安锦江封闭式商业不动产证券投资基金|2022|年度</v>
      </c>
      <c r="P1444">
        <f>IF($A1444="",0,IF(COUNTIF($O$2:$O1444,$O1444)=1,1,0))</f>
        <v>0</v>
      </c>
      <c r="Q1444" t="str">
        <f>IF(AND($P1444=1,$A1444=经营数据!$B$3,$J1444=经营数据!$BA$5),COUNTIFS($P$2:$P$3000,1,$A$2:$A$3000,$A1444,$J$2:$J$3000,$J1444,$N$2:$N$3000,"&lt;"&amp;$N1444)+1,"")</f>
        <v/>
      </c>
      <c r="R1444" t="str">
        <f t="shared" si="338"/>
        <v>华安锦江封闭式商业不动产证券投资基金|锦江都城南昌红谷滩店</v>
      </c>
      <c r="S1444">
        <f>IF($A1444="",0,IF(COUNTIF($R$2:$R1444,$R1444)=1,1,0))</f>
        <v>0</v>
      </c>
      <c r="T1444">
        <f t="shared" si="339"/>
        <v>1441</v>
      </c>
      <c r="U1444" t="str">
        <f>IF($A1444="","",IF($A1444=经营数据!$B$3,COUNTIFS($S$2:$S$3000,1,$A$2:$A$3000,$A1444,$T$2:$T$3000,"&lt;"&amp;$T1444)+1,""))</f>
        <v/>
      </c>
      <c r="V1444" t="str">
        <f t="shared" si="340"/>
        <v>锦江都城南昌红谷滩店|服务量</v>
      </c>
      <c r="W1444">
        <f t="shared" si="341"/>
        <v>1441</v>
      </c>
      <c r="X1444" t="str">
        <f t="shared" si="342"/>
        <v>锦江都城南昌红谷滩店|可供房数</v>
      </c>
      <c r="Y1444">
        <f t="shared" si="343"/>
        <v>1443</v>
      </c>
      <c r="Z1444">
        <f>IF($A1444="",0,IF(AND($M1444=1,$A1444=经营数据!$B$3,$J1444=经营数据!$BA$5,OR($I1444=经营数据!$BA$4,COUNTIF(经营数据!$AA$9:$AA$38,$I1444)&gt;0)),1,0))</f>
        <v>0</v>
      </c>
      <c r="AA1444" t="str">
        <f t="shared" si="344"/>
        <v/>
      </c>
      <c r="AB1444" t="str">
        <f t="shared" si="345"/>
        <v/>
      </c>
      <c r="AC1444">
        <f>IF($A1444="",0,IF(COUNTIF($A$2:$A1444,$A1444)=1,1,0))</f>
        <v>0</v>
      </c>
      <c r="AD1444">
        <f t="shared" si="346"/>
        <v>18</v>
      </c>
      <c r="AE1444" t="str">
        <f t="shared" si="347"/>
        <v>锦江都城南昌红谷滩店|可供房数（间）</v>
      </c>
    </row>
    <row r="1445" spans="1:31" x14ac:dyDescent="0.4">
      <c r="A1445" t="str">
        <f>IF(原始经营数据!$D1446="","",原始经营数据!$D1446)</f>
        <v>华安锦江封闭式商业不动产证券投资基金</v>
      </c>
      <c r="B1445" t="str">
        <f>IF(原始经营数据!$D1446="","",T(原始经营数据!$E1446))</f>
        <v>锦江都城南昌红谷滩店</v>
      </c>
      <c r="C1445" t="str">
        <f>IF(原始经营数据!$D1446="","",原始经营数据!$F1446)</f>
        <v>2023</v>
      </c>
      <c r="D1445" t="str">
        <f>IF(原始经营数据!$D1446="","",原始经营数据!$H1446)</f>
        <v>平均房价</v>
      </c>
      <c r="E1445">
        <f>IF(原始经营数据!$D1446="","",原始经营数据!$I1446)</f>
        <v>257.45999999999998</v>
      </c>
      <c r="F1445" t="str">
        <f>IF(原始经营数据!$D1446="","",T(原始经营数据!$J1446))</f>
        <v>元/间</v>
      </c>
      <c r="G1445" t="str">
        <f>IF(原始经营数据!$D1446="","",T(原始经营数据!$K1446))</f>
        <v/>
      </c>
      <c r="H1445" t="str">
        <f>IF(原始经营数据!$D1446="","",原始经营数据!$G1446)</f>
        <v>服务量</v>
      </c>
      <c r="I1445" t="str">
        <f>IF($A1445="","",IF($B1445&lt;&gt;"",$B1445,IF(COUNTIFS(原始经营数据!$D$3:$D$3001,$A1445,原始经营数据!$E$3:$E$3001,"",原始经营数据!$F$3:$F$3001,$C1445,原始经营数据!$H$3:$H$3001,$D1445,原始经营数据!$K$3:$K$3001,$G1445)&gt;1,"基金整体·来源"&amp;原始经营数据!$A1446,"基金整体")))</f>
        <v>锦江都城南昌红谷滩店</v>
      </c>
      <c r="J1445" t="str">
        <f t="shared" si="333"/>
        <v>年度</v>
      </c>
      <c r="K1445" t="str">
        <f t="shared" si="334"/>
        <v>平均房价（元/间）</v>
      </c>
      <c r="L1445" t="str">
        <f t="shared" si="335"/>
        <v>锦江都城南昌红谷滩店|平均房价（元/间）|年度</v>
      </c>
      <c r="M1445">
        <f>IF($A1445="",0,IF(COUNTIF($L$2:$L1445,$L1445)=1,1,0))</f>
        <v>0</v>
      </c>
      <c r="N1445">
        <f t="shared" si="336"/>
        <v>20230</v>
      </c>
      <c r="O1445" t="str">
        <f t="shared" si="337"/>
        <v>华安锦江封闭式商业不动产证券投资基金|2023|年度</v>
      </c>
      <c r="P1445">
        <f>IF($A1445="",0,IF(COUNTIF($O$2:$O1445,$O1445)=1,1,0))</f>
        <v>0</v>
      </c>
      <c r="Q1445" t="str">
        <f>IF(AND($P1445=1,$A1445=经营数据!$B$3,$J1445=经营数据!$BA$5),COUNTIFS($P$2:$P$3000,1,$A$2:$A$3000,$A1445,$J$2:$J$3000,$J1445,$N$2:$N$3000,"&lt;"&amp;$N1445)+1,"")</f>
        <v/>
      </c>
      <c r="R1445" t="str">
        <f t="shared" si="338"/>
        <v>华安锦江封闭式商业不动产证券投资基金|锦江都城南昌红谷滩店</v>
      </c>
      <c r="S1445">
        <f>IF($A1445="",0,IF(COUNTIF($R$2:$R1445,$R1445)=1,1,0))</f>
        <v>0</v>
      </c>
      <c r="T1445">
        <f t="shared" si="339"/>
        <v>1441</v>
      </c>
      <c r="U1445" t="str">
        <f>IF($A1445="","",IF($A1445=经营数据!$B$3,COUNTIFS($S$2:$S$3000,1,$A$2:$A$3000,$A1445,$T$2:$T$3000,"&lt;"&amp;$T1445)+1,""))</f>
        <v/>
      </c>
      <c r="V1445" t="str">
        <f t="shared" si="340"/>
        <v>锦江都城南昌红谷滩店|服务量</v>
      </c>
      <c r="W1445">
        <f t="shared" si="341"/>
        <v>1441</v>
      </c>
      <c r="X1445" t="str">
        <f t="shared" si="342"/>
        <v>锦江都城南昌红谷滩店|平均房价</v>
      </c>
      <c r="Y1445">
        <f t="shared" si="343"/>
        <v>1441</v>
      </c>
      <c r="Z1445">
        <f>IF($A1445="",0,IF(AND($M1445=1,$A1445=经营数据!$B$3,$J1445=经营数据!$BA$5,OR($I1445=经营数据!$BA$4,COUNTIF(经营数据!$AA$9:$AA$38,$I1445)&gt;0)),1,0))</f>
        <v>0</v>
      </c>
      <c r="AA1445" t="str">
        <f t="shared" si="344"/>
        <v/>
      </c>
      <c r="AB1445" t="str">
        <f t="shared" si="345"/>
        <v/>
      </c>
      <c r="AC1445">
        <f>IF($A1445="",0,IF(COUNTIF($A$2:$A1445,$A1445)=1,1,0))</f>
        <v>0</v>
      </c>
      <c r="AD1445">
        <f t="shared" si="346"/>
        <v>18</v>
      </c>
      <c r="AE1445" t="str">
        <f t="shared" si="347"/>
        <v>锦江都城南昌红谷滩店|平均房价（元/间）</v>
      </c>
    </row>
    <row r="1446" spans="1:31" x14ac:dyDescent="0.4">
      <c r="A1446" t="str">
        <f>IF(原始经营数据!$D1447="","",原始经营数据!$D1447)</f>
        <v>华安锦江封闭式商业不动产证券投资基金</v>
      </c>
      <c r="B1446" t="str">
        <f>IF(原始经营数据!$D1447="","",T(原始经营数据!$E1447))</f>
        <v>锦江都城南昌红谷滩店</v>
      </c>
      <c r="C1446" t="str">
        <f>IF(原始经营数据!$D1447="","",原始经营数据!$F1447)</f>
        <v>2023</v>
      </c>
      <c r="D1446" t="str">
        <f>IF(原始经营数据!$D1447="","",原始经营数据!$H1447)</f>
        <v>平均入住率</v>
      </c>
      <c r="E1446">
        <f>IF(原始经营数据!$D1447="","",原始经营数据!$I1447)</f>
        <v>64.97</v>
      </c>
      <c r="F1446" t="str">
        <f>IF(原始经营数据!$D1447="","",T(原始经营数据!$J1447))</f>
        <v>%</v>
      </c>
      <c r="G1446" t="str">
        <f>IF(原始经营数据!$D1447="","",T(原始经营数据!$K1447))</f>
        <v/>
      </c>
      <c r="H1446" t="str">
        <f>IF(原始经营数据!$D1447="","",原始经营数据!$G1447)</f>
        <v>服务量</v>
      </c>
      <c r="I1446" t="str">
        <f>IF($A1446="","",IF($B1446&lt;&gt;"",$B1446,IF(COUNTIFS(原始经营数据!$D$3:$D$3001,$A1446,原始经营数据!$E$3:$E$3001,"",原始经营数据!$F$3:$F$3001,$C1446,原始经营数据!$H$3:$H$3001,$D1446,原始经营数据!$K$3:$K$3001,$G1446)&gt;1,"基金整体·来源"&amp;原始经营数据!$A1447,"基金整体")))</f>
        <v>锦江都城南昌红谷滩店</v>
      </c>
      <c r="J1446" t="str">
        <f t="shared" si="333"/>
        <v>年度</v>
      </c>
      <c r="K1446" t="str">
        <f t="shared" si="334"/>
        <v>平均入住率（%）</v>
      </c>
      <c r="L1446" t="str">
        <f t="shared" si="335"/>
        <v>锦江都城南昌红谷滩店|平均入住率（%）|年度</v>
      </c>
      <c r="M1446">
        <f>IF($A1446="",0,IF(COUNTIF($L$2:$L1446,$L1446)=1,1,0))</f>
        <v>0</v>
      </c>
      <c r="N1446">
        <f t="shared" si="336"/>
        <v>20230</v>
      </c>
      <c r="O1446" t="str">
        <f t="shared" si="337"/>
        <v>华安锦江封闭式商业不动产证券投资基金|2023|年度</v>
      </c>
      <c r="P1446">
        <f>IF($A1446="",0,IF(COUNTIF($O$2:$O1446,$O1446)=1,1,0))</f>
        <v>0</v>
      </c>
      <c r="Q1446" t="str">
        <f>IF(AND($P1446=1,$A1446=经营数据!$B$3,$J1446=经营数据!$BA$5),COUNTIFS($P$2:$P$3000,1,$A$2:$A$3000,$A1446,$J$2:$J$3000,$J1446,$N$2:$N$3000,"&lt;"&amp;$N1446)+1,"")</f>
        <v/>
      </c>
      <c r="R1446" t="str">
        <f t="shared" si="338"/>
        <v>华安锦江封闭式商业不动产证券投资基金|锦江都城南昌红谷滩店</v>
      </c>
      <c r="S1446">
        <f>IF($A1446="",0,IF(COUNTIF($R$2:$R1446,$R1446)=1,1,0))</f>
        <v>0</v>
      </c>
      <c r="T1446">
        <f t="shared" si="339"/>
        <v>1441</v>
      </c>
      <c r="U1446" t="str">
        <f>IF($A1446="","",IF($A1446=经营数据!$B$3,COUNTIFS($S$2:$S$3000,1,$A$2:$A$3000,$A1446,$T$2:$T$3000,"&lt;"&amp;$T1446)+1,""))</f>
        <v/>
      </c>
      <c r="V1446" t="str">
        <f t="shared" si="340"/>
        <v>锦江都城南昌红谷滩店|服务量</v>
      </c>
      <c r="W1446">
        <f t="shared" si="341"/>
        <v>1441</v>
      </c>
      <c r="X1446" t="str">
        <f t="shared" si="342"/>
        <v>锦江都城南昌红谷滩店|平均入住率</v>
      </c>
      <c r="Y1446">
        <f t="shared" si="343"/>
        <v>1442</v>
      </c>
      <c r="Z1446">
        <f>IF($A1446="",0,IF(AND($M1446=1,$A1446=经营数据!$B$3,$J1446=经营数据!$BA$5,OR($I1446=经营数据!$BA$4,COUNTIF(经营数据!$AA$9:$AA$38,$I1446)&gt;0)),1,0))</f>
        <v>0</v>
      </c>
      <c r="AA1446" t="str">
        <f t="shared" si="344"/>
        <v/>
      </c>
      <c r="AB1446" t="str">
        <f t="shared" si="345"/>
        <v/>
      </c>
      <c r="AC1446">
        <f>IF($A1446="",0,IF(COUNTIF($A$2:$A1446,$A1446)=1,1,0))</f>
        <v>0</v>
      </c>
      <c r="AD1446">
        <f t="shared" si="346"/>
        <v>18</v>
      </c>
      <c r="AE1446" t="str">
        <f t="shared" si="347"/>
        <v>锦江都城南昌红谷滩店|平均入住率（%）</v>
      </c>
    </row>
    <row r="1447" spans="1:31" x14ac:dyDescent="0.4">
      <c r="A1447" t="str">
        <f>IF(原始经营数据!$D1448="","",原始经营数据!$D1448)</f>
        <v>华安锦江封闭式商业不动产证券投资基金</v>
      </c>
      <c r="B1447" t="str">
        <f>IF(原始经营数据!$D1448="","",T(原始经营数据!$E1448))</f>
        <v>锦江都城南昌红谷滩店</v>
      </c>
      <c r="C1447" t="str">
        <f>IF(原始经营数据!$D1448="","",原始经营数据!$F1448)</f>
        <v>2023</v>
      </c>
      <c r="D1447" t="str">
        <f>IF(原始经营数据!$D1448="","",原始经营数据!$H1448)</f>
        <v>可供房数</v>
      </c>
      <c r="E1447">
        <f>IF(原始经营数据!$D1448="","",原始经营数据!$I1448)</f>
        <v>50420</v>
      </c>
      <c r="F1447" t="str">
        <f>IF(原始经营数据!$D1448="","",T(原始经营数据!$J1448))</f>
        <v>间</v>
      </c>
      <c r="G1447" t="str">
        <f>IF(原始经营数据!$D1448="","",T(原始经营数据!$K1448))</f>
        <v/>
      </c>
      <c r="H1447" t="str">
        <f>IF(原始经营数据!$D1448="","",原始经营数据!$G1448)</f>
        <v>服务量</v>
      </c>
      <c r="I1447" t="str">
        <f>IF($A1447="","",IF($B1447&lt;&gt;"",$B1447,IF(COUNTIFS(原始经营数据!$D$3:$D$3001,$A1447,原始经营数据!$E$3:$E$3001,"",原始经营数据!$F$3:$F$3001,$C1447,原始经营数据!$H$3:$H$3001,$D1447,原始经营数据!$K$3:$K$3001,$G1447)&gt;1,"基金整体·来源"&amp;原始经营数据!$A1448,"基金整体")))</f>
        <v>锦江都城南昌红谷滩店</v>
      </c>
      <c r="J1447" t="str">
        <f t="shared" si="333"/>
        <v>年度</v>
      </c>
      <c r="K1447" t="str">
        <f t="shared" si="334"/>
        <v>可供房数（间）</v>
      </c>
      <c r="L1447" t="str">
        <f t="shared" si="335"/>
        <v>锦江都城南昌红谷滩店|可供房数（间）|年度</v>
      </c>
      <c r="M1447">
        <f>IF($A1447="",0,IF(COUNTIF($L$2:$L1447,$L1447)=1,1,0))</f>
        <v>0</v>
      </c>
      <c r="N1447">
        <f t="shared" si="336"/>
        <v>20230</v>
      </c>
      <c r="O1447" t="str">
        <f t="shared" si="337"/>
        <v>华安锦江封闭式商业不动产证券投资基金|2023|年度</v>
      </c>
      <c r="P1447">
        <f>IF($A1447="",0,IF(COUNTIF($O$2:$O1447,$O1447)=1,1,0))</f>
        <v>0</v>
      </c>
      <c r="Q1447" t="str">
        <f>IF(AND($P1447=1,$A1447=经营数据!$B$3,$J1447=经营数据!$BA$5),COUNTIFS($P$2:$P$3000,1,$A$2:$A$3000,$A1447,$J$2:$J$3000,$J1447,$N$2:$N$3000,"&lt;"&amp;$N1447)+1,"")</f>
        <v/>
      </c>
      <c r="R1447" t="str">
        <f t="shared" si="338"/>
        <v>华安锦江封闭式商业不动产证券投资基金|锦江都城南昌红谷滩店</v>
      </c>
      <c r="S1447">
        <f>IF($A1447="",0,IF(COUNTIF($R$2:$R1447,$R1447)=1,1,0))</f>
        <v>0</v>
      </c>
      <c r="T1447">
        <f t="shared" si="339"/>
        <v>1441</v>
      </c>
      <c r="U1447" t="str">
        <f>IF($A1447="","",IF($A1447=经营数据!$B$3,COUNTIFS($S$2:$S$3000,1,$A$2:$A$3000,$A1447,$T$2:$T$3000,"&lt;"&amp;$T1447)+1,""))</f>
        <v/>
      </c>
      <c r="V1447" t="str">
        <f t="shared" si="340"/>
        <v>锦江都城南昌红谷滩店|服务量</v>
      </c>
      <c r="W1447">
        <f t="shared" si="341"/>
        <v>1441</v>
      </c>
      <c r="X1447" t="str">
        <f t="shared" si="342"/>
        <v>锦江都城南昌红谷滩店|可供房数</v>
      </c>
      <c r="Y1447">
        <f t="shared" si="343"/>
        <v>1443</v>
      </c>
      <c r="Z1447">
        <f>IF($A1447="",0,IF(AND($M1447=1,$A1447=经营数据!$B$3,$J1447=经营数据!$BA$5,OR($I1447=经营数据!$BA$4,COUNTIF(经营数据!$AA$9:$AA$38,$I1447)&gt;0)),1,0))</f>
        <v>0</v>
      </c>
      <c r="AA1447" t="str">
        <f t="shared" si="344"/>
        <v/>
      </c>
      <c r="AB1447" t="str">
        <f t="shared" si="345"/>
        <v/>
      </c>
      <c r="AC1447">
        <f>IF($A1447="",0,IF(COUNTIF($A$2:$A1447,$A1447)=1,1,0))</f>
        <v>0</v>
      </c>
      <c r="AD1447">
        <f t="shared" si="346"/>
        <v>18</v>
      </c>
      <c r="AE1447" t="str">
        <f t="shared" si="347"/>
        <v>锦江都城南昌红谷滩店|可供房数（间）</v>
      </c>
    </row>
    <row r="1448" spans="1:31" x14ac:dyDescent="0.4">
      <c r="A1448" t="str">
        <f>IF(原始经营数据!$D1449="","",原始经营数据!$D1449)</f>
        <v>华安锦江封闭式商业不动产证券投资基金</v>
      </c>
      <c r="B1448" t="str">
        <f>IF(原始经营数据!$D1449="","",T(原始经营数据!$E1449))</f>
        <v>锦江都城南昌红谷滩店</v>
      </c>
      <c r="C1448" t="str">
        <f>IF(原始经营数据!$D1449="","",原始经营数据!$F1449)</f>
        <v>2024</v>
      </c>
      <c r="D1448" t="str">
        <f>IF(原始经营数据!$D1449="","",原始经营数据!$H1449)</f>
        <v>平均房价</v>
      </c>
      <c r="E1448">
        <f>IF(原始经营数据!$D1449="","",原始经营数据!$I1449)</f>
        <v>273.41000000000003</v>
      </c>
      <c r="F1448" t="str">
        <f>IF(原始经营数据!$D1449="","",T(原始经营数据!$J1449))</f>
        <v>元/间</v>
      </c>
      <c r="G1448" t="str">
        <f>IF(原始经营数据!$D1449="","",T(原始经营数据!$K1449))</f>
        <v/>
      </c>
      <c r="H1448" t="str">
        <f>IF(原始经营数据!$D1449="","",原始经营数据!$G1449)</f>
        <v>服务量</v>
      </c>
      <c r="I1448" t="str">
        <f>IF($A1448="","",IF($B1448&lt;&gt;"",$B1448,IF(COUNTIFS(原始经营数据!$D$3:$D$3001,$A1448,原始经营数据!$E$3:$E$3001,"",原始经营数据!$F$3:$F$3001,$C1448,原始经营数据!$H$3:$H$3001,$D1448,原始经营数据!$K$3:$K$3001,$G1448)&gt;1,"基金整体·来源"&amp;原始经营数据!$A1449,"基金整体")))</f>
        <v>锦江都城南昌红谷滩店</v>
      </c>
      <c r="J1448" t="str">
        <f t="shared" si="333"/>
        <v>年度</v>
      </c>
      <c r="K1448" t="str">
        <f t="shared" si="334"/>
        <v>平均房价（元/间）</v>
      </c>
      <c r="L1448" t="str">
        <f t="shared" si="335"/>
        <v>锦江都城南昌红谷滩店|平均房价（元/间）|年度</v>
      </c>
      <c r="M1448">
        <f>IF($A1448="",0,IF(COUNTIF($L$2:$L1448,$L1448)=1,1,0))</f>
        <v>0</v>
      </c>
      <c r="N1448">
        <f t="shared" si="336"/>
        <v>20240</v>
      </c>
      <c r="O1448" t="str">
        <f t="shared" si="337"/>
        <v>华安锦江封闭式商业不动产证券投资基金|2024|年度</v>
      </c>
      <c r="P1448">
        <f>IF($A1448="",0,IF(COUNTIF($O$2:$O1448,$O1448)=1,1,0))</f>
        <v>0</v>
      </c>
      <c r="Q1448" t="str">
        <f>IF(AND($P1448=1,$A1448=经营数据!$B$3,$J1448=经营数据!$BA$5),COUNTIFS($P$2:$P$3000,1,$A$2:$A$3000,$A1448,$J$2:$J$3000,$J1448,$N$2:$N$3000,"&lt;"&amp;$N1448)+1,"")</f>
        <v/>
      </c>
      <c r="R1448" t="str">
        <f t="shared" si="338"/>
        <v>华安锦江封闭式商业不动产证券投资基金|锦江都城南昌红谷滩店</v>
      </c>
      <c r="S1448">
        <f>IF($A1448="",0,IF(COUNTIF($R$2:$R1448,$R1448)=1,1,0))</f>
        <v>0</v>
      </c>
      <c r="T1448">
        <f t="shared" si="339"/>
        <v>1441</v>
      </c>
      <c r="U1448" t="str">
        <f>IF($A1448="","",IF($A1448=经营数据!$B$3,COUNTIFS($S$2:$S$3000,1,$A$2:$A$3000,$A1448,$T$2:$T$3000,"&lt;"&amp;$T1448)+1,""))</f>
        <v/>
      </c>
      <c r="V1448" t="str">
        <f t="shared" si="340"/>
        <v>锦江都城南昌红谷滩店|服务量</v>
      </c>
      <c r="W1448">
        <f t="shared" si="341"/>
        <v>1441</v>
      </c>
      <c r="X1448" t="str">
        <f t="shared" si="342"/>
        <v>锦江都城南昌红谷滩店|平均房价</v>
      </c>
      <c r="Y1448">
        <f t="shared" si="343"/>
        <v>1441</v>
      </c>
      <c r="Z1448">
        <f>IF($A1448="",0,IF(AND($M1448=1,$A1448=经营数据!$B$3,$J1448=经营数据!$BA$5,OR($I1448=经营数据!$BA$4,COUNTIF(经营数据!$AA$9:$AA$38,$I1448)&gt;0)),1,0))</f>
        <v>0</v>
      </c>
      <c r="AA1448" t="str">
        <f t="shared" si="344"/>
        <v/>
      </c>
      <c r="AB1448" t="str">
        <f t="shared" si="345"/>
        <v/>
      </c>
      <c r="AC1448">
        <f>IF($A1448="",0,IF(COUNTIF($A$2:$A1448,$A1448)=1,1,0))</f>
        <v>0</v>
      </c>
      <c r="AD1448">
        <f t="shared" si="346"/>
        <v>18</v>
      </c>
      <c r="AE1448" t="str">
        <f t="shared" si="347"/>
        <v>锦江都城南昌红谷滩店|平均房价（元/间）</v>
      </c>
    </row>
    <row r="1449" spans="1:31" x14ac:dyDescent="0.4">
      <c r="A1449" t="str">
        <f>IF(原始经营数据!$D1450="","",原始经营数据!$D1450)</f>
        <v>华安锦江封闭式商业不动产证券投资基金</v>
      </c>
      <c r="B1449" t="str">
        <f>IF(原始经营数据!$D1450="","",T(原始经营数据!$E1450))</f>
        <v>锦江都城南昌红谷滩店</v>
      </c>
      <c r="C1449" t="str">
        <f>IF(原始经营数据!$D1450="","",原始经营数据!$F1450)</f>
        <v>2024</v>
      </c>
      <c r="D1449" t="str">
        <f>IF(原始经营数据!$D1450="","",原始经营数据!$H1450)</f>
        <v>平均入住率</v>
      </c>
      <c r="E1449">
        <f>IF(原始经营数据!$D1450="","",原始经营数据!$I1450)</f>
        <v>58.8</v>
      </c>
      <c r="F1449" t="str">
        <f>IF(原始经营数据!$D1450="","",T(原始经营数据!$J1450))</f>
        <v>%</v>
      </c>
      <c r="G1449" t="str">
        <f>IF(原始经营数据!$D1450="","",T(原始经营数据!$K1450))</f>
        <v/>
      </c>
      <c r="H1449" t="str">
        <f>IF(原始经营数据!$D1450="","",原始经营数据!$G1450)</f>
        <v>服务量</v>
      </c>
      <c r="I1449" t="str">
        <f>IF($A1449="","",IF($B1449&lt;&gt;"",$B1449,IF(COUNTIFS(原始经营数据!$D$3:$D$3001,$A1449,原始经营数据!$E$3:$E$3001,"",原始经营数据!$F$3:$F$3001,$C1449,原始经营数据!$H$3:$H$3001,$D1449,原始经营数据!$K$3:$K$3001,$G1449)&gt;1,"基金整体·来源"&amp;原始经营数据!$A1450,"基金整体")))</f>
        <v>锦江都城南昌红谷滩店</v>
      </c>
      <c r="J1449" t="str">
        <f t="shared" si="333"/>
        <v>年度</v>
      </c>
      <c r="K1449" t="str">
        <f t="shared" si="334"/>
        <v>平均入住率（%）</v>
      </c>
      <c r="L1449" t="str">
        <f t="shared" si="335"/>
        <v>锦江都城南昌红谷滩店|平均入住率（%）|年度</v>
      </c>
      <c r="M1449">
        <f>IF($A1449="",0,IF(COUNTIF($L$2:$L1449,$L1449)=1,1,0))</f>
        <v>0</v>
      </c>
      <c r="N1449">
        <f t="shared" si="336"/>
        <v>20240</v>
      </c>
      <c r="O1449" t="str">
        <f t="shared" si="337"/>
        <v>华安锦江封闭式商业不动产证券投资基金|2024|年度</v>
      </c>
      <c r="P1449">
        <f>IF($A1449="",0,IF(COUNTIF($O$2:$O1449,$O1449)=1,1,0))</f>
        <v>0</v>
      </c>
      <c r="Q1449" t="str">
        <f>IF(AND($P1449=1,$A1449=经营数据!$B$3,$J1449=经营数据!$BA$5),COUNTIFS($P$2:$P$3000,1,$A$2:$A$3000,$A1449,$J$2:$J$3000,$J1449,$N$2:$N$3000,"&lt;"&amp;$N1449)+1,"")</f>
        <v/>
      </c>
      <c r="R1449" t="str">
        <f t="shared" si="338"/>
        <v>华安锦江封闭式商业不动产证券投资基金|锦江都城南昌红谷滩店</v>
      </c>
      <c r="S1449">
        <f>IF($A1449="",0,IF(COUNTIF($R$2:$R1449,$R1449)=1,1,0))</f>
        <v>0</v>
      </c>
      <c r="T1449">
        <f t="shared" si="339"/>
        <v>1441</v>
      </c>
      <c r="U1449" t="str">
        <f>IF($A1449="","",IF($A1449=经营数据!$B$3,COUNTIFS($S$2:$S$3000,1,$A$2:$A$3000,$A1449,$T$2:$T$3000,"&lt;"&amp;$T1449)+1,""))</f>
        <v/>
      </c>
      <c r="V1449" t="str">
        <f t="shared" si="340"/>
        <v>锦江都城南昌红谷滩店|服务量</v>
      </c>
      <c r="W1449">
        <f t="shared" si="341"/>
        <v>1441</v>
      </c>
      <c r="X1449" t="str">
        <f t="shared" si="342"/>
        <v>锦江都城南昌红谷滩店|平均入住率</v>
      </c>
      <c r="Y1449">
        <f t="shared" si="343"/>
        <v>1442</v>
      </c>
      <c r="Z1449">
        <f>IF($A1449="",0,IF(AND($M1449=1,$A1449=经营数据!$B$3,$J1449=经营数据!$BA$5,OR($I1449=经营数据!$BA$4,COUNTIF(经营数据!$AA$9:$AA$38,$I1449)&gt;0)),1,0))</f>
        <v>0</v>
      </c>
      <c r="AA1449" t="str">
        <f t="shared" si="344"/>
        <v/>
      </c>
      <c r="AB1449" t="str">
        <f t="shared" si="345"/>
        <v/>
      </c>
      <c r="AC1449">
        <f>IF($A1449="",0,IF(COUNTIF($A$2:$A1449,$A1449)=1,1,0))</f>
        <v>0</v>
      </c>
      <c r="AD1449">
        <f t="shared" si="346"/>
        <v>18</v>
      </c>
      <c r="AE1449" t="str">
        <f t="shared" si="347"/>
        <v>锦江都城南昌红谷滩店|平均入住率（%）</v>
      </c>
    </row>
    <row r="1450" spans="1:31" x14ac:dyDescent="0.4">
      <c r="A1450" t="str">
        <f>IF(原始经营数据!$D1451="","",原始经营数据!$D1451)</f>
        <v>华安锦江封闭式商业不动产证券投资基金</v>
      </c>
      <c r="B1450" t="str">
        <f>IF(原始经营数据!$D1451="","",T(原始经营数据!$E1451))</f>
        <v>锦江都城南昌红谷滩店</v>
      </c>
      <c r="C1450" t="str">
        <f>IF(原始经营数据!$D1451="","",原始经营数据!$F1451)</f>
        <v>2024</v>
      </c>
      <c r="D1450" t="str">
        <f>IF(原始经营数据!$D1451="","",原始经营数据!$H1451)</f>
        <v>可供房数</v>
      </c>
      <c r="E1450">
        <f>IF(原始经营数据!$D1451="","",原始经营数据!$I1451)</f>
        <v>55632</v>
      </c>
      <c r="F1450" t="str">
        <f>IF(原始经营数据!$D1451="","",T(原始经营数据!$J1451))</f>
        <v>间</v>
      </c>
      <c r="G1450" t="str">
        <f>IF(原始经营数据!$D1451="","",T(原始经营数据!$K1451))</f>
        <v/>
      </c>
      <c r="H1450" t="str">
        <f>IF(原始经营数据!$D1451="","",原始经营数据!$G1451)</f>
        <v>服务量</v>
      </c>
      <c r="I1450" t="str">
        <f>IF($A1450="","",IF($B1450&lt;&gt;"",$B1450,IF(COUNTIFS(原始经营数据!$D$3:$D$3001,$A1450,原始经营数据!$E$3:$E$3001,"",原始经营数据!$F$3:$F$3001,$C1450,原始经营数据!$H$3:$H$3001,$D1450,原始经营数据!$K$3:$K$3001,$G1450)&gt;1,"基金整体·来源"&amp;原始经营数据!$A1451,"基金整体")))</f>
        <v>锦江都城南昌红谷滩店</v>
      </c>
      <c r="J1450" t="str">
        <f t="shared" si="333"/>
        <v>年度</v>
      </c>
      <c r="K1450" t="str">
        <f t="shared" si="334"/>
        <v>可供房数（间）</v>
      </c>
      <c r="L1450" t="str">
        <f t="shared" si="335"/>
        <v>锦江都城南昌红谷滩店|可供房数（间）|年度</v>
      </c>
      <c r="M1450">
        <f>IF($A1450="",0,IF(COUNTIF($L$2:$L1450,$L1450)=1,1,0))</f>
        <v>0</v>
      </c>
      <c r="N1450">
        <f t="shared" si="336"/>
        <v>20240</v>
      </c>
      <c r="O1450" t="str">
        <f t="shared" si="337"/>
        <v>华安锦江封闭式商业不动产证券投资基金|2024|年度</v>
      </c>
      <c r="P1450">
        <f>IF($A1450="",0,IF(COUNTIF($O$2:$O1450,$O1450)=1,1,0))</f>
        <v>0</v>
      </c>
      <c r="Q1450" t="str">
        <f>IF(AND($P1450=1,$A1450=经营数据!$B$3,$J1450=经营数据!$BA$5),COUNTIFS($P$2:$P$3000,1,$A$2:$A$3000,$A1450,$J$2:$J$3000,$J1450,$N$2:$N$3000,"&lt;"&amp;$N1450)+1,"")</f>
        <v/>
      </c>
      <c r="R1450" t="str">
        <f t="shared" si="338"/>
        <v>华安锦江封闭式商业不动产证券投资基金|锦江都城南昌红谷滩店</v>
      </c>
      <c r="S1450">
        <f>IF($A1450="",0,IF(COUNTIF($R$2:$R1450,$R1450)=1,1,0))</f>
        <v>0</v>
      </c>
      <c r="T1450">
        <f t="shared" si="339"/>
        <v>1441</v>
      </c>
      <c r="U1450" t="str">
        <f>IF($A1450="","",IF($A1450=经营数据!$B$3,COUNTIFS($S$2:$S$3000,1,$A$2:$A$3000,$A1450,$T$2:$T$3000,"&lt;"&amp;$T1450)+1,""))</f>
        <v/>
      </c>
      <c r="V1450" t="str">
        <f t="shared" si="340"/>
        <v>锦江都城南昌红谷滩店|服务量</v>
      </c>
      <c r="W1450">
        <f t="shared" si="341"/>
        <v>1441</v>
      </c>
      <c r="X1450" t="str">
        <f t="shared" si="342"/>
        <v>锦江都城南昌红谷滩店|可供房数</v>
      </c>
      <c r="Y1450">
        <f t="shared" si="343"/>
        <v>1443</v>
      </c>
      <c r="Z1450">
        <f>IF($A1450="",0,IF(AND($M1450=1,$A1450=经营数据!$B$3,$J1450=经营数据!$BA$5,OR($I1450=经营数据!$BA$4,COUNTIF(经营数据!$AA$9:$AA$38,$I1450)&gt;0)),1,0))</f>
        <v>0</v>
      </c>
      <c r="AA1450" t="str">
        <f t="shared" si="344"/>
        <v/>
      </c>
      <c r="AB1450" t="str">
        <f t="shared" si="345"/>
        <v/>
      </c>
      <c r="AC1450">
        <f>IF($A1450="",0,IF(COUNTIF($A$2:$A1450,$A1450)=1,1,0))</f>
        <v>0</v>
      </c>
      <c r="AD1450">
        <f t="shared" si="346"/>
        <v>18</v>
      </c>
      <c r="AE1450" t="str">
        <f t="shared" si="347"/>
        <v>锦江都城南昌红谷滩店|可供房数（间）</v>
      </c>
    </row>
    <row r="1451" spans="1:31" x14ac:dyDescent="0.4">
      <c r="A1451" t="str">
        <f>IF(原始经营数据!$D1452="","",原始经营数据!$D1452)</f>
        <v>华安锦江封闭式商业不动产证券投资基金</v>
      </c>
      <c r="B1451" t="str">
        <f>IF(原始经营数据!$D1452="","",T(原始经营数据!$E1452))</f>
        <v>锦江都城南昌红谷滩店</v>
      </c>
      <c r="C1451" t="str">
        <f>IF(原始经营数据!$D1452="","",原始经营数据!$F1452)</f>
        <v>2025</v>
      </c>
      <c r="D1451" t="str">
        <f>IF(原始经营数据!$D1452="","",原始经营数据!$H1452)</f>
        <v>平均房价</v>
      </c>
      <c r="E1451">
        <f>IF(原始经营数据!$D1452="","",原始经营数据!$I1452)</f>
        <v>253.48</v>
      </c>
      <c r="F1451" t="str">
        <f>IF(原始经营数据!$D1452="","",T(原始经营数据!$J1452))</f>
        <v>元/间</v>
      </c>
      <c r="G1451" t="str">
        <f>IF(原始经营数据!$D1452="","",T(原始经营数据!$K1452))</f>
        <v/>
      </c>
      <c r="H1451" t="str">
        <f>IF(原始经营数据!$D1452="","",原始经营数据!$G1452)</f>
        <v>服务量</v>
      </c>
      <c r="I1451" t="str">
        <f>IF($A1451="","",IF($B1451&lt;&gt;"",$B1451,IF(COUNTIFS(原始经营数据!$D$3:$D$3001,$A1451,原始经营数据!$E$3:$E$3001,"",原始经营数据!$F$3:$F$3001,$C1451,原始经营数据!$H$3:$H$3001,$D1451,原始经营数据!$K$3:$K$3001,$G1451)&gt;1,"基金整体·来源"&amp;原始经营数据!$A1452,"基金整体")))</f>
        <v>锦江都城南昌红谷滩店</v>
      </c>
      <c r="J1451" t="str">
        <f t="shared" si="333"/>
        <v>年度</v>
      </c>
      <c r="K1451" t="str">
        <f t="shared" si="334"/>
        <v>平均房价（元/间）</v>
      </c>
      <c r="L1451" t="str">
        <f t="shared" si="335"/>
        <v>锦江都城南昌红谷滩店|平均房价（元/间）|年度</v>
      </c>
      <c r="M1451">
        <f>IF($A1451="",0,IF(COUNTIF($L$2:$L1451,$L1451)=1,1,0))</f>
        <v>0</v>
      </c>
      <c r="N1451">
        <f t="shared" si="336"/>
        <v>20250</v>
      </c>
      <c r="O1451" t="str">
        <f t="shared" si="337"/>
        <v>华安锦江封闭式商业不动产证券投资基金|2025|年度</v>
      </c>
      <c r="P1451">
        <f>IF($A1451="",0,IF(COUNTIF($O$2:$O1451,$O1451)=1,1,0))</f>
        <v>0</v>
      </c>
      <c r="Q1451" t="str">
        <f>IF(AND($P1451=1,$A1451=经营数据!$B$3,$J1451=经营数据!$BA$5),COUNTIFS($P$2:$P$3000,1,$A$2:$A$3000,$A1451,$J$2:$J$3000,$J1451,$N$2:$N$3000,"&lt;"&amp;$N1451)+1,"")</f>
        <v/>
      </c>
      <c r="R1451" t="str">
        <f t="shared" si="338"/>
        <v>华安锦江封闭式商业不动产证券投资基金|锦江都城南昌红谷滩店</v>
      </c>
      <c r="S1451">
        <f>IF($A1451="",0,IF(COUNTIF($R$2:$R1451,$R1451)=1,1,0))</f>
        <v>0</v>
      </c>
      <c r="T1451">
        <f t="shared" si="339"/>
        <v>1441</v>
      </c>
      <c r="U1451" t="str">
        <f>IF($A1451="","",IF($A1451=经营数据!$B$3,COUNTIFS($S$2:$S$3000,1,$A$2:$A$3000,$A1451,$T$2:$T$3000,"&lt;"&amp;$T1451)+1,""))</f>
        <v/>
      </c>
      <c r="V1451" t="str">
        <f t="shared" si="340"/>
        <v>锦江都城南昌红谷滩店|服务量</v>
      </c>
      <c r="W1451">
        <f t="shared" si="341"/>
        <v>1441</v>
      </c>
      <c r="X1451" t="str">
        <f t="shared" si="342"/>
        <v>锦江都城南昌红谷滩店|平均房价</v>
      </c>
      <c r="Y1451">
        <f t="shared" si="343"/>
        <v>1441</v>
      </c>
      <c r="Z1451">
        <f>IF($A1451="",0,IF(AND($M1451=1,$A1451=经营数据!$B$3,$J1451=经营数据!$BA$5,OR($I1451=经营数据!$BA$4,COUNTIF(经营数据!$AA$9:$AA$38,$I1451)&gt;0)),1,0))</f>
        <v>0</v>
      </c>
      <c r="AA1451" t="str">
        <f t="shared" si="344"/>
        <v/>
      </c>
      <c r="AB1451" t="str">
        <f t="shared" si="345"/>
        <v/>
      </c>
      <c r="AC1451">
        <f>IF($A1451="",0,IF(COUNTIF($A$2:$A1451,$A1451)=1,1,0))</f>
        <v>0</v>
      </c>
      <c r="AD1451">
        <f t="shared" si="346"/>
        <v>18</v>
      </c>
      <c r="AE1451" t="str">
        <f t="shared" si="347"/>
        <v>锦江都城南昌红谷滩店|平均房价（元/间）</v>
      </c>
    </row>
    <row r="1452" spans="1:31" x14ac:dyDescent="0.4">
      <c r="A1452" t="str">
        <f>IF(原始经营数据!$D1453="","",原始经营数据!$D1453)</f>
        <v>华安锦江封闭式商业不动产证券投资基金</v>
      </c>
      <c r="B1452" t="str">
        <f>IF(原始经营数据!$D1453="","",T(原始经营数据!$E1453))</f>
        <v>锦江都城南昌红谷滩店</v>
      </c>
      <c r="C1452" t="str">
        <f>IF(原始经营数据!$D1453="","",原始经营数据!$F1453)</f>
        <v>2025</v>
      </c>
      <c r="D1452" t="str">
        <f>IF(原始经营数据!$D1453="","",原始经营数据!$H1453)</f>
        <v>平均入住率</v>
      </c>
      <c r="E1452">
        <f>IF(原始经营数据!$D1453="","",原始经营数据!$I1453)</f>
        <v>46.63</v>
      </c>
      <c r="F1452" t="str">
        <f>IF(原始经营数据!$D1453="","",T(原始经营数据!$J1453))</f>
        <v>%</v>
      </c>
      <c r="G1452" t="str">
        <f>IF(原始经营数据!$D1453="","",T(原始经营数据!$K1453))</f>
        <v/>
      </c>
      <c r="H1452" t="str">
        <f>IF(原始经营数据!$D1453="","",原始经营数据!$G1453)</f>
        <v>服务量</v>
      </c>
      <c r="I1452" t="str">
        <f>IF($A1452="","",IF($B1452&lt;&gt;"",$B1452,IF(COUNTIFS(原始经营数据!$D$3:$D$3001,$A1452,原始经营数据!$E$3:$E$3001,"",原始经营数据!$F$3:$F$3001,$C1452,原始经营数据!$H$3:$H$3001,$D1452,原始经营数据!$K$3:$K$3001,$G1452)&gt;1,"基金整体·来源"&amp;原始经营数据!$A1453,"基金整体")))</f>
        <v>锦江都城南昌红谷滩店</v>
      </c>
      <c r="J1452" t="str">
        <f t="shared" si="333"/>
        <v>年度</v>
      </c>
      <c r="K1452" t="str">
        <f t="shared" si="334"/>
        <v>平均入住率（%）</v>
      </c>
      <c r="L1452" t="str">
        <f t="shared" si="335"/>
        <v>锦江都城南昌红谷滩店|平均入住率（%）|年度</v>
      </c>
      <c r="M1452">
        <f>IF($A1452="",0,IF(COUNTIF($L$2:$L1452,$L1452)=1,1,0))</f>
        <v>0</v>
      </c>
      <c r="N1452">
        <f t="shared" si="336"/>
        <v>20250</v>
      </c>
      <c r="O1452" t="str">
        <f t="shared" si="337"/>
        <v>华安锦江封闭式商业不动产证券投资基金|2025|年度</v>
      </c>
      <c r="P1452">
        <f>IF($A1452="",0,IF(COUNTIF($O$2:$O1452,$O1452)=1,1,0))</f>
        <v>0</v>
      </c>
      <c r="Q1452" t="str">
        <f>IF(AND($P1452=1,$A1452=经营数据!$B$3,$J1452=经营数据!$BA$5),COUNTIFS($P$2:$P$3000,1,$A$2:$A$3000,$A1452,$J$2:$J$3000,$J1452,$N$2:$N$3000,"&lt;"&amp;$N1452)+1,"")</f>
        <v/>
      </c>
      <c r="R1452" t="str">
        <f t="shared" si="338"/>
        <v>华安锦江封闭式商业不动产证券投资基金|锦江都城南昌红谷滩店</v>
      </c>
      <c r="S1452">
        <f>IF($A1452="",0,IF(COUNTIF($R$2:$R1452,$R1452)=1,1,0))</f>
        <v>0</v>
      </c>
      <c r="T1452">
        <f t="shared" si="339"/>
        <v>1441</v>
      </c>
      <c r="U1452" t="str">
        <f>IF($A1452="","",IF($A1452=经营数据!$B$3,COUNTIFS($S$2:$S$3000,1,$A$2:$A$3000,$A1452,$T$2:$T$3000,"&lt;"&amp;$T1452)+1,""))</f>
        <v/>
      </c>
      <c r="V1452" t="str">
        <f t="shared" si="340"/>
        <v>锦江都城南昌红谷滩店|服务量</v>
      </c>
      <c r="W1452">
        <f t="shared" si="341"/>
        <v>1441</v>
      </c>
      <c r="X1452" t="str">
        <f t="shared" si="342"/>
        <v>锦江都城南昌红谷滩店|平均入住率</v>
      </c>
      <c r="Y1452">
        <f t="shared" si="343"/>
        <v>1442</v>
      </c>
      <c r="Z1452">
        <f>IF($A1452="",0,IF(AND($M1452=1,$A1452=经营数据!$B$3,$J1452=经营数据!$BA$5,OR($I1452=经营数据!$BA$4,COUNTIF(经营数据!$AA$9:$AA$38,$I1452)&gt;0)),1,0))</f>
        <v>0</v>
      </c>
      <c r="AA1452" t="str">
        <f t="shared" si="344"/>
        <v/>
      </c>
      <c r="AB1452" t="str">
        <f t="shared" si="345"/>
        <v/>
      </c>
      <c r="AC1452">
        <f>IF($A1452="",0,IF(COUNTIF($A$2:$A1452,$A1452)=1,1,0))</f>
        <v>0</v>
      </c>
      <c r="AD1452">
        <f t="shared" si="346"/>
        <v>18</v>
      </c>
      <c r="AE1452" t="str">
        <f t="shared" si="347"/>
        <v>锦江都城南昌红谷滩店|平均入住率（%）</v>
      </c>
    </row>
    <row r="1453" spans="1:31" x14ac:dyDescent="0.4">
      <c r="A1453" t="str">
        <f>IF(原始经营数据!$D1454="","",原始经营数据!$D1454)</f>
        <v>华安锦江封闭式商业不动产证券投资基金</v>
      </c>
      <c r="B1453" t="str">
        <f>IF(原始经营数据!$D1454="","",T(原始经营数据!$E1454))</f>
        <v>锦江都城南昌红谷滩店</v>
      </c>
      <c r="C1453" t="str">
        <f>IF(原始经营数据!$D1454="","",原始经营数据!$F1454)</f>
        <v>2025</v>
      </c>
      <c r="D1453" t="str">
        <f>IF(原始经营数据!$D1454="","",原始经营数据!$H1454)</f>
        <v>可供房数</v>
      </c>
      <c r="E1453">
        <f>IF(原始经营数据!$D1454="","",原始经营数据!$I1454)</f>
        <v>55480</v>
      </c>
      <c r="F1453" t="str">
        <f>IF(原始经营数据!$D1454="","",T(原始经营数据!$J1454))</f>
        <v>间</v>
      </c>
      <c r="G1453" t="str">
        <f>IF(原始经营数据!$D1454="","",T(原始经营数据!$K1454))</f>
        <v/>
      </c>
      <c r="H1453" t="str">
        <f>IF(原始经营数据!$D1454="","",原始经营数据!$G1454)</f>
        <v>服务量</v>
      </c>
      <c r="I1453" t="str">
        <f>IF($A1453="","",IF($B1453&lt;&gt;"",$B1453,IF(COUNTIFS(原始经营数据!$D$3:$D$3001,$A1453,原始经营数据!$E$3:$E$3001,"",原始经营数据!$F$3:$F$3001,$C1453,原始经营数据!$H$3:$H$3001,$D1453,原始经营数据!$K$3:$K$3001,$G1453)&gt;1,"基金整体·来源"&amp;原始经营数据!$A1454,"基金整体")))</f>
        <v>锦江都城南昌红谷滩店</v>
      </c>
      <c r="J1453" t="str">
        <f t="shared" si="333"/>
        <v>年度</v>
      </c>
      <c r="K1453" t="str">
        <f t="shared" si="334"/>
        <v>可供房数（间）</v>
      </c>
      <c r="L1453" t="str">
        <f t="shared" si="335"/>
        <v>锦江都城南昌红谷滩店|可供房数（间）|年度</v>
      </c>
      <c r="M1453">
        <f>IF($A1453="",0,IF(COUNTIF($L$2:$L1453,$L1453)=1,1,0))</f>
        <v>0</v>
      </c>
      <c r="N1453">
        <f t="shared" si="336"/>
        <v>20250</v>
      </c>
      <c r="O1453" t="str">
        <f t="shared" si="337"/>
        <v>华安锦江封闭式商业不动产证券投资基金|2025|年度</v>
      </c>
      <c r="P1453">
        <f>IF($A1453="",0,IF(COUNTIF($O$2:$O1453,$O1453)=1,1,0))</f>
        <v>0</v>
      </c>
      <c r="Q1453" t="str">
        <f>IF(AND($P1453=1,$A1453=经营数据!$B$3,$J1453=经营数据!$BA$5),COUNTIFS($P$2:$P$3000,1,$A$2:$A$3000,$A1453,$J$2:$J$3000,$J1453,$N$2:$N$3000,"&lt;"&amp;$N1453)+1,"")</f>
        <v/>
      </c>
      <c r="R1453" t="str">
        <f t="shared" si="338"/>
        <v>华安锦江封闭式商业不动产证券投资基金|锦江都城南昌红谷滩店</v>
      </c>
      <c r="S1453">
        <f>IF($A1453="",0,IF(COUNTIF($R$2:$R1453,$R1453)=1,1,0))</f>
        <v>0</v>
      </c>
      <c r="T1453">
        <f t="shared" si="339"/>
        <v>1441</v>
      </c>
      <c r="U1453" t="str">
        <f>IF($A1453="","",IF($A1453=经营数据!$B$3,COUNTIFS($S$2:$S$3000,1,$A$2:$A$3000,$A1453,$T$2:$T$3000,"&lt;"&amp;$T1453)+1,""))</f>
        <v/>
      </c>
      <c r="V1453" t="str">
        <f t="shared" si="340"/>
        <v>锦江都城南昌红谷滩店|服务量</v>
      </c>
      <c r="W1453">
        <f t="shared" si="341"/>
        <v>1441</v>
      </c>
      <c r="X1453" t="str">
        <f t="shared" si="342"/>
        <v>锦江都城南昌红谷滩店|可供房数</v>
      </c>
      <c r="Y1453">
        <f t="shared" si="343"/>
        <v>1443</v>
      </c>
      <c r="Z1453">
        <f>IF($A1453="",0,IF(AND($M1453=1,$A1453=经营数据!$B$3,$J1453=经营数据!$BA$5,OR($I1453=经营数据!$BA$4,COUNTIF(经营数据!$AA$9:$AA$38,$I1453)&gt;0)),1,0))</f>
        <v>0</v>
      </c>
      <c r="AA1453" t="str">
        <f t="shared" si="344"/>
        <v/>
      </c>
      <c r="AB1453" t="str">
        <f t="shared" si="345"/>
        <v/>
      </c>
      <c r="AC1453">
        <f>IF($A1453="",0,IF(COUNTIF($A$2:$A1453,$A1453)=1,1,0))</f>
        <v>0</v>
      </c>
      <c r="AD1453">
        <f t="shared" si="346"/>
        <v>18</v>
      </c>
      <c r="AE1453" t="str">
        <f t="shared" si="347"/>
        <v>锦江都城南昌红谷滩店|可供房数（间）</v>
      </c>
    </row>
    <row r="1454" spans="1:31" x14ac:dyDescent="0.4">
      <c r="A1454" t="str">
        <f>IF(原始经营数据!$D1455="","",原始经营数据!$D1455)</f>
        <v>华安锦江封闭式商业不动产证券投资基金</v>
      </c>
      <c r="B1454" t="str">
        <f>IF(原始经营数据!$D1455="","",T(原始经营数据!$E1455))</f>
        <v>锦江都城合肥包河包公园店</v>
      </c>
      <c r="C1454" t="str">
        <f>IF(原始经营数据!$D1455="","",原始经营数据!$F1455)</f>
        <v>2022</v>
      </c>
      <c r="D1454" t="str">
        <f>IF(原始经营数据!$D1455="","",原始经营数据!$H1455)</f>
        <v>平均房价</v>
      </c>
      <c r="E1454">
        <f>IF(原始经营数据!$D1455="","",原始经营数据!$I1455)</f>
        <v>241.48</v>
      </c>
      <c r="F1454" t="str">
        <f>IF(原始经营数据!$D1455="","",T(原始经营数据!$J1455))</f>
        <v>元/间</v>
      </c>
      <c r="G1454" t="str">
        <f>IF(原始经营数据!$D1455="","",T(原始经营数据!$K1455))</f>
        <v/>
      </c>
      <c r="H1454" t="str">
        <f>IF(原始经营数据!$D1455="","",原始经营数据!$G1455)</f>
        <v>服务量</v>
      </c>
      <c r="I1454" t="str">
        <f>IF($A1454="","",IF($B1454&lt;&gt;"",$B1454,IF(COUNTIFS(原始经营数据!$D$3:$D$3001,$A1454,原始经营数据!$E$3:$E$3001,"",原始经营数据!$F$3:$F$3001,$C1454,原始经营数据!$H$3:$H$3001,$D1454,原始经营数据!$K$3:$K$3001,$G1454)&gt;1,"基金整体·来源"&amp;原始经营数据!$A1455,"基金整体")))</f>
        <v>锦江都城合肥包河包公园店</v>
      </c>
      <c r="J1454" t="str">
        <f t="shared" si="333"/>
        <v>年度</v>
      </c>
      <c r="K1454" t="str">
        <f t="shared" si="334"/>
        <v>平均房价（元/间）</v>
      </c>
      <c r="L1454" t="str">
        <f t="shared" si="335"/>
        <v>锦江都城合肥包河包公园店|平均房价（元/间）|年度</v>
      </c>
      <c r="M1454">
        <f>IF($A1454="",0,IF(COUNTIF($L$2:$L1454,$L1454)=1,1,0))</f>
        <v>1</v>
      </c>
      <c r="N1454">
        <f t="shared" si="336"/>
        <v>20220</v>
      </c>
      <c r="O1454" t="str">
        <f t="shared" si="337"/>
        <v>华安锦江封闭式商业不动产证券投资基金|2022|年度</v>
      </c>
      <c r="P1454">
        <f>IF($A1454="",0,IF(COUNTIF($O$2:$O1454,$O1454)=1,1,0))</f>
        <v>0</v>
      </c>
      <c r="Q1454" t="str">
        <f>IF(AND($P1454=1,$A1454=经营数据!$B$3,$J1454=经营数据!$BA$5),COUNTIFS($P$2:$P$3000,1,$A$2:$A$3000,$A1454,$J$2:$J$3000,$J1454,$N$2:$N$3000,"&lt;"&amp;$N1454)+1,"")</f>
        <v/>
      </c>
      <c r="R1454" t="str">
        <f t="shared" si="338"/>
        <v>华安锦江封闭式商业不动产证券投资基金|锦江都城合肥包河包公园店</v>
      </c>
      <c r="S1454">
        <f>IF($A1454="",0,IF(COUNTIF($R$2:$R1454,$R1454)=1,1,0))</f>
        <v>1</v>
      </c>
      <c r="T1454">
        <f t="shared" si="339"/>
        <v>1453</v>
      </c>
      <c r="U1454" t="str">
        <f>IF($A1454="","",IF($A1454=经营数据!$B$3,COUNTIFS($S$2:$S$3000,1,$A$2:$A$3000,$A1454,$T$2:$T$3000,"&lt;"&amp;$T1454)+1,""))</f>
        <v/>
      </c>
      <c r="V1454" t="str">
        <f t="shared" si="340"/>
        <v>锦江都城合肥包河包公园店|服务量</v>
      </c>
      <c r="W1454">
        <f t="shared" si="341"/>
        <v>1453</v>
      </c>
      <c r="X1454" t="str">
        <f t="shared" si="342"/>
        <v>锦江都城合肥包河包公园店|平均房价</v>
      </c>
      <c r="Y1454">
        <f t="shared" si="343"/>
        <v>1453</v>
      </c>
      <c r="Z1454">
        <f>IF($A1454="",0,IF(AND($M1454=1,$A1454=经营数据!$B$3,$J1454=经营数据!$BA$5,OR($I1454=经营数据!$BA$4,COUNTIF(经营数据!$AA$9:$AA$38,$I1454)&gt;0)),1,0))</f>
        <v>0</v>
      </c>
      <c r="AA1454" t="str">
        <f t="shared" si="344"/>
        <v/>
      </c>
      <c r="AB1454" t="str">
        <f t="shared" si="345"/>
        <v/>
      </c>
      <c r="AC1454">
        <f>IF($A1454="",0,IF(COUNTIF($A$2:$A1454,$A1454)=1,1,0))</f>
        <v>0</v>
      </c>
      <c r="AD1454">
        <f t="shared" si="346"/>
        <v>18</v>
      </c>
      <c r="AE1454" t="str">
        <f t="shared" si="347"/>
        <v>锦江都城合肥包河包公园店|平均房价（元/间）</v>
      </c>
    </row>
    <row r="1455" spans="1:31" x14ac:dyDescent="0.4">
      <c r="A1455" t="str">
        <f>IF(原始经营数据!$D1456="","",原始经营数据!$D1456)</f>
        <v>华安锦江封闭式商业不动产证券投资基金</v>
      </c>
      <c r="B1455" t="str">
        <f>IF(原始经营数据!$D1456="","",T(原始经营数据!$E1456))</f>
        <v>锦江都城合肥包河包公园店</v>
      </c>
      <c r="C1455" t="str">
        <f>IF(原始经营数据!$D1456="","",原始经营数据!$F1456)</f>
        <v>2022</v>
      </c>
      <c r="D1455" t="str">
        <f>IF(原始经营数据!$D1456="","",原始经营数据!$H1456)</f>
        <v>平均入住率</v>
      </c>
      <c r="E1455">
        <f>IF(原始经营数据!$D1456="","",原始经营数据!$I1456)</f>
        <v>50.04</v>
      </c>
      <c r="F1455" t="str">
        <f>IF(原始经营数据!$D1456="","",T(原始经营数据!$J1456))</f>
        <v>%</v>
      </c>
      <c r="G1455" t="str">
        <f>IF(原始经营数据!$D1456="","",T(原始经营数据!$K1456))</f>
        <v/>
      </c>
      <c r="H1455" t="str">
        <f>IF(原始经营数据!$D1456="","",原始经营数据!$G1456)</f>
        <v>服务量</v>
      </c>
      <c r="I1455" t="str">
        <f>IF($A1455="","",IF($B1455&lt;&gt;"",$B1455,IF(COUNTIFS(原始经营数据!$D$3:$D$3001,$A1455,原始经营数据!$E$3:$E$3001,"",原始经营数据!$F$3:$F$3001,$C1455,原始经营数据!$H$3:$H$3001,$D1455,原始经营数据!$K$3:$K$3001,$G1455)&gt;1,"基金整体·来源"&amp;原始经营数据!$A1456,"基金整体")))</f>
        <v>锦江都城合肥包河包公园店</v>
      </c>
      <c r="J1455" t="str">
        <f t="shared" si="333"/>
        <v>年度</v>
      </c>
      <c r="K1455" t="str">
        <f t="shared" si="334"/>
        <v>平均入住率（%）</v>
      </c>
      <c r="L1455" t="str">
        <f t="shared" si="335"/>
        <v>锦江都城合肥包河包公园店|平均入住率（%）|年度</v>
      </c>
      <c r="M1455">
        <f>IF($A1455="",0,IF(COUNTIF($L$2:$L1455,$L1455)=1,1,0))</f>
        <v>1</v>
      </c>
      <c r="N1455">
        <f t="shared" si="336"/>
        <v>20220</v>
      </c>
      <c r="O1455" t="str">
        <f t="shared" si="337"/>
        <v>华安锦江封闭式商业不动产证券投资基金|2022|年度</v>
      </c>
      <c r="P1455">
        <f>IF($A1455="",0,IF(COUNTIF($O$2:$O1455,$O1455)=1,1,0))</f>
        <v>0</v>
      </c>
      <c r="Q1455" t="str">
        <f>IF(AND($P1455=1,$A1455=经营数据!$B$3,$J1455=经营数据!$BA$5),COUNTIFS($P$2:$P$3000,1,$A$2:$A$3000,$A1455,$J$2:$J$3000,$J1455,$N$2:$N$3000,"&lt;"&amp;$N1455)+1,"")</f>
        <v/>
      </c>
      <c r="R1455" t="str">
        <f t="shared" si="338"/>
        <v>华安锦江封闭式商业不动产证券投资基金|锦江都城合肥包河包公园店</v>
      </c>
      <c r="S1455">
        <f>IF($A1455="",0,IF(COUNTIF($R$2:$R1455,$R1455)=1,1,0))</f>
        <v>0</v>
      </c>
      <c r="T1455">
        <f t="shared" si="339"/>
        <v>1453</v>
      </c>
      <c r="U1455" t="str">
        <f>IF($A1455="","",IF($A1455=经营数据!$B$3,COUNTIFS($S$2:$S$3000,1,$A$2:$A$3000,$A1455,$T$2:$T$3000,"&lt;"&amp;$T1455)+1,""))</f>
        <v/>
      </c>
      <c r="V1455" t="str">
        <f t="shared" si="340"/>
        <v>锦江都城合肥包河包公园店|服务量</v>
      </c>
      <c r="W1455">
        <f t="shared" si="341"/>
        <v>1453</v>
      </c>
      <c r="X1455" t="str">
        <f t="shared" si="342"/>
        <v>锦江都城合肥包河包公园店|平均入住率</v>
      </c>
      <c r="Y1455">
        <f t="shared" si="343"/>
        <v>1454</v>
      </c>
      <c r="Z1455">
        <f>IF($A1455="",0,IF(AND($M1455=1,$A1455=经营数据!$B$3,$J1455=经营数据!$BA$5,OR($I1455=经营数据!$BA$4,COUNTIF(经营数据!$AA$9:$AA$38,$I1455)&gt;0)),1,0))</f>
        <v>0</v>
      </c>
      <c r="AA1455" t="str">
        <f t="shared" si="344"/>
        <v/>
      </c>
      <c r="AB1455" t="str">
        <f t="shared" si="345"/>
        <v/>
      </c>
      <c r="AC1455">
        <f>IF($A1455="",0,IF(COUNTIF($A$2:$A1455,$A1455)=1,1,0))</f>
        <v>0</v>
      </c>
      <c r="AD1455">
        <f t="shared" si="346"/>
        <v>18</v>
      </c>
      <c r="AE1455" t="str">
        <f t="shared" si="347"/>
        <v>锦江都城合肥包河包公园店|平均入住率（%）</v>
      </c>
    </row>
    <row r="1456" spans="1:31" x14ac:dyDescent="0.4">
      <c r="A1456" t="str">
        <f>IF(原始经营数据!$D1457="","",原始经营数据!$D1457)</f>
        <v>华安锦江封闭式商业不动产证券投资基金</v>
      </c>
      <c r="B1456" t="str">
        <f>IF(原始经营数据!$D1457="","",T(原始经营数据!$E1457))</f>
        <v>锦江都城合肥包河包公园店</v>
      </c>
      <c r="C1456" t="str">
        <f>IF(原始经营数据!$D1457="","",原始经营数据!$F1457)</f>
        <v>2022</v>
      </c>
      <c r="D1456" t="str">
        <f>IF(原始经营数据!$D1457="","",原始经营数据!$H1457)</f>
        <v>可供房数</v>
      </c>
      <c r="E1456">
        <f>IF(原始经营数据!$D1457="","",原始经营数据!$I1457)</f>
        <v>48496</v>
      </c>
      <c r="F1456" t="str">
        <f>IF(原始经营数据!$D1457="","",T(原始经营数据!$J1457))</f>
        <v>间</v>
      </c>
      <c r="G1456" t="str">
        <f>IF(原始经营数据!$D1457="","",T(原始经营数据!$K1457))</f>
        <v/>
      </c>
      <c r="H1456" t="str">
        <f>IF(原始经营数据!$D1457="","",原始经营数据!$G1457)</f>
        <v>服务量</v>
      </c>
      <c r="I1456" t="str">
        <f>IF($A1456="","",IF($B1456&lt;&gt;"",$B1456,IF(COUNTIFS(原始经营数据!$D$3:$D$3001,$A1456,原始经营数据!$E$3:$E$3001,"",原始经营数据!$F$3:$F$3001,$C1456,原始经营数据!$H$3:$H$3001,$D1456,原始经营数据!$K$3:$K$3001,$G1456)&gt;1,"基金整体·来源"&amp;原始经营数据!$A1457,"基金整体")))</f>
        <v>锦江都城合肥包河包公园店</v>
      </c>
      <c r="J1456" t="str">
        <f t="shared" si="333"/>
        <v>年度</v>
      </c>
      <c r="K1456" t="str">
        <f t="shared" si="334"/>
        <v>可供房数（间）</v>
      </c>
      <c r="L1456" t="str">
        <f t="shared" si="335"/>
        <v>锦江都城合肥包河包公园店|可供房数（间）|年度</v>
      </c>
      <c r="M1456">
        <f>IF($A1456="",0,IF(COUNTIF($L$2:$L1456,$L1456)=1,1,0))</f>
        <v>1</v>
      </c>
      <c r="N1456">
        <f t="shared" si="336"/>
        <v>20220</v>
      </c>
      <c r="O1456" t="str">
        <f t="shared" si="337"/>
        <v>华安锦江封闭式商业不动产证券投资基金|2022|年度</v>
      </c>
      <c r="P1456">
        <f>IF($A1456="",0,IF(COUNTIF($O$2:$O1456,$O1456)=1,1,0))</f>
        <v>0</v>
      </c>
      <c r="Q1456" t="str">
        <f>IF(AND($P1456=1,$A1456=经营数据!$B$3,$J1456=经营数据!$BA$5),COUNTIFS($P$2:$P$3000,1,$A$2:$A$3000,$A1456,$J$2:$J$3000,$J1456,$N$2:$N$3000,"&lt;"&amp;$N1456)+1,"")</f>
        <v/>
      </c>
      <c r="R1456" t="str">
        <f t="shared" si="338"/>
        <v>华安锦江封闭式商业不动产证券投资基金|锦江都城合肥包河包公园店</v>
      </c>
      <c r="S1456">
        <f>IF($A1456="",0,IF(COUNTIF($R$2:$R1456,$R1456)=1,1,0))</f>
        <v>0</v>
      </c>
      <c r="T1456">
        <f t="shared" si="339"/>
        <v>1453</v>
      </c>
      <c r="U1456" t="str">
        <f>IF($A1456="","",IF($A1456=经营数据!$B$3,COUNTIFS($S$2:$S$3000,1,$A$2:$A$3000,$A1456,$T$2:$T$3000,"&lt;"&amp;$T1456)+1,""))</f>
        <v/>
      </c>
      <c r="V1456" t="str">
        <f t="shared" si="340"/>
        <v>锦江都城合肥包河包公园店|服务量</v>
      </c>
      <c r="W1456">
        <f t="shared" si="341"/>
        <v>1453</v>
      </c>
      <c r="X1456" t="str">
        <f t="shared" si="342"/>
        <v>锦江都城合肥包河包公园店|可供房数</v>
      </c>
      <c r="Y1456">
        <f t="shared" si="343"/>
        <v>1455</v>
      </c>
      <c r="Z1456">
        <f>IF($A1456="",0,IF(AND($M1456=1,$A1456=经营数据!$B$3,$J1456=经营数据!$BA$5,OR($I1456=经营数据!$BA$4,COUNTIF(经营数据!$AA$9:$AA$38,$I1456)&gt;0)),1,0))</f>
        <v>0</v>
      </c>
      <c r="AA1456" t="str">
        <f t="shared" si="344"/>
        <v/>
      </c>
      <c r="AB1456" t="str">
        <f t="shared" si="345"/>
        <v/>
      </c>
      <c r="AC1456">
        <f>IF($A1456="",0,IF(COUNTIF($A$2:$A1456,$A1456)=1,1,0))</f>
        <v>0</v>
      </c>
      <c r="AD1456">
        <f t="shared" si="346"/>
        <v>18</v>
      </c>
      <c r="AE1456" t="str">
        <f t="shared" si="347"/>
        <v>锦江都城合肥包河包公园店|可供房数（间）</v>
      </c>
    </row>
    <row r="1457" spans="1:31" x14ac:dyDescent="0.4">
      <c r="A1457" t="str">
        <f>IF(原始经营数据!$D1458="","",原始经营数据!$D1458)</f>
        <v>华安锦江封闭式商业不动产证券投资基金</v>
      </c>
      <c r="B1457" t="str">
        <f>IF(原始经营数据!$D1458="","",T(原始经营数据!$E1458))</f>
        <v>锦江都城合肥包河包公园店</v>
      </c>
      <c r="C1457" t="str">
        <f>IF(原始经营数据!$D1458="","",原始经营数据!$F1458)</f>
        <v>2023</v>
      </c>
      <c r="D1457" t="str">
        <f>IF(原始经营数据!$D1458="","",原始经营数据!$H1458)</f>
        <v>平均入住率</v>
      </c>
      <c r="E1457">
        <f>IF(原始经营数据!$D1458="","",原始经营数据!$I1458)</f>
        <v>58.11</v>
      </c>
      <c r="F1457" t="str">
        <f>IF(原始经营数据!$D1458="","",T(原始经营数据!$J1458))</f>
        <v>%</v>
      </c>
      <c r="G1457" t="str">
        <f>IF(原始经营数据!$D1458="","",T(原始经营数据!$K1458))</f>
        <v/>
      </c>
      <c r="H1457" t="str">
        <f>IF(原始经营数据!$D1458="","",原始经营数据!$G1458)</f>
        <v>服务量</v>
      </c>
      <c r="I1457" t="str">
        <f>IF($A1457="","",IF($B1457&lt;&gt;"",$B1457,IF(COUNTIFS(原始经营数据!$D$3:$D$3001,$A1457,原始经营数据!$E$3:$E$3001,"",原始经营数据!$F$3:$F$3001,$C1457,原始经营数据!$H$3:$H$3001,$D1457,原始经营数据!$K$3:$K$3001,$G1457)&gt;1,"基金整体·来源"&amp;原始经营数据!$A1458,"基金整体")))</f>
        <v>锦江都城合肥包河包公园店</v>
      </c>
      <c r="J1457" t="str">
        <f t="shared" si="333"/>
        <v>年度</v>
      </c>
      <c r="K1457" t="str">
        <f t="shared" si="334"/>
        <v>平均入住率（%）</v>
      </c>
      <c r="L1457" t="str">
        <f t="shared" si="335"/>
        <v>锦江都城合肥包河包公园店|平均入住率（%）|年度</v>
      </c>
      <c r="M1457">
        <f>IF($A1457="",0,IF(COUNTIF($L$2:$L1457,$L1457)=1,1,0))</f>
        <v>0</v>
      </c>
      <c r="N1457">
        <f t="shared" si="336"/>
        <v>20230</v>
      </c>
      <c r="O1457" t="str">
        <f t="shared" si="337"/>
        <v>华安锦江封闭式商业不动产证券投资基金|2023|年度</v>
      </c>
      <c r="P1457">
        <f>IF($A1457="",0,IF(COUNTIF($O$2:$O1457,$O1457)=1,1,0))</f>
        <v>0</v>
      </c>
      <c r="Q1457" t="str">
        <f>IF(AND($P1457=1,$A1457=经营数据!$B$3,$J1457=经营数据!$BA$5),COUNTIFS($P$2:$P$3000,1,$A$2:$A$3000,$A1457,$J$2:$J$3000,$J1457,$N$2:$N$3000,"&lt;"&amp;$N1457)+1,"")</f>
        <v/>
      </c>
      <c r="R1457" t="str">
        <f t="shared" si="338"/>
        <v>华安锦江封闭式商业不动产证券投资基金|锦江都城合肥包河包公园店</v>
      </c>
      <c r="S1457">
        <f>IF($A1457="",0,IF(COUNTIF($R$2:$R1457,$R1457)=1,1,0))</f>
        <v>0</v>
      </c>
      <c r="T1457">
        <f t="shared" si="339"/>
        <v>1453</v>
      </c>
      <c r="U1457" t="str">
        <f>IF($A1457="","",IF($A1457=经营数据!$B$3,COUNTIFS($S$2:$S$3000,1,$A$2:$A$3000,$A1457,$T$2:$T$3000,"&lt;"&amp;$T1457)+1,""))</f>
        <v/>
      </c>
      <c r="V1457" t="str">
        <f t="shared" si="340"/>
        <v>锦江都城合肥包河包公园店|服务量</v>
      </c>
      <c r="W1457">
        <f t="shared" si="341"/>
        <v>1453</v>
      </c>
      <c r="X1457" t="str">
        <f t="shared" si="342"/>
        <v>锦江都城合肥包河包公园店|平均入住率</v>
      </c>
      <c r="Y1457">
        <f t="shared" si="343"/>
        <v>1454</v>
      </c>
      <c r="Z1457">
        <f>IF($A1457="",0,IF(AND($M1457=1,$A1457=经营数据!$B$3,$J1457=经营数据!$BA$5,OR($I1457=经营数据!$BA$4,COUNTIF(经营数据!$AA$9:$AA$38,$I1457)&gt;0)),1,0))</f>
        <v>0</v>
      </c>
      <c r="AA1457" t="str">
        <f t="shared" si="344"/>
        <v/>
      </c>
      <c r="AB1457" t="str">
        <f t="shared" si="345"/>
        <v/>
      </c>
      <c r="AC1457">
        <f>IF($A1457="",0,IF(COUNTIF($A$2:$A1457,$A1457)=1,1,0))</f>
        <v>0</v>
      </c>
      <c r="AD1457">
        <f t="shared" si="346"/>
        <v>18</v>
      </c>
      <c r="AE1457" t="str">
        <f t="shared" si="347"/>
        <v>锦江都城合肥包河包公园店|平均入住率（%）</v>
      </c>
    </row>
    <row r="1458" spans="1:31" x14ac:dyDescent="0.4">
      <c r="A1458" t="str">
        <f>IF(原始经营数据!$D1459="","",原始经营数据!$D1459)</f>
        <v>华安锦江封闭式商业不动产证券投资基金</v>
      </c>
      <c r="B1458" t="str">
        <f>IF(原始经营数据!$D1459="","",T(原始经营数据!$E1459))</f>
        <v>锦江都城合肥包河包公园店</v>
      </c>
      <c r="C1458" t="str">
        <f>IF(原始经营数据!$D1459="","",原始经营数据!$F1459)</f>
        <v>2023</v>
      </c>
      <c r="D1458" t="str">
        <f>IF(原始经营数据!$D1459="","",原始经营数据!$H1459)</f>
        <v>平均房价</v>
      </c>
      <c r="E1458">
        <f>IF(原始经营数据!$D1459="","",原始经营数据!$I1459)</f>
        <v>239.91</v>
      </c>
      <c r="F1458" t="str">
        <f>IF(原始经营数据!$D1459="","",T(原始经营数据!$J1459))</f>
        <v>元/间</v>
      </c>
      <c r="G1458" t="str">
        <f>IF(原始经营数据!$D1459="","",T(原始经营数据!$K1459))</f>
        <v/>
      </c>
      <c r="H1458" t="str">
        <f>IF(原始经营数据!$D1459="","",原始经营数据!$G1459)</f>
        <v>服务量</v>
      </c>
      <c r="I1458" t="str">
        <f>IF($A1458="","",IF($B1458&lt;&gt;"",$B1458,IF(COUNTIFS(原始经营数据!$D$3:$D$3001,$A1458,原始经营数据!$E$3:$E$3001,"",原始经营数据!$F$3:$F$3001,$C1458,原始经营数据!$H$3:$H$3001,$D1458,原始经营数据!$K$3:$K$3001,$G1458)&gt;1,"基金整体·来源"&amp;原始经营数据!$A1459,"基金整体")))</f>
        <v>锦江都城合肥包河包公园店</v>
      </c>
      <c r="J1458" t="str">
        <f t="shared" si="333"/>
        <v>年度</v>
      </c>
      <c r="K1458" t="str">
        <f t="shared" si="334"/>
        <v>平均房价（元/间）</v>
      </c>
      <c r="L1458" t="str">
        <f t="shared" si="335"/>
        <v>锦江都城合肥包河包公园店|平均房价（元/间）|年度</v>
      </c>
      <c r="M1458">
        <f>IF($A1458="",0,IF(COUNTIF($L$2:$L1458,$L1458)=1,1,0))</f>
        <v>0</v>
      </c>
      <c r="N1458">
        <f t="shared" si="336"/>
        <v>20230</v>
      </c>
      <c r="O1458" t="str">
        <f t="shared" si="337"/>
        <v>华安锦江封闭式商业不动产证券投资基金|2023|年度</v>
      </c>
      <c r="P1458">
        <f>IF($A1458="",0,IF(COUNTIF($O$2:$O1458,$O1458)=1,1,0))</f>
        <v>0</v>
      </c>
      <c r="Q1458" t="str">
        <f>IF(AND($P1458=1,$A1458=经营数据!$B$3,$J1458=经营数据!$BA$5),COUNTIFS($P$2:$P$3000,1,$A$2:$A$3000,$A1458,$J$2:$J$3000,$J1458,$N$2:$N$3000,"&lt;"&amp;$N1458)+1,"")</f>
        <v/>
      </c>
      <c r="R1458" t="str">
        <f t="shared" si="338"/>
        <v>华安锦江封闭式商业不动产证券投资基金|锦江都城合肥包河包公园店</v>
      </c>
      <c r="S1458">
        <f>IF($A1458="",0,IF(COUNTIF($R$2:$R1458,$R1458)=1,1,0))</f>
        <v>0</v>
      </c>
      <c r="T1458">
        <f t="shared" si="339"/>
        <v>1453</v>
      </c>
      <c r="U1458" t="str">
        <f>IF($A1458="","",IF($A1458=经营数据!$B$3,COUNTIFS($S$2:$S$3000,1,$A$2:$A$3000,$A1458,$T$2:$T$3000,"&lt;"&amp;$T1458)+1,""))</f>
        <v/>
      </c>
      <c r="V1458" t="str">
        <f t="shared" si="340"/>
        <v>锦江都城合肥包河包公园店|服务量</v>
      </c>
      <c r="W1458">
        <f t="shared" si="341"/>
        <v>1453</v>
      </c>
      <c r="X1458" t="str">
        <f t="shared" si="342"/>
        <v>锦江都城合肥包河包公园店|平均房价</v>
      </c>
      <c r="Y1458">
        <f t="shared" si="343"/>
        <v>1453</v>
      </c>
      <c r="Z1458">
        <f>IF($A1458="",0,IF(AND($M1458=1,$A1458=经营数据!$B$3,$J1458=经营数据!$BA$5,OR($I1458=经营数据!$BA$4,COUNTIF(经营数据!$AA$9:$AA$38,$I1458)&gt;0)),1,0))</f>
        <v>0</v>
      </c>
      <c r="AA1458" t="str">
        <f t="shared" si="344"/>
        <v/>
      </c>
      <c r="AB1458" t="str">
        <f t="shared" si="345"/>
        <v/>
      </c>
      <c r="AC1458">
        <f>IF($A1458="",0,IF(COUNTIF($A$2:$A1458,$A1458)=1,1,0))</f>
        <v>0</v>
      </c>
      <c r="AD1458">
        <f t="shared" si="346"/>
        <v>18</v>
      </c>
      <c r="AE1458" t="str">
        <f t="shared" si="347"/>
        <v>锦江都城合肥包河包公园店|平均房价（元/间）</v>
      </c>
    </row>
    <row r="1459" spans="1:31" x14ac:dyDescent="0.4">
      <c r="A1459" t="str">
        <f>IF(原始经营数据!$D1460="","",原始经营数据!$D1460)</f>
        <v>华安锦江封闭式商业不动产证券投资基金</v>
      </c>
      <c r="B1459" t="str">
        <f>IF(原始经营数据!$D1460="","",T(原始经营数据!$E1460))</f>
        <v>锦江都城合肥包河包公园店</v>
      </c>
      <c r="C1459" t="str">
        <f>IF(原始经营数据!$D1460="","",原始经营数据!$F1460)</f>
        <v>2023</v>
      </c>
      <c r="D1459" t="str">
        <f>IF(原始经营数据!$D1460="","",原始经营数据!$H1460)</f>
        <v>可供房数</v>
      </c>
      <c r="E1459">
        <f>IF(原始经营数据!$D1460="","",原始经营数据!$I1460)</f>
        <v>37427</v>
      </c>
      <c r="F1459" t="str">
        <f>IF(原始经营数据!$D1460="","",T(原始经营数据!$J1460))</f>
        <v>间</v>
      </c>
      <c r="G1459" t="str">
        <f>IF(原始经营数据!$D1460="","",T(原始经营数据!$K1460))</f>
        <v/>
      </c>
      <c r="H1459" t="str">
        <f>IF(原始经营数据!$D1460="","",原始经营数据!$G1460)</f>
        <v>服务量</v>
      </c>
      <c r="I1459" t="str">
        <f>IF($A1459="","",IF($B1459&lt;&gt;"",$B1459,IF(COUNTIFS(原始经营数据!$D$3:$D$3001,$A1459,原始经营数据!$E$3:$E$3001,"",原始经营数据!$F$3:$F$3001,$C1459,原始经营数据!$H$3:$H$3001,$D1459,原始经营数据!$K$3:$K$3001,$G1459)&gt;1,"基金整体·来源"&amp;原始经营数据!$A1460,"基金整体")))</f>
        <v>锦江都城合肥包河包公园店</v>
      </c>
      <c r="J1459" t="str">
        <f t="shared" si="333"/>
        <v>年度</v>
      </c>
      <c r="K1459" t="str">
        <f t="shared" si="334"/>
        <v>可供房数（间）</v>
      </c>
      <c r="L1459" t="str">
        <f t="shared" si="335"/>
        <v>锦江都城合肥包河包公园店|可供房数（间）|年度</v>
      </c>
      <c r="M1459">
        <f>IF($A1459="",0,IF(COUNTIF($L$2:$L1459,$L1459)=1,1,0))</f>
        <v>0</v>
      </c>
      <c r="N1459">
        <f t="shared" si="336"/>
        <v>20230</v>
      </c>
      <c r="O1459" t="str">
        <f t="shared" si="337"/>
        <v>华安锦江封闭式商业不动产证券投资基金|2023|年度</v>
      </c>
      <c r="P1459">
        <f>IF($A1459="",0,IF(COUNTIF($O$2:$O1459,$O1459)=1,1,0))</f>
        <v>0</v>
      </c>
      <c r="Q1459" t="str">
        <f>IF(AND($P1459=1,$A1459=经营数据!$B$3,$J1459=经营数据!$BA$5),COUNTIFS($P$2:$P$3000,1,$A$2:$A$3000,$A1459,$J$2:$J$3000,$J1459,$N$2:$N$3000,"&lt;"&amp;$N1459)+1,"")</f>
        <v/>
      </c>
      <c r="R1459" t="str">
        <f t="shared" si="338"/>
        <v>华安锦江封闭式商业不动产证券投资基金|锦江都城合肥包河包公园店</v>
      </c>
      <c r="S1459">
        <f>IF($A1459="",0,IF(COUNTIF($R$2:$R1459,$R1459)=1,1,0))</f>
        <v>0</v>
      </c>
      <c r="T1459">
        <f t="shared" si="339"/>
        <v>1453</v>
      </c>
      <c r="U1459" t="str">
        <f>IF($A1459="","",IF($A1459=经营数据!$B$3,COUNTIFS($S$2:$S$3000,1,$A$2:$A$3000,$A1459,$T$2:$T$3000,"&lt;"&amp;$T1459)+1,""))</f>
        <v/>
      </c>
      <c r="V1459" t="str">
        <f t="shared" si="340"/>
        <v>锦江都城合肥包河包公园店|服务量</v>
      </c>
      <c r="W1459">
        <f t="shared" si="341"/>
        <v>1453</v>
      </c>
      <c r="X1459" t="str">
        <f t="shared" si="342"/>
        <v>锦江都城合肥包河包公园店|可供房数</v>
      </c>
      <c r="Y1459">
        <f t="shared" si="343"/>
        <v>1455</v>
      </c>
      <c r="Z1459">
        <f>IF($A1459="",0,IF(AND($M1459=1,$A1459=经营数据!$B$3,$J1459=经营数据!$BA$5,OR($I1459=经营数据!$BA$4,COUNTIF(经营数据!$AA$9:$AA$38,$I1459)&gt;0)),1,0))</f>
        <v>0</v>
      </c>
      <c r="AA1459" t="str">
        <f t="shared" si="344"/>
        <v/>
      </c>
      <c r="AB1459" t="str">
        <f t="shared" si="345"/>
        <v/>
      </c>
      <c r="AC1459">
        <f>IF($A1459="",0,IF(COUNTIF($A$2:$A1459,$A1459)=1,1,0))</f>
        <v>0</v>
      </c>
      <c r="AD1459">
        <f t="shared" si="346"/>
        <v>18</v>
      </c>
      <c r="AE1459" t="str">
        <f t="shared" si="347"/>
        <v>锦江都城合肥包河包公园店|可供房数（间）</v>
      </c>
    </row>
    <row r="1460" spans="1:31" x14ac:dyDescent="0.4">
      <c r="A1460" t="str">
        <f>IF(原始经营数据!$D1461="","",原始经营数据!$D1461)</f>
        <v>华安锦江封闭式商业不动产证券投资基金</v>
      </c>
      <c r="B1460" t="str">
        <f>IF(原始经营数据!$D1461="","",T(原始经营数据!$E1461))</f>
        <v>锦江都城合肥包河包公园店</v>
      </c>
      <c r="C1460" t="str">
        <f>IF(原始经营数据!$D1461="","",原始经营数据!$F1461)</f>
        <v>2024</v>
      </c>
      <c r="D1460" t="str">
        <f>IF(原始经营数据!$D1461="","",原始经营数据!$H1461)</f>
        <v>平均房价</v>
      </c>
      <c r="E1460">
        <f>IF(原始经营数据!$D1461="","",原始经营数据!$I1461)</f>
        <v>237.31</v>
      </c>
      <c r="F1460" t="str">
        <f>IF(原始经营数据!$D1461="","",T(原始经营数据!$J1461))</f>
        <v>元/间</v>
      </c>
      <c r="G1460" t="str">
        <f>IF(原始经营数据!$D1461="","",T(原始经营数据!$K1461))</f>
        <v/>
      </c>
      <c r="H1460" t="str">
        <f>IF(原始经营数据!$D1461="","",原始经营数据!$G1461)</f>
        <v>服务量</v>
      </c>
      <c r="I1460" t="str">
        <f>IF($A1460="","",IF($B1460&lt;&gt;"",$B1460,IF(COUNTIFS(原始经营数据!$D$3:$D$3001,$A1460,原始经营数据!$E$3:$E$3001,"",原始经营数据!$F$3:$F$3001,$C1460,原始经营数据!$H$3:$H$3001,$D1460,原始经营数据!$K$3:$K$3001,$G1460)&gt;1,"基金整体·来源"&amp;原始经营数据!$A1461,"基金整体")))</f>
        <v>锦江都城合肥包河包公园店</v>
      </c>
      <c r="J1460" t="str">
        <f t="shared" si="333"/>
        <v>年度</v>
      </c>
      <c r="K1460" t="str">
        <f t="shared" si="334"/>
        <v>平均房价（元/间）</v>
      </c>
      <c r="L1460" t="str">
        <f t="shared" si="335"/>
        <v>锦江都城合肥包河包公园店|平均房价（元/间）|年度</v>
      </c>
      <c r="M1460">
        <f>IF($A1460="",0,IF(COUNTIF($L$2:$L1460,$L1460)=1,1,0))</f>
        <v>0</v>
      </c>
      <c r="N1460">
        <f t="shared" si="336"/>
        <v>20240</v>
      </c>
      <c r="O1460" t="str">
        <f t="shared" si="337"/>
        <v>华安锦江封闭式商业不动产证券投资基金|2024|年度</v>
      </c>
      <c r="P1460">
        <f>IF($A1460="",0,IF(COUNTIF($O$2:$O1460,$O1460)=1,1,0))</f>
        <v>0</v>
      </c>
      <c r="Q1460" t="str">
        <f>IF(AND($P1460=1,$A1460=经营数据!$B$3,$J1460=经营数据!$BA$5),COUNTIFS($P$2:$P$3000,1,$A$2:$A$3000,$A1460,$J$2:$J$3000,$J1460,$N$2:$N$3000,"&lt;"&amp;$N1460)+1,"")</f>
        <v/>
      </c>
      <c r="R1460" t="str">
        <f t="shared" si="338"/>
        <v>华安锦江封闭式商业不动产证券投资基金|锦江都城合肥包河包公园店</v>
      </c>
      <c r="S1460">
        <f>IF($A1460="",0,IF(COUNTIF($R$2:$R1460,$R1460)=1,1,0))</f>
        <v>0</v>
      </c>
      <c r="T1460">
        <f t="shared" si="339"/>
        <v>1453</v>
      </c>
      <c r="U1460" t="str">
        <f>IF($A1460="","",IF($A1460=经营数据!$B$3,COUNTIFS($S$2:$S$3000,1,$A$2:$A$3000,$A1460,$T$2:$T$3000,"&lt;"&amp;$T1460)+1,""))</f>
        <v/>
      </c>
      <c r="V1460" t="str">
        <f t="shared" si="340"/>
        <v>锦江都城合肥包河包公园店|服务量</v>
      </c>
      <c r="W1460">
        <f t="shared" si="341"/>
        <v>1453</v>
      </c>
      <c r="X1460" t="str">
        <f t="shared" si="342"/>
        <v>锦江都城合肥包河包公园店|平均房价</v>
      </c>
      <c r="Y1460">
        <f t="shared" si="343"/>
        <v>1453</v>
      </c>
      <c r="Z1460">
        <f>IF($A1460="",0,IF(AND($M1460=1,$A1460=经营数据!$B$3,$J1460=经营数据!$BA$5,OR($I1460=经营数据!$BA$4,COUNTIF(经营数据!$AA$9:$AA$38,$I1460)&gt;0)),1,0))</f>
        <v>0</v>
      </c>
      <c r="AA1460" t="str">
        <f t="shared" si="344"/>
        <v/>
      </c>
      <c r="AB1460" t="str">
        <f t="shared" si="345"/>
        <v/>
      </c>
      <c r="AC1460">
        <f>IF($A1460="",0,IF(COUNTIF($A$2:$A1460,$A1460)=1,1,0))</f>
        <v>0</v>
      </c>
      <c r="AD1460">
        <f t="shared" si="346"/>
        <v>18</v>
      </c>
      <c r="AE1460" t="str">
        <f t="shared" si="347"/>
        <v>锦江都城合肥包河包公园店|平均房价（元/间）</v>
      </c>
    </row>
    <row r="1461" spans="1:31" x14ac:dyDescent="0.4">
      <c r="A1461" t="str">
        <f>IF(原始经营数据!$D1462="","",原始经营数据!$D1462)</f>
        <v>华安锦江封闭式商业不动产证券投资基金</v>
      </c>
      <c r="B1461" t="str">
        <f>IF(原始经营数据!$D1462="","",T(原始经营数据!$E1462))</f>
        <v>锦江都城合肥包河包公园店</v>
      </c>
      <c r="C1461" t="str">
        <f>IF(原始经营数据!$D1462="","",原始经营数据!$F1462)</f>
        <v>2024</v>
      </c>
      <c r="D1461" t="str">
        <f>IF(原始经营数据!$D1462="","",原始经营数据!$H1462)</f>
        <v>平均入住率</v>
      </c>
      <c r="E1461">
        <f>IF(原始经营数据!$D1462="","",原始经营数据!$I1462)</f>
        <v>44.45</v>
      </c>
      <c r="F1461" t="str">
        <f>IF(原始经营数据!$D1462="","",T(原始经营数据!$J1462))</f>
        <v>%</v>
      </c>
      <c r="G1461" t="str">
        <f>IF(原始经营数据!$D1462="","",T(原始经营数据!$K1462))</f>
        <v/>
      </c>
      <c r="H1461" t="str">
        <f>IF(原始经营数据!$D1462="","",原始经营数据!$G1462)</f>
        <v>服务量</v>
      </c>
      <c r="I1461" t="str">
        <f>IF($A1461="","",IF($B1461&lt;&gt;"",$B1461,IF(COUNTIFS(原始经营数据!$D$3:$D$3001,$A1461,原始经营数据!$E$3:$E$3001,"",原始经营数据!$F$3:$F$3001,$C1461,原始经营数据!$H$3:$H$3001,$D1461,原始经营数据!$K$3:$K$3001,$G1461)&gt;1,"基金整体·来源"&amp;原始经营数据!$A1462,"基金整体")))</f>
        <v>锦江都城合肥包河包公园店</v>
      </c>
      <c r="J1461" t="str">
        <f t="shared" si="333"/>
        <v>年度</v>
      </c>
      <c r="K1461" t="str">
        <f t="shared" si="334"/>
        <v>平均入住率（%）</v>
      </c>
      <c r="L1461" t="str">
        <f t="shared" si="335"/>
        <v>锦江都城合肥包河包公园店|平均入住率（%）|年度</v>
      </c>
      <c r="M1461">
        <f>IF($A1461="",0,IF(COUNTIF($L$2:$L1461,$L1461)=1,1,0))</f>
        <v>0</v>
      </c>
      <c r="N1461">
        <f t="shared" si="336"/>
        <v>20240</v>
      </c>
      <c r="O1461" t="str">
        <f t="shared" si="337"/>
        <v>华安锦江封闭式商业不动产证券投资基金|2024|年度</v>
      </c>
      <c r="P1461">
        <f>IF($A1461="",0,IF(COUNTIF($O$2:$O1461,$O1461)=1,1,0))</f>
        <v>0</v>
      </c>
      <c r="Q1461" t="str">
        <f>IF(AND($P1461=1,$A1461=经营数据!$B$3,$J1461=经营数据!$BA$5),COUNTIFS($P$2:$P$3000,1,$A$2:$A$3000,$A1461,$J$2:$J$3000,$J1461,$N$2:$N$3000,"&lt;"&amp;$N1461)+1,"")</f>
        <v/>
      </c>
      <c r="R1461" t="str">
        <f t="shared" si="338"/>
        <v>华安锦江封闭式商业不动产证券投资基金|锦江都城合肥包河包公园店</v>
      </c>
      <c r="S1461">
        <f>IF($A1461="",0,IF(COUNTIF($R$2:$R1461,$R1461)=1,1,0))</f>
        <v>0</v>
      </c>
      <c r="T1461">
        <f t="shared" si="339"/>
        <v>1453</v>
      </c>
      <c r="U1461" t="str">
        <f>IF($A1461="","",IF($A1461=经营数据!$B$3,COUNTIFS($S$2:$S$3000,1,$A$2:$A$3000,$A1461,$T$2:$T$3000,"&lt;"&amp;$T1461)+1,""))</f>
        <v/>
      </c>
      <c r="V1461" t="str">
        <f t="shared" si="340"/>
        <v>锦江都城合肥包河包公园店|服务量</v>
      </c>
      <c r="W1461">
        <f t="shared" si="341"/>
        <v>1453</v>
      </c>
      <c r="X1461" t="str">
        <f t="shared" si="342"/>
        <v>锦江都城合肥包河包公园店|平均入住率</v>
      </c>
      <c r="Y1461">
        <f t="shared" si="343"/>
        <v>1454</v>
      </c>
      <c r="Z1461">
        <f>IF($A1461="",0,IF(AND($M1461=1,$A1461=经营数据!$B$3,$J1461=经营数据!$BA$5,OR($I1461=经营数据!$BA$4,COUNTIF(经营数据!$AA$9:$AA$38,$I1461)&gt;0)),1,0))</f>
        <v>0</v>
      </c>
      <c r="AA1461" t="str">
        <f t="shared" si="344"/>
        <v/>
      </c>
      <c r="AB1461" t="str">
        <f t="shared" si="345"/>
        <v/>
      </c>
      <c r="AC1461">
        <f>IF($A1461="",0,IF(COUNTIF($A$2:$A1461,$A1461)=1,1,0))</f>
        <v>0</v>
      </c>
      <c r="AD1461">
        <f t="shared" si="346"/>
        <v>18</v>
      </c>
      <c r="AE1461" t="str">
        <f t="shared" si="347"/>
        <v>锦江都城合肥包河包公园店|平均入住率（%）</v>
      </c>
    </row>
    <row r="1462" spans="1:31" x14ac:dyDescent="0.4">
      <c r="A1462" t="str">
        <f>IF(原始经营数据!$D1463="","",原始经营数据!$D1463)</f>
        <v>华安锦江封闭式商业不动产证券投资基金</v>
      </c>
      <c r="B1462" t="str">
        <f>IF(原始经营数据!$D1463="","",T(原始经营数据!$E1463))</f>
        <v>锦江都城合肥包河包公园店</v>
      </c>
      <c r="C1462" t="str">
        <f>IF(原始经营数据!$D1463="","",原始经营数据!$F1463)</f>
        <v>2024</v>
      </c>
      <c r="D1462" t="str">
        <f>IF(原始经营数据!$D1463="","",原始经营数据!$H1463)</f>
        <v>可供房数</v>
      </c>
      <c r="E1462">
        <f>IF(原始经营数据!$D1463="","",原始经营数据!$I1463)</f>
        <v>48312</v>
      </c>
      <c r="F1462" t="str">
        <f>IF(原始经营数据!$D1463="","",T(原始经营数据!$J1463))</f>
        <v>间</v>
      </c>
      <c r="G1462" t="str">
        <f>IF(原始经营数据!$D1463="","",T(原始经营数据!$K1463))</f>
        <v/>
      </c>
      <c r="H1462" t="str">
        <f>IF(原始经营数据!$D1463="","",原始经营数据!$G1463)</f>
        <v>服务量</v>
      </c>
      <c r="I1462" t="str">
        <f>IF($A1462="","",IF($B1462&lt;&gt;"",$B1462,IF(COUNTIFS(原始经营数据!$D$3:$D$3001,$A1462,原始经营数据!$E$3:$E$3001,"",原始经营数据!$F$3:$F$3001,$C1462,原始经营数据!$H$3:$H$3001,$D1462,原始经营数据!$K$3:$K$3001,$G1462)&gt;1,"基金整体·来源"&amp;原始经营数据!$A1463,"基金整体")))</f>
        <v>锦江都城合肥包河包公园店</v>
      </c>
      <c r="J1462" t="str">
        <f t="shared" si="333"/>
        <v>年度</v>
      </c>
      <c r="K1462" t="str">
        <f t="shared" si="334"/>
        <v>可供房数（间）</v>
      </c>
      <c r="L1462" t="str">
        <f t="shared" si="335"/>
        <v>锦江都城合肥包河包公园店|可供房数（间）|年度</v>
      </c>
      <c r="M1462">
        <f>IF($A1462="",0,IF(COUNTIF($L$2:$L1462,$L1462)=1,1,0))</f>
        <v>0</v>
      </c>
      <c r="N1462">
        <f t="shared" si="336"/>
        <v>20240</v>
      </c>
      <c r="O1462" t="str">
        <f t="shared" si="337"/>
        <v>华安锦江封闭式商业不动产证券投资基金|2024|年度</v>
      </c>
      <c r="P1462">
        <f>IF($A1462="",0,IF(COUNTIF($O$2:$O1462,$O1462)=1,1,0))</f>
        <v>0</v>
      </c>
      <c r="Q1462" t="str">
        <f>IF(AND($P1462=1,$A1462=经营数据!$B$3,$J1462=经营数据!$BA$5),COUNTIFS($P$2:$P$3000,1,$A$2:$A$3000,$A1462,$J$2:$J$3000,$J1462,$N$2:$N$3000,"&lt;"&amp;$N1462)+1,"")</f>
        <v/>
      </c>
      <c r="R1462" t="str">
        <f t="shared" si="338"/>
        <v>华安锦江封闭式商业不动产证券投资基金|锦江都城合肥包河包公园店</v>
      </c>
      <c r="S1462">
        <f>IF($A1462="",0,IF(COUNTIF($R$2:$R1462,$R1462)=1,1,0))</f>
        <v>0</v>
      </c>
      <c r="T1462">
        <f t="shared" si="339"/>
        <v>1453</v>
      </c>
      <c r="U1462" t="str">
        <f>IF($A1462="","",IF($A1462=经营数据!$B$3,COUNTIFS($S$2:$S$3000,1,$A$2:$A$3000,$A1462,$T$2:$T$3000,"&lt;"&amp;$T1462)+1,""))</f>
        <v/>
      </c>
      <c r="V1462" t="str">
        <f t="shared" si="340"/>
        <v>锦江都城合肥包河包公园店|服务量</v>
      </c>
      <c r="W1462">
        <f t="shared" si="341"/>
        <v>1453</v>
      </c>
      <c r="X1462" t="str">
        <f t="shared" si="342"/>
        <v>锦江都城合肥包河包公园店|可供房数</v>
      </c>
      <c r="Y1462">
        <f t="shared" si="343"/>
        <v>1455</v>
      </c>
      <c r="Z1462">
        <f>IF($A1462="",0,IF(AND($M1462=1,$A1462=经营数据!$B$3,$J1462=经营数据!$BA$5,OR($I1462=经营数据!$BA$4,COUNTIF(经营数据!$AA$9:$AA$38,$I1462)&gt;0)),1,0))</f>
        <v>0</v>
      </c>
      <c r="AA1462" t="str">
        <f t="shared" si="344"/>
        <v/>
      </c>
      <c r="AB1462" t="str">
        <f t="shared" si="345"/>
        <v/>
      </c>
      <c r="AC1462">
        <f>IF($A1462="",0,IF(COUNTIF($A$2:$A1462,$A1462)=1,1,0))</f>
        <v>0</v>
      </c>
      <c r="AD1462">
        <f t="shared" si="346"/>
        <v>18</v>
      </c>
      <c r="AE1462" t="str">
        <f t="shared" si="347"/>
        <v>锦江都城合肥包河包公园店|可供房数（间）</v>
      </c>
    </row>
    <row r="1463" spans="1:31" x14ac:dyDescent="0.4">
      <c r="A1463" t="str">
        <f>IF(原始经营数据!$D1464="","",原始经营数据!$D1464)</f>
        <v>华安锦江封闭式商业不动产证券投资基金</v>
      </c>
      <c r="B1463" t="str">
        <f>IF(原始经营数据!$D1464="","",T(原始经营数据!$E1464))</f>
        <v>锦江都城合肥包河包公园店</v>
      </c>
      <c r="C1463" t="str">
        <f>IF(原始经营数据!$D1464="","",原始经营数据!$F1464)</f>
        <v>2025</v>
      </c>
      <c r="D1463" t="str">
        <f>IF(原始经营数据!$D1464="","",原始经营数据!$H1464)</f>
        <v>平均房价</v>
      </c>
      <c r="E1463">
        <f>IF(原始经营数据!$D1464="","",原始经营数据!$I1464)</f>
        <v>223.91</v>
      </c>
      <c r="F1463" t="str">
        <f>IF(原始经营数据!$D1464="","",T(原始经营数据!$J1464))</f>
        <v>元/间</v>
      </c>
      <c r="G1463" t="str">
        <f>IF(原始经营数据!$D1464="","",T(原始经营数据!$K1464))</f>
        <v/>
      </c>
      <c r="H1463" t="str">
        <f>IF(原始经营数据!$D1464="","",原始经营数据!$G1464)</f>
        <v>服务量</v>
      </c>
      <c r="I1463" t="str">
        <f>IF($A1463="","",IF($B1463&lt;&gt;"",$B1463,IF(COUNTIFS(原始经营数据!$D$3:$D$3001,$A1463,原始经营数据!$E$3:$E$3001,"",原始经营数据!$F$3:$F$3001,$C1463,原始经营数据!$H$3:$H$3001,$D1463,原始经营数据!$K$3:$K$3001,$G1463)&gt;1,"基金整体·来源"&amp;原始经营数据!$A1464,"基金整体")))</f>
        <v>锦江都城合肥包河包公园店</v>
      </c>
      <c r="J1463" t="str">
        <f t="shared" si="333"/>
        <v>年度</v>
      </c>
      <c r="K1463" t="str">
        <f t="shared" si="334"/>
        <v>平均房价（元/间）</v>
      </c>
      <c r="L1463" t="str">
        <f t="shared" si="335"/>
        <v>锦江都城合肥包河包公园店|平均房价（元/间）|年度</v>
      </c>
      <c r="M1463">
        <f>IF($A1463="",0,IF(COUNTIF($L$2:$L1463,$L1463)=1,1,0))</f>
        <v>0</v>
      </c>
      <c r="N1463">
        <f t="shared" si="336"/>
        <v>20250</v>
      </c>
      <c r="O1463" t="str">
        <f t="shared" si="337"/>
        <v>华安锦江封闭式商业不动产证券投资基金|2025|年度</v>
      </c>
      <c r="P1463">
        <f>IF($A1463="",0,IF(COUNTIF($O$2:$O1463,$O1463)=1,1,0))</f>
        <v>0</v>
      </c>
      <c r="Q1463" t="str">
        <f>IF(AND($P1463=1,$A1463=经营数据!$B$3,$J1463=经营数据!$BA$5),COUNTIFS($P$2:$P$3000,1,$A$2:$A$3000,$A1463,$J$2:$J$3000,$J1463,$N$2:$N$3000,"&lt;"&amp;$N1463)+1,"")</f>
        <v/>
      </c>
      <c r="R1463" t="str">
        <f t="shared" si="338"/>
        <v>华安锦江封闭式商业不动产证券投资基金|锦江都城合肥包河包公园店</v>
      </c>
      <c r="S1463">
        <f>IF($A1463="",0,IF(COUNTIF($R$2:$R1463,$R1463)=1,1,0))</f>
        <v>0</v>
      </c>
      <c r="T1463">
        <f t="shared" si="339"/>
        <v>1453</v>
      </c>
      <c r="U1463" t="str">
        <f>IF($A1463="","",IF($A1463=经营数据!$B$3,COUNTIFS($S$2:$S$3000,1,$A$2:$A$3000,$A1463,$T$2:$T$3000,"&lt;"&amp;$T1463)+1,""))</f>
        <v/>
      </c>
      <c r="V1463" t="str">
        <f t="shared" si="340"/>
        <v>锦江都城合肥包河包公园店|服务量</v>
      </c>
      <c r="W1463">
        <f t="shared" si="341"/>
        <v>1453</v>
      </c>
      <c r="X1463" t="str">
        <f t="shared" si="342"/>
        <v>锦江都城合肥包河包公园店|平均房价</v>
      </c>
      <c r="Y1463">
        <f t="shared" si="343"/>
        <v>1453</v>
      </c>
      <c r="Z1463">
        <f>IF($A1463="",0,IF(AND($M1463=1,$A1463=经营数据!$B$3,$J1463=经营数据!$BA$5,OR($I1463=经营数据!$BA$4,COUNTIF(经营数据!$AA$9:$AA$38,$I1463)&gt;0)),1,0))</f>
        <v>0</v>
      </c>
      <c r="AA1463" t="str">
        <f t="shared" si="344"/>
        <v/>
      </c>
      <c r="AB1463" t="str">
        <f t="shared" si="345"/>
        <v/>
      </c>
      <c r="AC1463">
        <f>IF($A1463="",0,IF(COUNTIF($A$2:$A1463,$A1463)=1,1,0))</f>
        <v>0</v>
      </c>
      <c r="AD1463">
        <f t="shared" si="346"/>
        <v>18</v>
      </c>
      <c r="AE1463" t="str">
        <f t="shared" si="347"/>
        <v>锦江都城合肥包河包公园店|平均房价（元/间）</v>
      </c>
    </row>
    <row r="1464" spans="1:31" x14ac:dyDescent="0.4">
      <c r="A1464" t="str">
        <f>IF(原始经营数据!$D1465="","",原始经营数据!$D1465)</f>
        <v>华安锦江封闭式商业不动产证券投资基金</v>
      </c>
      <c r="B1464" t="str">
        <f>IF(原始经营数据!$D1465="","",T(原始经营数据!$E1465))</f>
        <v>锦江都城合肥包河包公园店</v>
      </c>
      <c r="C1464" t="str">
        <f>IF(原始经营数据!$D1465="","",原始经营数据!$F1465)</f>
        <v>2025</v>
      </c>
      <c r="D1464" t="str">
        <f>IF(原始经营数据!$D1465="","",原始经营数据!$H1465)</f>
        <v>平均入住率</v>
      </c>
      <c r="E1464">
        <f>IF(原始经营数据!$D1465="","",原始经营数据!$I1465)</f>
        <v>45.12</v>
      </c>
      <c r="F1464" t="str">
        <f>IF(原始经营数据!$D1465="","",T(原始经营数据!$J1465))</f>
        <v>%</v>
      </c>
      <c r="G1464" t="str">
        <f>IF(原始经营数据!$D1465="","",T(原始经营数据!$K1465))</f>
        <v/>
      </c>
      <c r="H1464" t="str">
        <f>IF(原始经营数据!$D1465="","",原始经营数据!$G1465)</f>
        <v>服务量</v>
      </c>
      <c r="I1464" t="str">
        <f>IF($A1464="","",IF($B1464&lt;&gt;"",$B1464,IF(COUNTIFS(原始经营数据!$D$3:$D$3001,$A1464,原始经营数据!$E$3:$E$3001,"",原始经营数据!$F$3:$F$3001,$C1464,原始经营数据!$H$3:$H$3001,$D1464,原始经营数据!$K$3:$K$3001,$G1464)&gt;1,"基金整体·来源"&amp;原始经营数据!$A1465,"基金整体")))</f>
        <v>锦江都城合肥包河包公园店</v>
      </c>
      <c r="J1464" t="str">
        <f t="shared" si="333"/>
        <v>年度</v>
      </c>
      <c r="K1464" t="str">
        <f t="shared" si="334"/>
        <v>平均入住率（%）</v>
      </c>
      <c r="L1464" t="str">
        <f t="shared" si="335"/>
        <v>锦江都城合肥包河包公园店|平均入住率（%）|年度</v>
      </c>
      <c r="M1464">
        <f>IF($A1464="",0,IF(COUNTIF($L$2:$L1464,$L1464)=1,1,0))</f>
        <v>0</v>
      </c>
      <c r="N1464">
        <f t="shared" si="336"/>
        <v>20250</v>
      </c>
      <c r="O1464" t="str">
        <f t="shared" si="337"/>
        <v>华安锦江封闭式商业不动产证券投资基金|2025|年度</v>
      </c>
      <c r="P1464">
        <f>IF($A1464="",0,IF(COUNTIF($O$2:$O1464,$O1464)=1,1,0))</f>
        <v>0</v>
      </c>
      <c r="Q1464" t="str">
        <f>IF(AND($P1464=1,$A1464=经营数据!$B$3,$J1464=经营数据!$BA$5),COUNTIFS($P$2:$P$3000,1,$A$2:$A$3000,$A1464,$J$2:$J$3000,$J1464,$N$2:$N$3000,"&lt;"&amp;$N1464)+1,"")</f>
        <v/>
      </c>
      <c r="R1464" t="str">
        <f t="shared" si="338"/>
        <v>华安锦江封闭式商业不动产证券投资基金|锦江都城合肥包河包公园店</v>
      </c>
      <c r="S1464">
        <f>IF($A1464="",0,IF(COUNTIF($R$2:$R1464,$R1464)=1,1,0))</f>
        <v>0</v>
      </c>
      <c r="T1464">
        <f t="shared" si="339"/>
        <v>1453</v>
      </c>
      <c r="U1464" t="str">
        <f>IF($A1464="","",IF($A1464=经营数据!$B$3,COUNTIFS($S$2:$S$3000,1,$A$2:$A$3000,$A1464,$T$2:$T$3000,"&lt;"&amp;$T1464)+1,""))</f>
        <v/>
      </c>
      <c r="V1464" t="str">
        <f t="shared" si="340"/>
        <v>锦江都城合肥包河包公园店|服务量</v>
      </c>
      <c r="W1464">
        <f t="shared" si="341"/>
        <v>1453</v>
      </c>
      <c r="X1464" t="str">
        <f t="shared" si="342"/>
        <v>锦江都城合肥包河包公园店|平均入住率</v>
      </c>
      <c r="Y1464">
        <f t="shared" si="343"/>
        <v>1454</v>
      </c>
      <c r="Z1464">
        <f>IF($A1464="",0,IF(AND($M1464=1,$A1464=经营数据!$B$3,$J1464=经营数据!$BA$5,OR($I1464=经营数据!$BA$4,COUNTIF(经营数据!$AA$9:$AA$38,$I1464)&gt;0)),1,0))</f>
        <v>0</v>
      </c>
      <c r="AA1464" t="str">
        <f t="shared" si="344"/>
        <v/>
      </c>
      <c r="AB1464" t="str">
        <f t="shared" si="345"/>
        <v/>
      </c>
      <c r="AC1464">
        <f>IF($A1464="",0,IF(COUNTIF($A$2:$A1464,$A1464)=1,1,0))</f>
        <v>0</v>
      </c>
      <c r="AD1464">
        <f t="shared" si="346"/>
        <v>18</v>
      </c>
      <c r="AE1464" t="str">
        <f t="shared" si="347"/>
        <v>锦江都城合肥包河包公园店|平均入住率（%）</v>
      </c>
    </row>
    <row r="1465" spans="1:31" x14ac:dyDescent="0.4">
      <c r="A1465" t="str">
        <f>IF(原始经营数据!$D1466="","",原始经营数据!$D1466)</f>
        <v>华安锦江封闭式商业不动产证券投资基金</v>
      </c>
      <c r="B1465" t="str">
        <f>IF(原始经营数据!$D1466="","",T(原始经营数据!$E1466))</f>
        <v>锦江都城合肥包河包公园店</v>
      </c>
      <c r="C1465" t="str">
        <f>IF(原始经营数据!$D1466="","",原始经营数据!$F1466)</f>
        <v>2025</v>
      </c>
      <c r="D1465" t="str">
        <f>IF(原始经营数据!$D1466="","",原始经营数据!$H1466)</f>
        <v>可供房数</v>
      </c>
      <c r="E1465">
        <f>IF(原始经营数据!$D1466="","",原始经营数据!$I1466)</f>
        <v>48487</v>
      </c>
      <c r="F1465" t="str">
        <f>IF(原始经营数据!$D1466="","",T(原始经营数据!$J1466))</f>
        <v>间</v>
      </c>
      <c r="G1465" t="str">
        <f>IF(原始经营数据!$D1466="","",T(原始经营数据!$K1466))</f>
        <v/>
      </c>
      <c r="H1465" t="str">
        <f>IF(原始经营数据!$D1466="","",原始经营数据!$G1466)</f>
        <v>服务量</v>
      </c>
      <c r="I1465" t="str">
        <f>IF($A1465="","",IF($B1465&lt;&gt;"",$B1465,IF(COUNTIFS(原始经营数据!$D$3:$D$3001,$A1465,原始经营数据!$E$3:$E$3001,"",原始经营数据!$F$3:$F$3001,$C1465,原始经营数据!$H$3:$H$3001,$D1465,原始经营数据!$K$3:$K$3001,$G1465)&gt;1,"基金整体·来源"&amp;原始经营数据!$A1466,"基金整体")))</f>
        <v>锦江都城合肥包河包公园店</v>
      </c>
      <c r="J1465" t="str">
        <f t="shared" si="333"/>
        <v>年度</v>
      </c>
      <c r="K1465" t="str">
        <f t="shared" si="334"/>
        <v>可供房数（间）</v>
      </c>
      <c r="L1465" t="str">
        <f t="shared" si="335"/>
        <v>锦江都城合肥包河包公园店|可供房数（间）|年度</v>
      </c>
      <c r="M1465">
        <f>IF($A1465="",0,IF(COUNTIF($L$2:$L1465,$L1465)=1,1,0))</f>
        <v>0</v>
      </c>
      <c r="N1465">
        <f t="shared" si="336"/>
        <v>20250</v>
      </c>
      <c r="O1465" t="str">
        <f t="shared" si="337"/>
        <v>华安锦江封闭式商业不动产证券投资基金|2025|年度</v>
      </c>
      <c r="P1465">
        <f>IF($A1465="",0,IF(COUNTIF($O$2:$O1465,$O1465)=1,1,0))</f>
        <v>0</v>
      </c>
      <c r="Q1465" t="str">
        <f>IF(AND($P1465=1,$A1465=经营数据!$B$3,$J1465=经营数据!$BA$5),COUNTIFS($P$2:$P$3000,1,$A$2:$A$3000,$A1465,$J$2:$J$3000,$J1465,$N$2:$N$3000,"&lt;"&amp;$N1465)+1,"")</f>
        <v/>
      </c>
      <c r="R1465" t="str">
        <f t="shared" si="338"/>
        <v>华安锦江封闭式商业不动产证券投资基金|锦江都城合肥包河包公园店</v>
      </c>
      <c r="S1465">
        <f>IF($A1465="",0,IF(COUNTIF($R$2:$R1465,$R1465)=1,1,0))</f>
        <v>0</v>
      </c>
      <c r="T1465">
        <f t="shared" si="339"/>
        <v>1453</v>
      </c>
      <c r="U1465" t="str">
        <f>IF($A1465="","",IF($A1465=经营数据!$B$3,COUNTIFS($S$2:$S$3000,1,$A$2:$A$3000,$A1465,$T$2:$T$3000,"&lt;"&amp;$T1465)+1,""))</f>
        <v/>
      </c>
      <c r="V1465" t="str">
        <f t="shared" si="340"/>
        <v>锦江都城合肥包河包公园店|服务量</v>
      </c>
      <c r="W1465">
        <f t="shared" si="341"/>
        <v>1453</v>
      </c>
      <c r="X1465" t="str">
        <f t="shared" si="342"/>
        <v>锦江都城合肥包河包公园店|可供房数</v>
      </c>
      <c r="Y1465">
        <f t="shared" si="343"/>
        <v>1455</v>
      </c>
      <c r="Z1465">
        <f>IF($A1465="",0,IF(AND($M1465=1,$A1465=经营数据!$B$3,$J1465=经营数据!$BA$5,OR($I1465=经营数据!$BA$4,COUNTIF(经营数据!$AA$9:$AA$38,$I1465)&gt;0)),1,0))</f>
        <v>0</v>
      </c>
      <c r="AA1465" t="str">
        <f t="shared" si="344"/>
        <v/>
      </c>
      <c r="AB1465" t="str">
        <f t="shared" si="345"/>
        <v/>
      </c>
      <c r="AC1465">
        <f>IF($A1465="",0,IF(COUNTIF($A$2:$A1465,$A1465)=1,1,0))</f>
        <v>0</v>
      </c>
      <c r="AD1465">
        <f t="shared" si="346"/>
        <v>18</v>
      </c>
      <c r="AE1465" t="str">
        <f t="shared" si="347"/>
        <v>锦江都城合肥包河包公园店|可供房数（间）</v>
      </c>
    </row>
    <row r="1466" spans="1:31" x14ac:dyDescent="0.4">
      <c r="A1466" t="str">
        <f>IF(原始经营数据!$D1467="","",原始经营数据!$D1467)</f>
        <v>华安锦江封闭式商业不动产证券投资基金</v>
      </c>
      <c r="B1466" t="str">
        <f>IF(原始经营数据!$D1467="","",T(原始经营数据!$E1467))</f>
        <v>锦江都城合肥政务中心店</v>
      </c>
      <c r="C1466" t="str">
        <f>IF(原始经营数据!$D1467="","",原始经营数据!$F1467)</f>
        <v>2022</v>
      </c>
      <c r="D1466" t="str">
        <f>IF(原始经营数据!$D1467="","",原始经营数据!$H1467)</f>
        <v>平均房价</v>
      </c>
      <c r="E1466">
        <f>IF(原始经营数据!$D1467="","",原始经营数据!$I1467)</f>
        <v>242.01</v>
      </c>
      <c r="F1466" t="str">
        <f>IF(原始经营数据!$D1467="","",T(原始经营数据!$J1467))</f>
        <v>元/间</v>
      </c>
      <c r="G1466" t="str">
        <f>IF(原始经营数据!$D1467="","",T(原始经营数据!$K1467))</f>
        <v/>
      </c>
      <c r="H1466" t="str">
        <f>IF(原始经营数据!$D1467="","",原始经营数据!$G1467)</f>
        <v>服务量</v>
      </c>
      <c r="I1466" t="str">
        <f>IF($A1466="","",IF($B1466&lt;&gt;"",$B1466,IF(COUNTIFS(原始经营数据!$D$3:$D$3001,$A1466,原始经营数据!$E$3:$E$3001,"",原始经营数据!$F$3:$F$3001,$C1466,原始经营数据!$H$3:$H$3001,$D1466,原始经营数据!$K$3:$K$3001,$G1466)&gt;1,"基金整体·来源"&amp;原始经营数据!$A1467,"基金整体")))</f>
        <v>锦江都城合肥政务中心店</v>
      </c>
      <c r="J1466" t="str">
        <f t="shared" si="333"/>
        <v>年度</v>
      </c>
      <c r="K1466" t="str">
        <f t="shared" si="334"/>
        <v>平均房价（元/间）</v>
      </c>
      <c r="L1466" t="str">
        <f t="shared" si="335"/>
        <v>锦江都城合肥政务中心店|平均房价（元/间）|年度</v>
      </c>
      <c r="M1466">
        <f>IF($A1466="",0,IF(COUNTIF($L$2:$L1466,$L1466)=1,1,0))</f>
        <v>1</v>
      </c>
      <c r="N1466">
        <f t="shared" si="336"/>
        <v>20220</v>
      </c>
      <c r="O1466" t="str">
        <f t="shared" si="337"/>
        <v>华安锦江封闭式商业不动产证券投资基金|2022|年度</v>
      </c>
      <c r="P1466">
        <f>IF($A1466="",0,IF(COUNTIF($O$2:$O1466,$O1466)=1,1,0))</f>
        <v>0</v>
      </c>
      <c r="Q1466" t="str">
        <f>IF(AND($P1466=1,$A1466=经营数据!$B$3,$J1466=经营数据!$BA$5),COUNTIFS($P$2:$P$3000,1,$A$2:$A$3000,$A1466,$J$2:$J$3000,$J1466,$N$2:$N$3000,"&lt;"&amp;$N1466)+1,"")</f>
        <v/>
      </c>
      <c r="R1466" t="str">
        <f t="shared" si="338"/>
        <v>华安锦江封闭式商业不动产证券投资基金|锦江都城合肥政务中心店</v>
      </c>
      <c r="S1466">
        <f>IF($A1466="",0,IF(COUNTIF($R$2:$R1466,$R1466)=1,1,0))</f>
        <v>1</v>
      </c>
      <c r="T1466">
        <f t="shared" si="339"/>
        <v>1465</v>
      </c>
      <c r="U1466" t="str">
        <f>IF($A1466="","",IF($A1466=经营数据!$B$3,COUNTIFS($S$2:$S$3000,1,$A$2:$A$3000,$A1466,$T$2:$T$3000,"&lt;"&amp;$T1466)+1,""))</f>
        <v/>
      </c>
      <c r="V1466" t="str">
        <f t="shared" si="340"/>
        <v>锦江都城合肥政务中心店|服务量</v>
      </c>
      <c r="W1466">
        <f t="shared" si="341"/>
        <v>1465</v>
      </c>
      <c r="X1466" t="str">
        <f t="shared" si="342"/>
        <v>锦江都城合肥政务中心店|平均房价</v>
      </c>
      <c r="Y1466">
        <f t="shared" si="343"/>
        <v>1465</v>
      </c>
      <c r="Z1466">
        <f>IF($A1466="",0,IF(AND($M1466=1,$A1466=经营数据!$B$3,$J1466=经营数据!$BA$5,OR($I1466=经营数据!$BA$4,COUNTIF(经营数据!$AA$9:$AA$38,$I1466)&gt;0)),1,0))</f>
        <v>0</v>
      </c>
      <c r="AA1466" t="str">
        <f t="shared" si="344"/>
        <v/>
      </c>
      <c r="AB1466" t="str">
        <f t="shared" si="345"/>
        <v/>
      </c>
      <c r="AC1466">
        <f>IF($A1466="",0,IF(COUNTIF($A$2:$A1466,$A1466)=1,1,0))</f>
        <v>0</v>
      </c>
      <c r="AD1466">
        <f t="shared" si="346"/>
        <v>18</v>
      </c>
      <c r="AE1466" t="str">
        <f t="shared" si="347"/>
        <v>锦江都城合肥政务中心店|平均房价（元/间）</v>
      </c>
    </row>
    <row r="1467" spans="1:31" x14ac:dyDescent="0.4">
      <c r="A1467" t="str">
        <f>IF(原始经营数据!$D1468="","",原始经营数据!$D1468)</f>
        <v>华安锦江封闭式商业不动产证券投资基金</v>
      </c>
      <c r="B1467" t="str">
        <f>IF(原始经营数据!$D1468="","",T(原始经营数据!$E1468))</f>
        <v>锦江都城合肥政务中心店</v>
      </c>
      <c r="C1467" t="str">
        <f>IF(原始经营数据!$D1468="","",原始经营数据!$F1468)</f>
        <v>2022</v>
      </c>
      <c r="D1467" t="str">
        <f>IF(原始经营数据!$D1468="","",原始经营数据!$H1468)</f>
        <v>平均入住率</v>
      </c>
      <c r="E1467">
        <f>IF(原始经营数据!$D1468="","",原始经营数据!$I1468)</f>
        <v>49.16</v>
      </c>
      <c r="F1467" t="str">
        <f>IF(原始经营数据!$D1468="","",T(原始经营数据!$J1468))</f>
        <v>%</v>
      </c>
      <c r="G1467" t="str">
        <f>IF(原始经营数据!$D1468="","",T(原始经营数据!$K1468))</f>
        <v/>
      </c>
      <c r="H1467" t="str">
        <f>IF(原始经营数据!$D1468="","",原始经营数据!$G1468)</f>
        <v>服务量</v>
      </c>
      <c r="I1467" t="str">
        <f>IF($A1467="","",IF($B1467&lt;&gt;"",$B1467,IF(COUNTIFS(原始经营数据!$D$3:$D$3001,$A1467,原始经营数据!$E$3:$E$3001,"",原始经营数据!$F$3:$F$3001,$C1467,原始经营数据!$H$3:$H$3001,$D1467,原始经营数据!$K$3:$K$3001,$G1467)&gt;1,"基金整体·来源"&amp;原始经营数据!$A1468,"基金整体")))</f>
        <v>锦江都城合肥政务中心店</v>
      </c>
      <c r="J1467" t="str">
        <f t="shared" si="333"/>
        <v>年度</v>
      </c>
      <c r="K1467" t="str">
        <f t="shared" si="334"/>
        <v>平均入住率（%）</v>
      </c>
      <c r="L1467" t="str">
        <f t="shared" si="335"/>
        <v>锦江都城合肥政务中心店|平均入住率（%）|年度</v>
      </c>
      <c r="M1467">
        <f>IF($A1467="",0,IF(COUNTIF($L$2:$L1467,$L1467)=1,1,0))</f>
        <v>1</v>
      </c>
      <c r="N1467">
        <f t="shared" si="336"/>
        <v>20220</v>
      </c>
      <c r="O1467" t="str">
        <f t="shared" si="337"/>
        <v>华安锦江封闭式商业不动产证券投资基金|2022|年度</v>
      </c>
      <c r="P1467">
        <f>IF($A1467="",0,IF(COUNTIF($O$2:$O1467,$O1467)=1,1,0))</f>
        <v>0</v>
      </c>
      <c r="Q1467" t="str">
        <f>IF(AND($P1467=1,$A1467=经营数据!$B$3,$J1467=经营数据!$BA$5),COUNTIFS($P$2:$P$3000,1,$A$2:$A$3000,$A1467,$J$2:$J$3000,$J1467,$N$2:$N$3000,"&lt;"&amp;$N1467)+1,"")</f>
        <v/>
      </c>
      <c r="R1467" t="str">
        <f t="shared" si="338"/>
        <v>华安锦江封闭式商业不动产证券投资基金|锦江都城合肥政务中心店</v>
      </c>
      <c r="S1467">
        <f>IF($A1467="",0,IF(COUNTIF($R$2:$R1467,$R1467)=1,1,0))</f>
        <v>0</v>
      </c>
      <c r="T1467">
        <f t="shared" si="339"/>
        <v>1465</v>
      </c>
      <c r="U1467" t="str">
        <f>IF($A1467="","",IF($A1467=经营数据!$B$3,COUNTIFS($S$2:$S$3000,1,$A$2:$A$3000,$A1467,$T$2:$T$3000,"&lt;"&amp;$T1467)+1,""))</f>
        <v/>
      </c>
      <c r="V1467" t="str">
        <f t="shared" si="340"/>
        <v>锦江都城合肥政务中心店|服务量</v>
      </c>
      <c r="W1467">
        <f t="shared" si="341"/>
        <v>1465</v>
      </c>
      <c r="X1467" t="str">
        <f t="shared" si="342"/>
        <v>锦江都城合肥政务中心店|平均入住率</v>
      </c>
      <c r="Y1467">
        <f t="shared" si="343"/>
        <v>1466</v>
      </c>
      <c r="Z1467">
        <f>IF($A1467="",0,IF(AND($M1467=1,$A1467=经营数据!$B$3,$J1467=经营数据!$BA$5,OR($I1467=经营数据!$BA$4,COUNTIF(经营数据!$AA$9:$AA$38,$I1467)&gt;0)),1,0))</f>
        <v>0</v>
      </c>
      <c r="AA1467" t="str">
        <f t="shared" si="344"/>
        <v/>
      </c>
      <c r="AB1467" t="str">
        <f t="shared" si="345"/>
        <v/>
      </c>
      <c r="AC1467">
        <f>IF($A1467="",0,IF(COUNTIF($A$2:$A1467,$A1467)=1,1,0))</f>
        <v>0</v>
      </c>
      <c r="AD1467">
        <f t="shared" si="346"/>
        <v>18</v>
      </c>
      <c r="AE1467" t="str">
        <f t="shared" si="347"/>
        <v>锦江都城合肥政务中心店|平均入住率（%）</v>
      </c>
    </row>
    <row r="1468" spans="1:31" x14ac:dyDescent="0.4">
      <c r="A1468" t="str">
        <f>IF(原始经营数据!$D1469="","",原始经营数据!$D1469)</f>
        <v>华安锦江封闭式商业不动产证券投资基金</v>
      </c>
      <c r="B1468" t="str">
        <f>IF(原始经营数据!$D1469="","",T(原始经营数据!$E1469))</f>
        <v>锦江都城合肥政务中心店</v>
      </c>
      <c r="C1468" t="str">
        <f>IF(原始经营数据!$D1469="","",原始经营数据!$F1469)</f>
        <v>2022</v>
      </c>
      <c r="D1468" t="str">
        <f>IF(原始经营数据!$D1469="","",原始经营数据!$H1469)</f>
        <v>可供房数</v>
      </c>
      <c r="E1468">
        <f>IF(原始经营数据!$D1469="","",原始经营数据!$I1469)</f>
        <v>58340</v>
      </c>
      <c r="F1468" t="str">
        <f>IF(原始经营数据!$D1469="","",T(原始经营数据!$J1469))</f>
        <v>间</v>
      </c>
      <c r="G1468" t="str">
        <f>IF(原始经营数据!$D1469="","",T(原始经营数据!$K1469))</f>
        <v/>
      </c>
      <c r="H1468" t="str">
        <f>IF(原始经营数据!$D1469="","",原始经营数据!$G1469)</f>
        <v>服务量</v>
      </c>
      <c r="I1468" t="str">
        <f>IF($A1468="","",IF($B1468&lt;&gt;"",$B1468,IF(COUNTIFS(原始经营数据!$D$3:$D$3001,$A1468,原始经营数据!$E$3:$E$3001,"",原始经营数据!$F$3:$F$3001,$C1468,原始经营数据!$H$3:$H$3001,$D1468,原始经营数据!$K$3:$K$3001,$G1468)&gt;1,"基金整体·来源"&amp;原始经营数据!$A1469,"基金整体")))</f>
        <v>锦江都城合肥政务中心店</v>
      </c>
      <c r="J1468" t="str">
        <f t="shared" si="333"/>
        <v>年度</v>
      </c>
      <c r="K1468" t="str">
        <f t="shared" si="334"/>
        <v>可供房数（间）</v>
      </c>
      <c r="L1468" t="str">
        <f t="shared" si="335"/>
        <v>锦江都城合肥政务中心店|可供房数（间）|年度</v>
      </c>
      <c r="M1468">
        <f>IF($A1468="",0,IF(COUNTIF($L$2:$L1468,$L1468)=1,1,0))</f>
        <v>1</v>
      </c>
      <c r="N1468">
        <f t="shared" si="336"/>
        <v>20220</v>
      </c>
      <c r="O1468" t="str">
        <f t="shared" si="337"/>
        <v>华安锦江封闭式商业不动产证券投资基金|2022|年度</v>
      </c>
      <c r="P1468">
        <f>IF($A1468="",0,IF(COUNTIF($O$2:$O1468,$O1468)=1,1,0))</f>
        <v>0</v>
      </c>
      <c r="Q1468" t="str">
        <f>IF(AND($P1468=1,$A1468=经营数据!$B$3,$J1468=经营数据!$BA$5),COUNTIFS($P$2:$P$3000,1,$A$2:$A$3000,$A1468,$J$2:$J$3000,$J1468,$N$2:$N$3000,"&lt;"&amp;$N1468)+1,"")</f>
        <v/>
      </c>
      <c r="R1468" t="str">
        <f t="shared" si="338"/>
        <v>华安锦江封闭式商业不动产证券投资基金|锦江都城合肥政务中心店</v>
      </c>
      <c r="S1468">
        <f>IF($A1468="",0,IF(COUNTIF($R$2:$R1468,$R1468)=1,1,0))</f>
        <v>0</v>
      </c>
      <c r="T1468">
        <f t="shared" si="339"/>
        <v>1465</v>
      </c>
      <c r="U1468" t="str">
        <f>IF($A1468="","",IF($A1468=经营数据!$B$3,COUNTIFS($S$2:$S$3000,1,$A$2:$A$3000,$A1468,$T$2:$T$3000,"&lt;"&amp;$T1468)+1,""))</f>
        <v/>
      </c>
      <c r="V1468" t="str">
        <f t="shared" si="340"/>
        <v>锦江都城合肥政务中心店|服务量</v>
      </c>
      <c r="W1468">
        <f t="shared" si="341"/>
        <v>1465</v>
      </c>
      <c r="X1468" t="str">
        <f t="shared" si="342"/>
        <v>锦江都城合肥政务中心店|可供房数</v>
      </c>
      <c r="Y1468">
        <f t="shared" si="343"/>
        <v>1467</v>
      </c>
      <c r="Z1468">
        <f>IF($A1468="",0,IF(AND($M1468=1,$A1468=经营数据!$B$3,$J1468=经营数据!$BA$5,OR($I1468=经营数据!$BA$4,COUNTIF(经营数据!$AA$9:$AA$38,$I1468)&gt;0)),1,0))</f>
        <v>0</v>
      </c>
      <c r="AA1468" t="str">
        <f t="shared" si="344"/>
        <v/>
      </c>
      <c r="AB1468" t="str">
        <f t="shared" si="345"/>
        <v/>
      </c>
      <c r="AC1468">
        <f>IF($A1468="",0,IF(COUNTIF($A$2:$A1468,$A1468)=1,1,0))</f>
        <v>0</v>
      </c>
      <c r="AD1468">
        <f t="shared" si="346"/>
        <v>18</v>
      </c>
      <c r="AE1468" t="str">
        <f t="shared" si="347"/>
        <v>锦江都城合肥政务中心店|可供房数（间）</v>
      </c>
    </row>
    <row r="1469" spans="1:31" x14ac:dyDescent="0.4">
      <c r="A1469" t="str">
        <f>IF(原始经营数据!$D1470="","",原始经营数据!$D1470)</f>
        <v>华安锦江封闭式商业不动产证券投资基金</v>
      </c>
      <c r="B1469" t="str">
        <f>IF(原始经营数据!$D1470="","",T(原始经营数据!$E1470))</f>
        <v>锦江都城合肥政务中心店</v>
      </c>
      <c r="C1469" t="str">
        <f>IF(原始经营数据!$D1470="","",原始经营数据!$F1470)</f>
        <v>2023</v>
      </c>
      <c r="D1469" t="str">
        <f>IF(原始经营数据!$D1470="","",原始经营数据!$H1470)</f>
        <v>平均房价</v>
      </c>
      <c r="E1469">
        <f>IF(原始经营数据!$D1470="","",原始经营数据!$I1470)</f>
        <v>265.13</v>
      </c>
      <c r="F1469" t="str">
        <f>IF(原始经营数据!$D1470="","",T(原始经营数据!$J1470))</f>
        <v>元/间</v>
      </c>
      <c r="G1469" t="str">
        <f>IF(原始经营数据!$D1470="","",T(原始经营数据!$K1470))</f>
        <v/>
      </c>
      <c r="H1469" t="str">
        <f>IF(原始经营数据!$D1470="","",原始经营数据!$G1470)</f>
        <v>服务量</v>
      </c>
      <c r="I1469" t="str">
        <f>IF($A1469="","",IF($B1469&lt;&gt;"",$B1469,IF(COUNTIFS(原始经营数据!$D$3:$D$3001,$A1469,原始经营数据!$E$3:$E$3001,"",原始经营数据!$F$3:$F$3001,$C1469,原始经营数据!$H$3:$H$3001,$D1469,原始经营数据!$K$3:$K$3001,$G1469)&gt;1,"基金整体·来源"&amp;原始经营数据!$A1470,"基金整体")))</f>
        <v>锦江都城合肥政务中心店</v>
      </c>
      <c r="J1469" t="str">
        <f t="shared" si="333"/>
        <v>年度</v>
      </c>
      <c r="K1469" t="str">
        <f t="shared" si="334"/>
        <v>平均房价（元/间）</v>
      </c>
      <c r="L1469" t="str">
        <f t="shared" si="335"/>
        <v>锦江都城合肥政务中心店|平均房价（元/间）|年度</v>
      </c>
      <c r="M1469">
        <f>IF($A1469="",0,IF(COUNTIF($L$2:$L1469,$L1469)=1,1,0))</f>
        <v>0</v>
      </c>
      <c r="N1469">
        <f t="shared" si="336"/>
        <v>20230</v>
      </c>
      <c r="O1469" t="str">
        <f t="shared" si="337"/>
        <v>华安锦江封闭式商业不动产证券投资基金|2023|年度</v>
      </c>
      <c r="P1469">
        <f>IF($A1469="",0,IF(COUNTIF($O$2:$O1469,$O1469)=1,1,0))</f>
        <v>0</v>
      </c>
      <c r="Q1469" t="str">
        <f>IF(AND($P1469=1,$A1469=经营数据!$B$3,$J1469=经营数据!$BA$5),COUNTIFS($P$2:$P$3000,1,$A$2:$A$3000,$A1469,$J$2:$J$3000,$J1469,$N$2:$N$3000,"&lt;"&amp;$N1469)+1,"")</f>
        <v/>
      </c>
      <c r="R1469" t="str">
        <f t="shared" si="338"/>
        <v>华安锦江封闭式商业不动产证券投资基金|锦江都城合肥政务中心店</v>
      </c>
      <c r="S1469">
        <f>IF($A1469="",0,IF(COUNTIF($R$2:$R1469,$R1469)=1,1,0))</f>
        <v>0</v>
      </c>
      <c r="T1469">
        <f t="shared" si="339"/>
        <v>1465</v>
      </c>
      <c r="U1469" t="str">
        <f>IF($A1469="","",IF($A1469=经营数据!$B$3,COUNTIFS($S$2:$S$3000,1,$A$2:$A$3000,$A1469,$T$2:$T$3000,"&lt;"&amp;$T1469)+1,""))</f>
        <v/>
      </c>
      <c r="V1469" t="str">
        <f t="shared" si="340"/>
        <v>锦江都城合肥政务中心店|服务量</v>
      </c>
      <c r="W1469">
        <f t="shared" si="341"/>
        <v>1465</v>
      </c>
      <c r="X1469" t="str">
        <f t="shared" si="342"/>
        <v>锦江都城合肥政务中心店|平均房价</v>
      </c>
      <c r="Y1469">
        <f t="shared" si="343"/>
        <v>1465</v>
      </c>
      <c r="Z1469">
        <f>IF($A1469="",0,IF(AND($M1469=1,$A1469=经营数据!$B$3,$J1469=经营数据!$BA$5,OR($I1469=经营数据!$BA$4,COUNTIF(经营数据!$AA$9:$AA$38,$I1469)&gt;0)),1,0))</f>
        <v>0</v>
      </c>
      <c r="AA1469" t="str">
        <f t="shared" si="344"/>
        <v/>
      </c>
      <c r="AB1469" t="str">
        <f t="shared" si="345"/>
        <v/>
      </c>
      <c r="AC1469">
        <f>IF($A1469="",0,IF(COUNTIF($A$2:$A1469,$A1469)=1,1,0))</f>
        <v>0</v>
      </c>
      <c r="AD1469">
        <f t="shared" si="346"/>
        <v>18</v>
      </c>
      <c r="AE1469" t="str">
        <f t="shared" si="347"/>
        <v>锦江都城合肥政务中心店|平均房价（元/间）</v>
      </c>
    </row>
    <row r="1470" spans="1:31" x14ac:dyDescent="0.4">
      <c r="A1470" t="str">
        <f>IF(原始经营数据!$D1471="","",原始经营数据!$D1471)</f>
        <v>华安锦江封闭式商业不动产证券投资基金</v>
      </c>
      <c r="B1470" t="str">
        <f>IF(原始经营数据!$D1471="","",T(原始经营数据!$E1471))</f>
        <v>锦江都城合肥政务中心店</v>
      </c>
      <c r="C1470" t="str">
        <f>IF(原始经营数据!$D1471="","",原始经营数据!$F1471)</f>
        <v>2023</v>
      </c>
      <c r="D1470" t="str">
        <f>IF(原始经营数据!$D1471="","",原始经营数据!$H1471)</f>
        <v>平均入住率</v>
      </c>
      <c r="E1470">
        <f>IF(原始经营数据!$D1471="","",原始经营数据!$I1471)</f>
        <v>69.489999999999995</v>
      </c>
      <c r="F1470" t="str">
        <f>IF(原始经营数据!$D1471="","",T(原始经营数据!$J1471))</f>
        <v>%</v>
      </c>
      <c r="G1470" t="str">
        <f>IF(原始经营数据!$D1471="","",T(原始经营数据!$K1471))</f>
        <v/>
      </c>
      <c r="H1470" t="str">
        <f>IF(原始经营数据!$D1471="","",原始经营数据!$G1471)</f>
        <v>服务量</v>
      </c>
      <c r="I1470" t="str">
        <f>IF($A1470="","",IF($B1470&lt;&gt;"",$B1470,IF(COUNTIFS(原始经营数据!$D$3:$D$3001,$A1470,原始经营数据!$E$3:$E$3001,"",原始经营数据!$F$3:$F$3001,$C1470,原始经营数据!$H$3:$H$3001,$D1470,原始经营数据!$K$3:$K$3001,$G1470)&gt;1,"基金整体·来源"&amp;原始经营数据!$A1471,"基金整体")))</f>
        <v>锦江都城合肥政务中心店</v>
      </c>
      <c r="J1470" t="str">
        <f t="shared" si="333"/>
        <v>年度</v>
      </c>
      <c r="K1470" t="str">
        <f t="shared" si="334"/>
        <v>平均入住率（%）</v>
      </c>
      <c r="L1470" t="str">
        <f t="shared" si="335"/>
        <v>锦江都城合肥政务中心店|平均入住率（%）|年度</v>
      </c>
      <c r="M1470">
        <f>IF($A1470="",0,IF(COUNTIF($L$2:$L1470,$L1470)=1,1,0))</f>
        <v>0</v>
      </c>
      <c r="N1470">
        <f t="shared" si="336"/>
        <v>20230</v>
      </c>
      <c r="O1470" t="str">
        <f t="shared" si="337"/>
        <v>华安锦江封闭式商业不动产证券投资基金|2023|年度</v>
      </c>
      <c r="P1470">
        <f>IF($A1470="",0,IF(COUNTIF($O$2:$O1470,$O1470)=1,1,0))</f>
        <v>0</v>
      </c>
      <c r="Q1470" t="str">
        <f>IF(AND($P1470=1,$A1470=经营数据!$B$3,$J1470=经营数据!$BA$5),COUNTIFS($P$2:$P$3000,1,$A$2:$A$3000,$A1470,$J$2:$J$3000,$J1470,$N$2:$N$3000,"&lt;"&amp;$N1470)+1,"")</f>
        <v/>
      </c>
      <c r="R1470" t="str">
        <f t="shared" si="338"/>
        <v>华安锦江封闭式商业不动产证券投资基金|锦江都城合肥政务中心店</v>
      </c>
      <c r="S1470">
        <f>IF($A1470="",0,IF(COUNTIF($R$2:$R1470,$R1470)=1,1,0))</f>
        <v>0</v>
      </c>
      <c r="T1470">
        <f t="shared" si="339"/>
        <v>1465</v>
      </c>
      <c r="U1470" t="str">
        <f>IF($A1470="","",IF($A1470=经营数据!$B$3,COUNTIFS($S$2:$S$3000,1,$A$2:$A$3000,$A1470,$T$2:$T$3000,"&lt;"&amp;$T1470)+1,""))</f>
        <v/>
      </c>
      <c r="V1470" t="str">
        <f t="shared" si="340"/>
        <v>锦江都城合肥政务中心店|服务量</v>
      </c>
      <c r="W1470">
        <f t="shared" si="341"/>
        <v>1465</v>
      </c>
      <c r="X1470" t="str">
        <f t="shared" si="342"/>
        <v>锦江都城合肥政务中心店|平均入住率</v>
      </c>
      <c r="Y1470">
        <f t="shared" si="343"/>
        <v>1466</v>
      </c>
      <c r="Z1470">
        <f>IF($A1470="",0,IF(AND($M1470=1,$A1470=经营数据!$B$3,$J1470=经营数据!$BA$5,OR($I1470=经营数据!$BA$4,COUNTIF(经营数据!$AA$9:$AA$38,$I1470)&gt;0)),1,0))</f>
        <v>0</v>
      </c>
      <c r="AA1470" t="str">
        <f t="shared" si="344"/>
        <v/>
      </c>
      <c r="AB1470" t="str">
        <f t="shared" si="345"/>
        <v/>
      </c>
      <c r="AC1470">
        <f>IF($A1470="",0,IF(COUNTIF($A$2:$A1470,$A1470)=1,1,0))</f>
        <v>0</v>
      </c>
      <c r="AD1470">
        <f t="shared" si="346"/>
        <v>18</v>
      </c>
      <c r="AE1470" t="str">
        <f t="shared" si="347"/>
        <v>锦江都城合肥政务中心店|平均入住率（%）</v>
      </c>
    </row>
    <row r="1471" spans="1:31" x14ac:dyDescent="0.4">
      <c r="A1471" t="str">
        <f>IF(原始经营数据!$D1472="","",原始经营数据!$D1472)</f>
        <v>华安锦江封闭式商业不动产证券投资基金</v>
      </c>
      <c r="B1471" t="str">
        <f>IF(原始经营数据!$D1472="","",T(原始经营数据!$E1472))</f>
        <v>锦江都城合肥政务中心店</v>
      </c>
      <c r="C1471" t="str">
        <f>IF(原始经营数据!$D1472="","",原始经营数据!$F1472)</f>
        <v>2023</v>
      </c>
      <c r="D1471" t="str">
        <f>IF(原始经营数据!$D1472="","",原始经营数据!$H1472)</f>
        <v>可供房数</v>
      </c>
      <c r="E1471">
        <f>IF(原始经营数据!$D1472="","",原始经营数据!$I1472)</f>
        <v>53732</v>
      </c>
      <c r="F1471" t="str">
        <f>IF(原始经营数据!$D1472="","",T(原始经营数据!$J1472))</f>
        <v>间</v>
      </c>
      <c r="G1471" t="str">
        <f>IF(原始经营数据!$D1472="","",T(原始经营数据!$K1472))</f>
        <v/>
      </c>
      <c r="H1471" t="str">
        <f>IF(原始经营数据!$D1472="","",原始经营数据!$G1472)</f>
        <v>服务量</v>
      </c>
      <c r="I1471" t="str">
        <f>IF($A1471="","",IF($B1471&lt;&gt;"",$B1471,IF(COUNTIFS(原始经营数据!$D$3:$D$3001,$A1471,原始经营数据!$E$3:$E$3001,"",原始经营数据!$F$3:$F$3001,$C1471,原始经营数据!$H$3:$H$3001,$D1471,原始经营数据!$K$3:$K$3001,$G1471)&gt;1,"基金整体·来源"&amp;原始经营数据!$A1472,"基金整体")))</f>
        <v>锦江都城合肥政务中心店</v>
      </c>
      <c r="J1471" t="str">
        <f t="shared" si="333"/>
        <v>年度</v>
      </c>
      <c r="K1471" t="str">
        <f t="shared" si="334"/>
        <v>可供房数（间）</v>
      </c>
      <c r="L1471" t="str">
        <f t="shared" si="335"/>
        <v>锦江都城合肥政务中心店|可供房数（间）|年度</v>
      </c>
      <c r="M1471">
        <f>IF($A1471="",0,IF(COUNTIF($L$2:$L1471,$L1471)=1,1,0))</f>
        <v>0</v>
      </c>
      <c r="N1471">
        <f t="shared" si="336"/>
        <v>20230</v>
      </c>
      <c r="O1471" t="str">
        <f t="shared" si="337"/>
        <v>华安锦江封闭式商业不动产证券投资基金|2023|年度</v>
      </c>
      <c r="P1471">
        <f>IF($A1471="",0,IF(COUNTIF($O$2:$O1471,$O1471)=1,1,0))</f>
        <v>0</v>
      </c>
      <c r="Q1471" t="str">
        <f>IF(AND($P1471=1,$A1471=经营数据!$B$3,$J1471=经营数据!$BA$5),COUNTIFS($P$2:$P$3000,1,$A$2:$A$3000,$A1471,$J$2:$J$3000,$J1471,$N$2:$N$3000,"&lt;"&amp;$N1471)+1,"")</f>
        <v/>
      </c>
      <c r="R1471" t="str">
        <f t="shared" si="338"/>
        <v>华安锦江封闭式商业不动产证券投资基金|锦江都城合肥政务中心店</v>
      </c>
      <c r="S1471">
        <f>IF($A1471="",0,IF(COUNTIF($R$2:$R1471,$R1471)=1,1,0))</f>
        <v>0</v>
      </c>
      <c r="T1471">
        <f t="shared" si="339"/>
        <v>1465</v>
      </c>
      <c r="U1471" t="str">
        <f>IF($A1471="","",IF($A1471=经营数据!$B$3,COUNTIFS($S$2:$S$3000,1,$A$2:$A$3000,$A1471,$T$2:$T$3000,"&lt;"&amp;$T1471)+1,""))</f>
        <v/>
      </c>
      <c r="V1471" t="str">
        <f t="shared" si="340"/>
        <v>锦江都城合肥政务中心店|服务量</v>
      </c>
      <c r="W1471">
        <f t="shared" si="341"/>
        <v>1465</v>
      </c>
      <c r="X1471" t="str">
        <f t="shared" si="342"/>
        <v>锦江都城合肥政务中心店|可供房数</v>
      </c>
      <c r="Y1471">
        <f t="shared" si="343"/>
        <v>1467</v>
      </c>
      <c r="Z1471">
        <f>IF($A1471="",0,IF(AND($M1471=1,$A1471=经营数据!$B$3,$J1471=经营数据!$BA$5,OR($I1471=经营数据!$BA$4,COUNTIF(经营数据!$AA$9:$AA$38,$I1471)&gt;0)),1,0))</f>
        <v>0</v>
      </c>
      <c r="AA1471" t="str">
        <f t="shared" si="344"/>
        <v/>
      </c>
      <c r="AB1471" t="str">
        <f t="shared" si="345"/>
        <v/>
      </c>
      <c r="AC1471">
        <f>IF($A1471="",0,IF(COUNTIF($A$2:$A1471,$A1471)=1,1,0))</f>
        <v>0</v>
      </c>
      <c r="AD1471">
        <f t="shared" si="346"/>
        <v>18</v>
      </c>
      <c r="AE1471" t="str">
        <f t="shared" si="347"/>
        <v>锦江都城合肥政务中心店|可供房数（间）</v>
      </c>
    </row>
    <row r="1472" spans="1:31" x14ac:dyDescent="0.4">
      <c r="A1472" t="str">
        <f>IF(原始经营数据!$D1473="","",原始经营数据!$D1473)</f>
        <v>华安锦江封闭式商业不动产证券投资基金</v>
      </c>
      <c r="B1472" t="str">
        <f>IF(原始经营数据!$D1473="","",T(原始经营数据!$E1473))</f>
        <v>锦江都城合肥政务中心店</v>
      </c>
      <c r="C1472" t="str">
        <f>IF(原始经营数据!$D1473="","",原始经营数据!$F1473)</f>
        <v>2024</v>
      </c>
      <c r="D1472" t="str">
        <f>IF(原始经营数据!$D1473="","",原始经营数据!$H1473)</f>
        <v>平均房价</v>
      </c>
      <c r="E1472">
        <f>IF(原始经营数据!$D1473="","",原始经营数据!$I1473)</f>
        <v>259.58</v>
      </c>
      <c r="F1472" t="str">
        <f>IF(原始经营数据!$D1473="","",T(原始经营数据!$J1473))</f>
        <v>元/间</v>
      </c>
      <c r="G1472" t="str">
        <f>IF(原始经营数据!$D1473="","",T(原始经营数据!$K1473))</f>
        <v/>
      </c>
      <c r="H1472" t="str">
        <f>IF(原始经营数据!$D1473="","",原始经营数据!$G1473)</f>
        <v>服务量</v>
      </c>
      <c r="I1472" t="str">
        <f>IF($A1472="","",IF($B1472&lt;&gt;"",$B1472,IF(COUNTIFS(原始经营数据!$D$3:$D$3001,$A1472,原始经营数据!$E$3:$E$3001,"",原始经营数据!$F$3:$F$3001,$C1472,原始经营数据!$H$3:$H$3001,$D1472,原始经营数据!$K$3:$K$3001,$G1472)&gt;1,"基金整体·来源"&amp;原始经营数据!$A1473,"基金整体")))</f>
        <v>锦江都城合肥政务中心店</v>
      </c>
      <c r="J1472" t="str">
        <f t="shared" si="333"/>
        <v>年度</v>
      </c>
      <c r="K1472" t="str">
        <f t="shared" si="334"/>
        <v>平均房价（元/间）</v>
      </c>
      <c r="L1472" t="str">
        <f t="shared" si="335"/>
        <v>锦江都城合肥政务中心店|平均房价（元/间）|年度</v>
      </c>
      <c r="M1472">
        <f>IF($A1472="",0,IF(COUNTIF($L$2:$L1472,$L1472)=1,1,0))</f>
        <v>0</v>
      </c>
      <c r="N1472">
        <f t="shared" si="336"/>
        <v>20240</v>
      </c>
      <c r="O1472" t="str">
        <f t="shared" si="337"/>
        <v>华安锦江封闭式商业不动产证券投资基金|2024|年度</v>
      </c>
      <c r="P1472">
        <f>IF($A1472="",0,IF(COUNTIF($O$2:$O1472,$O1472)=1,1,0))</f>
        <v>0</v>
      </c>
      <c r="Q1472" t="str">
        <f>IF(AND($P1472=1,$A1472=经营数据!$B$3,$J1472=经营数据!$BA$5),COUNTIFS($P$2:$P$3000,1,$A$2:$A$3000,$A1472,$J$2:$J$3000,$J1472,$N$2:$N$3000,"&lt;"&amp;$N1472)+1,"")</f>
        <v/>
      </c>
      <c r="R1472" t="str">
        <f t="shared" si="338"/>
        <v>华安锦江封闭式商业不动产证券投资基金|锦江都城合肥政务中心店</v>
      </c>
      <c r="S1472">
        <f>IF($A1472="",0,IF(COUNTIF($R$2:$R1472,$R1472)=1,1,0))</f>
        <v>0</v>
      </c>
      <c r="T1472">
        <f t="shared" si="339"/>
        <v>1465</v>
      </c>
      <c r="U1472" t="str">
        <f>IF($A1472="","",IF($A1472=经营数据!$B$3,COUNTIFS($S$2:$S$3000,1,$A$2:$A$3000,$A1472,$T$2:$T$3000,"&lt;"&amp;$T1472)+1,""))</f>
        <v/>
      </c>
      <c r="V1472" t="str">
        <f t="shared" si="340"/>
        <v>锦江都城合肥政务中心店|服务量</v>
      </c>
      <c r="W1472">
        <f t="shared" si="341"/>
        <v>1465</v>
      </c>
      <c r="X1472" t="str">
        <f t="shared" si="342"/>
        <v>锦江都城合肥政务中心店|平均房价</v>
      </c>
      <c r="Y1472">
        <f t="shared" si="343"/>
        <v>1465</v>
      </c>
      <c r="Z1472">
        <f>IF($A1472="",0,IF(AND($M1472=1,$A1472=经营数据!$B$3,$J1472=经营数据!$BA$5,OR($I1472=经营数据!$BA$4,COUNTIF(经营数据!$AA$9:$AA$38,$I1472)&gt;0)),1,0))</f>
        <v>0</v>
      </c>
      <c r="AA1472" t="str">
        <f t="shared" si="344"/>
        <v/>
      </c>
      <c r="AB1472" t="str">
        <f t="shared" si="345"/>
        <v/>
      </c>
      <c r="AC1472">
        <f>IF($A1472="",0,IF(COUNTIF($A$2:$A1472,$A1472)=1,1,0))</f>
        <v>0</v>
      </c>
      <c r="AD1472">
        <f t="shared" si="346"/>
        <v>18</v>
      </c>
      <c r="AE1472" t="str">
        <f t="shared" si="347"/>
        <v>锦江都城合肥政务中心店|平均房价（元/间）</v>
      </c>
    </row>
    <row r="1473" spans="1:31" x14ac:dyDescent="0.4">
      <c r="A1473" t="str">
        <f>IF(原始经营数据!$D1474="","",原始经营数据!$D1474)</f>
        <v>华安锦江封闭式商业不动产证券投资基金</v>
      </c>
      <c r="B1473" t="str">
        <f>IF(原始经营数据!$D1474="","",T(原始经营数据!$E1474))</f>
        <v>锦江都城合肥政务中心店</v>
      </c>
      <c r="C1473" t="str">
        <f>IF(原始经营数据!$D1474="","",原始经营数据!$F1474)</f>
        <v>2024</v>
      </c>
      <c r="D1473" t="str">
        <f>IF(原始经营数据!$D1474="","",原始经营数据!$H1474)</f>
        <v>平均入住率</v>
      </c>
      <c r="E1473">
        <f>IF(原始经营数据!$D1474="","",原始经营数据!$I1474)</f>
        <v>60.28</v>
      </c>
      <c r="F1473" t="str">
        <f>IF(原始经营数据!$D1474="","",T(原始经营数据!$J1474))</f>
        <v>%</v>
      </c>
      <c r="G1473" t="str">
        <f>IF(原始经营数据!$D1474="","",T(原始经营数据!$K1474))</f>
        <v/>
      </c>
      <c r="H1473" t="str">
        <f>IF(原始经营数据!$D1474="","",原始经营数据!$G1474)</f>
        <v>服务量</v>
      </c>
      <c r="I1473" t="str">
        <f>IF($A1473="","",IF($B1473&lt;&gt;"",$B1473,IF(COUNTIFS(原始经营数据!$D$3:$D$3001,$A1473,原始经营数据!$E$3:$E$3001,"",原始经营数据!$F$3:$F$3001,$C1473,原始经营数据!$H$3:$H$3001,$D1473,原始经营数据!$K$3:$K$3001,$G1473)&gt;1,"基金整体·来源"&amp;原始经营数据!$A1474,"基金整体")))</f>
        <v>锦江都城合肥政务中心店</v>
      </c>
      <c r="J1473" t="str">
        <f t="shared" si="333"/>
        <v>年度</v>
      </c>
      <c r="K1473" t="str">
        <f t="shared" si="334"/>
        <v>平均入住率（%）</v>
      </c>
      <c r="L1473" t="str">
        <f t="shared" si="335"/>
        <v>锦江都城合肥政务中心店|平均入住率（%）|年度</v>
      </c>
      <c r="M1473">
        <f>IF($A1473="",0,IF(COUNTIF($L$2:$L1473,$L1473)=1,1,0))</f>
        <v>0</v>
      </c>
      <c r="N1473">
        <f t="shared" si="336"/>
        <v>20240</v>
      </c>
      <c r="O1473" t="str">
        <f t="shared" si="337"/>
        <v>华安锦江封闭式商业不动产证券投资基金|2024|年度</v>
      </c>
      <c r="P1473">
        <f>IF($A1473="",0,IF(COUNTIF($O$2:$O1473,$O1473)=1,1,0))</f>
        <v>0</v>
      </c>
      <c r="Q1473" t="str">
        <f>IF(AND($P1473=1,$A1473=经营数据!$B$3,$J1473=经营数据!$BA$5),COUNTIFS($P$2:$P$3000,1,$A$2:$A$3000,$A1473,$J$2:$J$3000,$J1473,$N$2:$N$3000,"&lt;"&amp;$N1473)+1,"")</f>
        <v/>
      </c>
      <c r="R1473" t="str">
        <f t="shared" si="338"/>
        <v>华安锦江封闭式商业不动产证券投资基金|锦江都城合肥政务中心店</v>
      </c>
      <c r="S1473">
        <f>IF($A1473="",0,IF(COUNTIF($R$2:$R1473,$R1473)=1,1,0))</f>
        <v>0</v>
      </c>
      <c r="T1473">
        <f t="shared" si="339"/>
        <v>1465</v>
      </c>
      <c r="U1473" t="str">
        <f>IF($A1473="","",IF($A1473=经营数据!$B$3,COUNTIFS($S$2:$S$3000,1,$A$2:$A$3000,$A1473,$T$2:$T$3000,"&lt;"&amp;$T1473)+1,""))</f>
        <v/>
      </c>
      <c r="V1473" t="str">
        <f t="shared" si="340"/>
        <v>锦江都城合肥政务中心店|服务量</v>
      </c>
      <c r="W1473">
        <f t="shared" si="341"/>
        <v>1465</v>
      </c>
      <c r="X1473" t="str">
        <f t="shared" si="342"/>
        <v>锦江都城合肥政务中心店|平均入住率</v>
      </c>
      <c r="Y1473">
        <f t="shared" si="343"/>
        <v>1466</v>
      </c>
      <c r="Z1473">
        <f>IF($A1473="",0,IF(AND($M1473=1,$A1473=经营数据!$B$3,$J1473=经营数据!$BA$5,OR($I1473=经营数据!$BA$4,COUNTIF(经营数据!$AA$9:$AA$38,$I1473)&gt;0)),1,0))</f>
        <v>0</v>
      </c>
      <c r="AA1473" t="str">
        <f t="shared" si="344"/>
        <v/>
      </c>
      <c r="AB1473" t="str">
        <f t="shared" si="345"/>
        <v/>
      </c>
      <c r="AC1473">
        <f>IF($A1473="",0,IF(COUNTIF($A$2:$A1473,$A1473)=1,1,0))</f>
        <v>0</v>
      </c>
      <c r="AD1473">
        <f t="shared" si="346"/>
        <v>18</v>
      </c>
      <c r="AE1473" t="str">
        <f t="shared" si="347"/>
        <v>锦江都城合肥政务中心店|平均入住率（%）</v>
      </c>
    </row>
    <row r="1474" spans="1:31" x14ac:dyDescent="0.4">
      <c r="A1474" t="str">
        <f>IF(原始经营数据!$D1475="","",原始经营数据!$D1475)</f>
        <v>华安锦江封闭式商业不动产证券投资基金</v>
      </c>
      <c r="B1474" t="str">
        <f>IF(原始经营数据!$D1475="","",T(原始经营数据!$E1475))</f>
        <v>锦江都城合肥政务中心店</v>
      </c>
      <c r="C1474" t="str">
        <f>IF(原始经营数据!$D1475="","",原始经营数据!$F1475)</f>
        <v>2024</v>
      </c>
      <c r="D1474" t="str">
        <f>IF(原始经营数据!$D1475="","",原始经营数据!$H1475)</f>
        <v>可供房数</v>
      </c>
      <c r="E1474">
        <f>IF(原始经营数据!$D1475="","",原始经营数据!$I1475)</f>
        <v>7923</v>
      </c>
      <c r="F1474" t="str">
        <f>IF(原始经营数据!$D1475="","",T(原始经营数据!$J1475))</f>
        <v>间</v>
      </c>
      <c r="G1474" t="str">
        <f>IF(原始经营数据!$D1475="","",T(原始经营数据!$K1475))</f>
        <v/>
      </c>
      <c r="H1474" t="str">
        <f>IF(原始经营数据!$D1475="","",原始经营数据!$G1475)</f>
        <v>服务量</v>
      </c>
      <c r="I1474" t="str">
        <f>IF($A1474="","",IF($B1474&lt;&gt;"",$B1474,IF(COUNTIFS(原始经营数据!$D$3:$D$3001,$A1474,原始经营数据!$E$3:$E$3001,"",原始经营数据!$F$3:$F$3001,$C1474,原始经营数据!$H$3:$H$3001,$D1474,原始经营数据!$K$3:$K$3001,$G1474)&gt;1,"基金整体·来源"&amp;原始经营数据!$A1475,"基金整体")))</f>
        <v>锦江都城合肥政务中心店</v>
      </c>
      <c r="J1474" t="str">
        <f t="shared" ref="J1474:J1537" si="348">IF($A1474="","",IF(LEN($C1474)=4,"年度",IF(AND(LEN($C1474)=6,ISNUMBER(SEARCH("Q",$C1474))),"季度","其他期间")))</f>
        <v>年度</v>
      </c>
      <c r="K1474" t="str">
        <f t="shared" ref="K1474:K1537" si="349">IF($A1474="","",$D1474&amp;IF($G1474="","","-"&amp;SUBSTITUTE($G1474,CHAR(10),""))&amp;IF($F1474="","","（"&amp;$F1474&amp;"）"))</f>
        <v>可供房数（间）</v>
      </c>
      <c r="L1474" t="str">
        <f t="shared" ref="L1474:L1537" si="350">IF($A1474="","",$I1474&amp;"|"&amp;$K1474&amp;"|"&amp;$J1474)</f>
        <v>锦江都城合肥政务中心店|可供房数（间）|年度</v>
      </c>
      <c r="M1474">
        <f>IF($A1474="",0,IF(COUNTIF($L$2:$L1474,$L1474)=1,1,0))</f>
        <v>0</v>
      </c>
      <c r="N1474">
        <f t="shared" ref="N1474:N1537" si="351">IF($A1474="","",IF($J1474="年度",VALUE($C1474)*10,IF($J1474="季度",VALUE(LEFT($C1474,4))*10+VALUE(RIGHT($C1474,1)),VALUE(LEFT($C1474,4))*10+9)))</f>
        <v>20240</v>
      </c>
      <c r="O1474" t="str">
        <f t="shared" ref="O1474:O1537" si="352">IF($A1474="","",$A1474&amp;"|"&amp;$C1474&amp;"|"&amp;$J1474)</f>
        <v>华安锦江封闭式商业不动产证券投资基金|2024|年度</v>
      </c>
      <c r="P1474">
        <f>IF($A1474="",0,IF(COUNTIF($O$2:$O1474,$O1474)=1,1,0))</f>
        <v>0</v>
      </c>
      <c r="Q1474" t="str">
        <f>IF(AND($P1474=1,$A1474=经营数据!$B$3,$J1474=经营数据!$BA$5),COUNTIFS($P$2:$P$3000,1,$A$2:$A$3000,$A1474,$J$2:$J$3000,$J1474,$N$2:$N$3000,"&lt;"&amp;$N1474)+1,"")</f>
        <v/>
      </c>
      <c r="R1474" t="str">
        <f t="shared" ref="R1474:R1537" si="353">IF($A1474="","",$A1474&amp;"|"&amp;$I1474)</f>
        <v>华安锦江封闭式商业不动产证券投资基金|锦江都城合肥政务中心店</v>
      </c>
      <c r="S1474">
        <f>IF($A1474="",0,IF(COUNTIF($R$2:$R1474,$R1474)=1,1,0))</f>
        <v>0</v>
      </c>
      <c r="T1474">
        <f t="shared" ref="T1474:T1537" si="354">IF($A1474="","",MATCH($R1474,$R$2:$R$3000,0))</f>
        <v>1465</v>
      </c>
      <c r="U1474" t="str">
        <f>IF($A1474="","",IF($A1474=经营数据!$B$3,COUNTIFS($S$2:$S$3000,1,$A$2:$A$3000,$A1474,$T$2:$T$3000,"&lt;"&amp;$T1474)+1,""))</f>
        <v/>
      </c>
      <c r="V1474" t="str">
        <f t="shared" ref="V1474:V1537" si="355">IF($A1474="","",$I1474&amp;"|"&amp;$H1474)</f>
        <v>锦江都城合肥政务中心店|服务量</v>
      </c>
      <c r="W1474">
        <f t="shared" ref="W1474:W1537" si="356">IF($A1474="","",MATCH($V1474,$V$2:$V$3000,0))</f>
        <v>1465</v>
      </c>
      <c r="X1474" t="str">
        <f t="shared" ref="X1474:X1537" si="357">IF($A1474="","",$I1474&amp;"|"&amp;$D1474)</f>
        <v>锦江都城合肥政务中心店|可供房数</v>
      </c>
      <c r="Y1474">
        <f t="shared" ref="Y1474:Y1537" si="358">IF($A1474="","",MATCH($X1474,$X$2:$X$3000,0))</f>
        <v>1467</v>
      </c>
      <c r="Z1474">
        <f>IF($A1474="",0,IF(AND($M1474=1,$A1474=经营数据!$B$3,$J1474=经营数据!$BA$5,OR($I1474=经营数据!$BA$4,COUNTIF(经营数据!$AA$9:$AA$38,$I1474)&gt;0)),1,0))</f>
        <v>0</v>
      </c>
      <c r="AA1474" t="str">
        <f t="shared" ref="AA1474:AA1537" si="359">IF($Z1474=1,$U1474*1000000000000+$W1474*100000000+$Y1474*10000+ROW(),"")</f>
        <v/>
      </c>
      <c r="AB1474" t="str">
        <f t="shared" ref="AB1474:AB1537" si="360">IF($Z1474=1,COUNTIFS($Z$2:$Z$3000,1,$AA$2:$AA$3000,"&lt;"&amp;$AA1474)+1,"")</f>
        <v/>
      </c>
      <c r="AC1474">
        <f>IF($A1474="",0,IF(COUNTIF($A$2:$A1474,$A1474)=1,1,0))</f>
        <v>0</v>
      </c>
      <c r="AD1474">
        <f t="shared" ref="AD1474:AD1537" si="361">IF($A1474="",N(AD1473),IF($AC1474=1,N(AD1473)+1,N(AD1473)))</f>
        <v>18</v>
      </c>
      <c r="AE1474" t="str">
        <f t="shared" ref="AE1474:AE1537" si="362">IF($A1474="","",$I1474&amp;"|"&amp;$K1474)</f>
        <v>锦江都城合肥政务中心店|可供房数（间）</v>
      </c>
    </row>
    <row r="1475" spans="1:31" x14ac:dyDescent="0.4">
      <c r="A1475" t="str">
        <f>IF(原始经营数据!$D1476="","",原始经营数据!$D1476)</f>
        <v>华安锦江封闭式商业不动产证券投资基金</v>
      </c>
      <c r="B1475" t="str">
        <f>IF(原始经营数据!$D1476="","",T(原始经营数据!$E1476))</f>
        <v>锦江都城合肥政务中心店</v>
      </c>
      <c r="C1475" t="str">
        <f>IF(原始经营数据!$D1476="","",原始经营数据!$F1476)</f>
        <v>2025</v>
      </c>
      <c r="D1475" t="str">
        <f>IF(原始经营数据!$D1476="","",原始经营数据!$H1476)</f>
        <v>平均房价</v>
      </c>
      <c r="E1475">
        <f>IF(原始经营数据!$D1476="","",原始经营数据!$I1476)</f>
        <v>229.04</v>
      </c>
      <c r="F1475" t="str">
        <f>IF(原始经营数据!$D1476="","",T(原始经营数据!$J1476))</f>
        <v>元/间</v>
      </c>
      <c r="G1475" t="str">
        <f>IF(原始经营数据!$D1476="","",T(原始经营数据!$K1476))</f>
        <v/>
      </c>
      <c r="H1475" t="str">
        <f>IF(原始经营数据!$D1476="","",原始经营数据!$G1476)</f>
        <v>服务量</v>
      </c>
      <c r="I1475" t="str">
        <f>IF($A1475="","",IF($B1475&lt;&gt;"",$B1475,IF(COUNTIFS(原始经营数据!$D$3:$D$3001,$A1475,原始经营数据!$E$3:$E$3001,"",原始经营数据!$F$3:$F$3001,$C1475,原始经营数据!$H$3:$H$3001,$D1475,原始经营数据!$K$3:$K$3001,$G1475)&gt;1,"基金整体·来源"&amp;原始经营数据!$A1476,"基金整体")))</f>
        <v>锦江都城合肥政务中心店</v>
      </c>
      <c r="J1475" t="str">
        <f t="shared" si="348"/>
        <v>年度</v>
      </c>
      <c r="K1475" t="str">
        <f t="shared" si="349"/>
        <v>平均房价（元/间）</v>
      </c>
      <c r="L1475" t="str">
        <f t="shared" si="350"/>
        <v>锦江都城合肥政务中心店|平均房价（元/间）|年度</v>
      </c>
      <c r="M1475">
        <f>IF($A1475="",0,IF(COUNTIF($L$2:$L1475,$L1475)=1,1,0))</f>
        <v>0</v>
      </c>
      <c r="N1475">
        <f t="shared" si="351"/>
        <v>20250</v>
      </c>
      <c r="O1475" t="str">
        <f t="shared" si="352"/>
        <v>华安锦江封闭式商业不动产证券投资基金|2025|年度</v>
      </c>
      <c r="P1475">
        <f>IF($A1475="",0,IF(COUNTIF($O$2:$O1475,$O1475)=1,1,0))</f>
        <v>0</v>
      </c>
      <c r="Q1475" t="str">
        <f>IF(AND($P1475=1,$A1475=经营数据!$B$3,$J1475=经营数据!$BA$5),COUNTIFS($P$2:$P$3000,1,$A$2:$A$3000,$A1475,$J$2:$J$3000,$J1475,$N$2:$N$3000,"&lt;"&amp;$N1475)+1,"")</f>
        <v/>
      </c>
      <c r="R1475" t="str">
        <f t="shared" si="353"/>
        <v>华安锦江封闭式商业不动产证券投资基金|锦江都城合肥政务中心店</v>
      </c>
      <c r="S1475">
        <f>IF($A1475="",0,IF(COUNTIF($R$2:$R1475,$R1475)=1,1,0))</f>
        <v>0</v>
      </c>
      <c r="T1475">
        <f t="shared" si="354"/>
        <v>1465</v>
      </c>
      <c r="U1475" t="str">
        <f>IF($A1475="","",IF($A1475=经营数据!$B$3,COUNTIFS($S$2:$S$3000,1,$A$2:$A$3000,$A1475,$T$2:$T$3000,"&lt;"&amp;$T1475)+1,""))</f>
        <v/>
      </c>
      <c r="V1475" t="str">
        <f t="shared" si="355"/>
        <v>锦江都城合肥政务中心店|服务量</v>
      </c>
      <c r="W1475">
        <f t="shared" si="356"/>
        <v>1465</v>
      </c>
      <c r="X1475" t="str">
        <f t="shared" si="357"/>
        <v>锦江都城合肥政务中心店|平均房价</v>
      </c>
      <c r="Y1475">
        <f t="shared" si="358"/>
        <v>1465</v>
      </c>
      <c r="Z1475">
        <f>IF($A1475="",0,IF(AND($M1475=1,$A1475=经营数据!$B$3,$J1475=经营数据!$BA$5,OR($I1475=经营数据!$BA$4,COUNTIF(经营数据!$AA$9:$AA$38,$I1475)&gt;0)),1,0))</f>
        <v>0</v>
      </c>
      <c r="AA1475" t="str">
        <f t="shared" si="359"/>
        <v/>
      </c>
      <c r="AB1475" t="str">
        <f t="shared" si="360"/>
        <v/>
      </c>
      <c r="AC1475">
        <f>IF($A1475="",0,IF(COUNTIF($A$2:$A1475,$A1475)=1,1,0))</f>
        <v>0</v>
      </c>
      <c r="AD1475">
        <f t="shared" si="361"/>
        <v>18</v>
      </c>
      <c r="AE1475" t="str">
        <f t="shared" si="362"/>
        <v>锦江都城合肥政务中心店|平均房价（元/间）</v>
      </c>
    </row>
    <row r="1476" spans="1:31" x14ac:dyDescent="0.4">
      <c r="A1476" t="str">
        <f>IF(原始经营数据!$D1477="","",原始经营数据!$D1477)</f>
        <v>华安锦江封闭式商业不动产证券投资基金</v>
      </c>
      <c r="B1476" t="str">
        <f>IF(原始经营数据!$D1477="","",T(原始经营数据!$E1477))</f>
        <v>锦江都城合肥政务中心店</v>
      </c>
      <c r="C1476" t="str">
        <f>IF(原始经营数据!$D1477="","",原始经营数据!$F1477)</f>
        <v>2025</v>
      </c>
      <c r="D1476" t="str">
        <f>IF(原始经营数据!$D1477="","",原始经营数据!$H1477)</f>
        <v>平均入住率</v>
      </c>
      <c r="E1476">
        <f>IF(原始经营数据!$D1477="","",原始经营数据!$I1477)</f>
        <v>62.33</v>
      </c>
      <c r="F1476" t="str">
        <f>IF(原始经营数据!$D1477="","",T(原始经营数据!$J1477))</f>
        <v>%</v>
      </c>
      <c r="G1476" t="str">
        <f>IF(原始经营数据!$D1477="","",T(原始经营数据!$K1477))</f>
        <v/>
      </c>
      <c r="H1476" t="str">
        <f>IF(原始经营数据!$D1477="","",原始经营数据!$G1477)</f>
        <v>服务量</v>
      </c>
      <c r="I1476" t="str">
        <f>IF($A1476="","",IF($B1476&lt;&gt;"",$B1476,IF(COUNTIFS(原始经营数据!$D$3:$D$3001,$A1476,原始经营数据!$E$3:$E$3001,"",原始经营数据!$F$3:$F$3001,$C1476,原始经营数据!$H$3:$H$3001,$D1476,原始经营数据!$K$3:$K$3001,$G1476)&gt;1,"基金整体·来源"&amp;原始经营数据!$A1477,"基金整体")))</f>
        <v>锦江都城合肥政务中心店</v>
      </c>
      <c r="J1476" t="str">
        <f t="shared" si="348"/>
        <v>年度</v>
      </c>
      <c r="K1476" t="str">
        <f t="shared" si="349"/>
        <v>平均入住率（%）</v>
      </c>
      <c r="L1476" t="str">
        <f t="shared" si="350"/>
        <v>锦江都城合肥政务中心店|平均入住率（%）|年度</v>
      </c>
      <c r="M1476">
        <f>IF($A1476="",0,IF(COUNTIF($L$2:$L1476,$L1476)=1,1,0))</f>
        <v>0</v>
      </c>
      <c r="N1476">
        <f t="shared" si="351"/>
        <v>20250</v>
      </c>
      <c r="O1476" t="str">
        <f t="shared" si="352"/>
        <v>华安锦江封闭式商业不动产证券投资基金|2025|年度</v>
      </c>
      <c r="P1476">
        <f>IF($A1476="",0,IF(COUNTIF($O$2:$O1476,$O1476)=1,1,0))</f>
        <v>0</v>
      </c>
      <c r="Q1476" t="str">
        <f>IF(AND($P1476=1,$A1476=经营数据!$B$3,$J1476=经营数据!$BA$5),COUNTIFS($P$2:$P$3000,1,$A$2:$A$3000,$A1476,$J$2:$J$3000,$J1476,$N$2:$N$3000,"&lt;"&amp;$N1476)+1,"")</f>
        <v/>
      </c>
      <c r="R1476" t="str">
        <f t="shared" si="353"/>
        <v>华安锦江封闭式商业不动产证券投资基金|锦江都城合肥政务中心店</v>
      </c>
      <c r="S1476">
        <f>IF($A1476="",0,IF(COUNTIF($R$2:$R1476,$R1476)=1,1,0))</f>
        <v>0</v>
      </c>
      <c r="T1476">
        <f t="shared" si="354"/>
        <v>1465</v>
      </c>
      <c r="U1476" t="str">
        <f>IF($A1476="","",IF($A1476=经营数据!$B$3,COUNTIFS($S$2:$S$3000,1,$A$2:$A$3000,$A1476,$T$2:$T$3000,"&lt;"&amp;$T1476)+1,""))</f>
        <v/>
      </c>
      <c r="V1476" t="str">
        <f t="shared" si="355"/>
        <v>锦江都城合肥政务中心店|服务量</v>
      </c>
      <c r="W1476">
        <f t="shared" si="356"/>
        <v>1465</v>
      </c>
      <c r="X1476" t="str">
        <f t="shared" si="357"/>
        <v>锦江都城合肥政务中心店|平均入住率</v>
      </c>
      <c r="Y1476">
        <f t="shared" si="358"/>
        <v>1466</v>
      </c>
      <c r="Z1476">
        <f>IF($A1476="",0,IF(AND($M1476=1,$A1476=经营数据!$B$3,$J1476=经营数据!$BA$5,OR($I1476=经营数据!$BA$4,COUNTIF(经营数据!$AA$9:$AA$38,$I1476)&gt;0)),1,0))</f>
        <v>0</v>
      </c>
      <c r="AA1476" t="str">
        <f t="shared" si="359"/>
        <v/>
      </c>
      <c r="AB1476" t="str">
        <f t="shared" si="360"/>
        <v/>
      </c>
      <c r="AC1476">
        <f>IF($A1476="",0,IF(COUNTIF($A$2:$A1476,$A1476)=1,1,0))</f>
        <v>0</v>
      </c>
      <c r="AD1476">
        <f t="shared" si="361"/>
        <v>18</v>
      </c>
      <c r="AE1476" t="str">
        <f t="shared" si="362"/>
        <v>锦江都城合肥政务中心店|平均入住率（%）</v>
      </c>
    </row>
    <row r="1477" spans="1:31" x14ac:dyDescent="0.4">
      <c r="A1477" t="str">
        <f>IF(原始经营数据!$D1478="","",原始经营数据!$D1478)</f>
        <v>华安锦江封闭式商业不动产证券投资基金</v>
      </c>
      <c r="B1477" t="str">
        <f>IF(原始经营数据!$D1478="","",T(原始经营数据!$E1478))</f>
        <v>锦江都城合肥政务中心店</v>
      </c>
      <c r="C1477" t="str">
        <f>IF(原始经营数据!$D1478="","",原始经营数据!$F1478)</f>
        <v>2025</v>
      </c>
      <c r="D1477" t="str">
        <f>IF(原始经营数据!$D1478="","",原始经营数据!$H1478)</f>
        <v>可供房数</v>
      </c>
      <c r="E1477">
        <f>IF(原始经营数据!$D1478="","",原始经营数据!$I1478)</f>
        <v>56812</v>
      </c>
      <c r="F1477" t="str">
        <f>IF(原始经营数据!$D1478="","",T(原始经营数据!$J1478))</f>
        <v>间</v>
      </c>
      <c r="G1477" t="str">
        <f>IF(原始经营数据!$D1478="","",T(原始经营数据!$K1478))</f>
        <v/>
      </c>
      <c r="H1477" t="str">
        <f>IF(原始经营数据!$D1478="","",原始经营数据!$G1478)</f>
        <v>服务量</v>
      </c>
      <c r="I1477" t="str">
        <f>IF($A1477="","",IF($B1477&lt;&gt;"",$B1477,IF(COUNTIFS(原始经营数据!$D$3:$D$3001,$A1477,原始经营数据!$E$3:$E$3001,"",原始经营数据!$F$3:$F$3001,$C1477,原始经营数据!$H$3:$H$3001,$D1477,原始经营数据!$K$3:$K$3001,$G1477)&gt;1,"基金整体·来源"&amp;原始经营数据!$A1478,"基金整体")))</f>
        <v>锦江都城合肥政务中心店</v>
      </c>
      <c r="J1477" t="str">
        <f t="shared" si="348"/>
        <v>年度</v>
      </c>
      <c r="K1477" t="str">
        <f t="shared" si="349"/>
        <v>可供房数（间）</v>
      </c>
      <c r="L1477" t="str">
        <f t="shared" si="350"/>
        <v>锦江都城合肥政务中心店|可供房数（间）|年度</v>
      </c>
      <c r="M1477">
        <f>IF($A1477="",0,IF(COUNTIF($L$2:$L1477,$L1477)=1,1,0))</f>
        <v>0</v>
      </c>
      <c r="N1477">
        <f t="shared" si="351"/>
        <v>20250</v>
      </c>
      <c r="O1477" t="str">
        <f t="shared" si="352"/>
        <v>华安锦江封闭式商业不动产证券投资基金|2025|年度</v>
      </c>
      <c r="P1477">
        <f>IF($A1477="",0,IF(COUNTIF($O$2:$O1477,$O1477)=1,1,0))</f>
        <v>0</v>
      </c>
      <c r="Q1477" t="str">
        <f>IF(AND($P1477=1,$A1477=经营数据!$B$3,$J1477=经营数据!$BA$5),COUNTIFS($P$2:$P$3000,1,$A$2:$A$3000,$A1477,$J$2:$J$3000,$J1477,$N$2:$N$3000,"&lt;"&amp;$N1477)+1,"")</f>
        <v/>
      </c>
      <c r="R1477" t="str">
        <f t="shared" si="353"/>
        <v>华安锦江封闭式商业不动产证券投资基金|锦江都城合肥政务中心店</v>
      </c>
      <c r="S1477">
        <f>IF($A1477="",0,IF(COUNTIF($R$2:$R1477,$R1477)=1,1,0))</f>
        <v>0</v>
      </c>
      <c r="T1477">
        <f t="shared" si="354"/>
        <v>1465</v>
      </c>
      <c r="U1477" t="str">
        <f>IF($A1477="","",IF($A1477=经营数据!$B$3,COUNTIFS($S$2:$S$3000,1,$A$2:$A$3000,$A1477,$T$2:$T$3000,"&lt;"&amp;$T1477)+1,""))</f>
        <v/>
      </c>
      <c r="V1477" t="str">
        <f t="shared" si="355"/>
        <v>锦江都城合肥政务中心店|服务量</v>
      </c>
      <c r="W1477">
        <f t="shared" si="356"/>
        <v>1465</v>
      </c>
      <c r="X1477" t="str">
        <f t="shared" si="357"/>
        <v>锦江都城合肥政务中心店|可供房数</v>
      </c>
      <c r="Y1477">
        <f t="shared" si="358"/>
        <v>1467</v>
      </c>
      <c r="Z1477">
        <f>IF($A1477="",0,IF(AND($M1477=1,$A1477=经营数据!$B$3,$J1477=经营数据!$BA$5,OR($I1477=经营数据!$BA$4,COUNTIF(经营数据!$AA$9:$AA$38,$I1477)&gt;0)),1,0))</f>
        <v>0</v>
      </c>
      <c r="AA1477" t="str">
        <f t="shared" si="359"/>
        <v/>
      </c>
      <c r="AB1477" t="str">
        <f t="shared" si="360"/>
        <v/>
      </c>
      <c r="AC1477">
        <f>IF($A1477="",0,IF(COUNTIF($A$2:$A1477,$A1477)=1,1,0))</f>
        <v>0</v>
      </c>
      <c r="AD1477">
        <f t="shared" si="361"/>
        <v>18</v>
      </c>
      <c r="AE1477" t="str">
        <f t="shared" si="362"/>
        <v>锦江都城合肥政务中心店|可供房数（间）</v>
      </c>
    </row>
    <row r="1478" spans="1:31" x14ac:dyDescent="0.4">
      <c r="A1478" t="str">
        <f>IF(原始经营数据!$D1479="","",原始经营数据!$D1479)</f>
        <v>华安锦江封闭式商业不动产证券投资基金</v>
      </c>
      <c r="B1478" t="str">
        <f>IF(原始经营数据!$D1479="","",T(原始经营数据!$E1479))</f>
        <v>锦江都城宁德蕉城店</v>
      </c>
      <c r="C1478" t="str">
        <f>IF(原始经营数据!$D1479="","",原始经营数据!$F1479)</f>
        <v>2022</v>
      </c>
      <c r="D1478" t="str">
        <f>IF(原始经营数据!$D1479="","",原始经营数据!$H1479)</f>
        <v>平均入住率</v>
      </c>
      <c r="E1478">
        <f>IF(原始经营数据!$D1479="","",原始经营数据!$I1479)</f>
        <v>55.56</v>
      </c>
      <c r="F1478" t="str">
        <f>IF(原始经营数据!$D1479="","",T(原始经营数据!$J1479))</f>
        <v>%</v>
      </c>
      <c r="G1478" t="str">
        <f>IF(原始经营数据!$D1479="","",T(原始经营数据!$K1479))</f>
        <v/>
      </c>
      <c r="H1478" t="str">
        <f>IF(原始经营数据!$D1479="","",原始经营数据!$G1479)</f>
        <v>服务量</v>
      </c>
      <c r="I1478" t="str">
        <f>IF($A1478="","",IF($B1478&lt;&gt;"",$B1478,IF(COUNTIFS(原始经营数据!$D$3:$D$3001,$A1478,原始经营数据!$E$3:$E$3001,"",原始经营数据!$F$3:$F$3001,$C1478,原始经营数据!$H$3:$H$3001,$D1478,原始经营数据!$K$3:$K$3001,$G1478)&gt;1,"基金整体·来源"&amp;原始经营数据!$A1479,"基金整体")))</f>
        <v>锦江都城宁德蕉城店</v>
      </c>
      <c r="J1478" t="str">
        <f t="shared" si="348"/>
        <v>年度</v>
      </c>
      <c r="K1478" t="str">
        <f t="shared" si="349"/>
        <v>平均入住率（%）</v>
      </c>
      <c r="L1478" t="str">
        <f t="shared" si="350"/>
        <v>锦江都城宁德蕉城店|平均入住率（%）|年度</v>
      </c>
      <c r="M1478">
        <f>IF($A1478="",0,IF(COUNTIF($L$2:$L1478,$L1478)=1,1,0))</f>
        <v>1</v>
      </c>
      <c r="N1478">
        <f t="shared" si="351"/>
        <v>20220</v>
      </c>
      <c r="O1478" t="str">
        <f t="shared" si="352"/>
        <v>华安锦江封闭式商业不动产证券投资基金|2022|年度</v>
      </c>
      <c r="P1478">
        <f>IF($A1478="",0,IF(COUNTIF($O$2:$O1478,$O1478)=1,1,0))</f>
        <v>0</v>
      </c>
      <c r="Q1478" t="str">
        <f>IF(AND($P1478=1,$A1478=经营数据!$B$3,$J1478=经营数据!$BA$5),COUNTIFS($P$2:$P$3000,1,$A$2:$A$3000,$A1478,$J$2:$J$3000,$J1478,$N$2:$N$3000,"&lt;"&amp;$N1478)+1,"")</f>
        <v/>
      </c>
      <c r="R1478" t="str">
        <f t="shared" si="353"/>
        <v>华安锦江封闭式商业不动产证券投资基金|锦江都城宁德蕉城店</v>
      </c>
      <c r="S1478">
        <f>IF($A1478="",0,IF(COUNTIF($R$2:$R1478,$R1478)=1,1,0))</f>
        <v>1</v>
      </c>
      <c r="T1478">
        <f t="shared" si="354"/>
        <v>1477</v>
      </c>
      <c r="U1478" t="str">
        <f>IF($A1478="","",IF($A1478=经营数据!$B$3,COUNTIFS($S$2:$S$3000,1,$A$2:$A$3000,$A1478,$T$2:$T$3000,"&lt;"&amp;$T1478)+1,""))</f>
        <v/>
      </c>
      <c r="V1478" t="str">
        <f t="shared" si="355"/>
        <v>锦江都城宁德蕉城店|服务量</v>
      </c>
      <c r="W1478">
        <f t="shared" si="356"/>
        <v>1477</v>
      </c>
      <c r="X1478" t="str">
        <f t="shared" si="357"/>
        <v>锦江都城宁德蕉城店|平均入住率</v>
      </c>
      <c r="Y1478">
        <f t="shared" si="358"/>
        <v>1477</v>
      </c>
      <c r="Z1478">
        <f>IF($A1478="",0,IF(AND($M1478=1,$A1478=经营数据!$B$3,$J1478=经营数据!$BA$5,OR($I1478=经营数据!$BA$4,COUNTIF(经营数据!$AA$9:$AA$38,$I1478)&gt;0)),1,0))</f>
        <v>0</v>
      </c>
      <c r="AA1478" t="str">
        <f t="shared" si="359"/>
        <v/>
      </c>
      <c r="AB1478" t="str">
        <f t="shared" si="360"/>
        <v/>
      </c>
      <c r="AC1478">
        <f>IF($A1478="",0,IF(COUNTIF($A$2:$A1478,$A1478)=1,1,0))</f>
        <v>0</v>
      </c>
      <c r="AD1478">
        <f t="shared" si="361"/>
        <v>18</v>
      </c>
      <c r="AE1478" t="str">
        <f t="shared" si="362"/>
        <v>锦江都城宁德蕉城店|平均入住率（%）</v>
      </c>
    </row>
    <row r="1479" spans="1:31" x14ac:dyDescent="0.4">
      <c r="A1479" t="str">
        <f>IF(原始经营数据!$D1480="","",原始经营数据!$D1480)</f>
        <v>华安锦江封闭式商业不动产证券投资基金</v>
      </c>
      <c r="B1479" t="str">
        <f>IF(原始经营数据!$D1480="","",T(原始经营数据!$E1480))</f>
        <v>锦江都城宁德蕉城店</v>
      </c>
      <c r="C1479" t="str">
        <f>IF(原始经营数据!$D1480="","",原始经营数据!$F1480)</f>
        <v>2022</v>
      </c>
      <c r="D1479" t="str">
        <f>IF(原始经营数据!$D1480="","",原始经营数据!$H1480)</f>
        <v>可供房数</v>
      </c>
      <c r="E1479">
        <f>IF(原始经营数据!$D1480="","",原始经营数据!$I1480)</f>
        <v>46061</v>
      </c>
      <c r="F1479" t="str">
        <f>IF(原始经营数据!$D1480="","",T(原始经营数据!$J1480))</f>
        <v>间</v>
      </c>
      <c r="G1479" t="str">
        <f>IF(原始经营数据!$D1480="","",T(原始经营数据!$K1480))</f>
        <v/>
      </c>
      <c r="H1479" t="str">
        <f>IF(原始经营数据!$D1480="","",原始经营数据!$G1480)</f>
        <v>服务量</v>
      </c>
      <c r="I1479" t="str">
        <f>IF($A1479="","",IF($B1479&lt;&gt;"",$B1479,IF(COUNTIFS(原始经营数据!$D$3:$D$3001,$A1479,原始经营数据!$E$3:$E$3001,"",原始经营数据!$F$3:$F$3001,$C1479,原始经营数据!$H$3:$H$3001,$D1479,原始经营数据!$K$3:$K$3001,$G1479)&gt;1,"基金整体·来源"&amp;原始经营数据!$A1480,"基金整体")))</f>
        <v>锦江都城宁德蕉城店</v>
      </c>
      <c r="J1479" t="str">
        <f t="shared" si="348"/>
        <v>年度</v>
      </c>
      <c r="K1479" t="str">
        <f t="shared" si="349"/>
        <v>可供房数（间）</v>
      </c>
      <c r="L1479" t="str">
        <f t="shared" si="350"/>
        <v>锦江都城宁德蕉城店|可供房数（间）|年度</v>
      </c>
      <c r="M1479">
        <f>IF($A1479="",0,IF(COUNTIF($L$2:$L1479,$L1479)=1,1,0))</f>
        <v>1</v>
      </c>
      <c r="N1479">
        <f t="shared" si="351"/>
        <v>20220</v>
      </c>
      <c r="O1479" t="str">
        <f t="shared" si="352"/>
        <v>华安锦江封闭式商业不动产证券投资基金|2022|年度</v>
      </c>
      <c r="P1479">
        <f>IF($A1479="",0,IF(COUNTIF($O$2:$O1479,$O1479)=1,1,0))</f>
        <v>0</v>
      </c>
      <c r="Q1479" t="str">
        <f>IF(AND($P1479=1,$A1479=经营数据!$B$3,$J1479=经营数据!$BA$5),COUNTIFS($P$2:$P$3000,1,$A$2:$A$3000,$A1479,$J$2:$J$3000,$J1479,$N$2:$N$3000,"&lt;"&amp;$N1479)+1,"")</f>
        <v/>
      </c>
      <c r="R1479" t="str">
        <f t="shared" si="353"/>
        <v>华安锦江封闭式商业不动产证券投资基金|锦江都城宁德蕉城店</v>
      </c>
      <c r="S1479">
        <f>IF($A1479="",0,IF(COUNTIF($R$2:$R1479,$R1479)=1,1,0))</f>
        <v>0</v>
      </c>
      <c r="T1479">
        <f t="shared" si="354"/>
        <v>1477</v>
      </c>
      <c r="U1479" t="str">
        <f>IF($A1479="","",IF($A1479=经营数据!$B$3,COUNTIFS($S$2:$S$3000,1,$A$2:$A$3000,$A1479,$T$2:$T$3000,"&lt;"&amp;$T1479)+1,""))</f>
        <v/>
      </c>
      <c r="V1479" t="str">
        <f t="shared" si="355"/>
        <v>锦江都城宁德蕉城店|服务量</v>
      </c>
      <c r="W1479">
        <f t="shared" si="356"/>
        <v>1477</v>
      </c>
      <c r="X1479" t="str">
        <f t="shared" si="357"/>
        <v>锦江都城宁德蕉城店|可供房数</v>
      </c>
      <c r="Y1479">
        <f t="shared" si="358"/>
        <v>1478</v>
      </c>
      <c r="Z1479">
        <f>IF($A1479="",0,IF(AND($M1479=1,$A1479=经营数据!$B$3,$J1479=经营数据!$BA$5,OR($I1479=经营数据!$BA$4,COUNTIF(经营数据!$AA$9:$AA$38,$I1479)&gt;0)),1,0))</f>
        <v>0</v>
      </c>
      <c r="AA1479" t="str">
        <f t="shared" si="359"/>
        <v/>
      </c>
      <c r="AB1479" t="str">
        <f t="shared" si="360"/>
        <v/>
      </c>
      <c r="AC1479">
        <f>IF($A1479="",0,IF(COUNTIF($A$2:$A1479,$A1479)=1,1,0))</f>
        <v>0</v>
      </c>
      <c r="AD1479">
        <f t="shared" si="361"/>
        <v>18</v>
      </c>
      <c r="AE1479" t="str">
        <f t="shared" si="362"/>
        <v>锦江都城宁德蕉城店|可供房数（间）</v>
      </c>
    </row>
    <row r="1480" spans="1:31" x14ac:dyDescent="0.4">
      <c r="A1480" t="str">
        <f>IF(原始经营数据!$D1481="","",原始经营数据!$D1481)</f>
        <v>华安锦江封闭式商业不动产证券投资基金</v>
      </c>
      <c r="B1480" t="str">
        <f>IF(原始经营数据!$D1481="","",T(原始经营数据!$E1481))</f>
        <v>锦江都城宁德蕉城店</v>
      </c>
      <c r="C1480" t="str">
        <f>IF(原始经营数据!$D1481="","",原始经营数据!$F1481)</f>
        <v>2022</v>
      </c>
      <c r="D1480" t="str">
        <f>IF(原始经营数据!$D1481="","",原始经营数据!$H1481)</f>
        <v>平均房价</v>
      </c>
      <c r="E1480">
        <f>IF(原始经营数据!$D1481="","",原始经营数据!$I1481)</f>
        <v>302.99</v>
      </c>
      <c r="F1480" t="str">
        <f>IF(原始经营数据!$D1481="","",T(原始经营数据!$J1481))</f>
        <v>元/间</v>
      </c>
      <c r="G1480" t="str">
        <f>IF(原始经营数据!$D1481="","",T(原始经营数据!$K1481))</f>
        <v/>
      </c>
      <c r="H1480" t="str">
        <f>IF(原始经营数据!$D1481="","",原始经营数据!$G1481)</f>
        <v>服务量</v>
      </c>
      <c r="I1480" t="str">
        <f>IF($A1480="","",IF($B1480&lt;&gt;"",$B1480,IF(COUNTIFS(原始经营数据!$D$3:$D$3001,$A1480,原始经营数据!$E$3:$E$3001,"",原始经营数据!$F$3:$F$3001,$C1480,原始经营数据!$H$3:$H$3001,$D1480,原始经营数据!$K$3:$K$3001,$G1480)&gt;1,"基金整体·来源"&amp;原始经营数据!$A1481,"基金整体")))</f>
        <v>锦江都城宁德蕉城店</v>
      </c>
      <c r="J1480" t="str">
        <f t="shared" si="348"/>
        <v>年度</v>
      </c>
      <c r="K1480" t="str">
        <f t="shared" si="349"/>
        <v>平均房价（元/间）</v>
      </c>
      <c r="L1480" t="str">
        <f t="shared" si="350"/>
        <v>锦江都城宁德蕉城店|平均房价（元/间）|年度</v>
      </c>
      <c r="M1480">
        <f>IF($A1480="",0,IF(COUNTIF($L$2:$L1480,$L1480)=1,1,0))</f>
        <v>1</v>
      </c>
      <c r="N1480">
        <f t="shared" si="351"/>
        <v>20220</v>
      </c>
      <c r="O1480" t="str">
        <f t="shared" si="352"/>
        <v>华安锦江封闭式商业不动产证券投资基金|2022|年度</v>
      </c>
      <c r="P1480">
        <f>IF($A1480="",0,IF(COUNTIF($O$2:$O1480,$O1480)=1,1,0))</f>
        <v>0</v>
      </c>
      <c r="Q1480" t="str">
        <f>IF(AND($P1480=1,$A1480=经营数据!$B$3,$J1480=经营数据!$BA$5),COUNTIFS($P$2:$P$3000,1,$A$2:$A$3000,$A1480,$J$2:$J$3000,$J1480,$N$2:$N$3000,"&lt;"&amp;$N1480)+1,"")</f>
        <v/>
      </c>
      <c r="R1480" t="str">
        <f t="shared" si="353"/>
        <v>华安锦江封闭式商业不动产证券投资基金|锦江都城宁德蕉城店</v>
      </c>
      <c r="S1480">
        <f>IF($A1480="",0,IF(COUNTIF($R$2:$R1480,$R1480)=1,1,0))</f>
        <v>0</v>
      </c>
      <c r="T1480">
        <f t="shared" si="354"/>
        <v>1477</v>
      </c>
      <c r="U1480" t="str">
        <f>IF($A1480="","",IF($A1480=经营数据!$B$3,COUNTIFS($S$2:$S$3000,1,$A$2:$A$3000,$A1480,$T$2:$T$3000,"&lt;"&amp;$T1480)+1,""))</f>
        <v/>
      </c>
      <c r="V1480" t="str">
        <f t="shared" si="355"/>
        <v>锦江都城宁德蕉城店|服务量</v>
      </c>
      <c r="W1480">
        <f t="shared" si="356"/>
        <v>1477</v>
      </c>
      <c r="X1480" t="str">
        <f t="shared" si="357"/>
        <v>锦江都城宁德蕉城店|平均房价</v>
      </c>
      <c r="Y1480">
        <f t="shared" si="358"/>
        <v>1479</v>
      </c>
      <c r="Z1480">
        <f>IF($A1480="",0,IF(AND($M1480=1,$A1480=经营数据!$B$3,$J1480=经营数据!$BA$5,OR($I1480=经营数据!$BA$4,COUNTIF(经营数据!$AA$9:$AA$38,$I1480)&gt;0)),1,0))</f>
        <v>0</v>
      </c>
      <c r="AA1480" t="str">
        <f t="shared" si="359"/>
        <v/>
      </c>
      <c r="AB1480" t="str">
        <f t="shared" si="360"/>
        <v/>
      </c>
      <c r="AC1480">
        <f>IF($A1480="",0,IF(COUNTIF($A$2:$A1480,$A1480)=1,1,0))</f>
        <v>0</v>
      </c>
      <c r="AD1480">
        <f t="shared" si="361"/>
        <v>18</v>
      </c>
      <c r="AE1480" t="str">
        <f t="shared" si="362"/>
        <v>锦江都城宁德蕉城店|平均房价（元/间）</v>
      </c>
    </row>
    <row r="1481" spans="1:31" x14ac:dyDescent="0.4">
      <c r="A1481" t="str">
        <f>IF(原始经营数据!$D1482="","",原始经营数据!$D1482)</f>
        <v>华安锦江封闭式商业不动产证券投资基金</v>
      </c>
      <c r="B1481" t="str">
        <f>IF(原始经营数据!$D1482="","",T(原始经营数据!$E1482))</f>
        <v>锦江都城宁德蕉城店</v>
      </c>
      <c r="C1481" t="str">
        <f>IF(原始经营数据!$D1482="","",原始经营数据!$F1482)</f>
        <v>2023</v>
      </c>
      <c r="D1481" t="str">
        <f>IF(原始经营数据!$D1482="","",原始经营数据!$H1482)</f>
        <v>平均房价</v>
      </c>
      <c r="E1481">
        <f>IF(原始经营数据!$D1482="","",原始经营数据!$I1482)</f>
        <v>360.87</v>
      </c>
      <c r="F1481" t="str">
        <f>IF(原始经营数据!$D1482="","",T(原始经营数据!$J1482))</f>
        <v>元/间</v>
      </c>
      <c r="G1481" t="str">
        <f>IF(原始经营数据!$D1482="","",T(原始经营数据!$K1482))</f>
        <v/>
      </c>
      <c r="H1481" t="str">
        <f>IF(原始经营数据!$D1482="","",原始经营数据!$G1482)</f>
        <v>服务量</v>
      </c>
      <c r="I1481" t="str">
        <f>IF($A1481="","",IF($B1481&lt;&gt;"",$B1481,IF(COUNTIFS(原始经营数据!$D$3:$D$3001,$A1481,原始经营数据!$E$3:$E$3001,"",原始经营数据!$F$3:$F$3001,$C1481,原始经营数据!$H$3:$H$3001,$D1481,原始经营数据!$K$3:$K$3001,$G1481)&gt;1,"基金整体·来源"&amp;原始经营数据!$A1482,"基金整体")))</f>
        <v>锦江都城宁德蕉城店</v>
      </c>
      <c r="J1481" t="str">
        <f t="shared" si="348"/>
        <v>年度</v>
      </c>
      <c r="K1481" t="str">
        <f t="shared" si="349"/>
        <v>平均房价（元/间）</v>
      </c>
      <c r="L1481" t="str">
        <f t="shared" si="350"/>
        <v>锦江都城宁德蕉城店|平均房价（元/间）|年度</v>
      </c>
      <c r="M1481">
        <f>IF($A1481="",0,IF(COUNTIF($L$2:$L1481,$L1481)=1,1,0))</f>
        <v>0</v>
      </c>
      <c r="N1481">
        <f t="shared" si="351"/>
        <v>20230</v>
      </c>
      <c r="O1481" t="str">
        <f t="shared" si="352"/>
        <v>华安锦江封闭式商业不动产证券投资基金|2023|年度</v>
      </c>
      <c r="P1481">
        <f>IF($A1481="",0,IF(COUNTIF($O$2:$O1481,$O1481)=1,1,0))</f>
        <v>0</v>
      </c>
      <c r="Q1481" t="str">
        <f>IF(AND($P1481=1,$A1481=经营数据!$B$3,$J1481=经营数据!$BA$5),COUNTIFS($P$2:$P$3000,1,$A$2:$A$3000,$A1481,$J$2:$J$3000,$J1481,$N$2:$N$3000,"&lt;"&amp;$N1481)+1,"")</f>
        <v/>
      </c>
      <c r="R1481" t="str">
        <f t="shared" si="353"/>
        <v>华安锦江封闭式商业不动产证券投资基金|锦江都城宁德蕉城店</v>
      </c>
      <c r="S1481">
        <f>IF($A1481="",0,IF(COUNTIF($R$2:$R1481,$R1481)=1,1,0))</f>
        <v>0</v>
      </c>
      <c r="T1481">
        <f t="shared" si="354"/>
        <v>1477</v>
      </c>
      <c r="U1481" t="str">
        <f>IF($A1481="","",IF($A1481=经营数据!$B$3,COUNTIFS($S$2:$S$3000,1,$A$2:$A$3000,$A1481,$T$2:$T$3000,"&lt;"&amp;$T1481)+1,""))</f>
        <v/>
      </c>
      <c r="V1481" t="str">
        <f t="shared" si="355"/>
        <v>锦江都城宁德蕉城店|服务量</v>
      </c>
      <c r="W1481">
        <f t="shared" si="356"/>
        <v>1477</v>
      </c>
      <c r="X1481" t="str">
        <f t="shared" si="357"/>
        <v>锦江都城宁德蕉城店|平均房价</v>
      </c>
      <c r="Y1481">
        <f t="shared" si="358"/>
        <v>1479</v>
      </c>
      <c r="Z1481">
        <f>IF($A1481="",0,IF(AND($M1481=1,$A1481=经营数据!$B$3,$J1481=经营数据!$BA$5,OR($I1481=经营数据!$BA$4,COUNTIF(经营数据!$AA$9:$AA$38,$I1481)&gt;0)),1,0))</f>
        <v>0</v>
      </c>
      <c r="AA1481" t="str">
        <f t="shared" si="359"/>
        <v/>
      </c>
      <c r="AB1481" t="str">
        <f t="shared" si="360"/>
        <v/>
      </c>
      <c r="AC1481">
        <f>IF($A1481="",0,IF(COUNTIF($A$2:$A1481,$A1481)=1,1,0))</f>
        <v>0</v>
      </c>
      <c r="AD1481">
        <f t="shared" si="361"/>
        <v>18</v>
      </c>
      <c r="AE1481" t="str">
        <f t="shared" si="362"/>
        <v>锦江都城宁德蕉城店|平均房价（元/间）</v>
      </c>
    </row>
    <row r="1482" spans="1:31" x14ac:dyDescent="0.4">
      <c r="A1482" t="str">
        <f>IF(原始经营数据!$D1483="","",原始经营数据!$D1483)</f>
        <v>华安锦江封闭式商业不动产证券投资基金</v>
      </c>
      <c r="B1482" t="str">
        <f>IF(原始经营数据!$D1483="","",T(原始经营数据!$E1483))</f>
        <v>锦江都城宁德蕉城店</v>
      </c>
      <c r="C1482" t="str">
        <f>IF(原始经营数据!$D1483="","",原始经营数据!$F1483)</f>
        <v>2023</v>
      </c>
      <c r="D1482" t="str">
        <f>IF(原始经营数据!$D1483="","",原始经营数据!$H1483)</f>
        <v>平均入住率</v>
      </c>
      <c r="E1482">
        <f>IF(原始经营数据!$D1483="","",原始经营数据!$I1483)</f>
        <v>64.45</v>
      </c>
      <c r="F1482" t="str">
        <f>IF(原始经营数据!$D1483="","",T(原始经营数据!$J1483))</f>
        <v>%</v>
      </c>
      <c r="G1482" t="str">
        <f>IF(原始经营数据!$D1483="","",T(原始经营数据!$K1483))</f>
        <v/>
      </c>
      <c r="H1482" t="str">
        <f>IF(原始经营数据!$D1483="","",原始经营数据!$G1483)</f>
        <v>服务量</v>
      </c>
      <c r="I1482" t="str">
        <f>IF($A1482="","",IF($B1482&lt;&gt;"",$B1482,IF(COUNTIFS(原始经营数据!$D$3:$D$3001,$A1482,原始经营数据!$E$3:$E$3001,"",原始经营数据!$F$3:$F$3001,$C1482,原始经营数据!$H$3:$H$3001,$D1482,原始经营数据!$K$3:$K$3001,$G1482)&gt;1,"基金整体·来源"&amp;原始经营数据!$A1483,"基金整体")))</f>
        <v>锦江都城宁德蕉城店</v>
      </c>
      <c r="J1482" t="str">
        <f t="shared" si="348"/>
        <v>年度</v>
      </c>
      <c r="K1482" t="str">
        <f t="shared" si="349"/>
        <v>平均入住率（%）</v>
      </c>
      <c r="L1482" t="str">
        <f t="shared" si="350"/>
        <v>锦江都城宁德蕉城店|平均入住率（%）|年度</v>
      </c>
      <c r="M1482">
        <f>IF($A1482="",0,IF(COUNTIF($L$2:$L1482,$L1482)=1,1,0))</f>
        <v>0</v>
      </c>
      <c r="N1482">
        <f t="shared" si="351"/>
        <v>20230</v>
      </c>
      <c r="O1482" t="str">
        <f t="shared" si="352"/>
        <v>华安锦江封闭式商业不动产证券投资基金|2023|年度</v>
      </c>
      <c r="P1482">
        <f>IF($A1482="",0,IF(COUNTIF($O$2:$O1482,$O1482)=1,1,0))</f>
        <v>0</v>
      </c>
      <c r="Q1482" t="str">
        <f>IF(AND($P1482=1,$A1482=经营数据!$B$3,$J1482=经营数据!$BA$5),COUNTIFS($P$2:$P$3000,1,$A$2:$A$3000,$A1482,$J$2:$J$3000,$J1482,$N$2:$N$3000,"&lt;"&amp;$N1482)+1,"")</f>
        <v/>
      </c>
      <c r="R1482" t="str">
        <f t="shared" si="353"/>
        <v>华安锦江封闭式商业不动产证券投资基金|锦江都城宁德蕉城店</v>
      </c>
      <c r="S1482">
        <f>IF($A1482="",0,IF(COUNTIF($R$2:$R1482,$R1482)=1,1,0))</f>
        <v>0</v>
      </c>
      <c r="T1482">
        <f t="shared" si="354"/>
        <v>1477</v>
      </c>
      <c r="U1482" t="str">
        <f>IF($A1482="","",IF($A1482=经营数据!$B$3,COUNTIFS($S$2:$S$3000,1,$A$2:$A$3000,$A1482,$T$2:$T$3000,"&lt;"&amp;$T1482)+1,""))</f>
        <v/>
      </c>
      <c r="V1482" t="str">
        <f t="shared" si="355"/>
        <v>锦江都城宁德蕉城店|服务量</v>
      </c>
      <c r="W1482">
        <f t="shared" si="356"/>
        <v>1477</v>
      </c>
      <c r="X1482" t="str">
        <f t="shared" si="357"/>
        <v>锦江都城宁德蕉城店|平均入住率</v>
      </c>
      <c r="Y1482">
        <f t="shared" si="358"/>
        <v>1477</v>
      </c>
      <c r="Z1482">
        <f>IF($A1482="",0,IF(AND($M1482=1,$A1482=经营数据!$B$3,$J1482=经营数据!$BA$5,OR($I1482=经营数据!$BA$4,COUNTIF(经营数据!$AA$9:$AA$38,$I1482)&gt;0)),1,0))</f>
        <v>0</v>
      </c>
      <c r="AA1482" t="str">
        <f t="shared" si="359"/>
        <v/>
      </c>
      <c r="AB1482" t="str">
        <f t="shared" si="360"/>
        <v/>
      </c>
      <c r="AC1482">
        <f>IF($A1482="",0,IF(COUNTIF($A$2:$A1482,$A1482)=1,1,0))</f>
        <v>0</v>
      </c>
      <c r="AD1482">
        <f t="shared" si="361"/>
        <v>18</v>
      </c>
      <c r="AE1482" t="str">
        <f t="shared" si="362"/>
        <v>锦江都城宁德蕉城店|平均入住率（%）</v>
      </c>
    </row>
    <row r="1483" spans="1:31" x14ac:dyDescent="0.4">
      <c r="A1483" t="str">
        <f>IF(原始经营数据!$D1484="","",原始经营数据!$D1484)</f>
        <v>华安锦江封闭式商业不动产证券投资基金</v>
      </c>
      <c r="B1483" t="str">
        <f>IF(原始经营数据!$D1484="","",T(原始经营数据!$E1484))</f>
        <v>锦江都城宁德蕉城店</v>
      </c>
      <c r="C1483" t="str">
        <f>IF(原始经营数据!$D1484="","",原始经营数据!$F1484)</f>
        <v>2023</v>
      </c>
      <c r="D1483" t="str">
        <f>IF(原始经营数据!$D1484="","",原始经营数据!$H1484)</f>
        <v>可供房数</v>
      </c>
      <c r="E1483">
        <f>IF(原始经营数据!$D1484="","",原始经营数据!$I1484)</f>
        <v>4438</v>
      </c>
      <c r="F1483" t="str">
        <f>IF(原始经营数据!$D1484="","",T(原始经营数据!$J1484))</f>
        <v>间</v>
      </c>
      <c r="G1483" t="str">
        <f>IF(原始经营数据!$D1484="","",T(原始经营数据!$K1484))</f>
        <v/>
      </c>
      <c r="H1483" t="str">
        <f>IF(原始经营数据!$D1484="","",原始经营数据!$G1484)</f>
        <v>服务量</v>
      </c>
      <c r="I1483" t="str">
        <f>IF($A1483="","",IF($B1483&lt;&gt;"",$B1483,IF(COUNTIFS(原始经营数据!$D$3:$D$3001,$A1483,原始经营数据!$E$3:$E$3001,"",原始经营数据!$F$3:$F$3001,$C1483,原始经营数据!$H$3:$H$3001,$D1483,原始经营数据!$K$3:$K$3001,$G1483)&gt;1,"基金整体·来源"&amp;原始经营数据!$A1484,"基金整体")))</f>
        <v>锦江都城宁德蕉城店</v>
      </c>
      <c r="J1483" t="str">
        <f t="shared" si="348"/>
        <v>年度</v>
      </c>
      <c r="K1483" t="str">
        <f t="shared" si="349"/>
        <v>可供房数（间）</v>
      </c>
      <c r="L1483" t="str">
        <f t="shared" si="350"/>
        <v>锦江都城宁德蕉城店|可供房数（间）|年度</v>
      </c>
      <c r="M1483">
        <f>IF($A1483="",0,IF(COUNTIF($L$2:$L1483,$L1483)=1,1,0))</f>
        <v>0</v>
      </c>
      <c r="N1483">
        <f t="shared" si="351"/>
        <v>20230</v>
      </c>
      <c r="O1483" t="str">
        <f t="shared" si="352"/>
        <v>华安锦江封闭式商业不动产证券投资基金|2023|年度</v>
      </c>
      <c r="P1483">
        <f>IF($A1483="",0,IF(COUNTIF($O$2:$O1483,$O1483)=1,1,0))</f>
        <v>0</v>
      </c>
      <c r="Q1483" t="str">
        <f>IF(AND($P1483=1,$A1483=经营数据!$B$3,$J1483=经营数据!$BA$5),COUNTIFS($P$2:$P$3000,1,$A$2:$A$3000,$A1483,$J$2:$J$3000,$J1483,$N$2:$N$3000,"&lt;"&amp;$N1483)+1,"")</f>
        <v/>
      </c>
      <c r="R1483" t="str">
        <f t="shared" si="353"/>
        <v>华安锦江封闭式商业不动产证券投资基金|锦江都城宁德蕉城店</v>
      </c>
      <c r="S1483">
        <f>IF($A1483="",0,IF(COUNTIF($R$2:$R1483,$R1483)=1,1,0))</f>
        <v>0</v>
      </c>
      <c r="T1483">
        <f t="shared" si="354"/>
        <v>1477</v>
      </c>
      <c r="U1483" t="str">
        <f>IF($A1483="","",IF($A1483=经营数据!$B$3,COUNTIFS($S$2:$S$3000,1,$A$2:$A$3000,$A1483,$T$2:$T$3000,"&lt;"&amp;$T1483)+1,""))</f>
        <v/>
      </c>
      <c r="V1483" t="str">
        <f t="shared" si="355"/>
        <v>锦江都城宁德蕉城店|服务量</v>
      </c>
      <c r="W1483">
        <f t="shared" si="356"/>
        <v>1477</v>
      </c>
      <c r="X1483" t="str">
        <f t="shared" si="357"/>
        <v>锦江都城宁德蕉城店|可供房数</v>
      </c>
      <c r="Y1483">
        <f t="shared" si="358"/>
        <v>1478</v>
      </c>
      <c r="Z1483">
        <f>IF($A1483="",0,IF(AND($M1483=1,$A1483=经营数据!$B$3,$J1483=经营数据!$BA$5,OR($I1483=经营数据!$BA$4,COUNTIF(经营数据!$AA$9:$AA$38,$I1483)&gt;0)),1,0))</f>
        <v>0</v>
      </c>
      <c r="AA1483" t="str">
        <f t="shared" si="359"/>
        <v/>
      </c>
      <c r="AB1483" t="str">
        <f t="shared" si="360"/>
        <v/>
      </c>
      <c r="AC1483">
        <f>IF($A1483="",0,IF(COUNTIF($A$2:$A1483,$A1483)=1,1,0))</f>
        <v>0</v>
      </c>
      <c r="AD1483">
        <f t="shared" si="361"/>
        <v>18</v>
      </c>
      <c r="AE1483" t="str">
        <f t="shared" si="362"/>
        <v>锦江都城宁德蕉城店|可供房数（间）</v>
      </c>
    </row>
    <row r="1484" spans="1:31" x14ac:dyDescent="0.4">
      <c r="A1484" t="str">
        <f>IF(原始经营数据!$D1485="","",原始经营数据!$D1485)</f>
        <v>华安锦江封闭式商业不动产证券投资基金</v>
      </c>
      <c r="B1484" t="str">
        <f>IF(原始经营数据!$D1485="","",T(原始经营数据!$E1485))</f>
        <v>锦江都城宁德蕉城店</v>
      </c>
      <c r="C1484" t="str">
        <f>IF(原始经营数据!$D1485="","",原始经营数据!$F1485)</f>
        <v>2024</v>
      </c>
      <c r="D1484" t="str">
        <f>IF(原始经营数据!$D1485="","",原始经营数据!$H1485)</f>
        <v>平均房价</v>
      </c>
      <c r="E1484">
        <f>IF(原始经营数据!$D1485="","",原始经营数据!$I1485)</f>
        <v>363.9</v>
      </c>
      <c r="F1484" t="str">
        <f>IF(原始经营数据!$D1485="","",T(原始经营数据!$J1485))</f>
        <v>元/间</v>
      </c>
      <c r="G1484" t="str">
        <f>IF(原始经营数据!$D1485="","",T(原始经营数据!$K1485))</f>
        <v/>
      </c>
      <c r="H1484" t="str">
        <f>IF(原始经营数据!$D1485="","",原始经营数据!$G1485)</f>
        <v>服务量</v>
      </c>
      <c r="I1484" t="str">
        <f>IF($A1484="","",IF($B1484&lt;&gt;"",$B1484,IF(COUNTIFS(原始经营数据!$D$3:$D$3001,$A1484,原始经营数据!$E$3:$E$3001,"",原始经营数据!$F$3:$F$3001,$C1484,原始经营数据!$H$3:$H$3001,$D1484,原始经营数据!$K$3:$K$3001,$G1484)&gt;1,"基金整体·来源"&amp;原始经营数据!$A1485,"基金整体")))</f>
        <v>锦江都城宁德蕉城店</v>
      </c>
      <c r="J1484" t="str">
        <f t="shared" si="348"/>
        <v>年度</v>
      </c>
      <c r="K1484" t="str">
        <f t="shared" si="349"/>
        <v>平均房价（元/间）</v>
      </c>
      <c r="L1484" t="str">
        <f t="shared" si="350"/>
        <v>锦江都城宁德蕉城店|平均房价（元/间）|年度</v>
      </c>
      <c r="M1484">
        <f>IF($A1484="",0,IF(COUNTIF($L$2:$L1484,$L1484)=1,1,0))</f>
        <v>0</v>
      </c>
      <c r="N1484">
        <f t="shared" si="351"/>
        <v>20240</v>
      </c>
      <c r="O1484" t="str">
        <f t="shared" si="352"/>
        <v>华安锦江封闭式商业不动产证券投资基金|2024|年度</v>
      </c>
      <c r="P1484">
        <f>IF($A1484="",0,IF(COUNTIF($O$2:$O1484,$O1484)=1,1,0))</f>
        <v>0</v>
      </c>
      <c r="Q1484" t="str">
        <f>IF(AND($P1484=1,$A1484=经营数据!$B$3,$J1484=经营数据!$BA$5),COUNTIFS($P$2:$P$3000,1,$A$2:$A$3000,$A1484,$J$2:$J$3000,$J1484,$N$2:$N$3000,"&lt;"&amp;$N1484)+1,"")</f>
        <v/>
      </c>
      <c r="R1484" t="str">
        <f t="shared" si="353"/>
        <v>华安锦江封闭式商业不动产证券投资基金|锦江都城宁德蕉城店</v>
      </c>
      <c r="S1484">
        <f>IF($A1484="",0,IF(COUNTIF($R$2:$R1484,$R1484)=1,1,0))</f>
        <v>0</v>
      </c>
      <c r="T1484">
        <f t="shared" si="354"/>
        <v>1477</v>
      </c>
      <c r="U1484" t="str">
        <f>IF($A1484="","",IF($A1484=经营数据!$B$3,COUNTIFS($S$2:$S$3000,1,$A$2:$A$3000,$A1484,$T$2:$T$3000,"&lt;"&amp;$T1484)+1,""))</f>
        <v/>
      </c>
      <c r="V1484" t="str">
        <f t="shared" si="355"/>
        <v>锦江都城宁德蕉城店|服务量</v>
      </c>
      <c r="W1484">
        <f t="shared" si="356"/>
        <v>1477</v>
      </c>
      <c r="X1484" t="str">
        <f t="shared" si="357"/>
        <v>锦江都城宁德蕉城店|平均房价</v>
      </c>
      <c r="Y1484">
        <f t="shared" si="358"/>
        <v>1479</v>
      </c>
      <c r="Z1484">
        <f>IF($A1484="",0,IF(AND($M1484=1,$A1484=经营数据!$B$3,$J1484=经营数据!$BA$5,OR($I1484=经营数据!$BA$4,COUNTIF(经营数据!$AA$9:$AA$38,$I1484)&gt;0)),1,0))</f>
        <v>0</v>
      </c>
      <c r="AA1484" t="str">
        <f t="shared" si="359"/>
        <v/>
      </c>
      <c r="AB1484" t="str">
        <f t="shared" si="360"/>
        <v/>
      </c>
      <c r="AC1484">
        <f>IF($A1484="",0,IF(COUNTIF($A$2:$A1484,$A1484)=1,1,0))</f>
        <v>0</v>
      </c>
      <c r="AD1484">
        <f t="shared" si="361"/>
        <v>18</v>
      </c>
      <c r="AE1484" t="str">
        <f t="shared" si="362"/>
        <v>锦江都城宁德蕉城店|平均房价（元/间）</v>
      </c>
    </row>
    <row r="1485" spans="1:31" x14ac:dyDescent="0.4">
      <c r="A1485" t="str">
        <f>IF(原始经营数据!$D1486="","",原始经营数据!$D1486)</f>
        <v>华安锦江封闭式商业不动产证券投资基金</v>
      </c>
      <c r="B1485" t="str">
        <f>IF(原始经营数据!$D1486="","",T(原始经营数据!$E1486))</f>
        <v>锦江都城宁德蕉城店</v>
      </c>
      <c r="C1485" t="str">
        <f>IF(原始经营数据!$D1486="","",原始经营数据!$F1486)</f>
        <v>2024</v>
      </c>
      <c r="D1485" t="str">
        <f>IF(原始经营数据!$D1486="","",原始经营数据!$H1486)</f>
        <v>可供房数</v>
      </c>
      <c r="E1485">
        <f>IF(原始经营数据!$D1486="","",原始经营数据!$I1486)</f>
        <v>55998</v>
      </c>
      <c r="F1485" t="str">
        <f>IF(原始经营数据!$D1486="","",T(原始经营数据!$J1486))</f>
        <v>间</v>
      </c>
      <c r="G1485" t="str">
        <f>IF(原始经营数据!$D1486="","",T(原始经营数据!$K1486))</f>
        <v/>
      </c>
      <c r="H1485" t="str">
        <f>IF(原始经营数据!$D1486="","",原始经营数据!$G1486)</f>
        <v>服务量</v>
      </c>
      <c r="I1485" t="str">
        <f>IF($A1485="","",IF($B1485&lt;&gt;"",$B1485,IF(COUNTIFS(原始经营数据!$D$3:$D$3001,$A1485,原始经营数据!$E$3:$E$3001,"",原始经营数据!$F$3:$F$3001,$C1485,原始经营数据!$H$3:$H$3001,$D1485,原始经营数据!$K$3:$K$3001,$G1485)&gt;1,"基金整体·来源"&amp;原始经营数据!$A1486,"基金整体")))</f>
        <v>锦江都城宁德蕉城店</v>
      </c>
      <c r="J1485" t="str">
        <f t="shared" si="348"/>
        <v>年度</v>
      </c>
      <c r="K1485" t="str">
        <f t="shared" si="349"/>
        <v>可供房数（间）</v>
      </c>
      <c r="L1485" t="str">
        <f t="shared" si="350"/>
        <v>锦江都城宁德蕉城店|可供房数（间）|年度</v>
      </c>
      <c r="M1485">
        <f>IF($A1485="",0,IF(COUNTIF($L$2:$L1485,$L1485)=1,1,0))</f>
        <v>0</v>
      </c>
      <c r="N1485">
        <f t="shared" si="351"/>
        <v>20240</v>
      </c>
      <c r="O1485" t="str">
        <f t="shared" si="352"/>
        <v>华安锦江封闭式商业不动产证券投资基金|2024|年度</v>
      </c>
      <c r="P1485">
        <f>IF($A1485="",0,IF(COUNTIF($O$2:$O1485,$O1485)=1,1,0))</f>
        <v>0</v>
      </c>
      <c r="Q1485" t="str">
        <f>IF(AND($P1485=1,$A1485=经营数据!$B$3,$J1485=经营数据!$BA$5),COUNTIFS($P$2:$P$3000,1,$A$2:$A$3000,$A1485,$J$2:$J$3000,$J1485,$N$2:$N$3000,"&lt;"&amp;$N1485)+1,"")</f>
        <v/>
      </c>
      <c r="R1485" t="str">
        <f t="shared" si="353"/>
        <v>华安锦江封闭式商业不动产证券投资基金|锦江都城宁德蕉城店</v>
      </c>
      <c r="S1485">
        <f>IF($A1485="",0,IF(COUNTIF($R$2:$R1485,$R1485)=1,1,0))</f>
        <v>0</v>
      </c>
      <c r="T1485">
        <f t="shared" si="354"/>
        <v>1477</v>
      </c>
      <c r="U1485" t="str">
        <f>IF($A1485="","",IF($A1485=经营数据!$B$3,COUNTIFS($S$2:$S$3000,1,$A$2:$A$3000,$A1485,$T$2:$T$3000,"&lt;"&amp;$T1485)+1,""))</f>
        <v/>
      </c>
      <c r="V1485" t="str">
        <f t="shared" si="355"/>
        <v>锦江都城宁德蕉城店|服务量</v>
      </c>
      <c r="W1485">
        <f t="shared" si="356"/>
        <v>1477</v>
      </c>
      <c r="X1485" t="str">
        <f t="shared" si="357"/>
        <v>锦江都城宁德蕉城店|可供房数</v>
      </c>
      <c r="Y1485">
        <f t="shared" si="358"/>
        <v>1478</v>
      </c>
      <c r="Z1485">
        <f>IF($A1485="",0,IF(AND($M1485=1,$A1485=经营数据!$B$3,$J1485=经营数据!$BA$5,OR($I1485=经营数据!$BA$4,COUNTIF(经营数据!$AA$9:$AA$38,$I1485)&gt;0)),1,0))</f>
        <v>0</v>
      </c>
      <c r="AA1485" t="str">
        <f t="shared" si="359"/>
        <v/>
      </c>
      <c r="AB1485" t="str">
        <f t="shared" si="360"/>
        <v/>
      </c>
      <c r="AC1485">
        <f>IF($A1485="",0,IF(COUNTIF($A$2:$A1485,$A1485)=1,1,0))</f>
        <v>0</v>
      </c>
      <c r="AD1485">
        <f t="shared" si="361"/>
        <v>18</v>
      </c>
      <c r="AE1485" t="str">
        <f t="shared" si="362"/>
        <v>锦江都城宁德蕉城店|可供房数（间）</v>
      </c>
    </row>
    <row r="1486" spans="1:31" x14ac:dyDescent="0.4">
      <c r="A1486" t="str">
        <f>IF(原始经营数据!$D1487="","",原始经营数据!$D1487)</f>
        <v>华安锦江封闭式商业不动产证券投资基金</v>
      </c>
      <c r="B1486" t="str">
        <f>IF(原始经营数据!$D1487="","",T(原始经营数据!$E1487))</f>
        <v>锦江都城宁德蕉城店</v>
      </c>
      <c r="C1486" t="str">
        <f>IF(原始经营数据!$D1487="","",原始经营数据!$F1487)</f>
        <v>2024</v>
      </c>
      <c r="D1486" t="str">
        <f>IF(原始经营数据!$D1487="","",原始经营数据!$H1487)</f>
        <v>平均入住率</v>
      </c>
      <c r="E1486">
        <f>IF(原始经营数据!$D1487="","",原始经营数据!$I1487)</f>
        <v>59.05</v>
      </c>
      <c r="F1486" t="str">
        <f>IF(原始经营数据!$D1487="","",T(原始经营数据!$J1487))</f>
        <v>%</v>
      </c>
      <c r="G1486" t="str">
        <f>IF(原始经营数据!$D1487="","",T(原始经营数据!$K1487))</f>
        <v/>
      </c>
      <c r="H1486" t="str">
        <f>IF(原始经营数据!$D1487="","",原始经营数据!$G1487)</f>
        <v>服务量</v>
      </c>
      <c r="I1486" t="str">
        <f>IF($A1486="","",IF($B1486&lt;&gt;"",$B1486,IF(COUNTIFS(原始经营数据!$D$3:$D$3001,$A1486,原始经营数据!$E$3:$E$3001,"",原始经营数据!$F$3:$F$3001,$C1486,原始经营数据!$H$3:$H$3001,$D1486,原始经营数据!$K$3:$K$3001,$G1486)&gt;1,"基金整体·来源"&amp;原始经营数据!$A1487,"基金整体")))</f>
        <v>锦江都城宁德蕉城店</v>
      </c>
      <c r="J1486" t="str">
        <f t="shared" si="348"/>
        <v>年度</v>
      </c>
      <c r="K1486" t="str">
        <f t="shared" si="349"/>
        <v>平均入住率（%）</v>
      </c>
      <c r="L1486" t="str">
        <f t="shared" si="350"/>
        <v>锦江都城宁德蕉城店|平均入住率（%）|年度</v>
      </c>
      <c r="M1486">
        <f>IF($A1486="",0,IF(COUNTIF($L$2:$L1486,$L1486)=1,1,0))</f>
        <v>0</v>
      </c>
      <c r="N1486">
        <f t="shared" si="351"/>
        <v>20240</v>
      </c>
      <c r="O1486" t="str">
        <f t="shared" si="352"/>
        <v>华安锦江封闭式商业不动产证券投资基金|2024|年度</v>
      </c>
      <c r="P1486">
        <f>IF($A1486="",0,IF(COUNTIF($O$2:$O1486,$O1486)=1,1,0))</f>
        <v>0</v>
      </c>
      <c r="Q1486" t="str">
        <f>IF(AND($P1486=1,$A1486=经营数据!$B$3,$J1486=经营数据!$BA$5),COUNTIFS($P$2:$P$3000,1,$A$2:$A$3000,$A1486,$J$2:$J$3000,$J1486,$N$2:$N$3000,"&lt;"&amp;$N1486)+1,"")</f>
        <v/>
      </c>
      <c r="R1486" t="str">
        <f t="shared" si="353"/>
        <v>华安锦江封闭式商业不动产证券投资基金|锦江都城宁德蕉城店</v>
      </c>
      <c r="S1486">
        <f>IF($A1486="",0,IF(COUNTIF($R$2:$R1486,$R1486)=1,1,0))</f>
        <v>0</v>
      </c>
      <c r="T1486">
        <f t="shared" si="354"/>
        <v>1477</v>
      </c>
      <c r="U1486" t="str">
        <f>IF($A1486="","",IF($A1486=经营数据!$B$3,COUNTIFS($S$2:$S$3000,1,$A$2:$A$3000,$A1486,$T$2:$T$3000,"&lt;"&amp;$T1486)+1,""))</f>
        <v/>
      </c>
      <c r="V1486" t="str">
        <f t="shared" si="355"/>
        <v>锦江都城宁德蕉城店|服务量</v>
      </c>
      <c r="W1486">
        <f t="shared" si="356"/>
        <v>1477</v>
      </c>
      <c r="X1486" t="str">
        <f t="shared" si="357"/>
        <v>锦江都城宁德蕉城店|平均入住率</v>
      </c>
      <c r="Y1486">
        <f t="shared" si="358"/>
        <v>1477</v>
      </c>
      <c r="Z1486">
        <f>IF($A1486="",0,IF(AND($M1486=1,$A1486=经营数据!$B$3,$J1486=经营数据!$BA$5,OR($I1486=经营数据!$BA$4,COUNTIF(经营数据!$AA$9:$AA$38,$I1486)&gt;0)),1,0))</f>
        <v>0</v>
      </c>
      <c r="AA1486" t="str">
        <f t="shared" si="359"/>
        <v/>
      </c>
      <c r="AB1486" t="str">
        <f t="shared" si="360"/>
        <v/>
      </c>
      <c r="AC1486">
        <f>IF($A1486="",0,IF(COUNTIF($A$2:$A1486,$A1486)=1,1,0))</f>
        <v>0</v>
      </c>
      <c r="AD1486">
        <f t="shared" si="361"/>
        <v>18</v>
      </c>
      <c r="AE1486" t="str">
        <f t="shared" si="362"/>
        <v>锦江都城宁德蕉城店|平均入住率（%）</v>
      </c>
    </row>
    <row r="1487" spans="1:31" x14ac:dyDescent="0.4">
      <c r="A1487" t="str">
        <f>IF(原始经营数据!$D1488="","",原始经营数据!$D1488)</f>
        <v>华安锦江封闭式商业不动产证券投资基金</v>
      </c>
      <c r="B1487" t="str">
        <f>IF(原始经营数据!$D1488="","",T(原始经营数据!$E1488))</f>
        <v>锦江都城宁德蕉城店</v>
      </c>
      <c r="C1487" t="str">
        <f>IF(原始经营数据!$D1488="","",原始经营数据!$F1488)</f>
        <v>2025</v>
      </c>
      <c r="D1487" t="str">
        <f>IF(原始经营数据!$D1488="","",原始经营数据!$H1488)</f>
        <v>平均房价</v>
      </c>
      <c r="E1487">
        <f>IF(原始经营数据!$D1488="","",原始经营数据!$I1488)</f>
        <v>350.85</v>
      </c>
      <c r="F1487" t="str">
        <f>IF(原始经营数据!$D1488="","",T(原始经营数据!$J1488))</f>
        <v>元/间</v>
      </c>
      <c r="G1487" t="str">
        <f>IF(原始经营数据!$D1488="","",T(原始经营数据!$K1488))</f>
        <v/>
      </c>
      <c r="H1487" t="str">
        <f>IF(原始经营数据!$D1488="","",原始经营数据!$G1488)</f>
        <v>服务量</v>
      </c>
      <c r="I1487" t="str">
        <f>IF($A1487="","",IF($B1487&lt;&gt;"",$B1487,IF(COUNTIFS(原始经营数据!$D$3:$D$3001,$A1487,原始经营数据!$E$3:$E$3001,"",原始经营数据!$F$3:$F$3001,$C1487,原始经营数据!$H$3:$H$3001,$D1487,原始经营数据!$K$3:$K$3001,$G1487)&gt;1,"基金整体·来源"&amp;原始经营数据!$A1488,"基金整体")))</f>
        <v>锦江都城宁德蕉城店</v>
      </c>
      <c r="J1487" t="str">
        <f t="shared" si="348"/>
        <v>年度</v>
      </c>
      <c r="K1487" t="str">
        <f t="shared" si="349"/>
        <v>平均房价（元/间）</v>
      </c>
      <c r="L1487" t="str">
        <f t="shared" si="350"/>
        <v>锦江都城宁德蕉城店|平均房价（元/间）|年度</v>
      </c>
      <c r="M1487">
        <f>IF($A1487="",0,IF(COUNTIF($L$2:$L1487,$L1487)=1,1,0))</f>
        <v>0</v>
      </c>
      <c r="N1487">
        <f t="shared" si="351"/>
        <v>20250</v>
      </c>
      <c r="O1487" t="str">
        <f t="shared" si="352"/>
        <v>华安锦江封闭式商业不动产证券投资基金|2025|年度</v>
      </c>
      <c r="P1487">
        <f>IF($A1487="",0,IF(COUNTIF($O$2:$O1487,$O1487)=1,1,0))</f>
        <v>0</v>
      </c>
      <c r="Q1487" t="str">
        <f>IF(AND($P1487=1,$A1487=经营数据!$B$3,$J1487=经营数据!$BA$5),COUNTIFS($P$2:$P$3000,1,$A$2:$A$3000,$A1487,$J$2:$J$3000,$J1487,$N$2:$N$3000,"&lt;"&amp;$N1487)+1,"")</f>
        <v/>
      </c>
      <c r="R1487" t="str">
        <f t="shared" si="353"/>
        <v>华安锦江封闭式商业不动产证券投资基金|锦江都城宁德蕉城店</v>
      </c>
      <c r="S1487">
        <f>IF($A1487="",0,IF(COUNTIF($R$2:$R1487,$R1487)=1,1,0))</f>
        <v>0</v>
      </c>
      <c r="T1487">
        <f t="shared" si="354"/>
        <v>1477</v>
      </c>
      <c r="U1487" t="str">
        <f>IF($A1487="","",IF($A1487=经营数据!$B$3,COUNTIFS($S$2:$S$3000,1,$A$2:$A$3000,$A1487,$T$2:$T$3000,"&lt;"&amp;$T1487)+1,""))</f>
        <v/>
      </c>
      <c r="V1487" t="str">
        <f t="shared" si="355"/>
        <v>锦江都城宁德蕉城店|服务量</v>
      </c>
      <c r="W1487">
        <f t="shared" si="356"/>
        <v>1477</v>
      </c>
      <c r="X1487" t="str">
        <f t="shared" si="357"/>
        <v>锦江都城宁德蕉城店|平均房价</v>
      </c>
      <c r="Y1487">
        <f t="shared" si="358"/>
        <v>1479</v>
      </c>
      <c r="Z1487">
        <f>IF($A1487="",0,IF(AND($M1487=1,$A1487=经营数据!$B$3,$J1487=经营数据!$BA$5,OR($I1487=经营数据!$BA$4,COUNTIF(经营数据!$AA$9:$AA$38,$I1487)&gt;0)),1,0))</f>
        <v>0</v>
      </c>
      <c r="AA1487" t="str">
        <f t="shared" si="359"/>
        <v/>
      </c>
      <c r="AB1487" t="str">
        <f t="shared" si="360"/>
        <v/>
      </c>
      <c r="AC1487">
        <f>IF($A1487="",0,IF(COUNTIF($A$2:$A1487,$A1487)=1,1,0))</f>
        <v>0</v>
      </c>
      <c r="AD1487">
        <f t="shared" si="361"/>
        <v>18</v>
      </c>
      <c r="AE1487" t="str">
        <f t="shared" si="362"/>
        <v>锦江都城宁德蕉城店|平均房价（元/间）</v>
      </c>
    </row>
    <row r="1488" spans="1:31" x14ac:dyDescent="0.4">
      <c r="A1488" t="str">
        <f>IF(原始经营数据!$D1489="","",原始经营数据!$D1489)</f>
        <v>华安锦江封闭式商业不动产证券投资基金</v>
      </c>
      <c r="B1488" t="str">
        <f>IF(原始经营数据!$D1489="","",T(原始经营数据!$E1489))</f>
        <v>锦江都城宁德蕉城店</v>
      </c>
      <c r="C1488" t="str">
        <f>IF(原始经营数据!$D1489="","",原始经营数据!$F1489)</f>
        <v>2025</v>
      </c>
      <c r="D1488" t="str">
        <f>IF(原始经营数据!$D1489="","",原始经营数据!$H1489)</f>
        <v>平均入住率</v>
      </c>
      <c r="E1488">
        <f>IF(原始经营数据!$D1489="","",原始经营数据!$I1489)</f>
        <v>57.96</v>
      </c>
      <c r="F1488" t="str">
        <f>IF(原始经营数据!$D1489="","",T(原始经营数据!$J1489))</f>
        <v>%</v>
      </c>
      <c r="G1488" t="str">
        <f>IF(原始经营数据!$D1489="","",T(原始经营数据!$K1489))</f>
        <v/>
      </c>
      <c r="H1488" t="str">
        <f>IF(原始经营数据!$D1489="","",原始经营数据!$G1489)</f>
        <v>服务量</v>
      </c>
      <c r="I1488" t="str">
        <f>IF($A1488="","",IF($B1488&lt;&gt;"",$B1488,IF(COUNTIFS(原始经营数据!$D$3:$D$3001,$A1488,原始经营数据!$E$3:$E$3001,"",原始经营数据!$F$3:$F$3001,$C1488,原始经营数据!$H$3:$H$3001,$D1488,原始经营数据!$K$3:$K$3001,$G1488)&gt;1,"基金整体·来源"&amp;原始经营数据!$A1489,"基金整体")))</f>
        <v>锦江都城宁德蕉城店</v>
      </c>
      <c r="J1488" t="str">
        <f t="shared" si="348"/>
        <v>年度</v>
      </c>
      <c r="K1488" t="str">
        <f t="shared" si="349"/>
        <v>平均入住率（%）</v>
      </c>
      <c r="L1488" t="str">
        <f t="shared" si="350"/>
        <v>锦江都城宁德蕉城店|平均入住率（%）|年度</v>
      </c>
      <c r="M1488">
        <f>IF($A1488="",0,IF(COUNTIF($L$2:$L1488,$L1488)=1,1,0))</f>
        <v>0</v>
      </c>
      <c r="N1488">
        <f t="shared" si="351"/>
        <v>20250</v>
      </c>
      <c r="O1488" t="str">
        <f t="shared" si="352"/>
        <v>华安锦江封闭式商业不动产证券投资基金|2025|年度</v>
      </c>
      <c r="P1488">
        <f>IF($A1488="",0,IF(COUNTIF($O$2:$O1488,$O1488)=1,1,0))</f>
        <v>0</v>
      </c>
      <c r="Q1488" t="str">
        <f>IF(AND($P1488=1,$A1488=经营数据!$B$3,$J1488=经营数据!$BA$5),COUNTIFS($P$2:$P$3000,1,$A$2:$A$3000,$A1488,$J$2:$J$3000,$J1488,$N$2:$N$3000,"&lt;"&amp;$N1488)+1,"")</f>
        <v/>
      </c>
      <c r="R1488" t="str">
        <f t="shared" si="353"/>
        <v>华安锦江封闭式商业不动产证券投资基金|锦江都城宁德蕉城店</v>
      </c>
      <c r="S1488">
        <f>IF($A1488="",0,IF(COUNTIF($R$2:$R1488,$R1488)=1,1,0))</f>
        <v>0</v>
      </c>
      <c r="T1488">
        <f t="shared" si="354"/>
        <v>1477</v>
      </c>
      <c r="U1488" t="str">
        <f>IF($A1488="","",IF($A1488=经营数据!$B$3,COUNTIFS($S$2:$S$3000,1,$A$2:$A$3000,$A1488,$T$2:$T$3000,"&lt;"&amp;$T1488)+1,""))</f>
        <v/>
      </c>
      <c r="V1488" t="str">
        <f t="shared" si="355"/>
        <v>锦江都城宁德蕉城店|服务量</v>
      </c>
      <c r="W1488">
        <f t="shared" si="356"/>
        <v>1477</v>
      </c>
      <c r="X1488" t="str">
        <f t="shared" si="357"/>
        <v>锦江都城宁德蕉城店|平均入住率</v>
      </c>
      <c r="Y1488">
        <f t="shared" si="358"/>
        <v>1477</v>
      </c>
      <c r="Z1488">
        <f>IF($A1488="",0,IF(AND($M1488=1,$A1488=经营数据!$B$3,$J1488=经营数据!$BA$5,OR($I1488=经营数据!$BA$4,COUNTIF(经营数据!$AA$9:$AA$38,$I1488)&gt;0)),1,0))</f>
        <v>0</v>
      </c>
      <c r="AA1488" t="str">
        <f t="shared" si="359"/>
        <v/>
      </c>
      <c r="AB1488" t="str">
        <f t="shared" si="360"/>
        <v/>
      </c>
      <c r="AC1488">
        <f>IF($A1488="",0,IF(COUNTIF($A$2:$A1488,$A1488)=1,1,0))</f>
        <v>0</v>
      </c>
      <c r="AD1488">
        <f t="shared" si="361"/>
        <v>18</v>
      </c>
      <c r="AE1488" t="str">
        <f t="shared" si="362"/>
        <v>锦江都城宁德蕉城店|平均入住率（%）</v>
      </c>
    </row>
    <row r="1489" spans="1:31" x14ac:dyDescent="0.4">
      <c r="A1489" t="str">
        <f>IF(原始经营数据!$D1490="","",原始经营数据!$D1490)</f>
        <v>华安锦江封闭式商业不动产证券投资基金</v>
      </c>
      <c r="B1489" t="str">
        <f>IF(原始经营数据!$D1490="","",T(原始经营数据!$E1490))</f>
        <v>锦江都城宁德蕉城店</v>
      </c>
      <c r="C1489" t="str">
        <f>IF(原始经营数据!$D1490="","",原始经营数据!$F1490)</f>
        <v>2025</v>
      </c>
      <c r="D1489" t="str">
        <f>IF(原始经营数据!$D1490="","",原始经营数据!$H1490)</f>
        <v>可供房数</v>
      </c>
      <c r="E1489">
        <f>IF(原始经营数据!$D1490="","",原始经营数据!$I1490)</f>
        <v>55845</v>
      </c>
      <c r="F1489" t="str">
        <f>IF(原始经营数据!$D1490="","",T(原始经营数据!$J1490))</f>
        <v>间</v>
      </c>
      <c r="G1489" t="str">
        <f>IF(原始经营数据!$D1490="","",T(原始经营数据!$K1490))</f>
        <v/>
      </c>
      <c r="H1489" t="str">
        <f>IF(原始经营数据!$D1490="","",原始经营数据!$G1490)</f>
        <v>服务量</v>
      </c>
      <c r="I1489" t="str">
        <f>IF($A1489="","",IF($B1489&lt;&gt;"",$B1489,IF(COUNTIFS(原始经营数据!$D$3:$D$3001,$A1489,原始经营数据!$E$3:$E$3001,"",原始经营数据!$F$3:$F$3001,$C1489,原始经营数据!$H$3:$H$3001,$D1489,原始经营数据!$K$3:$K$3001,$G1489)&gt;1,"基金整体·来源"&amp;原始经营数据!$A1490,"基金整体")))</f>
        <v>锦江都城宁德蕉城店</v>
      </c>
      <c r="J1489" t="str">
        <f t="shared" si="348"/>
        <v>年度</v>
      </c>
      <c r="K1489" t="str">
        <f t="shared" si="349"/>
        <v>可供房数（间）</v>
      </c>
      <c r="L1489" t="str">
        <f t="shared" si="350"/>
        <v>锦江都城宁德蕉城店|可供房数（间）|年度</v>
      </c>
      <c r="M1489">
        <f>IF($A1489="",0,IF(COUNTIF($L$2:$L1489,$L1489)=1,1,0))</f>
        <v>0</v>
      </c>
      <c r="N1489">
        <f t="shared" si="351"/>
        <v>20250</v>
      </c>
      <c r="O1489" t="str">
        <f t="shared" si="352"/>
        <v>华安锦江封闭式商业不动产证券投资基金|2025|年度</v>
      </c>
      <c r="P1489">
        <f>IF($A1489="",0,IF(COUNTIF($O$2:$O1489,$O1489)=1,1,0))</f>
        <v>0</v>
      </c>
      <c r="Q1489" t="str">
        <f>IF(AND($P1489=1,$A1489=经营数据!$B$3,$J1489=经营数据!$BA$5),COUNTIFS($P$2:$P$3000,1,$A$2:$A$3000,$A1489,$J$2:$J$3000,$J1489,$N$2:$N$3000,"&lt;"&amp;$N1489)+1,"")</f>
        <v/>
      </c>
      <c r="R1489" t="str">
        <f t="shared" si="353"/>
        <v>华安锦江封闭式商业不动产证券投资基金|锦江都城宁德蕉城店</v>
      </c>
      <c r="S1489">
        <f>IF($A1489="",0,IF(COUNTIF($R$2:$R1489,$R1489)=1,1,0))</f>
        <v>0</v>
      </c>
      <c r="T1489">
        <f t="shared" si="354"/>
        <v>1477</v>
      </c>
      <c r="U1489" t="str">
        <f>IF($A1489="","",IF($A1489=经营数据!$B$3,COUNTIFS($S$2:$S$3000,1,$A$2:$A$3000,$A1489,$T$2:$T$3000,"&lt;"&amp;$T1489)+1,""))</f>
        <v/>
      </c>
      <c r="V1489" t="str">
        <f t="shared" si="355"/>
        <v>锦江都城宁德蕉城店|服务量</v>
      </c>
      <c r="W1489">
        <f t="shared" si="356"/>
        <v>1477</v>
      </c>
      <c r="X1489" t="str">
        <f t="shared" si="357"/>
        <v>锦江都城宁德蕉城店|可供房数</v>
      </c>
      <c r="Y1489">
        <f t="shared" si="358"/>
        <v>1478</v>
      </c>
      <c r="Z1489">
        <f>IF($A1489="",0,IF(AND($M1489=1,$A1489=经营数据!$B$3,$J1489=经营数据!$BA$5,OR($I1489=经营数据!$BA$4,COUNTIF(经营数据!$AA$9:$AA$38,$I1489)&gt;0)),1,0))</f>
        <v>0</v>
      </c>
      <c r="AA1489" t="str">
        <f t="shared" si="359"/>
        <v/>
      </c>
      <c r="AB1489" t="str">
        <f t="shared" si="360"/>
        <v/>
      </c>
      <c r="AC1489">
        <f>IF($A1489="",0,IF(COUNTIF($A$2:$A1489,$A1489)=1,1,0))</f>
        <v>0</v>
      </c>
      <c r="AD1489">
        <f t="shared" si="361"/>
        <v>18</v>
      </c>
      <c r="AE1489" t="str">
        <f t="shared" si="362"/>
        <v>锦江都城宁德蕉城店|可供房数（间）</v>
      </c>
    </row>
    <row r="1490" spans="1:31" x14ac:dyDescent="0.4">
      <c r="A1490" t="str">
        <f>IF(原始经营数据!$D1491="","",原始经营数据!$D1491)</f>
        <v>华安锦江封闭式商业不动产证券投资基金</v>
      </c>
      <c r="B1490" t="str">
        <f>IF(原始经营数据!$D1491="","",T(原始经营数据!$E1491))</f>
        <v>锦江都城常州新北店</v>
      </c>
      <c r="C1490" t="str">
        <f>IF(原始经营数据!$D1491="","",原始经营数据!$F1491)</f>
        <v>2022</v>
      </c>
      <c r="D1490" t="str">
        <f>IF(原始经营数据!$D1491="","",原始经营数据!$H1491)</f>
        <v>平均房价</v>
      </c>
      <c r="E1490">
        <f>IF(原始经营数据!$D1491="","",原始经营数据!$I1491)</f>
        <v>246.73</v>
      </c>
      <c r="F1490" t="str">
        <f>IF(原始经营数据!$D1491="","",T(原始经营数据!$J1491))</f>
        <v>元/间</v>
      </c>
      <c r="G1490" t="str">
        <f>IF(原始经营数据!$D1491="","",T(原始经营数据!$K1491))</f>
        <v/>
      </c>
      <c r="H1490" t="str">
        <f>IF(原始经营数据!$D1491="","",原始经营数据!$G1491)</f>
        <v>服务量</v>
      </c>
      <c r="I1490" t="str">
        <f>IF($A1490="","",IF($B1490&lt;&gt;"",$B1490,IF(COUNTIFS(原始经营数据!$D$3:$D$3001,$A1490,原始经营数据!$E$3:$E$3001,"",原始经营数据!$F$3:$F$3001,$C1490,原始经营数据!$H$3:$H$3001,$D1490,原始经营数据!$K$3:$K$3001,$G1490)&gt;1,"基金整体·来源"&amp;原始经营数据!$A1491,"基金整体")))</f>
        <v>锦江都城常州新北店</v>
      </c>
      <c r="J1490" t="str">
        <f t="shared" si="348"/>
        <v>年度</v>
      </c>
      <c r="K1490" t="str">
        <f t="shared" si="349"/>
        <v>平均房价（元/间）</v>
      </c>
      <c r="L1490" t="str">
        <f t="shared" si="350"/>
        <v>锦江都城常州新北店|平均房价（元/间）|年度</v>
      </c>
      <c r="M1490">
        <f>IF($A1490="",0,IF(COUNTIF($L$2:$L1490,$L1490)=1,1,0))</f>
        <v>1</v>
      </c>
      <c r="N1490">
        <f t="shared" si="351"/>
        <v>20220</v>
      </c>
      <c r="O1490" t="str">
        <f t="shared" si="352"/>
        <v>华安锦江封闭式商业不动产证券投资基金|2022|年度</v>
      </c>
      <c r="P1490">
        <f>IF($A1490="",0,IF(COUNTIF($O$2:$O1490,$O1490)=1,1,0))</f>
        <v>0</v>
      </c>
      <c r="Q1490" t="str">
        <f>IF(AND($P1490=1,$A1490=经营数据!$B$3,$J1490=经营数据!$BA$5),COUNTIFS($P$2:$P$3000,1,$A$2:$A$3000,$A1490,$J$2:$J$3000,$J1490,$N$2:$N$3000,"&lt;"&amp;$N1490)+1,"")</f>
        <v/>
      </c>
      <c r="R1490" t="str">
        <f t="shared" si="353"/>
        <v>华安锦江封闭式商业不动产证券投资基金|锦江都城常州新北店</v>
      </c>
      <c r="S1490">
        <f>IF($A1490="",0,IF(COUNTIF($R$2:$R1490,$R1490)=1,1,0))</f>
        <v>1</v>
      </c>
      <c r="T1490">
        <f t="shared" si="354"/>
        <v>1489</v>
      </c>
      <c r="U1490" t="str">
        <f>IF($A1490="","",IF($A1490=经营数据!$B$3,COUNTIFS($S$2:$S$3000,1,$A$2:$A$3000,$A1490,$T$2:$T$3000,"&lt;"&amp;$T1490)+1,""))</f>
        <v/>
      </c>
      <c r="V1490" t="str">
        <f t="shared" si="355"/>
        <v>锦江都城常州新北店|服务量</v>
      </c>
      <c r="W1490">
        <f t="shared" si="356"/>
        <v>1489</v>
      </c>
      <c r="X1490" t="str">
        <f t="shared" si="357"/>
        <v>锦江都城常州新北店|平均房价</v>
      </c>
      <c r="Y1490">
        <f t="shared" si="358"/>
        <v>1489</v>
      </c>
      <c r="Z1490">
        <f>IF($A1490="",0,IF(AND($M1490=1,$A1490=经营数据!$B$3,$J1490=经营数据!$BA$5,OR($I1490=经营数据!$BA$4,COUNTIF(经营数据!$AA$9:$AA$38,$I1490)&gt;0)),1,0))</f>
        <v>0</v>
      </c>
      <c r="AA1490" t="str">
        <f t="shared" si="359"/>
        <v/>
      </c>
      <c r="AB1490" t="str">
        <f t="shared" si="360"/>
        <v/>
      </c>
      <c r="AC1490">
        <f>IF($A1490="",0,IF(COUNTIF($A$2:$A1490,$A1490)=1,1,0))</f>
        <v>0</v>
      </c>
      <c r="AD1490">
        <f t="shared" si="361"/>
        <v>18</v>
      </c>
      <c r="AE1490" t="str">
        <f t="shared" si="362"/>
        <v>锦江都城常州新北店|平均房价（元/间）</v>
      </c>
    </row>
    <row r="1491" spans="1:31" x14ac:dyDescent="0.4">
      <c r="A1491" t="str">
        <f>IF(原始经营数据!$D1492="","",原始经营数据!$D1492)</f>
        <v>华安锦江封闭式商业不动产证券投资基金</v>
      </c>
      <c r="B1491" t="str">
        <f>IF(原始经营数据!$D1492="","",T(原始经营数据!$E1492))</f>
        <v>锦江都城常州新北店</v>
      </c>
      <c r="C1491" t="str">
        <f>IF(原始经营数据!$D1492="","",原始经营数据!$F1492)</f>
        <v>2022</v>
      </c>
      <c r="D1491" t="str">
        <f>IF(原始经营数据!$D1492="","",原始经营数据!$H1492)</f>
        <v>平均入住率</v>
      </c>
      <c r="E1491">
        <f>IF(原始经营数据!$D1492="","",原始经营数据!$I1492)</f>
        <v>49.91</v>
      </c>
      <c r="F1491" t="str">
        <f>IF(原始经营数据!$D1492="","",T(原始经营数据!$J1492))</f>
        <v>%</v>
      </c>
      <c r="G1491" t="str">
        <f>IF(原始经营数据!$D1492="","",T(原始经营数据!$K1492))</f>
        <v/>
      </c>
      <c r="H1491" t="str">
        <f>IF(原始经营数据!$D1492="","",原始经营数据!$G1492)</f>
        <v>服务量</v>
      </c>
      <c r="I1491" t="str">
        <f>IF($A1491="","",IF($B1491&lt;&gt;"",$B1491,IF(COUNTIFS(原始经营数据!$D$3:$D$3001,$A1491,原始经营数据!$E$3:$E$3001,"",原始经营数据!$F$3:$F$3001,$C1491,原始经营数据!$H$3:$H$3001,$D1491,原始经营数据!$K$3:$K$3001,$G1491)&gt;1,"基金整体·来源"&amp;原始经营数据!$A1492,"基金整体")))</f>
        <v>锦江都城常州新北店</v>
      </c>
      <c r="J1491" t="str">
        <f t="shared" si="348"/>
        <v>年度</v>
      </c>
      <c r="K1491" t="str">
        <f t="shared" si="349"/>
        <v>平均入住率（%）</v>
      </c>
      <c r="L1491" t="str">
        <f t="shared" si="350"/>
        <v>锦江都城常州新北店|平均入住率（%）|年度</v>
      </c>
      <c r="M1491">
        <f>IF($A1491="",0,IF(COUNTIF($L$2:$L1491,$L1491)=1,1,0))</f>
        <v>1</v>
      </c>
      <c r="N1491">
        <f t="shared" si="351"/>
        <v>20220</v>
      </c>
      <c r="O1491" t="str">
        <f t="shared" si="352"/>
        <v>华安锦江封闭式商业不动产证券投资基金|2022|年度</v>
      </c>
      <c r="P1491">
        <f>IF($A1491="",0,IF(COUNTIF($O$2:$O1491,$O1491)=1,1,0))</f>
        <v>0</v>
      </c>
      <c r="Q1491" t="str">
        <f>IF(AND($P1491=1,$A1491=经营数据!$B$3,$J1491=经营数据!$BA$5),COUNTIFS($P$2:$P$3000,1,$A$2:$A$3000,$A1491,$J$2:$J$3000,$J1491,$N$2:$N$3000,"&lt;"&amp;$N1491)+1,"")</f>
        <v/>
      </c>
      <c r="R1491" t="str">
        <f t="shared" si="353"/>
        <v>华安锦江封闭式商业不动产证券投资基金|锦江都城常州新北店</v>
      </c>
      <c r="S1491">
        <f>IF($A1491="",0,IF(COUNTIF($R$2:$R1491,$R1491)=1,1,0))</f>
        <v>0</v>
      </c>
      <c r="T1491">
        <f t="shared" si="354"/>
        <v>1489</v>
      </c>
      <c r="U1491" t="str">
        <f>IF($A1491="","",IF($A1491=经营数据!$B$3,COUNTIFS($S$2:$S$3000,1,$A$2:$A$3000,$A1491,$T$2:$T$3000,"&lt;"&amp;$T1491)+1,""))</f>
        <v/>
      </c>
      <c r="V1491" t="str">
        <f t="shared" si="355"/>
        <v>锦江都城常州新北店|服务量</v>
      </c>
      <c r="W1491">
        <f t="shared" si="356"/>
        <v>1489</v>
      </c>
      <c r="X1491" t="str">
        <f t="shared" si="357"/>
        <v>锦江都城常州新北店|平均入住率</v>
      </c>
      <c r="Y1491">
        <f t="shared" si="358"/>
        <v>1490</v>
      </c>
      <c r="Z1491">
        <f>IF($A1491="",0,IF(AND($M1491=1,$A1491=经营数据!$B$3,$J1491=经营数据!$BA$5,OR($I1491=经营数据!$BA$4,COUNTIF(经营数据!$AA$9:$AA$38,$I1491)&gt;0)),1,0))</f>
        <v>0</v>
      </c>
      <c r="AA1491" t="str">
        <f t="shared" si="359"/>
        <v/>
      </c>
      <c r="AB1491" t="str">
        <f t="shared" si="360"/>
        <v/>
      </c>
      <c r="AC1491">
        <f>IF($A1491="",0,IF(COUNTIF($A$2:$A1491,$A1491)=1,1,0))</f>
        <v>0</v>
      </c>
      <c r="AD1491">
        <f t="shared" si="361"/>
        <v>18</v>
      </c>
      <c r="AE1491" t="str">
        <f t="shared" si="362"/>
        <v>锦江都城常州新北店|平均入住率（%）</v>
      </c>
    </row>
    <row r="1492" spans="1:31" x14ac:dyDescent="0.4">
      <c r="A1492" t="str">
        <f>IF(原始经营数据!$D1493="","",原始经营数据!$D1493)</f>
        <v>华安锦江封闭式商业不动产证券投资基金</v>
      </c>
      <c r="B1492" t="str">
        <f>IF(原始经营数据!$D1493="","",T(原始经营数据!$E1493))</f>
        <v>锦江都城常州新北店</v>
      </c>
      <c r="C1492" t="str">
        <f>IF(原始经营数据!$D1493="","",原始经营数据!$F1493)</f>
        <v>2022</v>
      </c>
      <c r="D1492" t="str">
        <f>IF(原始经营数据!$D1493="","",原始经营数据!$H1493)</f>
        <v>可供房数</v>
      </c>
      <c r="E1492">
        <f>IF(原始经营数据!$D1493="","",原始经营数据!$I1493)</f>
        <v>46674</v>
      </c>
      <c r="F1492" t="str">
        <f>IF(原始经营数据!$D1493="","",T(原始经营数据!$J1493))</f>
        <v>间</v>
      </c>
      <c r="G1492" t="str">
        <f>IF(原始经营数据!$D1493="","",T(原始经营数据!$K1493))</f>
        <v/>
      </c>
      <c r="H1492" t="str">
        <f>IF(原始经营数据!$D1493="","",原始经营数据!$G1493)</f>
        <v>服务量</v>
      </c>
      <c r="I1492" t="str">
        <f>IF($A1492="","",IF($B1492&lt;&gt;"",$B1492,IF(COUNTIFS(原始经营数据!$D$3:$D$3001,$A1492,原始经营数据!$E$3:$E$3001,"",原始经营数据!$F$3:$F$3001,$C1492,原始经营数据!$H$3:$H$3001,$D1492,原始经营数据!$K$3:$K$3001,$G1492)&gt;1,"基金整体·来源"&amp;原始经营数据!$A1493,"基金整体")))</f>
        <v>锦江都城常州新北店</v>
      </c>
      <c r="J1492" t="str">
        <f t="shared" si="348"/>
        <v>年度</v>
      </c>
      <c r="K1492" t="str">
        <f t="shared" si="349"/>
        <v>可供房数（间）</v>
      </c>
      <c r="L1492" t="str">
        <f t="shared" si="350"/>
        <v>锦江都城常州新北店|可供房数（间）|年度</v>
      </c>
      <c r="M1492">
        <f>IF($A1492="",0,IF(COUNTIF($L$2:$L1492,$L1492)=1,1,0))</f>
        <v>1</v>
      </c>
      <c r="N1492">
        <f t="shared" si="351"/>
        <v>20220</v>
      </c>
      <c r="O1492" t="str">
        <f t="shared" si="352"/>
        <v>华安锦江封闭式商业不动产证券投资基金|2022|年度</v>
      </c>
      <c r="P1492">
        <f>IF($A1492="",0,IF(COUNTIF($O$2:$O1492,$O1492)=1,1,0))</f>
        <v>0</v>
      </c>
      <c r="Q1492" t="str">
        <f>IF(AND($P1492=1,$A1492=经营数据!$B$3,$J1492=经营数据!$BA$5),COUNTIFS($P$2:$P$3000,1,$A$2:$A$3000,$A1492,$J$2:$J$3000,$J1492,$N$2:$N$3000,"&lt;"&amp;$N1492)+1,"")</f>
        <v/>
      </c>
      <c r="R1492" t="str">
        <f t="shared" si="353"/>
        <v>华安锦江封闭式商业不动产证券投资基金|锦江都城常州新北店</v>
      </c>
      <c r="S1492">
        <f>IF($A1492="",0,IF(COUNTIF($R$2:$R1492,$R1492)=1,1,0))</f>
        <v>0</v>
      </c>
      <c r="T1492">
        <f t="shared" si="354"/>
        <v>1489</v>
      </c>
      <c r="U1492" t="str">
        <f>IF($A1492="","",IF($A1492=经营数据!$B$3,COUNTIFS($S$2:$S$3000,1,$A$2:$A$3000,$A1492,$T$2:$T$3000,"&lt;"&amp;$T1492)+1,""))</f>
        <v/>
      </c>
      <c r="V1492" t="str">
        <f t="shared" si="355"/>
        <v>锦江都城常州新北店|服务量</v>
      </c>
      <c r="W1492">
        <f t="shared" si="356"/>
        <v>1489</v>
      </c>
      <c r="X1492" t="str">
        <f t="shared" si="357"/>
        <v>锦江都城常州新北店|可供房数</v>
      </c>
      <c r="Y1492">
        <f t="shared" si="358"/>
        <v>1491</v>
      </c>
      <c r="Z1492">
        <f>IF($A1492="",0,IF(AND($M1492=1,$A1492=经营数据!$B$3,$J1492=经营数据!$BA$5,OR($I1492=经营数据!$BA$4,COUNTIF(经营数据!$AA$9:$AA$38,$I1492)&gt;0)),1,0))</f>
        <v>0</v>
      </c>
      <c r="AA1492" t="str">
        <f t="shared" si="359"/>
        <v/>
      </c>
      <c r="AB1492" t="str">
        <f t="shared" si="360"/>
        <v/>
      </c>
      <c r="AC1492">
        <f>IF($A1492="",0,IF(COUNTIF($A$2:$A1492,$A1492)=1,1,0))</f>
        <v>0</v>
      </c>
      <c r="AD1492">
        <f t="shared" si="361"/>
        <v>18</v>
      </c>
      <c r="AE1492" t="str">
        <f t="shared" si="362"/>
        <v>锦江都城常州新北店|可供房数（间）</v>
      </c>
    </row>
    <row r="1493" spans="1:31" x14ac:dyDescent="0.4">
      <c r="A1493" t="str">
        <f>IF(原始经营数据!$D1494="","",原始经营数据!$D1494)</f>
        <v>华安锦江封闭式商业不动产证券投资基金</v>
      </c>
      <c r="B1493" t="str">
        <f>IF(原始经营数据!$D1494="","",T(原始经营数据!$E1494))</f>
        <v>锦江都城常州新北店</v>
      </c>
      <c r="C1493" t="str">
        <f>IF(原始经营数据!$D1494="","",原始经营数据!$F1494)</f>
        <v>2023</v>
      </c>
      <c r="D1493" t="str">
        <f>IF(原始经营数据!$D1494="","",原始经营数据!$H1494)</f>
        <v>平均房价</v>
      </c>
      <c r="E1493">
        <f>IF(原始经营数据!$D1494="","",原始经营数据!$I1494)</f>
        <v>244.99</v>
      </c>
      <c r="F1493" t="str">
        <f>IF(原始经营数据!$D1494="","",T(原始经营数据!$J1494))</f>
        <v>元/间</v>
      </c>
      <c r="G1493" t="str">
        <f>IF(原始经营数据!$D1494="","",T(原始经营数据!$K1494))</f>
        <v/>
      </c>
      <c r="H1493" t="str">
        <f>IF(原始经营数据!$D1494="","",原始经营数据!$G1494)</f>
        <v>服务量</v>
      </c>
      <c r="I1493" t="str">
        <f>IF($A1493="","",IF($B1493&lt;&gt;"",$B1493,IF(COUNTIFS(原始经营数据!$D$3:$D$3001,$A1493,原始经营数据!$E$3:$E$3001,"",原始经营数据!$F$3:$F$3001,$C1493,原始经营数据!$H$3:$H$3001,$D1493,原始经营数据!$K$3:$K$3001,$G1493)&gt;1,"基金整体·来源"&amp;原始经营数据!$A1494,"基金整体")))</f>
        <v>锦江都城常州新北店</v>
      </c>
      <c r="J1493" t="str">
        <f t="shared" si="348"/>
        <v>年度</v>
      </c>
      <c r="K1493" t="str">
        <f t="shared" si="349"/>
        <v>平均房价（元/间）</v>
      </c>
      <c r="L1493" t="str">
        <f t="shared" si="350"/>
        <v>锦江都城常州新北店|平均房价（元/间）|年度</v>
      </c>
      <c r="M1493">
        <f>IF($A1493="",0,IF(COUNTIF($L$2:$L1493,$L1493)=1,1,0))</f>
        <v>0</v>
      </c>
      <c r="N1493">
        <f t="shared" si="351"/>
        <v>20230</v>
      </c>
      <c r="O1493" t="str">
        <f t="shared" si="352"/>
        <v>华安锦江封闭式商业不动产证券投资基金|2023|年度</v>
      </c>
      <c r="P1493">
        <f>IF($A1493="",0,IF(COUNTIF($O$2:$O1493,$O1493)=1,1,0))</f>
        <v>0</v>
      </c>
      <c r="Q1493" t="str">
        <f>IF(AND($P1493=1,$A1493=经营数据!$B$3,$J1493=经营数据!$BA$5),COUNTIFS($P$2:$P$3000,1,$A$2:$A$3000,$A1493,$J$2:$J$3000,$J1493,$N$2:$N$3000,"&lt;"&amp;$N1493)+1,"")</f>
        <v/>
      </c>
      <c r="R1493" t="str">
        <f t="shared" si="353"/>
        <v>华安锦江封闭式商业不动产证券投资基金|锦江都城常州新北店</v>
      </c>
      <c r="S1493">
        <f>IF($A1493="",0,IF(COUNTIF($R$2:$R1493,$R1493)=1,1,0))</f>
        <v>0</v>
      </c>
      <c r="T1493">
        <f t="shared" si="354"/>
        <v>1489</v>
      </c>
      <c r="U1493" t="str">
        <f>IF($A1493="","",IF($A1493=经营数据!$B$3,COUNTIFS($S$2:$S$3000,1,$A$2:$A$3000,$A1493,$T$2:$T$3000,"&lt;"&amp;$T1493)+1,""))</f>
        <v/>
      </c>
      <c r="V1493" t="str">
        <f t="shared" si="355"/>
        <v>锦江都城常州新北店|服务量</v>
      </c>
      <c r="W1493">
        <f t="shared" si="356"/>
        <v>1489</v>
      </c>
      <c r="X1493" t="str">
        <f t="shared" si="357"/>
        <v>锦江都城常州新北店|平均房价</v>
      </c>
      <c r="Y1493">
        <f t="shared" si="358"/>
        <v>1489</v>
      </c>
      <c r="Z1493">
        <f>IF($A1493="",0,IF(AND($M1493=1,$A1493=经营数据!$B$3,$J1493=经营数据!$BA$5,OR($I1493=经营数据!$BA$4,COUNTIF(经营数据!$AA$9:$AA$38,$I1493)&gt;0)),1,0))</f>
        <v>0</v>
      </c>
      <c r="AA1493" t="str">
        <f t="shared" si="359"/>
        <v/>
      </c>
      <c r="AB1493" t="str">
        <f t="shared" si="360"/>
        <v/>
      </c>
      <c r="AC1493">
        <f>IF($A1493="",0,IF(COUNTIF($A$2:$A1493,$A1493)=1,1,0))</f>
        <v>0</v>
      </c>
      <c r="AD1493">
        <f t="shared" si="361"/>
        <v>18</v>
      </c>
      <c r="AE1493" t="str">
        <f t="shared" si="362"/>
        <v>锦江都城常州新北店|平均房价（元/间）</v>
      </c>
    </row>
    <row r="1494" spans="1:31" x14ac:dyDescent="0.4">
      <c r="A1494" t="str">
        <f>IF(原始经营数据!$D1495="","",原始经营数据!$D1495)</f>
        <v>华安锦江封闭式商业不动产证券投资基金</v>
      </c>
      <c r="B1494" t="str">
        <f>IF(原始经营数据!$D1495="","",T(原始经营数据!$E1495))</f>
        <v>锦江都城常州新北店</v>
      </c>
      <c r="C1494" t="str">
        <f>IF(原始经营数据!$D1495="","",原始经营数据!$F1495)</f>
        <v>2023</v>
      </c>
      <c r="D1494" t="str">
        <f>IF(原始经营数据!$D1495="","",原始经营数据!$H1495)</f>
        <v>平均入住率</v>
      </c>
      <c r="E1494">
        <f>IF(原始经营数据!$D1495="","",原始经营数据!$I1495)</f>
        <v>62.49</v>
      </c>
      <c r="F1494" t="str">
        <f>IF(原始经营数据!$D1495="","",T(原始经营数据!$J1495))</f>
        <v>%</v>
      </c>
      <c r="G1494" t="str">
        <f>IF(原始经营数据!$D1495="","",T(原始经营数据!$K1495))</f>
        <v/>
      </c>
      <c r="H1494" t="str">
        <f>IF(原始经营数据!$D1495="","",原始经营数据!$G1495)</f>
        <v>服务量</v>
      </c>
      <c r="I1494" t="str">
        <f>IF($A1494="","",IF($B1494&lt;&gt;"",$B1494,IF(COUNTIFS(原始经营数据!$D$3:$D$3001,$A1494,原始经营数据!$E$3:$E$3001,"",原始经营数据!$F$3:$F$3001,$C1494,原始经营数据!$H$3:$H$3001,$D1494,原始经营数据!$K$3:$K$3001,$G1494)&gt;1,"基金整体·来源"&amp;原始经营数据!$A1495,"基金整体")))</f>
        <v>锦江都城常州新北店</v>
      </c>
      <c r="J1494" t="str">
        <f t="shared" si="348"/>
        <v>年度</v>
      </c>
      <c r="K1494" t="str">
        <f t="shared" si="349"/>
        <v>平均入住率（%）</v>
      </c>
      <c r="L1494" t="str">
        <f t="shared" si="350"/>
        <v>锦江都城常州新北店|平均入住率（%）|年度</v>
      </c>
      <c r="M1494">
        <f>IF($A1494="",0,IF(COUNTIF($L$2:$L1494,$L1494)=1,1,0))</f>
        <v>0</v>
      </c>
      <c r="N1494">
        <f t="shared" si="351"/>
        <v>20230</v>
      </c>
      <c r="O1494" t="str">
        <f t="shared" si="352"/>
        <v>华安锦江封闭式商业不动产证券投资基金|2023|年度</v>
      </c>
      <c r="P1494">
        <f>IF($A1494="",0,IF(COUNTIF($O$2:$O1494,$O1494)=1,1,0))</f>
        <v>0</v>
      </c>
      <c r="Q1494" t="str">
        <f>IF(AND($P1494=1,$A1494=经营数据!$B$3,$J1494=经营数据!$BA$5),COUNTIFS($P$2:$P$3000,1,$A$2:$A$3000,$A1494,$J$2:$J$3000,$J1494,$N$2:$N$3000,"&lt;"&amp;$N1494)+1,"")</f>
        <v/>
      </c>
      <c r="R1494" t="str">
        <f t="shared" si="353"/>
        <v>华安锦江封闭式商业不动产证券投资基金|锦江都城常州新北店</v>
      </c>
      <c r="S1494">
        <f>IF($A1494="",0,IF(COUNTIF($R$2:$R1494,$R1494)=1,1,0))</f>
        <v>0</v>
      </c>
      <c r="T1494">
        <f t="shared" si="354"/>
        <v>1489</v>
      </c>
      <c r="U1494" t="str">
        <f>IF($A1494="","",IF($A1494=经营数据!$B$3,COUNTIFS($S$2:$S$3000,1,$A$2:$A$3000,$A1494,$T$2:$T$3000,"&lt;"&amp;$T1494)+1,""))</f>
        <v/>
      </c>
      <c r="V1494" t="str">
        <f t="shared" si="355"/>
        <v>锦江都城常州新北店|服务量</v>
      </c>
      <c r="W1494">
        <f t="shared" si="356"/>
        <v>1489</v>
      </c>
      <c r="X1494" t="str">
        <f t="shared" si="357"/>
        <v>锦江都城常州新北店|平均入住率</v>
      </c>
      <c r="Y1494">
        <f t="shared" si="358"/>
        <v>1490</v>
      </c>
      <c r="Z1494">
        <f>IF($A1494="",0,IF(AND($M1494=1,$A1494=经营数据!$B$3,$J1494=经营数据!$BA$5,OR($I1494=经营数据!$BA$4,COUNTIF(经营数据!$AA$9:$AA$38,$I1494)&gt;0)),1,0))</f>
        <v>0</v>
      </c>
      <c r="AA1494" t="str">
        <f t="shared" si="359"/>
        <v/>
      </c>
      <c r="AB1494" t="str">
        <f t="shared" si="360"/>
        <v/>
      </c>
      <c r="AC1494">
        <f>IF($A1494="",0,IF(COUNTIF($A$2:$A1494,$A1494)=1,1,0))</f>
        <v>0</v>
      </c>
      <c r="AD1494">
        <f t="shared" si="361"/>
        <v>18</v>
      </c>
      <c r="AE1494" t="str">
        <f t="shared" si="362"/>
        <v>锦江都城常州新北店|平均入住率（%）</v>
      </c>
    </row>
    <row r="1495" spans="1:31" x14ac:dyDescent="0.4">
      <c r="A1495" t="str">
        <f>IF(原始经营数据!$D1496="","",原始经营数据!$D1496)</f>
        <v>华安锦江封闭式商业不动产证券投资基金</v>
      </c>
      <c r="B1495" t="str">
        <f>IF(原始经营数据!$D1496="","",T(原始经营数据!$E1496))</f>
        <v>锦江都城常州新北店</v>
      </c>
      <c r="C1495" t="str">
        <f>IF(原始经营数据!$D1496="","",原始经营数据!$F1496)</f>
        <v>2023</v>
      </c>
      <c r="D1495" t="str">
        <f>IF(原始经营数据!$D1496="","",原始经营数据!$H1496)</f>
        <v>可供房数</v>
      </c>
      <c r="E1495">
        <f>IF(原始经营数据!$D1496="","",原始经营数据!$I1496)</f>
        <v>50735</v>
      </c>
      <c r="F1495" t="str">
        <f>IF(原始经营数据!$D1496="","",T(原始经营数据!$J1496))</f>
        <v>间</v>
      </c>
      <c r="G1495" t="str">
        <f>IF(原始经营数据!$D1496="","",T(原始经营数据!$K1496))</f>
        <v/>
      </c>
      <c r="H1495" t="str">
        <f>IF(原始经营数据!$D1496="","",原始经营数据!$G1496)</f>
        <v>服务量</v>
      </c>
      <c r="I1495" t="str">
        <f>IF($A1495="","",IF($B1495&lt;&gt;"",$B1495,IF(COUNTIFS(原始经营数据!$D$3:$D$3001,$A1495,原始经营数据!$E$3:$E$3001,"",原始经营数据!$F$3:$F$3001,$C1495,原始经营数据!$H$3:$H$3001,$D1495,原始经营数据!$K$3:$K$3001,$G1495)&gt;1,"基金整体·来源"&amp;原始经营数据!$A1496,"基金整体")))</f>
        <v>锦江都城常州新北店</v>
      </c>
      <c r="J1495" t="str">
        <f t="shared" si="348"/>
        <v>年度</v>
      </c>
      <c r="K1495" t="str">
        <f t="shared" si="349"/>
        <v>可供房数（间）</v>
      </c>
      <c r="L1495" t="str">
        <f t="shared" si="350"/>
        <v>锦江都城常州新北店|可供房数（间）|年度</v>
      </c>
      <c r="M1495">
        <f>IF($A1495="",0,IF(COUNTIF($L$2:$L1495,$L1495)=1,1,0))</f>
        <v>0</v>
      </c>
      <c r="N1495">
        <f t="shared" si="351"/>
        <v>20230</v>
      </c>
      <c r="O1495" t="str">
        <f t="shared" si="352"/>
        <v>华安锦江封闭式商业不动产证券投资基金|2023|年度</v>
      </c>
      <c r="P1495">
        <f>IF($A1495="",0,IF(COUNTIF($O$2:$O1495,$O1495)=1,1,0))</f>
        <v>0</v>
      </c>
      <c r="Q1495" t="str">
        <f>IF(AND($P1495=1,$A1495=经营数据!$B$3,$J1495=经营数据!$BA$5),COUNTIFS($P$2:$P$3000,1,$A$2:$A$3000,$A1495,$J$2:$J$3000,$J1495,$N$2:$N$3000,"&lt;"&amp;$N1495)+1,"")</f>
        <v/>
      </c>
      <c r="R1495" t="str">
        <f t="shared" si="353"/>
        <v>华安锦江封闭式商业不动产证券投资基金|锦江都城常州新北店</v>
      </c>
      <c r="S1495">
        <f>IF($A1495="",0,IF(COUNTIF($R$2:$R1495,$R1495)=1,1,0))</f>
        <v>0</v>
      </c>
      <c r="T1495">
        <f t="shared" si="354"/>
        <v>1489</v>
      </c>
      <c r="U1495" t="str">
        <f>IF($A1495="","",IF($A1495=经营数据!$B$3,COUNTIFS($S$2:$S$3000,1,$A$2:$A$3000,$A1495,$T$2:$T$3000,"&lt;"&amp;$T1495)+1,""))</f>
        <v/>
      </c>
      <c r="V1495" t="str">
        <f t="shared" si="355"/>
        <v>锦江都城常州新北店|服务量</v>
      </c>
      <c r="W1495">
        <f t="shared" si="356"/>
        <v>1489</v>
      </c>
      <c r="X1495" t="str">
        <f t="shared" si="357"/>
        <v>锦江都城常州新北店|可供房数</v>
      </c>
      <c r="Y1495">
        <f t="shared" si="358"/>
        <v>1491</v>
      </c>
      <c r="Z1495">
        <f>IF($A1495="",0,IF(AND($M1495=1,$A1495=经营数据!$B$3,$J1495=经营数据!$BA$5,OR($I1495=经营数据!$BA$4,COUNTIF(经营数据!$AA$9:$AA$38,$I1495)&gt;0)),1,0))</f>
        <v>0</v>
      </c>
      <c r="AA1495" t="str">
        <f t="shared" si="359"/>
        <v/>
      </c>
      <c r="AB1495" t="str">
        <f t="shared" si="360"/>
        <v/>
      </c>
      <c r="AC1495">
        <f>IF($A1495="",0,IF(COUNTIF($A$2:$A1495,$A1495)=1,1,0))</f>
        <v>0</v>
      </c>
      <c r="AD1495">
        <f t="shared" si="361"/>
        <v>18</v>
      </c>
      <c r="AE1495" t="str">
        <f t="shared" si="362"/>
        <v>锦江都城常州新北店|可供房数（间）</v>
      </c>
    </row>
    <row r="1496" spans="1:31" x14ac:dyDescent="0.4">
      <c r="A1496" t="str">
        <f>IF(原始经营数据!$D1497="","",原始经营数据!$D1497)</f>
        <v>华安锦江封闭式商业不动产证券投资基金</v>
      </c>
      <c r="B1496" t="str">
        <f>IF(原始经营数据!$D1497="","",T(原始经营数据!$E1497))</f>
        <v>锦江都城常州新北店</v>
      </c>
      <c r="C1496" t="str">
        <f>IF(原始经营数据!$D1497="","",原始经营数据!$F1497)</f>
        <v>2024</v>
      </c>
      <c r="D1496" t="str">
        <f>IF(原始经营数据!$D1497="","",原始经营数据!$H1497)</f>
        <v>平均房价</v>
      </c>
      <c r="E1496">
        <f>IF(原始经营数据!$D1497="","",原始经营数据!$I1497)</f>
        <v>238.4</v>
      </c>
      <c r="F1496" t="str">
        <f>IF(原始经营数据!$D1497="","",T(原始经营数据!$J1497))</f>
        <v>元/间</v>
      </c>
      <c r="G1496" t="str">
        <f>IF(原始经营数据!$D1497="","",T(原始经营数据!$K1497))</f>
        <v/>
      </c>
      <c r="H1496" t="str">
        <f>IF(原始经营数据!$D1497="","",原始经营数据!$G1497)</f>
        <v>服务量</v>
      </c>
      <c r="I1496" t="str">
        <f>IF($A1496="","",IF($B1496&lt;&gt;"",$B1496,IF(COUNTIFS(原始经营数据!$D$3:$D$3001,$A1496,原始经营数据!$E$3:$E$3001,"",原始经营数据!$F$3:$F$3001,$C1496,原始经营数据!$H$3:$H$3001,$D1496,原始经营数据!$K$3:$K$3001,$G1496)&gt;1,"基金整体·来源"&amp;原始经营数据!$A1497,"基金整体")))</f>
        <v>锦江都城常州新北店</v>
      </c>
      <c r="J1496" t="str">
        <f t="shared" si="348"/>
        <v>年度</v>
      </c>
      <c r="K1496" t="str">
        <f t="shared" si="349"/>
        <v>平均房价（元/间）</v>
      </c>
      <c r="L1496" t="str">
        <f t="shared" si="350"/>
        <v>锦江都城常州新北店|平均房价（元/间）|年度</v>
      </c>
      <c r="M1496">
        <f>IF($A1496="",0,IF(COUNTIF($L$2:$L1496,$L1496)=1,1,0))</f>
        <v>0</v>
      </c>
      <c r="N1496">
        <f t="shared" si="351"/>
        <v>20240</v>
      </c>
      <c r="O1496" t="str">
        <f t="shared" si="352"/>
        <v>华安锦江封闭式商业不动产证券投资基金|2024|年度</v>
      </c>
      <c r="P1496">
        <f>IF($A1496="",0,IF(COUNTIF($O$2:$O1496,$O1496)=1,1,0))</f>
        <v>0</v>
      </c>
      <c r="Q1496" t="str">
        <f>IF(AND($P1496=1,$A1496=经营数据!$B$3,$J1496=经营数据!$BA$5),COUNTIFS($P$2:$P$3000,1,$A$2:$A$3000,$A1496,$J$2:$J$3000,$J1496,$N$2:$N$3000,"&lt;"&amp;$N1496)+1,"")</f>
        <v/>
      </c>
      <c r="R1496" t="str">
        <f t="shared" si="353"/>
        <v>华安锦江封闭式商业不动产证券投资基金|锦江都城常州新北店</v>
      </c>
      <c r="S1496">
        <f>IF($A1496="",0,IF(COUNTIF($R$2:$R1496,$R1496)=1,1,0))</f>
        <v>0</v>
      </c>
      <c r="T1496">
        <f t="shared" si="354"/>
        <v>1489</v>
      </c>
      <c r="U1496" t="str">
        <f>IF($A1496="","",IF($A1496=经营数据!$B$3,COUNTIFS($S$2:$S$3000,1,$A$2:$A$3000,$A1496,$T$2:$T$3000,"&lt;"&amp;$T1496)+1,""))</f>
        <v/>
      </c>
      <c r="V1496" t="str">
        <f t="shared" si="355"/>
        <v>锦江都城常州新北店|服务量</v>
      </c>
      <c r="W1496">
        <f t="shared" si="356"/>
        <v>1489</v>
      </c>
      <c r="X1496" t="str">
        <f t="shared" si="357"/>
        <v>锦江都城常州新北店|平均房价</v>
      </c>
      <c r="Y1496">
        <f t="shared" si="358"/>
        <v>1489</v>
      </c>
      <c r="Z1496">
        <f>IF($A1496="",0,IF(AND($M1496=1,$A1496=经营数据!$B$3,$J1496=经营数据!$BA$5,OR($I1496=经营数据!$BA$4,COUNTIF(经营数据!$AA$9:$AA$38,$I1496)&gt;0)),1,0))</f>
        <v>0</v>
      </c>
      <c r="AA1496" t="str">
        <f t="shared" si="359"/>
        <v/>
      </c>
      <c r="AB1496" t="str">
        <f t="shared" si="360"/>
        <v/>
      </c>
      <c r="AC1496">
        <f>IF($A1496="",0,IF(COUNTIF($A$2:$A1496,$A1496)=1,1,0))</f>
        <v>0</v>
      </c>
      <c r="AD1496">
        <f t="shared" si="361"/>
        <v>18</v>
      </c>
      <c r="AE1496" t="str">
        <f t="shared" si="362"/>
        <v>锦江都城常州新北店|平均房价（元/间）</v>
      </c>
    </row>
    <row r="1497" spans="1:31" x14ac:dyDescent="0.4">
      <c r="A1497" t="str">
        <f>IF(原始经营数据!$D1498="","",原始经营数据!$D1498)</f>
        <v>华安锦江封闭式商业不动产证券投资基金</v>
      </c>
      <c r="B1497" t="str">
        <f>IF(原始经营数据!$D1498="","",T(原始经营数据!$E1498))</f>
        <v>锦江都城常州新北店</v>
      </c>
      <c r="C1497" t="str">
        <f>IF(原始经营数据!$D1498="","",原始经营数据!$F1498)</f>
        <v>2024</v>
      </c>
      <c r="D1497" t="str">
        <f>IF(原始经营数据!$D1498="","",原始经营数据!$H1498)</f>
        <v>平均入住率</v>
      </c>
      <c r="E1497">
        <f>IF(原始经营数据!$D1498="","",原始经营数据!$I1498)</f>
        <v>50.78</v>
      </c>
      <c r="F1497" t="str">
        <f>IF(原始经营数据!$D1498="","",T(原始经营数据!$J1498))</f>
        <v>%</v>
      </c>
      <c r="G1497" t="str">
        <f>IF(原始经营数据!$D1498="","",T(原始经营数据!$K1498))</f>
        <v/>
      </c>
      <c r="H1497" t="str">
        <f>IF(原始经营数据!$D1498="","",原始经营数据!$G1498)</f>
        <v>服务量</v>
      </c>
      <c r="I1497" t="str">
        <f>IF($A1497="","",IF($B1497&lt;&gt;"",$B1497,IF(COUNTIFS(原始经营数据!$D$3:$D$3001,$A1497,原始经营数据!$E$3:$E$3001,"",原始经营数据!$F$3:$F$3001,$C1497,原始经营数据!$H$3:$H$3001,$D1497,原始经营数据!$K$3:$K$3001,$G1497)&gt;1,"基金整体·来源"&amp;原始经营数据!$A1498,"基金整体")))</f>
        <v>锦江都城常州新北店</v>
      </c>
      <c r="J1497" t="str">
        <f t="shared" si="348"/>
        <v>年度</v>
      </c>
      <c r="K1497" t="str">
        <f t="shared" si="349"/>
        <v>平均入住率（%）</v>
      </c>
      <c r="L1497" t="str">
        <f t="shared" si="350"/>
        <v>锦江都城常州新北店|平均入住率（%）|年度</v>
      </c>
      <c r="M1497">
        <f>IF($A1497="",0,IF(COUNTIF($L$2:$L1497,$L1497)=1,1,0))</f>
        <v>0</v>
      </c>
      <c r="N1497">
        <f t="shared" si="351"/>
        <v>20240</v>
      </c>
      <c r="O1497" t="str">
        <f t="shared" si="352"/>
        <v>华安锦江封闭式商业不动产证券投资基金|2024|年度</v>
      </c>
      <c r="P1497">
        <f>IF($A1497="",0,IF(COUNTIF($O$2:$O1497,$O1497)=1,1,0))</f>
        <v>0</v>
      </c>
      <c r="Q1497" t="str">
        <f>IF(AND($P1497=1,$A1497=经营数据!$B$3,$J1497=经营数据!$BA$5),COUNTIFS($P$2:$P$3000,1,$A$2:$A$3000,$A1497,$J$2:$J$3000,$J1497,$N$2:$N$3000,"&lt;"&amp;$N1497)+1,"")</f>
        <v/>
      </c>
      <c r="R1497" t="str">
        <f t="shared" si="353"/>
        <v>华安锦江封闭式商业不动产证券投资基金|锦江都城常州新北店</v>
      </c>
      <c r="S1497">
        <f>IF($A1497="",0,IF(COUNTIF($R$2:$R1497,$R1497)=1,1,0))</f>
        <v>0</v>
      </c>
      <c r="T1497">
        <f t="shared" si="354"/>
        <v>1489</v>
      </c>
      <c r="U1497" t="str">
        <f>IF($A1497="","",IF($A1497=经营数据!$B$3,COUNTIFS($S$2:$S$3000,1,$A$2:$A$3000,$A1497,$T$2:$T$3000,"&lt;"&amp;$T1497)+1,""))</f>
        <v/>
      </c>
      <c r="V1497" t="str">
        <f t="shared" si="355"/>
        <v>锦江都城常州新北店|服务量</v>
      </c>
      <c r="W1497">
        <f t="shared" si="356"/>
        <v>1489</v>
      </c>
      <c r="X1497" t="str">
        <f t="shared" si="357"/>
        <v>锦江都城常州新北店|平均入住率</v>
      </c>
      <c r="Y1497">
        <f t="shared" si="358"/>
        <v>1490</v>
      </c>
      <c r="Z1497">
        <f>IF($A1497="",0,IF(AND($M1497=1,$A1497=经营数据!$B$3,$J1497=经营数据!$BA$5,OR($I1497=经营数据!$BA$4,COUNTIF(经营数据!$AA$9:$AA$38,$I1497)&gt;0)),1,0))</f>
        <v>0</v>
      </c>
      <c r="AA1497" t="str">
        <f t="shared" si="359"/>
        <v/>
      </c>
      <c r="AB1497" t="str">
        <f t="shared" si="360"/>
        <v/>
      </c>
      <c r="AC1497">
        <f>IF($A1497="",0,IF(COUNTIF($A$2:$A1497,$A1497)=1,1,0))</f>
        <v>0</v>
      </c>
      <c r="AD1497">
        <f t="shared" si="361"/>
        <v>18</v>
      </c>
      <c r="AE1497" t="str">
        <f t="shared" si="362"/>
        <v>锦江都城常州新北店|平均入住率（%）</v>
      </c>
    </row>
    <row r="1498" spans="1:31" x14ac:dyDescent="0.4">
      <c r="A1498" t="str">
        <f>IF(原始经营数据!$D1499="","",原始经营数据!$D1499)</f>
        <v>华安锦江封闭式商业不动产证券投资基金</v>
      </c>
      <c r="B1498" t="str">
        <f>IF(原始经营数据!$D1499="","",T(原始经营数据!$E1499))</f>
        <v>锦江都城常州新北店</v>
      </c>
      <c r="C1498" t="str">
        <f>IF(原始经营数据!$D1499="","",原始经营数据!$F1499)</f>
        <v>2024</v>
      </c>
      <c r="D1498" t="str">
        <f>IF(原始经营数据!$D1499="","",原始经营数据!$H1499)</f>
        <v>可供房数</v>
      </c>
      <c r="E1498">
        <f>IF(原始经营数据!$D1499="","",原始经营数据!$I1499)</f>
        <v>50796</v>
      </c>
      <c r="F1498" t="str">
        <f>IF(原始经营数据!$D1499="","",T(原始经营数据!$J1499))</f>
        <v>间</v>
      </c>
      <c r="G1498" t="str">
        <f>IF(原始经营数据!$D1499="","",T(原始经营数据!$K1499))</f>
        <v/>
      </c>
      <c r="H1498" t="str">
        <f>IF(原始经营数据!$D1499="","",原始经营数据!$G1499)</f>
        <v>服务量</v>
      </c>
      <c r="I1498" t="str">
        <f>IF($A1498="","",IF($B1498&lt;&gt;"",$B1498,IF(COUNTIFS(原始经营数据!$D$3:$D$3001,$A1498,原始经营数据!$E$3:$E$3001,"",原始经营数据!$F$3:$F$3001,$C1498,原始经营数据!$H$3:$H$3001,$D1498,原始经营数据!$K$3:$K$3001,$G1498)&gt;1,"基金整体·来源"&amp;原始经营数据!$A1499,"基金整体")))</f>
        <v>锦江都城常州新北店</v>
      </c>
      <c r="J1498" t="str">
        <f t="shared" si="348"/>
        <v>年度</v>
      </c>
      <c r="K1498" t="str">
        <f t="shared" si="349"/>
        <v>可供房数（间）</v>
      </c>
      <c r="L1498" t="str">
        <f t="shared" si="350"/>
        <v>锦江都城常州新北店|可供房数（间）|年度</v>
      </c>
      <c r="M1498">
        <f>IF($A1498="",0,IF(COUNTIF($L$2:$L1498,$L1498)=1,1,0))</f>
        <v>0</v>
      </c>
      <c r="N1498">
        <f t="shared" si="351"/>
        <v>20240</v>
      </c>
      <c r="O1498" t="str">
        <f t="shared" si="352"/>
        <v>华安锦江封闭式商业不动产证券投资基金|2024|年度</v>
      </c>
      <c r="P1498">
        <f>IF($A1498="",0,IF(COUNTIF($O$2:$O1498,$O1498)=1,1,0))</f>
        <v>0</v>
      </c>
      <c r="Q1498" t="str">
        <f>IF(AND($P1498=1,$A1498=经营数据!$B$3,$J1498=经营数据!$BA$5),COUNTIFS($P$2:$P$3000,1,$A$2:$A$3000,$A1498,$J$2:$J$3000,$J1498,$N$2:$N$3000,"&lt;"&amp;$N1498)+1,"")</f>
        <v/>
      </c>
      <c r="R1498" t="str">
        <f t="shared" si="353"/>
        <v>华安锦江封闭式商业不动产证券投资基金|锦江都城常州新北店</v>
      </c>
      <c r="S1498">
        <f>IF($A1498="",0,IF(COUNTIF($R$2:$R1498,$R1498)=1,1,0))</f>
        <v>0</v>
      </c>
      <c r="T1498">
        <f t="shared" si="354"/>
        <v>1489</v>
      </c>
      <c r="U1498" t="str">
        <f>IF($A1498="","",IF($A1498=经营数据!$B$3,COUNTIFS($S$2:$S$3000,1,$A$2:$A$3000,$A1498,$T$2:$T$3000,"&lt;"&amp;$T1498)+1,""))</f>
        <v/>
      </c>
      <c r="V1498" t="str">
        <f t="shared" si="355"/>
        <v>锦江都城常州新北店|服务量</v>
      </c>
      <c r="W1498">
        <f t="shared" si="356"/>
        <v>1489</v>
      </c>
      <c r="X1498" t="str">
        <f t="shared" si="357"/>
        <v>锦江都城常州新北店|可供房数</v>
      </c>
      <c r="Y1498">
        <f t="shared" si="358"/>
        <v>1491</v>
      </c>
      <c r="Z1498">
        <f>IF($A1498="",0,IF(AND($M1498=1,$A1498=经营数据!$B$3,$J1498=经营数据!$BA$5,OR($I1498=经营数据!$BA$4,COUNTIF(经营数据!$AA$9:$AA$38,$I1498)&gt;0)),1,0))</f>
        <v>0</v>
      </c>
      <c r="AA1498" t="str">
        <f t="shared" si="359"/>
        <v/>
      </c>
      <c r="AB1498" t="str">
        <f t="shared" si="360"/>
        <v/>
      </c>
      <c r="AC1498">
        <f>IF($A1498="",0,IF(COUNTIF($A$2:$A1498,$A1498)=1,1,0))</f>
        <v>0</v>
      </c>
      <c r="AD1498">
        <f t="shared" si="361"/>
        <v>18</v>
      </c>
      <c r="AE1498" t="str">
        <f t="shared" si="362"/>
        <v>锦江都城常州新北店|可供房数（间）</v>
      </c>
    </row>
    <row r="1499" spans="1:31" x14ac:dyDescent="0.4">
      <c r="A1499" t="str">
        <f>IF(原始经营数据!$D1500="","",原始经营数据!$D1500)</f>
        <v>华安锦江封闭式商业不动产证券投资基金</v>
      </c>
      <c r="B1499" t="str">
        <f>IF(原始经营数据!$D1500="","",T(原始经营数据!$E1500))</f>
        <v>锦江都城常州新北店</v>
      </c>
      <c r="C1499" t="str">
        <f>IF(原始经营数据!$D1500="","",原始经营数据!$F1500)</f>
        <v>2025</v>
      </c>
      <c r="D1499" t="str">
        <f>IF(原始经营数据!$D1500="","",原始经营数据!$H1500)</f>
        <v>平均房价</v>
      </c>
      <c r="E1499">
        <f>IF(原始经营数据!$D1500="","",原始经营数据!$I1500)</f>
        <v>209.69</v>
      </c>
      <c r="F1499" t="str">
        <f>IF(原始经营数据!$D1500="","",T(原始经营数据!$J1500))</f>
        <v>元/间</v>
      </c>
      <c r="G1499" t="str">
        <f>IF(原始经营数据!$D1500="","",T(原始经营数据!$K1500))</f>
        <v/>
      </c>
      <c r="H1499" t="str">
        <f>IF(原始经营数据!$D1500="","",原始经营数据!$G1500)</f>
        <v>服务量</v>
      </c>
      <c r="I1499" t="str">
        <f>IF($A1499="","",IF($B1499&lt;&gt;"",$B1499,IF(COUNTIFS(原始经营数据!$D$3:$D$3001,$A1499,原始经营数据!$E$3:$E$3001,"",原始经营数据!$F$3:$F$3001,$C1499,原始经营数据!$H$3:$H$3001,$D1499,原始经营数据!$K$3:$K$3001,$G1499)&gt;1,"基金整体·来源"&amp;原始经营数据!$A1500,"基金整体")))</f>
        <v>锦江都城常州新北店</v>
      </c>
      <c r="J1499" t="str">
        <f t="shared" si="348"/>
        <v>年度</v>
      </c>
      <c r="K1499" t="str">
        <f t="shared" si="349"/>
        <v>平均房价（元/间）</v>
      </c>
      <c r="L1499" t="str">
        <f t="shared" si="350"/>
        <v>锦江都城常州新北店|平均房价（元/间）|年度</v>
      </c>
      <c r="M1499">
        <f>IF($A1499="",0,IF(COUNTIF($L$2:$L1499,$L1499)=1,1,0))</f>
        <v>0</v>
      </c>
      <c r="N1499">
        <f t="shared" si="351"/>
        <v>20250</v>
      </c>
      <c r="O1499" t="str">
        <f t="shared" si="352"/>
        <v>华安锦江封闭式商业不动产证券投资基金|2025|年度</v>
      </c>
      <c r="P1499">
        <f>IF($A1499="",0,IF(COUNTIF($O$2:$O1499,$O1499)=1,1,0))</f>
        <v>0</v>
      </c>
      <c r="Q1499" t="str">
        <f>IF(AND($P1499=1,$A1499=经营数据!$B$3,$J1499=经营数据!$BA$5),COUNTIFS($P$2:$P$3000,1,$A$2:$A$3000,$A1499,$J$2:$J$3000,$J1499,$N$2:$N$3000,"&lt;"&amp;$N1499)+1,"")</f>
        <v/>
      </c>
      <c r="R1499" t="str">
        <f t="shared" si="353"/>
        <v>华安锦江封闭式商业不动产证券投资基金|锦江都城常州新北店</v>
      </c>
      <c r="S1499">
        <f>IF($A1499="",0,IF(COUNTIF($R$2:$R1499,$R1499)=1,1,0))</f>
        <v>0</v>
      </c>
      <c r="T1499">
        <f t="shared" si="354"/>
        <v>1489</v>
      </c>
      <c r="U1499" t="str">
        <f>IF($A1499="","",IF($A1499=经营数据!$B$3,COUNTIFS($S$2:$S$3000,1,$A$2:$A$3000,$A1499,$T$2:$T$3000,"&lt;"&amp;$T1499)+1,""))</f>
        <v/>
      </c>
      <c r="V1499" t="str">
        <f t="shared" si="355"/>
        <v>锦江都城常州新北店|服务量</v>
      </c>
      <c r="W1499">
        <f t="shared" si="356"/>
        <v>1489</v>
      </c>
      <c r="X1499" t="str">
        <f t="shared" si="357"/>
        <v>锦江都城常州新北店|平均房价</v>
      </c>
      <c r="Y1499">
        <f t="shared" si="358"/>
        <v>1489</v>
      </c>
      <c r="Z1499">
        <f>IF($A1499="",0,IF(AND($M1499=1,$A1499=经营数据!$B$3,$J1499=经营数据!$BA$5,OR($I1499=经营数据!$BA$4,COUNTIF(经营数据!$AA$9:$AA$38,$I1499)&gt;0)),1,0))</f>
        <v>0</v>
      </c>
      <c r="AA1499" t="str">
        <f t="shared" si="359"/>
        <v/>
      </c>
      <c r="AB1499" t="str">
        <f t="shared" si="360"/>
        <v/>
      </c>
      <c r="AC1499">
        <f>IF($A1499="",0,IF(COUNTIF($A$2:$A1499,$A1499)=1,1,0))</f>
        <v>0</v>
      </c>
      <c r="AD1499">
        <f t="shared" si="361"/>
        <v>18</v>
      </c>
      <c r="AE1499" t="str">
        <f t="shared" si="362"/>
        <v>锦江都城常州新北店|平均房价（元/间）</v>
      </c>
    </row>
    <row r="1500" spans="1:31" x14ac:dyDescent="0.4">
      <c r="A1500" t="str">
        <f>IF(原始经营数据!$D1501="","",原始经营数据!$D1501)</f>
        <v>华安锦江封闭式商业不动产证券投资基金</v>
      </c>
      <c r="B1500" t="str">
        <f>IF(原始经营数据!$D1501="","",T(原始经营数据!$E1501))</f>
        <v>锦江都城常州新北店</v>
      </c>
      <c r="C1500" t="str">
        <f>IF(原始经营数据!$D1501="","",原始经营数据!$F1501)</f>
        <v>2025</v>
      </c>
      <c r="D1500" t="str">
        <f>IF(原始经营数据!$D1501="","",原始经营数据!$H1501)</f>
        <v>平均入住率</v>
      </c>
      <c r="E1500">
        <f>IF(原始经营数据!$D1501="","",原始经营数据!$I1501)</f>
        <v>58.31</v>
      </c>
      <c r="F1500" t="str">
        <f>IF(原始经营数据!$D1501="","",T(原始经营数据!$J1501))</f>
        <v>%</v>
      </c>
      <c r="G1500" t="str">
        <f>IF(原始经营数据!$D1501="","",T(原始经营数据!$K1501))</f>
        <v/>
      </c>
      <c r="H1500" t="str">
        <f>IF(原始经营数据!$D1501="","",原始经营数据!$G1501)</f>
        <v>服务量</v>
      </c>
      <c r="I1500" t="str">
        <f>IF($A1500="","",IF($B1500&lt;&gt;"",$B1500,IF(COUNTIFS(原始经营数据!$D$3:$D$3001,$A1500,原始经营数据!$E$3:$E$3001,"",原始经营数据!$F$3:$F$3001,$C1500,原始经营数据!$H$3:$H$3001,$D1500,原始经营数据!$K$3:$K$3001,$G1500)&gt;1,"基金整体·来源"&amp;原始经营数据!$A1501,"基金整体")))</f>
        <v>锦江都城常州新北店</v>
      </c>
      <c r="J1500" t="str">
        <f t="shared" si="348"/>
        <v>年度</v>
      </c>
      <c r="K1500" t="str">
        <f t="shared" si="349"/>
        <v>平均入住率（%）</v>
      </c>
      <c r="L1500" t="str">
        <f t="shared" si="350"/>
        <v>锦江都城常州新北店|平均入住率（%）|年度</v>
      </c>
      <c r="M1500">
        <f>IF($A1500="",0,IF(COUNTIF($L$2:$L1500,$L1500)=1,1,0))</f>
        <v>0</v>
      </c>
      <c r="N1500">
        <f t="shared" si="351"/>
        <v>20250</v>
      </c>
      <c r="O1500" t="str">
        <f t="shared" si="352"/>
        <v>华安锦江封闭式商业不动产证券投资基金|2025|年度</v>
      </c>
      <c r="P1500">
        <f>IF($A1500="",0,IF(COUNTIF($O$2:$O1500,$O1500)=1,1,0))</f>
        <v>0</v>
      </c>
      <c r="Q1500" t="str">
        <f>IF(AND($P1500=1,$A1500=经营数据!$B$3,$J1500=经营数据!$BA$5),COUNTIFS($P$2:$P$3000,1,$A$2:$A$3000,$A1500,$J$2:$J$3000,$J1500,$N$2:$N$3000,"&lt;"&amp;$N1500)+1,"")</f>
        <v/>
      </c>
      <c r="R1500" t="str">
        <f t="shared" si="353"/>
        <v>华安锦江封闭式商业不动产证券投资基金|锦江都城常州新北店</v>
      </c>
      <c r="S1500">
        <f>IF($A1500="",0,IF(COUNTIF($R$2:$R1500,$R1500)=1,1,0))</f>
        <v>0</v>
      </c>
      <c r="T1500">
        <f t="shared" si="354"/>
        <v>1489</v>
      </c>
      <c r="U1500" t="str">
        <f>IF($A1500="","",IF($A1500=经营数据!$B$3,COUNTIFS($S$2:$S$3000,1,$A$2:$A$3000,$A1500,$T$2:$T$3000,"&lt;"&amp;$T1500)+1,""))</f>
        <v/>
      </c>
      <c r="V1500" t="str">
        <f t="shared" si="355"/>
        <v>锦江都城常州新北店|服务量</v>
      </c>
      <c r="W1500">
        <f t="shared" si="356"/>
        <v>1489</v>
      </c>
      <c r="X1500" t="str">
        <f t="shared" si="357"/>
        <v>锦江都城常州新北店|平均入住率</v>
      </c>
      <c r="Y1500">
        <f t="shared" si="358"/>
        <v>1490</v>
      </c>
      <c r="Z1500">
        <f>IF($A1500="",0,IF(AND($M1500=1,$A1500=经营数据!$B$3,$J1500=经营数据!$BA$5,OR($I1500=经营数据!$BA$4,COUNTIF(经营数据!$AA$9:$AA$38,$I1500)&gt;0)),1,0))</f>
        <v>0</v>
      </c>
      <c r="AA1500" t="str">
        <f t="shared" si="359"/>
        <v/>
      </c>
      <c r="AB1500" t="str">
        <f t="shared" si="360"/>
        <v/>
      </c>
      <c r="AC1500">
        <f>IF($A1500="",0,IF(COUNTIF($A$2:$A1500,$A1500)=1,1,0))</f>
        <v>0</v>
      </c>
      <c r="AD1500">
        <f t="shared" si="361"/>
        <v>18</v>
      </c>
      <c r="AE1500" t="str">
        <f t="shared" si="362"/>
        <v>锦江都城常州新北店|平均入住率（%）</v>
      </c>
    </row>
    <row r="1501" spans="1:31" x14ac:dyDescent="0.4">
      <c r="A1501" t="str">
        <f>IF(原始经营数据!$D1502="","",原始经营数据!$D1502)</f>
        <v>华安锦江封闭式商业不动产证券投资基金</v>
      </c>
      <c r="B1501" t="str">
        <f>IF(原始经营数据!$D1502="","",T(原始经营数据!$E1502))</f>
        <v>锦江都城常州新北店</v>
      </c>
      <c r="C1501" t="str">
        <f>IF(原始经营数据!$D1502="","",原始经营数据!$F1502)</f>
        <v>2025</v>
      </c>
      <c r="D1501" t="str">
        <f>IF(原始经营数据!$D1502="","",原始经营数据!$H1502)</f>
        <v>可供房数</v>
      </c>
      <c r="E1501">
        <f>IF(原始经营数据!$D1502="","",原始经营数据!$I1502)</f>
        <v>50370</v>
      </c>
      <c r="F1501" t="str">
        <f>IF(原始经营数据!$D1502="","",T(原始经营数据!$J1502))</f>
        <v>间</v>
      </c>
      <c r="G1501" t="str">
        <f>IF(原始经营数据!$D1502="","",T(原始经营数据!$K1502))</f>
        <v/>
      </c>
      <c r="H1501" t="str">
        <f>IF(原始经营数据!$D1502="","",原始经营数据!$G1502)</f>
        <v>服务量</v>
      </c>
      <c r="I1501" t="str">
        <f>IF($A1501="","",IF($B1501&lt;&gt;"",$B1501,IF(COUNTIFS(原始经营数据!$D$3:$D$3001,$A1501,原始经营数据!$E$3:$E$3001,"",原始经营数据!$F$3:$F$3001,$C1501,原始经营数据!$H$3:$H$3001,$D1501,原始经营数据!$K$3:$K$3001,$G1501)&gt;1,"基金整体·来源"&amp;原始经营数据!$A1502,"基金整体")))</f>
        <v>锦江都城常州新北店</v>
      </c>
      <c r="J1501" t="str">
        <f t="shared" si="348"/>
        <v>年度</v>
      </c>
      <c r="K1501" t="str">
        <f t="shared" si="349"/>
        <v>可供房数（间）</v>
      </c>
      <c r="L1501" t="str">
        <f t="shared" si="350"/>
        <v>锦江都城常州新北店|可供房数（间）|年度</v>
      </c>
      <c r="M1501">
        <f>IF($A1501="",0,IF(COUNTIF($L$2:$L1501,$L1501)=1,1,0))</f>
        <v>0</v>
      </c>
      <c r="N1501">
        <f t="shared" si="351"/>
        <v>20250</v>
      </c>
      <c r="O1501" t="str">
        <f t="shared" si="352"/>
        <v>华安锦江封闭式商业不动产证券投资基金|2025|年度</v>
      </c>
      <c r="P1501">
        <f>IF($A1501="",0,IF(COUNTIF($O$2:$O1501,$O1501)=1,1,0))</f>
        <v>0</v>
      </c>
      <c r="Q1501" t="str">
        <f>IF(AND($P1501=1,$A1501=经营数据!$B$3,$J1501=经营数据!$BA$5),COUNTIFS($P$2:$P$3000,1,$A$2:$A$3000,$A1501,$J$2:$J$3000,$J1501,$N$2:$N$3000,"&lt;"&amp;$N1501)+1,"")</f>
        <v/>
      </c>
      <c r="R1501" t="str">
        <f t="shared" si="353"/>
        <v>华安锦江封闭式商业不动产证券投资基金|锦江都城常州新北店</v>
      </c>
      <c r="S1501">
        <f>IF($A1501="",0,IF(COUNTIF($R$2:$R1501,$R1501)=1,1,0))</f>
        <v>0</v>
      </c>
      <c r="T1501">
        <f t="shared" si="354"/>
        <v>1489</v>
      </c>
      <c r="U1501" t="str">
        <f>IF($A1501="","",IF($A1501=经营数据!$B$3,COUNTIFS($S$2:$S$3000,1,$A$2:$A$3000,$A1501,$T$2:$T$3000,"&lt;"&amp;$T1501)+1,""))</f>
        <v/>
      </c>
      <c r="V1501" t="str">
        <f t="shared" si="355"/>
        <v>锦江都城常州新北店|服务量</v>
      </c>
      <c r="W1501">
        <f t="shared" si="356"/>
        <v>1489</v>
      </c>
      <c r="X1501" t="str">
        <f t="shared" si="357"/>
        <v>锦江都城常州新北店|可供房数</v>
      </c>
      <c r="Y1501">
        <f t="shared" si="358"/>
        <v>1491</v>
      </c>
      <c r="Z1501">
        <f>IF($A1501="",0,IF(AND($M1501=1,$A1501=经营数据!$B$3,$J1501=经营数据!$BA$5,OR($I1501=经营数据!$BA$4,COUNTIF(经营数据!$AA$9:$AA$38,$I1501)&gt;0)),1,0))</f>
        <v>0</v>
      </c>
      <c r="AA1501" t="str">
        <f t="shared" si="359"/>
        <v/>
      </c>
      <c r="AB1501" t="str">
        <f t="shared" si="360"/>
        <v/>
      </c>
      <c r="AC1501">
        <f>IF($A1501="",0,IF(COUNTIF($A$2:$A1501,$A1501)=1,1,0))</f>
        <v>0</v>
      </c>
      <c r="AD1501">
        <f t="shared" si="361"/>
        <v>18</v>
      </c>
      <c r="AE1501" t="str">
        <f t="shared" si="362"/>
        <v>锦江都城常州新北店|可供房数（间）</v>
      </c>
    </row>
    <row r="1502" spans="1:31" x14ac:dyDescent="0.4">
      <c r="A1502" t="str">
        <f>IF(原始经营数据!$D1503="","",原始经营数据!$D1503)</f>
        <v>华安锦江封闭式商业不动产证券投资基金</v>
      </c>
      <c r="B1502" t="str">
        <f>IF(原始经营数据!$D1503="","",T(原始经营数据!$E1503))</f>
        <v>锦江都城广州白云店</v>
      </c>
      <c r="C1502" t="str">
        <f>IF(原始经营数据!$D1503="","",原始经营数据!$F1503)</f>
        <v>2022</v>
      </c>
      <c r="D1502" t="str">
        <f>IF(原始经营数据!$D1503="","",原始经营数据!$H1503)</f>
        <v>平均房价</v>
      </c>
      <c r="E1502">
        <f>IF(原始经营数据!$D1503="","",原始经营数据!$I1503)</f>
        <v>371.6</v>
      </c>
      <c r="F1502" t="str">
        <f>IF(原始经营数据!$D1503="","",T(原始经营数据!$J1503))</f>
        <v>元/间</v>
      </c>
      <c r="G1502" t="str">
        <f>IF(原始经营数据!$D1503="","",T(原始经营数据!$K1503))</f>
        <v/>
      </c>
      <c r="H1502" t="str">
        <f>IF(原始经营数据!$D1503="","",原始经营数据!$G1503)</f>
        <v>服务量</v>
      </c>
      <c r="I1502" t="str">
        <f>IF($A1502="","",IF($B1502&lt;&gt;"",$B1502,IF(COUNTIFS(原始经营数据!$D$3:$D$3001,$A1502,原始经营数据!$E$3:$E$3001,"",原始经营数据!$F$3:$F$3001,$C1502,原始经营数据!$H$3:$H$3001,$D1502,原始经营数据!$K$3:$K$3001,$G1502)&gt;1,"基金整体·来源"&amp;原始经营数据!$A1503,"基金整体")))</f>
        <v>锦江都城广州白云店</v>
      </c>
      <c r="J1502" t="str">
        <f t="shared" si="348"/>
        <v>年度</v>
      </c>
      <c r="K1502" t="str">
        <f t="shared" si="349"/>
        <v>平均房价（元/间）</v>
      </c>
      <c r="L1502" t="str">
        <f t="shared" si="350"/>
        <v>锦江都城广州白云店|平均房价（元/间）|年度</v>
      </c>
      <c r="M1502">
        <f>IF($A1502="",0,IF(COUNTIF($L$2:$L1502,$L1502)=1,1,0))</f>
        <v>1</v>
      </c>
      <c r="N1502">
        <f t="shared" si="351"/>
        <v>20220</v>
      </c>
      <c r="O1502" t="str">
        <f t="shared" si="352"/>
        <v>华安锦江封闭式商业不动产证券投资基金|2022|年度</v>
      </c>
      <c r="P1502">
        <f>IF($A1502="",0,IF(COUNTIF($O$2:$O1502,$O1502)=1,1,0))</f>
        <v>0</v>
      </c>
      <c r="Q1502" t="str">
        <f>IF(AND($P1502=1,$A1502=经营数据!$B$3,$J1502=经营数据!$BA$5),COUNTIFS($P$2:$P$3000,1,$A$2:$A$3000,$A1502,$J$2:$J$3000,$J1502,$N$2:$N$3000,"&lt;"&amp;$N1502)+1,"")</f>
        <v/>
      </c>
      <c r="R1502" t="str">
        <f t="shared" si="353"/>
        <v>华安锦江封闭式商业不动产证券投资基金|锦江都城广州白云店</v>
      </c>
      <c r="S1502">
        <f>IF($A1502="",0,IF(COUNTIF($R$2:$R1502,$R1502)=1,1,0))</f>
        <v>1</v>
      </c>
      <c r="T1502">
        <f t="shared" si="354"/>
        <v>1501</v>
      </c>
      <c r="U1502" t="str">
        <f>IF($A1502="","",IF($A1502=经营数据!$B$3,COUNTIFS($S$2:$S$3000,1,$A$2:$A$3000,$A1502,$T$2:$T$3000,"&lt;"&amp;$T1502)+1,""))</f>
        <v/>
      </c>
      <c r="V1502" t="str">
        <f t="shared" si="355"/>
        <v>锦江都城广州白云店|服务量</v>
      </c>
      <c r="W1502">
        <f t="shared" si="356"/>
        <v>1501</v>
      </c>
      <c r="X1502" t="str">
        <f t="shared" si="357"/>
        <v>锦江都城广州白云店|平均房价</v>
      </c>
      <c r="Y1502">
        <f t="shared" si="358"/>
        <v>1501</v>
      </c>
      <c r="Z1502">
        <f>IF($A1502="",0,IF(AND($M1502=1,$A1502=经营数据!$B$3,$J1502=经营数据!$BA$5,OR($I1502=经营数据!$BA$4,COUNTIF(经营数据!$AA$9:$AA$38,$I1502)&gt;0)),1,0))</f>
        <v>0</v>
      </c>
      <c r="AA1502" t="str">
        <f t="shared" si="359"/>
        <v/>
      </c>
      <c r="AB1502" t="str">
        <f t="shared" si="360"/>
        <v/>
      </c>
      <c r="AC1502">
        <f>IF($A1502="",0,IF(COUNTIF($A$2:$A1502,$A1502)=1,1,0))</f>
        <v>0</v>
      </c>
      <c r="AD1502">
        <f t="shared" si="361"/>
        <v>18</v>
      </c>
      <c r="AE1502" t="str">
        <f t="shared" si="362"/>
        <v>锦江都城广州白云店|平均房价（元/间）</v>
      </c>
    </row>
    <row r="1503" spans="1:31" x14ac:dyDescent="0.4">
      <c r="A1503" t="str">
        <f>IF(原始经营数据!$D1504="","",原始经营数据!$D1504)</f>
        <v>华安锦江封闭式商业不动产证券投资基金</v>
      </c>
      <c r="B1503" t="str">
        <f>IF(原始经营数据!$D1504="","",T(原始经营数据!$E1504))</f>
        <v>锦江都城广州白云店</v>
      </c>
      <c r="C1503" t="str">
        <f>IF(原始经营数据!$D1504="","",原始经营数据!$F1504)</f>
        <v>2022</v>
      </c>
      <c r="D1503" t="str">
        <f>IF(原始经营数据!$D1504="","",原始经营数据!$H1504)</f>
        <v>平均入住率</v>
      </c>
      <c r="E1503">
        <f>IF(原始经营数据!$D1504="","",原始经营数据!$I1504)</f>
        <v>64.08</v>
      </c>
      <c r="F1503" t="str">
        <f>IF(原始经营数据!$D1504="","",T(原始经营数据!$J1504))</f>
        <v>%</v>
      </c>
      <c r="G1503" t="str">
        <f>IF(原始经营数据!$D1504="","",T(原始经营数据!$K1504))</f>
        <v/>
      </c>
      <c r="H1503" t="str">
        <f>IF(原始经营数据!$D1504="","",原始经营数据!$G1504)</f>
        <v>服务量</v>
      </c>
      <c r="I1503" t="str">
        <f>IF($A1503="","",IF($B1503&lt;&gt;"",$B1503,IF(COUNTIFS(原始经营数据!$D$3:$D$3001,$A1503,原始经营数据!$E$3:$E$3001,"",原始经营数据!$F$3:$F$3001,$C1503,原始经营数据!$H$3:$H$3001,$D1503,原始经营数据!$K$3:$K$3001,$G1503)&gt;1,"基金整体·来源"&amp;原始经营数据!$A1504,"基金整体")))</f>
        <v>锦江都城广州白云店</v>
      </c>
      <c r="J1503" t="str">
        <f t="shared" si="348"/>
        <v>年度</v>
      </c>
      <c r="K1503" t="str">
        <f t="shared" si="349"/>
        <v>平均入住率（%）</v>
      </c>
      <c r="L1503" t="str">
        <f t="shared" si="350"/>
        <v>锦江都城广州白云店|平均入住率（%）|年度</v>
      </c>
      <c r="M1503">
        <f>IF($A1503="",0,IF(COUNTIF($L$2:$L1503,$L1503)=1,1,0))</f>
        <v>1</v>
      </c>
      <c r="N1503">
        <f t="shared" si="351"/>
        <v>20220</v>
      </c>
      <c r="O1503" t="str">
        <f t="shared" si="352"/>
        <v>华安锦江封闭式商业不动产证券投资基金|2022|年度</v>
      </c>
      <c r="P1503">
        <f>IF($A1503="",0,IF(COUNTIF($O$2:$O1503,$O1503)=1,1,0))</f>
        <v>0</v>
      </c>
      <c r="Q1503" t="str">
        <f>IF(AND($P1503=1,$A1503=经营数据!$B$3,$J1503=经营数据!$BA$5),COUNTIFS($P$2:$P$3000,1,$A$2:$A$3000,$A1503,$J$2:$J$3000,$J1503,$N$2:$N$3000,"&lt;"&amp;$N1503)+1,"")</f>
        <v/>
      </c>
      <c r="R1503" t="str">
        <f t="shared" si="353"/>
        <v>华安锦江封闭式商业不动产证券投资基金|锦江都城广州白云店</v>
      </c>
      <c r="S1503">
        <f>IF($A1503="",0,IF(COUNTIF($R$2:$R1503,$R1503)=1,1,0))</f>
        <v>0</v>
      </c>
      <c r="T1503">
        <f t="shared" si="354"/>
        <v>1501</v>
      </c>
      <c r="U1503" t="str">
        <f>IF($A1503="","",IF($A1503=经营数据!$B$3,COUNTIFS($S$2:$S$3000,1,$A$2:$A$3000,$A1503,$T$2:$T$3000,"&lt;"&amp;$T1503)+1,""))</f>
        <v/>
      </c>
      <c r="V1503" t="str">
        <f t="shared" si="355"/>
        <v>锦江都城广州白云店|服务量</v>
      </c>
      <c r="W1503">
        <f t="shared" si="356"/>
        <v>1501</v>
      </c>
      <c r="X1503" t="str">
        <f t="shared" si="357"/>
        <v>锦江都城广州白云店|平均入住率</v>
      </c>
      <c r="Y1503">
        <f t="shared" si="358"/>
        <v>1502</v>
      </c>
      <c r="Z1503">
        <f>IF($A1503="",0,IF(AND($M1503=1,$A1503=经营数据!$B$3,$J1503=经营数据!$BA$5,OR($I1503=经营数据!$BA$4,COUNTIF(经营数据!$AA$9:$AA$38,$I1503)&gt;0)),1,0))</f>
        <v>0</v>
      </c>
      <c r="AA1503" t="str">
        <f t="shared" si="359"/>
        <v/>
      </c>
      <c r="AB1503" t="str">
        <f t="shared" si="360"/>
        <v/>
      </c>
      <c r="AC1503">
        <f>IF($A1503="",0,IF(COUNTIF($A$2:$A1503,$A1503)=1,1,0))</f>
        <v>0</v>
      </c>
      <c r="AD1503">
        <f t="shared" si="361"/>
        <v>18</v>
      </c>
      <c r="AE1503" t="str">
        <f t="shared" si="362"/>
        <v>锦江都城广州白云店|平均入住率（%）</v>
      </c>
    </row>
    <row r="1504" spans="1:31" x14ac:dyDescent="0.4">
      <c r="A1504" t="str">
        <f>IF(原始经营数据!$D1505="","",原始经营数据!$D1505)</f>
        <v>华安锦江封闭式商业不动产证券投资基金</v>
      </c>
      <c r="B1504" t="str">
        <f>IF(原始经营数据!$D1505="","",T(原始经营数据!$E1505))</f>
        <v>锦江都城广州白云店</v>
      </c>
      <c r="C1504" t="str">
        <f>IF(原始经营数据!$D1505="","",原始经营数据!$F1505)</f>
        <v>2022</v>
      </c>
      <c r="D1504" t="str">
        <f>IF(原始经营数据!$D1505="","",原始经营数据!$H1505)</f>
        <v>可供房数</v>
      </c>
      <c r="E1504">
        <f>IF(原始经营数据!$D1505="","",原始经营数据!$I1505)</f>
        <v>55631</v>
      </c>
      <c r="F1504" t="str">
        <f>IF(原始经营数据!$D1505="","",T(原始经营数据!$J1505))</f>
        <v>间</v>
      </c>
      <c r="G1504" t="str">
        <f>IF(原始经营数据!$D1505="","",T(原始经营数据!$K1505))</f>
        <v/>
      </c>
      <c r="H1504" t="str">
        <f>IF(原始经营数据!$D1505="","",原始经营数据!$G1505)</f>
        <v>服务量</v>
      </c>
      <c r="I1504" t="str">
        <f>IF($A1504="","",IF($B1504&lt;&gt;"",$B1504,IF(COUNTIFS(原始经营数据!$D$3:$D$3001,$A1504,原始经营数据!$E$3:$E$3001,"",原始经营数据!$F$3:$F$3001,$C1504,原始经营数据!$H$3:$H$3001,$D1504,原始经营数据!$K$3:$K$3001,$G1504)&gt;1,"基金整体·来源"&amp;原始经营数据!$A1505,"基金整体")))</f>
        <v>锦江都城广州白云店</v>
      </c>
      <c r="J1504" t="str">
        <f t="shared" si="348"/>
        <v>年度</v>
      </c>
      <c r="K1504" t="str">
        <f t="shared" si="349"/>
        <v>可供房数（间）</v>
      </c>
      <c r="L1504" t="str">
        <f t="shared" si="350"/>
        <v>锦江都城广州白云店|可供房数（间）|年度</v>
      </c>
      <c r="M1504">
        <f>IF($A1504="",0,IF(COUNTIF($L$2:$L1504,$L1504)=1,1,0))</f>
        <v>1</v>
      </c>
      <c r="N1504">
        <f t="shared" si="351"/>
        <v>20220</v>
      </c>
      <c r="O1504" t="str">
        <f t="shared" si="352"/>
        <v>华安锦江封闭式商业不动产证券投资基金|2022|年度</v>
      </c>
      <c r="P1504">
        <f>IF($A1504="",0,IF(COUNTIF($O$2:$O1504,$O1504)=1,1,0))</f>
        <v>0</v>
      </c>
      <c r="Q1504" t="str">
        <f>IF(AND($P1504=1,$A1504=经营数据!$B$3,$J1504=经营数据!$BA$5),COUNTIFS($P$2:$P$3000,1,$A$2:$A$3000,$A1504,$J$2:$J$3000,$J1504,$N$2:$N$3000,"&lt;"&amp;$N1504)+1,"")</f>
        <v/>
      </c>
      <c r="R1504" t="str">
        <f t="shared" si="353"/>
        <v>华安锦江封闭式商业不动产证券投资基金|锦江都城广州白云店</v>
      </c>
      <c r="S1504">
        <f>IF($A1504="",0,IF(COUNTIF($R$2:$R1504,$R1504)=1,1,0))</f>
        <v>0</v>
      </c>
      <c r="T1504">
        <f t="shared" si="354"/>
        <v>1501</v>
      </c>
      <c r="U1504" t="str">
        <f>IF($A1504="","",IF($A1504=经营数据!$B$3,COUNTIFS($S$2:$S$3000,1,$A$2:$A$3000,$A1504,$T$2:$T$3000,"&lt;"&amp;$T1504)+1,""))</f>
        <v/>
      </c>
      <c r="V1504" t="str">
        <f t="shared" si="355"/>
        <v>锦江都城广州白云店|服务量</v>
      </c>
      <c r="W1504">
        <f t="shared" si="356"/>
        <v>1501</v>
      </c>
      <c r="X1504" t="str">
        <f t="shared" si="357"/>
        <v>锦江都城广州白云店|可供房数</v>
      </c>
      <c r="Y1504">
        <f t="shared" si="358"/>
        <v>1503</v>
      </c>
      <c r="Z1504">
        <f>IF($A1504="",0,IF(AND($M1504=1,$A1504=经营数据!$B$3,$J1504=经营数据!$BA$5,OR($I1504=经营数据!$BA$4,COUNTIF(经营数据!$AA$9:$AA$38,$I1504)&gt;0)),1,0))</f>
        <v>0</v>
      </c>
      <c r="AA1504" t="str">
        <f t="shared" si="359"/>
        <v/>
      </c>
      <c r="AB1504" t="str">
        <f t="shared" si="360"/>
        <v/>
      </c>
      <c r="AC1504">
        <f>IF($A1504="",0,IF(COUNTIF($A$2:$A1504,$A1504)=1,1,0))</f>
        <v>0</v>
      </c>
      <c r="AD1504">
        <f t="shared" si="361"/>
        <v>18</v>
      </c>
      <c r="AE1504" t="str">
        <f t="shared" si="362"/>
        <v>锦江都城广州白云店|可供房数（间）</v>
      </c>
    </row>
    <row r="1505" spans="1:31" x14ac:dyDescent="0.4">
      <c r="A1505" t="str">
        <f>IF(原始经营数据!$D1506="","",原始经营数据!$D1506)</f>
        <v>华安锦江封闭式商业不动产证券投资基金</v>
      </c>
      <c r="B1505" t="str">
        <f>IF(原始经营数据!$D1506="","",T(原始经营数据!$E1506))</f>
        <v>锦江都城广州白云店</v>
      </c>
      <c r="C1505" t="str">
        <f>IF(原始经营数据!$D1506="","",原始经营数据!$F1506)</f>
        <v>2023</v>
      </c>
      <c r="D1505" t="str">
        <f>IF(原始经营数据!$D1506="","",原始经营数据!$H1506)</f>
        <v>平均房价</v>
      </c>
      <c r="E1505">
        <f>IF(原始经营数据!$D1506="","",原始经营数据!$I1506)</f>
        <v>388.37</v>
      </c>
      <c r="F1505" t="str">
        <f>IF(原始经营数据!$D1506="","",T(原始经营数据!$J1506))</f>
        <v>元/间</v>
      </c>
      <c r="G1505" t="str">
        <f>IF(原始经营数据!$D1506="","",T(原始经营数据!$K1506))</f>
        <v/>
      </c>
      <c r="H1505" t="str">
        <f>IF(原始经营数据!$D1506="","",原始经营数据!$G1506)</f>
        <v>服务量</v>
      </c>
      <c r="I1505" t="str">
        <f>IF($A1505="","",IF($B1505&lt;&gt;"",$B1505,IF(COUNTIFS(原始经营数据!$D$3:$D$3001,$A1505,原始经营数据!$E$3:$E$3001,"",原始经营数据!$F$3:$F$3001,$C1505,原始经营数据!$H$3:$H$3001,$D1505,原始经营数据!$K$3:$K$3001,$G1505)&gt;1,"基金整体·来源"&amp;原始经营数据!$A1506,"基金整体")))</f>
        <v>锦江都城广州白云店</v>
      </c>
      <c r="J1505" t="str">
        <f t="shared" si="348"/>
        <v>年度</v>
      </c>
      <c r="K1505" t="str">
        <f t="shared" si="349"/>
        <v>平均房价（元/间）</v>
      </c>
      <c r="L1505" t="str">
        <f t="shared" si="350"/>
        <v>锦江都城广州白云店|平均房价（元/间）|年度</v>
      </c>
      <c r="M1505">
        <f>IF($A1505="",0,IF(COUNTIF($L$2:$L1505,$L1505)=1,1,0))</f>
        <v>0</v>
      </c>
      <c r="N1505">
        <f t="shared" si="351"/>
        <v>20230</v>
      </c>
      <c r="O1505" t="str">
        <f t="shared" si="352"/>
        <v>华安锦江封闭式商业不动产证券投资基金|2023|年度</v>
      </c>
      <c r="P1505">
        <f>IF($A1505="",0,IF(COUNTIF($O$2:$O1505,$O1505)=1,1,0))</f>
        <v>0</v>
      </c>
      <c r="Q1505" t="str">
        <f>IF(AND($P1505=1,$A1505=经营数据!$B$3,$J1505=经营数据!$BA$5),COUNTIFS($P$2:$P$3000,1,$A$2:$A$3000,$A1505,$J$2:$J$3000,$J1505,$N$2:$N$3000,"&lt;"&amp;$N1505)+1,"")</f>
        <v/>
      </c>
      <c r="R1505" t="str">
        <f t="shared" si="353"/>
        <v>华安锦江封闭式商业不动产证券投资基金|锦江都城广州白云店</v>
      </c>
      <c r="S1505">
        <f>IF($A1505="",0,IF(COUNTIF($R$2:$R1505,$R1505)=1,1,0))</f>
        <v>0</v>
      </c>
      <c r="T1505">
        <f t="shared" si="354"/>
        <v>1501</v>
      </c>
      <c r="U1505" t="str">
        <f>IF($A1505="","",IF($A1505=经营数据!$B$3,COUNTIFS($S$2:$S$3000,1,$A$2:$A$3000,$A1505,$T$2:$T$3000,"&lt;"&amp;$T1505)+1,""))</f>
        <v/>
      </c>
      <c r="V1505" t="str">
        <f t="shared" si="355"/>
        <v>锦江都城广州白云店|服务量</v>
      </c>
      <c r="W1505">
        <f t="shared" si="356"/>
        <v>1501</v>
      </c>
      <c r="X1505" t="str">
        <f t="shared" si="357"/>
        <v>锦江都城广州白云店|平均房价</v>
      </c>
      <c r="Y1505">
        <f t="shared" si="358"/>
        <v>1501</v>
      </c>
      <c r="Z1505">
        <f>IF($A1505="",0,IF(AND($M1505=1,$A1505=经营数据!$B$3,$J1505=经营数据!$BA$5,OR($I1505=经营数据!$BA$4,COUNTIF(经营数据!$AA$9:$AA$38,$I1505)&gt;0)),1,0))</f>
        <v>0</v>
      </c>
      <c r="AA1505" t="str">
        <f t="shared" si="359"/>
        <v/>
      </c>
      <c r="AB1505" t="str">
        <f t="shared" si="360"/>
        <v/>
      </c>
      <c r="AC1505">
        <f>IF($A1505="",0,IF(COUNTIF($A$2:$A1505,$A1505)=1,1,0))</f>
        <v>0</v>
      </c>
      <c r="AD1505">
        <f t="shared" si="361"/>
        <v>18</v>
      </c>
      <c r="AE1505" t="str">
        <f t="shared" si="362"/>
        <v>锦江都城广州白云店|平均房价（元/间）</v>
      </c>
    </row>
    <row r="1506" spans="1:31" x14ac:dyDescent="0.4">
      <c r="A1506" t="str">
        <f>IF(原始经营数据!$D1507="","",原始经营数据!$D1507)</f>
        <v>华安锦江封闭式商业不动产证券投资基金</v>
      </c>
      <c r="B1506" t="str">
        <f>IF(原始经营数据!$D1507="","",T(原始经营数据!$E1507))</f>
        <v>锦江都城广州白云店</v>
      </c>
      <c r="C1506" t="str">
        <f>IF(原始经营数据!$D1507="","",原始经营数据!$F1507)</f>
        <v>2023</v>
      </c>
      <c r="D1506" t="str">
        <f>IF(原始经营数据!$D1507="","",原始经营数据!$H1507)</f>
        <v>可供房数</v>
      </c>
      <c r="E1506">
        <f>IF(原始经营数据!$D1507="","",原始经营数据!$I1507)</f>
        <v>56474</v>
      </c>
      <c r="F1506" t="str">
        <f>IF(原始经营数据!$D1507="","",T(原始经营数据!$J1507))</f>
        <v>间</v>
      </c>
      <c r="G1506" t="str">
        <f>IF(原始经营数据!$D1507="","",T(原始经营数据!$K1507))</f>
        <v/>
      </c>
      <c r="H1506" t="str">
        <f>IF(原始经营数据!$D1507="","",原始经营数据!$G1507)</f>
        <v>服务量</v>
      </c>
      <c r="I1506" t="str">
        <f>IF($A1506="","",IF($B1506&lt;&gt;"",$B1506,IF(COUNTIFS(原始经营数据!$D$3:$D$3001,$A1506,原始经营数据!$E$3:$E$3001,"",原始经营数据!$F$3:$F$3001,$C1506,原始经营数据!$H$3:$H$3001,$D1506,原始经营数据!$K$3:$K$3001,$G1506)&gt;1,"基金整体·来源"&amp;原始经营数据!$A1507,"基金整体")))</f>
        <v>锦江都城广州白云店</v>
      </c>
      <c r="J1506" t="str">
        <f t="shared" si="348"/>
        <v>年度</v>
      </c>
      <c r="K1506" t="str">
        <f t="shared" si="349"/>
        <v>可供房数（间）</v>
      </c>
      <c r="L1506" t="str">
        <f t="shared" si="350"/>
        <v>锦江都城广州白云店|可供房数（间）|年度</v>
      </c>
      <c r="M1506">
        <f>IF($A1506="",0,IF(COUNTIF($L$2:$L1506,$L1506)=1,1,0))</f>
        <v>0</v>
      </c>
      <c r="N1506">
        <f t="shared" si="351"/>
        <v>20230</v>
      </c>
      <c r="O1506" t="str">
        <f t="shared" si="352"/>
        <v>华安锦江封闭式商业不动产证券投资基金|2023|年度</v>
      </c>
      <c r="P1506">
        <f>IF($A1506="",0,IF(COUNTIF($O$2:$O1506,$O1506)=1,1,0))</f>
        <v>0</v>
      </c>
      <c r="Q1506" t="str">
        <f>IF(AND($P1506=1,$A1506=经营数据!$B$3,$J1506=经营数据!$BA$5),COUNTIFS($P$2:$P$3000,1,$A$2:$A$3000,$A1506,$J$2:$J$3000,$J1506,$N$2:$N$3000,"&lt;"&amp;$N1506)+1,"")</f>
        <v/>
      </c>
      <c r="R1506" t="str">
        <f t="shared" si="353"/>
        <v>华安锦江封闭式商业不动产证券投资基金|锦江都城广州白云店</v>
      </c>
      <c r="S1506">
        <f>IF($A1506="",0,IF(COUNTIF($R$2:$R1506,$R1506)=1,1,0))</f>
        <v>0</v>
      </c>
      <c r="T1506">
        <f t="shared" si="354"/>
        <v>1501</v>
      </c>
      <c r="U1506" t="str">
        <f>IF($A1506="","",IF($A1506=经营数据!$B$3,COUNTIFS($S$2:$S$3000,1,$A$2:$A$3000,$A1506,$T$2:$T$3000,"&lt;"&amp;$T1506)+1,""))</f>
        <v/>
      </c>
      <c r="V1506" t="str">
        <f t="shared" si="355"/>
        <v>锦江都城广州白云店|服务量</v>
      </c>
      <c r="W1506">
        <f t="shared" si="356"/>
        <v>1501</v>
      </c>
      <c r="X1506" t="str">
        <f t="shared" si="357"/>
        <v>锦江都城广州白云店|可供房数</v>
      </c>
      <c r="Y1506">
        <f t="shared" si="358"/>
        <v>1503</v>
      </c>
      <c r="Z1506">
        <f>IF($A1506="",0,IF(AND($M1506=1,$A1506=经营数据!$B$3,$J1506=经营数据!$BA$5,OR($I1506=经营数据!$BA$4,COUNTIF(经营数据!$AA$9:$AA$38,$I1506)&gt;0)),1,0))</f>
        <v>0</v>
      </c>
      <c r="AA1506" t="str">
        <f t="shared" si="359"/>
        <v/>
      </c>
      <c r="AB1506" t="str">
        <f t="shared" si="360"/>
        <v/>
      </c>
      <c r="AC1506">
        <f>IF($A1506="",0,IF(COUNTIF($A$2:$A1506,$A1506)=1,1,0))</f>
        <v>0</v>
      </c>
      <c r="AD1506">
        <f t="shared" si="361"/>
        <v>18</v>
      </c>
      <c r="AE1506" t="str">
        <f t="shared" si="362"/>
        <v>锦江都城广州白云店|可供房数（间）</v>
      </c>
    </row>
    <row r="1507" spans="1:31" x14ac:dyDescent="0.4">
      <c r="A1507" t="str">
        <f>IF(原始经营数据!$D1508="","",原始经营数据!$D1508)</f>
        <v>华安锦江封闭式商业不动产证券投资基金</v>
      </c>
      <c r="B1507" t="str">
        <f>IF(原始经营数据!$D1508="","",T(原始经营数据!$E1508))</f>
        <v>锦江都城广州白云店</v>
      </c>
      <c r="C1507" t="str">
        <f>IF(原始经营数据!$D1508="","",原始经营数据!$F1508)</f>
        <v>2023</v>
      </c>
      <c r="D1507" t="str">
        <f>IF(原始经营数据!$D1508="","",原始经营数据!$H1508)</f>
        <v>平均入住率</v>
      </c>
      <c r="E1507">
        <f>IF(原始经营数据!$D1508="","",原始经营数据!$I1508)</f>
        <v>83.13</v>
      </c>
      <c r="F1507" t="str">
        <f>IF(原始经营数据!$D1508="","",T(原始经营数据!$J1508))</f>
        <v>%</v>
      </c>
      <c r="G1507" t="str">
        <f>IF(原始经营数据!$D1508="","",T(原始经营数据!$K1508))</f>
        <v/>
      </c>
      <c r="H1507" t="str">
        <f>IF(原始经营数据!$D1508="","",原始经营数据!$G1508)</f>
        <v>服务量</v>
      </c>
      <c r="I1507" t="str">
        <f>IF($A1507="","",IF($B1507&lt;&gt;"",$B1507,IF(COUNTIFS(原始经营数据!$D$3:$D$3001,$A1507,原始经营数据!$E$3:$E$3001,"",原始经营数据!$F$3:$F$3001,$C1507,原始经营数据!$H$3:$H$3001,$D1507,原始经营数据!$K$3:$K$3001,$G1507)&gt;1,"基金整体·来源"&amp;原始经营数据!$A1508,"基金整体")))</f>
        <v>锦江都城广州白云店</v>
      </c>
      <c r="J1507" t="str">
        <f t="shared" si="348"/>
        <v>年度</v>
      </c>
      <c r="K1507" t="str">
        <f t="shared" si="349"/>
        <v>平均入住率（%）</v>
      </c>
      <c r="L1507" t="str">
        <f t="shared" si="350"/>
        <v>锦江都城广州白云店|平均入住率（%）|年度</v>
      </c>
      <c r="M1507">
        <f>IF($A1507="",0,IF(COUNTIF($L$2:$L1507,$L1507)=1,1,0))</f>
        <v>0</v>
      </c>
      <c r="N1507">
        <f t="shared" si="351"/>
        <v>20230</v>
      </c>
      <c r="O1507" t="str">
        <f t="shared" si="352"/>
        <v>华安锦江封闭式商业不动产证券投资基金|2023|年度</v>
      </c>
      <c r="P1507">
        <f>IF($A1507="",0,IF(COUNTIF($O$2:$O1507,$O1507)=1,1,0))</f>
        <v>0</v>
      </c>
      <c r="Q1507" t="str">
        <f>IF(AND($P1507=1,$A1507=经营数据!$B$3,$J1507=经营数据!$BA$5),COUNTIFS($P$2:$P$3000,1,$A$2:$A$3000,$A1507,$J$2:$J$3000,$J1507,$N$2:$N$3000,"&lt;"&amp;$N1507)+1,"")</f>
        <v/>
      </c>
      <c r="R1507" t="str">
        <f t="shared" si="353"/>
        <v>华安锦江封闭式商业不动产证券投资基金|锦江都城广州白云店</v>
      </c>
      <c r="S1507">
        <f>IF($A1507="",0,IF(COUNTIF($R$2:$R1507,$R1507)=1,1,0))</f>
        <v>0</v>
      </c>
      <c r="T1507">
        <f t="shared" si="354"/>
        <v>1501</v>
      </c>
      <c r="U1507" t="str">
        <f>IF($A1507="","",IF($A1507=经营数据!$B$3,COUNTIFS($S$2:$S$3000,1,$A$2:$A$3000,$A1507,$T$2:$T$3000,"&lt;"&amp;$T1507)+1,""))</f>
        <v/>
      </c>
      <c r="V1507" t="str">
        <f t="shared" si="355"/>
        <v>锦江都城广州白云店|服务量</v>
      </c>
      <c r="W1507">
        <f t="shared" si="356"/>
        <v>1501</v>
      </c>
      <c r="X1507" t="str">
        <f t="shared" si="357"/>
        <v>锦江都城广州白云店|平均入住率</v>
      </c>
      <c r="Y1507">
        <f t="shared" si="358"/>
        <v>1502</v>
      </c>
      <c r="Z1507">
        <f>IF($A1507="",0,IF(AND($M1507=1,$A1507=经营数据!$B$3,$J1507=经营数据!$BA$5,OR($I1507=经营数据!$BA$4,COUNTIF(经营数据!$AA$9:$AA$38,$I1507)&gt;0)),1,0))</f>
        <v>0</v>
      </c>
      <c r="AA1507" t="str">
        <f t="shared" si="359"/>
        <v/>
      </c>
      <c r="AB1507" t="str">
        <f t="shared" si="360"/>
        <v/>
      </c>
      <c r="AC1507">
        <f>IF($A1507="",0,IF(COUNTIF($A$2:$A1507,$A1507)=1,1,0))</f>
        <v>0</v>
      </c>
      <c r="AD1507">
        <f t="shared" si="361"/>
        <v>18</v>
      </c>
      <c r="AE1507" t="str">
        <f t="shared" si="362"/>
        <v>锦江都城广州白云店|平均入住率（%）</v>
      </c>
    </row>
    <row r="1508" spans="1:31" x14ac:dyDescent="0.4">
      <c r="A1508" t="str">
        <f>IF(原始经营数据!$D1509="","",原始经营数据!$D1509)</f>
        <v>华安锦江封闭式商业不动产证券投资基金</v>
      </c>
      <c r="B1508" t="str">
        <f>IF(原始经营数据!$D1509="","",T(原始经营数据!$E1509))</f>
        <v>锦江都城广州白云店</v>
      </c>
      <c r="C1508" t="str">
        <f>IF(原始经营数据!$D1509="","",原始经营数据!$F1509)</f>
        <v>2024</v>
      </c>
      <c r="D1508" t="str">
        <f>IF(原始经营数据!$D1509="","",原始经营数据!$H1509)</f>
        <v>平均房价</v>
      </c>
      <c r="E1508">
        <f>IF(原始经营数据!$D1509="","",原始经营数据!$I1509)</f>
        <v>384.31</v>
      </c>
      <c r="F1508" t="str">
        <f>IF(原始经营数据!$D1509="","",T(原始经营数据!$J1509))</f>
        <v>元/间</v>
      </c>
      <c r="G1508" t="str">
        <f>IF(原始经营数据!$D1509="","",T(原始经营数据!$K1509))</f>
        <v/>
      </c>
      <c r="H1508" t="str">
        <f>IF(原始经营数据!$D1509="","",原始经营数据!$G1509)</f>
        <v>服务量</v>
      </c>
      <c r="I1508" t="str">
        <f>IF($A1508="","",IF($B1508&lt;&gt;"",$B1508,IF(COUNTIFS(原始经营数据!$D$3:$D$3001,$A1508,原始经营数据!$E$3:$E$3001,"",原始经营数据!$F$3:$F$3001,$C1508,原始经营数据!$H$3:$H$3001,$D1508,原始经营数据!$K$3:$K$3001,$G1508)&gt;1,"基金整体·来源"&amp;原始经营数据!$A1509,"基金整体")))</f>
        <v>锦江都城广州白云店</v>
      </c>
      <c r="J1508" t="str">
        <f t="shared" si="348"/>
        <v>年度</v>
      </c>
      <c r="K1508" t="str">
        <f t="shared" si="349"/>
        <v>平均房价（元/间）</v>
      </c>
      <c r="L1508" t="str">
        <f t="shared" si="350"/>
        <v>锦江都城广州白云店|平均房价（元/间）|年度</v>
      </c>
      <c r="M1508">
        <f>IF($A1508="",0,IF(COUNTIF($L$2:$L1508,$L1508)=1,1,0))</f>
        <v>0</v>
      </c>
      <c r="N1508">
        <f t="shared" si="351"/>
        <v>20240</v>
      </c>
      <c r="O1508" t="str">
        <f t="shared" si="352"/>
        <v>华安锦江封闭式商业不动产证券投资基金|2024|年度</v>
      </c>
      <c r="P1508">
        <f>IF($A1508="",0,IF(COUNTIF($O$2:$O1508,$O1508)=1,1,0))</f>
        <v>0</v>
      </c>
      <c r="Q1508" t="str">
        <f>IF(AND($P1508=1,$A1508=经营数据!$B$3,$J1508=经营数据!$BA$5),COUNTIFS($P$2:$P$3000,1,$A$2:$A$3000,$A1508,$J$2:$J$3000,$J1508,$N$2:$N$3000,"&lt;"&amp;$N1508)+1,"")</f>
        <v/>
      </c>
      <c r="R1508" t="str">
        <f t="shared" si="353"/>
        <v>华安锦江封闭式商业不动产证券投资基金|锦江都城广州白云店</v>
      </c>
      <c r="S1508">
        <f>IF($A1508="",0,IF(COUNTIF($R$2:$R1508,$R1508)=1,1,0))</f>
        <v>0</v>
      </c>
      <c r="T1508">
        <f t="shared" si="354"/>
        <v>1501</v>
      </c>
      <c r="U1508" t="str">
        <f>IF($A1508="","",IF($A1508=经营数据!$B$3,COUNTIFS($S$2:$S$3000,1,$A$2:$A$3000,$A1508,$T$2:$T$3000,"&lt;"&amp;$T1508)+1,""))</f>
        <v/>
      </c>
      <c r="V1508" t="str">
        <f t="shared" si="355"/>
        <v>锦江都城广州白云店|服务量</v>
      </c>
      <c r="W1508">
        <f t="shared" si="356"/>
        <v>1501</v>
      </c>
      <c r="X1508" t="str">
        <f t="shared" si="357"/>
        <v>锦江都城广州白云店|平均房价</v>
      </c>
      <c r="Y1508">
        <f t="shared" si="358"/>
        <v>1501</v>
      </c>
      <c r="Z1508">
        <f>IF($A1508="",0,IF(AND($M1508=1,$A1508=经营数据!$B$3,$J1508=经营数据!$BA$5,OR($I1508=经营数据!$BA$4,COUNTIF(经营数据!$AA$9:$AA$38,$I1508)&gt;0)),1,0))</f>
        <v>0</v>
      </c>
      <c r="AA1508" t="str">
        <f t="shared" si="359"/>
        <v/>
      </c>
      <c r="AB1508" t="str">
        <f t="shared" si="360"/>
        <v/>
      </c>
      <c r="AC1508">
        <f>IF($A1508="",0,IF(COUNTIF($A$2:$A1508,$A1508)=1,1,0))</f>
        <v>0</v>
      </c>
      <c r="AD1508">
        <f t="shared" si="361"/>
        <v>18</v>
      </c>
      <c r="AE1508" t="str">
        <f t="shared" si="362"/>
        <v>锦江都城广州白云店|平均房价（元/间）</v>
      </c>
    </row>
    <row r="1509" spans="1:31" x14ac:dyDescent="0.4">
      <c r="A1509" t="str">
        <f>IF(原始经营数据!$D1510="","",原始经营数据!$D1510)</f>
        <v>华安锦江封闭式商业不动产证券投资基金</v>
      </c>
      <c r="B1509" t="str">
        <f>IF(原始经营数据!$D1510="","",T(原始经营数据!$E1510))</f>
        <v>锦江都城广州白云店</v>
      </c>
      <c r="C1509" t="str">
        <f>IF(原始经营数据!$D1510="","",原始经营数据!$F1510)</f>
        <v>2024</v>
      </c>
      <c r="D1509" t="str">
        <f>IF(原始经营数据!$D1510="","",原始经营数据!$H1510)</f>
        <v>平均入住率</v>
      </c>
      <c r="E1509">
        <f>IF(原始经营数据!$D1510="","",原始经营数据!$I1510)</f>
        <v>75.84</v>
      </c>
      <c r="F1509" t="str">
        <f>IF(原始经营数据!$D1510="","",T(原始经营数据!$J1510))</f>
        <v>%</v>
      </c>
      <c r="G1509" t="str">
        <f>IF(原始经营数据!$D1510="","",T(原始经营数据!$K1510))</f>
        <v/>
      </c>
      <c r="H1509" t="str">
        <f>IF(原始经营数据!$D1510="","",原始经营数据!$G1510)</f>
        <v>服务量</v>
      </c>
      <c r="I1509" t="str">
        <f>IF($A1509="","",IF($B1509&lt;&gt;"",$B1509,IF(COUNTIFS(原始经营数据!$D$3:$D$3001,$A1509,原始经营数据!$E$3:$E$3001,"",原始经营数据!$F$3:$F$3001,$C1509,原始经营数据!$H$3:$H$3001,$D1509,原始经营数据!$K$3:$K$3001,$G1509)&gt;1,"基金整体·来源"&amp;原始经营数据!$A1510,"基金整体")))</f>
        <v>锦江都城广州白云店</v>
      </c>
      <c r="J1509" t="str">
        <f t="shared" si="348"/>
        <v>年度</v>
      </c>
      <c r="K1509" t="str">
        <f t="shared" si="349"/>
        <v>平均入住率（%）</v>
      </c>
      <c r="L1509" t="str">
        <f t="shared" si="350"/>
        <v>锦江都城广州白云店|平均入住率（%）|年度</v>
      </c>
      <c r="M1509">
        <f>IF($A1509="",0,IF(COUNTIF($L$2:$L1509,$L1509)=1,1,0))</f>
        <v>0</v>
      </c>
      <c r="N1509">
        <f t="shared" si="351"/>
        <v>20240</v>
      </c>
      <c r="O1509" t="str">
        <f t="shared" si="352"/>
        <v>华安锦江封闭式商业不动产证券投资基金|2024|年度</v>
      </c>
      <c r="P1509">
        <f>IF($A1509="",0,IF(COUNTIF($O$2:$O1509,$O1509)=1,1,0))</f>
        <v>0</v>
      </c>
      <c r="Q1509" t="str">
        <f>IF(AND($P1509=1,$A1509=经营数据!$B$3,$J1509=经营数据!$BA$5),COUNTIFS($P$2:$P$3000,1,$A$2:$A$3000,$A1509,$J$2:$J$3000,$J1509,$N$2:$N$3000,"&lt;"&amp;$N1509)+1,"")</f>
        <v/>
      </c>
      <c r="R1509" t="str">
        <f t="shared" si="353"/>
        <v>华安锦江封闭式商业不动产证券投资基金|锦江都城广州白云店</v>
      </c>
      <c r="S1509">
        <f>IF($A1509="",0,IF(COUNTIF($R$2:$R1509,$R1509)=1,1,0))</f>
        <v>0</v>
      </c>
      <c r="T1509">
        <f t="shared" si="354"/>
        <v>1501</v>
      </c>
      <c r="U1509" t="str">
        <f>IF($A1509="","",IF($A1509=经营数据!$B$3,COUNTIFS($S$2:$S$3000,1,$A$2:$A$3000,$A1509,$T$2:$T$3000,"&lt;"&amp;$T1509)+1,""))</f>
        <v/>
      </c>
      <c r="V1509" t="str">
        <f t="shared" si="355"/>
        <v>锦江都城广州白云店|服务量</v>
      </c>
      <c r="W1509">
        <f t="shared" si="356"/>
        <v>1501</v>
      </c>
      <c r="X1509" t="str">
        <f t="shared" si="357"/>
        <v>锦江都城广州白云店|平均入住率</v>
      </c>
      <c r="Y1509">
        <f t="shared" si="358"/>
        <v>1502</v>
      </c>
      <c r="Z1509">
        <f>IF($A1509="",0,IF(AND($M1509=1,$A1509=经营数据!$B$3,$J1509=经营数据!$BA$5,OR($I1509=经营数据!$BA$4,COUNTIF(经营数据!$AA$9:$AA$38,$I1509)&gt;0)),1,0))</f>
        <v>0</v>
      </c>
      <c r="AA1509" t="str">
        <f t="shared" si="359"/>
        <v/>
      </c>
      <c r="AB1509" t="str">
        <f t="shared" si="360"/>
        <v/>
      </c>
      <c r="AC1509">
        <f>IF($A1509="",0,IF(COUNTIF($A$2:$A1509,$A1509)=1,1,0))</f>
        <v>0</v>
      </c>
      <c r="AD1509">
        <f t="shared" si="361"/>
        <v>18</v>
      </c>
      <c r="AE1509" t="str">
        <f t="shared" si="362"/>
        <v>锦江都城广州白云店|平均入住率（%）</v>
      </c>
    </row>
    <row r="1510" spans="1:31" x14ac:dyDescent="0.4">
      <c r="A1510" t="str">
        <f>IF(原始经营数据!$D1511="","",原始经营数据!$D1511)</f>
        <v>华安锦江封闭式商业不动产证券投资基金</v>
      </c>
      <c r="B1510" t="str">
        <f>IF(原始经营数据!$D1511="","",T(原始经营数据!$E1511))</f>
        <v>锦江都城广州白云店</v>
      </c>
      <c r="C1510" t="str">
        <f>IF(原始经营数据!$D1511="","",原始经营数据!$F1511)</f>
        <v>2024</v>
      </c>
      <c r="D1510" t="str">
        <f>IF(原始经营数据!$D1511="","",原始经营数据!$H1511)</f>
        <v>可供房数</v>
      </c>
      <c r="E1510">
        <f>IF(原始经营数据!$D1511="","",原始经营数据!$I1511)</f>
        <v>51980</v>
      </c>
      <c r="F1510" t="str">
        <f>IF(原始经营数据!$D1511="","",T(原始经营数据!$J1511))</f>
        <v>间</v>
      </c>
      <c r="G1510" t="str">
        <f>IF(原始经营数据!$D1511="","",T(原始经营数据!$K1511))</f>
        <v/>
      </c>
      <c r="H1510" t="str">
        <f>IF(原始经营数据!$D1511="","",原始经营数据!$G1511)</f>
        <v>服务量</v>
      </c>
      <c r="I1510" t="str">
        <f>IF($A1510="","",IF($B1510&lt;&gt;"",$B1510,IF(COUNTIFS(原始经营数据!$D$3:$D$3001,$A1510,原始经营数据!$E$3:$E$3001,"",原始经营数据!$F$3:$F$3001,$C1510,原始经营数据!$H$3:$H$3001,$D1510,原始经营数据!$K$3:$K$3001,$G1510)&gt;1,"基金整体·来源"&amp;原始经营数据!$A1511,"基金整体")))</f>
        <v>锦江都城广州白云店</v>
      </c>
      <c r="J1510" t="str">
        <f t="shared" si="348"/>
        <v>年度</v>
      </c>
      <c r="K1510" t="str">
        <f t="shared" si="349"/>
        <v>可供房数（间）</v>
      </c>
      <c r="L1510" t="str">
        <f t="shared" si="350"/>
        <v>锦江都城广州白云店|可供房数（间）|年度</v>
      </c>
      <c r="M1510">
        <f>IF($A1510="",0,IF(COUNTIF($L$2:$L1510,$L1510)=1,1,0))</f>
        <v>0</v>
      </c>
      <c r="N1510">
        <f t="shared" si="351"/>
        <v>20240</v>
      </c>
      <c r="O1510" t="str">
        <f t="shared" si="352"/>
        <v>华安锦江封闭式商业不动产证券投资基金|2024|年度</v>
      </c>
      <c r="P1510">
        <f>IF($A1510="",0,IF(COUNTIF($O$2:$O1510,$O1510)=1,1,0))</f>
        <v>0</v>
      </c>
      <c r="Q1510" t="str">
        <f>IF(AND($P1510=1,$A1510=经营数据!$B$3,$J1510=经营数据!$BA$5),COUNTIFS($P$2:$P$3000,1,$A$2:$A$3000,$A1510,$J$2:$J$3000,$J1510,$N$2:$N$3000,"&lt;"&amp;$N1510)+1,"")</f>
        <v/>
      </c>
      <c r="R1510" t="str">
        <f t="shared" si="353"/>
        <v>华安锦江封闭式商业不动产证券投资基金|锦江都城广州白云店</v>
      </c>
      <c r="S1510">
        <f>IF($A1510="",0,IF(COUNTIF($R$2:$R1510,$R1510)=1,1,0))</f>
        <v>0</v>
      </c>
      <c r="T1510">
        <f t="shared" si="354"/>
        <v>1501</v>
      </c>
      <c r="U1510" t="str">
        <f>IF($A1510="","",IF($A1510=经营数据!$B$3,COUNTIFS($S$2:$S$3000,1,$A$2:$A$3000,$A1510,$T$2:$T$3000,"&lt;"&amp;$T1510)+1,""))</f>
        <v/>
      </c>
      <c r="V1510" t="str">
        <f t="shared" si="355"/>
        <v>锦江都城广州白云店|服务量</v>
      </c>
      <c r="W1510">
        <f t="shared" si="356"/>
        <v>1501</v>
      </c>
      <c r="X1510" t="str">
        <f t="shared" si="357"/>
        <v>锦江都城广州白云店|可供房数</v>
      </c>
      <c r="Y1510">
        <f t="shared" si="358"/>
        <v>1503</v>
      </c>
      <c r="Z1510">
        <f>IF($A1510="",0,IF(AND($M1510=1,$A1510=经营数据!$B$3,$J1510=经营数据!$BA$5,OR($I1510=经营数据!$BA$4,COUNTIF(经营数据!$AA$9:$AA$38,$I1510)&gt;0)),1,0))</f>
        <v>0</v>
      </c>
      <c r="AA1510" t="str">
        <f t="shared" si="359"/>
        <v/>
      </c>
      <c r="AB1510" t="str">
        <f t="shared" si="360"/>
        <v/>
      </c>
      <c r="AC1510">
        <f>IF($A1510="",0,IF(COUNTIF($A$2:$A1510,$A1510)=1,1,0))</f>
        <v>0</v>
      </c>
      <c r="AD1510">
        <f t="shared" si="361"/>
        <v>18</v>
      </c>
      <c r="AE1510" t="str">
        <f t="shared" si="362"/>
        <v>锦江都城广州白云店|可供房数（间）</v>
      </c>
    </row>
    <row r="1511" spans="1:31" x14ac:dyDescent="0.4">
      <c r="A1511" t="str">
        <f>IF(原始经营数据!$D1512="","",原始经营数据!$D1512)</f>
        <v>华安锦江封闭式商业不动产证券投资基金</v>
      </c>
      <c r="B1511" t="str">
        <f>IF(原始经营数据!$D1512="","",T(原始经营数据!$E1512))</f>
        <v>锦江都城广州白云店</v>
      </c>
      <c r="C1511" t="str">
        <f>IF(原始经营数据!$D1512="","",原始经营数据!$F1512)</f>
        <v>2025</v>
      </c>
      <c r="D1511" t="str">
        <f>IF(原始经营数据!$D1512="","",原始经营数据!$H1512)</f>
        <v>平均房价</v>
      </c>
      <c r="E1511">
        <f>IF(原始经营数据!$D1512="","",原始经营数据!$I1512)</f>
        <v>380.13</v>
      </c>
      <c r="F1511" t="str">
        <f>IF(原始经营数据!$D1512="","",T(原始经营数据!$J1512))</f>
        <v>元/间</v>
      </c>
      <c r="G1511" t="str">
        <f>IF(原始经营数据!$D1512="","",T(原始经营数据!$K1512))</f>
        <v/>
      </c>
      <c r="H1511" t="str">
        <f>IF(原始经营数据!$D1512="","",原始经营数据!$G1512)</f>
        <v>服务量</v>
      </c>
      <c r="I1511" t="str">
        <f>IF($A1511="","",IF($B1511&lt;&gt;"",$B1511,IF(COUNTIFS(原始经营数据!$D$3:$D$3001,$A1511,原始经营数据!$E$3:$E$3001,"",原始经营数据!$F$3:$F$3001,$C1511,原始经营数据!$H$3:$H$3001,$D1511,原始经营数据!$K$3:$K$3001,$G1511)&gt;1,"基金整体·来源"&amp;原始经营数据!$A1512,"基金整体")))</f>
        <v>锦江都城广州白云店</v>
      </c>
      <c r="J1511" t="str">
        <f t="shared" si="348"/>
        <v>年度</v>
      </c>
      <c r="K1511" t="str">
        <f t="shared" si="349"/>
        <v>平均房价（元/间）</v>
      </c>
      <c r="L1511" t="str">
        <f t="shared" si="350"/>
        <v>锦江都城广州白云店|平均房价（元/间）|年度</v>
      </c>
      <c r="M1511">
        <f>IF($A1511="",0,IF(COUNTIF($L$2:$L1511,$L1511)=1,1,0))</f>
        <v>0</v>
      </c>
      <c r="N1511">
        <f t="shared" si="351"/>
        <v>20250</v>
      </c>
      <c r="O1511" t="str">
        <f t="shared" si="352"/>
        <v>华安锦江封闭式商业不动产证券投资基金|2025|年度</v>
      </c>
      <c r="P1511">
        <f>IF($A1511="",0,IF(COUNTIF($O$2:$O1511,$O1511)=1,1,0))</f>
        <v>0</v>
      </c>
      <c r="Q1511" t="str">
        <f>IF(AND($P1511=1,$A1511=经营数据!$B$3,$J1511=经营数据!$BA$5),COUNTIFS($P$2:$P$3000,1,$A$2:$A$3000,$A1511,$J$2:$J$3000,$J1511,$N$2:$N$3000,"&lt;"&amp;$N1511)+1,"")</f>
        <v/>
      </c>
      <c r="R1511" t="str">
        <f t="shared" si="353"/>
        <v>华安锦江封闭式商业不动产证券投资基金|锦江都城广州白云店</v>
      </c>
      <c r="S1511">
        <f>IF($A1511="",0,IF(COUNTIF($R$2:$R1511,$R1511)=1,1,0))</f>
        <v>0</v>
      </c>
      <c r="T1511">
        <f t="shared" si="354"/>
        <v>1501</v>
      </c>
      <c r="U1511" t="str">
        <f>IF($A1511="","",IF($A1511=经营数据!$B$3,COUNTIFS($S$2:$S$3000,1,$A$2:$A$3000,$A1511,$T$2:$T$3000,"&lt;"&amp;$T1511)+1,""))</f>
        <v/>
      </c>
      <c r="V1511" t="str">
        <f t="shared" si="355"/>
        <v>锦江都城广州白云店|服务量</v>
      </c>
      <c r="W1511">
        <f t="shared" si="356"/>
        <v>1501</v>
      </c>
      <c r="X1511" t="str">
        <f t="shared" si="357"/>
        <v>锦江都城广州白云店|平均房价</v>
      </c>
      <c r="Y1511">
        <f t="shared" si="358"/>
        <v>1501</v>
      </c>
      <c r="Z1511">
        <f>IF($A1511="",0,IF(AND($M1511=1,$A1511=经营数据!$B$3,$J1511=经营数据!$BA$5,OR($I1511=经营数据!$BA$4,COUNTIF(经营数据!$AA$9:$AA$38,$I1511)&gt;0)),1,0))</f>
        <v>0</v>
      </c>
      <c r="AA1511" t="str">
        <f t="shared" si="359"/>
        <v/>
      </c>
      <c r="AB1511" t="str">
        <f t="shared" si="360"/>
        <v/>
      </c>
      <c r="AC1511">
        <f>IF($A1511="",0,IF(COUNTIF($A$2:$A1511,$A1511)=1,1,0))</f>
        <v>0</v>
      </c>
      <c r="AD1511">
        <f t="shared" si="361"/>
        <v>18</v>
      </c>
      <c r="AE1511" t="str">
        <f t="shared" si="362"/>
        <v>锦江都城广州白云店|平均房价（元/间）</v>
      </c>
    </row>
    <row r="1512" spans="1:31" x14ac:dyDescent="0.4">
      <c r="A1512" t="str">
        <f>IF(原始经营数据!$D1513="","",原始经营数据!$D1513)</f>
        <v>华安锦江封闭式商业不动产证券投资基金</v>
      </c>
      <c r="B1512" t="str">
        <f>IF(原始经营数据!$D1513="","",T(原始经营数据!$E1513))</f>
        <v>锦江都城广州白云店</v>
      </c>
      <c r="C1512" t="str">
        <f>IF(原始经营数据!$D1513="","",原始经营数据!$F1513)</f>
        <v>2025</v>
      </c>
      <c r="D1512" t="str">
        <f>IF(原始经营数据!$D1513="","",原始经营数据!$H1513)</f>
        <v>可供房数</v>
      </c>
      <c r="E1512">
        <f>IF(原始经营数据!$D1513="","",原始经营数据!$I1513)</f>
        <v>47213</v>
      </c>
      <c r="F1512" t="str">
        <f>IF(原始经营数据!$D1513="","",T(原始经营数据!$J1513))</f>
        <v>间</v>
      </c>
      <c r="G1512" t="str">
        <f>IF(原始经营数据!$D1513="","",T(原始经营数据!$K1513))</f>
        <v/>
      </c>
      <c r="H1512" t="str">
        <f>IF(原始经营数据!$D1513="","",原始经营数据!$G1513)</f>
        <v>服务量</v>
      </c>
      <c r="I1512" t="str">
        <f>IF($A1512="","",IF($B1512&lt;&gt;"",$B1512,IF(COUNTIFS(原始经营数据!$D$3:$D$3001,$A1512,原始经营数据!$E$3:$E$3001,"",原始经营数据!$F$3:$F$3001,$C1512,原始经营数据!$H$3:$H$3001,$D1512,原始经营数据!$K$3:$K$3001,$G1512)&gt;1,"基金整体·来源"&amp;原始经营数据!$A1513,"基金整体")))</f>
        <v>锦江都城广州白云店</v>
      </c>
      <c r="J1512" t="str">
        <f t="shared" si="348"/>
        <v>年度</v>
      </c>
      <c r="K1512" t="str">
        <f t="shared" si="349"/>
        <v>可供房数（间）</v>
      </c>
      <c r="L1512" t="str">
        <f t="shared" si="350"/>
        <v>锦江都城广州白云店|可供房数（间）|年度</v>
      </c>
      <c r="M1512">
        <f>IF($A1512="",0,IF(COUNTIF($L$2:$L1512,$L1512)=1,1,0))</f>
        <v>0</v>
      </c>
      <c r="N1512">
        <f t="shared" si="351"/>
        <v>20250</v>
      </c>
      <c r="O1512" t="str">
        <f t="shared" si="352"/>
        <v>华安锦江封闭式商业不动产证券投资基金|2025|年度</v>
      </c>
      <c r="P1512">
        <f>IF($A1512="",0,IF(COUNTIF($O$2:$O1512,$O1512)=1,1,0))</f>
        <v>0</v>
      </c>
      <c r="Q1512" t="str">
        <f>IF(AND($P1512=1,$A1512=经营数据!$B$3,$J1512=经营数据!$BA$5),COUNTIFS($P$2:$P$3000,1,$A$2:$A$3000,$A1512,$J$2:$J$3000,$J1512,$N$2:$N$3000,"&lt;"&amp;$N1512)+1,"")</f>
        <v/>
      </c>
      <c r="R1512" t="str">
        <f t="shared" si="353"/>
        <v>华安锦江封闭式商业不动产证券投资基金|锦江都城广州白云店</v>
      </c>
      <c r="S1512">
        <f>IF($A1512="",0,IF(COUNTIF($R$2:$R1512,$R1512)=1,1,0))</f>
        <v>0</v>
      </c>
      <c r="T1512">
        <f t="shared" si="354"/>
        <v>1501</v>
      </c>
      <c r="U1512" t="str">
        <f>IF($A1512="","",IF($A1512=经营数据!$B$3,COUNTIFS($S$2:$S$3000,1,$A$2:$A$3000,$A1512,$T$2:$T$3000,"&lt;"&amp;$T1512)+1,""))</f>
        <v/>
      </c>
      <c r="V1512" t="str">
        <f t="shared" si="355"/>
        <v>锦江都城广州白云店|服务量</v>
      </c>
      <c r="W1512">
        <f t="shared" si="356"/>
        <v>1501</v>
      </c>
      <c r="X1512" t="str">
        <f t="shared" si="357"/>
        <v>锦江都城广州白云店|可供房数</v>
      </c>
      <c r="Y1512">
        <f t="shared" si="358"/>
        <v>1503</v>
      </c>
      <c r="Z1512">
        <f>IF($A1512="",0,IF(AND($M1512=1,$A1512=经营数据!$B$3,$J1512=经营数据!$BA$5,OR($I1512=经营数据!$BA$4,COUNTIF(经营数据!$AA$9:$AA$38,$I1512)&gt;0)),1,0))</f>
        <v>0</v>
      </c>
      <c r="AA1512" t="str">
        <f t="shared" si="359"/>
        <v/>
      </c>
      <c r="AB1512" t="str">
        <f t="shared" si="360"/>
        <v/>
      </c>
      <c r="AC1512">
        <f>IF($A1512="",0,IF(COUNTIF($A$2:$A1512,$A1512)=1,1,0))</f>
        <v>0</v>
      </c>
      <c r="AD1512">
        <f t="shared" si="361"/>
        <v>18</v>
      </c>
      <c r="AE1512" t="str">
        <f t="shared" si="362"/>
        <v>锦江都城广州白云店|可供房数（间）</v>
      </c>
    </row>
    <row r="1513" spans="1:31" x14ac:dyDescent="0.4">
      <c r="A1513" t="str">
        <f>IF(原始经营数据!$D1514="","",原始经营数据!$D1514)</f>
        <v>华安锦江封闭式商业不动产证券投资基金</v>
      </c>
      <c r="B1513" t="str">
        <f>IF(原始经营数据!$D1514="","",T(原始经营数据!$E1514))</f>
        <v>锦江都城广州白云店</v>
      </c>
      <c r="C1513" t="str">
        <f>IF(原始经营数据!$D1514="","",原始经营数据!$F1514)</f>
        <v>2025</v>
      </c>
      <c r="D1513" t="str">
        <f>IF(原始经营数据!$D1514="","",原始经营数据!$H1514)</f>
        <v>平均入住率</v>
      </c>
      <c r="E1513">
        <f>IF(原始经营数据!$D1514="","",原始经营数据!$I1514)</f>
        <v>72.13</v>
      </c>
      <c r="F1513" t="str">
        <f>IF(原始经营数据!$D1514="","",T(原始经营数据!$J1514))</f>
        <v>%</v>
      </c>
      <c r="G1513" t="str">
        <f>IF(原始经营数据!$D1514="","",T(原始经营数据!$K1514))</f>
        <v/>
      </c>
      <c r="H1513" t="str">
        <f>IF(原始经营数据!$D1514="","",原始经营数据!$G1514)</f>
        <v>服务量</v>
      </c>
      <c r="I1513" t="str">
        <f>IF($A1513="","",IF($B1513&lt;&gt;"",$B1513,IF(COUNTIFS(原始经营数据!$D$3:$D$3001,$A1513,原始经营数据!$E$3:$E$3001,"",原始经营数据!$F$3:$F$3001,$C1513,原始经营数据!$H$3:$H$3001,$D1513,原始经营数据!$K$3:$K$3001,$G1513)&gt;1,"基金整体·来源"&amp;原始经营数据!$A1514,"基金整体")))</f>
        <v>锦江都城广州白云店</v>
      </c>
      <c r="J1513" t="str">
        <f t="shared" si="348"/>
        <v>年度</v>
      </c>
      <c r="K1513" t="str">
        <f t="shared" si="349"/>
        <v>平均入住率（%）</v>
      </c>
      <c r="L1513" t="str">
        <f t="shared" si="350"/>
        <v>锦江都城广州白云店|平均入住率（%）|年度</v>
      </c>
      <c r="M1513">
        <f>IF($A1513="",0,IF(COUNTIF($L$2:$L1513,$L1513)=1,1,0))</f>
        <v>0</v>
      </c>
      <c r="N1513">
        <f t="shared" si="351"/>
        <v>20250</v>
      </c>
      <c r="O1513" t="str">
        <f t="shared" si="352"/>
        <v>华安锦江封闭式商业不动产证券投资基金|2025|年度</v>
      </c>
      <c r="P1513">
        <f>IF($A1513="",0,IF(COUNTIF($O$2:$O1513,$O1513)=1,1,0))</f>
        <v>0</v>
      </c>
      <c r="Q1513" t="str">
        <f>IF(AND($P1513=1,$A1513=经营数据!$B$3,$J1513=经营数据!$BA$5),COUNTIFS($P$2:$P$3000,1,$A$2:$A$3000,$A1513,$J$2:$J$3000,$J1513,$N$2:$N$3000,"&lt;"&amp;$N1513)+1,"")</f>
        <v/>
      </c>
      <c r="R1513" t="str">
        <f t="shared" si="353"/>
        <v>华安锦江封闭式商业不动产证券投资基金|锦江都城广州白云店</v>
      </c>
      <c r="S1513">
        <f>IF($A1513="",0,IF(COUNTIF($R$2:$R1513,$R1513)=1,1,0))</f>
        <v>0</v>
      </c>
      <c r="T1513">
        <f t="shared" si="354"/>
        <v>1501</v>
      </c>
      <c r="U1513" t="str">
        <f>IF($A1513="","",IF($A1513=经营数据!$B$3,COUNTIFS($S$2:$S$3000,1,$A$2:$A$3000,$A1513,$T$2:$T$3000,"&lt;"&amp;$T1513)+1,""))</f>
        <v/>
      </c>
      <c r="V1513" t="str">
        <f t="shared" si="355"/>
        <v>锦江都城广州白云店|服务量</v>
      </c>
      <c r="W1513">
        <f t="shared" si="356"/>
        <v>1501</v>
      </c>
      <c r="X1513" t="str">
        <f t="shared" si="357"/>
        <v>锦江都城广州白云店|平均入住率</v>
      </c>
      <c r="Y1513">
        <f t="shared" si="358"/>
        <v>1502</v>
      </c>
      <c r="Z1513">
        <f>IF($A1513="",0,IF(AND($M1513=1,$A1513=经营数据!$B$3,$J1513=经营数据!$BA$5,OR($I1513=经营数据!$BA$4,COUNTIF(经营数据!$AA$9:$AA$38,$I1513)&gt;0)),1,0))</f>
        <v>0</v>
      </c>
      <c r="AA1513" t="str">
        <f t="shared" si="359"/>
        <v/>
      </c>
      <c r="AB1513" t="str">
        <f t="shared" si="360"/>
        <v/>
      </c>
      <c r="AC1513">
        <f>IF($A1513="",0,IF(COUNTIF($A$2:$A1513,$A1513)=1,1,0))</f>
        <v>0</v>
      </c>
      <c r="AD1513">
        <f t="shared" si="361"/>
        <v>18</v>
      </c>
      <c r="AE1513" t="str">
        <f t="shared" si="362"/>
        <v>锦江都城广州白云店|平均入住率（%）</v>
      </c>
    </row>
    <row r="1514" spans="1:31" x14ac:dyDescent="0.4">
      <c r="A1514" t="str">
        <f>IF(原始经营数据!$D1515="","",原始经营数据!$D1515)</f>
        <v>华安锦江封闭式商业不动产证券投资基金</v>
      </c>
      <c r="B1514" t="str">
        <f>IF(原始经营数据!$D1515="","",T(原始经营数据!$E1515))</f>
        <v>锦江都城廊坊广阳店</v>
      </c>
      <c r="C1514" t="str">
        <f>IF(原始经营数据!$D1515="","",原始经营数据!$F1515)</f>
        <v>2022</v>
      </c>
      <c r="D1514" t="str">
        <f>IF(原始经营数据!$D1515="","",原始经营数据!$H1515)</f>
        <v>平均房价</v>
      </c>
      <c r="E1514">
        <f>IF(原始经营数据!$D1515="","",原始经营数据!$I1515)</f>
        <v>228.56</v>
      </c>
      <c r="F1514" t="str">
        <f>IF(原始经营数据!$D1515="","",T(原始经营数据!$J1515))</f>
        <v>元/间</v>
      </c>
      <c r="G1514" t="str">
        <f>IF(原始经营数据!$D1515="","",T(原始经营数据!$K1515))</f>
        <v/>
      </c>
      <c r="H1514" t="str">
        <f>IF(原始经营数据!$D1515="","",原始经营数据!$G1515)</f>
        <v>服务量</v>
      </c>
      <c r="I1514" t="str">
        <f>IF($A1514="","",IF($B1514&lt;&gt;"",$B1514,IF(COUNTIFS(原始经营数据!$D$3:$D$3001,$A1514,原始经营数据!$E$3:$E$3001,"",原始经营数据!$F$3:$F$3001,$C1514,原始经营数据!$H$3:$H$3001,$D1514,原始经营数据!$K$3:$K$3001,$G1514)&gt;1,"基金整体·来源"&amp;原始经营数据!$A1515,"基金整体")))</f>
        <v>锦江都城廊坊广阳店</v>
      </c>
      <c r="J1514" t="str">
        <f t="shared" si="348"/>
        <v>年度</v>
      </c>
      <c r="K1514" t="str">
        <f t="shared" si="349"/>
        <v>平均房价（元/间）</v>
      </c>
      <c r="L1514" t="str">
        <f t="shared" si="350"/>
        <v>锦江都城廊坊广阳店|平均房价（元/间）|年度</v>
      </c>
      <c r="M1514">
        <f>IF($A1514="",0,IF(COUNTIF($L$2:$L1514,$L1514)=1,1,0))</f>
        <v>1</v>
      </c>
      <c r="N1514">
        <f t="shared" si="351"/>
        <v>20220</v>
      </c>
      <c r="O1514" t="str">
        <f t="shared" si="352"/>
        <v>华安锦江封闭式商业不动产证券投资基金|2022|年度</v>
      </c>
      <c r="P1514">
        <f>IF($A1514="",0,IF(COUNTIF($O$2:$O1514,$O1514)=1,1,0))</f>
        <v>0</v>
      </c>
      <c r="Q1514" t="str">
        <f>IF(AND($P1514=1,$A1514=经营数据!$B$3,$J1514=经营数据!$BA$5),COUNTIFS($P$2:$P$3000,1,$A$2:$A$3000,$A1514,$J$2:$J$3000,$J1514,$N$2:$N$3000,"&lt;"&amp;$N1514)+1,"")</f>
        <v/>
      </c>
      <c r="R1514" t="str">
        <f t="shared" si="353"/>
        <v>华安锦江封闭式商业不动产证券投资基金|锦江都城廊坊广阳店</v>
      </c>
      <c r="S1514">
        <f>IF($A1514="",0,IF(COUNTIF($R$2:$R1514,$R1514)=1,1,0))</f>
        <v>1</v>
      </c>
      <c r="T1514">
        <f t="shared" si="354"/>
        <v>1513</v>
      </c>
      <c r="U1514" t="str">
        <f>IF($A1514="","",IF($A1514=经营数据!$B$3,COUNTIFS($S$2:$S$3000,1,$A$2:$A$3000,$A1514,$T$2:$T$3000,"&lt;"&amp;$T1514)+1,""))</f>
        <v/>
      </c>
      <c r="V1514" t="str">
        <f t="shared" si="355"/>
        <v>锦江都城廊坊广阳店|服务量</v>
      </c>
      <c r="W1514">
        <f t="shared" si="356"/>
        <v>1513</v>
      </c>
      <c r="X1514" t="str">
        <f t="shared" si="357"/>
        <v>锦江都城廊坊广阳店|平均房价</v>
      </c>
      <c r="Y1514">
        <f t="shared" si="358"/>
        <v>1513</v>
      </c>
      <c r="Z1514">
        <f>IF($A1514="",0,IF(AND($M1514=1,$A1514=经营数据!$B$3,$J1514=经营数据!$BA$5,OR($I1514=经营数据!$BA$4,COUNTIF(经营数据!$AA$9:$AA$38,$I1514)&gt;0)),1,0))</f>
        <v>0</v>
      </c>
      <c r="AA1514" t="str">
        <f t="shared" si="359"/>
        <v/>
      </c>
      <c r="AB1514" t="str">
        <f t="shared" si="360"/>
        <v/>
      </c>
      <c r="AC1514">
        <f>IF($A1514="",0,IF(COUNTIF($A$2:$A1514,$A1514)=1,1,0))</f>
        <v>0</v>
      </c>
      <c r="AD1514">
        <f t="shared" si="361"/>
        <v>18</v>
      </c>
      <c r="AE1514" t="str">
        <f t="shared" si="362"/>
        <v>锦江都城廊坊广阳店|平均房价（元/间）</v>
      </c>
    </row>
    <row r="1515" spans="1:31" x14ac:dyDescent="0.4">
      <c r="A1515" t="str">
        <f>IF(原始经营数据!$D1516="","",原始经营数据!$D1516)</f>
        <v>华安锦江封闭式商业不动产证券投资基金</v>
      </c>
      <c r="B1515" t="str">
        <f>IF(原始经营数据!$D1516="","",T(原始经营数据!$E1516))</f>
        <v>锦江都城廊坊广阳店</v>
      </c>
      <c r="C1515" t="str">
        <f>IF(原始经营数据!$D1516="","",原始经营数据!$F1516)</f>
        <v>2022</v>
      </c>
      <c r="D1515" t="str">
        <f>IF(原始经营数据!$D1516="","",原始经营数据!$H1516)</f>
        <v>平均入住率</v>
      </c>
      <c r="E1515">
        <f>IF(原始经营数据!$D1516="","",原始经营数据!$I1516)</f>
        <v>70.12</v>
      </c>
      <c r="F1515" t="str">
        <f>IF(原始经营数据!$D1516="","",T(原始经营数据!$J1516))</f>
        <v>%</v>
      </c>
      <c r="G1515" t="str">
        <f>IF(原始经营数据!$D1516="","",T(原始经营数据!$K1516))</f>
        <v/>
      </c>
      <c r="H1515" t="str">
        <f>IF(原始经营数据!$D1516="","",原始经营数据!$G1516)</f>
        <v>服务量</v>
      </c>
      <c r="I1515" t="str">
        <f>IF($A1515="","",IF($B1515&lt;&gt;"",$B1515,IF(COUNTIFS(原始经营数据!$D$3:$D$3001,$A1515,原始经营数据!$E$3:$E$3001,"",原始经营数据!$F$3:$F$3001,$C1515,原始经营数据!$H$3:$H$3001,$D1515,原始经营数据!$K$3:$K$3001,$G1515)&gt;1,"基金整体·来源"&amp;原始经营数据!$A1516,"基金整体")))</f>
        <v>锦江都城廊坊广阳店</v>
      </c>
      <c r="J1515" t="str">
        <f t="shared" si="348"/>
        <v>年度</v>
      </c>
      <c r="K1515" t="str">
        <f t="shared" si="349"/>
        <v>平均入住率（%）</v>
      </c>
      <c r="L1515" t="str">
        <f t="shared" si="350"/>
        <v>锦江都城廊坊广阳店|平均入住率（%）|年度</v>
      </c>
      <c r="M1515">
        <f>IF($A1515="",0,IF(COUNTIF($L$2:$L1515,$L1515)=1,1,0))</f>
        <v>1</v>
      </c>
      <c r="N1515">
        <f t="shared" si="351"/>
        <v>20220</v>
      </c>
      <c r="O1515" t="str">
        <f t="shared" si="352"/>
        <v>华安锦江封闭式商业不动产证券投资基金|2022|年度</v>
      </c>
      <c r="P1515">
        <f>IF($A1515="",0,IF(COUNTIF($O$2:$O1515,$O1515)=1,1,0))</f>
        <v>0</v>
      </c>
      <c r="Q1515" t="str">
        <f>IF(AND($P1515=1,$A1515=经营数据!$B$3,$J1515=经营数据!$BA$5),COUNTIFS($P$2:$P$3000,1,$A$2:$A$3000,$A1515,$J$2:$J$3000,$J1515,$N$2:$N$3000,"&lt;"&amp;$N1515)+1,"")</f>
        <v/>
      </c>
      <c r="R1515" t="str">
        <f t="shared" si="353"/>
        <v>华安锦江封闭式商业不动产证券投资基金|锦江都城廊坊广阳店</v>
      </c>
      <c r="S1515">
        <f>IF($A1515="",0,IF(COUNTIF($R$2:$R1515,$R1515)=1,1,0))</f>
        <v>0</v>
      </c>
      <c r="T1515">
        <f t="shared" si="354"/>
        <v>1513</v>
      </c>
      <c r="U1515" t="str">
        <f>IF($A1515="","",IF($A1515=经营数据!$B$3,COUNTIFS($S$2:$S$3000,1,$A$2:$A$3000,$A1515,$T$2:$T$3000,"&lt;"&amp;$T1515)+1,""))</f>
        <v/>
      </c>
      <c r="V1515" t="str">
        <f t="shared" si="355"/>
        <v>锦江都城廊坊广阳店|服务量</v>
      </c>
      <c r="W1515">
        <f t="shared" si="356"/>
        <v>1513</v>
      </c>
      <c r="X1515" t="str">
        <f t="shared" si="357"/>
        <v>锦江都城廊坊广阳店|平均入住率</v>
      </c>
      <c r="Y1515">
        <f t="shared" si="358"/>
        <v>1514</v>
      </c>
      <c r="Z1515">
        <f>IF($A1515="",0,IF(AND($M1515=1,$A1515=经营数据!$B$3,$J1515=经营数据!$BA$5,OR($I1515=经营数据!$BA$4,COUNTIF(经营数据!$AA$9:$AA$38,$I1515)&gt;0)),1,0))</f>
        <v>0</v>
      </c>
      <c r="AA1515" t="str">
        <f t="shared" si="359"/>
        <v/>
      </c>
      <c r="AB1515" t="str">
        <f t="shared" si="360"/>
        <v/>
      </c>
      <c r="AC1515">
        <f>IF($A1515="",0,IF(COUNTIF($A$2:$A1515,$A1515)=1,1,0))</f>
        <v>0</v>
      </c>
      <c r="AD1515">
        <f t="shared" si="361"/>
        <v>18</v>
      </c>
      <c r="AE1515" t="str">
        <f t="shared" si="362"/>
        <v>锦江都城廊坊广阳店|平均入住率（%）</v>
      </c>
    </row>
    <row r="1516" spans="1:31" x14ac:dyDescent="0.4">
      <c r="A1516" t="str">
        <f>IF(原始经营数据!$D1517="","",原始经营数据!$D1517)</f>
        <v>华安锦江封闭式商业不动产证券投资基金</v>
      </c>
      <c r="B1516" t="str">
        <f>IF(原始经营数据!$D1517="","",T(原始经营数据!$E1517))</f>
        <v>锦江都城廊坊广阳店</v>
      </c>
      <c r="C1516" t="str">
        <f>IF(原始经营数据!$D1517="","",原始经营数据!$F1517)</f>
        <v>2022</v>
      </c>
      <c r="D1516" t="str">
        <f>IF(原始经营数据!$D1517="","",原始经营数据!$H1517)</f>
        <v>可供房数</v>
      </c>
      <c r="E1516">
        <f>IF(原始经营数据!$D1517="","",原始经营数据!$I1517)</f>
        <v>53459</v>
      </c>
      <c r="F1516" t="str">
        <f>IF(原始经营数据!$D1517="","",T(原始经营数据!$J1517))</f>
        <v>间</v>
      </c>
      <c r="G1516" t="str">
        <f>IF(原始经营数据!$D1517="","",T(原始经营数据!$K1517))</f>
        <v/>
      </c>
      <c r="H1516" t="str">
        <f>IF(原始经营数据!$D1517="","",原始经营数据!$G1517)</f>
        <v>服务量</v>
      </c>
      <c r="I1516" t="str">
        <f>IF($A1516="","",IF($B1516&lt;&gt;"",$B1516,IF(COUNTIFS(原始经营数据!$D$3:$D$3001,$A1516,原始经营数据!$E$3:$E$3001,"",原始经营数据!$F$3:$F$3001,$C1516,原始经营数据!$H$3:$H$3001,$D1516,原始经营数据!$K$3:$K$3001,$G1516)&gt;1,"基金整体·来源"&amp;原始经营数据!$A1517,"基金整体")))</f>
        <v>锦江都城廊坊广阳店</v>
      </c>
      <c r="J1516" t="str">
        <f t="shared" si="348"/>
        <v>年度</v>
      </c>
      <c r="K1516" t="str">
        <f t="shared" si="349"/>
        <v>可供房数（间）</v>
      </c>
      <c r="L1516" t="str">
        <f t="shared" si="350"/>
        <v>锦江都城廊坊广阳店|可供房数（间）|年度</v>
      </c>
      <c r="M1516">
        <f>IF($A1516="",0,IF(COUNTIF($L$2:$L1516,$L1516)=1,1,0))</f>
        <v>1</v>
      </c>
      <c r="N1516">
        <f t="shared" si="351"/>
        <v>20220</v>
      </c>
      <c r="O1516" t="str">
        <f t="shared" si="352"/>
        <v>华安锦江封闭式商业不动产证券投资基金|2022|年度</v>
      </c>
      <c r="P1516">
        <f>IF($A1516="",0,IF(COUNTIF($O$2:$O1516,$O1516)=1,1,0))</f>
        <v>0</v>
      </c>
      <c r="Q1516" t="str">
        <f>IF(AND($P1516=1,$A1516=经营数据!$B$3,$J1516=经营数据!$BA$5),COUNTIFS($P$2:$P$3000,1,$A$2:$A$3000,$A1516,$J$2:$J$3000,$J1516,$N$2:$N$3000,"&lt;"&amp;$N1516)+1,"")</f>
        <v/>
      </c>
      <c r="R1516" t="str">
        <f t="shared" si="353"/>
        <v>华安锦江封闭式商业不动产证券投资基金|锦江都城廊坊广阳店</v>
      </c>
      <c r="S1516">
        <f>IF($A1516="",0,IF(COUNTIF($R$2:$R1516,$R1516)=1,1,0))</f>
        <v>0</v>
      </c>
      <c r="T1516">
        <f t="shared" si="354"/>
        <v>1513</v>
      </c>
      <c r="U1516" t="str">
        <f>IF($A1516="","",IF($A1516=经营数据!$B$3,COUNTIFS($S$2:$S$3000,1,$A$2:$A$3000,$A1516,$T$2:$T$3000,"&lt;"&amp;$T1516)+1,""))</f>
        <v/>
      </c>
      <c r="V1516" t="str">
        <f t="shared" si="355"/>
        <v>锦江都城廊坊广阳店|服务量</v>
      </c>
      <c r="W1516">
        <f t="shared" si="356"/>
        <v>1513</v>
      </c>
      <c r="X1516" t="str">
        <f t="shared" si="357"/>
        <v>锦江都城廊坊广阳店|可供房数</v>
      </c>
      <c r="Y1516">
        <f t="shared" si="358"/>
        <v>1515</v>
      </c>
      <c r="Z1516">
        <f>IF($A1516="",0,IF(AND($M1516=1,$A1516=经营数据!$B$3,$J1516=经营数据!$BA$5,OR($I1516=经营数据!$BA$4,COUNTIF(经营数据!$AA$9:$AA$38,$I1516)&gt;0)),1,0))</f>
        <v>0</v>
      </c>
      <c r="AA1516" t="str">
        <f t="shared" si="359"/>
        <v/>
      </c>
      <c r="AB1516" t="str">
        <f t="shared" si="360"/>
        <v/>
      </c>
      <c r="AC1516">
        <f>IF($A1516="",0,IF(COUNTIF($A$2:$A1516,$A1516)=1,1,0))</f>
        <v>0</v>
      </c>
      <c r="AD1516">
        <f t="shared" si="361"/>
        <v>18</v>
      </c>
      <c r="AE1516" t="str">
        <f t="shared" si="362"/>
        <v>锦江都城廊坊广阳店|可供房数（间）</v>
      </c>
    </row>
    <row r="1517" spans="1:31" x14ac:dyDescent="0.4">
      <c r="A1517" t="str">
        <f>IF(原始经营数据!$D1518="","",原始经营数据!$D1518)</f>
        <v>华安锦江封闭式商业不动产证券投资基金</v>
      </c>
      <c r="B1517" t="str">
        <f>IF(原始经营数据!$D1518="","",T(原始经营数据!$E1518))</f>
        <v>锦江都城廊坊广阳店</v>
      </c>
      <c r="C1517" t="str">
        <f>IF(原始经营数据!$D1518="","",原始经营数据!$F1518)</f>
        <v>2023</v>
      </c>
      <c r="D1517" t="str">
        <f>IF(原始经营数据!$D1518="","",原始经营数据!$H1518)</f>
        <v>平均房价</v>
      </c>
      <c r="E1517">
        <f>IF(原始经营数据!$D1518="","",原始经营数据!$I1518)</f>
        <v>246.76</v>
      </c>
      <c r="F1517" t="str">
        <f>IF(原始经营数据!$D1518="","",T(原始经营数据!$J1518))</f>
        <v>元/间</v>
      </c>
      <c r="G1517" t="str">
        <f>IF(原始经营数据!$D1518="","",T(原始经营数据!$K1518))</f>
        <v/>
      </c>
      <c r="H1517" t="str">
        <f>IF(原始经营数据!$D1518="","",原始经营数据!$G1518)</f>
        <v>服务量</v>
      </c>
      <c r="I1517" t="str">
        <f>IF($A1517="","",IF($B1517&lt;&gt;"",$B1517,IF(COUNTIFS(原始经营数据!$D$3:$D$3001,$A1517,原始经营数据!$E$3:$E$3001,"",原始经营数据!$F$3:$F$3001,$C1517,原始经营数据!$H$3:$H$3001,$D1517,原始经营数据!$K$3:$K$3001,$G1517)&gt;1,"基金整体·来源"&amp;原始经营数据!$A1518,"基金整体")))</f>
        <v>锦江都城廊坊广阳店</v>
      </c>
      <c r="J1517" t="str">
        <f t="shared" si="348"/>
        <v>年度</v>
      </c>
      <c r="K1517" t="str">
        <f t="shared" si="349"/>
        <v>平均房价（元/间）</v>
      </c>
      <c r="L1517" t="str">
        <f t="shared" si="350"/>
        <v>锦江都城廊坊广阳店|平均房价（元/间）|年度</v>
      </c>
      <c r="M1517">
        <f>IF($A1517="",0,IF(COUNTIF($L$2:$L1517,$L1517)=1,1,0))</f>
        <v>0</v>
      </c>
      <c r="N1517">
        <f t="shared" si="351"/>
        <v>20230</v>
      </c>
      <c r="O1517" t="str">
        <f t="shared" si="352"/>
        <v>华安锦江封闭式商业不动产证券投资基金|2023|年度</v>
      </c>
      <c r="P1517">
        <f>IF($A1517="",0,IF(COUNTIF($O$2:$O1517,$O1517)=1,1,0))</f>
        <v>0</v>
      </c>
      <c r="Q1517" t="str">
        <f>IF(AND($P1517=1,$A1517=经营数据!$B$3,$J1517=经营数据!$BA$5),COUNTIFS($P$2:$P$3000,1,$A$2:$A$3000,$A1517,$J$2:$J$3000,$J1517,$N$2:$N$3000,"&lt;"&amp;$N1517)+1,"")</f>
        <v/>
      </c>
      <c r="R1517" t="str">
        <f t="shared" si="353"/>
        <v>华安锦江封闭式商业不动产证券投资基金|锦江都城廊坊广阳店</v>
      </c>
      <c r="S1517">
        <f>IF($A1517="",0,IF(COUNTIF($R$2:$R1517,$R1517)=1,1,0))</f>
        <v>0</v>
      </c>
      <c r="T1517">
        <f t="shared" si="354"/>
        <v>1513</v>
      </c>
      <c r="U1517" t="str">
        <f>IF($A1517="","",IF($A1517=经营数据!$B$3,COUNTIFS($S$2:$S$3000,1,$A$2:$A$3000,$A1517,$T$2:$T$3000,"&lt;"&amp;$T1517)+1,""))</f>
        <v/>
      </c>
      <c r="V1517" t="str">
        <f t="shared" si="355"/>
        <v>锦江都城廊坊广阳店|服务量</v>
      </c>
      <c r="W1517">
        <f t="shared" si="356"/>
        <v>1513</v>
      </c>
      <c r="X1517" t="str">
        <f t="shared" si="357"/>
        <v>锦江都城廊坊广阳店|平均房价</v>
      </c>
      <c r="Y1517">
        <f t="shared" si="358"/>
        <v>1513</v>
      </c>
      <c r="Z1517">
        <f>IF($A1517="",0,IF(AND($M1517=1,$A1517=经营数据!$B$3,$J1517=经营数据!$BA$5,OR($I1517=经营数据!$BA$4,COUNTIF(经营数据!$AA$9:$AA$38,$I1517)&gt;0)),1,0))</f>
        <v>0</v>
      </c>
      <c r="AA1517" t="str">
        <f t="shared" si="359"/>
        <v/>
      </c>
      <c r="AB1517" t="str">
        <f t="shared" si="360"/>
        <v/>
      </c>
      <c r="AC1517">
        <f>IF($A1517="",0,IF(COUNTIF($A$2:$A1517,$A1517)=1,1,0))</f>
        <v>0</v>
      </c>
      <c r="AD1517">
        <f t="shared" si="361"/>
        <v>18</v>
      </c>
      <c r="AE1517" t="str">
        <f t="shared" si="362"/>
        <v>锦江都城廊坊广阳店|平均房价（元/间）</v>
      </c>
    </row>
    <row r="1518" spans="1:31" x14ac:dyDescent="0.4">
      <c r="A1518" t="str">
        <f>IF(原始经营数据!$D1519="","",原始经营数据!$D1519)</f>
        <v>华安锦江封闭式商业不动产证券投资基金</v>
      </c>
      <c r="B1518" t="str">
        <f>IF(原始经营数据!$D1519="","",T(原始经营数据!$E1519))</f>
        <v>锦江都城廊坊广阳店</v>
      </c>
      <c r="C1518" t="str">
        <f>IF(原始经营数据!$D1519="","",原始经营数据!$F1519)</f>
        <v>2023</v>
      </c>
      <c r="D1518" t="str">
        <f>IF(原始经营数据!$D1519="","",原始经营数据!$H1519)</f>
        <v>平均入住率</v>
      </c>
      <c r="E1518">
        <f>IF(原始经营数据!$D1519="","",原始经营数据!$I1519)</f>
        <v>73.709999999999994</v>
      </c>
      <c r="F1518" t="str">
        <f>IF(原始经营数据!$D1519="","",T(原始经营数据!$J1519))</f>
        <v>%</v>
      </c>
      <c r="G1518" t="str">
        <f>IF(原始经营数据!$D1519="","",T(原始经营数据!$K1519))</f>
        <v/>
      </c>
      <c r="H1518" t="str">
        <f>IF(原始经营数据!$D1519="","",原始经营数据!$G1519)</f>
        <v>服务量</v>
      </c>
      <c r="I1518" t="str">
        <f>IF($A1518="","",IF($B1518&lt;&gt;"",$B1518,IF(COUNTIFS(原始经营数据!$D$3:$D$3001,$A1518,原始经营数据!$E$3:$E$3001,"",原始经营数据!$F$3:$F$3001,$C1518,原始经营数据!$H$3:$H$3001,$D1518,原始经营数据!$K$3:$K$3001,$G1518)&gt;1,"基金整体·来源"&amp;原始经营数据!$A1519,"基金整体")))</f>
        <v>锦江都城廊坊广阳店</v>
      </c>
      <c r="J1518" t="str">
        <f t="shared" si="348"/>
        <v>年度</v>
      </c>
      <c r="K1518" t="str">
        <f t="shared" si="349"/>
        <v>平均入住率（%）</v>
      </c>
      <c r="L1518" t="str">
        <f t="shared" si="350"/>
        <v>锦江都城廊坊广阳店|平均入住率（%）|年度</v>
      </c>
      <c r="M1518">
        <f>IF($A1518="",0,IF(COUNTIF($L$2:$L1518,$L1518)=1,1,0))</f>
        <v>0</v>
      </c>
      <c r="N1518">
        <f t="shared" si="351"/>
        <v>20230</v>
      </c>
      <c r="O1518" t="str">
        <f t="shared" si="352"/>
        <v>华安锦江封闭式商业不动产证券投资基金|2023|年度</v>
      </c>
      <c r="P1518">
        <f>IF($A1518="",0,IF(COUNTIF($O$2:$O1518,$O1518)=1,1,0))</f>
        <v>0</v>
      </c>
      <c r="Q1518" t="str">
        <f>IF(AND($P1518=1,$A1518=经营数据!$B$3,$J1518=经营数据!$BA$5),COUNTIFS($P$2:$P$3000,1,$A$2:$A$3000,$A1518,$J$2:$J$3000,$J1518,$N$2:$N$3000,"&lt;"&amp;$N1518)+1,"")</f>
        <v/>
      </c>
      <c r="R1518" t="str">
        <f t="shared" si="353"/>
        <v>华安锦江封闭式商业不动产证券投资基金|锦江都城廊坊广阳店</v>
      </c>
      <c r="S1518">
        <f>IF($A1518="",0,IF(COUNTIF($R$2:$R1518,$R1518)=1,1,0))</f>
        <v>0</v>
      </c>
      <c r="T1518">
        <f t="shared" si="354"/>
        <v>1513</v>
      </c>
      <c r="U1518" t="str">
        <f>IF($A1518="","",IF($A1518=经营数据!$B$3,COUNTIFS($S$2:$S$3000,1,$A$2:$A$3000,$A1518,$T$2:$T$3000,"&lt;"&amp;$T1518)+1,""))</f>
        <v/>
      </c>
      <c r="V1518" t="str">
        <f t="shared" si="355"/>
        <v>锦江都城廊坊广阳店|服务量</v>
      </c>
      <c r="W1518">
        <f t="shared" si="356"/>
        <v>1513</v>
      </c>
      <c r="X1518" t="str">
        <f t="shared" si="357"/>
        <v>锦江都城廊坊广阳店|平均入住率</v>
      </c>
      <c r="Y1518">
        <f t="shared" si="358"/>
        <v>1514</v>
      </c>
      <c r="Z1518">
        <f>IF($A1518="",0,IF(AND($M1518=1,$A1518=经营数据!$B$3,$J1518=经营数据!$BA$5,OR($I1518=经营数据!$BA$4,COUNTIF(经营数据!$AA$9:$AA$38,$I1518)&gt;0)),1,0))</f>
        <v>0</v>
      </c>
      <c r="AA1518" t="str">
        <f t="shared" si="359"/>
        <v/>
      </c>
      <c r="AB1518" t="str">
        <f t="shared" si="360"/>
        <v/>
      </c>
      <c r="AC1518">
        <f>IF($A1518="",0,IF(COUNTIF($A$2:$A1518,$A1518)=1,1,0))</f>
        <v>0</v>
      </c>
      <c r="AD1518">
        <f t="shared" si="361"/>
        <v>18</v>
      </c>
      <c r="AE1518" t="str">
        <f t="shared" si="362"/>
        <v>锦江都城廊坊广阳店|平均入住率（%）</v>
      </c>
    </row>
    <row r="1519" spans="1:31" x14ac:dyDescent="0.4">
      <c r="A1519" t="str">
        <f>IF(原始经营数据!$D1520="","",原始经营数据!$D1520)</f>
        <v>华安锦江封闭式商业不动产证券投资基金</v>
      </c>
      <c r="B1519" t="str">
        <f>IF(原始经营数据!$D1520="","",T(原始经营数据!$E1520))</f>
        <v>锦江都城廊坊广阳店</v>
      </c>
      <c r="C1519" t="str">
        <f>IF(原始经营数据!$D1520="","",原始经营数据!$F1520)</f>
        <v>2023</v>
      </c>
      <c r="D1519" t="str">
        <f>IF(原始经营数据!$D1520="","",原始经营数据!$H1520)</f>
        <v>可供房数</v>
      </c>
      <c r="E1519">
        <f>IF(原始经营数据!$D1520="","",原始经营数据!$I1520)</f>
        <v>54949</v>
      </c>
      <c r="F1519" t="str">
        <f>IF(原始经营数据!$D1520="","",T(原始经营数据!$J1520))</f>
        <v>间</v>
      </c>
      <c r="G1519" t="str">
        <f>IF(原始经营数据!$D1520="","",T(原始经营数据!$K1520))</f>
        <v/>
      </c>
      <c r="H1519" t="str">
        <f>IF(原始经营数据!$D1520="","",原始经营数据!$G1520)</f>
        <v>服务量</v>
      </c>
      <c r="I1519" t="str">
        <f>IF($A1519="","",IF($B1519&lt;&gt;"",$B1519,IF(COUNTIFS(原始经营数据!$D$3:$D$3001,$A1519,原始经营数据!$E$3:$E$3001,"",原始经营数据!$F$3:$F$3001,$C1519,原始经营数据!$H$3:$H$3001,$D1519,原始经营数据!$K$3:$K$3001,$G1519)&gt;1,"基金整体·来源"&amp;原始经营数据!$A1520,"基金整体")))</f>
        <v>锦江都城廊坊广阳店</v>
      </c>
      <c r="J1519" t="str">
        <f t="shared" si="348"/>
        <v>年度</v>
      </c>
      <c r="K1519" t="str">
        <f t="shared" si="349"/>
        <v>可供房数（间）</v>
      </c>
      <c r="L1519" t="str">
        <f t="shared" si="350"/>
        <v>锦江都城廊坊广阳店|可供房数（间）|年度</v>
      </c>
      <c r="M1519">
        <f>IF($A1519="",0,IF(COUNTIF($L$2:$L1519,$L1519)=1,1,0))</f>
        <v>0</v>
      </c>
      <c r="N1519">
        <f t="shared" si="351"/>
        <v>20230</v>
      </c>
      <c r="O1519" t="str">
        <f t="shared" si="352"/>
        <v>华安锦江封闭式商业不动产证券投资基金|2023|年度</v>
      </c>
      <c r="P1519">
        <f>IF($A1519="",0,IF(COUNTIF($O$2:$O1519,$O1519)=1,1,0))</f>
        <v>0</v>
      </c>
      <c r="Q1519" t="str">
        <f>IF(AND($P1519=1,$A1519=经营数据!$B$3,$J1519=经营数据!$BA$5),COUNTIFS($P$2:$P$3000,1,$A$2:$A$3000,$A1519,$J$2:$J$3000,$J1519,$N$2:$N$3000,"&lt;"&amp;$N1519)+1,"")</f>
        <v/>
      </c>
      <c r="R1519" t="str">
        <f t="shared" si="353"/>
        <v>华安锦江封闭式商业不动产证券投资基金|锦江都城廊坊广阳店</v>
      </c>
      <c r="S1519">
        <f>IF($A1519="",0,IF(COUNTIF($R$2:$R1519,$R1519)=1,1,0))</f>
        <v>0</v>
      </c>
      <c r="T1519">
        <f t="shared" si="354"/>
        <v>1513</v>
      </c>
      <c r="U1519" t="str">
        <f>IF($A1519="","",IF($A1519=经营数据!$B$3,COUNTIFS($S$2:$S$3000,1,$A$2:$A$3000,$A1519,$T$2:$T$3000,"&lt;"&amp;$T1519)+1,""))</f>
        <v/>
      </c>
      <c r="V1519" t="str">
        <f t="shared" si="355"/>
        <v>锦江都城廊坊广阳店|服务量</v>
      </c>
      <c r="W1519">
        <f t="shared" si="356"/>
        <v>1513</v>
      </c>
      <c r="X1519" t="str">
        <f t="shared" si="357"/>
        <v>锦江都城廊坊广阳店|可供房数</v>
      </c>
      <c r="Y1519">
        <f t="shared" si="358"/>
        <v>1515</v>
      </c>
      <c r="Z1519">
        <f>IF($A1519="",0,IF(AND($M1519=1,$A1519=经营数据!$B$3,$J1519=经营数据!$BA$5,OR($I1519=经营数据!$BA$4,COUNTIF(经营数据!$AA$9:$AA$38,$I1519)&gt;0)),1,0))</f>
        <v>0</v>
      </c>
      <c r="AA1519" t="str">
        <f t="shared" si="359"/>
        <v/>
      </c>
      <c r="AB1519" t="str">
        <f t="shared" si="360"/>
        <v/>
      </c>
      <c r="AC1519">
        <f>IF($A1519="",0,IF(COUNTIF($A$2:$A1519,$A1519)=1,1,0))</f>
        <v>0</v>
      </c>
      <c r="AD1519">
        <f t="shared" si="361"/>
        <v>18</v>
      </c>
      <c r="AE1519" t="str">
        <f t="shared" si="362"/>
        <v>锦江都城廊坊广阳店|可供房数（间）</v>
      </c>
    </row>
    <row r="1520" spans="1:31" x14ac:dyDescent="0.4">
      <c r="A1520" t="str">
        <f>IF(原始经营数据!$D1521="","",原始经营数据!$D1521)</f>
        <v>华安锦江封闭式商业不动产证券投资基金</v>
      </c>
      <c r="B1520" t="str">
        <f>IF(原始经营数据!$D1521="","",T(原始经营数据!$E1521))</f>
        <v>锦江都城廊坊广阳店</v>
      </c>
      <c r="C1520" t="str">
        <f>IF(原始经营数据!$D1521="","",原始经营数据!$F1521)</f>
        <v>2024</v>
      </c>
      <c r="D1520" t="str">
        <f>IF(原始经营数据!$D1521="","",原始经营数据!$H1521)</f>
        <v>平均房价</v>
      </c>
      <c r="E1520">
        <f>IF(原始经营数据!$D1521="","",原始经营数据!$I1521)</f>
        <v>220.47</v>
      </c>
      <c r="F1520" t="str">
        <f>IF(原始经营数据!$D1521="","",T(原始经营数据!$J1521))</f>
        <v>元/间</v>
      </c>
      <c r="G1520" t="str">
        <f>IF(原始经营数据!$D1521="","",T(原始经营数据!$K1521))</f>
        <v/>
      </c>
      <c r="H1520" t="str">
        <f>IF(原始经营数据!$D1521="","",原始经营数据!$G1521)</f>
        <v>服务量</v>
      </c>
      <c r="I1520" t="str">
        <f>IF($A1520="","",IF($B1520&lt;&gt;"",$B1520,IF(COUNTIFS(原始经营数据!$D$3:$D$3001,$A1520,原始经营数据!$E$3:$E$3001,"",原始经营数据!$F$3:$F$3001,$C1520,原始经营数据!$H$3:$H$3001,$D1520,原始经营数据!$K$3:$K$3001,$G1520)&gt;1,"基金整体·来源"&amp;原始经营数据!$A1521,"基金整体")))</f>
        <v>锦江都城廊坊广阳店</v>
      </c>
      <c r="J1520" t="str">
        <f t="shared" si="348"/>
        <v>年度</v>
      </c>
      <c r="K1520" t="str">
        <f t="shared" si="349"/>
        <v>平均房价（元/间）</v>
      </c>
      <c r="L1520" t="str">
        <f t="shared" si="350"/>
        <v>锦江都城廊坊广阳店|平均房价（元/间）|年度</v>
      </c>
      <c r="M1520">
        <f>IF($A1520="",0,IF(COUNTIF($L$2:$L1520,$L1520)=1,1,0))</f>
        <v>0</v>
      </c>
      <c r="N1520">
        <f t="shared" si="351"/>
        <v>20240</v>
      </c>
      <c r="O1520" t="str">
        <f t="shared" si="352"/>
        <v>华安锦江封闭式商业不动产证券投资基金|2024|年度</v>
      </c>
      <c r="P1520">
        <f>IF($A1520="",0,IF(COUNTIF($O$2:$O1520,$O1520)=1,1,0))</f>
        <v>0</v>
      </c>
      <c r="Q1520" t="str">
        <f>IF(AND($P1520=1,$A1520=经营数据!$B$3,$J1520=经营数据!$BA$5),COUNTIFS($P$2:$P$3000,1,$A$2:$A$3000,$A1520,$J$2:$J$3000,$J1520,$N$2:$N$3000,"&lt;"&amp;$N1520)+1,"")</f>
        <v/>
      </c>
      <c r="R1520" t="str">
        <f t="shared" si="353"/>
        <v>华安锦江封闭式商业不动产证券投资基金|锦江都城廊坊广阳店</v>
      </c>
      <c r="S1520">
        <f>IF($A1520="",0,IF(COUNTIF($R$2:$R1520,$R1520)=1,1,0))</f>
        <v>0</v>
      </c>
      <c r="T1520">
        <f t="shared" si="354"/>
        <v>1513</v>
      </c>
      <c r="U1520" t="str">
        <f>IF($A1520="","",IF($A1520=经营数据!$B$3,COUNTIFS($S$2:$S$3000,1,$A$2:$A$3000,$A1520,$T$2:$T$3000,"&lt;"&amp;$T1520)+1,""))</f>
        <v/>
      </c>
      <c r="V1520" t="str">
        <f t="shared" si="355"/>
        <v>锦江都城廊坊广阳店|服务量</v>
      </c>
      <c r="W1520">
        <f t="shared" si="356"/>
        <v>1513</v>
      </c>
      <c r="X1520" t="str">
        <f t="shared" si="357"/>
        <v>锦江都城廊坊广阳店|平均房价</v>
      </c>
      <c r="Y1520">
        <f t="shared" si="358"/>
        <v>1513</v>
      </c>
      <c r="Z1520">
        <f>IF($A1520="",0,IF(AND($M1520=1,$A1520=经营数据!$B$3,$J1520=经营数据!$BA$5,OR($I1520=经营数据!$BA$4,COUNTIF(经营数据!$AA$9:$AA$38,$I1520)&gt;0)),1,0))</f>
        <v>0</v>
      </c>
      <c r="AA1520" t="str">
        <f t="shared" si="359"/>
        <v/>
      </c>
      <c r="AB1520" t="str">
        <f t="shared" si="360"/>
        <v/>
      </c>
      <c r="AC1520">
        <f>IF($A1520="",0,IF(COUNTIF($A$2:$A1520,$A1520)=1,1,0))</f>
        <v>0</v>
      </c>
      <c r="AD1520">
        <f t="shared" si="361"/>
        <v>18</v>
      </c>
      <c r="AE1520" t="str">
        <f t="shared" si="362"/>
        <v>锦江都城廊坊广阳店|平均房价（元/间）</v>
      </c>
    </row>
    <row r="1521" spans="1:31" x14ac:dyDescent="0.4">
      <c r="A1521" t="str">
        <f>IF(原始经营数据!$D1522="","",原始经营数据!$D1522)</f>
        <v>华安锦江封闭式商业不动产证券投资基金</v>
      </c>
      <c r="B1521" t="str">
        <f>IF(原始经营数据!$D1522="","",T(原始经营数据!$E1522))</f>
        <v>锦江都城廊坊广阳店</v>
      </c>
      <c r="C1521" t="str">
        <f>IF(原始经营数据!$D1522="","",原始经营数据!$F1522)</f>
        <v>2024</v>
      </c>
      <c r="D1521" t="str">
        <f>IF(原始经营数据!$D1522="","",原始经营数据!$H1522)</f>
        <v>平均入住率</v>
      </c>
      <c r="E1521">
        <f>IF(原始经营数据!$D1522="","",原始经营数据!$I1522)</f>
        <v>65.03</v>
      </c>
      <c r="F1521" t="str">
        <f>IF(原始经营数据!$D1522="","",T(原始经营数据!$J1522))</f>
        <v>%</v>
      </c>
      <c r="G1521" t="str">
        <f>IF(原始经营数据!$D1522="","",T(原始经营数据!$K1522))</f>
        <v/>
      </c>
      <c r="H1521" t="str">
        <f>IF(原始经营数据!$D1522="","",原始经营数据!$G1522)</f>
        <v>服务量</v>
      </c>
      <c r="I1521" t="str">
        <f>IF($A1521="","",IF($B1521&lt;&gt;"",$B1521,IF(COUNTIFS(原始经营数据!$D$3:$D$3001,$A1521,原始经营数据!$E$3:$E$3001,"",原始经营数据!$F$3:$F$3001,$C1521,原始经营数据!$H$3:$H$3001,$D1521,原始经营数据!$K$3:$K$3001,$G1521)&gt;1,"基金整体·来源"&amp;原始经营数据!$A1522,"基金整体")))</f>
        <v>锦江都城廊坊广阳店</v>
      </c>
      <c r="J1521" t="str">
        <f t="shared" si="348"/>
        <v>年度</v>
      </c>
      <c r="K1521" t="str">
        <f t="shared" si="349"/>
        <v>平均入住率（%）</v>
      </c>
      <c r="L1521" t="str">
        <f t="shared" si="350"/>
        <v>锦江都城廊坊广阳店|平均入住率（%）|年度</v>
      </c>
      <c r="M1521">
        <f>IF($A1521="",0,IF(COUNTIF($L$2:$L1521,$L1521)=1,1,0))</f>
        <v>0</v>
      </c>
      <c r="N1521">
        <f t="shared" si="351"/>
        <v>20240</v>
      </c>
      <c r="O1521" t="str">
        <f t="shared" si="352"/>
        <v>华安锦江封闭式商业不动产证券投资基金|2024|年度</v>
      </c>
      <c r="P1521">
        <f>IF($A1521="",0,IF(COUNTIF($O$2:$O1521,$O1521)=1,1,0))</f>
        <v>0</v>
      </c>
      <c r="Q1521" t="str">
        <f>IF(AND($P1521=1,$A1521=经营数据!$B$3,$J1521=经营数据!$BA$5),COUNTIFS($P$2:$P$3000,1,$A$2:$A$3000,$A1521,$J$2:$J$3000,$J1521,$N$2:$N$3000,"&lt;"&amp;$N1521)+1,"")</f>
        <v/>
      </c>
      <c r="R1521" t="str">
        <f t="shared" si="353"/>
        <v>华安锦江封闭式商业不动产证券投资基金|锦江都城廊坊广阳店</v>
      </c>
      <c r="S1521">
        <f>IF($A1521="",0,IF(COUNTIF($R$2:$R1521,$R1521)=1,1,0))</f>
        <v>0</v>
      </c>
      <c r="T1521">
        <f t="shared" si="354"/>
        <v>1513</v>
      </c>
      <c r="U1521" t="str">
        <f>IF($A1521="","",IF($A1521=经营数据!$B$3,COUNTIFS($S$2:$S$3000,1,$A$2:$A$3000,$A1521,$T$2:$T$3000,"&lt;"&amp;$T1521)+1,""))</f>
        <v/>
      </c>
      <c r="V1521" t="str">
        <f t="shared" si="355"/>
        <v>锦江都城廊坊广阳店|服务量</v>
      </c>
      <c r="W1521">
        <f t="shared" si="356"/>
        <v>1513</v>
      </c>
      <c r="X1521" t="str">
        <f t="shared" si="357"/>
        <v>锦江都城廊坊广阳店|平均入住率</v>
      </c>
      <c r="Y1521">
        <f t="shared" si="358"/>
        <v>1514</v>
      </c>
      <c r="Z1521">
        <f>IF($A1521="",0,IF(AND($M1521=1,$A1521=经营数据!$B$3,$J1521=经营数据!$BA$5,OR($I1521=经营数据!$BA$4,COUNTIF(经营数据!$AA$9:$AA$38,$I1521)&gt;0)),1,0))</f>
        <v>0</v>
      </c>
      <c r="AA1521" t="str">
        <f t="shared" si="359"/>
        <v/>
      </c>
      <c r="AB1521" t="str">
        <f t="shared" si="360"/>
        <v/>
      </c>
      <c r="AC1521">
        <f>IF($A1521="",0,IF(COUNTIF($A$2:$A1521,$A1521)=1,1,0))</f>
        <v>0</v>
      </c>
      <c r="AD1521">
        <f t="shared" si="361"/>
        <v>18</v>
      </c>
      <c r="AE1521" t="str">
        <f t="shared" si="362"/>
        <v>锦江都城廊坊广阳店|平均入住率（%）</v>
      </c>
    </row>
    <row r="1522" spans="1:31" x14ac:dyDescent="0.4">
      <c r="A1522" t="str">
        <f>IF(原始经营数据!$D1523="","",原始经营数据!$D1523)</f>
        <v>华安锦江封闭式商业不动产证券投资基金</v>
      </c>
      <c r="B1522" t="str">
        <f>IF(原始经营数据!$D1523="","",T(原始经营数据!$E1523))</f>
        <v>锦江都城廊坊广阳店</v>
      </c>
      <c r="C1522" t="str">
        <f>IF(原始经营数据!$D1523="","",原始经营数据!$F1523)</f>
        <v>2024</v>
      </c>
      <c r="D1522" t="str">
        <f>IF(原始经营数据!$D1523="","",原始经营数据!$H1523)</f>
        <v>可供房数</v>
      </c>
      <c r="E1522">
        <f>IF(原始经营数据!$D1523="","",原始经营数据!$I1523)</f>
        <v>57096</v>
      </c>
      <c r="F1522" t="str">
        <f>IF(原始经营数据!$D1523="","",T(原始经营数据!$J1523))</f>
        <v>间</v>
      </c>
      <c r="G1522" t="str">
        <f>IF(原始经营数据!$D1523="","",T(原始经营数据!$K1523))</f>
        <v/>
      </c>
      <c r="H1522" t="str">
        <f>IF(原始经营数据!$D1523="","",原始经营数据!$G1523)</f>
        <v>服务量</v>
      </c>
      <c r="I1522" t="str">
        <f>IF($A1522="","",IF($B1522&lt;&gt;"",$B1522,IF(COUNTIFS(原始经营数据!$D$3:$D$3001,$A1522,原始经营数据!$E$3:$E$3001,"",原始经营数据!$F$3:$F$3001,$C1522,原始经营数据!$H$3:$H$3001,$D1522,原始经营数据!$K$3:$K$3001,$G1522)&gt;1,"基金整体·来源"&amp;原始经营数据!$A1523,"基金整体")))</f>
        <v>锦江都城廊坊广阳店</v>
      </c>
      <c r="J1522" t="str">
        <f t="shared" si="348"/>
        <v>年度</v>
      </c>
      <c r="K1522" t="str">
        <f t="shared" si="349"/>
        <v>可供房数（间）</v>
      </c>
      <c r="L1522" t="str">
        <f t="shared" si="350"/>
        <v>锦江都城廊坊广阳店|可供房数（间）|年度</v>
      </c>
      <c r="M1522">
        <f>IF($A1522="",0,IF(COUNTIF($L$2:$L1522,$L1522)=1,1,0))</f>
        <v>0</v>
      </c>
      <c r="N1522">
        <f t="shared" si="351"/>
        <v>20240</v>
      </c>
      <c r="O1522" t="str">
        <f t="shared" si="352"/>
        <v>华安锦江封闭式商业不动产证券投资基金|2024|年度</v>
      </c>
      <c r="P1522">
        <f>IF($A1522="",0,IF(COUNTIF($O$2:$O1522,$O1522)=1,1,0))</f>
        <v>0</v>
      </c>
      <c r="Q1522" t="str">
        <f>IF(AND($P1522=1,$A1522=经营数据!$B$3,$J1522=经营数据!$BA$5),COUNTIFS($P$2:$P$3000,1,$A$2:$A$3000,$A1522,$J$2:$J$3000,$J1522,$N$2:$N$3000,"&lt;"&amp;$N1522)+1,"")</f>
        <v/>
      </c>
      <c r="R1522" t="str">
        <f t="shared" si="353"/>
        <v>华安锦江封闭式商业不动产证券投资基金|锦江都城廊坊广阳店</v>
      </c>
      <c r="S1522">
        <f>IF($A1522="",0,IF(COUNTIF($R$2:$R1522,$R1522)=1,1,0))</f>
        <v>0</v>
      </c>
      <c r="T1522">
        <f t="shared" si="354"/>
        <v>1513</v>
      </c>
      <c r="U1522" t="str">
        <f>IF($A1522="","",IF($A1522=经营数据!$B$3,COUNTIFS($S$2:$S$3000,1,$A$2:$A$3000,$A1522,$T$2:$T$3000,"&lt;"&amp;$T1522)+1,""))</f>
        <v/>
      </c>
      <c r="V1522" t="str">
        <f t="shared" si="355"/>
        <v>锦江都城廊坊广阳店|服务量</v>
      </c>
      <c r="W1522">
        <f t="shared" si="356"/>
        <v>1513</v>
      </c>
      <c r="X1522" t="str">
        <f t="shared" si="357"/>
        <v>锦江都城廊坊广阳店|可供房数</v>
      </c>
      <c r="Y1522">
        <f t="shared" si="358"/>
        <v>1515</v>
      </c>
      <c r="Z1522">
        <f>IF($A1522="",0,IF(AND($M1522=1,$A1522=经营数据!$B$3,$J1522=经营数据!$BA$5,OR($I1522=经营数据!$BA$4,COUNTIF(经营数据!$AA$9:$AA$38,$I1522)&gt;0)),1,0))</f>
        <v>0</v>
      </c>
      <c r="AA1522" t="str">
        <f t="shared" si="359"/>
        <v/>
      </c>
      <c r="AB1522" t="str">
        <f t="shared" si="360"/>
        <v/>
      </c>
      <c r="AC1522">
        <f>IF($A1522="",0,IF(COUNTIF($A$2:$A1522,$A1522)=1,1,0))</f>
        <v>0</v>
      </c>
      <c r="AD1522">
        <f t="shared" si="361"/>
        <v>18</v>
      </c>
      <c r="AE1522" t="str">
        <f t="shared" si="362"/>
        <v>锦江都城廊坊广阳店|可供房数（间）</v>
      </c>
    </row>
    <row r="1523" spans="1:31" x14ac:dyDescent="0.4">
      <c r="A1523" t="str">
        <f>IF(原始经营数据!$D1524="","",原始经营数据!$D1524)</f>
        <v>华安锦江封闭式商业不动产证券投资基金</v>
      </c>
      <c r="B1523" t="str">
        <f>IF(原始经营数据!$D1524="","",T(原始经营数据!$E1524))</f>
        <v>锦江都城廊坊广阳店</v>
      </c>
      <c r="C1523" t="str">
        <f>IF(原始经营数据!$D1524="","",原始经营数据!$F1524)</f>
        <v>2025</v>
      </c>
      <c r="D1523" t="str">
        <f>IF(原始经营数据!$D1524="","",原始经营数据!$H1524)</f>
        <v>平均房价</v>
      </c>
      <c r="E1523">
        <f>IF(原始经营数据!$D1524="","",原始经营数据!$I1524)</f>
        <v>195.07</v>
      </c>
      <c r="F1523" t="str">
        <f>IF(原始经营数据!$D1524="","",T(原始经营数据!$J1524))</f>
        <v>元/间</v>
      </c>
      <c r="G1523" t="str">
        <f>IF(原始经营数据!$D1524="","",T(原始经营数据!$K1524))</f>
        <v/>
      </c>
      <c r="H1523" t="str">
        <f>IF(原始经营数据!$D1524="","",原始经营数据!$G1524)</f>
        <v>服务量</v>
      </c>
      <c r="I1523" t="str">
        <f>IF($A1523="","",IF($B1523&lt;&gt;"",$B1523,IF(COUNTIFS(原始经营数据!$D$3:$D$3001,$A1523,原始经营数据!$E$3:$E$3001,"",原始经营数据!$F$3:$F$3001,$C1523,原始经营数据!$H$3:$H$3001,$D1523,原始经营数据!$K$3:$K$3001,$G1523)&gt;1,"基金整体·来源"&amp;原始经营数据!$A1524,"基金整体")))</f>
        <v>锦江都城廊坊广阳店</v>
      </c>
      <c r="J1523" t="str">
        <f t="shared" si="348"/>
        <v>年度</v>
      </c>
      <c r="K1523" t="str">
        <f t="shared" si="349"/>
        <v>平均房价（元/间）</v>
      </c>
      <c r="L1523" t="str">
        <f t="shared" si="350"/>
        <v>锦江都城廊坊广阳店|平均房价（元/间）|年度</v>
      </c>
      <c r="M1523">
        <f>IF($A1523="",0,IF(COUNTIF($L$2:$L1523,$L1523)=1,1,0))</f>
        <v>0</v>
      </c>
      <c r="N1523">
        <f t="shared" si="351"/>
        <v>20250</v>
      </c>
      <c r="O1523" t="str">
        <f t="shared" si="352"/>
        <v>华安锦江封闭式商业不动产证券投资基金|2025|年度</v>
      </c>
      <c r="P1523">
        <f>IF($A1523="",0,IF(COUNTIF($O$2:$O1523,$O1523)=1,1,0))</f>
        <v>0</v>
      </c>
      <c r="Q1523" t="str">
        <f>IF(AND($P1523=1,$A1523=经营数据!$B$3,$J1523=经营数据!$BA$5),COUNTIFS($P$2:$P$3000,1,$A$2:$A$3000,$A1523,$J$2:$J$3000,$J1523,$N$2:$N$3000,"&lt;"&amp;$N1523)+1,"")</f>
        <v/>
      </c>
      <c r="R1523" t="str">
        <f t="shared" si="353"/>
        <v>华安锦江封闭式商业不动产证券投资基金|锦江都城廊坊广阳店</v>
      </c>
      <c r="S1523">
        <f>IF($A1523="",0,IF(COUNTIF($R$2:$R1523,$R1523)=1,1,0))</f>
        <v>0</v>
      </c>
      <c r="T1523">
        <f t="shared" si="354"/>
        <v>1513</v>
      </c>
      <c r="U1523" t="str">
        <f>IF($A1523="","",IF($A1523=经营数据!$B$3,COUNTIFS($S$2:$S$3000,1,$A$2:$A$3000,$A1523,$T$2:$T$3000,"&lt;"&amp;$T1523)+1,""))</f>
        <v/>
      </c>
      <c r="V1523" t="str">
        <f t="shared" si="355"/>
        <v>锦江都城廊坊广阳店|服务量</v>
      </c>
      <c r="W1523">
        <f t="shared" si="356"/>
        <v>1513</v>
      </c>
      <c r="X1523" t="str">
        <f t="shared" si="357"/>
        <v>锦江都城廊坊广阳店|平均房价</v>
      </c>
      <c r="Y1523">
        <f t="shared" si="358"/>
        <v>1513</v>
      </c>
      <c r="Z1523">
        <f>IF($A1523="",0,IF(AND($M1523=1,$A1523=经营数据!$B$3,$J1523=经营数据!$BA$5,OR($I1523=经营数据!$BA$4,COUNTIF(经营数据!$AA$9:$AA$38,$I1523)&gt;0)),1,0))</f>
        <v>0</v>
      </c>
      <c r="AA1523" t="str">
        <f t="shared" si="359"/>
        <v/>
      </c>
      <c r="AB1523" t="str">
        <f t="shared" si="360"/>
        <v/>
      </c>
      <c r="AC1523">
        <f>IF($A1523="",0,IF(COUNTIF($A$2:$A1523,$A1523)=1,1,0))</f>
        <v>0</v>
      </c>
      <c r="AD1523">
        <f t="shared" si="361"/>
        <v>18</v>
      </c>
      <c r="AE1523" t="str">
        <f t="shared" si="362"/>
        <v>锦江都城廊坊广阳店|平均房价（元/间）</v>
      </c>
    </row>
    <row r="1524" spans="1:31" x14ac:dyDescent="0.4">
      <c r="A1524" t="str">
        <f>IF(原始经营数据!$D1525="","",原始经营数据!$D1525)</f>
        <v>华安锦江封闭式商业不动产证券投资基金</v>
      </c>
      <c r="B1524" t="str">
        <f>IF(原始经营数据!$D1525="","",T(原始经营数据!$E1525))</f>
        <v>锦江都城廊坊广阳店</v>
      </c>
      <c r="C1524" t="str">
        <f>IF(原始经营数据!$D1525="","",原始经营数据!$F1525)</f>
        <v>2025</v>
      </c>
      <c r="D1524" t="str">
        <f>IF(原始经营数据!$D1525="","",原始经营数据!$H1525)</f>
        <v>平均入住率</v>
      </c>
      <c r="E1524">
        <f>IF(原始经营数据!$D1525="","",原始经营数据!$I1525)</f>
        <v>71.510000000000005</v>
      </c>
      <c r="F1524" t="str">
        <f>IF(原始经营数据!$D1525="","",T(原始经营数据!$J1525))</f>
        <v>%</v>
      </c>
      <c r="G1524" t="str">
        <f>IF(原始经营数据!$D1525="","",T(原始经营数据!$K1525))</f>
        <v/>
      </c>
      <c r="H1524" t="str">
        <f>IF(原始经营数据!$D1525="","",原始经营数据!$G1525)</f>
        <v>服务量</v>
      </c>
      <c r="I1524" t="str">
        <f>IF($A1524="","",IF($B1524&lt;&gt;"",$B1524,IF(COUNTIFS(原始经营数据!$D$3:$D$3001,$A1524,原始经营数据!$E$3:$E$3001,"",原始经营数据!$F$3:$F$3001,$C1524,原始经营数据!$H$3:$H$3001,$D1524,原始经营数据!$K$3:$K$3001,$G1524)&gt;1,"基金整体·来源"&amp;原始经营数据!$A1525,"基金整体")))</f>
        <v>锦江都城廊坊广阳店</v>
      </c>
      <c r="J1524" t="str">
        <f t="shared" si="348"/>
        <v>年度</v>
      </c>
      <c r="K1524" t="str">
        <f t="shared" si="349"/>
        <v>平均入住率（%）</v>
      </c>
      <c r="L1524" t="str">
        <f t="shared" si="350"/>
        <v>锦江都城廊坊广阳店|平均入住率（%）|年度</v>
      </c>
      <c r="M1524">
        <f>IF($A1524="",0,IF(COUNTIF($L$2:$L1524,$L1524)=1,1,0))</f>
        <v>0</v>
      </c>
      <c r="N1524">
        <f t="shared" si="351"/>
        <v>20250</v>
      </c>
      <c r="O1524" t="str">
        <f t="shared" si="352"/>
        <v>华安锦江封闭式商业不动产证券投资基金|2025|年度</v>
      </c>
      <c r="P1524">
        <f>IF($A1524="",0,IF(COUNTIF($O$2:$O1524,$O1524)=1,1,0))</f>
        <v>0</v>
      </c>
      <c r="Q1524" t="str">
        <f>IF(AND($P1524=1,$A1524=经营数据!$B$3,$J1524=经营数据!$BA$5),COUNTIFS($P$2:$P$3000,1,$A$2:$A$3000,$A1524,$J$2:$J$3000,$J1524,$N$2:$N$3000,"&lt;"&amp;$N1524)+1,"")</f>
        <v/>
      </c>
      <c r="R1524" t="str">
        <f t="shared" si="353"/>
        <v>华安锦江封闭式商业不动产证券投资基金|锦江都城廊坊广阳店</v>
      </c>
      <c r="S1524">
        <f>IF($A1524="",0,IF(COUNTIF($R$2:$R1524,$R1524)=1,1,0))</f>
        <v>0</v>
      </c>
      <c r="T1524">
        <f t="shared" si="354"/>
        <v>1513</v>
      </c>
      <c r="U1524" t="str">
        <f>IF($A1524="","",IF($A1524=经营数据!$B$3,COUNTIFS($S$2:$S$3000,1,$A$2:$A$3000,$A1524,$T$2:$T$3000,"&lt;"&amp;$T1524)+1,""))</f>
        <v/>
      </c>
      <c r="V1524" t="str">
        <f t="shared" si="355"/>
        <v>锦江都城廊坊广阳店|服务量</v>
      </c>
      <c r="W1524">
        <f t="shared" si="356"/>
        <v>1513</v>
      </c>
      <c r="X1524" t="str">
        <f t="shared" si="357"/>
        <v>锦江都城廊坊广阳店|平均入住率</v>
      </c>
      <c r="Y1524">
        <f t="shared" si="358"/>
        <v>1514</v>
      </c>
      <c r="Z1524">
        <f>IF($A1524="",0,IF(AND($M1524=1,$A1524=经营数据!$B$3,$J1524=经营数据!$BA$5,OR($I1524=经营数据!$BA$4,COUNTIF(经营数据!$AA$9:$AA$38,$I1524)&gt;0)),1,0))</f>
        <v>0</v>
      </c>
      <c r="AA1524" t="str">
        <f t="shared" si="359"/>
        <v/>
      </c>
      <c r="AB1524" t="str">
        <f t="shared" si="360"/>
        <v/>
      </c>
      <c r="AC1524">
        <f>IF($A1524="",0,IF(COUNTIF($A$2:$A1524,$A1524)=1,1,0))</f>
        <v>0</v>
      </c>
      <c r="AD1524">
        <f t="shared" si="361"/>
        <v>18</v>
      </c>
      <c r="AE1524" t="str">
        <f t="shared" si="362"/>
        <v>锦江都城廊坊广阳店|平均入住率（%）</v>
      </c>
    </row>
    <row r="1525" spans="1:31" x14ac:dyDescent="0.4">
      <c r="A1525" t="str">
        <f>IF(原始经营数据!$D1526="","",原始经营数据!$D1526)</f>
        <v>华安锦江封闭式商业不动产证券投资基金</v>
      </c>
      <c r="B1525" t="str">
        <f>IF(原始经营数据!$D1526="","",T(原始经营数据!$E1526))</f>
        <v>锦江都城廊坊广阳店</v>
      </c>
      <c r="C1525" t="str">
        <f>IF(原始经营数据!$D1526="","",原始经营数据!$F1526)</f>
        <v>2025</v>
      </c>
      <c r="D1525" t="str">
        <f>IF(原始经营数据!$D1526="","",原始经营数据!$H1526)</f>
        <v>可供房数</v>
      </c>
      <c r="E1525">
        <f>IF(原始经营数据!$D1526="","",原始经营数据!$I1526)</f>
        <v>56940</v>
      </c>
      <c r="F1525" t="str">
        <f>IF(原始经营数据!$D1526="","",T(原始经营数据!$J1526))</f>
        <v>间</v>
      </c>
      <c r="G1525" t="str">
        <f>IF(原始经营数据!$D1526="","",T(原始经营数据!$K1526))</f>
        <v/>
      </c>
      <c r="H1525" t="str">
        <f>IF(原始经营数据!$D1526="","",原始经营数据!$G1526)</f>
        <v>服务量</v>
      </c>
      <c r="I1525" t="str">
        <f>IF($A1525="","",IF($B1525&lt;&gt;"",$B1525,IF(COUNTIFS(原始经营数据!$D$3:$D$3001,$A1525,原始经营数据!$E$3:$E$3001,"",原始经营数据!$F$3:$F$3001,$C1525,原始经营数据!$H$3:$H$3001,$D1525,原始经营数据!$K$3:$K$3001,$G1525)&gt;1,"基金整体·来源"&amp;原始经营数据!$A1526,"基金整体")))</f>
        <v>锦江都城廊坊广阳店</v>
      </c>
      <c r="J1525" t="str">
        <f t="shared" si="348"/>
        <v>年度</v>
      </c>
      <c r="K1525" t="str">
        <f t="shared" si="349"/>
        <v>可供房数（间）</v>
      </c>
      <c r="L1525" t="str">
        <f t="shared" si="350"/>
        <v>锦江都城廊坊广阳店|可供房数（间）|年度</v>
      </c>
      <c r="M1525">
        <f>IF($A1525="",0,IF(COUNTIF($L$2:$L1525,$L1525)=1,1,0))</f>
        <v>0</v>
      </c>
      <c r="N1525">
        <f t="shared" si="351"/>
        <v>20250</v>
      </c>
      <c r="O1525" t="str">
        <f t="shared" si="352"/>
        <v>华安锦江封闭式商业不动产证券投资基金|2025|年度</v>
      </c>
      <c r="P1525">
        <f>IF($A1525="",0,IF(COUNTIF($O$2:$O1525,$O1525)=1,1,0))</f>
        <v>0</v>
      </c>
      <c r="Q1525" t="str">
        <f>IF(AND($P1525=1,$A1525=经营数据!$B$3,$J1525=经营数据!$BA$5),COUNTIFS($P$2:$P$3000,1,$A$2:$A$3000,$A1525,$J$2:$J$3000,$J1525,$N$2:$N$3000,"&lt;"&amp;$N1525)+1,"")</f>
        <v/>
      </c>
      <c r="R1525" t="str">
        <f t="shared" si="353"/>
        <v>华安锦江封闭式商业不动产证券投资基金|锦江都城廊坊广阳店</v>
      </c>
      <c r="S1525">
        <f>IF($A1525="",0,IF(COUNTIF($R$2:$R1525,$R1525)=1,1,0))</f>
        <v>0</v>
      </c>
      <c r="T1525">
        <f t="shared" si="354"/>
        <v>1513</v>
      </c>
      <c r="U1525" t="str">
        <f>IF($A1525="","",IF($A1525=经营数据!$B$3,COUNTIFS($S$2:$S$3000,1,$A$2:$A$3000,$A1525,$T$2:$T$3000,"&lt;"&amp;$T1525)+1,""))</f>
        <v/>
      </c>
      <c r="V1525" t="str">
        <f t="shared" si="355"/>
        <v>锦江都城廊坊广阳店|服务量</v>
      </c>
      <c r="W1525">
        <f t="shared" si="356"/>
        <v>1513</v>
      </c>
      <c r="X1525" t="str">
        <f t="shared" si="357"/>
        <v>锦江都城廊坊广阳店|可供房数</v>
      </c>
      <c r="Y1525">
        <f t="shared" si="358"/>
        <v>1515</v>
      </c>
      <c r="Z1525">
        <f>IF($A1525="",0,IF(AND($M1525=1,$A1525=经营数据!$B$3,$J1525=经营数据!$BA$5,OR($I1525=经营数据!$BA$4,COUNTIF(经营数据!$AA$9:$AA$38,$I1525)&gt;0)),1,0))</f>
        <v>0</v>
      </c>
      <c r="AA1525" t="str">
        <f t="shared" si="359"/>
        <v/>
      </c>
      <c r="AB1525" t="str">
        <f t="shared" si="360"/>
        <v/>
      </c>
      <c r="AC1525">
        <f>IF($A1525="",0,IF(COUNTIF($A$2:$A1525,$A1525)=1,1,0))</f>
        <v>0</v>
      </c>
      <c r="AD1525">
        <f t="shared" si="361"/>
        <v>18</v>
      </c>
      <c r="AE1525" t="str">
        <f t="shared" si="362"/>
        <v>锦江都城廊坊广阳店|可供房数（间）</v>
      </c>
    </row>
    <row r="1526" spans="1:31" x14ac:dyDescent="0.4">
      <c r="A1526" t="str">
        <f>IF(原始经营数据!$D1527="","",原始经营数据!$D1527)</f>
        <v>华安锦江封闭式商业不动产证券投资基金</v>
      </c>
      <c r="B1526" t="str">
        <f>IF(原始经营数据!$D1527="","",T(原始经营数据!$E1527))</f>
        <v>锦江都城晋江梅岭店</v>
      </c>
      <c r="C1526" t="str">
        <f>IF(原始经营数据!$D1527="","",原始经营数据!$F1527)</f>
        <v>2022</v>
      </c>
      <c r="D1526" t="str">
        <f>IF(原始经营数据!$D1527="","",原始经营数据!$H1527)</f>
        <v>可供房数</v>
      </c>
      <c r="E1526">
        <f>IF(原始经营数据!$D1527="","",原始经营数据!$I1527)</f>
        <v>53655</v>
      </c>
      <c r="F1526" t="str">
        <f>IF(原始经营数据!$D1527="","",T(原始经营数据!$J1527))</f>
        <v>间</v>
      </c>
      <c r="G1526" t="str">
        <f>IF(原始经营数据!$D1527="","",T(原始经营数据!$K1527))</f>
        <v/>
      </c>
      <c r="H1526" t="str">
        <f>IF(原始经营数据!$D1527="","",原始经营数据!$G1527)</f>
        <v>服务量</v>
      </c>
      <c r="I1526" t="str">
        <f>IF($A1526="","",IF($B1526&lt;&gt;"",$B1526,IF(COUNTIFS(原始经营数据!$D$3:$D$3001,$A1526,原始经营数据!$E$3:$E$3001,"",原始经营数据!$F$3:$F$3001,$C1526,原始经营数据!$H$3:$H$3001,$D1526,原始经营数据!$K$3:$K$3001,$G1526)&gt;1,"基金整体·来源"&amp;原始经营数据!$A1527,"基金整体")))</f>
        <v>锦江都城晋江梅岭店</v>
      </c>
      <c r="J1526" t="str">
        <f t="shared" si="348"/>
        <v>年度</v>
      </c>
      <c r="K1526" t="str">
        <f t="shared" si="349"/>
        <v>可供房数（间）</v>
      </c>
      <c r="L1526" t="str">
        <f t="shared" si="350"/>
        <v>锦江都城晋江梅岭店|可供房数（间）|年度</v>
      </c>
      <c r="M1526">
        <f>IF($A1526="",0,IF(COUNTIF($L$2:$L1526,$L1526)=1,1,0))</f>
        <v>1</v>
      </c>
      <c r="N1526">
        <f t="shared" si="351"/>
        <v>20220</v>
      </c>
      <c r="O1526" t="str">
        <f t="shared" si="352"/>
        <v>华安锦江封闭式商业不动产证券投资基金|2022|年度</v>
      </c>
      <c r="P1526">
        <f>IF($A1526="",0,IF(COUNTIF($O$2:$O1526,$O1526)=1,1,0))</f>
        <v>0</v>
      </c>
      <c r="Q1526" t="str">
        <f>IF(AND($P1526=1,$A1526=经营数据!$B$3,$J1526=经营数据!$BA$5),COUNTIFS($P$2:$P$3000,1,$A$2:$A$3000,$A1526,$J$2:$J$3000,$J1526,$N$2:$N$3000,"&lt;"&amp;$N1526)+1,"")</f>
        <v/>
      </c>
      <c r="R1526" t="str">
        <f t="shared" si="353"/>
        <v>华安锦江封闭式商业不动产证券投资基金|锦江都城晋江梅岭店</v>
      </c>
      <c r="S1526">
        <f>IF($A1526="",0,IF(COUNTIF($R$2:$R1526,$R1526)=1,1,0))</f>
        <v>1</v>
      </c>
      <c r="T1526">
        <f t="shared" si="354"/>
        <v>1525</v>
      </c>
      <c r="U1526" t="str">
        <f>IF($A1526="","",IF($A1526=经营数据!$B$3,COUNTIFS($S$2:$S$3000,1,$A$2:$A$3000,$A1526,$T$2:$T$3000,"&lt;"&amp;$T1526)+1,""))</f>
        <v/>
      </c>
      <c r="V1526" t="str">
        <f t="shared" si="355"/>
        <v>锦江都城晋江梅岭店|服务量</v>
      </c>
      <c r="W1526">
        <f t="shared" si="356"/>
        <v>1525</v>
      </c>
      <c r="X1526" t="str">
        <f t="shared" si="357"/>
        <v>锦江都城晋江梅岭店|可供房数</v>
      </c>
      <c r="Y1526">
        <f t="shared" si="358"/>
        <v>1525</v>
      </c>
      <c r="Z1526">
        <f>IF($A1526="",0,IF(AND($M1526=1,$A1526=经营数据!$B$3,$J1526=经营数据!$BA$5,OR($I1526=经营数据!$BA$4,COUNTIF(经营数据!$AA$9:$AA$38,$I1526)&gt;0)),1,0))</f>
        <v>0</v>
      </c>
      <c r="AA1526" t="str">
        <f t="shared" si="359"/>
        <v/>
      </c>
      <c r="AB1526" t="str">
        <f t="shared" si="360"/>
        <v/>
      </c>
      <c r="AC1526">
        <f>IF($A1526="",0,IF(COUNTIF($A$2:$A1526,$A1526)=1,1,0))</f>
        <v>0</v>
      </c>
      <c r="AD1526">
        <f t="shared" si="361"/>
        <v>18</v>
      </c>
      <c r="AE1526" t="str">
        <f t="shared" si="362"/>
        <v>锦江都城晋江梅岭店|可供房数（间）</v>
      </c>
    </row>
    <row r="1527" spans="1:31" x14ac:dyDescent="0.4">
      <c r="A1527" t="str">
        <f>IF(原始经营数据!$D1528="","",原始经营数据!$D1528)</f>
        <v>华安锦江封闭式商业不动产证券投资基金</v>
      </c>
      <c r="B1527" t="str">
        <f>IF(原始经营数据!$D1528="","",T(原始经营数据!$E1528))</f>
        <v>锦江都城晋江梅岭店</v>
      </c>
      <c r="C1527" t="str">
        <f>IF(原始经营数据!$D1528="","",原始经营数据!$F1528)</f>
        <v>2022</v>
      </c>
      <c r="D1527" t="str">
        <f>IF(原始经营数据!$D1528="","",原始经营数据!$H1528)</f>
        <v>平均房价</v>
      </c>
      <c r="E1527">
        <f>IF(原始经营数据!$D1528="","",原始经营数据!$I1528)</f>
        <v>222.69</v>
      </c>
      <c r="F1527" t="str">
        <f>IF(原始经营数据!$D1528="","",T(原始经营数据!$J1528))</f>
        <v>元/间</v>
      </c>
      <c r="G1527" t="str">
        <f>IF(原始经营数据!$D1528="","",T(原始经营数据!$K1528))</f>
        <v/>
      </c>
      <c r="H1527" t="str">
        <f>IF(原始经营数据!$D1528="","",原始经营数据!$G1528)</f>
        <v>服务量</v>
      </c>
      <c r="I1527" t="str">
        <f>IF($A1527="","",IF($B1527&lt;&gt;"",$B1527,IF(COUNTIFS(原始经营数据!$D$3:$D$3001,$A1527,原始经营数据!$E$3:$E$3001,"",原始经营数据!$F$3:$F$3001,$C1527,原始经营数据!$H$3:$H$3001,$D1527,原始经营数据!$K$3:$K$3001,$G1527)&gt;1,"基金整体·来源"&amp;原始经营数据!$A1528,"基金整体")))</f>
        <v>锦江都城晋江梅岭店</v>
      </c>
      <c r="J1527" t="str">
        <f t="shared" si="348"/>
        <v>年度</v>
      </c>
      <c r="K1527" t="str">
        <f t="shared" si="349"/>
        <v>平均房价（元/间）</v>
      </c>
      <c r="L1527" t="str">
        <f t="shared" si="350"/>
        <v>锦江都城晋江梅岭店|平均房价（元/间）|年度</v>
      </c>
      <c r="M1527">
        <f>IF($A1527="",0,IF(COUNTIF($L$2:$L1527,$L1527)=1,1,0))</f>
        <v>1</v>
      </c>
      <c r="N1527">
        <f t="shared" si="351"/>
        <v>20220</v>
      </c>
      <c r="O1527" t="str">
        <f t="shared" si="352"/>
        <v>华安锦江封闭式商业不动产证券投资基金|2022|年度</v>
      </c>
      <c r="P1527">
        <f>IF($A1527="",0,IF(COUNTIF($O$2:$O1527,$O1527)=1,1,0))</f>
        <v>0</v>
      </c>
      <c r="Q1527" t="str">
        <f>IF(AND($P1527=1,$A1527=经营数据!$B$3,$J1527=经营数据!$BA$5),COUNTIFS($P$2:$P$3000,1,$A$2:$A$3000,$A1527,$J$2:$J$3000,$J1527,$N$2:$N$3000,"&lt;"&amp;$N1527)+1,"")</f>
        <v/>
      </c>
      <c r="R1527" t="str">
        <f t="shared" si="353"/>
        <v>华安锦江封闭式商业不动产证券投资基金|锦江都城晋江梅岭店</v>
      </c>
      <c r="S1527">
        <f>IF($A1527="",0,IF(COUNTIF($R$2:$R1527,$R1527)=1,1,0))</f>
        <v>0</v>
      </c>
      <c r="T1527">
        <f t="shared" si="354"/>
        <v>1525</v>
      </c>
      <c r="U1527" t="str">
        <f>IF($A1527="","",IF($A1527=经营数据!$B$3,COUNTIFS($S$2:$S$3000,1,$A$2:$A$3000,$A1527,$T$2:$T$3000,"&lt;"&amp;$T1527)+1,""))</f>
        <v/>
      </c>
      <c r="V1527" t="str">
        <f t="shared" si="355"/>
        <v>锦江都城晋江梅岭店|服务量</v>
      </c>
      <c r="W1527">
        <f t="shared" si="356"/>
        <v>1525</v>
      </c>
      <c r="X1527" t="str">
        <f t="shared" si="357"/>
        <v>锦江都城晋江梅岭店|平均房价</v>
      </c>
      <c r="Y1527">
        <f t="shared" si="358"/>
        <v>1526</v>
      </c>
      <c r="Z1527">
        <f>IF($A1527="",0,IF(AND($M1527=1,$A1527=经营数据!$B$3,$J1527=经营数据!$BA$5,OR($I1527=经营数据!$BA$4,COUNTIF(经营数据!$AA$9:$AA$38,$I1527)&gt;0)),1,0))</f>
        <v>0</v>
      </c>
      <c r="AA1527" t="str">
        <f t="shared" si="359"/>
        <v/>
      </c>
      <c r="AB1527" t="str">
        <f t="shared" si="360"/>
        <v/>
      </c>
      <c r="AC1527">
        <f>IF($A1527="",0,IF(COUNTIF($A$2:$A1527,$A1527)=1,1,0))</f>
        <v>0</v>
      </c>
      <c r="AD1527">
        <f t="shared" si="361"/>
        <v>18</v>
      </c>
      <c r="AE1527" t="str">
        <f t="shared" si="362"/>
        <v>锦江都城晋江梅岭店|平均房价（元/间）</v>
      </c>
    </row>
    <row r="1528" spans="1:31" x14ac:dyDescent="0.4">
      <c r="A1528" t="str">
        <f>IF(原始经营数据!$D1529="","",原始经营数据!$D1529)</f>
        <v>华安锦江封闭式商业不动产证券投资基金</v>
      </c>
      <c r="B1528" t="str">
        <f>IF(原始经营数据!$D1529="","",T(原始经营数据!$E1529))</f>
        <v>锦江都城晋江梅岭店</v>
      </c>
      <c r="C1528" t="str">
        <f>IF(原始经营数据!$D1529="","",原始经营数据!$F1529)</f>
        <v>2022</v>
      </c>
      <c r="D1528" t="str">
        <f>IF(原始经营数据!$D1529="","",原始经营数据!$H1529)</f>
        <v>平均入住率</v>
      </c>
      <c r="E1528">
        <f>IF(原始经营数据!$D1529="","",原始经营数据!$I1529)</f>
        <v>59.88</v>
      </c>
      <c r="F1528" t="str">
        <f>IF(原始经营数据!$D1529="","",T(原始经营数据!$J1529))</f>
        <v>%</v>
      </c>
      <c r="G1528" t="str">
        <f>IF(原始经营数据!$D1529="","",T(原始经营数据!$K1529))</f>
        <v/>
      </c>
      <c r="H1528" t="str">
        <f>IF(原始经营数据!$D1529="","",原始经营数据!$G1529)</f>
        <v>服务量</v>
      </c>
      <c r="I1528" t="str">
        <f>IF($A1528="","",IF($B1528&lt;&gt;"",$B1528,IF(COUNTIFS(原始经营数据!$D$3:$D$3001,$A1528,原始经营数据!$E$3:$E$3001,"",原始经营数据!$F$3:$F$3001,$C1528,原始经营数据!$H$3:$H$3001,$D1528,原始经营数据!$K$3:$K$3001,$G1528)&gt;1,"基金整体·来源"&amp;原始经营数据!$A1529,"基金整体")))</f>
        <v>锦江都城晋江梅岭店</v>
      </c>
      <c r="J1528" t="str">
        <f t="shared" si="348"/>
        <v>年度</v>
      </c>
      <c r="K1528" t="str">
        <f t="shared" si="349"/>
        <v>平均入住率（%）</v>
      </c>
      <c r="L1528" t="str">
        <f t="shared" si="350"/>
        <v>锦江都城晋江梅岭店|平均入住率（%）|年度</v>
      </c>
      <c r="M1528">
        <f>IF($A1528="",0,IF(COUNTIF($L$2:$L1528,$L1528)=1,1,0))</f>
        <v>1</v>
      </c>
      <c r="N1528">
        <f t="shared" si="351"/>
        <v>20220</v>
      </c>
      <c r="O1528" t="str">
        <f t="shared" si="352"/>
        <v>华安锦江封闭式商业不动产证券投资基金|2022|年度</v>
      </c>
      <c r="P1528">
        <f>IF($A1528="",0,IF(COUNTIF($O$2:$O1528,$O1528)=1,1,0))</f>
        <v>0</v>
      </c>
      <c r="Q1528" t="str">
        <f>IF(AND($P1528=1,$A1528=经营数据!$B$3,$J1528=经营数据!$BA$5),COUNTIFS($P$2:$P$3000,1,$A$2:$A$3000,$A1528,$J$2:$J$3000,$J1528,$N$2:$N$3000,"&lt;"&amp;$N1528)+1,"")</f>
        <v/>
      </c>
      <c r="R1528" t="str">
        <f t="shared" si="353"/>
        <v>华安锦江封闭式商业不动产证券投资基金|锦江都城晋江梅岭店</v>
      </c>
      <c r="S1528">
        <f>IF($A1528="",0,IF(COUNTIF($R$2:$R1528,$R1528)=1,1,0))</f>
        <v>0</v>
      </c>
      <c r="T1528">
        <f t="shared" si="354"/>
        <v>1525</v>
      </c>
      <c r="U1528" t="str">
        <f>IF($A1528="","",IF($A1528=经营数据!$B$3,COUNTIFS($S$2:$S$3000,1,$A$2:$A$3000,$A1528,$T$2:$T$3000,"&lt;"&amp;$T1528)+1,""))</f>
        <v/>
      </c>
      <c r="V1528" t="str">
        <f t="shared" si="355"/>
        <v>锦江都城晋江梅岭店|服务量</v>
      </c>
      <c r="W1528">
        <f t="shared" si="356"/>
        <v>1525</v>
      </c>
      <c r="X1528" t="str">
        <f t="shared" si="357"/>
        <v>锦江都城晋江梅岭店|平均入住率</v>
      </c>
      <c r="Y1528">
        <f t="shared" si="358"/>
        <v>1527</v>
      </c>
      <c r="Z1528">
        <f>IF($A1528="",0,IF(AND($M1528=1,$A1528=经营数据!$B$3,$J1528=经营数据!$BA$5,OR($I1528=经营数据!$BA$4,COUNTIF(经营数据!$AA$9:$AA$38,$I1528)&gt;0)),1,0))</f>
        <v>0</v>
      </c>
      <c r="AA1528" t="str">
        <f t="shared" si="359"/>
        <v/>
      </c>
      <c r="AB1528" t="str">
        <f t="shared" si="360"/>
        <v/>
      </c>
      <c r="AC1528">
        <f>IF($A1528="",0,IF(COUNTIF($A$2:$A1528,$A1528)=1,1,0))</f>
        <v>0</v>
      </c>
      <c r="AD1528">
        <f t="shared" si="361"/>
        <v>18</v>
      </c>
      <c r="AE1528" t="str">
        <f t="shared" si="362"/>
        <v>锦江都城晋江梅岭店|平均入住率（%）</v>
      </c>
    </row>
    <row r="1529" spans="1:31" x14ac:dyDescent="0.4">
      <c r="A1529" t="str">
        <f>IF(原始经营数据!$D1530="","",原始经营数据!$D1530)</f>
        <v>华安锦江封闭式商业不动产证券投资基金</v>
      </c>
      <c r="B1529" t="str">
        <f>IF(原始经营数据!$D1530="","",T(原始经营数据!$E1530))</f>
        <v>锦江都城晋江梅岭店</v>
      </c>
      <c r="C1529" t="str">
        <f>IF(原始经营数据!$D1530="","",原始经营数据!$F1530)</f>
        <v>2023</v>
      </c>
      <c r="D1529" t="str">
        <f>IF(原始经营数据!$D1530="","",原始经营数据!$H1530)</f>
        <v>平均房价</v>
      </c>
      <c r="E1529">
        <f>IF(原始经营数据!$D1530="","",原始经营数据!$I1530)</f>
        <v>249.46</v>
      </c>
      <c r="F1529" t="str">
        <f>IF(原始经营数据!$D1530="","",T(原始经营数据!$J1530))</f>
        <v>元/间</v>
      </c>
      <c r="G1529" t="str">
        <f>IF(原始经营数据!$D1530="","",T(原始经营数据!$K1530))</f>
        <v/>
      </c>
      <c r="H1529" t="str">
        <f>IF(原始经营数据!$D1530="","",原始经营数据!$G1530)</f>
        <v>服务量</v>
      </c>
      <c r="I1529" t="str">
        <f>IF($A1529="","",IF($B1529&lt;&gt;"",$B1529,IF(COUNTIFS(原始经营数据!$D$3:$D$3001,$A1529,原始经营数据!$E$3:$E$3001,"",原始经营数据!$F$3:$F$3001,$C1529,原始经营数据!$H$3:$H$3001,$D1529,原始经营数据!$K$3:$K$3001,$G1529)&gt;1,"基金整体·来源"&amp;原始经营数据!$A1530,"基金整体")))</f>
        <v>锦江都城晋江梅岭店</v>
      </c>
      <c r="J1529" t="str">
        <f t="shared" si="348"/>
        <v>年度</v>
      </c>
      <c r="K1529" t="str">
        <f t="shared" si="349"/>
        <v>平均房价（元/间）</v>
      </c>
      <c r="L1529" t="str">
        <f t="shared" si="350"/>
        <v>锦江都城晋江梅岭店|平均房价（元/间）|年度</v>
      </c>
      <c r="M1529">
        <f>IF($A1529="",0,IF(COUNTIF($L$2:$L1529,$L1529)=1,1,0))</f>
        <v>0</v>
      </c>
      <c r="N1529">
        <f t="shared" si="351"/>
        <v>20230</v>
      </c>
      <c r="O1529" t="str">
        <f t="shared" si="352"/>
        <v>华安锦江封闭式商业不动产证券投资基金|2023|年度</v>
      </c>
      <c r="P1529">
        <f>IF($A1529="",0,IF(COUNTIF($O$2:$O1529,$O1529)=1,1,0))</f>
        <v>0</v>
      </c>
      <c r="Q1529" t="str">
        <f>IF(AND($P1529=1,$A1529=经营数据!$B$3,$J1529=经营数据!$BA$5),COUNTIFS($P$2:$P$3000,1,$A$2:$A$3000,$A1529,$J$2:$J$3000,$J1529,$N$2:$N$3000,"&lt;"&amp;$N1529)+1,"")</f>
        <v/>
      </c>
      <c r="R1529" t="str">
        <f t="shared" si="353"/>
        <v>华安锦江封闭式商业不动产证券投资基金|锦江都城晋江梅岭店</v>
      </c>
      <c r="S1529">
        <f>IF($A1529="",0,IF(COUNTIF($R$2:$R1529,$R1529)=1,1,0))</f>
        <v>0</v>
      </c>
      <c r="T1529">
        <f t="shared" si="354"/>
        <v>1525</v>
      </c>
      <c r="U1529" t="str">
        <f>IF($A1529="","",IF($A1529=经营数据!$B$3,COUNTIFS($S$2:$S$3000,1,$A$2:$A$3000,$A1529,$T$2:$T$3000,"&lt;"&amp;$T1529)+1,""))</f>
        <v/>
      </c>
      <c r="V1529" t="str">
        <f t="shared" si="355"/>
        <v>锦江都城晋江梅岭店|服务量</v>
      </c>
      <c r="W1529">
        <f t="shared" si="356"/>
        <v>1525</v>
      </c>
      <c r="X1529" t="str">
        <f t="shared" si="357"/>
        <v>锦江都城晋江梅岭店|平均房价</v>
      </c>
      <c r="Y1529">
        <f t="shared" si="358"/>
        <v>1526</v>
      </c>
      <c r="Z1529">
        <f>IF($A1529="",0,IF(AND($M1529=1,$A1529=经营数据!$B$3,$J1529=经营数据!$BA$5,OR($I1529=经营数据!$BA$4,COUNTIF(经营数据!$AA$9:$AA$38,$I1529)&gt;0)),1,0))</f>
        <v>0</v>
      </c>
      <c r="AA1529" t="str">
        <f t="shared" si="359"/>
        <v/>
      </c>
      <c r="AB1529" t="str">
        <f t="shared" si="360"/>
        <v/>
      </c>
      <c r="AC1529">
        <f>IF($A1529="",0,IF(COUNTIF($A$2:$A1529,$A1529)=1,1,0))</f>
        <v>0</v>
      </c>
      <c r="AD1529">
        <f t="shared" si="361"/>
        <v>18</v>
      </c>
      <c r="AE1529" t="str">
        <f t="shared" si="362"/>
        <v>锦江都城晋江梅岭店|平均房价（元/间）</v>
      </c>
    </row>
    <row r="1530" spans="1:31" x14ac:dyDescent="0.4">
      <c r="A1530" t="str">
        <f>IF(原始经营数据!$D1531="","",原始经营数据!$D1531)</f>
        <v>华安锦江封闭式商业不动产证券投资基金</v>
      </c>
      <c r="B1530" t="str">
        <f>IF(原始经营数据!$D1531="","",T(原始经营数据!$E1531))</f>
        <v>锦江都城晋江梅岭店</v>
      </c>
      <c r="C1530" t="str">
        <f>IF(原始经营数据!$D1531="","",原始经营数据!$F1531)</f>
        <v>2023</v>
      </c>
      <c r="D1530" t="str">
        <f>IF(原始经营数据!$D1531="","",原始经营数据!$H1531)</f>
        <v>平均入住率</v>
      </c>
      <c r="E1530">
        <f>IF(原始经营数据!$D1531="","",原始经营数据!$I1531)</f>
        <v>68.61</v>
      </c>
      <c r="F1530" t="str">
        <f>IF(原始经营数据!$D1531="","",T(原始经营数据!$J1531))</f>
        <v>%</v>
      </c>
      <c r="G1530" t="str">
        <f>IF(原始经营数据!$D1531="","",T(原始经营数据!$K1531))</f>
        <v/>
      </c>
      <c r="H1530" t="str">
        <f>IF(原始经营数据!$D1531="","",原始经营数据!$G1531)</f>
        <v>服务量</v>
      </c>
      <c r="I1530" t="str">
        <f>IF($A1530="","",IF($B1530&lt;&gt;"",$B1530,IF(COUNTIFS(原始经营数据!$D$3:$D$3001,$A1530,原始经营数据!$E$3:$E$3001,"",原始经营数据!$F$3:$F$3001,$C1530,原始经营数据!$H$3:$H$3001,$D1530,原始经营数据!$K$3:$K$3001,$G1530)&gt;1,"基金整体·来源"&amp;原始经营数据!$A1531,"基金整体")))</f>
        <v>锦江都城晋江梅岭店</v>
      </c>
      <c r="J1530" t="str">
        <f t="shared" si="348"/>
        <v>年度</v>
      </c>
      <c r="K1530" t="str">
        <f t="shared" si="349"/>
        <v>平均入住率（%）</v>
      </c>
      <c r="L1530" t="str">
        <f t="shared" si="350"/>
        <v>锦江都城晋江梅岭店|平均入住率（%）|年度</v>
      </c>
      <c r="M1530">
        <f>IF($A1530="",0,IF(COUNTIF($L$2:$L1530,$L1530)=1,1,0))</f>
        <v>0</v>
      </c>
      <c r="N1530">
        <f t="shared" si="351"/>
        <v>20230</v>
      </c>
      <c r="O1530" t="str">
        <f t="shared" si="352"/>
        <v>华安锦江封闭式商业不动产证券投资基金|2023|年度</v>
      </c>
      <c r="P1530">
        <f>IF($A1530="",0,IF(COUNTIF($O$2:$O1530,$O1530)=1,1,0))</f>
        <v>0</v>
      </c>
      <c r="Q1530" t="str">
        <f>IF(AND($P1530=1,$A1530=经营数据!$B$3,$J1530=经营数据!$BA$5),COUNTIFS($P$2:$P$3000,1,$A$2:$A$3000,$A1530,$J$2:$J$3000,$J1530,$N$2:$N$3000,"&lt;"&amp;$N1530)+1,"")</f>
        <v/>
      </c>
      <c r="R1530" t="str">
        <f t="shared" si="353"/>
        <v>华安锦江封闭式商业不动产证券投资基金|锦江都城晋江梅岭店</v>
      </c>
      <c r="S1530">
        <f>IF($A1530="",0,IF(COUNTIF($R$2:$R1530,$R1530)=1,1,0))</f>
        <v>0</v>
      </c>
      <c r="T1530">
        <f t="shared" si="354"/>
        <v>1525</v>
      </c>
      <c r="U1530" t="str">
        <f>IF($A1530="","",IF($A1530=经营数据!$B$3,COUNTIFS($S$2:$S$3000,1,$A$2:$A$3000,$A1530,$T$2:$T$3000,"&lt;"&amp;$T1530)+1,""))</f>
        <v/>
      </c>
      <c r="V1530" t="str">
        <f t="shared" si="355"/>
        <v>锦江都城晋江梅岭店|服务量</v>
      </c>
      <c r="W1530">
        <f t="shared" si="356"/>
        <v>1525</v>
      </c>
      <c r="X1530" t="str">
        <f t="shared" si="357"/>
        <v>锦江都城晋江梅岭店|平均入住率</v>
      </c>
      <c r="Y1530">
        <f t="shared" si="358"/>
        <v>1527</v>
      </c>
      <c r="Z1530">
        <f>IF($A1530="",0,IF(AND($M1530=1,$A1530=经营数据!$B$3,$J1530=经营数据!$BA$5,OR($I1530=经营数据!$BA$4,COUNTIF(经营数据!$AA$9:$AA$38,$I1530)&gt;0)),1,0))</f>
        <v>0</v>
      </c>
      <c r="AA1530" t="str">
        <f t="shared" si="359"/>
        <v/>
      </c>
      <c r="AB1530" t="str">
        <f t="shared" si="360"/>
        <v/>
      </c>
      <c r="AC1530">
        <f>IF($A1530="",0,IF(COUNTIF($A$2:$A1530,$A1530)=1,1,0))</f>
        <v>0</v>
      </c>
      <c r="AD1530">
        <f t="shared" si="361"/>
        <v>18</v>
      </c>
      <c r="AE1530" t="str">
        <f t="shared" si="362"/>
        <v>锦江都城晋江梅岭店|平均入住率（%）</v>
      </c>
    </row>
    <row r="1531" spans="1:31" x14ac:dyDescent="0.4">
      <c r="A1531" t="str">
        <f>IF(原始经营数据!$D1532="","",原始经营数据!$D1532)</f>
        <v>华安锦江封闭式商业不动产证券投资基金</v>
      </c>
      <c r="B1531" t="str">
        <f>IF(原始经营数据!$D1532="","",T(原始经营数据!$E1532))</f>
        <v>锦江都城晋江梅岭店</v>
      </c>
      <c r="C1531" t="str">
        <f>IF(原始经营数据!$D1532="","",原始经营数据!$F1532)</f>
        <v>2023</v>
      </c>
      <c r="D1531" t="str">
        <f>IF(原始经营数据!$D1532="","",原始经营数据!$H1532)</f>
        <v>可供房数</v>
      </c>
      <c r="E1531">
        <f>IF(原始经营数据!$D1532="","",原始经营数据!$I1532)</f>
        <v>46892</v>
      </c>
      <c r="F1531" t="str">
        <f>IF(原始经营数据!$D1532="","",T(原始经营数据!$J1532))</f>
        <v>间</v>
      </c>
      <c r="G1531" t="str">
        <f>IF(原始经营数据!$D1532="","",T(原始经营数据!$K1532))</f>
        <v/>
      </c>
      <c r="H1531" t="str">
        <f>IF(原始经营数据!$D1532="","",原始经营数据!$G1532)</f>
        <v>服务量</v>
      </c>
      <c r="I1531" t="str">
        <f>IF($A1531="","",IF($B1531&lt;&gt;"",$B1531,IF(COUNTIFS(原始经营数据!$D$3:$D$3001,$A1531,原始经营数据!$E$3:$E$3001,"",原始经营数据!$F$3:$F$3001,$C1531,原始经营数据!$H$3:$H$3001,$D1531,原始经营数据!$K$3:$K$3001,$G1531)&gt;1,"基金整体·来源"&amp;原始经营数据!$A1532,"基金整体")))</f>
        <v>锦江都城晋江梅岭店</v>
      </c>
      <c r="J1531" t="str">
        <f t="shared" si="348"/>
        <v>年度</v>
      </c>
      <c r="K1531" t="str">
        <f t="shared" si="349"/>
        <v>可供房数（间）</v>
      </c>
      <c r="L1531" t="str">
        <f t="shared" si="350"/>
        <v>锦江都城晋江梅岭店|可供房数（间）|年度</v>
      </c>
      <c r="M1531">
        <f>IF($A1531="",0,IF(COUNTIF($L$2:$L1531,$L1531)=1,1,0))</f>
        <v>0</v>
      </c>
      <c r="N1531">
        <f t="shared" si="351"/>
        <v>20230</v>
      </c>
      <c r="O1531" t="str">
        <f t="shared" si="352"/>
        <v>华安锦江封闭式商业不动产证券投资基金|2023|年度</v>
      </c>
      <c r="P1531">
        <f>IF($A1531="",0,IF(COUNTIF($O$2:$O1531,$O1531)=1,1,0))</f>
        <v>0</v>
      </c>
      <c r="Q1531" t="str">
        <f>IF(AND($P1531=1,$A1531=经营数据!$B$3,$J1531=经营数据!$BA$5),COUNTIFS($P$2:$P$3000,1,$A$2:$A$3000,$A1531,$J$2:$J$3000,$J1531,$N$2:$N$3000,"&lt;"&amp;$N1531)+1,"")</f>
        <v/>
      </c>
      <c r="R1531" t="str">
        <f t="shared" si="353"/>
        <v>华安锦江封闭式商业不动产证券投资基金|锦江都城晋江梅岭店</v>
      </c>
      <c r="S1531">
        <f>IF($A1531="",0,IF(COUNTIF($R$2:$R1531,$R1531)=1,1,0))</f>
        <v>0</v>
      </c>
      <c r="T1531">
        <f t="shared" si="354"/>
        <v>1525</v>
      </c>
      <c r="U1531" t="str">
        <f>IF($A1531="","",IF($A1531=经营数据!$B$3,COUNTIFS($S$2:$S$3000,1,$A$2:$A$3000,$A1531,$T$2:$T$3000,"&lt;"&amp;$T1531)+1,""))</f>
        <v/>
      </c>
      <c r="V1531" t="str">
        <f t="shared" si="355"/>
        <v>锦江都城晋江梅岭店|服务量</v>
      </c>
      <c r="W1531">
        <f t="shared" si="356"/>
        <v>1525</v>
      </c>
      <c r="X1531" t="str">
        <f t="shared" si="357"/>
        <v>锦江都城晋江梅岭店|可供房数</v>
      </c>
      <c r="Y1531">
        <f t="shared" si="358"/>
        <v>1525</v>
      </c>
      <c r="Z1531">
        <f>IF($A1531="",0,IF(AND($M1531=1,$A1531=经营数据!$B$3,$J1531=经营数据!$BA$5,OR($I1531=经营数据!$BA$4,COUNTIF(经营数据!$AA$9:$AA$38,$I1531)&gt;0)),1,0))</f>
        <v>0</v>
      </c>
      <c r="AA1531" t="str">
        <f t="shared" si="359"/>
        <v/>
      </c>
      <c r="AB1531" t="str">
        <f t="shared" si="360"/>
        <v/>
      </c>
      <c r="AC1531">
        <f>IF($A1531="",0,IF(COUNTIF($A$2:$A1531,$A1531)=1,1,0))</f>
        <v>0</v>
      </c>
      <c r="AD1531">
        <f t="shared" si="361"/>
        <v>18</v>
      </c>
      <c r="AE1531" t="str">
        <f t="shared" si="362"/>
        <v>锦江都城晋江梅岭店|可供房数（间）</v>
      </c>
    </row>
    <row r="1532" spans="1:31" x14ac:dyDescent="0.4">
      <c r="A1532" t="str">
        <f>IF(原始经营数据!$D1533="","",原始经营数据!$D1533)</f>
        <v>华安锦江封闭式商业不动产证券投资基金</v>
      </c>
      <c r="B1532" t="str">
        <f>IF(原始经营数据!$D1533="","",T(原始经营数据!$E1533))</f>
        <v>锦江都城晋江梅岭店</v>
      </c>
      <c r="C1532" t="str">
        <f>IF(原始经营数据!$D1533="","",原始经营数据!$F1533)</f>
        <v>2024</v>
      </c>
      <c r="D1532" t="str">
        <f>IF(原始经营数据!$D1533="","",原始经营数据!$H1533)</f>
        <v>平均房价</v>
      </c>
      <c r="E1532">
        <f>IF(原始经营数据!$D1533="","",原始经营数据!$I1533)</f>
        <v>266.27</v>
      </c>
      <c r="F1532" t="str">
        <f>IF(原始经营数据!$D1533="","",T(原始经营数据!$J1533))</f>
        <v>元/间</v>
      </c>
      <c r="G1532" t="str">
        <f>IF(原始经营数据!$D1533="","",T(原始经营数据!$K1533))</f>
        <v/>
      </c>
      <c r="H1532" t="str">
        <f>IF(原始经营数据!$D1533="","",原始经营数据!$G1533)</f>
        <v>服务量</v>
      </c>
      <c r="I1532" t="str">
        <f>IF($A1532="","",IF($B1532&lt;&gt;"",$B1532,IF(COUNTIFS(原始经营数据!$D$3:$D$3001,$A1532,原始经营数据!$E$3:$E$3001,"",原始经营数据!$F$3:$F$3001,$C1532,原始经营数据!$H$3:$H$3001,$D1532,原始经营数据!$K$3:$K$3001,$G1532)&gt;1,"基金整体·来源"&amp;原始经营数据!$A1533,"基金整体")))</f>
        <v>锦江都城晋江梅岭店</v>
      </c>
      <c r="J1532" t="str">
        <f t="shared" si="348"/>
        <v>年度</v>
      </c>
      <c r="K1532" t="str">
        <f t="shared" si="349"/>
        <v>平均房价（元/间）</v>
      </c>
      <c r="L1532" t="str">
        <f t="shared" si="350"/>
        <v>锦江都城晋江梅岭店|平均房价（元/间）|年度</v>
      </c>
      <c r="M1532">
        <f>IF($A1532="",0,IF(COUNTIF($L$2:$L1532,$L1532)=1,1,0))</f>
        <v>0</v>
      </c>
      <c r="N1532">
        <f t="shared" si="351"/>
        <v>20240</v>
      </c>
      <c r="O1532" t="str">
        <f t="shared" si="352"/>
        <v>华安锦江封闭式商业不动产证券投资基金|2024|年度</v>
      </c>
      <c r="P1532">
        <f>IF($A1532="",0,IF(COUNTIF($O$2:$O1532,$O1532)=1,1,0))</f>
        <v>0</v>
      </c>
      <c r="Q1532" t="str">
        <f>IF(AND($P1532=1,$A1532=经营数据!$B$3,$J1532=经营数据!$BA$5),COUNTIFS($P$2:$P$3000,1,$A$2:$A$3000,$A1532,$J$2:$J$3000,$J1532,$N$2:$N$3000,"&lt;"&amp;$N1532)+1,"")</f>
        <v/>
      </c>
      <c r="R1532" t="str">
        <f t="shared" si="353"/>
        <v>华安锦江封闭式商业不动产证券投资基金|锦江都城晋江梅岭店</v>
      </c>
      <c r="S1532">
        <f>IF($A1532="",0,IF(COUNTIF($R$2:$R1532,$R1532)=1,1,0))</f>
        <v>0</v>
      </c>
      <c r="T1532">
        <f t="shared" si="354"/>
        <v>1525</v>
      </c>
      <c r="U1532" t="str">
        <f>IF($A1532="","",IF($A1532=经营数据!$B$3,COUNTIFS($S$2:$S$3000,1,$A$2:$A$3000,$A1532,$T$2:$T$3000,"&lt;"&amp;$T1532)+1,""))</f>
        <v/>
      </c>
      <c r="V1532" t="str">
        <f t="shared" si="355"/>
        <v>锦江都城晋江梅岭店|服务量</v>
      </c>
      <c r="W1532">
        <f t="shared" si="356"/>
        <v>1525</v>
      </c>
      <c r="X1532" t="str">
        <f t="shared" si="357"/>
        <v>锦江都城晋江梅岭店|平均房价</v>
      </c>
      <c r="Y1532">
        <f t="shared" si="358"/>
        <v>1526</v>
      </c>
      <c r="Z1532">
        <f>IF($A1532="",0,IF(AND($M1532=1,$A1532=经营数据!$B$3,$J1532=经营数据!$BA$5,OR($I1532=经营数据!$BA$4,COUNTIF(经营数据!$AA$9:$AA$38,$I1532)&gt;0)),1,0))</f>
        <v>0</v>
      </c>
      <c r="AA1532" t="str">
        <f t="shared" si="359"/>
        <v/>
      </c>
      <c r="AB1532" t="str">
        <f t="shared" si="360"/>
        <v/>
      </c>
      <c r="AC1532">
        <f>IF($A1532="",0,IF(COUNTIF($A$2:$A1532,$A1532)=1,1,0))</f>
        <v>0</v>
      </c>
      <c r="AD1532">
        <f t="shared" si="361"/>
        <v>18</v>
      </c>
      <c r="AE1532" t="str">
        <f t="shared" si="362"/>
        <v>锦江都城晋江梅岭店|平均房价（元/间）</v>
      </c>
    </row>
    <row r="1533" spans="1:31" x14ac:dyDescent="0.4">
      <c r="A1533" t="str">
        <f>IF(原始经营数据!$D1534="","",原始经营数据!$D1534)</f>
        <v>华安锦江封闭式商业不动产证券投资基金</v>
      </c>
      <c r="B1533" t="str">
        <f>IF(原始经营数据!$D1534="","",T(原始经营数据!$E1534))</f>
        <v>锦江都城晋江梅岭店</v>
      </c>
      <c r="C1533" t="str">
        <f>IF(原始经营数据!$D1534="","",原始经营数据!$F1534)</f>
        <v>2024</v>
      </c>
      <c r="D1533" t="str">
        <f>IF(原始经营数据!$D1534="","",原始经营数据!$H1534)</f>
        <v>平均入住率</v>
      </c>
      <c r="E1533">
        <f>IF(原始经营数据!$D1534="","",原始经营数据!$I1534)</f>
        <v>86.71</v>
      </c>
      <c r="F1533" t="str">
        <f>IF(原始经营数据!$D1534="","",T(原始经营数据!$J1534))</f>
        <v>%</v>
      </c>
      <c r="G1533" t="str">
        <f>IF(原始经营数据!$D1534="","",T(原始经营数据!$K1534))</f>
        <v/>
      </c>
      <c r="H1533" t="str">
        <f>IF(原始经营数据!$D1534="","",原始经营数据!$G1534)</f>
        <v>服务量</v>
      </c>
      <c r="I1533" t="str">
        <f>IF($A1533="","",IF($B1533&lt;&gt;"",$B1533,IF(COUNTIFS(原始经营数据!$D$3:$D$3001,$A1533,原始经营数据!$E$3:$E$3001,"",原始经营数据!$F$3:$F$3001,$C1533,原始经营数据!$H$3:$H$3001,$D1533,原始经营数据!$K$3:$K$3001,$G1533)&gt;1,"基金整体·来源"&amp;原始经营数据!$A1534,"基金整体")))</f>
        <v>锦江都城晋江梅岭店</v>
      </c>
      <c r="J1533" t="str">
        <f t="shared" si="348"/>
        <v>年度</v>
      </c>
      <c r="K1533" t="str">
        <f t="shared" si="349"/>
        <v>平均入住率（%）</v>
      </c>
      <c r="L1533" t="str">
        <f t="shared" si="350"/>
        <v>锦江都城晋江梅岭店|平均入住率（%）|年度</v>
      </c>
      <c r="M1533">
        <f>IF($A1533="",0,IF(COUNTIF($L$2:$L1533,$L1533)=1,1,0))</f>
        <v>0</v>
      </c>
      <c r="N1533">
        <f t="shared" si="351"/>
        <v>20240</v>
      </c>
      <c r="O1533" t="str">
        <f t="shared" si="352"/>
        <v>华安锦江封闭式商业不动产证券投资基金|2024|年度</v>
      </c>
      <c r="P1533">
        <f>IF($A1533="",0,IF(COUNTIF($O$2:$O1533,$O1533)=1,1,0))</f>
        <v>0</v>
      </c>
      <c r="Q1533" t="str">
        <f>IF(AND($P1533=1,$A1533=经营数据!$B$3,$J1533=经营数据!$BA$5),COUNTIFS($P$2:$P$3000,1,$A$2:$A$3000,$A1533,$J$2:$J$3000,$J1533,$N$2:$N$3000,"&lt;"&amp;$N1533)+1,"")</f>
        <v/>
      </c>
      <c r="R1533" t="str">
        <f t="shared" si="353"/>
        <v>华安锦江封闭式商业不动产证券投资基金|锦江都城晋江梅岭店</v>
      </c>
      <c r="S1533">
        <f>IF($A1533="",0,IF(COUNTIF($R$2:$R1533,$R1533)=1,1,0))</f>
        <v>0</v>
      </c>
      <c r="T1533">
        <f t="shared" si="354"/>
        <v>1525</v>
      </c>
      <c r="U1533" t="str">
        <f>IF($A1533="","",IF($A1533=经营数据!$B$3,COUNTIFS($S$2:$S$3000,1,$A$2:$A$3000,$A1533,$T$2:$T$3000,"&lt;"&amp;$T1533)+1,""))</f>
        <v/>
      </c>
      <c r="V1533" t="str">
        <f t="shared" si="355"/>
        <v>锦江都城晋江梅岭店|服务量</v>
      </c>
      <c r="W1533">
        <f t="shared" si="356"/>
        <v>1525</v>
      </c>
      <c r="X1533" t="str">
        <f t="shared" si="357"/>
        <v>锦江都城晋江梅岭店|平均入住率</v>
      </c>
      <c r="Y1533">
        <f t="shared" si="358"/>
        <v>1527</v>
      </c>
      <c r="Z1533">
        <f>IF($A1533="",0,IF(AND($M1533=1,$A1533=经营数据!$B$3,$J1533=经营数据!$BA$5,OR($I1533=经营数据!$BA$4,COUNTIF(经营数据!$AA$9:$AA$38,$I1533)&gt;0)),1,0))</f>
        <v>0</v>
      </c>
      <c r="AA1533" t="str">
        <f t="shared" si="359"/>
        <v/>
      </c>
      <c r="AB1533" t="str">
        <f t="shared" si="360"/>
        <v/>
      </c>
      <c r="AC1533">
        <f>IF($A1533="",0,IF(COUNTIF($A$2:$A1533,$A1533)=1,1,0))</f>
        <v>0</v>
      </c>
      <c r="AD1533">
        <f t="shared" si="361"/>
        <v>18</v>
      </c>
      <c r="AE1533" t="str">
        <f t="shared" si="362"/>
        <v>锦江都城晋江梅岭店|平均入住率（%）</v>
      </c>
    </row>
    <row r="1534" spans="1:31" x14ac:dyDescent="0.4">
      <c r="A1534" t="str">
        <f>IF(原始经营数据!$D1535="","",原始经营数据!$D1535)</f>
        <v>华安锦江封闭式商业不动产证券投资基金</v>
      </c>
      <c r="B1534" t="str">
        <f>IF(原始经营数据!$D1535="","",T(原始经营数据!$E1535))</f>
        <v>锦江都城晋江梅岭店</v>
      </c>
      <c r="C1534" t="str">
        <f>IF(原始经营数据!$D1535="","",原始经营数据!$F1535)</f>
        <v>2024</v>
      </c>
      <c r="D1534" t="str">
        <f>IF(原始经营数据!$D1535="","",原始经营数据!$H1535)</f>
        <v>可供房数</v>
      </c>
      <c r="E1534">
        <f>IF(原始经营数据!$D1535="","",原始经营数据!$I1535)</f>
        <v>53068</v>
      </c>
      <c r="F1534" t="str">
        <f>IF(原始经营数据!$D1535="","",T(原始经营数据!$J1535))</f>
        <v>间</v>
      </c>
      <c r="G1534" t="str">
        <f>IF(原始经营数据!$D1535="","",T(原始经营数据!$K1535))</f>
        <v/>
      </c>
      <c r="H1534" t="str">
        <f>IF(原始经营数据!$D1535="","",原始经营数据!$G1535)</f>
        <v>服务量</v>
      </c>
      <c r="I1534" t="str">
        <f>IF($A1534="","",IF($B1534&lt;&gt;"",$B1534,IF(COUNTIFS(原始经营数据!$D$3:$D$3001,$A1534,原始经营数据!$E$3:$E$3001,"",原始经营数据!$F$3:$F$3001,$C1534,原始经营数据!$H$3:$H$3001,$D1534,原始经营数据!$K$3:$K$3001,$G1534)&gt;1,"基金整体·来源"&amp;原始经营数据!$A1535,"基金整体")))</f>
        <v>锦江都城晋江梅岭店</v>
      </c>
      <c r="J1534" t="str">
        <f t="shared" si="348"/>
        <v>年度</v>
      </c>
      <c r="K1534" t="str">
        <f t="shared" si="349"/>
        <v>可供房数（间）</v>
      </c>
      <c r="L1534" t="str">
        <f t="shared" si="350"/>
        <v>锦江都城晋江梅岭店|可供房数（间）|年度</v>
      </c>
      <c r="M1534">
        <f>IF($A1534="",0,IF(COUNTIF($L$2:$L1534,$L1534)=1,1,0))</f>
        <v>0</v>
      </c>
      <c r="N1534">
        <f t="shared" si="351"/>
        <v>20240</v>
      </c>
      <c r="O1534" t="str">
        <f t="shared" si="352"/>
        <v>华安锦江封闭式商业不动产证券投资基金|2024|年度</v>
      </c>
      <c r="P1534">
        <f>IF($A1534="",0,IF(COUNTIF($O$2:$O1534,$O1534)=1,1,0))</f>
        <v>0</v>
      </c>
      <c r="Q1534" t="str">
        <f>IF(AND($P1534=1,$A1534=经营数据!$B$3,$J1534=经营数据!$BA$5),COUNTIFS($P$2:$P$3000,1,$A$2:$A$3000,$A1534,$J$2:$J$3000,$J1534,$N$2:$N$3000,"&lt;"&amp;$N1534)+1,"")</f>
        <v/>
      </c>
      <c r="R1534" t="str">
        <f t="shared" si="353"/>
        <v>华安锦江封闭式商业不动产证券投资基金|锦江都城晋江梅岭店</v>
      </c>
      <c r="S1534">
        <f>IF($A1534="",0,IF(COUNTIF($R$2:$R1534,$R1534)=1,1,0))</f>
        <v>0</v>
      </c>
      <c r="T1534">
        <f t="shared" si="354"/>
        <v>1525</v>
      </c>
      <c r="U1534" t="str">
        <f>IF($A1534="","",IF($A1534=经营数据!$B$3,COUNTIFS($S$2:$S$3000,1,$A$2:$A$3000,$A1534,$T$2:$T$3000,"&lt;"&amp;$T1534)+1,""))</f>
        <v/>
      </c>
      <c r="V1534" t="str">
        <f t="shared" si="355"/>
        <v>锦江都城晋江梅岭店|服务量</v>
      </c>
      <c r="W1534">
        <f t="shared" si="356"/>
        <v>1525</v>
      </c>
      <c r="X1534" t="str">
        <f t="shared" si="357"/>
        <v>锦江都城晋江梅岭店|可供房数</v>
      </c>
      <c r="Y1534">
        <f t="shared" si="358"/>
        <v>1525</v>
      </c>
      <c r="Z1534">
        <f>IF($A1534="",0,IF(AND($M1534=1,$A1534=经营数据!$B$3,$J1534=经营数据!$BA$5,OR($I1534=经营数据!$BA$4,COUNTIF(经营数据!$AA$9:$AA$38,$I1534)&gt;0)),1,0))</f>
        <v>0</v>
      </c>
      <c r="AA1534" t="str">
        <f t="shared" si="359"/>
        <v/>
      </c>
      <c r="AB1534" t="str">
        <f t="shared" si="360"/>
        <v/>
      </c>
      <c r="AC1534">
        <f>IF($A1534="",0,IF(COUNTIF($A$2:$A1534,$A1534)=1,1,0))</f>
        <v>0</v>
      </c>
      <c r="AD1534">
        <f t="shared" si="361"/>
        <v>18</v>
      </c>
      <c r="AE1534" t="str">
        <f t="shared" si="362"/>
        <v>锦江都城晋江梅岭店|可供房数（间）</v>
      </c>
    </row>
    <row r="1535" spans="1:31" x14ac:dyDescent="0.4">
      <c r="A1535" t="str">
        <f>IF(原始经营数据!$D1536="","",原始经营数据!$D1536)</f>
        <v>华安锦江封闭式商业不动产证券投资基金</v>
      </c>
      <c r="B1535" t="str">
        <f>IF(原始经营数据!$D1536="","",T(原始经营数据!$E1536))</f>
        <v>锦江都城晋江梅岭店</v>
      </c>
      <c r="C1535" t="str">
        <f>IF(原始经营数据!$D1536="","",原始经营数据!$F1536)</f>
        <v>2025</v>
      </c>
      <c r="D1535" t="str">
        <f>IF(原始经营数据!$D1536="","",原始经营数据!$H1536)</f>
        <v>平均房价</v>
      </c>
      <c r="E1535">
        <f>IF(原始经营数据!$D1536="","",原始经营数据!$I1536)</f>
        <v>257.27</v>
      </c>
      <c r="F1535" t="str">
        <f>IF(原始经营数据!$D1536="","",T(原始经营数据!$J1536))</f>
        <v>元/间</v>
      </c>
      <c r="G1535" t="str">
        <f>IF(原始经营数据!$D1536="","",T(原始经营数据!$K1536))</f>
        <v/>
      </c>
      <c r="H1535" t="str">
        <f>IF(原始经营数据!$D1536="","",原始经营数据!$G1536)</f>
        <v>服务量</v>
      </c>
      <c r="I1535" t="str">
        <f>IF($A1535="","",IF($B1535&lt;&gt;"",$B1535,IF(COUNTIFS(原始经营数据!$D$3:$D$3001,$A1535,原始经营数据!$E$3:$E$3001,"",原始经营数据!$F$3:$F$3001,$C1535,原始经营数据!$H$3:$H$3001,$D1535,原始经营数据!$K$3:$K$3001,$G1535)&gt;1,"基金整体·来源"&amp;原始经营数据!$A1536,"基金整体")))</f>
        <v>锦江都城晋江梅岭店</v>
      </c>
      <c r="J1535" t="str">
        <f t="shared" si="348"/>
        <v>年度</v>
      </c>
      <c r="K1535" t="str">
        <f t="shared" si="349"/>
        <v>平均房价（元/间）</v>
      </c>
      <c r="L1535" t="str">
        <f t="shared" si="350"/>
        <v>锦江都城晋江梅岭店|平均房价（元/间）|年度</v>
      </c>
      <c r="M1535">
        <f>IF($A1535="",0,IF(COUNTIF($L$2:$L1535,$L1535)=1,1,0))</f>
        <v>0</v>
      </c>
      <c r="N1535">
        <f t="shared" si="351"/>
        <v>20250</v>
      </c>
      <c r="O1535" t="str">
        <f t="shared" si="352"/>
        <v>华安锦江封闭式商业不动产证券投资基金|2025|年度</v>
      </c>
      <c r="P1535">
        <f>IF($A1535="",0,IF(COUNTIF($O$2:$O1535,$O1535)=1,1,0))</f>
        <v>0</v>
      </c>
      <c r="Q1535" t="str">
        <f>IF(AND($P1535=1,$A1535=经营数据!$B$3,$J1535=经营数据!$BA$5),COUNTIFS($P$2:$P$3000,1,$A$2:$A$3000,$A1535,$J$2:$J$3000,$J1535,$N$2:$N$3000,"&lt;"&amp;$N1535)+1,"")</f>
        <v/>
      </c>
      <c r="R1535" t="str">
        <f t="shared" si="353"/>
        <v>华安锦江封闭式商业不动产证券投资基金|锦江都城晋江梅岭店</v>
      </c>
      <c r="S1535">
        <f>IF($A1535="",0,IF(COUNTIF($R$2:$R1535,$R1535)=1,1,0))</f>
        <v>0</v>
      </c>
      <c r="T1535">
        <f t="shared" si="354"/>
        <v>1525</v>
      </c>
      <c r="U1535" t="str">
        <f>IF($A1535="","",IF($A1535=经营数据!$B$3,COUNTIFS($S$2:$S$3000,1,$A$2:$A$3000,$A1535,$T$2:$T$3000,"&lt;"&amp;$T1535)+1,""))</f>
        <v/>
      </c>
      <c r="V1535" t="str">
        <f t="shared" si="355"/>
        <v>锦江都城晋江梅岭店|服务量</v>
      </c>
      <c r="W1535">
        <f t="shared" si="356"/>
        <v>1525</v>
      </c>
      <c r="X1535" t="str">
        <f t="shared" si="357"/>
        <v>锦江都城晋江梅岭店|平均房价</v>
      </c>
      <c r="Y1535">
        <f t="shared" si="358"/>
        <v>1526</v>
      </c>
      <c r="Z1535">
        <f>IF($A1535="",0,IF(AND($M1535=1,$A1535=经营数据!$B$3,$J1535=经营数据!$BA$5,OR($I1535=经营数据!$BA$4,COUNTIF(经营数据!$AA$9:$AA$38,$I1535)&gt;0)),1,0))</f>
        <v>0</v>
      </c>
      <c r="AA1535" t="str">
        <f t="shared" si="359"/>
        <v/>
      </c>
      <c r="AB1535" t="str">
        <f t="shared" si="360"/>
        <v/>
      </c>
      <c r="AC1535">
        <f>IF($A1535="",0,IF(COUNTIF($A$2:$A1535,$A1535)=1,1,0))</f>
        <v>0</v>
      </c>
      <c r="AD1535">
        <f t="shared" si="361"/>
        <v>18</v>
      </c>
      <c r="AE1535" t="str">
        <f t="shared" si="362"/>
        <v>锦江都城晋江梅岭店|平均房价（元/间）</v>
      </c>
    </row>
    <row r="1536" spans="1:31" x14ac:dyDescent="0.4">
      <c r="A1536" t="str">
        <f>IF(原始经营数据!$D1537="","",原始经营数据!$D1537)</f>
        <v>华安锦江封闭式商业不动产证券投资基金</v>
      </c>
      <c r="B1536" t="str">
        <f>IF(原始经营数据!$D1537="","",T(原始经营数据!$E1537))</f>
        <v>锦江都城晋江梅岭店</v>
      </c>
      <c r="C1536" t="str">
        <f>IF(原始经营数据!$D1537="","",原始经营数据!$F1537)</f>
        <v>2025</v>
      </c>
      <c r="D1536" t="str">
        <f>IF(原始经营数据!$D1537="","",原始经营数据!$H1537)</f>
        <v>可供房数</v>
      </c>
      <c r="E1536">
        <f>IF(原始经营数据!$D1537="","",原始经营数据!$I1537)</f>
        <v>52925</v>
      </c>
      <c r="F1536" t="str">
        <f>IF(原始经营数据!$D1537="","",T(原始经营数据!$J1537))</f>
        <v>间</v>
      </c>
      <c r="G1536" t="str">
        <f>IF(原始经营数据!$D1537="","",T(原始经营数据!$K1537))</f>
        <v/>
      </c>
      <c r="H1536" t="str">
        <f>IF(原始经营数据!$D1537="","",原始经营数据!$G1537)</f>
        <v>服务量</v>
      </c>
      <c r="I1536" t="str">
        <f>IF($A1536="","",IF($B1536&lt;&gt;"",$B1536,IF(COUNTIFS(原始经营数据!$D$3:$D$3001,$A1536,原始经营数据!$E$3:$E$3001,"",原始经营数据!$F$3:$F$3001,$C1536,原始经营数据!$H$3:$H$3001,$D1536,原始经营数据!$K$3:$K$3001,$G1536)&gt;1,"基金整体·来源"&amp;原始经营数据!$A1537,"基金整体")))</f>
        <v>锦江都城晋江梅岭店</v>
      </c>
      <c r="J1536" t="str">
        <f t="shared" si="348"/>
        <v>年度</v>
      </c>
      <c r="K1536" t="str">
        <f t="shared" si="349"/>
        <v>可供房数（间）</v>
      </c>
      <c r="L1536" t="str">
        <f t="shared" si="350"/>
        <v>锦江都城晋江梅岭店|可供房数（间）|年度</v>
      </c>
      <c r="M1536">
        <f>IF($A1536="",0,IF(COUNTIF($L$2:$L1536,$L1536)=1,1,0))</f>
        <v>0</v>
      </c>
      <c r="N1536">
        <f t="shared" si="351"/>
        <v>20250</v>
      </c>
      <c r="O1536" t="str">
        <f t="shared" si="352"/>
        <v>华安锦江封闭式商业不动产证券投资基金|2025|年度</v>
      </c>
      <c r="P1536">
        <f>IF($A1536="",0,IF(COUNTIF($O$2:$O1536,$O1536)=1,1,0))</f>
        <v>0</v>
      </c>
      <c r="Q1536" t="str">
        <f>IF(AND($P1536=1,$A1536=经营数据!$B$3,$J1536=经营数据!$BA$5),COUNTIFS($P$2:$P$3000,1,$A$2:$A$3000,$A1536,$J$2:$J$3000,$J1536,$N$2:$N$3000,"&lt;"&amp;$N1536)+1,"")</f>
        <v/>
      </c>
      <c r="R1536" t="str">
        <f t="shared" si="353"/>
        <v>华安锦江封闭式商业不动产证券投资基金|锦江都城晋江梅岭店</v>
      </c>
      <c r="S1536">
        <f>IF($A1536="",0,IF(COUNTIF($R$2:$R1536,$R1536)=1,1,0))</f>
        <v>0</v>
      </c>
      <c r="T1536">
        <f t="shared" si="354"/>
        <v>1525</v>
      </c>
      <c r="U1536" t="str">
        <f>IF($A1536="","",IF($A1536=经营数据!$B$3,COUNTIFS($S$2:$S$3000,1,$A$2:$A$3000,$A1536,$T$2:$T$3000,"&lt;"&amp;$T1536)+1,""))</f>
        <v/>
      </c>
      <c r="V1536" t="str">
        <f t="shared" si="355"/>
        <v>锦江都城晋江梅岭店|服务量</v>
      </c>
      <c r="W1536">
        <f t="shared" si="356"/>
        <v>1525</v>
      </c>
      <c r="X1536" t="str">
        <f t="shared" si="357"/>
        <v>锦江都城晋江梅岭店|可供房数</v>
      </c>
      <c r="Y1536">
        <f t="shared" si="358"/>
        <v>1525</v>
      </c>
      <c r="Z1536">
        <f>IF($A1536="",0,IF(AND($M1536=1,$A1536=经营数据!$B$3,$J1536=经营数据!$BA$5,OR($I1536=经营数据!$BA$4,COUNTIF(经营数据!$AA$9:$AA$38,$I1536)&gt;0)),1,0))</f>
        <v>0</v>
      </c>
      <c r="AA1536" t="str">
        <f t="shared" si="359"/>
        <v/>
      </c>
      <c r="AB1536" t="str">
        <f t="shared" si="360"/>
        <v/>
      </c>
      <c r="AC1536">
        <f>IF($A1536="",0,IF(COUNTIF($A$2:$A1536,$A1536)=1,1,0))</f>
        <v>0</v>
      </c>
      <c r="AD1536">
        <f t="shared" si="361"/>
        <v>18</v>
      </c>
      <c r="AE1536" t="str">
        <f t="shared" si="362"/>
        <v>锦江都城晋江梅岭店|可供房数（间）</v>
      </c>
    </row>
    <row r="1537" spans="1:31" x14ac:dyDescent="0.4">
      <c r="A1537" t="str">
        <f>IF(原始经营数据!$D1538="","",原始经营数据!$D1538)</f>
        <v>华安锦江封闭式商业不动产证券投资基金</v>
      </c>
      <c r="B1537" t="str">
        <f>IF(原始经营数据!$D1538="","",T(原始经营数据!$E1538))</f>
        <v>锦江都城晋江梅岭店</v>
      </c>
      <c r="C1537" t="str">
        <f>IF(原始经营数据!$D1538="","",原始经营数据!$F1538)</f>
        <v>2025</v>
      </c>
      <c r="D1537" t="str">
        <f>IF(原始经营数据!$D1538="","",原始经营数据!$H1538)</f>
        <v>平均入住率</v>
      </c>
      <c r="E1537">
        <f>IF(原始经营数据!$D1538="","",原始经营数据!$I1538)</f>
        <v>80.48</v>
      </c>
      <c r="F1537" t="str">
        <f>IF(原始经营数据!$D1538="","",T(原始经营数据!$J1538))</f>
        <v>%</v>
      </c>
      <c r="G1537" t="str">
        <f>IF(原始经营数据!$D1538="","",T(原始经营数据!$K1538))</f>
        <v/>
      </c>
      <c r="H1537" t="str">
        <f>IF(原始经营数据!$D1538="","",原始经营数据!$G1538)</f>
        <v>服务量</v>
      </c>
      <c r="I1537" t="str">
        <f>IF($A1537="","",IF($B1537&lt;&gt;"",$B1537,IF(COUNTIFS(原始经营数据!$D$3:$D$3001,$A1537,原始经营数据!$E$3:$E$3001,"",原始经营数据!$F$3:$F$3001,$C1537,原始经营数据!$H$3:$H$3001,$D1537,原始经营数据!$K$3:$K$3001,$G1537)&gt;1,"基金整体·来源"&amp;原始经营数据!$A1538,"基金整体")))</f>
        <v>锦江都城晋江梅岭店</v>
      </c>
      <c r="J1537" t="str">
        <f t="shared" si="348"/>
        <v>年度</v>
      </c>
      <c r="K1537" t="str">
        <f t="shared" si="349"/>
        <v>平均入住率（%）</v>
      </c>
      <c r="L1537" t="str">
        <f t="shared" si="350"/>
        <v>锦江都城晋江梅岭店|平均入住率（%）|年度</v>
      </c>
      <c r="M1537">
        <f>IF($A1537="",0,IF(COUNTIF($L$2:$L1537,$L1537)=1,1,0))</f>
        <v>0</v>
      </c>
      <c r="N1537">
        <f t="shared" si="351"/>
        <v>20250</v>
      </c>
      <c r="O1537" t="str">
        <f t="shared" si="352"/>
        <v>华安锦江封闭式商业不动产证券投资基金|2025|年度</v>
      </c>
      <c r="P1537">
        <f>IF($A1537="",0,IF(COUNTIF($O$2:$O1537,$O1537)=1,1,0))</f>
        <v>0</v>
      </c>
      <c r="Q1537" t="str">
        <f>IF(AND($P1537=1,$A1537=经营数据!$B$3,$J1537=经营数据!$BA$5),COUNTIFS($P$2:$P$3000,1,$A$2:$A$3000,$A1537,$J$2:$J$3000,$J1537,$N$2:$N$3000,"&lt;"&amp;$N1537)+1,"")</f>
        <v/>
      </c>
      <c r="R1537" t="str">
        <f t="shared" si="353"/>
        <v>华安锦江封闭式商业不动产证券投资基金|锦江都城晋江梅岭店</v>
      </c>
      <c r="S1537">
        <f>IF($A1537="",0,IF(COUNTIF($R$2:$R1537,$R1537)=1,1,0))</f>
        <v>0</v>
      </c>
      <c r="T1537">
        <f t="shared" si="354"/>
        <v>1525</v>
      </c>
      <c r="U1537" t="str">
        <f>IF($A1537="","",IF($A1537=经营数据!$B$3,COUNTIFS($S$2:$S$3000,1,$A$2:$A$3000,$A1537,$T$2:$T$3000,"&lt;"&amp;$T1537)+1,""))</f>
        <v/>
      </c>
      <c r="V1537" t="str">
        <f t="shared" si="355"/>
        <v>锦江都城晋江梅岭店|服务量</v>
      </c>
      <c r="W1537">
        <f t="shared" si="356"/>
        <v>1525</v>
      </c>
      <c r="X1537" t="str">
        <f t="shared" si="357"/>
        <v>锦江都城晋江梅岭店|平均入住率</v>
      </c>
      <c r="Y1537">
        <f t="shared" si="358"/>
        <v>1527</v>
      </c>
      <c r="Z1537">
        <f>IF($A1537="",0,IF(AND($M1537=1,$A1537=经营数据!$B$3,$J1537=经营数据!$BA$5,OR($I1537=经营数据!$BA$4,COUNTIF(经营数据!$AA$9:$AA$38,$I1537)&gt;0)),1,0))</f>
        <v>0</v>
      </c>
      <c r="AA1537" t="str">
        <f t="shared" si="359"/>
        <v/>
      </c>
      <c r="AB1537" t="str">
        <f t="shared" si="360"/>
        <v/>
      </c>
      <c r="AC1537">
        <f>IF($A1537="",0,IF(COUNTIF($A$2:$A1537,$A1537)=1,1,0))</f>
        <v>0</v>
      </c>
      <c r="AD1537">
        <f t="shared" si="361"/>
        <v>18</v>
      </c>
      <c r="AE1537" t="str">
        <f t="shared" si="362"/>
        <v>锦江都城晋江梅岭店|平均入住率（%）</v>
      </c>
    </row>
    <row r="1538" spans="1:31" x14ac:dyDescent="0.4">
      <c r="A1538" t="str">
        <f>IF(原始经营数据!$D1539="","",原始经营数据!$D1539)</f>
        <v>华安锦江封闭式商业不动产证券投资基金</v>
      </c>
      <c r="B1538" t="str">
        <f>IF(原始经营数据!$D1539="","",T(原始经营数据!$E1539))</f>
        <v>锦江都城武汉体育中心店</v>
      </c>
      <c r="C1538" t="str">
        <f>IF(原始经营数据!$D1539="","",原始经营数据!$F1539)</f>
        <v>2022</v>
      </c>
      <c r="D1538" t="str">
        <f>IF(原始经营数据!$D1539="","",原始经营数据!$H1539)</f>
        <v>平均房价</v>
      </c>
      <c r="E1538">
        <f>IF(原始经营数据!$D1539="","",原始经营数据!$I1539)</f>
        <v>278.22000000000003</v>
      </c>
      <c r="F1538" t="str">
        <f>IF(原始经营数据!$D1539="","",T(原始经营数据!$J1539))</f>
        <v>元/间</v>
      </c>
      <c r="G1538" t="str">
        <f>IF(原始经营数据!$D1539="","",T(原始经营数据!$K1539))</f>
        <v/>
      </c>
      <c r="H1538" t="str">
        <f>IF(原始经营数据!$D1539="","",原始经营数据!$G1539)</f>
        <v>服务量</v>
      </c>
      <c r="I1538" t="str">
        <f>IF($A1538="","",IF($B1538&lt;&gt;"",$B1538,IF(COUNTIFS(原始经营数据!$D$3:$D$3001,$A1538,原始经营数据!$E$3:$E$3001,"",原始经营数据!$F$3:$F$3001,$C1538,原始经营数据!$H$3:$H$3001,$D1538,原始经营数据!$K$3:$K$3001,$G1538)&gt;1,"基金整体·来源"&amp;原始经营数据!$A1539,"基金整体")))</f>
        <v>锦江都城武汉体育中心店</v>
      </c>
      <c r="J1538" t="str">
        <f t="shared" ref="J1538:J1601" si="363">IF($A1538="","",IF(LEN($C1538)=4,"年度",IF(AND(LEN($C1538)=6,ISNUMBER(SEARCH("Q",$C1538))),"季度","其他期间")))</f>
        <v>年度</v>
      </c>
      <c r="K1538" t="str">
        <f t="shared" ref="K1538:K1601" si="364">IF($A1538="","",$D1538&amp;IF($G1538="","","-"&amp;SUBSTITUTE($G1538,CHAR(10),""))&amp;IF($F1538="","","（"&amp;$F1538&amp;"）"))</f>
        <v>平均房价（元/间）</v>
      </c>
      <c r="L1538" t="str">
        <f t="shared" ref="L1538:L1601" si="365">IF($A1538="","",$I1538&amp;"|"&amp;$K1538&amp;"|"&amp;$J1538)</f>
        <v>锦江都城武汉体育中心店|平均房价（元/间）|年度</v>
      </c>
      <c r="M1538">
        <f>IF($A1538="",0,IF(COUNTIF($L$2:$L1538,$L1538)=1,1,0))</f>
        <v>1</v>
      </c>
      <c r="N1538">
        <f t="shared" ref="N1538:N1601" si="366">IF($A1538="","",IF($J1538="年度",VALUE($C1538)*10,IF($J1538="季度",VALUE(LEFT($C1538,4))*10+VALUE(RIGHT($C1538,1)),VALUE(LEFT($C1538,4))*10+9)))</f>
        <v>20220</v>
      </c>
      <c r="O1538" t="str">
        <f t="shared" ref="O1538:O1601" si="367">IF($A1538="","",$A1538&amp;"|"&amp;$C1538&amp;"|"&amp;$J1538)</f>
        <v>华安锦江封闭式商业不动产证券投资基金|2022|年度</v>
      </c>
      <c r="P1538">
        <f>IF($A1538="",0,IF(COUNTIF($O$2:$O1538,$O1538)=1,1,0))</f>
        <v>0</v>
      </c>
      <c r="Q1538" t="str">
        <f>IF(AND($P1538=1,$A1538=经营数据!$B$3,$J1538=经营数据!$BA$5),COUNTIFS($P$2:$P$3000,1,$A$2:$A$3000,$A1538,$J$2:$J$3000,$J1538,$N$2:$N$3000,"&lt;"&amp;$N1538)+1,"")</f>
        <v/>
      </c>
      <c r="R1538" t="str">
        <f t="shared" ref="R1538:R1601" si="368">IF($A1538="","",$A1538&amp;"|"&amp;$I1538)</f>
        <v>华安锦江封闭式商业不动产证券投资基金|锦江都城武汉体育中心店</v>
      </c>
      <c r="S1538">
        <f>IF($A1538="",0,IF(COUNTIF($R$2:$R1538,$R1538)=1,1,0))</f>
        <v>1</v>
      </c>
      <c r="T1538">
        <f t="shared" ref="T1538:T1601" si="369">IF($A1538="","",MATCH($R1538,$R$2:$R$3000,0))</f>
        <v>1537</v>
      </c>
      <c r="U1538" t="str">
        <f>IF($A1538="","",IF($A1538=经营数据!$B$3,COUNTIFS($S$2:$S$3000,1,$A$2:$A$3000,$A1538,$T$2:$T$3000,"&lt;"&amp;$T1538)+1,""))</f>
        <v/>
      </c>
      <c r="V1538" t="str">
        <f t="shared" ref="V1538:V1601" si="370">IF($A1538="","",$I1538&amp;"|"&amp;$H1538)</f>
        <v>锦江都城武汉体育中心店|服务量</v>
      </c>
      <c r="W1538">
        <f t="shared" ref="W1538:W1601" si="371">IF($A1538="","",MATCH($V1538,$V$2:$V$3000,0))</f>
        <v>1537</v>
      </c>
      <c r="X1538" t="str">
        <f t="shared" ref="X1538:X1601" si="372">IF($A1538="","",$I1538&amp;"|"&amp;$D1538)</f>
        <v>锦江都城武汉体育中心店|平均房价</v>
      </c>
      <c r="Y1538">
        <f t="shared" ref="Y1538:Y1601" si="373">IF($A1538="","",MATCH($X1538,$X$2:$X$3000,0))</f>
        <v>1537</v>
      </c>
      <c r="Z1538">
        <f>IF($A1538="",0,IF(AND($M1538=1,$A1538=经营数据!$B$3,$J1538=经营数据!$BA$5,OR($I1538=经营数据!$BA$4,COUNTIF(经营数据!$AA$9:$AA$38,$I1538)&gt;0)),1,0))</f>
        <v>0</v>
      </c>
      <c r="AA1538" t="str">
        <f t="shared" ref="AA1538:AA1601" si="374">IF($Z1538=1,$U1538*1000000000000+$W1538*100000000+$Y1538*10000+ROW(),"")</f>
        <v/>
      </c>
      <c r="AB1538" t="str">
        <f t="shared" ref="AB1538:AB1601" si="375">IF($Z1538=1,COUNTIFS($Z$2:$Z$3000,1,$AA$2:$AA$3000,"&lt;"&amp;$AA1538)+1,"")</f>
        <v/>
      </c>
      <c r="AC1538">
        <f>IF($A1538="",0,IF(COUNTIF($A$2:$A1538,$A1538)=1,1,0))</f>
        <v>0</v>
      </c>
      <c r="AD1538">
        <f t="shared" ref="AD1538:AD1601" si="376">IF($A1538="",N(AD1537),IF($AC1538=1,N(AD1537)+1,N(AD1537)))</f>
        <v>18</v>
      </c>
      <c r="AE1538" t="str">
        <f t="shared" ref="AE1538:AE1601" si="377">IF($A1538="","",$I1538&amp;"|"&amp;$K1538)</f>
        <v>锦江都城武汉体育中心店|平均房价（元/间）</v>
      </c>
    </row>
    <row r="1539" spans="1:31" x14ac:dyDescent="0.4">
      <c r="A1539" t="str">
        <f>IF(原始经营数据!$D1540="","",原始经营数据!$D1540)</f>
        <v>华安锦江封闭式商业不动产证券投资基金</v>
      </c>
      <c r="B1539" t="str">
        <f>IF(原始经营数据!$D1540="","",T(原始经营数据!$E1540))</f>
        <v>锦江都城武汉体育中心店</v>
      </c>
      <c r="C1539" t="str">
        <f>IF(原始经营数据!$D1540="","",原始经营数据!$F1540)</f>
        <v>2022</v>
      </c>
      <c r="D1539" t="str">
        <f>IF(原始经营数据!$D1540="","",原始经营数据!$H1540)</f>
        <v>平均入住率</v>
      </c>
      <c r="E1539">
        <f>IF(原始经营数据!$D1540="","",原始经营数据!$I1540)</f>
        <v>55.93</v>
      </c>
      <c r="F1539" t="str">
        <f>IF(原始经营数据!$D1540="","",T(原始经营数据!$J1540))</f>
        <v>%</v>
      </c>
      <c r="G1539" t="str">
        <f>IF(原始经营数据!$D1540="","",T(原始经营数据!$K1540))</f>
        <v/>
      </c>
      <c r="H1539" t="str">
        <f>IF(原始经营数据!$D1540="","",原始经营数据!$G1540)</f>
        <v>服务量</v>
      </c>
      <c r="I1539" t="str">
        <f>IF($A1539="","",IF($B1539&lt;&gt;"",$B1539,IF(COUNTIFS(原始经营数据!$D$3:$D$3001,$A1539,原始经营数据!$E$3:$E$3001,"",原始经营数据!$F$3:$F$3001,$C1539,原始经营数据!$H$3:$H$3001,$D1539,原始经营数据!$K$3:$K$3001,$G1539)&gt;1,"基金整体·来源"&amp;原始经营数据!$A1540,"基金整体")))</f>
        <v>锦江都城武汉体育中心店</v>
      </c>
      <c r="J1539" t="str">
        <f t="shared" si="363"/>
        <v>年度</v>
      </c>
      <c r="K1539" t="str">
        <f t="shared" si="364"/>
        <v>平均入住率（%）</v>
      </c>
      <c r="L1539" t="str">
        <f t="shared" si="365"/>
        <v>锦江都城武汉体育中心店|平均入住率（%）|年度</v>
      </c>
      <c r="M1539">
        <f>IF($A1539="",0,IF(COUNTIF($L$2:$L1539,$L1539)=1,1,0))</f>
        <v>1</v>
      </c>
      <c r="N1539">
        <f t="shared" si="366"/>
        <v>20220</v>
      </c>
      <c r="O1539" t="str">
        <f t="shared" si="367"/>
        <v>华安锦江封闭式商业不动产证券投资基金|2022|年度</v>
      </c>
      <c r="P1539">
        <f>IF($A1539="",0,IF(COUNTIF($O$2:$O1539,$O1539)=1,1,0))</f>
        <v>0</v>
      </c>
      <c r="Q1539" t="str">
        <f>IF(AND($P1539=1,$A1539=经营数据!$B$3,$J1539=经营数据!$BA$5),COUNTIFS($P$2:$P$3000,1,$A$2:$A$3000,$A1539,$J$2:$J$3000,$J1539,$N$2:$N$3000,"&lt;"&amp;$N1539)+1,"")</f>
        <v/>
      </c>
      <c r="R1539" t="str">
        <f t="shared" si="368"/>
        <v>华安锦江封闭式商业不动产证券投资基金|锦江都城武汉体育中心店</v>
      </c>
      <c r="S1539">
        <f>IF($A1539="",0,IF(COUNTIF($R$2:$R1539,$R1539)=1,1,0))</f>
        <v>0</v>
      </c>
      <c r="T1539">
        <f t="shared" si="369"/>
        <v>1537</v>
      </c>
      <c r="U1539" t="str">
        <f>IF($A1539="","",IF($A1539=经营数据!$B$3,COUNTIFS($S$2:$S$3000,1,$A$2:$A$3000,$A1539,$T$2:$T$3000,"&lt;"&amp;$T1539)+1,""))</f>
        <v/>
      </c>
      <c r="V1539" t="str">
        <f t="shared" si="370"/>
        <v>锦江都城武汉体育中心店|服务量</v>
      </c>
      <c r="W1539">
        <f t="shared" si="371"/>
        <v>1537</v>
      </c>
      <c r="X1539" t="str">
        <f t="shared" si="372"/>
        <v>锦江都城武汉体育中心店|平均入住率</v>
      </c>
      <c r="Y1539">
        <f t="shared" si="373"/>
        <v>1538</v>
      </c>
      <c r="Z1539">
        <f>IF($A1539="",0,IF(AND($M1539=1,$A1539=经营数据!$B$3,$J1539=经营数据!$BA$5,OR($I1539=经营数据!$BA$4,COUNTIF(经营数据!$AA$9:$AA$38,$I1539)&gt;0)),1,0))</f>
        <v>0</v>
      </c>
      <c r="AA1539" t="str">
        <f t="shared" si="374"/>
        <v/>
      </c>
      <c r="AB1539" t="str">
        <f t="shared" si="375"/>
        <v/>
      </c>
      <c r="AC1539">
        <f>IF($A1539="",0,IF(COUNTIF($A$2:$A1539,$A1539)=1,1,0))</f>
        <v>0</v>
      </c>
      <c r="AD1539">
        <f t="shared" si="376"/>
        <v>18</v>
      </c>
      <c r="AE1539" t="str">
        <f t="shared" si="377"/>
        <v>锦江都城武汉体育中心店|平均入住率（%）</v>
      </c>
    </row>
    <row r="1540" spans="1:31" x14ac:dyDescent="0.4">
      <c r="A1540" t="str">
        <f>IF(原始经营数据!$D1541="","",原始经营数据!$D1541)</f>
        <v>华安锦江封闭式商业不动产证券投资基金</v>
      </c>
      <c r="B1540" t="str">
        <f>IF(原始经营数据!$D1541="","",T(原始经营数据!$E1541))</f>
        <v>锦江都城武汉体育中心店</v>
      </c>
      <c r="C1540" t="str">
        <f>IF(原始经营数据!$D1541="","",原始经营数据!$F1541)</f>
        <v>2022</v>
      </c>
      <c r="D1540" t="str">
        <f>IF(原始经营数据!$D1541="","",原始经营数据!$H1541)</f>
        <v>可供房数</v>
      </c>
      <c r="E1540">
        <f>IF(原始经营数据!$D1541="","",原始经营数据!$I1541)</f>
        <v>56371</v>
      </c>
      <c r="F1540" t="str">
        <f>IF(原始经营数据!$D1541="","",T(原始经营数据!$J1541))</f>
        <v>间</v>
      </c>
      <c r="G1540" t="str">
        <f>IF(原始经营数据!$D1541="","",T(原始经营数据!$K1541))</f>
        <v/>
      </c>
      <c r="H1540" t="str">
        <f>IF(原始经营数据!$D1541="","",原始经营数据!$G1541)</f>
        <v>服务量</v>
      </c>
      <c r="I1540" t="str">
        <f>IF($A1540="","",IF($B1540&lt;&gt;"",$B1540,IF(COUNTIFS(原始经营数据!$D$3:$D$3001,$A1540,原始经营数据!$E$3:$E$3001,"",原始经营数据!$F$3:$F$3001,$C1540,原始经营数据!$H$3:$H$3001,$D1540,原始经营数据!$K$3:$K$3001,$G1540)&gt;1,"基金整体·来源"&amp;原始经营数据!$A1541,"基金整体")))</f>
        <v>锦江都城武汉体育中心店</v>
      </c>
      <c r="J1540" t="str">
        <f t="shared" si="363"/>
        <v>年度</v>
      </c>
      <c r="K1540" t="str">
        <f t="shared" si="364"/>
        <v>可供房数（间）</v>
      </c>
      <c r="L1540" t="str">
        <f t="shared" si="365"/>
        <v>锦江都城武汉体育中心店|可供房数（间）|年度</v>
      </c>
      <c r="M1540">
        <f>IF($A1540="",0,IF(COUNTIF($L$2:$L1540,$L1540)=1,1,0))</f>
        <v>1</v>
      </c>
      <c r="N1540">
        <f t="shared" si="366"/>
        <v>20220</v>
      </c>
      <c r="O1540" t="str">
        <f t="shared" si="367"/>
        <v>华安锦江封闭式商业不动产证券投资基金|2022|年度</v>
      </c>
      <c r="P1540">
        <f>IF($A1540="",0,IF(COUNTIF($O$2:$O1540,$O1540)=1,1,0))</f>
        <v>0</v>
      </c>
      <c r="Q1540" t="str">
        <f>IF(AND($P1540=1,$A1540=经营数据!$B$3,$J1540=经营数据!$BA$5),COUNTIFS($P$2:$P$3000,1,$A$2:$A$3000,$A1540,$J$2:$J$3000,$J1540,$N$2:$N$3000,"&lt;"&amp;$N1540)+1,"")</f>
        <v/>
      </c>
      <c r="R1540" t="str">
        <f t="shared" si="368"/>
        <v>华安锦江封闭式商业不动产证券投资基金|锦江都城武汉体育中心店</v>
      </c>
      <c r="S1540">
        <f>IF($A1540="",0,IF(COUNTIF($R$2:$R1540,$R1540)=1,1,0))</f>
        <v>0</v>
      </c>
      <c r="T1540">
        <f t="shared" si="369"/>
        <v>1537</v>
      </c>
      <c r="U1540" t="str">
        <f>IF($A1540="","",IF($A1540=经营数据!$B$3,COUNTIFS($S$2:$S$3000,1,$A$2:$A$3000,$A1540,$T$2:$T$3000,"&lt;"&amp;$T1540)+1,""))</f>
        <v/>
      </c>
      <c r="V1540" t="str">
        <f t="shared" si="370"/>
        <v>锦江都城武汉体育中心店|服务量</v>
      </c>
      <c r="W1540">
        <f t="shared" si="371"/>
        <v>1537</v>
      </c>
      <c r="X1540" t="str">
        <f t="shared" si="372"/>
        <v>锦江都城武汉体育中心店|可供房数</v>
      </c>
      <c r="Y1540">
        <f t="shared" si="373"/>
        <v>1539</v>
      </c>
      <c r="Z1540">
        <f>IF($A1540="",0,IF(AND($M1540=1,$A1540=经营数据!$B$3,$J1540=经营数据!$BA$5,OR($I1540=经营数据!$BA$4,COUNTIF(经营数据!$AA$9:$AA$38,$I1540)&gt;0)),1,0))</f>
        <v>0</v>
      </c>
      <c r="AA1540" t="str">
        <f t="shared" si="374"/>
        <v/>
      </c>
      <c r="AB1540" t="str">
        <f t="shared" si="375"/>
        <v/>
      </c>
      <c r="AC1540">
        <f>IF($A1540="",0,IF(COUNTIF($A$2:$A1540,$A1540)=1,1,0))</f>
        <v>0</v>
      </c>
      <c r="AD1540">
        <f t="shared" si="376"/>
        <v>18</v>
      </c>
      <c r="AE1540" t="str">
        <f t="shared" si="377"/>
        <v>锦江都城武汉体育中心店|可供房数（间）</v>
      </c>
    </row>
    <row r="1541" spans="1:31" x14ac:dyDescent="0.4">
      <c r="A1541" t="str">
        <f>IF(原始经营数据!$D1542="","",原始经营数据!$D1542)</f>
        <v>华安锦江封闭式商业不动产证券投资基金</v>
      </c>
      <c r="B1541" t="str">
        <f>IF(原始经营数据!$D1542="","",T(原始经营数据!$E1542))</f>
        <v>锦江都城武汉体育中心店</v>
      </c>
      <c r="C1541" t="str">
        <f>IF(原始经营数据!$D1542="","",原始经营数据!$F1542)</f>
        <v>2023</v>
      </c>
      <c r="D1541" t="str">
        <f>IF(原始经营数据!$D1542="","",原始经营数据!$H1542)</f>
        <v>平均房价</v>
      </c>
      <c r="E1541">
        <f>IF(原始经营数据!$D1542="","",原始经营数据!$I1542)</f>
        <v>302.87</v>
      </c>
      <c r="F1541" t="str">
        <f>IF(原始经营数据!$D1542="","",T(原始经营数据!$J1542))</f>
        <v>元/间</v>
      </c>
      <c r="G1541" t="str">
        <f>IF(原始经营数据!$D1542="","",T(原始经营数据!$K1542))</f>
        <v/>
      </c>
      <c r="H1541" t="str">
        <f>IF(原始经营数据!$D1542="","",原始经营数据!$G1542)</f>
        <v>服务量</v>
      </c>
      <c r="I1541" t="str">
        <f>IF($A1541="","",IF($B1541&lt;&gt;"",$B1541,IF(COUNTIFS(原始经营数据!$D$3:$D$3001,$A1541,原始经营数据!$E$3:$E$3001,"",原始经营数据!$F$3:$F$3001,$C1541,原始经营数据!$H$3:$H$3001,$D1541,原始经营数据!$K$3:$K$3001,$G1541)&gt;1,"基金整体·来源"&amp;原始经营数据!$A1542,"基金整体")))</f>
        <v>锦江都城武汉体育中心店</v>
      </c>
      <c r="J1541" t="str">
        <f t="shared" si="363"/>
        <v>年度</v>
      </c>
      <c r="K1541" t="str">
        <f t="shared" si="364"/>
        <v>平均房价（元/间）</v>
      </c>
      <c r="L1541" t="str">
        <f t="shared" si="365"/>
        <v>锦江都城武汉体育中心店|平均房价（元/间）|年度</v>
      </c>
      <c r="M1541">
        <f>IF($A1541="",0,IF(COUNTIF($L$2:$L1541,$L1541)=1,1,0))</f>
        <v>0</v>
      </c>
      <c r="N1541">
        <f t="shared" si="366"/>
        <v>20230</v>
      </c>
      <c r="O1541" t="str">
        <f t="shared" si="367"/>
        <v>华安锦江封闭式商业不动产证券投资基金|2023|年度</v>
      </c>
      <c r="P1541">
        <f>IF($A1541="",0,IF(COUNTIF($O$2:$O1541,$O1541)=1,1,0))</f>
        <v>0</v>
      </c>
      <c r="Q1541" t="str">
        <f>IF(AND($P1541=1,$A1541=经营数据!$B$3,$J1541=经营数据!$BA$5),COUNTIFS($P$2:$P$3000,1,$A$2:$A$3000,$A1541,$J$2:$J$3000,$J1541,$N$2:$N$3000,"&lt;"&amp;$N1541)+1,"")</f>
        <v/>
      </c>
      <c r="R1541" t="str">
        <f t="shared" si="368"/>
        <v>华安锦江封闭式商业不动产证券投资基金|锦江都城武汉体育中心店</v>
      </c>
      <c r="S1541">
        <f>IF($A1541="",0,IF(COUNTIF($R$2:$R1541,$R1541)=1,1,0))</f>
        <v>0</v>
      </c>
      <c r="T1541">
        <f t="shared" si="369"/>
        <v>1537</v>
      </c>
      <c r="U1541" t="str">
        <f>IF($A1541="","",IF($A1541=经营数据!$B$3,COUNTIFS($S$2:$S$3000,1,$A$2:$A$3000,$A1541,$T$2:$T$3000,"&lt;"&amp;$T1541)+1,""))</f>
        <v/>
      </c>
      <c r="V1541" t="str">
        <f t="shared" si="370"/>
        <v>锦江都城武汉体育中心店|服务量</v>
      </c>
      <c r="W1541">
        <f t="shared" si="371"/>
        <v>1537</v>
      </c>
      <c r="X1541" t="str">
        <f t="shared" si="372"/>
        <v>锦江都城武汉体育中心店|平均房价</v>
      </c>
      <c r="Y1541">
        <f t="shared" si="373"/>
        <v>1537</v>
      </c>
      <c r="Z1541">
        <f>IF($A1541="",0,IF(AND($M1541=1,$A1541=经营数据!$B$3,$J1541=经营数据!$BA$5,OR($I1541=经营数据!$BA$4,COUNTIF(经营数据!$AA$9:$AA$38,$I1541)&gt;0)),1,0))</f>
        <v>0</v>
      </c>
      <c r="AA1541" t="str">
        <f t="shared" si="374"/>
        <v/>
      </c>
      <c r="AB1541" t="str">
        <f t="shared" si="375"/>
        <v/>
      </c>
      <c r="AC1541">
        <f>IF($A1541="",0,IF(COUNTIF($A$2:$A1541,$A1541)=1,1,0))</f>
        <v>0</v>
      </c>
      <c r="AD1541">
        <f t="shared" si="376"/>
        <v>18</v>
      </c>
      <c r="AE1541" t="str">
        <f t="shared" si="377"/>
        <v>锦江都城武汉体育中心店|平均房价（元/间）</v>
      </c>
    </row>
    <row r="1542" spans="1:31" x14ac:dyDescent="0.4">
      <c r="A1542" t="str">
        <f>IF(原始经营数据!$D1543="","",原始经营数据!$D1543)</f>
        <v>华安锦江封闭式商业不动产证券投资基金</v>
      </c>
      <c r="B1542" t="str">
        <f>IF(原始经营数据!$D1543="","",T(原始经营数据!$E1543))</f>
        <v>锦江都城武汉体育中心店</v>
      </c>
      <c r="C1542" t="str">
        <f>IF(原始经营数据!$D1543="","",原始经营数据!$F1543)</f>
        <v>2023</v>
      </c>
      <c r="D1542" t="str">
        <f>IF(原始经营数据!$D1543="","",原始经营数据!$H1543)</f>
        <v>平均入住率</v>
      </c>
      <c r="E1542">
        <f>IF(原始经营数据!$D1543="","",原始经营数据!$I1543)</f>
        <v>66.78</v>
      </c>
      <c r="F1542" t="str">
        <f>IF(原始经营数据!$D1543="","",T(原始经营数据!$J1543))</f>
        <v>%</v>
      </c>
      <c r="G1542" t="str">
        <f>IF(原始经营数据!$D1543="","",T(原始经营数据!$K1543))</f>
        <v/>
      </c>
      <c r="H1542" t="str">
        <f>IF(原始经营数据!$D1543="","",原始经营数据!$G1543)</f>
        <v>服务量</v>
      </c>
      <c r="I1542" t="str">
        <f>IF($A1542="","",IF($B1542&lt;&gt;"",$B1542,IF(COUNTIFS(原始经营数据!$D$3:$D$3001,$A1542,原始经营数据!$E$3:$E$3001,"",原始经营数据!$F$3:$F$3001,$C1542,原始经营数据!$H$3:$H$3001,$D1542,原始经营数据!$K$3:$K$3001,$G1542)&gt;1,"基金整体·来源"&amp;原始经营数据!$A1543,"基金整体")))</f>
        <v>锦江都城武汉体育中心店</v>
      </c>
      <c r="J1542" t="str">
        <f t="shared" si="363"/>
        <v>年度</v>
      </c>
      <c r="K1542" t="str">
        <f t="shared" si="364"/>
        <v>平均入住率（%）</v>
      </c>
      <c r="L1542" t="str">
        <f t="shared" si="365"/>
        <v>锦江都城武汉体育中心店|平均入住率（%）|年度</v>
      </c>
      <c r="M1542">
        <f>IF($A1542="",0,IF(COUNTIF($L$2:$L1542,$L1542)=1,1,0))</f>
        <v>0</v>
      </c>
      <c r="N1542">
        <f t="shared" si="366"/>
        <v>20230</v>
      </c>
      <c r="O1542" t="str">
        <f t="shared" si="367"/>
        <v>华安锦江封闭式商业不动产证券投资基金|2023|年度</v>
      </c>
      <c r="P1542">
        <f>IF($A1542="",0,IF(COUNTIF($O$2:$O1542,$O1542)=1,1,0))</f>
        <v>0</v>
      </c>
      <c r="Q1542" t="str">
        <f>IF(AND($P1542=1,$A1542=经营数据!$B$3,$J1542=经营数据!$BA$5),COUNTIFS($P$2:$P$3000,1,$A$2:$A$3000,$A1542,$J$2:$J$3000,$J1542,$N$2:$N$3000,"&lt;"&amp;$N1542)+1,"")</f>
        <v/>
      </c>
      <c r="R1542" t="str">
        <f t="shared" si="368"/>
        <v>华安锦江封闭式商业不动产证券投资基金|锦江都城武汉体育中心店</v>
      </c>
      <c r="S1542">
        <f>IF($A1542="",0,IF(COUNTIF($R$2:$R1542,$R1542)=1,1,0))</f>
        <v>0</v>
      </c>
      <c r="T1542">
        <f t="shared" si="369"/>
        <v>1537</v>
      </c>
      <c r="U1542" t="str">
        <f>IF($A1542="","",IF($A1542=经营数据!$B$3,COUNTIFS($S$2:$S$3000,1,$A$2:$A$3000,$A1542,$T$2:$T$3000,"&lt;"&amp;$T1542)+1,""))</f>
        <v/>
      </c>
      <c r="V1542" t="str">
        <f t="shared" si="370"/>
        <v>锦江都城武汉体育中心店|服务量</v>
      </c>
      <c r="W1542">
        <f t="shared" si="371"/>
        <v>1537</v>
      </c>
      <c r="X1542" t="str">
        <f t="shared" si="372"/>
        <v>锦江都城武汉体育中心店|平均入住率</v>
      </c>
      <c r="Y1542">
        <f t="shared" si="373"/>
        <v>1538</v>
      </c>
      <c r="Z1542">
        <f>IF($A1542="",0,IF(AND($M1542=1,$A1542=经营数据!$B$3,$J1542=经营数据!$BA$5,OR($I1542=经营数据!$BA$4,COUNTIF(经营数据!$AA$9:$AA$38,$I1542)&gt;0)),1,0))</f>
        <v>0</v>
      </c>
      <c r="AA1542" t="str">
        <f t="shared" si="374"/>
        <v/>
      </c>
      <c r="AB1542" t="str">
        <f t="shared" si="375"/>
        <v/>
      </c>
      <c r="AC1542">
        <f>IF($A1542="",0,IF(COUNTIF($A$2:$A1542,$A1542)=1,1,0))</f>
        <v>0</v>
      </c>
      <c r="AD1542">
        <f t="shared" si="376"/>
        <v>18</v>
      </c>
      <c r="AE1542" t="str">
        <f t="shared" si="377"/>
        <v>锦江都城武汉体育中心店|平均入住率（%）</v>
      </c>
    </row>
    <row r="1543" spans="1:31" x14ac:dyDescent="0.4">
      <c r="A1543" t="str">
        <f>IF(原始经营数据!$D1544="","",原始经营数据!$D1544)</f>
        <v>华安锦江封闭式商业不动产证券投资基金</v>
      </c>
      <c r="B1543" t="str">
        <f>IF(原始经营数据!$D1544="","",T(原始经营数据!$E1544))</f>
        <v>锦江都城武汉体育中心店</v>
      </c>
      <c r="C1543" t="str">
        <f>IF(原始经营数据!$D1544="","",原始经营数据!$F1544)</f>
        <v>2023</v>
      </c>
      <c r="D1543" t="str">
        <f>IF(原始经营数据!$D1544="","",原始经营数据!$H1544)</f>
        <v>可供房数</v>
      </c>
      <c r="E1543">
        <f>IF(原始经营数据!$D1544="","",原始经营数据!$I1544)</f>
        <v>46461</v>
      </c>
      <c r="F1543" t="str">
        <f>IF(原始经营数据!$D1544="","",T(原始经营数据!$J1544))</f>
        <v>间</v>
      </c>
      <c r="G1543" t="str">
        <f>IF(原始经营数据!$D1544="","",T(原始经营数据!$K1544))</f>
        <v/>
      </c>
      <c r="H1543" t="str">
        <f>IF(原始经营数据!$D1544="","",原始经营数据!$G1544)</f>
        <v>服务量</v>
      </c>
      <c r="I1543" t="str">
        <f>IF($A1543="","",IF($B1543&lt;&gt;"",$B1543,IF(COUNTIFS(原始经营数据!$D$3:$D$3001,$A1543,原始经营数据!$E$3:$E$3001,"",原始经营数据!$F$3:$F$3001,$C1543,原始经营数据!$H$3:$H$3001,$D1543,原始经营数据!$K$3:$K$3001,$G1543)&gt;1,"基金整体·来源"&amp;原始经营数据!$A1544,"基金整体")))</f>
        <v>锦江都城武汉体育中心店</v>
      </c>
      <c r="J1543" t="str">
        <f t="shared" si="363"/>
        <v>年度</v>
      </c>
      <c r="K1543" t="str">
        <f t="shared" si="364"/>
        <v>可供房数（间）</v>
      </c>
      <c r="L1543" t="str">
        <f t="shared" si="365"/>
        <v>锦江都城武汉体育中心店|可供房数（间）|年度</v>
      </c>
      <c r="M1543">
        <f>IF($A1543="",0,IF(COUNTIF($L$2:$L1543,$L1543)=1,1,0))</f>
        <v>0</v>
      </c>
      <c r="N1543">
        <f t="shared" si="366"/>
        <v>20230</v>
      </c>
      <c r="O1543" t="str">
        <f t="shared" si="367"/>
        <v>华安锦江封闭式商业不动产证券投资基金|2023|年度</v>
      </c>
      <c r="P1543">
        <f>IF($A1543="",0,IF(COUNTIF($O$2:$O1543,$O1543)=1,1,0))</f>
        <v>0</v>
      </c>
      <c r="Q1543" t="str">
        <f>IF(AND($P1543=1,$A1543=经营数据!$B$3,$J1543=经营数据!$BA$5),COUNTIFS($P$2:$P$3000,1,$A$2:$A$3000,$A1543,$J$2:$J$3000,$J1543,$N$2:$N$3000,"&lt;"&amp;$N1543)+1,"")</f>
        <v/>
      </c>
      <c r="R1543" t="str">
        <f t="shared" si="368"/>
        <v>华安锦江封闭式商业不动产证券投资基金|锦江都城武汉体育中心店</v>
      </c>
      <c r="S1543">
        <f>IF($A1543="",0,IF(COUNTIF($R$2:$R1543,$R1543)=1,1,0))</f>
        <v>0</v>
      </c>
      <c r="T1543">
        <f t="shared" si="369"/>
        <v>1537</v>
      </c>
      <c r="U1543" t="str">
        <f>IF($A1543="","",IF($A1543=经营数据!$B$3,COUNTIFS($S$2:$S$3000,1,$A$2:$A$3000,$A1543,$T$2:$T$3000,"&lt;"&amp;$T1543)+1,""))</f>
        <v/>
      </c>
      <c r="V1543" t="str">
        <f t="shared" si="370"/>
        <v>锦江都城武汉体育中心店|服务量</v>
      </c>
      <c r="W1543">
        <f t="shared" si="371"/>
        <v>1537</v>
      </c>
      <c r="X1543" t="str">
        <f t="shared" si="372"/>
        <v>锦江都城武汉体育中心店|可供房数</v>
      </c>
      <c r="Y1543">
        <f t="shared" si="373"/>
        <v>1539</v>
      </c>
      <c r="Z1543">
        <f>IF($A1543="",0,IF(AND($M1543=1,$A1543=经营数据!$B$3,$J1543=经营数据!$BA$5,OR($I1543=经营数据!$BA$4,COUNTIF(经营数据!$AA$9:$AA$38,$I1543)&gt;0)),1,0))</f>
        <v>0</v>
      </c>
      <c r="AA1543" t="str">
        <f t="shared" si="374"/>
        <v/>
      </c>
      <c r="AB1543" t="str">
        <f t="shared" si="375"/>
        <v/>
      </c>
      <c r="AC1543">
        <f>IF($A1543="",0,IF(COUNTIF($A$2:$A1543,$A1543)=1,1,0))</f>
        <v>0</v>
      </c>
      <c r="AD1543">
        <f t="shared" si="376"/>
        <v>18</v>
      </c>
      <c r="AE1543" t="str">
        <f t="shared" si="377"/>
        <v>锦江都城武汉体育中心店|可供房数（间）</v>
      </c>
    </row>
    <row r="1544" spans="1:31" x14ac:dyDescent="0.4">
      <c r="A1544" t="str">
        <f>IF(原始经营数据!$D1545="","",原始经营数据!$D1545)</f>
        <v>华安锦江封闭式商业不动产证券投资基金</v>
      </c>
      <c r="B1544" t="str">
        <f>IF(原始经营数据!$D1545="","",T(原始经营数据!$E1545))</f>
        <v>锦江都城武汉体育中心店</v>
      </c>
      <c r="C1544" t="str">
        <f>IF(原始经营数据!$D1545="","",原始经营数据!$F1545)</f>
        <v>2024</v>
      </c>
      <c r="D1544" t="str">
        <f>IF(原始经营数据!$D1545="","",原始经营数据!$H1545)</f>
        <v>平均房价</v>
      </c>
      <c r="E1544">
        <f>IF(原始经营数据!$D1545="","",原始经营数据!$I1545)</f>
        <v>298.95999999999998</v>
      </c>
      <c r="F1544" t="str">
        <f>IF(原始经营数据!$D1545="","",T(原始经营数据!$J1545))</f>
        <v>元/间</v>
      </c>
      <c r="G1544" t="str">
        <f>IF(原始经营数据!$D1545="","",T(原始经营数据!$K1545))</f>
        <v/>
      </c>
      <c r="H1544" t="str">
        <f>IF(原始经营数据!$D1545="","",原始经营数据!$G1545)</f>
        <v>服务量</v>
      </c>
      <c r="I1544" t="str">
        <f>IF($A1544="","",IF($B1544&lt;&gt;"",$B1544,IF(COUNTIFS(原始经营数据!$D$3:$D$3001,$A1544,原始经营数据!$E$3:$E$3001,"",原始经营数据!$F$3:$F$3001,$C1544,原始经营数据!$H$3:$H$3001,$D1544,原始经营数据!$K$3:$K$3001,$G1544)&gt;1,"基金整体·来源"&amp;原始经营数据!$A1545,"基金整体")))</f>
        <v>锦江都城武汉体育中心店</v>
      </c>
      <c r="J1544" t="str">
        <f t="shared" si="363"/>
        <v>年度</v>
      </c>
      <c r="K1544" t="str">
        <f t="shared" si="364"/>
        <v>平均房价（元/间）</v>
      </c>
      <c r="L1544" t="str">
        <f t="shared" si="365"/>
        <v>锦江都城武汉体育中心店|平均房价（元/间）|年度</v>
      </c>
      <c r="M1544">
        <f>IF($A1544="",0,IF(COUNTIF($L$2:$L1544,$L1544)=1,1,0))</f>
        <v>0</v>
      </c>
      <c r="N1544">
        <f t="shared" si="366"/>
        <v>20240</v>
      </c>
      <c r="O1544" t="str">
        <f t="shared" si="367"/>
        <v>华安锦江封闭式商业不动产证券投资基金|2024|年度</v>
      </c>
      <c r="P1544">
        <f>IF($A1544="",0,IF(COUNTIF($O$2:$O1544,$O1544)=1,1,0))</f>
        <v>0</v>
      </c>
      <c r="Q1544" t="str">
        <f>IF(AND($P1544=1,$A1544=经营数据!$B$3,$J1544=经营数据!$BA$5),COUNTIFS($P$2:$P$3000,1,$A$2:$A$3000,$A1544,$J$2:$J$3000,$J1544,$N$2:$N$3000,"&lt;"&amp;$N1544)+1,"")</f>
        <v/>
      </c>
      <c r="R1544" t="str">
        <f t="shared" si="368"/>
        <v>华安锦江封闭式商业不动产证券投资基金|锦江都城武汉体育中心店</v>
      </c>
      <c r="S1544">
        <f>IF($A1544="",0,IF(COUNTIF($R$2:$R1544,$R1544)=1,1,0))</f>
        <v>0</v>
      </c>
      <c r="T1544">
        <f t="shared" si="369"/>
        <v>1537</v>
      </c>
      <c r="U1544" t="str">
        <f>IF($A1544="","",IF($A1544=经营数据!$B$3,COUNTIFS($S$2:$S$3000,1,$A$2:$A$3000,$A1544,$T$2:$T$3000,"&lt;"&amp;$T1544)+1,""))</f>
        <v/>
      </c>
      <c r="V1544" t="str">
        <f t="shared" si="370"/>
        <v>锦江都城武汉体育中心店|服务量</v>
      </c>
      <c r="W1544">
        <f t="shared" si="371"/>
        <v>1537</v>
      </c>
      <c r="X1544" t="str">
        <f t="shared" si="372"/>
        <v>锦江都城武汉体育中心店|平均房价</v>
      </c>
      <c r="Y1544">
        <f t="shared" si="373"/>
        <v>1537</v>
      </c>
      <c r="Z1544">
        <f>IF($A1544="",0,IF(AND($M1544=1,$A1544=经营数据!$B$3,$J1544=经营数据!$BA$5,OR($I1544=经营数据!$BA$4,COUNTIF(经营数据!$AA$9:$AA$38,$I1544)&gt;0)),1,0))</f>
        <v>0</v>
      </c>
      <c r="AA1544" t="str">
        <f t="shared" si="374"/>
        <v/>
      </c>
      <c r="AB1544" t="str">
        <f t="shared" si="375"/>
        <v/>
      </c>
      <c r="AC1544">
        <f>IF($A1544="",0,IF(COUNTIF($A$2:$A1544,$A1544)=1,1,0))</f>
        <v>0</v>
      </c>
      <c r="AD1544">
        <f t="shared" si="376"/>
        <v>18</v>
      </c>
      <c r="AE1544" t="str">
        <f t="shared" si="377"/>
        <v>锦江都城武汉体育中心店|平均房价（元/间）</v>
      </c>
    </row>
    <row r="1545" spans="1:31" x14ac:dyDescent="0.4">
      <c r="A1545" t="str">
        <f>IF(原始经营数据!$D1546="","",原始经营数据!$D1546)</f>
        <v>华安锦江封闭式商业不动产证券投资基金</v>
      </c>
      <c r="B1545" t="str">
        <f>IF(原始经营数据!$D1546="","",T(原始经营数据!$E1546))</f>
        <v>锦江都城武汉体育中心店</v>
      </c>
      <c r="C1545" t="str">
        <f>IF(原始经营数据!$D1546="","",原始经营数据!$F1546)</f>
        <v>2024</v>
      </c>
      <c r="D1545" t="str">
        <f>IF(原始经营数据!$D1546="","",原始经营数据!$H1546)</f>
        <v>平均入住率</v>
      </c>
      <c r="E1545">
        <f>IF(原始经营数据!$D1546="","",原始经营数据!$I1546)</f>
        <v>61.72</v>
      </c>
      <c r="F1545" t="str">
        <f>IF(原始经营数据!$D1546="","",T(原始经营数据!$J1546))</f>
        <v>%</v>
      </c>
      <c r="G1545" t="str">
        <f>IF(原始经营数据!$D1546="","",T(原始经营数据!$K1546))</f>
        <v/>
      </c>
      <c r="H1545" t="str">
        <f>IF(原始经营数据!$D1546="","",原始经营数据!$G1546)</f>
        <v>服务量</v>
      </c>
      <c r="I1545" t="str">
        <f>IF($A1545="","",IF($B1545&lt;&gt;"",$B1545,IF(COUNTIFS(原始经营数据!$D$3:$D$3001,$A1545,原始经营数据!$E$3:$E$3001,"",原始经营数据!$F$3:$F$3001,$C1545,原始经营数据!$H$3:$H$3001,$D1545,原始经营数据!$K$3:$K$3001,$G1545)&gt;1,"基金整体·来源"&amp;原始经营数据!$A1546,"基金整体")))</f>
        <v>锦江都城武汉体育中心店</v>
      </c>
      <c r="J1545" t="str">
        <f t="shared" si="363"/>
        <v>年度</v>
      </c>
      <c r="K1545" t="str">
        <f t="shared" si="364"/>
        <v>平均入住率（%）</v>
      </c>
      <c r="L1545" t="str">
        <f t="shared" si="365"/>
        <v>锦江都城武汉体育中心店|平均入住率（%）|年度</v>
      </c>
      <c r="M1545">
        <f>IF($A1545="",0,IF(COUNTIF($L$2:$L1545,$L1545)=1,1,0))</f>
        <v>0</v>
      </c>
      <c r="N1545">
        <f t="shared" si="366"/>
        <v>20240</v>
      </c>
      <c r="O1545" t="str">
        <f t="shared" si="367"/>
        <v>华安锦江封闭式商业不动产证券投资基金|2024|年度</v>
      </c>
      <c r="P1545">
        <f>IF($A1545="",0,IF(COUNTIF($O$2:$O1545,$O1545)=1,1,0))</f>
        <v>0</v>
      </c>
      <c r="Q1545" t="str">
        <f>IF(AND($P1545=1,$A1545=经营数据!$B$3,$J1545=经营数据!$BA$5),COUNTIFS($P$2:$P$3000,1,$A$2:$A$3000,$A1545,$J$2:$J$3000,$J1545,$N$2:$N$3000,"&lt;"&amp;$N1545)+1,"")</f>
        <v/>
      </c>
      <c r="R1545" t="str">
        <f t="shared" si="368"/>
        <v>华安锦江封闭式商业不动产证券投资基金|锦江都城武汉体育中心店</v>
      </c>
      <c r="S1545">
        <f>IF($A1545="",0,IF(COUNTIF($R$2:$R1545,$R1545)=1,1,0))</f>
        <v>0</v>
      </c>
      <c r="T1545">
        <f t="shared" si="369"/>
        <v>1537</v>
      </c>
      <c r="U1545" t="str">
        <f>IF($A1545="","",IF($A1545=经营数据!$B$3,COUNTIFS($S$2:$S$3000,1,$A$2:$A$3000,$A1545,$T$2:$T$3000,"&lt;"&amp;$T1545)+1,""))</f>
        <v/>
      </c>
      <c r="V1545" t="str">
        <f t="shared" si="370"/>
        <v>锦江都城武汉体育中心店|服务量</v>
      </c>
      <c r="W1545">
        <f t="shared" si="371"/>
        <v>1537</v>
      </c>
      <c r="X1545" t="str">
        <f t="shared" si="372"/>
        <v>锦江都城武汉体育中心店|平均入住率</v>
      </c>
      <c r="Y1545">
        <f t="shared" si="373"/>
        <v>1538</v>
      </c>
      <c r="Z1545">
        <f>IF($A1545="",0,IF(AND($M1545=1,$A1545=经营数据!$B$3,$J1545=经营数据!$BA$5,OR($I1545=经营数据!$BA$4,COUNTIF(经营数据!$AA$9:$AA$38,$I1545)&gt;0)),1,0))</f>
        <v>0</v>
      </c>
      <c r="AA1545" t="str">
        <f t="shared" si="374"/>
        <v/>
      </c>
      <c r="AB1545" t="str">
        <f t="shared" si="375"/>
        <v/>
      </c>
      <c r="AC1545">
        <f>IF($A1545="",0,IF(COUNTIF($A$2:$A1545,$A1545)=1,1,0))</f>
        <v>0</v>
      </c>
      <c r="AD1545">
        <f t="shared" si="376"/>
        <v>18</v>
      </c>
      <c r="AE1545" t="str">
        <f t="shared" si="377"/>
        <v>锦江都城武汉体育中心店|平均入住率（%）</v>
      </c>
    </row>
    <row r="1546" spans="1:31" x14ac:dyDescent="0.4">
      <c r="A1546" t="str">
        <f>IF(原始经营数据!$D1547="","",原始经营数据!$D1547)</f>
        <v>华安锦江封闭式商业不动产证券投资基金</v>
      </c>
      <c r="B1546" t="str">
        <f>IF(原始经营数据!$D1547="","",T(原始经营数据!$E1547))</f>
        <v>锦江都城武汉体育中心店</v>
      </c>
      <c r="C1546" t="str">
        <f>IF(原始经营数据!$D1547="","",原始经营数据!$F1547)</f>
        <v>2024</v>
      </c>
      <c r="D1546" t="str">
        <f>IF(原始经营数据!$D1547="","",原始经营数据!$H1547)</f>
        <v>可供房数</v>
      </c>
      <c r="E1546">
        <f>IF(原始经营数据!$D1547="","",原始经营数据!$I1547)</f>
        <v>7542</v>
      </c>
      <c r="F1546" t="str">
        <f>IF(原始经营数据!$D1547="","",T(原始经营数据!$J1547))</f>
        <v>间</v>
      </c>
      <c r="G1546" t="str">
        <f>IF(原始经营数据!$D1547="","",T(原始经营数据!$K1547))</f>
        <v/>
      </c>
      <c r="H1546" t="str">
        <f>IF(原始经营数据!$D1547="","",原始经营数据!$G1547)</f>
        <v>服务量</v>
      </c>
      <c r="I1546" t="str">
        <f>IF($A1546="","",IF($B1546&lt;&gt;"",$B1546,IF(COUNTIFS(原始经营数据!$D$3:$D$3001,$A1546,原始经营数据!$E$3:$E$3001,"",原始经营数据!$F$3:$F$3001,$C1546,原始经营数据!$H$3:$H$3001,$D1546,原始经营数据!$K$3:$K$3001,$G1546)&gt;1,"基金整体·来源"&amp;原始经营数据!$A1547,"基金整体")))</f>
        <v>锦江都城武汉体育中心店</v>
      </c>
      <c r="J1546" t="str">
        <f t="shared" si="363"/>
        <v>年度</v>
      </c>
      <c r="K1546" t="str">
        <f t="shared" si="364"/>
        <v>可供房数（间）</v>
      </c>
      <c r="L1546" t="str">
        <f t="shared" si="365"/>
        <v>锦江都城武汉体育中心店|可供房数（间）|年度</v>
      </c>
      <c r="M1546">
        <f>IF($A1546="",0,IF(COUNTIF($L$2:$L1546,$L1546)=1,1,0))</f>
        <v>0</v>
      </c>
      <c r="N1546">
        <f t="shared" si="366"/>
        <v>20240</v>
      </c>
      <c r="O1546" t="str">
        <f t="shared" si="367"/>
        <v>华安锦江封闭式商业不动产证券投资基金|2024|年度</v>
      </c>
      <c r="P1546">
        <f>IF($A1546="",0,IF(COUNTIF($O$2:$O1546,$O1546)=1,1,0))</f>
        <v>0</v>
      </c>
      <c r="Q1546" t="str">
        <f>IF(AND($P1546=1,$A1546=经营数据!$B$3,$J1546=经营数据!$BA$5),COUNTIFS($P$2:$P$3000,1,$A$2:$A$3000,$A1546,$J$2:$J$3000,$J1546,$N$2:$N$3000,"&lt;"&amp;$N1546)+1,"")</f>
        <v/>
      </c>
      <c r="R1546" t="str">
        <f t="shared" si="368"/>
        <v>华安锦江封闭式商业不动产证券投资基金|锦江都城武汉体育中心店</v>
      </c>
      <c r="S1546">
        <f>IF($A1546="",0,IF(COUNTIF($R$2:$R1546,$R1546)=1,1,0))</f>
        <v>0</v>
      </c>
      <c r="T1546">
        <f t="shared" si="369"/>
        <v>1537</v>
      </c>
      <c r="U1546" t="str">
        <f>IF($A1546="","",IF($A1546=经营数据!$B$3,COUNTIFS($S$2:$S$3000,1,$A$2:$A$3000,$A1546,$T$2:$T$3000,"&lt;"&amp;$T1546)+1,""))</f>
        <v/>
      </c>
      <c r="V1546" t="str">
        <f t="shared" si="370"/>
        <v>锦江都城武汉体育中心店|服务量</v>
      </c>
      <c r="W1546">
        <f t="shared" si="371"/>
        <v>1537</v>
      </c>
      <c r="X1546" t="str">
        <f t="shared" si="372"/>
        <v>锦江都城武汉体育中心店|可供房数</v>
      </c>
      <c r="Y1546">
        <f t="shared" si="373"/>
        <v>1539</v>
      </c>
      <c r="Z1546">
        <f>IF($A1546="",0,IF(AND($M1546=1,$A1546=经营数据!$B$3,$J1546=经营数据!$BA$5,OR($I1546=经营数据!$BA$4,COUNTIF(经营数据!$AA$9:$AA$38,$I1546)&gt;0)),1,0))</f>
        <v>0</v>
      </c>
      <c r="AA1546" t="str">
        <f t="shared" si="374"/>
        <v/>
      </c>
      <c r="AB1546" t="str">
        <f t="shared" si="375"/>
        <v/>
      </c>
      <c r="AC1546">
        <f>IF($A1546="",0,IF(COUNTIF($A$2:$A1546,$A1546)=1,1,0))</f>
        <v>0</v>
      </c>
      <c r="AD1546">
        <f t="shared" si="376"/>
        <v>18</v>
      </c>
      <c r="AE1546" t="str">
        <f t="shared" si="377"/>
        <v>锦江都城武汉体育中心店|可供房数（间）</v>
      </c>
    </row>
    <row r="1547" spans="1:31" x14ac:dyDescent="0.4">
      <c r="A1547" t="str">
        <f>IF(原始经营数据!$D1548="","",原始经营数据!$D1548)</f>
        <v>华安锦江封闭式商业不动产证券投资基金</v>
      </c>
      <c r="B1547" t="str">
        <f>IF(原始经营数据!$D1548="","",T(原始经营数据!$E1548))</f>
        <v>锦江都城武汉体育中心店</v>
      </c>
      <c r="C1547" t="str">
        <f>IF(原始经营数据!$D1548="","",原始经营数据!$F1548)</f>
        <v>2025</v>
      </c>
      <c r="D1547" t="str">
        <f>IF(原始经营数据!$D1548="","",原始经营数据!$H1548)</f>
        <v>平均房价</v>
      </c>
      <c r="E1547">
        <f>IF(原始经营数据!$D1548="","",原始经营数据!$I1548)</f>
        <v>298.99</v>
      </c>
      <c r="F1547" t="str">
        <f>IF(原始经营数据!$D1548="","",T(原始经营数据!$J1548))</f>
        <v>元/间</v>
      </c>
      <c r="G1547" t="str">
        <f>IF(原始经营数据!$D1548="","",T(原始经营数据!$K1548))</f>
        <v/>
      </c>
      <c r="H1547" t="str">
        <f>IF(原始经营数据!$D1548="","",原始经营数据!$G1548)</f>
        <v>服务量</v>
      </c>
      <c r="I1547" t="str">
        <f>IF($A1547="","",IF($B1547&lt;&gt;"",$B1547,IF(COUNTIFS(原始经营数据!$D$3:$D$3001,$A1547,原始经营数据!$E$3:$E$3001,"",原始经营数据!$F$3:$F$3001,$C1547,原始经营数据!$H$3:$H$3001,$D1547,原始经营数据!$K$3:$K$3001,$G1547)&gt;1,"基金整体·来源"&amp;原始经营数据!$A1548,"基金整体")))</f>
        <v>锦江都城武汉体育中心店</v>
      </c>
      <c r="J1547" t="str">
        <f t="shared" si="363"/>
        <v>年度</v>
      </c>
      <c r="K1547" t="str">
        <f t="shared" si="364"/>
        <v>平均房价（元/间）</v>
      </c>
      <c r="L1547" t="str">
        <f t="shared" si="365"/>
        <v>锦江都城武汉体育中心店|平均房价（元/间）|年度</v>
      </c>
      <c r="M1547">
        <f>IF($A1547="",0,IF(COUNTIF($L$2:$L1547,$L1547)=1,1,0))</f>
        <v>0</v>
      </c>
      <c r="N1547">
        <f t="shared" si="366"/>
        <v>20250</v>
      </c>
      <c r="O1547" t="str">
        <f t="shared" si="367"/>
        <v>华安锦江封闭式商业不动产证券投资基金|2025|年度</v>
      </c>
      <c r="P1547">
        <f>IF($A1547="",0,IF(COUNTIF($O$2:$O1547,$O1547)=1,1,0))</f>
        <v>0</v>
      </c>
      <c r="Q1547" t="str">
        <f>IF(AND($P1547=1,$A1547=经营数据!$B$3,$J1547=经营数据!$BA$5),COUNTIFS($P$2:$P$3000,1,$A$2:$A$3000,$A1547,$J$2:$J$3000,$J1547,$N$2:$N$3000,"&lt;"&amp;$N1547)+1,"")</f>
        <v/>
      </c>
      <c r="R1547" t="str">
        <f t="shared" si="368"/>
        <v>华安锦江封闭式商业不动产证券投资基金|锦江都城武汉体育中心店</v>
      </c>
      <c r="S1547">
        <f>IF($A1547="",0,IF(COUNTIF($R$2:$R1547,$R1547)=1,1,0))</f>
        <v>0</v>
      </c>
      <c r="T1547">
        <f t="shared" si="369"/>
        <v>1537</v>
      </c>
      <c r="U1547" t="str">
        <f>IF($A1547="","",IF($A1547=经营数据!$B$3,COUNTIFS($S$2:$S$3000,1,$A$2:$A$3000,$A1547,$T$2:$T$3000,"&lt;"&amp;$T1547)+1,""))</f>
        <v/>
      </c>
      <c r="V1547" t="str">
        <f t="shared" si="370"/>
        <v>锦江都城武汉体育中心店|服务量</v>
      </c>
      <c r="W1547">
        <f t="shared" si="371"/>
        <v>1537</v>
      </c>
      <c r="X1547" t="str">
        <f t="shared" si="372"/>
        <v>锦江都城武汉体育中心店|平均房价</v>
      </c>
      <c r="Y1547">
        <f t="shared" si="373"/>
        <v>1537</v>
      </c>
      <c r="Z1547">
        <f>IF($A1547="",0,IF(AND($M1547=1,$A1547=经营数据!$B$3,$J1547=经营数据!$BA$5,OR($I1547=经营数据!$BA$4,COUNTIF(经营数据!$AA$9:$AA$38,$I1547)&gt;0)),1,0))</f>
        <v>0</v>
      </c>
      <c r="AA1547" t="str">
        <f t="shared" si="374"/>
        <v/>
      </c>
      <c r="AB1547" t="str">
        <f t="shared" si="375"/>
        <v/>
      </c>
      <c r="AC1547">
        <f>IF($A1547="",0,IF(COUNTIF($A$2:$A1547,$A1547)=1,1,0))</f>
        <v>0</v>
      </c>
      <c r="AD1547">
        <f t="shared" si="376"/>
        <v>18</v>
      </c>
      <c r="AE1547" t="str">
        <f t="shared" si="377"/>
        <v>锦江都城武汉体育中心店|平均房价（元/间）</v>
      </c>
    </row>
    <row r="1548" spans="1:31" x14ac:dyDescent="0.4">
      <c r="A1548" t="str">
        <f>IF(原始经营数据!$D1549="","",原始经营数据!$D1549)</f>
        <v>华安锦江封闭式商业不动产证券投资基金</v>
      </c>
      <c r="B1548" t="str">
        <f>IF(原始经营数据!$D1549="","",T(原始经营数据!$E1549))</f>
        <v>锦江都城武汉体育中心店</v>
      </c>
      <c r="C1548" t="str">
        <f>IF(原始经营数据!$D1549="","",原始经营数据!$F1549)</f>
        <v>2025</v>
      </c>
      <c r="D1548" t="str">
        <f>IF(原始经营数据!$D1549="","",原始经营数据!$H1549)</f>
        <v>平均入住率</v>
      </c>
      <c r="E1548">
        <f>IF(原始经营数据!$D1549="","",原始经营数据!$I1549)</f>
        <v>66.02</v>
      </c>
      <c r="F1548" t="str">
        <f>IF(原始经营数据!$D1549="","",T(原始经营数据!$J1549))</f>
        <v>%</v>
      </c>
      <c r="G1548" t="str">
        <f>IF(原始经营数据!$D1549="","",T(原始经营数据!$K1549))</f>
        <v/>
      </c>
      <c r="H1548" t="str">
        <f>IF(原始经营数据!$D1549="","",原始经营数据!$G1549)</f>
        <v>服务量</v>
      </c>
      <c r="I1548" t="str">
        <f>IF($A1548="","",IF($B1548&lt;&gt;"",$B1548,IF(COUNTIFS(原始经营数据!$D$3:$D$3001,$A1548,原始经营数据!$E$3:$E$3001,"",原始经营数据!$F$3:$F$3001,$C1548,原始经营数据!$H$3:$H$3001,$D1548,原始经营数据!$K$3:$K$3001,$G1548)&gt;1,"基金整体·来源"&amp;原始经营数据!$A1549,"基金整体")))</f>
        <v>锦江都城武汉体育中心店</v>
      </c>
      <c r="J1548" t="str">
        <f t="shared" si="363"/>
        <v>年度</v>
      </c>
      <c r="K1548" t="str">
        <f t="shared" si="364"/>
        <v>平均入住率（%）</v>
      </c>
      <c r="L1548" t="str">
        <f t="shared" si="365"/>
        <v>锦江都城武汉体育中心店|平均入住率（%）|年度</v>
      </c>
      <c r="M1548">
        <f>IF($A1548="",0,IF(COUNTIF($L$2:$L1548,$L1548)=1,1,0))</f>
        <v>0</v>
      </c>
      <c r="N1548">
        <f t="shared" si="366"/>
        <v>20250</v>
      </c>
      <c r="O1548" t="str">
        <f t="shared" si="367"/>
        <v>华安锦江封闭式商业不动产证券投资基金|2025|年度</v>
      </c>
      <c r="P1548">
        <f>IF($A1548="",0,IF(COUNTIF($O$2:$O1548,$O1548)=1,1,0))</f>
        <v>0</v>
      </c>
      <c r="Q1548" t="str">
        <f>IF(AND($P1548=1,$A1548=经营数据!$B$3,$J1548=经营数据!$BA$5),COUNTIFS($P$2:$P$3000,1,$A$2:$A$3000,$A1548,$J$2:$J$3000,$J1548,$N$2:$N$3000,"&lt;"&amp;$N1548)+1,"")</f>
        <v/>
      </c>
      <c r="R1548" t="str">
        <f t="shared" si="368"/>
        <v>华安锦江封闭式商业不动产证券投资基金|锦江都城武汉体育中心店</v>
      </c>
      <c r="S1548">
        <f>IF($A1548="",0,IF(COUNTIF($R$2:$R1548,$R1548)=1,1,0))</f>
        <v>0</v>
      </c>
      <c r="T1548">
        <f t="shared" si="369"/>
        <v>1537</v>
      </c>
      <c r="U1548" t="str">
        <f>IF($A1548="","",IF($A1548=经营数据!$B$3,COUNTIFS($S$2:$S$3000,1,$A$2:$A$3000,$A1548,$T$2:$T$3000,"&lt;"&amp;$T1548)+1,""))</f>
        <v/>
      </c>
      <c r="V1548" t="str">
        <f t="shared" si="370"/>
        <v>锦江都城武汉体育中心店|服务量</v>
      </c>
      <c r="W1548">
        <f t="shared" si="371"/>
        <v>1537</v>
      </c>
      <c r="X1548" t="str">
        <f t="shared" si="372"/>
        <v>锦江都城武汉体育中心店|平均入住率</v>
      </c>
      <c r="Y1548">
        <f t="shared" si="373"/>
        <v>1538</v>
      </c>
      <c r="Z1548">
        <f>IF($A1548="",0,IF(AND($M1548=1,$A1548=经营数据!$B$3,$J1548=经营数据!$BA$5,OR($I1548=经营数据!$BA$4,COUNTIF(经营数据!$AA$9:$AA$38,$I1548)&gt;0)),1,0))</f>
        <v>0</v>
      </c>
      <c r="AA1548" t="str">
        <f t="shared" si="374"/>
        <v/>
      </c>
      <c r="AB1548" t="str">
        <f t="shared" si="375"/>
        <v/>
      </c>
      <c r="AC1548">
        <f>IF($A1548="",0,IF(COUNTIF($A$2:$A1548,$A1548)=1,1,0))</f>
        <v>0</v>
      </c>
      <c r="AD1548">
        <f t="shared" si="376"/>
        <v>18</v>
      </c>
      <c r="AE1548" t="str">
        <f t="shared" si="377"/>
        <v>锦江都城武汉体育中心店|平均入住率（%）</v>
      </c>
    </row>
    <row r="1549" spans="1:31" x14ac:dyDescent="0.4">
      <c r="A1549" t="str">
        <f>IF(原始经营数据!$D1550="","",原始经营数据!$D1550)</f>
        <v>华安锦江封闭式商业不动产证券投资基金</v>
      </c>
      <c r="B1549" t="str">
        <f>IF(原始经营数据!$D1550="","",T(原始经营数据!$E1550))</f>
        <v>锦江都城武汉体育中心店</v>
      </c>
      <c r="C1549" t="str">
        <f>IF(原始经营数据!$D1550="","",原始经营数据!$F1550)</f>
        <v>2025</v>
      </c>
      <c r="D1549" t="str">
        <f>IF(原始经营数据!$D1550="","",原始经营数据!$H1550)</f>
        <v>可供房数</v>
      </c>
      <c r="E1549">
        <f>IF(原始经营数据!$D1550="","",原始经营数据!$I1550)</f>
        <v>56936</v>
      </c>
      <c r="F1549" t="str">
        <f>IF(原始经营数据!$D1550="","",T(原始经营数据!$J1550))</f>
        <v>间</v>
      </c>
      <c r="G1549" t="str">
        <f>IF(原始经营数据!$D1550="","",T(原始经营数据!$K1550))</f>
        <v/>
      </c>
      <c r="H1549" t="str">
        <f>IF(原始经营数据!$D1550="","",原始经营数据!$G1550)</f>
        <v>服务量</v>
      </c>
      <c r="I1549" t="str">
        <f>IF($A1549="","",IF($B1549&lt;&gt;"",$B1549,IF(COUNTIFS(原始经营数据!$D$3:$D$3001,$A1549,原始经营数据!$E$3:$E$3001,"",原始经营数据!$F$3:$F$3001,$C1549,原始经营数据!$H$3:$H$3001,$D1549,原始经营数据!$K$3:$K$3001,$G1549)&gt;1,"基金整体·来源"&amp;原始经营数据!$A1550,"基金整体")))</f>
        <v>锦江都城武汉体育中心店</v>
      </c>
      <c r="J1549" t="str">
        <f t="shared" si="363"/>
        <v>年度</v>
      </c>
      <c r="K1549" t="str">
        <f t="shared" si="364"/>
        <v>可供房数（间）</v>
      </c>
      <c r="L1549" t="str">
        <f t="shared" si="365"/>
        <v>锦江都城武汉体育中心店|可供房数（间）|年度</v>
      </c>
      <c r="M1549">
        <f>IF($A1549="",0,IF(COUNTIF($L$2:$L1549,$L1549)=1,1,0))</f>
        <v>0</v>
      </c>
      <c r="N1549">
        <f t="shared" si="366"/>
        <v>20250</v>
      </c>
      <c r="O1549" t="str">
        <f t="shared" si="367"/>
        <v>华安锦江封闭式商业不动产证券投资基金|2025|年度</v>
      </c>
      <c r="P1549">
        <f>IF($A1549="",0,IF(COUNTIF($O$2:$O1549,$O1549)=1,1,0))</f>
        <v>0</v>
      </c>
      <c r="Q1549" t="str">
        <f>IF(AND($P1549=1,$A1549=经营数据!$B$3,$J1549=经营数据!$BA$5),COUNTIFS($P$2:$P$3000,1,$A$2:$A$3000,$A1549,$J$2:$J$3000,$J1549,$N$2:$N$3000,"&lt;"&amp;$N1549)+1,"")</f>
        <v/>
      </c>
      <c r="R1549" t="str">
        <f t="shared" si="368"/>
        <v>华安锦江封闭式商业不动产证券投资基金|锦江都城武汉体育中心店</v>
      </c>
      <c r="S1549">
        <f>IF($A1549="",0,IF(COUNTIF($R$2:$R1549,$R1549)=1,1,0))</f>
        <v>0</v>
      </c>
      <c r="T1549">
        <f t="shared" si="369"/>
        <v>1537</v>
      </c>
      <c r="U1549" t="str">
        <f>IF($A1549="","",IF($A1549=经营数据!$B$3,COUNTIFS($S$2:$S$3000,1,$A$2:$A$3000,$A1549,$T$2:$T$3000,"&lt;"&amp;$T1549)+1,""))</f>
        <v/>
      </c>
      <c r="V1549" t="str">
        <f t="shared" si="370"/>
        <v>锦江都城武汉体育中心店|服务量</v>
      </c>
      <c r="W1549">
        <f t="shared" si="371"/>
        <v>1537</v>
      </c>
      <c r="X1549" t="str">
        <f t="shared" si="372"/>
        <v>锦江都城武汉体育中心店|可供房数</v>
      </c>
      <c r="Y1549">
        <f t="shared" si="373"/>
        <v>1539</v>
      </c>
      <c r="Z1549">
        <f>IF($A1549="",0,IF(AND($M1549=1,$A1549=经营数据!$B$3,$J1549=经营数据!$BA$5,OR($I1549=经营数据!$BA$4,COUNTIF(经营数据!$AA$9:$AA$38,$I1549)&gt;0)),1,0))</f>
        <v>0</v>
      </c>
      <c r="AA1549" t="str">
        <f t="shared" si="374"/>
        <v/>
      </c>
      <c r="AB1549" t="str">
        <f t="shared" si="375"/>
        <v/>
      </c>
      <c r="AC1549">
        <f>IF($A1549="",0,IF(COUNTIF($A$2:$A1549,$A1549)=1,1,0))</f>
        <v>0</v>
      </c>
      <c r="AD1549">
        <f t="shared" si="376"/>
        <v>18</v>
      </c>
      <c r="AE1549" t="str">
        <f t="shared" si="377"/>
        <v>锦江都城武汉体育中心店|可供房数（间）</v>
      </c>
    </row>
    <row r="1550" spans="1:31" x14ac:dyDescent="0.4">
      <c r="A1550" t="str">
        <f>IF(原始经营数据!$D1551="","",原始经营数据!$D1551)</f>
        <v>华安锦江封闭式商业不动产证券投资基金</v>
      </c>
      <c r="B1550" t="str">
        <f>IF(原始经营数据!$D1551="","",T(原始经营数据!$E1551))</f>
        <v>锦江都城武汉积玉桥店</v>
      </c>
      <c r="C1550" t="str">
        <f>IF(原始经营数据!$D1551="","",原始经营数据!$F1551)</f>
        <v>2022</v>
      </c>
      <c r="D1550" t="str">
        <f>IF(原始经营数据!$D1551="","",原始经营数据!$H1551)</f>
        <v>平均房价</v>
      </c>
      <c r="E1550">
        <f>IF(原始经营数据!$D1551="","",原始经营数据!$I1551)</f>
        <v>259.88</v>
      </c>
      <c r="F1550" t="str">
        <f>IF(原始经营数据!$D1551="","",T(原始经营数据!$J1551))</f>
        <v>元/间</v>
      </c>
      <c r="G1550" t="str">
        <f>IF(原始经营数据!$D1551="","",T(原始经营数据!$K1551))</f>
        <v/>
      </c>
      <c r="H1550" t="str">
        <f>IF(原始经营数据!$D1551="","",原始经营数据!$G1551)</f>
        <v>服务量</v>
      </c>
      <c r="I1550" t="str">
        <f>IF($A1550="","",IF($B1550&lt;&gt;"",$B1550,IF(COUNTIFS(原始经营数据!$D$3:$D$3001,$A1550,原始经营数据!$E$3:$E$3001,"",原始经营数据!$F$3:$F$3001,$C1550,原始经营数据!$H$3:$H$3001,$D1550,原始经营数据!$K$3:$K$3001,$G1550)&gt;1,"基金整体·来源"&amp;原始经营数据!$A1551,"基金整体")))</f>
        <v>锦江都城武汉积玉桥店</v>
      </c>
      <c r="J1550" t="str">
        <f t="shared" si="363"/>
        <v>年度</v>
      </c>
      <c r="K1550" t="str">
        <f t="shared" si="364"/>
        <v>平均房价（元/间）</v>
      </c>
      <c r="L1550" t="str">
        <f t="shared" si="365"/>
        <v>锦江都城武汉积玉桥店|平均房价（元/间）|年度</v>
      </c>
      <c r="M1550">
        <f>IF($A1550="",0,IF(COUNTIF($L$2:$L1550,$L1550)=1,1,0))</f>
        <v>1</v>
      </c>
      <c r="N1550">
        <f t="shared" si="366"/>
        <v>20220</v>
      </c>
      <c r="O1550" t="str">
        <f t="shared" si="367"/>
        <v>华安锦江封闭式商业不动产证券投资基金|2022|年度</v>
      </c>
      <c r="P1550">
        <f>IF($A1550="",0,IF(COUNTIF($O$2:$O1550,$O1550)=1,1,0))</f>
        <v>0</v>
      </c>
      <c r="Q1550" t="str">
        <f>IF(AND($P1550=1,$A1550=经营数据!$B$3,$J1550=经营数据!$BA$5),COUNTIFS($P$2:$P$3000,1,$A$2:$A$3000,$A1550,$J$2:$J$3000,$J1550,$N$2:$N$3000,"&lt;"&amp;$N1550)+1,"")</f>
        <v/>
      </c>
      <c r="R1550" t="str">
        <f t="shared" si="368"/>
        <v>华安锦江封闭式商业不动产证券投资基金|锦江都城武汉积玉桥店</v>
      </c>
      <c r="S1550">
        <f>IF($A1550="",0,IF(COUNTIF($R$2:$R1550,$R1550)=1,1,0))</f>
        <v>1</v>
      </c>
      <c r="T1550">
        <f t="shared" si="369"/>
        <v>1549</v>
      </c>
      <c r="U1550" t="str">
        <f>IF($A1550="","",IF($A1550=经营数据!$B$3,COUNTIFS($S$2:$S$3000,1,$A$2:$A$3000,$A1550,$T$2:$T$3000,"&lt;"&amp;$T1550)+1,""))</f>
        <v/>
      </c>
      <c r="V1550" t="str">
        <f t="shared" si="370"/>
        <v>锦江都城武汉积玉桥店|服务量</v>
      </c>
      <c r="W1550">
        <f t="shared" si="371"/>
        <v>1549</v>
      </c>
      <c r="X1550" t="str">
        <f t="shared" si="372"/>
        <v>锦江都城武汉积玉桥店|平均房价</v>
      </c>
      <c r="Y1550">
        <f t="shared" si="373"/>
        <v>1549</v>
      </c>
      <c r="Z1550">
        <f>IF($A1550="",0,IF(AND($M1550=1,$A1550=经营数据!$B$3,$J1550=经营数据!$BA$5,OR($I1550=经营数据!$BA$4,COUNTIF(经营数据!$AA$9:$AA$38,$I1550)&gt;0)),1,0))</f>
        <v>0</v>
      </c>
      <c r="AA1550" t="str">
        <f t="shared" si="374"/>
        <v/>
      </c>
      <c r="AB1550" t="str">
        <f t="shared" si="375"/>
        <v/>
      </c>
      <c r="AC1550">
        <f>IF($A1550="",0,IF(COUNTIF($A$2:$A1550,$A1550)=1,1,0))</f>
        <v>0</v>
      </c>
      <c r="AD1550">
        <f t="shared" si="376"/>
        <v>18</v>
      </c>
      <c r="AE1550" t="str">
        <f t="shared" si="377"/>
        <v>锦江都城武汉积玉桥店|平均房价（元/间）</v>
      </c>
    </row>
    <row r="1551" spans="1:31" x14ac:dyDescent="0.4">
      <c r="A1551" t="str">
        <f>IF(原始经营数据!$D1552="","",原始经营数据!$D1552)</f>
        <v>华安锦江封闭式商业不动产证券投资基金</v>
      </c>
      <c r="B1551" t="str">
        <f>IF(原始经营数据!$D1552="","",T(原始经营数据!$E1552))</f>
        <v>锦江都城武汉积玉桥店</v>
      </c>
      <c r="C1551" t="str">
        <f>IF(原始经营数据!$D1552="","",原始经营数据!$F1552)</f>
        <v>2022</v>
      </c>
      <c r="D1551" t="str">
        <f>IF(原始经营数据!$D1552="","",原始经营数据!$H1552)</f>
        <v>平均入住率</v>
      </c>
      <c r="E1551">
        <f>IF(原始经营数据!$D1552="","",原始经营数据!$I1552)</f>
        <v>66.47</v>
      </c>
      <c r="F1551" t="str">
        <f>IF(原始经营数据!$D1552="","",T(原始经营数据!$J1552))</f>
        <v>%</v>
      </c>
      <c r="G1551" t="str">
        <f>IF(原始经营数据!$D1552="","",T(原始经营数据!$K1552))</f>
        <v/>
      </c>
      <c r="H1551" t="str">
        <f>IF(原始经营数据!$D1552="","",原始经营数据!$G1552)</f>
        <v>服务量</v>
      </c>
      <c r="I1551" t="str">
        <f>IF($A1551="","",IF($B1551&lt;&gt;"",$B1551,IF(COUNTIFS(原始经营数据!$D$3:$D$3001,$A1551,原始经营数据!$E$3:$E$3001,"",原始经营数据!$F$3:$F$3001,$C1551,原始经营数据!$H$3:$H$3001,$D1551,原始经营数据!$K$3:$K$3001,$G1551)&gt;1,"基金整体·来源"&amp;原始经营数据!$A1552,"基金整体")))</f>
        <v>锦江都城武汉积玉桥店</v>
      </c>
      <c r="J1551" t="str">
        <f t="shared" si="363"/>
        <v>年度</v>
      </c>
      <c r="K1551" t="str">
        <f t="shared" si="364"/>
        <v>平均入住率（%）</v>
      </c>
      <c r="L1551" t="str">
        <f t="shared" si="365"/>
        <v>锦江都城武汉积玉桥店|平均入住率（%）|年度</v>
      </c>
      <c r="M1551">
        <f>IF($A1551="",0,IF(COUNTIF($L$2:$L1551,$L1551)=1,1,0))</f>
        <v>1</v>
      </c>
      <c r="N1551">
        <f t="shared" si="366"/>
        <v>20220</v>
      </c>
      <c r="O1551" t="str">
        <f t="shared" si="367"/>
        <v>华安锦江封闭式商业不动产证券投资基金|2022|年度</v>
      </c>
      <c r="P1551">
        <f>IF($A1551="",0,IF(COUNTIF($O$2:$O1551,$O1551)=1,1,0))</f>
        <v>0</v>
      </c>
      <c r="Q1551" t="str">
        <f>IF(AND($P1551=1,$A1551=经营数据!$B$3,$J1551=经营数据!$BA$5),COUNTIFS($P$2:$P$3000,1,$A$2:$A$3000,$A1551,$J$2:$J$3000,$J1551,$N$2:$N$3000,"&lt;"&amp;$N1551)+1,"")</f>
        <v/>
      </c>
      <c r="R1551" t="str">
        <f t="shared" si="368"/>
        <v>华安锦江封闭式商业不动产证券投资基金|锦江都城武汉积玉桥店</v>
      </c>
      <c r="S1551">
        <f>IF($A1551="",0,IF(COUNTIF($R$2:$R1551,$R1551)=1,1,0))</f>
        <v>0</v>
      </c>
      <c r="T1551">
        <f t="shared" si="369"/>
        <v>1549</v>
      </c>
      <c r="U1551" t="str">
        <f>IF($A1551="","",IF($A1551=经营数据!$B$3,COUNTIFS($S$2:$S$3000,1,$A$2:$A$3000,$A1551,$T$2:$T$3000,"&lt;"&amp;$T1551)+1,""))</f>
        <v/>
      </c>
      <c r="V1551" t="str">
        <f t="shared" si="370"/>
        <v>锦江都城武汉积玉桥店|服务量</v>
      </c>
      <c r="W1551">
        <f t="shared" si="371"/>
        <v>1549</v>
      </c>
      <c r="X1551" t="str">
        <f t="shared" si="372"/>
        <v>锦江都城武汉积玉桥店|平均入住率</v>
      </c>
      <c r="Y1551">
        <f t="shared" si="373"/>
        <v>1550</v>
      </c>
      <c r="Z1551">
        <f>IF($A1551="",0,IF(AND($M1551=1,$A1551=经营数据!$B$3,$J1551=经营数据!$BA$5,OR($I1551=经营数据!$BA$4,COUNTIF(经营数据!$AA$9:$AA$38,$I1551)&gt;0)),1,0))</f>
        <v>0</v>
      </c>
      <c r="AA1551" t="str">
        <f t="shared" si="374"/>
        <v/>
      </c>
      <c r="AB1551" t="str">
        <f t="shared" si="375"/>
        <v/>
      </c>
      <c r="AC1551">
        <f>IF($A1551="",0,IF(COUNTIF($A$2:$A1551,$A1551)=1,1,0))</f>
        <v>0</v>
      </c>
      <c r="AD1551">
        <f t="shared" si="376"/>
        <v>18</v>
      </c>
      <c r="AE1551" t="str">
        <f t="shared" si="377"/>
        <v>锦江都城武汉积玉桥店|平均入住率（%）</v>
      </c>
    </row>
    <row r="1552" spans="1:31" x14ac:dyDescent="0.4">
      <c r="A1552" t="str">
        <f>IF(原始经营数据!$D1553="","",原始经营数据!$D1553)</f>
        <v>华安锦江封闭式商业不动产证券投资基金</v>
      </c>
      <c r="B1552" t="str">
        <f>IF(原始经营数据!$D1553="","",T(原始经营数据!$E1553))</f>
        <v>锦江都城武汉积玉桥店</v>
      </c>
      <c r="C1552" t="str">
        <f>IF(原始经营数据!$D1553="","",原始经营数据!$F1553)</f>
        <v>2022</v>
      </c>
      <c r="D1552" t="str">
        <f>IF(原始经营数据!$D1553="","",原始经营数据!$H1553)</f>
        <v>可供房数</v>
      </c>
      <c r="E1552">
        <f>IF(原始经营数据!$D1553="","",原始经营数据!$I1553)</f>
        <v>58393</v>
      </c>
      <c r="F1552" t="str">
        <f>IF(原始经营数据!$D1553="","",T(原始经营数据!$J1553))</f>
        <v>间</v>
      </c>
      <c r="G1552" t="str">
        <f>IF(原始经营数据!$D1553="","",T(原始经营数据!$K1553))</f>
        <v/>
      </c>
      <c r="H1552" t="str">
        <f>IF(原始经营数据!$D1553="","",原始经营数据!$G1553)</f>
        <v>服务量</v>
      </c>
      <c r="I1552" t="str">
        <f>IF($A1552="","",IF($B1552&lt;&gt;"",$B1552,IF(COUNTIFS(原始经营数据!$D$3:$D$3001,$A1552,原始经营数据!$E$3:$E$3001,"",原始经营数据!$F$3:$F$3001,$C1552,原始经营数据!$H$3:$H$3001,$D1552,原始经营数据!$K$3:$K$3001,$G1552)&gt;1,"基金整体·来源"&amp;原始经营数据!$A1553,"基金整体")))</f>
        <v>锦江都城武汉积玉桥店</v>
      </c>
      <c r="J1552" t="str">
        <f t="shared" si="363"/>
        <v>年度</v>
      </c>
      <c r="K1552" t="str">
        <f t="shared" si="364"/>
        <v>可供房数（间）</v>
      </c>
      <c r="L1552" t="str">
        <f t="shared" si="365"/>
        <v>锦江都城武汉积玉桥店|可供房数（间）|年度</v>
      </c>
      <c r="M1552">
        <f>IF($A1552="",0,IF(COUNTIF($L$2:$L1552,$L1552)=1,1,0))</f>
        <v>1</v>
      </c>
      <c r="N1552">
        <f t="shared" si="366"/>
        <v>20220</v>
      </c>
      <c r="O1552" t="str">
        <f t="shared" si="367"/>
        <v>华安锦江封闭式商业不动产证券投资基金|2022|年度</v>
      </c>
      <c r="P1552">
        <f>IF($A1552="",0,IF(COUNTIF($O$2:$O1552,$O1552)=1,1,0))</f>
        <v>0</v>
      </c>
      <c r="Q1552" t="str">
        <f>IF(AND($P1552=1,$A1552=经营数据!$B$3,$J1552=经营数据!$BA$5),COUNTIFS($P$2:$P$3000,1,$A$2:$A$3000,$A1552,$J$2:$J$3000,$J1552,$N$2:$N$3000,"&lt;"&amp;$N1552)+1,"")</f>
        <v/>
      </c>
      <c r="R1552" t="str">
        <f t="shared" si="368"/>
        <v>华安锦江封闭式商业不动产证券投资基金|锦江都城武汉积玉桥店</v>
      </c>
      <c r="S1552">
        <f>IF($A1552="",0,IF(COUNTIF($R$2:$R1552,$R1552)=1,1,0))</f>
        <v>0</v>
      </c>
      <c r="T1552">
        <f t="shared" si="369"/>
        <v>1549</v>
      </c>
      <c r="U1552" t="str">
        <f>IF($A1552="","",IF($A1552=经营数据!$B$3,COUNTIFS($S$2:$S$3000,1,$A$2:$A$3000,$A1552,$T$2:$T$3000,"&lt;"&amp;$T1552)+1,""))</f>
        <v/>
      </c>
      <c r="V1552" t="str">
        <f t="shared" si="370"/>
        <v>锦江都城武汉积玉桥店|服务量</v>
      </c>
      <c r="W1552">
        <f t="shared" si="371"/>
        <v>1549</v>
      </c>
      <c r="X1552" t="str">
        <f t="shared" si="372"/>
        <v>锦江都城武汉积玉桥店|可供房数</v>
      </c>
      <c r="Y1552">
        <f t="shared" si="373"/>
        <v>1551</v>
      </c>
      <c r="Z1552">
        <f>IF($A1552="",0,IF(AND($M1552=1,$A1552=经营数据!$B$3,$J1552=经营数据!$BA$5,OR($I1552=经营数据!$BA$4,COUNTIF(经营数据!$AA$9:$AA$38,$I1552)&gt;0)),1,0))</f>
        <v>0</v>
      </c>
      <c r="AA1552" t="str">
        <f t="shared" si="374"/>
        <v/>
      </c>
      <c r="AB1552" t="str">
        <f t="shared" si="375"/>
        <v/>
      </c>
      <c r="AC1552">
        <f>IF($A1552="",0,IF(COUNTIF($A$2:$A1552,$A1552)=1,1,0))</f>
        <v>0</v>
      </c>
      <c r="AD1552">
        <f t="shared" si="376"/>
        <v>18</v>
      </c>
      <c r="AE1552" t="str">
        <f t="shared" si="377"/>
        <v>锦江都城武汉积玉桥店|可供房数（间）</v>
      </c>
    </row>
    <row r="1553" spans="1:31" x14ac:dyDescent="0.4">
      <c r="A1553" t="str">
        <f>IF(原始经营数据!$D1554="","",原始经营数据!$D1554)</f>
        <v>华安锦江封闭式商业不动产证券投资基金</v>
      </c>
      <c r="B1553" t="str">
        <f>IF(原始经营数据!$D1554="","",T(原始经营数据!$E1554))</f>
        <v>锦江都城武汉积玉桥店</v>
      </c>
      <c r="C1553" t="str">
        <f>IF(原始经营数据!$D1554="","",原始经营数据!$F1554)</f>
        <v>2023</v>
      </c>
      <c r="D1553" t="str">
        <f>IF(原始经营数据!$D1554="","",原始经营数据!$H1554)</f>
        <v>平均入住率</v>
      </c>
      <c r="E1553">
        <f>IF(原始经营数据!$D1554="","",原始经营数据!$I1554)</f>
        <v>72.89</v>
      </c>
      <c r="F1553" t="str">
        <f>IF(原始经营数据!$D1554="","",T(原始经营数据!$J1554))</f>
        <v>%</v>
      </c>
      <c r="G1553" t="str">
        <f>IF(原始经营数据!$D1554="","",T(原始经营数据!$K1554))</f>
        <v/>
      </c>
      <c r="H1553" t="str">
        <f>IF(原始经营数据!$D1554="","",原始经营数据!$G1554)</f>
        <v>服务量</v>
      </c>
      <c r="I1553" t="str">
        <f>IF($A1553="","",IF($B1553&lt;&gt;"",$B1553,IF(COUNTIFS(原始经营数据!$D$3:$D$3001,$A1553,原始经营数据!$E$3:$E$3001,"",原始经营数据!$F$3:$F$3001,$C1553,原始经营数据!$H$3:$H$3001,$D1553,原始经营数据!$K$3:$K$3001,$G1553)&gt;1,"基金整体·来源"&amp;原始经营数据!$A1554,"基金整体")))</f>
        <v>锦江都城武汉积玉桥店</v>
      </c>
      <c r="J1553" t="str">
        <f t="shared" si="363"/>
        <v>年度</v>
      </c>
      <c r="K1553" t="str">
        <f t="shared" si="364"/>
        <v>平均入住率（%）</v>
      </c>
      <c r="L1553" t="str">
        <f t="shared" si="365"/>
        <v>锦江都城武汉积玉桥店|平均入住率（%）|年度</v>
      </c>
      <c r="M1553">
        <f>IF($A1553="",0,IF(COUNTIF($L$2:$L1553,$L1553)=1,1,0))</f>
        <v>0</v>
      </c>
      <c r="N1553">
        <f t="shared" si="366"/>
        <v>20230</v>
      </c>
      <c r="O1553" t="str">
        <f t="shared" si="367"/>
        <v>华安锦江封闭式商业不动产证券投资基金|2023|年度</v>
      </c>
      <c r="P1553">
        <f>IF($A1553="",0,IF(COUNTIF($O$2:$O1553,$O1553)=1,1,0))</f>
        <v>0</v>
      </c>
      <c r="Q1553" t="str">
        <f>IF(AND($P1553=1,$A1553=经营数据!$B$3,$J1553=经营数据!$BA$5),COUNTIFS($P$2:$P$3000,1,$A$2:$A$3000,$A1553,$J$2:$J$3000,$J1553,$N$2:$N$3000,"&lt;"&amp;$N1553)+1,"")</f>
        <v/>
      </c>
      <c r="R1553" t="str">
        <f t="shared" si="368"/>
        <v>华安锦江封闭式商业不动产证券投资基金|锦江都城武汉积玉桥店</v>
      </c>
      <c r="S1553">
        <f>IF($A1553="",0,IF(COUNTIF($R$2:$R1553,$R1553)=1,1,0))</f>
        <v>0</v>
      </c>
      <c r="T1553">
        <f t="shared" si="369"/>
        <v>1549</v>
      </c>
      <c r="U1553" t="str">
        <f>IF($A1553="","",IF($A1553=经营数据!$B$3,COUNTIFS($S$2:$S$3000,1,$A$2:$A$3000,$A1553,$T$2:$T$3000,"&lt;"&amp;$T1553)+1,""))</f>
        <v/>
      </c>
      <c r="V1553" t="str">
        <f t="shared" si="370"/>
        <v>锦江都城武汉积玉桥店|服务量</v>
      </c>
      <c r="W1553">
        <f t="shared" si="371"/>
        <v>1549</v>
      </c>
      <c r="X1553" t="str">
        <f t="shared" si="372"/>
        <v>锦江都城武汉积玉桥店|平均入住率</v>
      </c>
      <c r="Y1553">
        <f t="shared" si="373"/>
        <v>1550</v>
      </c>
      <c r="Z1553">
        <f>IF($A1553="",0,IF(AND($M1553=1,$A1553=经营数据!$B$3,$J1553=经营数据!$BA$5,OR($I1553=经营数据!$BA$4,COUNTIF(经营数据!$AA$9:$AA$38,$I1553)&gt;0)),1,0))</f>
        <v>0</v>
      </c>
      <c r="AA1553" t="str">
        <f t="shared" si="374"/>
        <v/>
      </c>
      <c r="AB1553" t="str">
        <f t="shared" si="375"/>
        <v/>
      </c>
      <c r="AC1553">
        <f>IF($A1553="",0,IF(COUNTIF($A$2:$A1553,$A1553)=1,1,0))</f>
        <v>0</v>
      </c>
      <c r="AD1553">
        <f t="shared" si="376"/>
        <v>18</v>
      </c>
      <c r="AE1553" t="str">
        <f t="shared" si="377"/>
        <v>锦江都城武汉积玉桥店|平均入住率（%）</v>
      </c>
    </row>
    <row r="1554" spans="1:31" x14ac:dyDescent="0.4">
      <c r="A1554" t="str">
        <f>IF(原始经营数据!$D1555="","",原始经营数据!$D1555)</f>
        <v>华安锦江封闭式商业不动产证券投资基金</v>
      </c>
      <c r="B1554" t="str">
        <f>IF(原始经营数据!$D1555="","",T(原始经营数据!$E1555))</f>
        <v>锦江都城武汉积玉桥店</v>
      </c>
      <c r="C1554" t="str">
        <f>IF(原始经营数据!$D1555="","",原始经营数据!$F1555)</f>
        <v>2023</v>
      </c>
      <c r="D1554" t="str">
        <f>IF(原始经营数据!$D1555="","",原始经营数据!$H1555)</f>
        <v>平均房价</v>
      </c>
      <c r="E1554">
        <f>IF(原始经营数据!$D1555="","",原始经营数据!$I1555)</f>
        <v>315.97000000000003</v>
      </c>
      <c r="F1554" t="str">
        <f>IF(原始经营数据!$D1555="","",T(原始经营数据!$J1555))</f>
        <v>元/间</v>
      </c>
      <c r="G1554" t="str">
        <f>IF(原始经营数据!$D1555="","",T(原始经营数据!$K1555))</f>
        <v/>
      </c>
      <c r="H1554" t="str">
        <f>IF(原始经营数据!$D1555="","",原始经营数据!$G1555)</f>
        <v>服务量</v>
      </c>
      <c r="I1554" t="str">
        <f>IF($A1554="","",IF($B1554&lt;&gt;"",$B1554,IF(COUNTIFS(原始经营数据!$D$3:$D$3001,$A1554,原始经营数据!$E$3:$E$3001,"",原始经营数据!$F$3:$F$3001,$C1554,原始经营数据!$H$3:$H$3001,$D1554,原始经营数据!$K$3:$K$3001,$G1554)&gt;1,"基金整体·来源"&amp;原始经营数据!$A1555,"基金整体")))</f>
        <v>锦江都城武汉积玉桥店</v>
      </c>
      <c r="J1554" t="str">
        <f t="shared" si="363"/>
        <v>年度</v>
      </c>
      <c r="K1554" t="str">
        <f t="shared" si="364"/>
        <v>平均房价（元/间）</v>
      </c>
      <c r="L1554" t="str">
        <f t="shared" si="365"/>
        <v>锦江都城武汉积玉桥店|平均房价（元/间）|年度</v>
      </c>
      <c r="M1554">
        <f>IF($A1554="",0,IF(COUNTIF($L$2:$L1554,$L1554)=1,1,0))</f>
        <v>0</v>
      </c>
      <c r="N1554">
        <f t="shared" si="366"/>
        <v>20230</v>
      </c>
      <c r="O1554" t="str">
        <f t="shared" si="367"/>
        <v>华安锦江封闭式商业不动产证券投资基金|2023|年度</v>
      </c>
      <c r="P1554">
        <f>IF($A1554="",0,IF(COUNTIF($O$2:$O1554,$O1554)=1,1,0))</f>
        <v>0</v>
      </c>
      <c r="Q1554" t="str">
        <f>IF(AND($P1554=1,$A1554=经营数据!$B$3,$J1554=经营数据!$BA$5),COUNTIFS($P$2:$P$3000,1,$A$2:$A$3000,$A1554,$J$2:$J$3000,$J1554,$N$2:$N$3000,"&lt;"&amp;$N1554)+1,"")</f>
        <v/>
      </c>
      <c r="R1554" t="str">
        <f t="shared" si="368"/>
        <v>华安锦江封闭式商业不动产证券投资基金|锦江都城武汉积玉桥店</v>
      </c>
      <c r="S1554">
        <f>IF($A1554="",0,IF(COUNTIF($R$2:$R1554,$R1554)=1,1,0))</f>
        <v>0</v>
      </c>
      <c r="T1554">
        <f t="shared" si="369"/>
        <v>1549</v>
      </c>
      <c r="U1554" t="str">
        <f>IF($A1554="","",IF($A1554=经营数据!$B$3,COUNTIFS($S$2:$S$3000,1,$A$2:$A$3000,$A1554,$T$2:$T$3000,"&lt;"&amp;$T1554)+1,""))</f>
        <v/>
      </c>
      <c r="V1554" t="str">
        <f t="shared" si="370"/>
        <v>锦江都城武汉积玉桥店|服务量</v>
      </c>
      <c r="W1554">
        <f t="shared" si="371"/>
        <v>1549</v>
      </c>
      <c r="X1554" t="str">
        <f t="shared" si="372"/>
        <v>锦江都城武汉积玉桥店|平均房价</v>
      </c>
      <c r="Y1554">
        <f t="shared" si="373"/>
        <v>1549</v>
      </c>
      <c r="Z1554">
        <f>IF($A1554="",0,IF(AND($M1554=1,$A1554=经营数据!$B$3,$J1554=经营数据!$BA$5,OR($I1554=经营数据!$BA$4,COUNTIF(经营数据!$AA$9:$AA$38,$I1554)&gt;0)),1,0))</f>
        <v>0</v>
      </c>
      <c r="AA1554" t="str">
        <f t="shared" si="374"/>
        <v/>
      </c>
      <c r="AB1554" t="str">
        <f t="shared" si="375"/>
        <v/>
      </c>
      <c r="AC1554">
        <f>IF($A1554="",0,IF(COUNTIF($A$2:$A1554,$A1554)=1,1,0))</f>
        <v>0</v>
      </c>
      <c r="AD1554">
        <f t="shared" si="376"/>
        <v>18</v>
      </c>
      <c r="AE1554" t="str">
        <f t="shared" si="377"/>
        <v>锦江都城武汉积玉桥店|平均房价（元/间）</v>
      </c>
    </row>
    <row r="1555" spans="1:31" x14ac:dyDescent="0.4">
      <c r="A1555" t="str">
        <f>IF(原始经营数据!$D1556="","",原始经营数据!$D1556)</f>
        <v>华安锦江封闭式商业不动产证券投资基金</v>
      </c>
      <c r="B1555" t="str">
        <f>IF(原始经营数据!$D1556="","",T(原始经营数据!$E1556))</f>
        <v>锦江都城武汉积玉桥店</v>
      </c>
      <c r="C1555" t="str">
        <f>IF(原始经营数据!$D1556="","",原始经营数据!$F1556)</f>
        <v>2023</v>
      </c>
      <c r="D1555" t="str">
        <f>IF(原始经营数据!$D1556="","",原始经营数据!$H1556)</f>
        <v>可供房数</v>
      </c>
      <c r="E1555">
        <f>IF(原始经营数据!$D1556="","",原始经营数据!$I1556)</f>
        <v>51343</v>
      </c>
      <c r="F1555" t="str">
        <f>IF(原始经营数据!$D1556="","",T(原始经营数据!$J1556))</f>
        <v>间</v>
      </c>
      <c r="G1555" t="str">
        <f>IF(原始经营数据!$D1556="","",T(原始经营数据!$K1556))</f>
        <v/>
      </c>
      <c r="H1555" t="str">
        <f>IF(原始经营数据!$D1556="","",原始经营数据!$G1556)</f>
        <v>服务量</v>
      </c>
      <c r="I1555" t="str">
        <f>IF($A1555="","",IF($B1555&lt;&gt;"",$B1555,IF(COUNTIFS(原始经营数据!$D$3:$D$3001,$A1555,原始经营数据!$E$3:$E$3001,"",原始经营数据!$F$3:$F$3001,$C1555,原始经营数据!$H$3:$H$3001,$D1555,原始经营数据!$K$3:$K$3001,$G1555)&gt;1,"基金整体·来源"&amp;原始经营数据!$A1556,"基金整体")))</f>
        <v>锦江都城武汉积玉桥店</v>
      </c>
      <c r="J1555" t="str">
        <f t="shared" si="363"/>
        <v>年度</v>
      </c>
      <c r="K1555" t="str">
        <f t="shared" si="364"/>
        <v>可供房数（间）</v>
      </c>
      <c r="L1555" t="str">
        <f t="shared" si="365"/>
        <v>锦江都城武汉积玉桥店|可供房数（间）|年度</v>
      </c>
      <c r="M1555">
        <f>IF($A1555="",0,IF(COUNTIF($L$2:$L1555,$L1555)=1,1,0))</f>
        <v>0</v>
      </c>
      <c r="N1555">
        <f t="shared" si="366"/>
        <v>20230</v>
      </c>
      <c r="O1555" t="str">
        <f t="shared" si="367"/>
        <v>华安锦江封闭式商业不动产证券投资基金|2023|年度</v>
      </c>
      <c r="P1555">
        <f>IF($A1555="",0,IF(COUNTIF($O$2:$O1555,$O1555)=1,1,0))</f>
        <v>0</v>
      </c>
      <c r="Q1555" t="str">
        <f>IF(AND($P1555=1,$A1555=经营数据!$B$3,$J1555=经营数据!$BA$5),COUNTIFS($P$2:$P$3000,1,$A$2:$A$3000,$A1555,$J$2:$J$3000,$J1555,$N$2:$N$3000,"&lt;"&amp;$N1555)+1,"")</f>
        <v/>
      </c>
      <c r="R1555" t="str">
        <f t="shared" si="368"/>
        <v>华安锦江封闭式商业不动产证券投资基金|锦江都城武汉积玉桥店</v>
      </c>
      <c r="S1555">
        <f>IF($A1555="",0,IF(COUNTIF($R$2:$R1555,$R1555)=1,1,0))</f>
        <v>0</v>
      </c>
      <c r="T1555">
        <f t="shared" si="369"/>
        <v>1549</v>
      </c>
      <c r="U1555" t="str">
        <f>IF($A1555="","",IF($A1555=经营数据!$B$3,COUNTIFS($S$2:$S$3000,1,$A$2:$A$3000,$A1555,$T$2:$T$3000,"&lt;"&amp;$T1555)+1,""))</f>
        <v/>
      </c>
      <c r="V1555" t="str">
        <f t="shared" si="370"/>
        <v>锦江都城武汉积玉桥店|服务量</v>
      </c>
      <c r="W1555">
        <f t="shared" si="371"/>
        <v>1549</v>
      </c>
      <c r="X1555" t="str">
        <f t="shared" si="372"/>
        <v>锦江都城武汉积玉桥店|可供房数</v>
      </c>
      <c r="Y1555">
        <f t="shared" si="373"/>
        <v>1551</v>
      </c>
      <c r="Z1555">
        <f>IF($A1555="",0,IF(AND($M1555=1,$A1555=经营数据!$B$3,$J1555=经营数据!$BA$5,OR($I1555=经营数据!$BA$4,COUNTIF(经营数据!$AA$9:$AA$38,$I1555)&gt;0)),1,0))</f>
        <v>0</v>
      </c>
      <c r="AA1555" t="str">
        <f t="shared" si="374"/>
        <v/>
      </c>
      <c r="AB1555" t="str">
        <f t="shared" si="375"/>
        <v/>
      </c>
      <c r="AC1555">
        <f>IF($A1555="",0,IF(COUNTIF($A$2:$A1555,$A1555)=1,1,0))</f>
        <v>0</v>
      </c>
      <c r="AD1555">
        <f t="shared" si="376"/>
        <v>18</v>
      </c>
      <c r="AE1555" t="str">
        <f t="shared" si="377"/>
        <v>锦江都城武汉积玉桥店|可供房数（间）</v>
      </c>
    </row>
    <row r="1556" spans="1:31" x14ac:dyDescent="0.4">
      <c r="A1556" t="str">
        <f>IF(原始经营数据!$D1557="","",原始经营数据!$D1557)</f>
        <v>华安锦江封闭式商业不动产证券投资基金</v>
      </c>
      <c r="B1556" t="str">
        <f>IF(原始经营数据!$D1557="","",T(原始经营数据!$E1557))</f>
        <v>锦江都城武汉积玉桥店</v>
      </c>
      <c r="C1556" t="str">
        <f>IF(原始经营数据!$D1557="","",原始经营数据!$F1557)</f>
        <v>2024</v>
      </c>
      <c r="D1556" t="str">
        <f>IF(原始经营数据!$D1557="","",原始经营数据!$H1557)</f>
        <v>平均房价</v>
      </c>
      <c r="E1556">
        <f>IF(原始经营数据!$D1557="","",原始经营数据!$I1557)</f>
        <v>315.12</v>
      </c>
      <c r="F1556" t="str">
        <f>IF(原始经营数据!$D1557="","",T(原始经营数据!$J1557))</f>
        <v>元/间</v>
      </c>
      <c r="G1556" t="str">
        <f>IF(原始经营数据!$D1557="","",T(原始经营数据!$K1557))</f>
        <v/>
      </c>
      <c r="H1556" t="str">
        <f>IF(原始经营数据!$D1557="","",原始经营数据!$G1557)</f>
        <v>服务量</v>
      </c>
      <c r="I1556" t="str">
        <f>IF($A1556="","",IF($B1556&lt;&gt;"",$B1556,IF(COUNTIFS(原始经营数据!$D$3:$D$3001,$A1556,原始经营数据!$E$3:$E$3001,"",原始经营数据!$F$3:$F$3001,$C1556,原始经营数据!$H$3:$H$3001,$D1556,原始经营数据!$K$3:$K$3001,$G1556)&gt;1,"基金整体·来源"&amp;原始经营数据!$A1557,"基金整体")))</f>
        <v>锦江都城武汉积玉桥店</v>
      </c>
      <c r="J1556" t="str">
        <f t="shared" si="363"/>
        <v>年度</v>
      </c>
      <c r="K1556" t="str">
        <f t="shared" si="364"/>
        <v>平均房价（元/间）</v>
      </c>
      <c r="L1556" t="str">
        <f t="shared" si="365"/>
        <v>锦江都城武汉积玉桥店|平均房价（元/间）|年度</v>
      </c>
      <c r="M1556">
        <f>IF($A1556="",0,IF(COUNTIF($L$2:$L1556,$L1556)=1,1,0))</f>
        <v>0</v>
      </c>
      <c r="N1556">
        <f t="shared" si="366"/>
        <v>20240</v>
      </c>
      <c r="O1556" t="str">
        <f t="shared" si="367"/>
        <v>华安锦江封闭式商业不动产证券投资基金|2024|年度</v>
      </c>
      <c r="P1556">
        <f>IF($A1556="",0,IF(COUNTIF($O$2:$O1556,$O1556)=1,1,0))</f>
        <v>0</v>
      </c>
      <c r="Q1556" t="str">
        <f>IF(AND($P1556=1,$A1556=经营数据!$B$3,$J1556=经营数据!$BA$5),COUNTIFS($P$2:$P$3000,1,$A$2:$A$3000,$A1556,$J$2:$J$3000,$J1556,$N$2:$N$3000,"&lt;"&amp;$N1556)+1,"")</f>
        <v/>
      </c>
      <c r="R1556" t="str">
        <f t="shared" si="368"/>
        <v>华安锦江封闭式商业不动产证券投资基金|锦江都城武汉积玉桥店</v>
      </c>
      <c r="S1556">
        <f>IF($A1556="",0,IF(COUNTIF($R$2:$R1556,$R1556)=1,1,0))</f>
        <v>0</v>
      </c>
      <c r="T1556">
        <f t="shared" si="369"/>
        <v>1549</v>
      </c>
      <c r="U1556" t="str">
        <f>IF($A1556="","",IF($A1556=经营数据!$B$3,COUNTIFS($S$2:$S$3000,1,$A$2:$A$3000,$A1556,$T$2:$T$3000,"&lt;"&amp;$T1556)+1,""))</f>
        <v/>
      </c>
      <c r="V1556" t="str">
        <f t="shared" si="370"/>
        <v>锦江都城武汉积玉桥店|服务量</v>
      </c>
      <c r="W1556">
        <f t="shared" si="371"/>
        <v>1549</v>
      </c>
      <c r="X1556" t="str">
        <f t="shared" si="372"/>
        <v>锦江都城武汉积玉桥店|平均房价</v>
      </c>
      <c r="Y1556">
        <f t="shared" si="373"/>
        <v>1549</v>
      </c>
      <c r="Z1556">
        <f>IF($A1556="",0,IF(AND($M1556=1,$A1556=经营数据!$B$3,$J1556=经营数据!$BA$5,OR($I1556=经营数据!$BA$4,COUNTIF(经营数据!$AA$9:$AA$38,$I1556)&gt;0)),1,0))</f>
        <v>0</v>
      </c>
      <c r="AA1556" t="str">
        <f t="shared" si="374"/>
        <v/>
      </c>
      <c r="AB1556" t="str">
        <f t="shared" si="375"/>
        <v/>
      </c>
      <c r="AC1556">
        <f>IF($A1556="",0,IF(COUNTIF($A$2:$A1556,$A1556)=1,1,0))</f>
        <v>0</v>
      </c>
      <c r="AD1556">
        <f t="shared" si="376"/>
        <v>18</v>
      </c>
      <c r="AE1556" t="str">
        <f t="shared" si="377"/>
        <v>锦江都城武汉积玉桥店|平均房价（元/间）</v>
      </c>
    </row>
    <row r="1557" spans="1:31" x14ac:dyDescent="0.4">
      <c r="A1557" t="str">
        <f>IF(原始经营数据!$D1558="","",原始经营数据!$D1558)</f>
        <v>华安锦江封闭式商业不动产证券投资基金</v>
      </c>
      <c r="B1557" t="str">
        <f>IF(原始经营数据!$D1558="","",T(原始经营数据!$E1558))</f>
        <v>锦江都城武汉积玉桥店</v>
      </c>
      <c r="C1557" t="str">
        <f>IF(原始经营数据!$D1558="","",原始经营数据!$F1558)</f>
        <v>2024</v>
      </c>
      <c r="D1557" t="str">
        <f>IF(原始经营数据!$D1558="","",原始经营数据!$H1558)</f>
        <v>平均入住率</v>
      </c>
      <c r="E1557">
        <f>IF(原始经营数据!$D1558="","",原始经营数据!$I1558)</f>
        <v>63.37</v>
      </c>
      <c r="F1557" t="str">
        <f>IF(原始经营数据!$D1558="","",T(原始经营数据!$J1558))</f>
        <v>%</v>
      </c>
      <c r="G1557" t="str">
        <f>IF(原始经营数据!$D1558="","",T(原始经营数据!$K1558))</f>
        <v/>
      </c>
      <c r="H1557" t="str">
        <f>IF(原始经营数据!$D1558="","",原始经营数据!$G1558)</f>
        <v>服务量</v>
      </c>
      <c r="I1557" t="str">
        <f>IF($A1557="","",IF($B1557&lt;&gt;"",$B1557,IF(COUNTIFS(原始经营数据!$D$3:$D$3001,$A1557,原始经营数据!$E$3:$E$3001,"",原始经营数据!$F$3:$F$3001,$C1557,原始经营数据!$H$3:$H$3001,$D1557,原始经营数据!$K$3:$K$3001,$G1557)&gt;1,"基金整体·来源"&amp;原始经营数据!$A1558,"基金整体")))</f>
        <v>锦江都城武汉积玉桥店</v>
      </c>
      <c r="J1557" t="str">
        <f t="shared" si="363"/>
        <v>年度</v>
      </c>
      <c r="K1557" t="str">
        <f t="shared" si="364"/>
        <v>平均入住率（%）</v>
      </c>
      <c r="L1557" t="str">
        <f t="shared" si="365"/>
        <v>锦江都城武汉积玉桥店|平均入住率（%）|年度</v>
      </c>
      <c r="M1557">
        <f>IF($A1557="",0,IF(COUNTIF($L$2:$L1557,$L1557)=1,1,0))</f>
        <v>0</v>
      </c>
      <c r="N1557">
        <f t="shared" si="366"/>
        <v>20240</v>
      </c>
      <c r="O1557" t="str">
        <f t="shared" si="367"/>
        <v>华安锦江封闭式商业不动产证券投资基金|2024|年度</v>
      </c>
      <c r="P1557">
        <f>IF($A1557="",0,IF(COUNTIF($O$2:$O1557,$O1557)=1,1,0))</f>
        <v>0</v>
      </c>
      <c r="Q1557" t="str">
        <f>IF(AND($P1557=1,$A1557=经营数据!$B$3,$J1557=经营数据!$BA$5),COUNTIFS($P$2:$P$3000,1,$A$2:$A$3000,$A1557,$J$2:$J$3000,$J1557,$N$2:$N$3000,"&lt;"&amp;$N1557)+1,"")</f>
        <v/>
      </c>
      <c r="R1557" t="str">
        <f t="shared" si="368"/>
        <v>华安锦江封闭式商业不动产证券投资基金|锦江都城武汉积玉桥店</v>
      </c>
      <c r="S1557">
        <f>IF($A1557="",0,IF(COUNTIF($R$2:$R1557,$R1557)=1,1,0))</f>
        <v>0</v>
      </c>
      <c r="T1557">
        <f t="shared" si="369"/>
        <v>1549</v>
      </c>
      <c r="U1557" t="str">
        <f>IF($A1557="","",IF($A1557=经营数据!$B$3,COUNTIFS($S$2:$S$3000,1,$A$2:$A$3000,$A1557,$T$2:$T$3000,"&lt;"&amp;$T1557)+1,""))</f>
        <v/>
      </c>
      <c r="V1557" t="str">
        <f t="shared" si="370"/>
        <v>锦江都城武汉积玉桥店|服务量</v>
      </c>
      <c r="W1557">
        <f t="shared" si="371"/>
        <v>1549</v>
      </c>
      <c r="X1557" t="str">
        <f t="shared" si="372"/>
        <v>锦江都城武汉积玉桥店|平均入住率</v>
      </c>
      <c r="Y1557">
        <f t="shared" si="373"/>
        <v>1550</v>
      </c>
      <c r="Z1557">
        <f>IF($A1557="",0,IF(AND($M1557=1,$A1557=经营数据!$B$3,$J1557=经营数据!$BA$5,OR($I1557=经营数据!$BA$4,COUNTIF(经营数据!$AA$9:$AA$38,$I1557)&gt;0)),1,0))</f>
        <v>0</v>
      </c>
      <c r="AA1557" t="str">
        <f t="shared" si="374"/>
        <v/>
      </c>
      <c r="AB1557" t="str">
        <f t="shared" si="375"/>
        <v/>
      </c>
      <c r="AC1557">
        <f>IF($A1557="",0,IF(COUNTIF($A$2:$A1557,$A1557)=1,1,0))</f>
        <v>0</v>
      </c>
      <c r="AD1557">
        <f t="shared" si="376"/>
        <v>18</v>
      </c>
      <c r="AE1557" t="str">
        <f t="shared" si="377"/>
        <v>锦江都城武汉积玉桥店|平均入住率（%）</v>
      </c>
    </row>
    <row r="1558" spans="1:31" x14ac:dyDescent="0.4">
      <c r="A1558" t="str">
        <f>IF(原始经营数据!$D1559="","",原始经营数据!$D1559)</f>
        <v>华安锦江封闭式商业不动产证券投资基金</v>
      </c>
      <c r="B1558" t="str">
        <f>IF(原始经营数据!$D1559="","",T(原始经营数据!$E1559))</f>
        <v>锦江都城武汉积玉桥店</v>
      </c>
      <c r="C1558" t="str">
        <f>IF(原始经营数据!$D1559="","",原始经营数据!$F1559)</f>
        <v>2024</v>
      </c>
      <c r="D1558" t="str">
        <f>IF(原始经营数据!$D1559="","",原始经营数据!$H1559)</f>
        <v>可供房数</v>
      </c>
      <c r="E1558">
        <f>IF(原始经营数据!$D1559="","",原始经营数据!$I1559)</f>
        <v>58191</v>
      </c>
      <c r="F1558" t="str">
        <f>IF(原始经营数据!$D1559="","",T(原始经营数据!$J1559))</f>
        <v>间</v>
      </c>
      <c r="G1558" t="str">
        <f>IF(原始经营数据!$D1559="","",T(原始经营数据!$K1559))</f>
        <v/>
      </c>
      <c r="H1558" t="str">
        <f>IF(原始经营数据!$D1559="","",原始经营数据!$G1559)</f>
        <v>服务量</v>
      </c>
      <c r="I1558" t="str">
        <f>IF($A1558="","",IF($B1558&lt;&gt;"",$B1558,IF(COUNTIFS(原始经营数据!$D$3:$D$3001,$A1558,原始经营数据!$E$3:$E$3001,"",原始经营数据!$F$3:$F$3001,$C1558,原始经营数据!$H$3:$H$3001,$D1558,原始经营数据!$K$3:$K$3001,$G1558)&gt;1,"基金整体·来源"&amp;原始经营数据!$A1559,"基金整体")))</f>
        <v>锦江都城武汉积玉桥店</v>
      </c>
      <c r="J1558" t="str">
        <f t="shared" si="363"/>
        <v>年度</v>
      </c>
      <c r="K1558" t="str">
        <f t="shared" si="364"/>
        <v>可供房数（间）</v>
      </c>
      <c r="L1558" t="str">
        <f t="shared" si="365"/>
        <v>锦江都城武汉积玉桥店|可供房数（间）|年度</v>
      </c>
      <c r="M1558">
        <f>IF($A1558="",0,IF(COUNTIF($L$2:$L1558,$L1558)=1,1,0))</f>
        <v>0</v>
      </c>
      <c r="N1558">
        <f t="shared" si="366"/>
        <v>20240</v>
      </c>
      <c r="O1558" t="str">
        <f t="shared" si="367"/>
        <v>华安锦江封闭式商业不动产证券投资基金|2024|年度</v>
      </c>
      <c r="P1558">
        <f>IF($A1558="",0,IF(COUNTIF($O$2:$O1558,$O1558)=1,1,0))</f>
        <v>0</v>
      </c>
      <c r="Q1558" t="str">
        <f>IF(AND($P1558=1,$A1558=经营数据!$B$3,$J1558=经营数据!$BA$5),COUNTIFS($P$2:$P$3000,1,$A$2:$A$3000,$A1558,$J$2:$J$3000,$J1558,$N$2:$N$3000,"&lt;"&amp;$N1558)+1,"")</f>
        <v/>
      </c>
      <c r="R1558" t="str">
        <f t="shared" si="368"/>
        <v>华安锦江封闭式商业不动产证券投资基金|锦江都城武汉积玉桥店</v>
      </c>
      <c r="S1558">
        <f>IF($A1558="",0,IF(COUNTIF($R$2:$R1558,$R1558)=1,1,0))</f>
        <v>0</v>
      </c>
      <c r="T1558">
        <f t="shared" si="369"/>
        <v>1549</v>
      </c>
      <c r="U1558" t="str">
        <f>IF($A1558="","",IF($A1558=经营数据!$B$3,COUNTIFS($S$2:$S$3000,1,$A$2:$A$3000,$A1558,$T$2:$T$3000,"&lt;"&amp;$T1558)+1,""))</f>
        <v/>
      </c>
      <c r="V1558" t="str">
        <f t="shared" si="370"/>
        <v>锦江都城武汉积玉桥店|服务量</v>
      </c>
      <c r="W1558">
        <f t="shared" si="371"/>
        <v>1549</v>
      </c>
      <c r="X1558" t="str">
        <f t="shared" si="372"/>
        <v>锦江都城武汉积玉桥店|可供房数</v>
      </c>
      <c r="Y1558">
        <f t="shared" si="373"/>
        <v>1551</v>
      </c>
      <c r="Z1558">
        <f>IF($A1558="",0,IF(AND($M1558=1,$A1558=经营数据!$B$3,$J1558=经营数据!$BA$5,OR($I1558=经营数据!$BA$4,COUNTIF(经营数据!$AA$9:$AA$38,$I1558)&gt;0)),1,0))</f>
        <v>0</v>
      </c>
      <c r="AA1558" t="str">
        <f t="shared" si="374"/>
        <v/>
      </c>
      <c r="AB1558" t="str">
        <f t="shared" si="375"/>
        <v/>
      </c>
      <c r="AC1558">
        <f>IF($A1558="",0,IF(COUNTIF($A$2:$A1558,$A1558)=1,1,0))</f>
        <v>0</v>
      </c>
      <c r="AD1558">
        <f t="shared" si="376"/>
        <v>18</v>
      </c>
      <c r="AE1558" t="str">
        <f t="shared" si="377"/>
        <v>锦江都城武汉积玉桥店|可供房数（间）</v>
      </c>
    </row>
    <row r="1559" spans="1:31" x14ac:dyDescent="0.4">
      <c r="A1559" t="str">
        <f>IF(原始经营数据!$D1560="","",原始经营数据!$D1560)</f>
        <v>华安锦江封闭式商业不动产证券投资基金</v>
      </c>
      <c r="B1559" t="str">
        <f>IF(原始经营数据!$D1560="","",T(原始经营数据!$E1560))</f>
        <v>锦江都城武汉积玉桥店</v>
      </c>
      <c r="C1559" t="str">
        <f>IF(原始经营数据!$D1560="","",原始经营数据!$F1560)</f>
        <v>2025</v>
      </c>
      <c r="D1559" t="str">
        <f>IF(原始经营数据!$D1560="","",原始经营数据!$H1560)</f>
        <v>平均房价</v>
      </c>
      <c r="E1559">
        <f>IF(原始经营数据!$D1560="","",原始经营数据!$I1560)</f>
        <v>297.27999999999997</v>
      </c>
      <c r="F1559" t="str">
        <f>IF(原始经营数据!$D1560="","",T(原始经营数据!$J1560))</f>
        <v>元/间</v>
      </c>
      <c r="G1559" t="str">
        <f>IF(原始经营数据!$D1560="","",T(原始经营数据!$K1560))</f>
        <v/>
      </c>
      <c r="H1559" t="str">
        <f>IF(原始经营数据!$D1560="","",原始经营数据!$G1560)</f>
        <v>服务量</v>
      </c>
      <c r="I1559" t="str">
        <f>IF($A1559="","",IF($B1559&lt;&gt;"",$B1559,IF(COUNTIFS(原始经营数据!$D$3:$D$3001,$A1559,原始经营数据!$E$3:$E$3001,"",原始经营数据!$F$3:$F$3001,$C1559,原始经营数据!$H$3:$H$3001,$D1559,原始经营数据!$K$3:$K$3001,$G1559)&gt;1,"基金整体·来源"&amp;原始经营数据!$A1560,"基金整体")))</f>
        <v>锦江都城武汉积玉桥店</v>
      </c>
      <c r="J1559" t="str">
        <f t="shared" si="363"/>
        <v>年度</v>
      </c>
      <c r="K1559" t="str">
        <f t="shared" si="364"/>
        <v>平均房价（元/间）</v>
      </c>
      <c r="L1559" t="str">
        <f t="shared" si="365"/>
        <v>锦江都城武汉积玉桥店|平均房价（元/间）|年度</v>
      </c>
      <c r="M1559">
        <f>IF($A1559="",0,IF(COUNTIF($L$2:$L1559,$L1559)=1,1,0))</f>
        <v>0</v>
      </c>
      <c r="N1559">
        <f t="shared" si="366"/>
        <v>20250</v>
      </c>
      <c r="O1559" t="str">
        <f t="shared" si="367"/>
        <v>华安锦江封闭式商业不动产证券投资基金|2025|年度</v>
      </c>
      <c r="P1559">
        <f>IF($A1559="",0,IF(COUNTIF($O$2:$O1559,$O1559)=1,1,0))</f>
        <v>0</v>
      </c>
      <c r="Q1559" t="str">
        <f>IF(AND($P1559=1,$A1559=经营数据!$B$3,$J1559=经营数据!$BA$5),COUNTIFS($P$2:$P$3000,1,$A$2:$A$3000,$A1559,$J$2:$J$3000,$J1559,$N$2:$N$3000,"&lt;"&amp;$N1559)+1,"")</f>
        <v/>
      </c>
      <c r="R1559" t="str">
        <f t="shared" si="368"/>
        <v>华安锦江封闭式商业不动产证券投资基金|锦江都城武汉积玉桥店</v>
      </c>
      <c r="S1559">
        <f>IF($A1559="",0,IF(COUNTIF($R$2:$R1559,$R1559)=1,1,0))</f>
        <v>0</v>
      </c>
      <c r="T1559">
        <f t="shared" si="369"/>
        <v>1549</v>
      </c>
      <c r="U1559" t="str">
        <f>IF($A1559="","",IF($A1559=经营数据!$B$3,COUNTIFS($S$2:$S$3000,1,$A$2:$A$3000,$A1559,$T$2:$T$3000,"&lt;"&amp;$T1559)+1,""))</f>
        <v/>
      </c>
      <c r="V1559" t="str">
        <f t="shared" si="370"/>
        <v>锦江都城武汉积玉桥店|服务量</v>
      </c>
      <c r="W1559">
        <f t="shared" si="371"/>
        <v>1549</v>
      </c>
      <c r="X1559" t="str">
        <f t="shared" si="372"/>
        <v>锦江都城武汉积玉桥店|平均房价</v>
      </c>
      <c r="Y1559">
        <f t="shared" si="373"/>
        <v>1549</v>
      </c>
      <c r="Z1559">
        <f>IF($A1559="",0,IF(AND($M1559=1,$A1559=经营数据!$B$3,$J1559=经营数据!$BA$5,OR($I1559=经营数据!$BA$4,COUNTIF(经营数据!$AA$9:$AA$38,$I1559)&gt;0)),1,0))</f>
        <v>0</v>
      </c>
      <c r="AA1559" t="str">
        <f t="shared" si="374"/>
        <v/>
      </c>
      <c r="AB1559" t="str">
        <f t="shared" si="375"/>
        <v/>
      </c>
      <c r="AC1559">
        <f>IF($A1559="",0,IF(COUNTIF($A$2:$A1559,$A1559)=1,1,0))</f>
        <v>0</v>
      </c>
      <c r="AD1559">
        <f t="shared" si="376"/>
        <v>18</v>
      </c>
      <c r="AE1559" t="str">
        <f t="shared" si="377"/>
        <v>锦江都城武汉积玉桥店|平均房价（元/间）</v>
      </c>
    </row>
    <row r="1560" spans="1:31" x14ac:dyDescent="0.4">
      <c r="A1560" t="str">
        <f>IF(原始经营数据!$D1561="","",原始经营数据!$D1561)</f>
        <v>华安锦江封闭式商业不动产证券投资基金</v>
      </c>
      <c r="B1560" t="str">
        <f>IF(原始经营数据!$D1561="","",T(原始经营数据!$E1561))</f>
        <v>锦江都城武汉积玉桥店</v>
      </c>
      <c r="C1560" t="str">
        <f>IF(原始经营数据!$D1561="","",原始经营数据!$F1561)</f>
        <v>2025</v>
      </c>
      <c r="D1560" t="str">
        <f>IF(原始经营数据!$D1561="","",原始经营数据!$H1561)</f>
        <v>平均入住率</v>
      </c>
      <c r="E1560">
        <f>IF(原始经营数据!$D1561="","",原始经营数据!$I1561)</f>
        <v>63.24</v>
      </c>
      <c r="F1560" t="str">
        <f>IF(原始经营数据!$D1561="","",T(原始经营数据!$J1561))</f>
        <v>%</v>
      </c>
      <c r="G1560" t="str">
        <f>IF(原始经营数据!$D1561="","",T(原始经营数据!$K1561))</f>
        <v/>
      </c>
      <c r="H1560" t="str">
        <f>IF(原始经营数据!$D1561="","",原始经营数据!$G1561)</f>
        <v>服务量</v>
      </c>
      <c r="I1560" t="str">
        <f>IF($A1560="","",IF($B1560&lt;&gt;"",$B1560,IF(COUNTIFS(原始经营数据!$D$3:$D$3001,$A1560,原始经营数据!$E$3:$E$3001,"",原始经营数据!$F$3:$F$3001,$C1560,原始经营数据!$H$3:$H$3001,$D1560,原始经营数据!$K$3:$K$3001,$G1560)&gt;1,"基金整体·来源"&amp;原始经营数据!$A1561,"基金整体")))</f>
        <v>锦江都城武汉积玉桥店</v>
      </c>
      <c r="J1560" t="str">
        <f t="shared" si="363"/>
        <v>年度</v>
      </c>
      <c r="K1560" t="str">
        <f t="shared" si="364"/>
        <v>平均入住率（%）</v>
      </c>
      <c r="L1560" t="str">
        <f t="shared" si="365"/>
        <v>锦江都城武汉积玉桥店|平均入住率（%）|年度</v>
      </c>
      <c r="M1560">
        <f>IF($A1560="",0,IF(COUNTIF($L$2:$L1560,$L1560)=1,1,0))</f>
        <v>0</v>
      </c>
      <c r="N1560">
        <f t="shared" si="366"/>
        <v>20250</v>
      </c>
      <c r="O1560" t="str">
        <f t="shared" si="367"/>
        <v>华安锦江封闭式商业不动产证券投资基金|2025|年度</v>
      </c>
      <c r="P1560">
        <f>IF($A1560="",0,IF(COUNTIF($O$2:$O1560,$O1560)=1,1,0))</f>
        <v>0</v>
      </c>
      <c r="Q1560" t="str">
        <f>IF(AND($P1560=1,$A1560=经营数据!$B$3,$J1560=经营数据!$BA$5),COUNTIFS($P$2:$P$3000,1,$A$2:$A$3000,$A1560,$J$2:$J$3000,$J1560,$N$2:$N$3000,"&lt;"&amp;$N1560)+1,"")</f>
        <v/>
      </c>
      <c r="R1560" t="str">
        <f t="shared" si="368"/>
        <v>华安锦江封闭式商业不动产证券投资基金|锦江都城武汉积玉桥店</v>
      </c>
      <c r="S1560">
        <f>IF($A1560="",0,IF(COUNTIF($R$2:$R1560,$R1560)=1,1,0))</f>
        <v>0</v>
      </c>
      <c r="T1560">
        <f t="shared" si="369"/>
        <v>1549</v>
      </c>
      <c r="U1560" t="str">
        <f>IF($A1560="","",IF($A1560=经营数据!$B$3,COUNTIFS($S$2:$S$3000,1,$A$2:$A$3000,$A1560,$T$2:$T$3000,"&lt;"&amp;$T1560)+1,""))</f>
        <v/>
      </c>
      <c r="V1560" t="str">
        <f t="shared" si="370"/>
        <v>锦江都城武汉积玉桥店|服务量</v>
      </c>
      <c r="W1560">
        <f t="shared" si="371"/>
        <v>1549</v>
      </c>
      <c r="X1560" t="str">
        <f t="shared" si="372"/>
        <v>锦江都城武汉积玉桥店|平均入住率</v>
      </c>
      <c r="Y1560">
        <f t="shared" si="373"/>
        <v>1550</v>
      </c>
      <c r="Z1560">
        <f>IF($A1560="",0,IF(AND($M1560=1,$A1560=经营数据!$B$3,$J1560=经营数据!$BA$5,OR($I1560=经营数据!$BA$4,COUNTIF(经营数据!$AA$9:$AA$38,$I1560)&gt;0)),1,0))</f>
        <v>0</v>
      </c>
      <c r="AA1560" t="str">
        <f t="shared" si="374"/>
        <v/>
      </c>
      <c r="AB1560" t="str">
        <f t="shared" si="375"/>
        <v/>
      </c>
      <c r="AC1560">
        <f>IF($A1560="",0,IF(COUNTIF($A$2:$A1560,$A1560)=1,1,0))</f>
        <v>0</v>
      </c>
      <c r="AD1560">
        <f t="shared" si="376"/>
        <v>18</v>
      </c>
      <c r="AE1560" t="str">
        <f t="shared" si="377"/>
        <v>锦江都城武汉积玉桥店|平均入住率（%）</v>
      </c>
    </row>
    <row r="1561" spans="1:31" x14ac:dyDescent="0.4">
      <c r="A1561" t="str">
        <f>IF(原始经营数据!$D1562="","",原始经营数据!$D1562)</f>
        <v>华安锦江封闭式商业不动产证券投资基金</v>
      </c>
      <c r="B1561" t="str">
        <f>IF(原始经营数据!$D1562="","",T(原始经营数据!$E1562))</f>
        <v>锦江都城武汉积玉桥店</v>
      </c>
      <c r="C1561" t="str">
        <f>IF(原始经营数据!$D1562="","",原始经营数据!$F1562)</f>
        <v>2025</v>
      </c>
      <c r="D1561" t="str">
        <f>IF(原始经营数据!$D1562="","",原始经营数据!$H1562)</f>
        <v>可供房数</v>
      </c>
      <c r="E1561">
        <f>IF(原始经营数据!$D1562="","",原始经营数据!$I1562)</f>
        <v>49698</v>
      </c>
      <c r="F1561" t="str">
        <f>IF(原始经营数据!$D1562="","",T(原始经营数据!$J1562))</f>
        <v>间</v>
      </c>
      <c r="G1561" t="str">
        <f>IF(原始经营数据!$D1562="","",T(原始经营数据!$K1562))</f>
        <v/>
      </c>
      <c r="H1561" t="str">
        <f>IF(原始经营数据!$D1562="","",原始经营数据!$G1562)</f>
        <v>服务量</v>
      </c>
      <c r="I1561" t="str">
        <f>IF($A1561="","",IF($B1561&lt;&gt;"",$B1561,IF(COUNTIFS(原始经营数据!$D$3:$D$3001,$A1561,原始经营数据!$E$3:$E$3001,"",原始经营数据!$F$3:$F$3001,$C1561,原始经营数据!$H$3:$H$3001,$D1561,原始经营数据!$K$3:$K$3001,$G1561)&gt;1,"基金整体·来源"&amp;原始经营数据!$A1562,"基金整体")))</f>
        <v>锦江都城武汉积玉桥店</v>
      </c>
      <c r="J1561" t="str">
        <f t="shared" si="363"/>
        <v>年度</v>
      </c>
      <c r="K1561" t="str">
        <f t="shared" si="364"/>
        <v>可供房数（间）</v>
      </c>
      <c r="L1561" t="str">
        <f t="shared" si="365"/>
        <v>锦江都城武汉积玉桥店|可供房数（间）|年度</v>
      </c>
      <c r="M1561">
        <f>IF($A1561="",0,IF(COUNTIF($L$2:$L1561,$L1561)=1,1,0))</f>
        <v>0</v>
      </c>
      <c r="N1561">
        <f t="shared" si="366"/>
        <v>20250</v>
      </c>
      <c r="O1561" t="str">
        <f t="shared" si="367"/>
        <v>华安锦江封闭式商业不动产证券投资基金|2025|年度</v>
      </c>
      <c r="P1561">
        <f>IF($A1561="",0,IF(COUNTIF($O$2:$O1561,$O1561)=1,1,0))</f>
        <v>0</v>
      </c>
      <c r="Q1561" t="str">
        <f>IF(AND($P1561=1,$A1561=经营数据!$B$3,$J1561=经营数据!$BA$5),COUNTIFS($P$2:$P$3000,1,$A$2:$A$3000,$A1561,$J$2:$J$3000,$J1561,$N$2:$N$3000,"&lt;"&amp;$N1561)+1,"")</f>
        <v/>
      </c>
      <c r="R1561" t="str">
        <f t="shared" si="368"/>
        <v>华安锦江封闭式商业不动产证券投资基金|锦江都城武汉积玉桥店</v>
      </c>
      <c r="S1561">
        <f>IF($A1561="",0,IF(COUNTIF($R$2:$R1561,$R1561)=1,1,0))</f>
        <v>0</v>
      </c>
      <c r="T1561">
        <f t="shared" si="369"/>
        <v>1549</v>
      </c>
      <c r="U1561" t="str">
        <f>IF($A1561="","",IF($A1561=经营数据!$B$3,COUNTIFS($S$2:$S$3000,1,$A$2:$A$3000,$A1561,$T$2:$T$3000,"&lt;"&amp;$T1561)+1,""))</f>
        <v/>
      </c>
      <c r="V1561" t="str">
        <f t="shared" si="370"/>
        <v>锦江都城武汉积玉桥店|服务量</v>
      </c>
      <c r="W1561">
        <f t="shared" si="371"/>
        <v>1549</v>
      </c>
      <c r="X1561" t="str">
        <f t="shared" si="372"/>
        <v>锦江都城武汉积玉桥店|可供房数</v>
      </c>
      <c r="Y1561">
        <f t="shared" si="373"/>
        <v>1551</v>
      </c>
      <c r="Z1561">
        <f>IF($A1561="",0,IF(AND($M1561=1,$A1561=经营数据!$B$3,$J1561=经营数据!$BA$5,OR($I1561=经营数据!$BA$4,COUNTIF(经营数据!$AA$9:$AA$38,$I1561)&gt;0)),1,0))</f>
        <v>0</v>
      </c>
      <c r="AA1561" t="str">
        <f t="shared" si="374"/>
        <v/>
      </c>
      <c r="AB1561" t="str">
        <f t="shared" si="375"/>
        <v/>
      </c>
      <c r="AC1561">
        <f>IF($A1561="",0,IF(COUNTIF($A$2:$A1561,$A1561)=1,1,0))</f>
        <v>0</v>
      </c>
      <c r="AD1561">
        <f t="shared" si="376"/>
        <v>18</v>
      </c>
      <c r="AE1561" t="str">
        <f t="shared" si="377"/>
        <v>锦江都城武汉积玉桥店|可供房数（间）</v>
      </c>
    </row>
    <row r="1562" spans="1:31" x14ac:dyDescent="0.4">
      <c r="A1562" t="str">
        <f>IF(原始经营数据!$D1563="","",原始经营数据!$D1563)</f>
        <v>华安锦江封闭式商业不动产证券投资基金</v>
      </c>
      <c r="B1562" t="str">
        <f>IF(原始经营数据!$D1563="","",T(原始经营数据!$E1563))</f>
        <v>锦江都城江阴澄江店</v>
      </c>
      <c r="C1562" t="str">
        <f>IF(原始经营数据!$D1563="","",原始经营数据!$F1563)</f>
        <v>2022</v>
      </c>
      <c r="D1562" t="str">
        <f>IF(原始经营数据!$D1563="","",原始经营数据!$H1563)</f>
        <v>平均房价</v>
      </c>
      <c r="E1562">
        <f>IF(原始经营数据!$D1563="","",原始经营数据!$I1563)</f>
        <v>212.5</v>
      </c>
      <c r="F1562" t="str">
        <f>IF(原始经营数据!$D1563="","",T(原始经营数据!$J1563))</f>
        <v>元/间</v>
      </c>
      <c r="G1562" t="str">
        <f>IF(原始经营数据!$D1563="","",T(原始经营数据!$K1563))</f>
        <v/>
      </c>
      <c r="H1562" t="str">
        <f>IF(原始经营数据!$D1563="","",原始经营数据!$G1563)</f>
        <v>服务量</v>
      </c>
      <c r="I1562" t="str">
        <f>IF($A1562="","",IF($B1562&lt;&gt;"",$B1562,IF(COUNTIFS(原始经营数据!$D$3:$D$3001,$A1562,原始经营数据!$E$3:$E$3001,"",原始经营数据!$F$3:$F$3001,$C1562,原始经营数据!$H$3:$H$3001,$D1562,原始经营数据!$K$3:$K$3001,$G1562)&gt;1,"基金整体·来源"&amp;原始经营数据!$A1563,"基金整体")))</f>
        <v>锦江都城江阴澄江店</v>
      </c>
      <c r="J1562" t="str">
        <f t="shared" si="363"/>
        <v>年度</v>
      </c>
      <c r="K1562" t="str">
        <f t="shared" si="364"/>
        <v>平均房价（元/间）</v>
      </c>
      <c r="L1562" t="str">
        <f t="shared" si="365"/>
        <v>锦江都城江阴澄江店|平均房价（元/间）|年度</v>
      </c>
      <c r="M1562">
        <f>IF($A1562="",0,IF(COUNTIF($L$2:$L1562,$L1562)=1,1,0))</f>
        <v>1</v>
      </c>
      <c r="N1562">
        <f t="shared" si="366"/>
        <v>20220</v>
      </c>
      <c r="O1562" t="str">
        <f t="shared" si="367"/>
        <v>华安锦江封闭式商业不动产证券投资基金|2022|年度</v>
      </c>
      <c r="P1562">
        <f>IF($A1562="",0,IF(COUNTIF($O$2:$O1562,$O1562)=1,1,0))</f>
        <v>0</v>
      </c>
      <c r="Q1562" t="str">
        <f>IF(AND($P1562=1,$A1562=经营数据!$B$3,$J1562=经营数据!$BA$5),COUNTIFS($P$2:$P$3000,1,$A$2:$A$3000,$A1562,$J$2:$J$3000,$J1562,$N$2:$N$3000,"&lt;"&amp;$N1562)+1,"")</f>
        <v/>
      </c>
      <c r="R1562" t="str">
        <f t="shared" si="368"/>
        <v>华安锦江封闭式商业不动产证券投资基金|锦江都城江阴澄江店</v>
      </c>
      <c r="S1562">
        <f>IF($A1562="",0,IF(COUNTIF($R$2:$R1562,$R1562)=1,1,0))</f>
        <v>1</v>
      </c>
      <c r="T1562">
        <f t="shared" si="369"/>
        <v>1561</v>
      </c>
      <c r="U1562" t="str">
        <f>IF($A1562="","",IF($A1562=经营数据!$B$3,COUNTIFS($S$2:$S$3000,1,$A$2:$A$3000,$A1562,$T$2:$T$3000,"&lt;"&amp;$T1562)+1,""))</f>
        <v/>
      </c>
      <c r="V1562" t="str">
        <f t="shared" si="370"/>
        <v>锦江都城江阴澄江店|服务量</v>
      </c>
      <c r="W1562">
        <f t="shared" si="371"/>
        <v>1561</v>
      </c>
      <c r="X1562" t="str">
        <f t="shared" si="372"/>
        <v>锦江都城江阴澄江店|平均房价</v>
      </c>
      <c r="Y1562">
        <f t="shared" si="373"/>
        <v>1561</v>
      </c>
      <c r="Z1562">
        <f>IF($A1562="",0,IF(AND($M1562=1,$A1562=经营数据!$B$3,$J1562=经营数据!$BA$5,OR($I1562=经营数据!$BA$4,COUNTIF(经营数据!$AA$9:$AA$38,$I1562)&gt;0)),1,0))</f>
        <v>0</v>
      </c>
      <c r="AA1562" t="str">
        <f t="shared" si="374"/>
        <v/>
      </c>
      <c r="AB1562" t="str">
        <f t="shared" si="375"/>
        <v/>
      </c>
      <c r="AC1562">
        <f>IF($A1562="",0,IF(COUNTIF($A$2:$A1562,$A1562)=1,1,0))</f>
        <v>0</v>
      </c>
      <c r="AD1562">
        <f t="shared" si="376"/>
        <v>18</v>
      </c>
      <c r="AE1562" t="str">
        <f t="shared" si="377"/>
        <v>锦江都城江阴澄江店|平均房价（元/间）</v>
      </c>
    </row>
    <row r="1563" spans="1:31" x14ac:dyDescent="0.4">
      <c r="A1563" t="str">
        <f>IF(原始经营数据!$D1564="","",原始经营数据!$D1564)</f>
        <v>华安锦江封闭式商业不动产证券投资基金</v>
      </c>
      <c r="B1563" t="str">
        <f>IF(原始经营数据!$D1564="","",T(原始经营数据!$E1564))</f>
        <v>锦江都城江阴澄江店</v>
      </c>
      <c r="C1563" t="str">
        <f>IF(原始经营数据!$D1564="","",原始经营数据!$F1564)</f>
        <v>2022</v>
      </c>
      <c r="D1563" t="str">
        <f>IF(原始经营数据!$D1564="","",原始经营数据!$H1564)</f>
        <v>平均入住率</v>
      </c>
      <c r="E1563">
        <f>IF(原始经营数据!$D1564="","",原始经营数据!$I1564)</f>
        <v>56.12</v>
      </c>
      <c r="F1563" t="str">
        <f>IF(原始经营数据!$D1564="","",T(原始经营数据!$J1564))</f>
        <v>%</v>
      </c>
      <c r="G1563" t="str">
        <f>IF(原始经营数据!$D1564="","",T(原始经营数据!$K1564))</f>
        <v/>
      </c>
      <c r="H1563" t="str">
        <f>IF(原始经营数据!$D1564="","",原始经营数据!$G1564)</f>
        <v>服务量</v>
      </c>
      <c r="I1563" t="str">
        <f>IF($A1563="","",IF($B1563&lt;&gt;"",$B1563,IF(COUNTIFS(原始经营数据!$D$3:$D$3001,$A1563,原始经营数据!$E$3:$E$3001,"",原始经营数据!$F$3:$F$3001,$C1563,原始经营数据!$H$3:$H$3001,$D1563,原始经营数据!$K$3:$K$3001,$G1563)&gt;1,"基金整体·来源"&amp;原始经营数据!$A1564,"基金整体")))</f>
        <v>锦江都城江阴澄江店</v>
      </c>
      <c r="J1563" t="str">
        <f t="shared" si="363"/>
        <v>年度</v>
      </c>
      <c r="K1563" t="str">
        <f t="shared" si="364"/>
        <v>平均入住率（%）</v>
      </c>
      <c r="L1563" t="str">
        <f t="shared" si="365"/>
        <v>锦江都城江阴澄江店|平均入住率（%）|年度</v>
      </c>
      <c r="M1563">
        <f>IF($A1563="",0,IF(COUNTIF($L$2:$L1563,$L1563)=1,1,0))</f>
        <v>1</v>
      </c>
      <c r="N1563">
        <f t="shared" si="366"/>
        <v>20220</v>
      </c>
      <c r="O1563" t="str">
        <f t="shared" si="367"/>
        <v>华安锦江封闭式商业不动产证券投资基金|2022|年度</v>
      </c>
      <c r="P1563">
        <f>IF($A1563="",0,IF(COUNTIF($O$2:$O1563,$O1563)=1,1,0))</f>
        <v>0</v>
      </c>
      <c r="Q1563" t="str">
        <f>IF(AND($P1563=1,$A1563=经营数据!$B$3,$J1563=经营数据!$BA$5),COUNTIFS($P$2:$P$3000,1,$A$2:$A$3000,$A1563,$J$2:$J$3000,$J1563,$N$2:$N$3000,"&lt;"&amp;$N1563)+1,"")</f>
        <v/>
      </c>
      <c r="R1563" t="str">
        <f t="shared" si="368"/>
        <v>华安锦江封闭式商业不动产证券投资基金|锦江都城江阴澄江店</v>
      </c>
      <c r="S1563">
        <f>IF($A1563="",0,IF(COUNTIF($R$2:$R1563,$R1563)=1,1,0))</f>
        <v>0</v>
      </c>
      <c r="T1563">
        <f t="shared" si="369"/>
        <v>1561</v>
      </c>
      <c r="U1563" t="str">
        <f>IF($A1563="","",IF($A1563=经营数据!$B$3,COUNTIFS($S$2:$S$3000,1,$A$2:$A$3000,$A1563,$T$2:$T$3000,"&lt;"&amp;$T1563)+1,""))</f>
        <v/>
      </c>
      <c r="V1563" t="str">
        <f t="shared" si="370"/>
        <v>锦江都城江阴澄江店|服务量</v>
      </c>
      <c r="W1563">
        <f t="shared" si="371"/>
        <v>1561</v>
      </c>
      <c r="X1563" t="str">
        <f t="shared" si="372"/>
        <v>锦江都城江阴澄江店|平均入住率</v>
      </c>
      <c r="Y1563">
        <f t="shared" si="373"/>
        <v>1562</v>
      </c>
      <c r="Z1563">
        <f>IF($A1563="",0,IF(AND($M1563=1,$A1563=经营数据!$B$3,$J1563=经营数据!$BA$5,OR($I1563=经营数据!$BA$4,COUNTIF(经营数据!$AA$9:$AA$38,$I1563)&gt;0)),1,0))</f>
        <v>0</v>
      </c>
      <c r="AA1563" t="str">
        <f t="shared" si="374"/>
        <v/>
      </c>
      <c r="AB1563" t="str">
        <f t="shared" si="375"/>
        <v/>
      </c>
      <c r="AC1563">
        <f>IF($A1563="",0,IF(COUNTIF($A$2:$A1563,$A1563)=1,1,0))</f>
        <v>0</v>
      </c>
      <c r="AD1563">
        <f t="shared" si="376"/>
        <v>18</v>
      </c>
      <c r="AE1563" t="str">
        <f t="shared" si="377"/>
        <v>锦江都城江阴澄江店|平均入住率（%）</v>
      </c>
    </row>
    <row r="1564" spans="1:31" x14ac:dyDescent="0.4">
      <c r="A1564" t="str">
        <f>IF(原始经营数据!$D1565="","",原始经营数据!$D1565)</f>
        <v>华安锦江封闭式商业不动产证券投资基金</v>
      </c>
      <c r="B1564" t="str">
        <f>IF(原始经营数据!$D1565="","",T(原始经营数据!$E1565))</f>
        <v>锦江都城江阴澄江店</v>
      </c>
      <c r="C1564" t="str">
        <f>IF(原始经营数据!$D1565="","",原始经营数据!$F1565)</f>
        <v>2022</v>
      </c>
      <c r="D1564" t="str">
        <f>IF(原始经营数据!$D1565="","",原始经营数据!$H1565)</f>
        <v>可供房数</v>
      </c>
      <c r="E1564">
        <f>IF(原始经营数据!$D1565="","",原始经营数据!$I1565)</f>
        <v>55959</v>
      </c>
      <c r="F1564" t="str">
        <f>IF(原始经营数据!$D1565="","",T(原始经营数据!$J1565))</f>
        <v>间</v>
      </c>
      <c r="G1564" t="str">
        <f>IF(原始经营数据!$D1565="","",T(原始经营数据!$K1565))</f>
        <v/>
      </c>
      <c r="H1564" t="str">
        <f>IF(原始经营数据!$D1565="","",原始经营数据!$G1565)</f>
        <v>服务量</v>
      </c>
      <c r="I1564" t="str">
        <f>IF($A1564="","",IF($B1564&lt;&gt;"",$B1564,IF(COUNTIFS(原始经营数据!$D$3:$D$3001,$A1564,原始经营数据!$E$3:$E$3001,"",原始经营数据!$F$3:$F$3001,$C1564,原始经营数据!$H$3:$H$3001,$D1564,原始经营数据!$K$3:$K$3001,$G1564)&gt;1,"基金整体·来源"&amp;原始经营数据!$A1565,"基金整体")))</f>
        <v>锦江都城江阴澄江店</v>
      </c>
      <c r="J1564" t="str">
        <f t="shared" si="363"/>
        <v>年度</v>
      </c>
      <c r="K1564" t="str">
        <f t="shared" si="364"/>
        <v>可供房数（间）</v>
      </c>
      <c r="L1564" t="str">
        <f t="shared" si="365"/>
        <v>锦江都城江阴澄江店|可供房数（间）|年度</v>
      </c>
      <c r="M1564">
        <f>IF($A1564="",0,IF(COUNTIF($L$2:$L1564,$L1564)=1,1,0))</f>
        <v>1</v>
      </c>
      <c r="N1564">
        <f t="shared" si="366"/>
        <v>20220</v>
      </c>
      <c r="O1564" t="str">
        <f t="shared" si="367"/>
        <v>华安锦江封闭式商业不动产证券投资基金|2022|年度</v>
      </c>
      <c r="P1564">
        <f>IF($A1564="",0,IF(COUNTIF($O$2:$O1564,$O1564)=1,1,0))</f>
        <v>0</v>
      </c>
      <c r="Q1564" t="str">
        <f>IF(AND($P1564=1,$A1564=经营数据!$B$3,$J1564=经营数据!$BA$5),COUNTIFS($P$2:$P$3000,1,$A$2:$A$3000,$A1564,$J$2:$J$3000,$J1564,$N$2:$N$3000,"&lt;"&amp;$N1564)+1,"")</f>
        <v/>
      </c>
      <c r="R1564" t="str">
        <f t="shared" si="368"/>
        <v>华安锦江封闭式商业不动产证券投资基金|锦江都城江阴澄江店</v>
      </c>
      <c r="S1564">
        <f>IF($A1564="",0,IF(COUNTIF($R$2:$R1564,$R1564)=1,1,0))</f>
        <v>0</v>
      </c>
      <c r="T1564">
        <f t="shared" si="369"/>
        <v>1561</v>
      </c>
      <c r="U1564" t="str">
        <f>IF($A1564="","",IF($A1564=经营数据!$B$3,COUNTIFS($S$2:$S$3000,1,$A$2:$A$3000,$A1564,$T$2:$T$3000,"&lt;"&amp;$T1564)+1,""))</f>
        <v/>
      </c>
      <c r="V1564" t="str">
        <f t="shared" si="370"/>
        <v>锦江都城江阴澄江店|服务量</v>
      </c>
      <c r="W1564">
        <f t="shared" si="371"/>
        <v>1561</v>
      </c>
      <c r="X1564" t="str">
        <f t="shared" si="372"/>
        <v>锦江都城江阴澄江店|可供房数</v>
      </c>
      <c r="Y1564">
        <f t="shared" si="373"/>
        <v>1563</v>
      </c>
      <c r="Z1564">
        <f>IF($A1564="",0,IF(AND($M1564=1,$A1564=经营数据!$B$3,$J1564=经营数据!$BA$5,OR($I1564=经营数据!$BA$4,COUNTIF(经营数据!$AA$9:$AA$38,$I1564)&gt;0)),1,0))</f>
        <v>0</v>
      </c>
      <c r="AA1564" t="str">
        <f t="shared" si="374"/>
        <v/>
      </c>
      <c r="AB1564" t="str">
        <f t="shared" si="375"/>
        <v/>
      </c>
      <c r="AC1564">
        <f>IF($A1564="",0,IF(COUNTIF($A$2:$A1564,$A1564)=1,1,0))</f>
        <v>0</v>
      </c>
      <c r="AD1564">
        <f t="shared" si="376"/>
        <v>18</v>
      </c>
      <c r="AE1564" t="str">
        <f t="shared" si="377"/>
        <v>锦江都城江阴澄江店|可供房数（间）</v>
      </c>
    </row>
    <row r="1565" spans="1:31" x14ac:dyDescent="0.4">
      <c r="A1565" t="str">
        <f>IF(原始经营数据!$D1566="","",原始经营数据!$D1566)</f>
        <v>华安锦江封闭式商业不动产证券投资基金</v>
      </c>
      <c r="B1565" t="str">
        <f>IF(原始经营数据!$D1566="","",T(原始经营数据!$E1566))</f>
        <v>锦江都城江阴澄江店</v>
      </c>
      <c r="C1565" t="str">
        <f>IF(原始经营数据!$D1566="","",原始经营数据!$F1566)</f>
        <v>2023</v>
      </c>
      <c r="D1565" t="str">
        <f>IF(原始经营数据!$D1566="","",原始经营数据!$H1566)</f>
        <v>平均房价</v>
      </c>
      <c r="E1565">
        <f>IF(原始经营数据!$D1566="","",原始经营数据!$I1566)</f>
        <v>200.18</v>
      </c>
      <c r="F1565" t="str">
        <f>IF(原始经营数据!$D1566="","",T(原始经营数据!$J1566))</f>
        <v>元/间</v>
      </c>
      <c r="G1565" t="str">
        <f>IF(原始经营数据!$D1566="","",T(原始经营数据!$K1566))</f>
        <v/>
      </c>
      <c r="H1565" t="str">
        <f>IF(原始经营数据!$D1566="","",原始经营数据!$G1566)</f>
        <v>服务量</v>
      </c>
      <c r="I1565" t="str">
        <f>IF($A1565="","",IF($B1565&lt;&gt;"",$B1565,IF(COUNTIFS(原始经营数据!$D$3:$D$3001,$A1565,原始经营数据!$E$3:$E$3001,"",原始经营数据!$F$3:$F$3001,$C1565,原始经营数据!$H$3:$H$3001,$D1565,原始经营数据!$K$3:$K$3001,$G1565)&gt;1,"基金整体·来源"&amp;原始经营数据!$A1566,"基金整体")))</f>
        <v>锦江都城江阴澄江店</v>
      </c>
      <c r="J1565" t="str">
        <f t="shared" si="363"/>
        <v>年度</v>
      </c>
      <c r="K1565" t="str">
        <f t="shared" si="364"/>
        <v>平均房价（元/间）</v>
      </c>
      <c r="L1565" t="str">
        <f t="shared" si="365"/>
        <v>锦江都城江阴澄江店|平均房价（元/间）|年度</v>
      </c>
      <c r="M1565">
        <f>IF($A1565="",0,IF(COUNTIF($L$2:$L1565,$L1565)=1,1,0))</f>
        <v>0</v>
      </c>
      <c r="N1565">
        <f t="shared" si="366"/>
        <v>20230</v>
      </c>
      <c r="O1565" t="str">
        <f t="shared" si="367"/>
        <v>华安锦江封闭式商业不动产证券投资基金|2023|年度</v>
      </c>
      <c r="P1565">
        <f>IF($A1565="",0,IF(COUNTIF($O$2:$O1565,$O1565)=1,1,0))</f>
        <v>0</v>
      </c>
      <c r="Q1565" t="str">
        <f>IF(AND($P1565=1,$A1565=经营数据!$B$3,$J1565=经营数据!$BA$5),COUNTIFS($P$2:$P$3000,1,$A$2:$A$3000,$A1565,$J$2:$J$3000,$J1565,$N$2:$N$3000,"&lt;"&amp;$N1565)+1,"")</f>
        <v/>
      </c>
      <c r="R1565" t="str">
        <f t="shared" si="368"/>
        <v>华安锦江封闭式商业不动产证券投资基金|锦江都城江阴澄江店</v>
      </c>
      <c r="S1565">
        <f>IF($A1565="",0,IF(COUNTIF($R$2:$R1565,$R1565)=1,1,0))</f>
        <v>0</v>
      </c>
      <c r="T1565">
        <f t="shared" si="369"/>
        <v>1561</v>
      </c>
      <c r="U1565" t="str">
        <f>IF($A1565="","",IF($A1565=经营数据!$B$3,COUNTIFS($S$2:$S$3000,1,$A$2:$A$3000,$A1565,$T$2:$T$3000,"&lt;"&amp;$T1565)+1,""))</f>
        <v/>
      </c>
      <c r="V1565" t="str">
        <f t="shared" si="370"/>
        <v>锦江都城江阴澄江店|服务量</v>
      </c>
      <c r="W1565">
        <f t="shared" si="371"/>
        <v>1561</v>
      </c>
      <c r="X1565" t="str">
        <f t="shared" si="372"/>
        <v>锦江都城江阴澄江店|平均房价</v>
      </c>
      <c r="Y1565">
        <f t="shared" si="373"/>
        <v>1561</v>
      </c>
      <c r="Z1565">
        <f>IF($A1565="",0,IF(AND($M1565=1,$A1565=经营数据!$B$3,$J1565=经营数据!$BA$5,OR($I1565=经营数据!$BA$4,COUNTIF(经营数据!$AA$9:$AA$38,$I1565)&gt;0)),1,0))</f>
        <v>0</v>
      </c>
      <c r="AA1565" t="str">
        <f t="shared" si="374"/>
        <v/>
      </c>
      <c r="AB1565" t="str">
        <f t="shared" si="375"/>
        <v/>
      </c>
      <c r="AC1565">
        <f>IF($A1565="",0,IF(COUNTIF($A$2:$A1565,$A1565)=1,1,0))</f>
        <v>0</v>
      </c>
      <c r="AD1565">
        <f t="shared" si="376"/>
        <v>18</v>
      </c>
      <c r="AE1565" t="str">
        <f t="shared" si="377"/>
        <v>锦江都城江阴澄江店|平均房价（元/间）</v>
      </c>
    </row>
    <row r="1566" spans="1:31" x14ac:dyDescent="0.4">
      <c r="A1566" t="str">
        <f>IF(原始经营数据!$D1567="","",原始经营数据!$D1567)</f>
        <v>华安锦江封闭式商业不动产证券投资基金</v>
      </c>
      <c r="B1566" t="str">
        <f>IF(原始经营数据!$D1567="","",T(原始经营数据!$E1567))</f>
        <v>锦江都城江阴澄江店</v>
      </c>
      <c r="C1566" t="str">
        <f>IF(原始经营数据!$D1567="","",原始经营数据!$F1567)</f>
        <v>2023</v>
      </c>
      <c r="D1566" t="str">
        <f>IF(原始经营数据!$D1567="","",原始经营数据!$H1567)</f>
        <v>平均入住率</v>
      </c>
      <c r="E1566">
        <f>IF(原始经营数据!$D1567="","",原始经营数据!$I1567)</f>
        <v>54.25</v>
      </c>
      <c r="F1566" t="str">
        <f>IF(原始经营数据!$D1567="","",T(原始经营数据!$J1567))</f>
        <v>%</v>
      </c>
      <c r="G1566" t="str">
        <f>IF(原始经营数据!$D1567="","",T(原始经营数据!$K1567))</f>
        <v/>
      </c>
      <c r="H1566" t="str">
        <f>IF(原始经营数据!$D1567="","",原始经营数据!$G1567)</f>
        <v>服务量</v>
      </c>
      <c r="I1566" t="str">
        <f>IF($A1566="","",IF($B1566&lt;&gt;"",$B1566,IF(COUNTIFS(原始经营数据!$D$3:$D$3001,$A1566,原始经营数据!$E$3:$E$3001,"",原始经营数据!$F$3:$F$3001,$C1566,原始经营数据!$H$3:$H$3001,$D1566,原始经营数据!$K$3:$K$3001,$G1566)&gt;1,"基金整体·来源"&amp;原始经营数据!$A1567,"基金整体")))</f>
        <v>锦江都城江阴澄江店</v>
      </c>
      <c r="J1566" t="str">
        <f t="shared" si="363"/>
        <v>年度</v>
      </c>
      <c r="K1566" t="str">
        <f t="shared" si="364"/>
        <v>平均入住率（%）</v>
      </c>
      <c r="L1566" t="str">
        <f t="shared" si="365"/>
        <v>锦江都城江阴澄江店|平均入住率（%）|年度</v>
      </c>
      <c r="M1566">
        <f>IF($A1566="",0,IF(COUNTIF($L$2:$L1566,$L1566)=1,1,0))</f>
        <v>0</v>
      </c>
      <c r="N1566">
        <f t="shared" si="366"/>
        <v>20230</v>
      </c>
      <c r="O1566" t="str">
        <f t="shared" si="367"/>
        <v>华安锦江封闭式商业不动产证券投资基金|2023|年度</v>
      </c>
      <c r="P1566">
        <f>IF($A1566="",0,IF(COUNTIF($O$2:$O1566,$O1566)=1,1,0))</f>
        <v>0</v>
      </c>
      <c r="Q1566" t="str">
        <f>IF(AND($P1566=1,$A1566=经营数据!$B$3,$J1566=经营数据!$BA$5),COUNTIFS($P$2:$P$3000,1,$A$2:$A$3000,$A1566,$J$2:$J$3000,$J1566,$N$2:$N$3000,"&lt;"&amp;$N1566)+1,"")</f>
        <v/>
      </c>
      <c r="R1566" t="str">
        <f t="shared" si="368"/>
        <v>华安锦江封闭式商业不动产证券投资基金|锦江都城江阴澄江店</v>
      </c>
      <c r="S1566">
        <f>IF($A1566="",0,IF(COUNTIF($R$2:$R1566,$R1566)=1,1,0))</f>
        <v>0</v>
      </c>
      <c r="T1566">
        <f t="shared" si="369"/>
        <v>1561</v>
      </c>
      <c r="U1566" t="str">
        <f>IF($A1566="","",IF($A1566=经营数据!$B$3,COUNTIFS($S$2:$S$3000,1,$A$2:$A$3000,$A1566,$T$2:$T$3000,"&lt;"&amp;$T1566)+1,""))</f>
        <v/>
      </c>
      <c r="V1566" t="str">
        <f t="shared" si="370"/>
        <v>锦江都城江阴澄江店|服务量</v>
      </c>
      <c r="W1566">
        <f t="shared" si="371"/>
        <v>1561</v>
      </c>
      <c r="X1566" t="str">
        <f t="shared" si="372"/>
        <v>锦江都城江阴澄江店|平均入住率</v>
      </c>
      <c r="Y1566">
        <f t="shared" si="373"/>
        <v>1562</v>
      </c>
      <c r="Z1566">
        <f>IF($A1566="",0,IF(AND($M1566=1,$A1566=经营数据!$B$3,$J1566=经营数据!$BA$5,OR($I1566=经营数据!$BA$4,COUNTIF(经营数据!$AA$9:$AA$38,$I1566)&gt;0)),1,0))</f>
        <v>0</v>
      </c>
      <c r="AA1566" t="str">
        <f t="shared" si="374"/>
        <v/>
      </c>
      <c r="AB1566" t="str">
        <f t="shared" si="375"/>
        <v/>
      </c>
      <c r="AC1566">
        <f>IF($A1566="",0,IF(COUNTIF($A$2:$A1566,$A1566)=1,1,0))</f>
        <v>0</v>
      </c>
      <c r="AD1566">
        <f t="shared" si="376"/>
        <v>18</v>
      </c>
      <c r="AE1566" t="str">
        <f t="shared" si="377"/>
        <v>锦江都城江阴澄江店|平均入住率（%）</v>
      </c>
    </row>
    <row r="1567" spans="1:31" x14ac:dyDescent="0.4">
      <c r="A1567" t="str">
        <f>IF(原始经营数据!$D1568="","",原始经营数据!$D1568)</f>
        <v>华安锦江封闭式商业不动产证券投资基金</v>
      </c>
      <c r="B1567" t="str">
        <f>IF(原始经营数据!$D1568="","",T(原始经营数据!$E1568))</f>
        <v>锦江都城江阴澄江店</v>
      </c>
      <c r="C1567" t="str">
        <f>IF(原始经营数据!$D1568="","",原始经营数据!$F1568)</f>
        <v>2023</v>
      </c>
      <c r="D1567" t="str">
        <f>IF(原始经营数据!$D1568="","",原始经营数据!$H1568)</f>
        <v>可供房数</v>
      </c>
      <c r="E1567">
        <f>IF(原始经营数据!$D1568="","",原始经营数据!$I1568)</f>
        <v>8765</v>
      </c>
      <c r="F1567" t="str">
        <f>IF(原始经营数据!$D1568="","",T(原始经营数据!$J1568))</f>
        <v>间</v>
      </c>
      <c r="G1567" t="str">
        <f>IF(原始经营数据!$D1568="","",T(原始经营数据!$K1568))</f>
        <v/>
      </c>
      <c r="H1567" t="str">
        <f>IF(原始经营数据!$D1568="","",原始经营数据!$G1568)</f>
        <v>服务量</v>
      </c>
      <c r="I1567" t="str">
        <f>IF($A1567="","",IF($B1567&lt;&gt;"",$B1567,IF(COUNTIFS(原始经营数据!$D$3:$D$3001,$A1567,原始经营数据!$E$3:$E$3001,"",原始经营数据!$F$3:$F$3001,$C1567,原始经营数据!$H$3:$H$3001,$D1567,原始经营数据!$K$3:$K$3001,$G1567)&gt;1,"基金整体·来源"&amp;原始经营数据!$A1568,"基金整体")))</f>
        <v>锦江都城江阴澄江店</v>
      </c>
      <c r="J1567" t="str">
        <f t="shared" si="363"/>
        <v>年度</v>
      </c>
      <c r="K1567" t="str">
        <f t="shared" si="364"/>
        <v>可供房数（间）</v>
      </c>
      <c r="L1567" t="str">
        <f t="shared" si="365"/>
        <v>锦江都城江阴澄江店|可供房数（间）|年度</v>
      </c>
      <c r="M1567">
        <f>IF($A1567="",0,IF(COUNTIF($L$2:$L1567,$L1567)=1,1,0))</f>
        <v>0</v>
      </c>
      <c r="N1567">
        <f t="shared" si="366"/>
        <v>20230</v>
      </c>
      <c r="O1567" t="str">
        <f t="shared" si="367"/>
        <v>华安锦江封闭式商业不动产证券投资基金|2023|年度</v>
      </c>
      <c r="P1567">
        <f>IF($A1567="",0,IF(COUNTIF($O$2:$O1567,$O1567)=1,1,0))</f>
        <v>0</v>
      </c>
      <c r="Q1567" t="str">
        <f>IF(AND($P1567=1,$A1567=经营数据!$B$3,$J1567=经营数据!$BA$5),COUNTIFS($P$2:$P$3000,1,$A$2:$A$3000,$A1567,$J$2:$J$3000,$J1567,$N$2:$N$3000,"&lt;"&amp;$N1567)+1,"")</f>
        <v/>
      </c>
      <c r="R1567" t="str">
        <f t="shared" si="368"/>
        <v>华安锦江封闭式商业不动产证券投资基金|锦江都城江阴澄江店</v>
      </c>
      <c r="S1567">
        <f>IF($A1567="",0,IF(COUNTIF($R$2:$R1567,$R1567)=1,1,0))</f>
        <v>0</v>
      </c>
      <c r="T1567">
        <f t="shared" si="369"/>
        <v>1561</v>
      </c>
      <c r="U1567" t="str">
        <f>IF($A1567="","",IF($A1567=经营数据!$B$3,COUNTIFS($S$2:$S$3000,1,$A$2:$A$3000,$A1567,$T$2:$T$3000,"&lt;"&amp;$T1567)+1,""))</f>
        <v/>
      </c>
      <c r="V1567" t="str">
        <f t="shared" si="370"/>
        <v>锦江都城江阴澄江店|服务量</v>
      </c>
      <c r="W1567">
        <f t="shared" si="371"/>
        <v>1561</v>
      </c>
      <c r="X1567" t="str">
        <f t="shared" si="372"/>
        <v>锦江都城江阴澄江店|可供房数</v>
      </c>
      <c r="Y1567">
        <f t="shared" si="373"/>
        <v>1563</v>
      </c>
      <c r="Z1567">
        <f>IF($A1567="",0,IF(AND($M1567=1,$A1567=经营数据!$B$3,$J1567=经营数据!$BA$5,OR($I1567=经营数据!$BA$4,COUNTIF(经营数据!$AA$9:$AA$38,$I1567)&gt;0)),1,0))</f>
        <v>0</v>
      </c>
      <c r="AA1567" t="str">
        <f t="shared" si="374"/>
        <v/>
      </c>
      <c r="AB1567" t="str">
        <f t="shared" si="375"/>
        <v/>
      </c>
      <c r="AC1567">
        <f>IF($A1567="",0,IF(COUNTIF($A$2:$A1567,$A1567)=1,1,0))</f>
        <v>0</v>
      </c>
      <c r="AD1567">
        <f t="shared" si="376"/>
        <v>18</v>
      </c>
      <c r="AE1567" t="str">
        <f t="shared" si="377"/>
        <v>锦江都城江阴澄江店|可供房数（间）</v>
      </c>
    </row>
    <row r="1568" spans="1:31" x14ac:dyDescent="0.4">
      <c r="A1568" t="str">
        <f>IF(原始经营数据!$D1569="","",原始经营数据!$D1569)</f>
        <v>华安锦江封闭式商业不动产证券投资基金</v>
      </c>
      <c r="B1568" t="str">
        <f>IF(原始经营数据!$D1569="","",T(原始经营数据!$E1569))</f>
        <v>锦江都城江阴澄江店</v>
      </c>
      <c r="C1568" t="str">
        <f>IF(原始经营数据!$D1569="","",原始经营数据!$F1569)</f>
        <v>2024</v>
      </c>
      <c r="D1568" t="str">
        <f>IF(原始经营数据!$D1569="","",原始经营数据!$H1569)</f>
        <v>平均房价</v>
      </c>
      <c r="E1568">
        <f>IF(原始经营数据!$D1569="","",原始经营数据!$I1569)</f>
        <v>175.43</v>
      </c>
      <c r="F1568" t="str">
        <f>IF(原始经营数据!$D1569="","",T(原始经营数据!$J1569))</f>
        <v>元/间</v>
      </c>
      <c r="G1568" t="str">
        <f>IF(原始经营数据!$D1569="","",T(原始经营数据!$K1569))</f>
        <v/>
      </c>
      <c r="H1568" t="str">
        <f>IF(原始经营数据!$D1569="","",原始经营数据!$G1569)</f>
        <v>服务量</v>
      </c>
      <c r="I1568" t="str">
        <f>IF($A1568="","",IF($B1568&lt;&gt;"",$B1568,IF(COUNTIFS(原始经营数据!$D$3:$D$3001,$A1568,原始经营数据!$E$3:$E$3001,"",原始经营数据!$F$3:$F$3001,$C1568,原始经营数据!$H$3:$H$3001,$D1568,原始经营数据!$K$3:$K$3001,$G1568)&gt;1,"基金整体·来源"&amp;原始经营数据!$A1569,"基金整体")))</f>
        <v>锦江都城江阴澄江店</v>
      </c>
      <c r="J1568" t="str">
        <f t="shared" si="363"/>
        <v>年度</v>
      </c>
      <c r="K1568" t="str">
        <f t="shared" si="364"/>
        <v>平均房价（元/间）</v>
      </c>
      <c r="L1568" t="str">
        <f t="shared" si="365"/>
        <v>锦江都城江阴澄江店|平均房价（元/间）|年度</v>
      </c>
      <c r="M1568">
        <f>IF($A1568="",0,IF(COUNTIF($L$2:$L1568,$L1568)=1,1,0))</f>
        <v>0</v>
      </c>
      <c r="N1568">
        <f t="shared" si="366"/>
        <v>20240</v>
      </c>
      <c r="O1568" t="str">
        <f t="shared" si="367"/>
        <v>华安锦江封闭式商业不动产证券投资基金|2024|年度</v>
      </c>
      <c r="P1568">
        <f>IF($A1568="",0,IF(COUNTIF($O$2:$O1568,$O1568)=1,1,0))</f>
        <v>0</v>
      </c>
      <c r="Q1568" t="str">
        <f>IF(AND($P1568=1,$A1568=经营数据!$B$3,$J1568=经营数据!$BA$5),COUNTIFS($P$2:$P$3000,1,$A$2:$A$3000,$A1568,$J$2:$J$3000,$J1568,$N$2:$N$3000,"&lt;"&amp;$N1568)+1,"")</f>
        <v/>
      </c>
      <c r="R1568" t="str">
        <f t="shared" si="368"/>
        <v>华安锦江封闭式商业不动产证券投资基金|锦江都城江阴澄江店</v>
      </c>
      <c r="S1568">
        <f>IF($A1568="",0,IF(COUNTIF($R$2:$R1568,$R1568)=1,1,0))</f>
        <v>0</v>
      </c>
      <c r="T1568">
        <f t="shared" si="369"/>
        <v>1561</v>
      </c>
      <c r="U1568" t="str">
        <f>IF($A1568="","",IF($A1568=经营数据!$B$3,COUNTIFS($S$2:$S$3000,1,$A$2:$A$3000,$A1568,$T$2:$T$3000,"&lt;"&amp;$T1568)+1,""))</f>
        <v/>
      </c>
      <c r="V1568" t="str">
        <f t="shared" si="370"/>
        <v>锦江都城江阴澄江店|服务量</v>
      </c>
      <c r="W1568">
        <f t="shared" si="371"/>
        <v>1561</v>
      </c>
      <c r="X1568" t="str">
        <f t="shared" si="372"/>
        <v>锦江都城江阴澄江店|平均房价</v>
      </c>
      <c r="Y1568">
        <f t="shared" si="373"/>
        <v>1561</v>
      </c>
      <c r="Z1568">
        <f>IF($A1568="",0,IF(AND($M1568=1,$A1568=经营数据!$B$3,$J1568=经营数据!$BA$5,OR($I1568=经营数据!$BA$4,COUNTIF(经营数据!$AA$9:$AA$38,$I1568)&gt;0)),1,0))</f>
        <v>0</v>
      </c>
      <c r="AA1568" t="str">
        <f t="shared" si="374"/>
        <v/>
      </c>
      <c r="AB1568" t="str">
        <f t="shared" si="375"/>
        <v/>
      </c>
      <c r="AC1568">
        <f>IF($A1568="",0,IF(COUNTIF($A$2:$A1568,$A1568)=1,1,0))</f>
        <v>0</v>
      </c>
      <c r="AD1568">
        <f t="shared" si="376"/>
        <v>18</v>
      </c>
      <c r="AE1568" t="str">
        <f t="shared" si="377"/>
        <v>锦江都城江阴澄江店|平均房价（元/间）</v>
      </c>
    </row>
    <row r="1569" spans="1:31" x14ac:dyDescent="0.4">
      <c r="A1569" t="str">
        <f>IF(原始经营数据!$D1570="","",原始经营数据!$D1570)</f>
        <v>华安锦江封闭式商业不动产证券投资基金</v>
      </c>
      <c r="B1569" t="str">
        <f>IF(原始经营数据!$D1570="","",T(原始经营数据!$E1570))</f>
        <v>锦江都城江阴澄江店</v>
      </c>
      <c r="C1569" t="str">
        <f>IF(原始经营数据!$D1570="","",原始经营数据!$F1570)</f>
        <v>2024</v>
      </c>
      <c r="D1569" t="str">
        <f>IF(原始经营数据!$D1570="","",原始经营数据!$H1570)</f>
        <v>平均入住率</v>
      </c>
      <c r="E1569">
        <f>IF(原始经营数据!$D1570="","",原始经营数据!$I1570)</f>
        <v>53.32</v>
      </c>
      <c r="F1569" t="str">
        <f>IF(原始经营数据!$D1570="","",T(原始经营数据!$J1570))</f>
        <v>%</v>
      </c>
      <c r="G1569" t="str">
        <f>IF(原始经营数据!$D1570="","",T(原始经营数据!$K1570))</f>
        <v/>
      </c>
      <c r="H1569" t="str">
        <f>IF(原始经营数据!$D1570="","",原始经营数据!$G1570)</f>
        <v>服务量</v>
      </c>
      <c r="I1569" t="str">
        <f>IF($A1569="","",IF($B1569&lt;&gt;"",$B1569,IF(COUNTIFS(原始经营数据!$D$3:$D$3001,$A1569,原始经营数据!$E$3:$E$3001,"",原始经营数据!$F$3:$F$3001,$C1569,原始经营数据!$H$3:$H$3001,$D1569,原始经营数据!$K$3:$K$3001,$G1569)&gt;1,"基金整体·来源"&amp;原始经营数据!$A1570,"基金整体")))</f>
        <v>锦江都城江阴澄江店</v>
      </c>
      <c r="J1569" t="str">
        <f t="shared" si="363"/>
        <v>年度</v>
      </c>
      <c r="K1569" t="str">
        <f t="shared" si="364"/>
        <v>平均入住率（%）</v>
      </c>
      <c r="L1569" t="str">
        <f t="shared" si="365"/>
        <v>锦江都城江阴澄江店|平均入住率（%）|年度</v>
      </c>
      <c r="M1569">
        <f>IF($A1569="",0,IF(COUNTIF($L$2:$L1569,$L1569)=1,1,0))</f>
        <v>0</v>
      </c>
      <c r="N1569">
        <f t="shared" si="366"/>
        <v>20240</v>
      </c>
      <c r="O1569" t="str">
        <f t="shared" si="367"/>
        <v>华安锦江封闭式商业不动产证券投资基金|2024|年度</v>
      </c>
      <c r="P1569">
        <f>IF($A1569="",0,IF(COUNTIF($O$2:$O1569,$O1569)=1,1,0))</f>
        <v>0</v>
      </c>
      <c r="Q1569" t="str">
        <f>IF(AND($P1569=1,$A1569=经营数据!$B$3,$J1569=经营数据!$BA$5),COUNTIFS($P$2:$P$3000,1,$A$2:$A$3000,$A1569,$J$2:$J$3000,$J1569,$N$2:$N$3000,"&lt;"&amp;$N1569)+1,"")</f>
        <v/>
      </c>
      <c r="R1569" t="str">
        <f t="shared" si="368"/>
        <v>华安锦江封闭式商业不动产证券投资基金|锦江都城江阴澄江店</v>
      </c>
      <c r="S1569">
        <f>IF($A1569="",0,IF(COUNTIF($R$2:$R1569,$R1569)=1,1,0))</f>
        <v>0</v>
      </c>
      <c r="T1569">
        <f t="shared" si="369"/>
        <v>1561</v>
      </c>
      <c r="U1569" t="str">
        <f>IF($A1569="","",IF($A1569=经营数据!$B$3,COUNTIFS($S$2:$S$3000,1,$A$2:$A$3000,$A1569,$T$2:$T$3000,"&lt;"&amp;$T1569)+1,""))</f>
        <v/>
      </c>
      <c r="V1569" t="str">
        <f t="shared" si="370"/>
        <v>锦江都城江阴澄江店|服务量</v>
      </c>
      <c r="W1569">
        <f t="shared" si="371"/>
        <v>1561</v>
      </c>
      <c r="X1569" t="str">
        <f t="shared" si="372"/>
        <v>锦江都城江阴澄江店|平均入住率</v>
      </c>
      <c r="Y1569">
        <f t="shared" si="373"/>
        <v>1562</v>
      </c>
      <c r="Z1569">
        <f>IF($A1569="",0,IF(AND($M1569=1,$A1569=经营数据!$B$3,$J1569=经营数据!$BA$5,OR($I1569=经营数据!$BA$4,COUNTIF(经营数据!$AA$9:$AA$38,$I1569)&gt;0)),1,0))</f>
        <v>0</v>
      </c>
      <c r="AA1569" t="str">
        <f t="shared" si="374"/>
        <v/>
      </c>
      <c r="AB1569" t="str">
        <f t="shared" si="375"/>
        <v/>
      </c>
      <c r="AC1569">
        <f>IF($A1569="",0,IF(COUNTIF($A$2:$A1569,$A1569)=1,1,0))</f>
        <v>0</v>
      </c>
      <c r="AD1569">
        <f t="shared" si="376"/>
        <v>18</v>
      </c>
      <c r="AE1569" t="str">
        <f t="shared" si="377"/>
        <v>锦江都城江阴澄江店|平均入住率（%）</v>
      </c>
    </row>
    <row r="1570" spans="1:31" x14ac:dyDescent="0.4">
      <c r="A1570" t="str">
        <f>IF(原始经营数据!$D1571="","",原始经营数据!$D1571)</f>
        <v>华安锦江封闭式商业不动产证券投资基金</v>
      </c>
      <c r="B1570" t="str">
        <f>IF(原始经营数据!$D1571="","",T(原始经营数据!$E1571))</f>
        <v>锦江都城江阴澄江店</v>
      </c>
      <c r="C1570" t="str">
        <f>IF(原始经营数据!$D1571="","",原始经营数据!$F1571)</f>
        <v>2024</v>
      </c>
      <c r="D1570" t="str">
        <f>IF(原始经营数据!$D1571="","",原始经营数据!$H1571)</f>
        <v>可供房数</v>
      </c>
      <c r="E1570">
        <f>IF(原始经营数据!$D1571="","",原始经营数据!$I1571)</f>
        <v>8926</v>
      </c>
      <c r="F1570" t="str">
        <f>IF(原始经营数据!$D1571="","",T(原始经营数据!$J1571))</f>
        <v>间</v>
      </c>
      <c r="G1570" t="str">
        <f>IF(原始经营数据!$D1571="","",T(原始经营数据!$K1571))</f>
        <v/>
      </c>
      <c r="H1570" t="str">
        <f>IF(原始经营数据!$D1571="","",原始经营数据!$G1571)</f>
        <v>服务量</v>
      </c>
      <c r="I1570" t="str">
        <f>IF($A1570="","",IF($B1570&lt;&gt;"",$B1570,IF(COUNTIFS(原始经营数据!$D$3:$D$3001,$A1570,原始经营数据!$E$3:$E$3001,"",原始经营数据!$F$3:$F$3001,$C1570,原始经营数据!$H$3:$H$3001,$D1570,原始经营数据!$K$3:$K$3001,$G1570)&gt;1,"基金整体·来源"&amp;原始经营数据!$A1571,"基金整体")))</f>
        <v>锦江都城江阴澄江店</v>
      </c>
      <c r="J1570" t="str">
        <f t="shared" si="363"/>
        <v>年度</v>
      </c>
      <c r="K1570" t="str">
        <f t="shared" si="364"/>
        <v>可供房数（间）</v>
      </c>
      <c r="L1570" t="str">
        <f t="shared" si="365"/>
        <v>锦江都城江阴澄江店|可供房数（间）|年度</v>
      </c>
      <c r="M1570">
        <f>IF($A1570="",0,IF(COUNTIF($L$2:$L1570,$L1570)=1,1,0))</f>
        <v>0</v>
      </c>
      <c r="N1570">
        <f t="shared" si="366"/>
        <v>20240</v>
      </c>
      <c r="O1570" t="str">
        <f t="shared" si="367"/>
        <v>华安锦江封闭式商业不动产证券投资基金|2024|年度</v>
      </c>
      <c r="P1570">
        <f>IF($A1570="",0,IF(COUNTIF($O$2:$O1570,$O1570)=1,1,0))</f>
        <v>0</v>
      </c>
      <c r="Q1570" t="str">
        <f>IF(AND($P1570=1,$A1570=经营数据!$B$3,$J1570=经营数据!$BA$5),COUNTIFS($P$2:$P$3000,1,$A$2:$A$3000,$A1570,$J$2:$J$3000,$J1570,$N$2:$N$3000,"&lt;"&amp;$N1570)+1,"")</f>
        <v/>
      </c>
      <c r="R1570" t="str">
        <f t="shared" si="368"/>
        <v>华安锦江封闭式商业不动产证券投资基金|锦江都城江阴澄江店</v>
      </c>
      <c r="S1570">
        <f>IF($A1570="",0,IF(COUNTIF($R$2:$R1570,$R1570)=1,1,0))</f>
        <v>0</v>
      </c>
      <c r="T1570">
        <f t="shared" si="369"/>
        <v>1561</v>
      </c>
      <c r="U1570" t="str">
        <f>IF($A1570="","",IF($A1570=经营数据!$B$3,COUNTIFS($S$2:$S$3000,1,$A$2:$A$3000,$A1570,$T$2:$T$3000,"&lt;"&amp;$T1570)+1,""))</f>
        <v/>
      </c>
      <c r="V1570" t="str">
        <f t="shared" si="370"/>
        <v>锦江都城江阴澄江店|服务量</v>
      </c>
      <c r="W1570">
        <f t="shared" si="371"/>
        <v>1561</v>
      </c>
      <c r="X1570" t="str">
        <f t="shared" si="372"/>
        <v>锦江都城江阴澄江店|可供房数</v>
      </c>
      <c r="Y1570">
        <f t="shared" si="373"/>
        <v>1563</v>
      </c>
      <c r="Z1570">
        <f>IF($A1570="",0,IF(AND($M1570=1,$A1570=经营数据!$B$3,$J1570=经营数据!$BA$5,OR($I1570=经营数据!$BA$4,COUNTIF(经营数据!$AA$9:$AA$38,$I1570)&gt;0)),1,0))</f>
        <v>0</v>
      </c>
      <c r="AA1570" t="str">
        <f t="shared" si="374"/>
        <v/>
      </c>
      <c r="AB1570" t="str">
        <f t="shared" si="375"/>
        <v/>
      </c>
      <c r="AC1570">
        <f>IF($A1570="",0,IF(COUNTIF($A$2:$A1570,$A1570)=1,1,0))</f>
        <v>0</v>
      </c>
      <c r="AD1570">
        <f t="shared" si="376"/>
        <v>18</v>
      </c>
      <c r="AE1570" t="str">
        <f t="shared" si="377"/>
        <v>锦江都城江阴澄江店|可供房数（间）</v>
      </c>
    </row>
    <row r="1571" spans="1:31" x14ac:dyDescent="0.4">
      <c r="A1571" t="str">
        <f>IF(原始经营数据!$D1572="","",原始经营数据!$D1572)</f>
        <v>华安锦江封闭式商业不动产证券投资基金</v>
      </c>
      <c r="B1571" t="str">
        <f>IF(原始经营数据!$D1572="","",T(原始经营数据!$E1572))</f>
        <v>锦江都城江阴澄江店</v>
      </c>
      <c r="C1571" t="str">
        <f>IF(原始经营数据!$D1572="","",原始经营数据!$F1572)</f>
        <v>2025</v>
      </c>
      <c r="D1571" t="str">
        <f>IF(原始经营数据!$D1572="","",原始经营数据!$H1572)</f>
        <v>平均房价</v>
      </c>
      <c r="E1571">
        <f>IF(原始经营数据!$D1572="","",原始经营数据!$I1572)</f>
        <v>154.08000000000001</v>
      </c>
      <c r="F1571" t="str">
        <f>IF(原始经营数据!$D1572="","",T(原始经营数据!$J1572))</f>
        <v>元/间</v>
      </c>
      <c r="G1571" t="str">
        <f>IF(原始经营数据!$D1572="","",T(原始经营数据!$K1572))</f>
        <v/>
      </c>
      <c r="H1571" t="str">
        <f>IF(原始经营数据!$D1572="","",原始经营数据!$G1572)</f>
        <v>服务量</v>
      </c>
      <c r="I1571" t="str">
        <f>IF($A1571="","",IF($B1571&lt;&gt;"",$B1571,IF(COUNTIFS(原始经营数据!$D$3:$D$3001,$A1571,原始经营数据!$E$3:$E$3001,"",原始经营数据!$F$3:$F$3001,$C1571,原始经营数据!$H$3:$H$3001,$D1571,原始经营数据!$K$3:$K$3001,$G1571)&gt;1,"基金整体·来源"&amp;原始经营数据!$A1572,"基金整体")))</f>
        <v>锦江都城江阴澄江店</v>
      </c>
      <c r="J1571" t="str">
        <f t="shared" si="363"/>
        <v>年度</v>
      </c>
      <c r="K1571" t="str">
        <f t="shared" si="364"/>
        <v>平均房价（元/间）</v>
      </c>
      <c r="L1571" t="str">
        <f t="shared" si="365"/>
        <v>锦江都城江阴澄江店|平均房价（元/间）|年度</v>
      </c>
      <c r="M1571">
        <f>IF($A1571="",0,IF(COUNTIF($L$2:$L1571,$L1571)=1,1,0))</f>
        <v>0</v>
      </c>
      <c r="N1571">
        <f t="shared" si="366"/>
        <v>20250</v>
      </c>
      <c r="O1571" t="str">
        <f t="shared" si="367"/>
        <v>华安锦江封闭式商业不动产证券投资基金|2025|年度</v>
      </c>
      <c r="P1571">
        <f>IF($A1571="",0,IF(COUNTIF($O$2:$O1571,$O1571)=1,1,0))</f>
        <v>0</v>
      </c>
      <c r="Q1571" t="str">
        <f>IF(AND($P1571=1,$A1571=经营数据!$B$3,$J1571=经营数据!$BA$5),COUNTIFS($P$2:$P$3000,1,$A$2:$A$3000,$A1571,$J$2:$J$3000,$J1571,$N$2:$N$3000,"&lt;"&amp;$N1571)+1,"")</f>
        <v/>
      </c>
      <c r="R1571" t="str">
        <f t="shared" si="368"/>
        <v>华安锦江封闭式商业不动产证券投资基金|锦江都城江阴澄江店</v>
      </c>
      <c r="S1571">
        <f>IF($A1571="",0,IF(COUNTIF($R$2:$R1571,$R1571)=1,1,0))</f>
        <v>0</v>
      </c>
      <c r="T1571">
        <f t="shared" si="369"/>
        <v>1561</v>
      </c>
      <c r="U1571" t="str">
        <f>IF($A1571="","",IF($A1571=经营数据!$B$3,COUNTIFS($S$2:$S$3000,1,$A$2:$A$3000,$A1571,$T$2:$T$3000,"&lt;"&amp;$T1571)+1,""))</f>
        <v/>
      </c>
      <c r="V1571" t="str">
        <f t="shared" si="370"/>
        <v>锦江都城江阴澄江店|服务量</v>
      </c>
      <c r="W1571">
        <f t="shared" si="371"/>
        <v>1561</v>
      </c>
      <c r="X1571" t="str">
        <f t="shared" si="372"/>
        <v>锦江都城江阴澄江店|平均房价</v>
      </c>
      <c r="Y1571">
        <f t="shared" si="373"/>
        <v>1561</v>
      </c>
      <c r="Z1571">
        <f>IF($A1571="",0,IF(AND($M1571=1,$A1571=经营数据!$B$3,$J1571=经营数据!$BA$5,OR($I1571=经营数据!$BA$4,COUNTIF(经营数据!$AA$9:$AA$38,$I1571)&gt;0)),1,0))</f>
        <v>0</v>
      </c>
      <c r="AA1571" t="str">
        <f t="shared" si="374"/>
        <v/>
      </c>
      <c r="AB1571" t="str">
        <f t="shared" si="375"/>
        <v/>
      </c>
      <c r="AC1571">
        <f>IF($A1571="",0,IF(COUNTIF($A$2:$A1571,$A1571)=1,1,0))</f>
        <v>0</v>
      </c>
      <c r="AD1571">
        <f t="shared" si="376"/>
        <v>18</v>
      </c>
      <c r="AE1571" t="str">
        <f t="shared" si="377"/>
        <v>锦江都城江阴澄江店|平均房价（元/间）</v>
      </c>
    </row>
    <row r="1572" spans="1:31" x14ac:dyDescent="0.4">
      <c r="A1572" t="str">
        <f>IF(原始经营数据!$D1573="","",原始经营数据!$D1573)</f>
        <v>华安锦江封闭式商业不动产证券投资基金</v>
      </c>
      <c r="B1572" t="str">
        <f>IF(原始经营数据!$D1573="","",T(原始经营数据!$E1573))</f>
        <v>锦江都城江阴澄江店</v>
      </c>
      <c r="C1572" t="str">
        <f>IF(原始经营数据!$D1573="","",原始经营数据!$F1573)</f>
        <v>2025</v>
      </c>
      <c r="D1572" t="str">
        <f>IF(原始经营数据!$D1573="","",原始经营数据!$H1573)</f>
        <v>平均入住率</v>
      </c>
      <c r="E1572">
        <f>IF(原始经营数据!$D1573="","",原始经营数据!$I1573)</f>
        <v>48.84</v>
      </c>
      <c r="F1572" t="str">
        <f>IF(原始经营数据!$D1573="","",T(原始经营数据!$J1573))</f>
        <v>%</v>
      </c>
      <c r="G1572" t="str">
        <f>IF(原始经营数据!$D1573="","",T(原始经营数据!$K1573))</f>
        <v/>
      </c>
      <c r="H1572" t="str">
        <f>IF(原始经营数据!$D1573="","",原始经营数据!$G1573)</f>
        <v>服务量</v>
      </c>
      <c r="I1572" t="str">
        <f>IF($A1572="","",IF($B1572&lt;&gt;"",$B1572,IF(COUNTIFS(原始经营数据!$D$3:$D$3001,$A1572,原始经营数据!$E$3:$E$3001,"",原始经营数据!$F$3:$F$3001,$C1572,原始经营数据!$H$3:$H$3001,$D1572,原始经营数据!$K$3:$K$3001,$G1572)&gt;1,"基金整体·来源"&amp;原始经营数据!$A1573,"基金整体")))</f>
        <v>锦江都城江阴澄江店</v>
      </c>
      <c r="J1572" t="str">
        <f t="shared" si="363"/>
        <v>年度</v>
      </c>
      <c r="K1572" t="str">
        <f t="shared" si="364"/>
        <v>平均入住率（%）</v>
      </c>
      <c r="L1572" t="str">
        <f t="shared" si="365"/>
        <v>锦江都城江阴澄江店|平均入住率（%）|年度</v>
      </c>
      <c r="M1572">
        <f>IF($A1572="",0,IF(COUNTIF($L$2:$L1572,$L1572)=1,1,0))</f>
        <v>0</v>
      </c>
      <c r="N1572">
        <f t="shared" si="366"/>
        <v>20250</v>
      </c>
      <c r="O1572" t="str">
        <f t="shared" si="367"/>
        <v>华安锦江封闭式商业不动产证券投资基金|2025|年度</v>
      </c>
      <c r="P1572">
        <f>IF($A1572="",0,IF(COUNTIF($O$2:$O1572,$O1572)=1,1,0))</f>
        <v>0</v>
      </c>
      <c r="Q1572" t="str">
        <f>IF(AND($P1572=1,$A1572=经营数据!$B$3,$J1572=经营数据!$BA$5),COUNTIFS($P$2:$P$3000,1,$A$2:$A$3000,$A1572,$J$2:$J$3000,$J1572,$N$2:$N$3000,"&lt;"&amp;$N1572)+1,"")</f>
        <v/>
      </c>
      <c r="R1572" t="str">
        <f t="shared" si="368"/>
        <v>华安锦江封闭式商业不动产证券投资基金|锦江都城江阴澄江店</v>
      </c>
      <c r="S1572">
        <f>IF($A1572="",0,IF(COUNTIF($R$2:$R1572,$R1572)=1,1,0))</f>
        <v>0</v>
      </c>
      <c r="T1572">
        <f t="shared" si="369"/>
        <v>1561</v>
      </c>
      <c r="U1572" t="str">
        <f>IF($A1572="","",IF($A1572=经营数据!$B$3,COUNTIFS($S$2:$S$3000,1,$A$2:$A$3000,$A1572,$T$2:$T$3000,"&lt;"&amp;$T1572)+1,""))</f>
        <v/>
      </c>
      <c r="V1572" t="str">
        <f t="shared" si="370"/>
        <v>锦江都城江阴澄江店|服务量</v>
      </c>
      <c r="W1572">
        <f t="shared" si="371"/>
        <v>1561</v>
      </c>
      <c r="X1572" t="str">
        <f t="shared" si="372"/>
        <v>锦江都城江阴澄江店|平均入住率</v>
      </c>
      <c r="Y1572">
        <f t="shared" si="373"/>
        <v>1562</v>
      </c>
      <c r="Z1572">
        <f>IF($A1572="",0,IF(AND($M1572=1,$A1572=经营数据!$B$3,$J1572=经营数据!$BA$5,OR($I1572=经营数据!$BA$4,COUNTIF(经营数据!$AA$9:$AA$38,$I1572)&gt;0)),1,0))</f>
        <v>0</v>
      </c>
      <c r="AA1572" t="str">
        <f t="shared" si="374"/>
        <v/>
      </c>
      <c r="AB1572" t="str">
        <f t="shared" si="375"/>
        <v/>
      </c>
      <c r="AC1572">
        <f>IF($A1572="",0,IF(COUNTIF($A$2:$A1572,$A1572)=1,1,0))</f>
        <v>0</v>
      </c>
      <c r="AD1572">
        <f t="shared" si="376"/>
        <v>18</v>
      </c>
      <c r="AE1572" t="str">
        <f t="shared" si="377"/>
        <v>锦江都城江阴澄江店|平均入住率（%）</v>
      </c>
    </row>
    <row r="1573" spans="1:31" x14ac:dyDescent="0.4">
      <c r="A1573" t="str">
        <f>IF(原始经营数据!$D1574="","",原始经营数据!$D1574)</f>
        <v>华安锦江封闭式商业不动产证券投资基金</v>
      </c>
      <c r="B1573" t="str">
        <f>IF(原始经营数据!$D1574="","",T(原始经营数据!$E1574))</f>
        <v>锦江都城江阴澄江店</v>
      </c>
      <c r="C1573" t="str">
        <f>IF(原始经营数据!$D1574="","",原始经营数据!$F1574)</f>
        <v>2025</v>
      </c>
      <c r="D1573" t="str">
        <f>IF(原始经营数据!$D1574="","",原始经营数据!$H1574)</f>
        <v>可供房数</v>
      </c>
      <c r="E1573">
        <f>IF(原始经营数据!$D1574="","",原始经营数据!$I1574)</f>
        <v>58109</v>
      </c>
      <c r="F1573" t="str">
        <f>IF(原始经营数据!$D1574="","",T(原始经营数据!$J1574))</f>
        <v>间</v>
      </c>
      <c r="G1573" t="str">
        <f>IF(原始经营数据!$D1574="","",T(原始经营数据!$K1574))</f>
        <v/>
      </c>
      <c r="H1573" t="str">
        <f>IF(原始经营数据!$D1574="","",原始经营数据!$G1574)</f>
        <v>服务量</v>
      </c>
      <c r="I1573" t="str">
        <f>IF($A1573="","",IF($B1573&lt;&gt;"",$B1573,IF(COUNTIFS(原始经营数据!$D$3:$D$3001,$A1573,原始经营数据!$E$3:$E$3001,"",原始经营数据!$F$3:$F$3001,$C1573,原始经营数据!$H$3:$H$3001,$D1573,原始经营数据!$K$3:$K$3001,$G1573)&gt;1,"基金整体·来源"&amp;原始经营数据!$A1574,"基金整体")))</f>
        <v>锦江都城江阴澄江店</v>
      </c>
      <c r="J1573" t="str">
        <f t="shared" si="363"/>
        <v>年度</v>
      </c>
      <c r="K1573" t="str">
        <f t="shared" si="364"/>
        <v>可供房数（间）</v>
      </c>
      <c r="L1573" t="str">
        <f t="shared" si="365"/>
        <v>锦江都城江阴澄江店|可供房数（间）|年度</v>
      </c>
      <c r="M1573">
        <f>IF($A1573="",0,IF(COUNTIF($L$2:$L1573,$L1573)=1,1,0))</f>
        <v>0</v>
      </c>
      <c r="N1573">
        <f t="shared" si="366"/>
        <v>20250</v>
      </c>
      <c r="O1573" t="str">
        <f t="shared" si="367"/>
        <v>华安锦江封闭式商业不动产证券投资基金|2025|年度</v>
      </c>
      <c r="P1573">
        <f>IF($A1573="",0,IF(COUNTIF($O$2:$O1573,$O1573)=1,1,0))</f>
        <v>0</v>
      </c>
      <c r="Q1573" t="str">
        <f>IF(AND($P1573=1,$A1573=经营数据!$B$3,$J1573=经营数据!$BA$5),COUNTIFS($P$2:$P$3000,1,$A$2:$A$3000,$A1573,$J$2:$J$3000,$J1573,$N$2:$N$3000,"&lt;"&amp;$N1573)+1,"")</f>
        <v/>
      </c>
      <c r="R1573" t="str">
        <f t="shared" si="368"/>
        <v>华安锦江封闭式商业不动产证券投资基金|锦江都城江阴澄江店</v>
      </c>
      <c r="S1573">
        <f>IF($A1573="",0,IF(COUNTIF($R$2:$R1573,$R1573)=1,1,0))</f>
        <v>0</v>
      </c>
      <c r="T1573">
        <f t="shared" si="369"/>
        <v>1561</v>
      </c>
      <c r="U1573" t="str">
        <f>IF($A1573="","",IF($A1573=经营数据!$B$3,COUNTIFS($S$2:$S$3000,1,$A$2:$A$3000,$A1573,$T$2:$T$3000,"&lt;"&amp;$T1573)+1,""))</f>
        <v/>
      </c>
      <c r="V1573" t="str">
        <f t="shared" si="370"/>
        <v>锦江都城江阴澄江店|服务量</v>
      </c>
      <c r="W1573">
        <f t="shared" si="371"/>
        <v>1561</v>
      </c>
      <c r="X1573" t="str">
        <f t="shared" si="372"/>
        <v>锦江都城江阴澄江店|可供房数</v>
      </c>
      <c r="Y1573">
        <f t="shared" si="373"/>
        <v>1563</v>
      </c>
      <c r="Z1573">
        <f>IF($A1573="",0,IF(AND($M1573=1,$A1573=经营数据!$B$3,$J1573=经营数据!$BA$5,OR($I1573=经营数据!$BA$4,COUNTIF(经营数据!$AA$9:$AA$38,$I1573)&gt;0)),1,0))</f>
        <v>0</v>
      </c>
      <c r="AA1573" t="str">
        <f t="shared" si="374"/>
        <v/>
      </c>
      <c r="AB1573" t="str">
        <f t="shared" si="375"/>
        <v/>
      </c>
      <c r="AC1573">
        <f>IF($A1573="",0,IF(COUNTIF($A$2:$A1573,$A1573)=1,1,0))</f>
        <v>0</v>
      </c>
      <c r="AD1573">
        <f t="shared" si="376"/>
        <v>18</v>
      </c>
      <c r="AE1573" t="str">
        <f t="shared" si="377"/>
        <v>锦江都城江阴澄江店|可供房数（间）</v>
      </c>
    </row>
    <row r="1574" spans="1:31" x14ac:dyDescent="0.4">
      <c r="A1574" t="str">
        <f>IF(原始经营数据!$D1575="","",原始经营数据!$D1575)</f>
        <v>华安锦江封闭式商业不动产证券投资基金</v>
      </c>
      <c r="B1574" t="str">
        <f>IF(原始经营数据!$D1575="","",T(原始经营数据!$E1575))</f>
        <v>锦江都城沈阳铁西店</v>
      </c>
      <c r="C1574" t="str">
        <f>IF(原始经营数据!$D1575="","",原始经营数据!$F1575)</f>
        <v>2022</v>
      </c>
      <c r="D1574" t="str">
        <f>IF(原始经营数据!$D1575="","",原始经营数据!$H1575)</f>
        <v>平均房价</v>
      </c>
      <c r="E1574">
        <f>IF(原始经营数据!$D1575="","",原始经营数据!$I1575)</f>
        <v>234.61</v>
      </c>
      <c r="F1574" t="str">
        <f>IF(原始经营数据!$D1575="","",T(原始经营数据!$J1575))</f>
        <v>元/间</v>
      </c>
      <c r="G1574" t="str">
        <f>IF(原始经营数据!$D1575="","",T(原始经营数据!$K1575))</f>
        <v/>
      </c>
      <c r="H1574" t="str">
        <f>IF(原始经营数据!$D1575="","",原始经营数据!$G1575)</f>
        <v>服务量</v>
      </c>
      <c r="I1574" t="str">
        <f>IF($A1574="","",IF($B1574&lt;&gt;"",$B1574,IF(COUNTIFS(原始经营数据!$D$3:$D$3001,$A1574,原始经营数据!$E$3:$E$3001,"",原始经营数据!$F$3:$F$3001,$C1574,原始经营数据!$H$3:$H$3001,$D1574,原始经营数据!$K$3:$K$3001,$G1574)&gt;1,"基金整体·来源"&amp;原始经营数据!$A1575,"基金整体")))</f>
        <v>锦江都城沈阳铁西店</v>
      </c>
      <c r="J1574" t="str">
        <f t="shared" si="363"/>
        <v>年度</v>
      </c>
      <c r="K1574" t="str">
        <f t="shared" si="364"/>
        <v>平均房价（元/间）</v>
      </c>
      <c r="L1574" t="str">
        <f t="shared" si="365"/>
        <v>锦江都城沈阳铁西店|平均房价（元/间）|年度</v>
      </c>
      <c r="M1574">
        <f>IF($A1574="",0,IF(COUNTIF($L$2:$L1574,$L1574)=1,1,0))</f>
        <v>1</v>
      </c>
      <c r="N1574">
        <f t="shared" si="366"/>
        <v>20220</v>
      </c>
      <c r="O1574" t="str">
        <f t="shared" si="367"/>
        <v>华安锦江封闭式商业不动产证券投资基金|2022|年度</v>
      </c>
      <c r="P1574">
        <f>IF($A1574="",0,IF(COUNTIF($O$2:$O1574,$O1574)=1,1,0))</f>
        <v>0</v>
      </c>
      <c r="Q1574" t="str">
        <f>IF(AND($P1574=1,$A1574=经营数据!$B$3,$J1574=经营数据!$BA$5),COUNTIFS($P$2:$P$3000,1,$A$2:$A$3000,$A1574,$J$2:$J$3000,$J1574,$N$2:$N$3000,"&lt;"&amp;$N1574)+1,"")</f>
        <v/>
      </c>
      <c r="R1574" t="str">
        <f t="shared" si="368"/>
        <v>华安锦江封闭式商业不动产证券投资基金|锦江都城沈阳铁西店</v>
      </c>
      <c r="S1574">
        <f>IF($A1574="",0,IF(COUNTIF($R$2:$R1574,$R1574)=1,1,0))</f>
        <v>1</v>
      </c>
      <c r="T1574">
        <f t="shared" si="369"/>
        <v>1573</v>
      </c>
      <c r="U1574" t="str">
        <f>IF($A1574="","",IF($A1574=经营数据!$B$3,COUNTIFS($S$2:$S$3000,1,$A$2:$A$3000,$A1574,$T$2:$T$3000,"&lt;"&amp;$T1574)+1,""))</f>
        <v/>
      </c>
      <c r="V1574" t="str">
        <f t="shared" si="370"/>
        <v>锦江都城沈阳铁西店|服务量</v>
      </c>
      <c r="W1574">
        <f t="shared" si="371"/>
        <v>1573</v>
      </c>
      <c r="X1574" t="str">
        <f t="shared" si="372"/>
        <v>锦江都城沈阳铁西店|平均房价</v>
      </c>
      <c r="Y1574">
        <f t="shared" si="373"/>
        <v>1573</v>
      </c>
      <c r="Z1574">
        <f>IF($A1574="",0,IF(AND($M1574=1,$A1574=经营数据!$B$3,$J1574=经营数据!$BA$5,OR($I1574=经营数据!$BA$4,COUNTIF(经营数据!$AA$9:$AA$38,$I1574)&gt;0)),1,0))</f>
        <v>0</v>
      </c>
      <c r="AA1574" t="str">
        <f t="shared" si="374"/>
        <v/>
      </c>
      <c r="AB1574" t="str">
        <f t="shared" si="375"/>
        <v/>
      </c>
      <c r="AC1574">
        <f>IF($A1574="",0,IF(COUNTIF($A$2:$A1574,$A1574)=1,1,0))</f>
        <v>0</v>
      </c>
      <c r="AD1574">
        <f t="shared" si="376"/>
        <v>18</v>
      </c>
      <c r="AE1574" t="str">
        <f t="shared" si="377"/>
        <v>锦江都城沈阳铁西店|平均房价（元/间）</v>
      </c>
    </row>
    <row r="1575" spans="1:31" x14ac:dyDescent="0.4">
      <c r="A1575" t="str">
        <f>IF(原始经营数据!$D1576="","",原始经营数据!$D1576)</f>
        <v>华安锦江封闭式商业不动产证券投资基金</v>
      </c>
      <c r="B1575" t="str">
        <f>IF(原始经营数据!$D1576="","",T(原始经营数据!$E1576))</f>
        <v>锦江都城沈阳铁西店</v>
      </c>
      <c r="C1575" t="str">
        <f>IF(原始经营数据!$D1576="","",原始经营数据!$F1576)</f>
        <v>2022</v>
      </c>
      <c r="D1575" t="str">
        <f>IF(原始经营数据!$D1576="","",原始经营数据!$H1576)</f>
        <v>平均入住率</v>
      </c>
      <c r="E1575">
        <f>IF(原始经营数据!$D1576="","",原始经营数据!$I1576)</f>
        <v>69.13</v>
      </c>
      <c r="F1575" t="str">
        <f>IF(原始经营数据!$D1576="","",T(原始经营数据!$J1576))</f>
        <v>%</v>
      </c>
      <c r="G1575" t="str">
        <f>IF(原始经营数据!$D1576="","",T(原始经营数据!$K1576))</f>
        <v/>
      </c>
      <c r="H1575" t="str">
        <f>IF(原始经营数据!$D1576="","",原始经营数据!$G1576)</f>
        <v>服务量</v>
      </c>
      <c r="I1575" t="str">
        <f>IF($A1575="","",IF($B1575&lt;&gt;"",$B1575,IF(COUNTIFS(原始经营数据!$D$3:$D$3001,$A1575,原始经营数据!$E$3:$E$3001,"",原始经营数据!$F$3:$F$3001,$C1575,原始经营数据!$H$3:$H$3001,$D1575,原始经营数据!$K$3:$K$3001,$G1575)&gt;1,"基金整体·来源"&amp;原始经营数据!$A1576,"基金整体")))</f>
        <v>锦江都城沈阳铁西店</v>
      </c>
      <c r="J1575" t="str">
        <f t="shared" si="363"/>
        <v>年度</v>
      </c>
      <c r="K1575" t="str">
        <f t="shared" si="364"/>
        <v>平均入住率（%）</v>
      </c>
      <c r="L1575" t="str">
        <f t="shared" si="365"/>
        <v>锦江都城沈阳铁西店|平均入住率（%）|年度</v>
      </c>
      <c r="M1575">
        <f>IF($A1575="",0,IF(COUNTIF($L$2:$L1575,$L1575)=1,1,0))</f>
        <v>1</v>
      </c>
      <c r="N1575">
        <f t="shared" si="366"/>
        <v>20220</v>
      </c>
      <c r="O1575" t="str">
        <f t="shared" si="367"/>
        <v>华安锦江封闭式商业不动产证券投资基金|2022|年度</v>
      </c>
      <c r="P1575">
        <f>IF($A1575="",0,IF(COUNTIF($O$2:$O1575,$O1575)=1,1,0))</f>
        <v>0</v>
      </c>
      <c r="Q1575" t="str">
        <f>IF(AND($P1575=1,$A1575=经营数据!$B$3,$J1575=经营数据!$BA$5),COUNTIFS($P$2:$P$3000,1,$A$2:$A$3000,$A1575,$J$2:$J$3000,$J1575,$N$2:$N$3000,"&lt;"&amp;$N1575)+1,"")</f>
        <v/>
      </c>
      <c r="R1575" t="str">
        <f t="shared" si="368"/>
        <v>华安锦江封闭式商业不动产证券投资基金|锦江都城沈阳铁西店</v>
      </c>
      <c r="S1575">
        <f>IF($A1575="",0,IF(COUNTIF($R$2:$R1575,$R1575)=1,1,0))</f>
        <v>0</v>
      </c>
      <c r="T1575">
        <f t="shared" si="369"/>
        <v>1573</v>
      </c>
      <c r="U1575" t="str">
        <f>IF($A1575="","",IF($A1575=经营数据!$B$3,COUNTIFS($S$2:$S$3000,1,$A$2:$A$3000,$A1575,$T$2:$T$3000,"&lt;"&amp;$T1575)+1,""))</f>
        <v/>
      </c>
      <c r="V1575" t="str">
        <f t="shared" si="370"/>
        <v>锦江都城沈阳铁西店|服务量</v>
      </c>
      <c r="W1575">
        <f t="shared" si="371"/>
        <v>1573</v>
      </c>
      <c r="X1575" t="str">
        <f t="shared" si="372"/>
        <v>锦江都城沈阳铁西店|平均入住率</v>
      </c>
      <c r="Y1575">
        <f t="shared" si="373"/>
        <v>1574</v>
      </c>
      <c r="Z1575">
        <f>IF($A1575="",0,IF(AND($M1575=1,$A1575=经营数据!$B$3,$J1575=经营数据!$BA$5,OR($I1575=经营数据!$BA$4,COUNTIF(经营数据!$AA$9:$AA$38,$I1575)&gt;0)),1,0))</f>
        <v>0</v>
      </c>
      <c r="AA1575" t="str">
        <f t="shared" si="374"/>
        <v/>
      </c>
      <c r="AB1575" t="str">
        <f t="shared" si="375"/>
        <v/>
      </c>
      <c r="AC1575">
        <f>IF($A1575="",0,IF(COUNTIF($A$2:$A1575,$A1575)=1,1,0))</f>
        <v>0</v>
      </c>
      <c r="AD1575">
        <f t="shared" si="376"/>
        <v>18</v>
      </c>
      <c r="AE1575" t="str">
        <f t="shared" si="377"/>
        <v>锦江都城沈阳铁西店|平均入住率（%）</v>
      </c>
    </row>
    <row r="1576" spans="1:31" x14ac:dyDescent="0.4">
      <c r="A1576" t="str">
        <f>IF(原始经营数据!$D1577="","",原始经营数据!$D1577)</f>
        <v>华安锦江封闭式商业不动产证券投资基金</v>
      </c>
      <c r="B1576" t="str">
        <f>IF(原始经营数据!$D1577="","",T(原始经营数据!$E1577))</f>
        <v>锦江都城沈阳铁西店</v>
      </c>
      <c r="C1576" t="str">
        <f>IF(原始经营数据!$D1577="","",原始经营数据!$F1577)</f>
        <v>2022</v>
      </c>
      <c r="D1576" t="str">
        <f>IF(原始经营数据!$D1577="","",原始经营数据!$H1577)</f>
        <v>可供房数</v>
      </c>
      <c r="E1576">
        <f>IF(原始经营数据!$D1577="","",原始经营数据!$I1577)</f>
        <v>51027</v>
      </c>
      <c r="F1576" t="str">
        <f>IF(原始经营数据!$D1577="","",T(原始经营数据!$J1577))</f>
        <v>间</v>
      </c>
      <c r="G1576" t="str">
        <f>IF(原始经营数据!$D1577="","",T(原始经营数据!$K1577))</f>
        <v/>
      </c>
      <c r="H1576" t="str">
        <f>IF(原始经营数据!$D1577="","",原始经营数据!$G1577)</f>
        <v>服务量</v>
      </c>
      <c r="I1576" t="str">
        <f>IF($A1576="","",IF($B1576&lt;&gt;"",$B1576,IF(COUNTIFS(原始经营数据!$D$3:$D$3001,$A1576,原始经营数据!$E$3:$E$3001,"",原始经营数据!$F$3:$F$3001,$C1576,原始经营数据!$H$3:$H$3001,$D1576,原始经营数据!$K$3:$K$3001,$G1576)&gt;1,"基金整体·来源"&amp;原始经营数据!$A1577,"基金整体")))</f>
        <v>锦江都城沈阳铁西店</v>
      </c>
      <c r="J1576" t="str">
        <f t="shared" si="363"/>
        <v>年度</v>
      </c>
      <c r="K1576" t="str">
        <f t="shared" si="364"/>
        <v>可供房数（间）</v>
      </c>
      <c r="L1576" t="str">
        <f t="shared" si="365"/>
        <v>锦江都城沈阳铁西店|可供房数（间）|年度</v>
      </c>
      <c r="M1576">
        <f>IF($A1576="",0,IF(COUNTIF($L$2:$L1576,$L1576)=1,1,0))</f>
        <v>1</v>
      </c>
      <c r="N1576">
        <f t="shared" si="366"/>
        <v>20220</v>
      </c>
      <c r="O1576" t="str">
        <f t="shared" si="367"/>
        <v>华安锦江封闭式商业不动产证券投资基金|2022|年度</v>
      </c>
      <c r="P1576">
        <f>IF($A1576="",0,IF(COUNTIF($O$2:$O1576,$O1576)=1,1,0))</f>
        <v>0</v>
      </c>
      <c r="Q1576" t="str">
        <f>IF(AND($P1576=1,$A1576=经营数据!$B$3,$J1576=经营数据!$BA$5),COUNTIFS($P$2:$P$3000,1,$A$2:$A$3000,$A1576,$J$2:$J$3000,$J1576,$N$2:$N$3000,"&lt;"&amp;$N1576)+1,"")</f>
        <v/>
      </c>
      <c r="R1576" t="str">
        <f t="shared" si="368"/>
        <v>华安锦江封闭式商业不动产证券投资基金|锦江都城沈阳铁西店</v>
      </c>
      <c r="S1576">
        <f>IF($A1576="",0,IF(COUNTIF($R$2:$R1576,$R1576)=1,1,0))</f>
        <v>0</v>
      </c>
      <c r="T1576">
        <f t="shared" si="369"/>
        <v>1573</v>
      </c>
      <c r="U1576" t="str">
        <f>IF($A1576="","",IF($A1576=经营数据!$B$3,COUNTIFS($S$2:$S$3000,1,$A$2:$A$3000,$A1576,$T$2:$T$3000,"&lt;"&amp;$T1576)+1,""))</f>
        <v/>
      </c>
      <c r="V1576" t="str">
        <f t="shared" si="370"/>
        <v>锦江都城沈阳铁西店|服务量</v>
      </c>
      <c r="W1576">
        <f t="shared" si="371"/>
        <v>1573</v>
      </c>
      <c r="X1576" t="str">
        <f t="shared" si="372"/>
        <v>锦江都城沈阳铁西店|可供房数</v>
      </c>
      <c r="Y1576">
        <f t="shared" si="373"/>
        <v>1575</v>
      </c>
      <c r="Z1576">
        <f>IF($A1576="",0,IF(AND($M1576=1,$A1576=经营数据!$B$3,$J1576=经营数据!$BA$5,OR($I1576=经营数据!$BA$4,COUNTIF(经营数据!$AA$9:$AA$38,$I1576)&gt;0)),1,0))</f>
        <v>0</v>
      </c>
      <c r="AA1576" t="str">
        <f t="shared" si="374"/>
        <v/>
      </c>
      <c r="AB1576" t="str">
        <f t="shared" si="375"/>
        <v/>
      </c>
      <c r="AC1576">
        <f>IF($A1576="",0,IF(COUNTIF($A$2:$A1576,$A1576)=1,1,0))</f>
        <v>0</v>
      </c>
      <c r="AD1576">
        <f t="shared" si="376"/>
        <v>18</v>
      </c>
      <c r="AE1576" t="str">
        <f t="shared" si="377"/>
        <v>锦江都城沈阳铁西店|可供房数（间）</v>
      </c>
    </row>
    <row r="1577" spans="1:31" x14ac:dyDescent="0.4">
      <c r="A1577" t="str">
        <f>IF(原始经营数据!$D1578="","",原始经营数据!$D1578)</f>
        <v>华安锦江封闭式商业不动产证券投资基金</v>
      </c>
      <c r="B1577" t="str">
        <f>IF(原始经营数据!$D1578="","",T(原始经营数据!$E1578))</f>
        <v>锦江都城沈阳铁西店</v>
      </c>
      <c r="C1577" t="str">
        <f>IF(原始经营数据!$D1578="","",原始经营数据!$F1578)</f>
        <v>2023</v>
      </c>
      <c r="D1577" t="str">
        <f>IF(原始经营数据!$D1578="","",原始经营数据!$H1578)</f>
        <v>平均入住率</v>
      </c>
      <c r="E1577">
        <f>IF(原始经营数据!$D1578="","",原始经营数据!$I1578)</f>
        <v>79.11</v>
      </c>
      <c r="F1577" t="str">
        <f>IF(原始经营数据!$D1578="","",T(原始经营数据!$J1578))</f>
        <v>%</v>
      </c>
      <c r="G1577" t="str">
        <f>IF(原始经营数据!$D1578="","",T(原始经营数据!$K1578))</f>
        <v/>
      </c>
      <c r="H1577" t="str">
        <f>IF(原始经营数据!$D1578="","",原始经营数据!$G1578)</f>
        <v>服务量</v>
      </c>
      <c r="I1577" t="str">
        <f>IF($A1577="","",IF($B1577&lt;&gt;"",$B1577,IF(COUNTIFS(原始经营数据!$D$3:$D$3001,$A1577,原始经营数据!$E$3:$E$3001,"",原始经营数据!$F$3:$F$3001,$C1577,原始经营数据!$H$3:$H$3001,$D1577,原始经营数据!$K$3:$K$3001,$G1577)&gt;1,"基金整体·来源"&amp;原始经营数据!$A1578,"基金整体")))</f>
        <v>锦江都城沈阳铁西店</v>
      </c>
      <c r="J1577" t="str">
        <f t="shared" si="363"/>
        <v>年度</v>
      </c>
      <c r="K1577" t="str">
        <f t="shared" si="364"/>
        <v>平均入住率（%）</v>
      </c>
      <c r="L1577" t="str">
        <f t="shared" si="365"/>
        <v>锦江都城沈阳铁西店|平均入住率（%）|年度</v>
      </c>
      <c r="M1577">
        <f>IF($A1577="",0,IF(COUNTIF($L$2:$L1577,$L1577)=1,1,0))</f>
        <v>0</v>
      </c>
      <c r="N1577">
        <f t="shared" si="366"/>
        <v>20230</v>
      </c>
      <c r="O1577" t="str">
        <f t="shared" si="367"/>
        <v>华安锦江封闭式商业不动产证券投资基金|2023|年度</v>
      </c>
      <c r="P1577">
        <f>IF($A1577="",0,IF(COUNTIF($O$2:$O1577,$O1577)=1,1,0))</f>
        <v>0</v>
      </c>
      <c r="Q1577" t="str">
        <f>IF(AND($P1577=1,$A1577=经营数据!$B$3,$J1577=经营数据!$BA$5),COUNTIFS($P$2:$P$3000,1,$A$2:$A$3000,$A1577,$J$2:$J$3000,$J1577,$N$2:$N$3000,"&lt;"&amp;$N1577)+1,"")</f>
        <v/>
      </c>
      <c r="R1577" t="str">
        <f t="shared" si="368"/>
        <v>华安锦江封闭式商业不动产证券投资基金|锦江都城沈阳铁西店</v>
      </c>
      <c r="S1577">
        <f>IF($A1577="",0,IF(COUNTIF($R$2:$R1577,$R1577)=1,1,0))</f>
        <v>0</v>
      </c>
      <c r="T1577">
        <f t="shared" si="369"/>
        <v>1573</v>
      </c>
      <c r="U1577" t="str">
        <f>IF($A1577="","",IF($A1577=经营数据!$B$3,COUNTIFS($S$2:$S$3000,1,$A$2:$A$3000,$A1577,$T$2:$T$3000,"&lt;"&amp;$T1577)+1,""))</f>
        <v/>
      </c>
      <c r="V1577" t="str">
        <f t="shared" si="370"/>
        <v>锦江都城沈阳铁西店|服务量</v>
      </c>
      <c r="W1577">
        <f t="shared" si="371"/>
        <v>1573</v>
      </c>
      <c r="X1577" t="str">
        <f t="shared" si="372"/>
        <v>锦江都城沈阳铁西店|平均入住率</v>
      </c>
      <c r="Y1577">
        <f t="shared" si="373"/>
        <v>1574</v>
      </c>
      <c r="Z1577">
        <f>IF($A1577="",0,IF(AND($M1577=1,$A1577=经营数据!$B$3,$J1577=经营数据!$BA$5,OR($I1577=经营数据!$BA$4,COUNTIF(经营数据!$AA$9:$AA$38,$I1577)&gt;0)),1,0))</f>
        <v>0</v>
      </c>
      <c r="AA1577" t="str">
        <f t="shared" si="374"/>
        <v/>
      </c>
      <c r="AB1577" t="str">
        <f t="shared" si="375"/>
        <v/>
      </c>
      <c r="AC1577">
        <f>IF($A1577="",0,IF(COUNTIF($A$2:$A1577,$A1577)=1,1,0))</f>
        <v>0</v>
      </c>
      <c r="AD1577">
        <f t="shared" si="376"/>
        <v>18</v>
      </c>
      <c r="AE1577" t="str">
        <f t="shared" si="377"/>
        <v>锦江都城沈阳铁西店|平均入住率（%）</v>
      </c>
    </row>
    <row r="1578" spans="1:31" x14ac:dyDescent="0.4">
      <c r="A1578" t="str">
        <f>IF(原始经营数据!$D1579="","",原始经营数据!$D1579)</f>
        <v>华安锦江封闭式商业不动产证券投资基金</v>
      </c>
      <c r="B1578" t="str">
        <f>IF(原始经营数据!$D1579="","",T(原始经营数据!$E1579))</f>
        <v>锦江都城沈阳铁西店</v>
      </c>
      <c r="C1578" t="str">
        <f>IF(原始经营数据!$D1579="","",原始经营数据!$F1579)</f>
        <v>2023</v>
      </c>
      <c r="D1578" t="str">
        <f>IF(原始经营数据!$D1579="","",原始经营数据!$H1579)</f>
        <v>平均房价</v>
      </c>
      <c r="E1578">
        <f>IF(原始经营数据!$D1579="","",原始经营数据!$I1579)</f>
        <v>248.28</v>
      </c>
      <c r="F1578" t="str">
        <f>IF(原始经营数据!$D1579="","",T(原始经营数据!$J1579))</f>
        <v>元/间</v>
      </c>
      <c r="G1578" t="str">
        <f>IF(原始经营数据!$D1579="","",T(原始经营数据!$K1579))</f>
        <v/>
      </c>
      <c r="H1578" t="str">
        <f>IF(原始经营数据!$D1579="","",原始经营数据!$G1579)</f>
        <v>服务量</v>
      </c>
      <c r="I1578" t="str">
        <f>IF($A1578="","",IF($B1578&lt;&gt;"",$B1578,IF(COUNTIFS(原始经营数据!$D$3:$D$3001,$A1578,原始经营数据!$E$3:$E$3001,"",原始经营数据!$F$3:$F$3001,$C1578,原始经营数据!$H$3:$H$3001,$D1578,原始经营数据!$K$3:$K$3001,$G1578)&gt;1,"基金整体·来源"&amp;原始经营数据!$A1579,"基金整体")))</f>
        <v>锦江都城沈阳铁西店</v>
      </c>
      <c r="J1578" t="str">
        <f t="shared" si="363"/>
        <v>年度</v>
      </c>
      <c r="K1578" t="str">
        <f t="shared" si="364"/>
        <v>平均房价（元/间）</v>
      </c>
      <c r="L1578" t="str">
        <f t="shared" si="365"/>
        <v>锦江都城沈阳铁西店|平均房价（元/间）|年度</v>
      </c>
      <c r="M1578">
        <f>IF($A1578="",0,IF(COUNTIF($L$2:$L1578,$L1578)=1,1,0))</f>
        <v>0</v>
      </c>
      <c r="N1578">
        <f t="shared" si="366"/>
        <v>20230</v>
      </c>
      <c r="O1578" t="str">
        <f t="shared" si="367"/>
        <v>华安锦江封闭式商业不动产证券投资基金|2023|年度</v>
      </c>
      <c r="P1578">
        <f>IF($A1578="",0,IF(COUNTIF($O$2:$O1578,$O1578)=1,1,0))</f>
        <v>0</v>
      </c>
      <c r="Q1578" t="str">
        <f>IF(AND($P1578=1,$A1578=经营数据!$B$3,$J1578=经营数据!$BA$5),COUNTIFS($P$2:$P$3000,1,$A$2:$A$3000,$A1578,$J$2:$J$3000,$J1578,$N$2:$N$3000,"&lt;"&amp;$N1578)+1,"")</f>
        <v/>
      </c>
      <c r="R1578" t="str">
        <f t="shared" si="368"/>
        <v>华安锦江封闭式商业不动产证券投资基金|锦江都城沈阳铁西店</v>
      </c>
      <c r="S1578">
        <f>IF($A1578="",0,IF(COUNTIF($R$2:$R1578,$R1578)=1,1,0))</f>
        <v>0</v>
      </c>
      <c r="T1578">
        <f t="shared" si="369"/>
        <v>1573</v>
      </c>
      <c r="U1578" t="str">
        <f>IF($A1578="","",IF($A1578=经营数据!$B$3,COUNTIFS($S$2:$S$3000,1,$A$2:$A$3000,$A1578,$T$2:$T$3000,"&lt;"&amp;$T1578)+1,""))</f>
        <v/>
      </c>
      <c r="V1578" t="str">
        <f t="shared" si="370"/>
        <v>锦江都城沈阳铁西店|服务量</v>
      </c>
      <c r="W1578">
        <f t="shared" si="371"/>
        <v>1573</v>
      </c>
      <c r="X1578" t="str">
        <f t="shared" si="372"/>
        <v>锦江都城沈阳铁西店|平均房价</v>
      </c>
      <c r="Y1578">
        <f t="shared" si="373"/>
        <v>1573</v>
      </c>
      <c r="Z1578">
        <f>IF($A1578="",0,IF(AND($M1578=1,$A1578=经营数据!$B$3,$J1578=经营数据!$BA$5,OR($I1578=经营数据!$BA$4,COUNTIF(经营数据!$AA$9:$AA$38,$I1578)&gt;0)),1,0))</f>
        <v>0</v>
      </c>
      <c r="AA1578" t="str">
        <f t="shared" si="374"/>
        <v/>
      </c>
      <c r="AB1578" t="str">
        <f t="shared" si="375"/>
        <v/>
      </c>
      <c r="AC1578">
        <f>IF($A1578="",0,IF(COUNTIF($A$2:$A1578,$A1578)=1,1,0))</f>
        <v>0</v>
      </c>
      <c r="AD1578">
        <f t="shared" si="376"/>
        <v>18</v>
      </c>
      <c r="AE1578" t="str">
        <f t="shared" si="377"/>
        <v>锦江都城沈阳铁西店|平均房价（元/间）</v>
      </c>
    </row>
    <row r="1579" spans="1:31" x14ac:dyDescent="0.4">
      <c r="A1579" t="str">
        <f>IF(原始经营数据!$D1580="","",原始经营数据!$D1580)</f>
        <v>华安锦江封闭式商业不动产证券投资基金</v>
      </c>
      <c r="B1579" t="str">
        <f>IF(原始经营数据!$D1580="","",T(原始经营数据!$E1580))</f>
        <v>锦江都城沈阳铁西店</v>
      </c>
      <c r="C1579" t="str">
        <f>IF(原始经营数据!$D1580="","",原始经营数据!$F1580)</f>
        <v>2023</v>
      </c>
      <c r="D1579" t="str">
        <f>IF(原始经营数据!$D1580="","",原始经营数据!$H1580)</f>
        <v>可供房数</v>
      </c>
      <c r="E1579">
        <f>IF(原始经营数据!$D1580="","",原始经营数据!$I1580)</f>
        <v>50735</v>
      </c>
      <c r="F1579" t="str">
        <f>IF(原始经营数据!$D1580="","",T(原始经营数据!$J1580))</f>
        <v>间</v>
      </c>
      <c r="G1579" t="str">
        <f>IF(原始经营数据!$D1580="","",T(原始经营数据!$K1580))</f>
        <v/>
      </c>
      <c r="H1579" t="str">
        <f>IF(原始经营数据!$D1580="","",原始经营数据!$G1580)</f>
        <v>服务量</v>
      </c>
      <c r="I1579" t="str">
        <f>IF($A1579="","",IF($B1579&lt;&gt;"",$B1579,IF(COUNTIFS(原始经营数据!$D$3:$D$3001,$A1579,原始经营数据!$E$3:$E$3001,"",原始经营数据!$F$3:$F$3001,$C1579,原始经营数据!$H$3:$H$3001,$D1579,原始经营数据!$K$3:$K$3001,$G1579)&gt;1,"基金整体·来源"&amp;原始经营数据!$A1580,"基金整体")))</f>
        <v>锦江都城沈阳铁西店</v>
      </c>
      <c r="J1579" t="str">
        <f t="shared" si="363"/>
        <v>年度</v>
      </c>
      <c r="K1579" t="str">
        <f t="shared" si="364"/>
        <v>可供房数（间）</v>
      </c>
      <c r="L1579" t="str">
        <f t="shared" si="365"/>
        <v>锦江都城沈阳铁西店|可供房数（间）|年度</v>
      </c>
      <c r="M1579">
        <f>IF($A1579="",0,IF(COUNTIF($L$2:$L1579,$L1579)=1,1,0))</f>
        <v>0</v>
      </c>
      <c r="N1579">
        <f t="shared" si="366"/>
        <v>20230</v>
      </c>
      <c r="O1579" t="str">
        <f t="shared" si="367"/>
        <v>华安锦江封闭式商业不动产证券投资基金|2023|年度</v>
      </c>
      <c r="P1579">
        <f>IF($A1579="",0,IF(COUNTIF($O$2:$O1579,$O1579)=1,1,0))</f>
        <v>0</v>
      </c>
      <c r="Q1579" t="str">
        <f>IF(AND($P1579=1,$A1579=经营数据!$B$3,$J1579=经营数据!$BA$5),COUNTIFS($P$2:$P$3000,1,$A$2:$A$3000,$A1579,$J$2:$J$3000,$J1579,$N$2:$N$3000,"&lt;"&amp;$N1579)+1,"")</f>
        <v/>
      </c>
      <c r="R1579" t="str">
        <f t="shared" si="368"/>
        <v>华安锦江封闭式商业不动产证券投资基金|锦江都城沈阳铁西店</v>
      </c>
      <c r="S1579">
        <f>IF($A1579="",0,IF(COUNTIF($R$2:$R1579,$R1579)=1,1,0))</f>
        <v>0</v>
      </c>
      <c r="T1579">
        <f t="shared" si="369"/>
        <v>1573</v>
      </c>
      <c r="U1579" t="str">
        <f>IF($A1579="","",IF($A1579=经营数据!$B$3,COUNTIFS($S$2:$S$3000,1,$A$2:$A$3000,$A1579,$T$2:$T$3000,"&lt;"&amp;$T1579)+1,""))</f>
        <v/>
      </c>
      <c r="V1579" t="str">
        <f t="shared" si="370"/>
        <v>锦江都城沈阳铁西店|服务量</v>
      </c>
      <c r="W1579">
        <f t="shared" si="371"/>
        <v>1573</v>
      </c>
      <c r="X1579" t="str">
        <f t="shared" si="372"/>
        <v>锦江都城沈阳铁西店|可供房数</v>
      </c>
      <c r="Y1579">
        <f t="shared" si="373"/>
        <v>1575</v>
      </c>
      <c r="Z1579">
        <f>IF($A1579="",0,IF(AND($M1579=1,$A1579=经营数据!$B$3,$J1579=经营数据!$BA$5,OR($I1579=经营数据!$BA$4,COUNTIF(经营数据!$AA$9:$AA$38,$I1579)&gt;0)),1,0))</f>
        <v>0</v>
      </c>
      <c r="AA1579" t="str">
        <f t="shared" si="374"/>
        <v/>
      </c>
      <c r="AB1579" t="str">
        <f t="shared" si="375"/>
        <v/>
      </c>
      <c r="AC1579">
        <f>IF($A1579="",0,IF(COUNTIF($A$2:$A1579,$A1579)=1,1,0))</f>
        <v>0</v>
      </c>
      <c r="AD1579">
        <f t="shared" si="376"/>
        <v>18</v>
      </c>
      <c r="AE1579" t="str">
        <f t="shared" si="377"/>
        <v>锦江都城沈阳铁西店|可供房数（间）</v>
      </c>
    </row>
    <row r="1580" spans="1:31" x14ac:dyDescent="0.4">
      <c r="A1580" t="str">
        <f>IF(原始经营数据!$D1581="","",原始经营数据!$D1581)</f>
        <v>华安锦江封闭式商业不动产证券投资基金</v>
      </c>
      <c r="B1580" t="str">
        <f>IF(原始经营数据!$D1581="","",T(原始经营数据!$E1581))</f>
        <v>锦江都城沈阳铁西店</v>
      </c>
      <c r="C1580" t="str">
        <f>IF(原始经营数据!$D1581="","",原始经营数据!$F1581)</f>
        <v>2024</v>
      </c>
      <c r="D1580" t="str">
        <f>IF(原始经营数据!$D1581="","",原始经营数据!$H1581)</f>
        <v>平均房价</v>
      </c>
      <c r="E1580">
        <f>IF(原始经营数据!$D1581="","",原始经营数据!$I1581)</f>
        <v>228.44</v>
      </c>
      <c r="F1580" t="str">
        <f>IF(原始经营数据!$D1581="","",T(原始经营数据!$J1581))</f>
        <v>元/间</v>
      </c>
      <c r="G1580" t="str">
        <f>IF(原始经营数据!$D1581="","",T(原始经营数据!$K1581))</f>
        <v/>
      </c>
      <c r="H1580" t="str">
        <f>IF(原始经营数据!$D1581="","",原始经营数据!$G1581)</f>
        <v>服务量</v>
      </c>
      <c r="I1580" t="str">
        <f>IF($A1580="","",IF($B1580&lt;&gt;"",$B1580,IF(COUNTIFS(原始经营数据!$D$3:$D$3001,$A1580,原始经营数据!$E$3:$E$3001,"",原始经营数据!$F$3:$F$3001,$C1580,原始经营数据!$H$3:$H$3001,$D1580,原始经营数据!$K$3:$K$3001,$G1580)&gt;1,"基金整体·来源"&amp;原始经营数据!$A1581,"基金整体")))</f>
        <v>锦江都城沈阳铁西店</v>
      </c>
      <c r="J1580" t="str">
        <f t="shared" si="363"/>
        <v>年度</v>
      </c>
      <c r="K1580" t="str">
        <f t="shared" si="364"/>
        <v>平均房价（元/间）</v>
      </c>
      <c r="L1580" t="str">
        <f t="shared" si="365"/>
        <v>锦江都城沈阳铁西店|平均房价（元/间）|年度</v>
      </c>
      <c r="M1580">
        <f>IF($A1580="",0,IF(COUNTIF($L$2:$L1580,$L1580)=1,1,0))</f>
        <v>0</v>
      </c>
      <c r="N1580">
        <f t="shared" si="366"/>
        <v>20240</v>
      </c>
      <c r="O1580" t="str">
        <f t="shared" si="367"/>
        <v>华安锦江封闭式商业不动产证券投资基金|2024|年度</v>
      </c>
      <c r="P1580">
        <f>IF($A1580="",0,IF(COUNTIF($O$2:$O1580,$O1580)=1,1,0))</f>
        <v>0</v>
      </c>
      <c r="Q1580" t="str">
        <f>IF(AND($P1580=1,$A1580=经营数据!$B$3,$J1580=经营数据!$BA$5),COUNTIFS($P$2:$P$3000,1,$A$2:$A$3000,$A1580,$J$2:$J$3000,$J1580,$N$2:$N$3000,"&lt;"&amp;$N1580)+1,"")</f>
        <v/>
      </c>
      <c r="R1580" t="str">
        <f t="shared" si="368"/>
        <v>华安锦江封闭式商业不动产证券投资基金|锦江都城沈阳铁西店</v>
      </c>
      <c r="S1580">
        <f>IF($A1580="",0,IF(COUNTIF($R$2:$R1580,$R1580)=1,1,0))</f>
        <v>0</v>
      </c>
      <c r="T1580">
        <f t="shared" si="369"/>
        <v>1573</v>
      </c>
      <c r="U1580" t="str">
        <f>IF($A1580="","",IF($A1580=经营数据!$B$3,COUNTIFS($S$2:$S$3000,1,$A$2:$A$3000,$A1580,$T$2:$T$3000,"&lt;"&amp;$T1580)+1,""))</f>
        <v/>
      </c>
      <c r="V1580" t="str">
        <f t="shared" si="370"/>
        <v>锦江都城沈阳铁西店|服务量</v>
      </c>
      <c r="W1580">
        <f t="shared" si="371"/>
        <v>1573</v>
      </c>
      <c r="X1580" t="str">
        <f t="shared" si="372"/>
        <v>锦江都城沈阳铁西店|平均房价</v>
      </c>
      <c r="Y1580">
        <f t="shared" si="373"/>
        <v>1573</v>
      </c>
      <c r="Z1580">
        <f>IF($A1580="",0,IF(AND($M1580=1,$A1580=经营数据!$B$3,$J1580=经营数据!$BA$5,OR($I1580=经营数据!$BA$4,COUNTIF(经营数据!$AA$9:$AA$38,$I1580)&gt;0)),1,0))</f>
        <v>0</v>
      </c>
      <c r="AA1580" t="str">
        <f t="shared" si="374"/>
        <v/>
      </c>
      <c r="AB1580" t="str">
        <f t="shared" si="375"/>
        <v/>
      </c>
      <c r="AC1580">
        <f>IF($A1580="",0,IF(COUNTIF($A$2:$A1580,$A1580)=1,1,0))</f>
        <v>0</v>
      </c>
      <c r="AD1580">
        <f t="shared" si="376"/>
        <v>18</v>
      </c>
      <c r="AE1580" t="str">
        <f t="shared" si="377"/>
        <v>锦江都城沈阳铁西店|平均房价（元/间）</v>
      </c>
    </row>
    <row r="1581" spans="1:31" x14ac:dyDescent="0.4">
      <c r="A1581" t="str">
        <f>IF(原始经营数据!$D1582="","",原始经营数据!$D1582)</f>
        <v>华安锦江封闭式商业不动产证券投资基金</v>
      </c>
      <c r="B1581" t="str">
        <f>IF(原始经营数据!$D1582="","",T(原始经营数据!$E1582))</f>
        <v>锦江都城沈阳铁西店</v>
      </c>
      <c r="C1581" t="str">
        <f>IF(原始经营数据!$D1582="","",原始经营数据!$F1582)</f>
        <v>2024</v>
      </c>
      <c r="D1581" t="str">
        <f>IF(原始经营数据!$D1582="","",原始经营数据!$H1582)</f>
        <v>平均入住率</v>
      </c>
      <c r="E1581">
        <f>IF(原始经营数据!$D1582="","",原始经营数据!$I1582)</f>
        <v>74.430000000000007</v>
      </c>
      <c r="F1581" t="str">
        <f>IF(原始经营数据!$D1582="","",T(原始经营数据!$J1582))</f>
        <v>%</v>
      </c>
      <c r="G1581" t="str">
        <f>IF(原始经营数据!$D1582="","",T(原始经营数据!$K1582))</f>
        <v/>
      </c>
      <c r="H1581" t="str">
        <f>IF(原始经营数据!$D1582="","",原始经营数据!$G1582)</f>
        <v>服务量</v>
      </c>
      <c r="I1581" t="str">
        <f>IF($A1581="","",IF($B1581&lt;&gt;"",$B1581,IF(COUNTIFS(原始经营数据!$D$3:$D$3001,$A1581,原始经营数据!$E$3:$E$3001,"",原始经营数据!$F$3:$F$3001,$C1581,原始经营数据!$H$3:$H$3001,$D1581,原始经营数据!$K$3:$K$3001,$G1581)&gt;1,"基金整体·来源"&amp;原始经营数据!$A1582,"基金整体")))</f>
        <v>锦江都城沈阳铁西店</v>
      </c>
      <c r="J1581" t="str">
        <f t="shared" si="363"/>
        <v>年度</v>
      </c>
      <c r="K1581" t="str">
        <f t="shared" si="364"/>
        <v>平均入住率（%）</v>
      </c>
      <c r="L1581" t="str">
        <f t="shared" si="365"/>
        <v>锦江都城沈阳铁西店|平均入住率（%）|年度</v>
      </c>
      <c r="M1581">
        <f>IF($A1581="",0,IF(COUNTIF($L$2:$L1581,$L1581)=1,1,0))</f>
        <v>0</v>
      </c>
      <c r="N1581">
        <f t="shared" si="366"/>
        <v>20240</v>
      </c>
      <c r="O1581" t="str">
        <f t="shared" si="367"/>
        <v>华安锦江封闭式商业不动产证券投资基金|2024|年度</v>
      </c>
      <c r="P1581">
        <f>IF($A1581="",0,IF(COUNTIF($O$2:$O1581,$O1581)=1,1,0))</f>
        <v>0</v>
      </c>
      <c r="Q1581" t="str">
        <f>IF(AND($P1581=1,$A1581=经营数据!$B$3,$J1581=经营数据!$BA$5),COUNTIFS($P$2:$P$3000,1,$A$2:$A$3000,$A1581,$J$2:$J$3000,$J1581,$N$2:$N$3000,"&lt;"&amp;$N1581)+1,"")</f>
        <v/>
      </c>
      <c r="R1581" t="str">
        <f t="shared" si="368"/>
        <v>华安锦江封闭式商业不动产证券投资基金|锦江都城沈阳铁西店</v>
      </c>
      <c r="S1581">
        <f>IF($A1581="",0,IF(COUNTIF($R$2:$R1581,$R1581)=1,1,0))</f>
        <v>0</v>
      </c>
      <c r="T1581">
        <f t="shared" si="369"/>
        <v>1573</v>
      </c>
      <c r="U1581" t="str">
        <f>IF($A1581="","",IF($A1581=经营数据!$B$3,COUNTIFS($S$2:$S$3000,1,$A$2:$A$3000,$A1581,$T$2:$T$3000,"&lt;"&amp;$T1581)+1,""))</f>
        <v/>
      </c>
      <c r="V1581" t="str">
        <f t="shared" si="370"/>
        <v>锦江都城沈阳铁西店|服务量</v>
      </c>
      <c r="W1581">
        <f t="shared" si="371"/>
        <v>1573</v>
      </c>
      <c r="X1581" t="str">
        <f t="shared" si="372"/>
        <v>锦江都城沈阳铁西店|平均入住率</v>
      </c>
      <c r="Y1581">
        <f t="shared" si="373"/>
        <v>1574</v>
      </c>
      <c r="Z1581">
        <f>IF($A1581="",0,IF(AND($M1581=1,$A1581=经营数据!$B$3,$J1581=经营数据!$BA$5,OR($I1581=经营数据!$BA$4,COUNTIF(经营数据!$AA$9:$AA$38,$I1581)&gt;0)),1,0))</f>
        <v>0</v>
      </c>
      <c r="AA1581" t="str">
        <f t="shared" si="374"/>
        <v/>
      </c>
      <c r="AB1581" t="str">
        <f t="shared" si="375"/>
        <v/>
      </c>
      <c r="AC1581">
        <f>IF($A1581="",0,IF(COUNTIF($A$2:$A1581,$A1581)=1,1,0))</f>
        <v>0</v>
      </c>
      <c r="AD1581">
        <f t="shared" si="376"/>
        <v>18</v>
      </c>
      <c r="AE1581" t="str">
        <f t="shared" si="377"/>
        <v>锦江都城沈阳铁西店|平均入住率（%）</v>
      </c>
    </row>
    <row r="1582" spans="1:31" x14ac:dyDescent="0.4">
      <c r="A1582" t="str">
        <f>IF(原始经营数据!$D1583="","",原始经营数据!$D1583)</f>
        <v>华安锦江封闭式商业不动产证券投资基金</v>
      </c>
      <c r="B1582" t="str">
        <f>IF(原始经营数据!$D1583="","",T(原始经营数据!$E1583))</f>
        <v>锦江都城沈阳铁西店</v>
      </c>
      <c r="C1582" t="str">
        <f>IF(原始经营数据!$D1583="","",原始经营数据!$F1583)</f>
        <v>2024</v>
      </c>
      <c r="D1582" t="str">
        <f>IF(原始经营数据!$D1583="","",原始经营数据!$H1583)</f>
        <v>可供房数</v>
      </c>
      <c r="E1582">
        <f>IF(原始经营数据!$D1583="","",原始经营数据!$I1583)</f>
        <v>50874</v>
      </c>
      <c r="F1582" t="str">
        <f>IF(原始经营数据!$D1583="","",T(原始经营数据!$J1583))</f>
        <v>间</v>
      </c>
      <c r="G1582" t="str">
        <f>IF(原始经营数据!$D1583="","",T(原始经营数据!$K1583))</f>
        <v/>
      </c>
      <c r="H1582" t="str">
        <f>IF(原始经营数据!$D1583="","",原始经营数据!$G1583)</f>
        <v>服务量</v>
      </c>
      <c r="I1582" t="str">
        <f>IF($A1582="","",IF($B1582&lt;&gt;"",$B1582,IF(COUNTIFS(原始经营数据!$D$3:$D$3001,$A1582,原始经营数据!$E$3:$E$3001,"",原始经营数据!$F$3:$F$3001,$C1582,原始经营数据!$H$3:$H$3001,$D1582,原始经营数据!$K$3:$K$3001,$G1582)&gt;1,"基金整体·来源"&amp;原始经营数据!$A1583,"基金整体")))</f>
        <v>锦江都城沈阳铁西店</v>
      </c>
      <c r="J1582" t="str">
        <f t="shared" si="363"/>
        <v>年度</v>
      </c>
      <c r="K1582" t="str">
        <f t="shared" si="364"/>
        <v>可供房数（间）</v>
      </c>
      <c r="L1582" t="str">
        <f t="shared" si="365"/>
        <v>锦江都城沈阳铁西店|可供房数（间）|年度</v>
      </c>
      <c r="M1582">
        <f>IF($A1582="",0,IF(COUNTIF($L$2:$L1582,$L1582)=1,1,0))</f>
        <v>0</v>
      </c>
      <c r="N1582">
        <f t="shared" si="366"/>
        <v>20240</v>
      </c>
      <c r="O1582" t="str">
        <f t="shared" si="367"/>
        <v>华安锦江封闭式商业不动产证券投资基金|2024|年度</v>
      </c>
      <c r="P1582">
        <f>IF($A1582="",0,IF(COUNTIF($O$2:$O1582,$O1582)=1,1,0))</f>
        <v>0</v>
      </c>
      <c r="Q1582" t="str">
        <f>IF(AND($P1582=1,$A1582=经营数据!$B$3,$J1582=经营数据!$BA$5),COUNTIFS($P$2:$P$3000,1,$A$2:$A$3000,$A1582,$J$2:$J$3000,$J1582,$N$2:$N$3000,"&lt;"&amp;$N1582)+1,"")</f>
        <v/>
      </c>
      <c r="R1582" t="str">
        <f t="shared" si="368"/>
        <v>华安锦江封闭式商业不动产证券投资基金|锦江都城沈阳铁西店</v>
      </c>
      <c r="S1582">
        <f>IF($A1582="",0,IF(COUNTIF($R$2:$R1582,$R1582)=1,1,0))</f>
        <v>0</v>
      </c>
      <c r="T1582">
        <f t="shared" si="369"/>
        <v>1573</v>
      </c>
      <c r="U1582" t="str">
        <f>IF($A1582="","",IF($A1582=经营数据!$B$3,COUNTIFS($S$2:$S$3000,1,$A$2:$A$3000,$A1582,$T$2:$T$3000,"&lt;"&amp;$T1582)+1,""))</f>
        <v/>
      </c>
      <c r="V1582" t="str">
        <f t="shared" si="370"/>
        <v>锦江都城沈阳铁西店|服务量</v>
      </c>
      <c r="W1582">
        <f t="shared" si="371"/>
        <v>1573</v>
      </c>
      <c r="X1582" t="str">
        <f t="shared" si="372"/>
        <v>锦江都城沈阳铁西店|可供房数</v>
      </c>
      <c r="Y1582">
        <f t="shared" si="373"/>
        <v>1575</v>
      </c>
      <c r="Z1582">
        <f>IF($A1582="",0,IF(AND($M1582=1,$A1582=经营数据!$B$3,$J1582=经营数据!$BA$5,OR($I1582=经营数据!$BA$4,COUNTIF(经营数据!$AA$9:$AA$38,$I1582)&gt;0)),1,0))</f>
        <v>0</v>
      </c>
      <c r="AA1582" t="str">
        <f t="shared" si="374"/>
        <v/>
      </c>
      <c r="AB1582" t="str">
        <f t="shared" si="375"/>
        <v/>
      </c>
      <c r="AC1582">
        <f>IF($A1582="",0,IF(COUNTIF($A$2:$A1582,$A1582)=1,1,0))</f>
        <v>0</v>
      </c>
      <c r="AD1582">
        <f t="shared" si="376"/>
        <v>18</v>
      </c>
      <c r="AE1582" t="str">
        <f t="shared" si="377"/>
        <v>锦江都城沈阳铁西店|可供房数（间）</v>
      </c>
    </row>
    <row r="1583" spans="1:31" x14ac:dyDescent="0.4">
      <c r="A1583" t="str">
        <f>IF(原始经营数据!$D1584="","",原始经营数据!$D1584)</f>
        <v>华安锦江封闭式商业不动产证券投资基金</v>
      </c>
      <c r="B1583" t="str">
        <f>IF(原始经营数据!$D1584="","",T(原始经营数据!$E1584))</f>
        <v>锦江都城沈阳铁西店</v>
      </c>
      <c r="C1583" t="str">
        <f>IF(原始经营数据!$D1584="","",原始经营数据!$F1584)</f>
        <v>2025</v>
      </c>
      <c r="D1583" t="str">
        <f>IF(原始经营数据!$D1584="","",原始经营数据!$H1584)</f>
        <v>平均入住率</v>
      </c>
      <c r="E1583">
        <f>IF(原始经营数据!$D1584="","",原始经营数据!$I1584)</f>
        <v>69.97</v>
      </c>
      <c r="F1583" t="str">
        <f>IF(原始经营数据!$D1584="","",T(原始经营数据!$J1584))</f>
        <v>%</v>
      </c>
      <c r="G1583" t="str">
        <f>IF(原始经营数据!$D1584="","",T(原始经营数据!$K1584))</f>
        <v/>
      </c>
      <c r="H1583" t="str">
        <f>IF(原始经营数据!$D1584="","",原始经营数据!$G1584)</f>
        <v>服务量</v>
      </c>
      <c r="I1583" t="str">
        <f>IF($A1583="","",IF($B1583&lt;&gt;"",$B1583,IF(COUNTIFS(原始经营数据!$D$3:$D$3001,$A1583,原始经营数据!$E$3:$E$3001,"",原始经营数据!$F$3:$F$3001,$C1583,原始经营数据!$H$3:$H$3001,$D1583,原始经营数据!$K$3:$K$3001,$G1583)&gt;1,"基金整体·来源"&amp;原始经营数据!$A1584,"基金整体")))</f>
        <v>锦江都城沈阳铁西店</v>
      </c>
      <c r="J1583" t="str">
        <f t="shared" si="363"/>
        <v>年度</v>
      </c>
      <c r="K1583" t="str">
        <f t="shared" si="364"/>
        <v>平均入住率（%）</v>
      </c>
      <c r="L1583" t="str">
        <f t="shared" si="365"/>
        <v>锦江都城沈阳铁西店|平均入住率（%）|年度</v>
      </c>
      <c r="M1583">
        <f>IF($A1583="",0,IF(COUNTIF($L$2:$L1583,$L1583)=1,1,0))</f>
        <v>0</v>
      </c>
      <c r="N1583">
        <f t="shared" si="366"/>
        <v>20250</v>
      </c>
      <c r="O1583" t="str">
        <f t="shared" si="367"/>
        <v>华安锦江封闭式商业不动产证券投资基金|2025|年度</v>
      </c>
      <c r="P1583">
        <f>IF($A1583="",0,IF(COUNTIF($O$2:$O1583,$O1583)=1,1,0))</f>
        <v>0</v>
      </c>
      <c r="Q1583" t="str">
        <f>IF(AND($P1583=1,$A1583=经营数据!$B$3,$J1583=经营数据!$BA$5),COUNTIFS($P$2:$P$3000,1,$A$2:$A$3000,$A1583,$J$2:$J$3000,$J1583,$N$2:$N$3000,"&lt;"&amp;$N1583)+1,"")</f>
        <v/>
      </c>
      <c r="R1583" t="str">
        <f t="shared" si="368"/>
        <v>华安锦江封闭式商业不动产证券投资基金|锦江都城沈阳铁西店</v>
      </c>
      <c r="S1583">
        <f>IF($A1583="",0,IF(COUNTIF($R$2:$R1583,$R1583)=1,1,0))</f>
        <v>0</v>
      </c>
      <c r="T1583">
        <f t="shared" si="369"/>
        <v>1573</v>
      </c>
      <c r="U1583" t="str">
        <f>IF($A1583="","",IF($A1583=经营数据!$B$3,COUNTIFS($S$2:$S$3000,1,$A$2:$A$3000,$A1583,$T$2:$T$3000,"&lt;"&amp;$T1583)+1,""))</f>
        <v/>
      </c>
      <c r="V1583" t="str">
        <f t="shared" si="370"/>
        <v>锦江都城沈阳铁西店|服务量</v>
      </c>
      <c r="W1583">
        <f t="shared" si="371"/>
        <v>1573</v>
      </c>
      <c r="X1583" t="str">
        <f t="shared" si="372"/>
        <v>锦江都城沈阳铁西店|平均入住率</v>
      </c>
      <c r="Y1583">
        <f t="shared" si="373"/>
        <v>1574</v>
      </c>
      <c r="Z1583">
        <f>IF($A1583="",0,IF(AND($M1583=1,$A1583=经营数据!$B$3,$J1583=经营数据!$BA$5,OR($I1583=经营数据!$BA$4,COUNTIF(经营数据!$AA$9:$AA$38,$I1583)&gt;0)),1,0))</f>
        <v>0</v>
      </c>
      <c r="AA1583" t="str">
        <f t="shared" si="374"/>
        <v/>
      </c>
      <c r="AB1583" t="str">
        <f t="shared" si="375"/>
        <v/>
      </c>
      <c r="AC1583">
        <f>IF($A1583="",0,IF(COUNTIF($A$2:$A1583,$A1583)=1,1,0))</f>
        <v>0</v>
      </c>
      <c r="AD1583">
        <f t="shared" si="376"/>
        <v>18</v>
      </c>
      <c r="AE1583" t="str">
        <f t="shared" si="377"/>
        <v>锦江都城沈阳铁西店|平均入住率（%）</v>
      </c>
    </row>
    <row r="1584" spans="1:31" x14ac:dyDescent="0.4">
      <c r="A1584" t="str">
        <f>IF(原始经营数据!$D1585="","",原始经营数据!$D1585)</f>
        <v>华安锦江封闭式商业不动产证券投资基金</v>
      </c>
      <c r="B1584" t="str">
        <f>IF(原始经营数据!$D1585="","",T(原始经营数据!$E1585))</f>
        <v>锦江都城沈阳铁西店</v>
      </c>
      <c r="C1584" t="str">
        <f>IF(原始经营数据!$D1585="","",原始经营数据!$F1585)</f>
        <v>2025</v>
      </c>
      <c r="D1584" t="str">
        <f>IF(原始经营数据!$D1585="","",原始经营数据!$H1585)</f>
        <v>平均房价</v>
      </c>
      <c r="E1584">
        <f>IF(原始经营数据!$D1585="","",原始经营数据!$I1585)</f>
        <v>217.64</v>
      </c>
      <c r="F1584" t="str">
        <f>IF(原始经营数据!$D1585="","",T(原始经营数据!$J1585))</f>
        <v>元/间</v>
      </c>
      <c r="G1584" t="str">
        <f>IF(原始经营数据!$D1585="","",T(原始经营数据!$K1585))</f>
        <v/>
      </c>
      <c r="H1584" t="str">
        <f>IF(原始经营数据!$D1585="","",原始经营数据!$G1585)</f>
        <v>服务量</v>
      </c>
      <c r="I1584" t="str">
        <f>IF($A1584="","",IF($B1584&lt;&gt;"",$B1584,IF(COUNTIFS(原始经营数据!$D$3:$D$3001,$A1584,原始经营数据!$E$3:$E$3001,"",原始经营数据!$F$3:$F$3001,$C1584,原始经营数据!$H$3:$H$3001,$D1584,原始经营数据!$K$3:$K$3001,$G1584)&gt;1,"基金整体·来源"&amp;原始经营数据!$A1585,"基金整体")))</f>
        <v>锦江都城沈阳铁西店</v>
      </c>
      <c r="J1584" t="str">
        <f t="shared" si="363"/>
        <v>年度</v>
      </c>
      <c r="K1584" t="str">
        <f t="shared" si="364"/>
        <v>平均房价（元/间）</v>
      </c>
      <c r="L1584" t="str">
        <f t="shared" si="365"/>
        <v>锦江都城沈阳铁西店|平均房价（元/间）|年度</v>
      </c>
      <c r="M1584">
        <f>IF($A1584="",0,IF(COUNTIF($L$2:$L1584,$L1584)=1,1,0))</f>
        <v>0</v>
      </c>
      <c r="N1584">
        <f t="shared" si="366"/>
        <v>20250</v>
      </c>
      <c r="O1584" t="str">
        <f t="shared" si="367"/>
        <v>华安锦江封闭式商业不动产证券投资基金|2025|年度</v>
      </c>
      <c r="P1584">
        <f>IF($A1584="",0,IF(COUNTIF($O$2:$O1584,$O1584)=1,1,0))</f>
        <v>0</v>
      </c>
      <c r="Q1584" t="str">
        <f>IF(AND($P1584=1,$A1584=经营数据!$B$3,$J1584=经营数据!$BA$5),COUNTIFS($P$2:$P$3000,1,$A$2:$A$3000,$A1584,$J$2:$J$3000,$J1584,$N$2:$N$3000,"&lt;"&amp;$N1584)+1,"")</f>
        <v/>
      </c>
      <c r="R1584" t="str">
        <f t="shared" si="368"/>
        <v>华安锦江封闭式商业不动产证券投资基金|锦江都城沈阳铁西店</v>
      </c>
      <c r="S1584">
        <f>IF($A1584="",0,IF(COUNTIF($R$2:$R1584,$R1584)=1,1,0))</f>
        <v>0</v>
      </c>
      <c r="T1584">
        <f t="shared" si="369"/>
        <v>1573</v>
      </c>
      <c r="U1584" t="str">
        <f>IF($A1584="","",IF($A1584=经营数据!$B$3,COUNTIFS($S$2:$S$3000,1,$A$2:$A$3000,$A1584,$T$2:$T$3000,"&lt;"&amp;$T1584)+1,""))</f>
        <v/>
      </c>
      <c r="V1584" t="str">
        <f t="shared" si="370"/>
        <v>锦江都城沈阳铁西店|服务量</v>
      </c>
      <c r="W1584">
        <f t="shared" si="371"/>
        <v>1573</v>
      </c>
      <c r="X1584" t="str">
        <f t="shared" si="372"/>
        <v>锦江都城沈阳铁西店|平均房价</v>
      </c>
      <c r="Y1584">
        <f t="shared" si="373"/>
        <v>1573</v>
      </c>
      <c r="Z1584">
        <f>IF($A1584="",0,IF(AND($M1584=1,$A1584=经营数据!$B$3,$J1584=经营数据!$BA$5,OR($I1584=经营数据!$BA$4,COUNTIF(经营数据!$AA$9:$AA$38,$I1584)&gt;0)),1,0))</f>
        <v>0</v>
      </c>
      <c r="AA1584" t="str">
        <f t="shared" si="374"/>
        <v/>
      </c>
      <c r="AB1584" t="str">
        <f t="shared" si="375"/>
        <v/>
      </c>
      <c r="AC1584">
        <f>IF($A1584="",0,IF(COUNTIF($A$2:$A1584,$A1584)=1,1,0))</f>
        <v>0</v>
      </c>
      <c r="AD1584">
        <f t="shared" si="376"/>
        <v>18</v>
      </c>
      <c r="AE1584" t="str">
        <f t="shared" si="377"/>
        <v>锦江都城沈阳铁西店|平均房价（元/间）</v>
      </c>
    </row>
    <row r="1585" spans="1:31" x14ac:dyDescent="0.4">
      <c r="A1585" t="str">
        <f>IF(原始经营数据!$D1586="","",原始经营数据!$D1586)</f>
        <v>华安锦江封闭式商业不动产证券投资基金</v>
      </c>
      <c r="B1585" t="str">
        <f>IF(原始经营数据!$D1586="","",T(原始经营数据!$E1586))</f>
        <v>锦江都城沈阳铁西店</v>
      </c>
      <c r="C1585" t="str">
        <f>IF(原始经营数据!$D1586="","",原始经营数据!$F1586)</f>
        <v>2025</v>
      </c>
      <c r="D1585" t="str">
        <f>IF(原始经营数据!$D1586="","",原始经营数据!$H1586)</f>
        <v>可供房数</v>
      </c>
      <c r="E1585">
        <f>IF(原始经营数据!$D1586="","",原始经营数据!$I1586)</f>
        <v>50735</v>
      </c>
      <c r="F1585" t="str">
        <f>IF(原始经营数据!$D1586="","",T(原始经营数据!$J1586))</f>
        <v>间</v>
      </c>
      <c r="G1585" t="str">
        <f>IF(原始经营数据!$D1586="","",T(原始经营数据!$K1586))</f>
        <v/>
      </c>
      <c r="H1585" t="str">
        <f>IF(原始经营数据!$D1586="","",原始经营数据!$G1586)</f>
        <v>服务量</v>
      </c>
      <c r="I1585" t="str">
        <f>IF($A1585="","",IF($B1585&lt;&gt;"",$B1585,IF(COUNTIFS(原始经营数据!$D$3:$D$3001,$A1585,原始经营数据!$E$3:$E$3001,"",原始经营数据!$F$3:$F$3001,$C1585,原始经营数据!$H$3:$H$3001,$D1585,原始经营数据!$K$3:$K$3001,$G1585)&gt;1,"基金整体·来源"&amp;原始经营数据!$A1586,"基金整体")))</f>
        <v>锦江都城沈阳铁西店</v>
      </c>
      <c r="J1585" t="str">
        <f t="shared" si="363"/>
        <v>年度</v>
      </c>
      <c r="K1585" t="str">
        <f t="shared" si="364"/>
        <v>可供房数（间）</v>
      </c>
      <c r="L1585" t="str">
        <f t="shared" si="365"/>
        <v>锦江都城沈阳铁西店|可供房数（间）|年度</v>
      </c>
      <c r="M1585">
        <f>IF($A1585="",0,IF(COUNTIF($L$2:$L1585,$L1585)=1,1,0))</f>
        <v>0</v>
      </c>
      <c r="N1585">
        <f t="shared" si="366"/>
        <v>20250</v>
      </c>
      <c r="O1585" t="str">
        <f t="shared" si="367"/>
        <v>华安锦江封闭式商业不动产证券投资基金|2025|年度</v>
      </c>
      <c r="P1585">
        <f>IF($A1585="",0,IF(COUNTIF($O$2:$O1585,$O1585)=1,1,0))</f>
        <v>0</v>
      </c>
      <c r="Q1585" t="str">
        <f>IF(AND($P1585=1,$A1585=经营数据!$B$3,$J1585=经营数据!$BA$5),COUNTIFS($P$2:$P$3000,1,$A$2:$A$3000,$A1585,$J$2:$J$3000,$J1585,$N$2:$N$3000,"&lt;"&amp;$N1585)+1,"")</f>
        <v/>
      </c>
      <c r="R1585" t="str">
        <f t="shared" si="368"/>
        <v>华安锦江封闭式商业不动产证券投资基金|锦江都城沈阳铁西店</v>
      </c>
      <c r="S1585">
        <f>IF($A1585="",0,IF(COUNTIF($R$2:$R1585,$R1585)=1,1,0))</f>
        <v>0</v>
      </c>
      <c r="T1585">
        <f t="shared" si="369"/>
        <v>1573</v>
      </c>
      <c r="U1585" t="str">
        <f>IF($A1585="","",IF($A1585=经营数据!$B$3,COUNTIFS($S$2:$S$3000,1,$A$2:$A$3000,$A1585,$T$2:$T$3000,"&lt;"&amp;$T1585)+1,""))</f>
        <v/>
      </c>
      <c r="V1585" t="str">
        <f t="shared" si="370"/>
        <v>锦江都城沈阳铁西店|服务量</v>
      </c>
      <c r="W1585">
        <f t="shared" si="371"/>
        <v>1573</v>
      </c>
      <c r="X1585" t="str">
        <f t="shared" si="372"/>
        <v>锦江都城沈阳铁西店|可供房数</v>
      </c>
      <c r="Y1585">
        <f t="shared" si="373"/>
        <v>1575</v>
      </c>
      <c r="Z1585">
        <f>IF($A1585="",0,IF(AND($M1585=1,$A1585=经营数据!$B$3,$J1585=经营数据!$BA$5,OR($I1585=经营数据!$BA$4,COUNTIF(经营数据!$AA$9:$AA$38,$I1585)&gt;0)),1,0))</f>
        <v>0</v>
      </c>
      <c r="AA1585" t="str">
        <f t="shared" si="374"/>
        <v/>
      </c>
      <c r="AB1585" t="str">
        <f t="shared" si="375"/>
        <v/>
      </c>
      <c r="AC1585">
        <f>IF($A1585="",0,IF(COUNTIF($A$2:$A1585,$A1585)=1,1,0))</f>
        <v>0</v>
      </c>
      <c r="AD1585">
        <f t="shared" si="376"/>
        <v>18</v>
      </c>
      <c r="AE1585" t="str">
        <f t="shared" si="377"/>
        <v>锦江都城沈阳铁西店|可供房数（间）</v>
      </c>
    </row>
    <row r="1586" spans="1:31" x14ac:dyDescent="0.4">
      <c r="A1586" t="str">
        <f>IF(原始经营数据!$D1587="","",原始经营数据!$D1587)</f>
        <v>华安锦江封闭式商业不动产证券投资基金</v>
      </c>
      <c r="B1586" t="str">
        <f>IF(原始经营数据!$D1587="","",T(原始经营数据!$E1587))</f>
        <v>锦江都城泰州海陵店</v>
      </c>
      <c r="C1586" t="str">
        <f>IF(原始经营数据!$D1587="","",原始经营数据!$F1587)</f>
        <v>2022</v>
      </c>
      <c r="D1586" t="str">
        <f>IF(原始经营数据!$D1587="","",原始经营数据!$H1587)</f>
        <v>平均房价</v>
      </c>
      <c r="E1586">
        <f>IF(原始经营数据!$D1587="","",原始经营数据!$I1587)</f>
        <v>183.1</v>
      </c>
      <c r="F1586" t="str">
        <f>IF(原始经营数据!$D1587="","",T(原始经营数据!$J1587))</f>
        <v>元/间</v>
      </c>
      <c r="G1586" t="str">
        <f>IF(原始经营数据!$D1587="","",T(原始经营数据!$K1587))</f>
        <v/>
      </c>
      <c r="H1586" t="str">
        <f>IF(原始经营数据!$D1587="","",原始经营数据!$G1587)</f>
        <v>服务量</v>
      </c>
      <c r="I1586" t="str">
        <f>IF($A1586="","",IF($B1586&lt;&gt;"",$B1586,IF(COUNTIFS(原始经营数据!$D$3:$D$3001,$A1586,原始经营数据!$E$3:$E$3001,"",原始经营数据!$F$3:$F$3001,$C1586,原始经营数据!$H$3:$H$3001,$D1586,原始经营数据!$K$3:$K$3001,$G1586)&gt;1,"基金整体·来源"&amp;原始经营数据!$A1587,"基金整体")))</f>
        <v>锦江都城泰州海陵店</v>
      </c>
      <c r="J1586" t="str">
        <f t="shared" si="363"/>
        <v>年度</v>
      </c>
      <c r="K1586" t="str">
        <f t="shared" si="364"/>
        <v>平均房价（元/间）</v>
      </c>
      <c r="L1586" t="str">
        <f t="shared" si="365"/>
        <v>锦江都城泰州海陵店|平均房价（元/间）|年度</v>
      </c>
      <c r="M1586">
        <f>IF($A1586="",0,IF(COUNTIF($L$2:$L1586,$L1586)=1,1,0))</f>
        <v>1</v>
      </c>
      <c r="N1586">
        <f t="shared" si="366"/>
        <v>20220</v>
      </c>
      <c r="O1586" t="str">
        <f t="shared" si="367"/>
        <v>华安锦江封闭式商业不动产证券投资基金|2022|年度</v>
      </c>
      <c r="P1586">
        <f>IF($A1586="",0,IF(COUNTIF($O$2:$O1586,$O1586)=1,1,0))</f>
        <v>0</v>
      </c>
      <c r="Q1586" t="str">
        <f>IF(AND($P1586=1,$A1586=经营数据!$B$3,$J1586=经营数据!$BA$5),COUNTIFS($P$2:$P$3000,1,$A$2:$A$3000,$A1586,$J$2:$J$3000,$J1586,$N$2:$N$3000,"&lt;"&amp;$N1586)+1,"")</f>
        <v/>
      </c>
      <c r="R1586" t="str">
        <f t="shared" si="368"/>
        <v>华安锦江封闭式商业不动产证券投资基金|锦江都城泰州海陵店</v>
      </c>
      <c r="S1586">
        <f>IF($A1586="",0,IF(COUNTIF($R$2:$R1586,$R1586)=1,1,0))</f>
        <v>1</v>
      </c>
      <c r="T1586">
        <f t="shared" si="369"/>
        <v>1585</v>
      </c>
      <c r="U1586" t="str">
        <f>IF($A1586="","",IF($A1586=经营数据!$B$3,COUNTIFS($S$2:$S$3000,1,$A$2:$A$3000,$A1586,$T$2:$T$3000,"&lt;"&amp;$T1586)+1,""))</f>
        <v/>
      </c>
      <c r="V1586" t="str">
        <f t="shared" si="370"/>
        <v>锦江都城泰州海陵店|服务量</v>
      </c>
      <c r="W1586">
        <f t="shared" si="371"/>
        <v>1585</v>
      </c>
      <c r="X1586" t="str">
        <f t="shared" si="372"/>
        <v>锦江都城泰州海陵店|平均房价</v>
      </c>
      <c r="Y1586">
        <f t="shared" si="373"/>
        <v>1585</v>
      </c>
      <c r="Z1586">
        <f>IF($A1586="",0,IF(AND($M1586=1,$A1586=经营数据!$B$3,$J1586=经营数据!$BA$5,OR($I1586=经营数据!$BA$4,COUNTIF(经营数据!$AA$9:$AA$38,$I1586)&gt;0)),1,0))</f>
        <v>0</v>
      </c>
      <c r="AA1586" t="str">
        <f t="shared" si="374"/>
        <v/>
      </c>
      <c r="AB1586" t="str">
        <f t="shared" si="375"/>
        <v/>
      </c>
      <c r="AC1586">
        <f>IF($A1586="",0,IF(COUNTIF($A$2:$A1586,$A1586)=1,1,0))</f>
        <v>0</v>
      </c>
      <c r="AD1586">
        <f t="shared" si="376"/>
        <v>18</v>
      </c>
      <c r="AE1586" t="str">
        <f t="shared" si="377"/>
        <v>锦江都城泰州海陵店|平均房价（元/间）</v>
      </c>
    </row>
    <row r="1587" spans="1:31" x14ac:dyDescent="0.4">
      <c r="A1587" t="str">
        <f>IF(原始经营数据!$D1588="","",原始经营数据!$D1588)</f>
        <v>华安锦江封闭式商业不动产证券投资基金</v>
      </c>
      <c r="B1587" t="str">
        <f>IF(原始经营数据!$D1588="","",T(原始经营数据!$E1588))</f>
        <v>锦江都城泰州海陵店</v>
      </c>
      <c r="C1587" t="str">
        <f>IF(原始经营数据!$D1588="","",原始经营数据!$F1588)</f>
        <v>2022</v>
      </c>
      <c r="D1587" t="str">
        <f>IF(原始经营数据!$D1588="","",原始经营数据!$H1588)</f>
        <v>平均入住率</v>
      </c>
      <c r="E1587">
        <f>IF(原始经营数据!$D1588="","",原始经营数据!$I1588)</f>
        <v>57.25</v>
      </c>
      <c r="F1587" t="str">
        <f>IF(原始经营数据!$D1588="","",T(原始经营数据!$J1588))</f>
        <v>%</v>
      </c>
      <c r="G1587" t="str">
        <f>IF(原始经营数据!$D1588="","",T(原始经营数据!$K1588))</f>
        <v/>
      </c>
      <c r="H1587" t="str">
        <f>IF(原始经营数据!$D1588="","",原始经营数据!$G1588)</f>
        <v>服务量</v>
      </c>
      <c r="I1587" t="str">
        <f>IF($A1587="","",IF($B1587&lt;&gt;"",$B1587,IF(COUNTIFS(原始经营数据!$D$3:$D$3001,$A1587,原始经营数据!$E$3:$E$3001,"",原始经营数据!$F$3:$F$3001,$C1587,原始经营数据!$H$3:$H$3001,$D1587,原始经营数据!$K$3:$K$3001,$G1587)&gt;1,"基金整体·来源"&amp;原始经营数据!$A1588,"基金整体")))</f>
        <v>锦江都城泰州海陵店</v>
      </c>
      <c r="J1587" t="str">
        <f t="shared" si="363"/>
        <v>年度</v>
      </c>
      <c r="K1587" t="str">
        <f t="shared" si="364"/>
        <v>平均入住率（%）</v>
      </c>
      <c r="L1587" t="str">
        <f t="shared" si="365"/>
        <v>锦江都城泰州海陵店|平均入住率（%）|年度</v>
      </c>
      <c r="M1587">
        <f>IF($A1587="",0,IF(COUNTIF($L$2:$L1587,$L1587)=1,1,0))</f>
        <v>1</v>
      </c>
      <c r="N1587">
        <f t="shared" si="366"/>
        <v>20220</v>
      </c>
      <c r="O1587" t="str">
        <f t="shared" si="367"/>
        <v>华安锦江封闭式商业不动产证券投资基金|2022|年度</v>
      </c>
      <c r="P1587">
        <f>IF($A1587="",0,IF(COUNTIF($O$2:$O1587,$O1587)=1,1,0))</f>
        <v>0</v>
      </c>
      <c r="Q1587" t="str">
        <f>IF(AND($P1587=1,$A1587=经营数据!$B$3,$J1587=经营数据!$BA$5),COUNTIFS($P$2:$P$3000,1,$A$2:$A$3000,$A1587,$J$2:$J$3000,$J1587,$N$2:$N$3000,"&lt;"&amp;$N1587)+1,"")</f>
        <v/>
      </c>
      <c r="R1587" t="str">
        <f t="shared" si="368"/>
        <v>华安锦江封闭式商业不动产证券投资基金|锦江都城泰州海陵店</v>
      </c>
      <c r="S1587">
        <f>IF($A1587="",0,IF(COUNTIF($R$2:$R1587,$R1587)=1,1,0))</f>
        <v>0</v>
      </c>
      <c r="T1587">
        <f t="shared" si="369"/>
        <v>1585</v>
      </c>
      <c r="U1587" t="str">
        <f>IF($A1587="","",IF($A1587=经营数据!$B$3,COUNTIFS($S$2:$S$3000,1,$A$2:$A$3000,$A1587,$T$2:$T$3000,"&lt;"&amp;$T1587)+1,""))</f>
        <v/>
      </c>
      <c r="V1587" t="str">
        <f t="shared" si="370"/>
        <v>锦江都城泰州海陵店|服务量</v>
      </c>
      <c r="W1587">
        <f t="shared" si="371"/>
        <v>1585</v>
      </c>
      <c r="X1587" t="str">
        <f t="shared" si="372"/>
        <v>锦江都城泰州海陵店|平均入住率</v>
      </c>
      <c r="Y1587">
        <f t="shared" si="373"/>
        <v>1586</v>
      </c>
      <c r="Z1587">
        <f>IF($A1587="",0,IF(AND($M1587=1,$A1587=经营数据!$B$3,$J1587=经营数据!$BA$5,OR($I1587=经营数据!$BA$4,COUNTIF(经营数据!$AA$9:$AA$38,$I1587)&gt;0)),1,0))</f>
        <v>0</v>
      </c>
      <c r="AA1587" t="str">
        <f t="shared" si="374"/>
        <v/>
      </c>
      <c r="AB1587" t="str">
        <f t="shared" si="375"/>
        <v/>
      </c>
      <c r="AC1587">
        <f>IF($A1587="",0,IF(COUNTIF($A$2:$A1587,$A1587)=1,1,0))</f>
        <v>0</v>
      </c>
      <c r="AD1587">
        <f t="shared" si="376"/>
        <v>18</v>
      </c>
      <c r="AE1587" t="str">
        <f t="shared" si="377"/>
        <v>锦江都城泰州海陵店|平均入住率（%）</v>
      </c>
    </row>
    <row r="1588" spans="1:31" x14ac:dyDescent="0.4">
      <c r="A1588" t="str">
        <f>IF(原始经营数据!$D1589="","",原始经营数据!$D1589)</f>
        <v>华安锦江封闭式商业不动产证券投资基金</v>
      </c>
      <c r="B1588" t="str">
        <f>IF(原始经营数据!$D1589="","",T(原始经营数据!$E1589))</f>
        <v>锦江都城泰州海陵店</v>
      </c>
      <c r="C1588" t="str">
        <f>IF(原始经营数据!$D1589="","",原始经营数据!$F1589)</f>
        <v>2022</v>
      </c>
      <c r="D1588" t="str">
        <f>IF(原始经营数据!$D1589="","",原始经营数据!$H1589)</f>
        <v>可供房数</v>
      </c>
      <c r="E1588">
        <f>IF(原始经营数据!$D1589="","",原始经营数据!$I1589)</f>
        <v>42870</v>
      </c>
      <c r="F1588" t="str">
        <f>IF(原始经营数据!$D1589="","",T(原始经营数据!$J1589))</f>
        <v>间</v>
      </c>
      <c r="G1588" t="str">
        <f>IF(原始经营数据!$D1589="","",T(原始经营数据!$K1589))</f>
        <v/>
      </c>
      <c r="H1588" t="str">
        <f>IF(原始经营数据!$D1589="","",原始经营数据!$G1589)</f>
        <v>服务量</v>
      </c>
      <c r="I1588" t="str">
        <f>IF($A1588="","",IF($B1588&lt;&gt;"",$B1588,IF(COUNTIFS(原始经营数据!$D$3:$D$3001,$A1588,原始经营数据!$E$3:$E$3001,"",原始经营数据!$F$3:$F$3001,$C1588,原始经营数据!$H$3:$H$3001,$D1588,原始经营数据!$K$3:$K$3001,$G1588)&gt;1,"基金整体·来源"&amp;原始经营数据!$A1589,"基金整体")))</f>
        <v>锦江都城泰州海陵店</v>
      </c>
      <c r="J1588" t="str">
        <f t="shared" si="363"/>
        <v>年度</v>
      </c>
      <c r="K1588" t="str">
        <f t="shared" si="364"/>
        <v>可供房数（间）</v>
      </c>
      <c r="L1588" t="str">
        <f t="shared" si="365"/>
        <v>锦江都城泰州海陵店|可供房数（间）|年度</v>
      </c>
      <c r="M1588">
        <f>IF($A1588="",0,IF(COUNTIF($L$2:$L1588,$L1588)=1,1,0))</f>
        <v>1</v>
      </c>
      <c r="N1588">
        <f t="shared" si="366"/>
        <v>20220</v>
      </c>
      <c r="O1588" t="str">
        <f t="shared" si="367"/>
        <v>华安锦江封闭式商业不动产证券投资基金|2022|年度</v>
      </c>
      <c r="P1588">
        <f>IF($A1588="",0,IF(COUNTIF($O$2:$O1588,$O1588)=1,1,0))</f>
        <v>0</v>
      </c>
      <c r="Q1588" t="str">
        <f>IF(AND($P1588=1,$A1588=经营数据!$B$3,$J1588=经营数据!$BA$5),COUNTIFS($P$2:$P$3000,1,$A$2:$A$3000,$A1588,$J$2:$J$3000,$J1588,$N$2:$N$3000,"&lt;"&amp;$N1588)+1,"")</f>
        <v/>
      </c>
      <c r="R1588" t="str">
        <f t="shared" si="368"/>
        <v>华安锦江封闭式商业不动产证券投资基金|锦江都城泰州海陵店</v>
      </c>
      <c r="S1588">
        <f>IF($A1588="",0,IF(COUNTIF($R$2:$R1588,$R1588)=1,1,0))</f>
        <v>0</v>
      </c>
      <c r="T1588">
        <f t="shared" si="369"/>
        <v>1585</v>
      </c>
      <c r="U1588" t="str">
        <f>IF($A1588="","",IF($A1588=经营数据!$B$3,COUNTIFS($S$2:$S$3000,1,$A$2:$A$3000,$A1588,$T$2:$T$3000,"&lt;"&amp;$T1588)+1,""))</f>
        <v/>
      </c>
      <c r="V1588" t="str">
        <f t="shared" si="370"/>
        <v>锦江都城泰州海陵店|服务量</v>
      </c>
      <c r="W1588">
        <f t="shared" si="371"/>
        <v>1585</v>
      </c>
      <c r="X1588" t="str">
        <f t="shared" si="372"/>
        <v>锦江都城泰州海陵店|可供房数</v>
      </c>
      <c r="Y1588">
        <f t="shared" si="373"/>
        <v>1587</v>
      </c>
      <c r="Z1588">
        <f>IF($A1588="",0,IF(AND($M1588=1,$A1588=经营数据!$B$3,$J1588=经营数据!$BA$5,OR($I1588=经营数据!$BA$4,COUNTIF(经营数据!$AA$9:$AA$38,$I1588)&gt;0)),1,0))</f>
        <v>0</v>
      </c>
      <c r="AA1588" t="str">
        <f t="shared" si="374"/>
        <v/>
      </c>
      <c r="AB1588" t="str">
        <f t="shared" si="375"/>
        <v/>
      </c>
      <c r="AC1588">
        <f>IF($A1588="",0,IF(COUNTIF($A$2:$A1588,$A1588)=1,1,0))</f>
        <v>0</v>
      </c>
      <c r="AD1588">
        <f t="shared" si="376"/>
        <v>18</v>
      </c>
      <c r="AE1588" t="str">
        <f t="shared" si="377"/>
        <v>锦江都城泰州海陵店|可供房数（间）</v>
      </c>
    </row>
    <row r="1589" spans="1:31" x14ac:dyDescent="0.4">
      <c r="A1589" t="str">
        <f>IF(原始经营数据!$D1590="","",原始经营数据!$D1590)</f>
        <v>华安锦江封闭式商业不动产证券投资基金</v>
      </c>
      <c r="B1589" t="str">
        <f>IF(原始经营数据!$D1590="","",T(原始经营数据!$E1590))</f>
        <v>锦江都城泰州海陵店</v>
      </c>
      <c r="C1589" t="str">
        <f>IF(原始经营数据!$D1590="","",原始经营数据!$F1590)</f>
        <v>2023</v>
      </c>
      <c r="D1589" t="str">
        <f>IF(原始经营数据!$D1590="","",原始经营数据!$H1590)</f>
        <v>平均房价</v>
      </c>
      <c r="E1589">
        <f>IF(原始经营数据!$D1590="","",原始经营数据!$I1590)</f>
        <v>216.12</v>
      </c>
      <c r="F1589" t="str">
        <f>IF(原始经营数据!$D1590="","",T(原始经营数据!$J1590))</f>
        <v>元/间</v>
      </c>
      <c r="G1589" t="str">
        <f>IF(原始经营数据!$D1590="","",T(原始经营数据!$K1590))</f>
        <v/>
      </c>
      <c r="H1589" t="str">
        <f>IF(原始经营数据!$D1590="","",原始经营数据!$G1590)</f>
        <v>服务量</v>
      </c>
      <c r="I1589" t="str">
        <f>IF($A1589="","",IF($B1589&lt;&gt;"",$B1589,IF(COUNTIFS(原始经营数据!$D$3:$D$3001,$A1589,原始经营数据!$E$3:$E$3001,"",原始经营数据!$F$3:$F$3001,$C1589,原始经营数据!$H$3:$H$3001,$D1589,原始经营数据!$K$3:$K$3001,$G1589)&gt;1,"基金整体·来源"&amp;原始经营数据!$A1590,"基金整体")))</f>
        <v>锦江都城泰州海陵店</v>
      </c>
      <c r="J1589" t="str">
        <f t="shared" si="363"/>
        <v>年度</v>
      </c>
      <c r="K1589" t="str">
        <f t="shared" si="364"/>
        <v>平均房价（元/间）</v>
      </c>
      <c r="L1589" t="str">
        <f t="shared" si="365"/>
        <v>锦江都城泰州海陵店|平均房价（元/间）|年度</v>
      </c>
      <c r="M1589">
        <f>IF($A1589="",0,IF(COUNTIF($L$2:$L1589,$L1589)=1,1,0))</f>
        <v>0</v>
      </c>
      <c r="N1589">
        <f t="shared" si="366"/>
        <v>20230</v>
      </c>
      <c r="O1589" t="str">
        <f t="shared" si="367"/>
        <v>华安锦江封闭式商业不动产证券投资基金|2023|年度</v>
      </c>
      <c r="P1589">
        <f>IF($A1589="",0,IF(COUNTIF($O$2:$O1589,$O1589)=1,1,0))</f>
        <v>0</v>
      </c>
      <c r="Q1589" t="str">
        <f>IF(AND($P1589=1,$A1589=经营数据!$B$3,$J1589=经营数据!$BA$5),COUNTIFS($P$2:$P$3000,1,$A$2:$A$3000,$A1589,$J$2:$J$3000,$J1589,$N$2:$N$3000,"&lt;"&amp;$N1589)+1,"")</f>
        <v/>
      </c>
      <c r="R1589" t="str">
        <f t="shared" si="368"/>
        <v>华安锦江封闭式商业不动产证券投资基金|锦江都城泰州海陵店</v>
      </c>
      <c r="S1589">
        <f>IF($A1589="",0,IF(COUNTIF($R$2:$R1589,$R1589)=1,1,0))</f>
        <v>0</v>
      </c>
      <c r="T1589">
        <f t="shared" si="369"/>
        <v>1585</v>
      </c>
      <c r="U1589" t="str">
        <f>IF($A1589="","",IF($A1589=经营数据!$B$3,COUNTIFS($S$2:$S$3000,1,$A$2:$A$3000,$A1589,$T$2:$T$3000,"&lt;"&amp;$T1589)+1,""))</f>
        <v/>
      </c>
      <c r="V1589" t="str">
        <f t="shared" si="370"/>
        <v>锦江都城泰州海陵店|服务量</v>
      </c>
      <c r="W1589">
        <f t="shared" si="371"/>
        <v>1585</v>
      </c>
      <c r="X1589" t="str">
        <f t="shared" si="372"/>
        <v>锦江都城泰州海陵店|平均房价</v>
      </c>
      <c r="Y1589">
        <f t="shared" si="373"/>
        <v>1585</v>
      </c>
      <c r="Z1589">
        <f>IF($A1589="",0,IF(AND($M1589=1,$A1589=经营数据!$B$3,$J1589=经营数据!$BA$5,OR($I1589=经营数据!$BA$4,COUNTIF(经营数据!$AA$9:$AA$38,$I1589)&gt;0)),1,0))</f>
        <v>0</v>
      </c>
      <c r="AA1589" t="str">
        <f t="shared" si="374"/>
        <v/>
      </c>
      <c r="AB1589" t="str">
        <f t="shared" si="375"/>
        <v/>
      </c>
      <c r="AC1589">
        <f>IF($A1589="",0,IF(COUNTIF($A$2:$A1589,$A1589)=1,1,0))</f>
        <v>0</v>
      </c>
      <c r="AD1589">
        <f t="shared" si="376"/>
        <v>18</v>
      </c>
      <c r="AE1589" t="str">
        <f t="shared" si="377"/>
        <v>锦江都城泰州海陵店|平均房价（元/间）</v>
      </c>
    </row>
    <row r="1590" spans="1:31" x14ac:dyDescent="0.4">
      <c r="A1590" t="str">
        <f>IF(原始经营数据!$D1591="","",原始经营数据!$D1591)</f>
        <v>华安锦江封闭式商业不动产证券投资基金</v>
      </c>
      <c r="B1590" t="str">
        <f>IF(原始经营数据!$D1591="","",T(原始经营数据!$E1591))</f>
        <v>锦江都城泰州海陵店</v>
      </c>
      <c r="C1590" t="str">
        <f>IF(原始经营数据!$D1591="","",原始经营数据!$F1591)</f>
        <v>2023</v>
      </c>
      <c r="D1590" t="str">
        <f>IF(原始经营数据!$D1591="","",原始经营数据!$H1591)</f>
        <v>平均入住率</v>
      </c>
      <c r="E1590">
        <f>IF(原始经营数据!$D1591="","",原始经营数据!$I1591)</f>
        <v>70.22</v>
      </c>
      <c r="F1590" t="str">
        <f>IF(原始经营数据!$D1591="","",T(原始经营数据!$J1591))</f>
        <v>%</v>
      </c>
      <c r="G1590" t="str">
        <f>IF(原始经营数据!$D1591="","",T(原始经营数据!$K1591))</f>
        <v/>
      </c>
      <c r="H1590" t="str">
        <f>IF(原始经营数据!$D1591="","",原始经营数据!$G1591)</f>
        <v>服务量</v>
      </c>
      <c r="I1590" t="str">
        <f>IF($A1590="","",IF($B1590&lt;&gt;"",$B1590,IF(COUNTIFS(原始经营数据!$D$3:$D$3001,$A1590,原始经营数据!$E$3:$E$3001,"",原始经营数据!$F$3:$F$3001,$C1590,原始经营数据!$H$3:$H$3001,$D1590,原始经营数据!$K$3:$K$3001,$G1590)&gt;1,"基金整体·来源"&amp;原始经营数据!$A1591,"基金整体")))</f>
        <v>锦江都城泰州海陵店</v>
      </c>
      <c r="J1590" t="str">
        <f t="shared" si="363"/>
        <v>年度</v>
      </c>
      <c r="K1590" t="str">
        <f t="shared" si="364"/>
        <v>平均入住率（%）</v>
      </c>
      <c r="L1590" t="str">
        <f t="shared" si="365"/>
        <v>锦江都城泰州海陵店|平均入住率（%）|年度</v>
      </c>
      <c r="M1590">
        <f>IF($A1590="",0,IF(COUNTIF($L$2:$L1590,$L1590)=1,1,0))</f>
        <v>0</v>
      </c>
      <c r="N1590">
        <f t="shared" si="366"/>
        <v>20230</v>
      </c>
      <c r="O1590" t="str">
        <f t="shared" si="367"/>
        <v>华安锦江封闭式商业不动产证券投资基金|2023|年度</v>
      </c>
      <c r="P1590">
        <f>IF($A1590="",0,IF(COUNTIF($O$2:$O1590,$O1590)=1,1,0))</f>
        <v>0</v>
      </c>
      <c r="Q1590" t="str">
        <f>IF(AND($P1590=1,$A1590=经营数据!$B$3,$J1590=经营数据!$BA$5),COUNTIFS($P$2:$P$3000,1,$A$2:$A$3000,$A1590,$J$2:$J$3000,$J1590,$N$2:$N$3000,"&lt;"&amp;$N1590)+1,"")</f>
        <v/>
      </c>
      <c r="R1590" t="str">
        <f t="shared" si="368"/>
        <v>华安锦江封闭式商业不动产证券投资基金|锦江都城泰州海陵店</v>
      </c>
      <c r="S1590">
        <f>IF($A1590="",0,IF(COUNTIF($R$2:$R1590,$R1590)=1,1,0))</f>
        <v>0</v>
      </c>
      <c r="T1590">
        <f t="shared" si="369"/>
        <v>1585</v>
      </c>
      <c r="U1590" t="str">
        <f>IF($A1590="","",IF($A1590=经营数据!$B$3,COUNTIFS($S$2:$S$3000,1,$A$2:$A$3000,$A1590,$T$2:$T$3000,"&lt;"&amp;$T1590)+1,""))</f>
        <v/>
      </c>
      <c r="V1590" t="str">
        <f t="shared" si="370"/>
        <v>锦江都城泰州海陵店|服务量</v>
      </c>
      <c r="W1590">
        <f t="shared" si="371"/>
        <v>1585</v>
      </c>
      <c r="X1590" t="str">
        <f t="shared" si="372"/>
        <v>锦江都城泰州海陵店|平均入住率</v>
      </c>
      <c r="Y1590">
        <f t="shared" si="373"/>
        <v>1586</v>
      </c>
      <c r="Z1590">
        <f>IF($A1590="",0,IF(AND($M1590=1,$A1590=经营数据!$B$3,$J1590=经营数据!$BA$5,OR($I1590=经营数据!$BA$4,COUNTIF(经营数据!$AA$9:$AA$38,$I1590)&gt;0)),1,0))</f>
        <v>0</v>
      </c>
      <c r="AA1590" t="str">
        <f t="shared" si="374"/>
        <v/>
      </c>
      <c r="AB1590" t="str">
        <f t="shared" si="375"/>
        <v/>
      </c>
      <c r="AC1590">
        <f>IF($A1590="",0,IF(COUNTIF($A$2:$A1590,$A1590)=1,1,0))</f>
        <v>0</v>
      </c>
      <c r="AD1590">
        <f t="shared" si="376"/>
        <v>18</v>
      </c>
      <c r="AE1590" t="str">
        <f t="shared" si="377"/>
        <v>锦江都城泰州海陵店|平均入住率（%）</v>
      </c>
    </row>
    <row r="1591" spans="1:31" x14ac:dyDescent="0.4">
      <c r="A1591" t="str">
        <f>IF(原始经营数据!$D1592="","",原始经营数据!$D1592)</f>
        <v>华安锦江封闭式商业不动产证券投资基金</v>
      </c>
      <c r="B1591" t="str">
        <f>IF(原始经营数据!$D1592="","",T(原始经营数据!$E1592))</f>
        <v>锦江都城泰州海陵店</v>
      </c>
      <c r="C1591" t="str">
        <f>IF(原始经营数据!$D1592="","",原始经营数据!$F1592)</f>
        <v>2023</v>
      </c>
      <c r="D1591" t="str">
        <f>IF(原始经营数据!$D1592="","",原始经营数据!$H1592)</f>
        <v>可供房数</v>
      </c>
      <c r="E1591">
        <f>IF(原始经营数据!$D1592="","",原始经营数据!$I1592)</f>
        <v>3476</v>
      </c>
      <c r="F1591" t="str">
        <f>IF(原始经营数据!$D1592="","",T(原始经营数据!$J1592))</f>
        <v>间</v>
      </c>
      <c r="G1591" t="str">
        <f>IF(原始经营数据!$D1592="","",T(原始经营数据!$K1592))</f>
        <v/>
      </c>
      <c r="H1591" t="str">
        <f>IF(原始经营数据!$D1592="","",原始经营数据!$G1592)</f>
        <v>服务量</v>
      </c>
      <c r="I1591" t="str">
        <f>IF($A1591="","",IF($B1591&lt;&gt;"",$B1591,IF(COUNTIFS(原始经营数据!$D$3:$D$3001,$A1591,原始经营数据!$E$3:$E$3001,"",原始经营数据!$F$3:$F$3001,$C1591,原始经营数据!$H$3:$H$3001,$D1591,原始经营数据!$K$3:$K$3001,$G1591)&gt;1,"基金整体·来源"&amp;原始经营数据!$A1592,"基金整体")))</f>
        <v>锦江都城泰州海陵店</v>
      </c>
      <c r="J1591" t="str">
        <f t="shared" si="363"/>
        <v>年度</v>
      </c>
      <c r="K1591" t="str">
        <f t="shared" si="364"/>
        <v>可供房数（间）</v>
      </c>
      <c r="L1591" t="str">
        <f t="shared" si="365"/>
        <v>锦江都城泰州海陵店|可供房数（间）|年度</v>
      </c>
      <c r="M1591">
        <f>IF($A1591="",0,IF(COUNTIF($L$2:$L1591,$L1591)=1,1,0))</f>
        <v>0</v>
      </c>
      <c r="N1591">
        <f t="shared" si="366"/>
        <v>20230</v>
      </c>
      <c r="O1591" t="str">
        <f t="shared" si="367"/>
        <v>华安锦江封闭式商业不动产证券投资基金|2023|年度</v>
      </c>
      <c r="P1591">
        <f>IF($A1591="",0,IF(COUNTIF($O$2:$O1591,$O1591)=1,1,0))</f>
        <v>0</v>
      </c>
      <c r="Q1591" t="str">
        <f>IF(AND($P1591=1,$A1591=经营数据!$B$3,$J1591=经营数据!$BA$5),COUNTIFS($P$2:$P$3000,1,$A$2:$A$3000,$A1591,$J$2:$J$3000,$J1591,$N$2:$N$3000,"&lt;"&amp;$N1591)+1,"")</f>
        <v/>
      </c>
      <c r="R1591" t="str">
        <f t="shared" si="368"/>
        <v>华安锦江封闭式商业不动产证券投资基金|锦江都城泰州海陵店</v>
      </c>
      <c r="S1591">
        <f>IF($A1591="",0,IF(COUNTIF($R$2:$R1591,$R1591)=1,1,0))</f>
        <v>0</v>
      </c>
      <c r="T1591">
        <f t="shared" si="369"/>
        <v>1585</v>
      </c>
      <c r="U1591" t="str">
        <f>IF($A1591="","",IF($A1591=经营数据!$B$3,COUNTIFS($S$2:$S$3000,1,$A$2:$A$3000,$A1591,$T$2:$T$3000,"&lt;"&amp;$T1591)+1,""))</f>
        <v/>
      </c>
      <c r="V1591" t="str">
        <f t="shared" si="370"/>
        <v>锦江都城泰州海陵店|服务量</v>
      </c>
      <c r="W1591">
        <f t="shared" si="371"/>
        <v>1585</v>
      </c>
      <c r="X1591" t="str">
        <f t="shared" si="372"/>
        <v>锦江都城泰州海陵店|可供房数</v>
      </c>
      <c r="Y1591">
        <f t="shared" si="373"/>
        <v>1587</v>
      </c>
      <c r="Z1591">
        <f>IF($A1591="",0,IF(AND($M1591=1,$A1591=经营数据!$B$3,$J1591=经营数据!$BA$5,OR($I1591=经营数据!$BA$4,COUNTIF(经营数据!$AA$9:$AA$38,$I1591)&gt;0)),1,0))</f>
        <v>0</v>
      </c>
      <c r="AA1591" t="str">
        <f t="shared" si="374"/>
        <v/>
      </c>
      <c r="AB1591" t="str">
        <f t="shared" si="375"/>
        <v/>
      </c>
      <c r="AC1591">
        <f>IF($A1591="",0,IF(COUNTIF($A$2:$A1591,$A1591)=1,1,0))</f>
        <v>0</v>
      </c>
      <c r="AD1591">
        <f t="shared" si="376"/>
        <v>18</v>
      </c>
      <c r="AE1591" t="str">
        <f t="shared" si="377"/>
        <v>锦江都城泰州海陵店|可供房数（间）</v>
      </c>
    </row>
    <row r="1592" spans="1:31" x14ac:dyDescent="0.4">
      <c r="A1592" t="str">
        <f>IF(原始经营数据!$D1593="","",原始经营数据!$D1593)</f>
        <v>华安锦江封闭式商业不动产证券投资基金</v>
      </c>
      <c r="B1592" t="str">
        <f>IF(原始经营数据!$D1593="","",T(原始经营数据!$E1593))</f>
        <v>锦江都城泰州海陵店</v>
      </c>
      <c r="C1592" t="str">
        <f>IF(原始经营数据!$D1593="","",原始经营数据!$F1593)</f>
        <v>2024</v>
      </c>
      <c r="D1592" t="str">
        <f>IF(原始经营数据!$D1593="","",原始经营数据!$H1593)</f>
        <v>平均入住率</v>
      </c>
      <c r="E1592">
        <f>IF(原始经营数据!$D1593="","",原始经营数据!$I1593)</f>
        <v>73.52</v>
      </c>
      <c r="F1592" t="str">
        <f>IF(原始经营数据!$D1593="","",T(原始经营数据!$J1593))</f>
        <v>%</v>
      </c>
      <c r="G1592" t="str">
        <f>IF(原始经营数据!$D1593="","",T(原始经营数据!$K1593))</f>
        <v/>
      </c>
      <c r="H1592" t="str">
        <f>IF(原始经营数据!$D1593="","",原始经营数据!$G1593)</f>
        <v>服务量</v>
      </c>
      <c r="I1592" t="str">
        <f>IF($A1592="","",IF($B1592&lt;&gt;"",$B1592,IF(COUNTIFS(原始经营数据!$D$3:$D$3001,$A1592,原始经营数据!$E$3:$E$3001,"",原始经营数据!$F$3:$F$3001,$C1592,原始经营数据!$H$3:$H$3001,$D1592,原始经营数据!$K$3:$K$3001,$G1592)&gt;1,"基金整体·来源"&amp;原始经营数据!$A1593,"基金整体")))</f>
        <v>锦江都城泰州海陵店</v>
      </c>
      <c r="J1592" t="str">
        <f t="shared" si="363"/>
        <v>年度</v>
      </c>
      <c r="K1592" t="str">
        <f t="shared" si="364"/>
        <v>平均入住率（%）</v>
      </c>
      <c r="L1592" t="str">
        <f t="shared" si="365"/>
        <v>锦江都城泰州海陵店|平均入住率（%）|年度</v>
      </c>
      <c r="M1592">
        <f>IF($A1592="",0,IF(COUNTIF($L$2:$L1592,$L1592)=1,1,0))</f>
        <v>0</v>
      </c>
      <c r="N1592">
        <f t="shared" si="366"/>
        <v>20240</v>
      </c>
      <c r="O1592" t="str">
        <f t="shared" si="367"/>
        <v>华安锦江封闭式商业不动产证券投资基金|2024|年度</v>
      </c>
      <c r="P1592">
        <f>IF($A1592="",0,IF(COUNTIF($O$2:$O1592,$O1592)=1,1,0))</f>
        <v>0</v>
      </c>
      <c r="Q1592" t="str">
        <f>IF(AND($P1592=1,$A1592=经营数据!$B$3,$J1592=经营数据!$BA$5),COUNTIFS($P$2:$P$3000,1,$A$2:$A$3000,$A1592,$J$2:$J$3000,$J1592,$N$2:$N$3000,"&lt;"&amp;$N1592)+1,"")</f>
        <v/>
      </c>
      <c r="R1592" t="str">
        <f t="shared" si="368"/>
        <v>华安锦江封闭式商业不动产证券投资基金|锦江都城泰州海陵店</v>
      </c>
      <c r="S1592">
        <f>IF($A1592="",0,IF(COUNTIF($R$2:$R1592,$R1592)=1,1,0))</f>
        <v>0</v>
      </c>
      <c r="T1592">
        <f t="shared" si="369"/>
        <v>1585</v>
      </c>
      <c r="U1592" t="str">
        <f>IF($A1592="","",IF($A1592=经营数据!$B$3,COUNTIFS($S$2:$S$3000,1,$A$2:$A$3000,$A1592,$T$2:$T$3000,"&lt;"&amp;$T1592)+1,""))</f>
        <v/>
      </c>
      <c r="V1592" t="str">
        <f t="shared" si="370"/>
        <v>锦江都城泰州海陵店|服务量</v>
      </c>
      <c r="W1592">
        <f t="shared" si="371"/>
        <v>1585</v>
      </c>
      <c r="X1592" t="str">
        <f t="shared" si="372"/>
        <v>锦江都城泰州海陵店|平均入住率</v>
      </c>
      <c r="Y1592">
        <f t="shared" si="373"/>
        <v>1586</v>
      </c>
      <c r="Z1592">
        <f>IF($A1592="",0,IF(AND($M1592=1,$A1592=经营数据!$B$3,$J1592=经营数据!$BA$5,OR($I1592=经营数据!$BA$4,COUNTIF(经营数据!$AA$9:$AA$38,$I1592)&gt;0)),1,0))</f>
        <v>0</v>
      </c>
      <c r="AA1592" t="str">
        <f t="shared" si="374"/>
        <v/>
      </c>
      <c r="AB1592" t="str">
        <f t="shared" si="375"/>
        <v/>
      </c>
      <c r="AC1592">
        <f>IF($A1592="",0,IF(COUNTIF($A$2:$A1592,$A1592)=1,1,0))</f>
        <v>0</v>
      </c>
      <c r="AD1592">
        <f t="shared" si="376"/>
        <v>18</v>
      </c>
      <c r="AE1592" t="str">
        <f t="shared" si="377"/>
        <v>锦江都城泰州海陵店|平均入住率（%）</v>
      </c>
    </row>
    <row r="1593" spans="1:31" x14ac:dyDescent="0.4">
      <c r="A1593" t="str">
        <f>IF(原始经营数据!$D1594="","",原始经营数据!$D1594)</f>
        <v>华安锦江封闭式商业不动产证券投资基金</v>
      </c>
      <c r="B1593" t="str">
        <f>IF(原始经营数据!$D1594="","",T(原始经营数据!$E1594))</f>
        <v>锦江都城泰州海陵店</v>
      </c>
      <c r="C1593" t="str">
        <f>IF(原始经营数据!$D1594="","",原始经营数据!$F1594)</f>
        <v>2024</v>
      </c>
      <c r="D1593" t="str">
        <f>IF(原始经营数据!$D1594="","",原始经营数据!$H1594)</f>
        <v>可供房数</v>
      </c>
      <c r="E1593">
        <f>IF(原始经营数据!$D1594="","",原始经营数据!$I1594)</f>
        <v>42363</v>
      </c>
      <c r="F1593" t="str">
        <f>IF(原始经营数据!$D1594="","",T(原始经营数据!$J1594))</f>
        <v>间</v>
      </c>
      <c r="G1593" t="str">
        <f>IF(原始经营数据!$D1594="","",T(原始经营数据!$K1594))</f>
        <v/>
      </c>
      <c r="H1593" t="str">
        <f>IF(原始经营数据!$D1594="","",原始经营数据!$G1594)</f>
        <v>服务量</v>
      </c>
      <c r="I1593" t="str">
        <f>IF($A1593="","",IF($B1593&lt;&gt;"",$B1593,IF(COUNTIFS(原始经营数据!$D$3:$D$3001,$A1593,原始经营数据!$E$3:$E$3001,"",原始经营数据!$F$3:$F$3001,$C1593,原始经营数据!$H$3:$H$3001,$D1593,原始经营数据!$K$3:$K$3001,$G1593)&gt;1,"基金整体·来源"&amp;原始经营数据!$A1594,"基金整体")))</f>
        <v>锦江都城泰州海陵店</v>
      </c>
      <c r="J1593" t="str">
        <f t="shared" si="363"/>
        <v>年度</v>
      </c>
      <c r="K1593" t="str">
        <f t="shared" si="364"/>
        <v>可供房数（间）</v>
      </c>
      <c r="L1593" t="str">
        <f t="shared" si="365"/>
        <v>锦江都城泰州海陵店|可供房数（间）|年度</v>
      </c>
      <c r="M1593">
        <f>IF($A1593="",0,IF(COUNTIF($L$2:$L1593,$L1593)=1,1,0))</f>
        <v>0</v>
      </c>
      <c r="N1593">
        <f t="shared" si="366"/>
        <v>20240</v>
      </c>
      <c r="O1593" t="str">
        <f t="shared" si="367"/>
        <v>华安锦江封闭式商业不动产证券投资基金|2024|年度</v>
      </c>
      <c r="P1593">
        <f>IF($A1593="",0,IF(COUNTIF($O$2:$O1593,$O1593)=1,1,0))</f>
        <v>0</v>
      </c>
      <c r="Q1593" t="str">
        <f>IF(AND($P1593=1,$A1593=经营数据!$B$3,$J1593=经营数据!$BA$5),COUNTIFS($P$2:$P$3000,1,$A$2:$A$3000,$A1593,$J$2:$J$3000,$J1593,$N$2:$N$3000,"&lt;"&amp;$N1593)+1,"")</f>
        <v/>
      </c>
      <c r="R1593" t="str">
        <f t="shared" si="368"/>
        <v>华安锦江封闭式商业不动产证券投资基金|锦江都城泰州海陵店</v>
      </c>
      <c r="S1593">
        <f>IF($A1593="",0,IF(COUNTIF($R$2:$R1593,$R1593)=1,1,0))</f>
        <v>0</v>
      </c>
      <c r="T1593">
        <f t="shared" si="369"/>
        <v>1585</v>
      </c>
      <c r="U1593" t="str">
        <f>IF($A1593="","",IF($A1593=经营数据!$B$3,COUNTIFS($S$2:$S$3000,1,$A$2:$A$3000,$A1593,$T$2:$T$3000,"&lt;"&amp;$T1593)+1,""))</f>
        <v/>
      </c>
      <c r="V1593" t="str">
        <f t="shared" si="370"/>
        <v>锦江都城泰州海陵店|服务量</v>
      </c>
      <c r="W1593">
        <f t="shared" si="371"/>
        <v>1585</v>
      </c>
      <c r="X1593" t="str">
        <f t="shared" si="372"/>
        <v>锦江都城泰州海陵店|可供房数</v>
      </c>
      <c r="Y1593">
        <f t="shared" si="373"/>
        <v>1587</v>
      </c>
      <c r="Z1593">
        <f>IF($A1593="",0,IF(AND($M1593=1,$A1593=经营数据!$B$3,$J1593=经营数据!$BA$5,OR($I1593=经营数据!$BA$4,COUNTIF(经营数据!$AA$9:$AA$38,$I1593)&gt;0)),1,0))</f>
        <v>0</v>
      </c>
      <c r="AA1593" t="str">
        <f t="shared" si="374"/>
        <v/>
      </c>
      <c r="AB1593" t="str">
        <f t="shared" si="375"/>
        <v/>
      </c>
      <c r="AC1593">
        <f>IF($A1593="",0,IF(COUNTIF($A$2:$A1593,$A1593)=1,1,0))</f>
        <v>0</v>
      </c>
      <c r="AD1593">
        <f t="shared" si="376"/>
        <v>18</v>
      </c>
      <c r="AE1593" t="str">
        <f t="shared" si="377"/>
        <v>锦江都城泰州海陵店|可供房数（间）</v>
      </c>
    </row>
    <row r="1594" spans="1:31" x14ac:dyDescent="0.4">
      <c r="A1594" t="str">
        <f>IF(原始经营数据!$D1595="","",原始经营数据!$D1595)</f>
        <v>华安锦江封闭式商业不动产证券投资基金</v>
      </c>
      <c r="B1594" t="str">
        <f>IF(原始经营数据!$D1595="","",T(原始经营数据!$E1595))</f>
        <v>锦江都城泰州海陵店</v>
      </c>
      <c r="C1594" t="str">
        <f>IF(原始经营数据!$D1595="","",原始经营数据!$F1595)</f>
        <v>2024</v>
      </c>
      <c r="D1594" t="str">
        <f>IF(原始经营数据!$D1595="","",原始经营数据!$H1595)</f>
        <v>平均房价</v>
      </c>
      <c r="E1594">
        <f>IF(原始经营数据!$D1595="","",原始经营数据!$I1595)</f>
        <v>208.85</v>
      </c>
      <c r="F1594" t="str">
        <f>IF(原始经营数据!$D1595="","",T(原始经营数据!$J1595))</f>
        <v>元/间</v>
      </c>
      <c r="G1594" t="str">
        <f>IF(原始经营数据!$D1595="","",T(原始经营数据!$K1595))</f>
        <v/>
      </c>
      <c r="H1594" t="str">
        <f>IF(原始经营数据!$D1595="","",原始经营数据!$G1595)</f>
        <v>服务量</v>
      </c>
      <c r="I1594" t="str">
        <f>IF($A1594="","",IF($B1594&lt;&gt;"",$B1594,IF(COUNTIFS(原始经营数据!$D$3:$D$3001,$A1594,原始经营数据!$E$3:$E$3001,"",原始经营数据!$F$3:$F$3001,$C1594,原始经营数据!$H$3:$H$3001,$D1594,原始经营数据!$K$3:$K$3001,$G1594)&gt;1,"基金整体·来源"&amp;原始经营数据!$A1595,"基金整体")))</f>
        <v>锦江都城泰州海陵店</v>
      </c>
      <c r="J1594" t="str">
        <f t="shared" si="363"/>
        <v>年度</v>
      </c>
      <c r="K1594" t="str">
        <f t="shared" si="364"/>
        <v>平均房价（元/间）</v>
      </c>
      <c r="L1594" t="str">
        <f t="shared" si="365"/>
        <v>锦江都城泰州海陵店|平均房价（元/间）|年度</v>
      </c>
      <c r="M1594">
        <f>IF($A1594="",0,IF(COUNTIF($L$2:$L1594,$L1594)=1,1,0))</f>
        <v>0</v>
      </c>
      <c r="N1594">
        <f t="shared" si="366"/>
        <v>20240</v>
      </c>
      <c r="O1594" t="str">
        <f t="shared" si="367"/>
        <v>华安锦江封闭式商业不动产证券投资基金|2024|年度</v>
      </c>
      <c r="P1594">
        <f>IF($A1594="",0,IF(COUNTIF($O$2:$O1594,$O1594)=1,1,0))</f>
        <v>0</v>
      </c>
      <c r="Q1594" t="str">
        <f>IF(AND($P1594=1,$A1594=经营数据!$B$3,$J1594=经营数据!$BA$5),COUNTIFS($P$2:$P$3000,1,$A$2:$A$3000,$A1594,$J$2:$J$3000,$J1594,$N$2:$N$3000,"&lt;"&amp;$N1594)+1,"")</f>
        <v/>
      </c>
      <c r="R1594" t="str">
        <f t="shared" si="368"/>
        <v>华安锦江封闭式商业不动产证券投资基金|锦江都城泰州海陵店</v>
      </c>
      <c r="S1594">
        <f>IF($A1594="",0,IF(COUNTIF($R$2:$R1594,$R1594)=1,1,0))</f>
        <v>0</v>
      </c>
      <c r="T1594">
        <f t="shared" si="369"/>
        <v>1585</v>
      </c>
      <c r="U1594" t="str">
        <f>IF($A1594="","",IF($A1594=经营数据!$B$3,COUNTIFS($S$2:$S$3000,1,$A$2:$A$3000,$A1594,$T$2:$T$3000,"&lt;"&amp;$T1594)+1,""))</f>
        <v/>
      </c>
      <c r="V1594" t="str">
        <f t="shared" si="370"/>
        <v>锦江都城泰州海陵店|服务量</v>
      </c>
      <c r="W1594">
        <f t="shared" si="371"/>
        <v>1585</v>
      </c>
      <c r="X1594" t="str">
        <f t="shared" si="372"/>
        <v>锦江都城泰州海陵店|平均房价</v>
      </c>
      <c r="Y1594">
        <f t="shared" si="373"/>
        <v>1585</v>
      </c>
      <c r="Z1594">
        <f>IF($A1594="",0,IF(AND($M1594=1,$A1594=经营数据!$B$3,$J1594=经营数据!$BA$5,OR($I1594=经营数据!$BA$4,COUNTIF(经营数据!$AA$9:$AA$38,$I1594)&gt;0)),1,0))</f>
        <v>0</v>
      </c>
      <c r="AA1594" t="str">
        <f t="shared" si="374"/>
        <v/>
      </c>
      <c r="AB1594" t="str">
        <f t="shared" si="375"/>
        <v/>
      </c>
      <c r="AC1594">
        <f>IF($A1594="",0,IF(COUNTIF($A$2:$A1594,$A1594)=1,1,0))</f>
        <v>0</v>
      </c>
      <c r="AD1594">
        <f t="shared" si="376"/>
        <v>18</v>
      </c>
      <c r="AE1594" t="str">
        <f t="shared" si="377"/>
        <v>锦江都城泰州海陵店|平均房价（元/间）</v>
      </c>
    </row>
    <row r="1595" spans="1:31" x14ac:dyDescent="0.4">
      <c r="A1595" t="str">
        <f>IF(原始经营数据!$D1596="","",原始经营数据!$D1596)</f>
        <v>华安锦江封闭式商业不动产证券投资基金</v>
      </c>
      <c r="B1595" t="str">
        <f>IF(原始经营数据!$D1596="","",T(原始经营数据!$E1596))</f>
        <v>锦江都城泰州海陵店</v>
      </c>
      <c r="C1595" t="str">
        <f>IF(原始经营数据!$D1596="","",原始经营数据!$F1596)</f>
        <v>2025</v>
      </c>
      <c r="D1595" t="str">
        <f>IF(原始经营数据!$D1596="","",原始经营数据!$H1596)</f>
        <v>平均房价</v>
      </c>
      <c r="E1595">
        <f>IF(原始经营数据!$D1596="","",原始经营数据!$I1596)</f>
        <v>196.21</v>
      </c>
      <c r="F1595" t="str">
        <f>IF(原始经营数据!$D1596="","",T(原始经营数据!$J1596))</f>
        <v>元/间</v>
      </c>
      <c r="G1595" t="str">
        <f>IF(原始经营数据!$D1596="","",T(原始经营数据!$K1596))</f>
        <v/>
      </c>
      <c r="H1595" t="str">
        <f>IF(原始经营数据!$D1596="","",原始经营数据!$G1596)</f>
        <v>服务量</v>
      </c>
      <c r="I1595" t="str">
        <f>IF($A1595="","",IF($B1595&lt;&gt;"",$B1595,IF(COUNTIFS(原始经营数据!$D$3:$D$3001,$A1595,原始经营数据!$E$3:$E$3001,"",原始经营数据!$F$3:$F$3001,$C1595,原始经营数据!$H$3:$H$3001,$D1595,原始经营数据!$K$3:$K$3001,$G1595)&gt;1,"基金整体·来源"&amp;原始经营数据!$A1596,"基金整体")))</f>
        <v>锦江都城泰州海陵店</v>
      </c>
      <c r="J1595" t="str">
        <f t="shared" si="363"/>
        <v>年度</v>
      </c>
      <c r="K1595" t="str">
        <f t="shared" si="364"/>
        <v>平均房价（元/间）</v>
      </c>
      <c r="L1595" t="str">
        <f t="shared" si="365"/>
        <v>锦江都城泰州海陵店|平均房价（元/间）|年度</v>
      </c>
      <c r="M1595">
        <f>IF($A1595="",0,IF(COUNTIF($L$2:$L1595,$L1595)=1,1,0))</f>
        <v>0</v>
      </c>
      <c r="N1595">
        <f t="shared" si="366"/>
        <v>20250</v>
      </c>
      <c r="O1595" t="str">
        <f t="shared" si="367"/>
        <v>华安锦江封闭式商业不动产证券投资基金|2025|年度</v>
      </c>
      <c r="P1595">
        <f>IF($A1595="",0,IF(COUNTIF($O$2:$O1595,$O1595)=1,1,0))</f>
        <v>0</v>
      </c>
      <c r="Q1595" t="str">
        <f>IF(AND($P1595=1,$A1595=经营数据!$B$3,$J1595=经营数据!$BA$5),COUNTIFS($P$2:$P$3000,1,$A$2:$A$3000,$A1595,$J$2:$J$3000,$J1595,$N$2:$N$3000,"&lt;"&amp;$N1595)+1,"")</f>
        <v/>
      </c>
      <c r="R1595" t="str">
        <f t="shared" si="368"/>
        <v>华安锦江封闭式商业不动产证券投资基金|锦江都城泰州海陵店</v>
      </c>
      <c r="S1595">
        <f>IF($A1595="",0,IF(COUNTIF($R$2:$R1595,$R1595)=1,1,0))</f>
        <v>0</v>
      </c>
      <c r="T1595">
        <f t="shared" si="369"/>
        <v>1585</v>
      </c>
      <c r="U1595" t="str">
        <f>IF($A1595="","",IF($A1595=经营数据!$B$3,COUNTIFS($S$2:$S$3000,1,$A$2:$A$3000,$A1595,$T$2:$T$3000,"&lt;"&amp;$T1595)+1,""))</f>
        <v/>
      </c>
      <c r="V1595" t="str">
        <f t="shared" si="370"/>
        <v>锦江都城泰州海陵店|服务量</v>
      </c>
      <c r="W1595">
        <f t="shared" si="371"/>
        <v>1585</v>
      </c>
      <c r="X1595" t="str">
        <f t="shared" si="372"/>
        <v>锦江都城泰州海陵店|平均房价</v>
      </c>
      <c r="Y1595">
        <f t="shared" si="373"/>
        <v>1585</v>
      </c>
      <c r="Z1595">
        <f>IF($A1595="",0,IF(AND($M1595=1,$A1595=经营数据!$B$3,$J1595=经营数据!$BA$5,OR($I1595=经营数据!$BA$4,COUNTIF(经营数据!$AA$9:$AA$38,$I1595)&gt;0)),1,0))</f>
        <v>0</v>
      </c>
      <c r="AA1595" t="str">
        <f t="shared" si="374"/>
        <v/>
      </c>
      <c r="AB1595" t="str">
        <f t="shared" si="375"/>
        <v/>
      </c>
      <c r="AC1595">
        <f>IF($A1595="",0,IF(COUNTIF($A$2:$A1595,$A1595)=1,1,0))</f>
        <v>0</v>
      </c>
      <c r="AD1595">
        <f t="shared" si="376"/>
        <v>18</v>
      </c>
      <c r="AE1595" t="str">
        <f t="shared" si="377"/>
        <v>锦江都城泰州海陵店|平均房价（元/间）</v>
      </c>
    </row>
    <row r="1596" spans="1:31" x14ac:dyDescent="0.4">
      <c r="A1596" t="str">
        <f>IF(原始经营数据!$D1597="","",原始经营数据!$D1597)</f>
        <v>华安锦江封闭式商业不动产证券投资基金</v>
      </c>
      <c r="B1596" t="str">
        <f>IF(原始经营数据!$D1597="","",T(原始经营数据!$E1597))</f>
        <v>锦江都城泰州海陵店</v>
      </c>
      <c r="C1596" t="str">
        <f>IF(原始经营数据!$D1597="","",原始经营数据!$F1597)</f>
        <v>2025</v>
      </c>
      <c r="D1596" t="str">
        <f>IF(原始经营数据!$D1597="","",原始经营数据!$H1597)</f>
        <v>平均入住率</v>
      </c>
      <c r="E1596">
        <f>IF(原始经营数据!$D1597="","",原始经营数据!$I1597)</f>
        <v>71.84</v>
      </c>
      <c r="F1596" t="str">
        <f>IF(原始经营数据!$D1597="","",T(原始经营数据!$J1597))</f>
        <v>%</v>
      </c>
      <c r="G1596" t="str">
        <f>IF(原始经营数据!$D1597="","",T(原始经营数据!$K1597))</f>
        <v/>
      </c>
      <c r="H1596" t="str">
        <f>IF(原始经营数据!$D1597="","",原始经营数据!$G1597)</f>
        <v>服务量</v>
      </c>
      <c r="I1596" t="str">
        <f>IF($A1596="","",IF($B1596&lt;&gt;"",$B1596,IF(COUNTIFS(原始经营数据!$D$3:$D$3001,$A1596,原始经营数据!$E$3:$E$3001,"",原始经营数据!$F$3:$F$3001,$C1596,原始经营数据!$H$3:$H$3001,$D1596,原始经营数据!$K$3:$K$3001,$G1596)&gt;1,"基金整体·来源"&amp;原始经营数据!$A1597,"基金整体")))</f>
        <v>锦江都城泰州海陵店</v>
      </c>
      <c r="J1596" t="str">
        <f t="shared" si="363"/>
        <v>年度</v>
      </c>
      <c r="K1596" t="str">
        <f t="shared" si="364"/>
        <v>平均入住率（%）</v>
      </c>
      <c r="L1596" t="str">
        <f t="shared" si="365"/>
        <v>锦江都城泰州海陵店|平均入住率（%）|年度</v>
      </c>
      <c r="M1596">
        <f>IF($A1596="",0,IF(COUNTIF($L$2:$L1596,$L1596)=1,1,0))</f>
        <v>0</v>
      </c>
      <c r="N1596">
        <f t="shared" si="366"/>
        <v>20250</v>
      </c>
      <c r="O1596" t="str">
        <f t="shared" si="367"/>
        <v>华安锦江封闭式商业不动产证券投资基金|2025|年度</v>
      </c>
      <c r="P1596">
        <f>IF($A1596="",0,IF(COUNTIF($O$2:$O1596,$O1596)=1,1,0))</f>
        <v>0</v>
      </c>
      <c r="Q1596" t="str">
        <f>IF(AND($P1596=1,$A1596=经营数据!$B$3,$J1596=经营数据!$BA$5),COUNTIFS($P$2:$P$3000,1,$A$2:$A$3000,$A1596,$J$2:$J$3000,$J1596,$N$2:$N$3000,"&lt;"&amp;$N1596)+1,"")</f>
        <v/>
      </c>
      <c r="R1596" t="str">
        <f t="shared" si="368"/>
        <v>华安锦江封闭式商业不动产证券投资基金|锦江都城泰州海陵店</v>
      </c>
      <c r="S1596">
        <f>IF($A1596="",0,IF(COUNTIF($R$2:$R1596,$R1596)=1,1,0))</f>
        <v>0</v>
      </c>
      <c r="T1596">
        <f t="shared" si="369"/>
        <v>1585</v>
      </c>
      <c r="U1596" t="str">
        <f>IF($A1596="","",IF($A1596=经营数据!$B$3,COUNTIFS($S$2:$S$3000,1,$A$2:$A$3000,$A1596,$T$2:$T$3000,"&lt;"&amp;$T1596)+1,""))</f>
        <v/>
      </c>
      <c r="V1596" t="str">
        <f t="shared" si="370"/>
        <v>锦江都城泰州海陵店|服务量</v>
      </c>
      <c r="W1596">
        <f t="shared" si="371"/>
        <v>1585</v>
      </c>
      <c r="X1596" t="str">
        <f t="shared" si="372"/>
        <v>锦江都城泰州海陵店|平均入住率</v>
      </c>
      <c r="Y1596">
        <f t="shared" si="373"/>
        <v>1586</v>
      </c>
      <c r="Z1596">
        <f>IF($A1596="",0,IF(AND($M1596=1,$A1596=经营数据!$B$3,$J1596=经营数据!$BA$5,OR($I1596=经营数据!$BA$4,COUNTIF(经营数据!$AA$9:$AA$38,$I1596)&gt;0)),1,0))</f>
        <v>0</v>
      </c>
      <c r="AA1596" t="str">
        <f t="shared" si="374"/>
        <v/>
      </c>
      <c r="AB1596" t="str">
        <f t="shared" si="375"/>
        <v/>
      </c>
      <c r="AC1596">
        <f>IF($A1596="",0,IF(COUNTIF($A$2:$A1596,$A1596)=1,1,0))</f>
        <v>0</v>
      </c>
      <c r="AD1596">
        <f t="shared" si="376"/>
        <v>18</v>
      </c>
      <c r="AE1596" t="str">
        <f t="shared" si="377"/>
        <v>锦江都城泰州海陵店|平均入住率（%）</v>
      </c>
    </row>
    <row r="1597" spans="1:31" x14ac:dyDescent="0.4">
      <c r="A1597" t="str">
        <f>IF(原始经营数据!$D1598="","",原始经营数据!$D1598)</f>
        <v>华安锦江封闭式商业不动产证券投资基金</v>
      </c>
      <c r="B1597" t="str">
        <f>IF(原始经营数据!$D1598="","",T(原始经营数据!$E1598))</f>
        <v>锦江都城泰州海陵店</v>
      </c>
      <c r="C1597" t="str">
        <f>IF(原始经营数据!$D1598="","",原始经营数据!$F1598)</f>
        <v>2025</v>
      </c>
      <c r="D1597" t="str">
        <f>IF(原始经营数据!$D1598="","",原始经营数据!$H1598)</f>
        <v>可供房数</v>
      </c>
      <c r="E1597">
        <f>IF(原始经营数据!$D1598="","",原始经营数据!$I1598)</f>
        <v>43005</v>
      </c>
      <c r="F1597" t="str">
        <f>IF(原始经营数据!$D1598="","",T(原始经营数据!$J1598))</f>
        <v>间</v>
      </c>
      <c r="G1597" t="str">
        <f>IF(原始经营数据!$D1598="","",T(原始经营数据!$K1598))</f>
        <v/>
      </c>
      <c r="H1597" t="str">
        <f>IF(原始经营数据!$D1598="","",原始经营数据!$G1598)</f>
        <v>服务量</v>
      </c>
      <c r="I1597" t="str">
        <f>IF($A1597="","",IF($B1597&lt;&gt;"",$B1597,IF(COUNTIFS(原始经营数据!$D$3:$D$3001,$A1597,原始经营数据!$E$3:$E$3001,"",原始经营数据!$F$3:$F$3001,$C1597,原始经营数据!$H$3:$H$3001,$D1597,原始经营数据!$K$3:$K$3001,$G1597)&gt;1,"基金整体·来源"&amp;原始经营数据!$A1598,"基金整体")))</f>
        <v>锦江都城泰州海陵店</v>
      </c>
      <c r="J1597" t="str">
        <f t="shared" si="363"/>
        <v>年度</v>
      </c>
      <c r="K1597" t="str">
        <f t="shared" si="364"/>
        <v>可供房数（间）</v>
      </c>
      <c r="L1597" t="str">
        <f t="shared" si="365"/>
        <v>锦江都城泰州海陵店|可供房数（间）|年度</v>
      </c>
      <c r="M1597">
        <f>IF($A1597="",0,IF(COUNTIF($L$2:$L1597,$L1597)=1,1,0))</f>
        <v>0</v>
      </c>
      <c r="N1597">
        <f t="shared" si="366"/>
        <v>20250</v>
      </c>
      <c r="O1597" t="str">
        <f t="shared" si="367"/>
        <v>华安锦江封闭式商业不动产证券投资基金|2025|年度</v>
      </c>
      <c r="P1597">
        <f>IF($A1597="",0,IF(COUNTIF($O$2:$O1597,$O1597)=1,1,0))</f>
        <v>0</v>
      </c>
      <c r="Q1597" t="str">
        <f>IF(AND($P1597=1,$A1597=经营数据!$B$3,$J1597=经营数据!$BA$5),COUNTIFS($P$2:$P$3000,1,$A$2:$A$3000,$A1597,$J$2:$J$3000,$J1597,$N$2:$N$3000,"&lt;"&amp;$N1597)+1,"")</f>
        <v/>
      </c>
      <c r="R1597" t="str">
        <f t="shared" si="368"/>
        <v>华安锦江封闭式商业不动产证券投资基金|锦江都城泰州海陵店</v>
      </c>
      <c r="S1597">
        <f>IF($A1597="",0,IF(COUNTIF($R$2:$R1597,$R1597)=1,1,0))</f>
        <v>0</v>
      </c>
      <c r="T1597">
        <f t="shared" si="369"/>
        <v>1585</v>
      </c>
      <c r="U1597" t="str">
        <f>IF($A1597="","",IF($A1597=经营数据!$B$3,COUNTIFS($S$2:$S$3000,1,$A$2:$A$3000,$A1597,$T$2:$T$3000,"&lt;"&amp;$T1597)+1,""))</f>
        <v/>
      </c>
      <c r="V1597" t="str">
        <f t="shared" si="370"/>
        <v>锦江都城泰州海陵店|服务量</v>
      </c>
      <c r="W1597">
        <f t="shared" si="371"/>
        <v>1585</v>
      </c>
      <c r="X1597" t="str">
        <f t="shared" si="372"/>
        <v>锦江都城泰州海陵店|可供房数</v>
      </c>
      <c r="Y1597">
        <f t="shared" si="373"/>
        <v>1587</v>
      </c>
      <c r="Z1597">
        <f>IF($A1597="",0,IF(AND($M1597=1,$A1597=经营数据!$B$3,$J1597=经营数据!$BA$5,OR($I1597=经营数据!$BA$4,COUNTIF(经营数据!$AA$9:$AA$38,$I1597)&gt;0)),1,0))</f>
        <v>0</v>
      </c>
      <c r="AA1597" t="str">
        <f t="shared" si="374"/>
        <v/>
      </c>
      <c r="AB1597" t="str">
        <f t="shared" si="375"/>
        <v/>
      </c>
      <c r="AC1597">
        <f>IF($A1597="",0,IF(COUNTIF($A$2:$A1597,$A1597)=1,1,0))</f>
        <v>0</v>
      </c>
      <c r="AD1597">
        <f t="shared" si="376"/>
        <v>18</v>
      </c>
      <c r="AE1597" t="str">
        <f t="shared" si="377"/>
        <v>锦江都城泰州海陵店|可供房数（间）</v>
      </c>
    </row>
    <row r="1598" spans="1:31" x14ac:dyDescent="0.4">
      <c r="A1598" t="str">
        <f>IF(原始经营数据!$D1599="","",原始经营数据!$D1599)</f>
        <v>华安锦江封闭式商业不动产证券投资基金</v>
      </c>
      <c r="B1598" t="str">
        <f>IF(原始经营数据!$D1599="","",T(原始经营数据!$E1599))</f>
        <v>锦江都城石家庄裕华店</v>
      </c>
      <c r="C1598" t="str">
        <f>IF(原始经营数据!$D1599="","",原始经营数据!$F1599)</f>
        <v>2022</v>
      </c>
      <c r="D1598" t="str">
        <f>IF(原始经营数据!$D1599="","",原始经营数据!$H1599)</f>
        <v>平均房价</v>
      </c>
      <c r="E1598">
        <f>IF(原始经营数据!$D1599="","",原始经营数据!$I1599)</f>
        <v>265.55</v>
      </c>
      <c r="F1598" t="str">
        <f>IF(原始经营数据!$D1599="","",T(原始经营数据!$J1599))</f>
        <v>元/间</v>
      </c>
      <c r="G1598" t="str">
        <f>IF(原始经营数据!$D1599="","",T(原始经营数据!$K1599))</f>
        <v/>
      </c>
      <c r="H1598" t="str">
        <f>IF(原始经营数据!$D1599="","",原始经营数据!$G1599)</f>
        <v>服务量</v>
      </c>
      <c r="I1598" t="str">
        <f>IF($A1598="","",IF($B1598&lt;&gt;"",$B1598,IF(COUNTIFS(原始经营数据!$D$3:$D$3001,$A1598,原始经营数据!$E$3:$E$3001,"",原始经营数据!$F$3:$F$3001,$C1598,原始经营数据!$H$3:$H$3001,$D1598,原始经营数据!$K$3:$K$3001,$G1598)&gt;1,"基金整体·来源"&amp;原始经营数据!$A1599,"基金整体")))</f>
        <v>锦江都城石家庄裕华店</v>
      </c>
      <c r="J1598" t="str">
        <f t="shared" si="363"/>
        <v>年度</v>
      </c>
      <c r="K1598" t="str">
        <f t="shared" si="364"/>
        <v>平均房价（元/间）</v>
      </c>
      <c r="L1598" t="str">
        <f t="shared" si="365"/>
        <v>锦江都城石家庄裕华店|平均房价（元/间）|年度</v>
      </c>
      <c r="M1598">
        <f>IF($A1598="",0,IF(COUNTIF($L$2:$L1598,$L1598)=1,1,0))</f>
        <v>1</v>
      </c>
      <c r="N1598">
        <f t="shared" si="366"/>
        <v>20220</v>
      </c>
      <c r="O1598" t="str">
        <f t="shared" si="367"/>
        <v>华安锦江封闭式商业不动产证券投资基金|2022|年度</v>
      </c>
      <c r="P1598">
        <f>IF($A1598="",0,IF(COUNTIF($O$2:$O1598,$O1598)=1,1,0))</f>
        <v>0</v>
      </c>
      <c r="Q1598" t="str">
        <f>IF(AND($P1598=1,$A1598=经营数据!$B$3,$J1598=经营数据!$BA$5),COUNTIFS($P$2:$P$3000,1,$A$2:$A$3000,$A1598,$J$2:$J$3000,$J1598,$N$2:$N$3000,"&lt;"&amp;$N1598)+1,"")</f>
        <v/>
      </c>
      <c r="R1598" t="str">
        <f t="shared" si="368"/>
        <v>华安锦江封闭式商业不动产证券投资基金|锦江都城石家庄裕华店</v>
      </c>
      <c r="S1598">
        <f>IF($A1598="",0,IF(COUNTIF($R$2:$R1598,$R1598)=1,1,0))</f>
        <v>1</v>
      </c>
      <c r="T1598">
        <f t="shared" si="369"/>
        <v>1597</v>
      </c>
      <c r="U1598" t="str">
        <f>IF($A1598="","",IF($A1598=经营数据!$B$3,COUNTIFS($S$2:$S$3000,1,$A$2:$A$3000,$A1598,$T$2:$T$3000,"&lt;"&amp;$T1598)+1,""))</f>
        <v/>
      </c>
      <c r="V1598" t="str">
        <f t="shared" si="370"/>
        <v>锦江都城石家庄裕华店|服务量</v>
      </c>
      <c r="W1598">
        <f t="shared" si="371"/>
        <v>1597</v>
      </c>
      <c r="X1598" t="str">
        <f t="shared" si="372"/>
        <v>锦江都城石家庄裕华店|平均房价</v>
      </c>
      <c r="Y1598">
        <f t="shared" si="373"/>
        <v>1597</v>
      </c>
      <c r="Z1598">
        <f>IF($A1598="",0,IF(AND($M1598=1,$A1598=经营数据!$B$3,$J1598=经营数据!$BA$5,OR($I1598=经营数据!$BA$4,COUNTIF(经营数据!$AA$9:$AA$38,$I1598)&gt;0)),1,0))</f>
        <v>0</v>
      </c>
      <c r="AA1598" t="str">
        <f t="shared" si="374"/>
        <v/>
      </c>
      <c r="AB1598" t="str">
        <f t="shared" si="375"/>
        <v/>
      </c>
      <c r="AC1598">
        <f>IF($A1598="",0,IF(COUNTIF($A$2:$A1598,$A1598)=1,1,0))</f>
        <v>0</v>
      </c>
      <c r="AD1598">
        <f t="shared" si="376"/>
        <v>18</v>
      </c>
      <c r="AE1598" t="str">
        <f t="shared" si="377"/>
        <v>锦江都城石家庄裕华店|平均房价（元/间）</v>
      </c>
    </row>
    <row r="1599" spans="1:31" x14ac:dyDescent="0.4">
      <c r="A1599" t="str">
        <f>IF(原始经营数据!$D1600="","",原始经营数据!$D1600)</f>
        <v>华安锦江封闭式商业不动产证券投资基金</v>
      </c>
      <c r="B1599" t="str">
        <f>IF(原始经营数据!$D1600="","",T(原始经营数据!$E1600))</f>
        <v>锦江都城石家庄裕华店</v>
      </c>
      <c r="C1599" t="str">
        <f>IF(原始经营数据!$D1600="","",原始经营数据!$F1600)</f>
        <v>2022</v>
      </c>
      <c r="D1599" t="str">
        <f>IF(原始经营数据!$D1600="","",原始经营数据!$H1600)</f>
        <v>平均入住率</v>
      </c>
      <c r="E1599">
        <f>IF(原始经营数据!$D1600="","",原始经营数据!$I1600)</f>
        <v>73.52</v>
      </c>
      <c r="F1599" t="str">
        <f>IF(原始经营数据!$D1600="","",T(原始经营数据!$J1600))</f>
        <v>%</v>
      </c>
      <c r="G1599" t="str">
        <f>IF(原始经营数据!$D1600="","",T(原始经营数据!$K1600))</f>
        <v/>
      </c>
      <c r="H1599" t="str">
        <f>IF(原始经营数据!$D1600="","",原始经营数据!$G1600)</f>
        <v>服务量</v>
      </c>
      <c r="I1599" t="str">
        <f>IF($A1599="","",IF($B1599&lt;&gt;"",$B1599,IF(COUNTIFS(原始经营数据!$D$3:$D$3001,$A1599,原始经营数据!$E$3:$E$3001,"",原始经营数据!$F$3:$F$3001,$C1599,原始经营数据!$H$3:$H$3001,$D1599,原始经营数据!$K$3:$K$3001,$G1599)&gt;1,"基金整体·来源"&amp;原始经营数据!$A1600,"基金整体")))</f>
        <v>锦江都城石家庄裕华店</v>
      </c>
      <c r="J1599" t="str">
        <f t="shared" si="363"/>
        <v>年度</v>
      </c>
      <c r="K1599" t="str">
        <f t="shared" si="364"/>
        <v>平均入住率（%）</v>
      </c>
      <c r="L1599" t="str">
        <f t="shared" si="365"/>
        <v>锦江都城石家庄裕华店|平均入住率（%）|年度</v>
      </c>
      <c r="M1599">
        <f>IF($A1599="",0,IF(COUNTIF($L$2:$L1599,$L1599)=1,1,0))</f>
        <v>1</v>
      </c>
      <c r="N1599">
        <f t="shared" si="366"/>
        <v>20220</v>
      </c>
      <c r="O1599" t="str">
        <f t="shared" si="367"/>
        <v>华安锦江封闭式商业不动产证券投资基金|2022|年度</v>
      </c>
      <c r="P1599">
        <f>IF($A1599="",0,IF(COUNTIF($O$2:$O1599,$O1599)=1,1,0))</f>
        <v>0</v>
      </c>
      <c r="Q1599" t="str">
        <f>IF(AND($P1599=1,$A1599=经营数据!$B$3,$J1599=经营数据!$BA$5),COUNTIFS($P$2:$P$3000,1,$A$2:$A$3000,$A1599,$J$2:$J$3000,$J1599,$N$2:$N$3000,"&lt;"&amp;$N1599)+1,"")</f>
        <v/>
      </c>
      <c r="R1599" t="str">
        <f t="shared" si="368"/>
        <v>华安锦江封闭式商业不动产证券投资基金|锦江都城石家庄裕华店</v>
      </c>
      <c r="S1599">
        <f>IF($A1599="",0,IF(COUNTIF($R$2:$R1599,$R1599)=1,1,0))</f>
        <v>0</v>
      </c>
      <c r="T1599">
        <f t="shared" si="369"/>
        <v>1597</v>
      </c>
      <c r="U1599" t="str">
        <f>IF($A1599="","",IF($A1599=经营数据!$B$3,COUNTIFS($S$2:$S$3000,1,$A$2:$A$3000,$A1599,$T$2:$T$3000,"&lt;"&amp;$T1599)+1,""))</f>
        <v/>
      </c>
      <c r="V1599" t="str">
        <f t="shared" si="370"/>
        <v>锦江都城石家庄裕华店|服务量</v>
      </c>
      <c r="W1599">
        <f t="shared" si="371"/>
        <v>1597</v>
      </c>
      <c r="X1599" t="str">
        <f t="shared" si="372"/>
        <v>锦江都城石家庄裕华店|平均入住率</v>
      </c>
      <c r="Y1599">
        <f t="shared" si="373"/>
        <v>1598</v>
      </c>
      <c r="Z1599">
        <f>IF($A1599="",0,IF(AND($M1599=1,$A1599=经营数据!$B$3,$J1599=经营数据!$BA$5,OR($I1599=经营数据!$BA$4,COUNTIF(经营数据!$AA$9:$AA$38,$I1599)&gt;0)),1,0))</f>
        <v>0</v>
      </c>
      <c r="AA1599" t="str">
        <f t="shared" si="374"/>
        <v/>
      </c>
      <c r="AB1599" t="str">
        <f t="shared" si="375"/>
        <v/>
      </c>
      <c r="AC1599">
        <f>IF($A1599="",0,IF(COUNTIF($A$2:$A1599,$A1599)=1,1,0))</f>
        <v>0</v>
      </c>
      <c r="AD1599">
        <f t="shared" si="376"/>
        <v>18</v>
      </c>
      <c r="AE1599" t="str">
        <f t="shared" si="377"/>
        <v>锦江都城石家庄裕华店|平均入住率（%）</v>
      </c>
    </row>
    <row r="1600" spans="1:31" x14ac:dyDescent="0.4">
      <c r="A1600" t="str">
        <f>IF(原始经营数据!$D1601="","",原始经营数据!$D1601)</f>
        <v>华安锦江封闭式商业不动产证券投资基金</v>
      </c>
      <c r="B1600" t="str">
        <f>IF(原始经营数据!$D1601="","",T(原始经营数据!$E1601))</f>
        <v>锦江都城石家庄裕华店</v>
      </c>
      <c r="C1600" t="str">
        <f>IF(原始经营数据!$D1601="","",原始经营数据!$F1601)</f>
        <v>2022</v>
      </c>
      <c r="D1600" t="str">
        <f>IF(原始经营数据!$D1601="","",原始经营数据!$H1601)</f>
        <v>可供房数</v>
      </c>
      <c r="E1600">
        <f>IF(原始经营数据!$D1601="","",原始经营数据!$I1601)</f>
        <v>53220</v>
      </c>
      <c r="F1600" t="str">
        <f>IF(原始经营数据!$D1601="","",T(原始经营数据!$J1601))</f>
        <v>间</v>
      </c>
      <c r="G1600" t="str">
        <f>IF(原始经营数据!$D1601="","",T(原始经营数据!$K1601))</f>
        <v/>
      </c>
      <c r="H1600" t="str">
        <f>IF(原始经营数据!$D1601="","",原始经营数据!$G1601)</f>
        <v>服务量</v>
      </c>
      <c r="I1600" t="str">
        <f>IF($A1600="","",IF($B1600&lt;&gt;"",$B1600,IF(COUNTIFS(原始经营数据!$D$3:$D$3001,$A1600,原始经营数据!$E$3:$E$3001,"",原始经营数据!$F$3:$F$3001,$C1600,原始经营数据!$H$3:$H$3001,$D1600,原始经营数据!$K$3:$K$3001,$G1600)&gt;1,"基金整体·来源"&amp;原始经营数据!$A1601,"基金整体")))</f>
        <v>锦江都城石家庄裕华店</v>
      </c>
      <c r="J1600" t="str">
        <f t="shared" si="363"/>
        <v>年度</v>
      </c>
      <c r="K1600" t="str">
        <f t="shared" si="364"/>
        <v>可供房数（间）</v>
      </c>
      <c r="L1600" t="str">
        <f t="shared" si="365"/>
        <v>锦江都城石家庄裕华店|可供房数（间）|年度</v>
      </c>
      <c r="M1600">
        <f>IF($A1600="",0,IF(COUNTIF($L$2:$L1600,$L1600)=1,1,0))</f>
        <v>1</v>
      </c>
      <c r="N1600">
        <f t="shared" si="366"/>
        <v>20220</v>
      </c>
      <c r="O1600" t="str">
        <f t="shared" si="367"/>
        <v>华安锦江封闭式商业不动产证券投资基金|2022|年度</v>
      </c>
      <c r="P1600">
        <f>IF($A1600="",0,IF(COUNTIF($O$2:$O1600,$O1600)=1,1,0))</f>
        <v>0</v>
      </c>
      <c r="Q1600" t="str">
        <f>IF(AND($P1600=1,$A1600=经营数据!$B$3,$J1600=经营数据!$BA$5),COUNTIFS($P$2:$P$3000,1,$A$2:$A$3000,$A1600,$J$2:$J$3000,$J1600,$N$2:$N$3000,"&lt;"&amp;$N1600)+1,"")</f>
        <v/>
      </c>
      <c r="R1600" t="str">
        <f t="shared" si="368"/>
        <v>华安锦江封闭式商业不动产证券投资基金|锦江都城石家庄裕华店</v>
      </c>
      <c r="S1600">
        <f>IF($A1600="",0,IF(COUNTIF($R$2:$R1600,$R1600)=1,1,0))</f>
        <v>0</v>
      </c>
      <c r="T1600">
        <f t="shared" si="369"/>
        <v>1597</v>
      </c>
      <c r="U1600" t="str">
        <f>IF($A1600="","",IF($A1600=经营数据!$B$3,COUNTIFS($S$2:$S$3000,1,$A$2:$A$3000,$A1600,$T$2:$T$3000,"&lt;"&amp;$T1600)+1,""))</f>
        <v/>
      </c>
      <c r="V1600" t="str">
        <f t="shared" si="370"/>
        <v>锦江都城石家庄裕华店|服务量</v>
      </c>
      <c r="W1600">
        <f t="shared" si="371"/>
        <v>1597</v>
      </c>
      <c r="X1600" t="str">
        <f t="shared" si="372"/>
        <v>锦江都城石家庄裕华店|可供房数</v>
      </c>
      <c r="Y1600">
        <f t="shared" si="373"/>
        <v>1599</v>
      </c>
      <c r="Z1600">
        <f>IF($A1600="",0,IF(AND($M1600=1,$A1600=经营数据!$B$3,$J1600=经营数据!$BA$5,OR($I1600=经营数据!$BA$4,COUNTIF(经营数据!$AA$9:$AA$38,$I1600)&gt;0)),1,0))</f>
        <v>0</v>
      </c>
      <c r="AA1600" t="str">
        <f t="shared" si="374"/>
        <v/>
      </c>
      <c r="AB1600" t="str">
        <f t="shared" si="375"/>
        <v/>
      </c>
      <c r="AC1600">
        <f>IF($A1600="",0,IF(COUNTIF($A$2:$A1600,$A1600)=1,1,0))</f>
        <v>0</v>
      </c>
      <c r="AD1600">
        <f t="shared" si="376"/>
        <v>18</v>
      </c>
      <c r="AE1600" t="str">
        <f t="shared" si="377"/>
        <v>锦江都城石家庄裕华店|可供房数（间）</v>
      </c>
    </row>
    <row r="1601" spans="1:31" x14ac:dyDescent="0.4">
      <c r="A1601" t="str">
        <f>IF(原始经营数据!$D1602="","",原始经营数据!$D1602)</f>
        <v>华安锦江封闭式商业不动产证券投资基金</v>
      </c>
      <c r="B1601" t="str">
        <f>IF(原始经营数据!$D1602="","",T(原始经营数据!$E1602))</f>
        <v>锦江都城石家庄裕华店</v>
      </c>
      <c r="C1601" t="str">
        <f>IF(原始经营数据!$D1602="","",原始经营数据!$F1602)</f>
        <v>2023</v>
      </c>
      <c r="D1601" t="str">
        <f>IF(原始经营数据!$D1602="","",原始经营数据!$H1602)</f>
        <v>平均入住率</v>
      </c>
      <c r="E1601">
        <f>IF(原始经营数据!$D1602="","",原始经营数据!$I1602)</f>
        <v>84.46</v>
      </c>
      <c r="F1601" t="str">
        <f>IF(原始经营数据!$D1602="","",T(原始经营数据!$J1602))</f>
        <v>%</v>
      </c>
      <c r="G1601" t="str">
        <f>IF(原始经营数据!$D1602="","",T(原始经营数据!$K1602))</f>
        <v/>
      </c>
      <c r="H1601" t="str">
        <f>IF(原始经营数据!$D1602="","",原始经营数据!$G1602)</f>
        <v>服务量</v>
      </c>
      <c r="I1601" t="str">
        <f>IF($A1601="","",IF($B1601&lt;&gt;"",$B1601,IF(COUNTIFS(原始经营数据!$D$3:$D$3001,$A1601,原始经营数据!$E$3:$E$3001,"",原始经营数据!$F$3:$F$3001,$C1601,原始经营数据!$H$3:$H$3001,$D1601,原始经营数据!$K$3:$K$3001,$G1601)&gt;1,"基金整体·来源"&amp;原始经营数据!$A1602,"基金整体")))</f>
        <v>锦江都城石家庄裕华店</v>
      </c>
      <c r="J1601" t="str">
        <f t="shared" si="363"/>
        <v>年度</v>
      </c>
      <c r="K1601" t="str">
        <f t="shared" si="364"/>
        <v>平均入住率（%）</v>
      </c>
      <c r="L1601" t="str">
        <f t="shared" si="365"/>
        <v>锦江都城石家庄裕华店|平均入住率（%）|年度</v>
      </c>
      <c r="M1601">
        <f>IF($A1601="",0,IF(COUNTIF($L$2:$L1601,$L1601)=1,1,0))</f>
        <v>0</v>
      </c>
      <c r="N1601">
        <f t="shared" si="366"/>
        <v>20230</v>
      </c>
      <c r="O1601" t="str">
        <f t="shared" si="367"/>
        <v>华安锦江封闭式商业不动产证券投资基金|2023|年度</v>
      </c>
      <c r="P1601">
        <f>IF($A1601="",0,IF(COUNTIF($O$2:$O1601,$O1601)=1,1,0))</f>
        <v>0</v>
      </c>
      <c r="Q1601" t="str">
        <f>IF(AND($P1601=1,$A1601=经营数据!$B$3,$J1601=经营数据!$BA$5),COUNTIFS($P$2:$P$3000,1,$A$2:$A$3000,$A1601,$J$2:$J$3000,$J1601,$N$2:$N$3000,"&lt;"&amp;$N1601)+1,"")</f>
        <v/>
      </c>
      <c r="R1601" t="str">
        <f t="shared" si="368"/>
        <v>华安锦江封闭式商业不动产证券投资基金|锦江都城石家庄裕华店</v>
      </c>
      <c r="S1601">
        <f>IF($A1601="",0,IF(COUNTIF($R$2:$R1601,$R1601)=1,1,0))</f>
        <v>0</v>
      </c>
      <c r="T1601">
        <f t="shared" si="369"/>
        <v>1597</v>
      </c>
      <c r="U1601" t="str">
        <f>IF($A1601="","",IF($A1601=经营数据!$B$3,COUNTIFS($S$2:$S$3000,1,$A$2:$A$3000,$A1601,$T$2:$T$3000,"&lt;"&amp;$T1601)+1,""))</f>
        <v/>
      </c>
      <c r="V1601" t="str">
        <f t="shared" si="370"/>
        <v>锦江都城石家庄裕华店|服务量</v>
      </c>
      <c r="W1601">
        <f t="shared" si="371"/>
        <v>1597</v>
      </c>
      <c r="X1601" t="str">
        <f t="shared" si="372"/>
        <v>锦江都城石家庄裕华店|平均入住率</v>
      </c>
      <c r="Y1601">
        <f t="shared" si="373"/>
        <v>1598</v>
      </c>
      <c r="Z1601">
        <f>IF($A1601="",0,IF(AND($M1601=1,$A1601=经营数据!$B$3,$J1601=经营数据!$BA$5,OR($I1601=经营数据!$BA$4,COUNTIF(经营数据!$AA$9:$AA$38,$I1601)&gt;0)),1,0))</f>
        <v>0</v>
      </c>
      <c r="AA1601" t="str">
        <f t="shared" si="374"/>
        <v/>
      </c>
      <c r="AB1601" t="str">
        <f t="shared" si="375"/>
        <v/>
      </c>
      <c r="AC1601">
        <f>IF($A1601="",0,IF(COUNTIF($A$2:$A1601,$A1601)=1,1,0))</f>
        <v>0</v>
      </c>
      <c r="AD1601">
        <f t="shared" si="376"/>
        <v>18</v>
      </c>
      <c r="AE1601" t="str">
        <f t="shared" si="377"/>
        <v>锦江都城石家庄裕华店|平均入住率（%）</v>
      </c>
    </row>
    <row r="1602" spans="1:31" x14ac:dyDescent="0.4">
      <c r="A1602" t="str">
        <f>IF(原始经营数据!$D1603="","",原始经营数据!$D1603)</f>
        <v>华安锦江封闭式商业不动产证券投资基金</v>
      </c>
      <c r="B1602" t="str">
        <f>IF(原始经营数据!$D1603="","",T(原始经营数据!$E1603))</f>
        <v>锦江都城石家庄裕华店</v>
      </c>
      <c r="C1602" t="str">
        <f>IF(原始经营数据!$D1603="","",原始经营数据!$F1603)</f>
        <v>2023</v>
      </c>
      <c r="D1602" t="str">
        <f>IF(原始经营数据!$D1603="","",原始经营数据!$H1603)</f>
        <v>可供房数</v>
      </c>
      <c r="E1602">
        <f>IF(原始经营数据!$D1603="","",原始经营数据!$I1603)</f>
        <v>53655</v>
      </c>
      <c r="F1602" t="str">
        <f>IF(原始经营数据!$D1603="","",T(原始经营数据!$J1603))</f>
        <v>间</v>
      </c>
      <c r="G1602" t="str">
        <f>IF(原始经营数据!$D1603="","",T(原始经营数据!$K1603))</f>
        <v/>
      </c>
      <c r="H1602" t="str">
        <f>IF(原始经营数据!$D1603="","",原始经营数据!$G1603)</f>
        <v>服务量</v>
      </c>
      <c r="I1602" t="str">
        <f>IF($A1602="","",IF($B1602&lt;&gt;"",$B1602,IF(COUNTIFS(原始经营数据!$D$3:$D$3001,$A1602,原始经营数据!$E$3:$E$3001,"",原始经营数据!$F$3:$F$3001,$C1602,原始经营数据!$H$3:$H$3001,$D1602,原始经营数据!$K$3:$K$3001,$G1602)&gt;1,"基金整体·来源"&amp;原始经营数据!$A1603,"基金整体")))</f>
        <v>锦江都城石家庄裕华店</v>
      </c>
      <c r="J1602" t="str">
        <f t="shared" ref="J1602:J1665" si="378">IF($A1602="","",IF(LEN($C1602)=4,"年度",IF(AND(LEN($C1602)=6,ISNUMBER(SEARCH("Q",$C1602))),"季度","其他期间")))</f>
        <v>年度</v>
      </c>
      <c r="K1602" t="str">
        <f t="shared" ref="K1602:K1665" si="379">IF($A1602="","",$D1602&amp;IF($G1602="","","-"&amp;SUBSTITUTE($G1602,CHAR(10),""))&amp;IF($F1602="","","（"&amp;$F1602&amp;"）"))</f>
        <v>可供房数（间）</v>
      </c>
      <c r="L1602" t="str">
        <f t="shared" ref="L1602:L1665" si="380">IF($A1602="","",$I1602&amp;"|"&amp;$K1602&amp;"|"&amp;$J1602)</f>
        <v>锦江都城石家庄裕华店|可供房数（间）|年度</v>
      </c>
      <c r="M1602">
        <f>IF($A1602="",0,IF(COUNTIF($L$2:$L1602,$L1602)=1,1,0))</f>
        <v>0</v>
      </c>
      <c r="N1602">
        <f t="shared" ref="N1602:N1665" si="381">IF($A1602="","",IF($J1602="年度",VALUE($C1602)*10,IF($J1602="季度",VALUE(LEFT($C1602,4))*10+VALUE(RIGHT($C1602,1)),VALUE(LEFT($C1602,4))*10+9)))</f>
        <v>20230</v>
      </c>
      <c r="O1602" t="str">
        <f t="shared" ref="O1602:O1665" si="382">IF($A1602="","",$A1602&amp;"|"&amp;$C1602&amp;"|"&amp;$J1602)</f>
        <v>华安锦江封闭式商业不动产证券投资基金|2023|年度</v>
      </c>
      <c r="P1602">
        <f>IF($A1602="",0,IF(COUNTIF($O$2:$O1602,$O1602)=1,1,0))</f>
        <v>0</v>
      </c>
      <c r="Q1602" t="str">
        <f>IF(AND($P1602=1,$A1602=经营数据!$B$3,$J1602=经营数据!$BA$5),COUNTIFS($P$2:$P$3000,1,$A$2:$A$3000,$A1602,$J$2:$J$3000,$J1602,$N$2:$N$3000,"&lt;"&amp;$N1602)+1,"")</f>
        <v/>
      </c>
      <c r="R1602" t="str">
        <f t="shared" ref="R1602:R1665" si="383">IF($A1602="","",$A1602&amp;"|"&amp;$I1602)</f>
        <v>华安锦江封闭式商业不动产证券投资基金|锦江都城石家庄裕华店</v>
      </c>
      <c r="S1602">
        <f>IF($A1602="",0,IF(COUNTIF($R$2:$R1602,$R1602)=1,1,0))</f>
        <v>0</v>
      </c>
      <c r="T1602">
        <f t="shared" ref="T1602:T1665" si="384">IF($A1602="","",MATCH($R1602,$R$2:$R$3000,0))</f>
        <v>1597</v>
      </c>
      <c r="U1602" t="str">
        <f>IF($A1602="","",IF($A1602=经营数据!$B$3,COUNTIFS($S$2:$S$3000,1,$A$2:$A$3000,$A1602,$T$2:$T$3000,"&lt;"&amp;$T1602)+1,""))</f>
        <v/>
      </c>
      <c r="V1602" t="str">
        <f t="shared" ref="V1602:V1665" si="385">IF($A1602="","",$I1602&amp;"|"&amp;$H1602)</f>
        <v>锦江都城石家庄裕华店|服务量</v>
      </c>
      <c r="W1602">
        <f t="shared" ref="W1602:W1665" si="386">IF($A1602="","",MATCH($V1602,$V$2:$V$3000,0))</f>
        <v>1597</v>
      </c>
      <c r="X1602" t="str">
        <f t="shared" ref="X1602:X1665" si="387">IF($A1602="","",$I1602&amp;"|"&amp;$D1602)</f>
        <v>锦江都城石家庄裕华店|可供房数</v>
      </c>
      <c r="Y1602">
        <f t="shared" ref="Y1602:Y1665" si="388">IF($A1602="","",MATCH($X1602,$X$2:$X$3000,0))</f>
        <v>1599</v>
      </c>
      <c r="Z1602">
        <f>IF($A1602="",0,IF(AND($M1602=1,$A1602=经营数据!$B$3,$J1602=经营数据!$BA$5,OR($I1602=经营数据!$BA$4,COUNTIF(经营数据!$AA$9:$AA$38,$I1602)&gt;0)),1,0))</f>
        <v>0</v>
      </c>
      <c r="AA1602" t="str">
        <f t="shared" ref="AA1602:AA1665" si="389">IF($Z1602=1,$U1602*1000000000000+$W1602*100000000+$Y1602*10000+ROW(),"")</f>
        <v/>
      </c>
      <c r="AB1602" t="str">
        <f t="shared" ref="AB1602:AB1665" si="390">IF($Z1602=1,COUNTIFS($Z$2:$Z$3000,1,$AA$2:$AA$3000,"&lt;"&amp;$AA1602)+1,"")</f>
        <v/>
      </c>
      <c r="AC1602">
        <f>IF($A1602="",0,IF(COUNTIF($A$2:$A1602,$A1602)=1,1,0))</f>
        <v>0</v>
      </c>
      <c r="AD1602">
        <f t="shared" ref="AD1602:AD1665" si="391">IF($A1602="",N(AD1601),IF($AC1602=1,N(AD1601)+1,N(AD1601)))</f>
        <v>18</v>
      </c>
      <c r="AE1602" t="str">
        <f t="shared" ref="AE1602:AE1665" si="392">IF($A1602="","",$I1602&amp;"|"&amp;$K1602)</f>
        <v>锦江都城石家庄裕华店|可供房数（间）</v>
      </c>
    </row>
    <row r="1603" spans="1:31" x14ac:dyDescent="0.4">
      <c r="A1603" t="str">
        <f>IF(原始经营数据!$D1604="","",原始经营数据!$D1604)</f>
        <v>华安锦江封闭式商业不动产证券投资基金</v>
      </c>
      <c r="B1603" t="str">
        <f>IF(原始经营数据!$D1604="","",T(原始经营数据!$E1604))</f>
        <v>锦江都城石家庄裕华店</v>
      </c>
      <c r="C1603" t="str">
        <f>IF(原始经营数据!$D1604="","",原始经营数据!$F1604)</f>
        <v>2023</v>
      </c>
      <c r="D1603" t="str">
        <f>IF(原始经营数据!$D1604="","",原始经营数据!$H1604)</f>
        <v>平均房价</v>
      </c>
      <c r="E1603">
        <f>IF(原始经营数据!$D1604="","",原始经营数据!$I1604)</f>
        <v>295.07</v>
      </c>
      <c r="F1603" t="str">
        <f>IF(原始经营数据!$D1604="","",T(原始经营数据!$J1604))</f>
        <v>元/间</v>
      </c>
      <c r="G1603" t="str">
        <f>IF(原始经营数据!$D1604="","",T(原始经营数据!$K1604))</f>
        <v/>
      </c>
      <c r="H1603" t="str">
        <f>IF(原始经营数据!$D1604="","",原始经营数据!$G1604)</f>
        <v>服务量</v>
      </c>
      <c r="I1603" t="str">
        <f>IF($A1603="","",IF($B1603&lt;&gt;"",$B1603,IF(COUNTIFS(原始经营数据!$D$3:$D$3001,$A1603,原始经营数据!$E$3:$E$3001,"",原始经营数据!$F$3:$F$3001,$C1603,原始经营数据!$H$3:$H$3001,$D1603,原始经营数据!$K$3:$K$3001,$G1603)&gt;1,"基金整体·来源"&amp;原始经营数据!$A1604,"基金整体")))</f>
        <v>锦江都城石家庄裕华店</v>
      </c>
      <c r="J1603" t="str">
        <f t="shared" si="378"/>
        <v>年度</v>
      </c>
      <c r="K1603" t="str">
        <f t="shared" si="379"/>
        <v>平均房价（元/间）</v>
      </c>
      <c r="L1603" t="str">
        <f t="shared" si="380"/>
        <v>锦江都城石家庄裕华店|平均房价（元/间）|年度</v>
      </c>
      <c r="M1603">
        <f>IF($A1603="",0,IF(COUNTIF($L$2:$L1603,$L1603)=1,1,0))</f>
        <v>0</v>
      </c>
      <c r="N1603">
        <f t="shared" si="381"/>
        <v>20230</v>
      </c>
      <c r="O1603" t="str">
        <f t="shared" si="382"/>
        <v>华安锦江封闭式商业不动产证券投资基金|2023|年度</v>
      </c>
      <c r="P1603">
        <f>IF($A1603="",0,IF(COUNTIF($O$2:$O1603,$O1603)=1,1,0))</f>
        <v>0</v>
      </c>
      <c r="Q1603" t="str">
        <f>IF(AND($P1603=1,$A1603=经营数据!$B$3,$J1603=经营数据!$BA$5),COUNTIFS($P$2:$P$3000,1,$A$2:$A$3000,$A1603,$J$2:$J$3000,$J1603,$N$2:$N$3000,"&lt;"&amp;$N1603)+1,"")</f>
        <v/>
      </c>
      <c r="R1603" t="str">
        <f t="shared" si="383"/>
        <v>华安锦江封闭式商业不动产证券投资基金|锦江都城石家庄裕华店</v>
      </c>
      <c r="S1603">
        <f>IF($A1603="",0,IF(COUNTIF($R$2:$R1603,$R1603)=1,1,0))</f>
        <v>0</v>
      </c>
      <c r="T1603">
        <f t="shared" si="384"/>
        <v>1597</v>
      </c>
      <c r="U1603" t="str">
        <f>IF($A1603="","",IF($A1603=经营数据!$B$3,COUNTIFS($S$2:$S$3000,1,$A$2:$A$3000,$A1603,$T$2:$T$3000,"&lt;"&amp;$T1603)+1,""))</f>
        <v/>
      </c>
      <c r="V1603" t="str">
        <f t="shared" si="385"/>
        <v>锦江都城石家庄裕华店|服务量</v>
      </c>
      <c r="W1603">
        <f t="shared" si="386"/>
        <v>1597</v>
      </c>
      <c r="X1603" t="str">
        <f t="shared" si="387"/>
        <v>锦江都城石家庄裕华店|平均房价</v>
      </c>
      <c r="Y1603">
        <f t="shared" si="388"/>
        <v>1597</v>
      </c>
      <c r="Z1603">
        <f>IF($A1603="",0,IF(AND($M1603=1,$A1603=经营数据!$B$3,$J1603=经营数据!$BA$5,OR($I1603=经营数据!$BA$4,COUNTIF(经营数据!$AA$9:$AA$38,$I1603)&gt;0)),1,0))</f>
        <v>0</v>
      </c>
      <c r="AA1603" t="str">
        <f t="shared" si="389"/>
        <v/>
      </c>
      <c r="AB1603" t="str">
        <f t="shared" si="390"/>
        <v/>
      </c>
      <c r="AC1603">
        <f>IF($A1603="",0,IF(COUNTIF($A$2:$A1603,$A1603)=1,1,0))</f>
        <v>0</v>
      </c>
      <c r="AD1603">
        <f t="shared" si="391"/>
        <v>18</v>
      </c>
      <c r="AE1603" t="str">
        <f t="shared" si="392"/>
        <v>锦江都城石家庄裕华店|平均房价（元/间）</v>
      </c>
    </row>
    <row r="1604" spans="1:31" x14ac:dyDescent="0.4">
      <c r="A1604" t="str">
        <f>IF(原始经营数据!$D1605="","",原始经营数据!$D1605)</f>
        <v>华安锦江封闭式商业不动产证券投资基金</v>
      </c>
      <c r="B1604" t="str">
        <f>IF(原始经营数据!$D1605="","",T(原始经营数据!$E1605))</f>
        <v>锦江都城石家庄裕华店</v>
      </c>
      <c r="C1604" t="str">
        <f>IF(原始经营数据!$D1605="","",原始经营数据!$F1605)</f>
        <v>2024</v>
      </c>
      <c r="D1604" t="str">
        <f>IF(原始经营数据!$D1605="","",原始经营数据!$H1605)</f>
        <v>平均房价</v>
      </c>
      <c r="E1604">
        <f>IF(原始经营数据!$D1605="","",原始经营数据!$I1605)</f>
        <v>265.10000000000002</v>
      </c>
      <c r="F1604" t="str">
        <f>IF(原始经营数据!$D1605="","",T(原始经营数据!$J1605))</f>
        <v>元/间</v>
      </c>
      <c r="G1604" t="str">
        <f>IF(原始经营数据!$D1605="","",T(原始经营数据!$K1605))</f>
        <v/>
      </c>
      <c r="H1604" t="str">
        <f>IF(原始经营数据!$D1605="","",原始经营数据!$G1605)</f>
        <v>服务量</v>
      </c>
      <c r="I1604" t="str">
        <f>IF($A1604="","",IF($B1604&lt;&gt;"",$B1604,IF(COUNTIFS(原始经营数据!$D$3:$D$3001,$A1604,原始经营数据!$E$3:$E$3001,"",原始经营数据!$F$3:$F$3001,$C1604,原始经营数据!$H$3:$H$3001,$D1604,原始经营数据!$K$3:$K$3001,$G1604)&gt;1,"基金整体·来源"&amp;原始经营数据!$A1605,"基金整体")))</f>
        <v>锦江都城石家庄裕华店</v>
      </c>
      <c r="J1604" t="str">
        <f t="shared" si="378"/>
        <v>年度</v>
      </c>
      <c r="K1604" t="str">
        <f t="shared" si="379"/>
        <v>平均房价（元/间）</v>
      </c>
      <c r="L1604" t="str">
        <f t="shared" si="380"/>
        <v>锦江都城石家庄裕华店|平均房价（元/间）|年度</v>
      </c>
      <c r="M1604">
        <f>IF($A1604="",0,IF(COUNTIF($L$2:$L1604,$L1604)=1,1,0))</f>
        <v>0</v>
      </c>
      <c r="N1604">
        <f t="shared" si="381"/>
        <v>20240</v>
      </c>
      <c r="O1604" t="str">
        <f t="shared" si="382"/>
        <v>华安锦江封闭式商业不动产证券投资基金|2024|年度</v>
      </c>
      <c r="P1604">
        <f>IF($A1604="",0,IF(COUNTIF($O$2:$O1604,$O1604)=1,1,0))</f>
        <v>0</v>
      </c>
      <c r="Q1604" t="str">
        <f>IF(AND($P1604=1,$A1604=经营数据!$B$3,$J1604=经营数据!$BA$5),COUNTIFS($P$2:$P$3000,1,$A$2:$A$3000,$A1604,$J$2:$J$3000,$J1604,$N$2:$N$3000,"&lt;"&amp;$N1604)+1,"")</f>
        <v/>
      </c>
      <c r="R1604" t="str">
        <f t="shared" si="383"/>
        <v>华安锦江封闭式商业不动产证券投资基金|锦江都城石家庄裕华店</v>
      </c>
      <c r="S1604">
        <f>IF($A1604="",0,IF(COUNTIF($R$2:$R1604,$R1604)=1,1,0))</f>
        <v>0</v>
      </c>
      <c r="T1604">
        <f t="shared" si="384"/>
        <v>1597</v>
      </c>
      <c r="U1604" t="str">
        <f>IF($A1604="","",IF($A1604=经营数据!$B$3,COUNTIFS($S$2:$S$3000,1,$A$2:$A$3000,$A1604,$T$2:$T$3000,"&lt;"&amp;$T1604)+1,""))</f>
        <v/>
      </c>
      <c r="V1604" t="str">
        <f t="shared" si="385"/>
        <v>锦江都城石家庄裕华店|服务量</v>
      </c>
      <c r="W1604">
        <f t="shared" si="386"/>
        <v>1597</v>
      </c>
      <c r="X1604" t="str">
        <f t="shared" si="387"/>
        <v>锦江都城石家庄裕华店|平均房价</v>
      </c>
      <c r="Y1604">
        <f t="shared" si="388"/>
        <v>1597</v>
      </c>
      <c r="Z1604">
        <f>IF($A1604="",0,IF(AND($M1604=1,$A1604=经营数据!$B$3,$J1604=经营数据!$BA$5,OR($I1604=经营数据!$BA$4,COUNTIF(经营数据!$AA$9:$AA$38,$I1604)&gt;0)),1,0))</f>
        <v>0</v>
      </c>
      <c r="AA1604" t="str">
        <f t="shared" si="389"/>
        <v/>
      </c>
      <c r="AB1604" t="str">
        <f t="shared" si="390"/>
        <v/>
      </c>
      <c r="AC1604">
        <f>IF($A1604="",0,IF(COUNTIF($A$2:$A1604,$A1604)=1,1,0))</f>
        <v>0</v>
      </c>
      <c r="AD1604">
        <f t="shared" si="391"/>
        <v>18</v>
      </c>
      <c r="AE1604" t="str">
        <f t="shared" si="392"/>
        <v>锦江都城石家庄裕华店|平均房价（元/间）</v>
      </c>
    </row>
    <row r="1605" spans="1:31" x14ac:dyDescent="0.4">
      <c r="A1605" t="str">
        <f>IF(原始经营数据!$D1606="","",原始经营数据!$D1606)</f>
        <v>华安锦江封闭式商业不动产证券投资基金</v>
      </c>
      <c r="B1605" t="str">
        <f>IF(原始经营数据!$D1606="","",T(原始经营数据!$E1606))</f>
        <v>锦江都城石家庄裕华店</v>
      </c>
      <c r="C1605" t="str">
        <f>IF(原始经营数据!$D1606="","",原始经营数据!$F1606)</f>
        <v>2024</v>
      </c>
      <c r="D1605" t="str">
        <f>IF(原始经营数据!$D1606="","",原始经营数据!$H1606)</f>
        <v>平均入住率</v>
      </c>
      <c r="E1605">
        <f>IF(原始经营数据!$D1606="","",原始经营数据!$I1606)</f>
        <v>74.36</v>
      </c>
      <c r="F1605" t="str">
        <f>IF(原始经营数据!$D1606="","",T(原始经营数据!$J1606))</f>
        <v>%</v>
      </c>
      <c r="G1605" t="str">
        <f>IF(原始经营数据!$D1606="","",T(原始经营数据!$K1606))</f>
        <v/>
      </c>
      <c r="H1605" t="str">
        <f>IF(原始经营数据!$D1606="","",原始经营数据!$G1606)</f>
        <v>服务量</v>
      </c>
      <c r="I1605" t="str">
        <f>IF($A1605="","",IF($B1605&lt;&gt;"",$B1605,IF(COUNTIFS(原始经营数据!$D$3:$D$3001,$A1605,原始经营数据!$E$3:$E$3001,"",原始经营数据!$F$3:$F$3001,$C1605,原始经营数据!$H$3:$H$3001,$D1605,原始经营数据!$K$3:$K$3001,$G1605)&gt;1,"基金整体·来源"&amp;原始经营数据!$A1606,"基金整体")))</f>
        <v>锦江都城石家庄裕华店</v>
      </c>
      <c r="J1605" t="str">
        <f t="shared" si="378"/>
        <v>年度</v>
      </c>
      <c r="K1605" t="str">
        <f t="shared" si="379"/>
        <v>平均入住率（%）</v>
      </c>
      <c r="L1605" t="str">
        <f t="shared" si="380"/>
        <v>锦江都城石家庄裕华店|平均入住率（%）|年度</v>
      </c>
      <c r="M1605">
        <f>IF($A1605="",0,IF(COUNTIF($L$2:$L1605,$L1605)=1,1,0))</f>
        <v>0</v>
      </c>
      <c r="N1605">
        <f t="shared" si="381"/>
        <v>20240</v>
      </c>
      <c r="O1605" t="str">
        <f t="shared" si="382"/>
        <v>华安锦江封闭式商业不动产证券投资基金|2024|年度</v>
      </c>
      <c r="P1605">
        <f>IF($A1605="",0,IF(COUNTIF($O$2:$O1605,$O1605)=1,1,0))</f>
        <v>0</v>
      </c>
      <c r="Q1605" t="str">
        <f>IF(AND($P1605=1,$A1605=经营数据!$B$3,$J1605=经营数据!$BA$5),COUNTIFS($P$2:$P$3000,1,$A$2:$A$3000,$A1605,$J$2:$J$3000,$J1605,$N$2:$N$3000,"&lt;"&amp;$N1605)+1,"")</f>
        <v/>
      </c>
      <c r="R1605" t="str">
        <f t="shared" si="383"/>
        <v>华安锦江封闭式商业不动产证券投资基金|锦江都城石家庄裕华店</v>
      </c>
      <c r="S1605">
        <f>IF($A1605="",0,IF(COUNTIF($R$2:$R1605,$R1605)=1,1,0))</f>
        <v>0</v>
      </c>
      <c r="T1605">
        <f t="shared" si="384"/>
        <v>1597</v>
      </c>
      <c r="U1605" t="str">
        <f>IF($A1605="","",IF($A1605=经营数据!$B$3,COUNTIFS($S$2:$S$3000,1,$A$2:$A$3000,$A1605,$T$2:$T$3000,"&lt;"&amp;$T1605)+1,""))</f>
        <v/>
      </c>
      <c r="V1605" t="str">
        <f t="shared" si="385"/>
        <v>锦江都城石家庄裕华店|服务量</v>
      </c>
      <c r="W1605">
        <f t="shared" si="386"/>
        <v>1597</v>
      </c>
      <c r="X1605" t="str">
        <f t="shared" si="387"/>
        <v>锦江都城石家庄裕华店|平均入住率</v>
      </c>
      <c r="Y1605">
        <f t="shared" si="388"/>
        <v>1598</v>
      </c>
      <c r="Z1605">
        <f>IF($A1605="",0,IF(AND($M1605=1,$A1605=经营数据!$B$3,$J1605=经营数据!$BA$5,OR($I1605=经营数据!$BA$4,COUNTIF(经营数据!$AA$9:$AA$38,$I1605)&gt;0)),1,0))</f>
        <v>0</v>
      </c>
      <c r="AA1605" t="str">
        <f t="shared" si="389"/>
        <v/>
      </c>
      <c r="AB1605" t="str">
        <f t="shared" si="390"/>
        <v/>
      </c>
      <c r="AC1605">
        <f>IF($A1605="",0,IF(COUNTIF($A$2:$A1605,$A1605)=1,1,0))</f>
        <v>0</v>
      </c>
      <c r="AD1605">
        <f t="shared" si="391"/>
        <v>18</v>
      </c>
      <c r="AE1605" t="str">
        <f t="shared" si="392"/>
        <v>锦江都城石家庄裕华店|平均入住率（%）</v>
      </c>
    </row>
    <row r="1606" spans="1:31" x14ac:dyDescent="0.4">
      <c r="A1606" t="str">
        <f>IF(原始经营数据!$D1607="","",原始经营数据!$D1607)</f>
        <v>华安锦江封闭式商业不动产证券投资基金</v>
      </c>
      <c r="B1606" t="str">
        <f>IF(原始经营数据!$D1607="","",T(原始经营数据!$E1607))</f>
        <v>锦江都城石家庄裕华店</v>
      </c>
      <c r="C1606" t="str">
        <f>IF(原始经营数据!$D1607="","",原始经营数据!$F1607)</f>
        <v>2024</v>
      </c>
      <c r="D1606" t="str">
        <f>IF(原始经营数据!$D1607="","",原始经营数据!$H1607)</f>
        <v>可供房数</v>
      </c>
      <c r="E1606">
        <f>IF(原始经营数据!$D1607="","",原始经营数据!$I1607)</f>
        <v>1702</v>
      </c>
      <c r="F1606" t="str">
        <f>IF(原始经营数据!$D1607="","",T(原始经营数据!$J1607))</f>
        <v>间</v>
      </c>
      <c r="G1606" t="str">
        <f>IF(原始经营数据!$D1607="","",T(原始经营数据!$K1607))</f>
        <v/>
      </c>
      <c r="H1606" t="str">
        <f>IF(原始经营数据!$D1607="","",原始经营数据!$G1607)</f>
        <v>服务量</v>
      </c>
      <c r="I1606" t="str">
        <f>IF($A1606="","",IF($B1606&lt;&gt;"",$B1606,IF(COUNTIFS(原始经营数据!$D$3:$D$3001,$A1606,原始经营数据!$E$3:$E$3001,"",原始经营数据!$F$3:$F$3001,$C1606,原始经营数据!$H$3:$H$3001,$D1606,原始经营数据!$K$3:$K$3001,$G1606)&gt;1,"基金整体·来源"&amp;原始经营数据!$A1607,"基金整体")))</f>
        <v>锦江都城石家庄裕华店</v>
      </c>
      <c r="J1606" t="str">
        <f t="shared" si="378"/>
        <v>年度</v>
      </c>
      <c r="K1606" t="str">
        <f t="shared" si="379"/>
        <v>可供房数（间）</v>
      </c>
      <c r="L1606" t="str">
        <f t="shared" si="380"/>
        <v>锦江都城石家庄裕华店|可供房数（间）|年度</v>
      </c>
      <c r="M1606">
        <f>IF($A1606="",0,IF(COUNTIF($L$2:$L1606,$L1606)=1,1,0))</f>
        <v>0</v>
      </c>
      <c r="N1606">
        <f t="shared" si="381"/>
        <v>20240</v>
      </c>
      <c r="O1606" t="str">
        <f t="shared" si="382"/>
        <v>华安锦江封闭式商业不动产证券投资基金|2024|年度</v>
      </c>
      <c r="P1606">
        <f>IF($A1606="",0,IF(COUNTIF($O$2:$O1606,$O1606)=1,1,0))</f>
        <v>0</v>
      </c>
      <c r="Q1606" t="str">
        <f>IF(AND($P1606=1,$A1606=经营数据!$B$3,$J1606=经营数据!$BA$5),COUNTIFS($P$2:$P$3000,1,$A$2:$A$3000,$A1606,$J$2:$J$3000,$J1606,$N$2:$N$3000,"&lt;"&amp;$N1606)+1,"")</f>
        <v/>
      </c>
      <c r="R1606" t="str">
        <f t="shared" si="383"/>
        <v>华安锦江封闭式商业不动产证券投资基金|锦江都城石家庄裕华店</v>
      </c>
      <c r="S1606">
        <f>IF($A1606="",0,IF(COUNTIF($R$2:$R1606,$R1606)=1,1,0))</f>
        <v>0</v>
      </c>
      <c r="T1606">
        <f t="shared" si="384"/>
        <v>1597</v>
      </c>
      <c r="U1606" t="str">
        <f>IF($A1606="","",IF($A1606=经营数据!$B$3,COUNTIFS($S$2:$S$3000,1,$A$2:$A$3000,$A1606,$T$2:$T$3000,"&lt;"&amp;$T1606)+1,""))</f>
        <v/>
      </c>
      <c r="V1606" t="str">
        <f t="shared" si="385"/>
        <v>锦江都城石家庄裕华店|服务量</v>
      </c>
      <c r="W1606">
        <f t="shared" si="386"/>
        <v>1597</v>
      </c>
      <c r="X1606" t="str">
        <f t="shared" si="387"/>
        <v>锦江都城石家庄裕华店|可供房数</v>
      </c>
      <c r="Y1606">
        <f t="shared" si="388"/>
        <v>1599</v>
      </c>
      <c r="Z1606">
        <f>IF($A1606="",0,IF(AND($M1606=1,$A1606=经营数据!$B$3,$J1606=经营数据!$BA$5,OR($I1606=经营数据!$BA$4,COUNTIF(经营数据!$AA$9:$AA$38,$I1606)&gt;0)),1,0))</f>
        <v>0</v>
      </c>
      <c r="AA1606" t="str">
        <f t="shared" si="389"/>
        <v/>
      </c>
      <c r="AB1606" t="str">
        <f t="shared" si="390"/>
        <v/>
      </c>
      <c r="AC1606">
        <f>IF($A1606="",0,IF(COUNTIF($A$2:$A1606,$A1606)=1,1,0))</f>
        <v>0</v>
      </c>
      <c r="AD1606">
        <f t="shared" si="391"/>
        <v>18</v>
      </c>
      <c r="AE1606" t="str">
        <f t="shared" si="392"/>
        <v>锦江都城石家庄裕华店|可供房数（间）</v>
      </c>
    </row>
    <row r="1607" spans="1:31" x14ac:dyDescent="0.4">
      <c r="A1607" t="str">
        <f>IF(原始经营数据!$D1608="","",原始经营数据!$D1608)</f>
        <v>华安锦江封闭式商业不动产证券投资基金</v>
      </c>
      <c r="B1607" t="str">
        <f>IF(原始经营数据!$D1608="","",T(原始经营数据!$E1608))</f>
        <v>锦江都城石家庄裕华店</v>
      </c>
      <c r="C1607" t="str">
        <f>IF(原始经营数据!$D1608="","",原始经营数据!$F1608)</f>
        <v>2025</v>
      </c>
      <c r="D1607" t="str">
        <f>IF(原始经营数据!$D1608="","",原始经营数据!$H1608)</f>
        <v>平均房价</v>
      </c>
      <c r="E1607">
        <f>IF(原始经营数据!$D1608="","",原始经营数据!$I1608)</f>
        <v>263.35000000000002</v>
      </c>
      <c r="F1607" t="str">
        <f>IF(原始经营数据!$D1608="","",T(原始经营数据!$J1608))</f>
        <v>元/间</v>
      </c>
      <c r="G1607" t="str">
        <f>IF(原始经营数据!$D1608="","",T(原始经营数据!$K1608))</f>
        <v/>
      </c>
      <c r="H1607" t="str">
        <f>IF(原始经营数据!$D1608="","",原始经营数据!$G1608)</f>
        <v>服务量</v>
      </c>
      <c r="I1607" t="str">
        <f>IF($A1607="","",IF($B1607&lt;&gt;"",$B1607,IF(COUNTIFS(原始经营数据!$D$3:$D$3001,$A1607,原始经营数据!$E$3:$E$3001,"",原始经营数据!$F$3:$F$3001,$C1607,原始经营数据!$H$3:$H$3001,$D1607,原始经营数据!$K$3:$K$3001,$G1607)&gt;1,"基金整体·来源"&amp;原始经营数据!$A1608,"基金整体")))</f>
        <v>锦江都城石家庄裕华店</v>
      </c>
      <c r="J1607" t="str">
        <f t="shared" si="378"/>
        <v>年度</v>
      </c>
      <c r="K1607" t="str">
        <f t="shared" si="379"/>
        <v>平均房价（元/间）</v>
      </c>
      <c r="L1607" t="str">
        <f t="shared" si="380"/>
        <v>锦江都城石家庄裕华店|平均房价（元/间）|年度</v>
      </c>
      <c r="M1607">
        <f>IF($A1607="",0,IF(COUNTIF($L$2:$L1607,$L1607)=1,1,0))</f>
        <v>0</v>
      </c>
      <c r="N1607">
        <f t="shared" si="381"/>
        <v>20250</v>
      </c>
      <c r="O1607" t="str">
        <f t="shared" si="382"/>
        <v>华安锦江封闭式商业不动产证券投资基金|2025|年度</v>
      </c>
      <c r="P1607">
        <f>IF($A1607="",0,IF(COUNTIF($O$2:$O1607,$O1607)=1,1,0))</f>
        <v>0</v>
      </c>
      <c r="Q1607" t="str">
        <f>IF(AND($P1607=1,$A1607=经营数据!$B$3,$J1607=经营数据!$BA$5),COUNTIFS($P$2:$P$3000,1,$A$2:$A$3000,$A1607,$J$2:$J$3000,$J1607,$N$2:$N$3000,"&lt;"&amp;$N1607)+1,"")</f>
        <v/>
      </c>
      <c r="R1607" t="str">
        <f t="shared" si="383"/>
        <v>华安锦江封闭式商业不动产证券投资基金|锦江都城石家庄裕华店</v>
      </c>
      <c r="S1607">
        <f>IF($A1607="",0,IF(COUNTIF($R$2:$R1607,$R1607)=1,1,0))</f>
        <v>0</v>
      </c>
      <c r="T1607">
        <f t="shared" si="384"/>
        <v>1597</v>
      </c>
      <c r="U1607" t="str">
        <f>IF($A1607="","",IF($A1607=经营数据!$B$3,COUNTIFS($S$2:$S$3000,1,$A$2:$A$3000,$A1607,$T$2:$T$3000,"&lt;"&amp;$T1607)+1,""))</f>
        <v/>
      </c>
      <c r="V1607" t="str">
        <f t="shared" si="385"/>
        <v>锦江都城石家庄裕华店|服务量</v>
      </c>
      <c r="W1607">
        <f t="shared" si="386"/>
        <v>1597</v>
      </c>
      <c r="X1607" t="str">
        <f t="shared" si="387"/>
        <v>锦江都城石家庄裕华店|平均房价</v>
      </c>
      <c r="Y1607">
        <f t="shared" si="388"/>
        <v>1597</v>
      </c>
      <c r="Z1607">
        <f>IF($A1607="",0,IF(AND($M1607=1,$A1607=经营数据!$B$3,$J1607=经营数据!$BA$5,OR($I1607=经营数据!$BA$4,COUNTIF(经营数据!$AA$9:$AA$38,$I1607)&gt;0)),1,0))</f>
        <v>0</v>
      </c>
      <c r="AA1607" t="str">
        <f t="shared" si="389"/>
        <v/>
      </c>
      <c r="AB1607" t="str">
        <f t="shared" si="390"/>
        <v/>
      </c>
      <c r="AC1607">
        <f>IF($A1607="",0,IF(COUNTIF($A$2:$A1607,$A1607)=1,1,0))</f>
        <v>0</v>
      </c>
      <c r="AD1607">
        <f t="shared" si="391"/>
        <v>18</v>
      </c>
      <c r="AE1607" t="str">
        <f t="shared" si="392"/>
        <v>锦江都城石家庄裕华店|平均房价（元/间）</v>
      </c>
    </row>
    <row r="1608" spans="1:31" x14ac:dyDescent="0.4">
      <c r="A1608" t="str">
        <f>IF(原始经营数据!$D1609="","",原始经营数据!$D1609)</f>
        <v>华安锦江封闭式商业不动产证券投资基金</v>
      </c>
      <c r="B1608" t="str">
        <f>IF(原始经营数据!$D1609="","",T(原始经营数据!$E1609))</f>
        <v>锦江都城石家庄裕华店</v>
      </c>
      <c r="C1608" t="str">
        <f>IF(原始经营数据!$D1609="","",原始经营数据!$F1609)</f>
        <v>2025</v>
      </c>
      <c r="D1608" t="str">
        <f>IF(原始经营数据!$D1609="","",原始经营数据!$H1609)</f>
        <v>可供房数</v>
      </c>
      <c r="E1608">
        <f>IF(原始经营数据!$D1609="","",原始经营数据!$I1609)</f>
        <v>40761</v>
      </c>
      <c r="F1608" t="str">
        <f>IF(原始经营数据!$D1609="","",T(原始经营数据!$J1609))</f>
        <v>间</v>
      </c>
      <c r="G1608" t="str">
        <f>IF(原始经营数据!$D1609="","",T(原始经营数据!$K1609))</f>
        <v/>
      </c>
      <c r="H1608" t="str">
        <f>IF(原始经营数据!$D1609="","",原始经营数据!$G1609)</f>
        <v>服务量</v>
      </c>
      <c r="I1608" t="str">
        <f>IF($A1608="","",IF($B1608&lt;&gt;"",$B1608,IF(COUNTIFS(原始经营数据!$D$3:$D$3001,$A1608,原始经营数据!$E$3:$E$3001,"",原始经营数据!$F$3:$F$3001,$C1608,原始经营数据!$H$3:$H$3001,$D1608,原始经营数据!$K$3:$K$3001,$G1608)&gt;1,"基金整体·来源"&amp;原始经营数据!$A1609,"基金整体")))</f>
        <v>锦江都城石家庄裕华店</v>
      </c>
      <c r="J1608" t="str">
        <f t="shared" si="378"/>
        <v>年度</v>
      </c>
      <c r="K1608" t="str">
        <f t="shared" si="379"/>
        <v>可供房数（间）</v>
      </c>
      <c r="L1608" t="str">
        <f t="shared" si="380"/>
        <v>锦江都城石家庄裕华店|可供房数（间）|年度</v>
      </c>
      <c r="M1608">
        <f>IF($A1608="",0,IF(COUNTIF($L$2:$L1608,$L1608)=1,1,0))</f>
        <v>0</v>
      </c>
      <c r="N1608">
        <f t="shared" si="381"/>
        <v>20250</v>
      </c>
      <c r="O1608" t="str">
        <f t="shared" si="382"/>
        <v>华安锦江封闭式商业不动产证券投资基金|2025|年度</v>
      </c>
      <c r="P1608">
        <f>IF($A1608="",0,IF(COUNTIF($O$2:$O1608,$O1608)=1,1,0))</f>
        <v>0</v>
      </c>
      <c r="Q1608" t="str">
        <f>IF(AND($P1608=1,$A1608=经营数据!$B$3,$J1608=经营数据!$BA$5),COUNTIFS($P$2:$P$3000,1,$A$2:$A$3000,$A1608,$J$2:$J$3000,$J1608,$N$2:$N$3000,"&lt;"&amp;$N1608)+1,"")</f>
        <v/>
      </c>
      <c r="R1608" t="str">
        <f t="shared" si="383"/>
        <v>华安锦江封闭式商业不动产证券投资基金|锦江都城石家庄裕华店</v>
      </c>
      <c r="S1608">
        <f>IF($A1608="",0,IF(COUNTIF($R$2:$R1608,$R1608)=1,1,0))</f>
        <v>0</v>
      </c>
      <c r="T1608">
        <f t="shared" si="384"/>
        <v>1597</v>
      </c>
      <c r="U1608" t="str">
        <f>IF($A1608="","",IF($A1608=经营数据!$B$3,COUNTIFS($S$2:$S$3000,1,$A$2:$A$3000,$A1608,$T$2:$T$3000,"&lt;"&amp;$T1608)+1,""))</f>
        <v/>
      </c>
      <c r="V1608" t="str">
        <f t="shared" si="385"/>
        <v>锦江都城石家庄裕华店|服务量</v>
      </c>
      <c r="W1608">
        <f t="shared" si="386"/>
        <v>1597</v>
      </c>
      <c r="X1608" t="str">
        <f t="shared" si="387"/>
        <v>锦江都城石家庄裕华店|可供房数</v>
      </c>
      <c r="Y1608">
        <f t="shared" si="388"/>
        <v>1599</v>
      </c>
      <c r="Z1608">
        <f>IF($A1608="",0,IF(AND($M1608=1,$A1608=经营数据!$B$3,$J1608=经营数据!$BA$5,OR($I1608=经营数据!$BA$4,COUNTIF(经营数据!$AA$9:$AA$38,$I1608)&gt;0)),1,0))</f>
        <v>0</v>
      </c>
      <c r="AA1608" t="str">
        <f t="shared" si="389"/>
        <v/>
      </c>
      <c r="AB1608" t="str">
        <f t="shared" si="390"/>
        <v/>
      </c>
      <c r="AC1608">
        <f>IF($A1608="",0,IF(COUNTIF($A$2:$A1608,$A1608)=1,1,0))</f>
        <v>0</v>
      </c>
      <c r="AD1608">
        <f t="shared" si="391"/>
        <v>18</v>
      </c>
      <c r="AE1608" t="str">
        <f t="shared" si="392"/>
        <v>锦江都城石家庄裕华店|可供房数（间）</v>
      </c>
    </row>
    <row r="1609" spans="1:31" x14ac:dyDescent="0.4">
      <c r="A1609" t="str">
        <f>IF(原始经营数据!$D1610="","",原始经营数据!$D1610)</f>
        <v>华安锦江封闭式商业不动产证券投资基金</v>
      </c>
      <c r="B1609" t="str">
        <f>IF(原始经营数据!$D1610="","",T(原始经营数据!$E1610))</f>
        <v>锦江都城石家庄裕华店</v>
      </c>
      <c r="C1609" t="str">
        <f>IF(原始经营数据!$D1610="","",原始经营数据!$F1610)</f>
        <v>2025</v>
      </c>
      <c r="D1609" t="str">
        <f>IF(原始经营数据!$D1610="","",原始经营数据!$H1610)</f>
        <v>平均入住率</v>
      </c>
      <c r="E1609">
        <f>IF(原始经营数据!$D1610="","",原始经营数据!$I1610)</f>
        <v>84.75</v>
      </c>
      <c r="F1609" t="str">
        <f>IF(原始经营数据!$D1610="","",T(原始经营数据!$J1610))</f>
        <v>%</v>
      </c>
      <c r="G1609" t="str">
        <f>IF(原始经营数据!$D1610="","",T(原始经营数据!$K1610))</f>
        <v/>
      </c>
      <c r="H1609" t="str">
        <f>IF(原始经营数据!$D1610="","",原始经营数据!$G1610)</f>
        <v>服务量</v>
      </c>
      <c r="I1609" t="str">
        <f>IF($A1609="","",IF($B1609&lt;&gt;"",$B1609,IF(COUNTIFS(原始经营数据!$D$3:$D$3001,$A1609,原始经营数据!$E$3:$E$3001,"",原始经营数据!$F$3:$F$3001,$C1609,原始经营数据!$H$3:$H$3001,$D1609,原始经营数据!$K$3:$K$3001,$G1609)&gt;1,"基金整体·来源"&amp;原始经营数据!$A1610,"基金整体")))</f>
        <v>锦江都城石家庄裕华店</v>
      </c>
      <c r="J1609" t="str">
        <f t="shared" si="378"/>
        <v>年度</v>
      </c>
      <c r="K1609" t="str">
        <f t="shared" si="379"/>
        <v>平均入住率（%）</v>
      </c>
      <c r="L1609" t="str">
        <f t="shared" si="380"/>
        <v>锦江都城石家庄裕华店|平均入住率（%）|年度</v>
      </c>
      <c r="M1609">
        <f>IF($A1609="",0,IF(COUNTIF($L$2:$L1609,$L1609)=1,1,0))</f>
        <v>0</v>
      </c>
      <c r="N1609">
        <f t="shared" si="381"/>
        <v>20250</v>
      </c>
      <c r="O1609" t="str">
        <f t="shared" si="382"/>
        <v>华安锦江封闭式商业不动产证券投资基金|2025|年度</v>
      </c>
      <c r="P1609">
        <f>IF($A1609="",0,IF(COUNTIF($O$2:$O1609,$O1609)=1,1,0))</f>
        <v>0</v>
      </c>
      <c r="Q1609" t="str">
        <f>IF(AND($P1609=1,$A1609=经营数据!$B$3,$J1609=经营数据!$BA$5),COUNTIFS($P$2:$P$3000,1,$A$2:$A$3000,$A1609,$J$2:$J$3000,$J1609,$N$2:$N$3000,"&lt;"&amp;$N1609)+1,"")</f>
        <v/>
      </c>
      <c r="R1609" t="str">
        <f t="shared" si="383"/>
        <v>华安锦江封闭式商业不动产证券投资基金|锦江都城石家庄裕华店</v>
      </c>
      <c r="S1609">
        <f>IF($A1609="",0,IF(COUNTIF($R$2:$R1609,$R1609)=1,1,0))</f>
        <v>0</v>
      </c>
      <c r="T1609">
        <f t="shared" si="384"/>
        <v>1597</v>
      </c>
      <c r="U1609" t="str">
        <f>IF($A1609="","",IF($A1609=经营数据!$B$3,COUNTIFS($S$2:$S$3000,1,$A$2:$A$3000,$A1609,$T$2:$T$3000,"&lt;"&amp;$T1609)+1,""))</f>
        <v/>
      </c>
      <c r="V1609" t="str">
        <f t="shared" si="385"/>
        <v>锦江都城石家庄裕华店|服务量</v>
      </c>
      <c r="W1609">
        <f t="shared" si="386"/>
        <v>1597</v>
      </c>
      <c r="X1609" t="str">
        <f t="shared" si="387"/>
        <v>锦江都城石家庄裕华店|平均入住率</v>
      </c>
      <c r="Y1609">
        <f t="shared" si="388"/>
        <v>1598</v>
      </c>
      <c r="Z1609">
        <f>IF($A1609="",0,IF(AND($M1609=1,$A1609=经营数据!$B$3,$J1609=经营数据!$BA$5,OR($I1609=经营数据!$BA$4,COUNTIF(经营数据!$AA$9:$AA$38,$I1609)&gt;0)),1,0))</f>
        <v>0</v>
      </c>
      <c r="AA1609" t="str">
        <f t="shared" si="389"/>
        <v/>
      </c>
      <c r="AB1609" t="str">
        <f t="shared" si="390"/>
        <v/>
      </c>
      <c r="AC1609">
        <f>IF($A1609="",0,IF(COUNTIF($A$2:$A1609,$A1609)=1,1,0))</f>
        <v>0</v>
      </c>
      <c r="AD1609">
        <f t="shared" si="391"/>
        <v>18</v>
      </c>
      <c r="AE1609" t="str">
        <f t="shared" si="392"/>
        <v>锦江都城石家庄裕华店|平均入住率（%）</v>
      </c>
    </row>
    <row r="1610" spans="1:31" x14ac:dyDescent="0.4">
      <c r="A1610" t="str">
        <f>IF(原始经营数据!$D1611="","",原始经营数据!$D1611)</f>
        <v>华安锦江封闭式商业不动产证券投资基金</v>
      </c>
      <c r="B1610" t="str">
        <f>IF(原始经营数据!$D1611="","",T(原始经营数据!$E1611))</f>
        <v>锦江都城福州仓山店</v>
      </c>
      <c r="C1610" t="str">
        <f>IF(原始经营数据!$D1611="","",原始经营数据!$F1611)</f>
        <v>2022</v>
      </c>
      <c r="D1610" t="str">
        <f>IF(原始经营数据!$D1611="","",原始经营数据!$H1611)</f>
        <v>平均房价</v>
      </c>
      <c r="E1610">
        <f>IF(原始经营数据!$D1611="","",原始经营数据!$I1611)</f>
        <v>329.21</v>
      </c>
      <c r="F1610" t="str">
        <f>IF(原始经营数据!$D1611="","",T(原始经营数据!$J1611))</f>
        <v>元/间</v>
      </c>
      <c r="G1610" t="str">
        <f>IF(原始经营数据!$D1611="","",T(原始经营数据!$K1611))</f>
        <v/>
      </c>
      <c r="H1610" t="str">
        <f>IF(原始经营数据!$D1611="","",原始经营数据!$G1611)</f>
        <v>服务量</v>
      </c>
      <c r="I1610" t="str">
        <f>IF($A1610="","",IF($B1610&lt;&gt;"",$B1610,IF(COUNTIFS(原始经营数据!$D$3:$D$3001,$A1610,原始经营数据!$E$3:$E$3001,"",原始经营数据!$F$3:$F$3001,$C1610,原始经营数据!$H$3:$H$3001,$D1610,原始经营数据!$K$3:$K$3001,$G1610)&gt;1,"基金整体·来源"&amp;原始经营数据!$A1611,"基金整体")))</f>
        <v>锦江都城福州仓山店</v>
      </c>
      <c r="J1610" t="str">
        <f t="shared" si="378"/>
        <v>年度</v>
      </c>
      <c r="K1610" t="str">
        <f t="shared" si="379"/>
        <v>平均房价（元/间）</v>
      </c>
      <c r="L1610" t="str">
        <f t="shared" si="380"/>
        <v>锦江都城福州仓山店|平均房价（元/间）|年度</v>
      </c>
      <c r="M1610">
        <f>IF($A1610="",0,IF(COUNTIF($L$2:$L1610,$L1610)=1,1,0))</f>
        <v>1</v>
      </c>
      <c r="N1610">
        <f t="shared" si="381"/>
        <v>20220</v>
      </c>
      <c r="O1610" t="str">
        <f t="shared" si="382"/>
        <v>华安锦江封闭式商业不动产证券投资基金|2022|年度</v>
      </c>
      <c r="P1610">
        <f>IF($A1610="",0,IF(COUNTIF($O$2:$O1610,$O1610)=1,1,0))</f>
        <v>0</v>
      </c>
      <c r="Q1610" t="str">
        <f>IF(AND($P1610=1,$A1610=经营数据!$B$3,$J1610=经营数据!$BA$5),COUNTIFS($P$2:$P$3000,1,$A$2:$A$3000,$A1610,$J$2:$J$3000,$J1610,$N$2:$N$3000,"&lt;"&amp;$N1610)+1,"")</f>
        <v/>
      </c>
      <c r="R1610" t="str">
        <f t="shared" si="383"/>
        <v>华安锦江封闭式商业不动产证券投资基金|锦江都城福州仓山店</v>
      </c>
      <c r="S1610">
        <f>IF($A1610="",0,IF(COUNTIF($R$2:$R1610,$R1610)=1,1,0))</f>
        <v>1</v>
      </c>
      <c r="T1610">
        <f t="shared" si="384"/>
        <v>1609</v>
      </c>
      <c r="U1610" t="str">
        <f>IF($A1610="","",IF($A1610=经营数据!$B$3,COUNTIFS($S$2:$S$3000,1,$A$2:$A$3000,$A1610,$T$2:$T$3000,"&lt;"&amp;$T1610)+1,""))</f>
        <v/>
      </c>
      <c r="V1610" t="str">
        <f t="shared" si="385"/>
        <v>锦江都城福州仓山店|服务量</v>
      </c>
      <c r="W1610">
        <f t="shared" si="386"/>
        <v>1609</v>
      </c>
      <c r="X1610" t="str">
        <f t="shared" si="387"/>
        <v>锦江都城福州仓山店|平均房价</v>
      </c>
      <c r="Y1610">
        <f t="shared" si="388"/>
        <v>1609</v>
      </c>
      <c r="Z1610">
        <f>IF($A1610="",0,IF(AND($M1610=1,$A1610=经营数据!$B$3,$J1610=经营数据!$BA$5,OR($I1610=经营数据!$BA$4,COUNTIF(经营数据!$AA$9:$AA$38,$I1610)&gt;0)),1,0))</f>
        <v>0</v>
      </c>
      <c r="AA1610" t="str">
        <f t="shared" si="389"/>
        <v/>
      </c>
      <c r="AB1610" t="str">
        <f t="shared" si="390"/>
        <v/>
      </c>
      <c r="AC1610">
        <f>IF($A1610="",0,IF(COUNTIF($A$2:$A1610,$A1610)=1,1,0))</f>
        <v>0</v>
      </c>
      <c r="AD1610">
        <f t="shared" si="391"/>
        <v>18</v>
      </c>
      <c r="AE1610" t="str">
        <f t="shared" si="392"/>
        <v>锦江都城福州仓山店|平均房价（元/间）</v>
      </c>
    </row>
    <row r="1611" spans="1:31" x14ac:dyDescent="0.4">
      <c r="A1611" t="str">
        <f>IF(原始经营数据!$D1612="","",原始经营数据!$D1612)</f>
        <v>华安锦江封闭式商业不动产证券投资基金</v>
      </c>
      <c r="B1611" t="str">
        <f>IF(原始经营数据!$D1612="","",T(原始经营数据!$E1612))</f>
        <v>锦江都城福州仓山店</v>
      </c>
      <c r="C1611" t="str">
        <f>IF(原始经营数据!$D1612="","",原始经营数据!$F1612)</f>
        <v>2022</v>
      </c>
      <c r="D1611" t="str">
        <f>IF(原始经营数据!$D1612="","",原始经营数据!$H1612)</f>
        <v>平均入住率</v>
      </c>
      <c r="E1611">
        <f>IF(原始经营数据!$D1612="","",原始经营数据!$I1612)</f>
        <v>73.23</v>
      </c>
      <c r="F1611" t="str">
        <f>IF(原始经营数据!$D1612="","",T(原始经营数据!$J1612))</f>
        <v>%</v>
      </c>
      <c r="G1611" t="str">
        <f>IF(原始经营数据!$D1612="","",T(原始经营数据!$K1612))</f>
        <v/>
      </c>
      <c r="H1611" t="str">
        <f>IF(原始经营数据!$D1612="","",原始经营数据!$G1612)</f>
        <v>服务量</v>
      </c>
      <c r="I1611" t="str">
        <f>IF($A1611="","",IF($B1611&lt;&gt;"",$B1611,IF(COUNTIFS(原始经营数据!$D$3:$D$3001,$A1611,原始经营数据!$E$3:$E$3001,"",原始经营数据!$F$3:$F$3001,$C1611,原始经营数据!$H$3:$H$3001,$D1611,原始经营数据!$K$3:$K$3001,$G1611)&gt;1,"基金整体·来源"&amp;原始经营数据!$A1612,"基金整体")))</f>
        <v>锦江都城福州仓山店</v>
      </c>
      <c r="J1611" t="str">
        <f t="shared" si="378"/>
        <v>年度</v>
      </c>
      <c r="K1611" t="str">
        <f t="shared" si="379"/>
        <v>平均入住率（%）</v>
      </c>
      <c r="L1611" t="str">
        <f t="shared" si="380"/>
        <v>锦江都城福州仓山店|平均入住率（%）|年度</v>
      </c>
      <c r="M1611">
        <f>IF($A1611="",0,IF(COUNTIF($L$2:$L1611,$L1611)=1,1,0))</f>
        <v>1</v>
      </c>
      <c r="N1611">
        <f t="shared" si="381"/>
        <v>20220</v>
      </c>
      <c r="O1611" t="str">
        <f t="shared" si="382"/>
        <v>华安锦江封闭式商业不动产证券投资基金|2022|年度</v>
      </c>
      <c r="P1611">
        <f>IF($A1611="",0,IF(COUNTIF($O$2:$O1611,$O1611)=1,1,0))</f>
        <v>0</v>
      </c>
      <c r="Q1611" t="str">
        <f>IF(AND($P1611=1,$A1611=经营数据!$B$3,$J1611=经营数据!$BA$5),COUNTIFS($P$2:$P$3000,1,$A$2:$A$3000,$A1611,$J$2:$J$3000,$J1611,$N$2:$N$3000,"&lt;"&amp;$N1611)+1,"")</f>
        <v/>
      </c>
      <c r="R1611" t="str">
        <f t="shared" si="383"/>
        <v>华安锦江封闭式商业不动产证券投资基金|锦江都城福州仓山店</v>
      </c>
      <c r="S1611">
        <f>IF($A1611="",0,IF(COUNTIF($R$2:$R1611,$R1611)=1,1,0))</f>
        <v>0</v>
      </c>
      <c r="T1611">
        <f t="shared" si="384"/>
        <v>1609</v>
      </c>
      <c r="U1611" t="str">
        <f>IF($A1611="","",IF($A1611=经营数据!$B$3,COUNTIFS($S$2:$S$3000,1,$A$2:$A$3000,$A1611,$T$2:$T$3000,"&lt;"&amp;$T1611)+1,""))</f>
        <v/>
      </c>
      <c r="V1611" t="str">
        <f t="shared" si="385"/>
        <v>锦江都城福州仓山店|服务量</v>
      </c>
      <c r="W1611">
        <f t="shared" si="386"/>
        <v>1609</v>
      </c>
      <c r="X1611" t="str">
        <f t="shared" si="387"/>
        <v>锦江都城福州仓山店|平均入住率</v>
      </c>
      <c r="Y1611">
        <f t="shared" si="388"/>
        <v>1610</v>
      </c>
      <c r="Z1611">
        <f>IF($A1611="",0,IF(AND($M1611=1,$A1611=经营数据!$B$3,$J1611=经营数据!$BA$5,OR($I1611=经营数据!$BA$4,COUNTIF(经营数据!$AA$9:$AA$38,$I1611)&gt;0)),1,0))</f>
        <v>0</v>
      </c>
      <c r="AA1611" t="str">
        <f t="shared" si="389"/>
        <v/>
      </c>
      <c r="AB1611" t="str">
        <f t="shared" si="390"/>
        <v/>
      </c>
      <c r="AC1611">
        <f>IF($A1611="",0,IF(COUNTIF($A$2:$A1611,$A1611)=1,1,0))</f>
        <v>0</v>
      </c>
      <c r="AD1611">
        <f t="shared" si="391"/>
        <v>18</v>
      </c>
      <c r="AE1611" t="str">
        <f t="shared" si="392"/>
        <v>锦江都城福州仓山店|平均入住率（%）</v>
      </c>
    </row>
    <row r="1612" spans="1:31" x14ac:dyDescent="0.4">
      <c r="A1612" t="str">
        <f>IF(原始经营数据!$D1613="","",原始经营数据!$D1613)</f>
        <v>华安锦江封闭式商业不动产证券投资基金</v>
      </c>
      <c r="B1612" t="str">
        <f>IF(原始经营数据!$D1613="","",T(原始经营数据!$E1613))</f>
        <v>锦江都城福州仓山店</v>
      </c>
      <c r="C1612" t="str">
        <f>IF(原始经营数据!$D1613="","",原始经营数据!$F1613)</f>
        <v>2022</v>
      </c>
      <c r="D1612" t="str">
        <f>IF(原始经营数据!$D1613="","",原始经营数据!$H1613)</f>
        <v>可供房数</v>
      </c>
      <c r="E1612">
        <f>IF(原始经营数据!$D1613="","",原始经营数据!$I1613)</f>
        <v>45409</v>
      </c>
      <c r="F1612" t="str">
        <f>IF(原始经营数据!$D1613="","",T(原始经营数据!$J1613))</f>
        <v>间</v>
      </c>
      <c r="G1612" t="str">
        <f>IF(原始经营数据!$D1613="","",T(原始经营数据!$K1613))</f>
        <v/>
      </c>
      <c r="H1612" t="str">
        <f>IF(原始经营数据!$D1613="","",原始经营数据!$G1613)</f>
        <v>服务量</v>
      </c>
      <c r="I1612" t="str">
        <f>IF($A1612="","",IF($B1612&lt;&gt;"",$B1612,IF(COUNTIFS(原始经营数据!$D$3:$D$3001,$A1612,原始经营数据!$E$3:$E$3001,"",原始经营数据!$F$3:$F$3001,$C1612,原始经营数据!$H$3:$H$3001,$D1612,原始经营数据!$K$3:$K$3001,$G1612)&gt;1,"基金整体·来源"&amp;原始经营数据!$A1613,"基金整体")))</f>
        <v>锦江都城福州仓山店</v>
      </c>
      <c r="J1612" t="str">
        <f t="shared" si="378"/>
        <v>年度</v>
      </c>
      <c r="K1612" t="str">
        <f t="shared" si="379"/>
        <v>可供房数（间）</v>
      </c>
      <c r="L1612" t="str">
        <f t="shared" si="380"/>
        <v>锦江都城福州仓山店|可供房数（间）|年度</v>
      </c>
      <c r="M1612">
        <f>IF($A1612="",0,IF(COUNTIF($L$2:$L1612,$L1612)=1,1,0))</f>
        <v>1</v>
      </c>
      <c r="N1612">
        <f t="shared" si="381"/>
        <v>20220</v>
      </c>
      <c r="O1612" t="str">
        <f t="shared" si="382"/>
        <v>华安锦江封闭式商业不动产证券投资基金|2022|年度</v>
      </c>
      <c r="P1612">
        <f>IF($A1612="",0,IF(COUNTIF($O$2:$O1612,$O1612)=1,1,0))</f>
        <v>0</v>
      </c>
      <c r="Q1612" t="str">
        <f>IF(AND($P1612=1,$A1612=经营数据!$B$3,$J1612=经营数据!$BA$5),COUNTIFS($P$2:$P$3000,1,$A$2:$A$3000,$A1612,$J$2:$J$3000,$J1612,$N$2:$N$3000,"&lt;"&amp;$N1612)+1,"")</f>
        <v/>
      </c>
      <c r="R1612" t="str">
        <f t="shared" si="383"/>
        <v>华安锦江封闭式商业不动产证券投资基金|锦江都城福州仓山店</v>
      </c>
      <c r="S1612">
        <f>IF($A1612="",0,IF(COUNTIF($R$2:$R1612,$R1612)=1,1,0))</f>
        <v>0</v>
      </c>
      <c r="T1612">
        <f t="shared" si="384"/>
        <v>1609</v>
      </c>
      <c r="U1612" t="str">
        <f>IF($A1612="","",IF($A1612=经营数据!$B$3,COUNTIFS($S$2:$S$3000,1,$A$2:$A$3000,$A1612,$T$2:$T$3000,"&lt;"&amp;$T1612)+1,""))</f>
        <v/>
      </c>
      <c r="V1612" t="str">
        <f t="shared" si="385"/>
        <v>锦江都城福州仓山店|服务量</v>
      </c>
      <c r="W1612">
        <f t="shared" si="386"/>
        <v>1609</v>
      </c>
      <c r="X1612" t="str">
        <f t="shared" si="387"/>
        <v>锦江都城福州仓山店|可供房数</v>
      </c>
      <c r="Y1612">
        <f t="shared" si="388"/>
        <v>1611</v>
      </c>
      <c r="Z1612">
        <f>IF($A1612="",0,IF(AND($M1612=1,$A1612=经营数据!$B$3,$J1612=经营数据!$BA$5,OR($I1612=经营数据!$BA$4,COUNTIF(经营数据!$AA$9:$AA$38,$I1612)&gt;0)),1,0))</f>
        <v>0</v>
      </c>
      <c r="AA1612" t="str">
        <f t="shared" si="389"/>
        <v/>
      </c>
      <c r="AB1612" t="str">
        <f t="shared" si="390"/>
        <v/>
      </c>
      <c r="AC1612">
        <f>IF($A1612="",0,IF(COUNTIF($A$2:$A1612,$A1612)=1,1,0))</f>
        <v>0</v>
      </c>
      <c r="AD1612">
        <f t="shared" si="391"/>
        <v>18</v>
      </c>
      <c r="AE1612" t="str">
        <f t="shared" si="392"/>
        <v>锦江都城福州仓山店|可供房数（间）</v>
      </c>
    </row>
    <row r="1613" spans="1:31" x14ac:dyDescent="0.4">
      <c r="A1613" t="str">
        <f>IF(原始经营数据!$D1614="","",原始经营数据!$D1614)</f>
        <v>华安锦江封闭式商业不动产证券投资基金</v>
      </c>
      <c r="B1613" t="str">
        <f>IF(原始经营数据!$D1614="","",T(原始经营数据!$E1614))</f>
        <v>锦江都城福州仓山店</v>
      </c>
      <c r="C1613" t="str">
        <f>IF(原始经营数据!$D1614="","",原始经营数据!$F1614)</f>
        <v>2023</v>
      </c>
      <c r="D1613" t="str">
        <f>IF(原始经营数据!$D1614="","",原始经营数据!$H1614)</f>
        <v>平均房价</v>
      </c>
      <c r="E1613">
        <f>IF(原始经营数据!$D1614="","",原始经营数据!$I1614)</f>
        <v>338.24</v>
      </c>
      <c r="F1613" t="str">
        <f>IF(原始经营数据!$D1614="","",T(原始经营数据!$J1614))</f>
        <v>元/间</v>
      </c>
      <c r="G1613" t="str">
        <f>IF(原始经营数据!$D1614="","",T(原始经营数据!$K1614))</f>
        <v/>
      </c>
      <c r="H1613" t="str">
        <f>IF(原始经营数据!$D1614="","",原始经营数据!$G1614)</f>
        <v>服务量</v>
      </c>
      <c r="I1613" t="str">
        <f>IF($A1613="","",IF($B1613&lt;&gt;"",$B1613,IF(COUNTIFS(原始经营数据!$D$3:$D$3001,$A1613,原始经营数据!$E$3:$E$3001,"",原始经营数据!$F$3:$F$3001,$C1613,原始经营数据!$H$3:$H$3001,$D1613,原始经营数据!$K$3:$K$3001,$G1613)&gt;1,"基金整体·来源"&amp;原始经营数据!$A1614,"基金整体")))</f>
        <v>锦江都城福州仓山店</v>
      </c>
      <c r="J1613" t="str">
        <f t="shared" si="378"/>
        <v>年度</v>
      </c>
      <c r="K1613" t="str">
        <f t="shared" si="379"/>
        <v>平均房价（元/间）</v>
      </c>
      <c r="L1613" t="str">
        <f t="shared" si="380"/>
        <v>锦江都城福州仓山店|平均房价（元/间）|年度</v>
      </c>
      <c r="M1613">
        <f>IF($A1613="",0,IF(COUNTIF($L$2:$L1613,$L1613)=1,1,0))</f>
        <v>0</v>
      </c>
      <c r="N1613">
        <f t="shared" si="381"/>
        <v>20230</v>
      </c>
      <c r="O1613" t="str">
        <f t="shared" si="382"/>
        <v>华安锦江封闭式商业不动产证券投资基金|2023|年度</v>
      </c>
      <c r="P1613">
        <f>IF($A1613="",0,IF(COUNTIF($O$2:$O1613,$O1613)=1,1,0))</f>
        <v>0</v>
      </c>
      <c r="Q1613" t="str">
        <f>IF(AND($P1613=1,$A1613=经营数据!$B$3,$J1613=经营数据!$BA$5),COUNTIFS($P$2:$P$3000,1,$A$2:$A$3000,$A1613,$J$2:$J$3000,$J1613,$N$2:$N$3000,"&lt;"&amp;$N1613)+1,"")</f>
        <v/>
      </c>
      <c r="R1613" t="str">
        <f t="shared" si="383"/>
        <v>华安锦江封闭式商业不动产证券投资基金|锦江都城福州仓山店</v>
      </c>
      <c r="S1613">
        <f>IF($A1613="",0,IF(COUNTIF($R$2:$R1613,$R1613)=1,1,0))</f>
        <v>0</v>
      </c>
      <c r="T1613">
        <f t="shared" si="384"/>
        <v>1609</v>
      </c>
      <c r="U1613" t="str">
        <f>IF($A1613="","",IF($A1613=经营数据!$B$3,COUNTIFS($S$2:$S$3000,1,$A$2:$A$3000,$A1613,$T$2:$T$3000,"&lt;"&amp;$T1613)+1,""))</f>
        <v/>
      </c>
      <c r="V1613" t="str">
        <f t="shared" si="385"/>
        <v>锦江都城福州仓山店|服务量</v>
      </c>
      <c r="W1613">
        <f t="shared" si="386"/>
        <v>1609</v>
      </c>
      <c r="X1613" t="str">
        <f t="shared" si="387"/>
        <v>锦江都城福州仓山店|平均房价</v>
      </c>
      <c r="Y1613">
        <f t="shared" si="388"/>
        <v>1609</v>
      </c>
      <c r="Z1613">
        <f>IF($A1613="",0,IF(AND($M1613=1,$A1613=经营数据!$B$3,$J1613=经营数据!$BA$5,OR($I1613=经营数据!$BA$4,COUNTIF(经营数据!$AA$9:$AA$38,$I1613)&gt;0)),1,0))</f>
        <v>0</v>
      </c>
      <c r="AA1613" t="str">
        <f t="shared" si="389"/>
        <v/>
      </c>
      <c r="AB1613" t="str">
        <f t="shared" si="390"/>
        <v/>
      </c>
      <c r="AC1613">
        <f>IF($A1613="",0,IF(COUNTIF($A$2:$A1613,$A1613)=1,1,0))</f>
        <v>0</v>
      </c>
      <c r="AD1613">
        <f t="shared" si="391"/>
        <v>18</v>
      </c>
      <c r="AE1613" t="str">
        <f t="shared" si="392"/>
        <v>锦江都城福州仓山店|平均房价（元/间）</v>
      </c>
    </row>
    <row r="1614" spans="1:31" x14ac:dyDescent="0.4">
      <c r="A1614" t="str">
        <f>IF(原始经营数据!$D1615="","",原始经营数据!$D1615)</f>
        <v>华安锦江封闭式商业不动产证券投资基金</v>
      </c>
      <c r="B1614" t="str">
        <f>IF(原始经营数据!$D1615="","",T(原始经营数据!$E1615))</f>
        <v>锦江都城福州仓山店</v>
      </c>
      <c r="C1614" t="str">
        <f>IF(原始经营数据!$D1615="","",原始经营数据!$F1615)</f>
        <v>2023</v>
      </c>
      <c r="D1614" t="str">
        <f>IF(原始经营数据!$D1615="","",原始经营数据!$H1615)</f>
        <v>平均入住率</v>
      </c>
      <c r="E1614">
        <f>IF(原始经营数据!$D1615="","",原始经营数据!$I1615)</f>
        <v>69.010000000000005</v>
      </c>
      <c r="F1614" t="str">
        <f>IF(原始经营数据!$D1615="","",T(原始经营数据!$J1615))</f>
        <v>%</v>
      </c>
      <c r="G1614" t="str">
        <f>IF(原始经营数据!$D1615="","",T(原始经营数据!$K1615))</f>
        <v/>
      </c>
      <c r="H1614" t="str">
        <f>IF(原始经营数据!$D1615="","",原始经营数据!$G1615)</f>
        <v>服务量</v>
      </c>
      <c r="I1614" t="str">
        <f>IF($A1614="","",IF($B1614&lt;&gt;"",$B1614,IF(COUNTIFS(原始经营数据!$D$3:$D$3001,$A1614,原始经营数据!$E$3:$E$3001,"",原始经营数据!$F$3:$F$3001,$C1614,原始经营数据!$H$3:$H$3001,$D1614,原始经营数据!$K$3:$K$3001,$G1614)&gt;1,"基金整体·来源"&amp;原始经营数据!$A1615,"基金整体")))</f>
        <v>锦江都城福州仓山店</v>
      </c>
      <c r="J1614" t="str">
        <f t="shared" si="378"/>
        <v>年度</v>
      </c>
      <c r="K1614" t="str">
        <f t="shared" si="379"/>
        <v>平均入住率（%）</v>
      </c>
      <c r="L1614" t="str">
        <f t="shared" si="380"/>
        <v>锦江都城福州仓山店|平均入住率（%）|年度</v>
      </c>
      <c r="M1614">
        <f>IF($A1614="",0,IF(COUNTIF($L$2:$L1614,$L1614)=1,1,0))</f>
        <v>0</v>
      </c>
      <c r="N1614">
        <f t="shared" si="381"/>
        <v>20230</v>
      </c>
      <c r="O1614" t="str">
        <f t="shared" si="382"/>
        <v>华安锦江封闭式商业不动产证券投资基金|2023|年度</v>
      </c>
      <c r="P1614">
        <f>IF($A1614="",0,IF(COUNTIF($O$2:$O1614,$O1614)=1,1,0))</f>
        <v>0</v>
      </c>
      <c r="Q1614" t="str">
        <f>IF(AND($P1614=1,$A1614=经营数据!$B$3,$J1614=经营数据!$BA$5),COUNTIFS($P$2:$P$3000,1,$A$2:$A$3000,$A1614,$J$2:$J$3000,$J1614,$N$2:$N$3000,"&lt;"&amp;$N1614)+1,"")</f>
        <v/>
      </c>
      <c r="R1614" t="str">
        <f t="shared" si="383"/>
        <v>华安锦江封闭式商业不动产证券投资基金|锦江都城福州仓山店</v>
      </c>
      <c r="S1614">
        <f>IF($A1614="",0,IF(COUNTIF($R$2:$R1614,$R1614)=1,1,0))</f>
        <v>0</v>
      </c>
      <c r="T1614">
        <f t="shared" si="384"/>
        <v>1609</v>
      </c>
      <c r="U1614" t="str">
        <f>IF($A1614="","",IF($A1614=经营数据!$B$3,COUNTIFS($S$2:$S$3000,1,$A$2:$A$3000,$A1614,$T$2:$T$3000,"&lt;"&amp;$T1614)+1,""))</f>
        <v/>
      </c>
      <c r="V1614" t="str">
        <f t="shared" si="385"/>
        <v>锦江都城福州仓山店|服务量</v>
      </c>
      <c r="W1614">
        <f t="shared" si="386"/>
        <v>1609</v>
      </c>
      <c r="X1614" t="str">
        <f t="shared" si="387"/>
        <v>锦江都城福州仓山店|平均入住率</v>
      </c>
      <c r="Y1614">
        <f t="shared" si="388"/>
        <v>1610</v>
      </c>
      <c r="Z1614">
        <f>IF($A1614="",0,IF(AND($M1614=1,$A1614=经营数据!$B$3,$J1614=经营数据!$BA$5,OR($I1614=经营数据!$BA$4,COUNTIF(经营数据!$AA$9:$AA$38,$I1614)&gt;0)),1,0))</f>
        <v>0</v>
      </c>
      <c r="AA1614" t="str">
        <f t="shared" si="389"/>
        <v/>
      </c>
      <c r="AB1614" t="str">
        <f t="shared" si="390"/>
        <v/>
      </c>
      <c r="AC1614">
        <f>IF($A1614="",0,IF(COUNTIF($A$2:$A1614,$A1614)=1,1,0))</f>
        <v>0</v>
      </c>
      <c r="AD1614">
        <f t="shared" si="391"/>
        <v>18</v>
      </c>
      <c r="AE1614" t="str">
        <f t="shared" si="392"/>
        <v>锦江都城福州仓山店|平均入住率（%）</v>
      </c>
    </row>
    <row r="1615" spans="1:31" x14ac:dyDescent="0.4">
      <c r="A1615" t="str">
        <f>IF(原始经营数据!$D1616="","",原始经营数据!$D1616)</f>
        <v>华安锦江封闭式商业不动产证券投资基金</v>
      </c>
      <c r="B1615" t="str">
        <f>IF(原始经营数据!$D1616="","",T(原始经营数据!$E1616))</f>
        <v>锦江都城福州仓山店</v>
      </c>
      <c r="C1615" t="str">
        <f>IF(原始经营数据!$D1616="","",原始经营数据!$F1616)</f>
        <v>2023</v>
      </c>
      <c r="D1615" t="str">
        <f>IF(原始经营数据!$D1616="","",原始经营数据!$H1616)</f>
        <v>可供房数</v>
      </c>
      <c r="E1615">
        <f>IF(原始经营数据!$D1616="","",原始经营数据!$I1616)</f>
        <v>56993</v>
      </c>
      <c r="F1615" t="str">
        <f>IF(原始经营数据!$D1616="","",T(原始经营数据!$J1616))</f>
        <v>间</v>
      </c>
      <c r="G1615" t="str">
        <f>IF(原始经营数据!$D1616="","",T(原始经营数据!$K1616))</f>
        <v/>
      </c>
      <c r="H1615" t="str">
        <f>IF(原始经营数据!$D1616="","",原始经营数据!$G1616)</f>
        <v>服务量</v>
      </c>
      <c r="I1615" t="str">
        <f>IF($A1615="","",IF($B1615&lt;&gt;"",$B1615,IF(COUNTIFS(原始经营数据!$D$3:$D$3001,$A1615,原始经营数据!$E$3:$E$3001,"",原始经营数据!$F$3:$F$3001,$C1615,原始经营数据!$H$3:$H$3001,$D1615,原始经营数据!$K$3:$K$3001,$G1615)&gt;1,"基金整体·来源"&amp;原始经营数据!$A1616,"基金整体")))</f>
        <v>锦江都城福州仓山店</v>
      </c>
      <c r="J1615" t="str">
        <f t="shared" si="378"/>
        <v>年度</v>
      </c>
      <c r="K1615" t="str">
        <f t="shared" si="379"/>
        <v>可供房数（间）</v>
      </c>
      <c r="L1615" t="str">
        <f t="shared" si="380"/>
        <v>锦江都城福州仓山店|可供房数（间）|年度</v>
      </c>
      <c r="M1615">
        <f>IF($A1615="",0,IF(COUNTIF($L$2:$L1615,$L1615)=1,1,0))</f>
        <v>0</v>
      </c>
      <c r="N1615">
        <f t="shared" si="381"/>
        <v>20230</v>
      </c>
      <c r="O1615" t="str">
        <f t="shared" si="382"/>
        <v>华安锦江封闭式商业不动产证券投资基金|2023|年度</v>
      </c>
      <c r="P1615">
        <f>IF($A1615="",0,IF(COUNTIF($O$2:$O1615,$O1615)=1,1,0))</f>
        <v>0</v>
      </c>
      <c r="Q1615" t="str">
        <f>IF(AND($P1615=1,$A1615=经营数据!$B$3,$J1615=经营数据!$BA$5),COUNTIFS($P$2:$P$3000,1,$A$2:$A$3000,$A1615,$J$2:$J$3000,$J1615,$N$2:$N$3000,"&lt;"&amp;$N1615)+1,"")</f>
        <v/>
      </c>
      <c r="R1615" t="str">
        <f t="shared" si="383"/>
        <v>华安锦江封闭式商业不动产证券投资基金|锦江都城福州仓山店</v>
      </c>
      <c r="S1615">
        <f>IF($A1615="",0,IF(COUNTIF($R$2:$R1615,$R1615)=1,1,0))</f>
        <v>0</v>
      </c>
      <c r="T1615">
        <f t="shared" si="384"/>
        <v>1609</v>
      </c>
      <c r="U1615" t="str">
        <f>IF($A1615="","",IF($A1615=经营数据!$B$3,COUNTIFS($S$2:$S$3000,1,$A$2:$A$3000,$A1615,$T$2:$T$3000,"&lt;"&amp;$T1615)+1,""))</f>
        <v/>
      </c>
      <c r="V1615" t="str">
        <f t="shared" si="385"/>
        <v>锦江都城福州仓山店|服务量</v>
      </c>
      <c r="W1615">
        <f t="shared" si="386"/>
        <v>1609</v>
      </c>
      <c r="X1615" t="str">
        <f t="shared" si="387"/>
        <v>锦江都城福州仓山店|可供房数</v>
      </c>
      <c r="Y1615">
        <f t="shared" si="388"/>
        <v>1611</v>
      </c>
      <c r="Z1615">
        <f>IF($A1615="",0,IF(AND($M1615=1,$A1615=经营数据!$B$3,$J1615=经营数据!$BA$5,OR($I1615=经营数据!$BA$4,COUNTIF(经营数据!$AA$9:$AA$38,$I1615)&gt;0)),1,0))</f>
        <v>0</v>
      </c>
      <c r="AA1615" t="str">
        <f t="shared" si="389"/>
        <v/>
      </c>
      <c r="AB1615" t="str">
        <f t="shared" si="390"/>
        <v/>
      </c>
      <c r="AC1615">
        <f>IF($A1615="",0,IF(COUNTIF($A$2:$A1615,$A1615)=1,1,0))</f>
        <v>0</v>
      </c>
      <c r="AD1615">
        <f t="shared" si="391"/>
        <v>18</v>
      </c>
      <c r="AE1615" t="str">
        <f t="shared" si="392"/>
        <v>锦江都城福州仓山店|可供房数（间）</v>
      </c>
    </row>
    <row r="1616" spans="1:31" x14ac:dyDescent="0.4">
      <c r="A1616" t="str">
        <f>IF(原始经营数据!$D1617="","",原始经营数据!$D1617)</f>
        <v>华安锦江封闭式商业不动产证券投资基金</v>
      </c>
      <c r="B1616" t="str">
        <f>IF(原始经营数据!$D1617="","",T(原始经营数据!$E1617))</f>
        <v>锦江都城福州仓山店</v>
      </c>
      <c r="C1616" t="str">
        <f>IF(原始经营数据!$D1617="","",原始经营数据!$F1617)</f>
        <v>2024</v>
      </c>
      <c r="D1616" t="str">
        <f>IF(原始经营数据!$D1617="","",原始经营数据!$H1617)</f>
        <v>平均房价</v>
      </c>
      <c r="E1616">
        <f>IF(原始经营数据!$D1617="","",原始经营数据!$I1617)</f>
        <v>350.35</v>
      </c>
      <c r="F1616" t="str">
        <f>IF(原始经营数据!$D1617="","",T(原始经营数据!$J1617))</f>
        <v>元/间</v>
      </c>
      <c r="G1616" t="str">
        <f>IF(原始经营数据!$D1617="","",T(原始经营数据!$K1617))</f>
        <v/>
      </c>
      <c r="H1616" t="str">
        <f>IF(原始经营数据!$D1617="","",原始经营数据!$G1617)</f>
        <v>服务量</v>
      </c>
      <c r="I1616" t="str">
        <f>IF($A1616="","",IF($B1616&lt;&gt;"",$B1616,IF(COUNTIFS(原始经营数据!$D$3:$D$3001,$A1616,原始经营数据!$E$3:$E$3001,"",原始经营数据!$F$3:$F$3001,$C1616,原始经营数据!$H$3:$H$3001,$D1616,原始经营数据!$K$3:$K$3001,$G1616)&gt;1,"基金整体·来源"&amp;原始经营数据!$A1617,"基金整体")))</f>
        <v>锦江都城福州仓山店</v>
      </c>
      <c r="J1616" t="str">
        <f t="shared" si="378"/>
        <v>年度</v>
      </c>
      <c r="K1616" t="str">
        <f t="shared" si="379"/>
        <v>平均房价（元/间）</v>
      </c>
      <c r="L1616" t="str">
        <f t="shared" si="380"/>
        <v>锦江都城福州仓山店|平均房价（元/间）|年度</v>
      </c>
      <c r="M1616">
        <f>IF($A1616="",0,IF(COUNTIF($L$2:$L1616,$L1616)=1,1,0))</f>
        <v>0</v>
      </c>
      <c r="N1616">
        <f t="shared" si="381"/>
        <v>20240</v>
      </c>
      <c r="O1616" t="str">
        <f t="shared" si="382"/>
        <v>华安锦江封闭式商业不动产证券投资基金|2024|年度</v>
      </c>
      <c r="P1616">
        <f>IF($A1616="",0,IF(COUNTIF($O$2:$O1616,$O1616)=1,1,0))</f>
        <v>0</v>
      </c>
      <c r="Q1616" t="str">
        <f>IF(AND($P1616=1,$A1616=经营数据!$B$3,$J1616=经营数据!$BA$5),COUNTIFS($P$2:$P$3000,1,$A$2:$A$3000,$A1616,$J$2:$J$3000,$J1616,$N$2:$N$3000,"&lt;"&amp;$N1616)+1,"")</f>
        <v/>
      </c>
      <c r="R1616" t="str">
        <f t="shared" si="383"/>
        <v>华安锦江封闭式商业不动产证券投资基金|锦江都城福州仓山店</v>
      </c>
      <c r="S1616">
        <f>IF($A1616="",0,IF(COUNTIF($R$2:$R1616,$R1616)=1,1,0))</f>
        <v>0</v>
      </c>
      <c r="T1616">
        <f t="shared" si="384"/>
        <v>1609</v>
      </c>
      <c r="U1616" t="str">
        <f>IF($A1616="","",IF($A1616=经营数据!$B$3,COUNTIFS($S$2:$S$3000,1,$A$2:$A$3000,$A1616,$T$2:$T$3000,"&lt;"&amp;$T1616)+1,""))</f>
        <v/>
      </c>
      <c r="V1616" t="str">
        <f t="shared" si="385"/>
        <v>锦江都城福州仓山店|服务量</v>
      </c>
      <c r="W1616">
        <f t="shared" si="386"/>
        <v>1609</v>
      </c>
      <c r="X1616" t="str">
        <f t="shared" si="387"/>
        <v>锦江都城福州仓山店|平均房价</v>
      </c>
      <c r="Y1616">
        <f t="shared" si="388"/>
        <v>1609</v>
      </c>
      <c r="Z1616">
        <f>IF($A1616="",0,IF(AND($M1616=1,$A1616=经营数据!$B$3,$J1616=经营数据!$BA$5,OR($I1616=经营数据!$BA$4,COUNTIF(经营数据!$AA$9:$AA$38,$I1616)&gt;0)),1,0))</f>
        <v>0</v>
      </c>
      <c r="AA1616" t="str">
        <f t="shared" si="389"/>
        <v/>
      </c>
      <c r="AB1616" t="str">
        <f t="shared" si="390"/>
        <v/>
      </c>
      <c r="AC1616">
        <f>IF($A1616="",0,IF(COUNTIF($A$2:$A1616,$A1616)=1,1,0))</f>
        <v>0</v>
      </c>
      <c r="AD1616">
        <f t="shared" si="391"/>
        <v>18</v>
      </c>
      <c r="AE1616" t="str">
        <f t="shared" si="392"/>
        <v>锦江都城福州仓山店|平均房价（元/间）</v>
      </c>
    </row>
    <row r="1617" spans="1:31" x14ac:dyDescent="0.4">
      <c r="A1617" t="str">
        <f>IF(原始经营数据!$D1618="","",原始经营数据!$D1618)</f>
        <v>华安锦江封闭式商业不动产证券投资基金</v>
      </c>
      <c r="B1617" t="str">
        <f>IF(原始经营数据!$D1618="","",T(原始经营数据!$E1618))</f>
        <v>锦江都城福州仓山店</v>
      </c>
      <c r="C1617" t="str">
        <f>IF(原始经营数据!$D1618="","",原始经营数据!$F1618)</f>
        <v>2024</v>
      </c>
      <c r="D1617" t="str">
        <f>IF(原始经营数据!$D1618="","",原始经营数据!$H1618)</f>
        <v>平均入住率</v>
      </c>
      <c r="E1617">
        <f>IF(原始经营数据!$D1618="","",原始经营数据!$I1618)</f>
        <v>63.45</v>
      </c>
      <c r="F1617" t="str">
        <f>IF(原始经营数据!$D1618="","",T(原始经营数据!$J1618))</f>
        <v>%</v>
      </c>
      <c r="G1617" t="str">
        <f>IF(原始经营数据!$D1618="","",T(原始经营数据!$K1618))</f>
        <v/>
      </c>
      <c r="H1617" t="str">
        <f>IF(原始经营数据!$D1618="","",原始经营数据!$G1618)</f>
        <v>服务量</v>
      </c>
      <c r="I1617" t="str">
        <f>IF($A1617="","",IF($B1617&lt;&gt;"",$B1617,IF(COUNTIFS(原始经营数据!$D$3:$D$3001,$A1617,原始经营数据!$E$3:$E$3001,"",原始经营数据!$F$3:$F$3001,$C1617,原始经营数据!$H$3:$H$3001,$D1617,原始经营数据!$K$3:$K$3001,$G1617)&gt;1,"基金整体·来源"&amp;原始经营数据!$A1618,"基金整体")))</f>
        <v>锦江都城福州仓山店</v>
      </c>
      <c r="J1617" t="str">
        <f t="shared" si="378"/>
        <v>年度</v>
      </c>
      <c r="K1617" t="str">
        <f t="shared" si="379"/>
        <v>平均入住率（%）</v>
      </c>
      <c r="L1617" t="str">
        <f t="shared" si="380"/>
        <v>锦江都城福州仓山店|平均入住率（%）|年度</v>
      </c>
      <c r="M1617">
        <f>IF($A1617="",0,IF(COUNTIF($L$2:$L1617,$L1617)=1,1,0))</f>
        <v>0</v>
      </c>
      <c r="N1617">
        <f t="shared" si="381"/>
        <v>20240</v>
      </c>
      <c r="O1617" t="str">
        <f t="shared" si="382"/>
        <v>华安锦江封闭式商业不动产证券投资基金|2024|年度</v>
      </c>
      <c r="P1617">
        <f>IF($A1617="",0,IF(COUNTIF($O$2:$O1617,$O1617)=1,1,0))</f>
        <v>0</v>
      </c>
      <c r="Q1617" t="str">
        <f>IF(AND($P1617=1,$A1617=经营数据!$B$3,$J1617=经营数据!$BA$5),COUNTIFS($P$2:$P$3000,1,$A$2:$A$3000,$A1617,$J$2:$J$3000,$J1617,$N$2:$N$3000,"&lt;"&amp;$N1617)+1,"")</f>
        <v/>
      </c>
      <c r="R1617" t="str">
        <f t="shared" si="383"/>
        <v>华安锦江封闭式商业不动产证券投资基金|锦江都城福州仓山店</v>
      </c>
      <c r="S1617">
        <f>IF($A1617="",0,IF(COUNTIF($R$2:$R1617,$R1617)=1,1,0))</f>
        <v>0</v>
      </c>
      <c r="T1617">
        <f t="shared" si="384"/>
        <v>1609</v>
      </c>
      <c r="U1617" t="str">
        <f>IF($A1617="","",IF($A1617=经营数据!$B$3,COUNTIFS($S$2:$S$3000,1,$A$2:$A$3000,$A1617,$T$2:$T$3000,"&lt;"&amp;$T1617)+1,""))</f>
        <v/>
      </c>
      <c r="V1617" t="str">
        <f t="shared" si="385"/>
        <v>锦江都城福州仓山店|服务量</v>
      </c>
      <c r="W1617">
        <f t="shared" si="386"/>
        <v>1609</v>
      </c>
      <c r="X1617" t="str">
        <f t="shared" si="387"/>
        <v>锦江都城福州仓山店|平均入住率</v>
      </c>
      <c r="Y1617">
        <f t="shared" si="388"/>
        <v>1610</v>
      </c>
      <c r="Z1617">
        <f>IF($A1617="",0,IF(AND($M1617=1,$A1617=经营数据!$B$3,$J1617=经营数据!$BA$5,OR($I1617=经营数据!$BA$4,COUNTIF(经营数据!$AA$9:$AA$38,$I1617)&gt;0)),1,0))</f>
        <v>0</v>
      </c>
      <c r="AA1617" t="str">
        <f t="shared" si="389"/>
        <v/>
      </c>
      <c r="AB1617" t="str">
        <f t="shared" si="390"/>
        <v/>
      </c>
      <c r="AC1617">
        <f>IF($A1617="",0,IF(COUNTIF($A$2:$A1617,$A1617)=1,1,0))</f>
        <v>0</v>
      </c>
      <c r="AD1617">
        <f t="shared" si="391"/>
        <v>18</v>
      </c>
      <c r="AE1617" t="str">
        <f t="shared" si="392"/>
        <v>锦江都城福州仓山店|平均入住率（%）</v>
      </c>
    </row>
    <row r="1618" spans="1:31" x14ac:dyDescent="0.4">
      <c r="A1618" t="str">
        <f>IF(原始经营数据!$D1619="","",原始经营数据!$D1619)</f>
        <v>华安锦江封闭式商业不动产证券投资基金</v>
      </c>
      <c r="B1618" t="str">
        <f>IF(原始经营数据!$D1619="","",T(原始经营数据!$E1619))</f>
        <v>锦江都城福州仓山店</v>
      </c>
      <c r="C1618" t="str">
        <f>IF(原始经营数据!$D1619="","",原始经营数据!$F1619)</f>
        <v>2024</v>
      </c>
      <c r="D1618" t="str">
        <f>IF(原始经营数据!$D1619="","",原始经营数据!$H1619)</f>
        <v>可供房数</v>
      </c>
      <c r="E1618">
        <f>IF(原始经营数据!$D1619="","",原始经营数据!$I1619)</f>
        <v>6934</v>
      </c>
      <c r="F1618" t="str">
        <f>IF(原始经营数据!$D1619="","",T(原始经营数据!$J1619))</f>
        <v>间</v>
      </c>
      <c r="G1618" t="str">
        <f>IF(原始经营数据!$D1619="","",T(原始经营数据!$K1619))</f>
        <v/>
      </c>
      <c r="H1618" t="str">
        <f>IF(原始经营数据!$D1619="","",原始经营数据!$G1619)</f>
        <v>服务量</v>
      </c>
      <c r="I1618" t="str">
        <f>IF($A1618="","",IF($B1618&lt;&gt;"",$B1618,IF(COUNTIFS(原始经营数据!$D$3:$D$3001,$A1618,原始经营数据!$E$3:$E$3001,"",原始经营数据!$F$3:$F$3001,$C1618,原始经营数据!$H$3:$H$3001,$D1618,原始经营数据!$K$3:$K$3001,$G1618)&gt;1,"基金整体·来源"&amp;原始经营数据!$A1619,"基金整体")))</f>
        <v>锦江都城福州仓山店</v>
      </c>
      <c r="J1618" t="str">
        <f t="shared" si="378"/>
        <v>年度</v>
      </c>
      <c r="K1618" t="str">
        <f t="shared" si="379"/>
        <v>可供房数（间）</v>
      </c>
      <c r="L1618" t="str">
        <f t="shared" si="380"/>
        <v>锦江都城福州仓山店|可供房数（间）|年度</v>
      </c>
      <c r="M1618">
        <f>IF($A1618="",0,IF(COUNTIF($L$2:$L1618,$L1618)=1,1,0))</f>
        <v>0</v>
      </c>
      <c r="N1618">
        <f t="shared" si="381"/>
        <v>20240</v>
      </c>
      <c r="O1618" t="str">
        <f t="shared" si="382"/>
        <v>华安锦江封闭式商业不动产证券投资基金|2024|年度</v>
      </c>
      <c r="P1618">
        <f>IF($A1618="",0,IF(COUNTIF($O$2:$O1618,$O1618)=1,1,0))</f>
        <v>0</v>
      </c>
      <c r="Q1618" t="str">
        <f>IF(AND($P1618=1,$A1618=经营数据!$B$3,$J1618=经营数据!$BA$5),COUNTIFS($P$2:$P$3000,1,$A$2:$A$3000,$A1618,$J$2:$J$3000,$J1618,$N$2:$N$3000,"&lt;"&amp;$N1618)+1,"")</f>
        <v/>
      </c>
      <c r="R1618" t="str">
        <f t="shared" si="383"/>
        <v>华安锦江封闭式商业不动产证券投资基金|锦江都城福州仓山店</v>
      </c>
      <c r="S1618">
        <f>IF($A1618="",0,IF(COUNTIF($R$2:$R1618,$R1618)=1,1,0))</f>
        <v>0</v>
      </c>
      <c r="T1618">
        <f t="shared" si="384"/>
        <v>1609</v>
      </c>
      <c r="U1618" t="str">
        <f>IF($A1618="","",IF($A1618=经营数据!$B$3,COUNTIFS($S$2:$S$3000,1,$A$2:$A$3000,$A1618,$T$2:$T$3000,"&lt;"&amp;$T1618)+1,""))</f>
        <v/>
      </c>
      <c r="V1618" t="str">
        <f t="shared" si="385"/>
        <v>锦江都城福州仓山店|服务量</v>
      </c>
      <c r="W1618">
        <f t="shared" si="386"/>
        <v>1609</v>
      </c>
      <c r="X1618" t="str">
        <f t="shared" si="387"/>
        <v>锦江都城福州仓山店|可供房数</v>
      </c>
      <c r="Y1618">
        <f t="shared" si="388"/>
        <v>1611</v>
      </c>
      <c r="Z1618">
        <f>IF($A1618="",0,IF(AND($M1618=1,$A1618=经营数据!$B$3,$J1618=经营数据!$BA$5,OR($I1618=经营数据!$BA$4,COUNTIF(经营数据!$AA$9:$AA$38,$I1618)&gt;0)),1,0))</f>
        <v>0</v>
      </c>
      <c r="AA1618" t="str">
        <f t="shared" si="389"/>
        <v/>
      </c>
      <c r="AB1618" t="str">
        <f t="shared" si="390"/>
        <v/>
      </c>
      <c r="AC1618">
        <f>IF($A1618="",0,IF(COUNTIF($A$2:$A1618,$A1618)=1,1,0))</f>
        <v>0</v>
      </c>
      <c r="AD1618">
        <f t="shared" si="391"/>
        <v>18</v>
      </c>
      <c r="AE1618" t="str">
        <f t="shared" si="392"/>
        <v>锦江都城福州仓山店|可供房数（间）</v>
      </c>
    </row>
    <row r="1619" spans="1:31" x14ac:dyDescent="0.4">
      <c r="A1619" t="str">
        <f>IF(原始经营数据!$D1620="","",原始经营数据!$D1620)</f>
        <v>华安锦江封闭式商业不动产证券投资基金</v>
      </c>
      <c r="B1619" t="str">
        <f>IF(原始经营数据!$D1620="","",T(原始经营数据!$E1620))</f>
        <v>锦江都城福州仓山店</v>
      </c>
      <c r="C1619" t="str">
        <f>IF(原始经营数据!$D1620="","",原始经营数据!$F1620)</f>
        <v>2025</v>
      </c>
      <c r="D1619" t="str">
        <f>IF(原始经营数据!$D1620="","",原始经营数据!$H1620)</f>
        <v>平均入住率</v>
      </c>
      <c r="E1619">
        <f>IF(原始经营数据!$D1620="","",原始经营数据!$I1620)</f>
        <v>62.4</v>
      </c>
      <c r="F1619" t="str">
        <f>IF(原始经营数据!$D1620="","",T(原始经营数据!$J1620))</f>
        <v>%</v>
      </c>
      <c r="G1619" t="str">
        <f>IF(原始经营数据!$D1620="","",T(原始经营数据!$K1620))</f>
        <v/>
      </c>
      <c r="H1619" t="str">
        <f>IF(原始经营数据!$D1620="","",原始经营数据!$G1620)</f>
        <v>服务量</v>
      </c>
      <c r="I1619" t="str">
        <f>IF($A1619="","",IF($B1619&lt;&gt;"",$B1619,IF(COUNTIFS(原始经营数据!$D$3:$D$3001,$A1619,原始经营数据!$E$3:$E$3001,"",原始经营数据!$F$3:$F$3001,$C1619,原始经营数据!$H$3:$H$3001,$D1619,原始经营数据!$K$3:$K$3001,$G1619)&gt;1,"基金整体·来源"&amp;原始经营数据!$A1620,"基金整体")))</f>
        <v>锦江都城福州仓山店</v>
      </c>
      <c r="J1619" t="str">
        <f t="shared" si="378"/>
        <v>年度</v>
      </c>
      <c r="K1619" t="str">
        <f t="shared" si="379"/>
        <v>平均入住率（%）</v>
      </c>
      <c r="L1619" t="str">
        <f t="shared" si="380"/>
        <v>锦江都城福州仓山店|平均入住率（%）|年度</v>
      </c>
      <c r="M1619">
        <f>IF($A1619="",0,IF(COUNTIF($L$2:$L1619,$L1619)=1,1,0))</f>
        <v>0</v>
      </c>
      <c r="N1619">
        <f t="shared" si="381"/>
        <v>20250</v>
      </c>
      <c r="O1619" t="str">
        <f t="shared" si="382"/>
        <v>华安锦江封闭式商业不动产证券投资基金|2025|年度</v>
      </c>
      <c r="P1619">
        <f>IF($A1619="",0,IF(COUNTIF($O$2:$O1619,$O1619)=1,1,0))</f>
        <v>0</v>
      </c>
      <c r="Q1619" t="str">
        <f>IF(AND($P1619=1,$A1619=经营数据!$B$3,$J1619=经营数据!$BA$5),COUNTIFS($P$2:$P$3000,1,$A$2:$A$3000,$A1619,$J$2:$J$3000,$J1619,$N$2:$N$3000,"&lt;"&amp;$N1619)+1,"")</f>
        <v/>
      </c>
      <c r="R1619" t="str">
        <f t="shared" si="383"/>
        <v>华安锦江封闭式商业不动产证券投资基金|锦江都城福州仓山店</v>
      </c>
      <c r="S1619">
        <f>IF($A1619="",0,IF(COUNTIF($R$2:$R1619,$R1619)=1,1,0))</f>
        <v>0</v>
      </c>
      <c r="T1619">
        <f t="shared" si="384"/>
        <v>1609</v>
      </c>
      <c r="U1619" t="str">
        <f>IF($A1619="","",IF($A1619=经营数据!$B$3,COUNTIFS($S$2:$S$3000,1,$A$2:$A$3000,$A1619,$T$2:$T$3000,"&lt;"&amp;$T1619)+1,""))</f>
        <v/>
      </c>
      <c r="V1619" t="str">
        <f t="shared" si="385"/>
        <v>锦江都城福州仓山店|服务量</v>
      </c>
      <c r="W1619">
        <f t="shared" si="386"/>
        <v>1609</v>
      </c>
      <c r="X1619" t="str">
        <f t="shared" si="387"/>
        <v>锦江都城福州仓山店|平均入住率</v>
      </c>
      <c r="Y1619">
        <f t="shared" si="388"/>
        <v>1610</v>
      </c>
      <c r="Z1619">
        <f>IF($A1619="",0,IF(AND($M1619=1,$A1619=经营数据!$B$3,$J1619=经营数据!$BA$5,OR($I1619=经营数据!$BA$4,COUNTIF(经营数据!$AA$9:$AA$38,$I1619)&gt;0)),1,0))</f>
        <v>0</v>
      </c>
      <c r="AA1619" t="str">
        <f t="shared" si="389"/>
        <v/>
      </c>
      <c r="AB1619" t="str">
        <f t="shared" si="390"/>
        <v/>
      </c>
      <c r="AC1619">
        <f>IF($A1619="",0,IF(COUNTIF($A$2:$A1619,$A1619)=1,1,0))</f>
        <v>0</v>
      </c>
      <c r="AD1619">
        <f t="shared" si="391"/>
        <v>18</v>
      </c>
      <c r="AE1619" t="str">
        <f t="shared" si="392"/>
        <v>锦江都城福州仓山店|平均入住率（%）</v>
      </c>
    </row>
    <row r="1620" spans="1:31" x14ac:dyDescent="0.4">
      <c r="A1620" t="str">
        <f>IF(原始经营数据!$D1621="","",原始经营数据!$D1621)</f>
        <v>华安锦江封闭式商业不动产证券投资基金</v>
      </c>
      <c r="B1620" t="str">
        <f>IF(原始经营数据!$D1621="","",T(原始经营数据!$E1621))</f>
        <v>锦江都城福州仓山店</v>
      </c>
      <c r="C1620" t="str">
        <f>IF(原始经营数据!$D1621="","",原始经营数据!$F1621)</f>
        <v>2025</v>
      </c>
      <c r="D1620" t="str">
        <f>IF(原始经营数据!$D1621="","",原始经营数据!$H1621)</f>
        <v>平均房价</v>
      </c>
      <c r="E1620">
        <f>IF(原始经营数据!$D1621="","",原始经营数据!$I1621)</f>
        <v>321.58</v>
      </c>
      <c r="F1620" t="str">
        <f>IF(原始经营数据!$D1621="","",T(原始经营数据!$J1621))</f>
        <v>元/间</v>
      </c>
      <c r="G1620" t="str">
        <f>IF(原始经营数据!$D1621="","",T(原始经营数据!$K1621))</f>
        <v/>
      </c>
      <c r="H1620" t="str">
        <f>IF(原始经营数据!$D1621="","",原始经营数据!$G1621)</f>
        <v>服务量</v>
      </c>
      <c r="I1620" t="str">
        <f>IF($A1620="","",IF($B1620&lt;&gt;"",$B1620,IF(COUNTIFS(原始经营数据!$D$3:$D$3001,$A1620,原始经营数据!$E$3:$E$3001,"",原始经营数据!$F$3:$F$3001,$C1620,原始经营数据!$H$3:$H$3001,$D1620,原始经营数据!$K$3:$K$3001,$G1620)&gt;1,"基金整体·来源"&amp;原始经营数据!$A1621,"基金整体")))</f>
        <v>锦江都城福州仓山店</v>
      </c>
      <c r="J1620" t="str">
        <f t="shared" si="378"/>
        <v>年度</v>
      </c>
      <c r="K1620" t="str">
        <f t="shared" si="379"/>
        <v>平均房价（元/间）</v>
      </c>
      <c r="L1620" t="str">
        <f t="shared" si="380"/>
        <v>锦江都城福州仓山店|平均房价（元/间）|年度</v>
      </c>
      <c r="M1620">
        <f>IF($A1620="",0,IF(COUNTIF($L$2:$L1620,$L1620)=1,1,0))</f>
        <v>0</v>
      </c>
      <c r="N1620">
        <f t="shared" si="381"/>
        <v>20250</v>
      </c>
      <c r="O1620" t="str">
        <f t="shared" si="382"/>
        <v>华安锦江封闭式商业不动产证券投资基金|2025|年度</v>
      </c>
      <c r="P1620">
        <f>IF($A1620="",0,IF(COUNTIF($O$2:$O1620,$O1620)=1,1,0))</f>
        <v>0</v>
      </c>
      <c r="Q1620" t="str">
        <f>IF(AND($P1620=1,$A1620=经营数据!$B$3,$J1620=经营数据!$BA$5),COUNTIFS($P$2:$P$3000,1,$A$2:$A$3000,$A1620,$J$2:$J$3000,$J1620,$N$2:$N$3000,"&lt;"&amp;$N1620)+1,"")</f>
        <v/>
      </c>
      <c r="R1620" t="str">
        <f t="shared" si="383"/>
        <v>华安锦江封闭式商业不动产证券投资基金|锦江都城福州仓山店</v>
      </c>
      <c r="S1620">
        <f>IF($A1620="",0,IF(COUNTIF($R$2:$R1620,$R1620)=1,1,0))</f>
        <v>0</v>
      </c>
      <c r="T1620">
        <f t="shared" si="384"/>
        <v>1609</v>
      </c>
      <c r="U1620" t="str">
        <f>IF($A1620="","",IF($A1620=经营数据!$B$3,COUNTIFS($S$2:$S$3000,1,$A$2:$A$3000,$A1620,$T$2:$T$3000,"&lt;"&amp;$T1620)+1,""))</f>
        <v/>
      </c>
      <c r="V1620" t="str">
        <f t="shared" si="385"/>
        <v>锦江都城福州仓山店|服务量</v>
      </c>
      <c r="W1620">
        <f t="shared" si="386"/>
        <v>1609</v>
      </c>
      <c r="X1620" t="str">
        <f t="shared" si="387"/>
        <v>锦江都城福州仓山店|平均房价</v>
      </c>
      <c r="Y1620">
        <f t="shared" si="388"/>
        <v>1609</v>
      </c>
      <c r="Z1620">
        <f>IF($A1620="",0,IF(AND($M1620=1,$A1620=经营数据!$B$3,$J1620=经营数据!$BA$5,OR($I1620=经营数据!$BA$4,COUNTIF(经营数据!$AA$9:$AA$38,$I1620)&gt;0)),1,0))</f>
        <v>0</v>
      </c>
      <c r="AA1620" t="str">
        <f t="shared" si="389"/>
        <v/>
      </c>
      <c r="AB1620" t="str">
        <f t="shared" si="390"/>
        <v/>
      </c>
      <c r="AC1620">
        <f>IF($A1620="",0,IF(COUNTIF($A$2:$A1620,$A1620)=1,1,0))</f>
        <v>0</v>
      </c>
      <c r="AD1620">
        <f t="shared" si="391"/>
        <v>18</v>
      </c>
      <c r="AE1620" t="str">
        <f t="shared" si="392"/>
        <v>锦江都城福州仓山店|平均房价（元/间）</v>
      </c>
    </row>
    <row r="1621" spans="1:31" x14ac:dyDescent="0.4">
      <c r="A1621" t="str">
        <f>IF(原始经营数据!$D1622="","",原始经营数据!$D1622)</f>
        <v>华安锦江封闭式商业不动产证券投资基金</v>
      </c>
      <c r="B1621" t="str">
        <f>IF(原始经营数据!$D1622="","",T(原始经营数据!$E1622))</f>
        <v>锦江都城福州仓山店</v>
      </c>
      <c r="C1621" t="str">
        <f>IF(原始经营数据!$D1622="","",原始经营数据!$F1622)</f>
        <v>2025</v>
      </c>
      <c r="D1621" t="str">
        <f>IF(原始经营数据!$D1622="","",原始经营数据!$H1622)</f>
        <v>可供房数</v>
      </c>
      <c r="E1621">
        <f>IF(原始经营数据!$D1622="","",原始经营数据!$I1622)</f>
        <v>56575</v>
      </c>
      <c r="F1621" t="str">
        <f>IF(原始经营数据!$D1622="","",T(原始经营数据!$J1622))</f>
        <v>间</v>
      </c>
      <c r="G1621" t="str">
        <f>IF(原始经营数据!$D1622="","",T(原始经营数据!$K1622))</f>
        <v/>
      </c>
      <c r="H1621" t="str">
        <f>IF(原始经营数据!$D1622="","",原始经营数据!$G1622)</f>
        <v>服务量</v>
      </c>
      <c r="I1621" t="str">
        <f>IF($A1621="","",IF($B1621&lt;&gt;"",$B1621,IF(COUNTIFS(原始经营数据!$D$3:$D$3001,$A1621,原始经营数据!$E$3:$E$3001,"",原始经营数据!$F$3:$F$3001,$C1621,原始经营数据!$H$3:$H$3001,$D1621,原始经营数据!$K$3:$K$3001,$G1621)&gt;1,"基金整体·来源"&amp;原始经营数据!$A1622,"基金整体")))</f>
        <v>锦江都城福州仓山店</v>
      </c>
      <c r="J1621" t="str">
        <f t="shared" si="378"/>
        <v>年度</v>
      </c>
      <c r="K1621" t="str">
        <f t="shared" si="379"/>
        <v>可供房数（间）</v>
      </c>
      <c r="L1621" t="str">
        <f t="shared" si="380"/>
        <v>锦江都城福州仓山店|可供房数（间）|年度</v>
      </c>
      <c r="M1621">
        <f>IF($A1621="",0,IF(COUNTIF($L$2:$L1621,$L1621)=1,1,0))</f>
        <v>0</v>
      </c>
      <c r="N1621">
        <f t="shared" si="381"/>
        <v>20250</v>
      </c>
      <c r="O1621" t="str">
        <f t="shared" si="382"/>
        <v>华安锦江封闭式商业不动产证券投资基金|2025|年度</v>
      </c>
      <c r="P1621">
        <f>IF($A1621="",0,IF(COUNTIF($O$2:$O1621,$O1621)=1,1,0))</f>
        <v>0</v>
      </c>
      <c r="Q1621" t="str">
        <f>IF(AND($P1621=1,$A1621=经营数据!$B$3,$J1621=经营数据!$BA$5),COUNTIFS($P$2:$P$3000,1,$A$2:$A$3000,$A1621,$J$2:$J$3000,$J1621,$N$2:$N$3000,"&lt;"&amp;$N1621)+1,"")</f>
        <v/>
      </c>
      <c r="R1621" t="str">
        <f t="shared" si="383"/>
        <v>华安锦江封闭式商业不动产证券投资基金|锦江都城福州仓山店</v>
      </c>
      <c r="S1621">
        <f>IF($A1621="",0,IF(COUNTIF($R$2:$R1621,$R1621)=1,1,0))</f>
        <v>0</v>
      </c>
      <c r="T1621">
        <f t="shared" si="384"/>
        <v>1609</v>
      </c>
      <c r="U1621" t="str">
        <f>IF($A1621="","",IF($A1621=经营数据!$B$3,COUNTIFS($S$2:$S$3000,1,$A$2:$A$3000,$A1621,$T$2:$T$3000,"&lt;"&amp;$T1621)+1,""))</f>
        <v/>
      </c>
      <c r="V1621" t="str">
        <f t="shared" si="385"/>
        <v>锦江都城福州仓山店|服务量</v>
      </c>
      <c r="W1621">
        <f t="shared" si="386"/>
        <v>1609</v>
      </c>
      <c r="X1621" t="str">
        <f t="shared" si="387"/>
        <v>锦江都城福州仓山店|可供房数</v>
      </c>
      <c r="Y1621">
        <f t="shared" si="388"/>
        <v>1611</v>
      </c>
      <c r="Z1621">
        <f>IF($A1621="",0,IF(AND($M1621=1,$A1621=经营数据!$B$3,$J1621=经营数据!$BA$5,OR($I1621=经营数据!$BA$4,COUNTIF(经营数据!$AA$9:$AA$38,$I1621)&gt;0)),1,0))</f>
        <v>0</v>
      </c>
      <c r="AA1621" t="str">
        <f t="shared" si="389"/>
        <v/>
      </c>
      <c r="AB1621" t="str">
        <f t="shared" si="390"/>
        <v/>
      </c>
      <c r="AC1621">
        <f>IF($A1621="",0,IF(COUNTIF($A$2:$A1621,$A1621)=1,1,0))</f>
        <v>0</v>
      </c>
      <c r="AD1621">
        <f t="shared" si="391"/>
        <v>18</v>
      </c>
      <c r="AE1621" t="str">
        <f t="shared" si="392"/>
        <v>锦江都城福州仓山店|可供房数（间）</v>
      </c>
    </row>
    <row r="1622" spans="1:31" x14ac:dyDescent="0.4">
      <c r="A1622" t="str">
        <f>IF(原始经营数据!$D1623="","",原始经营数据!$D1623)</f>
        <v>华安锦江封闭式商业不动产证券投资基金</v>
      </c>
      <c r="B1622" t="str">
        <f>IF(原始经营数据!$D1623="","",T(原始经营数据!$E1623))</f>
        <v>锦江都城福州台江店</v>
      </c>
      <c r="C1622" t="str">
        <f>IF(原始经营数据!$D1623="","",原始经营数据!$F1623)</f>
        <v>2022</v>
      </c>
      <c r="D1622" t="str">
        <f>IF(原始经营数据!$D1623="","",原始经营数据!$H1623)</f>
        <v>平均房价</v>
      </c>
      <c r="E1622">
        <f>IF(原始经营数据!$D1623="","",原始经营数据!$I1623)</f>
        <v>342.61</v>
      </c>
      <c r="F1622" t="str">
        <f>IF(原始经营数据!$D1623="","",T(原始经营数据!$J1623))</f>
        <v>元/间</v>
      </c>
      <c r="G1622" t="str">
        <f>IF(原始经营数据!$D1623="","",T(原始经营数据!$K1623))</f>
        <v/>
      </c>
      <c r="H1622" t="str">
        <f>IF(原始经营数据!$D1623="","",原始经营数据!$G1623)</f>
        <v>服务量</v>
      </c>
      <c r="I1622" t="str">
        <f>IF($A1622="","",IF($B1622&lt;&gt;"",$B1622,IF(COUNTIFS(原始经营数据!$D$3:$D$3001,$A1622,原始经营数据!$E$3:$E$3001,"",原始经营数据!$F$3:$F$3001,$C1622,原始经营数据!$H$3:$H$3001,$D1622,原始经营数据!$K$3:$K$3001,$G1622)&gt;1,"基金整体·来源"&amp;原始经营数据!$A1623,"基金整体")))</f>
        <v>锦江都城福州台江店</v>
      </c>
      <c r="J1622" t="str">
        <f t="shared" si="378"/>
        <v>年度</v>
      </c>
      <c r="K1622" t="str">
        <f t="shared" si="379"/>
        <v>平均房价（元/间）</v>
      </c>
      <c r="L1622" t="str">
        <f t="shared" si="380"/>
        <v>锦江都城福州台江店|平均房价（元/间）|年度</v>
      </c>
      <c r="M1622">
        <f>IF($A1622="",0,IF(COUNTIF($L$2:$L1622,$L1622)=1,1,0))</f>
        <v>1</v>
      </c>
      <c r="N1622">
        <f t="shared" si="381"/>
        <v>20220</v>
      </c>
      <c r="O1622" t="str">
        <f t="shared" si="382"/>
        <v>华安锦江封闭式商业不动产证券投资基金|2022|年度</v>
      </c>
      <c r="P1622">
        <f>IF($A1622="",0,IF(COUNTIF($O$2:$O1622,$O1622)=1,1,0))</f>
        <v>0</v>
      </c>
      <c r="Q1622" t="str">
        <f>IF(AND($P1622=1,$A1622=经营数据!$B$3,$J1622=经营数据!$BA$5),COUNTIFS($P$2:$P$3000,1,$A$2:$A$3000,$A1622,$J$2:$J$3000,$J1622,$N$2:$N$3000,"&lt;"&amp;$N1622)+1,"")</f>
        <v/>
      </c>
      <c r="R1622" t="str">
        <f t="shared" si="383"/>
        <v>华安锦江封闭式商业不动产证券投资基金|锦江都城福州台江店</v>
      </c>
      <c r="S1622">
        <f>IF($A1622="",0,IF(COUNTIF($R$2:$R1622,$R1622)=1,1,0))</f>
        <v>1</v>
      </c>
      <c r="T1622">
        <f t="shared" si="384"/>
        <v>1621</v>
      </c>
      <c r="U1622" t="str">
        <f>IF($A1622="","",IF($A1622=经营数据!$B$3,COUNTIFS($S$2:$S$3000,1,$A$2:$A$3000,$A1622,$T$2:$T$3000,"&lt;"&amp;$T1622)+1,""))</f>
        <v/>
      </c>
      <c r="V1622" t="str">
        <f t="shared" si="385"/>
        <v>锦江都城福州台江店|服务量</v>
      </c>
      <c r="W1622">
        <f t="shared" si="386"/>
        <v>1621</v>
      </c>
      <c r="X1622" t="str">
        <f t="shared" si="387"/>
        <v>锦江都城福州台江店|平均房价</v>
      </c>
      <c r="Y1622">
        <f t="shared" si="388"/>
        <v>1621</v>
      </c>
      <c r="Z1622">
        <f>IF($A1622="",0,IF(AND($M1622=1,$A1622=经营数据!$B$3,$J1622=经营数据!$BA$5,OR($I1622=经营数据!$BA$4,COUNTIF(经营数据!$AA$9:$AA$38,$I1622)&gt;0)),1,0))</f>
        <v>0</v>
      </c>
      <c r="AA1622" t="str">
        <f t="shared" si="389"/>
        <v/>
      </c>
      <c r="AB1622" t="str">
        <f t="shared" si="390"/>
        <v/>
      </c>
      <c r="AC1622">
        <f>IF($A1622="",0,IF(COUNTIF($A$2:$A1622,$A1622)=1,1,0))</f>
        <v>0</v>
      </c>
      <c r="AD1622">
        <f t="shared" si="391"/>
        <v>18</v>
      </c>
      <c r="AE1622" t="str">
        <f t="shared" si="392"/>
        <v>锦江都城福州台江店|平均房价（元/间）</v>
      </c>
    </row>
    <row r="1623" spans="1:31" x14ac:dyDescent="0.4">
      <c r="A1623" t="str">
        <f>IF(原始经营数据!$D1624="","",原始经营数据!$D1624)</f>
        <v>华安锦江封闭式商业不动产证券投资基金</v>
      </c>
      <c r="B1623" t="str">
        <f>IF(原始经营数据!$D1624="","",T(原始经营数据!$E1624))</f>
        <v>锦江都城福州台江店</v>
      </c>
      <c r="C1623" t="str">
        <f>IF(原始经营数据!$D1624="","",原始经营数据!$F1624)</f>
        <v>2022</v>
      </c>
      <c r="D1623" t="str">
        <f>IF(原始经营数据!$D1624="","",原始经营数据!$H1624)</f>
        <v>平均入住率</v>
      </c>
      <c r="E1623">
        <f>IF(原始经营数据!$D1624="","",原始经营数据!$I1624)</f>
        <v>65.39</v>
      </c>
      <c r="F1623" t="str">
        <f>IF(原始经营数据!$D1624="","",T(原始经营数据!$J1624))</f>
        <v>%</v>
      </c>
      <c r="G1623" t="str">
        <f>IF(原始经营数据!$D1624="","",T(原始经营数据!$K1624))</f>
        <v/>
      </c>
      <c r="H1623" t="str">
        <f>IF(原始经营数据!$D1624="","",原始经营数据!$G1624)</f>
        <v>服务量</v>
      </c>
      <c r="I1623" t="str">
        <f>IF($A1623="","",IF($B1623&lt;&gt;"",$B1623,IF(COUNTIFS(原始经营数据!$D$3:$D$3001,$A1623,原始经营数据!$E$3:$E$3001,"",原始经营数据!$F$3:$F$3001,$C1623,原始经营数据!$H$3:$H$3001,$D1623,原始经营数据!$K$3:$K$3001,$G1623)&gt;1,"基金整体·来源"&amp;原始经营数据!$A1624,"基金整体")))</f>
        <v>锦江都城福州台江店</v>
      </c>
      <c r="J1623" t="str">
        <f t="shared" si="378"/>
        <v>年度</v>
      </c>
      <c r="K1623" t="str">
        <f t="shared" si="379"/>
        <v>平均入住率（%）</v>
      </c>
      <c r="L1623" t="str">
        <f t="shared" si="380"/>
        <v>锦江都城福州台江店|平均入住率（%）|年度</v>
      </c>
      <c r="M1623">
        <f>IF($A1623="",0,IF(COUNTIF($L$2:$L1623,$L1623)=1,1,0))</f>
        <v>1</v>
      </c>
      <c r="N1623">
        <f t="shared" si="381"/>
        <v>20220</v>
      </c>
      <c r="O1623" t="str">
        <f t="shared" si="382"/>
        <v>华安锦江封闭式商业不动产证券投资基金|2022|年度</v>
      </c>
      <c r="P1623">
        <f>IF($A1623="",0,IF(COUNTIF($O$2:$O1623,$O1623)=1,1,0))</f>
        <v>0</v>
      </c>
      <c r="Q1623" t="str">
        <f>IF(AND($P1623=1,$A1623=经营数据!$B$3,$J1623=经营数据!$BA$5),COUNTIFS($P$2:$P$3000,1,$A$2:$A$3000,$A1623,$J$2:$J$3000,$J1623,$N$2:$N$3000,"&lt;"&amp;$N1623)+1,"")</f>
        <v/>
      </c>
      <c r="R1623" t="str">
        <f t="shared" si="383"/>
        <v>华安锦江封闭式商业不动产证券投资基金|锦江都城福州台江店</v>
      </c>
      <c r="S1623">
        <f>IF($A1623="",0,IF(COUNTIF($R$2:$R1623,$R1623)=1,1,0))</f>
        <v>0</v>
      </c>
      <c r="T1623">
        <f t="shared" si="384"/>
        <v>1621</v>
      </c>
      <c r="U1623" t="str">
        <f>IF($A1623="","",IF($A1623=经营数据!$B$3,COUNTIFS($S$2:$S$3000,1,$A$2:$A$3000,$A1623,$T$2:$T$3000,"&lt;"&amp;$T1623)+1,""))</f>
        <v/>
      </c>
      <c r="V1623" t="str">
        <f t="shared" si="385"/>
        <v>锦江都城福州台江店|服务量</v>
      </c>
      <c r="W1623">
        <f t="shared" si="386"/>
        <v>1621</v>
      </c>
      <c r="X1623" t="str">
        <f t="shared" si="387"/>
        <v>锦江都城福州台江店|平均入住率</v>
      </c>
      <c r="Y1623">
        <f t="shared" si="388"/>
        <v>1622</v>
      </c>
      <c r="Z1623">
        <f>IF($A1623="",0,IF(AND($M1623=1,$A1623=经营数据!$B$3,$J1623=经营数据!$BA$5,OR($I1623=经营数据!$BA$4,COUNTIF(经营数据!$AA$9:$AA$38,$I1623)&gt;0)),1,0))</f>
        <v>0</v>
      </c>
      <c r="AA1623" t="str">
        <f t="shared" si="389"/>
        <v/>
      </c>
      <c r="AB1623" t="str">
        <f t="shared" si="390"/>
        <v/>
      </c>
      <c r="AC1623">
        <f>IF($A1623="",0,IF(COUNTIF($A$2:$A1623,$A1623)=1,1,0))</f>
        <v>0</v>
      </c>
      <c r="AD1623">
        <f t="shared" si="391"/>
        <v>18</v>
      </c>
      <c r="AE1623" t="str">
        <f t="shared" si="392"/>
        <v>锦江都城福州台江店|平均入住率（%）</v>
      </c>
    </row>
    <row r="1624" spans="1:31" x14ac:dyDescent="0.4">
      <c r="A1624" t="str">
        <f>IF(原始经营数据!$D1625="","",原始经营数据!$D1625)</f>
        <v>华安锦江封闭式商业不动产证券投资基金</v>
      </c>
      <c r="B1624" t="str">
        <f>IF(原始经营数据!$D1625="","",T(原始经营数据!$E1625))</f>
        <v>锦江都城福州台江店</v>
      </c>
      <c r="C1624" t="str">
        <f>IF(原始经营数据!$D1625="","",原始经营数据!$F1625)</f>
        <v>2022</v>
      </c>
      <c r="D1624" t="str">
        <f>IF(原始经营数据!$D1625="","",原始经营数据!$H1625)</f>
        <v>可供房数</v>
      </c>
      <c r="E1624">
        <f>IF(原始经营数据!$D1625="","",原始经营数据!$I1625)</f>
        <v>40140</v>
      </c>
      <c r="F1624" t="str">
        <f>IF(原始经营数据!$D1625="","",T(原始经营数据!$J1625))</f>
        <v>间</v>
      </c>
      <c r="G1624" t="str">
        <f>IF(原始经营数据!$D1625="","",T(原始经营数据!$K1625))</f>
        <v/>
      </c>
      <c r="H1624" t="str">
        <f>IF(原始经营数据!$D1625="","",原始经营数据!$G1625)</f>
        <v>服务量</v>
      </c>
      <c r="I1624" t="str">
        <f>IF($A1624="","",IF($B1624&lt;&gt;"",$B1624,IF(COUNTIFS(原始经营数据!$D$3:$D$3001,$A1624,原始经营数据!$E$3:$E$3001,"",原始经营数据!$F$3:$F$3001,$C1624,原始经营数据!$H$3:$H$3001,$D1624,原始经营数据!$K$3:$K$3001,$G1624)&gt;1,"基金整体·来源"&amp;原始经营数据!$A1625,"基金整体")))</f>
        <v>锦江都城福州台江店</v>
      </c>
      <c r="J1624" t="str">
        <f t="shared" si="378"/>
        <v>年度</v>
      </c>
      <c r="K1624" t="str">
        <f t="shared" si="379"/>
        <v>可供房数（间）</v>
      </c>
      <c r="L1624" t="str">
        <f t="shared" si="380"/>
        <v>锦江都城福州台江店|可供房数（间）|年度</v>
      </c>
      <c r="M1624">
        <f>IF($A1624="",0,IF(COUNTIF($L$2:$L1624,$L1624)=1,1,0))</f>
        <v>1</v>
      </c>
      <c r="N1624">
        <f t="shared" si="381"/>
        <v>20220</v>
      </c>
      <c r="O1624" t="str">
        <f t="shared" si="382"/>
        <v>华安锦江封闭式商业不动产证券投资基金|2022|年度</v>
      </c>
      <c r="P1624">
        <f>IF($A1624="",0,IF(COUNTIF($O$2:$O1624,$O1624)=1,1,0))</f>
        <v>0</v>
      </c>
      <c r="Q1624" t="str">
        <f>IF(AND($P1624=1,$A1624=经营数据!$B$3,$J1624=经营数据!$BA$5),COUNTIFS($P$2:$P$3000,1,$A$2:$A$3000,$A1624,$J$2:$J$3000,$J1624,$N$2:$N$3000,"&lt;"&amp;$N1624)+1,"")</f>
        <v/>
      </c>
      <c r="R1624" t="str">
        <f t="shared" si="383"/>
        <v>华安锦江封闭式商业不动产证券投资基金|锦江都城福州台江店</v>
      </c>
      <c r="S1624">
        <f>IF($A1624="",0,IF(COUNTIF($R$2:$R1624,$R1624)=1,1,0))</f>
        <v>0</v>
      </c>
      <c r="T1624">
        <f t="shared" si="384"/>
        <v>1621</v>
      </c>
      <c r="U1624" t="str">
        <f>IF($A1624="","",IF($A1624=经营数据!$B$3,COUNTIFS($S$2:$S$3000,1,$A$2:$A$3000,$A1624,$T$2:$T$3000,"&lt;"&amp;$T1624)+1,""))</f>
        <v/>
      </c>
      <c r="V1624" t="str">
        <f t="shared" si="385"/>
        <v>锦江都城福州台江店|服务量</v>
      </c>
      <c r="W1624">
        <f t="shared" si="386"/>
        <v>1621</v>
      </c>
      <c r="X1624" t="str">
        <f t="shared" si="387"/>
        <v>锦江都城福州台江店|可供房数</v>
      </c>
      <c r="Y1624">
        <f t="shared" si="388"/>
        <v>1623</v>
      </c>
      <c r="Z1624">
        <f>IF($A1624="",0,IF(AND($M1624=1,$A1624=经营数据!$B$3,$J1624=经营数据!$BA$5,OR($I1624=经营数据!$BA$4,COUNTIF(经营数据!$AA$9:$AA$38,$I1624)&gt;0)),1,0))</f>
        <v>0</v>
      </c>
      <c r="AA1624" t="str">
        <f t="shared" si="389"/>
        <v/>
      </c>
      <c r="AB1624" t="str">
        <f t="shared" si="390"/>
        <v/>
      </c>
      <c r="AC1624">
        <f>IF($A1624="",0,IF(COUNTIF($A$2:$A1624,$A1624)=1,1,0))</f>
        <v>0</v>
      </c>
      <c r="AD1624">
        <f t="shared" si="391"/>
        <v>18</v>
      </c>
      <c r="AE1624" t="str">
        <f t="shared" si="392"/>
        <v>锦江都城福州台江店|可供房数（间）</v>
      </c>
    </row>
    <row r="1625" spans="1:31" x14ac:dyDescent="0.4">
      <c r="A1625" t="str">
        <f>IF(原始经营数据!$D1626="","",原始经营数据!$D1626)</f>
        <v>华安锦江封闭式商业不动产证券投资基金</v>
      </c>
      <c r="B1625" t="str">
        <f>IF(原始经营数据!$D1626="","",T(原始经营数据!$E1626))</f>
        <v>锦江都城福州台江店</v>
      </c>
      <c r="C1625" t="str">
        <f>IF(原始经营数据!$D1626="","",原始经营数据!$F1626)</f>
        <v>2023</v>
      </c>
      <c r="D1625" t="str">
        <f>IF(原始经营数据!$D1626="","",原始经营数据!$H1626)</f>
        <v>平均房价</v>
      </c>
      <c r="E1625">
        <f>IF(原始经营数据!$D1626="","",原始经营数据!$I1626)</f>
        <v>347.51</v>
      </c>
      <c r="F1625" t="str">
        <f>IF(原始经营数据!$D1626="","",T(原始经营数据!$J1626))</f>
        <v>元/间</v>
      </c>
      <c r="G1625" t="str">
        <f>IF(原始经营数据!$D1626="","",T(原始经营数据!$K1626))</f>
        <v/>
      </c>
      <c r="H1625" t="str">
        <f>IF(原始经营数据!$D1626="","",原始经营数据!$G1626)</f>
        <v>服务量</v>
      </c>
      <c r="I1625" t="str">
        <f>IF($A1625="","",IF($B1625&lt;&gt;"",$B1625,IF(COUNTIFS(原始经营数据!$D$3:$D$3001,$A1625,原始经营数据!$E$3:$E$3001,"",原始经营数据!$F$3:$F$3001,$C1625,原始经营数据!$H$3:$H$3001,$D1625,原始经营数据!$K$3:$K$3001,$G1625)&gt;1,"基金整体·来源"&amp;原始经营数据!$A1626,"基金整体")))</f>
        <v>锦江都城福州台江店</v>
      </c>
      <c r="J1625" t="str">
        <f t="shared" si="378"/>
        <v>年度</v>
      </c>
      <c r="K1625" t="str">
        <f t="shared" si="379"/>
        <v>平均房价（元/间）</v>
      </c>
      <c r="L1625" t="str">
        <f t="shared" si="380"/>
        <v>锦江都城福州台江店|平均房价（元/间）|年度</v>
      </c>
      <c r="M1625">
        <f>IF($A1625="",0,IF(COUNTIF($L$2:$L1625,$L1625)=1,1,0))</f>
        <v>0</v>
      </c>
      <c r="N1625">
        <f t="shared" si="381"/>
        <v>20230</v>
      </c>
      <c r="O1625" t="str">
        <f t="shared" si="382"/>
        <v>华安锦江封闭式商业不动产证券投资基金|2023|年度</v>
      </c>
      <c r="P1625">
        <f>IF($A1625="",0,IF(COUNTIF($O$2:$O1625,$O1625)=1,1,0))</f>
        <v>0</v>
      </c>
      <c r="Q1625" t="str">
        <f>IF(AND($P1625=1,$A1625=经营数据!$B$3,$J1625=经营数据!$BA$5),COUNTIFS($P$2:$P$3000,1,$A$2:$A$3000,$A1625,$J$2:$J$3000,$J1625,$N$2:$N$3000,"&lt;"&amp;$N1625)+1,"")</f>
        <v/>
      </c>
      <c r="R1625" t="str">
        <f t="shared" si="383"/>
        <v>华安锦江封闭式商业不动产证券投资基金|锦江都城福州台江店</v>
      </c>
      <c r="S1625">
        <f>IF($A1625="",0,IF(COUNTIF($R$2:$R1625,$R1625)=1,1,0))</f>
        <v>0</v>
      </c>
      <c r="T1625">
        <f t="shared" si="384"/>
        <v>1621</v>
      </c>
      <c r="U1625" t="str">
        <f>IF($A1625="","",IF($A1625=经营数据!$B$3,COUNTIFS($S$2:$S$3000,1,$A$2:$A$3000,$A1625,$T$2:$T$3000,"&lt;"&amp;$T1625)+1,""))</f>
        <v/>
      </c>
      <c r="V1625" t="str">
        <f t="shared" si="385"/>
        <v>锦江都城福州台江店|服务量</v>
      </c>
      <c r="W1625">
        <f t="shared" si="386"/>
        <v>1621</v>
      </c>
      <c r="X1625" t="str">
        <f t="shared" si="387"/>
        <v>锦江都城福州台江店|平均房价</v>
      </c>
      <c r="Y1625">
        <f t="shared" si="388"/>
        <v>1621</v>
      </c>
      <c r="Z1625">
        <f>IF($A1625="",0,IF(AND($M1625=1,$A1625=经营数据!$B$3,$J1625=经营数据!$BA$5,OR($I1625=经营数据!$BA$4,COUNTIF(经营数据!$AA$9:$AA$38,$I1625)&gt;0)),1,0))</f>
        <v>0</v>
      </c>
      <c r="AA1625" t="str">
        <f t="shared" si="389"/>
        <v/>
      </c>
      <c r="AB1625" t="str">
        <f t="shared" si="390"/>
        <v/>
      </c>
      <c r="AC1625">
        <f>IF($A1625="",0,IF(COUNTIF($A$2:$A1625,$A1625)=1,1,0))</f>
        <v>0</v>
      </c>
      <c r="AD1625">
        <f t="shared" si="391"/>
        <v>18</v>
      </c>
      <c r="AE1625" t="str">
        <f t="shared" si="392"/>
        <v>锦江都城福州台江店|平均房价（元/间）</v>
      </c>
    </row>
    <row r="1626" spans="1:31" x14ac:dyDescent="0.4">
      <c r="A1626" t="str">
        <f>IF(原始经营数据!$D1627="","",原始经营数据!$D1627)</f>
        <v>华安锦江封闭式商业不动产证券投资基金</v>
      </c>
      <c r="B1626" t="str">
        <f>IF(原始经营数据!$D1627="","",T(原始经营数据!$E1627))</f>
        <v>锦江都城福州台江店</v>
      </c>
      <c r="C1626" t="str">
        <f>IF(原始经营数据!$D1627="","",原始经营数据!$F1627)</f>
        <v>2023</v>
      </c>
      <c r="D1626" t="str">
        <f>IF(原始经营数据!$D1627="","",原始经营数据!$H1627)</f>
        <v>平均入住率</v>
      </c>
      <c r="E1626">
        <f>IF(原始经营数据!$D1627="","",原始经营数据!$I1627)</f>
        <v>70.680000000000007</v>
      </c>
      <c r="F1626" t="str">
        <f>IF(原始经营数据!$D1627="","",T(原始经营数据!$J1627))</f>
        <v>%</v>
      </c>
      <c r="G1626" t="str">
        <f>IF(原始经营数据!$D1627="","",T(原始经营数据!$K1627))</f>
        <v/>
      </c>
      <c r="H1626" t="str">
        <f>IF(原始经营数据!$D1627="","",原始经营数据!$G1627)</f>
        <v>服务量</v>
      </c>
      <c r="I1626" t="str">
        <f>IF($A1626="","",IF($B1626&lt;&gt;"",$B1626,IF(COUNTIFS(原始经营数据!$D$3:$D$3001,$A1626,原始经营数据!$E$3:$E$3001,"",原始经营数据!$F$3:$F$3001,$C1626,原始经营数据!$H$3:$H$3001,$D1626,原始经营数据!$K$3:$K$3001,$G1626)&gt;1,"基金整体·来源"&amp;原始经营数据!$A1627,"基金整体")))</f>
        <v>锦江都城福州台江店</v>
      </c>
      <c r="J1626" t="str">
        <f t="shared" si="378"/>
        <v>年度</v>
      </c>
      <c r="K1626" t="str">
        <f t="shared" si="379"/>
        <v>平均入住率（%）</v>
      </c>
      <c r="L1626" t="str">
        <f t="shared" si="380"/>
        <v>锦江都城福州台江店|平均入住率（%）|年度</v>
      </c>
      <c r="M1626">
        <f>IF($A1626="",0,IF(COUNTIF($L$2:$L1626,$L1626)=1,1,0))</f>
        <v>0</v>
      </c>
      <c r="N1626">
        <f t="shared" si="381"/>
        <v>20230</v>
      </c>
      <c r="O1626" t="str">
        <f t="shared" si="382"/>
        <v>华安锦江封闭式商业不动产证券投资基金|2023|年度</v>
      </c>
      <c r="P1626">
        <f>IF($A1626="",0,IF(COUNTIF($O$2:$O1626,$O1626)=1,1,0))</f>
        <v>0</v>
      </c>
      <c r="Q1626" t="str">
        <f>IF(AND($P1626=1,$A1626=经营数据!$B$3,$J1626=经营数据!$BA$5),COUNTIFS($P$2:$P$3000,1,$A$2:$A$3000,$A1626,$J$2:$J$3000,$J1626,$N$2:$N$3000,"&lt;"&amp;$N1626)+1,"")</f>
        <v/>
      </c>
      <c r="R1626" t="str">
        <f t="shared" si="383"/>
        <v>华安锦江封闭式商业不动产证券投资基金|锦江都城福州台江店</v>
      </c>
      <c r="S1626">
        <f>IF($A1626="",0,IF(COUNTIF($R$2:$R1626,$R1626)=1,1,0))</f>
        <v>0</v>
      </c>
      <c r="T1626">
        <f t="shared" si="384"/>
        <v>1621</v>
      </c>
      <c r="U1626" t="str">
        <f>IF($A1626="","",IF($A1626=经营数据!$B$3,COUNTIFS($S$2:$S$3000,1,$A$2:$A$3000,$A1626,$T$2:$T$3000,"&lt;"&amp;$T1626)+1,""))</f>
        <v/>
      </c>
      <c r="V1626" t="str">
        <f t="shared" si="385"/>
        <v>锦江都城福州台江店|服务量</v>
      </c>
      <c r="W1626">
        <f t="shared" si="386"/>
        <v>1621</v>
      </c>
      <c r="X1626" t="str">
        <f t="shared" si="387"/>
        <v>锦江都城福州台江店|平均入住率</v>
      </c>
      <c r="Y1626">
        <f t="shared" si="388"/>
        <v>1622</v>
      </c>
      <c r="Z1626">
        <f>IF($A1626="",0,IF(AND($M1626=1,$A1626=经营数据!$B$3,$J1626=经营数据!$BA$5,OR($I1626=经营数据!$BA$4,COUNTIF(经营数据!$AA$9:$AA$38,$I1626)&gt;0)),1,0))</f>
        <v>0</v>
      </c>
      <c r="AA1626" t="str">
        <f t="shared" si="389"/>
        <v/>
      </c>
      <c r="AB1626" t="str">
        <f t="shared" si="390"/>
        <v/>
      </c>
      <c r="AC1626">
        <f>IF($A1626="",0,IF(COUNTIF($A$2:$A1626,$A1626)=1,1,0))</f>
        <v>0</v>
      </c>
      <c r="AD1626">
        <f t="shared" si="391"/>
        <v>18</v>
      </c>
      <c r="AE1626" t="str">
        <f t="shared" si="392"/>
        <v>锦江都城福州台江店|平均入住率（%）</v>
      </c>
    </row>
    <row r="1627" spans="1:31" x14ac:dyDescent="0.4">
      <c r="A1627" t="str">
        <f>IF(原始经营数据!$D1628="","",原始经营数据!$D1628)</f>
        <v>华安锦江封闭式商业不动产证券投资基金</v>
      </c>
      <c r="B1627" t="str">
        <f>IF(原始经营数据!$D1628="","",T(原始经营数据!$E1628))</f>
        <v>锦江都城福州台江店</v>
      </c>
      <c r="C1627" t="str">
        <f>IF(原始经营数据!$D1628="","",原始经营数据!$F1628)</f>
        <v>2023</v>
      </c>
      <c r="D1627" t="str">
        <f>IF(原始经营数据!$D1628="","",原始经营数据!$H1628)</f>
        <v>可供房数</v>
      </c>
      <c r="E1627">
        <f>IF(原始经营数据!$D1628="","",原始经营数据!$I1628)</f>
        <v>8891</v>
      </c>
      <c r="F1627" t="str">
        <f>IF(原始经营数据!$D1628="","",T(原始经营数据!$J1628))</f>
        <v>间</v>
      </c>
      <c r="G1627" t="str">
        <f>IF(原始经营数据!$D1628="","",T(原始经营数据!$K1628))</f>
        <v/>
      </c>
      <c r="H1627" t="str">
        <f>IF(原始经营数据!$D1628="","",原始经营数据!$G1628)</f>
        <v>服务量</v>
      </c>
      <c r="I1627" t="str">
        <f>IF($A1627="","",IF($B1627&lt;&gt;"",$B1627,IF(COUNTIFS(原始经营数据!$D$3:$D$3001,$A1627,原始经营数据!$E$3:$E$3001,"",原始经营数据!$F$3:$F$3001,$C1627,原始经营数据!$H$3:$H$3001,$D1627,原始经营数据!$K$3:$K$3001,$G1627)&gt;1,"基金整体·来源"&amp;原始经营数据!$A1628,"基金整体")))</f>
        <v>锦江都城福州台江店</v>
      </c>
      <c r="J1627" t="str">
        <f t="shared" si="378"/>
        <v>年度</v>
      </c>
      <c r="K1627" t="str">
        <f t="shared" si="379"/>
        <v>可供房数（间）</v>
      </c>
      <c r="L1627" t="str">
        <f t="shared" si="380"/>
        <v>锦江都城福州台江店|可供房数（间）|年度</v>
      </c>
      <c r="M1627">
        <f>IF($A1627="",0,IF(COUNTIF($L$2:$L1627,$L1627)=1,1,0))</f>
        <v>0</v>
      </c>
      <c r="N1627">
        <f t="shared" si="381"/>
        <v>20230</v>
      </c>
      <c r="O1627" t="str">
        <f t="shared" si="382"/>
        <v>华安锦江封闭式商业不动产证券投资基金|2023|年度</v>
      </c>
      <c r="P1627">
        <f>IF($A1627="",0,IF(COUNTIF($O$2:$O1627,$O1627)=1,1,0))</f>
        <v>0</v>
      </c>
      <c r="Q1627" t="str">
        <f>IF(AND($P1627=1,$A1627=经营数据!$B$3,$J1627=经营数据!$BA$5),COUNTIFS($P$2:$P$3000,1,$A$2:$A$3000,$A1627,$J$2:$J$3000,$J1627,$N$2:$N$3000,"&lt;"&amp;$N1627)+1,"")</f>
        <v/>
      </c>
      <c r="R1627" t="str">
        <f t="shared" si="383"/>
        <v>华安锦江封闭式商业不动产证券投资基金|锦江都城福州台江店</v>
      </c>
      <c r="S1627">
        <f>IF($A1627="",0,IF(COUNTIF($R$2:$R1627,$R1627)=1,1,0))</f>
        <v>0</v>
      </c>
      <c r="T1627">
        <f t="shared" si="384"/>
        <v>1621</v>
      </c>
      <c r="U1627" t="str">
        <f>IF($A1627="","",IF($A1627=经营数据!$B$3,COUNTIFS($S$2:$S$3000,1,$A$2:$A$3000,$A1627,$T$2:$T$3000,"&lt;"&amp;$T1627)+1,""))</f>
        <v/>
      </c>
      <c r="V1627" t="str">
        <f t="shared" si="385"/>
        <v>锦江都城福州台江店|服务量</v>
      </c>
      <c r="W1627">
        <f t="shared" si="386"/>
        <v>1621</v>
      </c>
      <c r="X1627" t="str">
        <f t="shared" si="387"/>
        <v>锦江都城福州台江店|可供房数</v>
      </c>
      <c r="Y1627">
        <f t="shared" si="388"/>
        <v>1623</v>
      </c>
      <c r="Z1627">
        <f>IF($A1627="",0,IF(AND($M1627=1,$A1627=经营数据!$B$3,$J1627=经营数据!$BA$5,OR($I1627=经营数据!$BA$4,COUNTIF(经营数据!$AA$9:$AA$38,$I1627)&gt;0)),1,0))</f>
        <v>0</v>
      </c>
      <c r="AA1627" t="str">
        <f t="shared" si="389"/>
        <v/>
      </c>
      <c r="AB1627" t="str">
        <f t="shared" si="390"/>
        <v/>
      </c>
      <c r="AC1627">
        <f>IF($A1627="",0,IF(COUNTIF($A$2:$A1627,$A1627)=1,1,0))</f>
        <v>0</v>
      </c>
      <c r="AD1627">
        <f t="shared" si="391"/>
        <v>18</v>
      </c>
      <c r="AE1627" t="str">
        <f t="shared" si="392"/>
        <v>锦江都城福州台江店|可供房数（间）</v>
      </c>
    </row>
    <row r="1628" spans="1:31" x14ac:dyDescent="0.4">
      <c r="A1628" t="str">
        <f>IF(原始经营数据!$D1629="","",原始经营数据!$D1629)</f>
        <v>华安锦江封闭式商业不动产证券投资基金</v>
      </c>
      <c r="B1628" t="str">
        <f>IF(原始经营数据!$D1629="","",T(原始经营数据!$E1629))</f>
        <v>锦江都城福州台江店</v>
      </c>
      <c r="C1628" t="str">
        <f>IF(原始经营数据!$D1629="","",原始经营数据!$F1629)</f>
        <v>2024</v>
      </c>
      <c r="D1628" t="str">
        <f>IF(原始经营数据!$D1629="","",原始经营数据!$H1629)</f>
        <v>平均房价</v>
      </c>
      <c r="E1628">
        <f>IF(原始经营数据!$D1629="","",原始经营数据!$I1629)</f>
        <v>346.48</v>
      </c>
      <c r="F1628" t="str">
        <f>IF(原始经营数据!$D1629="","",T(原始经营数据!$J1629))</f>
        <v>元/间</v>
      </c>
      <c r="G1628" t="str">
        <f>IF(原始经营数据!$D1629="","",T(原始经营数据!$K1629))</f>
        <v/>
      </c>
      <c r="H1628" t="str">
        <f>IF(原始经营数据!$D1629="","",原始经营数据!$G1629)</f>
        <v>服务量</v>
      </c>
      <c r="I1628" t="str">
        <f>IF($A1628="","",IF($B1628&lt;&gt;"",$B1628,IF(COUNTIFS(原始经营数据!$D$3:$D$3001,$A1628,原始经营数据!$E$3:$E$3001,"",原始经营数据!$F$3:$F$3001,$C1628,原始经营数据!$H$3:$H$3001,$D1628,原始经营数据!$K$3:$K$3001,$G1628)&gt;1,"基金整体·来源"&amp;原始经营数据!$A1629,"基金整体")))</f>
        <v>锦江都城福州台江店</v>
      </c>
      <c r="J1628" t="str">
        <f t="shared" si="378"/>
        <v>年度</v>
      </c>
      <c r="K1628" t="str">
        <f t="shared" si="379"/>
        <v>平均房价（元/间）</v>
      </c>
      <c r="L1628" t="str">
        <f t="shared" si="380"/>
        <v>锦江都城福州台江店|平均房价（元/间）|年度</v>
      </c>
      <c r="M1628">
        <f>IF($A1628="",0,IF(COUNTIF($L$2:$L1628,$L1628)=1,1,0))</f>
        <v>0</v>
      </c>
      <c r="N1628">
        <f t="shared" si="381"/>
        <v>20240</v>
      </c>
      <c r="O1628" t="str">
        <f t="shared" si="382"/>
        <v>华安锦江封闭式商业不动产证券投资基金|2024|年度</v>
      </c>
      <c r="P1628">
        <f>IF($A1628="",0,IF(COUNTIF($O$2:$O1628,$O1628)=1,1,0))</f>
        <v>0</v>
      </c>
      <c r="Q1628" t="str">
        <f>IF(AND($P1628=1,$A1628=经营数据!$B$3,$J1628=经营数据!$BA$5),COUNTIFS($P$2:$P$3000,1,$A$2:$A$3000,$A1628,$J$2:$J$3000,$J1628,$N$2:$N$3000,"&lt;"&amp;$N1628)+1,"")</f>
        <v/>
      </c>
      <c r="R1628" t="str">
        <f t="shared" si="383"/>
        <v>华安锦江封闭式商业不动产证券投资基金|锦江都城福州台江店</v>
      </c>
      <c r="S1628">
        <f>IF($A1628="",0,IF(COUNTIF($R$2:$R1628,$R1628)=1,1,0))</f>
        <v>0</v>
      </c>
      <c r="T1628">
        <f t="shared" si="384"/>
        <v>1621</v>
      </c>
      <c r="U1628" t="str">
        <f>IF($A1628="","",IF($A1628=经营数据!$B$3,COUNTIFS($S$2:$S$3000,1,$A$2:$A$3000,$A1628,$T$2:$T$3000,"&lt;"&amp;$T1628)+1,""))</f>
        <v/>
      </c>
      <c r="V1628" t="str">
        <f t="shared" si="385"/>
        <v>锦江都城福州台江店|服务量</v>
      </c>
      <c r="W1628">
        <f t="shared" si="386"/>
        <v>1621</v>
      </c>
      <c r="X1628" t="str">
        <f t="shared" si="387"/>
        <v>锦江都城福州台江店|平均房价</v>
      </c>
      <c r="Y1628">
        <f t="shared" si="388"/>
        <v>1621</v>
      </c>
      <c r="Z1628">
        <f>IF($A1628="",0,IF(AND($M1628=1,$A1628=经营数据!$B$3,$J1628=经营数据!$BA$5,OR($I1628=经营数据!$BA$4,COUNTIF(经营数据!$AA$9:$AA$38,$I1628)&gt;0)),1,0))</f>
        <v>0</v>
      </c>
      <c r="AA1628" t="str">
        <f t="shared" si="389"/>
        <v/>
      </c>
      <c r="AB1628" t="str">
        <f t="shared" si="390"/>
        <v/>
      </c>
      <c r="AC1628">
        <f>IF($A1628="",0,IF(COUNTIF($A$2:$A1628,$A1628)=1,1,0))</f>
        <v>0</v>
      </c>
      <c r="AD1628">
        <f t="shared" si="391"/>
        <v>18</v>
      </c>
      <c r="AE1628" t="str">
        <f t="shared" si="392"/>
        <v>锦江都城福州台江店|平均房价（元/间）</v>
      </c>
    </row>
    <row r="1629" spans="1:31" x14ac:dyDescent="0.4">
      <c r="A1629" t="str">
        <f>IF(原始经营数据!$D1630="","",原始经营数据!$D1630)</f>
        <v>华安锦江封闭式商业不动产证券投资基金</v>
      </c>
      <c r="B1629" t="str">
        <f>IF(原始经营数据!$D1630="","",T(原始经营数据!$E1630))</f>
        <v>锦江都城福州台江店</v>
      </c>
      <c r="C1629" t="str">
        <f>IF(原始经营数据!$D1630="","",原始经营数据!$F1630)</f>
        <v>2024</v>
      </c>
      <c r="D1629" t="str">
        <f>IF(原始经营数据!$D1630="","",原始经营数据!$H1630)</f>
        <v>平均入住率</v>
      </c>
      <c r="E1629">
        <f>IF(原始经营数据!$D1630="","",原始经营数据!$I1630)</f>
        <v>62.71</v>
      </c>
      <c r="F1629" t="str">
        <f>IF(原始经营数据!$D1630="","",T(原始经营数据!$J1630))</f>
        <v>%</v>
      </c>
      <c r="G1629" t="str">
        <f>IF(原始经营数据!$D1630="","",T(原始经营数据!$K1630))</f>
        <v/>
      </c>
      <c r="H1629" t="str">
        <f>IF(原始经营数据!$D1630="","",原始经营数据!$G1630)</f>
        <v>服务量</v>
      </c>
      <c r="I1629" t="str">
        <f>IF($A1629="","",IF($B1629&lt;&gt;"",$B1629,IF(COUNTIFS(原始经营数据!$D$3:$D$3001,$A1629,原始经营数据!$E$3:$E$3001,"",原始经营数据!$F$3:$F$3001,$C1629,原始经营数据!$H$3:$H$3001,$D1629,原始经营数据!$K$3:$K$3001,$G1629)&gt;1,"基金整体·来源"&amp;原始经营数据!$A1630,"基金整体")))</f>
        <v>锦江都城福州台江店</v>
      </c>
      <c r="J1629" t="str">
        <f t="shared" si="378"/>
        <v>年度</v>
      </c>
      <c r="K1629" t="str">
        <f t="shared" si="379"/>
        <v>平均入住率（%）</v>
      </c>
      <c r="L1629" t="str">
        <f t="shared" si="380"/>
        <v>锦江都城福州台江店|平均入住率（%）|年度</v>
      </c>
      <c r="M1629">
        <f>IF($A1629="",0,IF(COUNTIF($L$2:$L1629,$L1629)=1,1,0))</f>
        <v>0</v>
      </c>
      <c r="N1629">
        <f t="shared" si="381"/>
        <v>20240</v>
      </c>
      <c r="O1629" t="str">
        <f t="shared" si="382"/>
        <v>华安锦江封闭式商业不动产证券投资基金|2024|年度</v>
      </c>
      <c r="P1629">
        <f>IF($A1629="",0,IF(COUNTIF($O$2:$O1629,$O1629)=1,1,0))</f>
        <v>0</v>
      </c>
      <c r="Q1629" t="str">
        <f>IF(AND($P1629=1,$A1629=经营数据!$B$3,$J1629=经营数据!$BA$5),COUNTIFS($P$2:$P$3000,1,$A$2:$A$3000,$A1629,$J$2:$J$3000,$J1629,$N$2:$N$3000,"&lt;"&amp;$N1629)+1,"")</f>
        <v/>
      </c>
      <c r="R1629" t="str">
        <f t="shared" si="383"/>
        <v>华安锦江封闭式商业不动产证券投资基金|锦江都城福州台江店</v>
      </c>
      <c r="S1629">
        <f>IF($A1629="",0,IF(COUNTIF($R$2:$R1629,$R1629)=1,1,0))</f>
        <v>0</v>
      </c>
      <c r="T1629">
        <f t="shared" si="384"/>
        <v>1621</v>
      </c>
      <c r="U1629" t="str">
        <f>IF($A1629="","",IF($A1629=经营数据!$B$3,COUNTIFS($S$2:$S$3000,1,$A$2:$A$3000,$A1629,$T$2:$T$3000,"&lt;"&amp;$T1629)+1,""))</f>
        <v/>
      </c>
      <c r="V1629" t="str">
        <f t="shared" si="385"/>
        <v>锦江都城福州台江店|服务量</v>
      </c>
      <c r="W1629">
        <f t="shared" si="386"/>
        <v>1621</v>
      </c>
      <c r="X1629" t="str">
        <f t="shared" si="387"/>
        <v>锦江都城福州台江店|平均入住率</v>
      </c>
      <c r="Y1629">
        <f t="shared" si="388"/>
        <v>1622</v>
      </c>
      <c r="Z1629">
        <f>IF($A1629="",0,IF(AND($M1629=1,$A1629=经营数据!$B$3,$J1629=经营数据!$BA$5,OR($I1629=经营数据!$BA$4,COUNTIF(经营数据!$AA$9:$AA$38,$I1629)&gt;0)),1,0))</f>
        <v>0</v>
      </c>
      <c r="AA1629" t="str">
        <f t="shared" si="389"/>
        <v/>
      </c>
      <c r="AB1629" t="str">
        <f t="shared" si="390"/>
        <v/>
      </c>
      <c r="AC1629">
        <f>IF($A1629="",0,IF(COUNTIF($A$2:$A1629,$A1629)=1,1,0))</f>
        <v>0</v>
      </c>
      <c r="AD1629">
        <f t="shared" si="391"/>
        <v>18</v>
      </c>
      <c r="AE1629" t="str">
        <f t="shared" si="392"/>
        <v>锦江都城福州台江店|平均入住率（%）</v>
      </c>
    </row>
    <row r="1630" spans="1:31" x14ac:dyDescent="0.4">
      <c r="A1630" t="str">
        <f>IF(原始经营数据!$D1631="","",原始经营数据!$D1631)</f>
        <v>华安锦江封闭式商业不动产证券投资基金</v>
      </c>
      <c r="B1630" t="str">
        <f>IF(原始经营数据!$D1631="","",T(原始经营数据!$E1631))</f>
        <v>锦江都城福州台江店</v>
      </c>
      <c r="C1630" t="str">
        <f>IF(原始经营数据!$D1631="","",原始经营数据!$F1631)</f>
        <v>2024</v>
      </c>
      <c r="D1630" t="str">
        <f>IF(原始经营数据!$D1631="","",原始经营数据!$H1631)</f>
        <v>可供房数</v>
      </c>
      <c r="E1630">
        <f>IF(原始经营数据!$D1631="","",原始经营数据!$I1631)</f>
        <v>9044</v>
      </c>
      <c r="F1630" t="str">
        <f>IF(原始经营数据!$D1631="","",T(原始经营数据!$J1631))</f>
        <v>间</v>
      </c>
      <c r="G1630" t="str">
        <f>IF(原始经营数据!$D1631="","",T(原始经营数据!$K1631))</f>
        <v/>
      </c>
      <c r="H1630" t="str">
        <f>IF(原始经营数据!$D1631="","",原始经营数据!$G1631)</f>
        <v>服务量</v>
      </c>
      <c r="I1630" t="str">
        <f>IF($A1630="","",IF($B1630&lt;&gt;"",$B1630,IF(COUNTIFS(原始经营数据!$D$3:$D$3001,$A1630,原始经营数据!$E$3:$E$3001,"",原始经营数据!$F$3:$F$3001,$C1630,原始经营数据!$H$3:$H$3001,$D1630,原始经营数据!$K$3:$K$3001,$G1630)&gt;1,"基金整体·来源"&amp;原始经营数据!$A1631,"基金整体")))</f>
        <v>锦江都城福州台江店</v>
      </c>
      <c r="J1630" t="str">
        <f t="shared" si="378"/>
        <v>年度</v>
      </c>
      <c r="K1630" t="str">
        <f t="shared" si="379"/>
        <v>可供房数（间）</v>
      </c>
      <c r="L1630" t="str">
        <f t="shared" si="380"/>
        <v>锦江都城福州台江店|可供房数（间）|年度</v>
      </c>
      <c r="M1630">
        <f>IF($A1630="",0,IF(COUNTIF($L$2:$L1630,$L1630)=1,1,0))</f>
        <v>0</v>
      </c>
      <c r="N1630">
        <f t="shared" si="381"/>
        <v>20240</v>
      </c>
      <c r="O1630" t="str">
        <f t="shared" si="382"/>
        <v>华安锦江封闭式商业不动产证券投资基金|2024|年度</v>
      </c>
      <c r="P1630">
        <f>IF($A1630="",0,IF(COUNTIF($O$2:$O1630,$O1630)=1,1,0))</f>
        <v>0</v>
      </c>
      <c r="Q1630" t="str">
        <f>IF(AND($P1630=1,$A1630=经营数据!$B$3,$J1630=经营数据!$BA$5),COUNTIFS($P$2:$P$3000,1,$A$2:$A$3000,$A1630,$J$2:$J$3000,$J1630,$N$2:$N$3000,"&lt;"&amp;$N1630)+1,"")</f>
        <v/>
      </c>
      <c r="R1630" t="str">
        <f t="shared" si="383"/>
        <v>华安锦江封闭式商业不动产证券投资基金|锦江都城福州台江店</v>
      </c>
      <c r="S1630">
        <f>IF($A1630="",0,IF(COUNTIF($R$2:$R1630,$R1630)=1,1,0))</f>
        <v>0</v>
      </c>
      <c r="T1630">
        <f t="shared" si="384"/>
        <v>1621</v>
      </c>
      <c r="U1630" t="str">
        <f>IF($A1630="","",IF($A1630=经营数据!$B$3,COUNTIFS($S$2:$S$3000,1,$A$2:$A$3000,$A1630,$T$2:$T$3000,"&lt;"&amp;$T1630)+1,""))</f>
        <v/>
      </c>
      <c r="V1630" t="str">
        <f t="shared" si="385"/>
        <v>锦江都城福州台江店|服务量</v>
      </c>
      <c r="W1630">
        <f t="shared" si="386"/>
        <v>1621</v>
      </c>
      <c r="X1630" t="str">
        <f t="shared" si="387"/>
        <v>锦江都城福州台江店|可供房数</v>
      </c>
      <c r="Y1630">
        <f t="shared" si="388"/>
        <v>1623</v>
      </c>
      <c r="Z1630">
        <f>IF($A1630="",0,IF(AND($M1630=1,$A1630=经营数据!$B$3,$J1630=经营数据!$BA$5,OR($I1630=经营数据!$BA$4,COUNTIF(经营数据!$AA$9:$AA$38,$I1630)&gt;0)),1,0))</f>
        <v>0</v>
      </c>
      <c r="AA1630" t="str">
        <f t="shared" si="389"/>
        <v/>
      </c>
      <c r="AB1630" t="str">
        <f t="shared" si="390"/>
        <v/>
      </c>
      <c r="AC1630">
        <f>IF($A1630="",0,IF(COUNTIF($A$2:$A1630,$A1630)=1,1,0))</f>
        <v>0</v>
      </c>
      <c r="AD1630">
        <f t="shared" si="391"/>
        <v>18</v>
      </c>
      <c r="AE1630" t="str">
        <f t="shared" si="392"/>
        <v>锦江都城福州台江店|可供房数（间）</v>
      </c>
    </row>
    <row r="1631" spans="1:31" x14ac:dyDescent="0.4">
      <c r="A1631" t="str">
        <f>IF(原始经营数据!$D1632="","",原始经营数据!$D1632)</f>
        <v>华安锦江封闭式商业不动产证券投资基金</v>
      </c>
      <c r="B1631" t="str">
        <f>IF(原始经营数据!$D1632="","",T(原始经营数据!$E1632))</f>
        <v>锦江都城福州台江店</v>
      </c>
      <c r="C1631" t="str">
        <f>IF(原始经营数据!$D1632="","",原始经营数据!$F1632)</f>
        <v>2025</v>
      </c>
      <c r="D1631" t="str">
        <f>IF(原始经营数据!$D1632="","",原始经营数据!$H1632)</f>
        <v>平均房价</v>
      </c>
      <c r="E1631">
        <f>IF(原始经营数据!$D1632="","",原始经营数据!$I1632)</f>
        <v>333.35</v>
      </c>
      <c r="F1631" t="str">
        <f>IF(原始经营数据!$D1632="","",T(原始经营数据!$J1632))</f>
        <v>元/间</v>
      </c>
      <c r="G1631" t="str">
        <f>IF(原始经营数据!$D1632="","",T(原始经营数据!$K1632))</f>
        <v/>
      </c>
      <c r="H1631" t="str">
        <f>IF(原始经营数据!$D1632="","",原始经营数据!$G1632)</f>
        <v>服务量</v>
      </c>
      <c r="I1631" t="str">
        <f>IF($A1631="","",IF($B1631&lt;&gt;"",$B1631,IF(COUNTIFS(原始经营数据!$D$3:$D$3001,$A1631,原始经营数据!$E$3:$E$3001,"",原始经营数据!$F$3:$F$3001,$C1631,原始经营数据!$H$3:$H$3001,$D1631,原始经营数据!$K$3:$K$3001,$G1631)&gt;1,"基金整体·来源"&amp;原始经营数据!$A1632,"基金整体")))</f>
        <v>锦江都城福州台江店</v>
      </c>
      <c r="J1631" t="str">
        <f t="shared" si="378"/>
        <v>年度</v>
      </c>
      <c r="K1631" t="str">
        <f t="shared" si="379"/>
        <v>平均房价（元/间）</v>
      </c>
      <c r="L1631" t="str">
        <f t="shared" si="380"/>
        <v>锦江都城福州台江店|平均房价（元/间）|年度</v>
      </c>
      <c r="M1631">
        <f>IF($A1631="",0,IF(COUNTIF($L$2:$L1631,$L1631)=1,1,0))</f>
        <v>0</v>
      </c>
      <c r="N1631">
        <f t="shared" si="381"/>
        <v>20250</v>
      </c>
      <c r="O1631" t="str">
        <f t="shared" si="382"/>
        <v>华安锦江封闭式商业不动产证券投资基金|2025|年度</v>
      </c>
      <c r="P1631">
        <f>IF($A1631="",0,IF(COUNTIF($O$2:$O1631,$O1631)=1,1,0))</f>
        <v>0</v>
      </c>
      <c r="Q1631" t="str">
        <f>IF(AND($P1631=1,$A1631=经营数据!$B$3,$J1631=经营数据!$BA$5),COUNTIFS($P$2:$P$3000,1,$A$2:$A$3000,$A1631,$J$2:$J$3000,$J1631,$N$2:$N$3000,"&lt;"&amp;$N1631)+1,"")</f>
        <v/>
      </c>
      <c r="R1631" t="str">
        <f t="shared" si="383"/>
        <v>华安锦江封闭式商业不动产证券投资基金|锦江都城福州台江店</v>
      </c>
      <c r="S1631">
        <f>IF($A1631="",0,IF(COUNTIF($R$2:$R1631,$R1631)=1,1,0))</f>
        <v>0</v>
      </c>
      <c r="T1631">
        <f t="shared" si="384"/>
        <v>1621</v>
      </c>
      <c r="U1631" t="str">
        <f>IF($A1631="","",IF($A1631=经营数据!$B$3,COUNTIFS($S$2:$S$3000,1,$A$2:$A$3000,$A1631,$T$2:$T$3000,"&lt;"&amp;$T1631)+1,""))</f>
        <v/>
      </c>
      <c r="V1631" t="str">
        <f t="shared" si="385"/>
        <v>锦江都城福州台江店|服务量</v>
      </c>
      <c r="W1631">
        <f t="shared" si="386"/>
        <v>1621</v>
      </c>
      <c r="X1631" t="str">
        <f t="shared" si="387"/>
        <v>锦江都城福州台江店|平均房价</v>
      </c>
      <c r="Y1631">
        <f t="shared" si="388"/>
        <v>1621</v>
      </c>
      <c r="Z1631">
        <f>IF($A1631="",0,IF(AND($M1631=1,$A1631=经营数据!$B$3,$J1631=经营数据!$BA$5,OR($I1631=经营数据!$BA$4,COUNTIF(经营数据!$AA$9:$AA$38,$I1631)&gt;0)),1,0))</f>
        <v>0</v>
      </c>
      <c r="AA1631" t="str">
        <f t="shared" si="389"/>
        <v/>
      </c>
      <c r="AB1631" t="str">
        <f t="shared" si="390"/>
        <v/>
      </c>
      <c r="AC1631">
        <f>IF($A1631="",0,IF(COUNTIF($A$2:$A1631,$A1631)=1,1,0))</f>
        <v>0</v>
      </c>
      <c r="AD1631">
        <f t="shared" si="391"/>
        <v>18</v>
      </c>
      <c r="AE1631" t="str">
        <f t="shared" si="392"/>
        <v>锦江都城福州台江店|平均房价（元/间）</v>
      </c>
    </row>
    <row r="1632" spans="1:31" x14ac:dyDescent="0.4">
      <c r="A1632" t="str">
        <f>IF(原始经营数据!$D1633="","",原始经营数据!$D1633)</f>
        <v>华安锦江封闭式商业不动产证券投资基金</v>
      </c>
      <c r="B1632" t="str">
        <f>IF(原始经营数据!$D1633="","",T(原始经营数据!$E1633))</f>
        <v>锦江都城福州台江店</v>
      </c>
      <c r="C1632" t="str">
        <f>IF(原始经营数据!$D1633="","",原始经营数据!$F1633)</f>
        <v>2025</v>
      </c>
      <c r="D1632" t="str">
        <f>IF(原始经营数据!$D1633="","",原始经营数据!$H1633)</f>
        <v>平均入住率</v>
      </c>
      <c r="E1632">
        <f>IF(原始经营数据!$D1633="","",原始经营数据!$I1633)</f>
        <v>58.15</v>
      </c>
      <c r="F1632" t="str">
        <f>IF(原始经营数据!$D1633="","",T(原始经营数据!$J1633))</f>
        <v>%</v>
      </c>
      <c r="G1632" t="str">
        <f>IF(原始经营数据!$D1633="","",T(原始经营数据!$K1633))</f>
        <v/>
      </c>
      <c r="H1632" t="str">
        <f>IF(原始经营数据!$D1633="","",原始经营数据!$G1633)</f>
        <v>服务量</v>
      </c>
      <c r="I1632" t="str">
        <f>IF($A1632="","",IF($B1632&lt;&gt;"",$B1632,IF(COUNTIFS(原始经营数据!$D$3:$D$3001,$A1632,原始经营数据!$E$3:$E$3001,"",原始经营数据!$F$3:$F$3001,$C1632,原始经营数据!$H$3:$H$3001,$D1632,原始经营数据!$K$3:$K$3001,$G1632)&gt;1,"基金整体·来源"&amp;原始经营数据!$A1633,"基金整体")))</f>
        <v>锦江都城福州台江店</v>
      </c>
      <c r="J1632" t="str">
        <f t="shared" si="378"/>
        <v>年度</v>
      </c>
      <c r="K1632" t="str">
        <f t="shared" si="379"/>
        <v>平均入住率（%）</v>
      </c>
      <c r="L1632" t="str">
        <f t="shared" si="380"/>
        <v>锦江都城福州台江店|平均入住率（%）|年度</v>
      </c>
      <c r="M1632">
        <f>IF($A1632="",0,IF(COUNTIF($L$2:$L1632,$L1632)=1,1,0))</f>
        <v>0</v>
      </c>
      <c r="N1632">
        <f t="shared" si="381"/>
        <v>20250</v>
      </c>
      <c r="O1632" t="str">
        <f t="shared" si="382"/>
        <v>华安锦江封闭式商业不动产证券投资基金|2025|年度</v>
      </c>
      <c r="P1632">
        <f>IF($A1632="",0,IF(COUNTIF($O$2:$O1632,$O1632)=1,1,0))</f>
        <v>0</v>
      </c>
      <c r="Q1632" t="str">
        <f>IF(AND($P1632=1,$A1632=经营数据!$B$3,$J1632=经营数据!$BA$5),COUNTIFS($P$2:$P$3000,1,$A$2:$A$3000,$A1632,$J$2:$J$3000,$J1632,$N$2:$N$3000,"&lt;"&amp;$N1632)+1,"")</f>
        <v/>
      </c>
      <c r="R1632" t="str">
        <f t="shared" si="383"/>
        <v>华安锦江封闭式商业不动产证券投资基金|锦江都城福州台江店</v>
      </c>
      <c r="S1632">
        <f>IF($A1632="",0,IF(COUNTIF($R$2:$R1632,$R1632)=1,1,0))</f>
        <v>0</v>
      </c>
      <c r="T1632">
        <f t="shared" si="384"/>
        <v>1621</v>
      </c>
      <c r="U1632" t="str">
        <f>IF($A1632="","",IF($A1632=经营数据!$B$3,COUNTIFS($S$2:$S$3000,1,$A$2:$A$3000,$A1632,$T$2:$T$3000,"&lt;"&amp;$T1632)+1,""))</f>
        <v/>
      </c>
      <c r="V1632" t="str">
        <f t="shared" si="385"/>
        <v>锦江都城福州台江店|服务量</v>
      </c>
      <c r="W1632">
        <f t="shared" si="386"/>
        <v>1621</v>
      </c>
      <c r="X1632" t="str">
        <f t="shared" si="387"/>
        <v>锦江都城福州台江店|平均入住率</v>
      </c>
      <c r="Y1632">
        <f t="shared" si="388"/>
        <v>1622</v>
      </c>
      <c r="Z1632">
        <f>IF($A1632="",0,IF(AND($M1632=1,$A1632=经营数据!$B$3,$J1632=经营数据!$BA$5,OR($I1632=经营数据!$BA$4,COUNTIF(经营数据!$AA$9:$AA$38,$I1632)&gt;0)),1,0))</f>
        <v>0</v>
      </c>
      <c r="AA1632" t="str">
        <f t="shared" si="389"/>
        <v/>
      </c>
      <c r="AB1632" t="str">
        <f t="shared" si="390"/>
        <v/>
      </c>
      <c r="AC1632">
        <f>IF($A1632="",0,IF(COUNTIF($A$2:$A1632,$A1632)=1,1,0))</f>
        <v>0</v>
      </c>
      <c r="AD1632">
        <f t="shared" si="391"/>
        <v>18</v>
      </c>
      <c r="AE1632" t="str">
        <f t="shared" si="392"/>
        <v>锦江都城福州台江店|平均入住率（%）</v>
      </c>
    </row>
    <row r="1633" spans="1:31" x14ac:dyDescent="0.4">
      <c r="A1633" t="str">
        <f>IF(原始经营数据!$D1634="","",原始经营数据!$D1634)</f>
        <v>华安锦江封闭式商业不动产证券投资基金</v>
      </c>
      <c r="B1633" t="str">
        <f>IF(原始经营数据!$D1634="","",T(原始经营数据!$E1634))</f>
        <v>锦江都城福州台江店</v>
      </c>
      <c r="C1633" t="str">
        <f>IF(原始经营数据!$D1634="","",原始经营数据!$F1634)</f>
        <v>2025</v>
      </c>
      <c r="D1633" t="str">
        <f>IF(原始经营数据!$D1634="","",原始经营数据!$H1634)</f>
        <v>可供房数</v>
      </c>
      <c r="E1633">
        <f>IF(原始经营数据!$D1634="","",原始经营数据!$I1634)</f>
        <v>48763</v>
      </c>
      <c r="F1633" t="str">
        <f>IF(原始经营数据!$D1634="","",T(原始经营数据!$J1634))</f>
        <v>间</v>
      </c>
      <c r="G1633" t="str">
        <f>IF(原始经营数据!$D1634="","",T(原始经营数据!$K1634))</f>
        <v/>
      </c>
      <c r="H1633" t="str">
        <f>IF(原始经营数据!$D1634="","",原始经营数据!$G1634)</f>
        <v>服务量</v>
      </c>
      <c r="I1633" t="str">
        <f>IF($A1633="","",IF($B1633&lt;&gt;"",$B1633,IF(COUNTIFS(原始经营数据!$D$3:$D$3001,$A1633,原始经营数据!$E$3:$E$3001,"",原始经营数据!$F$3:$F$3001,$C1633,原始经营数据!$H$3:$H$3001,$D1633,原始经营数据!$K$3:$K$3001,$G1633)&gt;1,"基金整体·来源"&amp;原始经营数据!$A1634,"基金整体")))</f>
        <v>锦江都城福州台江店</v>
      </c>
      <c r="J1633" t="str">
        <f t="shared" si="378"/>
        <v>年度</v>
      </c>
      <c r="K1633" t="str">
        <f t="shared" si="379"/>
        <v>可供房数（间）</v>
      </c>
      <c r="L1633" t="str">
        <f t="shared" si="380"/>
        <v>锦江都城福州台江店|可供房数（间）|年度</v>
      </c>
      <c r="M1633">
        <f>IF($A1633="",0,IF(COUNTIF($L$2:$L1633,$L1633)=1,1,0))</f>
        <v>0</v>
      </c>
      <c r="N1633">
        <f t="shared" si="381"/>
        <v>20250</v>
      </c>
      <c r="O1633" t="str">
        <f t="shared" si="382"/>
        <v>华安锦江封闭式商业不动产证券投资基金|2025|年度</v>
      </c>
      <c r="P1633">
        <f>IF($A1633="",0,IF(COUNTIF($O$2:$O1633,$O1633)=1,1,0))</f>
        <v>0</v>
      </c>
      <c r="Q1633" t="str">
        <f>IF(AND($P1633=1,$A1633=经营数据!$B$3,$J1633=经营数据!$BA$5),COUNTIFS($P$2:$P$3000,1,$A$2:$A$3000,$A1633,$J$2:$J$3000,$J1633,$N$2:$N$3000,"&lt;"&amp;$N1633)+1,"")</f>
        <v/>
      </c>
      <c r="R1633" t="str">
        <f t="shared" si="383"/>
        <v>华安锦江封闭式商业不动产证券投资基金|锦江都城福州台江店</v>
      </c>
      <c r="S1633">
        <f>IF($A1633="",0,IF(COUNTIF($R$2:$R1633,$R1633)=1,1,0))</f>
        <v>0</v>
      </c>
      <c r="T1633">
        <f t="shared" si="384"/>
        <v>1621</v>
      </c>
      <c r="U1633" t="str">
        <f>IF($A1633="","",IF($A1633=经营数据!$B$3,COUNTIFS($S$2:$S$3000,1,$A$2:$A$3000,$A1633,$T$2:$T$3000,"&lt;"&amp;$T1633)+1,""))</f>
        <v/>
      </c>
      <c r="V1633" t="str">
        <f t="shared" si="385"/>
        <v>锦江都城福州台江店|服务量</v>
      </c>
      <c r="W1633">
        <f t="shared" si="386"/>
        <v>1621</v>
      </c>
      <c r="X1633" t="str">
        <f t="shared" si="387"/>
        <v>锦江都城福州台江店|可供房数</v>
      </c>
      <c r="Y1633">
        <f t="shared" si="388"/>
        <v>1623</v>
      </c>
      <c r="Z1633">
        <f>IF($A1633="",0,IF(AND($M1633=1,$A1633=经营数据!$B$3,$J1633=经营数据!$BA$5,OR($I1633=经营数据!$BA$4,COUNTIF(经营数据!$AA$9:$AA$38,$I1633)&gt;0)),1,0))</f>
        <v>0</v>
      </c>
      <c r="AA1633" t="str">
        <f t="shared" si="389"/>
        <v/>
      </c>
      <c r="AB1633" t="str">
        <f t="shared" si="390"/>
        <v/>
      </c>
      <c r="AC1633">
        <f>IF($A1633="",0,IF(COUNTIF($A$2:$A1633,$A1633)=1,1,0))</f>
        <v>0</v>
      </c>
      <c r="AD1633">
        <f t="shared" si="391"/>
        <v>18</v>
      </c>
      <c r="AE1633" t="str">
        <f t="shared" si="392"/>
        <v>锦江都城福州台江店|可供房数（间）</v>
      </c>
    </row>
    <row r="1634" spans="1:31" x14ac:dyDescent="0.4">
      <c r="A1634" t="str">
        <f>IF(原始经营数据!$D1635="","",原始经营数据!$D1635)</f>
        <v>华安锦江封闭式商业不动产证券投资基金</v>
      </c>
      <c r="B1634" t="str">
        <f>IF(原始经营数据!$D1635="","",T(原始经营数据!$E1635))</f>
        <v>锦江都城绍兴柯桥店</v>
      </c>
      <c r="C1634" t="str">
        <f>IF(原始经营数据!$D1635="","",原始经营数据!$F1635)</f>
        <v>2022</v>
      </c>
      <c r="D1634" t="str">
        <f>IF(原始经营数据!$D1635="","",原始经营数据!$H1635)</f>
        <v>平均房价</v>
      </c>
      <c r="E1634">
        <f>IF(原始经营数据!$D1635="","",原始经营数据!$I1635)</f>
        <v>193.61</v>
      </c>
      <c r="F1634" t="str">
        <f>IF(原始经营数据!$D1635="","",T(原始经营数据!$J1635))</f>
        <v>元/间</v>
      </c>
      <c r="G1634" t="str">
        <f>IF(原始经营数据!$D1635="","",T(原始经营数据!$K1635))</f>
        <v/>
      </c>
      <c r="H1634" t="str">
        <f>IF(原始经营数据!$D1635="","",原始经营数据!$G1635)</f>
        <v>服务量</v>
      </c>
      <c r="I1634" t="str">
        <f>IF($A1634="","",IF($B1634&lt;&gt;"",$B1634,IF(COUNTIFS(原始经营数据!$D$3:$D$3001,$A1634,原始经营数据!$E$3:$E$3001,"",原始经营数据!$F$3:$F$3001,$C1634,原始经营数据!$H$3:$H$3001,$D1634,原始经营数据!$K$3:$K$3001,$G1634)&gt;1,"基金整体·来源"&amp;原始经营数据!$A1635,"基金整体")))</f>
        <v>锦江都城绍兴柯桥店</v>
      </c>
      <c r="J1634" t="str">
        <f t="shared" si="378"/>
        <v>年度</v>
      </c>
      <c r="K1634" t="str">
        <f t="shared" si="379"/>
        <v>平均房价（元/间）</v>
      </c>
      <c r="L1634" t="str">
        <f t="shared" si="380"/>
        <v>锦江都城绍兴柯桥店|平均房价（元/间）|年度</v>
      </c>
      <c r="M1634">
        <f>IF($A1634="",0,IF(COUNTIF($L$2:$L1634,$L1634)=1,1,0))</f>
        <v>1</v>
      </c>
      <c r="N1634">
        <f t="shared" si="381"/>
        <v>20220</v>
      </c>
      <c r="O1634" t="str">
        <f t="shared" si="382"/>
        <v>华安锦江封闭式商业不动产证券投资基金|2022|年度</v>
      </c>
      <c r="P1634">
        <f>IF($A1634="",0,IF(COUNTIF($O$2:$O1634,$O1634)=1,1,0))</f>
        <v>0</v>
      </c>
      <c r="Q1634" t="str">
        <f>IF(AND($P1634=1,$A1634=经营数据!$B$3,$J1634=经营数据!$BA$5),COUNTIFS($P$2:$P$3000,1,$A$2:$A$3000,$A1634,$J$2:$J$3000,$J1634,$N$2:$N$3000,"&lt;"&amp;$N1634)+1,"")</f>
        <v/>
      </c>
      <c r="R1634" t="str">
        <f t="shared" si="383"/>
        <v>华安锦江封闭式商业不动产证券投资基金|锦江都城绍兴柯桥店</v>
      </c>
      <c r="S1634">
        <f>IF($A1634="",0,IF(COUNTIF($R$2:$R1634,$R1634)=1,1,0))</f>
        <v>1</v>
      </c>
      <c r="T1634">
        <f t="shared" si="384"/>
        <v>1633</v>
      </c>
      <c r="U1634" t="str">
        <f>IF($A1634="","",IF($A1634=经营数据!$B$3,COUNTIFS($S$2:$S$3000,1,$A$2:$A$3000,$A1634,$T$2:$T$3000,"&lt;"&amp;$T1634)+1,""))</f>
        <v/>
      </c>
      <c r="V1634" t="str">
        <f t="shared" si="385"/>
        <v>锦江都城绍兴柯桥店|服务量</v>
      </c>
      <c r="W1634">
        <f t="shared" si="386"/>
        <v>1633</v>
      </c>
      <c r="X1634" t="str">
        <f t="shared" si="387"/>
        <v>锦江都城绍兴柯桥店|平均房价</v>
      </c>
      <c r="Y1634">
        <f t="shared" si="388"/>
        <v>1633</v>
      </c>
      <c r="Z1634">
        <f>IF($A1634="",0,IF(AND($M1634=1,$A1634=经营数据!$B$3,$J1634=经营数据!$BA$5,OR($I1634=经营数据!$BA$4,COUNTIF(经营数据!$AA$9:$AA$38,$I1634)&gt;0)),1,0))</f>
        <v>0</v>
      </c>
      <c r="AA1634" t="str">
        <f t="shared" si="389"/>
        <v/>
      </c>
      <c r="AB1634" t="str">
        <f t="shared" si="390"/>
        <v/>
      </c>
      <c r="AC1634">
        <f>IF($A1634="",0,IF(COUNTIF($A$2:$A1634,$A1634)=1,1,0))</f>
        <v>0</v>
      </c>
      <c r="AD1634">
        <f t="shared" si="391"/>
        <v>18</v>
      </c>
      <c r="AE1634" t="str">
        <f t="shared" si="392"/>
        <v>锦江都城绍兴柯桥店|平均房价（元/间）</v>
      </c>
    </row>
    <row r="1635" spans="1:31" x14ac:dyDescent="0.4">
      <c r="A1635" t="str">
        <f>IF(原始经营数据!$D1636="","",原始经营数据!$D1636)</f>
        <v>华安锦江封闭式商业不动产证券投资基金</v>
      </c>
      <c r="B1635" t="str">
        <f>IF(原始经营数据!$D1636="","",T(原始经营数据!$E1636))</f>
        <v>锦江都城绍兴柯桥店</v>
      </c>
      <c r="C1635" t="str">
        <f>IF(原始经营数据!$D1636="","",原始经营数据!$F1636)</f>
        <v>2022</v>
      </c>
      <c r="D1635" t="str">
        <f>IF(原始经营数据!$D1636="","",原始经营数据!$H1636)</f>
        <v>平均入住率</v>
      </c>
      <c r="E1635">
        <f>IF(原始经营数据!$D1636="","",原始经营数据!$I1636)</f>
        <v>51.37</v>
      </c>
      <c r="F1635" t="str">
        <f>IF(原始经营数据!$D1636="","",T(原始经营数据!$J1636))</f>
        <v>%</v>
      </c>
      <c r="G1635" t="str">
        <f>IF(原始经营数据!$D1636="","",T(原始经营数据!$K1636))</f>
        <v/>
      </c>
      <c r="H1635" t="str">
        <f>IF(原始经营数据!$D1636="","",原始经营数据!$G1636)</f>
        <v>服务量</v>
      </c>
      <c r="I1635" t="str">
        <f>IF($A1635="","",IF($B1635&lt;&gt;"",$B1635,IF(COUNTIFS(原始经营数据!$D$3:$D$3001,$A1635,原始经营数据!$E$3:$E$3001,"",原始经营数据!$F$3:$F$3001,$C1635,原始经营数据!$H$3:$H$3001,$D1635,原始经营数据!$K$3:$K$3001,$G1635)&gt;1,"基金整体·来源"&amp;原始经营数据!$A1636,"基金整体")))</f>
        <v>锦江都城绍兴柯桥店</v>
      </c>
      <c r="J1635" t="str">
        <f t="shared" si="378"/>
        <v>年度</v>
      </c>
      <c r="K1635" t="str">
        <f t="shared" si="379"/>
        <v>平均入住率（%）</v>
      </c>
      <c r="L1635" t="str">
        <f t="shared" si="380"/>
        <v>锦江都城绍兴柯桥店|平均入住率（%）|年度</v>
      </c>
      <c r="M1635">
        <f>IF($A1635="",0,IF(COUNTIF($L$2:$L1635,$L1635)=1,1,0))</f>
        <v>1</v>
      </c>
      <c r="N1635">
        <f t="shared" si="381"/>
        <v>20220</v>
      </c>
      <c r="O1635" t="str">
        <f t="shared" si="382"/>
        <v>华安锦江封闭式商业不动产证券投资基金|2022|年度</v>
      </c>
      <c r="P1635">
        <f>IF($A1635="",0,IF(COUNTIF($O$2:$O1635,$O1635)=1,1,0))</f>
        <v>0</v>
      </c>
      <c r="Q1635" t="str">
        <f>IF(AND($P1635=1,$A1635=经营数据!$B$3,$J1635=经营数据!$BA$5),COUNTIFS($P$2:$P$3000,1,$A$2:$A$3000,$A1635,$J$2:$J$3000,$J1635,$N$2:$N$3000,"&lt;"&amp;$N1635)+1,"")</f>
        <v/>
      </c>
      <c r="R1635" t="str">
        <f t="shared" si="383"/>
        <v>华安锦江封闭式商业不动产证券投资基金|锦江都城绍兴柯桥店</v>
      </c>
      <c r="S1635">
        <f>IF($A1635="",0,IF(COUNTIF($R$2:$R1635,$R1635)=1,1,0))</f>
        <v>0</v>
      </c>
      <c r="T1635">
        <f t="shared" si="384"/>
        <v>1633</v>
      </c>
      <c r="U1635" t="str">
        <f>IF($A1635="","",IF($A1635=经营数据!$B$3,COUNTIFS($S$2:$S$3000,1,$A$2:$A$3000,$A1635,$T$2:$T$3000,"&lt;"&amp;$T1635)+1,""))</f>
        <v/>
      </c>
      <c r="V1635" t="str">
        <f t="shared" si="385"/>
        <v>锦江都城绍兴柯桥店|服务量</v>
      </c>
      <c r="W1635">
        <f t="shared" si="386"/>
        <v>1633</v>
      </c>
      <c r="X1635" t="str">
        <f t="shared" si="387"/>
        <v>锦江都城绍兴柯桥店|平均入住率</v>
      </c>
      <c r="Y1635">
        <f t="shared" si="388"/>
        <v>1634</v>
      </c>
      <c r="Z1635">
        <f>IF($A1635="",0,IF(AND($M1635=1,$A1635=经营数据!$B$3,$J1635=经营数据!$BA$5,OR($I1635=经营数据!$BA$4,COUNTIF(经营数据!$AA$9:$AA$38,$I1635)&gt;0)),1,0))</f>
        <v>0</v>
      </c>
      <c r="AA1635" t="str">
        <f t="shared" si="389"/>
        <v/>
      </c>
      <c r="AB1635" t="str">
        <f t="shared" si="390"/>
        <v/>
      </c>
      <c r="AC1635">
        <f>IF($A1635="",0,IF(COUNTIF($A$2:$A1635,$A1635)=1,1,0))</f>
        <v>0</v>
      </c>
      <c r="AD1635">
        <f t="shared" si="391"/>
        <v>18</v>
      </c>
      <c r="AE1635" t="str">
        <f t="shared" si="392"/>
        <v>锦江都城绍兴柯桥店|平均入住率（%）</v>
      </c>
    </row>
    <row r="1636" spans="1:31" x14ac:dyDescent="0.4">
      <c r="A1636" t="str">
        <f>IF(原始经营数据!$D1637="","",原始经营数据!$D1637)</f>
        <v>华安锦江封闭式商业不动产证券投资基金</v>
      </c>
      <c r="B1636" t="str">
        <f>IF(原始经营数据!$D1637="","",T(原始经营数据!$E1637))</f>
        <v>锦江都城绍兴柯桥店</v>
      </c>
      <c r="C1636" t="str">
        <f>IF(原始经营数据!$D1637="","",原始经营数据!$F1637)</f>
        <v>2022</v>
      </c>
      <c r="D1636" t="str">
        <f>IF(原始经营数据!$D1637="","",原始经营数据!$H1637)</f>
        <v>可供房数</v>
      </c>
      <c r="E1636">
        <f>IF(原始经营数据!$D1637="","",原始经营数据!$I1637)</f>
        <v>59130</v>
      </c>
      <c r="F1636" t="str">
        <f>IF(原始经营数据!$D1637="","",T(原始经营数据!$J1637))</f>
        <v>间</v>
      </c>
      <c r="G1636" t="str">
        <f>IF(原始经营数据!$D1637="","",T(原始经营数据!$K1637))</f>
        <v/>
      </c>
      <c r="H1636" t="str">
        <f>IF(原始经营数据!$D1637="","",原始经营数据!$G1637)</f>
        <v>服务量</v>
      </c>
      <c r="I1636" t="str">
        <f>IF($A1636="","",IF($B1636&lt;&gt;"",$B1636,IF(COUNTIFS(原始经营数据!$D$3:$D$3001,$A1636,原始经营数据!$E$3:$E$3001,"",原始经营数据!$F$3:$F$3001,$C1636,原始经营数据!$H$3:$H$3001,$D1636,原始经营数据!$K$3:$K$3001,$G1636)&gt;1,"基金整体·来源"&amp;原始经营数据!$A1637,"基金整体")))</f>
        <v>锦江都城绍兴柯桥店</v>
      </c>
      <c r="J1636" t="str">
        <f t="shared" si="378"/>
        <v>年度</v>
      </c>
      <c r="K1636" t="str">
        <f t="shared" si="379"/>
        <v>可供房数（间）</v>
      </c>
      <c r="L1636" t="str">
        <f t="shared" si="380"/>
        <v>锦江都城绍兴柯桥店|可供房数（间）|年度</v>
      </c>
      <c r="M1636">
        <f>IF($A1636="",0,IF(COUNTIF($L$2:$L1636,$L1636)=1,1,0))</f>
        <v>1</v>
      </c>
      <c r="N1636">
        <f t="shared" si="381"/>
        <v>20220</v>
      </c>
      <c r="O1636" t="str">
        <f t="shared" si="382"/>
        <v>华安锦江封闭式商业不动产证券投资基金|2022|年度</v>
      </c>
      <c r="P1636">
        <f>IF($A1636="",0,IF(COUNTIF($O$2:$O1636,$O1636)=1,1,0))</f>
        <v>0</v>
      </c>
      <c r="Q1636" t="str">
        <f>IF(AND($P1636=1,$A1636=经营数据!$B$3,$J1636=经营数据!$BA$5),COUNTIFS($P$2:$P$3000,1,$A$2:$A$3000,$A1636,$J$2:$J$3000,$J1636,$N$2:$N$3000,"&lt;"&amp;$N1636)+1,"")</f>
        <v/>
      </c>
      <c r="R1636" t="str">
        <f t="shared" si="383"/>
        <v>华安锦江封闭式商业不动产证券投资基金|锦江都城绍兴柯桥店</v>
      </c>
      <c r="S1636">
        <f>IF($A1636="",0,IF(COUNTIF($R$2:$R1636,$R1636)=1,1,0))</f>
        <v>0</v>
      </c>
      <c r="T1636">
        <f t="shared" si="384"/>
        <v>1633</v>
      </c>
      <c r="U1636" t="str">
        <f>IF($A1636="","",IF($A1636=经营数据!$B$3,COUNTIFS($S$2:$S$3000,1,$A$2:$A$3000,$A1636,$T$2:$T$3000,"&lt;"&amp;$T1636)+1,""))</f>
        <v/>
      </c>
      <c r="V1636" t="str">
        <f t="shared" si="385"/>
        <v>锦江都城绍兴柯桥店|服务量</v>
      </c>
      <c r="W1636">
        <f t="shared" si="386"/>
        <v>1633</v>
      </c>
      <c r="X1636" t="str">
        <f t="shared" si="387"/>
        <v>锦江都城绍兴柯桥店|可供房数</v>
      </c>
      <c r="Y1636">
        <f t="shared" si="388"/>
        <v>1635</v>
      </c>
      <c r="Z1636">
        <f>IF($A1636="",0,IF(AND($M1636=1,$A1636=经营数据!$B$3,$J1636=经营数据!$BA$5,OR($I1636=经营数据!$BA$4,COUNTIF(经营数据!$AA$9:$AA$38,$I1636)&gt;0)),1,0))</f>
        <v>0</v>
      </c>
      <c r="AA1636" t="str">
        <f t="shared" si="389"/>
        <v/>
      </c>
      <c r="AB1636" t="str">
        <f t="shared" si="390"/>
        <v/>
      </c>
      <c r="AC1636">
        <f>IF($A1636="",0,IF(COUNTIF($A$2:$A1636,$A1636)=1,1,0))</f>
        <v>0</v>
      </c>
      <c r="AD1636">
        <f t="shared" si="391"/>
        <v>18</v>
      </c>
      <c r="AE1636" t="str">
        <f t="shared" si="392"/>
        <v>锦江都城绍兴柯桥店|可供房数（间）</v>
      </c>
    </row>
    <row r="1637" spans="1:31" x14ac:dyDescent="0.4">
      <c r="A1637" t="str">
        <f>IF(原始经营数据!$D1638="","",原始经营数据!$D1638)</f>
        <v>华安锦江封闭式商业不动产证券投资基金</v>
      </c>
      <c r="B1637" t="str">
        <f>IF(原始经营数据!$D1638="","",T(原始经营数据!$E1638))</f>
        <v>锦江都城绍兴柯桥店</v>
      </c>
      <c r="C1637" t="str">
        <f>IF(原始经营数据!$D1638="","",原始经营数据!$F1638)</f>
        <v>2023</v>
      </c>
      <c r="D1637" t="str">
        <f>IF(原始经营数据!$D1638="","",原始经营数据!$H1638)</f>
        <v>平均房价</v>
      </c>
      <c r="E1637">
        <f>IF(原始经营数据!$D1638="","",原始经营数据!$I1638)</f>
        <v>201.77</v>
      </c>
      <c r="F1637" t="str">
        <f>IF(原始经营数据!$D1638="","",T(原始经营数据!$J1638))</f>
        <v>元/间</v>
      </c>
      <c r="G1637" t="str">
        <f>IF(原始经营数据!$D1638="","",T(原始经营数据!$K1638))</f>
        <v/>
      </c>
      <c r="H1637" t="str">
        <f>IF(原始经营数据!$D1638="","",原始经营数据!$G1638)</f>
        <v>服务量</v>
      </c>
      <c r="I1637" t="str">
        <f>IF($A1637="","",IF($B1637&lt;&gt;"",$B1637,IF(COUNTIFS(原始经营数据!$D$3:$D$3001,$A1637,原始经营数据!$E$3:$E$3001,"",原始经营数据!$F$3:$F$3001,$C1637,原始经营数据!$H$3:$H$3001,$D1637,原始经营数据!$K$3:$K$3001,$G1637)&gt;1,"基金整体·来源"&amp;原始经营数据!$A1638,"基金整体")))</f>
        <v>锦江都城绍兴柯桥店</v>
      </c>
      <c r="J1637" t="str">
        <f t="shared" si="378"/>
        <v>年度</v>
      </c>
      <c r="K1637" t="str">
        <f t="shared" si="379"/>
        <v>平均房价（元/间）</v>
      </c>
      <c r="L1637" t="str">
        <f t="shared" si="380"/>
        <v>锦江都城绍兴柯桥店|平均房价（元/间）|年度</v>
      </c>
      <c r="M1637">
        <f>IF($A1637="",0,IF(COUNTIF($L$2:$L1637,$L1637)=1,1,0))</f>
        <v>0</v>
      </c>
      <c r="N1637">
        <f t="shared" si="381"/>
        <v>20230</v>
      </c>
      <c r="O1637" t="str">
        <f t="shared" si="382"/>
        <v>华安锦江封闭式商业不动产证券投资基金|2023|年度</v>
      </c>
      <c r="P1637">
        <f>IF($A1637="",0,IF(COUNTIF($O$2:$O1637,$O1637)=1,1,0))</f>
        <v>0</v>
      </c>
      <c r="Q1637" t="str">
        <f>IF(AND($P1637=1,$A1637=经营数据!$B$3,$J1637=经营数据!$BA$5),COUNTIFS($P$2:$P$3000,1,$A$2:$A$3000,$A1637,$J$2:$J$3000,$J1637,$N$2:$N$3000,"&lt;"&amp;$N1637)+1,"")</f>
        <v/>
      </c>
      <c r="R1637" t="str">
        <f t="shared" si="383"/>
        <v>华安锦江封闭式商业不动产证券投资基金|锦江都城绍兴柯桥店</v>
      </c>
      <c r="S1637">
        <f>IF($A1637="",0,IF(COUNTIF($R$2:$R1637,$R1637)=1,1,0))</f>
        <v>0</v>
      </c>
      <c r="T1637">
        <f t="shared" si="384"/>
        <v>1633</v>
      </c>
      <c r="U1637" t="str">
        <f>IF($A1637="","",IF($A1637=经营数据!$B$3,COUNTIFS($S$2:$S$3000,1,$A$2:$A$3000,$A1637,$T$2:$T$3000,"&lt;"&amp;$T1637)+1,""))</f>
        <v/>
      </c>
      <c r="V1637" t="str">
        <f t="shared" si="385"/>
        <v>锦江都城绍兴柯桥店|服务量</v>
      </c>
      <c r="W1637">
        <f t="shared" si="386"/>
        <v>1633</v>
      </c>
      <c r="X1637" t="str">
        <f t="shared" si="387"/>
        <v>锦江都城绍兴柯桥店|平均房价</v>
      </c>
      <c r="Y1637">
        <f t="shared" si="388"/>
        <v>1633</v>
      </c>
      <c r="Z1637">
        <f>IF($A1637="",0,IF(AND($M1637=1,$A1637=经营数据!$B$3,$J1637=经营数据!$BA$5,OR($I1637=经营数据!$BA$4,COUNTIF(经营数据!$AA$9:$AA$38,$I1637)&gt;0)),1,0))</f>
        <v>0</v>
      </c>
      <c r="AA1637" t="str">
        <f t="shared" si="389"/>
        <v/>
      </c>
      <c r="AB1637" t="str">
        <f t="shared" si="390"/>
        <v/>
      </c>
      <c r="AC1637">
        <f>IF($A1637="",0,IF(COUNTIF($A$2:$A1637,$A1637)=1,1,0))</f>
        <v>0</v>
      </c>
      <c r="AD1637">
        <f t="shared" si="391"/>
        <v>18</v>
      </c>
      <c r="AE1637" t="str">
        <f t="shared" si="392"/>
        <v>锦江都城绍兴柯桥店|平均房价（元/间）</v>
      </c>
    </row>
    <row r="1638" spans="1:31" x14ac:dyDescent="0.4">
      <c r="A1638" t="str">
        <f>IF(原始经营数据!$D1639="","",原始经营数据!$D1639)</f>
        <v>华安锦江封闭式商业不动产证券投资基金</v>
      </c>
      <c r="B1638" t="str">
        <f>IF(原始经营数据!$D1639="","",T(原始经营数据!$E1639))</f>
        <v>锦江都城绍兴柯桥店</v>
      </c>
      <c r="C1638" t="str">
        <f>IF(原始经营数据!$D1639="","",原始经营数据!$F1639)</f>
        <v>2023</v>
      </c>
      <c r="D1638" t="str">
        <f>IF(原始经营数据!$D1639="","",原始经营数据!$H1639)</f>
        <v>平均入住率</v>
      </c>
      <c r="E1638">
        <f>IF(原始经营数据!$D1639="","",原始经营数据!$I1639)</f>
        <v>54.56</v>
      </c>
      <c r="F1638" t="str">
        <f>IF(原始经营数据!$D1639="","",T(原始经营数据!$J1639))</f>
        <v>%</v>
      </c>
      <c r="G1638" t="str">
        <f>IF(原始经营数据!$D1639="","",T(原始经营数据!$K1639))</f>
        <v/>
      </c>
      <c r="H1638" t="str">
        <f>IF(原始经营数据!$D1639="","",原始经营数据!$G1639)</f>
        <v>服务量</v>
      </c>
      <c r="I1638" t="str">
        <f>IF($A1638="","",IF($B1638&lt;&gt;"",$B1638,IF(COUNTIFS(原始经营数据!$D$3:$D$3001,$A1638,原始经营数据!$E$3:$E$3001,"",原始经营数据!$F$3:$F$3001,$C1638,原始经营数据!$H$3:$H$3001,$D1638,原始经营数据!$K$3:$K$3001,$G1638)&gt;1,"基金整体·来源"&amp;原始经营数据!$A1639,"基金整体")))</f>
        <v>锦江都城绍兴柯桥店</v>
      </c>
      <c r="J1638" t="str">
        <f t="shared" si="378"/>
        <v>年度</v>
      </c>
      <c r="K1638" t="str">
        <f t="shared" si="379"/>
        <v>平均入住率（%）</v>
      </c>
      <c r="L1638" t="str">
        <f t="shared" si="380"/>
        <v>锦江都城绍兴柯桥店|平均入住率（%）|年度</v>
      </c>
      <c r="M1638">
        <f>IF($A1638="",0,IF(COUNTIF($L$2:$L1638,$L1638)=1,1,0))</f>
        <v>0</v>
      </c>
      <c r="N1638">
        <f t="shared" si="381"/>
        <v>20230</v>
      </c>
      <c r="O1638" t="str">
        <f t="shared" si="382"/>
        <v>华安锦江封闭式商业不动产证券投资基金|2023|年度</v>
      </c>
      <c r="P1638">
        <f>IF($A1638="",0,IF(COUNTIF($O$2:$O1638,$O1638)=1,1,0))</f>
        <v>0</v>
      </c>
      <c r="Q1638" t="str">
        <f>IF(AND($P1638=1,$A1638=经营数据!$B$3,$J1638=经营数据!$BA$5),COUNTIFS($P$2:$P$3000,1,$A$2:$A$3000,$A1638,$J$2:$J$3000,$J1638,$N$2:$N$3000,"&lt;"&amp;$N1638)+1,"")</f>
        <v/>
      </c>
      <c r="R1638" t="str">
        <f t="shared" si="383"/>
        <v>华安锦江封闭式商业不动产证券投资基金|锦江都城绍兴柯桥店</v>
      </c>
      <c r="S1638">
        <f>IF($A1638="",0,IF(COUNTIF($R$2:$R1638,$R1638)=1,1,0))</f>
        <v>0</v>
      </c>
      <c r="T1638">
        <f t="shared" si="384"/>
        <v>1633</v>
      </c>
      <c r="U1638" t="str">
        <f>IF($A1638="","",IF($A1638=经营数据!$B$3,COUNTIFS($S$2:$S$3000,1,$A$2:$A$3000,$A1638,$T$2:$T$3000,"&lt;"&amp;$T1638)+1,""))</f>
        <v/>
      </c>
      <c r="V1638" t="str">
        <f t="shared" si="385"/>
        <v>锦江都城绍兴柯桥店|服务量</v>
      </c>
      <c r="W1638">
        <f t="shared" si="386"/>
        <v>1633</v>
      </c>
      <c r="X1638" t="str">
        <f t="shared" si="387"/>
        <v>锦江都城绍兴柯桥店|平均入住率</v>
      </c>
      <c r="Y1638">
        <f t="shared" si="388"/>
        <v>1634</v>
      </c>
      <c r="Z1638">
        <f>IF($A1638="",0,IF(AND($M1638=1,$A1638=经营数据!$B$3,$J1638=经营数据!$BA$5,OR($I1638=经营数据!$BA$4,COUNTIF(经营数据!$AA$9:$AA$38,$I1638)&gt;0)),1,0))</f>
        <v>0</v>
      </c>
      <c r="AA1638" t="str">
        <f t="shared" si="389"/>
        <v/>
      </c>
      <c r="AB1638" t="str">
        <f t="shared" si="390"/>
        <v/>
      </c>
      <c r="AC1638">
        <f>IF($A1638="",0,IF(COUNTIF($A$2:$A1638,$A1638)=1,1,0))</f>
        <v>0</v>
      </c>
      <c r="AD1638">
        <f t="shared" si="391"/>
        <v>18</v>
      </c>
      <c r="AE1638" t="str">
        <f t="shared" si="392"/>
        <v>锦江都城绍兴柯桥店|平均入住率（%）</v>
      </c>
    </row>
    <row r="1639" spans="1:31" x14ac:dyDescent="0.4">
      <c r="A1639" t="str">
        <f>IF(原始经营数据!$D1640="","",原始经营数据!$D1640)</f>
        <v>华安锦江封闭式商业不动产证券投资基金</v>
      </c>
      <c r="B1639" t="str">
        <f>IF(原始经营数据!$D1640="","",T(原始经营数据!$E1640))</f>
        <v>锦江都城绍兴柯桥店</v>
      </c>
      <c r="C1639" t="str">
        <f>IF(原始经营数据!$D1640="","",原始经营数据!$F1640)</f>
        <v>2023</v>
      </c>
      <c r="D1639" t="str">
        <f>IF(原始经营数据!$D1640="","",原始经营数据!$H1640)</f>
        <v>可供房数</v>
      </c>
      <c r="E1639">
        <f>IF(原始经营数据!$D1640="","",原始经营数据!$I1640)</f>
        <v>45149</v>
      </c>
      <c r="F1639" t="str">
        <f>IF(原始经营数据!$D1640="","",T(原始经营数据!$J1640))</f>
        <v>间</v>
      </c>
      <c r="G1639" t="str">
        <f>IF(原始经营数据!$D1640="","",T(原始经营数据!$K1640))</f>
        <v/>
      </c>
      <c r="H1639" t="str">
        <f>IF(原始经营数据!$D1640="","",原始经营数据!$G1640)</f>
        <v>服务量</v>
      </c>
      <c r="I1639" t="str">
        <f>IF($A1639="","",IF($B1639&lt;&gt;"",$B1639,IF(COUNTIFS(原始经营数据!$D$3:$D$3001,$A1639,原始经营数据!$E$3:$E$3001,"",原始经营数据!$F$3:$F$3001,$C1639,原始经营数据!$H$3:$H$3001,$D1639,原始经营数据!$K$3:$K$3001,$G1639)&gt;1,"基金整体·来源"&amp;原始经营数据!$A1640,"基金整体")))</f>
        <v>锦江都城绍兴柯桥店</v>
      </c>
      <c r="J1639" t="str">
        <f t="shared" si="378"/>
        <v>年度</v>
      </c>
      <c r="K1639" t="str">
        <f t="shared" si="379"/>
        <v>可供房数（间）</v>
      </c>
      <c r="L1639" t="str">
        <f t="shared" si="380"/>
        <v>锦江都城绍兴柯桥店|可供房数（间）|年度</v>
      </c>
      <c r="M1639">
        <f>IF($A1639="",0,IF(COUNTIF($L$2:$L1639,$L1639)=1,1,0))</f>
        <v>0</v>
      </c>
      <c r="N1639">
        <f t="shared" si="381"/>
        <v>20230</v>
      </c>
      <c r="O1639" t="str">
        <f t="shared" si="382"/>
        <v>华安锦江封闭式商业不动产证券投资基金|2023|年度</v>
      </c>
      <c r="P1639">
        <f>IF($A1639="",0,IF(COUNTIF($O$2:$O1639,$O1639)=1,1,0))</f>
        <v>0</v>
      </c>
      <c r="Q1639" t="str">
        <f>IF(AND($P1639=1,$A1639=经营数据!$B$3,$J1639=经营数据!$BA$5),COUNTIFS($P$2:$P$3000,1,$A$2:$A$3000,$A1639,$J$2:$J$3000,$J1639,$N$2:$N$3000,"&lt;"&amp;$N1639)+1,"")</f>
        <v/>
      </c>
      <c r="R1639" t="str">
        <f t="shared" si="383"/>
        <v>华安锦江封闭式商业不动产证券投资基金|锦江都城绍兴柯桥店</v>
      </c>
      <c r="S1639">
        <f>IF($A1639="",0,IF(COUNTIF($R$2:$R1639,$R1639)=1,1,0))</f>
        <v>0</v>
      </c>
      <c r="T1639">
        <f t="shared" si="384"/>
        <v>1633</v>
      </c>
      <c r="U1639" t="str">
        <f>IF($A1639="","",IF($A1639=经营数据!$B$3,COUNTIFS($S$2:$S$3000,1,$A$2:$A$3000,$A1639,$T$2:$T$3000,"&lt;"&amp;$T1639)+1,""))</f>
        <v/>
      </c>
      <c r="V1639" t="str">
        <f t="shared" si="385"/>
        <v>锦江都城绍兴柯桥店|服务量</v>
      </c>
      <c r="W1639">
        <f t="shared" si="386"/>
        <v>1633</v>
      </c>
      <c r="X1639" t="str">
        <f t="shared" si="387"/>
        <v>锦江都城绍兴柯桥店|可供房数</v>
      </c>
      <c r="Y1639">
        <f t="shared" si="388"/>
        <v>1635</v>
      </c>
      <c r="Z1639">
        <f>IF($A1639="",0,IF(AND($M1639=1,$A1639=经营数据!$B$3,$J1639=经营数据!$BA$5,OR($I1639=经营数据!$BA$4,COUNTIF(经营数据!$AA$9:$AA$38,$I1639)&gt;0)),1,0))</f>
        <v>0</v>
      </c>
      <c r="AA1639" t="str">
        <f t="shared" si="389"/>
        <v/>
      </c>
      <c r="AB1639" t="str">
        <f t="shared" si="390"/>
        <v/>
      </c>
      <c r="AC1639">
        <f>IF($A1639="",0,IF(COUNTIF($A$2:$A1639,$A1639)=1,1,0))</f>
        <v>0</v>
      </c>
      <c r="AD1639">
        <f t="shared" si="391"/>
        <v>18</v>
      </c>
      <c r="AE1639" t="str">
        <f t="shared" si="392"/>
        <v>锦江都城绍兴柯桥店|可供房数（间）</v>
      </c>
    </row>
    <row r="1640" spans="1:31" x14ac:dyDescent="0.4">
      <c r="A1640" t="str">
        <f>IF(原始经营数据!$D1641="","",原始经营数据!$D1641)</f>
        <v>华安锦江封闭式商业不动产证券投资基金</v>
      </c>
      <c r="B1640" t="str">
        <f>IF(原始经营数据!$D1641="","",T(原始经营数据!$E1641))</f>
        <v>锦江都城绍兴柯桥店</v>
      </c>
      <c r="C1640" t="str">
        <f>IF(原始经营数据!$D1641="","",原始经营数据!$F1641)</f>
        <v>2024</v>
      </c>
      <c r="D1640" t="str">
        <f>IF(原始经营数据!$D1641="","",原始经营数据!$H1641)</f>
        <v>平均房价</v>
      </c>
      <c r="E1640">
        <f>IF(原始经营数据!$D1641="","",原始经营数据!$I1641)</f>
        <v>224.58</v>
      </c>
      <c r="F1640" t="str">
        <f>IF(原始经营数据!$D1641="","",T(原始经营数据!$J1641))</f>
        <v>元/间</v>
      </c>
      <c r="G1640" t="str">
        <f>IF(原始经营数据!$D1641="","",T(原始经营数据!$K1641))</f>
        <v/>
      </c>
      <c r="H1640" t="str">
        <f>IF(原始经营数据!$D1641="","",原始经营数据!$G1641)</f>
        <v>服务量</v>
      </c>
      <c r="I1640" t="str">
        <f>IF($A1640="","",IF($B1640&lt;&gt;"",$B1640,IF(COUNTIFS(原始经营数据!$D$3:$D$3001,$A1640,原始经营数据!$E$3:$E$3001,"",原始经营数据!$F$3:$F$3001,$C1640,原始经营数据!$H$3:$H$3001,$D1640,原始经营数据!$K$3:$K$3001,$G1640)&gt;1,"基金整体·来源"&amp;原始经营数据!$A1641,"基金整体")))</f>
        <v>锦江都城绍兴柯桥店</v>
      </c>
      <c r="J1640" t="str">
        <f t="shared" si="378"/>
        <v>年度</v>
      </c>
      <c r="K1640" t="str">
        <f t="shared" si="379"/>
        <v>平均房价（元/间）</v>
      </c>
      <c r="L1640" t="str">
        <f t="shared" si="380"/>
        <v>锦江都城绍兴柯桥店|平均房价（元/间）|年度</v>
      </c>
      <c r="M1640">
        <f>IF($A1640="",0,IF(COUNTIF($L$2:$L1640,$L1640)=1,1,0))</f>
        <v>0</v>
      </c>
      <c r="N1640">
        <f t="shared" si="381"/>
        <v>20240</v>
      </c>
      <c r="O1640" t="str">
        <f t="shared" si="382"/>
        <v>华安锦江封闭式商业不动产证券投资基金|2024|年度</v>
      </c>
      <c r="P1640">
        <f>IF($A1640="",0,IF(COUNTIF($O$2:$O1640,$O1640)=1,1,0))</f>
        <v>0</v>
      </c>
      <c r="Q1640" t="str">
        <f>IF(AND($P1640=1,$A1640=经营数据!$B$3,$J1640=经营数据!$BA$5),COUNTIFS($P$2:$P$3000,1,$A$2:$A$3000,$A1640,$J$2:$J$3000,$J1640,$N$2:$N$3000,"&lt;"&amp;$N1640)+1,"")</f>
        <v/>
      </c>
      <c r="R1640" t="str">
        <f t="shared" si="383"/>
        <v>华安锦江封闭式商业不动产证券投资基金|锦江都城绍兴柯桥店</v>
      </c>
      <c r="S1640">
        <f>IF($A1640="",0,IF(COUNTIF($R$2:$R1640,$R1640)=1,1,0))</f>
        <v>0</v>
      </c>
      <c r="T1640">
        <f t="shared" si="384"/>
        <v>1633</v>
      </c>
      <c r="U1640" t="str">
        <f>IF($A1640="","",IF($A1640=经营数据!$B$3,COUNTIFS($S$2:$S$3000,1,$A$2:$A$3000,$A1640,$T$2:$T$3000,"&lt;"&amp;$T1640)+1,""))</f>
        <v/>
      </c>
      <c r="V1640" t="str">
        <f t="shared" si="385"/>
        <v>锦江都城绍兴柯桥店|服务量</v>
      </c>
      <c r="W1640">
        <f t="shared" si="386"/>
        <v>1633</v>
      </c>
      <c r="X1640" t="str">
        <f t="shared" si="387"/>
        <v>锦江都城绍兴柯桥店|平均房价</v>
      </c>
      <c r="Y1640">
        <f t="shared" si="388"/>
        <v>1633</v>
      </c>
      <c r="Z1640">
        <f>IF($A1640="",0,IF(AND($M1640=1,$A1640=经营数据!$B$3,$J1640=经营数据!$BA$5,OR($I1640=经营数据!$BA$4,COUNTIF(经营数据!$AA$9:$AA$38,$I1640)&gt;0)),1,0))</f>
        <v>0</v>
      </c>
      <c r="AA1640" t="str">
        <f t="shared" si="389"/>
        <v/>
      </c>
      <c r="AB1640" t="str">
        <f t="shared" si="390"/>
        <v/>
      </c>
      <c r="AC1640">
        <f>IF($A1640="",0,IF(COUNTIF($A$2:$A1640,$A1640)=1,1,0))</f>
        <v>0</v>
      </c>
      <c r="AD1640">
        <f t="shared" si="391"/>
        <v>18</v>
      </c>
      <c r="AE1640" t="str">
        <f t="shared" si="392"/>
        <v>锦江都城绍兴柯桥店|平均房价（元/间）</v>
      </c>
    </row>
    <row r="1641" spans="1:31" x14ac:dyDescent="0.4">
      <c r="A1641" t="str">
        <f>IF(原始经营数据!$D1642="","",原始经营数据!$D1642)</f>
        <v>华安锦江封闭式商业不动产证券投资基金</v>
      </c>
      <c r="B1641" t="str">
        <f>IF(原始经营数据!$D1642="","",T(原始经营数据!$E1642))</f>
        <v>锦江都城绍兴柯桥店</v>
      </c>
      <c r="C1641" t="str">
        <f>IF(原始经营数据!$D1642="","",原始经营数据!$F1642)</f>
        <v>2024</v>
      </c>
      <c r="D1641" t="str">
        <f>IF(原始经营数据!$D1642="","",原始经营数据!$H1642)</f>
        <v>平均入住率</v>
      </c>
      <c r="E1641">
        <f>IF(原始经营数据!$D1642="","",原始经营数据!$I1642)</f>
        <v>35.479999999999997</v>
      </c>
      <c r="F1641" t="str">
        <f>IF(原始经营数据!$D1642="","",T(原始经营数据!$J1642))</f>
        <v>%</v>
      </c>
      <c r="G1641" t="str">
        <f>IF(原始经营数据!$D1642="","",T(原始经营数据!$K1642))</f>
        <v/>
      </c>
      <c r="H1641" t="str">
        <f>IF(原始经营数据!$D1642="","",原始经营数据!$G1642)</f>
        <v>服务量</v>
      </c>
      <c r="I1641" t="str">
        <f>IF($A1641="","",IF($B1641&lt;&gt;"",$B1641,IF(COUNTIFS(原始经营数据!$D$3:$D$3001,$A1641,原始经营数据!$E$3:$E$3001,"",原始经营数据!$F$3:$F$3001,$C1641,原始经营数据!$H$3:$H$3001,$D1641,原始经营数据!$K$3:$K$3001,$G1641)&gt;1,"基金整体·来源"&amp;原始经营数据!$A1642,"基金整体")))</f>
        <v>锦江都城绍兴柯桥店</v>
      </c>
      <c r="J1641" t="str">
        <f t="shared" si="378"/>
        <v>年度</v>
      </c>
      <c r="K1641" t="str">
        <f t="shared" si="379"/>
        <v>平均入住率（%）</v>
      </c>
      <c r="L1641" t="str">
        <f t="shared" si="380"/>
        <v>锦江都城绍兴柯桥店|平均入住率（%）|年度</v>
      </c>
      <c r="M1641">
        <f>IF($A1641="",0,IF(COUNTIF($L$2:$L1641,$L1641)=1,1,0))</f>
        <v>0</v>
      </c>
      <c r="N1641">
        <f t="shared" si="381"/>
        <v>20240</v>
      </c>
      <c r="O1641" t="str">
        <f t="shared" si="382"/>
        <v>华安锦江封闭式商业不动产证券投资基金|2024|年度</v>
      </c>
      <c r="P1641">
        <f>IF($A1641="",0,IF(COUNTIF($O$2:$O1641,$O1641)=1,1,0))</f>
        <v>0</v>
      </c>
      <c r="Q1641" t="str">
        <f>IF(AND($P1641=1,$A1641=经营数据!$B$3,$J1641=经营数据!$BA$5),COUNTIFS($P$2:$P$3000,1,$A$2:$A$3000,$A1641,$J$2:$J$3000,$J1641,$N$2:$N$3000,"&lt;"&amp;$N1641)+1,"")</f>
        <v/>
      </c>
      <c r="R1641" t="str">
        <f t="shared" si="383"/>
        <v>华安锦江封闭式商业不动产证券投资基金|锦江都城绍兴柯桥店</v>
      </c>
      <c r="S1641">
        <f>IF($A1641="",0,IF(COUNTIF($R$2:$R1641,$R1641)=1,1,0))</f>
        <v>0</v>
      </c>
      <c r="T1641">
        <f t="shared" si="384"/>
        <v>1633</v>
      </c>
      <c r="U1641" t="str">
        <f>IF($A1641="","",IF($A1641=经营数据!$B$3,COUNTIFS($S$2:$S$3000,1,$A$2:$A$3000,$A1641,$T$2:$T$3000,"&lt;"&amp;$T1641)+1,""))</f>
        <v/>
      </c>
      <c r="V1641" t="str">
        <f t="shared" si="385"/>
        <v>锦江都城绍兴柯桥店|服务量</v>
      </c>
      <c r="W1641">
        <f t="shared" si="386"/>
        <v>1633</v>
      </c>
      <c r="X1641" t="str">
        <f t="shared" si="387"/>
        <v>锦江都城绍兴柯桥店|平均入住率</v>
      </c>
      <c r="Y1641">
        <f t="shared" si="388"/>
        <v>1634</v>
      </c>
      <c r="Z1641">
        <f>IF($A1641="",0,IF(AND($M1641=1,$A1641=经营数据!$B$3,$J1641=经营数据!$BA$5,OR($I1641=经营数据!$BA$4,COUNTIF(经营数据!$AA$9:$AA$38,$I1641)&gt;0)),1,0))</f>
        <v>0</v>
      </c>
      <c r="AA1641" t="str">
        <f t="shared" si="389"/>
        <v/>
      </c>
      <c r="AB1641" t="str">
        <f t="shared" si="390"/>
        <v/>
      </c>
      <c r="AC1641">
        <f>IF($A1641="",0,IF(COUNTIF($A$2:$A1641,$A1641)=1,1,0))</f>
        <v>0</v>
      </c>
      <c r="AD1641">
        <f t="shared" si="391"/>
        <v>18</v>
      </c>
      <c r="AE1641" t="str">
        <f t="shared" si="392"/>
        <v>锦江都城绍兴柯桥店|平均入住率（%）</v>
      </c>
    </row>
    <row r="1642" spans="1:31" x14ac:dyDescent="0.4">
      <c r="A1642" t="str">
        <f>IF(原始经营数据!$D1643="","",原始经营数据!$D1643)</f>
        <v>华安锦江封闭式商业不动产证券投资基金</v>
      </c>
      <c r="B1642" t="str">
        <f>IF(原始经营数据!$D1643="","",T(原始经营数据!$E1643))</f>
        <v>锦江都城绍兴柯桥店</v>
      </c>
      <c r="C1642" t="str">
        <f>IF(原始经营数据!$D1643="","",原始经营数据!$F1643)</f>
        <v>2024</v>
      </c>
      <c r="D1642" t="str">
        <f>IF(原始经营数据!$D1643="","",原始经营数据!$H1643)</f>
        <v>可供房数</v>
      </c>
      <c r="E1642">
        <f>IF(原始经营数据!$D1643="","",原始经营数据!$I1643)</f>
        <v>52593</v>
      </c>
      <c r="F1642" t="str">
        <f>IF(原始经营数据!$D1643="","",T(原始经营数据!$J1643))</f>
        <v>间</v>
      </c>
      <c r="G1642" t="str">
        <f>IF(原始经营数据!$D1643="","",T(原始经营数据!$K1643))</f>
        <v/>
      </c>
      <c r="H1642" t="str">
        <f>IF(原始经营数据!$D1643="","",原始经营数据!$G1643)</f>
        <v>服务量</v>
      </c>
      <c r="I1642" t="str">
        <f>IF($A1642="","",IF($B1642&lt;&gt;"",$B1642,IF(COUNTIFS(原始经营数据!$D$3:$D$3001,$A1642,原始经营数据!$E$3:$E$3001,"",原始经营数据!$F$3:$F$3001,$C1642,原始经营数据!$H$3:$H$3001,$D1642,原始经营数据!$K$3:$K$3001,$G1642)&gt;1,"基金整体·来源"&amp;原始经营数据!$A1643,"基金整体")))</f>
        <v>锦江都城绍兴柯桥店</v>
      </c>
      <c r="J1642" t="str">
        <f t="shared" si="378"/>
        <v>年度</v>
      </c>
      <c r="K1642" t="str">
        <f t="shared" si="379"/>
        <v>可供房数（间）</v>
      </c>
      <c r="L1642" t="str">
        <f t="shared" si="380"/>
        <v>锦江都城绍兴柯桥店|可供房数（间）|年度</v>
      </c>
      <c r="M1642">
        <f>IF($A1642="",0,IF(COUNTIF($L$2:$L1642,$L1642)=1,1,0))</f>
        <v>0</v>
      </c>
      <c r="N1642">
        <f t="shared" si="381"/>
        <v>20240</v>
      </c>
      <c r="O1642" t="str">
        <f t="shared" si="382"/>
        <v>华安锦江封闭式商业不动产证券投资基金|2024|年度</v>
      </c>
      <c r="P1642">
        <f>IF($A1642="",0,IF(COUNTIF($O$2:$O1642,$O1642)=1,1,0))</f>
        <v>0</v>
      </c>
      <c r="Q1642" t="str">
        <f>IF(AND($P1642=1,$A1642=经营数据!$B$3,$J1642=经营数据!$BA$5),COUNTIFS($P$2:$P$3000,1,$A$2:$A$3000,$A1642,$J$2:$J$3000,$J1642,$N$2:$N$3000,"&lt;"&amp;$N1642)+1,"")</f>
        <v/>
      </c>
      <c r="R1642" t="str">
        <f t="shared" si="383"/>
        <v>华安锦江封闭式商业不动产证券投资基金|锦江都城绍兴柯桥店</v>
      </c>
      <c r="S1642">
        <f>IF($A1642="",0,IF(COUNTIF($R$2:$R1642,$R1642)=1,1,0))</f>
        <v>0</v>
      </c>
      <c r="T1642">
        <f t="shared" si="384"/>
        <v>1633</v>
      </c>
      <c r="U1642" t="str">
        <f>IF($A1642="","",IF($A1642=经营数据!$B$3,COUNTIFS($S$2:$S$3000,1,$A$2:$A$3000,$A1642,$T$2:$T$3000,"&lt;"&amp;$T1642)+1,""))</f>
        <v/>
      </c>
      <c r="V1642" t="str">
        <f t="shared" si="385"/>
        <v>锦江都城绍兴柯桥店|服务量</v>
      </c>
      <c r="W1642">
        <f t="shared" si="386"/>
        <v>1633</v>
      </c>
      <c r="X1642" t="str">
        <f t="shared" si="387"/>
        <v>锦江都城绍兴柯桥店|可供房数</v>
      </c>
      <c r="Y1642">
        <f t="shared" si="388"/>
        <v>1635</v>
      </c>
      <c r="Z1642">
        <f>IF($A1642="",0,IF(AND($M1642=1,$A1642=经营数据!$B$3,$J1642=经营数据!$BA$5,OR($I1642=经营数据!$BA$4,COUNTIF(经营数据!$AA$9:$AA$38,$I1642)&gt;0)),1,0))</f>
        <v>0</v>
      </c>
      <c r="AA1642" t="str">
        <f t="shared" si="389"/>
        <v/>
      </c>
      <c r="AB1642" t="str">
        <f t="shared" si="390"/>
        <v/>
      </c>
      <c r="AC1642">
        <f>IF($A1642="",0,IF(COUNTIF($A$2:$A1642,$A1642)=1,1,0))</f>
        <v>0</v>
      </c>
      <c r="AD1642">
        <f t="shared" si="391"/>
        <v>18</v>
      </c>
      <c r="AE1642" t="str">
        <f t="shared" si="392"/>
        <v>锦江都城绍兴柯桥店|可供房数（间）</v>
      </c>
    </row>
    <row r="1643" spans="1:31" x14ac:dyDescent="0.4">
      <c r="A1643" t="str">
        <f>IF(原始经营数据!$D1644="","",原始经营数据!$D1644)</f>
        <v>华安锦江封闭式商业不动产证券投资基金</v>
      </c>
      <c r="B1643" t="str">
        <f>IF(原始经营数据!$D1644="","",T(原始经营数据!$E1644))</f>
        <v>锦江都城绍兴柯桥店</v>
      </c>
      <c r="C1643" t="str">
        <f>IF(原始经营数据!$D1644="","",原始经营数据!$F1644)</f>
        <v>2025</v>
      </c>
      <c r="D1643" t="str">
        <f>IF(原始经营数据!$D1644="","",原始经营数据!$H1644)</f>
        <v>平均房价</v>
      </c>
      <c r="E1643">
        <f>IF(原始经营数据!$D1644="","",原始经营数据!$I1644)</f>
        <v>217.57</v>
      </c>
      <c r="F1643" t="str">
        <f>IF(原始经营数据!$D1644="","",T(原始经营数据!$J1644))</f>
        <v>元/间</v>
      </c>
      <c r="G1643" t="str">
        <f>IF(原始经营数据!$D1644="","",T(原始经营数据!$K1644))</f>
        <v/>
      </c>
      <c r="H1643" t="str">
        <f>IF(原始经营数据!$D1644="","",原始经营数据!$G1644)</f>
        <v>服务量</v>
      </c>
      <c r="I1643" t="str">
        <f>IF($A1643="","",IF($B1643&lt;&gt;"",$B1643,IF(COUNTIFS(原始经营数据!$D$3:$D$3001,$A1643,原始经营数据!$E$3:$E$3001,"",原始经营数据!$F$3:$F$3001,$C1643,原始经营数据!$H$3:$H$3001,$D1643,原始经营数据!$K$3:$K$3001,$G1643)&gt;1,"基金整体·来源"&amp;原始经营数据!$A1644,"基金整体")))</f>
        <v>锦江都城绍兴柯桥店</v>
      </c>
      <c r="J1643" t="str">
        <f t="shared" si="378"/>
        <v>年度</v>
      </c>
      <c r="K1643" t="str">
        <f t="shared" si="379"/>
        <v>平均房价（元/间）</v>
      </c>
      <c r="L1643" t="str">
        <f t="shared" si="380"/>
        <v>锦江都城绍兴柯桥店|平均房价（元/间）|年度</v>
      </c>
      <c r="M1643">
        <f>IF($A1643="",0,IF(COUNTIF($L$2:$L1643,$L1643)=1,1,0))</f>
        <v>0</v>
      </c>
      <c r="N1643">
        <f t="shared" si="381"/>
        <v>20250</v>
      </c>
      <c r="O1643" t="str">
        <f t="shared" si="382"/>
        <v>华安锦江封闭式商业不动产证券投资基金|2025|年度</v>
      </c>
      <c r="P1643">
        <f>IF($A1643="",0,IF(COUNTIF($O$2:$O1643,$O1643)=1,1,0))</f>
        <v>0</v>
      </c>
      <c r="Q1643" t="str">
        <f>IF(AND($P1643=1,$A1643=经营数据!$B$3,$J1643=经营数据!$BA$5),COUNTIFS($P$2:$P$3000,1,$A$2:$A$3000,$A1643,$J$2:$J$3000,$J1643,$N$2:$N$3000,"&lt;"&amp;$N1643)+1,"")</f>
        <v/>
      </c>
      <c r="R1643" t="str">
        <f t="shared" si="383"/>
        <v>华安锦江封闭式商业不动产证券投资基金|锦江都城绍兴柯桥店</v>
      </c>
      <c r="S1643">
        <f>IF($A1643="",0,IF(COUNTIF($R$2:$R1643,$R1643)=1,1,0))</f>
        <v>0</v>
      </c>
      <c r="T1643">
        <f t="shared" si="384"/>
        <v>1633</v>
      </c>
      <c r="U1643" t="str">
        <f>IF($A1643="","",IF($A1643=经营数据!$B$3,COUNTIFS($S$2:$S$3000,1,$A$2:$A$3000,$A1643,$T$2:$T$3000,"&lt;"&amp;$T1643)+1,""))</f>
        <v/>
      </c>
      <c r="V1643" t="str">
        <f t="shared" si="385"/>
        <v>锦江都城绍兴柯桥店|服务量</v>
      </c>
      <c r="W1643">
        <f t="shared" si="386"/>
        <v>1633</v>
      </c>
      <c r="X1643" t="str">
        <f t="shared" si="387"/>
        <v>锦江都城绍兴柯桥店|平均房价</v>
      </c>
      <c r="Y1643">
        <f t="shared" si="388"/>
        <v>1633</v>
      </c>
      <c r="Z1643">
        <f>IF($A1643="",0,IF(AND($M1643=1,$A1643=经营数据!$B$3,$J1643=经营数据!$BA$5,OR($I1643=经营数据!$BA$4,COUNTIF(经营数据!$AA$9:$AA$38,$I1643)&gt;0)),1,0))</f>
        <v>0</v>
      </c>
      <c r="AA1643" t="str">
        <f t="shared" si="389"/>
        <v/>
      </c>
      <c r="AB1643" t="str">
        <f t="shared" si="390"/>
        <v/>
      </c>
      <c r="AC1643">
        <f>IF($A1643="",0,IF(COUNTIF($A$2:$A1643,$A1643)=1,1,0))</f>
        <v>0</v>
      </c>
      <c r="AD1643">
        <f t="shared" si="391"/>
        <v>18</v>
      </c>
      <c r="AE1643" t="str">
        <f t="shared" si="392"/>
        <v>锦江都城绍兴柯桥店|平均房价（元/间）</v>
      </c>
    </row>
    <row r="1644" spans="1:31" x14ac:dyDescent="0.4">
      <c r="A1644" t="str">
        <f>IF(原始经营数据!$D1645="","",原始经营数据!$D1645)</f>
        <v>华安锦江封闭式商业不动产证券投资基金</v>
      </c>
      <c r="B1644" t="str">
        <f>IF(原始经营数据!$D1645="","",T(原始经营数据!$E1645))</f>
        <v>锦江都城绍兴柯桥店</v>
      </c>
      <c r="C1644" t="str">
        <f>IF(原始经营数据!$D1645="","",原始经营数据!$F1645)</f>
        <v>2025</v>
      </c>
      <c r="D1644" t="str">
        <f>IF(原始经营数据!$D1645="","",原始经营数据!$H1645)</f>
        <v>平均入住率</v>
      </c>
      <c r="E1644">
        <f>IF(原始经营数据!$D1645="","",原始经营数据!$I1645)</f>
        <v>43.93</v>
      </c>
      <c r="F1644" t="str">
        <f>IF(原始经营数据!$D1645="","",T(原始经营数据!$J1645))</f>
        <v>%</v>
      </c>
      <c r="G1644" t="str">
        <f>IF(原始经营数据!$D1645="","",T(原始经营数据!$K1645))</f>
        <v/>
      </c>
      <c r="H1644" t="str">
        <f>IF(原始经营数据!$D1645="","",原始经营数据!$G1645)</f>
        <v>服务量</v>
      </c>
      <c r="I1644" t="str">
        <f>IF($A1644="","",IF($B1644&lt;&gt;"",$B1644,IF(COUNTIFS(原始经营数据!$D$3:$D$3001,$A1644,原始经营数据!$E$3:$E$3001,"",原始经营数据!$F$3:$F$3001,$C1644,原始经营数据!$H$3:$H$3001,$D1644,原始经营数据!$K$3:$K$3001,$G1644)&gt;1,"基金整体·来源"&amp;原始经营数据!$A1645,"基金整体")))</f>
        <v>锦江都城绍兴柯桥店</v>
      </c>
      <c r="J1644" t="str">
        <f t="shared" si="378"/>
        <v>年度</v>
      </c>
      <c r="K1644" t="str">
        <f t="shared" si="379"/>
        <v>平均入住率（%）</v>
      </c>
      <c r="L1644" t="str">
        <f t="shared" si="380"/>
        <v>锦江都城绍兴柯桥店|平均入住率（%）|年度</v>
      </c>
      <c r="M1644">
        <f>IF($A1644="",0,IF(COUNTIF($L$2:$L1644,$L1644)=1,1,0))</f>
        <v>0</v>
      </c>
      <c r="N1644">
        <f t="shared" si="381"/>
        <v>20250</v>
      </c>
      <c r="O1644" t="str">
        <f t="shared" si="382"/>
        <v>华安锦江封闭式商业不动产证券投资基金|2025|年度</v>
      </c>
      <c r="P1644">
        <f>IF($A1644="",0,IF(COUNTIF($O$2:$O1644,$O1644)=1,1,0))</f>
        <v>0</v>
      </c>
      <c r="Q1644" t="str">
        <f>IF(AND($P1644=1,$A1644=经营数据!$B$3,$J1644=经营数据!$BA$5),COUNTIFS($P$2:$P$3000,1,$A$2:$A$3000,$A1644,$J$2:$J$3000,$J1644,$N$2:$N$3000,"&lt;"&amp;$N1644)+1,"")</f>
        <v/>
      </c>
      <c r="R1644" t="str">
        <f t="shared" si="383"/>
        <v>华安锦江封闭式商业不动产证券投资基金|锦江都城绍兴柯桥店</v>
      </c>
      <c r="S1644">
        <f>IF($A1644="",0,IF(COUNTIF($R$2:$R1644,$R1644)=1,1,0))</f>
        <v>0</v>
      </c>
      <c r="T1644">
        <f t="shared" si="384"/>
        <v>1633</v>
      </c>
      <c r="U1644" t="str">
        <f>IF($A1644="","",IF($A1644=经营数据!$B$3,COUNTIFS($S$2:$S$3000,1,$A$2:$A$3000,$A1644,$T$2:$T$3000,"&lt;"&amp;$T1644)+1,""))</f>
        <v/>
      </c>
      <c r="V1644" t="str">
        <f t="shared" si="385"/>
        <v>锦江都城绍兴柯桥店|服务量</v>
      </c>
      <c r="W1644">
        <f t="shared" si="386"/>
        <v>1633</v>
      </c>
      <c r="X1644" t="str">
        <f t="shared" si="387"/>
        <v>锦江都城绍兴柯桥店|平均入住率</v>
      </c>
      <c r="Y1644">
        <f t="shared" si="388"/>
        <v>1634</v>
      </c>
      <c r="Z1644">
        <f>IF($A1644="",0,IF(AND($M1644=1,$A1644=经营数据!$B$3,$J1644=经营数据!$BA$5,OR($I1644=经营数据!$BA$4,COUNTIF(经营数据!$AA$9:$AA$38,$I1644)&gt;0)),1,0))</f>
        <v>0</v>
      </c>
      <c r="AA1644" t="str">
        <f t="shared" si="389"/>
        <v/>
      </c>
      <c r="AB1644" t="str">
        <f t="shared" si="390"/>
        <v/>
      </c>
      <c r="AC1644">
        <f>IF($A1644="",0,IF(COUNTIF($A$2:$A1644,$A1644)=1,1,0))</f>
        <v>0</v>
      </c>
      <c r="AD1644">
        <f t="shared" si="391"/>
        <v>18</v>
      </c>
      <c r="AE1644" t="str">
        <f t="shared" si="392"/>
        <v>锦江都城绍兴柯桥店|平均入住率（%）</v>
      </c>
    </row>
    <row r="1645" spans="1:31" x14ac:dyDescent="0.4">
      <c r="A1645" t="str">
        <f>IF(原始经营数据!$D1646="","",原始经营数据!$D1646)</f>
        <v>华安锦江封闭式商业不动产证券投资基金</v>
      </c>
      <c r="B1645" t="str">
        <f>IF(原始经营数据!$D1646="","",T(原始经营数据!$E1646))</f>
        <v>锦江都城绍兴柯桥店</v>
      </c>
      <c r="C1645" t="str">
        <f>IF(原始经营数据!$D1646="","",原始经营数据!$F1646)</f>
        <v>2025</v>
      </c>
      <c r="D1645" t="str">
        <f>IF(原始经营数据!$D1646="","",原始经营数据!$H1646)</f>
        <v>可供房数</v>
      </c>
      <c r="E1645">
        <f>IF(原始经营数据!$D1646="","",原始经营数据!$I1646)</f>
        <v>58524</v>
      </c>
      <c r="F1645" t="str">
        <f>IF(原始经营数据!$D1646="","",T(原始经营数据!$J1646))</f>
        <v>间</v>
      </c>
      <c r="G1645" t="str">
        <f>IF(原始经营数据!$D1646="","",T(原始经营数据!$K1646))</f>
        <v/>
      </c>
      <c r="H1645" t="str">
        <f>IF(原始经营数据!$D1646="","",原始经营数据!$G1646)</f>
        <v>服务量</v>
      </c>
      <c r="I1645" t="str">
        <f>IF($A1645="","",IF($B1645&lt;&gt;"",$B1645,IF(COUNTIFS(原始经营数据!$D$3:$D$3001,$A1645,原始经营数据!$E$3:$E$3001,"",原始经营数据!$F$3:$F$3001,$C1645,原始经营数据!$H$3:$H$3001,$D1645,原始经营数据!$K$3:$K$3001,$G1645)&gt;1,"基金整体·来源"&amp;原始经营数据!$A1646,"基金整体")))</f>
        <v>锦江都城绍兴柯桥店</v>
      </c>
      <c r="J1645" t="str">
        <f t="shared" si="378"/>
        <v>年度</v>
      </c>
      <c r="K1645" t="str">
        <f t="shared" si="379"/>
        <v>可供房数（间）</v>
      </c>
      <c r="L1645" t="str">
        <f t="shared" si="380"/>
        <v>锦江都城绍兴柯桥店|可供房数（间）|年度</v>
      </c>
      <c r="M1645">
        <f>IF($A1645="",0,IF(COUNTIF($L$2:$L1645,$L1645)=1,1,0))</f>
        <v>0</v>
      </c>
      <c r="N1645">
        <f t="shared" si="381"/>
        <v>20250</v>
      </c>
      <c r="O1645" t="str">
        <f t="shared" si="382"/>
        <v>华安锦江封闭式商业不动产证券投资基金|2025|年度</v>
      </c>
      <c r="P1645">
        <f>IF($A1645="",0,IF(COUNTIF($O$2:$O1645,$O1645)=1,1,0))</f>
        <v>0</v>
      </c>
      <c r="Q1645" t="str">
        <f>IF(AND($P1645=1,$A1645=经营数据!$B$3,$J1645=经营数据!$BA$5),COUNTIFS($P$2:$P$3000,1,$A$2:$A$3000,$A1645,$J$2:$J$3000,$J1645,$N$2:$N$3000,"&lt;"&amp;$N1645)+1,"")</f>
        <v/>
      </c>
      <c r="R1645" t="str">
        <f t="shared" si="383"/>
        <v>华安锦江封闭式商业不动产证券投资基金|锦江都城绍兴柯桥店</v>
      </c>
      <c r="S1645">
        <f>IF($A1645="",0,IF(COUNTIF($R$2:$R1645,$R1645)=1,1,0))</f>
        <v>0</v>
      </c>
      <c r="T1645">
        <f t="shared" si="384"/>
        <v>1633</v>
      </c>
      <c r="U1645" t="str">
        <f>IF($A1645="","",IF($A1645=经营数据!$B$3,COUNTIFS($S$2:$S$3000,1,$A$2:$A$3000,$A1645,$T$2:$T$3000,"&lt;"&amp;$T1645)+1,""))</f>
        <v/>
      </c>
      <c r="V1645" t="str">
        <f t="shared" si="385"/>
        <v>锦江都城绍兴柯桥店|服务量</v>
      </c>
      <c r="W1645">
        <f t="shared" si="386"/>
        <v>1633</v>
      </c>
      <c r="X1645" t="str">
        <f t="shared" si="387"/>
        <v>锦江都城绍兴柯桥店|可供房数</v>
      </c>
      <c r="Y1645">
        <f t="shared" si="388"/>
        <v>1635</v>
      </c>
      <c r="Z1645">
        <f>IF($A1645="",0,IF(AND($M1645=1,$A1645=经营数据!$B$3,$J1645=经营数据!$BA$5,OR($I1645=经营数据!$BA$4,COUNTIF(经营数据!$AA$9:$AA$38,$I1645)&gt;0)),1,0))</f>
        <v>0</v>
      </c>
      <c r="AA1645" t="str">
        <f t="shared" si="389"/>
        <v/>
      </c>
      <c r="AB1645" t="str">
        <f t="shared" si="390"/>
        <v/>
      </c>
      <c r="AC1645">
        <f>IF($A1645="",0,IF(COUNTIF($A$2:$A1645,$A1645)=1,1,0))</f>
        <v>0</v>
      </c>
      <c r="AD1645">
        <f t="shared" si="391"/>
        <v>18</v>
      </c>
      <c r="AE1645" t="str">
        <f t="shared" si="392"/>
        <v>锦江都城绍兴柯桥店|可供房数（间）</v>
      </c>
    </row>
    <row r="1646" spans="1:31" x14ac:dyDescent="0.4">
      <c r="A1646" t="str">
        <f>IF(原始经营数据!$D1647="","",原始经营数据!$D1647)</f>
        <v>华安锦江封闭式商业不动产证券投资基金</v>
      </c>
      <c r="B1646" t="str">
        <f>IF(原始经营数据!$D1647="","",T(原始经营数据!$E1647))</f>
        <v>锦江都城芜湖镜湖店</v>
      </c>
      <c r="C1646" t="str">
        <f>IF(原始经营数据!$D1647="","",原始经营数据!$F1647)</f>
        <v>2022</v>
      </c>
      <c r="D1646" t="str">
        <f>IF(原始经营数据!$D1647="","",原始经营数据!$H1647)</f>
        <v>平均房价</v>
      </c>
      <c r="E1646">
        <f>IF(原始经营数据!$D1647="","",原始经营数据!$I1647)</f>
        <v>190.34</v>
      </c>
      <c r="F1646" t="str">
        <f>IF(原始经营数据!$D1647="","",T(原始经营数据!$J1647))</f>
        <v>元/间</v>
      </c>
      <c r="G1646" t="str">
        <f>IF(原始经营数据!$D1647="","",T(原始经营数据!$K1647))</f>
        <v/>
      </c>
      <c r="H1646" t="str">
        <f>IF(原始经营数据!$D1647="","",原始经营数据!$G1647)</f>
        <v>服务量</v>
      </c>
      <c r="I1646" t="str">
        <f>IF($A1646="","",IF($B1646&lt;&gt;"",$B1646,IF(COUNTIFS(原始经营数据!$D$3:$D$3001,$A1646,原始经营数据!$E$3:$E$3001,"",原始经营数据!$F$3:$F$3001,$C1646,原始经营数据!$H$3:$H$3001,$D1646,原始经营数据!$K$3:$K$3001,$G1646)&gt;1,"基金整体·来源"&amp;原始经营数据!$A1647,"基金整体")))</f>
        <v>锦江都城芜湖镜湖店</v>
      </c>
      <c r="J1646" t="str">
        <f t="shared" si="378"/>
        <v>年度</v>
      </c>
      <c r="K1646" t="str">
        <f t="shared" si="379"/>
        <v>平均房价（元/间）</v>
      </c>
      <c r="L1646" t="str">
        <f t="shared" si="380"/>
        <v>锦江都城芜湖镜湖店|平均房价（元/间）|年度</v>
      </c>
      <c r="M1646">
        <f>IF($A1646="",0,IF(COUNTIF($L$2:$L1646,$L1646)=1,1,0))</f>
        <v>1</v>
      </c>
      <c r="N1646">
        <f t="shared" si="381"/>
        <v>20220</v>
      </c>
      <c r="O1646" t="str">
        <f t="shared" si="382"/>
        <v>华安锦江封闭式商业不动产证券投资基金|2022|年度</v>
      </c>
      <c r="P1646">
        <f>IF($A1646="",0,IF(COUNTIF($O$2:$O1646,$O1646)=1,1,0))</f>
        <v>0</v>
      </c>
      <c r="Q1646" t="str">
        <f>IF(AND($P1646=1,$A1646=经营数据!$B$3,$J1646=经营数据!$BA$5),COUNTIFS($P$2:$P$3000,1,$A$2:$A$3000,$A1646,$J$2:$J$3000,$J1646,$N$2:$N$3000,"&lt;"&amp;$N1646)+1,"")</f>
        <v/>
      </c>
      <c r="R1646" t="str">
        <f t="shared" si="383"/>
        <v>华安锦江封闭式商业不动产证券投资基金|锦江都城芜湖镜湖店</v>
      </c>
      <c r="S1646">
        <f>IF($A1646="",0,IF(COUNTIF($R$2:$R1646,$R1646)=1,1,0))</f>
        <v>1</v>
      </c>
      <c r="T1646">
        <f t="shared" si="384"/>
        <v>1645</v>
      </c>
      <c r="U1646" t="str">
        <f>IF($A1646="","",IF($A1646=经营数据!$B$3,COUNTIFS($S$2:$S$3000,1,$A$2:$A$3000,$A1646,$T$2:$T$3000,"&lt;"&amp;$T1646)+1,""))</f>
        <v/>
      </c>
      <c r="V1646" t="str">
        <f t="shared" si="385"/>
        <v>锦江都城芜湖镜湖店|服务量</v>
      </c>
      <c r="W1646">
        <f t="shared" si="386"/>
        <v>1645</v>
      </c>
      <c r="X1646" t="str">
        <f t="shared" si="387"/>
        <v>锦江都城芜湖镜湖店|平均房价</v>
      </c>
      <c r="Y1646">
        <f t="shared" si="388"/>
        <v>1645</v>
      </c>
      <c r="Z1646">
        <f>IF($A1646="",0,IF(AND($M1646=1,$A1646=经营数据!$B$3,$J1646=经营数据!$BA$5,OR($I1646=经营数据!$BA$4,COUNTIF(经营数据!$AA$9:$AA$38,$I1646)&gt;0)),1,0))</f>
        <v>0</v>
      </c>
      <c r="AA1646" t="str">
        <f t="shared" si="389"/>
        <v/>
      </c>
      <c r="AB1646" t="str">
        <f t="shared" si="390"/>
        <v/>
      </c>
      <c r="AC1646">
        <f>IF($A1646="",0,IF(COUNTIF($A$2:$A1646,$A1646)=1,1,0))</f>
        <v>0</v>
      </c>
      <c r="AD1646">
        <f t="shared" si="391"/>
        <v>18</v>
      </c>
      <c r="AE1646" t="str">
        <f t="shared" si="392"/>
        <v>锦江都城芜湖镜湖店|平均房价（元/间）</v>
      </c>
    </row>
    <row r="1647" spans="1:31" x14ac:dyDescent="0.4">
      <c r="A1647" t="str">
        <f>IF(原始经营数据!$D1648="","",原始经营数据!$D1648)</f>
        <v>华安锦江封闭式商业不动产证券投资基金</v>
      </c>
      <c r="B1647" t="str">
        <f>IF(原始经营数据!$D1648="","",T(原始经营数据!$E1648))</f>
        <v>锦江都城芜湖镜湖店</v>
      </c>
      <c r="C1647" t="str">
        <f>IF(原始经营数据!$D1648="","",原始经营数据!$F1648)</f>
        <v>2022</v>
      </c>
      <c r="D1647" t="str">
        <f>IF(原始经营数据!$D1648="","",原始经营数据!$H1648)</f>
        <v>平均入住率</v>
      </c>
      <c r="E1647">
        <f>IF(原始经营数据!$D1648="","",原始经营数据!$I1648)</f>
        <v>67.959999999999994</v>
      </c>
      <c r="F1647" t="str">
        <f>IF(原始经营数据!$D1648="","",T(原始经营数据!$J1648))</f>
        <v>%</v>
      </c>
      <c r="G1647" t="str">
        <f>IF(原始经营数据!$D1648="","",T(原始经营数据!$K1648))</f>
        <v/>
      </c>
      <c r="H1647" t="str">
        <f>IF(原始经营数据!$D1648="","",原始经营数据!$G1648)</f>
        <v>服务量</v>
      </c>
      <c r="I1647" t="str">
        <f>IF($A1647="","",IF($B1647&lt;&gt;"",$B1647,IF(COUNTIFS(原始经营数据!$D$3:$D$3001,$A1647,原始经营数据!$E$3:$E$3001,"",原始经营数据!$F$3:$F$3001,$C1647,原始经营数据!$H$3:$H$3001,$D1647,原始经营数据!$K$3:$K$3001,$G1647)&gt;1,"基金整体·来源"&amp;原始经营数据!$A1648,"基金整体")))</f>
        <v>锦江都城芜湖镜湖店</v>
      </c>
      <c r="J1647" t="str">
        <f t="shared" si="378"/>
        <v>年度</v>
      </c>
      <c r="K1647" t="str">
        <f t="shared" si="379"/>
        <v>平均入住率（%）</v>
      </c>
      <c r="L1647" t="str">
        <f t="shared" si="380"/>
        <v>锦江都城芜湖镜湖店|平均入住率（%）|年度</v>
      </c>
      <c r="M1647">
        <f>IF($A1647="",0,IF(COUNTIF($L$2:$L1647,$L1647)=1,1,0))</f>
        <v>1</v>
      </c>
      <c r="N1647">
        <f t="shared" si="381"/>
        <v>20220</v>
      </c>
      <c r="O1647" t="str">
        <f t="shared" si="382"/>
        <v>华安锦江封闭式商业不动产证券投资基金|2022|年度</v>
      </c>
      <c r="P1647">
        <f>IF($A1647="",0,IF(COUNTIF($O$2:$O1647,$O1647)=1,1,0))</f>
        <v>0</v>
      </c>
      <c r="Q1647" t="str">
        <f>IF(AND($P1647=1,$A1647=经营数据!$B$3,$J1647=经营数据!$BA$5),COUNTIFS($P$2:$P$3000,1,$A$2:$A$3000,$A1647,$J$2:$J$3000,$J1647,$N$2:$N$3000,"&lt;"&amp;$N1647)+1,"")</f>
        <v/>
      </c>
      <c r="R1647" t="str">
        <f t="shared" si="383"/>
        <v>华安锦江封闭式商业不动产证券投资基金|锦江都城芜湖镜湖店</v>
      </c>
      <c r="S1647">
        <f>IF($A1647="",0,IF(COUNTIF($R$2:$R1647,$R1647)=1,1,0))</f>
        <v>0</v>
      </c>
      <c r="T1647">
        <f t="shared" si="384"/>
        <v>1645</v>
      </c>
      <c r="U1647" t="str">
        <f>IF($A1647="","",IF($A1647=经营数据!$B$3,COUNTIFS($S$2:$S$3000,1,$A$2:$A$3000,$A1647,$T$2:$T$3000,"&lt;"&amp;$T1647)+1,""))</f>
        <v/>
      </c>
      <c r="V1647" t="str">
        <f t="shared" si="385"/>
        <v>锦江都城芜湖镜湖店|服务量</v>
      </c>
      <c r="W1647">
        <f t="shared" si="386"/>
        <v>1645</v>
      </c>
      <c r="X1647" t="str">
        <f t="shared" si="387"/>
        <v>锦江都城芜湖镜湖店|平均入住率</v>
      </c>
      <c r="Y1647">
        <f t="shared" si="388"/>
        <v>1646</v>
      </c>
      <c r="Z1647">
        <f>IF($A1647="",0,IF(AND($M1647=1,$A1647=经营数据!$B$3,$J1647=经营数据!$BA$5,OR($I1647=经营数据!$BA$4,COUNTIF(经营数据!$AA$9:$AA$38,$I1647)&gt;0)),1,0))</f>
        <v>0</v>
      </c>
      <c r="AA1647" t="str">
        <f t="shared" si="389"/>
        <v/>
      </c>
      <c r="AB1647" t="str">
        <f t="shared" si="390"/>
        <v/>
      </c>
      <c r="AC1647">
        <f>IF($A1647="",0,IF(COUNTIF($A$2:$A1647,$A1647)=1,1,0))</f>
        <v>0</v>
      </c>
      <c r="AD1647">
        <f t="shared" si="391"/>
        <v>18</v>
      </c>
      <c r="AE1647" t="str">
        <f t="shared" si="392"/>
        <v>锦江都城芜湖镜湖店|平均入住率（%）</v>
      </c>
    </row>
    <row r="1648" spans="1:31" x14ac:dyDescent="0.4">
      <c r="A1648" t="str">
        <f>IF(原始经营数据!$D1649="","",原始经营数据!$D1649)</f>
        <v>华安锦江封闭式商业不动产证券投资基金</v>
      </c>
      <c r="B1648" t="str">
        <f>IF(原始经营数据!$D1649="","",T(原始经营数据!$E1649))</f>
        <v>锦江都城芜湖镜湖店</v>
      </c>
      <c r="C1648" t="str">
        <f>IF(原始经营数据!$D1649="","",原始经营数据!$F1649)</f>
        <v>2022</v>
      </c>
      <c r="D1648" t="str">
        <f>IF(原始经营数据!$D1649="","",原始经营数据!$H1649)</f>
        <v>可供房数</v>
      </c>
      <c r="E1648">
        <f>IF(原始经营数据!$D1649="","",原始经营数据!$I1649)</f>
        <v>51391</v>
      </c>
      <c r="F1648" t="str">
        <f>IF(原始经营数据!$D1649="","",T(原始经营数据!$J1649))</f>
        <v>间</v>
      </c>
      <c r="G1648" t="str">
        <f>IF(原始经营数据!$D1649="","",T(原始经营数据!$K1649))</f>
        <v/>
      </c>
      <c r="H1648" t="str">
        <f>IF(原始经营数据!$D1649="","",原始经营数据!$G1649)</f>
        <v>服务量</v>
      </c>
      <c r="I1648" t="str">
        <f>IF($A1648="","",IF($B1648&lt;&gt;"",$B1648,IF(COUNTIFS(原始经营数据!$D$3:$D$3001,$A1648,原始经营数据!$E$3:$E$3001,"",原始经营数据!$F$3:$F$3001,$C1648,原始经营数据!$H$3:$H$3001,$D1648,原始经营数据!$K$3:$K$3001,$G1648)&gt;1,"基金整体·来源"&amp;原始经营数据!$A1649,"基金整体")))</f>
        <v>锦江都城芜湖镜湖店</v>
      </c>
      <c r="J1648" t="str">
        <f t="shared" si="378"/>
        <v>年度</v>
      </c>
      <c r="K1648" t="str">
        <f t="shared" si="379"/>
        <v>可供房数（间）</v>
      </c>
      <c r="L1648" t="str">
        <f t="shared" si="380"/>
        <v>锦江都城芜湖镜湖店|可供房数（间）|年度</v>
      </c>
      <c r="M1648">
        <f>IF($A1648="",0,IF(COUNTIF($L$2:$L1648,$L1648)=1,1,0))</f>
        <v>1</v>
      </c>
      <c r="N1648">
        <f t="shared" si="381"/>
        <v>20220</v>
      </c>
      <c r="O1648" t="str">
        <f t="shared" si="382"/>
        <v>华安锦江封闭式商业不动产证券投资基金|2022|年度</v>
      </c>
      <c r="P1648">
        <f>IF($A1648="",0,IF(COUNTIF($O$2:$O1648,$O1648)=1,1,0))</f>
        <v>0</v>
      </c>
      <c r="Q1648" t="str">
        <f>IF(AND($P1648=1,$A1648=经营数据!$B$3,$J1648=经营数据!$BA$5),COUNTIFS($P$2:$P$3000,1,$A$2:$A$3000,$A1648,$J$2:$J$3000,$J1648,$N$2:$N$3000,"&lt;"&amp;$N1648)+1,"")</f>
        <v/>
      </c>
      <c r="R1648" t="str">
        <f t="shared" si="383"/>
        <v>华安锦江封闭式商业不动产证券投资基金|锦江都城芜湖镜湖店</v>
      </c>
      <c r="S1648">
        <f>IF($A1648="",0,IF(COUNTIF($R$2:$R1648,$R1648)=1,1,0))</f>
        <v>0</v>
      </c>
      <c r="T1648">
        <f t="shared" si="384"/>
        <v>1645</v>
      </c>
      <c r="U1648" t="str">
        <f>IF($A1648="","",IF($A1648=经营数据!$B$3,COUNTIFS($S$2:$S$3000,1,$A$2:$A$3000,$A1648,$T$2:$T$3000,"&lt;"&amp;$T1648)+1,""))</f>
        <v/>
      </c>
      <c r="V1648" t="str">
        <f t="shared" si="385"/>
        <v>锦江都城芜湖镜湖店|服务量</v>
      </c>
      <c r="W1648">
        <f t="shared" si="386"/>
        <v>1645</v>
      </c>
      <c r="X1648" t="str">
        <f t="shared" si="387"/>
        <v>锦江都城芜湖镜湖店|可供房数</v>
      </c>
      <c r="Y1648">
        <f t="shared" si="388"/>
        <v>1647</v>
      </c>
      <c r="Z1648">
        <f>IF($A1648="",0,IF(AND($M1648=1,$A1648=经营数据!$B$3,$J1648=经营数据!$BA$5,OR($I1648=经营数据!$BA$4,COUNTIF(经营数据!$AA$9:$AA$38,$I1648)&gt;0)),1,0))</f>
        <v>0</v>
      </c>
      <c r="AA1648" t="str">
        <f t="shared" si="389"/>
        <v/>
      </c>
      <c r="AB1648" t="str">
        <f t="shared" si="390"/>
        <v/>
      </c>
      <c r="AC1648">
        <f>IF($A1648="",0,IF(COUNTIF($A$2:$A1648,$A1648)=1,1,0))</f>
        <v>0</v>
      </c>
      <c r="AD1648">
        <f t="shared" si="391"/>
        <v>18</v>
      </c>
      <c r="AE1648" t="str">
        <f t="shared" si="392"/>
        <v>锦江都城芜湖镜湖店|可供房数（间）</v>
      </c>
    </row>
    <row r="1649" spans="1:31" x14ac:dyDescent="0.4">
      <c r="A1649" t="str">
        <f>IF(原始经营数据!$D1650="","",原始经营数据!$D1650)</f>
        <v>华安锦江封闭式商业不动产证券投资基金</v>
      </c>
      <c r="B1649" t="str">
        <f>IF(原始经营数据!$D1650="","",T(原始经营数据!$E1650))</f>
        <v>锦江都城芜湖镜湖店</v>
      </c>
      <c r="C1649" t="str">
        <f>IF(原始经营数据!$D1650="","",原始经营数据!$F1650)</f>
        <v>2023</v>
      </c>
      <c r="D1649" t="str">
        <f>IF(原始经营数据!$D1650="","",原始经营数据!$H1650)</f>
        <v>平均房价</v>
      </c>
      <c r="E1649">
        <f>IF(原始经营数据!$D1650="","",原始经营数据!$I1650)</f>
        <v>241.29</v>
      </c>
      <c r="F1649" t="str">
        <f>IF(原始经营数据!$D1650="","",T(原始经营数据!$J1650))</f>
        <v>元/间</v>
      </c>
      <c r="G1649" t="str">
        <f>IF(原始经营数据!$D1650="","",T(原始经营数据!$K1650))</f>
        <v/>
      </c>
      <c r="H1649" t="str">
        <f>IF(原始经营数据!$D1650="","",原始经营数据!$G1650)</f>
        <v>服务量</v>
      </c>
      <c r="I1649" t="str">
        <f>IF($A1649="","",IF($B1649&lt;&gt;"",$B1649,IF(COUNTIFS(原始经营数据!$D$3:$D$3001,$A1649,原始经营数据!$E$3:$E$3001,"",原始经营数据!$F$3:$F$3001,$C1649,原始经营数据!$H$3:$H$3001,$D1649,原始经营数据!$K$3:$K$3001,$G1649)&gt;1,"基金整体·来源"&amp;原始经营数据!$A1650,"基金整体")))</f>
        <v>锦江都城芜湖镜湖店</v>
      </c>
      <c r="J1649" t="str">
        <f t="shared" si="378"/>
        <v>年度</v>
      </c>
      <c r="K1649" t="str">
        <f t="shared" si="379"/>
        <v>平均房价（元/间）</v>
      </c>
      <c r="L1649" t="str">
        <f t="shared" si="380"/>
        <v>锦江都城芜湖镜湖店|平均房价（元/间）|年度</v>
      </c>
      <c r="M1649">
        <f>IF($A1649="",0,IF(COUNTIF($L$2:$L1649,$L1649)=1,1,0))</f>
        <v>0</v>
      </c>
      <c r="N1649">
        <f t="shared" si="381"/>
        <v>20230</v>
      </c>
      <c r="O1649" t="str">
        <f t="shared" si="382"/>
        <v>华安锦江封闭式商业不动产证券投资基金|2023|年度</v>
      </c>
      <c r="P1649">
        <f>IF($A1649="",0,IF(COUNTIF($O$2:$O1649,$O1649)=1,1,0))</f>
        <v>0</v>
      </c>
      <c r="Q1649" t="str">
        <f>IF(AND($P1649=1,$A1649=经营数据!$B$3,$J1649=经营数据!$BA$5),COUNTIFS($P$2:$P$3000,1,$A$2:$A$3000,$A1649,$J$2:$J$3000,$J1649,$N$2:$N$3000,"&lt;"&amp;$N1649)+1,"")</f>
        <v/>
      </c>
      <c r="R1649" t="str">
        <f t="shared" si="383"/>
        <v>华安锦江封闭式商业不动产证券投资基金|锦江都城芜湖镜湖店</v>
      </c>
      <c r="S1649">
        <f>IF($A1649="",0,IF(COUNTIF($R$2:$R1649,$R1649)=1,1,0))</f>
        <v>0</v>
      </c>
      <c r="T1649">
        <f t="shared" si="384"/>
        <v>1645</v>
      </c>
      <c r="U1649" t="str">
        <f>IF($A1649="","",IF($A1649=经营数据!$B$3,COUNTIFS($S$2:$S$3000,1,$A$2:$A$3000,$A1649,$T$2:$T$3000,"&lt;"&amp;$T1649)+1,""))</f>
        <v/>
      </c>
      <c r="V1649" t="str">
        <f t="shared" si="385"/>
        <v>锦江都城芜湖镜湖店|服务量</v>
      </c>
      <c r="W1649">
        <f t="shared" si="386"/>
        <v>1645</v>
      </c>
      <c r="X1649" t="str">
        <f t="shared" si="387"/>
        <v>锦江都城芜湖镜湖店|平均房价</v>
      </c>
      <c r="Y1649">
        <f t="shared" si="388"/>
        <v>1645</v>
      </c>
      <c r="Z1649">
        <f>IF($A1649="",0,IF(AND($M1649=1,$A1649=经营数据!$B$3,$J1649=经营数据!$BA$5,OR($I1649=经营数据!$BA$4,COUNTIF(经营数据!$AA$9:$AA$38,$I1649)&gt;0)),1,0))</f>
        <v>0</v>
      </c>
      <c r="AA1649" t="str">
        <f t="shared" si="389"/>
        <v/>
      </c>
      <c r="AB1649" t="str">
        <f t="shared" si="390"/>
        <v/>
      </c>
      <c r="AC1649">
        <f>IF($A1649="",0,IF(COUNTIF($A$2:$A1649,$A1649)=1,1,0))</f>
        <v>0</v>
      </c>
      <c r="AD1649">
        <f t="shared" si="391"/>
        <v>18</v>
      </c>
      <c r="AE1649" t="str">
        <f t="shared" si="392"/>
        <v>锦江都城芜湖镜湖店|平均房价（元/间）</v>
      </c>
    </row>
    <row r="1650" spans="1:31" x14ac:dyDescent="0.4">
      <c r="A1650" t="str">
        <f>IF(原始经营数据!$D1651="","",原始经营数据!$D1651)</f>
        <v>华安锦江封闭式商业不动产证券投资基金</v>
      </c>
      <c r="B1650" t="str">
        <f>IF(原始经营数据!$D1651="","",T(原始经营数据!$E1651))</f>
        <v>锦江都城芜湖镜湖店</v>
      </c>
      <c r="C1650" t="str">
        <f>IF(原始经营数据!$D1651="","",原始经营数据!$F1651)</f>
        <v>2023</v>
      </c>
      <c r="D1650" t="str">
        <f>IF(原始经营数据!$D1651="","",原始经营数据!$H1651)</f>
        <v>平均入住率</v>
      </c>
      <c r="E1650">
        <f>IF(原始经营数据!$D1651="","",原始经营数据!$I1651)</f>
        <v>68.459999999999994</v>
      </c>
      <c r="F1650" t="str">
        <f>IF(原始经营数据!$D1651="","",T(原始经营数据!$J1651))</f>
        <v>%</v>
      </c>
      <c r="G1650" t="str">
        <f>IF(原始经营数据!$D1651="","",T(原始经营数据!$K1651))</f>
        <v/>
      </c>
      <c r="H1650" t="str">
        <f>IF(原始经营数据!$D1651="","",原始经营数据!$G1651)</f>
        <v>服务量</v>
      </c>
      <c r="I1650" t="str">
        <f>IF($A1650="","",IF($B1650&lt;&gt;"",$B1650,IF(COUNTIFS(原始经营数据!$D$3:$D$3001,$A1650,原始经营数据!$E$3:$E$3001,"",原始经营数据!$F$3:$F$3001,$C1650,原始经营数据!$H$3:$H$3001,$D1650,原始经营数据!$K$3:$K$3001,$G1650)&gt;1,"基金整体·来源"&amp;原始经营数据!$A1651,"基金整体")))</f>
        <v>锦江都城芜湖镜湖店</v>
      </c>
      <c r="J1650" t="str">
        <f t="shared" si="378"/>
        <v>年度</v>
      </c>
      <c r="K1650" t="str">
        <f t="shared" si="379"/>
        <v>平均入住率（%）</v>
      </c>
      <c r="L1650" t="str">
        <f t="shared" si="380"/>
        <v>锦江都城芜湖镜湖店|平均入住率（%）|年度</v>
      </c>
      <c r="M1650">
        <f>IF($A1650="",0,IF(COUNTIF($L$2:$L1650,$L1650)=1,1,0))</f>
        <v>0</v>
      </c>
      <c r="N1650">
        <f t="shared" si="381"/>
        <v>20230</v>
      </c>
      <c r="O1650" t="str">
        <f t="shared" si="382"/>
        <v>华安锦江封闭式商业不动产证券投资基金|2023|年度</v>
      </c>
      <c r="P1650">
        <f>IF($A1650="",0,IF(COUNTIF($O$2:$O1650,$O1650)=1,1,0))</f>
        <v>0</v>
      </c>
      <c r="Q1650" t="str">
        <f>IF(AND($P1650=1,$A1650=经营数据!$B$3,$J1650=经营数据!$BA$5),COUNTIFS($P$2:$P$3000,1,$A$2:$A$3000,$A1650,$J$2:$J$3000,$J1650,$N$2:$N$3000,"&lt;"&amp;$N1650)+1,"")</f>
        <v/>
      </c>
      <c r="R1650" t="str">
        <f t="shared" si="383"/>
        <v>华安锦江封闭式商业不动产证券投资基金|锦江都城芜湖镜湖店</v>
      </c>
      <c r="S1650">
        <f>IF($A1650="",0,IF(COUNTIF($R$2:$R1650,$R1650)=1,1,0))</f>
        <v>0</v>
      </c>
      <c r="T1650">
        <f t="shared" si="384"/>
        <v>1645</v>
      </c>
      <c r="U1650" t="str">
        <f>IF($A1650="","",IF($A1650=经营数据!$B$3,COUNTIFS($S$2:$S$3000,1,$A$2:$A$3000,$A1650,$T$2:$T$3000,"&lt;"&amp;$T1650)+1,""))</f>
        <v/>
      </c>
      <c r="V1650" t="str">
        <f t="shared" si="385"/>
        <v>锦江都城芜湖镜湖店|服务量</v>
      </c>
      <c r="W1650">
        <f t="shared" si="386"/>
        <v>1645</v>
      </c>
      <c r="X1650" t="str">
        <f t="shared" si="387"/>
        <v>锦江都城芜湖镜湖店|平均入住率</v>
      </c>
      <c r="Y1650">
        <f t="shared" si="388"/>
        <v>1646</v>
      </c>
      <c r="Z1650">
        <f>IF($A1650="",0,IF(AND($M1650=1,$A1650=经营数据!$B$3,$J1650=经营数据!$BA$5,OR($I1650=经营数据!$BA$4,COUNTIF(经营数据!$AA$9:$AA$38,$I1650)&gt;0)),1,0))</f>
        <v>0</v>
      </c>
      <c r="AA1650" t="str">
        <f t="shared" si="389"/>
        <v/>
      </c>
      <c r="AB1650" t="str">
        <f t="shared" si="390"/>
        <v/>
      </c>
      <c r="AC1650">
        <f>IF($A1650="",0,IF(COUNTIF($A$2:$A1650,$A1650)=1,1,0))</f>
        <v>0</v>
      </c>
      <c r="AD1650">
        <f t="shared" si="391"/>
        <v>18</v>
      </c>
      <c r="AE1650" t="str">
        <f t="shared" si="392"/>
        <v>锦江都城芜湖镜湖店|平均入住率（%）</v>
      </c>
    </row>
    <row r="1651" spans="1:31" x14ac:dyDescent="0.4">
      <c r="A1651" t="str">
        <f>IF(原始经营数据!$D1652="","",原始经营数据!$D1652)</f>
        <v>华安锦江封闭式商业不动产证券投资基金</v>
      </c>
      <c r="B1651" t="str">
        <f>IF(原始经营数据!$D1652="","",T(原始经营数据!$E1652))</f>
        <v>锦江都城芜湖镜湖店</v>
      </c>
      <c r="C1651" t="str">
        <f>IF(原始经营数据!$D1652="","",原始经营数据!$F1652)</f>
        <v>2023</v>
      </c>
      <c r="D1651" t="str">
        <f>IF(原始经营数据!$D1652="","",原始经营数据!$H1652)</f>
        <v>可供房数</v>
      </c>
      <c r="E1651">
        <f>IF(原始经营数据!$D1652="","",原始经营数据!$I1652)</f>
        <v>50109</v>
      </c>
      <c r="F1651" t="str">
        <f>IF(原始经营数据!$D1652="","",T(原始经营数据!$J1652))</f>
        <v>间</v>
      </c>
      <c r="G1651" t="str">
        <f>IF(原始经营数据!$D1652="","",T(原始经营数据!$K1652))</f>
        <v/>
      </c>
      <c r="H1651" t="str">
        <f>IF(原始经营数据!$D1652="","",原始经营数据!$G1652)</f>
        <v>服务量</v>
      </c>
      <c r="I1651" t="str">
        <f>IF($A1651="","",IF($B1651&lt;&gt;"",$B1651,IF(COUNTIFS(原始经营数据!$D$3:$D$3001,$A1651,原始经营数据!$E$3:$E$3001,"",原始经营数据!$F$3:$F$3001,$C1651,原始经营数据!$H$3:$H$3001,$D1651,原始经营数据!$K$3:$K$3001,$G1651)&gt;1,"基金整体·来源"&amp;原始经营数据!$A1652,"基金整体")))</f>
        <v>锦江都城芜湖镜湖店</v>
      </c>
      <c r="J1651" t="str">
        <f t="shared" si="378"/>
        <v>年度</v>
      </c>
      <c r="K1651" t="str">
        <f t="shared" si="379"/>
        <v>可供房数（间）</v>
      </c>
      <c r="L1651" t="str">
        <f t="shared" si="380"/>
        <v>锦江都城芜湖镜湖店|可供房数（间）|年度</v>
      </c>
      <c r="M1651">
        <f>IF($A1651="",0,IF(COUNTIF($L$2:$L1651,$L1651)=1,1,0))</f>
        <v>0</v>
      </c>
      <c r="N1651">
        <f t="shared" si="381"/>
        <v>20230</v>
      </c>
      <c r="O1651" t="str">
        <f t="shared" si="382"/>
        <v>华安锦江封闭式商业不动产证券投资基金|2023|年度</v>
      </c>
      <c r="P1651">
        <f>IF($A1651="",0,IF(COUNTIF($O$2:$O1651,$O1651)=1,1,0))</f>
        <v>0</v>
      </c>
      <c r="Q1651" t="str">
        <f>IF(AND($P1651=1,$A1651=经营数据!$B$3,$J1651=经营数据!$BA$5),COUNTIFS($P$2:$P$3000,1,$A$2:$A$3000,$A1651,$J$2:$J$3000,$J1651,$N$2:$N$3000,"&lt;"&amp;$N1651)+1,"")</f>
        <v/>
      </c>
      <c r="R1651" t="str">
        <f t="shared" si="383"/>
        <v>华安锦江封闭式商业不动产证券投资基金|锦江都城芜湖镜湖店</v>
      </c>
      <c r="S1651">
        <f>IF($A1651="",0,IF(COUNTIF($R$2:$R1651,$R1651)=1,1,0))</f>
        <v>0</v>
      </c>
      <c r="T1651">
        <f t="shared" si="384"/>
        <v>1645</v>
      </c>
      <c r="U1651" t="str">
        <f>IF($A1651="","",IF($A1651=经营数据!$B$3,COUNTIFS($S$2:$S$3000,1,$A$2:$A$3000,$A1651,$T$2:$T$3000,"&lt;"&amp;$T1651)+1,""))</f>
        <v/>
      </c>
      <c r="V1651" t="str">
        <f t="shared" si="385"/>
        <v>锦江都城芜湖镜湖店|服务量</v>
      </c>
      <c r="W1651">
        <f t="shared" si="386"/>
        <v>1645</v>
      </c>
      <c r="X1651" t="str">
        <f t="shared" si="387"/>
        <v>锦江都城芜湖镜湖店|可供房数</v>
      </c>
      <c r="Y1651">
        <f t="shared" si="388"/>
        <v>1647</v>
      </c>
      <c r="Z1651">
        <f>IF($A1651="",0,IF(AND($M1651=1,$A1651=经营数据!$B$3,$J1651=经营数据!$BA$5,OR($I1651=经营数据!$BA$4,COUNTIF(经营数据!$AA$9:$AA$38,$I1651)&gt;0)),1,0))</f>
        <v>0</v>
      </c>
      <c r="AA1651" t="str">
        <f t="shared" si="389"/>
        <v/>
      </c>
      <c r="AB1651" t="str">
        <f t="shared" si="390"/>
        <v/>
      </c>
      <c r="AC1651">
        <f>IF($A1651="",0,IF(COUNTIF($A$2:$A1651,$A1651)=1,1,0))</f>
        <v>0</v>
      </c>
      <c r="AD1651">
        <f t="shared" si="391"/>
        <v>18</v>
      </c>
      <c r="AE1651" t="str">
        <f t="shared" si="392"/>
        <v>锦江都城芜湖镜湖店|可供房数（间）</v>
      </c>
    </row>
    <row r="1652" spans="1:31" x14ac:dyDescent="0.4">
      <c r="A1652" t="str">
        <f>IF(原始经营数据!$D1653="","",原始经营数据!$D1653)</f>
        <v>华安锦江封闭式商业不动产证券投资基金</v>
      </c>
      <c r="B1652" t="str">
        <f>IF(原始经营数据!$D1653="","",T(原始经营数据!$E1653))</f>
        <v>锦江都城芜湖镜湖店</v>
      </c>
      <c r="C1652" t="str">
        <f>IF(原始经营数据!$D1653="","",原始经营数据!$F1653)</f>
        <v>2024</v>
      </c>
      <c r="D1652" t="str">
        <f>IF(原始经营数据!$D1653="","",原始经营数据!$H1653)</f>
        <v>平均房价</v>
      </c>
      <c r="E1652">
        <f>IF(原始经营数据!$D1653="","",原始经营数据!$I1653)</f>
        <v>234.15</v>
      </c>
      <c r="F1652" t="str">
        <f>IF(原始经营数据!$D1653="","",T(原始经营数据!$J1653))</f>
        <v>元/间</v>
      </c>
      <c r="G1652" t="str">
        <f>IF(原始经营数据!$D1653="","",T(原始经营数据!$K1653))</f>
        <v/>
      </c>
      <c r="H1652" t="str">
        <f>IF(原始经营数据!$D1653="","",原始经营数据!$G1653)</f>
        <v>服务量</v>
      </c>
      <c r="I1652" t="str">
        <f>IF($A1652="","",IF($B1652&lt;&gt;"",$B1652,IF(COUNTIFS(原始经营数据!$D$3:$D$3001,$A1652,原始经营数据!$E$3:$E$3001,"",原始经营数据!$F$3:$F$3001,$C1652,原始经营数据!$H$3:$H$3001,$D1652,原始经营数据!$K$3:$K$3001,$G1652)&gt;1,"基金整体·来源"&amp;原始经营数据!$A1653,"基金整体")))</f>
        <v>锦江都城芜湖镜湖店</v>
      </c>
      <c r="J1652" t="str">
        <f t="shared" si="378"/>
        <v>年度</v>
      </c>
      <c r="K1652" t="str">
        <f t="shared" si="379"/>
        <v>平均房价（元/间）</v>
      </c>
      <c r="L1652" t="str">
        <f t="shared" si="380"/>
        <v>锦江都城芜湖镜湖店|平均房价（元/间）|年度</v>
      </c>
      <c r="M1652">
        <f>IF($A1652="",0,IF(COUNTIF($L$2:$L1652,$L1652)=1,1,0))</f>
        <v>0</v>
      </c>
      <c r="N1652">
        <f t="shared" si="381"/>
        <v>20240</v>
      </c>
      <c r="O1652" t="str">
        <f t="shared" si="382"/>
        <v>华安锦江封闭式商业不动产证券投资基金|2024|年度</v>
      </c>
      <c r="P1652">
        <f>IF($A1652="",0,IF(COUNTIF($O$2:$O1652,$O1652)=1,1,0))</f>
        <v>0</v>
      </c>
      <c r="Q1652" t="str">
        <f>IF(AND($P1652=1,$A1652=经营数据!$B$3,$J1652=经营数据!$BA$5),COUNTIFS($P$2:$P$3000,1,$A$2:$A$3000,$A1652,$J$2:$J$3000,$J1652,$N$2:$N$3000,"&lt;"&amp;$N1652)+1,"")</f>
        <v/>
      </c>
      <c r="R1652" t="str">
        <f t="shared" si="383"/>
        <v>华安锦江封闭式商业不动产证券投资基金|锦江都城芜湖镜湖店</v>
      </c>
      <c r="S1652">
        <f>IF($A1652="",0,IF(COUNTIF($R$2:$R1652,$R1652)=1,1,0))</f>
        <v>0</v>
      </c>
      <c r="T1652">
        <f t="shared" si="384"/>
        <v>1645</v>
      </c>
      <c r="U1652" t="str">
        <f>IF($A1652="","",IF($A1652=经营数据!$B$3,COUNTIFS($S$2:$S$3000,1,$A$2:$A$3000,$A1652,$T$2:$T$3000,"&lt;"&amp;$T1652)+1,""))</f>
        <v/>
      </c>
      <c r="V1652" t="str">
        <f t="shared" si="385"/>
        <v>锦江都城芜湖镜湖店|服务量</v>
      </c>
      <c r="W1652">
        <f t="shared" si="386"/>
        <v>1645</v>
      </c>
      <c r="X1652" t="str">
        <f t="shared" si="387"/>
        <v>锦江都城芜湖镜湖店|平均房价</v>
      </c>
      <c r="Y1652">
        <f t="shared" si="388"/>
        <v>1645</v>
      </c>
      <c r="Z1652">
        <f>IF($A1652="",0,IF(AND($M1652=1,$A1652=经营数据!$B$3,$J1652=经营数据!$BA$5,OR($I1652=经营数据!$BA$4,COUNTIF(经营数据!$AA$9:$AA$38,$I1652)&gt;0)),1,0))</f>
        <v>0</v>
      </c>
      <c r="AA1652" t="str">
        <f t="shared" si="389"/>
        <v/>
      </c>
      <c r="AB1652" t="str">
        <f t="shared" si="390"/>
        <v/>
      </c>
      <c r="AC1652">
        <f>IF($A1652="",0,IF(COUNTIF($A$2:$A1652,$A1652)=1,1,0))</f>
        <v>0</v>
      </c>
      <c r="AD1652">
        <f t="shared" si="391"/>
        <v>18</v>
      </c>
      <c r="AE1652" t="str">
        <f t="shared" si="392"/>
        <v>锦江都城芜湖镜湖店|平均房价（元/间）</v>
      </c>
    </row>
    <row r="1653" spans="1:31" x14ac:dyDescent="0.4">
      <c r="A1653" t="str">
        <f>IF(原始经营数据!$D1654="","",原始经营数据!$D1654)</f>
        <v>华安锦江封闭式商业不动产证券投资基金</v>
      </c>
      <c r="B1653" t="str">
        <f>IF(原始经营数据!$D1654="","",T(原始经营数据!$E1654))</f>
        <v>锦江都城芜湖镜湖店</v>
      </c>
      <c r="C1653" t="str">
        <f>IF(原始经营数据!$D1654="","",原始经营数据!$F1654)</f>
        <v>2024</v>
      </c>
      <c r="D1653" t="str">
        <f>IF(原始经营数据!$D1654="","",原始经营数据!$H1654)</f>
        <v>平均入住率</v>
      </c>
      <c r="E1653">
        <f>IF(原始经营数据!$D1654="","",原始经营数据!$I1654)</f>
        <v>61.57</v>
      </c>
      <c r="F1653" t="str">
        <f>IF(原始经营数据!$D1654="","",T(原始经营数据!$J1654))</f>
        <v>%</v>
      </c>
      <c r="G1653" t="str">
        <f>IF(原始经营数据!$D1654="","",T(原始经营数据!$K1654))</f>
        <v/>
      </c>
      <c r="H1653" t="str">
        <f>IF(原始经营数据!$D1654="","",原始经营数据!$G1654)</f>
        <v>服务量</v>
      </c>
      <c r="I1653" t="str">
        <f>IF($A1653="","",IF($B1653&lt;&gt;"",$B1653,IF(COUNTIFS(原始经营数据!$D$3:$D$3001,$A1653,原始经营数据!$E$3:$E$3001,"",原始经营数据!$F$3:$F$3001,$C1653,原始经营数据!$H$3:$H$3001,$D1653,原始经营数据!$K$3:$K$3001,$G1653)&gt;1,"基金整体·来源"&amp;原始经营数据!$A1654,"基金整体")))</f>
        <v>锦江都城芜湖镜湖店</v>
      </c>
      <c r="J1653" t="str">
        <f t="shared" si="378"/>
        <v>年度</v>
      </c>
      <c r="K1653" t="str">
        <f t="shared" si="379"/>
        <v>平均入住率（%）</v>
      </c>
      <c r="L1653" t="str">
        <f t="shared" si="380"/>
        <v>锦江都城芜湖镜湖店|平均入住率（%）|年度</v>
      </c>
      <c r="M1653">
        <f>IF($A1653="",0,IF(COUNTIF($L$2:$L1653,$L1653)=1,1,0))</f>
        <v>0</v>
      </c>
      <c r="N1653">
        <f t="shared" si="381"/>
        <v>20240</v>
      </c>
      <c r="O1653" t="str">
        <f t="shared" si="382"/>
        <v>华安锦江封闭式商业不动产证券投资基金|2024|年度</v>
      </c>
      <c r="P1653">
        <f>IF($A1653="",0,IF(COUNTIF($O$2:$O1653,$O1653)=1,1,0))</f>
        <v>0</v>
      </c>
      <c r="Q1653" t="str">
        <f>IF(AND($P1653=1,$A1653=经营数据!$B$3,$J1653=经营数据!$BA$5),COUNTIFS($P$2:$P$3000,1,$A$2:$A$3000,$A1653,$J$2:$J$3000,$J1653,$N$2:$N$3000,"&lt;"&amp;$N1653)+1,"")</f>
        <v/>
      </c>
      <c r="R1653" t="str">
        <f t="shared" si="383"/>
        <v>华安锦江封闭式商业不动产证券投资基金|锦江都城芜湖镜湖店</v>
      </c>
      <c r="S1653">
        <f>IF($A1653="",0,IF(COUNTIF($R$2:$R1653,$R1653)=1,1,0))</f>
        <v>0</v>
      </c>
      <c r="T1653">
        <f t="shared" si="384"/>
        <v>1645</v>
      </c>
      <c r="U1653" t="str">
        <f>IF($A1653="","",IF($A1653=经营数据!$B$3,COUNTIFS($S$2:$S$3000,1,$A$2:$A$3000,$A1653,$T$2:$T$3000,"&lt;"&amp;$T1653)+1,""))</f>
        <v/>
      </c>
      <c r="V1653" t="str">
        <f t="shared" si="385"/>
        <v>锦江都城芜湖镜湖店|服务量</v>
      </c>
      <c r="W1653">
        <f t="shared" si="386"/>
        <v>1645</v>
      </c>
      <c r="X1653" t="str">
        <f t="shared" si="387"/>
        <v>锦江都城芜湖镜湖店|平均入住率</v>
      </c>
      <c r="Y1653">
        <f t="shared" si="388"/>
        <v>1646</v>
      </c>
      <c r="Z1653">
        <f>IF($A1653="",0,IF(AND($M1653=1,$A1653=经营数据!$B$3,$J1653=经营数据!$BA$5,OR($I1653=经营数据!$BA$4,COUNTIF(经营数据!$AA$9:$AA$38,$I1653)&gt;0)),1,0))</f>
        <v>0</v>
      </c>
      <c r="AA1653" t="str">
        <f t="shared" si="389"/>
        <v/>
      </c>
      <c r="AB1653" t="str">
        <f t="shared" si="390"/>
        <v/>
      </c>
      <c r="AC1653">
        <f>IF($A1653="",0,IF(COUNTIF($A$2:$A1653,$A1653)=1,1,0))</f>
        <v>0</v>
      </c>
      <c r="AD1653">
        <f t="shared" si="391"/>
        <v>18</v>
      </c>
      <c r="AE1653" t="str">
        <f t="shared" si="392"/>
        <v>锦江都城芜湖镜湖店|平均入住率（%）</v>
      </c>
    </row>
    <row r="1654" spans="1:31" x14ac:dyDescent="0.4">
      <c r="A1654" t="str">
        <f>IF(原始经营数据!$D1655="","",原始经营数据!$D1655)</f>
        <v>华安锦江封闭式商业不动产证券投资基金</v>
      </c>
      <c r="B1654" t="str">
        <f>IF(原始经营数据!$D1655="","",T(原始经营数据!$E1655))</f>
        <v>锦江都城芜湖镜湖店</v>
      </c>
      <c r="C1654" t="str">
        <f>IF(原始经营数据!$D1655="","",原始经营数据!$F1655)</f>
        <v>2024</v>
      </c>
      <c r="D1654" t="str">
        <f>IF(原始经营数据!$D1655="","",原始经营数据!$H1655)</f>
        <v>可供房数</v>
      </c>
      <c r="E1654">
        <f>IF(原始经营数据!$D1655="","",原始经营数据!$I1655)</f>
        <v>53436</v>
      </c>
      <c r="F1654" t="str">
        <f>IF(原始经营数据!$D1655="","",T(原始经营数据!$J1655))</f>
        <v>间</v>
      </c>
      <c r="G1654" t="str">
        <f>IF(原始经营数据!$D1655="","",T(原始经营数据!$K1655))</f>
        <v/>
      </c>
      <c r="H1654" t="str">
        <f>IF(原始经营数据!$D1655="","",原始经营数据!$G1655)</f>
        <v>服务量</v>
      </c>
      <c r="I1654" t="str">
        <f>IF($A1654="","",IF($B1654&lt;&gt;"",$B1654,IF(COUNTIFS(原始经营数据!$D$3:$D$3001,$A1654,原始经营数据!$E$3:$E$3001,"",原始经营数据!$F$3:$F$3001,$C1654,原始经营数据!$H$3:$H$3001,$D1654,原始经营数据!$K$3:$K$3001,$G1654)&gt;1,"基金整体·来源"&amp;原始经营数据!$A1655,"基金整体")))</f>
        <v>锦江都城芜湖镜湖店</v>
      </c>
      <c r="J1654" t="str">
        <f t="shared" si="378"/>
        <v>年度</v>
      </c>
      <c r="K1654" t="str">
        <f t="shared" si="379"/>
        <v>可供房数（间）</v>
      </c>
      <c r="L1654" t="str">
        <f t="shared" si="380"/>
        <v>锦江都城芜湖镜湖店|可供房数（间）|年度</v>
      </c>
      <c r="M1654">
        <f>IF($A1654="",0,IF(COUNTIF($L$2:$L1654,$L1654)=1,1,0))</f>
        <v>0</v>
      </c>
      <c r="N1654">
        <f t="shared" si="381"/>
        <v>20240</v>
      </c>
      <c r="O1654" t="str">
        <f t="shared" si="382"/>
        <v>华安锦江封闭式商业不动产证券投资基金|2024|年度</v>
      </c>
      <c r="P1654">
        <f>IF($A1654="",0,IF(COUNTIF($O$2:$O1654,$O1654)=1,1,0))</f>
        <v>0</v>
      </c>
      <c r="Q1654" t="str">
        <f>IF(AND($P1654=1,$A1654=经营数据!$B$3,$J1654=经营数据!$BA$5),COUNTIFS($P$2:$P$3000,1,$A$2:$A$3000,$A1654,$J$2:$J$3000,$J1654,$N$2:$N$3000,"&lt;"&amp;$N1654)+1,"")</f>
        <v/>
      </c>
      <c r="R1654" t="str">
        <f t="shared" si="383"/>
        <v>华安锦江封闭式商业不动产证券投资基金|锦江都城芜湖镜湖店</v>
      </c>
      <c r="S1654">
        <f>IF($A1654="",0,IF(COUNTIF($R$2:$R1654,$R1654)=1,1,0))</f>
        <v>0</v>
      </c>
      <c r="T1654">
        <f t="shared" si="384"/>
        <v>1645</v>
      </c>
      <c r="U1654" t="str">
        <f>IF($A1654="","",IF($A1654=经营数据!$B$3,COUNTIFS($S$2:$S$3000,1,$A$2:$A$3000,$A1654,$T$2:$T$3000,"&lt;"&amp;$T1654)+1,""))</f>
        <v/>
      </c>
      <c r="V1654" t="str">
        <f t="shared" si="385"/>
        <v>锦江都城芜湖镜湖店|服务量</v>
      </c>
      <c r="W1654">
        <f t="shared" si="386"/>
        <v>1645</v>
      </c>
      <c r="X1654" t="str">
        <f t="shared" si="387"/>
        <v>锦江都城芜湖镜湖店|可供房数</v>
      </c>
      <c r="Y1654">
        <f t="shared" si="388"/>
        <v>1647</v>
      </c>
      <c r="Z1654">
        <f>IF($A1654="",0,IF(AND($M1654=1,$A1654=经营数据!$B$3,$J1654=经营数据!$BA$5,OR($I1654=经营数据!$BA$4,COUNTIF(经营数据!$AA$9:$AA$38,$I1654)&gt;0)),1,0))</f>
        <v>0</v>
      </c>
      <c r="AA1654" t="str">
        <f t="shared" si="389"/>
        <v/>
      </c>
      <c r="AB1654" t="str">
        <f t="shared" si="390"/>
        <v/>
      </c>
      <c r="AC1654">
        <f>IF($A1654="",0,IF(COUNTIF($A$2:$A1654,$A1654)=1,1,0))</f>
        <v>0</v>
      </c>
      <c r="AD1654">
        <f t="shared" si="391"/>
        <v>18</v>
      </c>
      <c r="AE1654" t="str">
        <f t="shared" si="392"/>
        <v>锦江都城芜湖镜湖店|可供房数（间）</v>
      </c>
    </row>
    <row r="1655" spans="1:31" x14ac:dyDescent="0.4">
      <c r="A1655" t="str">
        <f>IF(原始经营数据!$D1656="","",原始经营数据!$D1656)</f>
        <v>华安锦江封闭式商业不动产证券投资基金</v>
      </c>
      <c r="B1655" t="str">
        <f>IF(原始经营数据!$D1656="","",T(原始经营数据!$E1656))</f>
        <v>锦江都城芜湖镜湖店</v>
      </c>
      <c r="C1655" t="str">
        <f>IF(原始经营数据!$D1656="","",原始经营数据!$F1656)</f>
        <v>2025</v>
      </c>
      <c r="D1655" t="str">
        <f>IF(原始经营数据!$D1656="","",原始经营数据!$H1656)</f>
        <v>平均房价</v>
      </c>
      <c r="E1655">
        <f>IF(原始经营数据!$D1656="","",原始经营数据!$I1656)</f>
        <v>213.72</v>
      </c>
      <c r="F1655" t="str">
        <f>IF(原始经营数据!$D1656="","",T(原始经营数据!$J1656))</f>
        <v>元/间</v>
      </c>
      <c r="G1655" t="str">
        <f>IF(原始经营数据!$D1656="","",T(原始经营数据!$K1656))</f>
        <v/>
      </c>
      <c r="H1655" t="str">
        <f>IF(原始经营数据!$D1656="","",原始经营数据!$G1656)</f>
        <v>服务量</v>
      </c>
      <c r="I1655" t="str">
        <f>IF($A1655="","",IF($B1655&lt;&gt;"",$B1655,IF(COUNTIFS(原始经营数据!$D$3:$D$3001,$A1655,原始经营数据!$E$3:$E$3001,"",原始经营数据!$F$3:$F$3001,$C1655,原始经营数据!$H$3:$H$3001,$D1655,原始经营数据!$K$3:$K$3001,$G1655)&gt;1,"基金整体·来源"&amp;原始经营数据!$A1656,"基金整体")))</f>
        <v>锦江都城芜湖镜湖店</v>
      </c>
      <c r="J1655" t="str">
        <f t="shared" si="378"/>
        <v>年度</v>
      </c>
      <c r="K1655" t="str">
        <f t="shared" si="379"/>
        <v>平均房价（元/间）</v>
      </c>
      <c r="L1655" t="str">
        <f t="shared" si="380"/>
        <v>锦江都城芜湖镜湖店|平均房价（元/间）|年度</v>
      </c>
      <c r="M1655">
        <f>IF($A1655="",0,IF(COUNTIF($L$2:$L1655,$L1655)=1,1,0))</f>
        <v>0</v>
      </c>
      <c r="N1655">
        <f t="shared" si="381"/>
        <v>20250</v>
      </c>
      <c r="O1655" t="str">
        <f t="shared" si="382"/>
        <v>华安锦江封闭式商业不动产证券投资基金|2025|年度</v>
      </c>
      <c r="P1655">
        <f>IF($A1655="",0,IF(COUNTIF($O$2:$O1655,$O1655)=1,1,0))</f>
        <v>0</v>
      </c>
      <c r="Q1655" t="str">
        <f>IF(AND($P1655=1,$A1655=经营数据!$B$3,$J1655=经营数据!$BA$5),COUNTIFS($P$2:$P$3000,1,$A$2:$A$3000,$A1655,$J$2:$J$3000,$J1655,$N$2:$N$3000,"&lt;"&amp;$N1655)+1,"")</f>
        <v/>
      </c>
      <c r="R1655" t="str">
        <f t="shared" si="383"/>
        <v>华安锦江封闭式商业不动产证券投资基金|锦江都城芜湖镜湖店</v>
      </c>
      <c r="S1655">
        <f>IF($A1655="",0,IF(COUNTIF($R$2:$R1655,$R1655)=1,1,0))</f>
        <v>0</v>
      </c>
      <c r="T1655">
        <f t="shared" si="384"/>
        <v>1645</v>
      </c>
      <c r="U1655" t="str">
        <f>IF($A1655="","",IF($A1655=经营数据!$B$3,COUNTIFS($S$2:$S$3000,1,$A$2:$A$3000,$A1655,$T$2:$T$3000,"&lt;"&amp;$T1655)+1,""))</f>
        <v/>
      </c>
      <c r="V1655" t="str">
        <f t="shared" si="385"/>
        <v>锦江都城芜湖镜湖店|服务量</v>
      </c>
      <c r="W1655">
        <f t="shared" si="386"/>
        <v>1645</v>
      </c>
      <c r="X1655" t="str">
        <f t="shared" si="387"/>
        <v>锦江都城芜湖镜湖店|平均房价</v>
      </c>
      <c r="Y1655">
        <f t="shared" si="388"/>
        <v>1645</v>
      </c>
      <c r="Z1655">
        <f>IF($A1655="",0,IF(AND($M1655=1,$A1655=经营数据!$B$3,$J1655=经营数据!$BA$5,OR($I1655=经营数据!$BA$4,COUNTIF(经营数据!$AA$9:$AA$38,$I1655)&gt;0)),1,0))</f>
        <v>0</v>
      </c>
      <c r="AA1655" t="str">
        <f t="shared" si="389"/>
        <v/>
      </c>
      <c r="AB1655" t="str">
        <f t="shared" si="390"/>
        <v/>
      </c>
      <c r="AC1655">
        <f>IF($A1655="",0,IF(COUNTIF($A$2:$A1655,$A1655)=1,1,0))</f>
        <v>0</v>
      </c>
      <c r="AD1655">
        <f t="shared" si="391"/>
        <v>18</v>
      </c>
      <c r="AE1655" t="str">
        <f t="shared" si="392"/>
        <v>锦江都城芜湖镜湖店|平均房价（元/间）</v>
      </c>
    </row>
    <row r="1656" spans="1:31" x14ac:dyDescent="0.4">
      <c r="A1656" t="str">
        <f>IF(原始经营数据!$D1657="","",原始经营数据!$D1657)</f>
        <v>华安锦江封闭式商业不动产证券投资基金</v>
      </c>
      <c r="B1656" t="str">
        <f>IF(原始经营数据!$D1657="","",T(原始经营数据!$E1657))</f>
        <v>锦江都城芜湖镜湖店</v>
      </c>
      <c r="C1656" t="str">
        <f>IF(原始经营数据!$D1657="","",原始经营数据!$F1657)</f>
        <v>2025</v>
      </c>
      <c r="D1656" t="str">
        <f>IF(原始经营数据!$D1657="","",原始经营数据!$H1657)</f>
        <v>平均入住率</v>
      </c>
      <c r="E1656">
        <f>IF(原始经营数据!$D1657="","",原始经营数据!$I1657)</f>
        <v>59.62</v>
      </c>
      <c r="F1656" t="str">
        <f>IF(原始经营数据!$D1657="","",T(原始经营数据!$J1657))</f>
        <v>%</v>
      </c>
      <c r="G1656" t="str">
        <f>IF(原始经营数据!$D1657="","",T(原始经营数据!$K1657))</f>
        <v/>
      </c>
      <c r="H1656" t="str">
        <f>IF(原始经营数据!$D1657="","",原始经营数据!$G1657)</f>
        <v>服务量</v>
      </c>
      <c r="I1656" t="str">
        <f>IF($A1656="","",IF($B1656&lt;&gt;"",$B1656,IF(COUNTIFS(原始经营数据!$D$3:$D$3001,$A1656,原始经营数据!$E$3:$E$3001,"",原始经营数据!$F$3:$F$3001,$C1656,原始经营数据!$H$3:$H$3001,$D1656,原始经营数据!$K$3:$K$3001,$G1656)&gt;1,"基金整体·来源"&amp;原始经营数据!$A1657,"基金整体")))</f>
        <v>锦江都城芜湖镜湖店</v>
      </c>
      <c r="J1656" t="str">
        <f t="shared" si="378"/>
        <v>年度</v>
      </c>
      <c r="K1656" t="str">
        <f t="shared" si="379"/>
        <v>平均入住率（%）</v>
      </c>
      <c r="L1656" t="str">
        <f t="shared" si="380"/>
        <v>锦江都城芜湖镜湖店|平均入住率（%）|年度</v>
      </c>
      <c r="M1656">
        <f>IF($A1656="",0,IF(COUNTIF($L$2:$L1656,$L1656)=1,1,0))</f>
        <v>0</v>
      </c>
      <c r="N1656">
        <f t="shared" si="381"/>
        <v>20250</v>
      </c>
      <c r="O1656" t="str">
        <f t="shared" si="382"/>
        <v>华安锦江封闭式商业不动产证券投资基金|2025|年度</v>
      </c>
      <c r="P1656">
        <f>IF($A1656="",0,IF(COUNTIF($O$2:$O1656,$O1656)=1,1,0))</f>
        <v>0</v>
      </c>
      <c r="Q1656" t="str">
        <f>IF(AND($P1656=1,$A1656=经营数据!$B$3,$J1656=经营数据!$BA$5),COUNTIFS($P$2:$P$3000,1,$A$2:$A$3000,$A1656,$J$2:$J$3000,$J1656,$N$2:$N$3000,"&lt;"&amp;$N1656)+1,"")</f>
        <v/>
      </c>
      <c r="R1656" t="str">
        <f t="shared" si="383"/>
        <v>华安锦江封闭式商业不动产证券投资基金|锦江都城芜湖镜湖店</v>
      </c>
      <c r="S1656">
        <f>IF($A1656="",0,IF(COUNTIF($R$2:$R1656,$R1656)=1,1,0))</f>
        <v>0</v>
      </c>
      <c r="T1656">
        <f t="shared" si="384"/>
        <v>1645</v>
      </c>
      <c r="U1656" t="str">
        <f>IF($A1656="","",IF($A1656=经营数据!$B$3,COUNTIFS($S$2:$S$3000,1,$A$2:$A$3000,$A1656,$T$2:$T$3000,"&lt;"&amp;$T1656)+1,""))</f>
        <v/>
      </c>
      <c r="V1656" t="str">
        <f t="shared" si="385"/>
        <v>锦江都城芜湖镜湖店|服务量</v>
      </c>
      <c r="W1656">
        <f t="shared" si="386"/>
        <v>1645</v>
      </c>
      <c r="X1656" t="str">
        <f t="shared" si="387"/>
        <v>锦江都城芜湖镜湖店|平均入住率</v>
      </c>
      <c r="Y1656">
        <f t="shared" si="388"/>
        <v>1646</v>
      </c>
      <c r="Z1656">
        <f>IF($A1656="",0,IF(AND($M1656=1,$A1656=经营数据!$B$3,$J1656=经营数据!$BA$5,OR($I1656=经营数据!$BA$4,COUNTIF(经营数据!$AA$9:$AA$38,$I1656)&gt;0)),1,0))</f>
        <v>0</v>
      </c>
      <c r="AA1656" t="str">
        <f t="shared" si="389"/>
        <v/>
      </c>
      <c r="AB1656" t="str">
        <f t="shared" si="390"/>
        <v/>
      </c>
      <c r="AC1656">
        <f>IF($A1656="",0,IF(COUNTIF($A$2:$A1656,$A1656)=1,1,0))</f>
        <v>0</v>
      </c>
      <c r="AD1656">
        <f t="shared" si="391"/>
        <v>18</v>
      </c>
      <c r="AE1656" t="str">
        <f t="shared" si="392"/>
        <v>锦江都城芜湖镜湖店|平均入住率（%）</v>
      </c>
    </row>
    <row r="1657" spans="1:31" x14ac:dyDescent="0.4">
      <c r="A1657" t="str">
        <f>IF(原始经营数据!$D1658="","",原始经营数据!$D1658)</f>
        <v>华安锦江封闭式商业不动产证券投资基金</v>
      </c>
      <c r="B1657" t="str">
        <f>IF(原始经营数据!$D1658="","",T(原始经营数据!$E1658))</f>
        <v>锦江都城芜湖镜湖店</v>
      </c>
      <c r="C1657" t="str">
        <f>IF(原始经营数据!$D1658="","",原始经营数据!$F1658)</f>
        <v>2025</v>
      </c>
      <c r="D1657" t="str">
        <f>IF(原始经营数据!$D1658="","",原始经营数据!$H1658)</f>
        <v>可供房数</v>
      </c>
      <c r="E1657">
        <f>IF(原始经营数据!$D1658="","",原始经营数据!$I1658)</f>
        <v>53290</v>
      </c>
      <c r="F1657" t="str">
        <f>IF(原始经营数据!$D1658="","",T(原始经营数据!$J1658))</f>
        <v>间</v>
      </c>
      <c r="G1657" t="str">
        <f>IF(原始经营数据!$D1658="","",T(原始经营数据!$K1658))</f>
        <v/>
      </c>
      <c r="H1657" t="str">
        <f>IF(原始经营数据!$D1658="","",原始经营数据!$G1658)</f>
        <v>服务量</v>
      </c>
      <c r="I1657" t="str">
        <f>IF($A1657="","",IF($B1657&lt;&gt;"",$B1657,IF(COUNTIFS(原始经营数据!$D$3:$D$3001,$A1657,原始经营数据!$E$3:$E$3001,"",原始经营数据!$F$3:$F$3001,$C1657,原始经营数据!$H$3:$H$3001,$D1657,原始经营数据!$K$3:$K$3001,$G1657)&gt;1,"基金整体·来源"&amp;原始经营数据!$A1658,"基金整体")))</f>
        <v>锦江都城芜湖镜湖店</v>
      </c>
      <c r="J1657" t="str">
        <f t="shared" si="378"/>
        <v>年度</v>
      </c>
      <c r="K1657" t="str">
        <f t="shared" si="379"/>
        <v>可供房数（间）</v>
      </c>
      <c r="L1657" t="str">
        <f t="shared" si="380"/>
        <v>锦江都城芜湖镜湖店|可供房数（间）|年度</v>
      </c>
      <c r="M1657">
        <f>IF($A1657="",0,IF(COUNTIF($L$2:$L1657,$L1657)=1,1,0))</f>
        <v>0</v>
      </c>
      <c r="N1657">
        <f t="shared" si="381"/>
        <v>20250</v>
      </c>
      <c r="O1657" t="str">
        <f t="shared" si="382"/>
        <v>华安锦江封闭式商业不动产证券投资基金|2025|年度</v>
      </c>
      <c r="P1657">
        <f>IF($A1657="",0,IF(COUNTIF($O$2:$O1657,$O1657)=1,1,0))</f>
        <v>0</v>
      </c>
      <c r="Q1657" t="str">
        <f>IF(AND($P1657=1,$A1657=经营数据!$B$3,$J1657=经营数据!$BA$5),COUNTIFS($P$2:$P$3000,1,$A$2:$A$3000,$A1657,$J$2:$J$3000,$J1657,$N$2:$N$3000,"&lt;"&amp;$N1657)+1,"")</f>
        <v/>
      </c>
      <c r="R1657" t="str">
        <f t="shared" si="383"/>
        <v>华安锦江封闭式商业不动产证券投资基金|锦江都城芜湖镜湖店</v>
      </c>
      <c r="S1657">
        <f>IF($A1657="",0,IF(COUNTIF($R$2:$R1657,$R1657)=1,1,0))</f>
        <v>0</v>
      </c>
      <c r="T1657">
        <f t="shared" si="384"/>
        <v>1645</v>
      </c>
      <c r="U1657" t="str">
        <f>IF($A1657="","",IF($A1657=经营数据!$B$3,COUNTIFS($S$2:$S$3000,1,$A$2:$A$3000,$A1657,$T$2:$T$3000,"&lt;"&amp;$T1657)+1,""))</f>
        <v/>
      </c>
      <c r="V1657" t="str">
        <f t="shared" si="385"/>
        <v>锦江都城芜湖镜湖店|服务量</v>
      </c>
      <c r="W1657">
        <f t="shared" si="386"/>
        <v>1645</v>
      </c>
      <c r="X1657" t="str">
        <f t="shared" si="387"/>
        <v>锦江都城芜湖镜湖店|可供房数</v>
      </c>
      <c r="Y1657">
        <f t="shared" si="388"/>
        <v>1647</v>
      </c>
      <c r="Z1657">
        <f>IF($A1657="",0,IF(AND($M1657=1,$A1657=经营数据!$B$3,$J1657=经营数据!$BA$5,OR($I1657=经营数据!$BA$4,COUNTIF(经营数据!$AA$9:$AA$38,$I1657)&gt;0)),1,0))</f>
        <v>0</v>
      </c>
      <c r="AA1657" t="str">
        <f t="shared" si="389"/>
        <v/>
      </c>
      <c r="AB1657" t="str">
        <f t="shared" si="390"/>
        <v/>
      </c>
      <c r="AC1657">
        <f>IF($A1657="",0,IF(COUNTIF($A$2:$A1657,$A1657)=1,1,0))</f>
        <v>0</v>
      </c>
      <c r="AD1657">
        <f t="shared" si="391"/>
        <v>18</v>
      </c>
      <c r="AE1657" t="str">
        <f t="shared" si="392"/>
        <v>锦江都城芜湖镜湖店|可供房数（间）</v>
      </c>
    </row>
    <row r="1658" spans="1:31" x14ac:dyDescent="0.4">
      <c r="A1658" t="str">
        <f>IF(原始经营数据!$D1659="","",原始经营数据!$D1659)</f>
        <v>华安锦江封闭式商业不动产证券投资基金</v>
      </c>
      <c r="B1658" t="str">
        <f>IF(原始经营数据!$D1659="","",T(原始经营数据!$E1659))</f>
        <v>锦江都城郑州二七店</v>
      </c>
      <c r="C1658" t="str">
        <f>IF(原始经营数据!$D1659="","",原始经营数据!$F1659)</f>
        <v>2022</v>
      </c>
      <c r="D1658" t="str">
        <f>IF(原始经营数据!$D1659="","",原始经营数据!$H1659)</f>
        <v>平均房价</v>
      </c>
      <c r="E1658">
        <f>IF(原始经营数据!$D1659="","",原始经营数据!$I1659)</f>
        <v>215.41</v>
      </c>
      <c r="F1658" t="str">
        <f>IF(原始经营数据!$D1659="","",T(原始经营数据!$J1659))</f>
        <v>元/间</v>
      </c>
      <c r="G1658" t="str">
        <f>IF(原始经营数据!$D1659="","",T(原始经营数据!$K1659))</f>
        <v/>
      </c>
      <c r="H1658" t="str">
        <f>IF(原始经营数据!$D1659="","",原始经营数据!$G1659)</f>
        <v>服务量</v>
      </c>
      <c r="I1658" t="str">
        <f>IF($A1658="","",IF($B1658&lt;&gt;"",$B1658,IF(COUNTIFS(原始经营数据!$D$3:$D$3001,$A1658,原始经营数据!$E$3:$E$3001,"",原始经营数据!$F$3:$F$3001,$C1658,原始经营数据!$H$3:$H$3001,$D1658,原始经营数据!$K$3:$K$3001,$G1658)&gt;1,"基金整体·来源"&amp;原始经营数据!$A1659,"基金整体")))</f>
        <v>锦江都城郑州二七店</v>
      </c>
      <c r="J1658" t="str">
        <f t="shared" si="378"/>
        <v>年度</v>
      </c>
      <c r="K1658" t="str">
        <f t="shared" si="379"/>
        <v>平均房价（元/间）</v>
      </c>
      <c r="L1658" t="str">
        <f t="shared" si="380"/>
        <v>锦江都城郑州二七店|平均房价（元/间）|年度</v>
      </c>
      <c r="M1658">
        <f>IF($A1658="",0,IF(COUNTIF($L$2:$L1658,$L1658)=1,1,0))</f>
        <v>1</v>
      </c>
      <c r="N1658">
        <f t="shared" si="381"/>
        <v>20220</v>
      </c>
      <c r="O1658" t="str">
        <f t="shared" si="382"/>
        <v>华安锦江封闭式商业不动产证券投资基金|2022|年度</v>
      </c>
      <c r="P1658">
        <f>IF($A1658="",0,IF(COUNTIF($O$2:$O1658,$O1658)=1,1,0))</f>
        <v>0</v>
      </c>
      <c r="Q1658" t="str">
        <f>IF(AND($P1658=1,$A1658=经营数据!$B$3,$J1658=经营数据!$BA$5),COUNTIFS($P$2:$P$3000,1,$A$2:$A$3000,$A1658,$J$2:$J$3000,$J1658,$N$2:$N$3000,"&lt;"&amp;$N1658)+1,"")</f>
        <v/>
      </c>
      <c r="R1658" t="str">
        <f t="shared" si="383"/>
        <v>华安锦江封闭式商业不动产证券投资基金|锦江都城郑州二七店</v>
      </c>
      <c r="S1658">
        <f>IF($A1658="",0,IF(COUNTIF($R$2:$R1658,$R1658)=1,1,0))</f>
        <v>1</v>
      </c>
      <c r="T1658">
        <f t="shared" si="384"/>
        <v>1657</v>
      </c>
      <c r="U1658" t="str">
        <f>IF($A1658="","",IF($A1658=经营数据!$B$3,COUNTIFS($S$2:$S$3000,1,$A$2:$A$3000,$A1658,$T$2:$T$3000,"&lt;"&amp;$T1658)+1,""))</f>
        <v/>
      </c>
      <c r="V1658" t="str">
        <f t="shared" si="385"/>
        <v>锦江都城郑州二七店|服务量</v>
      </c>
      <c r="W1658">
        <f t="shared" si="386"/>
        <v>1657</v>
      </c>
      <c r="X1658" t="str">
        <f t="shared" si="387"/>
        <v>锦江都城郑州二七店|平均房价</v>
      </c>
      <c r="Y1658">
        <f t="shared" si="388"/>
        <v>1657</v>
      </c>
      <c r="Z1658">
        <f>IF($A1658="",0,IF(AND($M1658=1,$A1658=经营数据!$B$3,$J1658=经营数据!$BA$5,OR($I1658=经营数据!$BA$4,COUNTIF(经营数据!$AA$9:$AA$38,$I1658)&gt;0)),1,0))</f>
        <v>0</v>
      </c>
      <c r="AA1658" t="str">
        <f t="shared" si="389"/>
        <v/>
      </c>
      <c r="AB1658" t="str">
        <f t="shared" si="390"/>
        <v/>
      </c>
      <c r="AC1658">
        <f>IF($A1658="",0,IF(COUNTIF($A$2:$A1658,$A1658)=1,1,0))</f>
        <v>0</v>
      </c>
      <c r="AD1658">
        <f t="shared" si="391"/>
        <v>18</v>
      </c>
      <c r="AE1658" t="str">
        <f t="shared" si="392"/>
        <v>锦江都城郑州二七店|平均房价（元/间）</v>
      </c>
    </row>
    <row r="1659" spans="1:31" x14ac:dyDescent="0.4">
      <c r="A1659" t="str">
        <f>IF(原始经营数据!$D1660="","",原始经营数据!$D1660)</f>
        <v>华安锦江封闭式商业不动产证券投资基金</v>
      </c>
      <c r="B1659" t="str">
        <f>IF(原始经营数据!$D1660="","",T(原始经营数据!$E1660))</f>
        <v>锦江都城郑州二七店</v>
      </c>
      <c r="C1659" t="str">
        <f>IF(原始经营数据!$D1660="","",原始经营数据!$F1660)</f>
        <v>2022</v>
      </c>
      <c r="D1659" t="str">
        <f>IF(原始经营数据!$D1660="","",原始经营数据!$H1660)</f>
        <v>平均入住率</v>
      </c>
      <c r="E1659">
        <f>IF(原始经营数据!$D1660="","",原始经营数据!$I1660)</f>
        <v>49.13</v>
      </c>
      <c r="F1659" t="str">
        <f>IF(原始经营数据!$D1660="","",T(原始经营数据!$J1660))</f>
        <v>%</v>
      </c>
      <c r="G1659" t="str">
        <f>IF(原始经营数据!$D1660="","",T(原始经营数据!$K1660))</f>
        <v/>
      </c>
      <c r="H1659" t="str">
        <f>IF(原始经营数据!$D1660="","",原始经营数据!$G1660)</f>
        <v>服务量</v>
      </c>
      <c r="I1659" t="str">
        <f>IF($A1659="","",IF($B1659&lt;&gt;"",$B1659,IF(COUNTIFS(原始经营数据!$D$3:$D$3001,$A1659,原始经营数据!$E$3:$E$3001,"",原始经营数据!$F$3:$F$3001,$C1659,原始经营数据!$H$3:$H$3001,$D1659,原始经营数据!$K$3:$K$3001,$G1659)&gt;1,"基金整体·来源"&amp;原始经营数据!$A1660,"基金整体")))</f>
        <v>锦江都城郑州二七店</v>
      </c>
      <c r="J1659" t="str">
        <f t="shared" si="378"/>
        <v>年度</v>
      </c>
      <c r="K1659" t="str">
        <f t="shared" si="379"/>
        <v>平均入住率（%）</v>
      </c>
      <c r="L1659" t="str">
        <f t="shared" si="380"/>
        <v>锦江都城郑州二七店|平均入住率（%）|年度</v>
      </c>
      <c r="M1659">
        <f>IF($A1659="",0,IF(COUNTIF($L$2:$L1659,$L1659)=1,1,0))</f>
        <v>1</v>
      </c>
      <c r="N1659">
        <f t="shared" si="381"/>
        <v>20220</v>
      </c>
      <c r="O1659" t="str">
        <f t="shared" si="382"/>
        <v>华安锦江封闭式商业不动产证券投资基金|2022|年度</v>
      </c>
      <c r="P1659">
        <f>IF($A1659="",0,IF(COUNTIF($O$2:$O1659,$O1659)=1,1,0))</f>
        <v>0</v>
      </c>
      <c r="Q1659" t="str">
        <f>IF(AND($P1659=1,$A1659=经营数据!$B$3,$J1659=经营数据!$BA$5),COUNTIFS($P$2:$P$3000,1,$A$2:$A$3000,$A1659,$J$2:$J$3000,$J1659,$N$2:$N$3000,"&lt;"&amp;$N1659)+1,"")</f>
        <v/>
      </c>
      <c r="R1659" t="str">
        <f t="shared" si="383"/>
        <v>华安锦江封闭式商业不动产证券投资基金|锦江都城郑州二七店</v>
      </c>
      <c r="S1659">
        <f>IF($A1659="",0,IF(COUNTIF($R$2:$R1659,$R1659)=1,1,0))</f>
        <v>0</v>
      </c>
      <c r="T1659">
        <f t="shared" si="384"/>
        <v>1657</v>
      </c>
      <c r="U1659" t="str">
        <f>IF($A1659="","",IF($A1659=经营数据!$B$3,COUNTIFS($S$2:$S$3000,1,$A$2:$A$3000,$A1659,$T$2:$T$3000,"&lt;"&amp;$T1659)+1,""))</f>
        <v/>
      </c>
      <c r="V1659" t="str">
        <f t="shared" si="385"/>
        <v>锦江都城郑州二七店|服务量</v>
      </c>
      <c r="W1659">
        <f t="shared" si="386"/>
        <v>1657</v>
      </c>
      <c r="X1659" t="str">
        <f t="shared" si="387"/>
        <v>锦江都城郑州二七店|平均入住率</v>
      </c>
      <c r="Y1659">
        <f t="shared" si="388"/>
        <v>1658</v>
      </c>
      <c r="Z1659">
        <f>IF($A1659="",0,IF(AND($M1659=1,$A1659=经营数据!$B$3,$J1659=经营数据!$BA$5,OR($I1659=经营数据!$BA$4,COUNTIF(经营数据!$AA$9:$AA$38,$I1659)&gt;0)),1,0))</f>
        <v>0</v>
      </c>
      <c r="AA1659" t="str">
        <f t="shared" si="389"/>
        <v/>
      </c>
      <c r="AB1659" t="str">
        <f t="shared" si="390"/>
        <v/>
      </c>
      <c r="AC1659">
        <f>IF($A1659="",0,IF(COUNTIF($A$2:$A1659,$A1659)=1,1,0))</f>
        <v>0</v>
      </c>
      <c r="AD1659">
        <f t="shared" si="391"/>
        <v>18</v>
      </c>
      <c r="AE1659" t="str">
        <f t="shared" si="392"/>
        <v>锦江都城郑州二七店|平均入住率（%）</v>
      </c>
    </row>
    <row r="1660" spans="1:31" x14ac:dyDescent="0.4">
      <c r="A1660" t="str">
        <f>IF(原始经营数据!$D1661="","",原始经营数据!$D1661)</f>
        <v>华安锦江封闭式商业不动产证券投资基金</v>
      </c>
      <c r="B1660" t="str">
        <f>IF(原始经营数据!$D1661="","",T(原始经营数据!$E1661))</f>
        <v>锦江都城郑州二七店</v>
      </c>
      <c r="C1660" t="str">
        <f>IF(原始经营数据!$D1661="","",原始经营数据!$F1661)</f>
        <v>2022</v>
      </c>
      <c r="D1660" t="str">
        <f>IF(原始经营数据!$D1661="","",原始经营数据!$H1661)</f>
        <v>可供房数</v>
      </c>
      <c r="E1660">
        <f>IF(原始经营数据!$D1661="","",原始经营数据!$I1661)</f>
        <v>46428</v>
      </c>
      <c r="F1660" t="str">
        <f>IF(原始经营数据!$D1661="","",T(原始经营数据!$J1661))</f>
        <v>间</v>
      </c>
      <c r="G1660" t="str">
        <f>IF(原始经营数据!$D1661="","",T(原始经营数据!$K1661))</f>
        <v/>
      </c>
      <c r="H1660" t="str">
        <f>IF(原始经营数据!$D1661="","",原始经营数据!$G1661)</f>
        <v>服务量</v>
      </c>
      <c r="I1660" t="str">
        <f>IF($A1660="","",IF($B1660&lt;&gt;"",$B1660,IF(COUNTIFS(原始经营数据!$D$3:$D$3001,$A1660,原始经营数据!$E$3:$E$3001,"",原始经营数据!$F$3:$F$3001,$C1660,原始经营数据!$H$3:$H$3001,$D1660,原始经营数据!$K$3:$K$3001,$G1660)&gt;1,"基金整体·来源"&amp;原始经营数据!$A1661,"基金整体")))</f>
        <v>锦江都城郑州二七店</v>
      </c>
      <c r="J1660" t="str">
        <f t="shared" si="378"/>
        <v>年度</v>
      </c>
      <c r="K1660" t="str">
        <f t="shared" si="379"/>
        <v>可供房数（间）</v>
      </c>
      <c r="L1660" t="str">
        <f t="shared" si="380"/>
        <v>锦江都城郑州二七店|可供房数（间）|年度</v>
      </c>
      <c r="M1660">
        <f>IF($A1660="",0,IF(COUNTIF($L$2:$L1660,$L1660)=1,1,0))</f>
        <v>1</v>
      </c>
      <c r="N1660">
        <f t="shared" si="381"/>
        <v>20220</v>
      </c>
      <c r="O1660" t="str">
        <f t="shared" si="382"/>
        <v>华安锦江封闭式商业不动产证券投资基金|2022|年度</v>
      </c>
      <c r="P1660">
        <f>IF($A1660="",0,IF(COUNTIF($O$2:$O1660,$O1660)=1,1,0))</f>
        <v>0</v>
      </c>
      <c r="Q1660" t="str">
        <f>IF(AND($P1660=1,$A1660=经营数据!$B$3,$J1660=经营数据!$BA$5),COUNTIFS($P$2:$P$3000,1,$A$2:$A$3000,$A1660,$J$2:$J$3000,$J1660,$N$2:$N$3000,"&lt;"&amp;$N1660)+1,"")</f>
        <v/>
      </c>
      <c r="R1660" t="str">
        <f t="shared" si="383"/>
        <v>华安锦江封闭式商业不动产证券投资基金|锦江都城郑州二七店</v>
      </c>
      <c r="S1660">
        <f>IF($A1660="",0,IF(COUNTIF($R$2:$R1660,$R1660)=1,1,0))</f>
        <v>0</v>
      </c>
      <c r="T1660">
        <f t="shared" si="384"/>
        <v>1657</v>
      </c>
      <c r="U1660" t="str">
        <f>IF($A1660="","",IF($A1660=经营数据!$B$3,COUNTIFS($S$2:$S$3000,1,$A$2:$A$3000,$A1660,$T$2:$T$3000,"&lt;"&amp;$T1660)+1,""))</f>
        <v/>
      </c>
      <c r="V1660" t="str">
        <f t="shared" si="385"/>
        <v>锦江都城郑州二七店|服务量</v>
      </c>
      <c r="W1660">
        <f t="shared" si="386"/>
        <v>1657</v>
      </c>
      <c r="X1660" t="str">
        <f t="shared" si="387"/>
        <v>锦江都城郑州二七店|可供房数</v>
      </c>
      <c r="Y1660">
        <f t="shared" si="388"/>
        <v>1659</v>
      </c>
      <c r="Z1660">
        <f>IF($A1660="",0,IF(AND($M1660=1,$A1660=经营数据!$B$3,$J1660=经营数据!$BA$5,OR($I1660=经营数据!$BA$4,COUNTIF(经营数据!$AA$9:$AA$38,$I1660)&gt;0)),1,0))</f>
        <v>0</v>
      </c>
      <c r="AA1660" t="str">
        <f t="shared" si="389"/>
        <v/>
      </c>
      <c r="AB1660" t="str">
        <f t="shared" si="390"/>
        <v/>
      </c>
      <c r="AC1660">
        <f>IF($A1660="",0,IF(COUNTIF($A$2:$A1660,$A1660)=1,1,0))</f>
        <v>0</v>
      </c>
      <c r="AD1660">
        <f t="shared" si="391"/>
        <v>18</v>
      </c>
      <c r="AE1660" t="str">
        <f t="shared" si="392"/>
        <v>锦江都城郑州二七店|可供房数（间）</v>
      </c>
    </row>
    <row r="1661" spans="1:31" x14ac:dyDescent="0.4">
      <c r="A1661" t="str">
        <f>IF(原始经营数据!$D1662="","",原始经营数据!$D1662)</f>
        <v>华安锦江封闭式商业不动产证券投资基金</v>
      </c>
      <c r="B1661" t="str">
        <f>IF(原始经营数据!$D1662="","",T(原始经营数据!$E1662))</f>
        <v>锦江都城郑州二七店</v>
      </c>
      <c r="C1661" t="str">
        <f>IF(原始经营数据!$D1662="","",原始经营数据!$F1662)</f>
        <v>2023</v>
      </c>
      <c r="D1661" t="str">
        <f>IF(原始经营数据!$D1662="","",原始经营数据!$H1662)</f>
        <v>平均入住率</v>
      </c>
      <c r="E1661">
        <f>IF(原始经营数据!$D1662="","",原始经营数据!$I1662)</f>
        <v>72.650000000000006</v>
      </c>
      <c r="F1661" t="str">
        <f>IF(原始经营数据!$D1662="","",T(原始经营数据!$J1662))</f>
        <v>%</v>
      </c>
      <c r="G1661" t="str">
        <f>IF(原始经营数据!$D1662="","",T(原始经营数据!$K1662))</f>
        <v/>
      </c>
      <c r="H1661" t="str">
        <f>IF(原始经营数据!$D1662="","",原始经营数据!$G1662)</f>
        <v>服务量</v>
      </c>
      <c r="I1661" t="str">
        <f>IF($A1661="","",IF($B1661&lt;&gt;"",$B1661,IF(COUNTIFS(原始经营数据!$D$3:$D$3001,$A1661,原始经营数据!$E$3:$E$3001,"",原始经营数据!$F$3:$F$3001,$C1661,原始经营数据!$H$3:$H$3001,$D1661,原始经营数据!$K$3:$K$3001,$G1661)&gt;1,"基金整体·来源"&amp;原始经营数据!$A1662,"基金整体")))</f>
        <v>锦江都城郑州二七店</v>
      </c>
      <c r="J1661" t="str">
        <f t="shared" si="378"/>
        <v>年度</v>
      </c>
      <c r="K1661" t="str">
        <f t="shared" si="379"/>
        <v>平均入住率（%）</v>
      </c>
      <c r="L1661" t="str">
        <f t="shared" si="380"/>
        <v>锦江都城郑州二七店|平均入住率（%）|年度</v>
      </c>
      <c r="M1661">
        <f>IF($A1661="",0,IF(COUNTIF($L$2:$L1661,$L1661)=1,1,0))</f>
        <v>0</v>
      </c>
      <c r="N1661">
        <f t="shared" si="381"/>
        <v>20230</v>
      </c>
      <c r="O1661" t="str">
        <f t="shared" si="382"/>
        <v>华安锦江封闭式商业不动产证券投资基金|2023|年度</v>
      </c>
      <c r="P1661">
        <f>IF($A1661="",0,IF(COUNTIF($O$2:$O1661,$O1661)=1,1,0))</f>
        <v>0</v>
      </c>
      <c r="Q1661" t="str">
        <f>IF(AND($P1661=1,$A1661=经营数据!$B$3,$J1661=经营数据!$BA$5),COUNTIFS($P$2:$P$3000,1,$A$2:$A$3000,$A1661,$J$2:$J$3000,$J1661,$N$2:$N$3000,"&lt;"&amp;$N1661)+1,"")</f>
        <v/>
      </c>
      <c r="R1661" t="str">
        <f t="shared" si="383"/>
        <v>华安锦江封闭式商业不动产证券投资基金|锦江都城郑州二七店</v>
      </c>
      <c r="S1661">
        <f>IF($A1661="",0,IF(COUNTIF($R$2:$R1661,$R1661)=1,1,0))</f>
        <v>0</v>
      </c>
      <c r="T1661">
        <f t="shared" si="384"/>
        <v>1657</v>
      </c>
      <c r="U1661" t="str">
        <f>IF($A1661="","",IF($A1661=经营数据!$B$3,COUNTIFS($S$2:$S$3000,1,$A$2:$A$3000,$A1661,$T$2:$T$3000,"&lt;"&amp;$T1661)+1,""))</f>
        <v/>
      </c>
      <c r="V1661" t="str">
        <f t="shared" si="385"/>
        <v>锦江都城郑州二七店|服务量</v>
      </c>
      <c r="W1661">
        <f t="shared" si="386"/>
        <v>1657</v>
      </c>
      <c r="X1661" t="str">
        <f t="shared" si="387"/>
        <v>锦江都城郑州二七店|平均入住率</v>
      </c>
      <c r="Y1661">
        <f t="shared" si="388"/>
        <v>1658</v>
      </c>
      <c r="Z1661">
        <f>IF($A1661="",0,IF(AND($M1661=1,$A1661=经营数据!$B$3,$J1661=经营数据!$BA$5,OR($I1661=经营数据!$BA$4,COUNTIF(经营数据!$AA$9:$AA$38,$I1661)&gt;0)),1,0))</f>
        <v>0</v>
      </c>
      <c r="AA1661" t="str">
        <f t="shared" si="389"/>
        <v/>
      </c>
      <c r="AB1661" t="str">
        <f t="shared" si="390"/>
        <v/>
      </c>
      <c r="AC1661">
        <f>IF($A1661="",0,IF(COUNTIF($A$2:$A1661,$A1661)=1,1,0))</f>
        <v>0</v>
      </c>
      <c r="AD1661">
        <f t="shared" si="391"/>
        <v>18</v>
      </c>
      <c r="AE1661" t="str">
        <f t="shared" si="392"/>
        <v>锦江都城郑州二七店|平均入住率（%）</v>
      </c>
    </row>
    <row r="1662" spans="1:31" x14ac:dyDescent="0.4">
      <c r="A1662" t="str">
        <f>IF(原始经营数据!$D1663="","",原始经营数据!$D1663)</f>
        <v>华安锦江封闭式商业不动产证券投资基金</v>
      </c>
      <c r="B1662" t="str">
        <f>IF(原始经营数据!$D1663="","",T(原始经营数据!$E1663))</f>
        <v>锦江都城郑州二七店</v>
      </c>
      <c r="C1662" t="str">
        <f>IF(原始经营数据!$D1663="","",原始经营数据!$F1663)</f>
        <v>2023</v>
      </c>
      <c r="D1662" t="str">
        <f>IF(原始经营数据!$D1663="","",原始经营数据!$H1663)</f>
        <v>平均房价</v>
      </c>
      <c r="E1662">
        <f>IF(原始经营数据!$D1663="","",原始经营数据!$I1663)</f>
        <v>223.76</v>
      </c>
      <c r="F1662" t="str">
        <f>IF(原始经营数据!$D1663="","",T(原始经营数据!$J1663))</f>
        <v>元/间</v>
      </c>
      <c r="G1662" t="str">
        <f>IF(原始经营数据!$D1663="","",T(原始经营数据!$K1663))</f>
        <v/>
      </c>
      <c r="H1662" t="str">
        <f>IF(原始经营数据!$D1663="","",原始经营数据!$G1663)</f>
        <v>服务量</v>
      </c>
      <c r="I1662" t="str">
        <f>IF($A1662="","",IF($B1662&lt;&gt;"",$B1662,IF(COUNTIFS(原始经营数据!$D$3:$D$3001,$A1662,原始经营数据!$E$3:$E$3001,"",原始经营数据!$F$3:$F$3001,$C1662,原始经营数据!$H$3:$H$3001,$D1662,原始经营数据!$K$3:$K$3001,$G1662)&gt;1,"基金整体·来源"&amp;原始经营数据!$A1663,"基金整体")))</f>
        <v>锦江都城郑州二七店</v>
      </c>
      <c r="J1662" t="str">
        <f t="shared" si="378"/>
        <v>年度</v>
      </c>
      <c r="K1662" t="str">
        <f t="shared" si="379"/>
        <v>平均房价（元/间）</v>
      </c>
      <c r="L1662" t="str">
        <f t="shared" si="380"/>
        <v>锦江都城郑州二七店|平均房价（元/间）|年度</v>
      </c>
      <c r="M1662">
        <f>IF($A1662="",0,IF(COUNTIF($L$2:$L1662,$L1662)=1,1,0))</f>
        <v>0</v>
      </c>
      <c r="N1662">
        <f t="shared" si="381"/>
        <v>20230</v>
      </c>
      <c r="O1662" t="str">
        <f t="shared" si="382"/>
        <v>华安锦江封闭式商业不动产证券投资基金|2023|年度</v>
      </c>
      <c r="P1662">
        <f>IF($A1662="",0,IF(COUNTIF($O$2:$O1662,$O1662)=1,1,0))</f>
        <v>0</v>
      </c>
      <c r="Q1662" t="str">
        <f>IF(AND($P1662=1,$A1662=经营数据!$B$3,$J1662=经营数据!$BA$5),COUNTIFS($P$2:$P$3000,1,$A$2:$A$3000,$A1662,$J$2:$J$3000,$J1662,$N$2:$N$3000,"&lt;"&amp;$N1662)+1,"")</f>
        <v/>
      </c>
      <c r="R1662" t="str">
        <f t="shared" si="383"/>
        <v>华安锦江封闭式商业不动产证券投资基金|锦江都城郑州二七店</v>
      </c>
      <c r="S1662">
        <f>IF($A1662="",0,IF(COUNTIF($R$2:$R1662,$R1662)=1,1,0))</f>
        <v>0</v>
      </c>
      <c r="T1662">
        <f t="shared" si="384"/>
        <v>1657</v>
      </c>
      <c r="U1662" t="str">
        <f>IF($A1662="","",IF($A1662=经营数据!$B$3,COUNTIFS($S$2:$S$3000,1,$A$2:$A$3000,$A1662,$T$2:$T$3000,"&lt;"&amp;$T1662)+1,""))</f>
        <v/>
      </c>
      <c r="V1662" t="str">
        <f t="shared" si="385"/>
        <v>锦江都城郑州二七店|服务量</v>
      </c>
      <c r="W1662">
        <f t="shared" si="386"/>
        <v>1657</v>
      </c>
      <c r="X1662" t="str">
        <f t="shared" si="387"/>
        <v>锦江都城郑州二七店|平均房价</v>
      </c>
      <c r="Y1662">
        <f t="shared" si="388"/>
        <v>1657</v>
      </c>
      <c r="Z1662">
        <f>IF($A1662="",0,IF(AND($M1662=1,$A1662=经营数据!$B$3,$J1662=经营数据!$BA$5,OR($I1662=经营数据!$BA$4,COUNTIF(经营数据!$AA$9:$AA$38,$I1662)&gt;0)),1,0))</f>
        <v>0</v>
      </c>
      <c r="AA1662" t="str">
        <f t="shared" si="389"/>
        <v/>
      </c>
      <c r="AB1662" t="str">
        <f t="shared" si="390"/>
        <v/>
      </c>
      <c r="AC1662">
        <f>IF($A1662="",0,IF(COUNTIF($A$2:$A1662,$A1662)=1,1,0))</f>
        <v>0</v>
      </c>
      <c r="AD1662">
        <f t="shared" si="391"/>
        <v>18</v>
      </c>
      <c r="AE1662" t="str">
        <f t="shared" si="392"/>
        <v>锦江都城郑州二七店|平均房价（元/间）</v>
      </c>
    </row>
    <row r="1663" spans="1:31" x14ac:dyDescent="0.4">
      <c r="A1663" t="str">
        <f>IF(原始经营数据!$D1664="","",原始经营数据!$D1664)</f>
        <v>华安锦江封闭式商业不动产证券投资基金</v>
      </c>
      <c r="B1663" t="str">
        <f>IF(原始经营数据!$D1664="","",T(原始经营数据!$E1664))</f>
        <v>锦江都城郑州二七店</v>
      </c>
      <c r="C1663" t="str">
        <f>IF(原始经营数据!$D1664="","",原始经营数据!$F1664)</f>
        <v>2023</v>
      </c>
      <c r="D1663" t="str">
        <f>IF(原始经营数据!$D1664="","",原始经营数据!$H1664)</f>
        <v>可供房数</v>
      </c>
      <c r="E1663">
        <f>IF(原始经营数据!$D1664="","",原始经营数据!$I1664)</f>
        <v>48910</v>
      </c>
      <c r="F1663" t="str">
        <f>IF(原始经营数据!$D1664="","",T(原始经营数据!$J1664))</f>
        <v>间</v>
      </c>
      <c r="G1663" t="str">
        <f>IF(原始经营数据!$D1664="","",T(原始经营数据!$K1664))</f>
        <v/>
      </c>
      <c r="H1663" t="str">
        <f>IF(原始经营数据!$D1664="","",原始经营数据!$G1664)</f>
        <v>服务量</v>
      </c>
      <c r="I1663" t="str">
        <f>IF($A1663="","",IF($B1663&lt;&gt;"",$B1663,IF(COUNTIFS(原始经营数据!$D$3:$D$3001,$A1663,原始经营数据!$E$3:$E$3001,"",原始经营数据!$F$3:$F$3001,$C1663,原始经营数据!$H$3:$H$3001,$D1663,原始经营数据!$K$3:$K$3001,$G1663)&gt;1,"基金整体·来源"&amp;原始经营数据!$A1664,"基金整体")))</f>
        <v>锦江都城郑州二七店</v>
      </c>
      <c r="J1663" t="str">
        <f t="shared" si="378"/>
        <v>年度</v>
      </c>
      <c r="K1663" t="str">
        <f t="shared" si="379"/>
        <v>可供房数（间）</v>
      </c>
      <c r="L1663" t="str">
        <f t="shared" si="380"/>
        <v>锦江都城郑州二七店|可供房数（间）|年度</v>
      </c>
      <c r="M1663">
        <f>IF($A1663="",0,IF(COUNTIF($L$2:$L1663,$L1663)=1,1,0))</f>
        <v>0</v>
      </c>
      <c r="N1663">
        <f t="shared" si="381"/>
        <v>20230</v>
      </c>
      <c r="O1663" t="str">
        <f t="shared" si="382"/>
        <v>华安锦江封闭式商业不动产证券投资基金|2023|年度</v>
      </c>
      <c r="P1663">
        <f>IF($A1663="",0,IF(COUNTIF($O$2:$O1663,$O1663)=1,1,0))</f>
        <v>0</v>
      </c>
      <c r="Q1663" t="str">
        <f>IF(AND($P1663=1,$A1663=经营数据!$B$3,$J1663=经营数据!$BA$5),COUNTIFS($P$2:$P$3000,1,$A$2:$A$3000,$A1663,$J$2:$J$3000,$J1663,$N$2:$N$3000,"&lt;"&amp;$N1663)+1,"")</f>
        <v/>
      </c>
      <c r="R1663" t="str">
        <f t="shared" si="383"/>
        <v>华安锦江封闭式商业不动产证券投资基金|锦江都城郑州二七店</v>
      </c>
      <c r="S1663">
        <f>IF($A1663="",0,IF(COUNTIF($R$2:$R1663,$R1663)=1,1,0))</f>
        <v>0</v>
      </c>
      <c r="T1663">
        <f t="shared" si="384"/>
        <v>1657</v>
      </c>
      <c r="U1663" t="str">
        <f>IF($A1663="","",IF($A1663=经营数据!$B$3,COUNTIFS($S$2:$S$3000,1,$A$2:$A$3000,$A1663,$T$2:$T$3000,"&lt;"&amp;$T1663)+1,""))</f>
        <v/>
      </c>
      <c r="V1663" t="str">
        <f t="shared" si="385"/>
        <v>锦江都城郑州二七店|服务量</v>
      </c>
      <c r="W1663">
        <f t="shared" si="386"/>
        <v>1657</v>
      </c>
      <c r="X1663" t="str">
        <f t="shared" si="387"/>
        <v>锦江都城郑州二七店|可供房数</v>
      </c>
      <c r="Y1663">
        <f t="shared" si="388"/>
        <v>1659</v>
      </c>
      <c r="Z1663">
        <f>IF($A1663="",0,IF(AND($M1663=1,$A1663=经营数据!$B$3,$J1663=经营数据!$BA$5,OR($I1663=经营数据!$BA$4,COUNTIF(经营数据!$AA$9:$AA$38,$I1663)&gt;0)),1,0))</f>
        <v>0</v>
      </c>
      <c r="AA1663" t="str">
        <f t="shared" si="389"/>
        <v/>
      </c>
      <c r="AB1663" t="str">
        <f t="shared" si="390"/>
        <v/>
      </c>
      <c r="AC1663">
        <f>IF($A1663="",0,IF(COUNTIF($A$2:$A1663,$A1663)=1,1,0))</f>
        <v>0</v>
      </c>
      <c r="AD1663">
        <f t="shared" si="391"/>
        <v>18</v>
      </c>
      <c r="AE1663" t="str">
        <f t="shared" si="392"/>
        <v>锦江都城郑州二七店|可供房数（间）</v>
      </c>
    </row>
    <row r="1664" spans="1:31" x14ac:dyDescent="0.4">
      <c r="A1664" t="str">
        <f>IF(原始经营数据!$D1665="","",原始经营数据!$D1665)</f>
        <v>华安锦江封闭式商业不动产证券投资基金</v>
      </c>
      <c r="B1664" t="str">
        <f>IF(原始经营数据!$D1665="","",T(原始经营数据!$E1665))</f>
        <v>锦江都城郑州二七店</v>
      </c>
      <c r="C1664" t="str">
        <f>IF(原始经营数据!$D1665="","",原始经营数据!$F1665)</f>
        <v>2024</v>
      </c>
      <c r="D1664" t="str">
        <f>IF(原始经营数据!$D1665="","",原始经营数据!$H1665)</f>
        <v>平均房价</v>
      </c>
      <c r="E1664">
        <f>IF(原始经营数据!$D1665="","",原始经营数据!$I1665)</f>
        <v>214.61</v>
      </c>
      <c r="F1664" t="str">
        <f>IF(原始经营数据!$D1665="","",T(原始经营数据!$J1665))</f>
        <v>元/间</v>
      </c>
      <c r="G1664" t="str">
        <f>IF(原始经营数据!$D1665="","",T(原始经营数据!$K1665))</f>
        <v/>
      </c>
      <c r="H1664" t="str">
        <f>IF(原始经营数据!$D1665="","",原始经营数据!$G1665)</f>
        <v>服务量</v>
      </c>
      <c r="I1664" t="str">
        <f>IF($A1664="","",IF($B1664&lt;&gt;"",$B1664,IF(COUNTIFS(原始经营数据!$D$3:$D$3001,$A1664,原始经营数据!$E$3:$E$3001,"",原始经营数据!$F$3:$F$3001,$C1664,原始经营数据!$H$3:$H$3001,$D1664,原始经营数据!$K$3:$K$3001,$G1664)&gt;1,"基金整体·来源"&amp;原始经营数据!$A1665,"基金整体")))</f>
        <v>锦江都城郑州二七店</v>
      </c>
      <c r="J1664" t="str">
        <f t="shared" si="378"/>
        <v>年度</v>
      </c>
      <c r="K1664" t="str">
        <f t="shared" si="379"/>
        <v>平均房价（元/间）</v>
      </c>
      <c r="L1664" t="str">
        <f t="shared" si="380"/>
        <v>锦江都城郑州二七店|平均房价（元/间）|年度</v>
      </c>
      <c r="M1664">
        <f>IF($A1664="",0,IF(COUNTIF($L$2:$L1664,$L1664)=1,1,0))</f>
        <v>0</v>
      </c>
      <c r="N1664">
        <f t="shared" si="381"/>
        <v>20240</v>
      </c>
      <c r="O1664" t="str">
        <f t="shared" si="382"/>
        <v>华安锦江封闭式商业不动产证券投资基金|2024|年度</v>
      </c>
      <c r="P1664">
        <f>IF($A1664="",0,IF(COUNTIF($O$2:$O1664,$O1664)=1,1,0))</f>
        <v>0</v>
      </c>
      <c r="Q1664" t="str">
        <f>IF(AND($P1664=1,$A1664=经营数据!$B$3,$J1664=经营数据!$BA$5),COUNTIFS($P$2:$P$3000,1,$A$2:$A$3000,$A1664,$J$2:$J$3000,$J1664,$N$2:$N$3000,"&lt;"&amp;$N1664)+1,"")</f>
        <v/>
      </c>
      <c r="R1664" t="str">
        <f t="shared" si="383"/>
        <v>华安锦江封闭式商业不动产证券投资基金|锦江都城郑州二七店</v>
      </c>
      <c r="S1664">
        <f>IF($A1664="",0,IF(COUNTIF($R$2:$R1664,$R1664)=1,1,0))</f>
        <v>0</v>
      </c>
      <c r="T1664">
        <f t="shared" si="384"/>
        <v>1657</v>
      </c>
      <c r="U1664" t="str">
        <f>IF($A1664="","",IF($A1664=经营数据!$B$3,COUNTIFS($S$2:$S$3000,1,$A$2:$A$3000,$A1664,$T$2:$T$3000,"&lt;"&amp;$T1664)+1,""))</f>
        <v/>
      </c>
      <c r="V1664" t="str">
        <f t="shared" si="385"/>
        <v>锦江都城郑州二七店|服务量</v>
      </c>
      <c r="W1664">
        <f t="shared" si="386"/>
        <v>1657</v>
      </c>
      <c r="X1664" t="str">
        <f t="shared" si="387"/>
        <v>锦江都城郑州二七店|平均房价</v>
      </c>
      <c r="Y1664">
        <f t="shared" si="388"/>
        <v>1657</v>
      </c>
      <c r="Z1664">
        <f>IF($A1664="",0,IF(AND($M1664=1,$A1664=经营数据!$B$3,$J1664=经营数据!$BA$5,OR($I1664=经营数据!$BA$4,COUNTIF(经营数据!$AA$9:$AA$38,$I1664)&gt;0)),1,0))</f>
        <v>0</v>
      </c>
      <c r="AA1664" t="str">
        <f t="shared" si="389"/>
        <v/>
      </c>
      <c r="AB1664" t="str">
        <f t="shared" si="390"/>
        <v/>
      </c>
      <c r="AC1664">
        <f>IF($A1664="",0,IF(COUNTIF($A$2:$A1664,$A1664)=1,1,0))</f>
        <v>0</v>
      </c>
      <c r="AD1664">
        <f t="shared" si="391"/>
        <v>18</v>
      </c>
      <c r="AE1664" t="str">
        <f t="shared" si="392"/>
        <v>锦江都城郑州二七店|平均房价（元/间）</v>
      </c>
    </row>
    <row r="1665" spans="1:31" x14ac:dyDescent="0.4">
      <c r="A1665" t="str">
        <f>IF(原始经营数据!$D1666="","",原始经营数据!$D1666)</f>
        <v>华安锦江封闭式商业不动产证券投资基金</v>
      </c>
      <c r="B1665" t="str">
        <f>IF(原始经营数据!$D1666="","",T(原始经营数据!$E1666))</f>
        <v>锦江都城郑州二七店</v>
      </c>
      <c r="C1665" t="str">
        <f>IF(原始经营数据!$D1666="","",原始经营数据!$F1666)</f>
        <v>2024</v>
      </c>
      <c r="D1665" t="str">
        <f>IF(原始经营数据!$D1666="","",原始经营数据!$H1666)</f>
        <v>平均入住率</v>
      </c>
      <c r="E1665">
        <f>IF(原始经营数据!$D1666="","",原始经营数据!$I1666)</f>
        <v>65.67</v>
      </c>
      <c r="F1665" t="str">
        <f>IF(原始经营数据!$D1666="","",T(原始经营数据!$J1666))</f>
        <v>%</v>
      </c>
      <c r="G1665" t="str">
        <f>IF(原始经营数据!$D1666="","",T(原始经营数据!$K1666))</f>
        <v/>
      </c>
      <c r="H1665" t="str">
        <f>IF(原始经营数据!$D1666="","",原始经营数据!$G1666)</f>
        <v>服务量</v>
      </c>
      <c r="I1665" t="str">
        <f>IF($A1665="","",IF($B1665&lt;&gt;"",$B1665,IF(COUNTIFS(原始经营数据!$D$3:$D$3001,$A1665,原始经营数据!$E$3:$E$3001,"",原始经营数据!$F$3:$F$3001,$C1665,原始经营数据!$H$3:$H$3001,$D1665,原始经营数据!$K$3:$K$3001,$G1665)&gt;1,"基金整体·来源"&amp;原始经营数据!$A1666,"基金整体")))</f>
        <v>锦江都城郑州二七店</v>
      </c>
      <c r="J1665" t="str">
        <f t="shared" si="378"/>
        <v>年度</v>
      </c>
      <c r="K1665" t="str">
        <f t="shared" si="379"/>
        <v>平均入住率（%）</v>
      </c>
      <c r="L1665" t="str">
        <f t="shared" si="380"/>
        <v>锦江都城郑州二七店|平均入住率（%）|年度</v>
      </c>
      <c r="M1665">
        <f>IF($A1665="",0,IF(COUNTIF($L$2:$L1665,$L1665)=1,1,0))</f>
        <v>0</v>
      </c>
      <c r="N1665">
        <f t="shared" si="381"/>
        <v>20240</v>
      </c>
      <c r="O1665" t="str">
        <f t="shared" si="382"/>
        <v>华安锦江封闭式商业不动产证券投资基金|2024|年度</v>
      </c>
      <c r="P1665">
        <f>IF($A1665="",0,IF(COUNTIF($O$2:$O1665,$O1665)=1,1,0))</f>
        <v>0</v>
      </c>
      <c r="Q1665" t="str">
        <f>IF(AND($P1665=1,$A1665=经营数据!$B$3,$J1665=经营数据!$BA$5),COUNTIFS($P$2:$P$3000,1,$A$2:$A$3000,$A1665,$J$2:$J$3000,$J1665,$N$2:$N$3000,"&lt;"&amp;$N1665)+1,"")</f>
        <v/>
      </c>
      <c r="R1665" t="str">
        <f t="shared" si="383"/>
        <v>华安锦江封闭式商业不动产证券投资基金|锦江都城郑州二七店</v>
      </c>
      <c r="S1665">
        <f>IF($A1665="",0,IF(COUNTIF($R$2:$R1665,$R1665)=1,1,0))</f>
        <v>0</v>
      </c>
      <c r="T1665">
        <f t="shared" si="384"/>
        <v>1657</v>
      </c>
      <c r="U1665" t="str">
        <f>IF($A1665="","",IF($A1665=经营数据!$B$3,COUNTIFS($S$2:$S$3000,1,$A$2:$A$3000,$A1665,$T$2:$T$3000,"&lt;"&amp;$T1665)+1,""))</f>
        <v/>
      </c>
      <c r="V1665" t="str">
        <f t="shared" si="385"/>
        <v>锦江都城郑州二七店|服务量</v>
      </c>
      <c r="W1665">
        <f t="shared" si="386"/>
        <v>1657</v>
      </c>
      <c r="X1665" t="str">
        <f t="shared" si="387"/>
        <v>锦江都城郑州二七店|平均入住率</v>
      </c>
      <c r="Y1665">
        <f t="shared" si="388"/>
        <v>1658</v>
      </c>
      <c r="Z1665">
        <f>IF($A1665="",0,IF(AND($M1665=1,$A1665=经营数据!$B$3,$J1665=经营数据!$BA$5,OR($I1665=经营数据!$BA$4,COUNTIF(经营数据!$AA$9:$AA$38,$I1665)&gt;0)),1,0))</f>
        <v>0</v>
      </c>
      <c r="AA1665" t="str">
        <f t="shared" si="389"/>
        <v/>
      </c>
      <c r="AB1665" t="str">
        <f t="shared" si="390"/>
        <v/>
      </c>
      <c r="AC1665">
        <f>IF($A1665="",0,IF(COUNTIF($A$2:$A1665,$A1665)=1,1,0))</f>
        <v>0</v>
      </c>
      <c r="AD1665">
        <f t="shared" si="391"/>
        <v>18</v>
      </c>
      <c r="AE1665" t="str">
        <f t="shared" si="392"/>
        <v>锦江都城郑州二七店|平均入住率（%）</v>
      </c>
    </row>
    <row r="1666" spans="1:31" x14ac:dyDescent="0.4">
      <c r="A1666" t="str">
        <f>IF(原始经营数据!$D1667="","",原始经营数据!$D1667)</f>
        <v>华安锦江封闭式商业不动产证券投资基金</v>
      </c>
      <c r="B1666" t="str">
        <f>IF(原始经营数据!$D1667="","",T(原始经营数据!$E1667))</f>
        <v>锦江都城郑州二七店</v>
      </c>
      <c r="C1666" t="str">
        <f>IF(原始经营数据!$D1667="","",原始经营数据!$F1667)</f>
        <v>2024</v>
      </c>
      <c r="D1666" t="str">
        <f>IF(原始经营数据!$D1667="","",原始经营数据!$H1667)</f>
        <v>可供房数</v>
      </c>
      <c r="E1666">
        <f>IF(原始经营数据!$D1667="","",原始经营数据!$I1667)</f>
        <v>47737</v>
      </c>
      <c r="F1666" t="str">
        <f>IF(原始经营数据!$D1667="","",T(原始经营数据!$J1667))</f>
        <v>间</v>
      </c>
      <c r="G1666" t="str">
        <f>IF(原始经营数据!$D1667="","",T(原始经营数据!$K1667))</f>
        <v/>
      </c>
      <c r="H1666" t="str">
        <f>IF(原始经营数据!$D1667="","",原始经营数据!$G1667)</f>
        <v>服务量</v>
      </c>
      <c r="I1666" t="str">
        <f>IF($A1666="","",IF($B1666&lt;&gt;"",$B1666,IF(COUNTIFS(原始经营数据!$D$3:$D$3001,$A1666,原始经营数据!$E$3:$E$3001,"",原始经营数据!$F$3:$F$3001,$C1666,原始经营数据!$H$3:$H$3001,$D1666,原始经营数据!$K$3:$K$3001,$G1666)&gt;1,"基金整体·来源"&amp;原始经营数据!$A1667,"基金整体")))</f>
        <v>锦江都城郑州二七店</v>
      </c>
      <c r="J1666" t="str">
        <f t="shared" ref="J1666:J1729" si="393">IF($A1666="","",IF(LEN($C1666)=4,"年度",IF(AND(LEN($C1666)=6,ISNUMBER(SEARCH("Q",$C1666))),"季度","其他期间")))</f>
        <v>年度</v>
      </c>
      <c r="K1666" t="str">
        <f t="shared" ref="K1666:K1729" si="394">IF($A1666="","",$D1666&amp;IF($G1666="","","-"&amp;SUBSTITUTE($G1666,CHAR(10),""))&amp;IF($F1666="","","（"&amp;$F1666&amp;"）"))</f>
        <v>可供房数（间）</v>
      </c>
      <c r="L1666" t="str">
        <f t="shared" ref="L1666:L1729" si="395">IF($A1666="","",$I1666&amp;"|"&amp;$K1666&amp;"|"&amp;$J1666)</f>
        <v>锦江都城郑州二七店|可供房数（间）|年度</v>
      </c>
      <c r="M1666">
        <f>IF($A1666="",0,IF(COUNTIF($L$2:$L1666,$L1666)=1,1,0))</f>
        <v>0</v>
      </c>
      <c r="N1666">
        <f t="shared" ref="N1666:N1729" si="396">IF($A1666="","",IF($J1666="年度",VALUE($C1666)*10,IF($J1666="季度",VALUE(LEFT($C1666,4))*10+VALUE(RIGHT($C1666,1)),VALUE(LEFT($C1666,4))*10+9)))</f>
        <v>20240</v>
      </c>
      <c r="O1666" t="str">
        <f t="shared" ref="O1666:O1729" si="397">IF($A1666="","",$A1666&amp;"|"&amp;$C1666&amp;"|"&amp;$J1666)</f>
        <v>华安锦江封闭式商业不动产证券投资基金|2024|年度</v>
      </c>
      <c r="P1666">
        <f>IF($A1666="",0,IF(COUNTIF($O$2:$O1666,$O1666)=1,1,0))</f>
        <v>0</v>
      </c>
      <c r="Q1666" t="str">
        <f>IF(AND($P1666=1,$A1666=经营数据!$B$3,$J1666=经营数据!$BA$5),COUNTIFS($P$2:$P$3000,1,$A$2:$A$3000,$A1666,$J$2:$J$3000,$J1666,$N$2:$N$3000,"&lt;"&amp;$N1666)+1,"")</f>
        <v/>
      </c>
      <c r="R1666" t="str">
        <f t="shared" ref="R1666:R1729" si="398">IF($A1666="","",$A1666&amp;"|"&amp;$I1666)</f>
        <v>华安锦江封闭式商业不动产证券投资基金|锦江都城郑州二七店</v>
      </c>
      <c r="S1666">
        <f>IF($A1666="",0,IF(COUNTIF($R$2:$R1666,$R1666)=1,1,0))</f>
        <v>0</v>
      </c>
      <c r="T1666">
        <f t="shared" ref="T1666:T1729" si="399">IF($A1666="","",MATCH($R1666,$R$2:$R$3000,0))</f>
        <v>1657</v>
      </c>
      <c r="U1666" t="str">
        <f>IF($A1666="","",IF($A1666=经营数据!$B$3,COUNTIFS($S$2:$S$3000,1,$A$2:$A$3000,$A1666,$T$2:$T$3000,"&lt;"&amp;$T1666)+1,""))</f>
        <v/>
      </c>
      <c r="V1666" t="str">
        <f t="shared" ref="V1666:V1729" si="400">IF($A1666="","",$I1666&amp;"|"&amp;$H1666)</f>
        <v>锦江都城郑州二七店|服务量</v>
      </c>
      <c r="W1666">
        <f t="shared" ref="W1666:W1729" si="401">IF($A1666="","",MATCH($V1666,$V$2:$V$3000,0))</f>
        <v>1657</v>
      </c>
      <c r="X1666" t="str">
        <f t="shared" ref="X1666:X1729" si="402">IF($A1666="","",$I1666&amp;"|"&amp;$D1666)</f>
        <v>锦江都城郑州二七店|可供房数</v>
      </c>
      <c r="Y1666">
        <f t="shared" ref="Y1666:Y1729" si="403">IF($A1666="","",MATCH($X1666,$X$2:$X$3000,0))</f>
        <v>1659</v>
      </c>
      <c r="Z1666">
        <f>IF($A1666="",0,IF(AND($M1666=1,$A1666=经营数据!$B$3,$J1666=经营数据!$BA$5,OR($I1666=经营数据!$BA$4,COUNTIF(经营数据!$AA$9:$AA$38,$I1666)&gt;0)),1,0))</f>
        <v>0</v>
      </c>
      <c r="AA1666" t="str">
        <f t="shared" ref="AA1666:AA1729" si="404">IF($Z1666=1,$U1666*1000000000000+$W1666*100000000+$Y1666*10000+ROW(),"")</f>
        <v/>
      </c>
      <c r="AB1666" t="str">
        <f t="shared" ref="AB1666:AB1729" si="405">IF($Z1666=1,COUNTIFS($Z$2:$Z$3000,1,$AA$2:$AA$3000,"&lt;"&amp;$AA1666)+1,"")</f>
        <v/>
      </c>
      <c r="AC1666">
        <f>IF($A1666="",0,IF(COUNTIF($A$2:$A1666,$A1666)=1,1,0))</f>
        <v>0</v>
      </c>
      <c r="AD1666">
        <f t="shared" ref="AD1666:AD1729" si="406">IF($A1666="",N(AD1665),IF($AC1666=1,N(AD1665)+1,N(AD1665)))</f>
        <v>18</v>
      </c>
      <c r="AE1666" t="str">
        <f t="shared" ref="AE1666:AE1729" si="407">IF($A1666="","",$I1666&amp;"|"&amp;$K1666)</f>
        <v>锦江都城郑州二七店|可供房数（间）</v>
      </c>
    </row>
    <row r="1667" spans="1:31" x14ac:dyDescent="0.4">
      <c r="A1667" t="str">
        <f>IF(原始经营数据!$D1668="","",原始经营数据!$D1668)</f>
        <v>华安锦江封闭式商业不动产证券投资基金</v>
      </c>
      <c r="B1667" t="str">
        <f>IF(原始经营数据!$D1668="","",T(原始经营数据!$E1668))</f>
        <v>锦江都城郑州二七店</v>
      </c>
      <c r="C1667" t="str">
        <f>IF(原始经营数据!$D1668="","",原始经营数据!$F1668)</f>
        <v>2025</v>
      </c>
      <c r="D1667" t="str">
        <f>IF(原始经营数据!$D1668="","",原始经营数据!$H1668)</f>
        <v>平均房价</v>
      </c>
      <c r="E1667">
        <f>IF(原始经营数据!$D1668="","",原始经营数据!$I1668)</f>
        <v>212.83</v>
      </c>
      <c r="F1667" t="str">
        <f>IF(原始经营数据!$D1668="","",T(原始经营数据!$J1668))</f>
        <v>元/间</v>
      </c>
      <c r="G1667" t="str">
        <f>IF(原始经营数据!$D1668="","",T(原始经营数据!$K1668))</f>
        <v/>
      </c>
      <c r="H1667" t="str">
        <f>IF(原始经营数据!$D1668="","",原始经营数据!$G1668)</f>
        <v>服务量</v>
      </c>
      <c r="I1667" t="str">
        <f>IF($A1667="","",IF($B1667&lt;&gt;"",$B1667,IF(COUNTIFS(原始经营数据!$D$3:$D$3001,$A1667,原始经营数据!$E$3:$E$3001,"",原始经营数据!$F$3:$F$3001,$C1667,原始经营数据!$H$3:$H$3001,$D1667,原始经营数据!$K$3:$K$3001,$G1667)&gt;1,"基金整体·来源"&amp;原始经营数据!$A1668,"基金整体")))</f>
        <v>锦江都城郑州二七店</v>
      </c>
      <c r="J1667" t="str">
        <f t="shared" si="393"/>
        <v>年度</v>
      </c>
      <c r="K1667" t="str">
        <f t="shared" si="394"/>
        <v>平均房价（元/间）</v>
      </c>
      <c r="L1667" t="str">
        <f t="shared" si="395"/>
        <v>锦江都城郑州二七店|平均房价（元/间）|年度</v>
      </c>
      <c r="M1667">
        <f>IF($A1667="",0,IF(COUNTIF($L$2:$L1667,$L1667)=1,1,0))</f>
        <v>0</v>
      </c>
      <c r="N1667">
        <f t="shared" si="396"/>
        <v>20250</v>
      </c>
      <c r="O1667" t="str">
        <f t="shared" si="397"/>
        <v>华安锦江封闭式商业不动产证券投资基金|2025|年度</v>
      </c>
      <c r="P1667">
        <f>IF($A1667="",0,IF(COUNTIF($O$2:$O1667,$O1667)=1,1,0))</f>
        <v>0</v>
      </c>
      <c r="Q1667" t="str">
        <f>IF(AND($P1667=1,$A1667=经营数据!$B$3,$J1667=经营数据!$BA$5),COUNTIFS($P$2:$P$3000,1,$A$2:$A$3000,$A1667,$J$2:$J$3000,$J1667,$N$2:$N$3000,"&lt;"&amp;$N1667)+1,"")</f>
        <v/>
      </c>
      <c r="R1667" t="str">
        <f t="shared" si="398"/>
        <v>华安锦江封闭式商业不动产证券投资基金|锦江都城郑州二七店</v>
      </c>
      <c r="S1667">
        <f>IF($A1667="",0,IF(COUNTIF($R$2:$R1667,$R1667)=1,1,0))</f>
        <v>0</v>
      </c>
      <c r="T1667">
        <f t="shared" si="399"/>
        <v>1657</v>
      </c>
      <c r="U1667" t="str">
        <f>IF($A1667="","",IF($A1667=经营数据!$B$3,COUNTIFS($S$2:$S$3000,1,$A$2:$A$3000,$A1667,$T$2:$T$3000,"&lt;"&amp;$T1667)+1,""))</f>
        <v/>
      </c>
      <c r="V1667" t="str">
        <f t="shared" si="400"/>
        <v>锦江都城郑州二七店|服务量</v>
      </c>
      <c r="W1667">
        <f t="shared" si="401"/>
        <v>1657</v>
      </c>
      <c r="X1667" t="str">
        <f t="shared" si="402"/>
        <v>锦江都城郑州二七店|平均房价</v>
      </c>
      <c r="Y1667">
        <f t="shared" si="403"/>
        <v>1657</v>
      </c>
      <c r="Z1667">
        <f>IF($A1667="",0,IF(AND($M1667=1,$A1667=经营数据!$B$3,$J1667=经营数据!$BA$5,OR($I1667=经营数据!$BA$4,COUNTIF(经营数据!$AA$9:$AA$38,$I1667)&gt;0)),1,0))</f>
        <v>0</v>
      </c>
      <c r="AA1667" t="str">
        <f t="shared" si="404"/>
        <v/>
      </c>
      <c r="AB1667" t="str">
        <f t="shared" si="405"/>
        <v/>
      </c>
      <c r="AC1667">
        <f>IF($A1667="",0,IF(COUNTIF($A$2:$A1667,$A1667)=1,1,0))</f>
        <v>0</v>
      </c>
      <c r="AD1667">
        <f t="shared" si="406"/>
        <v>18</v>
      </c>
      <c r="AE1667" t="str">
        <f t="shared" si="407"/>
        <v>锦江都城郑州二七店|平均房价（元/间）</v>
      </c>
    </row>
    <row r="1668" spans="1:31" x14ac:dyDescent="0.4">
      <c r="A1668" t="str">
        <f>IF(原始经营数据!$D1669="","",原始经营数据!$D1669)</f>
        <v>华安锦江封闭式商业不动产证券投资基金</v>
      </c>
      <c r="B1668" t="str">
        <f>IF(原始经营数据!$D1669="","",T(原始经营数据!$E1669))</f>
        <v>锦江都城郑州二七店</v>
      </c>
      <c r="C1668" t="str">
        <f>IF(原始经营数据!$D1669="","",原始经营数据!$F1669)</f>
        <v>2025</v>
      </c>
      <c r="D1668" t="str">
        <f>IF(原始经营数据!$D1669="","",原始经营数据!$H1669)</f>
        <v>平均入住率</v>
      </c>
      <c r="E1668">
        <f>IF(原始经营数据!$D1669="","",原始经营数据!$I1669)</f>
        <v>71.709999999999994</v>
      </c>
      <c r="F1668" t="str">
        <f>IF(原始经营数据!$D1669="","",T(原始经营数据!$J1669))</f>
        <v>%</v>
      </c>
      <c r="G1668" t="str">
        <f>IF(原始经营数据!$D1669="","",T(原始经营数据!$K1669))</f>
        <v/>
      </c>
      <c r="H1668" t="str">
        <f>IF(原始经营数据!$D1669="","",原始经营数据!$G1669)</f>
        <v>服务量</v>
      </c>
      <c r="I1668" t="str">
        <f>IF($A1668="","",IF($B1668&lt;&gt;"",$B1668,IF(COUNTIFS(原始经营数据!$D$3:$D$3001,$A1668,原始经营数据!$E$3:$E$3001,"",原始经营数据!$F$3:$F$3001,$C1668,原始经营数据!$H$3:$H$3001,$D1668,原始经营数据!$K$3:$K$3001,$G1668)&gt;1,"基金整体·来源"&amp;原始经营数据!$A1669,"基金整体")))</f>
        <v>锦江都城郑州二七店</v>
      </c>
      <c r="J1668" t="str">
        <f t="shared" si="393"/>
        <v>年度</v>
      </c>
      <c r="K1668" t="str">
        <f t="shared" si="394"/>
        <v>平均入住率（%）</v>
      </c>
      <c r="L1668" t="str">
        <f t="shared" si="395"/>
        <v>锦江都城郑州二七店|平均入住率（%）|年度</v>
      </c>
      <c r="M1668">
        <f>IF($A1668="",0,IF(COUNTIF($L$2:$L1668,$L1668)=1,1,0))</f>
        <v>0</v>
      </c>
      <c r="N1668">
        <f t="shared" si="396"/>
        <v>20250</v>
      </c>
      <c r="O1668" t="str">
        <f t="shared" si="397"/>
        <v>华安锦江封闭式商业不动产证券投资基金|2025|年度</v>
      </c>
      <c r="P1668">
        <f>IF($A1668="",0,IF(COUNTIF($O$2:$O1668,$O1668)=1,1,0))</f>
        <v>0</v>
      </c>
      <c r="Q1668" t="str">
        <f>IF(AND($P1668=1,$A1668=经营数据!$B$3,$J1668=经营数据!$BA$5),COUNTIFS($P$2:$P$3000,1,$A$2:$A$3000,$A1668,$J$2:$J$3000,$J1668,$N$2:$N$3000,"&lt;"&amp;$N1668)+1,"")</f>
        <v/>
      </c>
      <c r="R1668" t="str">
        <f t="shared" si="398"/>
        <v>华安锦江封闭式商业不动产证券投资基金|锦江都城郑州二七店</v>
      </c>
      <c r="S1668">
        <f>IF($A1668="",0,IF(COUNTIF($R$2:$R1668,$R1668)=1,1,0))</f>
        <v>0</v>
      </c>
      <c r="T1668">
        <f t="shared" si="399"/>
        <v>1657</v>
      </c>
      <c r="U1668" t="str">
        <f>IF($A1668="","",IF($A1668=经营数据!$B$3,COUNTIFS($S$2:$S$3000,1,$A$2:$A$3000,$A1668,$T$2:$T$3000,"&lt;"&amp;$T1668)+1,""))</f>
        <v/>
      </c>
      <c r="V1668" t="str">
        <f t="shared" si="400"/>
        <v>锦江都城郑州二七店|服务量</v>
      </c>
      <c r="W1668">
        <f t="shared" si="401"/>
        <v>1657</v>
      </c>
      <c r="X1668" t="str">
        <f t="shared" si="402"/>
        <v>锦江都城郑州二七店|平均入住率</v>
      </c>
      <c r="Y1668">
        <f t="shared" si="403"/>
        <v>1658</v>
      </c>
      <c r="Z1668">
        <f>IF($A1668="",0,IF(AND($M1668=1,$A1668=经营数据!$B$3,$J1668=经营数据!$BA$5,OR($I1668=经营数据!$BA$4,COUNTIF(经营数据!$AA$9:$AA$38,$I1668)&gt;0)),1,0))</f>
        <v>0</v>
      </c>
      <c r="AA1668" t="str">
        <f t="shared" si="404"/>
        <v/>
      </c>
      <c r="AB1668" t="str">
        <f t="shared" si="405"/>
        <v/>
      </c>
      <c r="AC1668">
        <f>IF($A1668="",0,IF(COUNTIF($A$2:$A1668,$A1668)=1,1,0))</f>
        <v>0</v>
      </c>
      <c r="AD1668">
        <f t="shared" si="406"/>
        <v>18</v>
      </c>
      <c r="AE1668" t="str">
        <f t="shared" si="407"/>
        <v>锦江都城郑州二七店|平均入住率（%）</v>
      </c>
    </row>
    <row r="1669" spans="1:31" x14ac:dyDescent="0.4">
      <c r="A1669" t="str">
        <f>IF(原始经营数据!$D1670="","",原始经营数据!$D1670)</f>
        <v>华安锦江封闭式商业不动产证券投资基金</v>
      </c>
      <c r="B1669" t="str">
        <f>IF(原始经营数据!$D1670="","",T(原始经营数据!$E1670))</f>
        <v>锦江都城郑州二七店</v>
      </c>
      <c r="C1669" t="str">
        <f>IF(原始经营数据!$D1670="","",原始经营数据!$F1670)</f>
        <v>2025</v>
      </c>
      <c r="D1669" t="str">
        <f>IF(原始经营数据!$D1670="","",原始经营数据!$H1670)</f>
        <v>可供房数</v>
      </c>
      <c r="E1669">
        <f>IF(原始经营数据!$D1670="","",原始经营数据!$I1670)</f>
        <v>44003</v>
      </c>
      <c r="F1669" t="str">
        <f>IF(原始经营数据!$D1670="","",T(原始经营数据!$J1670))</f>
        <v>间</v>
      </c>
      <c r="G1669" t="str">
        <f>IF(原始经营数据!$D1670="","",T(原始经营数据!$K1670))</f>
        <v/>
      </c>
      <c r="H1669" t="str">
        <f>IF(原始经营数据!$D1670="","",原始经营数据!$G1670)</f>
        <v>服务量</v>
      </c>
      <c r="I1669" t="str">
        <f>IF($A1669="","",IF($B1669&lt;&gt;"",$B1669,IF(COUNTIFS(原始经营数据!$D$3:$D$3001,$A1669,原始经营数据!$E$3:$E$3001,"",原始经营数据!$F$3:$F$3001,$C1669,原始经营数据!$H$3:$H$3001,$D1669,原始经营数据!$K$3:$K$3001,$G1669)&gt;1,"基金整体·来源"&amp;原始经营数据!$A1670,"基金整体")))</f>
        <v>锦江都城郑州二七店</v>
      </c>
      <c r="J1669" t="str">
        <f t="shared" si="393"/>
        <v>年度</v>
      </c>
      <c r="K1669" t="str">
        <f t="shared" si="394"/>
        <v>可供房数（间）</v>
      </c>
      <c r="L1669" t="str">
        <f t="shared" si="395"/>
        <v>锦江都城郑州二七店|可供房数（间）|年度</v>
      </c>
      <c r="M1669">
        <f>IF($A1669="",0,IF(COUNTIF($L$2:$L1669,$L1669)=1,1,0))</f>
        <v>0</v>
      </c>
      <c r="N1669">
        <f t="shared" si="396"/>
        <v>20250</v>
      </c>
      <c r="O1669" t="str">
        <f t="shared" si="397"/>
        <v>华安锦江封闭式商业不动产证券投资基金|2025|年度</v>
      </c>
      <c r="P1669">
        <f>IF($A1669="",0,IF(COUNTIF($O$2:$O1669,$O1669)=1,1,0))</f>
        <v>0</v>
      </c>
      <c r="Q1669" t="str">
        <f>IF(AND($P1669=1,$A1669=经营数据!$B$3,$J1669=经营数据!$BA$5),COUNTIFS($P$2:$P$3000,1,$A$2:$A$3000,$A1669,$J$2:$J$3000,$J1669,$N$2:$N$3000,"&lt;"&amp;$N1669)+1,"")</f>
        <v/>
      </c>
      <c r="R1669" t="str">
        <f t="shared" si="398"/>
        <v>华安锦江封闭式商业不动产证券投资基金|锦江都城郑州二七店</v>
      </c>
      <c r="S1669">
        <f>IF($A1669="",0,IF(COUNTIF($R$2:$R1669,$R1669)=1,1,0))</f>
        <v>0</v>
      </c>
      <c r="T1669">
        <f t="shared" si="399"/>
        <v>1657</v>
      </c>
      <c r="U1669" t="str">
        <f>IF($A1669="","",IF($A1669=经营数据!$B$3,COUNTIFS($S$2:$S$3000,1,$A$2:$A$3000,$A1669,$T$2:$T$3000,"&lt;"&amp;$T1669)+1,""))</f>
        <v/>
      </c>
      <c r="V1669" t="str">
        <f t="shared" si="400"/>
        <v>锦江都城郑州二七店|服务量</v>
      </c>
      <c r="W1669">
        <f t="shared" si="401"/>
        <v>1657</v>
      </c>
      <c r="X1669" t="str">
        <f t="shared" si="402"/>
        <v>锦江都城郑州二七店|可供房数</v>
      </c>
      <c r="Y1669">
        <f t="shared" si="403"/>
        <v>1659</v>
      </c>
      <c r="Z1669">
        <f>IF($A1669="",0,IF(AND($M1669=1,$A1669=经营数据!$B$3,$J1669=经营数据!$BA$5,OR($I1669=经营数据!$BA$4,COUNTIF(经营数据!$AA$9:$AA$38,$I1669)&gt;0)),1,0))</f>
        <v>0</v>
      </c>
      <c r="AA1669" t="str">
        <f t="shared" si="404"/>
        <v/>
      </c>
      <c r="AB1669" t="str">
        <f t="shared" si="405"/>
        <v/>
      </c>
      <c r="AC1669">
        <f>IF($A1669="",0,IF(COUNTIF($A$2:$A1669,$A1669)=1,1,0))</f>
        <v>0</v>
      </c>
      <c r="AD1669">
        <f t="shared" si="406"/>
        <v>18</v>
      </c>
      <c r="AE1669" t="str">
        <f t="shared" si="407"/>
        <v>锦江都城郑州二七店|可供房数（间）</v>
      </c>
    </row>
    <row r="1670" spans="1:31" x14ac:dyDescent="0.4">
      <c r="A1670" t="str">
        <f>IF(原始经营数据!$D1671="","",原始经营数据!$D1671)</f>
        <v>华安锦江封闭式商业不动产证券投资基金</v>
      </c>
      <c r="B1670" t="str">
        <f>IF(原始经营数据!$D1671="","",T(原始经营数据!$E1671))</f>
        <v>锦江都城镇江润州店</v>
      </c>
      <c r="C1670" t="str">
        <f>IF(原始经营数据!$D1671="","",原始经营数据!$F1671)</f>
        <v>2022</v>
      </c>
      <c r="D1670" t="str">
        <f>IF(原始经营数据!$D1671="","",原始经营数据!$H1671)</f>
        <v>平均入住率</v>
      </c>
      <c r="E1670">
        <f>IF(原始经营数据!$D1671="","",原始经营数据!$I1671)</f>
        <v>30.84</v>
      </c>
      <c r="F1670" t="str">
        <f>IF(原始经营数据!$D1671="","",T(原始经营数据!$J1671))</f>
        <v>%</v>
      </c>
      <c r="G1670" t="str">
        <f>IF(原始经营数据!$D1671="","",T(原始经营数据!$K1671))</f>
        <v/>
      </c>
      <c r="H1670" t="str">
        <f>IF(原始经营数据!$D1671="","",原始经营数据!$G1671)</f>
        <v>服务量</v>
      </c>
      <c r="I1670" t="str">
        <f>IF($A1670="","",IF($B1670&lt;&gt;"",$B1670,IF(COUNTIFS(原始经营数据!$D$3:$D$3001,$A1670,原始经营数据!$E$3:$E$3001,"",原始经营数据!$F$3:$F$3001,$C1670,原始经营数据!$H$3:$H$3001,$D1670,原始经营数据!$K$3:$K$3001,$G1670)&gt;1,"基金整体·来源"&amp;原始经营数据!$A1671,"基金整体")))</f>
        <v>锦江都城镇江润州店</v>
      </c>
      <c r="J1670" t="str">
        <f t="shared" si="393"/>
        <v>年度</v>
      </c>
      <c r="K1670" t="str">
        <f t="shared" si="394"/>
        <v>平均入住率（%）</v>
      </c>
      <c r="L1670" t="str">
        <f t="shared" si="395"/>
        <v>锦江都城镇江润州店|平均入住率（%）|年度</v>
      </c>
      <c r="M1670">
        <f>IF($A1670="",0,IF(COUNTIF($L$2:$L1670,$L1670)=1,1,0))</f>
        <v>1</v>
      </c>
      <c r="N1670">
        <f t="shared" si="396"/>
        <v>20220</v>
      </c>
      <c r="O1670" t="str">
        <f t="shared" si="397"/>
        <v>华安锦江封闭式商业不动产证券投资基金|2022|年度</v>
      </c>
      <c r="P1670">
        <f>IF($A1670="",0,IF(COUNTIF($O$2:$O1670,$O1670)=1,1,0))</f>
        <v>0</v>
      </c>
      <c r="Q1670" t="str">
        <f>IF(AND($P1670=1,$A1670=经营数据!$B$3,$J1670=经营数据!$BA$5),COUNTIFS($P$2:$P$3000,1,$A$2:$A$3000,$A1670,$J$2:$J$3000,$J1670,$N$2:$N$3000,"&lt;"&amp;$N1670)+1,"")</f>
        <v/>
      </c>
      <c r="R1670" t="str">
        <f t="shared" si="398"/>
        <v>华安锦江封闭式商业不动产证券投资基金|锦江都城镇江润州店</v>
      </c>
      <c r="S1670">
        <f>IF($A1670="",0,IF(COUNTIF($R$2:$R1670,$R1670)=1,1,0))</f>
        <v>1</v>
      </c>
      <c r="T1670">
        <f t="shared" si="399"/>
        <v>1669</v>
      </c>
      <c r="U1670" t="str">
        <f>IF($A1670="","",IF($A1670=经营数据!$B$3,COUNTIFS($S$2:$S$3000,1,$A$2:$A$3000,$A1670,$T$2:$T$3000,"&lt;"&amp;$T1670)+1,""))</f>
        <v/>
      </c>
      <c r="V1670" t="str">
        <f t="shared" si="400"/>
        <v>锦江都城镇江润州店|服务量</v>
      </c>
      <c r="W1670">
        <f t="shared" si="401"/>
        <v>1669</v>
      </c>
      <c r="X1670" t="str">
        <f t="shared" si="402"/>
        <v>锦江都城镇江润州店|平均入住率</v>
      </c>
      <c r="Y1670">
        <f t="shared" si="403"/>
        <v>1669</v>
      </c>
      <c r="Z1670">
        <f>IF($A1670="",0,IF(AND($M1670=1,$A1670=经营数据!$B$3,$J1670=经营数据!$BA$5,OR($I1670=经营数据!$BA$4,COUNTIF(经营数据!$AA$9:$AA$38,$I1670)&gt;0)),1,0))</f>
        <v>0</v>
      </c>
      <c r="AA1670" t="str">
        <f t="shared" si="404"/>
        <v/>
      </c>
      <c r="AB1670" t="str">
        <f t="shared" si="405"/>
        <v/>
      </c>
      <c r="AC1670">
        <f>IF($A1670="",0,IF(COUNTIF($A$2:$A1670,$A1670)=1,1,0))</f>
        <v>0</v>
      </c>
      <c r="AD1670">
        <f t="shared" si="406"/>
        <v>18</v>
      </c>
      <c r="AE1670" t="str">
        <f t="shared" si="407"/>
        <v>锦江都城镇江润州店|平均入住率（%）</v>
      </c>
    </row>
    <row r="1671" spans="1:31" x14ac:dyDescent="0.4">
      <c r="A1671" t="str">
        <f>IF(原始经营数据!$D1672="","",原始经营数据!$D1672)</f>
        <v>华安锦江封闭式商业不动产证券投资基金</v>
      </c>
      <c r="B1671" t="str">
        <f>IF(原始经营数据!$D1672="","",T(原始经营数据!$E1672))</f>
        <v>锦江都城镇江润州店</v>
      </c>
      <c r="C1671" t="str">
        <f>IF(原始经营数据!$D1672="","",原始经营数据!$F1672)</f>
        <v>2022</v>
      </c>
      <c r="D1671" t="str">
        <f>IF(原始经营数据!$D1672="","",原始经营数据!$H1672)</f>
        <v>平均房价</v>
      </c>
      <c r="E1671">
        <f>IF(原始经营数据!$D1672="","",原始经营数据!$I1672)</f>
        <v>183.09</v>
      </c>
      <c r="F1671" t="str">
        <f>IF(原始经营数据!$D1672="","",T(原始经营数据!$J1672))</f>
        <v>元/间</v>
      </c>
      <c r="G1671" t="str">
        <f>IF(原始经营数据!$D1672="","",T(原始经营数据!$K1672))</f>
        <v/>
      </c>
      <c r="H1671" t="str">
        <f>IF(原始经营数据!$D1672="","",原始经营数据!$G1672)</f>
        <v>服务量</v>
      </c>
      <c r="I1671" t="str">
        <f>IF($A1671="","",IF($B1671&lt;&gt;"",$B1671,IF(COUNTIFS(原始经营数据!$D$3:$D$3001,$A1671,原始经营数据!$E$3:$E$3001,"",原始经营数据!$F$3:$F$3001,$C1671,原始经营数据!$H$3:$H$3001,$D1671,原始经营数据!$K$3:$K$3001,$G1671)&gt;1,"基金整体·来源"&amp;原始经营数据!$A1672,"基金整体")))</f>
        <v>锦江都城镇江润州店</v>
      </c>
      <c r="J1671" t="str">
        <f t="shared" si="393"/>
        <v>年度</v>
      </c>
      <c r="K1671" t="str">
        <f t="shared" si="394"/>
        <v>平均房价（元/间）</v>
      </c>
      <c r="L1671" t="str">
        <f t="shared" si="395"/>
        <v>锦江都城镇江润州店|平均房价（元/间）|年度</v>
      </c>
      <c r="M1671">
        <f>IF($A1671="",0,IF(COUNTIF($L$2:$L1671,$L1671)=1,1,0))</f>
        <v>1</v>
      </c>
      <c r="N1671">
        <f t="shared" si="396"/>
        <v>20220</v>
      </c>
      <c r="O1671" t="str">
        <f t="shared" si="397"/>
        <v>华安锦江封闭式商业不动产证券投资基金|2022|年度</v>
      </c>
      <c r="P1671">
        <f>IF($A1671="",0,IF(COUNTIF($O$2:$O1671,$O1671)=1,1,0))</f>
        <v>0</v>
      </c>
      <c r="Q1671" t="str">
        <f>IF(AND($P1671=1,$A1671=经营数据!$B$3,$J1671=经营数据!$BA$5),COUNTIFS($P$2:$P$3000,1,$A$2:$A$3000,$A1671,$J$2:$J$3000,$J1671,$N$2:$N$3000,"&lt;"&amp;$N1671)+1,"")</f>
        <v/>
      </c>
      <c r="R1671" t="str">
        <f t="shared" si="398"/>
        <v>华安锦江封闭式商业不动产证券投资基金|锦江都城镇江润州店</v>
      </c>
      <c r="S1671">
        <f>IF($A1671="",0,IF(COUNTIF($R$2:$R1671,$R1671)=1,1,0))</f>
        <v>0</v>
      </c>
      <c r="T1671">
        <f t="shared" si="399"/>
        <v>1669</v>
      </c>
      <c r="U1671" t="str">
        <f>IF($A1671="","",IF($A1671=经营数据!$B$3,COUNTIFS($S$2:$S$3000,1,$A$2:$A$3000,$A1671,$T$2:$T$3000,"&lt;"&amp;$T1671)+1,""))</f>
        <v/>
      </c>
      <c r="V1671" t="str">
        <f t="shared" si="400"/>
        <v>锦江都城镇江润州店|服务量</v>
      </c>
      <c r="W1671">
        <f t="shared" si="401"/>
        <v>1669</v>
      </c>
      <c r="X1671" t="str">
        <f t="shared" si="402"/>
        <v>锦江都城镇江润州店|平均房价</v>
      </c>
      <c r="Y1671">
        <f t="shared" si="403"/>
        <v>1670</v>
      </c>
      <c r="Z1671">
        <f>IF($A1671="",0,IF(AND($M1671=1,$A1671=经营数据!$B$3,$J1671=经营数据!$BA$5,OR($I1671=经营数据!$BA$4,COUNTIF(经营数据!$AA$9:$AA$38,$I1671)&gt;0)),1,0))</f>
        <v>0</v>
      </c>
      <c r="AA1671" t="str">
        <f t="shared" si="404"/>
        <v/>
      </c>
      <c r="AB1671" t="str">
        <f t="shared" si="405"/>
        <v/>
      </c>
      <c r="AC1671">
        <f>IF($A1671="",0,IF(COUNTIF($A$2:$A1671,$A1671)=1,1,0))</f>
        <v>0</v>
      </c>
      <c r="AD1671">
        <f t="shared" si="406"/>
        <v>18</v>
      </c>
      <c r="AE1671" t="str">
        <f t="shared" si="407"/>
        <v>锦江都城镇江润州店|平均房价（元/间）</v>
      </c>
    </row>
    <row r="1672" spans="1:31" x14ac:dyDescent="0.4">
      <c r="A1672" t="str">
        <f>IF(原始经营数据!$D1673="","",原始经营数据!$D1673)</f>
        <v>华安锦江封闭式商业不动产证券投资基金</v>
      </c>
      <c r="B1672" t="str">
        <f>IF(原始经营数据!$D1673="","",T(原始经营数据!$E1673))</f>
        <v>锦江都城镇江润州店</v>
      </c>
      <c r="C1672" t="str">
        <f>IF(原始经营数据!$D1673="","",原始经营数据!$F1673)</f>
        <v>2022</v>
      </c>
      <c r="D1672" t="str">
        <f>IF(原始经营数据!$D1673="","",原始经营数据!$H1673)</f>
        <v>可供房数</v>
      </c>
      <c r="E1672">
        <f>IF(原始经营数据!$D1673="","",原始经营数据!$I1673)</f>
        <v>45898</v>
      </c>
      <c r="F1672" t="str">
        <f>IF(原始经营数据!$D1673="","",T(原始经营数据!$J1673))</f>
        <v>间</v>
      </c>
      <c r="G1672" t="str">
        <f>IF(原始经营数据!$D1673="","",T(原始经营数据!$K1673))</f>
        <v/>
      </c>
      <c r="H1672" t="str">
        <f>IF(原始经营数据!$D1673="","",原始经营数据!$G1673)</f>
        <v>服务量</v>
      </c>
      <c r="I1672" t="str">
        <f>IF($A1672="","",IF($B1672&lt;&gt;"",$B1672,IF(COUNTIFS(原始经营数据!$D$3:$D$3001,$A1672,原始经营数据!$E$3:$E$3001,"",原始经营数据!$F$3:$F$3001,$C1672,原始经营数据!$H$3:$H$3001,$D1672,原始经营数据!$K$3:$K$3001,$G1672)&gt;1,"基金整体·来源"&amp;原始经营数据!$A1673,"基金整体")))</f>
        <v>锦江都城镇江润州店</v>
      </c>
      <c r="J1672" t="str">
        <f t="shared" si="393"/>
        <v>年度</v>
      </c>
      <c r="K1672" t="str">
        <f t="shared" si="394"/>
        <v>可供房数（间）</v>
      </c>
      <c r="L1672" t="str">
        <f t="shared" si="395"/>
        <v>锦江都城镇江润州店|可供房数（间）|年度</v>
      </c>
      <c r="M1672">
        <f>IF($A1672="",0,IF(COUNTIF($L$2:$L1672,$L1672)=1,1,0))</f>
        <v>1</v>
      </c>
      <c r="N1672">
        <f t="shared" si="396"/>
        <v>20220</v>
      </c>
      <c r="O1672" t="str">
        <f t="shared" si="397"/>
        <v>华安锦江封闭式商业不动产证券投资基金|2022|年度</v>
      </c>
      <c r="P1672">
        <f>IF($A1672="",0,IF(COUNTIF($O$2:$O1672,$O1672)=1,1,0))</f>
        <v>0</v>
      </c>
      <c r="Q1672" t="str">
        <f>IF(AND($P1672=1,$A1672=经营数据!$B$3,$J1672=经营数据!$BA$5),COUNTIFS($P$2:$P$3000,1,$A$2:$A$3000,$A1672,$J$2:$J$3000,$J1672,$N$2:$N$3000,"&lt;"&amp;$N1672)+1,"")</f>
        <v/>
      </c>
      <c r="R1672" t="str">
        <f t="shared" si="398"/>
        <v>华安锦江封闭式商业不动产证券投资基金|锦江都城镇江润州店</v>
      </c>
      <c r="S1672">
        <f>IF($A1672="",0,IF(COUNTIF($R$2:$R1672,$R1672)=1,1,0))</f>
        <v>0</v>
      </c>
      <c r="T1672">
        <f t="shared" si="399"/>
        <v>1669</v>
      </c>
      <c r="U1672" t="str">
        <f>IF($A1672="","",IF($A1672=经营数据!$B$3,COUNTIFS($S$2:$S$3000,1,$A$2:$A$3000,$A1672,$T$2:$T$3000,"&lt;"&amp;$T1672)+1,""))</f>
        <v/>
      </c>
      <c r="V1672" t="str">
        <f t="shared" si="400"/>
        <v>锦江都城镇江润州店|服务量</v>
      </c>
      <c r="W1672">
        <f t="shared" si="401"/>
        <v>1669</v>
      </c>
      <c r="X1672" t="str">
        <f t="shared" si="402"/>
        <v>锦江都城镇江润州店|可供房数</v>
      </c>
      <c r="Y1672">
        <f t="shared" si="403"/>
        <v>1671</v>
      </c>
      <c r="Z1672">
        <f>IF($A1672="",0,IF(AND($M1672=1,$A1672=经营数据!$B$3,$J1672=经营数据!$BA$5,OR($I1672=经营数据!$BA$4,COUNTIF(经营数据!$AA$9:$AA$38,$I1672)&gt;0)),1,0))</f>
        <v>0</v>
      </c>
      <c r="AA1672" t="str">
        <f t="shared" si="404"/>
        <v/>
      </c>
      <c r="AB1672" t="str">
        <f t="shared" si="405"/>
        <v/>
      </c>
      <c r="AC1672">
        <f>IF($A1672="",0,IF(COUNTIF($A$2:$A1672,$A1672)=1,1,0))</f>
        <v>0</v>
      </c>
      <c r="AD1672">
        <f t="shared" si="406"/>
        <v>18</v>
      </c>
      <c r="AE1672" t="str">
        <f t="shared" si="407"/>
        <v>锦江都城镇江润州店|可供房数（间）</v>
      </c>
    </row>
    <row r="1673" spans="1:31" x14ac:dyDescent="0.4">
      <c r="A1673" t="str">
        <f>IF(原始经营数据!$D1674="","",原始经营数据!$D1674)</f>
        <v>华安锦江封闭式商业不动产证券投资基金</v>
      </c>
      <c r="B1673" t="str">
        <f>IF(原始经营数据!$D1674="","",T(原始经营数据!$E1674))</f>
        <v>锦江都城镇江润州店</v>
      </c>
      <c r="C1673" t="str">
        <f>IF(原始经营数据!$D1674="","",原始经营数据!$F1674)</f>
        <v>2023</v>
      </c>
      <c r="D1673" t="str">
        <f>IF(原始经营数据!$D1674="","",原始经营数据!$H1674)</f>
        <v>平均房价</v>
      </c>
      <c r="E1673">
        <f>IF(原始经营数据!$D1674="","",原始经营数据!$I1674)</f>
        <v>223.53</v>
      </c>
      <c r="F1673" t="str">
        <f>IF(原始经营数据!$D1674="","",T(原始经营数据!$J1674))</f>
        <v>元/间</v>
      </c>
      <c r="G1673" t="str">
        <f>IF(原始经营数据!$D1674="","",T(原始经营数据!$K1674))</f>
        <v/>
      </c>
      <c r="H1673" t="str">
        <f>IF(原始经营数据!$D1674="","",原始经营数据!$G1674)</f>
        <v>服务量</v>
      </c>
      <c r="I1673" t="str">
        <f>IF($A1673="","",IF($B1673&lt;&gt;"",$B1673,IF(COUNTIFS(原始经营数据!$D$3:$D$3001,$A1673,原始经营数据!$E$3:$E$3001,"",原始经营数据!$F$3:$F$3001,$C1673,原始经营数据!$H$3:$H$3001,$D1673,原始经营数据!$K$3:$K$3001,$G1673)&gt;1,"基金整体·来源"&amp;原始经营数据!$A1674,"基金整体")))</f>
        <v>锦江都城镇江润州店</v>
      </c>
      <c r="J1673" t="str">
        <f t="shared" si="393"/>
        <v>年度</v>
      </c>
      <c r="K1673" t="str">
        <f t="shared" si="394"/>
        <v>平均房价（元/间）</v>
      </c>
      <c r="L1673" t="str">
        <f t="shared" si="395"/>
        <v>锦江都城镇江润州店|平均房价（元/间）|年度</v>
      </c>
      <c r="M1673">
        <f>IF($A1673="",0,IF(COUNTIF($L$2:$L1673,$L1673)=1,1,0))</f>
        <v>0</v>
      </c>
      <c r="N1673">
        <f t="shared" si="396"/>
        <v>20230</v>
      </c>
      <c r="O1673" t="str">
        <f t="shared" si="397"/>
        <v>华安锦江封闭式商业不动产证券投资基金|2023|年度</v>
      </c>
      <c r="P1673">
        <f>IF($A1673="",0,IF(COUNTIF($O$2:$O1673,$O1673)=1,1,0))</f>
        <v>0</v>
      </c>
      <c r="Q1673" t="str">
        <f>IF(AND($P1673=1,$A1673=经营数据!$B$3,$J1673=经营数据!$BA$5),COUNTIFS($P$2:$P$3000,1,$A$2:$A$3000,$A1673,$J$2:$J$3000,$J1673,$N$2:$N$3000,"&lt;"&amp;$N1673)+1,"")</f>
        <v/>
      </c>
      <c r="R1673" t="str">
        <f t="shared" si="398"/>
        <v>华安锦江封闭式商业不动产证券投资基金|锦江都城镇江润州店</v>
      </c>
      <c r="S1673">
        <f>IF($A1673="",0,IF(COUNTIF($R$2:$R1673,$R1673)=1,1,0))</f>
        <v>0</v>
      </c>
      <c r="T1673">
        <f t="shared" si="399"/>
        <v>1669</v>
      </c>
      <c r="U1673" t="str">
        <f>IF($A1673="","",IF($A1673=经营数据!$B$3,COUNTIFS($S$2:$S$3000,1,$A$2:$A$3000,$A1673,$T$2:$T$3000,"&lt;"&amp;$T1673)+1,""))</f>
        <v/>
      </c>
      <c r="V1673" t="str">
        <f t="shared" si="400"/>
        <v>锦江都城镇江润州店|服务量</v>
      </c>
      <c r="W1673">
        <f t="shared" si="401"/>
        <v>1669</v>
      </c>
      <c r="X1673" t="str">
        <f t="shared" si="402"/>
        <v>锦江都城镇江润州店|平均房价</v>
      </c>
      <c r="Y1673">
        <f t="shared" si="403"/>
        <v>1670</v>
      </c>
      <c r="Z1673">
        <f>IF($A1673="",0,IF(AND($M1673=1,$A1673=经营数据!$B$3,$J1673=经营数据!$BA$5,OR($I1673=经营数据!$BA$4,COUNTIF(经营数据!$AA$9:$AA$38,$I1673)&gt;0)),1,0))</f>
        <v>0</v>
      </c>
      <c r="AA1673" t="str">
        <f t="shared" si="404"/>
        <v/>
      </c>
      <c r="AB1673" t="str">
        <f t="shared" si="405"/>
        <v/>
      </c>
      <c r="AC1673">
        <f>IF($A1673="",0,IF(COUNTIF($A$2:$A1673,$A1673)=1,1,0))</f>
        <v>0</v>
      </c>
      <c r="AD1673">
        <f t="shared" si="406"/>
        <v>18</v>
      </c>
      <c r="AE1673" t="str">
        <f t="shared" si="407"/>
        <v>锦江都城镇江润州店|平均房价（元/间）</v>
      </c>
    </row>
    <row r="1674" spans="1:31" x14ac:dyDescent="0.4">
      <c r="A1674" t="str">
        <f>IF(原始经营数据!$D1675="","",原始经营数据!$D1675)</f>
        <v>华安锦江封闭式商业不动产证券投资基金</v>
      </c>
      <c r="B1674" t="str">
        <f>IF(原始经营数据!$D1675="","",T(原始经营数据!$E1675))</f>
        <v>锦江都城镇江润州店</v>
      </c>
      <c r="C1674" t="str">
        <f>IF(原始经营数据!$D1675="","",原始经营数据!$F1675)</f>
        <v>2023</v>
      </c>
      <c r="D1674" t="str">
        <f>IF(原始经营数据!$D1675="","",原始经营数据!$H1675)</f>
        <v>平均入住率</v>
      </c>
      <c r="E1674">
        <f>IF(原始经营数据!$D1675="","",原始经营数据!$I1675)</f>
        <v>58.05</v>
      </c>
      <c r="F1674" t="str">
        <f>IF(原始经营数据!$D1675="","",T(原始经营数据!$J1675))</f>
        <v>%</v>
      </c>
      <c r="G1674" t="str">
        <f>IF(原始经营数据!$D1675="","",T(原始经营数据!$K1675))</f>
        <v/>
      </c>
      <c r="H1674" t="str">
        <f>IF(原始经营数据!$D1675="","",原始经营数据!$G1675)</f>
        <v>服务量</v>
      </c>
      <c r="I1674" t="str">
        <f>IF($A1674="","",IF($B1674&lt;&gt;"",$B1674,IF(COUNTIFS(原始经营数据!$D$3:$D$3001,$A1674,原始经营数据!$E$3:$E$3001,"",原始经营数据!$F$3:$F$3001,$C1674,原始经营数据!$H$3:$H$3001,$D1674,原始经营数据!$K$3:$K$3001,$G1674)&gt;1,"基金整体·来源"&amp;原始经营数据!$A1675,"基金整体")))</f>
        <v>锦江都城镇江润州店</v>
      </c>
      <c r="J1674" t="str">
        <f t="shared" si="393"/>
        <v>年度</v>
      </c>
      <c r="K1674" t="str">
        <f t="shared" si="394"/>
        <v>平均入住率（%）</v>
      </c>
      <c r="L1674" t="str">
        <f t="shared" si="395"/>
        <v>锦江都城镇江润州店|平均入住率（%）|年度</v>
      </c>
      <c r="M1674">
        <f>IF($A1674="",0,IF(COUNTIF($L$2:$L1674,$L1674)=1,1,0))</f>
        <v>0</v>
      </c>
      <c r="N1674">
        <f t="shared" si="396"/>
        <v>20230</v>
      </c>
      <c r="O1674" t="str">
        <f t="shared" si="397"/>
        <v>华安锦江封闭式商业不动产证券投资基金|2023|年度</v>
      </c>
      <c r="P1674">
        <f>IF($A1674="",0,IF(COUNTIF($O$2:$O1674,$O1674)=1,1,0))</f>
        <v>0</v>
      </c>
      <c r="Q1674" t="str">
        <f>IF(AND($P1674=1,$A1674=经营数据!$B$3,$J1674=经营数据!$BA$5),COUNTIFS($P$2:$P$3000,1,$A$2:$A$3000,$A1674,$J$2:$J$3000,$J1674,$N$2:$N$3000,"&lt;"&amp;$N1674)+1,"")</f>
        <v/>
      </c>
      <c r="R1674" t="str">
        <f t="shared" si="398"/>
        <v>华安锦江封闭式商业不动产证券投资基金|锦江都城镇江润州店</v>
      </c>
      <c r="S1674">
        <f>IF($A1674="",0,IF(COUNTIF($R$2:$R1674,$R1674)=1,1,0))</f>
        <v>0</v>
      </c>
      <c r="T1674">
        <f t="shared" si="399"/>
        <v>1669</v>
      </c>
      <c r="U1674" t="str">
        <f>IF($A1674="","",IF($A1674=经营数据!$B$3,COUNTIFS($S$2:$S$3000,1,$A$2:$A$3000,$A1674,$T$2:$T$3000,"&lt;"&amp;$T1674)+1,""))</f>
        <v/>
      </c>
      <c r="V1674" t="str">
        <f t="shared" si="400"/>
        <v>锦江都城镇江润州店|服务量</v>
      </c>
      <c r="W1674">
        <f t="shared" si="401"/>
        <v>1669</v>
      </c>
      <c r="X1674" t="str">
        <f t="shared" si="402"/>
        <v>锦江都城镇江润州店|平均入住率</v>
      </c>
      <c r="Y1674">
        <f t="shared" si="403"/>
        <v>1669</v>
      </c>
      <c r="Z1674">
        <f>IF($A1674="",0,IF(AND($M1674=1,$A1674=经营数据!$B$3,$J1674=经营数据!$BA$5,OR($I1674=经营数据!$BA$4,COUNTIF(经营数据!$AA$9:$AA$38,$I1674)&gt;0)),1,0))</f>
        <v>0</v>
      </c>
      <c r="AA1674" t="str">
        <f t="shared" si="404"/>
        <v/>
      </c>
      <c r="AB1674" t="str">
        <f t="shared" si="405"/>
        <v/>
      </c>
      <c r="AC1674">
        <f>IF($A1674="",0,IF(COUNTIF($A$2:$A1674,$A1674)=1,1,0))</f>
        <v>0</v>
      </c>
      <c r="AD1674">
        <f t="shared" si="406"/>
        <v>18</v>
      </c>
      <c r="AE1674" t="str">
        <f t="shared" si="407"/>
        <v>锦江都城镇江润州店|平均入住率（%）</v>
      </c>
    </row>
    <row r="1675" spans="1:31" x14ac:dyDescent="0.4">
      <c r="A1675" t="str">
        <f>IF(原始经营数据!$D1676="","",原始经营数据!$D1676)</f>
        <v>华安锦江封闭式商业不动产证券投资基金</v>
      </c>
      <c r="B1675" t="str">
        <f>IF(原始经营数据!$D1676="","",T(原始经营数据!$E1676))</f>
        <v>锦江都城镇江润州店</v>
      </c>
      <c r="C1675" t="str">
        <f>IF(原始经营数据!$D1676="","",原始经营数据!$F1676)</f>
        <v>2023</v>
      </c>
      <c r="D1675" t="str">
        <f>IF(原始经营数据!$D1676="","",原始经营数据!$H1676)</f>
        <v>可供房数</v>
      </c>
      <c r="E1675">
        <f>IF(原始经营数据!$D1676="","",原始经营数据!$I1676)</f>
        <v>1168</v>
      </c>
      <c r="F1675" t="str">
        <f>IF(原始经营数据!$D1676="","",T(原始经营数据!$J1676))</f>
        <v>间</v>
      </c>
      <c r="G1675" t="str">
        <f>IF(原始经营数据!$D1676="","",T(原始经营数据!$K1676))</f>
        <v/>
      </c>
      <c r="H1675" t="str">
        <f>IF(原始经营数据!$D1676="","",原始经营数据!$G1676)</f>
        <v>服务量</v>
      </c>
      <c r="I1675" t="str">
        <f>IF($A1675="","",IF($B1675&lt;&gt;"",$B1675,IF(COUNTIFS(原始经营数据!$D$3:$D$3001,$A1675,原始经营数据!$E$3:$E$3001,"",原始经营数据!$F$3:$F$3001,$C1675,原始经营数据!$H$3:$H$3001,$D1675,原始经营数据!$K$3:$K$3001,$G1675)&gt;1,"基金整体·来源"&amp;原始经营数据!$A1676,"基金整体")))</f>
        <v>锦江都城镇江润州店</v>
      </c>
      <c r="J1675" t="str">
        <f t="shared" si="393"/>
        <v>年度</v>
      </c>
      <c r="K1675" t="str">
        <f t="shared" si="394"/>
        <v>可供房数（间）</v>
      </c>
      <c r="L1675" t="str">
        <f t="shared" si="395"/>
        <v>锦江都城镇江润州店|可供房数（间）|年度</v>
      </c>
      <c r="M1675">
        <f>IF($A1675="",0,IF(COUNTIF($L$2:$L1675,$L1675)=1,1,0))</f>
        <v>0</v>
      </c>
      <c r="N1675">
        <f t="shared" si="396"/>
        <v>20230</v>
      </c>
      <c r="O1675" t="str">
        <f t="shared" si="397"/>
        <v>华安锦江封闭式商业不动产证券投资基金|2023|年度</v>
      </c>
      <c r="P1675">
        <f>IF($A1675="",0,IF(COUNTIF($O$2:$O1675,$O1675)=1,1,0))</f>
        <v>0</v>
      </c>
      <c r="Q1675" t="str">
        <f>IF(AND($P1675=1,$A1675=经营数据!$B$3,$J1675=经营数据!$BA$5),COUNTIFS($P$2:$P$3000,1,$A$2:$A$3000,$A1675,$J$2:$J$3000,$J1675,$N$2:$N$3000,"&lt;"&amp;$N1675)+1,"")</f>
        <v/>
      </c>
      <c r="R1675" t="str">
        <f t="shared" si="398"/>
        <v>华安锦江封闭式商业不动产证券投资基金|锦江都城镇江润州店</v>
      </c>
      <c r="S1675">
        <f>IF($A1675="",0,IF(COUNTIF($R$2:$R1675,$R1675)=1,1,0))</f>
        <v>0</v>
      </c>
      <c r="T1675">
        <f t="shared" si="399"/>
        <v>1669</v>
      </c>
      <c r="U1675" t="str">
        <f>IF($A1675="","",IF($A1675=经营数据!$B$3,COUNTIFS($S$2:$S$3000,1,$A$2:$A$3000,$A1675,$T$2:$T$3000,"&lt;"&amp;$T1675)+1,""))</f>
        <v/>
      </c>
      <c r="V1675" t="str">
        <f t="shared" si="400"/>
        <v>锦江都城镇江润州店|服务量</v>
      </c>
      <c r="W1675">
        <f t="shared" si="401"/>
        <v>1669</v>
      </c>
      <c r="X1675" t="str">
        <f t="shared" si="402"/>
        <v>锦江都城镇江润州店|可供房数</v>
      </c>
      <c r="Y1675">
        <f t="shared" si="403"/>
        <v>1671</v>
      </c>
      <c r="Z1675">
        <f>IF($A1675="",0,IF(AND($M1675=1,$A1675=经营数据!$B$3,$J1675=经营数据!$BA$5,OR($I1675=经营数据!$BA$4,COUNTIF(经营数据!$AA$9:$AA$38,$I1675)&gt;0)),1,0))</f>
        <v>0</v>
      </c>
      <c r="AA1675" t="str">
        <f t="shared" si="404"/>
        <v/>
      </c>
      <c r="AB1675" t="str">
        <f t="shared" si="405"/>
        <v/>
      </c>
      <c r="AC1675">
        <f>IF($A1675="",0,IF(COUNTIF($A$2:$A1675,$A1675)=1,1,0))</f>
        <v>0</v>
      </c>
      <c r="AD1675">
        <f t="shared" si="406"/>
        <v>18</v>
      </c>
      <c r="AE1675" t="str">
        <f t="shared" si="407"/>
        <v>锦江都城镇江润州店|可供房数（间）</v>
      </c>
    </row>
    <row r="1676" spans="1:31" x14ac:dyDescent="0.4">
      <c r="A1676" t="str">
        <f>IF(原始经营数据!$D1677="","",原始经营数据!$D1677)</f>
        <v>华安锦江封闭式商业不动产证券投资基金</v>
      </c>
      <c r="B1676" t="str">
        <f>IF(原始经营数据!$D1677="","",T(原始经营数据!$E1677))</f>
        <v>锦江都城镇江润州店</v>
      </c>
      <c r="C1676" t="str">
        <f>IF(原始经营数据!$D1677="","",原始经营数据!$F1677)</f>
        <v>2024</v>
      </c>
      <c r="D1676" t="str">
        <f>IF(原始经营数据!$D1677="","",原始经营数据!$H1677)</f>
        <v>平均房价</v>
      </c>
      <c r="E1676">
        <f>IF(原始经营数据!$D1677="","",原始经营数据!$I1677)</f>
        <v>229.13</v>
      </c>
      <c r="F1676" t="str">
        <f>IF(原始经营数据!$D1677="","",T(原始经营数据!$J1677))</f>
        <v>元/间</v>
      </c>
      <c r="G1676" t="str">
        <f>IF(原始经营数据!$D1677="","",T(原始经营数据!$K1677))</f>
        <v/>
      </c>
      <c r="H1676" t="str">
        <f>IF(原始经营数据!$D1677="","",原始经营数据!$G1677)</f>
        <v>服务量</v>
      </c>
      <c r="I1676" t="str">
        <f>IF($A1676="","",IF($B1676&lt;&gt;"",$B1676,IF(COUNTIFS(原始经营数据!$D$3:$D$3001,$A1676,原始经营数据!$E$3:$E$3001,"",原始经营数据!$F$3:$F$3001,$C1676,原始经营数据!$H$3:$H$3001,$D1676,原始经营数据!$K$3:$K$3001,$G1676)&gt;1,"基金整体·来源"&amp;原始经营数据!$A1677,"基金整体")))</f>
        <v>锦江都城镇江润州店</v>
      </c>
      <c r="J1676" t="str">
        <f t="shared" si="393"/>
        <v>年度</v>
      </c>
      <c r="K1676" t="str">
        <f t="shared" si="394"/>
        <v>平均房价（元/间）</v>
      </c>
      <c r="L1676" t="str">
        <f t="shared" si="395"/>
        <v>锦江都城镇江润州店|平均房价（元/间）|年度</v>
      </c>
      <c r="M1676">
        <f>IF($A1676="",0,IF(COUNTIF($L$2:$L1676,$L1676)=1,1,0))</f>
        <v>0</v>
      </c>
      <c r="N1676">
        <f t="shared" si="396"/>
        <v>20240</v>
      </c>
      <c r="O1676" t="str">
        <f t="shared" si="397"/>
        <v>华安锦江封闭式商业不动产证券投资基金|2024|年度</v>
      </c>
      <c r="P1676">
        <f>IF($A1676="",0,IF(COUNTIF($O$2:$O1676,$O1676)=1,1,0))</f>
        <v>0</v>
      </c>
      <c r="Q1676" t="str">
        <f>IF(AND($P1676=1,$A1676=经营数据!$B$3,$J1676=经营数据!$BA$5),COUNTIFS($P$2:$P$3000,1,$A$2:$A$3000,$A1676,$J$2:$J$3000,$J1676,$N$2:$N$3000,"&lt;"&amp;$N1676)+1,"")</f>
        <v/>
      </c>
      <c r="R1676" t="str">
        <f t="shared" si="398"/>
        <v>华安锦江封闭式商业不动产证券投资基金|锦江都城镇江润州店</v>
      </c>
      <c r="S1676">
        <f>IF($A1676="",0,IF(COUNTIF($R$2:$R1676,$R1676)=1,1,0))</f>
        <v>0</v>
      </c>
      <c r="T1676">
        <f t="shared" si="399"/>
        <v>1669</v>
      </c>
      <c r="U1676" t="str">
        <f>IF($A1676="","",IF($A1676=经营数据!$B$3,COUNTIFS($S$2:$S$3000,1,$A$2:$A$3000,$A1676,$T$2:$T$3000,"&lt;"&amp;$T1676)+1,""))</f>
        <v/>
      </c>
      <c r="V1676" t="str">
        <f t="shared" si="400"/>
        <v>锦江都城镇江润州店|服务量</v>
      </c>
      <c r="W1676">
        <f t="shared" si="401"/>
        <v>1669</v>
      </c>
      <c r="X1676" t="str">
        <f t="shared" si="402"/>
        <v>锦江都城镇江润州店|平均房价</v>
      </c>
      <c r="Y1676">
        <f t="shared" si="403"/>
        <v>1670</v>
      </c>
      <c r="Z1676">
        <f>IF($A1676="",0,IF(AND($M1676=1,$A1676=经营数据!$B$3,$J1676=经营数据!$BA$5,OR($I1676=经营数据!$BA$4,COUNTIF(经营数据!$AA$9:$AA$38,$I1676)&gt;0)),1,0))</f>
        <v>0</v>
      </c>
      <c r="AA1676" t="str">
        <f t="shared" si="404"/>
        <v/>
      </c>
      <c r="AB1676" t="str">
        <f t="shared" si="405"/>
        <v/>
      </c>
      <c r="AC1676">
        <f>IF($A1676="",0,IF(COUNTIF($A$2:$A1676,$A1676)=1,1,0))</f>
        <v>0</v>
      </c>
      <c r="AD1676">
        <f t="shared" si="406"/>
        <v>18</v>
      </c>
      <c r="AE1676" t="str">
        <f t="shared" si="407"/>
        <v>锦江都城镇江润州店|平均房价（元/间）</v>
      </c>
    </row>
    <row r="1677" spans="1:31" x14ac:dyDescent="0.4">
      <c r="A1677" t="str">
        <f>IF(原始经营数据!$D1678="","",原始经营数据!$D1678)</f>
        <v>华安锦江封闭式商业不动产证券投资基金</v>
      </c>
      <c r="B1677" t="str">
        <f>IF(原始经营数据!$D1678="","",T(原始经营数据!$E1678))</f>
        <v>锦江都城镇江润州店</v>
      </c>
      <c r="C1677" t="str">
        <f>IF(原始经营数据!$D1678="","",原始经营数据!$F1678)</f>
        <v>2024</v>
      </c>
      <c r="D1677" t="str">
        <f>IF(原始经营数据!$D1678="","",原始经营数据!$H1678)</f>
        <v>可供房数</v>
      </c>
      <c r="E1677">
        <f>IF(原始经营数据!$D1678="","",原始经营数据!$I1678)</f>
        <v>46848</v>
      </c>
      <c r="F1677" t="str">
        <f>IF(原始经营数据!$D1678="","",T(原始经营数据!$J1678))</f>
        <v>间</v>
      </c>
      <c r="G1677" t="str">
        <f>IF(原始经营数据!$D1678="","",T(原始经营数据!$K1678))</f>
        <v/>
      </c>
      <c r="H1677" t="str">
        <f>IF(原始经营数据!$D1678="","",原始经营数据!$G1678)</f>
        <v>服务量</v>
      </c>
      <c r="I1677" t="str">
        <f>IF($A1677="","",IF($B1677&lt;&gt;"",$B1677,IF(COUNTIFS(原始经营数据!$D$3:$D$3001,$A1677,原始经营数据!$E$3:$E$3001,"",原始经营数据!$F$3:$F$3001,$C1677,原始经营数据!$H$3:$H$3001,$D1677,原始经营数据!$K$3:$K$3001,$G1677)&gt;1,"基金整体·来源"&amp;原始经营数据!$A1678,"基金整体")))</f>
        <v>锦江都城镇江润州店</v>
      </c>
      <c r="J1677" t="str">
        <f t="shared" si="393"/>
        <v>年度</v>
      </c>
      <c r="K1677" t="str">
        <f t="shared" si="394"/>
        <v>可供房数（间）</v>
      </c>
      <c r="L1677" t="str">
        <f t="shared" si="395"/>
        <v>锦江都城镇江润州店|可供房数（间）|年度</v>
      </c>
      <c r="M1677">
        <f>IF($A1677="",0,IF(COUNTIF($L$2:$L1677,$L1677)=1,1,0))</f>
        <v>0</v>
      </c>
      <c r="N1677">
        <f t="shared" si="396"/>
        <v>20240</v>
      </c>
      <c r="O1677" t="str">
        <f t="shared" si="397"/>
        <v>华安锦江封闭式商业不动产证券投资基金|2024|年度</v>
      </c>
      <c r="P1677">
        <f>IF($A1677="",0,IF(COUNTIF($O$2:$O1677,$O1677)=1,1,0))</f>
        <v>0</v>
      </c>
      <c r="Q1677" t="str">
        <f>IF(AND($P1677=1,$A1677=经营数据!$B$3,$J1677=经营数据!$BA$5),COUNTIFS($P$2:$P$3000,1,$A$2:$A$3000,$A1677,$J$2:$J$3000,$J1677,$N$2:$N$3000,"&lt;"&amp;$N1677)+1,"")</f>
        <v/>
      </c>
      <c r="R1677" t="str">
        <f t="shared" si="398"/>
        <v>华安锦江封闭式商业不动产证券投资基金|锦江都城镇江润州店</v>
      </c>
      <c r="S1677">
        <f>IF($A1677="",0,IF(COUNTIF($R$2:$R1677,$R1677)=1,1,0))</f>
        <v>0</v>
      </c>
      <c r="T1677">
        <f t="shared" si="399"/>
        <v>1669</v>
      </c>
      <c r="U1677" t="str">
        <f>IF($A1677="","",IF($A1677=经营数据!$B$3,COUNTIFS($S$2:$S$3000,1,$A$2:$A$3000,$A1677,$T$2:$T$3000,"&lt;"&amp;$T1677)+1,""))</f>
        <v/>
      </c>
      <c r="V1677" t="str">
        <f t="shared" si="400"/>
        <v>锦江都城镇江润州店|服务量</v>
      </c>
      <c r="W1677">
        <f t="shared" si="401"/>
        <v>1669</v>
      </c>
      <c r="X1677" t="str">
        <f t="shared" si="402"/>
        <v>锦江都城镇江润州店|可供房数</v>
      </c>
      <c r="Y1677">
        <f t="shared" si="403"/>
        <v>1671</v>
      </c>
      <c r="Z1677">
        <f>IF($A1677="",0,IF(AND($M1677=1,$A1677=经营数据!$B$3,$J1677=经营数据!$BA$5,OR($I1677=经营数据!$BA$4,COUNTIF(经营数据!$AA$9:$AA$38,$I1677)&gt;0)),1,0))</f>
        <v>0</v>
      </c>
      <c r="AA1677" t="str">
        <f t="shared" si="404"/>
        <v/>
      </c>
      <c r="AB1677" t="str">
        <f t="shared" si="405"/>
        <v/>
      </c>
      <c r="AC1677">
        <f>IF($A1677="",0,IF(COUNTIF($A$2:$A1677,$A1677)=1,1,0))</f>
        <v>0</v>
      </c>
      <c r="AD1677">
        <f t="shared" si="406"/>
        <v>18</v>
      </c>
      <c r="AE1677" t="str">
        <f t="shared" si="407"/>
        <v>锦江都城镇江润州店|可供房数（间）</v>
      </c>
    </row>
    <row r="1678" spans="1:31" x14ac:dyDescent="0.4">
      <c r="A1678" t="str">
        <f>IF(原始经营数据!$D1679="","",原始经营数据!$D1679)</f>
        <v>华安锦江封闭式商业不动产证券投资基金</v>
      </c>
      <c r="B1678" t="str">
        <f>IF(原始经营数据!$D1679="","",T(原始经营数据!$E1679))</f>
        <v>锦江都城镇江润州店</v>
      </c>
      <c r="C1678" t="str">
        <f>IF(原始经营数据!$D1679="","",原始经营数据!$F1679)</f>
        <v>2024</v>
      </c>
      <c r="D1678" t="str">
        <f>IF(原始经营数据!$D1679="","",原始经营数据!$H1679)</f>
        <v>平均入住率</v>
      </c>
      <c r="E1678">
        <f>IF(原始经营数据!$D1679="","",原始经营数据!$I1679)</f>
        <v>52.05</v>
      </c>
      <c r="F1678" t="str">
        <f>IF(原始经营数据!$D1679="","",T(原始经营数据!$J1679))</f>
        <v>%</v>
      </c>
      <c r="G1678" t="str">
        <f>IF(原始经营数据!$D1679="","",T(原始经营数据!$K1679))</f>
        <v/>
      </c>
      <c r="H1678" t="str">
        <f>IF(原始经营数据!$D1679="","",原始经营数据!$G1679)</f>
        <v>服务量</v>
      </c>
      <c r="I1678" t="str">
        <f>IF($A1678="","",IF($B1678&lt;&gt;"",$B1678,IF(COUNTIFS(原始经营数据!$D$3:$D$3001,$A1678,原始经营数据!$E$3:$E$3001,"",原始经营数据!$F$3:$F$3001,$C1678,原始经营数据!$H$3:$H$3001,$D1678,原始经营数据!$K$3:$K$3001,$G1678)&gt;1,"基金整体·来源"&amp;原始经营数据!$A1679,"基金整体")))</f>
        <v>锦江都城镇江润州店</v>
      </c>
      <c r="J1678" t="str">
        <f t="shared" si="393"/>
        <v>年度</v>
      </c>
      <c r="K1678" t="str">
        <f t="shared" si="394"/>
        <v>平均入住率（%）</v>
      </c>
      <c r="L1678" t="str">
        <f t="shared" si="395"/>
        <v>锦江都城镇江润州店|平均入住率（%）|年度</v>
      </c>
      <c r="M1678">
        <f>IF($A1678="",0,IF(COUNTIF($L$2:$L1678,$L1678)=1,1,0))</f>
        <v>0</v>
      </c>
      <c r="N1678">
        <f t="shared" si="396"/>
        <v>20240</v>
      </c>
      <c r="O1678" t="str">
        <f t="shared" si="397"/>
        <v>华安锦江封闭式商业不动产证券投资基金|2024|年度</v>
      </c>
      <c r="P1678">
        <f>IF($A1678="",0,IF(COUNTIF($O$2:$O1678,$O1678)=1,1,0))</f>
        <v>0</v>
      </c>
      <c r="Q1678" t="str">
        <f>IF(AND($P1678=1,$A1678=经营数据!$B$3,$J1678=经营数据!$BA$5),COUNTIFS($P$2:$P$3000,1,$A$2:$A$3000,$A1678,$J$2:$J$3000,$J1678,$N$2:$N$3000,"&lt;"&amp;$N1678)+1,"")</f>
        <v/>
      </c>
      <c r="R1678" t="str">
        <f t="shared" si="398"/>
        <v>华安锦江封闭式商业不动产证券投资基金|锦江都城镇江润州店</v>
      </c>
      <c r="S1678">
        <f>IF($A1678="",0,IF(COUNTIF($R$2:$R1678,$R1678)=1,1,0))</f>
        <v>0</v>
      </c>
      <c r="T1678">
        <f t="shared" si="399"/>
        <v>1669</v>
      </c>
      <c r="U1678" t="str">
        <f>IF($A1678="","",IF($A1678=经营数据!$B$3,COUNTIFS($S$2:$S$3000,1,$A$2:$A$3000,$A1678,$T$2:$T$3000,"&lt;"&amp;$T1678)+1,""))</f>
        <v/>
      </c>
      <c r="V1678" t="str">
        <f t="shared" si="400"/>
        <v>锦江都城镇江润州店|服务量</v>
      </c>
      <c r="W1678">
        <f t="shared" si="401"/>
        <v>1669</v>
      </c>
      <c r="X1678" t="str">
        <f t="shared" si="402"/>
        <v>锦江都城镇江润州店|平均入住率</v>
      </c>
      <c r="Y1678">
        <f t="shared" si="403"/>
        <v>1669</v>
      </c>
      <c r="Z1678">
        <f>IF($A1678="",0,IF(AND($M1678=1,$A1678=经营数据!$B$3,$J1678=经营数据!$BA$5,OR($I1678=经营数据!$BA$4,COUNTIF(经营数据!$AA$9:$AA$38,$I1678)&gt;0)),1,0))</f>
        <v>0</v>
      </c>
      <c r="AA1678" t="str">
        <f t="shared" si="404"/>
        <v/>
      </c>
      <c r="AB1678" t="str">
        <f t="shared" si="405"/>
        <v/>
      </c>
      <c r="AC1678">
        <f>IF($A1678="",0,IF(COUNTIF($A$2:$A1678,$A1678)=1,1,0))</f>
        <v>0</v>
      </c>
      <c r="AD1678">
        <f t="shared" si="406"/>
        <v>18</v>
      </c>
      <c r="AE1678" t="str">
        <f t="shared" si="407"/>
        <v>锦江都城镇江润州店|平均入住率（%）</v>
      </c>
    </row>
    <row r="1679" spans="1:31" x14ac:dyDescent="0.4">
      <c r="A1679" t="str">
        <f>IF(原始经营数据!$D1680="","",原始经营数据!$D1680)</f>
        <v>华安锦江封闭式商业不动产证券投资基金</v>
      </c>
      <c r="B1679" t="str">
        <f>IF(原始经营数据!$D1680="","",T(原始经营数据!$E1680))</f>
        <v>锦江都城镇江润州店</v>
      </c>
      <c r="C1679" t="str">
        <f>IF(原始经营数据!$D1680="","",原始经营数据!$F1680)</f>
        <v>2025</v>
      </c>
      <c r="D1679" t="str">
        <f>IF(原始经营数据!$D1680="","",原始经营数据!$H1680)</f>
        <v>平均入住率</v>
      </c>
      <c r="E1679">
        <f>IF(原始经营数据!$D1680="","",原始经营数据!$I1680)</f>
        <v>51.17</v>
      </c>
      <c r="F1679" t="str">
        <f>IF(原始经营数据!$D1680="","",T(原始经营数据!$J1680))</f>
        <v>%</v>
      </c>
      <c r="G1679" t="str">
        <f>IF(原始经营数据!$D1680="","",T(原始经营数据!$K1680))</f>
        <v/>
      </c>
      <c r="H1679" t="str">
        <f>IF(原始经营数据!$D1680="","",原始经营数据!$G1680)</f>
        <v>服务量</v>
      </c>
      <c r="I1679" t="str">
        <f>IF($A1679="","",IF($B1679&lt;&gt;"",$B1679,IF(COUNTIFS(原始经营数据!$D$3:$D$3001,$A1679,原始经营数据!$E$3:$E$3001,"",原始经营数据!$F$3:$F$3001,$C1679,原始经营数据!$H$3:$H$3001,$D1679,原始经营数据!$K$3:$K$3001,$G1679)&gt;1,"基金整体·来源"&amp;原始经营数据!$A1680,"基金整体")))</f>
        <v>锦江都城镇江润州店</v>
      </c>
      <c r="J1679" t="str">
        <f t="shared" si="393"/>
        <v>年度</v>
      </c>
      <c r="K1679" t="str">
        <f t="shared" si="394"/>
        <v>平均入住率（%）</v>
      </c>
      <c r="L1679" t="str">
        <f t="shared" si="395"/>
        <v>锦江都城镇江润州店|平均入住率（%）|年度</v>
      </c>
      <c r="M1679">
        <f>IF($A1679="",0,IF(COUNTIF($L$2:$L1679,$L1679)=1,1,0))</f>
        <v>0</v>
      </c>
      <c r="N1679">
        <f t="shared" si="396"/>
        <v>20250</v>
      </c>
      <c r="O1679" t="str">
        <f t="shared" si="397"/>
        <v>华安锦江封闭式商业不动产证券投资基金|2025|年度</v>
      </c>
      <c r="P1679">
        <f>IF($A1679="",0,IF(COUNTIF($O$2:$O1679,$O1679)=1,1,0))</f>
        <v>0</v>
      </c>
      <c r="Q1679" t="str">
        <f>IF(AND($P1679=1,$A1679=经营数据!$B$3,$J1679=经营数据!$BA$5),COUNTIFS($P$2:$P$3000,1,$A$2:$A$3000,$A1679,$J$2:$J$3000,$J1679,$N$2:$N$3000,"&lt;"&amp;$N1679)+1,"")</f>
        <v/>
      </c>
      <c r="R1679" t="str">
        <f t="shared" si="398"/>
        <v>华安锦江封闭式商业不动产证券投资基金|锦江都城镇江润州店</v>
      </c>
      <c r="S1679">
        <f>IF($A1679="",0,IF(COUNTIF($R$2:$R1679,$R1679)=1,1,0))</f>
        <v>0</v>
      </c>
      <c r="T1679">
        <f t="shared" si="399"/>
        <v>1669</v>
      </c>
      <c r="U1679" t="str">
        <f>IF($A1679="","",IF($A1679=经营数据!$B$3,COUNTIFS($S$2:$S$3000,1,$A$2:$A$3000,$A1679,$T$2:$T$3000,"&lt;"&amp;$T1679)+1,""))</f>
        <v/>
      </c>
      <c r="V1679" t="str">
        <f t="shared" si="400"/>
        <v>锦江都城镇江润州店|服务量</v>
      </c>
      <c r="W1679">
        <f t="shared" si="401"/>
        <v>1669</v>
      </c>
      <c r="X1679" t="str">
        <f t="shared" si="402"/>
        <v>锦江都城镇江润州店|平均入住率</v>
      </c>
      <c r="Y1679">
        <f t="shared" si="403"/>
        <v>1669</v>
      </c>
      <c r="Z1679">
        <f>IF($A1679="",0,IF(AND($M1679=1,$A1679=经营数据!$B$3,$J1679=经营数据!$BA$5,OR($I1679=经营数据!$BA$4,COUNTIF(经营数据!$AA$9:$AA$38,$I1679)&gt;0)),1,0))</f>
        <v>0</v>
      </c>
      <c r="AA1679" t="str">
        <f t="shared" si="404"/>
        <v/>
      </c>
      <c r="AB1679" t="str">
        <f t="shared" si="405"/>
        <v/>
      </c>
      <c r="AC1679">
        <f>IF($A1679="",0,IF(COUNTIF($A$2:$A1679,$A1679)=1,1,0))</f>
        <v>0</v>
      </c>
      <c r="AD1679">
        <f t="shared" si="406"/>
        <v>18</v>
      </c>
      <c r="AE1679" t="str">
        <f t="shared" si="407"/>
        <v>锦江都城镇江润州店|平均入住率（%）</v>
      </c>
    </row>
    <row r="1680" spans="1:31" x14ac:dyDescent="0.4">
      <c r="A1680" t="str">
        <f>IF(原始经营数据!$D1681="","",原始经营数据!$D1681)</f>
        <v>华安锦江封闭式商业不动产证券投资基金</v>
      </c>
      <c r="B1680" t="str">
        <f>IF(原始经营数据!$D1681="","",T(原始经营数据!$E1681))</f>
        <v>锦江都城镇江润州店</v>
      </c>
      <c r="C1680" t="str">
        <f>IF(原始经营数据!$D1681="","",原始经营数据!$F1681)</f>
        <v>2025</v>
      </c>
      <c r="D1680" t="str">
        <f>IF(原始经营数据!$D1681="","",原始经营数据!$H1681)</f>
        <v>平均房价</v>
      </c>
      <c r="E1680">
        <f>IF(原始经营数据!$D1681="","",原始经营数据!$I1681)</f>
        <v>221.16</v>
      </c>
      <c r="F1680" t="str">
        <f>IF(原始经营数据!$D1681="","",T(原始经营数据!$J1681))</f>
        <v>元/间</v>
      </c>
      <c r="G1680" t="str">
        <f>IF(原始经营数据!$D1681="","",T(原始经营数据!$K1681))</f>
        <v/>
      </c>
      <c r="H1680" t="str">
        <f>IF(原始经营数据!$D1681="","",原始经营数据!$G1681)</f>
        <v>服务量</v>
      </c>
      <c r="I1680" t="str">
        <f>IF($A1680="","",IF($B1680&lt;&gt;"",$B1680,IF(COUNTIFS(原始经营数据!$D$3:$D$3001,$A1680,原始经营数据!$E$3:$E$3001,"",原始经营数据!$F$3:$F$3001,$C1680,原始经营数据!$H$3:$H$3001,$D1680,原始经营数据!$K$3:$K$3001,$G1680)&gt;1,"基金整体·来源"&amp;原始经营数据!$A1681,"基金整体")))</f>
        <v>锦江都城镇江润州店</v>
      </c>
      <c r="J1680" t="str">
        <f t="shared" si="393"/>
        <v>年度</v>
      </c>
      <c r="K1680" t="str">
        <f t="shared" si="394"/>
        <v>平均房价（元/间）</v>
      </c>
      <c r="L1680" t="str">
        <f t="shared" si="395"/>
        <v>锦江都城镇江润州店|平均房价（元/间）|年度</v>
      </c>
      <c r="M1680">
        <f>IF($A1680="",0,IF(COUNTIF($L$2:$L1680,$L1680)=1,1,0))</f>
        <v>0</v>
      </c>
      <c r="N1680">
        <f t="shared" si="396"/>
        <v>20250</v>
      </c>
      <c r="O1680" t="str">
        <f t="shared" si="397"/>
        <v>华安锦江封闭式商业不动产证券投资基金|2025|年度</v>
      </c>
      <c r="P1680">
        <f>IF($A1680="",0,IF(COUNTIF($O$2:$O1680,$O1680)=1,1,0))</f>
        <v>0</v>
      </c>
      <c r="Q1680" t="str">
        <f>IF(AND($P1680=1,$A1680=经营数据!$B$3,$J1680=经营数据!$BA$5),COUNTIFS($P$2:$P$3000,1,$A$2:$A$3000,$A1680,$J$2:$J$3000,$J1680,$N$2:$N$3000,"&lt;"&amp;$N1680)+1,"")</f>
        <v/>
      </c>
      <c r="R1680" t="str">
        <f t="shared" si="398"/>
        <v>华安锦江封闭式商业不动产证券投资基金|锦江都城镇江润州店</v>
      </c>
      <c r="S1680">
        <f>IF($A1680="",0,IF(COUNTIF($R$2:$R1680,$R1680)=1,1,0))</f>
        <v>0</v>
      </c>
      <c r="T1680">
        <f t="shared" si="399"/>
        <v>1669</v>
      </c>
      <c r="U1680" t="str">
        <f>IF($A1680="","",IF($A1680=经营数据!$B$3,COUNTIFS($S$2:$S$3000,1,$A$2:$A$3000,$A1680,$T$2:$T$3000,"&lt;"&amp;$T1680)+1,""))</f>
        <v/>
      </c>
      <c r="V1680" t="str">
        <f t="shared" si="400"/>
        <v>锦江都城镇江润州店|服务量</v>
      </c>
      <c r="W1680">
        <f t="shared" si="401"/>
        <v>1669</v>
      </c>
      <c r="X1680" t="str">
        <f t="shared" si="402"/>
        <v>锦江都城镇江润州店|平均房价</v>
      </c>
      <c r="Y1680">
        <f t="shared" si="403"/>
        <v>1670</v>
      </c>
      <c r="Z1680">
        <f>IF($A1680="",0,IF(AND($M1680=1,$A1680=经营数据!$B$3,$J1680=经营数据!$BA$5,OR($I1680=经营数据!$BA$4,COUNTIF(经营数据!$AA$9:$AA$38,$I1680)&gt;0)),1,0))</f>
        <v>0</v>
      </c>
      <c r="AA1680" t="str">
        <f t="shared" si="404"/>
        <v/>
      </c>
      <c r="AB1680" t="str">
        <f t="shared" si="405"/>
        <v/>
      </c>
      <c r="AC1680">
        <f>IF($A1680="",0,IF(COUNTIF($A$2:$A1680,$A1680)=1,1,0))</f>
        <v>0</v>
      </c>
      <c r="AD1680">
        <f t="shared" si="406"/>
        <v>18</v>
      </c>
      <c r="AE1680" t="str">
        <f t="shared" si="407"/>
        <v>锦江都城镇江润州店|平均房价（元/间）</v>
      </c>
    </row>
    <row r="1681" spans="1:31" x14ac:dyDescent="0.4">
      <c r="A1681" t="str">
        <f>IF(原始经营数据!$D1682="","",原始经营数据!$D1682)</f>
        <v>华安锦江封闭式商业不动产证券投资基金</v>
      </c>
      <c r="B1681" t="str">
        <f>IF(原始经营数据!$D1682="","",T(原始经营数据!$E1682))</f>
        <v>锦江都城镇江润州店</v>
      </c>
      <c r="C1681" t="str">
        <f>IF(原始经营数据!$D1682="","",原始经营数据!$F1682)</f>
        <v>2025</v>
      </c>
      <c r="D1681" t="str">
        <f>IF(原始经营数据!$D1682="","",原始经营数据!$H1682)</f>
        <v>可供房数</v>
      </c>
      <c r="E1681">
        <f>IF(原始经营数据!$D1682="","",原始经营数据!$I1682)</f>
        <v>46720</v>
      </c>
      <c r="F1681" t="str">
        <f>IF(原始经营数据!$D1682="","",T(原始经营数据!$J1682))</f>
        <v>间</v>
      </c>
      <c r="G1681" t="str">
        <f>IF(原始经营数据!$D1682="","",T(原始经营数据!$K1682))</f>
        <v/>
      </c>
      <c r="H1681" t="str">
        <f>IF(原始经营数据!$D1682="","",原始经营数据!$G1682)</f>
        <v>服务量</v>
      </c>
      <c r="I1681" t="str">
        <f>IF($A1681="","",IF($B1681&lt;&gt;"",$B1681,IF(COUNTIFS(原始经营数据!$D$3:$D$3001,$A1681,原始经营数据!$E$3:$E$3001,"",原始经营数据!$F$3:$F$3001,$C1681,原始经营数据!$H$3:$H$3001,$D1681,原始经营数据!$K$3:$K$3001,$G1681)&gt;1,"基金整体·来源"&amp;原始经营数据!$A1682,"基金整体")))</f>
        <v>锦江都城镇江润州店</v>
      </c>
      <c r="J1681" t="str">
        <f t="shared" si="393"/>
        <v>年度</v>
      </c>
      <c r="K1681" t="str">
        <f t="shared" si="394"/>
        <v>可供房数（间）</v>
      </c>
      <c r="L1681" t="str">
        <f t="shared" si="395"/>
        <v>锦江都城镇江润州店|可供房数（间）|年度</v>
      </c>
      <c r="M1681">
        <f>IF($A1681="",0,IF(COUNTIF($L$2:$L1681,$L1681)=1,1,0))</f>
        <v>0</v>
      </c>
      <c r="N1681">
        <f t="shared" si="396"/>
        <v>20250</v>
      </c>
      <c r="O1681" t="str">
        <f t="shared" si="397"/>
        <v>华安锦江封闭式商业不动产证券投资基金|2025|年度</v>
      </c>
      <c r="P1681">
        <f>IF($A1681="",0,IF(COUNTIF($O$2:$O1681,$O1681)=1,1,0))</f>
        <v>0</v>
      </c>
      <c r="Q1681" t="str">
        <f>IF(AND($P1681=1,$A1681=经营数据!$B$3,$J1681=经营数据!$BA$5),COUNTIFS($P$2:$P$3000,1,$A$2:$A$3000,$A1681,$J$2:$J$3000,$J1681,$N$2:$N$3000,"&lt;"&amp;$N1681)+1,"")</f>
        <v/>
      </c>
      <c r="R1681" t="str">
        <f t="shared" si="398"/>
        <v>华安锦江封闭式商业不动产证券投资基金|锦江都城镇江润州店</v>
      </c>
      <c r="S1681">
        <f>IF($A1681="",0,IF(COUNTIF($R$2:$R1681,$R1681)=1,1,0))</f>
        <v>0</v>
      </c>
      <c r="T1681">
        <f t="shared" si="399"/>
        <v>1669</v>
      </c>
      <c r="U1681" t="str">
        <f>IF($A1681="","",IF($A1681=经营数据!$B$3,COUNTIFS($S$2:$S$3000,1,$A$2:$A$3000,$A1681,$T$2:$T$3000,"&lt;"&amp;$T1681)+1,""))</f>
        <v/>
      </c>
      <c r="V1681" t="str">
        <f t="shared" si="400"/>
        <v>锦江都城镇江润州店|服务量</v>
      </c>
      <c r="W1681">
        <f t="shared" si="401"/>
        <v>1669</v>
      </c>
      <c r="X1681" t="str">
        <f t="shared" si="402"/>
        <v>锦江都城镇江润州店|可供房数</v>
      </c>
      <c r="Y1681">
        <f t="shared" si="403"/>
        <v>1671</v>
      </c>
      <c r="Z1681">
        <f>IF($A1681="",0,IF(AND($M1681=1,$A1681=经营数据!$B$3,$J1681=经营数据!$BA$5,OR($I1681=经营数据!$BA$4,COUNTIF(经营数据!$AA$9:$AA$38,$I1681)&gt;0)),1,0))</f>
        <v>0</v>
      </c>
      <c r="AA1681" t="str">
        <f t="shared" si="404"/>
        <v/>
      </c>
      <c r="AB1681" t="str">
        <f t="shared" si="405"/>
        <v/>
      </c>
      <c r="AC1681">
        <f>IF($A1681="",0,IF(COUNTIF($A$2:$A1681,$A1681)=1,1,0))</f>
        <v>0</v>
      </c>
      <c r="AD1681">
        <f t="shared" si="406"/>
        <v>18</v>
      </c>
      <c r="AE1681" t="str">
        <f t="shared" si="407"/>
        <v>锦江都城镇江润州店|可供房数（间）</v>
      </c>
    </row>
    <row r="1682" spans="1:31" x14ac:dyDescent="0.4">
      <c r="A1682" t="str">
        <f>IF(原始经营数据!$D1683="","",原始经营数据!$D1683)</f>
        <v>华安锦江封闭式商业不动产证券投资基金</v>
      </c>
      <c r="B1682" t="str">
        <f>IF(原始经营数据!$D1683="","",T(原始经营数据!$E1683))</f>
        <v>锦江都城长沙开福五一广场店</v>
      </c>
      <c r="C1682" t="str">
        <f>IF(原始经营数据!$D1683="","",原始经营数据!$F1683)</f>
        <v>2022</v>
      </c>
      <c r="D1682" t="str">
        <f>IF(原始经营数据!$D1683="","",原始经营数据!$H1683)</f>
        <v>平均房价</v>
      </c>
      <c r="E1682">
        <f>IF(原始经营数据!$D1683="","",原始经营数据!$I1683)</f>
        <v>279.88</v>
      </c>
      <c r="F1682" t="str">
        <f>IF(原始经营数据!$D1683="","",T(原始经营数据!$J1683))</f>
        <v>元/间</v>
      </c>
      <c r="G1682" t="str">
        <f>IF(原始经营数据!$D1683="","",T(原始经营数据!$K1683))</f>
        <v/>
      </c>
      <c r="H1682" t="str">
        <f>IF(原始经营数据!$D1683="","",原始经营数据!$G1683)</f>
        <v>服务量</v>
      </c>
      <c r="I1682" t="str">
        <f>IF($A1682="","",IF($B1682&lt;&gt;"",$B1682,IF(COUNTIFS(原始经营数据!$D$3:$D$3001,$A1682,原始经营数据!$E$3:$E$3001,"",原始经营数据!$F$3:$F$3001,$C1682,原始经营数据!$H$3:$H$3001,$D1682,原始经营数据!$K$3:$K$3001,$G1682)&gt;1,"基金整体·来源"&amp;原始经营数据!$A1683,"基金整体")))</f>
        <v>锦江都城长沙开福五一广场店</v>
      </c>
      <c r="J1682" t="str">
        <f t="shared" si="393"/>
        <v>年度</v>
      </c>
      <c r="K1682" t="str">
        <f t="shared" si="394"/>
        <v>平均房价（元/间）</v>
      </c>
      <c r="L1682" t="str">
        <f t="shared" si="395"/>
        <v>锦江都城长沙开福五一广场店|平均房价（元/间）|年度</v>
      </c>
      <c r="M1682">
        <f>IF($A1682="",0,IF(COUNTIF($L$2:$L1682,$L1682)=1,1,0))</f>
        <v>1</v>
      </c>
      <c r="N1682">
        <f t="shared" si="396"/>
        <v>20220</v>
      </c>
      <c r="O1682" t="str">
        <f t="shared" si="397"/>
        <v>华安锦江封闭式商业不动产证券投资基金|2022|年度</v>
      </c>
      <c r="P1682">
        <f>IF($A1682="",0,IF(COUNTIF($O$2:$O1682,$O1682)=1,1,0))</f>
        <v>0</v>
      </c>
      <c r="Q1682" t="str">
        <f>IF(AND($P1682=1,$A1682=经营数据!$B$3,$J1682=经营数据!$BA$5),COUNTIFS($P$2:$P$3000,1,$A$2:$A$3000,$A1682,$J$2:$J$3000,$J1682,$N$2:$N$3000,"&lt;"&amp;$N1682)+1,"")</f>
        <v/>
      </c>
      <c r="R1682" t="str">
        <f t="shared" si="398"/>
        <v>华安锦江封闭式商业不动产证券投资基金|锦江都城长沙开福五一广场店</v>
      </c>
      <c r="S1682">
        <f>IF($A1682="",0,IF(COUNTIF($R$2:$R1682,$R1682)=1,1,0))</f>
        <v>1</v>
      </c>
      <c r="T1682">
        <f t="shared" si="399"/>
        <v>1681</v>
      </c>
      <c r="U1682" t="str">
        <f>IF($A1682="","",IF($A1682=经营数据!$B$3,COUNTIFS($S$2:$S$3000,1,$A$2:$A$3000,$A1682,$T$2:$T$3000,"&lt;"&amp;$T1682)+1,""))</f>
        <v/>
      </c>
      <c r="V1682" t="str">
        <f t="shared" si="400"/>
        <v>锦江都城长沙开福五一广场店|服务量</v>
      </c>
      <c r="W1682">
        <f t="shared" si="401"/>
        <v>1681</v>
      </c>
      <c r="X1682" t="str">
        <f t="shared" si="402"/>
        <v>锦江都城长沙开福五一广场店|平均房价</v>
      </c>
      <c r="Y1682">
        <f t="shared" si="403"/>
        <v>1681</v>
      </c>
      <c r="Z1682">
        <f>IF($A1682="",0,IF(AND($M1682=1,$A1682=经营数据!$B$3,$J1682=经营数据!$BA$5,OR($I1682=经营数据!$BA$4,COUNTIF(经营数据!$AA$9:$AA$38,$I1682)&gt;0)),1,0))</f>
        <v>0</v>
      </c>
      <c r="AA1682" t="str">
        <f t="shared" si="404"/>
        <v/>
      </c>
      <c r="AB1682" t="str">
        <f t="shared" si="405"/>
        <v/>
      </c>
      <c r="AC1682">
        <f>IF($A1682="",0,IF(COUNTIF($A$2:$A1682,$A1682)=1,1,0))</f>
        <v>0</v>
      </c>
      <c r="AD1682">
        <f t="shared" si="406"/>
        <v>18</v>
      </c>
      <c r="AE1682" t="str">
        <f t="shared" si="407"/>
        <v>锦江都城长沙开福五一广场店|平均房价（元/间）</v>
      </c>
    </row>
    <row r="1683" spans="1:31" x14ac:dyDescent="0.4">
      <c r="A1683" t="str">
        <f>IF(原始经营数据!$D1684="","",原始经营数据!$D1684)</f>
        <v>华安锦江封闭式商业不动产证券投资基金</v>
      </c>
      <c r="B1683" t="str">
        <f>IF(原始经营数据!$D1684="","",T(原始经营数据!$E1684))</f>
        <v>锦江都城长沙开福五一广场店</v>
      </c>
      <c r="C1683" t="str">
        <f>IF(原始经营数据!$D1684="","",原始经营数据!$F1684)</f>
        <v>2022</v>
      </c>
      <c r="D1683" t="str">
        <f>IF(原始经营数据!$D1684="","",原始经营数据!$H1684)</f>
        <v>平均入住率</v>
      </c>
      <c r="E1683">
        <f>IF(原始经营数据!$D1684="","",原始经营数据!$I1684)</f>
        <v>56.66</v>
      </c>
      <c r="F1683" t="str">
        <f>IF(原始经营数据!$D1684="","",T(原始经营数据!$J1684))</f>
        <v>%</v>
      </c>
      <c r="G1683" t="str">
        <f>IF(原始经营数据!$D1684="","",T(原始经营数据!$K1684))</f>
        <v/>
      </c>
      <c r="H1683" t="str">
        <f>IF(原始经营数据!$D1684="","",原始经营数据!$G1684)</f>
        <v>服务量</v>
      </c>
      <c r="I1683" t="str">
        <f>IF($A1683="","",IF($B1683&lt;&gt;"",$B1683,IF(COUNTIFS(原始经营数据!$D$3:$D$3001,$A1683,原始经营数据!$E$3:$E$3001,"",原始经营数据!$F$3:$F$3001,$C1683,原始经营数据!$H$3:$H$3001,$D1683,原始经营数据!$K$3:$K$3001,$G1683)&gt;1,"基金整体·来源"&amp;原始经营数据!$A1684,"基金整体")))</f>
        <v>锦江都城长沙开福五一广场店</v>
      </c>
      <c r="J1683" t="str">
        <f t="shared" si="393"/>
        <v>年度</v>
      </c>
      <c r="K1683" t="str">
        <f t="shared" si="394"/>
        <v>平均入住率（%）</v>
      </c>
      <c r="L1683" t="str">
        <f t="shared" si="395"/>
        <v>锦江都城长沙开福五一广场店|平均入住率（%）|年度</v>
      </c>
      <c r="M1683">
        <f>IF($A1683="",0,IF(COUNTIF($L$2:$L1683,$L1683)=1,1,0))</f>
        <v>1</v>
      </c>
      <c r="N1683">
        <f t="shared" si="396"/>
        <v>20220</v>
      </c>
      <c r="O1683" t="str">
        <f t="shared" si="397"/>
        <v>华安锦江封闭式商业不动产证券投资基金|2022|年度</v>
      </c>
      <c r="P1683">
        <f>IF($A1683="",0,IF(COUNTIF($O$2:$O1683,$O1683)=1,1,0))</f>
        <v>0</v>
      </c>
      <c r="Q1683" t="str">
        <f>IF(AND($P1683=1,$A1683=经营数据!$B$3,$J1683=经营数据!$BA$5),COUNTIFS($P$2:$P$3000,1,$A$2:$A$3000,$A1683,$J$2:$J$3000,$J1683,$N$2:$N$3000,"&lt;"&amp;$N1683)+1,"")</f>
        <v/>
      </c>
      <c r="R1683" t="str">
        <f t="shared" si="398"/>
        <v>华安锦江封闭式商业不动产证券投资基金|锦江都城长沙开福五一广场店</v>
      </c>
      <c r="S1683">
        <f>IF($A1683="",0,IF(COUNTIF($R$2:$R1683,$R1683)=1,1,0))</f>
        <v>0</v>
      </c>
      <c r="T1683">
        <f t="shared" si="399"/>
        <v>1681</v>
      </c>
      <c r="U1683" t="str">
        <f>IF($A1683="","",IF($A1683=经营数据!$B$3,COUNTIFS($S$2:$S$3000,1,$A$2:$A$3000,$A1683,$T$2:$T$3000,"&lt;"&amp;$T1683)+1,""))</f>
        <v/>
      </c>
      <c r="V1683" t="str">
        <f t="shared" si="400"/>
        <v>锦江都城长沙开福五一广场店|服务量</v>
      </c>
      <c r="W1683">
        <f t="shared" si="401"/>
        <v>1681</v>
      </c>
      <c r="X1683" t="str">
        <f t="shared" si="402"/>
        <v>锦江都城长沙开福五一广场店|平均入住率</v>
      </c>
      <c r="Y1683">
        <f t="shared" si="403"/>
        <v>1682</v>
      </c>
      <c r="Z1683">
        <f>IF($A1683="",0,IF(AND($M1683=1,$A1683=经营数据!$B$3,$J1683=经营数据!$BA$5,OR($I1683=经营数据!$BA$4,COUNTIF(经营数据!$AA$9:$AA$38,$I1683)&gt;0)),1,0))</f>
        <v>0</v>
      </c>
      <c r="AA1683" t="str">
        <f t="shared" si="404"/>
        <v/>
      </c>
      <c r="AB1683" t="str">
        <f t="shared" si="405"/>
        <v/>
      </c>
      <c r="AC1683">
        <f>IF($A1683="",0,IF(COUNTIF($A$2:$A1683,$A1683)=1,1,0))</f>
        <v>0</v>
      </c>
      <c r="AD1683">
        <f t="shared" si="406"/>
        <v>18</v>
      </c>
      <c r="AE1683" t="str">
        <f t="shared" si="407"/>
        <v>锦江都城长沙开福五一广场店|平均入住率（%）</v>
      </c>
    </row>
    <row r="1684" spans="1:31" x14ac:dyDescent="0.4">
      <c r="A1684" t="str">
        <f>IF(原始经营数据!$D1685="","",原始经营数据!$D1685)</f>
        <v>华安锦江封闭式商业不动产证券投资基金</v>
      </c>
      <c r="B1684" t="str">
        <f>IF(原始经营数据!$D1685="","",T(原始经营数据!$E1685))</f>
        <v>锦江都城长沙开福五一广场店</v>
      </c>
      <c r="C1684" t="str">
        <f>IF(原始经营数据!$D1685="","",原始经营数据!$F1685)</f>
        <v>2022</v>
      </c>
      <c r="D1684" t="str">
        <f>IF(原始经营数据!$D1685="","",原始经营数据!$H1685)</f>
        <v>可供房数</v>
      </c>
      <c r="E1684">
        <f>IF(原始经营数据!$D1685="","",原始经营数据!$I1685)</f>
        <v>56326</v>
      </c>
      <c r="F1684" t="str">
        <f>IF(原始经营数据!$D1685="","",T(原始经营数据!$J1685))</f>
        <v>间</v>
      </c>
      <c r="G1684" t="str">
        <f>IF(原始经营数据!$D1685="","",T(原始经营数据!$K1685))</f>
        <v/>
      </c>
      <c r="H1684" t="str">
        <f>IF(原始经营数据!$D1685="","",原始经营数据!$G1685)</f>
        <v>服务量</v>
      </c>
      <c r="I1684" t="str">
        <f>IF($A1684="","",IF($B1684&lt;&gt;"",$B1684,IF(COUNTIFS(原始经营数据!$D$3:$D$3001,$A1684,原始经营数据!$E$3:$E$3001,"",原始经营数据!$F$3:$F$3001,$C1684,原始经营数据!$H$3:$H$3001,$D1684,原始经营数据!$K$3:$K$3001,$G1684)&gt;1,"基金整体·来源"&amp;原始经营数据!$A1685,"基金整体")))</f>
        <v>锦江都城长沙开福五一广场店</v>
      </c>
      <c r="J1684" t="str">
        <f t="shared" si="393"/>
        <v>年度</v>
      </c>
      <c r="K1684" t="str">
        <f t="shared" si="394"/>
        <v>可供房数（间）</v>
      </c>
      <c r="L1684" t="str">
        <f t="shared" si="395"/>
        <v>锦江都城长沙开福五一广场店|可供房数（间）|年度</v>
      </c>
      <c r="M1684">
        <f>IF($A1684="",0,IF(COUNTIF($L$2:$L1684,$L1684)=1,1,0))</f>
        <v>1</v>
      </c>
      <c r="N1684">
        <f t="shared" si="396"/>
        <v>20220</v>
      </c>
      <c r="O1684" t="str">
        <f t="shared" si="397"/>
        <v>华安锦江封闭式商业不动产证券投资基金|2022|年度</v>
      </c>
      <c r="P1684">
        <f>IF($A1684="",0,IF(COUNTIF($O$2:$O1684,$O1684)=1,1,0))</f>
        <v>0</v>
      </c>
      <c r="Q1684" t="str">
        <f>IF(AND($P1684=1,$A1684=经营数据!$B$3,$J1684=经营数据!$BA$5),COUNTIFS($P$2:$P$3000,1,$A$2:$A$3000,$A1684,$J$2:$J$3000,$J1684,$N$2:$N$3000,"&lt;"&amp;$N1684)+1,"")</f>
        <v/>
      </c>
      <c r="R1684" t="str">
        <f t="shared" si="398"/>
        <v>华安锦江封闭式商业不动产证券投资基金|锦江都城长沙开福五一广场店</v>
      </c>
      <c r="S1684">
        <f>IF($A1684="",0,IF(COUNTIF($R$2:$R1684,$R1684)=1,1,0))</f>
        <v>0</v>
      </c>
      <c r="T1684">
        <f t="shared" si="399"/>
        <v>1681</v>
      </c>
      <c r="U1684" t="str">
        <f>IF($A1684="","",IF($A1684=经营数据!$B$3,COUNTIFS($S$2:$S$3000,1,$A$2:$A$3000,$A1684,$T$2:$T$3000,"&lt;"&amp;$T1684)+1,""))</f>
        <v/>
      </c>
      <c r="V1684" t="str">
        <f t="shared" si="400"/>
        <v>锦江都城长沙开福五一广场店|服务量</v>
      </c>
      <c r="W1684">
        <f t="shared" si="401"/>
        <v>1681</v>
      </c>
      <c r="X1684" t="str">
        <f t="shared" si="402"/>
        <v>锦江都城长沙开福五一广场店|可供房数</v>
      </c>
      <c r="Y1684">
        <f t="shared" si="403"/>
        <v>1683</v>
      </c>
      <c r="Z1684">
        <f>IF($A1684="",0,IF(AND($M1684=1,$A1684=经营数据!$B$3,$J1684=经营数据!$BA$5,OR($I1684=经营数据!$BA$4,COUNTIF(经营数据!$AA$9:$AA$38,$I1684)&gt;0)),1,0))</f>
        <v>0</v>
      </c>
      <c r="AA1684" t="str">
        <f t="shared" si="404"/>
        <v/>
      </c>
      <c r="AB1684" t="str">
        <f t="shared" si="405"/>
        <v/>
      </c>
      <c r="AC1684">
        <f>IF($A1684="",0,IF(COUNTIF($A$2:$A1684,$A1684)=1,1,0))</f>
        <v>0</v>
      </c>
      <c r="AD1684">
        <f t="shared" si="406"/>
        <v>18</v>
      </c>
      <c r="AE1684" t="str">
        <f t="shared" si="407"/>
        <v>锦江都城长沙开福五一广场店|可供房数（间）</v>
      </c>
    </row>
    <row r="1685" spans="1:31" x14ac:dyDescent="0.4">
      <c r="A1685" t="str">
        <f>IF(原始经营数据!$D1686="","",原始经营数据!$D1686)</f>
        <v>华安锦江封闭式商业不动产证券投资基金</v>
      </c>
      <c r="B1685" t="str">
        <f>IF(原始经营数据!$D1686="","",T(原始经营数据!$E1686))</f>
        <v>锦江都城长沙开福五一广场店</v>
      </c>
      <c r="C1685" t="str">
        <f>IF(原始经营数据!$D1686="","",原始经营数据!$F1686)</f>
        <v>2023</v>
      </c>
      <c r="D1685" t="str">
        <f>IF(原始经营数据!$D1686="","",原始经营数据!$H1686)</f>
        <v>平均房价</v>
      </c>
      <c r="E1685">
        <f>IF(原始经营数据!$D1686="","",原始经营数据!$I1686)</f>
        <v>346.92</v>
      </c>
      <c r="F1685" t="str">
        <f>IF(原始经营数据!$D1686="","",T(原始经营数据!$J1686))</f>
        <v>元/间</v>
      </c>
      <c r="G1685" t="str">
        <f>IF(原始经营数据!$D1686="","",T(原始经营数据!$K1686))</f>
        <v/>
      </c>
      <c r="H1685" t="str">
        <f>IF(原始经营数据!$D1686="","",原始经营数据!$G1686)</f>
        <v>服务量</v>
      </c>
      <c r="I1685" t="str">
        <f>IF($A1685="","",IF($B1685&lt;&gt;"",$B1685,IF(COUNTIFS(原始经营数据!$D$3:$D$3001,$A1685,原始经营数据!$E$3:$E$3001,"",原始经营数据!$F$3:$F$3001,$C1685,原始经营数据!$H$3:$H$3001,$D1685,原始经营数据!$K$3:$K$3001,$G1685)&gt;1,"基金整体·来源"&amp;原始经营数据!$A1686,"基金整体")))</f>
        <v>锦江都城长沙开福五一广场店</v>
      </c>
      <c r="J1685" t="str">
        <f t="shared" si="393"/>
        <v>年度</v>
      </c>
      <c r="K1685" t="str">
        <f t="shared" si="394"/>
        <v>平均房价（元/间）</v>
      </c>
      <c r="L1685" t="str">
        <f t="shared" si="395"/>
        <v>锦江都城长沙开福五一广场店|平均房价（元/间）|年度</v>
      </c>
      <c r="M1685">
        <f>IF($A1685="",0,IF(COUNTIF($L$2:$L1685,$L1685)=1,1,0))</f>
        <v>0</v>
      </c>
      <c r="N1685">
        <f t="shared" si="396"/>
        <v>20230</v>
      </c>
      <c r="O1685" t="str">
        <f t="shared" si="397"/>
        <v>华安锦江封闭式商业不动产证券投资基金|2023|年度</v>
      </c>
      <c r="P1685">
        <f>IF($A1685="",0,IF(COUNTIF($O$2:$O1685,$O1685)=1,1,0))</f>
        <v>0</v>
      </c>
      <c r="Q1685" t="str">
        <f>IF(AND($P1685=1,$A1685=经营数据!$B$3,$J1685=经营数据!$BA$5),COUNTIFS($P$2:$P$3000,1,$A$2:$A$3000,$A1685,$J$2:$J$3000,$J1685,$N$2:$N$3000,"&lt;"&amp;$N1685)+1,"")</f>
        <v/>
      </c>
      <c r="R1685" t="str">
        <f t="shared" si="398"/>
        <v>华安锦江封闭式商业不动产证券投资基金|锦江都城长沙开福五一广场店</v>
      </c>
      <c r="S1685">
        <f>IF($A1685="",0,IF(COUNTIF($R$2:$R1685,$R1685)=1,1,0))</f>
        <v>0</v>
      </c>
      <c r="T1685">
        <f t="shared" si="399"/>
        <v>1681</v>
      </c>
      <c r="U1685" t="str">
        <f>IF($A1685="","",IF($A1685=经营数据!$B$3,COUNTIFS($S$2:$S$3000,1,$A$2:$A$3000,$A1685,$T$2:$T$3000,"&lt;"&amp;$T1685)+1,""))</f>
        <v/>
      </c>
      <c r="V1685" t="str">
        <f t="shared" si="400"/>
        <v>锦江都城长沙开福五一广场店|服务量</v>
      </c>
      <c r="W1685">
        <f t="shared" si="401"/>
        <v>1681</v>
      </c>
      <c r="X1685" t="str">
        <f t="shared" si="402"/>
        <v>锦江都城长沙开福五一广场店|平均房价</v>
      </c>
      <c r="Y1685">
        <f t="shared" si="403"/>
        <v>1681</v>
      </c>
      <c r="Z1685">
        <f>IF($A1685="",0,IF(AND($M1685=1,$A1685=经营数据!$B$3,$J1685=经营数据!$BA$5,OR($I1685=经营数据!$BA$4,COUNTIF(经营数据!$AA$9:$AA$38,$I1685)&gt;0)),1,0))</f>
        <v>0</v>
      </c>
      <c r="AA1685" t="str">
        <f t="shared" si="404"/>
        <v/>
      </c>
      <c r="AB1685" t="str">
        <f t="shared" si="405"/>
        <v/>
      </c>
      <c r="AC1685">
        <f>IF($A1685="",0,IF(COUNTIF($A$2:$A1685,$A1685)=1,1,0))</f>
        <v>0</v>
      </c>
      <c r="AD1685">
        <f t="shared" si="406"/>
        <v>18</v>
      </c>
      <c r="AE1685" t="str">
        <f t="shared" si="407"/>
        <v>锦江都城长沙开福五一广场店|平均房价（元/间）</v>
      </c>
    </row>
    <row r="1686" spans="1:31" x14ac:dyDescent="0.4">
      <c r="A1686" t="str">
        <f>IF(原始经营数据!$D1687="","",原始经营数据!$D1687)</f>
        <v>华安锦江封闭式商业不动产证券投资基金</v>
      </c>
      <c r="B1686" t="str">
        <f>IF(原始经营数据!$D1687="","",T(原始经营数据!$E1687))</f>
        <v>锦江都城长沙开福五一广场店</v>
      </c>
      <c r="C1686" t="str">
        <f>IF(原始经营数据!$D1687="","",原始经营数据!$F1687)</f>
        <v>2023</v>
      </c>
      <c r="D1686" t="str">
        <f>IF(原始经营数据!$D1687="","",原始经营数据!$H1687)</f>
        <v>平均入住率</v>
      </c>
      <c r="E1686">
        <f>IF(原始经营数据!$D1687="","",原始经营数据!$I1687)</f>
        <v>81.55</v>
      </c>
      <c r="F1686" t="str">
        <f>IF(原始经营数据!$D1687="","",T(原始经营数据!$J1687))</f>
        <v>%</v>
      </c>
      <c r="G1686" t="str">
        <f>IF(原始经营数据!$D1687="","",T(原始经营数据!$K1687))</f>
        <v/>
      </c>
      <c r="H1686" t="str">
        <f>IF(原始经营数据!$D1687="","",原始经营数据!$G1687)</f>
        <v>服务量</v>
      </c>
      <c r="I1686" t="str">
        <f>IF($A1686="","",IF($B1686&lt;&gt;"",$B1686,IF(COUNTIFS(原始经营数据!$D$3:$D$3001,$A1686,原始经营数据!$E$3:$E$3001,"",原始经营数据!$F$3:$F$3001,$C1686,原始经营数据!$H$3:$H$3001,$D1686,原始经营数据!$K$3:$K$3001,$G1686)&gt;1,"基金整体·来源"&amp;原始经营数据!$A1687,"基金整体")))</f>
        <v>锦江都城长沙开福五一广场店</v>
      </c>
      <c r="J1686" t="str">
        <f t="shared" si="393"/>
        <v>年度</v>
      </c>
      <c r="K1686" t="str">
        <f t="shared" si="394"/>
        <v>平均入住率（%）</v>
      </c>
      <c r="L1686" t="str">
        <f t="shared" si="395"/>
        <v>锦江都城长沙开福五一广场店|平均入住率（%）|年度</v>
      </c>
      <c r="M1686">
        <f>IF($A1686="",0,IF(COUNTIF($L$2:$L1686,$L1686)=1,1,0))</f>
        <v>0</v>
      </c>
      <c r="N1686">
        <f t="shared" si="396"/>
        <v>20230</v>
      </c>
      <c r="O1686" t="str">
        <f t="shared" si="397"/>
        <v>华安锦江封闭式商业不动产证券投资基金|2023|年度</v>
      </c>
      <c r="P1686">
        <f>IF($A1686="",0,IF(COUNTIF($O$2:$O1686,$O1686)=1,1,0))</f>
        <v>0</v>
      </c>
      <c r="Q1686" t="str">
        <f>IF(AND($P1686=1,$A1686=经营数据!$B$3,$J1686=经营数据!$BA$5),COUNTIFS($P$2:$P$3000,1,$A$2:$A$3000,$A1686,$J$2:$J$3000,$J1686,$N$2:$N$3000,"&lt;"&amp;$N1686)+1,"")</f>
        <v/>
      </c>
      <c r="R1686" t="str">
        <f t="shared" si="398"/>
        <v>华安锦江封闭式商业不动产证券投资基金|锦江都城长沙开福五一广场店</v>
      </c>
      <c r="S1686">
        <f>IF($A1686="",0,IF(COUNTIF($R$2:$R1686,$R1686)=1,1,0))</f>
        <v>0</v>
      </c>
      <c r="T1686">
        <f t="shared" si="399"/>
        <v>1681</v>
      </c>
      <c r="U1686" t="str">
        <f>IF($A1686="","",IF($A1686=经营数据!$B$3,COUNTIFS($S$2:$S$3000,1,$A$2:$A$3000,$A1686,$T$2:$T$3000,"&lt;"&amp;$T1686)+1,""))</f>
        <v/>
      </c>
      <c r="V1686" t="str">
        <f t="shared" si="400"/>
        <v>锦江都城长沙开福五一广场店|服务量</v>
      </c>
      <c r="W1686">
        <f t="shared" si="401"/>
        <v>1681</v>
      </c>
      <c r="X1686" t="str">
        <f t="shared" si="402"/>
        <v>锦江都城长沙开福五一广场店|平均入住率</v>
      </c>
      <c r="Y1686">
        <f t="shared" si="403"/>
        <v>1682</v>
      </c>
      <c r="Z1686">
        <f>IF($A1686="",0,IF(AND($M1686=1,$A1686=经营数据!$B$3,$J1686=经营数据!$BA$5,OR($I1686=经营数据!$BA$4,COUNTIF(经营数据!$AA$9:$AA$38,$I1686)&gt;0)),1,0))</f>
        <v>0</v>
      </c>
      <c r="AA1686" t="str">
        <f t="shared" si="404"/>
        <v/>
      </c>
      <c r="AB1686" t="str">
        <f t="shared" si="405"/>
        <v/>
      </c>
      <c r="AC1686">
        <f>IF($A1686="",0,IF(COUNTIF($A$2:$A1686,$A1686)=1,1,0))</f>
        <v>0</v>
      </c>
      <c r="AD1686">
        <f t="shared" si="406"/>
        <v>18</v>
      </c>
      <c r="AE1686" t="str">
        <f t="shared" si="407"/>
        <v>锦江都城长沙开福五一广场店|平均入住率（%）</v>
      </c>
    </row>
    <row r="1687" spans="1:31" x14ac:dyDescent="0.4">
      <c r="A1687" t="str">
        <f>IF(原始经营数据!$D1688="","",原始经营数据!$D1688)</f>
        <v>华安锦江封闭式商业不动产证券投资基金</v>
      </c>
      <c r="B1687" t="str">
        <f>IF(原始经营数据!$D1688="","",T(原始经营数据!$E1688))</f>
        <v>锦江都城长沙开福五一广场店</v>
      </c>
      <c r="C1687" t="str">
        <f>IF(原始经营数据!$D1688="","",原始经营数据!$F1688)</f>
        <v>2023</v>
      </c>
      <c r="D1687" t="str">
        <f>IF(原始经营数据!$D1688="","",原始经营数据!$H1688)</f>
        <v>可供房数</v>
      </c>
      <c r="E1687">
        <f>IF(原始经营数据!$D1688="","",原始经营数据!$I1688)</f>
        <v>56575</v>
      </c>
      <c r="F1687" t="str">
        <f>IF(原始经营数据!$D1688="","",T(原始经营数据!$J1688))</f>
        <v>间</v>
      </c>
      <c r="G1687" t="str">
        <f>IF(原始经营数据!$D1688="","",T(原始经营数据!$K1688))</f>
        <v/>
      </c>
      <c r="H1687" t="str">
        <f>IF(原始经营数据!$D1688="","",原始经营数据!$G1688)</f>
        <v>服务量</v>
      </c>
      <c r="I1687" t="str">
        <f>IF($A1687="","",IF($B1687&lt;&gt;"",$B1687,IF(COUNTIFS(原始经营数据!$D$3:$D$3001,$A1687,原始经营数据!$E$3:$E$3001,"",原始经营数据!$F$3:$F$3001,$C1687,原始经营数据!$H$3:$H$3001,$D1687,原始经营数据!$K$3:$K$3001,$G1687)&gt;1,"基金整体·来源"&amp;原始经营数据!$A1688,"基金整体")))</f>
        <v>锦江都城长沙开福五一广场店</v>
      </c>
      <c r="J1687" t="str">
        <f t="shared" si="393"/>
        <v>年度</v>
      </c>
      <c r="K1687" t="str">
        <f t="shared" si="394"/>
        <v>可供房数（间）</v>
      </c>
      <c r="L1687" t="str">
        <f t="shared" si="395"/>
        <v>锦江都城长沙开福五一广场店|可供房数（间）|年度</v>
      </c>
      <c r="M1687">
        <f>IF($A1687="",0,IF(COUNTIF($L$2:$L1687,$L1687)=1,1,0))</f>
        <v>0</v>
      </c>
      <c r="N1687">
        <f t="shared" si="396"/>
        <v>20230</v>
      </c>
      <c r="O1687" t="str">
        <f t="shared" si="397"/>
        <v>华安锦江封闭式商业不动产证券投资基金|2023|年度</v>
      </c>
      <c r="P1687">
        <f>IF($A1687="",0,IF(COUNTIF($O$2:$O1687,$O1687)=1,1,0))</f>
        <v>0</v>
      </c>
      <c r="Q1687" t="str">
        <f>IF(AND($P1687=1,$A1687=经营数据!$B$3,$J1687=经营数据!$BA$5),COUNTIFS($P$2:$P$3000,1,$A$2:$A$3000,$A1687,$J$2:$J$3000,$J1687,$N$2:$N$3000,"&lt;"&amp;$N1687)+1,"")</f>
        <v/>
      </c>
      <c r="R1687" t="str">
        <f t="shared" si="398"/>
        <v>华安锦江封闭式商业不动产证券投资基金|锦江都城长沙开福五一广场店</v>
      </c>
      <c r="S1687">
        <f>IF($A1687="",0,IF(COUNTIF($R$2:$R1687,$R1687)=1,1,0))</f>
        <v>0</v>
      </c>
      <c r="T1687">
        <f t="shared" si="399"/>
        <v>1681</v>
      </c>
      <c r="U1687" t="str">
        <f>IF($A1687="","",IF($A1687=经营数据!$B$3,COUNTIFS($S$2:$S$3000,1,$A$2:$A$3000,$A1687,$T$2:$T$3000,"&lt;"&amp;$T1687)+1,""))</f>
        <v/>
      </c>
      <c r="V1687" t="str">
        <f t="shared" si="400"/>
        <v>锦江都城长沙开福五一广场店|服务量</v>
      </c>
      <c r="W1687">
        <f t="shared" si="401"/>
        <v>1681</v>
      </c>
      <c r="X1687" t="str">
        <f t="shared" si="402"/>
        <v>锦江都城长沙开福五一广场店|可供房数</v>
      </c>
      <c r="Y1687">
        <f t="shared" si="403"/>
        <v>1683</v>
      </c>
      <c r="Z1687">
        <f>IF($A1687="",0,IF(AND($M1687=1,$A1687=经营数据!$B$3,$J1687=经营数据!$BA$5,OR($I1687=经营数据!$BA$4,COUNTIF(经营数据!$AA$9:$AA$38,$I1687)&gt;0)),1,0))</f>
        <v>0</v>
      </c>
      <c r="AA1687" t="str">
        <f t="shared" si="404"/>
        <v/>
      </c>
      <c r="AB1687" t="str">
        <f t="shared" si="405"/>
        <v/>
      </c>
      <c r="AC1687">
        <f>IF($A1687="",0,IF(COUNTIF($A$2:$A1687,$A1687)=1,1,0))</f>
        <v>0</v>
      </c>
      <c r="AD1687">
        <f t="shared" si="406"/>
        <v>18</v>
      </c>
      <c r="AE1687" t="str">
        <f t="shared" si="407"/>
        <v>锦江都城长沙开福五一广场店|可供房数（间）</v>
      </c>
    </row>
    <row r="1688" spans="1:31" x14ac:dyDescent="0.4">
      <c r="A1688" t="str">
        <f>IF(原始经营数据!$D1689="","",原始经营数据!$D1689)</f>
        <v>华安锦江封闭式商业不动产证券投资基金</v>
      </c>
      <c r="B1688" t="str">
        <f>IF(原始经营数据!$D1689="","",T(原始经营数据!$E1689))</f>
        <v>锦江都城长沙开福五一广场店</v>
      </c>
      <c r="C1688" t="str">
        <f>IF(原始经营数据!$D1689="","",原始经营数据!$F1689)</f>
        <v>2024</v>
      </c>
      <c r="D1688" t="str">
        <f>IF(原始经营数据!$D1689="","",原始经营数据!$H1689)</f>
        <v>平均房价</v>
      </c>
      <c r="E1688">
        <f>IF(原始经营数据!$D1689="","",原始经营数据!$I1689)</f>
        <v>314.36</v>
      </c>
      <c r="F1688" t="str">
        <f>IF(原始经营数据!$D1689="","",T(原始经营数据!$J1689))</f>
        <v>元/间</v>
      </c>
      <c r="G1688" t="str">
        <f>IF(原始经营数据!$D1689="","",T(原始经营数据!$K1689))</f>
        <v/>
      </c>
      <c r="H1688" t="str">
        <f>IF(原始经营数据!$D1689="","",原始经营数据!$G1689)</f>
        <v>服务量</v>
      </c>
      <c r="I1688" t="str">
        <f>IF($A1688="","",IF($B1688&lt;&gt;"",$B1688,IF(COUNTIFS(原始经营数据!$D$3:$D$3001,$A1688,原始经营数据!$E$3:$E$3001,"",原始经营数据!$F$3:$F$3001,$C1688,原始经营数据!$H$3:$H$3001,$D1688,原始经营数据!$K$3:$K$3001,$G1688)&gt;1,"基金整体·来源"&amp;原始经营数据!$A1689,"基金整体")))</f>
        <v>锦江都城长沙开福五一广场店</v>
      </c>
      <c r="J1688" t="str">
        <f t="shared" si="393"/>
        <v>年度</v>
      </c>
      <c r="K1688" t="str">
        <f t="shared" si="394"/>
        <v>平均房价（元/间）</v>
      </c>
      <c r="L1688" t="str">
        <f t="shared" si="395"/>
        <v>锦江都城长沙开福五一广场店|平均房价（元/间）|年度</v>
      </c>
      <c r="M1688">
        <f>IF($A1688="",0,IF(COUNTIF($L$2:$L1688,$L1688)=1,1,0))</f>
        <v>0</v>
      </c>
      <c r="N1688">
        <f t="shared" si="396"/>
        <v>20240</v>
      </c>
      <c r="O1688" t="str">
        <f t="shared" si="397"/>
        <v>华安锦江封闭式商业不动产证券投资基金|2024|年度</v>
      </c>
      <c r="P1688">
        <f>IF($A1688="",0,IF(COUNTIF($O$2:$O1688,$O1688)=1,1,0))</f>
        <v>0</v>
      </c>
      <c r="Q1688" t="str">
        <f>IF(AND($P1688=1,$A1688=经营数据!$B$3,$J1688=经营数据!$BA$5),COUNTIFS($P$2:$P$3000,1,$A$2:$A$3000,$A1688,$J$2:$J$3000,$J1688,$N$2:$N$3000,"&lt;"&amp;$N1688)+1,"")</f>
        <v/>
      </c>
      <c r="R1688" t="str">
        <f t="shared" si="398"/>
        <v>华安锦江封闭式商业不动产证券投资基金|锦江都城长沙开福五一广场店</v>
      </c>
      <c r="S1688">
        <f>IF($A1688="",0,IF(COUNTIF($R$2:$R1688,$R1688)=1,1,0))</f>
        <v>0</v>
      </c>
      <c r="T1688">
        <f t="shared" si="399"/>
        <v>1681</v>
      </c>
      <c r="U1688" t="str">
        <f>IF($A1688="","",IF($A1688=经营数据!$B$3,COUNTIFS($S$2:$S$3000,1,$A$2:$A$3000,$A1688,$T$2:$T$3000,"&lt;"&amp;$T1688)+1,""))</f>
        <v/>
      </c>
      <c r="V1688" t="str">
        <f t="shared" si="400"/>
        <v>锦江都城长沙开福五一广场店|服务量</v>
      </c>
      <c r="W1688">
        <f t="shared" si="401"/>
        <v>1681</v>
      </c>
      <c r="X1688" t="str">
        <f t="shared" si="402"/>
        <v>锦江都城长沙开福五一广场店|平均房价</v>
      </c>
      <c r="Y1688">
        <f t="shared" si="403"/>
        <v>1681</v>
      </c>
      <c r="Z1688">
        <f>IF($A1688="",0,IF(AND($M1688=1,$A1688=经营数据!$B$3,$J1688=经营数据!$BA$5,OR($I1688=经营数据!$BA$4,COUNTIF(经营数据!$AA$9:$AA$38,$I1688)&gt;0)),1,0))</f>
        <v>0</v>
      </c>
      <c r="AA1688" t="str">
        <f t="shared" si="404"/>
        <v/>
      </c>
      <c r="AB1688" t="str">
        <f t="shared" si="405"/>
        <v/>
      </c>
      <c r="AC1688">
        <f>IF($A1688="",0,IF(COUNTIF($A$2:$A1688,$A1688)=1,1,0))</f>
        <v>0</v>
      </c>
      <c r="AD1688">
        <f t="shared" si="406"/>
        <v>18</v>
      </c>
      <c r="AE1688" t="str">
        <f t="shared" si="407"/>
        <v>锦江都城长沙开福五一广场店|平均房价（元/间）</v>
      </c>
    </row>
    <row r="1689" spans="1:31" x14ac:dyDescent="0.4">
      <c r="A1689" t="str">
        <f>IF(原始经营数据!$D1690="","",原始经营数据!$D1690)</f>
        <v>华安锦江封闭式商业不动产证券投资基金</v>
      </c>
      <c r="B1689" t="str">
        <f>IF(原始经营数据!$D1690="","",T(原始经营数据!$E1690))</f>
        <v>锦江都城长沙开福五一广场店</v>
      </c>
      <c r="C1689" t="str">
        <f>IF(原始经营数据!$D1690="","",原始经营数据!$F1690)</f>
        <v>2024</v>
      </c>
      <c r="D1689" t="str">
        <f>IF(原始经营数据!$D1690="","",原始经营数据!$H1690)</f>
        <v>平均入住率</v>
      </c>
      <c r="E1689">
        <f>IF(原始经营数据!$D1690="","",原始经营数据!$I1690)</f>
        <v>68.78</v>
      </c>
      <c r="F1689" t="str">
        <f>IF(原始经营数据!$D1690="","",T(原始经营数据!$J1690))</f>
        <v>%</v>
      </c>
      <c r="G1689" t="str">
        <f>IF(原始经营数据!$D1690="","",T(原始经营数据!$K1690))</f>
        <v/>
      </c>
      <c r="H1689" t="str">
        <f>IF(原始经营数据!$D1690="","",原始经营数据!$G1690)</f>
        <v>服务量</v>
      </c>
      <c r="I1689" t="str">
        <f>IF($A1689="","",IF($B1689&lt;&gt;"",$B1689,IF(COUNTIFS(原始经营数据!$D$3:$D$3001,$A1689,原始经营数据!$E$3:$E$3001,"",原始经营数据!$F$3:$F$3001,$C1689,原始经营数据!$H$3:$H$3001,$D1689,原始经营数据!$K$3:$K$3001,$G1689)&gt;1,"基金整体·来源"&amp;原始经营数据!$A1690,"基金整体")))</f>
        <v>锦江都城长沙开福五一广场店</v>
      </c>
      <c r="J1689" t="str">
        <f t="shared" si="393"/>
        <v>年度</v>
      </c>
      <c r="K1689" t="str">
        <f t="shared" si="394"/>
        <v>平均入住率（%）</v>
      </c>
      <c r="L1689" t="str">
        <f t="shared" si="395"/>
        <v>锦江都城长沙开福五一广场店|平均入住率（%）|年度</v>
      </c>
      <c r="M1689">
        <f>IF($A1689="",0,IF(COUNTIF($L$2:$L1689,$L1689)=1,1,0))</f>
        <v>0</v>
      </c>
      <c r="N1689">
        <f t="shared" si="396"/>
        <v>20240</v>
      </c>
      <c r="O1689" t="str">
        <f t="shared" si="397"/>
        <v>华安锦江封闭式商业不动产证券投资基金|2024|年度</v>
      </c>
      <c r="P1689">
        <f>IF($A1689="",0,IF(COUNTIF($O$2:$O1689,$O1689)=1,1,0))</f>
        <v>0</v>
      </c>
      <c r="Q1689" t="str">
        <f>IF(AND($P1689=1,$A1689=经营数据!$B$3,$J1689=经营数据!$BA$5),COUNTIFS($P$2:$P$3000,1,$A$2:$A$3000,$A1689,$J$2:$J$3000,$J1689,$N$2:$N$3000,"&lt;"&amp;$N1689)+1,"")</f>
        <v/>
      </c>
      <c r="R1689" t="str">
        <f t="shared" si="398"/>
        <v>华安锦江封闭式商业不动产证券投资基金|锦江都城长沙开福五一广场店</v>
      </c>
      <c r="S1689">
        <f>IF($A1689="",0,IF(COUNTIF($R$2:$R1689,$R1689)=1,1,0))</f>
        <v>0</v>
      </c>
      <c r="T1689">
        <f t="shared" si="399"/>
        <v>1681</v>
      </c>
      <c r="U1689" t="str">
        <f>IF($A1689="","",IF($A1689=经营数据!$B$3,COUNTIFS($S$2:$S$3000,1,$A$2:$A$3000,$A1689,$T$2:$T$3000,"&lt;"&amp;$T1689)+1,""))</f>
        <v/>
      </c>
      <c r="V1689" t="str">
        <f t="shared" si="400"/>
        <v>锦江都城长沙开福五一广场店|服务量</v>
      </c>
      <c r="W1689">
        <f t="shared" si="401"/>
        <v>1681</v>
      </c>
      <c r="X1689" t="str">
        <f t="shared" si="402"/>
        <v>锦江都城长沙开福五一广场店|平均入住率</v>
      </c>
      <c r="Y1689">
        <f t="shared" si="403"/>
        <v>1682</v>
      </c>
      <c r="Z1689">
        <f>IF($A1689="",0,IF(AND($M1689=1,$A1689=经营数据!$B$3,$J1689=经营数据!$BA$5,OR($I1689=经营数据!$BA$4,COUNTIF(经营数据!$AA$9:$AA$38,$I1689)&gt;0)),1,0))</f>
        <v>0</v>
      </c>
      <c r="AA1689" t="str">
        <f t="shared" si="404"/>
        <v/>
      </c>
      <c r="AB1689" t="str">
        <f t="shared" si="405"/>
        <v/>
      </c>
      <c r="AC1689">
        <f>IF($A1689="",0,IF(COUNTIF($A$2:$A1689,$A1689)=1,1,0))</f>
        <v>0</v>
      </c>
      <c r="AD1689">
        <f t="shared" si="406"/>
        <v>18</v>
      </c>
      <c r="AE1689" t="str">
        <f t="shared" si="407"/>
        <v>锦江都城长沙开福五一广场店|平均入住率（%）</v>
      </c>
    </row>
    <row r="1690" spans="1:31" x14ac:dyDescent="0.4">
      <c r="A1690" t="str">
        <f>IF(原始经营数据!$D1691="","",原始经营数据!$D1691)</f>
        <v>华安锦江封闭式商业不动产证券投资基金</v>
      </c>
      <c r="B1690" t="str">
        <f>IF(原始经营数据!$D1691="","",T(原始经营数据!$E1691))</f>
        <v>锦江都城长沙开福五一广场店</v>
      </c>
      <c r="C1690" t="str">
        <f>IF(原始经营数据!$D1691="","",原始经营数据!$F1691)</f>
        <v>2024</v>
      </c>
      <c r="D1690" t="str">
        <f>IF(原始经营数据!$D1691="","",原始经营数据!$H1691)</f>
        <v>可供房数</v>
      </c>
      <c r="E1690">
        <f>IF(原始经营数据!$D1691="","",原始经营数据!$I1691)</f>
        <v>5280</v>
      </c>
      <c r="F1690" t="str">
        <f>IF(原始经营数据!$D1691="","",T(原始经营数据!$J1691))</f>
        <v>间</v>
      </c>
      <c r="G1690" t="str">
        <f>IF(原始经营数据!$D1691="","",T(原始经营数据!$K1691))</f>
        <v/>
      </c>
      <c r="H1690" t="str">
        <f>IF(原始经营数据!$D1691="","",原始经营数据!$G1691)</f>
        <v>服务量</v>
      </c>
      <c r="I1690" t="str">
        <f>IF($A1690="","",IF($B1690&lt;&gt;"",$B1690,IF(COUNTIFS(原始经营数据!$D$3:$D$3001,$A1690,原始经营数据!$E$3:$E$3001,"",原始经营数据!$F$3:$F$3001,$C1690,原始经营数据!$H$3:$H$3001,$D1690,原始经营数据!$K$3:$K$3001,$G1690)&gt;1,"基金整体·来源"&amp;原始经营数据!$A1691,"基金整体")))</f>
        <v>锦江都城长沙开福五一广场店</v>
      </c>
      <c r="J1690" t="str">
        <f t="shared" si="393"/>
        <v>年度</v>
      </c>
      <c r="K1690" t="str">
        <f t="shared" si="394"/>
        <v>可供房数（间）</v>
      </c>
      <c r="L1690" t="str">
        <f t="shared" si="395"/>
        <v>锦江都城长沙开福五一广场店|可供房数（间）|年度</v>
      </c>
      <c r="M1690">
        <f>IF($A1690="",0,IF(COUNTIF($L$2:$L1690,$L1690)=1,1,0))</f>
        <v>0</v>
      </c>
      <c r="N1690">
        <f t="shared" si="396"/>
        <v>20240</v>
      </c>
      <c r="O1690" t="str">
        <f t="shared" si="397"/>
        <v>华安锦江封闭式商业不动产证券投资基金|2024|年度</v>
      </c>
      <c r="P1690">
        <f>IF($A1690="",0,IF(COUNTIF($O$2:$O1690,$O1690)=1,1,0))</f>
        <v>0</v>
      </c>
      <c r="Q1690" t="str">
        <f>IF(AND($P1690=1,$A1690=经营数据!$B$3,$J1690=经营数据!$BA$5),COUNTIFS($P$2:$P$3000,1,$A$2:$A$3000,$A1690,$J$2:$J$3000,$J1690,$N$2:$N$3000,"&lt;"&amp;$N1690)+1,"")</f>
        <v/>
      </c>
      <c r="R1690" t="str">
        <f t="shared" si="398"/>
        <v>华安锦江封闭式商业不动产证券投资基金|锦江都城长沙开福五一广场店</v>
      </c>
      <c r="S1690">
        <f>IF($A1690="",0,IF(COUNTIF($R$2:$R1690,$R1690)=1,1,0))</f>
        <v>0</v>
      </c>
      <c r="T1690">
        <f t="shared" si="399"/>
        <v>1681</v>
      </c>
      <c r="U1690" t="str">
        <f>IF($A1690="","",IF($A1690=经营数据!$B$3,COUNTIFS($S$2:$S$3000,1,$A$2:$A$3000,$A1690,$T$2:$T$3000,"&lt;"&amp;$T1690)+1,""))</f>
        <v/>
      </c>
      <c r="V1690" t="str">
        <f t="shared" si="400"/>
        <v>锦江都城长沙开福五一广场店|服务量</v>
      </c>
      <c r="W1690">
        <f t="shared" si="401"/>
        <v>1681</v>
      </c>
      <c r="X1690" t="str">
        <f t="shared" si="402"/>
        <v>锦江都城长沙开福五一广场店|可供房数</v>
      </c>
      <c r="Y1690">
        <f t="shared" si="403"/>
        <v>1683</v>
      </c>
      <c r="Z1690">
        <f>IF($A1690="",0,IF(AND($M1690=1,$A1690=经营数据!$B$3,$J1690=经营数据!$BA$5,OR($I1690=经营数据!$BA$4,COUNTIF(经营数据!$AA$9:$AA$38,$I1690)&gt;0)),1,0))</f>
        <v>0</v>
      </c>
      <c r="AA1690" t="str">
        <f t="shared" si="404"/>
        <v/>
      </c>
      <c r="AB1690" t="str">
        <f t="shared" si="405"/>
        <v/>
      </c>
      <c r="AC1690">
        <f>IF($A1690="",0,IF(COUNTIF($A$2:$A1690,$A1690)=1,1,0))</f>
        <v>0</v>
      </c>
      <c r="AD1690">
        <f t="shared" si="406"/>
        <v>18</v>
      </c>
      <c r="AE1690" t="str">
        <f t="shared" si="407"/>
        <v>锦江都城长沙开福五一广场店|可供房数（间）</v>
      </c>
    </row>
    <row r="1691" spans="1:31" x14ac:dyDescent="0.4">
      <c r="A1691" t="str">
        <f>IF(原始经营数据!$D1692="","",原始经营数据!$D1692)</f>
        <v>华安锦江封闭式商业不动产证券投资基金</v>
      </c>
      <c r="B1691" t="str">
        <f>IF(原始经营数据!$D1692="","",T(原始经营数据!$E1692))</f>
        <v>锦江都城长沙开福五一广场店</v>
      </c>
      <c r="C1691" t="str">
        <f>IF(原始经营数据!$D1692="","",原始经营数据!$F1692)</f>
        <v>2025</v>
      </c>
      <c r="D1691" t="str">
        <f>IF(原始经营数据!$D1692="","",原始经营数据!$H1692)</f>
        <v>平均房价</v>
      </c>
      <c r="E1691">
        <f>IF(原始经营数据!$D1692="","",原始经营数据!$I1692)</f>
        <v>291.58</v>
      </c>
      <c r="F1691" t="str">
        <f>IF(原始经营数据!$D1692="","",T(原始经营数据!$J1692))</f>
        <v>元/间</v>
      </c>
      <c r="G1691" t="str">
        <f>IF(原始经营数据!$D1692="","",T(原始经营数据!$K1692))</f>
        <v/>
      </c>
      <c r="H1691" t="str">
        <f>IF(原始经营数据!$D1692="","",原始经营数据!$G1692)</f>
        <v>服务量</v>
      </c>
      <c r="I1691" t="str">
        <f>IF($A1691="","",IF($B1691&lt;&gt;"",$B1691,IF(COUNTIFS(原始经营数据!$D$3:$D$3001,$A1691,原始经营数据!$E$3:$E$3001,"",原始经营数据!$F$3:$F$3001,$C1691,原始经营数据!$H$3:$H$3001,$D1691,原始经营数据!$K$3:$K$3001,$G1691)&gt;1,"基金整体·来源"&amp;原始经营数据!$A1692,"基金整体")))</f>
        <v>锦江都城长沙开福五一广场店</v>
      </c>
      <c r="J1691" t="str">
        <f t="shared" si="393"/>
        <v>年度</v>
      </c>
      <c r="K1691" t="str">
        <f t="shared" si="394"/>
        <v>平均房价（元/间）</v>
      </c>
      <c r="L1691" t="str">
        <f t="shared" si="395"/>
        <v>锦江都城长沙开福五一广场店|平均房价（元/间）|年度</v>
      </c>
      <c r="M1691">
        <f>IF($A1691="",0,IF(COUNTIF($L$2:$L1691,$L1691)=1,1,0))</f>
        <v>0</v>
      </c>
      <c r="N1691">
        <f t="shared" si="396"/>
        <v>20250</v>
      </c>
      <c r="O1691" t="str">
        <f t="shared" si="397"/>
        <v>华安锦江封闭式商业不动产证券投资基金|2025|年度</v>
      </c>
      <c r="P1691">
        <f>IF($A1691="",0,IF(COUNTIF($O$2:$O1691,$O1691)=1,1,0))</f>
        <v>0</v>
      </c>
      <c r="Q1691" t="str">
        <f>IF(AND($P1691=1,$A1691=经营数据!$B$3,$J1691=经营数据!$BA$5),COUNTIFS($P$2:$P$3000,1,$A$2:$A$3000,$A1691,$J$2:$J$3000,$J1691,$N$2:$N$3000,"&lt;"&amp;$N1691)+1,"")</f>
        <v/>
      </c>
      <c r="R1691" t="str">
        <f t="shared" si="398"/>
        <v>华安锦江封闭式商业不动产证券投资基金|锦江都城长沙开福五一广场店</v>
      </c>
      <c r="S1691">
        <f>IF($A1691="",0,IF(COUNTIF($R$2:$R1691,$R1691)=1,1,0))</f>
        <v>0</v>
      </c>
      <c r="T1691">
        <f t="shared" si="399"/>
        <v>1681</v>
      </c>
      <c r="U1691" t="str">
        <f>IF($A1691="","",IF($A1691=经营数据!$B$3,COUNTIFS($S$2:$S$3000,1,$A$2:$A$3000,$A1691,$T$2:$T$3000,"&lt;"&amp;$T1691)+1,""))</f>
        <v/>
      </c>
      <c r="V1691" t="str">
        <f t="shared" si="400"/>
        <v>锦江都城长沙开福五一广场店|服务量</v>
      </c>
      <c r="W1691">
        <f t="shared" si="401"/>
        <v>1681</v>
      </c>
      <c r="X1691" t="str">
        <f t="shared" si="402"/>
        <v>锦江都城长沙开福五一广场店|平均房价</v>
      </c>
      <c r="Y1691">
        <f t="shared" si="403"/>
        <v>1681</v>
      </c>
      <c r="Z1691">
        <f>IF($A1691="",0,IF(AND($M1691=1,$A1691=经营数据!$B$3,$J1691=经营数据!$BA$5,OR($I1691=经营数据!$BA$4,COUNTIF(经营数据!$AA$9:$AA$38,$I1691)&gt;0)),1,0))</f>
        <v>0</v>
      </c>
      <c r="AA1691" t="str">
        <f t="shared" si="404"/>
        <v/>
      </c>
      <c r="AB1691" t="str">
        <f t="shared" si="405"/>
        <v/>
      </c>
      <c r="AC1691">
        <f>IF($A1691="",0,IF(COUNTIF($A$2:$A1691,$A1691)=1,1,0))</f>
        <v>0</v>
      </c>
      <c r="AD1691">
        <f t="shared" si="406"/>
        <v>18</v>
      </c>
      <c r="AE1691" t="str">
        <f t="shared" si="407"/>
        <v>锦江都城长沙开福五一广场店|平均房价（元/间）</v>
      </c>
    </row>
    <row r="1692" spans="1:31" x14ac:dyDescent="0.4">
      <c r="A1692" t="str">
        <f>IF(原始经营数据!$D1693="","",原始经营数据!$D1693)</f>
        <v>华安锦江封闭式商业不动产证券投资基金</v>
      </c>
      <c r="B1692" t="str">
        <f>IF(原始经营数据!$D1693="","",T(原始经营数据!$E1693))</f>
        <v>锦江都城长沙开福五一广场店</v>
      </c>
      <c r="C1692" t="str">
        <f>IF(原始经营数据!$D1693="","",原始经营数据!$F1693)</f>
        <v>2025</v>
      </c>
      <c r="D1692" t="str">
        <f>IF(原始经营数据!$D1693="","",原始经营数据!$H1693)</f>
        <v>可供房数</v>
      </c>
      <c r="E1692">
        <f>IF(原始经营数据!$D1693="","",原始经营数据!$I1693)</f>
        <v>50154</v>
      </c>
      <c r="F1692" t="str">
        <f>IF(原始经营数据!$D1693="","",T(原始经营数据!$J1693))</f>
        <v>间</v>
      </c>
      <c r="G1692" t="str">
        <f>IF(原始经营数据!$D1693="","",T(原始经营数据!$K1693))</f>
        <v/>
      </c>
      <c r="H1692" t="str">
        <f>IF(原始经营数据!$D1693="","",原始经营数据!$G1693)</f>
        <v>服务量</v>
      </c>
      <c r="I1692" t="str">
        <f>IF($A1692="","",IF($B1692&lt;&gt;"",$B1692,IF(COUNTIFS(原始经营数据!$D$3:$D$3001,$A1692,原始经营数据!$E$3:$E$3001,"",原始经营数据!$F$3:$F$3001,$C1692,原始经营数据!$H$3:$H$3001,$D1692,原始经营数据!$K$3:$K$3001,$G1692)&gt;1,"基金整体·来源"&amp;原始经营数据!$A1693,"基金整体")))</f>
        <v>锦江都城长沙开福五一广场店</v>
      </c>
      <c r="J1692" t="str">
        <f t="shared" si="393"/>
        <v>年度</v>
      </c>
      <c r="K1692" t="str">
        <f t="shared" si="394"/>
        <v>可供房数（间）</v>
      </c>
      <c r="L1692" t="str">
        <f t="shared" si="395"/>
        <v>锦江都城长沙开福五一广场店|可供房数（间）|年度</v>
      </c>
      <c r="M1692">
        <f>IF($A1692="",0,IF(COUNTIF($L$2:$L1692,$L1692)=1,1,0))</f>
        <v>0</v>
      </c>
      <c r="N1692">
        <f t="shared" si="396"/>
        <v>20250</v>
      </c>
      <c r="O1692" t="str">
        <f t="shared" si="397"/>
        <v>华安锦江封闭式商业不动产证券投资基金|2025|年度</v>
      </c>
      <c r="P1692">
        <f>IF($A1692="",0,IF(COUNTIF($O$2:$O1692,$O1692)=1,1,0))</f>
        <v>0</v>
      </c>
      <c r="Q1692" t="str">
        <f>IF(AND($P1692=1,$A1692=经营数据!$B$3,$J1692=经营数据!$BA$5),COUNTIFS($P$2:$P$3000,1,$A$2:$A$3000,$A1692,$J$2:$J$3000,$J1692,$N$2:$N$3000,"&lt;"&amp;$N1692)+1,"")</f>
        <v/>
      </c>
      <c r="R1692" t="str">
        <f t="shared" si="398"/>
        <v>华安锦江封闭式商业不动产证券投资基金|锦江都城长沙开福五一广场店</v>
      </c>
      <c r="S1692">
        <f>IF($A1692="",0,IF(COUNTIF($R$2:$R1692,$R1692)=1,1,0))</f>
        <v>0</v>
      </c>
      <c r="T1692">
        <f t="shared" si="399"/>
        <v>1681</v>
      </c>
      <c r="U1692" t="str">
        <f>IF($A1692="","",IF($A1692=经营数据!$B$3,COUNTIFS($S$2:$S$3000,1,$A$2:$A$3000,$A1692,$T$2:$T$3000,"&lt;"&amp;$T1692)+1,""))</f>
        <v/>
      </c>
      <c r="V1692" t="str">
        <f t="shared" si="400"/>
        <v>锦江都城长沙开福五一广场店|服务量</v>
      </c>
      <c r="W1692">
        <f t="shared" si="401"/>
        <v>1681</v>
      </c>
      <c r="X1692" t="str">
        <f t="shared" si="402"/>
        <v>锦江都城长沙开福五一广场店|可供房数</v>
      </c>
      <c r="Y1692">
        <f t="shared" si="403"/>
        <v>1683</v>
      </c>
      <c r="Z1692">
        <f>IF($A1692="",0,IF(AND($M1692=1,$A1692=经营数据!$B$3,$J1692=经营数据!$BA$5,OR($I1692=经营数据!$BA$4,COUNTIF(经营数据!$AA$9:$AA$38,$I1692)&gt;0)),1,0))</f>
        <v>0</v>
      </c>
      <c r="AA1692" t="str">
        <f t="shared" si="404"/>
        <v/>
      </c>
      <c r="AB1692" t="str">
        <f t="shared" si="405"/>
        <v/>
      </c>
      <c r="AC1692">
        <f>IF($A1692="",0,IF(COUNTIF($A$2:$A1692,$A1692)=1,1,0))</f>
        <v>0</v>
      </c>
      <c r="AD1692">
        <f t="shared" si="406"/>
        <v>18</v>
      </c>
      <c r="AE1692" t="str">
        <f t="shared" si="407"/>
        <v>锦江都城长沙开福五一广场店|可供房数（间）</v>
      </c>
    </row>
    <row r="1693" spans="1:31" x14ac:dyDescent="0.4">
      <c r="A1693" t="str">
        <f>IF(原始经营数据!$D1694="","",原始经营数据!$D1694)</f>
        <v>华安锦江封闭式商业不动产证券投资基金</v>
      </c>
      <c r="B1693" t="str">
        <f>IF(原始经营数据!$D1694="","",T(原始经营数据!$E1694))</f>
        <v>锦江都城长沙开福五一广场店</v>
      </c>
      <c r="C1693" t="str">
        <f>IF(原始经营数据!$D1694="","",原始经营数据!$F1694)</f>
        <v>2025</v>
      </c>
      <c r="D1693" t="str">
        <f>IF(原始经营数据!$D1694="","",原始经营数据!$H1694)</f>
        <v>平均入住率</v>
      </c>
      <c r="E1693">
        <f>IF(原始经营数据!$D1694="","",原始经营数据!$I1694)</f>
        <v>64.709999999999994</v>
      </c>
      <c r="F1693" t="str">
        <f>IF(原始经营数据!$D1694="","",T(原始经营数据!$J1694))</f>
        <v>%</v>
      </c>
      <c r="G1693" t="str">
        <f>IF(原始经营数据!$D1694="","",T(原始经营数据!$K1694))</f>
        <v/>
      </c>
      <c r="H1693" t="str">
        <f>IF(原始经营数据!$D1694="","",原始经营数据!$G1694)</f>
        <v>服务量</v>
      </c>
      <c r="I1693" t="str">
        <f>IF($A1693="","",IF($B1693&lt;&gt;"",$B1693,IF(COUNTIFS(原始经营数据!$D$3:$D$3001,$A1693,原始经营数据!$E$3:$E$3001,"",原始经营数据!$F$3:$F$3001,$C1693,原始经营数据!$H$3:$H$3001,$D1693,原始经营数据!$K$3:$K$3001,$G1693)&gt;1,"基金整体·来源"&amp;原始经营数据!$A1694,"基金整体")))</f>
        <v>锦江都城长沙开福五一广场店</v>
      </c>
      <c r="J1693" t="str">
        <f t="shared" si="393"/>
        <v>年度</v>
      </c>
      <c r="K1693" t="str">
        <f t="shared" si="394"/>
        <v>平均入住率（%）</v>
      </c>
      <c r="L1693" t="str">
        <f t="shared" si="395"/>
        <v>锦江都城长沙开福五一广场店|平均入住率（%）|年度</v>
      </c>
      <c r="M1693">
        <f>IF($A1693="",0,IF(COUNTIF($L$2:$L1693,$L1693)=1,1,0))</f>
        <v>0</v>
      </c>
      <c r="N1693">
        <f t="shared" si="396"/>
        <v>20250</v>
      </c>
      <c r="O1693" t="str">
        <f t="shared" si="397"/>
        <v>华安锦江封闭式商业不动产证券投资基金|2025|年度</v>
      </c>
      <c r="P1693">
        <f>IF($A1693="",0,IF(COUNTIF($O$2:$O1693,$O1693)=1,1,0))</f>
        <v>0</v>
      </c>
      <c r="Q1693" t="str">
        <f>IF(AND($P1693=1,$A1693=经营数据!$B$3,$J1693=经营数据!$BA$5),COUNTIFS($P$2:$P$3000,1,$A$2:$A$3000,$A1693,$J$2:$J$3000,$J1693,$N$2:$N$3000,"&lt;"&amp;$N1693)+1,"")</f>
        <v/>
      </c>
      <c r="R1693" t="str">
        <f t="shared" si="398"/>
        <v>华安锦江封闭式商业不动产证券投资基金|锦江都城长沙开福五一广场店</v>
      </c>
      <c r="S1693">
        <f>IF($A1693="",0,IF(COUNTIF($R$2:$R1693,$R1693)=1,1,0))</f>
        <v>0</v>
      </c>
      <c r="T1693">
        <f t="shared" si="399"/>
        <v>1681</v>
      </c>
      <c r="U1693" t="str">
        <f>IF($A1693="","",IF($A1693=经营数据!$B$3,COUNTIFS($S$2:$S$3000,1,$A$2:$A$3000,$A1693,$T$2:$T$3000,"&lt;"&amp;$T1693)+1,""))</f>
        <v/>
      </c>
      <c r="V1693" t="str">
        <f t="shared" si="400"/>
        <v>锦江都城长沙开福五一广场店|服务量</v>
      </c>
      <c r="W1693">
        <f t="shared" si="401"/>
        <v>1681</v>
      </c>
      <c r="X1693" t="str">
        <f t="shared" si="402"/>
        <v>锦江都城长沙开福五一广场店|平均入住率</v>
      </c>
      <c r="Y1693">
        <f t="shared" si="403"/>
        <v>1682</v>
      </c>
      <c r="Z1693">
        <f>IF($A1693="",0,IF(AND($M1693=1,$A1693=经营数据!$B$3,$J1693=经营数据!$BA$5,OR($I1693=经营数据!$BA$4,COUNTIF(经营数据!$AA$9:$AA$38,$I1693)&gt;0)),1,0))</f>
        <v>0</v>
      </c>
      <c r="AA1693" t="str">
        <f t="shared" si="404"/>
        <v/>
      </c>
      <c r="AB1693" t="str">
        <f t="shared" si="405"/>
        <v/>
      </c>
      <c r="AC1693">
        <f>IF($A1693="",0,IF(COUNTIF($A$2:$A1693,$A1693)=1,1,0))</f>
        <v>0</v>
      </c>
      <c r="AD1693">
        <f t="shared" si="406"/>
        <v>18</v>
      </c>
      <c r="AE1693" t="str">
        <f t="shared" si="407"/>
        <v>锦江都城长沙开福五一广场店|平均入住率（%）</v>
      </c>
    </row>
    <row r="1694" spans="1:31" x14ac:dyDescent="0.4">
      <c r="A1694" t="str">
        <f>IF(原始经营数据!$D1695="","",原始经营数据!$D1695)</f>
        <v>华夏保利发展封闭式商业不动产证券投资基金</v>
      </c>
      <c r="B1694" t="str">
        <f>IF(原始经营数据!$D1695="","",T(原始经营数据!$E1695))</f>
        <v>佛山保利水城项目</v>
      </c>
      <c r="C1694" t="str">
        <f>IF(原始经营数据!$D1695="","",原始经营数据!$F1695)</f>
        <v>2022</v>
      </c>
      <c r="D1694" t="str">
        <f>IF(原始经营数据!$D1695="","",原始经营数据!$H1695)</f>
        <v>租金收入</v>
      </c>
      <c r="E1694">
        <f>IF(原始经营数据!$D1695="","",原始经营数据!$I1695)</f>
        <v>5550.28</v>
      </c>
      <c r="F1694" t="str">
        <f>IF(原始经营数据!$D1695="","",T(原始经营数据!$J1695))</f>
        <v>万元</v>
      </c>
      <c r="G1694" t="str">
        <f>IF(原始经营数据!$D1695="","",T(原始经营数据!$K1695))</f>
        <v/>
      </c>
      <c r="H1694" t="str">
        <f>IF(原始经营数据!$D1695="","",原始经营数据!$G1695)</f>
        <v>服务金额</v>
      </c>
      <c r="I1694" t="str">
        <f>IF($A1694="","",IF($B1694&lt;&gt;"",$B1694,IF(COUNTIFS(原始经营数据!$D$3:$D$3001,$A1694,原始经营数据!$E$3:$E$3001,"",原始经营数据!$F$3:$F$3001,$C1694,原始经营数据!$H$3:$H$3001,$D1694,原始经营数据!$K$3:$K$3001,$G1694)&gt;1,"基金整体·来源"&amp;原始经营数据!$A1695,"基金整体")))</f>
        <v>佛山保利水城项目</v>
      </c>
      <c r="J1694" t="str">
        <f t="shared" si="393"/>
        <v>年度</v>
      </c>
      <c r="K1694" t="str">
        <f t="shared" si="394"/>
        <v>租金收入（万元）</v>
      </c>
      <c r="L1694" t="str">
        <f t="shared" si="395"/>
        <v>佛山保利水城项目|租金收入（万元）|年度</v>
      </c>
      <c r="M1694">
        <f>IF($A1694="",0,IF(COUNTIF($L$2:$L1694,$L1694)=1,1,0))</f>
        <v>1</v>
      </c>
      <c r="N1694">
        <f t="shared" si="396"/>
        <v>20220</v>
      </c>
      <c r="O1694" t="str">
        <f t="shared" si="397"/>
        <v>华夏保利发展封闭式商业不动产证券投资基金|2022|年度</v>
      </c>
      <c r="P1694">
        <f>IF($A1694="",0,IF(COUNTIF($O$2:$O1694,$O1694)=1,1,0))</f>
        <v>1</v>
      </c>
      <c r="Q1694" t="str">
        <f>IF(AND($P1694=1,$A1694=经营数据!$B$3,$J1694=经营数据!$BA$5),COUNTIFS($P$2:$P$3000,1,$A$2:$A$3000,$A1694,$J$2:$J$3000,$J1694,$N$2:$N$3000,"&lt;"&amp;$N1694)+1,"")</f>
        <v/>
      </c>
      <c r="R1694" t="str">
        <f t="shared" si="398"/>
        <v>华夏保利发展封闭式商业不动产证券投资基金|佛山保利水城项目</v>
      </c>
      <c r="S1694">
        <f>IF($A1694="",0,IF(COUNTIF($R$2:$R1694,$R1694)=1,1,0))</f>
        <v>1</v>
      </c>
      <c r="T1694">
        <f t="shared" si="399"/>
        <v>1693</v>
      </c>
      <c r="U1694" t="str">
        <f>IF($A1694="","",IF($A1694=经营数据!$B$3,COUNTIFS($S$2:$S$3000,1,$A$2:$A$3000,$A1694,$T$2:$T$3000,"&lt;"&amp;$T1694)+1,""))</f>
        <v/>
      </c>
      <c r="V1694" t="str">
        <f t="shared" si="400"/>
        <v>佛山保利水城项目|服务金额</v>
      </c>
      <c r="W1694">
        <f t="shared" si="401"/>
        <v>1693</v>
      </c>
      <c r="X1694" t="str">
        <f t="shared" si="402"/>
        <v>佛山保利水城项目|租金收入</v>
      </c>
      <c r="Y1694">
        <f t="shared" si="403"/>
        <v>1693</v>
      </c>
      <c r="Z1694">
        <f>IF($A1694="",0,IF(AND($M1694=1,$A1694=经营数据!$B$3,$J1694=经营数据!$BA$5,OR($I1694=经营数据!$BA$4,COUNTIF(经营数据!$AA$9:$AA$38,$I1694)&gt;0)),1,0))</f>
        <v>0</v>
      </c>
      <c r="AA1694" t="str">
        <f t="shared" si="404"/>
        <v/>
      </c>
      <c r="AB1694" t="str">
        <f t="shared" si="405"/>
        <v/>
      </c>
      <c r="AC1694">
        <f>IF($A1694="",0,IF(COUNTIF($A$2:$A1694,$A1694)=1,1,0))</f>
        <v>1</v>
      </c>
      <c r="AD1694">
        <f t="shared" si="406"/>
        <v>19</v>
      </c>
      <c r="AE1694" t="str">
        <f t="shared" si="407"/>
        <v>佛山保利水城项目|租金收入（万元）</v>
      </c>
    </row>
    <row r="1695" spans="1:31" x14ac:dyDescent="0.4">
      <c r="A1695" t="str">
        <f>IF(原始经营数据!$D1696="","",原始经营数据!$D1696)</f>
        <v>华夏保利发展封闭式商业不动产证券投资基金</v>
      </c>
      <c r="B1695" t="str">
        <f>IF(原始经营数据!$D1696="","",T(原始经营数据!$E1696))</f>
        <v>佛山保利水城项目</v>
      </c>
      <c r="C1695" t="str">
        <f>IF(原始经营数据!$D1696="","",原始经营数据!$F1696)</f>
        <v>2022</v>
      </c>
      <c r="D1695" t="str">
        <f>IF(原始经营数据!$D1696="","",原始经营数据!$H1696)</f>
        <v>出租率</v>
      </c>
      <c r="E1695">
        <f>IF(原始经营数据!$D1696="","",原始经营数据!$I1696)</f>
        <v>90.09</v>
      </c>
      <c r="F1695" t="str">
        <f>IF(原始经营数据!$D1696="","",T(原始经营数据!$J1696))</f>
        <v>%</v>
      </c>
      <c r="G1695" t="str">
        <f>IF(原始经营数据!$D1696="","",T(原始经营数据!$K1696))</f>
        <v/>
      </c>
      <c r="H1695" t="str">
        <f>IF(原始经营数据!$D1696="","",原始经营数据!$G1696)</f>
        <v>服务效率</v>
      </c>
      <c r="I1695" t="str">
        <f>IF($A1695="","",IF($B1695&lt;&gt;"",$B1695,IF(COUNTIFS(原始经营数据!$D$3:$D$3001,$A1695,原始经营数据!$E$3:$E$3001,"",原始经营数据!$F$3:$F$3001,$C1695,原始经营数据!$H$3:$H$3001,$D1695,原始经营数据!$K$3:$K$3001,$G1695)&gt;1,"基金整体·来源"&amp;原始经营数据!$A1696,"基金整体")))</f>
        <v>佛山保利水城项目</v>
      </c>
      <c r="J1695" t="str">
        <f t="shared" si="393"/>
        <v>年度</v>
      </c>
      <c r="K1695" t="str">
        <f t="shared" si="394"/>
        <v>出租率（%）</v>
      </c>
      <c r="L1695" t="str">
        <f t="shared" si="395"/>
        <v>佛山保利水城项目|出租率（%）|年度</v>
      </c>
      <c r="M1695">
        <f>IF($A1695="",0,IF(COUNTIF($L$2:$L1695,$L1695)=1,1,0))</f>
        <v>1</v>
      </c>
      <c r="N1695">
        <f t="shared" si="396"/>
        <v>20220</v>
      </c>
      <c r="O1695" t="str">
        <f t="shared" si="397"/>
        <v>华夏保利发展封闭式商业不动产证券投资基金|2022|年度</v>
      </c>
      <c r="P1695">
        <f>IF($A1695="",0,IF(COUNTIF($O$2:$O1695,$O1695)=1,1,0))</f>
        <v>0</v>
      </c>
      <c r="Q1695" t="str">
        <f>IF(AND($P1695=1,$A1695=经营数据!$B$3,$J1695=经营数据!$BA$5),COUNTIFS($P$2:$P$3000,1,$A$2:$A$3000,$A1695,$J$2:$J$3000,$J1695,$N$2:$N$3000,"&lt;"&amp;$N1695)+1,"")</f>
        <v/>
      </c>
      <c r="R1695" t="str">
        <f t="shared" si="398"/>
        <v>华夏保利发展封闭式商业不动产证券投资基金|佛山保利水城项目</v>
      </c>
      <c r="S1695">
        <f>IF($A1695="",0,IF(COUNTIF($R$2:$R1695,$R1695)=1,1,0))</f>
        <v>0</v>
      </c>
      <c r="T1695">
        <f t="shared" si="399"/>
        <v>1693</v>
      </c>
      <c r="U1695" t="str">
        <f>IF($A1695="","",IF($A1695=经营数据!$B$3,COUNTIFS($S$2:$S$3000,1,$A$2:$A$3000,$A1695,$T$2:$T$3000,"&lt;"&amp;$T1695)+1,""))</f>
        <v/>
      </c>
      <c r="V1695" t="str">
        <f t="shared" si="400"/>
        <v>佛山保利水城项目|服务效率</v>
      </c>
      <c r="W1695">
        <f t="shared" si="401"/>
        <v>1694</v>
      </c>
      <c r="X1695" t="str">
        <f t="shared" si="402"/>
        <v>佛山保利水城项目|出租率</v>
      </c>
      <c r="Y1695">
        <f t="shared" si="403"/>
        <v>1694</v>
      </c>
      <c r="Z1695">
        <f>IF($A1695="",0,IF(AND($M1695=1,$A1695=经营数据!$B$3,$J1695=经营数据!$BA$5,OR($I1695=经营数据!$BA$4,COUNTIF(经营数据!$AA$9:$AA$38,$I1695)&gt;0)),1,0))</f>
        <v>0</v>
      </c>
      <c r="AA1695" t="str">
        <f t="shared" si="404"/>
        <v/>
      </c>
      <c r="AB1695" t="str">
        <f t="shared" si="405"/>
        <v/>
      </c>
      <c r="AC1695">
        <f>IF($A1695="",0,IF(COUNTIF($A$2:$A1695,$A1695)=1,1,0))</f>
        <v>0</v>
      </c>
      <c r="AD1695">
        <f t="shared" si="406"/>
        <v>19</v>
      </c>
      <c r="AE1695" t="str">
        <f t="shared" si="407"/>
        <v>佛山保利水城项目|出租率（%）</v>
      </c>
    </row>
    <row r="1696" spans="1:31" x14ac:dyDescent="0.4">
      <c r="A1696" t="str">
        <f>IF(原始经营数据!$D1697="","",原始经营数据!$D1697)</f>
        <v>华夏保利发展封闭式商业不动产证券投资基金</v>
      </c>
      <c r="B1696" t="str">
        <f>IF(原始经营数据!$D1697="","",T(原始经营数据!$E1697))</f>
        <v>佛山保利水城项目</v>
      </c>
      <c r="C1696" t="str">
        <f>IF(原始经营数据!$D1697="","",原始经营数据!$F1697)</f>
        <v>2022</v>
      </c>
      <c r="D1696" t="str">
        <f>IF(原始经营数据!$D1697="","",原始经营数据!$H1697)</f>
        <v>加权平均出租率</v>
      </c>
      <c r="E1696">
        <f>IF(原始经营数据!$D1697="","",原始经营数据!$I1697)</f>
        <v>82.36</v>
      </c>
      <c r="F1696" t="str">
        <f>IF(原始经营数据!$D1697="","",T(原始经营数据!$J1697))</f>
        <v>%</v>
      </c>
      <c r="G1696" t="str">
        <f>IF(原始经营数据!$D1697="","",T(原始经营数据!$K1697))</f>
        <v/>
      </c>
      <c r="H1696" t="str">
        <f>IF(原始经营数据!$D1697="","",原始经营数据!$G1697)</f>
        <v>服务效率</v>
      </c>
      <c r="I1696" t="str">
        <f>IF($A1696="","",IF($B1696&lt;&gt;"",$B1696,IF(COUNTIFS(原始经营数据!$D$3:$D$3001,$A1696,原始经营数据!$E$3:$E$3001,"",原始经营数据!$F$3:$F$3001,$C1696,原始经营数据!$H$3:$H$3001,$D1696,原始经营数据!$K$3:$K$3001,$G1696)&gt;1,"基金整体·来源"&amp;原始经营数据!$A1697,"基金整体")))</f>
        <v>佛山保利水城项目</v>
      </c>
      <c r="J1696" t="str">
        <f t="shared" si="393"/>
        <v>年度</v>
      </c>
      <c r="K1696" t="str">
        <f t="shared" si="394"/>
        <v>加权平均出租率（%）</v>
      </c>
      <c r="L1696" t="str">
        <f t="shared" si="395"/>
        <v>佛山保利水城项目|加权平均出租率（%）|年度</v>
      </c>
      <c r="M1696">
        <f>IF($A1696="",0,IF(COUNTIF($L$2:$L1696,$L1696)=1,1,0))</f>
        <v>1</v>
      </c>
      <c r="N1696">
        <f t="shared" si="396"/>
        <v>20220</v>
      </c>
      <c r="O1696" t="str">
        <f t="shared" si="397"/>
        <v>华夏保利发展封闭式商业不动产证券投资基金|2022|年度</v>
      </c>
      <c r="P1696">
        <f>IF($A1696="",0,IF(COUNTIF($O$2:$O1696,$O1696)=1,1,0))</f>
        <v>0</v>
      </c>
      <c r="Q1696" t="str">
        <f>IF(AND($P1696=1,$A1696=经营数据!$B$3,$J1696=经营数据!$BA$5),COUNTIFS($P$2:$P$3000,1,$A$2:$A$3000,$A1696,$J$2:$J$3000,$J1696,$N$2:$N$3000,"&lt;"&amp;$N1696)+1,"")</f>
        <v/>
      </c>
      <c r="R1696" t="str">
        <f t="shared" si="398"/>
        <v>华夏保利发展封闭式商业不动产证券投资基金|佛山保利水城项目</v>
      </c>
      <c r="S1696">
        <f>IF($A1696="",0,IF(COUNTIF($R$2:$R1696,$R1696)=1,1,0))</f>
        <v>0</v>
      </c>
      <c r="T1696">
        <f t="shared" si="399"/>
        <v>1693</v>
      </c>
      <c r="U1696" t="str">
        <f>IF($A1696="","",IF($A1696=经营数据!$B$3,COUNTIFS($S$2:$S$3000,1,$A$2:$A$3000,$A1696,$T$2:$T$3000,"&lt;"&amp;$T1696)+1,""))</f>
        <v/>
      </c>
      <c r="V1696" t="str">
        <f t="shared" si="400"/>
        <v>佛山保利水城项目|服务效率</v>
      </c>
      <c r="W1696">
        <f t="shared" si="401"/>
        <v>1694</v>
      </c>
      <c r="X1696" t="str">
        <f t="shared" si="402"/>
        <v>佛山保利水城项目|加权平均出租率</v>
      </c>
      <c r="Y1696">
        <f t="shared" si="403"/>
        <v>1695</v>
      </c>
      <c r="Z1696">
        <f>IF($A1696="",0,IF(AND($M1696=1,$A1696=经营数据!$B$3,$J1696=经营数据!$BA$5,OR($I1696=经营数据!$BA$4,COUNTIF(经营数据!$AA$9:$AA$38,$I1696)&gt;0)),1,0))</f>
        <v>0</v>
      </c>
      <c r="AA1696" t="str">
        <f t="shared" si="404"/>
        <v/>
      </c>
      <c r="AB1696" t="str">
        <f t="shared" si="405"/>
        <v/>
      </c>
      <c r="AC1696">
        <f>IF($A1696="",0,IF(COUNTIF($A$2:$A1696,$A1696)=1,1,0))</f>
        <v>0</v>
      </c>
      <c r="AD1696">
        <f t="shared" si="406"/>
        <v>19</v>
      </c>
      <c r="AE1696" t="str">
        <f t="shared" si="407"/>
        <v>佛山保利水城项目|加权平均出租率（%）</v>
      </c>
    </row>
    <row r="1697" spans="1:31" x14ac:dyDescent="0.4">
      <c r="A1697" t="str">
        <f>IF(原始经营数据!$D1698="","",原始经营数据!$D1698)</f>
        <v>华夏保利发展封闭式商业不动产证券投资基金</v>
      </c>
      <c r="B1697" t="str">
        <f>IF(原始经营数据!$D1698="","",T(原始经营数据!$E1698))</f>
        <v>佛山保利水城项目</v>
      </c>
      <c r="C1697" t="str">
        <f>IF(原始经营数据!$D1698="","",原始经营数据!$F1698)</f>
        <v>2022</v>
      </c>
      <c r="D1697" t="str">
        <f>IF(原始经营数据!$D1698="","",原始经营数据!$H1698)</f>
        <v>客流量</v>
      </c>
      <c r="E1697">
        <f>IF(原始经营数据!$D1698="","",原始经营数据!$I1698)</f>
        <v>3.24</v>
      </c>
      <c r="F1697" t="str">
        <f>IF(原始经营数据!$D1698="","",T(原始经营数据!$J1698))</f>
        <v>万人/日</v>
      </c>
      <c r="G1697" t="str">
        <f>IF(原始经营数据!$D1698="","",T(原始经营数据!$K1698))</f>
        <v/>
      </c>
      <c r="H1697" t="str">
        <f>IF(原始经营数据!$D1698="","",原始经营数据!$G1698)</f>
        <v>服务量</v>
      </c>
      <c r="I1697" t="str">
        <f>IF($A1697="","",IF($B1697&lt;&gt;"",$B1697,IF(COUNTIFS(原始经营数据!$D$3:$D$3001,$A1697,原始经营数据!$E$3:$E$3001,"",原始经营数据!$F$3:$F$3001,$C1697,原始经营数据!$H$3:$H$3001,$D1697,原始经营数据!$K$3:$K$3001,$G1697)&gt;1,"基金整体·来源"&amp;原始经营数据!$A1698,"基金整体")))</f>
        <v>佛山保利水城项目</v>
      </c>
      <c r="J1697" t="str">
        <f t="shared" si="393"/>
        <v>年度</v>
      </c>
      <c r="K1697" t="str">
        <f t="shared" si="394"/>
        <v>客流量（万人/日）</v>
      </c>
      <c r="L1697" t="str">
        <f t="shared" si="395"/>
        <v>佛山保利水城项目|客流量（万人/日）|年度</v>
      </c>
      <c r="M1697">
        <f>IF($A1697="",0,IF(COUNTIF($L$2:$L1697,$L1697)=1,1,0))</f>
        <v>1</v>
      </c>
      <c r="N1697">
        <f t="shared" si="396"/>
        <v>20220</v>
      </c>
      <c r="O1697" t="str">
        <f t="shared" si="397"/>
        <v>华夏保利发展封闭式商业不动产证券投资基金|2022|年度</v>
      </c>
      <c r="P1697">
        <f>IF($A1697="",0,IF(COUNTIF($O$2:$O1697,$O1697)=1,1,0))</f>
        <v>0</v>
      </c>
      <c r="Q1697" t="str">
        <f>IF(AND($P1697=1,$A1697=经营数据!$B$3,$J1697=经营数据!$BA$5),COUNTIFS($P$2:$P$3000,1,$A$2:$A$3000,$A1697,$J$2:$J$3000,$J1697,$N$2:$N$3000,"&lt;"&amp;$N1697)+1,"")</f>
        <v/>
      </c>
      <c r="R1697" t="str">
        <f t="shared" si="398"/>
        <v>华夏保利发展封闭式商业不动产证券投资基金|佛山保利水城项目</v>
      </c>
      <c r="S1697">
        <f>IF($A1697="",0,IF(COUNTIF($R$2:$R1697,$R1697)=1,1,0))</f>
        <v>0</v>
      </c>
      <c r="T1697">
        <f t="shared" si="399"/>
        <v>1693</v>
      </c>
      <c r="U1697" t="str">
        <f>IF($A1697="","",IF($A1697=经营数据!$B$3,COUNTIFS($S$2:$S$3000,1,$A$2:$A$3000,$A1697,$T$2:$T$3000,"&lt;"&amp;$T1697)+1,""))</f>
        <v/>
      </c>
      <c r="V1697" t="str">
        <f t="shared" si="400"/>
        <v>佛山保利水城项目|服务量</v>
      </c>
      <c r="W1697">
        <f t="shared" si="401"/>
        <v>1696</v>
      </c>
      <c r="X1697" t="str">
        <f t="shared" si="402"/>
        <v>佛山保利水城项目|客流量</v>
      </c>
      <c r="Y1697">
        <f t="shared" si="403"/>
        <v>1696</v>
      </c>
      <c r="Z1697">
        <f>IF($A1697="",0,IF(AND($M1697=1,$A1697=经营数据!$B$3,$J1697=经营数据!$BA$5,OR($I1697=经营数据!$BA$4,COUNTIF(经营数据!$AA$9:$AA$38,$I1697)&gt;0)),1,0))</f>
        <v>0</v>
      </c>
      <c r="AA1697" t="str">
        <f t="shared" si="404"/>
        <v/>
      </c>
      <c r="AB1697" t="str">
        <f t="shared" si="405"/>
        <v/>
      </c>
      <c r="AC1697">
        <f>IF($A1697="",0,IF(COUNTIF($A$2:$A1697,$A1697)=1,1,0))</f>
        <v>0</v>
      </c>
      <c r="AD1697">
        <f t="shared" si="406"/>
        <v>19</v>
      </c>
      <c r="AE1697" t="str">
        <f t="shared" si="407"/>
        <v>佛山保利水城项目|客流量（万人/日）</v>
      </c>
    </row>
    <row r="1698" spans="1:31" x14ac:dyDescent="0.4">
      <c r="A1698" t="str">
        <f>IF(原始经营数据!$D1699="","",原始经营数据!$D1699)</f>
        <v>华夏保利发展封闭式商业不动产证券投资基金</v>
      </c>
      <c r="B1698" t="str">
        <f>IF(原始经营数据!$D1699="","",T(原始经营数据!$E1699))</f>
        <v>佛山保利水城项目</v>
      </c>
      <c r="C1698" t="str">
        <f>IF(原始经营数据!$D1699="","",原始经营数据!$F1699)</f>
        <v>2023</v>
      </c>
      <c r="D1698" t="str">
        <f>IF(原始经营数据!$D1699="","",原始经营数据!$H1699)</f>
        <v>租金收入</v>
      </c>
      <c r="E1698">
        <f>IF(原始经营数据!$D1699="","",原始经营数据!$I1699)</f>
        <v>7530.85</v>
      </c>
      <c r="F1698" t="str">
        <f>IF(原始经营数据!$D1699="","",T(原始经营数据!$J1699))</f>
        <v>万元</v>
      </c>
      <c r="G1698" t="str">
        <f>IF(原始经营数据!$D1699="","",T(原始经营数据!$K1699))</f>
        <v/>
      </c>
      <c r="H1698" t="str">
        <f>IF(原始经营数据!$D1699="","",原始经营数据!$G1699)</f>
        <v>服务金额</v>
      </c>
      <c r="I1698" t="str">
        <f>IF($A1698="","",IF($B1698&lt;&gt;"",$B1698,IF(COUNTIFS(原始经营数据!$D$3:$D$3001,$A1698,原始经营数据!$E$3:$E$3001,"",原始经营数据!$F$3:$F$3001,$C1698,原始经营数据!$H$3:$H$3001,$D1698,原始经营数据!$K$3:$K$3001,$G1698)&gt;1,"基金整体·来源"&amp;原始经营数据!$A1699,"基金整体")))</f>
        <v>佛山保利水城项目</v>
      </c>
      <c r="J1698" t="str">
        <f t="shared" si="393"/>
        <v>年度</v>
      </c>
      <c r="K1698" t="str">
        <f t="shared" si="394"/>
        <v>租金收入（万元）</v>
      </c>
      <c r="L1698" t="str">
        <f t="shared" si="395"/>
        <v>佛山保利水城项目|租金收入（万元）|年度</v>
      </c>
      <c r="M1698">
        <f>IF($A1698="",0,IF(COUNTIF($L$2:$L1698,$L1698)=1,1,0))</f>
        <v>0</v>
      </c>
      <c r="N1698">
        <f t="shared" si="396"/>
        <v>20230</v>
      </c>
      <c r="O1698" t="str">
        <f t="shared" si="397"/>
        <v>华夏保利发展封闭式商业不动产证券投资基金|2023|年度</v>
      </c>
      <c r="P1698">
        <f>IF($A1698="",0,IF(COUNTIF($O$2:$O1698,$O1698)=1,1,0))</f>
        <v>1</v>
      </c>
      <c r="Q1698" t="str">
        <f>IF(AND($P1698=1,$A1698=经营数据!$B$3,$J1698=经营数据!$BA$5),COUNTIFS($P$2:$P$3000,1,$A$2:$A$3000,$A1698,$J$2:$J$3000,$J1698,$N$2:$N$3000,"&lt;"&amp;$N1698)+1,"")</f>
        <v/>
      </c>
      <c r="R1698" t="str">
        <f t="shared" si="398"/>
        <v>华夏保利发展封闭式商业不动产证券投资基金|佛山保利水城项目</v>
      </c>
      <c r="S1698">
        <f>IF($A1698="",0,IF(COUNTIF($R$2:$R1698,$R1698)=1,1,0))</f>
        <v>0</v>
      </c>
      <c r="T1698">
        <f t="shared" si="399"/>
        <v>1693</v>
      </c>
      <c r="U1698" t="str">
        <f>IF($A1698="","",IF($A1698=经营数据!$B$3,COUNTIFS($S$2:$S$3000,1,$A$2:$A$3000,$A1698,$T$2:$T$3000,"&lt;"&amp;$T1698)+1,""))</f>
        <v/>
      </c>
      <c r="V1698" t="str">
        <f t="shared" si="400"/>
        <v>佛山保利水城项目|服务金额</v>
      </c>
      <c r="W1698">
        <f t="shared" si="401"/>
        <v>1693</v>
      </c>
      <c r="X1698" t="str">
        <f t="shared" si="402"/>
        <v>佛山保利水城项目|租金收入</v>
      </c>
      <c r="Y1698">
        <f t="shared" si="403"/>
        <v>1693</v>
      </c>
      <c r="Z1698">
        <f>IF($A1698="",0,IF(AND($M1698=1,$A1698=经营数据!$B$3,$J1698=经营数据!$BA$5,OR($I1698=经营数据!$BA$4,COUNTIF(经营数据!$AA$9:$AA$38,$I1698)&gt;0)),1,0))</f>
        <v>0</v>
      </c>
      <c r="AA1698" t="str">
        <f t="shared" si="404"/>
        <v/>
      </c>
      <c r="AB1698" t="str">
        <f t="shared" si="405"/>
        <v/>
      </c>
      <c r="AC1698">
        <f>IF($A1698="",0,IF(COUNTIF($A$2:$A1698,$A1698)=1,1,0))</f>
        <v>0</v>
      </c>
      <c r="AD1698">
        <f t="shared" si="406"/>
        <v>19</v>
      </c>
      <c r="AE1698" t="str">
        <f t="shared" si="407"/>
        <v>佛山保利水城项目|租金收入（万元）</v>
      </c>
    </row>
    <row r="1699" spans="1:31" x14ac:dyDescent="0.4">
      <c r="A1699" t="str">
        <f>IF(原始经营数据!$D1700="","",原始经营数据!$D1700)</f>
        <v>华夏保利发展封闭式商业不动产证券投资基金</v>
      </c>
      <c r="B1699" t="str">
        <f>IF(原始经营数据!$D1700="","",T(原始经营数据!$E1700))</f>
        <v>佛山保利水城项目</v>
      </c>
      <c r="C1699" t="str">
        <f>IF(原始经营数据!$D1700="","",原始经营数据!$F1700)</f>
        <v>2023</v>
      </c>
      <c r="D1699" t="str">
        <f>IF(原始经营数据!$D1700="","",原始经营数据!$H1700)</f>
        <v>出租率</v>
      </c>
      <c r="E1699">
        <f>IF(原始经营数据!$D1700="","",原始经营数据!$I1700)</f>
        <v>92.85</v>
      </c>
      <c r="F1699" t="str">
        <f>IF(原始经营数据!$D1700="","",T(原始经营数据!$J1700))</f>
        <v>%</v>
      </c>
      <c r="G1699" t="str">
        <f>IF(原始经营数据!$D1700="","",T(原始经营数据!$K1700))</f>
        <v/>
      </c>
      <c r="H1699" t="str">
        <f>IF(原始经营数据!$D1700="","",原始经营数据!$G1700)</f>
        <v>服务效率</v>
      </c>
      <c r="I1699" t="str">
        <f>IF($A1699="","",IF($B1699&lt;&gt;"",$B1699,IF(COUNTIFS(原始经营数据!$D$3:$D$3001,$A1699,原始经营数据!$E$3:$E$3001,"",原始经营数据!$F$3:$F$3001,$C1699,原始经营数据!$H$3:$H$3001,$D1699,原始经营数据!$K$3:$K$3001,$G1699)&gt;1,"基金整体·来源"&amp;原始经营数据!$A1700,"基金整体")))</f>
        <v>佛山保利水城项目</v>
      </c>
      <c r="J1699" t="str">
        <f t="shared" si="393"/>
        <v>年度</v>
      </c>
      <c r="K1699" t="str">
        <f t="shared" si="394"/>
        <v>出租率（%）</v>
      </c>
      <c r="L1699" t="str">
        <f t="shared" si="395"/>
        <v>佛山保利水城项目|出租率（%）|年度</v>
      </c>
      <c r="M1699">
        <f>IF($A1699="",0,IF(COUNTIF($L$2:$L1699,$L1699)=1,1,0))</f>
        <v>0</v>
      </c>
      <c r="N1699">
        <f t="shared" si="396"/>
        <v>20230</v>
      </c>
      <c r="O1699" t="str">
        <f t="shared" si="397"/>
        <v>华夏保利发展封闭式商业不动产证券投资基金|2023|年度</v>
      </c>
      <c r="P1699">
        <f>IF($A1699="",0,IF(COUNTIF($O$2:$O1699,$O1699)=1,1,0))</f>
        <v>0</v>
      </c>
      <c r="Q1699" t="str">
        <f>IF(AND($P1699=1,$A1699=经营数据!$B$3,$J1699=经营数据!$BA$5),COUNTIFS($P$2:$P$3000,1,$A$2:$A$3000,$A1699,$J$2:$J$3000,$J1699,$N$2:$N$3000,"&lt;"&amp;$N1699)+1,"")</f>
        <v/>
      </c>
      <c r="R1699" t="str">
        <f t="shared" si="398"/>
        <v>华夏保利发展封闭式商业不动产证券投资基金|佛山保利水城项目</v>
      </c>
      <c r="S1699">
        <f>IF($A1699="",0,IF(COUNTIF($R$2:$R1699,$R1699)=1,1,0))</f>
        <v>0</v>
      </c>
      <c r="T1699">
        <f t="shared" si="399"/>
        <v>1693</v>
      </c>
      <c r="U1699" t="str">
        <f>IF($A1699="","",IF($A1699=经营数据!$B$3,COUNTIFS($S$2:$S$3000,1,$A$2:$A$3000,$A1699,$T$2:$T$3000,"&lt;"&amp;$T1699)+1,""))</f>
        <v/>
      </c>
      <c r="V1699" t="str">
        <f t="shared" si="400"/>
        <v>佛山保利水城项目|服务效率</v>
      </c>
      <c r="W1699">
        <f t="shared" si="401"/>
        <v>1694</v>
      </c>
      <c r="X1699" t="str">
        <f t="shared" si="402"/>
        <v>佛山保利水城项目|出租率</v>
      </c>
      <c r="Y1699">
        <f t="shared" si="403"/>
        <v>1694</v>
      </c>
      <c r="Z1699">
        <f>IF($A1699="",0,IF(AND($M1699=1,$A1699=经营数据!$B$3,$J1699=经营数据!$BA$5,OR($I1699=经营数据!$BA$4,COUNTIF(经营数据!$AA$9:$AA$38,$I1699)&gt;0)),1,0))</f>
        <v>0</v>
      </c>
      <c r="AA1699" t="str">
        <f t="shared" si="404"/>
        <v/>
      </c>
      <c r="AB1699" t="str">
        <f t="shared" si="405"/>
        <v/>
      </c>
      <c r="AC1699">
        <f>IF($A1699="",0,IF(COUNTIF($A$2:$A1699,$A1699)=1,1,0))</f>
        <v>0</v>
      </c>
      <c r="AD1699">
        <f t="shared" si="406"/>
        <v>19</v>
      </c>
      <c r="AE1699" t="str">
        <f t="shared" si="407"/>
        <v>佛山保利水城项目|出租率（%）</v>
      </c>
    </row>
    <row r="1700" spans="1:31" x14ac:dyDescent="0.4">
      <c r="A1700" t="str">
        <f>IF(原始经营数据!$D1701="","",原始经营数据!$D1701)</f>
        <v>华夏保利发展封闭式商业不动产证券投资基金</v>
      </c>
      <c r="B1700" t="str">
        <f>IF(原始经营数据!$D1701="","",T(原始经营数据!$E1701))</f>
        <v>佛山保利水城项目</v>
      </c>
      <c r="C1700" t="str">
        <f>IF(原始经营数据!$D1701="","",原始经营数据!$F1701)</f>
        <v>2023</v>
      </c>
      <c r="D1700" t="str">
        <f>IF(原始经营数据!$D1701="","",原始经营数据!$H1701)</f>
        <v>加权平均出租率</v>
      </c>
      <c r="E1700">
        <f>IF(原始经营数据!$D1701="","",原始经营数据!$I1701)</f>
        <v>88.7</v>
      </c>
      <c r="F1700" t="str">
        <f>IF(原始经营数据!$D1701="","",T(原始经营数据!$J1701))</f>
        <v>%</v>
      </c>
      <c r="G1700" t="str">
        <f>IF(原始经营数据!$D1701="","",T(原始经营数据!$K1701))</f>
        <v/>
      </c>
      <c r="H1700" t="str">
        <f>IF(原始经营数据!$D1701="","",原始经营数据!$G1701)</f>
        <v>服务效率</v>
      </c>
      <c r="I1700" t="str">
        <f>IF($A1700="","",IF($B1700&lt;&gt;"",$B1700,IF(COUNTIFS(原始经营数据!$D$3:$D$3001,$A1700,原始经营数据!$E$3:$E$3001,"",原始经营数据!$F$3:$F$3001,$C1700,原始经营数据!$H$3:$H$3001,$D1700,原始经营数据!$K$3:$K$3001,$G1700)&gt;1,"基金整体·来源"&amp;原始经营数据!$A1701,"基金整体")))</f>
        <v>佛山保利水城项目</v>
      </c>
      <c r="J1700" t="str">
        <f t="shared" si="393"/>
        <v>年度</v>
      </c>
      <c r="K1700" t="str">
        <f t="shared" si="394"/>
        <v>加权平均出租率（%）</v>
      </c>
      <c r="L1700" t="str">
        <f t="shared" si="395"/>
        <v>佛山保利水城项目|加权平均出租率（%）|年度</v>
      </c>
      <c r="M1700">
        <f>IF($A1700="",0,IF(COUNTIF($L$2:$L1700,$L1700)=1,1,0))</f>
        <v>0</v>
      </c>
      <c r="N1700">
        <f t="shared" si="396"/>
        <v>20230</v>
      </c>
      <c r="O1700" t="str">
        <f t="shared" si="397"/>
        <v>华夏保利发展封闭式商业不动产证券投资基金|2023|年度</v>
      </c>
      <c r="P1700">
        <f>IF($A1700="",0,IF(COUNTIF($O$2:$O1700,$O1700)=1,1,0))</f>
        <v>0</v>
      </c>
      <c r="Q1700" t="str">
        <f>IF(AND($P1700=1,$A1700=经营数据!$B$3,$J1700=经营数据!$BA$5),COUNTIFS($P$2:$P$3000,1,$A$2:$A$3000,$A1700,$J$2:$J$3000,$J1700,$N$2:$N$3000,"&lt;"&amp;$N1700)+1,"")</f>
        <v/>
      </c>
      <c r="R1700" t="str">
        <f t="shared" si="398"/>
        <v>华夏保利发展封闭式商业不动产证券投资基金|佛山保利水城项目</v>
      </c>
      <c r="S1700">
        <f>IF($A1700="",0,IF(COUNTIF($R$2:$R1700,$R1700)=1,1,0))</f>
        <v>0</v>
      </c>
      <c r="T1700">
        <f t="shared" si="399"/>
        <v>1693</v>
      </c>
      <c r="U1700" t="str">
        <f>IF($A1700="","",IF($A1700=经营数据!$B$3,COUNTIFS($S$2:$S$3000,1,$A$2:$A$3000,$A1700,$T$2:$T$3000,"&lt;"&amp;$T1700)+1,""))</f>
        <v/>
      </c>
      <c r="V1700" t="str">
        <f t="shared" si="400"/>
        <v>佛山保利水城项目|服务效率</v>
      </c>
      <c r="W1700">
        <f t="shared" si="401"/>
        <v>1694</v>
      </c>
      <c r="X1700" t="str">
        <f t="shared" si="402"/>
        <v>佛山保利水城项目|加权平均出租率</v>
      </c>
      <c r="Y1700">
        <f t="shared" si="403"/>
        <v>1695</v>
      </c>
      <c r="Z1700">
        <f>IF($A1700="",0,IF(AND($M1700=1,$A1700=经营数据!$B$3,$J1700=经营数据!$BA$5,OR($I1700=经营数据!$BA$4,COUNTIF(经营数据!$AA$9:$AA$38,$I1700)&gt;0)),1,0))</f>
        <v>0</v>
      </c>
      <c r="AA1700" t="str">
        <f t="shared" si="404"/>
        <v/>
      </c>
      <c r="AB1700" t="str">
        <f t="shared" si="405"/>
        <v/>
      </c>
      <c r="AC1700">
        <f>IF($A1700="",0,IF(COUNTIF($A$2:$A1700,$A1700)=1,1,0))</f>
        <v>0</v>
      </c>
      <c r="AD1700">
        <f t="shared" si="406"/>
        <v>19</v>
      </c>
      <c r="AE1700" t="str">
        <f t="shared" si="407"/>
        <v>佛山保利水城项目|加权平均出租率（%）</v>
      </c>
    </row>
    <row r="1701" spans="1:31" x14ac:dyDescent="0.4">
      <c r="A1701" t="str">
        <f>IF(原始经营数据!$D1702="","",原始经营数据!$D1702)</f>
        <v>华夏保利发展封闭式商业不动产证券投资基金</v>
      </c>
      <c r="B1701" t="str">
        <f>IF(原始经营数据!$D1702="","",T(原始经营数据!$E1702))</f>
        <v>佛山保利水城项目</v>
      </c>
      <c r="C1701" t="str">
        <f>IF(原始经营数据!$D1702="","",原始经营数据!$F1702)</f>
        <v>2023</v>
      </c>
      <c r="D1701" t="str">
        <f>IF(原始经营数据!$D1702="","",原始经营数据!$H1702)</f>
        <v>客流量</v>
      </c>
      <c r="E1701">
        <f>IF(原始经营数据!$D1702="","",原始经营数据!$I1702)</f>
        <v>3.71</v>
      </c>
      <c r="F1701" t="str">
        <f>IF(原始经营数据!$D1702="","",T(原始经营数据!$J1702))</f>
        <v>万人/日</v>
      </c>
      <c r="G1701" t="str">
        <f>IF(原始经营数据!$D1702="","",T(原始经营数据!$K1702))</f>
        <v/>
      </c>
      <c r="H1701" t="str">
        <f>IF(原始经营数据!$D1702="","",原始经营数据!$G1702)</f>
        <v>服务量</v>
      </c>
      <c r="I1701" t="str">
        <f>IF($A1701="","",IF($B1701&lt;&gt;"",$B1701,IF(COUNTIFS(原始经营数据!$D$3:$D$3001,$A1701,原始经营数据!$E$3:$E$3001,"",原始经营数据!$F$3:$F$3001,$C1701,原始经营数据!$H$3:$H$3001,$D1701,原始经营数据!$K$3:$K$3001,$G1701)&gt;1,"基金整体·来源"&amp;原始经营数据!$A1702,"基金整体")))</f>
        <v>佛山保利水城项目</v>
      </c>
      <c r="J1701" t="str">
        <f t="shared" si="393"/>
        <v>年度</v>
      </c>
      <c r="K1701" t="str">
        <f t="shared" si="394"/>
        <v>客流量（万人/日）</v>
      </c>
      <c r="L1701" t="str">
        <f t="shared" si="395"/>
        <v>佛山保利水城项目|客流量（万人/日）|年度</v>
      </c>
      <c r="M1701">
        <f>IF($A1701="",0,IF(COUNTIF($L$2:$L1701,$L1701)=1,1,0))</f>
        <v>0</v>
      </c>
      <c r="N1701">
        <f t="shared" si="396"/>
        <v>20230</v>
      </c>
      <c r="O1701" t="str">
        <f t="shared" si="397"/>
        <v>华夏保利发展封闭式商业不动产证券投资基金|2023|年度</v>
      </c>
      <c r="P1701">
        <f>IF($A1701="",0,IF(COUNTIF($O$2:$O1701,$O1701)=1,1,0))</f>
        <v>0</v>
      </c>
      <c r="Q1701" t="str">
        <f>IF(AND($P1701=1,$A1701=经营数据!$B$3,$J1701=经营数据!$BA$5),COUNTIFS($P$2:$P$3000,1,$A$2:$A$3000,$A1701,$J$2:$J$3000,$J1701,$N$2:$N$3000,"&lt;"&amp;$N1701)+1,"")</f>
        <v/>
      </c>
      <c r="R1701" t="str">
        <f t="shared" si="398"/>
        <v>华夏保利发展封闭式商业不动产证券投资基金|佛山保利水城项目</v>
      </c>
      <c r="S1701">
        <f>IF($A1701="",0,IF(COUNTIF($R$2:$R1701,$R1701)=1,1,0))</f>
        <v>0</v>
      </c>
      <c r="T1701">
        <f t="shared" si="399"/>
        <v>1693</v>
      </c>
      <c r="U1701" t="str">
        <f>IF($A1701="","",IF($A1701=经营数据!$B$3,COUNTIFS($S$2:$S$3000,1,$A$2:$A$3000,$A1701,$T$2:$T$3000,"&lt;"&amp;$T1701)+1,""))</f>
        <v/>
      </c>
      <c r="V1701" t="str">
        <f t="shared" si="400"/>
        <v>佛山保利水城项目|服务量</v>
      </c>
      <c r="W1701">
        <f t="shared" si="401"/>
        <v>1696</v>
      </c>
      <c r="X1701" t="str">
        <f t="shared" si="402"/>
        <v>佛山保利水城项目|客流量</v>
      </c>
      <c r="Y1701">
        <f t="shared" si="403"/>
        <v>1696</v>
      </c>
      <c r="Z1701">
        <f>IF($A1701="",0,IF(AND($M1701=1,$A1701=经营数据!$B$3,$J1701=经营数据!$BA$5,OR($I1701=经营数据!$BA$4,COUNTIF(经营数据!$AA$9:$AA$38,$I1701)&gt;0)),1,0))</f>
        <v>0</v>
      </c>
      <c r="AA1701" t="str">
        <f t="shared" si="404"/>
        <v/>
      </c>
      <c r="AB1701" t="str">
        <f t="shared" si="405"/>
        <v/>
      </c>
      <c r="AC1701">
        <f>IF($A1701="",0,IF(COUNTIF($A$2:$A1701,$A1701)=1,1,0))</f>
        <v>0</v>
      </c>
      <c r="AD1701">
        <f t="shared" si="406"/>
        <v>19</v>
      </c>
      <c r="AE1701" t="str">
        <f t="shared" si="407"/>
        <v>佛山保利水城项目|客流量（万人/日）</v>
      </c>
    </row>
    <row r="1702" spans="1:31" x14ac:dyDescent="0.4">
      <c r="A1702" t="str">
        <f>IF(原始经营数据!$D1703="","",原始经营数据!$D1703)</f>
        <v>华夏保利发展封闭式商业不动产证券投资基金</v>
      </c>
      <c r="B1702" t="str">
        <f>IF(原始经营数据!$D1703="","",T(原始经营数据!$E1703))</f>
        <v>佛山保利水城项目</v>
      </c>
      <c r="C1702" t="str">
        <f>IF(原始经营数据!$D1703="","",原始经营数据!$F1703)</f>
        <v>2024</v>
      </c>
      <c r="D1702" t="str">
        <f>IF(原始经营数据!$D1703="","",原始经营数据!$H1703)</f>
        <v>客流量</v>
      </c>
      <c r="E1702">
        <f>IF(原始经营数据!$D1703="","",原始经营数据!$I1703)</f>
        <v>3.85</v>
      </c>
      <c r="F1702" t="str">
        <f>IF(原始经营数据!$D1703="","",T(原始经营数据!$J1703))</f>
        <v>万人/日</v>
      </c>
      <c r="G1702" t="str">
        <f>IF(原始经营数据!$D1703="","",T(原始经营数据!$K1703))</f>
        <v/>
      </c>
      <c r="H1702" t="str">
        <f>IF(原始经营数据!$D1703="","",原始经营数据!$G1703)</f>
        <v>服务量</v>
      </c>
      <c r="I1702" t="str">
        <f>IF($A1702="","",IF($B1702&lt;&gt;"",$B1702,IF(COUNTIFS(原始经营数据!$D$3:$D$3001,$A1702,原始经营数据!$E$3:$E$3001,"",原始经营数据!$F$3:$F$3001,$C1702,原始经营数据!$H$3:$H$3001,$D1702,原始经营数据!$K$3:$K$3001,$G1702)&gt;1,"基金整体·来源"&amp;原始经营数据!$A1703,"基金整体")))</f>
        <v>佛山保利水城项目</v>
      </c>
      <c r="J1702" t="str">
        <f t="shared" si="393"/>
        <v>年度</v>
      </c>
      <c r="K1702" t="str">
        <f t="shared" si="394"/>
        <v>客流量（万人/日）</v>
      </c>
      <c r="L1702" t="str">
        <f t="shared" si="395"/>
        <v>佛山保利水城项目|客流量（万人/日）|年度</v>
      </c>
      <c r="M1702">
        <f>IF($A1702="",0,IF(COUNTIF($L$2:$L1702,$L1702)=1,1,0))</f>
        <v>0</v>
      </c>
      <c r="N1702">
        <f t="shared" si="396"/>
        <v>20240</v>
      </c>
      <c r="O1702" t="str">
        <f t="shared" si="397"/>
        <v>华夏保利发展封闭式商业不动产证券投资基金|2024|年度</v>
      </c>
      <c r="P1702">
        <f>IF($A1702="",0,IF(COUNTIF($O$2:$O1702,$O1702)=1,1,0))</f>
        <v>1</v>
      </c>
      <c r="Q1702" t="str">
        <f>IF(AND($P1702=1,$A1702=经营数据!$B$3,$J1702=经营数据!$BA$5),COUNTIFS($P$2:$P$3000,1,$A$2:$A$3000,$A1702,$J$2:$J$3000,$J1702,$N$2:$N$3000,"&lt;"&amp;$N1702)+1,"")</f>
        <v/>
      </c>
      <c r="R1702" t="str">
        <f t="shared" si="398"/>
        <v>华夏保利发展封闭式商业不动产证券投资基金|佛山保利水城项目</v>
      </c>
      <c r="S1702">
        <f>IF($A1702="",0,IF(COUNTIF($R$2:$R1702,$R1702)=1,1,0))</f>
        <v>0</v>
      </c>
      <c r="T1702">
        <f t="shared" si="399"/>
        <v>1693</v>
      </c>
      <c r="U1702" t="str">
        <f>IF($A1702="","",IF($A1702=经营数据!$B$3,COUNTIFS($S$2:$S$3000,1,$A$2:$A$3000,$A1702,$T$2:$T$3000,"&lt;"&amp;$T1702)+1,""))</f>
        <v/>
      </c>
      <c r="V1702" t="str">
        <f t="shared" si="400"/>
        <v>佛山保利水城项目|服务量</v>
      </c>
      <c r="W1702">
        <f t="shared" si="401"/>
        <v>1696</v>
      </c>
      <c r="X1702" t="str">
        <f t="shared" si="402"/>
        <v>佛山保利水城项目|客流量</v>
      </c>
      <c r="Y1702">
        <f t="shared" si="403"/>
        <v>1696</v>
      </c>
      <c r="Z1702">
        <f>IF($A1702="",0,IF(AND($M1702=1,$A1702=经营数据!$B$3,$J1702=经营数据!$BA$5,OR($I1702=经营数据!$BA$4,COUNTIF(经营数据!$AA$9:$AA$38,$I1702)&gt;0)),1,0))</f>
        <v>0</v>
      </c>
      <c r="AA1702" t="str">
        <f t="shared" si="404"/>
        <v/>
      </c>
      <c r="AB1702" t="str">
        <f t="shared" si="405"/>
        <v/>
      </c>
      <c r="AC1702">
        <f>IF($A1702="",0,IF(COUNTIF($A$2:$A1702,$A1702)=1,1,0))</f>
        <v>0</v>
      </c>
      <c r="AD1702">
        <f t="shared" si="406"/>
        <v>19</v>
      </c>
      <c r="AE1702" t="str">
        <f t="shared" si="407"/>
        <v>佛山保利水城项目|客流量（万人/日）</v>
      </c>
    </row>
    <row r="1703" spans="1:31" x14ac:dyDescent="0.4">
      <c r="A1703" t="str">
        <f>IF(原始经营数据!$D1704="","",原始经营数据!$D1704)</f>
        <v>华夏保利发展封闭式商业不动产证券投资基金</v>
      </c>
      <c r="B1703" t="str">
        <f>IF(原始经营数据!$D1704="","",T(原始经营数据!$E1704))</f>
        <v>佛山保利水城项目</v>
      </c>
      <c r="C1703" t="str">
        <f>IF(原始经营数据!$D1704="","",原始经营数据!$F1704)</f>
        <v>2024</v>
      </c>
      <c r="D1703" t="str">
        <f>IF(原始经营数据!$D1704="","",原始经营数据!$H1704)</f>
        <v>加权平均出租率</v>
      </c>
      <c r="E1703">
        <f>IF(原始经营数据!$D1704="","",原始经营数据!$I1704)</f>
        <v>90.09</v>
      </c>
      <c r="F1703" t="str">
        <f>IF(原始经营数据!$D1704="","",T(原始经营数据!$J1704))</f>
        <v>%</v>
      </c>
      <c r="G1703" t="str">
        <f>IF(原始经营数据!$D1704="","",T(原始经营数据!$K1704))</f>
        <v/>
      </c>
      <c r="H1703" t="str">
        <f>IF(原始经营数据!$D1704="","",原始经营数据!$G1704)</f>
        <v>服务效率</v>
      </c>
      <c r="I1703" t="str">
        <f>IF($A1703="","",IF($B1703&lt;&gt;"",$B1703,IF(COUNTIFS(原始经营数据!$D$3:$D$3001,$A1703,原始经营数据!$E$3:$E$3001,"",原始经营数据!$F$3:$F$3001,$C1703,原始经营数据!$H$3:$H$3001,$D1703,原始经营数据!$K$3:$K$3001,$G1703)&gt;1,"基金整体·来源"&amp;原始经营数据!$A1704,"基金整体")))</f>
        <v>佛山保利水城项目</v>
      </c>
      <c r="J1703" t="str">
        <f t="shared" si="393"/>
        <v>年度</v>
      </c>
      <c r="K1703" t="str">
        <f t="shared" si="394"/>
        <v>加权平均出租率（%）</v>
      </c>
      <c r="L1703" t="str">
        <f t="shared" si="395"/>
        <v>佛山保利水城项目|加权平均出租率（%）|年度</v>
      </c>
      <c r="M1703">
        <f>IF($A1703="",0,IF(COUNTIF($L$2:$L1703,$L1703)=1,1,0))</f>
        <v>0</v>
      </c>
      <c r="N1703">
        <f t="shared" si="396"/>
        <v>20240</v>
      </c>
      <c r="O1703" t="str">
        <f t="shared" si="397"/>
        <v>华夏保利发展封闭式商业不动产证券投资基金|2024|年度</v>
      </c>
      <c r="P1703">
        <f>IF($A1703="",0,IF(COUNTIF($O$2:$O1703,$O1703)=1,1,0))</f>
        <v>0</v>
      </c>
      <c r="Q1703" t="str">
        <f>IF(AND($P1703=1,$A1703=经营数据!$B$3,$J1703=经营数据!$BA$5),COUNTIFS($P$2:$P$3000,1,$A$2:$A$3000,$A1703,$J$2:$J$3000,$J1703,$N$2:$N$3000,"&lt;"&amp;$N1703)+1,"")</f>
        <v/>
      </c>
      <c r="R1703" t="str">
        <f t="shared" si="398"/>
        <v>华夏保利发展封闭式商业不动产证券投资基金|佛山保利水城项目</v>
      </c>
      <c r="S1703">
        <f>IF($A1703="",0,IF(COUNTIF($R$2:$R1703,$R1703)=1,1,0))</f>
        <v>0</v>
      </c>
      <c r="T1703">
        <f t="shared" si="399"/>
        <v>1693</v>
      </c>
      <c r="U1703" t="str">
        <f>IF($A1703="","",IF($A1703=经营数据!$B$3,COUNTIFS($S$2:$S$3000,1,$A$2:$A$3000,$A1703,$T$2:$T$3000,"&lt;"&amp;$T1703)+1,""))</f>
        <v/>
      </c>
      <c r="V1703" t="str">
        <f t="shared" si="400"/>
        <v>佛山保利水城项目|服务效率</v>
      </c>
      <c r="W1703">
        <f t="shared" si="401"/>
        <v>1694</v>
      </c>
      <c r="X1703" t="str">
        <f t="shared" si="402"/>
        <v>佛山保利水城项目|加权平均出租率</v>
      </c>
      <c r="Y1703">
        <f t="shared" si="403"/>
        <v>1695</v>
      </c>
      <c r="Z1703">
        <f>IF($A1703="",0,IF(AND($M1703=1,$A1703=经营数据!$B$3,$J1703=经营数据!$BA$5,OR($I1703=经营数据!$BA$4,COUNTIF(经营数据!$AA$9:$AA$38,$I1703)&gt;0)),1,0))</f>
        <v>0</v>
      </c>
      <c r="AA1703" t="str">
        <f t="shared" si="404"/>
        <v/>
      </c>
      <c r="AB1703" t="str">
        <f t="shared" si="405"/>
        <v/>
      </c>
      <c r="AC1703">
        <f>IF($A1703="",0,IF(COUNTIF($A$2:$A1703,$A1703)=1,1,0))</f>
        <v>0</v>
      </c>
      <c r="AD1703">
        <f t="shared" si="406"/>
        <v>19</v>
      </c>
      <c r="AE1703" t="str">
        <f t="shared" si="407"/>
        <v>佛山保利水城项目|加权平均出租率（%）</v>
      </c>
    </row>
    <row r="1704" spans="1:31" x14ac:dyDescent="0.4">
      <c r="A1704" t="str">
        <f>IF(原始经营数据!$D1705="","",原始经营数据!$D1705)</f>
        <v>华夏保利发展封闭式商业不动产证券投资基金</v>
      </c>
      <c r="B1704" t="str">
        <f>IF(原始经营数据!$D1705="","",T(原始经营数据!$E1705))</f>
        <v>佛山保利水城项目</v>
      </c>
      <c r="C1704" t="str">
        <f>IF(原始经营数据!$D1705="","",原始经营数据!$F1705)</f>
        <v>2024</v>
      </c>
      <c r="D1704" t="str">
        <f>IF(原始经营数据!$D1705="","",原始经营数据!$H1705)</f>
        <v>出租率</v>
      </c>
      <c r="E1704">
        <f>IF(原始经营数据!$D1705="","",原始经营数据!$I1705)</f>
        <v>95.7</v>
      </c>
      <c r="F1704" t="str">
        <f>IF(原始经营数据!$D1705="","",T(原始经营数据!$J1705))</f>
        <v>%</v>
      </c>
      <c r="G1704" t="str">
        <f>IF(原始经营数据!$D1705="","",T(原始经营数据!$K1705))</f>
        <v/>
      </c>
      <c r="H1704" t="str">
        <f>IF(原始经营数据!$D1705="","",原始经营数据!$G1705)</f>
        <v>服务效率</v>
      </c>
      <c r="I1704" t="str">
        <f>IF($A1704="","",IF($B1704&lt;&gt;"",$B1704,IF(COUNTIFS(原始经营数据!$D$3:$D$3001,$A1704,原始经营数据!$E$3:$E$3001,"",原始经营数据!$F$3:$F$3001,$C1704,原始经营数据!$H$3:$H$3001,$D1704,原始经营数据!$K$3:$K$3001,$G1704)&gt;1,"基金整体·来源"&amp;原始经营数据!$A1705,"基金整体")))</f>
        <v>佛山保利水城项目</v>
      </c>
      <c r="J1704" t="str">
        <f t="shared" si="393"/>
        <v>年度</v>
      </c>
      <c r="K1704" t="str">
        <f t="shared" si="394"/>
        <v>出租率（%）</v>
      </c>
      <c r="L1704" t="str">
        <f t="shared" si="395"/>
        <v>佛山保利水城项目|出租率（%）|年度</v>
      </c>
      <c r="M1704">
        <f>IF($A1704="",0,IF(COUNTIF($L$2:$L1704,$L1704)=1,1,0))</f>
        <v>0</v>
      </c>
      <c r="N1704">
        <f t="shared" si="396"/>
        <v>20240</v>
      </c>
      <c r="O1704" t="str">
        <f t="shared" si="397"/>
        <v>华夏保利发展封闭式商业不动产证券投资基金|2024|年度</v>
      </c>
      <c r="P1704">
        <f>IF($A1704="",0,IF(COUNTIF($O$2:$O1704,$O1704)=1,1,0))</f>
        <v>0</v>
      </c>
      <c r="Q1704" t="str">
        <f>IF(AND($P1704=1,$A1704=经营数据!$B$3,$J1704=经营数据!$BA$5),COUNTIFS($P$2:$P$3000,1,$A$2:$A$3000,$A1704,$J$2:$J$3000,$J1704,$N$2:$N$3000,"&lt;"&amp;$N1704)+1,"")</f>
        <v/>
      </c>
      <c r="R1704" t="str">
        <f t="shared" si="398"/>
        <v>华夏保利发展封闭式商业不动产证券投资基金|佛山保利水城项目</v>
      </c>
      <c r="S1704">
        <f>IF($A1704="",0,IF(COUNTIF($R$2:$R1704,$R1704)=1,1,0))</f>
        <v>0</v>
      </c>
      <c r="T1704">
        <f t="shared" si="399"/>
        <v>1693</v>
      </c>
      <c r="U1704" t="str">
        <f>IF($A1704="","",IF($A1704=经营数据!$B$3,COUNTIFS($S$2:$S$3000,1,$A$2:$A$3000,$A1704,$T$2:$T$3000,"&lt;"&amp;$T1704)+1,""))</f>
        <v/>
      </c>
      <c r="V1704" t="str">
        <f t="shared" si="400"/>
        <v>佛山保利水城项目|服务效率</v>
      </c>
      <c r="W1704">
        <f t="shared" si="401"/>
        <v>1694</v>
      </c>
      <c r="X1704" t="str">
        <f t="shared" si="402"/>
        <v>佛山保利水城项目|出租率</v>
      </c>
      <c r="Y1704">
        <f t="shared" si="403"/>
        <v>1694</v>
      </c>
      <c r="Z1704">
        <f>IF($A1704="",0,IF(AND($M1704=1,$A1704=经营数据!$B$3,$J1704=经营数据!$BA$5,OR($I1704=经营数据!$BA$4,COUNTIF(经营数据!$AA$9:$AA$38,$I1704)&gt;0)),1,0))</f>
        <v>0</v>
      </c>
      <c r="AA1704" t="str">
        <f t="shared" si="404"/>
        <v/>
      </c>
      <c r="AB1704" t="str">
        <f t="shared" si="405"/>
        <v/>
      </c>
      <c r="AC1704">
        <f>IF($A1704="",0,IF(COUNTIF($A$2:$A1704,$A1704)=1,1,0))</f>
        <v>0</v>
      </c>
      <c r="AD1704">
        <f t="shared" si="406"/>
        <v>19</v>
      </c>
      <c r="AE1704" t="str">
        <f t="shared" si="407"/>
        <v>佛山保利水城项目|出租率（%）</v>
      </c>
    </row>
    <row r="1705" spans="1:31" x14ac:dyDescent="0.4">
      <c r="A1705" t="str">
        <f>IF(原始经营数据!$D1706="","",原始经营数据!$D1706)</f>
        <v>华夏保利发展封闭式商业不动产证券投资基金</v>
      </c>
      <c r="B1705" t="str">
        <f>IF(原始经营数据!$D1706="","",T(原始经营数据!$E1706))</f>
        <v>佛山保利水城项目</v>
      </c>
      <c r="C1705" t="str">
        <f>IF(原始经营数据!$D1706="","",原始经营数据!$F1706)</f>
        <v>2024</v>
      </c>
      <c r="D1705" t="str">
        <f>IF(原始经营数据!$D1706="","",原始经营数据!$H1706)</f>
        <v>租金收入</v>
      </c>
      <c r="E1705">
        <f>IF(原始经营数据!$D1706="","",原始经营数据!$I1706)</f>
        <v>6907.59</v>
      </c>
      <c r="F1705" t="str">
        <f>IF(原始经营数据!$D1706="","",T(原始经营数据!$J1706))</f>
        <v>万元</v>
      </c>
      <c r="G1705" t="str">
        <f>IF(原始经营数据!$D1706="","",T(原始经营数据!$K1706))</f>
        <v/>
      </c>
      <c r="H1705" t="str">
        <f>IF(原始经营数据!$D1706="","",原始经营数据!$G1706)</f>
        <v>服务金额</v>
      </c>
      <c r="I1705" t="str">
        <f>IF($A1705="","",IF($B1705&lt;&gt;"",$B1705,IF(COUNTIFS(原始经营数据!$D$3:$D$3001,$A1705,原始经营数据!$E$3:$E$3001,"",原始经营数据!$F$3:$F$3001,$C1705,原始经营数据!$H$3:$H$3001,$D1705,原始经营数据!$K$3:$K$3001,$G1705)&gt;1,"基金整体·来源"&amp;原始经营数据!$A1706,"基金整体")))</f>
        <v>佛山保利水城项目</v>
      </c>
      <c r="J1705" t="str">
        <f t="shared" si="393"/>
        <v>年度</v>
      </c>
      <c r="K1705" t="str">
        <f t="shared" si="394"/>
        <v>租金收入（万元）</v>
      </c>
      <c r="L1705" t="str">
        <f t="shared" si="395"/>
        <v>佛山保利水城项目|租金收入（万元）|年度</v>
      </c>
      <c r="M1705">
        <f>IF($A1705="",0,IF(COUNTIF($L$2:$L1705,$L1705)=1,1,0))</f>
        <v>0</v>
      </c>
      <c r="N1705">
        <f t="shared" si="396"/>
        <v>20240</v>
      </c>
      <c r="O1705" t="str">
        <f t="shared" si="397"/>
        <v>华夏保利发展封闭式商业不动产证券投资基金|2024|年度</v>
      </c>
      <c r="P1705">
        <f>IF($A1705="",0,IF(COUNTIF($O$2:$O1705,$O1705)=1,1,0))</f>
        <v>0</v>
      </c>
      <c r="Q1705" t="str">
        <f>IF(AND($P1705=1,$A1705=经营数据!$B$3,$J1705=经营数据!$BA$5),COUNTIFS($P$2:$P$3000,1,$A$2:$A$3000,$A1705,$J$2:$J$3000,$J1705,$N$2:$N$3000,"&lt;"&amp;$N1705)+1,"")</f>
        <v/>
      </c>
      <c r="R1705" t="str">
        <f t="shared" si="398"/>
        <v>华夏保利发展封闭式商业不动产证券投资基金|佛山保利水城项目</v>
      </c>
      <c r="S1705">
        <f>IF($A1705="",0,IF(COUNTIF($R$2:$R1705,$R1705)=1,1,0))</f>
        <v>0</v>
      </c>
      <c r="T1705">
        <f t="shared" si="399"/>
        <v>1693</v>
      </c>
      <c r="U1705" t="str">
        <f>IF($A1705="","",IF($A1705=经营数据!$B$3,COUNTIFS($S$2:$S$3000,1,$A$2:$A$3000,$A1705,$T$2:$T$3000,"&lt;"&amp;$T1705)+1,""))</f>
        <v/>
      </c>
      <c r="V1705" t="str">
        <f t="shared" si="400"/>
        <v>佛山保利水城项目|服务金额</v>
      </c>
      <c r="W1705">
        <f t="shared" si="401"/>
        <v>1693</v>
      </c>
      <c r="X1705" t="str">
        <f t="shared" si="402"/>
        <v>佛山保利水城项目|租金收入</v>
      </c>
      <c r="Y1705">
        <f t="shared" si="403"/>
        <v>1693</v>
      </c>
      <c r="Z1705">
        <f>IF($A1705="",0,IF(AND($M1705=1,$A1705=经营数据!$B$3,$J1705=经营数据!$BA$5,OR($I1705=经营数据!$BA$4,COUNTIF(经营数据!$AA$9:$AA$38,$I1705)&gt;0)),1,0))</f>
        <v>0</v>
      </c>
      <c r="AA1705" t="str">
        <f t="shared" si="404"/>
        <v/>
      </c>
      <c r="AB1705" t="str">
        <f t="shared" si="405"/>
        <v/>
      </c>
      <c r="AC1705">
        <f>IF($A1705="",0,IF(COUNTIF($A$2:$A1705,$A1705)=1,1,0))</f>
        <v>0</v>
      </c>
      <c r="AD1705">
        <f t="shared" si="406"/>
        <v>19</v>
      </c>
      <c r="AE1705" t="str">
        <f t="shared" si="407"/>
        <v>佛山保利水城项目|租金收入（万元）</v>
      </c>
    </row>
    <row r="1706" spans="1:31" x14ac:dyDescent="0.4">
      <c r="A1706" t="str">
        <f>IF(原始经营数据!$D1707="","",原始经营数据!$D1707)</f>
        <v>华夏保利发展封闭式商业不动产证券投资基金</v>
      </c>
      <c r="B1706" t="str">
        <f>IF(原始经营数据!$D1707="","",T(原始经营数据!$E1707))</f>
        <v>佛山保利水城项目</v>
      </c>
      <c r="C1706" t="str">
        <f>IF(原始经营数据!$D1707="","",原始经营数据!$F1707)</f>
        <v>2025</v>
      </c>
      <c r="D1706" t="str">
        <f>IF(原始经营数据!$D1707="","",原始经营数据!$H1707)</f>
        <v>客流量</v>
      </c>
      <c r="E1706">
        <f>IF(原始经营数据!$D1707="","",原始经营数据!$I1707)</f>
        <v>3.83</v>
      </c>
      <c r="F1706" t="str">
        <f>IF(原始经营数据!$D1707="","",T(原始经营数据!$J1707))</f>
        <v>万人/日</v>
      </c>
      <c r="G1706" t="str">
        <f>IF(原始经营数据!$D1707="","",T(原始经营数据!$K1707))</f>
        <v/>
      </c>
      <c r="H1706" t="str">
        <f>IF(原始经营数据!$D1707="","",原始经营数据!$G1707)</f>
        <v>服务量</v>
      </c>
      <c r="I1706" t="str">
        <f>IF($A1706="","",IF($B1706&lt;&gt;"",$B1706,IF(COUNTIFS(原始经营数据!$D$3:$D$3001,$A1706,原始经营数据!$E$3:$E$3001,"",原始经营数据!$F$3:$F$3001,$C1706,原始经营数据!$H$3:$H$3001,$D1706,原始经营数据!$K$3:$K$3001,$G1706)&gt;1,"基金整体·来源"&amp;原始经营数据!$A1707,"基金整体")))</f>
        <v>佛山保利水城项目</v>
      </c>
      <c r="J1706" t="str">
        <f t="shared" si="393"/>
        <v>年度</v>
      </c>
      <c r="K1706" t="str">
        <f t="shared" si="394"/>
        <v>客流量（万人/日）</v>
      </c>
      <c r="L1706" t="str">
        <f t="shared" si="395"/>
        <v>佛山保利水城项目|客流量（万人/日）|年度</v>
      </c>
      <c r="M1706">
        <f>IF($A1706="",0,IF(COUNTIF($L$2:$L1706,$L1706)=1,1,0))</f>
        <v>0</v>
      </c>
      <c r="N1706">
        <f t="shared" si="396"/>
        <v>20250</v>
      </c>
      <c r="O1706" t="str">
        <f t="shared" si="397"/>
        <v>华夏保利发展封闭式商业不动产证券投资基金|2025|年度</v>
      </c>
      <c r="P1706">
        <f>IF($A1706="",0,IF(COUNTIF($O$2:$O1706,$O1706)=1,1,0))</f>
        <v>1</v>
      </c>
      <c r="Q1706" t="str">
        <f>IF(AND($P1706=1,$A1706=经营数据!$B$3,$J1706=经营数据!$BA$5),COUNTIFS($P$2:$P$3000,1,$A$2:$A$3000,$A1706,$J$2:$J$3000,$J1706,$N$2:$N$3000,"&lt;"&amp;$N1706)+1,"")</f>
        <v/>
      </c>
      <c r="R1706" t="str">
        <f t="shared" si="398"/>
        <v>华夏保利发展封闭式商业不动产证券投资基金|佛山保利水城项目</v>
      </c>
      <c r="S1706">
        <f>IF($A1706="",0,IF(COUNTIF($R$2:$R1706,$R1706)=1,1,0))</f>
        <v>0</v>
      </c>
      <c r="T1706">
        <f t="shared" si="399"/>
        <v>1693</v>
      </c>
      <c r="U1706" t="str">
        <f>IF($A1706="","",IF($A1706=经营数据!$B$3,COUNTIFS($S$2:$S$3000,1,$A$2:$A$3000,$A1706,$T$2:$T$3000,"&lt;"&amp;$T1706)+1,""))</f>
        <v/>
      </c>
      <c r="V1706" t="str">
        <f t="shared" si="400"/>
        <v>佛山保利水城项目|服务量</v>
      </c>
      <c r="W1706">
        <f t="shared" si="401"/>
        <v>1696</v>
      </c>
      <c r="X1706" t="str">
        <f t="shared" si="402"/>
        <v>佛山保利水城项目|客流量</v>
      </c>
      <c r="Y1706">
        <f t="shared" si="403"/>
        <v>1696</v>
      </c>
      <c r="Z1706">
        <f>IF($A1706="",0,IF(AND($M1706=1,$A1706=经营数据!$B$3,$J1706=经营数据!$BA$5,OR($I1706=经营数据!$BA$4,COUNTIF(经营数据!$AA$9:$AA$38,$I1706)&gt;0)),1,0))</f>
        <v>0</v>
      </c>
      <c r="AA1706" t="str">
        <f t="shared" si="404"/>
        <v/>
      </c>
      <c r="AB1706" t="str">
        <f t="shared" si="405"/>
        <v/>
      </c>
      <c r="AC1706">
        <f>IF($A1706="",0,IF(COUNTIF($A$2:$A1706,$A1706)=1,1,0))</f>
        <v>0</v>
      </c>
      <c r="AD1706">
        <f t="shared" si="406"/>
        <v>19</v>
      </c>
      <c r="AE1706" t="str">
        <f t="shared" si="407"/>
        <v>佛山保利水城项目|客流量（万人/日）</v>
      </c>
    </row>
    <row r="1707" spans="1:31" x14ac:dyDescent="0.4">
      <c r="A1707" t="str">
        <f>IF(原始经营数据!$D1708="","",原始经营数据!$D1708)</f>
        <v>华夏保利发展封闭式商业不动产证券投资基金</v>
      </c>
      <c r="B1707" t="str">
        <f>IF(原始经营数据!$D1708="","",T(原始经营数据!$E1708))</f>
        <v>佛山保利水城项目</v>
      </c>
      <c r="C1707" t="str">
        <f>IF(原始经营数据!$D1708="","",原始经营数据!$F1708)</f>
        <v>2025</v>
      </c>
      <c r="D1707" t="str">
        <f>IF(原始经营数据!$D1708="","",原始经营数据!$H1708)</f>
        <v>加权平均出租率</v>
      </c>
      <c r="E1707">
        <f>IF(原始经营数据!$D1708="","",原始经营数据!$I1708)</f>
        <v>89.43</v>
      </c>
      <c r="F1707" t="str">
        <f>IF(原始经营数据!$D1708="","",T(原始经营数据!$J1708))</f>
        <v>%</v>
      </c>
      <c r="G1707" t="str">
        <f>IF(原始经营数据!$D1708="","",T(原始经营数据!$K1708))</f>
        <v/>
      </c>
      <c r="H1707" t="str">
        <f>IF(原始经营数据!$D1708="","",原始经营数据!$G1708)</f>
        <v>服务效率</v>
      </c>
      <c r="I1707" t="str">
        <f>IF($A1707="","",IF($B1707&lt;&gt;"",$B1707,IF(COUNTIFS(原始经营数据!$D$3:$D$3001,$A1707,原始经营数据!$E$3:$E$3001,"",原始经营数据!$F$3:$F$3001,$C1707,原始经营数据!$H$3:$H$3001,$D1707,原始经营数据!$K$3:$K$3001,$G1707)&gt;1,"基金整体·来源"&amp;原始经营数据!$A1708,"基金整体")))</f>
        <v>佛山保利水城项目</v>
      </c>
      <c r="J1707" t="str">
        <f t="shared" si="393"/>
        <v>年度</v>
      </c>
      <c r="K1707" t="str">
        <f t="shared" si="394"/>
        <v>加权平均出租率（%）</v>
      </c>
      <c r="L1707" t="str">
        <f t="shared" si="395"/>
        <v>佛山保利水城项目|加权平均出租率（%）|年度</v>
      </c>
      <c r="M1707">
        <f>IF($A1707="",0,IF(COUNTIF($L$2:$L1707,$L1707)=1,1,0))</f>
        <v>0</v>
      </c>
      <c r="N1707">
        <f t="shared" si="396"/>
        <v>20250</v>
      </c>
      <c r="O1707" t="str">
        <f t="shared" si="397"/>
        <v>华夏保利发展封闭式商业不动产证券投资基金|2025|年度</v>
      </c>
      <c r="P1707">
        <f>IF($A1707="",0,IF(COUNTIF($O$2:$O1707,$O1707)=1,1,0))</f>
        <v>0</v>
      </c>
      <c r="Q1707" t="str">
        <f>IF(AND($P1707=1,$A1707=经营数据!$B$3,$J1707=经营数据!$BA$5),COUNTIFS($P$2:$P$3000,1,$A$2:$A$3000,$A1707,$J$2:$J$3000,$J1707,$N$2:$N$3000,"&lt;"&amp;$N1707)+1,"")</f>
        <v/>
      </c>
      <c r="R1707" t="str">
        <f t="shared" si="398"/>
        <v>华夏保利发展封闭式商业不动产证券投资基金|佛山保利水城项目</v>
      </c>
      <c r="S1707">
        <f>IF($A1707="",0,IF(COUNTIF($R$2:$R1707,$R1707)=1,1,0))</f>
        <v>0</v>
      </c>
      <c r="T1707">
        <f t="shared" si="399"/>
        <v>1693</v>
      </c>
      <c r="U1707" t="str">
        <f>IF($A1707="","",IF($A1707=经营数据!$B$3,COUNTIFS($S$2:$S$3000,1,$A$2:$A$3000,$A1707,$T$2:$T$3000,"&lt;"&amp;$T1707)+1,""))</f>
        <v/>
      </c>
      <c r="V1707" t="str">
        <f t="shared" si="400"/>
        <v>佛山保利水城项目|服务效率</v>
      </c>
      <c r="W1707">
        <f t="shared" si="401"/>
        <v>1694</v>
      </c>
      <c r="X1707" t="str">
        <f t="shared" si="402"/>
        <v>佛山保利水城项目|加权平均出租率</v>
      </c>
      <c r="Y1707">
        <f t="shared" si="403"/>
        <v>1695</v>
      </c>
      <c r="Z1707">
        <f>IF($A1707="",0,IF(AND($M1707=1,$A1707=经营数据!$B$3,$J1707=经营数据!$BA$5,OR($I1707=经营数据!$BA$4,COUNTIF(经营数据!$AA$9:$AA$38,$I1707)&gt;0)),1,0))</f>
        <v>0</v>
      </c>
      <c r="AA1707" t="str">
        <f t="shared" si="404"/>
        <v/>
      </c>
      <c r="AB1707" t="str">
        <f t="shared" si="405"/>
        <v/>
      </c>
      <c r="AC1707">
        <f>IF($A1707="",0,IF(COUNTIF($A$2:$A1707,$A1707)=1,1,0))</f>
        <v>0</v>
      </c>
      <c r="AD1707">
        <f t="shared" si="406"/>
        <v>19</v>
      </c>
      <c r="AE1707" t="str">
        <f t="shared" si="407"/>
        <v>佛山保利水城项目|加权平均出租率（%）</v>
      </c>
    </row>
    <row r="1708" spans="1:31" x14ac:dyDescent="0.4">
      <c r="A1708" t="str">
        <f>IF(原始经营数据!$D1709="","",原始经营数据!$D1709)</f>
        <v>华夏保利发展封闭式商业不动产证券投资基金</v>
      </c>
      <c r="B1708" t="str">
        <f>IF(原始经营数据!$D1709="","",T(原始经营数据!$E1709))</f>
        <v>佛山保利水城项目</v>
      </c>
      <c r="C1708" t="str">
        <f>IF(原始经营数据!$D1709="","",原始经营数据!$F1709)</f>
        <v>2025</v>
      </c>
      <c r="D1708" t="str">
        <f>IF(原始经营数据!$D1709="","",原始经营数据!$H1709)</f>
        <v>出租率</v>
      </c>
      <c r="E1708">
        <f>IF(原始经营数据!$D1709="","",原始经营数据!$I1709)</f>
        <v>92.74</v>
      </c>
      <c r="F1708" t="str">
        <f>IF(原始经营数据!$D1709="","",T(原始经营数据!$J1709))</f>
        <v>%</v>
      </c>
      <c r="G1708" t="str">
        <f>IF(原始经营数据!$D1709="","",T(原始经营数据!$K1709))</f>
        <v/>
      </c>
      <c r="H1708" t="str">
        <f>IF(原始经营数据!$D1709="","",原始经营数据!$G1709)</f>
        <v>服务效率</v>
      </c>
      <c r="I1708" t="str">
        <f>IF($A1708="","",IF($B1708&lt;&gt;"",$B1708,IF(COUNTIFS(原始经营数据!$D$3:$D$3001,$A1708,原始经营数据!$E$3:$E$3001,"",原始经营数据!$F$3:$F$3001,$C1708,原始经营数据!$H$3:$H$3001,$D1708,原始经营数据!$K$3:$K$3001,$G1708)&gt;1,"基金整体·来源"&amp;原始经营数据!$A1709,"基金整体")))</f>
        <v>佛山保利水城项目</v>
      </c>
      <c r="J1708" t="str">
        <f t="shared" si="393"/>
        <v>年度</v>
      </c>
      <c r="K1708" t="str">
        <f t="shared" si="394"/>
        <v>出租率（%）</v>
      </c>
      <c r="L1708" t="str">
        <f t="shared" si="395"/>
        <v>佛山保利水城项目|出租率（%）|年度</v>
      </c>
      <c r="M1708">
        <f>IF($A1708="",0,IF(COUNTIF($L$2:$L1708,$L1708)=1,1,0))</f>
        <v>0</v>
      </c>
      <c r="N1708">
        <f t="shared" si="396"/>
        <v>20250</v>
      </c>
      <c r="O1708" t="str">
        <f t="shared" si="397"/>
        <v>华夏保利发展封闭式商业不动产证券投资基金|2025|年度</v>
      </c>
      <c r="P1708">
        <f>IF($A1708="",0,IF(COUNTIF($O$2:$O1708,$O1708)=1,1,0))</f>
        <v>0</v>
      </c>
      <c r="Q1708" t="str">
        <f>IF(AND($P1708=1,$A1708=经营数据!$B$3,$J1708=经营数据!$BA$5),COUNTIFS($P$2:$P$3000,1,$A$2:$A$3000,$A1708,$J$2:$J$3000,$J1708,$N$2:$N$3000,"&lt;"&amp;$N1708)+1,"")</f>
        <v/>
      </c>
      <c r="R1708" t="str">
        <f t="shared" si="398"/>
        <v>华夏保利发展封闭式商业不动产证券投资基金|佛山保利水城项目</v>
      </c>
      <c r="S1708">
        <f>IF($A1708="",0,IF(COUNTIF($R$2:$R1708,$R1708)=1,1,0))</f>
        <v>0</v>
      </c>
      <c r="T1708">
        <f t="shared" si="399"/>
        <v>1693</v>
      </c>
      <c r="U1708" t="str">
        <f>IF($A1708="","",IF($A1708=经营数据!$B$3,COUNTIFS($S$2:$S$3000,1,$A$2:$A$3000,$A1708,$T$2:$T$3000,"&lt;"&amp;$T1708)+1,""))</f>
        <v/>
      </c>
      <c r="V1708" t="str">
        <f t="shared" si="400"/>
        <v>佛山保利水城项目|服务效率</v>
      </c>
      <c r="W1708">
        <f t="shared" si="401"/>
        <v>1694</v>
      </c>
      <c r="X1708" t="str">
        <f t="shared" si="402"/>
        <v>佛山保利水城项目|出租率</v>
      </c>
      <c r="Y1708">
        <f t="shared" si="403"/>
        <v>1694</v>
      </c>
      <c r="Z1708">
        <f>IF($A1708="",0,IF(AND($M1708=1,$A1708=经营数据!$B$3,$J1708=经营数据!$BA$5,OR($I1708=经营数据!$BA$4,COUNTIF(经营数据!$AA$9:$AA$38,$I1708)&gt;0)),1,0))</f>
        <v>0</v>
      </c>
      <c r="AA1708" t="str">
        <f t="shared" si="404"/>
        <v/>
      </c>
      <c r="AB1708" t="str">
        <f t="shared" si="405"/>
        <v/>
      </c>
      <c r="AC1708">
        <f>IF($A1708="",0,IF(COUNTIF($A$2:$A1708,$A1708)=1,1,0))</f>
        <v>0</v>
      </c>
      <c r="AD1708">
        <f t="shared" si="406"/>
        <v>19</v>
      </c>
      <c r="AE1708" t="str">
        <f t="shared" si="407"/>
        <v>佛山保利水城项目|出租率（%）</v>
      </c>
    </row>
    <row r="1709" spans="1:31" x14ac:dyDescent="0.4">
      <c r="A1709" t="str">
        <f>IF(原始经营数据!$D1710="","",原始经营数据!$D1710)</f>
        <v>华夏保利发展封闭式商业不动产证券投资基金</v>
      </c>
      <c r="B1709" t="str">
        <f>IF(原始经营数据!$D1710="","",T(原始经营数据!$E1710))</f>
        <v>佛山保利水城项目</v>
      </c>
      <c r="C1709" t="str">
        <f>IF(原始经营数据!$D1710="","",原始经营数据!$F1710)</f>
        <v>2025</v>
      </c>
      <c r="D1709" t="str">
        <f>IF(原始经营数据!$D1710="","",原始经营数据!$H1710)</f>
        <v>租金收入</v>
      </c>
      <c r="E1709">
        <f>IF(原始经营数据!$D1710="","",原始经营数据!$I1710)</f>
        <v>6016.24</v>
      </c>
      <c r="F1709" t="str">
        <f>IF(原始经营数据!$D1710="","",T(原始经营数据!$J1710))</f>
        <v>万元</v>
      </c>
      <c r="G1709" t="str">
        <f>IF(原始经营数据!$D1710="","",T(原始经营数据!$K1710))</f>
        <v/>
      </c>
      <c r="H1709" t="str">
        <f>IF(原始经营数据!$D1710="","",原始经营数据!$G1710)</f>
        <v>服务金额</v>
      </c>
      <c r="I1709" t="str">
        <f>IF($A1709="","",IF($B1709&lt;&gt;"",$B1709,IF(COUNTIFS(原始经营数据!$D$3:$D$3001,$A1709,原始经营数据!$E$3:$E$3001,"",原始经营数据!$F$3:$F$3001,$C1709,原始经营数据!$H$3:$H$3001,$D1709,原始经营数据!$K$3:$K$3001,$G1709)&gt;1,"基金整体·来源"&amp;原始经营数据!$A1710,"基金整体")))</f>
        <v>佛山保利水城项目</v>
      </c>
      <c r="J1709" t="str">
        <f t="shared" si="393"/>
        <v>年度</v>
      </c>
      <c r="K1709" t="str">
        <f t="shared" si="394"/>
        <v>租金收入（万元）</v>
      </c>
      <c r="L1709" t="str">
        <f t="shared" si="395"/>
        <v>佛山保利水城项目|租金收入（万元）|年度</v>
      </c>
      <c r="M1709">
        <f>IF($A1709="",0,IF(COUNTIF($L$2:$L1709,$L1709)=1,1,0))</f>
        <v>0</v>
      </c>
      <c r="N1709">
        <f t="shared" si="396"/>
        <v>20250</v>
      </c>
      <c r="O1709" t="str">
        <f t="shared" si="397"/>
        <v>华夏保利发展封闭式商业不动产证券投资基金|2025|年度</v>
      </c>
      <c r="P1709">
        <f>IF($A1709="",0,IF(COUNTIF($O$2:$O1709,$O1709)=1,1,0))</f>
        <v>0</v>
      </c>
      <c r="Q1709" t="str">
        <f>IF(AND($P1709=1,$A1709=经营数据!$B$3,$J1709=经营数据!$BA$5),COUNTIFS($P$2:$P$3000,1,$A$2:$A$3000,$A1709,$J$2:$J$3000,$J1709,$N$2:$N$3000,"&lt;"&amp;$N1709)+1,"")</f>
        <v/>
      </c>
      <c r="R1709" t="str">
        <f t="shared" si="398"/>
        <v>华夏保利发展封闭式商业不动产证券投资基金|佛山保利水城项目</v>
      </c>
      <c r="S1709">
        <f>IF($A1709="",0,IF(COUNTIF($R$2:$R1709,$R1709)=1,1,0))</f>
        <v>0</v>
      </c>
      <c r="T1709">
        <f t="shared" si="399"/>
        <v>1693</v>
      </c>
      <c r="U1709" t="str">
        <f>IF($A1709="","",IF($A1709=经营数据!$B$3,COUNTIFS($S$2:$S$3000,1,$A$2:$A$3000,$A1709,$T$2:$T$3000,"&lt;"&amp;$T1709)+1,""))</f>
        <v/>
      </c>
      <c r="V1709" t="str">
        <f t="shared" si="400"/>
        <v>佛山保利水城项目|服务金额</v>
      </c>
      <c r="W1709">
        <f t="shared" si="401"/>
        <v>1693</v>
      </c>
      <c r="X1709" t="str">
        <f t="shared" si="402"/>
        <v>佛山保利水城项目|租金收入</v>
      </c>
      <c r="Y1709">
        <f t="shared" si="403"/>
        <v>1693</v>
      </c>
      <c r="Z1709">
        <f>IF($A1709="",0,IF(AND($M1709=1,$A1709=经营数据!$B$3,$J1709=经营数据!$BA$5,OR($I1709=经营数据!$BA$4,COUNTIF(经营数据!$AA$9:$AA$38,$I1709)&gt;0)),1,0))</f>
        <v>0</v>
      </c>
      <c r="AA1709" t="str">
        <f t="shared" si="404"/>
        <v/>
      </c>
      <c r="AB1709" t="str">
        <f t="shared" si="405"/>
        <v/>
      </c>
      <c r="AC1709">
        <f>IF($A1709="",0,IF(COUNTIF($A$2:$A1709,$A1709)=1,1,0))</f>
        <v>0</v>
      </c>
      <c r="AD1709">
        <f t="shared" si="406"/>
        <v>19</v>
      </c>
      <c r="AE1709" t="str">
        <f t="shared" si="407"/>
        <v>佛山保利水城项目|租金收入（万元）</v>
      </c>
    </row>
    <row r="1710" spans="1:31" x14ac:dyDescent="0.4">
      <c r="A1710" t="str">
        <f>IF(原始经营数据!$D1711="","",原始经营数据!$D1711)</f>
        <v>华夏保利发展封闭式商业不动产证券投资基金</v>
      </c>
      <c r="B1710" t="str">
        <f>IF(原始经营数据!$D1711="","",T(原始经营数据!$E1711))</f>
        <v>广州保利中心项目</v>
      </c>
      <c r="C1710" t="str">
        <f>IF(原始经营数据!$D1711="","",原始经营数据!$F1711)</f>
        <v>2022</v>
      </c>
      <c r="D1710" t="str">
        <f>IF(原始经营数据!$D1711="","",原始经营数据!$H1711)</f>
        <v>出租率</v>
      </c>
      <c r="E1710">
        <f>IF(原始经营数据!$D1711="","",原始经营数据!$I1711)</f>
        <v>90.99</v>
      </c>
      <c r="F1710" t="str">
        <f>IF(原始经营数据!$D1711="","",T(原始经营数据!$J1711))</f>
        <v>%</v>
      </c>
      <c r="G1710" t="str">
        <f>IF(原始经营数据!$D1711="","",T(原始经营数据!$K1711))</f>
        <v/>
      </c>
      <c r="H1710" t="str">
        <f>IF(原始经营数据!$D1711="","",原始经营数据!$G1711)</f>
        <v>服务效率</v>
      </c>
      <c r="I1710" t="str">
        <f>IF($A1710="","",IF($B1710&lt;&gt;"",$B1710,IF(COUNTIFS(原始经营数据!$D$3:$D$3001,$A1710,原始经营数据!$E$3:$E$3001,"",原始经营数据!$F$3:$F$3001,$C1710,原始经营数据!$H$3:$H$3001,$D1710,原始经营数据!$K$3:$K$3001,$G1710)&gt;1,"基金整体·来源"&amp;原始经营数据!$A1711,"基金整体")))</f>
        <v>广州保利中心项目</v>
      </c>
      <c r="J1710" t="str">
        <f t="shared" si="393"/>
        <v>年度</v>
      </c>
      <c r="K1710" t="str">
        <f t="shared" si="394"/>
        <v>出租率（%）</v>
      </c>
      <c r="L1710" t="str">
        <f t="shared" si="395"/>
        <v>广州保利中心项目|出租率（%）|年度</v>
      </c>
      <c r="M1710">
        <f>IF($A1710="",0,IF(COUNTIF($L$2:$L1710,$L1710)=1,1,0))</f>
        <v>1</v>
      </c>
      <c r="N1710">
        <f t="shared" si="396"/>
        <v>20220</v>
      </c>
      <c r="O1710" t="str">
        <f t="shared" si="397"/>
        <v>华夏保利发展封闭式商业不动产证券投资基金|2022|年度</v>
      </c>
      <c r="P1710">
        <f>IF($A1710="",0,IF(COUNTIF($O$2:$O1710,$O1710)=1,1,0))</f>
        <v>0</v>
      </c>
      <c r="Q1710" t="str">
        <f>IF(AND($P1710=1,$A1710=经营数据!$B$3,$J1710=经营数据!$BA$5),COUNTIFS($P$2:$P$3000,1,$A$2:$A$3000,$A1710,$J$2:$J$3000,$J1710,$N$2:$N$3000,"&lt;"&amp;$N1710)+1,"")</f>
        <v/>
      </c>
      <c r="R1710" t="str">
        <f t="shared" si="398"/>
        <v>华夏保利发展封闭式商业不动产证券投资基金|广州保利中心项目</v>
      </c>
      <c r="S1710">
        <f>IF($A1710="",0,IF(COUNTIF($R$2:$R1710,$R1710)=1,1,0))</f>
        <v>1</v>
      </c>
      <c r="T1710">
        <f t="shared" si="399"/>
        <v>1709</v>
      </c>
      <c r="U1710" t="str">
        <f>IF($A1710="","",IF($A1710=经营数据!$B$3,COUNTIFS($S$2:$S$3000,1,$A$2:$A$3000,$A1710,$T$2:$T$3000,"&lt;"&amp;$T1710)+1,""))</f>
        <v/>
      </c>
      <c r="V1710" t="str">
        <f t="shared" si="400"/>
        <v>广州保利中心项目|服务效率</v>
      </c>
      <c r="W1710">
        <f t="shared" si="401"/>
        <v>1709</v>
      </c>
      <c r="X1710" t="str">
        <f t="shared" si="402"/>
        <v>广州保利中心项目|出租率</v>
      </c>
      <c r="Y1710">
        <f t="shared" si="403"/>
        <v>1709</v>
      </c>
      <c r="Z1710">
        <f>IF($A1710="",0,IF(AND($M1710=1,$A1710=经营数据!$B$3,$J1710=经营数据!$BA$5,OR($I1710=经营数据!$BA$4,COUNTIF(经营数据!$AA$9:$AA$38,$I1710)&gt;0)),1,0))</f>
        <v>0</v>
      </c>
      <c r="AA1710" t="str">
        <f t="shared" si="404"/>
        <v/>
      </c>
      <c r="AB1710" t="str">
        <f t="shared" si="405"/>
        <v/>
      </c>
      <c r="AC1710">
        <f>IF($A1710="",0,IF(COUNTIF($A$2:$A1710,$A1710)=1,1,0))</f>
        <v>0</v>
      </c>
      <c r="AD1710">
        <f t="shared" si="406"/>
        <v>19</v>
      </c>
      <c r="AE1710" t="str">
        <f t="shared" si="407"/>
        <v>广州保利中心项目|出租率（%）</v>
      </c>
    </row>
    <row r="1711" spans="1:31" x14ac:dyDescent="0.4">
      <c r="A1711" t="str">
        <f>IF(原始经营数据!$D1712="","",原始经营数据!$D1712)</f>
        <v>华夏保利发展封闭式商业不动产证券投资基金</v>
      </c>
      <c r="B1711" t="str">
        <f>IF(原始经营数据!$D1712="","",T(原始经营数据!$E1712))</f>
        <v>广州保利中心项目</v>
      </c>
      <c r="C1711" t="str">
        <f>IF(原始经营数据!$D1712="","",原始经营数据!$F1712)</f>
        <v>2022</v>
      </c>
      <c r="D1711" t="str">
        <f>IF(原始经营数据!$D1712="","",原始经营数据!$H1712)</f>
        <v>租金收入</v>
      </c>
      <c r="E1711">
        <f>IF(原始经营数据!$D1712="","",原始经营数据!$I1712)</f>
        <v>11096.68</v>
      </c>
      <c r="F1711" t="str">
        <f>IF(原始经营数据!$D1712="","",T(原始经营数据!$J1712))</f>
        <v>万元</v>
      </c>
      <c r="G1711" t="str">
        <f>IF(原始经营数据!$D1712="","",T(原始经营数据!$K1712))</f>
        <v/>
      </c>
      <c r="H1711" t="str">
        <f>IF(原始经营数据!$D1712="","",原始经营数据!$G1712)</f>
        <v>服务金额</v>
      </c>
      <c r="I1711" t="str">
        <f>IF($A1711="","",IF($B1711&lt;&gt;"",$B1711,IF(COUNTIFS(原始经营数据!$D$3:$D$3001,$A1711,原始经营数据!$E$3:$E$3001,"",原始经营数据!$F$3:$F$3001,$C1711,原始经营数据!$H$3:$H$3001,$D1711,原始经营数据!$K$3:$K$3001,$G1711)&gt;1,"基金整体·来源"&amp;原始经营数据!$A1712,"基金整体")))</f>
        <v>广州保利中心项目</v>
      </c>
      <c r="J1711" t="str">
        <f t="shared" si="393"/>
        <v>年度</v>
      </c>
      <c r="K1711" t="str">
        <f t="shared" si="394"/>
        <v>租金收入（万元）</v>
      </c>
      <c r="L1711" t="str">
        <f t="shared" si="395"/>
        <v>广州保利中心项目|租金收入（万元）|年度</v>
      </c>
      <c r="M1711">
        <f>IF($A1711="",0,IF(COUNTIF($L$2:$L1711,$L1711)=1,1,0))</f>
        <v>1</v>
      </c>
      <c r="N1711">
        <f t="shared" si="396"/>
        <v>20220</v>
      </c>
      <c r="O1711" t="str">
        <f t="shared" si="397"/>
        <v>华夏保利发展封闭式商业不动产证券投资基金|2022|年度</v>
      </c>
      <c r="P1711">
        <f>IF($A1711="",0,IF(COUNTIF($O$2:$O1711,$O1711)=1,1,0))</f>
        <v>0</v>
      </c>
      <c r="Q1711" t="str">
        <f>IF(AND($P1711=1,$A1711=经营数据!$B$3,$J1711=经营数据!$BA$5),COUNTIFS($P$2:$P$3000,1,$A$2:$A$3000,$A1711,$J$2:$J$3000,$J1711,$N$2:$N$3000,"&lt;"&amp;$N1711)+1,"")</f>
        <v/>
      </c>
      <c r="R1711" t="str">
        <f t="shared" si="398"/>
        <v>华夏保利发展封闭式商业不动产证券投资基金|广州保利中心项目</v>
      </c>
      <c r="S1711">
        <f>IF($A1711="",0,IF(COUNTIF($R$2:$R1711,$R1711)=1,1,0))</f>
        <v>0</v>
      </c>
      <c r="T1711">
        <f t="shared" si="399"/>
        <v>1709</v>
      </c>
      <c r="U1711" t="str">
        <f>IF($A1711="","",IF($A1711=经营数据!$B$3,COUNTIFS($S$2:$S$3000,1,$A$2:$A$3000,$A1711,$T$2:$T$3000,"&lt;"&amp;$T1711)+1,""))</f>
        <v/>
      </c>
      <c r="V1711" t="str">
        <f t="shared" si="400"/>
        <v>广州保利中心项目|服务金额</v>
      </c>
      <c r="W1711">
        <f t="shared" si="401"/>
        <v>1710</v>
      </c>
      <c r="X1711" t="str">
        <f t="shared" si="402"/>
        <v>广州保利中心项目|租金收入</v>
      </c>
      <c r="Y1711">
        <f t="shared" si="403"/>
        <v>1710</v>
      </c>
      <c r="Z1711">
        <f>IF($A1711="",0,IF(AND($M1711=1,$A1711=经营数据!$B$3,$J1711=经营数据!$BA$5,OR($I1711=经营数据!$BA$4,COUNTIF(经营数据!$AA$9:$AA$38,$I1711)&gt;0)),1,0))</f>
        <v>0</v>
      </c>
      <c r="AA1711" t="str">
        <f t="shared" si="404"/>
        <v/>
      </c>
      <c r="AB1711" t="str">
        <f t="shared" si="405"/>
        <v/>
      </c>
      <c r="AC1711">
        <f>IF($A1711="",0,IF(COUNTIF($A$2:$A1711,$A1711)=1,1,0))</f>
        <v>0</v>
      </c>
      <c r="AD1711">
        <f t="shared" si="406"/>
        <v>19</v>
      </c>
      <c r="AE1711" t="str">
        <f t="shared" si="407"/>
        <v>广州保利中心项目|租金收入（万元）</v>
      </c>
    </row>
    <row r="1712" spans="1:31" x14ac:dyDescent="0.4">
      <c r="A1712" t="str">
        <f>IF(原始经营数据!$D1713="","",原始经营数据!$D1713)</f>
        <v>华夏保利发展封闭式商业不动产证券投资基金</v>
      </c>
      <c r="B1712" t="str">
        <f>IF(原始经营数据!$D1713="","",T(原始经营数据!$E1713))</f>
        <v>广州保利中心项目</v>
      </c>
      <c r="C1712" t="str">
        <f>IF(原始经营数据!$D1713="","",原始经营数据!$F1713)</f>
        <v>2022</v>
      </c>
      <c r="D1712" t="str">
        <f>IF(原始经营数据!$D1713="","",原始经营数据!$H1713)</f>
        <v>平均租金单价</v>
      </c>
      <c r="E1712">
        <f>IF(原始经营数据!$D1713="","",原始经营数据!$I1713)</f>
        <v>145.85</v>
      </c>
      <c r="F1712" t="str">
        <f>IF(原始经营数据!$D1713="","",T(原始经营数据!$J1713))</f>
        <v>元/平方米/月</v>
      </c>
      <c r="G1712" t="str">
        <f>IF(原始经营数据!$D1713="","",T(原始经营数据!$K1713))</f>
        <v/>
      </c>
      <c r="H1712" t="str">
        <f>IF(原始经营数据!$D1713="","",原始经营数据!$G1713)</f>
        <v>服务价格</v>
      </c>
      <c r="I1712" t="str">
        <f>IF($A1712="","",IF($B1712&lt;&gt;"",$B1712,IF(COUNTIFS(原始经营数据!$D$3:$D$3001,$A1712,原始经营数据!$E$3:$E$3001,"",原始经营数据!$F$3:$F$3001,$C1712,原始经营数据!$H$3:$H$3001,$D1712,原始经营数据!$K$3:$K$3001,$G1712)&gt;1,"基金整体·来源"&amp;原始经营数据!$A1713,"基金整体")))</f>
        <v>广州保利中心项目</v>
      </c>
      <c r="J1712" t="str">
        <f t="shared" si="393"/>
        <v>年度</v>
      </c>
      <c r="K1712" t="str">
        <f t="shared" si="394"/>
        <v>平均租金单价（元/平方米/月）</v>
      </c>
      <c r="L1712" t="str">
        <f t="shared" si="395"/>
        <v>广州保利中心项目|平均租金单价（元/平方米/月）|年度</v>
      </c>
      <c r="M1712">
        <f>IF($A1712="",0,IF(COUNTIF($L$2:$L1712,$L1712)=1,1,0))</f>
        <v>1</v>
      </c>
      <c r="N1712">
        <f t="shared" si="396"/>
        <v>20220</v>
      </c>
      <c r="O1712" t="str">
        <f t="shared" si="397"/>
        <v>华夏保利发展封闭式商业不动产证券投资基金|2022|年度</v>
      </c>
      <c r="P1712">
        <f>IF($A1712="",0,IF(COUNTIF($O$2:$O1712,$O1712)=1,1,0))</f>
        <v>0</v>
      </c>
      <c r="Q1712" t="str">
        <f>IF(AND($P1712=1,$A1712=经营数据!$B$3,$J1712=经营数据!$BA$5),COUNTIFS($P$2:$P$3000,1,$A$2:$A$3000,$A1712,$J$2:$J$3000,$J1712,$N$2:$N$3000,"&lt;"&amp;$N1712)+1,"")</f>
        <v/>
      </c>
      <c r="R1712" t="str">
        <f t="shared" si="398"/>
        <v>华夏保利发展封闭式商业不动产证券投资基金|广州保利中心项目</v>
      </c>
      <c r="S1712">
        <f>IF($A1712="",0,IF(COUNTIF($R$2:$R1712,$R1712)=1,1,0))</f>
        <v>0</v>
      </c>
      <c r="T1712">
        <f t="shared" si="399"/>
        <v>1709</v>
      </c>
      <c r="U1712" t="str">
        <f>IF($A1712="","",IF($A1712=经营数据!$B$3,COUNTIFS($S$2:$S$3000,1,$A$2:$A$3000,$A1712,$T$2:$T$3000,"&lt;"&amp;$T1712)+1,""))</f>
        <v/>
      </c>
      <c r="V1712" t="str">
        <f t="shared" si="400"/>
        <v>广州保利中心项目|服务价格</v>
      </c>
      <c r="W1712">
        <f t="shared" si="401"/>
        <v>1711</v>
      </c>
      <c r="X1712" t="str">
        <f t="shared" si="402"/>
        <v>广州保利中心项目|平均租金单价</v>
      </c>
      <c r="Y1712">
        <f t="shared" si="403"/>
        <v>1711</v>
      </c>
      <c r="Z1712">
        <f>IF($A1712="",0,IF(AND($M1712=1,$A1712=经营数据!$B$3,$J1712=经营数据!$BA$5,OR($I1712=经营数据!$BA$4,COUNTIF(经营数据!$AA$9:$AA$38,$I1712)&gt;0)),1,0))</f>
        <v>0</v>
      </c>
      <c r="AA1712" t="str">
        <f t="shared" si="404"/>
        <v/>
      </c>
      <c r="AB1712" t="str">
        <f t="shared" si="405"/>
        <v/>
      </c>
      <c r="AC1712">
        <f>IF($A1712="",0,IF(COUNTIF($A$2:$A1712,$A1712)=1,1,0))</f>
        <v>0</v>
      </c>
      <c r="AD1712">
        <f t="shared" si="406"/>
        <v>19</v>
      </c>
      <c r="AE1712" t="str">
        <f t="shared" si="407"/>
        <v>广州保利中心项目|平均租金单价（元/平方米/月）</v>
      </c>
    </row>
    <row r="1713" spans="1:31" x14ac:dyDescent="0.4">
      <c r="A1713" t="str">
        <f>IF(原始经营数据!$D1714="","",原始经营数据!$D1714)</f>
        <v>华夏保利发展封闭式商业不动产证券投资基金</v>
      </c>
      <c r="B1713" t="str">
        <f>IF(原始经营数据!$D1714="","",T(原始经营数据!$E1714))</f>
        <v>广州保利中心项目</v>
      </c>
      <c r="C1713" t="str">
        <f>IF(原始经营数据!$D1714="","",原始经营数据!$F1714)</f>
        <v>2022</v>
      </c>
      <c r="D1713" t="str">
        <f>IF(原始经营数据!$D1714="","",原始经营数据!$H1714)</f>
        <v>加权平均出租率</v>
      </c>
      <c r="E1713">
        <f>IF(原始经营数据!$D1714="","",原始经营数据!$I1714)</f>
        <v>95.3</v>
      </c>
      <c r="F1713" t="str">
        <f>IF(原始经营数据!$D1714="","",T(原始经营数据!$J1714))</f>
        <v>%</v>
      </c>
      <c r="G1713" t="str">
        <f>IF(原始经营数据!$D1714="","",T(原始经营数据!$K1714))</f>
        <v/>
      </c>
      <c r="H1713" t="str">
        <f>IF(原始经营数据!$D1714="","",原始经营数据!$G1714)</f>
        <v>服务效率</v>
      </c>
      <c r="I1713" t="str">
        <f>IF($A1713="","",IF($B1713&lt;&gt;"",$B1713,IF(COUNTIFS(原始经营数据!$D$3:$D$3001,$A1713,原始经营数据!$E$3:$E$3001,"",原始经营数据!$F$3:$F$3001,$C1713,原始经营数据!$H$3:$H$3001,$D1713,原始经营数据!$K$3:$K$3001,$G1713)&gt;1,"基金整体·来源"&amp;原始经营数据!$A1714,"基金整体")))</f>
        <v>广州保利中心项目</v>
      </c>
      <c r="J1713" t="str">
        <f t="shared" si="393"/>
        <v>年度</v>
      </c>
      <c r="K1713" t="str">
        <f t="shared" si="394"/>
        <v>加权平均出租率（%）</v>
      </c>
      <c r="L1713" t="str">
        <f t="shared" si="395"/>
        <v>广州保利中心项目|加权平均出租率（%）|年度</v>
      </c>
      <c r="M1713">
        <f>IF($A1713="",0,IF(COUNTIF($L$2:$L1713,$L1713)=1,1,0))</f>
        <v>1</v>
      </c>
      <c r="N1713">
        <f t="shared" si="396"/>
        <v>20220</v>
      </c>
      <c r="O1713" t="str">
        <f t="shared" si="397"/>
        <v>华夏保利发展封闭式商业不动产证券投资基金|2022|年度</v>
      </c>
      <c r="P1713">
        <f>IF($A1713="",0,IF(COUNTIF($O$2:$O1713,$O1713)=1,1,0))</f>
        <v>0</v>
      </c>
      <c r="Q1713" t="str">
        <f>IF(AND($P1713=1,$A1713=经营数据!$B$3,$J1713=经营数据!$BA$5),COUNTIFS($P$2:$P$3000,1,$A$2:$A$3000,$A1713,$J$2:$J$3000,$J1713,$N$2:$N$3000,"&lt;"&amp;$N1713)+1,"")</f>
        <v/>
      </c>
      <c r="R1713" t="str">
        <f t="shared" si="398"/>
        <v>华夏保利发展封闭式商业不动产证券投资基金|广州保利中心项目</v>
      </c>
      <c r="S1713">
        <f>IF($A1713="",0,IF(COUNTIF($R$2:$R1713,$R1713)=1,1,0))</f>
        <v>0</v>
      </c>
      <c r="T1713">
        <f t="shared" si="399"/>
        <v>1709</v>
      </c>
      <c r="U1713" t="str">
        <f>IF($A1713="","",IF($A1713=经营数据!$B$3,COUNTIFS($S$2:$S$3000,1,$A$2:$A$3000,$A1713,$T$2:$T$3000,"&lt;"&amp;$T1713)+1,""))</f>
        <v/>
      </c>
      <c r="V1713" t="str">
        <f t="shared" si="400"/>
        <v>广州保利中心项目|服务效率</v>
      </c>
      <c r="W1713">
        <f t="shared" si="401"/>
        <v>1709</v>
      </c>
      <c r="X1713" t="str">
        <f t="shared" si="402"/>
        <v>广州保利中心项目|加权平均出租率</v>
      </c>
      <c r="Y1713">
        <f t="shared" si="403"/>
        <v>1712</v>
      </c>
      <c r="Z1713">
        <f>IF($A1713="",0,IF(AND($M1713=1,$A1713=经营数据!$B$3,$J1713=经营数据!$BA$5,OR($I1713=经营数据!$BA$4,COUNTIF(经营数据!$AA$9:$AA$38,$I1713)&gt;0)),1,0))</f>
        <v>0</v>
      </c>
      <c r="AA1713" t="str">
        <f t="shared" si="404"/>
        <v/>
      </c>
      <c r="AB1713" t="str">
        <f t="shared" si="405"/>
        <v/>
      </c>
      <c r="AC1713">
        <f>IF($A1713="",0,IF(COUNTIF($A$2:$A1713,$A1713)=1,1,0))</f>
        <v>0</v>
      </c>
      <c r="AD1713">
        <f t="shared" si="406"/>
        <v>19</v>
      </c>
      <c r="AE1713" t="str">
        <f t="shared" si="407"/>
        <v>广州保利中心项目|加权平均出租率（%）</v>
      </c>
    </row>
    <row r="1714" spans="1:31" x14ac:dyDescent="0.4">
      <c r="A1714" t="str">
        <f>IF(原始经营数据!$D1715="","",原始经营数据!$D1715)</f>
        <v>华夏保利发展封闭式商业不动产证券投资基金</v>
      </c>
      <c r="B1714" t="str">
        <f>IF(原始经营数据!$D1715="","",T(原始经营数据!$E1715))</f>
        <v>广州保利中心项目</v>
      </c>
      <c r="C1714" t="str">
        <f>IF(原始经营数据!$D1715="","",原始经营数据!$F1715)</f>
        <v>2023</v>
      </c>
      <c r="D1714" t="str">
        <f>IF(原始经营数据!$D1715="","",原始经营数据!$H1715)</f>
        <v>租金收入</v>
      </c>
      <c r="E1714">
        <f>IF(原始经营数据!$D1715="","",原始经营数据!$I1715)</f>
        <v>10161.950000000001</v>
      </c>
      <c r="F1714" t="str">
        <f>IF(原始经营数据!$D1715="","",T(原始经营数据!$J1715))</f>
        <v>万元</v>
      </c>
      <c r="G1714" t="str">
        <f>IF(原始经营数据!$D1715="","",T(原始经营数据!$K1715))</f>
        <v/>
      </c>
      <c r="H1714" t="str">
        <f>IF(原始经营数据!$D1715="","",原始经营数据!$G1715)</f>
        <v>服务金额</v>
      </c>
      <c r="I1714" t="str">
        <f>IF($A1714="","",IF($B1714&lt;&gt;"",$B1714,IF(COUNTIFS(原始经营数据!$D$3:$D$3001,$A1714,原始经营数据!$E$3:$E$3001,"",原始经营数据!$F$3:$F$3001,$C1714,原始经营数据!$H$3:$H$3001,$D1714,原始经营数据!$K$3:$K$3001,$G1714)&gt;1,"基金整体·来源"&amp;原始经营数据!$A1715,"基金整体")))</f>
        <v>广州保利中心项目</v>
      </c>
      <c r="J1714" t="str">
        <f t="shared" si="393"/>
        <v>年度</v>
      </c>
      <c r="K1714" t="str">
        <f t="shared" si="394"/>
        <v>租金收入（万元）</v>
      </c>
      <c r="L1714" t="str">
        <f t="shared" si="395"/>
        <v>广州保利中心项目|租金收入（万元）|年度</v>
      </c>
      <c r="M1714">
        <f>IF($A1714="",0,IF(COUNTIF($L$2:$L1714,$L1714)=1,1,0))</f>
        <v>0</v>
      </c>
      <c r="N1714">
        <f t="shared" si="396"/>
        <v>20230</v>
      </c>
      <c r="O1714" t="str">
        <f t="shared" si="397"/>
        <v>华夏保利发展封闭式商业不动产证券投资基金|2023|年度</v>
      </c>
      <c r="P1714">
        <f>IF($A1714="",0,IF(COUNTIF($O$2:$O1714,$O1714)=1,1,0))</f>
        <v>0</v>
      </c>
      <c r="Q1714" t="str">
        <f>IF(AND($P1714=1,$A1714=经营数据!$B$3,$J1714=经营数据!$BA$5),COUNTIFS($P$2:$P$3000,1,$A$2:$A$3000,$A1714,$J$2:$J$3000,$J1714,$N$2:$N$3000,"&lt;"&amp;$N1714)+1,"")</f>
        <v/>
      </c>
      <c r="R1714" t="str">
        <f t="shared" si="398"/>
        <v>华夏保利发展封闭式商业不动产证券投资基金|广州保利中心项目</v>
      </c>
      <c r="S1714">
        <f>IF($A1714="",0,IF(COUNTIF($R$2:$R1714,$R1714)=1,1,0))</f>
        <v>0</v>
      </c>
      <c r="T1714">
        <f t="shared" si="399"/>
        <v>1709</v>
      </c>
      <c r="U1714" t="str">
        <f>IF($A1714="","",IF($A1714=经营数据!$B$3,COUNTIFS($S$2:$S$3000,1,$A$2:$A$3000,$A1714,$T$2:$T$3000,"&lt;"&amp;$T1714)+1,""))</f>
        <v/>
      </c>
      <c r="V1714" t="str">
        <f t="shared" si="400"/>
        <v>广州保利中心项目|服务金额</v>
      </c>
      <c r="W1714">
        <f t="shared" si="401"/>
        <v>1710</v>
      </c>
      <c r="X1714" t="str">
        <f t="shared" si="402"/>
        <v>广州保利中心项目|租金收入</v>
      </c>
      <c r="Y1714">
        <f t="shared" si="403"/>
        <v>1710</v>
      </c>
      <c r="Z1714">
        <f>IF($A1714="",0,IF(AND($M1714=1,$A1714=经营数据!$B$3,$J1714=经营数据!$BA$5,OR($I1714=经营数据!$BA$4,COUNTIF(经营数据!$AA$9:$AA$38,$I1714)&gt;0)),1,0))</f>
        <v>0</v>
      </c>
      <c r="AA1714" t="str">
        <f t="shared" si="404"/>
        <v/>
      </c>
      <c r="AB1714" t="str">
        <f t="shared" si="405"/>
        <v/>
      </c>
      <c r="AC1714">
        <f>IF($A1714="",0,IF(COUNTIF($A$2:$A1714,$A1714)=1,1,0))</f>
        <v>0</v>
      </c>
      <c r="AD1714">
        <f t="shared" si="406"/>
        <v>19</v>
      </c>
      <c r="AE1714" t="str">
        <f t="shared" si="407"/>
        <v>广州保利中心项目|租金收入（万元）</v>
      </c>
    </row>
    <row r="1715" spans="1:31" x14ac:dyDescent="0.4">
      <c r="A1715" t="str">
        <f>IF(原始经营数据!$D1716="","",原始经营数据!$D1716)</f>
        <v>华夏保利发展封闭式商业不动产证券投资基金</v>
      </c>
      <c r="B1715" t="str">
        <f>IF(原始经营数据!$D1716="","",T(原始经营数据!$E1716))</f>
        <v>广州保利中心项目</v>
      </c>
      <c r="C1715" t="str">
        <f>IF(原始经营数据!$D1716="","",原始经营数据!$F1716)</f>
        <v>2023</v>
      </c>
      <c r="D1715" t="str">
        <f>IF(原始经营数据!$D1716="","",原始经营数据!$H1716)</f>
        <v>平均租金单价</v>
      </c>
      <c r="E1715">
        <f>IF(原始经营数据!$D1716="","",原始经营数据!$I1716)</f>
        <v>133.56</v>
      </c>
      <c r="F1715" t="str">
        <f>IF(原始经营数据!$D1716="","",T(原始经营数据!$J1716))</f>
        <v>元/平方米/月</v>
      </c>
      <c r="G1715" t="str">
        <f>IF(原始经营数据!$D1716="","",T(原始经营数据!$K1716))</f>
        <v/>
      </c>
      <c r="H1715" t="str">
        <f>IF(原始经营数据!$D1716="","",原始经营数据!$G1716)</f>
        <v>服务价格</v>
      </c>
      <c r="I1715" t="str">
        <f>IF($A1715="","",IF($B1715&lt;&gt;"",$B1715,IF(COUNTIFS(原始经营数据!$D$3:$D$3001,$A1715,原始经营数据!$E$3:$E$3001,"",原始经营数据!$F$3:$F$3001,$C1715,原始经营数据!$H$3:$H$3001,$D1715,原始经营数据!$K$3:$K$3001,$G1715)&gt;1,"基金整体·来源"&amp;原始经营数据!$A1716,"基金整体")))</f>
        <v>广州保利中心项目</v>
      </c>
      <c r="J1715" t="str">
        <f t="shared" si="393"/>
        <v>年度</v>
      </c>
      <c r="K1715" t="str">
        <f t="shared" si="394"/>
        <v>平均租金单价（元/平方米/月）</v>
      </c>
      <c r="L1715" t="str">
        <f t="shared" si="395"/>
        <v>广州保利中心项目|平均租金单价（元/平方米/月）|年度</v>
      </c>
      <c r="M1715">
        <f>IF($A1715="",0,IF(COUNTIF($L$2:$L1715,$L1715)=1,1,0))</f>
        <v>0</v>
      </c>
      <c r="N1715">
        <f t="shared" si="396"/>
        <v>20230</v>
      </c>
      <c r="O1715" t="str">
        <f t="shared" si="397"/>
        <v>华夏保利发展封闭式商业不动产证券投资基金|2023|年度</v>
      </c>
      <c r="P1715">
        <f>IF($A1715="",0,IF(COUNTIF($O$2:$O1715,$O1715)=1,1,0))</f>
        <v>0</v>
      </c>
      <c r="Q1715" t="str">
        <f>IF(AND($P1715=1,$A1715=经营数据!$B$3,$J1715=经营数据!$BA$5),COUNTIFS($P$2:$P$3000,1,$A$2:$A$3000,$A1715,$J$2:$J$3000,$J1715,$N$2:$N$3000,"&lt;"&amp;$N1715)+1,"")</f>
        <v/>
      </c>
      <c r="R1715" t="str">
        <f t="shared" si="398"/>
        <v>华夏保利发展封闭式商业不动产证券投资基金|广州保利中心项目</v>
      </c>
      <c r="S1715">
        <f>IF($A1715="",0,IF(COUNTIF($R$2:$R1715,$R1715)=1,1,0))</f>
        <v>0</v>
      </c>
      <c r="T1715">
        <f t="shared" si="399"/>
        <v>1709</v>
      </c>
      <c r="U1715" t="str">
        <f>IF($A1715="","",IF($A1715=经营数据!$B$3,COUNTIFS($S$2:$S$3000,1,$A$2:$A$3000,$A1715,$T$2:$T$3000,"&lt;"&amp;$T1715)+1,""))</f>
        <v/>
      </c>
      <c r="V1715" t="str">
        <f t="shared" si="400"/>
        <v>广州保利中心项目|服务价格</v>
      </c>
      <c r="W1715">
        <f t="shared" si="401"/>
        <v>1711</v>
      </c>
      <c r="X1715" t="str">
        <f t="shared" si="402"/>
        <v>广州保利中心项目|平均租金单价</v>
      </c>
      <c r="Y1715">
        <f t="shared" si="403"/>
        <v>1711</v>
      </c>
      <c r="Z1715">
        <f>IF($A1715="",0,IF(AND($M1715=1,$A1715=经营数据!$B$3,$J1715=经营数据!$BA$5,OR($I1715=经营数据!$BA$4,COUNTIF(经营数据!$AA$9:$AA$38,$I1715)&gt;0)),1,0))</f>
        <v>0</v>
      </c>
      <c r="AA1715" t="str">
        <f t="shared" si="404"/>
        <v/>
      </c>
      <c r="AB1715" t="str">
        <f t="shared" si="405"/>
        <v/>
      </c>
      <c r="AC1715">
        <f>IF($A1715="",0,IF(COUNTIF($A$2:$A1715,$A1715)=1,1,0))</f>
        <v>0</v>
      </c>
      <c r="AD1715">
        <f t="shared" si="406"/>
        <v>19</v>
      </c>
      <c r="AE1715" t="str">
        <f t="shared" si="407"/>
        <v>广州保利中心项目|平均租金单价（元/平方米/月）</v>
      </c>
    </row>
    <row r="1716" spans="1:31" x14ac:dyDescent="0.4">
      <c r="A1716" t="str">
        <f>IF(原始经营数据!$D1717="","",原始经营数据!$D1717)</f>
        <v>华夏保利发展封闭式商业不动产证券投资基金</v>
      </c>
      <c r="B1716" t="str">
        <f>IF(原始经营数据!$D1717="","",T(原始经营数据!$E1717))</f>
        <v>广州保利中心项目</v>
      </c>
      <c r="C1716" t="str">
        <f>IF(原始经营数据!$D1717="","",原始经营数据!$F1717)</f>
        <v>2023</v>
      </c>
      <c r="D1716" t="str">
        <f>IF(原始经营数据!$D1717="","",原始经营数据!$H1717)</f>
        <v>出租率</v>
      </c>
      <c r="E1716">
        <f>IF(原始经营数据!$D1717="","",原始经营数据!$I1717)</f>
        <v>76.569999999999993</v>
      </c>
      <c r="F1716" t="str">
        <f>IF(原始经营数据!$D1717="","",T(原始经营数据!$J1717))</f>
        <v>%</v>
      </c>
      <c r="G1716" t="str">
        <f>IF(原始经营数据!$D1717="","",T(原始经营数据!$K1717))</f>
        <v/>
      </c>
      <c r="H1716" t="str">
        <f>IF(原始经营数据!$D1717="","",原始经营数据!$G1717)</f>
        <v>服务效率</v>
      </c>
      <c r="I1716" t="str">
        <f>IF($A1716="","",IF($B1716&lt;&gt;"",$B1716,IF(COUNTIFS(原始经营数据!$D$3:$D$3001,$A1716,原始经营数据!$E$3:$E$3001,"",原始经营数据!$F$3:$F$3001,$C1716,原始经营数据!$H$3:$H$3001,$D1716,原始经营数据!$K$3:$K$3001,$G1716)&gt;1,"基金整体·来源"&amp;原始经营数据!$A1717,"基金整体")))</f>
        <v>广州保利中心项目</v>
      </c>
      <c r="J1716" t="str">
        <f t="shared" si="393"/>
        <v>年度</v>
      </c>
      <c r="K1716" t="str">
        <f t="shared" si="394"/>
        <v>出租率（%）</v>
      </c>
      <c r="L1716" t="str">
        <f t="shared" si="395"/>
        <v>广州保利中心项目|出租率（%）|年度</v>
      </c>
      <c r="M1716">
        <f>IF($A1716="",0,IF(COUNTIF($L$2:$L1716,$L1716)=1,1,0))</f>
        <v>0</v>
      </c>
      <c r="N1716">
        <f t="shared" si="396"/>
        <v>20230</v>
      </c>
      <c r="O1716" t="str">
        <f t="shared" si="397"/>
        <v>华夏保利发展封闭式商业不动产证券投资基金|2023|年度</v>
      </c>
      <c r="P1716">
        <f>IF($A1716="",0,IF(COUNTIF($O$2:$O1716,$O1716)=1,1,0))</f>
        <v>0</v>
      </c>
      <c r="Q1716" t="str">
        <f>IF(AND($P1716=1,$A1716=经营数据!$B$3,$J1716=经营数据!$BA$5),COUNTIFS($P$2:$P$3000,1,$A$2:$A$3000,$A1716,$J$2:$J$3000,$J1716,$N$2:$N$3000,"&lt;"&amp;$N1716)+1,"")</f>
        <v/>
      </c>
      <c r="R1716" t="str">
        <f t="shared" si="398"/>
        <v>华夏保利发展封闭式商业不动产证券投资基金|广州保利中心项目</v>
      </c>
      <c r="S1716">
        <f>IF($A1716="",0,IF(COUNTIF($R$2:$R1716,$R1716)=1,1,0))</f>
        <v>0</v>
      </c>
      <c r="T1716">
        <f t="shared" si="399"/>
        <v>1709</v>
      </c>
      <c r="U1716" t="str">
        <f>IF($A1716="","",IF($A1716=经营数据!$B$3,COUNTIFS($S$2:$S$3000,1,$A$2:$A$3000,$A1716,$T$2:$T$3000,"&lt;"&amp;$T1716)+1,""))</f>
        <v/>
      </c>
      <c r="V1716" t="str">
        <f t="shared" si="400"/>
        <v>广州保利中心项目|服务效率</v>
      </c>
      <c r="W1716">
        <f t="shared" si="401"/>
        <v>1709</v>
      </c>
      <c r="X1716" t="str">
        <f t="shared" si="402"/>
        <v>广州保利中心项目|出租率</v>
      </c>
      <c r="Y1716">
        <f t="shared" si="403"/>
        <v>1709</v>
      </c>
      <c r="Z1716">
        <f>IF($A1716="",0,IF(AND($M1716=1,$A1716=经营数据!$B$3,$J1716=经营数据!$BA$5,OR($I1716=经营数据!$BA$4,COUNTIF(经营数据!$AA$9:$AA$38,$I1716)&gt;0)),1,0))</f>
        <v>0</v>
      </c>
      <c r="AA1716" t="str">
        <f t="shared" si="404"/>
        <v/>
      </c>
      <c r="AB1716" t="str">
        <f t="shared" si="405"/>
        <v/>
      </c>
      <c r="AC1716">
        <f>IF($A1716="",0,IF(COUNTIF($A$2:$A1716,$A1716)=1,1,0))</f>
        <v>0</v>
      </c>
      <c r="AD1716">
        <f t="shared" si="406"/>
        <v>19</v>
      </c>
      <c r="AE1716" t="str">
        <f t="shared" si="407"/>
        <v>广州保利中心项目|出租率（%）</v>
      </c>
    </row>
    <row r="1717" spans="1:31" x14ac:dyDescent="0.4">
      <c r="A1717" t="str">
        <f>IF(原始经营数据!$D1718="","",原始经营数据!$D1718)</f>
        <v>华夏保利发展封闭式商业不动产证券投资基金</v>
      </c>
      <c r="B1717" t="str">
        <f>IF(原始经营数据!$D1718="","",T(原始经营数据!$E1718))</f>
        <v>广州保利中心项目</v>
      </c>
      <c r="C1717" t="str">
        <f>IF(原始经营数据!$D1718="","",原始经营数据!$F1718)</f>
        <v>2023</v>
      </c>
      <c r="D1717" t="str">
        <f>IF(原始经营数据!$D1718="","",原始经营数据!$H1718)</f>
        <v>加权平均出租率</v>
      </c>
      <c r="E1717">
        <f>IF(原始经营数据!$D1718="","",原始经营数据!$I1718)</f>
        <v>85.91</v>
      </c>
      <c r="F1717" t="str">
        <f>IF(原始经营数据!$D1718="","",T(原始经营数据!$J1718))</f>
        <v>%</v>
      </c>
      <c r="G1717" t="str">
        <f>IF(原始经营数据!$D1718="","",T(原始经营数据!$K1718))</f>
        <v/>
      </c>
      <c r="H1717" t="str">
        <f>IF(原始经营数据!$D1718="","",原始经营数据!$G1718)</f>
        <v>服务效率</v>
      </c>
      <c r="I1717" t="str">
        <f>IF($A1717="","",IF($B1717&lt;&gt;"",$B1717,IF(COUNTIFS(原始经营数据!$D$3:$D$3001,$A1717,原始经营数据!$E$3:$E$3001,"",原始经营数据!$F$3:$F$3001,$C1717,原始经营数据!$H$3:$H$3001,$D1717,原始经营数据!$K$3:$K$3001,$G1717)&gt;1,"基金整体·来源"&amp;原始经营数据!$A1718,"基金整体")))</f>
        <v>广州保利中心项目</v>
      </c>
      <c r="J1717" t="str">
        <f t="shared" si="393"/>
        <v>年度</v>
      </c>
      <c r="K1717" t="str">
        <f t="shared" si="394"/>
        <v>加权平均出租率（%）</v>
      </c>
      <c r="L1717" t="str">
        <f t="shared" si="395"/>
        <v>广州保利中心项目|加权平均出租率（%）|年度</v>
      </c>
      <c r="M1717">
        <f>IF($A1717="",0,IF(COUNTIF($L$2:$L1717,$L1717)=1,1,0))</f>
        <v>0</v>
      </c>
      <c r="N1717">
        <f t="shared" si="396"/>
        <v>20230</v>
      </c>
      <c r="O1717" t="str">
        <f t="shared" si="397"/>
        <v>华夏保利发展封闭式商业不动产证券投资基金|2023|年度</v>
      </c>
      <c r="P1717">
        <f>IF($A1717="",0,IF(COUNTIF($O$2:$O1717,$O1717)=1,1,0))</f>
        <v>0</v>
      </c>
      <c r="Q1717" t="str">
        <f>IF(AND($P1717=1,$A1717=经营数据!$B$3,$J1717=经营数据!$BA$5),COUNTIFS($P$2:$P$3000,1,$A$2:$A$3000,$A1717,$J$2:$J$3000,$J1717,$N$2:$N$3000,"&lt;"&amp;$N1717)+1,"")</f>
        <v/>
      </c>
      <c r="R1717" t="str">
        <f t="shared" si="398"/>
        <v>华夏保利发展封闭式商业不动产证券投资基金|广州保利中心项目</v>
      </c>
      <c r="S1717">
        <f>IF($A1717="",0,IF(COUNTIF($R$2:$R1717,$R1717)=1,1,0))</f>
        <v>0</v>
      </c>
      <c r="T1717">
        <f t="shared" si="399"/>
        <v>1709</v>
      </c>
      <c r="U1717" t="str">
        <f>IF($A1717="","",IF($A1717=经营数据!$B$3,COUNTIFS($S$2:$S$3000,1,$A$2:$A$3000,$A1717,$T$2:$T$3000,"&lt;"&amp;$T1717)+1,""))</f>
        <v/>
      </c>
      <c r="V1717" t="str">
        <f t="shared" si="400"/>
        <v>广州保利中心项目|服务效率</v>
      </c>
      <c r="W1717">
        <f t="shared" si="401"/>
        <v>1709</v>
      </c>
      <c r="X1717" t="str">
        <f t="shared" si="402"/>
        <v>广州保利中心项目|加权平均出租率</v>
      </c>
      <c r="Y1717">
        <f t="shared" si="403"/>
        <v>1712</v>
      </c>
      <c r="Z1717">
        <f>IF($A1717="",0,IF(AND($M1717=1,$A1717=经营数据!$B$3,$J1717=经营数据!$BA$5,OR($I1717=经营数据!$BA$4,COUNTIF(经营数据!$AA$9:$AA$38,$I1717)&gt;0)),1,0))</f>
        <v>0</v>
      </c>
      <c r="AA1717" t="str">
        <f t="shared" si="404"/>
        <v/>
      </c>
      <c r="AB1717" t="str">
        <f t="shared" si="405"/>
        <v/>
      </c>
      <c r="AC1717">
        <f>IF($A1717="",0,IF(COUNTIF($A$2:$A1717,$A1717)=1,1,0))</f>
        <v>0</v>
      </c>
      <c r="AD1717">
        <f t="shared" si="406"/>
        <v>19</v>
      </c>
      <c r="AE1717" t="str">
        <f t="shared" si="407"/>
        <v>广州保利中心项目|加权平均出租率（%）</v>
      </c>
    </row>
    <row r="1718" spans="1:31" x14ac:dyDescent="0.4">
      <c r="A1718" t="str">
        <f>IF(原始经营数据!$D1719="","",原始经营数据!$D1719)</f>
        <v>华夏保利发展封闭式商业不动产证券投资基金</v>
      </c>
      <c r="B1718" t="str">
        <f>IF(原始经营数据!$D1719="","",T(原始经营数据!$E1719))</f>
        <v>广州保利中心项目</v>
      </c>
      <c r="C1718" t="str">
        <f>IF(原始经营数据!$D1719="","",原始经营数据!$F1719)</f>
        <v>2024</v>
      </c>
      <c r="D1718" t="str">
        <f>IF(原始经营数据!$D1719="","",原始经营数据!$H1719)</f>
        <v>平均租金单价</v>
      </c>
      <c r="E1718">
        <f>IF(原始经营数据!$D1719="","",原始经营数据!$I1719)</f>
        <v>116.7</v>
      </c>
      <c r="F1718" t="str">
        <f>IF(原始经营数据!$D1719="","",T(原始经营数据!$J1719))</f>
        <v>元/平方米/月</v>
      </c>
      <c r="G1718" t="str">
        <f>IF(原始经营数据!$D1719="","",T(原始经营数据!$K1719))</f>
        <v/>
      </c>
      <c r="H1718" t="str">
        <f>IF(原始经营数据!$D1719="","",原始经营数据!$G1719)</f>
        <v>服务价格</v>
      </c>
      <c r="I1718" t="str">
        <f>IF($A1718="","",IF($B1718&lt;&gt;"",$B1718,IF(COUNTIFS(原始经营数据!$D$3:$D$3001,$A1718,原始经营数据!$E$3:$E$3001,"",原始经营数据!$F$3:$F$3001,$C1718,原始经营数据!$H$3:$H$3001,$D1718,原始经营数据!$K$3:$K$3001,$G1718)&gt;1,"基金整体·来源"&amp;原始经营数据!$A1719,"基金整体")))</f>
        <v>广州保利中心项目</v>
      </c>
      <c r="J1718" t="str">
        <f t="shared" si="393"/>
        <v>年度</v>
      </c>
      <c r="K1718" t="str">
        <f t="shared" si="394"/>
        <v>平均租金单价（元/平方米/月）</v>
      </c>
      <c r="L1718" t="str">
        <f t="shared" si="395"/>
        <v>广州保利中心项目|平均租金单价（元/平方米/月）|年度</v>
      </c>
      <c r="M1718">
        <f>IF($A1718="",0,IF(COUNTIF($L$2:$L1718,$L1718)=1,1,0))</f>
        <v>0</v>
      </c>
      <c r="N1718">
        <f t="shared" si="396"/>
        <v>20240</v>
      </c>
      <c r="O1718" t="str">
        <f t="shared" si="397"/>
        <v>华夏保利发展封闭式商业不动产证券投资基金|2024|年度</v>
      </c>
      <c r="P1718">
        <f>IF($A1718="",0,IF(COUNTIF($O$2:$O1718,$O1718)=1,1,0))</f>
        <v>0</v>
      </c>
      <c r="Q1718" t="str">
        <f>IF(AND($P1718=1,$A1718=经营数据!$B$3,$J1718=经营数据!$BA$5),COUNTIFS($P$2:$P$3000,1,$A$2:$A$3000,$A1718,$J$2:$J$3000,$J1718,$N$2:$N$3000,"&lt;"&amp;$N1718)+1,"")</f>
        <v/>
      </c>
      <c r="R1718" t="str">
        <f t="shared" si="398"/>
        <v>华夏保利发展封闭式商业不动产证券投资基金|广州保利中心项目</v>
      </c>
      <c r="S1718">
        <f>IF($A1718="",0,IF(COUNTIF($R$2:$R1718,$R1718)=1,1,0))</f>
        <v>0</v>
      </c>
      <c r="T1718">
        <f t="shared" si="399"/>
        <v>1709</v>
      </c>
      <c r="U1718" t="str">
        <f>IF($A1718="","",IF($A1718=经营数据!$B$3,COUNTIFS($S$2:$S$3000,1,$A$2:$A$3000,$A1718,$T$2:$T$3000,"&lt;"&amp;$T1718)+1,""))</f>
        <v/>
      </c>
      <c r="V1718" t="str">
        <f t="shared" si="400"/>
        <v>广州保利中心项目|服务价格</v>
      </c>
      <c r="W1718">
        <f t="shared" si="401"/>
        <v>1711</v>
      </c>
      <c r="X1718" t="str">
        <f t="shared" si="402"/>
        <v>广州保利中心项目|平均租金单价</v>
      </c>
      <c r="Y1718">
        <f t="shared" si="403"/>
        <v>1711</v>
      </c>
      <c r="Z1718">
        <f>IF($A1718="",0,IF(AND($M1718=1,$A1718=经营数据!$B$3,$J1718=经营数据!$BA$5,OR($I1718=经营数据!$BA$4,COUNTIF(经营数据!$AA$9:$AA$38,$I1718)&gt;0)),1,0))</f>
        <v>0</v>
      </c>
      <c r="AA1718" t="str">
        <f t="shared" si="404"/>
        <v/>
      </c>
      <c r="AB1718" t="str">
        <f t="shared" si="405"/>
        <v/>
      </c>
      <c r="AC1718">
        <f>IF($A1718="",0,IF(COUNTIF($A$2:$A1718,$A1718)=1,1,0))</f>
        <v>0</v>
      </c>
      <c r="AD1718">
        <f t="shared" si="406"/>
        <v>19</v>
      </c>
      <c r="AE1718" t="str">
        <f t="shared" si="407"/>
        <v>广州保利中心项目|平均租金单价（元/平方米/月）</v>
      </c>
    </row>
    <row r="1719" spans="1:31" x14ac:dyDescent="0.4">
      <c r="A1719" t="str">
        <f>IF(原始经营数据!$D1720="","",原始经营数据!$D1720)</f>
        <v>华夏保利发展封闭式商业不动产证券投资基金</v>
      </c>
      <c r="B1719" t="str">
        <f>IF(原始经营数据!$D1720="","",T(原始经营数据!$E1720))</f>
        <v>广州保利中心项目</v>
      </c>
      <c r="C1719" t="str">
        <f>IF(原始经营数据!$D1720="","",原始经营数据!$F1720)</f>
        <v>2024</v>
      </c>
      <c r="D1719" t="str">
        <f>IF(原始经营数据!$D1720="","",原始经营数据!$H1720)</f>
        <v>租金收入</v>
      </c>
      <c r="E1719">
        <f>IF(原始经营数据!$D1720="","",原始经营数据!$I1720)</f>
        <v>8878.73</v>
      </c>
      <c r="F1719" t="str">
        <f>IF(原始经营数据!$D1720="","",T(原始经营数据!$J1720))</f>
        <v>万元</v>
      </c>
      <c r="G1719" t="str">
        <f>IF(原始经营数据!$D1720="","",T(原始经营数据!$K1720))</f>
        <v/>
      </c>
      <c r="H1719" t="str">
        <f>IF(原始经营数据!$D1720="","",原始经营数据!$G1720)</f>
        <v>服务金额</v>
      </c>
      <c r="I1719" t="str">
        <f>IF($A1719="","",IF($B1719&lt;&gt;"",$B1719,IF(COUNTIFS(原始经营数据!$D$3:$D$3001,$A1719,原始经营数据!$E$3:$E$3001,"",原始经营数据!$F$3:$F$3001,$C1719,原始经营数据!$H$3:$H$3001,$D1719,原始经营数据!$K$3:$K$3001,$G1719)&gt;1,"基金整体·来源"&amp;原始经营数据!$A1720,"基金整体")))</f>
        <v>广州保利中心项目</v>
      </c>
      <c r="J1719" t="str">
        <f t="shared" si="393"/>
        <v>年度</v>
      </c>
      <c r="K1719" t="str">
        <f t="shared" si="394"/>
        <v>租金收入（万元）</v>
      </c>
      <c r="L1719" t="str">
        <f t="shared" si="395"/>
        <v>广州保利中心项目|租金收入（万元）|年度</v>
      </c>
      <c r="M1719">
        <f>IF($A1719="",0,IF(COUNTIF($L$2:$L1719,$L1719)=1,1,0))</f>
        <v>0</v>
      </c>
      <c r="N1719">
        <f t="shared" si="396"/>
        <v>20240</v>
      </c>
      <c r="O1719" t="str">
        <f t="shared" si="397"/>
        <v>华夏保利发展封闭式商业不动产证券投资基金|2024|年度</v>
      </c>
      <c r="P1719">
        <f>IF($A1719="",0,IF(COUNTIF($O$2:$O1719,$O1719)=1,1,0))</f>
        <v>0</v>
      </c>
      <c r="Q1719" t="str">
        <f>IF(AND($P1719=1,$A1719=经营数据!$B$3,$J1719=经营数据!$BA$5),COUNTIFS($P$2:$P$3000,1,$A$2:$A$3000,$A1719,$J$2:$J$3000,$J1719,$N$2:$N$3000,"&lt;"&amp;$N1719)+1,"")</f>
        <v/>
      </c>
      <c r="R1719" t="str">
        <f t="shared" si="398"/>
        <v>华夏保利发展封闭式商业不动产证券投资基金|广州保利中心项目</v>
      </c>
      <c r="S1719">
        <f>IF($A1719="",0,IF(COUNTIF($R$2:$R1719,$R1719)=1,1,0))</f>
        <v>0</v>
      </c>
      <c r="T1719">
        <f t="shared" si="399"/>
        <v>1709</v>
      </c>
      <c r="U1719" t="str">
        <f>IF($A1719="","",IF($A1719=经营数据!$B$3,COUNTIFS($S$2:$S$3000,1,$A$2:$A$3000,$A1719,$T$2:$T$3000,"&lt;"&amp;$T1719)+1,""))</f>
        <v/>
      </c>
      <c r="V1719" t="str">
        <f t="shared" si="400"/>
        <v>广州保利中心项目|服务金额</v>
      </c>
      <c r="W1719">
        <f t="shared" si="401"/>
        <v>1710</v>
      </c>
      <c r="X1719" t="str">
        <f t="shared" si="402"/>
        <v>广州保利中心项目|租金收入</v>
      </c>
      <c r="Y1719">
        <f t="shared" si="403"/>
        <v>1710</v>
      </c>
      <c r="Z1719">
        <f>IF($A1719="",0,IF(AND($M1719=1,$A1719=经营数据!$B$3,$J1719=经营数据!$BA$5,OR($I1719=经营数据!$BA$4,COUNTIF(经营数据!$AA$9:$AA$38,$I1719)&gt;0)),1,0))</f>
        <v>0</v>
      </c>
      <c r="AA1719" t="str">
        <f t="shared" si="404"/>
        <v/>
      </c>
      <c r="AB1719" t="str">
        <f t="shared" si="405"/>
        <v/>
      </c>
      <c r="AC1719">
        <f>IF($A1719="",0,IF(COUNTIF($A$2:$A1719,$A1719)=1,1,0))</f>
        <v>0</v>
      </c>
      <c r="AD1719">
        <f t="shared" si="406"/>
        <v>19</v>
      </c>
      <c r="AE1719" t="str">
        <f t="shared" si="407"/>
        <v>广州保利中心项目|租金收入（万元）</v>
      </c>
    </row>
    <row r="1720" spans="1:31" x14ac:dyDescent="0.4">
      <c r="A1720" t="str">
        <f>IF(原始经营数据!$D1721="","",原始经营数据!$D1721)</f>
        <v>华夏保利发展封闭式商业不动产证券投资基金</v>
      </c>
      <c r="B1720" t="str">
        <f>IF(原始经营数据!$D1721="","",T(原始经营数据!$E1721))</f>
        <v>广州保利中心项目</v>
      </c>
      <c r="C1720" t="str">
        <f>IF(原始经营数据!$D1721="","",原始经营数据!$F1721)</f>
        <v>2024</v>
      </c>
      <c r="D1720" t="str">
        <f>IF(原始经营数据!$D1721="","",原始经营数据!$H1721)</f>
        <v>加权平均出租率</v>
      </c>
      <c r="E1720">
        <f>IF(原始经营数据!$D1721="","",原始经营数据!$I1721)</f>
        <v>72.73</v>
      </c>
      <c r="F1720" t="str">
        <f>IF(原始经营数据!$D1721="","",T(原始经营数据!$J1721))</f>
        <v>%</v>
      </c>
      <c r="G1720" t="str">
        <f>IF(原始经营数据!$D1721="","",T(原始经营数据!$K1721))</f>
        <v/>
      </c>
      <c r="H1720" t="str">
        <f>IF(原始经营数据!$D1721="","",原始经营数据!$G1721)</f>
        <v>服务效率</v>
      </c>
      <c r="I1720" t="str">
        <f>IF($A1720="","",IF($B1720&lt;&gt;"",$B1720,IF(COUNTIFS(原始经营数据!$D$3:$D$3001,$A1720,原始经营数据!$E$3:$E$3001,"",原始经营数据!$F$3:$F$3001,$C1720,原始经营数据!$H$3:$H$3001,$D1720,原始经营数据!$K$3:$K$3001,$G1720)&gt;1,"基金整体·来源"&amp;原始经营数据!$A1721,"基金整体")))</f>
        <v>广州保利中心项目</v>
      </c>
      <c r="J1720" t="str">
        <f t="shared" si="393"/>
        <v>年度</v>
      </c>
      <c r="K1720" t="str">
        <f t="shared" si="394"/>
        <v>加权平均出租率（%）</v>
      </c>
      <c r="L1720" t="str">
        <f t="shared" si="395"/>
        <v>广州保利中心项目|加权平均出租率（%）|年度</v>
      </c>
      <c r="M1720">
        <f>IF($A1720="",0,IF(COUNTIF($L$2:$L1720,$L1720)=1,1,0))</f>
        <v>0</v>
      </c>
      <c r="N1720">
        <f t="shared" si="396"/>
        <v>20240</v>
      </c>
      <c r="O1720" t="str">
        <f t="shared" si="397"/>
        <v>华夏保利发展封闭式商业不动产证券投资基金|2024|年度</v>
      </c>
      <c r="P1720">
        <f>IF($A1720="",0,IF(COUNTIF($O$2:$O1720,$O1720)=1,1,0))</f>
        <v>0</v>
      </c>
      <c r="Q1720" t="str">
        <f>IF(AND($P1720=1,$A1720=经营数据!$B$3,$J1720=经营数据!$BA$5),COUNTIFS($P$2:$P$3000,1,$A$2:$A$3000,$A1720,$J$2:$J$3000,$J1720,$N$2:$N$3000,"&lt;"&amp;$N1720)+1,"")</f>
        <v/>
      </c>
      <c r="R1720" t="str">
        <f t="shared" si="398"/>
        <v>华夏保利发展封闭式商业不动产证券投资基金|广州保利中心项目</v>
      </c>
      <c r="S1720">
        <f>IF($A1720="",0,IF(COUNTIF($R$2:$R1720,$R1720)=1,1,0))</f>
        <v>0</v>
      </c>
      <c r="T1720">
        <f t="shared" si="399"/>
        <v>1709</v>
      </c>
      <c r="U1720" t="str">
        <f>IF($A1720="","",IF($A1720=经营数据!$B$3,COUNTIFS($S$2:$S$3000,1,$A$2:$A$3000,$A1720,$T$2:$T$3000,"&lt;"&amp;$T1720)+1,""))</f>
        <v/>
      </c>
      <c r="V1720" t="str">
        <f t="shared" si="400"/>
        <v>广州保利中心项目|服务效率</v>
      </c>
      <c r="W1720">
        <f t="shared" si="401"/>
        <v>1709</v>
      </c>
      <c r="X1720" t="str">
        <f t="shared" si="402"/>
        <v>广州保利中心项目|加权平均出租率</v>
      </c>
      <c r="Y1720">
        <f t="shared" si="403"/>
        <v>1712</v>
      </c>
      <c r="Z1720">
        <f>IF($A1720="",0,IF(AND($M1720=1,$A1720=经营数据!$B$3,$J1720=经营数据!$BA$5,OR($I1720=经营数据!$BA$4,COUNTIF(经营数据!$AA$9:$AA$38,$I1720)&gt;0)),1,0))</f>
        <v>0</v>
      </c>
      <c r="AA1720" t="str">
        <f t="shared" si="404"/>
        <v/>
      </c>
      <c r="AB1720" t="str">
        <f t="shared" si="405"/>
        <v/>
      </c>
      <c r="AC1720">
        <f>IF($A1720="",0,IF(COUNTIF($A$2:$A1720,$A1720)=1,1,0))</f>
        <v>0</v>
      </c>
      <c r="AD1720">
        <f t="shared" si="406"/>
        <v>19</v>
      </c>
      <c r="AE1720" t="str">
        <f t="shared" si="407"/>
        <v>广州保利中心项目|加权平均出租率（%）</v>
      </c>
    </row>
    <row r="1721" spans="1:31" x14ac:dyDescent="0.4">
      <c r="A1721" t="str">
        <f>IF(原始经营数据!$D1722="","",原始经营数据!$D1722)</f>
        <v>华夏保利发展封闭式商业不动产证券投资基金</v>
      </c>
      <c r="B1721" t="str">
        <f>IF(原始经营数据!$D1722="","",T(原始经营数据!$E1722))</f>
        <v>广州保利中心项目</v>
      </c>
      <c r="C1721" t="str">
        <f>IF(原始经营数据!$D1722="","",原始经营数据!$F1722)</f>
        <v>2024</v>
      </c>
      <c r="D1721" t="str">
        <f>IF(原始经营数据!$D1722="","",原始经营数据!$H1722)</f>
        <v>出租率</v>
      </c>
      <c r="E1721">
        <f>IF(原始经营数据!$D1722="","",原始经营数据!$I1722)</f>
        <v>71.73</v>
      </c>
      <c r="F1721" t="str">
        <f>IF(原始经营数据!$D1722="","",T(原始经营数据!$J1722))</f>
        <v>%</v>
      </c>
      <c r="G1721" t="str">
        <f>IF(原始经营数据!$D1722="","",T(原始经营数据!$K1722))</f>
        <v/>
      </c>
      <c r="H1721" t="str">
        <f>IF(原始经营数据!$D1722="","",原始经营数据!$G1722)</f>
        <v>服务效率</v>
      </c>
      <c r="I1721" t="str">
        <f>IF($A1721="","",IF($B1721&lt;&gt;"",$B1721,IF(COUNTIFS(原始经营数据!$D$3:$D$3001,$A1721,原始经营数据!$E$3:$E$3001,"",原始经营数据!$F$3:$F$3001,$C1721,原始经营数据!$H$3:$H$3001,$D1721,原始经营数据!$K$3:$K$3001,$G1721)&gt;1,"基金整体·来源"&amp;原始经营数据!$A1722,"基金整体")))</f>
        <v>广州保利中心项目</v>
      </c>
      <c r="J1721" t="str">
        <f t="shared" si="393"/>
        <v>年度</v>
      </c>
      <c r="K1721" t="str">
        <f t="shared" si="394"/>
        <v>出租率（%）</v>
      </c>
      <c r="L1721" t="str">
        <f t="shared" si="395"/>
        <v>广州保利中心项目|出租率（%）|年度</v>
      </c>
      <c r="M1721">
        <f>IF($A1721="",0,IF(COUNTIF($L$2:$L1721,$L1721)=1,1,0))</f>
        <v>0</v>
      </c>
      <c r="N1721">
        <f t="shared" si="396"/>
        <v>20240</v>
      </c>
      <c r="O1721" t="str">
        <f t="shared" si="397"/>
        <v>华夏保利发展封闭式商业不动产证券投资基金|2024|年度</v>
      </c>
      <c r="P1721">
        <f>IF($A1721="",0,IF(COUNTIF($O$2:$O1721,$O1721)=1,1,0))</f>
        <v>0</v>
      </c>
      <c r="Q1721" t="str">
        <f>IF(AND($P1721=1,$A1721=经营数据!$B$3,$J1721=经营数据!$BA$5),COUNTIFS($P$2:$P$3000,1,$A$2:$A$3000,$A1721,$J$2:$J$3000,$J1721,$N$2:$N$3000,"&lt;"&amp;$N1721)+1,"")</f>
        <v/>
      </c>
      <c r="R1721" t="str">
        <f t="shared" si="398"/>
        <v>华夏保利发展封闭式商业不动产证券投资基金|广州保利中心项目</v>
      </c>
      <c r="S1721">
        <f>IF($A1721="",0,IF(COUNTIF($R$2:$R1721,$R1721)=1,1,0))</f>
        <v>0</v>
      </c>
      <c r="T1721">
        <f t="shared" si="399"/>
        <v>1709</v>
      </c>
      <c r="U1721" t="str">
        <f>IF($A1721="","",IF($A1721=经营数据!$B$3,COUNTIFS($S$2:$S$3000,1,$A$2:$A$3000,$A1721,$T$2:$T$3000,"&lt;"&amp;$T1721)+1,""))</f>
        <v/>
      </c>
      <c r="V1721" t="str">
        <f t="shared" si="400"/>
        <v>广州保利中心项目|服务效率</v>
      </c>
      <c r="W1721">
        <f t="shared" si="401"/>
        <v>1709</v>
      </c>
      <c r="X1721" t="str">
        <f t="shared" si="402"/>
        <v>广州保利中心项目|出租率</v>
      </c>
      <c r="Y1721">
        <f t="shared" si="403"/>
        <v>1709</v>
      </c>
      <c r="Z1721">
        <f>IF($A1721="",0,IF(AND($M1721=1,$A1721=经营数据!$B$3,$J1721=经营数据!$BA$5,OR($I1721=经营数据!$BA$4,COUNTIF(经营数据!$AA$9:$AA$38,$I1721)&gt;0)),1,0))</f>
        <v>0</v>
      </c>
      <c r="AA1721" t="str">
        <f t="shared" si="404"/>
        <v/>
      </c>
      <c r="AB1721" t="str">
        <f t="shared" si="405"/>
        <v/>
      </c>
      <c r="AC1721">
        <f>IF($A1721="",0,IF(COUNTIF($A$2:$A1721,$A1721)=1,1,0))</f>
        <v>0</v>
      </c>
      <c r="AD1721">
        <f t="shared" si="406"/>
        <v>19</v>
      </c>
      <c r="AE1721" t="str">
        <f t="shared" si="407"/>
        <v>广州保利中心项目|出租率（%）</v>
      </c>
    </row>
    <row r="1722" spans="1:31" x14ac:dyDescent="0.4">
      <c r="A1722" t="str">
        <f>IF(原始经营数据!$D1723="","",原始经营数据!$D1723)</f>
        <v>华夏保利发展封闭式商业不动产证券投资基金</v>
      </c>
      <c r="B1722" t="str">
        <f>IF(原始经营数据!$D1723="","",T(原始经营数据!$E1723))</f>
        <v>广州保利中心项目</v>
      </c>
      <c r="C1722" t="str">
        <f>IF(原始经营数据!$D1723="","",原始经营数据!$F1723)</f>
        <v>2025</v>
      </c>
      <c r="D1722" t="str">
        <f>IF(原始经营数据!$D1723="","",原始经营数据!$H1723)</f>
        <v>租金收入</v>
      </c>
      <c r="E1722">
        <f>IF(原始经营数据!$D1723="","",原始经营数据!$I1723)</f>
        <v>8244.7000000000007</v>
      </c>
      <c r="F1722" t="str">
        <f>IF(原始经营数据!$D1723="","",T(原始经营数据!$J1723))</f>
        <v>万元</v>
      </c>
      <c r="G1722" t="str">
        <f>IF(原始经营数据!$D1723="","",T(原始经营数据!$K1723))</f>
        <v/>
      </c>
      <c r="H1722" t="str">
        <f>IF(原始经营数据!$D1723="","",原始经营数据!$G1723)</f>
        <v>服务金额</v>
      </c>
      <c r="I1722" t="str">
        <f>IF($A1722="","",IF($B1722&lt;&gt;"",$B1722,IF(COUNTIFS(原始经营数据!$D$3:$D$3001,$A1722,原始经营数据!$E$3:$E$3001,"",原始经营数据!$F$3:$F$3001,$C1722,原始经营数据!$H$3:$H$3001,$D1722,原始经营数据!$K$3:$K$3001,$G1722)&gt;1,"基金整体·来源"&amp;原始经营数据!$A1723,"基金整体")))</f>
        <v>广州保利中心项目</v>
      </c>
      <c r="J1722" t="str">
        <f t="shared" si="393"/>
        <v>年度</v>
      </c>
      <c r="K1722" t="str">
        <f t="shared" si="394"/>
        <v>租金收入（万元）</v>
      </c>
      <c r="L1722" t="str">
        <f t="shared" si="395"/>
        <v>广州保利中心项目|租金收入（万元）|年度</v>
      </c>
      <c r="M1722">
        <f>IF($A1722="",0,IF(COUNTIF($L$2:$L1722,$L1722)=1,1,0))</f>
        <v>0</v>
      </c>
      <c r="N1722">
        <f t="shared" si="396"/>
        <v>20250</v>
      </c>
      <c r="O1722" t="str">
        <f t="shared" si="397"/>
        <v>华夏保利发展封闭式商业不动产证券投资基金|2025|年度</v>
      </c>
      <c r="P1722">
        <f>IF($A1722="",0,IF(COUNTIF($O$2:$O1722,$O1722)=1,1,0))</f>
        <v>0</v>
      </c>
      <c r="Q1722" t="str">
        <f>IF(AND($P1722=1,$A1722=经营数据!$B$3,$J1722=经营数据!$BA$5),COUNTIFS($P$2:$P$3000,1,$A$2:$A$3000,$A1722,$J$2:$J$3000,$J1722,$N$2:$N$3000,"&lt;"&amp;$N1722)+1,"")</f>
        <v/>
      </c>
      <c r="R1722" t="str">
        <f t="shared" si="398"/>
        <v>华夏保利发展封闭式商业不动产证券投资基金|广州保利中心项目</v>
      </c>
      <c r="S1722">
        <f>IF($A1722="",0,IF(COUNTIF($R$2:$R1722,$R1722)=1,1,0))</f>
        <v>0</v>
      </c>
      <c r="T1722">
        <f t="shared" si="399"/>
        <v>1709</v>
      </c>
      <c r="U1722" t="str">
        <f>IF($A1722="","",IF($A1722=经营数据!$B$3,COUNTIFS($S$2:$S$3000,1,$A$2:$A$3000,$A1722,$T$2:$T$3000,"&lt;"&amp;$T1722)+1,""))</f>
        <v/>
      </c>
      <c r="V1722" t="str">
        <f t="shared" si="400"/>
        <v>广州保利中心项目|服务金额</v>
      </c>
      <c r="W1722">
        <f t="shared" si="401"/>
        <v>1710</v>
      </c>
      <c r="X1722" t="str">
        <f t="shared" si="402"/>
        <v>广州保利中心项目|租金收入</v>
      </c>
      <c r="Y1722">
        <f t="shared" si="403"/>
        <v>1710</v>
      </c>
      <c r="Z1722">
        <f>IF($A1722="",0,IF(AND($M1722=1,$A1722=经营数据!$B$3,$J1722=经营数据!$BA$5,OR($I1722=经营数据!$BA$4,COUNTIF(经营数据!$AA$9:$AA$38,$I1722)&gt;0)),1,0))</f>
        <v>0</v>
      </c>
      <c r="AA1722" t="str">
        <f t="shared" si="404"/>
        <v/>
      </c>
      <c r="AB1722" t="str">
        <f t="shared" si="405"/>
        <v/>
      </c>
      <c r="AC1722">
        <f>IF($A1722="",0,IF(COUNTIF($A$2:$A1722,$A1722)=1,1,0))</f>
        <v>0</v>
      </c>
      <c r="AD1722">
        <f t="shared" si="406"/>
        <v>19</v>
      </c>
      <c r="AE1722" t="str">
        <f t="shared" si="407"/>
        <v>广州保利中心项目|租金收入（万元）</v>
      </c>
    </row>
    <row r="1723" spans="1:31" x14ac:dyDescent="0.4">
      <c r="A1723" t="str">
        <f>IF(原始经营数据!$D1724="","",原始经营数据!$D1724)</f>
        <v>华夏保利发展封闭式商业不动产证券投资基金</v>
      </c>
      <c r="B1723" t="str">
        <f>IF(原始经营数据!$D1724="","",T(原始经营数据!$E1724))</f>
        <v>广州保利中心项目</v>
      </c>
      <c r="C1723" t="str">
        <f>IF(原始经营数据!$D1724="","",原始经营数据!$F1724)</f>
        <v>2025</v>
      </c>
      <c r="D1723" t="str">
        <f>IF(原始经营数据!$D1724="","",原始经营数据!$H1724)</f>
        <v>平均租金单价</v>
      </c>
      <c r="E1723">
        <f>IF(原始经营数据!$D1724="","",原始经营数据!$I1724)</f>
        <v>108.36</v>
      </c>
      <c r="F1723" t="str">
        <f>IF(原始经营数据!$D1724="","",T(原始经营数据!$J1724))</f>
        <v>元/平方米/月</v>
      </c>
      <c r="G1723" t="str">
        <f>IF(原始经营数据!$D1724="","",T(原始经营数据!$K1724))</f>
        <v/>
      </c>
      <c r="H1723" t="str">
        <f>IF(原始经营数据!$D1724="","",原始经营数据!$G1724)</f>
        <v>服务价格</v>
      </c>
      <c r="I1723" t="str">
        <f>IF($A1723="","",IF($B1723&lt;&gt;"",$B1723,IF(COUNTIFS(原始经营数据!$D$3:$D$3001,$A1723,原始经营数据!$E$3:$E$3001,"",原始经营数据!$F$3:$F$3001,$C1723,原始经营数据!$H$3:$H$3001,$D1723,原始经营数据!$K$3:$K$3001,$G1723)&gt;1,"基金整体·来源"&amp;原始经营数据!$A1724,"基金整体")))</f>
        <v>广州保利中心项目</v>
      </c>
      <c r="J1723" t="str">
        <f t="shared" si="393"/>
        <v>年度</v>
      </c>
      <c r="K1723" t="str">
        <f t="shared" si="394"/>
        <v>平均租金单价（元/平方米/月）</v>
      </c>
      <c r="L1723" t="str">
        <f t="shared" si="395"/>
        <v>广州保利中心项目|平均租金单价（元/平方米/月）|年度</v>
      </c>
      <c r="M1723">
        <f>IF($A1723="",0,IF(COUNTIF($L$2:$L1723,$L1723)=1,1,0))</f>
        <v>0</v>
      </c>
      <c r="N1723">
        <f t="shared" si="396"/>
        <v>20250</v>
      </c>
      <c r="O1723" t="str">
        <f t="shared" si="397"/>
        <v>华夏保利发展封闭式商业不动产证券投资基金|2025|年度</v>
      </c>
      <c r="P1723">
        <f>IF($A1723="",0,IF(COUNTIF($O$2:$O1723,$O1723)=1,1,0))</f>
        <v>0</v>
      </c>
      <c r="Q1723" t="str">
        <f>IF(AND($P1723=1,$A1723=经营数据!$B$3,$J1723=经营数据!$BA$5),COUNTIFS($P$2:$P$3000,1,$A$2:$A$3000,$A1723,$J$2:$J$3000,$J1723,$N$2:$N$3000,"&lt;"&amp;$N1723)+1,"")</f>
        <v/>
      </c>
      <c r="R1723" t="str">
        <f t="shared" si="398"/>
        <v>华夏保利发展封闭式商业不动产证券投资基金|广州保利中心项目</v>
      </c>
      <c r="S1723">
        <f>IF($A1723="",0,IF(COUNTIF($R$2:$R1723,$R1723)=1,1,0))</f>
        <v>0</v>
      </c>
      <c r="T1723">
        <f t="shared" si="399"/>
        <v>1709</v>
      </c>
      <c r="U1723" t="str">
        <f>IF($A1723="","",IF($A1723=经营数据!$B$3,COUNTIFS($S$2:$S$3000,1,$A$2:$A$3000,$A1723,$T$2:$T$3000,"&lt;"&amp;$T1723)+1,""))</f>
        <v/>
      </c>
      <c r="V1723" t="str">
        <f t="shared" si="400"/>
        <v>广州保利中心项目|服务价格</v>
      </c>
      <c r="W1723">
        <f t="shared" si="401"/>
        <v>1711</v>
      </c>
      <c r="X1723" t="str">
        <f t="shared" si="402"/>
        <v>广州保利中心项目|平均租金单价</v>
      </c>
      <c r="Y1723">
        <f t="shared" si="403"/>
        <v>1711</v>
      </c>
      <c r="Z1723">
        <f>IF($A1723="",0,IF(AND($M1723=1,$A1723=经营数据!$B$3,$J1723=经营数据!$BA$5,OR($I1723=经营数据!$BA$4,COUNTIF(经营数据!$AA$9:$AA$38,$I1723)&gt;0)),1,0))</f>
        <v>0</v>
      </c>
      <c r="AA1723" t="str">
        <f t="shared" si="404"/>
        <v/>
      </c>
      <c r="AB1723" t="str">
        <f t="shared" si="405"/>
        <v/>
      </c>
      <c r="AC1723">
        <f>IF($A1723="",0,IF(COUNTIF($A$2:$A1723,$A1723)=1,1,0))</f>
        <v>0</v>
      </c>
      <c r="AD1723">
        <f t="shared" si="406"/>
        <v>19</v>
      </c>
      <c r="AE1723" t="str">
        <f t="shared" si="407"/>
        <v>广州保利中心项目|平均租金单价（元/平方米/月）</v>
      </c>
    </row>
    <row r="1724" spans="1:31" x14ac:dyDescent="0.4">
      <c r="A1724" t="str">
        <f>IF(原始经营数据!$D1725="","",原始经营数据!$D1725)</f>
        <v>华夏保利发展封闭式商业不动产证券投资基金</v>
      </c>
      <c r="B1724" t="str">
        <f>IF(原始经营数据!$D1725="","",T(原始经营数据!$E1725))</f>
        <v>广州保利中心项目</v>
      </c>
      <c r="C1724" t="str">
        <f>IF(原始经营数据!$D1725="","",原始经营数据!$F1725)</f>
        <v>2025</v>
      </c>
      <c r="D1724" t="str">
        <f>IF(原始经营数据!$D1725="","",原始经营数据!$H1725)</f>
        <v>出租率</v>
      </c>
      <c r="E1724">
        <f>IF(原始经营数据!$D1725="","",原始经营数据!$I1725)</f>
        <v>67.27</v>
      </c>
      <c r="F1724" t="str">
        <f>IF(原始经营数据!$D1725="","",T(原始经营数据!$J1725))</f>
        <v>%</v>
      </c>
      <c r="G1724" t="str">
        <f>IF(原始经营数据!$D1725="","",T(原始经营数据!$K1725))</f>
        <v/>
      </c>
      <c r="H1724" t="str">
        <f>IF(原始经营数据!$D1725="","",原始经营数据!$G1725)</f>
        <v>服务效率</v>
      </c>
      <c r="I1724" t="str">
        <f>IF($A1724="","",IF($B1724&lt;&gt;"",$B1724,IF(COUNTIFS(原始经营数据!$D$3:$D$3001,$A1724,原始经营数据!$E$3:$E$3001,"",原始经营数据!$F$3:$F$3001,$C1724,原始经营数据!$H$3:$H$3001,$D1724,原始经营数据!$K$3:$K$3001,$G1724)&gt;1,"基金整体·来源"&amp;原始经营数据!$A1725,"基金整体")))</f>
        <v>广州保利中心项目</v>
      </c>
      <c r="J1724" t="str">
        <f t="shared" si="393"/>
        <v>年度</v>
      </c>
      <c r="K1724" t="str">
        <f t="shared" si="394"/>
        <v>出租率（%）</v>
      </c>
      <c r="L1724" t="str">
        <f t="shared" si="395"/>
        <v>广州保利中心项目|出租率（%）|年度</v>
      </c>
      <c r="M1724">
        <f>IF($A1724="",0,IF(COUNTIF($L$2:$L1724,$L1724)=1,1,0))</f>
        <v>0</v>
      </c>
      <c r="N1724">
        <f t="shared" si="396"/>
        <v>20250</v>
      </c>
      <c r="O1724" t="str">
        <f t="shared" si="397"/>
        <v>华夏保利发展封闭式商业不动产证券投资基金|2025|年度</v>
      </c>
      <c r="P1724">
        <f>IF($A1724="",0,IF(COUNTIF($O$2:$O1724,$O1724)=1,1,0))</f>
        <v>0</v>
      </c>
      <c r="Q1724" t="str">
        <f>IF(AND($P1724=1,$A1724=经营数据!$B$3,$J1724=经营数据!$BA$5),COUNTIFS($P$2:$P$3000,1,$A$2:$A$3000,$A1724,$J$2:$J$3000,$J1724,$N$2:$N$3000,"&lt;"&amp;$N1724)+1,"")</f>
        <v/>
      </c>
      <c r="R1724" t="str">
        <f t="shared" si="398"/>
        <v>华夏保利发展封闭式商业不动产证券投资基金|广州保利中心项目</v>
      </c>
      <c r="S1724">
        <f>IF($A1724="",0,IF(COUNTIF($R$2:$R1724,$R1724)=1,1,0))</f>
        <v>0</v>
      </c>
      <c r="T1724">
        <f t="shared" si="399"/>
        <v>1709</v>
      </c>
      <c r="U1724" t="str">
        <f>IF($A1724="","",IF($A1724=经营数据!$B$3,COUNTIFS($S$2:$S$3000,1,$A$2:$A$3000,$A1724,$T$2:$T$3000,"&lt;"&amp;$T1724)+1,""))</f>
        <v/>
      </c>
      <c r="V1724" t="str">
        <f t="shared" si="400"/>
        <v>广州保利中心项目|服务效率</v>
      </c>
      <c r="W1724">
        <f t="shared" si="401"/>
        <v>1709</v>
      </c>
      <c r="X1724" t="str">
        <f t="shared" si="402"/>
        <v>广州保利中心项目|出租率</v>
      </c>
      <c r="Y1724">
        <f t="shared" si="403"/>
        <v>1709</v>
      </c>
      <c r="Z1724">
        <f>IF($A1724="",0,IF(AND($M1724=1,$A1724=经营数据!$B$3,$J1724=经营数据!$BA$5,OR($I1724=经营数据!$BA$4,COUNTIF(经营数据!$AA$9:$AA$38,$I1724)&gt;0)),1,0))</f>
        <v>0</v>
      </c>
      <c r="AA1724" t="str">
        <f t="shared" si="404"/>
        <v/>
      </c>
      <c r="AB1724" t="str">
        <f t="shared" si="405"/>
        <v/>
      </c>
      <c r="AC1724">
        <f>IF($A1724="",0,IF(COUNTIF($A$2:$A1724,$A1724)=1,1,0))</f>
        <v>0</v>
      </c>
      <c r="AD1724">
        <f t="shared" si="406"/>
        <v>19</v>
      </c>
      <c r="AE1724" t="str">
        <f t="shared" si="407"/>
        <v>广州保利中心项目|出租率（%）</v>
      </c>
    </row>
    <row r="1725" spans="1:31" x14ac:dyDescent="0.4">
      <c r="A1725" t="str">
        <f>IF(原始经营数据!$D1726="","",原始经营数据!$D1726)</f>
        <v>华夏保利发展封闭式商业不动产证券投资基金</v>
      </c>
      <c r="B1725" t="str">
        <f>IF(原始经营数据!$D1726="","",T(原始经营数据!$E1726))</f>
        <v>广州保利中心项目</v>
      </c>
      <c r="C1725" t="str">
        <f>IF(原始经营数据!$D1726="","",原始经营数据!$F1726)</f>
        <v>2025</v>
      </c>
      <c r="D1725" t="str">
        <f>IF(原始经营数据!$D1726="","",原始经营数据!$H1726)</f>
        <v>加权平均出租率</v>
      </c>
      <c r="E1725">
        <f>IF(原始经营数据!$D1726="","",原始经营数据!$I1726)</f>
        <v>69</v>
      </c>
      <c r="F1725" t="str">
        <f>IF(原始经营数据!$D1726="","",T(原始经营数据!$J1726))</f>
        <v>%</v>
      </c>
      <c r="G1725" t="str">
        <f>IF(原始经营数据!$D1726="","",T(原始经营数据!$K1726))</f>
        <v/>
      </c>
      <c r="H1725" t="str">
        <f>IF(原始经营数据!$D1726="","",原始经营数据!$G1726)</f>
        <v>服务效率</v>
      </c>
      <c r="I1725" t="str">
        <f>IF($A1725="","",IF($B1725&lt;&gt;"",$B1725,IF(COUNTIFS(原始经营数据!$D$3:$D$3001,$A1725,原始经营数据!$E$3:$E$3001,"",原始经营数据!$F$3:$F$3001,$C1725,原始经营数据!$H$3:$H$3001,$D1725,原始经营数据!$K$3:$K$3001,$G1725)&gt;1,"基金整体·来源"&amp;原始经营数据!$A1726,"基金整体")))</f>
        <v>广州保利中心项目</v>
      </c>
      <c r="J1725" t="str">
        <f t="shared" si="393"/>
        <v>年度</v>
      </c>
      <c r="K1725" t="str">
        <f t="shared" si="394"/>
        <v>加权平均出租率（%）</v>
      </c>
      <c r="L1725" t="str">
        <f t="shared" si="395"/>
        <v>广州保利中心项目|加权平均出租率（%）|年度</v>
      </c>
      <c r="M1725">
        <f>IF($A1725="",0,IF(COUNTIF($L$2:$L1725,$L1725)=1,1,0))</f>
        <v>0</v>
      </c>
      <c r="N1725">
        <f t="shared" si="396"/>
        <v>20250</v>
      </c>
      <c r="O1725" t="str">
        <f t="shared" si="397"/>
        <v>华夏保利发展封闭式商业不动产证券投资基金|2025|年度</v>
      </c>
      <c r="P1725">
        <f>IF($A1725="",0,IF(COUNTIF($O$2:$O1725,$O1725)=1,1,0))</f>
        <v>0</v>
      </c>
      <c r="Q1725" t="str">
        <f>IF(AND($P1725=1,$A1725=经营数据!$B$3,$J1725=经营数据!$BA$5),COUNTIFS($P$2:$P$3000,1,$A$2:$A$3000,$A1725,$J$2:$J$3000,$J1725,$N$2:$N$3000,"&lt;"&amp;$N1725)+1,"")</f>
        <v/>
      </c>
      <c r="R1725" t="str">
        <f t="shared" si="398"/>
        <v>华夏保利发展封闭式商业不动产证券投资基金|广州保利中心项目</v>
      </c>
      <c r="S1725">
        <f>IF($A1725="",0,IF(COUNTIF($R$2:$R1725,$R1725)=1,1,0))</f>
        <v>0</v>
      </c>
      <c r="T1725">
        <f t="shared" si="399"/>
        <v>1709</v>
      </c>
      <c r="U1725" t="str">
        <f>IF($A1725="","",IF($A1725=经营数据!$B$3,COUNTIFS($S$2:$S$3000,1,$A$2:$A$3000,$A1725,$T$2:$T$3000,"&lt;"&amp;$T1725)+1,""))</f>
        <v/>
      </c>
      <c r="V1725" t="str">
        <f t="shared" si="400"/>
        <v>广州保利中心项目|服务效率</v>
      </c>
      <c r="W1725">
        <f t="shared" si="401"/>
        <v>1709</v>
      </c>
      <c r="X1725" t="str">
        <f t="shared" si="402"/>
        <v>广州保利中心项目|加权平均出租率</v>
      </c>
      <c r="Y1725">
        <f t="shared" si="403"/>
        <v>1712</v>
      </c>
      <c r="Z1725">
        <f>IF($A1725="",0,IF(AND($M1725=1,$A1725=经营数据!$B$3,$J1725=经营数据!$BA$5,OR($I1725=经营数据!$BA$4,COUNTIF(经营数据!$AA$9:$AA$38,$I1725)&gt;0)),1,0))</f>
        <v>0</v>
      </c>
      <c r="AA1725" t="str">
        <f t="shared" si="404"/>
        <v/>
      </c>
      <c r="AB1725" t="str">
        <f t="shared" si="405"/>
        <v/>
      </c>
      <c r="AC1725">
        <f>IF($A1725="",0,IF(COUNTIF($A$2:$A1725,$A1725)=1,1,0))</f>
        <v>0</v>
      </c>
      <c r="AD1725">
        <f t="shared" si="406"/>
        <v>19</v>
      </c>
      <c r="AE1725" t="str">
        <f t="shared" si="407"/>
        <v>广州保利中心项目|加权平均出租率（%）</v>
      </c>
    </row>
    <row r="1726" spans="1:31" x14ac:dyDescent="0.4">
      <c r="A1726" t="str">
        <f>IF(原始经营数据!$D1727="","",原始经营数据!$D1727)</f>
        <v>华夏凯德封闭式商业不动产证券投资基金</v>
      </c>
      <c r="B1726" t="str">
        <f>IF(原始经营数据!$D1727="","",T(原始经营数据!$E1727))</f>
        <v>深圳来福士项目</v>
      </c>
      <c r="C1726" t="str">
        <f>IF(原始经营数据!$D1727="","",原始经营数据!$F1727)</f>
        <v>2022</v>
      </c>
      <c r="D1726" t="str">
        <f>IF(原始经营数据!$D1727="","",原始经营数据!$H1727)</f>
        <v>客流量</v>
      </c>
      <c r="E1726">
        <f>IF(原始经营数据!$D1727="","",原始经营数据!$I1727)</f>
        <v>3.21</v>
      </c>
      <c r="F1726" t="str">
        <f>IF(原始经营数据!$D1727="","",T(原始经营数据!$J1727))</f>
        <v>万人/日</v>
      </c>
      <c r="G1726" t="str">
        <f>IF(原始经营数据!$D1727="","",T(原始经营数据!$K1727))</f>
        <v/>
      </c>
      <c r="H1726" t="str">
        <f>IF(原始经营数据!$D1727="","",原始经营数据!$G1727)</f>
        <v>服务量</v>
      </c>
      <c r="I1726" t="str">
        <f>IF($A1726="","",IF($B1726&lt;&gt;"",$B1726,IF(COUNTIFS(原始经营数据!$D$3:$D$3001,$A1726,原始经营数据!$E$3:$E$3001,"",原始经营数据!$F$3:$F$3001,$C1726,原始经营数据!$H$3:$H$3001,$D1726,原始经营数据!$K$3:$K$3001,$G1726)&gt;1,"基金整体·来源"&amp;原始经营数据!$A1727,"基金整体")))</f>
        <v>深圳来福士项目</v>
      </c>
      <c r="J1726" t="str">
        <f t="shared" si="393"/>
        <v>年度</v>
      </c>
      <c r="K1726" t="str">
        <f t="shared" si="394"/>
        <v>客流量（万人/日）</v>
      </c>
      <c r="L1726" t="str">
        <f t="shared" si="395"/>
        <v>深圳来福士项目|客流量（万人/日）|年度</v>
      </c>
      <c r="M1726">
        <f>IF($A1726="",0,IF(COUNTIF($L$2:$L1726,$L1726)=1,1,0))</f>
        <v>1</v>
      </c>
      <c r="N1726">
        <f t="shared" si="396"/>
        <v>20220</v>
      </c>
      <c r="O1726" t="str">
        <f t="shared" si="397"/>
        <v>华夏凯德封闭式商业不动产证券投资基金|2022|年度</v>
      </c>
      <c r="P1726">
        <f>IF($A1726="",0,IF(COUNTIF($O$2:$O1726,$O1726)=1,1,0))</f>
        <v>1</v>
      </c>
      <c r="Q1726" t="str">
        <f>IF(AND($P1726=1,$A1726=经营数据!$B$3,$J1726=经营数据!$BA$5),COUNTIFS($P$2:$P$3000,1,$A$2:$A$3000,$A1726,$J$2:$J$3000,$J1726,$N$2:$N$3000,"&lt;"&amp;$N1726)+1,"")</f>
        <v/>
      </c>
      <c r="R1726" t="str">
        <f t="shared" si="398"/>
        <v>华夏凯德封闭式商业不动产证券投资基金|深圳来福士项目</v>
      </c>
      <c r="S1726">
        <f>IF($A1726="",0,IF(COUNTIF($R$2:$R1726,$R1726)=1,1,0))</f>
        <v>1</v>
      </c>
      <c r="T1726">
        <f t="shared" si="399"/>
        <v>1725</v>
      </c>
      <c r="U1726" t="str">
        <f>IF($A1726="","",IF($A1726=经营数据!$B$3,COUNTIFS($S$2:$S$3000,1,$A$2:$A$3000,$A1726,$T$2:$T$3000,"&lt;"&amp;$T1726)+1,""))</f>
        <v/>
      </c>
      <c r="V1726" t="str">
        <f t="shared" si="400"/>
        <v>深圳来福士项目|服务量</v>
      </c>
      <c r="W1726">
        <f t="shared" si="401"/>
        <v>1725</v>
      </c>
      <c r="X1726" t="str">
        <f t="shared" si="402"/>
        <v>深圳来福士项目|客流量</v>
      </c>
      <c r="Y1726">
        <f t="shared" si="403"/>
        <v>1725</v>
      </c>
      <c r="Z1726">
        <f>IF($A1726="",0,IF(AND($M1726=1,$A1726=经营数据!$B$3,$J1726=经营数据!$BA$5,OR($I1726=经营数据!$BA$4,COUNTIF(经营数据!$AA$9:$AA$38,$I1726)&gt;0)),1,0))</f>
        <v>0</v>
      </c>
      <c r="AA1726" t="str">
        <f t="shared" si="404"/>
        <v/>
      </c>
      <c r="AB1726" t="str">
        <f t="shared" si="405"/>
        <v/>
      </c>
      <c r="AC1726">
        <f>IF($A1726="",0,IF(COUNTIF($A$2:$A1726,$A1726)=1,1,0))</f>
        <v>1</v>
      </c>
      <c r="AD1726">
        <f t="shared" si="406"/>
        <v>20</v>
      </c>
      <c r="AE1726" t="str">
        <f t="shared" si="407"/>
        <v>深圳来福士项目|客流量（万人/日）</v>
      </c>
    </row>
    <row r="1727" spans="1:31" x14ac:dyDescent="0.4">
      <c r="A1727" t="str">
        <f>IF(原始经营数据!$D1728="","",原始经营数据!$D1728)</f>
        <v>华夏凯德封闭式商业不动产证券投资基金</v>
      </c>
      <c r="B1727" t="str">
        <f>IF(原始经营数据!$D1728="","",T(原始经营数据!$E1728))</f>
        <v>深圳来福士项目</v>
      </c>
      <c r="C1727" t="str">
        <f>IF(原始经营数据!$D1728="","",原始经营数据!$F1728)</f>
        <v>2022</v>
      </c>
      <c r="D1727" t="str">
        <f>IF(原始经营数据!$D1728="","",原始经营数据!$H1728)</f>
        <v>加权平均出租率</v>
      </c>
      <c r="E1727">
        <f>IF(原始经营数据!$D1728="","",原始经营数据!$I1728)</f>
        <v>91.58</v>
      </c>
      <c r="F1727" t="str">
        <f>IF(原始经营数据!$D1728="","",T(原始经营数据!$J1728))</f>
        <v>%</v>
      </c>
      <c r="G1727" t="str">
        <f>IF(原始经营数据!$D1728="","",T(原始经营数据!$K1728))</f>
        <v/>
      </c>
      <c r="H1727" t="str">
        <f>IF(原始经营数据!$D1728="","",原始经营数据!$G1728)</f>
        <v>服务效率</v>
      </c>
      <c r="I1727" t="str">
        <f>IF($A1727="","",IF($B1727&lt;&gt;"",$B1727,IF(COUNTIFS(原始经营数据!$D$3:$D$3001,$A1727,原始经营数据!$E$3:$E$3001,"",原始经营数据!$F$3:$F$3001,$C1727,原始经营数据!$H$3:$H$3001,$D1727,原始经营数据!$K$3:$K$3001,$G1727)&gt;1,"基金整体·来源"&amp;原始经营数据!$A1728,"基金整体")))</f>
        <v>深圳来福士项目</v>
      </c>
      <c r="J1727" t="str">
        <f t="shared" si="393"/>
        <v>年度</v>
      </c>
      <c r="K1727" t="str">
        <f t="shared" si="394"/>
        <v>加权平均出租率（%）</v>
      </c>
      <c r="L1727" t="str">
        <f t="shared" si="395"/>
        <v>深圳来福士项目|加权平均出租率（%）|年度</v>
      </c>
      <c r="M1727">
        <f>IF($A1727="",0,IF(COUNTIF($L$2:$L1727,$L1727)=1,1,0))</f>
        <v>1</v>
      </c>
      <c r="N1727">
        <f t="shared" si="396"/>
        <v>20220</v>
      </c>
      <c r="O1727" t="str">
        <f t="shared" si="397"/>
        <v>华夏凯德封闭式商业不动产证券投资基金|2022|年度</v>
      </c>
      <c r="P1727">
        <f>IF($A1727="",0,IF(COUNTIF($O$2:$O1727,$O1727)=1,1,0))</f>
        <v>0</v>
      </c>
      <c r="Q1727" t="str">
        <f>IF(AND($P1727=1,$A1727=经营数据!$B$3,$J1727=经营数据!$BA$5),COUNTIFS($P$2:$P$3000,1,$A$2:$A$3000,$A1727,$J$2:$J$3000,$J1727,$N$2:$N$3000,"&lt;"&amp;$N1727)+1,"")</f>
        <v/>
      </c>
      <c r="R1727" t="str">
        <f t="shared" si="398"/>
        <v>华夏凯德封闭式商业不动产证券投资基金|深圳来福士项目</v>
      </c>
      <c r="S1727">
        <f>IF($A1727="",0,IF(COUNTIF($R$2:$R1727,$R1727)=1,1,0))</f>
        <v>0</v>
      </c>
      <c r="T1727">
        <f t="shared" si="399"/>
        <v>1725</v>
      </c>
      <c r="U1727" t="str">
        <f>IF($A1727="","",IF($A1727=经营数据!$B$3,COUNTIFS($S$2:$S$3000,1,$A$2:$A$3000,$A1727,$T$2:$T$3000,"&lt;"&amp;$T1727)+1,""))</f>
        <v/>
      </c>
      <c r="V1727" t="str">
        <f t="shared" si="400"/>
        <v>深圳来福士项目|服务效率</v>
      </c>
      <c r="W1727">
        <f t="shared" si="401"/>
        <v>1726</v>
      </c>
      <c r="X1727" t="str">
        <f t="shared" si="402"/>
        <v>深圳来福士项目|加权平均出租率</v>
      </c>
      <c r="Y1727">
        <f t="shared" si="403"/>
        <v>1726</v>
      </c>
      <c r="Z1727">
        <f>IF($A1727="",0,IF(AND($M1727=1,$A1727=经营数据!$B$3,$J1727=经营数据!$BA$5,OR($I1727=经营数据!$BA$4,COUNTIF(经营数据!$AA$9:$AA$38,$I1727)&gt;0)),1,0))</f>
        <v>0</v>
      </c>
      <c r="AA1727" t="str">
        <f t="shared" si="404"/>
        <v/>
      </c>
      <c r="AB1727" t="str">
        <f t="shared" si="405"/>
        <v/>
      </c>
      <c r="AC1727">
        <f>IF($A1727="",0,IF(COUNTIF($A$2:$A1727,$A1727)=1,1,0))</f>
        <v>0</v>
      </c>
      <c r="AD1727">
        <f t="shared" si="406"/>
        <v>20</v>
      </c>
      <c r="AE1727" t="str">
        <f t="shared" si="407"/>
        <v>深圳来福士项目|加权平均出租率（%）</v>
      </c>
    </row>
    <row r="1728" spans="1:31" x14ac:dyDescent="0.4">
      <c r="A1728" t="str">
        <f>IF(原始经营数据!$D1729="","",原始经营数据!$D1729)</f>
        <v>华夏凯德封闭式商业不动产证券投资基金</v>
      </c>
      <c r="B1728" t="str">
        <f>IF(原始经营数据!$D1729="","",T(原始经营数据!$E1729))</f>
        <v>深圳来福士项目</v>
      </c>
      <c r="C1728" t="str">
        <f>IF(原始经营数据!$D1729="","",原始经营数据!$F1729)</f>
        <v>2022</v>
      </c>
      <c r="D1728" t="str">
        <f>IF(原始经营数据!$D1729="","",原始经营数据!$H1729)</f>
        <v>期末出租率</v>
      </c>
      <c r="E1728">
        <f>IF(原始经营数据!$D1729="","",原始经营数据!$I1729)</f>
        <v>86.76</v>
      </c>
      <c r="F1728" t="str">
        <f>IF(原始经营数据!$D1729="","",T(原始经营数据!$J1729))</f>
        <v>%</v>
      </c>
      <c r="G1728" t="str">
        <f>IF(原始经营数据!$D1729="","",T(原始经营数据!$K1729))</f>
        <v/>
      </c>
      <c r="H1728" t="str">
        <f>IF(原始经营数据!$D1729="","",原始经营数据!$G1729)</f>
        <v>服务效率</v>
      </c>
      <c r="I1728" t="str">
        <f>IF($A1728="","",IF($B1728&lt;&gt;"",$B1728,IF(COUNTIFS(原始经营数据!$D$3:$D$3001,$A1728,原始经营数据!$E$3:$E$3001,"",原始经营数据!$F$3:$F$3001,$C1728,原始经营数据!$H$3:$H$3001,$D1728,原始经营数据!$K$3:$K$3001,$G1728)&gt;1,"基金整体·来源"&amp;原始经营数据!$A1729,"基金整体")))</f>
        <v>深圳来福士项目</v>
      </c>
      <c r="J1728" t="str">
        <f t="shared" si="393"/>
        <v>年度</v>
      </c>
      <c r="K1728" t="str">
        <f t="shared" si="394"/>
        <v>期末出租率（%）</v>
      </c>
      <c r="L1728" t="str">
        <f t="shared" si="395"/>
        <v>深圳来福士项目|期末出租率（%）|年度</v>
      </c>
      <c r="M1728">
        <f>IF($A1728="",0,IF(COUNTIF($L$2:$L1728,$L1728)=1,1,0))</f>
        <v>1</v>
      </c>
      <c r="N1728">
        <f t="shared" si="396"/>
        <v>20220</v>
      </c>
      <c r="O1728" t="str">
        <f t="shared" si="397"/>
        <v>华夏凯德封闭式商业不动产证券投资基金|2022|年度</v>
      </c>
      <c r="P1728">
        <f>IF($A1728="",0,IF(COUNTIF($O$2:$O1728,$O1728)=1,1,0))</f>
        <v>0</v>
      </c>
      <c r="Q1728" t="str">
        <f>IF(AND($P1728=1,$A1728=经营数据!$B$3,$J1728=经营数据!$BA$5),COUNTIFS($P$2:$P$3000,1,$A$2:$A$3000,$A1728,$J$2:$J$3000,$J1728,$N$2:$N$3000,"&lt;"&amp;$N1728)+1,"")</f>
        <v/>
      </c>
      <c r="R1728" t="str">
        <f t="shared" si="398"/>
        <v>华夏凯德封闭式商业不动产证券投资基金|深圳来福士项目</v>
      </c>
      <c r="S1728">
        <f>IF($A1728="",0,IF(COUNTIF($R$2:$R1728,$R1728)=1,1,0))</f>
        <v>0</v>
      </c>
      <c r="T1728">
        <f t="shared" si="399"/>
        <v>1725</v>
      </c>
      <c r="U1728" t="str">
        <f>IF($A1728="","",IF($A1728=经营数据!$B$3,COUNTIFS($S$2:$S$3000,1,$A$2:$A$3000,$A1728,$T$2:$T$3000,"&lt;"&amp;$T1728)+1,""))</f>
        <v/>
      </c>
      <c r="V1728" t="str">
        <f t="shared" si="400"/>
        <v>深圳来福士项目|服务效率</v>
      </c>
      <c r="W1728">
        <f t="shared" si="401"/>
        <v>1726</v>
      </c>
      <c r="X1728" t="str">
        <f t="shared" si="402"/>
        <v>深圳来福士项目|期末出租率</v>
      </c>
      <c r="Y1728">
        <f t="shared" si="403"/>
        <v>1727</v>
      </c>
      <c r="Z1728">
        <f>IF($A1728="",0,IF(AND($M1728=1,$A1728=经营数据!$B$3,$J1728=经营数据!$BA$5,OR($I1728=经营数据!$BA$4,COUNTIF(经营数据!$AA$9:$AA$38,$I1728)&gt;0)),1,0))</f>
        <v>0</v>
      </c>
      <c r="AA1728" t="str">
        <f t="shared" si="404"/>
        <v/>
      </c>
      <c r="AB1728" t="str">
        <f t="shared" si="405"/>
        <v/>
      </c>
      <c r="AC1728">
        <f>IF($A1728="",0,IF(COUNTIF($A$2:$A1728,$A1728)=1,1,0))</f>
        <v>0</v>
      </c>
      <c r="AD1728">
        <f t="shared" si="406"/>
        <v>20</v>
      </c>
      <c r="AE1728" t="str">
        <f t="shared" si="407"/>
        <v>深圳来福士项目|期末出租率（%）</v>
      </c>
    </row>
    <row r="1729" spans="1:31" x14ac:dyDescent="0.4">
      <c r="A1729" t="str">
        <f>IF(原始经营数据!$D1730="","",原始经营数据!$D1730)</f>
        <v>华夏凯德封闭式商业不动产证券投资基金</v>
      </c>
      <c r="B1729" t="str">
        <f>IF(原始经营数据!$D1730="","",T(原始经营数据!$E1730))</f>
        <v>深圳来福士项目</v>
      </c>
      <c r="C1729" t="str">
        <f>IF(原始经营数据!$D1730="","",原始经营数据!$F1730)</f>
        <v>2023</v>
      </c>
      <c r="D1729" t="str">
        <f>IF(原始经营数据!$D1730="","",原始经营数据!$H1730)</f>
        <v>期末出租率</v>
      </c>
      <c r="E1729">
        <f>IF(原始经营数据!$D1730="","",原始经营数据!$I1730)</f>
        <v>94.79</v>
      </c>
      <c r="F1729" t="str">
        <f>IF(原始经营数据!$D1730="","",T(原始经营数据!$J1730))</f>
        <v>%</v>
      </c>
      <c r="G1729" t="str">
        <f>IF(原始经营数据!$D1730="","",T(原始经营数据!$K1730))</f>
        <v/>
      </c>
      <c r="H1729" t="str">
        <f>IF(原始经营数据!$D1730="","",原始经营数据!$G1730)</f>
        <v>服务效率</v>
      </c>
      <c r="I1729" t="str">
        <f>IF($A1729="","",IF($B1729&lt;&gt;"",$B1729,IF(COUNTIFS(原始经营数据!$D$3:$D$3001,$A1729,原始经营数据!$E$3:$E$3001,"",原始经营数据!$F$3:$F$3001,$C1729,原始经营数据!$H$3:$H$3001,$D1729,原始经营数据!$K$3:$K$3001,$G1729)&gt;1,"基金整体·来源"&amp;原始经营数据!$A1730,"基金整体")))</f>
        <v>深圳来福士项目</v>
      </c>
      <c r="J1729" t="str">
        <f t="shared" si="393"/>
        <v>年度</v>
      </c>
      <c r="K1729" t="str">
        <f t="shared" si="394"/>
        <v>期末出租率（%）</v>
      </c>
      <c r="L1729" t="str">
        <f t="shared" si="395"/>
        <v>深圳来福士项目|期末出租率（%）|年度</v>
      </c>
      <c r="M1729">
        <f>IF($A1729="",0,IF(COUNTIF($L$2:$L1729,$L1729)=1,1,0))</f>
        <v>0</v>
      </c>
      <c r="N1729">
        <f t="shared" si="396"/>
        <v>20230</v>
      </c>
      <c r="O1729" t="str">
        <f t="shared" si="397"/>
        <v>华夏凯德封闭式商业不动产证券投资基金|2023|年度</v>
      </c>
      <c r="P1729">
        <f>IF($A1729="",0,IF(COUNTIF($O$2:$O1729,$O1729)=1,1,0))</f>
        <v>1</v>
      </c>
      <c r="Q1729" t="str">
        <f>IF(AND($P1729=1,$A1729=经营数据!$B$3,$J1729=经营数据!$BA$5),COUNTIFS($P$2:$P$3000,1,$A$2:$A$3000,$A1729,$J$2:$J$3000,$J1729,$N$2:$N$3000,"&lt;"&amp;$N1729)+1,"")</f>
        <v/>
      </c>
      <c r="R1729" t="str">
        <f t="shared" si="398"/>
        <v>华夏凯德封闭式商业不动产证券投资基金|深圳来福士项目</v>
      </c>
      <c r="S1729">
        <f>IF($A1729="",0,IF(COUNTIF($R$2:$R1729,$R1729)=1,1,0))</f>
        <v>0</v>
      </c>
      <c r="T1729">
        <f t="shared" si="399"/>
        <v>1725</v>
      </c>
      <c r="U1729" t="str">
        <f>IF($A1729="","",IF($A1729=经营数据!$B$3,COUNTIFS($S$2:$S$3000,1,$A$2:$A$3000,$A1729,$T$2:$T$3000,"&lt;"&amp;$T1729)+1,""))</f>
        <v/>
      </c>
      <c r="V1729" t="str">
        <f t="shared" si="400"/>
        <v>深圳来福士项目|服务效率</v>
      </c>
      <c r="W1729">
        <f t="shared" si="401"/>
        <v>1726</v>
      </c>
      <c r="X1729" t="str">
        <f t="shared" si="402"/>
        <v>深圳来福士项目|期末出租率</v>
      </c>
      <c r="Y1729">
        <f t="shared" si="403"/>
        <v>1727</v>
      </c>
      <c r="Z1729">
        <f>IF($A1729="",0,IF(AND($M1729=1,$A1729=经营数据!$B$3,$J1729=经营数据!$BA$5,OR($I1729=经营数据!$BA$4,COUNTIF(经营数据!$AA$9:$AA$38,$I1729)&gt;0)),1,0))</f>
        <v>0</v>
      </c>
      <c r="AA1729" t="str">
        <f t="shared" si="404"/>
        <v/>
      </c>
      <c r="AB1729" t="str">
        <f t="shared" si="405"/>
        <v/>
      </c>
      <c r="AC1729">
        <f>IF($A1729="",0,IF(COUNTIF($A$2:$A1729,$A1729)=1,1,0))</f>
        <v>0</v>
      </c>
      <c r="AD1729">
        <f t="shared" si="406"/>
        <v>20</v>
      </c>
      <c r="AE1729" t="str">
        <f t="shared" si="407"/>
        <v>深圳来福士项目|期末出租率（%）</v>
      </c>
    </row>
    <row r="1730" spans="1:31" x14ac:dyDescent="0.4">
      <c r="A1730" t="str">
        <f>IF(原始经营数据!$D1731="","",原始经营数据!$D1731)</f>
        <v>华夏凯德封闭式商业不动产证券投资基金</v>
      </c>
      <c r="B1730" t="str">
        <f>IF(原始经营数据!$D1731="","",T(原始经营数据!$E1731))</f>
        <v>深圳来福士项目</v>
      </c>
      <c r="C1730" t="str">
        <f>IF(原始经营数据!$D1731="","",原始经营数据!$F1731)</f>
        <v>2023</v>
      </c>
      <c r="D1730" t="str">
        <f>IF(原始经营数据!$D1731="","",原始经营数据!$H1731)</f>
        <v>客流量</v>
      </c>
      <c r="E1730">
        <f>IF(原始经营数据!$D1731="","",原始经营数据!$I1731)</f>
        <v>4.55</v>
      </c>
      <c r="F1730" t="str">
        <f>IF(原始经营数据!$D1731="","",T(原始经营数据!$J1731))</f>
        <v>万人/日</v>
      </c>
      <c r="G1730" t="str">
        <f>IF(原始经营数据!$D1731="","",T(原始经营数据!$K1731))</f>
        <v/>
      </c>
      <c r="H1730" t="str">
        <f>IF(原始经营数据!$D1731="","",原始经营数据!$G1731)</f>
        <v>服务量</v>
      </c>
      <c r="I1730" t="str">
        <f>IF($A1730="","",IF($B1730&lt;&gt;"",$B1730,IF(COUNTIFS(原始经营数据!$D$3:$D$3001,$A1730,原始经营数据!$E$3:$E$3001,"",原始经营数据!$F$3:$F$3001,$C1730,原始经营数据!$H$3:$H$3001,$D1730,原始经营数据!$K$3:$K$3001,$G1730)&gt;1,"基金整体·来源"&amp;原始经营数据!$A1731,"基金整体")))</f>
        <v>深圳来福士项目</v>
      </c>
      <c r="J1730" t="str">
        <f t="shared" ref="J1730:J1793" si="408">IF($A1730="","",IF(LEN($C1730)=4,"年度",IF(AND(LEN($C1730)=6,ISNUMBER(SEARCH("Q",$C1730))),"季度","其他期间")))</f>
        <v>年度</v>
      </c>
      <c r="K1730" t="str">
        <f t="shared" ref="K1730:K1793" si="409">IF($A1730="","",$D1730&amp;IF($G1730="","","-"&amp;SUBSTITUTE($G1730,CHAR(10),""))&amp;IF($F1730="","","（"&amp;$F1730&amp;"）"))</f>
        <v>客流量（万人/日）</v>
      </c>
      <c r="L1730" t="str">
        <f t="shared" ref="L1730:L1793" si="410">IF($A1730="","",$I1730&amp;"|"&amp;$K1730&amp;"|"&amp;$J1730)</f>
        <v>深圳来福士项目|客流量（万人/日）|年度</v>
      </c>
      <c r="M1730">
        <f>IF($A1730="",0,IF(COUNTIF($L$2:$L1730,$L1730)=1,1,0))</f>
        <v>0</v>
      </c>
      <c r="N1730">
        <f t="shared" ref="N1730:N1793" si="411">IF($A1730="","",IF($J1730="年度",VALUE($C1730)*10,IF($J1730="季度",VALUE(LEFT($C1730,4))*10+VALUE(RIGHT($C1730,1)),VALUE(LEFT($C1730,4))*10+9)))</f>
        <v>20230</v>
      </c>
      <c r="O1730" t="str">
        <f t="shared" ref="O1730:O1793" si="412">IF($A1730="","",$A1730&amp;"|"&amp;$C1730&amp;"|"&amp;$J1730)</f>
        <v>华夏凯德封闭式商业不动产证券投资基金|2023|年度</v>
      </c>
      <c r="P1730">
        <f>IF($A1730="",0,IF(COUNTIF($O$2:$O1730,$O1730)=1,1,0))</f>
        <v>0</v>
      </c>
      <c r="Q1730" t="str">
        <f>IF(AND($P1730=1,$A1730=经营数据!$B$3,$J1730=经营数据!$BA$5),COUNTIFS($P$2:$P$3000,1,$A$2:$A$3000,$A1730,$J$2:$J$3000,$J1730,$N$2:$N$3000,"&lt;"&amp;$N1730)+1,"")</f>
        <v/>
      </c>
      <c r="R1730" t="str">
        <f t="shared" ref="R1730:R1793" si="413">IF($A1730="","",$A1730&amp;"|"&amp;$I1730)</f>
        <v>华夏凯德封闭式商业不动产证券投资基金|深圳来福士项目</v>
      </c>
      <c r="S1730">
        <f>IF($A1730="",0,IF(COUNTIF($R$2:$R1730,$R1730)=1,1,0))</f>
        <v>0</v>
      </c>
      <c r="T1730">
        <f t="shared" ref="T1730:T1793" si="414">IF($A1730="","",MATCH($R1730,$R$2:$R$3000,0))</f>
        <v>1725</v>
      </c>
      <c r="U1730" t="str">
        <f>IF($A1730="","",IF($A1730=经营数据!$B$3,COUNTIFS($S$2:$S$3000,1,$A$2:$A$3000,$A1730,$T$2:$T$3000,"&lt;"&amp;$T1730)+1,""))</f>
        <v/>
      </c>
      <c r="V1730" t="str">
        <f t="shared" ref="V1730:V1793" si="415">IF($A1730="","",$I1730&amp;"|"&amp;$H1730)</f>
        <v>深圳来福士项目|服务量</v>
      </c>
      <c r="W1730">
        <f t="shared" ref="W1730:W1793" si="416">IF($A1730="","",MATCH($V1730,$V$2:$V$3000,0))</f>
        <v>1725</v>
      </c>
      <c r="X1730" t="str">
        <f t="shared" ref="X1730:X1793" si="417">IF($A1730="","",$I1730&amp;"|"&amp;$D1730)</f>
        <v>深圳来福士项目|客流量</v>
      </c>
      <c r="Y1730">
        <f t="shared" ref="Y1730:Y1793" si="418">IF($A1730="","",MATCH($X1730,$X$2:$X$3000,0))</f>
        <v>1725</v>
      </c>
      <c r="Z1730">
        <f>IF($A1730="",0,IF(AND($M1730=1,$A1730=经营数据!$B$3,$J1730=经营数据!$BA$5,OR($I1730=经营数据!$BA$4,COUNTIF(经营数据!$AA$9:$AA$38,$I1730)&gt;0)),1,0))</f>
        <v>0</v>
      </c>
      <c r="AA1730" t="str">
        <f t="shared" ref="AA1730:AA1793" si="419">IF($Z1730=1,$U1730*1000000000000+$W1730*100000000+$Y1730*10000+ROW(),"")</f>
        <v/>
      </c>
      <c r="AB1730" t="str">
        <f t="shared" ref="AB1730:AB1793" si="420">IF($Z1730=1,COUNTIFS($Z$2:$Z$3000,1,$AA$2:$AA$3000,"&lt;"&amp;$AA1730)+1,"")</f>
        <v/>
      </c>
      <c r="AC1730">
        <f>IF($A1730="",0,IF(COUNTIF($A$2:$A1730,$A1730)=1,1,0))</f>
        <v>0</v>
      </c>
      <c r="AD1730">
        <f t="shared" ref="AD1730:AD1793" si="421">IF($A1730="",N(AD1729),IF($AC1730=1,N(AD1729)+1,N(AD1729)))</f>
        <v>20</v>
      </c>
      <c r="AE1730" t="str">
        <f t="shared" ref="AE1730:AE1793" si="422">IF($A1730="","",$I1730&amp;"|"&amp;$K1730)</f>
        <v>深圳来福士项目|客流量（万人/日）</v>
      </c>
    </row>
    <row r="1731" spans="1:31" x14ac:dyDescent="0.4">
      <c r="A1731" t="str">
        <f>IF(原始经营数据!$D1732="","",原始经营数据!$D1732)</f>
        <v>华夏凯德封闭式商业不动产证券投资基金</v>
      </c>
      <c r="B1731" t="str">
        <f>IF(原始经营数据!$D1732="","",T(原始经营数据!$E1732))</f>
        <v>深圳来福士项目</v>
      </c>
      <c r="C1731" t="str">
        <f>IF(原始经营数据!$D1732="","",原始经营数据!$F1732)</f>
        <v>2023</v>
      </c>
      <c r="D1731" t="str">
        <f>IF(原始经营数据!$D1732="","",原始经营数据!$H1732)</f>
        <v>加权平均出租率</v>
      </c>
      <c r="E1731">
        <f>IF(原始经营数据!$D1732="","",原始经营数据!$I1732)</f>
        <v>95.01</v>
      </c>
      <c r="F1731" t="str">
        <f>IF(原始经营数据!$D1732="","",T(原始经营数据!$J1732))</f>
        <v>%</v>
      </c>
      <c r="G1731" t="str">
        <f>IF(原始经营数据!$D1732="","",T(原始经营数据!$K1732))</f>
        <v/>
      </c>
      <c r="H1731" t="str">
        <f>IF(原始经营数据!$D1732="","",原始经营数据!$G1732)</f>
        <v>服务效率</v>
      </c>
      <c r="I1731" t="str">
        <f>IF($A1731="","",IF($B1731&lt;&gt;"",$B1731,IF(COUNTIFS(原始经营数据!$D$3:$D$3001,$A1731,原始经营数据!$E$3:$E$3001,"",原始经营数据!$F$3:$F$3001,$C1731,原始经营数据!$H$3:$H$3001,$D1731,原始经营数据!$K$3:$K$3001,$G1731)&gt;1,"基金整体·来源"&amp;原始经营数据!$A1732,"基金整体")))</f>
        <v>深圳来福士项目</v>
      </c>
      <c r="J1731" t="str">
        <f t="shared" si="408"/>
        <v>年度</v>
      </c>
      <c r="K1731" t="str">
        <f t="shared" si="409"/>
        <v>加权平均出租率（%）</v>
      </c>
      <c r="L1731" t="str">
        <f t="shared" si="410"/>
        <v>深圳来福士项目|加权平均出租率（%）|年度</v>
      </c>
      <c r="M1731">
        <f>IF($A1731="",0,IF(COUNTIF($L$2:$L1731,$L1731)=1,1,0))</f>
        <v>0</v>
      </c>
      <c r="N1731">
        <f t="shared" si="411"/>
        <v>20230</v>
      </c>
      <c r="O1731" t="str">
        <f t="shared" si="412"/>
        <v>华夏凯德封闭式商业不动产证券投资基金|2023|年度</v>
      </c>
      <c r="P1731">
        <f>IF($A1731="",0,IF(COUNTIF($O$2:$O1731,$O1731)=1,1,0))</f>
        <v>0</v>
      </c>
      <c r="Q1731" t="str">
        <f>IF(AND($P1731=1,$A1731=经营数据!$B$3,$J1731=经营数据!$BA$5),COUNTIFS($P$2:$P$3000,1,$A$2:$A$3000,$A1731,$J$2:$J$3000,$J1731,$N$2:$N$3000,"&lt;"&amp;$N1731)+1,"")</f>
        <v/>
      </c>
      <c r="R1731" t="str">
        <f t="shared" si="413"/>
        <v>华夏凯德封闭式商业不动产证券投资基金|深圳来福士项目</v>
      </c>
      <c r="S1731">
        <f>IF($A1731="",0,IF(COUNTIF($R$2:$R1731,$R1731)=1,1,0))</f>
        <v>0</v>
      </c>
      <c r="T1731">
        <f t="shared" si="414"/>
        <v>1725</v>
      </c>
      <c r="U1731" t="str">
        <f>IF($A1731="","",IF($A1731=经营数据!$B$3,COUNTIFS($S$2:$S$3000,1,$A$2:$A$3000,$A1731,$T$2:$T$3000,"&lt;"&amp;$T1731)+1,""))</f>
        <v/>
      </c>
      <c r="V1731" t="str">
        <f t="shared" si="415"/>
        <v>深圳来福士项目|服务效率</v>
      </c>
      <c r="W1731">
        <f t="shared" si="416"/>
        <v>1726</v>
      </c>
      <c r="X1731" t="str">
        <f t="shared" si="417"/>
        <v>深圳来福士项目|加权平均出租率</v>
      </c>
      <c r="Y1731">
        <f t="shared" si="418"/>
        <v>1726</v>
      </c>
      <c r="Z1731">
        <f>IF($A1731="",0,IF(AND($M1731=1,$A1731=经营数据!$B$3,$J1731=经营数据!$BA$5,OR($I1731=经营数据!$BA$4,COUNTIF(经营数据!$AA$9:$AA$38,$I1731)&gt;0)),1,0))</f>
        <v>0</v>
      </c>
      <c r="AA1731" t="str">
        <f t="shared" si="419"/>
        <v/>
      </c>
      <c r="AB1731" t="str">
        <f t="shared" si="420"/>
        <v/>
      </c>
      <c r="AC1731">
        <f>IF($A1731="",0,IF(COUNTIF($A$2:$A1731,$A1731)=1,1,0))</f>
        <v>0</v>
      </c>
      <c r="AD1731">
        <f t="shared" si="421"/>
        <v>20</v>
      </c>
      <c r="AE1731" t="str">
        <f t="shared" si="422"/>
        <v>深圳来福士项目|加权平均出租率（%）</v>
      </c>
    </row>
    <row r="1732" spans="1:31" x14ac:dyDescent="0.4">
      <c r="A1732" t="str">
        <f>IF(原始经营数据!$D1733="","",原始经营数据!$D1733)</f>
        <v>华夏凯德封闭式商业不动产证券投资基金</v>
      </c>
      <c r="B1732" t="str">
        <f>IF(原始经营数据!$D1733="","",T(原始经营数据!$E1733))</f>
        <v>深圳来福士项目</v>
      </c>
      <c r="C1732" t="str">
        <f>IF(原始经营数据!$D1733="","",原始经营数据!$F1733)</f>
        <v>2024</v>
      </c>
      <c r="D1732" t="str">
        <f>IF(原始经营数据!$D1733="","",原始经营数据!$H1733)</f>
        <v>客流量</v>
      </c>
      <c r="E1732">
        <f>IF(原始经营数据!$D1733="","",原始经营数据!$I1733)</f>
        <v>5.15</v>
      </c>
      <c r="F1732" t="str">
        <f>IF(原始经营数据!$D1733="","",T(原始经营数据!$J1733))</f>
        <v>万人/日</v>
      </c>
      <c r="G1732" t="str">
        <f>IF(原始经营数据!$D1733="","",T(原始经营数据!$K1733))</f>
        <v/>
      </c>
      <c r="H1732" t="str">
        <f>IF(原始经营数据!$D1733="","",原始经营数据!$G1733)</f>
        <v>服务量</v>
      </c>
      <c r="I1732" t="str">
        <f>IF($A1732="","",IF($B1732&lt;&gt;"",$B1732,IF(COUNTIFS(原始经营数据!$D$3:$D$3001,$A1732,原始经营数据!$E$3:$E$3001,"",原始经营数据!$F$3:$F$3001,$C1732,原始经营数据!$H$3:$H$3001,$D1732,原始经营数据!$K$3:$K$3001,$G1732)&gt;1,"基金整体·来源"&amp;原始经营数据!$A1733,"基金整体")))</f>
        <v>深圳来福士项目</v>
      </c>
      <c r="J1732" t="str">
        <f t="shared" si="408"/>
        <v>年度</v>
      </c>
      <c r="K1732" t="str">
        <f t="shared" si="409"/>
        <v>客流量（万人/日）</v>
      </c>
      <c r="L1732" t="str">
        <f t="shared" si="410"/>
        <v>深圳来福士项目|客流量（万人/日）|年度</v>
      </c>
      <c r="M1732">
        <f>IF($A1732="",0,IF(COUNTIF($L$2:$L1732,$L1732)=1,1,0))</f>
        <v>0</v>
      </c>
      <c r="N1732">
        <f t="shared" si="411"/>
        <v>20240</v>
      </c>
      <c r="O1732" t="str">
        <f t="shared" si="412"/>
        <v>华夏凯德封闭式商业不动产证券投资基金|2024|年度</v>
      </c>
      <c r="P1732">
        <f>IF($A1732="",0,IF(COUNTIF($O$2:$O1732,$O1732)=1,1,0))</f>
        <v>1</v>
      </c>
      <c r="Q1732" t="str">
        <f>IF(AND($P1732=1,$A1732=经营数据!$B$3,$J1732=经营数据!$BA$5),COUNTIFS($P$2:$P$3000,1,$A$2:$A$3000,$A1732,$J$2:$J$3000,$J1732,$N$2:$N$3000,"&lt;"&amp;$N1732)+1,"")</f>
        <v/>
      </c>
      <c r="R1732" t="str">
        <f t="shared" si="413"/>
        <v>华夏凯德封闭式商业不动产证券投资基金|深圳来福士项目</v>
      </c>
      <c r="S1732">
        <f>IF($A1732="",0,IF(COUNTIF($R$2:$R1732,$R1732)=1,1,0))</f>
        <v>0</v>
      </c>
      <c r="T1732">
        <f t="shared" si="414"/>
        <v>1725</v>
      </c>
      <c r="U1732" t="str">
        <f>IF($A1732="","",IF($A1732=经营数据!$B$3,COUNTIFS($S$2:$S$3000,1,$A$2:$A$3000,$A1732,$T$2:$T$3000,"&lt;"&amp;$T1732)+1,""))</f>
        <v/>
      </c>
      <c r="V1732" t="str">
        <f t="shared" si="415"/>
        <v>深圳来福士项目|服务量</v>
      </c>
      <c r="W1732">
        <f t="shared" si="416"/>
        <v>1725</v>
      </c>
      <c r="X1732" t="str">
        <f t="shared" si="417"/>
        <v>深圳来福士项目|客流量</v>
      </c>
      <c r="Y1732">
        <f t="shared" si="418"/>
        <v>1725</v>
      </c>
      <c r="Z1732">
        <f>IF($A1732="",0,IF(AND($M1732=1,$A1732=经营数据!$B$3,$J1732=经营数据!$BA$5,OR($I1732=经营数据!$BA$4,COUNTIF(经营数据!$AA$9:$AA$38,$I1732)&gt;0)),1,0))</f>
        <v>0</v>
      </c>
      <c r="AA1732" t="str">
        <f t="shared" si="419"/>
        <v/>
      </c>
      <c r="AB1732" t="str">
        <f t="shared" si="420"/>
        <v/>
      </c>
      <c r="AC1732">
        <f>IF($A1732="",0,IF(COUNTIF($A$2:$A1732,$A1732)=1,1,0))</f>
        <v>0</v>
      </c>
      <c r="AD1732">
        <f t="shared" si="421"/>
        <v>20</v>
      </c>
      <c r="AE1732" t="str">
        <f t="shared" si="422"/>
        <v>深圳来福士项目|客流量（万人/日）</v>
      </c>
    </row>
    <row r="1733" spans="1:31" x14ac:dyDescent="0.4">
      <c r="A1733" t="str">
        <f>IF(原始经营数据!$D1734="","",原始经营数据!$D1734)</f>
        <v>华夏凯德封闭式商业不动产证券投资基金</v>
      </c>
      <c r="B1733" t="str">
        <f>IF(原始经营数据!$D1734="","",T(原始经营数据!$E1734))</f>
        <v>深圳来福士项目</v>
      </c>
      <c r="C1733" t="str">
        <f>IF(原始经营数据!$D1734="","",原始经营数据!$F1734)</f>
        <v>2024</v>
      </c>
      <c r="D1733" t="str">
        <f>IF(原始经营数据!$D1734="","",原始经营数据!$H1734)</f>
        <v>加权平均出租率</v>
      </c>
      <c r="E1733">
        <f>IF(原始经营数据!$D1734="","",原始经营数据!$I1734)</f>
        <v>98.31</v>
      </c>
      <c r="F1733" t="str">
        <f>IF(原始经营数据!$D1734="","",T(原始经营数据!$J1734))</f>
        <v>%</v>
      </c>
      <c r="G1733" t="str">
        <f>IF(原始经营数据!$D1734="","",T(原始经营数据!$K1734))</f>
        <v/>
      </c>
      <c r="H1733" t="str">
        <f>IF(原始经营数据!$D1734="","",原始经营数据!$G1734)</f>
        <v>服务效率</v>
      </c>
      <c r="I1733" t="str">
        <f>IF($A1733="","",IF($B1733&lt;&gt;"",$B1733,IF(COUNTIFS(原始经营数据!$D$3:$D$3001,$A1733,原始经营数据!$E$3:$E$3001,"",原始经营数据!$F$3:$F$3001,$C1733,原始经营数据!$H$3:$H$3001,$D1733,原始经营数据!$K$3:$K$3001,$G1733)&gt;1,"基金整体·来源"&amp;原始经营数据!$A1734,"基金整体")))</f>
        <v>深圳来福士项目</v>
      </c>
      <c r="J1733" t="str">
        <f t="shared" si="408"/>
        <v>年度</v>
      </c>
      <c r="K1733" t="str">
        <f t="shared" si="409"/>
        <v>加权平均出租率（%）</v>
      </c>
      <c r="L1733" t="str">
        <f t="shared" si="410"/>
        <v>深圳来福士项目|加权平均出租率（%）|年度</v>
      </c>
      <c r="M1733">
        <f>IF($A1733="",0,IF(COUNTIF($L$2:$L1733,$L1733)=1,1,0))</f>
        <v>0</v>
      </c>
      <c r="N1733">
        <f t="shared" si="411"/>
        <v>20240</v>
      </c>
      <c r="O1733" t="str">
        <f t="shared" si="412"/>
        <v>华夏凯德封闭式商业不动产证券投资基金|2024|年度</v>
      </c>
      <c r="P1733">
        <f>IF($A1733="",0,IF(COUNTIF($O$2:$O1733,$O1733)=1,1,0))</f>
        <v>0</v>
      </c>
      <c r="Q1733" t="str">
        <f>IF(AND($P1733=1,$A1733=经营数据!$B$3,$J1733=经营数据!$BA$5),COUNTIFS($P$2:$P$3000,1,$A$2:$A$3000,$A1733,$J$2:$J$3000,$J1733,$N$2:$N$3000,"&lt;"&amp;$N1733)+1,"")</f>
        <v/>
      </c>
      <c r="R1733" t="str">
        <f t="shared" si="413"/>
        <v>华夏凯德封闭式商业不动产证券投资基金|深圳来福士项目</v>
      </c>
      <c r="S1733">
        <f>IF($A1733="",0,IF(COUNTIF($R$2:$R1733,$R1733)=1,1,0))</f>
        <v>0</v>
      </c>
      <c r="T1733">
        <f t="shared" si="414"/>
        <v>1725</v>
      </c>
      <c r="U1733" t="str">
        <f>IF($A1733="","",IF($A1733=经营数据!$B$3,COUNTIFS($S$2:$S$3000,1,$A$2:$A$3000,$A1733,$T$2:$T$3000,"&lt;"&amp;$T1733)+1,""))</f>
        <v/>
      </c>
      <c r="V1733" t="str">
        <f t="shared" si="415"/>
        <v>深圳来福士项目|服务效率</v>
      </c>
      <c r="W1733">
        <f t="shared" si="416"/>
        <v>1726</v>
      </c>
      <c r="X1733" t="str">
        <f t="shared" si="417"/>
        <v>深圳来福士项目|加权平均出租率</v>
      </c>
      <c r="Y1733">
        <f t="shared" si="418"/>
        <v>1726</v>
      </c>
      <c r="Z1733">
        <f>IF($A1733="",0,IF(AND($M1733=1,$A1733=经营数据!$B$3,$J1733=经营数据!$BA$5,OR($I1733=经营数据!$BA$4,COUNTIF(经营数据!$AA$9:$AA$38,$I1733)&gt;0)),1,0))</f>
        <v>0</v>
      </c>
      <c r="AA1733" t="str">
        <f t="shared" si="419"/>
        <v/>
      </c>
      <c r="AB1733" t="str">
        <f t="shared" si="420"/>
        <v/>
      </c>
      <c r="AC1733">
        <f>IF($A1733="",0,IF(COUNTIF($A$2:$A1733,$A1733)=1,1,0))</f>
        <v>0</v>
      </c>
      <c r="AD1733">
        <f t="shared" si="421"/>
        <v>20</v>
      </c>
      <c r="AE1733" t="str">
        <f t="shared" si="422"/>
        <v>深圳来福士项目|加权平均出租率（%）</v>
      </c>
    </row>
    <row r="1734" spans="1:31" x14ac:dyDescent="0.4">
      <c r="A1734" t="str">
        <f>IF(原始经营数据!$D1735="","",原始经营数据!$D1735)</f>
        <v>华夏凯德封闭式商业不动产证券投资基金</v>
      </c>
      <c r="B1734" t="str">
        <f>IF(原始经营数据!$D1735="","",T(原始经营数据!$E1735))</f>
        <v>深圳来福士项目</v>
      </c>
      <c r="C1734" t="str">
        <f>IF(原始经营数据!$D1735="","",原始经营数据!$F1735)</f>
        <v>2024</v>
      </c>
      <c r="D1734" t="str">
        <f>IF(原始经营数据!$D1735="","",原始经营数据!$H1735)</f>
        <v>期末出租率</v>
      </c>
      <c r="E1734">
        <f>IF(原始经营数据!$D1735="","",原始经营数据!$I1735)</f>
        <v>94.14</v>
      </c>
      <c r="F1734" t="str">
        <f>IF(原始经营数据!$D1735="","",T(原始经营数据!$J1735))</f>
        <v>%</v>
      </c>
      <c r="G1734" t="str">
        <f>IF(原始经营数据!$D1735="","",T(原始经营数据!$K1735))</f>
        <v/>
      </c>
      <c r="H1734" t="str">
        <f>IF(原始经营数据!$D1735="","",原始经营数据!$G1735)</f>
        <v>服务效率</v>
      </c>
      <c r="I1734" t="str">
        <f>IF($A1734="","",IF($B1734&lt;&gt;"",$B1734,IF(COUNTIFS(原始经营数据!$D$3:$D$3001,$A1734,原始经营数据!$E$3:$E$3001,"",原始经营数据!$F$3:$F$3001,$C1734,原始经营数据!$H$3:$H$3001,$D1734,原始经营数据!$K$3:$K$3001,$G1734)&gt;1,"基金整体·来源"&amp;原始经营数据!$A1735,"基金整体")))</f>
        <v>深圳来福士项目</v>
      </c>
      <c r="J1734" t="str">
        <f t="shared" si="408"/>
        <v>年度</v>
      </c>
      <c r="K1734" t="str">
        <f t="shared" si="409"/>
        <v>期末出租率（%）</v>
      </c>
      <c r="L1734" t="str">
        <f t="shared" si="410"/>
        <v>深圳来福士项目|期末出租率（%）|年度</v>
      </c>
      <c r="M1734">
        <f>IF($A1734="",0,IF(COUNTIF($L$2:$L1734,$L1734)=1,1,0))</f>
        <v>0</v>
      </c>
      <c r="N1734">
        <f t="shared" si="411"/>
        <v>20240</v>
      </c>
      <c r="O1734" t="str">
        <f t="shared" si="412"/>
        <v>华夏凯德封闭式商业不动产证券投资基金|2024|年度</v>
      </c>
      <c r="P1734">
        <f>IF($A1734="",0,IF(COUNTIF($O$2:$O1734,$O1734)=1,1,0))</f>
        <v>0</v>
      </c>
      <c r="Q1734" t="str">
        <f>IF(AND($P1734=1,$A1734=经营数据!$B$3,$J1734=经营数据!$BA$5),COUNTIFS($P$2:$P$3000,1,$A$2:$A$3000,$A1734,$J$2:$J$3000,$J1734,$N$2:$N$3000,"&lt;"&amp;$N1734)+1,"")</f>
        <v/>
      </c>
      <c r="R1734" t="str">
        <f t="shared" si="413"/>
        <v>华夏凯德封闭式商业不动产证券投资基金|深圳来福士项目</v>
      </c>
      <c r="S1734">
        <f>IF($A1734="",0,IF(COUNTIF($R$2:$R1734,$R1734)=1,1,0))</f>
        <v>0</v>
      </c>
      <c r="T1734">
        <f t="shared" si="414"/>
        <v>1725</v>
      </c>
      <c r="U1734" t="str">
        <f>IF($A1734="","",IF($A1734=经营数据!$B$3,COUNTIFS($S$2:$S$3000,1,$A$2:$A$3000,$A1734,$T$2:$T$3000,"&lt;"&amp;$T1734)+1,""))</f>
        <v/>
      </c>
      <c r="V1734" t="str">
        <f t="shared" si="415"/>
        <v>深圳来福士项目|服务效率</v>
      </c>
      <c r="W1734">
        <f t="shared" si="416"/>
        <v>1726</v>
      </c>
      <c r="X1734" t="str">
        <f t="shared" si="417"/>
        <v>深圳来福士项目|期末出租率</v>
      </c>
      <c r="Y1734">
        <f t="shared" si="418"/>
        <v>1727</v>
      </c>
      <c r="Z1734">
        <f>IF($A1734="",0,IF(AND($M1734=1,$A1734=经营数据!$B$3,$J1734=经营数据!$BA$5,OR($I1734=经营数据!$BA$4,COUNTIF(经营数据!$AA$9:$AA$38,$I1734)&gt;0)),1,0))</f>
        <v>0</v>
      </c>
      <c r="AA1734" t="str">
        <f t="shared" si="419"/>
        <v/>
      </c>
      <c r="AB1734" t="str">
        <f t="shared" si="420"/>
        <v/>
      </c>
      <c r="AC1734">
        <f>IF($A1734="",0,IF(COUNTIF($A$2:$A1734,$A1734)=1,1,0))</f>
        <v>0</v>
      </c>
      <c r="AD1734">
        <f t="shared" si="421"/>
        <v>20</v>
      </c>
      <c r="AE1734" t="str">
        <f t="shared" si="422"/>
        <v>深圳来福士项目|期末出租率（%）</v>
      </c>
    </row>
    <row r="1735" spans="1:31" x14ac:dyDescent="0.4">
      <c r="A1735" t="str">
        <f>IF(原始经营数据!$D1736="","",原始经营数据!$D1736)</f>
        <v>华夏凯德封闭式商业不动产证券投资基金</v>
      </c>
      <c r="B1735" t="str">
        <f>IF(原始经营数据!$D1736="","",T(原始经营数据!$E1736))</f>
        <v>深圳来福士项目</v>
      </c>
      <c r="C1735" t="str">
        <f>IF(原始经营数据!$D1736="","",原始经营数据!$F1736)</f>
        <v>2025</v>
      </c>
      <c r="D1735" t="str">
        <f>IF(原始经营数据!$D1736="","",原始经营数据!$H1736)</f>
        <v>客流量</v>
      </c>
      <c r="E1735">
        <f>IF(原始经营数据!$D1736="","",原始经营数据!$I1736)</f>
        <v>5</v>
      </c>
      <c r="F1735" t="str">
        <f>IF(原始经营数据!$D1736="","",T(原始经营数据!$J1736))</f>
        <v>万人/日</v>
      </c>
      <c r="G1735" t="str">
        <f>IF(原始经营数据!$D1736="","",T(原始经营数据!$K1736))</f>
        <v/>
      </c>
      <c r="H1735" t="str">
        <f>IF(原始经营数据!$D1736="","",原始经营数据!$G1736)</f>
        <v>服务量</v>
      </c>
      <c r="I1735" t="str">
        <f>IF($A1735="","",IF($B1735&lt;&gt;"",$B1735,IF(COUNTIFS(原始经营数据!$D$3:$D$3001,$A1735,原始经营数据!$E$3:$E$3001,"",原始经营数据!$F$3:$F$3001,$C1735,原始经营数据!$H$3:$H$3001,$D1735,原始经营数据!$K$3:$K$3001,$G1735)&gt;1,"基金整体·来源"&amp;原始经营数据!$A1736,"基金整体")))</f>
        <v>深圳来福士项目</v>
      </c>
      <c r="J1735" t="str">
        <f t="shared" si="408"/>
        <v>年度</v>
      </c>
      <c r="K1735" t="str">
        <f t="shared" si="409"/>
        <v>客流量（万人/日）</v>
      </c>
      <c r="L1735" t="str">
        <f t="shared" si="410"/>
        <v>深圳来福士项目|客流量（万人/日）|年度</v>
      </c>
      <c r="M1735">
        <f>IF($A1735="",0,IF(COUNTIF($L$2:$L1735,$L1735)=1,1,0))</f>
        <v>0</v>
      </c>
      <c r="N1735">
        <f t="shared" si="411"/>
        <v>20250</v>
      </c>
      <c r="O1735" t="str">
        <f t="shared" si="412"/>
        <v>华夏凯德封闭式商业不动产证券投资基金|2025|年度</v>
      </c>
      <c r="P1735">
        <f>IF($A1735="",0,IF(COUNTIF($O$2:$O1735,$O1735)=1,1,0))</f>
        <v>1</v>
      </c>
      <c r="Q1735" t="str">
        <f>IF(AND($P1735=1,$A1735=经营数据!$B$3,$J1735=经营数据!$BA$5),COUNTIFS($P$2:$P$3000,1,$A$2:$A$3000,$A1735,$J$2:$J$3000,$J1735,$N$2:$N$3000,"&lt;"&amp;$N1735)+1,"")</f>
        <v/>
      </c>
      <c r="R1735" t="str">
        <f t="shared" si="413"/>
        <v>华夏凯德封闭式商业不动产证券投资基金|深圳来福士项目</v>
      </c>
      <c r="S1735">
        <f>IF($A1735="",0,IF(COUNTIF($R$2:$R1735,$R1735)=1,1,0))</f>
        <v>0</v>
      </c>
      <c r="T1735">
        <f t="shared" si="414"/>
        <v>1725</v>
      </c>
      <c r="U1735" t="str">
        <f>IF($A1735="","",IF($A1735=经营数据!$B$3,COUNTIFS($S$2:$S$3000,1,$A$2:$A$3000,$A1735,$T$2:$T$3000,"&lt;"&amp;$T1735)+1,""))</f>
        <v/>
      </c>
      <c r="V1735" t="str">
        <f t="shared" si="415"/>
        <v>深圳来福士项目|服务量</v>
      </c>
      <c r="W1735">
        <f t="shared" si="416"/>
        <v>1725</v>
      </c>
      <c r="X1735" t="str">
        <f t="shared" si="417"/>
        <v>深圳来福士项目|客流量</v>
      </c>
      <c r="Y1735">
        <f t="shared" si="418"/>
        <v>1725</v>
      </c>
      <c r="Z1735">
        <f>IF($A1735="",0,IF(AND($M1735=1,$A1735=经营数据!$B$3,$J1735=经营数据!$BA$5,OR($I1735=经营数据!$BA$4,COUNTIF(经营数据!$AA$9:$AA$38,$I1735)&gt;0)),1,0))</f>
        <v>0</v>
      </c>
      <c r="AA1735" t="str">
        <f t="shared" si="419"/>
        <v/>
      </c>
      <c r="AB1735" t="str">
        <f t="shared" si="420"/>
        <v/>
      </c>
      <c r="AC1735">
        <f>IF($A1735="",0,IF(COUNTIF($A$2:$A1735,$A1735)=1,1,0))</f>
        <v>0</v>
      </c>
      <c r="AD1735">
        <f t="shared" si="421"/>
        <v>20</v>
      </c>
      <c r="AE1735" t="str">
        <f t="shared" si="422"/>
        <v>深圳来福士项目|客流量（万人/日）</v>
      </c>
    </row>
    <row r="1736" spans="1:31" x14ac:dyDescent="0.4">
      <c r="A1736" t="str">
        <f>IF(原始经营数据!$D1737="","",原始经营数据!$D1737)</f>
        <v>华夏凯德封闭式商业不动产证券投资基金</v>
      </c>
      <c r="B1736" t="str">
        <f>IF(原始经营数据!$D1737="","",T(原始经营数据!$E1737))</f>
        <v>深圳来福士项目</v>
      </c>
      <c r="C1736" t="str">
        <f>IF(原始经营数据!$D1737="","",原始经营数据!$F1737)</f>
        <v>2025</v>
      </c>
      <c r="D1736" t="str">
        <f>IF(原始经营数据!$D1737="","",原始经营数据!$H1737)</f>
        <v>加权平均出租率</v>
      </c>
      <c r="E1736">
        <f>IF(原始经营数据!$D1737="","",原始经营数据!$I1737)</f>
        <v>95.63</v>
      </c>
      <c r="F1736" t="str">
        <f>IF(原始经营数据!$D1737="","",T(原始经营数据!$J1737))</f>
        <v>%</v>
      </c>
      <c r="G1736" t="str">
        <f>IF(原始经营数据!$D1737="","",T(原始经营数据!$K1737))</f>
        <v/>
      </c>
      <c r="H1736" t="str">
        <f>IF(原始经营数据!$D1737="","",原始经营数据!$G1737)</f>
        <v>服务效率</v>
      </c>
      <c r="I1736" t="str">
        <f>IF($A1736="","",IF($B1736&lt;&gt;"",$B1736,IF(COUNTIFS(原始经营数据!$D$3:$D$3001,$A1736,原始经营数据!$E$3:$E$3001,"",原始经营数据!$F$3:$F$3001,$C1736,原始经营数据!$H$3:$H$3001,$D1736,原始经营数据!$K$3:$K$3001,$G1736)&gt;1,"基金整体·来源"&amp;原始经营数据!$A1737,"基金整体")))</f>
        <v>深圳来福士项目</v>
      </c>
      <c r="J1736" t="str">
        <f t="shared" si="408"/>
        <v>年度</v>
      </c>
      <c r="K1736" t="str">
        <f t="shared" si="409"/>
        <v>加权平均出租率（%）</v>
      </c>
      <c r="L1736" t="str">
        <f t="shared" si="410"/>
        <v>深圳来福士项目|加权平均出租率（%）|年度</v>
      </c>
      <c r="M1736">
        <f>IF($A1736="",0,IF(COUNTIF($L$2:$L1736,$L1736)=1,1,0))</f>
        <v>0</v>
      </c>
      <c r="N1736">
        <f t="shared" si="411"/>
        <v>20250</v>
      </c>
      <c r="O1736" t="str">
        <f t="shared" si="412"/>
        <v>华夏凯德封闭式商业不动产证券投资基金|2025|年度</v>
      </c>
      <c r="P1736">
        <f>IF($A1736="",0,IF(COUNTIF($O$2:$O1736,$O1736)=1,1,0))</f>
        <v>0</v>
      </c>
      <c r="Q1736" t="str">
        <f>IF(AND($P1736=1,$A1736=经营数据!$B$3,$J1736=经营数据!$BA$5),COUNTIFS($P$2:$P$3000,1,$A$2:$A$3000,$A1736,$J$2:$J$3000,$J1736,$N$2:$N$3000,"&lt;"&amp;$N1736)+1,"")</f>
        <v/>
      </c>
      <c r="R1736" t="str">
        <f t="shared" si="413"/>
        <v>华夏凯德封闭式商业不动产证券投资基金|深圳来福士项目</v>
      </c>
      <c r="S1736">
        <f>IF($A1736="",0,IF(COUNTIF($R$2:$R1736,$R1736)=1,1,0))</f>
        <v>0</v>
      </c>
      <c r="T1736">
        <f t="shared" si="414"/>
        <v>1725</v>
      </c>
      <c r="U1736" t="str">
        <f>IF($A1736="","",IF($A1736=经营数据!$B$3,COUNTIFS($S$2:$S$3000,1,$A$2:$A$3000,$A1736,$T$2:$T$3000,"&lt;"&amp;$T1736)+1,""))</f>
        <v/>
      </c>
      <c r="V1736" t="str">
        <f t="shared" si="415"/>
        <v>深圳来福士项目|服务效率</v>
      </c>
      <c r="W1736">
        <f t="shared" si="416"/>
        <v>1726</v>
      </c>
      <c r="X1736" t="str">
        <f t="shared" si="417"/>
        <v>深圳来福士项目|加权平均出租率</v>
      </c>
      <c r="Y1736">
        <f t="shared" si="418"/>
        <v>1726</v>
      </c>
      <c r="Z1736">
        <f>IF($A1736="",0,IF(AND($M1736=1,$A1736=经营数据!$B$3,$J1736=经营数据!$BA$5,OR($I1736=经营数据!$BA$4,COUNTIF(经营数据!$AA$9:$AA$38,$I1736)&gt;0)),1,0))</f>
        <v>0</v>
      </c>
      <c r="AA1736" t="str">
        <f t="shared" si="419"/>
        <v/>
      </c>
      <c r="AB1736" t="str">
        <f t="shared" si="420"/>
        <v/>
      </c>
      <c r="AC1736">
        <f>IF($A1736="",0,IF(COUNTIF($A$2:$A1736,$A1736)=1,1,0))</f>
        <v>0</v>
      </c>
      <c r="AD1736">
        <f t="shared" si="421"/>
        <v>20</v>
      </c>
      <c r="AE1736" t="str">
        <f t="shared" si="422"/>
        <v>深圳来福士项目|加权平均出租率（%）</v>
      </c>
    </row>
    <row r="1737" spans="1:31" x14ac:dyDescent="0.4">
      <c r="A1737" t="str">
        <f>IF(原始经营数据!$D1738="","",原始经营数据!$D1738)</f>
        <v>华夏凯德封闭式商业不动产证券投资基金</v>
      </c>
      <c r="B1737" t="str">
        <f>IF(原始经营数据!$D1738="","",T(原始经营数据!$E1738))</f>
        <v>深圳来福士项目</v>
      </c>
      <c r="C1737" t="str">
        <f>IF(原始经营数据!$D1738="","",原始经营数据!$F1738)</f>
        <v>2025</v>
      </c>
      <c r="D1737" t="str">
        <f>IF(原始经营数据!$D1738="","",原始经营数据!$H1738)</f>
        <v>期末出租率</v>
      </c>
      <c r="E1737">
        <f>IF(原始经营数据!$D1738="","",原始经营数据!$I1738)</f>
        <v>87.97</v>
      </c>
      <c r="F1737" t="str">
        <f>IF(原始经营数据!$D1738="","",T(原始经营数据!$J1738))</f>
        <v>%</v>
      </c>
      <c r="G1737" t="str">
        <f>IF(原始经营数据!$D1738="","",T(原始经营数据!$K1738))</f>
        <v/>
      </c>
      <c r="H1737" t="str">
        <f>IF(原始经营数据!$D1738="","",原始经营数据!$G1738)</f>
        <v>服务效率</v>
      </c>
      <c r="I1737" t="str">
        <f>IF($A1737="","",IF($B1737&lt;&gt;"",$B1737,IF(COUNTIFS(原始经营数据!$D$3:$D$3001,$A1737,原始经营数据!$E$3:$E$3001,"",原始经营数据!$F$3:$F$3001,$C1737,原始经营数据!$H$3:$H$3001,$D1737,原始经营数据!$K$3:$K$3001,$G1737)&gt;1,"基金整体·来源"&amp;原始经营数据!$A1738,"基金整体")))</f>
        <v>深圳来福士项目</v>
      </c>
      <c r="J1737" t="str">
        <f t="shared" si="408"/>
        <v>年度</v>
      </c>
      <c r="K1737" t="str">
        <f t="shared" si="409"/>
        <v>期末出租率（%）</v>
      </c>
      <c r="L1737" t="str">
        <f t="shared" si="410"/>
        <v>深圳来福士项目|期末出租率（%）|年度</v>
      </c>
      <c r="M1737">
        <f>IF($A1737="",0,IF(COUNTIF($L$2:$L1737,$L1737)=1,1,0))</f>
        <v>0</v>
      </c>
      <c r="N1737">
        <f t="shared" si="411"/>
        <v>20250</v>
      </c>
      <c r="O1737" t="str">
        <f t="shared" si="412"/>
        <v>华夏凯德封闭式商业不动产证券投资基金|2025|年度</v>
      </c>
      <c r="P1737">
        <f>IF($A1737="",0,IF(COUNTIF($O$2:$O1737,$O1737)=1,1,0))</f>
        <v>0</v>
      </c>
      <c r="Q1737" t="str">
        <f>IF(AND($P1737=1,$A1737=经营数据!$B$3,$J1737=经营数据!$BA$5),COUNTIFS($P$2:$P$3000,1,$A$2:$A$3000,$A1737,$J$2:$J$3000,$J1737,$N$2:$N$3000,"&lt;"&amp;$N1737)+1,"")</f>
        <v/>
      </c>
      <c r="R1737" t="str">
        <f t="shared" si="413"/>
        <v>华夏凯德封闭式商业不动产证券投资基金|深圳来福士项目</v>
      </c>
      <c r="S1737">
        <f>IF($A1737="",0,IF(COUNTIF($R$2:$R1737,$R1737)=1,1,0))</f>
        <v>0</v>
      </c>
      <c r="T1737">
        <f t="shared" si="414"/>
        <v>1725</v>
      </c>
      <c r="U1737" t="str">
        <f>IF($A1737="","",IF($A1737=经营数据!$B$3,COUNTIFS($S$2:$S$3000,1,$A$2:$A$3000,$A1737,$T$2:$T$3000,"&lt;"&amp;$T1737)+1,""))</f>
        <v/>
      </c>
      <c r="V1737" t="str">
        <f t="shared" si="415"/>
        <v>深圳来福士项目|服务效率</v>
      </c>
      <c r="W1737">
        <f t="shared" si="416"/>
        <v>1726</v>
      </c>
      <c r="X1737" t="str">
        <f t="shared" si="417"/>
        <v>深圳来福士项目|期末出租率</v>
      </c>
      <c r="Y1737">
        <f t="shared" si="418"/>
        <v>1727</v>
      </c>
      <c r="Z1737">
        <f>IF($A1737="",0,IF(AND($M1737=1,$A1737=经营数据!$B$3,$J1737=经营数据!$BA$5,OR($I1737=经营数据!$BA$4,COUNTIF(经营数据!$AA$9:$AA$38,$I1737)&gt;0)),1,0))</f>
        <v>0</v>
      </c>
      <c r="AA1737" t="str">
        <f t="shared" si="419"/>
        <v/>
      </c>
      <c r="AB1737" t="str">
        <f t="shared" si="420"/>
        <v/>
      </c>
      <c r="AC1737">
        <f>IF($A1737="",0,IF(COUNTIF($A$2:$A1737,$A1737)=1,1,0))</f>
        <v>0</v>
      </c>
      <c r="AD1737">
        <f t="shared" si="421"/>
        <v>20</v>
      </c>
      <c r="AE1737" t="str">
        <f t="shared" si="422"/>
        <v>深圳来福士项目|期末出租率（%）</v>
      </c>
    </row>
    <row r="1738" spans="1:31" x14ac:dyDescent="0.4">
      <c r="A1738" t="str">
        <f>IF(原始经营数据!$D1739="","",原始经营数据!$D1739)</f>
        <v>华夏凯德封闭式商业不动产证券投资基金</v>
      </c>
      <c r="B1738" t="str">
        <f>IF(原始经营数据!$D1739="","",T(原始经营数据!$E1739))</f>
        <v>深圳来福士项目</v>
      </c>
      <c r="C1738" t="str">
        <f>IF(原始经营数据!$D1739="","",原始经营数据!$F1739)</f>
        <v>2026Q1</v>
      </c>
      <c r="D1738" t="str">
        <f>IF(原始经营数据!$D1739="","",原始经营数据!$H1739)</f>
        <v>客流量</v>
      </c>
      <c r="E1738">
        <f>IF(原始经营数据!$D1739="","",原始经营数据!$I1739)</f>
        <v>4.8099999999999996</v>
      </c>
      <c r="F1738" t="str">
        <f>IF(原始经营数据!$D1739="","",T(原始经营数据!$J1739))</f>
        <v>万人/日</v>
      </c>
      <c r="G1738" t="str">
        <f>IF(原始经营数据!$D1739="","",T(原始经营数据!$K1739))</f>
        <v/>
      </c>
      <c r="H1738" t="str">
        <f>IF(原始经营数据!$D1739="","",原始经营数据!$G1739)</f>
        <v>服务量</v>
      </c>
      <c r="I1738" t="str">
        <f>IF($A1738="","",IF($B1738&lt;&gt;"",$B1738,IF(COUNTIFS(原始经营数据!$D$3:$D$3001,$A1738,原始经营数据!$E$3:$E$3001,"",原始经营数据!$F$3:$F$3001,$C1738,原始经营数据!$H$3:$H$3001,$D1738,原始经营数据!$K$3:$K$3001,$G1738)&gt;1,"基金整体·来源"&amp;原始经营数据!$A1739,"基金整体")))</f>
        <v>深圳来福士项目</v>
      </c>
      <c r="J1738" t="str">
        <f t="shared" si="408"/>
        <v>季度</v>
      </c>
      <c r="K1738" t="str">
        <f t="shared" si="409"/>
        <v>客流量（万人/日）</v>
      </c>
      <c r="L1738" t="str">
        <f t="shared" si="410"/>
        <v>深圳来福士项目|客流量（万人/日）|季度</v>
      </c>
      <c r="M1738">
        <f>IF($A1738="",0,IF(COUNTIF($L$2:$L1738,$L1738)=1,1,0))</f>
        <v>1</v>
      </c>
      <c r="N1738">
        <f t="shared" si="411"/>
        <v>20261</v>
      </c>
      <c r="O1738" t="str">
        <f t="shared" si="412"/>
        <v>华夏凯德封闭式商业不动产证券投资基金|2026Q1|季度</v>
      </c>
      <c r="P1738">
        <f>IF($A1738="",0,IF(COUNTIF($O$2:$O1738,$O1738)=1,1,0))</f>
        <v>1</v>
      </c>
      <c r="Q1738" t="str">
        <f>IF(AND($P1738=1,$A1738=经营数据!$B$3,$J1738=经营数据!$BA$5),COUNTIFS($P$2:$P$3000,1,$A$2:$A$3000,$A1738,$J$2:$J$3000,$J1738,$N$2:$N$3000,"&lt;"&amp;$N1738)+1,"")</f>
        <v/>
      </c>
      <c r="R1738" t="str">
        <f t="shared" si="413"/>
        <v>华夏凯德封闭式商业不动产证券投资基金|深圳来福士项目</v>
      </c>
      <c r="S1738">
        <f>IF($A1738="",0,IF(COUNTIF($R$2:$R1738,$R1738)=1,1,0))</f>
        <v>0</v>
      </c>
      <c r="T1738">
        <f t="shared" si="414"/>
        <v>1725</v>
      </c>
      <c r="U1738" t="str">
        <f>IF($A1738="","",IF($A1738=经营数据!$B$3,COUNTIFS($S$2:$S$3000,1,$A$2:$A$3000,$A1738,$T$2:$T$3000,"&lt;"&amp;$T1738)+1,""))</f>
        <v/>
      </c>
      <c r="V1738" t="str">
        <f t="shared" si="415"/>
        <v>深圳来福士项目|服务量</v>
      </c>
      <c r="W1738">
        <f t="shared" si="416"/>
        <v>1725</v>
      </c>
      <c r="X1738" t="str">
        <f t="shared" si="417"/>
        <v>深圳来福士项目|客流量</v>
      </c>
      <c r="Y1738">
        <f t="shared" si="418"/>
        <v>1725</v>
      </c>
      <c r="Z1738">
        <f>IF($A1738="",0,IF(AND($M1738=1,$A1738=经营数据!$B$3,$J1738=经营数据!$BA$5,OR($I1738=经营数据!$BA$4,COUNTIF(经营数据!$AA$9:$AA$38,$I1738)&gt;0)),1,0))</f>
        <v>0</v>
      </c>
      <c r="AA1738" t="str">
        <f t="shared" si="419"/>
        <v/>
      </c>
      <c r="AB1738" t="str">
        <f t="shared" si="420"/>
        <v/>
      </c>
      <c r="AC1738">
        <f>IF($A1738="",0,IF(COUNTIF($A$2:$A1738,$A1738)=1,1,0))</f>
        <v>0</v>
      </c>
      <c r="AD1738">
        <f t="shared" si="421"/>
        <v>20</v>
      </c>
      <c r="AE1738" t="str">
        <f t="shared" si="422"/>
        <v>深圳来福士项目|客流量（万人/日）</v>
      </c>
    </row>
    <row r="1739" spans="1:31" x14ac:dyDescent="0.4">
      <c r="A1739" t="str">
        <f>IF(原始经营数据!$D1740="","",原始经营数据!$D1740)</f>
        <v>华夏凯德封闭式商业不动产证券投资基金</v>
      </c>
      <c r="B1739" t="str">
        <f>IF(原始经营数据!$D1740="","",T(原始经营数据!$E1740))</f>
        <v>深圳来福士项目</v>
      </c>
      <c r="C1739" t="str">
        <f>IF(原始经营数据!$D1740="","",原始经营数据!$F1740)</f>
        <v>2026Q1</v>
      </c>
      <c r="D1739" t="str">
        <f>IF(原始经营数据!$D1740="","",原始经营数据!$H1740)</f>
        <v>加权平均出租率</v>
      </c>
      <c r="E1739">
        <f>IF(原始经营数据!$D1740="","",原始经营数据!$I1740)</f>
        <v>95.75</v>
      </c>
      <c r="F1739" t="str">
        <f>IF(原始经营数据!$D1740="","",T(原始经营数据!$J1740))</f>
        <v>%</v>
      </c>
      <c r="G1739" t="str">
        <f>IF(原始经营数据!$D1740="","",T(原始经营数据!$K1740))</f>
        <v/>
      </c>
      <c r="H1739" t="str">
        <f>IF(原始经营数据!$D1740="","",原始经营数据!$G1740)</f>
        <v>服务效率</v>
      </c>
      <c r="I1739" t="str">
        <f>IF($A1739="","",IF($B1739&lt;&gt;"",$B1739,IF(COUNTIFS(原始经营数据!$D$3:$D$3001,$A1739,原始经营数据!$E$3:$E$3001,"",原始经营数据!$F$3:$F$3001,$C1739,原始经营数据!$H$3:$H$3001,$D1739,原始经营数据!$K$3:$K$3001,$G1739)&gt;1,"基金整体·来源"&amp;原始经营数据!$A1740,"基金整体")))</f>
        <v>深圳来福士项目</v>
      </c>
      <c r="J1739" t="str">
        <f t="shared" si="408"/>
        <v>季度</v>
      </c>
      <c r="K1739" t="str">
        <f t="shared" si="409"/>
        <v>加权平均出租率（%）</v>
      </c>
      <c r="L1739" t="str">
        <f t="shared" si="410"/>
        <v>深圳来福士项目|加权平均出租率（%）|季度</v>
      </c>
      <c r="M1739">
        <f>IF($A1739="",0,IF(COUNTIF($L$2:$L1739,$L1739)=1,1,0))</f>
        <v>1</v>
      </c>
      <c r="N1739">
        <f t="shared" si="411"/>
        <v>20261</v>
      </c>
      <c r="O1739" t="str">
        <f t="shared" si="412"/>
        <v>华夏凯德封闭式商业不动产证券投资基金|2026Q1|季度</v>
      </c>
      <c r="P1739">
        <f>IF($A1739="",0,IF(COUNTIF($O$2:$O1739,$O1739)=1,1,0))</f>
        <v>0</v>
      </c>
      <c r="Q1739" t="str">
        <f>IF(AND($P1739=1,$A1739=经营数据!$B$3,$J1739=经营数据!$BA$5),COUNTIFS($P$2:$P$3000,1,$A$2:$A$3000,$A1739,$J$2:$J$3000,$J1739,$N$2:$N$3000,"&lt;"&amp;$N1739)+1,"")</f>
        <v/>
      </c>
      <c r="R1739" t="str">
        <f t="shared" si="413"/>
        <v>华夏凯德封闭式商业不动产证券投资基金|深圳来福士项目</v>
      </c>
      <c r="S1739">
        <f>IF($A1739="",0,IF(COUNTIF($R$2:$R1739,$R1739)=1,1,0))</f>
        <v>0</v>
      </c>
      <c r="T1739">
        <f t="shared" si="414"/>
        <v>1725</v>
      </c>
      <c r="U1739" t="str">
        <f>IF($A1739="","",IF($A1739=经营数据!$B$3,COUNTIFS($S$2:$S$3000,1,$A$2:$A$3000,$A1739,$T$2:$T$3000,"&lt;"&amp;$T1739)+1,""))</f>
        <v/>
      </c>
      <c r="V1739" t="str">
        <f t="shared" si="415"/>
        <v>深圳来福士项目|服务效率</v>
      </c>
      <c r="W1739">
        <f t="shared" si="416"/>
        <v>1726</v>
      </c>
      <c r="X1739" t="str">
        <f t="shared" si="417"/>
        <v>深圳来福士项目|加权平均出租率</v>
      </c>
      <c r="Y1739">
        <f t="shared" si="418"/>
        <v>1726</v>
      </c>
      <c r="Z1739">
        <f>IF($A1739="",0,IF(AND($M1739=1,$A1739=经营数据!$B$3,$J1739=经营数据!$BA$5,OR($I1739=经营数据!$BA$4,COUNTIF(经营数据!$AA$9:$AA$38,$I1739)&gt;0)),1,0))</f>
        <v>0</v>
      </c>
      <c r="AA1739" t="str">
        <f t="shared" si="419"/>
        <v/>
      </c>
      <c r="AB1739" t="str">
        <f t="shared" si="420"/>
        <v/>
      </c>
      <c r="AC1739">
        <f>IF($A1739="",0,IF(COUNTIF($A$2:$A1739,$A1739)=1,1,0))</f>
        <v>0</v>
      </c>
      <c r="AD1739">
        <f t="shared" si="421"/>
        <v>20</v>
      </c>
      <c r="AE1739" t="str">
        <f t="shared" si="422"/>
        <v>深圳来福士项目|加权平均出租率（%）</v>
      </c>
    </row>
    <row r="1740" spans="1:31" x14ac:dyDescent="0.4">
      <c r="A1740" t="str">
        <f>IF(原始经营数据!$D1741="","",原始经营数据!$D1741)</f>
        <v>华夏凯德封闭式商业不动产证券投资基金</v>
      </c>
      <c r="B1740" t="str">
        <f>IF(原始经营数据!$D1741="","",T(原始经营数据!$E1741))</f>
        <v>深圳来福士项目</v>
      </c>
      <c r="C1740" t="str">
        <f>IF(原始经营数据!$D1741="","",原始经营数据!$F1741)</f>
        <v>2026Q1</v>
      </c>
      <c r="D1740" t="str">
        <f>IF(原始经营数据!$D1741="","",原始经营数据!$H1741)</f>
        <v>期末出租率</v>
      </c>
      <c r="E1740">
        <f>IF(原始经营数据!$D1741="","",原始经营数据!$I1741)</f>
        <v>84.49</v>
      </c>
      <c r="F1740" t="str">
        <f>IF(原始经营数据!$D1741="","",T(原始经营数据!$J1741))</f>
        <v>%</v>
      </c>
      <c r="G1740" t="str">
        <f>IF(原始经营数据!$D1741="","",T(原始经营数据!$K1741))</f>
        <v/>
      </c>
      <c r="H1740" t="str">
        <f>IF(原始经营数据!$D1741="","",原始经营数据!$G1741)</f>
        <v>服务效率</v>
      </c>
      <c r="I1740" t="str">
        <f>IF($A1740="","",IF($B1740&lt;&gt;"",$B1740,IF(COUNTIFS(原始经营数据!$D$3:$D$3001,$A1740,原始经营数据!$E$3:$E$3001,"",原始经营数据!$F$3:$F$3001,$C1740,原始经营数据!$H$3:$H$3001,$D1740,原始经营数据!$K$3:$K$3001,$G1740)&gt;1,"基金整体·来源"&amp;原始经营数据!$A1741,"基金整体")))</f>
        <v>深圳来福士项目</v>
      </c>
      <c r="J1740" t="str">
        <f t="shared" si="408"/>
        <v>季度</v>
      </c>
      <c r="K1740" t="str">
        <f t="shared" si="409"/>
        <v>期末出租率（%）</v>
      </c>
      <c r="L1740" t="str">
        <f t="shared" si="410"/>
        <v>深圳来福士项目|期末出租率（%）|季度</v>
      </c>
      <c r="M1740">
        <f>IF($A1740="",0,IF(COUNTIF($L$2:$L1740,$L1740)=1,1,0))</f>
        <v>1</v>
      </c>
      <c r="N1740">
        <f t="shared" si="411"/>
        <v>20261</v>
      </c>
      <c r="O1740" t="str">
        <f t="shared" si="412"/>
        <v>华夏凯德封闭式商业不动产证券投资基金|2026Q1|季度</v>
      </c>
      <c r="P1740">
        <f>IF($A1740="",0,IF(COUNTIF($O$2:$O1740,$O1740)=1,1,0))</f>
        <v>0</v>
      </c>
      <c r="Q1740" t="str">
        <f>IF(AND($P1740=1,$A1740=经营数据!$B$3,$J1740=经营数据!$BA$5),COUNTIFS($P$2:$P$3000,1,$A$2:$A$3000,$A1740,$J$2:$J$3000,$J1740,$N$2:$N$3000,"&lt;"&amp;$N1740)+1,"")</f>
        <v/>
      </c>
      <c r="R1740" t="str">
        <f t="shared" si="413"/>
        <v>华夏凯德封闭式商业不动产证券投资基金|深圳来福士项目</v>
      </c>
      <c r="S1740">
        <f>IF($A1740="",0,IF(COUNTIF($R$2:$R1740,$R1740)=1,1,0))</f>
        <v>0</v>
      </c>
      <c r="T1740">
        <f t="shared" si="414"/>
        <v>1725</v>
      </c>
      <c r="U1740" t="str">
        <f>IF($A1740="","",IF($A1740=经营数据!$B$3,COUNTIFS($S$2:$S$3000,1,$A$2:$A$3000,$A1740,$T$2:$T$3000,"&lt;"&amp;$T1740)+1,""))</f>
        <v/>
      </c>
      <c r="V1740" t="str">
        <f t="shared" si="415"/>
        <v>深圳来福士项目|服务效率</v>
      </c>
      <c r="W1740">
        <f t="shared" si="416"/>
        <v>1726</v>
      </c>
      <c r="X1740" t="str">
        <f t="shared" si="417"/>
        <v>深圳来福士项目|期末出租率</v>
      </c>
      <c r="Y1740">
        <f t="shared" si="418"/>
        <v>1727</v>
      </c>
      <c r="Z1740">
        <f>IF($A1740="",0,IF(AND($M1740=1,$A1740=经营数据!$B$3,$J1740=经营数据!$BA$5,OR($I1740=经营数据!$BA$4,COUNTIF(经营数据!$AA$9:$AA$38,$I1740)&gt;0)),1,0))</f>
        <v>0</v>
      </c>
      <c r="AA1740" t="str">
        <f t="shared" si="419"/>
        <v/>
      </c>
      <c r="AB1740" t="str">
        <f t="shared" si="420"/>
        <v/>
      </c>
      <c r="AC1740">
        <f>IF($A1740="",0,IF(COUNTIF($A$2:$A1740,$A1740)=1,1,0))</f>
        <v>0</v>
      </c>
      <c r="AD1740">
        <f t="shared" si="421"/>
        <v>20</v>
      </c>
      <c r="AE1740" t="str">
        <f t="shared" si="422"/>
        <v>深圳来福士项目|期末出租率（%）</v>
      </c>
    </row>
    <row r="1741" spans="1:31" x14ac:dyDescent="0.4">
      <c r="A1741" t="str">
        <f>IF(原始经营数据!$D1742="","",原始经营数据!$D1742)</f>
        <v>华夏凯德封闭式商业不动产证券投资基金</v>
      </c>
      <c r="B1741" t="str">
        <f>IF(原始经营数据!$D1742="","",T(原始经营数据!$E1742))</f>
        <v>绵阳涪城项目</v>
      </c>
      <c r="C1741" t="str">
        <f>IF(原始经营数据!$D1742="","",原始经营数据!$F1742)</f>
        <v>2022</v>
      </c>
      <c r="D1741" t="str">
        <f>IF(原始经营数据!$D1742="","",原始经营数据!$H1742)</f>
        <v>期末出租率</v>
      </c>
      <c r="E1741">
        <f>IF(原始经营数据!$D1742="","",原始经营数据!$I1742)</f>
        <v>98.69</v>
      </c>
      <c r="F1741" t="str">
        <f>IF(原始经营数据!$D1742="","",T(原始经营数据!$J1742))</f>
        <v>%</v>
      </c>
      <c r="G1741" t="str">
        <f>IF(原始经营数据!$D1742="","",T(原始经营数据!$K1742))</f>
        <v/>
      </c>
      <c r="H1741" t="str">
        <f>IF(原始经营数据!$D1742="","",原始经营数据!$G1742)</f>
        <v>服务效率</v>
      </c>
      <c r="I1741" t="str">
        <f>IF($A1741="","",IF($B1741&lt;&gt;"",$B1741,IF(COUNTIFS(原始经营数据!$D$3:$D$3001,$A1741,原始经营数据!$E$3:$E$3001,"",原始经营数据!$F$3:$F$3001,$C1741,原始经营数据!$H$3:$H$3001,$D1741,原始经营数据!$K$3:$K$3001,$G1741)&gt;1,"基金整体·来源"&amp;原始经营数据!$A1742,"基金整体")))</f>
        <v>绵阳涪城项目</v>
      </c>
      <c r="J1741" t="str">
        <f t="shared" si="408"/>
        <v>年度</v>
      </c>
      <c r="K1741" t="str">
        <f t="shared" si="409"/>
        <v>期末出租率（%）</v>
      </c>
      <c r="L1741" t="str">
        <f t="shared" si="410"/>
        <v>绵阳涪城项目|期末出租率（%）|年度</v>
      </c>
      <c r="M1741">
        <f>IF($A1741="",0,IF(COUNTIF($L$2:$L1741,$L1741)=1,1,0))</f>
        <v>1</v>
      </c>
      <c r="N1741">
        <f t="shared" si="411"/>
        <v>20220</v>
      </c>
      <c r="O1741" t="str">
        <f t="shared" si="412"/>
        <v>华夏凯德封闭式商业不动产证券投资基金|2022|年度</v>
      </c>
      <c r="P1741">
        <f>IF($A1741="",0,IF(COUNTIF($O$2:$O1741,$O1741)=1,1,0))</f>
        <v>0</v>
      </c>
      <c r="Q1741" t="str">
        <f>IF(AND($P1741=1,$A1741=经营数据!$B$3,$J1741=经营数据!$BA$5),COUNTIFS($P$2:$P$3000,1,$A$2:$A$3000,$A1741,$J$2:$J$3000,$J1741,$N$2:$N$3000,"&lt;"&amp;$N1741)+1,"")</f>
        <v/>
      </c>
      <c r="R1741" t="str">
        <f t="shared" si="413"/>
        <v>华夏凯德封闭式商业不动产证券投资基金|绵阳涪城项目</v>
      </c>
      <c r="S1741">
        <f>IF($A1741="",0,IF(COUNTIF($R$2:$R1741,$R1741)=1,1,0))</f>
        <v>1</v>
      </c>
      <c r="T1741">
        <f t="shared" si="414"/>
        <v>1740</v>
      </c>
      <c r="U1741" t="str">
        <f>IF($A1741="","",IF($A1741=经营数据!$B$3,COUNTIFS($S$2:$S$3000,1,$A$2:$A$3000,$A1741,$T$2:$T$3000,"&lt;"&amp;$T1741)+1,""))</f>
        <v/>
      </c>
      <c r="V1741" t="str">
        <f t="shared" si="415"/>
        <v>绵阳涪城项目|服务效率</v>
      </c>
      <c r="W1741">
        <f t="shared" si="416"/>
        <v>1740</v>
      </c>
      <c r="X1741" t="str">
        <f t="shared" si="417"/>
        <v>绵阳涪城项目|期末出租率</v>
      </c>
      <c r="Y1741">
        <f t="shared" si="418"/>
        <v>1740</v>
      </c>
      <c r="Z1741">
        <f>IF($A1741="",0,IF(AND($M1741=1,$A1741=经营数据!$B$3,$J1741=经营数据!$BA$5,OR($I1741=经营数据!$BA$4,COUNTIF(经营数据!$AA$9:$AA$38,$I1741)&gt;0)),1,0))</f>
        <v>0</v>
      </c>
      <c r="AA1741" t="str">
        <f t="shared" si="419"/>
        <v/>
      </c>
      <c r="AB1741" t="str">
        <f t="shared" si="420"/>
        <v/>
      </c>
      <c r="AC1741">
        <f>IF($A1741="",0,IF(COUNTIF($A$2:$A1741,$A1741)=1,1,0))</f>
        <v>0</v>
      </c>
      <c r="AD1741">
        <f t="shared" si="421"/>
        <v>20</v>
      </c>
      <c r="AE1741" t="str">
        <f t="shared" si="422"/>
        <v>绵阳涪城项目|期末出租率（%）</v>
      </c>
    </row>
    <row r="1742" spans="1:31" x14ac:dyDescent="0.4">
      <c r="A1742" t="str">
        <f>IF(原始经营数据!$D1743="","",原始经营数据!$D1743)</f>
        <v>华夏凯德封闭式商业不动产证券投资基金</v>
      </c>
      <c r="B1742" t="str">
        <f>IF(原始经营数据!$D1743="","",T(原始经营数据!$E1743))</f>
        <v>绵阳涪城项目</v>
      </c>
      <c r="C1742" t="str">
        <f>IF(原始经营数据!$D1743="","",原始经营数据!$F1743)</f>
        <v>2022</v>
      </c>
      <c r="D1742" t="str">
        <f>IF(原始经营数据!$D1743="","",原始经营数据!$H1743)</f>
        <v>客流量</v>
      </c>
      <c r="E1742">
        <f>IF(原始经营数据!$D1743="","",原始经营数据!$I1743)</f>
        <v>2.79</v>
      </c>
      <c r="F1742" t="str">
        <f>IF(原始经营数据!$D1743="","",T(原始经营数据!$J1743))</f>
        <v>万人/日</v>
      </c>
      <c r="G1742" t="str">
        <f>IF(原始经营数据!$D1743="","",T(原始经营数据!$K1743))</f>
        <v/>
      </c>
      <c r="H1742" t="str">
        <f>IF(原始经营数据!$D1743="","",原始经营数据!$G1743)</f>
        <v>服务量</v>
      </c>
      <c r="I1742" t="str">
        <f>IF($A1742="","",IF($B1742&lt;&gt;"",$B1742,IF(COUNTIFS(原始经营数据!$D$3:$D$3001,$A1742,原始经营数据!$E$3:$E$3001,"",原始经营数据!$F$3:$F$3001,$C1742,原始经营数据!$H$3:$H$3001,$D1742,原始经营数据!$K$3:$K$3001,$G1742)&gt;1,"基金整体·来源"&amp;原始经营数据!$A1743,"基金整体")))</f>
        <v>绵阳涪城项目</v>
      </c>
      <c r="J1742" t="str">
        <f t="shared" si="408"/>
        <v>年度</v>
      </c>
      <c r="K1742" t="str">
        <f t="shared" si="409"/>
        <v>客流量（万人/日）</v>
      </c>
      <c r="L1742" t="str">
        <f t="shared" si="410"/>
        <v>绵阳涪城项目|客流量（万人/日）|年度</v>
      </c>
      <c r="M1742">
        <f>IF($A1742="",0,IF(COUNTIF($L$2:$L1742,$L1742)=1,1,0))</f>
        <v>1</v>
      </c>
      <c r="N1742">
        <f t="shared" si="411"/>
        <v>20220</v>
      </c>
      <c r="O1742" t="str">
        <f t="shared" si="412"/>
        <v>华夏凯德封闭式商业不动产证券投资基金|2022|年度</v>
      </c>
      <c r="P1742">
        <f>IF($A1742="",0,IF(COUNTIF($O$2:$O1742,$O1742)=1,1,0))</f>
        <v>0</v>
      </c>
      <c r="Q1742" t="str">
        <f>IF(AND($P1742=1,$A1742=经营数据!$B$3,$J1742=经营数据!$BA$5),COUNTIFS($P$2:$P$3000,1,$A$2:$A$3000,$A1742,$J$2:$J$3000,$J1742,$N$2:$N$3000,"&lt;"&amp;$N1742)+1,"")</f>
        <v/>
      </c>
      <c r="R1742" t="str">
        <f t="shared" si="413"/>
        <v>华夏凯德封闭式商业不动产证券投资基金|绵阳涪城项目</v>
      </c>
      <c r="S1742">
        <f>IF($A1742="",0,IF(COUNTIF($R$2:$R1742,$R1742)=1,1,0))</f>
        <v>0</v>
      </c>
      <c r="T1742">
        <f t="shared" si="414"/>
        <v>1740</v>
      </c>
      <c r="U1742" t="str">
        <f>IF($A1742="","",IF($A1742=经营数据!$B$3,COUNTIFS($S$2:$S$3000,1,$A$2:$A$3000,$A1742,$T$2:$T$3000,"&lt;"&amp;$T1742)+1,""))</f>
        <v/>
      </c>
      <c r="V1742" t="str">
        <f t="shared" si="415"/>
        <v>绵阳涪城项目|服务量</v>
      </c>
      <c r="W1742">
        <f t="shared" si="416"/>
        <v>1741</v>
      </c>
      <c r="X1742" t="str">
        <f t="shared" si="417"/>
        <v>绵阳涪城项目|客流量</v>
      </c>
      <c r="Y1742">
        <f t="shared" si="418"/>
        <v>1741</v>
      </c>
      <c r="Z1742">
        <f>IF($A1742="",0,IF(AND($M1742=1,$A1742=经营数据!$B$3,$J1742=经营数据!$BA$5,OR($I1742=经营数据!$BA$4,COUNTIF(经营数据!$AA$9:$AA$38,$I1742)&gt;0)),1,0))</f>
        <v>0</v>
      </c>
      <c r="AA1742" t="str">
        <f t="shared" si="419"/>
        <v/>
      </c>
      <c r="AB1742" t="str">
        <f t="shared" si="420"/>
        <v/>
      </c>
      <c r="AC1742">
        <f>IF($A1742="",0,IF(COUNTIF($A$2:$A1742,$A1742)=1,1,0))</f>
        <v>0</v>
      </c>
      <c r="AD1742">
        <f t="shared" si="421"/>
        <v>20</v>
      </c>
      <c r="AE1742" t="str">
        <f t="shared" si="422"/>
        <v>绵阳涪城项目|客流量（万人/日）</v>
      </c>
    </row>
    <row r="1743" spans="1:31" x14ac:dyDescent="0.4">
      <c r="A1743" t="str">
        <f>IF(原始经营数据!$D1744="","",原始经营数据!$D1744)</f>
        <v>华夏凯德封闭式商业不动产证券投资基金</v>
      </c>
      <c r="B1743" t="str">
        <f>IF(原始经营数据!$D1744="","",T(原始经营数据!$E1744))</f>
        <v>绵阳涪城项目</v>
      </c>
      <c r="C1743" t="str">
        <f>IF(原始经营数据!$D1744="","",原始经营数据!$F1744)</f>
        <v>2022</v>
      </c>
      <c r="D1743" t="str">
        <f>IF(原始经营数据!$D1744="","",原始经营数据!$H1744)</f>
        <v>加权平均出租率</v>
      </c>
      <c r="E1743">
        <f>IF(原始经营数据!$D1744="","",原始经营数据!$I1744)</f>
        <v>96.96</v>
      </c>
      <c r="F1743" t="str">
        <f>IF(原始经营数据!$D1744="","",T(原始经营数据!$J1744))</f>
        <v>%</v>
      </c>
      <c r="G1743" t="str">
        <f>IF(原始经营数据!$D1744="","",T(原始经营数据!$K1744))</f>
        <v/>
      </c>
      <c r="H1743" t="str">
        <f>IF(原始经营数据!$D1744="","",原始经营数据!$G1744)</f>
        <v>服务效率</v>
      </c>
      <c r="I1743" t="str">
        <f>IF($A1743="","",IF($B1743&lt;&gt;"",$B1743,IF(COUNTIFS(原始经营数据!$D$3:$D$3001,$A1743,原始经营数据!$E$3:$E$3001,"",原始经营数据!$F$3:$F$3001,$C1743,原始经营数据!$H$3:$H$3001,$D1743,原始经营数据!$K$3:$K$3001,$G1743)&gt;1,"基金整体·来源"&amp;原始经营数据!$A1744,"基金整体")))</f>
        <v>绵阳涪城项目</v>
      </c>
      <c r="J1743" t="str">
        <f t="shared" si="408"/>
        <v>年度</v>
      </c>
      <c r="K1743" t="str">
        <f t="shared" si="409"/>
        <v>加权平均出租率（%）</v>
      </c>
      <c r="L1743" t="str">
        <f t="shared" si="410"/>
        <v>绵阳涪城项目|加权平均出租率（%）|年度</v>
      </c>
      <c r="M1743">
        <f>IF($A1743="",0,IF(COUNTIF($L$2:$L1743,$L1743)=1,1,0))</f>
        <v>1</v>
      </c>
      <c r="N1743">
        <f t="shared" si="411"/>
        <v>20220</v>
      </c>
      <c r="O1743" t="str">
        <f t="shared" si="412"/>
        <v>华夏凯德封闭式商业不动产证券投资基金|2022|年度</v>
      </c>
      <c r="P1743">
        <f>IF($A1743="",0,IF(COUNTIF($O$2:$O1743,$O1743)=1,1,0))</f>
        <v>0</v>
      </c>
      <c r="Q1743" t="str">
        <f>IF(AND($P1743=1,$A1743=经营数据!$B$3,$J1743=经营数据!$BA$5),COUNTIFS($P$2:$P$3000,1,$A$2:$A$3000,$A1743,$J$2:$J$3000,$J1743,$N$2:$N$3000,"&lt;"&amp;$N1743)+1,"")</f>
        <v/>
      </c>
      <c r="R1743" t="str">
        <f t="shared" si="413"/>
        <v>华夏凯德封闭式商业不动产证券投资基金|绵阳涪城项目</v>
      </c>
      <c r="S1743">
        <f>IF($A1743="",0,IF(COUNTIF($R$2:$R1743,$R1743)=1,1,0))</f>
        <v>0</v>
      </c>
      <c r="T1743">
        <f t="shared" si="414"/>
        <v>1740</v>
      </c>
      <c r="U1743" t="str">
        <f>IF($A1743="","",IF($A1743=经营数据!$B$3,COUNTIFS($S$2:$S$3000,1,$A$2:$A$3000,$A1743,$T$2:$T$3000,"&lt;"&amp;$T1743)+1,""))</f>
        <v/>
      </c>
      <c r="V1743" t="str">
        <f t="shared" si="415"/>
        <v>绵阳涪城项目|服务效率</v>
      </c>
      <c r="W1743">
        <f t="shared" si="416"/>
        <v>1740</v>
      </c>
      <c r="X1743" t="str">
        <f t="shared" si="417"/>
        <v>绵阳涪城项目|加权平均出租率</v>
      </c>
      <c r="Y1743">
        <f t="shared" si="418"/>
        <v>1742</v>
      </c>
      <c r="Z1743">
        <f>IF($A1743="",0,IF(AND($M1743=1,$A1743=经营数据!$B$3,$J1743=经营数据!$BA$5,OR($I1743=经营数据!$BA$4,COUNTIF(经营数据!$AA$9:$AA$38,$I1743)&gt;0)),1,0))</f>
        <v>0</v>
      </c>
      <c r="AA1743" t="str">
        <f t="shared" si="419"/>
        <v/>
      </c>
      <c r="AB1743" t="str">
        <f t="shared" si="420"/>
        <v/>
      </c>
      <c r="AC1743">
        <f>IF($A1743="",0,IF(COUNTIF($A$2:$A1743,$A1743)=1,1,0))</f>
        <v>0</v>
      </c>
      <c r="AD1743">
        <f t="shared" si="421"/>
        <v>20</v>
      </c>
      <c r="AE1743" t="str">
        <f t="shared" si="422"/>
        <v>绵阳涪城项目|加权平均出租率（%）</v>
      </c>
    </row>
    <row r="1744" spans="1:31" x14ac:dyDescent="0.4">
      <c r="A1744" t="str">
        <f>IF(原始经营数据!$D1745="","",原始经营数据!$D1745)</f>
        <v>华夏凯德封闭式商业不动产证券投资基金</v>
      </c>
      <c r="B1744" t="str">
        <f>IF(原始经营数据!$D1745="","",T(原始经营数据!$E1745))</f>
        <v>绵阳涪城项目</v>
      </c>
      <c r="C1744" t="str">
        <f>IF(原始经营数据!$D1745="","",原始经营数据!$F1745)</f>
        <v>2023</v>
      </c>
      <c r="D1744" t="str">
        <f>IF(原始经营数据!$D1745="","",原始经营数据!$H1745)</f>
        <v>客流量</v>
      </c>
      <c r="E1744">
        <f>IF(原始经营数据!$D1745="","",原始经营数据!$I1745)</f>
        <v>3.23</v>
      </c>
      <c r="F1744" t="str">
        <f>IF(原始经营数据!$D1745="","",T(原始经营数据!$J1745))</f>
        <v>万人/日</v>
      </c>
      <c r="G1744" t="str">
        <f>IF(原始经营数据!$D1745="","",T(原始经营数据!$K1745))</f>
        <v/>
      </c>
      <c r="H1744" t="str">
        <f>IF(原始经营数据!$D1745="","",原始经营数据!$G1745)</f>
        <v>服务量</v>
      </c>
      <c r="I1744" t="str">
        <f>IF($A1744="","",IF($B1744&lt;&gt;"",$B1744,IF(COUNTIFS(原始经营数据!$D$3:$D$3001,$A1744,原始经营数据!$E$3:$E$3001,"",原始经营数据!$F$3:$F$3001,$C1744,原始经营数据!$H$3:$H$3001,$D1744,原始经营数据!$K$3:$K$3001,$G1744)&gt;1,"基金整体·来源"&amp;原始经营数据!$A1745,"基金整体")))</f>
        <v>绵阳涪城项目</v>
      </c>
      <c r="J1744" t="str">
        <f t="shared" si="408"/>
        <v>年度</v>
      </c>
      <c r="K1744" t="str">
        <f t="shared" si="409"/>
        <v>客流量（万人/日）</v>
      </c>
      <c r="L1744" t="str">
        <f t="shared" si="410"/>
        <v>绵阳涪城项目|客流量（万人/日）|年度</v>
      </c>
      <c r="M1744">
        <f>IF($A1744="",0,IF(COUNTIF($L$2:$L1744,$L1744)=1,1,0))</f>
        <v>0</v>
      </c>
      <c r="N1744">
        <f t="shared" si="411"/>
        <v>20230</v>
      </c>
      <c r="O1744" t="str">
        <f t="shared" si="412"/>
        <v>华夏凯德封闭式商业不动产证券投资基金|2023|年度</v>
      </c>
      <c r="P1744">
        <f>IF($A1744="",0,IF(COUNTIF($O$2:$O1744,$O1744)=1,1,0))</f>
        <v>0</v>
      </c>
      <c r="Q1744" t="str">
        <f>IF(AND($P1744=1,$A1744=经营数据!$B$3,$J1744=经营数据!$BA$5),COUNTIFS($P$2:$P$3000,1,$A$2:$A$3000,$A1744,$J$2:$J$3000,$J1744,$N$2:$N$3000,"&lt;"&amp;$N1744)+1,"")</f>
        <v/>
      </c>
      <c r="R1744" t="str">
        <f t="shared" si="413"/>
        <v>华夏凯德封闭式商业不动产证券投资基金|绵阳涪城项目</v>
      </c>
      <c r="S1744">
        <f>IF($A1744="",0,IF(COUNTIF($R$2:$R1744,$R1744)=1,1,0))</f>
        <v>0</v>
      </c>
      <c r="T1744">
        <f t="shared" si="414"/>
        <v>1740</v>
      </c>
      <c r="U1744" t="str">
        <f>IF($A1744="","",IF($A1744=经营数据!$B$3,COUNTIFS($S$2:$S$3000,1,$A$2:$A$3000,$A1744,$T$2:$T$3000,"&lt;"&amp;$T1744)+1,""))</f>
        <v/>
      </c>
      <c r="V1744" t="str">
        <f t="shared" si="415"/>
        <v>绵阳涪城项目|服务量</v>
      </c>
      <c r="W1744">
        <f t="shared" si="416"/>
        <v>1741</v>
      </c>
      <c r="X1744" t="str">
        <f t="shared" si="417"/>
        <v>绵阳涪城项目|客流量</v>
      </c>
      <c r="Y1744">
        <f t="shared" si="418"/>
        <v>1741</v>
      </c>
      <c r="Z1744">
        <f>IF($A1744="",0,IF(AND($M1744=1,$A1744=经营数据!$B$3,$J1744=经营数据!$BA$5,OR($I1744=经营数据!$BA$4,COUNTIF(经营数据!$AA$9:$AA$38,$I1744)&gt;0)),1,0))</f>
        <v>0</v>
      </c>
      <c r="AA1744" t="str">
        <f t="shared" si="419"/>
        <v/>
      </c>
      <c r="AB1744" t="str">
        <f t="shared" si="420"/>
        <v/>
      </c>
      <c r="AC1744">
        <f>IF($A1744="",0,IF(COUNTIF($A$2:$A1744,$A1744)=1,1,0))</f>
        <v>0</v>
      </c>
      <c r="AD1744">
        <f t="shared" si="421"/>
        <v>20</v>
      </c>
      <c r="AE1744" t="str">
        <f t="shared" si="422"/>
        <v>绵阳涪城项目|客流量（万人/日）</v>
      </c>
    </row>
    <row r="1745" spans="1:31" x14ac:dyDescent="0.4">
      <c r="A1745" t="str">
        <f>IF(原始经营数据!$D1746="","",原始经营数据!$D1746)</f>
        <v>华夏凯德封闭式商业不动产证券投资基金</v>
      </c>
      <c r="B1745" t="str">
        <f>IF(原始经营数据!$D1746="","",T(原始经营数据!$E1746))</f>
        <v>绵阳涪城项目</v>
      </c>
      <c r="C1745" t="str">
        <f>IF(原始经营数据!$D1746="","",原始经营数据!$F1746)</f>
        <v>2023</v>
      </c>
      <c r="D1745" t="str">
        <f>IF(原始经营数据!$D1746="","",原始经营数据!$H1746)</f>
        <v>加权平均出租率</v>
      </c>
      <c r="E1745">
        <f>IF(原始经营数据!$D1746="","",原始经营数据!$I1746)</f>
        <v>98.96</v>
      </c>
      <c r="F1745" t="str">
        <f>IF(原始经营数据!$D1746="","",T(原始经营数据!$J1746))</f>
        <v>%</v>
      </c>
      <c r="G1745" t="str">
        <f>IF(原始经营数据!$D1746="","",T(原始经营数据!$K1746))</f>
        <v/>
      </c>
      <c r="H1745" t="str">
        <f>IF(原始经营数据!$D1746="","",原始经营数据!$G1746)</f>
        <v>服务效率</v>
      </c>
      <c r="I1745" t="str">
        <f>IF($A1745="","",IF($B1745&lt;&gt;"",$B1745,IF(COUNTIFS(原始经营数据!$D$3:$D$3001,$A1745,原始经营数据!$E$3:$E$3001,"",原始经营数据!$F$3:$F$3001,$C1745,原始经营数据!$H$3:$H$3001,$D1745,原始经营数据!$K$3:$K$3001,$G1745)&gt;1,"基金整体·来源"&amp;原始经营数据!$A1746,"基金整体")))</f>
        <v>绵阳涪城项目</v>
      </c>
      <c r="J1745" t="str">
        <f t="shared" si="408"/>
        <v>年度</v>
      </c>
      <c r="K1745" t="str">
        <f t="shared" si="409"/>
        <v>加权平均出租率（%）</v>
      </c>
      <c r="L1745" t="str">
        <f t="shared" si="410"/>
        <v>绵阳涪城项目|加权平均出租率（%）|年度</v>
      </c>
      <c r="M1745">
        <f>IF($A1745="",0,IF(COUNTIF($L$2:$L1745,$L1745)=1,1,0))</f>
        <v>0</v>
      </c>
      <c r="N1745">
        <f t="shared" si="411"/>
        <v>20230</v>
      </c>
      <c r="O1745" t="str">
        <f t="shared" si="412"/>
        <v>华夏凯德封闭式商业不动产证券投资基金|2023|年度</v>
      </c>
      <c r="P1745">
        <f>IF($A1745="",0,IF(COUNTIF($O$2:$O1745,$O1745)=1,1,0))</f>
        <v>0</v>
      </c>
      <c r="Q1745" t="str">
        <f>IF(AND($P1745=1,$A1745=经营数据!$B$3,$J1745=经营数据!$BA$5),COUNTIFS($P$2:$P$3000,1,$A$2:$A$3000,$A1745,$J$2:$J$3000,$J1745,$N$2:$N$3000,"&lt;"&amp;$N1745)+1,"")</f>
        <v/>
      </c>
      <c r="R1745" t="str">
        <f t="shared" si="413"/>
        <v>华夏凯德封闭式商业不动产证券投资基金|绵阳涪城项目</v>
      </c>
      <c r="S1745">
        <f>IF($A1745="",0,IF(COUNTIF($R$2:$R1745,$R1745)=1,1,0))</f>
        <v>0</v>
      </c>
      <c r="T1745">
        <f t="shared" si="414"/>
        <v>1740</v>
      </c>
      <c r="U1745" t="str">
        <f>IF($A1745="","",IF($A1745=经营数据!$B$3,COUNTIFS($S$2:$S$3000,1,$A$2:$A$3000,$A1745,$T$2:$T$3000,"&lt;"&amp;$T1745)+1,""))</f>
        <v/>
      </c>
      <c r="V1745" t="str">
        <f t="shared" si="415"/>
        <v>绵阳涪城项目|服务效率</v>
      </c>
      <c r="W1745">
        <f t="shared" si="416"/>
        <v>1740</v>
      </c>
      <c r="X1745" t="str">
        <f t="shared" si="417"/>
        <v>绵阳涪城项目|加权平均出租率</v>
      </c>
      <c r="Y1745">
        <f t="shared" si="418"/>
        <v>1742</v>
      </c>
      <c r="Z1745">
        <f>IF($A1745="",0,IF(AND($M1745=1,$A1745=经营数据!$B$3,$J1745=经营数据!$BA$5,OR($I1745=经营数据!$BA$4,COUNTIF(经营数据!$AA$9:$AA$38,$I1745)&gt;0)),1,0))</f>
        <v>0</v>
      </c>
      <c r="AA1745" t="str">
        <f t="shared" si="419"/>
        <v/>
      </c>
      <c r="AB1745" t="str">
        <f t="shared" si="420"/>
        <v/>
      </c>
      <c r="AC1745">
        <f>IF($A1745="",0,IF(COUNTIF($A$2:$A1745,$A1745)=1,1,0))</f>
        <v>0</v>
      </c>
      <c r="AD1745">
        <f t="shared" si="421"/>
        <v>20</v>
      </c>
      <c r="AE1745" t="str">
        <f t="shared" si="422"/>
        <v>绵阳涪城项目|加权平均出租率（%）</v>
      </c>
    </row>
    <row r="1746" spans="1:31" x14ac:dyDescent="0.4">
      <c r="A1746" t="str">
        <f>IF(原始经营数据!$D1747="","",原始经营数据!$D1747)</f>
        <v>华夏凯德封闭式商业不动产证券投资基金</v>
      </c>
      <c r="B1746" t="str">
        <f>IF(原始经营数据!$D1747="","",T(原始经营数据!$E1747))</f>
        <v>绵阳涪城项目</v>
      </c>
      <c r="C1746" t="str">
        <f>IF(原始经营数据!$D1747="","",原始经营数据!$F1747)</f>
        <v>2023</v>
      </c>
      <c r="D1746" t="str">
        <f>IF(原始经营数据!$D1747="","",原始经营数据!$H1747)</f>
        <v>期末出租率</v>
      </c>
      <c r="E1746">
        <f>IF(原始经营数据!$D1747="","",原始经营数据!$I1747)</f>
        <v>98.2</v>
      </c>
      <c r="F1746" t="str">
        <f>IF(原始经营数据!$D1747="","",T(原始经营数据!$J1747))</f>
        <v>%</v>
      </c>
      <c r="G1746" t="str">
        <f>IF(原始经营数据!$D1747="","",T(原始经营数据!$K1747))</f>
        <v/>
      </c>
      <c r="H1746" t="str">
        <f>IF(原始经营数据!$D1747="","",原始经营数据!$G1747)</f>
        <v>服务效率</v>
      </c>
      <c r="I1746" t="str">
        <f>IF($A1746="","",IF($B1746&lt;&gt;"",$B1746,IF(COUNTIFS(原始经营数据!$D$3:$D$3001,$A1746,原始经营数据!$E$3:$E$3001,"",原始经营数据!$F$3:$F$3001,$C1746,原始经营数据!$H$3:$H$3001,$D1746,原始经营数据!$K$3:$K$3001,$G1746)&gt;1,"基金整体·来源"&amp;原始经营数据!$A1747,"基金整体")))</f>
        <v>绵阳涪城项目</v>
      </c>
      <c r="J1746" t="str">
        <f t="shared" si="408"/>
        <v>年度</v>
      </c>
      <c r="K1746" t="str">
        <f t="shared" si="409"/>
        <v>期末出租率（%）</v>
      </c>
      <c r="L1746" t="str">
        <f t="shared" si="410"/>
        <v>绵阳涪城项目|期末出租率（%）|年度</v>
      </c>
      <c r="M1746">
        <f>IF($A1746="",0,IF(COUNTIF($L$2:$L1746,$L1746)=1,1,0))</f>
        <v>0</v>
      </c>
      <c r="N1746">
        <f t="shared" si="411"/>
        <v>20230</v>
      </c>
      <c r="O1746" t="str">
        <f t="shared" si="412"/>
        <v>华夏凯德封闭式商业不动产证券投资基金|2023|年度</v>
      </c>
      <c r="P1746">
        <f>IF($A1746="",0,IF(COUNTIF($O$2:$O1746,$O1746)=1,1,0))</f>
        <v>0</v>
      </c>
      <c r="Q1746" t="str">
        <f>IF(AND($P1746=1,$A1746=经营数据!$B$3,$J1746=经营数据!$BA$5),COUNTIFS($P$2:$P$3000,1,$A$2:$A$3000,$A1746,$J$2:$J$3000,$J1746,$N$2:$N$3000,"&lt;"&amp;$N1746)+1,"")</f>
        <v/>
      </c>
      <c r="R1746" t="str">
        <f t="shared" si="413"/>
        <v>华夏凯德封闭式商业不动产证券投资基金|绵阳涪城项目</v>
      </c>
      <c r="S1746">
        <f>IF($A1746="",0,IF(COUNTIF($R$2:$R1746,$R1746)=1,1,0))</f>
        <v>0</v>
      </c>
      <c r="T1746">
        <f t="shared" si="414"/>
        <v>1740</v>
      </c>
      <c r="U1746" t="str">
        <f>IF($A1746="","",IF($A1746=经营数据!$B$3,COUNTIFS($S$2:$S$3000,1,$A$2:$A$3000,$A1746,$T$2:$T$3000,"&lt;"&amp;$T1746)+1,""))</f>
        <v/>
      </c>
      <c r="V1746" t="str">
        <f t="shared" si="415"/>
        <v>绵阳涪城项目|服务效率</v>
      </c>
      <c r="W1746">
        <f t="shared" si="416"/>
        <v>1740</v>
      </c>
      <c r="X1746" t="str">
        <f t="shared" si="417"/>
        <v>绵阳涪城项目|期末出租率</v>
      </c>
      <c r="Y1746">
        <f t="shared" si="418"/>
        <v>1740</v>
      </c>
      <c r="Z1746">
        <f>IF($A1746="",0,IF(AND($M1746=1,$A1746=经营数据!$B$3,$J1746=经营数据!$BA$5,OR($I1746=经营数据!$BA$4,COUNTIF(经营数据!$AA$9:$AA$38,$I1746)&gt;0)),1,0))</f>
        <v>0</v>
      </c>
      <c r="AA1746" t="str">
        <f t="shared" si="419"/>
        <v/>
      </c>
      <c r="AB1746" t="str">
        <f t="shared" si="420"/>
        <v/>
      </c>
      <c r="AC1746">
        <f>IF($A1746="",0,IF(COUNTIF($A$2:$A1746,$A1746)=1,1,0))</f>
        <v>0</v>
      </c>
      <c r="AD1746">
        <f t="shared" si="421"/>
        <v>20</v>
      </c>
      <c r="AE1746" t="str">
        <f t="shared" si="422"/>
        <v>绵阳涪城项目|期末出租率（%）</v>
      </c>
    </row>
    <row r="1747" spans="1:31" x14ac:dyDescent="0.4">
      <c r="A1747" t="str">
        <f>IF(原始经营数据!$D1748="","",原始经营数据!$D1748)</f>
        <v>华夏凯德封闭式商业不动产证券投资基金</v>
      </c>
      <c r="B1747" t="str">
        <f>IF(原始经营数据!$D1748="","",T(原始经营数据!$E1748))</f>
        <v>绵阳涪城项目</v>
      </c>
      <c r="C1747" t="str">
        <f>IF(原始经营数据!$D1748="","",原始经营数据!$F1748)</f>
        <v>2024</v>
      </c>
      <c r="D1747" t="str">
        <f>IF(原始经营数据!$D1748="","",原始经营数据!$H1748)</f>
        <v>期末出租率</v>
      </c>
      <c r="E1747">
        <f>IF(原始经营数据!$D1748="","",原始经营数据!$I1748)</f>
        <v>98.6</v>
      </c>
      <c r="F1747" t="str">
        <f>IF(原始经营数据!$D1748="","",T(原始经营数据!$J1748))</f>
        <v>%</v>
      </c>
      <c r="G1747" t="str">
        <f>IF(原始经营数据!$D1748="","",T(原始经营数据!$K1748))</f>
        <v/>
      </c>
      <c r="H1747" t="str">
        <f>IF(原始经营数据!$D1748="","",原始经营数据!$G1748)</f>
        <v>服务效率</v>
      </c>
      <c r="I1747" t="str">
        <f>IF($A1747="","",IF($B1747&lt;&gt;"",$B1747,IF(COUNTIFS(原始经营数据!$D$3:$D$3001,$A1747,原始经营数据!$E$3:$E$3001,"",原始经营数据!$F$3:$F$3001,$C1747,原始经营数据!$H$3:$H$3001,$D1747,原始经营数据!$K$3:$K$3001,$G1747)&gt;1,"基金整体·来源"&amp;原始经营数据!$A1748,"基金整体")))</f>
        <v>绵阳涪城项目</v>
      </c>
      <c r="J1747" t="str">
        <f t="shared" si="408"/>
        <v>年度</v>
      </c>
      <c r="K1747" t="str">
        <f t="shared" si="409"/>
        <v>期末出租率（%）</v>
      </c>
      <c r="L1747" t="str">
        <f t="shared" si="410"/>
        <v>绵阳涪城项目|期末出租率（%）|年度</v>
      </c>
      <c r="M1747">
        <f>IF($A1747="",0,IF(COUNTIF($L$2:$L1747,$L1747)=1,1,0))</f>
        <v>0</v>
      </c>
      <c r="N1747">
        <f t="shared" si="411"/>
        <v>20240</v>
      </c>
      <c r="O1747" t="str">
        <f t="shared" si="412"/>
        <v>华夏凯德封闭式商业不动产证券投资基金|2024|年度</v>
      </c>
      <c r="P1747">
        <f>IF($A1747="",0,IF(COUNTIF($O$2:$O1747,$O1747)=1,1,0))</f>
        <v>0</v>
      </c>
      <c r="Q1747" t="str">
        <f>IF(AND($P1747=1,$A1747=经营数据!$B$3,$J1747=经营数据!$BA$5),COUNTIFS($P$2:$P$3000,1,$A$2:$A$3000,$A1747,$J$2:$J$3000,$J1747,$N$2:$N$3000,"&lt;"&amp;$N1747)+1,"")</f>
        <v/>
      </c>
      <c r="R1747" t="str">
        <f t="shared" si="413"/>
        <v>华夏凯德封闭式商业不动产证券投资基金|绵阳涪城项目</v>
      </c>
      <c r="S1747">
        <f>IF($A1747="",0,IF(COUNTIF($R$2:$R1747,$R1747)=1,1,0))</f>
        <v>0</v>
      </c>
      <c r="T1747">
        <f t="shared" si="414"/>
        <v>1740</v>
      </c>
      <c r="U1747" t="str">
        <f>IF($A1747="","",IF($A1747=经营数据!$B$3,COUNTIFS($S$2:$S$3000,1,$A$2:$A$3000,$A1747,$T$2:$T$3000,"&lt;"&amp;$T1747)+1,""))</f>
        <v/>
      </c>
      <c r="V1747" t="str">
        <f t="shared" si="415"/>
        <v>绵阳涪城项目|服务效率</v>
      </c>
      <c r="W1747">
        <f t="shared" si="416"/>
        <v>1740</v>
      </c>
      <c r="X1747" t="str">
        <f t="shared" si="417"/>
        <v>绵阳涪城项目|期末出租率</v>
      </c>
      <c r="Y1747">
        <f t="shared" si="418"/>
        <v>1740</v>
      </c>
      <c r="Z1747">
        <f>IF($A1747="",0,IF(AND($M1747=1,$A1747=经营数据!$B$3,$J1747=经营数据!$BA$5,OR($I1747=经营数据!$BA$4,COUNTIF(经营数据!$AA$9:$AA$38,$I1747)&gt;0)),1,0))</f>
        <v>0</v>
      </c>
      <c r="AA1747" t="str">
        <f t="shared" si="419"/>
        <v/>
      </c>
      <c r="AB1747" t="str">
        <f t="shared" si="420"/>
        <v/>
      </c>
      <c r="AC1747">
        <f>IF($A1747="",0,IF(COUNTIF($A$2:$A1747,$A1747)=1,1,0))</f>
        <v>0</v>
      </c>
      <c r="AD1747">
        <f t="shared" si="421"/>
        <v>20</v>
      </c>
      <c r="AE1747" t="str">
        <f t="shared" si="422"/>
        <v>绵阳涪城项目|期末出租率（%）</v>
      </c>
    </row>
    <row r="1748" spans="1:31" x14ac:dyDescent="0.4">
      <c r="A1748" t="str">
        <f>IF(原始经营数据!$D1749="","",原始经营数据!$D1749)</f>
        <v>华夏凯德封闭式商业不动产证券投资基金</v>
      </c>
      <c r="B1748" t="str">
        <f>IF(原始经营数据!$D1749="","",T(原始经营数据!$E1749))</f>
        <v>绵阳涪城项目</v>
      </c>
      <c r="C1748" t="str">
        <f>IF(原始经营数据!$D1749="","",原始经营数据!$F1749)</f>
        <v>2024</v>
      </c>
      <c r="D1748" t="str">
        <f>IF(原始经营数据!$D1749="","",原始经营数据!$H1749)</f>
        <v>客流量</v>
      </c>
      <c r="E1748">
        <f>IF(原始经营数据!$D1749="","",原始经营数据!$I1749)</f>
        <v>3.29</v>
      </c>
      <c r="F1748" t="str">
        <f>IF(原始经营数据!$D1749="","",T(原始经营数据!$J1749))</f>
        <v>万人/日</v>
      </c>
      <c r="G1748" t="str">
        <f>IF(原始经营数据!$D1749="","",T(原始经营数据!$K1749))</f>
        <v/>
      </c>
      <c r="H1748" t="str">
        <f>IF(原始经营数据!$D1749="","",原始经营数据!$G1749)</f>
        <v>服务量</v>
      </c>
      <c r="I1748" t="str">
        <f>IF($A1748="","",IF($B1748&lt;&gt;"",$B1748,IF(COUNTIFS(原始经营数据!$D$3:$D$3001,$A1748,原始经营数据!$E$3:$E$3001,"",原始经营数据!$F$3:$F$3001,$C1748,原始经营数据!$H$3:$H$3001,$D1748,原始经营数据!$K$3:$K$3001,$G1748)&gt;1,"基金整体·来源"&amp;原始经营数据!$A1749,"基金整体")))</f>
        <v>绵阳涪城项目</v>
      </c>
      <c r="J1748" t="str">
        <f t="shared" si="408"/>
        <v>年度</v>
      </c>
      <c r="K1748" t="str">
        <f t="shared" si="409"/>
        <v>客流量（万人/日）</v>
      </c>
      <c r="L1748" t="str">
        <f t="shared" si="410"/>
        <v>绵阳涪城项目|客流量（万人/日）|年度</v>
      </c>
      <c r="M1748">
        <f>IF($A1748="",0,IF(COUNTIF($L$2:$L1748,$L1748)=1,1,0))</f>
        <v>0</v>
      </c>
      <c r="N1748">
        <f t="shared" si="411"/>
        <v>20240</v>
      </c>
      <c r="O1748" t="str">
        <f t="shared" si="412"/>
        <v>华夏凯德封闭式商业不动产证券投资基金|2024|年度</v>
      </c>
      <c r="P1748">
        <f>IF($A1748="",0,IF(COUNTIF($O$2:$O1748,$O1748)=1,1,0))</f>
        <v>0</v>
      </c>
      <c r="Q1748" t="str">
        <f>IF(AND($P1748=1,$A1748=经营数据!$B$3,$J1748=经营数据!$BA$5),COUNTIFS($P$2:$P$3000,1,$A$2:$A$3000,$A1748,$J$2:$J$3000,$J1748,$N$2:$N$3000,"&lt;"&amp;$N1748)+1,"")</f>
        <v/>
      </c>
      <c r="R1748" t="str">
        <f t="shared" si="413"/>
        <v>华夏凯德封闭式商业不动产证券投资基金|绵阳涪城项目</v>
      </c>
      <c r="S1748">
        <f>IF($A1748="",0,IF(COUNTIF($R$2:$R1748,$R1748)=1,1,0))</f>
        <v>0</v>
      </c>
      <c r="T1748">
        <f t="shared" si="414"/>
        <v>1740</v>
      </c>
      <c r="U1748" t="str">
        <f>IF($A1748="","",IF($A1748=经营数据!$B$3,COUNTIFS($S$2:$S$3000,1,$A$2:$A$3000,$A1748,$T$2:$T$3000,"&lt;"&amp;$T1748)+1,""))</f>
        <v/>
      </c>
      <c r="V1748" t="str">
        <f t="shared" si="415"/>
        <v>绵阳涪城项目|服务量</v>
      </c>
      <c r="W1748">
        <f t="shared" si="416"/>
        <v>1741</v>
      </c>
      <c r="X1748" t="str">
        <f t="shared" si="417"/>
        <v>绵阳涪城项目|客流量</v>
      </c>
      <c r="Y1748">
        <f t="shared" si="418"/>
        <v>1741</v>
      </c>
      <c r="Z1748">
        <f>IF($A1748="",0,IF(AND($M1748=1,$A1748=经营数据!$B$3,$J1748=经营数据!$BA$5,OR($I1748=经营数据!$BA$4,COUNTIF(经营数据!$AA$9:$AA$38,$I1748)&gt;0)),1,0))</f>
        <v>0</v>
      </c>
      <c r="AA1748" t="str">
        <f t="shared" si="419"/>
        <v/>
      </c>
      <c r="AB1748" t="str">
        <f t="shared" si="420"/>
        <v/>
      </c>
      <c r="AC1748">
        <f>IF($A1748="",0,IF(COUNTIF($A$2:$A1748,$A1748)=1,1,0))</f>
        <v>0</v>
      </c>
      <c r="AD1748">
        <f t="shared" si="421"/>
        <v>20</v>
      </c>
      <c r="AE1748" t="str">
        <f t="shared" si="422"/>
        <v>绵阳涪城项目|客流量（万人/日）</v>
      </c>
    </row>
    <row r="1749" spans="1:31" x14ac:dyDescent="0.4">
      <c r="A1749" t="str">
        <f>IF(原始经营数据!$D1750="","",原始经营数据!$D1750)</f>
        <v>华夏凯德封闭式商业不动产证券投资基金</v>
      </c>
      <c r="B1749" t="str">
        <f>IF(原始经营数据!$D1750="","",T(原始经营数据!$E1750))</f>
        <v>绵阳涪城项目</v>
      </c>
      <c r="C1749" t="str">
        <f>IF(原始经营数据!$D1750="","",原始经营数据!$F1750)</f>
        <v>2024</v>
      </c>
      <c r="D1749" t="str">
        <f>IF(原始经营数据!$D1750="","",原始经营数据!$H1750)</f>
        <v>加权平均出租率</v>
      </c>
      <c r="E1749">
        <f>IF(原始经营数据!$D1750="","",原始经营数据!$I1750)</f>
        <v>99.05</v>
      </c>
      <c r="F1749" t="str">
        <f>IF(原始经营数据!$D1750="","",T(原始经营数据!$J1750))</f>
        <v>%</v>
      </c>
      <c r="G1749" t="str">
        <f>IF(原始经营数据!$D1750="","",T(原始经营数据!$K1750))</f>
        <v/>
      </c>
      <c r="H1749" t="str">
        <f>IF(原始经营数据!$D1750="","",原始经营数据!$G1750)</f>
        <v>服务效率</v>
      </c>
      <c r="I1749" t="str">
        <f>IF($A1749="","",IF($B1749&lt;&gt;"",$B1749,IF(COUNTIFS(原始经营数据!$D$3:$D$3001,$A1749,原始经营数据!$E$3:$E$3001,"",原始经营数据!$F$3:$F$3001,$C1749,原始经营数据!$H$3:$H$3001,$D1749,原始经营数据!$K$3:$K$3001,$G1749)&gt;1,"基金整体·来源"&amp;原始经营数据!$A1750,"基金整体")))</f>
        <v>绵阳涪城项目</v>
      </c>
      <c r="J1749" t="str">
        <f t="shared" si="408"/>
        <v>年度</v>
      </c>
      <c r="K1749" t="str">
        <f t="shared" si="409"/>
        <v>加权平均出租率（%）</v>
      </c>
      <c r="L1749" t="str">
        <f t="shared" si="410"/>
        <v>绵阳涪城项目|加权平均出租率（%）|年度</v>
      </c>
      <c r="M1749">
        <f>IF($A1749="",0,IF(COUNTIF($L$2:$L1749,$L1749)=1,1,0))</f>
        <v>0</v>
      </c>
      <c r="N1749">
        <f t="shared" si="411"/>
        <v>20240</v>
      </c>
      <c r="O1749" t="str">
        <f t="shared" si="412"/>
        <v>华夏凯德封闭式商业不动产证券投资基金|2024|年度</v>
      </c>
      <c r="P1749">
        <f>IF($A1749="",0,IF(COUNTIF($O$2:$O1749,$O1749)=1,1,0))</f>
        <v>0</v>
      </c>
      <c r="Q1749" t="str">
        <f>IF(AND($P1749=1,$A1749=经营数据!$B$3,$J1749=经营数据!$BA$5),COUNTIFS($P$2:$P$3000,1,$A$2:$A$3000,$A1749,$J$2:$J$3000,$J1749,$N$2:$N$3000,"&lt;"&amp;$N1749)+1,"")</f>
        <v/>
      </c>
      <c r="R1749" t="str">
        <f t="shared" si="413"/>
        <v>华夏凯德封闭式商业不动产证券投资基金|绵阳涪城项目</v>
      </c>
      <c r="S1749">
        <f>IF($A1749="",0,IF(COUNTIF($R$2:$R1749,$R1749)=1,1,0))</f>
        <v>0</v>
      </c>
      <c r="T1749">
        <f t="shared" si="414"/>
        <v>1740</v>
      </c>
      <c r="U1749" t="str">
        <f>IF($A1749="","",IF($A1749=经营数据!$B$3,COUNTIFS($S$2:$S$3000,1,$A$2:$A$3000,$A1749,$T$2:$T$3000,"&lt;"&amp;$T1749)+1,""))</f>
        <v/>
      </c>
      <c r="V1749" t="str">
        <f t="shared" si="415"/>
        <v>绵阳涪城项目|服务效率</v>
      </c>
      <c r="W1749">
        <f t="shared" si="416"/>
        <v>1740</v>
      </c>
      <c r="X1749" t="str">
        <f t="shared" si="417"/>
        <v>绵阳涪城项目|加权平均出租率</v>
      </c>
      <c r="Y1749">
        <f t="shared" si="418"/>
        <v>1742</v>
      </c>
      <c r="Z1749">
        <f>IF($A1749="",0,IF(AND($M1749=1,$A1749=经营数据!$B$3,$J1749=经营数据!$BA$5,OR($I1749=经营数据!$BA$4,COUNTIF(经营数据!$AA$9:$AA$38,$I1749)&gt;0)),1,0))</f>
        <v>0</v>
      </c>
      <c r="AA1749" t="str">
        <f t="shared" si="419"/>
        <v/>
      </c>
      <c r="AB1749" t="str">
        <f t="shared" si="420"/>
        <v/>
      </c>
      <c r="AC1749">
        <f>IF($A1749="",0,IF(COUNTIF($A$2:$A1749,$A1749)=1,1,0))</f>
        <v>0</v>
      </c>
      <c r="AD1749">
        <f t="shared" si="421"/>
        <v>20</v>
      </c>
      <c r="AE1749" t="str">
        <f t="shared" si="422"/>
        <v>绵阳涪城项目|加权平均出租率（%）</v>
      </c>
    </row>
    <row r="1750" spans="1:31" x14ac:dyDescent="0.4">
      <c r="A1750" t="str">
        <f>IF(原始经营数据!$D1751="","",原始经营数据!$D1751)</f>
        <v>华夏凯德封闭式商业不动产证券投资基金</v>
      </c>
      <c r="B1750" t="str">
        <f>IF(原始经营数据!$D1751="","",T(原始经营数据!$E1751))</f>
        <v>绵阳涪城项目</v>
      </c>
      <c r="C1750" t="str">
        <f>IF(原始经营数据!$D1751="","",原始经营数据!$F1751)</f>
        <v>2025</v>
      </c>
      <c r="D1750" t="str">
        <f>IF(原始经营数据!$D1751="","",原始经营数据!$H1751)</f>
        <v>加权平均出租率</v>
      </c>
      <c r="E1750">
        <f>IF(原始经营数据!$D1751="","",原始经营数据!$I1751)</f>
        <v>99.27</v>
      </c>
      <c r="F1750" t="str">
        <f>IF(原始经营数据!$D1751="","",T(原始经营数据!$J1751))</f>
        <v>%</v>
      </c>
      <c r="G1750" t="str">
        <f>IF(原始经营数据!$D1751="","",T(原始经营数据!$K1751))</f>
        <v/>
      </c>
      <c r="H1750" t="str">
        <f>IF(原始经营数据!$D1751="","",原始经营数据!$G1751)</f>
        <v>服务效率</v>
      </c>
      <c r="I1750" t="str">
        <f>IF($A1750="","",IF($B1750&lt;&gt;"",$B1750,IF(COUNTIFS(原始经营数据!$D$3:$D$3001,$A1750,原始经营数据!$E$3:$E$3001,"",原始经营数据!$F$3:$F$3001,$C1750,原始经营数据!$H$3:$H$3001,$D1750,原始经营数据!$K$3:$K$3001,$G1750)&gt;1,"基金整体·来源"&amp;原始经营数据!$A1751,"基金整体")))</f>
        <v>绵阳涪城项目</v>
      </c>
      <c r="J1750" t="str">
        <f t="shared" si="408"/>
        <v>年度</v>
      </c>
      <c r="K1750" t="str">
        <f t="shared" si="409"/>
        <v>加权平均出租率（%）</v>
      </c>
      <c r="L1750" t="str">
        <f t="shared" si="410"/>
        <v>绵阳涪城项目|加权平均出租率（%）|年度</v>
      </c>
      <c r="M1750">
        <f>IF($A1750="",0,IF(COUNTIF($L$2:$L1750,$L1750)=1,1,0))</f>
        <v>0</v>
      </c>
      <c r="N1750">
        <f t="shared" si="411"/>
        <v>20250</v>
      </c>
      <c r="O1750" t="str">
        <f t="shared" si="412"/>
        <v>华夏凯德封闭式商业不动产证券投资基金|2025|年度</v>
      </c>
      <c r="P1750">
        <f>IF($A1750="",0,IF(COUNTIF($O$2:$O1750,$O1750)=1,1,0))</f>
        <v>0</v>
      </c>
      <c r="Q1750" t="str">
        <f>IF(AND($P1750=1,$A1750=经营数据!$B$3,$J1750=经营数据!$BA$5),COUNTIFS($P$2:$P$3000,1,$A$2:$A$3000,$A1750,$J$2:$J$3000,$J1750,$N$2:$N$3000,"&lt;"&amp;$N1750)+1,"")</f>
        <v/>
      </c>
      <c r="R1750" t="str">
        <f t="shared" si="413"/>
        <v>华夏凯德封闭式商业不动产证券投资基金|绵阳涪城项目</v>
      </c>
      <c r="S1750">
        <f>IF($A1750="",0,IF(COUNTIF($R$2:$R1750,$R1750)=1,1,0))</f>
        <v>0</v>
      </c>
      <c r="T1750">
        <f t="shared" si="414"/>
        <v>1740</v>
      </c>
      <c r="U1750" t="str">
        <f>IF($A1750="","",IF($A1750=经营数据!$B$3,COUNTIFS($S$2:$S$3000,1,$A$2:$A$3000,$A1750,$T$2:$T$3000,"&lt;"&amp;$T1750)+1,""))</f>
        <v/>
      </c>
      <c r="V1750" t="str">
        <f t="shared" si="415"/>
        <v>绵阳涪城项目|服务效率</v>
      </c>
      <c r="W1750">
        <f t="shared" si="416"/>
        <v>1740</v>
      </c>
      <c r="X1750" t="str">
        <f t="shared" si="417"/>
        <v>绵阳涪城项目|加权平均出租率</v>
      </c>
      <c r="Y1750">
        <f t="shared" si="418"/>
        <v>1742</v>
      </c>
      <c r="Z1750">
        <f>IF($A1750="",0,IF(AND($M1750=1,$A1750=经营数据!$B$3,$J1750=经营数据!$BA$5,OR($I1750=经营数据!$BA$4,COUNTIF(经营数据!$AA$9:$AA$38,$I1750)&gt;0)),1,0))</f>
        <v>0</v>
      </c>
      <c r="AA1750" t="str">
        <f t="shared" si="419"/>
        <v/>
      </c>
      <c r="AB1750" t="str">
        <f t="shared" si="420"/>
        <v/>
      </c>
      <c r="AC1750">
        <f>IF($A1750="",0,IF(COUNTIF($A$2:$A1750,$A1750)=1,1,0))</f>
        <v>0</v>
      </c>
      <c r="AD1750">
        <f t="shared" si="421"/>
        <v>20</v>
      </c>
      <c r="AE1750" t="str">
        <f t="shared" si="422"/>
        <v>绵阳涪城项目|加权平均出租率（%）</v>
      </c>
    </row>
    <row r="1751" spans="1:31" x14ac:dyDescent="0.4">
      <c r="A1751" t="str">
        <f>IF(原始经营数据!$D1752="","",原始经营数据!$D1752)</f>
        <v>华夏凯德封闭式商业不动产证券投资基金</v>
      </c>
      <c r="B1751" t="str">
        <f>IF(原始经营数据!$D1752="","",T(原始经营数据!$E1752))</f>
        <v>绵阳涪城项目</v>
      </c>
      <c r="C1751" t="str">
        <f>IF(原始经营数据!$D1752="","",原始经营数据!$F1752)</f>
        <v>2025</v>
      </c>
      <c r="D1751" t="str">
        <f>IF(原始经营数据!$D1752="","",原始经营数据!$H1752)</f>
        <v>期末出租率</v>
      </c>
      <c r="E1751">
        <f>IF(原始经营数据!$D1752="","",原始经营数据!$I1752)</f>
        <v>99.34</v>
      </c>
      <c r="F1751" t="str">
        <f>IF(原始经营数据!$D1752="","",T(原始经营数据!$J1752))</f>
        <v>%</v>
      </c>
      <c r="G1751" t="str">
        <f>IF(原始经营数据!$D1752="","",T(原始经营数据!$K1752))</f>
        <v/>
      </c>
      <c r="H1751" t="str">
        <f>IF(原始经营数据!$D1752="","",原始经营数据!$G1752)</f>
        <v>服务效率</v>
      </c>
      <c r="I1751" t="str">
        <f>IF($A1751="","",IF($B1751&lt;&gt;"",$B1751,IF(COUNTIFS(原始经营数据!$D$3:$D$3001,$A1751,原始经营数据!$E$3:$E$3001,"",原始经营数据!$F$3:$F$3001,$C1751,原始经营数据!$H$3:$H$3001,$D1751,原始经营数据!$K$3:$K$3001,$G1751)&gt;1,"基金整体·来源"&amp;原始经营数据!$A1752,"基金整体")))</f>
        <v>绵阳涪城项目</v>
      </c>
      <c r="J1751" t="str">
        <f t="shared" si="408"/>
        <v>年度</v>
      </c>
      <c r="K1751" t="str">
        <f t="shared" si="409"/>
        <v>期末出租率（%）</v>
      </c>
      <c r="L1751" t="str">
        <f t="shared" si="410"/>
        <v>绵阳涪城项目|期末出租率（%）|年度</v>
      </c>
      <c r="M1751">
        <f>IF($A1751="",0,IF(COUNTIF($L$2:$L1751,$L1751)=1,1,0))</f>
        <v>0</v>
      </c>
      <c r="N1751">
        <f t="shared" si="411"/>
        <v>20250</v>
      </c>
      <c r="O1751" t="str">
        <f t="shared" si="412"/>
        <v>华夏凯德封闭式商业不动产证券投资基金|2025|年度</v>
      </c>
      <c r="P1751">
        <f>IF($A1751="",0,IF(COUNTIF($O$2:$O1751,$O1751)=1,1,0))</f>
        <v>0</v>
      </c>
      <c r="Q1751" t="str">
        <f>IF(AND($P1751=1,$A1751=经营数据!$B$3,$J1751=经营数据!$BA$5),COUNTIFS($P$2:$P$3000,1,$A$2:$A$3000,$A1751,$J$2:$J$3000,$J1751,$N$2:$N$3000,"&lt;"&amp;$N1751)+1,"")</f>
        <v/>
      </c>
      <c r="R1751" t="str">
        <f t="shared" si="413"/>
        <v>华夏凯德封闭式商业不动产证券投资基金|绵阳涪城项目</v>
      </c>
      <c r="S1751">
        <f>IF($A1751="",0,IF(COUNTIF($R$2:$R1751,$R1751)=1,1,0))</f>
        <v>0</v>
      </c>
      <c r="T1751">
        <f t="shared" si="414"/>
        <v>1740</v>
      </c>
      <c r="U1751" t="str">
        <f>IF($A1751="","",IF($A1751=经营数据!$B$3,COUNTIFS($S$2:$S$3000,1,$A$2:$A$3000,$A1751,$T$2:$T$3000,"&lt;"&amp;$T1751)+1,""))</f>
        <v/>
      </c>
      <c r="V1751" t="str">
        <f t="shared" si="415"/>
        <v>绵阳涪城项目|服务效率</v>
      </c>
      <c r="W1751">
        <f t="shared" si="416"/>
        <v>1740</v>
      </c>
      <c r="X1751" t="str">
        <f t="shared" si="417"/>
        <v>绵阳涪城项目|期末出租率</v>
      </c>
      <c r="Y1751">
        <f t="shared" si="418"/>
        <v>1740</v>
      </c>
      <c r="Z1751">
        <f>IF($A1751="",0,IF(AND($M1751=1,$A1751=经营数据!$B$3,$J1751=经营数据!$BA$5,OR($I1751=经营数据!$BA$4,COUNTIF(经营数据!$AA$9:$AA$38,$I1751)&gt;0)),1,0))</f>
        <v>0</v>
      </c>
      <c r="AA1751" t="str">
        <f t="shared" si="419"/>
        <v/>
      </c>
      <c r="AB1751" t="str">
        <f t="shared" si="420"/>
        <v/>
      </c>
      <c r="AC1751">
        <f>IF($A1751="",0,IF(COUNTIF($A$2:$A1751,$A1751)=1,1,0))</f>
        <v>0</v>
      </c>
      <c r="AD1751">
        <f t="shared" si="421"/>
        <v>20</v>
      </c>
      <c r="AE1751" t="str">
        <f t="shared" si="422"/>
        <v>绵阳涪城项目|期末出租率（%）</v>
      </c>
    </row>
    <row r="1752" spans="1:31" x14ac:dyDescent="0.4">
      <c r="A1752" t="str">
        <f>IF(原始经营数据!$D1753="","",原始经营数据!$D1753)</f>
        <v>华夏凯德封闭式商业不动产证券投资基金</v>
      </c>
      <c r="B1752" t="str">
        <f>IF(原始经营数据!$D1753="","",T(原始经营数据!$E1753))</f>
        <v>绵阳涪城项目</v>
      </c>
      <c r="C1752" t="str">
        <f>IF(原始经营数据!$D1753="","",原始经营数据!$F1753)</f>
        <v>2025</v>
      </c>
      <c r="D1752" t="str">
        <f>IF(原始经营数据!$D1753="","",原始经营数据!$H1753)</f>
        <v>客流量</v>
      </c>
      <c r="E1752">
        <f>IF(原始经营数据!$D1753="","",原始经营数据!$I1753)</f>
        <v>3.38</v>
      </c>
      <c r="F1752" t="str">
        <f>IF(原始经营数据!$D1753="","",T(原始经营数据!$J1753))</f>
        <v>万人/日</v>
      </c>
      <c r="G1752" t="str">
        <f>IF(原始经营数据!$D1753="","",T(原始经营数据!$K1753))</f>
        <v/>
      </c>
      <c r="H1752" t="str">
        <f>IF(原始经营数据!$D1753="","",原始经营数据!$G1753)</f>
        <v>服务量</v>
      </c>
      <c r="I1752" t="str">
        <f>IF($A1752="","",IF($B1752&lt;&gt;"",$B1752,IF(COUNTIFS(原始经营数据!$D$3:$D$3001,$A1752,原始经营数据!$E$3:$E$3001,"",原始经营数据!$F$3:$F$3001,$C1752,原始经营数据!$H$3:$H$3001,$D1752,原始经营数据!$K$3:$K$3001,$G1752)&gt;1,"基金整体·来源"&amp;原始经营数据!$A1753,"基金整体")))</f>
        <v>绵阳涪城项目</v>
      </c>
      <c r="J1752" t="str">
        <f t="shared" si="408"/>
        <v>年度</v>
      </c>
      <c r="K1752" t="str">
        <f t="shared" si="409"/>
        <v>客流量（万人/日）</v>
      </c>
      <c r="L1752" t="str">
        <f t="shared" si="410"/>
        <v>绵阳涪城项目|客流量（万人/日）|年度</v>
      </c>
      <c r="M1752">
        <f>IF($A1752="",0,IF(COUNTIF($L$2:$L1752,$L1752)=1,1,0))</f>
        <v>0</v>
      </c>
      <c r="N1752">
        <f t="shared" si="411"/>
        <v>20250</v>
      </c>
      <c r="O1752" t="str">
        <f t="shared" si="412"/>
        <v>华夏凯德封闭式商业不动产证券投资基金|2025|年度</v>
      </c>
      <c r="P1752">
        <f>IF($A1752="",0,IF(COUNTIF($O$2:$O1752,$O1752)=1,1,0))</f>
        <v>0</v>
      </c>
      <c r="Q1752" t="str">
        <f>IF(AND($P1752=1,$A1752=经营数据!$B$3,$J1752=经营数据!$BA$5),COUNTIFS($P$2:$P$3000,1,$A$2:$A$3000,$A1752,$J$2:$J$3000,$J1752,$N$2:$N$3000,"&lt;"&amp;$N1752)+1,"")</f>
        <v/>
      </c>
      <c r="R1752" t="str">
        <f t="shared" si="413"/>
        <v>华夏凯德封闭式商业不动产证券投资基金|绵阳涪城项目</v>
      </c>
      <c r="S1752">
        <f>IF($A1752="",0,IF(COUNTIF($R$2:$R1752,$R1752)=1,1,0))</f>
        <v>0</v>
      </c>
      <c r="T1752">
        <f t="shared" si="414"/>
        <v>1740</v>
      </c>
      <c r="U1752" t="str">
        <f>IF($A1752="","",IF($A1752=经营数据!$B$3,COUNTIFS($S$2:$S$3000,1,$A$2:$A$3000,$A1752,$T$2:$T$3000,"&lt;"&amp;$T1752)+1,""))</f>
        <v/>
      </c>
      <c r="V1752" t="str">
        <f t="shared" si="415"/>
        <v>绵阳涪城项目|服务量</v>
      </c>
      <c r="W1752">
        <f t="shared" si="416"/>
        <v>1741</v>
      </c>
      <c r="X1752" t="str">
        <f t="shared" si="417"/>
        <v>绵阳涪城项目|客流量</v>
      </c>
      <c r="Y1752">
        <f t="shared" si="418"/>
        <v>1741</v>
      </c>
      <c r="Z1752">
        <f>IF($A1752="",0,IF(AND($M1752=1,$A1752=经营数据!$B$3,$J1752=经营数据!$BA$5,OR($I1752=经营数据!$BA$4,COUNTIF(经营数据!$AA$9:$AA$38,$I1752)&gt;0)),1,0))</f>
        <v>0</v>
      </c>
      <c r="AA1752" t="str">
        <f t="shared" si="419"/>
        <v/>
      </c>
      <c r="AB1752" t="str">
        <f t="shared" si="420"/>
        <v/>
      </c>
      <c r="AC1752">
        <f>IF($A1752="",0,IF(COUNTIF($A$2:$A1752,$A1752)=1,1,0))</f>
        <v>0</v>
      </c>
      <c r="AD1752">
        <f t="shared" si="421"/>
        <v>20</v>
      </c>
      <c r="AE1752" t="str">
        <f t="shared" si="422"/>
        <v>绵阳涪城项目|客流量（万人/日）</v>
      </c>
    </row>
    <row r="1753" spans="1:31" x14ac:dyDescent="0.4">
      <c r="A1753" t="str">
        <f>IF(原始经营数据!$D1754="","",原始经营数据!$D1754)</f>
        <v>华夏凯德封闭式商业不动产证券投资基金</v>
      </c>
      <c r="B1753" t="str">
        <f>IF(原始经营数据!$D1754="","",T(原始经营数据!$E1754))</f>
        <v>绵阳涪城项目</v>
      </c>
      <c r="C1753" t="str">
        <f>IF(原始经营数据!$D1754="","",原始经营数据!$F1754)</f>
        <v>2026Q1</v>
      </c>
      <c r="D1753" t="str">
        <f>IF(原始经营数据!$D1754="","",原始经营数据!$H1754)</f>
        <v>客流量</v>
      </c>
      <c r="E1753">
        <f>IF(原始经营数据!$D1754="","",原始经营数据!$I1754)</f>
        <v>3.51</v>
      </c>
      <c r="F1753" t="str">
        <f>IF(原始经营数据!$D1754="","",T(原始经营数据!$J1754))</f>
        <v>万人/日</v>
      </c>
      <c r="G1753" t="str">
        <f>IF(原始经营数据!$D1754="","",T(原始经营数据!$K1754))</f>
        <v/>
      </c>
      <c r="H1753" t="str">
        <f>IF(原始经营数据!$D1754="","",原始经营数据!$G1754)</f>
        <v>服务量</v>
      </c>
      <c r="I1753" t="str">
        <f>IF($A1753="","",IF($B1753&lt;&gt;"",$B1753,IF(COUNTIFS(原始经营数据!$D$3:$D$3001,$A1753,原始经营数据!$E$3:$E$3001,"",原始经营数据!$F$3:$F$3001,$C1753,原始经营数据!$H$3:$H$3001,$D1753,原始经营数据!$K$3:$K$3001,$G1753)&gt;1,"基金整体·来源"&amp;原始经营数据!$A1754,"基金整体")))</f>
        <v>绵阳涪城项目</v>
      </c>
      <c r="J1753" t="str">
        <f t="shared" si="408"/>
        <v>季度</v>
      </c>
      <c r="K1753" t="str">
        <f t="shared" si="409"/>
        <v>客流量（万人/日）</v>
      </c>
      <c r="L1753" t="str">
        <f t="shared" si="410"/>
        <v>绵阳涪城项目|客流量（万人/日）|季度</v>
      </c>
      <c r="M1753">
        <f>IF($A1753="",0,IF(COUNTIF($L$2:$L1753,$L1753)=1,1,0))</f>
        <v>1</v>
      </c>
      <c r="N1753">
        <f t="shared" si="411"/>
        <v>20261</v>
      </c>
      <c r="O1753" t="str">
        <f t="shared" si="412"/>
        <v>华夏凯德封闭式商业不动产证券投资基金|2026Q1|季度</v>
      </c>
      <c r="P1753">
        <f>IF($A1753="",0,IF(COUNTIF($O$2:$O1753,$O1753)=1,1,0))</f>
        <v>0</v>
      </c>
      <c r="Q1753" t="str">
        <f>IF(AND($P1753=1,$A1753=经营数据!$B$3,$J1753=经营数据!$BA$5),COUNTIFS($P$2:$P$3000,1,$A$2:$A$3000,$A1753,$J$2:$J$3000,$J1753,$N$2:$N$3000,"&lt;"&amp;$N1753)+1,"")</f>
        <v/>
      </c>
      <c r="R1753" t="str">
        <f t="shared" si="413"/>
        <v>华夏凯德封闭式商业不动产证券投资基金|绵阳涪城项目</v>
      </c>
      <c r="S1753">
        <f>IF($A1753="",0,IF(COUNTIF($R$2:$R1753,$R1753)=1,1,0))</f>
        <v>0</v>
      </c>
      <c r="T1753">
        <f t="shared" si="414"/>
        <v>1740</v>
      </c>
      <c r="U1753" t="str">
        <f>IF($A1753="","",IF($A1753=经营数据!$B$3,COUNTIFS($S$2:$S$3000,1,$A$2:$A$3000,$A1753,$T$2:$T$3000,"&lt;"&amp;$T1753)+1,""))</f>
        <v/>
      </c>
      <c r="V1753" t="str">
        <f t="shared" si="415"/>
        <v>绵阳涪城项目|服务量</v>
      </c>
      <c r="W1753">
        <f t="shared" si="416"/>
        <v>1741</v>
      </c>
      <c r="X1753" t="str">
        <f t="shared" si="417"/>
        <v>绵阳涪城项目|客流量</v>
      </c>
      <c r="Y1753">
        <f t="shared" si="418"/>
        <v>1741</v>
      </c>
      <c r="Z1753">
        <f>IF($A1753="",0,IF(AND($M1753=1,$A1753=经营数据!$B$3,$J1753=经营数据!$BA$5,OR($I1753=经营数据!$BA$4,COUNTIF(经营数据!$AA$9:$AA$38,$I1753)&gt;0)),1,0))</f>
        <v>0</v>
      </c>
      <c r="AA1753" t="str">
        <f t="shared" si="419"/>
        <v/>
      </c>
      <c r="AB1753" t="str">
        <f t="shared" si="420"/>
        <v/>
      </c>
      <c r="AC1753">
        <f>IF($A1753="",0,IF(COUNTIF($A$2:$A1753,$A1753)=1,1,0))</f>
        <v>0</v>
      </c>
      <c r="AD1753">
        <f t="shared" si="421"/>
        <v>20</v>
      </c>
      <c r="AE1753" t="str">
        <f t="shared" si="422"/>
        <v>绵阳涪城项目|客流量（万人/日）</v>
      </c>
    </row>
    <row r="1754" spans="1:31" x14ac:dyDescent="0.4">
      <c r="A1754" t="str">
        <f>IF(原始经营数据!$D1755="","",原始经营数据!$D1755)</f>
        <v>华夏凯德封闭式商业不动产证券投资基金</v>
      </c>
      <c r="B1754" t="str">
        <f>IF(原始经营数据!$D1755="","",T(原始经营数据!$E1755))</f>
        <v>绵阳涪城项目</v>
      </c>
      <c r="C1754" t="str">
        <f>IF(原始经营数据!$D1755="","",原始经营数据!$F1755)</f>
        <v>2026Q1</v>
      </c>
      <c r="D1754" t="str">
        <f>IF(原始经营数据!$D1755="","",原始经营数据!$H1755)</f>
        <v>加权平均出租率</v>
      </c>
      <c r="E1754">
        <f>IF(原始经营数据!$D1755="","",原始经营数据!$I1755)</f>
        <v>99.9</v>
      </c>
      <c r="F1754" t="str">
        <f>IF(原始经营数据!$D1755="","",T(原始经营数据!$J1755))</f>
        <v>%</v>
      </c>
      <c r="G1754" t="str">
        <f>IF(原始经营数据!$D1755="","",T(原始经营数据!$K1755))</f>
        <v/>
      </c>
      <c r="H1754" t="str">
        <f>IF(原始经营数据!$D1755="","",原始经营数据!$G1755)</f>
        <v>服务效率</v>
      </c>
      <c r="I1754" t="str">
        <f>IF($A1754="","",IF($B1754&lt;&gt;"",$B1754,IF(COUNTIFS(原始经营数据!$D$3:$D$3001,$A1754,原始经营数据!$E$3:$E$3001,"",原始经营数据!$F$3:$F$3001,$C1754,原始经营数据!$H$3:$H$3001,$D1754,原始经营数据!$K$3:$K$3001,$G1754)&gt;1,"基金整体·来源"&amp;原始经营数据!$A1755,"基金整体")))</f>
        <v>绵阳涪城项目</v>
      </c>
      <c r="J1754" t="str">
        <f t="shared" si="408"/>
        <v>季度</v>
      </c>
      <c r="K1754" t="str">
        <f t="shared" si="409"/>
        <v>加权平均出租率（%）</v>
      </c>
      <c r="L1754" t="str">
        <f t="shared" si="410"/>
        <v>绵阳涪城项目|加权平均出租率（%）|季度</v>
      </c>
      <c r="M1754">
        <f>IF($A1754="",0,IF(COUNTIF($L$2:$L1754,$L1754)=1,1,0))</f>
        <v>1</v>
      </c>
      <c r="N1754">
        <f t="shared" si="411"/>
        <v>20261</v>
      </c>
      <c r="O1754" t="str">
        <f t="shared" si="412"/>
        <v>华夏凯德封闭式商业不动产证券投资基金|2026Q1|季度</v>
      </c>
      <c r="P1754">
        <f>IF($A1754="",0,IF(COUNTIF($O$2:$O1754,$O1754)=1,1,0))</f>
        <v>0</v>
      </c>
      <c r="Q1754" t="str">
        <f>IF(AND($P1754=1,$A1754=经营数据!$B$3,$J1754=经营数据!$BA$5),COUNTIFS($P$2:$P$3000,1,$A$2:$A$3000,$A1754,$J$2:$J$3000,$J1754,$N$2:$N$3000,"&lt;"&amp;$N1754)+1,"")</f>
        <v/>
      </c>
      <c r="R1754" t="str">
        <f t="shared" si="413"/>
        <v>华夏凯德封闭式商业不动产证券投资基金|绵阳涪城项目</v>
      </c>
      <c r="S1754">
        <f>IF($A1754="",0,IF(COUNTIF($R$2:$R1754,$R1754)=1,1,0))</f>
        <v>0</v>
      </c>
      <c r="T1754">
        <f t="shared" si="414"/>
        <v>1740</v>
      </c>
      <c r="U1754" t="str">
        <f>IF($A1754="","",IF($A1754=经营数据!$B$3,COUNTIFS($S$2:$S$3000,1,$A$2:$A$3000,$A1754,$T$2:$T$3000,"&lt;"&amp;$T1754)+1,""))</f>
        <v/>
      </c>
      <c r="V1754" t="str">
        <f t="shared" si="415"/>
        <v>绵阳涪城项目|服务效率</v>
      </c>
      <c r="W1754">
        <f t="shared" si="416"/>
        <v>1740</v>
      </c>
      <c r="X1754" t="str">
        <f t="shared" si="417"/>
        <v>绵阳涪城项目|加权平均出租率</v>
      </c>
      <c r="Y1754">
        <f t="shared" si="418"/>
        <v>1742</v>
      </c>
      <c r="Z1754">
        <f>IF($A1754="",0,IF(AND($M1754=1,$A1754=经营数据!$B$3,$J1754=经营数据!$BA$5,OR($I1754=经营数据!$BA$4,COUNTIF(经营数据!$AA$9:$AA$38,$I1754)&gt;0)),1,0))</f>
        <v>0</v>
      </c>
      <c r="AA1754" t="str">
        <f t="shared" si="419"/>
        <v/>
      </c>
      <c r="AB1754" t="str">
        <f t="shared" si="420"/>
        <v/>
      </c>
      <c r="AC1754">
        <f>IF($A1754="",0,IF(COUNTIF($A$2:$A1754,$A1754)=1,1,0))</f>
        <v>0</v>
      </c>
      <c r="AD1754">
        <f t="shared" si="421"/>
        <v>20</v>
      </c>
      <c r="AE1754" t="str">
        <f t="shared" si="422"/>
        <v>绵阳涪城项目|加权平均出租率（%）</v>
      </c>
    </row>
    <row r="1755" spans="1:31" x14ac:dyDescent="0.4">
      <c r="A1755" t="str">
        <f>IF(原始经营数据!$D1756="","",原始经营数据!$D1756)</f>
        <v>华夏凯德封闭式商业不动产证券投资基金</v>
      </c>
      <c r="B1755" t="str">
        <f>IF(原始经营数据!$D1756="","",T(原始经营数据!$E1756))</f>
        <v>绵阳涪城项目</v>
      </c>
      <c r="C1755" t="str">
        <f>IF(原始经营数据!$D1756="","",原始经营数据!$F1756)</f>
        <v>2026Q1</v>
      </c>
      <c r="D1755" t="str">
        <f>IF(原始经营数据!$D1756="","",原始经营数据!$H1756)</f>
        <v>期末出租率</v>
      </c>
      <c r="E1755">
        <f>IF(原始经营数据!$D1756="","",原始经营数据!$I1756)</f>
        <v>98.09</v>
      </c>
      <c r="F1755" t="str">
        <f>IF(原始经营数据!$D1756="","",T(原始经营数据!$J1756))</f>
        <v>%</v>
      </c>
      <c r="G1755" t="str">
        <f>IF(原始经营数据!$D1756="","",T(原始经营数据!$K1756))</f>
        <v/>
      </c>
      <c r="H1755" t="str">
        <f>IF(原始经营数据!$D1756="","",原始经营数据!$G1756)</f>
        <v>服务效率</v>
      </c>
      <c r="I1755" t="str">
        <f>IF($A1755="","",IF($B1755&lt;&gt;"",$B1755,IF(COUNTIFS(原始经营数据!$D$3:$D$3001,$A1755,原始经营数据!$E$3:$E$3001,"",原始经营数据!$F$3:$F$3001,$C1755,原始经营数据!$H$3:$H$3001,$D1755,原始经营数据!$K$3:$K$3001,$G1755)&gt;1,"基金整体·来源"&amp;原始经营数据!$A1756,"基金整体")))</f>
        <v>绵阳涪城项目</v>
      </c>
      <c r="J1755" t="str">
        <f t="shared" si="408"/>
        <v>季度</v>
      </c>
      <c r="K1755" t="str">
        <f t="shared" si="409"/>
        <v>期末出租率（%）</v>
      </c>
      <c r="L1755" t="str">
        <f t="shared" si="410"/>
        <v>绵阳涪城项目|期末出租率（%）|季度</v>
      </c>
      <c r="M1755">
        <f>IF($A1755="",0,IF(COUNTIF($L$2:$L1755,$L1755)=1,1,0))</f>
        <v>1</v>
      </c>
      <c r="N1755">
        <f t="shared" si="411"/>
        <v>20261</v>
      </c>
      <c r="O1755" t="str">
        <f t="shared" si="412"/>
        <v>华夏凯德封闭式商业不动产证券投资基金|2026Q1|季度</v>
      </c>
      <c r="P1755">
        <f>IF($A1755="",0,IF(COUNTIF($O$2:$O1755,$O1755)=1,1,0))</f>
        <v>0</v>
      </c>
      <c r="Q1755" t="str">
        <f>IF(AND($P1755=1,$A1755=经营数据!$B$3,$J1755=经营数据!$BA$5),COUNTIFS($P$2:$P$3000,1,$A$2:$A$3000,$A1755,$J$2:$J$3000,$J1755,$N$2:$N$3000,"&lt;"&amp;$N1755)+1,"")</f>
        <v/>
      </c>
      <c r="R1755" t="str">
        <f t="shared" si="413"/>
        <v>华夏凯德封闭式商业不动产证券投资基金|绵阳涪城项目</v>
      </c>
      <c r="S1755">
        <f>IF($A1755="",0,IF(COUNTIF($R$2:$R1755,$R1755)=1,1,0))</f>
        <v>0</v>
      </c>
      <c r="T1755">
        <f t="shared" si="414"/>
        <v>1740</v>
      </c>
      <c r="U1755" t="str">
        <f>IF($A1755="","",IF($A1755=经营数据!$B$3,COUNTIFS($S$2:$S$3000,1,$A$2:$A$3000,$A1755,$T$2:$T$3000,"&lt;"&amp;$T1755)+1,""))</f>
        <v/>
      </c>
      <c r="V1755" t="str">
        <f t="shared" si="415"/>
        <v>绵阳涪城项目|服务效率</v>
      </c>
      <c r="W1755">
        <f t="shared" si="416"/>
        <v>1740</v>
      </c>
      <c r="X1755" t="str">
        <f t="shared" si="417"/>
        <v>绵阳涪城项目|期末出租率</v>
      </c>
      <c r="Y1755">
        <f t="shared" si="418"/>
        <v>1740</v>
      </c>
      <c r="Z1755">
        <f>IF($A1755="",0,IF(AND($M1755=1,$A1755=经营数据!$B$3,$J1755=经营数据!$BA$5,OR($I1755=经营数据!$BA$4,COUNTIF(经营数据!$AA$9:$AA$38,$I1755)&gt;0)),1,0))</f>
        <v>0</v>
      </c>
      <c r="AA1755" t="str">
        <f t="shared" si="419"/>
        <v/>
      </c>
      <c r="AB1755" t="str">
        <f t="shared" si="420"/>
        <v/>
      </c>
      <c r="AC1755">
        <f>IF($A1755="",0,IF(COUNTIF($A$2:$A1755,$A1755)=1,1,0))</f>
        <v>0</v>
      </c>
      <c r="AD1755">
        <f t="shared" si="421"/>
        <v>20</v>
      </c>
      <c r="AE1755" t="str">
        <f t="shared" si="422"/>
        <v>绵阳涪城项目|期末出租率（%）</v>
      </c>
    </row>
    <row r="1756" spans="1:31" x14ac:dyDescent="0.4">
      <c r="A1756" t="str">
        <f>IF(原始经营数据!$D1757="","",原始经营数据!$D1757)</f>
        <v>华泰紫金华住安住封闭式商业不动产证券投资基金</v>
      </c>
      <c r="B1756" t="str">
        <f>IF(原始经营数据!$D1757="","",T(原始经营数据!$E1757))</f>
        <v>上海江桥万达桔子水晶酒店项目</v>
      </c>
      <c r="C1756" t="str">
        <f>IF(原始经营数据!$D1757="","",原始经营数据!$F1757)</f>
        <v>2023</v>
      </c>
      <c r="D1756" t="str">
        <f>IF(原始经营数据!$D1757="","",原始经营数据!$H1757)</f>
        <v>平均房价</v>
      </c>
      <c r="E1756">
        <f>IF(原始经营数据!$D1757="","",原始经营数据!$I1757)</f>
        <v>369.61</v>
      </c>
      <c r="F1756" t="str">
        <f>IF(原始经营数据!$D1757="","",T(原始经营数据!$J1757))</f>
        <v>元/间</v>
      </c>
      <c r="G1756" t="str">
        <f>IF(原始经营数据!$D1757="","",T(原始经营数据!$K1757))</f>
        <v/>
      </c>
      <c r="H1756" t="str">
        <f>IF(原始经营数据!$D1757="","",原始经营数据!$G1757)</f>
        <v>服务价格</v>
      </c>
      <c r="I1756" t="str">
        <f>IF($A1756="","",IF($B1756&lt;&gt;"",$B1756,IF(COUNTIFS(原始经营数据!$D$3:$D$3001,$A1756,原始经营数据!$E$3:$E$3001,"",原始经营数据!$F$3:$F$3001,$C1756,原始经营数据!$H$3:$H$3001,$D1756,原始经营数据!$K$3:$K$3001,$G1756)&gt;1,"基金整体·来源"&amp;原始经营数据!$A1757,"基金整体")))</f>
        <v>上海江桥万达桔子水晶酒店项目</v>
      </c>
      <c r="J1756" t="str">
        <f t="shared" si="408"/>
        <v>年度</v>
      </c>
      <c r="K1756" t="str">
        <f t="shared" si="409"/>
        <v>平均房价（元/间）</v>
      </c>
      <c r="L1756" t="str">
        <f t="shared" si="410"/>
        <v>上海江桥万达桔子水晶酒店项目|平均房价（元/间）|年度</v>
      </c>
      <c r="M1756">
        <f>IF($A1756="",0,IF(COUNTIF($L$2:$L1756,$L1756)=1,1,0))</f>
        <v>1</v>
      </c>
      <c r="N1756">
        <f t="shared" si="411"/>
        <v>20230</v>
      </c>
      <c r="O1756" t="str">
        <f t="shared" si="412"/>
        <v>华泰紫金华住安住封闭式商业不动产证券投资基金|2023|年度</v>
      </c>
      <c r="P1756">
        <f>IF($A1756="",0,IF(COUNTIF($O$2:$O1756,$O1756)=1,1,0))</f>
        <v>1</v>
      </c>
      <c r="Q1756" t="str">
        <f>IF(AND($P1756=1,$A1756=经营数据!$B$3,$J1756=经营数据!$BA$5),COUNTIFS($P$2:$P$3000,1,$A$2:$A$3000,$A1756,$J$2:$J$3000,$J1756,$N$2:$N$3000,"&lt;"&amp;$N1756)+1,"")</f>
        <v/>
      </c>
      <c r="R1756" t="str">
        <f t="shared" si="413"/>
        <v>华泰紫金华住安住封闭式商业不动产证券投资基金|上海江桥万达桔子水晶酒店项目</v>
      </c>
      <c r="S1756">
        <f>IF($A1756="",0,IF(COUNTIF($R$2:$R1756,$R1756)=1,1,0))</f>
        <v>1</v>
      </c>
      <c r="T1756">
        <f t="shared" si="414"/>
        <v>1755</v>
      </c>
      <c r="U1756" t="str">
        <f>IF($A1756="","",IF($A1756=经营数据!$B$3,COUNTIFS($S$2:$S$3000,1,$A$2:$A$3000,$A1756,$T$2:$T$3000,"&lt;"&amp;$T1756)+1,""))</f>
        <v/>
      </c>
      <c r="V1756" t="str">
        <f t="shared" si="415"/>
        <v>上海江桥万达桔子水晶酒店项目|服务价格</v>
      </c>
      <c r="W1756">
        <f t="shared" si="416"/>
        <v>1755</v>
      </c>
      <c r="X1756" t="str">
        <f t="shared" si="417"/>
        <v>上海江桥万达桔子水晶酒店项目|平均房价</v>
      </c>
      <c r="Y1756">
        <f t="shared" si="418"/>
        <v>1755</v>
      </c>
      <c r="Z1756">
        <f>IF($A1756="",0,IF(AND($M1756=1,$A1756=经营数据!$B$3,$J1756=经营数据!$BA$5,OR($I1756=经营数据!$BA$4,COUNTIF(经营数据!$AA$9:$AA$38,$I1756)&gt;0)),1,0))</f>
        <v>0</v>
      </c>
      <c r="AA1756" t="str">
        <f t="shared" si="419"/>
        <v/>
      </c>
      <c r="AB1756" t="str">
        <f t="shared" si="420"/>
        <v/>
      </c>
      <c r="AC1756">
        <f>IF($A1756="",0,IF(COUNTIF($A$2:$A1756,$A1756)=1,1,0))</f>
        <v>1</v>
      </c>
      <c r="AD1756">
        <f t="shared" si="421"/>
        <v>21</v>
      </c>
      <c r="AE1756" t="str">
        <f t="shared" si="422"/>
        <v>上海江桥万达桔子水晶酒店项目|平均房价（元/间）</v>
      </c>
    </row>
    <row r="1757" spans="1:31" x14ac:dyDescent="0.4">
      <c r="A1757" t="str">
        <f>IF(原始经营数据!$D1758="","",原始经营数据!$D1758)</f>
        <v>华泰紫金华住安住封闭式商业不动产证券投资基金</v>
      </c>
      <c r="B1757" t="str">
        <f>IF(原始经营数据!$D1758="","",T(原始经营数据!$E1758))</f>
        <v>上海江桥万达桔子水晶酒店项目</v>
      </c>
      <c r="C1757" t="str">
        <f>IF(原始经营数据!$D1758="","",原始经营数据!$F1758)</f>
        <v>2023</v>
      </c>
      <c r="D1757" t="str">
        <f>IF(原始经营数据!$D1758="","",原始经营数据!$H1758)</f>
        <v>平均入住率</v>
      </c>
      <c r="E1757">
        <f>IF(原始经营数据!$D1758="","",原始经营数据!$I1758)</f>
        <v>80.819999999999993</v>
      </c>
      <c r="F1757" t="str">
        <f>IF(原始经营数据!$D1758="","",T(原始经营数据!$J1758))</f>
        <v>%</v>
      </c>
      <c r="G1757" t="str">
        <f>IF(原始经营数据!$D1758="","",T(原始经营数据!$K1758))</f>
        <v/>
      </c>
      <c r="H1757" t="str">
        <f>IF(原始经营数据!$D1758="","",原始经营数据!$G1758)</f>
        <v>服务效率</v>
      </c>
      <c r="I1757" t="str">
        <f>IF($A1757="","",IF($B1757&lt;&gt;"",$B1757,IF(COUNTIFS(原始经营数据!$D$3:$D$3001,$A1757,原始经营数据!$E$3:$E$3001,"",原始经营数据!$F$3:$F$3001,$C1757,原始经营数据!$H$3:$H$3001,$D1757,原始经营数据!$K$3:$K$3001,$G1757)&gt;1,"基金整体·来源"&amp;原始经营数据!$A1758,"基金整体")))</f>
        <v>上海江桥万达桔子水晶酒店项目</v>
      </c>
      <c r="J1757" t="str">
        <f t="shared" si="408"/>
        <v>年度</v>
      </c>
      <c r="K1757" t="str">
        <f t="shared" si="409"/>
        <v>平均入住率（%）</v>
      </c>
      <c r="L1757" t="str">
        <f t="shared" si="410"/>
        <v>上海江桥万达桔子水晶酒店项目|平均入住率（%）|年度</v>
      </c>
      <c r="M1757">
        <f>IF($A1757="",0,IF(COUNTIF($L$2:$L1757,$L1757)=1,1,0))</f>
        <v>1</v>
      </c>
      <c r="N1757">
        <f t="shared" si="411"/>
        <v>20230</v>
      </c>
      <c r="O1757" t="str">
        <f t="shared" si="412"/>
        <v>华泰紫金华住安住封闭式商业不动产证券投资基金|2023|年度</v>
      </c>
      <c r="P1757">
        <f>IF($A1757="",0,IF(COUNTIF($O$2:$O1757,$O1757)=1,1,0))</f>
        <v>0</v>
      </c>
      <c r="Q1757" t="str">
        <f>IF(AND($P1757=1,$A1757=经营数据!$B$3,$J1757=经营数据!$BA$5),COUNTIFS($P$2:$P$3000,1,$A$2:$A$3000,$A1757,$J$2:$J$3000,$J1757,$N$2:$N$3000,"&lt;"&amp;$N1757)+1,"")</f>
        <v/>
      </c>
      <c r="R1757" t="str">
        <f t="shared" si="413"/>
        <v>华泰紫金华住安住封闭式商业不动产证券投资基金|上海江桥万达桔子水晶酒店项目</v>
      </c>
      <c r="S1757">
        <f>IF($A1757="",0,IF(COUNTIF($R$2:$R1757,$R1757)=1,1,0))</f>
        <v>0</v>
      </c>
      <c r="T1757">
        <f t="shared" si="414"/>
        <v>1755</v>
      </c>
      <c r="U1757" t="str">
        <f>IF($A1757="","",IF($A1757=经营数据!$B$3,COUNTIFS($S$2:$S$3000,1,$A$2:$A$3000,$A1757,$T$2:$T$3000,"&lt;"&amp;$T1757)+1,""))</f>
        <v/>
      </c>
      <c r="V1757" t="str">
        <f t="shared" si="415"/>
        <v>上海江桥万达桔子水晶酒店项目|服务效率</v>
      </c>
      <c r="W1757">
        <f t="shared" si="416"/>
        <v>1756</v>
      </c>
      <c r="X1757" t="str">
        <f t="shared" si="417"/>
        <v>上海江桥万达桔子水晶酒店项目|平均入住率</v>
      </c>
      <c r="Y1757">
        <f t="shared" si="418"/>
        <v>1756</v>
      </c>
      <c r="Z1757">
        <f>IF($A1757="",0,IF(AND($M1757=1,$A1757=经营数据!$B$3,$J1757=经营数据!$BA$5,OR($I1757=经营数据!$BA$4,COUNTIF(经营数据!$AA$9:$AA$38,$I1757)&gt;0)),1,0))</f>
        <v>0</v>
      </c>
      <c r="AA1757" t="str">
        <f t="shared" si="419"/>
        <v/>
      </c>
      <c r="AB1757" t="str">
        <f t="shared" si="420"/>
        <v/>
      </c>
      <c r="AC1757">
        <f>IF($A1757="",0,IF(COUNTIF($A$2:$A1757,$A1757)=1,1,0))</f>
        <v>0</v>
      </c>
      <c r="AD1757">
        <f t="shared" si="421"/>
        <v>21</v>
      </c>
      <c r="AE1757" t="str">
        <f t="shared" si="422"/>
        <v>上海江桥万达桔子水晶酒店项目|平均入住率（%）</v>
      </c>
    </row>
    <row r="1758" spans="1:31" x14ac:dyDescent="0.4">
      <c r="A1758" t="str">
        <f>IF(原始经营数据!$D1759="","",原始经营数据!$D1759)</f>
        <v>华泰紫金华住安住封闭式商业不动产证券投资基金</v>
      </c>
      <c r="B1758" t="str">
        <f>IF(原始经营数据!$D1759="","",T(原始经营数据!$E1759))</f>
        <v>上海江桥万达桔子水晶酒店项目</v>
      </c>
      <c r="C1758" t="str">
        <f>IF(原始经营数据!$D1759="","",原始经营数据!$F1759)</f>
        <v>2024</v>
      </c>
      <c r="D1758" t="str">
        <f>IF(原始经营数据!$D1759="","",原始经营数据!$H1759)</f>
        <v>平均入住率</v>
      </c>
      <c r="E1758">
        <f>IF(原始经营数据!$D1759="","",原始经营数据!$I1759)</f>
        <v>83.07</v>
      </c>
      <c r="F1758" t="str">
        <f>IF(原始经营数据!$D1759="","",T(原始经营数据!$J1759))</f>
        <v>%</v>
      </c>
      <c r="G1758" t="str">
        <f>IF(原始经营数据!$D1759="","",T(原始经营数据!$K1759))</f>
        <v/>
      </c>
      <c r="H1758" t="str">
        <f>IF(原始经营数据!$D1759="","",原始经营数据!$G1759)</f>
        <v>服务效率</v>
      </c>
      <c r="I1758" t="str">
        <f>IF($A1758="","",IF($B1758&lt;&gt;"",$B1758,IF(COUNTIFS(原始经营数据!$D$3:$D$3001,$A1758,原始经营数据!$E$3:$E$3001,"",原始经营数据!$F$3:$F$3001,$C1758,原始经营数据!$H$3:$H$3001,$D1758,原始经营数据!$K$3:$K$3001,$G1758)&gt;1,"基金整体·来源"&amp;原始经营数据!$A1759,"基金整体")))</f>
        <v>上海江桥万达桔子水晶酒店项目</v>
      </c>
      <c r="J1758" t="str">
        <f t="shared" si="408"/>
        <v>年度</v>
      </c>
      <c r="K1758" t="str">
        <f t="shared" si="409"/>
        <v>平均入住率（%）</v>
      </c>
      <c r="L1758" t="str">
        <f t="shared" si="410"/>
        <v>上海江桥万达桔子水晶酒店项目|平均入住率（%）|年度</v>
      </c>
      <c r="M1758">
        <f>IF($A1758="",0,IF(COUNTIF($L$2:$L1758,$L1758)=1,1,0))</f>
        <v>0</v>
      </c>
      <c r="N1758">
        <f t="shared" si="411"/>
        <v>20240</v>
      </c>
      <c r="O1758" t="str">
        <f t="shared" si="412"/>
        <v>华泰紫金华住安住封闭式商业不动产证券投资基金|2024|年度</v>
      </c>
      <c r="P1758">
        <f>IF($A1758="",0,IF(COUNTIF($O$2:$O1758,$O1758)=1,1,0))</f>
        <v>1</v>
      </c>
      <c r="Q1758" t="str">
        <f>IF(AND($P1758=1,$A1758=经营数据!$B$3,$J1758=经营数据!$BA$5),COUNTIFS($P$2:$P$3000,1,$A$2:$A$3000,$A1758,$J$2:$J$3000,$J1758,$N$2:$N$3000,"&lt;"&amp;$N1758)+1,"")</f>
        <v/>
      </c>
      <c r="R1758" t="str">
        <f t="shared" si="413"/>
        <v>华泰紫金华住安住封闭式商业不动产证券投资基金|上海江桥万达桔子水晶酒店项目</v>
      </c>
      <c r="S1758">
        <f>IF($A1758="",0,IF(COUNTIF($R$2:$R1758,$R1758)=1,1,0))</f>
        <v>0</v>
      </c>
      <c r="T1758">
        <f t="shared" si="414"/>
        <v>1755</v>
      </c>
      <c r="U1758" t="str">
        <f>IF($A1758="","",IF($A1758=经营数据!$B$3,COUNTIFS($S$2:$S$3000,1,$A$2:$A$3000,$A1758,$T$2:$T$3000,"&lt;"&amp;$T1758)+1,""))</f>
        <v/>
      </c>
      <c r="V1758" t="str">
        <f t="shared" si="415"/>
        <v>上海江桥万达桔子水晶酒店项目|服务效率</v>
      </c>
      <c r="W1758">
        <f t="shared" si="416"/>
        <v>1756</v>
      </c>
      <c r="X1758" t="str">
        <f t="shared" si="417"/>
        <v>上海江桥万达桔子水晶酒店项目|平均入住率</v>
      </c>
      <c r="Y1758">
        <f t="shared" si="418"/>
        <v>1756</v>
      </c>
      <c r="Z1758">
        <f>IF($A1758="",0,IF(AND($M1758=1,$A1758=经营数据!$B$3,$J1758=经营数据!$BA$5,OR($I1758=经营数据!$BA$4,COUNTIF(经营数据!$AA$9:$AA$38,$I1758)&gt;0)),1,0))</f>
        <v>0</v>
      </c>
      <c r="AA1758" t="str">
        <f t="shared" si="419"/>
        <v/>
      </c>
      <c r="AB1758" t="str">
        <f t="shared" si="420"/>
        <v/>
      </c>
      <c r="AC1758">
        <f>IF($A1758="",0,IF(COUNTIF($A$2:$A1758,$A1758)=1,1,0))</f>
        <v>0</v>
      </c>
      <c r="AD1758">
        <f t="shared" si="421"/>
        <v>21</v>
      </c>
      <c r="AE1758" t="str">
        <f t="shared" si="422"/>
        <v>上海江桥万达桔子水晶酒店项目|平均入住率（%）</v>
      </c>
    </row>
    <row r="1759" spans="1:31" x14ac:dyDescent="0.4">
      <c r="A1759" t="str">
        <f>IF(原始经营数据!$D1760="","",原始经营数据!$D1760)</f>
        <v>华泰紫金华住安住封闭式商业不动产证券投资基金</v>
      </c>
      <c r="B1759" t="str">
        <f>IF(原始经营数据!$D1760="","",T(原始经营数据!$E1760))</f>
        <v>上海江桥万达桔子水晶酒店项目</v>
      </c>
      <c r="C1759" t="str">
        <f>IF(原始经营数据!$D1760="","",原始经营数据!$F1760)</f>
        <v>2024</v>
      </c>
      <c r="D1759" t="str">
        <f>IF(原始经营数据!$D1760="","",原始经营数据!$H1760)</f>
        <v>平均房价</v>
      </c>
      <c r="E1759">
        <f>IF(原始经营数据!$D1760="","",原始经营数据!$I1760)</f>
        <v>372.82</v>
      </c>
      <c r="F1759" t="str">
        <f>IF(原始经营数据!$D1760="","",T(原始经营数据!$J1760))</f>
        <v>元/间</v>
      </c>
      <c r="G1759" t="str">
        <f>IF(原始经营数据!$D1760="","",T(原始经营数据!$K1760))</f>
        <v/>
      </c>
      <c r="H1759" t="str">
        <f>IF(原始经营数据!$D1760="","",原始经营数据!$G1760)</f>
        <v>服务价格</v>
      </c>
      <c r="I1759" t="str">
        <f>IF($A1759="","",IF($B1759&lt;&gt;"",$B1759,IF(COUNTIFS(原始经营数据!$D$3:$D$3001,$A1759,原始经营数据!$E$3:$E$3001,"",原始经营数据!$F$3:$F$3001,$C1759,原始经营数据!$H$3:$H$3001,$D1759,原始经营数据!$K$3:$K$3001,$G1759)&gt;1,"基金整体·来源"&amp;原始经营数据!$A1760,"基金整体")))</f>
        <v>上海江桥万达桔子水晶酒店项目</v>
      </c>
      <c r="J1759" t="str">
        <f t="shared" si="408"/>
        <v>年度</v>
      </c>
      <c r="K1759" t="str">
        <f t="shared" si="409"/>
        <v>平均房价（元/间）</v>
      </c>
      <c r="L1759" t="str">
        <f t="shared" si="410"/>
        <v>上海江桥万达桔子水晶酒店项目|平均房价（元/间）|年度</v>
      </c>
      <c r="M1759">
        <f>IF($A1759="",0,IF(COUNTIF($L$2:$L1759,$L1759)=1,1,0))</f>
        <v>0</v>
      </c>
      <c r="N1759">
        <f t="shared" si="411"/>
        <v>20240</v>
      </c>
      <c r="O1759" t="str">
        <f t="shared" si="412"/>
        <v>华泰紫金华住安住封闭式商业不动产证券投资基金|2024|年度</v>
      </c>
      <c r="P1759">
        <f>IF($A1759="",0,IF(COUNTIF($O$2:$O1759,$O1759)=1,1,0))</f>
        <v>0</v>
      </c>
      <c r="Q1759" t="str">
        <f>IF(AND($P1759=1,$A1759=经营数据!$B$3,$J1759=经营数据!$BA$5),COUNTIFS($P$2:$P$3000,1,$A$2:$A$3000,$A1759,$J$2:$J$3000,$J1759,$N$2:$N$3000,"&lt;"&amp;$N1759)+1,"")</f>
        <v/>
      </c>
      <c r="R1759" t="str">
        <f t="shared" si="413"/>
        <v>华泰紫金华住安住封闭式商业不动产证券投资基金|上海江桥万达桔子水晶酒店项目</v>
      </c>
      <c r="S1759">
        <f>IF($A1759="",0,IF(COUNTIF($R$2:$R1759,$R1759)=1,1,0))</f>
        <v>0</v>
      </c>
      <c r="T1759">
        <f t="shared" si="414"/>
        <v>1755</v>
      </c>
      <c r="U1759" t="str">
        <f>IF($A1759="","",IF($A1759=经营数据!$B$3,COUNTIFS($S$2:$S$3000,1,$A$2:$A$3000,$A1759,$T$2:$T$3000,"&lt;"&amp;$T1759)+1,""))</f>
        <v/>
      </c>
      <c r="V1759" t="str">
        <f t="shared" si="415"/>
        <v>上海江桥万达桔子水晶酒店项目|服务价格</v>
      </c>
      <c r="W1759">
        <f t="shared" si="416"/>
        <v>1755</v>
      </c>
      <c r="X1759" t="str">
        <f t="shared" si="417"/>
        <v>上海江桥万达桔子水晶酒店项目|平均房价</v>
      </c>
      <c r="Y1759">
        <f t="shared" si="418"/>
        <v>1755</v>
      </c>
      <c r="Z1759">
        <f>IF($A1759="",0,IF(AND($M1759=1,$A1759=经营数据!$B$3,$J1759=经营数据!$BA$5,OR($I1759=经营数据!$BA$4,COUNTIF(经营数据!$AA$9:$AA$38,$I1759)&gt;0)),1,0))</f>
        <v>0</v>
      </c>
      <c r="AA1759" t="str">
        <f t="shared" si="419"/>
        <v/>
      </c>
      <c r="AB1759" t="str">
        <f t="shared" si="420"/>
        <v/>
      </c>
      <c r="AC1759">
        <f>IF($A1759="",0,IF(COUNTIF($A$2:$A1759,$A1759)=1,1,0))</f>
        <v>0</v>
      </c>
      <c r="AD1759">
        <f t="shared" si="421"/>
        <v>21</v>
      </c>
      <c r="AE1759" t="str">
        <f t="shared" si="422"/>
        <v>上海江桥万达桔子水晶酒店项目|平均房价（元/间）</v>
      </c>
    </row>
    <row r="1760" spans="1:31" x14ac:dyDescent="0.4">
      <c r="A1760" t="str">
        <f>IF(原始经营数据!$D1761="","",原始经营数据!$D1761)</f>
        <v>华泰紫金华住安住封闭式商业不动产证券投资基金</v>
      </c>
      <c r="B1760" t="str">
        <f>IF(原始经营数据!$D1761="","",T(原始经营数据!$E1761))</f>
        <v>上海江桥万达桔子水晶酒店项目</v>
      </c>
      <c r="C1760" t="str">
        <f>IF(原始经营数据!$D1761="","",原始经营数据!$F1761)</f>
        <v>2025</v>
      </c>
      <c r="D1760" t="str">
        <f>IF(原始经营数据!$D1761="","",原始经营数据!$H1761)</f>
        <v>平均入住率</v>
      </c>
      <c r="E1760">
        <f>IF(原始经营数据!$D1761="","",原始经营数据!$I1761)</f>
        <v>90.36</v>
      </c>
      <c r="F1760" t="str">
        <f>IF(原始经营数据!$D1761="","",T(原始经营数据!$J1761))</f>
        <v>%</v>
      </c>
      <c r="G1760" t="str">
        <f>IF(原始经营数据!$D1761="","",T(原始经营数据!$K1761))</f>
        <v/>
      </c>
      <c r="H1760" t="str">
        <f>IF(原始经营数据!$D1761="","",原始经营数据!$G1761)</f>
        <v>服务效率</v>
      </c>
      <c r="I1760" t="str">
        <f>IF($A1760="","",IF($B1760&lt;&gt;"",$B1760,IF(COUNTIFS(原始经营数据!$D$3:$D$3001,$A1760,原始经营数据!$E$3:$E$3001,"",原始经营数据!$F$3:$F$3001,$C1760,原始经营数据!$H$3:$H$3001,$D1760,原始经营数据!$K$3:$K$3001,$G1760)&gt;1,"基金整体·来源"&amp;原始经营数据!$A1761,"基金整体")))</f>
        <v>上海江桥万达桔子水晶酒店项目</v>
      </c>
      <c r="J1760" t="str">
        <f t="shared" si="408"/>
        <v>年度</v>
      </c>
      <c r="K1760" t="str">
        <f t="shared" si="409"/>
        <v>平均入住率（%）</v>
      </c>
      <c r="L1760" t="str">
        <f t="shared" si="410"/>
        <v>上海江桥万达桔子水晶酒店项目|平均入住率（%）|年度</v>
      </c>
      <c r="M1760">
        <f>IF($A1760="",0,IF(COUNTIF($L$2:$L1760,$L1760)=1,1,0))</f>
        <v>0</v>
      </c>
      <c r="N1760">
        <f t="shared" si="411"/>
        <v>20250</v>
      </c>
      <c r="O1760" t="str">
        <f t="shared" si="412"/>
        <v>华泰紫金华住安住封闭式商业不动产证券投资基金|2025|年度</v>
      </c>
      <c r="P1760">
        <f>IF($A1760="",0,IF(COUNTIF($O$2:$O1760,$O1760)=1,1,0))</f>
        <v>1</v>
      </c>
      <c r="Q1760" t="str">
        <f>IF(AND($P1760=1,$A1760=经营数据!$B$3,$J1760=经营数据!$BA$5),COUNTIFS($P$2:$P$3000,1,$A$2:$A$3000,$A1760,$J$2:$J$3000,$J1760,$N$2:$N$3000,"&lt;"&amp;$N1760)+1,"")</f>
        <v/>
      </c>
      <c r="R1760" t="str">
        <f t="shared" si="413"/>
        <v>华泰紫金华住安住封闭式商业不动产证券投资基金|上海江桥万达桔子水晶酒店项目</v>
      </c>
      <c r="S1760">
        <f>IF($A1760="",0,IF(COUNTIF($R$2:$R1760,$R1760)=1,1,0))</f>
        <v>0</v>
      </c>
      <c r="T1760">
        <f t="shared" si="414"/>
        <v>1755</v>
      </c>
      <c r="U1760" t="str">
        <f>IF($A1760="","",IF($A1760=经营数据!$B$3,COUNTIFS($S$2:$S$3000,1,$A$2:$A$3000,$A1760,$T$2:$T$3000,"&lt;"&amp;$T1760)+1,""))</f>
        <v/>
      </c>
      <c r="V1760" t="str">
        <f t="shared" si="415"/>
        <v>上海江桥万达桔子水晶酒店项目|服务效率</v>
      </c>
      <c r="W1760">
        <f t="shared" si="416"/>
        <v>1756</v>
      </c>
      <c r="X1760" t="str">
        <f t="shared" si="417"/>
        <v>上海江桥万达桔子水晶酒店项目|平均入住率</v>
      </c>
      <c r="Y1760">
        <f t="shared" si="418"/>
        <v>1756</v>
      </c>
      <c r="Z1760">
        <f>IF($A1760="",0,IF(AND($M1760=1,$A1760=经营数据!$B$3,$J1760=经营数据!$BA$5,OR($I1760=经营数据!$BA$4,COUNTIF(经营数据!$AA$9:$AA$38,$I1760)&gt;0)),1,0))</f>
        <v>0</v>
      </c>
      <c r="AA1760" t="str">
        <f t="shared" si="419"/>
        <v/>
      </c>
      <c r="AB1760" t="str">
        <f t="shared" si="420"/>
        <v/>
      </c>
      <c r="AC1760">
        <f>IF($A1760="",0,IF(COUNTIF($A$2:$A1760,$A1760)=1,1,0))</f>
        <v>0</v>
      </c>
      <c r="AD1760">
        <f t="shared" si="421"/>
        <v>21</v>
      </c>
      <c r="AE1760" t="str">
        <f t="shared" si="422"/>
        <v>上海江桥万达桔子水晶酒店项目|平均入住率（%）</v>
      </c>
    </row>
    <row r="1761" spans="1:31" x14ac:dyDescent="0.4">
      <c r="A1761" t="str">
        <f>IF(原始经营数据!$D1762="","",原始经营数据!$D1762)</f>
        <v>华泰紫金华住安住封闭式商业不动产证券投资基金</v>
      </c>
      <c r="B1761" t="str">
        <f>IF(原始经营数据!$D1762="","",T(原始经营数据!$E1762))</f>
        <v>上海江桥万达桔子水晶酒店项目</v>
      </c>
      <c r="C1761" t="str">
        <f>IF(原始经营数据!$D1762="","",原始经营数据!$F1762)</f>
        <v>2025</v>
      </c>
      <c r="D1761" t="str">
        <f>IF(原始经营数据!$D1762="","",原始经营数据!$H1762)</f>
        <v>平均房价</v>
      </c>
      <c r="E1761">
        <f>IF(原始经营数据!$D1762="","",原始经营数据!$I1762)</f>
        <v>359.71</v>
      </c>
      <c r="F1761" t="str">
        <f>IF(原始经营数据!$D1762="","",T(原始经营数据!$J1762))</f>
        <v>元/间</v>
      </c>
      <c r="G1761" t="str">
        <f>IF(原始经营数据!$D1762="","",T(原始经营数据!$K1762))</f>
        <v/>
      </c>
      <c r="H1761" t="str">
        <f>IF(原始经营数据!$D1762="","",原始经营数据!$G1762)</f>
        <v>服务价格</v>
      </c>
      <c r="I1761" t="str">
        <f>IF($A1761="","",IF($B1761&lt;&gt;"",$B1761,IF(COUNTIFS(原始经营数据!$D$3:$D$3001,$A1761,原始经营数据!$E$3:$E$3001,"",原始经营数据!$F$3:$F$3001,$C1761,原始经营数据!$H$3:$H$3001,$D1761,原始经营数据!$K$3:$K$3001,$G1761)&gt;1,"基金整体·来源"&amp;原始经营数据!$A1762,"基金整体")))</f>
        <v>上海江桥万达桔子水晶酒店项目</v>
      </c>
      <c r="J1761" t="str">
        <f t="shared" si="408"/>
        <v>年度</v>
      </c>
      <c r="K1761" t="str">
        <f t="shared" si="409"/>
        <v>平均房价（元/间）</v>
      </c>
      <c r="L1761" t="str">
        <f t="shared" si="410"/>
        <v>上海江桥万达桔子水晶酒店项目|平均房价（元/间）|年度</v>
      </c>
      <c r="M1761">
        <f>IF($A1761="",0,IF(COUNTIF($L$2:$L1761,$L1761)=1,1,0))</f>
        <v>0</v>
      </c>
      <c r="N1761">
        <f t="shared" si="411"/>
        <v>20250</v>
      </c>
      <c r="O1761" t="str">
        <f t="shared" si="412"/>
        <v>华泰紫金华住安住封闭式商业不动产证券投资基金|2025|年度</v>
      </c>
      <c r="P1761">
        <f>IF($A1761="",0,IF(COUNTIF($O$2:$O1761,$O1761)=1,1,0))</f>
        <v>0</v>
      </c>
      <c r="Q1761" t="str">
        <f>IF(AND($P1761=1,$A1761=经营数据!$B$3,$J1761=经营数据!$BA$5),COUNTIFS($P$2:$P$3000,1,$A$2:$A$3000,$A1761,$J$2:$J$3000,$J1761,$N$2:$N$3000,"&lt;"&amp;$N1761)+1,"")</f>
        <v/>
      </c>
      <c r="R1761" t="str">
        <f t="shared" si="413"/>
        <v>华泰紫金华住安住封闭式商业不动产证券投资基金|上海江桥万达桔子水晶酒店项目</v>
      </c>
      <c r="S1761">
        <f>IF($A1761="",0,IF(COUNTIF($R$2:$R1761,$R1761)=1,1,0))</f>
        <v>0</v>
      </c>
      <c r="T1761">
        <f t="shared" si="414"/>
        <v>1755</v>
      </c>
      <c r="U1761" t="str">
        <f>IF($A1761="","",IF($A1761=经营数据!$B$3,COUNTIFS($S$2:$S$3000,1,$A$2:$A$3000,$A1761,$T$2:$T$3000,"&lt;"&amp;$T1761)+1,""))</f>
        <v/>
      </c>
      <c r="V1761" t="str">
        <f t="shared" si="415"/>
        <v>上海江桥万达桔子水晶酒店项目|服务价格</v>
      </c>
      <c r="W1761">
        <f t="shared" si="416"/>
        <v>1755</v>
      </c>
      <c r="X1761" t="str">
        <f t="shared" si="417"/>
        <v>上海江桥万达桔子水晶酒店项目|平均房价</v>
      </c>
      <c r="Y1761">
        <f t="shared" si="418"/>
        <v>1755</v>
      </c>
      <c r="Z1761">
        <f>IF($A1761="",0,IF(AND($M1761=1,$A1761=经营数据!$B$3,$J1761=经营数据!$BA$5,OR($I1761=经营数据!$BA$4,COUNTIF(经营数据!$AA$9:$AA$38,$I1761)&gt;0)),1,0))</f>
        <v>0</v>
      </c>
      <c r="AA1761" t="str">
        <f t="shared" si="419"/>
        <v/>
      </c>
      <c r="AB1761" t="str">
        <f t="shared" si="420"/>
        <v/>
      </c>
      <c r="AC1761">
        <f>IF($A1761="",0,IF(COUNTIF($A$2:$A1761,$A1761)=1,1,0))</f>
        <v>0</v>
      </c>
      <c r="AD1761">
        <f t="shared" si="421"/>
        <v>21</v>
      </c>
      <c r="AE1761" t="str">
        <f t="shared" si="422"/>
        <v>上海江桥万达桔子水晶酒店项目|平均房价（元/间）</v>
      </c>
    </row>
    <row r="1762" spans="1:31" x14ac:dyDescent="0.4">
      <c r="A1762" t="str">
        <f>IF(原始经营数据!$D1763="","",原始经营数据!$D1763)</f>
        <v>华泰紫金华住安住封闭式商业不动产证券投资基金</v>
      </c>
      <c r="B1762" t="str">
        <f>IF(原始经营数据!$D1763="","",T(原始经营数据!$E1763))</f>
        <v>上海江桥万达桔子水晶酒店项目</v>
      </c>
      <c r="C1762" t="str">
        <f>IF(原始经营数据!$D1763="","",原始经营数据!$F1763)</f>
        <v>2026Q1</v>
      </c>
      <c r="D1762" t="str">
        <f>IF(原始经营数据!$D1763="","",原始经营数据!$H1763)</f>
        <v>平均房价</v>
      </c>
      <c r="E1762">
        <f>IF(原始经营数据!$D1763="","",原始经营数据!$I1763)</f>
        <v>338.22</v>
      </c>
      <c r="F1762" t="str">
        <f>IF(原始经营数据!$D1763="","",T(原始经营数据!$J1763))</f>
        <v>元/间</v>
      </c>
      <c r="G1762" t="str">
        <f>IF(原始经营数据!$D1763="","",T(原始经营数据!$K1763))</f>
        <v/>
      </c>
      <c r="H1762" t="str">
        <f>IF(原始经营数据!$D1763="","",原始经营数据!$G1763)</f>
        <v>服务价格</v>
      </c>
      <c r="I1762" t="str">
        <f>IF($A1762="","",IF($B1762&lt;&gt;"",$B1762,IF(COUNTIFS(原始经营数据!$D$3:$D$3001,$A1762,原始经营数据!$E$3:$E$3001,"",原始经营数据!$F$3:$F$3001,$C1762,原始经营数据!$H$3:$H$3001,$D1762,原始经营数据!$K$3:$K$3001,$G1762)&gt;1,"基金整体·来源"&amp;原始经营数据!$A1763,"基金整体")))</f>
        <v>上海江桥万达桔子水晶酒店项目</v>
      </c>
      <c r="J1762" t="str">
        <f t="shared" si="408"/>
        <v>季度</v>
      </c>
      <c r="K1762" t="str">
        <f t="shared" si="409"/>
        <v>平均房价（元/间）</v>
      </c>
      <c r="L1762" t="str">
        <f t="shared" si="410"/>
        <v>上海江桥万达桔子水晶酒店项目|平均房价（元/间）|季度</v>
      </c>
      <c r="M1762">
        <f>IF($A1762="",0,IF(COUNTIF($L$2:$L1762,$L1762)=1,1,0))</f>
        <v>1</v>
      </c>
      <c r="N1762">
        <f t="shared" si="411"/>
        <v>20261</v>
      </c>
      <c r="O1762" t="str">
        <f t="shared" si="412"/>
        <v>华泰紫金华住安住封闭式商业不动产证券投资基金|2026Q1|季度</v>
      </c>
      <c r="P1762">
        <f>IF($A1762="",0,IF(COUNTIF($O$2:$O1762,$O1762)=1,1,0))</f>
        <v>1</v>
      </c>
      <c r="Q1762" t="str">
        <f>IF(AND($P1762=1,$A1762=经营数据!$B$3,$J1762=经营数据!$BA$5),COUNTIFS($P$2:$P$3000,1,$A$2:$A$3000,$A1762,$J$2:$J$3000,$J1762,$N$2:$N$3000,"&lt;"&amp;$N1762)+1,"")</f>
        <v/>
      </c>
      <c r="R1762" t="str">
        <f t="shared" si="413"/>
        <v>华泰紫金华住安住封闭式商业不动产证券投资基金|上海江桥万达桔子水晶酒店项目</v>
      </c>
      <c r="S1762">
        <f>IF($A1762="",0,IF(COUNTIF($R$2:$R1762,$R1762)=1,1,0))</f>
        <v>0</v>
      </c>
      <c r="T1762">
        <f t="shared" si="414"/>
        <v>1755</v>
      </c>
      <c r="U1762" t="str">
        <f>IF($A1762="","",IF($A1762=经营数据!$B$3,COUNTIFS($S$2:$S$3000,1,$A$2:$A$3000,$A1762,$T$2:$T$3000,"&lt;"&amp;$T1762)+1,""))</f>
        <v/>
      </c>
      <c r="V1762" t="str">
        <f t="shared" si="415"/>
        <v>上海江桥万达桔子水晶酒店项目|服务价格</v>
      </c>
      <c r="W1762">
        <f t="shared" si="416"/>
        <v>1755</v>
      </c>
      <c r="X1762" t="str">
        <f t="shared" si="417"/>
        <v>上海江桥万达桔子水晶酒店项目|平均房价</v>
      </c>
      <c r="Y1762">
        <f t="shared" si="418"/>
        <v>1755</v>
      </c>
      <c r="Z1762">
        <f>IF($A1762="",0,IF(AND($M1762=1,$A1762=经营数据!$B$3,$J1762=经营数据!$BA$5,OR($I1762=经营数据!$BA$4,COUNTIF(经营数据!$AA$9:$AA$38,$I1762)&gt;0)),1,0))</f>
        <v>0</v>
      </c>
      <c r="AA1762" t="str">
        <f t="shared" si="419"/>
        <v/>
      </c>
      <c r="AB1762" t="str">
        <f t="shared" si="420"/>
        <v/>
      </c>
      <c r="AC1762">
        <f>IF($A1762="",0,IF(COUNTIF($A$2:$A1762,$A1762)=1,1,0))</f>
        <v>0</v>
      </c>
      <c r="AD1762">
        <f t="shared" si="421"/>
        <v>21</v>
      </c>
      <c r="AE1762" t="str">
        <f t="shared" si="422"/>
        <v>上海江桥万达桔子水晶酒店项目|平均房价（元/间）</v>
      </c>
    </row>
    <row r="1763" spans="1:31" x14ac:dyDescent="0.4">
      <c r="A1763" t="str">
        <f>IF(原始经营数据!$D1764="","",原始经营数据!$D1764)</f>
        <v>华泰紫金华住安住封闭式商业不动产证券投资基金</v>
      </c>
      <c r="B1763" t="str">
        <f>IF(原始经营数据!$D1764="","",T(原始经营数据!$E1764))</f>
        <v>上海江桥万达桔子水晶酒店项目</v>
      </c>
      <c r="C1763" t="str">
        <f>IF(原始经营数据!$D1764="","",原始经营数据!$F1764)</f>
        <v>2026Q1</v>
      </c>
      <c r="D1763" t="str">
        <f>IF(原始经营数据!$D1764="","",原始经营数据!$H1764)</f>
        <v>平均入住率</v>
      </c>
      <c r="E1763">
        <f>IF(原始经营数据!$D1764="","",原始经营数据!$I1764)</f>
        <v>90.09</v>
      </c>
      <c r="F1763" t="str">
        <f>IF(原始经营数据!$D1764="","",T(原始经营数据!$J1764))</f>
        <v>%</v>
      </c>
      <c r="G1763" t="str">
        <f>IF(原始经营数据!$D1764="","",T(原始经营数据!$K1764))</f>
        <v/>
      </c>
      <c r="H1763" t="str">
        <f>IF(原始经营数据!$D1764="","",原始经营数据!$G1764)</f>
        <v>服务效率</v>
      </c>
      <c r="I1763" t="str">
        <f>IF($A1763="","",IF($B1763&lt;&gt;"",$B1763,IF(COUNTIFS(原始经营数据!$D$3:$D$3001,$A1763,原始经营数据!$E$3:$E$3001,"",原始经营数据!$F$3:$F$3001,$C1763,原始经营数据!$H$3:$H$3001,$D1763,原始经营数据!$K$3:$K$3001,$G1763)&gt;1,"基金整体·来源"&amp;原始经营数据!$A1764,"基金整体")))</f>
        <v>上海江桥万达桔子水晶酒店项目</v>
      </c>
      <c r="J1763" t="str">
        <f t="shared" si="408"/>
        <v>季度</v>
      </c>
      <c r="K1763" t="str">
        <f t="shared" si="409"/>
        <v>平均入住率（%）</v>
      </c>
      <c r="L1763" t="str">
        <f t="shared" si="410"/>
        <v>上海江桥万达桔子水晶酒店项目|平均入住率（%）|季度</v>
      </c>
      <c r="M1763">
        <f>IF($A1763="",0,IF(COUNTIF($L$2:$L1763,$L1763)=1,1,0))</f>
        <v>1</v>
      </c>
      <c r="N1763">
        <f t="shared" si="411"/>
        <v>20261</v>
      </c>
      <c r="O1763" t="str">
        <f t="shared" si="412"/>
        <v>华泰紫金华住安住封闭式商业不动产证券投资基金|2026Q1|季度</v>
      </c>
      <c r="P1763">
        <f>IF($A1763="",0,IF(COUNTIF($O$2:$O1763,$O1763)=1,1,0))</f>
        <v>0</v>
      </c>
      <c r="Q1763" t="str">
        <f>IF(AND($P1763=1,$A1763=经营数据!$B$3,$J1763=经营数据!$BA$5),COUNTIFS($P$2:$P$3000,1,$A$2:$A$3000,$A1763,$J$2:$J$3000,$J1763,$N$2:$N$3000,"&lt;"&amp;$N1763)+1,"")</f>
        <v/>
      </c>
      <c r="R1763" t="str">
        <f t="shared" si="413"/>
        <v>华泰紫金华住安住封闭式商业不动产证券投资基金|上海江桥万达桔子水晶酒店项目</v>
      </c>
      <c r="S1763">
        <f>IF($A1763="",0,IF(COUNTIF($R$2:$R1763,$R1763)=1,1,0))</f>
        <v>0</v>
      </c>
      <c r="T1763">
        <f t="shared" si="414"/>
        <v>1755</v>
      </c>
      <c r="U1763" t="str">
        <f>IF($A1763="","",IF($A1763=经营数据!$B$3,COUNTIFS($S$2:$S$3000,1,$A$2:$A$3000,$A1763,$T$2:$T$3000,"&lt;"&amp;$T1763)+1,""))</f>
        <v/>
      </c>
      <c r="V1763" t="str">
        <f t="shared" si="415"/>
        <v>上海江桥万达桔子水晶酒店项目|服务效率</v>
      </c>
      <c r="W1763">
        <f t="shared" si="416"/>
        <v>1756</v>
      </c>
      <c r="X1763" t="str">
        <f t="shared" si="417"/>
        <v>上海江桥万达桔子水晶酒店项目|平均入住率</v>
      </c>
      <c r="Y1763">
        <f t="shared" si="418"/>
        <v>1756</v>
      </c>
      <c r="Z1763">
        <f>IF($A1763="",0,IF(AND($M1763=1,$A1763=经营数据!$B$3,$J1763=经营数据!$BA$5,OR($I1763=经营数据!$BA$4,COUNTIF(经营数据!$AA$9:$AA$38,$I1763)&gt;0)),1,0))</f>
        <v>0</v>
      </c>
      <c r="AA1763" t="str">
        <f t="shared" si="419"/>
        <v/>
      </c>
      <c r="AB1763" t="str">
        <f t="shared" si="420"/>
        <v/>
      </c>
      <c r="AC1763">
        <f>IF($A1763="",0,IF(COUNTIF($A$2:$A1763,$A1763)=1,1,0))</f>
        <v>0</v>
      </c>
      <c r="AD1763">
        <f t="shared" si="421"/>
        <v>21</v>
      </c>
      <c r="AE1763" t="str">
        <f t="shared" si="422"/>
        <v>上海江桥万达桔子水晶酒店项目|平均入住率（%）</v>
      </c>
    </row>
    <row r="1764" spans="1:31" x14ac:dyDescent="0.4">
      <c r="A1764" t="str">
        <f>IF(原始经营数据!$D1765="","",原始经营数据!$D1765)</f>
        <v>华泰紫金华住安住封闭式商业不动产证券投资基金</v>
      </c>
      <c r="B1764" t="str">
        <f>IF(原始经营数据!$D1765="","",T(原始经营数据!$E1765))</f>
        <v>广州天河体育中心美居酒店&amp;全季酒店项目</v>
      </c>
      <c r="C1764" t="str">
        <f>IF(原始经营数据!$D1765="","",原始经营数据!$F1765)</f>
        <v>2023</v>
      </c>
      <c r="D1764" t="str">
        <f>IF(原始经营数据!$D1765="","",原始经营数据!$H1765)</f>
        <v>平均入住率</v>
      </c>
      <c r="E1764">
        <f>IF(原始经营数据!$D1765="","",原始经营数据!$I1765)</f>
        <v>91.69</v>
      </c>
      <c r="F1764" t="str">
        <f>IF(原始经营数据!$D1765="","",T(原始经营数据!$J1765))</f>
        <v>%</v>
      </c>
      <c r="G1764" t="str">
        <f>IF(原始经营数据!$D1765="","",T(原始经营数据!$K1765))</f>
        <v>美居酒店</v>
      </c>
      <c r="H1764" t="str">
        <f>IF(原始经营数据!$D1765="","",原始经营数据!$G1765)</f>
        <v>服务效率</v>
      </c>
      <c r="I1764" t="str">
        <f>IF($A1764="","",IF($B1764&lt;&gt;"",$B1764,IF(COUNTIFS(原始经营数据!$D$3:$D$3001,$A1764,原始经营数据!$E$3:$E$3001,"",原始经营数据!$F$3:$F$3001,$C1764,原始经营数据!$H$3:$H$3001,$D1764,原始经营数据!$K$3:$K$3001,$G1764)&gt;1,"基金整体·来源"&amp;原始经营数据!$A1765,"基金整体")))</f>
        <v>广州天河体育中心美居酒店&amp;全季酒店项目</v>
      </c>
      <c r="J1764" t="str">
        <f t="shared" si="408"/>
        <v>年度</v>
      </c>
      <c r="K1764" t="str">
        <f t="shared" si="409"/>
        <v>平均入住率-美居酒店（%）</v>
      </c>
      <c r="L1764" t="str">
        <f t="shared" si="410"/>
        <v>广州天河体育中心美居酒店&amp;全季酒店项目|平均入住率-美居酒店（%）|年度</v>
      </c>
      <c r="M1764">
        <f>IF($A1764="",0,IF(COUNTIF($L$2:$L1764,$L1764)=1,1,0))</f>
        <v>1</v>
      </c>
      <c r="N1764">
        <f t="shared" si="411"/>
        <v>20230</v>
      </c>
      <c r="O1764" t="str">
        <f t="shared" si="412"/>
        <v>华泰紫金华住安住封闭式商业不动产证券投资基金|2023|年度</v>
      </c>
      <c r="P1764">
        <f>IF($A1764="",0,IF(COUNTIF($O$2:$O1764,$O1764)=1,1,0))</f>
        <v>0</v>
      </c>
      <c r="Q1764" t="str">
        <f>IF(AND($P1764=1,$A1764=经营数据!$B$3,$J1764=经营数据!$BA$5),COUNTIFS($P$2:$P$3000,1,$A$2:$A$3000,$A1764,$J$2:$J$3000,$J1764,$N$2:$N$3000,"&lt;"&amp;$N1764)+1,"")</f>
        <v/>
      </c>
      <c r="R1764" t="str">
        <f t="shared" si="413"/>
        <v>华泰紫金华住安住封闭式商业不动产证券投资基金|广州天河体育中心美居酒店&amp;全季酒店项目</v>
      </c>
      <c r="S1764">
        <f>IF($A1764="",0,IF(COUNTIF($R$2:$R1764,$R1764)=1,1,0))</f>
        <v>1</v>
      </c>
      <c r="T1764">
        <f t="shared" si="414"/>
        <v>1763</v>
      </c>
      <c r="U1764" t="str">
        <f>IF($A1764="","",IF($A1764=经营数据!$B$3,COUNTIFS($S$2:$S$3000,1,$A$2:$A$3000,$A1764,$T$2:$T$3000,"&lt;"&amp;$T1764)+1,""))</f>
        <v/>
      </c>
      <c r="V1764" t="str">
        <f t="shared" si="415"/>
        <v>广州天河体育中心美居酒店&amp;全季酒店项目|服务效率</v>
      </c>
      <c r="W1764">
        <f t="shared" si="416"/>
        <v>1763</v>
      </c>
      <c r="X1764" t="str">
        <f t="shared" si="417"/>
        <v>广州天河体育中心美居酒店&amp;全季酒店项目|平均入住率</v>
      </c>
      <c r="Y1764">
        <f t="shared" si="418"/>
        <v>1763</v>
      </c>
      <c r="Z1764">
        <f>IF($A1764="",0,IF(AND($M1764=1,$A1764=经营数据!$B$3,$J1764=经营数据!$BA$5,OR($I1764=经营数据!$BA$4,COUNTIF(经营数据!$AA$9:$AA$38,$I1764)&gt;0)),1,0))</f>
        <v>0</v>
      </c>
      <c r="AA1764" t="str">
        <f t="shared" si="419"/>
        <v/>
      </c>
      <c r="AB1764" t="str">
        <f t="shared" si="420"/>
        <v/>
      </c>
      <c r="AC1764">
        <f>IF($A1764="",0,IF(COUNTIF($A$2:$A1764,$A1764)=1,1,0))</f>
        <v>0</v>
      </c>
      <c r="AD1764">
        <f t="shared" si="421"/>
        <v>21</v>
      </c>
      <c r="AE1764" t="str">
        <f t="shared" si="422"/>
        <v>广州天河体育中心美居酒店&amp;全季酒店项目|平均入住率-美居酒店（%）</v>
      </c>
    </row>
    <row r="1765" spans="1:31" x14ac:dyDescent="0.4">
      <c r="A1765" t="str">
        <f>IF(原始经营数据!$D1766="","",原始经营数据!$D1766)</f>
        <v>华泰紫金华住安住封闭式商业不动产证券投资基金</v>
      </c>
      <c r="B1765" t="str">
        <f>IF(原始经营数据!$D1766="","",T(原始经营数据!$E1766))</f>
        <v>广州天河体育中心美居酒店&amp;全季酒店项目</v>
      </c>
      <c r="C1765" t="str">
        <f>IF(原始经营数据!$D1766="","",原始经营数据!$F1766)</f>
        <v>2023</v>
      </c>
      <c r="D1765" t="str">
        <f>IF(原始经营数据!$D1766="","",原始经营数据!$H1766)</f>
        <v>平均房价</v>
      </c>
      <c r="E1765">
        <f>IF(原始经营数据!$D1766="","",原始经营数据!$I1766)</f>
        <v>485.27</v>
      </c>
      <c r="F1765" t="str">
        <f>IF(原始经营数据!$D1766="","",T(原始经营数据!$J1766))</f>
        <v>元/间</v>
      </c>
      <c r="G1765" t="str">
        <f>IF(原始经营数据!$D1766="","",T(原始经营数据!$K1766))</f>
        <v>全季酒店</v>
      </c>
      <c r="H1765" t="str">
        <f>IF(原始经营数据!$D1766="","",原始经营数据!$G1766)</f>
        <v>服务价格</v>
      </c>
      <c r="I1765" t="str">
        <f>IF($A1765="","",IF($B1765&lt;&gt;"",$B1765,IF(COUNTIFS(原始经营数据!$D$3:$D$3001,$A1765,原始经营数据!$E$3:$E$3001,"",原始经营数据!$F$3:$F$3001,$C1765,原始经营数据!$H$3:$H$3001,$D1765,原始经营数据!$K$3:$K$3001,$G1765)&gt;1,"基金整体·来源"&amp;原始经营数据!$A1766,"基金整体")))</f>
        <v>广州天河体育中心美居酒店&amp;全季酒店项目</v>
      </c>
      <c r="J1765" t="str">
        <f t="shared" si="408"/>
        <v>年度</v>
      </c>
      <c r="K1765" t="str">
        <f t="shared" si="409"/>
        <v>平均房价-全季酒店（元/间）</v>
      </c>
      <c r="L1765" t="str">
        <f t="shared" si="410"/>
        <v>广州天河体育中心美居酒店&amp;全季酒店项目|平均房价-全季酒店（元/间）|年度</v>
      </c>
      <c r="M1765">
        <f>IF($A1765="",0,IF(COUNTIF($L$2:$L1765,$L1765)=1,1,0))</f>
        <v>1</v>
      </c>
      <c r="N1765">
        <f t="shared" si="411"/>
        <v>20230</v>
      </c>
      <c r="O1765" t="str">
        <f t="shared" si="412"/>
        <v>华泰紫金华住安住封闭式商业不动产证券投资基金|2023|年度</v>
      </c>
      <c r="P1765">
        <f>IF($A1765="",0,IF(COUNTIF($O$2:$O1765,$O1765)=1,1,0))</f>
        <v>0</v>
      </c>
      <c r="Q1765" t="str">
        <f>IF(AND($P1765=1,$A1765=经营数据!$B$3,$J1765=经营数据!$BA$5),COUNTIFS($P$2:$P$3000,1,$A$2:$A$3000,$A1765,$J$2:$J$3000,$J1765,$N$2:$N$3000,"&lt;"&amp;$N1765)+1,"")</f>
        <v/>
      </c>
      <c r="R1765" t="str">
        <f t="shared" si="413"/>
        <v>华泰紫金华住安住封闭式商业不动产证券投资基金|广州天河体育中心美居酒店&amp;全季酒店项目</v>
      </c>
      <c r="S1765">
        <f>IF($A1765="",0,IF(COUNTIF($R$2:$R1765,$R1765)=1,1,0))</f>
        <v>0</v>
      </c>
      <c r="T1765">
        <f t="shared" si="414"/>
        <v>1763</v>
      </c>
      <c r="U1765" t="str">
        <f>IF($A1765="","",IF($A1765=经营数据!$B$3,COUNTIFS($S$2:$S$3000,1,$A$2:$A$3000,$A1765,$T$2:$T$3000,"&lt;"&amp;$T1765)+1,""))</f>
        <v/>
      </c>
      <c r="V1765" t="str">
        <f t="shared" si="415"/>
        <v>广州天河体育中心美居酒店&amp;全季酒店项目|服务价格</v>
      </c>
      <c r="W1765">
        <f t="shared" si="416"/>
        <v>1764</v>
      </c>
      <c r="X1765" t="str">
        <f t="shared" si="417"/>
        <v>广州天河体育中心美居酒店&amp;全季酒店项目|平均房价</v>
      </c>
      <c r="Y1765">
        <f t="shared" si="418"/>
        <v>1764</v>
      </c>
      <c r="Z1765">
        <f>IF($A1765="",0,IF(AND($M1765=1,$A1765=经营数据!$B$3,$J1765=经营数据!$BA$5,OR($I1765=经营数据!$BA$4,COUNTIF(经营数据!$AA$9:$AA$38,$I1765)&gt;0)),1,0))</f>
        <v>0</v>
      </c>
      <c r="AA1765" t="str">
        <f t="shared" si="419"/>
        <v/>
      </c>
      <c r="AB1765" t="str">
        <f t="shared" si="420"/>
        <v/>
      </c>
      <c r="AC1765">
        <f>IF($A1765="",0,IF(COUNTIF($A$2:$A1765,$A1765)=1,1,0))</f>
        <v>0</v>
      </c>
      <c r="AD1765">
        <f t="shared" si="421"/>
        <v>21</v>
      </c>
      <c r="AE1765" t="str">
        <f t="shared" si="422"/>
        <v>广州天河体育中心美居酒店&amp;全季酒店项目|平均房价-全季酒店（元/间）</v>
      </c>
    </row>
    <row r="1766" spans="1:31" x14ac:dyDescent="0.4">
      <c r="A1766" t="str">
        <f>IF(原始经营数据!$D1767="","",原始经营数据!$D1767)</f>
        <v>华泰紫金华住安住封闭式商业不动产证券投资基金</v>
      </c>
      <c r="B1766" t="str">
        <f>IF(原始经营数据!$D1767="","",T(原始经营数据!$E1767))</f>
        <v>广州天河体育中心美居酒店&amp;全季酒店项目</v>
      </c>
      <c r="C1766" t="str">
        <f>IF(原始经营数据!$D1767="","",原始经营数据!$F1767)</f>
        <v>2023</v>
      </c>
      <c r="D1766" t="str">
        <f>IF(原始经营数据!$D1767="","",原始经营数据!$H1767)</f>
        <v>平均入住率</v>
      </c>
      <c r="E1766">
        <f>IF(原始经营数据!$D1767="","",原始经营数据!$I1767)</f>
        <v>91</v>
      </c>
      <c r="F1766" t="str">
        <f>IF(原始经营数据!$D1767="","",T(原始经营数据!$J1767))</f>
        <v>%</v>
      </c>
      <c r="G1766" t="str">
        <f>IF(原始经营数据!$D1767="","",T(原始经营数据!$K1767))</f>
        <v>全季酒店</v>
      </c>
      <c r="H1766" t="str">
        <f>IF(原始经营数据!$D1767="","",原始经营数据!$G1767)</f>
        <v>服务效率</v>
      </c>
      <c r="I1766" t="str">
        <f>IF($A1766="","",IF($B1766&lt;&gt;"",$B1766,IF(COUNTIFS(原始经营数据!$D$3:$D$3001,$A1766,原始经营数据!$E$3:$E$3001,"",原始经营数据!$F$3:$F$3001,$C1766,原始经营数据!$H$3:$H$3001,$D1766,原始经营数据!$K$3:$K$3001,$G1766)&gt;1,"基金整体·来源"&amp;原始经营数据!$A1767,"基金整体")))</f>
        <v>广州天河体育中心美居酒店&amp;全季酒店项目</v>
      </c>
      <c r="J1766" t="str">
        <f t="shared" si="408"/>
        <v>年度</v>
      </c>
      <c r="K1766" t="str">
        <f t="shared" si="409"/>
        <v>平均入住率-全季酒店（%）</v>
      </c>
      <c r="L1766" t="str">
        <f t="shared" si="410"/>
        <v>广州天河体育中心美居酒店&amp;全季酒店项目|平均入住率-全季酒店（%）|年度</v>
      </c>
      <c r="M1766">
        <f>IF($A1766="",0,IF(COUNTIF($L$2:$L1766,$L1766)=1,1,0))</f>
        <v>1</v>
      </c>
      <c r="N1766">
        <f t="shared" si="411"/>
        <v>20230</v>
      </c>
      <c r="O1766" t="str">
        <f t="shared" si="412"/>
        <v>华泰紫金华住安住封闭式商业不动产证券投资基金|2023|年度</v>
      </c>
      <c r="P1766">
        <f>IF($A1766="",0,IF(COUNTIF($O$2:$O1766,$O1766)=1,1,0))</f>
        <v>0</v>
      </c>
      <c r="Q1766" t="str">
        <f>IF(AND($P1766=1,$A1766=经营数据!$B$3,$J1766=经营数据!$BA$5),COUNTIFS($P$2:$P$3000,1,$A$2:$A$3000,$A1766,$J$2:$J$3000,$J1766,$N$2:$N$3000,"&lt;"&amp;$N1766)+1,"")</f>
        <v/>
      </c>
      <c r="R1766" t="str">
        <f t="shared" si="413"/>
        <v>华泰紫金华住安住封闭式商业不动产证券投资基金|广州天河体育中心美居酒店&amp;全季酒店项目</v>
      </c>
      <c r="S1766">
        <f>IF($A1766="",0,IF(COUNTIF($R$2:$R1766,$R1766)=1,1,0))</f>
        <v>0</v>
      </c>
      <c r="T1766">
        <f t="shared" si="414"/>
        <v>1763</v>
      </c>
      <c r="U1766" t="str">
        <f>IF($A1766="","",IF($A1766=经营数据!$B$3,COUNTIFS($S$2:$S$3000,1,$A$2:$A$3000,$A1766,$T$2:$T$3000,"&lt;"&amp;$T1766)+1,""))</f>
        <v/>
      </c>
      <c r="V1766" t="str">
        <f t="shared" si="415"/>
        <v>广州天河体育中心美居酒店&amp;全季酒店项目|服务效率</v>
      </c>
      <c r="W1766">
        <f t="shared" si="416"/>
        <v>1763</v>
      </c>
      <c r="X1766" t="str">
        <f t="shared" si="417"/>
        <v>广州天河体育中心美居酒店&amp;全季酒店项目|平均入住率</v>
      </c>
      <c r="Y1766">
        <f t="shared" si="418"/>
        <v>1763</v>
      </c>
      <c r="Z1766">
        <f>IF($A1766="",0,IF(AND($M1766=1,$A1766=经营数据!$B$3,$J1766=经营数据!$BA$5,OR($I1766=经营数据!$BA$4,COUNTIF(经营数据!$AA$9:$AA$38,$I1766)&gt;0)),1,0))</f>
        <v>0</v>
      </c>
      <c r="AA1766" t="str">
        <f t="shared" si="419"/>
        <v/>
      </c>
      <c r="AB1766" t="str">
        <f t="shared" si="420"/>
        <v/>
      </c>
      <c r="AC1766">
        <f>IF($A1766="",0,IF(COUNTIF($A$2:$A1766,$A1766)=1,1,0))</f>
        <v>0</v>
      </c>
      <c r="AD1766">
        <f t="shared" si="421"/>
        <v>21</v>
      </c>
      <c r="AE1766" t="str">
        <f t="shared" si="422"/>
        <v>广州天河体育中心美居酒店&amp;全季酒店项目|平均入住率-全季酒店（%）</v>
      </c>
    </row>
    <row r="1767" spans="1:31" x14ac:dyDescent="0.4">
      <c r="A1767" t="str">
        <f>IF(原始经营数据!$D1768="","",原始经营数据!$D1768)</f>
        <v>华泰紫金华住安住封闭式商业不动产证券投资基金</v>
      </c>
      <c r="B1767" t="str">
        <f>IF(原始经营数据!$D1768="","",T(原始经营数据!$E1768))</f>
        <v>广州天河体育中心美居酒店&amp;全季酒店项目</v>
      </c>
      <c r="C1767" t="str">
        <f>IF(原始经营数据!$D1768="","",原始经营数据!$F1768)</f>
        <v>2023</v>
      </c>
      <c r="D1767" t="str">
        <f>IF(原始经营数据!$D1768="","",原始经营数据!$H1768)</f>
        <v>平均房价</v>
      </c>
      <c r="E1767">
        <f>IF(原始经营数据!$D1768="","",原始经营数据!$I1768)</f>
        <v>522.03</v>
      </c>
      <c r="F1767" t="str">
        <f>IF(原始经营数据!$D1768="","",T(原始经营数据!$J1768))</f>
        <v>元/间</v>
      </c>
      <c r="G1767" t="str">
        <f>IF(原始经营数据!$D1768="","",T(原始经营数据!$K1768))</f>
        <v>美居酒店</v>
      </c>
      <c r="H1767" t="str">
        <f>IF(原始经营数据!$D1768="","",原始经营数据!$G1768)</f>
        <v>服务价格</v>
      </c>
      <c r="I1767" t="str">
        <f>IF($A1767="","",IF($B1767&lt;&gt;"",$B1767,IF(COUNTIFS(原始经营数据!$D$3:$D$3001,$A1767,原始经营数据!$E$3:$E$3001,"",原始经营数据!$F$3:$F$3001,$C1767,原始经营数据!$H$3:$H$3001,$D1767,原始经营数据!$K$3:$K$3001,$G1767)&gt;1,"基金整体·来源"&amp;原始经营数据!$A1768,"基金整体")))</f>
        <v>广州天河体育中心美居酒店&amp;全季酒店项目</v>
      </c>
      <c r="J1767" t="str">
        <f t="shared" si="408"/>
        <v>年度</v>
      </c>
      <c r="K1767" t="str">
        <f t="shared" si="409"/>
        <v>平均房价-美居酒店（元/间）</v>
      </c>
      <c r="L1767" t="str">
        <f t="shared" si="410"/>
        <v>广州天河体育中心美居酒店&amp;全季酒店项目|平均房价-美居酒店（元/间）|年度</v>
      </c>
      <c r="M1767">
        <f>IF($A1767="",0,IF(COUNTIF($L$2:$L1767,$L1767)=1,1,0))</f>
        <v>1</v>
      </c>
      <c r="N1767">
        <f t="shared" si="411"/>
        <v>20230</v>
      </c>
      <c r="O1767" t="str">
        <f t="shared" si="412"/>
        <v>华泰紫金华住安住封闭式商业不动产证券投资基金|2023|年度</v>
      </c>
      <c r="P1767">
        <f>IF($A1767="",0,IF(COUNTIF($O$2:$O1767,$O1767)=1,1,0))</f>
        <v>0</v>
      </c>
      <c r="Q1767" t="str">
        <f>IF(AND($P1767=1,$A1767=经营数据!$B$3,$J1767=经营数据!$BA$5),COUNTIFS($P$2:$P$3000,1,$A$2:$A$3000,$A1767,$J$2:$J$3000,$J1767,$N$2:$N$3000,"&lt;"&amp;$N1767)+1,"")</f>
        <v/>
      </c>
      <c r="R1767" t="str">
        <f t="shared" si="413"/>
        <v>华泰紫金华住安住封闭式商业不动产证券投资基金|广州天河体育中心美居酒店&amp;全季酒店项目</v>
      </c>
      <c r="S1767">
        <f>IF($A1767="",0,IF(COUNTIF($R$2:$R1767,$R1767)=1,1,0))</f>
        <v>0</v>
      </c>
      <c r="T1767">
        <f t="shared" si="414"/>
        <v>1763</v>
      </c>
      <c r="U1767" t="str">
        <f>IF($A1767="","",IF($A1767=经营数据!$B$3,COUNTIFS($S$2:$S$3000,1,$A$2:$A$3000,$A1767,$T$2:$T$3000,"&lt;"&amp;$T1767)+1,""))</f>
        <v/>
      </c>
      <c r="V1767" t="str">
        <f t="shared" si="415"/>
        <v>广州天河体育中心美居酒店&amp;全季酒店项目|服务价格</v>
      </c>
      <c r="W1767">
        <f t="shared" si="416"/>
        <v>1764</v>
      </c>
      <c r="X1767" t="str">
        <f t="shared" si="417"/>
        <v>广州天河体育中心美居酒店&amp;全季酒店项目|平均房价</v>
      </c>
      <c r="Y1767">
        <f t="shared" si="418"/>
        <v>1764</v>
      </c>
      <c r="Z1767">
        <f>IF($A1767="",0,IF(AND($M1767=1,$A1767=经营数据!$B$3,$J1767=经营数据!$BA$5,OR($I1767=经营数据!$BA$4,COUNTIF(经营数据!$AA$9:$AA$38,$I1767)&gt;0)),1,0))</f>
        <v>0</v>
      </c>
      <c r="AA1767" t="str">
        <f t="shared" si="419"/>
        <v/>
      </c>
      <c r="AB1767" t="str">
        <f t="shared" si="420"/>
        <v/>
      </c>
      <c r="AC1767">
        <f>IF($A1767="",0,IF(COUNTIF($A$2:$A1767,$A1767)=1,1,0))</f>
        <v>0</v>
      </c>
      <c r="AD1767">
        <f t="shared" si="421"/>
        <v>21</v>
      </c>
      <c r="AE1767" t="str">
        <f t="shared" si="422"/>
        <v>广州天河体育中心美居酒店&amp;全季酒店项目|平均房价-美居酒店（元/间）</v>
      </c>
    </row>
    <row r="1768" spans="1:31" x14ac:dyDescent="0.4">
      <c r="A1768" t="str">
        <f>IF(原始经营数据!$D1769="","",原始经营数据!$D1769)</f>
        <v>华泰紫金华住安住封闭式商业不动产证券投资基金</v>
      </c>
      <c r="B1768" t="str">
        <f>IF(原始经营数据!$D1769="","",T(原始经营数据!$E1769))</f>
        <v>广州天河体育中心美居酒店&amp;全季酒店项目</v>
      </c>
      <c r="C1768" t="str">
        <f>IF(原始经营数据!$D1769="","",原始经营数据!$F1769)</f>
        <v>2024</v>
      </c>
      <c r="D1768" t="str">
        <f>IF(原始经营数据!$D1769="","",原始经营数据!$H1769)</f>
        <v>平均房价</v>
      </c>
      <c r="E1768">
        <f>IF(原始经营数据!$D1769="","",原始经营数据!$I1769)</f>
        <v>502.25</v>
      </c>
      <c r="F1768" t="str">
        <f>IF(原始经营数据!$D1769="","",T(原始经营数据!$J1769))</f>
        <v>元/间</v>
      </c>
      <c r="G1768" t="str">
        <f>IF(原始经营数据!$D1769="","",T(原始经营数据!$K1769))</f>
        <v>美居酒店</v>
      </c>
      <c r="H1768" t="str">
        <f>IF(原始经营数据!$D1769="","",原始经营数据!$G1769)</f>
        <v>服务价格</v>
      </c>
      <c r="I1768" t="str">
        <f>IF($A1768="","",IF($B1768&lt;&gt;"",$B1768,IF(COUNTIFS(原始经营数据!$D$3:$D$3001,$A1768,原始经营数据!$E$3:$E$3001,"",原始经营数据!$F$3:$F$3001,$C1768,原始经营数据!$H$3:$H$3001,$D1768,原始经营数据!$K$3:$K$3001,$G1768)&gt;1,"基金整体·来源"&amp;原始经营数据!$A1769,"基金整体")))</f>
        <v>广州天河体育中心美居酒店&amp;全季酒店项目</v>
      </c>
      <c r="J1768" t="str">
        <f t="shared" si="408"/>
        <v>年度</v>
      </c>
      <c r="K1768" t="str">
        <f t="shared" si="409"/>
        <v>平均房价-美居酒店（元/间）</v>
      </c>
      <c r="L1768" t="str">
        <f t="shared" si="410"/>
        <v>广州天河体育中心美居酒店&amp;全季酒店项目|平均房价-美居酒店（元/间）|年度</v>
      </c>
      <c r="M1768">
        <f>IF($A1768="",0,IF(COUNTIF($L$2:$L1768,$L1768)=1,1,0))</f>
        <v>0</v>
      </c>
      <c r="N1768">
        <f t="shared" si="411"/>
        <v>20240</v>
      </c>
      <c r="O1768" t="str">
        <f t="shared" si="412"/>
        <v>华泰紫金华住安住封闭式商业不动产证券投资基金|2024|年度</v>
      </c>
      <c r="P1768">
        <f>IF($A1768="",0,IF(COUNTIF($O$2:$O1768,$O1768)=1,1,0))</f>
        <v>0</v>
      </c>
      <c r="Q1768" t="str">
        <f>IF(AND($P1768=1,$A1768=经营数据!$B$3,$J1768=经营数据!$BA$5),COUNTIFS($P$2:$P$3000,1,$A$2:$A$3000,$A1768,$J$2:$J$3000,$J1768,$N$2:$N$3000,"&lt;"&amp;$N1768)+1,"")</f>
        <v/>
      </c>
      <c r="R1768" t="str">
        <f t="shared" si="413"/>
        <v>华泰紫金华住安住封闭式商业不动产证券投资基金|广州天河体育中心美居酒店&amp;全季酒店项目</v>
      </c>
      <c r="S1768">
        <f>IF($A1768="",0,IF(COUNTIF($R$2:$R1768,$R1768)=1,1,0))</f>
        <v>0</v>
      </c>
      <c r="T1768">
        <f t="shared" si="414"/>
        <v>1763</v>
      </c>
      <c r="U1768" t="str">
        <f>IF($A1768="","",IF($A1768=经营数据!$B$3,COUNTIFS($S$2:$S$3000,1,$A$2:$A$3000,$A1768,$T$2:$T$3000,"&lt;"&amp;$T1768)+1,""))</f>
        <v/>
      </c>
      <c r="V1768" t="str">
        <f t="shared" si="415"/>
        <v>广州天河体育中心美居酒店&amp;全季酒店项目|服务价格</v>
      </c>
      <c r="W1768">
        <f t="shared" si="416"/>
        <v>1764</v>
      </c>
      <c r="X1768" t="str">
        <f t="shared" si="417"/>
        <v>广州天河体育中心美居酒店&amp;全季酒店项目|平均房价</v>
      </c>
      <c r="Y1768">
        <f t="shared" si="418"/>
        <v>1764</v>
      </c>
      <c r="Z1768">
        <f>IF($A1768="",0,IF(AND($M1768=1,$A1768=经营数据!$B$3,$J1768=经营数据!$BA$5,OR($I1768=经营数据!$BA$4,COUNTIF(经营数据!$AA$9:$AA$38,$I1768)&gt;0)),1,0))</f>
        <v>0</v>
      </c>
      <c r="AA1768" t="str">
        <f t="shared" si="419"/>
        <v/>
      </c>
      <c r="AB1768" t="str">
        <f t="shared" si="420"/>
        <v/>
      </c>
      <c r="AC1768">
        <f>IF($A1768="",0,IF(COUNTIF($A$2:$A1768,$A1768)=1,1,0))</f>
        <v>0</v>
      </c>
      <c r="AD1768">
        <f t="shared" si="421"/>
        <v>21</v>
      </c>
      <c r="AE1768" t="str">
        <f t="shared" si="422"/>
        <v>广州天河体育中心美居酒店&amp;全季酒店项目|平均房价-美居酒店（元/间）</v>
      </c>
    </row>
    <row r="1769" spans="1:31" x14ac:dyDescent="0.4">
      <c r="A1769" t="str">
        <f>IF(原始经营数据!$D1770="","",原始经营数据!$D1770)</f>
        <v>华泰紫金华住安住封闭式商业不动产证券投资基金</v>
      </c>
      <c r="B1769" t="str">
        <f>IF(原始经营数据!$D1770="","",T(原始经营数据!$E1770))</f>
        <v>广州天河体育中心美居酒店&amp;全季酒店项目</v>
      </c>
      <c r="C1769" t="str">
        <f>IF(原始经营数据!$D1770="","",原始经营数据!$F1770)</f>
        <v>2024</v>
      </c>
      <c r="D1769" t="str">
        <f>IF(原始经营数据!$D1770="","",原始经营数据!$H1770)</f>
        <v>平均入住率</v>
      </c>
      <c r="E1769">
        <f>IF(原始经营数据!$D1770="","",原始经营数据!$I1770)</f>
        <v>96.22</v>
      </c>
      <c r="F1769" t="str">
        <f>IF(原始经营数据!$D1770="","",T(原始经营数据!$J1770))</f>
        <v>%</v>
      </c>
      <c r="G1769" t="str">
        <f>IF(原始经营数据!$D1770="","",T(原始经营数据!$K1770))</f>
        <v>美居酒店</v>
      </c>
      <c r="H1769" t="str">
        <f>IF(原始经营数据!$D1770="","",原始经营数据!$G1770)</f>
        <v>服务效率</v>
      </c>
      <c r="I1769" t="str">
        <f>IF($A1769="","",IF($B1769&lt;&gt;"",$B1769,IF(COUNTIFS(原始经营数据!$D$3:$D$3001,$A1769,原始经营数据!$E$3:$E$3001,"",原始经营数据!$F$3:$F$3001,$C1769,原始经营数据!$H$3:$H$3001,$D1769,原始经营数据!$K$3:$K$3001,$G1769)&gt;1,"基金整体·来源"&amp;原始经营数据!$A1770,"基金整体")))</f>
        <v>广州天河体育中心美居酒店&amp;全季酒店项目</v>
      </c>
      <c r="J1769" t="str">
        <f t="shared" si="408"/>
        <v>年度</v>
      </c>
      <c r="K1769" t="str">
        <f t="shared" si="409"/>
        <v>平均入住率-美居酒店（%）</v>
      </c>
      <c r="L1769" t="str">
        <f t="shared" si="410"/>
        <v>广州天河体育中心美居酒店&amp;全季酒店项目|平均入住率-美居酒店（%）|年度</v>
      </c>
      <c r="M1769">
        <f>IF($A1769="",0,IF(COUNTIF($L$2:$L1769,$L1769)=1,1,0))</f>
        <v>0</v>
      </c>
      <c r="N1769">
        <f t="shared" si="411"/>
        <v>20240</v>
      </c>
      <c r="O1769" t="str">
        <f t="shared" si="412"/>
        <v>华泰紫金华住安住封闭式商业不动产证券投资基金|2024|年度</v>
      </c>
      <c r="P1769">
        <f>IF($A1769="",0,IF(COUNTIF($O$2:$O1769,$O1769)=1,1,0))</f>
        <v>0</v>
      </c>
      <c r="Q1769" t="str">
        <f>IF(AND($P1769=1,$A1769=经营数据!$B$3,$J1769=经营数据!$BA$5),COUNTIFS($P$2:$P$3000,1,$A$2:$A$3000,$A1769,$J$2:$J$3000,$J1769,$N$2:$N$3000,"&lt;"&amp;$N1769)+1,"")</f>
        <v/>
      </c>
      <c r="R1769" t="str">
        <f t="shared" si="413"/>
        <v>华泰紫金华住安住封闭式商业不动产证券投资基金|广州天河体育中心美居酒店&amp;全季酒店项目</v>
      </c>
      <c r="S1769">
        <f>IF($A1769="",0,IF(COUNTIF($R$2:$R1769,$R1769)=1,1,0))</f>
        <v>0</v>
      </c>
      <c r="T1769">
        <f t="shared" si="414"/>
        <v>1763</v>
      </c>
      <c r="U1769" t="str">
        <f>IF($A1769="","",IF($A1769=经营数据!$B$3,COUNTIFS($S$2:$S$3000,1,$A$2:$A$3000,$A1769,$T$2:$T$3000,"&lt;"&amp;$T1769)+1,""))</f>
        <v/>
      </c>
      <c r="V1769" t="str">
        <f t="shared" si="415"/>
        <v>广州天河体育中心美居酒店&amp;全季酒店项目|服务效率</v>
      </c>
      <c r="W1769">
        <f t="shared" si="416"/>
        <v>1763</v>
      </c>
      <c r="X1769" t="str">
        <f t="shared" si="417"/>
        <v>广州天河体育中心美居酒店&amp;全季酒店项目|平均入住率</v>
      </c>
      <c r="Y1769">
        <f t="shared" si="418"/>
        <v>1763</v>
      </c>
      <c r="Z1769">
        <f>IF($A1769="",0,IF(AND($M1769=1,$A1769=经营数据!$B$3,$J1769=经营数据!$BA$5,OR($I1769=经营数据!$BA$4,COUNTIF(经营数据!$AA$9:$AA$38,$I1769)&gt;0)),1,0))</f>
        <v>0</v>
      </c>
      <c r="AA1769" t="str">
        <f t="shared" si="419"/>
        <v/>
      </c>
      <c r="AB1769" t="str">
        <f t="shared" si="420"/>
        <v/>
      </c>
      <c r="AC1769">
        <f>IF($A1769="",0,IF(COUNTIF($A$2:$A1769,$A1769)=1,1,0))</f>
        <v>0</v>
      </c>
      <c r="AD1769">
        <f t="shared" si="421"/>
        <v>21</v>
      </c>
      <c r="AE1769" t="str">
        <f t="shared" si="422"/>
        <v>广州天河体育中心美居酒店&amp;全季酒店项目|平均入住率-美居酒店（%）</v>
      </c>
    </row>
    <row r="1770" spans="1:31" x14ac:dyDescent="0.4">
      <c r="A1770" t="str">
        <f>IF(原始经营数据!$D1771="","",原始经营数据!$D1771)</f>
        <v>华泰紫金华住安住封闭式商业不动产证券投资基金</v>
      </c>
      <c r="B1770" t="str">
        <f>IF(原始经营数据!$D1771="","",T(原始经营数据!$E1771))</f>
        <v>广州天河体育中心美居酒店&amp;全季酒店项目</v>
      </c>
      <c r="C1770" t="str">
        <f>IF(原始经营数据!$D1771="","",原始经营数据!$F1771)</f>
        <v>2024</v>
      </c>
      <c r="D1770" t="str">
        <f>IF(原始经营数据!$D1771="","",原始经营数据!$H1771)</f>
        <v>平均房价</v>
      </c>
      <c r="E1770">
        <f>IF(原始经营数据!$D1771="","",原始经营数据!$I1771)</f>
        <v>471.71</v>
      </c>
      <c r="F1770" t="str">
        <f>IF(原始经营数据!$D1771="","",T(原始经营数据!$J1771))</f>
        <v>元/间</v>
      </c>
      <c r="G1770" t="str">
        <f>IF(原始经营数据!$D1771="","",T(原始经营数据!$K1771))</f>
        <v>全季酒店</v>
      </c>
      <c r="H1770" t="str">
        <f>IF(原始经营数据!$D1771="","",原始经营数据!$G1771)</f>
        <v>服务价格</v>
      </c>
      <c r="I1770" t="str">
        <f>IF($A1770="","",IF($B1770&lt;&gt;"",$B1770,IF(COUNTIFS(原始经营数据!$D$3:$D$3001,$A1770,原始经营数据!$E$3:$E$3001,"",原始经营数据!$F$3:$F$3001,$C1770,原始经营数据!$H$3:$H$3001,$D1770,原始经营数据!$K$3:$K$3001,$G1770)&gt;1,"基金整体·来源"&amp;原始经营数据!$A1771,"基金整体")))</f>
        <v>广州天河体育中心美居酒店&amp;全季酒店项目</v>
      </c>
      <c r="J1770" t="str">
        <f t="shared" si="408"/>
        <v>年度</v>
      </c>
      <c r="K1770" t="str">
        <f t="shared" si="409"/>
        <v>平均房价-全季酒店（元/间）</v>
      </c>
      <c r="L1770" t="str">
        <f t="shared" si="410"/>
        <v>广州天河体育中心美居酒店&amp;全季酒店项目|平均房价-全季酒店（元/间）|年度</v>
      </c>
      <c r="M1770">
        <f>IF($A1770="",0,IF(COUNTIF($L$2:$L1770,$L1770)=1,1,0))</f>
        <v>0</v>
      </c>
      <c r="N1770">
        <f t="shared" si="411"/>
        <v>20240</v>
      </c>
      <c r="O1770" t="str">
        <f t="shared" si="412"/>
        <v>华泰紫金华住安住封闭式商业不动产证券投资基金|2024|年度</v>
      </c>
      <c r="P1770">
        <f>IF($A1770="",0,IF(COUNTIF($O$2:$O1770,$O1770)=1,1,0))</f>
        <v>0</v>
      </c>
      <c r="Q1770" t="str">
        <f>IF(AND($P1770=1,$A1770=经营数据!$B$3,$J1770=经营数据!$BA$5),COUNTIFS($P$2:$P$3000,1,$A$2:$A$3000,$A1770,$J$2:$J$3000,$J1770,$N$2:$N$3000,"&lt;"&amp;$N1770)+1,"")</f>
        <v/>
      </c>
      <c r="R1770" t="str">
        <f t="shared" si="413"/>
        <v>华泰紫金华住安住封闭式商业不动产证券投资基金|广州天河体育中心美居酒店&amp;全季酒店项目</v>
      </c>
      <c r="S1770">
        <f>IF($A1770="",0,IF(COUNTIF($R$2:$R1770,$R1770)=1,1,0))</f>
        <v>0</v>
      </c>
      <c r="T1770">
        <f t="shared" si="414"/>
        <v>1763</v>
      </c>
      <c r="U1770" t="str">
        <f>IF($A1770="","",IF($A1770=经营数据!$B$3,COUNTIFS($S$2:$S$3000,1,$A$2:$A$3000,$A1770,$T$2:$T$3000,"&lt;"&amp;$T1770)+1,""))</f>
        <v/>
      </c>
      <c r="V1770" t="str">
        <f t="shared" si="415"/>
        <v>广州天河体育中心美居酒店&amp;全季酒店项目|服务价格</v>
      </c>
      <c r="W1770">
        <f t="shared" si="416"/>
        <v>1764</v>
      </c>
      <c r="X1770" t="str">
        <f t="shared" si="417"/>
        <v>广州天河体育中心美居酒店&amp;全季酒店项目|平均房价</v>
      </c>
      <c r="Y1770">
        <f t="shared" si="418"/>
        <v>1764</v>
      </c>
      <c r="Z1770">
        <f>IF($A1770="",0,IF(AND($M1770=1,$A1770=经营数据!$B$3,$J1770=经营数据!$BA$5,OR($I1770=经营数据!$BA$4,COUNTIF(经营数据!$AA$9:$AA$38,$I1770)&gt;0)),1,0))</f>
        <v>0</v>
      </c>
      <c r="AA1770" t="str">
        <f t="shared" si="419"/>
        <v/>
      </c>
      <c r="AB1770" t="str">
        <f t="shared" si="420"/>
        <v/>
      </c>
      <c r="AC1770">
        <f>IF($A1770="",0,IF(COUNTIF($A$2:$A1770,$A1770)=1,1,0))</f>
        <v>0</v>
      </c>
      <c r="AD1770">
        <f t="shared" si="421"/>
        <v>21</v>
      </c>
      <c r="AE1770" t="str">
        <f t="shared" si="422"/>
        <v>广州天河体育中心美居酒店&amp;全季酒店项目|平均房价-全季酒店（元/间）</v>
      </c>
    </row>
    <row r="1771" spans="1:31" x14ac:dyDescent="0.4">
      <c r="A1771" t="str">
        <f>IF(原始经营数据!$D1772="","",原始经营数据!$D1772)</f>
        <v>华泰紫金华住安住封闭式商业不动产证券投资基金</v>
      </c>
      <c r="B1771" t="str">
        <f>IF(原始经营数据!$D1772="","",T(原始经营数据!$E1772))</f>
        <v>广州天河体育中心美居酒店&amp;全季酒店项目</v>
      </c>
      <c r="C1771" t="str">
        <f>IF(原始经营数据!$D1772="","",原始经营数据!$F1772)</f>
        <v>2024</v>
      </c>
      <c r="D1771" t="str">
        <f>IF(原始经营数据!$D1772="","",原始经营数据!$H1772)</f>
        <v>平均入住率</v>
      </c>
      <c r="E1771">
        <f>IF(原始经营数据!$D1772="","",原始经营数据!$I1772)</f>
        <v>97.54</v>
      </c>
      <c r="F1771" t="str">
        <f>IF(原始经营数据!$D1772="","",T(原始经营数据!$J1772))</f>
        <v>%</v>
      </c>
      <c r="G1771" t="str">
        <f>IF(原始经营数据!$D1772="","",T(原始经营数据!$K1772))</f>
        <v>全季酒店</v>
      </c>
      <c r="H1771" t="str">
        <f>IF(原始经营数据!$D1772="","",原始经营数据!$G1772)</f>
        <v>服务效率</v>
      </c>
      <c r="I1771" t="str">
        <f>IF($A1771="","",IF($B1771&lt;&gt;"",$B1771,IF(COUNTIFS(原始经营数据!$D$3:$D$3001,$A1771,原始经营数据!$E$3:$E$3001,"",原始经营数据!$F$3:$F$3001,$C1771,原始经营数据!$H$3:$H$3001,$D1771,原始经营数据!$K$3:$K$3001,$G1771)&gt;1,"基金整体·来源"&amp;原始经营数据!$A1772,"基金整体")))</f>
        <v>广州天河体育中心美居酒店&amp;全季酒店项目</v>
      </c>
      <c r="J1771" t="str">
        <f t="shared" si="408"/>
        <v>年度</v>
      </c>
      <c r="K1771" t="str">
        <f t="shared" si="409"/>
        <v>平均入住率-全季酒店（%）</v>
      </c>
      <c r="L1771" t="str">
        <f t="shared" si="410"/>
        <v>广州天河体育中心美居酒店&amp;全季酒店项目|平均入住率-全季酒店（%）|年度</v>
      </c>
      <c r="M1771">
        <f>IF($A1771="",0,IF(COUNTIF($L$2:$L1771,$L1771)=1,1,0))</f>
        <v>0</v>
      </c>
      <c r="N1771">
        <f t="shared" si="411"/>
        <v>20240</v>
      </c>
      <c r="O1771" t="str">
        <f t="shared" si="412"/>
        <v>华泰紫金华住安住封闭式商业不动产证券投资基金|2024|年度</v>
      </c>
      <c r="P1771">
        <f>IF($A1771="",0,IF(COUNTIF($O$2:$O1771,$O1771)=1,1,0))</f>
        <v>0</v>
      </c>
      <c r="Q1771" t="str">
        <f>IF(AND($P1771=1,$A1771=经营数据!$B$3,$J1771=经营数据!$BA$5),COUNTIFS($P$2:$P$3000,1,$A$2:$A$3000,$A1771,$J$2:$J$3000,$J1771,$N$2:$N$3000,"&lt;"&amp;$N1771)+1,"")</f>
        <v/>
      </c>
      <c r="R1771" t="str">
        <f t="shared" si="413"/>
        <v>华泰紫金华住安住封闭式商业不动产证券投资基金|广州天河体育中心美居酒店&amp;全季酒店项目</v>
      </c>
      <c r="S1771">
        <f>IF($A1771="",0,IF(COUNTIF($R$2:$R1771,$R1771)=1,1,0))</f>
        <v>0</v>
      </c>
      <c r="T1771">
        <f t="shared" si="414"/>
        <v>1763</v>
      </c>
      <c r="U1771" t="str">
        <f>IF($A1771="","",IF($A1771=经营数据!$B$3,COUNTIFS($S$2:$S$3000,1,$A$2:$A$3000,$A1771,$T$2:$T$3000,"&lt;"&amp;$T1771)+1,""))</f>
        <v/>
      </c>
      <c r="V1771" t="str">
        <f t="shared" si="415"/>
        <v>广州天河体育中心美居酒店&amp;全季酒店项目|服务效率</v>
      </c>
      <c r="W1771">
        <f t="shared" si="416"/>
        <v>1763</v>
      </c>
      <c r="X1771" t="str">
        <f t="shared" si="417"/>
        <v>广州天河体育中心美居酒店&amp;全季酒店项目|平均入住率</v>
      </c>
      <c r="Y1771">
        <f t="shared" si="418"/>
        <v>1763</v>
      </c>
      <c r="Z1771">
        <f>IF($A1771="",0,IF(AND($M1771=1,$A1771=经营数据!$B$3,$J1771=经营数据!$BA$5,OR($I1771=经营数据!$BA$4,COUNTIF(经营数据!$AA$9:$AA$38,$I1771)&gt;0)),1,0))</f>
        <v>0</v>
      </c>
      <c r="AA1771" t="str">
        <f t="shared" si="419"/>
        <v/>
      </c>
      <c r="AB1771" t="str">
        <f t="shared" si="420"/>
        <v/>
      </c>
      <c r="AC1771">
        <f>IF($A1771="",0,IF(COUNTIF($A$2:$A1771,$A1771)=1,1,0))</f>
        <v>0</v>
      </c>
      <c r="AD1771">
        <f t="shared" si="421"/>
        <v>21</v>
      </c>
      <c r="AE1771" t="str">
        <f t="shared" si="422"/>
        <v>广州天河体育中心美居酒店&amp;全季酒店项目|平均入住率-全季酒店（%）</v>
      </c>
    </row>
    <row r="1772" spans="1:31" x14ac:dyDescent="0.4">
      <c r="A1772" t="str">
        <f>IF(原始经营数据!$D1773="","",原始经营数据!$D1773)</f>
        <v>华泰紫金华住安住封闭式商业不动产证券投资基金</v>
      </c>
      <c r="B1772" t="str">
        <f>IF(原始经营数据!$D1773="","",T(原始经营数据!$E1773))</f>
        <v>广州天河体育中心美居酒店&amp;全季酒店项目</v>
      </c>
      <c r="C1772" t="str">
        <f>IF(原始经营数据!$D1773="","",原始经营数据!$F1773)</f>
        <v>2025</v>
      </c>
      <c r="D1772" t="str">
        <f>IF(原始经营数据!$D1773="","",原始经营数据!$H1773)</f>
        <v>平均房价</v>
      </c>
      <c r="E1772">
        <f>IF(原始经营数据!$D1773="","",原始经营数据!$I1773)</f>
        <v>495.58</v>
      </c>
      <c r="F1772" t="str">
        <f>IF(原始经营数据!$D1773="","",T(原始经营数据!$J1773))</f>
        <v>元/间</v>
      </c>
      <c r="G1772" t="str">
        <f>IF(原始经营数据!$D1773="","",T(原始经营数据!$K1773))</f>
        <v>美居酒店</v>
      </c>
      <c r="H1772" t="str">
        <f>IF(原始经营数据!$D1773="","",原始经营数据!$G1773)</f>
        <v>服务价格</v>
      </c>
      <c r="I1772" t="str">
        <f>IF($A1772="","",IF($B1772&lt;&gt;"",$B1772,IF(COUNTIFS(原始经营数据!$D$3:$D$3001,$A1772,原始经营数据!$E$3:$E$3001,"",原始经营数据!$F$3:$F$3001,$C1772,原始经营数据!$H$3:$H$3001,$D1772,原始经营数据!$K$3:$K$3001,$G1772)&gt;1,"基金整体·来源"&amp;原始经营数据!$A1773,"基金整体")))</f>
        <v>广州天河体育中心美居酒店&amp;全季酒店项目</v>
      </c>
      <c r="J1772" t="str">
        <f t="shared" si="408"/>
        <v>年度</v>
      </c>
      <c r="K1772" t="str">
        <f t="shared" si="409"/>
        <v>平均房价-美居酒店（元/间）</v>
      </c>
      <c r="L1772" t="str">
        <f t="shared" si="410"/>
        <v>广州天河体育中心美居酒店&amp;全季酒店项目|平均房价-美居酒店（元/间）|年度</v>
      </c>
      <c r="M1772">
        <f>IF($A1772="",0,IF(COUNTIF($L$2:$L1772,$L1772)=1,1,0))</f>
        <v>0</v>
      </c>
      <c r="N1772">
        <f t="shared" si="411"/>
        <v>20250</v>
      </c>
      <c r="O1772" t="str">
        <f t="shared" si="412"/>
        <v>华泰紫金华住安住封闭式商业不动产证券投资基金|2025|年度</v>
      </c>
      <c r="P1772">
        <f>IF($A1772="",0,IF(COUNTIF($O$2:$O1772,$O1772)=1,1,0))</f>
        <v>0</v>
      </c>
      <c r="Q1772" t="str">
        <f>IF(AND($P1772=1,$A1772=经营数据!$B$3,$J1772=经营数据!$BA$5),COUNTIFS($P$2:$P$3000,1,$A$2:$A$3000,$A1772,$J$2:$J$3000,$J1772,$N$2:$N$3000,"&lt;"&amp;$N1772)+1,"")</f>
        <v/>
      </c>
      <c r="R1772" t="str">
        <f t="shared" si="413"/>
        <v>华泰紫金华住安住封闭式商业不动产证券投资基金|广州天河体育中心美居酒店&amp;全季酒店项目</v>
      </c>
      <c r="S1772">
        <f>IF($A1772="",0,IF(COUNTIF($R$2:$R1772,$R1772)=1,1,0))</f>
        <v>0</v>
      </c>
      <c r="T1772">
        <f t="shared" si="414"/>
        <v>1763</v>
      </c>
      <c r="U1772" t="str">
        <f>IF($A1772="","",IF($A1772=经营数据!$B$3,COUNTIFS($S$2:$S$3000,1,$A$2:$A$3000,$A1772,$T$2:$T$3000,"&lt;"&amp;$T1772)+1,""))</f>
        <v/>
      </c>
      <c r="V1772" t="str">
        <f t="shared" si="415"/>
        <v>广州天河体育中心美居酒店&amp;全季酒店项目|服务价格</v>
      </c>
      <c r="W1772">
        <f t="shared" si="416"/>
        <v>1764</v>
      </c>
      <c r="X1772" t="str">
        <f t="shared" si="417"/>
        <v>广州天河体育中心美居酒店&amp;全季酒店项目|平均房价</v>
      </c>
      <c r="Y1772">
        <f t="shared" si="418"/>
        <v>1764</v>
      </c>
      <c r="Z1772">
        <f>IF($A1772="",0,IF(AND($M1772=1,$A1772=经营数据!$B$3,$J1772=经营数据!$BA$5,OR($I1772=经营数据!$BA$4,COUNTIF(经营数据!$AA$9:$AA$38,$I1772)&gt;0)),1,0))</f>
        <v>0</v>
      </c>
      <c r="AA1772" t="str">
        <f t="shared" si="419"/>
        <v/>
      </c>
      <c r="AB1772" t="str">
        <f t="shared" si="420"/>
        <v/>
      </c>
      <c r="AC1772">
        <f>IF($A1772="",0,IF(COUNTIF($A$2:$A1772,$A1772)=1,1,0))</f>
        <v>0</v>
      </c>
      <c r="AD1772">
        <f t="shared" si="421"/>
        <v>21</v>
      </c>
      <c r="AE1772" t="str">
        <f t="shared" si="422"/>
        <v>广州天河体育中心美居酒店&amp;全季酒店项目|平均房价-美居酒店（元/间）</v>
      </c>
    </row>
    <row r="1773" spans="1:31" x14ac:dyDescent="0.4">
      <c r="A1773" t="str">
        <f>IF(原始经营数据!$D1774="","",原始经营数据!$D1774)</f>
        <v>华泰紫金华住安住封闭式商业不动产证券投资基金</v>
      </c>
      <c r="B1773" t="str">
        <f>IF(原始经营数据!$D1774="","",T(原始经营数据!$E1774))</f>
        <v>广州天河体育中心美居酒店&amp;全季酒店项目</v>
      </c>
      <c r="C1773" t="str">
        <f>IF(原始经营数据!$D1774="","",原始经营数据!$F1774)</f>
        <v>2025</v>
      </c>
      <c r="D1773" t="str">
        <f>IF(原始经营数据!$D1774="","",原始经营数据!$H1774)</f>
        <v>平均入住率</v>
      </c>
      <c r="E1773">
        <f>IF(原始经营数据!$D1774="","",原始经营数据!$I1774)</f>
        <v>92.46</v>
      </c>
      <c r="F1773" t="str">
        <f>IF(原始经营数据!$D1774="","",T(原始经营数据!$J1774))</f>
        <v>%</v>
      </c>
      <c r="G1773" t="str">
        <f>IF(原始经营数据!$D1774="","",T(原始经营数据!$K1774))</f>
        <v>美居酒店</v>
      </c>
      <c r="H1773" t="str">
        <f>IF(原始经营数据!$D1774="","",原始经营数据!$G1774)</f>
        <v>服务效率</v>
      </c>
      <c r="I1773" t="str">
        <f>IF($A1773="","",IF($B1773&lt;&gt;"",$B1773,IF(COUNTIFS(原始经营数据!$D$3:$D$3001,$A1773,原始经营数据!$E$3:$E$3001,"",原始经营数据!$F$3:$F$3001,$C1773,原始经营数据!$H$3:$H$3001,$D1773,原始经营数据!$K$3:$K$3001,$G1773)&gt;1,"基金整体·来源"&amp;原始经营数据!$A1774,"基金整体")))</f>
        <v>广州天河体育中心美居酒店&amp;全季酒店项目</v>
      </c>
      <c r="J1773" t="str">
        <f t="shared" si="408"/>
        <v>年度</v>
      </c>
      <c r="K1773" t="str">
        <f t="shared" si="409"/>
        <v>平均入住率-美居酒店（%）</v>
      </c>
      <c r="L1773" t="str">
        <f t="shared" si="410"/>
        <v>广州天河体育中心美居酒店&amp;全季酒店项目|平均入住率-美居酒店（%）|年度</v>
      </c>
      <c r="M1773">
        <f>IF($A1773="",0,IF(COUNTIF($L$2:$L1773,$L1773)=1,1,0))</f>
        <v>0</v>
      </c>
      <c r="N1773">
        <f t="shared" si="411"/>
        <v>20250</v>
      </c>
      <c r="O1773" t="str">
        <f t="shared" si="412"/>
        <v>华泰紫金华住安住封闭式商业不动产证券投资基金|2025|年度</v>
      </c>
      <c r="P1773">
        <f>IF($A1773="",0,IF(COUNTIF($O$2:$O1773,$O1773)=1,1,0))</f>
        <v>0</v>
      </c>
      <c r="Q1773" t="str">
        <f>IF(AND($P1773=1,$A1773=经营数据!$B$3,$J1773=经营数据!$BA$5),COUNTIFS($P$2:$P$3000,1,$A$2:$A$3000,$A1773,$J$2:$J$3000,$J1773,$N$2:$N$3000,"&lt;"&amp;$N1773)+1,"")</f>
        <v/>
      </c>
      <c r="R1773" t="str">
        <f t="shared" si="413"/>
        <v>华泰紫金华住安住封闭式商业不动产证券投资基金|广州天河体育中心美居酒店&amp;全季酒店项目</v>
      </c>
      <c r="S1773">
        <f>IF($A1773="",0,IF(COUNTIF($R$2:$R1773,$R1773)=1,1,0))</f>
        <v>0</v>
      </c>
      <c r="T1773">
        <f t="shared" si="414"/>
        <v>1763</v>
      </c>
      <c r="U1773" t="str">
        <f>IF($A1773="","",IF($A1773=经营数据!$B$3,COUNTIFS($S$2:$S$3000,1,$A$2:$A$3000,$A1773,$T$2:$T$3000,"&lt;"&amp;$T1773)+1,""))</f>
        <v/>
      </c>
      <c r="V1773" t="str">
        <f t="shared" si="415"/>
        <v>广州天河体育中心美居酒店&amp;全季酒店项目|服务效率</v>
      </c>
      <c r="W1773">
        <f t="shared" si="416"/>
        <v>1763</v>
      </c>
      <c r="X1773" t="str">
        <f t="shared" si="417"/>
        <v>广州天河体育中心美居酒店&amp;全季酒店项目|平均入住率</v>
      </c>
      <c r="Y1773">
        <f t="shared" si="418"/>
        <v>1763</v>
      </c>
      <c r="Z1773">
        <f>IF($A1773="",0,IF(AND($M1773=1,$A1773=经营数据!$B$3,$J1773=经营数据!$BA$5,OR($I1773=经营数据!$BA$4,COUNTIF(经营数据!$AA$9:$AA$38,$I1773)&gt;0)),1,0))</f>
        <v>0</v>
      </c>
      <c r="AA1773" t="str">
        <f t="shared" si="419"/>
        <v/>
      </c>
      <c r="AB1773" t="str">
        <f t="shared" si="420"/>
        <v/>
      </c>
      <c r="AC1773">
        <f>IF($A1773="",0,IF(COUNTIF($A$2:$A1773,$A1773)=1,1,0))</f>
        <v>0</v>
      </c>
      <c r="AD1773">
        <f t="shared" si="421"/>
        <v>21</v>
      </c>
      <c r="AE1773" t="str">
        <f t="shared" si="422"/>
        <v>广州天河体育中心美居酒店&amp;全季酒店项目|平均入住率-美居酒店（%）</v>
      </c>
    </row>
    <row r="1774" spans="1:31" x14ac:dyDescent="0.4">
      <c r="A1774" t="str">
        <f>IF(原始经营数据!$D1775="","",原始经营数据!$D1775)</f>
        <v>华泰紫金华住安住封闭式商业不动产证券投资基金</v>
      </c>
      <c r="B1774" t="str">
        <f>IF(原始经营数据!$D1775="","",T(原始经营数据!$E1775))</f>
        <v>广州天河体育中心美居酒店&amp;全季酒店项目</v>
      </c>
      <c r="C1774" t="str">
        <f>IF(原始经营数据!$D1775="","",原始经营数据!$F1775)</f>
        <v>2025</v>
      </c>
      <c r="D1774" t="str">
        <f>IF(原始经营数据!$D1775="","",原始经营数据!$H1775)</f>
        <v>平均房价</v>
      </c>
      <c r="E1774">
        <f>IF(原始经营数据!$D1775="","",原始经营数据!$I1775)</f>
        <v>443.91</v>
      </c>
      <c r="F1774" t="str">
        <f>IF(原始经营数据!$D1775="","",T(原始经营数据!$J1775))</f>
        <v>元/间</v>
      </c>
      <c r="G1774" t="str">
        <f>IF(原始经营数据!$D1775="","",T(原始经营数据!$K1775))</f>
        <v>全季酒店</v>
      </c>
      <c r="H1774" t="str">
        <f>IF(原始经营数据!$D1775="","",原始经营数据!$G1775)</f>
        <v>服务价格</v>
      </c>
      <c r="I1774" t="str">
        <f>IF($A1774="","",IF($B1774&lt;&gt;"",$B1774,IF(COUNTIFS(原始经营数据!$D$3:$D$3001,$A1774,原始经营数据!$E$3:$E$3001,"",原始经营数据!$F$3:$F$3001,$C1774,原始经营数据!$H$3:$H$3001,$D1774,原始经营数据!$K$3:$K$3001,$G1774)&gt;1,"基金整体·来源"&amp;原始经营数据!$A1775,"基金整体")))</f>
        <v>广州天河体育中心美居酒店&amp;全季酒店项目</v>
      </c>
      <c r="J1774" t="str">
        <f t="shared" si="408"/>
        <v>年度</v>
      </c>
      <c r="K1774" t="str">
        <f t="shared" si="409"/>
        <v>平均房价-全季酒店（元/间）</v>
      </c>
      <c r="L1774" t="str">
        <f t="shared" si="410"/>
        <v>广州天河体育中心美居酒店&amp;全季酒店项目|平均房价-全季酒店（元/间）|年度</v>
      </c>
      <c r="M1774">
        <f>IF($A1774="",0,IF(COUNTIF($L$2:$L1774,$L1774)=1,1,0))</f>
        <v>0</v>
      </c>
      <c r="N1774">
        <f t="shared" si="411"/>
        <v>20250</v>
      </c>
      <c r="O1774" t="str">
        <f t="shared" si="412"/>
        <v>华泰紫金华住安住封闭式商业不动产证券投资基金|2025|年度</v>
      </c>
      <c r="P1774">
        <f>IF($A1774="",0,IF(COUNTIF($O$2:$O1774,$O1774)=1,1,0))</f>
        <v>0</v>
      </c>
      <c r="Q1774" t="str">
        <f>IF(AND($P1774=1,$A1774=经营数据!$B$3,$J1774=经营数据!$BA$5),COUNTIFS($P$2:$P$3000,1,$A$2:$A$3000,$A1774,$J$2:$J$3000,$J1774,$N$2:$N$3000,"&lt;"&amp;$N1774)+1,"")</f>
        <v/>
      </c>
      <c r="R1774" t="str">
        <f t="shared" si="413"/>
        <v>华泰紫金华住安住封闭式商业不动产证券投资基金|广州天河体育中心美居酒店&amp;全季酒店项目</v>
      </c>
      <c r="S1774">
        <f>IF($A1774="",0,IF(COUNTIF($R$2:$R1774,$R1774)=1,1,0))</f>
        <v>0</v>
      </c>
      <c r="T1774">
        <f t="shared" si="414"/>
        <v>1763</v>
      </c>
      <c r="U1774" t="str">
        <f>IF($A1774="","",IF($A1774=经营数据!$B$3,COUNTIFS($S$2:$S$3000,1,$A$2:$A$3000,$A1774,$T$2:$T$3000,"&lt;"&amp;$T1774)+1,""))</f>
        <v/>
      </c>
      <c r="V1774" t="str">
        <f t="shared" si="415"/>
        <v>广州天河体育中心美居酒店&amp;全季酒店项目|服务价格</v>
      </c>
      <c r="W1774">
        <f t="shared" si="416"/>
        <v>1764</v>
      </c>
      <c r="X1774" t="str">
        <f t="shared" si="417"/>
        <v>广州天河体育中心美居酒店&amp;全季酒店项目|平均房价</v>
      </c>
      <c r="Y1774">
        <f t="shared" si="418"/>
        <v>1764</v>
      </c>
      <c r="Z1774">
        <f>IF($A1774="",0,IF(AND($M1774=1,$A1774=经营数据!$B$3,$J1774=经营数据!$BA$5,OR($I1774=经营数据!$BA$4,COUNTIF(经营数据!$AA$9:$AA$38,$I1774)&gt;0)),1,0))</f>
        <v>0</v>
      </c>
      <c r="AA1774" t="str">
        <f t="shared" si="419"/>
        <v/>
      </c>
      <c r="AB1774" t="str">
        <f t="shared" si="420"/>
        <v/>
      </c>
      <c r="AC1774">
        <f>IF($A1774="",0,IF(COUNTIF($A$2:$A1774,$A1774)=1,1,0))</f>
        <v>0</v>
      </c>
      <c r="AD1774">
        <f t="shared" si="421"/>
        <v>21</v>
      </c>
      <c r="AE1774" t="str">
        <f t="shared" si="422"/>
        <v>广州天河体育中心美居酒店&amp;全季酒店项目|平均房价-全季酒店（元/间）</v>
      </c>
    </row>
    <row r="1775" spans="1:31" x14ac:dyDescent="0.4">
      <c r="A1775" t="str">
        <f>IF(原始经营数据!$D1776="","",原始经营数据!$D1776)</f>
        <v>华泰紫金华住安住封闭式商业不动产证券投资基金</v>
      </c>
      <c r="B1775" t="str">
        <f>IF(原始经营数据!$D1776="","",T(原始经营数据!$E1776))</f>
        <v>广州天河体育中心美居酒店&amp;全季酒店项目</v>
      </c>
      <c r="C1775" t="str">
        <f>IF(原始经营数据!$D1776="","",原始经营数据!$F1776)</f>
        <v>2025</v>
      </c>
      <c r="D1775" t="str">
        <f>IF(原始经营数据!$D1776="","",原始经营数据!$H1776)</f>
        <v>平均入住率</v>
      </c>
      <c r="E1775">
        <f>IF(原始经营数据!$D1776="","",原始经营数据!$I1776)</f>
        <v>94.96</v>
      </c>
      <c r="F1775" t="str">
        <f>IF(原始经营数据!$D1776="","",T(原始经营数据!$J1776))</f>
        <v>%</v>
      </c>
      <c r="G1775" t="str">
        <f>IF(原始经营数据!$D1776="","",T(原始经营数据!$K1776))</f>
        <v>全季酒店</v>
      </c>
      <c r="H1775" t="str">
        <f>IF(原始经营数据!$D1776="","",原始经营数据!$G1776)</f>
        <v>服务效率</v>
      </c>
      <c r="I1775" t="str">
        <f>IF($A1775="","",IF($B1775&lt;&gt;"",$B1775,IF(COUNTIFS(原始经营数据!$D$3:$D$3001,$A1775,原始经营数据!$E$3:$E$3001,"",原始经营数据!$F$3:$F$3001,$C1775,原始经营数据!$H$3:$H$3001,$D1775,原始经营数据!$K$3:$K$3001,$G1775)&gt;1,"基金整体·来源"&amp;原始经营数据!$A1776,"基金整体")))</f>
        <v>广州天河体育中心美居酒店&amp;全季酒店项目</v>
      </c>
      <c r="J1775" t="str">
        <f t="shared" si="408"/>
        <v>年度</v>
      </c>
      <c r="K1775" t="str">
        <f t="shared" si="409"/>
        <v>平均入住率-全季酒店（%）</v>
      </c>
      <c r="L1775" t="str">
        <f t="shared" si="410"/>
        <v>广州天河体育中心美居酒店&amp;全季酒店项目|平均入住率-全季酒店（%）|年度</v>
      </c>
      <c r="M1775">
        <f>IF($A1775="",0,IF(COUNTIF($L$2:$L1775,$L1775)=1,1,0))</f>
        <v>0</v>
      </c>
      <c r="N1775">
        <f t="shared" si="411"/>
        <v>20250</v>
      </c>
      <c r="O1775" t="str">
        <f t="shared" si="412"/>
        <v>华泰紫金华住安住封闭式商业不动产证券投资基金|2025|年度</v>
      </c>
      <c r="P1775">
        <f>IF($A1775="",0,IF(COUNTIF($O$2:$O1775,$O1775)=1,1,0))</f>
        <v>0</v>
      </c>
      <c r="Q1775" t="str">
        <f>IF(AND($P1775=1,$A1775=经营数据!$B$3,$J1775=经营数据!$BA$5),COUNTIFS($P$2:$P$3000,1,$A$2:$A$3000,$A1775,$J$2:$J$3000,$J1775,$N$2:$N$3000,"&lt;"&amp;$N1775)+1,"")</f>
        <v/>
      </c>
      <c r="R1775" t="str">
        <f t="shared" si="413"/>
        <v>华泰紫金华住安住封闭式商业不动产证券投资基金|广州天河体育中心美居酒店&amp;全季酒店项目</v>
      </c>
      <c r="S1775">
        <f>IF($A1775="",0,IF(COUNTIF($R$2:$R1775,$R1775)=1,1,0))</f>
        <v>0</v>
      </c>
      <c r="T1775">
        <f t="shared" si="414"/>
        <v>1763</v>
      </c>
      <c r="U1775" t="str">
        <f>IF($A1775="","",IF($A1775=经营数据!$B$3,COUNTIFS($S$2:$S$3000,1,$A$2:$A$3000,$A1775,$T$2:$T$3000,"&lt;"&amp;$T1775)+1,""))</f>
        <v/>
      </c>
      <c r="V1775" t="str">
        <f t="shared" si="415"/>
        <v>广州天河体育中心美居酒店&amp;全季酒店项目|服务效率</v>
      </c>
      <c r="W1775">
        <f t="shared" si="416"/>
        <v>1763</v>
      </c>
      <c r="X1775" t="str">
        <f t="shared" si="417"/>
        <v>广州天河体育中心美居酒店&amp;全季酒店项目|平均入住率</v>
      </c>
      <c r="Y1775">
        <f t="shared" si="418"/>
        <v>1763</v>
      </c>
      <c r="Z1775">
        <f>IF($A1775="",0,IF(AND($M1775=1,$A1775=经营数据!$B$3,$J1775=经营数据!$BA$5,OR($I1775=经营数据!$BA$4,COUNTIF(经营数据!$AA$9:$AA$38,$I1775)&gt;0)),1,0))</f>
        <v>0</v>
      </c>
      <c r="AA1775" t="str">
        <f t="shared" si="419"/>
        <v/>
      </c>
      <c r="AB1775" t="str">
        <f t="shared" si="420"/>
        <v/>
      </c>
      <c r="AC1775">
        <f>IF($A1775="",0,IF(COUNTIF($A$2:$A1775,$A1775)=1,1,0))</f>
        <v>0</v>
      </c>
      <c r="AD1775">
        <f t="shared" si="421"/>
        <v>21</v>
      </c>
      <c r="AE1775" t="str">
        <f t="shared" si="422"/>
        <v>广州天河体育中心美居酒店&amp;全季酒店项目|平均入住率-全季酒店（%）</v>
      </c>
    </row>
    <row r="1776" spans="1:31" x14ac:dyDescent="0.4">
      <c r="A1776" t="str">
        <f>IF(原始经营数据!$D1777="","",原始经营数据!$D1777)</f>
        <v>华泰紫金华住安住封闭式商业不动产证券投资基金</v>
      </c>
      <c r="B1776" t="str">
        <f>IF(原始经营数据!$D1777="","",T(原始经营数据!$E1777))</f>
        <v>广州天河体育中心美居酒店&amp;全季酒店项目</v>
      </c>
      <c r="C1776" t="str">
        <f>IF(原始经营数据!$D1777="","",原始经营数据!$F1777)</f>
        <v>2026Q1</v>
      </c>
      <c r="D1776" t="str">
        <f>IF(原始经营数据!$D1777="","",原始经营数据!$H1777)</f>
        <v>平均入住率</v>
      </c>
      <c r="E1776">
        <f>IF(原始经营数据!$D1777="","",原始经营数据!$I1777)</f>
        <v>88.88</v>
      </c>
      <c r="F1776" t="str">
        <f>IF(原始经营数据!$D1777="","",T(原始经营数据!$J1777))</f>
        <v>%</v>
      </c>
      <c r="G1776" t="str">
        <f>IF(原始经营数据!$D1777="","",T(原始经营数据!$K1777))</f>
        <v>美居酒店</v>
      </c>
      <c r="H1776" t="str">
        <f>IF(原始经营数据!$D1777="","",原始经营数据!$G1777)</f>
        <v>服务效率</v>
      </c>
      <c r="I1776" t="str">
        <f>IF($A1776="","",IF($B1776&lt;&gt;"",$B1776,IF(COUNTIFS(原始经营数据!$D$3:$D$3001,$A1776,原始经营数据!$E$3:$E$3001,"",原始经营数据!$F$3:$F$3001,$C1776,原始经营数据!$H$3:$H$3001,$D1776,原始经营数据!$K$3:$K$3001,$G1776)&gt;1,"基金整体·来源"&amp;原始经营数据!$A1777,"基金整体")))</f>
        <v>广州天河体育中心美居酒店&amp;全季酒店项目</v>
      </c>
      <c r="J1776" t="str">
        <f t="shared" si="408"/>
        <v>季度</v>
      </c>
      <c r="K1776" t="str">
        <f t="shared" si="409"/>
        <v>平均入住率-美居酒店（%）</v>
      </c>
      <c r="L1776" t="str">
        <f t="shared" si="410"/>
        <v>广州天河体育中心美居酒店&amp;全季酒店项目|平均入住率-美居酒店（%）|季度</v>
      </c>
      <c r="M1776">
        <f>IF($A1776="",0,IF(COUNTIF($L$2:$L1776,$L1776)=1,1,0))</f>
        <v>1</v>
      </c>
      <c r="N1776">
        <f t="shared" si="411"/>
        <v>20261</v>
      </c>
      <c r="O1776" t="str">
        <f t="shared" si="412"/>
        <v>华泰紫金华住安住封闭式商业不动产证券投资基金|2026Q1|季度</v>
      </c>
      <c r="P1776">
        <f>IF($A1776="",0,IF(COUNTIF($O$2:$O1776,$O1776)=1,1,0))</f>
        <v>0</v>
      </c>
      <c r="Q1776" t="str">
        <f>IF(AND($P1776=1,$A1776=经营数据!$B$3,$J1776=经营数据!$BA$5),COUNTIFS($P$2:$P$3000,1,$A$2:$A$3000,$A1776,$J$2:$J$3000,$J1776,$N$2:$N$3000,"&lt;"&amp;$N1776)+1,"")</f>
        <v/>
      </c>
      <c r="R1776" t="str">
        <f t="shared" si="413"/>
        <v>华泰紫金华住安住封闭式商业不动产证券投资基金|广州天河体育中心美居酒店&amp;全季酒店项目</v>
      </c>
      <c r="S1776">
        <f>IF($A1776="",0,IF(COUNTIF($R$2:$R1776,$R1776)=1,1,0))</f>
        <v>0</v>
      </c>
      <c r="T1776">
        <f t="shared" si="414"/>
        <v>1763</v>
      </c>
      <c r="U1776" t="str">
        <f>IF($A1776="","",IF($A1776=经营数据!$B$3,COUNTIFS($S$2:$S$3000,1,$A$2:$A$3000,$A1776,$T$2:$T$3000,"&lt;"&amp;$T1776)+1,""))</f>
        <v/>
      </c>
      <c r="V1776" t="str">
        <f t="shared" si="415"/>
        <v>广州天河体育中心美居酒店&amp;全季酒店项目|服务效率</v>
      </c>
      <c r="W1776">
        <f t="shared" si="416"/>
        <v>1763</v>
      </c>
      <c r="X1776" t="str">
        <f t="shared" si="417"/>
        <v>广州天河体育中心美居酒店&amp;全季酒店项目|平均入住率</v>
      </c>
      <c r="Y1776">
        <f t="shared" si="418"/>
        <v>1763</v>
      </c>
      <c r="Z1776">
        <f>IF($A1776="",0,IF(AND($M1776=1,$A1776=经营数据!$B$3,$J1776=经营数据!$BA$5,OR($I1776=经营数据!$BA$4,COUNTIF(经营数据!$AA$9:$AA$38,$I1776)&gt;0)),1,0))</f>
        <v>0</v>
      </c>
      <c r="AA1776" t="str">
        <f t="shared" si="419"/>
        <v/>
      </c>
      <c r="AB1776" t="str">
        <f t="shared" si="420"/>
        <v/>
      </c>
      <c r="AC1776">
        <f>IF($A1776="",0,IF(COUNTIF($A$2:$A1776,$A1776)=1,1,0))</f>
        <v>0</v>
      </c>
      <c r="AD1776">
        <f t="shared" si="421"/>
        <v>21</v>
      </c>
      <c r="AE1776" t="str">
        <f t="shared" si="422"/>
        <v>广州天河体育中心美居酒店&amp;全季酒店项目|平均入住率-美居酒店（%）</v>
      </c>
    </row>
    <row r="1777" spans="1:31" x14ac:dyDescent="0.4">
      <c r="A1777" t="str">
        <f>IF(原始经营数据!$D1778="","",原始经营数据!$D1778)</f>
        <v>华泰紫金华住安住封闭式商业不动产证券投资基金</v>
      </c>
      <c r="B1777" t="str">
        <f>IF(原始经营数据!$D1778="","",T(原始经营数据!$E1778))</f>
        <v>广州天河体育中心美居酒店&amp;全季酒店项目</v>
      </c>
      <c r="C1777" t="str">
        <f>IF(原始经营数据!$D1778="","",原始经营数据!$F1778)</f>
        <v>2026Q1</v>
      </c>
      <c r="D1777" t="str">
        <f>IF(原始经营数据!$D1778="","",原始经营数据!$H1778)</f>
        <v>平均房价</v>
      </c>
      <c r="E1777">
        <f>IF(原始经营数据!$D1778="","",原始经营数据!$I1778)</f>
        <v>454.99</v>
      </c>
      <c r="F1777" t="str">
        <f>IF(原始经营数据!$D1778="","",T(原始经营数据!$J1778))</f>
        <v>元/间</v>
      </c>
      <c r="G1777" t="str">
        <f>IF(原始经营数据!$D1778="","",T(原始经营数据!$K1778))</f>
        <v>全季酒店</v>
      </c>
      <c r="H1777" t="str">
        <f>IF(原始经营数据!$D1778="","",原始经营数据!$G1778)</f>
        <v>服务价格</v>
      </c>
      <c r="I1777" t="str">
        <f>IF($A1777="","",IF($B1777&lt;&gt;"",$B1777,IF(COUNTIFS(原始经营数据!$D$3:$D$3001,$A1777,原始经营数据!$E$3:$E$3001,"",原始经营数据!$F$3:$F$3001,$C1777,原始经营数据!$H$3:$H$3001,$D1777,原始经营数据!$K$3:$K$3001,$G1777)&gt;1,"基金整体·来源"&amp;原始经营数据!$A1778,"基金整体")))</f>
        <v>广州天河体育中心美居酒店&amp;全季酒店项目</v>
      </c>
      <c r="J1777" t="str">
        <f t="shared" si="408"/>
        <v>季度</v>
      </c>
      <c r="K1777" t="str">
        <f t="shared" si="409"/>
        <v>平均房价-全季酒店（元/间）</v>
      </c>
      <c r="L1777" t="str">
        <f t="shared" si="410"/>
        <v>广州天河体育中心美居酒店&amp;全季酒店项目|平均房价-全季酒店（元/间）|季度</v>
      </c>
      <c r="M1777">
        <f>IF($A1777="",0,IF(COUNTIF($L$2:$L1777,$L1777)=1,1,0))</f>
        <v>1</v>
      </c>
      <c r="N1777">
        <f t="shared" si="411"/>
        <v>20261</v>
      </c>
      <c r="O1777" t="str">
        <f t="shared" si="412"/>
        <v>华泰紫金华住安住封闭式商业不动产证券投资基金|2026Q1|季度</v>
      </c>
      <c r="P1777">
        <f>IF($A1777="",0,IF(COUNTIF($O$2:$O1777,$O1777)=1,1,0))</f>
        <v>0</v>
      </c>
      <c r="Q1777" t="str">
        <f>IF(AND($P1777=1,$A1777=经营数据!$B$3,$J1777=经营数据!$BA$5),COUNTIFS($P$2:$P$3000,1,$A$2:$A$3000,$A1777,$J$2:$J$3000,$J1777,$N$2:$N$3000,"&lt;"&amp;$N1777)+1,"")</f>
        <v/>
      </c>
      <c r="R1777" t="str">
        <f t="shared" si="413"/>
        <v>华泰紫金华住安住封闭式商业不动产证券投资基金|广州天河体育中心美居酒店&amp;全季酒店项目</v>
      </c>
      <c r="S1777">
        <f>IF($A1777="",0,IF(COUNTIF($R$2:$R1777,$R1777)=1,1,0))</f>
        <v>0</v>
      </c>
      <c r="T1777">
        <f t="shared" si="414"/>
        <v>1763</v>
      </c>
      <c r="U1777" t="str">
        <f>IF($A1777="","",IF($A1777=经营数据!$B$3,COUNTIFS($S$2:$S$3000,1,$A$2:$A$3000,$A1777,$T$2:$T$3000,"&lt;"&amp;$T1777)+1,""))</f>
        <v/>
      </c>
      <c r="V1777" t="str">
        <f t="shared" si="415"/>
        <v>广州天河体育中心美居酒店&amp;全季酒店项目|服务价格</v>
      </c>
      <c r="W1777">
        <f t="shared" si="416"/>
        <v>1764</v>
      </c>
      <c r="X1777" t="str">
        <f t="shared" si="417"/>
        <v>广州天河体育中心美居酒店&amp;全季酒店项目|平均房价</v>
      </c>
      <c r="Y1777">
        <f t="shared" si="418"/>
        <v>1764</v>
      </c>
      <c r="Z1777">
        <f>IF($A1777="",0,IF(AND($M1777=1,$A1777=经营数据!$B$3,$J1777=经营数据!$BA$5,OR($I1777=经营数据!$BA$4,COUNTIF(经营数据!$AA$9:$AA$38,$I1777)&gt;0)),1,0))</f>
        <v>0</v>
      </c>
      <c r="AA1777" t="str">
        <f t="shared" si="419"/>
        <v/>
      </c>
      <c r="AB1777" t="str">
        <f t="shared" si="420"/>
        <v/>
      </c>
      <c r="AC1777">
        <f>IF($A1777="",0,IF(COUNTIF($A$2:$A1777,$A1777)=1,1,0))</f>
        <v>0</v>
      </c>
      <c r="AD1777">
        <f t="shared" si="421"/>
        <v>21</v>
      </c>
      <c r="AE1777" t="str">
        <f t="shared" si="422"/>
        <v>广州天河体育中心美居酒店&amp;全季酒店项目|平均房价-全季酒店（元/间）</v>
      </c>
    </row>
    <row r="1778" spans="1:31" x14ac:dyDescent="0.4">
      <c r="A1778" t="str">
        <f>IF(原始经营数据!$D1779="","",原始经营数据!$D1779)</f>
        <v>华泰紫金华住安住封闭式商业不动产证券投资基金</v>
      </c>
      <c r="B1778" t="str">
        <f>IF(原始经营数据!$D1779="","",T(原始经营数据!$E1779))</f>
        <v>广州天河体育中心美居酒店&amp;全季酒店项目</v>
      </c>
      <c r="C1778" t="str">
        <f>IF(原始经营数据!$D1779="","",原始经营数据!$F1779)</f>
        <v>2026Q1</v>
      </c>
      <c r="D1778" t="str">
        <f>IF(原始经营数据!$D1779="","",原始经营数据!$H1779)</f>
        <v>平均入住率</v>
      </c>
      <c r="E1778">
        <f>IF(原始经营数据!$D1779="","",原始经营数据!$I1779)</f>
        <v>96.72</v>
      </c>
      <c r="F1778" t="str">
        <f>IF(原始经营数据!$D1779="","",T(原始经营数据!$J1779))</f>
        <v>%</v>
      </c>
      <c r="G1778" t="str">
        <f>IF(原始经营数据!$D1779="","",T(原始经营数据!$K1779))</f>
        <v>全季酒店</v>
      </c>
      <c r="H1778" t="str">
        <f>IF(原始经营数据!$D1779="","",原始经营数据!$G1779)</f>
        <v>服务效率</v>
      </c>
      <c r="I1778" t="str">
        <f>IF($A1778="","",IF($B1778&lt;&gt;"",$B1778,IF(COUNTIFS(原始经营数据!$D$3:$D$3001,$A1778,原始经营数据!$E$3:$E$3001,"",原始经营数据!$F$3:$F$3001,$C1778,原始经营数据!$H$3:$H$3001,$D1778,原始经营数据!$K$3:$K$3001,$G1778)&gt;1,"基金整体·来源"&amp;原始经营数据!$A1779,"基金整体")))</f>
        <v>广州天河体育中心美居酒店&amp;全季酒店项目</v>
      </c>
      <c r="J1778" t="str">
        <f t="shared" si="408"/>
        <v>季度</v>
      </c>
      <c r="K1778" t="str">
        <f t="shared" si="409"/>
        <v>平均入住率-全季酒店（%）</v>
      </c>
      <c r="L1778" t="str">
        <f t="shared" si="410"/>
        <v>广州天河体育中心美居酒店&amp;全季酒店项目|平均入住率-全季酒店（%）|季度</v>
      </c>
      <c r="M1778">
        <f>IF($A1778="",0,IF(COUNTIF($L$2:$L1778,$L1778)=1,1,0))</f>
        <v>1</v>
      </c>
      <c r="N1778">
        <f t="shared" si="411"/>
        <v>20261</v>
      </c>
      <c r="O1778" t="str">
        <f t="shared" si="412"/>
        <v>华泰紫金华住安住封闭式商业不动产证券投资基金|2026Q1|季度</v>
      </c>
      <c r="P1778">
        <f>IF($A1778="",0,IF(COUNTIF($O$2:$O1778,$O1778)=1,1,0))</f>
        <v>0</v>
      </c>
      <c r="Q1778" t="str">
        <f>IF(AND($P1778=1,$A1778=经营数据!$B$3,$J1778=经营数据!$BA$5),COUNTIFS($P$2:$P$3000,1,$A$2:$A$3000,$A1778,$J$2:$J$3000,$J1778,$N$2:$N$3000,"&lt;"&amp;$N1778)+1,"")</f>
        <v/>
      </c>
      <c r="R1778" t="str">
        <f t="shared" si="413"/>
        <v>华泰紫金华住安住封闭式商业不动产证券投资基金|广州天河体育中心美居酒店&amp;全季酒店项目</v>
      </c>
      <c r="S1778">
        <f>IF($A1778="",0,IF(COUNTIF($R$2:$R1778,$R1778)=1,1,0))</f>
        <v>0</v>
      </c>
      <c r="T1778">
        <f t="shared" si="414"/>
        <v>1763</v>
      </c>
      <c r="U1778" t="str">
        <f>IF($A1778="","",IF($A1778=经营数据!$B$3,COUNTIFS($S$2:$S$3000,1,$A$2:$A$3000,$A1778,$T$2:$T$3000,"&lt;"&amp;$T1778)+1,""))</f>
        <v/>
      </c>
      <c r="V1778" t="str">
        <f t="shared" si="415"/>
        <v>广州天河体育中心美居酒店&amp;全季酒店项目|服务效率</v>
      </c>
      <c r="W1778">
        <f t="shared" si="416"/>
        <v>1763</v>
      </c>
      <c r="X1778" t="str">
        <f t="shared" si="417"/>
        <v>广州天河体育中心美居酒店&amp;全季酒店项目|平均入住率</v>
      </c>
      <c r="Y1778">
        <f t="shared" si="418"/>
        <v>1763</v>
      </c>
      <c r="Z1778">
        <f>IF($A1778="",0,IF(AND($M1778=1,$A1778=经营数据!$B$3,$J1778=经营数据!$BA$5,OR($I1778=经营数据!$BA$4,COUNTIF(经营数据!$AA$9:$AA$38,$I1778)&gt;0)),1,0))</f>
        <v>0</v>
      </c>
      <c r="AA1778" t="str">
        <f t="shared" si="419"/>
        <v/>
      </c>
      <c r="AB1778" t="str">
        <f t="shared" si="420"/>
        <v/>
      </c>
      <c r="AC1778">
        <f>IF($A1778="",0,IF(COUNTIF($A$2:$A1778,$A1778)=1,1,0))</f>
        <v>0</v>
      </c>
      <c r="AD1778">
        <f t="shared" si="421"/>
        <v>21</v>
      </c>
      <c r="AE1778" t="str">
        <f t="shared" si="422"/>
        <v>广州天河体育中心美居酒店&amp;全季酒店项目|平均入住率-全季酒店（%）</v>
      </c>
    </row>
    <row r="1779" spans="1:31" x14ac:dyDescent="0.4">
      <c r="A1779" t="str">
        <f>IF(原始经营数据!$D1780="","",原始经营数据!$D1780)</f>
        <v>华泰紫金华住安住封闭式商业不动产证券投资基金</v>
      </c>
      <c r="B1779" t="str">
        <f>IF(原始经营数据!$D1780="","",T(原始经营数据!$E1780))</f>
        <v>广州天河体育中心美居酒店&amp;全季酒店项目</v>
      </c>
      <c r="C1779" t="str">
        <f>IF(原始经营数据!$D1780="","",原始经营数据!$F1780)</f>
        <v>2026Q1</v>
      </c>
      <c r="D1779" t="str">
        <f>IF(原始经营数据!$D1780="","",原始经营数据!$H1780)</f>
        <v>平均房价</v>
      </c>
      <c r="E1779">
        <f>IF(原始经营数据!$D1780="","",原始经营数据!$I1780)</f>
        <v>507.02</v>
      </c>
      <c r="F1779" t="str">
        <f>IF(原始经营数据!$D1780="","",T(原始经营数据!$J1780))</f>
        <v>元/间</v>
      </c>
      <c r="G1779" t="str">
        <f>IF(原始经营数据!$D1780="","",T(原始经营数据!$K1780))</f>
        <v>美居酒店</v>
      </c>
      <c r="H1779" t="str">
        <f>IF(原始经营数据!$D1780="","",原始经营数据!$G1780)</f>
        <v>服务价格</v>
      </c>
      <c r="I1779" t="str">
        <f>IF($A1779="","",IF($B1779&lt;&gt;"",$B1779,IF(COUNTIFS(原始经营数据!$D$3:$D$3001,$A1779,原始经营数据!$E$3:$E$3001,"",原始经营数据!$F$3:$F$3001,$C1779,原始经营数据!$H$3:$H$3001,$D1779,原始经营数据!$K$3:$K$3001,$G1779)&gt;1,"基金整体·来源"&amp;原始经营数据!$A1780,"基金整体")))</f>
        <v>广州天河体育中心美居酒店&amp;全季酒店项目</v>
      </c>
      <c r="J1779" t="str">
        <f t="shared" si="408"/>
        <v>季度</v>
      </c>
      <c r="K1779" t="str">
        <f t="shared" si="409"/>
        <v>平均房价-美居酒店（元/间）</v>
      </c>
      <c r="L1779" t="str">
        <f t="shared" si="410"/>
        <v>广州天河体育中心美居酒店&amp;全季酒店项目|平均房价-美居酒店（元/间）|季度</v>
      </c>
      <c r="M1779">
        <f>IF($A1779="",0,IF(COUNTIF($L$2:$L1779,$L1779)=1,1,0))</f>
        <v>1</v>
      </c>
      <c r="N1779">
        <f t="shared" si="411"/>
        <v>20261</v>
      </c>
      <c r="O1779" t="str">
        <f t="shared" si="412"/>
        <v>华泰紫金华住安住封闭式商业不动产证券投资基金|2026Q1|季度</v>
      </c>
      <c r="P1779">
        <f>IF($A1779="",0,IF(COUNTIF($O$2:$O1779,$O1779)=1,1,0))</f>
        <v>0</v>
      </c>
      <c r="Q1779" t="str">
        <f>IF(AND($P1779=1,$A1779=经营数据!$B$3,$J1779=经营数据!$BA$5),COUNTIFS($P$2:$P$3000,1,$A$2:$A$3000,$A1779,$J$2:$J$3000,$J1779,$N$2:$N$3000,"&lt;"&amp;$N1779)+1,"")</f>
        <v/>
      </c>
      <c r="R1779" t="str">
        <f t="shared" si="413"/>
        <v>华泰紫金华住安住封闭式商业不动产证券投资基金|广州天河体育中心美居酒店&amp;全季酒店项目</v>
      </c>
      <c r="S1779">
        <f>IF($A1779="",0,IF(COUNTIF($R$2:$R1779,$R1779)=1,1,0))</f>
        <v>0</v>
      </c>
      <c r="T1779">
        <f t="shared" si="414"/>
        <v>1763</v>
      </c>
      <c r="U1779" t="str">
        <f>IF($A1779="","",IF($A1779=经营数据!$B$3,COUNTIFS($S$2:$S$3000,1,$A$2:$A$3000,$A1779,$T$2:$T$3000,"&lt;"&amp;$T1779)+1,""))</f>
        <v/>
      </c>
      <c r="V1779" t="str">
        <f t="shared" si="415"/>
        <v>广州天河体育中心美居酒店&amp;全季酒店项目|服务价格</v>
      </c>
      <c r="W1779">
        <f t="shared" si="416"/>
        <v>1764</v>
      </c>
      <c r="X1779" t="str">
        <f t="shared" si="417"/>
        <v>广州天河体育中心美居酒店&amp;全季酒店项目|平均房价</v>
      </c>
      <c r="Y1779">
        <f t="shared" si="418"/>
        <v>1764</v>
      </c>
      <c r="Z1779">
        <f>IF($A1779="",0,IF(AND($M1779=1,$A1779=经营数据!$B$3,$J1779=经营数据!$BA$5,OR($I1779=经营数据!$BA$4,COUNTIF(经营数据!$AA$9:$AA$38,$I1779)&gt;0)),1,0))</f>
        <v>0</v>
      </c>
      <c r="AA1779" t="str">
        <f t="shared" si="419"/>
        <v/>
      </c>
      <c r="AB1779" t="str">
        <f t="shared" si="420"/>
        <v/>
      </c>
      <c r="AC1779">
        <f>IF($A1779="",0,IF(COUNTIF($A$2:$A1779,$A1779)=1,1,0))</f>
        <v>0</v>
      </c>
      <c r="AD1779">
        <f t="shared" si="421"/>
        <v>21</v>
      </c>
      <c r="AE1779" t="str">
        <f t="shared" si="422"/>
        <v>广州天河体育中心美居酒店&amp;全季酒店项目|平均房价-美居酒店（元/间）</v>
      </c>
    </row>
    <row r="1780" spans="1:31" x14ac:dyDescent="0.4">
      <c r="A1780" t="str">
        <f>IF(原始经营数据!$D1781="","",原始经营数据!$D1781)</f>
        <v>广发新城吾悦封闭式商业不动产证券投资基金</v>
      </c>
      <c r="B1780" t="str">
        <f>IF(原始经营数据!$D1781="","",T(原始经营数据!$E1781))</f>
        <v>南通启东吾悦广场项目</v>
      </c>
      <c r="C1780" t="str">
        <f>IF(原始经营数据!$D1781="","",原始经营数据!$F1781)</f>
        <v>2022</v>
      </c>
      <c r="D1780" t="str">
        <f>IF(原始经营数据!$D1781="","",原始经营数据!$H1781)</f>
        <v>期末出租率</v>
      </c>
      <c r="E1780">
        <f>IF(原始经营数据!$D1781="","",原始经营数据!$I1781)</f>
        <v>100</v>
      </c>
      <c r="F1780" t="str">
        <f>IF(原始经营数据!$D1781="","",T(原始经营数据!$J1781))</f>
        <v>%</v>
      </c>
      <c r="G1780" t="str">
        <f>IF(原始经营数据!$D1781="","",T(原始经营数据!$K1781))</f>
        <v/>
      </c>
      <c r="H1780" t="str">
        <f>IF(原始经营数据!$D1781="","",原始经营数据!$G1781)</f>
        <v>服务效率</v>
      </c>
      <c r="I1780" t="str">
        <f>IF($A1780="","",IF($B1780&lt;&gt;"",$B1780,IF(COUNTIFS(原始经营数据!$D$3:$D$3001,$A1780,原始经营数据!$E$3:$E$3001,"",原始经营数据!$F$3:$F$3001,$C1780,原始经营数据!$H$3:$H$3001,$D1780,原始经营数据!$K$3:$K$3001,$G1780)&gt;1,"基金整体·来源"&amp;原始经营数据!$A1781,"基金整体")))</f>
        <v>南通启东吾悦广场项目</v>
      </c>
      <c r="J1780" t="str">
        <f t="shared" si="408"/>
        <v>年度</v>
      </c>
      <c r="K1780" t="str">
        <f t="shared" si="409"/>
        <v>期末出租率（%）</v>
      </c>
      <c r="L1780" t="str">
        <f t="shared" si="410"/>
        <v>南通启东吾悦广场项目|期末出租率（%）|年度</v>
      </c>
      <c r="M1780">
        <f>IF($A1780="",0,IF(COUNTIF($L$2:$L1780,$L1780)=1,1,0))</f>
        <v>1</v>
      </c>
      <c r="N1780">
        <f t="shared" si="411"/>
        <v>20220</v>
      </c>
      <c r="O1780" t="str">
        <f t="shared" si="412"/>
        <v>广发新城吾悦封闭式商业不动产证券投资基金|2022|年度</v>
      </c>
      <c r="P1780">
        <f>IF($A1780="",0,IF(COUNTIF($O$2:$O1780,$O1780)=1,1,0))</f>
        <v>1</v>
      </c>
      <c r="Q1780" t="str">
        <f>IF(AND($P1780=1,$A1780=经营数据!$B$3,$J1780=经营数据!$BA$5),COUNTIFS($P$2:$P$3000,1,$A$2:$A$3000,$A1780,$J$2:$J$3000,$J1780,$N$2:$N$3000,"&lt;"&amp;$N1780)+1,"")</f>
        <v/>
      </c>
      <c r="R1780" t="str">
        <f t="shared" si="413"/>
        <v>广发新城吾悦封闭式商业不动产证券投资基金|南通启东吾悦广场项目</v>
      </c>
      <c r="S1780">
        <f>IF($A1780="",0,IF(COUNTIF($R$2:$R1780,$R1780)=1,1,0))</f>
        <v>1</v>
      </c>
      <c r="T1780">
        <f t="shared" si="414"/>
        <v>1779</v>
      </c>
      <c r="U1780" t="str">
        <f>IF($A1780="","",IF($A1780=经营数据!$B$3,COUNTIFS($S$2:$S$3000,1,$A$2:$A$3000,$A1780,$T$2:$T$3000,"&lt;"&amp;$T1780)+1,""))</f>
        <v/>
      </c>
      <c r="V1780" t="str">
        <f t="shared" si="415"/>
        <v>南通启东吾悦广场项目|服务效率</v>
      </c>
      <c r="W1780">
        <f t="shared" si="416"/>
        <v>1779</v>
      </c>
      <c r="X1780" t="str">
        <f t="shared" si="417"/>
        <v>南通启东吾悦广场项目|期末出租率</v>
      </c>
      <c r="Y1780">
        <f t="shared" si="418"/>
        <v>1779</v>
      </c>
      <c r="Z1780">
        <f>IF($A1780="",0,IF(AND($M1780=1,$A1780=经营数据!$B$3,$J1780=经营数据!$BA$5,OR($I1780=经营数据!$BA$4,COUNTIF(经营数据!$AA$9:$AA$38,$I1780)&gt;0)),1,0))</f>
        <v>0</v>
      </c>
      <c r="AA1780" t="str">
        <f t="shared" si="419"/>
        <v/>
      </c>
      <c r="AB1780" t="str">
        <f t="shared" si="420"/>
        <v/>
      </c>
      <c r="AC1780">
        <f>IF($A1780="",0,IF(COUNTIF($A$2:$A1780,$A1780)=1,1,0))</f>
        <v>1</v>
      </c>
      <c r="AD1780">
        <f t="shared" si="421"/>
        <v>22</v>
      </c>
      <c r="AE1780" t="str">
        <f t="shared" si="422"/>
        <v>南通启东吾悦广场项目|期末出租率（%）</v>
      </c>
    </row>
    <row r="1781" spans="1:31" x14ac:dyDescent="0.4">
      <c r="A1781" t="str">
        <f>IF(原始经营数据!$D1782="","",原始经营数据!$D1782)</f>
        <v>广发新城吾悦封闭式商业不动产证券投资基金</v>
      </c>
      <c r="B1781" t="str">
        <f>IF(原始经营数据!$D1782="","",T(原始经营数据!$E1782))</f>
        <v>南通启东吾悦广场项目</v>
      </c>
      <c r="C1781" t="str">
        <f>IF(原始经营数据!$D1782="","",原始经营数据!$F1782)</f>
        <v>2022</v>
      </c>
      <c r="D1781" t="str">
        <f>IF(原始经营数据!$D1782="","",原始经营数据!$H1782)</f>
        <v>加权平均出租率</v>
      </c>
      <c r="E1781">
        <f>IF(原始经营数据!$D1782="","",原始经营数据!$I1782)</f>
        <v>100</v>
      </c>
      <c r="F1781" t="str">
        <f>IF(原始经营数据!$D1782="","",T(原始经营数据!$J1782))</f>
        <v>%</v>
      </c>
      <c r="G1781" t="str">
        <f>IF(原始经营数据!$D1782="","",T(原始经营数据!$K1782))</f>
        <v/>
      </c>
      <c r="H1781" t="str">
        <f>IF(原始经营数据!$D1782="","",原始经营数据!$G1782)</f>
        <v>服务效率</v>
      </c>
      <c r="I1781" t="str">
        <f>IF($A1781="","",IF($B1781&lt;&gt;"",$B1781,IF(COUNTIFS(原始经营数据!$D$3:$D$3001,$A1781,原始经营数据!$E$3:$E$3001,"",原始经营数据!$F$3:$F$3001,$C1781,原始经营数据!$H$3:$H$3001,$D1781,原始经营数据!$K$3:$K$3001,$G1781)&gt;1,"基金整体·来源"&amp;原始经营数据!$A1782,"基金整体")))</f>
        <v>南通启东吾悦广场项目</v>
      </c>
      <c r="J1781" t="str">
        <f t="shared" si="408"/>
        <v>年度</v>
      </c>
      <c r="K1781" t="str">
        <f t="shared" si="409"/>
        <v>加权平均出租率（%）</v>
      </c>
      <c r="L1781" t="str">
        <f t="shared" si="410"/>
        <v>南通启东吾悦广场项目|加权平均出租率（%）|年度</v>
      </c>
      <c r="M1781">
        <f>IF($A1781="",0,IF(COUNTIF($L$2:$L1781,$L1781)=1,1,0))</f>
        <v>1</v>
      </c>
      <c r="N1781">
        <f t="shared" si="411"/>
        <v>20220</v>
      </c>
      <c r="O1781" t="str">
        <f t="shared" si="412"/>
        <v>广发新城吾悦封闭式商业不动产证券投资基金|2022|年度</v>
      </c>
      <c r="P1781">
        <f>IF($A1781="",0,IF(COUNTIF($O$2:$O1781,$O1781)=1,1,0))</f>
        <v>0</v>
      </c>
      <c r="Q1781" t="str">
        <f>IF(AND($P1781=1,$A1781=经营数据!$B$3,$J1781=经营数据!$BA$5),COUNTIFS($P$2:$P$3000,1,$A$2:$A$3000,$A1781,$J$2:$J$3000,$J1781,$N$2:$N$3000,"&lt;"&amp;$N1781)+1,"")</f>
        <v/>
      </c>
      <c r="R1781" t="str">
        <f t="shared" si="413"/>
        <v>广发新城吾悦封闭式商业不动产证券投资基金|南通启东吾悦广场项目</v>
      </c>
      <c r="S1781">
        <f>IF($A1781="",0,IF(COUNTIF($R$2:$R1781,$R1781)=1,1,0))</f>
        <v>0</v>
      </c>
      <c r="T1781">
        <f t="shared" si="414"/>
        <v>1779</v>
      </c>
      <c r="U1781" t="str">
        <f>IF($A1781="","",IF($A1781=经营数据!$B$3,COUNTIFS($S$2:$S$3000,1,$A$2:$A$3000,$A1781,$T$2:$T$3000,"&lt;"&amp;$T1781)+1,""))</f>
        <v/>
      </c>
      <c r="V1781" t="str">
        <f t="shared" si="415"/>
        <v>南通启东吾悦广场项目|服务效率</v>
      </c>
      <c r="W1781">
        <f t="shared" si="416"/>
        <v>1779</v>
      </c>
      <c r="X1781" t="str">
        <f t="shared" si="417"/>
        <v>南通启东吾悦广场项目|加权平均出租率</v>
      </c>
      <c r="Y1781">
        <f t="shared" si="418"/>
        <v>1780</v>
      </c>
      <c r="Z1781">
        <f>IF($A1781="",0,IF(AND($M1781=1,$A1781=经营数据!$B$3,$J1781=经营数据!$BA$5,OR($I1781=经营数据!$BA$4,COUNTIF(经营数据!$AA$9:$AA$38,$I1781)&gt;0)),1,0))</f>
        <v>0</v>
      </c>
      <c r="AA1781" t="str">
        <f t="shared" si="419"/>
        <v/>
      </c>
      <c r="AB1781" t="str">
        <f t="shared" si="420"/>
        <v/>
      </c>
      <c r="AC1781">
        <f>IF($A1781="",0,IF(COUNTIF($A$2:$A1781,$A1781)=1,1,0))</f>
        <v>0</v>
      </c>
      <c r="AD1781">
        <f t="shared" si="421"/>
        <v>22</v>
      </c>
      <c r="AE1781" t="str">
        <f t="shared" si="422"/>
        <v>南通启东吾悦广场项目|加权平均出租率（%）</v>
      </c>
    </row>
    <row r="1782" spans="1:31" x14ac:dyDescent="0.4">
      <c r="A1782" t="str">
        <f>IF(原始经营数据!$D1783="","",原始经营数据!$D1783)</f>
        <v>广发新城吾悦封闭式商业不动产证券投资基金</v>
      </c>
      <c r="B1782" t="str">
        <f>IF(原始经营数据!$D1783="","",T(原始经营数据!$E1783))</f>
        <v>南通启东吾悦广场项目</v>
      </c>
      <c r="C1782" t="str">
        <f>IF(原始经营数据!$D1783="","",原始经营数据!$F1783)</f>
        <v>2022</v>
      </c>
      <c r="D1782" t="str">
        <f>IF(原始经营数据!$D1783="","",原始经营数据!$H1783)</f>
        <v>客流量</v>
      </c>
      <c r="E1782">
        <f>IF(原始经营数据!$D1783="","",原始经营数据!$I1783)</f>
        <v>2.4</v>
      </c>
      <c r="F1782" t="str">
        <f>IF(原始经营数据!$D1783="","",T(原始经营数据!$J1783))</f>
        <v>万人/日</v>
      </c>
      <c r="G1782" t="str">
        <f>IF(原始经营数据!$D1783="","",T(原始经营数据!$K1783))</f>
        <v/>
      </c>
      <c r="H1782" t="str">
        <f>IF(原始经营数据!$D1783="","",原始经营数据!$G1783)</f>
        <v>服务量</v>
      </c>
      <c r="I1782" t="str">
        <f>IF($A1782="","",IF($B1782&lt;&gt;"",$B1782,IF(COUNTIFS(原始经营数据!$D$3:$D$3001,$A1782,原始经营数据!$E$3:$E$3001,"",原始经营数据!$F$3:$F$3001,$C1782,原始经营数据!$H$3:$H$3001,$D1782,原始经营数据!$K$3:$K$3001,$G1782)&gt;1,"基金整体·来源"&amp;原始经营数据!$A1783,"基金整体")))</f>
        <v>南通启东吾悦广场项目</v>
      </c>
      <c r="J1782" t="str">
        <f t="shared" si="408"/>
        <v>年度</v>
      </c>
      <c r="K1782" t="str">
        <f t="shared" si="409"/>
        <v>客流量（万人/日）</v>
      </c>
      <c r="L1782" t="str">
        <f t="shared" si="410"/>
        <v>南通启东吾悦广场项目|客流量（万人/日）|年度</v>
      </c>
      <c r="M1782">
        <f>IF($A1782="",0,IF(COUNTIF($L$2:$L1782,$L1782)=1,1,0))</f>
        <v>1</v>
      </c>
      <c r="N1782">
        <f t="shared" si="411"/>
        <v>20220</v>
      </c>
      <c r="O1782" t="str">
        <f t="shared" si="412"/>
        <v>广发新城吾悦封闭式商业不动产证券投资基金|2022|年度</v>
      </c>
      <c r="P1782">
        <f>IF($A1782="",0,IF(COUNTIF($O$2:$O1782,$O1782)=1,1,0))</f>
        <v>0</v>
      </c>
      <c r="Q1782" t="str">
        <f>IF(AND($P1782=1,$A1782=经营数据!$B$3,$J1782=经营数据!$BA$5),COUNTIFS($P$2:$P$3000,1,$A$2:$A$3000,$A1782,$J$2:$J$3000,$J1782,$N$2:$N$3000,"&lt;"&amp;$N1782)+1,"")</f>
        <v/>
      </c>
      <c r="R1782" t="str">
        <f t="shared" si="413"/>
        <v>广发新城吾悦封闭式商业不动产证券投资基金|南通启东吾悦广场项目</v>
      </c>
      <c r="S1782">
        <f>IF($A1782="",0,IF(COUNTIF($R$2:$R1782,$R1782)=1,1,0))</f>
        <v>0</v>
      </c>
      <c r="T1782">
        <f t="shared" si="414"/>
        <v>1779</v>
      </c>
      <c r="U1782" t="str">
        <f>IF($A1782="","",IF($A1782=经营数据!$B$3,COUNTIFS($S$2:$S$3000,1,$A$2:$A$3000,$A1782,$T$2:$T$3000,"&lt;"&amp;$T1782)+1,""))</f>
        <v/>
      </c>
      <c r="V1782" t="str">
        <f t="shared" si="415"/>
        <v>南通启东吾悦广场项目|服务量</v>
      </c>
      <c r="W1782">
        <f t="shared" si="416"/>
        <v>1781</v>
      </c>
      <c r="X1782" t="str">
        <f t="shared" si="417"/>
        <v>南通启东吾悦广场项目|客流量</v>
      </c>
      <c r="Y1782">
        <f t="shared" si="418"/>
        <v>1781</v>
      </c>
      <c r="Z1782">
        <f>IF($A1782="",0,IF(AND($M1782=1,$A1782=经营数据!$B$3,$J1782=经营数据!$BA$5,OR($I1782=经营数据!$BA$4,COUNTIF(经营数据!$AA$9:$AA$38,$I1782)&gt;0)),1,0))</f>
        <v>0</v>
      </c>
      <c r="AA1782" t="str">
        <f t="shared" si="419"/>
        <v/>
      </c>
      <c r="AB1782" t="str">
        <f t="shared" si="420"/>
        <v/>
      </c>
      <c r="AC1782">
        <f>IF($A1782="",0,IF(COUNTIF($A$2:$A1782,$A1782)=1,1,0))</f>
        <v>0</v>
      </c>
      <c r="AD1782">
        <f t="shared" si="421"/>
        <v>22</v>
      </c>
      <c r="AE1782" t="str">
        <f t="shared" si="422"/>
        <v>南通启东吾悦广场项目|客流量（万人/日）</v>
      </c>
    </row>
    <row r="1783" spans="1:31" x14ac:dyDescent="0.4">
      <c r="A1783" t="str">
        <f>IF(原始经营数据!$D1784="","",原始经营数据!$D1784)</f>
        <v>广发新城吾悦封闭式商业不动产证券投资基金</v>
      </c>
      <c r="B1783" t="str">
        <f>IF(原始经营数据!$D1784="","",T(原始经营数据!$E1784))</f>
        <v>南通启东吾悦广场项目</v>
      </c>
      <c r="C1783" t="str">
        <f>IF(原始经营数据!$D1784="","",原始经营数据!$F1784)</f>
        <v>2023</v>
      </c>
      <c r="D1783" t="str">
        <f>IF(原始经营数据!$D1784="","",原始经营数据!$H1784)</f>
        <v>客流量</v>
      </c>
      <c r="E1783">
        <f>IF(原始经营数据!$D1784="","",原始经营数据!$I1784)</f>
        <v>2.96</v>
      </c>
      <c r="F1783" t="str">
        <f>IF(原始经营数据!$D1784="","",T(原始经营数据!$J1784))</f>
        <v>万人/日</v>
      </c>
      <c r="G1783" t="str">
        <f>IF(原始经营数据!$D1784="","",T(原始经营数据!$K1784))</f>
        <v/>
      </c>
      <c r="H1783" t="str">
        <f>IF(原始经营数据!$D1784="","",原始经营数据!$G1784)</f>
        <v>服务量</v>
      </c>
      <c r="I1783" t="str">
        <f>IF($A1783="","",IF($B1783&lt;&gt;"",$B1783,IF(COUNTIFS(原始经营数据!$D$3:$D$3001,$A1783,原始经营数据!$E$3:$E$3001,"",原始经营数据!$F$3:$F$3001,$C1783,原始经营数据!$H$3:$H$3001,$D1783,原始经营数据!$K$3:$K$3001,$G1783)&gt;1,"基金整体·来源"&amp;原始经营数据!$A1784,"基金整体")))</f>
        <v>南通启东吾悦广场项目</v>
      </c>
      <c r="J1783" t="str">
        <f t="shared" si="408"/>
        <v>年度</v>
      </c>
      <c r="K1783" t="str">
        <f t="shared" si="409"/>
        <v>客流量（万人/日）</v>
      </c>
      <c r="L1783" t="str">
        <f t="shared" si="410"/>
        <v>南通启东吾悦广场项目|客流量（万人/日）|年度</v>
      </c>
      <c r="M1783">
        <f>IF($A1783="",0,IF(COUNTIF($L$2:$L1783,$L1783)=1,1,0))</f>
        <v>0</v>
      </c>
      <c r="N1783">
        <f t="shared" si="411"/>
        <v>20230</v>
      </c>
      <c r="O1783" t="str">
        <f t="shared" si="412"/>
        <v>广发新城吾悦封闭式商业不动产证券投资基金|2023|年度</v>
      </c>
      <c r="P1783">
        <f>IF($A1783="",0,IF(COUNTIF($O$2:$O1783,$O1783)=1,1,0))</f>
        <v>1</v>
      </c>
      <c r="Q1783" t="str">
        <f>IF(AND($P1783=1,$A1783=经营数据!$B$3,$J1783=经营数据!$BA$5),COUNTIFS($P$2:$P$3000,1,$A$2:$A$3000,$A1783,$J$2:$J$3000,$J1783,$N$2:$N$3000,"&lt;"&amp;$N1783)+1,"")</f>
        <v/>
      </c>
      <c r="R1783" t="str">
        <f t="shared" si="413"/>
        <v>广发新城吾悦封闭式商业不动产证券投资基金|南通启东吾悦广场项目</v>
      </c>
      <c r="S1783">
        <f>IF($A1783="",0,IF(COUNTIF($R$2:$R1783,$R1783)=1,1,0))</f>
        <v>0</v>
      </c>
      <c r="T1783">
        <f t="shared" si="414"/>
        <v>1779</v>
      </c>
      <c r="U1783" t="str">
        <f>IF($A1783="","",IF($A1783=经营数据!$B$3,COUNTIFS($S$2:$S$3000,1,$A$2:$A$3000,$A1783,$T$2:$T$3000,"&lt;"&amp;$T1783)+1,""))</f>
        <v/>
      </c>
      <c r="V1783" t="str">
        <f t="shared" si="415"/>
        <v>南通启东吾悦广场项目|服务量</v>
      </c>
      <c r="W1783">
        <f t="shared" si="416"/>
        <v>1781</v>
      </c>
      <c r="X1783" t="str">
        <f t="shared" si="417"/>
        <v>南通启东吾悦广场项目|客流量</v>
      </c>
      <c r="Y1783">
        <f t="shared" si="418"/>
        <v>1781</v>
      </c>
      <c r="Z1783">
        <f>IF($A1783="",0,IF(AND($M1783=1,$A1783=经营数据!$B$3,$J1783=经营数据!$BA$5,OR($I1783=经营数据!$BA$4,COUNTIF(经营数据!$AA$9:$AA$38,$I1783)&gt;0)),1,0))</f>
        <v>0</v>
      </c>
      <c r="AA1783" t="str">
        <f t="shared" si="419"/>
        <v/>
      </c>
      <c r="AB1783" t="str">
        <f t="shared" si="420"/>
        <v/>
      </c>
      <c r="AC1783">
        <f>IF($A1783="",0,IF(COUNTIF($A$2:$A1783,$A1783)=1,1,0))</f>
        <v>0</v>
      </c>
      <c r="AD1783">
        <f t="shared" si="421"/>
        <v>22</v>
      </c>
      <c r="AE1783" t="str">
        <f t="shared" si="422"/>
        <v>南通启东吾悦广场项目|客流量（万人/日）</v>
      </c>
    </row>
    <row r="1784" spans="1:31" x14ac:dyDescent="0.4">
      <c r="A1784" t="str">
        <f>IF(原始经营数据!$D1785="","",原始经营数据!$D1785)</f>
        <v>广发新城吾悦封闭式商业不动产证券投资基金</v>
      </c>
      <c r="B1784" t="str">
        <f>IF(原始经营数据!$D1785="","",T(原始经营数据!$E1785))</f>
        <v>南通启东吾悦广场项目</v>
      </c>
      <c r="C1784" t="str">
        <f>IF(原始经营数据!$D1785="","",原始经营数据!$F1785)</f>
        <v>2023</v>
      </c>
      <c r="D1784" t="str">
        <f>IF(原始经营数据!$D1785="","",原始经营数据!$H1785)</f>
        <v>加权平均出租率</v>
      </c>
      <c r="E1784">
        <f>IF(原始经营数据!$D1785="","",原始经营数据!$I1785)</f>
        <v>98.77</v>
      </c>
      <c r="F1784" t="str">
        <f>IF(原始经营数据!$D1785="","",T(原始经营数据!$J1785))</f>
        <v>%</v>
      </c>
      <c r="G1784" t="str">
        <f>IF(原始经营数据!$D1785="","",T(原始经营数据!$K1785))</f>
        <v/>
      </c>
      <c r="H1784" t="str">
        <f>IF(原始经营数据!$D1785="","",原始经营数据!$G1785)</f>
        <v>服务效率</v>
      </c>
      <c r="I1784" t="str">
        <f>IF($A1784="","",IF($B1784&lt;&gt;"",$B1784,IF(COUNTIFS(原始经营数据!$D$3:$D$3001,$A1784,原始经营数据!$E$3:$E$3001,"",原始经营数据!$F$3:$F$3001,$C1784,原始经营数据!$H$3:$H$3001,$D1784,原始经营数据!$K$3:$K$3001,$G1784)&gt;1,"基金整体·来源"&amp;原始经营数据!$A1785,"基金整体")))</f>
        <v>南通启东吾悦广场项目</v>
      </c>
      <c r="J1784" t="str">
        <f t="shared" si="408"/>
        <v>年度</v>
      </c>
      <c r="K1784" t="str">
        <f t="shared" si="409"/>
        <v>加权平均出租率（%）</v>
      </c>
      <c r="L1784" t="str">
        <f t="shared" si="410"/>
        <v>南通启东吾悦广场项目|加权平均出租率（%）|年度</v>
      </c>
      <c r="M1784">
        <f>IF($A1784="",0,IF(COUNTIF($L$2:$L1784,$L1784)=1,1,0))</f>
        <v>0</v>
      </c>
      <c r="N1784">
        <f t="shared" si="411"/>
        <v>20230</v>
      </c>
      <c r="O1784" t="str">
        <f t="shared" si="412"/>
        <v>广发新城吾悦封闭式商业不动产证券投资基金|2023|年度</v>
      </c>
      <c r="P1784">
        <f>IF($A1784="",0,IF(COUNTIF($O$2:$O1784,$O1784)=1,1,0))</f>
        <v>0</v>
      </c>
      <c r="Q1784" t="str">
        <f>IF(AND($P1784=1,$A1784=经营数据!$B$3,$J1784=经营数据!$BA$5),COUNTIFS($P$2:$P$3000,1,$A$2:$A$3000,$A1784,$J$2:$J$3000,$J1784,$N$2:$N$3000,"&lt;"&amp;$N1784)+1,"")</f>
        <v/>
      </c>
      <c r="R1784" t="str">
        <f t="shared" si="413"/>
        <v>广发新城吾悦封闭式商业不动产证券投资基金|南通启东吾悦广场项目</v>
      </c>
      <c r="S1784">
        <f>IF($A1784="",0,IF(COUNTIF($R$2:$R1784,$R1784)=1,1,0))</f>
        <v>0</v>
      </c>
      <c r="T1784">
        <f t="shared" si="414"/>
        <v>1779</v>
      </c>
      <c r="U1784" t="str">
        <f>IF($A1784="","",IF($A1784=经营数据!$B$3,COUNTIFS($S$2:$S$3000,1,$A$2:$A$3000,$A1784,$T$2:$T$3000,"&lt;"&amp;$T1784)+1,""))</f>
        <v/>
      </c>
      <c r="V1784" t="str">
        <f t="shared" si="415"/>
        <v>南通启东吾悦广场项目|服务效率</v>
      </c>
      <c r="W1784">
        <f t="shared" si="416"/>
        <v>1779</v>
      </c>
      <c r="X1784" t="str">
        <f t="shared" si="417"/>
        <v>南通启东吾悦广场项目|加权平均出租率</v>
      </c>
      <c r="Y1784">
        <f t="shared" si="418"/>
        <v>1780</v>
      </c>
      <c r="Z1784">
        <f>IF($A1784="",0,IF(AND($M1784=1,$A1784=经营数据!$B$3,$J1784=经营数据!$BA$5,OR($I1784=经营数据!$BA$4,COUNTIF(经营数据!$AA$9:$AA$38,$I1784)&gt;0)),1,0))</f>
        <v>0</v>
      </c>
      <c r="AA1784" t="str">
        <f t="shared" si="419"/>
        <v/>
      </c>
      <c r="AB1784" t="str">
        <f t="shared" si="420"/>
        <v/>
      </c>
      <c r="AC1784">
        <f>IF($A1784="",0,IF(COUNTIF($A$2:$A1784,$A1784)=1,1,0))</f>
        <v>0</v>
      </c>
      <c r="AD1784">
        <f t="shared" si="421"/>
        <v>22</v>
      </c>
      <c r="AE1784" t="str">
        <f t="shared" si="422"/>
        <v>南通启东吾悦广场项目|加权平均出租率（%）</v>
      </c>
    </row>
    <row r="1785" spans="1:31" x14ac:dyDescent="0.4">
      <c r="A1785" t="str">
        <f>IF(原始经营数据!$D1786="","",原始经营数据!$D1786)</f>
        <v>广发新城吾悦封闭式商业不动产证券投资基金</v>
      </c>
      <c r="B1785" t="str">
        <f>IF(原始经营数据!$D1786="","",T(原始经营数据!$E1786))</f>
        <v>南通启东吾悦广场项目</v>
      </c>
      <c r="C1785" t="str">
        <f>IF(原始经营数据!$D1786="","",原始经营数据!$F1786)</f>
        <v>2023</v>
      </c>
      <c r="D1785" t="str">
        <f>IF(原始经营数据!$D1786="","",原始经营数据!$H1786)</f>
        <v>期末出租率</v>
      </c>
      <c r="E1785">
        <f>IF(原始经营数据!$D1786="","",原始经营数据!$I1786)</f>
        <v>100</v>
      </c>
      <c r="F1785" t="str">
        <f>IF(原始经营数据!$D1786="","",T(原始经营数据!$J1786))</f>
        <v>%</v>
      </c>
      <c r="G1785" t="str">
        <f>IF(原始经营数据!$D1786="","",T(原始经营数据!$K1786))</f>
        <v/>
      </c>
      <c r="H1785" t="str">
        <f>IF(原始经营数据!$D1786="","",原始经营数据!$G1786)</f>
        <v>服务效率</v>
      </c>
      <c r="I1785" t="str">
        <f>IF($A1785="","",IF($B1785&lt;&gt;"",$B1785,IF(COUNTIFS(原始经营数据!$D$3:$D$3001,$A1785,原始经营数据!$E$3:$E$3001,"",原始经营数据!$F$3:$F$3001,$C1785,原始经营数据!$H$3:$H$3001,$D1785,原始经营数据!$K$3:$K$3001,$G1785)&gt;1,"基金整体·来源"&amp;原始经营数据!$A1786,"基金整体")))</f>
        <v>南通启东吾悦广场项目</v>
      </c>
      <c r="J1785" t="str">
        <f t="shared" si="408"/>
        <v>年度</v>
      </c>
      <c r="K1785" t="str">
        <f t="shared" si="409"/>
        <v>期末出租率（%）</v>
      </c>
      <c r="L1785" t="str">
        <f t="shared" si="410"/>
        <v>南通启东吾悦广场项目|期末出租率（%）|年度</v>
      </c>
      <c r="M1785">
        <f>IF($A1785="",0,IF(COUNTIF($L$2:$L1785,$L1785)=1,1,0))</f>
        <v>0</v>
      </c>
      <c r="N1785">
        <f t="shared" si="411"/>
        <v>20230</v>
      </c>
      <c r="O1785" t="str">
        <f t="shared" si="412"/>
        <v>广发新城吾悦封闭式商业不动产证券投资基金|2023|年度</v>
      </c>
      <c r="P1785">
        <f>IF($A1785="",0,IF(COUNTIF($O$2:$O1785,$O1785)=1,1,0))</f>
        <v>0</v>
      </c>
      <c r="Q1785" t="str">
        <f>IF(AND($P1785=1,$A1785=经营数据!$B$3,$J1785=经营数据!$BA$5),COUNTIFS($P$2:$P$3000,1,$A$2:$A$3000,$A1785,$J$2:$J$3000,$J1785,$N$2:$N$3000,"&lt;"&amp;$N1785)+1,"")</f>
        <v/>
      </c>
      <c r="R1785" t="str">
        <f t="shared" si="413"/>
        <v>广发新城吾悦封闭式商业不动产证券投资基金|南通启东吾悦广场项目</v>
      </c>
      <c r="S1785">
        <f>IF($A1785="",0,IF(COUNTIF($R$2:$R1785,$R1785)=1,1,0))</f>
        <v>0</v>
      </c>
      <c r="T1785">
        <f t="shared" si="414"/>
        <v>1779</v>
      </c>
      <c r="U1785" t="str">
        <f>IF($A1785="","",IF($A1785=经营数据!$B$3,COUNTIFS($S$2:$S$3000,1,$A$2:$A$3000,$A1785,$T$2:$T$3000,"&lt;"&amp;$T1785)+1,""))</f>
        <v/>
      </c>
      <c r="V1785" t="str">
        <f t="shared" si="415"/>
        <v>南通启东吾悦广场项目|服务效率</v>
      </c>
      <c r="W1785">
        <f t="shared" si="416"/>
        <v>1779</v>
      </c>
      <c r="X1785" t="str">
        <f t="shared" si="417"/>
        <v>南通启东吾悦广场项目|期末出租率</v>
      </c>
      <c r="Y1785">
        <f t="shared" si="418"/>
        <v>1779</v>
      </c>
      <c r="Z1785">
        <f>IF($A1785="",0,IF(AND($M1785=1,$A1785=经营数据!$B$3,$J1785=经营数据!$BA$5,OR($I1785=经营数据!$BA$4,COUNTIF(经营数据!$AA$9:$AA$38,$I1785)&gt;0)),1,0))</f>
        <v>0</v>
      </c>
      <c r="AA1785" t="str">
        <f t="shared" si="419"/>
        <v/>
      </c>
      <c r="AB1785" t="str">
        <f t="shared" si="420"/>
        <v/>
      </c>
      <c r="AC1785">
        <f>IF($A1785="",0,IF(COUNTIF($A$2:$A1785,$A1785)=1,1,0))</f>
        <v>0</v>
      </c>
      <c r="AD1785">
        <f t="shared" si="421"/>
        <v>22</v>
      </c>
      <c r="AE1785" t="str">
        <f t="shared" si="422"/>
        <v>南通启东吾悦广场项目|期末出租率（%）</v>
      </c>
    </row>
    <row r="1786" spans="1:31" x14ac:dyDescent="0.4">
      <c r="A1786" t="str">
        <f>IF(原始经营数据!$D1787="","",原始经营数据!$D1787)</f>
        <v>广发新城吾悦封闭式商业不动产证券投资基金</v>
      </c>
      <c r="B1786" t="str">
        <f>IF(原始经营数据!$D1787="","",T(原始经营数据!$E1787))</f>
        <v>南通启东吾悦广场项目</v>
      </c>
      <c r="C1786" t="str">
        <f>IF(原始经营数据!$D1787="","",原始经营数据!$F1787)</f>
        <v>2024</v>
      </c>
      <c r="D1786" t="str">
        <f>IF(原始经营数据!$D1787="","",原始经营数据!$H1787)</f>
        <v>期末出租率</v>
      </c>
      <c r="E1786">
        <f>IF(原始经营数据!$D1787="","",原始经营数据!$I1787)</f>
        <v>100</v>
      </c>
      <c r="F1786" t="str">
        <f>IF(原始经营数据!$D1787="","",T(原始经营数据!$J1787))</f>
        <v>%</v>
      </c>
      <c r="G1786" t="str">
        <f>IF(原始经营数据!$D1787="","",T(原始经营数据!$K1787))</f>
        <v/>
      </c>
      <c r="H1786" t="str">
        <f>IF(原始经营数据!$D1787="","",原始经营数据!$G1787)</f>
        <v>服务效率</v>
      </c>
      <c r="I1786" t="str">
        <f>IF($A1786="","",IF($B1786&lt;&gt;"",$B1786,IF(COUNTIFS(原始经营数据!$D$3:$D$3001,$A1786,原始经营数据!$E$3:$E$3001,"",原始经营数据!$F$3:$F$3001,$C1786,原始经营数据!$H$3:$H$3001,$D1786,原始经营数据!$K$3:$K$3001,$G1786)&gt;1,"基金整体·来源"&amp;原始经营数据!$A1787,"基金整体")))</f>
        <v>南通启东吾悦广场项目</v>
      </c>
      <c r="J1786" t="str">
        <f t="shared" si="408"/>
        <v>年度</v>
      </c>
      <c r="K1786" t="str">
        <f t="shared" si="409"/>
        <v>期末出租率（%）</v>
      </c>
      <c r="L1786" t="str">
        <f t="shared" si="410"/>
        <v>南通启东吾悦广场项目|期末出租率（%）|年度</v>
      </c>
      <c r="M1786">
        <f>IF($A1786="",0,IF(COUNTIF($L$2:$L1786,$L1786)=1,1,0))</f>
        <v>0</v>
      </c>
      <c r="N1786">
        <f t="shared" si="411"/>
        <v>20240</v>
      </c>
      <c r="O1786" t="str">
        <f t="shared" si="412"/>
        <v>广发新城吾悦封闭式商业不动产证券投资基金|2024|年度</v>
      </c>
      <c r="P1786">
        <f>IF($A1786="",0,IF(COUNTIF($O$2:$O1786,$O1786)=1,1,0))</f>
        <v>1</v>
      </c>
      <c r="Q1786" t="str">
        <f>IF(AND($P1786=1,$A1786=经营数据!$B$3,$J1786=经营数据!$BA$5),COUNTIFS($P$2:$P$3000,1,$A$2:$A$3000,$A1786,$J$2:$J$3000,$J1786,$N$2:$N$3000,"&lt;"&amp;$N1786)+1,"")</f>
        <v/>
      </c>
      <c r="R1786" t="str">
        <f t="shared" si="413"/>
        <v>广发新城吾悦封闭式商业不动产证券投资基金|南通启东吾悦广场项目</v>
      </c>
      <c r="S1786">
        <f>IF($A1786="",0,IF(COUNTIF($R$2:$R1786,$R1786)=1,1,0))</f>
        <v>0</v>
      </c>
      <c r="T1786">
        <f t="shared" si="414"/>
        <v>1779</v>
      </c>
      <c r="U1786" t="str">
        <f>IF($A1786="","",IF($A1786=经营数据!$B$3,COUNTIFS($S$2:$S$3000,1,$A$2:$A$3000,$A1786,$T$2:$T$3000,"&lt;"&amp;$T1786)+1,""))</f>
        <v/>
      </c>
      <c r="V1786" t="str">
        <f t="shared" si="415"/>
        <v>南通启东吾悦广场项目|服务效率</v>
      </c>
      <c r="W1786">
        <f t="shared" si="416"/>
        <v>1779</v>
      </c>
      <c r="X1786" t="str">
        <f t="shared" si="417"/>
        <v>南通启东吾悦广场项目|期末出租率</v>
      </c>
      <c r="Y1786">
        <f t="shared" si="418"/>
        <v>1779</v>
      </c>
      <c r="Z1786">
        <f>IF($A1786="",0,IF(AND($M1786=1,$A1786=经营数据!$B$3,$J1786=经营数据!$BA$5,OR($I1786=经营数据!$BA$4,COUNTIF(经营数据!$AA$9:$AA$38,$I1786)&gt;0)),1,0))</f>
        <v>0</v>
      </c>
      <c r="AA1786" t="str">
        <f t="shared" si="419"/>
        <v/>
      </c>
      <c r="AB1786" t="str">
        <f t="shared" si="420"/>
        <v/>
      </c>
      <c r="AC1786">
        <f>IF($A1786="",0,IF(COUNTIF($A$2:$A1786,$A1786)=1,1,0))</f>
        <v>0</v>
      </c>
      <c r="AD1786">
        <f t="shared" si="421"/>
        <v>22</v>
      </c>
      <c r="AE1786" t="str">
        <f t="shared" si="422"/>
        <v>南通启东吾悦广场项目|期末出租率（%）</v>
      </c>
    </row>
    <row r="1787" spans="1:31" x14ac:dyDescent="0.4">
      <c r="A1787" t="str">
        <f>IF(原始经营数据!$D1788="","",原始经营数据!$D1788)</f>
        <v>广发新城吾悦封闭式商业不动产证券投资基金</v>
      </c>
      <c r="B1787" t="str">
        <f>IF(原始经营数据!$D1788="","",T(原始经营数据!$E1788))</f>
        <v>南通启东吾悦广场项目</v>
      </c>
      <c r="C1787" t="str">
        <f>IF(原始经营数据!$D1788="","",原始经营数据!$F1788)</f>
        <v>2024</v>
      </c>
      <c r="D1787" t="str">
        <f>IF(原始经营数据!$D1788="","",原始经营数据!$H1788)</f>
        <v>加权平均出租率</v>
      </c>
      <c r="E1787">
        <f>IF(原始经营数据!$D1788="","",原始经营数据!$I1788)</f>
        <v>100</v>
      </c>
      <c r="F1787" t="str">
        <f>IF(原始经营数据!$D1788="","",T(原始经营数据!$J1788))</f>
        <v>%</v>
      </c>
      <c r="G1787" t="str">
        <f>IF(原始经营数据!$D1788="","",T(原始经营数据!$K1788))</f>
        <v/>
      </c>
      <c r="H1787" t="str">
        <f>IF(原始经营数据!$D1788="","",原始经营数据!$G1788)</f>
        <v>服务效率</v>
      </c>
      <c r="I1787" t="str">
        <f>IF($A1787="","",IF($B1787&lt;&gt;"",$B1787,IF(COUNTIFS(原始经营数据!$D$3:$D$3001,$A1787,原始经营数据!$E$3:$E$3001,"",原始经营数据!$F$3:$F$3001,$C1787,原始经营数据!$H$3:$H$3001,$D1787,原始经营数据!$K$3:$K$3001,$G1787)&gt;1,"基金整体·来源"&amp;原始经营数据!$A1788,"基金整体")))</f>
        <v>南通启东吾悦广场项目</v>
      </c>
      <c r="J1787" t="str">
        <f t="shared" si="408"/>
        <v>年度</v>
      </c>
      <c r="K1787" t="str">
        <f t="shared" si="409"/>
        <v>加权平均出租率（%）</v>
      </c>
      <c r="L1787" t="str">
        <f t="shared" si="410"/>
        <v>南通启东吾悦广场项目|加权平均出租率（%）|年度</v>
      </c>
      <c r="M1787">
        <f>IF($A1787="",0,IF(COUNTIF($L$2:$L1787,$L1787)=1,1,0))</f>
        <v>0</v>
      </c>
      <c r="N1787">
        <f t="shared" si="411"/>
        <v>20240</v>
      </c>
      <c r="O1787" t="str">
        <f t="shared" si="412"/>
        <v>广发新城吾悦封闭式商业不动产证券投资基金|2024|年度</v>
      </c>
      <c r="P1787">
        <f>IF($A1787="",0,IF(COUNTIF($O$2:$O1787,$O1787)=1,1,0))</f>
        <v>0</v>
      </c>
      <c r="Q1787" t="str">
        <f>IF(AND($P1787=1,$A1787=经营数据!$B$3,$J1787=经营数据!$BA$5),COUNTIFS($P$2:$P$3000,1,$A$2:$A$3000,$A1787,$J$2:$J$3000,$J1787,$N$2:$N$3000,"&lt;"&amp;$N1787)+1,"")</f>
        <v/>
      </c>
      <c r="R1787" t="str">
        <f t="shared" si="413"/>
        <v>广发新城吾悦封闭式商业不动产证券投资基金|南通启东吾悦广场项目</v>
      </c>
      <c r="S1787">
        <f>IF($A1787="",0,IF(COUNTIF($R$2:$R1787,$R1787)=1,1,0))</f>
        <v>0</v>
      </c>
      <c r="T1787">
        <f t="shared" si="414"/>
        <v>1779</v>
      </c>
      <c r="U1787" t="str">
        <f>IF($A1787="","",IF($A1787=经营数据!$B$3,COUNTIFS($S$2:$S$3000,1,$A$2:$A$3000,$A1787,$T$2:$T$3000,"&lt;"&amp;$T1787)+1,""))</f>
        <v/>
      </c>
      <c r="V1787" t="str">
        <f t="shared" si="415"/>
        <v>南通启东吾悦广场项目|服务效率</v>
      </c>
      <c r="W1787">
        <f t="shared" si="416"/>
        <v>1779</v>
      </c>
      <c r="X1787" t="str">
        <f t="shared" si="417"/>
        <v>南通启东吾悦广场项目|加权平均出租率</v>
      </c>
      <c r="Y1787">
        <f t="shared" si="418"/>
        <v>1780</v>
      </c>
      <c r="Z1787">
        <f>IF($A1787="",0,IF(AND($M1787=1,$A1787=经营数据!$B$3,$J1787=经营数据!$BA$5,OR($I1787=经营数据!$BA$4,COUNTIF(经营数据!$AA$9:$AA$38,$I1787)&gt;0)),1,0))</f>
        <v>0</v>
      </c>
      <c r="AA1787" t="str">
        <f t="shared" si="419"/>
        <v/>
      </c>
      <c r="AB1787" t="str">
        <f t="shared" si="420"/>
        <v/>
      </c>
      <c r="AC1787">
        <f>IF($A1787="",0,IF(COUNTIF($A$2:$A1787,$A1787)=1,1,0))</f>
        <v>0</v>
      </c>
      <c r="AD1787">
        <f t="shared" si="421"/>
        <v>22</v>
      </c>
      <c r="AE1787" t="str">
        <f t="shared" si="422"/>
        <v>南通启东吾悦广场项目|加权平均出租率（%）</v>
      </c>
    </row>
    <row r="1788" spans="1:31" x14ac:dyDescent="0.4">
      <c r="A1788" t="str">
        <f>IF(原始经营数据!$D1789="","",原始经营数据!$D1789)</f>
        <v>广发新城吾悦封闭式商业不动产证券投资基金</v>
      </c>
      <c r="B1788" t="str">
        <f>IF(原始经营数据!$D1789="","",T(原始经营数据!$E1789))</f>
        <v>南通启东吾悦广场项目</v>
      </c>
      <c r="C1788" t="str">
        <f>IF(原始经营数据!$D1789="","",原始经营数据!$F1789)</f>
        <v>2024</v>
      </c>
      <c r="D1788" t="str">
        <f>IF(原始经营数据!$D1789="","",原始经营数据!$H1789)</f>
        <v>客流量</v>
      </c>
      <c r="E1788">
        <f>IF(原始经营数据!$D1789="","",原始经营数据!$I1789)</f>
        <v>3.04</v>
      </c>
      <c r="F1788" t="str">
        <f>IF(原始经营数据!$D1789="","",T(原始经营数据!$J1789))</f>
        <v>万人/日</v>
      </c>
      <c r="G1788" t="str">
        <f>IF(原始经营数据!$D1789="","",T(原始经营数据!$K1789))</f>
        <v/>
      </c>
      <c r="H1788" t="str">
        <f>IF(原始经营数据!$D1789="","",原始经营数据!$G1789)</f>
        <v>服务量</v>
      </c>
      <c r="I1788" t="str">
        <f>IF($A1788="","",IF($B1788&lt;&gt;"",$B1788,IF(COUNTIFS(原始经营数据!$D$3:$D$3001,$A1788,原始经营数据!$E$3:$E$3001,"",原始经营数据!$F$3:$F$3001,$C1788,原始经营数据!$H$3:$H$3001,$D1788,原始经营数据!$K$3:$K$3001,$G1788)&gt;1,"基金整体·来源"&amp;原始经营数据!$A1789,"基金整体")))</f>
        <v>南通启东吾悦广场项目</v>
      </c>
      <c r="J1788" t="str">
        <f t="shared" si="408"/>
        <v>年度</v>
      </c>
      <c r="K1788" t="str">
        <f t="shared" si="409"/>
        <v>客流量（万人/日）</v>
      </c>
      <c r="L1788" t="str">
        <f t="shared" si="410"/>
        <v>南通启东吾悦广场项目|客流量（万人/日）|年度</v>
      </c>
      <c r="M1788">
        <f>IF($A1788="",0,IF(COUNTIF($L$2:$L1788,$L1788)=1,1,0))</f>
        <v>0</v>
      </c>
      <c r="N1788">
        <f t="shared" si="411"/>
        <v>20240</v>
      </c>
      <c r="O1788" t="str">
        <f t="shared" si="412"/>
        <v>广发新城吾悦封闭式商业不动产证券投资基金|2024|年度</v>
      </c>
      <c r="P1788">
        <f>IF($A1788="",0,IF(COUNTIF($O$2:$O1788,$O1788)=1,1,0))</f>
        <v>0</v>
      </c>
      <c r="Q1788" t="str">
        <f>IF(AND($P1788=1,$A1788=经营数据!$B$3,$J1788=经营数据!$BA$5),COUNTIFS($P$2:$P$3000,1,$A$2:$A$3000,$A1788,$J$2:$J$3000,$J1788,$N$2:$N$3000,"&lt;"&amp;$N1788)+1,"")</f>
        <v/>
      </c>
      <c r="R1788" t="str">
        <f t="shared" si="413"/>
        <v>广发新城吾悦封闭式商业不动产证券投资基金|南通启东吾悦广场项目</v>
      </c>
      <c r="S1788">
        <f>IF($A1788="",0,IF(COUNTIF($R$2:$R1788,$R1788)=1,1,0))</f>
        <v>0</v>
      </c>
      <c r="T1788">
        <f t="shared" si="414"/>
        <v>1779</v>
      </c>
      <c r="U1788" t="str">
        <f>IF($A1788="","",IF($A1788=经营数据!$B$3,COUNTIFS($S$2:$S$3000,1,$A$2:$A$3000,$A1788,$T$2:$T$3000,"&lt;"&amp;$T1788)+1,""))</f>
        <v/>
      </c>
      <c r="V1788" t="str">
        <f t="shared" si="415"/>
        <v>南通启东吾悦广场项目|服务量</v>
      </c>
      <c r="W1788">
        <f t="shared" si="416"/>
        <v>1781</v>
      </c>
      <c r="X1788" t="str">
        <f t="shared" si="417"/>
        <v>南通启东吾悦广场项目|客流量</v>
      </c>
      <c r="Y1788">
        <f t="shared" si="418"/>
        <v>1781</v>
      </c>
      <c r="Z1788">
        <f>IF($A1788="",0,IF(AND($M1788=1,$A1788=经营数据!$B$3,$J1788=经营数据!$BA$5,OR($I1788=经营数据!$BA$4,COUNTIF(经营数据!$AA$9:$AA$38,$I1788)&gt;0)),1,0))</f>
        <v>0</v>
      </c>
      <c r="AA1788" t="str">
        <f t="shared" si="419"/>
        <v/>
      </c>
      <c r="AB1788" t="str">
        <f t="shared" si="420"/>
        <v/>
      </c>
      <c r="AC1788">
        <f>IF($A1788="",0,IF(COUNTIF($A$2:$A1788,$A1788)=1,1,0))</f>
        <v>0</v>
      </c>
      <c r="AD1788">
        <f t="shared" si="421"/>
        <v>22</v>
      </c>
      <c r="AE1788" t="str">
        <f t="shared" si="422"/>
        <v>南通启东吾悦广场项目|客流量（万人/日）</v>
      </c>
    </row>
    <row r="1789" spans="1:31" x14ac:dyDescent="0.4">
      <c r="A1789" t="str">
        <f>IF(原始经营数据!$D1790="","",原始经营数据!$D1790)</f>
        <v>广发新城吾悦封闭式商业不动产证券投资基金</v>
      </c>
      <c r="B1789" t="str">
        <f>IF(原始经营数据!$D1790="","",T(原始经营数据!$E1790))</f>
        <v>南通启东吾悦广场项目</v>
      </c>
      <c r="C1789" t="str">
        <f>IF(原始经营数据!$D1790="","",原始经营数据!$F1790)</f>
        <v>2025</v>
      </c>
      <c r="D1789" t="str">
        <f>IF(原始经营数据!$D1790="","",原始经营数据!$H1790)</f>
        <v>加权平均出租率</v>
      </c>
      <c r="E1789">
        <f>IF(原始经营数据!$D1790="","",原始经营数据!$I1790)</f>
        <v>99.67</v>
      </c>
      <c r="F1789" t="str">
        <f>IF(原始经营数据!$D1790="","",T(原始经营数据!$J1790))</f>
        <v>%</v>
      </c>
      <c r="G1789" t="str">
        <f>IF(原始经营数据!$D1790="","",T(原始经营数据!$K1790))</f>
        <v/>
      </c>
      <c r="H1789" t="str">
        <f>IF(原始经营数据!$D1790="","",原始经营数据!$G1790)</f>
        <v>服务效率</v>
      </c>
      <c r="I1789" t="str">
        <f>IF($A1789="","",IF($B1789&lt;&gt;"",$B1789,IF(COUNTIFS(原始经营数据!$D$3:$D$3001,$A1789,原始经营数据!$E$3:$E$3001,"",原始经营数据!$F$3:$F$3001,$C1789,原始经营数据!$H$3:$H$3001,$D1789,原始经营数据!$K$3:$K$3001,$G1789)&gt;1,"基金整体·来源"&amp;原始经营数据!$A1790,"基金整体")))</f>
        <v>南通启东吾悦广场项目</v>
      </c>
      <c r="J1789" t="str">
        <f t="shared" si="408"/>
        <v>年度</v>
      </c>
      <c r="K1789" t="str">
        <f t="shared" si="409"/>
        <v>加权平均出租率（%）</v>
      </c>
      <c r="L1789" t="str">
        <f t="shared" si="410"/>
        <v>南通启东吾悦广场项目|加权平均出租率（%）|年度</v>
      </c>
      <c r="M1789">
        <f>IF($A1789="",0,IF(COUNTIF($L$2:$L1789,$L1789)=1,1,0))</f>
        <v>0</v>
      </c>
      <c r="N1789">
        <f t="shared" si="411"/>
        <v>20250</v>
      </c>
      <c r="O1789" t="str">
        <f t="shared" si="412"/>
        <v>广发新城吾悦封闭式商业不动产证券投资基金|2025|年度</v>
      </c>
      <c r="P1789">
        <f>IF($A1789="",0,IF(COUNTIF($O$2:$O1789,$O1789)=1,1,0))</f>
        <v>1</v>
      </c>
      <c r="Q1789" t="str">
        <f>IF(AND($P1789=1,$A1789=经营数据!$B$3,$J1789=经营数据!$BA$5),COUNTIFS($P$2:$P$3000,1,$A$2:$A$3000,$A1789,$J$2:$J$3000,$J1789,$N$2:$N$3000,"&lt;"&amp;$N1789)+1,"")</f>
        <v/>
      </c>
      <c r="R1789" t="str">
        <f t="shared" si="413"/>
        <v>广发新城吾悦封闭式商业不动产证券投资基金|南通启东吾悦广场项目</v>
      </c>
      <c r="S1789">
        <f>IF($A1789="",0,IF(COUNTIF($R$2:$R1789,$R1789)=1,1,0))</f>
        <v>0</v>
      </c>
      <c r="T1789">
        <f t="shared" si="414"/>
        <v>1779</v>
      </c>
      <c r="U1789" t="str">
        <f>IF($A1789="","",IF($A1789=经营数据!$B$3,COUNTIFS($S$2:$S$3000,1,$A$2:$A$3000,$A1789,$T$2:$T$3000,"&lt;"&amp;$T1789)+1,""))</f>
        <v/>
      </c>
      <c r="V1789" t="str">
        <f t="shared" si="415"/>
        <v>南通启东吾悦广场项目|服务效率</v>
      </c>
      <c r="W1789">
        <f t="shared" si="416"/>
        <v>1779</v>
      </c>
      <c r="X1789" t="str">
        <f t="shared" si="417"/>
        <v>南通启东吾悦广场项目|加权平均出租率</v>
      </c>
      <c r="Y1789">
        <f t="shared" si="418"/>
        <v>1780</v>
      </c>
      <c r="Z1789">
        <f>IF($A1789="",0,IF(AND($M1789=1,$A1789=经营数据!$B$3,$J1789=经营数据!$BA$5,OR($I1789=经营数据!$BA$4,COUNTIF(经营数据!$AA$9:$AA$38,$I1789)&gt;0)),1,0))</f>
        <v>0</v>
      </c>
      <c r="AA1789" t="str">
        <f t="shared" si="419"/>
        <v/>
      </c>
      <c r="AB1789" t="str">
        <f t="shared" si="420"/>
        <v/>
      </c>
      <c r="AC1789">
        <f>IF($A1789="",0,IF(COUNTIF($A$2:$A1789,$A1789)=1,1,0))</f>
        <v>0</v>
      </c>
      <c r="AD1789">
        <f t="shared" si="421"/>
        <v>22</v>
      </c>
      <c r="AE1789" t="str">
        <f t="shared" si="422"/>
        <v>南通启东吾悦广场项目|加权平均出租率（%）</v>
      </c>
    </row>
    <row r="1790" spans="1:31" x14ac:dyDescent="0.4">
      <c r="A1790" t="str">
        <f>IF(原始经营数据!$D1791="","",原始经营数据!$D1791)</f>
        <v>广发新城吾悦封闭式商业不动产证券投资基金</v>
      </c>
      <c r="B1790" t="str">
        <f>IF(原始经营数据!$D1791="","",T(原始经营数据!$E1791))</f>
        <v>南通启东吾悦广场项目</v>
      </c>
      <c r="C1790" t="str">
        <f>IF(原始经营数据!$D1791="","",原始经营数据!$F1791)</f>
        <v>2025</v>
      </c>
      <c r="D1790" t="str">
        <f>IF(原始经营数据!$D1791="","",原始经营数据!$H1791)</f>
        <v>期末出租率</v>
      </c>
      <c r="E1790">
        <f>IF(原始经营数据!$D1791="","",原始经营数据!$I1791)</f>
        <v>100</v>
      </c>
      <c r="F1790" t="str">
        <f>IF(原始经营数据!$D1791="","",T(原始经营数据!$J1791))</f>
        <v>%</v>
      </c>
      <c r="G1790" t="str">
        <f>IF(原始经营数据!$D1791="","",T(原始经营数据!$K1791))</f>
        <v/>
      </c>
      <c r="H1790" t="str">
        <f>IF(原始经营数据!$D1791="","",原始经营数据!$G1791)</f>
        <v>服务效率</v>
      </c>
      <c r="I1790" t="str">
        <f>IF($A1790="","",IF($B1790&lt;&gt;"",$B1790,IF(COUNTIFS(原始经营数据!$D$3:$D$3001,$A1790,原始经营数据!$E$3:$E$3001,"",原始经营数据!$F$3:$F$3001,$C1790,原始经营数据!$H$3:$H$3001,$D1790,原始经营数据!$K$3:$K$3001,$G1790)&gt;1,"基金整体·来源"&amp;原始经营数据!$A1791,"基金整体")))</f>
        <v>南通启东吾悦广场项目</v>
      </c>
      <c r="J1790" t="str">
        <f t="shared" si="408"/>
        <v>年度</v>
      </c>
      <c r="K1790" t="str">
        <f t="shared" si="409"/>
        <v>期末出租率（%）</v>
      </c>
      <c r="L1790" t="str">
        <f t="shared" si="410"/>
        <v>南通启东吾悦广场项目|期末出租率（%）|年度</v>
      </c>
      <c r="M1790">
        <f>IF($A1790="",0,IF(COUNTIF($L$2:$L1790,$L1790)=1,1,0))</f>
        <v>0</v>
      </c>
      <c r="N1790">
        <f t="shared" si="411"/>
        <v>20250</v>
      </c>
      <c r="O1790" t="str">
        <f t="shared" si="412"/>
        <v>广发新城吾悦封闭式商业不动产证券投资基金|2025|年度</v>
      </c>
      <c r="P1790">
        <f>IF($A1790="",0,IF(COUNTIF($O$2:$O1790,$O1790)=1,1,0))</f>
        <v>0</v>
      </c>
      <c r="Q1790" t="str">
        <f>IF(AND($P1790=1,$A1790=经营数据!$B$3,$J1790=经营数据!$BA$5),COUNTIFS($P$2:$P$3000,1,$A$2:$A$3000,$A1790,$J$2:$J$3000,$J1790,$N$2:$N$3000,"&lt;"&amp;$N1790)+1,"")</f>
        <v/>
      </c>
      <c r="R1790" t="str">
        <f t="shared" si="413"/>
        <v>广发新城吾悦封闭式商业不动产证券投资基金|南通启东吾悦广场项目</v>
      </c>
      <c r="S1790">
        <f>IF($A1790="",0,IF(COUNTIF($R$2:$R1790,$R1790)=1,1,0))</f>
        <v>0</v>
      </c>
      <c r="T1790">
        <f t="shared" si="414"/>
        <v>1779</v>
      </c>
      <c r="U1790" t="str">
        <f>IF($A1790="","",IF($A1790=经营数据!$B$3,COUNTIFS($S$2:$S$3000,1,$A$2:$A$3000,$A1790,$T$2:$T$3000,"&lt;"&amp;$T1790)+1,""))</f>
        <v/>
      </c>
      <c r="V1790" t="str">
        <f t="shared" si="415"/>
        <v>南通启东吾悦广场项目|服务效率</v>
      </c>
      <c r="W1790">
        <f t="shared" si="416"/>
        <v>1779</v>
      </c>
      <c r="X1790" t="str">
        <f t="shared" si="417"/>
        <v>南通启东吾悦广场项目|期末出租率</v>
      </c>
      <c r="Y1790">
        <f t="shared" si="418"/>
        <v>1779</v>
      </c>
      <c r="Z1790">
        <f>IF($A1790="",0,IF(AND($M1790=1,$A1790=经营数据!$B$3,$J1790=经营数据!$BA$5,OR($I1790=经营数据!$BA$4,COUNTIF(经营数据!$AA$9:$AA$38,$I1790)&gt;0)),1,0))</f>
        <v>0</v>
      </c>
      <c r="AA1790" t="str">
        <f t="shared" si="419"/>
        <v/>
      </c>
      <c r="AB1790" t="str">
        <f t="shared" si="420"/>
        <v/>
      </c>
      <c r="AC1790">
        <f>IF($A1790="",0,IF(COUNTIF($A$2:$A1790,$A1790)=1,1,0))</f>
        <v>0</v>
      </c>
      <c r="AD1790">
        <f t="shared" si="421"/>
        <v>22</v>
      </c>
      <c r="AE1790" t="str">
        <f t="shared" si="422"/>
        <v>南通启东吾悦广场项目|期末出租率（%）</v>
      </c>
    </row>
    <row r="1791" spans="1:31" x14ac:dyDescent="0.4">
      <c r="A1791" t="str">
        <f>IF(原始经营数据!$D1792="","",原始经营数据!$D1792)</f>
        <v>广发新城吾悦封闭式商业不动产证券投资基金</v>
      </c>
      <c r="B1791" t="str">
        <f>IF(原始经营数据!$D1792="","",T(原始经营数据!$E1792))</f>
        <v>南通启东吾悦广场项目</v>
      </c>
      <c r="C1791" t="str">
        <f>IF(原始经营数据!$D1792="","",原始经营数据!$F1792)</f>
        <v>2025</v>
      </c>
      <c r="D1791" t="str">
        <f>IF(原始经营数据!$D1792="","",原始经营数据!$H1792)</f>
        <v>客流量</v>
      </c>
      <c r="E1791">
        <f>IF(原始经营数据!$D1792="","",原始经营数据!$I1792)</f>
        <v>3.02</v>
      </c>
      <c r="F1791" t="str">
        <f>IF(原始经营数据!$D1792="","",T(原始经营数据!$J1792))</f>
        <v>万人/日</v>
      </c>
      <c r="G1791" t="str">
        <f>IF(原始经营数据!$D1792="","",T(原始经营数据!$K1792))</f>
        <v/>
      </c>
      <c r="H1791" t="str">
        <f>IF(原始经营数据!$D1792="","",原始经营数据!$G1792)</f>
        <v>服务量</v>
      </c>
      <c r="I1791" t="str">
        <f>IF($A1791="","",IF($B1791&lt;&gt;"",$B1791,IF(COUNTIFS(原始经营数据!$D$3:$D$3001,$A1791,原始经营数据!$E$3:$E$3001,"",原始经营数据!$F$3:$F$3001,$C1791,原始经营数据!$H$3:$H$3001,$D1791,原始经营数据!$K$3:$K$3001,$G1791)&gt;1,"基金整体·来源"&amp;原始经营数据!$A1792,"基金整体")))</f>
        <v>南通启东吾悦广场项目</v>
      </c>
      <c r="J1791" t="str">
        <f t="shared" si="408"/>
        <v>年度</v>
      </c>
      <c r="K1791" t="str">
        <f t="shared" si="409"/>
        <v>客流量（万人/日）</v>
      </c>
      <c r="L1791" t="str">
        <f t="shared" si="410"/>
        <v>南通启东吾悦广场项目|客流量（万人/日）|年度</v>
      </c>
      <c r="M1791">
        <f>IF($A1791="",0,IF(COUNTIF($L$2:$L1791,$L1791)=1,1,0))</f>
        <v>0</v>
      </c>
      <c r="N1791">
        <f t="shared" si="411"/>
        <v>20250</v>
      </c>
      <c r="O1791" t="str">
        <f t="shared" si="412"/>
        <v>广发新城吾悦封闭式商业不动产证券投资基金|2025|年度</v>
      </c>
      <c r="P1791">
        <f>IF($A1791="",0,IF(COUNTIF($O$2:$O1791,$O1791)=1,1,0))</f>
        <v>0</v>
      </c>
      <c r="Q1791" t="str">
        <f>IF(AND($P1791=1,$A1791=经营数据!$B$3,$J1791=经营数据!$BA$5),COUNTIFS($P$2:$P$3000,1,$A$2:$A$3000,$A1791,$J$2:$J$3000,$J1791,$N$2:$N$3000,"&lt;"&amp;$N1791)+1,"")</f>
        <v/>
      </c>
      <c r="R1791" t="str">
        <f t="shared" si="413"/>
        <v>广发新城吾悦封闭式商业不动产证券投资基金|南通启东吾悦广场项目</v>
      </c>
      <c r="S1791">
        <f>IF($A1791="",0,IF(COUNTIF($R$2:$R1791,$R1791)=1,1,0))</f>
        <v>0</v>
      </c>
      <c r="T1791">
        <f t="shared" si="414"/>
        <v>1779</v>
      </c>
      <c r="U1791" t="str">
        <f>IF($A1791="","",IF($A1791=经营数据!$B$3,COUNTIFS($S$2:$S$3000,1,$A$2:$A$3000,$A1791,$T$2:$T$3000,"&lt;"&amp;$T1791)+1,""))</f>
        <v/>
      </c>
      <c r="V1791" t="str">
        <f t="shared" si="415"/>
        <v>南通启东吾悦广场项目|服务量</v>
      </c>
      <c r="W1791">
        <f t="shared" si="416"/>
        <v>1781</v>
      </c>
      <c r="X1791" t="str">
        <f t="shared" si="417"/>
        <v>南通启东吾悦广场项目|客流量</v>
      </c>
      <c r="Y1791">
        <f t="shared" si="418"/>
        <v>1781</v>
      </c>
      <c r="Z1791">
        <f>IF($A1791="",0,IF(AND($M1791=1,$A1791=经营数据!$B$3,$J1791=经营数据!$BA$5,OR($I1791=经营数据!$BA$4,COUNTIF(经营数据!$AA$9:$AA$38,$I1791)&gt;0)),1,0))</f>
        <v>0</v>
      </c>
      <c r="AA1791" t="str">
        <f t="shared" si="419"/>
        <v/>
      </c>
      <c r="AB1791" t="str">
        <f t="shared" si="420"/>
        <v/>
      </c>
      <c r="AC1791">
        <f>IF($A1791="",0,IF(COUNTIF($A$2:$A1791,$A1791)=1,1,0))</f>
        <v>0</v>
      </c>
      <c r="AD1791">
        <f t="shared" si="421"/>
        <v>22</v>
      </c>
      <c r="AE1791" t="str">
        <f t="shared" si="422"/>
        <v>南通启东吾悦广场项目|客流量（万人/日）</v>
      </c>
    </row>
    <row r="1792" spans="1:31" x14ac:dyDescent="0.4">
      <c r="A1792" t="str">
        <f>IF(原始经营数据!$D1793="","",原始经营数据!$D1793)</f>
        <v>广发新城吾悦封闭式商业不动产证券投资基金</v>
      </c>
      <c r="B1792" t="str">
        <f>IF(原始经营数据!$D1793="","",T(原始经营数据!$E1793))</f>
        <v>南通启东吾悦广场项目</v>
      </c>
      <c r="C1792" t="str">
        <f>IF(原始经营数据!$D1793="","",原始经营数据!$F1793)</f>
        <v>2026Q1</v>
      </c>
      <c r="D1792" t="str">
        <f>IF(原始经营数据!$D1793="","",原始经营数据!$H1793)</f>
        <v>加权平均出租率</v>
      </c>
      <c r="E1792">
        <f>IF(原始经营数据!$D1793="","",原始经营数据!$I1793)</f>
        <v>100</v>
      </c>
      <c r="F1792" t="str">
        <f>IF(原始经营数据!$D1793="","",T(原始经营数据!$J1793))</f>
        <v>%</v>
      </c>
      <c r="G1792" t="str">
        <f>IF(原始经营数据!$D1793="","",T(原始经营数据!$K1793))</f>
        <v/>
      </c>
      <c r="H1792" t="str">
        <f>IF(原始经营数据!$D1793="","",原始经营数据!$G1793)</f>
        <v>服务效率</v>
      </c>
      <c r="I1792" t="str">
        <f>IF($A1792="","",IF($B1792&lt;&gt;"",$B1792,IF(COUNTIFS(原始经营数据!$D$3:$D$3001,$A1792,原始经营数据!$E$3:$E$3001,"",原始经营数据!$F$3:$F$3001,$C1792,原始经营数据!$H$3:$H$3001,$D1792,原始经营数据!$K$3:$K$3001,$G1792)&gt;1,"基金整体·来源"&amp;原始经营数据!$A1793,"基金整体")))</f>
        <v>南通启东吾悦广场项目</v>
      </c>
      <c r="J1792" t="str">
        <f t="shared" si="408"/>
        <v>季度</v>
      </c>
      <c r="K1792" t="str">
        <f t="shared" si="409"/>
        <v>加权平均出租率（%）</v>
      </c>
      <c r="L1792" t="str">
        <f t="shared" si="410"/>
        <v>南通启东吾悦广场项目|加权平均出租率（%）|季度</v>
      </c>
      <c r="M1792">
        <f>IF($A1792="",0,IF(COUNTIF($L$2:$L1792,$L1792)=1,1,0))</f>
        <v>1</v>
      </c>
      <c r="N1792">
        <f t="shared" si="411"/>
        <v>20261</v>
      </c>
      <c r="O1792" t="str">
        <f t="shared" si="412"/>
        <v>广发新城吾悦封闭式商业不动产证券投资基金|2026Q1|季度</v>
      </c>
      <c r="P1792">
        <f>IF($A1792="",0,IF(COUNTIF($O$2:$O1792,$O1792)=1,1,0))</f>
        <v>1</v>
      </c>
      <c r="Q1792" t="str">
        <f>IF(AND($P1792=1,$A1792=经营数据!$B$3,$J1792=经营数据!$BA$5),COUNTIFS($P$2:$P$3000,1,$A$2:$A$3000,$A1792,$J$2:$J$3000,$J1792,$N$2:$N$3000,"&lt;"&amp;$N1792)+1,"")</f>
        <v/>
      </c>
      <c r="R1792" t="str">
        <f t="shared" si="413"/>
        <v>广发新城吾悦封闭式商业不动产证券投资基金|南通启东吾悦广场项目</v>
      </c>
      <c r="S1792">
        <f>IF($A1792="",0,IF(COUNTIF($R$2:$R1792,$R1792)=1,1,0))</f>
        <v>0</v>
      </c>
      <c r="T1792">
        <f t="shared" si="414"/>
        <v>1779</v>
      </c>
      <c r="U1792" t="str">
        <f>IF($A1792="","",IF($A1792=经营数据!$B$3,COUNTIFS($S$2:$S$3000,1,$A$2:$A$3000,$A1792,$T$2:$T$3000,"&lt;"&amp;$T1792)+1,""))</f>
        <v/>
      </c>
      <c r="V1792" t="str">
        <f t="shared" si="415"/>
        <v>南通启东吾悦广场项目|服务效率</v>
      </c>
      <c r="W1792">
        <f t="shared" si="416"/>
        <v>1779</v>
      </c>
      <c r="X1792" t="str">
        <f t="shared" si="417"/>
        <v>南通启东吾悦广场项目|加权平均出租率</v>
      </c>
      <c r="Y1792">
        <f t="shared" si="418"/>
        <v>1780</v>
      </c>
      <c r="Z1792">
        <f>IF($A1792="",0,IF(AND($M1792=1,$A1792=经营数据!$B$3,$J1792=经营数据!$BA$5,OR($I1792=经营数据!$BA$4,COUNTIF(经营数据!$AA$9:$AA$38,$I1792)&gt;0)),1,0))</f>
        <v>0</v>
      </c>
      <c r="AA1792" t="str">
        <f t="shared" si="419"/>
        <v/>
      </c>
      <c r="AB1792" t="str">
        <f t="shared" si="420"/>
        <v/>
      </c>
      <c r="AC1792">
        <f>IF($A1792="",0,IF(COUNTIF($A$2:$A1792,$A1792)=1,1,0))</f>
        <v>0</v>
      </c>
      <c r="AD1792">
        <f t="shared" si="421"/>
        <v>22</v>
      </c>
      <c r="AE1792" t="str">
        <f t="shared" si="422"/>
        <v>南通启东吾悦广场项目|加权平均出租率（%）</v>
      </c>
    </row>
    <row r="1793" spans="1:31" x14ac:dyDescent="0.4">
      <c r="A1793" t="str">
        <f>IF(原始经营数据!$D1794="","",原始经营数据!$D1794)</f>
        <v>广发新城吾悦封闭式商业不动产证券投资基金</v>
      </c>
      <c r="B1793" t="str">
        <f>IF(原始经营数据!$D1794="","",T(原始经营数据!$E1794))</f>
        <v>南通启东吾悦广场项目</v>
      </c>
      <c r="C1793" t="str">
        <f>IF(原始经营数据!$D1794="","",原始经营数据!$F1794)</f>
        <v>2026Q1</v>
      </c>
      <c r="D1793" t="str">
        <f>IF(原始经营数据!$D1794="","",原始经营数据!$H1794)</f>
        <v>期末出租率</v>
      </c>
      <c r="E1793">
        <f>IF(原始经营数据!$D1794="","",原始经营数据!$I1794)</f>
        <v>100</v>
      </c>
      <c r="F1793" t="str">
        <f>IF(原始经营数据!$D1794="","",T(原始经营数据!$J1794))</f>
        <v>%</v>
      </c>
      <c r="G1793" t="str">
        <f>IF(原始经营数据!$D1794="","",T(原始经营数据!$K1794))</f>
        <v/>
      </c>
      <c r="H1793" t="str">
        <f>IF(原始经营数据!$D1794="","",原始经营数据!$G1794)</f>
        <v>服务效率</v>
      </c>
      <c r="I1793" t="str">
        <f>IF($A1793="","",IF($B1793&lt;&gt;"",$B1793,IF(COUNTIFS(原始经营数据!$D$3:$D$3001,$A1793,原始经营数据!$E$3:$E$3001,"",原始经营数据!$F$3:$F$3001,$C1793,原始经营数据!$H$3:$H$3001,$D1793,原始经营数据!$K$3:$K$3001,$G1793)&gt;1,"基金整体·来源"&amp;原始经营数据!$A1794,"基金整体")))</f>
        <v>南通启东吾悦广场项目</v>
      </c>
      <c r="J1793" t="str">
        <f t="shared" si="408"/>
        <v>季度</v>
      </c>
      <c r="K1793" t="str">
        <f t="shared" si="409"/>
        <v>期末出租率（%）</v>
      </c>
      <c r="L1793" t="str">
        <f t="shared" si="410"/>
        <v>南通启东吾悦广场项目|期末出租率（%）|季度</v>
      </c>
      <c r="M1793">
        <f>IF($A1793="",0,IF(COUNTIF($L$2:$L1793,$L1793)=1,1,0))</f>
        <v>1</v>
      </c>
      <c r="N1793">
        <f t="shared" si="411"/>
        <v>20261</v>
      </c>
      <c r="O1793" t="str">
        <f t="shared" si="412"/>
        <v>广发新城吾悦封闭式商业不动产证券投资基金|2026Q1|季度</v>
      </c>
      <c r="P1793">
        <f>IF($A1793="",0,IF(COUNTIF($O$2:$O1793,$O1793)=1,1,0))</f>
        <v>0</v>
      </c>
      <c r="Q1793" t="str">
        <f>IF(AND($P1793=1,$A1793=经营数据!$B$3,$J1793=经营数据!$BA$5),COUNTIFS($P$2:$P$3000,1,$A$2:$A$3000,$A1793,$J$2:$J$3000,$J1793,$N$2:$N$3000,"&lt;"&amp;$N1793)+1,"")</f>
        <v/>
      </c>
      <c r="R1793" t="str">
        <f t="shared" si="413"/>
        <v>广发新城吾悦封闭式商业不动产证券投资基金|南通启东吾悦广场项目</v>
      </c>
      <c r="S1793">
        <f>IF($A1793="",0,IF(COUNTIF($R$2:$R1793,$R1793)=1,1,0))</f>
        <v>0</v>
      </c>
      <c r="T1793">
        <f t="shared" si="414"/>
        <v>1779</v>
      </c>
      <c r="U1793" t="str">
        <f>IF($A1793="","",IF($A1793=经营数据!$B$3,COUNTIFS($S$2:$S$3000,1,$A$2:$A$3000,$A1793,$T$2:$T$3000,"&lt;"&amp;$T1793)+1,""))</f>
        <v/>
      </c>
      <c r="V1793" t="str">
        <f t="shared" si="415"/>
        <v>南通启东吾悦广场项目|服务效率</v>
      </c>
      <c r="W1793">
        <f t="shared" si="416"/>
        <v>1779</v>
      </c>
      <c r="X1793" t="str">
        <f t="shared" si="417"/>
        <v>南通启东吾悦广场项目|期末出租率</v>
      </c>
      <c r="Y1793">
        <f t="shared" si="418"/>
        <v>1779</v>
      </c>
      <c r="Z1793">
        <f>IF($A1793="",0,IF(AND($M1793=1,$A1793=经营数据!$B$3,$J1793=经营数据!$BA$5,OR($I1793=经营数据!$BA$4,COUNTIF(经营数据!$AA$9:$AA$38,$I1793)&gt;0)),1,0))</f>
        <v>0</v>
      </c>
      <c r="AA1793" t="str">
        <f t="shared" si="419"/>
        <v/>
      </c>
      <c r="AB1793" t="str">
        <f t="shared" si="420"/>
        <v/>
      </c>
      <c r="AC1793">
        <f>IF($A1793="",0,IF(COUNTIF($A$2:$A1793,$A1793)=1,1,0))</f>
        <v>0</v>
      </c>
      <c r="AD1793">
        <f t="shared" si="421"/>
        <v>22</v>
      </c>
      <c r="AE1793" t="str">
        <f t="shared" si="422"/>
        <v>南通启东吾悦广场项目|期末出租率（%）</v>
      </c>
    </row>
    <row r="1794" spans="1:31" x14ac:dyDescent="0.4">
      <c r="A1794" t="str">
        <f>IF(原始经营数据!$D1795="","",原始经营数据!$D1795)</f>
        <v>广发新城吾悦封闭式商业不动产证券投资基金</v>
      </c>
      <c r="B1794" t="str">
        <f>IF(原始经营数据!$D1795="","",T(原始经营数据!$E1795))</f>
        <v>南通启东吾悦广场项目</v>
      </c>
      <c r="C1794" t="str">
        <f>IF(原始经营数据!$D1795="","",原始经营数据!$F1795)</f>
        <v>2026Q1</v>
      </c>
      <c r="D1794" t="str">
        <f>IF(原始经营数据!$D1795="","",原始经营数据!$H1795)</f>
        <v>客流量</v>
      </c>
      <c r="E1794">
        <f>IF(原始经营数据!$D1795="","",原始经营数据!$I1795)</f>
        <v>3.07</v>
      </c>
      <c r="F1794" t="str">
        <f>IF(原始经营数据!$D1795="","",T(原始经营数据!$J1795))</f>
        <v>万人/日</v>
      </c>
      <c r="G1794" t="str">
        <f>IF(原始经营数据!$D1795="","",T(原始经营数据!$K1795))</f>
        <v/>
      </c>
      <c r="H1794" t="str">
        <f>IF(原始经营数据!$D1795="","",原始经营数据!$G1795)</f>
        <v>服务量</v>
      </c>
      <c r="I1794" t="str">
        <f>IF($A1794="","",IF($B1794&lt;&gt;"",$B1794,IF(COUNTIFS(原始经营数据!$D$3:$D$3001,$A1794,原始经营数据!$E$3:$E$3001,"",原始经营数据!$F$3:$F$3001,$C1794,原始经营数据!$H$3:$H$3001,$D1794,原始经营数据!$K$3:$K$3001,$G1794)&gt;1,"基金整体·来源"&amp;原始经营数据!$A1795,"基金整体")))</f>
        <v>南通启东吾悦广场项目</v>
      </c>
      <c r="J1794" t="str">
        <f t="shared" ref="J1794:J1857" si="423">IF($A1794="","",IF(LEN($C1794)=4,"年度",IF(AND(LEN($C1794)=6,ISNUMBER(SEARCH("Q",$C1794))),"季度","其他期间")))</f>
        <v>季度</v>
      </c>
      <c r="K1794" t="str">
        <f t="shared" ref="K1794:K1857" si="424">IF($A1794="","",$D1794&amp;IF($G1794="","","-"&amp;SUBSTITUTE($G1794,CHAR(10),""))&amp;IF($F1794="","","（"&amp;$F1794&amp;"）"))</f>
        <v>客流量（万人/日）</v>
      </c>
      <c r="L1794" t="str">
        <f t="shared" ref="L1794:L1857" si="425">IF($A1794="","",$I1794&amp;"|"&amp;$K1794&amp;"|"&amp;$J1794)</f>
        <v>南通启东吾悦广场项目|客流量（万人/日）|季度</v>
      </c>
      <c r="M1794">
        <f>IF($A1794="",0,IF(COUNTIF($L$2:$L1794,$L1794)=1,1,0))</f>
        <v>1</v>
      </c>
      <c r="N1794">
        <f t="shared" ref="N1794:N1857" si="426">IF($A1794="","",IF($J1794="年度",VALUE($C1794)*10,IF($J1794="季度",VALUE(LEFT($C1794,4))*10+VALUE(RIGHT($C1794,1)),VALUE(LEFT($C1794,4))*10+9)))</f>
        <v>20261</v>
      </c>
      <c r="O1794" t="str">
        <f t="shared" ref="O1794:O1857" si="427">IF($A1794="","",$A1794&amp;"|"&amp;$C1794&amp;"|"&amp;$J1794)</f>
        <v>广发新城吾悦封闭式商业不动产证券投资基金|2026Q1|季度</v>
      </c>
      <c r="P1794">
        <f>IF($A1794="",0,IF(COUNTIF($O$2:$O1794,$O1794)=1,1,0))</f>
        <v>0</v>
      </c>
      <c r="Q1794" t="str">
        <f>IF(AND($P1794=1,$A1794=经营数据!$B$3,$J1794=经营数据!$BA$5),COUNTIFS($P$2:$P$3000,1,$A$2:$A$3000,$A1794,$J$2:$J$3000,$J1794,$N$2:$N$3000,"&lt;"&amp;$N1794)+1,"")</f>
        <v/>
      </c>
      <c r="R1794" t="str">
        <f t="shared" ref="R1794:R1857" si="428">IF($A1794="","",$A1794&amp;"|"&amp;$I1794)</f>
        <v>广发新城吾悦封闭式商业不动产证券投资基金|南通启东吾悦广场项目</v>
      </c>
      <c r="S1794">
        <f>IF($A1794="",0,IF(COUNTIF($R$2:$R1794,$R1794)=1,1,0))</f>
        <v>0</v>
      </c>
      <c r="T1794">
        <f t="shared" ref="T1794:T1857" si="429">IF($A1794="","",MATCH($R1794,$R$2:$R$3000,0))</f>
        <v>1779</v>
      </c>
      <c r="U1794" t="str">
        <f>IF($A1794="","",IF($A1794=经营数据!$B$3,COUNTIFS($S$2:$S$3000,1,$A$2:$A$3000,$A1794,$T$2:$T$3000,"&lt;"&amp;$T1794)+1,""))</f>
        <v/>
      </c>
      <c r="V1794" t="str">
        <f t="shared" ref="V1794:V1857" si="430">IF($A1794="","",$I1794&amp;"|"&amp;$H1794)</f>
        <v>南通启东吾悦广场项目|服务量</v>
      </c>
      <c r="W1794">
        <f t="shared" ref="W1794:W1857" si="431">IF($A1794="","",MATCH($V1794,$V$2:$V$3000,0))</f>
        <v>1781</v>
      </c>
      <c r="X1794" t="str">
        <f t="shared" ref="X1794:X1857" si="432">IF($A1794="","",$I1794&amp;"|"&amp;$D1794)</f>
        <v>南通启东吾悦广场项目|客流量</v>
      </c>
      <c r="Y1794">
        <f t="shared" ref="Y1794:Y1857" si="433">IF($A1794="","",MATCH($X1794,$X$2:$X$3000,0))</f>
        <v>1781</v>
      </c>
      <c r="Z1794">
        <f>IF($A1794="",0,IF(AND($M1794=1,$A1794=经营数据!$B$3,$J1794=经营数据!$BA$5,OR($I1794=经营数据!$BA$4,COUNTIF(经营数据!$AA$9:$AA$38,$I1794)&gt;0)),1,0))</f>
        <v>0</v>
      </c>
      <c r="AA1794" t="str">
        <f t="shared" ref="AA1794:AA1857" si="434">IF($Z1794=1,$U1794*1000000000000+$W1794*100000000+$Y1794*10000+ROW(),"")</f>
        <v/>
      </c>
      <c r="AB1794" t="str">
        <f t="shared" ref="AB1794:AB1857" si="435">IF($Z1794=1,COUNTIFS($Z$2:$Z$3000,1,$AA$2:$AA$3000,"&lt;"&amp;$AA1794)+1,"")</f>
        <v/>
      </c>
      <c r="AC1794">
        <f>IF($A1794="",0,IF(COUNTIF($A$2:$A1794,$A1794)=1,1,0))</f>
        <v>0</v>
      </c>
      <c r="AD1794">
        <f t="shared" ref="AD1794:AD1857" si="436">IF($A1794="",N(AD1793),IF($AC1794=1,N(AD1793)+1,N(AD1793)))</f>
        <v>22</v>
      </c>
      <c r="AE1794" t="str">
        <f t="shared" ref="AE1794:AE1857" si="437">IF($A1794="","",$I1794&amp;"|"&amp;$K1794)</f>
        <v>南通启东吾悦广场项目|客流量（万人/日）</v>
      </c>
    </row>
    <row r="1795" spans="1:31" x14ac:dyDescent="0.4">
      <c r="A1795" t="str">
        <f>IF(原始经营数据!$D1796="","",原始经营数据!$D1796)</f>
        <v>广发新城吾悦封闭式商业不动产证券投资基金</v>
      </c>
      <c r="B1795" t="str">
        <f>IF(原始经营数据!$D1796="","",T(原始经营数据!$E1796))</f>
        <v>常州天宁吾悦广场项目</v>
      </c>
      <c r="C1795" t="str">
        <f>IF(原始经营数据!$D1796="","",原始经营数据!$F1796)</f>
        <v>2022</v>
      </c>
      <c r="D1795" t="str">
        <f>IF(原始经营数据!$D1796="","",原始经营数据!$H1796)</f>
        <v>期末出租率</v>
      </c>
      <c r="E1795">
        <f>IF(原始经营数据!$D1796="","",原始经营数据!$I1796)</f>
        <v>97.39</v>
      </c>
      <c r="F1795" t="str">
        <f>IF(原始经营数据!$D1796="","",T(原始经营数据!$J1796))</f>
        <v>%</v>
      </c>
      <c r="G1795" t="str">
        <f>IF(原始经营数据!$D1796="","",T(原始经营数据!$K1796))</f>
        <v/>
      </c>
      <c r="H1795" t="str">
        <f>IF(原始经营数据!$D1796="","",原始经营数据!$G1796)</f>
        <v>服务效率</v>
      </c>
      <c r="I1795" t="str">
        <f>IF($A1795="","",IF($B1795&lt;&gt;"",$B1795,IF(COUNTIFS(原始经营数据!$D$3:$D$3001,$A1795,原始经营数据!$E$3:$E$3001,"",原始经营数据!$F$3:$F$3001,$C1795,原始经营数据!$H$3:$H$3001,$D1795,原始经营数据!$K$3:$K$3001,$G1795)&gt;1,"基金整体·来源"&amp;原始经营数据!$A1796,"基金整体")))</f>
        <v>常州天宁吾悦广场项目</v>
      </c>
      <c r="J1795" t="str">
        <f t="shared" si="423"/>
        <v>年度</v>
      </c>
      <c r="K1795" t="str">
        <f t="shared" si="424"/>
        <v>期末出租率（%）</v>
      </c>
      <c r="L1795" t="str">
        <f t="shared" si="425"/>
        <v>常州天宁吾悦广场项目|期末出租率（%）|年度</v>
      </c>
      <c r="M1795">
        <f>IF($A1795="",0,IF(COUNTIF($L$2:$L1795,$L1795)=1,1,0))</f>
        <v>1</v>
      </c>
      <c r="N1795">
        <f t="shared" si="426"/>
        <v>20220</v>
      </c>
      <c r="O1795" t="str">
        <f t="shared" si="427"/>
        <v>广发新城吾悦封闭式商业不动产证券投资基金|2022|年度</v>
      </c>
      <c r="P1795">
        <f>IF($A1795="",0,IF(COUNTIF($O$2:$O1795,$O1795)=1,1,0))</f>
        <v>0</v>
      </c>
      <c r="Q1795" t="str">
        <f>IF(AND($P1795=1,$A1795=经营数据!$B$3,$J1795=经营数据!$BA$5),COUNTIFS($P$2:$P$3000,1,$A$2:$A$3000,$A1795,$J$2:$J$3000,$J1795,$N$2:$N$3000,"&lt;"&amp;$N1795)+1,"")</f>
        <v/>
      </c>
      <c r="R1795" t="str">
        <f t="shared" si="428"/>
        <v>广发新城吾悦封闭式商业不动产证券投资基金|常州天宁吾悦广场项目</v>
      </c>
      <c r="S1795">
        <f>IF($A1795="",0,IF(COUNTIF($R$2:$R1795,$R1795)=1,1,0))</f>
        <v>1</v>
      </c>
      <c r="T1795">
        <f t="shared" si="429"/>
        <v>1794</v>
      </c>
      <c r="U1795" t="str">
        <f>IF($A1795="","",IF($A1795=经营数据!$B$3,COUNTIFS($S$2:$S$3000,1,$A$2:$A$3000,$A1795,$T$2:$T$3000,"&lt;"&amp;$T1795)+1,""))</f>
        <v/>
      </c>
      <c r="V1795" t="str">
        <f t="shared" si="430"/>
        <v>常州天宁吾悦广场项目|服务效率</v>
      </c>
      <c r="W1795">
        <f t="shared" si="431"/>
        <v>1794</v>
      </c>
      <c r="X1795" t="str">
        <f t="shared" si="432"/>
        <v>常州天宁吾悦广场项目|期末出租率</v>
      </c>
      <c r="Y1795">
        <f t="shared" si="433"/>
        <v>1794</v>
      </c>
      <c r="Z1795">
        <f>IF($A1795="",0,IF(AND($M1795=1,$A1795=经营数据!$B$3,$J1795=经营数据!$BA$5,OR($I1795=经营数据!$BA$4,COUNTIF(经营数据!$AA$9:$AA$38,$I1795)&gt;0)),1,0))</f>
        <v>0</v>
      </c>
      <c r="AA1795" t="str">
        <f t="shared" si="434"/>
        <v/>
      </c>
      <c r="AB1795" t="str">
        <f t="shared" si="435"/>
        <v/>
      </c>
      <c r="AC1795">
        <f>IF($A1795="",0,IF(COUNTIF($A$2:$A1795,$A1795)=1,1,0))</f>
        <v>0</v>
      </c>
      <c r="AD1795">
        <f t="shared" si="436"/>
        <v>22</v>
      </c>
      <c r="AE1795" t="str">
        <f t="shared" si="437"/>
        <v>常州天宁吾悦广场项目|期末出租率（%）</v>
      </c>
    </row>
    <row r="1796" spans="1:31" x14ac:dyDescent="0.4">
      <c r="A1796" t="str">
        <f>IF(原始经营数据!$D1797="","",原始经营数据!$D1797)</f>
        <v>广发新城吾悦封闭式商业不动产证券投资基金</v>
      </c>
      <c r="B1796" t="str">
        <f>IF(原始经营数据!$D1797="","",T(原始经营数据!$E1797))</f>
        <v>常州天宁吾悦广场项目</v>
      </c>
      <c r="C1796" t="str">
        <f>IF(原始经营数据!$D1797="","",原始经营数据!$F1797)</f>
        <v>2022</v>
      </c>
      <c r="D1796" t="str">
        <f>IF(原始经营数据!$D1797="","",原始经营数据!$H1797)</f>
        <v>加权平均出租率</v>
      </c>
      <c r="E1796">
        <f>IF(原始经营数据!$D1797="","",原始经营数据!$I1797)</f>
        <v>95.15</v>
      </c>
      <c r="F1796" t="str">
        <f>IF(原始经营数据!$D1797="","",T(原始经营数据!$J1797))</f>
        <v>%</v>
      </c>
      <c r="G1796" t="str">
        <f>IF(原始经营数据!$D1797="","",T(原始经营数据!$K1797))</f>
        <v/>
      </c>
      <c r="H1796" t="str">
        <f>IF(原始经营数据!$D1797="","",原始经营数据!$G1797)</f>
        <v>服务效率</v>
      </c>
      <c r="I1796" t="str">
        <f>IF($A1796="","",IF($B1796&lt;&gt;"",$B1796,IF(COUNTIFS(原始经营数据!$D$3:$D$3001,$A1796,原始经营数据!$E$3:$E$3001,"",原始经营数据!$F$3:$F$3001,$C1796,原始经营数据!$H$3:$H$3001,$D1796,原始经营数据!$K$3:$K$3001,$G1796)&gt;1,"基金整体·来源"&amp;原始经营数据!$A1797,"基金整体")))</f>
        <v>常州天宁吾悦广场项目</v>
      </c>
      <c r="J1796" t="str">
        <f t="shared" si="423"/>
        <v>年度</v>
      </c>
      <c r="K1796" t="str">
        <f t="shared" si="424"/>
        <v>加权平均出租率（%）</v>
      </c>
      <c r="L1796" t="str">
        <f t="shared" si="425"/>
        <v>常州天宁吾悦广场项目|加权平均出租率（%）|年度</v>
      </c>
      <c r="M1796">
        <f>IF($A1796="",0,IF(COUNTIF($L$2:$L1796,$L1796)=1,1,0))</f>
        <v>1</v>
      </c>
      <c r="N1796">
        <f t="shared" si="426"/>
        <v>20220</v>
      </c>
      <c r="O1796" t="str">
        <f t="shared" si="427"/>
        <v>广发新城吾悦封闭式商业不动产证券投资基金|2022|年度</v>
      </c>
      <c r="P1796">
        <f>IF($A1796="",0,IF(COUNTIF($O$2:$O1796,$O1796)=1,1,0))</f>
        <v>0</v>
      </c>
      <c r="Q1796" t="str">
        <f>IF(AND($P1796=1,$A1796=经营数据!$B$3,$J1796=经营数据!$BA$5),COUNTIFS($P$2:$P$3000,1,$A$2:$A$3000,$A1796,$J$2:$J$3000,$J1796,$N$2:$N$3000,"&lt;"&amp;$N1796)+1,"")</f>
        <v/>
      </c>
      <c r="R1796" t="str">
        <f t="shared" si="428"/>
        <v>广发新城吾悦封闭式商业不动产证券投资基金|常州天宁吾悦广场项目</v>
      </c>
      <c r="S1796">
        <f>IF($A1796="",0,IF(COUNTIF($R$2:$R1796,$R1796)=1,1,0))</f>
        <v>0</v>
      </c>
      <c r="T1796">
        <f t="shared" si="429"/>
        <v>1794</v>
      </c>
      <c r="U1796" t="str">
        <f>IF($A1796="","",IF($A1796=经营数据!$B$3,COUNTIFS($S$2:$S$3000,1,$A$2:$A$3000,$A1796,$T$2:$T$3000,"&lt;"&amp;$T1796)+1,""))</f>
        <v/>
      </c>
      <c r="V1796" t="str">
        <f t="shared" si="430"/>
        <v>常州天宁吾悦广场项目|服务效率</v>
      </c>
      <c r="W1796">
        <f t="shared" si="431"/>
        <v>1794</v>
      </c>
      <c r="X1796" t="str">
        <f t="shared" si="432"/>
        <v>常州天宁吾悦广场项目|加权平均出租率</v>
      </c>
      <c r="Y1796">
        <f t="shared" si="433"/>
        <v>1795</v>
      </c>
      <c r="Z1796">
        <f>IF($A1796="",0,IF(AND($M1796=1,$A1796=经营数据!$B$3,$J1796=经营数据!$BA$5,OR($I1796=经营数据!$BA$4,COUNTIF(经营数据!$AA$9:$AA$38,$I1796)&gt;0)),1,0))</f>
        <v>0</v>
      </c>
      <c r="AA1796" t="str">
        <f t="shared" si="434"/>
        <v/>
      </c>
      <c r="AB1796" t="str">
        <f t="shared" si="435"/>
        <v/>
      </c>
      <c r="AC1796">
        <f>IF($A1796="",0,IF(COUNTIF($A$2:$A1796,$A1796)=1,1,0))</f>
        <v>0</v>
      </c>
      <c r="AD1796">
        <f t="shared" si="436"/>
        <v>22</v>
      </c>
      <c r="AE1796" t="str">
        <f t="shared" si="437"/>
        <v>常州天宁吾悦广场项目|加权平均出租率（%）</v>
      </c>
    </row>
    <row r="1797" spans="1:31" x14ac:dyDescent="0.4">
      <c r="A1797" t="str">
        <f>IF(原始经营数据!$D1798="","",原始经营数据!$D1798)</f>
        <v>广发新城吾悦封闭式商业不动产证券投资基金</v>
      </c>
      <c r="B1797" t="str">
        <f>IF(原始经营数据!$D1798="","",T(原始经营数据!$E1798))</f>
        <v>常州天宁吾悦广场项目</v>
      </c>
      <c r="C1797" t="str">
        <f>IF(原始经营数据!$D1798="","",原始经营数据!$F1798)</f>
        <v>2022</v>
      </c>
      <c r="D1797" t="str">
        <f>IF(原始经营数据!$D1798="","",原始经营数据!$H1798)</f>
        <v>客流量</v>
      </c>
      <c r="E1797">
        <f>IF(原始经营数据!$D1798="","",原始经营数据!$I1798)</f>
        <v>3.15</v>
      </c>
      <c r="F1797" t="str">
        <f>IF(原始经营数据!$D1798="","",T(原始经营数据!$J1798))</f>
        <v>万人/日</v>
      </c>
      <c r="G1797" t="str">
        <f>IF(原始经营数据!$D1798="","",T(原始经营数据!$K1798))</f>
        <v/>
      </c>
      <c r="H1797" t="str">
        <f>IF(原始经营数据!$D1798="","",原始经营数据!$G1798)</f>
        <v>服务量</v>
      </c>
      <c r="I1797" t="str">
        <f>IF($A1797="","",IF($B1797&lt;&gt;"",$B1797,IF(COUNTIFS(原始经营数据!$D$3:$D$3001,$A1797,原始经营数据!$E$3:$E$3001,"",原始经营数据!$F$3:$F$3001,$C1797,原始经营数据!$H$3:$H$3001,$D1797,原始经营数据!$K$3:$K$3001,$G1797)&gt;1,"基金整体·来源"&amp;原始经营数据!$A1798,"基金整体")))</f>
        <v>常州天宁吾悦广场项目</v>
      </c>
      <c r="J1797" t="str">
        <f t="shared" si="423"/>
        <v>年度</v>
      </c>
      <c r="K1797" t="str">
        <f t="shared" si="424"/>
        <v>客流量（万人/日）</v>
      </c>
      <c r="L1797" t="str">
        <f t="shared" si="425"/>
        <v>常州天宁吾悦广场项目|客流量（万人/日）|年度</v>
      </c>
      <c r="M1797">
        <f>IF($A1797="",0,IF(COUNTIF($L$2:$L1797,$L1797)=1,1,0))</f>
        <v>1</v>
      </c>
      <c r="N1797">
        <f t="shared" si="426"/>
        <v>20220</v>
      </c>
      <c r="O1797" t="str">
        <f t="shared" si="427"/>
        <v>广发新城吾悦封闭式商业不动产证券投资基金|2022|年度</v>
      </c>
      <c r="P1797">
        <f>IF($A1797="",0,IF(COUNTIF($O$2:$O1797,$O1797)=1,1,0))</f>
        <v>0</v>
      </c>
      <c r="Q1797" t="str">
        <f>IF(AND($P1797=1,$A1797=经营数据!$B$3,$J1797=经营数据!$BA$5),COUNTIFS($P$2:$P$3000,1,$A$2:$A$3000,$A1797,$J$2:$J$3000,$J1797,$N$2:$N$3000,"&lt;"&amp;$N1797)+1,"")</f>
        <v/>
      </c>
      <c r="R1797" t="str">
        <f t="shared" si="428"/>
        <v>广发新城吾悦封闭式商业不动产证券投资基金|常州天宁吾悦广场项目</v>
      </c>
      <c r="S1797">
        <f>IF($A1797="",0,IF(COUNTIF($R$2:$R1797,$R1797)=1,1,0))</f>
        <v>0</v>
      </c>
      <c r="T1797">
        <f t="shared" si="429"/>
        <v>1794</v>
      </c>
      <c r="U1797" t="str">
        <f>IF($A1797="","",IF($A1797=经营数据!$B$3,COUNTIFS($S$2:$S$3000,1,$A$2:$A$3000,$A1797,$T$2:$T$3000,"&lt;"&amp;$T1797)+1,""))</f>
        <v/>
      </c>
      <c r="V1797" t="str">
        <f t="shared" si="430"/>
        <v>常州天宁吾悦广场项目|服务量</v>
      </c>
      <c r="W1797">
        <f t="shared" si="431"/>
        <v>1796</v>
      </c>
      <c r="X1797" t="str">
        <f t="shared" si="432"/>
        <v>常州天宁吾悦广场项目|客流量</v>
      </c>
      <c r="Y1797">
        <f t="shared" si="433"/>
        <v>1796</v>
      </c>
      <c r="Z1797">
        <f>IF($A1797="",0,IF(AND($M1797=1,$A1797=经营数据!$B$3,$J1797=经营数据!$BA$5,OR($I1797=经营数据!$BA$4,COUNTIF(经营数据!$AA$9:$AA$38,$I1797)&gt;0)),1,0))</f>
        <v>0</v>
      </c>
      <c r="AA1797" t="str">
        <f t="shared" si="434"/>
        <v/>
      </c>
      <c r="AB1797" t="str">
        <f t="shared" si="435"/>
        <v/>
      </c>
      <c r="AC1797">
        <f>IF($A1797="",0,IF(COUNTIF($A$2:$A1797,$A1797)=1,1,0))</f>
        <v>0</v>
      </c>
      <c r="AD1797">
        <f t="shared" si="436"/>
        <v>22</v>
      </c>
      <c r="AE1797" t="str">
        <f t="shared" si="437"/>
        <v>常州天宁吾悦广场项目|客流量（万人/日）</v>
      </c>
    </row>
    <row r="1798" spans="1:31" x14ac:dyDescent="0.4">
      <c r="A1798" t="str">
        <f>IF(原始经营数据!$D1799="","",原始经营数据!$D1799)</f>
        <v>广发新城吾悦封闭式商业不动产证券投资基金</v>
      </c>
      <c r="B1798" t="str">
        <f>IF(原始经营数据!$D1799="","",T(原始经营数据!$E1799))</f>
        <v>常州天宁吾悦广场项目</v>
      </c>
      <c r="C1798" t="str">
        <f>IF(原始经营数据!$D1799="","",原始经营数据!$F1799)</f>
        <v>2023</v>
      </c>
      <c r="D1798" t="str">
        <f>IF(原始经营数据!$D1799="","",原始经营数据!$H1799)</f>
        <v>客流量</v>
      </c>
      <c r="E1798">
        <f>IF(原始经营数据!$D1799="","",原始经营数据!$I1799)</f>
        <v>3.92</v>
      </c>
      <c r="F1798" t="str">
        <f>IF(原始经营数据!$D1799="","",T(原始经营数据!$J1799))</f>
        <v>万人/日</v>
      </c>
      <c r="G1798" t="str">
        <f>IF(原始经营数据!$D1799="","",T(原始经营数据!$K1799))</f>
        <v/>
      </c>
      <c r="H1798" t="str">
        <f>IF(原始经营数据!$D1799="","",原始经营数据!$G1799)</f>
        <v>服务量</v>
      </c>
      <c r="I1798" t="str">
        <f>IF($A1798="","",IF($B1798&lt;&gt;"",$B1798,IF(COUNTIFS(原始经营数据!$D$3:$D$3001,$A1798,原始经营数据!$E$3:$E$3001,"",原始经营数据!$F$3:$F$3001,$C1798,原始经营数据!$H$3:$H$3001,$D1798,原始经营数据!$K$3:$K$3001,$G1798)&gt;1,"基金整体·来源"&amp;原始经营数据!$A1799,"基金整体")))</f>
        <v>常州天宁吾悦广场项目</v>
      </c>
      <c r="J1798" t="str">
        <f t="shared" si="423"/>
        <v>年度</v>
      </c>
      <c r="K1798" t="str">
        <f t="shared" si="424"/>
        <v>客流量（万人/日）</v>
      </c>
      <c r="L1798" t="str">
        <f t="shared" si="425"/>
        <v>常州天宁吾悦广场项目|客流量（万人/日）|年度</v>
      </c>
      <c r="M1798">
        <f>IF($A1798="",0,IF(COUNTIF($L$2:$L1798,$L1798)=1,1,0))</f>
        <v>0</v>
      </c>
      <c r="N1798">
        <f t="shared" si="426"/>
        <v>20230</v>
      </c>
      <c r="O1798" t="str">
        <f t="shared" si="427"/>
        <v>广发新城吾悦封闭式商业不动产证券投资基金|2023|年度</v>
      </c>
      <c r="P1798">
        <f>IF($A1798="",0,IF(COUNTIF($O$2:$O1798,$O1798)=1,1,0))</f>
        <v>0</v>
      </c>
      <c r="Q1798" t="str">
        <f>IF(AND($P1798=1,$A1798=经营数据!$B$3,$J1798=经营数据!$BA$5),COUNTIFS($P$2:$P$3000,1,$A$2:$A$3000,$A1798,$J$2:$J$3000,$J1798,$N$2:$N$3000,"&lt;"&amp;$N1798)+1,"")</f>
        <v/>
      </c>
      <c r="R1798" t="str">
        <f t="shared" si="428"/>
        <v>广发新城吾悦封闭式商业不动产证券投资基金|常州天宁吾悦广场项目</v>
      </c>
      <c r="S1798">
        <f>IF($A1798="",0,IF(COUNTIF($R$2:$R1798,$R1798)=1,1,0))</f>
        <v>0</v>
      </c>
      <c r="T1798">
        <f t="shared" si="429"/>
        <v>1794</v>
      </c>
      <c r="U1798" t="str">
        <f>IF($A1798="","",IF($A1798=经营数据!$B$3,COUNTIFS($S$2:$S$3000,1,$A$2:$A$3000,$A1798,$T$2:$T$3000,"&lt;"&amp;$T1798)+1,""))</f>
        <v/>
      </c>
      <c r="V1798" t="str">
        <f t="shared" si="430"/>
        <v>常州天宁吾悦广场项目|服务量</v>
      </c>
      <c r="W1798">
        <f t="shared" si="431"/>
        <v>1796</v>
      </c>
      <c r="X1798" t="str">
        <f t="shared" si="432"/>
        <v>常州天宁吾悦广场项目|客流量</v>
      </c>
      <c r="Y1798">
        <f t="shared" si="433"/>
        <v>1796</v>
      </c>
      <c r="Z1798">
        <f>IF($A1798="",0,IF(AND($M1798=1,$A1798=经营数据!$B$3,$J1798=经营数据!$BA$5,OR($I1798=经营数据!$BA$4,COUNTIF(经营数据!$AA$9:$AA$38,$I1798)&gt;0)),1,0))</f>
        <v>0</v>
      </c>
      <c r="AA1798" t="str">
        <f t="shared" si="434"/>
        <v/>
      </c>
      <c r="AB1798" t="str">
        <f t="shared" si="435"/>
        <v/>
      </c>
      <c r="AC1798">
        <f>IF($A1798="",0,IF(COUNTIF($A$2:$A1798,$A1798)=1,1,0))</f>
        <v>0</v>
      </c>
      <c r="AD1798">
        <f t="shared" si="436"/>
        <v>22</v>
      </c>
      <c r="AE1798" t="str">
        <f t="shared" si="437"/>
        <v>常州天宁吾悦广场项目|客流量（万人/日）</v>
      </c>
    </row>
    <row r="1799" spans="1:31" x14ac:dyDescent="0.4">
      <c r="A1799" t="str">
        <f>IF(原始经营数据!$D1800="","",原始经营数据!$D1800)</f>
        <v>广发新城吾悦封闭式商业不动产证券投资基金</v>
      </c>
      <c r="B1799" t="str">
        <f>IF(原始经营数据!$D1800="","",T(原始经营数据!$E1800))</f>
        <v>常州天宁吾悦广场项目</v>
      </c>
      <c r="C1799" t="str">
        <f>IF(原始经营数据!$D1800="","",原始经营数据!$F1800)</f>
        <v>2023</v>
      </c>
      <c r="D1799" t="str">
        <f>IF(原始经营数据!$D1800="","",原始经营数据!$H1800)</f>
        <v>加权平均出租率</v>
      </c>
      <c r="E1799">
        <f>IF(原始经营数据!$D1800="","",原始经营数据!$I1800)</f>
        <v>97.57</v>
      </c>
      <c r="F1799" t="str">
        <f>IF(原始经营数据!$D1800="","",T(原始经营数据!$J1800))</f>
        <v>%</v>
      </c>
      <c r="G1799" t="str">
        <f>IF(原始经营数据!$D1800="","",T(原始经营数据!$K1800))</f>
        <v/>
      </c>
      <c r="H1799" t="str">
        <f>IF(原始经营数据!$D1800="","",原始经营数据!$G1800)</f>
        <v>服务效率</v>
      </c>
      <c r="I1799" t="str">
        <f>IF($A1799="","",IF($B1799&lt;&gt;"",$B1799,IF(COUNTIFS(原始经营数据!$D$3:$D$3001,$A1799,原始经营数据!$E$3:$E$3001,"",原始经营数据!$F$3:$F$3001,$C1799,原始经营数据!$H$3:$H$3001,$D1799,原始经营数据!$K$3:$K$3001,$G1799)&gt;1,"基金整体·来源"&amp;原始经营数据!$A1800,"基金整体")))</f>
        <v>常州天宁吾悦广场项目</v>
      </c>
      <c r="J1799" t="str">
        <f t="shared" si="423"/>
        <v>年度</v>
      </c>
      <c r="K1799" t="str">
        <f t="shared" si="424"/>
        <v>加权平均出租率（%）</v>
      </c>
      <c r="L1799" t="str">
        <f t="shared" si="425"/>
        <v>常州天宁吾悦广场项目|加权平均出租率（%）|年度</v>
      </c>
      <c r="M1799">
        <f>IF($A1799="",0,IF(COUNTIF($L$2:$L1799,$L1799)=1,1,0))</f>
        <v>0</v>
      </c>
      <c r="N1799">
        <f t="shared" si="426"/>
        <v>20230</v>
      </c>
      <c r="O1799" t="str">
        <f t="shared" si="427"/>
        <v>广发新城吾悦封闭式商业不动产证券投资基金|2023|年度</v>
      </c>
      <c r="P1799">
        <f>IF($A1799="",0,IF(COUNTIF($O$2:$O1799,$O1799)=1,1,0))</f>
        <v>0</v>
      </c>
      <c r="Q1799" t="str">
        <f>IF(AND($P1799=1,$A1799=经营数据!$B$3,$J1799=经营数据!$BA$5),COUNTIFS($P$2:$P$3000,1,$A$2:$A$3000,$A1799,$J$2:$J$3000,$J1799,$N$2:$N$3000,"&lt;"&amp;$N1799)+1,"")</f>
        <v/>
      </c>
      <c r="R1799" t="str">
        <f t="shared" si="428"/>
        <v>广发新城吾悦封闭式商业不动产证券投资基金|常州天宁吾悦广场项目</v>
      </c>
      <c r="S1799">
        <f>IF($A1799="",0,IF(COUNTIF($R$2:$R1799,$R1799)=1,1,0))</f>
        <v>0</v>
      </c>
      <c r="T1799">
        <f t="shared" si="429"/>
        <v>1794</v>
      </c>
      <c r="U1799" t="str">
        <f>IF($A1799="","",IF($A1799=经营数据!$B$3,COUNTIFS($S$2:$S$3000,1,$A$2:$A$3000,$A1799,$T$2:$T$3000,"&lt;"&amp;$T1799)+1,""))</f>
        <v/>
      </c>
      <c r="V1799" t="str">
        <f t="shared" si="430"/>
        <v>常州天宁吾悦广场项目|服务效率</v>
      </c>
      <c r="W1799">
        <f t="shared" si="431"/>
        <v>1794</v>
      </c>
      <c r="X1799" t="str">
        <f t="shared" si="432"/>
        <v>常州天宁吾悦广场项目|加权平均出租率</v>
      </c>
      <c r="Y1799">
        <f t="shared" si="433"/>
        <v>1795</v>
      </c>
      <c r="Z1799">
        <f>IF($A1799="",0,IF(AND($M1799=1,$A1799=经营数据!$B$3,$J1799=经营数据!$BA$5,OR($I1799=经营数据!$BA$4,COUNTIF(经营数据!$AA$9:$AA$38,$I1799)&gt;0)),1,0))</f>
        <v>0</v>
      </c>
      <c r="AA1799" t="str">
        <f t="shared" si="434"/>
        <v/>
      </c>
      <c r="AB1799" t="str">
        <f t="shared" si="435"/>
        <v/>
      </c>
      <c r="AC1799">
        <f>IF($A1799="",0,IF(COUNTIF($A$2:$A1799,$A1799)=1,1,0))</f>
        <v>0</v>
      </c>
      <c r="AD1799">
        <f t="shared" si="436"/>
        <v>22</v>
      </c>
      <c r="AE1799" t="str">
        <f t="shared" si="437"/>
        <v>常州天宁吾悦广场项目|加权平均出租率（%）</v>
      </c>
    </row>
    <row r="1800" spans="1:31" x14ac:dyDescent="0.4">
      <c r="A1800" t="str">
        <f>IF(原始经营数据!$D1801="","",原始经营数据!$D1801)</f>
        <v>广发新城吾悦封闭式商业不动产证券投资基金</v>
      </c>
      <c r="B1800" t="str">
        <f>IF(原始经营数据!$D1801="","",T(原始经营数据!$E1801))</f>
        <v>常州天宁吾悦广场项目</v>
      </c>
      <c r="C1800" t="str">
        <f>IF(原始经营数据!$D1801="","",原始经营数据!$F1801)</f>
        <v>2023</v>
      </c>
      <c r="D1800" t="str">
        <f>IF(原始经营数据!$D1801="","",原始经营数据!$H1801)</f>
        <v>期末出租率</v>
      </c>
      <c r="E1800">
        <f>IF(原始经营数据!$D1801="","",原始经营数据!$I1801)</f>
        <v>99.76</v>
      </c>
      <c r="F1800" t="str">
        <f>IF(原始经营数据!$D1801="","",T(原始经营数据!$J1801))</f>
        <v>%</v>
      </c>
      <c r="G1800" t="str">
        <f>IF(原始经营数据!$D1801="","",T(原始经营数据!$K1801))</f>
        <v/>
      </c>
      <c r="H1800" t="str">
        <f>IF(原始经营数据!$D1801="","",原始经营数据!$G1801)</f>
        <v>服务效率</v>
      </c>
      <c r="I1800" t="str">
        <f>IF($A1800="","",IF($B1800&lt;&gt;"",$B1800,IF(COUNTIFS(原始经营数据!$D$3:$D$3001,$A1800,原始经营数据!$E$3:$E$3001,"",原始经营数据!$F$3:$F$3001,$C1800,原始经营数据!$H$3:$H$3001,$D1800,原始经营数据!$K$3:$K$3001,$G1800)&gt;1,"基金整体·来源"&amp;原始经营数据!$A1801,"基金整体")))</f>
        <v>常州天宁吾悦广场项目</v>
      </c>
      <c r="J1800" t="str">
        <f t="shared" si="423"/>
        <v>年度</v>
      </c>
      <c r="K1800" t="str">
        <f t="shared" si="424"/>
        <v>期末出租率（%）</v>
      </c>
      <c r="L1800" t="str">
        <f t="shared" si="425"/>
        <v>常州天宁吾悦广场项目|期末出租率（%）|年度</v>
      </c>
      <c r="M1800">
        <f>IF($A1800="",0,IF(COUNTIF($L$2:$L1800,$L1800)=1,1,0))</f>
        <v>0</v>
      </c>
      <c r="N1800">
        <f t="shared" si="426"/>
        <v>20230</v>
      </c>
      <c r="O1800" t="str">
        <f t="shared" si="427"/>
        <v>广发新城吾悦封闭式商业不动产证券投资基金|2023|年度</v>
      </c>
      <c r="P1800">
        <f>IF($A1800="",0,IF(COUNTIF($O$2:$O1800,$O1800)=1,1,0))</f>
        <v>0</v>
      </c>
      <c r="Q1800" t="str">
        <f>IF(AND($P1800=1,$A1800=经营数据!$B$3,$J1800=经营数据!$BA$5),COUNTIFS($P$2:$P$3000,1,$A$2:$A$3000,$A1800,$J$2:$J$3000,$J1800,$N$2:$N$3000,"&lt;"&amp;$N1800)+1,"")</f>
        <v/>
      </c>
      <c r="R1800" t="str">
        <f t="shared" si="428"/>
        <v>广发新城吾悦封闭式商业不动产证券投资基金|常州天宁吾悦广场项目</v>
      </c>
      <c r="S1800">
        <f>IF($A1800="",0,IF(COUNTIF($R$2:$R1800,$R1800)=1,1,0))</f>
        <v>0</v>
      </c>
      <c r="T1800">
        <f t="shared" si="429"/>
        <v>1794</v>
      </c>
      <c r="U1800" t="str">
        <f>IF($A1800="","",IF($A1800=经营数据!$B$3,COUNTIFS($S$2:$S$3000,1,$A$2:$A$3000,$A1800,$T$2:$T$3000,"&lt;"&amp;$T1800)+1,""))</f>
        <v/>
      </c>
      <c r="V1800" t="str">
        <f t="shared" si="430"/>
        <v>常州天宁吾悦广场项目|服务效率</v>
      </c>
      <c r="W1800">
        <f t="shared" si="431"/>
        <v>1794</v>
      </c>
      <c r="X1800" t="str">
        <f t="shared" si="432"/>
        <v>常州天宁吾悦广场项目|期末出租率</v>
      </c>
      <c r="Y1800">
        <f t="shared" si="433"/>
        <v>1794</v>
      </c>
      <c r="Z1800">
        <f>IF($A1800="",0,IF(AND($M1800=1,$A1800=经营数据!$B$3,$J1800=经营数据!$BA$5,OR($I1800=经营数据!$BA$4,COUNTIF(经营数据!$AA$9:$AA$38,$I1800)&gt;0)),1,0))</f>
        <v>0</v>
      </c>
      <c r="AA1800" t="str">
        <f t="shared" si="434"/>
        <v/>
      </c>
      <c r="AB1800" t="str">
        <f t="shared" si="435"/>
        <v/>
      </c>
      <c r="AC1800">
        <f>IF($A1800="",0,IF(COUNTIF($A$2:$A1800,$A1800)=1,1,0))</f>
        <v>0</v>
      </c>
      <c r="AD1800">
        <f t="shared" si="436"/>
        <v>22</v>
      </c>
      <c r="AE1800" t="str">
        <f t="shared" si="437"/>
        <v>常州天宁吾悦广场项目|期末出租率（%）</v>
      </c>
    </row>
    <row r="1801" spans="1:31" x14ac:dyDescent="0.4">
      <c r="A1801" t="str">
        <f>IF(原始经营数据!$D1802="","",原始经营数据!$D1802)</f>
        <v>广发新城吾悦封闭式商业不动产证券投资基金</v>
      </c>
      <c r="B1801" t="str">
        <f>IF(原始经营数据!$D1802="","",T(原始经营数据!$E1802))</f>
        <v>常州天宁吾悦广场项目</v>
      </c>
      <c r="C1801" t="str">
        <f>IF(原始经营数据!$D1802="","",原始经营数据!$F1802)</f>
        <v>2024</v>
      </c>
      <c r="D1801" t="str">
        <f>IF(原始经营数据!$D1802="","",原始经营数据!$H1802)</f>
        <v>期末出租率</v>
      </c>
      <c r="E1801">
        <f>IF(原始经营数据!$D1802="","",原始经营数据!$I1802)</f>
        <v>97.77</v>
      </c>
      <c r="F1801" t="str">
        <f>IF(原始经营数据!$D1802="","",T(原始经营数据!$J1802))</f>
        <v>%</v>
      </c>
      <c r="G1801" t="str">
        <f>IF(原始经营数据!$D1802="","",T(原始经营数据!$K1802))</f>
        <v/>
      </c>
      <c r="H1801" t="str">
        <f>IF(原始经营数据!$D1802="","",原始经营数据!$G1802)</f>
        <v>服务效率</v>
      </c>
      <c r="I1801" t="str">
        <f>IF($A1801="","",IF($B1801&lt;&gt;"",$B1801,IF(COUNTIFS(原始经营数据!$D$3:$D$3001,$A1801,原始经营数据!$E$3:$E$3001,"",原始经营数据!$F$3:$F$3001,$C1801,原始经营数据!$H$3:$H$3001,$D1801,原始经营数据!$K$3:$K$3001,$G1801)&gt;1,"基金整体·来源"&amp;原始经营数据!$A1802,"基金整体")))</f>
        <v>常州天宁吾悦广场项目</v>
      </c>
      <c r="J1801" t="str">
        <f t="shared" si="423"/>
        <v>年度</v>
      </c>
      <c r="K1801" t="str">
        <f t="shared" si="424"/>
        <v>期末出租率（%）</v>
      </c>
      <c r="L1801" t="str">
        <f t="shared" si="425"/>
        <v>常州天宁吾悦广场项目|期末出租率（%）|年度</v>
      </c>
      <c r="M1801">
        <f>IF($A1801="",0,IF(COUNTIF($L$2:$L1801,$L1801)=1,1,0))</f>
        <v>0</v>
      </c>
      <c r="N1801">
        <f t="shared" si="426"/>
        <v>20240</v>
      </c>
      <c r="O1801" t="str">
        <f t="shared" si="427"/>
        <v>广发新城吾悦封闭式商业不动产证券投资基金|2024|年度</v>
      </c>
      <c r="P1801">
        <f>IF($A1801="",0,IF(COUNTIF($O$2:$O1801,$O1801)=1,1,0))</f>
        <v>0</v>
      </c>
      <c r="Q1801" t="str">
        <f>IF(AND($P1801=1,$A1801=经营数据!$B$3,$J1801=经营数据!$BA$5),COUNTIFS($P$2:$P$3000,1,$A$2:$A$3000,$A1801,$J$2:$J$3000,$J1801,$N$2:$N$3000,"&lt;"&amp;$N1801)+1,"")</f>
        <v/>
      </c>
      <c r="R1801" t="str">
        <f t="shared" si="428"/>
        <v>广发新城吾悦封闭式商业不动产证券投资基金|常州天宁吾悦广场项目</v>
      </c>
      <c r="S1801">
        <f>IF($A1801="",0,IF(COUNTIF($R$2:$R1801,$R1801)=1,1,0))</f>
        <v>0</v>
      </c>
      <c r="T1801">
        <f t="shared" si="429"/>
        <v>1794</v>
      </c>
      <c r="U1801" t="str">
        <f>IF($A1801="","",IF($A1801=经营数据!$B$3,COUNTIFS($S$2:$S$3000,1,$A$2:$A$3000,$A1801,$T$2:$T$3000,"&lt;"&amp;$T1801)+1,""))</f>
        <v/>
      </c>
      <c r="V1801" t="str">
        <f t="shared" si="430"/>
        <v>常州天宁吾悦广场项目|服务效率</v>
      </c>
      <c r="W1801">
        <f t="shared" si="431"/>
        <v>1794</v>
      </c>
      <c r="X1801" t="str">
        <f t="shared" si="432"/>
        <v>常州天宁吾悦广场项目|期末出租率</v>
      </c>
      <c r="Y1801">
        <f t="shared" si="433"/>
        <v>1794</v>
      </c>
      <c r="Z1801">
        <f>IF($A1801="",0,IF(AND($M1801=1,$A1801=经营数据!$B$3,$J1801=经营数据!$BA$5,OR($I1801=经营数据!$BA$4,COUNTIF(经营数据!$AA$9:$AA$38,$I1801)&gt;0)),1,0))</f>
        <v>0</v>
      </c>
      <c r="AA1801" t="str">
        <f t="shared" si="434"/>
        <v/>
      </c>
      <c r="AB1801" t="str">
        <f t="shared" si="435"/>
        <v/>
      </c>
      <c r="AC1801">
        <f>IF($A1801="",0,IF(COUNTIF($A$2:$A1801,$A1801)=1,1,0))</f>
        <v>0</v>
      </c>
      <c r="AD1801">
        <f t="shared" si="436"/>
        <v>22</v>
      </c>
      <c r="AE1801" t="str">
        <f t="shared" si="437"/>
        <v>常州天宁吾悦广场项目|期末出租率（%）</v>
      </c>
    </row>
    <row r="1802" spans="1:31" x14ac:dyDescent="0.4">
      <c r="A1802" t="str">
        <f>IF(原始经营数据!$D1803="","",原始经营数据!$D1803)</f>
        <v>广发新城吾悦封闭式商业不动产证券投资基金</v>
      </c>
      <c r="B1802" t="str">
        <f>IF(原始经营数据!$D1803="","",T(原始经营数据!$E1803))</f>
        <v>常州天宁吾悦广场项目</v>
      </c>
      <c r="C1802" t="str">
        <f>IF(原始经营数据!$D1803="","",原始经营数据!$F1803)</f>
        <v>2024</v>
      </c>
      <c r="D1802" t="str">
        <f>IF(原始经营数据!$D1803="","",原始经营数据!$H1803)</f>
        <v>客流量</v>
      </c>
      <c r="E1802">
        <f>IF(原始经营数据!$D1803="","",原始经营数据!$I1803)</f>
        <v>3.9</v>
      </c>
      <c r="F1802" t="str">
        <f>IF(原始经营数据!$D1803="","",T(原始经营数据!$J1803))</f>
        <v>万人/日</v>
      </c>
      <c r="G1802" t="str">
        <f>IF(原始经营数据!$D1803="","",T(原始经营数据!$K1803))</f>
        <v/>
      </c>
      <c r="H1802" t="str">
        <f>IF(原始经营数据!$D1803="","",原始经营数据!$G1803)</f>
        <v>服务量</v>
      </c>
      <c r="I1802" t="str">
        <f>IF($A1802="","",IF($B1802&lt;&gt;"",$B1802,IF(COUNTIFS(原始经营数据!$D$3:$D$3001,$A1802,原始经营数据!$E$3:$E$3001,"",原始经营数据!$F$3:$F$3001,$C1802,原始经营数据!$H$3:$H$3001,$D1802,原始经营数据!$K$3:$K$3001,$G1802)&gt;1,"基金整体·来源"&amp;原始经营数据!$A1803,"基金整体")))</f>
        <v>常州天宁吾悦广场项目</v>
      </c>
      <c r="J1802" t="str">
        <f t="shared" si="423"/>
        <v>年度</v>
      </c>
      <c r="K1802" t="str">
        <f t="shared" si="424"/>
        <v>客流量（万人/日）</v>
      </c>
      <c r="L1802" t="str">
        <f t="shared" si="425"/>
        <v>常州天宁吾悦广场项目|客流量（万人/日）|年度</v>
      </c>
      <c r="M1802">
        <f>IF($A1802="",0,IF(COUNTIF($L$2:$L1802,$L1802)=1,1,0))</f>
        <v>0</v>
      </c>
      <c r="N1802">
        <f t="shared" si="426"/>
        <v>20240</v>
      </c>
      <c r="O1802" t="str">
        <f t="shared" si="427"/>
        <v>广发新城吾悦封闭式商业不动产证券投资基金|2024|年度</v>
      </c>
      <c r="P1802">
        <f>IF($A1802="",0,IF(COUNTIF($O$2:$O1802,$O1802)=1,1,0))</f>
        <v>0</v>
      </c>
      <c r="Q1802" t="str">
        <f>IF(AND($P1802=1,$A1802=经营数据!$B$3,$J1802=经营数据!$BA$5),COUNTIFS($P$2:$P$3000,1,$A$2:$A$3000,$A1802,$J$2:$J$3000,$J1802,$N$2:$N$3000,"&lt;"&amp;$N1802)+1,"")</f>
        <v/>
      </c>
      <c r="R1802" t="str">
        <f t="shared" si="428"/>
        <v>广发新城吾悦封闭式商业不动产证券投资基金|常州天宁吾悦广场项目</v>
      </c>
      <c r="S1802">
        <f>IF($A1802="",0,IF(COUNTIF($R$2:$R1802,$R1802)=1,1,0))</f>
        <v>0</v>
      </c>
      <c r="T1802">
        <f t="shared" si="429"/>
        <v>1794</v>
      </c>
      <c r="U1802" t="str">
        <f>IF($A1802="","",IF($A1802=经营数据!$B$3,COUNTIFS($S$2:$S$3000,1,$A$2:$A$3000,$A1802,$T$2:$T$3000,"&lt;"&amp;$T1802)+1,""))</f>
        <v/>
      </c>
      <c r="V1802" t="str">
        <f t="shared" si="430"/>
        <v>常州天宁吾悦广场项目|服务量</v>
      </c>
      <c r="W1802">
        <f t="shared" si="431"/>
        <v>1796</v>
      </c>
      <c r="X1802" t="str">
        <f t="shared" si="432"/>
        <v>常州天宁吾悦广场项目|客流量</v>
      </c>
      <c r="Y1802">
        <f t="shared" si="433"/>
        <v>1796</v>
      </c>
      <c r="Z1802">
        <f>IF($A1802="",0,IF(AND($M1802=1,$A1802=经营数据!$B$3,$J1802=经营数据!$BA$5,OR($I1802=经营数据!$BA$4,COUNTIF(经营数据!$AA$9:$AA$38,$I1802)&gt;0)),1,0))</f>
        <v>0</v>
      </c>
      <c r="AA1802" t="str">
        <f t="shared" si="434"/>
        <v/>
      </c>
      <c r="AB1802" t="str">
        <f t="shared" si="435"/>
        <v/>
      </c>
      <c r="AC1802">
        <f>IF($A1802="",0,IF(COUNTIF($A$2:$A1802,$A1802)=1,1,0))</f>
        <v>0</v>
      </c>
      <c r="AD1802">
        <f t="shared" si="436"/>
        <v>22</v>
      </c>
      <c r="AE1802" t="str">
        <f t="shared" si="437"/>
        <v>常州天宁吾悦广场项目|客流量（万人/日）</v>
      </c>
    </row>
    <row r="1803" spans="1:31" x14ac:dyDescent="0.4">
      <c r="A1803" t="str">
        <f>IF(原始经营数据!$D1804="","",原始经营数据!$D1804)</f>
        <v>广发新城吾悦封闭式商业不动产证券投资基金</v>
      </c>
      <c r="B1803" t="str">
        <f>IF(原始经营数据!$D1804="","",T(原始经营数据!$E1804))</f>
        <v>常州天宁吾悦广场项目</v>
      </c>
      <c r="C1803" t="str">
        <f>IF(原始经营数据!$D1804="","",原始经营数据!$F1804)</f>
        <v>2024</v>
      </c>
      <c r="D1803" t="str">
        <f>IF(原始经营数据!$D1804="","",原始经营数据!$H1804)</f>
        <v>加权平均出租率</v>
      </c>
      <c r="E1803">
        <f>IF(原始经营数据!$D1804="","",原始经营数据!$I1804)</f>
        <v>97.83</v>
      </c>
      <c r="F1803" t="str">
        <f>IF(原始经营数据!$D1804="","",T(原始经营数据!$J1804))</f>
        <v>%</v>
      </c>
      <c r="G1803" t="str">
        <f>IF(原始经营数据!$D1804="","",T(原始经营数据!$K1804))</f>
        <v/>
      </c>
      <c r="H1803" t="str">
        <f>IF(原始经营数据!$D1804="","",原始经营数据!$G1804)</f>
        <v>服务效率</v>
      </c>
      <c r="I1803" t="str">
        <f>IF($A1803="","",IF($B1803&lt;&gt;"",$B1803,IF(COUNTIFS(原始经营数据!$D$3:$D$3001,$A1803,原始经营数据!$E$3:$E$3001,"",原始经营数据!$F$3:$F$3001,$C1803,原始经营数据!$H$3:$H$3001,$D1803,原始经营数据!$K$3:$K$3001,$G1803)&gt;1,"基金整体·来源"&amp;原始经营数据!$A1804,"基金整体")))</f>
        <v>常州天宁吾悦广场项目</v>
      </c>
      <c r="J1803" t="str">
        <f t="shared" si="423"/>
        <v>年度</v>
      </c>
      <c r="K1803" t="str">
        <f t="shared" si="424"/>
        <v>加权平均出租率（%）</v>
      </c>
      <c r="L1803" t="str">
        <f t="shared" si="425"/>
        <v>常州天宁吾悦广场项目|加权平均出租率（%）|年度</v>
      </c>
      <c r="M1803">
        <f>IF($A1803="",0,IF(COUNTIF($L$2:$L1803,$L1803)=1,1,0))</f>
        <v>0</v>
      </c>
      <c r="N1803">
        <f t="shared" si="426"/>
        <v>20240</v>
      </c>
      <c r="O1803" t="str">
        <f t="shared" si="427"/>
        <v>广发新城吾悦封闭式商业不动产证券投资基金|2024|年度</v>
      </c>
      <c r="P1803">
        <f>IF($A1803="",0,IF(COUNTIF($O$2:$O1803,$O1803)=1,1,0))</f>
        <v>0</v>
      </c>
      <c r="Q1803" t="str">
        <f>IF(AND($P1803=1,$A1803=经营数据!$B$3,$J1803=经营数据!$BA$5),COUNTIFS($P$2:$P$3000,1,$A$2:$A$3000,$A1803,$J$2:$J$3000,$J1803,$N$2:$N$3000,"&lt;"&amp;$N1803)+1,"")</f>
        <v/>
      </c>
      <c r="R1803" t="str">
        <f t="shared" si="428"/>
        <v>广发新城吾悦封闭式商业不动产证券投资基金|常州天宁吾悦广场项目</v>
      </c>
      <c r="S1803">
        <f>IF($A1803="",0,IF(COUNTIF($R$2:$R1803,$R1803)=1,1,0))</f>
        <v>0</v>
      </c>
      <c r="T1803">
        <f t="shared" si="429"/>
        <v>1794</v>
      </c>
      <c r="U1803" t="str">
        <f>IF($A1803="","",IF($A1803=经营数据!$B$3,COUNTIFS($S$2:$S$3000,1,$A$2:$A$3000,$A1803,$T$2:$T$3000,"&lt;"&amp;$T1803)+1,""))</f>
        <v/>
      </c>
      <c r="V1803" t="str">
        <f t="shared" si="430"/>
        <v>常州天宁吾悦广场项目|服务效率</v>
      </c>
      <c r="W1803">
        <f t="shared" si="431"/>
        <v>1794</v>
      </c>
      <c r="X1803" t="str">
        <f t="shared" si="432"/>
        <v>常州天宁吾悦广场项目|加权平均出租率</v>
      </c>
      <c r="Y1803">
        <f t="shared" si="433"/>
        <v>1795</v>
      </c>
      <c r="Z1803">
        <f>IF($A1803="",0,IF(AND($M1803=1,$A1803=经营数据!$B$3,$J1803=经营数据!$BA$5,OR($I1803=经营数据!$BA$4,COUNTIF(经营数据!$AA$9:$AA$38,$I1803)&gt;0)),1,0))</f>
        <v>0</v>
      </c>
      <c r="AA1803" t="str">
        <f t="shared" si="434"/>
        <v/>
      </c>
      <c r="AB1803" t="str">
        <f t="shared" si="435"/>
        <v/>
      </c>
      <c r="AC1803">
        <f>IF($A1803="",0,IF(COUNTIF($A$2:$A1803,$A1803)=1,1,0))</f>
        <v>0</v>
      </c>
      <c r="AD1803">
        <f t="shared" si="436"/>
        <v>22</v>
      </c>
      <c r="AE1803" t="str">
        <f t="shared" si="437"/>
        <v>常州天宁吾悦广场项目|加权平均出租率（%）</v>
      </c>
    </row>
    <row r="1804" spans="1:31" x14ac:dyDescent="0.4">
      <c r="A1804" t="str">
        <f>IF(原始经营数据!$D1805="","",原始经营数据!$D1805)</f>
        <v>广发新城吾悦封闭式商业不动产证券投资基金</v>
      </c>
      <c r="B1804" t="str">
        <f>IF(原始经营数据!$D1805="","",T(原始经营数据!$E1805))</f>
        <v>常州天宁吾悦广场项目</v>
      </c>
      <c r="C1804" t="str">
        <f>IF(原始经营数据!$D1805="","",原始经营数据!$F1805)</f>
        <v>2025</v>
      </c>
      <c r="D1804" t="str">
        <f>IF(原始经营数据!$D1805="","",原始经营数据!$H1805)</f>
        <v>加权平均出租率</v>
      </c>
      <c r="E1804">
        <f>IF(原始经营数据!$D1805="","",原始经营数据!$I1805)</f>
        <v>97.17</v>
      </c>
      <c r="F1804" t="str">
        <f>IF(原始经营数据!$D1805="","",T(原始经营数据!$J1805))</f>
        <v>%</v>
      </c>
      <c r="G1804" t="str">
        <f>IF(原始经营数据!$D1805="","",T(原始经营数据!$K1805))</f>
        <v/>
      </c>
      <c r="H1804" t="str">
        <f>IF(原始经营数据!$D1805="","",原始经营数据!$G1805)</f>
        <v>服务效率</v>
      </c>
      <c r="I1804" t="str">
        <f>IF($A1804="","",IF($B1804&lt;&gt;"",$B1804,IF(COUNTIFS(原始经营数据!$D$3:$D$3001,$A1804,原始经营数据!$E$3:$E$3001,"",原始经营数据!$F$3:$F$3001,$C1804,原始经营数据!$H$3:$H$3001,$D1804,原始经营数据!$K$3:$K$3001,$G1804)&gt;1,"基金整体·来源"&amp;原始经营数据!$A1805,"基金整体")))</f>
        <v>常州天宁吾悦广场项目</v>
      </c>
      <c r="J1804" t="str">
        <f t="shared" si="423"/>
        <v>年度</v>
      </c>
      <c r="K1804" t="str">
        <f t="shared" si="424"/>
        <v>加权平均出租率（%）</v>
      </c>
      <c r="L1804" t="str">
        <f t="shared" si="425"/>
        <v>常州天宁吾悦广场项目|加权平均出租率（%）|年度</v>
      </c>
      <c r="M1804">
        <f>IF($A1804="",0,IF(COUNTIF($L$2:$L1804,$L1804)=1,1,0))</f>
        <v>0</v>
      </c>
      <c r="N1804">
        <f t="shared" si="426"/>
        <v>20250</v>
      </c>
      <c r="O1804" t="str">
        <f t="shared" si="427"/>
        <v>广发新城吾悦封闭式商业不动产证券投资基金|2025|年度</v>
      </c>
      <c r="P1804">
        <f>IF($A1804="",0,IF(COUNTIF($O$2:$O1804,$O1804)=1,1,0))</f>
        <v>0</v>
      </c>
      <c r="Q1804" t="str">
        <f>IF(AND($P1804=1,$A1804=经营数据!$B$3,$J1804=经营数据!$BA$5),COUNTIFS($P$2:$P$3000,1,$A$2:$A$3000,$A1804,$J$2:$J$3000,$J1804,$N$2:$N$3000,"&lt;"&amp;$N1804)+1,"")</f>
        <v/>
      </c>
      <c r="R1804" t="str">
        <f t="shared" si="428"/>
        <v>广发新城吾悦封闭式商业不动产证券投资基金|常州天宁吾悦广场项目</v>
      </c>
      <c r="S1804">
        <f>IF($A1804="",0,IF(COUNTIF($R$2:$R1804,$R1804)=1,1,0))</f>
        <v>0</v>
      </c>
      <c r="T1804">
        <f t="shared" si="429"/>
        <v>1794</v>
      </c>
      <c r="U1804" t="str">
        <f>IF($A1804="","",IF($A1804=经营数据!$B$3,COUNTIFS($S$2:$S$3000,1,$A$2:$A$3000,$A1804,$T$2:$T$3000,"&lt;"&amp;$T1804)+1,""))</f>
        <v/>
      </c>
      <c r="V1804" t="str">
        <f t="shared" si="430"/>
        <v>常州天宁吾悦广场项目|服务效率</v>
      </c>
      <c r="W1804">
        <f t="shared" si="431"/>
        <v>1794</v>
      </c>
      <c r="X1804" t="str">
        <f t="shared" si="432"/>
        <v>常州天宁吾悦广场项目|加权平均出租率</v>
      </c>
      <c r="Y1804">
        <f t="shared" si="433"/>
        <v>1795</v>
      </c>
      <c r="Z1804">
        <f>IF($A1804="",0,IF(AND($M1804=1,$A1804=经营数据!$B$3,$J1804=经营数据!$BA$5,OR($I1804=经营数据!$BA$4,COUNTIF(经营数据!$AA$9:$AA$38,$I1804)&gt;0)),1,0))</f>
        <v>0</v>
      </c>
      <c r="AA1804" t="str">
        <f t="shared" si="434"/>
        <v/>
      </c>
      <c r="AB1804" t="str">
        <f t="shared" si="435"/>
        <v/>
      </c>
      <c r="AC1804">
        <f>IF($A1804="",0,IF(COUNTIF($A$2:$A1804,$A1804)=1,1,0))</f>
        <v>0</v>
      </c>
      <c r="AD1804">
        <f t="shared" si="436"/>
        <v>22</v>
      </c>
      <c r="AE1804" t="str">
        <f t="shared" si="437"/>
        <v>常州天宁吾悦广场项目|加权平均出租率（%）</v>
      </c>
    </row>
    <row r="1805" spans="1:31" x14ac:dyDescent="0.4">
      <c r="A1805" t="str">
        <f>IF(原始经营数据!$D1806="","",原始经营数据!$D1806)</f>
        <v>广发新城吾悦封闭式商业不动产证券投资基金</v>
      </c>
      <c r="B1805" t="str">
        <f>IF(原始经营数据!$D1806="","",T(原始经营数据!$E1806))</f>
        <v>常州天宁吾悦广场项目</v>
      </c>
      <c r="C1805" t="str">
        <f>IF(原始经营数据!$D1806="","",原始经营数据!$F1806)</f>
        <v>2025</v>
      </c>
      <c r="D1805" t="str">
        <f>IF(原始经营数据!$D1806="","",原始经营数据!$H1806)</f>
        <v>期末出租率</v>
      </c>
      <c r="E1805">
        <f>IF(原始经营数据!$D1806="","",原始经营数据!$I1806)</f>
        <v>96.95</v>
      </c>
      <c r="F1805" t="str">
        <f>IF(原始经营数据!$D1806="","",T(原始经营数据!$J1806))</f>
        <v>%</v>
      </c>
      <c r="G1805" t="str">
        <f>IF(原始经营数据!$D1806="","",T(原始经营数据!$K1806))</f>
        <v/>
      </c>
      <c r="H1805" t="str">
        <f>IF(原始经营数据!$D1806="","",原始经营数据!$G1806)</f>
        <v>服务效率</v>
      </c>
      <c r="I1805" t="str">
        <f>IF($A1805="","",IF($B1805&lt;&gt;"",$B1805,IF(COUNTIFS(原始经营数据!$D$3:$D$3001,$A1805,原始经营数据!$E$3:$E$3001,"",原始经营数据!$F$3:$F$3001,$C1805,原始经营数据!$H$3:$H$3001,$D1805,原始经营数据!$K$3:$K$3001,$G1805)&gt;1,"基金整体·来源"&amp;原始经营数据!$A1806,"基金整体")))</f>
        <v>常州天宁吾悦广场项目</v>
      </c>
      <c r="J1805" t="str">
        <f t="shared" si="423"/>
        <v>年度</v>
      </c>
      <c r="K1805" t="str">
        <f t="shared" si="424"/>
        <v>期末出租率（%）</v>
      </c>
      <c r="L1805" t="str">
        <f t="shared" si="425"/>
        <v>常州天宁吾悦广场项目|期末出租率（%）|年度</v>
      </c>
      <c r="M1805">
        <f>IF($A1805="",0,IF(COUNTIF($L$2:$L1805,$L1805)=1,1,0))</f>
        <v>0</v>
      </c>
      <c r="N1805">
        <f t="shared" si="426"/>
        <v>20250</v>
      </c>
      <c r="O1805" t="str">
        <f t="shared" si="427"/>
        <v>广发新城吾悦封闭式商业不动产证券投资基金|2025|年度</v>
      </c>
      <c r="P1805">
        <f>IF($A1805="",0,IF(COUNTIF($O$2:$O1805,$O1805)=1,1,0))</f>
        <v>0</v>
      </c>
      <c r="Q1805" t="str">
        <f>IF(AND($P1805=1,$A1805=经营数据!$B$3,$J1805=经营数据!$BA$5),COUNTIFS($P$2:$P$3000,1,$A$2:$A$3000,$A1805,$J$2:$J$3000,$J1805,$N$2:$N$3000,"&lt;"&amp;$N1805)+1,"")</f>
        <v/>
      </c>
      <c r="R1805" t="str">
        <f t="shared" si="428"/>
        <v>广发新城吾悦封闭式商业不动产证券投资基金|常州天宁吾悦广场项目</v>
      </c>
      <c r="S1805">
        <f>IF($A1805="",0,IF(COUNTIF($R$2:$R1805,$R1805)=1,1,0))</f>
        <v>0</v>
      </c>
      <c r="T1805">
        <f t="shared" si="429"/>
        <v>1794</v>
      </c>
      <c r="U1805" t="str">
        <f>IF($A1805="","",IF($A1805=经营数据!$B$3,COUNTIFS($S$2:$S$3000,1,$A$2:$A$3000,$A1805,$T$2:$T$3000,"&lt;"&amp;$T1805)+1,""))</f>
        <v/>
      </c>
      <c r="V1805" t="str">
        <f t="shared" si="430"/>
        <v>常州天宁吾悦广场项目|服务效率</v>
      </c>
      <c r="W1805">
        <f t="shared" si="431"/>
        <v>1794</v>
      </c>
      <c r="X1805" t="str">
        <f t="shared" si="432"/>
        <v>常州天宁吾悦广场项目|期末出租率</v>
      </c>
      <c r="Y1805">
        <f t="shared" si="433"/>
        <v>1794</v>
      </c>
      <c r="Z1805">
        <f>IF($A1805="",0,IF(AND($M1805=1,$A1805=经营数据!$B$3,$J1805=经营数据!$BA$5,OR($I1805=经营数据!$BA$4,COUNTIF(经营数据!$AA$9:$AA$38,$I1805)&gt;0)),1,0))</f>
        <v>0</v>
      </c>
      <c r="AA1805" t="str">
        <f t="shared" si="434"/>
        <v/>
      </c>
      <c r="AB1805" t="str">
        <f t="shared" si="435"/>
        <v/>
      </c>
      <c r="AC1805">
        <f>IF($A1805="",0,IF(COUNTIF($A$2:$A1805,$A1805)=1,1,0))</f>
        <v>0</v>
      </c>
      <c r="AD1805">
        <f t="shared" si="436"/>
        <v>22</v>
      </c>
      <c r="AE1805" t="str">
        <f t="shared" si="437"/>
        <v>常州天宁吾悦广场项目|期末出租率（%）</v>
      </c>
    </row>
    <row r="1806" spans="1:31" x14ac:dyDescent="0.4">
      <c r="A1806" t="str">
        <f>IF(原始经营数据!$D1807="","",原始经营数据!$D1807)</f>
        <v>广发新城吾悦封闭式商业不动产证券投资基金</v>
      </c>
      <c r="B1806" t="str">
        <f>IF(原始经营数据!$D1807="","",T(原始经营数据!$E1807))</f>
        <v>常州天宁吾悦广场项目</v>
      </c>
      <c r="C1806" t="str">
        <f>IF(原始经营数据!$D1807="","",原始经营数据!$F1807)</f>
        <v>2025</v>
      </c>
      <c r="D1806" t="str">
        <f>IF(原始经营数据!$D1807="","",原始经营数据!$H1807)</f>
        <v>客流量</v>
      </c>
      <c r="E1806">
        <f>IF(原始经营数据!$D1807="","",原始经营数据!$I1807)</f>
        <v>4.1399999999999997</v>
      </c>
      <c r="F1806" t="str">
        <f>IF(原始经营数据!$D1807="","",T(原始经营数据!$J1807))</f>
        <v>万人/日</v>
      </c>
      <c r="G1806" t="str">
        <f>IF(原始经营数据!$D1807="","",T(原始经营数据!$K1807))</f>
        <v/>
      </c>
      <c r="H1806" t="str">
        <f>IF(原始经营数据!$D1807="","",原始经营数据!$G1807)</f>
        <v>服务量</v>
      </c>
      <c r="I1806" t="str">
        <f>IF($A1806="","",IF($B1806&lt;&gt;"",$B1806,IF(COUNTIFS(原始经营数据!$D$3:$D$3001,$A1806,原始经营数据!$E$3:$E$3001,"",原始经营数据!$F$3:$F$3001,$C1806,原始经营数据!$H$3:$H$3001,$D1806,原始经营数据!$K$3:$K$3001,$G1806)&gt;1,"基金整体·来源"&amp;原始经营数据!$A1807,"基金整体")))</f>
        <v>常州天宁吾悦广场项目</v>
      </c>
      <c r="J1806" t="str">
        <f t="shared" si="423"/>
        <v>年度</v>
      </c>
      <c r="K1806" t="str">
        <f t="shared" si="424"/>
        <v>客流量（万人/日）</v>
      </c>
      <c r="L1806" t="str">
        <f t="shared" si="425"/>
        <v>常州天宁吾悦广场项目|客流量（万人/日）|年度</v>
      </c>
      <c r="M1806">
        <f>IF($A1806="",0,IF(COUNTIF($L$2:$L1806,$L1806)=1,1,0))</f>
        <v>0</v>
      </c>
      <c r="N1806">
        <f t="shared" si="426"/>
        <v>20250</v>
      </c>
      <c r="O1806" t="str">
        <f t="shared" si="427"/>
        <v>广发新城吾悦封闭式商业不动产证券投资基金|2025|年度</v>
      </c>
      <c r="P1806">
        <f>IF($A1806="",0,IF(COUNTIF($O$2:$O1806,$O1806)=1,1,0))</f>
        <v>0</v>
      </c>
      <c r="Q1806" t="str">
        <f>IF(AND($P1806=1,$A1806=经营数据!$B$3,$J1806=经营数据!$BA$5),COUNTIFS($P$2:$P$3000,1,$A$2:$A$3000,$A1806,$J$2:$J$3000,$J1806,$N$2:$N$3000,"&lt;"&amp;$N1806)+1,"")</f>
        <v/>
      </c>
      <c r="R1806" t="str">
        <f t="shared" si="428"/>
        <v>广发新城吾悦封闭式商业不动产证券投资基金|常州天宁吾悦广场项目</v>
      </c>
      <c r="S1806">
        <f>IF($A1806="",0,IF(COUNTIF($R$2:$R1806,$R1806)=1,1,0))</f>
        <v>0</v>
      </c>
      <c r="T1806">
        <f t="shared" si="429"/>
        <v>1794</v>
      </c>
      <c r="U1806" t="str">
        <f>IF($A1806="","",IF($A1806=经营数据!$B$3,COUNTIFS($S$2:$S$3000,1,$A$2:$A$3000,$A1806,$T$2:$T$3000,"&lt;"&amp;$T1806)+1,""))</f>
        <v/>
      </c>
      <c r="V1806" t="str">
        <f t="shared" si="430"/>
        <v>常州天宁吾悦广场项目|服务量</v>
      </c>
      <c r="W1806">
        <f t="shared" si="431"/>
        <v>1796</v>
      </c>
      <c r="X1806" t="str">
        <f t="shared" si="432"/>
        <v>常州天宁吾悦广场项目|客流量</v>
      </c>
      <c r="Y1806">
        <f t="shared" si="433"/>
        <v>1796</v>
      </c>
      <c r="Z1806">
        <f>IF($A1806="",0,IF(AND($M1806=1,$A1806=经营数据!$B$3,$J1806=经营数据!$BA$5,OR($I1806=经营数据!$BA$4,COUNTIF(经营数据!$AA$9:$AA$38,$I1806)&gt;0)),1,0))</f>
        <v>0</v>
      </c>
      <c r="AA1806" t="str">
        <f t="shared" si="434"/>
        <v/>
      </c>
      <c r="AB1806" t="str">
        <f t="shared" si="435"/>
        <v/>
      </c>
      <c r="AC1806">
        <f>IF($A1806="",0,IF(COUNTIF($A$2:$A1806,$A1806)=1,1,0))</f>
        <v>0</v>
      </c>
      <c r="AD1806">
        <f t="shared" si="436"/>
        <v>22</v>
      </c>
      <c r="AE1806" t="str">
        <f t="shared" si="437"/>
        <v>常州天宁吾悦广场项目|客流量（万人/日）</v>
      </c>
    </row>
    <row r="1807" spans="1:31" x14ac:dyDescent="0.4">
      <c r="A1807" t="str">
        <f>IF(原始经营数据!$D1808="","",原始经营数据!$D1808)</f>
        <v>广发新城吾悦封闭式商业不动产证券投资基金</v>
      </c>
      <c r="B1807" t="str">
        <f>IF(原始经营数据!$D1808="","",T(原始经营数据!$E1808))</f>
        <v>常州天宁吾悦广场项目</v>
      </c>
      <c r="C1807" t="str">
        <f>IF(原始经营数据!$D1808="","",原始经营数据!$F1808)</f>
        <v>2026Q1</v>
      </c>
      <c r="D1807" t="str">
        <f>IF(原始经营数据!$D1808="","",原始经营数据!$H1808)</f>
        <v>加权平均出租率</v>
      </c>
      <c r="E1807">
        <f>IF(原始经营数据!$D1808="","",原始经营数据!$I1808)</f>
        <v>95.56</v>
      </c>
      <c r="F1807" t="str">
        <f>IF(原始经营数据!$D1808="","",T(原始经营数据!$J1808))</f>
        <v>%</v>
      </c>
      <c r="G1807" t="str">
        <f>IF(原始经营数据!$D1808="","",T(原始经营数据!$K1808))</f>
        <v/>
      </c>
      <c r="H1807" t="str">
        <f>IF(原始经营数据!$D1808="","",原始经营数据!$G1808)</f>
        <v>服务效率</v>
      </c>
      <c r="I1807" t="str">
        <f>IF($A1807="","",IF($B1807&lt;&gt;"",$B1807,IF(COUNTIFS(原始经营数据!$D$3:$D$3001,$A1807,原始经营数据!$E$3:$E$3001,"",原始经营数据!$F$3:$F$3001,$C1807,原始经营数据!$H$3:$H$3001,$D1807,原始经营数据!$K$3:$K$3001,$G1807)&gt;1,"基金整体·来源"&amp;原始经营数据!$A1808,"基金整体")))</f>
        <v>常州天宁吾悦广场项目</v>
      </c>
      <c r="J1807" t="str">
        <f t="shared" si="423"/>
        <v>季度</v>
      </c>
      <c r="K1807" t="str">
        <f t="shared" si="424"/>
        <v>加权平均出租率（%）</v>
      </c>
      <c r="L1807" t="str">
        <f t="shared" si="425"/>
        <v>常州天宁吾悦广场项目|加权平均出租率（%）|季度</v>
      </c>
      <c r="M1807">
        <f>IF($A1807="",0,IF(COUNTIF($L$2:$L1807,$L1807)=1,1,0))</f>
        <v>1</v>
      </c>
      <c r="N1807">
        <f t="shared" si="426"/>
        <v>20261</v>
      </c>
      <c r="O1807" t="str">
        <f t="shared" si="427"/>
        <v>广发新城吾悦封闭式商业不动产证券投资基金|2026Q1|季度</v>
      </c>
      <c r="P1807">
        <f>IF($A1807="",0,IF(COUNTIF($O$2:$O1807,$O1807)=1,1,0))</f>
        <v>0</v>
      </c>
      <c r="Q1807" t="str">
        <f>IF(AND($P1807=1,$A1807=经营数据!$B$3,$J1807=经营数据!$BA$5),COUNTIFS($P$2:$P$3000,1,$A$2:$A$3000,$A1807,$J$2:$J$3000,$J1807,$N$2:$N$3000,"&lt;"&amp;$N1807)+1,"")</f>
        <v/>
      </c>
      <c r="R1807" t="str">
        <f t="shared" si="428"/>
        <v>广发新城吾悦封闭式商业不动产证券投资基金|常州天宁吾悦广场项目</v>
      </c>
      <c r="S1807">
        <f>IF($A1807="",0,IF(COUNTIF($R$2:$R1807,$R1807)=1,1,0))</f>
        <v>0</v>
      </c>
      <c r="T1807">
        <f t="shared" si="429"/>
        <v>1794</v>
      </c>
      <c r="U1807" t="str">
        <f>IF($A1807="","",IF($A1807=经营数据!$B$3,COUNTIFS($S$2:$S$3000,1,$A$2:$A$3000,$A1807,$T$2:$T$3000,"&lt;"&amp;$T1807)+1,""))</f>
        <v/>
      </c>
      <c r="V1807" t="str">
        <f t="shared" si="430"/>
        <v>常州天宁吾悦广场项目|服务效率</v>
      </c>
      <c r="W1807">
        <f t="shared" si="431"/>
        <v>1794</v>
      </c>
      <c r="X1807" t="str">
        <f t="shared" si="432"/>
        <v>常州天宁吾悦广场项目|加权平均出租率</v>
      </c>
      <c r="Y1807">
        <f t="shared" si="433"/>
        <v>1795</v>
      </c>
      <c r="Z1807">
        <f>IF($A1807="",0,IF(AND($M1807=1,$A1807=经营数据!$B$3,$J1807=经营数据!$BA$5,OR($I1807=经营数据!$BA$4,COUNTIF(经营数据!$AA$9:$AA$38,$I1807)&gt;0)),1,0))</f>
        <v>0</v>
      </c>
      <c r="AA1807" t="str">
        <f t="shared" si="434"/>
        <v/>
      </c>
      <c r="AB1807" t="str">
        <f t="shared" si="435"/>
        <v/>
      </c>
      <c r="AC1807">
        <f>IF($A1807="",0,IF(COUNTIF($A$2:$A1807,$A1807)=1,1,0))</f>
        <v>0</v>
      </c>
      <c r="AD1807">
        <f t="shared" si="436"/>
        <v>22</v>
      </c>
      <c r="AE1807" t="str">
        <f t="shared" si="437"/>
        <v>常州天宁吾悦广场项目|加权平均出租率（%）</v>
      </c>
    </row>
    <row r="1808" spans="1:31" x14ac:dyDescent="0.4">
      <c r="A1808" t="str">
        <f>IF(原始经营数据!$D1809="","",原始经营数据!$D1809)</f>
        <v>广发新城吾悦封闭式商业不动产证券投资基金</v>
      </c>
      <c r="B1808" t="str">
        <f>IF(原始经营数据!$D1809="","",T(原始经营数据!$E1809))</f>
        <v>常州天宁吾悦广场项目</v>
      </c>
      <c r="C1808" t="str">
        <f>IF(原始经营数据!$D1809="","",原始经营数据!$F1809)</f>
        <v>2026Q1</v>
      </c>
      <c r="D1808" t="str">
        <f>IF(原始经营数据!$D1809="","",原始经营数据!$H1809)</f>
        <v>期末出租率</v>
      </c>
      <c r="E1808">
        <f>IF(原始经营数据!$D1809="","",原始经营数据!$I1809)</f>
        <v>94.38</v>
      </c>
      <c r="F1808" t="str">
        <f>IF(原始经营数据!$D1809="","",T(原始经营数据!$J1809))</f>
        <v>%</v>
      </c>
      <c r="G1808" t="str">
        <f>IF(原始经营数据!$D1809="","",T(原始经营数据!$K1809))</f>
        <v/>
      </c>
      <c r="H1808" t="str">
        <f>IF(原始经营数据!$D1809="","",原始经营数据!$G1809)</f>
        <v>服务效率</v>
      </c>
      <c r="I1808" t="str">
        <f>IF($A1808="","",IF($B1808&lt;&gt;"",$B1808,IF(COUNTIFS(原始经营数据!$D$3:$D$3001,$A1808,原始经营数据!$E$3:$E$3001,"",原始经营数据!$F$3:$F$3001,$C1808,原始经营数据!$H$3:$H$3001,$D1808,原始经营数据!$K$3:$K$3001,$G1808)&gt;1,"基金整体·来源"&amp;原始经营数据!$A1809,"基金整体")))</f>
        <v>常州天宁吾悦广场项目</v>
      </c>
      <c r="J1808" t="str">
        <f t="shared" si="423"/>
        <v>季度</v>
      </c>
      <c r="K1808" t="str">
        <f t="shared" si="424"/>
        <v>期末出租率（%）</v>
      </c>
      <c r="L1808" t="str">
        <f t="shared" si="425"/>
        <v>常州天宁吾悦广场项目|期末出租率（%）|季度</v>
      </c>
      <c r="M1808">
        <f>IF($A1808="",0,IF(COUNTIF($L$2:$L1808,$L1808)=1,1,0))</f>
        <v>1</v>
      </c>
      <c r="N1808">
        <f t="shared" si="426"/>
        <v>20261</v>
      </c>
      <c r="O1808" t="str">
        <f t="shared" si="427"/>
        <v>广发新城吾悦封闭式商业不动产证券投资基金|2026Q1|季度</v>
      </c>
      <c r="P1808">
        <f>IF($A1808="",0,IF(COUNTIF($O$2:$O1808,$O1808)=1,1,0))</f>
        <v>0</v>
      </c>
      <c r="Q1808" t="str">
        <f>IF(AND($P1808=1,$A1808=经营数据!$B$3,$J1808=经营数据!$BA$5),COUNTIFS($P$2:$P$3000,1,$A$2:$A$3000,$A1808,$J$2:$J$3000,$J1808,$N$2:$N$3000,"&lt;"&amp;$N1808)+1,"")</f>
        <v/>
      </c>
      <c r="R1808" t="str">
        <f t="shared" si="428"/>
        <v>广发新城吾悦封闭式商业不动产证券投资基金|常州天宁吾悦广场项目</v>
      </c>
      <c r="S1808">
        <f>IF($A1808="",0,IF(COUNTIF($R$2:$R1808,$R1808)=1,1,0))</f>
        <v>0</v>
      </c>
      <c r="T1808">
        <f t="shared" si="429"/>
        <v>1794</v>
      </c>
      <c r="U1808" t="str">
        <f>IF($A1808="","",IF($A1808=经营数据!$B$3,COUNTIFS($S$2:$S$3000,1,$A$2:$A$3000,$A1808,$T$2:$T$3000,"&lt;"&amp;$T1808)+1,""))</f>
        <v/>
      </c>
      <c r="V1808" t="str">
        <f t="shared" si="430"/>
        <v>常州天宁吾悦广场项目|服务效率</v>
      </c>
      <c r="W1808">
        <f t="shared" si="431"/>
        <v>1794</v>
      </c>
      <c r="X1808" t="str">
        <f t="shared" si="432"/>
        <v>常州天宁吾悦广场项目|期末出租率</v>
      </c>
      <c r="Y1808">
        <f t="shared" si="433"/>
        <v>1794</v>
      </c>
      <c r="Z1808">
        <f>IF($A1808="",0,IF(AND($M1808=1,$A1808=经营数据!$B$3,$J1808=经营数据!$BA$5,OR($I1808=经营数据!$BA$4,COUNTIF(经营数据!$AA$9:$AA$38,$I1808)&gt;0)),1,0))</f>
        <v>0</v>
      </c>
      <c r="AA1808" t="str">
        <f t="shared" si="434"/>
        <v/>
      </c>
      <c r="AB1808" t="str">
        <f t="shared" si="435"/>
        <v/>
      </c>
      <c r="AC1808">
        <f>IF($A1808="",0,IF(COUNTIF($A$2:$A1808,$A1808)=1,1,0))</f>
        <v>0</v>
      </c>
      <c r="AD1808">
        <f t="shared" si="436"/>
        <v>22</v>
      </c>
      <c r="AE1808" t="str">
        <f t="shared" si="437"/>
        <v>常州天宁吾悦广场项目|期末出租率（%）</v>
      </c>
    </row>
    <row r="1809" spans="1:31" x14ac:dyDescent="0.4">
      <c r="A1809" t="str">
        <f>IF(原始经营数据!$D1810="","",原始经营数据!$D1810)</f>
        <v>广发新城吾悦封闭式商业不动产证券投资基金</v>
      </c>
      <c r="B1809" t="str">
        <f>IF(原始经营数据!$D1810="","",T(原始经营数据!$E1810))</f>
        <v>常州天宁吾悦广场项目</v>
      </c>
      <c r="C1809" t="str">
        <f>IF(原始经营数据!$D1810="","",原始经营数据!$F1810)</f>
        <v>2026Q1</v>
      </c>
      <c r="D1809" t="str">
        <f>IF(原始经营数据!$D1810="","",原始经营数据!$H1810)</f>
        <v>客流量</v>
      </c>
      <c r="E1809">
        <f>IF(原始经营数据!$D1810="","",原始经营数据!$I1810)</f>
        <v>3.63</v>
      </c>
      <c r="F1809" t="str">
        <f>IF(原始经营数据!$D1810="","",T(原始经营数据!$J1810))</f>
        <v>万人/日</v>
      </c>
      <c r="G1809" t="str">
        <f>IF(原始经营数据!$D1810="","",T(原始经营数据!$K1810))</f>
        <v/>
      </c>
      <c r="H1809" t="str">
        <f>IF(原始经营数据!$D1810="","",原始经营数据!$G1810)</f>
        <v>服务量</v>
      </c>
      <c r="I1809" t="str">
        <f>IF($A1809="","",IF($B1809&lt;&gt;"",$B1809,IF(COUNTIFS(原始经营数据!$D$3:$D$3001,$A1809,原始经营数据!$E$3:$E$3001,"",原始经营数据!$F$3:$F$3001,$C1809,原始经营数据!$H$3:$H$3001,$D1809,原始经营数据!$K$3:$K$3001,$G1809)&gt;1,"基金整体·来源"&amp;原始经营数据!$A1810,"基金整体")))</f>
        <v>常州天宁吾悦广场项目</v>
      </c>
      <c r="J1809" t="str">
        <f t="shared" si="423"/>
        <v>季度</v>
      </c>
      <c r="K1809" t="str">
        <f t="shared" si="424"/>
        <v>客流量（万人/日）</v>
      </c>
      <c r="L1809" t="str">
        <f t="shared" si="425"/>
        <v>常州天宁吾悦广场项目|客流量（万人/日）|季度</v>
      </c>
      <c r="M1809">
        <f>IF($A1809="",0,IF(COUNTIF($L$2:$L1809,$L1809)=1,1,0))</f>
        <v>1</v>
      </c>
      <c r="N1809">
        <f t="shared" si="426"/>
        <v>20261</v>
      </c>
      <c r="O1809" t="str">
        <f t="shared" si="427"/>
        <v>广发新城吾悦封闭式商业不动产证券投资基金|2026Q1|季度</v>
      </c>
      <c r="P1809">
        <f>IF($A1809="",0,IF(COUNTIF($O$2:$O1809,$O1809)=1,1,0))</f>
        <v>0</v>
      </c>
      <c r="Q1809" t="str">
        <f>IF(AND($P1809=1,$A1809=经营数据!$B$3,$J1809=经营数据!$BA$5),COUNTIFS($P$2:$P$3000,1,$A$2:$A$3000,$A1809,$J$2:$J$3000,$J1809,$N$2:$N$3000,"&lt;"&amp;$N1809)+1,"")</f>
        <v/>
      </c>
      <c r="R1809" t="str">
        <f t="shared" si="428"/>
        <v>广发新城吾悦封闭式商业不动产证券投资基金|常州天宁吾悦广场项目</v>
      </c>
      <c r="S1809">
        <f>IF($A1809="",0,IF(COUNTIF($R$2:$R1809,$R1809)=1,1,0))</f>
        <v>0</v>
      </c>
      <c r="T1809">
        <f t="shared" si="429"/>
        <v>1794</v>
      </c>
      <c r="U1809" t="str">
        <f>IF($A1809="","",IF($A1809=经营数据!$B$3,COUNTIFS($S$2:$S$3000,1,$A$2:$A$3000,$A1809,$T$2:$T$3000,"&lt;"&amp;$T1809)+1,""))</f>
        <v/>
      </c>
      <c r="V1809" t="str">
        <f t="shared" si="430"/>
        <v>常州天宁吾悦广场项目|服务量</v>
      </c>
      <c r="W1809">
        <f t="shared" si="431"/>
        <v>1796</v>
      </c>
      <c r="X1809" t="str">
        <f t="shared" si="432"/>
        <v>常州天宁吾悦广场项目|客流量</v>
      </c>
      <c r="Y1809">
        <f t="shared" si="433"/>
        <v>1796</v>
      </c>
      <c r="Z1809">
        <f>IF($A1809="",0,IF(AND($M1809=1,$A1809=经营数据!$B$3,$J1809=经营数据!$BA$5,OR($I1809=经营数据!$BA$4,COUNTIF(经营数据!$AA$9:$AA$38,$I1809)&gt;0)),1,0))</f>
        <v>0</v>
      </c>
      <c r="AA1809" t="str">
        <f t="shared" si="434"/>
        <v/>
      </c>
      <c r="AB1809" t="str">
        <f t="shared" si="435"/>
        <v/>
      </c>
      <c r="AC1809">
        <f>IF($A1809="",0,IF(COUNTIF($A$2:$A1809,$A1809)=1,1,0))</f>
        <v>0</v>
      </c>
      <c r="AD1809">
        <f t="shared" si="436"/>
        <v>22</v>
      </c>
      <c r="AE1809" t="str">
        <f t="shared" si="437"/>
        <v>常州天宁吾悦广场项目|客流量（万人/日）</v>
      </c>
    </row>
    <row r="1810" spans="1:31" x14ac:dyDescent="0.4">
      <c r="A1810" t="str">
        <f>IF(原始经营数据!$D1811="","",原始经营数据!$D1811)</f>
        <v>招商资管招商蛇口封闭式商业不动产证券投资基金</v>
      </c>
      <c r="B1810" t="str">
        <f>IF(原始经营数据!$D1811="","",T(原始经营数据!$E1811))</f>
        <v>昆山招商花园城项目</v>
      </c>
      <c r="C1810" t="str">
        <f>IF(原始经营数据!$D1811="","",原始经营数据!$F1811)</f>
        <v>2023</v>
      </c>
      <c r="D1810" t="str">
        <f>IF(原始经营数据!$D1811="","",原始经营数据!$H1811)</f>
        <v>期末出租率</v>
      </c>
      <c r="E1810">
        <f>IF(原始经营数据!$D1811="","",原始经营数据!$I1811)</f>
        <v>95.09</v>
      </c>
      <c r="F1810" t="str">
        <f>IF(原始经营数据!$D1811="","",T(原始经营数据!$J1811))</f>
        <v>%</v>
      </c>
      <c r="G1810" t="str">
        <f>IF(原始经营数据!$D1811="","",T(原始经营数据!$K1811))</f>
        <v/>
      </c>
      <c r="H1810" t="str">
        <f>IF(原始经营数据!$D1811="","",原始经营数据!$G1811)</f>
        <v>服务效率</v>
      </c>
      <c r="I1810" t="str">
        <f>IF($A1810="","",IF($B1810&lt;&gt;"",$B1810,IF(COUNTIFS(原始经营数据!$D$3:$D$3001,$A1810,原始经营数据!$E$3:$E$3001,"",原始经营数据!$F$3:$F$3001,$C1810,原始经营数据!$H$3:$H$3001,$D1810,原始经营数据!$K$3:$K$3001,$G1810)&gt;1,"基金整体·来源"&amp;原始经营数据!$A1811,"基金整体")))</f>
        <v>昆山招商花园城项目</v>
      </c>
      <c r="J1810" t="str">
        <f t="shared" si="423"/>
        <v>年度</v>
      </c>
      <c r="K1810" t="str">
        <f t="shared" si="424"/>
        <v>期末出租率（%）</v>
      </c>
      <c r="L1810" t="str">
        <f t="shared" si="425"/>
        <v>昆山招商花园城项目|期末出租率（%）|年度</v>
      </c>
      <c r="M1810">
        <f>IF($A1810="",0,IF(COUNTIF($L$2:$L1810,$L1810)=1,1,0))</f>
        <v>1</v>
      </c>
      <c r="N1810">
        <f t="shared" si="426"/>
        <v>20230</v>
      </c>
      <c r="O1810" t="str">
        <f t="shared" si="427"/>
        <v>招商资管招商蛇口封闭式商业不动产证券投资基金|2023|年度</v>
      </c>
      <c r="P1810">
        <f>IF($A1810="",0,IF(COUNTIF($O$2:$O1810,$O1810)=1,1,0))</f>
        <v>1</v>
      </c>
      <c r="Q1810" t="str">
        <f>IF(AND($P1810=1,$A1810=经营数据!$B$3,$J1810=经营数据!$BA$5),COUNTIFS($P$2:$P$3000,1,$A$2:$A$3000,$A1810,$J$2:$J$3000,$J1810,$N$2:$N$3000,"&lt;"&amp;$N1810)+1,"")</f>
        <v/>
      </c>
      <c r="R1810" t="str">
        <f t="shared" si="428"/>
        <v>招商资管招商蛇口封闭式商业不动产证券投资基金|昆山招商花园城项目</v>
      </c>
      <c r="S1810">
        <f>IF($A1810="",0,IF(COUNTIF($R$2:$R1810,$R1810)=1,1,0))</f>
        <v>1</v>
      </c>
      <c r="T1810">
        <f t="shared" si="429"/>
        <v>1809</v>
      </c>
      <c r="U1810" t="str">
        <f>IF($A1810="","",IF($A1810=经营数据!$B$3,COUNTIFS($S$2:$S$3000,1,$A$2:$A$3000,$A1810,$T$2:$T$3000,"&lt;"&amp;$T1810)+1,""))</f>
        <v/>
      </c>
      <c r="V1810" t="str">
        <f t="shared" si="430"/>
        <v>昆山招商花园城项目|服务效率</v>
      </c>
      <c r="W1810">
        <f t="shared" si="431"/>
        <v>1809</v>
      </c>
      <c r="X1810" t="str">
        <f t="shared" si="432"/>
        <v>昆山招商花园城项目|期末出租率</v>
      </c>
      <c r="Y1810">
        <f t="shared" si="433"/>
        <v>1809</v>
      </c>
      <c r="Z1810">
        <f>IF($A1810="",0,IF(AND($M1810=1,$A1810=经营数据!$B$3,$J1810=经营数据!$BA$5,OR($I1810=经营数据!$BA$4,COUNTIF(经营数据!$AA$9:$AA$38,$I1810)&gt;0)),1,0))</f>
        <v>0</v>
      </c>
      <c r="AA1810" t="str">
        <f t="shared" si="434"/>
        <v/>
      </c>
      <c r="AB1810" t="str">
        <f t="shared" si="435"/>
        <v/>
      </c>
      <c r="AC1810">
        <f>IF($A1810="",0,IF(COUNTIF($A$2:$A1810,$A1810)=1,1,0))</f>
        <v>1</v>
      </c>
      <c r="AD1810">
        <f t="shared" si="436"/>
        <v>23</v>
      </c>
      <c r="AE1810" t="str">
        <f t="shared" si="437"/>
        <v>昆山招商花园城项目|期末出租率（%）</v>
      </c>
    </row>
    <row r="1811" spans="1:31" x14ac:dyDescent="0.4">
      <c r="A1811" t="str">
        <f>IF(原始经营数据!$D1812="","",原始经营数据!$D1812)</f>
        <v>招商资管招商蛇口封闭式商业不动产证券投资基金</v>
      </c>
      <c r="B1811" t="str">
        <f>IF(原始经营数据!$D1812="","",T(原始经营数据!$E1812))</f>
        <v>昆山招商花园城项目</v>
      </c>
      <c r="C1811" t="str">
        <f>IF(原始经营数据!$D1812="","",原始经营数据!$F1812)</f>
        <v>2023</v>
      </c>
      <c r="D1811" t="str">
        <f>IF(原始经营数据!$D1812="","",原始经营数据!$H1812)</f>
        <v>加权平均出租率</v>
      </c>
      <c r="E1811">
        <f>IF(原始经营数据!$D1812="","",原始经营数据!$I1812)</f>
        <v>99.06</v>
      </c>
      <c r="F1811" t="str">
        <f>IF(原始经营数据!$D1812="","",T(原始经营数据!$J1812))</f>
        <v>%</v>
      </c>
      <c r="G1811" t="str">
        <f>IF(原始经营数据!$D1812="","",T(原始经营数据!$K1812))</f>
        <v/>
      </c>
      <c r="H1811" t="str">
        <f>IF(原始经营数据!$D1812="","",原始经营数据!$G1812)</f>
        <v>服务效率</v>
      </c>
      <c r="I1811" t="str">
        <f>IF($A1811="","",IF($B1811&lt;&gt;"",$B1811,IF(COUNTIFS(原始经营数据!$D$3:$D$3001,$A1811,原始经营数据!$E$3:$E$3001,"",原始经营数据!$F$3:$F$3001,$C1811,原始经营数据!$H$3:$H$3001,$D1811,原始经营数据!$K$3:$K$3001,$G1811)&gt;1,"基金整体·来源"&amp;原始经营数据!$A1812,"基金整体")))</f>
        <v>昆山招商花园城项目</v>
      </c>
      <c r="J1811" t="str">
        <f t="shared" si="423"/>
        <v>年度</v>
      </c>
      <c r="K1811" t="str">
        <f t="shared" si="424"/>
        <v>加权平均出租率（%）</v>
      </c>
      <c r="L1811" t="str">
        <f t="shared" si="425"/>
        <v>昆山招商花园城项目|加权平均出租率（%）|年度</v>
      </c>
      <c r="M1811">
        <f>IF($A1811="",0,IF(COUNTIF($L$2:$L1811,$L1811)=1,1,0))</f>
        <v>1</v>
      </c>
      <c r="N1811">
        <f t="shared" si="426"/>
        <v>20230</v>
      </c>
      <c r="O1811" t="str">
        <f t="shared" si="427"/>
        <v>招商资管招商蛇口封闭式商业不动产证券投资基金|2023|年度</v>
      </c>
      <c r="P1811">
        <f>IF($A1811="",0,IF(COUNTIF($O$2:$O1811,$O1811)=1,1,0))</f>
        <v>0</v>
      </c>
      <c r="Q1811" t="str">
        <f>IF(AND($P1811=1,$A1811=经营数据!$B$3,$J1811=经营数据!$BA$5),COUNTIFS($P$2:$P$3000,1,$A$2:$A$3000,$A1811,$J$2:$J$3000,$J1811,$N$2:$N$3000,"&lt;"&amp;$N1811)+1,"")</f>
        <v/>
      </c>
      <c r="R1811" t="str">
        <f t="shared" si="428"/>
        <v>招商资管招商蛇口封闭式商业不动产证券投资基金|昆山招商花园城项目</v>
      </c>
      <c r="S1811">
        <f>IF($A1811="",0,IF(COUNTIF($R$2:$R1811,$R1811)=1,1,0))</f>
        <v>0</v>
      </c>
      <c r="T1811">
        <f t="shared" si="429"/>
        <v>1809</v>
      </c>
      <c r="U1811" t="str">
        <f>IF($A1811="","",IF($A1811=经营数据!$B$3,COUNTIFS($S$2:$S$3000,1,$A$2:$A$3000,$A1811,$T$2:$T$3000,"&lt;"&amp;$T1811)+1,""))</f>
        <v/>
      </c>
      <c r="V1811" t="str">
        <f t="shared" si="430"/>
        <v>昆山招商花园城项目|服务效率</v>
      </c>
      <c r="W1811">
        <f t="shared" si="431"/>
        <v>1809</v>
      </c>
      <c r="X1811" t="str">
        <f t="shared" si="432"/>
        <v>昆山招商花园城项目|加权平均出租率</v>
      </c>
      <c r="Y1811">
        <f t="shared" si="433"/>
        <v>1810</v>
      </c>
      <c r="Z1811">
        <f>IF($A1811="",0,IF(AND($M1811=1,$A1811=经营数据!$B$3,$J1811=经营数据!$BA$5,OR($I1811=经营数据!$BA$4,COUNTIF(经营数据!$AA$9:$AA$38,$I1811)&gt;0)),1,0))</f>
        <v>0</v>
      </c>
      <c r="AA1811" t="str">
        <f t="shared" si="434"/>
        <v/>
      </c>
      <c r="AB1811" t="str">
        <f t="shared" si="435"/>
        <v/>
      </c>
      <c r="AC1811">
        <f>IF($A1811="",0,IF(COUNTIF($A$2:$A1811,$A1811)=1,1,0))</f>
        <v>0</v>
      </c>
      <c r="AD1811">
        <f t="shared" si="436"/>
        <v>23</v>
      </c>
      <c r="AE1811" t="str">
        <f t="shared" si="437"/>
        <v>昆山招商花园城项目|加权平均出租率（%）</v>
      </c>
    </row>
    <row r="1812" spans="1:31" x14ac:dyDescent="0.4">
      <c r="A1812" t="str">
        <f>IF(原始经营数据!$D1813="","",原始经营数据!$D1813)</f>
        <v>招商资管招商蛇口封闭式商业不动产证券投资基金</v>
      </c>
      <c r="B1812" t="str">
        <f>IF(原始经营数据!$D1813="","",T(原始经营数据!$E1813))</f>
        <v>昆山招商花园城项目</v>
      </c>
      <c r="C1812" t="str">
        <f>IF(原始经营数据!$D1813="","",原始经营数据!$F1813)</f>
        <v>2023</v>
      </c>
      <c r="D1812" t="str">
        <f>IF(原始经营数据!$D1813="","",原始经营数据!$H1813)</f>
        <v>客流量</v>
      </c>
      <c r="E1812">
        <f>IF(原始经营数据!$D1813="","",原始经营数据!$I1813)</f>
        <v>1141.74</v>
      </c>
      <c r="F1812" t="str">
        <f>IF(原始经营数据!$D1813="","",T(原始经营数据!$J1813))</f>
        <v>万人</v>
      </c>
      <c r="G1812" t="str">
        <f>IF(原始经营数据!$D1813="","",T(原始经营数据!$K1813))</f>
        <v/>
      </c>
      <c r="H1812" t="str">
        <f>IF(原始经营数据!$D1813="","",原始经营数据!$G1813)</f>
        <v>服务量</v>
      </c>
      <c r="I1812" t="str">
        <f>IF($A1812="","",IF($B1812&lt;&gt;"",$B1812,IF(COUNTIFS(原始经营数据!$D$3:$D$3001,$A1812,原始经营数据!$E$3:$E$3001,"",原始经营数据!$F$3:$F$3001,$C1812,原始经营数据!$H$3:$H$3001,$D1812,原始经营数据!$K$3:$K$3001,$G1812)&gt;1,"基金整体·来源"&amp;原始经营数据!$A1813,"基金整体")))</f>
        <v>昆山招商花园城项目</v>
      </c>
      <c r="J1812" t="str">
        <f t="shared" si="423"/>
        <v>年度</v>
      </c>
      <c r="K1812" t="str">
        <f t="shared" si="424"/>
        <v>客流量（万人）</v>
      </c>
      <c r="L1812" t="str">
        <f t="shared" si="425"/>
        <v>昆山招商花园城项目|客流量（万人）|年度</v>
      </c>
      <c r="M1812">
        <f>IF($A1812="",0,IF(COUNTIF($L$2:$L1812,$L1812)=1,1,0))</f>
        <v>1</v>
      </c>
      <c r="N1812">
        <f t="shared" si="426"/>
        <v>20230</v>
      </c>
      <c r="O1812" t="str">
        <f t="shared" si="427"/>
        <v>招商资管招商蛇口封闭式商业不动产证券投资基金|2023|年度</v>
      </c>
      <c r="P1812">
        <f>IF($A1812="",0,IF(COUNTIF($O$2:$O1812,$O1812)=1,1,0))</f>
        <v>0</v>
      </c>
      <c r="Q1812" t="str">
        <f>IF(AND($P1812=1,$A1812=经营数据!$B$3,$J1812=经营数据!$BA$5),COUNTIFS($P$2:$P$3000,1,$A$2:$A$3000,$A1812,$J$2:$J$3000,$J1812,$N$2:$N$3000,"&lt;"&amp;$N1812)+1,"")</f>
        <v/>
      </c>
      <c r="R1812" t="str">
        <f t="shared" si="428"/>
        <v>招商资管招商蛇口封闭式商业不动产证券投资基金|昆山招商花园城项目</v>
      </c>
      <c r="S1812">
        <f>IF($A1812="",0,IF(COUNTIF($R$2:$R1812,$R1812)=1,1,0))</f>
        <v>0</v>
      </c>
      <c r="T1812">
        <f t="shared" si="429"/>
        <v>1809</v>
      </c>
      <c r="U1812" t="str">
        <f>IF($A1812="","",IF($A1812=经营数据!$B$3,COUNTIFS($S$2:$S$3000,1,$A$2:$A$3000,$A1812,$T$2:$T$3000,"&lt;"&amp;$T1812)+1,""))</f>
        <v/>
      </c>
      <c r="V1812" t="str">
        <f t="shared" si="430"/>
        <v>昆山招商花园城项目|服务量</v>
      </c>
      <c r="W1812">
        <f t="shared" si="431"/>
        <v>1811</v>
      </c>
      <c r="X1812" t="str">
        <f t="shared" si="432"/>
        <v>昆山招商花园城项目|客流量</v>
      </c>
      <c r="Y1812">
        <f t="shared" si="433"/>
        <v>1811</v>
      </c>
      <c r="Z1812">
        <f>IF($A1812="",0,IF(AND($M1812=1,$A1812=经营数据!$B$3,$J1812=经营数据!$BA$5,OR($I1812=经营数据!$BA$4,COUNTIF(经营数据!$AA$9:$AA$38,$I1812)&gt;0)),1,0))</f>
        <v>0</v>
      </c>
      <c r="AA1812" t="str">
        <f t="shared" si="434"/>
        <v/>
      </c>
      <c r="AB1812" t="str">
        <f t="shared" si="435"/>
        <v/>
      </c>
      <c r="AC1812">
        <f>IF($A1812="",0,IF(COUNTIF($A$2:$A1812,$A1812)=1,1,0))</f>
        <v>0</v>
      </c>
      <c r="AD1812">
        <f t="shared" si="436"/>
        <v>23</v>
      </c>
      <c r="AE1812" t="str">
        <f t="shared" si="437"/>
        <v>昆山招商花园城项目|客流量（万人）</v>
      </c>
    </row>
    <row r="1813" spans="1:31" x14ac:dyDescent="0.4">
      <c r="A1813" t="str">
        <f>IF(原始经营数据!$D1814="","",原始经营数据!$D1814)</f>
        <v>招商资管招商蛇口封闭式商业不动产证券投资基金</v>
      </c>
      <c r="B1813" t="str">
        <f>IF(原始经营数据!$D1814="","",T(原始经营数据!$E1814))</f>
        <v>昆山招商花园城项目</v>
      </c>
      <c r="C1813" t="str">
        <f>IF(原始经营数据!$D1814="","",原始经营数据!$F1814)</f>
        <v>2024</v>
      </c>
      <c r="D1813" t="str">
        <f>IF(原始经营数据!$D1814="","",原始经营数据!$H1814)</f>
        <v>客流量</v>
      </c>
      <c r="E1813">
        <f>IF(原始经营数据!$D1814="","",原始经营数据!$I1814)</f>
        <v>1253.03</v>
      </c>
      <c r="F1813" t="str">
        <f>IF(原始经营数据!$D1814="","",T(原始经营数据!$J1814))</f>
        <v>万人</v>
      </c>
      <c r="G1813" t="str">
        <f>IF(原始经营数据!$D1814="","",T(原始经营数据!$K1814))</f>
        <v/>
      </c>
      <c r="H1813" t="str">
        <f>IF(原始经营数据!$D1814="","",原始经营数据!$G1814)</f>
        <v>服务量</v>
      </c>
      <c r="I1813" t="str">
        <f>IF($A1813="","",IF($B1813&lt;&gt;"",$B1813,IF(COUNTIFS(原始经营数据!$D$3:$D$3001,$A1813,原始经营数据!$E$3:$E$3001,"",原始经营数据!$F$3:$F$3001,$C1813,原始经营数据!$H$3:$H$3001,$D1813,原始经营数据!$K$3:$K$3001,$G1813)&gt;1,"基金整体·来源"&amp;原始经营数据!$A1814,"基金整体")))</f>
        <v>昆山招商花园城项目</v>
      </c>
      <c r="J1813" t="str">
        <f t="shared" si="423"/>
        <v>年度</v>
      </c>
      <c r="K1813" t="str">
        <f t="shared" si="424"/>
        <v>客流量（万人）</v>
      </c>
      <c r="L1813" t="str">
        <f t="shared" si="425"/>
        <v>昆山招商花园城项目|客流量（万人）|年度</v>
      </c>
      <c r="M1813">
        <f>IF($A1813="",0,IF(COUNTIF($L$2:$L1813,$L1813)=1,1,0))</f>
        <v>0</v>
      </c>
      <c r="N1813">
        <f t="shared" si="426"/>
        <v>20240</v>
      </c>
      <c r="O1813" t="str">
        <f t="shared" si="427"/>
        <v>招商资管招商蛇口封闭式商业不动产证券投资基金|2024|年度</v>
      </c>
      <c r="P1813">
        <f>IF($A1813="",0,IF(COUNTIF($O$2:$O1813,$O1813)=1,1,0))</f>
        <v>1</v>
      </c>
      <c r="Q1813" t="str">
        <f>IF(AND($P1813=1,$A1813=经营数据!$B$3,$J1813=经营数据!$BA$5),COUNTIFS($P$2:$P$3000,1,$A$2:$A$3000,$A1813,$J$2:$J$3000,$J1813,$N$2:$N$3000,"&lt;"&amp;$N1813)+1,"")</f>
        <v/>
      </c>
      <c r="R1813" t="str">
        <f t="shared" si="428"/>
        <v>招商资管招商蛇口封闭式商业不动产证券投资基金|昆山招商花园城项目</v>
      </c>
      <c r="S1813">
        <f>IF($A1813="",0,IF(COUNTIF($R$2:$R1813,$R1813)=1,1,0))</f>
        <v>0</v>
      </c>
      <c r="T1813">
        <f t="shared" si="429"/>
        <v>1809</v>
      </c>
      <c r="U1813" t="str">
        <f>IF($A1813="","",IF($A1813=经营数据!$B$3,COUNTIFS($S$2:$S$3000,1,$A$2:$A$3000,$A1813,$T$2:$T$3000,"&lt;"&amp;$T1813)+1,""))</f>
        <v/>
      </c>
      <c r="V1813" t="str">
        <f t="shared" si="430"/>
        <v>昆山招商花园城项目|服务量</v>
      </c>
      <c r="W1813">
        <f t="shared" si="431"/>
        <v>1811</v>
      </c>
      <c r="X1813" t="str">
        <f t="shared" si="432"/>
        <v>昆山招商花园城项目|客流量</v>
      </c>
      <c r="Y1813">
        <f t="shared" si="433"/>
        <v>1811</v>
      </c>
      <c r="Z1813">
        <f>IF($A1813="",0,IF(AND($M1813=1,$A1813=经营数据!$B$3,$J1813=经营数据!$BA$5,OR($I1813=经营数据!$BA$4,COUNTIF(经营数据!$AA$9:$AA$38,$I1813)&gt;0)),1,0))</f>
        <v>0</v>
      </c>
      <c r="AA1813" t="str">
        <f t="shared" si="434"/>
        <v/>
      </c>
      <c r="AB1813" t="str">
        <f t="shared" si="435"/>
        <v/>
      </c>
      <c r="AC1813">
        <f>IF($A1813="",0,IF(COUNTIF($A$2:$A1813,$A1813)=1,1,0))</f>
        <v>0</v>
      </c>
      <c r="AD1813">
        <f t="shared" si="436"/>
        <v>23</v>
      </c>
      <c r="AE1813" t="str">
        <f t="shared" si="437"/>
        <v>昆山招商花园城项目|客流量（万人）</v>
      </c>
    </row>
    <row r="1814" spans="1:31" x14ac:dyDescent="0.4">
      <c r="A1814" t="str">
        <f>IF(原始经营数据!$D1815="","",原始经营数据!$D1815)</f>
        <v>招商资管招商蛇口封闭式商业不动产证券投资基金</v>
      </c>
      <c r="B1814" t="str">
        <f>IF(原始经营数据!$D1815="","",T(原始经营数据!$E1815))</f>
        <v>昆山招商花园城项目</v>
      </c>
      <c r="C1814" t="str">
        <f>IF(原始经营数据!$D1815="","",原始经营数据!$F1815)</f>
        <v>2024</v>
      </c>
      <c r="D1814" t="str">
        <f>IF(原始经营数据!$D1815="","",原始经营数据!$H1815)</f>
        <v>期末出租率</v>
      </c>
      <c r="E1814">
        <f>IF(原始经营数据!$D1815="","",原始经营数据!$I1815)</f>
        <v>97.28</v>
      </c>
      <c r="F1814" t="str">
        <f>IF(原始经营数据!$D1815="","",T(原始经营数据!$J1815))</f>
        <v>%</v>
      </c>
      <c r="G1814" t="str">
        <f>IF(原始经营数据!$D1815="","",T(原始经营数据!$K1815))</f>
        <v/>
      </c>
      <c r="H1814" t="str">
        <f>IF(原始经营数据!$D1815="","",原始经营数据!$G1815)</f>
        <v>服务效率</v>
      </c>
      <c r="I1814" t="str">
        <f>IF($A1814="","",IF($B1814&lt;&gt;"",$B1814,IF(COUNTIFS(原始经营数据!$D$3:$D$3001,$A1814,原始经营数据!$E$3:$E$3001,"",原始经营数据!$F$3:$F$3001,$C1814,原始经营数据!$H$3:$H$3001,$D1814,原始经营数据!$K$3:$K$3001,$G1814)&gt;1,"基金整体·来源"&amp;原始经营数据!$A1815,"基金整体")))</f>
        <v>昆山招商花园城项目</v>
      </c>
      <c r="J1814" t="str">
        <f t="shared" si="423"/>
        <v>年度</v>
      </c>
      <c r="K1814" t="str">
        <f t="shared" si="424"/>
        <v>期末出租率（%）</v>
      </c>
      <c r="L1814" t="str">
        <f t="shared" si="425"/>
        <v>昆山招商花园城项目|期末出租率（%）|年度</v>
      </c>
      <c r="M1814">
        <f>IF($A1814="",0,IF(COUNTIF($L$2:$L1814,$L1814)=1,1,0))</f>
        <v>0</v>
      </c>
      <c r="N1814">
        <f t="shared" si="426"/>
        <v>20240</v>
      </c>
      <c r="O1814" t="str">
        <f t="shared" si="427"/>
        <v>招商资管招商蛇口封闭式商业不动产证券投资基金|2024|年度</v>
      </c>
      <c r="P1814">
        <f>IF($A1814="",0,IF(COUNTIF($O$2:$O1814,$O1814)=1,1,0))</f>
        <v>0</v>
      </c>
      <c r="Q1814" t="str">
        <f>IF(AND($P1814=1,$A1814=经营数据!$B$3,$J1814=经营数据!$BA$5),COUNTIFS($P$2:$P$3000,1,$A$2:$A$3000,$A1814,$J$2:$J$3000,$J1814,$N$2:$N$3000,"&lt;"&amp;$N1814)+1,"")</f>
        <v/>
      </c>
      <c r="R1814" t="str">
        <f t="shared" si="428"/>
        <v>招商资管招商蛇口封闭式商业不动产证券投资基金|昆山招商花园城项目</v>
      </c>
      <c r="S1814">
        <f>IF($A1814="",0,IF(COUNTIF($R$2:$R1814,$R1814)=1,1,0))</f>
        <v>0</v>
      </c>
      <c r="T1814">
        <f t="shared" si="429"/>
        <v>1809</v>
      </c>
      <c r="U1814" t="str">
        <f>IF($A1814="","",IF($A1814=经营数据!$B$3,COUNTIFS($S$2:$S$3000,1,$A$2:$A$3000,$A1814,$T$2:$T$3000,"&lt;"&amp;$T1814)+1,""))</f>
        <v/>
      </c>
      <c r="V1814" t="str">
        <f t="shared" si="430"/>
        <v>昆山招商花园城项目|服务效率</v>
      </c>
      <c r="W1814">
        <f t="shared" si="431"/>
        <v>1809</v>
      </c>
      <c r="X1814" t="str">
        <f t="shared" si="432"/>
        <v>昆山招商花园城项目|期末出租率</v>
      </c>
      <c r="Y1814">
        <f t="shared" si="433"/>
        <v>1809</v>
      </c>
      <c r="Z1814">
        <f>IF($A1814="",0,IF(AND($M1814=1,$A1814=经营数据!$B$3,$J1814=经营数据!$BA$5,OR($I1814=经营数据!$BA$4,COUNTIF(经营数据!$AA$9:$AA$38,$I1814)&gt;0)),1,0))</f>
        <v>0</v>
      </c>
      <c r="AA1814" t="str">
        <f t="shared" si="434"/>
        <v/>
      </c>
      <c r="AB1814" t="str">
        <f t="shared" si="435"/>
        <v/>
      </c>
      <c r="AC1814">
        <f>IF($A1814="",0,IF(COUNTIF($A$2:$A1814,$A1814)=1,1,0))</f>
        <v>0</v>
      </c>
      <c r="AD1814">
        <f t="shared" si="436"/>
        <v>23</v>
      </c>
      <c r="AE1814" t="str">
        <f t="shared" si="437"/>
        <v>昆山招商花园城项目|期末出租率（%）</v>
      </c>
    </row>
    <row r="1815" spans="1:31" x14ac:dyDescent="0.4">
      <c r="A1815" t="str">
        <f>IF(原始经营数据!$D1816="","",原始经营数据!$D1816)</f>
        <v>招商资管招商蛇口封闭式商业不动产证券投资基金</v>
      </c>
      <c r="B1815" t="str">
        <f>IF(原始经营数据!$D1816="","",T(原始经营数据!$E1816))</f>
        <v>昆山招商花园城项目</v>
      </c>
      <c r="C1815" t="str">
        <f>IF(原始经营数据!$D1816="","",原始经营数据!$F1816)</f>
        <v>2024</v>
      </c>
      <c r="D1815" t="str">
        <f>IF(原始经营数据!$D1816="","",原始经营数据!$H1816)</f>
        <v>加权平均出租率</v>
      </c>
      <c r="E1815">
        <f>IF(原始经营数据!$D1816="","",原始经营数据!$I1816)</f>
        <v>97.74</v>
      </c>
      <c r="F1815" t="str">
        <f>IF(原始经营数据!$D1816="","",T(原始经营数据!$J1816))</f>
        <v>%</v>
      </c>
      <c r="G1815" t="str">
        <f>IF(原始经营数据!$D1816="","",T(原始经营数据!$K1816))</f>
        <v/>
      </c>
      <c r="H1815" t="str">
        <f>IF(原始经营数据!$D1816="","",原始经营数据!$G1816)</f>
        <v>服务效率</v>
      </c>
      <c r="I1815" t="str">
        <f>IF($A1815="","",IF($B1815&lt;&gt;"",$B1815,IF(COUNTIFS(原始经营数据!$D$3:$D$3001,$A1815,原始经营数据!$E$3:$E$3001,"",原始经营数据!$F$3:$F$3001,$C1815,原始经营数据!$H$3:$H$3001,$D1815,原始经营数据!$K$3:$K$3001,$G1815)&gt;1,"基金整体·来源"&amp;原始经营数据!$A1816,"基金整体")))</f>
        <v>昆山招商花园城项目</v>
      </c>
      <c r="J1815" t="str">
        <f t="shared" si="423"/>
        <v>年度</v>
      </c>
      <c r="K1815" t="str">
        <f t="shared" si="424"/>
        <v>加权平均出租率（%）</v>
      </c>
      <c r="L1815" t="str">
        <f t="shared" si="425"/>
        <v>昆山招商花园城项目|加权平均出租率（%）|年度</v>
      </c>
      <c r="M1815">
        <f>IF($A1815="",0,IF(COUNTIF($L$2:$L1815,$L1815)=1,1,0))</f>
        <v>0</v>
      </c>
      <c r="N1815">
        <f t="shared" si="426"/>
        <v>20240</v>
      </c>
      <c r="O1815" t="str">
        <f t="shared" si="427"/>
        <v>招商资管招商蛇口封闭式商业不动产证券投资基金|2024|年度</v>
      </c>
      <c r="P1815">
        <f>IF($A1815="",0,IF(COUNTIF($O$2:$O1815,$O1815)=1,1,0))</f>
        <v>0</v>
      </c>
      <c r="Q1815" t="str">
        <f>IF(AND($P1815=1,$A1815=经营数据!$B$3,$J1815=经营数据!$BA$5),COUNTIFS($P$2:$P$3000,1,$A$2:$A$3000,$A1815,$J$2:$J$3000,$J1815,$N$2:$N$3000,"&lt;"&amp;$N1815)+1,"")</f>
        <v/>
      </c>
      <c r="R1815" t="str">
        <f t="shared" si="428"/>
        <v>招商资管招商蛇口封闭式商业不动产证券投资基金|昆山招商花园城项目</v>
      </c>
      <c r="S1815">
        <f>IF($A1815="",0,IF(COUNTIF($R$2:$R1815,$R1815)=1,1,0))</f>
        <v>0</v>
      </c>
      <c r="T1815">
        <f t="shared" si="429"/>
        <v>1809</v>
      </c>
      <c r="U1815" t="str">
        <f>IF($A1815="","",IF($A1815=经营数据!$B$3,COUNTIFS($S$2:$S$3000,1,$A$2:$A$3000,$A1815,$T$2:$T$3000,"&lt;"&amp;$T1815)+1,""))</f>
        <v/>
      </c>
      <c r="V1815" t="str">
        <f t="shared" si="430"/>
        <v>昆山招商花园城项目|服务效率</v>
      </c>
      <c r="W1815">
        <f t="shared" si="431"/>
        <v>1809</v>
      </c>
      <c r="X1815" t="str">
        <f t="shared" si="432"/>
        <v>昆山招商花园城项目|加权平均出租率</v>
      </c>
      <c r="Y1815">
        <f t="shared" si="433"/>
        <v>1810</v>
      </c>
      <c r="Z1815">
        <f>IF($A1815="",0,IF(AND($M1815=1,$A1815=经营数据!$B$3,$J1815=经营数据!$BA$5,OR($I1815=经营数据!$BA$4,COUNTIF(经营数据!$AA$9:$AA$38,$I1815)&gt;0)),1,0))</f>
        <v>0</v>
      </c>
      <c r="AA1815" t="str">
        <f t="shared" si="434"/>
        <v/>
      </c>
      <c r="AB1815" t="str">
        <f t="shared" si="435"/>
        <v/>
      </c>
      <c r="AC1815">
        <f>IF($A1815="",0,IF(COUNTIF($A$2:$A1815,$A1815)=1,1,0))</f>
        <v>0</v>
      </c>
      <c r="AD1815">
        <f t="shared" si="436"/>
        <v>23</v>
      </c>
      <c r="AE1815" t="str">
        <f t="shared" si="437"/>
        <v>昆山招商花园城项目|加权平均出租率（%）</v>
      </c>
    </row>
    <row r="1816" spans="1:31" x14ac:dyDescent="0.4">
      <c r="A1816" t="str">
        <f>IF(原始经营数据!$D1817="","",原始经营数据!$D1817)</f>
        <v>招商资管招商蛇口封闭式商业不动产证券投资基金</v>
      </c>
      <c r="B1816" t="str">
        <f>IF(原始经营数据!$D1817="","",T(原始经营数据!$E1817))</f>
        <v>昆山招商花园城项目</v>
      </c>
      <c r="C1816" t="str">
        <f>IF(原始经营数据!$D1817="","",原始经营数据!$F1817)</f>
        <v>2025</v>
      </c>
      <c r="D1816" t="str">
        <f>IF(原始经营数据!$D1817="","",原始经营数据!$H1817)</f>
        <v>客流量</v>
      </c>
      <c r="E1816">
        <f>IF(原始经营数据!$D1817="","",原始经营数据!$I1817)</f>
        <v>1306.69</v>
      </c>
      <c r="F1816" t="str">
        <f>IF(原始经营数据!$D1817="","",T(原始经营数据!$J1817))</f>
        <v>万人</v>
      </c>
      <c r="G1816" t="str">
        <f>IF(原始经营数据!$D1817="","",T(原始经营数据!$K1817))</f>
        <v/>
      </c>
      <c r="H1816" t="str">
        <f>IF(原始经营数据!$D1817="","",原始经营数据!$G1817)</f>
        <v>服务量</v>
      </c>
      <c r="I1816" t="str">
        <f>IF($A1816="","",IF($B1816&lt;&gt;"",$B1816,IF(COUNTIFS(原始经营数据!$D$3:$D$3001,$A1816,原始经营数据!$E$3:$E$3001,"",原始经营数据!$F$3:$F$3001,$C1816,原始经营数据!$H$3:$H$3001,$D1816,原始经营数据!$K$3:$K$3001,$G1816)&gt;1,"基金整体·来源"&amp;原始经营数据!$A1817,"基金整体")))</f>
        <v>昆山招商花园城项目</v>
      </c>
      <c r="J1816" t="str">
        <f t="shared" si="423"/>
        <v>年度</v>
      </c>
      <c r="K1816" t="str">
        <f t="shared" si="424"/>
        <v>客流量（万人）</v>
      </c>
      <c r="L1816" t="str">
        <f t="shared" si="425"/>
        <v>昆山招商花园城项目|客流量（万人）|年度</v>
      </c>
      <c r="M1816">
        <f>IF($A1816="",0,IF(COUNTIF($L$2:$L1816,$L1816)=1,1,0))</f>
        <v>0</v>
      </c>
      <c r="N1816">
        <f t="shared" si="426"/>
        <v>20250</v>
      </c>
      <c r="O1816" t="str">
        <f t="shared" si="427"/>
        <v>招商资管招商蛇口封闭式商业不动产证券投资基金|2025|年度</v>
      </c>
      <c r="P1816">
        <f>IF($A1816="",0,IF(COUNTIF($O$2:$O1816,$O1816)=1,1,0))</f>
        <v>1</v>
      </c>
      <c r="Q1816" t="str">
        <f>IF(AND($P1816=1,$A1816=经营数据!$B$3,$J1816=经营数据!$BA$5),COUNTIFS($P$2:$P$3000,1,$A$2:$A$3000,$A1816,$J$2:$J$3000,$J1816,$N$2:$N$3000,"&lt;"&amp;$N1816)+1,"")</f>
        <v/>
      </c>
      <c r="R1816" t="str">
        <f t="shared" si="428"/>
        <v>招商资管招商蛇口封闭式商业不动产证券投资基金|昆山招商花园城项目</v>
      </c>
      <c r="S1816">
        <f>IF($A1816="",0,IF(COUNTIF($R$2:$R1816,$R1816)=1,1,0))</f>
        <v>0</v>
      </c>
      <c r="T1816">
        <f t="shared" si="429"/>
        <v>1809</v>
      </c>
      <c r="U1816" t="str">
        <f>IF($A1816="","",IF($A1816=经营数据!$B$3,COUNTIFS($S$2:$S$3000,1,$A$2:$A$3000,$A1816,$T$2:$T$3000,"&lt;"&amp;$T1816)+1,""))</f>
        <v/>
      </c>
      <c r="V1816" t="str">
        <f t="shared" si="430"/>
        <v>昆山招商花园城项目|服务量</v>
      </c>
      <c r="W1816">
        <f t="shared" si="431"/>
        <v>1811</v>
      </c>
      <c r="X1816" t="str">
        <f t="shared" si="432"/>
        <v>昆山招商花园城项目|客流量</v>
      </c>
      <c r="Y1816">
        <f t="shared" si="433"/>
        <v>1811</v>
      </c>
      <c r="Z1816">
        <f>IF($A1816="",0,IF(AND($M1816=1,$A1816=经营数据!$B$3,$J1816=经营数据!$BA$5,OR($I1816=经营数据!$BA$4,COUNTIF(经营数据!$AA$9:$AA$38,$I1816)&gt;0)),1,0))</f>
        <v>0</v>
      </c>
      <c r="AA1816" t="str">
        <f t="shared" si="434"/>
        <v/>
      </c>
      <c r="AB1816" t="str">
        <f t="shared" si="435"/>
        <v/>
      </c>
      <c r="AC1816">
        <f>IF($A1816="",0,IF(COUNTIF($A$2:$A1816,$A1816)=1,1,0))</f>
        <v>0</v>
      </c>
      <c r="AD1816">
        <f t="shared" si="436"/>
        <v>23</v>
      </c>
      <c r="AE1816" t="str">
        <f t="shared" si="437"/>
        <v>昆山招商花园城项目|客流量（万人）</v>
      </c>
    </row>
    <row r="1817" spans="1:31" x14ac:dyDescent="0.4">
      <c r="A1817" t="str">
        <f>IF(原始经营数据!$D1818="","",原始经营数据!$D1818)</f>
        <v>招商资管招商蛇口封闭式商业不动产证券投资基金</v>
      </c>
      <c r="B1817" t="str">
        <f>IF(原始经营数据!$D1818="","",T(原始经营数据!$E1818))</f>
        <v>昆山招商花园城项目</v>
      </c>
      <c r="C1817" t="str">
        <f>IF(原始经营数据!$D1818="","",原始经营数据!$F1818)</f>
        <v>2025</v>
      </c>
      <c r="D1817" t="str">
        <f>IF(原始经营数据!$D1818="","",原始经营数据!$H1818)</f>
        <v>期末出租率</v>
      </c>
      <c r="E1817">
        <f>IF(原始经营数据!$D1818="","",原始经营数据!$I1818)</f>
        <v>92.16</v>
      </c>
      <c r="F1817" t="str">
        <f>IF(原始经营数据!$D1818="","",T(原始经营数据!$J1818))</f>
        <v>%</v>
      </c>
      <c r="G1817" t="str">
        <f>IF(原始经营数据!$D1818="","",T(原始经营数据!$K1818))</f>
        <v/>
      </c>
      <c r="H1817" t="str">
        <f>IF(原始经营数据!$D1818="","",原始经营数据!$G1818)</f>
        <v>服务效率</v>
      </c>
      <c r="I1817" t="str">
        <f>IF($A1817="","",IF($B1817&lt;&gt;"",$B1817,IF(COUNTIFS(原始经营数据!$D$3:$D$3001,$A1817,原始经营数据!$E$3:$E$3001,"",原始经营数据!$F$3:$F$3001,$C1817,原始经营数据!$H$3:$H$3001,$D1817,原始经营数据!$K$3:$K$3001,$G1817)&gt;1,"基金整体·来源"&amp;原始经营数据!$A1818,"基金整体")))</f>
        <v>昆山招商花园城项目</v>
      </c>
      <c r="J1817" t="str">
        <f t="shared" si="423"/>
        <v>年度</v>
      </c>
      <c r="K1817" t="str">
        <f t="shared" si="424"/>
        <v>期末出租率（%）</v>
      </c>
      <c r="L1817" t="str">
        <f t="shared" si="425"/>
        <v>昆山招商花园城项目|期末出租率（%）|年度</v>
      </c>
      <c r="M1817">
        <f>IF($A1817="",0,IF(COUNTIF($L$2:$L1817,$L1817)=1,1,0))</f>
        <v>0</v>
      </c>
      <c r="N1817">
        <f t="shared" si="426"/>
        <v>20250</v>
      </c>
      <c r="O1817" t="str">
        <f t="shared" si="427"/>
        <v>招商资管招商蛇口封闭式商业不动产证券投资基金|2025|年度</v>
      </c>
      <c r="P1817">
        <f>IF($A1817="",0,IF(COUNTIF($O$2:$O1817,$O1817)=1,1,0))</f>
        <v>0</v>
      </c>
      <c r="Q1817" t="str">
        <f>IF(AND($P1817=1,$A1817=经营数据!$B$3,$J1817=经营数据!$BA$5),COUNTIFS($P$2:$P$3000,1,$A$2:$A$3000,$A1817,$J$2:$J$3000,$J1817,$N$2:$N$3000,"&lt;"&amp;$N1817)+1,"")</f>
        <v/>
      </c>
      <c r="R1817" t="str">
        <f t="shared" si="428"/>
        <v>招商资管招商蛇口封闭式商业不动产证券投资基金|昆山招商花园城项目</v>
      </c>
      <c r="S1817">
        <f>IF($A1817="",0,IF(COUNTIF($R$2:$R1817,$R1817)=1,1,0))</f>
        <v>0</v>
      </c>
      <c r="T1817">
        <f t="shared" si="429"/>
        <v>1809</v>
      </c>
      <c r="U1817" t="str">
        <f>IF($A1817="","",IF($A1817=经营数据!$B$3,COUNTIFS($S$2:$S$3000,1,$A$2:$A$3000,$A1817,$T$2:$T$3000,"&lt;"&amp;$T1817)+1,""))</f>
        <v/>
      </c>
      <c r="V1817" t="str">
        <f t="shared" si="430"/>
        <v>昆山招商花园城项目|服务效率</v>
      </c>
      <c r="W1817">
        <f t="shared" si="431"/>
        <v>1809</v>
      </c>
      <c r="X1817" t="str">
        <f t="shared" si="432"/>
        <v>昆山招商花园城项目|期末出租率</v>
      </c>
      <c r="Y1817">
        <f t="shared" si="433"/>
        <v>1809</v>
      </c>
      <c r="Z1817">
        <f>IF($A1817="",0,IF(AND($M1817=1,$A1817=经营数据!$B$3,$J1817=经营数据!$BA$5,OR($I1817=经营数据!$BA$4,COUNTIF(经营数据!$AA$9:$AA$38,$I1817)&gt;0)),1,0))</f>
        <v>0</v>
      </c>
      <c r="AA1817" t="str">
        <f t="shared" si="434"/>
        <v/>
      </c>
      <c r="AB1817" t="str">
        <f t="shared" si="435"/>
        <v/>
      </c>
      <c r="AC1817">
        <f>IF($A1817="",0,IF(COUNTIF($A$2:$A1817,$A1817)=1,1,0))</f>
        <v>0</v>
      </c>
      <c r="AD1817">
        <f t="shared" si="436"/>
        <v>23</v>
      </c>
      <c r="AE1817" t="str">
        <f t="shared" si="437"/>
        <v>昆山招商花园城项目|期末出租率（%）</v>
      </c>
    </row>
    <row r="1818" spans="1:31" x14ac:dyDescent="0.4">
      <c r="A1818" t="str">
        <f>IF(原始经营数据!$D1819="","",原始经营数据!$D1819)</f>
        <v>招商资管招商蛇口封闭式商业不动产证券投资基金</v>
      </c>
      <c r="B1818" t="str">
        <f>IF(原始经营数据!$D1819="","",T(原始经营数据!$E1819))</f>
        <v>昆山招商花园城项目</v>
      </c>
      <c r="C1818" t="str">
        <f>IF(原始经营数据!$D1819="","",原始经营数据!$F1819)</f>
        <v>2025</v>
      </c>
      <c r="D1818" t="str">
        <f>IF(原始经营数据!$D1819="","",原始经营数据!$H1819)</f>
        <v>加权平均出租率</v>
      </c>
      <c r="E1818">
        <f>IF(原始经营数据!$D1819="","",原始经营数据!$I1819)</f>
        <v>94.42</v>
      </c>
      <c r="F1818" t="str">
        <f>IF(原始经营数据!$D1819="","",T(原始经营数据!$J1819))</f>
        <v>%</v>
      </c>
      <c r="G1818" t="str">
        <f>IF(原始经营数据!$D1819="","",T(原始经营数据!$K1819))</f>
        <v/>
      </c>
      <c r="H1818" t="str">
        <f>IF(原始经营数据!$D1819="","",原始经营数据!$G1819)</f>
        <v>服务效率</v>
      </c>
      <c r="I1818" t="str">
        <f>IF($A1818="","",IF($B1818&lt;&gt;"",$B1818,IF(COUNTIFS(原始经营数据!$D$3:$D$3001,$A1818,原始经营数据!$E$3:$E$3001,"",原始经营数据!$F$3:$F$3001,$C1818,原始经营数据!$H$3:$H$3001,$D1818,原始经营数据!$K$3:$K$3001,$G1818)&gt;1,"基金整体·来源"&amp;原始经营数据!$A1819,"基金整体")))</f>
        <v>昆山招商花园城项目</v>
      </c>
      <c r="J1818" t="str">
        <f t="shared" si="423"/>
        <v>年度</v>
      </c>
      <c r="K1818" t="str">
        <f t="shared" si="424"/>
        <v>加权平均出租率（%）</v>
      </c>
      <c r="L1818" t="str">
        <f t="shared" si="425"/>
        <v>昆山招商花园城项目|加权平均出租率（%）|年度</v>
      </c>
      <c r="M1818">
        <f>IF($A1818="",0,IF(COUNTIF($L$2:$L1818,$L1818)=1,1,0))</f>
        <v>0</v>
      </c>
      <c r="N1818">
        <f t="shared" si="426"/>
        <v>20250</v>
      </c>
      <c r="O1818" t="str">
        <f t="shared" si="427"/>
        <v>招商资管招商蛇口封闭式商业不动产证券投资基金|2025|年度</v>
      </c>
      <c r="P1818">
        <f>IF($A1818="",0,IF(COUNTIF($O$2:$O1818,$O1818)=1,1,0))</f>
        <v>0</v>
      </c>
      <c r="Q1818" t="str">
        <f>IF(AND($P1818=1,$A1818=经营数据!$B$3,$J1818=经营数据!$BA$5),COUNTIFS($P$2:$P$3000,1,$A$2:$A$3000,$A1818,$J$2:$J$3000,$J1818,$N$2:$N$3000,"&lt;"&amp;$N1818)+1,"")</f>
        <v/>
      </c>
      <c r="R1818" t="str">
        <f t="shared" si="428"/>
        <v>招商资管招商蛇口封闭式商业不动产证券投资基金|昆山招商花园城项目</v>
      </c>
      <c r="S1818">
        <f>IF($A1818="",0,IF(COUNTIF($R$2:$R1818,$R1818)=1,1,0))</f>
        <v>0</v>
      </c>
      <c r="T1818">
        <f t="shared" si="429"/>
        <v>1809</v>
      </c>
      <c r="U1818" t="str">
        <f>IF($A1818="","",IF($A1818=经营数据!$B$3,COUNTIFS($S$2:$S$3000,1,$A$2:$A$3000,$A1818,$T$2:$T$3000,"&lt;"&amp;$T1818)+1,""))</f>
        <v/>
      </c>
      <c r="V1818" t="str">
        <f t="shared" si="430"/>
        <v>昆山招商花园城项目|服务效率</v>
      </c>
      <c r="W1818">
        <f t="shared" si="431"/>
        <v>1809</v>
      </c>
      <c r="X1818" t="str">
        <f t="shared" si="432"/>
        <v>昆山招商花园城项目|加权平均出租率</v>
      </c>
      <c r="Y1818">
        <f t="shared" si="433"/>
        <v>1810</v>
      </c>
      <c r="Z1818">
        <f>IF($A1818="",0,IF(AND($M1818=1,$A1818=经营数据!$B$3,$J1818=经营数据!$BA$5,OR($I1818=经营数据!$BA$4,COUNTIF(经营数据!$AA$9:$AA$38,$I1818)&gt;0)),1,0))</f>
        <v>0</v>
      </c>
      <c r="AA1818" t="str">
        <f t="shared" si="434"/>
        <v/>
      </c>
      <c r="AB1818" t="str">
        <f t="shared" si="435"/>
        <v/>
      </c>
      <c r="AC1818">
        <f>IF($A1818="",0,IF(COUNTIF($A$2:$A1818,$A1818)=1,1,0))</f>
        <v>0</v>
      </c>
      <c r="AD1818">
        <f t="shared" si="436"/>
        <v>23</v>
      </c>
      <c r="AE1818" t="str">
        <f t="shared" si="437"/>
        <v>昆山招商花园城项目|加权平均出租率（%）</v>
      </c>
    </row>
    <row r="1819" spans="1:31" x14ac:dyDescent="0.4">
      <c r="A1819" t="str">
        <f>IF(原始经营数据!$D1820="","",原始经营数据!$D1820)</f>
        <v>招商资管招商蛇口封闭式商业不动产证券投资基金</v>
      </c>
      <c r="B1819" t="str">
        <f>IF(原始经营数据!$D1820="","",T(原始经营数据!$E1820))</f>
        <v>昆山招商花园城项目</v>
      </c>
      <c r="C1819" t="str">
        <f>IF(原始经营数据!$D1820="","",原始经营数据!$F1820)</f>
        <v>2026Q1</v>
      </c>
      <c r="D1819" t="str">
        <f>IF(原始经营数据!$D1820="","",原始经营数据!$H1820)</f>
        <v>客流量</v>
      </c>
      <c r="E1819">
        <f>IF(原始经营数据!$D1820="","",原始经营数据!$I1820)</f>
        <v>343.84</v>
      </c>
      <c r="F1819" t="str">
        <f>IF(原始经营数据!$D1820="","",T(原始经营数据!$J1820))</f>
        <v>万人</v>
      </c>
      <c r="G1819" t="str">
        <f>IF(原始经营数据!$D1820="","",T(原始经营数据!$K1820))</f>
        <v/>
      </c>
      <c r="H1819" t="str">
        <f>IF(原始经营数据!$D1820="","",原始经营数据!$G1820)</f>
        <v>服务量</v>
      </c>
      <c r="I1819" t="str">
        <f>IF($A1819="","",IF($B1819&lt;&gt;"",$B1819,IF(COUNTIFS(原始经营数据!$D$3:$D$3001,$A1819,原始经营数据!$E$3:$E$3001,"",原始经营数据!$F$3:$F$3001,$C1819,原始经营数据!$H$3:$H$3001,$D1819,原始经营数据!$K$3:$K$3001,$G1819)&gt;1,"基金整体·来源"&amp;原始经营数据!$A1820,"基金整体")))</f>
        <v>昆山招商花园城项目</v>
      </c>
      <c r="J1819" t="str">
        <f t="shared" si="423"/>
        <v>季度</v>
      </c>
      <c r="K1819" t="str">
        <f t="shared" si="424"/>
        <v>客流量（万人）</v>
      </c>
      <c r="L1819" t="str">
        <f t="shared" si="425"/>
        <v>昆山招商花园城项目|客流量（万人）|季度</v>
      </c>
      <c r="M1819">
        <f>IF($A1819="",0,IF(COUNTIF($L$2:$L1819,$L1819)=1,1,0))</f>
        <v>1</v>
      </c>
      <c r="N1819">
        <f t="shared" si="426"/>
        <v>20261</v>
      </c>
      <c r="O1819" t="str">
        <f t="shared" si="427"/>
        <v>招商资管招商蛇口封闭式商业不动产证券投资基金|2026Q1|季度</v>
      </c>
      <c r="P1819">
        <f>IF($A1819="",0,IF(COUNTIF($O$2:$O1819,$O1819)=1,1,0))</f>
        <v>1</v>
      </c>
      <c r="Q1819" t="str">
        <f>IF(AND($P1819=1,$A1819=经营数据!$B$3,$J1819=经营数据!$BA$5),COUNTIFS($P$2:$P$3000,1,$A$2:$A$3000,$A1819,$J$2:$J$3000,$J1819,$N$2:$N$3000,"&lt;"&amp;$N1819)+1,"")</f>
        <v/>
      </c>
      <c r="R1819" t="str">
        <f t="shared" si="428"/>
        <v>招商资管招商蛇口封闭式商业不动产证券投资基金|昆山招商花园城项目</v>
      </c>
      <c r="S1819">
        <f>IF($A1819="",0,IF(COUNTIF($R$2:$R1819,$R1819)=1,1,0))</f>
        <v>0</v>
      </c>
      <c r="T1819">
        <f t="shared" si="429"/>
        <v>1809</v>
      </c>
      <c r="U1819" t="str">
        <f>IF($A1819="","",IF($A1819=经营数据!$B$3,COUNTIFS($S$2:$S$3000,1,$A$2:$A$3000,$A1819,$T$2:$T$3000,"&lt;"&amp;$T1819)+1,""))</f>
        <v/>
      </c>
      <c r="V1819" t="str">
        <f t="shared" si="430"/>
        <v>昆山招商花园城项目|服务量</v>
      </c>
      <c r="W1819">
        <f t="shared" si="431"/>
        <v>1811</v>
      </c>
      <c r="X1819" t="str">
        <f t="shared" si="432"/>
        <v>昆山招商花园城项目|客流量</v>
      </c>
      <c r="Y1819">
        <f t="shared" si="433"/>
        <v>1811</v>
      </c>
      <c r="Z1819">
        <f>IF($A1819="",0,IF(AND($M1819=1,$A1819=经营数据!$B$3,$J1819=经营数据!$BA$5,OR($I1819=经营数据!$BA$4,COUNTIF(经营数据!$AA$9:$AA$38,$I1819)&gt;0)),1,0))</f>
        <v>0</v>
      </c>
      <c r="AA1819" t="str">
        <f t="shared" si="434"/>
        <v/>
      </c>
      <c r="AB1819" t="str">
        <f t="shared" si="435"/>
        <v/>
      </c>
      <c r="AC1819">
        <f>IF($A1819="",0,IF(COUNTIF($A$2:$A1819,$A1819)=1,1,0))</f>
        <v>0</v>
      </c>
      <c r="AD1819">
        <f t="shared" si="436"/>
        <v>23</v>
      </c>
      <c r="AE1819" t="str">
        <f t="shared" si="437"/>
        <v>昆山招商花园城项目|客流量（万人）</v>
      </c>
    </row>
    <row r="1820" spans="1:31" x14ac:dyDescent="0.4">
      <c r="A1820" t="str">
        <f>IF(原始经营数据!$D1821="","",原始经营数据!$D1821)</f>
        <v>招商资管招商蛇口封闭式商业不动产证券投资基金</v>
      </c>
      <c r="B1820" t="str">
        <f>IF(原始经营数据!$D1821="","",T(原始经营数据!$E1821))</f>
        <v>昆山招商花园城项目</v>
      </c>
      <c r="C1820" t="str">
        <f>IF(原始经营数据!$D1821="","",原始经营数据!$F1821)</f>
        <v>2026Q1</v>
      </c>
      <c r="D1820" t="str">
        <f>IF(原始经营数据!$D1821="","",原始经营数据!$H1821)</f>
        <v>期末出租率</v>
      </c>
      <c r="E1820">
        <f>IF(原始经营数据!$D1821="","",原始经营数据!$I1821)</f>
        <v>96.05</v>
      </c>
      <c r="F1820" t="str">
        <f>IF(原始经营数据!$D1821="","",T(原始经营数据!$J1821))</f>
        <v>%</v>
      </c>
      <c r="G1820" t="str">
        <f>IF(原始经营数据!$D1821="","",T(原始经营数据!$K1821))</f>
        <v/>
      </c>
      <c r="H1820" t="str">
        <f>IF(原始经营数据!$D1821="","",原始经营数据!$G1821)</f>
        <v>服务效率</v>
      </c>
      <c r="I1820" t="str">
        <f>IF($A1820="","",IF($B1820&lt;&gt;"",$B1820,IF(COUNTIFS(原始经营数据!$D$3:$D$3001,$A1820,原始经营数据!$E$3:$E$3001,"",原始经营数据!$F$3:$F$3001,$C1820,原始经营数据!$H$3:$H$3001,$D1820,原始经营数据!$K$3:$K$3001,$G1820)&gt;1,"基金整体·来源"&amp;原始经营数据!$A1821,"基金整体")))</f>
        <v>昆山招商花园城项目</v>
      </c>
      <c r="J1820" t="str">
        <f t="shared" si="423"/>
        <v>季度</v>
      </c>
      <c r="K1820" t="str">
        <f t="shared" si="424"/>
        <v>期末出租率（%）</v>
      </c>
      <c r="L1820" t="str">
        <f t="shared" si="425"/>
        <v>昆山招商花园城项目|期末出租率（%）|季度</v>
      </c>
      <c r="M1820">
        <f>IF($A1820="",0,IF(COUNTIF($L$2:$L1820,$L1820)=1,1,0))</f>
        <v>1</v>
      </c>
      <c r="N1820">
        <f t="shared" si="426"/>
        <v>20261</v>
      </c>
      <c r="O1820" t="str">
        <f t="shared" si="427"/>
        <v>招商资管招商蛇口封闭式商业不动产证券投资基金|2026Q1|季度</v>
      </c>
      <c r="P1820">
        <f>IF($A1820="",0,IF(COUNTIF($O$2:$O1820,$O1820)=1,1,0))</f>
        <v>0</v>
      </c>
      <c r="Q1820" t="str">
        <f>IF(AND($P1820=1,$A1820=经营数据!$B$3,$J1820=经营数据!$BA$5),COUNTIFS($P$2:$P$3000,1,$A$2:$A$3000,$A1820,$J$2:$J$3000,$J1820,$N$2:$N$3000,"&lt;"&amp;$N1820)+1,"")</f>
        <v/>
      </c>
      <c r="R1820" t="str">
        <f t="shared" si="428"/>
        <v>招商资管招商蛇口封闭式商业不动产证券投资基金|昆山招商花园城项目</v>
      </c>
      <c r="S1820">
        <f>IF($A1820="",0,IF(COUNTIF($R$2:$R1820,$R1820)=1,1,0))</f>
        <v>0</v>
      </c>
      <c r="T1820">
        <f t="shared" si="429"/>
        <v>1809</v>
      </c>
      <c r="U1820" t="str">
        <f>IF($A1820="","",IF($A1820=经营数据!$B$3,COUNTIFS($S$2:$S$3000,1,$A$2:$A$3000,$A1820,$T$2:$T$3000,"&lt;"&amp;$T1820)+1,""))</f>
        <v/>
      </c>
      <c r="V1820" t="str">
        <f t="shared" si="430"/>
        <v>昆山招商花园城项目|服务效率</v>
      </c>
      <c r="W1820">
        <f t="shared" si="431"/>
        <v>1809</v>
      </c>
      <c r="X1820" t="str">
        <f t="shared" si="432"/>
        <v>昆山招商花园城项目|期末出租率</v>
      </c>
      <c r="Y1820">
        <f t="shared" si="433"/>
        <v>1809</v>
      </c>
      <c r="Z1820">
        <f>IF($A1820="",0,IF(AND($M1820=1,$A1820=经营数据!$B$3,$J1820=经营数据!$BA$5,OR($I1820=经营数据!$BA$4,COUNTIF(经营数据!$AA$9:$AA$38,$I1820)&gt;0)),1,0))</f>
        <v>0</v>
      </c>
      <c r="AA1820" t="str">
        <f t="shared" si="434"/>
        <v/>
      </c>
      <c r="AB1820" t="str">
        <f t="shared" si="435"/>
        <v/>
      </c>
      <c r="AC1820">
        <f>IF($A1820="",0,IF(COUNTIF($A$2:$A1820,$A1820)=1,1,0))</f>
        <v>0</v>
      </c>
      <c r="AD1820">
        <f t="shared" si="436"/>
        <v>23</v>
      </c>
      <c r="AE1820" t="str">
        <f t="shared" si="437"/>
        <v>昆山招商花园城项目|期末出租率（%）</v>
      </c>
    </row>
    <row r="1821" spans="1:31" x14ac:dyDescent="0.4">
      <c r="A1821" t="str">
        <f>IF(原始经营数据!$D1822="","",原始经营数据!$D1822)</f>
        <v>招商资管招商蛇口封闭式商业不动产证券投资基金</v>
      </c>
      <c r="B1821" t="str">
        <f>IF(原始经营数据!$D1822="","",T(原始经营数据!$E1822))</f>
        <v>昆山招商花园城项目</v>
      </c>
      <c r="C1821" t="str">
        <f>IF(原始经营数据!$D1822="","",原始经营数据!$F1822)</f>
        <v>2026Q1</v>
      </c>
      <c r="D1821" t="str">
        <f>IF(原始经营数据!$D1822="","",原始经营数据!$H1822)</f>
        <v>加权平均出租率</v>
      </c>
      <c r="E1821">
        <f>IF(原始经营数据!$D1822="","",原始经营数据!$I1822)</f>
        <v>93.29</v>
      </c>
      <c r="F1821" t="str">
        <f>IF(原始经营数据!$D1822="","",T(原始经营数据!$J1822))</f>
        <v>%</v>
      </c>
      <c r="G1821" t="str">
        <f>IF(原始经营数据!$D1822="","",T(原始经营数据!$K1822))</f>
        <v/>
      </c>
      <c r="H1821" t="str">
        <f>IF(原始经营数据!$D1822="","",原始经营数据!$G1822)</f>
        <v>服务效率</v>
      </c>
      <c r="I1821" t="str">
        <f>IF($A1821="","",IF($B1821&lt;&gt;"",$B1821,IF(COUNTIFS(原始经营数据!$D$3:$D$3001,$A1821,原始经营数据!$E$3:$E$3001,"",原始经营数据!$F$3:$F$3001,$C1821,原始经营数据!$H$3:$H$3001,$D1821,原始经营数据!$K$3:$K$3001,$G1821)&gt;1,"基金整体·来源"&amp;原始经营数据!$A1822,"基金整体")))</f>
        <v>昆山招商花园城项目</v>
      </c>
      <c r="J1821" t="str">
        <f t="shared" si="423"/>
        <v>季度</v>
      </c>
      <c r="K1821" t="str">
        <f t="shared" si="424"/>
        <v>加权平均出租率（%）</v>
      </c>
      <c r="L1821" t="str">
        <f t="shared" si="425"/>
        <v>昆山招商花园城项目|加权平均出租率（%）|季度</v>
      </c>
      <c r="M1821">
        <f>IF($A1821="",0,IF(COUNTIF($L$2:$L1821,$L1821)=1,1,0))</f>
        <v>1</v>
      </c>
      <c r="N1821">
        <f t="shared" si="426"/>
        <v>20261</v>
      </c>
      <c r="O1821" t="str">
        <f t="shared" si="427"/>
        <v>招商资管招商蛇口封闭式商业不动产证券投资基金|2026Q1|季度</v>
      </c>
      <c r="P1821">
        <f>IF($A1821="",0,IF(COUNTIF($O$2:$O1821,$O1821)=1,1,0))</f>
        <v>0</v>
      </c>
      <c r="Q1821" t="str">
        <f>IF(AND($P1821=1,$A1821=经营数据!$B$3,$J1821=经营数据!$BA$5),COUNTIFS($P$2:$P$3000,1,$A$2:$A$3000,$A1821,$J$2:$J$3000,$J1821,$N$2:$N$3000,"&lt;"&amp;$N1821)+1,"")</f>
        <v/>
      </c>
      <c r="R1821" t="str">
        <f t="shared" si="428"/>
        <v>招商资管招商蛇口封闭式商业不动产证券投资基金|昆山招商花园城项目</v>
      </c>
      <c r="S1821">
        <f>IF($A1821="",0,IF(COUNTIF($R$2:$R1821,$R1821)=1,1,0))</f>
        <v>0</v>
      </c>
      <c r="T1821">
        <f t="shared" si="429"/>
        <v>1809</v>
      </c>
      <c r="U1821" t="str">
        <f>IF($A1821="","",IF($A1821=经营数据!$B$3,COUNTIFS($S$2:$S$3000,1,$A$2:$A$3000,$A1821,$T$2:$T$3000,"&lt;"&amp;$T1821)+1,""))</f>
        <v/>
      </c>
      <c r="V1821" t="str">
        <f t="shared" si="430"/>
        <v>昆山招商花园城项目|服务效率</v>
      </c>
      <c r="W1821">
        <f t="shared" si="431"/>
        <v>1809</v>
      </c>
      <c r="X1821" t="str">
        <f t="shared" si="432"/>
        <v>昆山招商花园城项目|加权平均出租率</v>
      </c>
      <c r="Y1821">
        <f t="shared" si="433"/>
        <v>1810</v>
      </c>
      <c r="Z1821">
        <f>IF($A1821="",0,IF(AND($M1821=1,$A1821=经营数据!$B$3,$J1821=经营数据!$BA$5,OR($I1821=经营数据!$BA$4,COUNTIF(经营数据!$AA$9:$AA$38,$I1821)&gt;0)),1,0))</f>
        <v>0</v>
      </c>
      <c r="AA1821" t="str">
        <f t="shared" si="434"/>
        <v/>
      </c>
      <c r="AB1821" t="str">
        <f t="shared" si="435"/>
        <v/>
      </c>
      <c r="AC1821">
        <f>IF($A1821="",0,IF(COUNTIF($A$2:$A1821,$A1821)=1,1,0))</f>
        <v>0</v>
      </c>
      <c r="AD1821">
        <f t="shared" si="436"/>
        <v>23</v>
      </c>
      <c r="AE1821" t="str">
        <f t="shared" si="437"/>
        <v>昆山招商花园城项目|加权平均出租率（%）</v>
      </c>
    </row>
    <row r="1822" spans="1:31" x14ac:dyDescent="0.4">
      <c r="A1822" t="str">
        <f>IF(原始经营数据!$D1823="","",原始经营数据!$D1823)</f>
        <v>招商资管招商蛇口封闭式商业不动产证券投资基金</v>
      </c>
      <c r="B1822" t="str">
        <f>IF(原始经营数据!$D1823="","",T(原始经营数据!$E1823))</f>
        <v>深圳太子广场项目</v>
      </c>
      <c r="C1822" t="str">
        <f>IF(原始经营数据!$D1823="","",原始经营数据!$F1823)</f>
        <v>2023</v>
      </c>
      <c r="D1822" t="str">
        <f>IF(原始经营数据!$D1823="","",原始经营数据!$H1823)</f>
        <v>期末出租率</v>
      </c>
      <c r="E1822">
        <f>IF(原始经营数据!$D1823="","",原始经营数据!$I1823)</f>
        <v>79.38</v>
      </c>
      <c r="F1822" t="str">
        <f>IF(原始经营数据!$D1823="","",T(原始经营数据!$J1823))</f>
        <v>%</v>
      </c>
      <c r="G1822" t="str">
        <f>IF(原始经营数据!$D1823="","",T(原始经营数据!$K1823))</f>
        <v/>
      </c>
      <c r="H1822" t="str">
        <f>IF(原始经营数据!$D1823="","",原始经营数据!$G1823)</f>
        <v>服务效率</v>
      </c>
      <c r="I1822" t="str">
        <f>IF($A1822="","",IF($B1822&lt;&gt;"",$B1822,IF(COUNTIFS(原始经营数据!$D$3:$D$3001,$A1822,原始经营数据!$E$3:$E$3001,"",原始经营数据!$F$3:$F$3001,$C1822,原始经营数据!$H$3:$H$3001,$D1822,原始经营数据!$K$3:$K$3001,$G1822)&gt;1,"基金整体·来源"&amp;原始经营数据!$A1823,"基金整体")))</f>
        <v>深圳太子广场项目</v>
      </c>
      <c r="J1822" t="str">
        <f t="shared" si="423"/>
        <v>年度</v>
      </c>
      <c r="K1822" t="str">
        <f t="shared" si="424"/>
        <v>期末出租率（%）</v>
      </c>
      <c r="L1822" t="str">
        <f t="shared" si="425"/>
        <v>深圳太子广场项目|期末出租率（%）|年度</v>
      </c>
      <c r="M1822">
        <f>IF($A1822="",0,IF(COUNTIF($L$2:$L1822,$L1822)=1,1,0))</f>
        <v>1</v>
      </c>
      <c r="N1822">
        <f t="shared" si="426"/>
        <v>20230</v>
      </c>
      <c r="O1822" t="str">
        <f t="shared" si="427"/>
        <v>招商资管招商蛇口封闭式商业不动产证券投资基金|2023|年度</v>
      </c>
      <c r="P1822">
        <f>IF($A1822="",0,IF(COUNTIF($O$2:$O1822,$O1822)=1,1,0))</f>
        <v>0</v>
      </c>
      <c r="Q1822" t="str">
        <f>IF(AND($P1822=1,$A1822=经营数据!$B$3,$J1822=经营数据!$BA$5),COUNTIFS($P$2:$P$3000,1,$A$2:$A$3000,$A1822,$J$2:$J$3000,$J1822,$N$2:$N$3000,"&lt;"&amp;$N1822)+1,"")</f>
        <v/>
      </c>
      <c r="R1822" t="str">
        <f t="shared" si="428"/>
        <v>招商资管招商蛇口封闭式商业不动产证券投资基金|深圳太子广场项目</v>
      </c>
      <c r="S1822">
        <f>IF($A1822="",0,IF(COUNTIF($R$2:$R1822,$R1822)=1,1,0))</f>
        <v>1</v>
      </c>
      <c r="T1822">
        <f t="shared" si="429"/>
        <v>1821</v>
      </c>
      <c r="U1822" t="str">
        <f>IF($A1822="","",IF($A1822=经营数据!$B$3,COUNTIFS($S$2:$S$3000,1,$A$2:$A$3000,$A1822,$T$2:$T$3000,"&lt;"&amp;$T1822)+1,""))</f>
        <v/>
      </c>
      <c r="V1822" t="str">
        <f t="shared" si="430"/>
        <v>深圳太子广场项目|服务效率</v>
      </c>
      <c r="W1822">
        <f t="shared" si="431"/>
        <v>1821</v>
      </c>
      <c r="X1822" t="str">
        <f t="shared" si="432"/>
        <v>深圳太子广场项目|期末出租率</v>
      </c>
      <c r="Y1822">
        <f t="shared" si="433"/>
        <v>1821</v>
      </c>
      <c r="Z1822">
        <f>IF($A1822="",0,IF(AND($M1822=1,$A1822=经营数据!$B$3,$J1822=经营数据!$BA$5,OR($I1822=经营数据!$BA$4,COUNTIF(经营数据!$AA$9:$AA$38,$I1822)&gt;0)),1,0))</f>
        <v>0</v>
      </c>
      <c r="AA1822" t="str">
        <f t="shared" si="434"/>
        <v/>
      </c>
      <c r="AB1822" t="str">
        <f t="shared" si="435"/>
        <v/>
      </c>
      <c r="AC1822">
        <f>IF($A1822="",0,IF(COUNTIF($A$2:$A1822,$A1822)=1,1,0))</f>
        <v>0</v>
      </c>
      <c r="AD1822">
        <f t="shared" si="436"/>
        <v>23</v>
      </c>
      <c r="AE1822" t="str">
        <f t="shared" si="437"/>
        <v>深圳太子广场项目|期末出租率（%）</v>
      </c>
    </row>
    <row r="1823" spans="1:31" x14ac:dyDescent="0.4">
      <c r="A1823" t="str">
        <f>IF(原始经营数据!$D1824="","",原始经营数据!$D1824)</f>
        <v>招商资管招商蛇口封闭式商业不动产证券投资基金</v>
      </c>
      <c r="B1823" t="str">
        <f>IF(原始经营数据!$D1824="","",T(原始经营数据!$E1824))</f>
        <v>深圳太子广场项目</v>
      </c>
      <c r="C1823" t="str">
        <f>IF(原始经营数据!$D1824="","",原始经营数据!$F1824)</f>
        <v>2023</v>
      </c>
      <c r="D1823" t="str">
        <f>IF(原始经营数据!$D1824="","",原始经营数据!$H1824)</f>
        <v>加权平均出租率</v>
      </c>
      <c r="E1823">
        <f>IF(原始经营数据!$D1824="","",原始经营数据!$I1824)</f>
        <v>71</v>
      </c>
      <c r="F1823" t="str">
        <f>IF(原始经营数据!$D1824="","",T(原始经营数据!$J1824))</f>
        <v>%</v>
      </c>
      <c r="G1823" t="str">
        <f>IF(原始经营数据!$D1824="","",T(原始经营数据!$K1824))</f>
        <v/>
      </c>
      <c r="H1823" t="str">
        <f>IF(原始经营数据!$D1824="","",原始经营数据!$G1824)</f>
        <v>服务效率</v>
      </c>
      <c r="I1823" t="str">
        <f>IF($A1823="","",IF($B1823&lt;&gt;"",$B1823,IF(COUNTIFS(原始经营数据!$D$3:$D$3001,$A1823,原始经营数据!$E$3:$E$3001,"",原始经营数据!$F$3:$F$3001,$C1823,原始经营数据!$H$3:$H$3001,$D1823,原始经营数据!$K$3:$K$3001,$G1823)&gt;1,"基金整体·来源"&amp;原始经营数据!$A1824,"基金整体")))</f>
        <v>深圳太子广场项目</v>
      </c>
      <c r="J1823" t="str">
        <f t="shared" si="423"/>
        <v>年度</v>
      </c>
      <c r="K1823" t="str">
        <f t="shared" si="424"/>
        <v>加权平均出租率（%）</v>
      </c>
      <c r="L1823" t="str">
        <f t="shared" si="425"/>
        <v>深圳太子广场项目|加权平均出租率（%）|年度</v>
      </c>
      <c r="M1823">
        <f>IF($A1823="",0,IF(COUNTIF($L$2:$L1823,$L1823)=1,1,0))</f>
        <v>1</v>
      </c>
      <c r="N1823">
        <f t="shared" si="426"/>
        <v>20230</v>
      </c>
      <c r="O1823" t="str">
        <f t="shared" si="427"/>
        <v>招商资管招商蛇口封闭式商业不动产证券投资基金|2023|年度</v>
      </c>
      <c r="P1823">
        <f>IF($A1823="",0,IF(COUNTIF($O$2:$O1823,$O1823)=1,1,0))</f>
        <v>0</v>
      </c>
      <c r="Q1823" t="str">
        <f>IF(AND($P1823=1,$A1823=经营数据!$B$3,$J1823=经营数据!$BA$5),COUNTIFS($P$2:$P$3000,1,$A$2:$A$3000,$A1823,$J$2:$J$3000,$J1823,$N$2:$N$3000,"&lt;"&amp;$N1823)+1,"")</f>
        <v/>
      </c>
      <c r="R1823" t="str">
        <f t="shared" si="428"/>
        <v>招商资管招商蛇口封闭式商业不动产证券投资基金|深圳太子广场项目</v>
      </c>
      <c r="S1823">
        <f>IF($A1823="",0,IF(COUNTIF($R$2:$R1823,$R1823)=1,1,0))</f>
        <v>0</v>
      </c>
      <c r="T1823">
        <f t="shared" si="429"/>
        <v>1821</v>
      </c>
      <c r="U1823" t="str">
        <f>IF($A1823="","",IF($A1823=经营数据!$B$3,COUNTIFS($S$2:$S$3000,1,$A$2:$A$3000,$A1823,$T$2:$T$3000,"&lt;"&amp;$T1823)+1,""))</f>
        <v/>
      </c>
      <c r="V1823" t="str">
        <f t="shared" si="430"/>
        <v>深圳太子广场项目|服务效率</v>
      </c>
      <c r="W1823">
        <f t="shared" si="431"/>
        <v>1821</v>
      </c>
      <c r="X1823" t="str">
        <f t="shared" si="432"/>
        <v>深圳太子广场项目|加权平均出租率</v>
      </c>
      <c r="Y1823">
        <f t="shared" si="433"/>
        <v>1822</v>
      </c>
      <c r="Z1823">
        <f>IF($A1823="",0,IF(AND($M1823=1,$A1823=经营数据!$B$3,$J1823=经营数据!$BA$5,OR($I1823=经营数据!$BA$4,COUNTIF(经营数据!$AA$9:$AA$38,$I1823)&gt;0)),1,0))</f>
        <v>0</v>
      </c>
      <c r="AA1823" t="str">
        <f t="shared" si="434"/>
        <v/>
      </c>
      <c r="AB1823" t="str">
        <f t="shared" si="435"/>
        <v/>
      </c>
      <c r="AC1823">
        <f>IF($A1823="",0,IF(COUNTIF($A$2:$A1823,$A1823)=1,1,0))</f>
        <v>0</v>
      </c>
      <c r="AD1823">
        <f t="shared" si="436"/>
        <v>23</v>
      </c>
      <c r="AE1823" t="str">
        <f t="shared" si="437"/>
        <v>深圳太子广场项目|加权平均出租率（%）</v>
      </c>
    </row>
    <row r="1824" spans="1:31" x14ac:dyDescent="0.4">
      <c r="A1824" t="str">
        <f>IF(原始经营数据!$D1825="","",原始经营数据!$D1825)</f>
        <v>招商资管招商蛇口封闭式商业不动产证券投资基金</v>
      </c>
      <c r="B1824" t="str">
        <f>IF(原始经营数据!$D1825="","",T(原始经营数据!$E1825))</f>
        <v>深圳太子广场项目</v>
      </c>
      <c r="C1824" t="str">
        <f>IF(原始经营数据!$D1825="","",原始经营数据!$F1825)</f>
        <v>2024</v>
      </c>
      <c r="D1824" t="str">
        <f>IF(原始经营数据!$D1825="","",原始经营数据!$H1825)</f>
        <v>加权平均出租率</v>
      </c>
      <c r="E1824">
        <f>IF(原始经营数据!$D1825="","",原始经营数据!$I1825)</f>
        <v>77.5</v>
      </c>
      <c r="F1824" t="str">
        <f>IF(原始经营数据!$D1825="","",T(原始经营数据!$J1825))</f>
        <v>%</v>
      </c>
      <c r="G1824" t="str">
        <f>IF(原始经营数据!$D1825="","",T(原始经营数据!$K1825))</f>
        <v/>
      </c>
      <c r="H1824" t="str">
        <f>IF(原始经营数据!$D1825="","",原始经营数据!$G1825)</f>
        <v>服务效率</v>
      </c>
      <c r="I1824" t="str">
        <f>IF($A1824="","",IF($B1824&lt;&gt;"",$B1824,IF(COUNTIFS(原始经营数据!$D$3:$D$3001,$A1824,原始经营数据!$E$3:$E$3001,"",原始经营数据!$F$3:$F$3001,$C1824,原始经营数据!$H$3:$H$3001,$D1824,原始经营数据!$K$3:$K$3001,$G1824)&gt;1,"基金整体·来源"&amp;原始经营数据!$A1825,"基金整体")))</f>
        <v>深圳太子广场项目</v>
      </c>
      <c r="J1824" t="str">
        <f t="shared" si="423"/>
        <v>年度</v>
      </c>
      <c r="K1824" t="str">
        <f t="shared" si="424"/>
        <v>加权平均出租率（%）</v>
      </c>
      <c r="L1824" t="str">
        <f t="shared" si="425"/>
        <v>深圳太子广场项目|加权平均出租率（%）|年度</v>
      </c>
      <c r="M1824">
        <f>IF($A1824="",0,IF(COUNTIF($L$2:$L1824,$L1824)=1,1,0))</f>
        <v>0</v>
      </c>
      <c r="N1824">
        <f t="shared" si="426"/>
        <v>20240</v>
      </c>
      <c r="O1824" t="str">
        <f t="shared" si="427"/>
        <v>招商资管招商蛇口封闭式商业不动产证券投资基金|2024|年度</v>
      </c>
      <c r="P1824">
        <f>IF($A1824="",0,IF(COUNTIF($O$2:$O1824,$O1824)=1,1,0))</f>
        <v>0</v>
      </c>
      <c r="Q1824" t="str">
        <f>IF(AND($P1824=1,$A1824=经营数据!$B$3,$J1824=经营数据!$BA$5),COUNTIFS($P$2:$P$3000,1,$A$2:$A$3000,$A1824,$J$2:$J$3000,$J1824,$N$2:$N$3000,"&lt;"&amp;$N1824)+1,"")</f>
        <v/>
      </c>
      <c r="R1824" t="str">
        <f t="shared" si="428"/>
        <v>招商资管招商蛇口封闭式商业不动产证券投资基金|深圳太子广场项目</v>
      </c>
      <c r="S1824">
        <f>IF($A1824="",0,IF(COUNTIF($R$2:$R1824,$R1824)=1,1,0))</f>
        <v>0</v>
      </c>
      <c r="T1824">
        <f t="shared" si="429"/>
        <v>1821</v>
      </c>
      <c r="U1824" t="str">
        <f>IF($A1824="","",IF($A1824=经营数据!$B$3,COUNTIFS($S$2:$S$3000,1,$A$2:$A$3000,$A1824,$T$2:$T$3000,"&lt;"&amp;$T1824)+1,""))</f>
        <v/>
      </c>
      <c r="V1824" t="str">
        <f t="shared" si="430"/>
        <v>深圳太子广场项目|服务效率</v>
      </c>
      <c r="W1824">
        <f t="shared" si="431"/>
        <v>1821</v>
      </c>
      <c r="X1824" t="str">
        <f t="shared" si="432"/>
        <v>深圳太子广场项目|加权平均出租率</v>
      </c>
      <c r="Y1824">
        <f t="shared" si="433"/>
        <v>1822</v>
      </c>
      <c r="Z1824">
        <f>IF($A1824="",0,IF(AND($M1824=1,$A1824=经营数据!$B$3,$J1824=经营数据!$BA$5,OR($I1824=经营数据!$BA$4,COUNTIF(经营数据!$AA$9:$AA$38,$I1824)&gt;0)),1,0))</f>
        <v>0</v>
      </c>
      <c r="AA1824" t="str">
        <f t="shared" si="434"/>
        <v/>
      </c>
      <c r="AB1824" t="str">
        <f t="shared" si="435"/>
        <v/>
      </c>
      <c r="AC1824">
        <f>IF($A1824="",0,IF(COUNTIF($A$2:$A1824,$A1824)=1,1,0))</f>
        <v>0</v>
      </c>
      <c r="AD1824">
        <f t="shared" si="436"/>
        <v>23</v>
      </c>
      <c r="AE1824" t="str">
        <f t="shared" si="437"/>
        <v>深圳太子广场项目|加权平均出租率（%）</v>
      </c>
    </row>
    <row r="1825" spans="1:31" x14ac:dyDescent="0.4">
      <c r="A1825" t="str">
        <f>IF(原始经营数据!$D1826="","",原始经营数据!$D1826)</f>
        <v>招商资管招商蛇口封闭式商业不动产证券投资基金</v>
      </c>
      <c r="B1825" t="str">
        <f>IF(原始经营数据!$D1826="","",T(原始经营数据!$E1826))</f>
        <v>深圳太子广场项目</v>
      </c>
      <c r="C1825" t="str">
        <f>IF(原始经营数据!$D1826="","",原始经营数据!$F1826)</f>
        <v>2024</v>
      </c>
      <c r="D1825" t="str">
        <f>IF(原始经营数据!$D1826="","",原始经营数据!$H1826)</f>
        <v>期末出租率</v>
      </c>
      <c r="E1825">
        <f>IF(原始经营数据!$D1826="","",原始经营数据!$I1826)</f>
        <v>67.66</v>
      </c>
      <c r="F1825" t="str">
        <f>IF(原始经营数据!$D1826="","",T(原始经营数据!$J1826))</f>
        <v>%</v>
      </c>
      <c r="G1825" t="str">
        <f>IF(原始经营数据!$D1826="","",T(原始经营数据!$K1826))</f>
        <v/>
      </c>
      <c r="H1825" t="str">
        <f>IF(原始经营数据!$D1826="","",原始经营数据!$G1826)</f>
        <v>服务效率</v>
      </c>
      <c r="I1825" t="str">
        <f>IF($A1825="","",IF($B1825&lt;&gt;"",$B1825,IF(COUNTIFS(原始经营数据!$D$3:$D$3001,$A1825,原始经营数据!$E$3:$E$3001,"",原始经营数据!$F$3:$F$3001,$C1825,原始经营数据!$H$3:$H$3001,$D1825,原始经营数据!$K$3:$K$3001,$G1825)&gt;1,"基金整体·来源"&amp;原始经营数据!$A1826,"基金整体")))</f>
        <v>深圳太子广场项目</v>
      </c>
      <c r="J1825" t="str">
        <f t="shared" si="423"/>
        <v>年度</v>
      </c>
      <c r="K1825" t="str">
        <f t="shared" si="424"/>
        <v>期末出租率（%）</v>
      </c>
      <c r="L1825" t="str">
        <f t="shared" si="425"/>
        <v>深圳太子广场项目|期末出租率（%）|年度</v>
      </c>
      <c r="M1825">
        <f>IF($A1825="",0,IF(COUNTIF($L$2:$L1825,$L1825)=1,1,0))</f>
        <v>0</v>
      </c>
      <c r="N1825">
        <f t="shared" si="426"/>
        <v>20240</v>
      </c>
      <c r="O1825" t="str">
        <f t="shared" si="427"/>
        <v>招商资管招商蛇口封闭式商业不动产证券投资基金|2024|年度</v>
      </c>
      <c r="P1825">
        <f>IF($A1825="",0,IF(COUNTIF($O$2:$O1825,$O1825)=1,1,0))</f>
        <v>0</v>
      </c>
      <c r="Q1825" t="str">
        <f>IF(AND($P1825=1,$A1825=经营数据!$B$3,$J1825=经营数据!$BA$5),COUNTIFS($P$2:$P$3000,1,$A$2:$A$3000,$A1825,$J$2:$J$3000,$J1825,$N$2:$N$3000,"&lt;"&amp;$N1825)+1,"")</f>
        <v/>
      </c>
      <c r="R1825" t="str">
        <f t="shared" si="428"/>
        <v>招商资管招商蛇口封闭式商业不动产证券投资基金|深圳太子广场项目</v>
      </c>
      <c r="S1825">
        <f>IF($A1825="",0,IF(COUNTIF($R$2:$R1825,$R1825)=1,1,0))</f>
        <v>0</v>
      </c>
      <c r="T1825">
        <f t="shared" si="429"/>
        <v>1821</v>
      </c>
      <c r="U1825" t="str">
        <f>IF($A1825="","",IF($A1825=经营数据!$B$3,COUNTIFS($S$2:$S$3000,1,$A$2:$A$3000,$A1825,$T$2:$T$3000,"&lt;"&amp;$T1825)+1,""))</f>
        <v/>
      </c>
      <c r="V1825" t="str">
        <f t="shared" si="430"/>
        <v>深圳太子广场项目|服务效率</v>
      </c>
      <c r="W1825">
        <f t="shared" si="431"/>
        <v>1821</v>
      </c>
      <c r="X1825" t="str">
        <f t="shared" si="432"/>
        <v>深圳太子广场项目|期末出租率</v>
      </c>
      <c r="Y1825">
        <f t="shared" si="433"/>
        <v>1821</v>
      </c>
      <c r="Z1825">
        <f>IF($A1825="",0,IF(AND($M1825=1,$A1825=经营数据!$B$3,$J1825=经营数据!$BA$5,OR($I1825=经营数据!$BA$4,COUNTIF(经营数据!$AA$9:$AA$38,$I1825)&gt;0)),1,0))</f>
        <v>0</v>
      </c>
      <c r="AA1825" t="str">
        <f t="shared" si="434"/>
        <v/>
      </c>
      <c r="AB1825" t="str">
        <f t="shared" si="435"/>
        <v/>
      </c>
      <c r="AC1825">
        <f>IF($A1825="",0,IF(COUNTIF($A$2:$A1825,$A1825)=1,1,0))</f>
        <v>0</v>
      </c>
      <c r="AD1825">
        <f t="shared" si="436"/>
        <v>23</v>
      </c>
      <c r="AE1825" t="str">
        <f t="shared" si="437"/>
        <v>深圳太子广场项目|期末出租率（%）</v>
      </c>
    </row>
    <row r="1826" spans="1:31" x14ac:dyDescent="0.4">
      <c r="A1826" t="str">
        <f>IF(原始经营数据!$D1827="","",原始经营数据!$D1827)</f>
        <v>招商资管招商蛇口封闭式商业不动产证券投资基金</v>
      </c>
      <c r="B1826" t="str">
        <f>IF(原始经营数据!$D1827="","",T(原始经营数据!$E1827))</f>
        <v>深圳太子广场项目</v>
      </c>
      <c r="C1826" t="str">
        <f>IF(原始经营数据!$D1827="","",原始经营数据!$F1827)</f>
        <v>2025</v>
      </c>
      <c r="D1826" t="str">
        <f>IF(原始经营数据!$D1827="","",原始经营数据!$H1827)</f>
        <v>加权平均出租率</v>
      </c>
      <c r="E1826">
        <f>IF(原始经营数据!$D1827="","",原始经营数据!$I1827)</f>
        <v>74.59</v>
      </c>
      <c r="F1826" t="str">
        <f>IF(原始经营数据!$D1827="","",T(原始经营数据!$J1827))</f>
        <v>%</v>
      </c>
      <c r="G1826" t="str">
        <f>IF(原始经营数据!$D1827="","",T(原始经营数据!$K1827))</f>
        <v/>
      </c>
      <c r="H1826" t="str">
        <f>IF(原始经营数据!$D1827="","",原始经营数据!$G1827)</f>
        <v>服务效率</v>
      </c>
      <c r="I1826" t="str">
        <f>IF($A1826="","",IF($B1826&lt;&gt;"",$B1826,IF(COUNTIFS(原始经营数据!$D$3:$D$3001,$A1826,原始经营数据!$E$3:$E$3001,"",原始经营数据!$F$3:$F$3001,$C1826,原始经营数据!$H$3:$H$3001,$D1826,原始经营数据!$K$3:$K$3001,$G1826)&gt;1,"基金整体·来源"&amp;原始经营数据!$A1827,"基金整体")))</f>
        <v>深圳太子广场项目</v>
      </c>
      <c r="J1826" t="str">
        <f t="shared" si="423"/>
        <v>年度</v>
      </c>
      <c r="K1826" t="str">
        <f t="shared" si="424"/>
        <v>加权平均出租率（%）</v>
      </c>
      <c r="L1826" t="str">
        <f t="shared" si="425"/>
        <v>深圳太子广场项目|加权平均出租率（%）|年度</v>
      </c>
      <c r="M1826">
        <f>IF($A1826="",0,IF(COUNTIF($L$2:$L1826,$L1826)=1,1,0))</f>
        <v>0</v>
      </c>
      <c r="N1826">
        <f t="shared" si="426"/>
        <v>20250</v>
      </c>
      <c r="O1826" t="str">
        <f t="shared" si="427"/>
        <v>招商资管招商蛇口封闭式商业不动产证券投资基金|2025|年度</v>
      </c>
      <c r="P1826">
        <f>IF($A1826="",0,IF(COUNTIF($O$2:$O1826,$O1826)=1,1,0))</f>
        <v>0</v>
      </c>
      <c r="Q1826" t="str">
        <f>IF(AND($P1826=1,$A1826=经营数据!$B$3,$J1826=经营数据!$BA$5),COUNTIFS($P$2:$P$3000,1,$A$2:$A$3000,$A1826,$J$2:$J$3000,$J1826,$N$2:$N$3000,"&lt;"&amp;$N1826)+1,"")</f>
        <v/>
      </c>
      <c r="R1826" t="str">
        <f t="shared" si="428"/>
        <v>招商资管招商蛇口封闭式商业不动产证券投资基金|深圳太子广场项目</v>
      </c>
      <c r="S1826">
        <f>IF($A1826="",0,IF(COUNTIF($R$2:$R1826,$R1826)=1,1,0))</f>
        <v>0</v>
      </c>
      <c r="T1826">
        <f t="shared" si="429"/>
        <v>1821</v>
      </c>
      <c r="U1826" t="str">
        <f>IF($A1826="","",IF($A1826=经营数据!$B$3,COUNTIFS($S$2:$S$3000,1,$A$2:$A$3000,$A1826,$T$2:$T$3000,"&lt;"&amp;$T1826)+1,""))</f>
        <v/>
      </c>
      <c r="V1826" t="str">
        <f t="shared" si="430"/>
        <v>深圳太子广场项目|服务效率</v>
      </c>
      <c r="W1826">
        <f t="shared" si="431"/>
        <v>1821</v>
      </c>
      <c r="X1826" t="str">
        <f t="shared" si="432"/>
        <v>深圳太子广场项目|加权平均出租率</v>
      </c>
      <c r="Y1826">
        <f t="shared" si="433"/>
        <v>1822</v>
      </c>
      <c r="Z1826">
        <f>IF($A1826="",0,IF(AND($M1826=1,$A1826=经营数据!$B$3,$J1826=经营数据!$BA$5,OR($I1826=经营数据!$BA$4,COUNTIF(经营数据!$AA$9:$AA$38,$I1826)&gt;0)),1,0))</f>
        <v>0</v>
      </c>
      <c r="AA1826" t="str">
        <f t="shared" si="434"/>
        <v/>
      </c>
      <c r="AB1826" t="str">
        <f t="shared" si="435"/>
        <v/>
      </c>
      <c r="AC1826">
        <f>IF($A1826="",0,IF(COUNTIF($A$2:$A1826,$A1826)=1,1,0))</f>
        <v>0</v>
      </c>
      <c r="AD1826">
        <f t="shared" si="436"/>
        <v>23</v>
      </c>
      <c r="AE1826" t="str">
        <f t="shared" si="437"/>
        <v>深圳太子广场项目|加权平均出租率（%）</v>
      </c>
    </row>
    <row r="1827" spans="1:31" x14ac:dyDescent="0.4">
      <c r="A1827" t="str">
        <f>IF(原始经营数据!$D1828="","",原始经营数据!$D1828)</f>
        <v>招商资管招商蛇口封闭式商业不动产证券投资基金</v>
      </c>
      <c r="B1827" t="str">
        <f>IF(原始经营数据!$D1828="","",T(原始经营数据!$E1828))</f>
        <v>深圳太子广场项目</v>
      </c>
      <c r="C1827" t="str">
        <f>IF(原始经营数据!$D1828="","",原始经营数据!$F1828)</f>
        <v>2025</v>
      </c>
      <c r="D1827" t="str">
        <f>IF(原始经营数据!$D1828="","",原始经营数据!$H1828)</f>
        <v>期末出租率</v>
      </c>
      <c r="E1827">
        <f>IF(原始经营数据!$D1828="","",原始经营数据!$I1828)</f>
        <v>79.42</v>
      </c>
      <c r="F1827" t="str">
        <f>IF(原始经营数据!$D1828="","",T(原始经营数据!$J1828))</f>
        <v>%</v>
      </c>
      <c r="G1827" t="str">
        <f>IF(原始经营数据!$D1828="","",T(原始经营数据!$K1828))</f>
        <v/>
      </c>
      <c r="H1827" t="str">
        <f>IF(原始经营数据!$D1828="","",原始经营数据!$G1828)</f>
        <v>服务效率</v>
      </c>
      <c r="I1827" t="str">
        <f>IF($A1827="","",IF($B1827&lt;&gt;"",$B1827,IF(COUNTIFS(原始经营数据!$D$3:$D$3001,$A1827,原始经营数据!$E$3:$E$3001,"",原始经营数据!$F$3:$F$3001,$C1827,原始经营数据!$H$3:$H$3001,$D1827,原始经营数据!$K$3:$K$3001,$G1827)&gt;1,"基金整体·来源"&amp;原始经营数据!$A1828,"基金整体")))</f>
        <v>深圳太子广场项目</v>
      </c>
      <c r="J1827" t="str">
        <f t="shared" si="423"/>
        <v>年度</v>
      </c>
      <c r="K1827" t="str">
        <f t="shared" si="424"/>
        <v>期末出租率（%）</v>
      </c>
      <c r="L1827" t="str">
        <f t="shared" si="425"/>
        <v>深圳太子广场项目|期末出租率（%）|年度</v>
      </c>
      <c r="M1827">
        <f>IF($A1827="",0,IF(COUNTIF($L$2:$L1827,$L1827)=1,1,0))</f>
        <v>0</v>
      </c>
      <c r="N1827">
        <f t="shared" si="426"/>
        <v>20250</v>
      </c>
      <c r="O1827" t="str">
        <f t="shared" si="427"/>
        <v>招商资管招商蛇口封闭式商业不动产证券投资基金|2025|年度</v>
      </c>
      <c r="P1827">
        <f>IF($A1827="",0,IF(COUNTIF($O$2:$O1827,$O1827)=1,1,0))</f>
        <v>0</v>
      </c>
      <c r="Q1827" t="str">
        <f>IF(AND($P1827=1,$A1827=经营数据!$B$3,$J1827=经营数据!$BA$5),COUNTIFS($P$2:$P$3000,1,$A$2:$A$3000,$A1827,$J$2:$J$3000,$J1827,$N$2:$N$3000,"&lt;"&amp;$N1827)+1,"")</f>
        <v/>
      </c>
      <c r="R1827" t="str">
        <f t="shared" si="428"/>
        <v>招商资管招商蛇口封闭式商业不动产证券投资基金|深圳太子广场项目</v>
      </c>
      <c r="S1827">
        <f>IF($A1827="",0,IF(COUNTIF($R$2:$R1827,$R1827)=1,1,0))</f>
        <v>0</v>
      </c>
      <c r="T1827">
        <f t="shared" si="429"/>
        <v>1821</v>
      </c>
      <c r="U1827" t="str">
        <f>IF($A1827="","",IF($A1827=经营数据!$B$3,COUNTIFS($S$2:$S$3000,1,$A$2:$A$3000,$A1827,$T$2:$T$3000,"&lt;"&amp;$T1827)+1,""))</f>
        <v/>
      </c>
      <c r="V1827" t="str">
        <f t="shared" si="430"/>
        <v>深圳太子广场项目|服务效率</v>
      </c>
      <c r="W1827">
        <f t="shared" si="431"/>
        <v>1821</v>
      </c>
      <c r="X1827" t="str">
        <f t="shared" si="432"/>
        <v>深圳太子广场项目|期末出租率</v>
      </c>
      <c r="Y1827">
        <f t="shared" si="433"/>
        <v>1821</v>
      </c>
      <c r="Z1827">
        <f>IF($A1827="",0,IF(AND($M1827=1,$A1827=经营数据!$B$3,$J1827=经营数据!$BA$5,OR($I1827=经营数据!$BA$4,COUNTIF(经营数据!$AA$9:$AA$38,$I1827)&gt;0)),1,0))</f>
        <v>0</v>
      </c>
      <c r="AA1827" t="str">
        <f t="shared" si="434"/>
        <v/>
      </c>
      <c r="AB1827" t="str">
        <f t="shared" si="435"/>
        <v/>
      </c>
      <c r="AC1827">
        <f>IF($A1827="",0,IF(COUNTIF($A$2:$A1827,$A1827)=1,1,0))</f>
        <v>0</v>
      </c>
      <c r="AD1827">
        <f t="shared" si="436"/>
        <v>23</v>
      </c>
      <c r="AE1827" t="str">
        <f t="shared" si="437"/>
        <v>深圳太子广场项目|期末出租率（%）</v>
      </c>
    </row>
    <row r="1828" spans="1:31" x14ac:dyDescent="0.4">
      <c r="A1828" t="str">
        <f>IF(原始经营数据!$D1829="","",原始经营数据!$D1829)</f>
        <v>招商资管招商蛇口封闭式商业不动产证券投资基金</v>
      </c>
      <c r="B1828" t="str">
        <f>IF(原始经营数据!$D1829="","",T(原始经营数据!$E1829))</f>
        <v>深圳太子广场项目</v>
      </c>
      <c r="C1828" t="str">
        <f>IF(原始经营数据!$D1829="","",原始经营数据!$F1829)</f>
        <v>2026Q1</v>
      </c>
      <c r="D1828" t="str">
        <f>IF(原始经营数据!$D1829="","",原始经营数据!$H1829)</f>
        <v>期末出租率</v>
      </c>
      <c r="E1828">
        <f>IF(原始经营数据!$D1829="","",原始经营数据!$I1829)</f>
        <v>84.59</v>
      </c>
      <c r="F1828" t="str">
        <f>IF(原始经营数据!$D1829="","",T(原始经营数据!$J1829))</f>
        <v>%</v>
      </c>
      <c r="G1828" t="str">
        <f>IF(原始经营数据!$D1829="","",T(原始经营数据!$K1829))</f>
        <v/>
      </c>
      <c r="H1828" t="str">
        <f>IF(原始经营数据!$D1829="","",原始经营数据!$G1829)</f>
        <v>服务效率</v>
      </c>
      <c r="I1828" t="str">
        <f>IF($A1828="","",IF($B1828&lt;&gt;"",$B1828,IF(COUNTIFS(原始经营数据!$D$3:$D$3001,$A1828,原始经营数据!$E$3:$E$3001,"",原始经营数据!$F$3:$F$3001,$C1828,原始经营数据!$H$3:$H$3001,$D1828,原始经营数据!$K$3:$K$3001,$G1828)&gt;1,"基金整体·来源"&amp;原始经营数据!$A1829,"基金整体")))</f>
        <v>深圳太子广场项目</v>
      </c>
      <c r="J1828" t="str">
        <f t="shared" si="423"/>
        <v>季度</v>
      </c>
      <c r="K1828" t="str">
        <f t="shared" si="424"/>
        <v>期末出租率（%）</v>
      </c>
      <c r="L1828" t="str">
        <f t="shared" si="425"/>
        <v>深圳太子广场项目|期末出租率（%）|季度</v>
      </c>
      <c r="M1828">
        <f>IF($A1828="",0,IF(COUNTIF($L$2:$L1828,$L1828)=1,1,0))</f>
        <v>1</v>
      </c>
      <c r="N1828">
        <f t="shared" si="426"/>
        <v>20261</v>
      </c>
      <c r="O1828" t="str">
        <f t="shared" si="427"/>
        <v>招商资管招商蛇口封闭式商业不动产证券投资基金|2026Q1|季度</v>
      </c>
      <c r="P1828">
        <f>IF($A1828="",0,IF(COUNTIF($O$2:$O1828,$O1828)=1,1,0))</f>
        <v>0</v>
      </c>
      <c r="Q1828" t="str">
        <f>IF(AND($P1828=1,$A1828=经营数据!$B$3,$J1828=经营数据!$BA$5),COUNTIFS($P$2:$P$3000,1,$A$2:$A$3000,$A1828,$J$2:$J$3000,$J1828,$N$2:$N$3000,"&lt;"&amp;$N1828)+1,"")</f>
        <v/>
      </c>
      <c r="R1828" t="str">
        <f t="shared" si="428"/>
        <v>招商资管招商蛇口封闭式商业不动产证券投资基金|深圳太子广场项目</v>
      </c>
      <c r="S1828">
        <f>IF($A1828="",0,IF(COUNTIF($R$2:$R1828,$R1828)=1,1,0))</f>
        <v>0</v>
      </c>
      <c r="T1828">
        <f t="shared" si="429"/>
        <v>1821</v>
      </c>
      <c r="U1828" t="str">
        <f>IF($A1828="","",IF($A1828=经营数据!$B$3,COUNTIFS($S$2:$S$3000,1,$A$2:$A$3000,$A1828,$T$2:$T$3000,"&lt;"&amp;$T1828)+1,""))</f>
        <v/>
      </c>
      <c r="V1828" t="str">
        <f t="shared" si="430"/>
        <v>深圳太子广场项目|服务效率</v>
      </c>
      <c r="W1828">
        <f t="shared" si="431"/>
        <v>1821</v>
      </c>
      <c r="X1828" t="str">
        <f t="shared" si="432"/>
        <v>深圳太子广场项目|期末出租率</v>
      </c>
      <c r="Y1828">
        <f t="shared" si="433"/>
        <v>1821</v>
      </c>
      <c r="Z1828">
        <f>IF($A1828="",0,IF(AND($M1828=1,$A1828=经营数据!$B$3,$J1828=经营数据!$BA$5,OR($I1828=经营数据!$BA$4,COUNTIF(经营数据!$AA$9:$AA$38,$I1828)&gt;0)),1,0))</f>
        <v>0</v>
      </c>
      <c r="AA1828" t="str">
        <f t="shared" si="434"/>
        <v/>
      </c>
      <c r="AB1828" t="str">
        <f t="shared" si="435"/>
        <v/>
      </c>
      <c r="AC1828">
        <f>IF($A1828="",0,IF(COUNTIF($A$2:$A1828,$A1828)=1,1,0))</f>
        <v>0</v>
      </c>
      <c r="AD1828">
        <f t="shared" si="436"/>
        <v>23</v>
      </c>
      <c r="AE1828" t="str">
        <f t="shared" si="437"/>
        <v>深圳太子广场项目|期末出租率（%）</v>
      </c>
    </row>
    <row r="1829" spans="1:31" x14ac:dyDescent="0.4">
      <c r="A1829" t="str">
        <f>IF(原始经营数据!$D1830="","",原始经营数据!$D1830)</f>
        <v>招商资管招商蛇口封闭式商业不动产证券投资基金</v>
      </c>
      <c r="B1829" t="str">
        <f>IF(原始经营数据!$D1830="","",T(原始经营数据!$E1830))</f>
        <v>深圳太子广场项目</v>
      </c>
      <c r="C1829" t="str">
        <f>IF(原始经营数据!$D1830="","",原始经营数据!$F1830)</f>
        <v>2026Q1</v>
      </c>
      <c r="D1829" t="str">
        <f>IF(原始经营数据!$D1830="","",原始经营数据!$H1830)</f>
        <v>加权平均出租率</v>
      </c>
      <c r="E1829">
        <f>IF(原始经营数据!$D1830="","",原始经营数据!$I1830)</f>
        <v>83.54</v>
      </c>
      <c r="F1829" t="str">
        <f>IF(原始经营数据!$D1830="","",T(原始经营数据!$J1830))</f>
        <v>%</v>
      </c>
      <c r="G1829" t="str">
        <f>IF(原始经营数据!$D1830="","",T(原始经营数据!$K1830))</f>
        <v/>
      </c>
      <c r="H1829" t="str">
        <f>IF(原始经营数据!$D1830="","",原始经营数据!$G1830)</f>
        <v>服务效率</v>
      </c>
      <c r="I1829" t="str">
        <f>IF($A1829="","",IF($B1829&lt;&gt;"",$B1829,IF(COUNTIFS(原始经营数据!$D$3:$D$3001,$A1829,原始经营数据!$E$3:$E$3001,"",原始经营数据!$F$3:$F$3001,$C1829,原始经营数据!$H$3:$H$3001,$D1829,原始经营数据!$K$3:$K$3001,$G1829)&gt;1,"基金整体·来源"&amp;原始经营数据!$A1830,"基金整体")))</f>
        <v>深圳太子广场项目</v>
      </c>
      <c r="J1829" t="str">
        <f t="shared" si="423"/>
        <v>季度</v>
      </c>
      <c r="K1829" t="str">
        <f t="shared" si="424"/>
        <v>加权平均出租率（%）</v>
      </c>
      <c r="L1829" t="str">
        <f t="shared" si="425"/>
        <v>深圳太子广场项目|加权平均出租率（%）|季度</v>
      </c>
      <c r="M1829">
        <f>IF($A1829="",0,IF(COUNTIF($L$2:$L1829,$L1829)=1,1,0))</f>
        <v>1</v>
      </c>
      <c r="N1829">
        <f t="shared" si="426"/>
        <v>20261</v>
      </c>
      <c r="O1829" t="str">
        <f t="shared" si="427"/>
        <v>招商资管招商蛇口封闭式商业不动产证券投资基金|2026Q1|季度</v>
      </c>
      <c r="P1829">
        <f>IF($A1829="",0,IF(COUNTIF($O$2:$O1829,$O1829)=1,1,0))</f>
        <v>0</v>
      </c>
      <c r="Q1829" t="str">
        <f>IF(AND($P1829=1,$A1829=经营数据!$B$3,$J1829=经营数据!$BA$5),COUNTIFS($P$2:$P$3000,1,$A$2:$A$3000,$A1829,$J$2:$J$3000,$J1829,$N$2:$N$3000,"&lt;"&amp;$N1829)+1,"")</f>
        <v/>
      </c>
      <c r="R1829" t="str">
        <f t="shared" si="428"/>
        <v>招商资管招商蛇口封闭式商业不动产证券投资基金|深圳太子广场项目</v>
      </c>
      <c r="S1829">
        <f>IF($A1829="",0,IF(COUNTIF($R$2:$R1829,$R1829)=1,1,0))</f>
        <v>0</v>
      </c>
      <c r="T1829">
        <f t="shared" si="429"/>
        <v>1821</v>
      </c>
      <c r="U1829" t="str">
        <f>IF($A1829="","",IF($A1829=经营数据!$B$3,COUNTIFS($S$2:$S$3000,1,$A$2:$A$3000,$A1829,$T$2:$T$3000,"&lt;"&amp;$T1829)+1,""))</f>
        <v/>
      </c>
      <c r="V1829" t="str">
        <f t="shared" si="430"/>
        <v>深圳太子广场项目|服务效率</v>
      </c>
      <c r="W1829">
        <f t="shared" si="431"/>
        <v>1821</v>
      </c>
      <c r="X1829" t="str">
        <f t="shared" si="432"/>
        <v>深圳太子广场项目|加权平均出租率</v>
      </c>
      <c r="Y1829">
        <f t="shared" si="433"/>
        <v>1822</v>
      </c>
      <c r="Z1829">
        <f>IF($A1829="",0,IF(AND($M1829=1,$A1829=经营数据!$B$3,$J1829=经营数据!$BA$5,OR($I1829=经营数据!$BA$4,COUNTIF(经营数据!$AA$9:$AA$38,$I1829)&gt;0)),1,0))</f>
        <v>0</v>
      </c>
      <c r="AA1829" t="str">
        <f t="shared" si="434"/>
        <v/>
      </c>
      <c r="AB1829" t="str">
        <f t="shared" si="435"/>
        <v/>
      </c>
      <c r="AC1829">
        <f>IF($A1829="",0,IF(COUNTIF($A$2:$A1829,$A1829)=1,1,0))</f>
        <v>0</v>
      </c>
      <c r="AD1829">
        <f t="shared" si="436"/>
        <v>23</v>
      </c>
      <c r="AE1829" t="str">
        <f t="shared" si="437"/>
        <v>深圳太子广场项目|加权平均出租率（%）</v>
      </c>
    </row>
    <row r="1830" spans="1:31" x14ac:dyDescent="0.4">
      <c r="A1830" t="str">
        <f>IF(原始经营数据!$D1831="","",原始经营数据!$D1831)</f>
        <v>光大保德信光大安石封闭式商业不动产证券投资基金</v>
      </c>
      <c r="B1830" t="str">
        <f>IF(原始经营数据!$D1831="","",T(原始经营数据!$E1831))</f>
        <v>江门大融城</v>
      </c>
      <c r="C1830" t="str">
        <f>IF(原始经营数据!$D1831="","",原始经营数据!$F1831)</f>
        <v>2023</v>
      </c>
      <c r="D1830" t="str">
        <f>IF(原始经营数据!$D1831="","",原始经营数据!$H1831)</f>
        <v>租金收入</v>
      </c>
      <c r="E1830">
        <f>IF(原始经营数据!$D1831="","",原始经营数据!$I1831)</f>
        <v>8848.36</v>
      </c>
      <c r="F1830" t="str">
        <f>IF(原始经营数据!$D1831="","",T(原始经营数据!$J1831))</f>
        <v>万元</v>
      </c>
      <c r="G1830" t="str">
        <f>IF(原始经营数据!$D1831="","",T(原始经营数据!$K1831))</f>
        <v/>
      </c>
      <c r="H1830" t="str">
        <f>IF(原始经营数据!$D1831="","",原始经营数据!$G1831)</f>
        <v>服务金额</v>
      </c>
      <c r="I1830" t="str">
        <f>IF($A1830="","",IF($B1830&lt;&gt;"",$B1830,IF(COUNTIFS(原始经营数据!$D$3:$D$3001,$A1830,原始经营数据!$E$3:$E$3001,"",原始经营数据!$F$3:$F$3001,$C1830,原始经营数据!$H$3:$H$3001,$D1830,原始经营数据!$K$3:$K$3001,$G1830)&gt;1,"基金整体·来源"&amp;原始经营数据!$A1831,"基金整体")))</f>
        <v>江门大融城</v>
      </c>
      <c r="J1830" t="str">
        <f t="shared" si="423"/>
        <v>年度</v>
      </c>
      <c r="K1830" t="str">
        <f t="shared" si="424"/>
        <v>租金收入（万元）</v>
      </c>
      <c r="L1830" t="str">
        <f t="shared" si="425"/>
        <v>江门大融城|租金收入（万元）|年度</v>
      </c>
      <c r="M1830">
        <f>IF($A1830="",0,IF(COUNTIF($L$2:$L1830,$L1830)=1,1,0))</f>
        <v>1</v>
      </c>
      <c r="N1830">
        <f t="shared" si="426"/>
        <v>20230</v>
      </c>
      <c r="O1830" t="str">
        <f t="shared" si="427"/>
        <v>光大保德信光大安石封闭式商业不动产证券投资基金|2023|年度</v>
      </c>
      <c r="P1830">
        <f>IF($A1830="",0,IF(COUNTIF($O$2:$O1830,$O1830)=1,1,0))</f>
        <v>1</v>
      </c>
      <c r="Q1830" t="str">
        <f>IF(AND($P1830=1,$A1830=经营数据!$B$3,$J1830=经营数据!$BA$5),COUNTIFS($P$2:$P$3000,1,$A$2:$A$3000,$A1830,$J$2:$J$3000,$J1830,$N$2:$N$3000,"&lt;"&amp;$N1830)+1,"")</f>
        <v/>
      </c>
      <c r="R1830" t="str">
        <f t="shared" si="428"/>
        <v>光大保德信光大安石封闭式商业不动产证券投资基金|江门大融城</v>
      </c>
      <c r="S1830">
        <f>IF($A1830="",0,IF(COUNTIF($R$2:$R1830,$R1830)=1,1,0))</f>
        <v>1</v>
      </c>
      <c r="T1830">
        <f t="shared" si="429"/>
        <v>1829</v>
      </c>
      <c r="U1830" t="str">
        <f>IF($A1830="","",IF($A1830=经营数据!$B$3,COUNTIFS($S$2:$S$3000,1,$A$2:$A$3000,$A1830,$T$2:$T$3000,"&lt;"&amp;$T1830)+1,""))</f>
        <v/>
      </c>
      <c r="V1830" t="str">
        <f t="shared" si="430"/>
        <v>江门大融城|服务金额</v>
      </c>
      <c r="W1830">
        <f t="shared" si="431"/>
        <v>1829</v>
      </c>
      <c r="X1830" t="str">
        <f t="shared" si="432"/>
        <v>江门大融城|租金收入</v>
      </c>
      <c r="Y1830">
        <f t="shared" si="433"/>
        <v>1829</v>
      </c>
      <c r="Z1830">
        <f>IF($A1830="",0,IF(AND($M1830=1,$A1830=经营数据!$B$3,$J1830=经营数据!$BA$5,OR($I1830=经营数据!$BA$4,COUNTIF(经营数据!$AA$9:$AA$38,$I1830)&gt;0)),1,0))</f>
        <v>0</v>
      </c>
      <c r="AA1830" t="str">
        <f t="shared" si="434"/>
        <v/>
      </c>
      <c r="AB1830" t="str">
        <f t="shared" si="435"/>
        <v/>
      </c>
      <c r="AC1830">
        <f>IF($A1830="",0,IF(COUNTIF($A$2:$A1830,$A1830)=1,1,0))</f>
        <v>1</v>
      </c>
      <c r="AD1830">
        <f t="shared" si="436"/>
        <v>24</v>
      </c>
      <c r="AE1830" t="str">
        <f t="shared" si="437"/>
        <v>江门大融城|租金收入（万元）</v>
      </c>
    </row>
    <row r="1831" spans="1:31" x14ac:dyDescent="0.4">
      <c r="A1831" t="str">
        <f>IF(原始经营数据!$D1832="","",原始经营数据!$D1832)</f>
        <v>光大保德信光大安石封闭式商业不动产证券投资基金</v>
      </c>
      <c r="B1831" t="str">
        <f>IF(原始经营数据!$D1832="","",T(原始经营数据!$E1832))</f>
        <v>江门大融城</v>
      </c>
      <c r="C1831" t="str">
        <f>IF(原始经营数据!$D1832="","",原始经营数据!$F1832)</f>
        <v>2023</v>
      </c>
      <c r="D1831" t="str">
        <f>IF(原始经营数据!$D1832="","",原始经营数据!$H1832)</f>
        <v>出租率</v>
      </c>
      <c r="E1831">
        <f>IF(原始经营数据!$D1832="","",原始经营数据!$I1832)</f>
        <v>95.04</v>
      </c>
      <c r="F1831" t="str">
        <f>IF(原始经营数据!$D1832="","",T(原始经营数据!$J1832))</f>
        <v>%</v>
      </c>
      <c r="G1831" t="str">
        <f>IF(原始经营数据!$D1832="","",T(原始经营数据!$K1832))</f>
        <v/>
      </c>
      <c r="H1831" t="str">
        <f>IF(原始经营数据!$D1832="","",原始经营数据!$G1832)</f>
        <v>服务效率</v>
      </c>
      <c r="I1831" t="str">
        <f>IF($A1831="","",IF($B1831&lt;&gt;"",$B1831,IF(COUNTIFS(原始经营数据!$D$3:$D$3001,$A1831,原始经营数据!$E$3:$E$3001,"",原始经营数据!$F$3:$F$3001,$C1831,原始经营数据!$H$3:$H$3001,$D1831,原始经营数据!$K$3:$K$3001,$G1831)&gt;1,"基金整体·来源"&amp;原始经营数据!$A1832,"基金整体")))</f>
        <v>江门大融城</v>
      </c>
      <c r="J1831" t="str">
        <f t="shared" si="423"/>
        <v>年度</v>
      </c>
      <c r="K1831" t="str">
        <f t="shared" si="424"/>
        <v>出租率（%）</v>
      </c>
      <c r="L1831" t="str">
        <f t="shared" si="425"/>
        <v>江门大融城|出租率（%）|年度</v>
      </c>
      <c r="M1831">
        <f>IF($A1831="",0,IF(COUNTIF($L$2:$L1831,$L1831)=1,1,0))</f>
        <v>1</v>
      </c>
      <c r="N1831">
        <f t="shared" si="426"/>
        <v>20230</v>
      </c>
      <c r="O1831" t="str">
        <f t="shared" si="427"/>
        <v>光大保德信光大安石封闭式商业不动产证券投资基金|2023|年度</v>
      </c>
      <c r="P1831">
        <f>IF($A1831="",0,IF(COUNTIF($O$2:$O1831,$O1831)=1,1,0))</f>
        <v>0</v>
      </c>
      <c r="Q1831" t="str">
        <f>IF(AND($P1831=1,$A1831=经营数据!$B$3,$J1831=经营数据!$BA$5),COUNTIFS($P$2:$P$3000,1,$A$2:$A$3000,$A1831,$J$2:$J$3000,$J1831,$N$2:$N$3000,"&lt;"&amp;$N1831)+1,"")</f>
        <v/>
      </c>
      <c r="R1831" t="str">
        <f t="shared" si="428"/>
        <v>光大保德信光大安石封闭式商业不动产证券投资基金|江门大融城</v>
      </c>
      <c r="S1831">
        <f>IF($A1831="",0,IF(COUNTIF($R$2:$R1831,$R1831)=1,1,0))</f>
        <v>0</v>
      </c>
      <c r="T1831">
        <f t="shared" si="429"/>
        <v>1829</v>
      </c>
      <c r="U1831" t="str">
        <f>IF($A1831="","",IF($A1831=经营数据!$B$3,COUNTIFS($S$2:$S$3000,1,$A$2:$A$3000,$A1831,$T$2:$T$3000,"&lt;"&amp;$T1831)+1,""))</f>
        <v/>
      </c>
      <c r="V1831" t="str">
        <f t="shared" si="430"/>
        <v>江门大融城|服务效率</v>
      </c>
      <c r="W1831">
        <f t="shared" si="431"/>
        <v>1830</v>
      </c>
      <c r="X1831" t="str">
        <f t="shared" si="432"/>
        <v>江门大融城|出租率</v>
      </c>
      <c r="Y1831">
        <f t="shared" si="433"/>
        <v>1830</v>
      </c>
      <c r="Z1831">
        <f>IF($A1831="",0,IF(AND($M1831=1,$A1831=经营数据!$B$3,$J1831=经营数据!$BA$5,OR($I1831=经营数据!$BA$4,COUNTIF(经营数据!$AA$9:$AA$38,$I1831)&gt;0)),1,0))</f>
        <v>0</v>
      </c>
      <c r="AA1831" t="str">
        <f t="shared" si="434"/>
        <v/>
      </c>
      <c r="AB1831" t="str">
        <f t="shared" si="435"/>
        <v/>
      </c>
      <c r="AC1831">
        <f>IF($A1831="",0,IF(COUNTIF($A$2:$A1831,$A1831)=1,1,0))</f>
        <v>0</v>
      </c>
      <c r="AD1831">
        <f t="shared" si="436"/>
        <v>24</v>
      </c>
      <c r="AE1831" t="str">
        <f t="shared" si="437"/>
        <v>江门大融城|出租率（%）</v>
      </c>
    </row>
    <row r="1832" spans="1:31" x14ac:dyDescent="0.4">
      <c r="A1832" t="str">
        <f>IF(原始经营数据!$D1833="","",原始经营数据!$D1833)</f>
        <v>光大保德信光大安石封闭式商业不动产证券投资基金</v>
      </c>
      <c r="B1832" t="str">
        <f>IF(原始经营数据!$D1833="","",T(原始经营数据!$E1833))</f>
        <v>江门大融城</v>
      </c>
      <c r="C1832" t="str">
        <f>IF(原始经营数据!$D1833="","",原始经营数据!$F1833)</f>
        <v>2023</v>
      </c>
      <c r="D1832" t="str">
        <f>IF(原始经营数据!$D1833="","",原始经营数据!$H1833)</f>
        <v>可租赁面积</v>
      </c>
      <c r="E1832">
        <f>IF(原始经营数据!$D1833="","",原始经营数据!$I1833)</f>
        <v>52018</v>
      </c>
      <c r="F1832" t="str">
        <f>IF(原始经营数据!$D1833="","",T(原始经营数据!$J1833))</f>
        <v>平方米</v>
      </c>
      <c r="G1832" t="str">
        <f>IF(原始经营数据!$D1833="","",T(原始经营数据!$K1833))</f>
        <v/>
      </c>
      <c r="H1832" t="str">
        <f>IF(原始经营数据!$D1833="","",原始经营数据!$G1833)</f>
        <v>服务量</v>
      </c>
      <c r="I1832" t="str">
        <f>IF($A1832="","",IF($B1832&lt;&gt;"",$B1832,IF(COUNTIFS(原始经营数据!$D$3:$D$3001,$A1832,原始经营数据!$E$3:$E$3001,"",原始经营数据!$F$3:$F$3001,$C1832,原始经营数据!$H$3:$H$3001,$D1832,原始经营数据!$K$3:$K$3001,$G1832)&gt;1,"基金整体·来源"&amp;原始经营数据!$A1833,"基金整体")))</f>
        <v>江门大融城</v>
      </c>
      <c r="J1832" t="str">
        <f t="shared" si="423"/>
        <v>年度</v>
      </c>
      <c r="K1832" t="str">
        <f t="shared" si="424"/>
        <v>可租赁面积（平方米）</v>
      </c>
      <c r="L1832" t="str">
        <f t="shared" si="425"/>
        <v>江门大融城|可租赁面积（平方米）|年度</v>
      </c>
      <c r="M1832">
        <f>IF($A1832="",0,IF(COUNTIF($L$2:$L1832,$L1832)=1,1,0))</f>
        <v>1</v>
      </c>
      <c r="N1832">
        <f t="shared" si="426"/>
        <v>20230</v>
      </c>
      <c r="O1832" t="str">
        <f t="shared" si="427"/>
        <v>光大保德信光大安石封闭式商业不动产证券投资基金|2023|年度</v>
      </c>
      <c r="P1832">
        <f>IF($A1832="",0,IF(COUNTIF($O$2:$O1832,$O1832)=1,1,0))</f>
        <v>0</v>
      </c>
      <c r="Q1832" t="str">
        <f>IF(AND($P1832=1,$A1832=经营数据!$B$3,$J1832=经营数据!$BA$5),COUNTIFS($P$2:$P$3000,1,$A$2:$A$3000,$A1832,$J$2:$J$3000,$J1832,$N$2:$N$3000,"&lt;"&amp;$N1832)+1,"")</f>
        <v/>
      </c>
      <c r="R1832" t="str">
        <f t="shared" si="428"/>
        <v>光大保德信光大安石封闭式商业不动产证券投资基金|江门大融城</v>
      </c>
      <c r="S1832">
        <f>IF($A1832="",0,IF(COUNTIF($R$2:$R1832,$R1832)=1,1,0))</f>
        <v>0</v>
      </c>
      <c r="T1832">
        <f t="shared" si="429"/>
        <v>1829</v>
      </c>
      <c r="U1832" t="str">
        <f>IF($A1832="","",IF($A1832=经营数据!$B$3,COUNTIFS($S$2:$S$3000,1,$A$2:$A$3000,$A1832,$T$2:$T$3000,"&lt;"&amp;$T1832)+1,""))</f>
        <v/>
      </c>
      <c r="V1832" t="str">
        <f t="shared" si="430"/>
        <v>江门大融城|服务量</v>
      </c>
      <c r="W1832">
        <f t="shared" si="431"/>
        <v>1831</v>
      </c>
      <c r="X1832" t="str">
        <f t="shared" si="432"/>
        <v>江门大融城|可租赁面积</v>
      </c>
      <c r="Y1832">
        <f t="shared" si="433"/>
        <v>1831</v>
      </c>
      <c r="Z1832">
        <f>IF($A1832="",0,IF(AND($M1832=1,$A1832=经营数据!$B$3,$J1832=经营数据!$BA$5,OR($I1832=经营数据!$BA$4,COUNTIF(经营数据!$AA$9:$AA$38,$I1832)&gt;0)),1,0))</f>
        <v>0</v>
      </c>
      <c r="AA1832" t="str">
        <f t="shared" si="434"/>
        <v/>
      </c>
      <c r="AB1832" t="str">
        <f t="shared" si="435"/>
        <v/>
      </c>
      <c r="AC1832">
        <f>IF($A1832="",0,IF(COUNTIF($A$2:$A1832,$A1832)=1,1,0))</f>
        <v>0</v>
      </c>
      <c r="AD1832">
        <f t="shared" si="436"/>
        <v>24</v>
      </c>
      <c r="AE1832" t="str">
        <f t="shared" si="437"/>
        <v>江门大融城|可租赁面积（平方米）</v>
      </c>
    </row>
    <row r="1833" spans="1:31" x14ac:dyDescent="0.4">
      <c r="A1833" t="str">
        <f>IF(原始经营数据!$D1834="","",原始经营数据!$D1834)</f>
        <v>光大保德信光大安石封闭式商业不动产证券投资基金</v>
      </c>
      <c r="B1833" t="str">
        <f>IF(原始经营数据!$D1834="","",T(原始经营数据!$E1834))</f>
        <v>江门大融城</v>
      </c>
      <c r="C1833" t="str">
        <f>IF(原始经营数据!$D1834="","",原始经营数据!$F1834)</f>
        <v>2024</v>
      </c>
      <c r="D1833" t="str">
        <f>IF(原始经营数据!$D1834="","",原始经营数据!$H1834)</f>
        <v>出租率</v>
      </c>
      <c r="E1833">
        <f>IF(原始经营数据!$D1834="","",原始经营数据!$I1834)</f>
        <v>93.6</v>
      </c>
      <c r="F1833" t="str">
        <f>IF(原始经营数据!$D1834="","",T(原始经营数据!$J1834))</f>
        <v>%</v>
      </c>
      <c r="G1833" t="str">
        <f>IF(原始经营数据!$D1834="","",T(原始经营数据!$K1834))</f>
        <v/>
      </c>
      <c r="H1833" t="str">
        <f>IF(原始经营数据!$D1834="","",原始经营数据!$G1834)</f>
        <v>服务效率</v>
      </c>
      <c r="I1833" t="str">
        <f>IF($A1833="","",IF($B1833&lt;&gt;"",$B1833,IF(COUNTIFS(原始经营数据!$D$3:$D$3001,$A1833,原始经营数据!$E$3:$E$3001,"",原始经营数据!$F$3:$F$3001,$C1833,原始经营数据!$H$3:$H$3001,$D1833,原始经营数据!$K$3:$K$3001,$G1833)&gt;1,"基金整体·来源"&amp;原始经营数据!$A1834,"基金整体")))</f>
        <v>江门大融城</v>
      </c>
      <c r="J1833" t="str">
        <f t="shared" si="423"/>
        <v>年度</v>
      </c>
      <c r="K1833" t="str">
        <f t="shared" si="424"/>
        <v>出租率（%）</v>
      </c>
      <c r="L1833" t="str">
        <f t="shared" si="425"/>
        <v>江门大融城|出租率（%）|年度</v>
      </c>
      <c r="M1833">
        <f>IF($A1833="",0,IF(COUNTIF($L$2:$L1833,$L1833)=1,1,0))</f>
        <v>0</v>
      </c>
      <c r="N1833">
        <f t="shared" si="426"/>
        <v>20240</v>
      </c>
      <c r="O1833" t="str">
        <f t="shared" si="427"/>
        <v>光大保德信光大安石封闭式商业不动产证券投资基金|2024|年度</v>
      </c>
      <c r="P1833">
        <f>IF($A1833="",0,IF(COUNTIF($O$2:$O1833,$O1833)=1,1,0))</f>
        <v>1</v>
      </c>
      <c r="Q1833" t="str">
        <f>IF(AND($P1833=1,$A1833=经营数据!$B$3,$J1833=经营数据!$BA$5),COUNTIFS($P$2:$P$3000,1,$A$2:$A$3000,$A1833,$J$2:$J$3000,$J1833,$N$2:$N$3000,"&lt;"&amp;$N1833)+1,"")</f>
        <v/>
      </c>
      <c r="R1833" t="str">
        <f t="shared" si="428"/>
        <v>光大保德信光大安石封闭式商业不动产证券投资基金|江门大融城</v>
      </c>
      <c r="S1833">
        <f>IF($A1833="",0,IF(COUNTIF($R$2:$R1833,$R1833)=1,1,0))</f>
        <v>0</v>
      </c>
      <c r="T1833">
        <f t="shared" si="429"/>
        <v>1829</v>
      </c>
      <c r="U1833" t="str">
        <f>IF($A1833="","",IF($A1833=经营数据!$B$3,COUNTIFS($S$2:$S$3000,1,$A$2:$A$3000,$A1833,$T$2:$T$3000,"&lt;"&amp;$T1833)+1,""))</f>
        <v/>
      </c>
      <c r="V1833" t="str">
        <f t="shared" si="430"/>
        <v>江门大融城|服务效率</v>
      </c>
      <c r="W1833">
        <f t="shared" si="431"/>
        <v>1830</v>
      </c>
      <c r="X1833" t="str">
        <f t="shared" si="432"/>
        <v>江门大融城|出租率</v>
      </c>
      <c r="Y1833">
        <f t="shared" si="433"/>
        <v>1830</v>
      </c>
      <c r="Z1833">
        <f>IF($A1833="",0,IF(AND($M1833=1,$A1833=经营数据!$B$3,$J1833=经营数据!$BA$5,OR($I1833=经营数据!$BA$4,COUNTIF(经营数据!$AA$9:$AA$38,$I1833)&gt;0)),1,0))</f>
        <v>0</v>
      </c>
      <c r="AA1833" t="str">
        <f t="shared" si="434"/>
        <v/>
      </c>
      <c r="AB1833" t="str">
        <f t="shared" si="435"/>
        <v/>
      </c>
      <c r="AC1833">
        <f>IF($A1833="",0,IF(COUNTIF($A$2:$A1833,$A1833)=1,1,0))</f>
        <v>0</v>
      </c>
      <c r="AD1833">
        <f t="shared" si="436"/>
        <v>24</v>
      </c>
      <c r="AE1833" t="str">
        <f t="shared" si="437"/>
        <v>江门大融城|出租率（%）</v>
      </c>
    </row>
    <row r="1834" spans="1:31" x14ac:dyDescent="0.4">
      <c r="A1834" t="str">
        <f>IF(原始经营数据!$D1835="","",原始经营数据!$D1835)</f>
        <v>光大保德信光大安石封闭式商业不动产证券投资基金</v>
      </c>
      <c r="B1834" t="str">
        <f>IF(原始经营数据!$D1835="","",T(原始经营数据!$E1835))</f>
        <v>江门大融城</v>
      </c>
      <c r="C1834" t="str">
        <f>IF(原始经营数据!$D1835="","",原始经营数据!$F1835)</f>
        <v>2024</v>
      </c>
      <c r="D1834" t="str">
        <f>IF(原始经营数据!$D1835="","",原始经营数据!$H1835)</f>
        <v>可租赁面积</v>
      </c>
      <c r="E1834">
        <f>IF(原始经营数据!$D1835="","",原始经营数据!$I1835)</f>
        <v>52018</v>
      </c>
      <c r="F1834" t="str">
        <f>IF(原始经营数据!$D1835="","",T(原始经营数据!$J1835))</f>
        <v>平方米</v>
      </c>
      <c r="G1834" t="str">
        <f>IF(原始经营数据!$D1835="","",T(原始经营数据!$K1835))</f>
        <v/>
      </c>
      <c r="H1834" t="str">
        <f>IF(原始经营数据!$D1835="","",原始经营数据!$G1835)</f>
        <v>服务量</v>
      </c>
      <c r="I1834" t="str">
        <f>IF($A1834="","",IF($B1834&lt;&gt;"",$B1834,IF(COUNTIFS(原始经营数据!$D$3:$D$3001,$A1834,原始经营数据!$E$3:$E$3001,"",原始经营数据!$F$3:$F$3001,$C1834,原始经营数据!$H$3:$H$3001,$D1834,原始经营数据!$K$3:$K$3001,$G1834)&gt;1,"基金整体·来源"&amp;原始经营数据!$A1835,"基金整体")))</f>
        <v>江门大融城</v>
      </c>
      <c r="J1834" t="str">
        <f t="shared" si="423"/>
        <v>年度</v>
      </c>
      <c r="K1834" t="str">
        <f t="shared" si="424"/>
        <v>可租赁面积（平方米）</v>
      </c>
      <c r="L1834" t="str">
        <f t="shared" si="425"/>
        <v>江门大融城|可租赁面积（平方米）|年度</v>
      </c>
      <c r="M1834">
        <f>IF($A1834="",0,IF(COUNTIF($L$2:$L1834,$L1834)=1,1,0))</f>
        <v>0</v>
      </c>
      <c r="N1834">
        <f t="shared" si="426"/>
        <v>20240</v>
      </c>
      <c r="O1834" t="str">
        <f t="shared" si="427"/>
        <v>光大保德信光大安石封闭式商业不动产证券投资基金|2024|年度</v>
      </c>
      <c r="P1834">
        <f>IF($A1834="",0,IF(COUNTIF($O$2:$O1834,$O1834)=1,1,0))</f>
        <v>0</v>
      </c>
      <c r="Q1834" t="str">
        <f>IF(AND($P1834=1,$A1834=经营数据!$B$3,$J1834=经营数据!$BA$5),COUNTIFS($P$2:$P$3000,1,$A$2:$A$3000,$A1834,$J$2:$J$3000,$J1834,$N$2:$N$3000,"&lt;"&amp;$N1834)+1,"")</f>
        <v/>
      </c>
      <c r="R1834" t="str">
        <f t="shared" si="428"/>
        <v>光大保德信光大安石封闭式商业不动产证券投资基金|江门大融城</v>
      </c>
      <c r="S1834">
        <f>IF($A1834="",0,IF(COUNTIF($R$2:$R1834,$R1834)=1,1,0))</f>
        <v>0</v>
      </c>
      <c r="T1834">
        <f t="shared" si="429"/>
        <v>1829</v>
      </c>
      <c r="U1834" t="str">
        <f>IF($A1834="","",IF($A1834=经营数据!$B$3,COUNTIFS($S$2:$S$3000,1,$A$2:$A$3000,$A1834,$T$2:$T$3000,"&lt;"&amp;$T1834)+1,""))</f>
        <v/>
      </c>
      <c r="V1834" t="str">
        <f t="shared" si="430"/>
        <v>江门大融城|服务量</v>
      </c>
      <c r="W1834">
        <f t="shared" si="431"/>
        <v>1831</v>
      </c>
      <c r="X1834" t="str">
        <f t="shared" si="432"/>
        <v>江门大融城|可租赁面积</v>
      </c>
      <c r="Y1834">
        <f t="shared" si="433"/>
        <v>1831</v>
      </c>
      <c r="Z1834">
        <f>IF($A1834="",0,IF(AND($M1834=1,$A1834=经营数据!$B$3,$J1834=经营数据!$BA$5,OR($I1834=经营数据!$BA$4,COUNTIF(经营数据!$AA$9:$AA$38,$I1834)&gt;0)),1,0))</f>
        <v>0</v>
      </c>
      <c r="AA1834" t="str">
        <f t="shared" si="434"/>
        <v/>
      </c>
      <c r="AB1834" t="str">
        <f t="shared" si="435"/>
        <v/>
      </c>
      <c r="AC1834">
        <f>IF($A1834="",0,IF(COUNTIF($A$2:$A1834,$A1834)=1,1,0))</f>
        <v>0</v>
      </c>
      <c r="AD1834">
        <f t="shared" si="436"/>
        <v>24</v>
      </c>
      <c r="AE1834" t="str">
        <f t="shared" si="437"/>
        <v>江门大融城|可租赁面积（平方米）</v>
      </c>
    </row>
    <row r="1835" spans="1:31" x14ac:dyDescent="0.4">
      <c r="A1835" t="str">
        <f>IF(原始经营数据!$D1836="","",原始经营数据!$D1836)</f>
        <v>光大保德信光大安石封闭式商业不动产证券投资基金</v>
      </c>
      <c r="B1835" t="str">
        <f>IF(原始经营数据!$D1836="","",T(原始经营数据!$E1836))</f>
        <v>江门大融城</v>
      </c>
      <c r="C1835" t="str">
        <f>IF(原始经营数据!$D1836="","",原始经营数据!$F1836)</f>
        <v>2024</v>
      </c>
      <c r="D1835" t="str">
        <f>IF(原始经营数据!$D1836="","",原始经营数据!$H1836)</f>
        <v>租金收入</v>
      </c>
      <c r="E1835">
        <f>IF(原始经营数据!$D1836="","",原始经营数据!$I1836)</f>
        <v>11345.6</v>
      </c>
      <c r="F1835" t="str">
        <f>IF(原始经营数据!$D1836="","",T(原始经营数据!$J1836))</f>
        <v>万元</v>
      </c>
      <c r="G1835" t="str">
        <f>IF(原始经营数据!$D1836="","",T(原始经营数据!$K1836))</f>
        <v/>
      </c>
      <c r="H1835" t="str">
        <f>IF(原始经营数据!$D1836="","",原始经营数据!$G1836)</f>
        <v>服务金额</v>
      </c>
      <c r="I1835" t="str">
        <f>IF($A1835="","",IF($B1835&lt;&gt;"",$B1835,IF(COUNTIFS(原始经营数据!$D$3:$D$3001,$A1835,原始经营数据!$E$3:$E$3001,"",原始经营数据!$F$3:$F$3001,$C1835,原始经营数据!$H$3:$H$3001,$D1835,原始经营数据!$K$3:$K$3001,$G1835)&gt;1,"基金整体·来源"&amp;原始经营数据!$A1836,"基金整体")))</f>
        <v>江门大融城</v>
      </c>
      <c r="J1835" t="str">
        <f t="shared" si="423"/>
        <v>年度</v>
      </c>
      <c r="K1835" t="str">
        <f t="shared" si="424"/>
        <v>租金收入（万元）</v>
      </c>
      <c r="L1835" t="str">
        <f t="shared" si="425"/>
        <v>江门大融城|租金收入（万元）|年度</v>
      </c>
      <c r="M1835">
        <f>IF($A1835="",0,IF(COUNTIF($L$2:$L1835,$L1835)=1,1,0))</f>
        <v>0</v>
      </c>
      <c r="N1835">
        <f t="shared" si="426"/>
        <v>20240</v>
      </c>
      <c r="O1835" t="str">
        <f t="shared" si="427"/>
        <v>光大保德信光大安石封闭式商业不动产证券投资基金|2024|年度</v>
      </c>
      <c r="P1835">
        <f>IF($A1835="",0,IF(COUNTIF($O$2:$O1835,$O1835)=1,1,0))</f>
        <v>0</v>
      </c>
      <c r="Q1835" t="str">
        <f>IF(AND($P1835=1,$A1835=经营数据!$B$3,$J1835=经营数据!$BA$5),COUNTIFS($P$2:$P$3000,1,$A$2:$A$3000,$A1835,$J$2:$J$3000,$J1835,$N$2:$N$3000,"&lt;"&amp;$N1835)+1,"")</f>
        <v/>
      </c>
      <c r="R1835" t="str">
        <f t="shared" si="428"/>
        <v>光大保德信光大安石封闭式商业不动产证券投资基金|江门大融城</v>
      </c>
      <c r="S1835">
        <f>IF($A1835="",0,IF(COUNTIF($R$2:$R1835,$R1835)=1,1,0))</f>
        <v>0</v>
      </c>
      <c r="T1835">
        <f t="shared" si="429"/>
        <v>1829</v>
      </c>
      <c r="U1835" t="str">
        <f>IF($A1835="","",IF($A1835=经营数据!$B$3,COUNTIFS($S$2:$S$3000,1,$A$2:$A$3000,$A1835,$T$2:$T$3000,"&lt;"&amp;$T1835)+1,""))</f>
        <v/>
      </c>
      <c r="V1835" t="str">
        <f t="shared" si="430"/>
        <v>江门大融城|服务金额</v>
      </c>
      <c r="W1835">
        <f t="shared" si="431"/>
        <v>1829</v>
      </c>
      <c r="X1835" t="str">
        <f t="shared" si="432"/>
        <v>江门大融城|租金收入</v>
      </c>
      <c r="Y1835">
        <f t="shared" si="433"/>
        <v>1829</v>
      </c>
      <c r="Z1835">
        <f>IF($A1835="",0,IF(AND($M1835=1,$A1835=经营数据!$B$3,$J1835=经营数据!$BA$5,OR($I1835=经营数据!$BA$4,COUNTIF(经营数据!$AA$9:$AA$38,$I1835)&gt;0)),1,0))</f>
        <v>0</v>
      </c>
      <c r="AA1835" t="str">
        <f t="shared" si="434"/>
        <v/>
      </c>
      <c r="AB1835" t="str">
        <f t="shared" si="435"/>
        <v/>
      </c>
      <c r="AC1835">
        <f>IF($A1835="",0,IF(COUNTIF($A$2:$A1835,$A1835)=1,1,0))</f>
        <v>0</v>
      </c>
      <c r="AD1835">
        <f t="shared" si="436"/>
        <v>24</v>
      </c>
      <c r="AE1835" t="str">
        <f t="shared" si="437"/>
        <v>江门大融城|租金收入（万元）</v>
      </c>
    </row>
    <row r="1836" spans="1:31" x14ac:dyDescent="0.4">
      <c r="A1836" t="str">
        <f>IF(原始经营数据!$D1837="","",原始经营数据!$D1837)</f>
        <v>光大保德信光大安石封闭式商业不动产证券投资基金</v>
      </c>
      <c r="B1836" t="str">
        <f>IF(原始经营数据!$D1837="","",T(原始经营数据!$E1837))</f>
        <v>江门大融城</v>
      </c>
      <c r="C1836" t="str">
        <f>IF(原始经营数据!$D1837="","",原始经营数据!$F1837)</f>
        <v>2025</v>
      </c>
      <c r="D1836" t="str">
        <f>IF(原始经营数据!$D1837="","",原始经营数据!$H1837)</f>
        <v>出租率</v>
      </c>
      <c r="E1836">
        <f>IF(原始经营数据!$D1837="","",原始经营数据!$I1837)</f>
        <v>89.15</v>
      </c>
      <c r="F1836" t="str">
        <f>IF(原始经营数据!$D1837="","",T(原始经营数据!$J1837))</f>
        <v>%</v>
      </c>
      <c r="G1836" t="str">
        <f>IF(原始经营数据!$D1837="","",T(原始经营数据!$K1837))</f>
        <v/>
      </c>
      <c r="H1836" t="str">
        <f>IF(原始经营数据!$D1837="","",原始经营数据!$G1837)</f>
        <v>服务效率</v>
      </c>
      <c r="I1836" t="str">
        <f>IF($A1836="","",IF($B1836&lt;&gt;"",$B1836,IF(COUNTIFS(原始经营数据!$D$3:$D$3001,$A1836,原始经营数据!$E$3:$E$3001,"",原始经营数据!$F$3:$F$3001,$C1836,原始经营数据!$H$3:$H$3001,$D1836,原始经营数据!$K$3:$K$3001,$G1836)&gt;1,"基金整体·来源"&amp;原始经营数据!$A1837,"基金整体")))</f>
        <v>江门大融城</v>
      </c>
      <c r="J1836" t="str">
        <f t="shared" si="423"/>
        <v>年度</v>
      </c>
      <c r="K1836" t="str">
        <f t="shared" si="424"/>
        <v>出租率（%）</v>
      </c>
      <c r="L1836" t="str">
        <f t="shared" si="425"/>
        <v>江门大融城|出租率（%）|年度</v>
      </c>
      <c r="M1836">
        <f>IF($A1836="",0,IF(COUNTIF($L$2:$L1836,$L1836)=1,1,0))</f>
        <v>0</v>
      </c>
      <c r="N1836">
        <f t="shared" si="426"/>
        <v>20250</v>
      </c>
      <c r="O1836" t="str">
        <f t="shared" si="427"/>
        <v>光大保德信光大安石封闭式商业不动产证券投资基金|2025|年度</v>
      </c>
      <c r="P1836">
        <f>IF($A1836="",0,IF(COUNTIF($O$2:$O1836,$O1836)=1,1,0))</f>
        <v>1</v>
      </c>
      <c r="Q1836" t="str">
        <f>IF(AND($P1836=1,$A1836=经营数据!$B$3,$J1836=经营数据!$BA$5),COUNTIFS($P$2:$P$3000,1,$A$2:$A$3000,$A1836,$J$2:$J$3000,$J1836,$N$2:$N$3000,"&lt;"&amp;$N1836)+1,"")</f>
        <v/>
      </c>
      <c r="R1836" t="str">
        <f t="shared" si="428"/>
        <v>光大保德信光大安石封闭式商业不动产证券投资基金|江门大融城</v>
      </c>
      <c r="S1836">
        <f>IF($A1836="",0,IF(COUNTIF($R$2:$R1836,$R1836)=1,1,0))</f>
        <v>0</v>
      </c>
      <c r="T1836">
        <f t="shared" si="429"/>
        <v>1829</v>
      </c>
      <c r="U1836" t="str">
        <f>IF($A1836="","",IF($A1836=经营数据!$B$3,COUNTIFS($S$2:$S$3000,1,$A$2:$A$3000,$A1836,$T$2:$T$3000,"&lt;"&amp;$T1836)+1,""))</f>
        <v/>
      </c>
      <c r="V1836" t="str">
        <f t="shared" si="430"/>
        <v>江门大融城|服务效率</v>
      </c>
      <c r="W1836">
        <f t="shared" si="431"/>
        <v>1830</v>
      </c>
      <c r="X1836" t="str">
        <f t="shared" si="432"/>
        <v>江门大融城|出租率</v>
      </c>
      <c r="Y1836">
        <f t="shared" si="433"/>
        <v>1830</v>
      </c>
      <c r="Z1836">
        <f>IF($A1836="",0,IF(AND($M1836=1,$A1836=经营数据!$B$3,$J1836=经营数据!$BA$5,OR($I1836=经营数据!$BA$4,COUNTIF(经营数据!$AA$9:$AA$38,$I1836)&gt;0)),1,0))</f>
        <v>0</v>
      </c>
      <c r="AA1836" t="str">
        <f t="shared" si="434"/>
        <v/>
      </c>
      <c r="AB1836" t="str">
        <f t="shared" si="435"/>
        <v/>
      </c>
      <c r="AC1836">
        <f>IF($A1836="",0,IF(COUNTIF($A$2:$A1836,$A1836)=1,1,0))</f>
        <v>0</v>
      </c>
      <c r="AD1836">
        <f t="shared" si="436"/>
        <v>24</v>
      </c>
      <c r="AE1836" t="str">
        <f t="shared" si="437"/>
        <v>江门大融城|出租率（%）</v>
      </c>
    </row>
    <row r="1837" spans="1:31" x14ac:dyDescent="0.4">
      <c r="A1837" t="str">
        <f>IF(原始经营数据!$D1838="","",原始经营数据!$D1838)</f>
        <v>光大保德信光大安石封闭式商业不动产证券投资基金</v>
      </c>
      <c r="B1837" t="str">
        <f>IF(原始经营数据!$D1838="","",T(原始经营数据!$E1838))</f>
        <v>江门大融城</v>
      </c>
      <c r="C1837" t="str">
        <f>IF(原始经营数据!$D1838="","",原始经营数据!$F1838)</f>
        <v>2025</v>
      </c>
      <c r="D1837" t="str">
        <f>IF(原始经营数据!$D1838="","",原始经营数据!$H1838)</f>
        <v>可租赁面积</v>
      </c>
      <c r="E1837">
        <f>IF(原始经营数据!$D1838="","",原始经营数据!$I1838)</f>
        <v>52978</v>
      </c>
      <c r="F1837" t="str">
        <f>IF(原始经营数据!$D1838="","",T(原始经营数据!$J1838))</f>
        <v>平方米</v>
      </c>
      <c r="G1837" t="str">
        <f>IF(原始经营数据!$D1838="","",T(原始经营数据!$K1838))</f>
        <v/>
      </c>
      <c r="H1837" t="str">
        <f>IF(原始经营数据!$D1838="","",原始经营数据!$G1838)</f>
        <v>服务量</v>
      </c>
      <c r="I1837" t="str">
        <f>IF($A1837="","",IF($B1837&lt;&gt;"",$B1837,IF(COUNTIFS(原始经营数据!$D$3:$D$3001,$A1837,原始经营数据!$E$3:$E$3001,"",原始经营数据!$F$3:$F$3001,$C1837,原始经营数据!$H$3:$H$3001,$D1837,原始经营数据!$K$3:$K$3001,$G1837)&gt;1,"基金整体·来源"&amp;原始经营数据!$A1838,"基金整体")))</f>
        <v>江门大融城</v>
      </c>
      <c r="J1837" t="str">
        <f t="shared" si="423"/>
        <v>年度</v>
      </c>
      <c r="K1837" t="str">
        <f t="shared" si="424"/>
        <v>可租赁面积（平方米）</v>
      </c>
      <c r="L1837" t="str">
        <f t="shared" si="425"/>
        <v>江门大融城|可租赁面积（平方米）|年度</v>
      </c>
      <c r="M1837">
        <f>IF($A1837="",0,IF(COUNTIF($L$2:$L1837,$L1837)=1,1,0))</f>
        <v>0</v>
      </c>
      <c r="N1837">
        <f t="shared" si="426"/>
        <v>20250</v>
      </c>
      <c r="O1837" t="str">
        <f t="shared" si="427"/>
        <v>光大保德信光大安石封闭式商业不动产证券投资基金|2025|年度</v>
      </c>
      <c r="P1837">
        <f>IF($A1837="",0,IF(COUNTIF($O$2:$O1837,$O1837)=1,1,0))</f>
        <v>0</v>
      </c>
      <c r="Q1837" t="str">
        <f>IF(AND($P1837=1,$A1837=经营数据!$B$3,$J1837=经营数据!$BA$5),COUNTIFS($P$2:$P$3000,1,$A$2:$A$3000,$A1837,$J$2:$J$3000,$J1837,$N$2:$N$3000,"&lt;"&amp;$N1837)+1,"")</f>
        <v/>
      </c>
      <c r="R1837" t="str">
        <f t="shared" si="428"/>
        <v>光大保德信光大安石封闭式商业不动产证券投资基金|江门大融城</v>
      </c>
      <c r="S1837">
        <f>IF($A1837="",0,IF(COUNTIF($R$2:$R1837,$R1837)=1,1,0))</f>
        <v>0</v>
      </c>
      <c r="T1837">
        <f t="shared" si="429"/>
        <v>1829</v>
      </c>
      <c r="U1837" t="str">
        <f>IF($A1837="","",IF($A1837=经营数据!$B$3,COUNTIFS($S$2:$S$3000,1,$A$2:$A$3000,$A1837,$T$2:$T$3000,"&lt;"&amp;$T1837)+1,""))</f>
        <v/>
      </c>
      <c r="V1837" t="str">
        <f t="shared" si="430"/>
        <v>江门大融城|服务量</v>
      </c>
      <c r="W1837">
        <f t="shared" si="431"/>
        <v>1831</v>
      </c>
      <c r="X1837" t="str">
        <f t="shared" si="432"/>
        <v>江门大融城|可租赁面积</v>
      </c>
      <c r="Y1837">
        <f t="shared" si="433"/>
        <v>1831</v>
      </c>
      <c r="Z1837">
        <f>IF($A1837="",0,IF(AND($M1837=1,$A1837=经营数据!$B$3,$J1837=经营数据!$BA$5,OR($I1837=经营数据!$BA$4,COUNTIF(经营数据!$AA$9:$AA$38,$I1837)&gt;0)),1,0))</f>
        <v>0</v>
      </c>
      <c r="AA1837" t="str">
        <f t="shared" si="434"/>
        <v/>
      </c>
      <c r="AB1837" t="str">
        <f t="shared" si="435"/>
        <v/>
      </c>
      <c r="AC1837">
        <f>IF($A1837="",0,IF(COUNTIF($A$2:$A1837,$A1837)=1,1,0))</f>
        <v>0</v>
      </c>
      <c r="AD1837">
        <f t="shared" si="436"/>
        <v>24</v>
      </c>
      <c r="AE1837" t="str">
        <f t="shared" si="437"/>
        <v>江门大融城|可租赁面积（平方米）</v>
      </c>
    </row>
    <row r="1838" spans="1:31" x14ac:dyDescent="0.4">
      <c r="A1838" t="str">
        <f>IF(原始经营数据!$D1839="","",原始经营数据!$D1839)</f>
        <v>光大保德信光大安石封闭式商业不动产证券投资基金</v>
      </c>
      <c r="B1838" t="str">
        <f>IF(原始经营数据!$D1839="","",T(原始经营数据!$E1839))</f>
        <v>江门大融城</v>
      </c>
      <c r="C1838" t="str">
        <f>IF(原始经营数据!$D1839="","",原始经营数据!$F1839)</f>
        <v>2025</v>
      </c>
      <c r="D1838" t="str">
        <f>IF(原始经营数据!$D1839="","",原始经营数据!$H1839)</f>
        <v>租金收入</v>
      </c>
      <c r="E1838">
        <f>IF(原始经营数据!$D1839="","",原始经营数据!$I1839)</f>
        <v>10493.52</v>
      </c>
      <c r="F1838" t="str">
        <f>IF(原始经营数据!$D1839="","",T(原始经营数据!$J1839))</f>
        <v>万元</v>
      </c>
      <c r="G1838" t="str">
        <f>IF(原始经营数据!$D1839="","",T(原始经营数据!$K1839))</f>
        <v/>
      </c>
      <c r="H1838" t="str">
        <f>IF(原始经营数据!$D1839="","",原始经营数据!$G1839)</f>
        <v>服务金额</v>
      </c>
      <c r="I1838" t="str">
        <f>IF($A1838="","",IF($B1838&lt;&gt;"",$B1838,IF(COUNTIFS(原始经营数据!$D$3:$D$3001,$A1838,原始经营数据!$E$3:$E$3001,"",原始经营数据!$F$3:$F$3001,$C1838,原始经营数据!$H$3:$H$3001,$D1838,原始经营数据!$K$3:$K$3001,$G1838)&gt;1,"基金整体·来源"&amp;原始经营数据!$A1839,"基金整体")))</f>
        <v>江门大融城</v>
      </c>
      <c r="J1838" t="str">
        <f t="shared" si="423"/>
        <v>年度</v>
      </c>
      <c r="K1838" t="str">
        <f t="shared" si="424"/>
        <v>租金收入（万元）</v>
      </c>
      <c r="L1838" t="str">
        <f t="shared" si="425"/>
        <v>江门大融城|租金收入（万元）|年度</v>
      </c>
      <c r="M1838">
        <f>IF($A1838="",0,IF(COUNTIF($L$2:$L1838,$L1838)=1,1,0))</f>
        <v>0</v>
      </c>
      <c r="N1838">
        <f t="shared" si="426"/>
        <v>20250</v>
      </c>
      <c r="O1838" t="str">
        <f t="shared" si="427"/>
        <v>光大保德信光大安石封闭式商业不动产证券投资基金|2025|年度</v>
      </c>
      <c r="P1838">
        <f>IF($A1838="",0,IF(COUNTIF($O$2:$O1838,$O1838)=1,1,0))</f>
        <v>0</v>
      </c>
      <c r="Q1838" t="str">
        <f>IF(AND($P1838=1,$A1838=经营数据!$B$3,$J1838=经营数据!$BA$5),COUNTIFS($P$2:$P$3000,1,$A$2:$A$3000,$A1838,$J$2:$J$3000,$J1838,$N$2:$N$3000,"&lt;"&amp;$N1838)+1,"")</f>
        <v/>
      </c>
      <c r="R1838" t="str">
        <f t="shared" si="428"/>
        <v>光大保德信光大安石封闭式商业不动产证券投资基金|江门大融城</v>
      </c>
      <c r="S1838">
        <f>IF($A1838="",0,IF(COUNTIF($R$2:$R1838,$R1838)=1,1,0))</f>
        <v>0</v>
      </c>
      <c r="T1838">
        <f t="shared" si="429"/>
        <v>1829</v>
      </c>
      <c r="U1838" t="str">
        <f>IF($A1838="","",IF($A1838=经营数据!$B$3,COUNTIFS($S$2:$S$3000,1,$A$2:$A$3000,$A1838,$T$2:$T$3000,"&lt;"&amp;$T1838)+1,""))</f>
        <v/>
      </c>
      <c r="V1838" t="str">
        <f t="shared" si="430"/>
        <v>江门大融城|服务金额</v>
      </c>
      <c r="W1838">
        <f t="shared" si="431"/>
        <v>1829</v>
      </c>
      <c r="X1838" t="str">
        <f t="shared" si="432"/>
        <v>江门大融城|租金收入</v>
      </c>
      <c r="Y1838">
        <f t="shared" si="433"/>
        <v>1829</v>
      </c>
      <c r="Z1838">
        <f>IF($A1838="",0,IF(AND($M1838=1,$A1838=经营数据!$B$3,$J1838=经营数据!$BA$5,OR($I1838=经营数据!$BA$4,COUNTIF(经营数据!$AA$9:$AA$38,$I1838)&gt;0)),1,0))</f>
        <v>0</v>
      </c>
      <c r="AA1838" t="str">
        <f t="shared" si="434"/>
        <v/>
      </c>
      <c r="AB1838" t="str">
        <f t="shared" si="435"/>
        <v/>
      </c>
      <c r="AC1838">
        <f>IF($A1838="",0,IF(COUNTIF($A$2:$A1838,$A1838)=1,1,0))</f>
        <v>0</v>
      </c>
      <c r="AD1838">
        <f t="shared" si="436"/>
        <v>24</v>
      </c>
      <c r="AE1838" t="str">
        <f t="shared" si="437"/>
        <v>江门大融城|租金收入（万元）</v>
      </c>
    </row>
    <row r="1839" spans="1:31" x14ac:dyDescent="0.4">
      <c r="A1839" t="str">
        <f>IF(原始经营数据!$D1840="","",原始经营数据!$D1840)</f>
        <v>光大保德信光大安石封闭式商业不动产证券投资基金</v>
      </c>
      <c r="B1839" t="str">
        <f>IF(原始经营数据!$D1840="","",T(原始经营数据!$E1840))</f>
        <v>静安大融城</v>
      </c>
      <c r="C1839" t="str">
        <f>IF(原始经营数据!$D1840="","",原始经营数据!$F1840)</f>
        <v>2023</v>
      </c>
      <c r="D1839" t="str">
        <f>IF(原始经营数据!$D1840="","",原始经营数据!$H1840)</f>
        <v>可租赁面积</v>
      </c>
      <c r="E1839">
        <f>IF(原始经营数据!$D1840="","",原始经营数据!$I1840)</f>
        <v>85037</v>
      </c>
      <c r="F1839" t="str">
        <f>IF(原始经营数据!$D1840="","",T(原始经营数据!$J1840))</f>
        <v>平方米</v>
      </c>
      <c r="G1839" t="str">
        <f>IF(原始经营数据!$D1840="","",T(原始经营数据!$K1840))</f>
        <v/>
      </c>
      <c r="H1839" t="str">
        <f>IF(原始经营数据!$D1840="","",原始经营数据!$G1840)</f>
        <v>服务量</v>
      </c>
      <c r="I1839" t="str">
        <f>IF($A1839="","",IF($B1839&lt;&gt;"",$B1839,IF(COUNTIFS(原始经营数据!$D$3:$D$3001,$A1839,原始经营数据!$E$3:$E$3001,"",原始经营数据!$F$3:$F$3001,$C1839,原始经营数据!$H$3:$H$3001,$D1839,原始经营数据!$K$3:$K$3001,$G1839)&gt;1,"基金整体·来源"&amp;原始经营数据!$A1840,"基金整体")))</f>
        <v>静安大融城</v>
      </c>
      <c r="J1839" t="str">
        <f t="shared" si="423"/>
        <v>年度</v>
      </c>
      <c r="K1839" t="str">
        <f t="shared" si="424"/>
        <v>可租赁面积（平方米）</v>
      </c>
      <c r="L1839" t="str">
        <f t="shared" si="425"/>
        <v>静安大融城|可租赁面积（平方米）|年度</v>
      </c>
      <c r="M1839">
        <f>IF($A1839="",0,IF(COUNTIF($L$2:$L1839,$L1839)=1,1,0))</f>
        <v>1</v>
      </c>
      <c r="N1839">
        <f t="shared" si="426"/>
        <v>20230</v>
      </c>
      <c r="O1839" t="str">
        <f t="shared" si="427"/>
        <v>光大保德信光大安石封闭式商业不动产证券投资基金|2023|年度</v>
      </c>
      <c r="P1839">
        <f>IF($A1839="",0,IF(COUNTIF($O$2:$O1839,$O1839)=1,1,0))</f>
        <v>0</v>
      </c>
      <c r="Q1839" t="str">
        <f>IF(AND($P1839=1,$A1839=经营数据!$B$3,$J1839=经营数据!$BA$5),COUNTIFS($P$2:$P$3000,1,$A$2:$A$3000,$A1839,$J$2:$J$3000,$J1839,$N$2:$N$3000,"&lt;"&amp;$N1839)+1,"")</f>
        <v/>
      </c>
      <c r="R1839" t="str">
        <f t="shared" si="428"/>
        <v>光大保德信光大安石封闭式商业不动产证券投资基金|静安大融城</v>
      </c>
      <c r="S1839">
        <f>IF($A1839="",0,IF(COUNTIF($R$2:$R1839,$R1839)=1,1,0))</f>
        <v>1</v>
      </c>
      <c r="T1839">
        <f t="shared" si="429"/>
        <v>1838</v>
      </c>
      <c r="U1839" t="str">
        <f>IF($A1839="","",IF($A1839=经营数据!$B$3,COUNTIFS($S$2:$S$3000,1,$A$2:$A$3000,$A1839,$T$2:$T$3000,"&lt;"&amp;$T1839)+1,""))</f>
        <v/>
      </c>
      <c r="V1839" t="str">
        <f t="shared" si="430"/>
        <v>静安大融城|服务量</v>
      </c>
      <c r="W1839">
        <f t="shared" si="431"/>
        <v>1838</v>
      </c>
      <c r="X1839" t="str">
        <f t="shared" si="432"/>
        <v>静安大融城|可租赁面积</v>
      </c>
      <c r="Y1839">
        <f t="shared" si="433"/>
        <v>1838</v>
      </c>
      <c r="Z1839">
        <f>IF($A1839="",0,IF(AND($M1839=1,$A1839=经营数据!$B$3,$J1839=经营数据!$BA$5,OR($I1839=经营数据!$BA$4,COUNTIF(经营数据!$AA$9:$AA$38,$I1839)&gt;0)),1,0))</f>
        <v>0</v>
      </c>
      <c r="AA1839" t="str">
        <f t="shared" si="434"/>
        <v/>
      </c>
      <c r="AB1839" t="str">
        <f t="shared" si="435"/>
        <v/>
      </c>
      <c r="AC1839">
        <f>IF($A1839="",0,IF(COUNTIF($A$2:$A1839,$A1839)=1,1,0))</f>
        <v>0</v>
      </c>
      <c r="AD1839">
        <f t="shared" si="436"/>
        <v>24</v>
      </c>
      <c r="AE1839" t="str">
        <f t="shared" si="437"/>
        <v>静安大融城|可租赁面积（平方米）</v>
      </c>
    </row>
    <row r="1840" spans="1:31" x14ac:dyDescent="0.4">
      <c r="A1840" t="str">
        <f>IF(原始经营数据!$D1841="","",原始经营数据!$D1841)</f>
        <v>光大保德信光大安石封闭式商业不动产证券投资基金</v>
      </c>
      <c r="B1840" t="str">
        <f>IF(原始经营数据!$D1841="","",T(原始经营数据!$E1841))</f>
        <v>静安大融城</v>
      </c>
      <c r="C1840" t="str">
        <f>IF(原始经营数据!$D1841="","",原始经营数据!$F1841)</f>
        <v>2023</v>
      </c>
      <c r="D1840" t="str">
        <f>IF(原始经营数据!$D1841="","",原始经营数据!$H1841)</f>
        <v>租金收入</v>
      </c>
      <c r="E1840">
        <f>IF(原始经营数据!$D1841="","",原始经营数据!$I1841)</f>
        <v>19863.52</v>
      </c>
      <c r="F1840" t="str">
        <f>IF(原始经营数据!$D1841="","",T(原始经营数据!$J1841))</f>
        <v>万元</v>
      </c>
      <c r="G1840" t="str">
        <f>IF(原始经营数据!$D1841="","",T(原始经营数据!$K1841))</f>
        <v/>
      </c>
      <c r="H1840" t="str">
        <f>IF(原始经营数据!$D1841="","",原始经营数据!$G1841)</f>
        <v>服务金额</v>
      </c>
      <c r="I1840" t="str">
        <f>IF($A1840="","",IF($B1840&lt;&gt;"",$B1840,IF(COUNTIFS(原始经营数据!$D$3:$D$3001,$A1840,原始经营数据!$E$3:$E$3001,"",原始经营数据!$F$3:$F$3001,$C1840,原始经营数据!$H$3:$H$3001,$D1840,原始经营数据!$K$3:$K$3001,$G1840)&gt;1,"基金整体·来源"&amp;原始经营数据!$A1841,"基金整体")))</f>
        <v>静安大融城</v>
      </c>
      <c r="J1840" t="str">
        <f t="shared" si="423"/>
        <v>年度</v>
      </c>
      <c r="K1840" t="str">
        <f t="shared" si="424"/>
        <v>租金收入（万元）</v>
      </c>
      <c r="L1840" t="str">
        <f t="shared" si="425"/>
        <v>静安大融城|租金收入（万元）|年度</v>
      </c>
      <c r="M1840">
        <f>IF($A1840="",0,IF(COUNTIF($L$2:$L1840,$L1840)=1,1,0))</f>
        <v>1</v>
      </c>
      <c r="N1840">
        <f t="shared" si="426"/>
        <v>20230</v>
      </c>
      <c r="O1840" t="str">
        <f t="shared" si="427"/>
        <v>光大保德信光大安石封闭式商业不动产证券投资基金|2023|年度</v>
      </c>
      <c r="P1840">
        <f>IF($A1840="",0,IF(COUNTIF($O$2:$O1840,$O1840)=1,1,0))</f>
        <v>0</v>
      </c>
      <c r="Q1840" t="str">
        <f>IF(AND($P1840=1,$A1840=经营数据!$B$3,$J1840=经营数据!$BA$5),COUNTIFS($P$2:$P$3000,1,$A$2:$A$3000,$A1840,$J$2:$J$3000,$J1840,$N$2:$N$3000,"&lt;"&amp;$N1840)+1,"")</f>
        <v/>
      </c>
      <c r="R1840" t="str">
        <f t="shared" si="428"/>
        <v>光大保德信光大安石封闭式商业不动产证券投资基金|静安大融城</v>
      </c>
      <c r="S1840">
        <f>IF($A1840="",0,IF(COUNTIF($R$2:$R1840,$R1840)=1,1,0))</f>
        <v>0</v>
      </c>
      <c r="T1840">
        <f t="shared" si="429"/>
        <v>1838</v>
      </c>
      <c r="U1840" t="str">
        <f>IF($A1840="","",IF($A1840=经营数据!$B$3,COUNTIFS($S$2:$S$3000,1,$A$2:$A$3000,$A1840,$T$2:$T$3000,"&lt;"&amp;$T1840)+1,""))</f>
        <v/>
      </c>
      <c r="V1840" t="str">
        <f t="shared" si="430"/>
        <v>静安大融城|服务金额</v>
      </c>
      <c r="W1840">
        <f t="shared" si="431"/>
        <v>1839</v>
      </c>
      <c r="X1840" t="str">
        <f t="shared" si="432"/>
        <v>静安大融城|租金收入</v>
      </c>
      <c r="Y1840">
        <f t="shared" si="433"/>
        <v>1839</v>
      </c>
      <c r="Z1840">
        <f>IF($A1840="",0,IF(AND($M1840=1,$A1840=经营数据!$B$3,$J1840=经营数据!$BA$5,OR($I1840=经营数据!$BA$4,COUNTIF(经营数据!$AA$9:$AA$38,$I1840)&gt;0)),1,0))</f>
        <v>0</v>
      </c>
      <c r="AA1840" t="str">
        <f t="shared" si="434"/>
        <v/>
      </c>
      <c r="AB1840" t="str">
        <f t="shared" si="435"/>
        <v/>
      </c>
      <c r="AC1840">
        <f>IF($A1840="",0,IF(COUNTIF($A$2:$A1840,$A1840)=1,1,0))</f>
        <v>0</v>
      </c>
      <c r="AD1840">
        <f t="shared" si="436"/>
        <v>24</v>
      </c>
      <c r="AE1840" t="str">
        <f t="shared" si="437"/>
        <v>静安大融城|租金收入（万元）</v>
      </c>
    </row>
    <row r="1841" spans="1:31" x14ac:dyDescent="0.4">
      <c r="A1841" t="str">
        <f>IF(原始经营数据!$D1842="","",原始经营数据!$D1842)</f>
        <v>光大保德信光大安石封闭式商业不动产证券投资基金</v>
      </c>
      <c r="B1841" t="str">
        <f>IF(原始经营数据!$D1842="","",T(原始经营数据!$E1842))</f>
        <v>静安大融城</v>
      </c>
      <c r="C1841" t="str">
        <f>IF(原始经营数据!$D1842="","",原始经营数据!$F1842)</f>
        <v>2023</v>
      </c>
      <c r="D1841" t="str">
        <f>IF(原始经营数据!$D1842="","",原始经营数据!$H1842)</f>
        <v>出租率</v>
      </c>
      <c r="E1841">
        <f>IF(原始经营数据!$D1842="","",原始经营数据!$I1842)</f>
        <v>89.5</v>
      </c>
      <c r="F1841" t="str">
        <f>IF(原始经营数据!$D1842="","",T(原始经营数据!$J1842))</f>
        <v>%</v>
      </c>
      <c r="G1841" t="str">
        <f>IF(原始经营数据!$D1842="","",T(原始经营数据!$K1842))</f>
        <v/>
      </c>
      <c r="H1841" t="str">
        <f>IF(原始经营数据!$D1842="","",原始经营数据!$G1842)</f>
        <v>服务效率</v>
      </c>
      <c r="I1841" t="str">
        <f>IF($A1841="","",IF($B1841&lt;&gt;"",$B1841,IF(COUNTIFS(原始经营数据!$D$3:$D$3001,$A1841,原始经营数据!$E$3:$E$3001,"",原始经营数据!$F$3:$F$3001,$C1841,原始经营数据!$H$3:$H$3001,$D1841,原始经营数据!$K$3:$K$3001,$G1841)&gt;1,"基金整体·来源"&amp;原始经营数据!$A1842,"基金整体")))</f>
        <v>静安大融城</v>
      </c>
      <c r="J1841" t="str">
        <f t="shared" si="423"/>
        <v>年度</v>
      </c>
      <c r="K1841" t="str">
        <f t="shared" si="424"/>
        <v>出租率（%）</v>
      </c>
      <c r="L1841" t="str">
        <f t="shared" si="425"/>
        <v>静安大融城|出租率（%）|年度</v>
      </c>
      <c r="M1841">
        <f>IF($A1841="",0,IF(COUNTIF($L$2:$L1841,$L1841)=1,1,0))</f>
        <v>1</v>
      </c>
      <c r="N1841">
        <f t="shared" si="426"/>
        <v>20230</v>
      </c>
      <c r="O1841" t="str">
        <f t="shared" si="427"/>
        <v>光大保德信光大安石封闭式商业不动产证券投资基金|2023|年度</v>
      </c>
      <c r="P1841">
        <f>IF($A1841="",0,IF(COUNTIF($O$2:$O1841,$O1841)=1,1,0))</f>
        <v>0</v>
      </c>
      <c r="Q1841" t="str">
        <f>IF(AND($P1841=1,$A1841=经营数据!$B$3,$J1841=经营数据!$BA$5),COUNTIFS($P$2:$P$3000,1,$A$2:$A$3000,$A1841,$J$2:$J$3000,$J1841,$N$2:$N$3000,"&lt;"&amp;$N1841)+1,"")</f>
        <v/>
      </c>
      <c r="R1841" t="str">
        <f t="shared" si="428"/>
        <v>光大保德信光大安石封闭式商业不动产证券投资基金|静安大融城</v>
      </c>
      <c r="S1841">
        <f>IF($A1841="",0,IF(COUNTIF($R$2:$R1841,$R1841)=1,1,0))</f>
        <v>0</v>
      </c>
      <c r="T1841">
        <f t="shared" si="429"/>
        <v>1838</v>
      </c>
      <c r="U1841" t="str">
        <f>IF($A1841="","",IF($A1841=经营数据!$B$3,COUNTIFS($S$2:$S$3000,1,$A$2:$A$3000,$A1841,$T$2:$T$3000,"&lt;"&amp;$T1841)+1,""))</f>
        <v/>
      </c>
      <c r="V1841" t="str">
        <f t="shared" si="430"/>
        <v>静安大融城|服务效率</v>
      </c>
      <c r="W1841">
        <f t="shared" si="431"/>
        <v>1840</v>
      </c>
      <c r="X1841" t="str">
        <f t="shared" si="432"/>
        <v>静安大融城|出租率</v>
      </c>
      <c r="Y1841">
        <f t="shared" si="433"/>
        <v>1840</v>
      </c>
      <c r="Z1841">
        <f>IF($A1841="",0,IF(AND($M1841=1,$A1841=经营数据!$B$3,$J1841=经营数据!$BA$5,OR($I1841=经营数据!$BA$4,COUNTIF(经营数据!$AA$9:$AA$38,$I1841)&gt;0)),1,0))</f>
        <v>0</v>
      </c>
      <c r="AA1841" t="str">
        <f t="shared" si="434"/>
        <v/>
      </c>
      <c r="AB1841" t="str">
        <f t="shared" si="435"/>
        <v/>
      </c>
      <c r="AC1841">
        <f>IF($A1841="",0,IF(COUNTIF($A$2:$A1841,$A1841)=1,1,0))</f>
        <v>0</v>
      </c>
      <c r="AD1841">
        <f t="shared" si="436"/>
        <v>24</v>
      </c>
      <c r="AE1841" t="str">
        <f t="shared" si="437"/>
        <v>静安大融城|出租率（%）</v>
      </c>
    </row>
    <row r="1842" spans="1:31" x14ac:dyDescent="0.4">
      <c r="A1842" t="str">
        <f>IF(原始经营数据!$D1843="","",原始经营数据!$D1843)</f>
        <v>光大保德信光大安石封闭式商业不动产证券投资基金</v>
      </c>
      <c r="B1842" t="str">
        <f>IF(原始经营数据!$D1843="","",T(原始经营数据!$E1843))</f>
        <v>静安大融城</v>
      </c>
      <c r="C1842" t="str">
        <f>IF(原始经营数据!$D1843="","",原始经营数据!$F1843)</f>
        <v>2024</v>
      </c>
      <c r="D1842" t="str">
        <f>IF(原始经营数据!$D1843="","",原始经营数据!$H1843)</f>
        <v>租金收入</v>
      </c>
      <c r="E1842">
        <f>IF(原始经营数据!$D1843="","",原始经营数据!$I1843)</f>
        <v>16745.080000000002</v>
      </c>
      <c r="F1842" t="str">
        <f>IF(原始经营数据!$D1843="","",T(原始经营数据!$J1843))</f>
        <v>万元</v>
      </c>
      <c r="G1842" t="str">
        <f>IF(原始经营数据!$D1843="","",T(原始经营数据!$K1843))</f>
        <v/>
      </c>
      <c r="H1842" t="str">
        <f>IF(原始经营数据!$D1843="","",原始经营数据!$G1843)</f>
        <v>服务金额</v>
      </c>
      <c r="I1842" t="str">
        <f>IF($A1842="","",IF($B1842&lt;&gt;"",$B1842,IF(COUNTIFS(原始经营数据!$D$3:$D$3001,$A1842,原始经营数据!$E$3:$E$3001,"",原始经营数据!$F$3:$F$3001,$C1842,原始经营数据!$H$3:$H$3001,$D1842,原始经营数据!$K$3:$K$3001,$G1842)&gt;1,"基金整体·来源"&amp;原始经营数据!$A1843,"基金整体")))</f>
        <v>静安大融城</v>
      </c>
      <c r="J1842" t="str">
        <f t="shared" si="423"/>
        <v>年度</v>
      </c>
      <c r="K1842" t="str">
        <f t="shared" si="424"/>
        <v>租金收入（万元）</v>
      </c>
      <c r="L1842" t="str">
        <f t="shared" si="425"/>
        <v>静安大融城|租金收入（万元）|年度</v>
      </c>
      <c r="M1842">
        <f>IF($A1842="",0,IF(COUNTIF($L$2:$L1842,$L1842)=1,1,0))</f>
        <v>0</v>
      </c>
      <c r="N1842">
        <f t="shared" si="426"/>
        <v>20240</v>
      </c>
      <c r="O1842" t="str">
        <f t="shared" si="427"/>
        <v>光大保德信光大安石封闭式商业不动产证券投资基金|2024|年度</v>
      </c>
      <c r="P1842">
        <f>IF($A1842="",0,IF(COUNTIF($O$2:$O1842,$O1842)=1,1,0))</f>
        <v>0</v>
      </c>
      <c r="Q1842" t="str">
        <f>IF(AND($P1842=1,$A1842=经营数据!$B$3,$J1842=经营数据!$BA$5),COUNTIFS($P$2:$P$3000,1,$A$2:$A$3000,$A1842,$J$2:$J$3000,$J1842,$N$2:$N$3000,"&lt;"&amp;$N1842)+1,"")</f>
        <v/>
      </c>
      <c r="R1842" t="str">
        <f t="shared" si="428"/>
        <v>光大保德信光大安石封闭式商业不动产证券投资基金|静安大融城</v>
      </c>
      <c r="S1842">
        <f>IF($A1842="",0,IF(COUNTIF($R$2:$R1842,$R1842)=1,1,0))</f>
        <v>0</v>
      </c>
      <c r="T1842">
        <f t="shared" si="429"/>
        <v>1838</v>
      </c>
      <c r="U1842" t="str">
        <f>IF($A1842="","",IF($A1842=经营数据!$B$3,COUNTIFS($S$2:$S$3000,1,$A$2:$A$3000,$A1842,$T$2:$T$3000,"&lt;"&amp;$T1842)+1,""))</f>
        <v/>
      </c>
      <c r="V1842" t="str">
        <f t="shared" si="430"/>
        <v>静安大融城|服务金额</v>
      </c>
      <c r="W1842">
        <f t="shared" si="431"/>
        <v>1839</v>
      </c>
      <c r="X1842" t="str">
        <f t="shared" si="432"/>
        <v>静安大融城|租金收入</v>
      </c>
      <c r="Y1842">
        <f t="shared" si="433"/>
        <v>1839</v>
      </c>
      <c r="Z1842">
        <f>IF($A1842="",0,IF(AND($M1842=1,$A1842=经营数据!$B$3,$J1842=经营数据!$BA$5,OR($I1842=经营数据!$BA$4,COUNTIF(经营数据!$AA$9:$AA$38,$I1842)&gt;0)),1,0))</f>
        <v>0</v>
      </c>
      <c r="AA1842" t="str">
        <f t="shared" si="434"/>
        <v/>
      </c>
      <c r="AB1842" t="str">
        <f t="shared" si="435"/>
        <v/>
      </c>
      <c r="AC1842">
        <f>IF($A1842="",0,IF(COUNTIF($A$2:$A1842,$A1842)=1,1,0))</f>
        <v>0</v>
      </c>
      <c r="AD1842">
        <f t="shared" si="436"/>
        <v>24</v>
      </c>
      <c r="AE1842" t="str">
        <f t="shared" si="437"/>
        <v>静安大融城|租金收入（万元）</v>
      </c>
    </row>
    <row r="1843" spans="1:31" x14ac:dyDescent="0.4">
      <c r="A1843" t="str">
        <f>IF(原始经营数据!$D1844="","",原始经营数据!$D1844)</f>
        <v>光大保德信光大安石封闭式商业不动产证券投资基金</v>
      </c>
      <c r="B1843" t="str">
        <f>IF(原始经营数据!$D1844="","",T(原始经营数据!$E1844))</f>
        <v>静安大融城</v>
      </c>
      <c r="C1843" t="str">
        <f>IF(原始经营数据!$D1844="","",原始经营数据!$F1844)</f>
        <v>2024</v>
      </c>
      <c r="D1843" t="str">
        <f>IF(原始经营数据!$D1844="","",原始经营数据!$H1844)</f>
        <v>出租率</v>
      </c>
      <c r="E1843">
        <f>IF(原始经营数据!$D1844="","",原始经营数据!$I1844)</f>
        <v>90.4</v>
      </c>
      <c r="F1843" t="str">
        <f>IF(原始经营数据!$D1844="","",T(原始经营数据!$J1844))</f>
        <v>%</v>
      </c>
      <c r="G1843" t="str">
        <f>IF(原始经营数据!$D1844="","",T(原始经营数据!$K1844))</f>
        <v/>
      </c>
      <c r="H1843" t="str">
        <f>IF(原始经营数据!$D1844="","",原始经营数据!$G1844)</f>
        <v>服务效率</v>
      </c>
      <c r="I1843" t="str">
        <f>IF($A1843="","",IF($B1843&lt;&gt;"",$B1843,IF(COUNTIFS(原始经营数据!$D$3:$D$3001,$A1843,原始经营数据!$E$3:$E$3001,"",原始经营数据!$F$3:$F$3001,$C1843,原始经营数据!$H$3:$H$3001,$D1843,原始经营数据!$K$3:$K$3001,$G1843)&gt;1,"基金整体·来源"&amp;原始经营数据!$A1844,"基金整体")))</f>
        <v>静安大融城</v>
      </c>
      <c r="J1843" t="str">
        <f t="shared" si="423"/>
        <v>年度</v>
      </c>
      <c r="K1843" t="str">
        <f t="shared" si="424"/>
        <v>出租率（%）</v>
      </c>
      <c r="L1843" t="str">
        <f t="shared" si="425"/>
        <v>静安大融城|出租率（%）|年度</v>
      </c>
      <c r="M1843">
        <f>IF($A1843="",0,IF(COUNTIF($L$2:$L1843,$L1843)=1,1,0))</f>
        <v>0</v>
      </c>
      <c r="N1843">
        <f t="shared" si="426"/>
        <v>20240</v>
      </c>
      <c r="O1843" t="str">
        <f t="shared" si="427"/>
        <v>光大保德信光大安石封闭式商业不动产证券投资基金|2024|年度</v>
      </c>
      <c r="P1843">
        <f>IF($A1843="",0,IF(COUNTIF($O$2:$O1843,$O1843)=1,1,0))</f>
        <v>0</v>
      </c>
      <c r="Q1843" t="str">
        <f>IF(AND($P1843=1,$A1843=经营数据!$B$3,$J1843=经营数据!$BA$5),COUNTIFS($P$2:$P$3000,1,$A$2:$A$3000,$A1843,$J$2:$J$3000,$J1843,$N$2:$N$3000,"&lt;"&amp;$N1843)+1,"")</f>
        <v/>
      </c>
      <c r="R1843" t="str">
        <f t="shared" si="428"/>
        <v>光大保德信光大安石封闭式商业不动产证券投资基金|静安大融城</v>
      </c>
      <c r="S1843">
        <f>IF($A1843="",0,IF(COUNTIF($R$2:$R1843,$R1843)=1,1,0))</f>
        <v>0</v>
      </c>
      <c r="T1843">
        <f t="shared" si="429"/>
        <v>1838</v>
      </c>
      <c r="U1843" t="str">
        <f>IF($A1843="","",IF($A1843=经营数据!$B$3,COUNTIFS($S$2:$S$3000,1,$A$2:$A$3000,$A1843,$T$2:$T$3000,"&lt;"&amp;$T1843)+1,""))</f>
        <v/>
      </c>
      <c r="V1843" t="str">
        <f t="shared" si="430"/>
        <v>静安大融城|服务效率</v>
      </c>
      <c r="W1843">
        <f t="shared" si="431"/>
        <v>1840</v>
      </c>
      <c r="X1843" t="str">
        <f t="shared" si="432"/>
        <v>静安大融城|出租率</v>
      </c>
      <c r="Y1843">
        <f t="shared" si="433"/>
        <v>1840</v>
      </c>
      <c r="Z1843">
        <f>IF($A1843="",0,IF(AND($M1843=1,$A1843=经营数据!$B$3,$J1843=经营数据!$BA$5,OR($I1843=经营数据!$BA$4,COUNTIF(经营数据!$AA$9:$AA$38,$I1843)&gt;0)),1,0))</f>
        <v>0</v>
      </c>
      <c r="AA1843" t="str">
        <f t="shared" si="434"/>
        <v/>
      </c>
      <c r="AB1843" t="str">
        <f t="shared" si="435"/>
        <v/>
      </c>
      <c r="AC1843">
        <f>IF($A1843="",0,IF(COUNTIF($A$2:$A1843,$A1843)=1,1,0))</f>
        <v>0</v>
      </c>
      <c r="AD1843">
        <f t="shared" si="436"/>
        <v>24</v>
      </c>
      <c r="AE1843" t="str">
        <f t="shared" si="437"/>
        <v>静安大融城|出租率（%）</v>
      </c>
    </row>
    <row r="1844" spans="1:31" x14ac:dyDescent="0.4">
      <c r="A1844" t="str">
        <f>IF(原始经营数据!$D1845="","",原始经营数据!$D1845)</f>
        <v>光大保德信光大安石封闭式商业不动产证券投资基金</v>
      </c>
      <c r="B1844" t="str">
        <f>IF(原始经营数据!$D1845="","",T(原始经营数据!$E1845))</f>
        <v>静安大融城</v>
      </c>
      <c r="C1844" t="str">
        <f>IF(原始经营数据!$D1845="","",原始经营数据!$F1845)</f>
        <v>2024</v>
      </c>
      <c r="D1844" t="str">
        <f>IF(原始经营数据!$D1845="","",原始经营数据!$H1845)</f>
        <v>可租赁面积</v>
      </c>
      <c r="E1844">
        <f>IF(原始经营数据!$D1845="","",原始经营数据!$I1845)</f>
        <v>83881</v>
      </c>
      <c r="F1844" t="str">
        <f>IF(原始经营数据!$D1845="","",T(原始经营数据!$J1845))</f>
        <v>平方米</v>
      </c>
      <c r="G1844" t="str">
        <f>IF(原始经营数据!$D1845="","",T(原始经营数据!$K1845))</f>
        <v/>
      </c>
      <c r="H1844" t="str">
        <f>IF(原始经营数据!$D1845="","",原始经营数据!$G1845)</f>
        <v>服务量</v>
      </c>
      <c r="I1844" t="str">
        <f>IF($A1844="","",IF($B1844&lt;&gt;"",$B1844,IF(COUNTIFS(原始经营数据!$D$3:$D$3001,$A1844,原始经营数据!$E$3:$E$3001,"",原始经营数据!$F$3:$F$3001,$C1844,原始经营数据!$H$3:$H$3001,$D1844,原始经营数据!$K$3:$K$3001,$G1844)&gt;1,"基金整体·来源"&amp;原始经营数据!$A1845,"基金整体")))</f>
        <v>静安大融城</v>
      </c>
      <c r="J1844" t="str">
        <f t="shared" si="423"/>
        <v>年度</v>
      </c>
      <c r="K1844" t="str">
        <f t="shared" si="424"/>
        <v>可租赁面积（平方米）</v>
      </c>
      <c r="L1844" t="str">
        <f t="shared" si="425"/>
        <v>静安大融城|可租赁面积（平方米）|年度</v>
      </c>
      <c r="M1844">
        <f>IF($A1844="",0,IF(COUNTIF($L$2:$L1844,$L1844)=1,1,0))</f>
        <v>0</v>
      </c>
      <c r="N1844">
        <f t="shared" si="426"/>
        <v>20240</v>
      </c>
      <c r="O1844" t="str">
        <f t="shared" si="427"/>
        <v>光大保德信光大安石封闭式商业不动产证券投资基金|2024|年度</v>
      </c>
      <c r="P1844">
        <f>IF($A1844="",0,IF(COUNTIF($O$2:$O1844,$O1844)=1,1,0))</f>
        <v>0</v>
      </c>
      <c r="Q1844" t="str">
        <f>IF(AND($P1844=1,$A1844=经营数据!$B$3,$J1844=经营数据!$BA$5),COUNTIFS($P$2:$P$3000,1,$A$2:$A$3000,$A1844,$J$2:$J$3000,$J1844,$N$2:$N$3000,"&lt;"&amp;$N1844)+1,"")</f>
        <v/>
      </c>
      <c r="R1844" t="str">
        <f t="shared" si="428"/>
        <v>光大保德信光大安石封闭式商业不动产证券投资基金|静安大融城</v>
      </c>
      <c r="S1844">
        <f>IF($A1844="",0,IF(COUNTIF($R$2:$R1844,$R1844)=1,1,0))</f>
        <v>0</v>
      </c>
      <c r="T1844">
        <f t="shared" si="429"/>
        <v>1838</v>
      </c>
      <c r="U1844" t="str">
        <f>IF($A1844="","",IF($A1844=经营数据!$B$3,COUNTIFS($S$2:$S$3000,1,$A$2:$A$3000,$A1844,$T$2:$T$3000,"&lt;"&amp;$T1844)+1,""))</f>
        <v/>
      </c>
      <c r="V1844" t="str">
        <f t="shared" si="430"/>
        <v>静安大融城|服务量</v>
      </c>
      <c r="W1844">
        <f t="shared" si="431"/>
        <v>1838</v>
      </c>
      <c r="X1844" t="str">
        <f t="shared" si="432"/>
        <v>静安大融城|可租赁面积</v>
      </c>
      <c r="Y1844">
        <f t="shared" si="433"/>
        <v>1838</v>
      </c>
      <c r="Z1844">
        <f>IF($A1844="",0,IF(AND($M1844=1,$A1844=经营数据!$B$3,$J1844=经营数据!$BA$5,OR($I1844=经营数据!$BA$4,COUNTIF(经营数据!$AA$9:$AA$38,$I1844)&gt;0)),1,0))</f>
        <v>0</v>
      </c>
      <c r="AA1844" t="str">
        <f t="shared" si="434"/>
        <v/>
      </c>
      <c r="AB1844" t="str">
        <f t="shared" si="435"/>
        <v/>
      </c>
      <c r="AC1844">
        <f>IF($A1844="",0,IF(COUNTIF($A$2:$A1844,$A1844)=1,1,0))</f>
        <v>0</v>
      </c>
      <c r="AD1844">
        <f t="shared" si="436"/>
        <v>24</v>
      </c>
      <c r="AE1844" t="str">
        <f t="shared" si="437"/>
        <v>静安大融城|可租赁面积（平方米）</v>
      </c>
    </row>
    <row r="1845" spans="1:31" x14ac:dyDescent="0.4">
      <c r="A1845" t="str">
        <f>IF(原始经营数据!$D1846="","",原始经营数据!$D1846)</f>
        <v>光大保德信光大安石封闭式商业不动产证券投资基金</v>
      </c>
      <c r="B1845" t="str">
        <f>IF(原始经营数据!$D1846="","",T(原始经营数据!$E1846))</f>
        <v>静安大融城</v>
      </c>
      <c r="C1845" t="str">
        <f>IF(原始经营数据!$D1846="","",原始经营数据!$F1846)</f>
        <v>2025</v>
      </c>
      <c r="D1845" t="str">
        <f>IF(原始经营数据!$D1846="","",原始经营数据!$H1846)</f>
        <v>出租率</v>
      </c>
      <c r="E1845">
        <f>IF(原始经营数据!$D1846="","",原始经营数据!$I1846)</f>
        <v>91.73</v>
      </c>
      <c r="F1845" t="str">
        <f>IF(原始经营数据!$D1846="","",T(原始经营数据!$J1846))</f>
        <v>%</v>
      </c>
      <c r="G1845" t="str">
        <f>IF(原始经营数据!$D1846="","",T(原始经营数据!$K1846))</f>
        <v/>
      </c>
      <c r="H1845" t="str">
        <f>IF(原始经营数据!$D1846="","",原始经营数据!$G1846)</f>
        <v>服务效率</v>
      </c>
      <c r="I1845" t="str">
        <f>IF($A1845="","",IF($B1845&lt;&gt;"",$B1845,IF(COUNTIFS(原始经营数据!$D$3:$D$3001,$A1845,原始经营数据!$E$3:$E$3001,"",原始经营数据!$F$3:$F$3001,$C1845,原始经营数据!$H$3:$H$3001,$D1845,原始经营数据!$K$3:$K$3001,$G1845)&gt;1,"基金整体·来源"&amp;原始经营数据!$A1846,"基金整体")))</f>
        <v>静安大融城</v>
      </c>
      <c r="J1845" t="str">
        <f t="shared" si="423"/>
        <v>年度</v>
      </c>
      <c r="K1845" t="str">
        <f t="shared" si="424"/>
        <v>出租率（%）</v>
      </c>
      <c r="L1845" t="str">
        <f t="shared" si="425"/>
        <v>静安大融城|出租率（%）|年度</v>
      </c>
      <c r="M1845">
        <f>IF($A1845="",0,IF(COUNTIF($L$2:$L1845,$L1845)=1,1,0))</f>
        <v>0</v>
      </c>
      <c r="N1845">
        <f t="shared" si="426"/>
        <v>20250</v>
      </c>
      <c r="O1845" t="str">
        <f t="shared" si="427"/>
        <v>光大保德信光大安石封闭式商业不动产证券投资基金|2025|年度</v>
      </c>
      <c r="P1845">
        <f>IF($A1845="",0,IF(COUNTIF($O$2:$O1845,$O1845)=1,1,0))</f>
        <v>0</v>
      </c>
      <c r="Q1845" t="str">
        <f>IF(AND($P1845=1,$A1845=经营数据!$B$3,$J1845=经营数据!$BA$5),COUNTIFS($P$2:$P$3000,1,$A$2:$A$3000,$A1845,$J$2:$J$3000,$J1845,$N$2:$N$3000,"&lt;"&amp;$N1845)+1,"")</f>
        <v/>
      </c>
      <c r="R1845" t="str">
        <f t="shared" si="428"/>
        <v>光大保德信光大安石封闭式商业不动产证券投资基金|静安大融城</v>
      </c>
      <c r="S1845">
        <f>IF($A1845="",0,IF(COUNTIF($R$2:$R1845,$R1845)=1,1,0))</f>
        <v>0</v>
      </c>
      <c r="T1845">
        <f t="shared" si="429"/>
        <v>1838</v>
      </c>
      <c r="U1845" t="str">
        <f>IF($A1845="","",IF($A1845=经营数据!$B$3,COUNTIFS($S$2:$S$3000,1,$A$2:$A$3000,$A1845,$T$2:$T$3000,"&lt;"&amp;$T1845)+1,""))</f>
        <v/>
      </c>
      <c r="V1845" t="str">
        <f t="shared" si="430"/>
        <v>静安大融城|服务效率</v>
      </c>
      <c r="W1845">
        <f t="shared" si="431"/>
        <v>1840</v>
      </c>
      <c r="X1845" t="str">
        <f t="shared" si="432"/>
        <v>静安大融城|出租率</v>
      </c>
      <c r="Y1845">
        <f t="shared" si="433"/>
        <v>1840</v>
      </c>
      <c r="Z1845">
        <f>IF($A1845="",0,IF(AND($M1845=1,$A1845=经营数据!$B$3,$J1845=经营数据!$BA$5,OR($I1845=经营数据!$BA$4,COUNTIF(经营数据!$AA$9:$AA$38,$I1845)&gt;0)),1,0))</f>
        <v>0</v>
      </c>
      <c r="AA1845" t="str">
        <f t="shared" si="434"/>
        <v/>
      </c>
      <c r="AB1845" t="str">
        <f t="shared" si="435"/>
        <v/>
      </c>
      <c r="AC1845">
        <f>IF($A1845="",0,IF(COUNTIF($A$2:$A1845,$A1845)=1,1,0))</f>
        <v>0</v>
      </c>
      <c r="AD1845">
        <f t="shared" si="436"/>
        <v>24</v>
      </c>
      <c r="AE1845" t="str">
        <f t="shared" si="437"/>
        <v>静安大融城|出租率（%）</v>
      </c>
    </row>
    <row r="1846" spans="1:31" x14ac:dyDescent="0.4">
      <c r="A1846" t="str">
        <f>IF(原始经营数据!$D1847="","",原始经营数据!$D1847)</f>
        <v>光大保德信光大安石封闭式商业不动产证券投资基金</v>
      </c>
      <c r="B1846" t="str">
        <f>IF(原始经营数据!$D1847="","",T(原始经营数据!$E1847))</f>
        <v>静安大融城</v>
      </c>
      <c r="C1846" t="str">
        <f>IF(原始经营数据!$D1847="","",原始经营数据!$F1847)</f>
        <v>2025</v>
      </c>
      <c r="D1846" t="str">
        <f>IF(原始经营数据!$D1847="","",原始经营数据!$H1847)</f>
        <v>可租赁面积</v>
      </c>
      <c r="E1846">
        <f>IF(原始经营数据!$D1847="","",原始经营数据!$I1847)</f>
        <v>84126</v>
      </c>
      <c r="F1846" t="str">
        <f>IF(原始经营数据!$D1847="","",T(原始经营数据!$J1847))</f>
        <v>平方米</v>
      </c>
      <c r="G1846" t="str">
        <f>IF(原始经营数据!$D1847="","",T(原始经营数据!$K1847))</f>
        <v/>
      </c>
      <c r="H1846" t="str">
        <f>IF(原始经营数据!$D1847="","",原始经营数据!$G1847)</f>
        <v>服务量</v>
      </c>
      <c r="I1846" t="str">
        <f>IF($A1846="","",IF($B1846&lt;&gt;"",$B1846,IF(COUNTIFS(原始经营数据!$D$3:$D$3001,$A1846,原始经营数据!$E$3:$E$3001,"",原始经营数据!$F$3:$F$3001,$C1846,原始经营数据!$H$3:$H$3001,$D1846,原始经营数据!$K$3:$K$3001,$G1846)&gt;1,"基金整体·来源"&amp;原始经营数据!$A1847,"基金整体")))</f>
        <v>静安大融城</v>
      </c>
      <c r="J1846" t="str">
        <f t="shared" si="423"/>
        <v>年度</v>
      </c>
      <c r="K1846" t="str">
        <f t="shared" si="424"/>
        <v>可租赁面积（平方米）</v>
      </c>
      <c r="L1846" t="str">
        <f t="shared" si="425"/>
        <v>静安大融城|可租赁面积（平方米）|年度</v>
      </c>
      <c r="M1846">
        <f>IF($A1846="",0,IF(COUNTIF($L$2:$L1846,$L1846)=1,1,0))</f>
        <v>0</v>
      </c>
      <c r="N1846">
        <f t="shared" si="426"/>
        <v>20250</v>
      </c>
      <c r="O1846" t="str">
        <f t="shared" si="427"/>
        <v>光大保德信光大安石封闭式商业不动产证券投资基金|2025|年度</v>
      </c>
      <c r="P1846">
        <f>IF($A1846="",0,IF(COUNTIF($O$2:$O1846,$O1846)=1,1,0))</f>
        <v>0</v>
      </c>
      <c r="Q1846" t="str">
        <f>IF(AND($P1846=1,$A1846=经营数据!$B$3,$J1846=经营数据!$BA$5),COUNTIFS($P$2:$P$3000,1,$A$2:$A$3000,$A1846,$J$2:$J$3000,$J1846,$N$2:$N$3000,"&lt;"&amp;$N1846)+1,"")</f>
        <v/>
      </c>
      <c r="R1846" t="str">
        <f t="shared" si="428"/>
        <v>光大保德信光大安石封闭式商业不动产证券投资基金|静安大融城</v>
      </c>
      <c r="S1846">
        <f>IF($A1846="",0,IF(COUNTIF($R$2:$R1846,$R1846)=1,1,0))</f>
        <v>0</v>
      </c>
      <c r="T1846">
        <f t="shared" si="429"/>
        <v>1838</v>
      </c>
      <c r="U1846" t="str">
        <f>IF($A1846="","",IF($A1846=经营数据!$B$3,COUNTIFS($S$2:$S$3000,1,$A$2:$A$3000,$A1846,$T$2:$T$3000,"&lt;"&amp;$T1846)+1,""))</f>
        <v/>
      </c>
      <c r="V1846" t="str">
        <f t="shared" si="430"/>
        <v>静安大融城|服务量</v>
      </c>
      <c r="W1846">
        <f t="shared" si="431"/>
        <v>1838</v>
      </c>
      <c r="X1846" t="str">
        <f t="shared" si="432"/>
        <v>静安大融城|可租赁面积</v>
      </c>
      <c r="Y1846">
        <f t="shared" si="433"/>
        <v>1838</v>
      </c>
      <c r="Z1846">
        <f>IF($A1846="",0,IF(AND($M1846=1,$A1846=经营数据!$B$3,$J1846=经营数据!$BA$5,OR($I1846=经营数据!$BA$4,COUNTIF(经营数据!$AA$9:$AA$38,$I1846)&gt;0)),1,0))</f>
        <v>0</v>
      </c>
      <c r="AA1846" t="str">
        <f t="shared" si="434"/>
        <v/>
      </c>
      <c r="AB1846" t="str">
        <f t="shared" si="435"/>
        <v/>
      </c>
      <c r="AC1846">
        <f>IF($A1846="",0,IF(COUNTIF($A$2:$A1846,$A1846)=1,1,0))</f>
        <v>0</v>
      </c>
      <c r="AD1846">
        <f t="shared" si="436"/>
        <v>24</v>
      </c>
      <c r="AE1846" t="str">
        <f t="shared" si="437"/>
        <v>静安大融城|可租赁面积（平方米）</v>
      </c>
    </row>
    <row r="1847" spans="1:31" x14ac:dyDescent="0.4">
      <c r="A1847" t="str">
        <f>IF(原始经营数据!$D1848="","",原始经营数据!$D1848)</f>
        <v>光大保德信光大安石封闭式商业不动产证券投资基金</v>
      </c>
      <c r="B1847" t="str">
        <f>IF(原始经营数据!$D1848="","",T(原始经营数据!$E1848))</f>
        <v>静安大融城</v>
      </c>
      <c r="C1847" t="str">
        <f>IF(原始经营数据!$D1848="","",原始经营数据!$F1848)</f>
        <v>2025</v>
      </c>
      <c r="D1847" t="str">
        <f>IF(原始经营数据!$D1848="","",原始经营数据!$H1848)</f>
        <v>租金收入</v>
      </c>
      <c r="E1847">
        <f>IF(原始经营数据!$D1848="","",原始经营数据!$I1848)</f>
        <v>13622.25</v>
      </c>
      <c r="F1847" t="str">
        <f>IF(原始经营数据!$D1848="","",T(原始经营数据!$J1848))</f>
        <v>万元</v>
      </c>
      <c r="G1847" t="str">
        <f>IF(原始经营数据!$D1848="","",T(原始经营数据!$K1848))</f>
        <v/>
      </c>
      <c r="H1847" t="str">
        <f>IF(原始经营数据!$D1848="","",原始经营数据!$G1848)</f>
        <v>服务金额</v>
      </c>
      <c r="I1847" t="str">
        <f>IF($A1847="","",IF($B1847&lt;&gt;"",$B1847,IF(COUNTIFS(原始经营数据!$D$3:$D$3001,$A1847,原始经营数据!$E$3:$E$3001,"",原始经营数据!$F$3:$F$3001,$C1847,原始经营数据!$H$3:$H$3001,$D1847,原始经营数据!$K$3:$K$3001,$G1847)&gt;1,"基金整体·来源"&amp;原始经营数据!$A1848,"基金整体")))</f>
        <v>静安大融城</v>
      </c>
      <c r="J1847" t="str">
        <f t="shared" si="423"/>
        <v>年度</v>
      </c>
      <c r="K1847" t="str">
        <f t="shared" si="424"/>
        <v>租金收入（万元）</v>
      </c>
      <c r="L1847" t="str">
        <f t="shared" si="425"/>
        <v>静安大融城|租金收入（万元）|年度</v>
      </c>
      <c r="M1847">
        <f>IF($A1847="",0,IF(COUNTIF($L$2:$L1847,$L1847)=1,1,0))</f>
        <v>0</v>
      </c>
      <c r="N1847">
        <f t="shared" si="426"/>
        <v>20250</v>
      </c>
      <c r="O1847" t="str">
        <f t="shared" si="427"/>
        <v>光大保德信光大安石封闭式商业不动产证券投资基金|2025|年度</v>
      </c>
      <c r="P1847">
        <f>IF($A1847="",0,IF(COUNTIF($O$2:$O1847,$O1847)=1,1,0))</f>
        <v>0</v>
      </c>
      <c r="Q1847" t="str">
        <f>IF(AND($P1847=1,$A1847=经营数据!$B$3,$J1847=经营数据!$BA$5),COUNTIFS($P$2:$P$3000,1,$A$2:$A$3000,$A1847,$J$2:$J$3000,$J1847,$N$2:$N$3000,"&lt;"&amp;$N1847)+1,"")</f>
        <v/>
      </c>
      <c r="R1847" t="str">
        <f t="shared" si="428"/>
        <v>光大保德信光大安石封闭式商业不动产证券投资基金|静安大融城</v>
      </c>
      <c r="S1847">
        <f>IF($A1847="",0,IF(COUNTIF($R$2:$R1847,$R1847)=1,1,0))</f>
        <v>0</v>
      </c>
      <c r="T1847">
        <f t="shared" si="429"/>
        <v>1838</v>
      </c>
      <c r="U1847" t="str">
        <f>IF($A1847="","",IF($A1847=经营数据!$B$3,COUNTIFS($S$2:$S$3000,1,$A$2:$A$3000,$A1847,$T$2:$T$3000,"&lt;"&amp;$T1847)+1,""))</f>
        <v/>
      </c>
      <c r="V1847" t="str">
        <f t="shared" si="430"/>
        <v>静安大融城|服务金额</v>
      </c>
      <c r="W1847">
        <f t="shared" si="431"/>
        <v>1839</v>
      </c>
      <c r="X1847" t="str">
        <f t="shared" si="432"/>
        <v>静安大融城|租金收入</v>
      </c>
      <c r="Y1847">
        <f t="shared" si="433"/>
        <v>1839</v>
      </c>
      <c r="Z1847">
        <f>IF($A1847="",0,IF(AND($M1847=1,$A1847=经营数据!$B$3,$J1847=经营数据!$BA$5,OR($I1847=经营数据!$BA$4,COUNTIF(经营数据!$AA$9:$AA$38,$I1847)&gt;0)),1,0))</f>
        <v>0</v>
      </c>
      <c r="AA1847" t="str">
        <f t="shared" si="434"/>
        <v/>
      </c>
      <c r="AB1847" t="str">
        <f t="shared" si="435"/>
        <v/>
      </c>
      <c r="AC1847">
        <f>IF($A1847="",0,IF(COUNTIF($A$2:$A1847,$A1847)=1,1,0))</f>
        <v>0</v>
      </c>
      <c r="AD1847">
        <f t="shared" si="436"/>
        <v>24</v>
      </c>
      <c r="AE1847" t="str">
        <f t="shared" si="437"/>
        <v>静安大融城|租金收入（万元）</v>
      </c>
    </row>
    <row r="1848" spans="1:31" x14ac:dyDescent="0.4">
      <c r="A1848" t="str">
        <f>IF(原始经营数据!$D1849="","",原始经营数据!$D1849)</f>
        <v>国泰海通崇邦封闭式商业不动产证券投资基金</v>
      </c>
      <c r="B1848" t="str">
        <f>IF(原始经营数据!$D1849="","",T(原始经营数据!$E1849))</f>
        <v>嘉亭荟城市生活广场一期项目</v>
      </c>
      <c r="C1848" t="str">
        <f>IF(原始经营数据!$D1849="","",原始经营数据!$F1849)</f>
        <v>2022</v>
      </c>
      <c r="D1848" t="str">
        <f>IF(原始经营数据!$D1849="","",原始经营数据!$H1849)</f>
        <v>平均租金单价</v>
      </c>
      <c r="E1848">
        <f>IF(原始经营数据!$D1849="","",原始经营数据!$I1849)</f>
        <v>130.29</v>
      </c>
      <c r="F1848" t="str">
        <f>IF(原始经营数据!$D1849="","",T(原始经营数据!$J1849))</f>
        <v>元/平方米/月</v>
      </c>
      <c r="G1848" t="str">
        <f>IF(原始经营数据!$D1849="","",T(原始经营数据!$K1849))</f>
        <v/>
      </c>
      <c r="H1848" t="str">
        <f>IF(原始经营数据!$D1849="","",原始经营数据!$G1849)</f>
        <v>服务价格</v>
      </c>
      <c r="I1848" t="str">
        <f>IF($A1848="","",IF($B1848&lt;&gt;"",$B1848,IF(COUNTIFS(原始经营数据!$D$3:$D$3001,$A1848,原始经营数据!$E$3:$E$3001,"",原始经营数据!$F$3:$F$3001,$C1848,原始经营数据!$H$3:$H$3001,$D1848,原始经营数据!$K$3:$K$3001,$G1848)&gt;1,"基金整体·来源"&amp;原始经营数据!$A1849,"基金整体")))</f>
        <v>嘉亭荟城市生活广场一期项目</v>
      </c>
      <c r="J1848" t="str">
        <f t="shared" si="423"/>
        <v>年度</v>
      </c>
      <c r="K1848" t="str">
        <f t="shared" si="424"/>
        <v>平均租金单价（元/平方米/月）</v>
      </c>
      <c r="L1848" t="str">
        <f t="shared" si="425"/>
        <v>嘉亭荟城市生活广场一期项目|平均租金单价（元/平方米/月）|年度</v>
      </c>
      <c r="M1848">
        <f>IF($A1848="",0,IF(COUNTIF($L$2:$L1848,$L1848)=1,1,0))</f>
        <v>1</v>
      </c>
      <c r="N1848">
        <f t="shared" si="426"/>
        <v>20220</v>
      </c>
      <c r="O1848" t="str">
        <f t="shared" si="427"/>
        <v>国泰海通崇邦封闭式商业不动产证券投资基金|2022|年度</v>
      </c>
      <c r="P1848">
        <f>IF($A1848="",0,IF(COUNTIF($O$2:$O1848,$O1848)=1,1,0))</f>
        <v>1</v>
      </c>
      <c r="Q1848" t="str">
        <f>IF(AND($P1848=1,$A1848=经营数据!$B$3,$J1848=经营数据!$BA$5),COUNTIFS($P$2:$P$3000,1,$A$2:$A$3000,$A1848,$J$2:$J$3000,$J1848,$N$2:$N$3000,"&lt;"&amp;$N1848)+1,"")</f>
        <v/>
      </c>
      <c r="R1848" t="str">
        <f t="shared" si="428"/>
        <v>国泰海通崇邦封闭式商业不动产证券投资基金|嘉亭荟城市生活广场一期项目</v>
      </c>
      <c r="S1848">
        <f>IF($A1848="",0,IF(COUNTIF($R$2:$R1848,$R1848)=1,1,0))</f>
        <v>1</v>
      </c>
      <c r="T1848">
        <f t="shared" si="429"/>
        <v>1847</v>
      </c>
      <c r="U1848" t="str">
        <f>IF($A1848="","",IF($A1848=经营数据!$B$3,COUNTIFS($S$2:$S$3000,1,$A$2:$A$3000,$A1848,$T$2:$T$3000,"&lt;"&amp;$T1848)+1,""))</f>
        <v/>
      </c>
      <c r="V1848" t="str">
        <f t="shared" si="430"/>
        <v>嘉亭荟城市生活广场一期项目|服务价格</v>
      </c>
      <c r="W1848">
        <f t="shared" si="431"/>
        <v>1847</v>
      </c>
      <c r="X1848" t="str">
        <f t="shared" si="432"/>
        <v>嘉亭荟城市生活广场一期项目|平均租金单价</v>
      </c>
      <c r="Y1848">
        <f t="shared" si="433"/>
        <v>1847</v>
      </c>
      <c r="Z1848">
        <f>IF($A1848="",0,IF(AND($M1848=1,$A1848=经营数据!$B$3,$J1848=经营数据!$BA$5,OR($I1848=经营数据!$BA$4,COUNTIF(经营数据!$AA$9:$AA$38,$I1848)&gt;0)),1,0))</f>
        <v>0</v>
      </c>
      <c r="AA1848" t="str">
        <f t="shared" si="434"/>
        <v/>
      </c>
      <c r="AB1848" t="str">
        <f t="shared" si="435"/>
        <v/>
      </c>
      <c r="AC1848">
        <f>IF($A1848="",0,IF(COUNTIF($A$2:$A1848,$A1848)=1,1,0))</f>
        <v>1</v>
      </c>
      <c r="AD1848">
        <f t="shared" si="436"/>
        <v>25</v>
      </c>
      <c r="AE1848" t="str">
        <f t="shared" si="437"/>
        <v>嘉亭荟城市生活广场一期项目|平均租金单价（元/平方米/月）</v>
      </c>
    </row>
    <row r="1849" spans="1:31" x14ac:dyDescent="0.4">
      <c r="A1849" t="str">
        <f>IF(原始经营数据!$D1850="","",原始经营数据!$D1850)</f>
        <v>国泰海通崇邦封闭式商业不动产证券投资基金</v>
      </c>
      <c r="B1849" t="str">
        <f>IF(原始经营数据!$D1850="","",T(原始经营数据!$E1850))</f>
        <v>嘉亭荟城市生活广场一期项目</v>
      </c>
      <c r="C1849" t="str">
        <f>IF(原始经营数据!$D1850="","",原始经营数据!$F1850)</f>
        <v>2022</v>
      </c>
      <c r="D1849" t="str">
        <f>IF(原始经营数据!$D1850="","",原始经营数据!$H1850)</f>
        <v>出租率</v>
      </c>
      <c r="E1849">
        <f>IF(原始经营数据!$D1850="","",原始经营数据!$I1850)</f>
        <v>92.36</v>
      </c>
      <c r="F1849" t="str">
        <f>IF(原始经营数据!$D1850="","",T(原始经营数据!$J1850))</f>
        <v>%</v>
      </c>
      <c r="G1849" t="str">
        <f>IF(原始经营数据!$D1850="","",T(原始经营数据!$K1850))</f>
        <v/>
      </c>
      <c r="H1849" t="str">
        <f>IF(原始经营数据!$D1850="","",原始经营数据!$G1850)</f>
        <v>服务效率</v>
      </c>
      <c r="I1849" t="str">
        <f>IF($A1849="","",IF($B1849&lt;&gt;"",$B1849,IF(COUNTIFS(原始经营数据!$D$3:$D$3001,$A1849,原始经营数据!$E$3:$E$3001,"",原始经营数据!$F$3:$F$3001,$C1849,原始经营数据!$H$3:$H$3001,$D1849,原始经营数据!$K$3:$K$3001,$G1849)&gt;1,"基金整体·来源"&amp;原始经营数据!$A1850,"基金整体")))</f>
        <v>嘉亭荟城市生活广场一期项目</v>
      </c>
      <c r="J1849" t="str">
        <f t="shared" si="423"/>
        <v>年度</v>
      </c>
      <c r="K1849" t="str">
        <f t="shared" si="424"/>
        <v>出租率（%）</v>
      </c>
      <c r="L1849" t="str">
        <f t="shared" si="425"/>
        <v>嘉亭荟城市生活广场一期项目|出租率（%）|年度</v>
      </c>
      <c r="M1849">
        <f>IF($A1849="",0,IF(COUNTIF($L$2:$L1849,$L1849)=1,1,0))</f>
        <v>1</v>
      </c>
      <c r="N1849">
        <f t="shared" si="426"/>
        <v>20220</v>
      </c>
      <c r="O1849" t="str">
        <f t="shared" si="427"/>
        <v>国泰海通崇邦封闭式商业不动产证券投资基金|2022|年度</v>
      </c>
      <c r="P1849">
        <f>IF($A1849="",0,IF(COUNTIF($O$2:$O1849,$O1849)=1,1,0))</f>
        <v>0</v>
      </c>
      <c r="Q1849" t="str">
        <f>IF(AND($P1849=1,$A1849=经营数据!$B$3,$J1849=经营数据!$BA$5),COUNTIFS($P$2:$P$3000,1,$A$2:$A$3000,$A1849,$J$2:$J$3000,$J1849,$N$2:$N$3000,"&lt;"&amp;$N1849)+1,"")</f>
        <v/>
      </c>
      <c r="R1849" t="str">
        <f t="shared" si="428"/>
        <v>国泰海通崇邦封闭式商业不动产证券投资基金|嘉亭荟城市生活广场一期项目</v>
      </c>
      <c r="S1849">
        <f>IF($A1849="",0,IF(COUNTIF($R$2:$R1849,$R1849)=1,1,0))</f>
        <v>0</v>
      </c>
      <c r="T1849">
        <f t="shared" si="429"/>
        <v>1847</v>
      </c>
      <c r="U1849" t="str">
        <f>IF($A1849="","",IF($A1849=经营数据!$B$3,COUNTIFS($S$2:$S$3000,1,$A$2:$A$3000,$A1849,$T$2:$T$3000,"&lt;"&amp;$T1849)+1,""))</f>
        <v/>
      </c>
      <c r="V1849" t="str">
        <f t="shared" si="430"/>
        <v>嘉亭荟城市生活广场一期项目|服务效率</v>
      </c>
      <c r="W1849">
        <f t="shared" si="431"/>
        <v>1848</v>
      </c>
      <c r="X1849" t="str">
        <f t="shared" si="432"/>
        <v>嘉亭荟城市生活广场一期项目|出租率</v>
      </c>
      <c r="Y1849">
        <f t="shared" si="433"/>
        <v>1848</v>
      </c>
      <c r="Z1849">
        <f>IF($A1849="",0,IF(AND($M1849=1,$A1849=经营数据!$B$3,$J1849=经营数据!$BA$5,OR($I1849=经营数据!$BA$4,COUNTIF(经营数据!$AA$9:$AA$38,$I1849)&gt;0)),1,0))</f>
        <v>0</v>
      </c>
      <c r="AA1849" t="str">
        <f t="shared" si="434"/>
        <v/>
      </c>
      <c r="AB1849" t="str">
        <f t="shared" si="435"/>
        <v/>
      </c>
      <c r="AC1849">
        <f>IF($A1849="",0,IF(COUNTIF($A$2:$A1849,$A1849)=1,1,0))</f>
        <v>0</v>
      </c>
      <c r="AD1849">
        <f t="shared" si="436"/>
        <v>25</v>
      </c>
      <c r="AE1849" t="str">
        <f t="shared" si="437"/>
        <v>嘉亭荟城市生活广场一期项目|出租率（%）</v>
      </c>
    </row>
    <row r="1850" spans="1:31" x14ac:dyDescent="0.4">
      <c r="A1850" t="str">
        <f>IF(原始经营数据!$D1851="","",原始经营数据!$D1851)</f>
        <v>国泰海通崇邦封闭式商业不动产证券投资基金</v>
      </c>
      <c r="B1850" t="str">
        <f>IF(原始经营数据!$D1851="","",T(原始经营数据!$E1851))</f>
        <v>嘉亭荟城市生活广场一期项目</v>
      </c>
      <c r="C1850" t="str">
        <f>IF(原始经营数据!$D1851="","",原始经营数据!$F1851)</f>
        <v>2023</v>
      </c>
      <c r="D1850" t="str">
        <f>IF(原始经营数据!$D1851="","",原始经营数据!$H1851)</f>
        <v>平均租金单价</v>
      </c>
      <c r="E1850">
        <f>IF(原始经营数据!$D1851="","",原始经营数据!$I1851)</f>
        <v>160.32</v>
      </c>
      <c r="F1850" t="str">
        <f>IF(原始经营数据!$D1851="","",T(原始经营数据!$J1851))</f>
        <v>元/平方米/月</v>
      </c>
      <c r="G1850" t="str">
        <f>IF(原始经营数据!$D1851="","",T(原始经营数据!$K1851))</f>
        <v/>
      </c>
      <c r="H1850" t="str">
        <f>IF(原始经营数据!$D1851="","",原始经营数据!$G1851)</f>
        <v>服务价格</v>
      </c>
      <c r="I1850" t="str">
        <f>IF($A1850="","",IF($B1850&lt;&gt;"",$B1850,IF(COUNTIFS(原始经营数据!$D$3:$D$3001,$A1850,原始经营数据!$E$3:$E$3001,"",原始经营数据!$F$3:$F$3001,$C1850,原始经营数据!$H$3:$H$3001,$D1850,原始经营数据!$K$3:$K$3001,$G1850)&gt;1,"基金整体·来源"&amp;原始经营数据!$A1851,"基金整体")))</f>
        <v>嘉亭荟城市生活广场一期项目</v>
      </c>
      <c r="J1850" t="str">
        <f t="shared" si="423"/>
        <v>年度</v>
      </c>
      <c r="K1850" t="str">
        <f t="shared" si="424"/>
        <v>平均租金单价（元/平方米/月）</v>
      </c>
      <c r="L1850" t="str">
        <f t="shared" si="425"/>
        <v>嘉亭荟城市生活广场一期项目|平均租金单价（元/平方米/月）|年度</v>
      </c>
      <c r="M1850">
        <f>IF($A1850="",0,IF(COUNTIF($L$2:$L1850,$L1850)=1,1,0))</f>
        <v>0</v>
      </c>
      <c r="N1850">
        <f t="shared" si="426"/>
        <v>20230</v>
      </c>
      <c r="O1850" t="str">
        <f t="shared" si="427"/>
        <v>国泰海通崇邦封闭式商业不动产证券投资基金|2023|年度</v>
      </c>
      <c r="P1850">
        <f>IF($A1850="",0,IF(COUNTIF($O$2:$O1850,$O1850)=1,1,0))</f>
        <v>1</v>
      </c>
      <c r="Q1850" t="str">
        <f>IF(AND($P1850=1,$A1850=经营数据!$B$3,$J1850=经营数据!$BA$5),COUNTIFS($P$2:$P$3000,1,$A$2:$A$3000,$A1850,$J$2:$J$3000,$J1850,$N$2:$N$3000,"&lt;"&amp;$N1850)+1,"")</f>
        <v/>
      </c>
      <c r="R1850" t="str">
        <f t="shared" si="428"/>
        <v>国泰海通崇邦封闭式商业不动产证券投资基金|嘉亭荟城市生活广场一期项目</v>
      </c>
      <c r="S1850">
        <f>IF($A1850="",0,IF(COUNTIF($R$2:$R1850,$R1850)=1,1,0))</f>
        <v>0</v>
      </c>
      <c r="T1850">
        <f t="shared" si="429"/>
        <v>1847</v>
      </c>
      <c r="U1850" t="str">
        <f>IF($A1850="","",IF($A1850=经营数据!$B$3,COUNTIFS($S$2:$S$3000,1,$A$2:$A$3000,$A1850,$T$2:$T$3000,"&lt;"&amp;$T1850)+1,""))</f>
        <v/>
      </c>
      <c r="V1850" t="str">
        <f t="shared" si="430"/>
        <v>嘉亭荟城市生活广场一期项目|服务价格</v>
      </c>
      <c r="W1850">
        <f t="shared" si="431"/>
        <v>1847</v>
      </c>
      <c r="X1850" t="str">
        <f t="shared" si="432"/>
        <v>嘉亭荟城市生活广场一期项目|平均租金单价</v>
      </c>
      <c r="Y1850">
        <f t="shared" si="433"/>
        <v>1847</v>
      </c>
      <c r="Z1850">
        <f>IF($A1850="",0,IF(AND($M1850=1,$A1850=经营数据!$B$3,$J1850=经营数据!$BA$5,OR($I1850=经营数据!$BA$4,COUNTIF(经营数据!$AA$9:$AA$38,$I1850)&gt;0)),1,0))</f>
        <v>0</v>
      </c>
      <c r="AA1850" t="str">
        <f t="shared" si="434"/>
        <v/>
      </c>
      <c r="AB1850" t="str">
        <f t="shared" si="435"/>
        <v/>
      </c>
      <c r="AC1850">
        <f>IF($A1850="",0,IF(COUNTIF($A$2:$A1850,$A1850)=1,1,0))</f>
        <v>0</v>
      </c>
      <c r="AD1850">
        <f t="shared" si="436"/>
        <v>25</v>
      </c>
      <c r="AE1850" t="str">
        <f t="shared" si="437"/>
        <v>嘉亭荟城市生活广场一期项目|平均租金单价（元/平方米/月）</v>
      </c>
    </row>
    <row r="1851" spans="1:31" x14ac:dyDescent="0.4">
      <c r="A1851" t="str">
        <f>IF(原始经营数据!$D1852="","",原始经营数据!$D1852)</f>
        <v>国泰海通崇邦封闭式商业不动产证券投资基金</v>
      </c>
      <c r="B1851" t="str">
        <f>IF(原始经营数据!$D1852="","",T(原始经营数据!$E1852))</f>
        <v>嘉亭荟城市生活广场一期项目</v>
      </c>
      <c r="C1851" t="str">
        <f>IF(原始经营数据!$D1852="","",原始经营数据!$F1852)</f>
        <v>2023</v>
      </c>
      <c r="D1851" t="str">
        <f>IF(原始经营数据!$D1852="","",原始经营数据!$H1852)</f>
        <v>出租率</v>
      </c>
      <c r="E1851">
        <f>IF(原始经营数据!$D1852="","",原始经营数据!$I1852)</f>
        <v>91.35</v>
      </c>
      <c r="F1851" t="str">
        <f>IF(原始经营数据!$D1852="","",T(原始经营数据!$J1852))</f>
        <v>%</v>
      </c>
      <c r="G1851" t="str">
        <f>IF(原始经营数据!$D1852="","",T(原始经营数据!$K1852))</f>
        <v/>
      </c>
      <c r="H1851" t="str">
        <f>IF(原始经营数据!$D1852="","",原始经营数据!$G1852)</f>
        <v>服务效率</v>
      </c>
      <c r="I1851" t="str">
        <f>IF($A1851="","",IF($B1851&lt;&gt;"",$B1851,IF(COUNTIFS(原始经营数据!$D$3:$D$3001,$A1851,原始经营数据!$E$3:$E$3001,"",原始经营数据!$F$3:$F$3001,$C1851,原始经营数据!$H$3:$H$3001,$D1851,原始经营数据!$K$3:$K$3001,$G1851)&gt;1,"基金整体·来源"&amp;原始经营数据!$A1852,"基金整体")))</f>
        <v>嘉亭荟城市生活广场一期项目</v>
      </c>
      <c r="J1851" t="str">
        <f t="shared" si="423"/>
        <v>年度</v>
      </c>
      <c r="K1851" t="str">
        <f t="shared" si="424"/>
        <v>出租率（%）</v>
      </c>
      <c r="L1851" t="str">
        <f t="shared" si="425"/>
        <v>嘉亭荟城市生活广场一期项目|出租率（%）|年度</v>
      </c>
      <c r="M1851">
        <f>IF($A1851="",0,IF(COUNTIF($L$2:$L1851,$L1851)=1,1,0))</f>
        <v>0</v>
      </c>
      <c r="N1851">
        <f t="shared" si="426"/>
        <v>20230</v>
      </c>
      <c r="O1851" t="str">
        <f t="shared" si="427"/>
        <v>国泰海通崇邦封闭式商业不动产证券投资基金|2023|年度</v>
      </c>
      <c r="P1851">
        <f>IF($A1851="",0,IF(COUNTIF($O$2:$O1851,$O1851)=1,1,0))</f>
        <v>0</v>
      </c>
      <c r="Q1851" t="str">
        <f>IF(AND($P1851=1,$A1851=经营数据!$B$3,$J1851=经营数据!$BA$5),COUNTIFS($P$2:$P$3000,1,$A$2:$A$3000,$A1851,$J$2:$J$3000,$J1851,$N$2:$N$3000,"&lt;"&amp;$N1851)+1,"")</f>
        <v/>
      </c>
      <c r="R1851" t="str">
        <f t="shared" si="428"/>
        <v>国泰海通崇邦封闭式商业不动产证券投资基金|嘉亭荟城市生活广场一期项目</v>
      </c>
      <c r="S1851">
        <f>IF($A1851="",0,IF(COUNTIF($R$2:$R1851,$R1851)=1,1,0))</f>
        <v>0</v>
      </c>
      <c r="T1851">
        <f t="shared" si="429"/>
        <v>1847</v>
      </c>
      <c r="U1851" t="str">
        <f>IF($A1851="","",IF($A1851=经营数据!$B$3,COUNTIFS($S$2:$S$3000,1,$A$2:$A$3000,$A1851,$T$2:$T$3000,"&lt;"&amp;$T1851)+1,""))</f>
        <v/>
      </c>
      <c r="V1851" t="str">
        <f t="shared" si="430"/>
        <v>嘉亭荟城市生活广场一期项目|服务效率</v>
      </c>
      <c r="W1851">
        <f t="shared" si="431"/>
        <v>1848</v>
      </c>
      <c r="X1851" t="str">
        <f t="shared" si="432"/>
        <v>嘉亭荟城市生活广场一期项目|出租率</v>
      </c>
      <c r="Y1851">
        <f t="shared" si="433"/>
        <v>1848</v>
      </c>
      <c r="Z1851">
        <f>IF($A1851="",0,IF(AND($M1851=1,$A1851=经营数据!$B$3,$J1851=经营数据!$BA$5,OR($I1851=经营数据!$BA$4,COUNTIF(经营数据!$AA$9:$AA$38,$I1851)&gt;0)),1,0))</f>
        <v>0</v>
      </c>
      <c r="AA1851" t="str">
        <f t="shared" si="434"/>
        <v/>
      </c>
      <c r="AB1851" t="str">
        <f t="shared" si="435"/>
        <v/>
      </c>
      <c r="AC1851">
        <f>IF($A1851="",0,IF(COUNTIF($A$2:$A1851,$A1851)=1,1,0))</f>
        <v>0</v>
      </c>
      <c r="AD1851">
        <f t="shared" si="436"/>
        <v>25</v>
      </c>
      <c r="AE1851" t="str">
        <f t="shared" si="437"/>
        <v>嘉亭荟城市生活广场一期项目|出租率（%）</v>
      </c>
    </row>
    <row r="1852" spans="1:31" x14ac:dyDescent="0.4">
      <c r="A1852" t="str">
        <f>IF(原始经营数据!$D1853="","",原始经营数据!$D1853)</f>
        <v>国泰海通崇邦封闭式商业不动产证券投资基金</v>
      </c>
      <c r="B1852" t="str">
        <f>IF(原始经营数据!$D1853="","",T(原始经营数据!$E1853))</f>
        <v>嘉亭荟城市生活广场一期项目</v>
      </c>
      <c r="C1852" t="str">
        <f>IF(原始经营数据!$D1853="","",原始经营数据!$F1853)</f>
        <v>2024</v>
      </c>
      <c r="D1852" t="str">
        <f>IF(原始经营数据!$D1853="","",原始经营数据!$H1853)</f>
        <v>平均租金单价</v>
      </c>
      <c r="E1852">
        <f>IF(原始经营数据!$D1853="","",原始经营数据!$I1853)</f>
        <v>154.15</v>
      </c>
      <c r="F1852" t="str">
        <f>IF(原始经营数据!$D1853="","",T(原始经营数据!$J1853))</f>
        <v>元/平方米/月</v>
      </c>
      <c r="G1852" t="str">
        <f>IF(原始经营数据!$D1853="","",T(原始经营数据!$K1853))</f>
        <v/>
      </c>
      <c r="H1852" t="str">
        <f>IF(原始经营数据!$D1853="","",原始经营数据!$G1853)</f>
        <v>服务价格</v>
      </c>
      <c r="I1852" t="str">
        <f>IF($A1852="","",IF($B1852&lt;&gt;"",$B1852,IF(COUNTIFS(原始经营数据!$D$3:$D$3001,$A1852,原始经营数据!$E$3:$E$3001,"",原始经营数据!$F$3:$F$3001,$C1852,原始经营数据!$H$3:$H$3001,$D1852,原始经营数据!$K$3:$K$3001,$G1852)&gt;1,"基金整体·来源"&amp;原始经营数据!$A1853,"基金整体")))</f>
        <v>嘉亭荟城市生活广场一期项目</v>
      </c>
      <c r="J1852" t="str">
        <f t="shared" si="423"/>
        <v>年度</v>
      </c>
      <c r="K1852" t="str">
        <f t="shared" si="424"/>
        <v>平均租金单价（元/平方米/月）</v>
      </c>
      <c r="L1852" t="str">
        <f t="shared" si="425"/>
        <v>嘉亭荟城市生活广场一期项目|平均租金单价（元/平方米/月）|年度</v>
      </c>
      <c r="M1852">
        <f>IF($A1852="",0,IF(COUNTIF($L$2:$L1852,$L1852)=1,1,0))</f>
        <v>0</v>
      </c>
      <c r="N1852">
        <f t="shared" si="426"/>
        <v>20240</v>
      </c>
      <c r="O1852" t="str">
        <f t="shared" si="427"/>
        <v>国泰海通崇邦封闭式商业不动产证券投资基金|2024|年度</v>
      </c>
      <c r="P1852">
        <f>IF($A1852="",0,IF(COUNTIF($O$2:$O1852,$O1852)=1,1,0))</f>
        <v>1</v>
      </c>
      <c r="Q1852" t="str">
        <f>IF(AND($P1852=1,$A1852=经营数据!$B$3,$J1852=经营数据!$BA$5),COUNTIFS($P$2:$P$3000,1,$A$2:$A$3000,$A1852,$J$2:$J$3000,$J1852,$N$2:$N$3000,"&lt;"&amp;$N1852)+1,"")</f>
        <v/>
      </c>
      <c r="R1852" t="str">
        <f t="shared" si="428"/>
        <v>国泰海通崇邦封闭式商业不动产证券投资基金|嘉亭荟城市生活广场一期项目</v>
      </c>
      <c r="S1852">
        <f>IF($A1852="",0,IF(COUNTIF($R$2:$R1852,$R1852)=1,1,0))</f>
        <v>0</v>
      </c>
      <c r="T1852">
        <f t="shared" si="429"/>
        <v>1847</v>
      </c>
      <c r="U1852" t="str">
        <f>IF($A1852="","",IF($A1852=经营数据!$B$3,COUNTIFS($S$2:$S$3000,1,$A$2:$A$3000,$A1852,$T$2:$T$3000,"&lt;"&amp;$T1852)+1,""))</f>
        <v/>
      </c>
      <c r="V1852" t="str">
        <f t="shared" si="430"/>
        <v>嘉亭荟城市生活广场一期项目|服务价格</v>
      </c>
      <c r="W1852">
        <f t="shared" si="431"/>
        <v>1847</v>
      </c>
      <c r="X1852" t="str">
        <f t="shared" si="432"/>
        <v>嘉亭荟城市生活广场一期项目|平均租金单价</v>
      </c>
      <c r="Y1852">
        <f t="shared" si="433"/>
        <v>1847</v>
      </c>
      <c r="Z1852">
        <f>IF($A1852="",0,IF(AND($M1852=1,$A1852=经营数据!$B$3,$J1852=经营数据!$BA$5,OR($I1852=经营数据!$BA$4,COUNTIF(经营数据!$AA$9:$AA$38,$I1852)&gt;0)),1,0))</f>
        <v>0</v>
      </c>
      <c r="AA1852" t="str">
        <f t="shared" si="434"/>
        <v/>
      </c>
      <c r="AB1852" t="str">
        <f t="shared" si="435"/>
        <v/>
      </c>
      <c r="AC1852">
        <f>IF($A1852="",0,IF(COUNTIF($A$2:$A1852,$A1852)=1,1,0))</f>
        <v>0</v>
      </c>
      <c r="AD1852">
        <f t="shared" si="436"/>
        <v>25</v>
      </c>
      <c r="AE1852" t="str">
        <f t="shared" si="437"/>
        <v>嘉亭荟城市生活广场一期项目|平均租金单价（元/平方米/月）</v>
      </c>
    </row>
    <row r="1853" spans="1:31" x14ac:dyDescent="0.4">
      <c r="A1853" t="str">
        <f>IF(原始经营数据!$D1854="","",原始经营数据!$D1854)</f>
        <v>国泰海通崇邦封闭式商业不动产证券投资基金</v>
      </c>
      <c r="B1853" t="str">
        <f>IF(原始经营数据!$D1854="","",T(原始经营数据!$E1854))</f>
        <v>嘉亭荟城市生活广场一期项目</v>
      </c>
      <c r="C1853" t="str">
        <f>IF(原始经营数据!$D1854="","",原始经营数据!$F1854)</f>
        <v>2024</v>
      </c>
      <c r="D1853" t="str">
        <f>IF(原始经营数据!$D1854="","",原始经营数据!$H1854)</f>
        <v>出租率</v>
      </c>
      <c r="E1853">
        <f>IF(原始经营数据!$D1854="","",原始经营数据!$I1854)</f>
        <v>83.05</v>
      </c>
      <c r="F1853" t="str">
        <f>IF(原始经营数据!$D1854="","",T(原始经营数据!$J1854))</f>
        <v>%</v>
      </c>
      <c r="G1853" t="str">
        <f>IF(原始经营数据!$D1854="","",T(原始经营数据!$K1854))</f>
        <v/>
      </c>
      <c r="H1853" t="str">
        <f>IF(原始经营数据!$D1854="","",原始经营数据!$G1854)</f>
        <v>服务效率</v>
      </c>
      <c r="I1853" t="str">
        <f>IF($A1853="","",IF($B1853&lt;&gt;"",$B1853,IF(COUNTIFS(原始经营数据!$D$3:$D$3001,$A1853,原始经营数据!$E$3:$E$3001,"",原始经营数据!$F$3:$F$3001,$C1853,原始经营数据!$H$3:$H$3001,$D1853,原始经营数据!$K$3:$K$3001,$G1853)&gt;1,"基金整体·来源"&amp;原始经营数据!$A1854,"基金整体")))</f>
        <v>嘉亭荟城市生活广场一期项目</v>
      </c>
      <c r="J1853" t="str">
        <f t="shared" si="423"/>
        <v>年度</v>
      </c>
      <c r="K1853" t="str">
        <f t="shared" si="424"/>
        <v>出租率（%）</v>
      </c>
      <c r="L1853" t="str">
        <f t="shared" si="425"/>
        <v>嘉亭荟城市生活广场一期项目|出租率（%）|年度</v>
      </c>
      <c r="M1853">
        <f>IF($A1853="",0,IF(COUNTIF($L$2:$L1853,$L1853)=1,1,0))</f>
        <v>0</v>
      </c>
      <c r="N1853">
        <f t="shared" si="426"/>
        <v>20240</v>
      </c>
      <c r="O1853" t="str">
        <f t="shared" si="427"/>
        <v>国泰海通崇邦封闭式商业不动产证券投资基金|2024|年度</v>
      </c>
      <c r="P1853">
        <f>IF($A1853="",0,IF(COUNTIF($O$2:$O1853,$O1853)=1,1,0))</f>
        <v>0</v>
      </c>
      <c r="Q1853" t="str">
        <f>IF(AND($P1853=1,$A1853=经营数据!$B$3,$J1853=经营数据!$BA$5),COUNTIFS($P$2:$P$3000,1,$A$2:$A$3000,$A1853,$J$2:$J$3000,$J1853,$N$2:$N$3000,"&lt;"&amp;$N1853)+1,"")</f>
        <v/>
      </c>
      <c r="R1853" t="str">
        <f t="shared" si="428"/>
        <v>国泰海通崇邦封闭式商业不动产证券投资基金|嘉亭荟城市生活广场一期项目</v>
      </c>
      <c r="S1853">
        <f>IF($A1853="",0,IF(COUNTIF($R$2:$R1853,$R1853)=1,1,0))</f>
        <v>0</v>
      </c>
      <c r="T1853">
        <f t="shared" si="429"/>
        <v>1847</v>
      </c>
      <c r="U1853" t="str">
        <f>IF($A1853="","",IF($A1853=经营数据!$B$3,COUNTIFS($S$2:$S$3000,1,$A$2:$A$3000,$A1853,$T$2:$T$3000,"&lt;"&amp;$T1853)+1,""))</f>
        <v/>
      </c>
      <c r="V1853" t="str">
        <f t="shared" si="430"/>
        <v>嘉亭荟城市生活广场一期项目|服务效率</v>
      </c>
      <c r="W1853">
        <f t="shared" si="431"/>
        <v>1848</v>
      </c>
      <c r="X1853" t="str">
        <f t="shared" si="432"/>
        <v>嘉亭荟城市生活广场一期项目|出租率</v>
      </c>
      <c r="Y1853">
        <f t="shared" si="433"/>
        <v>1848</v>
      </c>
      <c r="Z1853">
        <f>IF($A1853="",0,IF(AND($M1853=1,$A1853=经营数据!$B$3,$J1853=经营数据!$BA$5,OR($I1853=经营数据!$BA$4,COUNTIF(经营数据!$AA$9:$AA$38,$I1853)&gt;0)),1,0))</f>
        <v>0</v>
      </c>
      <c r="AA1853" t="str">
        <f t="shared" si="434"/>
        <v/>
      </c>
      <c r="AB1853" t="str">
        <f t="shared" si="435"/>
        <v/>
      </c>
      <c r="AC1853">
        <f>IF($A1853="",0,IF(COUNTIF($A$2:$A1853,$A1853)=1,1,0))</f>
        <v>0</v>
      </c>
      <c r="AD1853">
        <f t="shared" si="436"/>
        <v>25</v>
      </c>
      <c r="AE1853" t="str">
        <f t="shared" si="437"/>
        <v>嘉亭荟城市生活广场一期项目|出租率（%）</v>
      </c>
    </row>
    <row r="1854" spans="1:31" x14ac:dyDescent="0.4">
      <c r="A1854" t="str">
        <f>IF(原始经营数据!$D1855="","",原始经营数据!$D1855)</f>
        <v>国泰海通崇邦封闭式商业不动产证券投资基金</v>
      </c>
      <c r="B1854" t="str">
        <f>IF(原始经营数据!$D1855="","",T(原始经营数据!$E1855))</f>
        <v>嘉亭荟城市生活广场一期项目</v>
      </c>
      <c r="C1854" t="str">
        <f>IF(原始经营数据!$D1855="","",原始经营数据!$F1855)</f>
        <v>2025.01-09</v>
      </c>
      <c r="D1854" t="str">
        <f>IF(原始经营数据!$D1855="","",原始经营数据!$H1855)</f>
        <v>平均租金单价</v>
      </c>
      <c r="E1854">
        <f>IF(原始经营数据!$D1855="","",原始经营数据!$I1855)</f>
        <v>140.1</v>
      </c>
      <c r="F1854" t="str">
        <f>IF(原始经营数据!$D1855="","",T(原始经营数据!$J1855))</f>
        <v>元/平方米/月</v>
      </c>
      <c r="G1854" t="str">
        <f>IF(原始经营数据!$D1855="","",T(原始经营数据!$K1855))</f>
        <v/>
      </c>
      <c r="H1854" t="str">
        <f>IF(原始经营数据!$D1855="","",原始经营数据!$G1855)</f>
        <v>服务价格</v>
      </c>
      <c r="I1854" t="str">
        <f>IF($A1854="","",IF($B1854&lt;&gt;"",$B1854,IF(COUNTIFS(原始经营数据!$D$3:$D$3001,$A1854,原始经营数据!$E$3:$E$3001,"",原始经营数据!$F$3:$F$3001,$C1854,原始经营数据!$H$3:$H$3001,$D1854,原始经营数据!$K$3:$K$3001,$G1854)&gt;1,"基金整体·来源"&amp;原始经营数据!$A1855,"基金整体")))</f>
        <v>嘉亭荟城市生活广场一期项目</v>
      </c>
      <c r="J1854" t="str">
        <f t="shared" si="423"/>
        <v>其他期间</v>
      </c>
      <c r="K1854" t="str">
        <f t="shared" si="424"/>
        <v>平均租金单价（元/平方米/月）</v>
      </c>
      <c r="L1854" t="str">
        <f t="shared" si="425"/>
        <v>嘉亭荟城市生活广场一期项目|平均租金单价（元/平方米/月）|其他期间</v>
      </c>
      <c r="M1854">
        <f>IF($A1854="",0,IF(COUNTIF($L$2:$L1854,$L1854)=1,1,0))</f>
        <v>1</v>
      </c>
      <c r="N1854">
        <f t="shared" si="426"/>
        <v>20259</v>
      </c>
      <c r="O1854" t="str">
        <f t="shared" si="427"/>
        <v>国泰海通崇邦封闭式商业不动产证券投资基金|2025.01-09|其他期间</v>
      </c>
      <c r="P1854">
        <f>IF($A1854="",0,IF(COUNTIF($O$2:$O1854,$O1854)=1,1,0))</f>
        <v>1</v>
      </c>
      <c r="Q1854" t="str">
        <f>IF(AND($P1854=1,$A1854=经营数据!$B$3,$J1854=经营数据!$BA$5),COUNTIFS($P$2:$P$3000,1,$A$2:$A$3000,$A1854,$J$2:$J$3000,$J1854,$N$2:$N$3000,"&lt;"&amp;$N1854)+1,"")</f>
        <v/>
      </c>
      <c r="R1854" t="str">
        <f t="shared" si="428"/>
        <v>国泰海通崇邦封闭式商业不动产证券投资基金|嘉亭荟城市生活广场一期项目</v>
      </c>
      <c r="S1854">
        <f>IF($A1854="",0,IF(COUNTIF($R$2:$R1854,$R1854)=1,1,0))</f>
        <v>0</v>
      </c>
      <c r="T1854">
        <f t="shared" si="429"/>
        <v>1847</v>
      </c>
      <c r="U1854" t="str">
        <f>IF($A1854="","",IF($A1854=经营数据!$B$3,COUNTIFS($S$2:$S$3000,1,$A$2:$A$3000,$A1854,$T$2:$T$3000,"&lt;"&amp;$T1854)+1,""))</f>
        <v/>
      </c>
      <c r="V1854" t="str">
        <f t="shared" si="430"/>
        <v>嘉亭荟城市生活广场一期项目|服务价格</v>
      </c>
      <c r="W1854">
        <f t="shared" si="431"/>
        <v>1847</v>
      </c>
      <c r="X1854" t="str">
        <f t="shared" si="432"/>
        <v>嘉亭荟城市生活广场一期项目|平均租金单价</v>
      </c>
      <c r="Y1854">
        <f t="shared" si="433"/>
        <v>1847</v>
      </c>
      <c r="Z1854">
        <f>IF($A1854="",0,IF(AND($M1854=1,$A1854=经营数据!$B$3,$J1854=经营数据!$BA$5,OR($I1854=经营数据!$BA$4,COUNTIF(经营数据!$AA$9:$AA$38,$I1854)&gt;0)),1,0))</f>
        <v>0</v>
      </c>
      <c r="AA1854" t="str">
        <f t="shared" si="434"/>
        <v/>
      </c>
      <c r="AB1854" t="str">
        <f t="shared" si="435"/>
        <v/>
      </c>
      <c r="AC1854">
        <f>IF($A1854="",0,IF(COUNTIF($A$2:$A1854,$A1854)=1,1,0))</f>
        <v>0</v>
      </c>
      <c r="AD1854">
        <f t="shared" si="436"/>
        <v>25</v>
      </c>
      <c r="AE1854" t="str">
        <f t="shared" si="437"/>
        <v>嘉亭荟城市生活广场一期项目|平均租金单价（元/平方米/月）</v>
      </c>
    </row>
    <row r="1855" spans="1:31" x14ac:dyDescent="0.4">
      <c r="A1855" t="str">
        <f>IF(原始经营数据!$D1856="","",原始经营数据!$D1856)</f>
        <v>国泰海通崇邦封闭式商业不动产证券投资基金</v>
      </c>
      <c r="B1855" t="str">
        <f>IF(原始经营数据!$D1856="","",T(原始经营数据!$E1856))</f>
        <v>嘉亭荟城市生活广场一期项目</v>
      </c>
      <c r="C1855" t="str">
        <f>IF(原始经营数据!$D1856="","",原始经营数据!$F1856)</f>
        <v>2025.01-09</v>
      </c>
      <c r="D1855" t="str">
        <f>IF(原始经营数据!$D1856="","",原始经营数据!$H1856)</f>
        <v>出租率</v>
      </c>
      <c r="E1855">
        <f>IF(原始经营数据!$D1856="","",原始经营数据!$I1856)</f>
        <v>86.27</v>
      </c>
      <c r="F1855" t="str">
        <f>IF(原始经营数据!$D1856="","",T(原始经营数据!$J1856))</f>
        <v>%</v>
      </c>
      <c r="G1855" t="str">
        <f>IF(原始经营数据!$D1856="","",T(原始经营数据!$K1856))</f>
        <v/>
      </c>
      <c r="H1855" t="str">
        <f>IF(原始经营数据!$D1856="","",原始经营数据!$G1856)</f>
        <v>服务效率</v>
      </c>
      <c r="I1855" t="str">
        <f>IF($A1855="","",IF($B1855&lt;&gt;"",$B1855,IF(COUNTIFS(原始经营数据!$D$3:$D$3001,$A1855,原始经营数据!$E$3:$E$3001,"",原始经营数据!$F$3:$F$3001,$C1855,原始经营数据!$H$3:$H$3001,$D1855,原始经营数据!$K$3:$K$3001,$G1855)&gt;1,"基金整体·来源"&amp;原始经营数据!$A1856,"基金整体")))</f>
        <v>嘉亭荟城市生活广场一期项目</v>
      </c>
      <c r="J1855" t="str">
        <f t="shared" si="423"/>
        <v>其他期间</v>
      </c>
      <c r="K1855" t="str">
        <f t="shared" si="424"/>
        <v>出租率（%）</v>
      </c>
      <c r="L1855" t="str">
        <f t="shared" si="425"/>
        <v>嘉亭荟城市生活广场一期项目|出租率（%）|其他期间</v>
      </c>
      <c r="M1855">
        <f>IF($A1855="",0,IF(COUNTIF($L$2:$L1855,$L1855)=1,1,0))</f>
        <v>1</v>
      </c>
      <c r="N1855">
        <f t="shared" si="426"/>
        <v>20259</v>
      </c>
      <c r="O1855" t="str">
        <f t="shared" si="427"/>
        <v>国泰海通崇邦封闭式商业不动产证券投资基金|2025.01-09|其他期间</v>
      </c>
      <c r="P1855">
        <f>IF($A1855="",0,IF(COUNTIF($O$2:$O1855,$O1855)=1,1,0))</f>
        <v>0</v>
      </c>
      <c r="Q1855" t="str">
        <f>IF(AND($P1855=1,$A1855=经营数据!$B$3,$J1855=经营数据!$BA$5),COUNTIFS($P$2:$P$3000,1,$A$2:$A$3000,$A1855,$J$2:$J$3000,$J1855,$N$2:$N$3000,"&lt;"&amp;$N1855)+1,"")</f>
        <v/>
      </c>
      <c r="R1855" t="str">
        <f t="shared" si="428"/>
        <v>国泰海通崇邦封闭式商业不动产证券投资基金|嘉亭荟城市生活广场一期项目</v>
      </c>
      <c r="S1855">
        <f>IF($A1855="",0,IF(COUNTIF($R$2:$R1855,$R1855)=1,1,0))</f>
        <v>0</v>
      </c>
      <c r="T1855">
        <f t="shared" si="429"/>
        <v>1847</v>
      </c>
      <c r="U1855" t="str">
        <f>IF($A1855="","",IF($A1855=经营数据!$B$3,COUNTIFS($S$2:$S$3000,1,$A$2:$A$3000,$A1855,$T$2:$T$3000,"&lt;"&amp;$T1855)+1,""))</f>
        <v/>
      </c>
      <c r="V1855" t="str">
        <f t="shared" si="430"/>
        <v>嘉亭荟城市生活广场一期项目|服务效率</v>
      </c>
      <c r="W1855">
        <f t="shared" si="431"/>
        <v>1848</v>
      </c>
      <c r="X1855" t="str">
        <f t="shared" si="432"/>
        <v>嘉亭荟城市生活广场一期项目|出租率</v>
      </c>
      <c r="Y1855">
        <f t="shared" si="433"/>
        <v>1848</v>
      </c>
      <c r="Z1855">
        <f>IF($A1855="",0,IF(AND($M1855=1,$A1855=经营数据!$B$3,$J1855=经营数据!$BA$5,OR($I1855=经营数据!$BA$4,COUNTIF(经营数据!$AA$9:$AA$38,$I1855)&gt;0)),1,0))</f>
        <v>0</v>
      </c>
      <c r="AA1855" t="str">
        <f t="shared" si="434"/>
        <v/>
      </c>
      <c r="AB1855" t="str">
        <f t="shared" si="435"/>
        <v/>
      </c>
      <c r="AC1855">
        <f>IF($A1855="",0,IF(COUNTIF($A$2:$A1855,$A1855)=1,1,0))</f>
        <v>0</v>
      </c>
      <c r="AD1855">
        <f t="shared" si="436"/>
        <v>25</v>
      </c>
      <c r="AE1855" t="str">
        <f t="shared" si="437"/>
        <v>嘉亭荟城市生活广场一期项目|出租率（%）</v>
      </c>
    </row>
    <row r="1856" spans="1:31" x14ac:dyDescent="0.4">
      <c r="A1856" t="str">
        <f>IF(原始经营数据!$D1857="","",原始经营数据!$D1857)</f>
        <v>嘉实首开封闭式商业不动产证券投资基金</v>
      </c>
      <c r="B1856" t="str">
        <f>IF(原始经营数据!$D1857="","",T(原始经营数据!$E1857))</f>
        <v>华侨村商街项目</v>
      </c>
      <c r="C1856" t="str">
        <f>IF(原始经营数据!$D1857="","",原始经营数据!$F1857)</f>
        <v>2022</v>
      </c>
      <c r="D1856" t="str">
        <f>IF(原始经营数据!$D1857="","",原始经营数据!$H1857)</f>
        <v>平均租金单价</v>
      </c>
      <c r="E1856">
        <f>IF(原始经营数据!$D1857="","",原始经营数据!$I1857)</f>
        <v>223.64</v>
      </c>
      <c r="F1856" t="str">
        <f>IF(原始经营数据!$D1857="","",T(原始经营数据!$J1857))</f>
        <v>元/平方米/月</v>
      </c>
      <c r="G1856" t="str">
        <f>IF(原始经营数据!$D1857="","",T(原始经营数据!$K1857))</f>
        <v/>
      </c>
      <c r="H1856" t="str">
        <f>IF(原始经营数据!$D1857="","",原始经营数据!$G1857)</f>
        <v>服务价格</v>
      </c>
      <c r="I1856" t="str">
        <f>IF($A1856="","",IF($B1856&lt;&gt;"",$B1856,IF(COUNTIFS(原始经营数据!$D$3:$D$3001,$A1856,原始经营数据!$E$3:$E$3001,"",原始经营数据!$F$3:$F$3001,$C1856,原始经营数据!$H$3:$H$3001,$D1856,原始经营数据!$K$3:$K$3001,$G1856)&gt;1,"基金整体·来源"&amp;原始经营数据!$A1857,"基金整体")))</f>
        <v>华侨村商街项目</v>
      </c>
      <c r="J1856" t="str">
        <f t="shared" si="423"/>
        <v>年度</v>
      </c>
      <c r="K1856" t="str">
        <f t="shared" si="424"/>
        <v>平均租金单价（元/平方米/月）</v>
      </c>
      <c r="L1856" t="str">
        <f t="shared" si="425"/>
        <v>华侨村商街项目|平均租金单价（元/平方米/月）|年度</v>
      </c>
      <c r="M1856">
        <f>IF($A1856="",0,IF(COUNTIF($L$2:$L1856,$L1856)=1,1,0))</f>
        <v>1</v>
      </c>
      <c r="N1856">
        <f t="shared" si="426"/>
        <v>20220</v>
      </c>
      <c r="O1856" t="str">
        <f t="shared" si="427"/>
        <v>嘉实首开封闭式商业不动产证券投资基金|2022|年度</v>
      </c>
      <c r="P1856">
        <f>IF($A1856="",0,IF(COUNTIF($O$2:$O1856,$O1856)=1,1,0))</f>
        <v>1</v>
      </c>
      <c r="Q1856" t="str">
        <f>IF(AND($P1856=1,$A1856=经营数据!$B$3,$J1856=经营数据!$BA$5),COUNTIFS($P$2:$P$3000,1,$A$2:$A$3000,$A1856,$J$2:$J$3000,$J1856,$N$2:$N$3000,"&lt;"&amp;$N1856)+1,"")</f>
        <v/>
      </c>
      <c r="R1856" t="str">
        <f t="shared" si="428"/>
        <v>嘉实首开封闭式商业不动产证券投资基金|华侨村商街项目</v>
      </c>
      <c r="S1856">
        <f>IF($A1856="",0,IF(COUNTIF($R$2:$R1856,$R1856)=1,1,0))</f>
        <v>1</v>
      </c>
      <c r="T1856">
        <f t="shared" si="429"/>
        <v>1855</v>
      </c>
      <c r="U1856" t="str">
        <f>IF($A1856="","",IF($A1856=经营数据!$B$3,COUNTIFS($S$2:$S$3000,1,$A$2:$A$3000,$A1856,$T$2:$T$3000,"&lt;"&amp;$T1856)+1,""))</f>
        <v/>
      </c>
      <c r="V1856" t="str">
        <f t="shared" si="430"/>
        <v>华侨村商街项目|服务价格</v>
      </c>
      <c r="W1856">
        <f t="shared" si="431"/>
        <v>1855</v>
      </c>
      <c r="X1856" t="str">
        <f t="shared" si="432"/>
        <v>华侨村商街项目|平均租金单价</v>
      </c>
      <c r="Y1856">
        <f t="shared" si="433"/>
        <v>1855</v>
      </c>
      <c r="Z1856">
        <f>IF($A1856="",0,IF(AND($M1856=1,$A1856=经营数据!$B$3,$J1856=经营数据!$BA$5,OR($I1856=经营数据!$BA$4,COUNTIF(经营数据!$AA$9:$AA$38,$I1856)&gt;0)),1,0))</f>
        <v>0</v>
      </c>
      <c r="AA1856" t="str">
        <f t="shared" si="434"/>
        <v/>
      </c>
      <c r="AB1856" t="str">
        <f t="shared" si="435"/>
        <v/>
      </c>
      <c r="AC1856">
        <f>IF($A1856="",0,IF(COUNTIF($A$2:$A1856,$A1856)=1,1,0))</f>
        <v>1</v>
      </c>
      <c r="AD1856">
        <f t="shared" si="436"/>
        <v>26</v>
      </c>
      <c r="AE1856" t="str">
        <f t="shared" si="437"/>
        <v>华侨村商街项目|平均租金单价（元/平方米/月）</v>
      </c>
    </row>
    <row r="1857" spans="1:31" x14ac:dyDescent="0.4">
      <c r="A1857" t="str">
        <f>IF(原始经营数据!$D1858="","",原始经营数据!$D1858)</f>
        <v>嘉实首开封闭式商业不动产证券投资基金</v>
      </c>
      <c r="B1857" t="str">
        <f>IF(原始经营数据!$D1858="","",T(原始经营数据!$E1858))</f>
        <v>华侨村商街项目</v>
      </c>
      <c r="C1857" t="str">
        <f>IF(原始经营数据!$D1858="","",原始经营数据!$F1858)</f>
        <v>2022</v>
      </c>
      <c r="D1857" t="str">
        <f>IF(原始经营数据!$D1858="","",原始经营数据!$H1858)</f>
        <v>租金收缴率</v>
      </c>
      <c r="E1857">
        <f>IF(原始经营数据!$D1858="","",原始经营数据!$I1858)</f>
        <v>44.99</v>
      </c>
      <c r="F1857" t="str">
        <f>IF(原始经营数据!$D1858="","",T(原始经营数据!$J1858))</f>
        <v>%</v>
      </c>
      <c r="G1857" t="str">
        <f>IF(原始经营数据!$D1858="","",T(原始经营数据!$K1858))</f>
        <v/>
      </c>
      <c r="H1857" t="str">
        <f>IF(原始经营数据!$D1858="","",原始经营数据!$G1858)</f>
        <v>服务效率</v>
      </c>
      <c r="I1857" t="str">
        <f>IF($A1857="","",IF($B1857&lt;&gt;"",$B1857,IF(COUNTIFS(原始经营数据!$D$3:$D$3001,$A1857,原始经营数据!$E$3:$E$3001,"",原始经营数据!$F$3:$F$3001,$C1857,原始经营数据!$H$3:$H$3001,$D1857,原始经营数据!$K$3:$K$3001,$G1857)&gt;1,"基金整体·来源"&amp;原始经营数据!$A1858,"基金整体")))</f>
        <v>华侨村商街项目</v>
      </c>
      <c r="J1857" t="str">
        <f t="shared" si="423"/>
        <v>年度</v>
      </c>
      <c r="K1857" t="str">
        <f t="shared" si="424"/>
        <v>租金收缴率（%）</v>
      </c>
      <c r="L1857" t="str">
        <f t="shared" si="425"/>
        <v>华侨村商街项目|租金收缴率（%）|年度</v>
      </c>
      <c r="M1857">
        <f>IF($A1857="",0,IF(COUNTIF($L$2:$L1857,$L1857)=1,1,0))</f>
        <v>1</v>
      </c>
      <c r="N1857">
        <f t="shared" si="426"/>
        <v>20220</v>
      </c>
      <c r="O1857" t="str">
        <f t="shared" si="427"/>
        <v>嘉实首开封闭式商业不动产证券投资基金|2022|年度</v>
      </c>
      <c r="P1857">
        <f>IF($A1857="",0,IF(COUNTIF($O$2:$O1857,$O1857)=1,1,0))</f>
        <v>0</v>
      </c>
      <c r="Q1857" t="str">
        <f>IF(AND($P1857=1,$A1857=经营数据!$B$3,$J1857=经营数据!$BA$5),COUNTIFS($P$2:$P$3000,1,$A$2:$A$3000,$A1857,$J$2:$J$3000,$J1857,$N$2:$N$3000,"&lt;"&amp;$N1857)+1,"")</f>
        <v/>
      </c>
      <c r="R1857" t="str">
        <f t="shared" si="428"/>
        <v>嘉实首开封闭式商业不动产证券投资基金|华侨村商街项目</v>
      </c>
      <c r="S1857">
        <f>IF($A1857="",0,IF(COUNTIF($R$2:$R1857,$R1857)=1,1,0))</f>
        <v>0</v>
      </c>
      <c r="T1857">
        <f t="shared" si="429"/>
        <v>1855</v>
      </c>
      <c r="U1857" t="str">
        <f>IF($A1857="","",IF($A1857=经营数据!$B$3,COUNTIFS($S$2:$S$3000,1,$A$2:$A$3000,$A1857,$T$2:$T$3000,"&lt;"&amp;$T1857)+1,""))</f>
        <v/>
      </c>
      <c r="V1857" t="str">
        <f t="shared" si="430"/>
        <v>华侨村商街项目|服务效率</v>
      </c>
      <c r="W1857">
        <f t="shared" si="431"/>
        <v>1856</v>
      </c>
      <c r="X1857" t="str">
        <f t="shared" si="432"/>
        <v>华侨村商街项目|租金收缴率</v>
      </c>
      <c r="Y1857">
        <f t="shared" si="433"/>
        <v>1856</v>
      </c>
      <c r="Z1857">
        <f>IF($A1857="",0,IF(AND($M1857=1,$A1857=经营数据!$B$3,$J1857=经营数据!$BA$5,OR($I1857=经营数据!$BA$4,COUNTIF(经营数据!$AA$9:$AA$38,$I1857)&gt;0)),1,0))</f>
        <v>0</v>
      </c>
      <c r="AA1857" t="str">
        <f t="shared" si="434"/>
        <v/>
      </c>
      <c r="AB1857" t="str">
        <f t="shared" si="435"/>
        <v/>
      </c>
      <c r="AC1857">
        <f>IF($A1857="",0,IF(COUNTIF($A$2:$A1857,$A1857)=1,1,0))</f>
        <v>0</v>
      </c>
      <c r="AD1857">
        <f t="shared" si="436"/>
        <v>26</v>
      </c>
      <c r="AE1857" t="str">
        <f t="shared" si="437"/>
        <v>华侨村商街项目|租金收缴率（%）</v>
      </c>
    </row>
    <row r="1858" spans="1:31" x14ac:dyDescent="0.4">
      <c r="A1858" t="str">
        <f>IF(原始经营数据!$D1859="","",原始经营数据!$D1859)</f>
        <v>嘉实首开封闭式商业不动产证券投资基金</v>
      </c>
      <c r="B1858" t="str">
        <f>IF(原始经营数据!$D1859="","",T(原始经营数据!$E1859))</f>
        <v>华侨村商街项目</v>
      </c>
      <c r="C1858" t="str">
        <f>IF(原始经营数据!$D1859="","",原始经营数据!$F1859)</f>
        <v>2023</v>
      </c>
      <c r="D1858" t="str">
        <f>IF(原始经营数据!$D1859="","",原始经营数据!$H1859)</f>
        <v>租金收缴率</v>
      </c>
      <c r="E1858">
        <f>IF(原始经营数据!$D1859="","",原始经营数据!$I1859)</f>
        <v>85.63</v>
      </c>
      <c r="F1858" t="str">
        <f>IF(原始经营数据!$D1859="","",T(原始经营数据!$J1859))</f>
        <v>%</v>
      </c>
      <c r="G1858" t="str">
        <f>IF(原始经营数据!$D1859="","",T(原始经营数据!$K1859))</f>
        <v/>
      </c>
      <c r="H1858" t="str">
        <f>IF(原始经营数据!$D1859="","",原始经营数据!$G1859)</f>
        <v>服务效率</v>
      </c>
      <c r="I1858" t="str">
        <f>IF($A1858="","",IF($B1858&lt;&gt;"",$B1858,IF(COUNTIFS(原始经营数据!$D$3:$D$3001,$A1858,原始经营数据!$E$3:$E$3001,"",原始经营数据!$F$3:$F$3001,$C1858,原始经营数据!$H$3:$H$3001,$D1858,原始经营数据!$K$3:$K$3001,$G1858)&gt;1,"基金整体·来源"&amp;原始经营数据!$A1859,"基金整体")))</f>
        <v>华侨村商街项目</v>
      </c>
      <c r="J1858" t="str">
        <f t="shared" ref="J1858:J1921" si="438">IF($A1858="","",IF(LEN($C1858)=4,"年度",IF(AND(LEN($C1858)=6,ISNUMBER(SEARCH("Q",$C1858))),"季度","其他期间")))</f>
        <v>年度</v>
      </c>
      <c r="K1858" t="str">
        <f t="shared" ref="K1858:K1921" si="439">IF($A1858="","",$D1858&amp;IF($G1858="","","-"&amp;SUBSTITUTE($G1858,CHAR(10),""))&amp;IF($F1858="","","（"&amp;$F1858&amp;"）"))</f>
        <v>租金收缴率（%）</v>
      </c>
      <c r="L1858" t="str">
        <f t="shared" ref="L1858:L1921" si="440">IF($A1858="","",$I1858&amp;"|"&amp;$K1858&amp;"|"&amp;$J1858)</f>
        <v>华侨村商街项目|租金收缴率（%）|年度</v>
      </c>
      <c r="M1858">
        <f>IF($A1858="",0,IF(COUNTIF($L$2:$L1858,$L1858)=1,1,0))</f>
        <v>0</v>
      </c>
      <c r="N1858">
        <f t="shared" ref="N1858:N1921" si="441">IF($A1858="","",IF($J1858="年度",VALUE($C1858)*10,IF($J1858="季度",VALUE(LEFT($C1858,4))*10+VALUE(RIGHT($C1858,1)),VALUE(LEFT($C1858,4))*10+9)))</f>
        <v>20230</v>
      </c>
      <c r="O1858" t="str">
        <f t="shared" ref="O1858:O1921" si="442">IF($A1858="","",$A1858&amp;"|"&amp;$C1858&amp;"|"&amp;$J1858)</f>
        <v>嘉实首开封闭式商业不动产证券投资基金|2023|年度</v>
      </c>
      <c r="P1858">
        <f>IF($A1858="",0,IF(COUNTIF($O$2:$O1858,$O1858)=1,1,0))</f>
        <v>1</v>
      </c>
      <c r="Q1858" t="str">
        <f>IF(AND($P1858=1,$A1858=经营数据!$B$3,$J1858=经营数据!$BA$5),COUNTIFS($P$2:$P$3000,1,$A$2:$A$3000,$A1858,$J$2:$J$3000,$J1858,$N$2:$N$3000,"&lt;"&amp;$N1858)+1,"")</f>
        <v/>
      </c>
      <c r="R1858" t="str">
        <f t="shared" ref="R1858:R1921" si="443">IF($A1858="","",$A1858&amp;"|"&amp;$I1858)</f>
        <v>嘉实首开封闭式商业不动产证券投资基金|华侨村商街项目</v>
      </c>
      <c r="S1858">
        <f>IF($A1858="",0,IF(COUNTIF($R$2:$R1858,$R1858)=1,1,0))</f>
        <v>0</v>
      </c>
      <c r="T1858">
        <f t="shared" ref="T1858:T1921" si="444">IF($A1858="","",MATCH($R1858,$R$2:$R$3000,0))</f>
        <v>1855</v>
      </c>
      <c r="U1858" t="str">
        <f>IF($A1858="","",IF($A1858=经营数据!$B$3,COUNTIFS($S$2:$S$3000,1,$A$2:$A$3000,$A1858,$T$2:$T$3000,"&lt;"&amp;$T1858)+1,""))</f>
        <v/>
      </c>
      <c r="V1858" t="str">
        <f t="shared" ref="V1858:V1921" si="445">IF($A1858="","",$I1858&amp;"|"&amp;$H1858)</f>
        <v>华侨村商街项目|服务效率</v>
      </c>
      <c r="W1858">
        <f t="shared" ref="W1858:W1921" si="446">IF($A1858="","",MATCH($V1858,$V$2:$V$3000,0))</f>
        <v>1856</v>
      </c>
      <c r="X1858" t="str">
        <f t="shared" ref="X1858:X1921" si="447">IF($A1858="","",$I1858&amp;"|"&amp;$D1858)</f>
        <v>华侨村商街项目|租金收缴率</v>
      </c>
      <c r="Y1858">
        <f t="shared" ref="Y1858:Y1921" si="448">IF($A1858="","",MATCH($X1858,$X$2:$X$3000,0))</f>
        <v>1856</v>
      </c>
      <c r="Z1858">
        <f>IF($A1858="",0,IF(AND($M1858=1,$A1858=经营数据!$B$3,$J1858=经营数据!$BA$5,OR($I1858=经营数据!$BA$4,COUNTIF(经营数据!$AA$9:$AA$38,$I1858)&gt;0)),1,0))</f>
        <v>0</v>
      </c>
      <c r="AA1858" t="str">
        <f t="shared" ref="AA1858:AA1921" si="449">IF($Z1858=1,$U1858*1000000000000+$W1858*100000000+$Y1858*10000+ROW(),"")</f>
        <v/>
      </c>
      <c r="AB1858" t="str">
        <f t="shared" ref="AB1858:AB1921" si="450">IF($Z1858=1,COUNTIFS($Z$2:$Z$3000,1,$AA$2:$AA$3000,"&lt;"&amp;$AA1858)+1,"")</f>
        <v/>
      </c>
      <c r="AC1858">
        <f>IF($A1858="",0,IF(COUNTIF($A$2:$A1858,$A1858)=1,1,0))</f>
        <v>0</v>
      </c>
      <c r="AD1858">
        <f t="shared" ref="AD1858:AD1921" si="451">IF($A1858="",N(AD1857),IF($AC1858=1,N(AD1857)+1,N(AD1857)))</f>
        <v>26</v>
      </c>
      <c r="AE1858" t="str">
        <f t="shared" ref="AE1858:AE1921" si="452">IF($A1858="","",$I1858&amp;"|"&amp;$K1858)</f>
        <v>华侨村商街项目|租金收缴率（%）</v>
      </c>
    </row>
    <row r="1859" spans="1:31" x14ac:dyDescent="0.4">
      <c r="A1859" t="str">
        <f>IF(原始经营数据!$D1860="","",原始经营数据!$D1860)</f>
        <v>嘉实首开封闭式商业不动产证券投资基金</v>
      </c>
      <c r="B1859" t="str">
        <f>IF(原始经营数据!$D1860="","",T(原始经营数据!$E1860))</f>
        <v>华侨村商街项目</v>
      </c>
      <c r="C1859" t="str">
        <f>IF(原始经营数据!$D1860="","",原始经营数据!$F1860)</f>
        <v>2023</v>
      </c>
      <c r="D1859" t="str">
        <f>IF(原始经营数据!$D1860="","",原始经营数据!$H1860)</f>
        <v>平均租金单价</v>
      </c>
      <c r="E1859">
        <f>IF(原始经营数据!$D1860="","",原始经营数据!$I1860)</f>
        <v>211.34</v>
      </c>
      <c r="F1859" t="str">
        <f>IF(原始经营数据!$D1860="","",T(原始经营数据!$J1860))</f>
        <v>元/平方米/月</v>
      </c>
      <c r="G1859" t="str">
        <f>IF(原始经营数据!$D1860="","",T(原始经营数据!$K1860))</f>
        <v/>
      </c>
      <c r="H1859" t="str">
        <f>IF(原始经营数据!$D1860="","",原始经营数据!$G1860)</f>
        <v>服务价格</v>
      </c>
      <c r="I1859" t="str">
        <f>IF($A1859="","",IF($B1859&lt;&gt;"",$B1859,IF(COUNTIFS(原始经营数据!$D$3:$D$3001,$A1859,原始经营数据!$E$3:$E$3001,"",原始经营数据!$F$3:$F$3001,$C1859,原始经营数据!$H$3:$H$3001,$D1859,原始经营数据!$K$3:$K$3001,$G1859)&gt;1,"基金整体·来源"&amp;原始经营数据!$A1860,"基金整体")))</f>
        <v>华侨村商街项目</v>
      </c>
      <c r="J1859" t="str">
        <f t="shared" si="438"/>
        <v>年度</v>
      </c>
      <c r="K1859" t="str">
        <f t="shared" si="439"/>
        <v>平均租金单价（元/平方米/月）</v>
      </c>
      <c r="L1859" t="str">
        <f t="shared" si="440"/>
        <v>华侨村商街项目|平均租金单价（元/平方米/月）|年度</v>
      </c>
      <c r="M1859">
        <f>IF($A1859="",0,IF(COUNTIF($L$2:$L1859,$L1859)=1,1,0))</f>
        <v>0</v>
      </c>
      <c r="N1859">
        <f t="shared" si="441"/>
        <v>20230</v>
      </c>
      <c r="O1859" t="str">
        <f t="shared" si="442"/>
        <v>嘉实首开封闭式商业不动产证券投资基金|2023|年度</v>
      </c>
      <c r="P1859">
        <f>IF($A1859="",0,IF(COUNTIF($O$2:$O1859,$O1859)=1,1,0))</f>
        <v>0</v>
      </c>
      <c r="Q1859" t="str">
        <f>IF(AND($P1859=1,$A1859=经营数据!$B$3,$J1859=经营数据!$BA$5),COUNTIFS($P$2:$P$3000,1,$A$2:$A$3000,$A1859,$J$2:$J$3000,$J1859,$N$2:$N$3000,"&lt;"&amp;$N1859)+1,"")</f>
        <v/>
      </c>
      <c r="R1859" t="str">
        <f t="shared" si="443"/>
        <v>嘉实首开封闭式商业不动产证券投资基金|华侨村商街项目</v>
      </c>
      <c r="S1859">
        <f>IF($A1859="",0,IF(COUNTIF($R$2:$R1859,$R1859)=1,1,0))</f>
        <v>0</v>
      </c>
      <c r="T1859">
        <f t="shared" si="444"/>
        <v>1855</v>
      </c>
      <c r="U1859" t="str">
        <f>IF($A1859="","",IF($A1859=经营数据!$B$3,COUNTIFS($S$2:$S$3000,1,$A$2:$A$3000,$A1859,$T$2:$T$3000,"&lt;"&amp;$T1859)+1,""))</f>
        <v/>
      </c>
      <c r="V1859" t="str">
        <f t="shared" si="445"/>
        <v>华侨村商街项目|服务价格</v>
      </c>
      <c r="W1859">
        <f t="shared" si="446"/>
        <v>1855</v>
      </c>
      <c r="X1859" t="str">
        <f t="shared" si="447"/>
        <v>华侨村商街项目|平均租金单价</v>
      </c>
      <c r="Y1859">
        <f t="shared" si="448"/>
        <v>1855</v>
      </c>
      <c r="Z1859">
        <f>IF($A1859="",0,IF(AND($M1859=1,$A1859=经营数据!$B$3,$J1859=经营数据!$BA$5,OR($I1859=经营数据!$BA$4,COUNTIF(经营数据!$AA$9:$AA$38,$I1859)&gt;0)),1,0))</f>
        <v>0</v>
      </c>
      <c r="AA1859" t="str">
        <f t="shared" si="449"/>
        <v/>
      </c>
      <c r="AB1859" t="str">
        <f t="shared" si="450"/>
        <v/>
      </c>
      <c r="AC1859">
        <f>IF($A1859="",0,IF(COUNTIF($A$2:$A1859,$A1859)=1,1,0))</f>
        <v>0</v>
      </c>
      <c r="AD1859">
        <f t="shared" si="451"/>
        <v>26</v>
      </c>
      <c r="AE1859" t="str">
        <f t="shared" si="452"/>
        <v>华侨村商街项目|平均租金单价（元/平方米/月）</v>
      </c>
    </row>
    <row r="1860" spans="1:31" x14ac:dyDescent="0.4">
      <c r="A1860" t="str">
        <f>IF(原始经营数据!$D1861="","",原始经营数据!$D1861)</f>
        <v>嘉实首开封闭式商业不动产证券投资基金</v>
      </c>
      <c r="B1860" t="str">
        <f>IF(原始经营数据!$D1861="","",T(原始经营数据!$E1861))</f>
        <v>华侨村商街项目</v>
      </c>
      <c r="C1860" t="str">
        <f>IF(原始经营数据!$D1861="","",原始经营数据!$F1861)</f>
        <v>2024</v>
      </c>
      <c r="D1860" t="str">
        <f>IF(原始经营数据!$D1861="","",原始经营数据!$H1861)</f>
        <v>租金收缴率</v>
      </c>
      <c r="E1860">
        <f>IF(原始经营数据!$D1861="","",原始经营数据!$I1861)</f>
        <v>94.67</v>
      </c>
      <c r="F1860" t="str">
        <f>IF(原始经营数据!$D1861="","",T(原始经营数据!$J1861))</f>
        <v>%</v>
      </c>
      <c r="G1860" t="str">
        <f>IF(原始经营数据!$D1861="","",T(原始经营数据!$K1861))</f>
        <v/>
      </c>
      <c r="H1860" t="str">
        <f>IF(原始经营数据!$D1861="","",原始经营数据!$G1861)</f>
        <v>服务效率</v>
      </c>
      <c r="I1860" t="str">
        <f>IF($A1860="","",IF($B1860&lt;&gt;"",$B1860,IF(COUNTIFS(原始经营数据!$D$3:$D$3001,$A1860,原始经营数据!$E$3:$E$3001,"",原始经营数据!$F$3:$F$3001,$C1860,原始经营数据!$H$3:$H$3001,$D1860,原始经营数据!$K$3:$K$3001,$G1860)&gt;1,"基金整体·来源"&amp;原始经营数据!$A1861,"基金整体")))</f>
        <v>华侨村商街项目</v>
      </c>
      <c r="J1860" t="str">
        <f t="shared" si="438"/>
        <v>年度</v>
      </c>
      <c r="K1860" t="str">
        <f t="shared" si="439"/>
        <v>租金收缴率（%）</v>
      </c>
      <c r="L1860" t="str">
        <f t="shared" si="440"/>
        <v>华侨村商街项目|租金收缴率（%）|年度</v>
      </c>
      <c r="M1860">
        <f>IF($A1860="",0,IF(COUNTIF($L$2:$L1860,$L1860)=1,1,0))</f>
        <v>0</v>
      </c>
      <c r="N1860">
        <f t="shared" si="441"/>
        <v>20240</v>
      </c>
      <c r="O1860" t="str">
        <f t="shared" si="442"/>
        <v>嘉实首开封闭式商业不动产证券投资基金|2024|年度</v>
      </c>
      <c r="P1860">
        <f>IF($A1860="",0,IF(COUNTIF($O$2:$O1860,$O1860)=1,1,0))</f>
        <v>1</v>
      </c>
      <c r="Q1860" t="str">
        <f>IF(AND($P1860=1,$A1860=经营数据!$B$3,$J1860=经营数据!$BA$5),COUNTIFS($P$2:$P$3000,1,$A$2:$A$3000,$A1860,$J$2:$J$3000,$J1860,$N$2:$N$3000,"&lt;"&amp;$N1860)+1,"")</f>
        <v/>
      </c>
      <c r="R1860" t="str">
        <f t="shared" si="443"/>
        <v>嘉实首开封闭式商业不动产证券投资基金|华侨村商街项目</v>
      </c>
      <c r="S1860">
        <f>IF($A1860="",0,IF(COUNTIF($R$2:$R1860,$R1860)=1,1,0))</f>
        <v>0</v>
      </c>
      <c r="T1860">
        <f t="shared" si="444"/>
        <v>1855</v>
      </c>
      <c r="U1860" t="str">
        <f>IF($A1860="","",IF($A1860=经营数据!$B$3,COUNTIFS($S$2:$S$3000,1,$A$2:$A$3000,$A1860,$T$2:$T$3000,"&lt;"&amp;$T1860)+1,""))</f>
        <v/>
      </c>
      <c r="V1860" t="str">
        <f t="shared" si="445"/>
        <v>华侨村商街项目|服务效率</v>
      </c>
      <c r="W1860">
        <f t="shared" si="446"/>
        <v>1856</v>
      </c>
      <c r="X1860" t="str">
        <f t="shared" si="447"/>
        <v>华侨村商街项目|租金收缴率</v>
      </c>
      <c r="Y1860">
        <f t="shared" si="448"/>
        <v>1856</v>
      </c>
      <c r="Z1860">
        <f>IF($A1860="",0,IF(AND($M1860=1,$A1860=经营数据!$B$3,$J1860=经营数据!$BA$5,OR($I1860=经营数据!$BA$4,COUNTIF(经营数据!$AA$9:$AA$38,$I1860)&gt;0)),1,0))</f>
        <v>0</v>
      </c>
      <c r="AA1860" t="str">
        <f t="shared" si="449"/>
        <v/>
      </c>
      <c r="AB1860" t="str">
        <f t="shared" si="450"/>
        <v/>
      </c>
      <c r="AC1860">
        <f>IF($A1860="",0,IF(COUNTIF($A$2:$A1860,$A1860)=1,1,0))</f>
        <v>0</v>
      </c>
      <c r="AD1860">
        <f t="shared" si="451"/>
        <v>26</v>
      </c>
      <c r="AE1860" t="str">
        <f t="shared" si="452"/>
        <v>华侨村商街项目|租金收缴率（%）</v>
      </c>
    </row>
    <row r="1861" spans="1:31" x14ac:dyDescent="0.4">
      <c r="A1861" t="str">
        <f>IF(原始经营数据!$D1862="","",原始经营数据!$D1862)</f>
        <v>嘉实首开封闭式商业不动产证券投资基金</v>
      </c>
      <c r="B1861" t="str">
        <f>IF(原始经营数据!$D1862="","",T(原始经营数据!$E1862))</f>
        <v>华侨村商街项目</v>
      </c>
      <c r="C1861" t="str">
        <f>IF(原始经营数据!$D1862="","",原始经营数据!$F1862)</f>
        <v>2024</v>
      </c>
      <c r="D1861" t="str">
        <f>IF(原始经营数据!$D1862="","",原始经营数据!$H1862)</f>
        <v>平均租金单价</v>
      </c>
      <c r="E1861">
        <f>IF(原始经营数据!$D1862="","",原始经营数据!$I1862)</f>
        <v>211.69</v>
      </c>
      <c r="F1861" t="str">
        <f>IF(原始经营数据!$D1862="","",T(原始经营数据!$J1862))</f>
        <v>元/平方米/月</v>
      </c>
      <c r="G1861" t="str">
        <f>IF(原始经营数据!$D1862="","",T(原始经营数据!$K1862))</f>
        <v/>
      </c>
      <c r="H1861" t="str">
        <f>IF(原始经营数据!$D1862="","",原始经营数据!$G1862)</f>
        <v>服务价格</v>
      </c>
      <c r="I1861" t="str">
        <f>IF($A1861="","",IF($B1861&lt;&gt;"",$B1861,IF(COUNTIFS(原始经营数据!$D$3:$D$3001,$A1861,原始经营数据!$E$3:$E$3001,"",原始经营数据!$F$3:$F$3001,$C1861,原始经营数据!$H$3:$H$3001,$D1861,原始经营数据!$K$3:$K$3001,$G1861)&gt;1,"基金整体·来源"&amp;原始经营数据!$A1862,"基金整体")))</f>
        <v>华侨村商街项目</v>
      </c>
      <c r="J1861" t="str">
        <f t="shared" si="438"/>
        <v>年度</v>
      </c>
      <c r="K1861" t="str">
        <f t="shared" si="439"/>
        <v>平均租金单价（元/平方米/月）</v>
      </c>
      <c r="L1861" t="str">
        <f t="shared" si="440"/>
        <v>华侨村商街项目|平均租金单价（元/平方米/月）|年度</v>
      </c>
      <c r="M1861">
        <f>IF($A1861="",0,IF(COUNTIF($L$2:$L1861,$L1861)=1,1,0))</f>
        <v>0</v>
      </c>
      <c r="N1861">
        <f t="shared" si="441"/>
        <v>20240</v>
      </c>
      <c r="O1861" t="str">
        <f t="shared" si="442"/>
        <v>嘉实首开封闭式商业不动产证券投资基金|2024|年度</v>
      </c>
      <c r="P1861">
        <f>IF($A1861="",0,IF(COUNTIF($O$2:$O1861,$O1861)=1,1,0))</f>
        <v>0</v>
      </c>
      <c r="Q1861" t="str">
        <f>IF(AND($P1861=1,$A1861=经营数据!$B$3,$J1861=经营数据!$BA$5),COUNTIFS($P$2:$P$3000,1,$A$2:$A$3000,$A1861,$J$2:$J$3000,$J1861,$N$2:$N$3000,"&lt;"&amp;$N1861)+1,"")</f>
        <v/>
      </c>
      <c r="R1861" t="str">
        <f t="shared" si="443"/>
        <v>嘉实首开封闭式商业不动产证券投资基金|华侨村商街项目</v>
      </c>
      <c r="S1861">
        <f>IF($A1861="",0,IF(COUNTIF($R$2:$R1861,$R1861)=1,1,0))</f>
        <v>0</v>
      </c>
      <c r="T1861">
        <f t="shared" si="444"/>
        <v>1855</v>
      </c>
      <c r="U1861" t="str">
        <f>IF($A1861="","",IF($A1861=经营数据!$B$3,COUNTIFS($S$2:$S$3000,1,$A$2:$A$3000,$A1861,$T$2:$T$3000,"&lt;"&amp;$T1861)+1,""))</f>
        <v/>
      </c>
      <c r="V1861" t="str">
        <f t="shared" si="445"/>
        <v>华侨村商街项目|服务价格</v>
      </c>
      <c r="W1861">
        <f t="shared" si="446"/>
        <v>1855</v>
      </c>
      <c r="X1861" t="str">
        <f t="shared" si="447"/>
        <v>华侨村商街项目|平均租金单价</v>
      </c>
      <c r="Y1861">
        <f t="shared" si="448"/>
        <v>1855</v>
      </c>
      <c r="Z1861">
        <f>IF($A1861="",0,IF(AND($M1861=1,$A1861=经营数据!$B$3,$J1861=经营数据!$BA$5,OR($I1861=经营数据!$BA$4,COUNTIF(经营数据!$AA$9:$AA$38,$I1861)&gt;0)),1,0))</f>
        <v>0</v>
      </c>
      <c r="AA1861" t="str">
        <f t="shared" si="449"/>
        <v/>
      </c>
      <c r="AB1861" t="str">
        <f t="shared" si="450"/>
        <v/>
      </c>
      <c r="AC1861">
        <f>IF($A1861="",0,IF(COUNTIF($A$2:$A1861,$A1861)=1,1,0))</f>
        <v>0</v>
      </c>
      <c r="AD1861">
        <f t="shared" si="451"/>
        <v>26</v>
      </c>
      <c r="AE1861" t="str">
        <f t="shared" si="452"/>
        <v>华侨村商街项目|平均租金单价（元/平方米/月）</v>
      </c>
    </row>
    <row r="1862" spans="1:31" x14ac:dyDescent="0.4">
      <c r="A1862" t="str">
        <f>IF(原始经营数据!$D1863="","",原始经营数据!$D1863)</f>
        <v>嘉实首开封闭式商业不动产证券投资基金</v>
      </c>
      <c r="B1862" t="str">
        <f>IF(原始经营数据!$D1863="","",T(原始经营数据!$E1863))</f>
        <v>华侨村商街项目</v>
      </c>
      <c r="C1862" t="str">
        <f>IF(原始经营数据!$D1863="","",原始经营数据!$F1863)</f>
        <v>2025.01-09</v>
      </c>
      <c r="D1862" t="str">
        <f>IF(原始经营数据!$D1863="","",原始经营数据!$H1863)</f>
        <v>租金收缴率</v>
      </c>
      <c r="E1862">
        <f>IF(原始经营数据!$D1863="","",原始经营数据!$I1863)</f>
        <v>100</v>
      </c>
      <c r="F1862" t="str">
        <f>IF(原始经营数据!$D1863="","",T(原始经营数据!$J1863))</f>
        <v>%</v>
      </c>
      <c r="G1862" t="str">
        <f>IF(原始经营数据!$D1863="","",T(原始经营数据!$K1863))</f>
        <v/>
      </c>
      <c r="H1862" t="str">
        <f>IF(原始经营数据!$D1863="","",原始经营数据!$G1863)</f>
        <v>服务效率</v>
      </c>
      <c r="I1862" t="str">
        <f>IF($A1862="","",IF($B1862&lt;&gt;"",$B1862,IF(COUNTIFS(原始经营数据!$D$3:$D$3001,$A1862,原始经营数据!$E$3:$E$3001,"",原始经营数据!$F$3:$F$3001,$C1862,原始经营数据!$H$3:$H$3001,$D1862,原始经营数据!$K$3:$K$3001,$G1862)&gt;1,"基金整体·来源"&amp;原始经营数据!$A1863,"基金整体")))</f>
        <v>华侨村商街项目</v>
      </c>
      <c r="J1862" t="str">
        <f t="shared" si="438"/>
        <v>其他期间</v>
      </c>
      <c r="K1862" t="str">
        <f t="shared" si="439"/>
        <v>租金收缴率（%）</v>
      </c>
      <c r="L1862" t="str">
        <f t="shared" si="440"/>
        <v>华侨村商街项目|租金收缴率（%）|其他期间</v>
      </c>
      <c r="M1862">
        <f>IF($A1862="",0,IF(COUNTIF($L$2:$L1862,$L1862)=1,1,0))</f>
        <v>1</v>
      </c>
      <c r="N1862">
        <f t="shared" si="441"/>
        <v>20259</v>
      </c>
      <c r="O1862" t="str">
        <f t="shared" si="442"/>
        <v>嘉实首开封闭式商业不动产证券投资基金|2025.01-09|其他期间</v>
      </c>
      <c r="P1862">
        <f>IF($A1862="",0,IF(COUNTIF($O$2:$O1862,$O1862)=1,1,0))</f>
        <v>1</v>
      </c>
      <c r="Q1862" t="str">
        <f>IF(AND($P1862=1,$A1862=经营数据!$B$3,$J1862=经营数据!$BA$5),COUNTIFS($P$2:$P$3000,1,$A$2:$A$3000,$A1862,$J$2:$J$3000,$J1862,$N$2:$N$3000,"&lt;"&amp;$N1862)+1,"")</f>
        <v/>
      </c>
      <c r="R1862" t="str">
        <f t="shared" si="443"/>
        <v>嘉实首开封闭式商业不动产证券投资基金|华侨村商街项目</v>
      </c>
      <c r="S1862">
        <f>IF($A1862="",0,IF(COUNTIF($R$2:$R1862,$R1862)=1,1,0))</f>
        <v>0</v>
      </c>
      <c r="T1862">
        <f t="shared" si="444"/>
        <v>1855</v>
      </c>
      <c r="U1862" t="str">
        <f>IF($A1862="","",IF($A1862=经营数据!$B$3,COUNTIFS($S$2:$S$3000,1,$A$2:$A$3000,$A1862,$T$2:$T$3000,"&lt;"&amp;$T1862)+1,""))</f>
        <v/>
      </c>
      <c r="V1862" t="str">
        <f t="shared" si="445"/>
        <v>华侨村商街项目|服务效率</v>
      </c>
      <c r="W1862">
        <f t="shared" si="446"/>
        <v>1856</v>
      </c>
      <c r="X1862" t="str">
        <f t="shared" si="447"/>
        <v>华侨村商街项目|租金收缴率</v>
      </c>
      <c r="Y1862">
        <f t="shared" si="448"/>
        <v>1856</v>
      </c>
      <c r="Z1862">
        <f>IF($A1862="",0,IF(AND($M1862=1,$A1862=经营数据!$B$3,$J1862=经营数据!$BA$5,OR($I1862=经营数据!$BA$4,COUNTIF(经营数据!$AA$9:$AA$38,$I1862)&gt;0)),1,0))</f>
        <v>0</v>
      </c>
      <c r="AA1862" t="str">
        <f t="shared" si="449"/>
        <v/>
      </c>
      <c r="AB1862" t="str">
        <f t="shared" si="450"/>
        <v/>
      </c>
      <c r="AC1862">
        <f>IF($A1862="",0,IF(COUNTIF($A$2:$A1862,$A1862)=1,1,0))</f>
        <v>0</v>
      </c>
      <c r="AD1862">
        <f t="shared" si="451"/>
        <v>26</v>
      </c>
      <c r="AE1862" t="str">
        <f t="shared" si="452"/>
        <v>华侨村商街项目|租金收缴率（%）</v>
      </c>
    </row>
    <row r="1863" spans="1:31" x14ac:dyDescent="0.4">
      <c r="A1863" t="str">
        <f>IF(原始经营数据!$D1864="","",原始经营数据!$D1864)</f>
        <v>嘉实首开封闭式商业不动产证券投资基金</v>
      </c>
      <c r="B1863" t="str">
        <f>IF(原始经营数据!$D1864="","",T(原始经营数据!$E1864))</f>
        <v>华侨村商街项目</v>
      </c>
      <c r="C1863" t="str">
        <f>IF(原始经营数据!$D1864="","",原始经营数据!$F1864)</f>
        <v>2025.01-09</v>
      </c>
      <c r="D1863" t="str">
        <f>IF(原始经营数据!$D1864="","",原始经营数据!$H1864)</f>
        <v>平均租金单价</v>
      </c>
      <c r="E1863">
        <f>IF(原始经营数据!$D1864="","",原始经营数据!$I1864)</f>
        <v>206.5</v>
      </c>
      <c r="F1863" t="str">
        <f>IF(原始经营数据!$D1864="","",T(原始经营数据!$J1864))</f>
        <v>元/平方米/月</v>
      </c>
      <c r="G1863" t="str">
        <f>IF(原始经营数据!$D1864="","",T(原始经营数据!$K1864))</f>
        <v/>
      </c>
      <c r="H1863" t="str">
        <f>IF(原始经营数据!$D1864="","",原始经营数据!$G1864)</f>
        <v>服务价格</v>
      </c>
      <c r="I1863" t="str">
        <f>IF($A1863="","",IF($B1863&lt;&gt;"",$B1863,IF(COUNTIFS(原始经营数据!$D$3:$D$3001,$A1863,原始经营数据!$E$3:$E$3001,"",原始经营数据!$F$3:$F$3001,$C1863,原始经营数据!$H$3:$H$3001,$D1863,原始经营数据!$K$3:$K$3001,$G1863)&gt;1,"基金整体·来源"&amp;原始经营数据!$A1864,"基金整体")))</f>
        <v>华侨村商街项目</v>
      </c>
      <c r="J1863" t="str">
        <f t="shared" si="438"/>
        <v>其他期间</v>
      </c>
      <c r="K1863" t="str">
        <f t="shared" si="439"/>
        <v>平均租金单价（元/平方米/月）</v>
      </c>
      <c r="L1863" t="str">
        <f t="shared" si="440"/>
        <v>华侨村商街项目|平均租金单价（元/平方米/月）|其他期间</v>
      </c>
      <c r="M1863">
        <f>IF($A1863="",0,IF(COUNTIF($L$2:$L1863,$L1863)=1,1,0))</f>
        <v>1</v>
      </c>
      <c r="N1863">
        <f t="shared" si="441"/>
        <v>20259</v>
      </c>
      <c r="O1863" t="str">
        <f t="shared" si="442"/>
        <v>嘉实首开封闭式商业不动产证券投资基金|2025.01-09|其他期间</v>
      </c>
      <c r="P1863">
        <f>IF($A1863="",0,IF(COUNTIF($O$2:$O1863,$O1863)=1,1,0))</f>
        <v>0</v>
      </c>
      <c r="Q1863" t="str">
        <f>IF(AND($P1863=1,$A1863=经营数据!$B$3,$J1863=经营数据!$BA$5),COUNTIFS($P$2:$P$3000,1,$A$2:$A$3000,$A1863,$J$2:$J$3000,$J1863,$N$2:$N$3000,"&lt;"&amp;$N1863)+1,"")</f>
        <v/>
      </c>
      <c r="R1863" t="str">
        <f t="shared" si="443"/>
        <v>嘉实首开封闭式商业不动产证券投资基金|华侨村商街项目</v>
      </c>
      <c r="S1863">
        <f>IF($A1863="",0,IF(COUNTIF($R$2:$R1863,$R1863)=1,1,0))</f>
        <v>0</v>
      </c>
      <c r="T1863">
        <f t="shared" si="444"/>
        <v>1855</v>
      </c>
      <c r="U1863" t="str">
        <f>IF($A1863="","",IF($A1863=经营数据!$B$3,COUNTIFS($S$2:$S$3000,1,$A$2:$A$3000,$A1863,$T$2:$T$3000,"&lt;"&amp;$T1863)+1,""))</f>
        <v/>
      </c>
      <c r="V1863" t="str">
        <f t="shared" si="445"/>
        <v>华侨村商街项目|服务价格</v>
      </c>
      <c r="W1863">
        <f t="shared" si="446"/>
        <v>1855</v>
      </c>
      <c r="X1863" t="str">
        <f t="shared" si="447"/>
        <v>华侨村商街项目|平均租金单价</v>
      </c>
      <c r="Y1863">
        <f t="shared" si="448"/>
        <v>1855</v>
      </c>
      <c r="Z1863">
        <f>IF($A1863="",0,IF(AND($M1863=1,$A1863=经营数据!$B$3,$J1863=经营数据!$BA$5,OR($I1863=经营数据!$BA$4,COUNTIF(经营数据!$AA$9:$AA$38,$I1863)&gt;0)),1,0))</f>
        <v>0</v>
      </c>
      <c r="AA1863" t="str">
        <f t="shared" si="449"/>
        <v/>
      </c>
      <c r="AB1863" t="str">
        <f t="shared" si="450"/>
        <v/>
      </c>
      <c r="AC1863">
        <f>IF($A1863="",0,IF(COUNTIF($A$2:$A1863,$A1863)=1,1,0))</f>
        <v>0</v>
      </c>
      <c r="AD1863">
        <f t="shared" si="451"/>
        <v>26</v>
      </c>
      <c r="AE1863" t="str">
        <f t="shared" si="452"/>
        <v>华侨村商街项目|平均租金单价（元/平方米/月）</v>
      </c>
    </row>
    <row r="1864" spans="1:31" x14ac:dyDescent="0.4">
      <c r="A1864" t="str">
        <f>IF(原始经营数据!$D1865="","",原始经营数据!$D1865)</f>
        <v>嘉实首开封闭式商业不动产证券投资基金</v>
      </c>
      <c r="B1864" t="str">
        <f>IF(原始经营数据!$D1865="","",T(原始经营数据!$E1865))</f>
        <v>宋家庄福茂项目</v>
      </c>
      <c r="C1864" t="str">
        <f>IF(原始经营数据!$D1865="","",原始经营数据!$F1865)</f>
        <v>2022</v>
      </c>
      <c r="D1864" t="str">
        <f>IF(原始经营数据!$D1865="","",原始经营数据!$H1865)</f>
        <v>租金收缴率</v>
      </c>
      <c r="E1864">
        <f>IF(原始经营数据!$D1865="","",原始经营数据!$I1865)</f>
        <v>92.9</v>
      </c>
      <c r="F1864" t="str">
        <f>IF(原始经营数据!$D1865="","",T(原始经营数据!$J1865))</f>
        <v>%</v>
      </c>
      <c r="G1864" t="str">
        <f>IF(原始经营数据!$D1865="","",T(原始经营数据!$K1865))</f>
        <v/>
      </c>
      <c r="H1864" t="str">
        <f>IF(原始经营数据!$D1865="","",原始经营数据!$G1865)</f>
        <v>服务效率</v>
      </c>
      <c r="I1864" t="str">
        <f>IF($A1864="","",IF($B1864&lt;&gt;"",$B1864,IF(COUNTIFS(原始经营数据!$D$3:$D$3001,$A1864,原始经营数据!$E$3:$E$3001,"",原始经营数据!$F$3:$F$3001,$C1864,原始经营数据!$H$3:$H$3001,$D1864,原始经营数据!$K$3:$K$3001,$G1864)&gt;1,"基金整体·来源"&amp;原始经营数据!$A1865,"基金整体")))</f>
        <v>宋家庄福茂项目</v>
      </c>
      <c r="J1864" t="str">
        <f t="shared" si="438"/>
        <v>年度</v>
      </c>
      <c r="K1864" t="str">
        <f t="shared" si="439"/>
        <v>租金收缴率（%）</v>
      </c>
      <c r="L1864" t="str">
        <f t="shared" si="440"/>
        <v>宋家庄福茂项目|租金收缴率（%）|年度</v>
      </c>
      <c r="M1864">
        <f>IF($A1864="",0,IF(COUNTIF($L$2:$L1864,$L1864)=1,1,0))</f>
        <v>1</v>
      </c>
      <c r="N1864">
        <f t="shared" si="441"/>
        <v>20220</v>
      </c>
      <c r="O1864" t="str">
        <f t="shared" si="442"/>
        <v>嘉实首开封闭式商业不动产证券投资基金|2022|年度</v>
      </c>
      <c r="P1864">
        <f>IF($A1864="",0,IF(COUNTIF($O$2:$O1864,$O1864)=1,1,0))</f>
        <v>0</v>
      </c>
      <c r="Q1864" t="str">
        <f>IF(AND($P1864=1,$A1864=经营数据!$B$3,$J1864=经营数据!$BA$5),COUNTIFS($P$2:$P$3000,1,$A$2:$A$3000,$A1864,$J$2:$J$3000,$J1864,$N$2:$N$3000,"&lt;"&amp;$N1864)+1,"")</f>
        <v/>
      </c>
      <c r="R1864" t="str">
        <f t="shared" si="443"/>
        <v>嘉实首开封闭式商业不动产证券投资基金|宋家庄福茂项目</v>
      </c>
      <c r="S1864">
        <f>IF($A1864="",0,IF(COUNTIF($R$2:$R1864,$R1864)=1,1,0))</f>
        <v>1</v>
      </c>
      <c r="T1864">
        <f t="shared" si="444"/>
        <v>1863</v>
      </c>
      <c r="U1864" t="str">
        <f>IF($A1864="","",IF($A1864=经营数据!$B$3,COUNTIFS($S$2:$S$3000,1,$A$2:$A$3000,$A1864,$T$2:$T$3000,"&lt;"&amp;$T1864)+1,""))</f>
        <v/>
      </c>
      <c r="V1864" t="str">
        <f t="shared" si="445"/>
        <v>宋家庄福茂项目|服务效率</v>
      </c>
      <c r="W1864">
        <f t="shared" si="446"/>
        <v>1863</v>
      </c>
      <c r="X1864" t="str">
        <f t="shared" si="447"/>
        <v>宋家庄福茂项目|租金收缴率</v>
      </c>
      <c r="Y1864">
        <f t="shared" si="448"/>
        <v>1863</v>
      </c>
      <c r="Z1864">
        <f>IF($A1864="",0,IF(AND($M1864=1,$A1864=经营数据!$B$3,$J1864=经营数据!$BA$5,OR($I1864=经营数据!$BA$4,COUNTIF(经营数据!$AA$9:$AA$38,$I1864)&gt;0)),1,0))</f>
        <v>0</v>
      </c>
      <c r="AA1864" t="str">
        <f t="shared" si="449"/>
        <v/>
      </c>
      <c r="AB1864" t="str">
        <f t="shared" si="450"/>
        <v/>
      </c>
      <c r="AC1864">
        <f>IF($A1864="",0,IF(COUNTIF($A$2:$A1864,$A1864)=1,1,0))</f>
        <v>0</v>
      </c>
      <c r="AD1864">
        <f t="shared" si="451"/>
        <v>26</v>
      </c>
      <c r="AE1864" t="str">
        <f t="shared" si="452"/>
        <v>宋家庄福茂项目|租金收缴率（%）</v>
      </c>
    </row>
    <row r="1865" spans="1:31" x14ac:dyDescent="0.4">
      <c r="A1865" t="str">
        <f>IF(原始经营数据!$D1866="","",原始经营数据!$D1866)</f>
        <v>嘉实首开封闭式商业不动产证券投资基金</v>
      </c>
      <c r="B1865" t="str">
        <f>IF(原始经营数据!$D1866="","",T(原始经营数据!$E1866))</f>
        <v>宋家庄福茂项目</v>
      </c>
      <c r="C1865" t="str">
        <f>IF(原始经营数据!$D1866="","",原始经营数据!$F1866)</f>
        <v>2022</v>
      </c>
      <c r="D1865" t="str">
        <f>IF(原始经营数据!$D1866="","",原始经营数据!$H1866)</f>
        <v>平均租金单价</v>
      </c>
      <c r="E1865">
        <f>IF(原始经营数据!$D1866="","",原始经营数据!$I1866)</f>
        <v>206.52</v>
      </c>
      <c r="F1865" t="str">
        <f>IF(原始经营数据!$D1866="","",T(原始经营数据!$J1866))</f>
        <v>元/平方米/月</v>
      </c>
      <c r="G1865" t="str">
        <f>IF(原始经营数据!$D1866="","",T(原始经营数据!$K1866))</f>
        <v/>
      </c>
      <c r="H1865" t="str">
        <f>IF(原始经营数据!$D1866="","",原始经营数据!$G1866)</f>
        <v>服务价格</v>
      </c>
      <c r="I1865" t="str">
        <f>IF($A1865="","",IF($B1865&lt;&gt;"",$B1865,IF(COUNTIFS(原始经营数据!$D$3:$D$3001,$A1865,原始经营数据!$E$3:$E$3001,"",原始经营数据!$F$3:$F$3001,$C1865,原始经营数据!$H$3:$H$3001,$D1865,原始经营数据!$K$3:$K$3001,$G1865)&gt;1,"基金整体·来源"&amp;原始经营数据!$A1866,"基金整体")))</f>
        <v>宋家庄福茂项目</v>
      </c>
      <c r="J1865" t="str">
        <f t="shared" si="438"/>
        <v>年度</v>
      </c>
      <c r="K1865" t="str">
        <f t="shared" si="439"/>
        <v>平均租金单价（元/平方米/月）</v>
      </c>
      <c r="L1865" t="str">
        <f t="shared" si="440"/>
        <v>宋家庄福茂项目|平均租金单价（元/平方米/月）|年度</v>
      </c>
      <c r="M1865">
        <f>IF($A1865="",0,IF(COUNTIF($L$2:$L1865,$L1865)=1,1,0))</f>
        <v>1</v>
      </c>
      <c r="N1865">
        <f t="shared" si="441"/>
        <v>20220</v>
      </c>
      <c r="O1865" t="str">
        <f t="shared" si="442"/>
        <v>嘉实首开封闭式商业不动产证券投资基金|2022|年度</v>
      </c>
      <c r="P1865">
        <f>IF($A1865="",0,IF(COUNTIF($O$2:$O1865,$O1865)=1,1,0))</f>
        <v>0</v>
      </c>
      <c r="Q1865" t="str">
        <f>IF(AND($P1865=1,$A1865=经营数据!$B$3,$J1865=经营数据!$BA$5),COUNTIFS($P$2:$P$3000,1,$A$2:$A$3000,$A1865,$J$2:$J$3000,$J1865,$N$2:$N$3000,"&lt;"&amp;$N1865)+1,"")</f>
        <v/>
      </c>
      <c r="R1865" t="str">
        <f t="shared" si="443"/>
        <v>嘉实首开封闭式商业不动产证券投资基金|宋家庄福茂项目</v>
      </c>
      <c r="S1865">
        <f>IF($A1865="",0,IF(COUNTIF($R$2:$R1865,$R1865)=1,1,0))</f>
        <v>0</v>
      </c>
      <c r="T1865">
        <f t="shared" si="444"/>
        <v>1863</v>
      </c>
      <c r="U1865" t="str">
        <f>IF($A1865="","",IF($A1865=经营数据!$B$3,COUNTIFS($S$2:$S$3000,1,$A$2:$A$3000,$A1865,$T$2:$T$3000,"&lt;"&amp;$T1865)+1,""))</f>
        <v/>
      </c>
      <c r="V1865" t="str">
        <f t="shared" si="445"/>
        <v>宋家庄福茂项目|服务价格</v>
      </c>
      <c r="W1865">
        <f t="shared" si="446"/>
        <v>1864</v>
      </c>
      <c r="X1865" t="str">
        <f t="shared" si="447"/>
        <v>宋家庄福茂项目|平均租金单价</v>
      </c>
      <c r="Y1865">
        <f t="shared" si="448"/>
        <v>1864</v>
      </c>
      <c r="Z1865">
        <f>IF($A1865="",0,IF(AND($M1865=1,$A1865=经营数据!$B$3,$J1865=经营数据!$BA$5,OR($I1865=经营数据!$BA$4,COUNTIF(经营数据!$AA$9:$AA$38,$I1865)&gt;0)),1,0))</f>
        <v>0</v>
      </c>
      <c r="AA1865" t="str">
        <f t="shared" si="449"/>
        <v/>
      </c>
      <c r="AB1865" t="str">
        <f t="shared" si="450"/>
        <v/>
      </c>
      <c r="AC1865">
        <f>IF($A1865="",0,IF(COUNTIF($A$2:$A1865,$A1865)=1,1,0))</f>
        <v>0</v>
      </c>
      <c r="AD1865">
        <f t="shared" si="451"/>
        <v>26</v>
      </c>
      <c r="AE1865" t="str">
        <f t="shared" si="452"/>
        <v>宋家庄福茂项目|平均租金单价（元/平方米/月）</v>
      </c>
    </row>
    <row r="1866" spans="1:31" x14ac:dyDescent="0.4">
      <c r="A1866" t="str">
        <f>IF(原始经营数据!$D1867="","",原始经营数据!$D1867)</f>
        <v>嘉实首开封闭式商业不动产证券投资基金</v>
      </c>
      <c r="B1866" t="str">
        <f>IF(原始经营数据!$D1867="","",T(原始经营数据!$E1867))</f>
        <v>宋家庄福茂项目</v>
      </c>
      <c r="C1866" t="str">
        <f>IF(原始经营数据!$D1867="","",原始经营数据!$F1867)</f>
        <v>2023</v>
      </c>
      <c r="D1866" t="str">
        <f>IF(原始经营数据!$D1867="","",原始经营数据!$H1867)</f>
        <v>租金收缴率</v>
      </c>
      <c r="E1866">
        <f>IF(原始经营数据!$D1867="","",原始经营数据!$I1867)</f>
        <v>95.69</v>
      </c>
      <c r="F1866" t="str">
        <f>IF(原始经营数据!$D1867="","",T(原始经营数据!$J1867))</f>
        <v>%</v>
      </c>
      <c r="G1866" t="str">
        <f>IF(原始经营数据!$D1867="","",T(原始经营数据!$K1867))</f>
        <v/>
      </c>
      <c r="H1866" t="str">
        <f>IF(原始经营数据!$D1867="","",原始经营数据!$G1867)</f>
        <v>服务效率</v>
      </c>
      <c r="I1866" t="str">
        <f>IF($A1866="","",IF($B1866&lt;&gt;"",$B1866,IF(COUNTIFS(原始经营数据!$D$3:$D$3001,$A1866,原始经营数据!$E$3:$E$3001,"",原始经营数据!$F$3:$F$3001,$C1866,原始经营数据!$H$3:$H$3001,$D1866,原始经营数据!$K$3:$K$3001,$G1866)&gt;1,"基金整体·来源"&amp;原始经营数据!$A1867,"基金整体")))</f>
        <v>宋家庄福茂项目</v>
      </c>
      <c r="J1866" t="str">
        <f t="shared" si="438"/>
        <v>年度</v>
      </c>
      <c r="K1866" t="str">
        <f t="shared" si="439"/>
        <v>租金收缴率（%）</v>
      </c>
      <c r="L1866" t="str">
        <f t="shared" si="440"/>
        <v>宋家庄福茂项目|租金收缴率（%）|年度</v>
      </c>
      <c r="M1866">
        <f>IF($A1866="",0,IF(COUNTIF($L$2:$L1866,$L1866)=1,1,0))</f>
        <v>0</v>
      </c>
      <c r="N1866">
        <f t="shared" si="441"/>
        <v>20230</v>
      </c>
      <c r="O1866" t="str">
        <f t="shared" si="442"/>
        <v>嘉实首开封闭式商业不动产证券投资基金|2023|年度</v>
      </c>
      <c r="P1866">
        <f>IF($A1866="",0,IF(COUNTIF($O$2:$O1866,$O1866)=1,1,0))</f>
        <v>0</v>
      </c>
      <c r="Q1866" t="str">
        <f>IF(AND($P1866=1,$A1866=经营数据!$B$3,$J1866=经营数据!$BA$5),COUNTIFS($P$2:$P$3000,1,$A$2:$A$3000,$A1866,$J$2:$J$3000,$J1866,$N$2:$N$3000,"&lt;"&amp;$N1866)+1,"")</f>
        <v/>
      </c>
      <c r="R1866" t="str">
        <f t="shared" si="443"/>
        <v>嘉实首开封闭式商业不动产证券投资基金|宋家庄福茂项目</v>
      </c>
      <c r="S1866">
        <f>IF($A1866="",0,IF(COUNTIF($R$2:$R1866,$R1866)=1,1,0))</f>
        <v>0</v>
      </c>
      <c r="T1866">
        <f t="shared" si="444"/>
        <v>1863</v>
      </c>
      <c r="U1866" t="str">
        <f>IF($A1866="","",IF($A1866=经营数据!$B$3,COUNTIFS($S$2:$S$3000,1,$A$2:$A$3000,$A1866,$T$2:$T$3000,"&lt;"&amp;$T1866)+1,""))</f>
        <v/>
      </c>
      <c r="V1866" t="str">
        <f t="shared" si="445"/>
        <v>宋家庄福茂项目|服务效率</v>
      </c>
      <c r="W1866">
        <f t="shared" si="446"/>
        <v>1863</v>
      </c>
      <c r="X1866" t="str">
        <f t="shared" si="447"/>
        <v>宋家庄福茂项目|租金收缴率</v>
      </c>
      <c r="Y1866">
        <f t="shared" si="448"/>
        <v>1863</v>
      </c>
      <c r="Z1866">
        <f>IF($A1866="",0,IF(AND($M1866=1,$A1866=经营数据!$B$3,$J1866=经营数据!$BA$5,OR($I1866=经营数据!$BA$4,COUNTIF(经营数据!$AA$9:$AA$38,$I1866)&gt;0)),1,0))</f>
        <v>0</v>
      </c>
      <c r="AA1866" t="str">
        <f t="shared" si="449"/>
        <v/>
      </c>
      <c r="AB1866" t="str">
        <f t="shared" si="450"/>
        <v/>
      </c>
      <c r="AC1866">
        <f>IF($A1866="",0,IF(COUNTIF($A$2:$A1866,$A1866)=1,1,0))</f>
        <v>0</v>
      </c>
      <c r="AD1866">
        <f t="shared" si="451"/>
        <v>26</v>
      </c>
      <c r="AE1866" t="str">
        <f t="shared" si="452"/>
        <v>宋家庄福茂项目|租金收缴率（%）</v>
      </c>
    </row>
    <row r="1867" spans="1:31" x14ac:dyDescent="0.4">
      <c r="A1867" t="str">
        <f>IF(原始经营数据!$D1868="","",原始经营数据!$D1868)</f>
        <v>嘉实首开封闭式商业不动产证券投资基金</v>
      </c>
      <c r="B1867" t="str">
        <f>IF(原始经营数据!$D1868="","",T(原始经营数据!$E1868))</f>
        <v>宋家庄福茂项目</v>
      </c>
      <c r="C1867" t="str">
        <f>IF(原始经营数据!$D1868="","",原始经营数据!$F1868)</f>
        <v>2023</v>
      </c>
      <c r="D1867" t="str">
        <f>IF(原始经营数据!$D1868="","",原始经营数据!$H1868)</f>
        <v>平均租金单价</v>
      </c>
      <c r="E1867">
        <f>IF(原始经营数据!$D1868="","",原始经营数据!$I1868)</f>
        <v>195.97</v>
      </c>
      <c r="F1867" t="str">
        <f>IF(原始经营数据!$D1868="","",T(原始经营数据!$J1868))</f>
        <v>元/平方米/月</v>
      </c>
      <c r="G1867" t="str">
        <f>IF(原始经营数据!$D1868="","",T(原始经营数据!$K1868))</f>
        <v/>
      </c>
      <c r="H1867" t="str">
        <f>IF(原始经营数据!$D1868="","",原始经营数据!$G1868)</f>
        <v>服务价格</v>
      </c>
      <c r="I1867" t="str">
        <f>IF($A1867="","",IF($B1867&lt;&gt;"",$B1867,IF(COUNTIFS(原始经营数据!$D$3:$D$3001,$A1867,原始经营数据!$E$3:$E$3001,"",原始经营数据!$F$3:$F$3001,$C1867,原始经营数据!$H$3:$H$3001,$D1867,原始经营数据!$K$3:$K$3001,$G1867)&gt;1,"基金整体·来源"&amp;原始经营数据!$A1868,"基金整体")))</f>
        <v>宋家庄福茂项目</v>
      </c>
      <c r="J1867" t="str">
        <f t="shared" si="438"/>
        <v>年度</v>
      </c>
      <c r="K1867" t="str">
        <f t="shared" si="439"/>
        <v>平均租金单价（元/平方米/月）</v>
      </c>
      <c r="L1867" t="str">
        <f t="shared" si="440"/>
        <v>宋家庄福茂项目|平均租金单价（元/平方米/月）|年度</v>
      </c>
      <c r="M1867">
        <f>IF($A1867="",0,IF(COUNTIF($L$2:$L1867,$L1867)=1,1,0))</f>
        <v>0</v>
      </c>
      <c r="N1867">
        <f t="shared" si="441"/>
        <v>20230</v>
      </c>
      <c r="O1867" t="str">
        <f t="shared" si="442"/>
        <v>嘉实首开封闭式商业不动产证券投资基金|2023|年度</v>
      </c>
      <c r="P1867">
        <f>IF($A1867="",0,IF(COUNTIF($O$2:$O1867,$O1867)=1,1,0))</f>
        <v>0</v>
      </c>
      <c r="Q1867" t="str">
        <f>IF(AND($P1867=1,$A1867=经营数据!$B$3,$J1867=经营数据!$BA$5),COUNTIFS($P$2:$P$3000,1,$A$2:$A$3000,$A1867,$J$2:$J$3000,$J1867,$N$2:$N$3000,"&lt;"&amp;$N1867)+1,"")</f>
        <v/>
      </c>
      <c r="R1867" t="str">
        <f t="shared" si="443"/>
        <v>嘉实首开封闭式商业不动产证券投资基金|宋家庄福茂项目</v>
      </c>
      <c r="S1867">
        <f>IF($A1867="",0,IF(COUNTIF($R$2:$R1867,$R1867)=1,1,0))</f>
        <v>0</v>
      </c>
      <c r="T1867">
        <f t="shared" si="444"/>
        <v>1863</v>
      </c>
      <c r="U1867" t="str">
        <f>IF($A1867="","",IF($A1867=经营数据!$B$3,COUNTIFS($S$2:$S$3000,1,$A$2:$A$3000,$A1867,$T$2:$T$3000,"&lt;"&amp;$T1867)+1,""))</f>
        <v/>
      </c>
      <c r="V1867" t="str">
        <f t="shared" si="445"/>
        <v>宋家庄福茂项目|服务价格</v>
      </c>
      <c r="W1867">
        <f t="shared" si="446"/>
        <v>1864</v>
      </c>
      <c r="X1867" t="str">
        <f t="shared" si="447"/>
        <v>宋家庄福茂项目|平均租金单价</v>
      </c>
      <c r="Y1867">
        <f t="shared" si="448"/>
        <v>1864</v>
      </c>
      <c r="Z1867">
        <f>IF($A1867="",0,IF(AND($M1867=1,$A1867=经营数据!$B$3,$J1867=经营数据!$BA$5,OR($I1867=经营数据!$BA$4,COUNTIF(经营数据!$AA$9:$AA$38,$I1867)&gt;0)),1,0))</f>
        <v>0</v>
      </c>
      <c r="AA1867" t="str">
        <f t="shared" si="449"/>
        <v/>
      </c>
      <c r="AB1867" t="str">
        <f t="shared" si="450"/>
        <v/>
      </c>
      <c r="AC1867">
        <f>IF($A1867="",0,IF(COUNTIF($A$2:$A1867,$A1867)=1,1,0))</f>
        <v>0</v>
      </c>
      <c r="AD1867">
        <f t="shared" si="451"/>
        <v>26</v>
      </c>
      <c r="AE1867" t="str">
        <f t="shared" si="452"/>
        <v>宋家庄福茂项目|平均租金单价（元/平方米/月）</v>
      </c>
    </row>
    <row r="1868" spans="1:31" x14ac:dyDescent="0.4">
      <c r="A1868" t="str">
        <f>IF(原始经营数据!$D1869="","",原始经营数据!$D1869)</f>
        <v>嘉实首开封闭式商业不动产证券投资基金</v>
      </c>
      <c r="B1868" t="str">
        <f>IF(原始经营数据!$D1869="","",T(原始经营数据!$E1869))</f>
        <v>宋家庄福茂项目</v>
      </c>
      <c r="C1868" t="str">
        <f>IF(原始经营数据!$D1869="","",原始经营数据!$F1869)</f>
        <v>2024</v>
      </c>
      <c r="D1868" t="str">
        <f>IF(原始经营数据!$D1869="","",原始经营数据!$H1869)</f>
        <v>租金收缴率</v>
      </c>
      <c r="E1868">
        <f>IF(原始经营数据!$D1869="","",原始经营数据!$I1869)</f>
        <v>99.48</v>
      </c>
      <c r="F1868" t="str">
        <f>IF(原始经营数据!$D1869="","",T(原始经营数据!$J1869))</f>
        <v>%</v>
      </c>
      <c r="G1868" t="str">
        <f>IF(原始经营数据!$D1869="","",T(原始经营数据!$K1869))</f>
        <v/>
      </c>
      <c r="H1868" t="str">
        <f>IF(原始经营数据!$D1869="","",原始经营数据!$G1869)</f>
        <v>服务效率</v>
      </c>
      <c r="I1868" t="str">
        <f>IF($A1868="","",IF($B1868&lt;&gt;"",$B1868,IF(COUNTIFS(原始经营数据!$D$3:$D$3001,$A1868,原始经营数据!$E$3:$E$3001,"",原始经营数据!$F$3:$F$3001,$C1868,原始经营数据!$H$3:$H$3001,$D1868,原始经营数据!$K$3:$K$3001,$G1868)&gt;1,"基金整体·来源"&amp;原始经营数据!$A1869,"基金整体")))</f>
        <v>宋家庄福茂项目</v>
      </c>
      <c r="J1868" t="str">
        <f t="shared" si="438"/>
        <v>年度</v>
      </c>
      <c r="K1868" t="str">
        <f t="shared" si="439"/>
        <v>租金收缴率（%）</v>
      </c>
      <c r="L1868" t="str">
        <f t="shared" si="440"/>
        <v>宋家庄福茂项目|租金收缴率（%）|年度</v>
      </c>
      <c r="M1868">
        <f>IF($A1868="",0,IF(COUNTIF($L$2:$L1868,$L1868)=1,1,0))</f>
        <v>0</v>
      </c>
      <c r="N1868">
        <f t="shared" si="441"/>
        <v>20240</v>
      </c>
      <c r="O1868" t="str">
        <f t="shared" si="442"/>
        <v>嘉实首开封闭式商业不动产证券投资基金|2024|年度</v>
      </c>
      <c r="P1868">
        <f>IF($A1868="",0,IF(COUNTIF($O$2:$O1868,$O1868)=1,1,0))</f>
        <v>0</v>
      </c>
      <c r="Q1868" t="str">
        <f>IF(AND($P1868=1,$A1868=经营数据!$B$3,$J1868=经营数据!$BA$5),COUNTIFS($P$2:$P$3000,1,$A$2:$A$3000,$A1868,$J$2:$J$3000,$J1868,$N$2:$N$3000,"&lt;"&amp;$N1868)+1,"")</f>
        <v/>
      </c>
      <c r="R1868" t="str">
        <f t="shared" si="443"/>
        <v>嘉实首开封闭式商业不动产证券投资基金|宋家庄福茂项目</v>
      </c>
      <c r="S1868">
        <f>IF($A1868="",0,IF(COUNTIF($R$2:$R1868,$R1868)=1,1,0))</f>
        <v>0</v>
      </c>
      <c r="T1868">
        <f t="shared" si="444"/>
        <v>1863</v>
      </c>
      <c r="U1868" t="str">
        <f>IF($A1868="","",IF($A1868=经营数据!$B$3,COUNTIFS($S$2:$S$3000,1,$A$2:$A$3000,$A1868,$T$2:$T$3000,"&lt;"&amp;$T1868)+1,""))</f>
        <v/>
      </c>
      <c r="V1868" t="str">
        <f t="shared" si="445"/>
        <v>宋家庄福茂项目|服务效率</v>
      </c>
      <c r="W1868">
        <f t="shared" si="446"/>
        <v>1863</v>
      </c>
      <c r="X1868" t="str">
        <f t="shared" si="447"/>
        <v>宋家庄福茂项目|租金收缴率</v>
      </c>
      <c r="Y1868">
        <f t="shared" si="448"/>
        <v>1863</v>
      </c>
      <c r="Z1868">
        <f>IF($A1868="",0,IF(AND($M1868=1,$A1868=经营数据!$B$3,$J1868=经营数据!$BA$5,OR($I1868=经营数据!$BA$4,COUNTIF(经营数据!$AA$9:$AA$38,$I1868)&gt;0)),1,0))</f>
        <v>0</v>
      </c>
      <c r="AA1868" t="str">
        <f t="shared" si="449"/>
        <v/>
      </c>
      <c r="AB1868" t="str">
        <f t="shared" si="450"/>
        <v/>
      </c>
      <c r="AC1868">
        <f>IF($A1868="",0,IF(COUNTIF($A$2:$A1868,$A1868)=1,1,0))</f>
        <v>0</v>
      </c>
      <c r="AD1868">
        <f t="shared" si="451"/>
        <v>26</v>
      </c>
      <c r="AE1868" t="str">
        <f t="shared" si="452"/>
        <v>宋家庄福茂项目|租金收缴率（%）</v>
      </c>
    </row>
    <row r="1869" spans="1:31" x14ac:dyDescent="0.4">
      <c r="A1869" t="str">
        <f>IF(原始经营数据!$D1870="","",原始经营数据!$D1870)</f>
        <v>嘉实首开封闭式商业不动产证券投资基金</v>
      </c>
      <c r="B1869" t="str">
        <f>IF(原始经营数据!$D1870="","",T(原始经营数据!$E1870))</f>
        <v>宋家庄福茂项目</v>
      </c>
      <c r="C1869" t="str">
        <f>IF(原始经营数据!$D1870="","",原始经营数据!$F1870)</f>
        <v>2024</v>
      </c>
      <c r="D1869" t="str">
        <f>IF(原始经营数据!$D1870="","",原始经营数据!$H1870)</f>
        <v>平均租金单价</v>
      </c>
      <c r="E1869">
        <f>IF(原始经营数据!$D1870="","",原始经营数据!$I1870)</f>
        <v>194.5</v>
      </c>
      <c r="F1869" t="str">
        <f>IF(原始经营数据!$D1870="","",T(原始经营数据!$J1870))</f>
        <v>元/平方米/月</v>
      </c>
      <c r="G1869" t="str">
        <f>IF(原始经营数据!$D1870="","",T(原始经营数据!$K1870))</f>
        <v/>
      </c>
      <c r="H1869" t="str">
        <f>IF(原始经营数据!$D1870="","",原始经营数据!$G1870)</f>
        <v>服务价格</v>
      </c>
      <c r="I1869" t="str">
        <f>IF($A1869="","",IF($B1869&lt;&gt;"",$B1869,IF(COUNTIFS(原始经营数据!$D$3:$D$3001,$A1869,原始经营数据!$E$3:$E$3001,"",原始经营数据!$F$3:$F$3001,$C1869,原始经营数据!$H$3:$H$3001,$D1869,原始经营数据!$K$3:$K$3001,$G1869)&gt;1,"基金整体·来源"&amp;原始经营数据!$A1870,"基金整体")))</f>
        <v>宋家庄福茂项目</v>
      </c>
      <c r="J1869" t="str">
        <f t="shared" si="438"/>
        <v>年度</v>
      </c>
      <c r="K1869" t="str">
        <f t="shared" si="439"/>
        <v>平均租金单价（元/平方米/月）</v>
      </c>
      <c r="L1869" t="str">
        <f t="shared" si="440"/>
        <v>宋家庄福茂项目|平均租金单价（元/平方米/月）|年度</v>
      </c>
      <c r="M1869">
        <f>IF($A1869="",0,IF(COUNTIF($L$2:$L1869,$L1869)=1,1,0))</f>
        <v>0</v>
      </c>
      <c r="N1869">
        <f t="shared" si="441"/>
        <v>20240</v>
      </c>
      <c r="O1869" t="str">
        <f t="shared" si="442"/>
        <v>嘉实首开封闭式商业不动产证券投资基金|2024|年度</v>
      </c>
      <c r="P1869">
        <f>IF($A1869="",0,IF(COUNTIF($O$2:$O1869,$O1869)=1,1,0))</f>
        <v>0</v>
      </c>
      <c r="Q1869" t="str">
        <f>IF(AND($P1869=1,$A1869=经营数据!$B$3,$J1869=经营数据!$BA$5),COUNTIFS($P$2:$P$3000,1,$A$2:$A$3000,$A1869,$J$2:$J$3000,$J1869,$N$2:$N$3000,"&lt;"&amp;$N1869)+1,"")</f>
        <v/>
      </c>
      <c r="R1869" t="str">
        <f t="shared" si="443"/>
        <v>嘉实首开封闭式商业不动产证券投资基金|宋家庄福茂项目</v>
      </c>
      <c r="S1869">
        <f>IF($A1869="",0,IF(COUNTIF($R$2:$R1869,$R1869)=1,1,0))</f>
        <v>0</v>
      </c>
      <c r="T1869">
        <f t="shared" si="444"/>
        <v>1863</v>
      </c>
      <c r="U1869" t="str">
        <f>IF($A1869="","",IF($A1869=经营数据!$B$3,COUNTIFS($S$2:$S$3000,1,$A$2:$A$3000,$A1869,$T$2:$T$3000,"&lt;"&amp;$T1869)+1,""))</f>
        <v/>
      </c>
      <c r="V1869" t="str">
        <f t="shared" si="445"/>
        <v>宋家庄福茂项目|服务价格</v>
      </c>
      <c r="W1869">
        <f t="shared" si="446"/>
        <v>1864</v>
      </c>
      <c r="X1869" t="str">
        <f t="shared" si="447"/>
        <v>宋家庄福茂项目|平均租金单价</v>
      </c>
      <c r="Y1869">
        <f t="shared" si="448"/>
        <v>1864</v>
      </c>
      <c r="Z1869">
        <f>IF($A1869="",0,IF(AND($M1869=1,$A1869=经营数据!$B$3,$J1869=经营数据!$BA$5,OR($I1869=经营数据!$BA$4,COUNTIF(经营数据!$AA$9:$AA$38,$I1869)&gt;0)),1,0))</f>
        <v>0</v>
      </c>
      <c r="AA1869" t="str">
        <f t="shared" si="449"/>
        <v/>
      </c>
      <c r="AB1869" t="str">
        <f t="shared" si="450"/>
        <v/>
      </c>
      <c r="AC1869">
        <f>IF($A1869="",0,IF(COUNTIF($A$2:$A1869,$A1869)=1,1,0))</f>
        <v>0</v>
      </c>
      <c r="AD1869">
        <f t="shared" si="451"/>
        <v>26</v>
      </c>
      <c r="AE1869" t="str">
        <f t="shared" si="452"/>
        <v>宋家庄福茂项目|平均租金单价（元/平方米/月）</v>
      </c>
    </row>
    <row r="1870" spans="1:31" x14ac:dyDescent="0.4">
      <c r="A1870" t="str">
        <f>IF(原始经营数据!$D1871="","",原始经营数据!$D1871)</f>
        <v>嘉实首开封闭式商业不动产证券投资基金</v>
      </c>
      <c r="B1870" t="str">
        <f>IF(原始经营数据!$D1871="","",T(原始经营数据!$E1871))</f>
        <v>宋家庄福茂项目</v>
      </c>
      <c r="C1870" t="str">
        <f>IF(原始经营数据!$D1871="","",原始经营数据!$F1871)</f>
        <v>2025.01-09</v>
      </c>
      <c r="D1870" t="str">
        <f>IF(原始经营数据!$D1871="","",原始经营数据!$H1871)</f>
        <v>租金收缴率</v>
      </c>
      <c r="E1870">
        <f>IF(原始经营数据!$D1871="","",原始经营数据!$I1871)</f>
        <v>99.57</v>
      </c>
      <c r="F1870" t="str">
        <f>IF(原始经营数据!$D1871="","",T(原始经营数据!$J1871))</f>
        <v>%</v>
      </c>
      <c r="G1870" t="str">
        <f>IF(原始经营数据!$D1871="","",T(原始经营数据!$K1871))</f>
        <v/>
      </c>
      <c r="H1870" t="str">
        <f>IF(原始经营数据!$D1871="","",原始经营数据!$G1871)</f>
        <v>服务效率</v>
      </c>
      <c r="I1870" t="str">
        <f>IF($A1870="","",IF($B1870&lt;&gt;"",$B1870,IF(COUNTIFS(原始经营数据!$D$3:$D$3001,$A1870,原始经营数据!$E$3:$E$3001,"",原始经营数据!$F$3:$F$3001,$C1870,原始经营数据!$H$3:$H$3001,$D1870,原始经营数据!$K$3:$K$3001,$G1870)&gt;1,"基金整体·来源"&amp;原始经营数据!$A1871,"基金整体")))</f>
        <v>宋家庄福茂项目</v>
      </c>
      <c r="J1870" t="str">
        <f t="shared" si="438"/>
        <v>其他期间</v>
      </c>
      <c r="K1870" t="str">
        <f t="shared" si="439"/>
        <v>租金收缴率（%）</v>
      </c>
      <c r="L1870" t="str">
        <f t="shared" si="440"/>
        <v>宋家庄福茂项目|租金收缴率（%）|其他期间</v>
      </c>
      <c r="M1870">
        <f>IF($A1870="",0,IF(COUNTIF($L$2:$L1870,$L1870)=1,1,0))</f>
        <v>1</v>
      </c>
      <c r="N1870">
        <f t="shared" si="441"/>
        <v>20259</v>
      </c>
      <c r="O1870" t="str">
        <f t="shared" si="442"/>
        <v>嘉实首开封闭式商业不动产证券投资基金|2025.01-09|其他期间</v>
      </c>
      <c r="P1870">
        <f>IF($A1870="",0,IF(COUNTIF($O$2:$O1870,$O1870)=1,1,0))</f>
        <v>0</v>
      </c>
      <c r="Q1870" t="str">
        <f>IF(AND($P1870=1,$A1870=经营数据!$B$3,$J1870=经营数据!$BA$5),COUNTIFS($P$2:$P$3000,1,$A$2:$A$3000,$A1870,$J$2:$J$3000,$J1870,$N$2:$N$3000,"&lt;"&amp;$N1870)+1,"")</f>
        <v/>
      </c>
      <c r="R1870" t="str">
        <f t="shared" si="443"/>
        <v>嘉实首开封闭式商业不动产证券投资基金|宋家庄福茂项目</v>
      </c>
      <c r="S1870">
        <f>IF($A1870="",0,IF(COUNTIF($R$2:$R1870,$R1870)=1,1,0))</f>
        <v>0</v>
      </c>
      <c r="T1870">
        <f t="shared" si="444"/>
        <v>1863</v>
      </c>
      <c r="U1870" t="str">
        <f>IF($A1870="","",IF($A1870=经营数据!$B$3,COUNTIFS($S$2:$S$3000,1,$A$2:$A$3000,$A1870,$T$2:$T$3000,"&lt;"&amp;$T1870)+1,""))</f>
        <v/>
      </c>
      <c r="V1870" t="str">
        <f t="shared" si="445"/>
        <v>宋家庄福茂项目|服务效率</v>
      </c>
      <c r="W1870">
        <f t="shared" si="446"/>
        <v>1863</v>
      </c>
      <c r="X1870" t="str">
        <f t="shared" si="447"/>
        <v>宋家庄福茂项目|租金收缴率</v>
      </c>
      <c r="Y1870">
        <f t="shared" si="448"/>
        <v>1863</v>
      </c>
      <c r="Z1870">
        <f>IF($A1870="",0,IF(AND($M1870=1,$A1870=经营数据!$B$3,$J1870=经营数据!$BA$5,OR($I1870=经营数据!$BA$4,COUNTIF(经营数据!$AA$9:$AA$38,$I1870)&gt;0)),1,0))</f>
        <v>0</v>
      </c>
      <c r="AA1870" t="str">
        <f t="shared" si="449"/>
        <v/>
      </c>
      <c r="AB1870" t="str">
        <f t="shared" si="450"/>
        <v/>
      </c>
      <c r="AC1870">
        <f>IF($A1870="",0,IF(COUNTIF($A$2:$A1870,$A1870)=1,1,0))</f>
        <v>0</v>
      </c>
      <c r="AD1870">
        <f t="shared" si="451"/>
        <v>26</v>
      </c>
      <c r="AE1870" t="str">
        <f t="shared" si="452"/>
        <v>宋家庄福茂项目|租金收缴率（%）</v>
      </c>
    </row>
    <row r="1871" spans="1:31" x14ac:dyDescent="0.4">
      <c r="A1871" t="str">
        <f>IF(原始经营数据!$D1872="","",原始经营数据!$D1872)</f>
        <v>嘉实首开封闭式商业不动产证券投资基金</v>
      </c>
      <c r="B1871" t="str">
        <f>IF(原始经营数据!$D1872="","",T(原始经营数据!$E1872))</f>
        <v>宋家庄福茂项目</v>
      </c>
      <c r="C1871" t="str">
        <f>IF(原始经营数据!$D1872="","",原始经营数据!$F1872)</f>
        <v>2025.01-09</v>
      </c>
      <c r="D1871" t="str">
        <f>IF(原始经营数据!$D1872="","",原始经营数据!$H1872)</f>
        <v>平均租金单价</v>
      </c>
      <c r="E1871">
        <f>IF(原始经营数据!$D1872="","",原始经营数据!$I1872)</f>
        <v>189.87</v>
      </c>
      <c r="F1871" t="str">
        <f>IF(原始经营数据!$D1872="","",T(原始经营数据!$J1872))</f>
        <v>元/平方米/月</v>
      </c>
      <c r="G1871" t="str">
        <f>IF(原始经营数据!$D1872="","",T(原始经营数据!$K1872))</f>
        <v/>
      </c>
      <c r="H1871" t="str">
        <f>IF(原始经营数据!$D1872="","",原始经营数据!$G1872)</f>
        <v>服务价格</v>
      </c>
      <c r="I1871" t="str">
        <f>IF($A1871="","",IF($B1871&lt;&gt;"",$B1871,IF(COUNTIFS(原始经营数据!$D$3:$D$3001,$A1871,原始经营数据!$E$3:$E$3001,"",原始经营数据!$F$3:$F$3001,$C1871,原始经营数据!$H$3:$H$3001,$D1871,原始经营数据!$K$3:$K$3001,$G1871)&gt;1,"基金整体·来源"&amp;原始经营数据!$A1872,"基金整体")))</f>
        <v>宋家庄福茂项目</v>
      </c>
      <c r="J1871" t="str">
        <f t="shared" si="438"/>
        <v>其他期间</v>
      </c>
      <c r="K1871" t="str">
        <f t="shared" si="439"/>
        <v>平均租金单价（元/平方米/月）</v>
      </c>
      <c r="L1871" t="str">
        <f t="shared" si="440"/>
        <v>宋家庄福茂项目|平均租金单价（元/平方米/月）|其他期间</v>
      </c>
      <c r="M1871">
        <f>IF($A1871="",0,IF(COUNTIF($L$2:$L1871,$L1871)=1,1,0))</f>
        <v>1</v>
      </c>
      <c r="N1871">
        <f t="shared" si="441"/>
        <v>20259</v>
      </c>
      <c r="O1871" t="str">
        <f t="shared" si="442"/>
        <v>嘉实首开封闭式商业不动产证券投资基金|2025.01-09|其他期间</v>
      </c>
      <c r="P1871">
        <f>IF($A1871="",0,IF(COUNTIF($O$2:$O1871,$O1871)=1,1,0))</f>
        <v>0</v>
      </c>
      <c r="Q1871" t="str">
        <f>IF(AND($P1871=1,$A1871=经营数据!$B$3,$J1871=经营数据!$BA$5),COUNTIFS($P$2:$P$3000,1,$A$2:$A$3000,$A1871,$J$2:$J$3000,$J1871,$N$2:$N$3000,"&lt;"&amp;$N1871)+1,"")</f>
        <v/>
      </c>
      <c r="R1871" t="str">
        <f t="shared" si="443"/>
        <v>嘉实首开封闭式商业不动产证券投资基金|宋家庄福茂项目</v>
      </c>
      <c r="S1871">
        <f>IF($A1871="",0,IF(COUNTIF($R$2:$R1871,$R1871)=1,1,0))</f>
        <v>0</v>
      </c>
      <c r="T1871">
        <f t="shared" si="444"/>
        <v>1863</v>
      </c>
      <c r="U1871" t="str">
        <f>IF($A1871="","",IF($A1871=经营数据!$B$3,COUNTIFS($S$2:$S$3000,1,$A$2:$A$3000,$A1871,$T$2:$T$3000,"&lt;"&amp;$T1871)+1,""))</f>
        <v/>
      </c>
      <c r="V1871" t="str">
        <f t="shared" si="445"/>
        <v>宋家庄福茂项目|服务价格</v>
      </c>
      <c r="W1871">
        <f t="shared" si="446"/>
        <v>1864</v>
      </c>
      <c r="X1871" t="str">
        <f t="shared" si="447"/>
        <v>宋家庄福茂项目|平均租金单价</v>
      </c>
      <c r="Y1871">
        <f t="shared" si="448"/>
        <v>1864</v>
      </c>
      <c r="Z1871">
        <f>IF($A1871="",0,IF(AND($M1871=1,$A1871=经营数据!$B$3,$J1871=经营数据!$BA$5,OR($I1871=经营数据!$BA$4,COUNTIF(经营数据!$AA$9:$AA$38,$I1871)&gt;0)),1,0))</f>
        <v>0</v>
      </c>
      <c r="AA1871" t="str">
        <f t="shared" si="449"/>
        <v/>
      </c>
      <c r="AB1871" t="str">
        <f t="shared" si="450"/>
        <v/>
      </c>
      <c r="AC1871">
        <f>IF($A1871="",0,IF(COUNTIF($A$2:$A1871,$A1871)=1,1,0))</f>
        <v>0</v>
      </c>
      <c r="AD1871">
        <f t="shared" si="451"/>
        <v>26</v>
      </c>
      <c r="AE1871" t="str">
        <f t="shared" si="452"/>
        <v>宋家庄福茂项目|平均租金单价（元/平方米/月）</v>
      </c>
    </row>
    <row r="1872" spans="1:31" x14ac:dyDescent="0.4">
      <c r="A1872" t="str">
        <f>IF(原始经营数据!$D1873="","",原始经营数据!$D1873)</f>
        <v>嘉实首开封闭式商业不动产证券投资基金</v>
      </c>
      <c r="B1872" t="str">
        <f>IF(原始经营数据!$D1873="","",T(原始经营数据!$E1873))</f>
        <v>璞瑅商街项目</v>
      </c>
      <c r="C1872" t="str">
        <f>IF(原始经营数据!$D1873="","",原始经营数据!$F1873)</f>
        <v>2022</v>
      </c>
      <c r="D1872" t="str">
        <f>IF(原始经营数据!$D1873="","",原始经营数据!$H1873)</f>
        <v>租金收缴率</v>
      </c>
      <c r="E1872">
        <f>IF(原始经营数据!$D1873="","",原始经营数据!$I1873)</f>
        <v>88.05</v>
      </c>
      <c r="F1872" t="str">
        <f>IF(原始经营数据!$D1873="","",T(原始经营数据!$J1873))</f>
        <v>%</v>
      </c>
      <c r="G1872" t="str">
        <f>IF(原始经营数据!$D1873="","",T(原始经营数据!$K1873))</f>
        <v/>
      </c>
      <c r="H1872" t="str">
        <f>IF(原始经营数据!$D1873="","",原始经营数据!$G1873)</f>
        <v>服务效率</v>
      </c>
      <c r="I1872" t="str">
        <f>IF($A1872="","",IF($B1872&lt;&gt;"",$B1872,IF(COUNTIFS(原始经营数据!$D$3:$D$3001,$A1872,原始经营数据!$E$3:$E$3001,"",原始经营数据!$F$3:$F$3001,$C1872,原始经营数据!$H$3:$H$3001,$D1872,原始经营数据!$K$3:$K$3001,$G1872)&gt;1,"基金整体·来源"&amp;原始经营数据!$A1873,"基金整体")))</f>
        <v>璞瑅商街项目</v>
      </c>
      <c r="J1872" t="str">
        <f t="shared" si="438"/>
        <v>年度</v>
      </c>
      <c r="K1872" t="str">
        <f t="shared" si="439"/>
        <v>租金收缴率（%）</v>
      </c>
      <c r="L1872" t="str">
        <f t="shared" si="440"/>
        <v>璞瑅商街项目|租金收缴率（%）|年度</v>
      </c>
      <c r="M1872">
        <f>IF($A1872="",0,IF(COUNTIF($L$2:$L1872,$L1872)=1,1,0))</f>
        <v>1</v>
      </c>
      <c r="N1872">
        <f t="shared" si="441"/>
        <v>20220</v>
      </c>
      <c r="O1872" t="str">
        <f t="shared" si="442"/>
        <v>嘉实首开封闭式商业不动产证券投资基金|2022|年度</v>
      </c>
      <c r="P1872">
        <f>IF($A1872="",0,IF(COUNTIF($O$2:$O1872,$O1872)=1,1,0))</f>
        <v>0</v>
      </c>
      <c r="Q1872" t="str">
        <f>IF(AND($P1872=1,$A1872=经营数据!$B$3,$J1872=经营数据!$BA$5),COUNTIFS($P$2:$P$3000,1,$A$2:$A$3000,$A1872,$J$2:$J$3000,$J1872,$N$2:$N$3000,"&lt;"&amp;$N1872)+1,"")</f>
        <v/>
      </c>
      <c r="R1872" t="str">
        <f t="shared" si="443"/>
        <v>嘉实首开封闭式商业不动产证券投资基金|璞瑅商街项目</v>
      </c>
      <c r="S1872">
        <f>IF($A1872="",0,IF(COUNTIF($R$2:$R1872,$R1872)=1,1,0))</f>
        <v>1</v>
      </c>
      <c r="T1872">
        <f t="shared" si="444"/>
        <v>1871</v>
      </c>
      <c r="U1872" t="str">
        <f>IF($A1872="","",IF($A1872=经营数据!$B$3,COUNTIFS($S$2:$S$3000,1,$A$2:$A$3000,$A1872,$T$2:$T$3000,"&lt;"&amp;$T1872)+1,""))</f>
        <v/>
      </c>
      <c r="V1872" t="str">
        <f t="shared" si="445"/>
        <v>璞瑅商街项目|服务效率</v>
      </c>
      <c r="W1872">
        <f t="shared" si="446"/>
        <v>1871</v>
      </c>
      <c r="X1872" t="str">
        <f t="shared" si="447"/>
        <v>璞瑅商街项目|租金收缴率</v>
      </c>
      <c r="Y1872">
        <f t="shared" si="448"/>
        <v>1871</v>
      </c>
      <c r="Z1872">
        <f>IF($A1872="",0,IF(AND($M1872=1,$A1872=经营数据!$B$3,$J1872=经营数据!$BA$5,OR($I1872=经营数据!$BA$4,COUNTIF(经营数据!$AA$9:$AA$38,$I1872)&gt;0)),1,0))</f>
        <v>0</v>
      </c>
      <c r="AA1872" t="str">
        <f t="shared" si="449"/>
        <v/>
      </c>
      <c r="AB1872" t="str">
        <f t="shared" si="450"/>
        <v/>
      </c>
      <c r="AC1872">
        <f>IF($A1872="",0,IF(COUNTIF($A$2:$A1872,$A1872)=1,1,0))</f>
        <v>0</v>
      </c>
      <c r="AD1872">
        <f t="shared" si="451"/>
        <v>26</v>
      </c>
      <c r="AE1872" t="str">
        <f t="shared" si="452"/>
        <v>璞瑅商街项目|租金收缴率（%）</v>
      </c>
    </row>
    <row r="1873" spans="1:31" x14ac:dyDescent="0.4">
      <c r="A1873" t="str">
        <f>IF(原始经营数据!$D1874="","",原始经营数据!$D1874)</f>
        <v>嘉实首开封闭式商业不动产证券投资基金</v>
      </c>
      <c r="B1873" t="str">
        <f>IF(原始经营数据!$D1874="","",T(原始经营数据!$E1874))</f>
        <v>璞瑅商街项目</v>
      </c>
      <c r="C1873" t="str">
        <f>IF(原始经营数据!$D1874="","",原始经营数据!$F1874)</f>
        <v>2022</v>
      </c>
      <c r="D1873" t="str">
        <f>IF(原始经营数据!$D1874="","",原始经营数据!$H1874)</f>
        <v>平均租金单价</v>
      </c>
      <c r="E1873">
        <f>IF(原始经营数据!$D1874="","",原始经营数据!$I1874)</f>
        <v>218.62</v>
      </c>
      <c r="F1873" t="str">
        <f>IF(原始经营数据!$D1874="","",T(原始经营数据!$J1874))</f>
        <v>元/平方米/月</v>
      </c>
      <c r="G1873" t="str">
        <f>IF(原始经营数据!$D1874="","",T(原始经营数据!$K1874))</f>
        <v/>
      </c>
      <c r="H1873" t="str">
        <f>IF(原始经营数据!$D1874="","",原始经营数据!$G1874)</f>
        <v>服务价格</v>
      </c>
      <c r="I1873" t="str">
        <f>IF($A1873="","",IF($B1873&lt;&gt;"",$B1873,IF(COUNTIFS(原始经营数据!$D$3:$D$3001,$A1873,原始经营数据!$E$3:$E$3001,"",原始经营数据!$F$3:$F$3001,$C1873,原始经营数据!$H$3:$H$3001,$D1873,原始经营数据!$K$3:$K$3001,$G1873)&gt;1,"基金整体·来源"&amp;原始经营数据!$A1874,"基金整体")))</f>
        <v>璞瑅商街项目</v>
      </c>
      <c r="J1873" t="str">
        <f t="shared" si="438"/>
        <v>年度</v>
      </c>
      <c r="K1873" t="str">
        <f t="shared" si="439"/>
        <v>平均租金单价（元/平方米/月）</v>
      </c>
      <c r="L1873" t="str">
        <f t="shared" si="440"/>
        <v>璞瑅商街项目|平均租金单价（元/平方米/月）|年度</v>
      </c>
      <c r="M1873">
        <f>IF($A1873="",0,IF(COUNTIF($L$2:$L1873,$L1873)=1,1,0))</f>
        <v>1</v>
      </c>
      <c r="N1873">
        <f t="shared" si="441"/>
        <v>20220</v>
      </c>
      <c r="O1873" t="str">
        <f t="shared" si="442"/>
        <v>嘉实首开封闭式商业不动产证券投资基金|2022|年度</v>
      </c>
      <c r="P1873">
        <f>IF($A1873="",0,IF(COUNTIF($O$2:$O1873,$O1873)=1,1,0))</f>
        <v>0</v>
      </c>
      <c r="Q1873" t="str">
        <f>IF(AND($P1873=1,$A1873=经营数据!$B$3,$J1873=经营数据!$BA$5),COUNTIFS($P$2:$P$3000,1,$A$2:$A$3000,$A1873,$J$2:$J$3000,$J1873,$N$2:$N$3000,"&lt;"&amp;$N1873)+1,"")</f>
        <v/>
      </c>
      <c r="R1873" t="str">
        <f t="shared" si="443"/>
        <v>嘉实首开封闭式商业不动产证券投资基金|璞瑅商街项目</v>
      </c>
      <c r="S1873">
        <f>IF($A1873="",0,IF(COUNTIF($R$2:$R1873,$R1873)=1,1,0))</f>
        <v>0</v>
      </c>
      <c r="T1873">
        <f t="shared" si="444"/>
        <v>1871</v>
      </c>
      <c r="U1873" t="str">
        <f>IF($A1873="","",IF($A1873=经营数据!$B$3,COUNTIFS($S$2:$S$3000,1,$A$2:$A$3000,$A1873,$T$2:$T$3000,"&lt;"&amp;$T1873)+1,""))</f>
        <v/>
      </c>
      <c r="V1873" t="str">
        <f t="shared" si="445"/>
        <v>璞瑅商街项目|服务价格</v>
      </c>
      <c r="W1873">
        <f t="shared" si="446"/>
        <v>1872</v>
      </c>
      <c r="X1873" t="str">
        <f t="shared" si="447"/>
        <v>璞瑅商街项目|平均租金单价</v>
      </c>
      <c r="Y1873">
        <f t="shared" si="448"/>
        <v>1872</v>
      </c>
      <c r="Z1873">
        <f>IF($A1873="",0,IF(AND($M1873=1,$A1873=经营数据!$B$3,$J1873=经营数据!$BA$5,OR($I1873=经营数据!$BA$4,COUNTIF(经营数据!$AA$9:$AA$38,$I1873)&gt;0)),1,0))</f>
        <v>0</v>
      </c>
      <c r="AA1873" t="str">
        <f t="shared" si="449"/>
        <v/>
      </c>
      <c r="AB1873" t="str">
        <f t="shared" si="450"/>
        <v/>
      </c>
      <c r="AC1873">
        <f>IF($A1873="",0,IF(COUNTIF($A$2:$A1873,$A1873)=1,1,0))</f>
        <v>0</v>
      </c>
      <c r="AD1873">
        <f t="shared" si="451"/>
        <v>26</v>
      </c>
      <c r="AE1873" t="str">
        <f t="shared" si="452"/>
        <v>璞瑅商街项目|平均租金单价（元/平方米/月）</v>
      </c>
    </row>
    <row r="1874" spans="1:31" x14ac:dyDescent="0.4">
      <c r="A1874" t="str">
        <f>IF(原始经营数据!$D1875="","",原始经营数据!$D1875)</f>
        <v>嘉实首开封闭式商业不动产证券投资基金</v>
      </c>
      <c r="B1874" t="str">
        <f>IF(原始经营数据!$D1875="","",T(原始经营数据!$E1875))</f>
        <v>璞瑅商街项目</v>
      </c>
      <c r="C1874" t="str">
        <f>IF(原始经营数据!$D1875="","",原始经营数据!$F1875)</f>
        <v>2023</v>
      </c>
      <c r="D1874" t="str">
        <f>IF(原始经营数据!$D1875="","",原始经营数据!$H1875)</f>
        <v>平均租金单价</v>
      </c>
      <c r="E1874">
        <f>IF(原始经营数据!$D1875="","",原始经营数据!$I1875)</f>
        <v>209.34</v>
      </c>
      <c r="F1874" t="str">
        <f>IF(原始经营数据!$D1875="","",T(原始经营数据!$J1875))</f>
        <v>元/平方米/月</v>
      </c>
      <c r="G1874" t="str">
        <f>IF(原始经营数据!$D1875="","",T(原始经营数据!$K1875))</f>
        <v/>
      </c>
      <c r="H1874" t="str">
        <f>IF(原始经营数据!$D1875="","",原始经营数据!$G1875)</f>
        <v>服务价格</v>
      </c>
      <c r="I1874" t="str">
        <f>IF($A1874="","",IF($B1874&lt;&gt;"",$B1874,IF(COUNTIFS(原始经营数据!$D$3:$D$3001,$A1874,原始经营数据!$E$3:$E$3001,"",原始经营数据!$F$3:$F$3001,$C1874,原始经营数据!$H$3:$H$3001,$D1874,原始经营数据!$K$3:$K$3001,$G1874)&gt;1,"基金整体·来源"&amp;原始经营数据!$A1875,"基金整体")))</f>
        <v>璞瑅商街项目</v>
      </c>
      <c r="J1874" t="str">
        <f t="shared" si="438"/>
        <v>年度</v>
      </c>
      <c r="K1874" t="str">
        <f t="shared" si="439"/>
        <v>平均租金单价（元/平方米/月）</v>
      </c>
      <c r="L1874" t="str">
        <f t="shared" si="440"/>
        <v>璞瑅商街项目|平均租金单价（元/平方米/月）|年度</v>
      </c>
      <c r="M1874">
        <f>IF($A1874="",0,IF(COUNTIF($L$2:$L1874,$L1874)=1,1,0))</f>
        <v>0</v>
      </c>
      <c r="N1874">
        <f t="shared" si="441"/>
        <v>20230</v>
      </c>
      <c r="O1874" t="str">
        <f t="shared" si="442"/>
        <v>嘉实首开封闭式商业不动产证券投资基金|2023|年度</v>
      </c>
      <c r="P1874">
        <f>IF($A1874="",0,IF(COUNTIF($O$2:$O1874,$O1874)=1,1,0))</f>
        <v>0</v>
      </c>
      <c r="Q1874" t="str">
        <f>IF(AND($P1874=1,$A1874=经营数据!$B$3,$J1874=经营数据!$BA$5),COUNTIFS($P$2:$P$3000,1,$A$2:$A$3000,$A1874,$J$2:$J$3000,$J1874,$N$2:$N$3000,"&lt;"&amp;$N1874)+1,"")</f>
        <v/>
      </c>
      <c r="R1874" t="str">
        <f t="shared" si="443"/>
        <v>嘉实首开封闭式商业不动产证券投资基金|璞瑅商街项目</v>
      </c>
      <c r="S1874">
        <f>IF($A1874="",0,IF(COUNTIF($R$2:$R1874,$R1874)=1,1,0))</f>
        <v>0</v>
      </c>
      <c r="T1874">
        <f t="shared" si="444"/>
        <v>1871</v>
      </c>
      <c r="U1874" t="str">
        <f>IF($A1874="","",IF($A1874=经营数据!$B$3,COUNTIFS($S$2:$S$3000,1,$A$2:$A$3000,$A1874,$T$2:$T$3000,"&lt;"&amp;$T1874)+1,""))</f>
        <v/>
      </c>
      <c r="V1874" t="str">
        <f t="shared" si="445"/>
        <v>璞瑅商街项目|服务价格</v>
      </c>
      <c r="W1874">
        <f t="shared" si="446"/>
        <v>1872</v>
      </c>
      <c r="X1874" t="str">
        <f t="shared" si="447"/>
        <v>璞瑅商街项目|平均租金单价</v>
      </c>
      <c r="Y1874">
        <f t="shared" si="448"/>
        <v>1872</v>
      </c>
      <c r="Z1874">
        <f>IF($A1874="",0,IF(AND($M1874=1,$A1874=经营数据!$B$3,$J1874=经营数据!$BA$5,OR($I1874=经营数据!$BA$4,COUNTIF(经营数据!$AA$9:$AA$38,$I1874)&gt;0)),1,0))</f>
        <v>0</v>
      </c>
      <c r="AA1874" t="str">
        <f t="shared" si="449"/>
        <v/>
      </c>
      <c r="AB1874" t="str">
        <f t="shared" si="450"/>
        <v/>
      </c>
      <c r="AC1874">
        <f>IF($A1874="",0,IF(COUNTIF($A$2:$A1874,$A1874)=1,1,0))</f>
        <v>0</v>
      </c>
      <c r="AD1874">
        <f t="shared" si="451"/>
        <v>26</v>
      </c>
      <c r="AE1874" t="str">
        <f t="shared" si="452"/>
        <v>璞瑅商街项目|平均租金单价（元/平方米/月）</v>
      </c>
    </row>
    <row r="1875" spans="1:31" x14ac:dyDescent="0.4">
      <c r="A1875" t="str">
        <f>IF(原始经营数据!$D1876="","",原始经营数据!$D1876)</f>
        <v>嘉实首开封闭式商业不动产证券投资基金</v>
      </c>
      <c r="B1875" t="str">
        <f>IF(原始经营数据!$D1876="","",T(原始经营数据!$E1876))</f>
        <v>璞瑅商街项目</v>
      </c>
      <c r="C1875" t="str">
        <f>IF(原始经营数据!$D1876="","",原始经营数据!$F1876)</f>
        <v>2023</v>
      </c>
      <c r="D1875" t="str">
        <f>IF(原始经营数据!$D1876="","",原始经营数据!$H1876)</f>
        <v>租金收缴率</v>
      </c>
      <c r="E1875">
        <f>IF(原始经营数据!$D1876="","",原始经营数据!$I1876)</f>
        <v>85.7</v>
      </c>
      <c r="F1875" t="str">
        <f>IF(原始经营数据!$D1876="","",T(原始经营数据!$J1876))</f>
        <v>%</v>
      </c>
      <c r="G1875" t="str">
        <f>IF(原始经营数据!$D1876="","",T(原始经营数据!$K1876))</f>
        <v/>
      </c>
      <c r="H1875" t="str">
        <f>IF(原始经营数据!$D1876="","",原始经营数据!$G1876)</f>
        <v>服务效率</v>
      </c>
      <c r="I1875" t="str">
        <f>IF($A1875="","",IF($B1875&lt;&gt;"",$B1875,IF(COUNTIFS(原始经营数据!$D$3:$D$3001,$A1875,原始经营数据!$E$3:$E$3001,"",原始经营数据!$F$3:$F$3001,$C1875,原始经营数据!$H$3:$H$3001,$D1875,原始经营数据!$K$3:$K$3001,$G1875)&gt;1,"基金整体·来源"&amp;原始经营数据!$A1876,"基金整体")))</f>
        <v>璞瑅商街项目</v>
      </c>
      <c r="J1875" t="str">
        <f t="shared" si="438"/>
        <v>年度</v>
      </c>
      <c r="K1875" t="str">
        <f t="shared" si="439"/>
        <v>租金收缴率（%）</v>
      </c>
      <c r="L1875" t="str">
        <f t="shared" si="440"/>
        <v>璞瑅商街项目|租金收缴率（%）|年度</v>
      </c>
      <c r="M1875">
        <f>IF($A1875="",0,IF(COUNTIF($L$2:$L1875,$L1875)=1,1,0))</f>
        <v>0</v>
      </c>
      <c r="N1875">
        <f t="shared" si="441"/>
        <v>20230</v>
      </c>
      <c r="O1875" t="str">
        <f t="shared" si="442"/>
        <v>嘉实首开封闭式商业不动产证券投资基金|2023|年度</v>
      </c>
      <c r="P1875">
        <f>IF($A1875="",0,IF(COUNTIF($O$2:$O1875,$O1875)=1,1,0))</f>
        <v>0</v>
      </c>
      <c r="Q1875" t="str">
        <f>IF(AND($P1875=1,$A1875=经营数据!$B$3,$J1875=经营数据!$BA$5),COUNTIFS($P$2:$P$3000,1,$A$2:$A$3000,$A1875,$J$2:$J$3000,$J1875,$N$2:$N$3000,"&lt;"&amp;$N1875)+1,"")</f>
        <v/>
      </c>
      <c r="R1875" t="str">
        <f t="shared" si="443"/>
        <v>嘉实首开封闭式商业不动产证券投资基金|璞瑅商街项目</v>
      </c>
      <c r="S1875">
        <f>IF($A1875="",0,IF(COUNTIF($R$2:$R1875,$R1875)=1,1,0))</f>
        <v>0</v>
      </c>
      <c r="T1875">
        <f t="shared" si="444"/>
        <v>1871</v>
      </c>
      <c r="U1875" t="str">
        <f>IF($A1875="","",IF($A1875=经营数据!$B$3,COUNTIFS($S$2:$S$3000,1,$A$2:$A$3000,$A1875,$T$2:$T$3000,"&lt;"&amp;$T1875)+1,""))</f>
        <v/>
      </c>
      <c r="V1875" t="str">
        <f t="shared" si="445"/>
        <v>璞瑅商街项目|服务效率</v>
      </c>
      <c r="W1875">
        <f t="shared" si="446"/>
        <v>1871</v>
      </c>
      <c r="X1875" t="str">
        <f t="shared" si="447"/>
        <v>璞瑅商街项目|租金收缴率</v>
      </c>
      <c r="Y1875">
        <f t="shared" si="448"/>
        <v>1871</v>
      </c>
      <c r="Z1875">
        <f>IF($A1875="",0,IF(AND($M1875=1,$A1875=经营数据!$B$3,$J1875=经营数据!$BA$5,OR($I1875=经营数据!$BA$4,COUNTIF(经营数据!$AA$9:$AA$38,$I1875)&gt;0)),1,0))</f>
        <v>0</v>
      </c>
      <c r="AA1875" t="str">
        <f t="shared" si="449"/>
        <v/>
      </c>
      <c r="AB1875" t="str">
        <f t="shared" si="450"/>
        <v/>
      </c>
      <c r="AC1875">
        <f>IF($A1875="",0,IF(COUNTIF($A$2:$A1875,$A1875)=1,1,0))</f>
        <v>0</v>
      </c>
      <c r="AD1875">
        <f t="shared" si="451"/>
        <v>26</v>
      </c>
      <c r="AE1875" t="str">
        <f t="shared" si="452"/>
        <v>璞瑅商街项目|租金收缴率（%）</v>
      </c>
    </row>
    <row r="1876" spans="1:31" x14ac:dyDescent="0.4">
      <c r="A1876" t="str">
        <f>IF(原始经营数据!$D1877="","",原始经营数据!$D1877)</f>
        <v>嘉实首开封闭式商业不动产证券投资基金</v>
      </c>
      <c r="B1876" t="str">
        <f>IF(原始经营数据!$D1877="","",T(原始经营数据!$E1877))</f>
        <v>璞瑅商街项目</v>
      </c>
      <c r="C1876" t="str">
        <f>IF(原始经营数据!$D1877="","",原始经营数据!$F1877)</f>
        <v>2024</v>
      </c>
      <c r="D1876" t="str">
        <f>IF(原始经营数据!$D1877="","",原始经营数据!$H1877)</f>
        <v>租金收缴率</v>
      </c>
      <c r="E1876">
        <f>IF(原始经营数据!$D1877="","",原始经营数据!$I1877)</f>
        <v>97.03</v>
      </c>
      <c r="F1876" t="str">
        <f>IF(原始经营数据!$D1877="","",T(原始经营数据!$J1877))</f>
        <v>%</v>
      </c>
      <c r="G1876" t="str">
        <f>IF(原始经营数据!$D1877="","",T(原始经营数据!$K1877))</f>
        <v/>
      </c>
      <c r="H1876" t="str">
        <f>IF(原始经营数据!$D1877="","",原始经营数据!$G1877)</f>
        <v>服务效率</v>
      </c>
      <c r="I1876" t="str">
        <f>IF($A1876="","",IF($B1876&lt;&gt;"",$B1876,IF(COUNTIFS(原始经营数据!$D$3:$D$3001,$A1876,原始经营数据!$E$3:$E$3001,"",原始经营数据!$F$3:$F$3001,$C1876,原始经营数据!$H$3:$H$3001,$D1876,原始经营数据!$K$3:$K$3001,$G1876)&gt;1,"基金整体·来源"&amp;原始经营数据!$A1877,"基金整体")))</f>
        <v>璞瑅商街项目</v>
      </c>
      <c r="J1876" t="str">
        <f t="shared" si="438"/>
        <v>年度</v>
      </c>
      <c r="K1876" t="str">
        <f t="shared" si="439"/>
        <v>租金收缴率（%）</v>
      </c>
      <c r="L1876" t="str">
        <f t="shared" si="440"/>
        <v>璞瑅商街项目|租金收缴率（%）|年度</v>
      </c>
      <c r="M1876">
        <f>IF($A1876="",0,IF(COUNTIF($L$2:$L1876,$L1876)=1,1,0))</f>
        <v>0</v>
      </c>
      <c r="N1876">
        <f t="shared" si="441"/>
        <v>20240</v>
      </c>
      <c r="O1876" t="str">
        <f t="shared" si="442"/>
        <v>嘉实首开封闭式商业不动产证券投资基金|2024|年度</v>
      </c>
      <c r="P1876">
        <f>IF($A1876="",0,IF(COUNTIF($O$2:$O1876,$O1876)=1,1,0))</f>
        <v>0</v>
      </c>
      <c r="Q1876" t="str">
        <f>IF(AND($P1876=1,$A1876=经营数据!$B$3,$J1876=经营数据!$BA$5),COUNTIFS($P$2:$P$3000,1,$A$2:$A$3000,$A1876,$J$2:$J$3000,$J1876,$N$2:$N$3000,"&lt;"&amp;$N1876)+1,"")</f>
        <v/>
      </c>
      <c r="R1876" t="str">
        <f t="shared" si="443"/>
        <v>嘉实首开封闭式商业不动产证券投资基金|璞瑅商街项目</v>
      </c>
      <c r="S1876">
        <f>IF($A1876="",0,IF(COUNTIF($R$2:$R1876,$R1876)=1,1,0))</f>
        <v>0</v>
      </c>
      <c r="T1876">
        <f t="shared" si="444"/>
        <v>1871</v>
      </c>
      <c r="U1876" t="str">
        <f>IF($A1876="","",IF($A1876=经营数据!$B$3,COUNTIFS($S$2:$S$3000,1,$A$2:$A$3000,$A1876,$T$2:$T$3000,"&lt;"&amp;$T1876)+1,""))</f>
        <v/>
      </c>
      <c r="V1876" t="str">
        <f t="shared" si="445"/>
        <v>璞瑅商街项目|服务效率</v>
      </c>
      <c r="W1876">
        <f t="shared" si="446"/>
        <v>1871</v>
      </c>
      <c r="X1876" t="str">
        <f t="shared" si="447"/>
        <v>璞瑅商街项目|租金收缴率</v>
      </c>
      <c r="Y1876">
        <f t="shared" si="448"/>
        <v>1871</v>
      </c>
      <c r="Z1876">
        <f>IF($A1876="",0,IF(AND($M1876=1,$A1876=经营数据!$B$3,$J1876=经营数据!$BA$5,OR($I1876=经营数据!$BA$4,COUNTIF(经营数据!$AA$9:$AA$38,$I1876)&gt;0)),1,0))</f>
        <v>0</v>
      </c>
      <c r="AA1876" t="str">
        <f t="shared" si="449"/>
        <v/>
      </c>
      <c r="AB1876" t="str">
        <f t="shared" si="450"/>
        <v/>
      </c>
      <c r="AC1876">
        <f>IF($A1876="",0,IF(COUNTIF($A$2:$A1876,$A1876)=1,1,0))</f>
        <v>0</v>
      </c>
      <c r="AD1876">
        <f t="shared" si="451"/>
        <v>26</v>
      </c>
      <c r="AE1876" t="str">
        <f t="shared" si="452"/>
        <v>璞瑅商街项目|租金收缴率（%）</v>
      </c>
    </row>
    <row r="1877" spans="1:31" x14ac:dyDescent="0.4">
      <c r="A1877" t="str">
        <f>IF(原始经营数据!$D1878="","",原始经营数据!$D1878)</f>
        <v>嘉实首开封闭式商业不动产证券投资基金</v>
      </c>
      <c r="B1877" t="str">
        <f>IF(原始经营数据!$D1878="","",T(原始经营数据!$E1878))</f>
        <v>璞瑅商街项目</v>
      </c>
      <c r="C1877" t="str">
        <f>IF(原始经营数据!$D1878="","",原始经营数据!$F1878)</f>
        <v>2024</v>
      </c>
      <c r="D1877" t="str">
        <f>IF(原始经营数据!$D1878="","",原始经营数据!$H1878)</f>
        <v>平均租金单价</v>
      </c>
      <c r="E1877">
        <f>IF(原始经营数据!$D1878="","",原始经营数据!$I1878)</f>
        <v>216.59</v>
      </c>
      <c r="F1877" t="str">
        <f>IF(原始经营数据!$D1878="","",T(原始经营数据!$J1878))</f>
        <v>元/平方米/月</v>
      </c>
      <c r="G1877" t="str">
        <f>IF(原始经营数据!$D1878="","",T(原始经营数据!$K1878))</f>
        <v/>
      </c>
      <c r="H1877" t="str">
        <f>IF(原始经营数据!$D1878="","",原始经营数据!$G1878)</f>
        <v>服务价格</v>
      </c>
      <c r="I1877" t="str">
        <f>IF($A1877="","",IF($B1877&lt;&gt;"",$B1877,IF(COUNTIFS(原始经营数据!$D$3:$D$3001,$A1877,原始经营数据!$E$3:$E$3001,"",原始经营数据!$F$3:$F$3001,$C1877,原始经营数据!$H$3:$H$3001,$D1877,原始经营数据!$K$3:$K$3001,$G1877)&gt;1,"基金整体·来源"&amp;原始经营数据!$A1878,"基金整体")))</f>
        <v>璞瑅商街项目</v>
      </c>
      <c r="J1877" t="str">
        <f t="shared" si="438"/>
        <v>年度</v>
      </c>
      <c r="K1877" t="str">
        <f t="shared" si="439"/>
        <v>平均租金单价（元/平方米/月）</v>
      </c>
      <c r="L1877" t="str">
        <f t="shared" si="440"/>
        <v>璞瑅商街项目|平均租金单价（元/平方米/月）|年度</v>
      </c>
      <c r="M1877">
        <f>IF($A1877="",0,IF(COUNTIF($L$2:$L1877,$L1877)=1,1,0))</f>
        <v>0</v>
      </c>
      <c r="N1877">
        <f t="shared" si="441"/>
        <v>20240</v>
      </c>
      <c r="O1877" t="str">
        <f t="shared" si="442"/>
        <v>嘉实首开封闭式商业不动产证券投资基金|2024|年度</v>
      </c>
      <c r="P1877">
        <f>IF($A1877="",0,IF(COUNTIF($O$2:$O1877,$O1877)=1,1,0))</f>
        <v>0</v>
      </c>
      <c r="Q1877" t="str">
        <f>IF(AND($P1877=1,$A1877=经营数据!$B$3,$J1877=经营数据!$BA$5),COUNTIFS($P$2:$P$3000,1,$A$2:$A$3000,$A1877,$J$2:$J$3000,$J1877,$N$2:$N$3000,"&lt;"&amp;$N1877)+1,"")</f>
        <v/>
      </c>
      <c r="R1877" t="str">
        <f t="shared" si="443"/>
        <v>嘉实首开封闭式商业不动产证券投资基金|璞瑅商街项目</v>
      </c>
      <c r="S1877">
        <f>IF($A1877="",0,IF(COUNTIF($R$2:$R1877,$R1877)=1,1,0))</f>
        <v>0</v>
      </c>
      <c r="T1877">
        <f t="shared" si="444"/>
        <v>1871</v>
      </c>
      <c r="U1877" t="str">
        <f>IF($A1877="","",IF($A1877=经营数据!$B$3,COUNTIFS($S$2:$S$3000,1,$A$2:$A$3000,$A1877,$T$2:$T$3000,"&lt;"&amp;$T1877)+1,""))</f>
        <v/>
      </c>
      <c r="V1877" t="str">
        <f t="shared" si="445"/>
        <v>璞瑅商街项目|服务价格</v>
      </c>
      <c r="W1877">
        <f t="shared" si="446"/>
        <v>1872</v>
      </c>
      <c r="X1877" t="str">
        <f t="shared" si="447"/>
        <v>璞瑅商街项目|平均租金单价</v>
      </c>
      <c r="Y1877">
        <f t="shared" si="448"/>
        <v>1872</v>
      </c>
      <c r="Z1877">
        <f>IF($A1877="",0,IF(AND($M1877=1,$A1877=经营数据!$B$3,$J1877=经营数据!$BA$5,OR($I1877=经营数据!$BA$4,COUNTIF(经营数据!$AA$9:$AA$38,$I1877)&gt;0)),1,0))</f>
        <v>0</v>
      </c>
      <c r="AA1877" t="str">
        <f t="shared" si="449"/>
        <v/>
      </c>
      <c r="AB1877" t="str">
        <f t="shared" si="450"/>
        <v/>
      </c>
      <c r="AC1877">
        <f>IF($A1877="",0,IF(COUNTIF($A$2:$A1877,$A1877)=1,1,0))</f>
        <v>0</v>
      </c>
      <c r="AD1877">
        <f t="shared" si="451"/>
        <v>26</v>
      </c>
      <c r="AE1877" t="str">
        <f t="shared" si="452"/>
        <v>璞瑅商街项目|平均租金单价（元/平方米/月）</v>
      </c>
    </row>
    <row r="1878" spans="1:31" x14ac:dyDescent="0.4">
      <c r="A1878" t="str">
        <f>IF(原始经营数据!$D1879="","",原始经营数据!$D1879)</f>
        <v>嘉实首开封闭式商业不动产证券投资基金</v>
      </c>
      <c r="B1878" t="str">
        <f>IF(原始经营数据!$D1879="","",T(原始经营数据!$E1879))</f>
        <v>璞瑅商街项目</v>
      </c>
      <c r="C1878" t="str">
        <f>IF(原始经营数据!$D1879="","",原始经营数据!$F1879)</f>
        <v>2025.01-09</v>
      </c>
      <c r="D1878" t="str">
        <f>IF(原始经营数据!$D1879="","",原始经营数据!$H1879)</f>
        <v>平均租金单价</v>
      </c>
      <c r="E1878">
        <f>IF(原始经营数据!$D1879="","",原始经营数据!$I1879)</f>
        <v>209.98</v>
      </c>
      <c r="F1878" t="str">
        <f>IF(原始经营数据!$D1879="","",T(原始经营数据!$J1879))</f>
        <v>元/平方米/月</v>
      </c>
      <c r="G1878" t="str">
        <f>IF(原始经营数据!$D1879="","",T(原始经营数据!$K1879))</f>
        <v/>
      </c>
      <c r="H1878" t="str">
        <f>IF(原始经营数据!$D1879="","",原始经营数据!$G1879)</f>
        <v>服务价格</v>
      </c>
      <c r="I1878" t="str">
        <f>IF($A1878="","",IF($B1878&lt;&gt;"",$B1878,IF(COUNTIFS(原始经营数据!$D$3:$D$3001,$A1878,原始经营数据!$E$3:$E$3001,"",原始经营数据!$F$3:$F$3001,$C1878,原始经营数据!$H$3:$H$3001,$D1878,原始经营数据!$K$3:$K$3001,$G1878)&gt;1,"基金整体·来源"&amp;原始经营数据!$A1879,"基金整体")))</f>
        <v>璞瑅商街项目</v>
      </c>
      <c r="J1878" t="str">
        <f t="shared" si="438"/>
        <v>其他期间</v>
      </c>
      <c r="K1878" t="str">
        <f t="shared" si="439"/>
        <v>平均租金单价（元/平方米/月）</v>
      </c>
      <c r="L1878" t="str">
        <f t="shared" si="440"/>
        <v>璞瑅商街项目|平均租金单价（元/平方米/月）|其他期间</v>
      </c>
      <c r="M1878">
        <f>IF($A1878="",0,IF(COUNTIF($L$2:$L1878,$L1878)=1,1,0))</f>
        <v>1</v>
      </c>
      <c r="N1878">
        <f t="shared" si="441"/>
        <v>20259</v>
      </c>
      <c r="O1878" t="str">
        <f t="shared" si="442"/>
        <v>嘉实首开封闭式商业不动产证券投资基金|2025.01-09|其他期间</v>
      </c>
      <c r="P1878">
        <f>IF($A1878="",0,IF(COUNTIF($O$2:$O1878,$O1878)=1,1,0))</f>
        <v>0</v>
      </c>
      <c r="Q1878" t="str">
        <f>IF(AND($P1878=1,$A1878=经营数据!$B$3,$J1878=经营数据!$BA$5),COUNTIFS($P$2:$P$3000,1,$A$2:$A$3000,$A1878,$J$2:$J$3000,$J1878,$N$2:$N$3000,"&lt;"&amp;$N1878)+1,"")</f>
        <v/>
      </c>
      <c r="R1878" t="str">
        <f t="shared" si="443"/>
        <v>嘉实首开封闭式商业不动产证券投资基金|璞瑅商街项目</v>
      </c>
      <c r="S1878">
        <f>IF($A1878="",0,IF(COUNTIF($R$2:$R1878,$R1878)=1,1,0))</f>
        <v>0</v>
      </c>
      <c r="T1878">
        <f t="shared" si="444"/>
        <v>1871</v>
      </c>
      <c r="U1878" t="str">
        <f>IF($A1878="","",IF($A1878=经营数据!$B$3,COUNTIFS($S$2:$S$3000,1,$A$2:$A$3000,$A1878,$T$2:$T$3000,"&lt;"&amp;$T1878)+1,""))</f>
        <v/>
      </c>
      <c r="V1878" t="str">
        <f t="shared" si="445"/>
        <v>璞瑅商街项目|服务价格</v>
      </c>
      <c r="W1878">
        <f t="shared" si="446"/>
        <v>1872</v>
      </c>
      <c r="X1878" t="str">
        <f t="shared" si="447"/>
        <v>璞瑅商街项目|平均租金单价</v>
      </c>
      <c r="Y1878">
        <f t="shared" si="448"/>
        <v>1872</v>
      </c>
      <c r="Z1878">
        <f>IF($A1878="",0,IF(AND($M1878=1,$A1878=经营数据!$B$3,$J1878=经营数据!$BA$5,OR($I1878=经营数据!$BA$4,COUNTIF(经营数据!$AA$9:$AA$38,$I1878)&gt;0)),1,0))</f>
        <v>0</v>
      </c>
      <c r="AA1878" t="str">
        <f t="shared" si="449"/>
        <v/>
      </c>
      <c r="AB1878" t="str">
        <f t="shared" si="450"/>
        <v/>
      </c>
      <c r="AC1878">
        <f>IF($A1878="",0,IF(COUNTIF($A$2:$A1878,$A1878)=1,1,0))</f>
        <v>0</v>
      </c>
      <c r="AD1878">
        <f t="shared" si="451"/>
        <v>26</v>
      </c>
      <c r="AE1878" t="str">
        <f t="shared" si="452"/>
        <v>璞瑅商街项目|平均租金单价（元/平方米/月）</v>
      </c>
    </row>
    <row r="1879" spans="1:31" x14ac:dyDescent="0.4">
      <c r="A1879" t="str">
        <f>IF(原始经营数据!$D1880="","",原始经营数据!$D1880)</f>
        <v>嘉实首开封闭式商业不动产证券投资基金</v>
      </c>
      <c r="B1879" t="str">
        <f>IF(原始经营数据!$D1880="","",T(原始经营数据!$E1880))</f>
        <v>璞瑅商街项目</v>
      </c>
      <c r="C1879" t="str">
        <f>IF(原始经营数据!$D1880="","",原始经营数据!$F1880)</f>
        <v>2025.01-09</v>
      </c>
      <c r="D1879" t="str">
        <f>IF(原始经营数据!$D1880="","",原始经营数据!$H1880)</f>
        <v>租金收缴率</v>
      </c>
      <c r="E1879">
        <f>IF(原始经营数据!$D1880="","",原始经营数据!$I1880)</f>
        <v>98.7</v>
      </c>
      <c r="F1879" t="str">
        <f>IF(原始经营数据!$D1880="","",T(原始经营数据!$J1880))</f>
        <v>%</v>
      </c>
      <c r="G1879" t="str">
        <f>IF(原始经营数据!$D1880="","",T(原始经营数据!$K1880))</f>
        <v/>
      </c>
      <c r="H1879" t="str">
        <f>IF(原始经营数据!$D1880="","",原始经营数据!$G1880)</f>
        <v>服务效率</v>
      </c>
      <c r="I1879" t="str">
        <f>IF($A1879="","",IF($B1879&lt;&gt;"",$B1879,IF(COUNTIFS(原始经营数据!$D$3:$D$3001,$A1879,原始经营数据!$E$3:$E$3001,"",原始经营数据!$F$3:$F$3001,$C1879,原始经营数据!$H$3:$H$3001,$D1879,原始经营数据!$K$3:$K$3001,$G1879)&gt;1,"基金整体·来源"&amp;原始经营数据!$A1880,"基金整体")))</f>
        <v>璞瑅商街项目</v>
      </c>
      <c r="J1879" t="str">
        <f t="shared" si="438"/>
        <v>其他期间</v>
      </c>
      <c r="K1879" t="str">
        <f t="shared" si="439"/>
        <v>租金收缴率（%）</v>
      </c>
      <c r="L1879" t="str">
        <f t="shared" si="440"/>
        <v>璞瑅商街项目|租金收缴率（%）|其他期间</v>
      </c>
      <c r="M1879">
        <f>IF($A1879="",0,IF(COUNTIF($L$2:$L1879,$L1879)=1,1,0))</f>
        <v>1</v>
      </c>
      <c r="N1879">
        <f t="shared" si="441"/>
        <v>20259</v>
      </c>
      <c r="O1879" t="str">
        <f t="shared" si="442"/>
        <v>嘉实首开封闭式商业不动产证券投资基金|2025.01-09|其他期间</v>
      </c>
      <c r="P1879">
        <f>IF($A1879="",0,IF(COUNTIF($O$2:$O1879,$O1879)=1,1,0))</f>
        <v>0</v>
      </c>
      <c r="Q1879" t="str">
        <f>IF(AND($P1879=1,$A1879=经营数据!$B$3,$J1879=经营数据!$BA$5),COUNTIFS($P$2:$P$3000,1,$A$2:$A$3000,$A1879,$J$2:$J$3000,$J1879,$N$2:$N$3000,"&lt;"&amp;$N1879)+1,"")</f>
        <v/>
      </c>
      <c r="R1879" t="str">
        <f t="shared" si="443"/>
        <v>嘉实首开封闭式商业不动产证券投资基金|璞瑅商街项目</v>
      </c>
      <c r="S1879">
        <f>IF($A1879="",0,IF(COUNTIF($R$2:$R1879,$R1879)=1,1,0))</f>
        <v>0</v>
      </c>
      <c r="T1879">
        <f t="shared" si="444"/>
        <v>1871</v>
      </c>
      <c r="U1879" t="str">
        <f>IF($A1879="","",IF($A1879=经营数据!$B$3,COUNTIFS($S$2:$S$3000,1,$A$2:$A$3000,$A1879,$T$2:$T$3000,"&lt;"&amp;$T1879)+1,""))</f>
        <v/>
      </c>
      <c r="V1879" t="str">
        <f t="shared" si="445"/>
        <v>璞瑅商街项目|服务效率</v>
      </c>
      <c r="W1879">
        <f t="shared" si="446"/>
        <v>1871</v>
      </c>
      <c r="X1879" t="str">
        <f t="shared" si="447"/>
        <v>璞瑅商街项目|租金收缴率</v>
      </c>
      <c r="Y1879">
        <f t="shared" si="448"/>
        <v>1871</v>
      </c>
      <c r="Z1879">
        <f>IF($A1879="",0,IF(AND($M1879=1,$A1879=经营数据!$B$3,$J1879=经营数据!$BA$5,OR($I1879=经营数据!$BA$4,COUNTIF(经营数据!$AA$9:$AA$38,$I1879)&gt;0)),1,0))</f>
        <v>0</v>
      </c>
      <c r="AA1879" t="str">
        <f t="shared" si="449"/>
        <v/>
      </c>
      <c r="AB1879" t="str">
        <f t="shared" si="450"/>
        <v/>
      </c>
      <c r="AC1879">
        <f>IF($A1879="",0,IF(COUNTIF($A$2:$A1879,$A1879)=1,1,0))</f>
        <v>0</v>
      </c>
      <c r="AD1879">
        <f t="shared" si="451"/>
        <v>26</v>
      </c>
      <c r="AE1879" t="str">
        <f t="shared" si="452"/>
        <v>璞瑅商街项目|租金收缴率（%）</v>
      </c>
    </row>
    <row r="1880" spans="1:31" x14ac:dyDescent="0.4">
      <c r="A1880" t="str">
        <f>IF(原始经营数据!$D1881="","",原始经营数据!$D1881)</f>
        <v>红土创新星河集团封闭式商业不动产证券投资基金</v>
      </c>
      <c r="B1880" t="str">
        <f>IF(原始经营数据!$D1881="","",T(原始经营数据!$E1881))</f>
        <v>龙岗星河COCOPark</v>
      </c>
      <c r="C1880" t="str">
        <f>IF(原始经营数据!$D1881="","",原始经营数据!$F1881)</f>
        <v>2023</v>
      </c>
      <c r="D1880" t="str">
        <f>IF(原始经营数据!$D1881="","",原始经营数据!$H1881)</f>
        <v>可租赁面积</v>
      </c>
      <c r="E1880">
        <f>IF(原始经营数据!$D1881="","",原始经营数据!$I1881)</f>
        <v>49978.1</v>
      </c>
      <c r="F1880" t="str">
        <f>IF(原始经营数据!$D1881="","",T(原始经营数据!$J1881))</f>
        <v>平方米</v>
      </c>
      <c r="G1880" t="str">
        <f>IF(原始经营数据!$D1881="","",T(原始经营数据!$K1881))</f>
        <v/>
      </c>
      <c r="H1880" t="str">
        <f>IF(原始经营数据!$D1881="","",原始经营数据!$G1881)</f>
        <v>服务量</v>
      </c>
      <c r="I1880" t="str">
        <f>IF($A1880="","",IF($B1880&lt;&gt;"",$B1880,IF(COUNTIFS(原始经营数据!$D$3:$D$3001,$A1880,原始经营数据!$E$3:$E$3001,"",原始经营数据!$F$3:$F$3001,$C1880,原始经营数据!$H$3:$H$3001,$D1880,原始经营数据!$K$3:$K$3001,$G1880)&gt;1,"基金整体·来源"&amp;原始经营数据!$A1881,"基金整体")))</f>
        <v>龙岗星河COCOPark</v>
      </c>
      <c r="J1880" t="str">
        <f t="shared" si="438"/>
        <v>年度</v>
      </c>
      <c r="K1880" t="str">
        <f t="shared" si="439"/>
        <v>可租赁面积（平方米）</v>
      </c>
      <c r="L1880" t="str">
        <f t="shared" si="440"/>
        <v>龙岗星河COCOPark|可租赁面积（平方米）|年度</v>
      </c>
      <c r="M1880">
        <f>IF($A1880="",0,IF(COUNTIF($L$2:$L1880,$L1880)=1,1,0))</f>
        <v>1</v>
      </c>
      <c r="N1880">
        <f t="shared" si="441"/>
        <v>20230</v>
      </c>
      <c r="O1880" t="str">
        <f t="shared" si="442"/>
        <v>红土创新星河集团封闭式商业不动产证券投资基金|2023|年度</v>
      </c>
      <c r="P1880">
        <f>IF($A1880="",0,IF(COUNTIF($O$2:$O1880,$O1880)=1,1,0))</f>
        <v>1</v>
      </c>
      <c r="Q1880" t="str">
        <f>IF(AND($P1880=1,$A1880=经营数据!$B$3,$J1880=经营数据!$BA$5),COUNTIFS($P$2:$P$3000,1,$A$2:$A$3000,$A1880,$J$2:$J$3000,$J1880,$N$2:$N$3000,"&lt;"&amp;$N1880)+1,"")</f>
        <v/>
      </c>
      <c r="R1880" t="str">
        <f t="shared" si="443"/>
        <v>红土创新星河集团封闭式商业不动产证券投资基金|龙岗星河COCOPark</v>
      </c>
      <c r="S1880">
        <f>IF($A1880="",0,IF(COUNTIF($R$2:$R1880,$R1880)=1,1,0))</f>
        <v>1</v>
      </c>
      <c r="T1880">
        <f t="shared" si="444"/>
        <v>1879</v>
      </c>
      <c r="U1880" t="str">
        <f>IF($A1880="","",IF($A1880=经营数据!$B$3,COUNTIFS($S$2:$S$3000,1,$A$2:$A$3000,$A1880,$T$2:$T$3000,"&lt;"&amp;$T1880)+1,""))</f>
        <v/>
      </c>
      <c r="V1880" t="str">
        <f t="shared" si="445"/>
        <v>龙岗星河COCOPark|服务量</v>
      </c>
      <c r="W1880">
        <f t="shared" si="446"/>
        <v>1879</v>
      </c>
      <c r="X1880" t="str">
        <f t="shared" si="447"/>
        <v>龙岗星河COCOPark|可租赁面积</v>
      </c>
      <c r="Y1880">
        <f t="shared" si="448"/>
        <v>1879</v>
      </c>
      <c r="Z1880">
        <f>IF($A1880="",0,IF(AND($M1880=1,$A1880=经营数据!$B$3,$J1880=经营数据!$BA$5,OR($I1880=经营数据!$BA$4,COUNTIF(经营数据!$AA$9:$AA$38,$I1880)&gt;0)),1,0))</f>
        <v>0</v>
      </c>
      <c r="AA1880" t="str">
        <f t="shared" si="449"/>
        <v/>
      </c>
      <c r="AB1880" t="str">
        <f t="shared" si="450"/>
        <v/>
      </c>
      <c r="AC1880">
        <f>IF($A1880="",0,IF(COUNTIF($A$2:$A1880,$A1880)=1,1,0))</f>
        <v>1</v>
      </c>
      <c r="AD1880">
        <f t="shared" si="451"/>
        <v>27</v>
      </c>
      <c r="AE1880" t="str">
        <f t="shared" si="452"/>
        <v>龙岗星河COCOPark|可租赁面积（平方米）</v>
      </c>
    </row>
    <row r="1881" spans="1:31" x14ac:dyDescent="0.4">
      <c r="A1881" t="str">
        <f>IF(原始经营数据!$D1882="","",原始经营数据!$D1882)</f>
        <v>红土创新星河集团封闭式商业不动产证券投资基金</v>
      </c>
      <c r="B1881" t="str">
        <f>IF(原始经营数据!$D1882="","",T(原始经营数据!$E1882))</f>
        <v>龙岗星河COCOPark</v>
      </c>
      <c r="C1881" t="str">
        <f>IF(原始经营数据!$D1882="","",原始经营数据!$F1882)</f>
        <v>2023</v>
      </c>
      <c r="D1881" t="str">
        <f>IF(原始经营数据!$D1882="","",原始经营数据!$H1882)</f>
        <v>出租率</v>
      </c>
      <c r="E1881">
        <f>IF(原始经营数据!$D1882="","",原始经营数据!$I1882)</f>
        <v>99.87</v>
      </c>
      <c r="F1881" t="str">
        <f>IF(原始经营数据!$D1882="","",T(原始经营数据!$J1882))</f>
        <v>%</v>
      </c>
      <c r="G1881" t="str">
        <f>IF(原始经营数据!$D1882="","",T(原始经营数据!$K1882))</f>
        <v/>
      </c>
      <c r="H1881" t="str">
        <f>IF(原始经营数据!$D1882="","",原始经营数据!$G1882)</f>
        <v>服务效率</v>
      </c>
      <c r="I1881" t="str">
        <f>IF($A1881="","",IF($B1881&lt;&gt;"",$B1881,IF(COUNTIFS(原始经营数据!$D$3:$D$3001,$A1881,原始经营数据!$E$3:$E$3001,"",原始经营数据!$F$3:$F$3001,$C1881,原始经营数据!$H$3:$H$3001,$D1881,原始经营数据!$K$3:$K$3001,$G1881)&gt;1,"基金整体·来源"&amp;原始经营数据!$A1882,"基金整体")))</f>
        <v>龙岗星河COCOPark</v>
      </c>
      <c r="J1881" t="str">
        <f t="shared" si="438"/>
        <v>年度</v>
      </c>
      <c r="K1881" t="str">
        <f t="shared" si="439"/>
        <v>出租率（%）</v>
      </c>
      <c r="L1881" t="str">
        <f t="shared" si="440"/>
        <v>龙岗星河COCOPark|出租率（%）|年度</v>
      </c>
      <c r="M1881">
        <f>IF($A1881="",0,IF(COUNTIF($L$2:$L1881,$L1881)=1,1,0))</f>
        <v>1</v>
      </c>
      <c r="N1881">
        <f t="shared" si="441"/>
        <v>20230</v>
      </c>
      <c r="O1881" t="str">
        <f t="shared" si="442"/>
        <v>红土创新星河集团封闭式商业不动产证券投资基金|2023|年度</v>
      </c>
      <c r="P1881">
        <f>IF($A1881="",0,IF(COUNTIF($O$2:$O1881,$O1881)=1,1,0))</f>
        <v>0</v>
      </c>
      <c r="Q1881" t="str">
        <f>IF(AND($P1881=1,$A1881=经营数据!$B$3,$J1881=经营数据!$BA$5),COUNTIFS($P$2:$P$3000,1,$A$2:$A$3000,$A1881,$J$2:$J$3000,$J1881,$N$2:$N$3000,"&lt;"&amp;$N1881)+1,"")</f>
        <v/>
      </c>
      <c r="R1881" t="str">
        <f t="shared" si="443"/>
        <v>红土创新星河集团封闭式商业不动产证券投资基金|龙岗星河COCOPark</v>
      </c>
      <c r="S1881">
        <f>IF($A1881="",0,IF(COUNTIF($R$2:$R1881,$R1881)=1,1,0))</f>
        <v>0</v>
      </c>
      <c r="T1881">
        <f t="shared" si="444"/>
        <v>1879</v>
      </c>
      <c r="U1881" t="str">
        <f>IF($A1881="","",IF($A1881=经营数据!$B$3,COUNTIFS($S$2:$S$3000,1,$A$2:$A$3000,$A1881,$T$2:$T$3000,"&lt;"&amp;$T1881)+1,""))</f>
        <v/>
      </c>
      <c r="V1881" t="str">
        <f t="shared" si="445"/>
        <v>龙岗星河COCOPark|服务效率</v>
      </c>
      <c r="W1881">
        <f t="shared" si="446"/>
        <v>1880</v>
      </c>
      <c r="X1881" t="str">
        <f t="shared" si="447"/>
        <v>龙岗星河COCOPark|出租率</v>
      </c>
      <c r="Y1881">
        <f t="shared" si="448"/>
        <v>1880</v>
      </c>
      <c r="Z1881">
        <f>IF($A1881="",0,IF(AND($M1881=1,$A1881=经营数据!$B$3,$J1881=经营数据!$BA$5,OR($I1881=经营数据!$BA$4,COUNTIF(经营数据!$AA$9:$AA$38,$I1881)&gt;0)),1,0))</f>
        <v>0</v>
      </c>
      <c r="AA1881" t="str">
        <f t="shared" si="449"/>
        <v/>
      </c>
      <c r="AB1881" t="str">
        <f t="shared" si="450"/>
        <v/>
      </c>
      <c r="AC1881">
        <f>IF($A1881="",0,IF(COUNTIF($A$2:$A1881,$A1881)=1,1,0))</f>
        <v>0</v>
      </c>
      <c r="AD1881">
        <f t="shared" si="451"/>
        <v>27</v>
      </c>
      <c r="AE1881" t="str">
        <f t="shared" si="452"/>
        <v>龙岗星河COCOPark|出租率（%）</v>
      </c>
    </row>
    <row r="1882" spans="1:31" x14ac:dyDescent="0.4">
      <c r="A1882" t="str">
        <f>IF(原始经营数据!$D1883="","",原始经营数据!$D1883)</f>
        <v>红土创新星河集团封闭式商业不动产证券投资基金</v>
      </c>
      <c r="B1882" t="str">
        <f>IF(原始经营数据!$D1883="","",T(原始经营数据!$E1883))</f>
        <v>龙岗星河COCOPark</v>
      </c>
      <c r="C1882" t="str">
        <f>IF(原始经营数据!$D1883="","",原始经营数据!$F1883)</f>
        <v>2023</v>
      </c>
      <c r="D1882" t="str">
        <f>IF(原始经营数据!$D1883="","",原始经营数据!$H1883)</f>
        <v>加权平均出租率</v>
      </c>
      <c r="E1882">
        <f>IF(原始经营数据!$D1883="","",原始经营数据!$I1883)</f>
        <v>97.61</v>
      </c>
      <c r="F1882" t="str">
        <f>IF(原始经营数据!$D1883="","",T(原始经营数据!$J1883))</f>
        <v>%</v>
      </c>
      <c r="G1882" t="str">
        <f>IF(原始经营数据!$D1883="","",T(原始经营数据!$K1883))</f>
        <v/>
      </c>
      <c r="H1882" t="str">
        <f>IF(原始经营数据!$D1883="","",原始经营数据!$G1883)</f>
        <v>服务效率</v>
      </c>
      <c r="I1882" t="str">
        <f>IF($A1882="","",IF($B1882&lt;&gt;"",$B1882,IF(COUNTIFS(原始经营数据!$D$3:$D$3001,$A1882,原始经营数据!$E$3:$E$3001,"",原始经营数据!$F$3:$F$3001,$C1882,原始经营数据!$H$3:$H$3001,$D1882,原始经营数据!$K$3:$K$3001,$G1882)&gt;1,"基金整体·来源"&amp;原始经营数据!$A1883,"基金整体")))</f>
        <v>龙岗星河COCOPark</v>
      </c>
      <c r="J1882" t="str">
        <f t="shared" si="438"/>
        <v>年度</v>
      </c>
      <c r="K1882" t="str">
        <f t="shared" si="439"/>
        <v>加权平均出租率（%）</v>
      </c>
      <c r="L1882" t="str">
        <f t="shared" si="440"/>
        <v>龙岗星河COCOPark|加权平均出租率（%）|年度</v>
      </c>
      <c r="M1882">
        <f>IF($A1882="",0,IF(COUNTIF($L$2:$L1882,$L1882)=1,1,0))</f>
        <v>1</v>
      </c>
      <c r="N1882">
        <f t="shared" si="441"/>
        <v>20230</v>
      </c>
      <c r="O1882" t="str">
        <f t="shared" si="442"/>
        <v>红土创新星河集团封闭式商业不动产证券投资基金|2023|年度</v>
      </c>
      <c r="P1882">
        <f>IF($A1882="",0,IF(COUNTIF($O$2:$O1882,$O1882)=1,1,0))</f>
        <v>0</v>
      </c>
      <c r="Q1882" t="str">
        <f>IF(AND($P1882=1,$A1882=经营数据!$B$3,$J1882=经营数据!$BA$5),COUNTIFS($P$2:$P$3000,1,$A$2:$A$3000,$A1882,$J$2:$J$3000,$J1882,$N$2:$N$3000,"&lt;"&amp;$N1882)+1,"")</f>
        <v/>
      </c>
      <c r="R1882" t="str">
        <f t="shared" si="443"/>
        <v>红土创新星河集团封闭式商业不动产证券投资基金|龙岗星河COCOPark</v>
      </c>
      <c r="S1882">
        <f>IF($A1882="",0,IF(COUNTIF($R$2:$R1882,$R1882)=1,1,0))</f>
        <v>0</v>
      </c>
      <c r="T1882">
        <f t="shared" si="444"/>
        <v>1879</v>
      </c>
      <c r="U1882" t="str">
        <f>IF($A1882="","",IF($A1882=经营数据!$B$3,COUNTIFS($S$2:$S$3000,1,$A$2:$A$3000,$A1882,$T$2:$T$3000,"&lt;"&amp;$T1882)+1,""))</f>
        <v/>
      </c>
      <c r="V1882" t="str">
        <f t="shared" si="445"/>
        <v>龙岗星河COCOPark|服务效率</v>
      </c>
      <c r="W1882">
        <f t="shared" si="446"/>
        <v>1880</v>
      </c>
      <c r="X1882" t="str">
        <f t="shared" si="447"/>
        <v>龙岗星河COCOPark|加权平均出租率</v>
      </c>
      <c r="Y1882">
        <f t="shared" si="448"/>
        <v>1881</v>
      </c>
      <c r="Z1882">
        <f>IF($A1882="",0,IF(AND($M1882=1,$A1882=经营数据!$B$3,$J1882=经营数据!$BA$5,OR($I1882=经营数据!$BA$4,COUNTIF(经营数据!$AA$9:$AA$38,$I1882)&gt;0)),1,0))</f>
        <v>0</v>
      </c>
      <c r="AA1882" t="str">
        <f t="shared" si="449"/>
        <v/>
      </c>
      <c r="AB1882" t="str">
        <f t="shared" si="450"/>
        <v/>
      </c>
      <c r="AC1882">
        <f>IF($A1882="",0,IF(COUNTIF($A$2:$A1882,$A1882)=1,1,0))</f>
        <v>0</v>
      </c>
      <c r="AD1882">
        <f t="shared" si="451"/>
        <v>27</v>
      </c>
      <c r="AE1882" t="str">
        <f t="shared" si="452"/>
        <v>龙岗星河COCOPark|加权平均出租率（%）</v>
      </c>
    </row>
    <row r="1883" spans="1:31" x14ac:dyDescent="0.4">
      <c r="A1883" t="str">
        <f>IF(原始经营数据!$D1884="","",原始经营数据!$D1884)</f>
        <v>红土创新星河集团封闭式商业不动产证券投资基金</v>
      </c>
      <c r="B1883" t="str">
        <f>IF(原始经营数据!$D1884="","",T(原始经营数据!$E1884))</f>
        <v>龙岗星河COCOPark</v>
      </c>
      <c r="C1883" t="str">
        <f>IF(原始经营数据!$D1884="","",原始经营数据!$F1884)</f>
        <v>2023</v>
      </c>
      <c r="D1883" t="str">
        <f>IF(原始经营数据!$D1884="","",原始经营数据!$H1884)</f>
        <v>平均租金单价</v>
      </c>
      <c r="E1883">
        <f>IF(原始经营数据!$D1884="","",原始经营数据!$I1884)</f>
        <v>160.22999999999999</v>
      </c>
      <c r="F1883" t="str">
        <f>IF(原始经营数据!$D1884="","",T(原始经营数据!$J1884))</f>
        <v>元/平方米/月</v>
      </c>
      <c r="G1883" t="str">
        <f>IF(原始经营数据!$D1884="","",T(原始经营数据!$K1884))</f>
        <v/>
      </c>
      <c r="H1883" t="str">
        <f>IF(原始经营数据!$D1884="","",原始经营数据!$G1884)</f>
        <v>服务价格</v>
      </c>
      <c r="I1883" t="str">
        <f>IF($A1883="","",IF($B1883&lt;&gt;"",$B1883,IF(COUNTIFS(原始经营数据!$D$3:$D$3001,$A1883,原始经营数据!$E$3:$E$3001,"",原始经营数据!$F$3:$F$3001,$C1883,原始经营数据!$H$3:$H$3001,$D1883,原始经营数据!$K$3:$K$3001,$G1883)&gt;1,"基金整体·来源"&amp;原始经营数据!$A1884,"基金整体")))</f>
        <v>龙岗星河COCOPark</v>
      </c>
      <c r="J1883" t="str">
        <f t="shared" si="438"/>
        <v>年度</v>
      </c>
      <c r="K1883" t="str">
        <f t="shared" si="439"/>
        <v>平均租金单价（元/平方米/月）</v>
      </c>
      <c r="L1883" t="str">
        <f t="shared" si="440"/>
        <v>龙岗星河COCOPark|平均租金单价（元/平方米/月）|年度</v>
      </c>
      <c r="M1883">
        <f>IF($A1883="",0,IF(COUNTIF($L$2:$L1883,$L1883)=1,1,0))</f>
        <v>1</v>
      </c>
      <c r="N1883">
        <f t="shared" si="441"/>
        <v>20230</v>
      </c>
      <c r="O1883" t="str">
        <f t="shared" si="442"/>
        <v>红土创新星河集团封闭式商业不动产证券投资基金|2023|年度</v>
      </c>
      <c r="P1883">
        <f>IF($A1883="",0,IF(COUNTIF($O$2:$O1883,$O1883)=1,1,0))</f>
        <v>0</v>
      </c>
      <c r="Q1883" t="str">
        <f>IF(AND($P1883=1,$A1883=经营数据!$B$3,$J1883=经营数据!$BA$5),COUNTIFS($P$2:$P$3000,1,$A$2:$A$3000,$A1883,$J$2:$J$3000,$J1883,$N$2:$N$3000,"&lt;"&amp;$N1883)+1,"")</f>
        <v/>
      </c>
      <c r="R1883" t="str">
        <f t="shared" si="443"/>
        <v>红土创新星河集团封闭式商业不动产证券投资基金|龙岗星河COCOPark</v>
      </c>
      <c r="S1883">
        <f>IF($A1883="",0,IF(COUNTIF($R$2:$R1883,$R1883)=1,1,0))</f>
        <v>0</v>
      </c>
      <c r="T1883">
        <f t="shared" si="444"/>
        <v>1879</v>
      </c>
      <c r="U1883" t="str">
        <f>IF($A1883="","",IF($A1883=经营数据!$B$3,COUNTIFS($S$2:$S$3000,1,$A$2:$A$3000,$A1883,$T$2:$T$3000,"&lt;"&amp;$T1883)+1,""))</f>
        <v/>
      </c>
      <c r="V1883" t="str">
        <f t="shared" si="445"/>
        <v>龙岗星河COCOPark|服务价格</v>
      </c>
      <c r="W1883">
        <f t="shared" si="446"/>
        <v>1882</v>
      </c>
      <c r="X1883" t="str">
        <f t="shared" si="447"/>
        <v>龙岗星河COCOPark|平均租金单价</v>
      </c>
      <c r="Y1883">
        <f t="shared" si="448"/>
        <v>1882</v>
      </c>
      <c r="Z1883">
        <f>IF($A1883="",0,IF(AND($M1883=1,$A1883=经营数据!$B$3,$J1883=经营数据!$BA$5,OR($I1883=经营数据!$BA$4,COUNTIF(经营数据!$AA$9:$AA$38,$I1883)&gt;0)),1,0))</f>
        <v>0</v>
      </c>
      <c r="AA1883" t="str">
        <f t="shared" si="449"/>
        <v/>
      </c>
      <c r="AB1883" t="str">
        <f t="shared" si="450"/>
        <v/>
      </c>
      <c r="AC1883">
        <f>IF($A1883="",0,IF(COUNTIF($A$2:$A1883,$A1883)=1,1,0))</f>
        <v>0</v>
      </c>
      <c r="AD1883">
        <f t="shared" si="451"/>
        <v>27</v>
      </c>
      <c r="AE1883" t="str">
        <f t="shared" si="452"/>
        <v>龙岗星河COCOPark|平均租金单价（元/平方米/月）</v>
      </c>
    </row>
    <row r="1884" spans="1:31" x14ac:dyDescent="0.4">
      <c r="A1884" t="str">
        <f>IF(原始经营数据!$D1885="","",原始经营数据!$D1885)</f>
        <v>红土创新星河集团封闭式商业不动产证券投资基金</v>
      </c>
      <c r="B1884" t="str">
        <f>IF(原始经营数据!$D1885="","",T(原始经营数据!$E1885))</f>
        <v>龙岗星河COCOPark</v>
      </c>
      <c r="C1884" t="str">
        <f>IF(原始经营数据!$D1885="","",原始经营数据!$F1885)</f>
        <v>2023</v>
      </c>
      <c r="D1884" t="str">
        <f>IF(原始经营数据!$D1885="","",原始经营数据!$H1885)</f>
        <v>客流量</v>
      </c>
      <c r="E1884">
        <f>IF(原始经营数据!$D1885="","",原始经营数据!$I1885)</f>
        <v>1324</v>
      </c>
      <c r="F1884" t="str">
        <f>IF(原始经营数据!$D1885="","",T(原始经营数据!$J1885))</f>
        <v>万人/年</v>
      </c>
      <c r="G1884" t="str">
        <f>IF(原始经营数据!$D1885="","",T(原始经营数据!$K1885))</f>
        <v/>
      </c>
      <c r="H1884" t="str">
        <f>IF(原始经营数据!$D1885="","",原始经营数据!$G1885)</f>
        <v>服务量</v>
      </c>
      <c r="I1884" t="str">
        <f>IF($A1884="","",IF($B1884&lt;&gt;"",$B1884,IF(COUNTIFS(原始经营数据!$D$3:$D$3001,$A1884,原始经营数据!$E$3:$E$3001,"",原始经营数据!$F$3:$F$3001,$C1884,原始经营数据!$H$3:$H$3001,$D1884,原始经营数据!$K$3:$K$3001,$G1884)&gt;1,"基金整体·来源"&amp;原始经营数据!$A1885,"基金整体")))</f>
        <v>龙岗星河COCOPark</v>
      </c>
      <c r="J1884" t="str">
        <f t="shared" si="438"/>
        <v>年度</v>
      </c>
      <c r="K1884" t="str">
        <f t="shared" si="439"/>
        <v>客流量（万人/年）</v>
      </c>
      <c r="L1884" t="str">
        <f t="shared" si="440"/>
        <v>龙岗星河COCOPark|客流量（万人/年）|年度</v>
      </c>
      <c r="M1884">
        <f>IF($A1884="",0,IF(COUNTIF($L$2:$L1884,$L1884)=1,1,0))</f>
        <v>1</v>
      </c>
      <c r="N1884">
        <f t="shared" si="441"/>
        <v>20230</v>
      </c>
      <c r="O1884" t="str">
        <f t="shared" si="442"/>
        <v>红土创新星河集团封闭式商业不动产证券投资基金|2023|年度</v>
      </c>
      <c r="P1884">
        <f>IF($A1884="",0,IF(COUNTIF($O$2:$O1884,$O1884)=1,1,0))</f>
        <v>0</v>
      </c>
      <c r="Q1884" t="str">
        <f>IF(AND($P1884=1,$A1884=经营数据!$B$3,$J1884=经营数据!$BA$5),COUNTIFS($P$2:$P$3000,1,$A$2:$A$3000,$A1884,$J$2:$J$3000,$J1884,$N$2:$N$3000,"&lt;"&amp;$N1884)+1,"")</f>
        <v/>
      </c>
      <c r="R1884" t="str">
        <f t="shared" si="443"/>
        <v>红土创新星河集团封闭式商业不动产证券投资基金|龙岗星河COCOPark</v>
      </c>
      <c r="S1884">
        <f>IF($A1884="",0,IF(COUNTIF($R$2:$R1884,$R1884)=1,1,0))</f>
        <v>0</v>
      </c>
      <c r="T1884">
        <f t="shared" si="444"/>
        <v>1879</v>
      </c>
      <c r="U1884" t="str">
        <f>IF($A1884="","",IF($A1884=经营数据!$B$3,COUNTIFS($S$2:$S$3000,1,$A$2:$A$3000,$A1884,$T$2:$T$3000,"&lt;"&amp;$T1884)+1,""))</f>
        <v/>
      </c>
      <c r="V1884" t="str">
        <f t="shared" si="445"/>
        <v>龙岗星河COCOPark|服务量</v>
      </c>
      <c r="W1884">
        <f t="shared" si="446"/>
        <v>1879</v>
      </c>
      <c r="X1884" t="str">
        <f t="shared" si="447"/>
        <v>龙岗星河COCOPark|客流量</v>
      </c>
      <c r="Y1884">
        <f t="shared" si="448"/>
        <v>1883</v>
      </c>
      <c r="Z1884">
        <f>IF($A1884="",0,IF(AND($M1884=1,$A1884=经营数据!$B$3,$J1884=经营数据!$BA$5,OR($I1884=经营数据!$BA$4,COUNTIF(经营数据!$AA$9:$AA$38,$I1884)&gt;0)),1,0))</f>
        <v>0</v>
      </c>
      <c r="AA1884" t="str">
        <f t="shared" si="449"/>
        <v/>
      </c>
      <c r="AB1884" t="str">
        <f t="shared" si="450"/>
        <v/>
      </c>
      <c r="AC1884">
        <f>IF($A1884="",0,IF(COUNTIF($A$2:$A1884,$A1884)=1,1,0))</f>
        <v>0</v>
      </c>
      <c r="AD1884">
        <f t="shared" si="451"/>
        <v>27</v>
      </c>
      <c r="AE1884" t="str">
        <f t="shared" si="452"/>
        <v>龙岗星河COCOPark|客流量（万人/年）</v>
      </c>
    </row>
    <row r="1885" spans="1:31" x14ac:dyDescent="0.4">
      <c r="A1885" t="str">
        <f>IF(原始经营数据!$D1886="","",原始经营数据!$D1886)</f>
        <v>红土创新星河集团封闭式商业不动产证券投资基金</v>
      </c>
      <c r="B1885" t="str">
        <f>IF(原始经营数据!$D1886="","",T(原始经营数据!$E1886))</f>
        <v>龙岗星河COCOPark</v>
      </c>
      <c r="C1885" t="str">
        <f>IF(原始经营数据!$D1886="","",原始经营数据!$F1886)</f>
        <v>2024</v>
      </c>
      <c r="D1885" t="str">
        <f>IF(原始经营数据!$D1886="","",原始经营数据!$H1886)</f>
        <v>客流量</v>
      </c>
      <c r="E1885">
        <f>IF(原始经营数据!$D1886="","",原始经营数据!$I1886)</f>
        <v>1440</v>
      </c>
      <c r="F1885" t="str">
        <f>IF(原始经营数据!$D1886="","",T(原始经营数据!$J1886))</f>
        <v>万人/年</v>
      </c>
      <c r="G1885" t="str">
        <f>IF(原始经营数据!$D1886="","",T(原始经营数据!$K1886))</f>
        <v/>
      </c>
      <c r="H1885" t="str">
        <f>IF(原始经营数据!$D1886="","",原始经营数据!$G1886)</f>
        <v>服务量</v>
      </c>
      <c r="I1885" t="str">
        <f>IF($A1885="","",IF($B1885&lt;&gt;"",$B1885,IF(COUNTIFS(原始经营数据!$D$3:$D$3001,$A1885,原始经营数据!$E$3:$E$3001,"",原始经营数据!$F$3:$F$3001,$C1885,原始经营数据!$H$3:$H$3001,$D1885,原始经营数据!$K$3:$K$3001,$G1885)&gt;1,"基金整体·来源"&amp;原始经营数据!$A1886,"基金整体")))</f>
        <v>龙岗星河COCOPark</v>
      </c>
      <c r="J1885" t="str">
        <f t="shared" si="438"/>
        <v>年度</v>
      </c>
      <c r="K1885" t="str">
        <f t="shared" si="439"/>
        <v>客流量（万人/年）</v>
      </c>
      <c r="L1885" t="str">
        <f t="shared" si="440"/>
        <v>龙岗星河COCOPark|客流量（万人/年）|年度</v>
      </c>
      <c r="M1885">
        <f>IF($A1885="",0,IF(COUNTIF($L$2:$L1885,$L1885)=1,1,0))</f>
        <v>0</v>
      </c>
      <c r="N1885">
        <f t="shared" si="441"/>
        <v>20240</v>
      </c>
      <c r="O1885" t="str">
        <f t="shared" si="442"/>
        <v>红土创新星河集团封闭式商业不动产证券投资基金|2024|年度</v>
      </c>
      <c r="P1885">
        <f>IF($A1885="",0,IF(COUNTIF($O$2:$O1885,$O1885)=1,1,0))</f>
        <v>1</v>
      </c>
      <c r="Q1885" t="str">
        <f>IF(AND($P1885=1,$A1885=经营数据!$B$3,$J1885=经营数据!$BA$5),COUNTIFS($P$2:$P$3000,1,$A$2:$A$3000,$A1885,$J$2:$J$3000,$J1885,$N$2:$N$3000,"&lt;"&amp;$N1885)+1,"")</f>
        <v/>
      </c>
      <c r="R1885" t="str">
        <f t="shared" si="443"/>
        <v>红土创新星河集团封闭式商业不动产证券投资基金|龙岗星河COCOPark</v>
      </c>
      <c r="S1885">
        <f>IF($A1885="",0,IF(COUNTIF($R$2:$R1885,$R1885)=1,1,0))</f>
        <v>0</v>
      </c>
      <c r="T1885">
        <f t="shared" si="444"/>
        <v>1879</v>
      </c>
      <c r="U1885" t="str">
        <f>IF($A1885="","",IF($A1885=经营数据!$B$3,COUNTIFS($S$2:$S$3000,1,$A$2:$A$3000,$A1885,$T$2:$T$3000,"&lt;"&amp;$T1885)+1,""))</f>
        <v/>
      </c>
      <c r="V1885" t="str">
        <f t="shared" si="445"/>
        <v>龙岗星河COCOPark|服务量</v>
      </c>
      <c r="W1885">
        <f t="shared" si="446"/>
        <v>1879</v>
      </c>
      <c r="X1885" t="str">
        <f t="shared" si="447"/>
        <v>龙岗星河COCOPark|客流量</v>
      </c>
      <c r="Y1885">
        <f t="shared" si="448"/>
        <v>1883</v>
      </c>
      <c r="Z1885">
        <f>IF($A1885="",0,IF(AND($M1885=1,$A1885=经营数据!$B$3,$J1885=经营数据!$BA$5,OR($I1885=经营数据!$BA$4,COUNTIF(经营数据!$AA$9:$AA$38,$I1885)&gt;0)),1,0))</f>
        <v>0</v>
      </c>
      <c r="AA1885" t="str">
        <f t="shared" si="449"/>
        <v/>
      </c>
      <c r="AB1885" t="str">
        <f t="shared" si="450"/>
        <v/>
      </c>
      <c r="AC1885">
        <f>IF($A1885="",0,IF(COUNTIF($A$2:$A1885,$A1885)=1,1,0))</f>
        <v>0</v>
      </c>
      <c r="AD1885">
        <f t="shared" si="451"/>
        <v>27</v>
      </c>
      <c r="AE1885" t="str">
        <f t="shared" si="452"/>
        <v>龙岗星河COCOPark|客流量（万人/年）</v>
      </c>
    </row>
    <row r="1886" spans="1:31" x14ac:dyDescent="0.4">
      <c r="A1886" t="str">
        <f>IF(原始经营数据!$D1887="","",原始经营数据!$D1887)</f>
        <v>红土创新星河集团封闭式商业不动产证券投资基金</v>
      </c>
      <c r="B1886" t="str">
        <f>IF(原始经营数据!$D1887="","",T(原始经营数据!$E1887))</f>
        <v>龙岗星河COCOPark</v>
      </c>
      <c r="C1886" t="str">
        <f>IF(原始经营数据!$D1887="","",原始经营数据!$F1887)</f>
        <v>2024</v>
      </c>
      <c r="D1886" t="str">
        <f>IF(原始经营数据!$D1887="","",原始经营数据!$H1887)</f>
        <v>可租赁面积</v>
      </c>
      <c r="E1886">
        <f>IF(原始经营数据!$D1887="","",原始经营数据!$I1887)</f>
        <v>49952.5</v>
      </c>
      <c r="F1886" t="str">
        <f>IF(原始经营数据!$D1887="","",T(原始经营数据!$J1887))</f>
        <v>平方米</v>
      </c>
      <c r="G1886" t="str">
        <f>IF(原始经营数据!$D1887="","",T(原始经营数据!$K1887))</f>
        <v/>
      </c>
      <c r="H1886" t="str">
        <f>IF(原始经营数据!$D1887="","",原始经营数据!$G1887)</f>
        <v>服务量</v>
      </c>
      <c r="I1886" t="str">
        <f>IF($A1886="","",IF($B1886&lt;&gt;"",$B1886,IF(COUNTIFS(原始经营数据!$D$3:$D$3001,$A1886,原始经营数据!$E$3:$E$3001,"",原始经营数据!$F$3:$F$3001,$C1886,原始经营数据!$H$3:$H$3001,$D1886,原始经营数据!$K$3:$K$3001,$G1886)&gt;1,"基金整体·来源"&amp;原始经营数据!$A1887,"基金整体")))</f>
        <v>龙岗星河COCOPark</v>
      </c>
      <c r="J1886" t="str">
        <f t="shared" si="438"/>
        <v>年度</v>
      </c>
      <c r="K1886" t="str">
        <f t="shared" si="439"/>
        <v>可租赁面积（平方米）</v>
      </c>
      <c r="L1886" t="str">
        <f t="shared" si="440"/>
        <v>龙岗星河COCOPark|可租赁面积（平方米）|年度</v>
      </c>
      <c r="M1886">
        <f>IF($A1886="",0,IF(COUNTIF($L$2:$L1886,$L1886)=1,1,0))</f>
        <v>0</v>
      </c>
      <c r="N1886">
        <f t="shared" si="441"/>
        <v>20240</v>
      </c>
      <c r="O1886" t="str">
        <f t="shared" si="442"/>
        <v>红土创新星河集团封闭式商业不动产证券投资基金|2024|年度</v>
      </c>
      <c r="P1886">
        <f>IF($A1886="",0,IF(COUNTIF($O$2:$O1886,$O1886)=1,1,0))</f>
        <v>0</v>
      </c>
      <c r="Q1886" t="str">
        <f>IF(AND($P1886=1,$A1886=经营数据!$B$3,$J1886=经营数据!$BA$5),COUNTIFS($P$2:$P$3000,1,$A$2:$A$3000,$A1886,$J$2:$J$3000,$J1886,$N$2:$N$3000,"&lt;"&amp;$N1886)+1,"")</f>
        <v/>
      </c>
      <c r="R1886" t="str">
        <f t="shared" si="443"/>
        <v>红土创新星河集团封闭式商业不动产证券投资基金|龙岗星河COCOPark</v>
      </c>
      <c r="S1886">
        <f>IF($A1886="",0,IF(COUNTIF($R$2:$R1886,$R1886)=1,1,0))</f>
        <v>0</v>
      </c>
      <c r="T1886">
        <f t="shared" si="444"/>
        <v>1879</v>
      </c>
      <c r="U1886" t="str">
        <f>IF($A1886="","",IF($A1886=经营数据!$B$3,COUNTIFS($S$2:$S$3000,1,$A$2:$A$3000,$A1886,$T$2:$T$3000,"&lt;"&amp;$T1886)+1,""))</f>
        <v/>
      </c>
      <c r="V1886" t="str">
        <f t="shared" si="445"/>
        <v>龙岗星河COCOPark|服务量</v>
      </c>
      <c r="W1886">
        <f t="shared" si="446"/>
        <v>1879</v>
      </c>
      <c r="X1886" t="str">
        <f t="shared" si="447"/>
        <v>龙岗星河COCOPark|可租赁面积</v>
      </c>
      <c r="Y1886">
        <f t="shared" si="448"/>
        <v>1879</v>
      </c>
      <c r="Z1886">
        <f>IF($A1886="",0,IF(AND($M1886=1,$A1886=经营数据!$B$3,$J1886=经营数据!$BA$5,OR($I1886=经营数据!$BA$4,COUNTIF(经营数据!$AA$9:$AA$38,$I1886)&gt;0)),1,0))</f>
        <v>0</v>
      </c>
      <c r="AA1886" t="str">
        <f t="shared" si="449"/>
        <v/>
      </c>
      <c r="AB1886" t="str">
        <f t="shared" si="450"/>
        <v/>
      </c>
      <c r="AC1886">
        <f>IF($A1886="",0,IF(COUNTIF($A$2:$A1886,$A1886)=1,1,0))</f>
        <v>0</v>
      </c>
      <c r="AD1886">
        <f t="shared" si="451"/>
        <v>27</v>
      </c>
      <c r="AE1886" t="str">
        <f t="shared" si="452"/>
        <v>龙岗星河COCOPark|可租赁面积（平方米）</v>
      </c>
    </row>
    <row r="1887" spans="1:31" x14ac:dyDescent="0.4">
      <c r="A1887" t="str">
        <f>IF(原始经营数据!$D1888="","",原始经营数据!$D1888)</f>
        <v>红土创新星河集团封闭式商业不动产证券投资基金</v>
      </c>
      <c r="B1887" t="str">
        <f>IF(原始经营数据!$D1888="","",T(原始经营数据!$E1888))</f>
        <v>龙岗星河COCOPark</v>
      </c>
      <c r="C1887" t="str">
        <f>IF(原始经营数据!$D1888="","",原始经营数据!$F1888)</f>
        <v>2024</v>
      </c>
      <c r="D1887" t="str">
        <f>IF(原始经营数据!$D1888="","",原始经营数据!$H1888)</f>
        <v>出租率</v>
      </c>
      <c r="E1887">
        <f>IF(原始经营数据!$D1888="","",原始经营数据!$I1888)</f>
        <v>99.01</v>
      </c>
      <c r="F1887" t="str">
        <f>IF(原始经营数据!$D1888="","",T(原始经营数据!$J1888))</f>
        <v>%</v>
      </c>
      <c r="G1887" t="str">
        <f>IF(原始经营数据!$D1888="","",T(原始经营数据!$K1888))</f>
        <v/>
      </c>
      <c r="H1887" t="str">
        <f>IF(原始经营数据!$D1888="","",原始经营数据!$G1888)</f>
        <v>服务效率</v>
      </c>
      <c r="I1887" t="str">
        <f>IF($A1887="","",IF($B1887&lt;&gt;"",$B1887,IF(COUNTIFS(原始经营数据!$D$3:$D$3001,$A1887,原始经营数据!$E$3:$E$3001,"",原始经营数据!$F$3:$F$3001,$C1887,原始经营数据!$H$3:$H$3001,$D1887,原始经营数据!$K$3:$K$3001,$G1887)&gt;1,"基金整体·来源"&amp;原始经营数据!$A1888,"基金整体")))</f>
        <v>龙岗星河COCOPark</v>
      </c>
      <c r="J1887" t="str">
        <f t="shared" si="438"/>
        <v>年度</v>
      </c>
      <c r="K1887" t="str">
        <f t="shared" si="439"/>
        <v>出租率（%）</v>
      </c>
      <c r="L1887" t="str">
        <f t="shared" si="440"/>
        <v>龙岗星河COCOPark|出租率（%）|年度</v>
      </c>
      <c r="M1887">
        <f>IF($A1887="",0,IF(COUNTIF($L$2:$L1887,$L1887)=1,1,0))</f>
        <v>0</v>
      </c>
      <c r="N1887">
        <f t="shared" si="441"/>
        <v>20240</v>
      </c>
      <c r="O1887" t="str">
        <f t="shared" si="442"/>
        <v>红土创新星河集团封闭式商业不动产证券投资基金|2024|年度</v>
      </c>
      <c r="P1887">
        <f>IF($A1887="",0,IF(COUNTIF($O$2:$O1887,$O1887)=1,1,0))</f>
        <v>0</v>
      </c>
      <c r="Q1887" t="str">
        <f>IF(AND($P1887=1,$A1887=经营数据!$B$3,$J1887=经营数据!$BA$5),COUNTIFS($P$2:$P$3000,1,$A$2:$A$3000,$A1887,$J$2:$J$3000,$J1887,$N$2:$N$3000,"&lt;"&amp;$N1887)+1,"")</f>
        <v/>
      </c>
      <c r="R1887" t="str">
        <f t="shared" si="443"/>
        <v>红土创新星河集团封闭式商业不动产证券投资基金|龙岗星河COCOPark</v>
      </c>
      <c r="S1887">
        <f>IF($A1887="",0,IF(COUNTIF($R$2:$R1887,$R1887)=1,1,0))</f>
        <v>0</v>
      </c>
      <c r="T1887">
        <f t="shared" si="444"/>
        <v>1879</v>
      </c>
      <c r="U1887" t="str">
        <f>IF($A1887="","",IF($A1887=经营数据!$B$3,COUNTIFS($S$2:$S$3000,1,$A$2:$A$3000,$A1887,$T$2:$T$3000,"&lt;"&amp;$T1887)+1,""))</f>
        <v/>
      </c>
      <c r="V1887" t="str">
        <f t="shared" si="445"/>
        <v>龙岗星河COCOPark|服务效率</v>
      </c>
      <c r="W1887">
        <f t="shared" si="446"/>
        <v>1880</v>
      </c>
      <c r="X1887" t="str">
        <f t="shared" si="447"/>
        <v>龙岗星河COCOPark|出租率</v>
      </c>
      <c r="Y1887">
        <f t="shared" si="448"/>
        <v>1880</v>
      </c>
      <c r="Z1887">
        <f>IF($A1887="",0,IF(AND($M1887=1,$A1887=经营数据!$B$3,$J1887=经营数据!$BA$5,OR($I1887=经营数据!$BA$4,COUNTIF(经营数据!$AA$9:$AA$38,$I1887)&gt;0)),1,0))</f>
        <v>0</v>
      </c>
      <c r="AA1887" t="str">
        <f t="shared" si="449"/>
        <v/>
      </c>
      <c r="AB1887" t="str">
        <f t="shared" si="450"/>
        <v/>
      </c>
      <c r="AC1887">
        <f>IF($A1887="",0,IF(COUNTIF($A$2:$A1887,$A1887)=1,1,0))</f>
        <v>0</v>
      </c>
      <c r="AD1887">
        <f t="shared" si="451"/>
        <v>27</v>
      </c>
      <c r="AE1887" t="str">
        <f t="shared" si="452"/>
        <v>龙岗星河COCOPark|出租率（%）</v>
      </c>
    </row>
    <row r="1888" spans="1:31" x14ac:dyDescent="0.4">
      <c r="A1888" t="str">
        <f>IF(原始经营数据!$D1889="","",原始经营数据!$D1889)</f>
        <v>红土创新星河集团封闭式商业不动产证券投资基金</v>
      </c>
      <c r="B1888" t="str">
        <f>IF(原始经营数据!$D1889="","",T(原始经营数据!$E1889))</f>
        <v>龙岗星河COCOPark</v>
      </c>
      <c r="C1888" t="str">
        <f>IF(原始经营数据!$D1889="","",原始经营数据!$F1889)</f>
        <v>2024</v>
      </c>
      <c r="D1888" t="str">
        <f>IF(原始经营数据!$D1889="","",原始经营数据!$H1889)</f>
        <v>加权平均出租率</v>
      </c>
      <c r="E1888">
        <f>IF(原始经营数据!$D1889="","",原始经营数据!$I1889)</f>
        <v>99.03</v>
      </c>
      <c r="F1888" t="str">
        <f>IF(原始经营数据!$D1889="","",T(原始经营数据!$J1889))</f>
        <v>%</v>
      </c>
      <c r="G1888" t="str">
        <f>IF(原始经营数据!$D1889="","",T(原始经营数据!$K1889))</f>
        <v/>
      </c>
      <c r="H1888" t="str">
        <f>IF(原始经营数据!$D1889="","",原始经营数据!$G1889)</f>
        <v>服务效率</v>
      </c>
      <c r="I1888" t="str">
        <f>IF($A1888="","",IF($B1888&lt;&gt;"",$B1888,IF(COUNTIFS(原始经营数据!$D$3:$D$3001,$A1888,原始经营数据!$E$3:$E$3001,"",原始经营数据!$F$3:$F$3001,$C1888,原始经营数据!$H$3:$H$3001,$D1888,原始经营数据!$K$3:$K$3001,$G1888)&gt;1,"基金整体·来源"&amp;原始经营数据!$A1889,"基金整体")))</f>
        <v>龙岗星河COCOPark</v>
      </c>
      <c r="J1888" t="str">
        <f t="shared" si="438"/>
        <v>年度</v>
      </c>
      <c r="K1888" t="str">
        <f t="shared" si="439"/>
        <v>加权平均出租率（%）</v>
      </c>
      <c r="L1888" t="str">
        <f t="shared" si="440"/>
        <v>龙岗星河COCOPark|加权平均出租率（%）|年度</v>
      </c>
      <c r="M1888">
        <f>IF($A1888="",0,IF(COUNTIF($L$2:$L1888,$L1888)=1,1,0))</f>
        <v>0</v>
      </c>
      <c r="N1888">
        <f t="shared" si="441"/>
        <v>20240</v>
      </c>
      <c r="O1888" t="str">
        <f t="shared" si="442"/>
        <v>红土创新星河集团封闭式商业不动产证券投资基金|2024|年度</v>
      </c>
      <c r="P1888">
        <f>IF($A1888="",0,IF(COUNTIF($O$2:$O1888,$O1888)=1,1,0))</f>
        <v>0</v>
      </c>
      <c r="Q1888" t="str">
        <f>IF(AND($P1888=1,$A1888=经营数据!$B$3,$J1888=经营数据!$BA$5),COUNTIFS($P$2:$P$3000,1,$A$2:$A$3000,$A1888,$J$2:$J$3000,$J1888,$N$2:$N$3000,"&lt;"&amp;$N1888)+1,"")</f>
        <v/>
      </c>
      <c r="R1888" t="str">
        <f t="shared" si="443"/>
        <v>红土创新星河集团封闭式商业不动产证券投资基金|龙岗星河COCOPark</v>
      </c>
      <c r="S1888">
        <f>IF($A1888="",0,IF(COUNTIF($R$2:$R1888,$R1888)=1,1,0))</f>
        <v>0</v>
      </c>
      <c r="T1888">
        <f t="shared" si="444"/>
        <v>1879</v>
      </c>
      <c r="U1888" t="str">
        <f>IF($A1888="","",IF($A1888=经营数据!$B$3,COUNTIFS($S$2:$S$3000,1,$A$2:$A$3000,$A1888,$T$2:$T$3000,"&lt;"&amp;$T1888)+1,""))</f>
        <v/>
      </c>
      <c r="V1888" t="str">
        <f t="shared" si="445"/>
        <v>龙岗星河COCOPark|服务效率</v>
      </c>
      <c r="W1888">
        <f t="shared" si="446"/>
        <v>1880</v>
      </c>
      <c r="X1888" t="str">
        <f t="shared" si="447"/>
        <v>龙岗星河COCOPark|加权平均出租率</v>
      </c>
      <c r="Y1888">
        <f t="shared" si="448"/>
        <v>1881</v>
      </c>
      <c r="Z1888">
        <f>IF($A1888="",0,IF(AND($M1888=1,$A1888=经营数据!$B$3,$J1888=经营数据!$BA$5,OR($I1888=经营数据!$BA$4,COUNTIF(经营数据!$AA$9:$AA$38,$I1888)&gt;0)),1,0))</f>
        <v>0</v>
      </c>
      <c r="AA1888" t="str">
        <f t="shared" si="449"/>
        <v/>
      </c>
      <c r="AB1888" t="str">
        <f t="shared" si="450"/>
        <v/>
      </c>
      <c r="AC1888">
        <f>IF($A1888="",0,IF(COUNTIF($A$2:$A1888,$A1888)=1,1,0))</f>
        <v>0</v>
      </c>
      <c r="AD1888">
        <f t="shared" si="451"/>
        <v>27</v>
      </c>
      <c r="AE1888" t="str">
        <f t="shared" si="452"/>
        <v>龙岗星河COCOPark|加权平均出租率（%）</v>
      </c>
    </row>
    <row r="1889" spans="1:31" x14ac:dyDescent="0.4">
      <c r="A1889" t="str">
        <f>IF(原始经营数据!$D1890="","",原始经营数据!$D1890)</f>
        <v>红土创新星河集团封闭式商业不动产证券投资基金</v>
      </c>
      <c r="B1889" t="str">
        <f>IF(原始经营数据!$D1890="","",T(原始经营数据!$E1890))</f>
        <v>龙岗星河COCOPark</v>
      </c>
      <c r="C1889" t="str">
        <f>IF(原始经营数据!$D1890="","",原始经营数据!$F1890)</f>
        <v>2024</v>
      </c>
      <c r="D1889" t="str">
        <f>IF(原始经营数据!$D1890="","",原始经营数据!$H1890)</f>
        <v>平均租金单价</v>
      </c>
      <c r="E1889">
        <f>IF(原始经营数据!$D1890="","",原始经营数据!$I1890)</f>
        <v>162.38</v>
      </c>
      <c r="F1889" t="str">
        <f>IF(原始经营数据!$D1890="","",T(原始经营数据!$J1890))</f>
        <v>元/平方米/月</v>
      </c>
      <c r="G1889" t="str">
        <f>IF(原始经营数据!$D1890="","",T(原始经营数据!$K1890))</f>
        <v/>
      </c>
      <c r="H1889" t="str">
        <f>IF(原始经营数据!$D1890="","",原始经营数据!$G1890)</f>
        <v>服务价格</v>
      </c>
      <c r="I1889" t="str">
        <f>IF($A1889="","",IF($B1889&lt;&gt;"",$B1889,IF(COUNTIFS(原始经营数据!$D$3:$D$3001,$A1889,原始经营数据!$E$3:$E$3001,"",原始经营数据!$F$3:$F$3001,$C1889,原始经营数据!$H$3:$H$3001,$D1889,原始经营数据!$K$3:$K$3001,$G1889)&gt;1,"基金整体·来源"&amp;原始经营数据!$A1890,"基金整体")))</f>
        <v>龙岗星河COCOPark</v>
      </c>
      <c r="J1889" t="str">
        <f t="shared" si="438"/>
        <v>年度</v>
      </c>
      <c r="K1889" t="str">
        <f t="shared" si="439"/>
        <v>平均租金单价（元/平方米/月）</v>
      </c>
      <c r="L1889" t="str">
        <f t="shared" si="440"/>
        <v>龙岗星河COCOPark|平均租金单价（元/平方米/月）|年度</v>
      </c>
      <c r="M1889">
        <f>IF($A1889="",0,IF(COUNTIF($L$2:$L1889,$L1889)=1,1,0))</f>
        <v>0</v>
      </c>
      <c r="N1889">
        <f t="shared" si="441"/>
        <v>20240</v>
      </c>
      <c r="O1889" t="str">
        <f t="shared" si="442"/>
        <v>红土创新星河集团封闭式商业不动产证券投资基金|2024|年度</v>
      </c>
      <c r="P1889">
        <f>IF($A1889="",0,IF(COUNTIF($O$2:$O1889,$O1889)=1,1,0))</f>
        <v>0</v>
      </c>
      <c r="Q1889" t="str">
        <f>IF(AND($P1889=1,$A1889=经营数据!$B$3,$J1889=经营数据!$BA$5),COUNTIFS($P$2:$P$3000,1,$A$2:$A$3000,$A1889,$J$2:$J$3000,$J1889,$N$2:$N$3000,"&lt;"&amp;$N1889)+1,"")</f>
        <v/>
      </c>
      <c r="R1889" t="str">
        <f t="shared" si="443"/>
        <v>红土创新星河集团封闭式商业不动产证券投资基金|龙岗星河COCOPark</v>
      </c>
      <c r="S1889">
        <f>IF($A1889="",0,IF(COUNTIF($R$2:$R1889,$R1889)=1,1,0))</f>
        <v>0</v>
      </c>
      <c r="T1889">
        <f t="shared" si="444"/>
        <v>1879</v>
      </c>
      <c r="U1889" t="str">
        <f>IF($A1889="","",IF($A1889=经营数据!$B$3,COUNTIFS($S$2:$S$3000,1,$A$2:$A$3000,$A1889,$T$2:$T$3000,"&lt;"&amp;$T1889)+1,""))</f>
        <v/>
      </c>
      <c r="V1889" t="str">
        <f t="shared" si="445"/>
        <v>龙岗星河COCOPark|服务价格</v>
      </c>
      <c r="W1889">
        <f t="shared" si="446"/>
        <v>1882</v>
      </c>
      <c r="X1889" t="str">
        <f t="shared" si="447"/>
        <v>龙岗星河COCOPark|平均租金单价</v>
      </c>
      <c r="Y1889">
        <f t="shared" si="448"/>
        <v>1882</v>
      </c>
      <c r="Z1889">
        <f>IF($A1889="",0,IF(AND($M1889=1,$A1889=经营数据!$B$3,$J1889=经营数据!$BA$5,OR($I1889=经营数据!$BA$4,COUNTIF(经营数据!$AA$9:$AA$38,$I1889)&gt;0)),1,0))</f>
        <v>0</v>
      </c>
      <c r="AA1889" t="str">
        <f t="shared" si="449"/>
        <v/>
      </c>
      <c r="AB1889" t="str">
        <f t="shared" si="450"/>
        <v/>
      </c>
      <c r="AC1889">
        <f>IF($A1889="",0,IF(COUNTIF($A$2:$A1889,$A1889)=1,1,0))</f>
        <v>0</v>
      </c>
      <c r="AD1889">
        <f t="shared" si="451"/>
        <v>27</v>
      </c>
      <c r="AE1889" t="str">
        <f t="shared" si="452"/>
        <v>龙岗星河COCOPark|平均租金单价（元/平方米/月）</v>
      </c>
    </row>
    <row r="1890" spans="1:31" x14ac:dyDescent="0.4">
      <c r="A1890" t="str">
        <f>IF(原始经营数据!$D1891="","",原始经营数据!$D1891)</f>
        <v>红土创新星河集团封闭式商业不动产证券投资基金</v>
      </c>
      <c r="B1890" t="str">
        <f>IF(原始经营数据!$D1891="","",T(原始经营数据!$E1891))</f>
        <v>龙岗星河COCOPark</v>
      </c>
      <c r="C1890" t="str">
        <f>IF(原始经营数据!$D1891="","",原始经营数据!$F1891)</f>
        <v>2025</v>
      </c>
      <c r="D1890" t="str">
        <f>IF(原始经营数据!$D1891="","",原始经营数据!$H1891)</f>
        <v>客流量</v>
      </c>
      <c r="E1890">
        <f>IF(原始经营数据!$D1891="","",原始经营数据!$I1891)</f>
        <v>1489</v>
      </c>
      <c r="F1890" t="str">
        <f>IF(原始经营数据!$D1891="","",T(原始经营数据!$J1891))</f>
        <v>万人/年</v>
      </c>
      <c r="G1890" t="str">
        <f>IF(原始经营数据!$D1891="","",T(原始经营数据!$K1891))</f>
        <v/>
      </c>
      <c r="H1890" t="str">
        <f>IF(原始经营数据!$D1891="","",原始经营数据!$G1891)</f>
        <v>服务量</v>
      </c>
      <c r="I1890" t="str">
        <f>IF($A1890="","",IF($B1890&lt;&gt;"",$B1890,IF(COUNTIFS(原始经营数据!$D$3:$D$3001,$A1890,原始经营数据!$E$3:$E$3001,"",原始经营数据!$F$3:$F$3001,$C1890,原始经营数据!$H$3:$H$3001,$D1890,原始经营数据!$K$3:$K$3001,$G1890)&gt;1,"基金整体·来源"&amp;原始经营数据!$A1891,"基金整体")))</f>
        <v>龙岗星河COCOPark</v>
      </c>
      <c r="J1890" t="str">
        <f t="shared" si="438"/>
        <v>年度</v>
      </c>
      <c r="K1890" t="str">
        <f t="shared" si="439"/>
        <v>客流量（万人/年）</v>
      </c>
      <c r="L1890" t="str">
        <f t="shared" si="440"/>
        <v>龙岗星河COCOPark|客流量（万人/年）|年度</v>
      </c>
      <c r="M1890">
        <f>IF($A1890="",0,IF(COUNTIF($L$2:$L1890,$L1890)=1,1,0))</f>
        <v>0</v>
      </c>
      <c r="N1890">
        <f t="shared" si="441"/>
        <v>20250</v>
      </c>
      <c r="O1890" t="str">
        <f t="shared" si="442"/>
        <v>红土创新星河集团封闭式商业不动产证券投资基金|2025|年度</v>
      </c>
      <c r="P1890">
        <f>IF($A1890="",0,IF(COUNTIF($O$2:$O1890,$O1890)=1,1,0))</f>
        <v>1</v>
      </c>
      <c r="Q1890" t="str">
        <f>IF(AND($P1890=1,$A1890=经营数据!$B$3,$J1890=经营数据!$BA$5),COUNTIFS($P$2:$P$3000,1,$A$2:$A$3000,$A1890,$J$2:$J$3000,$J1890,$N$2:$N$3000,"&lt;"&amp;$N1890)+1,"")</f>
        <v/>
      </c>
      <c r="R1890" t="str">
        <f t="shared" si="443"/>
        <v>红土创新星河集团封闭式商业不动产证券投资基金|龙岗星河COCOPark</v>
      </c>
      <c r="S1890">
        <f>IF($A1890="",0,IF(COUNTIF($R$2:$R1890,$R1890)=1,1,0))</f>
        <v>0</v>
      </c>
      <c r="T1890">
        <f t="shared" si="444"/>
        <v>1879</v>
      </c>
      <c r="U1890" t="str">
        <f>IF($A1890="","",IF($A1890=经营数据!$B$3,COUNTIFS($S$2:$S$3000,1,$A$2:$A$3000,$A1890,$T$2:$T$3000,"&lt;"&amp;$T1890)+1,""))</f>
        <v/>
      </c>
      <c r="V1890" t="str">
        <f t="shared" si="445"/>
        <v>龙岗星河COCOPark|服务量</v>
      </c>
      <c r="W1890">
        <f t="shared" si="446"/>
        <v>1879</v>
      </c>
      <c r="X1890" t="str">
        <f t="shared" si="447"/>
        <v>龙岗星河COCOPark|客流量</v>
      </c>
      <c r="Y1890">
        <f t="shared" si="448"/>
        <v>1883</v>
      </c>
      <c r="Z1890">
        <f>IF($A1890="",0,IF(AND($M1890=1,$A1890=经营数据!$B$3,$J1890=经营数据!$BA$5,OR($I1890=经营数据!$BA$4,COUNTIF(经营数据!$AA$9:$AA$38,$I1890)&gt;0)),1,0))</f>
        <v>0</v>
      </c>
      <c r="AA1890" t="str">
        <f t="shared" si="449"/>
        <v/>
      </c>
      <c r="AB1890" t="str">
        <f t="shared" si="450"/>
        <v/>
      </c>
      <c r="AC1890">
        <f>IF($A1890="",0,IF(COUNTIF($A$2:$A1890,$A1890)=1,1,0))</f>
        <v>0</v>
      </c>
      <c r="AD1890">
        <f t="shared" si="451"/>
        <v>27</v>
      </c>
      <c r="AE1890" t="str">
        <f t="shared" si="452"/>
        <v>龙岗星河COCOPark|客流量（万人/年）</v>
      </c>
    </row>
    <row r="1891" spans="1:31" x14ac:dyDescent="0.4">
      <c r="A1891" t="str">
        <f>IF(原始经营数据!$D1892="","",原始经营数据!$D1892)</f>
        <v>红土创新星河集团封闭式商业不动产证券投资基金</v>
      </c>
      <c r="B1891" t="str">
        <f>IF(原始经营数据!$D1892="","",T(原始经营数据!$E1892))</f>
        <v>龙岗星河COCOPark</v>
      </c>
      <c r="C1891" t="str">
        <f>IF(原始经营数据!$D1892="","",原始经营数据!$F1892)</f>
        <v>2025</v>
      </c>
      <c r="D1891" t="str">
        <f>IF(原始经营数据!$D1892="","",原始经营数据!$H1892)</f>
        <v>可租赁面积</v>
      </c>
      <c r="E1891">
        <f>IF(原始经营数据!$D1892="","",原始经营数据!$I1892)</f>
        <v>49963.51</v>
      </c>
      <c r="F1891" t="str">
        <f>IF(原始经营数据!$D1892="","",T(原始经营数据!$J1892))</f>
        <v>平方米</v>
      </c>
      <c r="G1891" t="str">
        <f>IF(原始经营数据!$D1892="","",T(原始经营数据!$K1892))</f>
        <v/>
      </c>
      <c r="H1891" t="str">
        <f>IF(原始经营数据!$D1892="","",原始经营数据!$G1892)</f>
        <v>服务量</v>
      </c>
      <c r="I1891" t="str">
        <f>IF($A1891="","",IF($B1891&lt;&gt;"",$B1891,IF(COUNTIFS(原始经营数据!$D$3:$D$3001,$A1891,原始经营数据!$E$3:$E$3001,"",原始经营数据!$F$3:$F$3001,$C1891,原始经营数据!$H$3:$H$3001,$D1891,原始经营数据!$K$3:$K$3001,$G1891)&gt;1,"基金整体·来源"&amp;原始经营数据!$A1892,"基金整体")))</f>
        <v>龙岗星河COCOPark</v>
      </c>
      <c r="J1891" t="str">
        <f t="shared" si="438"/>
        <v>年度</v>
      </c>
      <c r="K1891" t="str">
        <f t="shared" si="439"/>
        <v>可租赁面积（平方米）</v>
      </c>
      <c r="L1891" t="str">
        <f t="shared" si="440"/>
        <v>龙岗星河COCOPark|可租赁面积（平方米）|年度</v>
      </c>
      <c r="M1891">
        <f>IF($A1891="",0,IF(COUNTIF($L$2:$L1891,$L1891)=1,1,0))</f>
        <v>0</v>
      </c>
      <c r="N1891">
        <f t="shared" si="441"/>
        <v>20250</v>
      </c>
      <c r="O1891" t="str">
        <f t="shared" si="442"/>
        <v>红土创新星河集团封闭式商业不动产证券投资基金|2025|年度</v>
      </c>
      <c r="P1891">
        <f>IF($A1891="",0,IF(COUNTIF($O$2:$O1891,$O1891)=1,1,0))</f>
        <v>0</v>
      </c>
      <c r="Q1891" t="str">
        <f>IF(AND($P1891=1,$A1891=经营数据!$B$3,$J1891=经营数据!$BA$5),COUNTIFS($P$2:$P$3000,1,$A$2:$A$3000,$A1891,$J$2:$J$3000,$J1891,$N$2:$N$3000,"&lt;"&amp;$N1891)+1,"")</f>
        <v/>
      </c>
      <c r="R1891" t="str">
        <f t="shared" si="443"/>
        <v>红土创新星河集团封闭式商业不动产证券投资基金|龙岗星河COCOPark</v>
      </c>
      <c r="S1891">
        <f>IF($A1891="",0,IF(COUNTIF($R$2:$R1891,$R1891)=1,1,0))</f>
        <v>0</v>
      </c>
      <c r="T1891">
        <f t="shared" si="444"/>
        <v>1879</v>
      </c>
      <c r="U1891" t="str">
        <f>IF($A1891="","",IF($A1891=经营数据!$B$3,COUNTIFS($S$2:$S$3000,1,$A$2:$A$3000,$A1891,$T$2:$T$3000,"&lt;"&amp;$T1891)+1,""))</f>
        <v/>
      </c>
      <c r="V1891" t="str">
        <f t="shared" si="445"/>
        <v>龙岗星河COCOPark|服务量</v>
      </c>
      <c r="W1891">
        <f t="shared" si="446"/>
        <v>1879</v>
      </c>
      <c r="X1891" t="str">
        <f t="shared" si="447"/>
        <v>龙岗星河COCOPark|可租赁面积</v>
      </c>
      <c r="Y1891">
        <f t="shared" si="448"/>
        <v>1879</v>
      </c>
      <c r="Z1891">
        <f>IF($A1891="",0,IF(AND($M1891=1,$A1891=经营数据!$B$3,$J1891=经营数据!$BA$5,OR($I1891=经营数据!$BA$4,COUNTIF(经营数据!$AA$9:$AA$38,$I1891)&gt;0)),1,0))</f>
        <v>0</v>
      </c>
      <c r="AA1891" t="str">
        <f t="shared" si="449"/>
        <v/>
      </c>
      <c r="AB1891" t="str">
        <f t="shared" si="450"/>
        <v/>
      </c>
      <c r="AC1891">
        <f>IF($A1891="",0,IF(COUNTIF($A$2:$A1891,$A1891)=1,1,0))</f>
        <v>0</v>
      </c>
      <c r="AD1891">
        <f t="shared" si="451"/>
        <v>27</v>
      </c>
      <c r="AE1891" t="str">
        <f t="shared" si="452"/>
        <v>龙岗星河COCOPark|可租赁面积（平方米）</v>
      </c>
    </row>
    <row r="1892" spans="1:31" x14ac:dyDescent="0.4">
      <c r="A1892" t="str">
        <f>IF(原始经营数据!$D1893="","",原始经营数据!$D1893)</f>
        <v>红土创新星河集团封闭式商业不动产证券投资基金</v>
      </c>
      <c r="B1892" t="str">
        <f>IF(原始经营数据!$D1893="","",T(原始经营数据!$E1893))</f>
        <v>龙岗星河COCOPark</v>
      </c>
      <c r="C1892" t="str">
        <f>IF(原始经营数据!$D1893="","",原始经营数据!$F1893)</f>
        <v>2025</v>
      </c>
      <c r="D1892" t="str">
        <f>IF(原始经营数据!$D1893="","",原始经营数据!$H1893)</f>
        <v>出租率</v>
      </c>
      <c r="E1892">
        <f>IF(原始经营数据!$D1893="","",原始经营数据!$I1893)</f>
        <v>99.34</v>
      </c>
      <c r="F1892" t="str">
        <f>IF(原始经营数据!$D1893="","",T(原始经营数据!$J1893))</f>
        <v>%</v>
      </c>
      <c r="G1892" t="str">
        <f>IF(原始经营数据!$D1893="","",T(原始经营数据!$K1893))</f>
        <v/>
      </c>
      <c r="H1892" t="str">
        <f>IF(原始经营数据!$D1893="","",原始经营数据!$G1893)</f>
        <v>服务效率</v>
      </c>
      <c r="I1892" t="str">
        <f>IF($A1892="","",IF($B1892&lt;&gt;"",$B1892,IF(COUNTIFS(原始经营数据!$D$3:$D$3001,$A1892,原始经营数据!$E$3:$E$3001,"",原始经营数据!$F$3:$F$3001,$C1892,原始经营数据!$H$3:$H$3001,$D1892,原始经营数据!$K$3:$K$3001,$G1892)&gt;1,"基金整体·来源"&amp;原始经营数据!$A1893,"基金整体")))</f>
        <v>龙岗星河COCOPark</v>
      </c>
      <c r="J1892" t="str">
        <f t="shared" si="438"/>
        <v>年度</v>
      </c>
      <c r="K1892" t="str">
        <f t="shared" si="439"/>
        <v>出租率（%）</v>
      </c>
      <c r="L1892" t="str">
        <f t="shared" si="440"/>
        <v>龙岗星河COCOPark|出租率（%）|年度</v>
      </c>
      <c r="M1892">
        <f>IF($A1892="",0,IF(COUNTIF($L$2:$L1892,$L1892)=1,1,0))</f>
        <v>0</v>
      </c>
      <c r="N1892">
        <f t="shared" si="441"/>
        <v>20250</v>
      </c>
      <c r="O1892" t="str">
        <f t="shared" si="442"/>
        <v>红土创新星河集团封闭式商业不动产证券投资基金|2025|年度</v>
      </c>
      <c r="P1892">
        <f>IF($A1892="",0,IF(COUNTIF($O$2:$O1892,$O1892)=1,1,0))</f>
        <v>0</v>
      </c>
      <c r="Q1892" t="str">
        <f>IF(AND($P1892=1,$A1892=经营数据!$B$3,$J1892=经营数据!$BA$5),COUNTIFS($P$2:$P$3000,1,$A$2:$A$3000,$A1892,$J$2:$J$3000,$J1892,$N$2:$N$3000,"&lt;"&amp;$N1892)+1,"")</f>
        <v/>
      </c>
      <c r="R1892" t="str">
        <f t="shared" si="443"/>
        <v>红土创新星河集团封闭式商业不动产证券投资基金|龙岗星河COCOPark</v>
      </c>
      <c r="S1892">
        <f>IF($A1892="",0,IF(COUNTIF($R$2:$R1892,$R1892)=1,1,0))</f>
        <v>0</v>
      </c>
      <c r="T1892">
        <f t="shared" si="444"/>
        <v>1879</v>
      </c>
      <c r="U1892" t="str">
        <f>IF($A1892="","",IF($A1892=经营数据!$B$3,COUNTIFS($S$2:$S$3000,1,$A$2:$A$3000,$A1892,$T$2:$T$3000,"&lt;"&amp;$T1892)+1,""))</f>
        <v/>
      </c>
      <c r="V1892" t="str">
        <f t="shared" si="445"/>
        <v>龙岗星河COCOPark|服务效率</v>
      </c>
      <c r="W1892">
        <f t="shared" si="446"/>
        <v>1880</v>
      </c>
      <c r="X1892" t="str">
        <f t="shared" si="447"/>
        <v>龙岗星河COCOPark|出租率</v>
      </c>
      <c r="Y1892">
        <f t="shared" si="448"/>
        <v>1880</v>
      </c>
      <c r="Z1892">
        <f>IF($A1892="",0,IF(AND($M1892=1,$A1892=经营数据!$B$3,$J1892=经营数据!$BA$5,OR($I1892=经营数据!$BA$4,COUNTIF(经营数据!$AA$9:$AA$38,$I1892)&gt;0)),1,0))</f>
        <v>0</v>
      </c>
      <c r="AA1892" t="str">
        <f t="shared" si="449"/>
        <v/>
      </c>
      <c r="AB1892" t="str">
        <f t="shared" si="450"/>
        <v/>
      </c>
      <c r="AC1892">
        <f>IF($A1892="",0,IF(COUNTIF($A$2:$A1892,$A1892)=1,1,0))</f>
        <v>0</v>
      </c>
      <c r="AD1892">
        <f t="shared" si="451"/>
        <v>27</v>
      </c>
      <c r="AE1892" t="str">
        <f t="shared" si="452"/>
        <v>龙岗星河COCOPark|出租率（%）</v>
      </c>
    </row>
    <row r="1893" spans="1:31" x14ac:dyDescent="0.4">
      <c r="A1893" t="str">
        <f>IF(原始经营数据!$D1894="","",原始经营数据!$D1894)</f>
        <v>红土创新星河集团封闭式商业不动产证券投资基金</v>
      </c>
      <c r="B1893" t="str">
        <f>IF(原始经营数据!$D1894="","",T(原始经营数据!$E1894))</f>
        <v>龙岗星河COCOPark</v>
      </c>
      <c r="C1893" t="str">
        <f>IF(原始经营数据!$D1894="","",原始经营数据!$F1894)</f>
        <v>2025</v>
      </c>
      <c r="D1893" t="str">
        <f>IF(原始经营数据!$D1894="","",原始经营数据!$H1894)</f>
        <v>加权平均出租率</v>
      </c>
      <c r="E1893">
        <f>IF(原始经营数据!$D1894="","",原始经营数据!$I1894)</f>
        <v>97.99</v>
      </c>
      <c r="F1893" t="str">
        <f>IF(原始经营数据!$D1894="","",T(原始经营数据!$J1894))</f>
        <v>%</v>
      </c>
      <c r="G1893" t="str">
        <f>IF(原始经营数据!$D1894="","",T(原始经营数据!$K1894))</f>
        <v/>
      </c>
      <c r="H1893" t="str">
        <f>IF(原始经营数据!$D1894="","",原始经营数据!$G1894)</f>
        <v>服务效率</v>
      </c>
      <c r="I1893" t="str">
        <f>IF($A1893="","",IF($B1893&lt;&gt;"",$B1893,IF(COUNTIFS(原始经营数据!$D$3:$D$3001,$A1893,原始经营数据!$E$3:$E$3001,"",原始经营数据!$F$3:$F$3001,$C1893,原始经营数据!$H$3:$H$3001,$D1893,原始经营数据!$K$3:$K$3001,$G1893)&gt;1,"基金整体·来源"&amp;原始经营数据!$A1894,"基金整体")))</f>
        <v>龙岗星河COCOPark</v>
      </c>
      <c r="J1893" t="str">
        <f t="shared" si="438"/>
        <v>年度</v>
      </c>
      <c r="K1893" t="str">
        <f t="shared" si="439"/>
        <v>加权平均出租率（%）</v>
      </c>
      <c r="L1893" t="str">
        <f t="shared" si="440"/>
        <v>龙岗星河COCOPark|加权平均出租率（%）|年度</v>
      </c>
      <c r="M1893">
        <f>IF($A1893="",0,IF(COUNTIF($L$2:$L1893,$L1893)=1,1,0))</f>
        <v>0</v>
      </c>
      <c r="N1893">
        <f t="shared" si="441"/>
        <v>20250</v>
      </c>
      <c r="O1893" t="str">
        <f t="shared" si="442"/>
        <v>红土创新星河集团封闭式商业不动产证券投资基金|2025|年度</v>
      </c>
      <c r="P1893">
        <f>IF($A1893="",0,IF(COUNTIF($O$2:$O1893,$O1893)=1,1,0))</f>
        <v>0</v>
      </c>
      <c r="Q1893" t="str">
        <f>IF(AND($P1893=1,$A1893=经营数据!$B$3,$J1893=经营数据!$BA$5),COUNTIFS($P$2:$P$3000,1,$A$2:$A$3000,$A1893,$J$2:$J$3000,$J1893,$N$2:$N$3000,"&lt;"&amp;$N1893)+1,"")</f>
        <v/>
      </c>
      <c r="R1893" t="str">
        <f t="shared" si="443"/>
        <v>红土创新星河集团封闭式商业不动产证券投资基金|龙岗星河COCOPark</v>
      </c>
      <c r="S1893">
        <f>IF($A1893="",0,IF(COUNTIF($R$2:$R1893,$R1893)=1,1,0))</f>
        <v>0</v>
      </c>
      <c r="T1893">
        <f t="shared" si="444"/>
        <v>1879</v>
      </c>
      <c r="U1893" t="str">
        <f>IF($A1893="","",IF($A1893=经营数据!$B$3,COUNTIFS($S$2:$S$3000,1,$A$2:$A$3000,$A1893,$T$2:$T$3000,"&lt;"&amp;$T1893)+1,""))</f>
        <v/>
      </c>
      <c r="V1893" t="str">
        <f t="shared" si="445"/>
        <v>龙岗星河COCOPark|服务效率</v>
      </c>
      <c r="W1893">
        <f t="shared" si="446"/>
        <v>1880</v>
      </c>
      <c r="X1893" t="str">
        <f t="shared" si="447"/>
        <v>龙岗星河COCOPark|加权平均出租率</v>
      </c>
      <c r="Y1893">
        <f t="shared" si="448"/>
        <v>1881</v>
      </c>
      <c r="Z1893">
        <f>IF($A1893="",0,IF(AND($M1893=1,$A1893=经营数据!$B$3,$J1893=经营数据!$BA$5,OR($I1893=经营数据!$BA$4,COUNTIF(经营数据!$AA$9:$AA$38,$I1893)&gt;0)),1,0))</f>
        <v>0</v>
      </c>
      <c r="AA1893" t="str">
        <f t="shared" si="449"/>
        <v/>
      </c>
      <c r="AB1893" t="str">
        <f t="shared" si="450"/>
        <v/>
      </c>
      <c r="AC1893">
        <f>IF($A1893="",0,IF(COUNTIF($A$2:$A1893,$A1893)=1,1,0))</f>
        <v>0</v>
      </c>
      <c r="AD1893">
        <f t="shared" si="451"/>
        <v>27</v>
      </c>
      <c r="AE1893" t="str">
        <f t="shared" si="452"/>
        <v>龙岗星河COCOPark|加权平均出租率（%）</v>
      </c>
    </row>
    <row r="1894" spans="1:31" x14ac:dyDescent="0.4">
      <c r="A1894" t="str">
        <f>IF(原始经营数据!$D1895="","",原始经营数据!$D1895)</f>
        <v>红土创新星河集团封闭式商业不动产证券投资基金</v>
      </c>
      <c r="B1894" t="str">
        <f>IF(原始经营数据!$D1895="","",T(原始经营数据!$E1895))</f>
        <v>龙岗星河COCOPark</v>
      </c>
      <c r="C1894" t="str">
        <f>IF(原始经营数据!$D1895="","",原始经营数据!$F1895)</f>
        <v>2025</v>
      </c>
      <c r="D1894" t="str">
        <f>IF(原始经营数据!$D1895="","",原始经营数据!$H1895)</f>
        <v>平均租金单价</v>
      </c>
      <c r="E1894">
        <f>IF(原始经营数据!$D1895="","",原始经营数据!$I1895)</f>
        <v>154</v>
      </c>
      <c r="F1894" t="str">
        <f>IF(原始经营数据!$D1895="","",T(原始经营数据!$J1895))</f>
        <v>元/平方米/月</v>
      </c>
      <c r="G1894" t="str">
        <f>IF(原始经营数据!$D1895="","",T(原始经营数据!$K1895))</f>
        <v/>
      </c>
      <c r="H1894" t="str">
        <f>IF(原始经营数据!$D1895="","",原始经营数据!$G1895)</f>
        <v>服务价格</v>
      </c>
      <c r="I1894" t="str">
        <f>IF($A1894="","",IF($B1894&lt;&gt;"",$B1894,IF(COUNTIFS(原始经营数据!$D$3:$D$3001,$A1894,原始经营数据!$E$3:$E$3001,"",原始经营数据!$F$3:$F$3001,$C1894,原始经营数据!$H$3:$H$3001,$D1894,原始经营数据!$K$3:$K$3001,$G1894)&gt;1,"基金整体·来源"&amp;原始经营数据!$A1895,"基金整体")))</f>
        <v>龙岗星河COCOPark</v>
      </c>
      <c r="J1894" t="str">
        <f t="shared" si="438"/>
        <v>年度</v>
      </c>
      <c r="K1894" t="str">
        <f t="shared" si="439"/>
        <v>平均租金单价（元/平方米/月）</v>
      </c>
      <c r="L1894" t="str">
        <f t="shared" si="440"/>
        <v>龙岗星河COCOPark|平均租金单价（元/平方米/月）|年度</v>
      </c>
      <c r="M1894">
        <f>IF($A1894="",0,IF(COUNTIF($L$2:$L1894,$L1894)=1,1,0))</f>
        <v>0</v>
      </c>
      <c r="N1894">
        <f t="shared" si="441"/>
        <v>20250</v>
      </c>
      <c r="O1894" t="str">
        <f t="shared" si="442"/>
        <v>红土创新星河集团封闭式商业不动产证券投资基金|2025|年度</v>
      </c>
      <c r="P1894">
        <f>IF($A1894="",0,IF(COUNTIF($O$2:$O1894,$O1894)=1,1,0))</f>
        <v>0</v>
      </c>
      <c r="Q1894" t="str">
        <f>IF(AND($P1894=1,$A1894=经营数据!$B$3,$J1894=经营数据!$BA$5),COUNTIFS($P$2:$P$3000,1,$A$2:$A$3000,$A1894,$J$2:$J$3000,$J1894,$N$2:$N$3000,"&lt;"&amp;$N1894)+1,"")</f>
        <v/>
      </c>
      <c r="R1894" t="str">
        <f t="shared" si="443"/>
        <v>红土创新星河集团封闭式商业不动产证券投资基金|龙岗星河COCOPark</v>
      </c>
      <c r="S1894">
        <f>IF($A1894="",0,IF(COUNTIF($R$2:$R1894,$R1894)=1,1,0))</f>
        <v>0</v>
      </c>
      <c r="T1894">
        <f t="shared" si="444"/>
        <v>1879</v>
      </c>
      <c r="U1894" t="str">
        <f>IF($A1894="","",IF($A1894=经营数据!$B$3,COUNTIFS($S$2:$S$3000,1,$A$2:$A$3000,$A1894,$T$2:$T$3000,"&lt;"&amp;$T1894)+1,""))</f>
        <v/>
      </c>
      <c r="V1894" t="str">
        <f t="shared" si="445"/>
        <v>龙岗星河COCOPark|服务价格</v>
      </c>
      <c r="W1894">
        <f t="shared" si="446"/>
        <v>1882</v>
      </c>
      <c r="X1894" t="str">
        <f t="shared" si="447"/>
        <v>龙岗星河COCOPark|平均租金单价</v>
      </c>
      <c r="Y1894">
        <f t="shared" si="448"/>
        <v>1882</v>
      </c>
      <c r="Z1894">
        <f>IF($A1894="",0,IF(AND($M1894=1,$A1894=经营数据!$B$3,$J1894=经营数据!$BA$5,OR($I1894=经营数据!$BA$4,COUNTIF(经营数据!$AA$9:$AA$38,$I1894)&gt;0)),1,0))</f>
        <v>0</v>
      </c>
      <c r="AA1894" t="str">
        <f t="shared" si="449"/>
        <v/>
      </c>
      <c r="AB1894" t="str">
        <f t="shared" si="450"/>
        <v/>
      </c>
      <c r="AC1894">
        <f>IF($A1894="",0,IF(COUNTIF($A$2:$A1894,$A1894)=1,1,0))</f>
        <v>0</v>
      </c>
      <c r="AD1894">
        <f t="shared" si="451"/>
        <v>27</v>
      </c>
      <c r="AE1894" t="str">
        <f t="shared" si="452"/>
        <v>龙岗星河COCOPark|平均租金单价（元/平方米/月）</v>
      </c>
    </row>
    <row r="1895" spans="1:31" x14ac:dyDescent="0.4">
      <c r="A1895" t="str">
        <f>IF(原始经营数据!$D1896="","",原始经营数据!$D1896)</f>
        <v>华夏大悦城封闭式商业不动产证券投资基金</v>
      </c>
      <c r="B1895" t="str">
        <f>IF(原始经营数据!$D1896="","",T(原始经营数据!$E1896))</f>
        <v>天津大悦城</v>
      </c>
      <c r="C1895" t="str">
        <f>IF(原始经营数据!$D1896="","",原始经营数据!$F1896)</f>
        <v>2023</v>
      </c>
      <c r="D1895" t="str">
        <f>IF(原始经营数据!$D1896="","",原始经营数据!$H1896)</f>
        <v>期末租金单价水平</v>
      </c>
      <c r="E1895">
        <f>IF(原始经营数据!$D1896="","",原始经营数据!$I1896)</f>
        <v>467.79</v>
      </c>
      <c r="F1895" t="str">
        <f>IF(原始经营数据!$D1896="","",T(原始经营数据!$J1896))</f>
        <v>元/平方米/月</v>
      </c>
      <c r="G1895" t="str">
        <f>IF(原始经营数据!$D1896="","",T(原始经营数据!$K1896))</f>
        <v/>
      </c>
      <c r="H1895" t="str">
        <f>IF(原始经营数据!$D1896="","",原始经营数据!$G1896)</f>
        <v>服务价格</v>
      </c>
      <c r="I1895" t="str">
        <f>IF($A1895="","",IF($B1895&lt;&gt;"",$B1895,IF(COUNTIFS(原始经营数据!$D$3:$D$3001,$A1895,原始经营数据!$E$3:$E$3001,"",原始经营数据!$F$3:$F$3001,$C1895,原始经营数据!$H$3:$H$3001,$D1895,原始经营数据!$K$3:$K$3001,$G1895)&gt;1,"基金整体·来源"&amp;原始经营数据!$A1896,"基金整体")))</f>
        <v>天津大悦城</v>
      </c>
      <c r="J1895" t="str">
        <f t="shared" si="438"/>
        <v>年度</v>
      </c>
      <c r="K1895" t="str">
        <f t="shared" si="439"/>
        <v>期末租金单价水平（元/平方米/月）</v>
      </c>
      <c r="L1895" t="str">
        <f t="shared" si="440"/>
        <v>天津大悦城|期末租金单价水平（元/平方米/月）|年度</v>
      </c>
      <c r="M1895">
        <f>IF($A1895="",0,IF(COUNTIF($L$2:$L1895,$L1895)=1,1,0))</f>
        <v>1</v>
      </c>
      <c r="N1895">
        <f t="shared" si="441"/>
        <v>20230</v>
      </c>
      <c r="O1895" t="str">
        <f t="shared" si="442"/>
        <v>华夏大悦城封闭式商业不动产证券投资基金|2023|年度</v>
      </c>
      <c r="P1895">
        <f>IF($A1895="",0,IF(COUNTIF($O$2:$O1895,$O1895)=1,1,0))</f>
        <v>1</v>
      </c>
      <c r="Q1895" t="str">
        <f>IF(AND($P1895=1,$A1895=经营数据!$B$3,$J1895=经营数据!$BA$5),COUNTIFS($P$2:$P$3000,1,$A$2:$A$3000,$A1895,$J$2:$J$3000,$J1895,$N$2:$N$3000,"&lt;"&amp;$N1895)+1,"")</f>
        <v/>
      </c>
      <c r="R1895" t="str">
        <f t="shared" si="443"/>
        <v>华夏大悦城封闭式商业不动产证券投资基金|天津大悦城</v>
      </c>
      <c r="S1895">
        <f>IF($A1895="",0,IF(COUNTIF($R$2:$R1895,$R1895)=1,1,0))</f>
        <v>1</v>
      </c>
      <c r="T1895">
        <f t="shared" si="444"/>
        <v>1894</v>
      </c>
      <c r="U1895" t="str">
        <f>IF($A1895="","",IF($A1895=经营数据!$B$3,COUNTIFS($S$2:$S$3000,1,$A$2:$A$3000,$A1895,$T$2:$T$3000,"&lt;"&amp;$T1895)+1,""))</f>
        <v/>
      </c>
      <c r="V1895" t="str">
        <f t="shared" si="445"/>
        <v>天津大悦城|服务价格</v>
      </c>
      <c r="W1895">
        <f t="shared" si="446"/>
        <v>1894</v>
      </c>
      <c r="X1895" t="str">
        <f t="shared" si="447"/>
        <v>天津大悦城|期末租金单价水平</v>
      </c>
      <c r="Y1895">
        <f t="shared" si="448"/>
        <v>1894</v>
      </c>
      <c r="Z1895">
        <f>IF($A1895="",0,IF(AND($M1895=1,$A1895=经营数据!$B$3,$J1895=经营数据!$BA$5,OR($I1895=经营数据!$BA$4,COUNTIF(经营数据!$AA$9:$AA$38,$I1895)&gt;0)),1,0))</f>
        <v>0</v>
      </c>
      <c r="AA1895" t="str">
        <f t="shared" si="449"/>
        <v/>
      </c>
      <c r="AB1895" t="str">
        <f t="shared" si="450"/>
        <v/>
      </c>
      <c r="AC1895">
        <f>IF($A1895="",0,IF(COUNTIF($A$2:$A1895,$A1895)=1,1,0))</f>
        <v>1</v>
      </c>
      <c r="AD1895">
        <f t="shared" si="451"/>
        <v>28</v>
      </c>
      <c r="AE1895" t="str">
        <f t="shared" si="452"/>
        <v>天津大悦城|期末租金单价水平（元/平方米/月）</v>
      </c>
    </row>
    <row r="1896" spans="1:31" x14ac:dyDescent="0.4">
      <c r="A1896" t="str">
        <f>IF(原始经营数据!$D1897="","",原始经营数据!$D1897)</f>
        <v>华夏大悦城封闭式商业不动产证券投资基金</v>
      </c>
      <c r="B1896" t="str">
        <f>IF(原始经营数据!$D1897="","",T(原始经营数据!$E1897))</f>
        <v>天津大悦城</v>
      </c>
      <c r="C1896" t="str">
        <f>IF(原始经营数据!$D1897="","",原始经营数据!$F1897)</f>
        <v>2023</v>
      </c>
      <c r="D1896" t="str">
        <f>IF(原始经营数据!$D1897="","",原始经营数据!$H1897)</f>
        <v>期末出租率</v>
      </c>
      <c r="E1896">
        <f>IF(原始经营数据!$D1897="","",原始经营数据!$I1897)</f>
        <v>96.56</v>
      </c>
      <c r="F1896" t="str">
        <f>IF(原始经营数据!$D1897="","",T(原始经营数据!$J1897))</f>
        <v>%</v>
      </c>
      <c r="G1896" t="str">
        <f>IF(原始经营数据!$D1897="","",T(原始经营数据!$K1897))</f>
        <v/>
      </c>
      <c r="H1896" t="str">
        <f>IF(原始经营数据!$D1897="","",原始经营数据!$G1897)</f>
        <v>服务效率</v>
      </c>
      <c r="I1896" t="str">
        <f>IF($A1896="","",IF($B1896&lt;&gt;"",$B1896,IF(COUNTIFS(原始经营数据!$D$3:$D$3001,$A1896,原始经营数据!$E$3:$E$3001,"",原始经营数据!$F$3:$F$3001,$C1896,原始经营数据!$H$3:$H$3001,$D1896,原始经营数据!$K$3:$K$3001,$G1896)&gt;1,"基金整体·来源"&amp;原始经营数据!$A1897,"基金整体")))</f>
        <v>天津大悦城</v>
      </c>
      <c r="J1896" t="str">
        <f t="shared" si="438"/>
        <v>年度</v>
      </c>
      <c r="K1896" t="str">
        <f t="shared" si="439"/>
        <v>期末出租率（%）</v>
      </c>
      <c r="L1896" t="str">
        <f t="shared" si="440"/>
        <v>天津大悦城|期末出租率（%）|年度</v>
      </c>
      <c r="M1896">
        <f>IF($A1896="",0,IF(COUNTIF($L$2:$L1896,$L1896)=1,1,0))</f>
        <v>1</v>
      </c>
      <c r="N1896">
        <f t="shared" si="441"/>
        <v>20230</v>
      </c>
      <c r="O1896" t="str">
        <f t="shared" si="442"/>
        <v>华夏大悦城封闭式商业不动产证券投资基金|2023|年度</v>
      </c>
      <c r="P1896">
        <f>IF($A1896="",0,IF(COUNTIF($O$2:$O1896,$O1896)=1,1,0))</f>
        <v>0</v>
      </c>
      <c r="Q1896" t="str">
        <f>IF(AND($P1896=1,$A1896=经营数据!$B$3,$J1896=经营数据!$BA$5),COUNTIFS($P$2:$P$3000,1,$A$2:$A$3000,$A1896,$J$2:$J$3000,$J1896,$N$2:$N$3000,"&lt;"&amp;$N1896)+1,"")</f>
        <v/>
      </c>
      <c r="R1896" t="str">
        <f t="shared" si="443"/>
        <v>华夏大悦城封闭式商业不动产证券投资基金|天津大悦城</v>
      </c>
      <c r="S1896">
        <f>IF($A1896="",0,IF(COUNTIF($R$2:$R1896,$R1896)=1,1,0))</f>
        <v>0</v>
      </c>
      <c r="T1896">
        <f t="shared" si="444"/>
        <v>1894</v>
      </c>
      <c r="U1896" t="str">
        <f>IF($A1896="","",IF($A1896=经营数据!$B$3,COUNTIFS($S$2:$S$3000,1,$A$2:$A$3000,$A1896,$T$2:$T$3000,"&lt;"&amp;$T1896)+1,""))</f>
        <v/>
      </c>
      <c r="V1896" t="str">
        <f t="shared" si="445"/>
        <v>天津大悦城|服务效率</v>
      </c>
      <c r="W1896">
        <f t="shared" si="446"/>
        <v>1895</v>
      </c>
      <c r="X1896" t="str">
        <f t="shared" si="447"/>
        <v>天津大悦城|期末出租率</v>
      </c>
      <c r="Y1896">
        <f t="shared" si="448"/>
        <v>1895</v>
      </c>
      <c r="Z1896">
        <f>IF($A1896="",0,IF(AND($M1896=1,$A1896=经营数据!$B$3,$J1896=经营数据!$BA$5,OR($I1896=经营数据!$BA$4,COUNTIF(经营数据!$AA$9:$AA$38,$I1896)&gt;0)),1,0))</f>
        <v>0</v>
      </c>
      <c r="AA1896" t="str">
        <f t="shared" si="449"/>
        <v/>
      </c>
      <c r="AB1896" t="str">
        <f t="shared" si="450"/>
        <v/>
      </c>
      <c r="AC1896">
        <f>IF($A1896="",0,IF(COUNTIF($A$2:$A1896,$A1896)=1,1,0))</f>
        <v>0</v>
      </c>
      <c r="AD1896">
        <f t="shared" si="451"/>
        <v>28</v>
      </c>
      <c r="AE1896" t="str">
        <f t="shared" si="452"/>
        <v>天津大悦城|期末出租率（%）</v>
      </c>
    </row>
    <row r="1897" spans="1:31" x14ac:dyDescent="0.4">
      <c r="A1897" t="str">
        <f>IF(原始经营数据!$D1898="","",原始经营数据!$D1898)</f>
        <v>华夏大悦城封闭式商业不动产证券投资基金</v>
      </c>
      <c r="B1897" t="str">
        <f>IF(原始经营数据!$D1898="","",T(原始经营数据!$E1898))</f>
        <v>天津大悦城</v>
      </c>
      <c r="C1897" t="str">
        <f>IF(原始经营数据!$D1898="","",原始经营数据!$F1898)</f>
        <v>2023</v>
      </c>
      <c r="D1897" t="str">
        <f>IF(原始经营数据!$D1898="","",原始经营数据!$H1898)</f>
        <v>加权平均出租率</v>
      </c>
      <c r="E1897">
        <f>IF(原始经营数据!$D1898="","",原始经营数据!$I1898)</f>
        <v>96.47</v>
      </c>
      <c r="F1897" t="str">
        <f>IF(原始经营数据!$D1898="","",T(原始经营数据!$J1898))</f>
        <v>%</v>
      </c>
      <c r="G1897" t="str">
        <f>IF(原始经营数据!$D1898="","",T(原始经营数据!$K1898))</f>
        <v/>
      </c>
      <c r="H1897" t="str">
        <f>IF(原始经营数据!$D1898="","",原始经营数据!$G1898)</f>
        <v>服务效率</v>
      </c>
      <c r="I1897" t="str">
        <f>IF($A1897="","",IF($B1897&lt;&gt;"",$B1897,IF(COUNTIFS(原始经营数据!$D$3:$D$3001,$A1897,原始经营数据!$E$3:$E$3001,"",原始经营数据!$F$3:$F$3001,$C1897,原始经营数据!$H$3:$H$3001,$D1897,原始经营数据!$K$3:$K$3001,$G1897)&gt;1,"基金整体·来源"&amp;原始经营数据!$A1898,"基金整体")))</f>
        <v>天津大悦城</v>
      </c>
      <c r="J1897" t="str">
        <f t="shared" si="438"/>
        <v>年度</v>
      </c>
      <c r="K1897" t="str">
        <f t="shared" si="439"/>
        <v>加权平均出租率（%）</v>
      </c>
      <c r="L1897" t="str">
        <f t="shared" si="440"/>
        <v>天津大悦城|加权平均出租率（%）|年度</v>
      </c>
      <c r="M1897">
        <f>IF($A1897="",0,IF(COUNTIF($L$2:$L1897,$L1897)=1,1,0))</f>
        <v>1</v>
      </c>
      <c r="N1897">
        <f t="shared" si="441"/>
        <v>20230</v>
      </c>
      <c r="O1897" t="str">
        <f t="shared" si="442"/>
        <v>华夏大悦城封闭式商业不动产证券投资基金|2023|年度</v>
      </c>
      <c r="P1897">
        <f>IF($A1897="",0,IF(COUNTIF($O$2:$O1897,$O1897)=1,1,0))</f>
        <v>0</v>
      </c>
      <c r="Q1897" t="str">
        <f>IF(AND($P1897=1,$A1897=经营数据!$B$3,$J1897=经营数据!$BA$5),COUNTIFS($P$2:$P$3000,1,$A$2:$A$3000,$A1897,$J$2:$J$3000,$J1897,$N$2:$N$3000,"&lt;"&amp;$N1897)+1,"")</f>
        <v/>
      </c>
      <c r="R1897" t="str">
        <f t="shared" si="443"/>
        <v>华夏大悦城封闭式商业不动产证券投资基金|天津大悦城</v>
      </c>
      <c r="S1897">
        <f>IF($A1897="",0,IF(COUNTIF($R$2:$R1897,$R1897)=1,1,0))</f>
        <v>0</v>
      </c>
      <c r="T1897">
        <f t="shared" si="444"/>
        <v>1894</v>
      </c>
      <c r="U1897" t="str">
        <f>IF($A1897="","",IF($A1897=经营数据!$B$3,COUNTIFS($S$2:$S$3000,1,$A$2:$A$3000,$A1897,$T$2:$T$3000,"&lt;"&amp;$T1897)+1,""))</f>
        <v/>
      </c>
      <c r="V1897" t="str">
        <f t="shared" si="445"/>
        <v>天津大悦城|服务效率</v>
      </c>
      <c r="W1897">
        <f t="shared" si="446"/>
        <v>1895</v>
      </c>
      <c r="X1897" t="str">
        <f t="shared" si="447"/>
        <v>天津大悦城|加权平均出租率</v>
      </c>
      <c r="Y1897">
        <f t="shared" si="448"/>
        <v>1896</v>
      </c>
      <c r="Z1897">
        <f>IF($A1897="",0,IF(AND($M1897=1,$A1897=经营数据!$B$3,$J1897=经营数据!$BA$5,OR($I1897=经营数据!$BA$4,COUNTIF(经营数据!$AA$9:$AA$38,$I1897)&gt;0)),1,0))</f>
        <v>0</v>
      </c>
      <c r="AA1897" t="str">
        <f t="shared" si="449"/>
        <v/>
      </c>
      <c r="AB1897" t="str">
        <f t="shared" si="450"/>
        <v/>
      </c>
      <c r="AC1897">
        <f>IF($A1897="",0,IF(COUNTIF($A$2:$A1897,$A1897)=1,1,0))</f>
        <v>0</v>
      </c>
      <c r="AD1897">
        <f t="shared" si="451"/>
        <v>28</v>
      </c>
      <c r="AE1897" t="str">
        <f t="shared" si="452"/>
        <v>天津大悦城|加权平均出租率（%）</v>
      </c>
    </row>
    <row r="1898" spans="1:31" x14ac:dyDescent="0.4">
      <c r="A1898" t="str">
        <f>IF(原始经营数据!$D1899="","",原始经营数据!$D1899)</f>
        <v>华夏大悦城封闭式商业不动产证券投资基金</v>
      </c>
      <c r="B1898" t="str">
        <f>IF(原始经营数据!$D1899="","",T(原始经营数据!$E1899))</f>
        <v>天津大悦城</v>
      </c>
      <c r="C1898" t="str">
        <f>IF(原始经营数据!$D1899="","",原始经营数据!$F1899)</f>
        <v>2023</v>
      </c>
      <c r="D1898" t="str">
        <f>IF(原始经营数据!$D1899="","",原始经营数据!$H1899)</f>
        <v>期内有效租金单价</v>
      </c>
      <c r="E1898">
        <f>IF(原始经营数据!$D1899="","",原始经营数据!$I1899)</f>
        <v>464.62</v>
      </c>
      <c r="F1898" t="str">
        <f>IF(原始经营数据!$D1899="","",T(原始经营数据!$J1899))</f>
        <v>元/平方米/月</v>
      </c>
      <c r="G1898" t="str">
        <f>IF(原始经营数据!$D1899="","",T(原始经营数据!$K1899))</f>
        <v/>
      </c>
      <c r="H1898" t="str">
        <f>IF(原始经营数据!$D1899="","",原始经营数据!$G1899)</f>
        <v>服务价格</v>
      </c>
      <c r="I1898" t="str">
        <f>IF($A1898="","",IF($B1898&lt;&gt;"",$B1898,IF(COUNTIFS(原始经营数据!$D$3:$D$3001,$A1898,原始经营数据!$E$3:$E$3001,"",原始经营数据!$F$3:$F$3001,$C1898,原始经营数据!$H$3:$H$3001,$D1898,原始经营数据!$K$3:$K$3001,$G1898)&gt;1,"基金整体·来源"&amp;原始经营数据!$A1899,"基金整体")))</f>
        <v>天津大悦城</v>
      </c>
      <c r="J1898" t="str">
        <f t="shared" si="438"/>
        <v>年度</v>
      </c>
      <c r="K1898" t="str">
        <f t="shared" si="439"/>
        <v>期内有效租金单价（元/平方米/月）</v>
      </c>
      <c r="L1898" t="str">
        <f t="shared" si="440"/>
        <v>天津大悦城|期内有效租金单价（元/平方米/月）|年度</v>
      </c>
      <c r="M1898">
        <f>IF($A1898="",0,IF(COUNTIF($L$2:$L1898,$L1898)=1,1,0))</f>
        <v>1</v>
      </c>
      <c r="N1898">
        <f t="shared" si="441"/>
        <v>20230</v>
      </c>
      <c r="O1898" t="str">
        <f t="shared" si="442"/>
        <v>华夏大悦城封闭式商业不动产证券投资基金|2023|年度</v>
      </c>
      <c r="P1898">
        <f>IF($A1898="",0,IF(COUNTIF($O$2:$O1898,$O1898)=1,1,0))</f>
        <v>0</v>
      </c>
      <c r="Q1898" t="str">
        <f>IF(AND($P1898=1,$A1898=经营数据!$B$3,$J1898=经营数据!$BA$5),COUNTIFS($P$2:$P$3000,1,$A$2:$A$3000,$A1898,$J$2:$J$3000,$J1898,$N$2:$N$3000,"&lt;"&amp;$N1898)+1,"")</f>
        <v/>
      </c>
      <c r="R1898" t="str">
        <f t="shared" si="443"/>
        <v>华夏大悦城封闭式商业不动产证券投资基金|天津大悦城</v>
      </c>
      <c r="S1898">
        <f>IF($A1898="",0,IF(COUNTIF($R$2:$R1898,$R1898)=1,1,0))</f>
        <v>0</v>
      </c>
      <c r="T1898">
        <f t="shared" si="444"/>
        <v>1894</v>
      </c>
      <c r="U1898" t="str">
        <f>IF($A1898="","",IF($A1898=经营数据!$B$3,COUNTIFS($S$2:$S$3000,1,$A$2:$A$3000,$A1898,$T$2:$T$3000,"&lt;"&amp;$T1898)+1,""))</f>
        <v/>
      </c>
      <c r="V1898" t="str">
        <f t="shared" si="445"/>
        <v>天津大悦城|服务价格</v>
      </c>
      <c r="W1898">
        <f t="shared" si="446"/>
        <v>1894</v>
      </c>
      <c r="X1898" t="str">
        <f t="shared" si="447"/>
        <v>天津大悦城|期内有效租金单价</v>
      </c>
      <c r="Y1898">
        <f t="shared" si="448"/>
        <v>1897</v>
      </c>
      <c r="Z1898">
        <f>IF($A1898="",0,IF(AND($M1898=1,$A1898=经营数据!$B$3,$J1898=经营数据!$BA$5,OR($I1898=经营数据!$BA$4,COUNTIF(经营数据!$AA$9:$AA$38,$I1898)&gt;0)),1,0))</f>
        <v>0</v>
      </c>
      <c r="AA1898" t="str">
        <f t="shared" si="449"/>
        <v/>
      </c>
      <c r="AB1898" t="str">
        <f t="shared" si="450"/>
        <v/>
      </c>
      <c r="AC1898">
        <f>IF($A1898="",0,IF(COUNTIF($A$2:$A1898,$A1898)=1,1,0))</f>
        <v>0</v>
      </c>
      <c r="AD1898">
        <f t="shared" si="451"/>
        <v>28</v>
      </c>
      <c r="AE1898" t="str">
        <f t="shared" si="452"/>
        <v>天津大悦城|期内有效租金单价（元/平方米/月）</v>
      </c>
    </row>
    <row r="1899" spans="1:31" x14ac:dyDescent="0.4">
      <c r="A1899" t="str">
        <f>IF(原始经营数据!$D1900="","",原始经营数据!$D1900)</f>
        <v>华夏大悦城封闭式商业不动产证券投资基金</v>
      </c>
      <c r="B1899" t="str">
        <f>IF(原始经营数据!$D1900="","",T(原始经营数据!$E1900))</f>
        <v>天津大悦城</v>
      </c>
      <c r="C1899" t="str">
        <f>IF(原始经营数据!$D1900="","",原始经营数据!$F1900)</f>
        <v>2024</v>
      </c>
      <c r="D1899" t="str">
        <f>IF(原始经营数据!$D1900="","",原始经营数据!$H1900)</f>
        <v>加权平均出租率</v>
      </c>
      <c r="E1899">
        <f>IF(原始经营数据!$D1900="","",原始经营数据!$I1900)</f>
        <v>96.91</v>
      </c>
      <c r="F1899" t="str">
        <f>IF(原始经营数据!$D1900="","",T(原始经营数据!$J1900))</f>
        <v>%</v>
      </c>
      <c r="G1899" t="str">
        <f>IF(原始经营数据!$D1900="","",T(原始经营数据!$K1900))</f>
        <v/>
      </c>
      <c r="H1899" t="str">
        <f>IF(原始经营数据!$D1900="","",原始经营数据!$G1900)</f>
        <v>服务效率</v>
      </c>
      <c r="I1899" t="str">
        <f>IF($A1899="","",IF($B1899&lt;&gt;"",$B1899,IF(COUNTIFS(原始经营数据!$D$3:$D$3001,$A1899,原始经营数据!$E$3:$E$3001,"",原始经营数据!$F$3:$F$3001,$C1899,原始经营数据!$H$3:$H$3001,$D1899,原始经营数据!$K$3:$K$3001,$G1899)&gt;1,"基金整体·来源"&amp;原始经营数据!$A1900,"基金整体")))</f>
        <v>天津大悦城</v>
      </c>
      <c r="J1899" t="str">
        <f t="shared" si="438"/>
        <v>年度</v>
      </c>
      <c r="K1899" t="str">
        <f t="shared" si="439"/>
        <v>加权平均出租率（%）</v>
      </c>
      <c r="L1899" t="str">
        <f t="shared" si="440"/>
        <v>天津大悦城|加权平均出租率（%）|年度</v>
      </c>
      <c r="M1899">
        <f>IF($A1899="",0,IF(COUNTIF($L$2:$L1899,$L1899)=1,1,0))</f>
        <v>0</v>
      </c>
      <c r="N1899">
        <f t="shared" si="441"/>
        <v>20240</v>
      </c>
      <c r="O1899" t="str">
        <f t="shared" si="442"/>
        <v>华夏大悦城封闭式商业不动产证券投资基金|2024|年度</v>
      </c>
      <c r="P1899">
        <f>IF($A1899="",0,IF(COUNTIF($O$2:$O1899,$O1899)=1,1,0))</f>
        <v>1</v>
      </c>
      <c r="Q1899" t="str">
        <f>IF(AND($P1899=1,$A1899=经营数据!$B$3,$J1899=经营数据!$BA$5),COUNTIFS($P$2:$P$3000,1,$A$2:$A$3000,$A1899,$J$2:$J$3000,$J1899,$N$2:$N$3000,"&lt;"&amp;$N1899)+1,"")</f>
        <v/>
      </c>
      <c r="R1899" t="str">
        <f t="shared" si="443"/>
        <v>华夏大悦城封闭式商业不动产证券投资基金|天津大悦城</v>
      </c>
      <c r="S1899">
        <f>IF($A1899="",0,IF(COUNTIF($R$2:$R1899,$R1899)=1,1,0))</f>
        <v>0</v>
      </c>
      <c r="T1899">
        <f t="shared" si="444"/>
        <v>1894</v>
      </c>
      <c r="U1899" t="str">
        <f>IF($A1899="","",IF($A1899=经营数据!$B$3,COUNTIFS($S$2:$S$3000,1,$A$2:$A$3000,$A1899,$T$2:$T$3000,"&lt;"&amp;$T1899)+1,""))</f>
        <v/>
      </c>
      <c r="V1899" t="str">
        <f t="shared" si="445"/>
        <v>天津大悦城|服务效率</v>
      </c>
      <c r="W1899">
        <f t="shared" si="446"/>
        <v>1895</v>
      </c>
      <c r="X1899" t="str">
        <f t="shared" si="447"/>
        <v>天津大悦城|加权平均出租率</v>
      </c>
      <c r="Y1899">
        <f t="shared" si="448"/>
        <v>1896</v>
      </c>
      <c r="Z1899">
        <f>IF($A1899="",0,IF(AND($M1899=1,$A1899=经营数据!$B$3,$J1899=经营数据!$BA$5,OR($I1899=经营数据!$BA$4,COUNTIF(经营数据!$AA$9:$AA$38,$I1899)&gt;0)),1,0))</f>
        <v>0</v>
      </c>
      <c r="AA1899" t="str">
        <f t="shared" si="449"/>
        <v/>
      </c>
      <c r="AB1899" t="str">
        <f t="shared" si="450"/>
        <v/>
      </c>
      <c r="AC1899">
        <f>IF($A1899="",0,IF(COUNTIF($A$2:$A1899,$A1899)=1,1,0))</f>
        <v>0</v>
      </c>
      <c r="AD1899">
        <f t="shared" si="451"/>
        <v>28</v>
      </c>
      <c r="AE1899" t="str">
        <f t="shared" si="452"/>
        <v>天津大悦城|加权平均出租率（%）</v>
      </c>
    </row>
    <row r="1900" spans="1:31" x14ac:dyDescent="0.4">
      <c r="A1900" t="str">
        <f>IF(原始经营数据!$D1901="","",原始经营数据!$D1901)</f>
        <v>华夏大悦城封闭式商业不动产证券投资基金</v>
      </c>
      <c r="B1900" t="str">
        <f>IF(原始经营数据!$D1901="","",T(原始经营数据!$E1901))</f>
        <v>天津大悦城</v>
      </c>
      <c r="C1900" t="str">
        <f>IF(原始经营数据!$D1901="","",原始经营数据!$F1901)</f>
        <v>2024</v>
      </c>
      <c r="D1900" t="str">
        <f>IF(原始经营数据!$D1901="","",原始经营数据!$H1901)</f>
        <v>期末租金单价水平</v>
      </c>
      <c r="E1900">
        <f>IF(原始经营数据!$D1901="","",原始经营数据!$I1901)</f>
        <v>448.13</v>
      </c>
      <c r="F1900" t="str">
        <f>IF(原始经营数据!$D1901="","",T(原始经营数据!$J1901))</f>
        <v>元/平方米/月</v>
      </c>
      <c r="G1900" t="str">
        <f>IF(原始经营数据!$D1901="","",T(原始经营数据!$K1901))</f>
        <v/>
      </c>
      <c r="H1900" t="str">
        <f>IF(原始经营数据!$D1901="","",原始经营数据!$G1901)</f>
        <v>服务价格</v>
      </c>
      <c r="I1900" t="str">
        <f>IF($A1900="","",IF($B1900&lt;&gt;"",$B1900,IF(COUNTIFS(原始经营数据!$D$3:$D$3001,$A1900,原始经营数据!$E$3:$E$3001,"",原始经营数据!$F$3:$F$3001,$C1900,原始经营数据!$H$3:$H$3001,$D1900,原始经营数据!$K$3:$K$3001,$G1900)&gt;1,"基金整体·来源"&amp;原始经营数据!$A1901,"基金整体")))</f>
        <v>天津大悦城</v>
      </c>
      <c r="J1900" t="str">
        <f t="shared" si="438"/>
        <v>年度</v>
      </c>
      <c r="K1900" t="str">
        <f t="shared" si="439"/>
        <v>期末租金单价水平（元/平方米/月）</v>
      </c>
      <c r="L1900" t="str">
        <f t="shared" si="440"/>
        <v>天津大悦城|期末租金单价水平（元/平方米/月）|年度</v>
      </c>
      <c r="M1900">
        <f>IF($A1900="",0,IF(COUNTIF($L$2:$L1900,$L1900)=1,1,0))</f>
        <v>0</v>
      </c>
      <c r="N1900">
        <f t="shared" si="441"/>
        <v>20240</v>
      </c>
      <c r="O1900" t="str">
        <f t="shared" si="442"/>
        <v>华夏大悦城封闭式商业不动产证券投资基金|2024|年度</v>
      </c>
      <c r="P1900">
        <f>IF($A1900="",0,IF(COUNTIF($O$2:$O1900,$O1900)=1,1,0))</f>
        <v>0</v>
      </c>
      <c r="Q1900" t="str">
        <f>IF(AND($P1900=1,$A1900=经营数据!$B$3,$J1900=经营数据!$BA$5),COUNTIFS($P$2:$P$3000,1,$A$2:$A$3000,$A1900,$J$2:$J$3000,$J1900,$N$2:$N$3000,"&lt;"&amp;$N1900)+1,"")</f>
        <v/>
      </c>
      <c r="R1900" t="str">
        <f t="shared" si="443"/>
        <v>华夏大悦城封闭式商业不动产证券投资基金|天津大悦城</v>
      </c>
      <c r="S1900">
        <f>IF($A1900="",0,IF(COUNTIF($R$2:$R1900,$R1900)=1,1,0))</f>
        <v>0</v>
      </c>
      <c r="T1900">
        <f t="shared" si="444"/>
        <v>1894</v>
      </c>
      <c r="U1900" t="str">
        <f>IF($A1900="","",IF($A1900=经营数据!$B$3,COUNTIFS($S$2:$S$3000,1,$A$2:$A$3000,$A1900,$T$2:$T$3000,"&lt;"&amp;$T1900)+1,""))</f>
        <v/>
      </c>
      <c r="V1900" t="str">
        <f t="shared" si="445"/>
        <v>天津大悦城|服务价格</v>
      </c>
      <c r="W1900">
        <f t="shared" si="446"/>
        <v>1894</v>
      </c>
      <c r="X1900" t="str">
        <f t="shared" si="447"/>
        <v>天津大悦城|期末租金单价水平</v>
      </c>
      <c r="Y1900">
        <f t="shared" si="448"/>
        <v>1894</v>
      </c>
      <c r="Z1900">
        <f>IF($A1900="",0,IF(AND($M1900=1,$A1900=经营数据!$B$3,$J1900=经营数据!$BA$5,OR($I1900=经营数据!$BA$4,COUNTIF(经营数据!$AA$9:$AA$38,$I1900)&gt;0)),1,0))</f>
        <v>0</v>
      </c>
      <c r="AA1900" t="str">
        <f t="shared" si="449"/>
        <v/>
      </c>
      <c r="AB1900" t="str">
        <f t="shared" si="450"/>
        <v/>
      </c>
      <c r="AC1900">
        <f>IF($A1900="",0,IF(COUNTIF($A$2:$A1900,$A1900)=1,1,0))</f>
        <v>0</v>
      </c>
      <c r="AD1900">
        <f t="shared" si="451"/>
        <v>28</v>
      </c>
      <c r="AE1900" t="str">
        <f t="shared" si="452"/>
        <v>天津大悦城|期末租金单价水平（元/平方米/月）</v>
      </c>
    </row>
    <row r="1901" spans="1:31" x14ac:dyDescent="0.4">
      <c r="A1901" t="str">
        <f>IF(原始经营数据!$D1902="","",原始经营数据!$D1902)</f>
        <v>华夏大悦城封闭式商业不动产证券投资基金</v>
      </c>
      <c r="B1901" t="str">
        <f>IF(原始经营数据!$D1902="","",T(原始经营数据!$E1902))</f>
        <v>天津大悦城</v>
      </c>
      <c r="C1901" t="str">
        <f>IF(原始经营数据!$D1902="","",原始经营数据!$F1902)</f>
        <v>2024</v>
      </c>
      <c r="D1901" t="str">
        <f>IF(原始经营数据!$D1902="","",原始经营数据!$H1902)</f>
        <v>期末出租率</v>
      </c>
      <c r="E1901">
        <f>IF(原始经营数据!$D1902="","",原始经营数据!$I1902)</f>
        <v>99.07</v>
      </c>
      <c r="F1901" t="str">
        <f>IF(原始经营数据!$D1902="","",T(原始经营数据!$J1902))</f>
        <v>%</v>
      </c>
      <c r="G1901" t="str">
        <f>IF(原始经营数据!$D1902="","",T(原始经营数据!$K1902))</f>
        <v/>
      </c>
      <c r="H1901" t="str">
        <f>IF(原始经营数据!$D1902="","",原始经营数据!$G1902)</f>
        <v>服务效率</v>
      </c>
      <c r="I1901" t="str">
        <f>IF($A1901="","",IF($B1901&lt;&gt;"",$B1901,IF(COUNTIFS(原始经营数据!$D$3:$D$3001,$A1901,原始经营数据!$E$3:$E$3001,"",原始经营数据!$F$3:$F$3001,$C1901,原始经营数据!$H$3:$H$3001,$D1901,原始经营数据!$K$3:$K$3001,$G1901)&gt;1,"基金整体·来源"&amp;原始经营数据!$A1902,"基金整体")))</f>
        <v>天津大悦城</v>
      </c>
      <c r="J1901" t="str">
        <f t="shared" si="438"/>
        <v>年度</v>
      </c>
      <c r="K1901" t="str">
        <f t="shared" si="439"/>
        <v>期末出租率（%）</v>
      </c>
      <c r="L1901" t="str">
        <f t="shared" si="440"/>
        <v>天津大悦城|期末出租率（%）|年度</v>
      </c>
      <c r="M1901">
        <f>IF($A1901="",0,IF(COUNTIF($L$2:$L1901,$L1901)=1,1,0))</f>
        <v>0</v>
      </c>
      <c r="N1901">
        <f t="shared" si="441"/>
        <v>20240</v>
      </c>
      <c r="O1901" t="str">
        <f t="shared" si="442"/>
        <v>华夏大悦城封闭式商业不动产证券投资基金|2024|年度</v>
      </c>
      <c r="P1901">
        <f>IF($A1901="",0,IF(COUNTIF($O$2:$O1901,$O1901)=1,1,0))</f>
        <v>0</v>
      </c>
      <c r="Q1901" t="str">
        <f>IF(AND($P1901=1,$A1901=经营数据!$B$3,$J1901=经营数据!$BA$5),COUNTIFS($P$2:$P$3000,1,$A$2:$A$3000,$A1901,$J$2:$J$3000,$J1901,$N$2:$N$3000,"&lt;"&amp;$N1901)+1,"")</f>
        <v/>
      </c>
      <c r="R1901" t="str">
        <f t="shared" si="443"/>
        <v>华夏大悦城封闭式商业不动产证券投资基金|天津大悦城</v>
      </c>
      <c r="S1901">
        <f>IF($A1901="",0,IF(COUNTIF($R$2:$R1901,$R1901)=1,1,0))</f>
        <v>0</v>
      </c>
      <c r="T1901">
        <f t="shared" si="444"/>
        <v>1894</v>
      </c>
      <c r="U1901" t="str">
        <f>IF($A1901="","",IF($A1901=经营数据!$B$3,COUNTIFS($S$2:$S$3000,1,$A$2:$A$3000,$A1901,$T$2:$T$3000,"&lt;"&amp;$T1901)+1,""))</f>
        <v/>
      </c>
      <c r="V1901" t="str">
        <f t="shared" si="445"/>
        <v>天津大悦城|服务效率</v>
      </c>
      <c r="W1901">
        <f t="shared" si="446"/>
        <v>1895</v>
      </c>
      <c r="X1901" t="str">
        <f t="shared" si="447"/>
        <v>天津大悦城|期末出租率</v>
      </c>
      <c r="Y1901">
        <f t="shared" si="448"/>
        <v>1895</v>
      </c>
      <c r="Z1901">
        <f>IF($A1901="",0,IF(AND($M1901=1,$A1901=经营数据!$B$3,$J1901=经营数据!$BA$5,OR($I1901=经营数据!$BA$4,COUNTIF(经营数据!$AA$9:$AA$38,$I1901)&gt;0)),1,0))</f>
        <v>0</v>
      </c>
      <c r="AA1901" t="str">
        <f t="shared" si="449"/>
        <v/>
      </c>
      <c r="AB1901" t="str">
        <f t="shared" si="450"/>
        <v/>
      </c>
      <c r="AC1901">
        <f>IF($A1901="",0,IF(COUNTIF($A$2:$A1901,$A1901)=1,1,0))</f>
        <v>0</v>
      </c>
      <c r="AD1901">
        <f t="shared" si="451"/>
        <v>28</v>
      </c>
      <c r="AE1901" t="str">
        <f t="shared" si="452"/>
        <v>天津大悦城|期末出租率（%）</v>
      </c>
    </row>
    <row r="1902" spans="1:31" x14ac:dyDescent="0.4">
      <c r="A1902" t="str">
        <f>IF(原始经营数据!$D1903="","",原始经营数据!$D1903)</f>
        <v>华夏大悦城封闭式商业不动产证券投资基金</v>
      </c>
      <c r="B1902" t="str">
        <f>IF(原始经营数据!$D1903="","",T(原始经营数据!$E1903))</f>
        <v>天津大悦城</v>
      </c>
      <c r="C1902" t="str">
        <f>IF(原始经营数据!$D1903="","",原始经营数据!$F1903)</f>
        <v>2024</v>
      </c>
      <c r="D1902" t="str">
        <f>IF(原始经营数据!$D1903="","",原始经营数据!$H1903)</f>
        <v>期内有效租金单价</v>
      </c>
      <c r="E1902">
        <f>IF(原始经营数据!$D1903="","",原始经营数据!$I1903)</f>
        <v>451.6</v>
      </c>
      <c r="F1902" t="str">
        <f>IF(原始经营数据!$D1903="","",T(原始经营数据!$J1903))</f>
        <v>元/平方米/月</v>
      </c>
      <c r="G1902" t="str">
        <f>IF(原始经营数据!$D1903="","",T(原始经营数据!$K1903))</f>
        <v/>
      </c>
      <c r="H1902" t="str">
        <f>IF(原始经营数据!$D1903="","",原始经营数据!$G1903)</f>
        <v>服务价格</v>
      </c>
      <c r="I1902" t="str">
        <f>IF($A1902="","",IF($B1902&lt;&gt;"",$B1902,IF(COUNTIFS(原始经营数据!$D$3:$D$3001,$A1902,原始经营数据!$E$3:$E$3001,"",原始经营数据!$F$3:$F$3001,$C1902,原始经营数据!$H$3:$H$3001,$D1902,原始经营数据!$K$3:$K$3001,$G1902)&gt;1,"基金整体·来源"&amp;原始经营数据!$A1903,"基金整体")))</f>
        <v>天津大悦城</v>
      </c>
      <c r="J1902" t="str">
        <f t="shared" si="438"/>
        <v>年度</v>
      </c>
      <c r="K1902" t="str">
        <f t="shared" si="439"/>
        <v>期内有效租金单价（元/平方米/月）</v>
      </c>
      <c r="L1902" t="str">
        <f t="shared" si="440"/>
        <v>天津大悦城|期内有效租金单价（元/平方米/月）|年度</v>
      </c>
      <c r="M1902">
        <f>IF($A1902="",0,IF(COUNTIF($L$2:$L1902,$L1902)=1,1,0))</f>
        <v>0</v>
      </c>
      <c r="N1902">
        <f t="shared" si="441"/>
        <v>20240</v>
      </c>
      <c r="O1902" t="str">
        <f t="shared" si="442"/>
        <v>华夏大悦城封闭式商业不动产证券投资基金|2024|年度</v>
      </c>
      <c r="P1902">
        <f>IF($A1902="",0,IF(COUNTIF($O$2:$O1902,$O1902)=1,1,0))</f>
        <v>0</v>
      </c>
      <c r="Q1902" t="str">
        <f>IF(AND($P1902=1,$A1902=经营数据!$B$3,$J1902=经营数据!$BA$5),COUNTIFS($P$2:$P$3000,1,$A$2:$A$3000,$A1902,$J$2:$J$3000,$J1902,$N$2:$N$3000,"&lt;"&amp;$N1902)+1,"")</f>
        <v/>
      </c>
      <c r="R1902" t="str">
        <f t="shared" si="443"/>
        <v>华夏大悦城封闭式商业不动产证券投资基金|天津大悦城</v>
      </c>
      <c r="S1902">
        <f>IF($A1902="",0,IF(COUNTIF($R$2:$R1902,$R1902)=1,1,0))</f>
        <v>0</v>
      </c>
      <c r="T1902">
        <f t="shared" si="444"/>
        <v>1894</v>
      </c>
      <c r="U1902" t="str">
        <f>IF($A1902="","",IF($A1902=经营数据!$B$3,COUNTIFS($S$2:$S$3000,1,$A$2:$A$3000,$A1902,$T$2:$T$3000,"&lt;"&amp;$T1902)+1,""))</f>
        <v/>
      </c>
      <c r="V1902" t="str">
        <f t="shared" si="445"/>
        <v>天津大悦城|服务价格</v>
      </c>
      <c r="W1902">
        <f t="shared" si="446"/>
        <v>1894</v>
      </c>
      <c r="X1902" t="str">
        <f t="shared" si="447"/>
        <v>天津大悦城|期内有效租金单价</v>
      </c>
      <c r="Y1902">
        <f t="shared" si="448"/>
        <v>1897</v>
      </c>
      <c r="Z1902">
        <f>IF($A1902="",0,IF(AND($M1902=1,$A1902=经营数据!$B$3,$J1902=经营数据!$BA$5,OR($I1902=经营数据!$BA$4,COUNTIF(经营数据!$AA$9:$AA$38,$I1902)&gt;0)),1,0))</f>
        <v>0</v>
      </c>
      <c r="AA1902" t="str">
        <f t="shared" si="449"/>
        <v/>
      </c>
      <c r="AB1902" t="str">
        <f t="shared" si="450"/>
        <v/>
      </c>
      <c r="AC1902">
        <f>IF($A1902="",0,IF(COUNTIF($A$2:$A1902,$A1902)=1,1,0))</f>
        <v>0</v>
      </c>
      <c r="AD1902">
        <f t="shared" si="451"/>
        <v>28</v>
      </c>
      <c r="AE1902" t="str">
        <f t="shared" si="452"/>
        <v>天津大悦城|期内有效租金单价（元/平方米/月）</v>
      </c>
    </row>
    <row r="1903" spans="1:31" x14ac:dyDescent="0.4">
      <c r="A1903" t="str">
        <f>IF(原始经营数据!$D1904="","",原始经营数据!$D1904)</f>
        <v>华夏大悦城封闭式商业不动产证券投资基金</v>
      </c>
      <c r="B1903" t="str">
        <f>IF(原始经营数据!$D1904="","",T(原始经营数据!$E1904))</f>
        <v>天津大悦城</v>
      </c>
      <c r="C1903" t="str">
        <f>IF(原始经营数据!$D1904="","",原始经营数据!$F1904)</f>
        <v>2025</v>
      </c>
      <c r="D1903" t="str">
        <f>IF(原始经营数据!$D1904="","",原始经营数据!$H1904)</f>
        <v>加权平均出租率</v>
      </c>
      <c r="E1903">
        <f>IF(原始经营数据!$D1904="","",原始经营数据!$I1904)</f>
        <v>97.84</v>
      </c>
      <c r="F1903" t="str">
        <f>IF(原始经营数据!$D1904="","",T(原始经营数据!$J1904))</f>
        <v>%</v>
      </c>
      <c r="G1903" t="str">
        <f>IF(原始经营数据!$D1904="","",T(原始经营数据!$K1904))</f>
        <v/>
      </c>
      <c r="H1903" t="str">
        <f>IF(原始经营数据!$D1904="","",原始经营数据!$G1904)</f>
        <v>服务效率</v>
      </c>
      <c r="I1903" t="str">
        <f>IF($A1903="","",IF($B1903&lt;&gt;"",$B1903,IF(COUNTIFS(原始经营数据!$D$3:$D$3001,$A1903,原始经营数据!$E$3:$E$3001,"",原始经营数据!$F$3:$F$3001,$C1903,原始经营数据!$H$3:$H$3001,$D1903,原始经营数据!$K$3:$K$3001,$G1903)&gt;1,"基金整体·来源"&amp;原始经营数据!$A1904,"基金整体")))</f>
        <v>天津大悦城</v>
      </c>
      <c r="J1903" t="str">
        <f t="shared" si="438"/>
        <v>年度</v>
      </c>
      <c r="K1903" t="str">
        <f t="shared" si="439"/>
        <v>加权平均出租率（%）</v>
      </c>
      <c r="L1903" t="str">
        <f t="shared" si="440"/>
        <v>天津大悦城|加权平均出租率（%）|年度</v>
      </c>
      <c r="M1903">
        <f>IF($A1903="",0,IF(COUNTIF($L$2:$L1903,$L1903)=1,1,0))</f>
        <v>0</v>
      </c>
      <c r="N1903">
        <f t="shared" si="441"/>
        <v>20250</v>
      </c>
      <c r="O1903" t="str">
        <f t="shared" si="442"/>
        <v>华夏大悦城封闭式商业不动产证券投资基金|2025|年度</v>
      </c>
      <c r="P1903">
        <f>IF($A1903="",0,IF(COUNTIF($O$2:$O1903,$O1903)=1,1,0))</f>
        <v>1</v>
      </c>
      <c r="Q1903" t="str">
        <f>IF(AND($P1903=1,$A1903=经营数据!$B$3,$J1903=经营数据!$BA$5),COUNTIFS($P$2:$P$3000,1,$A$2:$A$3000,$A1903,$J$2:$J$3000,$J1903,$N$2:$N$3000,"&lt;"&amp;$N1903)+1,"")</f>
        <v/>
      </c>
      <c r="R1903" t="str">
        <f t="shared" si="443"/>
        <v>华夏大悦城封闭式商业不动产证券投资基金|天津大悦城</v>
      </c>
      <c r="S1903">
        <f>IF($A1903="",0,IF(COUNTIF($R$2:$R1903,$R1903)=1,1,0))</f>
        <v>0</v>
      </c>
      <c r="T1903">
        <f t="shared" si="444"/>
        <v>1894</v>
      </c>
      <c r="U1903" t="str">
        <f>IF($A1903="","",IF($A1903=经营数据!$B$3,COUNTIFS($S$2:$S$3000,1,$A$2:$A$3000,$A1903,$T$2:$T$3000,"&lt;"&amp;$T1903)+1,""))</f>
        <v/>
      </c>
      <c r="V1903" t="str">
        <f t="shared" si="445"/>
        <v>天津大悦城|服务效率</v>
      </c>
      <c r="W1903">
        <f t="shared" si="446"/>
        <v>1895</v>
      </c>
      <c r="X1903" t="str">
        <f t="shared" si="447"/>
        <v>天津大悦城|加权平均出租率</v>
      </c>
      <c r="Y1903">
        <f t="shared" si="448"/>
        <v>1896</v>
      </c>
      <c r="Z1903">
        <f>IF($A1903="",0,IF(AND($M1903=1,$A1903=经营数据!$B$3,$J1903=经营数据!$BA$5,OR($I1903=经营数据!$BA$4,COUNTIF(经营数据!$AA$9:$AA$38,$I1903)&gt;0)),1,0))</f>
        <v>0</v>
      </c>
      <c r="AA1903" t="str">
        <f t="shared" si="449"/>
        <v/>
      </c>
      <c r="AB1903" t="str">
        <f t="shared" si="450"/>
        <v/>
      </c>
      <c r="AC1903">
        <f>IF($A1903="",0,IF(COUNTIF($A$2:$A1903,$A1903)=1,1,0))</f>
        <v>0</v>
      </c>
      <c r="AD1903">
        <f t="shared" si="451"/>
        <v>28</v>
      </c>
      <c r="AE1903" t="str">
        <f t="shared" si="452"/>
        <v>天津大悦城|加权平均出租率（%）</v>
      </c>
    </row>
    <row r="1904" spans="1:31" x14ac:dyDescent="0.4">
      <c r="A1904" t="str">
        <f>IF(原始经营数据!$D1905="","",原始经营数据!$D1905)</f>
        <v>华夏大悦城封闭式商业不动产证券投资基金</v>
      </c>
      <c r="B1904" t="str">
        <f>IF(原始经营数据!$D1905="","",T(原始经营数据!$E1905))</f>
        <v>天津大悦城</v>
      </c>
      <c r="C1904" t="str">
        <f>IF(原始经营数据!$D1905="","",原始经营数据!$F1905)</f>
        <v>2025</v>
      </c>
      <c r="D1904" t="str">
        <f>IF(原始经营数据!$D1905="","",原始经营数据!$H1905)</f>
        <v>期末出租率</v>
      </c>
      <c r="E1904">
        <f>IF(原始经营数据!$D1905="","",原始经营数据!$I1905)</f>
        <v>97.83</v>
      </c>
      <c r="F1904" t="str">
        <f>IF(原始经营数据!$D1905="","",T(原始经营数据!$J1905))</f>
        <v>%</v>
      </c>
      <c r="G1904" t="str">
        <f>IF(原始经营数据!$D1905="","",T(原始经营数据!$K1905))</f>
        <v/>
      </c>
      <c r="H1904" t="str">
        <f>IF(原始经营数据!$D1905="","",原始经营数据!$G1905)</f>
        <v>服务效率</v>
      </c>
      <c r="I1904" t="str">
        <f>IF($A1904="","",IF($B1904&lt;&gt;"",$B1904,IF(COUNTIFS(原始经营数据!$D$3:$D$3001,$A1904,原始经营数据!$E$3:$E$3001,"",原始经营数据!$F$3:$F$3001,$C1904,原始经营数据!$H$3:$H$3001,$D1904,原始经营数据!$K$3:$K$3001,$G1904)&gt;1,"基金整体·来源"&amp;原始经营数据!$A1905,"基金整体")))</f>
        <v>天津大悦城</v>
      </c>
      <c r="J1904" t="str">
        <f t="shared" si="438"/>
        <v>年度</v>
      </c>
      <c r="K1904" t="str">
        <f t="shared" si="439"/>
        <v>期末出租率（%）</v>
      </c>
      <c r="L1904" t="str">
        <f t="shared" si="440"/>
        <v>天津大悦城|期末出租率（%）|年度</v>
      </c>
      <c r="M1904">
        <f>IF($A1904="",0,IF(COUNTIF($L$2:$L1904,$L1904)=1,1,0))</f>
        <v>0</v>
      </c>
      <c r="N1904">
        <f t="shared" si="441"/>
        <v>20250</v>
      </c>
      <c r="O1904" t="str">
        <f t="shared" si="442"/>
        <v>华夏大悦城封闭式商业不动产证券投资基金|2025|年度</v>
      </c>
      <c r="P1904">
        <f>IF($A1904="",0,IF(COUNTIF($O$2:$O1904,$O1904)=1,1,0))</f>
        <v>0</v>
      </c>
      <c r="Q1904" t="str">
        <f>IF(AND($P1904=1,$A1904=经营数据!$B$3,$J1904=经营数据!$BA$5),COUNTIFS($P$2:$P$3000,1,$A$2:$A$3000,$A1904,$J$2:$J$3000,$J1904,$N$2:$N$3000,"&lt;"&amp;$N1904)+1,"")</f>
        <v/>
      </c>
      <c r="R1904" t="str">
        <f t="shared" si="443"/>
        <v>华夏大悦城封闭式商业不动产证券投资基金|天津大悦城</v>
      </c>
      <c r="S1904">
        <f>IF($A1904="",0,IF(COUNTIF($R$2:$R1904,$R1904)=1,1,0))</f>
        <v>0</v>
      </c>
      <c r="T1904">
        <f t="shared" si="444"/>
        <v>1894</v>
      </c>
      <c r="U1904" t="str">
        <f>IF($A1904="","",IF($A1904=经营数据!$B$3,COUNTIFS($S$2:$S$3000,1,$A$2:$A$3000,$A1904,$T$2:$T$3000,"&lt;"&amp;$T1904)+1,""))</f>
        <v/>
      </c>
      <c r="V1904" t="str">
        <f t="shared" si="445"/>
        <v>天津大悦城|服务效率</v>
      </c>
      <c r="W1904">
        <f t="shared" si="446"/>
        <v>1895</v>
      </c>
      <c r="X1904" t="str">
        <f t="shared" si="447"/>
        <v>天津大悦城|期末出租率</v>
      </c>
      <c r="Y1904">
        <f t="shared" si="448"/>
        <v>1895</v>
      </c>
      <c r="Z1904">
        <f>IF($A1904="",0,IF(AND($M1904=1,$A1904=经营数据!$B$3,$J1904=经营数据!$BA$5,OR($I1904=经营数据!$BA$4,COUNTIF(经营数据!$AA$9:$AA$38,$I1904)&gt;0)),1,0))</f>
        <v>0</v>
      </c>
      <c r="AA1904" t="str">
        <f t="shared" si="449"/>
        <v/>
      </c>
      <c r="AB1904" t="str">
        <f t="shared" si="450"/>
        <v/>
      </c>
      <c r="AC1904">
        <f>IF($A1904="",0,IF(COUNTIF($A$2:$A1904,$A1904)=1,1,0))</f>
        <v>0</v>
      </c>
      <c r="AD1904">
        <f t="shared" si="451"/>
        <v>28</v>
      </c>
      <c r="AE1904" t="str">
        <f t="shared" si="452"/>
        <v>天津大悦城|期末出租率（%）</v>
      </c>
    </row>
    <row r="1905" spans="1:31" x14ac:dyDescent="0.4">
      <c r="A1905" t="str">
        <f>IF(原始经营数据!$D1906="","",原始经营数据!$D1906)</f>
        <v>华夏大悦城封闭式商业不动产证券投资基金</v>
      </c>
      <c r="B1905" t="str">
        <f>IF(原始经营数据!$D1906="","",T(原始经营数据!$E1906))</f>
        <v>天津大悦城</v>
      </c>
      <c r="C1905" t="str">
        <f>IF(原始经营数据!$D1906="","",原始经营数据!$F1906)</f>
        <v>2025</v>
      </c>
      <c r="D1905" t="str">
        <f>IF(原始经营数据!$D1906="","",原始经营数据!$H1906)</f>
        <v>期末租金单价水平</v>
      </c>
      <c r="E1905">
        <f>IF(原始经营数据!$D1906="","",原始经营数据!$I1906)</f>
        <v>441.62</v>
      </c>
      <c r="F1905" t="str">
        <f>IF(原始经营数据!$D1906="","",T(原始经营数据!$J1906))</f>
        <v>元/平方米/月</v>
      </c>
      <c r="G1905" t="str">
        <f>IF(原始经营数据!$D1906="","",T(原始经营数据!$K1906))</f>
        <v/>
      </c>
      <c r="H1905" t="str">
        <f>IF(原始经营数据!$D1906="","",原始经营数据!$G1906)</f>
        <v>服务价格</v>
      </c>
      <c r="I1905" t="str">
        <f>IF($A1905="","",IF($B1905&lt;&gt;"",$B1905,IF(COUNTIFS(原始经营数据!$D$3:$D$3001,$A1905,原始经营数据!$E$3:$E$3001,"",原始经营数据!$F$3:$F$3001,$C1905,原始经营数据!$H$3:$H$3001,$D1905,原始经营数据!$K$3:$K$3001,$G1905)&gt;1,"基金整体·来源"&amp;原始经营数据!$A1906,"基金整体")))</f>
        <v>天津大悦城</v>
      </c>
      <c r="J1905" t="str">
        <f t="shared" si="438"/>
        <v>年度</v>
      </c>
      <c r="K1905" t="str">
        <f t="shared" si="439"/>
        <v>期末租金单价水平（元/平方米/月）</v>
      </c>
      <c r="L1905" t="str">
        <f t="shared" si="440"/>
        <v>天津大悦城|期末租金单价水平（元/平方米/月）|年度</v>
      </c>
      <c r="M1905">
        <f>IF($A1905="",0,IF(COUNTIF($L$2:$L1905,$L1905)=1,1,0))</f>
        <v>0</v>
      </c>
      <c r="N1905">
        <f t="shared" si="441"/>
        <v>20250</v>
      </c>
      <c r="O1905" t="str">
        <f t="shared" si="442"/>
        <v>华夏大悦城封闭式商业不动产证券投资基金|2025|年度</v>
      </c>
      <c r="P1905">
        <f>IF($A1905="",0,IF(COUNTIF($O$2:$O1905,$O1905)=1,1,0))</f>
        <v>0</v>
      </c>
      <c r="Q1905" t="str">
        <f>IF(AND($P1905=1,$A1905=经营数据!$B$3,$J1905=经营数据!$BA$5),COUNTIFS($P$2:$P$3000,1,$A$2:$A$3000,$A1905,$J$2:$J$3000,$J1905,$N$2:$N$3000,"&lt;"&amp;$N1905)+1,"")</f>
        <v/>
      </c>
      <c r="R1905" t="str">
        <f t="shared" si="443"/>
        <v>华夏大悦城封闭式商业不动产证券投资基金|天津大悦城</v>
      </c>
      <c r="S1905">
        <f>IF($A1905="",0,IF(COUNTIF($R$2:$R1905,$R1905)=1,1,0))</f>
        <v>0</v>
      </c>
      <c r="T1905">
        <f t="shared" si="444"/>
        <v>1894</v>
      </c>
      <c r="U1905" t="str">
        <f>IF($A1905="","",IF($A1905=经营数据!$B$3,COUNTIFS($S$2:$S$3000,1,$A$2:$A$3000,$A1905,$T$2:$T$3000,"&lt;"&amp;$T1905)+1,""))</f>
        <v/>
      </c>
      <c r="V1905" t="str">
        <f t="shared" si="445"/>
        <v>天津大悦城|服务价格</v>
      </c>
      <c r="W1905">
        <f t="shared" si="446"/>
        <v>1894</v>
      </c>
      <c r="X1905" t="str">
        <f t="shared" si="447"/>
        <v>天津大悦城|期末租金单价水平</v>
      </c>
      <c r="Y1905">
        <f t="shared" si="448"/>
        <v>1894</v>
      </c>
      <c r="Z1905">
        <f>IF($A1905="",0,IF(AND($M1905=1,$A1905=经营数据!$B$3,$J1905=经营数据!$BA$5,OR($I1905=经营数据!$BA$4,COUNTIF(经营数据!$AA$9:$AA$38,$I1905)&gt;0)),1,0))</f>
        <v>0</v>
      </c>
      <c r="AA1905" t="str">
        <f t="shared" si="449"/>
        <v/>
      </c>
      <c r="AB1905" t="str">
        <f t="shared" si="450"/>
        <v/>
      </c>
      <c r="AC1905">
        <f>IF($A1905="",0,IF(COUNTIF($A$2:$A1905,$A1905)=1,1,0))</f>
        <v>0</v>
      </c>
      <c r="AD1905">
        <f t="shared" si="451"/>
        <v>28</v>
      </c>
      <c r="AE1905" t="str">
        <f t="shared" si="452"/>
        <v>天津大悦城|期末租金单价水平（元/平方米/月）</v>
      </c>
    </row>
    <row r="1906" spans="1:31" x14ac:dyDescent="0.4">
      <c r="A1906" t="str">
        <f>IF(原始经营数据!$D1907="","",原始经营数据!$D1907)</f>
        <v>华夏大悦城封闭式商业不动产证券投资基金</v>
      </c>
      <c r="B1906" t="str">
        <f>IF(原始经营数据!$D1907="","",T(原始经营数据!$E1907))</f>
        <v>天津大悦城</v>
      </c>
      <c r="C1906" t="str">
        <f>IF(原始经营数据!$D1907="","",原始经营数据!$F1907)</f>
        <v>2025</v>
      </c>
      <c r="D1906" t="str">
        <f>IF(原始经营数据!$D1907="","",原始经营数据!$H1907)</f>
        <v>期内有效租金单价</v>
      </c>
      <c r="E1906">
        <f>IF(原始经营数据!$D1907="","",原始经营数据!$I1907)</f>
        <v>445.29</v>
      </c>
      <c r="F1906" t="str">
        <f>IF(原始经营数据!$D1907="","",T(原始经营数据!$J1907))</f>
        <v>元/平方米/月</v>
      </c>
      <c r="G1906" t="str">
        <f>IF(原始经营数据!$D1907="","",T(原始经营数据!$K1907))</f>
        <v/>
      </c>
      <c r="H1906" t="str">
        <f>IF(原始经营数据!$D1907="","",原始经营数据!$G1907)</f>
        <v>服务价格</v>
      </c>
      <c r="I1906" t="str">
        <f>IF($A1906="","",IF($B1906&lt;&gt;"",$B1906,IF(COUNTIFS(原始经营数据!$D$3:$D$3001,$A1906,原始经营数据!$E$3:$E$3001,"",原始经营数据!$F$3:$F$3001,$C1906,原始经营数据!$H$3:$H$3001,$D1906,原始经营数据!$K$3:$K$3001,$G1906)&gt;1,"基金整体·来源"&amp;原始经营数据!$A1907,"基金整体")))</f>
        <v>天津大悦城</v>
      </c>
      <c r="J1906" t="str">
        <f t="shared" si="438"/>
        <v>年度</v>
      </c>
      <c r="K1906" t="str">
        <f t="shared" si="439"/>
        <v>期内有效租金单价（元/平方米/月）</v>
      </c>
      <c r="L1906" t="str">
        <f t="shared" si="440"/>
        <v>天津大悦城|期内有效租金单价（元/平方米/月）|年度</v>
      </c>
      <c r="M1906">
        <f>IF($A1906="",0,IF(COUNTIF($L$2:$L1906,$L1906)=1,1,0))</f>
        <v>0</v>
      </c>
      <c r="N1906">
        <f t="shared" si="441"/>
        <v>20250</v>
      </c>
      <c r="O1906" t="str">
        <f t="shared" si="442"/>
        <v>华夏大悦城封闭式商业不动产证券投资基金|2025|年度</v>
      </c>
      <c r="P1906">
        <f>IF($A1906="",0,IF(COUNTIF($O$2:$O1906,$O1906)=1,1,0))</f>
        <v>0</v>
      </c>
      <c r="Q1906" t="str">
        <f>IF(AND($P1906=1,$A1906=经营数据!$B$3,$J1906=经营数据!$BA$5),COUNTIFS($P$2:$P$3000,1,$A$2:$A$3000,$A1906,$J$2:$J$3000,$J1906,$N$2:$N$3000,"&lt;"&amp;$N1906)+1,"")</f>
        <v/>
      </c>
      <c r="R1906" t="str">
        <f t="shared" si="443"/>
        <v>华夏大悦城封闭式商业不动产证券投资基金|天津大悦城</v>
      </c>
      <c r="S1906">
        <f>IF($A1906="",0,IF(COUNTIF($R$2:$R1906,$R1906)=1,1,0))</f>
        <v>0</v>
      </c>
      <c r="T1906">
        <f t="shared" si="444"/>
        <v>1894</v>
      </c>
      <c r="U1906" t="str">
        <f>IF($A1906="","",IF($A1906=经营数据!$B$3,COUNTIFS($S$2:$S$3000,1,$A$2:$A$3000,$A1906,$T$2:$T$3000,"&lt;"&amp;$T1906)+1,""))</f>
        <v/>
      </c>
      <c r="V1906" t="str">
        <f t="shared" si="445"/>
        <v>天津大悦城|服务价格</v>
      </c>
      <c r="W1906">
        <f t="shared" si="446"/>
        <v>1894</v>
      </c>
      <c r="X1906" t="str">
        <f t="shared" si="447"/>
        <v>天津大悦城|期内有效租金单价</v>
      </c>
      <c r="Y1906">
        <f t="shared" si="448"/>
        <v>1897</v>
      </c>
      <c r="Z1906">
        <f>IF($A1906="",0,IF(AND($M1906=1,$A1906=经营数据!$B$3,$J1906=经营数据!$BA$5,OR($I1906=经营数据!$BA$4,COUNTIF(经营数据!$AA$9:$AA$38,$I1906)&gt;0)),1,0))</f>
        <v>0</v>
      </c>
      <c r="AA1906" t="str">
        <f t="shared" si="449"/>
        <v/>
      </c>
      <c r="AB1906" t="str">
        <f t="shared" si="450"/>
        <v/>
      </c>
      <c r="AC1906">
        <f>IF($A1906="",0,IF(COUNTIF($A$2:$A1906,$A1906)=1,1,0))</f>
        <v>0</v>
      </c>
      <c r="AD1906">
        <f t="shared" si="451"/>
        <v>28</v>
      </c>
      <c r="AE1906" t="str">
        <f t="shared" si="452"/>
        <v>天津大悦城|期内有效租金单价（元/平方米/月）</v>
      </c>
    </row>
    <row r="1907" spans="1:31" x14ac:dyDescent="0.4">
      <c r="A1907" t="str">
        <f>IF(原始经营数据!$D1908="","",原始经营数据!$D1908)</f>
        <v>华夏大悦城封闭式商业不动产证券投资基金</v>
      </c>
      <c r="B1907" t="str">
        <f>IF(原始经营数据!$D1908="","",T(原始经营数据!$E1908))</f>
        <v>天津大悦城</v>
      </c>
      <c r="C1907" t="str">
        <f>IF(原始经营数据!$D1908="","",原始经营数据!$F1908)</f>
        <v>2026Q1</v>
      </c>
      <c r="D1907" t="str">
        <f>IF(原始经营数据!$D1908="","",原始经营数据!$H1908)</f>
        <v>加权平均出租率</v>
      </c>
      <c r="E1907">
        <f>IF(原始经营数据!$D1908="","",原始经营数据!$I1908)</f>
        <v>97.68</v>
      </c>
      <c r="F1907" t="str">
        <f>IF(原始经营数据!$D1908="","",T(原始经营数据!$J1908))</f>
        <v>%</v>
      </c>
      <c r="G1907" t="str">
        <f>IF(原始经营数据!$D1908="","",T(原始经营数据!$K1908))</f>
        <v/>
      </c>
      <c r="H1907" t="str">
        <f>IF(原始经营数据!$D1908="","",原始经营数据!$G1908)</f>
        <v>服务效率</v>
      </c>
      <c r="I1907" t="str">
        <f>IF($A1907="","",IF($B1907&lt;&gt;"",$B1907,IF(COUNTIFS(原始经营数据!$D$3:$D$3001,$A1907,原始经营数据!$E$3:$E$3001,"",原始经营数据!$F$3:$F$3001,$C1907,原始经营数据!$H$3:$H$3001,$D1907,原始经营数据!$K$3:$K$3001,$G1907)&gt;1,"基金整体·来源"&amp;原始经营数据!$A1908,"基金整体")))</f>
        <v>天津大悦城</v>
      </c>
      <c r="J1907" t="str">
        <f t="shared" si="438"/>
        <v>季度</v>
      </c>
      <c r="K1907" t="str">
        <f t="shared" si="439"/>
        <v>加权平均出租率（%）</v>
      </c>
      <c r="L1907" t="str">
        <f t="shared" si="440"/>
        <v>天津大悦城|加权平均出租率（%）|季度</v>
      </c>
      <c r="M1907">
        <f>IF($A1907="",0,IF(COUNTIF($L$2:$L1907,$L1907)=1,1,0))</f>
        <v>1</v>
      </c>
      <c r="N1907">
        <f t="shared" si="441"/>
        <v>20261</v>
      </c>
      <c r="O1907" t="str">
        <f t="shared" si="442"/>
        <v>华夏大悦城封闭式商业不动产证券投资基金|2026Q1|季度</v>
      </c>
      <c r="P1907">
        <f>IF($A1907="",0,IF(COUNTIF($O$2:$O1907,$O1907)=1,1,0))</f>
        <v>1</v>
      </c>
      <c r="Q1907" t="str">
        <f>IF(AND($P1907=1,$A1907=经营数据!$B$3,$J1907=经营数据!$BA$5),COUNTIFS($P$2:$P$3000,1,$A$2:$A$3000,$A1907,$J$2:$J$3000,$J1907,$N$2:$N$3000,"&lt;"&amp;$N1907)+1,"")</f>
        <v/>
      </c>
      <c r="R1907" t="str">
        <f t="shared" si="443"/>
        <v>华夏大悦城封闭式商业不动产证券投资基金|天津大悦城</v>
      </c>
      <c r="S1907">
        <f>IF($A1907="",0,IF(COUNTIF($R$2:$R1907,$R1907)=1,1,0))</f>
        <v>0</v>
      </c>
      <c r="T1907">
        <f t="shared" si="444"/>
        <v>1894</v>
      </c>
      <c r="U1907" t="str">
        <f>IF($A1907="","",IF($A1907=经营数据!$B$3,COUNTIFS($S$2:$S$3000,1,$A$2:$A$3000,$A1907,$T$2:$T$3000,"&lt;"&amp;$T1907)+1,""))</f>
        <v/>
      </c>
      <c r="V1907" t="str">
        <f t="shared" si="445"/>
        <v>天津大悦城|服务效率</v>
      </c>
      <c r="W1907">
        <f t="shared" si="446"/>
        <v>1895</v>
      </c>
      <c r="X1907" t="str">
        <f t="shared" si="447"/>
        <v>天津大悦城|加权平均出租率</v>
      </c>
      <c r="Y1907">
        <f t="shared" si="448"/>
        <v>1896</v>
      </c>
      <c r="Z1907">
        <f>IF($A1907="",0,IF(AND($M1907=1,$A1907=经营数据!$B$3,$J1907=经营数据!$BA$5,OR($I1907=经营数据!$BA$4,COUNTIF(经营数据!$AA$9:$AA$38,$I1907)&gt;0)),1,0))</f>
        <v>0</v>
      </c>
      <c r="AA1907" t="str">
        <f t="shared" si="449"/>
        <v/>
      </c>
      <c r="AB1907" t="str">
        <f t="shared" si="450"/>
        <v/>
      </c>
      <c r="AC1907">
        <f>IF($A1907="",0,IF(COUNTIF($A$2:$A1907,$A1907)=1,1,0))</f>
        <v>0</v>
      </c>
      <c r="AD1907">
        <f t="shared" si="451"/>
        <v>28</v>
      </c>
      <c r="AE1907" t="str">
        <f t="shared" si="452"/>
        <v>天津大悦城|加权平均出租率（%）</v>
      </c>
    </row>
    <row r="1908" spans="1:31" x14ac:dyDescent="0.4">
      <c r="A1908" t="str">
        <f>IF(原始经营数据!$D1909="","",原始经营数据!$D1909)</f>
        <v>华夏大悦城封闭式商业不动产证券投资基金</v>
      </c>
      <c r="B1908" t="str">
        <f>IF(原始经营数据!$D1909="","",T(原始经营数据!$E1909))</f>
        <v>天津大悦城</v>
      </c>
      <c r="C1908" t="str">
        <f>IF(原始经营数据!$D1909="","",原始经营数据!$F1909)</f>
        <v>2026Q1</v>
      </c>
      <c r="D1908" t="str">
        <f>IF(原始经营数据!$D1909="","",原始经营数据!$H1909)</f>
        <v>期末出租率</v>
      </c>
      <c r="E1908">
        <f>IF(原始经营数据!$D1909="","",原始经营数据!$I1909)</f>
        <v>98.43</v>
      </c>
      <c r="F1908" t="str">
        <f>IF(原始经营数据!$D1909="","",T(原始经营数据!$J1909))</f>
        <v>%</v>
      </c>
      <c r="G1908" t="str">
        <f>IF(原始经营数据!$D1909="","",T(原始经营数据!$K1909))</f>
        <v/>
      </c>
      <c r="H1908" t="str">
        <f>IF(原始经营数据!$D1909="","",原始经营数据!$G1909)</f>
        <v>服务效率</v>
      </c>
      <c r="I1908" t="str">
        <f>IF($A1908="","",IF($B1908&lt;&gt;"",$B1908,IF(COUNTIFS(原始经营数据!$D$3:$D$3001,$A1908,原始经营数据!$E$3:$E$3001,"",原始经营数据!$F$3:$F$3001,$C1908,原始经营数据!$H$3:$H$3001,$D1908,原始经营数据!$K$3:$K$3001,$G1908)&gt;1,"基金整体·来源"&amp;原始经营数据!$A1909,"基金整体")))</f>
        <v>天津大悦城</v>
      </c>
      <c r="J1908" t="str">
        <f t="shared" si="438"/>
        <v>季度</v>
      </c>
      <c r="K1908" t="str">
        <f t="shared" si="439"/>
        <v>期末出租率（%）</v>
      </c>
      <c r="L1908" t="str">
        <f t="shared" si="440"/>
        <v>天津大悦城|期末出租率（%）|季度</v>
      </c>
      <c r="M1908">
        <f>IF($A1908="",0,IF(COUNTIF($L$2:$L1908,$L1908)=1,1,0))</f>
        <v>1</v>
      </c>
      <c r="N1908">
        <f t="shared" si="441"/>
        <v>20261</v>
      </c>
      <c r="O1908" t="str">
        <f t="shared" si="442"/>
        <v>华夏大悦城封闭式商业不动产证券投资基金|2026Q1|季度</v>
      </c>
      <c r="P1908">
        <f>IF($A1908="",0,IF(COUNTIF($O$2:$O1908,$O1908)=1,1,0))</f>
        <v>0</v>
      </c>
      <c r="Q1908" t="str">
        <f>IF(AND($P1908=1,$A1908=经营数据!$B$3,$J1908=经营数据!$BA$5),COUNTIFS($P$2:$P$3000,1,$A$2:$A$3000,$A1908,$J$2:$J$3000,$J1908,$N$2:$N$3000,"&lt;"&amp;$N1908)+1,"")</f>
        <v/>
      </c>
      <c r="R1908" t="str">
        <f t="shared" si="443"/>
        <v>华夏大悦城封闭式商业不动产证券投资基金|天津大悦城</v>
      </c>
      <c r="S1908">
        <f>IF($A1908="",0,IF(COUNTIF($R$2:$R1908,$R1908)=1,1,0))</f>
        <v>0</v>
      </c>
      <c r="T1908">
        <f t="shared" si="444"/>
        <v>1894</v>
      </c>
      <c r="U1908" t="str">
        <f>IF($A1908="","",IF($A1908=经营数据!$B$3,COUNTIFS($S$2:$S$3000,1,$A$2:$A$3000,$A1908,$T$2:$T$3000,"&lt;"&amp;$T1908)+1,""))</f>
        <v/>
      </c>
      <c r="V1908" t="str">
        <f t="shared" si="445"/>
        <v>天津大悦城|服务效率</v>
      </c>
      <c r="W1908">
        <f t="shared" si="446"/>
        <v>1895</v>
      </c>
      <c r="X1908" t="str">
        <f t="shared" si="447"/>
        <v>天津大悦城|期末出租率</v>
      </c>
      <c r="Y1908">
        <f t="shared" si="448"/>
        <v>1895</v>
      </c>
      <c r="Z1908">
        <f>IF($A1908="",0,IF(AND($M1908=1,$A1908=经营数据!$B$3,$J1908=经营数据!$BA$5,OR($I1908=经营数据!$BA$4,COUNTIF(经营数据!$AA$9:$AA$38,$I1908)&gt;0)),1,0))</f>
        <v>0</v>
      </c>
      <c r="AA1908" t="str">
        <f t="shared" si="449"/>
        <v/>
      </c>
      <c r="AB1908" t="str">
        <f t="shared" si="450"/>
        <v/>
      </c>
      <c r="AC1908">
        <f>IF($A1908="",0,IF(COUNTIF($A$2:$A1908,$A1908)=1,1,0))</f>
        <v>0</v>
      </c>
      <c r="AD1908">
        <f t="shared" si="451"/>
        <v>28</v>
      </c>
      <c r="AE1908" t="str">
        <f t="shared" si="452"/>
        <v>天津大悦城|期末出租率（%）</v>
      </c>
    </row>
    <row r="1909" spans="1:31" x14ac:dyDescent="0.4">
      <c r="A1909" t="str">
        <f>IF(原始经营数据!$D1910="","",原始经营数据!$D1910)</f>
        <v>华夏大悦城封闭式商业不动产证券投资基金</v>
      </c>
      <c r="B1909" t="str">
        <f>IF(原始经营数据!$D1910="","",T(原始经营数据!$E1910))</f>
        <v>天津大悦城</v>
      </c>
      <c r="C1909" t="str">
        <f>IF(原始经营数据!$D1910="","",原始经营数据!$F1910)</f>
        <v>2026Q1</v>
      </c>
      <c r="D1909" t="str">
        <f>IF(原始经营数据!$D1910="","",原始经营数据!$H1910)</f>
        <v>期内有效租金单价</v>
      </c>
      <c r="E1909">
        <f>IF(原始经营数据!$D1910="","",原始经营数据!$I1910)</f>
        <v>451.58</v>
      </c>
      <c r="F1909" t="str">
        <f>IF(原始经营数据!$D1910="","",T(原始经营数据!$J1910))</f>
        <v>元/平方米/月</v>
      </c>
      <c r="G1909" t="str">
        <f>IF(原始经营数据!$D1910="","",T(原始经营数据!$K1910))</f>
        <v/>
      </c>
      <c r="H1909" t="str">
        <f>IF(原始经营数据!$D1910="","",原始经营数据!$G1910)</f>
        <v>服务价格</v>
      </c>
      <c r="I1909" t="str">
        <f>IF($A1909="","",IF($B1909&lt;&gt;"",$B1909,IF(COUNTIFS(原始经营数据!$D$3:$D$3001,$A1909,原始经营数据!$E$3:$E$3001,"",原始经营数据!$F$3:$F$3001,$C1909,原始经营数据!$H$3:$H$3001,$D1909,原始经营数据!$K$3:$K$3001,$G1909)&gt;1,"基金整体·来源"&amp;原始经营数据!$A1910,"基金整体")))</f>
        <v>天津大悦城</v>
      </c>
      <c r="J1909" t="str">
        <f t="shared" si="438"/>
        <v>季度</v>
      </c>
      <c r="K1909" t="str">
        <f t="shared" si="439"/>
        <v>期内有效租金单价（元/平方米/月）</v>
      </c>
      <c r="L1909" t="str">
        <f t="shared" si="440"/>
        <v>天津大悦城|期内有效租金单价（元/平方米/月）|季度</v>
      </c>
      <c r="M1909">
        <f>IF($A1909="",0,IF(COUNTIF($L$2:$L1909,$L1909)=1,1,0))</f>
        <v>1</v>
      </c>
      <c r="N1909">
        <f t="shared" si="441"/>
        <v>20261</v>
      </c>
      <c r="O1909" t="str">
        <f t="shared" si="442"/>
        <v>华夏大悦城封闭式商业不动产证券投资基金|2026Q1|季度</v>
      </c>
      <c r="P1909">
        <f>IF($A1909="",0,IF(COUNTIF($O$2:$O1909,$O1909)=1,1,0))</f>
        <v>0</v>
      </c>
      <c r="Q1909" t="str">
        <f>IF(AND($P1909=1,$A1909=经营数据!$B$3,$J1909=经营数据!$BA$5),COUNTIFS($P$2:$P$3000,1,$A$2:$A$3000,$A1909,$J$2:$J$3000,$J1909,$N$2:$N$3000,"&lt;"&amp;$N1909)+1,"")</f>
        <v/>
      </c>
      <c r="R1909" t="str">
        <f t="shared" si="443"/>
        <v>华夏大悦城封闭式商业不动产证券投资基金|天津大悦城</v>
      </c>
      <c r="S1909">
        <f>IF($A1909="",0,IF(COUNTIF($R$2:$R1909,$R1909)=1,1,0))</f>
        <v>0</v>
      </c>
      <c r="T1909">
        <f t="shared" si="444"/>
        <v>1894</v>
      </c>
      <c r="U1909" t="str">
        <f>IF($A1909="","",IF($A1909=经营数据!$B$3,COUNTIFS($S$2:$S$3000,1,$A$2:$A$3000,$A1909,$T$2:$T$3000,"&lt;"&amp;$T1909)+1,""))</f>
        <v/>
      </c>
      <c r="V1909" t="str">
        <f t="shared" si="445"/>
        <v>天津大悦城|服务价格</v>
      </c>
      <c r="W1909">
        <f t="shared" si="446"/>
        <v>1894</v>
      </c>
      <c r="X1909" t="str">
        <f t="shared" si="447"/>
        <v>天津大悦城|期内有效租金单价</v>
      </c>
      <c r="Y1909">
        <f t="shared" si="448"/>
        <v>1897</v>
      </c>
      <c r="Z1909">
        <f>IF($A1909="",0,IF(AND($M1909=1,$A1909=经营数据!$B$3,$J1909=经营数据!$BA$5,OR($I1909=经营数据!$BA$4,COUNTIF(经营数据!$AA$9:$AA$38,$I1909)&gt;0)),1,0))</f>
        <v>0</v>
      </c>
      <c r="AA1909" t="str">
        <f t="shared" si="449"/>
        <v/>
      </c>
      <c r="AB1909" t="str">
        <f t="shared" si="450"/>
        <v/>
      </c>
      <c r="AC1909">
        <f>IF($A1909="",0,IF(COUNTIF($A$2:$A1909,$A1909)=1,1,0))</f>
        <v>0</v>
      </c>
      <c r="AD1909">
        <f t="shared" si="451"/>
        <v>28</v>
      </c>
      <c r="AE1909" t="str">
        <f t="shared" si="452"/>
        <v>天津大悦城|期内有效租金单价（元/平方米/月）</v>
      </c>
    </row>
    <row r="1910" spans="1:31" x14ac:dyDescent="0.4">
      <c r="A1910" t="str">
        <f>IF(原始经营数据!$D1911="","",原始经营数据!$D1911)</f>
        <v>华夏大悦城封闭式商业不动产证券投资基金</v>
      </c>
      <c r="B1910" t="str">
        <f>IF(原始经营数据!$D1911="","",T(原始经营数据!$E1911))</f>
        <v>天津大悦城</v>
      </c>
      <c r="C1910" t="str">
        <f>IF(原始经营数据!$D1911="","",原始经营数据!$F1911)</f>
        <v>2026Q1</v>
      </c>
      <c r="D1910" t="str">
        <f>IF(原始经营数据!$D1911="","",原始经营数据!$H1911)</f>
        <v>期末租金单价水平</v>
      </c>
      <c r="E1910">
        <f>IF(原始经营数据!$D1911="","",原始经营数据!$I1911)</f>
        <v>433.68</v>
      </c>
      <c r="F1910" t="str">
        <f>IF(原始经营数据!$D1911="","",T(原始经营数据!$J1911))</f>
        <v>元/平方米/月</v>
      </c>
      <c r="G1910" t="str">
        <f>IF(原始经营数据!$D1911="","",T(原始经营数据!$K1911))</f>
        <v/>
      </c>
      <c r="H1910" t="str">
        <f>IF(原始经营数据!$D1911="","",原始经营数据!$G1911)</f>
        <v>服务价格</v>
      </c>
      <c r="I1910" t="str">
        <f>IF($A1910="","",IF($B1910&lt;&gt;"",$B1910,IF(COUNTIFS(原始经营数据!$D$3:$D$3001,$A1910,原始经营数据!$E$3:$E$3001,"",原始经营数据!$F$3:$F$3001,$C1910,原始经营数据!$H$3:$H$3001,$D1910,原始经营数据!$K$3:$K$3001,$G1910)&gt;1,"基金整体·来源"&amp;原始经营数据!$A1911,"基金整体")))</f>
        <v>天津大悦城</v>
      </c>
      <c r="J1910" t="str">
        <f t="shared" si="438"/>
        <v>季度</v>
      </c>
      <c r="K1910" t="str">
        <f t="shared" si="439"/>
        <v>期末租金单价水平（元/平方米/月）</v>
      </c>
      <c r="L1910" t="str">
        <f t="shared" si="440"/>
        <v>天津大悦城|期末租金单价水平（元/平方米/月）|季度</v>
      </c>
      <c r="M1910">
        <f>IF($A1910="",0,IF(COUNTIF($L$2:$L1910,$L1910)=1,1,0))</f>
        <v>1</v>
      </c>
      <c r="N1910">
        <f t="shared" si="441"/>
        <v>20261</v>
      </c>
      <c r="O1910" t="str">
        <f t="shared" si="442"/>
        <v>华夏大悦城封闭式商业不动产证券投资基金|2026Q1|季度</v>
      </c>
      <c r="P1910">
        <f>IF($A1910="",0,IF(COUNTIF($O$2:$O1910,$O1910)=1,1,0))</f>
        <v>0</v>
      </c>
      <c r="Q1910" t="str">
        <f>IF(AND($P1910=1,$A1910=经营数据!$B$3,$J1910=经营数据!$BA$5),COUNTIFS($P$2:$P$3000,1,$A$2:$A$3000,$A1910,$J$2:$J$3000,$J1910,$N$2:$N$3000,"&lt;"&amp;$N1910)+1,"")</f>
        <v/>
      </c>
      <c r="R1910" t="str">
        <f t="shared" si="443"/>
        <v>华夏大悦城封闭式商业不动产证券投资基金|天津大悦城</v>
      </c>
      <c r="S1910">
        <f>IF($A1910="",0,IF(COUNTIF($R$2:$R1910,$R1910)=1,1,0))</f>
        <v>0</v>
      </c>
      <c r="T1910">
        <f t="shared" si="444"/>
        <v>1894</v>
      </c>
      <c r="U1910" t="str">
        <f>IF($A1910="","",IF($A1910=经营数据!$B$3,COUNTIFS($S$2:$S$3000,1,$A$2:$A$3000,$A1910,$T$2:$T$3000,"&lt;"&amp;$T1910)+1,""))</f>
        <v/>
      </c>
      <c r="V1910" t="str">
        <f t="shared" si="445"/>
        <v>天津大悦城|服务价格</v>
      </c>
      <c r="W1910">
        <f t="shared" si="446"/>
        <v>1894</v>
      </c>
      <c r="X1910" t="str">
        <f t="shared" si="447"/>
        <v>天津大悦城|期末租金单价水平</v>
      </c>
      <c r="Y1910">
        <f t="shared" si="448"/>
        <v>1894</v>
      </c>
      <c r="Z1910">
        <f>IF($A1910="",0,IF(AND($M1910=1,$A1910=经营数据!$B$3,$J1910=经营数据!$BA$5,OR($I1910=经营数据!$BA$4,COUNTIF(经营数据!$AA$9:$AA$38,$I1910)&gt;0)),1,0))</f>
        <v>0</v>
      </c>
      <c r="AA1910" t="str">
        <f t="shared" si="449"/>
        <v/>
      </c>
      <c r="AB1910" t="str">
        <f t="shared" si="450"/>
        <v/>
      </c>
      <c r="AC1910">
        <f>IF($A1910="",0,IF(COUNTIF($A$2:$A1910,$A1910)=1,1,0))</f>
        <v>0</v>
      </c>
      <c r="AD1910">
        <f t="shared" si="451"/>
        <v>28</v>
      </c>
      <c r="AE1910" t="str">
        <f t="shared" si="452"/>
        <v>天津大悦城|期末租金单价水平（元/平方米/月）</v>
      </c>
    </row>
    <row r="1911" spans="1:31" x14ac:dyDescent="0.4">
      <c r="A1911" t="str">
        <f>IF(原始经营数据!$D1912="","",原始经营数据!$D1912)</f>
        <v>华安中电浦软封闭式商业不动产证券投资基金</v>
      </c>
      <c r="B1911" t="str">
        <f>IF(原始经营数据!$D1912="","",T(原始经营数据!$E1912))</f>
        <v>汇智国际商业中心</v>
      </c>
      <c r="C1911" t="str">
        <f>IF(原始经营数据!$D1912="","",原始经营数据!$F1912)</f>
        <v>2023</v>
      </c>
      <c r="D1911" t="str">
        <f>IF(原始经营数据!$D1912="","",原始经营数据!$H1912)</f>
        <v>租金收缴率</v>
      </c>
      <c r="E1911">
        <f>IF(原始经营数据!$D1912="","",原始经营数据!$I1912)</f>
        <v>100</v>
      </c>
      <c r="F1911" t="str">
        <f>IF(原始经营数据!$D1912="","",T(原始经营数据!$J1912))</f>
        <v>%</v>
      </c>
      <c r="G1911" t="str">
        <f>IF(原始经营数据!$D1912="","",T(原始经营数据!$K1912))</f>
        <v/>
      </c>
      <c r="H1911" t="str">
        <f>IF(原始经营数据!$D1912="","",原始经营数据!$G1912)</f>
        <v>服务效率</v>
      </c>
      <c r="I1911" t="str">
        <f>IF($A1911="","",IF($B1911&lt;&gt;"",$B1911,IF(COUNTIFS(原始经营数据!$D$3:$D$3001,$A1911,原始经营数据!$E$3:$E$3001,"",原始经营数据!$F$3:$F$3001,$C1911,原始经营数据!$H$3:$H$3001,$D1911,原始经营数据!$K$3:$K$3001,$G1911)&gt;1,"基金整体·来源"&amp;原始经营数据!$A1912,"基金整体")))</f>
        <v>汇智国际商业中心</v>
      </c>
      <c r="J1911" t="str">
        <f t="shared" si="438"/>
        <v>年度</v>
      </c>
      <c r="K1911" t="str">
        <f t="shared" si="439"/>
        <v>租金收缴率（%）</v>
      </c>
      <c r="L1911" t="str">
        <f t="shared" si="440"/>
        <v>汇智国际商业中心|租金收缴率（%）|年度</v>
      </c>
      <c r="M1911">
        <f>IF($A1911="",0,IF(COUNTIF($L$2:$L1911,$L1911)=1,1,0))</f>
        <v>1</v>
      </c>
      <c r="N1911">
        <f t="shared" si="441"/>
        <v>20230</v>
      </c>
      <c r="O1911" t="str">
        <f t="shared" si="442"/>
        <v>华安中电浦软封闭式商业不动产证券投资基金|2023|年度</v>
      </c>
      <c r="P1911">
        <f>IF($A1911="",0,IF(COUNTIF($O$2:$O1911,$O1911)=1,1,0))</f>
        <v>1</v>
      </c>
      <c r="Q1911" t="str">
        <f>IF(AND($P1911=1,$A1911=经营数据!$B$3,$J1911=经营数据!$BA$5),COUNTIFS($P$2:$P$3000,1,$A$2:$A$3000,$A1911,$J$2:$J$3000,$J1911,$N$2:$N$3000,"&lt;"&amp;$N1911)+1,"")</f>
        <v/>
      </c>
      <c r="R1911" t="str">
        <f t="shared" si="443"/>
        <v>华安中电浦软封闭式商业不动产证券投资基金|汇智国际商业中心</v>
      </c>
      <c r="S1911">
        <f>IF($A1911="",0,IF(COUNTIF($R$2:$R1911,$R1911)=1,1,0))</f>
        <v>1</v>
      </c>
      <c r="T1911">
        <f t="shared" si="444"/>
        <v>1910</v>
      </c>
      <c r="U1911" t="str">
        <f>IF($A1911="","",IF($A1911=经营数据!$B$3,COUNTIFS($S$2:$S$3000,1,$A$2:$A$3000,$A1911,$T$2:$T$3000,"&lt;"&amp;$T1911)+1,""))</f>
        <v/>
      </c>
      <c r="V1911" t="str">
        <f t="shared" si="445"/>
        <v>汇智国际商业中心|服务效率</v>
      </c>
      <c r="W1911">
        <f t="shared" si="446"/>
        <v>1910</v>
      </c>
      <c r="X1911" t="str">
        <f t="shared" si="447"/>
        <v>汇智国际商业中心|租金收缴率</v>
      </c>
      <c r="Y1911">
        <f t="shared" si="448"/>
        <v>1910</v>
      </c>
      <c r="Z1911">
        <f>IF($A1911="",0,IF(AND($M1911=1,$A1911=经营数据!$B$3,$J1911=经营数据!$BA$5,OR($I1911=经营数据!$BA$4,COUNTIF(经营数据!$AA$9:$AA$38,$I1911)&gt;0)),1,0))</f>
        <v>0</v>
      </c>
      <c r="AA1911" t="str">
        <f t="shared" si="449"/>
        <v/>
      </c>
      <c r="AB1911" t="str">
        <f t="shared" si="450"/>
        <v/>
      </c>
      <c r="AC1911">
        <f>IF($A1911="",0,IF(COUNTIF($A$2:$A1911,$A1911)=1,1,0))</f>
        <v>1</v>
      </c>
      <c r="AD1911">
        <f t="shared" si="451"/>
        <v>29</v>
      </c>
      <c r="AE1911" t="str">
        <f t="shared" si="452"/>
        <v>汇智国际商业中心|租金收缴率（%）</v>
      </c>
    </row>
    <row r="1912" spans="1:31" x14ac:dyDescent="0.4">
      <c r="A1912" t="str">
        <f>IF(原始经营数据!$D1913="","",原始经营数据!$D1913)</f>
        <v>华安中电浦软封闭式商业不动产证券投资基金</v>
      </c>
      <c r="B1912" t="str">
        <f>IF(原始经营数据!$D1913="","",T(原始经营数据!$E1913))</f>
        <v>汇智国际商业中心</v>
      </c>
      <c r="C1912" t="str">
        <f>IF(原始经营数据!$D1913="","",原始经营数据!$F1913)</f>
        <v>2023</v>
      </c>
      <c r="D1912" t="str">
        <f>IF(原始经营数据!$D1913="","",原始经营数据!$H1913)</f>
        <v>合同月租金</v>
      </c>
      <c r="E1912">
        <f>IF(原始经营数据!$D1913="","",原始经营数据!$I1913)</f>
        <v>122.7</v>
      </c>
      <c r="F1912" t="str">
        <f>IF(原始经营数据!$D1913="","",T(原始经营数据!$J1913))</f>
        <v>元/月/平方米</v>
      </c>
      <c r="G1912" t="str">
        <f>IF(原始经营数据!$D1913="","",T(原始经营数据!$K1913))</f>
        <v/>
      </c>
      <c r="H1912" t="str">
        <f>IF(原始经营数据!$D1913="","",原始经营数据!$G1913)</f>
        <v>服务价格</v>
      </c>
      <c r="I1912" t="str">
        <f>IF($A1912="","",IF($B1912&lt;&gt;"",$B1912,IF(COUNTIFS(原始经营数据!$D$3:$D$3001,$A1912,原始经营数据!$E$3:$E$3001,"",原始经营数据!$F$3:$F$3001,$C1912,原始经营数据!$H$3:$H$3001,$D1912,原始经营数据!$K$3:$K$3001,$G1912)&gt;1,"基金整体·来源"&amp;原始经营数据!$A1913,"基金整体")))</f>
        <v>汇智国际商业中心</v>
      </c>
      <c r="J1912" t="str">
        <f t="shared" si="438"/>
        <v>年度</v>
      </c>
      <c r="K1912" t="str">
        <f t="shared" si="439"/>
        <v>合同月租金（元/月/平方米）</v>
      </c>
      <c r="L1912" t="str">
        <f t="shared" si="440"/>
        <v>汇智国际商业中心|合同月租金（元/月/平方米）|年度</v>
      </c>
      <c r="M1912">
        <f>IF($A1912="",0,IF(COUNTIF($L$2:$L1912,$L1912)=1,1,0))</f>
        <v>1</v>
      </c>
      <c r="N1912">
        <f t="shared" si="441"/>
        <v>20230</v>
      </c>
      <c r="O1912" t="str">
        <f t="shared" si="442"/>
        <v>华安中电浦软封闭式商业不动产证券投资基金|2023|年度</v>
      </c>
      <c r="P1912">
        <f>IF($A1912="",0,IF(COUNTIF($O$2:$O1912,$O1912)=1,1,0))</f>
        <v>0</v>
      </c>
      <c r="Q1912" t="str">
        <f>IF(AND($P1912=1,$A1912=经营数据!$B$3,$J1912=经营数据!$BA$5),COUNTIFS($P$2:$P$3000,1,$A$2:$A$3000,$A1912,$J$2:$J$3000,$J1912,$N$2:$N$3000,"&lt;"&amp;$N1912)+1,"")</f>
        <v/>
      </c>
      <c r="R1912" t="str">
        <f t="shared" si="443"/>
        <v>华安中电浦软封闭式商业不动产证券投资基金|汇智国际商业中心</v>
      </c>
      <c r="S1912">
        <f>IF($A1912="",0,IF(COUNTIF($R$2:$R1912,$R1912)=1,1,0))</f>
        <v>0</v>
      </c>
      <c r="T1912">
        <f t="shared" si="444"/>
        <v>1910</v>
      </c>
      <c r="U1912" t="str">
        <f>IF($A1912="","",IF($A1912=经营数据!$B$3,COUNTIFS($S$2:$S$3000,1,$A$2:$A$3000,$A1912,$T$2:$T$3000,"&lt;"&amp;$T1912)+1,""))</f>
        <v/>
      </c>
      <c r="V1912" t="str">
        <f t="shared" si="445"/>
        <v>汇智国际商业中心|服务价格</v>
      </c>
      <c r="W1912">
        <f t="shared" si="446"/>
        <v>1911</v>
      </c>
      <c r="X1912" t="str">
        <f t="shared" si="447"/>
        <v>汇智国际商业中心|合同月租金</v>
      </c>
      <c r="Y1912">
        <f t="shared" si="448"/>
        <v>1911</v>
      </c>
      <c r="Z1912">
        <f>IF($A1912="",0,IF(AND($M1912=1,$A1912=经营数据!$B$3,$J1912=经营数据!$BA$5,OR($I1912=经营数据!$BA$4,COUNTIF(经营数据!$AA$9:$AA$38,$I1912)&gt;0)),1,0))</f>
        <v>0</v>
      </c>
      <c r="AA1912" t="str">
        <f t="shared" si="449"/>
        <v/>
      </c>
      <c r="AB1912" t="str">
        <f t="shared" si="450"/>
        <v/>
      </c>
      <c r="AC1912">
        <f>IF($A1912="",0,IF(COUNTIF($A$2:$A1912,$A1912)=1,1,0))</f>
        <v>0</v>
      </c>
      <c r="AD1912">
        <f t="shared" si="451"/>
        <v>29</v>
      </c>
      <c r="AE1912" t="str">
        <f t="shared" si="452"/>
        <v>汇智国际商业中心|合同月租金（元/月/平方米）</v>
      </c>
    </row>
    <row r="1913" spans="1:31" x14ac:dyDescent="0.4">
      <c r="A1913" t="str">
        <f>IF(原始经营数据!$D1914="","",原始经营数据!$D1914)</f>
        <v>华安中电浦软封闭式商业不动产证券投资基金</v>
      </c>
      <c r="B1913" t="str">
        <f>IF(原始经营数据!$D1914="","",T(原始经营数据!$E1914))</f>
        <v>汇智国际商业中心</v>
      </c>
      <c r="C1913" t="str">
        <f>IF(原始经营数据!$D1914="","",原始经营数据!$F1914)</f>
        <v>2023</v>
      </c>
      <c r="D1913" t="str">
        <f>IF(原始经营数据!$D1914="","",原始经营数据!$H1914)</f>
        <v>加权平均出租率</v>
      </c>
      <c r="E1913">
        <f>IF(原始经营数据!$D1914="","",原始经营数据!$I1914)</f>
        <v>92.17</v>
      </c>
      <c r="F1913" t="str">
        <f>IF(原始经营数据!$D1914="","",T(原始经营数据!$J1914))</f>
        <v>%</v>
      </c>
      <c r="G1913" t="str">
        <f>IF(原始经营数据!$D1914="","",T(原始经营数据!$K1914))</f>
        <v/>
      </c>
      <c r="H1913" t="str">
        <f>IF(原始经营数据!$D1914="","",原始经营数据!$G1914)</f>
        <v>服务效率</v>
      </c>
      <c r="I1913" t="str">
        <f>IF($A1913="","",IF($B1913&lt;&gt;"",$B1913,IF(COUNTIFS(原始经营数据!$D$3:$D$3001,$A1913,原始经营数据!$E$3:$E$3001,"",原始经营数据!$F$3:$F$3001,$C1913,原始经营数据!$H$3:$H$3001,$D1913,原始经营数据!$K$3:$K$3001,$G1913)&gt;1,"基金整体·来源"&amp;原始经营数据!$A1914,"基金整体")))</f>
        <v>汇智国际商业中心</v>
      </c>
      <c r="J1913" t="str">
        <f t="shared" si="438"/>
        <v>年度</v>
      </c>
      <c r="K1913" t="str">
        <f t="shared" si="439"/>
        <v>加权平均出租率（%）</v>
      </c>
      <c r="L1913" t="str">
        <f t="shared" si="440"/>
        <v>汇智国际商业中心|加权平均出租率（%）|年度</v>
      </c>
      <c r="M1913">
        <f>IF($A1913="",0,IF(COUNTIF($L$2:$L1913,$L1913)=1,1,0))</f>
        <v>1</v>
      </c>
      <c r="N1913">
        <f t="shared" si="441"/>
        <v>20230</v>
      </c>
      <c r="O1913" t="str">
        <f t="shared" si="442"/>
        <v>华安中电浦软封闭式商业不动产证券投资基金|2023|年度</v>
      </c>
      <c r="P1913">
        <f>IF($A1913="",0,IF(COUNTIF($O$2:$O1913,$O1913)=1,1,0))</f>
        <v>0</v>
      </c>
      <c r="Q1913" t="str">
        <f>IF(AND($P1913=1,$A1913=经营数据!$B$3,$J1913=经营数据!$BA$5),COUNTIFS($P$2:$P$3000,1,$A$2:$A$3000,$A1913,$J$2:$J$3000,$J1913,$N$2:$N$3000,"&lt;"&amp;$N1913)+1,"")</f>
        <v/>
      </c>
      <c r="R1913" t="str">
        <f t="shared" si="443"/>
        <v>华安中电浦软封闭式商业不动产证券投资基金|汇智国际商业中心</v>
      </c>
      <c r="S1913">
        <f>IF($A1913="",0,IF(COUNTIF($R$2:$R1913,$R1913)=1,1,0))</f>
        <v>0</v>
      </c>
      <c r="T1913">
        <f t="shared" si="444"/>
        <v>1910</v>
      </c>
      <c r="U1913" t="str">
        <f>IF($A1913="","",IF($A1913=经营数据!$B$3,COUNTIFS($S$2:$S$3000,1,$A$2:$A$3000,$A1913,$T$2:$T$3000,"&lt;"&amp;$T1913)+1,""))</f>
        <v/>
      </c>
      <c r="V1913" t="str">
        <f t="shared" si="445"/>
        <v>汇智国际商业中心|服务效率</v>
      </c>
      <c r="W1913">
        <f t="shared" si="446"/>
        <v>1910</v>
      </c>
      <c r="X1913" t="str">
        <f t="shared" si="447"/>
        <v>汇智国际商业中心|加权平均出租率</v>
      </c>
      <c r="Y1913">
        <f t="shared" si="448"/>
        <v>1912</v>
      </c>
      <c r="Z1913">
        <f>IF($A1913="",0,IF(AND($M1913=1,$A1913=经营数据!$B$3,$J1913=经营数据!$BA$5,OR($I1913=经营数据!$BA$4,COUNTIF(经营数据!$AA$9:$AA$38,$I1913)&gt;0)),1,0))</f>
        <v>0</v>
      </c>
      <c r="AA1913" t="str">
        <f t="shared" si="449"/>
        <v/>
      </c>
      <c r="AB1913" t="str">
        <f t="shared" si="450"/>
        <v/>
      </c>
      <c r="AC1913">
        <f>IF($A1913="",0,IF(COUNTIF($A$2:$A1913,$A1913)=1,1,0))</f>
        <v>0</v>
      </c>
      <c r="AD1913">
        <f t="shared" si="451"/>
        <v>29</v>
      </c>
      <c r="AE1913" t="str">
        <f t="shared" si="452"/>
        <v>汇智国际商业中心|加权平均出租率（%）</v>
      </c>
    </row>
    <row r="1914" spans="1:31" x14ac:dyDescent="0.4">
      <c r="A1914" t="str">
        <f>IF(原始经营数据!$D1915="","",原始经营数据!$D1915)</f>
        <v>华安中电浦软封闭式商业不动产证券投资基金</v>
      </c>
      <c r="B1914" t="str">
        <f>IF(原始经营数据!$D1915="","",T(原始经营数据!$E1915))</f>
        <v>汇智国际商业中心</v>
      </c>
      <c r="C1914" t="str">
        <f>IF(原始经营数据!$D1915="","",原始经营数据!$F1915)</f>
        <v>2023</v>
      </c>
      <c r="D1914" t="str">
        <f>IF(原始经营数据!$D1915="","",原始经营数据!$H1915)</f>
        <v>期末加权平均剩余租期</v>
      </c>
      <c r="E1914">
        <f>IF(原始经营数据!$D1915="","",原始经营数据!$I1915)</f>
        <v>6.05</v>
      </c>
      <c r="F1914" t="str">
        <f>IF(原始经营数据!$D1915="","",T(原始经营数据!$J1915))</f>
        <v>年</v>
      </c>
      <c r="G1914" t="str">
        <f>IF(原始经营数据!$D1915="","",T(原始经营数据!$K1915))</f>
        <v/>
      </c>
      <c r="H1914" t="str">
        <f>IF(原始经营数据!$D1915="","",原始经营数据!$G1915)</f>
        <v>服务量</v>
      </c>
      <c r="I1914" t="str">
        <f>IF($A1914="","",IF($B1914&lt;&gt;"",$B1914,IF(COUNTIFS(原始经营数据!$D$3:$D$3001,$A1914,原始经营数据!$E$3:$E$3001,"",原始经营数据!$F$3:$F$3001,$C1914,原始经营数据!$H$3:$H$3001,$D1914,原始经营数据!$K$3:$K$3001,$G1914)&gt;1,"基金整体·来源"&amp;原始经营数据!$A1915,"基金整体")))</f>
        <v>汇智国际商业中心</v>
      </c>
      <c r="J1914" t="str">
        <f t="shared" si="438"/>
        <v>年度</v>
      </c>
      <c r="K1914" t="str">
        <f t="shared" si="439"/>
        <v>期末加权平均剩余租期（年）</v>
      </c>
      <c r="L1914" t="str">
        <f t="shared" si="440"/>
        <v>汇智国际商业中心|期末加权平均剩余租期（年）|年度</v>
      </c>
      <c r="M1914">
        <f>IF($A1914="",0,IF(COUNTIF($L$2:$L1914,$L1914)=1,1,0))</f>
        <v>1</v>
      </c>
      <c r="N1914">
        <f t="shared" si="441"/>
        <v>20230</v>
      </c>
      <c r="O1914" t="str">
        <f t="shared" si="442"/>
        <v>华安中电浦软封闭式商业不动产证券投资基金|2023|年度</v>
      </c>
      <c r="P1914">
        <f>IF($A1914="",0,IF(COUNTIF($O$2:$O1914,$O1914)=1,1,0))</f>
        <v>0</v>
      </c>
      <c r="Q1914" t="str">
        <f>IF(AND($P1914=1,$A1914=经营数据!$B$3,$J1914=经营数据!$BA$5),COUNTIFS($P$2:$P$3000,1,$A$2:$A$3000,$A1914,$J$2:$J$3000,$J1914,$N$2:$N$3000,"&lt;"&amp;$N1914)+1,"")</f>
        <v/>
      </c>
      <c r="R1914" t="str">
        <f t="shared" si="443"/>
        <v>华安中电浦软封闭式商业不动产证券投资基金|汇智国际商业中心</v>
      </c>
      <c r="S1914">
        <f>IF($A1914="",0,IF(COUNTIF($R$2:$R1914,$R1914)=1,1,0))</f>
        <v>0</v>
      </c>
      <c r="T1914">
        <f t="shared" si="444"/>
        <v>1910</v>
      </c>
      <c r="U1914" t="str">
        <f>IF($A1914="","",IF($A1914=经营数据!$B$3,COUNTIFS($S$2:$S$3000,1,$A$2:$A$3000,$A1914,$T$2:$T$3000,"&lt;"&amp;$T1914)+1,""))</f>
        <v/>
      </c>
      <c r="V1914" t="str">
        <f t="shared" si="445"/>
        <v>汇智国际商业中心|服务量</v>
      </c>
      <c r="W1914">
        <f t="shared" si="446"/>
        <v>1913</v>
      </c>
      <c r="X1914" t="str">
        <f t="shared" si="447"/>
        <v>汇智国际商业中心|期末加权平均剩余租期</v>
      </c>
      <c r="Y1914">
        <f t="shared" si="448"/>
        <v>1913</v>
      </c>
      <c r="Z1914">
        <f>IF($A1914="",0,IF(AND($M1914=1,$A1914=经营数据!$B$3,$J1914=经营数据!$BA$5,OR($I1914=经营数据!$BA$4,COUNTIF(经营数据!$AA$9:$AA$38,$I1914)&gt;0)),1,0))</f>
        <v>0</v>
      </c>
      <c r="AA1914" t="str">
        <f t="shared" si="449"/>
        <v/>
      </c>
      <c r="AB1914" t="str">
        <f t="shared" si="450"/>
        <v/>
      </c>
      <c r="AC1914">
        <f>IF($A1914="",0,IF(COUNTIF($A$2:$A1914,$A1914)=1,1,0))</f>
        <v>0</v>
      </c>
      <c r="AD1914">
        <f t="shared" si="451"/>
        <v>29</v>
      </c>
      <c r="AE1914" t="str">
        <f t="shared" si="452"/>
        <v>汇智国际商业中心|期末加权平均剩余租期（年）</v>
      </c>
    </row>
    <row r="1915" spans="1:31" x14ac:dyDescent="0.4">
      <c r="A1915" t="str">
        <f>IF(原始经营数据!$D1916="","",原始经营数据!$D1916)</f>
        <v>华安中电浦软封闭式商业不动产证券投资基金</v>
      </c>
      <c r="B1915" t="str">
        <f>IF(原始经营数据!$D1916="","",T(原始经营数据!$E1916))</f>
        <v>汇智国际商业中心</v>
      </c>
      <c r="C1915" t="str">
        <f>IF(原始经营数据!$D1916="","",原始经营数据!$F1916)</f>
        <v>2023</v>
      </c>
      <c r="D1915" t="str">
        <f>IF(原始经营数据!$D1916="","",原始经营数据!$H1916)</f>
        <v>期末出租率</v>
      </c>
      <c r="E1915">
        <f>IF(原始经营数据!$D1916="","",原始经营数据!$I1916)</f>
        <v>94.56</v>
      </c>
      <c r="F1915" t="str">
        <f>IF(原始经营数据!$D1916="","",T(原始经营数据!$J1916))</f>
        <v>%</v>
      </c>
      <c r="G1915" t="str">
        <f>IF(原始经营数据!$D1916="","",T(原始经营数据!$K1916))</f>
        <v/>
      </c>
      <c r="H1915" t="str">
        <f>IF(原始经营数据!$D1916="","",原始经营数据!$G1916)</f>
        <v>服务效率</v>
      </c>
      <c r="I1915" t="str">
        <f>IF($A1915="","",IF($B1915&lt;&gt;"",$B1915,IF(COUNTIFS(原始经营数据!$D$3:$D$3001,$A1915,原始经营数据!$E$3:$E$3001,"",原始经营数据!$F$3:$F$3001,$C1915,原始经营数据!$H$3:$H$3001,$D1915,原始经营数据!$K$3:$K$3001,$G1915)&gt;1,"基金整体·来源"&amp;原始经营数据!$A1916,"基金整体")))</f>
        <v>汇智国际商业中心</v>
      </c>
      <c r="J1915" t="str">
        <f t="shared" si="438"/>
        <v>年度</v>
      </c>
      <c r="K1915" t="str">
        <f t="shared" si="439"/>
        <v>期末出租率（%）</v>
      </c>
      <c r="L1915" t="str">
        <f t="shared" si="440"/>
        <v>汇智国际商业中心|期末出租率（%）|年度</v>
      </c>
      <c r="M1915">
        <f>IF($A1915="",0,IF(COUNTIF($L$2:$L1915,$L1915)=1,1,0))</f>
        <v>1</v>
      </c>
      <c r="N1915">
        <f t="shared" si="441"/>
        <v>20230</v>
      </c>
      <c r="O1915" t="str">
        <f t="shared" si="442"/>
        <v>华安中电浦软封闭式商业不动产证券投资基金|2023|年度</v>
      </c>
      <c r="P1915">
        <f>IF($A1915="",0,IF(COUNTIF($O$2:$O1915,$O1915)=1,1,0))</f>
        <v>0</v>
      </c>
      <c r="Q1915" t="str">
        <f>IF(AND($P1915=1,$A1915=经营数据!$B$3,$J1915=经营数据!$BA$5),COUNTIFS($P$2:$P$3000,1,$A$2:$A$3000,$A1915,$J$2:$J$3000,$J1915,$N$2:$N$3000,"&lt;"&amp;$N1915)+1,"")</f>
        <v/>
      </c>
      <c r="R1915" t="str">
        <f t="shared" si="443"/>
        <v>华安中电浦软封闭式商业不动产证券投资基金|汇智国际商业中心</v>
      </c>
      <c r="S1915">
        <f>IF($A1915="",0,IF(COUNTIF($R$2:$R1915,$R1915)=1,1,0))</f>
        <v>0</v>
      </c>
      <c r="T1915">
        <f t="shared" si="444"/>
        <v>1910</v>
      </c>
      <c r="U1915" t="str">
        <f>IF($A1915="","",IF($A1915=经营数据!$B$3,COUNTIFS($S$2:$S$3000,1,$A$2:$A$3000,$A1915,$T$2:$T$3000,"&lt;"&amp;$T1915)+1,""))</f>
        <v/>
      </c>
      <c r="V1915" t="str">
        <f t="shared" si="445"/>
        <v>汇智国际商业中心|服务效率</v>
      </c>
      <c r="W1915">
        <f t="shared" si="446"/>
        <v>1910</v>
      </c>
      <c r="X1915" t="str">
        <f t="shared" si="447"/>
        <v>汇智国际商业中心|期末出租率</v>
      </c>
      <c r="Y1915">
        <f t="shared" si="448"/>
        <v>1914</v>
      </c>
      <c r="Z1915">
        <f>IF($A1915="",0,IF(AND($M1915=1,$A1915=经营数据!$B$3,$J1915=经营数据!$BA$5,OR($I1915=经营数据!$BA$4,COUNTIF(经营数据!$AA$9:$AA$38,$I1915)&gt;0)),1,0))</f>
        <v>0</v>
      </c>
      <c r="AA1915" t="str">
        <f t="shared" si="449"/>
        <v/>
      </c>
      <c r="AB1915" t="str">
        <f t="shared" si="450"/>
        <v/>
      </c>
      <c r="AC1915">
        <f>IF($A1915="",0,IF(COUNTIF($A$2:$A1915,$A1915)=1,1,0))</f>
        <v>0</v>
      </c>
      <c r="AD1915">
        <f t="shared" si="451"/>
        <v>29</v>
      </c>
      <c r="AE1915" t="str">
        <f t="shared" si="452"/>
        <v>汇智国际商业中心|期末出租率（%）</v>
      </c>
    </row>
    <row r="1916" spans="1:31" x14ac:dyDescent="0.4">
      <c r="A1916" t="str">
        <f>IF(原始经营数据!$D1917="","",原始经营数据!$D1917)</f>
        <v>华安中电浦软封闭式商业不动产证券投资基金</v>
      </c>
      <c r="B1916" t="str">
        <f>IF(原始经营数据!$D1917="","",T(原始经营数据!$E1917))</f>
        <v>汇智国际商业中心</v>
      </c>
      <c r="C1916" t="str">
        <f>IF(原始经营数据!$D1917="","",原始经营数据!$F1917)</f>
        <v>2024</v>
      </c>
      <c r="D1916" t="str">
        <f>IF(原始经营数据!$D1917="","",原始经营数据!$H1917)</f>
        <v>租金收缴率</v>
      </c>
      <c r="E1916">
        <f>IF(原始经营数据!$D1917="","",原始经营数据!$I1917)</f>
        <v>100</v>
      </c>
      <c r="F1916" t="str">
        <f>IF(原始经营数据!$D1917="","",T(原始经营数据!$J1917))</f>
        <v>%</v>
      </c>
      <c r="G1916" t="str">
        <f>IF(原始经营数据!$D1917="","",T(原始经营数据!$K1917))</f>
        <v/>
      </c>
      <c r="H1916" t="str">
        <f>IF(原始经营数据!$D1917="","",原始经营数据!$G1917)</f>
        <v>服务效率</v>
      </c>
      <c r="I1916" t="str">
        <f>IF($A1916="","",IF($B1916&lt;&gt;"",$B1916,IF(COUNTIFS(原始经营数据!$D$3:$D$3001,$A1916,原始经营数据!$E$3:$E$3001,"",原始经营数据!$F$3:$F$3001,$C1916,原始经营数据!$H$3:$H$3001,$D1916,原始经营数据!$K$3:$K$3001,$G1916)&gt;1,"基金整体·来源"&amp;原始经营数据!$A1917,"基金整体")))</f>
        <v>汇智国际商业中心</v>
      </c>
      <c r="J1916" t="str">
        <f t="shared" si="438"/>
        <v>年度</v>
      </c>
      <c r="K1916" t="str">
        <f t="shared" si="439"/>
        <v>租金收缴率（%）</v>
      </c>
      <c r="L1916" t="str">
        <f t="shared" si="440"/>
        <v>汇智国际商业中心|租金收缴率（%）|年度</v>
      </c>
      <c r="M1916">
        <f>IF($A1916="",0,IF(COUNTIF($L$2:$L1916,$L1916)=1,1,0))</f>
        <v>0</v>
      </c>
      <c r="N1916">
        <f t="shared" si="441"/>
        <v>20240</v>
      </c>
      <c r="O1916" t="str">
        <f t="shared" si="442"/>
        <v>华安中电浦软封闭式商业不动产证券投资基金|2024|年度</v>
      </c>
      <c r="P1916">
        <f>IF($A1916="",0,IF(COUNTIF($O$2:$O1916,$O1916)=1,1,0))</f>
        <v>1</v>
      </c>
      <c r="Q1916" t="str">
        <f>IF(AND($P1916=1,$A1916=经营数据!$B$3,$J1916=经营数据!$BA$5),COUNTIFS($P$2:$P$3000,1,$A$2:$A$3000,$A1916,$J$2:$J$3000,$J1916,$N$2:$N$3000,"&lt;"&amp;$N1916)+1,"")</f>
        <v/>
      </c>
      <c r="R1916" t="str">
        <f t="shared" si="443"/>
        <v>华安中电浦软封闭式商业不动产证券投资基金|汇智国际商业中心</v>
      </c>
      <c r="S1916">
        <f>IF($A1916="",0,IF(COUNTIF($R$2:$R1916,$R1916)=1,1,0))</f>
        <v>0</v>
      </c>
      <c r="T1916">
        <f t="shared" si="444"/>
        <v>1910</v>
      </c>
      <c r="U1916" t="str">
        <f>IF($A1916="","",IF($A1916=经营数据!$B$3,COUNTIFS($S$2:$S$3000,1,$A$2:$A$3000,$A1916,$T$2:$T$3000,"&lt;"&amp;$T1916)+1,""))</f>
        <v/>
      </c>
      <c r="V1916" t="str">
        <f t="shared" si="445"/>
        <v>汇智国际商业中心|服务效率</v>
      </c>
      <c r="W1916">
        <f t="shared" si="446"/>
        <v>1910</v>
      </c>
      <c r="X1916" t="str">
        <f t="shared" si="447"/>
        <v>汇智国际商业中心|租金收缴率</v>
      </c>
      <c r="Y1916">
        <f t="shared" si="448"/>
        <v>1910</v>
      </c>
      <c r="Z1916">
        <f>IF($A1916="",0,IF(AND($M1916=1,$A1916=经营数据!$B$3,$J1916=经营数据!$BA$5,OR($I1916=经营数据!$BA$4,COUNTIF(经营数据!$AA$9:$AA$38,$I1916)&gt;0)),1,0))</f>
        <v>0</v>
      </c>
      <c r="AA1916" t="str">
        <f t="shared" si="449"/>
        <v/>
      </c>
      <c r="AB1916" t="str">
        <f t="shared" si="450"/>
        <v/>
      </c>
      <c r="AC1916">
        <f>IF($A1916="",0,IF(COUNTIF($A$2:$A1916,$A1916)=1,1,0))</f>
        <v>0</v>
      </c>
      <c r="AD1916">
        <f t="shared" si="451"/>
        <v>29</v>
      </c>
      <c r="AE1916" t="str">
        <f t="shared" si="452"/>
        <v>汇智国际商业中心|租金收缴率（%）</v>
      </c>
    </row>
    <row r="1917" spans="1:31" x14ac:dyDescent="0.4">
      <c r="A1917" t="str">
        <f>IF(原始经营数据!$D1918="","",原始经营数据!$D1918)</f>
        <v>华安中电浦软封闭式商业不动产证券投资基金</v>
      </c>
      <c r="B1917" t="str">
        <f>IF(原始经营数据!$D1918="","",T(原始经营数据!$E1918))</f>
        <v>汇智国际商业中心</v>
      </c>
      <c r="C1917" t="str">
        <f>IF(原始经营数据!$D1918="","",原始经营数据!$F1918)</f>
        <v>2024</v>
      </c>
      <c r="D1917" t="str">
        <f>IF(原始经营数据!$D1918="","",原始经营数据!$H1918)</f>
        <v>合同月租金</v>
      </c>
      <c r="E1917">
        <f>IF(原始经营数据!$D1918="","",原始经营数据!$I1918)</f>
        <v>123.41</v>
      </c>
      <c r="F1917" t="str">
        <f>IF(原始经营数据!$D1918="","",T(原始经营数据!$J1918))</f>
        <v>元/月/平方米</v>
      </c>
      <c r="G1917" t="str">
        <f>IF(原始经营数据!$D1918="","",T(原始经营数据!$K1918))</f>
        <v/>
      </c>
      <c r="H1917" t="str">
        <f>IF(原始经营数据!$D1918="","",原始经营数据!$G1918)</f>
        <v>服务价格</v>
      </c>
      <c r="I1917" t="str">
        <f>IF($A1917="","",IF($B1917&lt;&gt;"",$B1917,IF(COUNTIFS(原始经营数据!$D$3:$D$3001,$A1917,原始经营数据!$E$3:$E$3001,"",原始经营数据!$F$3:$F$3001,$C1917,原始经营数据!$H$3:$H$3001,$D1917,原始经营数据!$K$3:$K$3001,$G1917)&gt;1,"基金整体·来源"&amp;原始经营数据!$A1918,"基金整体")))</f>
        <v>汇智国际商业中心</v>
      </c>
      <c r="J1917" t="str">
        <f t="shared" si="438"/>
        <v>年度</v>
      </c>
      <c r="K1917" t="str">
        <f t="shared" si="439"/>
        <v>合同月租金（元/月/平方米）</v>
      </c>
      <c r="L1917" t="str">
        <f t="shared" si="440"/>
        <v>汇智国际商业中心|合同月租金（元/月/平方米）|年度</v>
      </c>
      <c r="M1917">
        <f>IF($A1917="",0,IF(COUNTIF($L$2:$L1917,$L1917)=1,1,0))</f>
        <v>0</v>
      </c>
      <c r="N1917">
        <f t="shared" si="441"/>
        <v>20240</v>
      </c>
      <c r="O1917" t="str">
        <f t="shared" si="442"/>
        <v>华安中电浦软封闭式商业不动产证券投资基金|2024|年度</v>
      </c>
      <c r="P1917">
        <f>IF($A1917="",0,IF(COUNTIF($O$2:$O1917,$O1917)=1,1,0))</f>
        <v>0</v>
      </c>
      <c r="Q1917" t="str">
        <f>IF(AND($P1917=1,$A1917=经营数据!$B$3,$J1917=经营数据!$BA$5),COUNTIFS($P$2:$P$3000,1,$A$2:$A$3000,$A1917,$J$2:$J$3000,$J1917,$N$2:$N$3000,"&lt;"&amp;$N1917)+1,"")</f>
        <v/>
      </c>
      <c r="R1917" t="str">
        <f t="shared" si="443"/>
        <v>华安中电浦软封闭式商业不动产证券投资基金|汇智国际商业中心</v>
      </c>
      <c r="S1917">
        <f>IF($A1917="",0,IF(COUNTIF($R$2:$R1917,$R1917)=1,1,0))</f>
        <v>0</v>
      </c>
      <c r="T1917">
        <f t="shared" si="444"/>
        <v>1910</v>
      </c>
      <c r="U1917" t="str">
        <f>IF($A1917="","",IF($A1917=经营数据!$B$3,COUNTIFS($S$2:$S$3000,1,$A$2:$A$3000,$A1917,$T$2:$T$3000,"&lt;"&amp;$T1917)+1,""))</f>
        <v/>
      </c>
      <c r="V1917" t="str">
        <f t="shared" si="445"/>
        <v>汇智国际商业中心|服务价格</v>
      </c>
      <c r="W1917">
        <f t="shared" si="446"/>
        <v>1911</v>
      </c>
      <c r="X1917" t="str">
        <f t="shared" si="447"/>
        <v>汇智国际商业中心|合同月租金</v>
      </c>
      <c r="Y1917">
        <f t="shared" si="448"/>
        <v>1911</v>
      </c>
      <c r="Z1917">
        <f>IF($A1917="",0,IF(AND($M1917=1,$A1917=经营数据!$B$3,$J1917=经营数据!$BA$5,OR($I1917=经营数据!$BA$4,COUNTIF(经营数据!$AA$9:$AA$38,$I1917)&gt;0)),1,0))</f>
        <v>0</v>
      </c>
      <c r="AA1917" t="str">
        <f t="shared" si="449"/>
        <v/>
      </c>
      <c r="AB1917" t="str">
        <f t="shared" si="450"/>
        <v/>
      </c>
      <c r="AC1917">
        <f>IF($A1917="",0,IF(COUNTIF($A$2:$A1917,$A1917)=1,1,0))</f>
        <v>0</v>
      </c>
      <c r="AD1917">
        <f t="shared" si="451"/>
        <v>29</v>
      </c>
      <c r="AE1917" t="str">
        <f t="shared" si="452"/>
        <v>汇智国际商业中心|合同月租金（元/月/平方米）</v>
      </c>
    </row>
    <row r="1918" spans="1:31" x14ac:dyDescent="0.4">
      <c r="A1918" t="str">
        <f>IF(原始经营数据!$D1919="","",原始经营数据!$D1919)</f>
        <v>华安中电浦软封闭式商业不动产证券投资基金</v>
      </c>
      <c r="B1918" t="str">
        <f>IF(原始经营数据!$D1919="","",T(原始经营数据!$E1919))</f>
        <v>汇智国际商业中心</v>
      </c>
      <c r="C1918" t="str">
        <f>IF(原始经营数据!$D1919="","",原始经营数据!$F1919)</f>
        <v>2024</v>
      </c>
      <c r="D1918" t="str">
        <f>IF(原始经营数据!$D1919="","",原始经营数据!$H1919)</f>
        <v>期末加权平均剩余租期</v>
      </c>
      <c r="E1918">
        <f>IF(原始经营数据!$D1919="","",原始经营数据!$I1919)</f>
        <v>6.36</v>
      </c>
      <c r="F1918" t="str">
        <f>IF(原始经营数据!$D1919="","",T(原始经营数据!$J1919))</f>
        <v>年</v>
      </c>
      <c r="G1918" t="str">
        <f>IF(原始经营数据!$D1919="","",T(原始经营数据!$K1919))</f>
        <v/>
      </c>
      <c r="H1918" t="str">
        <f>IF(原始经营数据!$D1919="","",原始经营数据!$G1919)</f>
        <v>服务量</v>
      </c>
      <c r="I1918" t="str">
        <f>IF($A1918="","",IF($B1918&lt;&gt;"",$B1918,IF(COUNTIFS(原始经营数据!$D$3:$D$3001,$A1918,原始经营数据!$E$3:$E$3001,"",原始经营数据!$F$3:$F$3001,$C1918,原始经营数据!$H$3:$H$3001,$D1918,原始经营数据!$K$3:$K$3001,$G1918)&gt;1,"基金整体·来源"&amp;原始经营数据!$A1919,"基金整体")))</f>
        <v>汇智国际商业中心</v>
      </c>
      <c r="J1918" t="str">
        <f t="shared" si="438"/>
        <v>年度</v>
      </c>
      <c r="K1918" t="str">
        <f t="shared" si="439"/>
        <v>期末加权平均剩余租期（年）</v>
      </c>
      <c r="L1918" t="str">
        <f t="shared" si="440"/>
        <v>汇智国际商业中心|期末加权平均剩余租期（年）|年度</v>
      </c>
      <c r="M1918">
        <f>IF($A1918="",0,IF(COUNTIF($L$2:$L1918,$L1918)=1,1,0))</f>
        <v>0</v>
      </c>
      <c r="N1918">
        <f t="shared" si="441"/>
        <v>20240</v>
      </c>
      <c r="O1918" t="str">
        <f t="shared" si="442"/>
        <v>华安中电浦软封闭式商业不动产证券投资基金|2024|年度</v>
      </c>
      <c r="P1918">
        <f>IF($A1918="",0,IF(COUNTIF($O$2:$O1918,$O1918)=1,1,0))</f>
        <v>0</v>
      </c>
      <c r="Q1918" t="str">
        <f>IF(AND($P1918=1,$A1918=经营数据!$B$3,$J1918=经营数据!$BA$5),COUNTIFS($P$2:$P$3000,1,$A$2:$A$3000,$A1918,$J$2:$J$3000,$J1918,$N$2:$N$3000,"&lt;"&amp;$N1918)+1,"")</f>
        <v/>
      </c>
      <c r="R1918" t="str">
        <f t="shared" si="443"/>
        <v>华安中电浦软封闭式商业不动产证券投资基金|汇智国际商业中心</v>
      </c>
      <c r="S1918">
        <f>IF($A1918="",0,IF(COUNTIF($R$2:$R1918,$R1918)=1,1,0))</f>
        <v>0</v>
      </c>
      <c r="T1918">
        <f t="shared" si="444"/>
        <v>1910</v>
      </c>
      <c r="U1918" t="str">
        <f>IF($A1918="","",IF($A1918=经营数据!$B$3,COUNTIFS($S$2:$S$3000,1,$A$2:$A$3000,$A1918,$T$2:$T$3000,"&lt;"&amp;$T1918)+1,""))</f>
        <v/>
      </c>
      <c r="V1918" t="str">
        <f t="shared" si="445"/>
        <v>汇智国际商业中心|服务量</v>
      </c>
      <c r="W1918">
        <f t="shared" si="446"/>
        <v>1913</v>
      </c>
      <c r="X1918" t="str">
        <f t="shared" si="447"/>
        <v>汇智国际商业中心|期末加权平均剩余租期</v>
      </c>
      <c r="Y1918">
        <f t="shared" si="448"/>
        <v>1913</v>
      </c>
      <c r="Z1918">
        <f>IF($A1918="",0,IF(AND($M1918=1,$A1918=经营数据!$B$3,$J1918=经营数据!$BA$5,OR($I1918=经营数据!$BA$4,COUNTIF(经营数据!$AA$9:$AA$38,$I1918)&gt;0)),1,0))</f>
        <v>0</v>
      </c>
      <c r="AA1918" t="str">
        <f t="shared" si="449"/>
        <v/>
      </c>
      <c r="AB1918" t="str">
        <f t="shared" si="450"/>
        <v/>
      </c>
      <c r="AC1918">
        <f>IF($A1918="",0,IF(COUNTIF($A$2:$A1918,$A1918)=1,1,0))</f>
        <v>0</v>
      </c>
      <c r="AD1918">
        <f t="shared" si="451"/>
        <v>29</v>
      </c>
      <c r="AE1918" t="str">
        <f t="shared" si="452"/>
        <v>汇智国际商业中心|期末加权平均剩余租期（年）</v>
      </c>
    </row>
    <row r="1919" spans="1:31" x14ac:dyDescent="0.4">
      <c r="A1919" t="str">
        <f>IF(原始经营数据!$D1920="","",原始经营数据!$D1920)</f>
        <v>华安中电浦软封闭式商业不动产证券投资基金</v>
      </c>
      <c r="B1919" t="str">
        <f>IF(原始经营数据!$D1920="","",T(原始经营数据!$E1920))</f>
        <v>汇智国际商业中心</v>
      </c>
      <c r="C1919" t="str">
        <f>IF(原始经营数据!$D1920="","",原始经营数据!$F1920)</f>
        <v>2024</v>
      </c>
      <c r="D1919" t="str">
        <f>IF(原始经营数据!$D1920="","",原始经营数据!$H1920)</f>
        <v>加权平均出租率</v>
      </c>
      <c r="E1919">
        <f>IF(原始经营数据!$D1920="","",原始经营数据!$I1920)</f>
        <v>96.72</v>
      </c>
      <c r="F1919" t="str">
        <f>IF(原始经营数据!$D1920="","",T(原始经营数据!$J1920))</f>
        <v>%</v>
      </c>
      <c r="G1919" t="str">
        <f>IF(原始经营数据!$D1920="","",T(原始经营数据!$K1920))</f>
        <v/>
      </c>
      <c r="H1919" t="str">
        <f>IF(原始经营数据!$D1920="","",原始经营数据!$G1920)</f>
        <v>服务效率</v>
      </c>
      <c r="I1919" t="str">
        <f>IF($A1919="","",IF($B1919&lt;&gt;"",$B1919,IF(COUNTIFS(原始经营数据!$D$3:$D$3001,$A1919,原始经营数据!$E$3:$E$3001,"",原始经营数据!$F$3:$F$3001,$C1919,原始经营数据!$H$3:$H$3001,$D1919,原始经营数据!$K$3:$K$3001,$G1919)&gt;1,"基金整体·来源"&amp;原始经营数据!$A1920,"基金整体")))</f>
        <v>汇智国际商业中心</v>
      </c>
      <c r="J1919" t="str">
        <f t="shared" si="438"/>
        <v>年度</v>
      </c>
      <c r="K1919" t="str">
        <f t="shared" si="439"/>
        <v>加权平均出租率（%）</v>
      </c>
      <c r="L1919" t="str">
        <f t="shared" si="440"/>
        <v>汇智国际商业中心|加权平均出租率（%）|年度</v>
      </c>
      <c r="M1919">
        <f>IF($A1919="",0,IF(COUNTIF($L$2:$L1919,$L1919)=1,1,0))</f>
        <v>0</v>
      </c>
      <c r="N1919">
        <f t="shared" si="441"/>
        <v>20240</v>
      </c>
      <c r="O1919" t="str">
        <f t="shared" si="442"/>
        <v>华安中电浦软封闭式商业不动产证券投资基金|2024|年度</v>
      </c>
      <c r="P1919">
        <f>IF($A1919="",0,IF(COUNTIF($O$2:$O1919,$O1919)=1,1,0))</f>
        <v>0</v>
      </c>
      <c r="Q1919" t="str">
        <f>IF(AND($P1919=1,$A1919=经营数据!$B$3,$J1919=经营数据!$BA$5),COUNTIFS($P$2:$P$3000,1,$A$2:$A$3000,$A1919,$J$2:$J$3000,$J1919,$N$2:$N$3000,"&lt;"&amp;$N1919)+1,"")</f>
        <v/>
      </c>
      <c r="R1919" t="str">
        <f t="shared" si="443"/>
        <v>华安中电浦软封闭式商业不动产证券投资基金|汇智国际商业中心</v>
      </c>
      <c r="S1919">
        <f>IF($A1919="",0,IF(COUNTIF($R$2:$R1919,$R1919)=1,1,0))</f>
        <v>0</v>
      </c>
      <c r="T1919">
        <f t="shared" si="444"/>
        <v>1910</v>
      </c>
      <c r="U1919" t="str">
        <f>IF($A1919="","",IF($A1919=经营数据!$B$3,COUNTIFS($S$2:$S$3000,1,$A$2:$A$3000,$A1919,$T$2:$T$3000,"&lt;"&amp;$T1919)+1,""))</f>
        <v/>
      </c>
      <c r="V1919" t="str">
        <f t="shared" si="445"/>
        <v>汇智国际商业中心|服务效率</v>
      </c>
      <c r="W1919">
        <f t="shared" si="446"/>
        <v>1910</v>
      </c>
      <c r="X1919" t="str">
        <f t="shared" si="447"/>
        <v>汇智国际商业中心|加权平均出租率</v>
      </c>
      <c r="Y1919">
        <f t="shared" si="448"/>
        <v>1912</v>
      </c>
      <c r="Z1919">
        <f>IF($A1919="",0,IF(AND($M1919=1,$A1919=经营数据!$B$3,$J1919=经营数据!$BA$5,OR($I1919=经营数据!$BA$4,COUNTIF(经营数据!$AA$9:$AA$38,$I1919)&gt;0)),1,0))</f>
        <v>0</v>
      </c>
      <c r="AA1919" t="str">
        <f t="shared" si="449"/>
        <v/>
      </c>
      <c r="AB1919" t="str">
        <f t="shared" si="450"/>
        <v/>
      </c>
      <c r="AC1919">
        <f>IF($A1919="",0,IF(COUNTIF($A$2:$A1919,$A1919)=1,1,0))</f>
        <v>0</v>
      </c>
      <c r="AD1919">
        <f t="shared" si="451"/>
        <v>29</v>
      </c>
      <c r="AE1919" t="str">
        <f t="shared" si="452"/>
        <v>汇智国际商业中心|加权平均出租率（%）</v>
      </c>
    </row>
    <row r="1920" spans="1:31" x14ac:dyDescent="0.4">
      <c r="A1920" t="str">
        <f>IF(原始经营数据!$D1921="","",原始经营数据!$D1921)</f>
        <v>华安中电浦软封闭式商业不动产证券投资基金</v>
      </c>
      <c r="B1920" t="str">
        <f>IF(原始经营数据!$D1921="","",T(原始经营数据!$E1921))</f>
        <v>汇智国际商业中心</v>
      </c>
      <c r="C1920" t="str">
        <f>IF(原始经营数据!$D1921="","",原始经营数据!$F1921)</f>
        <v>2024</v>
      </c>
      <c r="D1920" t="str">
        <f>IF(原始经营数据!$D1921="","",原始经营数据!$H1921)</f>
        <v>期末出租率</v>
      </c>
      <c r="E1920">
        <f>IF(原始经营数据!$D1921="","",原始经营数据!$I1921)</f>
        <v>96.67</v>
      </c>
      <c r="F1920" t="str">
        <f>IF(原始经营数据!$D1921="","",T(原始经营数据!$J1921))</f>
        <v>%</v>
      </c>
      <c r="G1920" t="str">
        <f>IF(原始经营数据!$D1921="","",T(原始经营数据!$K1921))</f>
        <v/>
      </c>
      <c r="H1920" t="str">
        <f>IF(原始经营数据!$D1921="","",原始经营数据!$G1921)</f>
        <v>服务效率</v>
      </c>
      <c r="I1920" t="str">
        <f>IF($A1920="","",IF($B1920&lt;&gt;"",$B1920,IF(COUNTIFS(原始经营数据!$D$3:$D$3001,$A1920,原始经营数据!$E$3:$E$3001,"",原始经营数据!$F$3:$F$3001,$C1920,原始经营数据!$H$3:$H$3001,$D1920,原始经营数据!$K$3:$K$3001,$G1920)&gt;1,"基金整体·来源"&amp;原始经营数据!$A1921,"基金整体")))</f>
        <v>汇智国际商业中心</v>
      </c>
      <c r="J1920" t="str">
        <f t="shared" si="438"/>
        <v>年度</v>
      </c>
      <c r="K1920" t="str">
        <f t="shared" si="439"/>
        <v>期末出租率（%）</v>
      </c>
      <c r="L1920" t="str">
        <f t="shared" si="440"/>
        <v>汇智国际商业中心|期末出租率（%）|年度</v>
      </c>
      <c r="M1920">
        <f>IF($A1920="",0,IF(COUNTIF($L$2:$L1920,$L1920)=1,1,0))</f>
        <v>0</v>
      </c>
      <c r="N1920">
        <f t="shared" si="441"/>
        <v>20240</v>
      </c>
      <c r="O1920" t="str">
        <f t="shared" si="442"/>
        <v>华安中电浦软封闭式商业不动产证券投资基金|2024|年度</v>
      </c>
      <c r="P1920">
        <f>IF($A1920="",0,IF(COUNTIF($O$2:$O1920,$O1920)=1,1,0))</f>
        <v>0</v>
      </c>
      <c r="Q1920" t="str">
        <f>IF(AND($P1920=1,$A1920=经营数据!$B$3,$J1920=经营数据!$BA$5),COUNTIFS($P$2:$P$3000,1,$A$2:$A$3000,$A1920,$J$2:$J$3000,$J1920,$N$2:$N$3000,"&lt;"&amp;$N1920)+1,"")</f>
        <v/>
      </c>
      <c r="R1920" t="str">
        <f t="shared" si="443"/>
        <v>华安中电浦软封闭式商业不动产证券投资基金|汇智国际商业中心</v>
      </c>
      <c r="S1920">
        <f>IF($A1920="",0,IF(COUNTIF($R$2:$R1920,$R1920)=1,1,0))</f>
        <v>0</v>
      </c>
      <c r="T1920">
        <f t="shared" si="444"/>
        <v>1910</v>
      </c>
      <c r="U1920" t="str">
        <f>IF($A1920="","",IF($A1920=经营数据!$B$3,COUNTIFS($S$2:$S$3000,1,$A$2:$A$3000,$A1920,$T$2:$T$3000,"&lt;"&amp;$T1920)+1,""))</f>
        <v/>
      </c>
      <c r="V1920" t="str">
        <f t="shared" si="445"/>
        <v>汇智国际商业中心|服务效率</v>
      </c>
      <c r="W1920">
        <f t="shared" si="446"/>
        <v>1910</v>
      </c>
      <c r="X1920" t="str">
        <f t="shared" si="447"/>
        <v>汇智国际商业中心|期末出租率</v>
      </c>
      <c r="Y1920">
        <f t="shared" si="448"/>
        <v>1914</v>
      </c>
      <c r="Z1920">
        <f>IF($A1920="",0,IF(AND($M1920=1,$A1920=经营数据!$B$3,$J1920=经营数据!$BA$5,OR($I1920=经营数据!$BA$4,COUNTIF(经营数据!$AA$9:$AA$38,$I1920)&gt;0)),1,0))</f>
        <v>0</v>
      </c>
      <c r="AA1920" t="str">
        <f t="shared" si="449"/>
        <v/>
      </c>
      <c r="AB1920" t="str">
        <f t="shared" si="450"/>
        <v/>
      </c>
      <c r="AC1920">
        <f>IF($A1920="",0,IF(COUNTIF($A$2:$A1920,$A1920)=1,1,0))</f>
        <v>0</v>
      </c>
      <c r="AD1920">
        <f t="shared" si="451"/>
        <v>29</v>
      </c>
      <c r="AE1920" t="str">
        <f t="shared" si="452"/>
        <v>汇智国际商业中心|期末出租率（%）</v>
      </c>
    </row>
    <row r="1921" spans="1:31" x14ac:dyDescent="0.4">
      <c r="A1921" t="str">
        <f>IF(原始经营数据!$D1922="","",原始经营数据!$D1922)</f>
        <v>华安中电浦软封闭式商业不动产证券投资基金</v>
      </c>
      <c r="B1921" t="str">
        <f>IF(原始经营数据!$D1922="","",T(原始经营数据!$E1922))</f>
        <v>汇智国际商业中心</v>
      </c>
      <c r="C1921" t="str">
        <f>IF(原始经营数据!$D1922="","",原始经营数据!$F1922)</f>
        <v>2025</v>
      </c>
      <c r="D1921" t="str">
        <f>IF(原始经营数据!$D1922="","",原始经营数据!$H1922)</f>
        <v>合同月租金</v>
      </c>
      <c r="E1921">
        <f>IF(原始经营数据!$D1922="","",原始经营数据!$I1922)</f>
        <v>120.46</v>
      </c>
      <c r="F1921" t="str">
        <f>IF(原始经营数据!$D1922="","",T(原始经营数据!$J1922))</f>
        <v>元/月/平方米</v>
      </c>
      <c r="G1921" t="str">
        <f>IF(原始经营数据!$D1922="","",T(原始经营数据!$K1922))</f>
        <v/>
      </c>
      <c r="H1921" t="str">
        <f>IF(原始经营数据!$D1922="","",原始经营数据!$G1922)</f>
        <v>服务价格</v>
      </c>
      <c r="I1921" t="str">
        <f>IF($A1921="","",IF($B1921&lt;&gt;"",$B1921,IF(COUNTIFS(原始经营数据!$D$3:$D$3001,$A1921,原始经营数据!$E$3:$E$3001,"",原始经营数据!$F$3:$F$3001,$C1921,原始经营数据!$H$3:$H$3001,$D1921,原始经营数据!$K$3:$K$3001,$G1921)&gt;1,"基金整体·来源"&amp;原始经营数据!$A1922,"基金整体")))</f>
        <v>汇智国际商业中心</v>
      </c>
      <c r="J1921" t="str">
        <f t="shared" si="438"/>
        <v>年度</v>
      </c>
      <c r="K1921" t="str">
        <f t="shared" si="439"/>
        <v>合同月租金（元/月/平方米）</v>
      </c>
      <c r="L1921" t="str">
        <f t="shared" si="440"/>
        <v>汇智国际商业中心|合同月租金（元/月/平方米）|年度</v>
      </c>
      <c r="M1921">
        <f>IF($A1921="",0,IF(COUNTIF($L$2:$L1921,$L1921)=1,1,0))</f>
        <v>0</v>
      </c>
      <c r="N1921">
        <f t="shared" si="441"/>
        <v>20250</v>
      </c>
      <c r="O1921" t="str">
        <f t="shared" si="442"/>
        <v>华安中电浦软封闭式商业不动产证券投资基金|2025|年度</v>
      </c>
      <c r="P1921">
        <f>IF($A1921="",0,IF(COUNTIF($O$2:$O1921,$O1921)=1,1,0))</f>
        <v>1</v>
      </c>
      <c r="Q1921" t="str">
        <f>IF(AND($P1921=1,$A1921=经营数据!$B$3,$J1921=经营数据!$BA$5),COUNTIFS($P$2:$P$3000,1,$A$2:$A$3000,$A1921,$J$2:$J$3000,$J1921,$N$2:$N$3000,"&lt;"&amp;$N1921)+1,"")</f>
        <v/>
      </c>
      <c r="R1921" t="str">
        <f t="shared" si="443"/>
        <v>华安中电浦软封闭式商业不动产证券投资基金|汇智国际商业中心</v>
      </c>
      <c r="S1921">
        <f>IF($A1921="",0,IF(COUNTIF($R$2:$R1921,$R1921)=1,1,0))</f>
        <v>0</v>
      </c>
      <c r="T1921">
        <f t="shared" si="444"/>
        <v>1910</v>
      </c>
      <c r="U1921" t="str">
        <f>IF($A1921="","",IF($A1921=经营数据!$B$3,COUNTIFS($S$2:$S$3000,1,$A$2:$A$3000,$A1921,$T$2:$T$3000,"&lt;"&amp;$T1921)+1,""))</f>
        <v/>
      </c>
      <c r="V1921" t="str">
        <f t="shared" si="445"/>
        <v>汇智国际商业中心|服务价格</v>
      </c>
      <c r="W1921">
        <f t="shared" si="446"/>
        <v>1911</v>
      </c>
      <c r="X1921" t="str">
        <f t="shared" si="447"/>
        <v>汇智国际商业中心|合同月租金</v>
      </c>
      <c r="Y1921">
        <f t="shared" si="448"/>
        <v>1911</v>
      </c>
      <c r="Z1921">
        <f>IF($A1921="",0,IF(AND($M1921=1,$A1921=经营数据!$B$3,$J1921=经营数据!$BA$5,OR($I1921=经营数据!$BA$4,COUNTIF(经营数据!$AA$9:$AA$38,$I1921)&gt;0)),1,0))</f>
        <v>0</v>
      </c>
      <c r="AA1921" t="str">
        <f t="shared" si="449"/>
        <v/>
      </c>
      <c r="AB1921" t="str">
        <f t="shared" si="450"/>
        <v/>
      </c>
      <c r="AC1921">
        <f>IF($A1921="",0,IF(COUNTIF($A$2:$A1921,$A1921)=1,1,0))</f>
        <v>0</v>
      </c>
      <c r="AD1921">
        <f t="shared" si="451"/>
        <v>29</v>
      </c>
      <c r="AE1921" t="str">
        <f t="shared" si="452"/>
        <v>汇智国际商业中心|合同月租金（元/月/平方米）</v>
      </c>
    </row>
    <row r="1922" spans="1:31" x14ac:dyDescent="0.4">
      <c r="A1922" t="str">
        <f>IF(原始经营数据!$D1923="","",原始经营数据!$D1923)</f>
        <v>华安中电浦软封闭式商业不动产证券投资基金</v>
      </c>
      <c r="B1922" t="str">
        <f>IF(原始经营数据!$D1923="","",T(原始经营数据!$E1923))</f>
        <v>汇智国际商业中心</v>
      </c>
      <c r="C1922" t="str">
        <f>IF(原始经营数据!$D1923="","",原始经营数据!$F1923)</f>
        <v>2025</v>
      </c>
      <c r="D1922" t="str">
        <f>IF(原始经营数据!$D1923="","",原始经营数据!$H1923)</f>
        <v>期末加权平均剩余租期</v>
      </c>
      <c r="E1922">
        <f>IF(原始经营数据!$D1923="","",原始经营数据!$I1923)</f>
        <v>5.59</v>
      </c>
      <c r="F1922" t="str">
        <f>IF(原始经营数据!$D1923="","",T(原始经营数据!$J1923))</f>
        <v>年</v>
      </c>
      <c r="G1922" t="str">
        <f>IF(原始经营数据!$D1923="","",T(原始经营数据!$K1923))</f>
        <v/>
      </c>
      <c r="H1922" t="str">
        <f>IF(原始经营数据!$D1923="","",原始经营数据!$G1923)</f>
        <v>服务量</v>
      </c>
      <c r="I1922" t="str">
        <f>IF($A1922="","",IF($B1922&lt;&gt;"",$B1922,IF(COUNTIFS(原始经营数据!$D$3:$D$3001,$A1922,原始经营数据!$E$3:$E$3001,"",原始经营数据!$F$3:$F$3001,$C1922,原始经营数据!$H$3:$H$3001,$D1922,原始经营数据!$K$3:$K$3001,$G1922)&gt;1,"基金整体·来源"&amp;原始经营数据!$A1923,"基金整体")))</f>
        <v>汇智国际商业中心</v>
      </c>
      <c r="J1922" t="str">
        <f t="shared" ref="J1922:J1985" si="453">IF($A1922="","",IF(LEN($C1922)=4,"年度",IF(AND(LEN($C1922)=6,ISNUMBER(SEARCH("Q",$C1922))),"季度","其他期间")))</f>
        <v>年度</v>
      </c>
      <c r="K1922" t="str">
        <f t="shared" ref="K1922:K1985" si="454">IF($A1922="","",$D1922&amp;IF($G1922="","","-"&amp;SUBSTITUTE($G1922,CHAR(10),""))&amp;IF($F1922="","","（"&amp;$F1922&amp;"）"))</f>
        <v>期末加权平均剩余租期（年）</v>
      </c>
      <c r="L1922" t="str">
        <f t="shared" ref="L1922:L1985" si="455">IF($A1922="","",$I1922&amp;"|"&amp;$K1922&amp;"|"&amp;$J1922)</f>
        <v>汇智国际商业中心|期末加权平均剩余租期（年）|年度</v>
      </c>
      <c r="M1922">
        <f>IF($A1922="",0,IF(COUNTIF($L$2:$L1922,$L1922)=1,1,0))</f>
        <v>0</v>
      </c>
      <c r="N1922">
        <f t="shared" ref="N1922:N1985" si="456">IF($A1922="","",IF($J1922="年度",VALUE($C1922)*10,IF($J1922="季度",VALUE(LEFT($C1922,4))*10+VALUE(RIGHT($C1922,1)),VALUE(LEFT($C1922,4))*10+9)))</f>
        <v>20250</v>
      </c>
      <c r="O1922" t="str">
        <f t="shared" ref="O1922:O1985" si="457">IF($A1922="","",$A1922&amp;"|"&amp;$C1922&amp;"|"&amp;$J1922)</f>
        <v>华安中电浦软封闭式商业不动产证券投资基金|2025|年度</v>
      </c>
      <c r="P1922">
        <f>IF($A1922="",0,IF(COUNTIF($O$2:$O1922,$O1922)=1,1,0))</f>
        <v>0</v>
      </c>
      <c r="Q1922" t="str">
        <f>IF(AND($P1922=1,$A1922=经营数据!$B$3,$J1922=经营数据!$BA$5),COUNTIFS($P$2:$P$3000,1,$A$2:$A$3000,$A1922,$J$2:$J$3000,$J1922,$N$2:$N$3000,"&lt;"&amp;$N1922)+1,"")</f>
        <v/>
      </c>
      <c r="R1922" t="str">
        <f t="shared" ref="R1922:R1985" si="458">IF($A1922="","",$A1922&amp;"|"&amp;$I1922)</f>
        <v>华安中电浦软封闭式商业不动产证券投资基金|汇智国际商业中心</v>
      </c>
      <c r="S1922">
        <f>IF($A1922="",0,IF(COUNTIF($R$2:$R1922,$R1922)=1,1,0))</f>
        <v>0</v>
      </c>
      <c r="T1922">
        <f t="shared" ref="T1922:T1985" si="459">IF($A1922="","",MATCH($R1922,$R$2:$R$3000,0))</f>
        <v>1910</v>
      </c>
      <c r="U1922" t="str">
        <f>IF($A1922="","",IF($A1922=经营数据!$B$3,COUNTIFS($S$2:$S$3000,1,$A$2:$A$3000,$A1922,$T$2:$T$3000,"&lt;"&amp;$T1922)+1,""))</f>
        <v/>
      </c>
      <c r="V1922" t="str">
        <f t="shared" ref="V1922:V1985" si="460">IF($A1922="","",$I1922&amp;"|"&amp;$H1922)</f>
        <v>汇智国际商业中心|服务量</v>
      </c>
      <c r="W1922">
        <f t="shared" ref="W1922:W1985" si="461">IF($A1922="","",MATCH($V1922,$V$2:$V$3000,0))</f>
        <v>1913</v>
      </c>
      <c r="X1922" t="str">
        <f t="shared" ref="X1922:X1985" si="462">IF($A1922="","",$I1922&amp;"|"&amp;$D1922)</f>
        <v>汇智国际商业中心|期末加权平均剩余租期</v>
      </c>
      <c r="Y1922">
        <f t="shared" ref="Y1922:Y1985" si="463">IF($A1922="","",MATCH($X1922,$X$2:$X$3000,0))</f>
        <v>1913</v>
      </c>
      <c r="Z1922">
        <f>IF($A1922="",0,IF(AND($M1922=1,$A1922=经营数据!$B$3,$J1922=经营数据!$BA$5,OR($I1922=经营数据!$BA$4,COUNTIF(经营数据!$AA$9:$AA$38,$I1922)&gt;0)),1,0))</f>
        <v>0</v>
      </c>
      <c r="AA1922" t="str">
        <f t="shared" ref="AA1922:AA1985" si="464">IF($Z1922=1,$U1922*1000000000000+$W1922*100000000+$Y1922*10000+ROW(),"")</f>
        <v/>
      </c>
      <c r="AB1922" t="str">
        <f t="shared" ref="AB1922:AB1985" si="465">IF($Z1922=1,COUNTIFS($Z$2:$Z$3000,1,$AA$2:$AA$3000,"&lt;"&amp;$AA1922)+1,"")</f>
        <v/>
      </c>
      <c r="AC1922">
        <f>IF($A1922="",0,IF(COUNTIF($A$2:$A1922,$A1922)=1,1,0))</f>
        <v>0</v>
      </c>
      <c r="AD1922">
        <f t="shared" ref="AD1922:AD1985" si="466">IF($A1922="",N(AD1921),IF($AC1922=1,N(AD1921)+1,N(AD1921)))</f>
        <v>29</v>
      </c>
      <c r="AE1922" t="str">
        <f t="shared" ref="AE1922:AE1985" si="467">IF($A1922="","",$I1922&amp;"|"&amp;$K1922)</f>
        <v>汇智国际商业中心|期末加权平均剩余租期（年）</v>
      </c>
    </row>
    <row r="1923" spans="1:31" x14ac:dyDescent="0.4">
      <c r="A1923" t="str">
        <f>IF(原始经营数据!$D1924="","",原始经营数据!$D1924)</f>
        <v>华安中电浦软封闭式商业不动产证券投资基金</v>
      </c>
      <c r="B1923" t="str">
        <f>IF(原始经营数据!$D1924="","",T(原始经营数据!$E1924))</f>
        <v>汇智国际商业中心</v>
      </c>
      <c r="C1923" t="str">
        <f>IF(原始经营数据!$D1924="","",原始经营数据!$F1924)</f>
        <v>2025</v>
      </c>
      <c r="D1923" t="str">
        <f>IF(原始经营数据!$D1924="","",原始经营数据!$H1924)</f>
        <v>加权平均出租率</v>
      </c>
      <c r="E1923">
        <f>IF(原始经营数据!$D1924="","",原始经营数据!$I1924)</f>
        <v>95.87</v>
      </c>
      <c r="F1923" t="str">
        <f>IF(原始经营数据!$D1924="","",T(原始经营数据!$J1924))</f>
        <v>%</v>
      </c>
      <c r="G1923" t="str">
        <f>IF(原始经营数据!$D1924="","",T(原始经营数据!$K1924))</f>
        <v/>
      </c>
      <c r="H1923" t="str">
        <f>IF(原始经营数据!$D1924="","",原始经营数据!$G1924)</f>
        <v>服务效率</v>
      </c>
      <c r="I1923" t="str">
        <f>IF($A1923="","",IF($B1923&lt;&gt;"",$B1923,IF(COUNTIFS(原始经营数据!$D$3:$D$3001,$A1923,原始经营数据!$E$3:$E$3001,"",原始经营数据!$F$3:$F$3001,$C1923,原始经营数据!$H$3:$H$3001,$D1923,原始经营数据!$K$3:$K$3001,$G1923)&gt;1,"基金整体·来源"&amp;原始经营数据!$A1924,"基金整体")))</f>
        <v>汇智国际商业中心</v>
      </c>
      <c r="J1923" t="str">
        <f t="shared" si="453"/>
        <v>年度</v>
      </c>
      <c r="K1923" t="str">
        <f t="shared" si="454"/>
        <v>加权平均出租率（%）</v>
      </c>
      <c r="L1923" t="str">
        <f t="shared" si="455"/>
        <v>汇智国际商业中心|加权平均出租率（%）|年度</v>
      </c>
      <c r="M1923">
        <f>IF($A1923="",0,IF(COUNTIF($L$2:$L1923,$L1923)=1,1,0))</f>
        <v>0</v>
      </c>
      <c r="N1923">
        <f t="shared" si="456"/>
        <v>20250</v>
      </c>
      <c r="O1923" t="str">
        <f t="shared" si="457"/>
        <v>华安中电浦软封闭式商业不动产证券投资基金|2025|年度</v>
      </c>
      <c r="P1923">
        <f>IF($A1923="",0,IF(COUNTIF($O$2:$O1923,$O1923)=1,1,0))</f>
        <v>0</v>
      </c>
      <c r="Q1923" t="str">
        <f>IF(AND($P1923=1,$A1923=经营数据!$B$3,$J1923=经营数据!$BA$5),COUNTIFS($P$2:$P$3000,1,$A$2:$A$3000,$A1923,$J$2:$J$3000,$J1923,$N$2:$N$3000,"&lt;"&amp;$N1923)+1,"")</f>
        <v/>
      </c>
      <c r="R1923" t="str">
        <f t="shared" si="458"/>
        <v>华安中电浦软封闭式商业不动产证券投资基金|汇智国际商业中心</v>
      </c>
      <c r="S1923">
        <f>IF($A1923="",0,IF(COUNTIF($R$2:$R1923,$R1923)=1,1,0))</f>
        <v>0</v>
      </c>
      <c r="T1923">
        <f t="shared" si="459"/>
        <v>1910</v>
      </c>
      <c r="U1923" t="str">
        <f>IF($A1923="","",IF($A1923=经营数据!$B$3,COUNTIFS($S$2:$S$3000,1,$A$2:$A$3000,$A1923,$T$2:$T$3000,"&lt;"&amp;$T1923)+1,""))</f>
        <v/>
      </c>
      <c r="V1923" t="str">
        <f t="shared" si="460"/>
        <v>汇智国际商业中心|服务效率</v>
      </c>
      <c r="W1923">
        <f t="shared" si="461"/>
        <v>1910</v>
      </c>
      <c r="X1923" t="str">
        <f t="shared" si="462"/>
        <v>汇智国际商业中心|加权平均出租率</v>
      </c>
      <c r="Y1923">
        <f t="shared" si="463"/>
        <v>1912</v>
      </c>
      <c r="Z1923">
        <f>IF($A1923="",0,IF(AND($M1923=1,$A1923=经营数据!$B$3,$J1923=经营数据!$BA$5,OR($I1923=经营数据!$BA$4,COUNTIF(经营数据!$AA$9:$AA$38,$I1923)&gt;0)),1,0))</f>
        <v>0</v>
      </c>
      <c r="AA1923" t="str">
        <f t="shared" si="464"/>
        <v/>
      </c>
      <c r="AB1923" t="str">
        <f t="shared" si="465"/>
        <v/>
      </c>
      <c r="AC1923">
        <f>IF($A1923="",0,IF(COUNTIF($A$2:$A1923,$A1923)=1,1,0))</f>
        <v>0</v>
      </c>
      <c r="AD1923">
        <f t="shared" si="466"/>
        <v>29</v>
      </c>
      <c r="AE1923" t="str">
        <f t="shared" si="467"/>
        <v>汇智国际商业中心|加权平均出租率（%）</v>
      </c>
    </row>
    <row r="1924" spans="1:31" x14ac:dyDescent="0.4">
      <c r="A1924" t="str">
        <f>IF(原始经营数据!$D1925="","",原始经营数据!$D1925)</f>
        <v>华安中电浦软封闭式商业不动产证券投资基金</v>
      </c>
      <c r="B1924" t="str">
        <f>IF(原始经营数据!$D1925="","",T(原始经营数据!$E1925))</f>
        <v>汇智国际商业中心</v>
      </c>
      <c r="C1924" t="str">
        <f>IF(原始经营数据!$D1925="","",原始经营数据!$F1925)</f>
        <v>2025</v>
      </c>
      <c r="D1924" t="str">
        <f>IF(原始经营数据!$D1925="","",原始经营数据!$H1925)</f>
        <v>期末出租率</v>
      </c>
      <c r="E1924">
        <f>IF(原始经营数据!$D1925="","",原始经营数据!$I1925)</f>
        <v>96.16</v>
      </c>
      <c r="F1924" t="str">
        <f>IF(原始经营数据!$D1925="","",T(原始经营数据!$J1925))</f>
        <v>%</v>
      </c>
      <c r="G1924" t="str">
        <f>IF(原始经营数据!$D1925="","",T(原始经营数据!$K1925))</f>
        <v/>
      </c>
      <c r="H1924" t="str">
        <f>IF(原始经营数据!$D1925="","",原始经营数据!$G1925)</f>
        <v>服务效率</v>
      </c>
      <c r="I1924" t="str">
        <f>IF($A1924="","",IF($B1924&lt;&gt;"",$B1924,IF(COUNTIFS(原始经营数据!$D$3:$D$3001,$A1924,原始经营数据!$E$3:$E$3001,"",原始经营数据!$F$3:$F$3001,$C1924,原始经营数据!$H$3:$H$3001,$D1924,原始经营数据!$K$3:$K$3001,$G1924)&gt;1,"基金整体·来源"&amp;原始经营数据!$A1925,"基金整体")))</f>
        <v>汇智国际商业中心</v>
      </c>
      <c r="J1924" t="str">
        <f t="shared" si="453"/>
        <v>年度</v>
      </c>
      <c r="K1924" t="str">
        <f t="shared" si="454"/>
        <v>期末出租率（%）</v>
      </c>
      <c r="L1924" t="str">
        <f t="shared" si="455"/>
        <v>汇智国际商业中心|期末出租率（%）|年度</v>
      </c>
      <c r="M1924">
        <f>IF($A1924="",0,IF(COUNTIF($L$2:$L1924,$L1924)=1,1,0))</f>
        <v>0</v>
      </c>
      <c r="N1924">
        <f t="shared" si="456"/>
        <v>20250</v>
      </c>
      <c r="O1924" t="str">
        <f t="shared" si="457"/>
        <v>华安中电浦软封闭式商业不动产证券投资基金|2025|年度</v>
      </c>
      <c r="P1924">
        <f>IF($A1924="",0,IF(COUNTIF($O$2:$O1924,$O1924)=1,1,0))</f>
        <v>0</v>
      </c>
      <c r="Q1924" t="str">
        <f>IF(AND($P1924=1,$A1924=经营数据!$B$3,$J1924=经营数据!$BA$5),COUNTIFS($P$2:$P$3000,1,$A$2:$A$3000,$A1924,$J$2:$J$3000,$J1924,$N$2:$N$3000,"&lt;"&amp;$N1924)+1,"")</f>
        <v/>
      </c>
      <c r="R1924" t="str">
        <f t="shared" si="458"/>
        <v>华安中电浦软封闭式商业不动产证券投资基金|汇智国际商业中心</v>
      </c>
      <c r="S1924">
        <f>IF($A1924="",0,IF(COUNTIF($R$2:$R1924,$R1924)=1,1,0))</f>
        <v>0</v>
      </c>
      <c r="T1924">
        <f t="shared" si="459"/>
        <v>1910</v>
      </c>
      <c r="U1924" t="str">
        <f>IF($A1924="","",IF($A1924=经营数据!$B$3,COUNTIFS($S$2:$S$3000,1,$A$2:$A$3000,$A1924,$T$2:$T$3000,"&lt;"&amp;$T1924)+1,""))</f>
        <v/>
      </c>
      <c r="V1924" t="str">
        <f t="shared" si="460"/>
        <v>汇智国际商业中心|服务效率</v>
      </c>
      <c r="W1924">
        <f t="shared" si="461"/>
        <v>1910</v>
      </c>
      <c r="X1924" t="str">
        <f t="shared" si="462"/>
        <v>汇智国际商业中心|期末出租率</v>
      </c>
      <c r="Y1924">
        <f t="shared" si="463"/>
        <v>1914</v>
      </c>
      <c r="Z1924">
        <f>IF($A1924="",0,IF(AND($M1924=1,$A1924=经营数据!$B$3,$J1924=经营数据!$BA$5,OR($I1924=经营数据!$BA$4,COUNTIF(经营数据!$AA$9:$AA$38,$I1924)&gt;0)),1,0))</f>
        <v>0</v>
      </c>
      <c r="AA1924" t="str">
        <f t="shared" si="464"/>
        <v/>
      </c>
      <c r="AB1924" t="str">
        <f t="shared" si="465"/>
        <v/>
      </c>
      <c r="AC1924">
        <f>IF($A1924="",0,IF(COUNTIF($A$2:$A1924,$A1924)=1,1,0))</f>
        <v>0</v>
      </c>
      <c r="AD1924">
        <f t="shared" si="466"/>
        <v>29</v>
      </c>
      <c r="AE1924" t="str">
        <f t="shared" si="467"/>
        <v>汇智国际商业中心|期末出租率（%）</v>
      </c>
    </row>
    <row r="1925" spans="1:31" x14ac:dyDescent="0.4">
      <c r="A1925" t="str">
        <f>IF(原始经营数据!$D1926="","",原始经营数据!$D1926)</f>
        <v>华安中电浦软封闭式商业不动产证券投资基金</v>
      </c>
      <c r="B1925" t="str">
        <f>IF(原始经营数据!$D1926="","",T(原始经营数据!$E1926))</f>
        <v>汇智国际商业中心</v>
      </c>
      <c r="C1925" t="str">
        <f>IF(原始经营数据!$D1926="","",原始经营数据!$F1926)</f>
        <v>2025</v>
      </c>
      <c r="D1925" t="str">
        <f>IF(原始经营数据!$D1926="","",原始经营数据!$H1926)</f>
        <v>租金收缴率</v>
      </c>
      <c r="E1925">
        <f>IF(原始经营数据!$D1926="","",原始经营数据!$I1926)</f>
        <v>100</v>
      </c>
      <c r="F1925" t="str">
        <f>IF(原始经营数据!$D1926="","",T(原始经营数据!$J1926))</f>
        <v>%</v>
      </c>
      <c r="G1925" t="str">
        <f>IF(原始经营数据!$D1926="","",T(原始经营数据!$K1926))</f>
        <v/>
      </c>
      <c r="H1925" t="str">
        <f>IF(原始经营数据!$D1926="","",原始经营数据!$G1926)</f>
        <v>服务效率</v>
      </c>
      <c r="I1925" t="str">
        <f>IF($A1925="","",IF($B1925&lt;&gt;"",$B1925,IF(COUNTIFS(原始经营数据!$D$3:$D$3001,$A1925,原始经营数据!$E$3:$E$3001,"",原始经营数据!$F$3:$F$3001,$C1925,原始经营数据!$H$3:$H$3001,$D1925,原始经营数据!$K$3:$K$3001,$G1925)&gt;1,"基金整体·来源"&amp;原始经营数据!$A1926,"基金整体")))</f>
        <v>汇智国际商业中心</v>
      </c>
      <c r="J1925" t="str">
        <f t="shared" si="453"/>
        <v>年度</v>
      </c>
      <c r="K1925" t="str">
        <f t="shared" si="454"/>
        <v>租金收缴率（%）</v>
      </c>
      <c r="L1925" t="str">
        <f t="shared" si="455"/>
        <v>汇智国际商业中心|租金收缴率（%）|年度</v>
      </c>
      <c r="M1925">
        <f>IF($A1925="",0,IF(COUNTIF($L$2:$L1925,$L1925)=1,1,0))</f>
        <v>0</v>
      </c>
      <c r="N1925">
        <f t="shared" si="456"/>
        <v>20250</v>
      </c>
      <c r="O1925" t="str">
        <f t="shared" si="457"/>
        <v>华安中电浦软封闭式商业不动产证券投资基金|2025|年度</v>
      </c>
      <c r="P1925">
        <f>IF($A1925="",0,IF(COUNTIF($O$2:$O1925,$O1925)=1,1,0))</f>
        <v>0</v>
      </c>
      <c r="Q1925" t="str">
        <f>IF(AND($P1925=1,$A1925=经营数据!$B$3,$J1925=经营数据!$BA$5),COUNTIFS($P$2:$P$3000,1,$A$2:$A$3000,$A1925,$J$2:$J$3000,$J1925,$N$2:$N$3000,"&lt;"&amp;$N1925)+1,"")</f>
        <v/>
      </c>
      <c r="R1925" t="str">
        <f t="shared" si="458"/>
        <v>华安中电浦软封闭式商业不动产证券投资基金|汇智国际商业中心</v>
      </c>
      <c r="S1925">
        <f>IF($A1925="",0,IF(COUNTIF($R$2:$R1925,$R1925)=1,1,0))</f>
        <v>0</v>
      </c>
      <c r="T1925">
        <f t="shared" si="459"/>
        <v>1910</v>
      </c>
      <c r="U1925" t="str">
        <f>IF($A1925="","",IF($A1925=经营数据!$B$3,COUNTIFS($S$2:$S$3000,1,$A$2:$A$3000,$A1925,$T$2:$T$3000,"&lt;"&amp;$T1925)+1,""))</f>
        <v/>
      </c>
      <c r="V1925" t="str">
        <f t="shared" si="460"/>
        <v>汇智国际商业中心|服务效率</v>
      </c>
      <c r="W1925">
        <f t="shared" si="461"/>
        <v>1910</v>
      </c>
      <c r="X1925" t="str">
        <f t="shared" si="462"/>
        <v>汇智国际商业中心|租金收缴率</v>
      </c>
      <c r="Y1925">
        <f t="shared" si="463"/>
        <v>1910</v>
      </c>
      <c r="Z1925">
        <f>IF($A1925="",0,IF(AND($M1925=1,$A1925=经营数据!$B$3,$J1925=经营数据!$BA$5,OR($I1925=经营数据!$BA$4,COUNTIF(经营数据!$AA$9:$AA$38,$I1925)&gt;0)),1,0))</f>
        <v>0</v>
      </c>
      <c r="AA1925" t="str">
        <f t="shared" si="464"/>
        <v/>
      </c>
      <c r="AB1925" t="str">
        <f t="shared" si="465"/>
        <v/>
      </c>
      <c r="AC1925">
        <f>IF($A1925="",0,IF(COUNTIF($A$2:$A1925,$A1925)=1,1,0))</f>
        <v>0</v>
      </c>
      <c r="AD1925">
        <f t="shared" si="466"/>
        <v>29</v>
      </c>
      <c r="AE1925" t="str">
        <f t="shared" si="467"/>
        <v>汇智国际商业中心|租金收缴率（%）</v>
      </c>
    </row>
    <row r="1926" spans="1:31" x14ac:dyDescent="0.4">
      <c r="A1926" t="str">
        <f>IF(原始经营数据!$D1927="","",原始经营数据!$D1927)</f>
        <v>华安中电浦软封闭式商业不动产证券投资基金</v>
      </c>
      <c r="B1926" t="str">
        <f>IF(原始经营数据!$D1927="","",T(原始经营数据!$E1927))</f>
        <v>汇智国际商业中心</v>
      </c>
      <c r="C1926" t="str">
        <f>IF(原始经营数据!$D1927="","",原始经营数据!$F1927)</f>
        <v>2026H1</v>
      </c>
      <c r="D1926" t="str">
        <f>IF(原始经营数据!$D1927="","",原始经营数据!$H1927)</f>
        <v>合同月租金</v>
      </c>
      <c r="E1926">
        <f>IF(原始经营数据!$D1927="","",原始经营数据!$I1927)</f>
        <v>107.7</v>
      </c>
      <c r="F1926" t="str">
        <f>IF(原始经营数据!$D1927="","",T(原始经营数据!$J1927))</f>
        <v>元/月/平方米</v>
      </c>
      <c r="G1926" t="str">
        <f>IF(原始经营数据!$D1927="","",T(原始经营数据!$K1927))</f>
        <v/>
      </c>
      <c r="H1926" t="str">
        <f>IF(原始经营数据!$D1927="","",原始经营数据!$G1927)</f>
        <v>服务价格</v>
      </c>
      <c r="I1926" t="str">
        <f>IF($A1926="","",IF($B1926&lt;&gt;"",$B1926,IF(COUNTIFS(原始经营数据!$D$3:$D$3001,$A1926,原始经营数据!$E$3:$E$3001,"",原始经营数据!$F$3:$F$3001,$C1926,原始经营数据!$H$3:$H$3001,$D1926,原始经营数据!$K$3:$K$3001,$G1926)&gt;1,"基金整体·来源"&amp;原始经营数据!$A1927,"基金整体")))</f>
        <v>汇智国际商业中心</v>
      </c>
      <c r="J1926" t="str">
        <f t="shared" si="453"/>
        <v>其他期间</v>
      </c>
      <c r="K1926" t="str">
        <f t="shared" si="454"/>
        <v>合同月租金（元/月/平方米）</v>
      </c>
      <c r="L1926" t="str">
        <f t="shared" si="455"/>
        <v>汇智国际商业中心|合同月租金（元/月/平方米）|其他期间</v>
      </c>
      <c r="M1926">
        <f>IF($A1926="",0,IF(COUNTIF($L$2:$L1926,$L1926)=1,1,0))</f>
        <v>1</v>
      </c>
      <c r="N1926">
        <f t="shared" si="456"/>
        <v>20269</v>
      </c>
      <c r="O1926" t="str">
        <f t="shared" si="457"/>
        <v>华安中电浦软封闭式商业不动产证券投资基金|2026H1|其他期间</v>
      </c>
      <c r="P1926">
        <f>IF($A1926="",0,IF(COUNTIF($O$2:$O1926,$O1926)=1,1,0))</f>
        <v>1</v>
      </c>
      <c r="Q1926" t="str">
        <f>IF(AND($P1926=1,$A1926=经营数据!$B$3,$J1926=经营数据!$BA$5),COUNTIFS($P$2:$P$3000,1,$A$2:$A$3000,$A1926,$J$2:$J$3000,$J1926,$N$2:$N$3000,"&lt;"&amp;$N1926)+1,"")</f>
        <v/>
      </c>
      <c r="R1926" t="str">
        <f t="shared" si="458"/>
        <v>华安中电浦软封闭式商业不动产证券投资基金|汇智国际商业中心</v>
      </c>
      <c r="S1926">
        <f>IF($A1926="",0,IF(COUNTIF($R$2:$R1926,$R1926)=1,1,0))</f>
        <v>0</v>
      </c>
      <c r="T1926">
        <f t="shared" si="459"/>
        <v>1910</v>
      </c>
      <c r="U1926" t="str">
        <f>IF($A1926="","",IF($A1926=经营数据!$B$3,COUNTIFS($S$2:$S$3000,1,$A$2:$A$3000,$A1926,$T$2:$T$3000,"&lt;"&amp;$T1926)+1,""))</f>
        <v/>
      </c>
      <c r="V1926" t="str">
        <f t="shared" si="460"/>
        <v>汇智国际商业中心|服务价格</v>
      </c>
      <c r="W1926">
        <f t="shared" si="461"/>
        <v>1911</v>
      </c>
      <c r="X1926" t="str">
        <f t="shared" si="462"/>
        <v>汇智国际商业中心|合同月租金</v>
      </c>
      <c r="Y1926">
        <f t="shared" si="463"/>
        <v>1911</v>
      </c>
      <c r="Z1926">
        <f>IF($A1926="",0,IF(AND($M1926=1,$A1926=经营数据!$B$3,$J1926=经营数据!$BA$5,OR($I1926=经营数据!$BA$4,COUNTIF(经营数据!$AA$9:$AA$38,$I1926)&gt;0)),1,0))</f>
        <v>0</v>
      </c>
      <c r="AA1926" t="str">
        <f t="shared" si="464"/>
        <v/>
      </c>
      <c r="AB1926" t="str">
        <f t="shared" si="465"/>
        <v/>
      </c>
      <c r="AC1926">
        <f>IF($A1926="",0,IF(COUNTIF($A$2:$A1926,$A1926)=1,1,0))</f>
        <v>0</v>
      </c>
      <c r="AD1926">
        <f t="shared" si="466"/>
        <v>29</v>
      </c>
      <c r="AE1926" t="str">
        <f t="shared" si="467"/>
        <v>汇智国际商业中心|合同月租金（元/月/平方米）</v>
      </c>
    </row>
    <row r="1927" spans="1:31" x14ac:dyDescent="0.4">
      <c r="A1927" t="str">
        <f>IF(原始经营数据!$D1928="","",原始经营数据!$D1928)</f>
        <v>华安中电浦软封闭式商业不动产证券投资基金</v>
      </c>
      <c r="B1927" t="str">
        <f>IF(原始经营数据!$D1928="","",T(原始经营数据!$E1928))</f>
        <v>汇智国际商业中心</v>
      </c>
      <c r="C1927" t="str">
        <f>IF(原始经营数据!$D1928="","",原始经营数据!$F1928)</f>
        <v>2026H1</v>
      </c>
      <c r="D1927" t="str">
        <f>IF(原始经营数据!$D1928="","",原始经营数据!$H1928)</f>
        <v>期末加权平均剩余租期</v>
      </c>
      <c r="E1927">
        <f>IF(原始经营数据!$D1928="","",原始经营数据!$I1928)</f>
        <v>5.75</v>
      </c>
      <c r="F1927" t="str">
        <f>IF(原始经营数据!$D1928="","",T(原始经营数据!$J1928))</f>
        <v>年</v>
      </c>
      <c r="G1927" t="str">
        <f>IF(原始经营数据!$D1928="","",T(原始经营数据!$K1928))</f>
        <v/>
      </c>
      <c r="H1927" t="str">
        <f>IF(原始经营数据!$D1928="","",原始经营数据!$G1928)</f>
        <v>服务量</v>
      </c>
      <c r="I1927" t="str">
        <f>IF($A1927="","",IF($B1927&lt;&gt;"",$B1927,IF(COUNTIFS(原始经营数据!$D$3:$D$3001,$A1927,原始经营数据!$E$3:$E$3001,"",原始经营数据!$F$3:$F$3001,$C1927,原始经营数据!$H$3:$H$3001,$D1927,原始经营数据!$K$3:$K$3001,$G1927)&gt;1,"基金整体·来源"&amp;原始经营数据!$A1928,"基金整体")))</f>
        <v>汇智国际商业中心</v>
      </c>
      <c r="J1927" t="str">
        <f t="shared" si="453"/>
        <v>其他期间</v>
      </c>
      <c r="K1927" t="str">
        <f t="shared" si="454"/>
        <v>期末加权平均剩余租期（年）</v>
      </c>
      <c r="L1927" t="str">
        <f t="shared" si="455"/>
        <v>汇智国际商业中心|期末加权平均剩余租期（年）|其他期间</v>
      </c>
      <c r="M1927">
        <f>IF($A1927="",0,IF(COUNTIF($L$2:$L1927,$L1927)=1,1,0))</f>
        <v>1</v>
      </c>
      <c r="N1927">
        <f t="shared" si="456"/>
        <v>20269</v>
      </c>
      <c r="O1927" t="str">
        <f t="shared" si="457"/>
        <v>华安中电浦软封闭式商业不动产证券投资基金|2026H1|其他期间</v>
      </c>
      <c r="P1927">
        <f>IF($A1927="",0,IF(COUNTIF($O$2:$O1927,$O1927)=1,1,0))</f>
        <v>0</v>
      </c>
      <c r="Q1927" t="str">
        <f>IF(AND($P1927=1,$A1927=经营数据!$B$3,$J1927=经营数据!$BA$5),COUNTIFS($P$2:$P$3000,1,$A$2:$A$3000,$A1927,$J$2:$J$3000,$J1927,$N$2:$N$3000,"&lt;"&amp;$N1927)+1,"")</f>
        <v/>
      </c>
      <c r="R1927" t="str">
        <f t="shared" si="458"/>
        <v>华安中电浦软封闭式商业不动产证券投资基金|汇智国际商业中心</v>
      </c>
      <c r="S1927">
        <f>IF($A1927="",0,IF(COUNTIF($R$2:$R1927,$R1927)=1,1,0))</f>
        <v>0</v>
      </c>
      <c r="T1927">
        <f t="shared" si="459"/>
        <v>1910</v>
      </c>
      <c r="U1927" t="str">
        <f>IF($A1927="","",IF($A1927=经营数据!$B$3,COUNTIFS($S$2:$S$3000,1,$A$2:$A$3000,$A1927,$T$2:$T$3000,"&lt;"&amp;$T1927)+1,""))</f>
        <v/>
      </c>
      <c r="V1927" t="str">
        <f t="shared" si="460"/>
        <v>汇智国际商业中心|服务量</v>
      </c>
      <c r="W1927">
        <f t="shared" si="461"/>
        <v>1913</v>
      </c>
      <c r="X1927" t="str">
        <f t="shared" si="462"/>
        <v>汇智国际商业中心|期末加权平均剩余租期</v>
      </c>
      <c r="Y1927">
        <f t="shared" si="463"/>
        <v>1913</v>
      </c>
      <c r="Z1927">
        <f>IF($A1927="",0,IF(AND($M1927=1,$A1927=经营数据!$B$3,$J1927=经营数据!$BA$5,OR($I1927=经营数据!$BA$4,COUNTIF(经营数据!$AA$9:$AA$38,$I1927)&gt;0)),1,0))</f>
        <v>0</v>
      </c>
      <c r="AA1927" t="str">
        <f t="shared" si="464"/>
        <v/>
      </c>
      <c r="AB1927" t="str">
        <f t="shared" si="465"/>
        <v/>
      </c>
      <c r="AC1927">
        <f>IF($A1927="",0,IF(COUNTIF($A$2:$A1927,$A1927)=1,1,0))</f>
        <v>0</v>
      </c>
      <c r="AD1927">
        <f t="shared" si="466"/>
        <v>29</v>
      </c>
      <c r="AE1927" t="str">
        <f t="shared" si="467"/>
        <v>汇智国际商业中心|期末加权平均剩余租期（年）</v>
      </c>
    </row>
    <row r="1928" spans="1:31" x14ac:dyDescent="0.4">
      <c r="A1928" t="str">
        <f>IF(原始经营数据!$D1929="","",原始经营数据!$D1929)</f>
        <v>华安中电浦软封闭式商业不动产证券投资基金</v>
      </c>
      <c r="B1928" t="str">
        <f>IF(原始经营数据!$D1929="","",T(原始经营数据!$E1929))</f>
        <v>汇智国际商业中心</v>
      </c>
      <c r="C1928" t="str">
        <f>IF(原始经营数据!$D1929="","",原始经营数据!$F1929)</f>
        <v>2026H1</v>
      </c>
      <c r="D1928" t="str">
        <f>IF(原始经营数据!$D1929="","",原始经营数据!$H1929)</f>
        <v>期末出租率</v>
      </c>
      <c r="E1928">
        <f>IF(原始经营数据!$D1929="","",原始经营数据!$I1929)</f>
        <v>95.31</v>
      </c>
      <c r="F1928" t="str">
        <f>IF(原始经营数据!$D1929="","",T(原始经营数据!$J1929))</f>
        <v>%</v>
      </c>
      <c r="G1928" t="str">
        <f>IF(原始经营数据!$D1929="","",T(原始经营数据!$K1929))</f>
        <v/>
      </c>
      <c r="H1928" t="str">
        <f>IF(原始经营数据!$D1929="","",原始经营数据!$G1929)</f>
        <v>服务效率</v>
      </c>
      <c r="I1928" t="str">
        <f>IF($A1928="","",IF($B1928&lt;&gt;"",$B1928,IF(COUNTIFS(原始经营数据!$D$3:$D$3001,$A1928,原始经营数据!$E$3:$E$3001,"",原始经营数据!$F$3:$F$3001,$C1928,原始经营数据!$H$3:$H$3001,$D1928,原始经营数据!$K$3:$K$3001,$G1928)&gt;1,"基金整体·来源"&amp;原始经营数据!$A1929,"基金整体")))</f>
        <v>汇智国际商业中心</v>
      </c>
      <c r="J1928" t="str">
        <f t="shared" si="453"/>
        <v>其他期间</v>
      </c>
      <c r="K1928" t="str">
        <f t="shared" si="454"/>
        <v>期末出租率（%）</v>
      </c>
      <c r="L1928" t="str">
        <f t="shared" si="455"/>
        <v>汇智国际商业中心|期末出租率（%）|其他期间</v>
      </c>
      <c r="M1928">
        <f>IF($A1928="",0,IF(COUNTIF($L$2:$L1928,$L1928)=1,1,0))</f>
        <v>1</v>
      </c>
      <c r="N1928">
        <f t="shared" si="456"/>
        <v>20269</v>
      </c>
      <c r="O1928" t="str">
        <f t="shared" si="457"/>
        <v>华安中电浦软封闭式商业不动产证券投资基金|2026H1|其他期间</v>
      </c>
      <c r="P1928">
        <f>IF($A1928="",0,IF(COUNTIF($O$2:$O1928,$O1928)=1,1,0))</f>
        <v>0</v>
      </c>
      <c r="Q1928" t="str">
        <f>IF(AND($P1928=1,$A1928=经营数据!$B$3,$J1928=经营数据!$BA$5),COUNTIFS($P$2:$P$3000,1,$A$2:$A$3000,$A1928,$J$2:$J$3000,$J1928,$N$2:$N$3000,"&lt;"&amp;$N1928)+1,"")</f>
        <v/>
      </c>
      <c r="R1928" t="str">
        <f t="shared" si="458"/>
        <v>华安中电浦软封闭式商业不动产证券投资基金|汇智国际商业中心</v>
      </c>
      <c r="S1928">
        <f>IF($A1928="",0,IF(COUNTIF($R$2:$R1928,$R1928)=1,1,0))</f>
        <v>0</v>
      </c>
      <c r="T1928">
        <f t="shared" si="459"/>
        <v>1910</v>
      </c>
      <c r="U1928" t="str">
        <f>IF($A1928="","",IF($A1928=经营数据!$B$3,COUNTIFS($S$2:$S$3000,1,$A$2:$A$3000,$A1928,$T$2:$T$3000,"&lt;"&amp;$T1928)+1,""))</f>
        <v/>
      </c>
      <c r="V1928" t="str">
        <f t="shared" si="460"/>
        <v>汇智国际商业中心|服务效率</v>
      </c>
      <c r="W1928">
        <f t="shared" si="461"/>
        <v>1910</v>
      </c>
      <c r="X1928" t="str">
        <f t="shared" si="462"/>
        <v>汇智国际商业中心|期末出租率</v>
      </c>
      <c r="Y1928">
        <f t="shared" si="463"/>
        <v>1914</v>
      </c>
      <c r="Z1928">
        <f>IF($A1928="",0,IF(AND($M1928=1,$A1928=经营数据!$B$3,$J1928=经营数据!$BA$5,OR($I1928=经营数据!$BA$4,COUNTIF(经营数据!$AA$9:$AA$38,$I1928)&gt;0)),1,0))</f>
        <v>0</v>
      </c>
      <c r="AA1928" t="str">
        <f t="shared" si="464"/>
        <v/>
      </c>
      <c r="AB1928" t="str">
        <f t="shared" si="465"/>
        <v/>
      </c>
      <c r="AC1928">
        <f>IF($A1928="",0,IF(COUNTIF($A$2:$A1928,$A1928)=1,1,0))</f>
        <v>0</v>
      </c>
      <c r="AD1928">
        <f t="shared" si="466"/>
        <v>29</v>
      </c>
      <c r="AE1928" t="str">
        <f t="shared" si="467"/>
        <v>汇智国际商业中心|期末出租率（%）</v>
      </c>
    </row>
    <row r="1929" spans="1:31" x14ac:dyDescent="0.4">
      <c r="A1929" t="str">
        <f>IF(原始经营数据!$D1930="","",原始经营数据!$D1930)</f>
        <v>华安中电浦软封闭式商业不动产证券投资基金</v>
      </c>
      <c r="B1929" t="str">
        <f>IF(原始经营数据!$D1930="","",T(原始经营数据!$E1930))</f>
        <v>汇智国际商业中心</v>
      </c>
      <c r="C1929" t="str">
        <f>IF(原始经营数据!$D1930="","",原始经营数据!$F1930)</f>
        <v>2026H1</v>
      </c>
      <c r="D1929" t="str">
        <f>IF(原始经营数据!$D1930="","",原始经营数据!$H1930)</f>
        <v>加权平均出租率</v>
      </c>
      <c r="E1929">
        <f>IF(原始经营数据!$D1930="","",原始经营数据!$I1930)</f>
        <v>93.89</v>
      </c>
      <c r="F1929" t="str">
        <f>IF(原始经营数据!$D1930="","",T(原始经营数据!$J1930))</f>
        <v>%</v>
      </c>
      <c r="G1929" t="str">
        <f>IF(原始经营数据!$D1930="","",T(原始经营数据!$K1930))</f>
        <v/>
      </c>
      <c r="H1929" t="str">
        <f>IF(原始经营数据!$D1930="","",原始经营数据!$G1930)</f>
        <v>服务效率</v>
      </c>
      <c r="I1929" t="str">
        <f>IF($A1929="","",IF($B1929&lt;&gt;"",$B1929,IF(COUNTIFS(原始经营数据!$D$3:$D$3001,$A1929,原始经营数据!$E$3:$E$3001,"",原始经营数据!$F$3:$F$3001,$C1929,原始经营数据!$H$3:$H$3001,$D1929,原始经营数据!$K$3:$K$3001,$G1929)&gt;1,"基金整体·来源"&amp;原始经营数据!$A1930,"基金整体")))</f>
        <v>汇智国际商业中心</v>
      </c>
      <c r="J1929" t="str">
        <f t="shared" si="453"/>
        <v>其他期间</v>
      </c>
      <c r="K1929" t="str">
        <f t="shared" si="454"/>
        <v>加权平均出租率（%）</v>
      </c>
      <c r="L1929" t="str">
        <f t="shared" si="455"/>
        <v>汇智国际商业中心|加权平均出租率（%）|其他期间</v>
      </c>
      <c r="M1929">
        <f>IF($A1929="",0,IF(COUNTIF($L$2:$L1929,$L1929)=1,1,0))</f>
        <v>1</v>
      </c>
      <c r="N1929">
        <f t="shared" si="456"/>
        <v>20269</v>
      </c>
      <c r="O1929" t="str">
        <f t="shared" si="457"/>
        <v>华安中电浦软封闭式商业不动产证券投资基金|2026H1|其他期间</v>
      </c>
      <c r="P1929">
        <f>IF($A1929="",0,IF(COUNTIF($O$2:$O1929,$O1929)=1,1,0))</f>
        <v>0</v>
      </c>
      <c r="Q1929" t="str">
        <f>IF(AND($P1929=1,$A1929=经营数据!$B$3,$J1929=经营数据!$BA$5),COUNTIFS($P$2:$P$3000,1,$A$2:$A$3000,$A1929,$J$2:$J$3000,$J1929,$N$2:$N$3000,"&lt;"&amp;$N1929)+1,"")</f>
        <v/>
      </c>
      <c r="R1929" t="str">
        <f t="shared" si="458"/>
        <v>华安中电浦软封闭式商业不动产证券投资基金|汇智国际商业中心</v>
      </c>
      <c r="S1929">
        <f>IF($A1929="",0,IF(COUNTIF($R$2:$R1929,$R1929)=1,1,0))</f>
        <v>0</v>
      </c>
      <c r="T1929">
        <f t="shared" si="459"/>
        <v>1910</v>
      </c>
      <c r="U1929" t="str">
        <f>IF($A1929="","",IF($A1929=经营数据!$B$3,COUNTIFS($S$2:$S$3000,1,$A$2:$A$3000,$A1929,$T$2:$T$3000,"&lt;"&amp;$T1929)+1,""))</f>
        <v/>
      </c>
      <c r="V1929" t="str">
        <f t="shared" si="460"/>
        <v>汇智国际商业中心|服务效率</v>
      </c>
      <c r="W1929">
        <f t="shared" si="461"/>
        <v>1910</v>
      </c>
      <c r="X1929" t="str">
        <f t="shared" si="462"/>
        <v>汇智国际商业中心|加权平均出租率</v>
      </c>
      <c r="Y1929">
        <f t="shared" si="463"/>
        <v>1912</v>
      </c>
      <c r="Z1929">
        <f>IF($A1929="",0,IF(AND($M1929=1,$A1929=经营数据!$B$3,$J1929=经营数据!$BA$5,OR($I1929=经营数据!$BA$4,COUNTIF(经营数据!$AA$9:$AA$38,$I1929)&gt;0)),1,0))</f>
        <v>0</v>
      </c>
      <c r="AA1929" t="str">
        <f t="shared" si="464"/>
        <v/>
      </c>
      <c r="AB1929" t="str">
        <f t="shared" si="465"/>
        <v/>
      </c>
      <c r="AC1929">
        <f>IF($A1929="",0,IF(COUNTIF($A$2:$A1929,$A1929)=1,1,0))</f>
        <v>0</v>
      </c>
      <c r="AD1929">
        <f t="shared" si="466"/>
        <v>29</v>
      </c>
      <c r="AE1929" t="str">
        <f t="shared" si="467"/>
        <v>汇智国际商业中心|加权平均出租率（%）</v>
      </c>
    </row>
    <row r="1930" spans="1:31" x14ac:dyDescent="0.4">
      <c r="A1930" t="str">
        <f>IF(原始经营数据!$D1931="","",原始经营数据!$D1931)</f>
        <v>华安中电浦软封闭式商业不动产证券投资基金</v>
      </c>
      <c r="B1930" t="str">
        <f>IF(原始经营数据!$D1931="","",T(原始经营数据!$E1931))</f>
        <v>汇智国际商业中心</v>
      </c>
      <c r="C1930" t="str">
        <f>IF(原始经营数据!$D1931="","",原始经营数据!$F1931)</f>
        <v>2026H1</v>
      </c>
      <c r="D1930" t="str">
        <f>IF(原始经营数据!$D1931="","",原始经营数据!$H1931)</f>
        <v>租金收缴率</v>
      </c>
      <c r="E1930">
        <f>IF(原始经营数据!$D1931="","",原始经营数据!$I1931)</f>
        <v>100</v>
      </c>
      <c r="F1930" t="str">
        <f>IF(原始经营数据!$D1931="","",T(原始经营数据!$J1931))</f>
        <v>%</v>
      </c>
      <c r="G1930" t="str">
        <f>IF(原始经营数据!$D1931="","",T(原始经营数据!$K1931))</f>
        <v/>
      </c>
      <c r="H1930" t="str">
        <f>IF(原始经营数据!$D1931="","",原始经营数据!$G1931)</f>
        <v>服务效率</v>
      </c>
      <c r="I1930" t="str">
        <f>IF($A1930="","",IF($B1930&lt;&gt;"",$B1930,IF(COUNTIFS(原始经营数据!$D$3:$D$3001,$A1930,原始经营数据!$E$3:$E$3001,"",原始经营数据!$F$3:$F$3001,$C1930,原始经营数据!$H$3:$H$3001,$D1930,原始经营数据!$K$3:$K$3001,$G1930)&gt;1,"基金整体·来源"&amp;原始经营数据!$A1931,"基金整体")))</f>
        <v>汇智国际商业中心</v>
      </c>
      <c r="J1930" t="str">
        <f t="shared" si="453"/>
        <v>其他期间</v>
      </c>
      <c r="K1930" t="str">
        <f t="shared" si="454"/>
        <v>租金收缴率（%）</v>
      </c>
      <c r="L1930" t="str">
        <f t="shared" si="455"/>
        <v>汇智国际商业中心|租金收缴率（%）|其他期间</v>
      </c>
      <c r="M1930">
        <f>IF($A1930="",0,IF(COUNTIF($L$2:$L1930,$L1930)=1,1,0))</f>
        <v>1</v>
      </c>
      <c r="N1930">
        <f t="shared" si="456"/>
        <v>20269</v>
      </c>
      <c r="O1930" t="str">
        <f t="shared" si="457"/>
        <v>华安中电浦软封闭式商业不动产证券投资基金|2026H1|其他期间</v>
      </c>
      <c r="P1930">
        <f>IF($A1930="",0,IF(COUNTIF($O$2:$O1930,$O1930)=1,1,0))</f>
        <v>0</v>
      </c>
      <c r="Q1930" t="str">
        <f>IF(AND($P1930=1,$A1930=经营数据!$B$3,$J1930=经营数据!$BA$5),COUNTIFS($P$2:$P$3000,1,$A$2:$A$3000,$A1930,$J$2:$J$3000,$J1930,$N$2:$N$3000,"&lt;"&amp;$N1930)+1,"")</f>
        <v/>
      </c>
      <c r="R1930" t="str">
        <f t="shared" si="458"/>
        <v>华安中电浦软封闭式商业不动产证券投资基金|汇智国际商业中心</v>
      </c>
      <c r="S1930">
        <f>IF($A1930="",0,IF(COUNTIF($R$2:$R1930,$R1930)=1,1,0))</f>
        <v>0</v>
      </c>
      <c r="T1930">
        <f t="shared" si="459"/>
        <v>1910</v>
      </c>
      <c r="U1930" t="str">
        <f>IF($A1930="","",IF($A1930=经营数据!$B$3,COUNTIFS($S$2:$S$3000,1,$A$2:$A$3000,$A1930,$T$2:$T$3000,"&lt;"&amp;$T1930)+1,""))</f>
        <v/>
      </c>
      <c r="V1930" t="str">
        <f t="shared" si="460"/>
        <v>汇智国际商业中心|服务效率</v>
      </c>
      <c r="W1930">
        <f t="shared" si="461"/>
        <v>1910</v>
      </c>
      <c r="X1930" t="str">
        <f t="shared" si="462"/>
        <v>汇智国际商业中心|租金收缴率</v>
      </c>
      <c r="Y1930">
        <f t="shared" si="463"/>
        <v>1910</v>
      </c>
      <c r="Z1930">
        <f>IF($A1930="",0,IF(AND($M1930=1,$A1930=经营数据!$B$3,$J1930=经营数据!$BA$5,OR($I1930=经营数据!$BA$4,COUNTIF(经营数据!$AA$9:$AA$38,$I1930)&gt;0)),1,0))</f>
        <v>0</v>
      </c>
      <c r="AA1930" t="str">
        <f t="shared" si="464"/>
        <v/>
      </c>
      <c r="AB1930" t="str">
        <f t="shared" si="465"/>
        <v/>
      </c>
      <c r="AC1930">
        <f>IF($A1930="",0,IF(COUNTIF($A$2:$A1930,$A1930)=1,1,0))</f>
        <v>0</v>
      </c>
      <c r="AD1930">
        <f t="shared" si="466"/>
        <v>29</v>
      </c>
      <c r="AE1930" t="str">
        <f t="shared" si="467"/>
        <v>汇智国际商业中心|租金收缴率（%）</v>
      </c>
    </row>
    <row r="1931" spans="1:31" x14ac:dyDescent="0.4">
      <c r="A1931" t="str">
        <f>IF(原始经营数据!$D1932="","",原始经营数据!$D1932)</f>
        <v/>
      </c>
      <c r="B1931" t="str">
        <f>IF(原始经营数据!$D1932="","",T(原始经营数据!$E1932))</f>
        <v/>
      </c>
      <c r="C1931" t="str">
        <f>IF(原始经营数据!$D1932="","",原始经营数据!$F1932)</f>
        <v/>
      </c>
      <c r="D1931" t="str">
        <f>IF(原始经营数据!$D1932="","",原始经营数据!$H1932)</f>
        <v/>
      </c>
      <c r="E1931" t="str">
        <f>IF(原始经营数据!$D1932="","",原始经营数据!$I1932)</f>
        <v/>
      </c>
      <c r="F1931" t="str">
        <f>IF(原始经营数据!$D1932="","",T(原始经营数据!$J1932))</f>
        <v/>
      </c>
      <c r="G1931" t="str">
        <f>IF(原始经营数据!$D1932="","",T(原始经营数据!$K1932))</f>
        <v/>
      </c>
      <c r="H1931" t="str">
        <f>IF(原始经营数据!$D1932="","",原始经营数据!$G1932)</f>
        <v/>
      </c>
      <c r="I1931" t="str">
        <f>IF($A1931="","",IF($B1931&lt;&gt;"",$B1931,IF(COUNTIFS(原始经营数据!$D$3:$D$3001,$A1931,原始经营数据!$E$3:$E$3001,"",原始经营数据!$F$3:$F$3001,$C1931,原始经营数据!$H$3:$H$3001,$D1931,原始经营数据!$K$3:$K$3001,$G1931)&gt;1,"基金整体·来源"&amp;原始经营数据!$A1932,"基金整体")))</f>
        <v/>
      </c>
      <c r="J1931" t="str">
        <f t="shared" si="453"/>
        <v/>
      </c>
      <c r="K1931" t="str">
        <f t="shared" si="454"/>
        <v/>
      </c>
      <c r="L1931" t="str">
        <f t="shared" si="455"/>
        <v/>
      </c>
      <c r="M1931">
        <f>IF($A1931="",0,IF(COUNTIF($L$2:$L1931,$L1931)=1,1,0))</f>
        <v>0</v>
      </c>
      <c r="N1931" t="str">
        <f t="shared" si="456"/>
        <v/>
      </c>
      <c r="O1931" t="str">
        <f t="shared" si="457"/>
        <v/>
      </c>
      <c r="P1931">
        <f>IF($A1931="",0,IF(COUNTIF($O$2:$O1931,$O1931)=1,1,0))</f>
        <v>0</v>
      </c>
      <c r="Q1931" t="str">
        <f>IF(AND($P1931=1,$A1931=经营数据!$B$3,$J1931=经营数据!$BA$5),COUNTIFS($P$2:$P$3000,1,$A$2:$A$3000,$A1931,$J$2:$J$3000,$J1931,$N$2:$N$3000,"&lt;"&amp;$N1931)+1,"")</f>
        <v/>
      </c>
      <c r="R1931" t="str">
        <f t="shared" si="458"/>
        <v/>
      </c>
      <c r="S1931">
        <f>IF($A1931="",0,IF(COUNTIF($R$2:$R1931,$R1931)=1,1,0))</f>
        <v>0</v>
      </c>
      <c r="T1931" t="str">
        <f t="shared" si="459"/>
        <v/>
      </c>
      <c r="U1931" t="str">
        <f>IF($A1931="","",IF($A1931=经营数据!$B$3,COUNTIFS($S$2:$S$3000,1,$A$2:$A$3000,$A1931,$T$2:$T$3000,"&lt;"&amp;$T1931)+1,""))</f>
        <v/>
      </c>
      <c r="V1931" t="str">
        <f t="shared" si="460"/>
        <v/>
      </c>
      <c r="W1931" t="str">
        <f t="shared" si="461"/>
        <v/>
      </c>
      <c r="X1931" t="str">
        <f t="shared" si="462"/>
        <v/>
      </c>
      <c r="Y1931" t="str">
        <f t="shared" si="463"/>
        <v/>
      </c>
      <c r="Z1931">
        <f>IF($A1931="",0,IF(AND($M1931=1,$A1931=经营数据!$B$3,$J1931=经营数据!$BA$5,OR($I1931=经营数据!$BA$4,COUNTIF(经营数据!$AA$9:$AA$38,$I1931)&gt;0)),1,0))</f>
        <v>0</v>
      </c>
      <c r="AA1931" t="str">
        <f t="shared" si="464"/>
        <v/>
      </c>
      <c r="AB1931" t="str">
        <f t="shared" si="465"/>
        <v/>
      </c>
      <c r="AC1931">
        <f>IF($A1931="",0,IF(COUNTIF($A$2:$A1931,$A1931)=1,1,0))</f>
        <v>0</v>
      </c>
      <c r="AD1931">
        <f t="shared" si="466"/>
        <v>29</v>
      </c>
      <c r="AE1931" t="str">
        <f t="shared" si="467"/>
        <v/>
      </c>
    </row>
    <row r="1932" spans="1:31" x14ac:dyDescent="0.4">
      <c r="A1932" t="str">
        <f>IF(原始经营数据!$D1933="","",原始经营数据!$D1933)</f>
        <v/>
      </c>
      <c r="B1932" t="str">
        <f>IF(原始经营数据!$D1933="","",T(原始经营数据!$E1933))</f>
        <v/>
      </c>
      <c r="C1932" t="str">
        <f>IF(原始经营数据!$D1933="","",原始经营数据!$F1933)</f>
        <v/>
      </c>
      <c r="D1932" t="str">
        <f>IF(原始经营数据!$D1933="","",原始经营数据!$H1933)</f>
        <v/>
      </c>
      <c r="E1932" t="str">
        <f>IF(原始经营数据!$D1933="","",原始经营数据!$I1933)</f>
        <v/>
      </c>
      <c r="F1932" t="str">
        <f>IF(原始经营数据!$D1933="","",T(原始经营数据!$J1933))</f>
        <v/>
      </c>
      <c r="G1932" t="str">
        <f>IF(原始经营数据!$D1933="","",T(原始经营数据!$K1933))</f>
        <v/>
      </c>
      <c r="H1932" t="str">
        <f>IF(原始经营数据!$D1933="","",原始经营数据!$G1933)</f>
        <v/>
      </c>
      <c r="I1932" t="str">
        <f>IF($A1932="","",IF($B1932&lt;&gt;"",$B1932,IF(COUNTIFS(原始经营数据!$D$3:$D$3001,$A1932,原始经营数据!$E$3:$E$3001,"",原始经营数据!$F$3:$F$3001,$C1932,原始经营数据!$H$3:$H$3001,$D1932,原始经营数据!$K$3:$K$3001,$G1932)&gt;1,"基金整体·来源"&amp;原始经营数据!$A1933,"基金整体")))</f>
        <v/>
      </c>
      <c r="J1932" t="str">
        <f t="shared" si="453"/>
        <v/>
      </c>
      <c r="K1932" t="str">
        <f t="shared" si="454"/>
        <v/>
      </c>
      <c r="L1932" t="str">
        <f t="shared" si="455"/>
        <v/>
      </c>
      <c r="M1932">
        <f>IF($A1932="",0,IF(COUNTIF($L$2:$L1932,$L1932)=1,1,0))</f>
        <v>0</v>
      </c>
      <c r="N1932" t="str">
        <f t="shared" si="456"/>
        <v/>
      </c>
      <c r="O1932" t="str">
        <f t="shared" si="457"/>
        <v/>
      </c>
      <c r="P1932">
        <f>IF($A1932="",0,IF(COUNTIF($O$2:$O1932,$O1932)=1,1,0))</f>
        <v>0</v>
      </c>
      <c r="Q1932" t="str">
        <f>IF(AND($P1932=1,$A1932=经营数据!$B$3,$J1932=经营数据!$BA$5),COUNTIFS($P$2:$P$3000,1,$A$2:$A$3000,$A1932,$J$2:$J$3000,$J1932,$N$2:$N$3000,"&lt;"&amp;$N1932)+1,"")</f>
        <v/>
      </c>
      <c r="R1932" t="str">
        <f t="shared" si="458"/>
        <v/>
      </c>
      <c r="S1932">
        <f>IF($A1932="",0,IF(COUNTIF($R$2:$R1932,$R1932)=1,1,0))</f>
        <v>0</v>
      </c>
      <c r="T1932" t="str">
        <f t="shared" si="459"/>
        <v/>
      </c>
      <c r="U1932" t="str">
        <f>IF($A1932="","",IF($A1932=经营数据!$B$3,COUNTIFS($S$2:$S$3000,1,$A$2:$A$3000,$A1932,$T$2:$T$3000,"&lt;"&amp;$T1932)+1,""))</f>
        <v/>
      </c>
      <c r="V1932" t="str">
        <f t="shared" si="460"/>
        <v/>
      </c>
      <c r="W1932" t="str">
        <f t="shared" si="461"/>
        <v/>
      </c>
      <c r="X1932" t="str">
        <f t="shared" si="462"/>
        <v/>
      </c>
      <c r="Y1932" t="str">
        <f t="shared" si="463"/>
        <v/>
      </c>
      <c r="Z1932">
        <f>IF($A1932="",0,IF(AND($M1932=1,$A1932=经营数据!$B$3,$J1932=经营数据!$BA$5,OR($I1932=经营数据!$BA$4,COUNTIF(经营数据!$AA$9:$AA$38,$I1932)&gt;0)),1,0))</f>
        <v>0</v>
      </c>
      <c r="AA1932" t="str">
        <f t="shared" si="464"/>
        <v/>
      </c>
      <c r="AB1932" t="str">
        <f t="shared" si="465"/>
        <v/>
      </c>
      <c r="AC1932">
        <f>IF($A1932="",0,IF(COUNTIF($A$2:$A1932,$A1932)=1,1,0))</f>
        <v>0</v>
      </c>
      <c r="AD1932">
        <f t="shared" si="466"/>
        <v>29</v>
      </c>
      <c r="AE1932" t="str">
        <f t="shared" si="467"/>
        <v/>
      </c>
    </row>
    <row r="1933" spans="1:31" x14ac:dyDescent="0.4">
      <c r="A1933" t="str">
        <f>IF(原始经营数据!$D1934="","",原始经营数据!$D1934)</f>
        <v/>
      </c>
      <c r="B1933" t="str">
        <f>IF(原始经营数据!$D1934="","",T(原始经营数据!$E1934))</f>
        <v/>
      </c>
      <c r="C1933" t="str">
        <f>IF(原始经营数据!$D1934="","",原始经营数据!$F1934)</f>
        <v/>
      </c>
      <c r="D1933" t="str">
        <f>IF(原始经营数据!$D1934="","",原始经营数据!$H1934)</f>
        <v/>
      </c>
      <c r="E1933" t="str">
        <f>IF(原始经营数据!$D1934="","",原始经营数据!$I1934)</f>
        <v/>
      </c>
      <c r="F1933" t="str">
        <f>IF(原始经营数据!$D1934="","",T(原始经营数据!$J1934))</f>
        <v/>
      </c>
      <c r="G1933" t="str">
        <f>IF(原始经营数据!$D1934="","",T(原始经营数据!$K1934))</f>
        <v/>
      </c>
      <c r="H1933" t="str">
        <f>IF(原始经营数据!$D1934="","",原始经营数据!$G1934)</f>
        <v/>
      </c>
      <c r="I1933" t="str">
        <f>IF($A1933="","",IF($B1933&lt;&gt;"",$B1933,IF(COUNTIFS(原始经营数据!$D$3:$D$3001,$A1933,原始经营数据!$E$3:$E$3001,"",原始经营数据!$F$3:$F$3001,$C1933,原始经营数据!$H$3:$H$3001,$D1933,原始经营数据!$K$3:$K$3001,$G1933)&gt;1,"基金整体·来源"&amp;原始经营数据!$A1934,"基金整体")))</f>
        <v/>
      </c>
      <c r="J1933" t="str">
        <f t="shared" si="453"/>
        <v/>
      </c>
      <c r="K1933" t="str">
        <f t="shared" si="454"/>
        <v/>
      </c>
      <c r="L1933" t="str">
        <f t="shared" si="455"/>
        <v/>
      </c>
      <c r="M1933">
        <f>IF($A1933="",0,IF(COUNTIF($L$2:$L1933,$L1933)=1,1,0))</f>
        <v>0</v>
      </c>
      <c r="N1933" t="str">
        <f t="shared" si="456"/>
        <v/>
      </c>
      <c r="O1933" t="str">
        <f t="shared" si="457"/>
        <v/>
      </c>
      <c r="P1933">
        <f>IF($A1933="",0,IF(COUNTIF($O$2:$O1933,$O1933)=1,1,0))</f>
        <v>0</v>
      </c>
      <c r="Q1933" t="str">
        <f>IF(AND($P1933=1,$A1933=经营数据!$B$3,$J1933=经营数据!$BA$5),COUNTIFS($P$2:$P$3000,1,$A$2:$A$3000,$A1933,$J$2:$J$3000,$J1933,$N$2:$N$3000,"&lt;"&amp;$N1933)+1,"")</f>
        <v/>
      </c>
      <c r="R1933" t="str">
        <f t="shared" si="458"/>
        <v/>
      </c>
      <c r="S1933">
        <f>IF($A1933="",0,IF(COUNTIF($R$2:$R1933,$R1933)=1,1,0))</f>
        <v>0</v>
      </c>
      <c r="T1933" t="str">
        <f t="shared" si="459"/>
        <v/>
      </c>
      <c r="U1933" t="str">
        <f>IF($A1933="","",IF($A1933=经营数据!$B$3,COUNTIFS($S$2:$S$3000,1,$A$2:$A$3000,$A1933,$T$2:$T$3000,"&lt;"&amp;$T1933)+1,""))</f>
        <v/>
      </c>
      <c r="V1933" t="str">
        <f t="shared" si="460"/>
        <v/>
      </c>
      <c r="W1933" t="str">
        <f t="shared" si="461"/>
        <v/>
      </c>
      <c r="X1933" t="str">
        <f t="shared" si="462"/>
        <v/>
      </c>
      <c r="Y1933" t="str">
        <f t="shared" si="463"/>
        <v/>
      </c>
      <c r="Z1933">
        <f>IF($A1933="",0,IF(AND($M1933=1,$A1933=经营数据!$B$3,$J1933=经营数据!$BA$5,OR($I1933=经营数据!$BA$4,COUNTIF(经营数据!$AA$9:$AA$38,$I1933)&gt;0)),1,0))</f>
        <v>0</v>
      </c>
      <c r="AA1933" t="str">
        <f t="shared" si="464"/>
        <v/>
      </c>
      <c r="AB1933" t="str">
        <f t="shared" si="465"/>
        <v/>
      </c>
      <c r="AC1933">
        <f>IF($A1933="",0,IF(COUNTIF($A$2:$A1933,$A1933)=1,1,0))</f>
        <v>0</v>
      </c>
      <c r="AD1933">
        <f t="shared" si="466"/>
        <v>29</v>
      </c>
      <c r="AE1933" t="str">
        <f t="shared" si="467"/>
        <v/>
      </c>
    </row>
    <row r="1934" spans="1:31" x14ac:dyDescent="0.4">
      <c r="A1934" t="str">
        <f>IF(原始经营数据!$D1935="","",原始经营数据!$D1935)</f>
        <v/>
      </c>
      <c r="B1934" t="str">
        <f>IF(原始经营数据!$D1935="","",T(原始经营数据!$E1935))</f>
        <v/>
      </c>
      <c r="C1934" t="str">
        <f>IF(原始经营数据!$D1935="","",原始经营数据!$F1935)</f>
        <v/>
      </c>
      <c r="D1934" t="str">
        <f>IF(原始经营数据!$D1935="","",原始经营数据!$H1935)</f>
        <v/>
      </c>
      <c r="E1934" t="str">
        <f>IF(原始经营数据!$D1935="","",原始经营数据!$I1935)</f>
        <v/>
      </c>
      <c r="F1934" t="str">
        <f>IF(原始经营数据!$D1935="","",T(原始经营数据!$J1935))</f>
        <v/>
      </c>
      <c r="G1934" t="str">
        <f>IF(原始经营数据!$D1935="","",T(原始经营数据!$K1935))</f>
        <v/>
      </c>
      <c r="H1934" t="str">
        <f>IF(原始经营数据!$D1935="","",原始经营数据!$G1935)</f>
        <v/>
      </c>
      <c r="I1934" t="str">
        <f>IF($A1934="","",IF($B1934&lt;&gt;"",$B1934,IF(COUNTIFS(原始经营数据!$D$3:$D$3001,$A1934,原始经营数据!$E$3:$E$3001,"",原始经营数据!$F$3:$F$3001,$C1934,原始经营数据!$H$3:$H$3001,$D1934,原始经营数据!$K$3:$K$3001,$G1934)&gt;1,"基金整体·来源"&amp;原始经营数据!$A1935,"基金整体")))</f>
        <v/>
      </c>
      <c r="J1934" t="str">
        <f t="shared" si="453"/>
        <v/>
      </c>
      <c r="K1934" t="str">
        <f t="shared" si="454"/>
        <v/>
      </c>
      <c r="L1934" t="str">
        <f t="shared" si="455"/>
        <v/>
      </c>
      <c r="M1934">
        <f>IF($A1934="",0,IF(COUNTIF($L$2:$L1934,$L1934)=1,1,0))</f>
        <v>0</v>
      </c>
      <c r="N1934" t="str">
        <f t="shared" si="456"/>
        <v/>
      </c>
      <c r="O1934" t="str">
        <f t="shared" si="457"/>
        <v/>
      </c>
      <c r="P1934">
        <f>IF($A1934="",0,IF(COUNTIF($O$2:$O1934,$O1934)=1,1,0))</f>
        <v>0</v>
      </c>
      <c r="Q1934" t="str">
        <f>IF(AND($P1934=1,$A1934=经营数据!$B$3,$J1934=经营数据!$BA$5),COUNTIFS($P$2:$P$3000,1,$A$2:$A$3000,$A1934,$J$2:$J$3000,$J1934,$N$2:$N$3000,"&lt;"&amp;$N1934)+1,"")</f>
        <v/>
      </c>
      <c r="R1934" t="str">
        <f t="shared" si="458"/>
        <v/>
      </c>
      <c r="S1934">
        <f>IF($A1934="",0,IF(COUNTIF($R$2:$R1934,$R1934)=1,1,0))</f>
        <v>0</v>
      </c>
      <c r="T1934" t="str">
        <f t="shared" si="459"/>
        <v/>
      </c>
      <c r="U1934" t="str">
        <f>IF($A1934="","",IF($A1934=经营数据!$B$3,COUNTIFS($S$2:$S$3000,1,$A$2:$A$3000,$A1934,$T$2:$T$3000,"&lt;"&amp;$T1934)+1,""))</f>
        <v/>
      </c>
      <c r="V1934" t="str">
        <f t="shared" si="460"/>
        <v/>
      </c>
      <c r="W1934" t="str">
        <f t="shared" si="461"/>
        <v/>
      </c>
      <c r="X1934" t="str">
        <f t="shared" si="462"/>
        <v/>
      </c>
      <c r="Y1934" t="str">
        <f t="shared" si="463"/>
        <v/>
      </c>
      <c r="Z1934">
        <f>IF($A1934="",0,IF(AND($M1934=1,$A1934=经营数据!$B$3,$J1934=经营数据!$BA$5,OR($I1934=经营数据!$BA$4,COUNTIF(经营数据!$AA$9:$AA$38,$I1934)&gt;0)),1,0))</f>
        <v>0</v>
      </c>
      <c r="AA1934" t="str">
        <f t="shared" si="464"/>
        <v/>
      </c>
      <c r="AB1934" t="str">
        <f t="shared" si="465"/>
        <v/>
      </c>
      <c r="AC1934">
        <f>IF($A1934="",0,IF(COUNTIF($A$2:$A1934,$A1934)=1,1,0))</f>
        <v>0</v>
      </c>
      <c r="AD1934">
        <f t="shared" si="466"/>
        <v>29</v>
      </c>
      <c r="AE1934" t="str">
        <f t="shared" si="467"/>
        <v/>
      </c>
    </row>
    <row r="1935" spans="1:31" x14ac:dyDescent="0.4">
      <c r="A1935" t="str">
        <f>IF(原始经营数据!$D1936="","",原始经营数据!$D1936)</f>
        <v/>
      </c>
      <c r="B1935" t="str">
        <f>IF(原始经营数据!$D1936="","",T(原始经营数据!$E1936))</f>
        <v/>
      </c>
      <c r="C1935" t="str">
        <f>IF(原始经营数据!$D1936="","",原始经营数据!$F1936)</f>
        <v/>
      </c>
      <c r="D1935" t="str">
        <f>IF(原始经营数据!$D1936="","",原始经营数据!$H1936)</f>
        <v/>
      </c>
      <c r="E1935" t="str">
        <f>IF(原始经营数据!$D1936="","",原始经营数据!$I1936)</f>
        <v/>
      </c>
      <c r="F1935" t="str">
        <f>IF(原始经营数据!$D1936="","",T(原始经营数据!$J1936))</f>
        <v/>
      </c>
      <c r="G1935" t="str">
        <f>IF(原始经营数据!$D1936="","",T(原始经营数据!$K1936))</f>
        <v/>
      </c>
      <c r="H1935" t="str">
        <f>IF(原始经营数据!$D1936="","",原始经营数据!$G1936)</f>
        <v/>
      </c>
      <c r="I1935" t="str">
        <f>IF($A1935="","",IF($B1935&lt;&gt;"",$B1935,IF(COUNTIFS(原始经营数据!$D$3:$D$3001,$A1935,原始经营数据!$E$3:$E$3001,"",原始经营数据!$F$3:$F$3001,$C1935,原始经营数据!$H$3:$H$3001,$D1935,原始经营数据!$K$3:$K$3001,$G1935)&gt;1,"基金整体·来源"&amp;原始经营数据!$A1936,"基金整体")))</f>
        <v/>
      </c>
      <c r="J1935" t="str">
        <f t="shared" si="453"/>
        <v/>
      </c>
      <c r="K1935" t="str">
        <f t="shared" si="454"/>
        <v/>
      </c>
      <c r="L1935" t="str">
        <f t="shared" si="455"/>
        <v/>
      </c>
      <c r="M1935">
        <f>IF($A1935="",0,IF(COUNTIF($L$2:$L1935,$L1935)=1,1,0))</f>
        <v>0</v>
      </c>
      <c r="N1935" t="str">
        <f t="shared" si="456"/>
        <v/>
      </c>
      <c r="O1935" t="str">
        <f t="shared" si="457"/>
        <v/>
      </c>
      <c r="P1935">
        <f>IF($A1935="",0,IF(COUNTIF($O$2:$O1935,$O1935)=1,1,0))</f>
        <v>0</v>
      </c>
      <c r="Q1935" t="str">
        <f>IF(AND($P1935=1,$A1935=经营数据!$B$3,$J1935=经营数据!$BA$5),COUNTIFS($P$2:$P$3000,1,$A$2:$A$3000,$A1935,$J$2:$J$3000,$J1935,$N$2:$N$3000,"&lt;"&amp;$N1935)+1,"")</f>
        <v/>
      </c>
      <c r="R1935" t="str">
        <f t="shared" si="458"/>
        <v/>
      </c>
      <c r="S1935">
        <f>IF($A1935="",0,IF(COUNTIF($R$2:$R1935,$R1935)=1,1,0))</f>
        <v>0</v>
      </c>
      <c r="T1935" t="str">
        <f t="shared" si="459"/>
        <v/>
      </c>
      <c r="U1935" t="str">
        <f>IF($A1935="","",IF($A1935=经营数据!$B$3,COUNTIFS($S$2:$S$3000,1,$A$2:$A$3000,$A1935,$T$2:$T$3000,"&lt;"&amp;$T1935)+1,""))</f>
        <v/>
      </c>
      <c r="V1935" t="str">
        <f t="shared" si="460"/>
        <v/>
      </c>
      <c r="W1935" t="str">
        <f t="shared" si="461"/>
        <v/>
      </c>
      <c r="X1935" t="str">
        <f t="shared" si="462"/>
        <v/>
      </c>
      <c r="Y1935" t="str">
        <f t="shared" si="463"/>
        <v/>
      </c>
      <c r="Z1935">
        <f>IF($A1935="",0,IF(AND($M1935=1,$A1935=经营数据!$B$3,$J1935=经营数据!$BA$5,OR($I1935=经营数据!$BA$4,COUNTIF(经营数据!$AA$9:$AA$38,$I1935)&gt;0)),1,0))</f>
        <v>0</v>
      </c>
      <c r="AA1935" t="str">
        <f t="shared" si="464"/>
        <v/>
      </c>
      <c r="AB1935" t="str">
        <f t="shared" si="465"/>
        <v/>
      </c>
      <c r="AC1935">
        <f>IF($A1935="",0,IF(COUNTIF($A$2:$A1935,$A1935)=1,1,0))</f>
        <v>0</v>
      </c>
      <c r="AD1935">
        <f t="shared" si="466"/>
        <v>29</v>
      </c>
      <c r="AE1935" t="str">
        <f t="shared" si="467"/>
        <v/>
      </c>
    </row>
    <row r="1936" spans="1:31" x14ac:dyDescent="0.4">
      <c r="A1936" t="str">
        <f>IF(原始经营数据!$D1937="","",原始经营数据!$D1937)</f>
        <v/>
      </c>
      <c r="B1936" t="str">
        <f>IF(原始经营数据!$D1937="","",T(原始经营数据!$E1937))</f>
        <v/>
      </c>
      <c r="C1936" t="str">
        <f>IF(原始经营数据!$D1937="","",原始经营数据!$F1937)</f>
        <v/>
      </c>
      <c r="D1936" t="str">
        <f>IF(原始经营数据!$D1937="","",原始经营数据!$H1937)</f>
        <v/>
      </c>
      <c r="E1936" t="str">
        <f>IF(原始经营数据!$D1937="","",原始经营数据!$I1937)</f>
        <v/>
      </c>
      <c r="F1936" t="str">
        <f>IF(原始经营数据!$D1937="","",T(原始经营数据!$J1937))</f>
        <v/>
      </c>
      <c r="G1936" t="str">
        <f>IF(原始经营数据!$D1937="","",T(原始经营数据!$K1937))</f>
        <v/>
      </c>
      <c r="H1936" t="str">
        <f>IF(原始经营数据!$D1937="","",原始经营数据!$G1937)</f>
        <v/>
      </c>
      <c r="I1936" t="str">
        <f>IF($A1936="","",IF($B1936&lt;&gt;"",$B1936,IF(COUNTIFS(原始经营数据!$D$3:$D$3001,$A1936,原始经营数据!$E$3:$E$3001,"",原始经营数据!$F$3:$F$3001,$C1936,原始经营数据!$H$3:$H$3001,$D1936,原始经营数据!$K$3:$K$3001,$G1936)&gt;1,"基金整体·来源"&amp;原始经营数据!$A1937,"基金整体")))</f>
        <v/>
      </c>
      <c r="J1936" t="str">
        <f t="shared" si="453"/>
        <v/>
      </c>
      <c r="K1936" t="str">
        <f t="shared" si="454"/>
        <v/>
      </c>
      <c r="L1936" t="str">
        <f t="shared" si="455"/>
        <v/>
      </c>
      <c r="M1936">
        <f>IF($A1936="",0,IF(COUNTIF($L$2:$L1936,$L1936)=1,1,0))</f>
        <v>0</v>
      </c>
      <c r="N1936" t="str">
        <f t="shared" si="456"/>
        <v/>
      </c>
      <c r="O1936" t="str">
        <f t="shared" si="457"/>
        <v/>
      </c>
      <c r="P1936">
        <f>IF($A1936="",0,IF(COUNTIF($O$2:$O1936,$O1936)=1,1,0))</f>
        <v>0</v>
      </c>
      <c r="Q1936" t="str">
        <f>IF(AND($P1936=1,$A1936=经营数据!$B$3,$J1936=经营数据!$BA$5),COUNTIFS($P$2:$P$3000,1,$A$2:$A$3000,$A1936,$J$2:$J$3000,$J1936,$N$2:$N$3000,"&lt;"&amp;$N1936)+1,"")</f>
        <v/>
      </c>
      <c r="R1936" t="str">
        <f t="shared" si="458"/>
        <v/>
      </c>
      <c r="S1936">
        <f>IF($A1936="",0,IF(COUNTIF($R$2:$R1936,$R1936)=1,1,0))</f>
        <v>0</v>
      </c>
      <c r="T1936" t="str">
        <f t="shared" si="459"/>
        <v/>
      </c>
      <c r="U1936" t="str">
        <f>IF($A1936="","",IF($A1936=经营数据!$B$3,COUNTIFS($S$2:$S$3000,1,$A$2:$A$3000,$A1936,$T$2:$T$3000,"&lt;"&amp;$T1936)+1,""))</f>
        <v/>
      </c>
      <c r="V1936" t="str">
        <f t="shared" si="460"/>
        <v/>
      </c>
      <c r="W1936" t="str">
        <f t="shared" si="461"/>
        <v/>
      </c>
      <c r="X1936" t="str">
        <f t="shared" si="462"/>
        <v/>
      </c>
      <c r="Y1936" t="str">
        <f t="shared" si="463"/>
        <v/>
      </c>
      <c r="Z1936">
        <f>IF($A1936="",0,IF(AND($M1936=1,$A1936=经营数据!$B$3,$J1936=经营数据!$BA$5,OR($I1936=经营数据!$BA$4,COUNTIF(经营数据!$AA$9:$AA$38,$I1936)&gt;0)),1,0))</f>
        <v>0</v>
      </c>
      <c r="AA1936" t="str">
        <f t="shared" si="464"/>
        <v/>
      </c>
      <c r="AB1936" t="str">
        <f t="shared" si="465"/>
        <v/>
      </c>
      <c r="AC1936">
        <f>IF($A1936="",0,IF(COUNTIF($A$2:$A1936,$A1936)=1,1,0))</f>
        <v>0</v>
      </c>
      <c r="AD1936">
        <f t="shared" si="466"/>
        <v>29</v>
      </c>
      <c r="AE1936" t="str">
        <f t="shared" si="467"/>
        <v/>
      </c>
    </row>
    <row r="1937" spans="1:31" x14ac:dyDescent="0.4">
      <c r="A1937" t="str">
        <f>IF(原始经营数据!$D1938="","",原始经营数据!$D1938)</f>
        <v/>
      </c>
      <c r="B1937" t="str">
        <f>IF(原始经营数据!$D1938="","",T(原始经营数据!$E1938))</f>
        <v/>
      </c>
      <c r="C1937" t="str">
        <f>IF(原始经营数据!$D1938="","",原始经营数据!$F1938)</f>
        <v/>
      </c>
      <c r="D1937" t="str">
        <f>IF(原始经营数据!$D1938="","",原始经营数据!$H1938)</f>
        <v/>
      </c>
      <c r="E1937" t="str">
        <f>IF(原始经营数据!$D1938="","",原始经营数据!$I1938)</f>
        <v/>
      </c>
      <c r="F1937" t="str">
        <f>IF(原始经营数据!$D1938="","",T(原始经营数据!$J1938))</f>
        <v/>
      </c>
      <c r="G1937" t="str">
        <f>IF(原始经营数据!$D1938="","",T(原始经营数据!$K1938))</f>
        <v/>
      </c>
      <c r="H1937" t="str">
        <f>IF(原始经营数据!$D1938="","",原始经营数据!$G1938)</f>
        <v/>
      </c>
      <c r="I1937" t="str">
        <f>IF($A1937="","",IF($B1937&lt;&gt;"",$B1937,IF(COUNTIFS(原始经营数据!$D$3:$D$3001,$A1937,原始经营数据!$E$3:$E$3001,"",原始经营数据!$F$3:$F$3001,$C1937,原始经营数据!$H$3:$H$3001,$D1937,原始经营数据!$K$3:$K$3001,$G1937)&gt;1,"基金整体·来源"&amp;原始经营数据!$A1938,"基金整体")))</f>
        <v/>
      </c>
      <c r="J1937" t="str">
        <f t="shared" si="453"/>
        <v/>
      </c>
      <c r="K1937" t="str">
        <f t="shared" si="454"/>
        <v/>
      </c>
      <c r="L1937" t="str">
        <f t="shared" si="455"/>
        <v/>
      </c>
      <c r="M1937">
        <f>IF($A1937="",0,IF(COUNTIF($L$2:$L1937,$L1937)=1,1,0))</f>
        <v>0</v>
      </c>
      <c r="N1937" t="str">
        <f t="shared" si="456"/>
        <v/>
      </c>
      <c r="O1937" t="str">
        <f t="shared" si="457"/>
        <v/>
      </c>
      <c r="P1937">
        <f>IF($A1937="",0,IF(COUNTIF($O$2:$O1937,$O1937)=1,1,0))</f>
        <v>0</v>
      </c>
      <c r="Q1937" t="str">
        <f>IF(AND($P1937=1,$A1937=经营数据!$B$3,$J1937=经营数据!$BA$5),COUNTIFS($P$2:$P$3000,1,$A$2:$A$3000,$A1937,$J$2:$J$3000,$J1937,$N$2:$N$3000,"&lt;"&amp;$N1937)+1,"")</f>
        <v/>
      </c>
      <c r="R1937" t="str">
        <f t="shared" si="458"/>
        <v/>
      </c>
      <c r="S1937">
        <f>IF($A1937="",0,IF(COUNTIF($R$2:$R1937,$R1937)=1,1,0))</f>
        <v>0</v>
      </c>
      <c r="T1937" t="str">
        <f t="shared" si="459"/>
        <v/>
      </c>
      <c r="U1937" t="str">
        <f>IF($A1937="","",IF($A1937=经营数据!$B$3,COUNTIFS($S$2:$S$3000,1,$A$2:$A$3000,$A1937,$T$2:$T$3000,"&lt;"&amp;$T1937)+1,""))</f>
        <v/>
      </c>
      <c r="V1937" t="str">
        <f t="shared" si="460"/>
        <v/>
      </c>
      <c r="W1937" t="str">
        <f t="shared" si="461"/>
        <v/>
      </c>
      <c r="X1937" t="str">
        <f t="shared" si="462"/>
        <v/>
      </c>
      <c r="Y1937" t="str">
        <f t="shared" si="463"/>
        <v/>
      </c>
      <c r="Z1937">
        <f>IF($A1937="",0,IF(AND($M1937=1,$A1937=经营数据!$B$3,$J1937=经营数据!$BA$5,OR($I1937=经营数据!$BA$4,COUNTIF(经营数据!$AA$9:$AA$38,$I1937)&gt;0)),1,0))</f>
        <v>0</v>
      </c>
      <c r="AA1937" t="str">
        <f t="shared" si="464"/>
        <v/>
      </c>
      <c r="AB1937" t="str">
        <f t="shared" si="465"/>
        <v/>
      </c>
      <c r="AC1937">
        <f>IF($A1937="",0,IF(COUNTIF($A$2:$A1937,$A1937)=1,1,0))</f>
        <v>0</v>
      </c>
      <c r="AD1937">
        <f t="shared" si="466"/>
        <v>29</v>
      </c>
      <c r="AE1937" t="str">
        <f t="shared" si="467"/>
        <v/>
      </c>
    </row>
    <row r="1938" spans="1:31" x14ac:dyDescent="0.4">
      <c r="A1938" t="str">
        <f>IF(原始经营数据!$D1939="","",原始经营数据!$D1939)</f>
        <v/>
      </c>
      <c r="B1938" t="str">
        <f>IF(原始经营数据!$D1939="","",T(原始经营数据!$E1939))</f>
        <v/>
      </c>
      <c r="C1938" t="str">
        <f>IF(原始经营数据!$D1939="","",原始经营数据!$F1939)</f>
        <v/>
      </c>
      <c r="D1938" t="str">
        <f>IF(原始经营数据!$D1939="","",原始经营数据!$H1939)</f>
        <v/>
      </c>
      <c r="E1938" t="str">
        <f>IF(原始经营数据!$D1939="","",原始经营数据!$I1939)</f>
        <v/>
      </c>
      <c r="F1938" t="str">
        <f>IF(原始经营数据!$D1939="","",T(原始经营数据!$J1939))</f>
        <v/>
      </c>
      <c r="G1938" t="str">
        <f>IF(原始经营数据!$D1939="","",T(原始经营数据!$K1939))</f>
        <v/>
      </c>
      <c r="H1938" t="str">
        <f>IF(原始经营数据!$D1939="","",原始经营数据!$G1939)</f>
        <v/>
      </c>
      <c r="I1938" t="str">
        <f>IF($A1938="","",IF($B1938&lt;&gt;"",$B1938,IF(COUNTIFS(原始经营数据!$D$3:$D$3001,$A1938,原始经营数据!$E$3:$E$3001,"",原始经营数据!$F$3:$F$3001,$C1938,原始经营数据!$H$3:$H$3001,$D1938,原始经营数据!$K$3:$K$3001,$G1938)&gt;1,"基金整体·来源"&amp;原始经营数据!$A1939,"基金整体")))</f>
        <v/>
      </c>
      <c r="J1938" t="str">
        <f t="shared" si="453"/>
        <v/>
      </c>
      <c r="K1938" t="str">
        <f t="shared" si="454"/>
        <v/>
      </c>
      <c r="L1938" t="str">
        <f t="shared" si="455"/>
        <v/>
      </c>
      <c r="M1938">
        <f>IF($A1938="",0,IF(COUNTIF($L$2:$L1938,$L1938)=1,1,0))</f>
        <v>0</v>
      </c>
      <c r="N1938" t="str">
        <f t="shared" si="456"/>
        <v/>
      </c>
      <c r="O1938" t="str">
        <f t="shared" si="457"/>
        <v/>
      </c>
      <c r="P1938">
        <f>IF($A1938="",0,IF(COUNTIF($O$2:$O1938,$O1938)=1,1,0))</f>
        <v>0</v>
      </c>
      <c r="Q1938" t="str">
        <f>IF(AND($P1938=1,$A1938=经营数据!$B$3,$J1938=经营数据!$BA$5),COUNTIFS($P$2:$P$3000,1,$A$2:$A$3000,$A1938,$J$2:$J$3000,$J1938,$N$2:$N$3000,"&lt;"&amp;$N1938)+1,"")</f>
        <v/>
      </c>
      <c r="R1938" t="str">
        <f t="shared" si="458"/>
        <v/>
      </c>
      <c r="S1938">
        <f>IF($A1938="",0,IF(COUNTIF($R$2:$R1938,$R1938)=1,1,0))</f>
        <v>0</v>
      </c>
      <c r="T1938" t="str">
        <f t="shared" si="459"/>
        <v/>
      </c>
      <c r="U1938" t="str">
        <f>IF($A1938="","",IF($A1938=经营数据!$B$3,COUNTIFS($S$2:$S$3000,1,$A$2:$A$3000,$A1938,$T$2:$T$3000,"&lt;"&amp;$T1938)+1,""))</f>
        <v/>
      </c>
      <c r="V1938" t="str">
        <f t="shared" si="460"/>
        <v/>
      </c>
      <c r="W1938" t="str">
        <f t="shared" si="461"/>
        <v/>
      </c>
      <c r="X1938" t="str">
        <f t="shared" si="462"/>
        <v/>
      </c>
      <c r="Y1938" t="str">
        <f t="shared" si="463"/>
        <v/>
      </c>
      <c r="Z1938">
        <f>IF($A1938="",0,IF(AND($M1938=1,$A1938=经营数据!$B$3,$J1938=经营数据!$BA$5,OR($I1938=经营数据!$BA$4,COUNTIF(经营数据!$AA$9:$AA$38,$I1938)&gt;0)),1,0))</f>
        <v>0</v>
      </c>
      <c r="AA1938" t="str">
        <f t="shared" si="464"/>
        <v/>
      </c>
      <c r="AB1938" t="str">
        <f t="shared" si="465"/>
        <v/>
      </c>
      <c r="AC1938">
        <f>IF($A1938="",0,IF(COUNTIF($A$2:$A1938,$A1938)=1,1,0))</f>
        <v>0</v>
      </c>
      <c r="AD1938">
        <f t="shared" si="466"/>
        <v>29</v>
      </c>
      <c r="AE1938" t="str">
        <f t="shared" si="467"/>
        <v/>
      </c>
    </row>
    <row r="1939" spans="1:31" x14ac:dyDescent="0.4">
      <c r="A1939" t="str">
        <f>IF(原始经营数据!$D1940="","",原始经营数据!$D1940)</f>
        <v/>
      </c>
      <c r="B1939" t="str">
        <f>IF(原始经营数据!$D1940="","",T(原始经营数据!$E1940))</f>
        <v/>
      </c>
      <c r="C1939" t="str">
        <f>IF(原始经营数据!$D1940="","",原始经营数据!$F1940)</f>
        <v/>
      </c>
      <c r="D1939" t="str">
        <f>IF(原始经营数据!$D1940="","",原始经营数据!$H1940)</f>
        <v/>
      </c>
      <c r="E1939" t="str">
        <f>IF(原始经营数据!$D1940="","",原始经营数据!$I1940)</f>
        <v/>
      </c>
      <c r="F1939" t="str">
        <f>IF(原始经营数据!$D1940="","",T(原始经营数据!$J1940))</f>
        <v/>
      </c>
      <c r="G1939" t="str">
        <f>IF(原始经营数据!$D1940="","",T(原始经营数据!$K1940))</f>
        <v/>
      </c>
      <c r="H1939" t="str">
        <f>IF(原始经营数据!$D1940="","",原始经营数据!$G1940)</f>
        <v/>
      </c>
      <c r="I1939" t="str">
        <f>IF($A1939="","",IF($B1939&lt;&gt;"",$B1939,IF(COUNTIFS(原始经营数据!$D$3:$D$3001,$A1939,原始经营数据!$E$3:$E$3001,"",原始经营数据!$F$3:$F$3001,$C1939,原始经营数据!$H$3:$H$3001,$D1939,原始经营数据!$K$3:$K$3001,$G1939)&gt;1,"基金整体·来源"&amp;原始经营数据!$A1940,"基金整体")))</f>
        <v/>
      </c>
      <c r="J1939" t="str">
        <f t="shared" si="453"/>
        <v/>
      </c>
      <c r="K1939" t="str">
        <f t="shared" si="454"/>
        <v/>
      </c>
      <c r="L1939" t="str">
        <f t="shared" si="455"/>
        <v/>
      </c>
      <c r="M1939">
        <f>IF($A1939="",0,IF(COUNTIF($L$2:$L1939,$L1939)=1,1,0))</f>
        <v>0</v>
      </c>
      <c r="N1939" t="str">
        <f t="shared" si="456"/>
        <v/>
      </c>
      <c r="O1939" t="str">
        <f t="shared" si="457"/>
        <v/>
      </c>
      <c r="P1939">
        <f>IF($A1939="",0,IF(COUNTIF($O$2:$O1939,$O1939)=1,1,0))</f>
        <v>0</v>
      </c>
      <c r="Q1939" t="str">
        <f>IF(AND($P1939=1,$A1939=经营数据!$B$3,$J1939=经营数据!$BA$5),COUNTIFS($P$2:$P$3000,1,$A$2:$A$3000,$A1939,$J$2:$J$3000,$J1939,$N$2:$N$3000,"&lt;"&amp;$N1939)+1,"")</f>
        <v/>
      </c>
      <c r="R1939" t="str">
        <f t="shared" si="458"/>
        <v/>
      </c>
      <c r="S1939">
        <f>IF($A1939="",0,IF(COUNTIF($R$2:$R1939,$R1939)=1,1,0))</f>
        <v>0</v>
      </c>
      <c r="T1939" t="str">
        <f t="shared" si="459"/>
        <v/>
      </c>
      <c r="U1939" t="str">
        <f>IF($A1939="","",IF($A1939=经营数据!$B$3,COUNTIFS($S$2:$S$3000,1,$A$2:$A$3000,$A1939,$T$2:$T$3000,"&lt;"&amp;$T1939)+1,""))</f>
        <v/>
      </c>
      <c r="V1939" t="str">
        <f t="shared" si="460"/>
        <v/>
      </c>
      <c r="W1939" t="str">
        <f t="shared" si="461"/>
        <v/>
      </c>
      <c r="X1939" t="str">
        <f t="shared" si="462"/>
        <v/>
      </c>
      <c r="Y1939" t="str">
        <f t="shared" si="463"/>
        <v/>
      </c>
      <c r="Z1939">
        <f>IF($A1939="",0,IF(AND($M1939=1,$A1939=经营数据!$B$3,$J1939=经营数据!$BA$5,OR($I1939=经营数据!$BA$4,COUNTIF(经营数据!$AA$9:$AA$38,$I1939)&gt;0)),1,0))</f>
        <v>0</v>
      </c>
      <c r="AA1939" t="str">
        <f t="shared" si="464"/>
        <v/>
      </c>
      <c r="AB1939" t="str">
        <f t="shared" si="465"/>
        <v/>
      </c>
      <c r="AC1939">
        <f>IF($A1939="",0,IF(COUNTIF($A$2:$A1939,$A1939)=1,1,0))</f>
        <v>0</v>
      </c>
      <c r="AD1939">
        <f t="shared" si="466"/>
        <v>29</v>
      </c>
      <c r="AE1939" t="str">
        <f t="shared" si="467"/>
        <v/>
      </c>
    </row>
    <row r="1940" spans="1:31" x14ac:dyDescent="0.4">
      <c r="A1940" t="str">
        <f>IF(原始经营数据!$D1941="","",原始经营数据!$D1941)</f>
        <v/>
      </c>
      <c r="B1940" t="str">
        <f>IF(原始经营数据!$D1941="","",T(原始经营数据!$E1941))</f>
        <v/>
      </c>
      <c r="C1940" t="str">
        <f>IF(原始经营数据!$D1941="","",原始经营数据!$F1941)</f>
        <v/>
      </c>
      <c r="D1940" t="str">
        <f>IF(原始经营数据!$D1941="","",原始经营数据!$H1941)</f>
        <v/>
      </c>
      <c r="E1940" t="str">
        <f>IF(原始经营数据!$D1941="","",原始经营数据!$I1941)</f>
        <v/>
      </c>
      <c r="F1940" t="str">
        <f>IF(原始经营数据!$D1941="","",T(原始经营数据!$J1941))</f>
        <v/>
      </c>
      <c r="G1940" t="str">
        <f>IF(原始经营数据!$D1941="","",T(原始经营数据!$K1941))</f>
        <v/>
      </c>
      <c r="H1940" t="str">
        <f>IF(原始经营数据!$D1941="","",原始经营数据!$G1941)</f>
        <v/>
      </c>
      <c r="I1940" t="str">
        <f>IF($A1940="","",IF($B1940&lt;&gt;"",$B1940,IF(COUNTIFS(原始经营数据!$D$3:$D$3001,$A1940,原始经营数据!$E$3:$E$3001,"",原始经营数据!$F$3:$F$3001,$C1940,原始经营数据!$H$3:$H$3001,$D1940,原始经营数据!$K$3:$K$3001,$G1940)&gt;1,"基金整体·来源"&amp;原始经营数据!$A1941,"基金整体")))</f>
        <v/>
      </c>
      <c r="J1940" t="str">
        <f t="shared" si="453"/>
        <v/>
      </c>
      <c r="K1940" t="str">
        <f t="shared" si="454"/>
        <v/>
      </c>
      <c r="L1940" t="str">
        <f t="shared" si="455"/>
        <v/>
      </c>
      <c r="M1940">
        <f>IF($A1940="",0,IF(COUNTIF($L$2:$L1940,$L1940)=1,1,0))</f>
        <v>0</v>
      </c>
      <c r="N1940" t="str">
        <f t="shared" si="456"/>
        <v/>
      </c>
      <c r="O1940" t="str">
        <f t="shared" si="457"/>
        <v/>
      </c>
      <c r="P1940">
        <f>IF($A1940="",0,IF(COUNTIF($O$2:$O1940,$O1940)=1,1,0))</f>
        <v>0</v>
      </c>
      <c r="Q1940" t="str">
        <f>IF(AND($P1940=1,$A1940=经营数据!$B$3,$J1940=经营数据!$BA$5),COUNTIFS($P$2:$P$3000,1,$A$2:$A$3000,$A1940,$J$2:$J$3000,$J1940,$N$2:$N$3000,"&lt;"&amp;$N1940)+1,"")</f>
        <v/>
      </c>
      <c r="R1940" t="str">
        <f t="shared" si="458"/>
        <v/>
      </c>
      <c r="S1940">
        <f>IF($A1940="",0,IF(COUNTIF($R$2:$R1940,$R1940)=1,1,0))</f>
        <v>0</v>
      </c>
      <c r="T1940" t="str">
        <f t="shared" si="459"/>
        <v/>
      </c>
      <c r="U1940" t="str">
        <f>IF($A1940="","",IF($A1940=经营数据!$B$3,COUNTIFS($S$2:$S$3000,1,$A$2:$A$3000,$A1940,$T$2:$T$3000,"&lt;"&amp;$T1940)+1,""))</f>
        <v/>
      </c>
      <c r="V1940" t="str">
        <f t="shared" si="460"/>
        <v/>
      </c>
      <c r="W1940" t="str">
        <f t="shared" si="461"/>
        <v/>
      </c>
      <c r="X1940" t="str">
        <f t="shared" si="462"/>
        <v/>
      </c>
      <c r="Y1940" t="str">
        <f t="shared" si="463"/>
        <v/>
      </c>
      <c r="Z1940">
        <f>IF($A1940="",0,IF(AND($M1940=1,$A1940=经营数据!$B$3,$J1940=经营数据!$BA$5,OR($I1940=经营数据!$BA$4,COUNTIF(经营数据!$AA$9:$AA$38,$I1940)&gt;0)),1,0))</f>
        <v>0</v>
      </c>
      <c r="AA1940" t="str">
        <f t="shared" si="464"/>
        <v/>
      </c>
      <c r="AB1940" t="str">
        <f t="shared" si="465"/>
        <v/>
      </c>
      <c r="AC1940">
        <f>IF($A1940="",0,IF(COUNTIF($A$2:$A1940,$A1940)=1,1,0))</f>
        <v>0</v>
      </c>
      <c r="AD1940">
        <f t="shared" si="466"/>
        <v>29</v>
      </c>
      <c r="AE1940" t="str">
        <f t="shared" si="467"/>
        <v/>
      </c>
    </row>
    <row r="1941" spans="1:31" x14ac:dyDescent="0.4">
      <c r="A1941" t="str">
        <f>IF(原始经营数据!$D1942="","",原始经营数据!$D1942)</f>
        <v/>
      </c>
      <c r="B1941" t="str">
        <f>IF(原始经营数据!$D1942="","",T(原始经营数据!$E1942))</f>
        <v/>
      </c>
      <c r="C1941" t="str">
        <f>IF(原始经营数据!$D1942="","",原始经营数据!$F1942)</f>
        <v/>
      </c>
      <c r="D1941" t="str">
        <f>IF(原始经营数据!$D1942="","",原始经营数据!$H1942)</f>
        <v/>
      </c>
      <c r="E1941" t="str">
        <f>IF(原始经营数据!$D1942="","",原始经营数据!$I1942)</f>
        <v/>
      </c>
      <c r="F1941" t="str">
        <f>IF(原始经营数据!$D1942="","",T(原始经营数据!$J1942))</f>
        <v/>
      </c>
      <c r="G1941" t="str">
        <f>IF(原始经营数据!$D1942="","",T(原始经营数据!$K1942))</f>
        <v/>
      </c>
      <c r="H1941" t="str">
        <f>IF(原始经营数据!$D1942="","",原始经营数据!$G1942)</f>
        <v/>
      </c>
      <c r="I1941" t="str">
        <f>IF($A1941="","",IF($B1941&lt;&gt;"",$B1941,IF(COUNTIFS(原始经营数据!$D$3:$D$3001,$A1941,原始经营数据!$E$3:$E$3001,"",原始经营数据!$F$3:$F$3001,$C1941,原始经营数据!$H$3:$H$3001,$D1941,原始经营数据!$K$3:$K$3001,$G1941)&gt;1,"基金整体·来源"&amp;原始经营数据!$A1942,"基金整体")))</f>
        <v/>
      </c>
      <c r="J1941" t="str">
        <f t="shared" si="453"/>
        <v/>
      </c>
      <c r="K1941" t="str">
        <f t="shared" si="454"/>
        <v/>
      </c>
      <c r="L1941" t="str">
        <f t="shared" si="455"/>
        <v/>
      </c>
      <c r="M1941">
        <f>IF($A1941="",0,IF(COUNTIF($L$2:$L1941,$L1941)=1,1,0))</f>
        <v>0</v>
      </c>
      <c r="N1941" t="str">
        <f t="shared" si="456"/>
        <v/>
      </c>
      <c r="O1941" t="str">
        <f t="shared" si="457"/>
        <v/>
      </c>
      <c r="P1941">
        <f>IF($A1941="",0,IF(COUNTIF($O$2:$O1941,$O1941)=1,1,0))</f>
        <v>0</v>
      </c>
      <c r="Q1941" t="str">
        <f>IF(AND($P1941=1,$A1941=经营数据!$B$3,$J1941=经营数据!$BA$5),COUNTIFS($P$2:$P$3000,1,$A$2:$A$3000,$A1941,$J$2:$J$3000,$J1941,$N$2:$N$3000,"&lt;"&amp;$N1941)+1,"")</f>
        <v/>
      </c>
      <c r="R1941" t="str">
        <f t="shared" si="458"/>
        <v/>
      </c>
      <c r="S1941">
        <f>IF($A1941="",0,IF(COUNTIF($R$2:$R1941,$R1941)=1,1,0))</f>
        <v>0</v>
      </c>
      <c r="T1941" t="str">
        <f t="shared" si="459"/>
        <v/>
      </c>
      <c r="U1941" t="str">
        <f>IF($A1941="","",IF($A1941=经营数据!$B$3,COUNTIFS($S$2:$S$3000,1,$A$2:$A$3000,$A1941,$T$2:$T$3000,"&lt;"&amp;$T1941)+1,""))</f>
        <v/>
      </c>
      <c r="V1941" t="str">
        <f t="shared" si="460"/>
        <v/>
      </c>
      <c r="W1941" t="str">
        <f t="shared" si="461"/>
        <v/>
      </c>
      <c r="X1941" t="str">
        <f t="shared" si="462"/>
        <v/>
      </c>
      <c r="Y1941" t="str">
        <f t="shared" si="463"/>
        <v/>
      </c>
      <c r="Z1941">
        <f>IF($A1941="",0,IF(AND($M1941=1,$A1941=经营数据!$B$3,$J1941=经营数据!$BA$5,OR($I1941=经营数据!$BA$4,COUNTIF(经营数据!$AA$9:$AA$38,$I1941)&gt;0)),1,0))</f>
        <v>0</v>
      </c>
      <c r="AA1941" t="str">
        <f t="shared" si="464"/>
        <v/>
      </c>
      <c r="AB1941" t="str">
        <f t="shared" si="465"/>
        <v/>
      </c>
      <c r="AC1941">
        <f>IF($A1941="",0,IF(COUNTIF($A$2:$A1941,$A1941)=1,1,0))</f>
        <v>0</v>
      </c>
      <c r="AD1941">
        <f t="shared" si="466"/>
        <v>29</v>
      </c>
      <c r="AE1941" t="str">
        <f t="shared" si="467"/>
        <v/>
      </c>
    </row>
    <row r="1942" spans="1:31" x14ac:dyDescent="0.4">
      <c r="A1942" t="str">
        <f>IF(原始经营数据!$D1943="","",原始经营数据!$D1943)</f>
        <v/>
      </c>
      <c r="B1942" t="str">
        <f>IF(原始经营数据!$D1943="","",T(原始经营数据!$E1943))</f>
        <v/>
      </c>
      <c r="C1942" t="str">
        <f>IF(原始经营数据!$D1943="","",原始经营数据!$F1943)</f>
        <v/>
      </c>
      <c r="D1942" t="str">
        <f>IF(原始经营数据!$D1943="","",原始经营数据!$H1943)</f>
        <v/>
      </c>
      <c r="E1942" t="str">
        <f>IF(原始经营数据!$D1943="","",原始经营数据!$I1943)</f>
        <v/>
      </c>
      <c r="F1942" t="str">
        <f>IF(原始经营数据!$D1943="","",T(原始经营数据!$J1943))</f>
        <v/>
      </c>
      <c r="G1942" t="str">
        <f>IF(原始经营数据!$D1943="","",T(原始经营数据!$K1943))</f>
        <v/>
      </c>
      <c r="H1942" t="str">
        <f>IF(原始经营数据!$D1943="","",原始经营数据!$G1943)</f>
        <v/>
      </c>
      <c r="I1942" t="str">
        <f>IF($A1942="","",IF($B1942&lt;&gt;"",$B1942,IF(COUNTIFS(原始经营数据!$D$3:$D$3001,$A1942,原始经营数据!$E$3:$E$3001,"",原始经营数据!$F$3:$F$3001,$C1942,原始经营数据!$H$3:$H$3001,$D1942,原始经营数据!$K$3:$K$3001,$G1942)&gt;1,"基金整体·来源"&amp;原始经营数据!$A1943,"基金整体")))</f>
        <v/>
      </c>
      <c r="J1942" t="str">
        <f t="shared" si="453"/>
        <v/>
      </c>
      <c r="K1942" t="str">
        <f t="shared" si="454"/>
        <v/>
      </c>
      <c r="L1942" t="str">
        <f t="shared" si="455"/>
        <v/>
      </c>
      <c r="M1942">
        <f>IF($A1942="",0,IF(COUNTIF($L$2:$L1942,$L1942)=1,1,0))</f>
        <v>0</v>
      </c>
      <c r="N1942" t="str">
        <f t="shared" si="456"/>
        <v/>
      </c>
      <c r="O1942" t="str">
        <f t="shared" si="457"/>
        <v/>
      </c>
      <c r="P1942">
        <f>IF($A1942="",0,IF(COUNTIF($O$2:$O1942,$O1942)=1,1,0))</f>
        <v>0</v>
      </c>
      <c r="Q1942" t="str">
        <f>IF(AND($P1942=1,$A1942=经营数据!$B$3,$J1942=经营数据!$BA$5),COUNTIFS($P$2:$P$3000,1,$A$2:$A$3000,$A1942,$J$2:$J$3000,$J1942,$N$2:$N$3000,"&lt;"&amp;$N1942)+1,"")</f>
        <v/>
      </c>
      <c r="R1942" t="str">
        <f t="shared" si="458"/>
        <v/>
      </c>
      <c r="S1942">
        <f>IF($A1942="",0,IF(COUNTIF($R$2:$R1942,$R1942)=1,1,0))</f>
        <v>0</v>
      </c>
      <c r="T1942" t="str">
        <f t="shared" si="459"/>
        <v/>
      </c>
      <c r="U1942" t="str">
        <f>IF($A1942="","",IF($A1942=经营数据!$B$3,COUNTIFS($S$2:$S$3000,1,$A$2:$A$3000,$A1942,$T$2:$T$3000,"&lt;"&amp;$T1942)+1,""))</f>
        <v/>
      </c>
      <c r="V1942" t="str">
        <f t="shared" si="460"/>
        <v/>
      </c>
      <c r="W1942" t="str">
        <f t="shared" si="461"/>
        <v/>
      </c>
      <c r="X1942" t="str">
        <f t="shared" si="462"/>
        <v/>
      </c>
      <c r="Y1942" t="str">
        <f t="shared" si="463"/>
        <v/>
      </c>
      <c r="Z1942">
        <f>IF($A1942="",0,IF(AND($M1942=1,$A1942=经营数据!$B$3,$J1942=经营数据!$BA$5,OR($I1942=经营数据!$BA$4,COUNTIF(经营数据!$AA$9:$AA$38,$I1942)&gt;0)),1,0))</f>
        <v>0</v>
      </c>
      <c r="AA1942" t="str">
        <f t="shared" si="464"/>
        <v/>
      </c>
      <c r="AB1942" t="str">
        <f t="shared" si="465"/>
        <v/>
      </c>
      <c r="AC1942">
        <f>IF($A1942="",0,IF(COUNTIF($A$2:$A1942,$A1942)=1,1,0))</f>
        <v>0</v>
      </c>
      <c r="AD1942">
        <f t="shared" si="466"/>
        <v>29</v>
      </c>
      <c r="AE1942" t="str">
        <f t="shared" si="467"/>
        <v/>
      </c>
    </row>
    <row r="1943" spans="1:31" x14ac:dyDescent="0.4">
      <c r="A1943" t="str">
        <f>IF(原始经营数据!$D1944="","",原始经营数据!$D1944)</f>
        <v/>
      </c>
      <c r="B1943" t="str">
        <f>IF(原始经营数据!$D1944="","",T(原始经营数据!$E1944))</f>
        <v/>
      </c>
      <c r="C1943" t="str">
        <f>IF(原始经营数据!$D1944="","",原始经营数据!$F1944)</f>
        <v/>
      </c>
      <c r="D1943" t="str">
        <f>IF(原始经营数据!$D1944="","",原始经营数据!$H1944)</f>
        <v/>
      </c>
      <c r="E1943" t="str">
        <f>IF(原始经营数据!$D1944="","",原始经营数据!$I1944)</f>
        <v/>
      </c>
      <c r="F1943" t="str">
        <f>IF(原始经营数据!$D1944="","",T(原始经营数据!$J1944))</f>
        <v/>
      </c>
      <c r="G1943" t="str">
        <f>IF(原始经营数据!$D1944="","",T(原始经营数据!$K1944))</f>
        <v/>
      </c>
      <c r="H1943" t="str">
        <f>IF(原始经营数据!$D1944="","",原始经营数据!$G1944)</f>
        <v/>
      </c>
      <c r="I1943" t="str">
        <f>IF($A1943="","",IF($B1943&lt;&gt;"",$B1943,IF(COUNTIFS(原始经营数据!$D$3:$D$3001,$A1943,原始经营数据!$E$3:$E$3001,"",原始经营数据!$F$3:$F$3001,$C1943,原始经营数据!$H$3:$H$3001,$D1943,原始经营数据!$K$3:$K$3001,$G1943)&gt;1,"基金整体·来源"&amp;原始经营数据!$A1944,"基金整体")))</f>
        <v/>
      </c>
      <c r="J1943" t="str">
        <f t="shared" si="453"/>
        <v/>
      </c>
      <c r="K1943" t="str">
        <f t="shared" si="454"/>
        <v/>
      </c>
      <c r="L1943" t="str">
        <f t="shared" si="455"/>
        <v/>
      </c>
      <c r="M1943">
        <f>IF($A1943="",0,IF(COUNTIF($L$2:$L1943,$L1943)=1,1,0))</f>
        <v>0</v>
      </c>
      <c r="N1943" t="str">
        <f t="shared" si="456"/>
        <v/>
      </c>
      <c r="O1943" t="str">
        <f t="shared" si="457"/>
        <v/>
      </c>
      <c r="P1943">
        <f>IF($A1943="",0,IF(COUNTIF($O$2:$O1943,$O1943)=1,1,0))</f>
        <v>0</v>
      </c>
      <c r="Q1943" t="str">
        <f>IF(AND($P1943=1,$A1943=经营数据!$B$3,$J1943=经营数据!$BA$5),COUNTIFS($P$2:$P$3000,1,$A$2:$A$3000,$A1943,$J$2:$J$3000,$J1943,$N$2:$N$3000,"&lt;"&amp;$N1943)+1,"")</f>
        <v/>
      </c>
      <c r="R1943" t="str">
        <f t="shared" si="458"/>
        <v/>
      </c>
      <c r="S1943">
        <f>IF($A1943="",0,IF(COUNTIF($R$2:$R1943,$R1943)=1,1,0))</f>
        <v>0</v>
      </c>
      <c r="T1943" t="str">
        <f t="shared" si="459"/>
        <v/>
      </c>
      <c r="U1943" t="str">
        <f>IF($A1943="","",IF($A1943=经营数据!$B$3,COUNTIFS($S$2:$S$3000,1,$A$2:$A$3000,$A1943,$T$2:$T$3000,"&lt;"&amp;$T1943)+1,""))</f>
        <v/>
      </c>
      <c r="V1943" t="str">
        <f t="shared" si="460"/>
        <v/>
      </c>
      <c r="W1943" t="str">
        <f t="shared" si="461"/>
        <v/>
      </c>
      <c r="X1943" t="str">
        <f t="shared" si="462"/>
        <v/>
      </c>
      <c r="Y1943" t="str">
        <f t="shared" si="463"/>
        <v/>
      </c>
      <c r="Z1943">
        <f>IF($A1943="",0,IF(AND($M1943=1,$A1943=经营数据!$B$3,$J1943=经营数据!$BA$5,OR($I1943=经营数据!$BA$4,COUNTIF(经营数据!$AA$9:$AA$38,$I1943)&gt;0)),1,0))</f>
        <v>0</v>
      </c>
      <c r="AA1943" t="str">
        <f t="shared" si="464"/>
        <v/>
      </c>
      <c r="AB1943" t="str">
        <f t="shared" si="465"/>
        <v/>
      </c>
      <c r="AC1943">
        <f>IF($A1943="",0,IF(COUNTIF($A$2:$A1943,$A1943)=1,1,0))</f>
        <v>0</v>
      </c>
      <c r="AD1943">
        <f t="shared" si="466"/>
        <v>29</v>
      </c>
      <c r="AE1943" t="str">
        <f t="shared" si="467"/>
        <v/>
      </c>
    </row>
    <row r="1944" spans="1:31" x14ac:dyDescent="0.4">
      <c r="A1944" t="str">
        <f>IF(原始经营数据!$D1945="","",原始经营数据!$D1945)</f>
        <v/>
      </c>
      <c r="B1944" t="str">
        <f>IF(原始经营数据!$D1945="","",T(原始经营数据!$E1945))</f>
        <v/>
      </c>
      <c r="C1944" t="str">
        <f>IF(原始经营数据!$D1945="","",原始经营数据!$F1945)</f>
        <v/>
      </c>
      <c r="D1944" t="str">
        <f>IF(原始经营数据!$D1945="","",原始经营数据!$H1945)</f>
        <v/>
      </c>
      <c r="E1944" t="str">
        <f>IF(原始经营数据!$D1945="","",原始经营数据!$I1945)</f>
        <v/>
      </c>
      <c r="F1944" t="str">
        <f>IF(原始经营数据!$D1945="","",T(原始经营数据!$J1945))</f>
        <v/>
      </c>
      <c r="G1944" t="str">
        <f>IF(原始经营数据!$D1945="","",T(原始经营数据!$K1945))</f>
        <v/>
      </c>
      <c r="H1944" t="str">
        <f>IF(原始经营数据!$D1945="","",原始经营数据!$G1945)</f>
        <v/>
      </c>
      <c r="I1944" t="str">
        <f>IF($A1944="","",IF($B1944&lt;&gt;"",$B1944,IF(COUNTIFS(原始经营数据!$D$3:$D$3001,$A1944,原始经营数据!$E$3:$E$3001,"",原始经营数据!$F$3:$F$3001,$C1944,原始经营数据!$H$3:$H$3001,$D1944,原始经营数据!$K$3:$K$3001,$G1944)&gt;1,"基金整体·来源"&amp;原始经营数据!$A1945,"基金整体")))</f>
        <v/>
      </c>
      <c r="J1944" t="str">
        <f t="shared" si="453"/>
        <v/>
      </c>
      <c r="K1944" t="str">
        <f t="shared" si="454"/>
        <v/>
      </c>
      <c r="L1944" t="str">
        <f t="shared" si="455"/>
        <v/>
      </c>
      <c r="M1944">
        <f>IF($A1944="",0,IF(COUNTIF($L$2:$L1944,$L1944)=1,1,0))</f>
        <v>0</v>
      </c>
      <c r="N1944" t="str">
        <f t="shared" si="456"/>
        <v/>
      </c>
      <c r="O1944" t="str">
        <f t="shared" si="457"/>
        <v/>
      </c>
      <c r="P1944">
        <f>IF($A1944="",0,IF(COUNTIF($O$2:$O1944,$O1944)=1,1,0))</f>
        <v>0</v>
      </c>
      <c r="Q1944" t="str">
        <f>IF(AND($P1944=1,$A1944=经营数据!$B$3,$J1944=经营数据!$BA$5),COUNTIFS($P$2:$P$3000,1,$A$2:$A$3000,$A1944,$J$2:$J$3000,$J1944,$N$2:$N$3000,"&lt;"&amp;$N1944)+1,"")</f>
        <v/>
      </c>
      <c r="R1944" t="str">
        <f t="shared" si="458"/>
        <v/>
      </c>
      <c r="S1944">
        <f>IF($A1944="",0,IF(COUNTIF($R$2:$R1944,$R1944)=1,1,0))</f>
        <v>0</v>
      </c>
      <c r="T1944" t="str">
        <f t="shared" si="459"/>
        <v/>
      </c>
      <c r="U1944" t="str">
        <f>IF($A1944="","",IF($A1944=经营数据!$B$3,COUNTIFS($S$2:$S$3000,1,$A$2:$A$3000,$A1944,$T$2:$T$3000,"&lt;"&amp;$T1944)+1,""))</f>
        <v/>
      </c>
      <c r="V1944" t="str">
        <f t="shared" si="460"/>
        <v/>
      </c>
      <c r="W1944" t="str">
        <f t="shared" si="461"/>
        <v/>
      </c>
      <c r="X1944" t="str">
        <f t="shared" si="462"/>
        <v/>
      </c>
      <c r="Y1944" t="str">
        <f t="shared" si="463"/>
        <v/>
      </c>
      <c r="Z1944">
        <f>IF($A1944="",0,IF(AND($M1944=1,$A1944=经营数据!$B$3,$J1944=经营数据!$BA$5,OR($I1944=经营数据!$BA$4,COUNTIF(经营数据!$AA$9:$AA$38,$I1944)&gt;0)),1,0))</f>
        <v>0</v>
      </c>
      <c r="AA1944" t="str">
        <f t="shared" si="464"/>
        <v/>
      </c>
      <c r="AB1944" t="str">
        <f t="shared" si="465"/>
        <v/>
      </c>
      <c r="AC1944">
        <f>IF($A1944="",0,IF(COUNTIF($A$2:$A1944,$A1944)=1,1,0))</f>
        <v>0</v>
      </c>
      <c r="AD1944">
        <f t="shared" si="466"/>
        <v>29</v>
      </c>
      <c r="AE1944" t="str">
        <f t="shared" si="467"/>
        <v/>
      </c>
    </row>
    <row r="1945" spans="1:31" x14ac:dyDescent="0.4">
      <c r="A1945" t="str">
        <f>IF(原始经营数据!$D1946="","",原始经营数据!$D1946)</f>
        <v/>
      </c>
      <c r="B1945" t="str">
        <f>IF(原始经营数据!$D1946="","",T(原始经营数据!$E1946))</f>
        <v/>
      </c>
      <c r="C1945" t="str">
        <f>IF(原始经营数据!$D1946="","",原始经营数据!$F1946)</f>
        <v/>
      </c>
      <c r="D1945" t="str">
        <f>IF(原始经营数据!$D1946="","",原始经营数据!$H1946)</f>
        <v/>
      </c>
      <c r="E1945" t="str">
        <f>IF(原始经营数据!$D1946="","",原始经营数据!$I1946)</f>
        <v/>
      </c>
      <c r="F1945" t="str">
        <f>IF(原始经营数据!$D1946="","",T(原始经营数据!$J1946))</f>
        <v/>
      </c>
      <c r="G1945" t="str">
        <f>IF(原始经营数据!$D1946="","",T(原始经营数据!$K1946))</f>
        <v/>
      </c>
      <c r="H1945" t="str">
        <f>IF(原始经营数据!$D1946="","",原始经营数据!$G1946)</f>
        <v/>
      </c>
      <c r="I1945" t="str">
        <f>IF($A1945="","",IF($B1945&lt;&gt;"",$B1945,IF(COUNTIFS(原始经营数据!$D$3:$D$3001,$A1945,原始经营数据!$E$3:$E$3001,"",原始经营数据!$F$3:$F$3001,$C1945,原始经营数据!$H$3:$H$3001,$D1945,原始经营数据!$K$3:$K$3001,$G1945)&gt;1,"基金整体·来源"&amp;原始经营数据!$A1946,"基金整体")))</f>
        <v/>
      </c>
      <c r="J1945" t="str">
        <f t="shared" si="453"/>
        <v/>
      </c>
      <c r="K1945" t="str">
        <f t="shared" si="454"/>
        <v/>
      </c>
      <c r="L1945" t="str">
        <f t="shared" si="455"/>
        <v/>
      </c>
      <c r="M1945">
        <f>IF($A1945="",0,IF(COUNTIF($L$2:$L1945,$L1945)=1,1,0))</f>
        <v>0</v>
      </c>
      <c r="N1945" t="str">
        <f t="shared" si="456"/>
        <v/>
      </c>
      <c r="O1945" t="str">
        <f t="shared" si="457"/>
        <v/>
      </c>
      <c r="P1945">
        <f>IF($A1945="",0,IF(COUNTIF($O$2:$O1945,$O1945)=1,1,0))</f>
        <v>0</v>
      </c>
      <c r="Q1945" t="str">
        <f>IF(AND($P1945=1,$A1945=经营数据!$B$3,$J1945=经营数据!$BA$5),COUNTIFS($P$2:$P$3000,1,$A$2:$A$3000,$A1945,$J$2:$J$3000,$J1945,$N$2:$N$3000,"&lt;"&amp;$N1945)+1,"")</f>
        <v/>
      </c>
      <c r="R1945" t="str">
        <f t="shared" si="458"/>
        <v/>
      </c>
      <c r="S1945">
        <f>IF($A1945="",0,IF(COUNTIF($R$2:$R1945,$R1945)=1,1,0))</f>
        <v>0</v>
      </c>
      <c r="T1945" t="str">
        <f t="shared" si="459"/>
        <v/>
      </c>
      <c r="U1945" t="str">
        <f>IF($A1945="","",IF($A1945=经营数据!$B$3,COUNTIFS($S$2:$S$3000,1,$A$2:$A$3000,$A1945,$T$2:$T$3000,"&lt;"&amp;$T1945)+1,""))</f>
        <v/>
      </c>
      <c r="V1945" t="str">
        <f t="shared" si="460"/>
        <v/>
      </c>
      <c r="W1945" t="str">
        <f t="shared" si="461"/>
        <v/>
      </c>
      <c r="X1945" t="str">
        <f t="shared" si="462"/>
        <v/>
      </c>
      <c r="Y1945" t="str">
        <f t="shared" si="463"/>
        <v/>
      </c>
      <c r="Z1945">
        <f>IF($A1945="",0,IF(AND($M1945=1,$A1945=经营数据!$B$3,$J1945=经营数据!$BA$5,OR($I1945=经营数据!$BA$4,COUNTIF(经营数据!$AA$9:$AA$38,$I1945)&gt;0)),1,0))</f>
        <v>0</v>
      </c>
      <c r="AA1945" t="str">
        <f t="shared" si="464"/>
        <v/>
      </c>
      <c r="AB1945" t="str">
        <f t="shared" si="465"/>
        <v/>
      </c>
      <c r="AC1945">
        <f>IF($A1945="",0,IF(COUNTIF($A$2:$A1945,$A1945)=1,1,0))</f>
        <v>0</v>
      </c>
      <c r="AD1945">
        <f t="shared" si="466"/>
        <v>29</v>
      </c>
      <c r="AE1945" t="str">
        <f t="shared" si="467"/>
        <v/>
      </c>
    </row>
    <row r="1946" spans="1:31" x14ac:dyDescent="0.4">
      <c r="A1946" t="str">
        <f>IF(原始经营数据!$D1947="","",原始经营数据!$D1947)</f>
        <v/>
      </c>
      <c r="B1946" t="str">
        <f>IF(原始经营数据!$D1947="","",T(原始经营数据!$E1947))</f>
        <v/>
      </c>
      <c r="C1946" t="str">
        <f>IF(原始经营数据!$D1947="","",原始经营数据!$F1947)</f>
        <v/>
      </c>
      <c r="D1946" t="str">
        <f>IF(原始经营数据!$D1947="","",原始经营数据!$H1947)</f>
        <v/>
      </c>
      <c r="E1946" t="str">
        <f>IF(原始经营数据!$D1947="","",原始经营数据!$I1947)</f>
        <v/>
      </c>
      <c r="F1946" t="str">
        <f>IF(原始经营数据!$D1947="","",T(原始经营数据!$J1947))</f>
        <v/>
      </c>
      <c r="G1946" t="str">
        <f>IF(原始经营数据!$D1947="","",T(原始经营数据!$K1947))</f>
        <v/>
      </c>
      <c r="H1946" t="str">
        <f>IF(原始经营数据!$D1947="","",原始经营数据!$G1947)</f>
        <v/>
      </c>
      <c r="I1946" t="str">
        <f>IF($A1946="","",IF($B1946&lt;&gt;"",$B1946,IF(COUNTIFS(原始经营数据!$D$3:$D$3001,$A1946,原始经营数据!$E$3:$E$3001,"",原始经营数据!$F$3:$F$3001,$C1946,原始经营数据!$H$3:$H$3001,$D1946,原始经营数据!$K$3:$K$3001,$G1946)&gt;1,"基金整体·来源"&amp;原始经营数据!$A1947,"基金整体")))</f>
        <v/>
      </c>
      <c r="J1946" t="str">
        <f t="shared" si="453"/>
        <v/>
      </c>
      <c r="K1946" t="str">
        <f t="shared" si="454"/>
        <v/>
      </c>
      <c r="L1946" t="str">
        <f t="shared" si="455"/>
        <v/>
      </c>
      <c r="M1946">
        <f>IF($A1946="",0,IF(COUNTIF($L$2:$L1946,$L1946)=1,1,0))</f>
        <v>0</v>
      </c>
      <c r="N1946" t="str">
        <f t="shared" si="456"/>
        <v/>
      </c>
      <c r="O1946" t="str">
        <f t="shared" si="457"/>
        <v/>
      </c>
      <c r="P1946">
        <f>IF($A1946="",0,IF(COUNTIF($O$2:$O1946,$O1946)=1,1,0))</f>
        <v>0</v>
      </c>
      <c r="Q1946" t="str">
        <f>IF(AND($P1946=1,$A1946=经营数据!$B$3,$J1946=经营数据!$BA$5),COUNTIFS($P$2:$P$3000,1,$A$2:$A$3000,$A1946,$J$2:$J$3000,$J1946,$N$2:$N$3000,"&lt;"&amp;$N1946)+1,"")</f>
        <v/>
      </c>
      <c r="R1946" t="str">
        <f t="shared" si="458"/>
        <v/>
      </c>
      <c r="S1946">
        <f>IF($A1946="",0,IF(COUNTIF($R$2:$R1946,$R1946)=1,1,0))</f>
        <v>0</v>
      </c>
      <c r="T1946" t="str">
        <f t="shared" si="459"/>
        <v/>
      </c>
      <c r="U1946" t="str">
        <f>IF($A1946="","",IF($A1946=经营数据!$B$3,COUNTIFS($S$2:$S$3000,1,$A$2:$A$3000,$A1946,$T$2:$T$3000,"&lt;"&amp;$T1946)+1,""))</f>
        <v/>
      </c>
      <c r="V1946" t="str">
        <f t="shared" si="460"/>
        <v/>
      </c>
      <c r="W1946" t="str">
        <f t="shared" si="461"/>
        <v/>
      </c>
      <c r="X1946" t="str">
        <f t="shared" si="462"/>
        <v/>
      </c>
      <c r="Y1946" t="str">
        <f t="shared" si="463"/>
        <v/>
      </c>
      <c r="Z1946">
        <f>IF($A1946="",0,IF(AND($M1946=1,$A1946=经营数据!$B$3,$J1946=经营数据!$BA$5,OR($I1946=经营数据!$BA$4,COUNTIF(经营数据!$AA$9:$AA$38,$I1946)&gt;0)),1,0))</f>
        <v>0</v>
      </c>
      <c r="AA1946" t="str">
        <f t="shared" si="464"/>
        <v/>
      </c>
      <c r="AB1946" t="str">
        <f t="shared" si="465"/>
        <v/>
      </c>
      <c r="AC1946">
        <f>IF($A1946="",0,IF(COUNTIF($A$2:$A1946,$A1946)=1,1,0))</f>
        <v>0</v>
      </c>
      <c r="AD1946">
        <f t="shared" si="466"/>
        <v>29</v>
      </c>
      <c r="AE1946" t="str">
        <f t="shared" si="467"/>
        <v/>
      </c>
    </row>
    <row r="1947" spans="1:31" x14ac:dyDescent="0.4">
      <c r="A1947" t="str">
        <f>IF(原始经营数据!$D1948="","",原始经营数据!$D1948)</f>
        <v/>
      </c>
      <c r="B1947" t="str">
        <f>IF(原始经营数据!$D1948="","",T(原始经营数据!$E1948))</f>
        <v/>
      </c>
      <c r="C1947" t="str">
        <f>IF(原始经营数据!$D1948="","",原始经营数据!$F1948)</f>
        <v/>
      </c>
      <c r="D1947" t="str">
        <f>IF(原始经营数据!$D1948="","",原始经营数据!$H1948)</f>
        <v/>
      </c>
      <c r="E1947" t="str">
        <f>IF(原始经营数据!$D1948="","",原始经营数据!$I1948)</f>
        <v/>
      </c>
      <c r="F1947" t="str">
        <f>IF(原始经营数据!$D1948="","",T(原始经营数据!$J1948))</f>
        <v/>
      </c>
      <c r="G1947" t="str">
        <f>IF(原始经营数据!$D1948="","",T(原始经营数据!$K1948))</f>
        <v/>
      </c>
      <c r="H1947" t="str">
        <f>IF(原始经营数据!$D1948="","",原始经营数据!$G1948)</f>
        <v/>
      </c>
      <c r="I1947" t="str">
        <f>IF($A1947="","",IF($B1947&lt;&gt;"",$B1947,IF(COUNTIFS(原始经营数据!$D$3:$D$3001,$A1947,原始经营数据!$E$3:$E$3001,"",原始经营数据!$F$3:$F$3001,$C1947,原始经营数据!$H$3:$H$3001,$D1947,原始经营数据!$K$3:$K$3001,$G1947)&gt;1,"基金整体·来源"&amp;原始经营数据!$A1948,"基金整体")))</f>
        <v/>
      </c>
      <c r="J1947" t="str">
        <f t="shared" si="453"/>
        <v/>
      </c>
      <c r="K1947" t="str">
        <f t="shared" si="454"/>
        <v/>
      </c>
      <c r="L1947" t="str">
        <f t="shared" si="455"/>
        <v/>
      </c>
      <c r="M1947">
        <f>IF($A1947="",0,IF(COUNTIF($L$2:$L1947,$L1947)=1,1,0))</f>
        <v>0</v>
      </c>
      <c r="N1947" t="str">
        <f t="shared" si="456"/>
        <v/>
      </c>
      <c r="O1947" t="str">
        <f t="shared" si="457"/>
        <v/>
      </c>
      <c r="P1947">
        <f>IF($A1947="",0,IF(COUNTIF($O$2:$O1947,$O1947)=1,1,0))</f>
        <v>0</v>
      </c>
      <c r="Q1947" t="str">
        <f>IF(AND($P1947=1,$A1947=经营数据!$B$3,$J1947=经营数据!$BA$5),COUNTIFS($P$2:$P$3000,1,$A$2:$A$3000,$A1947,$J$2:$J$3000,$J1947,$N$2:$N$3000,"&lt;"&amp;$N1947)+1,"")</f>
        <v/>
      </c>
      <c r="R1947" t="str">
        <f t="shared" si="458"/>
        <v/>
      </c>
      <c r="S1947">
        <f>IF($A1947="",0,IF(COUNTIF($R$2:$R1947,$R1947)=1,1,0))</f>
        <v>0</v>
      </c>
      <c r="T1947" t="str">
        <f t="shared" si="459"/>
        <v/>
      </c>
      <c r="U1947" t="str">
        <f>IF($A1947="","",IF($A1947=经营数据!$B$3,COUNTIFS($S$2:$S$3000,1,$A$2:$A$3000,$A1947,$T$2:$T$3000,"&lt;"&amp;$T1947)+1,""))</f>
        <v/>
      </c>
      <c r="V1947" t="str">
        <f t="shared" si="460"/>
        <v/>
      </c>
      <c r="W1947" t="str">
        <f t="shared" si="461"/>
        <v/>
      </c>
      <c r="X1947" t="str">
        <f t="shared" si="462"/>
        <v/>
      </c>
      <c r="Y1947" t="str">
        <f t="shared" si="463"/>
        <v/>
      </c>
      <c r="Z1947">
        <f>IF($A1947="",0,IF(AND($M1947=1,$A1947=经营数据!$B$3,$J1947=经营数据!$BA$5,OR($I1947=经营数据!$BA$4,COUNTIF(经营数据!$AA$9:$AA$38,$I1947)&gt;0)),1,0))</f>
        <v>0</v>
      </c>
      <c r="AA1947" t="str">
        <f t="shared" si="464"/>
        <v/>
      </c>
      <c r="AB1947" t="str">
        <f t="shared" si="465"/>
        <v/>
      </c>
      <c r="AC1947">
        <f>IF($A1947="",0,IF(COUNTIF($A$2:$A1947,$A1947)=1,1,0))</f>
        <v>0</v>
      </c>
      <c r="AD1947">
        <f t="shared" si="466"/>
        <v>29</v>
      </c>
      <c r="AE1947" t="str">
        <f t="shared" si="467"/>
        <v/>
      </c>
    </row>
    <row r="1948" spans="1:31" x14ac:dyDescent="0.4">
      <c r="A1948" t="str">
        <f>IF(原始经营数据!$D1949="","",原始经营数据!$D1949)</f>
        <v/>
      </c>
      <c r="B1948" t="str">
        <f>IF(原始经营数据!$D1949="","",T(原始经营数据!$E1949))</f>
        <v/>
      </c>
      <c r="C1948" t="str">
        <f>IF(原始经营数据!$D1949="","",原始经营数据!$F1949)</f>
        <v/>
      </c>
      <c r="D1948" t="str">
        <f>IF(原始经营数据!$D1949="","",原始经营数据!$H1949)</f>
        <v/>
      </c>
      <c r="E1948" t="str">
        <f>IF(原始经营数据!$D1949="","",原始经营数据!$I1949)</f>
        <v/>
      </c>
      <c r="F1948" t="str">
        <f>IF(原始经营数据!$D1949="","",T(原始经营数据!$J1949))</f>
        <v/>
      </c>
      <c r="G1948" t="str">
        <f>IF(原始经营数据!$D1949="","",T(原始经营数据!$K1949))</f>
        <v/>
      </c>
      <c r="H1948" t="str">
        <f>IF(原始经营数据!$D1949="","",原始经营数据!$G1949)</f>
        <v/>
      </c>
      <c r="I1948" t="str">
        <f>IF($A1948="","",IF($B1948&lt;&gt;"",$B1948,IF(COUNTIFS(原始经营数据!$D$3:$D$3001,$A1948,原始经营数据!$E$3:$E$3001,"",原始经营数据!$F$3:$F$3001,$C1948,原始经营数据!$H$3:$H$3001,$D1948,原始经营数据!$K$3:$K$3001,$G1948)&gt;1,"基金整体·来源"&amp;原始经营数据!$A1949,"基金整体")))</f>
        <v/>
      </c>
      <c r="J1948" t="str">
        <f t="shared" si="453"/>
        <v/>
      </c>
      <c r="K1948" t="str">
        <f t="shared" si="454"/>
        <v/>
      </c>
      <c r="L1948" t="str">
        <f t="shared" si="455"/>
        <v/>
      </c>
      <c r="M1948">
        <f>IF($A1948="",0,IF(COUNTIF($L$2:$L1948,$L1948)=1,1,0))</f>
        <v>0</v>
      </c>
      <c r="N1948" t="str">
        <f t="shared" si="456"/>
        <v/>
      </c>
      <c r="O1948" t="str">
        <f t="shared" si="457"/>
        <v/>
      </c>
      <c r="P1948">
        <f>IF($A1948="",0,IF(COUNTIF($O$2:$O1948,$O1948)=1,1,0))</f>
        <v>0</v>
      </c>
      <c r="Q1948" t="str">
        <f>IF(AND($P1948=1,$A1948=经营数据!$B$3,$J1948=经营数据!$BA$5),COUNTIFS($P$2:$P$3000,1,$A$2:$A$3000,$A1948,$J$2:$J$3000,$J1948,$N$2:$N$3000,"&lt;"&amp;$N1948)+1,"")</f>
        <v/>
      </c>
      <c r="R1948" t="str">
        <f t="shared" si="458"/>
        <v/>
      </c>
      <c r="S1948">
        <f>IF($A1948="",0,IF(COUNTIF($R$2:$R1948,$R1948)=1,1,0))</f>
        <v>0</v>
      </c>
      <c r="T1948" t="str">
        <f t="shared" si="459"/>
        <v/>
      </c>
      <c r="U1948" t="str">
        <f>IF($A1948="","",IF($A1948=经营数据!$B$3,COUNTIFS($S$2:$S$3000,1,$A$2:$A$3000,$A1948,$T$2:$T$3000,"&lt;"&amp;$T1948)+1,""))</f>
        <v/>
      </c>
      <c r="V1948" t="str">
        <f t="shared" si="460"/>
        <v/>
      </c>
      <c r="W1948" t="str">
        <f t="shared" si="461"/>
        <v/>
      </c>
      <c r="X1948" t="str">
        <f t="shared" si="462"/>
        <v/>
      </c>
      <c r="Y1948" t="str">
        <f t="shared" si="463"/>
        <v/>
      </c>
      <c r="Z1948">
        <f>IF($A1948="",0,IF(AND($M1948=1,$A1948=经营数据!$B$3,$J1948=经营数据!$BA$5,OR($I1948=经营数据!$BA$4,COUNTIF(经营数据!$AA$9:$AA$38,$I1948)&gt;0)),1,0))</f>
        <v>0</v>
      </c>
      <c r="AA1948" t="str">
        <f t="shared" si="464"/>
        <v/>
      </c>
      <c r="AB1948" t="str">
        <f t="shared" si="465"/>
        <v/>
      </c>
      <c r="AC1948">
        <f>IF($A1948="",0,IF(COUNTIF($A$2:$A1948,$A1948)=1,1,0))</f>
        <v>0</v>
      </c>
      <c r="AD1948">
        <f t="shared" si="466"/>
        <v>29</v>
      </c>
      <c r="AE1948" t="str">
        <f t="shared" si="467"/>
        <v/>
      </c>
    </row>
    <row r="1949" spans="1:31" x14ac:dyDescent="0.4">
      <c r="A1949" t="str">
        <f>IF(原始经营数据!$D1950="","",原始经营数据!$D1950)</f>
        <v/>
      </c>
      <c r="B1949" t="str">
        <f>IF(原始经营数据!$D1950="","",T(原始经营数据!$E1950))</f>
        <v/>
      </c>
      <c r="C1949" t="str">
        <f>IF(原始经营数据!$D1950="","",原始经营数据!$F1950)</f>
        <v/>
      </c>
      <c r="D1949" t="str">
        <f>IF(原始经营数据!$D1950="","",原始经营数据!$H1950)</f>
        <v/>
      </c>
      <c r="E1949" t="str">
        <f>IF(原始经营数据!$D1950="","",原始经营数据!$I1950)</f>
        <v/>
      </c>
      <c r="F1949" t="str">
        <f>IF(原始经营数据!$D1950="","",T(原始经营数据!$J1950))</f>
        <v/>
      </c>
      <c r="G1949" t="str">
        <f>IF(原始经营数据!$D1950="","",T(原始经营数据!$K1950))</f>
        <v/>
      </c>
      <c r="H1949" t="str">
        <f>IF(原始经营数据!$D1950="","",原始经营数据!$G1950)</f>
        <v/>
      </c>
      <c r="I1949" t="str">
        <f>IF($A1949="","",IF($B1949&lt;&gt;"",$B1949,IF(COUNTIFS(原始经营数据!$D$3:$D$3001,$A1949,原始经营数据!$E$3:$E$3001,"",原始经营数据!$F$3:$F$3001,$C1949,原始经营数据!$H$3:$H$3001,$D1949,原始经营数据!$K$3:$K$3001,$G1949)&gt;1,"基金整体·来源"&amp;原始经营数据!$A1950,"基金整体")))</f>
        <v/>
      </c>
      <c r="J1949" t="str">
        <f t="shared" si="453"/>
        <v/>
      </c>
      <c r="K1949" t="str">
        <f t="shared" si="454"/>
        <v/>
      </c>
      <c r="L1949" t="str">
        <f t="shared" si="455"/>
        <v/>
      </c>
      <c r="M1949">
        <f>IF($A1949="",0,IF(COUNTIF($L$2:$L1949,$L1949)=1,1,0))</f>
        <v>0</v>
      </c>
      <c r="N1949" t="str">
        <f t="shared" si="456"/>
        <v/>
      </c>
      <c r="O1949" t="str">
        <f t="shared" si="457"/>
        <v/>
      </c>
      <c r="P1949">
        <f>IF($A1949="",0,IF(COUNTIF($O$2:$O1949,$O1949)=1,1,0))</f>
        <v>0</v>
      </c>
      <c r="Q1949" t="str">
        <f>IF(AND($P1949=1,$A1949=经营数据!$B$3,$J1949=经营数据!$BA$5),COUNTIFS($P$2:$P$3000,1,$A$2:$A$3000,$A1949,$J$2:$J$3000,$J1949,$N$2:$N$3000,"&lt;"&amp;$N1949)+1,"")</f>
        <v/>
      </c>
      <c r="R1949" t="str">
        <f t="shared" si="458"/>
        <v/>
      </c>
      <c r="S1949">
        <f>IF($A1949="",0,IF(COUNTIF($R$2:$R1949,$R1949)=1,1,0))</f>
        <v>0</v>
      </c>
      <c r="T1949" t="str">
        <f t="shared" si="459"/>
        <v/>
      </c>
      <c r="U1949" t="str">
        <f>IF($A1949="","",IF($A1949=经营数据!$B$3,COUNTIFS($S$2:$S$3000,1,$A$2:$A$3000,$A1949,$T$2:$T$3000,"&lt;"&amp;$T1949)+1,""))</f>
        <v/>
      </c>
      <c r="V1949" t="str">
        <f t="shared" si="460"/>
        <v/>
      </c>
      <c r="W1949" t="str">
        <f t="shared" si="461"/>
        <v/>
      </c>
      <c r="X1949" t="str">
        <f t="shared" si="462"/>
        <v/>
      </c>
      <c r="Y1949" t="str">
        <f t="shared" si="463"/>
        <v/>
      </c>
      <c r="Z1949">
        <f>IF($A1949="",0,IF(AND($M1949=1,$A1949=经营数据!$B$3,$J1949=经营数据!$BA$5,OR($I1949=经营数据!$BA$4,COUNTIF(经营数据!$AA$9:$AA$38,$I1949)&gt;0)),1,0))</f>
        <v>0</v>
      </c>
      <c r="AA1949" t="str">
        <f t="shared" si="464"/>
        <v/>
      </c>
      <c r="AB1949" t="str">
        <f t="shared" si="465"/>
        <v/>
      </c>
      <c r="AC1949">
        <f>IF($A1949="",0,IF(COUNTIF($A$2:$A1949,$A1949)=1,1,0))</f>
        <v>0</v>
      </c>
      <c r="AD1949">
        <f t="shared" si="466"/>
        <v>29</v>
      </c>
      <c r="AE1949" t="str">
        <f t="shared" si="467"/>
        <v/>
      </c>
    </row>
    <row r="1950" spans="1:31" x14ac:dyDescent="0.4">
      <c r="A1950" t="str">
        <f>IF(原始经营数据!$D1951="","",原始经营数据!$D1951)</f>
        <v/>
      </c>
      <c r="B1950" t="str">
        <f>IF(原始经营数据!$D1951="","",T(原始经营数据!$E1951))</f>
        <v/>
      </c>
      <c r="C1950" t="str">
        <f>IF(原始经营数据!$D1951="","",原始经营数据!$F1951)</f>
        <v/>
      </c>
      <c r="D1950" t="str">
        <f>IF(原始经营数据!$D1951="","",原始经营数据!$H1951)</f>
        <v/>
      </c>
      <c r="E1950" t="str">
        <f>IF(原始经营数据!$D1951="","",原始经营数据!$I1951)</f>
        <v/>
      </c>
      <c r="F1950" t="str">
        <f>IF(原始经营数据!$D1951="","",T(原始经营数据!$J1951))</f>
        <v/>
      </c>
      <c r="G1950" t="str">
        <f>IF(原始经营数据!$D1951="","",T(原始经营数据!$K1951))</f>
        <v/>
      </c>
      <c r="H1950" t="str">
        <f>IF(原始经营数据!$D1951="","",原始经营数据!$G1951)</f>
        <v/>
      </c>
      <c r="I1950" t="str">
        <f>IF($A1950="","",IF($B1950&lt;&gt;"",$B1950,IF(COUNTIFS(原始经营数据!$D$3:$D$3001,$A1950,原始经营数据!$E$3:$E$3001,"",原始经营数据!$F$3:$F$3001,$C1950,原始经营数据!$H$3:$H$3001,$D1950,原始经营数据!$K$3:$K$3001,$G1950)&gt;1,"基金整体·来源"&amp;原始经营数据!$A1951,"基金整体")))</f>
        <v/>
      </c>
      <c r="J1950" t="str">
        <f t="shared" si="453"/>
        <v/>
      </c>
      <c r="K1950" t="str">
        <f t="shared" si="454"/>
        <v/>
      </c>
      <c r="L1950" t="str">
        <f t="shared" si="455"/>
        <v/>
      </c>
      <c r="M1950">
        <f>IF($A1950="",0,IF(COUNTIF($L$2:$L1950,$L1950)=1,1,0))</f>
        <v>0</v>
      </c>
      <c r="N1950" t="str">
        <f t="shared" si="456"/>
        <v/>
      </c>
      <c r="O1950" t="str">
        <f t="shared" si="457"/>
        <v/>
      </c>
      <c r="P1950">
        <f>IF($A1950="",0,IF(COUNTIF($O$2:$O1950,$O1950)=1,1,0))</f>
        <v>0</v>
      </c>
      <c r="Q1950" t="str">
        <f>IF(AND($P1950=1,$A1950=经营数据!$B$3,$J1950=经营数据!$BA$5),COUNTIFS($P$2:$P$3000,1,$A$2:$A$3000,$A1950,$J$2:$J$3000,$J1950,$N$2:$N$3000,"&lt;"&amp;$N1950)+1,"")</f>
        <v/>
      </c>
      <c r="R1950" t="str">
        <f t="shared" si="458"/>
        <v/>
      </c>
      <c r="S1950">
        <f>IF($A1950="",0,IF(COUNTIF($R$2:$R1950,$R1950)=1,1,0))</f>
        <v>0</v>
      </c>
      <c r="T1950" t="str">
        <f t="shared" si="459"/>
        <v/>
      </c>
      <c r="U1950" t="str">
        <f>IF($A1950="","",IF($A1950=经营数据!$B$3,COUNTIFS($S$2:$S$3000,1,$A$2:$A$3000,$A1950,$T$2:$T$3000,"&lt;"&amp;$T1950)+1,""))</f>
        <v/>
      </c>
      <c r="V1950" t="str">
        <f t="shared" si="460"/>
        <v/>
      </c>
      <c r="W1950" t="str">
        <f t="shared" si="461"/>
        <v/>
      </c>
      <c r="X1950" t="str">
        <f t="shared" si="462"/>
        <v/>
      </c>
      <c r="Y1950" t="str">
        <f t="shared" si="463"/>
        <v/>
      </c>
      <c r="Z1950">
        <f>IF($A1950="",0,IF(AND($M1950=1,$A1950=经营数据!$B$3,$J1950=经营数据!$BA$5,OR($I1950=经营数据!$BA$4,COUNTIF(经营数据!$AA$9:$AA$38,$I1950)&gt;0)),1,0))</f>
        <v>0</v>
      </c>
      <c r="AA1950" t="str">
        <f t="shared" si="464"/>
        <v/>
      </c>
      <c r="AB1950" t="str">
        <f t="shared" si="465"/>
        <v/>
      </c>
      <c r="AC1950">
        <f>IF($A1950="",0,IF(COUNTIF($A$2:$A1950,$A1950)=1,1,0))</f>
        <v>0</v>
      </c>
      <c r="AD1950">
        <f t="shared" si="466"/>
        <v>29</v>
      </c>
      <c r="AE1950" t="str">
        <f t="shared" si="467"/>
        <v/>
      </c>
    </row>
    <row r="1951" spans="1:31" x14ac:dyDescent="0.4">
      <c r="A1951" t="str">
        <f>IF(原始经营数据!$D1952="","",原始经营数据!$D1952)</f>
        <v/>
      </c>
      <c r="B1951" t="str">
        <f>IF(原始经营数据!$D1952="","",T(原始经营数据!$E1952))</f>
        <v/>
      </c>
      <c r="C1951" t="str">
        <f>IF(原始经营数据!$D1952="","",原始经营数据!$F1952)</f>
        <v/>
      </c>
      <c r="D1951" t="str">
        <f>IF(原始经营数据!$D1952="","",原始经营数据!$H1952)</f>
        <v/>
      </c>
      <c r="E1951" t="str">
        <f>IF(原始经营数据!$D1952="","",原始经营数据!$I1952)</f>
        <v/>
      </c>
      <c r="F1951" t="str">
        <f>IF(原始经营数据!$D1952="","",T(原始经营数据!$J1952))</f>
        <v/>
      </c>
      <c r="G1951" t="str">
        <f>IF(原始经营数据!$D1952="","",T(原始经营数据!$K1952))</f>
        <v/>
      </c>
      <c r="H1951" t="str">
        <f>IF(原始经营数据!$D1952="","",原始经营数据!$G1952)</f>
        <v/>
      </c>
      <c r="I1951" t="str">
        <f>IF($A1951="","",IF($B1951&lt;&gt;"",$B1951,IF(COUNTIFS(原始经营数据!$D$3:$D$3001,$A1951,原始经营数据!$E$3:$E$3001,"",原始经营数据!$F$3:$F$3001,$C1951,原始经营数据!$H$3:$H$3001,$D1951,原始经营数据!$K$3:$K$3001,$G1951)&gt;1,"基金整体·来源"&amp;原始经营数据!$A1952,"基金整体")))</f>
        <v/>
      </c>
      <c r="J1951" t="str">
        <f t="shared" si="453"/>
        <v/>
      </c>
      <c r="K1951" t="str">
        <f t="shared" si="454"/>
        <v/>
      </c>
      <c r="L1951" t="str">
        <f t="shared" si="455"/>
        <v/>
      </c>
      <c r="M1951">
        <f>IF($A1951="",0,IF(COUNTIF($L$2:$L1951,$L1951)=1,1,0))</f>
        <v>0</v>
      </c>
      <c r="N1951" t="str">
        <f t="shared" si="456"/>
        <v/>
      </c>
      <c r="O1951" t="str">
        <f t="shared" si="457"/>
        <v/>
      </c>
      <c r="P1951">
        <f>IF($A1951="",0,IF(COUNTIF($O$2:$O1951,$O1951)=1,1,0))</f>
        <v>0</v>
      </c>
      <c r="Q1951" t="str">
        <f>IF(AND($P1951=1,$A1951=经营数据!$B$3,$J1951=经营数据!$BA$5),COUNTIFS($P$2:$P$3000,1,$A$2:$A$3000,$A1951,$J$2:$J$3000,$J1951,$N$2:$N$3000,"&lt;"&amp;$N1951)+1,"")</f>
        <v/>
      </c>
      <c r="R1951" t="str">
        <f t="shared" si="458"/>
        <v/>
      </c>
      <c r="S1951">
        <f>IF($A1951="",0,IF(COUNTIF($R$2:$R1951,$R1951)=1,1,0))</f>
        <v>0</v>
      </c>
      <c r="T1951" t="str">
        <f t="shared" si="459"/>
        <v/>
      </c>
      <c r="U1951" t="str">
        <f>IF($A1951="","",IF($A1951=经营数据!$B$3,COUNTIFS($S$2:$S$3000,1,$A$2:$A$3000,$A1951,$T$2:$T$3000,"&lt;"&amp;$T1951)+1,""))</f>
        <v/>
      </c>
      <c r="V1951" t="str">
        <f t="shared" si="460"/>
        <v/>
      </c>
      <c r="W1951" t="str">
        <f t="shared" si="461"/>
        <v/>
      </c>
      <c r="X1951" t="str">
        <f t="shared" si="462"/>
        <v/>
      </c>
      <c r="Y1951" t="str">
        <f t="shared" si="463"/>
        <v/>
      </c>
      <c r="Z1951">
        <f>IF($A1951="",0,IF(AND($M1951=1,$A1951=经营数据!$B$3,$J1951=经营数据!$BA$5,OR($I1951=经营数据!$BA$4,COUNTIF(经营数据!$AA$9:$AA$38,$I1951)&gt;0)),1,0))</f>
        <v>0</v>
      </c>
      <c r="AA1951" t="str">
        <f t="shared" si="464"/>
        <v/>
      </c>
      <c r="AB1951" t="str">
        <f t="shared" si="465"/>
        <v/>
      </c>
      <c r="AC1951">
        <f>IF($A1951="",0,IF(COUNTIF($A$2:$A1951,$A1951)=1,1,0))</f>
        <v>0</v>
      </c>
      <c r="AD1951">
        <f t="shared" si="466"/>
        <v>29</v>
      </c>
      <c r="AE1951" t="str">
        <f t="shared" si="467"/>
        <v/>
      </c>
    </row>
    <row r="1952" spans="1:31" x14ac:dyDescent="0.4">
      <c r="A1952" t="str">
        <f>IF(原始经营数据!$D1953="","",原始经营数据!$D1953)</f>
        <v/>
      </c>
      <c r="B1952" t="str">
        <f>IF(原始经营数据!$D1953="","",T(原始经营数据!$E1953))</f>
        <v/>
      </c>
      <c r="C1952" t="str">
        <f>IF(原始经营数据!$D1953="","",原始经营数据!$F1953)</f>
        <v/>
      </c>
      <c r="D1952" t="str">
        <f>IF(原始经营数据!$D1953="","",原始经营数据!$H1953)</f>
        <v/>
      </c>
      <c r="E1952" t="str">
        <f>IF(原始经营数据!$D1953="","",原始经营数据!$I1953)</f>
        <v/>
      </c>
      <c r="F1952" t="str">
        <f>IF(原始经营数据!$D1953="","",T(原始经营数据!$J1953))</f>
        <v/>
      </c>
      <c r="G1952" t="str">
        <f>IF(原始经营数据!$D1953="","",T(原始经营数据!$K1953))</f>
        <v/>
      </c>
      <c r="H1952" t="str">
        <f>IF(原始经营数据!$D1953="","",原始经营数据!$G1953)</f>
        <v/>
      </c>
      <c r="I1952" t="str">
        <f>IF($A1952="","",IF($B1952&lt;&gt;"",$B1952,IF(COUNTIFS(原始经营数据!$D$3:$D$3001,$A1952,原始经营数据!$E$3:$E$3001,"",原始经营数据!$F$3:$F$3001,$C1952,原始经营数据!$H$3:$H$3001,$D1952,原始经营数据!$K$3:$K$3001,$G1952)&gt;1,"基金整体·来源"&amp;原始经营数据!$A1953,"基金整体")))</f>
        <v/>
      </c>
      <c r="J1952" t="str">
        <f t="shared" si="453"/>
        <v/>
      </c>
      <c r="K1952" t="str">
        <f t="shared" si="454"/>
        <v/>
      </c>
      <c r="L1952" t="str">
        <f t="shared" si="455"/>
        <v/>
      </c>
      <c r="M1952">
        <f>IF($A1952="",0,IF(COUNTIF($L$2:$L1952,$L1952)=1,1,0))</f>
        <v>0</v>
      </c>
      <c r="N1952" t="str">
        <f t="shared" si="456"/>
        <v/>
      </c>
      <c r="O1952" t="str">
        <f t="shared" si="457"/>
        <v/>
      </c>
      <c r="P1952">
        <f>IF($A1952="",0,IF(COUNTIF($O$2:$O1952,$O1952)=1,1,0))</f>
        <v>0</v>
      </c>
      <c r="Q1952" t="str">
        <f>IF(AND($P1952=1,$A1952=经营数据!$B$3,$J1952=经营数据!$BA$5),COUNTIFS($P$2:$P$3000,1,$A$2:$A$3000,$A1952,$J$2:$J$3000,$J1952,$N$2:$N$3000,"&lt;"&amp;$N1952)+1,"")</f>
        <v/>
      </c>
      <c r="R1952" t="str">
        <f t="shared" si="458"/>
        <v/>
      </c>
      <c r="S1952">
        <f>IF($A1952="",0,IF(COUNTIF($R$2:$R1952,$R1952)=1,1,0))</f>
        <v>0</v>
      </c>
      <c r="T1952" t="str">
        <f t="shared" si="459"/>
        <v/>
      </c>
      <c r="U1952" t="str">
        <f>IF($A1952="","",IF($A1952=经营数据!$B$3,COUNTIFS($S$2:$S$3000,1,$A$2:$A$3000,$A1952,$T$2:$T$3000,"&lt;"&amp;$T1952)+1,""))</f>
        <v/>
      </c>
      <c r="V1952" t="str">
        <f t="shared" si="460"/>
        <v/>
      </c>
      <c r="W1952" t="str">
        <f t="shared" si="461"/>
        <v/>
      </c>
      <c r="X1952" t="str">
        <f t="shared" si="462"/>
        <v/>
      </c>
      <c r="Y1952" t="str">
        <f t="shared" si="463"/>
        <v/>
      </c>
      <c r="Z1952">
        <f>IF($A1952="",0,IF(AND($M1952=1,$A1952=经营数据!$B$3,$J1952=经营数据!$BA$5,OR($I1952=经营数据!$BA$4,COUNTIF(经营数据!$AA$9:$AA$38,$I1952)&gt;0)),1,0))</f>
        <v>0</v>
      </c>
      <c r="AA1952" t="str">
        <f t="shared" si="464"/>
        <v/>
      </c>
      <c r="AB1952" t="str">
        <f t="shared" si="465"/>
        <v/>
      </c>
      <c r="AC1952">
        <f>IF($A1952="",0,IF(COUNTIF($A$2:$A1952,$A1952)=1,1,0))</f>
        <v>0</v>
      </c>
      <c r="AD1952">
        <f t="shared" si="466"/>
        <v>29</v>
      </c>
      <c r="AE1952" t="str">
        <f t="shared" si="467"/>
        <v/>
      </c>
    </row>
    <row r="1953" spans="1:31" x14ac:dyDescent="0.4">
      <c r="A1953" t="str">
        <f>IF(原始经营数据!$D1954="","",原始经营数据!$D1954)</f>
        <v/>
      </c>
      <c r="B1953" t="str">
        <f>IF(原始经营数据!$D1954="","",T(原始经营数据!$E1954))</f>
        <v/>
      </c>
      <c r="C1953" t="str">
        <f>IF(原始经营数据!$D1954="","",原始经营数据!$F1954)</f>
        <v/>
      </c>
      <c r="D1953" t="str">
        <f>IF(原始经营数据!$D1954="","",原始经营数据!$H1954)</f>
        <v/>
      </c>
      <c r="E1953" t="str">
        <f>IF(原始经营数据!$D1954="","",原始经营数据!$I1954)</f>
        <v/>
      </c>
      <c r="F1953" t="str">
        <f>IF(原始经营数据!$D1954="","",T(原始经营数据!$J1954))</f>
        <v/>
      </c>
      <c r="G1953" t="str">
        <f>IF(原始经营数据!$D1954="","",T(原始经营数据!$K1954))</f>
        <v/>
      </c>
      <c r="H1953" t="str">
        <f>IF(原始经营数据!$D1954="","",原始经营数据!$G1954)</f>
        <v/>
      </c>
      <c r="I1953" t="str">
        <f>IF($A1953="","",IF($B1953&lt;&gt;"",$B1953,IF(COUNTIFS(原始经营数据!$D$3:$D$3001,$A1953,原始经营数据!$E$3:$E$3001,"",原始经营数据!$F$3:$F$3001,$C1953,原始经营数据!$H$3:$H$3001,$D1953,原始经营数据!$K$3:$K$3001,$G1953)&gt;1,"基金整体·来源"&amp;原始经营数据!$A1954,"基金整体")))</f>
        <v/>
      </c>
      <c r="J1953" t="str">
        <f t="shared" si="453"/>
        <v/>
      </c>
      <c r="K1953" t="str">
        <f t="shared" si="454"/>
        <v/>
      </c>
      <c r="L1953" t="str">
        <f t="shared" si="455"/>
        <v/>
      </c>
      <c r="M1953">
        <f>IF($A1953="",0,IF(COUNTIF($L$2:$L1953,$L1953)=1,1,0))</f>
        <v>0</v>
      </c>
      <c r="N1953" t="str">
        <f t="shared" si="456"/>
        <v/>
      </c>
      <c r="O1953" t="str">
        <f t="shared" si="457"/>
        <v/>
      </c>
      <c r="P1953">
        <f>IF($A1953="",0,IF(COUNTIF($O$2:$O1953,$O1953)=1,1,0))</f>
        <v>0</v>
      </c>
      <c r="Q1953" t="str">
        <f>IF(AND($P1953=1,$A1953=经营数据!$B$3,$J1953=经营数据!$BA$5),COUNTIFS($P$2:$P$3000,1,$A$2:$A$3000,$A1953,$J$2:$J$3000,$J1953,$N$2:$N$3000,"&lt;"&amp;$N1953)+1,"")</f>
        <v/>
      </c>
      <c r="R1953" t="str">
        <f t="shared" si="458"/>
        <v/>
      </c>
      <c r="S1953">
        <f>IF($A1953="",0,IF(COUNTIF($R$2:$R1953,$R1953)=1,1,0))</f>
        <v>0</v>
      </c>
      <c r="T1953" t="str">
        <f t="shared" si="459"/>
        <v/>
      </c>
      <c r="U1953" t="str">
        <f>IF($A1953="","",IF($A1953=经营数据!$B$3,COUNTIFS($S$2:$S$3000,1,$A$2:$A$3000,$A1953,$T$2:$T$3000,"&lt;"&amp;$T1953)+1,""))</f>
        <v/>
      </c>
      <c r="V1953" t="str">
        <f t="shared" si="460"/>
        <v/>
      </c>
      <c r="W1953" t="str">
        <f t="shared" si="461"/>
        <v/>
      </c>
      <c r="X1953" t="str">
        <f t="shared" si="462"/>
        <v/>
      </c>
      <c r="Y1953" t="str">
        <f t="shared" si="463"/>
        <v/>
      </c>
      <c r="Z1953">
        <f>IF($A1953="",0,IF(AND($M1953=1,$A1953=经营数据!$B$3,$J1953=经营数据!$BA$5,OR($I1953=经营数据!$BA$4,COUNTIF(经营数据!$AA$9:$AA$38,$I1953)&gt;0)),1,0))</f>
        <v>0</v>
      </c>
      <c r="AA1953" t="str">
        <f t="shared" si="464"/>
        <v/>
      </c>
      <c r="AB1953" t="str">
        <f t="shared" si="465"/>
        <v/>
      </c>
      <c r="AC1953">
        <f>IF($A1953="",0,IF(COUNTIF($A$2:$A1953,$A1953)=1,1,0))</f>
        <v>0</v>
      </c>
      <c r="AD1953">
        <f t="shared" si="466"/>
        <v>29</v>
      </c>
      <c r="AE1953" t="str">
        <f t="shared" si="467"/>
        <v/>
      </c>
    </row>
    <row r="1954" spans="1:31" x14ac:dyDescent="0.4">
      <c r="A1954" t="str">
        <f>IF(原始经营数据!$D1955="","",原始经营数据!$D1955)</f>
        <v/>
      </c>
      <c r="B1954" t="str">
        <f>IF(原始经营数据!$D1955="","",T(原始经营数据!$E1955))</f>
        <v/>
      </c>
      <c r="C1954" t="str">
        <f>IF(原始经营数据!$D1955="","",原始经营数据!$F1955)</f>
        <v/>
      </c>
      <c r="D1954" t="str">
        <f>IF(原始经营数据!$D1955="","",原始经营数据!$H1955)</f>
        <v/>
      </c>
      <c r="E1954" t="str">
        <f>IF(原始经营数据!$D1955="","",原始经营数据!$I1955)</f>
        <v/>
      </c>
      <c r="F1954" t="str">
        <f>IF(原始经营数据!$D1955="","",T(原始经营数据!$J1955))</f>
        <v/>
      </c>
      <c r="G1954" t="str">
        <f>IF(原始经营数据!$D1955="","",T(原始经营数据!$K1955))</f>
        <v/>
      </c>
      <c r="H1954" t="str">
        <f>IF(原始经营数据!$D1955="","",原始经营数据!$G1955)</f>
        <v/>
      </c>
      <c r="I1954" t="str">
        <f>IF($A1954="","",IF($B1954&lt;&gt;"",$B1954,IF(COUNTIFS(原始经营数据!$D$3:$D$3001,$A1954,原始经营数据!$E$3:$E$3001,"",原始经营数据!$F$3:$F$3001,$C1954,原始经营数据!$H$3:$H$3001,$D1954,原始经营数据!$K$3:$K$3001,$G1954)&gt;1,"基金整体·来源"&amp;原始经营数据!$A1955,"基金整体")))</f>
        <v/>
      </c>
      <c r="J1954" t="str">
        <f t="shared" si="453"/>
        <v/>
      </c>
      <c r="K1954" t="str">
        <f t="shared" si="454"/>
        <v/>
      </c>
      <c r="L1954" t="str">
        <f t="shared" si="455"/>
        <v/>
      </c>
      <c r="M1954">
        <f>IF($A1954="",0,IF(COUNTIF($L$2:$L1954,$L1954)=1,1,0))</f>
        <v>0</v>
      </c>
      <c r="N1954" t="str">
        <f t="shared" si="456"/>
        <v/>
      </c>
      <c r="O1954" t="str">
        <f t="shared" si="457"/>
        <v/>
      </c>
      <c r="P1954">
        <f>IF($A1954="",0,IF(COUNTIF($O$2:$O1954,$O1954)=1,1,0))</f>
        <v>0</v>
      </c>
      <c r="Q1954" t="str">
        <f>IF(AND($P1954=1,$A1954=经营数据!$B$3,$J1954=经营数据!$BA$5),COUNTIFS($P$2:$P$3000,1,$A$2:$A$3000,$A1954,$J$2:$J$3000,$J1954,$N$2:$N$3000,"&lt;"&amp;$N1954)+1,"")</f>
        <v/>
      </c>
      <c r="R1954" t="str">
        <f t="shared" si="458"/>
        <v/>
      </c>
      <c r="S1954">
        <f>IF($A1954="",0,IF(COUNTIF($R$2:$R1954,$R1954)=1,1,0))</f>
        <v>0</v>
      </c>
      <c r="T1954" t="str">
        <f t="shared" si="459"/>
        <v/>
      </c>
      <c r="U1954" t="str">
        <f>IF($A1954="","",IF($A1954=经营数据!$B$3,COUNTIFS($S$2:$S$3000,1,$A$2:$A$3000,$A1954,$T$2:$T$3000,"&lt;"&amp;$T1954)+1,""))</f>
        <v/>
      </c>
      <c r="V1954" t="str">
        <f t="shared" si="460"/>
        <v/>
      </c>
      <c r="W1954" t="str">
        <f t="shared" si="461"/>
        <v/>
      </c>
      <c r="X1954" t="str">
        <f t="shared" si="462"/>
        <v/>
      </c>
      <c r="Y1954" t="str">
        <f t="shared" si="463"/>
        <v/>
      </c>
      <c r="Z1954">
        <f>IF($A1954="",0,IF(AND($M1954=1,$A1954=经营数据!$B$3,$J1954=经营数据!$BA$5,OR($I1954=经营数据!$BA$4,COUNTIF(经营数据!$AA$9:$AA$38,$I1954)&gt;0)),1,0))</f>
        <v>0</v>
      </c>
      <c r="AA1954" t="str">
        <f t="shared" si="464"/>
        <v/>
      </c>
      <c r="AB1954" t="str">
        <f t="shared" si="465"/>
        <v/>
      </c>
      <c r="AC1954">
        <f>IF($A1954="",0,IF(COUNTIF($A$2:$A1954,$A1954)=1,1,0))</f>
        <v>0</v>
      </c>
      <c r="AD1954">
        <f t="shared" si="466"/>
        <v>29</v>
      </c>
      <c r="AE1954" t="str">
        <f t="shared" si="467"/>
        <v/>
      </c>
    </row>
    <row r="1955" spans="1:31" x14ac:dyDescent="0.4">
      <c r="A1955" t="str">
        <f>IF(原始经营数据!$D1956="","",原始经营数据!$D1956)</f>
        <v/>
      </c>
      <c r="B1955" t="str">
        <f>IF(原始经营数据!$D1956="","",T(原始经营数据!$E1956))</f>
        <v/>
      </c>
      <c r="C1955" t="str">
        <f>IF(原始经营数据!$D1956="","",原始经营数据!$F1956)</f>
        <v/>
      </c>
      <c r="D1955" t="str">
        <f>IF(原始经营数据!$D1956="","",原始经营数据!$H1956)</f>
        <v/>
      </c>
      <c r="E1955" t="str">
        <f>IF(原始经营数据!$D1956="","",原始经营数据!$I1956)</f>
        <v/>
      </c>
      <c r="F1955" t="str">
        <f>IF(原始经营数据!$D1956="","",T(原始经营数据!$J1956))</f>
        <v/>
      </c>
      <c r="G1955" t="str">
        <f>IF(原始经营数据!$D1956="","",T(原始经营数据!$K1956))</f>
        <v/>
      </c>
      <c r="H1955" t="str">
        <f>IF(原始经营数据!$D1956="","",原始经营数据!$G1956)</f>
        <v/>
      </c>
      <c r="I1955" t="str">
        <f>IF($A1955="","",IF($B1955&lt;&gt;"",$B1955,IF(COUNTIFS(原始经营数据!$D$3:$D$3001,$A1955,原始经营数据!$E$3:$E$3001,"",原始经营数据!$F$3:$F$3001,$C1955,原始经营数据!$H$3:$H$3001,$D1955,原始经营数据!$K$3:$K$3001,$G1955)&gt;1,"基金整体·来源"&amp;原始经营数据!$A1956,"基金整体")))</f>
        <v/>
      </c>
      <c r="J1955" t="str">
        <f t="shared" si="453"/>
        <v/>
      </c>
      <c r="K1955" t="str">
        <f t="shared" si="454"/>
        <v/>
      </c>
      <c r="L1955" t="str">
        <f t="shared" si="455"/>
        <v/>
      </c>
      <c r="M1955">
        <f>IF($A1955="",0,IF(COUNTIF($L$2:$L1955,$L1955)=1,1,0))</f>
        <v>0</v>
      </c>
      <c r="N1955" t="str">
        <f t="shared" si="456"/>
        <v/>
      </c>
      <c r="O1955" t="str">
        <f t="shared" si="457"/>
        <v/>
      </c>
      <c r="P1955">
        <f>IF($A1955="",0,IF(COUNTIF($O$2:$O1955,$O1955)=1,1,0))</f>
        <v>0</v>
      </c>
      <c r="Q1955" t="str">
        <f>IF(AND($P1955=1,$A1955=经营数据!$B$3,$J1955=经营数据!$BA$5),COUNTIFS($P$2:$P$3000,1,$A$2:$A$3000,$A1955,$J$2:$J$3000,$J1955,$N$2:$N$3000,"&lt;"&amp;$N1955)+1,"")</f>
        <v/>
      </c>
      <c r="R1955" t="str">
        <f t="shared" si="458"/>
        <v/>
      </c>
      <c r="S1955">
        <f>IF($A1955="",0,IF(COUNTIF($R$2:$R1955,$R1955)=1,1,0))</f>
        <v>0</v>
      </c>
      <c r="T1955" t="str">
        <f t="shared" si="459"/>
        <v/>
      </c>
      <c r="U1955" t="str">
        <f>IF($A1955="","",IF($A1955=经营数据!$B$3,COUNTIFS($S$2:$S$3000,1,$A$2:$A$3000,$A1955,$T$2:$T$3000,"&lt;"&amp;$T1955)+1,""))</f>
        <v/>
      </c>
      <c r="V1955" t="str">
        <f t="shared" si="460"/>
        <v/>
      </c>
      <c r="W1955" t="str">
        <f t="shared" si="461"/>
        <v/>
      </c>
      <c r="X1955" t="str">
        <f t="shared" si="462"/>
        <v/>
      </c>
      <c r="Y1955" t="str">
        <f t="shared" si="463"/>
        <v/>
      </c>
      <c r="Z1955">
        <f>IF($A1955="",0,IF(AND($M1955=1,$A1955=经营数据!$B$3,$J1955=经营数据!$BA$5,OR($I1955=经营数据!$BA$4,COUNTIF(经营数据!$AA$9:$AA$38,$I1955)&gt;0)),1,0))</f>
        <v>0</v>
      </c>
      <c r="AA1955" t="str">
        <f t="shared" si="464"/>
        <v/>
      </c>
      <c r="AB1955" t="str">
        <f t="shared" si="465"/>
        <v/>
      </c>
      <c r="AC1955">
        <f>IF($A1955="",0,IF(COUNTIF($A$2:$A1955,$A1955)=1,1,0))</f>
        <v>0</v>
      </c>
      <c r="AD1955">
        <f t="shared" si="466"/>
        <v>29</v>
      </c>
      <c r="AE1955" t="str">
        <f t="shared" si="467"/>
        <v/>
      </c>
    </row>
    <row r="1956" spans="1:31" x14ac:dyDescent="0.4">
      <c r="A1956" t="str">
        <f>IF(原始经营数据!$D1957="","",原始经营数据!$D1957)</f>
        <v/>
      </c>
      <c r="B1956" t="str">
        <f>IF(原始经营数据!$D1957="","",T(原始经营数据!$E1957))</f>
        <v/>
      </c>
      <c r="C1956" t="str">
        <f>IF(原始经营数据!$D1957="","",原始经营数据!$F1957)</f>
        <v/>
      </c>
      <c r="D1956" t="str">
        <f>IF(原始经营数据!$D1957="","",原始经营数据!$H1957)</f>
        <v/>
      </c>
      <c r="E1956" t="str">
        <f>IF(原始经营数据!$D1957="","",原始经营数据!$I1957)</f>
        <v/>
      </c>
      <c r="F1956" t="str">
        <f>IF(原始经营数据!$D1957="","",T(原始经营数据!$J1957))</f>
        <v/>
      </c>
      <c r="G1956" t="str">
        <f>IF(原始经营数据!$D1957="","",T(原始经营数据!$K1957))</f>
        <v/>
      </c>
      <c r="H1956" t="str">
        <f>IF(原始经营数据!$D1957="","",原始经营数据!$G1957)</f>
        <v/>
      </c>
      <c r="I1956" t="str">
        <f>IF($A1956="","",IF($B1956&lt;&gt;"",$B1956,IF(COUNTIFS(原始经营数据!$D$3:$D$3001,$A1956,原始经营数据!$E$3:$E$3001,"",原始经营数据!$F$3:$F$3001,$C1956,原始经营数据!$H$3:$H$3001,$D1956,原始经营数据!$K$3:$K$3001,$G1956)&gt;1,"基金整体·来源"&amp;原始经营数据!$A1957,"基金整体")))</f>
        <v/>
      </c>
      <c r="J1956" t="str">
        <f t="shared" si="453"/>
        <v/>
      </c>
      <c r="K1956" t="str">
        <f t="shared" si="454"/>
        <v/>
      </c>
      <c r="L1956" t="str">
        <f t="shared" si="455"/>
        <v/>
      </c>
      <c r="M1956">
        <f>IF($A1956="",0,IF(COUNTIF($L$2:$L1956,$L1956)=1,1,0))</f>
        <v>0</v>
      </c>
      <c r="N1956" t="str">
        <f t="shared" si="456"/>
        <v/>
      </c>
      <c r="O1956" t="str">
        <f t="shared" si="457"/>
        <v/>
      </c>
      <c r="P1956">
        <f>IF($A1956="",0,IF(COUNTIF($O$2:$O1956,$O1956)=1,1,0))</f>
        <v>0</v>
      </c>
      <c r="Q1956" t="str">
        <f>IF(AND($P1956=1,$A1956=经营数据!$B$3,$J1956=经营数据!$BA$5),COUNTIFS($P$2:$P$3000,1,$A$2:$A$3000,$A1956,$J$2:$J$3000,$J1956,$N$2:$N$3000,"&lt;"&amp;$N1956)+1,"")</f>
        <v/>
      </c>
      <c r="R1956" t="str">
        <f t="shared" si="458"/>
        <v/>
      </c>
      <c r="S1956">
        <f>IF($A1956="",0,IF(COUNTIF($R$2:$R1956,$R1956)=1,1,0))</f>
        <v>0</v>
      </c>
      <c r="T1956" t="str">
        <f t="shared" si="459"/>
        <v/>
      </c>
      <c r="U1956" t="str">
        <f>IF($A1956="","",IF($A1956=经营数据!$B$3,COUNTIFS($S$2:$S$3000,1,$A$2:$A$3000,$A1956,$T$2:$T$3000,"&lt;"&amp;$T1956)+1,""))</f>
        <v/>
      </c>
      <c r="V1956" t="str">
        <f t="shared" si="460"/>
        <v/>
      </c>
      <c r="W1956" t="str">
        <f t="shared" si="461"/>
        <v/>
      </c>
      <c r="X1956" t="str">
        <f t="shared" si="462"/>
        <v/>
      </c>
      <c r="Y1956" t="str">
        <f t="shared" si="463"/>
        <v/>
      </c>
      <c r="Z1956">
        <f>IF($A1956="",0,IF(AND($M1956=1,$A1956=经营数据!$B$3,$J1956=经营数据!$BA$5,OR($I1956=经营数据!$BA$4,COUNTIF(经营数据!$AA$9:$AA$38,$I1956)&gt;0)),1,0))</f>
        <v>0</v>
      </c>
      <c r="AA1956" t="str">
        <f t="shared" si="464"/>
        <v/>
      </c>
      <c r="AB1956" t="str">
        <f t="shared" si="465"/>
        <v/>
      </c>
      <c r="AC1956">
        <f>IF($A1956="",0,IF(COUNTIF($A$2:$A1956,$A1956)=1,1,0))</f>
        <v>0</v>
      </c>
      <c r="AD1956">
        <f t="shared" si="466"/>
        <v>29</v>
      </c>
      <c r="AE1956" t="str">
        <f t="shared" si="467"/>
        <v/>
      </c>
    </row>
    <row r="1957" spans="1:31" x14ac:dyDescent="0.4">
      <c r="A1957" t="str">
        <f>IF(原始经营数据!$D1958="","",原始经营数据!$D1958)</f>
        <v/>
      </c>
      <c r="B1957" t="str">
        <f>IF(原始经营数据!$D1958="","",T(原始经营数据!$E1958))</f>
        <v/>
      </c>
      <c r="C1957" t="str">
        <f>IF(原始经营数据!$D1958="","",原始经营数据!$F1958)</f>
        <v/>
      </c>
      <c r="D1957" t="str">
        <f>IF(原始经营数据!$D1958="","",原始经营数据!$H1958)</f>
        <v/>
      </c>
      <c r="E1957" t="str">
        <f>IF(原始经营数据!$D1958="","",原始经营数据!$I1958)</f>
        <v/>
      </c>
      <c r="F1957" t="str">
        <f>IF(原始经营数据!$D1958="","",T(原始经营数据!$J1958))</f>
        <v/>
      </c>
      <c r="G1957" t="str">
        <f>IF(原始经营数据!$D1958="","",T(原始经营数据!$K1958))</f>
        <v/>
      </c>
      <c r="H1957" t="str">
        <f>IF(原始经营数据!$D1958="","",原始经营数据!$G1958)</f>
        <v/>
      </c>
      <c r="I1957" t="str">
        <f>IF($A1957="","",IF($B1957&lt;&gt;"",$B1957,IF(COUNTIFS(原始经营数据!$D$3:$D$3001,$A1957,原始经营数据!$E$3:$E$3001,"",原始经营数据!$F$3:$F$3001,$C1957,原始经营数据!$H$3:$H$3001,$D1957,原始经营数据!$K$3:$K$3001,$G1957)&gt;1,"基金整体·来源"&amp;原始经营数据!$A1958,"基金整体")))</f>
        <v/>
      </c>
      <c r="J1957" t="str">
        <f t="shared" si="453"/>
        <v/>
      </c>
      <c r="K1957" t="str">
        <f t="shared" si="454"/>
        <v/>
      </c>
      <c r="L1957" t="str">
        <f t="shared" si="455"/>
        <v/>
      </c>
      <c r="M1957">
        <f>IF($A1957="",0,IF(COUNTIF($L$2:$L1957,$L1957)=1,1,0))</f>
        <v>0</v>
      </c>
      <c r="N1957" t="str">
        <f t="shared" si="456"/>
        <v/>
      </c>
      <c r="O1957" t="str">
        <f t="shared" si="457"/>
        <v/>
      </c>
      <c r="P1957">
        <f>IF($A1957="",0,IF(COUNTIF($O$2:$O1957,$O1957)=1,1,0))</f>
        <v>0</v>
      </c>
      <c r="Q1957" t="str">
        <f>IF(AND($P1957=1,$A1957=经营数据!$B$3,$J1957=经营数据!$BA$5),COUNTIFS($P$2:$P$3000,1,$A$2:$A$3000,$A1957,$J$2:$J$3000,$J1957,$N$2:$N$3000,"&lt;"&amp;$N1957)+1,"")</f>
        <v/>
      </c>
      <c r="R1957" t="str">
        <f t="shared" si="458"/>
        <v/>
      </c>
      <c r="S1957">
        <f>IF($A1957="",0,IF(COUNTIF($R$2:$R1957,$R1957)=1,1,0))</f>
        <v>0</v>
      </c>
      <c r="T1957" t="str">
        <f t="shared" si="459"/>
        <v/>
      </c>
      <c r="U1957" t="str">
        <f>IF($A1957="","",IF($A1957=经营数据!$B$3,COUNTIFS($S$2:$S$3000,1,$A$2:$A$3000,$A1957,$T$2:$T$3000,"&lt;"&amp;$T1957)+1,""))</f>
        <v/>
      </c>
      <c r="V1957" t="str">
        <f t="shared" si="460"/>
        <v/>
      </c>
      <c r="W1957" t="str">
        <f t="shared" si="461"/>
        <v/>
      </c>
      <c r="X1957" t="str">
        <f t="shared" si="462"/>
        <v/>
      </c>
      <c r="Y1957" t="str">
        <f t="shared" si="463"/>
        <v/>
      </c>
      <c r="Z1957">
        <f>IF($A1957="",0,IF(AND($M1957=1,$A1957=经营数据!$B$3,$J1957=经营数据!$BA$5,OR($I1957=经营数据!$BA$4,COUNTIF(经营数据!$AA$9:$AA$38,$I1957)&gt;0)),1,0))</f>
        <v>0</v>
      </c>
      <c r="AA1957" t="str">
        <f t="shared" si="464"/>
        <v/>
      </c>
      <c r="AB1957" t="str">
        <f t="shared" si="465"/>
        <v/>
      </c>
      <c r="AC1957">
        <f>IF($A1957="",0,IF(COUNTIF($A$2:$A1957,$A1957)=1,1,0))</f>
        <v>0</v>
      </c>
      <c r="AD1957">
        <f t="shared" si="466"/>
        <v>29</v>
      </c>
      <c r="AE1957" t="str">
        <f t="shared" si="467"/>
        <v/>
      </c>
    </row>
    <row r="1958" spans="1:31" x14ac:dyDescent="0.4">
      <c r="A1958" t="str">
        <f>IF(原始经营数据!$D1959="","",原始经营数据!$D1959)</f>
        <v/>
      </c>
      <c r="B1958" t="str">
        <f>IF(原始经营数据!$D1959="","",T(原始经营数据!$E1959))</f>
        <v/>
      </c>
      <c r="C1958" t="str">
        <f>IF(原始经营数据!$D1959="","",原始经营数据!$F1959)</f>
        <v/>
      </c>
      <c r="D1958" t="str">
        <f>IF(原始经营数据!$D1959="","",原始经营数据!$H1959)</f>
        <v/>
      </c>
      <c r="E1958" t="str">
        <f>IF(原始经营数据!$D1959="","",原始经营数据!$I1959)</f>
        <v/>
      </c>
      <c r="F1958" t="str">
        <f>IF(原始经营数据!$D1959="","",T(原始经营数据!$J1959))</f>
        <v/>
      </c>
      <c r="G1958" t="str">
        <f>IF(原始经营数据!$D1959="","",T(原始经营数据!$K1959))</f>
        <v/>
      </c>
      <c r="H1958" t="str">
        <f>IF(原始经营数据!$D1959="","",原始经营数据!$G1959)</f>
        <v/>
      </c>
      <c r="I1958" t="str">
        <f>IF($A1958="","",IF($B1958&lt;&gt;"",$B1958,IF(COUNTIFS(原始经营数据!$D$3:$D$3001,$A1958,原始经营数据!$E$3:$E$3001,"",原始经营数据!$F$3:$F$3001,$C1958,原始经营数据!$H$3:$H$3001,$D1958,原始经营数据!$K$3:$K$3001,$G1958)&gt;1,"基金整体·来源"&amp;原始经营数据!$A1959,"基金整体")))</f>
        <v/>
      </c>
      <c r="J1958" t="str">
        <f t="shared" si="453"/>
        <v/>
      </c>
      <c r="K1958" t="str">
        <f t="shared" si="454"/>
        <v/>
      </c>
      <c r="L1958" t="str">
        <f t="shared" si="455"/>
        <v/>
      </c>
      <c r="M1958">
        <f>IF($A1958="",0,IF(COUNTIF($L$2:$L1958,$L1958)=1,1,0))</f>
        <v>0</v>
      </c>
      <c r="N1958" t="str">
        <f t="shared" si="456"/>
        <v/>
      </c>
      <c r="O1958" t="str">
        <f t="shared" si="457"/>
        <v/>
      </c>
      <c r="P1958">
        <f>IF($A1958="",0,IF(COUNTIF($O$2:$O1958,$O1958)=1,1,0))</f>
        <v>0</v>
      </c>
      <c r="Q1958" t="str">
        <f>IF(AND($P1958=1,$A1958=经营数据!$B$3,$J1958=经营数据!$BA$5),COUNTIFS($P$2:$P$3000,1,$A$2:$A$3000,$A1958,$J$2:$J$3000,$J1958,$N$2:$N$3000,"&lt;"&amp;$N1958)+1,"")</f>
        <v/>
      </c>
      <c r="R1958" t="str">
        <f t="shared" si="458"/>
        <v/>
      </c>
      <c r="S1958">
        <f>IF($A1958="",0,IF(COUNTIF($R$2:$R1958,$R1958)=1,1,0))</f>
        <v>0</v>
      </c>
      <c r="T1958" t="str">
        <f t="shared" si="459"/>
        <v/>
      </c>
      <c r="U1958" t="str">
        <f>IF($A1958="","",IF($A1958=经营数据!$B$3,COUNTIFS($S$2:$S$3000,1,$A$2:$A$3000,$A1958,$T$2:$T$3000,"&lt;"&amp;$T1958)+1,""))</f>
        <v/>
      </c>
      <c r="V1958" t="str">
        <f t="shared" si="460"/>
        <v/>
      </c>
      <c r="W1958" t="str">
        <f t="shared" si="461"/>
        <v/>
      </c>
      <c r="X1958" t="str">
        <f t="shared" si="462"/>
        <v/>
      </c>
      <c r="Y1958" t="str">
        <f t="shared" si="463"/>
        <v/>
      </c>
      <c r="Z1958">
        <f>IF($A1958="",0,IF(AND($M1958=1,$A1958=经营数据!$B$3,$J1958=经营数据!$BA$5,OR($I1958=经营数据!$BA$4,COUNTIF(经营数据!$AA$9:$AA$38,$I1958)&gt;0)),1,0))</f>
        <v>0</v>
      </c>
      <c r="AA1958" t="str">
        <f t="shared" si="464"/>
        <v/>
      </c>
      <c r="AB1958" t="str">
        <f t="shared" si="465"/>
        <v/>
      </c>
      <c r="AC1958">
        <f>IF($A1958="",0,IF(COUNTIF($A$2:$A1958,$A1958)=1,1,0))</f>
        <v>0</v>
      </c>
      <c r="AD1958">
        <f t="shared" si="466"/>
        <v>29</v>
      </c>
      <c r="AE1958" t="str">
        <f t="shared" si="467"/>
        <v/>
      </c>
    </row>
    <row r="1959" spans="1:31" x14ac:dyDescent="0.4">
      <c r="A1959" t="str">
        <f>IF(原始经营数据!$D1960="","",原始经营数据!$D1960)</f>
        <v/>
      </c>
      <c r="B1959" t="str">
        <f>IF(原始经营数据!$D1960="","",T(原始经营数据!$E1960))</f>
        <v/>
      </c>
      <c r="C1959" t="str">
        <f>IF(原始经营数据!$D1960="","",原始经营数据!$F1960)</f>
        <v/>
      </c>
      <c r="D1959" t="str">
        <f>IF(原始经营数据!$D1960="","",原始经营数据!$H1960)</f>
        <v/>
      </c>
      <c r="E1959" t="str">
        <f>IF(原始经营数据!$D1960="","",原始经营数据!$I1960)</f>
        <v/>
      </c>
      <c r="F1959" t="str">
        <f>IF(原始经营数据!$D1960="","",T(原始经营数据!$J1960))</f>
        <v/>
      </c>
      <c r="G1959" t="str">
        <f>IF(原始经营数据!$D1960="","",T(原始经营数据!$K1960))</f>
        <v/>
      </c>
      <c r="H1959" t="str">
        <f>IF(原始经营数据!$D1960="","",原始经营数据!$G1960)</f>
        <v/>
      </c>
      <c r="I1959" t="str">
        <f>IF($A1959="","",IF($B1959&lt;&gt;"",$B1959,IF(COUNTIFS(原始经营数据!$D$3:$D$3001,$A1959,原始经营数据!$E$3:$E$3001,"",原始经营数据!$F$3:$F$3001,$C1959,原始经营数据!$H$3:$H$3001,$D1959,原始经营数据!$K$3:$K$3001,$G1959)&gt;1,"基金整体·来源"&amp;原始经营数据!$A1960,"基金整体")))</f>
        <v/>
      </c>
      <c r="J1959" t="str">
        <f t="shared" si="453"/>
        <v/>
      </c>
      <c r="K1959" t="str">
        <f t="shared" si="454"/>
        <v/>
      </c>
      <c r="L1959" t="str">
        <f t="shared" si="455"/>
        <v/>
      </c>
      <c r="M1959">
        <f>IF($A1959="",0,IF(COUNTIF($L$2:$L1959,$L1959)=1,1,0))</f>
        <v>0</v>
      </c>
      <c r="N1959" t="str">
        <f t="shared" si="456"/>
        <v/>
      </c>
      <c r="O1959" t="str">
        <f t="shared" si="457"/>
        <v/>
      </c>
      <c r="P1959">
        <f>IF($A1959="",0,IF(COUNTIF($O$2:$O1959,$O1959)=1,1,0))</f>
        <v>0</v>
      </c>
      <c r="Q1959" t="str">
        <f>IF(AND($P1959=1,$A1959=经营数据!$B$3,$J1959=经营数据!$BA$5),COUNTIFS($P$2:$P$3000,1,$A$2:$A$3000,$A1959,$J$2:$J$3000,$J1959,$N$2:$N$3000,"&lt;"&amp;$N1959)+1,"")</f>
        <v/>
      </c>
      <c r="R1959" t="str">
        <f t="shared" si="458"/>
        <v/>
      </c>
      <c r="S1959">
        <f>IF($A1959="",0,IF(COUNTIF($R$2:$R1959,$R1959)=1,1,0))</f>
        <v>0</v>
      </c>
      <c r="T1959" t="str">
        <f t="shared" si="459"/>
        <v/>
      </c>
      <c r="U1959" t="str">
        <f>IF($A1959="","",IF($A1959=经营数据!$B$3,COUNTIFS($S$2:$S$3000,1,$A$2:$A$3000,$A1959,$T$2:$T$3000,"&lt;"&amp;$T1959)+1,""))</f>
        <v/>
      </c>
      <c r="V1959" t="str">
        <f t="shared" si="460"/>
        <v/>
      </c>
      <c r="W1959" t="str">
        <f t="shared" si="461"/>
        <v/>
      </c>
      <c r="X1959" t="str">
        <f t="shared" si="462"/>
        <v/>
      </c>
      <c r="Y1959" t="str">
        <f t="shared" si="463"/>
        <v/>
      </c>
      <c r="Z1959">
        <f>IF($A1959="",0,IF(AND($M1959=1,$A1959=经营数据!$B$3,$J1959=经营数据!$BA$5,OR($I1959=经营数据!$BA$4,COUNTIF(经营数据!$AA$9:$AA$38,$I1959)&gt;0)),1,0))</f>
        <v>0</v>
      </c>
      <c r="AA1959" t="str">
        <f t="shared" si="464"/>
        <v/>
      </c>
      <c r="AB1959" t="str">
        <f t="shared" si="465"/>
        <v/>
      </c>
      <c r="AC1959">
        <f>IF($A1959="",0,IF(COUNTIF($A$2:$A1959,$A1959)=1,1,0))</f>
        <v>0</v>
      </c>
      <c r="AD1959">
        <f t="shared" si="466"/>
        <v>29</v>
      </c>
      <c r="AE1959" t="str">
        <f t="shared" si="467"/>
        <v/>
      </c>
    </row>
    <row r="1960" spans="1:31" x14ac:dyDescent="0.4">
      <c r="A1960" t="str">
        <f>IF(原始经营数据!$D1961="","",原始经营数据!$D1961)</f>
        <v/>
      </c>
      <c r="B1960" t="str">
        <f>IF(原始经营数据!$D1961="","",T(原始经营数据!$E1961))</f>
        <v/>
      </c>
      <c r="C1960" t="str">
        <f>IF(原始经营数据!$D1961="","",原始经营数据!$F1961)</f>
        <v/>
      </c>
      <c r="D1960" t="str">
        <f>IF(原始经营数据!$D1961="","",原始经营数据!$H1961)</f>
        <v/>
      </c>
      <c r="E1960" t="str">
        <f>IF(原始经营数据!$D1961="","",原始经营数据!$I1961)</f>
        <v/>
      </c>
      <c r="F1960" t="str">
        <f>IF(原始经营数据!$D1961="","",T(原始经营数据!$J1961))</f>
        <v/>
      </c>
      <c r="G1960" t="str">
        <f>IF(原始经营数据!$D1961="","",T(原始经营数据!$K1961))</f>
        <v/>
      </c>
      <c r="H1960" t="str">
        <f>IF(原始经营数据!$D1961="","",原始经营数据!$G1961)</f>
        <v/>
      </c>
      <c r="I1960" t="str">
        <f>IF($A1960="","",IF($B1960&lt;&gt;"",$B1960,IF(COUNTIFS(原始经营数据!$D$3:$D$3001,$A1960,原始经营数据!$E$3:$E$3001,"",原始经营数据!$F$3:$F$3001,$C1960,原始经营数据!$H$3:$H$3001,$D1960,原始经营数据!$K$3:$K$3001,$G1960)&gt;1,"基金整体·来源"&amp;原始经营数据!$A1961,"基金整体")))</f>
        <v/>
      </c>
      <c r="J1960" t="str">
        <f t="shared" si="453"/>
        <v/>
      </c>
      <c r="K1960" t="str">
        <f t="shared" si="454"/>
        <v/>
      </c>
      <c r="L1960" t="str">
        <f t="shared" si="455"/>
        <v/>
      </c>
      <c r="M1960">
        <f>IF($A1960="",0,IF(COUNTIF($L$2:$L1960,$L1960)=1,1,0))</f>
        <v>0</v>
      </c>
      <c r="N1960" t="str">
        <f t="shared" si="456"/>
        <v/>
      </c>
      <c r="O1960" t="str">
        <f t="shared" si="457"/>
        <v/>
      </c>
      <c r="P1960">
        <f>IF($A1960="",0,IF(COUNTIF($O$2:$O1960,$O1960)=1,1,0))</f>
        <v>0</v>
      </c>
      <c r="Q1960" t="str">
        <f>IF(AND($P1960=1,$A1960=经营数据!$B$3,$J1960=经营数据!$BA$5),COUNTIFS($P$2:$P$3000,1,$A$2:$A$3000,$A1960,$J$2:$J$3000,$J1960,$N$2:$N$3000,"&lt;"&amp;$N1960)+1,"")</f>
        <v/>
      </c>
      <c r="R1960" t="str">
        <f t="shared" si="458"/>
        <v/>
      </c>
      <c r="S1960">
        <f>IF($A1960="",0,IF(COUNTIF($R$2:$R1960,$R1960)=1,1,0))</f>
        <v>0</v>
      </c>
      <c r="T1960" t="str">
        <f t="shared" si="459"/>
        <v/>
      </c>
      <c r="U1960" t="str">
        <f>IF($A1960="","",IF($A1960=经营数据!$B$3,COUNTIFS($S$2:$S$3000,1,$A$2:$A$3000,$A1960,$T$2:$T$3000,"&lt;"&amp;$T1960)+1,""))</f>
        <v/>
      </c>
      <c r="V1960" t="str">
        <f t="shared" si="460"/>
        <v/>
      </c>
      <c r="W1960" t="str">
        <f t="shared" si="461"/>
        <v/>
      </c>
      <c r="X1960" t="str">
        <f t="shared" si="462"/>
        <v/>
      </c>
      <c r="Y1960" t="str">
        <f t="shared" si="463"/>
        <v/>
      </c>
      <c r="Z1960">
        <f>IF($A1960="",0,IF(AND($M1960=1,$A1960=经营数据!$B$3,$J1960=经营数据!$BA$5,OR($I1960=经营数据!$BA$4,COUNTIF(经营数据!$AA$9:$AA$38,$I1960)&gt;0)),1,0))</f>
        <v>0</v>
      </c>
      <c r="AA1960" t="str">
        <f t="shared" si="464"/>
        <v/>
      </c>
      <c r="AB1960" t="str">
        <f t="shared" si="465"/>
        <v/>
      </c>
      <c r="AC1960">
        <f>IF($A1960="",0,IF(COUNTIF($A$2:$A1960,$A1960)=1,1,0))</f>
        <v>0</v>
      </c>
      <c r="AD1960">
        <f t="shared" si="466"/>
        <v>29</v>
      </c>
      <c r="AE1960" t="str">
        <f t="shared" si="467"/>
        <v/>
      </c>
    </row>
    <row r="1961" spans="1:31" x14ac:dyDescent="0.4">
      <c r="A1961" t="str">
        <f>IF(原始经营数据!$D1962="","",原始经营数据!$D1962)</f>
        <v/>
      </c>
      <c r="B1961" t="str">
        <f>IF(原始经营数据!$D1962="","",T(原始经营数据!$E1962))</f>
        <v/>
      </c>
      <c r="C1961" t="str">
        <f>IF(原始经营数据!$D1962="","",原始经营数据!$F1962)</f>
        <v/>
      </c>
      <c r="D1961" t="str">
        <f>IF(原始经营数据!$D1962="","",原始经营数据!$H1962)</f>
        <v/>
      </c>
      <c r="E1961" t="str">
        <f>IF(原始经营数据!$D1962="","",原始经营数据!$I1962)</f>
        <v/>
      </c>
      <c r="F1961" t="str">
        <f>IF(原始经营数据!$D1962="","",T(原始经营数据!$J1962))</f>
        <v/>
      </c>
      <c r="G1961" t="str">
        <f>IF(原始经营数据!$D1962="","",T(原始经营数据!$K1962))</f>
        <v/>
      </c>
      <c r="H1961" t="str">
        <f>IF(原始经营数据!$D1962="","",原始经营数据!$G1962)</f>
        <v/>
      </c>
      <c r="I1961" t="str">
        <f>IF($A1961="","",IF($B1961&lt;&gt;"",$B1961,IF(COUNTIFS(原始经营数据!$D$3:$D$3001,$A1961,原始经营数据!$E$3:$E$3001,"",原始经营数据!$F$3:$F$3001,$C1961,原始经营数据!$H$3:$H$3001,$D1961,原始经营数据!$K$3:$K$3001,$G1961)&gt;1,"基金整体·来源"&amp;原始经营数据!$A1962,"基金整体")))</f>
        <v/>
      </c>
      <c r="J1961" t="str">
        <f t="shared" si="453"/>
        <v/>
      </c>
      <c r="K1961" t="str">
        <f t="shared" si="454"/>
        <v/>
      </c>
      <c r="L1961" t="str">
        <f t="shared" si="455"/>
        <v/>
      </c>
      <c r="M1961">
        <f>IF($A1961="",0,IF(COUNTIF($L$2:$L1961,$L1961)=1,1,0))</f>
        <v>0</v>
      </c>
      <c r="N1961" t="str">
        <f t="shared" si="456"/>
        <v/>
      </c>
      <c r="O1961" t="str">
        <f t="shared" si="457"/>
        <v/>
      </c>
      <c r="P1961">
        <f>IF($A1961="",0,IF(COUNTIF($O$2:$O1961,$O1961)=1,1,0))</f>
        <v>0</v>
      </c>
      <c r="Q1961" t="str">
        <f>IF(AND($P1961=1,$A1961=经营数据!$B$3,$J1961=经营数据!$BA$5),COUNTIFS($P$2:$P$3000,1,$A$2:$A$3000,$A1961,$J$2:$J$3000,$J1961,$N$2:$N$3000,"&lt;"&amp;$N1961)+1,"")</f>
        <v/>
      </c>
      <c r="R1961" t="str">
        <f t="shared" si="458"/>
        <v/>
      </c>
      <c r="S1961">
        <f>IF($A1961="",0,IF(COUNTIF($R$2:$R1961,$R1961)=1,1,0))</f>
        <v>0</v>
      </c>
      <c r="T1961" t="str">
        <f t="shared" si="459"/>
        <v/>
      </c>
      <c r="U1961" t="str">
        <f>IF($A1961="","",IF($A1961=经营数据!$B$3,COUNTIFS($S$2:$S$3000,1,$A$2:$A$3000,$A1961,$T$2:$T$3000,"&lt;"&amp;$T1961)+1,""))</f>
        <v/>
      </c>
      <c r="V1961" t="str">
        <f t="shared" si="460"/>
        <v/>
      </c>
      <c r="W1961" t="str">
        <f t="shared" si="461"/>
        <v/>
      </c>
      <c r="X1961" t="str">
        <f t="shared" si="462"/>
        <v/>
      </c>
      <c r="Y1961" t="str">
        <f t="shared" si="463"/>
        <v/>
      </c>
      <c r="Z1961">
        <f>IF($A1961="",0,IF(AND($M1961=1,$A1961=经营数据!$B$3,$J1961=经营数据!$BA$5,OR($I1961=经营数据!$BA$4,COUNTIF(经营数据!$AA$9:$AA$38,$I1961)&gt;0)),1,0))</f>
        <v>0</v>
      </c>
      <c r="AA1961" t="str">
        <f t="shared" si="464"/>
        <v/>
      </c>
      <c r="AB1961" t="str">
        <f t="shared" si="465"/>
        <v/>
      </c>
      <c r="AC1961">
        <f>IF($A1961="",0,IF(COUNTIF($A$2:$A1961,$A1961)=1,1,0))</f>
        <v>0</v>
      </c>
      <c r="AD1961">
        <f t="shared" si="466"/>
        <v>29</v>
      </c>
      <c r="AE1961" t="str">
        <f t="shared" si="467"/>
        <v/>
      </c>
    </row>
    <row r="1962" spans="1:31" x14ac:dyDescent="0.4">
      <c r="A1962" t="str">
        <f>IF(原始经营数据!$D1963="","",原始经营数据!$D1963)</f>
        <v/>
      </c>
      <c r="B1962" t="str">
        <f>IF(原始经营数据!$D1963="","",T(原始经营数据!$E1963))</f>
        <v/>
      </c>
      <c r="C1962" t="str">
        <f>IF(原始经营数据!$D1963="","",原始经营数据!$F1963)</f>
        <v/>
      </c>
      <c r="D1962" t="str">
        <f>IF(原始经营数据!$D1963="","",原始经营数据!$H1963)</f>
        <v/>
      </c>
      <c r="E1962" t="str">
        <f>IF(原始经营数据!$D1963="","",原始经营数据!$I1963)</f>
        <v/>
      </c>
      <c r="F1962" t="str">
        <f>IF(原始经营数据!$D1963="","",T(原始经营数据!$J1963))</f>
        <v/>
      </c>
      <c r="G1962" t="str">
        <f>IF(原始经营数据!$D1963="","",T(原始经营数据!$K1963))</f>
        <v/>
      </c>
      <c r="H1962" t="str">
        <f>IF(原始经营数据!$D1963="","",原始经营数据!$G1963)</f>
        <v/>
      </c>
      <c r="I1962" t="str">
        <f>IF($A1962="","",IF($B1962&lt;&gt;"",$B1962,IF(COUNTIFS(原始经营数据!$D$3:$D$3001,$A1962,原始经营数据!$E$3:$E$3001,"",原始经营数据!$F$3:$F$3001,$C1962,原始经营数据!$H$3:$H$3001,$D1962,原始经营数据!$K$3:$K$3001,$G1962)&gt;1,"基金整体·来源"&amp;原始经营数据!$A1963,"基金整体")))</f>
        <v/>
      </c>
      <c r="J1962" t="str">
        <f t="shared" si="453"/>
        <v/>
      </c>
      <c r="K1962" t="str">
        <f t="shared" si="454"/>
        <v/>
      </c>
      <c r="L1962" t="str">
        <f t="shared" si="455"/>
        <v/>
      </c>
      <c r="M1962">
        <f>IF($A1962="",0,IF(COUNTIF($L$2:$L1962,$L1962)=1,1,0))</f>
        <v>0</v>
      </c>
      <c r="N1962" t="str">
        <f t="shared" si="456"/>
        <v/>
      </c>
      <c r="O1962" t="str">
        <f t="shared" si="457"/>
        <v/>
      </c>
      <c r="P1962">
        <f>IF($A1962="",0,IF(COUNTIF($O$2:$O1962,$O1962)=1,1,0))</f>
        <v>0</v>
      </c>
      <c r="Q1962" t="str">
        <f>IF(AND($P1962=1,$A1962=经营数据!$B$3,$J1962=经营数据!$BA$5),COUNTIFS($P$2:$P$3000,1,$A$2:$A$3000,$A1962,$J$2:$J$3000,$J1962,$N$2:$N$3000,"&lt;"&amp;$N1962)+1,"")</f>
        <v/>
      </c>
      <c r="R1962" t="str">
        <f t="shared" si="458"/>
        <v/>
      </c>
      <c r="S1962">
        <f>IF($A1962="",0,IF(COUNTIF($R$2:$R1962,$R1962)=1,1,0))</f>
        <v>0</v>
      </c>
      <c r="T1962" t="str">
        <f t="shared" si="459"/>
        <v/>
      </c>
      <c r="U1962" t="str">
        <f>IF($A1962="","",IF($A1962=经营数据!$B$3,COUNTIFS($S$2:$S$3000,1,$A$2:$A$3000,$A1962,$T$2:$T$3000,"&lt;"&amp;$T1962)+1,""))</f>
        <v/>
      </c>
      <c r="V1962" t="str">
        <f t="shared" si="460"/>
        <v/>
      </c>
      <c r="W1962" t="str">
        <f t="shared" si="461"/>
        <v/>
      </c>
      <c r="X1962" t="str">
        <f t="shared" si="462"/>
        <v/>
      </c>
      <c r="Y1962" t="str">
        <f t="shared" si="463"/>
        <v/>
      </c>
      <c r="Z1962">
        <f>IF($A1962="",0,IF(AND($M1962=1,$A1962=经营数据!$B$3,$J1962=经营数据!$BA$5,OR($I1962=经营数据!$BA$4,COUNTIF(经营数据!$AA$9:$AA$38,$I1962)&gt;0)),1,0))</f>
        <v>0</v>
      </c>
      <c r="AA1962" t="str">
        <f t="shared" si="464"/>
        <v/>
      </c>
      <c r="AB1962" t="str">
        <f t="shared" si="465"/>
        <v/>
      </c>
      <c r="AC1962">
        <f>IF($A1962="",0,IF(COUNTIF($A$2:$A1962,$A1962)=1,1,0))</f>
        <v>0</v>
      </c>
      <c r="AD1962">
        <f t="shared" si="466"/>
        <v>29</v>
      </c>
      <c r="AE1962" t="str">
        <f t="shared" si="467"/>
        <v/>
      </c>
    </row>
    <row r="1963" spans="1:31" x14ac:dyDescent="0.4">
      <c r="A1963" t="str">
        <f>IF(原始经营数据!$D1964="","",原始经营数据!$D1964)</f>
        <v/>
      </c>
      <c r="B1963" t="str">
        <f>IF(原始经营数据!$D1964="","",T(原始经营数据!$E1964))</f>
        <v/>
      </c>
      <c r="C1963" t="str">
        <f>IF(原始经营数据!$D1964="","",原始经营数据!$F1964)</f>
        <v/>
      </c>
      <c r="D1963" t="str">
        <f>IF(原始经营数据!$D1964="","",原始经营数据!$H1964)</f>
        <v/>
      </c>
      <c r="E1963" t="str">
        <f>IF(原始经营数据!$D1964="","",原始经营数据!$I1964)</f>
        <v/>
      </c>
      <c r="F1963" t="str">
        <f>IF(原始经营数据!$D1964="","",T(原始经营数据!$J1964))</f>
        <v/>
      </c>
      <c r="G1963" t="str">
        <f>IF(原始经营数据!$D1964="","",T(原始经营数据!$K1964))</f>
        <v/>
      </c>
      <c r="H1963" t="str">
        <f>IF(原始经营数据!$D1964="","",原始经营数据!$G1964)</f>
        <v/>
      </c>
      <c r="I1963" t="str">
        <f>IF($A1963="","",IF($B1963&lt;&gt;"",$B1963,IF(COUNTIFS(原始经营数据!$D$3:$D$3001,$A1963,原始经营数据!$E$3:$E$3001,"",原始经营数据!$F$3:$F$3001,$C1963,原始经营数据!$H$3:$H$3001,$D1963,原始经营数据!$K$3:$K$3001,$G1963)&gt;1,"基金整体·来源"&amp;原始经营数据!$A1964,"基金整体")))</f>
        <v/>
      </c>
      <c r="J1963" t="str">
        <f t="shared" si="453"/>
        <v/>
      </c>
      <c r="K1963" t="str">
        <f t="shared" si="454"/>
        <v/>
      </c>
      <c r="L1963" t="str">
        <f t="shared" si="455"/>
        <v/>
      </c>
      <c r="M1963">
        <f>IF($A1963="",0,IF(COUNTIF($L$2:$L1963,$L1963)=1,1,0))</f>
        <v>0</v>
      </c>
      <c r="N1963" t="str">
        <f t="shared" si="456"/>
        <v/>
      </c>
      <c r="O1963" t="str">
        <f t="shared" si="457"/>
        <v/>
      </c>
      <c r="P1963">
        <f>IF($A1963="",0,IF(COUNTIF($O$2:$O1963,$O1963)=1,1,0))</f>
        <v>0</v>
      </c>
      <c r="Q1963" t="str">
        <f>IF(AND($P1963=1,$A1963=经营数据!$B$3,$J1963=经营数据!$BA$5),COUNTIFS($P$2:$P$3000,1,$A$2:$A$3000,$A1963,$J$2:$J$3000,$J1963,$N$2:$N$3000,"&lt;"&amp;$N1963)+1,"")</f>
        <v/>
      </c>
      <c r="R1963" t="str">
        <f t="shared" si="458"/>
        <v/>
      </c>
      <c r="S1963">
        <f>IF($A1963="",0,IF(COUNTIF($R$2:$R1963,$R1963)=1,1,0))</f>
        <v>0</v>
      </c>
      <c r="T1963" t="str">
        <f t="shared" si="459"/>
        <v/>
      </c>
      <c r="U1963" t="str">
        <f>IF($A1963="","",IF($A1963=经营数据!$B$3,COUNTIFS($S$2:$S$3000,1,$A$2:$A$3000,$A1963,$T$2:$T$3000,"&lt;"&amp;$T1963)+1,""))</f>
        <v/>
      </c>
      <c r="V1963" t="str">
        <f t="shared" si="460"/>
        <v/>
      </c>
      <c r="W1963" t="str">
        <f t="shared" si="461"/>
        <v/>
      </c>
      <c r="X1963" t="str">
        <f t="shared" si="462"/>
        <v/>
      </c>
      <c r="Y1963" t="str">
        <f t="shared" si="463"/>
        <v/>
      </c>
      <c r="Z1963">
        <f>IF($A1963="",0,IF(AND($M1963=1,$A1963=经营数据!$B$3,$J1963=经营数据!$BA$5,OR($I1963=经营数据!$BA$4,COUNTIF(经营数据!$AA$9:$AA$38,$I1963)&gt;0)),1,0))</f>
        <v>0</v>
      </c>
      <c r="AA1963" t="str">
        <f t="shared" si="464"/>
        <v/>
      </c>
      <c r="AB1963" t="str">
        <f t="shared" si="465"/>
        <v/>
      </c>
      <c r="AC1963">
        <f>IF($A1963="",0,IF(COUNTIF($A$2:$A1963,$A1963)=1,1,0))</f>
        <v>0</v>
      </c>
      <c r="AD1963">
        <f t="shared" si="466"/>
        <v>29</v>
      </c>
      <c r="AE1963" t="str">
        <f t="shared" si="467"/>
        <v/>
      </c>
    </row>
    <row r="1964" spans="1:31" x14ac:dyDescent="0.4">
      <c r="A1964" t="str">
        <f>IF(原始经营数据!$D1965="","",原始经营数据!$D1965)</f>
        <v/>
      </c>
      <c r="B1964" t="str">
        <f>IF(原始经营数据!$D1965="","",T(原始经营数据!$E1965))</f>
        <v/>
      </c>
      <c r="C1964" t="str">
        <f>IF(原始经营数据!$D1965="","",原始经营数据!$F1965)</f>
        <v/>
      </c>
      <c r="D1964" t="str">
        <f>IF(原始经营数据!$D1965="","",原始经营数据!$H1965)</f>
        <v/>
      </c>
      <c r="E1964" t="str">
        <f>IF(原始经营数据!$D1965="","",原始经营数据!$I1965)</f>
        <v/>
      </c>
      <c r="F1964" t="str">
        <f>IF(原始经营数据!$D1965="","",T(原始经营数据!$J1965))</f>
        <v/>
      </c>
      <c r="G1964" t="str">
        <f>IF(原始经营数据!$D1965="","",T(原始经营数据!$K1965))</f>
        <v/>
      </c>
      <c r="H1964" t="str">
        <f>IF(原始经营数据!$D1965="","",原始经营数据!$G1965)</f>
        <v/>
      </c>
      <c r="I1964" t="str">
        <f>IF($A1964="","",IF($B1964&lt;&gt;"",$B1964,IF(COUNTIFS(原始经营数据!$D$3:$D$3001,$A1964,原始经营数据!$E$3:$E$3001,"",原始经营数据!$F$3:$F$3001,$C1964,原始经营数据!$H$3:$H$3001,$D1964,原始经营数据!$K$3:$K$3001,$G1964)&gt;1,"基金整体·来源"&amp;原始经营数据!$A1965,"基金整体")))</f>
        <v/>
      </c>
      <c r="J1964" t="str">
        <f t="shared" si="453"/>
        <v/>
      </c>
      <c r="K1964" t="str">
        <f t="shared" si="454"/>
        <v/>
      </c>
      <c r="L1964" t="str">
        <f t="shared" si="455"/>
        <v/>
      </c>
      <c r="M1964">
        <f>IF($A1964="",0,IF(COUNTIF($L$2:$L1964,$L1964)=1,1,0))</f>
        <v>0</v>
      </c>
      <c r="N1964" t="str">
        <f t="shared" si="456"/>
        <v/>
      </c>
      <c r="O1964" t="str">
        <f t="shared" si="457"/>
        <v/>
      </c>
      <c r="P1964">
        <f>IF($A1964="",0,IF(COUNTIF($O$2:$O1964,$O1964)=1,1,0))</f>
        <v>0</v>
      </c>
      <c r="Q1964" t="str">
        <f>IF(AND($P1964=1,$A1964=经营数据!$B$3,$J1964=经营数据!$BA$5),COUNTIFS($P$2:$P$3000,1,$A$2:$A$3000,$A1964,$J$2:$J$3000,$J1964,$N$2:$N$3000,"&lt;"&amp;$N1964)+1,"")</f>
        <v/>
      </c>
      <c r="R1964" t="str">
        <f t="shared" si="458"/>
        <v/>
      </c>
      <c r="S1964">
        <f>IF($A1964="",0,IF(COUNTIF($R$2:$R1964,$R1964)=1,1,0))</f>
        <v>0</v>
      </c>
      <c r="T1964" t="str">
        <f t="shared" si="459"/>
        <v/>
      </c>
      <c r="U1964" t="str">
        <f>IF($A1964="","",IF($A1964=经营数据!$B$3,COUNTIFS($S$2:$S$3000,1,$A$2:$A$3000,$A1964,$T$2:$T$3000,"&lt;"&amp;$T1964)+1,""))</f>
        <v/>
      </c>
      <c r="V1964" t="str">
        <f t="shared" si="460"/>
        <v/>
      </c>
      <c r="W1964" t="str">
        <f t="shared" si="461"/>
        <v/>
      </c>
      <c r="X1964" t="str">
        <f t="shared" si="462"/>
        <v/>
      </c>
      <c r="Y1964" t="str">
        <f t="shared" si="463"/>
        <v/>
      </c>
      <c r="Z1964">
        <f>IF($A1964="",0,IF(AND($M1964=1,$A1964=经营数据!$B$3,$J1964=经营数据!$BA$5,OR($I1964=经营数据!$BA$4,COUNTIF(经营数据!$AA$9:$AA$38,$I1964)&gt;0)),1,0))</f>
        <v>0</v>
      </c>
      <c r="AA1964" t="str">
        <f t="shared" si="464"/>
        <v/>
      </c>
      <c r="AB1964" t="str">
        <f t="shared" si="465"/>
        <v/>
      </c>
      <c r="AC1964">
        <f>IF($A1964="",0,IF(COUNTIF($A$2:$A1964,$A1964)=1,1,0))</f>
        <v>0</v>
      </c>
      <c r="AD1964">
        <f t="shared" si="466"/>
        <v>29</v>
      </c>
      <c r="AE1964" t="str">
        <f t="shared" si="467"/>
        <v/>
      </c>
    </row>
    <row r="1965" spans="1:31" x14ac:dyDescent="0.4">
      <c r="A1965" t="str">
        <f>IF(原始经营数据!$D1966="","",原始经营数据!$D1966)</f>
        <v/>
      </c>
      <c r="B1965" t="str">
        <f>IF(原始经营数据!$D1966="","",T(原始经营数据!$E1966))</f>
        <v/>
      </c>
      <c r="C1965" t="str">
        <f>IF(原始经营数据!$D1966="","",原始经营数据!$F1966)</f>
        <v/>
      </c>
      <c r="D1965" t="str">
        <f>IF(原始经营数据!$D1966="","",原始经营数据!$H1966)</f>
        <v/>
      </c>
      <c r="E1965" t="str">
        <f>IF(原始经营数据!$D1966="","",原始经营数据!$I1966)</f>
        <v/>
      </c>
      <c r="F1965" t="str">
        <f>IF(原始经营数据!$D1966="","",T(原始经营数据!$J1966))</f>
        <v/>
      </c>
      <c r="G1965" t="str">
        <f>IF(原始经营数据!$D1966="","",T(原始经营数据!$K1966))</f>
        <v/>
      </c>
      <c r="H1965" t="str">
        <f>IF(原始经营数据!$D1966="","",原始经营数据!$G1966)</f>
        <v/>
      </c>
      <c r="I1965" t="str">
        <f>IF($A1965="","",IF($B1965&lt;&gt;"",$B1965,IF(COUNTIFS(原始经营数据!$D$3:$D$3001,$A1965,原始经营数据!$E$3:$E$3001,"",原始经营数据!$F$3:$F$3001,$C1965,原始经营数据!$H$3:$H$3001,$D1965,原始经营数据!$K$3:$K$3001,$G1965)&gt;1,"基金整体·来源"&amp;原始经营数据!$A1966,"基金整体")))</f>
        <v/>
      </c>
      <c r="J1965" t="str">
        <f t="shared" si="453"/>
        <v/>
      </c>
      <c r="K1965" t="str">
        <f t="shared" si="454"/>
        <v/>
      </c>
      <c r="L1965" t="str">
        <f t="shared" si="455"/>
        <v/>
      </c>
      <c r="M1965">
        <f>IF($A1965="",0,IF(COUNTIF($L$2:$L1965,$L1965)=1,1,0))</f>
        <v>0</v>
      </c>
      <c r="N1965" t="str">
        <f t="shared" si="456"/>
        <v/>
      </c>
      <c r="O1965" t="str">
        <f t="shared" si="457"/>
        <v/>
      </c>
      <c r="P1965">
        <f>IF($A1965="",0,IF(COUNTIF($O$2:$O1965,$O1965)=1,1,0))</f>
        <v>0</v>
      </c>
      <c r="Q1965" t="str">
        <f>IF(AND($P1965=1,$A1965=经营数据!$B$3,$J1965=经营数据!$BA$5),COUNTIFS($P$2:$P$3000,1,$A$2:$A$3000,$A1965,$J$2:$J$3000,$J1965,$N$2:$N$3000,"&lt;"&amp;$N1965)+1,"")</f>
        <v/>
      </c>
      <c r="R1965" t="str">
        <f t="shared" si="458"/>
        <v/>
      </c>
      <c r="S1965">
        <f>IF($A1965="",0,IF(COUNTIF($R$2:$R1965,$R1965)=1,1,0))</f>
        <v>0</v>
      </c>
      <c r="T1965" t="str">
        <f t="shared" si="459"/>
        <v/>
      </c>
      <c r="U1965" t="str">
        <f>IF($A1965="","",IF($A1965=经营数据!$B$3,COUNTIFS($S$2:$S$3000,1,$A$2:$A$3000,$A1965,$T$2:$T$3000,"&lt;"&amp;$T1965)+1,""))</f>
        <v/>
      </c>
      <c r="V1965" t="str">
        <f t="shared" si="460"/>
        <v/>
      </c>
      <c r="W1965" t="str">
        <f t="shared" si="461"/>
        <v/>
      </c>
      <c r="X1965" t="str">
        <f t="shared" si="462"/>
        <v/>
      </c>
      <c r="Y1965" t="str">
        <f t="shared" si="463"/>
        <v/>
      </c>
      <c r="Z1965">
        <f>IF($A1965="",0,IF(AND($M1965=1,$A1965=经营数据!$B$3,$J1965=经营数据!$BA$5,OR($I1965=经营数据!$BA$4,COUNTIF(经营数据!$AA$9:$AA$38,$I1965)&gt;0)),1,0))</f>
        <v>0</v>
      </c>
      <c r="AA1965" t="str">
        <f t="shared" si="464"/>
        <v/>
      </c>
      <c r="AB1965" t="str">
        <f t="shared" si="465"/>
        <v/>
      </c>
      <c r="AC1965">
        <f>IF($A1965="",0,IF(COUNTIF($A$2:$A1965,$A1965)=1,1,0))</f>
        <v>0</v>
      </c>
      <c r="AD1965">
        <f t="shared" si="466"/>
        <v>29</v>
      </c>
      <c r="AE1965" t="str">
        <f t="shared" si="467"/>
        <v/>
      </c>
    </row>
    <row r="1966" spans="1:31" x14ac:dyDescent="0.4">
      <c r="A1966" t="str">
        <f>IF(原始经营数据!$D1967="","",原始经营数据!$D1967)</f>
        <v/>
      </c>
      <c r="B1966" t="str">
        <f>IF(原始经营数据!$D1967="","",T(原始经营数据!$E1967))</f>
        <v/>
      </c>
      <c r="C1966" t="str">
        <f>IF(原始经营数据!$D1967="","",原始经营数据!$F1967)</f>
        <v/>
      </c>
      <c r="D1966" t="str">
        <f>IF(原始经营数据!$D1967="","",原始经营数据!$H1967)</f>
        <v/>
      </c>
      <c r="E1966" t="str">
        <f>IF(原始经营数据!$D1967="","",原始经营数据!$I1967)</f>
        <v/>
      </c>
      <c r="F1966" t="str">
        <f>IF(原始经营数据!$D1967="","",T(原始经营数据!$J1967))</f>
        <v/>
      </c>
      <c r="G1966" t="str">
        <f>IF(原始经营数据!$D1967="","",T(原始经营数据!$K1967))</f>
        <v/>
      </c>
      <c r="H1966" t="str">
        <f>IF(原始经营数据!$D1967="","",原始经营数据!$G1967)</f>
        <v/>
      </c>
      <c r="I1966" t="str">
        <f>IF($A1966="","",IF($B1966&lt;&gt;"",$B1966,IF(COUNTIFS(原始经营数据!$D$3:$D$3001,$A1966,原始经营数据!$E$3:$E$3001,"",原始经营数据!$F$3:$F$3001,$C1966,原始经营数据!$H$3:$H$3001,$D1966,原始经营数据!$K$3:$K$3001,$G1966)&gt;1,"基金整体·来源"&amp;原始经营数据!$A1967,"基金整体")))</f>
        <v/>
      </c>
      <c r="J1966" t="str">
        <f t="shared" si="453"/>
        <v/>
      </c>
      <c r="K1966" t="str">
        <f t="shared" si="454"/>
        <v/>
      </c>
      <c r="L1966" t="str">
        <f t="shared" si="455"/>
        <v/>
      </c>
      <c r="M1966">
        <f>IF($A1966="",0,IF(COUNTIF($L$2:$L1966,$L1966)=1,1,0))</f>
        <v>0</v>
      </c>
      <c r="N1966" t="str">
        <f t="shared" si="456"/>
        <v/>
      </c>
      <c r="O1966" t="str">
        <f t="shared" si="457"/>
        <v/>
      </c>
      <c r="P1966">
        <f>IF($A1966="",0,IF(COUNTIF($O$2:$O1966,$O1966)=1,1,0))</f>
        <v>0</v>
      </c>
      <c r="Q1966" t="str">
        <f>IF(AND($P1966=1,$A1966=经营数据!$B$3,$J1966=经营数据!$BA$5),COUNTIFS($P$2:$P$3000,1,$A$2:$A$3000,$A1966,$J$2:$J$3000,$J1966,$N$2:$N$3000,"&lt;"&amp;$N1966)+1,"")</f>
        <v/>
      </c>
      <c r="R1966" t="str">
        <f t="shared" si="458"/>
        <v/>
      </c>
      <c r="S1966">
        <f>IF($A1966="",0,IF(COUNTIF($R$2:$R1966,$R1966)=1,1,0))</f>
        <v>0</v>
      </c>
      <c r="T1966" t="str">
        <f t="shared" si="459"/>
        <v/>
      </c>
      <c r="U1966" t="str">
        <f>IF($A1966="","",IF($A1966=经营数据!$B$3,COUNTIFS($S$2:$S$3000,1,$A$2:$A$3000,$A1966,$T$2:$T$3000,"&lt;"&amp;$T1966)+1,""))</f>
        <v/>
      </c>
      <c r="V1966" t="str">
        <f t="shared" si="460"/>
        <v/>
      </c>
      <c r="W1966" t="str">
        <f t="shared" si="461"/>
        <v/>
      </c>
      <c r="X1966" t="str">
        <f t="shared" si="462"/>
        <v/>
      </c>
      <c r="Y1966" t="str">
        <f t="shared" si="463"/>
        <v/>
      </c>
      <c r="Z1966">
        <f>IF($A1966="",0,IF(AND($M1966=1,$A1966=经营数据!$B$3,$J1966=经营数据!$BA$5,OR($I1966=经营数据!$BA$4,COUNTIF(经营数据!$AA$9:$AA$38,$I1966)&gt;0)),1,0))</f>
        <v>0</v>
      </c>
      <c r="AA1966" t="str">
        <f t="shared" si="464"/>
        <v/>
      </c>
      <c r="AB1966" t="str">
        <f t="shared" si="465"/>
        <v/>
      </c>
      <c r="AC1966">
        <f>IF($A1966="",0,IF(COUNTIF($A$2:$A1966,$A1966)=1,1,0))</f>
        <v>0</v>
      </c>
      <c r="AD1966">
        <f t="shared" si="466"/>
        <v>29</v>
      </c>
      <c r="AE1966" t="str">
        <f t="shared" si="467"/>
        <v/>
      </c>
    </row>
    <row r="1967" spans="1:31" x14ac:dyDescent="0.4">
      <c r="A1967" t="str">
        <f>IF(原始经营数据!$D1968="","",原始经营数据!$D1968)</f>
        <v/>
      </c>
      <c r="B1967" t="str">
        <f>IF(原始经营数据!$D1968="","",T(原始经营数据!$E1968))</f>
        <v/>
      </c>
      <c r="C1967" t="str">
        <f>IF(原始经营数据!$D1968="","",原始经营数据!$F1968)</f>
        <v/>
      </c>
      <c r="D1967" t="str">
        <f>IF(原始经营数据!$D1968="","",原始经营数据!$H1968)</f>
        <v/>
      </c>
      <c r="E1967" t="str">
        <f>IF(原始经营数据!$D1968="","",原始经营数据!$I1968)</f>
        <v/>
      </c>
      <c r="F1967" t="str">
        <f>IF(原始经营数据!$D1968="","",T(原始经营数据!$J1968))</f>
        <v/>
      </c>
      <c r="G1967" t="str">
        <f>IF(原始经营数据!$D1968="","",T(原始经营数据!$K1968))</f>
        <v/>
      </c>
      <c r="H1967" t="str">
        <f>IF(原始经营数据!$D1968="","",原始经营数据!$G1968)</f>
        <v/>
      </c>
      <c r="I1967" t="str">
        <f>IF($A1967="","",IF($B1967&lt;&gt;"",$B1967,IF(COUNTIFS(原始经营数据!$D$3:$D$3001,$A1967,原始经营数据!$E$3:$E$3001,"",原始经营数据!$F$3:$F$3001,$C1967,原始经营数据!$H$3:$H$3001,$D1967,原始经营数据!$K$3:$K$3001,$G1967)&gt;1,"基金整体·来源"&amp;原始经营数据!$A1968,"基金整体")))</f>
        <v/>
      </c>
      <c r="J1967" t="str">
        <f t="shared" si="453"/>
        <v/>
      </c>
      <c r="K1967" t="str">
        <f t="shared" si="454"/>
        <v/>
      </c>
      <c r="L1967" t="str">
        <f t="shared" si="455"/>
        <v/>
      </c>
      <c r="M1967">
        <f>IF($A1967="",0,IF(COUNTIF($L$2:$L1967,$L1967)=1,1,0))</f>
        <v>0</v>
      </c>
      <c r="N1967" t="str">
        <f t="shared" si="456"/>
        <v/>
      </c>
      <c r="O1967" t="str">
        <f t="shared" si="457"/>
        <v/>
      </c>
      <c r="P1967">
        <f>IF($A1967="",0,IF(COUNTIF($O$2:$O1967,$O1967)=1,1,0))</f>
        <v>0</v>
      </c>
      <c r="Q1967" t="str">
        <f>IF(AND($P1967=1,$A1967=经营数据!$B$3,$J1967=经营数据!$BA$5),COUNTIFS($P$2:$P$3000,1,$A$2:$A$3000,$A1967,$J$2:$J$3000,$J1967,$N$2:$N$3000,"&lt;"&amp;$N1967)+1,"")</f>
        <v/>
      </c>
      <c r="R1967" t="str">
        <f t="shared" si="458"/>
        <v/>
      </c>
      <c r="S1967">
        <f>IF($A1967="",0,IF(COUNTIF($R$2:$R1967,$R1967)=1,1,0))</f>
        <v>0</v>
      </c>
      <c r="T1967" t="str">
        <f t="shared" si="459"/>
        <v/>
      </c>
      <c r="U1967" t="str">
        <f>IF($A1967="","",IF($A1967=经营数据!$B$3,COUNTIFS($S$2:$S$3000,1,$A$2:$A$3000,$A1967,$T$2:$T$3000,"&lt;"&amp;$T1967)+1,""))</f>
        <v/>
      </c>
      <c r="V1967" t="str">
        <f t="shared" si="460"/>
        <v/>
      </c>
      <c r="W1967" t="str">
        <f t="shared" si="461"/>
        <v/>
      </c>
      <c r="X1967" t="str">
        <f t="shared" si="462"/>
        <v/>
      </c>
      <c r="Y1967" t="str">
        <f t="shared" si="463"/>
        <v/>
      </c>
      <c r="Z1967">
        <f>IF($A1967="",0,IF(AND($M1967=1,$A1967=经营数据!$B$3,$J1967=经营数据!$BA$5,OR($I1967=经营数据!$BA$4,COUNTIF(经营数据!$AA$9:$AA$38,$I1967)&gt;0)),1,0))</f>
        <v>0</v>
      </c>
      <c r="AA1967" t="str">
        <f t="shared" si="464"/>
        <v/>
      </c>
      <c r="AB1967" t="str">
        <f t="shared" si="465"/>
        <v/>
      </c>
      <c r="AC1967">
        <f>IF($A1967="",0,IF(COUNTIF($A$2:$A1967,$A1967)=1,1,0))</f>
        <v>0</v>
      </c>
      <c r="AD1967">
        <f t="shared" si="466"/>
        <v>29</v>
      </c>
      <c r="AE1967" t="str">
        <f t="shared" si="467"/>
        <v/>
      </c>
    </row>
    <row r="1968" spans="1:31" x14ac:dyDescent="0.4">
      <c r="A1968" t="str">
        <f>IF(原始经营数据!$D1969="","",原始经营数据!$D1969)</f>
        <v/>
      </c>
      <c r="B1968" t="str">
        <f>IF(原始经营数据!$D1969="","",T(原始经营数据!$E1969))</f>
        <v/>
      </c>
      <c r="C1968" t="str">
        <f>IF(原始经营数据!$D1969="","",原始经营数据!$F1969)</f>
        <v/>
      </c>
      <c r="D1968" t="str">
        <f>IF(原始经营数据!$D1969="","",原始经营数据!$H1969)</f>
        <v/>
      </c>
      <c r="E1968" t="str">
        <f>IF(原始经营数据!$D1969="","",原始经营数据!$I1969)</f>
        <v/>
      </c>
      <c r="F1968" t="str">
        <f>IF(原始经营数据!$D1969="","",T(原始经营数据!$J1969))</f>
        <v/>
      </c>
      <c r="G1968" t="str">
        <f>IF(原始经营数据!$D1969="","",T(原始经营数据!$K1969))</f>
        <v/>
      </c>
      <c r="H1968" t="str">
        <f>IF(原始经营数据!$D1969="","",原始经营数据!$G1969)</f>
        <v/>
      </c>
      <c r="I1968" t="str">
        <f>IF($A1968="","",IF($B1968&lt;&gt;"",$B1968,IF(COUNTIFS(原始经营数据!$D$3:$D$3001,$A1968,原始经营数据!$E$3:$E$3001,"",原始经营数据!$F$3:$F$3001,$C1968,原始经营数据!$H$3:$H$3001,$D1968,原始经营数据!$K$3:$K$3001,$G1968)&gt;1,"基金整体·来源"&amp;原始经营数据!$A1969,"基金整体")))</f>
        <v/>
      </c>
      <c r="J1968" t="str">
        <f t="shared" si="453"/>
        <v/>
      </c>
      <c r="K1968" t="str">
        <f t="shared" si="454"/>
        <v/>
      </c>
      <c r="L1968" t="str">
        <f t="shared" si="455"/>
        <v/>
      </c>
      <c r="M1968">
        <f>IF($A1968="",0,IF(COUNTIF($L$2:$L1968,$L1968)=1,1,0))</f>
        <v>0</v>
      </c>
      <c r="N1968" t="str">
        <f t="shared" si="456"/>
        <v/>
      </c>
      <c r="O1968" t="str">
        <f t="shared" si="457"/>
        <v/>
      </c>
      <c r="P1968">
        <f>IF($A1968="",0,IF(COUNTIF($O$2:$O1968,$O1968)=1,1,0))</f>
        <v>0</v>
      </c>
      <c r="Q1968" t="str">
        <f>IF(AND($P1968=1,$A1968=经营数据!$B$3,$J1968=经营数据!$BA$5),COUNTIFS($P$2:$P$3000,1,$A$2:$A$3000,$A1968,$J$2:$J$3000,$J1968,$N$2:$N$3000,"&lt;"&amp;$N1968)+1,"")</f>
        <v/>
      </c>
      <c r="R1968" t="str">
        <f t="shared" si="458"/>
        <v/>
      </c>
      <c r="S1968">
        <f>IF($A1968="",0,IF(COUNTIF($R$2:$R1968,$R1968)=1,1,0))</f>
        <v>0</v>
      </c>
      <c r="T1968" t="str">
        <f t="shared" si="459"/>
        <v/>
      </c>
      <c r="U1968" t="str">
        <f>IF($A1968="","",IF($A1968=经营数据!$B$3,COUNTIFS($S$2:$S$3000,1,$A$2:$A$3000,$A1968,$T$2:$T$3000,"&lt;"&amp;$T1968)+1,""))</f>
        <v/>
      </c>
      <c r="V1968" t="str">
        <f t="shared" si="460"/>
        <v/>
      </c>
      <c r="W1968" t="str">
        <f t="shared" si="461"/>
        <v/>
      </c>
      <c r="X1968" t="str">
        <f t="shared" si="462"/>
        <v/>
      </c>
      <c r="Y1968" t="str">
        <f t="shared" si="463"/>
        <v/>
      </c>
      <c r="Z1968">
        <f>IF($A1968="",0,IF(AND($M1968=1,$A1968=经营数据!$B$3,$J1968=经营数据!$BA$5,OR($I1968=经营数据!$BA$4,COUNTIF(经营数据!$AA$9:$AA$38,$I1968)&gt;0)),1,0))</f>
        <v>0</v>
      </c>
      <c r="AA1968" t="str">
        <f t="shared" si="464"/>
        <v/>
      </c>
      <c r="AB1968" t="str">
        <f t="shared" si="465"/>
        <v/>
      </c>
      <c r="AC1968">
        <f>IF($A1968="",0,IF(COUNTIF($A$2:$A1968,$A1968)=1,1,0))</f>
        <v>0</v>
      </c>
      <c r="AD1968">
        <f t="shared" si="466"/>
        <v>29</v>
      </c>
      <c r="AE1968" t="str">
        <f t="shared" si="467"/>
        <v/>
      </c>
    </row>
    <row r="1969" spans="1:31" x14ac:dyDescent="0.4">
      <c r="A1969" t="str">
        <f>IF(原始经营数据!$D1970="","",原始经营数据!$D1970)</f>
        <v/>
      </c>
      <c r="B1969" t="str">
        <f>IF(原始经营数据!$D1970="","",T(原始经营数据!$E1970))</f>
        <v/>
      </c>
      <c r="C1969" t="str">
        <f>IF(原始经营数据!$D1970="","",原始经营数据!$F1970)</f>
        <v/>
      </c>
      <c r="D1969" t="str">
        <f>IF(原始经营数据!$D1970="","",原始经营数据!$H1970)</f>
        <v/>
      </c>
      <c r="E1969" t="str">
        <f>IF(原始经营数据!$D1970="","",原始经营数据!$I1970)</f>
        <v/>
      </c>
      <c r="F1969" t="str">
        <f>IF(原始经营数据!$D1970="","",T(原始经营数据!$J1970))</f>
        <v/>
      </c>
      <c r="G1969" t="str">
        <f>IF(原始经营数据!$D1970="","",T(原始经营数据!$K1970))</f>
        <v/>
      </c>
      <c r="H1969" t="str">
        <f>IF(原始经营数据!$D1970="","",原始经营数据!$G1970)</f>
        <v/>
      </c>
      <c r="I1969" t="str">
        <f>IF($A1969="","",IF($B1969&lt;&gt;"",$B1969,IF(COUNTIFS(原始经营数据!$D$3:$D$3001,$A1969,原始经营数据!$E$3:$E$3001,"",原始经营数据!$F$3:$F$3001,$C1969,原始经营数据!$H$3:$H$3001,$D1969,原始经营数据!$K$3:$K$3001,$G1969)&gt;1,"基金整体·来源"&amp;原始经营数据!$A1970,"基金整体")))</f>
        <v/>
      </c>
      <c r="J1969" t="str">
        <f t="shared" si="453"/>
        <v/>
      </c>
      <c r="K1969" t="str">
        <f t="shared" si="454"/>
        <v/>
      </c>
      <c r="L1969" t="str">
        <f t="shared" si="455"/>
        <v/>
      </c>
      <c r="M1969">
        <f>IF($A1969="",0,IF(COUNTIF($L$2:$L1969,$L1969)=1,1,0))</f>
        <v>0</v>
      </c>
      <c r="N1969" t="str">
        <f t="shared" si="456"/>
        <v/>
      </c>
      <c r="O1969" t="str">
        <f t="shared" si="457"/>
        <v/>
      </c>
      <c r="P1969">
        <f>IF($A1969="",0,IF(COUNTIF($O$2:$O1969,$O1969)=1,1,0))</f>
        <v>0</v>
      </c>
      <c r="Q1969" t="str">
        <f>IF(AND($P1969=1,$A1969=经营数据!$B$3,$J1969=经营数据!$BA$5),COUNTIFS($P$2:$P$3000,1,$A$2:$A$3000,$A1969,$J$2:$J$3000,$J1969,$N$2:$N$3000,"&lt;"&amp;$N1969)+1,"")</f>
        <v/>
      </c>
      <c r="R1969" t="str">
        <f t="shared" si="458"/>
        <v/>
      </c>
      <c r="S1969">
        <f>IF($A1969="",0,IF(COUNTIF($R$2:$R1969,$R1969)=1,1,0))</f>
        <v>0</v>
      </c>
      <c r="T1969" t="str">
        <f t="shared" si="459"/>
        <v/>
      </c>
      <c r="U1969" t="str">
        <f>IF($A1969="","",IF($A1969=经营数据!$B$3,COUNTIFS($S$2:$S$3000,1,$A$2:$A$3000,$A1969,$T$2:$T$3000,"&lt;"&amp;$T1969)+1,""))</f>
        <v/>
      </c>
      <c r="V1969" t="str">
        <f t="shared" si="460"/>
        <v/>
      </c>
      <c r="W1969" t="str">
        <f t="shared" si="461"/>
        <v/>
      </c>
      <c r="X1969" t="str">
        <f t="shared" si="462"/>
        <v/>
      </c>
      <c r="Y1969" t="str">
        <f t="shared" si="463"/>
        <v/>
      </c>
      <c r="Z1969">
        <f>IF($A1969="",0,IF(AND($M1969=1,$A1969=经营数据!$B$3,$J1969=经营数据!$BA$5,OR($I1969=经营数据!$BA$4,COUNTIF(经营数据!$AA$9:$AA$38,$I1969)&gt;0)),1,0))</f>
        <v>0</v>
      </c>
      <c r="AA1969" t="str">
        <f t="shared" si="464"/>
        <v/>
      </c>
      <c r="AB1969" t="str">
        <f t="shared" si="465"/>
        <v/>
      </c>
      <c r="AC1969">
        <f>IF($A1969="",0,IF(COUNTIF($A$2:$A1969,$A1969)=1,1,0))</f>
        <v>0</v>
      </c>
      <c r="AD1969">
        <f t="shared" si="466"/>
        <v>29</v>
      </c>
      <c r="AE1969" t="str">
        <f t="shared" si="467"/>
        <v/>
      </c>
    </row>
    <row r="1970" spans="1:31" x14ac:dyDescent="0.4">
      <c r="A1970" t="str">
        <f>IF(原始经营数据!$D1971="","",原始经营数据!$D1971)</f>
        <v/>
      </c>
      <c r="B1970" t="str">
        <f>IF(原始经营数据!$D1971="","",T(原始经营数据!$E1971))</f>
        <v/>
      </c>
      <c r="C1970" t="str">
        <f>IF(原始经营数据!$D1971="","",原始经营数据!$F1971)</f>
        <v/>
      </c>
      <c r="D1970" t="str">
        <f>IF(原始经营数据!$D1971="","",原始经营数据!$H1971)</f>
        <v/>
      </c>
      <c r="E1970" t="str">
        <f>IF(原始经营数据!$D1971="","",原始经营数据!$I1971)</f>
        <v/>
      </c>
      <c r="F1970" t="str">
        <f>IF(原始经营数据!$D1971="","",T(原始经营数据!$J1971))</f>
        <v/>
      </c>
      <c r="G1970" t="str">
        <f>IF(原始经营数据!$D1971="","",T(原始经营数据!$K1971))</f>
        <v/>
      </c>
      <c r="H1970" t="str">
        <f>IF(原始经营数据!$D1971="","",原始经营数据!$G1971)</f>
        <v/>
      </c>
      <c r="I1970" t="str">
        <f>IF($A1970="","",IF($B1970&lt;&gt;"",$B1970,IF(COUNTIFS(原始经营数据!$D$3:$D$3001,$A1970,原始经营数据!$E$3:$E$3001,"",原始经营数据!$F$3:$F$3001,$C1970,原始经营数据!$H$3:$H$3001,$D1970,原始经营数据!$K$3:$K$3001,$G1970)&gt;1,"基金整体·来源"&amp;原始经营数据!$A1971,"基金整体")))</f>
        <v/>
      </c>
      <c r="J1970" t="str">
        <f t="shared" si="453"/>
        <v/>
      </c>
      <c r="K1970" t="str">
        <f t="shared" si="454"/>
        <v/>
      </c>
      <c r="L1970" t="str">
        <f t="shared" si="455"/>
        <v/>
      </c>
      <c r="M1970">
        <f>IF($A1970="",0,IF(COUNTIF($L$2:$L1970,$L1970)=1,1,0))</f>
        <v>0</v>
      </c>
      <c r="N1970" t="str">
        <f t="shared" si="456"/>
        <v/>
      </c>
      <c r="O1970" t="str">
        <f t="shared" si="457"/>
        <v/>
      </c>
      <c r="P1970">
        <f>IF($A1970="",0,IF(COUNTIF($O$2:$O1970,$O1970)=1,1,0))</f>
        <v>0</v>
      </c>
      <c r="Q1970" t="str">
        <f>IF(AND($P1970=1,$A1970=经营数据!$B$3,$J1970=经营数据!$BA$5),COUNTIFS($P$2:$P$3000,1,$A$2:$A$3000,$A1970,$J$2:$J$3000,$J1970,$N$2:$N$3000,"&lt;"&amp;$N1970)+1,"")</f>
        <v/>
      </c>
      <c r="R1970" t="str">
        <f t="shared" si="458"/>
        <v/>
      </c>
      <c r="S1970">
        <f>IF($A1970="",0,IF(COUNTIF($R$2:$R1970,$R1970)=1,1,0))</f>
        <v>0</v>
      </c>
      <c r="T1970" t="str">
        <f t="shared" si="459"/>
        <v/>
      </c>
      <c r="U1970" t="str">
        <f>IF($A1970="","",IF($A1970=经营数据!$B$3,COUNTIFS($S$2:$S$3000,1,$A$2:$A$3000,$A1970,$T$2:$T$3000,"&lt;"&amp;$T1970)+1,""))</f>
        <v/>
      </c>
      <c r="V1970" t="str">
        <f t="shared" si="460"/>
        <v/>
      </c>
      <c r="W1970" t="str">
        <f t="shared" si="461"/>
        <v/>
      </c>
      <c r="X1970" t="str">
        <f t="shared" si="462"/>
        <v/>
      </c>
      <c r="Y1970" t="str">
        <f t="shared" si="463"/>
        <v/>
      </c>
      <c r="Z1970">
        <f>IF($A1970="",0,IF(AND($M1970=1,$A1970=经营数据!$B$3,$J1970=经营数据!$BA$5,OR($I1970=经营数据!$BA$4,COUNTIF(经营数据!$AA$9:$AA$38,$I1970)&gt;0)),1,0))</f>
        <v>0</v>
      </c>
      <c r="AA1970" t="str">
        <f t="shared" si="464"/>
        <v/>
      </c>
      <c r="AB1970" t="str">
        <f t="shared" si="465"/>
        <v/>
      </c>
      <c r="AC1970">
        <f>IF($A1970="",0,IF(COUNTIF($A$2:$A1970,$A1970)=1,1,0))</f>
        <v>0</v>
      </c>
      <c r="AD1970">
        <f t="shared" si="466"/>
        <v>29</v>
      </c>
      <c r="AE1970" t="str">
        <f t="shared" si="467"/>
        <v/>
      </c>
    </row>
    <row r="1971" spans="1:31" x14ac:dyDescent="0.4">
      <c r="A1971" t="str">
        <f>IF(原始经营数据!$D1972="","",原始经营数据!$D1972)</f>
        <v/>
      </c>
      <c r="B1971" t="str">
        <f>IF(原始经营数据!$D1972="","",T(原始经营数据!$E1972))</f>
        <v/>
      </c>
      <c r="C1971" t="str">
        <f>IF(原始经营数据!$D1972="","",原始经营数据!$F1972)</f>
        <v/>
      </c>
      <c r="D1971" t="str">
        <f>IF(原始经营数据!$D1972="","",原始经营数据!$H1972)</f>
        <v/>
      </c>
      <c r="E1971" t="str">
        <f>IF(原始经营数据!$D1972="","",原始经营数据!$I1972)</f>
        <v/>
      </c>
      <c r="F1971" t="str">
        <f>IF(原始经营数据!$D1972="","",T(原始经营数据!$J1972))</f>
        <v/>
      </c>
      <c r="G1971" t="str">
        <f>IF(原始经营数据!$D1972="","",T(原始经营数据!$K1972))</f>
        <v/>
      </c>
      <c r="H1971" t="str">
        <f>IF(原始经营数据!$D1972="","",原始经营数据!$G1972)</f>
        <v/>
      </c>
      <c r="I1971" t="str">
        <f>IF($A1971="","",IF($B1971&lt;&gt;"",$B1971,IF(COUNTIFS(原始经营数据!$D$3:$D$3001,$A1971,原始经营数据!$E$3:$E$3001,"",原始经营数据!$F$3:$F$3001,$C1971,原始经营数据!$H$3:$H$3001,$D1971,原始经营数据!$K$3:$K$3001,$G1971)&gt;1,"基金整体·来源"&amp;原始经营数据!$A1972,"基金整体")))</f>
        <v/>
      </c>
      <c r="J1971" t="str">
        <f t="shared" si="453"/>
        <v/>
      </c>
      <c r="K1971" t="str">
        <f t="shared" si="454"/>
        <v/>
      </c>
      <c r="L1971" t="str">
        <f t="shared" si="455"/>
        <v/>
      </c>
      <c r="M1971">
        <f>IF($A1971="",0,IF(COUNTIF($L$2:$L1971,$L1971)=1,1,0))</f>
        <v>0</v>
      </c>
      <c r="N1971" t="str">
        <f t="shared" si="456"/>
        <v/>
      </c>
      <c r="O1971" t="str">
        <f t="shared" si="457"/>
        <v/>
      </c>
      <c r="P1971">
        <f>IF($A1971="",0,IF(COUNTIF($O$2:$O1971,$O1971)=1,1,0))</f>
        <v>0</v>
      </c>
      <c r="Q1971" t="str">
        <f>IF(AND($P1971=1,$A1971=经营数据!$B$3,$J1971=经营数据!$BA$5),COUNTIFS($P$2:$P$3000,1,$A$2:$A$3000,$A1971,$J$2:$J$3000,$J1971,$N$2:$N$3000,"&lt;"&amp;$N1971)+1,"")</f>
        <v/>
      </c>
      <c r="R1971" t="str">
        <f t="shared" si="458"/>
        <v/>
      </c>
      <c r="S1971">
        <f>IF($A1971="",0,IF(COUNTIF($R$2:$R1971,$R1971)=1,1,0))</f>
        <v>0</v>
      </c>
      <c r="T1971" t="str">
        <f t="shared" si="459"/>
        <v/>
      </c>
      <c r="U1971" t="str">
        <f>IF($A1971="","",IF($A1971=经营数据!$B$3,COUNTIFS($S$2:$S$3000,1,$A$2:$A$3000,$A1971,$T$2:$T$3000,"&lt;"&amp;$T1971)+1,""))</f>
        <v/>
      </c>
      <c r="V1971" t="str">
        <f t="shared" si="460"/>
        <v/>
      </c>
      <c r="W1971" t="str">
        <f t="shared" si="461"/>
        <v/>
      </c>
      <c r="X1971" t="str">
        <f t="shared" si="462"/>
        <v/>
      </c>
      <c r="Y1971" t="str">
        <f t="shared" si="463"/>
        <v/>
      </c>
      <c r="Z1971">
        <f>IF($A1971="",0,IF(AND($M1971=1,$A1971=经营数据!$B$3,$J1971=经营数据!$BA$5,OR($I1971=经营数据!$BA$4,COUNTIF(经营数据!$AA$9:$AA$38,$I1971)&gt;0)),1,0))</f>
        <v>0</v>
      </c>
      <c r="AA1971" t="str">
        <f t="shared" si="464"/>
        <v/>
      </c>
      <c r="AB1971" t="str">
        <f t="shared" si="465"/>
        <v/>
      </c>
      <c r="AC1971">
        <f>IF($A1971="",0,IF(COUNTIF($A$2:$A1971,$A1971)=1,1,0))</f>
        <v>0</v>
      </c>
      <c r="AD1971">
        <f t="shared" si="466"/>
        <v>29</v>
      </c>
      <c r="AE1971" t="str">
        <f t="shared" si="467"/>
        <v/>
      </c>
    </row>
    <row r="1972" spans="1:31" x14ac:dyDescent="0.4">
      <c r="A1972" t="str">
        <f>IF(原始经营数据!$D1973="","",原始经营数据!$D1973)</f>
        <v/>
      </c>
      <c r="B1972" t="str">
        <f>IF(原始经营数据!$D1973="","",T(原始经营数据!$E1973))</f>
        <v/>
      </c>
      <c r="C1972" t="str">
        <f>IF(原始经营数据!$D1973="","",原始经营数据!$F1973)</f>
        <v/>
      </c>
      <c r="D1972" t="str">
        <f>IF(原始经营数据!$D1973="","",原始经营数据!$H1973)</f>
        <v/>
      </c>
      <c r="E1972" t="str">
        <f>IF(原始经营数据!$D1973="","",原始经营数据!$I1973)</f>
        <v/>
      </c>
      <c r="F1972" t="str">
        <f>IF(原始经营数据!$D1973="","",T(原始经营数据!$J1973))</f>
        <v/>
      </c>
      <c r="G1972" t="str">
        <f>IF(原始经营数据!$D1973="","",T(原始经营数据!$K1973))</f>
        <v/>
      </c>
      <c r="H1972" t="str">
        <f>IF(原始经营数据!$D1973="","",原始经营数据!$G1973)</f>
        <v/>
      </c>
      <c r="I1972" t="str">
        <f>IF($A1972="","",IF($B1972&lt;&gt;"",$B1972,IF(COUNTIFS(原始经营数据!$D$3:$D$3001,$A1972,原始经营数据!$E$3:$E$3001,"",原始经营数据!$F$3:$F$3001,$C1972,原始经营数据!$H$3:$H$3001,$D1972,原始经营数据!$K$3:$K$3001,$G1972)&gt;1,"基金整体·来源"&amp;原始经营数据!$A1973,"基金整体")))</f>
        <v/>
      </c>
      <c r="J1972" t="str">
        <f t="shared" si="453"/>
        <v/>
      </c>
      <c r="K1972" t="str">
        <f t="shared" si="454"/>
        <v/>
      </c>
      <c r="L1972" t="str">
        <f t="shared" si="455"/>
        <v/>
      </c>
      <c r="M1972">
        <f>IF($A1972="",0,IF(COUNTIF($L$2:$L1972,$L1972)=1,1,0))</f>
        <v>0</v>
      </c>
      <c r="N1972" t="str">
        <f t="shared" si="456"/>
        <v/>
      </c>
      <c r="O1972" t="str">
        <f t="shared" si="457"/>
        <v/>
      </c>
      <c r="P1972">
        <f>IF($A1972="",0,IF(COUNTIF($O$2:$O1972,$O1972)=1,1,0))</f>
        <v>0</v>
      </c>
      <c r="Q1972" t="str">
        <f>IF(AND($P1972=1,$A1972=经营数据!$B$3,$J1972=经营数据!$BA$5),COUNTIFS($P$2:$P$3000,1,$A$2:$A$3000,$A1972,$J$2:$J$3000,$J1972,$N$2:$N$3000,"&lt;"&amp;$N1972)+1,"")</f>
        <v/>
      </c>
      <c r="R1972" t="str">
        <f t="shared" si="458"/>
        <v/>
      </c>
      <c r="S1972">
        <f>IF($A1972="",0,IF(COUNTIF($R$2:$R1972,$R1972)=1,1,0))</f>
        <v>0</v>
      </c>
      <c r="T1972" t="str">
        <f t="shared" si="459"/>
        <v/>
      </c>
      <c r="U1972" t="str">
        <f>IF($A1972="","",IF($A1972=经营数据!$B$3,COUNTIFS($S$2:$S$3000,1,$A$2:$A$3000,$A1972,$T$2:$T$3000,"&lt;"&amp;$T1972)+1,""))</f>
        <v/>
      </c>
      <c r="V1972" t="str">
        <f t="shared" si="460"/>
        <v/>
      </c>
      <c r="W1972" t="str">
        <f t="shared" si="461"/>
        <v/>
      </c>
      <c r="X1972" t="str">
        <f t="shared" si="462"/>
        <v/>
      </c>
      <c r="Y1972" t="str">
        <f t="shared" si="463"/>
        <v/>
      </c>
      <c r="Z1972">
        <f>IF($A1972="",0,IF(AND($M1972=1,$A1972=经营数据!$B$3,$J1972=经营数据!$BA$5,OR($I1972=经营数据!$BA$4,COUNTIF(经营数据!$AA$9:$AA$38,$I1972)&gt;0)),1,0))</f>
        <v>0</v>
      </c>
      <c r="AA1972" t="str">
        <f t="shared" si="464"/>
        <v/>
      </c>
      <c r="AB1972" t="str">
        <f t="shared" si="465"/>
        <v/>
      </c>
      <c r="AC1972">
        <f>IF($A1972="",0,IF(COUNTIF($A$2:$A1972,$A1972)=1,1,0))</f>
        <v>0</v>
      </c>
      <c r="AD1972">
        <f t="shared" si="466"/>
        <v>29</v>
      </c>
      <c r="AE1972" t="str">
        <f t="shared" si="467"/>
        <v/>
      </c>
    </row>
    <row r="1973" spans="1:31" x14ac:dyDescent="0.4">
      <c r="A1973" t="str">
        <f>IF(原始经营数据!$D1974="","",原始经营数据!$D1974)</f>
        <v/>
      </c>
      <c r="B1973" t="str">
        <f>IF(原始经营数据!$D1974="","",T(原始经营数据!$E1974))</f>
        <v/>
      </c>
      <c r="C1973" t="str">
        <f>IF(原始经营数据!$D1974="","",原始经营数据!$F1974)</f>
        <v/>
      </c>
      <c r="D1973" t="str">
        <f>IF(原始经营数据!$D1974="","",原始经营数据!$H1974)</f>
        <v/>
      </c>
      <c r="E1973" t="str">
        <f>IF(原始经营数据!$D1974="","",原始经营数据!$I1974)</f>
        <v/>
      </c>
      <c r="F1973" t="str">
        <f>IF(原始经营数据!$D1974="","",T(原始经营数据!$J1974))</f>
        <v/>
      </c>
      <c r="G1973" t="str">
        <f>IF(原始经营数据!$D1974="","",T(原始经营数据!$K1974))</f>
        <v/>
      </c>
      <c r="H1973" t="str">
        <f>IF(原始经营数据!$D1974="","",原始经营数据!$G1974)</f>
        <v/>
      </c>
      <c r="I1973" t="str">
        <f>IF($A1973="","",IF($B1973&lt;&gt;"",$B1973,IF(COUNTIFS(原始经营数据!$D$3:$D$3001,$A1973,原始经营数据!$E$3:$E$3001,"",原始经营数据!$F$3:$F$3001,$C1973,原始经营数据!$H$3:$H$3001,$D1973,原始经营数据!$K$3:$K$3001,$G1973)&gt;1,"基金整体·来源"&amp;原始经营数据!$A1974,"基金整体")))</f>
        <v/>
      </c>
      <c r="J1973" t="str">
        <f t="shared" si="453"/>
        <v/>
      </c>
      <c r="K1973" t="str">
        <f t="shared" si="454"/>
        <v/>
      </c>
      <c r="L1973" t="str">
        <f t="shared" si="455"/>
        <v/>
      </c>
      <c r="M1973">
        <f>IF($A1973="",0,IF(COUNTIF($L$2:$L1973,$L1973)=1,1,0))</f>
        <v>0</v>
      </c>
      <c r="N1973" t="str">
        <f t="shared" si="456"/>
        <v/>
      </c>
      <c r="O1973" t="str">
        <f t="shared" si="457"/>
        <v/>
      </c>
      <c r="P1973">
        <f>IF($A1973="",0,IF(COUNTIF($O$2:$O1973,$O1973)=1,1,0))</f>
        <v>0</v>
      </c>
      <c r="Q1973" t="str">
        <f>IF(AND($P1973=1,$A1973=经营数据!$B$3,$J1973=经营数据!$BA$5),COUNTIFS($P$2:$P$3000,1,$A$2:$A$3000,$A1973,$J$2:$J$3000,$J1973,$N$2:$N$3000,"&lt;"&amp;$N1973)+1,"")</f>
        <v/>
      </c>
      <c r="R1973" t="str">
        <f t="shared" si="458"/>
        <v/>
      </c>
      <c r="S1973">
        <f>IF($A1973="",0,IF(COUNTIF($R$2:$R1973,$R1973)=1,1,0))</f>
        <v>0</v>
      </c>
      <c r="T1973" t="str">
        <f t="shared" si="459"/>
        <v/>
      </c>
      <c r="U1973" t="str">
        <f>IF($A1973="","",IF($A1973=经营数据!$B$3,COUNTIFS($S$2:$S$3000,1,$A$2:$A$3000,$A1973,$T$2:$T$3000,"&lt;"&amp;$T1973)+1,""))</f>
        <v/>
      </c>
      <c r="V1973" t="str">
        <f t="shared" si="460"/>
        <v/>
      </c>
      <c r="W1973" t="str">
        <f t="shared" si="461"/>
        <v/>
      </c>
      <c r="X1973" t="str">
        <f t="shared" si="462"/>
        <v/>
      </c>
      <c r="Y1973" t="str">
        <f t="shared" si="463"/>
        <v/>
      </c>
      <c r="Z1973">
        <f>IF($A1973="",0,IF(AND($M1973=1,$A1973=经营数据!$B$3,$J1973=经营数据!$BA$5,OR($I1973=经营数据!$BA$4,COUNTIF(经营数据!$AA$9:$AA$38,$I1973)&gt;0)),1,0))</f>
        <v>0</v>
      </c>
      <c r="AA1973" t="str">
        <f t="shared" si="464"/>
        <v/>
      </c>
      <c r="AB1973" t="str">
        <f t="shared" si="465"/>
        <v/>
      </c>
      <c r="AC1973">
        <f>IF($A1973="",0,IF(COUNTIF($A$2:$A1973,$A1973)=1,1,0))</f>
        <v>0</v>
      </c>
      <c r="AD1973">
        <f t="shared" si="466"/>
        <v>29</v>
      </c>
      <c r="AE1973" t="str">
        <f t="shared" si="467"/>
        <v/>
      </c>
    </row>
    <row r="1974" spans="1:31" x14ac:dyDescent="0.4">
      <c r="A1974" t="str">
        <f>IF(原始经营数据!$D1975="","",原始经营数据!$D1975)</f>
        <v/>
      </c>
      <c r="B1974" t="str">
        <f>IF(原始经营数据!$D1975="","",T(原始经营数据!$E1975))</f>
        <v/>
      </c>
      <c r="C1974" t="str">
        <f>IF(原始经营数据!$D1975="","",原始经营数据!$F1975)</f>
        <v/>
      </c>
      <c r="D1974" t="str">
        <f>IF(原始经营数据!$D1975="","",原始经营数据!$H1975)</f>
        <v/>
      </c>
      <c r="E1974" t="str">
        <f>IF(原始经营数据!$D1975="","",原始经营数据!$I1975)</f>
        <v/>
      </c>
      <c r="F1974" t="str">
        <f>IF(原始经营数据!$D1975="","",T(原始经营数据!$J1975))</f>
        <v/>
      </c>
      <c r="G1974" t="str">
        <f>IF(原始经营数据!$D1975="","",T(原始经营数据!$K1975))</f>
        <v/>
      </c>
      <c r="H1974" t="str">
        <f>IF(原始经营数据!$D1975="","",原始经营数据!$G1975)</f>
        <v/>
      </c>
      <c r="I1974" t="str">
        <f>IF($A1974="","",IF($B1974&lt;&gt;"",$B1974,IF(COUNTIFS(原始经营数据!$D$3:$D$3001,$A1974,原始经营数据!$E$3:$E$3001,"",原始经营数据!$F$3:$F$3001,$C1974,原始经营数据!$H$3:$H$3001,$D1974,原始经营数据!$K$3:$K$3001,$G1974)&gt;1,"基金整体·来源"&amp;原始经营数据!$A1975,"基金整体")))</f>
        <v/>
      </c>
      <c r="J1974" t="str">
        <f t="shared" si="453"/>
        <v/>
      </c>
      <c r="K1974" t="str">
        <f t="shared" si="454"/>
        <v/>
      </c>
      <c r="L1974" t="str">
        <f t="shared" si="455"/>
        <v/>
      </c>
      <c r="M1974">
        <f>IF($A1974="",0,IF(COUNTIF($L$2:$L1974,$L1974)=1,1,0))</f>
        <v>0</v>
      </c>
      <c r="N1974" t="str">
        <f t="shared" si="456"/>
        <v/>
      </c>
      <c r="O1974" t="str">
        <f t="shared" si="457"/>
        <v/>
      </c>
      <c r="P1974">
        <f>IF($A1974="",0,IF(COUNTIF($O$2:$O1974,$O1974)=1,1,0))</f>
        <v>0</v>
      </c>
      <c r="Q1974" t="str">
        <f>IF(AND($P1974=1,$A1974=经营数据!$B$3,$J1974=经营数据!$BA$5),COUNTIFS($P$2:$P$3000,1,$A$2:$A$3000,$A1974,$J$2:$J$3000,$J1974,$N$2:$N$3000,"&lt;"&amp;$N1974)+1,"")</f>
        <v/>
      </c>
      <c r="R1974" t="str">
        <f t="shared" si="458"/>
        <v/>
      </c>
      <c r="S1974">
        <f>IF($A1974="",0,IF(COUNTIF($R$2:$R1974,$R1974)=1,1,0))</f>
        <v>0</v>
      </c>
      <c r="T1974" t="str">
        <f t="shared" si="459"/>
        <v/>
      </c>
      <c r="U1974" t="str">
        <f>IF($A1974="","",IF($A1974=经营数据!$B$3,COUNTIFS($S$2:$S$3000,1,$A$2:$A$3000,$A1974,$T$2:$T$3000,"&lt;"&amp;$T1974)+1,""))</f>
        <v/>
      </c>
      <c r="V1974" t="str">
        <f t="shared" si="460"/>
        <v/>
      </c>
      <c r="W1974" t="str">
        <f t="shared" si="461"/>
        <v/>
      </c>
      <c r="X1974" t="str">
        <f t="shared" si="462"/>
        <v/>
      </c>
      <c r="Y1974" t="str">
        <f t="shared" si="463"/>
        <v/>
      </c>
      <c r="Z1974">
        <f>IF($A1974="",0,IF(AND($M1974=1,$A1974=经营数据!$B$3,$J1974=经营数据!$BA$5,OR($I1974=经营数据!$BA$4,COUNTIF(经营数据!$AA$9:$AA$38,$I1974)&gt;0)),1,0))</f>
        <v>0</v>
      </c>
      <c r="AA1974" t="str">
        <f t="shared" si="464"/>
        <v/>
      </c>
      <c r="AB1974" t="str">
        <f t="shared" si="465"/>
        <v/>
      </c>
      <c r="AC1974">
        <f>IF($A1974="",0,IF(COUNTIF($A$2:$A1974,$A1974)=1,1,0))</f>
        <v>0</v>
      </c>
      <c r="AD1974">
        <f t="shared" si="466"/>
        <v>29</v>
      </c>
      <c r="AE1974" t="str">
        <f t="shared" si="467"/>
        <v/>
      </c>
    </row>
    <row r="1975" spans="1:31" x14ac:dyDescent="0.4">
      <c r="A1975" t="str">
        <f>IF(原始经营数据!$D1976="","",原始经营数据!$D1976)</f>
        <v/>
      </c>
      <c r="B1975" t="str">
        <f>IF(原始经营数据!$D1976="","",T(原始经营数据!$E1976))</f>
        <v/>
      </c>
      <c r="C1975" t="str">
        <f>IF(原始经营数据!$D1976="","",原始经营数据!$F1976)</f>
        <v/>
      </c>
      <c r="D1975" t="str">
        <f>IF(原始经营数据!$D1976="","",原始经营数据!$H1976)</f>
        <v/>
      </c>
      <c r="E1975" t="str">
        <f>IF(原始经营数据!$D1976="","",原始经营数据!$I1976)</f>
        <v/>
      </c>
      <c r="F1975" t="str">
        <f>IF(原始经营数据!$D1976="","",T(原始经营数据!$J1976))</f>
        <v/>
      </c>
      <c r="G1975" t="str">
        <f>IF(原始经营数据!$D1976="","",T(原始经营数据!$K1976))</f>
        <v/>
      </c>
      <c r="H1975" t="str">
        <f>IF(原始经营数据!$D1976="","",原始经营数据!$G1976)</f>
        <v/>
      </c>
      <c r="I1975" t="str">
        <f>IF($A1975="","",IF($B1975&lt;&gt;"",$B1975,IF(COUNTIFS(原始经营数据!$D$3:$D$3001,$A1975,原始经营数据!$E$3:$E$3001,"",原始经营数据!$F$3:$F$3001,$C1975,原始经营数据!$H$3:$H$3001,$D1975,原始经营数据!$K$3:$K$3001,$G1975)&gt;1,"基金整体·来源"&amp;原始经营数据!$A1976,"基金整体")))</f>
        <v/>
      </c>
      <c r="J1975" t="str">
        <f t="shared" si="453"/>
        <v/>
      </c>
      <c r="K1975" t="str">
        <f t="shared" si="454"/>
        <v/>
      </c>
      <c r="L1975" t="str">
        <f t="shared" si="455"/>
        <v/>
      </c>
      <c r="M1975">
        <f>IF($A1975="",0,IF(COUNTIF($L$2:$L1975,$L1975)=1,1,0))</f>
        <v>0</v>
      </c>
      <c r="N1975" t="str">
        <f t="shared" si="456"/>
        <v/>
      </c>
      <c r="O1975" t="str">
        <f t="shared" si="457"/>
        <v/>
      </c>
      <c r="P1975">
        <f>IF($A1975="",0,IF(COUNTIF($O$2:$O1975,$O1975)=1,1,0))</f>
        <v>0</v>
      </c>
      <c r="Q1975" t="str">
        <f>IF(AND($P1975=1,$A1975=经营数据!$B$3,$J1975=经营数据!$BA$5),COUNTIFS($P$2:$P$3000,1,$A$2:$A$3000,$A1975,$J$2:$J$3000,$J1975,$N$2:$N$3000,"&lt;"&amp;$N1975)+1,"")</f>
        <v/>
      </c>
      <c r="R1975" t="str">
        <f t="shared" si="458"/>
        <v/>
      </c>
      <c r="S1975">
        <f>IF($A1975="",0,IF(COUNTIF($R$2:$R1975,$R1975)=1,1,0))</f>
        <v>0</v>
      </c>
      <c r="T1975" t="str">
        <f t="shared" si="459"/>
        <v/>
      </c>
      <c r="U1975" t="str">
        <f>IF($A1975="","",IF($A1975=经营数据!$B$3,COUNTIFS($S$2:$S$3000,1,$A$2:$A$3000,$A1975,$T$2:$T$3000,"&lt;"&amp;$T1975)+1,""))</f>
        <v/>
      </c>
      <c r="V1975" t="str">
        <f t="shared" si="460"/>
        <v/>
      </c>
      <c r="W1975" t="str">
        <f t="shared" si="461"/>
        <v/>
      </c>
      <c r="X1975" t="str">
        <f t="shared" si="462"/>
        <v/>
      </c>
      <c r="Y1975" t="str">
        <f t="shared" si="463"/>
        <v/>
      </c>
      <c r="Z1975">
        <f>IF($A1975="",0,IF(AND($M1975=1,$A1975=经营数据!$B$3,$J1975=经营数据!$BA$5,OR($I1975=经营数据!$BA$4,COUNTIF(经营数据!$AA$9:$AA$38,$I1975)&gt;0)),1,0))</f>
        <v>0</v>
      </c>
      <c r="AA1975" t="str">
        <f t="shared" si="464"/>
        <v/>
      </c>
      <c r="AB1975" t="str">
        <f t="shared" si="465"/>
        <v/>
      </c>
      <c r="AC1975">
        <f>IF($A1975="",0,IF(COUNTIF($A$2:$A1975,$A1975)=1,1,0))</f>
        <v>0</v>
      </c>
      <c r="AD1975">
        <f t="shared" si="466"/>
        <v>29</v>
      </c>
      <c r="AE1975" t="str">
        <f t="shared" si="467"/>
        <v/>
      </c>
    </row>
    <row r="1976" spans="1:31" x14ac:dyDescent="0.4">
      <c r="A1976" t="str">
        <f>IF(原始经营数据!$D1977="","",原始经营数据!$D1977)</f>
        <v/>
      </c>
      <c r="B1976" t="str">
        <f>IF(原始经营数据!$D1977="","",T(原始经营数据!$E1977))</f>
        <v/>
      </c>
      <c r="C1976" t="str">
        <f>IF(原始经营数据!$D1977="","",原始经营数据!$F1977)</f>
        <v/>
      </c>
      <c r="D1976" t="str">
        <f>IF(原始经营数据!$D1977="","",原始经营数据!$H1977)</f>
        <v/>
      </c>
      <c r="E1976" t="str">
        <f>IF(原始经营数据!$D1977="","",原始经营数据!$I1977)</f>
        <v/>
      </c>
      <c r="F1976" t="str">
        <f>IF(原始经营数据!$D1977="","",T(原始经营数据!$J1977))</f>
        <v/>
      </c>
      <c r="G1976" t="str">
        <f>IF(原始经营数据!$D1977="","",T(原始经营数据!$K1977))</f>
        <v/>
      </c>
      <c r="H1976" t="str">
        <f>IF(原始经营数据!$D1977="","",原始经营数据!$G1977)</f>
        <v/>
      </c>
      <c r="I1976" t="str">
        <f>IF($A1976="","",IF($B1976&lt;&gt;"",$B1976,IF(COUNTIFS(原始经营数据!$D$3:$D$3001,$A1976,原始经营数据!$E$3:$E$3001,"",原始经营数据!$F$3:$F$3001,$C1976,原始经营数据!$H$3:$H$3001,$D1976,原始经营数据!$K$3:$K$3001,$G1976)&gt;1,"基金整体·来源"&amp;原始经营数据!$A1977,"基金整体")))</f>
        <v/>
      </c>
      <c r="J1976" t="str">
        <f t="shared" si="453"/>
        <v/>
      </c>
      <c r="K1976" t="str">
        <f t="shared" si="454"/>
        <v/>
      </c>
      <c r="L1976" t="str">
        <f t="shared" si="455"/>
        <v/>
      </c>
      <c r="M1976">
        <f>IF($A1976="",0,IF(COUNTIF($L$2:$L1976,$L1976)=1,1,0))</f>
        <v>0</v>
      </c>
      <c r="N1976" t="str">
        <f t="shared" si="456"/>
        <v/>
      </c>
      <c r="O1976" t="str">
        <f t="shared" si="457"/>
        <v/>
      </c>
      <c r="P1976">
        <f>IF($A1976="",0,IF(COUNTIF($O$2:$O1976,$O1976)=1,1,0))</f>
        <v>0</v>
      </c>
      <c r="Q1976" t="str">
        <f>IF(AND($P1976=1,$A1976=经营数据!$B$3,$J1976=经营数据!$BA$5),COUNTIFS($P$2:$P$3000,1,$A$2:$A$3000,$A1976,$J$2:$J$3000,$J1976,$N$2:$N$3000,"&lt;"&amp;$N1976)+1,"")</f>
        <v/>
      </c>
      <c r="R1976" t="str">
        <f t="shared" si="458"/>
        <v/>
      </c>
      <c r="S1976">
        <f>IF($A1976="",0,IF(COUNTIF($R$2:$R1976,$R1976)=1,1,0))</f>
        <v>0</v>
      </c>
      <c r="T1976" t="str">
        <f t="shared" si="459"/>
        <v/>
      </c>
      <c r="U1976" t="str">
        <f>IF($A1976="","",IF($A1976=经营数据!$B$3,COUNTIFS($S$2:$S$3000,1,$A$2:$A$3000,$A1976,$T$2:$T$3000,"&lt;"&amp;$T1976)+1,""))</f>
        <v/>
      </c>
      <c r="V1976" t="str">
        <f t="shared" si="460"/>
        <v/>
      </c>
      <c r="W1976" t="str">
        <f t="shared" si="461"/>
        <v/>
      </c>
      <c r="X1976" t="str">
        <f t="shared" si="462"/>
        <v/>
      </c>
      <c r="Y1976" t="str">
        <f t="shared" si="463"/>
        <v/>
      </c>
      <c r="Z1976">
        <f>IF($A1976="",0,IF(AND($M1976=1,$A1976=经营数据!$B$3,$J1976=经营数据!$BA$5,OR($I1976=经营数据!$BA$4,COUNTIF(经营数据!$AA$9:$AA$38,$I1976)&gt;0)),1,0))</f>
        <v>0</v>
      </c>
      <c r="AA1976" t="str">
        <f t="shared" si="464"/>
        <v/>
      </c>
      <c r="AB1976" t="str">
        <f t="shared" si="465"/>
        <v/>
      </c>
      <c r="AC1976">
        <f>IF($A1976="",0,IF(COUNTIF($A$2:$A1976,$A1976)=1,1,0))</f>
        <v>0</v>
      </c>
      <c r="AD1976">
        <f t="shared" si="466"/>
        <v>29</v>
      </c>
      <c r="AE1976" t="str">
        <f t="shared" si="467"/>
        <v/>
      </c>
    </row>
    <row r="1977" spans="1:31" x14ac:dyDescent="0.4">
      <c r="A1977" t="str">
        <f>IF(原始经营数据!$D1978="","",原始经营数据!$D1978)</f>
        <v/>
      </c>
      <c r="B1977" t="str">
        <f>IF(原始经营数据!$D1978="","",T(原始经营数据!$E1978))</f>
        <v/>
      </c>
      <c r="C1977" t="str">
        <f>IF(原始经营数据!$D1978="","",原始经营数据!$F1978)</f>
        <v/>
      </c>
      <c r="D1977" t="str">
        <f>IF(原始经营数据!$D1978="","",原始经营数据!$H1978)</f>
        <v/>
      </c>
      <c r="E1977" t="str">
        <f>IF(原始经营数据!$D1978="","",原始经营数据!$I1978)</f>
        <v/>
      </c>
      <c r="F1977" t="str">
        <f>IF(原始经营数据!$D1978="","",T(原始经营数据!$J1978))</f>
        <v/>
      </c>
      <c r="G1977" t="str">
        <f>IF(原始经营数据!$D1978="","",T(原始经营数据!$K1978))</f>
        <v/>
      </c>
      <c r="H1977" t="str">
        <f>IF(原始经营数据!$D1978="","",原始经营数据!$G1978)</f>
        <v/>
      </c>
      <c r="I1977" t="str">
        <f>IF($A1977="","",IF($B1977&lt;&gt;"",$B1977,IF(COUNTIFS(原始经营数据!$D$3:$D$3001,$A1977,原始经营数据!$E$3:$E$3001,"",原始经营数据!$F$3:$F$3001,$C1977,原始经营数据!$H$3:$H$3001,$D1977,原始经营数据!$K$3:$K$3001,$G1977)&gt;1,"基金整体·来源"&amp;原始经营数据!$A1978,"基金整体")))</f>
        <v/>
      </c>
      <c r="J1977" t="str">
        <f t="shared" si="453"/>
        <v/>
      </c>
      <c r="K1977" t="str">
        <f t="shared" si="454"/>
        <v/>
      </c>
      <c r="L1977" t="str">
        <f t="shared" si="455"/>
        <v/>
      </c>
      <c r="M1977">
        <f>IF($A1977="",0,IF(COUNTIF($L$2:$L1977,$L1977)=1,1,0))</f>
        <v>0</v>
      </c>
      <c r="N1977" t="str">
        <f t="shared" si="456"/>
        <v/>
      </c>
      <c r="O1977" t="str">
        <f t="shared" si="457"/>
        <v/>
      </c>
      <c r="P1977">
        <f>IF($A1977="",0,IF(COUNTIF($O$2:$O1977,$O1977)=1,1,0))</f>
        <v>0</v>
      </c>
      <c r="Q1977" t="str">
        <f>IF(AND($P1977=1,$A1977=经营数据!$B$3,$J1977=经营数据!$BA$5),COUNTIFS($P$2:$P$3000,1,$A$2:$A$3000,$A1977,$J$2:$J$3000,$J1977,$N$2:$N$3000,"&lt;"&amp;$N1977)+1,"")</f>
        <v/>
      </c>
      <c r="R1977" t="str">
        <f t="shared" si="458"/>
        <v/>
      </c>
      <c r="S1977">
        <f>IF($A1977="",0,IF(COUNTIF($R$2:$R1977,$R1977)=1,1,0))</f>
        <v>0</v>
      </c>
      <c r="T1977" t="str">
        <f t="shared" si="459"/>
        <v/>
      </c>
      <c r="U1977" t="str">
        <f>IF($A1977="","",IF($A1977=经营数据!$B$3,COUNTIFS($S$2:$S$3000,1,$A$2:$A$3000,$A1977,$T$2:$T$3000,"&lt;"&amp;$T1977)+1,""))</f>
        <v/>
      </c>
      <c r="V1977" t="str">
        <f t="shared" si="460"/>
        <v/>
      </c>
      <c r="W1977" t="str">
        <f t="shared" si="461"/>
        <v/>
      </c>
      <c r="X1977" t="str">
        <f t="shared" si="462"/>
        <v/>
      </c>
      <c r="Y1977" t="str">
        <f t="shared" si="463"/>
        <v/>
      </c>
      <c r="Z1977">
        <f>IF($A1977="",0,IF(AND($M1977=1,$A1977=经营数据!$B$3,$J1977=经营数据!$BA$5,OR($I1977=经营数据!$BA$4,COUNTIF(经营数据!$AA$9:$AA$38,$I1977)&gt;0)),1,0))</f>
        <v>0</v>
      </c>
      <c r="AA1977" t="str">
        <f t="shared" si="464"/>
        <v/>
      </c>
      <c r="AB1977" t="str">
        <f t="shared" si="465"/>
        <v/>
      </c>
      <c r="AC1977">
        <f>IF($A1977="",0,IF(COUNTIF($A$2:$A1977,$A1977)=1,1,0))</f>
        <v>0</v>
      </c>
      <c r="AD1977">
        <f t="shared" si="466"/>
        <v>29</v>
      </c>
      <c r="AE1977" t="str">
        <f t="shared" si="467"/>
        <v/>
      </c>
    </row>
    <row r="1978" spans="1:31" x14ac:dyDescent="0.4">
      <c r="A1978" t="str">
        <f>IF(原始经营数据!$D1979="","",原始经营数据!$D1979)</f>
        <v/>
      </c>
      <c r="B1978" t="str">
        <f>IF(原始经营数据!$D1979="","",T(原始经营数据!$E1979))</f>
        <v/>
      </c>
      <c r="C1978" t="str">
        <f>IF(原始经营数据!$D1979="","",原始经营数据!$F1979)</f>
        <v/>
      </c>
      <c r="D1978" t="str">
        <f>IF(原始经营数据!$D1979="","",原始经营数据!$H1979)</f>
        <v/>
      </c>
      <c r="E1978" t="str">
        <f>IF(原始经营数据!$D1979="","",原始经营数据!$I1979)</f>
        <v/>
      </c>
      <c r="F1978" t="str">
        <f>IF(原始经营数据!$D1979="","",T(原始经营数据!$J1979))</f>
        <v/>
      </c>
      <c r="G1978" t="str">
        <f>IF(原始经营数据!$D1979="","",T(原始经营数据!$K1979))</f>
        <v/>
      </c>
      <c r="H1978" t="str">
        <f>IF(原始经营数据!$D1979="","",原始经营数据!$G1979)</f>
        <v/>
      </c>
      <c r="I1978" t="str">
        <f>IF($A1978="","",IF($B1978&lt;&gt;"",$B1978,IF(COUNTIFS(原始经营数据!$D$3:$D$3001,$A1978,原始经营数据!$E$3:$E$3001,"",原始经营数据!$F$3:$F$3001,$C1978,原始经营数据!$H$3:$H$3001,$D1978,原始经营数据!$K$3:$K$3001,$G1978)&gt;1,"基金整体·来源"&amp;原始经营数据!$A1979,"基金整体")))</f>
        <v/>
      </c>
      <c r="J1978" t="str">
        <f t="shared" si="453"/>
        <v/>
      </c>
      <c r="K1978" t="str">
        <f t="shared" si="454"/>
        <v/>
      </c>
      <c r="L1978" t="str">
        <f t="shared" si="455"/>
        <v/>
      </c>
      <c r="M1978">
        <f>IF($A1978="",0,IF(COUNTIF($L$2:$L1978,$L1978)=1,1,0))</f>
        <v>0</v>
      </c>
      <c r="N1978" t="str">
        <f t="shared" si="456"/>
        <v/>
      </c>
      <c r="O1978" t="str">
        <f t="shared" si="457"/>
        <v/>
      </c>
      <c r="P1978">
        <f>IF($A1978="",0,IF(COUNTIF($O$2:$O1978,$O1978)=1,1,0))</f>
        <v>0</v>
      </c>
      <c r="Q1978" t="str">
        <f>IF(AND($P1978=1,$A1978=经营数据!$B$3,$J1978=经营数据!$BA$5),COUNTIFS($P$2:$P$3000,1,$A$2:$A$3000,$A1978,$J$2:$J$3000,$J1978,$N$2:$N$3000,"&lt;"&amp;$N1978)+1,"")</f>
        <v/>
      </c>
      <c r="R1978" t="str">
        <f t="shared" si="458"/>
        <v/>
      </c>
      <c r="S1978">
        <f>IF($A1978="",0,IF(COUNTIF($R$2:$R1978,$R1978)=1,1,0))</f>
        <v>0</v>
      </c>
      <c r="T1978" t="str">
        <f t="shared" si="459"/>
        <v/>
      </c>
      <c r="U1978" t="str">
        <f>IF($A1978="","",IF($A1978=经营数据!$B$3,COUNTIFS($S$2:$S$3000,1,$A$2:$A$3000,$A1978,$T$2:$T$3000,"&lt;"&amp;$T1978)+1,""))</f>
        <v/>
      </c>
      <c r="V1978" t="str">
        <f t="shared" si="460"/>
        <v/>
      </c>
      <c r="W1978" t="str">
        <f t="shared" si="461"/>
        <v/>
      </c>
      <c r="X1978" t="str">
        <f t="shared" si="462"/>
        <v/>
      </c>
      <c r="Y1978" t="str">
        <f t="shared" si="463"/>
        <v/>
      </c>
      <c r="Z1978">
        <f>IF($A1978="",0,IF(AND($M1978=1,$A1978=经营数据!$B$3,$J1978=经营数据!$BA$5,OR($I1978=经营数据!$BA$4,COUNTIF(经营数据!$AA$9:$AA$38,$I1978)&gt;0)),1,0))</f>
        <v>0</v>
      </c>
      <c r="AA1978" t="str">
        <f t="shared" si="464"/>
        <v/>
      </c>
      <c r="AB1978" t="str">
        <f t="shared" si="465"/>
        <v/>
      </c>
      <c r="AC1978">
        <f>IF($A1978="",0,IF(COUNTIF($A$2:$A1978,$A1978)=1,1,0))</f>
        <v>0</v>
      </c>
      <c r="AD1978">
        <f t="shared" si="466"/>
        <v>29</v>
      </c>
      <c r="AE1978" t="str">
        <f t="shared" si="467"/>
        <v/>
      </c>
    </row>
    <row r="1979" spans="1:31" x14ac:dyDescent="0.4">
      <c r="A1979" t="str">
        <f>IF(原始经营数据!$D1980="","",原始经营数据!$D1980)</f>
        <v/>
      </c>
      <c r="B1979" t="str">
        <f>IF(原始经营数据!$D1980="","",T(原始经营数据!$E1980))</f>
        <v/>
      </c>
      <c r="C1979" t="str">
        <f>IF(原始经营数据!$D1980="","",原始经营数据!$F1980)</f>
        <v/>
      </c>
      <c r="D1979" t="str">
        <f>IF(原始经营数据!$D1980="","",原始经营数据!$H1980)</f>
        <v/>
      </c>
      <c r="E1979" t="str">
        <f>IF(原始经营数据!$D1980="","",原始经营数据!$I1980)</f>
        <v/>
      </c>
      <c r="F1979" t="str">
        <f>IF(原始经营数据!$D1980="","",T(原始经营数据!$J1980))</f>
        <v/>
      </c>
      <c r="G1979" t="str">
        <f>IF(原始经营数据!$D1980="","",T(原始经营数据!$K1980))</f>
        <v/>
      </c>
      <c r="H1979" t="str">
        <f>IF(原始经营数据!$D1980="","",原始经营数据!$G1980)</f>
        <v/>
      </c>
      <c r="I1979" t="str">
        <f>IF($A1979="","",IF($B1979&lt;&gt;"",$B1979,IF(COUNTIFS(原始经营数据!$D$3:$D$3001,$A1979,原始经营数据!$E$3:$E$3001,"",原始经营数据!$F$3:$F$3001,$C1979,原始经营数据!$H$3:$H$3001,$D1979,原始经营数据!$K$3:$K$3001,$G1979)&gt;1,"基金整体·来源"&amp;原始经营数据!$A1980,"基金整体")))</f>
        <v/>
      </c>
      <c r="J1979" t="str">
        <f t="shared" si="453"/>
        <v/>
      </c>
      <c r="K1979" t="str">
        <f t="shared" si="454"/>
        <v/>
      </c>
      <c r="L1979" t="str">
        <f t="shared" si="455"/>
        <v/>
      </c>
      <c r="M1979">
        <f>IF($A1979="",0,IF(COUNTIF($L$2:$L1979,$L1979)=1,1,0))</f>
        <v>0</v>
      </c>
      <c r="N1979" t="str">
        <f t="shared" si="456"/>
        <v/>
      </c>
      <c r="O1979" t="str">
        <f t="shared" si="457"/>
        <v/>
      </c>
      <c r="P1979">
        <f>IF($A1979="",0,IF(COUNTIF($O$2:$O1979,$O1979)=1,1,0))</f>
        <v>0</v>
      </c>
      <c r="Q1979" t="str">
        <f>IF(AND($P1979=1,$A1979=经营数据!$B$3,$J1979=经营数据!$BA$5),COUNTIFS($P$2:$P$3000,1,$A$2:$A$3000,$A1979,$J$2:$J$3000,$J1979,$N$2:$N$3000,"&lt;"&amp;$N1979)+1,"")</f>
        <v/>
      </c>
      <c r="R1979" t="str">
        <f t="shared" si="458"/>
        <v/>
      </c>
      <c r="S1979">
        <f>IF($A1979="",0,IF(COUNTIF($R$2:$R1979,$R1979)=1,1,0))</f>
        <v>0</v>
      </c>
      <c r="T1979" t="str">
        <f t="shared" si="459"/>
        <v/>
      </c>
      <c r="U1979" t="str">
        <f>IF($A1979="","",IF($A1979=经营数据!$B$3,COUNTIFS($S$2:$S$3000,1,$A$2:$A$3000,$A1979,$T$2:$T$3000,"&lt;"&amp;$T1979)+1,""))</f>
        <v/>
      </c>
      <c r="V1979" t="str">
        <f t="shared" si="460"/>
        <v/>
      </c>
      <c r="W1979" t="str">
        <f t="shared" si="461"/>
        <v/>
      </c>
      <c r="X1979" t="str">
        <f t="shared" si="462"/>
        <v/>
      </c>
      <c r="Y1979" t="str">
        <f t="shared" si="463"/>
        <v/>
      </c>
      <c r="Z1979">
        <f>IF($A1979="",0,IF(AND($M1979=1,$A1979=经营数据!$B$3,$J1979=经营数据!$BA$5,OR($I1979=经营数据!$BA$4,COUNTIF(经营数据!$AA$9:$AA$38,$I1979)&gt;0)),1,0))</f>
        <v>0</v>
      </c>
      <c r="AA1979" t="str">
        <f t="shared" si="464"/>
        <v/>
      </c>
      <c r="AB1979" t="str">
        <f t="shared" si="465"/>
        <v/>
      </c>
      <c r="AC1979">
        <f>IF($A1979="",0,IF(COUNTIF($A$2:$A1979,$A1979)=1,1,0))</f>
        <v>0</v>
      </c>
      <c r="AD1979">
        <f t="shared" si="466"/>
        <v>29</v>
      </c>
      <c r="AE1979" t="str">
        <f t="shared" si="467"/>
        <v/>
      </c>
    </row>
    <row r="1980" spans="1:31" x14ac:dyDescent="0.4">
      <c r="A1980" t="str">
        <f>IF(原始经营数据!$D1981="","",原始经营数据!$D1981)</f>
        <v/>
      </c>
      <c r="B1980" t="str">
        <f>IF(原始经营数据!$D1981="","",T(原始经营数据!$E1981))</f>
        <v/>
      </c>
      <c r="C1980" t="str">
        <f>IF(原始经营数据!$D1981="","",原始经营数据!$F1981)</f>
        <v/>
      </c>
      <c r="D1980" t="str">
        <f>IF(原始经营数据!$D1981="","",原始经营数据!$H1981)</f>
        <v/>
      </c>
      <c r="E1980" t="str">
        <f>IF(原始经营数据!$D1981="","",原始经营数据!$I1981)</f>
        <v/>
      </c>
      <c r="F1980" t="str">
        <f>IF(原始经营数据!$D1981="","",T(原始经营数据!$J1981))</f>
        <v/>
      </c>
      <c r="G1980" t="str">
        <f>IF(原始经营数据!$D1981="","",T(原始经营数据!$K1981))</f>
        <v/>
      </c>
      <c r="H1980" t="str">
        <f>IF(原始经营数据!$D1981="","",原始经营数据!$G1981)</f>
        <v/>
      </c>
      <c r="I1980" t="str">
        <f>IF($A1980="","",IF($B1980&lt;&gt;"",$B1980,IF(COUNTIFS(原始经营数据!$D$3:$D$3001,$A1980,原始经营数据!$E$3:$E$3001,"",原始经营数据!$F$3:$F$3001,$C1980,原始经营数据!$H$3:$H$3001,$D1980,原始经营数据!$K$3:$K$3001,$G1980)&gt;1,"基金整体·来源"&amp;原始经营数据!$A1981,"基金整体")))</f>
        <v/>
      </c>
      <c r="J1980" t="str">
        <f t="shared" si="453"/>
        <v/>
      </c>
      <c r="K1980" t="str">
        <f t="shared" si="454"/>
        <v/>
      </c>
      <c r="L1980" t="str">
        <f t="shared" si="455"/>
        <v/>
      </c>
      <c r="M1980">
        <f>IF($A1980="",0,IF(COUNTIF($L$2:$L1980,$L1980)=1,1,0))</f>
        <v>0</v>
      </c>
      <c r="N1980" t="str">
        <f t="shared" si="456"/>
        <v/>
      </c>
      <c r="O1980" t="str">
        <f t="shared" si="457"/>
        <v/>
      </c>
      <c r="P1980">
        <f>IF($A1980="",0,IF(COUNTIF($O$2:$O1980,$O1980)=1,1,0))</f>
        <v>0</v>
      </c>
      <c r="Q1980" t="str">
        <f>IF(AND($P1980=1,$A1980=经营数据!$B$3,$J1980=经营数据!$BA$5),COUNTIFS($P$2:$P$3000,1,$A$2:$A$3000,$A1980,$J$2:$J$3000,$J1980,$N$2:$N$3000,"&lt;"&amp;$N1980)+1,"")</f>
        <v/>
      </c>
      <c r="R1980" t="str">
        <f t="shared" si="458"/>
        <v/>
      </c>
      <c r="S1980">
        <f>IF($A1980="",0,IF(COUNTIF($R$2:$R1980,$R1980)=1,1,0))</f>
        <v>0</v>
      </c>
      <c r="T1980" t="str">
        <f t="shared" si="459"/>
        <v/>
      </c>
      <c r="U1980" t="str">
        <f>IF($A1980="","",IF($A1980=经营数据!$B$3,COUNTIFS($S$2:$S$3000,1,$A$2:$A$3000,$A1980,$T$2:$T$3000,"&lt;"&amp;$T1980)+1,""))</f>
        <v/>
      </c>
      <c r="V1980" t="str">
        <f t="shared" si="460"/>
        <v/>
      </c>
      <c r="W1980" t="str">
        <f t="shared" si="461"/>
        <v/>
      </c>
      <c r="X1980" t="str">
        <f t="shared" si="462"/>
        <v/>
      </c>
      <c r="Y1980" t="str">
        <f t="shared" si="463"/>
        <v/>
      </c>
      <c r="Z1980">
        <f>IF($A1980="",0,IF(AND($M1980=1,$A1980=经营数据!$B$3,$J1980=经营数据!$BA$5,OR($I1980=经营数据!$BA$4,COUNTIF(经营数据!$AA$9:$AA$38,$I1980)&gt;0)),1,0))</f>
        <v>0</v>
      </c>
      <c r="AA1980" t="str">
        <f t="shared" si="464"/>
        <v/>
      </c>
      <c r="AB1980" t="str">
        <f t="shared" si="465"/>
        <v/>
      </c>
      <c r="AC1980">
        <f>IF($A1980="",0,IF(COUNTIF($A$2:$A1980,$A1980)=1,1,0))</f>
        <v>0</v>
      </c>
      <c r="AD1980">
        <f t="shared" si="466"/>
        <v>29</v>
      </c>
      <c r="AE1980" t="str">
        <f t="shared" si="467"/>
        <v/>
      </c>
    </row>
    <row r="1981" spans="1:31" x14ac:dyDescent="0.4">
      <c r="A1981" t="str">
        <f>IF(原始经营数据!$D1982="","",原始经营数据!$D1982)</f>
        <v/>
      </c>
      <c r="B1981" t="str">
        <f>IF(原始经营数据!$D1982="","",T(原始经营数据!$E1982))</f>
        <v/>
      </c>
      <c r="C1981" t="str">
        <f>IF(原始经营数据!$D1982="","",原始经营数据!$F1982)</f>
        <v/>
      </c>
      <c r="D1981" t="str">
        <f>IF(原始经营数据!$D1982="","",原始经营数据!$H1982)</f>
        <v/>
      </c>
      <c r="E1981" t="str">
        <f>IF(原始经营数据!$D1982="","",原始经营数据!$I1982)</f>
        <v/>
      </c>
      <c r="F1981" t="str">
        <f>IF(原始经营数据!$D1982="","",T(原始经营数据!$J1982))</f>
        <v/>
      </c>
      <c r="G1981" t="str">
        <f>IF(原始经营数据!$D1982="","",T(原始经营数据!$K1982))</f>
        <v/>
      </c>
      <c r="H1981" t="str">
        <f>IF(原始经营数据!$D1982="","",原始经营数据!$G1982)</f>
        <v/>
      </c>
      <c r="I1981" t="str">
        <f>IF($A1981="","",IF($B1981&lt;&gt;"",$B1981,IF(COUNTIFS(原始经营数据!$D$3:$D$3001,$A1981,原始经营数据!$E$3:$E$3001,"",原始经营数据!$F$3:$F$3001,$C1981,原始经营数据!$H$3:$H$3001,$D1981,原始经营数据!$K$3:$K$3001,$G1981)&gt;1,"基金整体·来源"&amp;原始经营数据!$A1982,"基金整体")))</f>
        <v/>
      </c>
      <c r="J1981" t="str">
        <f t="shared" si="453"/>
        <v/>
      </c>
      <c r="K1981" t="str">
        <f t="shared" si="454"/>
        <v/>
      </c>
      <c r="L1981" t="str">
        <f t="shared" si="455"/>
        <v/>
      </c>
      <c r="M1981">
        <f>IF($A1981="",0,IF(COUNTIF($L$2:$L1981,$L1981)=1,1,0))</f>
        <v>0</v>
      </c>
      <c r="N1981" t="str">
        <f t="shared" si="456"/>
        <v/>
      </c>
      <c r="O1981" t="str">
        <f t="shared" si="457"/>
        <v/>
      </c>
      <c r="P1981">
        <f>IF($A1981="",0,IF(COUNTIF($O$2:$O1981,$O1981)=1,1,0))</f>
        <v>0</v>
      </c>
      <c r="Q1981" t="str">
        <f>IF(AND($P1981=1,$A1981=经营数据!$B$3,$J1981=经营数据!$BA$5),COUNTIFS($P$2:$P$3000,1,$A$2:$A$3000,$A1981,$J$2:$J$3000,$J1981,$N$2:$N$3000,"&lt;"&amp;$N1981)+1,"")</f>
        <v/>
      </c>
      <c r="R1981" t="str">
        <f t="shared" si="458"/>
        <v/>
      </c>
      <c r="S1981">
        <f>IF($A1981="",0,IF(COUNTIF($R$2:$R1981,$R1981)=1,1,0))</f>
        <v>0</v>
      </c>
      <c r="T1981" t="str">
        <f t="shared" si="459"/>
        <v/>
      </c>
      <c r="U1981" t="str">
        <f>IF($A1981="","",IF($A1981=经营数据!$B$3,COUNTIFS($S$2:$S$3000,1,$A$2:$A$3000,$A1981,$T$2:$T$3000,"&lt;"&amp;$T1981)+1,""))</f>
        <v/>
      </c>
      <c r="V1981" t="str">
        <f t="shared" si="460"/>
        <v/>
      </c>
      <c r="W1981" t="str">
        <f t="shared" si="461"/>
        <v/>
      </c>
      <c r="X1981" t="str">
        <f t="shared" si="462"/>
        <v/>
      </c>
      <c r="Y1981" t="str">
        <f t="shared" si="463"/>
        <v/>
      </c>
      <c r="Z1981">
        <f>IF($A1981="",0,IF(AND($M1981=1,$A1981=经营数据!$B$3,$J1981=经营数据!$BA$5,OR($I1981=经营数据!$BA$4,COUNTIF(经营数据!$AA$9:$AA$38,$I1981)&gt;0)),1,0))</f>
        <v>0</v>
      </c>
      <c r="AA1981" t="str">
        <f t="shared" si="464"/>
        <v/>
      </c>
      <c r="AB1981" t="str">
        <f t="shared" si="465"/>
        <v/>
      </c>
      <c r="AC1981">
        <f>IF($A1981="",0,IF(COUNTIF($A$2:$A1981,$A1981)=1,1,0))</f>
        <v>0</v>
      </c>
      <c r="AD1981">
        <f t="shared" si="466"/>
        <v>29</v>
      </c>
      <c r="AE1981" t="str">
        <f t="shared" si="467"/>
        <v/>
      </c>
    </row>
    <row r="1982" spans="1:31" x14ac:dyDescent="0.4">
      <c r="A1982" t="str">
        <f>IF(原始经营数据!$D1983="","",原始经营数据!$D1983)</f>
        <v/>
      </c>
      <c r="B1982" t="str">
        <f>IF(原始经营数据!$D1983="","",T(原始经营数据!$E1983))</f>
        <v/>
      </c>
      <c r="C1982" t="str">
        <f>IF(原始经营数据!$D1983="","",原始经营数据!$F1983)</f>
        <v/>
      </c>
      <c r="D1982" t="str">
        <f>IF(原始经营数据!$D1983="","",原始经营数据!$H1983)</f>
        <v/>
      </c>
      <c r="E1982" t="str">
        <f>IF(原始经营数据!$D1983="","",原始经营数据!$I1983)</f>
        <v/>
      </c>
      <c r="F1982" t="str">
        <f>IF(原始经营数据!$D1983="","",T(原始经营数据!$J1983))</f>
        <v/>
      </c>
      <c r="G1982" t="str">
        <f>IF(原始经营数据!$D1983="","",T(原始经营数据!$K1983))</f>
        <v/>
      </c>
      <c r="H1982" t="str">
        <f>IF(原始经营数据!$D1983="","",原始经营数据!$G1983)</f>
        <v/>
      </c>
      <c r="I1982" t="str">
        <f>IF($A1982="","",IF($B1982&lt;&gt;"",$B1982,IF(COUNTIFS(原始经营数据!$D$3:$D$3001,$A1982,原始经营数据!$E$3:$E$3001,"",原始经营数据!$F$3:$F$3001,$C1982,原始经营数据!$H$3:$H$3001,$D1982,原始经营数据!$K$3:$K$3001,$G1982)&gt;1,"基金整体·来源"&amp;原始经营数据!$A1983,"基金整体")))</f>
        <v/>
      </c>
      <c r="J1982" t="str">
        <f t="shared" si="453"/>
        <v/>
      </c>
      <c r="K1982" t="str">
        <f t="shared" si="454"/>
        <v/>
      </c>
      <c r="L1982" t="str">
        <f t="shared" si="455"/>
        <v/>
      </c>
      <c r="M1982">
        <f>IF($A1982="",0,IF(COUNTIF($L$2:$L1982,$L1982)=1,1,0))</f>
        <v>0</v>
      </c>
      <c r="N1982" t="str">
        <f t="shared" si="456"/>
        <v/>
      </c>
      <c r="O1982" t="str">
        <f t="shared" si="457"/>
        <v/>
      </c>
      <c r="P1982">
        <f>IF($A1982="",0,IF(COUNTIF($O$2:$O1982,$O1982)=1,1,0))</f>
        <v>0</v>
      </c>
      <c r="Q1982" t="str">
        <f>IF(AND($P1982=1,$A1982=经营数据!$B$3,$J1982=经营数据!$BA$5),COUNTIFS($P$2:$P$3000,1,$A$2:$A$3000,$A1982,$J$2:$J$3000,$J1982,$N$2:$N$3000,"&lt;"&amp;$N1982)+1,"")</f>
        <v/>
      </c>
      <c r="R1982" t="str">
        <f t="shared" si="458"/>
        <v/>
      </c>
      <c r="S1982">
        <f>IF($A1982="",0,IF(COUNTIF($R$2:$R1982,$R1982)=1,1,0))</f>
        <v>0</v>
      </c>
      <c r="T1982" t="str">
        <f t="shared" si="459"/>
        <v/>
      </c>
      <c r="U1982" t="str">
        <f>IF($A1982="","",IF($A1982=经营数据!$B$3,COUNTIFS($S$2:$S$3000,1,$A$2:$A$3000,$A1982,$T$2:$T$3000,"&lt;"&amp;$T1982)+1,""))</f>
        <v/>
      </c>
      <c r="V1982" t="str">
        <f t="shared" si="460"/>
        <v/>
      </c>
      <c r="W1982" t="str">
        <f t="shared" si="461"/>
        <v/>
      </c>
      <c r="X1982" t="str">
        <f t="shared" si="462"/>
        <v/>
      </c>
      <c r="Y1982" t="str">
        <f t="shared" si="463"/>
        <v/>
      </c>
      <c r="Z1982">
        <f>IF($A1982="",0,IF(AND($M1982=1,$A1982=经营数据!$B$3,$J1982=经营数据!$BA$5,OR($I1982=经营数据!$BA$4,COUNTIF(经营数据!$AA$9:$AA$38,$I1982)&gt;0)),1,0))</f>
        <v>0</v>
      </c>
      <c r="AA1982" t="str">
        <f t="shared" si="464"/>
        <v/>
      </c>
      <c r="AB1982" t="str">
        <f t="shared" si="465"/>
        <v/>
      </c>
      <c r="AC1982">
        <f>IF($A1982="",0,IF(COUNTIF($A$2:$A1982,$A1982)=1,1,0))</f>
        <v>0</v>
      </c>
      <c r="AD1982">
        <f t="shared" si="466"/>
        <v>29</v>
      </c>
      <c r="AE1982" t="str">
        <f t="shared" si="467"/>
        <v/>
      </c>
    </row>
    <row r="1983" spans="1:31" x14ac:dyDescent="0.4">
      <c r="A1983" t="str">
        <f>IF(原始经营数据!$D1984="","",原始经营数据!$D1984)</f>
        <v/>
      </c>
      <c r="B1983" t="str">
        <f>IF(原始经营数据!$D1984="","",T(原始经营数据!$E1984))</f>
        <v/>
      </c>
      <c r="C1983" t="str">
        <f>IF(原始经营数据!$D1984="","",原始经营数据!$F1984)</f>
        <v/>
      </c>
      <c r="D1983" t="str">
        <f>IF(原始经营数据!$D1984="","",原始经营数据!$H1984)</f>
        <v/>
      </c>
      <c r="E1983" t="str">
        <f>IF(原始经营数据!$D1984="","",原始经营数据!$I1984)</f>
        <v/>
      </c>
      <c r="F1983" t="str">
        <f>IF(原始经营数据!$D1984="","",T(原始经营数据!$J1984))</f>
        <v/>
      </c>
      <c r="G1983" t="str">
        <f>IF(原始经营数据!$D1984="","",T(原始经营数据!$K1984))</f>
        <v/>
      </c>
      <c r="H1983" t="str">
        <f>IF(原始经营数据!$D1984="","",原始经营数据!$G1984)</f>
        <v/>
      </c>
      <c r="I1983" t="str">
        <f>IF($A1983="","",IF($B1983&lt;&gt;"",$B1983,IF(COUNTIFS(原始经营数据!$D$3:$D$3001,$A1983,原始经营数据!$E$3:$E$3001,"",原始经营数据!$F$3:$F$3001,$C1983,原始经营数据!$H$3:$H$3001,$D1983,原始经营数据!$K$3:$K$3001,$G1983)&gt;1,"基金整体·来源"&amp;原始经营数据!$A1984,"基金整体")))</f>
        <v/>
      </c>
      <c r="J1983" t="str">
        <f t="shared" si="453"/>
        <v/>
      </c>
      <c r="K1983" t="str">
        <f t="shared" si="454"/>
        <v/>
      </c>
      <c r="L1983" t="str">
        <f t="shared" si="455"/>
        <v/>
      </c>
      <c r="M1983">
        <f>IF($A1983="",0,IF(COUNTIF($L$2:$L1983,$L1983)=1,1,0))</f>
        <v>0</v>
      </c>
      <c r="N1983" t="str">
        <f t="shared" si="456"/>
        <v/>
      </c>
      <c r="O1983" t="str">
        <f t="shared" si="457"/>
        <v/>
      </c>
      <c r="P1983">
        <f>IF($A1983="",0,IF(COUNTIF($O$2:$O1983,$O1983)=1,1,0))</f>
        <v>0</v>
      </c>
      <c r="Q1983" t="str">
        <f>IF(AND($P1983=1,$A1983=经营数据!$B$3,$J1983=经营数据!$BA$5),COUNTIFS($P$2:$P$3000,1,$A$2:$A$3000,$A1983,$J$2:$J$3000,$J1983,$N$2:$N$3000,"&lt;"&amp;$N1983)+1,"")</f>
        <v/>
      </c>
      <c r="R1983" t="str">
        <f t="shared" si="458"/>
        <v/>
      </c>
      <c r="S1983">
        <f>IF($A1983="",0,IF(COUNTIF($R$2:$R1983,$R1983)=1,1,0))</f>
        <v>0</v>
      </c>
      <c r="T1983" t="str">
        <f t="shared" si="459"/>
        <v/>
      </c>
      <c r="U1983" t="str">
        <f>IF($A1983="","",IF($A1983=经营数据!$B$3,COUNTIFS($S$2:$S$3000,1,$A$2:$A$3000,$A1983,$T$2:$T$3000,"&lt;"&amp;$T1983)+1,""))</f>
        <v/>
      </c>
      <c r="V1983" t="str">
        <f t="shared" si="460"/>
        <v/>
      </c>
      <c r="W1983" t="str">
        <f t="shared" si="461"/>
        <v/>
      </c>
      <c r="X1983" t="str">
        <f t="shared" si="462"/>
        <v/>
      </c>
      <c r="Y1983" t="str">
        <f t="shared" si="463"/>
        <v/>
      </c>
      <c r="Z1983">
        <f>IF($A1983="",0,IF(AND($M1983=1,$A1983=经营数据!$B$3,$J1983=经营数据!$BA$5,OR($I1983=经营数据!$BA$4,COUNTIF(经营数据!$AA$9:$AA$38,$I1983)&gt;0)),1,0))</f>
        <v>0</v>
      </c>
      <c r="AA1983" t="str">
        <f t="shared" si="464"/>
        <v/>
      </c>
      <c r="AB1983" t="str">
        <f t="shared" si="465"/>
        <v/>
      </c>
      <c r="AC1983">
        <f>IF($A1983="",0,IF(COUNTIF($A$2:$A1983,$A1983)=1,1,0))</f>
        <v>0</v>
      </c>
      <c r="AD1983">
        <f t="shared" si="466"/>
        <v>29</v>
      </c>
      <c r="AE1983" t="str">
        <f t="shared" si="467"/>
        <v/>
      </c>
    </row>
    <row r="1984" spans="1:31" x14ac:dyDescent="0.4">
      <c r="A1984" t="str">
        <f>IF(原始经营数据!$D1985="","",原始经营数据!$D1985)</f>
        <v/>
      </c>
      <c r="B1984" t="str">
        <f>IF(原始经营数据!$D1985="","",T(原始经营数据!$E1985))</f>
        <v/>
      </c>
      <c r="C1984" t="str">
        <f>IF(原始经营数据!$D1985="","",原始经营数据!$F1985)</f>
        <v/>
      </c>
      <c r="D1984" t="str">
        <f>IF(原始经营数据!$D1985="","",原始经营数据!$H1985)</f>
        <v/>
      </c>
      <c r="E1984" t="str">
        <f>IF(原始经营数据!$D1985="","",原始经营数据!$I1985)</f>
        <v/>
      </c>
      <c r="F1984" t="str">
        <f>IF(原始经营数据!$D1985="","",T(原始经营数据!$J1985))</f>
        <v/>
      </c>
      <c r="G1984" t="str">
        <f>IF(原始经营数据!$D1985="","",T(原始经营数据!$K1985))</f>
        <v/>
      </c>
      <c r="H1984" t="str">
        <f>IF(原始经营数据!$D1985="","",原始经营数据!$G1985)</f>
        <v/>
      </c>
      <c r="I1984" t="str">
        <f>IF($A1984="","",IF($B1984&lt;&gt;"",$B1984,IF(COUNTIFS(原始经营数据!$D$3:$D$3001,$A1984,原始经营数据!$E$3:$E$3001,"",原始经营数据!$F$3:$F$3001,$C1984,原始经营数据!$H$3:$H$3001,$D1984,原始经营数据!$K$3:$K$3001,$G1984)&gt;1,"基金整体·来源"&amp;原始经营数据!$A1985,"基金整体")))</f>
        <v/>
      </c>
      <c r="J1984" t="str">
        <f t="shared" si="453"/>
        <v/>
      </c>
      <c r="K1984" t="str">
        <f t="shared" si="454"/>
        <v/>
      </c>
      <c r="L1984" t="str">
        <f t="shared" si="455"/>
        <v/>
      </c>
      <c r="M1984">
        <f>IF($A1984="",0,IF(COUNTIF($L$2:$L1984,$L1984)=1,1,0))</f>
        <v>0</v>
      </c>
      <c r="N1984" t="str">
        <f t="shared" si="456"/>
        <v/>
      </c>
      <c r="O1984" t="str">
        <f t="shared" si="457"/>
        <v/>
      </c>
      <c r="P1984">
        <f>IF($A1984="",0,IF(COUNTIF($O$2:$O1984,$O1984)=1,1,0))</f>
        <v>0</v>
      </c>
      <c r="Q1984" t="str">
        <f>IF(AND($P1984=1,$A1984=经营数据!$B$3,$J1984=经营数据!$BA$5),COUNTIFS($P$2:$P$3000,1,$A$2:$A$3000,$A1984,$J$2:$J$3000,$J1984,$N$2:$N$3000,"&lt;"&amp;$N1984)+1,"")</f>
        <v/>
      </c>
      <c r="R1984" t="str">
        <f t="shared" si="458"/>
        <v/>
      </c>
      <c r="S1984">
        <f>IF($A1984="",0,IF(COUNTIF($R$2:$R1984,$R1984)=1,1,0))</f>
        <v>0</v>
      </c>
      <c r="T1984" t="str">
        <f t="shared" si="459"/>
        <v/>
      </c>
      <c r="U1984" t="str">
        <f>IF($A1984="","",IF($A1984=经营数据!$B$3,COUNTIFS($S$2:$S$3000,1,$A$2:$A$3000,$A1984,$T$2:$T$3000,"&lt;"&amp;$T1984)+1,""))</f>
        <v/>
      </c>
      <c r="V1984" t="str">
        <f t="shared" si="460"/>
        <v/>
      </c>
      <c r="W1984" t="str">
        <f t="shared" si="461"/>
        <v/>
      </c>
      <c r="X1984" t="str">
        <f t="shared" si="462"/>
        <v/>
      </c>
      <c r="Y1984" t="str">
        <f t="shared" si="463"/>
        <v/>
      </c>
      <c r="Z1984">
        <f>IF($A1984="",0,IF(AND($M1984=1,$A1984=经营数据!$B$3,$J1984=经营数据!$BA$5,OR($I1984=经营数据!$BA$4,COUNTIF(经营数据!$AA$9:$AA$38,$I1984)&gt;0)),1,0))</f>
        <v>0</v>
      </c>
      <c r="AA1984" t="str">
        <f t="shared" si="464"/>
        <v/>
      </c>
      <c r="AB1984" t="str">
        <f t="shared" si="465"/>
        <v/>
      </c>
      <c r="AC1984">
        <f>IF($A1984="",0,IF(COUNTIF($A$2:$A1984,$A1984)=1,1,0))</f>
        <v>0</v>
      </c>
      <c r="AD1984">
        <f t="shared" si="466"/>
        <v>29</v>
      </c>
      <c r="AE1984" t="str">
        <f t="shared" si="467"/>
        <v/>
      </c>
    </row>
    <row r="1985" spans="1:31" x14ac:dyDescent="0.4">
      <c r="A1985" t="str">
        <f>IF(原始经营数据!$D1986="","",原始经营数据!$D1986)</f>
        <v/>
      </c>
      <c r="B1985" t="str">
        <f>IF(原始经营数据!$D1986="","",T(原始经营数据!$E1986))</f>
        <v/>
      </c>
      <c r="C1985" t="str">
        <f>IF(原始经营数据!$D1986="","",原始经营数据!$F1986)</f>
        <v/>
      </c>
      <c r="D1985" t="str">
        <f>IF(原始经营数据!$D1986="","",原始经营数据!$H1986)</f>
        <v/>
      </c>
      <c r="E1985" t="str">
        <f>IF(原始经营数据!$D1986="","",原始经营数据!$I1986)</f>
        <v/>
      </c>
      <c r="F1985" t="str">
        <f>IF(原始经营数据!$D1986="","",T(原始经营数据!$J1986))</f>
        <v/>
      </c>
      <c r="G1985" t="str">
        <f>IF(原始经营数据!$D1986="","",T(原始经营数据!$K1986))</f>
        <v/>
      </c>
      <c r="H1985" t="str">
        <f>IF(原始经营数据!$D1986="","",原始经营数据!$G1986)</f>
        <v/>
      </c>
      <c r="I1985" t="str">
        <f>IF($A1985="","",IF($B1985&lt;&gt;"",$B1985,IF(COUNTIFS(原始经营数据!$D$3:$D$3001,$A1985,原始经营数据!$E$3:$E$3001,"",原始经营数据!$F$3:$F$3001,$C1985,原始经营数据!$H$3:$H$3001,$D1985,原始经营数据!$K$3:$K$3001,$G1985)&gt;1,"基金整体·来源"&amp;原始经营数据!$A1986,"基金整体")))</f>
        <v/>
      </c>
      <c r="J1985" t="str">
        <f t="shared" si="453"/>
        <v/>
      </c>
      <c r="K1985" t="str">
        <f t="shared" si="454"/>
        <v/>
      </c>
      <c r="L1985" t="str">
        <f t="shared" si="455"/>
        <v/>
      </c>
      <c r="M1985">
        <f>IF($A1985="",0,IF(COUNTIF($L$2:$L1985,$L1985)=1,1,0))</f>
        <v>0</v>
      </c>
      <c r="N1985" t="str">
        <f t="shared" si="456"/>
        <v/>
      </c>
      <c r="O1985" t="str">
        <f t="shared" si="457"/>
        <v/>
      </c>
      <c r="P1985">
        <f>IF($A1985="",0,IF(COUNTIF($O$2:$O1985,$O1985)=1,1,0))</f>
        <v>0</v>
      </c>
      <c r="Q1985" t="str">
        <f>IF(AND($P1985=1,$A1985=经营数据!$B$3,$J1985=经营数据!$BA$5),COUNTIFS($P$2:$P$3000,1,$A$2:$A$3000,$A1985,$J$2:$J$3000,$J1985,$N$2:$N$3000,"&lt;"&amp;$N1985)+1,"")</f>
        <v/>
      </c>
      <c r="R1985" t="str">
        <f t="shared" si="458"/>
        <v/>
      </c>
      <c r="S1985">
        <f>IF($A1985="",0,IF(COUNTIF($R$2:$R1985,$R1985)=1,1,0))</f>
        <v>0</v>
      </c>
      <c r="T1985" t="str">
        <f t="shared" si="459"/>
        <v/>
      </c>
      <c r="U1985" t="str">
        <f>IF($A1985="","",IF($A1985=经营数据!$B$3,COUNTIFS($S$2:$S$3000,1,$A$2:$A$3000,$A1985,$T$2:$T$3000,"&lt;"&amp;$T1985)+1,""))</f>
        <v/>
      </c>
      <c r="V1985" t="str">
        <f t="shared" si="460"/>
        <v/>
      </c>
      <c r="W1985" t="str">
        <f t="shared" si="461"/>
        <v/>
      </c>
      <c r="X1985" t="str">
        <f t="shared" si="462"/>
        <v/>
      </c>
      <c r="Y1985" t="str">
        <f t="shared" si="463"/>
        <v/>
      </c>
      <c r="Z1985">
        <f>IF($A1985="",0,IF(AND($M1985=1,$A1985=经营数据!$B$3,$J1985=经营数据!$BA$5,OR($I1985=经营数据!$BA$4,COUNTIF(经营数据!$AA$9:$AA$38,$I1985)&gt;0)),1,0))</f>
        <v>0</v>
      </c>
      <c r="AA1985" t="str">
        <f t="shared" si="464"/>
        <v/>
      </c>
      <c r="AB1985" t="str">
        <f t="shared" si="465"/>
        <v/>
      </c>
      <c r="AC1985">
        <f>IF($A1985="",0,IF(COUNTIF($A$2:$A1985,$A1985)=1,1,0))</f>
        <v>0</v>
      </c>
      <c r="AD1985">
        <f t="shared" si="466"/>
        <v>29</v>
      </c>
      <c r="AE1985" t="str">
        <f t="shared" si="467"/>
        <v/>
      </c>
    </row>
    <row r="1986" spans="1:31" x14ac:dyDescent="0.4">
      <c r="A1986" t="str">
        <f>IF(原始经营数据!$D1987="","",原始经营数据!$D1987)</f>
        <v/>
      </c>
      <c r="B1986" t="str">
        <f>IF(原始经营数据!$D1987="","",T(原始经营数据!$E1987))</f>
        <v/>
      </c>
      <c r="C1986" t="str">
        <f>IF(原始经营数据!$D1987="","",原始经营数据!$F1987)</f>
        <v/>
      </c>
      <c r="D1986" t="str">
        <f>IF(原始经营数据!$D1987="","",原始经营数据!$H1987)</f>
        <v/>
      </c>
      <c r="E1986" t="str">
        <f>IF(原始经营数据!$D1987="","",原始经营数据!$I1987)</f>
        <v/>
      </c>
      <c r="F1986" t="str">
        <f>IF(原始经营数据!$D1987="","",T(原始经营数据!$J1987))</f>
        <v/>
      </c>
      <c r="G1986" t="str">
        <f>IF(原始经营数据!$D1987="","",T(原始经营数据!$K1987))</f>
        <v/>
      </c>
      <c r="H1986" t="str">
        <f>IF(原始经营数据!$D1987="","",原始经营数据!$G1987)</f>
        <v/>
      </c>
      <c r="I1986" t="str">
        <f>IF($A1986="","",IF($B1986&lt;&gt;"",$B1986,IF(COUNTIFS(原始经营数据!$D$3:$D$3001,$A1986,原始经营数据!$E$3:$E$3001,"",原始经营数据!$F$3:$F$3001,$C1986,原始经营数据!$H$3:$H$3001,$D1986,原始经营数据!$K$3:$K$3001,$G1986)&gt;1,"基金整体·来源"&amp;原始经营数据!$A1987,"基金整体")))</f>
        <v/>
      </c>
      <c r="J1986" t="str">
        <f t="shared" ref="J1986:J2049" si="468">IF($A1986="","",IF(LEN($C1986)=4,"年度",IF(AND(LEN($C1986)=6,ISNUMBER(SEARCH("Q",$C1986))),"季度","其他期间")))</f>
        <v/>
      </c>
      <c r="K1986" t="str">
        <f t="shared" ref="K1986:K2049" si="469">IF($A1986="","",$D1986&amp;IF($G1986="","","-"&amp;SUBSTITUTE($G1986,CHAR(10),""))&amp;IF($F1986="","","（"&amp;$F1986&amp;"）"))</f>
        <v/>
      </c>
      <c r="L1986" t="str">
        <f t="shared" ref="L1986:L2049" si="470">IF($A1986="","",$I1986&amp;"|"&amp;$K1986&amp;"|"&amp;$J1986)</f>
        <v/>
      </c>
      <c r="M1986">
        <f>IF($A1986="",0,IF(COUNTIF($L$2:$L1986,$L1986)=1,1,0))</f>
        <v>0</v>
      </c>
      <c r="N1986" t="str">
        <f t="shared" ref="N1986:N2049" si="471">IF($A1986="","",IF($J1986="年度",VALUE($C1986)*10,IF($J1986="季度",VALUE(LEFT($C1986,4))*10+VALUE(RIGHT($C1986,1)),VALUE(LEFT($C1986,4))*10+9)))</f>
        <v/>
      </c>
      <c r="O1986" t="str">
        <f t="shared" ref="O1986:O2049" si="472">IF($A1986="","",$A1986&amp;"|"&amp;$C1986&amp;"|"&amp;$J1986)</f>
        <v/>
      </c>
      <c r="P1986">
        <f>IF($A1986="",0,IF(COUNTIF($O$2:$O1986,$O1986)=1,1,0))</f>
        <v>0</v>
      </c>
      <c r="Q1986" t="str">
        <f>IF(AND($P1986=1,$A1986=经营数据!$B$3,$J1986=经营数据!$BA$5),COUNTIFS($P$2:$P$3000,1,$A$2:$A$3000,$A1986,$J$2:$J$3000,$J1986,$N$2:$N$3000,"&lt;"&amp;$N1986)+1,"")</f>
        <v/>
      </c>
      <c r="R1986" t="str">
        <f t="shared" ref="R1986:R2049" si="473">IF($A1986="","",$A1986&amp;"|"&amp;$I1986)</f>
        <v/>
      </c>
      <c r="S1986">
        <f>IF($A1986="",0,IF(COUNTIF($R$2:$R1986,$R1986)=1,1,0))</f>
        <v>0</v>
      </c>
      <c r="T1986" t="str">
        <f t="shared" ref="T1986:T2049" si="474">IF($A1986="","",MATCH($R1986,$R$2:$R$3000,0))</f>
        <v/>
      </c>
      <c r="U1986" t="str">
        <f>IF($A1986="","",IF($A1986=经营数据!$B$3,COUNTIFS($S$2:$S$3000,1,$A$2:$A$3000,$A1986,$T$2:$T$3000,"&lt;"&amp;$T1986)+1,""))</f>
        <v/>
      </c>
      <c r="V1986" t="str">
        <f t="shared" ref="V1986:V2049" si="475">IF($A1986="","",$I1986&amp;"|"&amp;$H1986)</f>
        <v/>
      </c>
      <c r="W1986" t="str">
        <f t="shared" ref="W1986:W2049" si="476">IF($A1986="","",MATCH($V1986,$V$2:$V$3000,0))</f>
        <v/>
      </c>
      <c r="X1986" t="str">
        <f t="shared" ref="X1986:X2049" si="477">IF($A1986="","",$I1986&amp;"|"&amp;$D1986)</f>
        <v/>
      </c>
      <c r="Y1986" t="str">
        <f t="shared" ref="Y1986:Y2049" si="478">IF($A1986="","",MATCH($X1986,$X$2:$X$3000,0))</f>
        <v/>
      </c>
      <c r="Z1986">
        <f>IF($A1986="",0,IF(AND($M1986=1,$A1986=经营数据!$B$3,$J1986=经营数据!$BA$5,OR($I1986=经营数据!$BA$4,COUNTIF(经营数据!$AA$9:$AA$38,$I1986)&gt;0)),1,0))</f>
        <v>0</v>
      </c>
      <c r="AA1986" t="str">
        <f t="shared" ref="AA1986:AA2049" si="479">IF($Z1986=1,$U1986*1000000000000+$W1986*100000000+$Y1986*10000+ROW(),"")</f>
        <v/>
      </c>
      <c r="AB1986" t="str">
        <f t="shared" ref="AB1986:AB2049" si="480">IF($Z1986=1,COUNTIFS($Z$2:$Z$3000,1,$AA$2:$AA$3000,"&lt;"&amp;$AA1986)+1,"")</f>
        <v/>
      </c>
      <c r="AC1986">
        <f>IF($A1986="",0,IF(COUNTIF($A$2:$A1986,$A1986)=1,1,0))</f>
        <v>0</v>
      </c>
      <c r="AD1986">
        <f t="shared" ref="AD1986:AD2049" si="481">IF($A1986="",N(AD1985),IF($AC1986=1,N(AD1985)+1,N(AD1985)))</f>
        <v>29</v>
      </c>
      <c r="AE1986" t="str">
        <f t="shared" ref="AE1986:AE2049" si="482">IF($A1986="","",$I1986&amp;"|"&amp;$K1986)</f>
        <v/>
      </c>
    </row>
    <row r="1987" spans="1:31" x14ac:dyDescent="0.4">
      <c r="A1987" t="str">
        <f>IF(原始经营数据!$D1988="","",原始经营数据!$D1988)</f>
        <v/>
      </c>
      <c r="B1987" t="str">
        <f>IF(原始经营数据!$D1988="","",T(原始经营数据!$E1988))</f>
        <v/>
      </c>
      <c r="C1987" t="str">
        <f>IF(原始经营数据!$D1988="","",原始经营数据!$F1988)</f>
        <v/>
      </c>
      <c r="D1987" t="str">
        <f>IF(原始经营数据!$D1988="","",原始经营数据!$H1988)</f>
        <v/>
      </c>
      <c r="E1987" t="str">
        <f>IF(原始经营数据!$D1988="","",原始经营数据!$I1988)</f>
        <v/>
      </c>
      <c r="F1987" t="str">
        <f>IF(原始经营数据!$D1988="","",T(原始经营数据!$J1988))</f>
        <v/>
      </c>
      <c r="G1987" t="str">
        <f>IF(原始经营数据!$D1988="","",T(原始经营数据!$K1988))</f>
        <v/>
      </c>
      <c r="H1987" t="str">
        <f>IF(原始经营数据!$D1988="","",原始经营数据!$G1988)</f>
        <v/>
      </c>
      <c r="I1987" t="str">
        <f>IF($A1987="","",IF($B1987&lt;&gt;"",$B1987,IF(COUNTIFS(原始经营数据!$D$3:$D$3001,$A1987,原始经营数据!$E$3:$E$3001,"",原始经营数据!$F$3:$F$3001,$C1987,原始经营数据!$H$3:$H$3001,$D1987,原始经营数据!$K$3:$K$3001,$G1987)&gt;1,"基金整体·来源"&amp;原始经营数据!$A1988,"基金整体")))</f>
        <v/>
      </c>
      <c r="J1987" t="str">
        <f t="shared" si="468"/>
        <v/>
      </c>
      <c r="K1987" t="str">
        <f t="shared" si="469"/>
        <v/>
      </c>
      <c r="L1987" t="str">
        <f t="shared" si="470"/>
        <v/>
      </c>
      <c r="M1987">
        <f>IF($A1987="",0,IF(COUNTIF($L$2:$L1987,$L1987)=1,1,0))</f>
        <v>0</v>
      </c>
      <c r="N1987" t="str">
        <f t="shared" si="471"/>
        <v/>
      </c>
      <c r="O1987" t="str">
        <f t="shared" si="472"/>
        <v/>
      </c>
      <c r="P1987">
        <f>IF($A1987="",0,IF(COUNTIF($O$2:$O1987,$O1987)=1,1,0))</f>
        <v>0</v>
      </c>
      <c r="Q1987" t="str">
        <f>IF(AND($P1987=1,$A1987=经营数据!$B$3,$J1987=经营数据!$BA$5),COUNTIFS($P$2:$P$3000,1,$A$2:$A$3000,$A1987,$J$2:$J$3000,$J1987,$N$2:$N$3000,"&lt;"&amp;$N1987)+1,"")</f>
        <v/>
      </c>
      <c r="R1987" t="str">
        <f t="shared" si="473"/>
        <v/>
      </c>
      <c r="S1987">
        <f>IF($A1987="",0,IF(COUNTIF($R$2:$R1987,$R1987)=1,1,0))</f>
        <v>0</v>
      </c>
      <c r="T1987" t="str">
        <f t="shared" si="474"/>
        <v/>
      </c>
      <c r="U1987" t="str">
        <f>IF($A1987="","",IF($A1987=经营数据!$B$3,COUNTIFS($S$2:$S$3000,1,$A$2:$A$3000,$A1987,$T$2:$T$3000,"&lt;"&amp;$T1987)+1,""))</f>
        <v/>
      </c>
      <c r="V1987" t="str">
        <f t="shared" si="475"/>
        <v/>
      </c>
      <c r="W1987" t="str">
        <f t="shared" si="476"/>
        <v/>
      </c>
      <c r="X1987" t="str">
        <f t="shared" si="477"/>
        <v/>
      </c>
      <c r="Y1987" t="str">
        <f t="shared" si="478"/>
        <v/>
      </c>
      <c r="Z1987">
        <f>IF($A1987="",0,IF(AND($M1987=1,$A1987=经营数据!$B$3,$J1987=经营数据!$BA$5,OR($I1987=经营数据!$BA$4,COUNTIF(经营数据!$AA$9:$AA$38,$I1987)&gt;0)),1,0))</f>
        <v>0</v>
      </c>
      <c r="AA1987" t="str">
        <f t="shared" si="479"/>
        <v/>
      </c>
      <c r="AB1987" t="str">
        <f t="shared" si="480"/>
        <v/>
      </c>
      <c r="AC1987">
        <f>IF($A1987="",0,IF(COUNTIF($A$2:$A1987,$A1987)=1,1,0))</f>
        <v>0</v>
      </c>
      <c r="AD1987">
        <f t="shared" si="481"/>
        <v>29</v>
      </c>
      <c r="AE1987" t="str">
        <f t="shared" si="482"/>
        <v/>
      </c>
    </row>
    <row r="1988" spans="1:31" x14ac:dyDescent="0.4">
      <c r="A1988" t="str">
        <f>IF(原始经营数据!$D1989="","",原始经营数据!$D1989)</f>
        <v/>
      </c>
      <c r="B1988" t="str">
        <f>IF(原始经营数据!$D1989="","",T(原始经营数据!$E1989))</f>
        <v/>
      </c>
      <c r="C1988" t="str">
        <f>IF(原始经营数据!$D1989="","",原始经营数据!$F1989)</f>
        <v/>
      </c>
      <c r="D1988" t="str">
        <f>IF(原始经营数据!$D1989="","",原始经营数据!$H1989)</f>
        <v/>
      </c>
      <c r="E1988" t="str">
        <f>IF(原始经营数据!$D1989="","",原始经营数据!$I1989)</f>
        <v/>
      </c>
      <c r="F1988" t="str">
        <f>IF(原始经营数据!$D1989="","",T(原始经营数据!$J1989))</f>
        <v/>
      </c>
      <c r="G1988" t="str">
        <f>IF(原始经营数据!$D1989="","",T(原始经营数据!$K1989))</f>
        <v/>
      </c>
      <c r="H1988" t="str">
        <f>IF(原始经营数据!$D1989="","",原始经营数据!$G1989)</f>
        <v/>
      </c>
      <c r="I1988" t="str">
        <f>IF($A1988="","",IF($B1988&lt;&gt;"",$B1988,IF(COUNTIFS(原始经营数据!$D$3:$D$3001,$A1988,原始经营数据!$E$3:$E$3001,"",原始经营数据!$F$3:$F$3001,$C1988,原始经营数据!$H$3:$H$3001,$D1988,原始经营数据!$K$3:$K$3001,$G1988)&gt;1,"基金整体·来源"&amp;原始经营数据!$A1989,"基金整体")))</f>
        <v/>
      </c>
      <c r="J1988" t="str">
        <f t="shared" si="468"/>
        <v/>
      </c>
      <c r="K1988" t="str">
        <f t="shared" si="469"/>
        <v/>
      </c>
      <c r="L1988" t="str">
        <f t="shared" si="470"/>
        <v/>
      </c>
      <c r="M1988">
        <f>IF($A1988="",0,IF(COUNTIF($L$2:$L1988,$L1988)=1,1,0))</f>
        <v>0</v>
      </c>
      <c r="N1988" t="str">
        <f t="shared" si="471"/>
        <v/>
      </c>
      <c r="O1988" t="str">
        <f t="shared" si="472"/>
        <v/>
      </c>
      <c r="P1988">
        <f>IF($A1988="",0,IF(COUNTIF($O$2:$O1988,$O1988)=1,1,0))</f>
        <v>0</v>
      </c>
      <c r="Q1988" t="str">
        <f>IF(AND($P1988=1,$A1988=经营数据!$B$3,$J1988=经营数据!$BA$5),COUNTIFS($P$2:$P$3000,1,$A$2:$A$3000,$A1988,$J$2:$J$3000,$J1988,$N$2:$N$3000,"&lt;"&amp;$N1988)+1,"")</f>
        <v/>
      </c>
      <c r="R1988" t="str">
        <f t="shared" si="473"/>
        <v/>
      </c>
      <c r="S1988">
        <f>IF($A1988="",0,IF(COUNTIF($R$2:$R1988,$R1988)=1,1,0))</f>
        <v>0</v>
      </c>
      <c r="T1988" t="str">
        <f t="shared" si="474"/>
        <v/>
      </c>
      <c r="U1988" t="str">
        <f>IF($A1988="","",IF($A1988=经营数据!$B$3,COUNTIFS($S$2:$S$3000,1,$A$2:$A$3000,$A1988,$T$2:$T$3000,"&lt;"&amp;$T1988)+1,""))</f>
        <v/>
      </c>
      <c r="V1988" t="str">
        <f t="shared" si="475"/>
        <v/>
      </c>
      <c r="W1988" t="str">
        <f t="shared" si="476"/>
        <v/>
      </c>
      <c r="X1988" t="str">
        <f t="shared" si="477"/>
        <v/>
      </c>
      <c r="Y1988" t="str">
        <f t="shared" si="478"/>
        <v/>
      </c>
      <c r="Z1988">
        <f>IF($A1988="",0,IF(AND($M1988=1,$A1988=经营数据!$B$3,$J1988=经营数据!$BA$5,OR($I1988=经营数据!$BA$4,COUNTIF(经营数据!$AA$9:$AA$38,$I1988)&gt;0)),1,0))</f>
        <v>0</v>
      </c>
      <c r="AA1988" t="str">
        <f t="shared" si="479"/>
        <v/>
      </c>
      <c r="AB1988" t="str">
        <f t="shared" si="480"/>
        <v/>
      </c>
      <c r="AC1988">
        <f>IF($A1988="",0,IF(COUNTIF($A$2:$A1988,$A1988)=1,1,0))</f>
        <v>0</v>
      </c>
      <c r="AD1988">
        <f t="shared" si="481"/>
        <v>29</v>
      </c>
      <c r="AE1988" t="str">
        <f t="shared" si="482"/>
        <v/>
      </c>
    </row>
    <row r="1989" spans="1:31" x14ac:dyDescent="0.4">
      <c r="A1989" t="str">
        <f>IF(原始经营数据!$D1990="","",原始经营数据!$D1990)</f>
        <v/>
      </c>
      <c r="B1989" t="str">
        <f>IF(原始经营数据!$D1990="","",T(原始经营数据!$E1990))</f>
        <v/>
      </c>
      <c r="C1989" t="str">
        <f>IF(原始经营数据!$D1990="","",原始经营数据!$F1990)</f>
        <v/>
      </c>
      <c r="D1989" t="str">
        <f>IF(原始经营数据!$D1990="","",原始经营数据!$H1990)</f>
        <v/>
      </c>
      <c r="E1989" t="str">
        <f>IF(原始经营数据!$D1990="","",原始经营数据!$I1990)</f>
        <v/>
      </c>
      <c r="F1989" t="str">
        <f>IF(原始经营数据!$D1990="","",T(原始经营数据!$J1990))</f>
        <v/>
      </c>
      <c r="G1989" t="str">
        <f>IF(原始经营数据!$D1990="","",T(原始经营数据!$K1990))</f>
        <v/>
      </c>
      <c r="H1989" t="str">
        <f>IF(原始经营数据!$D1990="","",原始经营数据!$G1990)</f>
        <v/>
      </c>
      <c r="I1989" t="str">
        <f>IF($A1989="","",IF($B1989&lt;&gt;"",$B1989,IF(COUNTIFS(原始经营数据!$D$3:$D$3001,$A1989,原始经营数据!$E$3:$E$3001,"",原始经营数据!$F$3:$F$3001,$C1989,原始经营数据!$H$3:$H$3001,$D1989,原始经营数据!$K$3:$K$3001,$G1989)&gt;1,"基金整体·来源"&amp;原始经营数据!$A1990,"基金整体")))</f>
        <v/>
      </c>
      <c r="J1989" t="str">
        <f t="shared" si="468"/>
        <v/>
      </c>
      <c r="K1989" t="str">
        <f t="shared" si="469"/>
        <v/>
      </c>
      <c r="L1989" t="str">
        <f t="shared" si="470"/>
        <v/>
      </c>
      <c r="M1989">
        <f>IF($A1989="",0,IF(COUNTIF($L$2:$L1989,$L1989)=1,1,0))</f>
        <v>0</v>
      </c>
      <c r="N1989" t="str">
        <f t="shared" si="471"/>
        <v/>
      </c>
      <c r="O1989" t="str">
        <f t="shared" si="472"/>
        <v/>
      </c>
      <c r="P1989">
        <f>IF($A1989="",0,IF(COUNTIF($O$2:$O1989,$O1989)=1,1,0))</f>
        <v>0</v>
      </c>
      <c r="Q1989" t="str">
        <f>IF(AND($P1989=1,$A1989=经营数据!$B$3,$J1989=经营数据!$BA$5),COUNTIFS($P$2:$P$3000,1,$A$2:$A$3000,$A1989,$J$2:$J$3000,$J1989,$N$2:$N$3000,"&lt;"&amp;$N1989)+1,"")</f>
        <v/>
      </c>
      <c r="R1989" t="str">
        <f t="shared" si="473"/>
        <v/>
      </c>
      <c r="S1989">
        <f>IF($A1989="",0,IF(COUNTIF($R$2:$R1989,$R1989)=1,1,0))</f>
        <v>0</v>
      </c>
      <c r="T1989" t="str">
        <f t="shared" si="474"/>
        <v/>
      </c>
      <c r="U1989" t="str">
        <f>IF($A1989="","",IF($A1989=经营数据!$B$3,COUNTIFS($S$2:$S$3000,1,$A$2:$A$3000,$A1989,$T$2:$T$3000,"&lt;"&amp;$T1989)+1,""))</f>
        <v/>
      </c>
      <c r="V1989" t="str">
        <f t="shared" si="475"/>
        <v/>
      </c>
      <c r="W1989" t="str">
        <f t="shared" si="476"/>
        <v/>
      </c>
      <c r="X1989" t="str">
        <f t="shared" si="477"/>
        <v/>
      </c>
      <c r="Y1989" t="str">
        <f t="shared" si="478"/>
        <v/>
      </c>
      <c r="Z1989">
        <f>IF($A1989="",0,IF(AND($M1989=1,$A1989=经营数据!$B$3,$J1989=经营数据!$BA$5,OR($I1989=经营数据!$BA$4,COUNTIF(经营数据!$AA$9:$AA$38,$I1989)&gt;0)),1,0))</f>
        <v>0</v>
      </c>
      <c r="AA1989" t="str">
        <f t="shared" si="479"/>
        <v/>
      </c>
      <c r="AB1989" t="str">
        <f t="shared" si="480"/>
        <v/>
      </c>
      <c r="AC1989">
        <f>IF($A1989="",0,IF(COUNTIF($A$2:$A1989,$A1989)=1,1,0))</f>
        <v>0</v>
      </c>
      <c r="AD1989">
        <f t="shared" si="481"/>
        <v>29</v>
      </c>
      <c r="AE1989" t="str">
        <f t="shared" si="482"/>
        <v/>
      </c>
    </row>
    <row r="1990" spans="1:31" x14ac:dyDescent="0.4">
      <c r="A1990" t="str">
        <f>IF(原始经营数据!$D1991="","",原始经营数据!$D1991)</f>
        <v/>
      </c>
      <c r="B1990" t="str">
        <f>IF(原始经营数据!$D1991="","",T(原始经营数据!$E1991))</f>
        <v/>
      </c>
      <c r="C1990" t="str">
        <f>IF(原始经营数据!$D1991="","",原始经营数据!$F1991)</f>
        <v/>
      </c>
      <c r="D1990" t="str">
        <f>IF(原始经营数据!$D1991="","",原始经营数据!$H1991)</f>
        <v/>
      </c>
      <c r="E1990" t="str">
        <f>IF(原始经营数据!$D1991="","",原始经营数据!$I1991)</f>
        <v/>
      </c>
      <c r="F1990" t="str">
        <f>IF(原始经营数据!$D1991="","",T(原始经营数据!$J1991))</f>
        <v/>
      </c>
      <c r="G1990" t="str">
        <f>IF(原始经营数据!$D1991="","",T(原始经营数据!$K1991))</f>
        <v/>
      </c>
      <c r="H1990" t="str">
        <f>IF(原始经营数据!$D1991="","",原始经营数据!$G1991)</f>
        <v/>
      </c>
      <c r="I1990" t="str">
        <f>IF($A1990="","",IF($B1990&lt;&gt;"",$B1990,IF(COUNTIFS(原始经营数据!$D$3:$D$3001,$A1990,原始经营数据!$E$3:$E$3001,"",原始经营数据!$F$3:$F$3001,$C1990,原始经营数据!$H$3:$H$3001,$D1990,原始经营数据!$K$3:$K$3001,$G1990)&gt;1,"基金整体·来源"&amp;原始经营数据!$A1991,"基金整体")))</f>
        <v/>
      </c>
      <c r="J1990" t="str">
        <f t="shared" si="468"/>
        <v/>
      </c>
      <c r="K1990" t="str">
        <f t="shared" si="469"/>
        <v/>
      </c>
      <c r="L1990" t="str">
        <f t="shared" si="470"/>
        <v/>
      </c>
      <c r="M1990">
        <f>IF($A1990="",0,IF(COUNTIF($L$2:$L1990,$L1990)=1,1,0))</f>
        <v>0</v>
      </c>
      <c r="N1990" t="str">
        <f t="shared" si="471"/>
        <v/>
      </c>
      <c r="O1990" t="str">
        <f t="shared" si="472"/>
        <v/>
      </c>
      <c r="P1990">
        <f>IF($A1990="",0,IF(COUNTIF($O$2:$O1990,$O1990)=1,1,0))</f>
        <v>0</v>
      </c>
      <c r="Q1990" t="str">
        <f>IF(AND($P1990=1,$A1990=经营数据!$B$3,$J1990=经营数据!$BA$5),COUNTIFS($P$2:$P$3000,1,$A$2:$A$3000,$A1990,$J$2:$J$3000,$J1990,$N$2:$N$3000,"&lt;"&amp;$N1990)+1,"")</f>
        <v/>
      </c>
      <c r="R1990" t="str">
        <f t="shared" si="473"/>
        <v/>
      </c>
      <c r="S1990">
        <f>IF($A1990="",0,IF(COUNTIF($R$2:$R1990,$R1990)=1,1,0))</f>
        <v>0</v>
      </c>
      <c r="T1990" t="str">
        <f t="shared" si="474"/>
        <v/>
      </c>
      <c r="U1990" t="str">
        <f>IF($A1990="","",IF($A1990=经营数据!$B$3,COUNTIFS($S$2:$S$3000,1,$A$2:$A$3000,$A1990,$T$2:$T$3000,"&lt;"&amp;$T1990)+1,""))</f>
        <v/>
      </c>
      <c r="V1990" t="str">
        <f t="shared" si="475"/>
        <v/>
      </c>
      <c r="W1990" t="str">
        <f t="shared" si="476"/>
        <v/>
      </c>
      <c r="X1990" t="str">
        <f t="shared" si="477"/>
        <v/>
      </c>
      <c r="Y1990" t="str">
        <f t="shared" si="478"/>
        <v/>
      </c>
      <c r="Z1990">
        <f>IF($A1990="",0,IF(AND($M1990=1,$A1990=经营数据!$B$3,$J1990=经营数据!$BA$5,OR($I1990=经营数据!$BA$4,COUNTIF(经营数据!$AA$9:$AA$38,$I1990)&gt;0)),1,0))</f>
        <v>0</v>
      </c>
      <c r="AA1990" t="str">
        <f t="shared" si="479"/>
        <v/>
      </c>
      <c r="AB1990" t="str">
        <f t="shared" si="480"/>
        <v/>
      </c>
      <c r="AC1990">
        <f>IF($A1990="",0,IF(COUNTIF($A$2:$A1990,$A1990)=1,1,0))</f>
        <v>0</v>
      </c>
      <c r="AD1990">
        <f t="shared" si="481"/>
        <v>29</v>
      </c>
      <c r="AE1990" t="str">
        <f t="shared" si="482"/>
        <v/>
      </c>
    </row>
    <row r="1991" spans="1:31" x14ac:dyDescent="0.4">
      <c r="A1991" t="str">
        <f>IF(原始经营数据!$D1992="","",原始经营数据!$D1992)</f>
        <v/>
      </c>
      <c r="B1991" t="str">
        <f>IF(原始经营数据!$D1992="","",T(原始经营数据!$E1992))</f>
        <v/>
      </c>
      <c r="C1991" t="str">
        <f>IF(原始经营数据!$D1992="","",原始经营数据!$F1992)</f>
        <v/>
      </c>
      <c r="D1991" t="str">
        <f>IF(原始经营数据!$D1992="","",原始经营数据!$H1992)</f>
        <v/>
      </c>
      <c r="E1991" t="str">
        <f>IF(原始经营数据!$D1992="","",原始经营数据!$I1992)</f>
        <v/>
      </c>
      <c r="F1991" t="str">
        <f>IF(原始经营数据!$D1992="","",T(原始经营数据!$J1992))</f>
        <v/>
      </c>
      <c r="G1991" t="str">
        <f>IF(原始经营数据!$D1992="","",T(原始经营数据!$K1992))</f>
        <v/>
      </c>
      <c r="H1991" t="str">
        <f>IF(原始经营数据!$D1992="","",原始经营数据!$G1992)</f>
        <v/>
      </c>
      <c r="I1991" t="str">
        <f>IF($A1991="","",IF($B1991&lt;&gt;"",$B1991,IF(COUNTIFS(原始经营数据!$D$3:$D$3001,$A1991,原始经营数据!$E$3:$E$3001,"",原始经营数据!$F$3:$F$3001,$C1991,原始经营数据!$H$3:$H$3001,$D1991,原始经营数据!$K$3:$K$3001,$G1991)&gt;1,"基金整体·来源"&amp;原始经营数据!$A1992,"基金整体")))</f>
        <v/>
      </c>
      <c r="J1991" t="str">
        <f t="shared" si="468"/>
        <v/>
      </c>
      <c r="K1991" t="str">
        <f t="shared" si="469"/>
        <v/>
      </c>
      <c r="L1991" t="str">
        <f t="shared" si="470"/>
        <v/>
      </c>
      <c r="M1991">
        <f>IF($A1991="",0,IF(COUNTIF($L$2:$L1991,$L1991)=1,1,0))</f>
        <v>0</v>
      </c>
      <c r="N1991" t="str">
        <f t="shared" si="471"/>
        <v/>
      </c>
      <c r="O1991" t="str">
        <f t="shared" si="472"/>
        <v/>
      </c>
      <c r="P1991">
        <f>IF($A1991="",0,IF(COUNTIF($O$2:$O1991,$O1991)=1,1,0))</f>
        <v>0</v>
      </c>
      <c r="Q1991" t="str">
        <f>IF(AND($P1991=1,$A1991=经营数据!$B$3,$J1991=经营数据!$BA$5),COUNTIFS($P$2:$P$3000,1,$A$2:$A$3000,$A1991,$J$2:$J$3000,$J1991,$N$2:$N$3000,"&lt;"&amp;$N1991)+1,"")</f>
        <v/>
      </c>
      <c r="R1991" t="str">
        <f t="shared" si="473"/>
        <v/>
      </c>
      <c r="S1991">
        <f>IF($A1991="",0,IF(COUNTIF($R$2:$R1991,$R1991)=1,1,0))</f>
        <v>0</v>
      </c>
      <c r="T1991" t="str">
        <f t="shared" si="474"/>
        <v/>
      </c>
      <c r="U1991" t="str">
        <f>IF($A1991="","",IF($A1991=经营数据!$B$3,COUNTIFS($S$2:$S$3000,1,$A$2:$A$3000,$A1991,$T$2:$T$3000,"&lt;"&amp;$T1991)+1,""))</f>
        <v/>
      </c>
      <c r="V1991" t="str">
        <f t="shared" si="475"/>
        <v/>
      </c>
      <c r="W1991" t="str">
        <f t="shared" si="476"/>
        <v/>
      </c>
      <c r="X1991" t="str">
        <f t="shared" si="477"/>
        <v/>
      </c>
      <c r="Y1991" t="str">
        <f t="shared" si="478"/>
        <v/>
      </c>
      <c r="Z1991">
        <f>IF($A1991="",0,IF(AND($M1991=1,$A1991=经营数据!$B$3,$J1991=经营数据!$BA$5,OR($I1991=经营数据!$BA$4,COUNTIF(经营数据!$AA$9:$AA$38,$I1991)&gt;0)),1,0))</f>
        <v>0</v>
      </c>
      <c r="AA1991" t="str">
        <f t="shared" si="479"/>
        <v/>
      </c>
      <c r="AB1991" t="str">
        <f t="shared" si="480"/>
        <v/>
      </c>
      <c r="AC1991">
        <f>IF($A1991="",0,IF(COUNTIF($A$2:$A1991,$A1991)=1,1,0))</f>
        <v>0</v>
      </c>
      <c r="AD1991">
        <f t="shared" si="481"/>
        <v>29</v>
      </c>
      <c r="AE1991" t="str">
        <f t="shared" si="482"/>
        <v/>
      </c>
    </row>
    <row r="1992" spans="1:31" x14ac:dyDescent="0.4">
      <c r="A1992" t="str">
        <f>IF(原始经营数据!$D1993="","",原始经营数据!$D1993)</f>
        <v/>
      </c>
      <c r="B1992" t="str">
        <f>IF(原始经营数据!$D1993="","",T(原始经营数据!$E1993))</f>
        <v/>
      </c>
      <c r="C1992" t="str">
        <f>IF(原始经营数据!$D1993="","",原始经营数据!$F1993)</f>
        <v/>
      </c>
      <c r="D1992" t="str">
        <f>IF(原始经营数据!$D1993="","",原始经营数据!$H1993)</f>
        <v/>
      </c>
      <c r="E1992" t="str">
        <f>IF(原始经营数据!$D1993="","",原始经营数据!$I1993)</f>
        <v/>
      </c>
      <c r="F1992" t="str">
        <f>IF(原始经营数据!$D1993="","",T(原始经营数据!$J1993))</f>
        <v/>
      </c>
      <c r="G1992" t="str">
        <f>IF(原始经营数据!$D1993="","",T(原始经营数据!$K1993))</f>
        <v/>
      </c>
      <c r="H1992" t="str">
        <f>IF(原始经营数据!$D1993="","",原始经营数据!$G1993)</f>
        <v/>
      </c>
      <c r="I1992" t="str">
        <f>IF($A1992="","",IF($B1992&lt;&gt;"",$B1992,IF(COUNTIFS(原始经营数据!$D$3:$D$3001,$A1992,原始经营数据!$E$3:$E$3001,"",原始经营数据!$F$3:$F$3001,$C1992,原始经营数据!$H$3:$H$3001,$D1992,原始经营数据!$K$3:$K$3001,$G1992)&gt;1,"基金整体·来源"&amp;原始经营数据!$A1993,"基金整体")))</f>
        <v/>
      </c>
      <c r="J1992" t="str">
        <f t="shared" si="468"/>
        <v/>
      </c>
      <c r="K1992" t="str">
        <f t="shared" si="469"/>
        <v/>
      </c>
      <c r="L1992" t="str">
        <f t="shared" si="470"/>
        <v/>
      </c>
      <c r="M1992">
        <f>IF($A1992="",0,IF(COUNTIF($L$2:$L1992,$L1992)=1,1,0))</f>
        <v>0</v>
      </c>
      <c r="N1992" t="str">
        <f t="shared" si="471"/>
        <v/>
      </c>
      <c r="O1992" t="str">
        <f t="shared" si="472"/>
        <v/>
      </c>
      <c r="P1992">
        <f>IF($A1992="",0,IF(COUNTIF($O$2:$O1992,$O1992)=1,1,0))</f>
        <v>0</v>
      </c>
      <c r="Q1992" t="str">
        <f>IF(AND($P1992=1,$A1992=经营数据!$B$3,$J1992=经营数据!$BA$5),COUNTIFS($P$2:$P$3000,1,$A$2:$A$3000,$A1992,$J$2:$J$3000,$J1992,$N$2:$N$3000,"&lt;"&amp;$N1992)+1,"")</f>
        <v/>
      </c>
      <c r="R1992" t="str">
        <f t="shared" si="473"/>
        <v/>
      </c>
      <c r="S1992">
        <f>IF($A1992="",0,IF(COUNTIF($R$2:$R1992,$R1992)=1,1,0))</f>
        <v>0</v>
      </c>
      <c r="T1992" t="str">
        <f t="shared" si="474"/>
        <v/>
      </c>
      <c r="U1992" t="str">
        <f>IF($A1992="","",IF($A1992=经营数据!$B$3,COUNTIFS($S$2:$S$3000,1,$A$2:$A$3000,$A1992,$T$2:$T$3000,"&lt;"&amp;$T1992)+1,""))</f>
        <v/>
      </c>
      <c r="V1992" t="str">
        <f t="shared" si="475"/>
        <v/>
      </c>
      <c r="W1992" t="str">
        <f t="shared" si="476"/>
        <v/>
      </c>
      <c r="X1992" t="str">
        <f t="shared" si="477"/>
        <v/>
      </c>
      <c r="Y1992" t="str">
        <f t="shared" si="478"/>
        <v/>
      </c>
      <c r="Z1992">
        <f>IF($A1992="",0,IF(AND($M1992=1,$A1992=经营数据!$B$3,$J1992=经营数据!$BA$5,OR($I1992=经营数据!$BA$4,COUNTIF(经营数据!$AA$9:$AA$38,$I1992)&gt;0)),1,0))</f>
        <v>0</v>
      </c>
      <c r="AA1992" t="str">
        <f t="shared" si="479"/>
        <v/>
      </c>
      <c r="AB1992" t="str">
        <f t="shared" si="480"/>
        <v/>
      </c>
      <c r="AC1992">
        <f>IF($A1992="",0,IF(COUNTIF($A$2:$A1992,$A1992)=1,1,0))</f>
        <v>0</v>
      </c>
      <c r="AD1992">
        <f t="shared" si="481"/>
        <v>29</v>
      </c>
      <c r="AE1992" t="str">
        <f t="shared" si="482"/>
        <v/>
      </c>
    </row>
    <row r="1993" spans="1:31" x14ac:dyDescent="0.4">
      <c r="A1993" t="str">
        <f>IF(原始经营数据!$D1994="","",原始经营数据!$D1994)</f>
        <v/>
      </c>
      <c r="B1993" t="str">
        <f>IF(原始经营数据!$D1994="","",T(原始经营数据!$E1994))</f>
        <v/>
      </c>
      <c r="C1993" t="str">
        <f>IF(原始经营数据!$D1994="","",原始经营数据!$F1994)</f>
        <v/>
      </c>
      <c r="D1993" t="str">
        <f>IF(原始经营数据!$D1994="","",原始经营数据!$H1994)</f>
        <v/>
      </c>
      <c r="E1993" t="str">
        <f>IF(原始经营数据!$D1994="","",原始经营数据!$I1994)</f>
        <v/>
      </c>
      <c r="F1993" t="str">
        <f>IF(原始经营数据!$D1994="","",T(原始经营数据!$J1994))</f>
        <v/>
      </c>
      <c r="G1993" t="str">
        <f>IF(原始经营数据!$D1994="","",T(原始经营数据!$K1994))</f>
        <v/>
      </c>
      <c r="H1993" t="str">
        <f>IF(原始经营数据!$D1994="","",原始经营数据!$G1994)</f>
        <v/>
      </c>
      <c r="I1993" t="str">
        <f>IF($A1993="","",IF($B1993&lt;&gt;"",$B1993,IF(COUNTIFS(原始经营数据!$D$3:$D$3001,$A1993,原始经营数据!$E$3:$E$3001,"",原始经营数据!$F$3:$F$3001,$C1993,原始经营数据!$H$3:$H$3001,$D1993,原始经营数据!$K$3:$K$3001,$G1993)&gt;1,"基金整体·来源"&amp;原始经营数据!$A1994,"基金整体")))</f>
        <v/>
      </c>
      <c r="J1993" t="str">
        <f t="shared" si="468"/>
        <v/>
      </c>
      <c r="K1993" t="str">
        <f t="shared" si="469"/>
        <v/>
      </c>
      <c r="L1993" t="str">
        <f t="shared" si="470"/>
        <v/>
      </c>
      <c r="M1993">
        <f>IF($A1993="",0,IF(COUNTIF($L$2:$L1993,$L1993)=1,1,0))</f>
        <v>0</v>
      </c>
      <c r="N1993" t="str">
        <f t="shared" si="471"/>
        <v/>
      </c>
      <c r="O1993" t="str">
        <f t="shared" si="472"/>
        <v/>
      </c>
      <c r="P1993">
        <f>IF($A1993="",0,IF(COUNTIF($O$2:$O1993,$O1993)=1,1,0))</f>
        <v>0</v>
      </c>
      <c r="Q1993" t="str">
        <f>IF(AND($P1993=1,$A1993=经营数据!$B$3,$J1993=经营数据!$BA$5),COUNTIFS($P$2:$P$3000,1,$A$2:$A$3000,$A1993,$J$2:$J$3000,$J1993,$N$2:$N$3000,"&lt;"&amp;$N1993)+1,"")</f>
        <v/>
      </c>
      <c r="R1993" t="str">
        <f t="shared" si="473"/>
        <v/>
      </c>
      <c r="S1993">
        <f>IF($A1993="",0,IF(COUNTIF($R$2:$R1993,$R1993)=1,1,0))</f>
        <v>0</v>
      </c>
      <c r="T1993" t="str">
        <f t="shared" si="474"/>
        <v/>
      </c>
      <c r="U1993" t="str">
        <f>IF($A1993="","",IF($A1993=经营数据!$B$3,COUNTIFS($S$2:$S$3000,1,$A$2:$A$3000,$A1993,$T$2:$T$3000,"&lt;"&amp;$T1993)+1,""))</f>
        <v/>
      </c>
      <c r="V1993" t="str">
        <f t="shared" si="475"/>
        <v/>
      </c>
      <c r="W1993" t="str">
        <f t="shared" si="476"/>
        <v/>
      </c>
      <c r="X1993" t="str">
        <f t="shared" si="477"/>
        <v/>
      </c>
      <c r="Y1993" t="str">
        <f t="shared" si="478"/>
        <v/>
      </c>
      <c r="Z1993">
        <f>IF($A1993="",0,IF(AND($M1993=1,$A1993=经营数据!$B$3,$J1993=经营数据!$BA$5,OR($I1993=经营数据!$BA$4,COUNTIF(经营数据!$AA$9:$AA$38,$I1993)&gt;0)),1,0))</f>
        <v>0</v>
      </c>
      <c r="AA1993" t="str">
        <f t="shared" si="479"/>
        <v/>
      </c>
      <c r="AB1993" t="str">
        <f t="shared" si="480"/>
        <v/>
      </c>
      <c r="AC1993">
        <f>IF($A1993="",0,IF(COUNTIF($A$2:$A1993,$A1993)=1,1,0))</f>
        <v>0</v>
      </c>
      <c r="AD1993">
        <f t="shared" si="481"/>
        <v>29</v>
      </c>
      <c r="AE1993" t="str">
        <f t="shared" si="482"/>
        <v/>
      </c>
    </row>
    <row r="1994" spans="1:31" x14ac:dyDescent="0.4">
      <c r="A1994" t="str">
        <f>IF(原始经营数据!$D1995="","",原始经营数据!$D1995)</f>
        <v/>
      </c>
      <c r="B1994" t="str">
        <f>IF(原始经营数据!$D1995="","",T(原始经营数据!$E1995))</f>
        <v/>
      </c>
      <c r="C1994" t="str">
        <f>IF(原始经营数据!$D1995="","",原始经营数据!$F1995)</f>
        <v/>
      </c>
      <c r="D1994" t="str">
        <f>IF(原始经营数据!$D1995="","",原始经营数据!$H1995)</f>
        <v/>
      </c>
      <c r="E1994" t="str">
        <f>IF(原始经营数据!$D1995="","",原始经营数据!$I1995)</f>
        <v/>
      </c>
      <c r="F1994" t="str">
        <f>IF(原始经营数据!$D1995="","",T(原始经营数据!$J1995))</f>
        <v/>
      </c>
      <c r="G1994" t="str">
        <f>IF(原始经营数据!$D1995="","",T(原始经营数据!$K1995))</f>
        <v/>
      </c>
      <c r="H1994" t="str">
        <f>IF(原始经营数据!$D1995="","",原始经营数据!$G1995)</f>
        <v/>
      </c>
      <c r="I1994" t="str">
        <f>IF($A1994="","",IF($B1994&lt;&gt;"",$B1994,IF(COUNTIFS(原始经营数据!$D$3:$D$3001,$A1994,原始经营数据!$E$3:$E$3001,"",原始经营数据!$F$3:$F$3001,$C1994,原始经营数据!$H$3:$H$3001,$D1994,原始经营数据!$K$3:$K$3001,$G1994)&gt;1,"基金整体·来源"&amp;原始经营数据!$A1995,"基金整体")))</f>
        <v/>
      </c>
      <c r="J1994" t="str">
        <f t="shared" si="468"/>
        <v/>
      </c>
      <c r="K1994" t="str">
        <f t="shared" si="469"/>
        <v/>
      </c>
      <c r="L1994" t="str">
        <f t="shared" si="470"/>
        <v/>
      </c>
      <c r="M1994">
        <f>IF($A1994="",0,IF(COUNTIF($L$2:$L1994,$L1994)=1,1,0))</f>
        <v>0</v>
      </c>
      <c r="N1994" t="str">
        <f t="shared" si="471"/>
        <v/>
      </c>
      <c r="O1994" t="str">
        <f t="shared" si="472"/>
        <v/>
      </c>
      <c r="P1994">
        <f>IF($A1994="",0,IF(COUNTIF($O$2:$O1994,$O1994)=1,1,0))</f>
        <v>0</v>
      </c>
      <c r="Q1994" t="str">
        <f>IF(AND($P1994=1,$A1994=经营数据!$B$3,$J1994=经营数据!$BA$5),COUNTIFS($P$2:$P$3000,1,$A$2:$A$3000,$A1994,$J$2:$J$3000,$J1994,$N$2:$N$3000,"&lt;"&amp;$N1994)+1,"")</f>
        <v/>
      </c>
      <c r="R1994" t="str">
        <f t="shared" si="473"/>
        <v/>
      </c>
      <c r="S1994">
        <f>IF($A1994="",0,IF(COUNTIF($R$2:$R1994,$R1994)=1,1,0))</f>
        <v>0</v>
      </c>
      <c r="T1994" t="str">
        <f t="shared" si="474"/>
        <v/>
      </c>
      <c r="U1994" t="str">
        <f>IF($A1994="","",IF($A1994=经营数据!$B$3,COUNTIFS($S$2:$S$3000,1,$A$2:$A$3000,$A1994,$T$2:$T$3000,"&lt;"&amp;$T1994)+1,""))</f>
        <v/>
      </c>
      <c r="V1994" t="str">
        <f t="shared" si="475"/>
        <v/>
      </c>
      <c r="W1994" t="str">
        <f t="shared" si="476"/>
        <v/>
      </c>
      <c r="X1994" t="str">
        <f t="shared" si="477"/>
        <v/>
      </c>
      <c r="Y1994" t="str">
        <f t="shared" si="478"/>
        <v/>
      </c>
      <c r="Z1994">
        <f>IF($A1994="",0,IF(AND($M1994=1,$A1994=经营数据!$B$3,$J1994=经营数据!$BA$5,OR($I1994=经营数据!$BA$4,COUNTIF(经营数据!$AA$9:$AA$38,$I1994)&gt;0)),1,0))</f>
        <v>0</v>
      </c>
      <c r="AA1994" t="str">
        <f t="shared" si="479"/>
        <v/>
      </c>
      <c r="AB1994" t="str">
        <f t="shared" si="480"/>
        <v/>
      </c>
      <c r="AC1994">
        <f>IF($A1994="",0,IF(COUNTIF($A$2:$A1994,$A1994)=1,1,0))</f>
        <v>0</v>
      </c>
      <c r="AD1994">
        <f t="shared" si="481"/>
        <v>29</v>
      </c>
      <c r="AE1994" t="str">
        <f t="shared" si="482"/>
        <v/>
      </c>
    </row>
    <row r="1995" spans="1:31" x14ac:dyDescent="0.4">
      <c r="A1995" t="str">
        <f>IF(原始经营数据!$D1996="","",原始经营数据!$D1996)</f>
        <v/>
      </c>
      <c r="B1995" t="str">
        <f>IF(原始经营数据!$D1996="","",T(原始经营数据!$E1996))</f>
        <v/>
      </c>
      <c r="C1995" t="str">
        <f>IF(原始经营数据!$D1996="","",原始经营数据!$F1996)</f>
        <v/>
      </c>
      <c r="D1995" t="str">
        <f>IF(原始经营数据!$D1996="","",原始经营数据!$H1996)</f>
        <v/>
      </c>
      <c r="E1995" t="str">
        <f>IF(原始经营数据!$D1996="","",原始经营数据!$I1996)</f>
        <v/>
      </c>
      <c r="F1995" t="str">
        <f>IF(原始经营数据!$D1996="","",T(原始经营数据!$J1996))</f>
        <v/>
      </c>
      <c r="G1995" t="str">
        <f>IF(原始经营数据!$D1996="","",T(原始经营数据!$K1996))</f>
        <v/>
      </c>
      <c r="H1995" t="str">
        <f>IF(原始经营数据!$D1996="","",原始经营数据!$G1996)</f>
        <v/>
      </c>
      <c r="I1995" t="str">
        <f>IF($A1995="","",IF($B1995&lt;&gt;"",$B1995,IF(COUNTIFS(原始经营数据!$D$3:$D$3001,$A1995,原始经营数据!$E$3:$E$3001,"",原始经营数据!$F$3:$F$3001,$C1995,原始经营数据!$H$3:$H$3001,$D1995,原始经营数据!$K$3:$K$3001,$G1995)&gt;1,"基金整体·来源"&amp;原始经营数据!$A1996,"基金整体")))</f>
        <v/>
      </c>
      <c r="J1995" t="str">
        <f t="shared" si="468"/>
        <v/>
      </c>
      <c r="K1995" t="str">
        <f t="shared" si="469"/>
        <v/>
      </c>
      <c r="L1995" t="str">
        <f t="shared" si="470"/>
        <v/>
      </c>
      <c r="M1995">
        <f>IF($A1995="",0,IF(COUNTIF($L$2:$L1995,$L1995)=1,1,0))</f>
        <v>0</v>
      </c>
      <c r="N1995" t="str">
        <f t="shared" si="471"/>
        <v/>
      </c>
      <c r="O1995" t="str">
        <f t="shared" si="472"/>
        <v/>
      </c>
      <c r="P1995">
        <f>IF($A1995="",0,IF(COUNTIF($O$2:$O1995,$O1995)=1,1,0))</f>
        <v>0</v>
      </c>
      <c r="Q1995" t="str">
        <f>IF(AND($P1995=1,$A1995=经营数据!$B$3,$J1995=经营数据!$BA$5),COUNTIFS($P$2:$P$3000,1,$A$2:$A$3000,$A1995,$J$2:$J$3000,$J1995,$N$2:$N$3000,"&lt;"&amp;$N1995)+1,"")</f>
        <v/>
      </c>
      <c r="R1995" t="str">
        <f t="shared" si="473"/>
        <v/>
      </c>
      <c r="S1995">
        <f>IF($A1995="",0,IF(COUNTIF($R$2:$R1995,$R1995)=1,1,0))</f>
        <v>0</v>
      </c>
      <c r="T1995" t="str">
        <f t="shared" si="474"/>
        <v/>
      </c>
      <c r="U1995" t="str">
        <f>IF($A1995="","",IF($A1995=经营数据!$B$3,COUNTIFS($S$2:$S$3000,1,$A$2:$A$3000,$A1995,$T$2:$T$3000,"&lt;"&amp;$T1995)+1,""))</f>
        <v/>
      </c>
      <c r="V1995" t="str">
        <f t="shared" si="475"/>
        <v/>
      </c>
      <c r="W1995" t="str">
        <f t="shared" si="476"/>
        <v/>
      </c>
      <c r="X1995" t="str">
        <f t="shared" si="477"/>
        <v/>
      </c>
      <c r="Y1995" t="str">
        <f t="shared" si="478"/>
        <v/>
      </c>
      <c r="Z1995">
        <f>IF($A1995="",0,IF(AND($M1995=1,$A1995=经营数据!$B$3,$J1995=经营数据!$BA$5,OR($I1995=经营数据!$BA$4,COUNTIF(经营数据!$AA$9:$AA$38,$I1995)&gt;0)),1,0))</f>
        <v>0</v>
      </c>
      <c r="AA1995" t="str">
        <f t="shared" si="479"/>
        <v/>
      </c>
      <c r="AB1995" t="str">
        <f t="shared" si="480"/>
        <v/>
      </c>
      <c r="AC1995">
        <f>IF($A1995="",0,IF(COUNTIF($A$2:$A1995,$A1995)=1,1,0))</f>
        <v>0</v>
      </c>
      <c r="AD1995">
        <f t="shared" si="481"/>
        <v>29</v>
      </c>
      <c r="AE1995" t="str">
        <f t="shared" si="482"/>
        <v/>
      </c>
    </row>
    <row r="1996" spans="1:31" x14ac:dyDescent="0.4">
      <c r="A1996" t="str">
        <f>IF(原始经营数据!$D1997="","",原始经营数据!$D1997)</f>
        <v/>
      </c>
      <c r="B1996" t="str">
        <f>IF(原始经营数据!$D1997="","",T(原始经营数据!$E1997))</f>
        <v/>
      </c>
      <c r="C1996" t="str">
        <f>IF(原始经营数据!$D1997="","",原始经营数据!$F1997)</f>
        <v/>
      </c>
      <c r="D1996" t="str">
        <f>IF(原始经营数据!$D1997="","",原始经营数据!$H1997)</f>
        <v/>
      </c>
      <c r="E1996" t="str">
        <f>IF(原始经营数据!$D1997="","",原始经营数据!$I1997)</f>
        <v/>
      </c>
      <c r="F1996" t="str">
        <f>IF(原始经营数据!$D1997="","",T(原始经营数据!$J1997))</f>
        <v/>
      </c>
      <c r="G1996" t="str">
        <f>IF(原始经营数据!$D1997="","",T(原始经营数据!$K1997))</f>
        <v/>
      </c>
      <c r="H1996" t="str">
        <f>IF(原始经营数据!$D1997="","",原始经营数据!$G1997)</f>
        <v/>
      </c>
      <c r="I1996" t="str">
        <f>IF($A1996="","",IF($B1996&lt;&gt;"",$B1996,IF(COUNTIFS(原始经营数据!$D$3:$D$3001,$A1996,原始经营数据!$E$3:$E$3001,"",原始经营数据!$F$3:$F$3001,$C1996,原始经营数据!$H$3:$H$3001,$D1996,原始经营数据!$K$3:$K$3001,$G1996)&gt;1,"基金整体·来源"&amp;原始经营数据!$A1997,"基金整体")))</f>
        <v/>
      </c>
      <c r="J1996" t="str">
        <f t="shared" si="468"/>
        <v/>
      </c>
      <c r="K1996" t="str">
        <f t="shared" si="469"/>
        <v/>
      </c>
      <c r="L1996" t="str">
        <f t="shared" si="470"/>
        <v/>
      </c>
      <c r="M1996">
        <f>IF($A1996="",0,IF(COUNTIF($L$2:$L1996,$L1996)=1,1,0))</f>
        <v>0</v>
      </c>
      <c r="N1996" t="str">
        <f t="shared" si="471"/>
        <v/>
      </c>
      <c r="O1996" t="str">
        <f t="shared" si="472"/>
        <v/>
      </c>
      <c r="P1996">
        <f>IF($A1996="",0,IF(COUNTIF($O$2:$O1996,$O1996)=1,1,0))</f>
        <v>0</v>
      </c>
      <c r="Q1996" t="str">
        <f>IF(AND($P1996=1,$A1996=经营数据!$B$3,$J1996=经营数据!$BA$5),COUNTIFS($P$2:$P$3000,1,$A$2:$A$3000,$A1996,$J$2:$J$3000,$J1996,$N$2:$N$3000,"&lt;"&amp;$N1996)+1,"")</f>
        <v/>
      </c>
      <c r="R1996" t="str">
        <f t="shared" si="473"/>
        <v/>
      </c>
      <c r="S1996">
        <f>IF($A1996="",0,IF(COUNTIF($R$2:$R1996,$R1996)=1,1,0))</f>
        <v>0</v>
      </c>
      <c r="T1996" t="str">
        <f t="shared" si="474"/>
        <v/>
      </c>
      <c r="U1996" t="str">
        <f>IF($A1996="","",IF($A1996=经营数据!$B$3,COUNTIFS($S$2:$S$3000,1,$A$2:$A$3000,$A1996,$T$2:$T$3000,"&lt;"&amp;$T1996)+1,""))</f>
        <v/>
      </c>
      <c r="V1996" t="str">
        <f t="shared" si="475"/>
        <v/>
      </c>
      <c r="W1996" t="str">
        <f t="shared" si="476"/>
        <v/>
      </c>
      <c r="X1996" t="str">
        <f t="shared" si="477"/>
        <v/>
      </c>
      <c r="Y1996" t="str">
        <f t="shared" si="478"/>
        <v/>
      </c>
      <c r="Z1996">
        <f>IF($A1996="",0,IF(AND($M1996=1,$A1996=经营数据!$B$3,$J1996=经营数据!$BA$5,OR($I1996=经营数据!$BA$4,COUNTIF(经营数据!$AA$9:$AA$38,$I1996)&gt;0)),1,0))</f>
        <v>0</v>
      </c>
      <c r="AA1996" t="str">
        <f t="shared" si="479"/>
        <v/>
      </c>
      <c r="AB1996" t="str">
        <f t="shared" si="480"/>
        <v/>
      </c>
      <c r="AC1996">
        <f>IF($A1996="",0,IF(COUNTIF($A$2:$A1996,$A1996)=1,1,0))</f>
        <v>0</v>
      </c>
      <c r="AD1996">
        <f t="shared" si="481"/>
        <v>29</v>
      </c>
      <c r="AE1996" t="str">
        <f t="shared" si="482"/>
        <v/>
      </c>
    </row>
    <row r="1997" spans="1:31" x14ac:dyDescent="0.4">
      <c r="A1997" t="str">
        <f>IF(原始经营数据!$D1998="","",原始经营数据!$D1998)</f>
        <v/>
      </c>
      <c r="B1997" t="str">
        <f>IF(原始经营数据!$D1998="","",T(原始经营数据!$E1998))</f>
        <v/>
      </c>
      <c r="C1997" t="str">
        <f>IF(原始经营数据!$D1998="","",原始经营数据!$F1998)</f>
        <v/>
      </c>
      <c r="D1997" t="str">
        <f>IF(原始经营数据!$D1998="","",原始经营数据!$H1998)</f>
        <v/>
      </c>
      <c r="E1997" t="str">
        <f>IF(原始经营数据!$D1998="","",原始经营数据!$I1998)</f>
        <v/>
      </c>
      <c r="F1997" t="str">
        <f>IF(原始经营数据!$D1998="","",T(原始经营数据!$J1998))</f>
        <v/>
      </c>
      <c r="G1997" t="str">
        <f>IF(原始经营数据!$D1998="","",T(原始经营数据!$K1998))</f>
        <v/>
      </c>
      <c r="H1997" t="str">
        <f>IF(原始经营数据!$D1998="","",原始经营数据!$G1998)</f>
        <v/>
      </c>
      <c r="I1997" t="str">
        <f>IF($A1997="","",IF($B1997&lt;&gt;"",$B1997,IF(COUNTIFS(原始经营数据!$D$3:$D$3001,$A1997,原始经营数据!$E$3:$E$3001,"",原始经营数据!$F$3:$F$3001,$C1997,原始经营数据!$H$3:$H$3001,$D1997,原始经营数据!$K$3:$K$3001,$G1997)&gt;1,"基金整体·来源"&amp;原始经营数据!$A1998,"基金整体")))</f>
        <v/>
      </c>
      <c r="J1997" t="str">
        <f t="shared" si="468"/>
        <v/>
      </c>
      <c r="K1997" t="str">
        <f t="shared" si="469"/>
        <v/>
      </c>
      <c r="L1997" t="str">
        <f t="shared" si="470"/>
        <v/>
      </c>
      <c r="M1997">
        <f>IF($A1997="",0,IF(COUNTIF($L$2:$L1997,$L1997)=1,1,0))</f>
        <v>0</v>
      </c>
      <c r="N1997" t="str">
        <f t="shared" si="471"/>
        <v/>
      </c>
      <c r="O1997" t="str">
        <f t="shared" si="472"/>
        <v/>
      </c>
      <c r="P1997">
        <f>IF($A1997="",0,IF(COUNTIF($O$2:$O1997,$O1997)=1,1,0))</f>
        <v>0</v>
      </c>
      <c r="Q1997" t="str">
        <f>IF(AND($P1997=1,$A1997=经营数据!$B$3,$J1997=经营数据!$BA$5),COUNTIFS($P$2:$P$3000,1,$A$2:$A$3000,$A1997,$J$2:$J$3000,$J1997,$N$2:$N$3000,"&lt;"&amp;$N1997)+1,"")</f>
        <v/>
      </c>
      <c r="R1997" t="str">
        <f t="shared" si="473"/>
        <v/>
      </c>
      <c r="S1997">
        <f>IF($A1997="",0,IF(COUNTIF($R$2:$R1997,$R1997)=1,1,0))</f>
        <v>0</v>
      </c>
      <c r="T1997" t="str">
        <f t="shared" si="474"/>
        <v/>
      </c>
      <c r="U1997" t="str">
        <f>IF($A1997="","",IF($A1997=经营数据!$B$3,COUNTIFS($S$2:$S$3000,1,$A$2:$A$3000,$A1997,$T$2:$T$3000,"&lt;"&amp;$T1997)+1,""))</f>
        <v/>
      </c>
      <c r="V1997" t="str">
        <f t="shared" si="475"/>
        <v/>
      </c>
      <c r="W1997" t="str">
        <f t="shared" si="476"/>
        <v/>
      </c>
      <c r="X1997" t="str">
        <f t="shared" si="477"/>
        <v/>
      </c>
      <c r="Y1997" t="str">
        <f t="shared" si="478"/>
        <v/>
      </c>
      <c r="Z1997">
        <f>IF($A1997="",0,IF(AND($M1997=1,$A1997=经营数据!$B$3,$J1997=经营数据!$BA$5,OR($I1997=经营数据!$BA$4,COUNTIF(经营数据!$AA$9:$AA$38,$I1997)&gt;0)),1,0))</f>
        <v>0</v>
      </c>
      <c r="AA1997" t="str">
        <f t="shared" si="479"/>
        <v/>
      </c>
      <c r="AB1997" t="str">
        <f t="shared" si="480"/>
        <v/>
      </c>
      <c r="AC1997">
        <f>IF($A1997="",0,IF(COUNTIF($A$2:$A1997,$A1997)=1,1,0))</f>
        <v>0</v>
      </c>
      <c r="AD1997">
        <f t="shared" si="481"/>
        <v>29</v>
      </c>
      <c r="AE1997" t="str">
        <f t="shared" si="482"/>
        <v/>
      </c>
    </row>
    <row r="1998" spans="1:31" x14ac:dyDescent="0.4">
      <c r="A1998" t="str">
        <f>IF(原始经营数据!$D1999="","",原始经营数据!$D1999)</f>
        <v/>
      </c>
      <c r="B1998" t="str">
        <f>IF(原始经营数据!$D1999="","",T(原始经营数据!$E1999))</f>
        <v/>
      </c>
      <c r="C1998" t="str">
        <f>IF(原始经营数据!$D1999="","",原始经营数据!$F1999)</f>
        <v/>
      </c>
      <c r="D1998" t="str">
        <f>IF(原始经营数据!$D1999="","",原始经营数据!$H1999)</f>
        <v/>
      </c>
      <c r="E1998" t="str">
        <f>IF(原始经营数据!$D1999="","",原始经营数据!$I1999)</f>
        <v/>
      </c>
      <c r="F1998" t="str">
        <f>IF(原始经营数据!$D1999="","",T(原始经营数据!$J1999))</f>
        <v/>
      </c>
      <c r="G1998" t="str">
        <f>IF(原始经营数据!$D1999="","",T(原始经营数据!$K1999))</f>
        <v/>
      </c>
      <c r="H1998" t="str">
        <f>IF(原始经营数据!$D1999="","",原始经营数据!$G1999)</f>
        <v/>
      </c>
      <c r="I1998" t="str">
        <f>IF($A1998="","",IF($B1998&lt;&gt;"",$B1998,IF(COUNTIFS(原始经营数据!$D$3:$D$3001,$A1998,原始经营数据!$E$3:$E$3001,"",原始经营数据!$F$3:$F$3001,$C1998,原始经营数据!$H$3:$H$3001,$D1998,原始经营数据!$K$3:$K$3001,$G1998)&gt;1,"基金整体·来源"&amp;原始经营数据!$A1999,"基金整体")))</f>
        <v/>
      </c>
      <c r="J1998" t="str">
        <f t="shared" si="468"/>
        <v/>
      </c>
      <c r="K1998" t="str">
        <f t="shared" si="469"/>
        <v/>
      </c>
      <c r="L1998" t="str">
        <f t="shared" si="470"/>
        <v/>
      </c>
      <c r="M1998">
        <f>IF($A1998="",0,IF(COUNTIF($L$2:$L1998,$L1998)=1,1,0))</f>
        <v>0</v>
      </c>
      <c r="N1998" t="str">
        <f t="shared" si="471"/>
        <v/>
      </c>
      <c r="O1998" t="str">
        <f t="shared" si="472"/>
        <v/>
      </c>
      <c r="P1998">
        <f>IF($A1998="",0,IF(COUNTIF($O$2:$O1998,$O1998)=1,1,0))</f>
        <v>0</v>
      </c>
      <c r="Q1998" t="str">
        <f>IF(AND($P1998=1,$A1998=经营数据!$B$3,$J1998=经营数据!$BA$5),COUNTIFS($P$2:$P$3000,1,$A$2:$A$3000,$A1998,$J$2:$J$3000,$J1998,$N$2:$N$3000,"&lt;"&amp;$N1998)+1,"")</f>
        <v/>
      </c>
      <c r="R1998" t="str">
        <f t="shared" si="473"/>
        <v/>
      </c>
      <c r="S1998">
        <f>IF($A1998="",0,IF(COUNTIF($R$2:$R1998,$R1998)=1,1,0))</f>
        <v>0</v>
      </c>
      <c r="T1998" t="str">
        <f t="shared" si="474"/>
        <v/>
      </c>
      <c r="U1998" t="str">
        <f>IF($A1998="","",IF($A1998=经营数据!$B$3,COUNTIFS($S$2:$S$3000,1,$A$2:$A$3000,$A1998,$T$2:$T$3000,"&lt;"&amp;$T1998)+1,""))</f>
        <v/>
      </c>
      <c r="V1998" t="str">
        <f t="shared" si="475"/>
        <v/>
      </c>
      <c r="W1998" t="str">
        <f t="shared" si="476"/>
        <v/>
      </c>
      <c r="X1998" t="str">
        <f t="shared" si="477"/>
        <v/>
      </c>
      <c r="Y1998" t="str">
        <f t="shared" si="478"/>
        <v/>
      </c>
      <c r="Z1998">
        <f>IF($A1998="",0,IF(AND($M1998=1,$A1998=经营数据!$B$3,$J1998=经营数据!$BA$5,OR($I1998=经营数据!$BA$4,COUNTIF(经营数据!$AA$9:$AA$38,$I1998)&gt;0)),1,0))</f>
        <v>0</v>
      </c>
      <c r="AA1998" t="str">
        <f t="shared" si="479"/>
        <v/>
      </c>
      <c r="AB1998" t="str">
        <f t="shared" si="480"/>
        <v/>
      </c>
      <c r="AC1998">
        <f>IF($A1998="",0,IF(COUNTIF($A$2:$A1998,$A1998)=1,1,0))</f>
        <v>0</v>
      </c>
      <c r="AD1998">
        <f t="shared" si="481"/>
        <v>29</v>
      </c>
      <c r="AE1998" t="str">
        <f t="shared" si="482"/>
        <v/>
      </c>
    </row>
    <row r="1999" spans="1:31" x14ac:dyDescent="0.4">
      <c r="A1999" t="str">
        <f>IF(原始经营数据!$D2000="","",原始经营数据!$D2000)</f>
        <v/>
      </c>
      <c r="B1999" t="str">
        <f>IF(原始经营数据!$D2000="","",T(原始经营数据!$E2000))</f>
        <v/>
      </c>
      <c r="C1999" t="str">
        <f>IF(原始经营数据!$D2000="","",原始经营数据!$F2000)</f>
        <v/>
      </c>
      <c r="D1999" t="str">
        <f>IF(原始经营数据!$D2000="","",原始经营数据!$H2000)</f>
        <v/>
      </c>
      <c r="E1999" t="str">
        <f>IF(原始经营数据!$D2000="","",原始经营数据!$I2000)</f>
        <v/>
      </c>
      <c r="F1999" t="str">
        <f>IF(原始经营数据!$D2000="","",T(原始经营数据!$J2000))</f>
        <v/>
      </c>
      <c r="G1999" t="str">
        <f>IF(原始经营数据!$D2000="","",T(原始经营数据!$K2000))</f>
        <v/>
      </c>
      <c r="H1999" t="str">
        <f>IF(原始经营数据!$D2000="","",原始经营数据!$G2000)</f>
        <v/>
      </c>
      <c r="I1999" t="str">
        <f>IF($A1999="","",IF($B1999&lt;&gt;"",$B1999,IF(COUNTIFS(原始经营数据!$D$3:$D$3001,$A1999,原始经营数据!$E$3:$E$3001,"",原始经营数据!$F$3:$F$3001,$C1999,原始经营数据!$H$3:$H$3001,$D1999,原始经营数据!$K$3:$K$3001,$G1999)&gt;1,"基金整体·来源"&amp;原始经营数据!$A2000,"基金整体")))</f>
        <v/>
      </c>
      <c r="J1999" t="str">
        <f t="shared" si="468"/>
        <v/>
      </c>
      <c r="K1999" t="str">
        <f t="shared" si="469"/>
        <v/>
      </c>
      <c r="L1999" t="str">
        <f t="shared" si="470"/>
        <v/>
      </c>
      <c r="M1999">
        <f>IF($A1999="",0,IF(COUNTIF($L$2:$L1999,$L1999)=1,1,0))</f>
        <v>0</v>
      </c>
      <c r="N1999" t="str">
        <f t="shared" si="471"/>
        <v/>
      </c>
      <c r="O1999" t="str">
        <f t="shared" si="472"/>
        <v/>
      </c>
      <c r="P1999">
        <f>IF($A1999="",0,IF(COUNTIF($O$2:$O1999,$O1999)=1,1,0))</f>
        <v>0</v>
      </c>
      <c r="Q1999" t="str">
        <f>IF(AND($P1999=1,$A1999=经营数据!$B$3,$J1999=经营数据!$BA$5),COUNTIFS($P$2:$P$3000,1,$A$2:$A$3000,$A1999,$J$2:$J$3000,$J1999,$N$2:$N$3000,"&lt;"&amp;$N1999)+1,"")</f>
        <v/>
      </c>
      <c r="R1999" t="str">
        <f t="shared" si="473"/>
        <v/>
      </c>
      <c r="S1999">
        <f>IF($A1999="",0,IF(COUNTIF($R$2:$R1999,$R1999)=1,1,0))</f>
        <v>0</v>
      </c>
      <c r="T1999" t="str">
        <f t="shared" si="474"/>
        <v/>
      </c>
      <c r="U1999" t="str">
        <f>IF($A1999="","",IF($A1999=经营数据!$B$3,COUNTIFS($S$2:$S$3000,1,$A$2:$A$3000,$A1999,$T$2:$T$3000,"&lt;"&amp;$T1999)+1,""))</f>
        <v/>
      </c>
      <c r="V1999" t="str">
        <f t="shared" si="475"/>
        <v/>
      </c>
      <c r="W1999" t="str">
        <f t="shared" si="476"/>
        <v/>
      </c>
      <c r="X1999" t="str">
        <f t="shared" si="477"/>
        <v/>
      </c>
      <c r="Y1999" t="str">
        <f t="shared" si="478"/>
        <v/>
      </c>
      <c r="Z1999">
        <f>IF($A1999="",0,IF(AND($M1999=1,$A1999=经营数据!$B$3,$J1999=经营数据!$BA$5,OR($I1999=经营数据!$BA$4,COUNTIF(经营数据!$AA$9:$AA$38,$I1999)&gt;0)),1,0))</f>
        <v>0</v>
      </c>
      <c r="AA1999" t="str">
        <f t="shared" si="479"/>
        <v/>
      </c>
      <c r="AB1999" t="str">
        <f t="shared" si="480"/>
        <v/>
      </c>
      <c r="AC1999">
        <f>IF($A1999="",0,IF(COUNTIF($A$2:$A1999,$A1999)=1,1,0))</f>
        <v>0</v>
      </c>
      <c r="AD1999">
        <f t="shared" si="481"/>
        <v>29</v>
      </c>
      <c r="AE1999" t="str">
        <f t="shared" si="482"/>
        <v/>
      </c>
    </row>
    <row r="2000" spans="1:31" x14ac:dyDescent="0.4">
      <c r="A2000" t="str">
        <f>IF(原始经营数据!$D2001="","",原始经营数据!$D2001)</f>
        <v/>
      </c>
      <c r="B2000" t="str">
        <f>IF(原始经营数据!$D2001="","",T(原始经营数据!$E2001))</f>
        <v/>
      </c>
      <c r="C2000" t="str">
        <f>IF(原始经营数据!$D2001="","",原始经营数据!$F2001)</f>
        <v/>
      </c>
      <c r="D2000" t="str">
        <f>IF(原始经营数据!$D2001="","",原始经营数据!$H2001)</f>
        <v/>
      </c>
      <c r="E2000" t="str">
        <f>IF(原始经营数据!$D2001="","",原始经营数据!$I2001)</f>
        <v/>
      </c>
      <c r="F2000" t="str">
        <f>IF(原始经营数据!$D2001="","",T(原始经营数据!$J2001))</f>
        <v/>
      </c>
      <c r="G2000" t="str">
        <f>IF(原始经营数据!$D2001="","",T(原始经营数据!$K2001))</f>
        <v/>
      </c>
      <c r="H2000" t="str">
        <f>IF(原始经营数据!$D2001="","",原始经营数据!$G2001)</f>
        <v/>
      </c>
      <c r="I2000" t="str">
        <f>IF($A2000="","",IF($B2000&lt;&gt;"",$B2000,IF(COUNTIFS(原始经营数据!$D$3:$D$3001,$A2000,原始经营数据!$E$3:$E$3001,"",原始经营数据!$F$3:$F$3001,$C2000,原始经营数据!$H$3:$H$3001,$D2000,原始经营数据!$K$3:$K$3001,$G2000)&gt;1,"基金整体·来源"&amp;原始经营数据!$A2001,"基金整体")))</f>
        <v/>
      </c>
      <c r="J2000" t="str">
        <f t="shared" si="468"/>
        <v/>
      </c>
      <c r="K2000" t="str">
        <f t="shared" si="469"/>
        <v/>
      </c>
      <c r="L2000" t="str">
        <f t="shared" si="470"/>
        <v/>
      </c>
      <c r="M2000">
        <f>IF($A2000="",0,IF(COUNTIF($L$2:$L2000,$L2000)=1,1,0))</f>
        <v>0</v>
      </c>
      <c r="N2000" t="str">
        <f t="shared" si="471"/>
        <v/>
      </c>
      <c r="O2000" t="str">
        <f t="shared" si="472"/>
        <v/>
      </c>
      <c r="P2000">
        <f>IF($A2000="",0,IF(COUNTIF($O$2:$O2000,$O2000)=1,1,0))</f>
        <v>0</v>
      </c>
      <c r="Q2000" t="str">
        <f>IF(AND($P2000=1,$A2000=经营数据!$B$3,$J2000=经营数据!$BA$5),COUNTIFS($P$2:$P$3000,1,$A$2:$A$3000,$A2000,$J$2:$J$3000,$J2000,$N$2:$N$3000,"&lt;"&amp;$N2000)+1,"")</f>
        <v/>
      </c>
      <c r="R2000" t="str">
        <f t="shared" si="473"/>
        <v/>
      </c>
      <c r="S2000">
        <f>IF($A2000="",0,IF(COUNTIF($R$2:$R2000,$R2000)=1,1,0))</f>
        <v>0</v>
      </c>
      <c r="T2000" t="str">
        <f t="shared" si="474"/>
        <v/>
      </c>
      <c r="U2000" t="str">
        <f>IF($A2000="","",IF($A2000=经营数据!$B$3,COUNTIFS($S$2:$S$3000,1,$A$2:$A$3000,$A2000,$T$2:$T$3000,"&lt;"&amp;$T2000)+1,""))</f>
        <v/>
      </c>
      <c r="V2000" t="str">
        <f t="shared" si="475"/>
        <v/>
      </c>
      <c r="W2000" t="str">
        <f t="shared" si="476"/>
        <v/>
      </c>
      <c r="X2000" t="str">
        <f t="shared" si="477"/>
        <v/>
      </c>
      <c r="Y2000" t="str">
        <f t="shared" si="478"/>
        <v/>
      </c>
      <c r="Z2000">
        <f>IF($A2000="",0,IF(AND($M2000=1,$A2000=经营数据!$B$3,$J2000=经营数据!$BA$5,OR($I2000=经营数据!$BA$4,COUNTIF(经营数据!$AA$9:$AA$38,$I2000)&gt;0)),1,0))</f>
        <v>0</v>
      </c>
      <c r="AA2000" t="str">
        <f t="shared" si="479"/>
        <v/>
      </c>
      <c r="AB2000" t="str">
        <f t="shared" si="480"/>
        <v/>
      </c>
      <c r="AC2000">
        <f>IF($A2000="",0,IF(COUNTIF($A$2:$A2000,$A2000)=1,1,0))</f>
        <v>0</v>
      </c>
      <c r="AD2000">
        <f t="shared" si="481"/>
        <v>29</v>
      </c>
      <c r="AE2000" t="str">
        <f t="shared" si="482"/>
        <v/>
      </c>
    </row>
    <row r="2001" spans="1:31" x14ac:dyDescent="0.4">
      <c r="A2001" t="str">
        <f>IF(原始经营数据!$D2002="","",原始经营数据!$D2002)</f>
        <v/>
      </c>
      <c r="B2001" t="str">
        <f>IF(原始经营数据!$D2002="","",T(原始经营数据!$E2002))</f>
        <v/>
      </c>
      <c r="C2001" t="str">
        <f>IF(原始经营数据!$D2002="","",原始经营数据!$F2002)</f>
        <v/>
      </c>
      <c r="D2001" t="str">
        <f>IF(原始经营数据!$D2002="","",原始经营数据!$H2002)</f>
        <v/>
      </c>
      <c r="E2001" t="str">
        <f>IF(原始经营数据!$D2002="","",原始经营数据!$I2002)</f>
        <v/>
      </c>
      <c r="F2001" t="str">
        <f>IF(原始经营数据!$D2002="","",T(原始经营数据!$J2002))</f>
        <v/>
      </c>
      <c r="G2001" t="str">
        <f>IF(原始经营数据!$D2002="","",T(原始经营数据!$K2002))</f>
        <v/>
      </c>
      <c r="H2001" t="str">
        <f>IF(原始经营数据!$D2002="","",原始经营数据!$G2002)</f>
        <v/>
      </c>
      <c r="I2001" t="str">
        <f>IF($A2001="","",IF($B2001&lt;&gt;"",$B2001,IF(COUNTIFS(原始经营数据!$D$3:$D$3001,$A2001,原始经营数据!$E$3:$E$3001,"",原始经营数据!$F$3:$F$3001,$C2001,原始经营数据!$H$3:$H$3001,$D2001,原始经营数据!$K$3:$K$3001,$G2001)&gt;1,"基金整体·来源"&amp;原始经营数据!$A2002,"基金整体")))</f>
        <v/>
      </c>
      <c r="J2001" t="str">
        <f t="shared" si="468"/>
        <v/>
      </c>
      <c r="K2001" t="str">
        <f t="shared" si="469"/>
        <v/>
      </c>
      <c r="L2001" t="str">
        <f t="shared" si="470"/>
        <v/>
      </c>
      <c r="M2001">
        <f>IF($A2001="",0,IF(COUNTIF($L$2:$L2001,$L2001)=1,1,0))</f>
        <v>0</v>
      </c>
      <c r="N2001" t="str">
        <f t="shared" si="471"/>
        <v/>
      </c>
      <c r="O2001" t="str">
        <f t="shared" si="472"/>
        <v/>
      </c>
      <c r="P2001">
        <f>IF($A2001="",0,IF(COUNTIF($O$2:$O2001,$O2001)=1,1,0))</f>
        <v>0</v>
      </c>
      <c r="Q2001" t="str">
        <f>IF(AND($P2001=1,$A2001=经营数据!$B$3,$J2001=经营数据!$BA$5),COUNTIFS($P$2:$P$3000,1,$A$2:$A$3000,$A2001,$J$2:$J$3000,$J2001,$N$2:$N$3000,"&lt;"&amp;$N2001)+1,"")</f>
        <v/>
      </c>
      <c r="R2001" t="str">
        <f t="shared" si="473"/>
        <v/>
      </c>
      <c r="S2001">
        <f>IF($A2001="",0,IF(COUNTIF($R$2:$R2001,$R2001)=1,1,0))</f>
        <v>0</v>
      </c>
      <c r="T2001" t="str">
        <f t="shared" si="474"/>
        <v/>
      </c>
      <c r="U2001" t="str">
        <f>IF($A2001="","",IF($A2001=经营数据!$B$3,COUNTIFS($S$2:$S$3000,1,$A$2:$A$3000,$A2001,$T$2:$T$3000,"&lt;"&amp;$T2001)+1,""))</f>
        <v/>
      </c>
      <c r="V2001" t="str">
        <f t="shared" si="475"/>
        <v/>
      </c>
      <c r="W2001" t="str">
        <f t="shared" si="476"/>
        <v/>
      </c>
      <c r="X2001" t="str">
        <f t="shared" si="477"/>
        <v/>
      </c>
      <c r="Y2001" t="str">
        <f t="shared" si="478"/>
        <v/>
      </c>
      <c r="Z2001">
        <f>IF($A2001="",0,IF(AND($M2001=1,$A2001=经营数据!$B$3,$J2001=经营数据!$BA$5,OR($I2001=经营数据!$BA$4,COUNTIF(经营数据!$AA$9:$AA$38,$I2001)&gt;0)),1,0))</f>
        <v>0</v>
      </c>
      <c r="AA2001" t="str">
        <f t="shared" si="479"/>
        <v/>
      </c>
      <c r="AB2001" t="str">
        <f t="shared" si="480"/>
        <v/>
      </c>
      <c r="AC2001">
        <f>IF($A2001="",0,IF(COUNTIF($A$2:$A2001,$A2001)=1,1,0))</f>
        <v>0</v>
      </c>
      <c r="AD2001">
        <f t="shared" si="481"/>
        <v>29</v>
      </c>
      <c r="AE2001" t="str">
        <f t="shared" si="482"/>
        <v/>
      </c>
    </row>
    <row r="2002" spans="1:31" x14ac:dyDescent="0.4">
      <c r="A2002" t="str">
        <f>IF(原始经营数据!$D2003="","",原始经营数据!$D2003)</f>
        <v/>
      </c>
      <c r="B2002" t="str">
        <f>IF(原始经营数据!$D2003="","",T(原始经营数据!$E2003))</f>
        <v/>
      </c>
      <c r="C2002" t="str">
        <f>IF(原始经营数据!$D2003="","",原始经营数据!$F2003)</f>
        <v/>
      </c>
      <c r="D2002" t="str">
        <f>IF(原始经营数据!$D2003="","",原始经营数据!$H2003)</f>
        <v/>
      </c>
      <c r="E2002" t="str">
        <f>IF(原始经营数据!$D2003="","",原始经营数据!$I2003)</f>
        <v/>
      </c>
      <c r="F2002" t="str">
        <f>IF(原始经营数据!$D2003="","",T(原始经营数据!$J2003))</f>
        <v/>
      </c>
      <c r="G2002" t="str">
        <f>IF(原始经营数据!$D2003="","",T(原始经营数据!$K2003))</f>
        <v/>
      </c>
      <c r="H2002" t="str">
        <f>IF(原始经营数据!$D2003="","",原始经营数据!$G2003)</f>
        <v/>
      </c>
      <c r="I2002" t="str">
        <f>IF($A2002="","",IF($B2002&lt;&gt;"",$B2002,IF(COUNTIFS(原始经营数据!$D$3:$D$3001,$A2002,原始经营数据!$E$3:$E$3001,"",原始经营数据!$F$3:$F$3001,$C2002,原始经营数据!$H$3:$H$3001,$D2002,原始经营数据!$K$3:$K$3001,$G2002)&gt;1,"基金整体·来源"&amp;原始经营数据!$A2003,"基金整体")))</f>
        <v/>
      </c>
      <c r="J2002" t="str">
        <f t="shared" si="468"/>
        <v/>
      </c>
      <c r="K2002" t="str">
        <f t="shared" si="469"/>
        <v/>
      </c>
      <c r="L2002" t="str">
        <f t="shared" si="470"/>
        <v/>
      </c>
      <c r="M2002">
        <f>IF($A2002="",0,IF(COUNTIF($L$2:$L2002,$L2002)=1,1,0))</f>
        <v>0</v>
      </c>
      <c r="N2002" t="str">
        <f t="shared" si="471"/>
        <v/>
      </c>
      <c r="O2002" t="str">
        <f t="shared" si="472"/>
        <v/>
      </c>
      <c r="P2002">
        <f>IF($A2002="",0,IF(COUNTIF($O$2:$O2002,$O2002)=1,1,0))</f>
        <v>0</v>
      </c>
      <c r="Q2002" t="str">
        <f>IF(AND($P2002=1,$A2002=经营数据!$B$3,$J2002=经营数据!$BA$5),COUNTIFS($P$2:$P$3000,1,$A$2:$A$3000,$A2002,$J$2:$J$3000,$J2002,$N$2:$N$3000,"&lt;"&amp;$N2002)+1,"")</f>
        <v/>
      </c>
      <c r="R2002" t="str">
        <f t="shared" si="473"/>
        <v/>
      </c>
      <c r="S2002">
        <f>IF($A2002="",0,IF(COUNTIF($R$2:$R2002,$R2002)=1,1,0))</f>
        <v>0</v>
      </c>
      <c r="T2002" t="str">
        <f t="shared" si="474"/>
        <v/>
      </c>
      <c r="U2002" t="str">
        <f>IF($A2002="","",IF($A2002=经营数据!$B$3,COUNTIFS($S$2:$S$3000,1,$A$2:$A$3000,$A2002,$T$2:$T$3000,"&lt;"&amp;$T2002)+1,""))</f>
        <v/>
      </c>
      <c r="V2002" t="str">
        <f t="shared" si="475"/>
        <v/>
      </c>
      <c r="W2002" t="str">
        <f t="shared" si="476"/>
        <v/>
      </c>
      <c r="X2002" t="str">
        <f t="shared" si="477"/>
        <v/>
      </c>
      <c r="Y2002" t="str">
        <f t="shared" si="478"/>
        <v/>
      </c>
      <c r="Z2002">
        <f>IF($A2002="",0,IF(AND($M2002=1,$A2002=经营数据!$B$3,$J2002=经营数据!$BA$5,OR($I2002=经营数据!$BA$4,COUNTIF(经营数据!$AA$9:$AA$38,$I2002)&gt;0)),1,0))</f>
        <v>0</v>
      </c>
      <c r="AA2002" t="str">
        <f t="shared" si="479"/>
        <v/>
      </c>
      <c r="AB2002" t="str">
        <f t="shared" si="480"/>
        <v/>
      </c>
      <c r="AC2002">
        <f>IF($A2002="",0,IF(COUNTIF($A$2:$A2002,$A2002)=1,1,0))</f>
        <v>0</v>
      </c>
      <c r="AD2002">
        <f t="shared" si="481"/>
        <v>29</v>
      </c>
      <c r="AE2002" t="str">
        <f t="shared" si="482"/>
        <v/>
      </c>
    </row>
    <row r="2003" spans="1:31" x14ac:dyDescent="0.4">
      <c r="A2003" t="str">
        <f>IF(原始经营数据!$D2004="","",原始经营数据!$D2004)</f>
        <v/>
      </c>
      <c r="B2003" t="str">
        <f>IF(原始经营数据!$D2004="","",T(原始经营数据!$E2004))</f>
        <v/>
      </c>
      <c r="C2003" t="str">
        <f>IF(原始经营数据!$D2004="","",原始经营数据!$F2004)</f>
        <v/>
      </c>
      <c r="D2003" t="str">
        <f>IF(原始经营数据!$D2004="","",原始经营数据!$H2004)</f>
        <v/>
      </c>
      <c r="E2003" t="str">
        <f>IF(原始经营数据!$D2004="","",原始经营数据!$I2004)</f>
        <v/>
      </c>
      <c r="F2003" t="str">
        <f>IF(原始经营数据!$D2004="","",T(原始经营数据!$J2004))</f>
        <v/>
      </c>
      <c r="G2003" t="str">
        <f>IF(原始经营数据!$D2004="","",T(原始经营数据!$K2004))</f>
        <v/>
      </c>
      <c r="H2003" t="str">
        <f>IF(原始经营数据!$D2004="","",原始经营数据!$G2004)</f>
        <v/>
      </c>
      <c r="I2003" t="str">
        <f>IF($A2003="","",IF($B2003&lt;&gt;"",$B2003,IF(COUNTIFS(原始经营数据!$D$3:$D$3001,$A2003,原始经营数据!$E$3:$E$3001,"",原始经营数据!$F$3:$F$3001,$C2003,原始经营数据!$H$3:$H$3001,$D2003,原始经营数据!$K$3:$K$3001,$G2003)&gt;1,"基金整体·来源"&amp;原始经营数据!$A2004,"基金整体")))</f>
        <v/>
      </c>
      <c r="J2003" t="str">
        <f t="shared" si="468"/>
        <v/>
      </c>
      <c r="K2003" t="str">
        <f t="shared" si="469"/>
        <v/>
      </c>
      <c r="L2003" t="str">
        <f t="shared" si="470"/>
        <v/>
      </c>
      <c r="M2003">
        <f>IF($A2003="",0,IF(COUNTIF($L$2:$L2003,$L2003)=1,1,0))</f>
        <v>0</v>
      </c>
      <c r="N2003" t="str">
        <f t="shared" si="471"/>
        <v/>
      </c>
      <c r="O2003" t="str">
        <f t="shared" si="472"/>
        <v/>
      </c>
      <c r="P2003">
        <f>IF($A2003="",0,IF(COUNTIF($O$2:$O2003,$O2003)=1,1,0))</f>
        <v>0</v>
      </c>
      <c r="Q2003" t="str">
        <f>IF(AND($P2003=1,$A2003=经营数据!$B$3,$J2003=经营数据!$BA$5),COUNTIFS($P$2:$P$3000,1,$A$2:$A$3000,$A2003,$J$2:$J$3000,$J2003,$N$2:$N$3000,"&lt;"&amp;$N2003)+1,"")</f>
        <v/>
      </c>
      <c r="R2003" t="str">
        <f t="shared" si="473"/>
        <v/>
      </c>
      <c r="S2003">
        <f>IF($A2003="",0,IF(COUNTIF($R$2:$R2003,$R2003)=1,1,0))</f>
        <v>0</v>
      </c>
      <c r="T2003" t="str">
        <f t="shared" si="474"/>
        <v/>
      </c>
      <c r="U2003" t="str">
        <f>IF($A2003="","",IF($A2003=经营数据!$B$3,COUNTIFS($S$2:$S$3000,1,$A$2:$A$3000,$A2003,$T$2:$T$3000,"&lt;"&amp;$T2003)+1,""))</f>
        <v/>
      </c>
      <c r="V2003" t="str">
        <f t="shared" si="475"/>
        <v/>
      </c>
      <c r="W2003" t="str">
        <f t="shared" si="476"/>
        <v/>
      </c>
      <c r="X2003" t="str">
        <f t="shared" si="477"/>
        <v/>
      </c>
      <c r="Y2003" t="str">
        <f t="shared" si="478"/>
        <v/>
      </c>
      <c r="Z2003">
        <f>IF($A2003="",0,IF(AND($M2003=1,$A2003=经营数据!$B$3,$J2003=经营数据!$BA$5,OR($I2003=经营数据!$BA$4,COUNTIF(经营数据!$AA$9:$AA$38,$I2003)&gt;0)),1,0))</f>
        <v>0</v>
      </c>
      <c r="AA2003" t="str">
        <f t="shared" si="479"/>
        <v/>
      </c>
      <c r="AB2003" t="str">
        <f t="shared" si="480"/>
        <v/>
      </c>
      <c r="AC2003">
        <f>IF($A2003="",0,IF(COUNTIF($A$2:$A2003,$A2003)=1,1,0))</f>
        <v>0</v>
      </c>
      <c r="AD2003">
        <f t="shared" si="481"/>
        <v>29</v>
      </c>
      <c r="AE2003" t="str">
        <f t="shared" si="482"/>
        <v/>
      </c>
    </row>
    <row r="2004" spans="1:31" x14ac:dyDescent="0.4">
      <c r="A2004" t="str">
        <f>IF(原始经营数据!$D2005="","",原始经营数据!$D2005)</f>
        <v/>
      </c>
      <c r="B2004" t="str">
        <f>IF(原始经营数据!$D2005="","",T(原始经营数据!$E2005))</f>
        <v/>
      </c>
      <c r="C2004" t="str">
        <f>IF(原始经营数据!$D2005="","",原始经营数据!$F2005)</f>
        <v/>
      </c>
      <c r="D2004" t="str">
        <f>IF(原始经营数据!$D2005="","",原始经营数据!$H2005)</f>
        <v/>
      </c>
      <c r="E2004" t="str">
        <f>IF(原始经营数据!$D2005="","",原始经营数据!$I2005)</f>
        <v/>
      </c>
      <c r="F2004" t="str">
        <f>IF(原始经营数据!$D2005="","",T(原始经营数据!$J2005))</f>
        <v/>
      </c>
      <c r="G2004" t="str">
        <f>IF(原始经营数据!$D2005="","",T(原始经营数据!$K2005))</f>
        <v/>
      </c>
      <c r="H2004" t="str">
        <f>IF(原始经营数据!$D2005="","",原始经营数据!$G2005)</f>
        <v/>
      </c>
      <c r="I2004" t="str">
        <f>IF($A2004="","",IF($B2004&lt;&gt;"",$B2004,IF(COUNTIFS(原始经营数据!$D$3:$D$3001,$A2004,原始经营数据!$E$3:$E$3001,"",原始经营数据!$F$3:$F$3001,$C2004,原始经营数据!$H$3:$H$3001,$D2004,原始经营数据!$K$3:$K$3001,$G2004)&gt;1,"基金整体·来源"&amp;原始经营数据!$A2005,"基金整体")))</f>
        <v/>
      </c>
      <c r="J2004" t="str">
        <f t="shared" si="468"/>
        <v/>
      </c>
      <c r="K2004" t="str">
        <f t="shared" si="469"/>
        <v/>
      </c>
      <c r="L2004" t="str">
        <f t="shared" si="470"/>
        <v/>
      </c>
      <c r="M2004">
        <f>IF($A2004="",0,IF(COUNTIF($L$2:$L2004,$L2004)=1,1,0))</f>
        <v>0</v>
      </c>
      <c r="N2004" t="str">
        <f t="shared" si="471"/>
        <v/>
      </c>
      <c r="O2004" t="str">
        <f t="shared" si="472"/>
        <v/>
      </c>
      <c r="P2004">
        <f>IF($A2004="",0,IF(COUNTIF($O$2:$O2004,$O2004)=1,1,0))</f>
        <v>0</v>
      </c>
      <c r="Q2004" t="str">
        <f>IF(AND($P2004=1,$A2004=经营数据!$B$3,$J2004=经营数据!$BA$5),COUNTIFS($P$2:$P$3000,1,$A$2:$A$3000,$A2004,$J$2:$J$3000,$J2004,$N$2:$N$3000,"&lt;"&amp;$N2004)+1,"")</f>
        <v/>
      </c>
      <c r="R2004" t="str">
        <f t="shared" si="473"/>
        <v/>
      </c>
      <c r="S2004">
        <f>IF($A2004="",0,IF(COUNTIF($R$2:$R2004,$R2004)=1,1,0))</f>
        <v>0</v>
      </c>
      <c r="T2004" t="str">
        <f t="shared" si="474"/>
        <v/>
      </c>
      <c r="U2004" t="str">
        <f>IF($A2004="","",IF($A2004=经营数据!$B$3,COUNTIFS($S$2:$S$3000,1,$A$2:$A$3000,$A2004,$T$2:$T$3000,"&lt;"&amp;$T2004)+1,""))</f>
        <v/>
      </c>
      <c r="V2004" t="str">
        <f t="shared" si="475"/>
        <v/>
      </c>
      <c r="W2004" t="str">
        <f t="shared" si="476"/>
        <v/>
      </c>
      <c r="X2004" t="str">
        <f t="shared" si="477"/>
        <v/>
      </c>
      <c r="Y2004" t="str">
        <f t="shared" si="478"/>
        <v/>
      </c>
      <c r="Z2004">
        <f>IF($A2004="",0,IF(AND($M2004=1,$A2004=经营数据!$B$3,$J2004=经营数据!$BA$5,OR($I2004=经营数据!$BA$4,COUNTIF(经营数据!$AA$9:$AA$38,$I2004)&gt;0)),1,0))</f>
        <v>0</v>
      </c>
      <c r="AA2004" t="str">
        <f t="shared" si="479"/>
        <v/>
      </c>
      <c r="AB2004" t="str">
        <f t="shared" si="480"/>
        <v/>
      </c>
      <c r="AC2004">
        <f>IF($A2004="",0,IF(COUNTIF($A$2:$A2004,$A2004)=1,1,0))</f>
        <v>0</v>
      </c>
      <c r="AD2004">
        <f t="shared" si="481"/>
        <v>29</v>
      </c>
      <c r="AE2004" t="str">
        <f t="shared" si="482"/>
        <v/>
      </c>
    </row>
    <row r="2005" spans="1:31" x14ac:dyDescent="0.4">
      <c r="A2005" t="str">
        <f>IF(原始经营数据!$D2006="","",原始经营数据!$D2006)</f>
        <v/>
      </c>
      <c r="B2005" t="str">
        <f>IF(原始经营数据!$D2006="","",T(原始经营数据!$E2006))</f>
        <v/>
      </c>
      <c r="C2005" t="str">
        <f>IF(原始经营数据!$D2006="","",原始经营数据!$F2006)</f>
        <v/>
      </c>
      <c r="D2005" t="str">
        <f>IF(原始经营数据!$D2006="","",原始经营数据!$H2006)</f>
        <v/>
      </c>
      <c r="E2005" t="str">
        <f>IF(原始经营数据!$D2006="","",原始经营数据!$I2006)</f>
        <v/>
      </c>
      <c r="F2005" t="str">
        <f>IF(原始经营数据!$D2006="","",T(原始经营数据!$J2006))</f>
        <v/>
      </c>
      <c r="G2005" t="str">
        <f>IF(原始经营数据!$D2006="","",T(原始经营数据!$K2006))</f>
        <v/>
      </c>
      <c r="H2005" t="str">
        <f>IF(原始经营数据!$D2006="","",原始经营数据!$G2006)</f>
        <v/>
      </c>
      <c r="I2005" t="str">
        <f>IF($A2005="","",IF($B2005&lt;&gt;"",$B2005,IF(COUNTIFS(原始经营数据!$D$3:$D$3001,$A2005,原始经营数据!$E$3:$E$3001,"",原始经营数据!$F$3:$F$3001,$C2005,原始经营数据!$H$3:$H$3001,$D2005,原始经营数据!$K$3:$K$3001,$G2005)&gt;1,"基金整体·来源"&amp;原始经营数据!$A2006,"基金整体")))</f>
        <v/>
      </c>
      <c r="J2005" t="str">
        <f t="shared" si="468"/>
        <v/>
      </c>
      <c r="K2005" t="str">
        <f t="shared" si="469"/>
        <v/>
      </c>
      <c r="L2005" t="str">
        <f t="shared" si="470"/>
        <v/>
      </c>
      <c r="M2005">
        <f>IF($A2005="",0,IF(COUNTIF($L$2:$L2005,$L2005)=1,1,0))</f>
        <v>0</v>
      </c>
      <c r="N2005" t="str">
        <f t="shared" si="471"/>
        <v/>
      </c>
      <c r="O2005" t="str">
        <f t="shared" si="472"/>
        <v/>
      </c>
      <c r="P2005">
        <f>IF($A2005="",0,IF(COUNTIF($O$2:$O2005,$O2005)=1,1,0))</f>
        <v>0</v>
      </c>
      <c r="Q2005" t="str">
        <f>IF(AND($P2005=1,$A2005=经营数据!$B$3,$J2005=经营数据!$BA$5),COUNTIFS($P$2:$P$3000,1,$A$2:$A$3000,$A2005,$J$2:$J$3000,$J2005,$N$2:$N$3000,"&lt;"&amp;$N2005)+1,"")</f>
        <v/>
      </c>
      <c r="R2005" t="str">
        <f t="shared" si="473"/>
        <v/>
      </c>
      <c r="S2005">
        <f>IF($A2005="",0,IF(COUNTIF($R$2:$R2005,$R2005)=1,1,0))</f>
        <v>0</v>
      </c>
      <c r="T2005" t="str">
        <f t="shared" si="474"/>
        <v/>
      </c>
      <c r="U2005" t="str">
        <f>IF($A2005="","",IF($A2005=经营数据!$B$3,COUNTIFS($S$2:$S$3000,1,$A$2:$A$3000,$A2005,$T$2:$T$3000,"&lt;"&amp;$T2005)+1,""))</f>
        <v/>
      </c>
      <c r="V2005" t="str">
        <f t="shared" si="475"/>
        <v/>
      </c>
      <c r="W2005" t="str">
        <f t="shared" si="476"/>
        <v/>
      </c>
      <c r="X2005" t="str">
        <f t="shared" si="477"/>
        <v/>
      </c>
      <c r="Y2005" t="str">
        <f t="shared" si="478"/>
        <v/>
      </c>
      <c r="Z2005">
        <f>IF($A2005="",0,IF(AND($M2005=1,$A2005=经营数据!$B$3,$J2005=经营数据!$BA$5,OR($I2005=经营数据!$BA$4,COUNTIF(经营数据!$AA$9:$AA$38,$I2005)&gt;0)),1,0))</f>
        <v>0</v>
      </c>
      <c r="AA2005" t="str">
        <f t="shared" si="479"/>
        <v/>
      </c>
      <c r="AB2005" t="str">
        <f t="shared" si="480"/>
        <v/>
      </c>
      <c r="AC2005">
        <f>IF($A2005="",0,IF(COUNTIF($A$2:$A2005,$A2005)=1,1,0))</f>
        <v>0</v>
      </c>
      <c r="AD2005">
        <f t="shared" si="481"/>
        <v>29</v>
      </c>
      <c r="AE2005" t="str">
        <f t="shared" si="482"/>
        <v/>
      </c>
    </row>
    <row r="2006" spans="1:31" x14ac:dyDescent="0.4">
      <c r="A2006" t="str">
        <f>IF(原始经营数据!$D2007="","",原始经营数据!$D2007)</f>
        <v/>
      </c>
      <c r="B2006" t="str">
        <f>IF(原始经营数据!$D2007="","",T(原始经营数据!$E2007))</f>
        <v/>
      </c>
      <c r="C2006" t="str">
        <f>IF(原始经营数据!$D2007="","",原始经营数据!$F2007)</f>
        <v/>
      </c>
      <c r="D2006" t="str">
        <f>IF(原始经营数据!$D2007="","",原始经营数据!$H2007)</f>
        <v/>
      </c>
      <c r="E2006" t="str">
        <f>IF(原始经营数据!$D2007="","",原始经营数据!$I2007)</f>
        <v/>
      </c>
      <c r="F2006" t="str">
        <f>IF(原始经营数据!$D2007="","",T(原始经营数据!$J2007))</f>
        <v/>
      </c>
      <c r="G2006" t="str">
        <f>IF(原始经营数据!$D2007="","",T(原始经营数据!$K2007))</f>
        <v/>
      </c>
      <c r="H2006" t="str">
        <f>IF(原始经营数据!$D2007="","",原始经营数据!$G2007)</f>
        <v/>
      </c>
      <c r="I2006" t="str">
        <f>IF($A2006="","",IF($B2006&lt;&gt;"",$B2006,IF(COUNTIFS(原始经营数据!$D$3:$D$3001,$A2006,原始经营数据!$E$3:$E$3001,"",原始经营数据!$F$3:$F$3001,$C2006,原始经营数据!$H$3:$H$3001,$D2006,原始经营数据!$K$3:$K$3001,$G2006)&gt;1,"基金整体·来源"&amp;原始经营数据!$A2007,"基金整体")))</f>
        <v/>
      </c>
      <c r="J2006" t="str">
        <f t="shared" si="468"/>
        <v/>
      </c>
      <c r="K2006" t="str">
        <f t="shared" si="469"/>
        <v/>
      </c>
      <c r="L2006" t="str">
        <f t="shared" si="470"/>
        <v/>
      </c>
      <c r="M2006">
        <f>IF($A2006="",0,IF(COUNTIF($L$2:$L2006,$L2006)=1,1,0))</f>
        <v>0</v>
      </c>
      <c r="N2006" t="str">
        <f t="shared" si="471"/>
        <v/>
      </c>
      <c r="O2006" t="str">
        <f t="shared" si="472"/>
        <v/>
      </c>
      <c r="P2006">
        <f>IF($A2006="",0,IF(COUNTIF($O$2:$O2006,$O2006)=1,1,0))</f>
        <v>0</v>
      </c>
      <c r="Q2006" t="str">
        <f>IF(AND($P2006=1,$A2006=经营数据!$B$3,$J2006=经营数据!$BA$5),COUNTIFS($P$2:$P$3000,1,$A$2:$A$3000,$A2006,$J$2:$J$3000,$J2006,$N$2:$N$3000,"&lt;"&amp;$N2006)+1,"")</f>
        <v/>
      </c>
      <c r="R2006" t="str">
        <f t="shared" si="473"/>
        <v/>
      </c>
      <c r="S2006">
        <f>IF($A2006="",0,IF(COUNTIF($R$2:$R2006,$R2006)=1,1,0))</f>
        <v>0</v>
      </c>
      <c r="T2006" t="str">
        <f t="shared" si="474"/>
        <v/>
      </c>
      <c r="U2006" t="str">
        <f>IF($A2006="","",IF($A2006=经营数据!$B$3,COUNTIFS($S$2:$S$3000,1,$A$2:$A$3000,$A2006,$T$2:$T$3000,"&lt;"&amp;$T2006)+1,""))</f>
        <v/>
      </c>
      <c r="V2006" t="str">
        <f t="shared" si="475"/>
        <v/>
      </c>
      <c r="W2006" t="str">
        <f t="shared" si="476"/>
        <v/>
      </c>
      <c r="X2006" t="str">
        <f t="shared" si="477"/>
        <v/>
      </c>
      <c r="Y2006" t="str">
        <f t="shared" si="478"/>
        <v/>
      </c>
      <c r="Z2006">
        <f>IF($A2006="",0,IF(AND($M2006=1,$A2006=经营数据!$B$3,$J2006=经营数据!$BA$5,OR($I2006=经营数据!$BA$4,COUNTIF(经营数据!$AA$9:$AA$38,$I2006)&gt;0)),1,0))</f>
        <v>0</v>
      </c>
      <c r="AA2006" t="str">
        <f t="shared" si="479"/>
        <v/>
      </c>
      <c r="AB2006" t="str">
        <f t="shared" si="480"/>
        <v/>
      </c>
      <c r="AC2006">
        <f>IF($A2006="",0,IF(COUNTIF($A$2:$A2006,$A2006)=1,1,0))</f>
        <v>0</v>
      </c>
      <c r="AD2006">
        <f t="shared" si="481"/>
        <v>29</v>
      </c>
      <c r="AE2006" t="str">
        <f t="shared" si="482"/>
        <v/>
      </c>
    </row>
    <row r="2007" spans="1:31" x14ac:dyDescent="0.4">
      <c r="A2007" t="str">
        <f>IF(原始经营数据!$D2008="","",原始经营数据!$D2008)</f>
        <v/>
      </c>
      <c r="B2007" t="str">
        <f>IF(原始经营数据!$D2008="","",T(原始经营数据!$E2008))</f>
        <v/>
      </c>
      <c r="C2007" t="str">
        <f>IF(原始经营数据!$D2008="","",原始经营数据!$F2008)</f>
        <v/>
      </c>
      <c r="D2007" t="str">
        <f>IF(原始经营数据!$D2008="","",原始经营数据!$H2008)</f>
        <v/>
      </c>
      <c r="E2007" t="str">
        <f>IF(原始经营数据!$D2008="","",原始经营数据!$I2008)</f>
        <v/>
      </c>
      <c r="F2007" t="str">
        <f>IF(原始经营数据!$D2008="","",T(原始经营数据!$J2008))</f>
        <v/>
      </c>
      <c r="G2007" t="str">
        <f>IF(原始经营数据!$D2008="","",T(原始经营数据!$K2008))</f>
        <v/>
      </c>
      <c r="H2007" t="str">
        <f>IF(原始经营数据!$D2008="","",原始经营数据!$G2008)</f>
        <v/>
      </c>
      <c r="I2007" t="str">
        <f>IF($A2007="","",IF($B2007&lt;&gt;"",$B2007,IF(COUNTIFS(原始经营数据!$D$3:$D$3001,$A2007,原始经营数据!$E$3:$E$3001,"",原始经营数据!$F$3:$F$3001,$C2007,原始经营数据!$H$3:$H$3001,$D2007,原始经营数据!$K$3:$K$3001,$G2007)&gt;1,"基金整体·来源"&amp;原始经营数据!$A2008,"基金整体")))</f>
        <v/>
      </c>
      <c r="J2007" t="str">
        <f t="shared" si="468"/>
        <v/>
      </c>
      <c r="K2007" t="str">
        <f t="shared" si="469"/>
        <v/>
      </c>
      <c r="L2007" t="str">
        <f t="shared" si="470"/>
        <v/>
      </c>
      <c r="M2007">
        <f>IF($A2007="",0,IF(COUNTIF($L$2:$L2007,$L2007)=1,1,0))</f>
        <v>0</v>
      </c>
      <c r="N2007" t="str">
        <f t="shared" si="471"/>
        <v/>
      </c>
      <c r="O2007" t="str">
        <f t="shared" si="472"/>
        <v/>
      </c>
      <c r="P2007">
        <f>IF($A2007="",0,IF(COUNTIF($O$2:$O2007,$O2007)=1,1,0))</f>
        <v>0</v>
      </c>
      <c r="Q2007" t="str">
        <f>IF(AND($P2007=1,$A2007=经营数据!$B$3,$J2007=经营数据!$BA$5),COUNTIFS($P$2:$P$3000,1,$A$2:$A$3000,$A2007,$J$2:$J$3000,$J2007,$N$2:$N$3000,"&lt;"&amp;$N2007)+1,"")</f>
        <v/>
      </c>
      <c r="R2007" t="str">
        <f t="shared" si="473"/>
        <v/>
      </c>
      <c r="S2007">
        <f>IF($A2007="",0,IF(COUNTIF($R$2:$R2007,$R2007)=1,1,0))</f>
        <v>0</v>
      </c>
      <c r="T2007" t="str">
        <f t="shared" si="474"/>
        <v/>
      </c>
      <c r="U2007" t="str">
        <f>IF($A2007="","",IF($A2007=经营数据!$B$3,COUNTIFS($S$2:$S$3000,1,$A$2:$A$3000,$A2007,$T$2:$T$3000,"&lt;"&amp;$T2007)+1,""))</f>
        <v/>
      </c>
      <c r="V2007" t="str">
        <f t="shared" si="475"/>
        <v/>
      </c>
      <c r="W2007" t="str">
        <f t="shared" si="476"/>
        <v/>
      </c>
      <c r="X2007" t="str">
        <f t="shared" si="477"/>
        <v/>
      </c>
      <c r="Y2007" t="str">
        <f t="shared" si="478"/>
        <v/>
      </c>
      <c r="Z2007">
        <f>IF($A2007="",0,IF(AND($M2007=1,$A2007=经营数据!$B$3,$J2007=经营数据!$BA$5,OR($I2007=经营数据!$BA$4,COUNTIF(经营数据!$AA$9:$AA$38,$I2007)&gt;0)),1,0))</f>
        <v>0</v>
      </c>
      <c r="AA2007" t="str">
        <f t="shared" si="479"/>
        <v/>
      </c>
      <c r="AB2007" t="str">
        <f t="shared" si="480"/>
        <v/>
      </c>
      <c r="AC2007">
        <f>IF($A2007="",0,IF(COUNTIF($A$2:$A2007,$A2007)=1,1,0))</f>
        <v>0</v>
      </c>
      <c r="AD2007">
        <f t="shared" si="481"/>
        <v>29</v>
      </c>
      <c r="AE2007" t="str">
        <f t="shared" si="482"/>
        <v/>
      </c>
    </row>
    <row r="2008" spans="1:31" x14ac:dyDescent="0.4">
      <c r="A2008" t="str">
        <f>IF(原始经营数据!$D2009="","",原始经营数据!$D2009)</f>
        <v/>
      </c>
      <c r="B2008" t="str">
        <f>IF(原始经营数据!$D2009="","",T(原始经营数据!$E2009))</f>
        <v/>
      </c>
      <c r="C2008" t="str">
        <f>IF(原始经营数据!$D2009="","",原始经营数据!$F2009)</f>
        <v/>
      </c>
      <c r="D2008" t="str">
        <f>IF(原始经营数据!$D2009="","",原始经营数据!$H2009)</f>
        <v/>
      </c>
      <c r="E2008" t="str">
        <f>IF(原始经营数据!$D2009="","",原始经营数据!$I2009)</f>
        <v/>
      </c>
      <c r="F2008" t="str">
        <f>IF(原始经营数据!$D2009="","",T(原始经营数据!$J2009))</f>
        <v/>
      </c>
      <c r="G2008" t="str">
        <f>IF(原始经营数据!$D2009="","",T(原始经营数据!$K2009))</f>
        <v/>
      </c>
      <c r="H2008" t="str">
        <f>IF(原始经营数据!$D2009="","",原始经营数据!$G2009)</f>
        <v/>
      </c>
      <c r="I2008" t="str">
        <f>IF($A2008="","",IF($B2008&lt;&gt;"",$B2008,IF(COUNTIFS(原始经营数据!$D$3:$D$3001,$A2008,原始经营数据!$E$3:$E$3001,"",原始经营数据!$F$3:$F$3001,$C2008,原始经营数据!$H$3:$H$3001,$D2008,原始经营数据!$K$3:$K$3001,$G2008)&gt;1,"基金整体·来源"&amp;原始经营数据!$A2009,"基金整体")))</f>
        <v/>
      </c>
      <c r="J2008" t="str">
        <f t="shared" si="468"/>
        <v/>
      </c>
      <c r="K2008" t="str">
        <f t="shared" si="469"/>
        <v/>
      </c>
      <c r="L2008" t="str">
        <f t="shared" si="470"/>
        <v/>
      </c>
      <c r="M2008">
        <f>IF($A2008="",0,IF(COUNTIF($L$2:$L2008,$L2008)=1,1,0))</f>
        <v>0</v>
      </c>
      <c r="N2008" t="str">
        <f t="shared" si="471"/>
        <v/>
      </c>
      <c r="O2008" t="str">
        <f t="shared" si="472"/>
        <v/>
      </c>
      <c r="P2008">
        <f>IF($A2008="",0,IF(COUNTIF($O$2:$O2008,$O2008)=1,1,0))</f>
        <v>0</v>
      </c>
      <c r="Q2008" t="str">
        <f>IF(AND($P2008=1,$A2008=经营数据!$B$3,$J2008=经营数据!$BA$5),COUNTIFS($P$2:$P$3000,1,$A$2:$A$3000,$A2008,$J$2:$J$3000,$J2008,$N$2:$N$3000,"&lt;"&amp;$N2008)+1,"")</f>
        <v/>
      </c>
      <c r="R2008" t="str">
        <f t="shared" si="473"/>
        <v/>
      </c>
      <c r="S2008">
        <f>IF($A2008="",0,IF(COUNTIF($R$2:$R2008,$R2008)=1,1,0))</f>
        <v>0</v>
      </c>
      <c r="T2008" t="str">
        <f t="shared" si="474"/>
        <v/>
      </c>
      <c r="U2008" t="str">
        <f>IF($A2008="","",IF($A2008=经营数据!$B$3,COUNTIFS($S$2:$S$3000,1,$A$2:$A$3000,$A2008,$T$2:$T$3000,"&lt;"&amp;$T2008)+1,""))</f>
        <v/>
      </c>
      <c r="V2008" t="str">
        <f t="shared" si="475"/>
        <v/>
      </c>
      <c r="W2008" t="str">
        <f t="shared" si="476"/>
        <v/>
      </c>
      <c r="X2008" t="str">
        <f t="shared" si="477"/>
        <v/>
      </c>
      <c r="Y2008" t="str">
        <f t="shared" si="478"/>
        <v/>
      </c>
      <c r="Z2008">
        <f>IF($A2008="",0,IF(AND($M2008=1,$A2008=经营数据!$B$3,$J2008=经营数据!$BA$5,OR($I2008=经营数据!$BA$4,COUNTIF(经营数据!$AA$9:$AA$38,$I2008)&gt;0)),1,0))</f>
        <v>0</v>
      </c>
      <c r="AA2008" t="str">
        <f t="shared" si="479"/>
        <v/>
      </c>
      <c r="AB2008" t="str">
        <f t="shared" si="480"/>
        <v/>
      </c>
      <c r="AC2008">
        <f>IF($A2008="",0,IF(COUNTIF($A$2:$A2008,$A2008)=1,1,0))</f>
        <v>0</v>
      </c>
      <c r="AD2008">
        <f t="shared" si="481"/>
        <v>29</v>
      </c>
      <c r="AE2008" t="str">
        <f t="shared" si="482"/>
        <v/>
      </c>
    </row>
    <row r="2009" spans="1:31" x14ac:dyDescent="0.4">
      <c r="A2009" t="str">
        <f>IF(原始经营数据!$D2010="","",原始经营数据!$D2010)</f>
        <v/>
      </c>
      <c r="B2009" t="str">
        <f>IF(原始经营数据!$D2010="","",T(原始经营数据!$E2010))</f>
        <v/>
      </c>
      <c r="C2009" t="str">
        <f>IF(原始经营数据!$D2010="","",原始经营数据!$F2010)</f>
        <v/>
      </c>
      <c r="D2009" t="str">
        <f>IF(原始经营数据!$D2010="","",原始经营数据!$H2010)</f>
        <v/>
      </c>
      <c r="E2009" t="str">
        <f>IF(原始经营数据!$D2010="","",原始经营数据!$I2010)</f>
        <v/>
      </c>
      <c r="F2009" t="str">
        <f>IF(原始经营数据!$D2010="","",T(原始经营数据!$J2010))</f>
        <v/>
      </c>
      <c r="G2009" t="str">
        <f>IF(原始经营数据!$D2010="","",T(原始经营数据!$K2010))</f>
        <v/>
      </c>
      <c r="H2009" t="str">
        <f>IF(原始经营数据!$D2010="","",原始经营数据!$G2010)</f>
        <v/>
      </c>
      <c r="I2009" t="str">
        <f>IF($A2009="","",IF($B2009&lt;&gt;"",$B2009,IF(COUNTIFS(原始经营数据!$D$3:$D$3001,$A2009,原始经营数据!$E$3:$E$3001,"",原始经营数据!$F$3:$F$3001,$C2009,原始经营数据!$H$3:$H$3001,$D2009,原始经营数据!$K$3:$K$3001,$G2009)&gt;1,"基金整体·来源"&amp;原始经营数据!$A2010,"基金整体")))</f>
        <v/>
      </c>
      <c r="J2009" t="str">
        <f t="shared" si="468"/>
        <v/>
      </c>
      <c r="K2009" t="str">
        <f t="shared" si="469"/>
        <v/>
      </c>
      <c r="L2009" t="str">
        <f t="shared" si="470"/>
        <v/>
      </c>
      <c r="M2009">
        <f>IF($A2009="",0,IF(COUNTIF($L$2:$L2009,$L2009)=1,1,0))</f>
        <v>0</v>
      </c>
      <c r="N2009" t="str">
        <f t="shared" si="471"/>
        <v/>
      </c>
      <c r="O2009" t="str">
        <f t="shared" si="472"/>
        <v/>
      </c>
      <c r="P2009">
        <f>IF($A2009="",0,IF(COUNTIF($O$2:$O2009,$O2009)=1,1,0))</f>
        <v>0</v>
      </c>
      <c r="Q2009" t="str">
        <f>IF(AND($P2009=1,$A2009=经营数据!$B$3,$J2009=经营数据!$BA$5),COUNTIFS($P$2:$P$3000,1,$A$2:$A$3000,$A2009,$J$2:$J$3000,$J2009,$N$2:$N$3000,"&lt;"&amp;$N2009)+1,"")</f>
        <v/>
      </c>
      <c r="R2009" t="str">
        <f t="shared" si="473"/>
        <v/>
      </c>
      <c r="S2009">
        <f>IF($A2009="",0,IF(COUNTIF($R$2:$R2009,$R2009)=1,1,0))</f>
        <v>0</v>
      </c>
      <c r="T2009" t="str">
        <f t="shared" si="474"/>
        <v/>
      </c>
      <c r="U2009" t="str">
        <f>IF($A2009="","",IF($A2009=经营数据!$B$3,COUNTIFS($S$2:$S$3000,1,$A$2:$A$3000,$A2009,$T$2:$T$3000,"&lt;"&amp;$T2009)+1,""))</f>
        <v/>
      </c>
      <c r="V2009" t="str">
        <f t="shared" si="475"/>
        <v/>
      </c>
      <c r="W2009" t="str">
        <f t="shared" si="476"/>
        <v/>
      </c>
      <c r="X2009" t="str">
        <f t="shared" si="477"/>
        <v/>
      </c>
      <c r="Y2009" t="str">
        <f t="shared" si="478"/>
        <v/>
      </c>
      <c r="Z2009">
        <f>IF($A2009="",0,IF(AND($M2009=1,$A2009=经营数据!$B$3,$J2009=经营数据!$BA$5,OR($I2009=经营数据!$BA$4,COUNTIF(经营数据!$AA$9:$AA$38,$I2009)&gt;0)),1,0))</f>
        <v>0</v>
      </c>
      <c r="AA2009" t="str">
        <f t="shared" si="479"/>
        <v/>
      </c>
      <c r="AB2009" t="str">
        <f t="shared" si="480"/>
        <v/>
      </c>
      <c r="AC2009">
        <f>IF($A2009="",0,IF(COUNTIF($A$2:$A2009,$A2009)=1,1,0))</f>
        <v>0</v>
      </c>
      <c r="AD2009">
        <f t="shared" si="481"/>
        <v>29</v>
      </c>
      <c r="AE2009" t="str">
        <f t="shared" si="482"/>
        <v/>
      </c>
    </row>
    <row r="2010" spans="1:31" x14ac:dyDescent="0.4">
      <c r="A2010" t="str">
        <f>IF(原始经营数据!$D2011="","",原始经营数据!$D2011)</f>
        <v/>
      </c>
      <c r="B2010" t="str">
        <f>IF(原始经营数据!$D2011="","",T(原始经营数据!$E2011))</f>
        <v/>
      </c>
      <c r="C2010" t="str">
        <f>IF(原始经营数据!$D2011="","",原始经营数据!$F2011)</f>
        <v/>
      </c>
      <c r="D2010" t="str">
        <f>IF(原始经营数据!$D2011="","",原始经营数据!$H2011)</f>
        <v/>
      </c>
      <c r="E2010" t="str">
        <f>IF(原始经营数据!$D2011="","",原始经营数据!$I2011)</f>
        <v/>
      </c>
      <c r="F2010" t="str">
        <f>IF(原始经营数据!$D2011="","",T(原始经营数据!$J2011))</f>
        <v/>
      </c>
      <c r="G2010" t="str">
        <f>IF(原始经营数据!$D2011="","",T(原始经营数据!$K2011))</f>
        <v/>
      </c>
      <c r="H2010" t="str">
        <f>IF(原始经营数据!$D2011="","",原始经营数据!$G2011)</f>
        <v/>
      </c>
      <c r="I2010" t="str">
        <f>IF($A2010="","",IF($B2010&lt;&gt;"",$B2010,IF(COUNTIFS(原始经营数据!$D$3:$D$3001,$A2010,原始经营数据!$E$3:$E$3001,"",原始经营数据!$F$3:$F$3001,$C2010,原始经营数据!$H$3:$H$3001,$D2010,原始经营数据!$K$3:$K$3001,$G2010)&gt;1,"基金整体·来源"&amp;原始经营数据!$A2011,"基金整体")))</f>
        <v/>
      </c>
      <c r="J2010" t="str">
        <f t="shared" si="468"/>
        <v/>
      </c>
      <c r="K2010" t="str">
        <f t="shared" si="469"/>
        <v/>
      </c>
      <c r="L2010" t="str">
        <f t="shared" si="470"/>
        <v/>
      </c>
      <c r="M2010">
        <f>IF($A2010="",0,IF(COUNTIF($L$2:$L2010,$L2010)=1,1,0))</f>
        <v>0</v>
      </c>
      <c r="N2010" t="str">
        <f t="shared" si="471"/>
        <v/>
      </c>
      <c r="O2010" t="str">
        <f t="shared" si="472"/>
        <v/>
      </c>
      <c r="P2010">
        <f>IF($A2010="",0,IF(COUNTIF($O$2:$O2010,$O2010)=1,1,0))</f>
        <v>0</v>
      </c>
      <c r="Q2010" t="str">
        <f>IF(AND($P2010=1,$A2010=经营数据!$B$3,$J2010=经营数据!$BA$5),COUNTIFS($P$2:$P$3000,1,$A$2:$A$3000,$A2010,$J$2:$J$3000,$J2010,$N$2:$N$3000,"&lt;"&amp;$N2010)+1,"")</f>
        <v/>
      </c>
      <c r="R2010" t="str">
        <f t="shared" si="473"/>
        <v/>
      </c>
      <c r="S2010">
        <f>IF($A2010="",0,IF(COUNTIF($R$2:$R2010,$R2010)=1,1,0))</f>
        <v>0</v>
      </c>
      <c r="T2010" t="str">
        <f t="shared" si="474"/>
        <v/>
      </c>
      <c r="U2010" t="str">
        <f>IF($A2010="","",IF($A2010=经营数据!$B$3,COUNTIFS($S$2:$S$3000,1,$A$2:$A$3000,$A2010,$T$2:$T$3000,"&lt;"&amp;$T2010)+1,""))</f>
        <v/>
      </c>
      <c r="V2010" t="str">
        <f t="shared" si="475"/>
        <v/>
      </c>
      <c r="W2010" t="str">
        <f t="shared" si="476"/>
        <v/>
      </c>
      <c r="X2010" t="str">
        <f t="shared" si="477"/>
        <v/>
      </c>
      <c r="Y2010" t="str">
        <f t="shared" si="478"/>
        <v/>
      </c>
      <c r="Z2010">
        <f>IF($A2010="",0,IF(AND($M2010=1,$A2010=经营数据!$B$3,$J2010=经营数据!$BA$5,OR($I2010=经营数据!$BA$4,COUNTIF(经营数据!$AA$9:$AA$38,$I2010)&gt;0)),1,0))</f>
        <v>0</v>
      </c>
      <c r="AA2010" t="str">
        <f t="shared" si="479"/>
        <v/>
      </c>
      <c r="AB2010" t="str">
        <f t="shared" si="480"/>
        <v/>
      </c>
      <c r="AC2010">
        <f>IF($A2010="",0,IF(COUNTIF($A$2:$A2010,$A2010)=1,1,0))</f>
        <v>0</v>
      </c>
      <c r="AD2010">
        <f t="shared" si="481"/>
        <v>29</v>
      </c>
      <c r="AE2010" t="str">
        <f t="shared" si="482"/>
        <v/>
      </c>
    </row>
    <row r="2011" spans="1:31" x14ac:dyDescent="0.4">
      <c r="A2011" t="str">
        <f>IF(原始经营数据!$D2012="","",原始经营数据!$D2012)</f>
        <v/>
      </c>
      <c r="B2011" t="str">
        <f>IF(原始经营数据!$D2012="","",T(原始经营数据!$E2012))</f>
        <v/>
      </c>
      <c r="C2011" t="str">
        <f>IF(原始经营数据!$D2012="","",原始经营数据!$F2012)</f>
        <v/>
      </c>
      <c r="D2011" t="str">
        <f>IF(原始经营数据!$D2012="","",原始经营数据!$H2012)</f>
        <v/>
      </c>
      <c r="E2011" t="str">
        <f>IF(原始经营数据!$D2012="","",原始经营数据!$I2012)</f>
        <v/>
      </c>
      <c r="F2011" t="str">
        <f>IF(原始经营数据!$D2012="","",T(原始经营数据!$J2012))</f>
        <v/>
      </c>
      <c r="G2011" t="str">
        <f>IF(原始经营数据!$D2012="","",T(原始经营数据!$K2012))</f>
        <v/>
      </c>
      <c r="H2011" t="str">
        <f>IF(原始经营数据!$D2012="","",原始经营数据!$G2012)</f>
        <v/>
      </c>
      <c r="I2011" t="str">
        <f>IF($A2011="","",IF($B2011&lt;&gt;"",$B2011,IF(COUNTIFS(原始经营数据!$D$3:$D$3001,$A2011,原始经营数据!$E$3:$E$3001,"",原始经营数据!$F$3:$F$3001,$C2011,原始经营数据!$H$3:$H$3001,$D2011,原始经营数据!$K$3:$K$3001,$G2011)&gt;1,"基金整体·来源"&amp;原始经营数据!$A2012,"基金整体")))</f>
        <v/>
      </c>
      <c r="J2011" t="str">
        <f t="shared" si="468"/>
        <v/>
      </c>
      <c r="K2011" t="str">
        <f t="shared" si="469"/>
        <v/>
      </c>
      <c r="L2011" t="str">
        <f t="shared" si="470"/>
        <v/>
      </c>
      <c r="M2011">
        <f>IF($A2011="",0,IF(COUNTIF($L$2:$L2011,$L2011)=1,1,0))</f>
        <v>0</v>
      </c>
      <c r="N2011" t="str">
        <f t="shared" si="471"/>
        <v/>
      </c>
      <c r="O2011" t="str">
        <f t="shared" si="472"/>
        <v/>
      </c>
      <c r="P2011">
        <f>IF($A2011="",0,IF(COUNTIF($O$2:$O2011,$O2011)=1,1,0))</f>
        <v>0</v>
      </c>
      <c r="Q2011" t="str">
        <f>IF(AND($P2011=1,$A2011=经营数据!$B$3,$J2011=经营数据!$BA$5),COUNTIFS($P$2:$P$3000,1,$A$2:$A$3000,$A2011,$J$2:$J$3000,$J2011,$N$2:$N$3000,"&lt;"&amp;$N2011)+1,"")</f>
        <v/>
      </c>
      <c r="R2011" t="str">
        <f t="shared" si="473"/>
        <v/>
      </c>
      <c r="S2011">
        <f>IF($A2011="",0,IF(COUNTIF($R$2:$R2011,$R2011)=1,1,0))</f>
        <v>0</v>
      </c>
      <c r="T2011" t="str">
        <f t="shared" si="474"/>
        <v/>
      </c>
      <c r="U2011" t="str">
        <f>IF($A2011="","",IF($A2011=经营数据!$B$3,COUNTIFS($S$2:$S$3000,1,$A$2:$A$3000,$A2011,$T$2:$T$3000,"&lt;"&amp;$T2011)+1,""))</f>
        <v/>
      </c>
      <c r="V2011" t="str">
        <f t="shared" si="475"/>
        <v/>
      </c>
      <c r="W2011" t="str">
        <f t="shared" si="476"/>
        <v/>
      </c>
      <c r="X2011" t="str">
        <f t="shared" si="477"/>
        <v/>
      </c>
      <c r="Y2011" t="str">
        <f t="shared" si="478"/>
        <v/>
      </c>
      <c r="Z2011">
        <f>IF($A2011="",0,IF(AND($M2011=1,$A2011=经营数据!$B$3,$J2011=经营数据!$BA$5,OR($I2011=经营数据!$BA$4,COUNTIF(经营数据!$AA$9:$AA$38,$I2011)&gt;0)),1,0))</f>
        <v>0</v>
      </c>
      <c r="AA2011" t="str">
        <f t="shared" si="479"/>
        <v/>
      </c>
      <c r="AB2011" t="str">
        <f t="shared" si="480"/>
        <v/>
      </c>
      <c r="AC2011">
        <f>IF($A2011="",0,IF(COUNTIF($A$2:$A2011,$A2011)=1,1,0))</f>
        <v>0</v>
      </c>
      <c r="AD2011">
        <f t="shared" si="481"/>
        <v>29</v>
      </c>
      <c r="AE2011" t="str">
        <f t="shared" si="482"/>
        <v/>
      </c>
    </row>
    <row r="2012" spans="1:31" x14ac:dyDescent="0.4">
      <c r="A2012" t="str">
        <f>IF(原始经营数据!$D2013="","",原始经营数据!$D2013)</f>
        <v/>
      </c>
      <c r="B2012" t="str">
        <f>IF(原始经营数据!$D2013="","",T(原始经营数据!$E2013))</f>
        <v/>
      </c>
      <c r="C2012" t="str">
        <f>IF(原始经营数据!$D2013="","",原始经营数据!$F2013)</f>
        <v/>
      </c>
      <c r="D2012" t="str">
        <f>IF(原始经营数据!$D2013="","",原始经营数据!$H2013)</f>
        <v/>
      </c>
      <c r="E2012" t="str">
        <f>IF(原始经营数据!$D2013="","",原始经营数据!$I2013)</f>
        <v/>
      </c>
      <c r="F2012" t="str">
        <f>IF(原始经营数据!$D2013="","",T(原始经营数据!$J2013))</f>
        <v/>
      </c>
      <c r="G2012" t="str">
        <f>IF(原始经营数据!$D2013="","",T(原始经营数据!$K2013))</f>
        <v/>
      </c>
      <c r="H2012" t="str">
        <f>IF(原始经营数据!$D2013="","",原始经营数据!$G2013)</f>
        <v/>
      </c>
      <c r="I2012" t="str">
        <f>IF($A2012="","",IF($B2012&lt;&gt;"",$B2012,IF(COUNTIFS(原始经营数据!$D$3:$D$3001,$A2012,原始经营数据!$E$3:$E$3001,"",原始经营数据!$F$3:$F$3001,$C2012,原始经营数据!$H$3:$H$3001,$D2012,原始经营数据!$K$3:$K$3001,$G2012)&gt;1,"基金整体·来源"&amp;原始经营数据!$A2013,"基金整体")))</f>
        <v/>
      </c>
      <c r="J2012" t="str">
        <f t="shared" si="468"/>
        <v/>
      </c>
      <c r="K2012" t="str">
        <f t="shared" si="469"/>
        <v/>
      </c>
      <c r="L2012" t="str">
        <f t="shared" si="470"/>
        <v/>
      </c>
      <c r="M2012">
        <f>IF($A2012="",0,IF(COUNTIF($L$2:$L2012,$L2012)=1,1,0))</f>
        <v>0</v>
      </c>
      <c r="N2012" t="str">
        <f t="shared" si="471"/>
        <v/>
      </c>
      <c r="O2012" t="str">
        <f t="shared" si="472"/>
        <v/>
      </c>
      <c r="P2012">
        <f>IF($A2012="",0,IF(COUNTIF($O$2:$O2012,$O2012)=1,1,0))</f>
        <v>0</v>
      </c>
      <c r="Q2012" t="str">
        <f>IF(AND($P2012=1,$A2012=经营数据!$B$3,$J2012=经营数据!$BA$5),COUNTIFS($P$2:$P$3000,1,$A$2:$A$3000,$A2012,$J$2:$J$3000,$J2012,$N$2:$N$3000,"&lt;"&amp;$N2012)+1,"")</f>
        <v/>
      </c>
      <c r="R2012" t="str">
        <f t="shared" si="473"/>
        <v/>
      </c>
      <c r="S2012">
        <f>IF($A2012="",0,IF(COUNTIF($R$2:$R2012,$R2012)=1,1,0))</f>
        <v>0</v>
      </c>
      <c r="T2012" t="str">
        <f t="shared" si="474"/>
        <v/>
      </c>
      <c r="U2012" t="str">
        <f>IF($A2012="","",IF($A2012=经营数据!$B$3,COUNTIFS($S$2:$S$3000,1,$A$2:$A$3000,$A2012,$T$2:$T$3000,"&lt;"&amp;$T2012)+1,""))</f>
        <v/>
      </c>
      <c r="V2012" t="str">
        <f t="shared" si="475"/>
        <v/>
      </c>
      <c r="W2012" t="str">
        <f t="shared" si="476"/>
        <v/>
      </c>
      <c r="X2012" t="str">
        <f t="shared" si="477"/>
        <v/>
      </c>
      <c r="Y2012" t="str">
        <f t="shared" si="478"/>
        <v/>
      </c>
      <c r="Z2012">
        <f>IF($A2012="",0,IF(AND($M2012=1,$A2012=经营数据!$B$3,$J2012=经营数据!$BA$5,OR($I2012=经营数据!$BA$4,COUNTIF(经营数据!$AA$9:$AA$38,$I2012)&gt;0)),1,0))</f>
        <v>0</v>
      </c>
      <c r="AA2012" t="str">
        <f t="shared" si="479"/>
        <v/>
      </c>
      <c r="AB2012" t="str">
        <f t="shared" si="480"/>
        <v/>
      </c>
      <c r="AC2012">
        <f>IF($A2012="",0,IF(COUNTIF($A$2:$A2012,$A2012)=1,1,0))</f>
        <v>0</v>
      </c>
      <c r="AD2012">
        <f t="shared" si="481"/>
        <v>29</v>
      </c>
      <c r="AE2012" t="str">
        <f t="shared" si="482"/>
        <v/>
      </c>
    </row>
    <row r="2013" spans="1:31" x14ac:dyDescent="0.4">
      <c r="A2013" t="str">
        <f>IF(原始经营数据!$D2014="","",原始经营数据!$D2014)</f>
        <v/>
      </c>
      <c r="B2013" t="str">
        <f>IF(原始经营数据!$D2014="","",T(原始经营数据!$E2014))</f>
        <v/>
      </c>
      <c r="C2013" t="str">
        <f>IF(原始经营数据!$D2014="","",原始经营数据!$F2014)</f>
        <v/>
      </c>
      <c r="D2013" t="str">
        <f>IF(原始经营数据!$D2014="","",原始经营数据!$H2014)</f>
        <v/>
      </c>
      <c r="E2013" t="str">
        <f>IF(原始经营数据!$D2014="","",原始经营数据!$I2014)</f>
        <v/>
      </c>
      <c r="F2013" t="str">
        <f>IF(原始经营数据!$D2014="","",T(原始经营数据!$J2014))</f>
        <v/>
      </c>
      <c r="G2013" t="str">
        <f>IF(原始经营数据!$D2014="","",T(原始经营数据!$K2014))</f>
        <v/>
      </c>
      <c r="H2013" t="str">
        <f>IF(原始经营数据!$D2014="","",原始经营数据!$G2014)</f>
        <v/>
      </c>
      <c r="I2013" t="str">
        <f>IF($A2013="","",IF($B2013&lt;&gt;"",$B2013,IF(COUNTIFS(原始经营数据!$D$3:$D$3001,$A2013,原始经营数据!$E$3:$E$3001,"",原始经营数据!$F$3:$F$3001,$C2013,原始经营数据!$H$3:$H$3001,$D2013,原始经营数据!$K$3:$K$3001,$G2013)&gt;1,"基金整体·来源"&amp;原始经营数据!$A2014,"基金整体")))</f>
        <v/>
      </c>
      <c r="J2013" t="str">
        <f t="shared" si="468"/>
        <v/>
      </c>
      <c r="K2013" t="str">
        <f t="shared" si="469"/>
        <v/>
      </c>
      <c r="L2013" t="str">
        <f t="shared" si="470"/>
        <v/>
      </c>
      <c r="M2013">
        <f>IF($A2013="",0,IF(COUNTIF($L$2:$L2013,$L2013)=1,1,0))</f>
        <v>0</v>
      </c>
      <c r="N2013" t="str">
        <f t="shared" si="471"/>
        <v/>
      </c>
      <c r="O2013" t="str">
        <f t="shared" si="472"/>
        <v/>
      </c>
      <c r="P2013">
        <f>IF($A2013="",0,IF(COUNTIF($O$2:$O2013,$O2013)=1,1,0))</f>
        <v>0</v>
      </c>
      <c r="Q2013" t="str">
        <f>IF(AND($P2013=1,$A2013=经营数据!$B$3,$J2013=经营数据!$BA$5),COUNTIFS($P$2:$P$3000,1,$A$2:$A$3000,$A2013,$J$2:$J$3000,$J2013,$N$2:$N$3000,"&lt;"&amp;$N2013)+1,"")</f>
        <v/>
      </c>
      <c r="R2013" t="str">
        <f t="shared" si="473"/>
        <v/>
      </c>
      <c r="S2013">
        <f>IF($A2013="",0,IF(COUNTIF($R$2:$R2013,$R2013)=1,1,0))</f>
        <v>0</v>
      </c>
      <c r="T2013" t="str">
        <f t="shared" si="474"/>
        <v/>
      </c>
      <c r="U2013" t="str">
        <f>IF($A2013="","",IF($A2013=经营数据!$B$3,COUNTIFS($S$2:$S$3000,1,$A$2:$A$3000,$A2013,$T$2:$T$3000,"&lt;"&amp;$T2013)+1,""))</f>
        <v/>
      </c>
      <c r="V2013" t="str">
        <f t="shared" si="475"/>
        <v/>
      </c>
      <c r="W2013" t="str">
        <f t="shared" si="476"/>
        <v/>
      </c>
      <c r="X2013" t="str">
        <f t="shared" si="477"/>
        <v/>
      </c>
      <c r="Y2013" t="str">
        <f t="shared" si="478"/>
        <v/>
      </c>
      <c r="Z2013">
        <f>IF($A2013="",0,IF(AND($M2013=1,$A2013=经营数据!$B$3,$J2013=经营数据!$BA$5,OR($I2013=经营数据!$BA$4,COUNTIF(经营数据!$AA$9:$AA$38,$I2013)&gt;0)),1,0))</f>
        <v>0</v>
      </c>
      <c r="AA2013" t="str">
        <f t="shared" si="479"/>
        <v/>
      </c>
      <c r="AB2013" t="str">
        <f t="shared" si="480"/>
        <v/>
      </c>
      <c r="AC2013">
        <f>IF($A2013="",0,IF(COUNTIF($A$2:$A2013,$A2013)=1,1,0))</f>
        <v>0</v>
      </c>
      <c r="AD2013">
        <f t="shared" si="481"/>
        <v>29</v>
      </c>
      <c r="AE2013" t="str">
        <f t="shared" si="482"/>
        <v/>
      </c>
    </row>
    <row r="2014" spans="1:31" x14ac:dyDescent="0.4">
      <c r="A2014" t="str">
        <f>IF(原始经营数据!$D2015="","",原始经营数据!$D2015)</f>
        <v/>
      </c>
      <c r="B2014" t="str">
        <f>IF(原始经营数据!$D2015="","",T(原始经营数据!$E2015))</f>
        <v/>
      </c>
      <c r="C2014" t="str">
        <f>IF(原始经营数据!$D2015="","",原始经营数据!$F2015)</f>
        <v/>
      </c>
      <c r="D2014" t="str">
        <f>IF(原始经营数据!$D2015="","",原始经营数据!$H2015)</f>
        <v/>
      </c>
      <c r="E2014" t="str">
        <f>IF(原始经营数据!$D2015="","",原始经营数据!$I2015)</f>
        <v/>
      </c>
      <c r="F2014" t="str">
        <f>IF(原始经营数据!$D2015="","",T(原始经营数据!$J2015))</f>
        <v/>
      </c>
      <c r="G2014" t="str">
        <f>IF(原始经营数据!$D2015="","",T(原始经营数据!$K2015))</f>
        <v/>
      </c>
      <c r="H2014" t="str">
        <f>IF(原始经营数据!$D2015="","",原始经营数据!$G2015)</f>
        <v/>
      </c>
      <c r="I2014" t="str">
        <f>IF($A2014="","",IF($B2014&lt;&gt;"",$B2014,IF(COUNTIFS(原始经营数据!$D$3:$D$3001,$A2014,原始经营数据!$E$3:$E$3001,"",原始经营数据!$F$3:$F$3001,$C2014,原始经营数据!$H$3:$H$3001,$D2014,原始经营数据!$K$3:$K$3001,$G2014)&gt;1,"基金整体·来源"&amp;原始经营数据!$A2015,"基金整体")))</f>
        <v/>
      </c>
      <c r="J2014" t="str">
        <f t="shared" si="468"/>
        <v/>
      </c>
      <c r="K2014" t="str">
        <f t="shared" si="469"/>
        <v/>
      </c>
      <c r="L2014" t="str">
        <f t="shared" si="470"/>
        <v/>
      </c>
      <c r="M2014">
        <f>IF($A2014="",0,IF(COUNTIF($L$2:$L2014,$L2014)=1,1,0))</f>
        <v>0</v>
      </c>
      <c r="N2014" t="str">
        <f t="shared" si="471"/>
        <v/>
      </c>
      <c r="O2014" t="str">
        <f t="shared" si="472"/>
        <v/>
      </c>
      <c r="P2014">
        <f>IF($A2014="",0,IF(COUNTIF($O$2:$O2014,$O2014)=1,1,0))</f>
        <v>0</v>
      </c>
      <c r="Q2014" t="str">
        <f>IF(AND($P2014=1,$A2014=经营数据!$B$3,$J2014=经营数据!$BA$5),COUNTIFS($P$2:$P$3000,1,$A$2:$A$3000,$A2014,$J$2:$J$3000,$J2014,$N$2:$N$3000,"&lt;"&amp;$N2014)+1,"")</f>
        <v/>
      </c>
      <c r="R2014" t="str">
        <f t="shared" si="473"/>
        <v/>
      </c>
      <c r="S2014">
        <f>IF($A2014="",0,IF(COUNTIF($R$2:$R2014,$R2014)=1,1,0))</f>
        <v>0</v>
      </c>
      <c r="T2014" t="str">
        <f t="shared" si="474"/>
        <v/>
      </c>
      <c r="U2014" t="str">
        <f>IF($A2014="","",IF($A2014=经营数据!$B$3,COUNTIFS($S$2:$S$3000,1,$A$2:$A$3000,$A2014,$T$2:$T$3000,"&lt;"&amp;$T2014)+1,""))</f>
        <v/>
      </c>
      <c r="V2014" t="str">
        <f t="shared" si="475"/>
        <v/>
      </c>
      <c r="W2014" t="str">
        <f t="shared" si="476"/>
        <v/>
      </c>
      <c r="X2014" t="str">
        <f t="shared" si="477"/>
        <v/>
      </c>
      <c r="Y2014" t="str">
        <f t="shared" si="478"/>
        <v/>
      </c>
      <c r="Z2014">
        <f>IF($A2014="",0,IF(AND($M2014=1,$A2014=经营数据!$B$3,$J2014=经营数据!$BA$5,OR($I2014=经营数据!$BA$4,COUNTIF(经营数据!$AA$9:$AA$38,$I2014)&gt;0)),1,0))</f>
        <v>0</v>
      </c>
      <c r="AA2014" t="str">
        <f t="shared" si="479"/>
        <v/>
      </c>
      <c r="AB2014" t="str">
        <f t="shared" si="480"/>
        <v/>
      </c>
      <c r="AC2014">
        <f>IF($A2014="",0,IF(COUNTIF($A$2:$A2014,$A2014)=1,1,0))</f>
        <v>0</v>
      </c>
      <c r="AD2014">
        <f t="shared" si="481"/>
        <v>29</v>
      </c>
      <c r="AE2014" t="str">
        <f t="shared" si="482"/>
        <v/>
      </c>
    </row>
    <row r="2015" spans="1:31" x14ac:dyDescent="0.4">
      <c r="A2015" t="str">
        <f>IF(原始经营数据!$D2016="","",原始经营数据!$D2016)</f>
        <v/>
      </c>
      <c r="B2015" t="str">
        <f>IF(原始经营数据!$D2016="","",T(原始经营数据!$E2016))</f>
        <v/>
      </c>
      <c r="C2015" t="str">
        <f>IF(原始经营数据!$D2016="","",原始经营数据!$F2016)</f>
        <v/>
      </c>
      <c r="D2015" t="str">
        <f>IF(原始经营数据!$D2016="","",原始经营数据!$H2016)</f>
        <v/>
      </c>
      <c r="E2015" t="str">
        <f>IF(原始经营数据!$D2016="","",原始经营数据!$I2016)</f>
        <v/>
      </c>
      <c r="F2015" t="str">
        <f>IF(原始经营数据!$D2016="","",T(原始经营数据!$J2016))</f>
        <v/>
      </c>
      <c r="G2015" t="str">
        <f>IF(原始经营数据!$D2016="","",T(原始经营数据!$K2016))</f>
        <v/>
      </c>
      <c r="H2015" t="str">
        <f>IF(原始经营数据!$D2016="","",原始经营数据!$G2016)</f>
        <v/>
      </c>
      <c r="I2015" t="str">
        <f>IF($A2015="","",IF($B2015&lt;&gt;"",$B2015,IF(COUNTIFS(原始经营数据!$D$3:$D$3001,$A2015,原始经营数据!$E$3:$E$3001,"",原始经营数据!$F$3:$F$3001,$C2015,原始经营数据!$H$3:$H$3001,$D2015,原始经营数据!$K$3:$K$3001,$G2015)&gt;1,"基金整体·来源"&amp;原始经营数据!$A2016,"基金整体")))</f>
        <v/>
      </c>
      <c r="J2015" t="str">
        <f t="shared" si="468"/>
        <v/>
      </c>
      <c r="K2015" t="str">
        <f t="shared" si="469"/>
        <v/>
      </c>
      <c r="L2015" t="str">
        <f t="shared" si="470"/>
        <v/>
      </c>
      <c r="M2015">
        <f>IF($A2015="",0,IF(COUNTIF($L$2:$L2015,$L2015)=1,1,0))</f>
        <v>0</v>
      </c>
      <c r="N2015" t="str">
        <f t="shared" si="471"/>
        <v/>
      </c>
      <c r="O2015" t="str">
        <f t="shared" si="472"/>
        <v/>
      </c>
      <c r="P2015">
        <f>IF($A2015="",0,IF(COUNTIF($O$2:$O2015,$O2015)=1,1,0))</f>
        <v>0</v>
      </c>
      <c r="Q2015" t="str">
        <f>IF(AND($P2015=1,$A2015=经营数据!$B$3,$J2015=经营数据!$BA$5),COUNTIFS($P$2:$P$3000,1,$A$2:$A$3000,$A2015,$J$2:$J$3000,$J2015,$N$2:$N$3000,"&lt;"&amp;$N2015)+1,"")</f>
        <v/>
      </c>
      <c r="R2015" t="str">
        <f t="shared" si="473"/>
        <v/>
      </c>
      <c r="S2015">
        <f>IF($A2015="",0,IF(COUNTIF($R$2:$R2015,$R2015)=1,1,0))</f>
        <v>0</v>
      </c>
      <c r="T2015" t="str">
        <f t="shared" si="474"/>
        <v/>
      </c>
      <c r="U2015" t="str">
        <f>IF($A2015="","",IF($A2015=经营数据!$B$3,COUNTIFS($S$2:$S$3000,1,$A$2:$A$3000,$A2015,$T$2:$T$3000,"&lt;"&amp;$T2015)+1,""))</f>
        <v/>
      </c>
      <c r="V2015" t="str">
        <f t="shared" si="475"/>
        <v/>
      </c>
      <c r="W2015" t="str">
        <f t="shared" si="476"/>
        <v/>
      </c>
      <c r="X2015" t="str">
        <f t="shared" si="477"/>
        <v/>
      </c>
      <c r="Y2015" t="str">
        <f t="shared" si="478"/>
        <v/>
      </c>
      <c r="Z2015">
        <f>IF($A2015="",0,IF(AND($M2015=1,$A2015=经营数据!$B$3,$J2015=经营数据!$BA$5,OR($I2015=经营数据!$BA$4,COUNTIF(经营数据!$AA$9:$AA$38,$I2015)&gt;0)),1,0))</f>
        <v>0</v>
      </c>
      <c r="AA2015" t="str">
        <f t="shared" si="479"/>
        <v/>
      </c>
      <c r="AB2015" t="str">
        <f t="shared" si="480"/>
        <v/>
      </c>
      <c r="AC2015">
        <f>IF($A2015="",0,IF(COUNTIF($A$2:$A2015,$A2015)=1,1,0))</f>
        <v>0</v>
      </c>
      <c r="AD2015">
        <f t="shared" si="481"/>
        <v>29</v>
      </c>
      <c r="AE2015" t="str">
        <f t="shared" si="482"/>
        <v/>
      </c>
    </row>
    <row r="2016" spans="1:31" x14ac:dyDescent="0.4">
      <c r="A2016" t="str">
        <f>IF(原始经营数据!$D2017="","",原始经营数据!$D2017)</f>
        <v/>
      </c>
      <c r="B2016" t="str">
        <f>IF(原始经营数据!$D2017="","",T(原始经营数据!$E2017))</f>
        <v/>
      </c>
      <c r="C2016" t="str">
        <f>IF(原始经营数据!$D2017="","",原始经营数据!$F2017)</f>
        <v/>
      </c>
      <c r="D2016" t="str">
        <f>IF(原始经营数据!$D2017="","",原始经营数据!$H2017)</f>
        <v/>
      </c>
      <c r="E2016" t="str">
        <f>IF(原始经营数据!$D2017="","",原始经营数据!$I2017)</f>
        <v/>
      </c>
      <c r="F2016" t="str">
        <f>IF(原始经营数据!$D2017="","",T(原始经营数据!$J2017))</f>
        <v/>
      </c>
      <c r="G2016" t="str">
        <f>IF(原始经营数据!$D2017="","",T(原始经营数据!$K2017))</f>
        <v/>
      </c>
      <c r="H2016" t="str">
        <f>IF(原始经营数据!$D2017="","",原始经营数据!$G2017)</f>
        <v/>
      </c>
      <c r="I2016" t="str">
        <f>IF($A2016="","",IF($B2016&lt;&gt;"",$B2016,IF(COUNTIFS(原始经营数据!$D$3:$D$3001,$A2016,原始经营数据!$E$3:$E$3001,"",原始经营数据!$F$3:$F$3001,$C2016,原始经营数据!$H$3:$H$3001,$D2016,原始经营数据!$K$3:$K$3001,$G2016)&gt;1,"基金整体·来源"&amp;原始经营数据!$A2017,"基金整体")))</f>
        <v/>
      </c>
      <c r="J2016" t="str">
        <f t="shared" si="468"/>
        <v/>
      </c>
      <c r="K2016" t="str">
        <f t="shared" si="469"/>
        <v/>
      </c>
      <c r="L2016" t="str">
        <f t="shared" si="470"/>
        <v/>
      </c>
      <c r="M2016">
        <f>IF($A2016="",0,IF(COUNTIF($L$2:$L2016,$L2016)=1,1,0))</f>
        <v>0</v>
      </c>
      <c r="N2016" t="str">
        <f t="shared" si="471"/>
        <v/>
      </c>
      <c r="O2016" t="str">
        <f t="shared" si="472"/>
        <v/>
      </c>
      <c r="P2016">
        <f>IF($A2016="",0,IF(COUNTIF($O$2:$O2016,$O2016)=1,1,0))</f>
        <v>0</v>
      </c>
      <c r="Q2016" t="str">
        <f>IF(AND($P2016=1,$A2016=经营数据!$B$3,$J2016=经营数据!$BA$5),COUNTIFS($P$2:$P$3000,1,$A$2:$A$3000,$A2016,$J$2:$J$3000,$J2016,$N$2:$N$3000,"&lt;"&amp;$N2016)+1,"")</f>
        <v/>
      </c>
      <c r="R2016" t="str">
        <f t="shared" si="473"/>
        <v/>
      </c>
      <c r="S2016">
        <f>IF($A2016="",0,IF(COUNTIF($R$2:$R2016,$R2016)=1,1,0))</f>
        <v>0</v>
      </c>
      <c r="T2016" t="str">
        <f t="shared" si="474"/>
        <v/>
      </c>
      <c r="U2016" t="str">
        <f>IF($A2016="","",IF($A2016=经营数据!$B$3,COUNTIFS($S$2:$S$3000,1,$A$2:$A$3000,$A2016,$T$2:$T$3000,"&lt;"&amp;$T2016)+1,""))</f>
        <v/>
      </c>
      <c r="V2016" t="str">
        <f t="shared" si="475"/>
        <v/>
      </c>
      <c r="W2016" t="str">
        <f t="shared" si="476"/>
        <v/>
      </c>
      <c r="X2016" t="str">
        <f t="shared" si="477"/>
        <v/>
      </c>
      <c r="Y2016" t="str">
        <f t="shared" si="478"/>
        <v/>
      </c>
      <c r="Z2016">
        <f>IF($A2016="",0,IF(AND($M2016=1,$A2016=经营数据!$B$3,$J2016=经营数据!$BA$5,OR($I2016=经营数据!$BA$4,COUNTIF(经营数据!$AA$9:$AA$38,$I2016)&gt;0)),1,0))</f>
        <v>0</v>
      </c>
      <c r="AA2016" t="str">
        <f t="shared" si="479"/>
        <v/>
      </c>
      <c r="AB2016" t="str">
        <f t="shared" si="480"/>
        <v/>
      </c>
      <c r="AC2016">
        <f>IF($A2016="",0,IF(COUNTIF($A$2:$A2016,$A2016)=1,1,0))</f>
        <v>0</v>
      </c>
      <c r="AD2016">
        <f t="shared" si="481"/>
        <v>29</v>
      </c>
      <c r="AE2016" t="str">
        <f t="shared" si="482"/>
        <v/>
      </c>
    </row>
    <row r="2017" spans="1:31" x14ac:dyDescent="0.4">
      <c r="A2017" t="str">
        <f>IF(原始经营数据!$D2018="","",原始经营数据!$D2018)</f>
        <v/>
      </c>
      <c r="B2017" t="str">
        <f>IF(原始经营数据!$D2018="","",T(原始经营数据!$E2018))</f>
        <v/>
      </c>
      <c r="C2017" t="str">
        <f>IF(原始经营数据!$D2018="","",原始经营数据!$F2018)</f>
        <v/>
      </c>
      <c r="D2017" t="str">
        <f>IF(原始经营数据!$D2018="","",原始经营数据!$H2018)</f>
        <v/>
      </c>
      <c r="E2017" t="str">
        <f>IF(原始经营数据!$D2018="","",原始经营数据!$I2018)</f>
        <v/>
      </c>
      <c r="F2017" t="str">
        <f>IF(原始经营数据!$D2018="","",T(原始经营数据!$J2018))</f>
        <v/>
      </c>
      <c r="G2017" t="str">
        <f>IF(原始经营数据!$D2018="","",T(原始经营数据!$K2018))</f>
        <v/>
      </c>
      <c r="H2017" t="str">
        <f>IF(原始经营数据!$D2018="","",原始经营数据!$G2018)</f>
        <v/>
      </c>
      <c r="I2017" t="str">
        <f>IF($A2017="","",IF($B2017&lt;&gt;"",$B2017,IF(COUNTIFS(原始经营数据!$D$3:$D$3001,$A2017,原始经营数据!$E$3:$E$3001,"",原始经营数据!$F$3:$F$3001,$C2017,原始经营数据!$H$3:$H$3001,$D2017,原始经营数据!$K$3:$K$3001,$G2017)&gt;1,"基金整体·来源"&amp;原始经营数据!$A2018,"基金整体")))</f>
        <v/>
      </c>
      <c r="J2017" t="str">
        <f t="shared" si="468"/>
        <v/>
      </c>
      <c r="K2017" t="str">
        <f t="shared" si="469"/>
        <v/>
      </c>
      <c r="L2017" t="str">
        <f t="shared" si="470"/>
        <v/>
      </c>
      <c r="M2017">
        <f>IF($A2017="",0,IF(COUNTIF($L$2:$L2017,$L2017)=1,1,0))</f>
        <v>0</v>
      </c>
      <c r="N2017" t="str">
        <f t="shared" si="471"/>
        <v/>
      </c>
      <c r="O2017" t="str">
        <f t="shared" si="472"/>
        <v/>
      </c>
      <c r="P2017">
        <f>IF($A2017="",0,IF(COUNTIF($O$2:$O2017,$O2017)=1,1,0))</f>
        <v>0</v>
      </c>
      <c r="Q2017" t="str">
        <f>IF(AND($P2017=1,$A2017=经营数据!$B$3,$J2017=经营数据!$BA$5),COUNTIFS($P$2:$P$3000,1,$A$2:$A$3000,$A2017,$J$2:$J$3000,$J2017,$N$2:$N$3000,"&lt;"&amp;$N2017)+1,"")</f>
        <v/>
      </c>
      <c r="R2017" t="str">
        <f t="shared" si="473"/>
        <v/>
      </c>
      <c r="S2017">
        <f>IF($A2017="",0,IF(COUNTIF($R$2:$R2017,$R2017)=1,1,0))</f>
        <v>0</v>
      </c>
      <c r="T2017" t="str">
        <f t="shared" si="474"/>
        <v/>
      </c>
      <c r="U2017" t="str">
        <f>IF($A2017="","",IF($A2017=经营数据!$B$3,COUNTIFS($S$2:$S$3000,1,$A$2:$A$3000,$A2017,$T$2:$T$3000,"&lt;"&amp;$T2017)+1,""))</f>
        <v/>
      </c>
      <c r="V2017" t="str">
        <f t="shared" si="475"/>
        <v/>
      </c>
      <c r="W2017" t="str">
        <f t="shared" si="476"/>
        <v/>
      </c>
      <c r="X2017" t="str">
        <f t="shared" si="477"/>
        <v/>
      </c>
      <c r="Y2017" t="str">
        <f t="shared" si="478"/>
        <v/>
      </c>
      <c r="Z2017">
        <f>IF($A2017="",0,IF(AND($M2017=1,$A2017=经营数据!$B$3,$J2017=经营数据!$BA$5,OR($I2017=经营数据!$BA$4,COUNTIF(经营数据!$AA$9:$AA$38,$I2017)&gt;0)),1,0))</f>
        <v>0</v>
      </c>
      <c r="AA2017" t="str">
        <f t="shared" si="479"/>
        <v/>
      </c>
      <c r="AB2017" t="str">
        <f t="shared" si="480"/>
        <v/>
      </c>
      <c r="AC2017">
        <f>IF($A2017="",0,IF(COUNTIF($A$2:$A2017,$A2017)=1,1,0))</f>
        <v>0</v>
      </c>
      <c r="AD2017">
        <f t="shared" si="481"/>
        <v>29</v>
      </c>
      <c r="AE2017" t="str">
        <f t="shared" si="482"/>
        <v/>
      </c>
    </row>
    <row r="2018" spans="1:31" x14ac:dyDescent="0.4">
      <c r="A2018" t="str">
        <f>IF(原始经营数据!$D2019="","",原始经营数据!$D2019)</f>
        <v/>
      </c>
      <c r="B2018" t="str">
        <f>IF(原始经营数据!$D2019="","",T(原始经营数据!$E2019))</f>
        <v/>
      </c>
      <c r="C2018" t="str">
        <f>IF(原始经营数据!$D2019="","",原始经营数据!$F2019)</f>
        <v/>
      </c>
      <c r="D2018" t="str">
        <f>IF(原始经营数据!$D2019="","",原始经营数据!$H2019)</f>
        <v/>
      </c>
      <c r="E2018" t="str">
        <f>IF(原始经营数据!$D2019="","",原始经营数据!$I2019)</f>
        <v/>
      </c>
      <c r="F2018" t="str">
        <f>IF(原始经营数据!$D2019="","",T(原始经营数据!$J2019))</f>
        <v/>
      </c>
      <c r="G2018" t="str">
        <f>IF(原始经营数据!$D2019="","",T(原始经营数据!$K2019))</f>
        <v/>
      </c>
      <c r="H2018" t="str">
        <f>IF(原始经营数据!$D2019="","",原始经营数据!$G2019)</f>
        <v/>
      </c>
      <c r="I2018" t="str">
        <f>IF($A2018="","",IF($B2018&lt;&gt;"",$B2018,IF(COUNTIFS(原始经营数据!$D$3:$D$3001,$A2018,原始经营数据!$E$3:$E$3001,"",原始经营数据!$F$3:$F$3001,$C2018,原始经营数据!$H$3:$H$3001,$D2018,原始经营数据!$K$3:$K$3001,$G2018)&gt;1,"基金整体·来源"&amp;原始经营数据!$A2019,"基金整体")))</f>
        <v/>
      </c>
      <c r="J2018" t="str">
        <f t="shared" si="468"/>
        <v/>
      </c>
      <c r="K2018" t="str">
        <f t="shared" si="469"/>
        <v/>
      </c>
      <c r="L2018" t="str">
        <f t="shared" si="470"/>
        <v/>
      </c>
      <c r="M2018">
        <f>IF($A2018="",0,IF(COUNTIF($L$2:$L2018,$L2018)=1,1,0))</f>
        <v>0</v>
      </c>
      <c r="N2018" t="str">
        <f t="shared" si="471"/>
        <v/>
      </c>
      <c r="O2018" t="str">
        <f t="shared" si="472"/>
        <v/>
      </c>
      <c r="P2018">
        <f>IF($A2018="",0,IF(COUNTIF($O$2:$O2018,$O2018)=1,1,0))</f>
        <v>0</v>
      </c>
      <c r="Q2018" t="str">
        <f>IF(AND($P2018=1,$A2018=经营数据!$B$3,$J2018=经营数据!$BA$5),COUNTIFS($P$2:$P$3000,1,$A$2:$A$3000,$A2018,$J$2:$J$3000,$J2018,$N$2:$N$3000,"&lt;"&amp;$N2018)+1,"")</f>
        <v/>
      </c>
      <c r="R2018" t="str">
        <f t="shared" si="473"/>
        <v/>
      </c>
      <c r="S2018">
        <f>IF($A2018="",0,IF(COUNTIF($R$2:$R2018,$R2018)=1,1,0))</f>
        <v>0</v>
      </c>
      <c r="T2018" t="str">
        <f t="shared" si="474"/>
        <v/>
      </c>
      <c r="U2018" t="str">
        <f>IF($A2018="","",IF($A2018=经营数据!$B$3,COUNTIFS($S$2:$S$3000,1,$A$2:$A$3000,$A2018,$T$2:$T$3000,"&lt;"&amp;$T2018)+1,""))</f>
        <v/>
      </c>
      <c r="V2018" t="str">
        <f t="shared" si="475"/>
        <v/>
      </c>
      <c r="W2018" t="str">
        <f t="shared" si="476"/>
        <v/>
      </c>
      <c r="X2018" t="str">
        <f t="shared" si="477"/>
        <v/>
      </c>
      <c r="Y2018" t="str">
        <f t="shared" si="478"/>
        <v/>
      </c>
      <c r="Z2018">
        <f>IF($A2018="",0,IF(AND($M2018=1,$A2018=经营数据!$B$3,$J2018=经营数据!$BA$5,OR($I2018=经营数据!$BA$4,COUNTIF(经营数据!$AA$9:$AA$38,$I2018)&gt;0)),1,0))</f>
        <v>0</v>
      </c>
      <c r="AA2018" t="str">
        <f t="shared" si="479"/>
        <v/>
      </c>
      <c r="AB2018" t="str">
        <f t="shared" si="480"/>
        <v/>
      </c>
      <c r="AC2018">
        <f>IF($A2018="",0,IF(COUNTIF($A$2:$A2018,$A2018)=1,1,0))</f>
        <v>0</v>
      </c>
      <c r="AD2018">
        <f t="shared" si="481"/>
        <v>29</v>
      </c>
      <c r="AE2018" t="str">
        <f t="shared" si="482"/>
        <v/>
      </c>
    </row>
    <row r="2019" spans="1:31" x14ac:dyDescent="0.4">
      <c r="A2019" t="str">
        <f>IF(原始经营数据!$D2020="","",原始经营数据!$D2020)</f>
        <v/>
      </c>
      <c r="B2019" t="str">
        <f>IF(原始经营数据!$D2020="","",T(原始经营数据!$E2020))</f>
        <v/>
      </c>
      <c r="C2019" t="str">
        <f>IF(原始经营数据!$D2020="","",原始经营数据!$F2020)</f>
        <v/>
      </c>
      <c r="D2019" t="str">
        <f>IF(原始经营数据!$D2020="","",原始经营数据!$H2020)</f>
        <v/>
      </c>
      <c r="E2019" t="str">
        <f>IF(原始经营数据!$D2020="","",原始经营数据!$I2020)</f>
        <v/>
      </c>
      <c r="F2019" t="str">
        <f>IF(原始经营数据!$D2020="","",T(原始经营数据!$J2020))</f>
        <v/>
      </c>
      <c r="G2019" t="str">
        <f>IF(原始经营数据!$D2020="","",T(原始经营数据!$K2020))</f>
        <v/>
      </c>
      <c r="H2019" t="str">
        <f>IF(原始经营数据!$D2020="","",原始经营数据!$G2020)</f>
        <v/>
      </c>
      <c r="I2019" t="str">
        <f>IF($A2019="","",IF($B2019&lt;&gt;"",$B2019,IF(COUNTIFS(原始经营数据!$D$3:$D$3001,$A2019,原始经营数据!$E$3:$E$3001,"",原始经营数据!$F$3:$F$3001,$C2019,原始经营数据!$H$3:$H$3001,$D2019,原始经营数据!$K$3:$K$3001,$G2019)&gt;1,"基金整体·来源"&amp;原始经营数据!$A2020,"基金整体")))</f>
        <v/>
      </c>
      <c r="J2019" t="str">
        <f t="shared" si="468"/>
        <v/>
      </c>
      <c r="K2019" t="str">
        <f t="shared" si="469"/>
        <v/>
      </c>
      <c r="L2019" t="str">
        <f t="shared" si="470"/>
        <v/>
      </c>
      <c r="M2019">
        <f>IF($A2019="",0,IF(COUNTIF($L$2:$L2019,$L2019)=1,1,0))</f>
        <v>0</v>
      </c>
      <c r="N2019" t="str">
        <f t="shared" si="471"/>
        <v/>
      </c>
      <c r="O2019" t="str">
        <f t="shared" si="472"/>
        <v/>
      </c>
      <c r="P2019">
        <f>IF($A2019="",0,IF(COUNTIF($O$2:$O2019,$O2019)=1,1,0))</f>
        <v>0</v>
      </c>
      <c r="Q2019" t="str">
        <f>IF(AND($P2019=1,$A2019=经营数据!$B$3,$J2019=经营数据!$BA$5),COUNTIFS($P$2:$P$3000,1,$A$2:$A$3000,$A2019,$J$2:$J$3000,$J2019,$N$2:$N$3000,"&lt;"&amp;$N2019)+1,"")</f>
        <v/>
      </c>
      <c r="R2019" t="str">
        <f t="shared" si="473"/>
        <v/>
      </c>
      <c r="S2019">
        <f>IF($A2019="",0,IF(COUNTIF($R$2:$R2019,$R2019)=1,1,0))</f>
        <v>0</v>
      </c>
      <c r="T2019" t="str">
        <f t="shared" si="474"/>
        <v/>
      </c>
      <c r="U2019" t="str">
        <f>IF($A2019="","",IF($A2019=经营数据!$B$3,COUNTIFS($S$2:$S$3000,1,$A$2:$A$3000,$A2019,$T$2:$T$3000,"&lt;"&amp;$T2019)+1,""))</f>
        <v/>
      </c>
      <c r="V2019" t="str">
        <f t="shared" si="475"/>
        <v/>
      </c>
      <c r="W2019" t="str">
        <f t="shared" si="476"/>
        <v/>
      </c>
      <c r="X2019" t="str">
        <f t="shared" si="477"/>
        <v/>
      </c>
      <c r="Y2019" t="str">
        <f t="shared" si="478"/>
        <v/>
      </c>
      <c r="Z2019">
        <f>IF($A2019="",0,IF(AND($M2019=1,$A2019=经营数据!$B$3,$J2019=经营数据!$BA$5,OR($I2019=经营数据!$BA$4,COUNTIF(经营数据!$AA$9:$AA$38,$I2019)&gt;0)),1,0))</f>
        <v>0</v>
      </c>
      <c r="AA2019" t="str">
        <f t="shared" si="479"/>
        <v/>
      </c>
      <c r="AB2019" t="str">
        <f t="shared" si="480"/>
        <v/>
      </c>
      <c r="AC2019">
        <f>IF($A2019="",0,IF(COUNTIF($A$2:$A2019,$A2019)=1,1,0))</f>
        <v>0</v>
      </c>
      <c r="AD2019">
        <f t="shared" si="481"/>
        <v>29</v>
      </c>
      <c r="AE2019" t="str">
        <f t="shared" si="482"/>
        <v/>
      </c>
    </row>
    <row r="2020" spans="1:31" x14ac:dyDescent="0.4">
      <c r="A2020" t="str">
        <f>IF(原始经营数据!$D2021="","",原始经营数据!$D2021)</f>
        <v/>
      </c>
      <c r="B2020" t="str">
        <f>IF(原始经营数据!$D2021="","",T(原始经营数据!$E2021))</f>
        <v/>
      </c>
      <c r="C2020" t="str">
        <f>IF(原始经营数据!$D2021="","",原始经营数据!$F2021)</f>
        <v/>
      </c>
      <c r="D2020" t="str">
        <f>IF(原始经营数据!$D2021="","",原始经营数据!$H2021)</f>
        <v/>
      </c>
      <c r="E2020" t="str">
        <f>IF(原始经营数据!$D2021="","",原始经营数据!$I2021)</f>
        <v/>
      </c>
      <c r="F2020" t="str">
        <f>IF(原始经营数据!$D2021="","",T(原始经营数据!$J2021))</f>
        <v/>
      </c>
      <c r="G2020" t="str">
        <f>IF(原始经营数据!$D2021="","",T(原始经营数据!$K2021))</f>
        <v/>
      </c>
      <c r="H2020" t="str">
        <f>IF(原始经营数据!$D2021="","",原始经营数据!$G2021)</f>
        <v/>
      </c>
      <c r="I2020" t="str">
        <f>IF($A2020="","",IF($B2020&lt;&gt;"",$B2020,IF(COUNTIFS(原始经营数据!$D$3:$D$3001,$A2020,原始经营数据!$E$3:$E$3001,"",原始经营数据!$F$3:$F$3001,$C2020,原始经营数据!$H$3:$H$3001,$D2020,原始经营数据!$K$3:$K$3001,$G2020)&gt;1,"基金整体·来源"&amp;原始经营数据!$A2021,"基金整体")))</f>
        <v/>
      </c>
      <c r="J2020" t="str">
        <f t="shared" si="468"/>
        <v/>
      </c>
      <c r="K2020" t="str">
        <f t="shared" si="469"/>
        <v/>
      </c>
      <c r="L2020" t="str">
        <f t="shared" si="470"/>
        <v/>
      </c>
      <c r="M2020">
        <f>IF($A2020="",0,IF(COUNTIF($L$2:$L2020,$L2020)=1,1,0))</f>
        <v>0</v>
      </c>
      <c r="N2020" t="str">
        <f t="shared" si="471"/>
        <v/>
      </c>
      <c r="O2020" t="str">
        <f t="shared" si="472"/>
        <v/>
      </c>
      <c r="P2020">
        <f>IF($A2020="",0,IF(COUNTIF($O$2:$O2020,$O2020)=1,1,0))</f>
        <v>0</v>
      </c>
      <c r="Q2020" t="str">
        <f>IF(AND($P2020=1,$A2020=经营数据!$B$3,$J2020=经营数据!$BA$5),COUNTIFS($P$2:$P$3000,1,$A$2:$A$3000,$A2020,$J$2:$J$3000,$J2020,$N$2:$N$3000,"&lt;"&amp;$N2020)+1,"")</f>
        <v/>
      </c>
      <c r="R2020" t="str">
        <f t="shared" si="473"/>
        <v/>
      </c>
      <c r="S2020">
        <f>IF($A2020="",0,IF(COUNTIF($R$2:$R2020,$R2020)=1,1,0))</f>
        <v>0</v>
      </c>
      <c r="T2020" t="str">
        <f t="shared" si="474"/>
        <v/>
      </c>
      <c r="U2020" t="str">
        <f>IF($A2020="","",IF($A2020=经营数据!$B$3,COUNTIFS($S$2:$S$3000,1,$A$2:$A$3000,$A2020,$T$2:$T$3000,"&lt;"&amp;$T2020)+1,""))</f>
        <v/>
      </c>
      <c r="V2020" t="str">
        <f t="shared" si="475"/>
        <v/>
      </c>
      <c r="W2020" t="str">
        <f t="shared" si="476"/>
        <v/>
      </c>
      <c r="X2020" t="str">
        <f t="shared" si="477"/>
        <v/>
      </c>
      <c r="Y2020" t="str">
        <f t="shared" si="478"/>
        <v/>
      </c>
      <c r="Z2020">
        <f>IF($A2020="",0,IF(AND($M2020=1,$A2020=经营数据!$B$3,$J2020=经营数据!$BA$5,OR($I2020=经营数据!$BA$4,COUNTIF(经营数据!$AA$9:$AA$38,$I2020)&gt;0)),1,0))</f>
        <v>0</v>
      </c>
      <c r="AA2020" t="str">
        <f t="shared" si="479"/>
        <v/>
      </c>
      <c r="AB2020" t="str">
        <f t="shared" si="480"/>
        <v/>
      </c>
      <c r="AC2020">
        <f>IF($A2020="",0,IF(COUNTIF($A$2:$A2020,$A2020)=1,1,0))</f>
        <v>0</v>
      </c>
      <c r="AD2020">
        <f t="shared" si="481"/>
        <v>29</v>
      </c>
      <c r="AE2020" t="str">
        <f t="shared" si="482"/>
        <v/>
      </c>
    </row>
    <row r="2021" spans="1:31" x14ac:dyDescent="0.4">
      <c r="A2021" t="str">
        <f>IF(原始经营数据!$D2022="","",原始经营数据!$D2022)</f>
        <v/>
      </c>
      <c r="B2021" t="str">
        <f>IF(原始经营数据!$D2022="","",T(原始经营数据!$E2022))</f>
        <v/>
      </c>
      <c r="C2021" t="str">
        <f>IF(原始经营数据!$D2022="","",原始经营数据!$F2022)</f>
        <v/>
      </c>
      <c r="D2021" t="str">
        <f>IF(原始经营数据!$D2022="","",原始经营数据!$H2022)</f>
        <v/>
      </c>
      <c r="E2021" t="str">
        <f>IF(原始经营数据!$D2022="","",原始经营数据!$I2022)</f>
        <v/>
      </c>
      <c r="F2021" t="str">
        <f>IF(原始经营数据!$D2022="","",T(原始经营数据!$J2022))</f>
        <v/>
      </c>
      <c r="G2021" t="str">
        <f>IF(原始经营数据!$D2022="","",T(原始经营数据!$K2022))</f>
        <v/>
      </c>
      <c r="H2021" t="str">
        <f>IF(原始经营数据!$D2022="","",原始经营数据!$G2022)</f>
        <v/>
      </c>
      <c r="I2021" t="str">
        <f>IF($A2021="","",IF($B2021&lt;&gt;"",$B2021,IF(COUNTIFS(原始经营数据!$D$3:$D$3001,$A2021,原始经营数据!$E$3:$E$3001,"",原始经营数据!$F$3:$F$3001,$C2021,原始经营数据!$H$3:$H$3001,$D2021,原始经营数据!$K$3:$K$3001,$G2021)&gt;1,"基金整体·来源"&amp;原始经营数据!$A2022,"基金整体")))</f>
        <v/>
      </c>
      <c r="J2021" t="str">
        <f t="shared" si="468"/>
        <v/>
      </c>
      <c r="K2021" t="str">
        <f t="shared" si="469"/>
        <v/>
      </c>
      <c r="L2021" t="str">
        <f t="shared" si="470"/>
        <v/>
      </c>
      <c r="M2021">
        <f>IF($A2021="",0,IF(COUNTIF($L$2:$L2021,$L2021)=1,1,0))</f>
        <v>0</v>
      </c>
      <c r="N2021" t="str">
        <f t="shared" si="471"/>
        <v/>
      </c>
      <c r="O2021" t="str">
        <f t="shared" si="472"/>
        <v/>
      </c>
      <c r="P2021">
        <f>IF($A2021="",0,IF(COUNTIF($O$2:$O2021,$O2021)=1,1,0))</f>
        <v>0</v>
      </c>
      <c r="Q2021" t="str">
        <f>IF(AND($P2021=1,$A2021=经营数据!$B$3,$J2021=经营数据!$BA$5),COUNTIFS($P$2:$P$3000,1,$A$2:$A$3000,$A2021,$J$2:$J$3000,$J2021,$N$2:$N$3000,"&lt;"&amp;$N2021)+1,"")</f>
        <v/>
      </c>
      <c r="R2021" t="str">
        <f t="shared" si="473"/>
        <v/>
      </c>
      <c r="S2021">
        <f>IF($A2021="",0,IF(COUNTIF($R$2:$R2021,$R2021)=1,1,0))</f>
        <v>0</v>
      </c>
      <c r="T2021" t="str">
        <f t="shared" si="474"/>
        <v/>
      </c>
      <c r="U2021" t="str">
        <f>IF($A2021="","",IF($A2021=经营数据!$B$3,COUNTIFS($S$2:$S$3000,1,$A$2:$A$3000,$A2021,$T$2:$T$3000,"&lt;"&amp;$T2021)+1,""))</f>
        <v/>
      </c>
      <c r="V2021" t="str">
        <f t="shared" si="475"/>
        <v/>
      </c>
      <c r="W2021" t="str">
        <f t="shared" si="476"/>
        <v/>
      </c>
      <c r="X2021" t="str">
        <f t="shared" si="477"/>
        <v/>
      </c>
      <c r="Y2021" t="str">
        <f t="shared" si="478"/>
        <v/>
      </c>
      <c r="Z2021">
        <f>IF($A2021="",0,IF(AND($M2021=1,$A2021=经营数据!$B$3,$J2021=经营数据!$BA$5,OR($I2021=经营数据!$BA$4,COUNTIF(经营数据!$AA$9:$AA$38,$I2021)&gt;0)),1,0))</f>
        <v>0</v>
      </c>
      <c r="AA2021" t="str">
        <f t="shared" si="479"/>
        <v/>
      </c>
      <c r="AB2021" t="str">
        <f t="shared" si="480"/>
        <v/>
      </c>
      <c r="AC2021">
        <f>IF($A2021="",0,IF(COUNTIF($A$2:$A2021,$A2021)=1,1,0))</f>
        <v>0</v>
      </c>
      <c r="AD2021">
        <f t="shared" si="481"/>
        <v>29</v>
      </c>
      <c r="AE2021" t="str">
        <f t="shared" si="482"/>
        <v/>
      </c>
    </row>
    <row r="2022" spans="1:31" x14ac:dyDescent="0.4">
      <c r="A2022" t="str">
        <f>IF(原始经营数据!$D2023="","",原始经营数据!$D2023)</f>
        <v/>
      </c>
      <c r="B2022" t="str">
        <f>IF(原始经营数据!$D2023="","",T(原始经营数据!$E2023))</f>
        <v/>
      </c>
      <c r="C2022" t="str">
        <f>IF(原始经营数据!$D2023="","",原始经营数据!$F2023)</f>
        <v/>
      </c>
      <c r="D2022" t="str">
        <f>IF(原始经营数据!$D2023="","",原始经营数据!$H2023)</f>
        <v/>
      </c>
      <c r="E2022" t="str">
        <f>IF(原始经营数据!$D2023="","",原始经营数据!$I2023)</f>
        <v/>
      </c>
      <c r="F2022" t="str">
        <f>IF(原始经营数据!$D2023="","",T(原始经营数据!$J2023))</f>
        <v/>
      </c>
      <c r="G2022" t="str">
        <f>IF(原始经营数据!$D2023="","",T(原始经营数据!$K2023))</f>
        <v/>
      </c>
      <c r="H2022" t="str">
        <f>IF(原始经营数据!$D2023="","",原始经营数据!$G2023)</f>
        <v/>
      </c>
      <c r="I2022" t="str">
        <f>IF($A2022="","",IF($B2022&lt;&gt;"",$B2022,IF(COUNTIFS(原始经营数据!$D$3:$D$3001,$A2022,原始经营数据!$E$3:$E$3001,"",原始经营数据!$F$3:$F$3001,$C2022,原始经营数据!$H$3:$H$3001,$D2022,原始经营数据!$K$3:$K$3001,$G2022)&gt;1,"基金整体·来源"&amp;原始经营数据!$A2023,"基金整体")))</f>
        <v/>
      </c>
      <c r="J2022" t="str">
        <f t="shared" si="468"/>
        <v/>
      </c>
      <c r="K2022" t="str">
        <f t="shared" si="469"/>
        <v/>
      </c>
      <c r="L2022" t="str">
        <f t="shared" si="470"/>
        <v/>
      </c>
      <c r="M2022">
        <f>IF($A2022="",0,IF(COUNTIF($L$2:$L2022,$L2022)=1,1,0))</f>
        <v>0</v>
      </c>
      <c r="N2022" t="str">
        <f t="shared" si="471"/>
        <v/>
      </c>
      <c r="O2022" t="str">
        <f t="shared" si="472"/>
        <v/>
      </c>
      <c r="P2022">
        <f>IF($A2022="",0,IF(COUNTIF($O$2:$O2022,$O2022)=1,1,0))</f>
        <v>0</v>
      </c>
      <c r="Q2022" t="str">
        <f>IF(AND($P2022=1,$A2022=经营数据!$B$3,$J2022=经营数据!$BA$5),COUNTIFS($P$2:$P$3000,1,$A$2:$A$3000,$A2022,$J$2:$J$3000,$J2022,$N$2:$N$3000,"&lt;"&amp;$N2022)+1,"")</f>
        <v/>
      </c>
      <c r="R2022" t="str">
        <f t="shared" si="473"/>
        <v/>
      </c>
      <c r="S2022">
        <f>IF($A2022="",0,IF(COUNTIF($R$2:$R2022,$R2022)=1,1,0))</f>
        <v>0</v>
      </c>
      <c r="T2022" t="str">
        <f t="shared" si="474"/>
        <v/>
      </c>
      <c r="U2022" t="str">
        <f>IF($A2022="","",IF($A2022=经营数据!$B$3,COUNTIFS($S$2:$S$3000,1,$A$2:$A$3000,$A2022,$T$2:$T$3000,"&lt;"&amp;$T2022)+1,""))</f>
        <v/>
      </c>
      <c r="V2022" t="str">
        <f t="shared" si="475"/>
        <v/>
      </c>
      <c r="W2022" t="str">
        <f t="shared" si="476"/>
        <v/>
      </c>
      <c r="X2022" t="str">
        <f t="shared" si="477"/>
        <v/>
      </c>
      <c r="Y2022" t="str">
        <f t="shared" si="478"/>
        <v/>
      </c>
      <c r="Z2022">
        <f>IF($A2022="",0,IF(AND($M2022=1,$A2022=经营数据!$B$3,$J2022=经营数据!$BA$5,OR($I2022=经营数据!$BA$4,COUNTIF(经营数据!$AA$9:$AA$38,$I2022)&gt;0)),1,0))</f>
        <v>0</v>
      </c>
      <c r="AA2022" t="str">
        <f t="shared" si="479"/>
        <v/>
      </c>
      <c r="AB2022" t="str">
        <f t="shared" si="480"/>
        <v/>
      </c>
      <c r="AC2022">
        <f>IF($A2022="",0,IF(COUNTIF($A$2:$A2022,$A2022)=1,1,0))</f>
        <v>0</v>
      </c>
      <c r="AD2022">
        <f t="shared" si="481"/>
        <v>29</v>
      </c>
      <c r="AE2022" t="str">
        <f t="shared" si="482"/>
        <v/>
      </c>
    </row>
    <row r="2023" spans="1:31" x14ac:dyDescent="0.4">
      <c r="A2023" t="str">
        <f>IF(原始经营数据!$D2024="","",原始经营数据!$D2024)</f>
        <v/>
      </c>
      <c r="B2023" t="str">
        <f>IF(原始经营数据!$D2024="","",T(原始经营数据!$E2024))</f>
        <v/>
      </c>
      <c r="C2023" t="str">
        <f>IF(原始经营数据!$D2024="","",原始经营数据!$F2024)</f>
        <v/>
      </c>
      <c r="D2023" t="str">
        <f>IF(原始经营数据!$D2024="","",原始经营数据!$H2024)</f>
        <v/>
      </c>
      <c r="E2023" t="str">
        <f>IF(原始经营数据!$D2024="","",原始经营数据!$I2024)</f>
        <v/>
      </c>
      <c r="F2023" t="str">
        <f>IF(原始经营数据!$D2024="","",T(原始经营数据!$J2024))</f>
        <v/>
      </c>
      <c r="G2023" t="str">
        <f>IF(原始经营数据!$D2024="","",T(原始经营数据!$K2024))</f>
        <v/>
      </c>
      <c r="H2023" t="str">
        <f>IF(原始经营数据!$D2024="","",原始经营数据!$G2024)</f>
        <v/>
      </c>
      <c r="I2023" t="str">
        <f>IF($A2023="","",IF($B2023&lt;&gt;"",$B2023,IF(COUNTIFS(原始经营数据!$D$3:$D$3001,$A2023,原始经营数据!$E$3:$E$3001,"",原始经营数据!$F$3:$F$3001,$C2023,原始经营数据!$H$3:$H$3001,$D2023,原始经营数据!$K$3:$K$3001,$G2023)&gt;1,"基金整体·来源"&amp;原始经营数据!$A2024,"基金整体")))</f>
        <v/>
      </c>
      <c r="J2023" t="str">
        <f t="shared" si="468"/>
        <v/>
      </c>
      <c r="K2023" t="str">
        <f t="shared" si="469"/>
        <v/>
      </c>
      <c r="L2023" t="str">
        <f t="shared" si="470"/>
        <v/>
      </c>
      <c r="M2023">
        <f>IF($A2023="",0,IF(COUNTIF($L$2:$L2023,$L2023)=1,1,0))</f>
        <v>0</v>
      </c>
      <c r="N2023" t="str">
        <f t="shared" si="471"/>
        <v/>
      </c>
      <c r="O2023" t="str">
        <f t="shared" si="472"/>
        <v/>
      </c>
      <c r="P2023">
        <f>IF($A2023="",0,IF(COUNTIF($O$2:$O2023,$O2023)=1,1,0))</f>
        <v>0</v>
      </c>
      <c r="Q2023" t="str">
        <f>IF(AND($P2023=1,$A2023=经营数据!$B$3,$J2023=经营数据!$BA$5),COUNTIFS($P$2:$P$3000,1,$A$2:$A$3000,$A2023,$J$2:$J$3000,$J2023,$N$2:$N$3000,"&lt;"&amp;$N2023)+1,"")</f>
        <v/>
      </c>
      <c r="R2023" t="str">
        <f t="shared" si="473"/>
        <v/>
      </c>
      <c r="S2023">
        <f>IF($A2023="",0,IF(COUNTIF($R$2:$R2023,$R2023)=1,1,0))</f>
        <v>0</v>
      </c>
      <c r="T2023" t="str">
        <f t="shared" si="474"/>
        <v/>
      </c>
      <c r="U2023" t="str">
        <f>IF($A2023="","",IF($A2023=经营数据!$B$3,COUNTIFS($S$2:$S$3000,1,$A$2:$A$3000,$A2023,$T$2:$T$3000,"&lt;"&amp;$T2023)+1,""))</f>
        <v/>
      </c>
      <c r="V2023" t="str">
        <f t="shared" si="475"/>
        <v/>
      </c>
      <c r="W2023" t="str">
        <f t="shared" si="476"/>
        <v/>
      </c>
      <c r="X2023" t="str">
        <f t="shared" si="477"/>
        <v/>
      </c>
      <c r="Y2023" t="str">
        <f t="shared" si="478"/>
        <v/>
      </c>
      <c r="Z2023">
        <f>IF($A2023="",0,IF(AND($M2023=1,$A2023=经营数据!$B$3,$J2023=经营数据!$BA$5,OR($I2023=经营数据!$BA$4,COUNTIF(经营数据!$AA$9:$AA$38,$I2023)&gt;0)),1,0))</f>
        <v>0</v>
      </c>
      <c r="AA2023" t="str">
        <f t="shared" si="479"/>
        <v/>
      </c>
      <c r="AB2023" t="str">
        <f t="shared" si="480"/>
        <v/>
      </c>
      <c r="AC2023">
        <f>IF($A2023="",0,IF(COUNTIF($A$2:$A2023,$A2023)=1,1,0))</f>
        <v>0</v>
      </c>
      <c r="AD2023">
        <f t="shared" si="481"/>
        <v>29</v>
      </c>
      <c r="AE2023" t="str">
        <f t="shared" si="482"/>
        <v/>
      </c>
    </row>
    <row r="2024" spans="1:31" x14ac:dyDescent="0.4">
      <c r="A2024" t="str">
        <f>IF(原始经营数据!$D2025="","",原始经营数据!$D2025)</f>
        <v/>
      </c>
      <c r="B2024" t="str">
        <f>IF(原始经营数据!$D2025="","",T(原始经营数据!$E2025))</f>
        <v/>
      </c>
      <c r="C2024" t="str">
        <f>IF(原始经营数据!$D2025="","",原始经营数据!$F2025)</f>
        <v/>
      </c>
      <c r="D2024" t="str">
        <f>IF(原始经营数据!$D2025="","",原始经营数据!$H2025)</f>
        <v/>
      </c>
      <c r="E2024" t="str">
        <f>IF(原始经营数据!$D2025="","",原始经营数据!$I2025)</f>
        <v/>
      </c>
      <c r="F2024" t="str">
        <f>IF(原始经营数据!$D2025="","",T(原始经营数据!$J2025))</f>
        <v/>
      </c>
      <c r="G2024" t="str">
        <f>IF(原始经营数据!$D2025="","",T(原始经营数据!$K2025))</f>
        <v/>
      </c>
      <c r="H2024" t="str">
        <f>IF(原始经营数据!$D2025="","",原始经营数据!$G2025)</f>
        <v/>
      </c>
      <c r="I2024" t="str">
        <f>IF($A2024="","",IF($B2024&lt;&gt;"",$B2024,IF(COUNTIFS(原始经营数据!$D$3:$D$3001,$A2024,原始经营数据!$E$3:$E$3001,"",原始经营数据!$F$3:$F$3001,$C2024,原始经营数据!$H$3:$H$3001,$D2024,原始经营数据!$K$3:$K$3001,$G2024)&gt;1,"基金整体·来源"&amp;原始经营数据!$A2025,"基金整体")))</f>
        <v/>
      </c>
      <c r="J2024" t="str">
        <f t="shared" si="468"/>
        <v/>
      </c>
      <c r="K2024" t="str">
        <f t="shared" si="469"/>
        <v/>
      </c>
      <c r="L2024" t="str">
        <f t="shared" si="470"/>
        <v/>
      </c>
      <c r="M2024">
        <f>IF($A2024="",0,IF(COUNTIF($L$2:$L2024,$L2024)=1,1,0))</f>
        <v>0</v>
      </c>
      <c r="N2024" t="str">
        <f t="shared" si="471"/>
        <v/>
      </c>
      <c r="O2024" t="str">
        <f t="shared" si="472"/>
        <v/>
      </c>
      <c r="P2024">
        <f>IF($A2024="",0,IF(COUNTIF($O$2:$O2024,$O2024)=1,1,0))</f>
        <v>0</v>
      </c>
      <c r="Q2024" t="str">
        <f>IF(AND($P2024=1,$A2024=经营数据!$B$3,$J2024=经营数据!$BA$5),COUNTIFS($P$2:$P$3000,1,$A$2:$A$3000,$A2024,$J$2:$J$3000,$J2024,$N$2:$N$3000,"&lt;"&amp;$N2024)+1,"")</f>
        <v/>
      </c>
      <c r="R2024" t="str">
        <f t="shared" si="473"/>
        <v/>
      </c>
      <c r="S2024">
        <f>IF($A2024="",0,IF(COUNTIF($R$2:$R2024,$R2024)=1,1,0))</f>
        <v>0</v>
      </c>
      <c r="T2024" t="str">
        <f t="shared" si="474"/>
        <v/>
      </c>
      <c r="U2024" t="str">
        <f>IF($A2024="","",IF($A2024=经营数据!$B$3,COUNTIFS($S$2:$S$3000,1,$A$2:$A$3000,$A2024,$T$2:$T$3000,"&lt;"&amp;$T2024)+1,""))</f>
        <v/>
      </c>
      <c r="V2024" t="str">
        <f t="shared" si="475"/>
        <v/>
      </c>
      <c r="W2024" t="str">
        <f t="shared" si="476"/>
        <v/>
      </c>
      <c r="X2024" t="str">
        <f t="shared" si="477"/>
        <v/>
      </c>
      <c r="Y2024" t="str">
        <f t="shared" si="478"/>
        <v/>
      </c>
      <c r="Z2024">
        <f>IF($A2024="",0,IF(AND($M2024=1,$A2024=经营数据!$B$3,$J2024=经营数据!$BA$5,OR($I2024=经营数据!$BA$4,COUNTIF(经营数据!$AA$9:$AA$38,$I2024)&gt;0)),1,0))</f>
        <v>0</v>
      </c>
      <c r="AA2024" t="str">
        <f t="shared" si="479"/>
        <v/>
      </c>
      <c r="AB2024" t="str">
        <f t="shared" si="480"/>
        <v/>
      </c>
      <c r="AC2024">
        <f>IF($A2024="",0,IF(COUNTIF($A$2:$A2024,$A2024)=1,1,0))</f>
        <v>0</v>
      </c>
      <c r="AD2024">
        <f t="shared" si="481"/>
        <v>29</v>
      </c>
      <c r="AE2024" t="str">
        <f t="shared" si="482"/>
        <v/>
      </c>
    </row>
    <row r="2025" spans="1:31" x14ac:dyDescent="0.4">
      <c r="A2025" t="str">
        <f>IF(原始经营数据!$D2026="","",原始经营数据!$D2026)</f>
        <v/>
      </c>
      <c r="B2025" t="str">
        <f>IF(原始经营数据!$D2026="","",T(原始经营数据!$E2026))</f>
        <v/>
      </c>
      <c r="C2025" t="str">
        <f>IF(原始经营数据!$D2026="","",原始经营数据!$F2026)</f>
        <v/>
      </c>
      <c r="D2025" t="str">
        <f>IF(原始经营数据!$D2026="","",原始经营数据!$H2026)</f>
        <v/>
      </c>
      <c r="E2025" t="str">
        <f>IF(原始经营数据!$D2026="","",原始经营数据!$I2026)</f>
        <v/>
      </c>
      <c r="F2025" t="str">
        <f>IF(原始经营数据!$D2026="","",T(原始经营数据!$J2026))</f>
        <v/>
      </c>
      <c r="G2025" t="str">
        <f>IF(原始经营数据!$D2026="","",T(原始经营数据!$K2026))</f>
        <v/>
      </c>
      <c r="H2025" t="str">
        <f>IF(原始经营数据!$D2026="","",原始经营数据!$G2026)</f>
        <v/>
      </c>
      <c r="I2025" t="str">
        <f>IF($A2025="","",IF($B2025&lt;&gt;"",$B2025,IF(COUNTIFS(原始经营数据!$D$3:$D$3001,$A2025,原始经营数据!$E$3:$E$3001,"",原始经营数据!$F$3:$F$3001,$C2025,原始经营数据!$H$3:$H$3001,$D2025,原始经营数据!$K$3:$K$3001,$G2025)&gt;1,"基金整体·来源"&amp;原始经营数据!$A2026,"基金整体")))</f>
        <v/>
      </c>
      <c r="J2025" t="str">
        <f t="shared" si="468"/>
        <v/>
      </c>
      <c r="K2025" t="str">
        <f t="shared" si="469"/>
        <v/>
      </c>
      <c r="L2025" t="str">
        <f t="shared" si="470"/>
        <v/>
      </c>
      <c r="M2025">
        <f>IF($A2025="",0,IF(COUNTIF($L$2:$L2025,$L2025)=1,1,0))</f>
        <v>0</v>
      </c>
      <c r="N2025" t="str">
        <f t="shared" si="471"/>
        <v/>
      </c>
      <c r="O2025" t="str">
        <f t="shared" si="472"/>
        <v/>
      </c>
      <c r="P2025">
        <f>IF($A2025="",0,IF(COUNTIF($O$2:$O2025,$O2025)=1,1,0))</f>
        <v>0</v>
      </c>
      <c r="Q2025" t="str">
        <f>IF(AND($P2025=1,$A2025=经营数据!$B$3,$J2025=经营数据!$BA$5),COUNTIFS($P$2:$P$3000,1,$A$2:$A$3000,$A2025,$J$2:$J$3000,$J2025,$N$2:$N$3000,"&lt;"&amp;$N2025)+1,"")</f>
        <v/>
      </c>
      <c r="R2025" t="str">
        <f t="shared" si="473"/>
        <v/>
      </c>
      <c r="S2025">
        <f>IF($A2025="",0,IF(COUNTIF($R$2:$R2025,$R2025)=1,1,0))</f>
        <v>0</v>
      </c>
      <c r="T2025" t="str">
        <f t="shared" si="474"/>
        <v/>
      </c>
      <c r="U2025" t="str">
        <f>IF($A2025="","",IF($A2025=经营数据!$B$3,COUNTIFS($S$2:$S$3000,1,$A$2:$A$3000,$A2025,$T$2:$T$3000,"&lt;"&amp;$T2025)+1,""))</f>
        <v/>
      </c>
      <c r="V2025" t="str">
        <f t="shared" si="475"/>
        <v/>
      </c>
      <c r="W2025" t="str">
        <f t="shared" si="476"/>
        <v/>
      </c>
      <c r="X2025" t="str">
        <f t="shared" si="477"/>
        <v/>
      </c>
      <c r="Y2025" t="str">
        <f t="shared" si="478"/>
        <v/>
      </c>
      <c r="Z2025">
        <f>IF($A2025="",0,IF(AND($M2025=1,$A2025=经营数据!$B$3,$J2025=经营数据!$BA$5,OR($I2025=经营数据!$BA$4,COUNTIF(经营数据!$AA$9:$AA$38,$I2025)&gt;0)),1,0))</f>
        <v>0</v>
      </c>
      <c r="AA2025" t="str">
        <f t="shared" si="479"/>
        <v/>
      </c>
      <c r="AB2025" t="str">
        <f t="shared" si="480"/>
        <v/>
      </c>
      <c r="AC2025">
        <f>IF($A2025="",0,IF(COUNTIF($A$2:$A2025,$A2025)=1,1,0))</f>
        <v>0</v>
      </c>
      <c r="AD2025">
        <f t="shared" si="481"/>
        <v>29</v>
      </c>
      <c r="AE2025" t="str">
        <f t="shared" si="482"/>
        <v/>
      </c>
    </row>
    <row r="2026" spans="1:31" x14ac:dyDescent="0.4">
      <c r="A2026" t="str">
        <f>IF(原始经营数据!$D2027="","",原始经营数据!$D2027)</f>
        <v/>
      </c>
      <c r="B2026" t="str">
        <f>IF(原始经营数据!$D2027="","",T(原始经营数据!$E2027))</f>
        <v/>
      </c>
      <c r="C2026" t="str">
        <f>IF(原始经营数据!$D2027="","",原始经营数据!$F2027)</f>
        <v/>
      </c>
      <c r="D2026" t="str">
        <f>IF(原始经营数据!$D2027="","",原始经营数据!$H2027)</f>
        <v/>
      </c>
      <c r="E2026" t="str">
        <f>IF(原始经营数据!$D2027="","",原始经营数据!$I2027)</f>
        <v/>
      </c>
      <c r="F2026" t="str">
        <f>IF(原始经营数据!$D2027="","",T(原始经营数据!$J2027))</f>
        <v/>
      </c>
      <c r="G2026" t="str">
        <f>IF(原始经营数据!$D2027="","",T(原始经营数据!$K2027))</f>
        <v/>
      </c>
      <c r="H2026" t="str">
        <f>IF(原始经营数据!$D2027="","",原始经营数据!$G2027)</f>
        <v/>
      </c>
      <c r="I2026" t="str">
        <f>IF($A2026="","",IF($B2026&lt;&gt;"",$B2026,IF(COUNTIFS(原始经营数据!$D$3:$D$3001,$A2026,原始经营数据!$E$3:$E$3001,"",原始经营数据!$F$3:$F$3001,$C2026,原始经营数据!$H$3:$H$3001,$D2026,原始经营数据!$K$3:$K$3001,$G2026)&gt;1,"基金整体·来源"&amp;原始经营数据!$A2027,"基金整体")))</f>
        <v/>
      </c>
      <c r="J2026" t="str">
        <f t="shared" si="468"/>
        <v/>
      </c>
      <c r="K2026" t="str">
        <f t="shared" si="469"/>
        <v/>
      </c>
      <c r="L2026" t="str">
        <f t="shared" si="470"/>
        <v/>
      </c>
      <c r="M2026">
        <f>IF($A2026="",0,IF(COUNTIF($L$2:$L2026,$L2026)=1,1,0))</f>
        <v>0</v>
      </c>
      <c r="N2026" t="str">
        <f t="shared" si="471"/>
        <v/>
      </c>
      <c r="O2026" t="str">
        <f t="shared" si="472"/>
        <v/>
      </c>
      <c r="P2026">
        <f>IF($A2026="",0,IF(COUNTIF($O$2:$O2026,$O2026)=1,1,0))</f>
        <v>0</v>
      </c>
      <c r="Q2026" t="str">
        <f>IF(AND($P2026=1,$A2026=经营数据!$B$3,$J2026=经营数据!$BA$5),COUNTIFS($P$2:$P$3000,1,$A$2:$A$3000,$A2026,$J$2:$J$3000,$J2026,$N$2:$N$3000,"&lt;"&amp;$N2026)+1,"")</f>
        <v/>
      </c>
      <c r="R2026" t="str">
        <f t="shared" si="473"/>
        <v/>
      </c>
      <c r="S2026">
        <f>IF($A2026="",0,IF(COUNTIF($R$2:$R2026,$R2026)=1,1,0))</f>
        <v>0</v>
      </c>
      <c r="T2026" t="str">
        <f t="shared" si="474"/>
        <v/>
      </c>
      <c r="U2026" t="str">
        <f>IF($A2026="","",IF($A2026=经营数据!$B$3,COUNTIFS($S$2:$S$3000,1,$A$2:$A$3000,$A2026,$T$2:$T$3000,"&lt;"&amp;$T2026)+1,""))</f>
        <v/>
      </c>
      <c r="V2026" t="str">
        <f t="shared" si="475"/>
        <v/>
      </c>
      <c r="W2026" t="str">
        <f t="shared" si="476"/>
        <v/>
      </c>
      <c r="X2026" t="str">
        <f t="shared" si="477"/>
        <v/>
      </c>
      <c r="Y2026" t="str">
        <f t="shared" si="478"/>
        <v/>
      </c>
      <c r="Z2026">
        <f>IF($A2026="",0,IF(AND($M2026=1,$A2026=经营数据!$B$3,$J2026=经营数据!$BA$5,OR($I2026=经营数据!$BA$4,COUNTIF(经营数据!$AA$9:$AA$38,$I2026)&gt;0)),1,0))</f>
        <v>0</v>
      </c>
      <c r="AA2026" t="str">
        <f t="shared" si="479"/>
        <v/>
      </c>
      <c r="AB2026" t="str">
        <f t="shared" si="480"/>
        <v/>
      </c>
      <c r="AC2026">
        <f>IF($A2026="",0,IF(COUNTIF($A$2:$A2026,$A2026)=1,1,0))</f>
        <v>0</v>
      </c>
      <c r="AD2026">
        <f t="shared" si="481"/>
        <v>29</v>
      </c>
      <c r="AE2026" t="str">
        <f t="shared" si="482"/>
        <v/>
      </c>
    </row>
    <row r="2027" spans="1:31" x14ac:dyDescent="0.4">
      <c r="A2027" t="str">
        <f>IF(原始经营数据!$D2028="","",原始经营数据!$D2028)</f>
        <v/>
      </c>
      <c r="B2027" t="str">
        <f>IF(原始经营数据!$D2028="","",T(原始经营数据!$E2028))</f>
        <v/>
      </c>
      <c r="C2027" t="str">
        <f>IF(原始经营数据!$D2028="","",原始经营数据!$F2028)</f>
        <v/>
      </c>
      <c r="D2027" t="str">
        <f>IF(原始经营数据!$D2028="","",原始经营数据!$H2028)</f>
        <v/>
      </c>
      <c r="E2027" t="str">
        <f>IF(原始经营数据!$D2028="","",原始经营数据!$I2028)</f>
        <v/>
      </c>
      <c r="F2027" t="str">
        <f>IF(原始经营数据!$D2028="","",T(原始经营数据!$J2028))</f>
        <v/>
      </c>
      <c r="G2027" t="str">
        <f>IF(原始经营数据!$D2028="","",T(原始经营数据!$K2028))</f>
        <v/>
      </c>
      <c r="H2027" t="str">
        <f>IF(原始经营数据!$D2028="","",原始经营数据!$G2028)</f>
        <v/>
      </c>
      <c r="I2027" t="str">
        <f>IF($A2027="","",IF($B2027&lt;&gt;"",$B2027,IF(COUNTIFS(原始经营数据!$D$3:$D$3001,$A2027,原始经营数据!$E$3:$E$3001,"",原始经营数据!$F$3:$F$3001,$C2027,原始经营数据!$H$3:$H$3001,$D2027,原始经营数据!$K$3:$K$3001,$G2027)&gt;1,"基金整体·来源"&amp;原始经营数据!$A2028,"基金整体")))</f>
        <v/>
      </c>
      <c r="J2027" t="str">
        <f t="shared" si="468"/>
        <v/>
      </c>
      <c r="K2027" t="str">
        <f t="shared" si="469"/>
        <v/>
      </c>
      <c r="L2027" t="str">
        <f t="shared" si="470"/>
        <v/>
      </c>
      <c r="M2027">
        <f>IF($A2027="",0,IF(COUNTIF($L$2:$L2027,$L2027)=1,1,0))</f>
        <v>0</v>
      </c>
      <c r="N2027" t="str">
        <f t="shared" si="471"/>
        <v/>
      </c>
      <c r="O2027" t="str">
        <f t="shared" si="472"/>
        <v/>
      </c>
      <c r="P2027">
        <f>IF($A2027="",0,IF(COUNTIF($O$2:$O2027,$O2027)=1,1,0))</f>
        <v>0</v>
      </c>
      <c r="Q2027" t="str">
        <f>IF(AND($P2027=1,$A2027=经营数据!$B$3,$J2027=经营数据!$BA$5),COUNTIFS($P$2:$P$3000,1,$A$2:$A$3000,$A2027,$J$2:$J$3000,$J2027,$N$2:$N$3000,"&lt;"&amp;$N2027)+1,"")</f>
        <v/>
      </c>
      <c r="R2027" t="str">
        <f t="shared" si="473"/>
        <v/>
      </c>
      <c r="S2027">
        <f>IF($A2027="",0,IF(COUNTIF($R$2:$R2027,$R2027)=1,1,0))</f>
        <v>0</v>
      </c>
      <c r="T2027" t="str">
        <f t="shared" si="474"/>
        <v/>
      </c>
      <c r="U2027" t="str">
        <f>IF($A2027="","",IF($A2027=经营数据!$B$3,COUNTIFS($S$2:$S$3000,1,$A$2:$A$3000,$A2027,$T$2:$T$3000,"&lt;"&amp;$T2027)+1,""))</f>
        <v/>
      </c>
      <c r="V2027" t="str">
        <f t="shared" si="475"/>
        <v/>
      </c>
      <c r="W2027" t="str">
        <f t="shared" si="476"/>
        <v/>
      </c>
      <c r="X2027" t="str">
        <f t="shared" si="477"/>
        <v/>
      </c>
      <c r="Y2027" t="str">
        <f t="shared" si="478"/>
        <v/>
      </c>
      <c r="Z2027">
        <f>IF($A2027="",0,IF(AND($M2027=1,$A2027=经营数据!$B$3,$J2027=经营数据!$BA$5,OR($I2027=经营数据!$BA$4,COUNTIF(经营数据!$AA$9:$AA$38,$I2027)&gt;0)),1,0))</f>
        <v>0</v>
      </c>
      <c r="AA2027" t="str">
        <f t="shared" si="479"/>
        <v/>
      </c>
      <c r="AB2027" t="str">
        <f t="shared" si="480"/>
        <v/>
      </c>
      <c r="AC2027">
        <f>IF($A2027="",0,IF(COUNTIF($A$2:$A2027,$A2027)=1,1,0))</f>
        <v>0</v>
      </c>
      <c r="AD2027">
        <f t="shared" si="481"/>
        <v>29</v>
      </c>
      <c r="AE2027" t="str">
        <f t="shared" si="482"/>
        <v/>
      </c>
    </row>
    <row r="2028" spans="1:31" x14ac:dyDescent="0.4">
      <c r="A2028" t="str">
        <f>IF(原始经营数据!$D2029="","",原始经营数据!$D2029)</f>
        <v/>
      </c>
      <c r="B2028" t="str">
        <f>IF(原始经营数据!$D2029="","",T(原始经营数据!$E2029))</f>
        <v/>
      </c>
      <c r="C2028" t="str">
        <f>IF(原始经营数据!$D2029="","",原始经营数据!$F2029)</f>
        <v/>
      </c>
      <c r="D2028" t="str">
        <f>IF(原始经营数据!$D2029="","",原始经营数据!$H2029)</f>
        <v/>
      </c>
      <c r="E2028" t="str">
        <f>IF(原始经营数据!$D2029="","",原始经营数据!$I2029)</f>
        <v/>
      </c>
      <c r="F2028" t="str">
        <f>IF(原始经营数据!$D2029="","",T(原始经营数据!$J2029))</f>
        <v/>
      </c>
      <c r="G2028" t="str">
        <f>IF(原始经营数据!$D2029="","",T(原始经营数据!$K2029))</f>
        <v/>
      </c>
      <c r="H2028" t="str">
        <f>IF(原始经营数据!$D2029="","",原始经营数据!$G2029)</f>
        <v/>
      </c>
      <c r="I2028" t="str">
        <f>IF($A2028="","",IF($B2028&lt;&gt;"",$B2028,IF(COUNTIFS(原始经营数据!$D$3:$D$3001,$A2028,原始经营数据!$E$3:$E$3001,"",原始经营数据!$F$3:$F$3001,$C2028,原始经营数据!$H$3:$H$3001,$D2028,原始经营数据!$K$3:$K$3001,$G2028)&gt;1,"基金整体·来源"&amp;原始经营数据!$A2029,"基金整体")))</f>
        <v/>
      </c>
      <c r="J2028" t="str">
        <f t="shared" si="468"/>
        <v/>
      </c>
      <c r="K2028" t="str">
        <f t="shared" si="469"/>
        <v/>
      </c>
      <c r="L2028" t="str">
        <f t="shared" si="470"/>
        <v/>
      </c>
      <c r="M2028">
        <f>IF($A2028="",0,IF(COUNTIF($L$2:$L2028,$L2028)=1,1,0))</f>
        <v>0</v>
      </c>
      <c r="N2028" t="str">
        <f t="shared" si="471"/>
        <v/>
      </c>
      <c r="O2028" t="str">
        <f t="shared" si="472"/>
        <v/>
      </c>
      <c r="P2028">
        <f>IF($A2028="",0,IF(COUNTIF($O$2:$O2028,$O2028)=1,1,0))</f>
        <v>0</v>
      </c>
      <c r="Q2028" t="str">
        <f>IF(AND($P2028=1,$A2028=经营数据!$B$3,$J2028=经营数据!$BA$5),COUNTIFS($P$2:$P$3000,1,$A$2:$A$3000,$A2028,$J$2:$J$3000,$J2028,$N$2:$N$3000,"&lt;"&amp;$N2028)+1,"")</f>
        <v/>
      </c>
      <c r="R2028" t="str">
        <f t="shared" si="473"/>
        <v/>
      </c>
      <c r="S2028">
        <f>IF($A2028="",0,IF(COUNTIF($R$2:$R2028,$R2028)=1,1,0))</f>
        <v>0</v>
      </c>
      <c r="T2028" t="str">
        <f t="shared" si="474"/>
        <v/>
      </c>
      <c r="U2028" t="str">
        <f>IF($A2028="","",IF($A2028=经营数据!$B$3,COUNTIFS($S$2:$S$3000,1,$A$2:$A$3000,$A2028,$T$2:$T$3000,"&lt;"&amp;$T2028)+1,""))</f>
        <v/>
      </c>
      <c r="V2028" t="str">
        <f t="shared" si="475"/>
        <v/>
      </c>
      <c r="W2028" t="str">
        <f t="shared" si="476"/>
        <v/>
      </c>
      <c r="X2028" t="str">
        <f t="shared" si="477"/>
        <v/>
      </c>
      <c r="Y2028" t="str">
        <f t="shared" si="478"/>
        <v/>
      </c>
      <c r="Z2028">
        <f>IF($A2028="",0,IF(AND($M2028=1,$A2028=经营数据!$B$3,$J2028=经营数据!$BA$5,OR($I2028=经营数据!$BA$4,COUNTIF(经营数据!$AA$9:$AA$38,$I2028)&gt;0)),1,0))</f>
        <v>0</v>
      </c>
      <c r="AA2028" t="str">
        <f t="shared" si="479"/>
        <v/>
      </c>
      <c r="AB2028" t="str">
        <f t="shared" si="480"/>
        <v/>
      </c>
      <c r="AC2028">
        <f>IF($A2028="",0,IF(COUNTIF($A$2:$A2028,$A2028)=1,1,0))</f>
        <v>0</v>
      </c>
      <c r="AD2028">
        <f t="shared" si="481"/>
        <v>29</v>
      </c>
      <c r="AE2028" t="str">
        <f t="shared" si="482"/>
        <v/>
      </c>
    </row>
    <row r="2029" spans="1:31" x14ac:dyDescent="0.4">
      <c r="A2029" t="str">
        <f>IF(原始经营数据!$D2030="","",原始经营数据!$D2030)</f>
        <v/>
      </c>
      <c r="B2029" t="str">
        <f>IF(原始经营数据!$D2030="","",T(原始经营数据!$E2030))</f>
        <v/>
      </c>
      <c r="C2029" t="str">
        <f>IF(原始经营数据!$D2030="","",原始经营数据!$F2030)</f>
        <v/>
      </c>
      <c r="D2029" t="str">
        <f>IF(原始经营数据!$D2030="","",原始经营数据!$H2030)</f>
        <v/>
      </c>
      <c r="E2029" t="str">
        <f>IF(原始经营数据!$D2030="","",原始经营数据!$I2030)</f>
        <v/>
      </c>
      <c r="F2029" t="str">
        <f>IF(原始经营数据!$D2030="","",T(原始经营数据!$J2030))</f>
        <v/>
      </c>
      <c r="G2029" t="str">
        <f>IF(原始经营数据!$D2030="","",T(原始经营数据!$K2030))</f>
        <v/>
      </c>
      <c r="H2029" t="str">
        <f>IF(原始经营数据!$D2030="","",原始经营数据!$G2030)</f>
        <v/>
      </c>
      <c r="I2029" t="str">
        <f>IF($A2029="","",IF($B2029&lt;&gt;"",$B2029,IF(COUNTIFS(原始经营数据!$D$3:$D$3001,$A2029,原始经营数据!$E$3:$E$3001,"",原始经营数据!$F$3:$F$3001,$C2029,原始经营数据!$H$3:$H$3001,$D2029,原始经营数据!$K$3:$K$3001,$G2029)&gt;1,"基金整体·来源"&amp;原始经营数据!$A2030,"基金整体")))</f>
        <v/>
      </c>
      <c r="J2029" t="str">
        <f t="shared" si="468"/>
        <v/>
      </c>
      <c r="K2029" t="str">
        <f t="shared" si="469"/>
        <v/>
      </c>
      <c r="L2029" t="str">
        <f t="shared" si="470"/>
        <v/>
      </c>
      <c r="M2029">
        <f>IF($A2029="",0,IF(COUNTIF($L$2:$L2029,$L2029)=1,1,0))</f>
        <v>0</v>
      </c>
      <c r="N2029" t="str">
        <f t="shared" si="471"/>
        <v/>
      </c>
      <c r="O2029" t="str">
        <f t="shared" si="472"/>
        <v/>
      </c>
      <c r="P2029">
        <f>IF($A2029="",0,IF(COUNTIF($O$2:$O2029,$O2029)=1,1,0))</f>
        <v>0</v>
      </c>
      <c r="Q2029" t="str">
        <f>IF(AND($P2029=1,$A2029=经营数据!$B$3,$J2029=经营数据!$BA$5),COUNTIFS($P$2:$P$3000,1,$A$2:$A$3000,$A2029,$J$2:$J$3000,$J2029,$N$2:$N$3000,"&lt;"&amp;$N2029)+1,"")</f>
        <v/>
      </c>
      <c r="R2029" t="str">
        <f t="shared" si="473"/>
        <v/>
      </c>
      <c r="S2029">
        <f>IF($A2029="",0,IF(COUNTIF($R$2:$R2029,$R2029)=1,1,0))</f>
        <v>0</v>
      </c>
      <c r="T2029" t="str">
        <f t="shared" si="474"/>
        <v/>
      </c>
      <c r="U2029" t="str">
        <f>IF($A2029="","",IF($A2029=经营数据!$B$3,COUNTIFS($S$2:$S$3000,1,$A$2:$A$3000,$A2029,$T$2:$T$3000,"&lt;"&amp;$T2029)+1,""))</f>
        <v/>
      </c>
      <c r="V2029" t="str">
        <f t="shared" si="475"/>
        <v/>
      </c>
      <c r="W2029" t="str">
        <f t="shared" si="476"/>
        <v/>
      </c>
      <c r="X2029" t="str">
        <f t="shared" si="477"/>
        <v/>
      </c>
      <c r="Y2029" t="str">
        <f t="shared" si="478"/>
        <v/>
      </c>
      <c r="Z2029">
        <f>IF($A2029="",0,IF(AND($M2029=1,$A2029=经营数据!$B$3,$J2029=经营数据!$BA$5,OR($I2029=经营数据!$BA$4,COUNTIF(经营数据!$AA$9:$AA$38,$I2029)&gt;0)),1,0))</f>
        <v>0</v>
      </c>
      <c r="AA2029" t="str">
        <f t="shared" si="479"/>
        <v/>
      </c>
      <c r="AB2029" t="str">
        <f t="shared" si="480"/>
        <v/>
      </c>
      <c r="AC2029">
        <f>IF($A2029="",0,IF(COUNTIF($A$2:$A2029,$A2029)=1,1,0))</f>
        <v>0</v>
      </c>
      <c r="AD2029">
        <f t="shared" si="481"/>
        <v>29</v>
      </c>
      <c r="AE2029" t="str">
        <f t="shared" si="482"/>
        <v/>
      </c>
    </row>
    <row r="2030" spans="1:31" x14ac:dyDescent="0.4">
      <c r="A2030" t="str">
        <f>IF(原始经营数据!$D2031="","",原始经营数据!$D2031)</f>
        <v/>
      </c>
      <c r="B2030" t="str">
        <f>IF(原始经营数据!$D2031="","",T(原始经营数据!$E2031))</f>
        <v/>
      </c>
      <c r="C2030" t="str">
        <f>IF(原始经营数据!$D2031="","",原始经营数据!$F2031)</f>
        <v/>
      </c>
      <c r="D2030" t="str">
        <f>IF(原始经营数据!$D2031="","",原始经营数据!$H2031)</f>
        <v/>
      </c>
      <c r="E2030" t="str">
        <f>IF(原始经营数据!$D2031="","",原始经营数据!$I2031)</f>
        <v/>
      </c>
      <c r="F2030" t="str">
        <f>IF(原始经营数据!$D2031="","",T(原始经营数据!$J2031))</f>
        <v/>
      </c>
      <c r="G2030" t="str">
        <f>IF(原始经营数据!$D2031="","",T(原始经营数据!$K2031))</f>
        <v/>
      </c>
      <c r="H2030" t="str">
        <f>IF(原始经营数据!$D2031="","",原始经营数据!$G2031)</f>
        <v/>
      </c>
      <c r="I2030" t="str">
        <f>IF($A2030="","",IF($B2030&lt;&gt;"",$B2030,IF(COUNTIFS(原始经营数据!$D$3:$D$3001,$A2030,原始经营数据!$E$3:$E$3001,"",原始经营数据!$F$3:$F$3001,$C2030,原始经营数据!$H$3:$H$3001,$D2030,原始经营数据!$K$3:$K$3001,$G2030)&gt;1,"基金整体·来源"&amp;原始经营数据!$A2031,"基金整体")))</f>
        <v/>
      </c>
      <c r="J2030" t="str">
        <f t="shared" si="468"/>
        <v/>
      </c>
      <c r="K2030" t="str">
        <f t="shared" si="469"/>
        <v/>
      </c>
      <c r="L2030" t="str">
        <f t="shared" si="470"/>
        <v/>
      </c>
      <c r="M2030">
        <f>IF($A2030="",0,IF(COUNTIF($L$2:$L2030,$L2030)=1,1,0))</f>
        <v>0</v>
      </c>
      <c r="N2030" t="str">
        <f t="shared" si="471"/>
        <v/>
      </c>
      <c r="O2030" t="str">
        <f t="shared" si="472"/>
        <v/>
      </c>
      <c r="P2030">
        <f>IF($A2030="",0,IF(COUNTIF($O$2:$O2030,$O2030)=1,1,0))</f>
        <v>0</v>
      </c>
      <c r="Q2030" t="str">
        <f>IF(AND($P2030=1,$A2030=经营数据!$B$3,$J2030=经营数据!$BA$5),COUNTIFS($P$2:$P$3000,1,$A$2:$A$3000,$A2030,$J$2:$J$3000,$J2030,$N$2:$N$3000,"&lt;"&amp;$N2030)+1,"")</f>
        <v/>
      </c>
      <c r="R2030" t="str">
        <f t="shared" si="473"/>
        <v/>
      </c>
      <c r="S2030">
        <f>IF($A2030="",0,IF(COUNTIF($R$2:$R2030,$R2030)=1,1,0))</f>
        <v>0</v>
      </c>
      <c r="T2030" t="str">
        <f t="shared" si="474"/>
        <v/>
      </c>
      <c r="U2030" t="str">
        <f>IF($A2030="","",IF($A2030=经营数据!$B$3,COUNTIFS($S$2:$S$3000,1,$A$2:$A$3000,$A2030,$T$2:$T$3000,"&lt;"&amp;$T2030)+1,""))</f>
        <v/>
      </c>
      <c r="V2030" t="str">
        <f t="shared" si="475"/>
        <v/>
      </c>
      <c r="W2030" t="str">
        <f t="shared" si="476"/>
        <v/>
      </c>
      <c r="X2030" t="str">
        <f t="shared" si="477"/>
        <v/>
      </c>
      <c r="Y2030" t="str">
        <f t="shared" si="478"/>
        <v/>
      </c>
      <c r="Z2030">
        <f>IF($A2030="",0,IF(AND($M2030=1,$A2030=经营数据!$B$3,$J2030=经营数据!$BA$5,OR($I2030=经营数据!$BA$4,COUNTIF(经营数据!$AA$9:$AA$38,$I2030)&gt;0)),1,0))</f>
        <v>0</v>
      </c>
      <c r="AA2030" t="str">
        <f t="shared" si="479"/>
        <v/>
      </c>
      <c r="AB2030" t="str">
        <f t="shared" si="480"/>
        <v/>
      </c>
      <c r="AC2030">
        <f>IF($A2030="",0,IF(COUNTIF($A$2:$A2030,$A2030)=1,1,0))</f>
        <v>0</v>
      </c>
      <c r="AD2030">
        <f t="shared" si="481"/>
        <v>29</v>
      </c>
      <c r="AE2030" t="str">
        <f t="shared" si="482"/>
        <v/>
      </c>
    </row>
    <row r="2031" spans="1:31" x14ac:dyDescent="0.4">
      <c r="A2031" t="str">
        <f>IF(原始经营数据!$D2032="","",原始经营数据!$D2032)</f>
        <v/>
      </c>
      <c r="B2031" t="str">
        <f>IF(原始经营数据!$D2032="","",T(原始经营数据!$E2032))</f>
        <v/>
      </c>
      <c r="C2031" t="str">
        <f>IF(原始经营数据!$D2032="","",原始经营数据!$F2032)</f>
        <v/>
      </c>
      <c r="D2031" t="str">
        <f>IF(原始经营数据!$D2032="","",原始经营数据!$H2032)</f>
        <v/>
      </c>
      <c r="E2031" t="str">
        <f>IF(原始经营数据!$D2032="","",原始经营数据!$I2032)</f>
        <v/>
      </c>
      <c r="F2031" t="str">
        <f>IF(原始经营数据!$D2032="","",T(原始经营数据!$J2032))</f>
        <v/>
      </c>
      <c r="G2031" t="str">
        <f>IF(原始经营数据!$D2032="","",T(原始经营数据!$K2032))</f>
        <v/>
      </c>
      <c r="H2031" t="str">
        <f>IF(原始经营数据!$D2032="","",原始经营数据!$G2032)</f>
        <v/>
      </c>
      <c r="I2031" t="str">
        <f>IF($A2031="","",IF($B2031&lt;&gt;"",$B2031,IF(COUNTIFS(原始经营数据!$D$3:$D$3001,$A2031,原始经营数据!$E$3:$E$3001,"",原始经营数据!$F$3:$F$3001,$C2031,原始经营数据!$H$3:$H$3001,$D2031,原始经营数据!$K$3:$K$3001,$G2031)&gt;1,"基金整体·来源"&amp;原始经营数据!$A2032,"基金整体")))</f>
        <v/>
      </c>
      <c r="J2031" t="str">
        <f t="shared" si="468"/>
        <v/>
      </c>
      <c r="K2031" t="str">
        <f t="shared" si="469"/>
        <v/>
      </c>
      <c r="L2031" t="str">
        <f t="shared" si="470"/>
        <v/>
      </c>
      <c r="M2031">
        <f>IF($A2031="",0,IF(COUNTIF($L$2:$L2031,$L2031)=1,1,0))</f>
        <v>0</v>
      </c>
      <c r="N2031" t="str">
        <f t="shared" si="471"/>
        <v/>
      </c>
      <c r="O2031" t="str">
        <f t="shared" si="472"/>
        <v/>
      </c>
      <c r="P2031">
        <f>IF($A2031="",0,IF(COUNTIF($O$2:$O2031,$O2031)=1,1,0))</f>
        <v>0</v>
      </c>
      <c r="Q2031" t="str">
        <f>IF(AND($P2031=1,$A2031=经营数据!$B$3,$J2031=经营数据!$BA$5),COUNTIFS($P$2:$P$3000,1,$A$2:$A$3000,$A2031,$J$2:$J$3000,$J2031,$N$2:$N$3000,"&lt;"&amp;$N2031)+1,"")</f>
        <v/>
      </c>
      <c r="R2031" t="str">
        <f t="shared" si="473"/>
        <v/>
      </c>
      <c r="S2031">
        <f>IF($A2031="",0,IF(COUNTIF($R$2:$R2031,$R2031)=1,1,0))</f>
        <v>0</v>
      </c>
      <c r="T2031" t="str">
        <f t="shared" si="474"/>
        <v/>
      </c>
      <c r="U2031" t="str">
        <f>IF($A2031="","",IF($A2031=经营数据!$B$3,COUNTIFS($S$2:$S$3000,1,$A$2:$A$3000,$A2031,$T$2:$T$3000,"&lt;"&amp;$T2031)+1,""))</f>
        <v/>
      </c>
      <c r="V2031" t="str">
        <f t="shared" si="475"/>
        <v/>
      </c>
      <c r="W2031" t="str">
        <f t="shared" si="476"/>
        <v/>
      </c>
      <c r="X2031" t="str">
        <f t="shared" si="477"/>
        <v/>
      </c>
      <c r="Y2031" t="str">
        <f t="shared" si="478"/>
        <v/>
      </c>
      <c r="Z2031">
        <f>IF($A2031="",0,IF(AND($M2031=1,$A2031=经营数据!$B$3,$J2031=经营数据!$BA$5,OR($I2031=经营数据!$BA$4,COUNTIF(经营数据!$AA$9:$AA$38,$I2031)&gt;0)),1,0))</f>
        <v>0</v>
      </c>
      <c r="AA2031" t="str">
        <f t="shared" si="479"/>
        <v/>
      </c>
      <c r="AB2031" t="str">
        <f t="shared" si="480"/>
        <v/>
      </c>
      <c r="AC2031">
        <f>IF($A2031="",0,IF(COUNTIF($A$2:$A2031,$A2031)=1,1,0))</f>
        <v>0</v>
      </c>
      <c r="AD2031">
        <f t="shared" si="481"/>
        <v>29</v>
      </c>
      <c r="AE2031" t="str">
        <f t="shared" si="482"/>
        <v/>
      </c>
    </row>
    <row r="2032" spans="1:31" x14ac:dyDescent="0.4">
      <c r="A2032" t="str">
        <f>IF(原始经营数据!$D2033="","",原始经营数据!$D2033)</f>
        <v/>
      </c>
      <c r="B2032" t="str">
        <f>IF(原始经营数据!$D2033="","",T(原始经营数据!$E2033))</f>
        <v/>
      </c>
      <c r="C2032" t="str">
        <f>IF(原始经营数据!$D2033="","",原始经营数据!$F2033)</f>
        <v/>
      </c>
      <c r="D2032" t="str">
        <f>IF(原始经营数据!$D2033="","",原始经营数据!$H2033)</f>
        <v/>
      </c>
      <c r="E2032" t="str">
        <f>IF(原始经营数据!$D2033="","",原始经营数据!$I2033)</f>
        <v/>
      </c>
      <c r="F2032" t="str">
        <f>IF(原始经营数据!$D2033="","",T(原始经营数据!$J2033))</f>
        <v/>
      </c>
      <c r="G2032" t="str">
        <f>IF(原始经营数据!$D2033="","",T(原始经营数据!$K2033))</f>
        <v/>
      </c>
      <c r="H2032" t="str">
        <f>IF(原始经营数据!$D2033="","",原始经营数据!$G2033)</f>
        <v/>
      </c>
      <c r="I2032" t="str">
        <f>IF($A2032="","",IF($B2032&lt;&gt;"",$B2032,IF(COUNTIFS(原始经营数据!$D$3:$D$3001,$A2032,原始经营数据!$E$3:$E$3001,"",原始经营数据!$F$3:$F$3001,$C2032,原始经营数据!$H$3:$H$3001,$D2032,原始经营数据!$K$3:$K$3001,$G2032)&gt;1,"基金整体·来源"&amp;原始经营数据!$A2033,"基金整体")))</f>
        <v/>
      </c>
      <c r="J2032" t="str">
        <f t="shared" si="468"/>
        <v/>
      </c>
      <c r="K2032" t="str">
        <f t="shared" si="469"/>
        <v/>
      </c>
      <c r="L2032" t="str">
        <f t="shared" si="470"/>
        <v/>
      </c>
      <c r="M2032">
        <f>IF($A2032="",0,IF(COUNTIF($L$2:$L2032,$L2032)=1,1,0))</f>
        <v>0</v>
      </c>
      <c r="N2032" t="str">
        <f t="shared" si="471"/>
        <v/>
      </c>
      <c r="O2032" t="str">
        <f t="shared" si="472"/>
        <v/>
      </c>
      <c r="P2032">
        <f>IF($A2032="",0,IF(COUNTIF($O$2:$O2032,$O2032)=1,1,0))</f>
        <v>0</v>
      </c>
      <c r="Q2032" t="str">
        <f>IF(AND($P2032=1,$A2032=经营数据!$B$3,$J2032=经营数据!$BA$5),COUNTIFS($P$2:$P$3000,1,$A$2:$A$3000,$A2032,$J$2:$J$3000,$J2032,$N$2:$N$3000,"&lt;"&amp;$N2032)+1,"")</f>
        <v/>
      </c>
      <c r="R2032" t="str">
        <f t="shared" si="473"/>
        <v/>
      </c>
      <c r="S2032">
        <f>IF($A2032="",0,IF(COUNTIF($R$2:$R2032,$R2032)=1,1,0))</f>
        <v>0</v>
      </c>
      <c r="T2032" t="str">
        <f t="shared" si="474"/>
        <v/>
      </c>
      <c r="U2032" t="str">
        <f>IF($A2032="","",IF($A2032=经营数据!$B$3,COUNTIFS($S$2:$S$3000,1,$A$2:$A$3000,$A2032,$T$2:$T$3000,"&lt;"&amp;$T2032)+1,""))</f>
        <v/>
      </c>
      <c r="V2032" t="str">
        <f t="shared" si="475"/>
        <v/>
      </c>
      <c r="W2032" t="str">
        <f t="shared" si="476"/>
        <v/>
      </c>
      <c r="X2032" t="str">
        <f t="shared" si="477"/>
        <v/>
      </c>
      <c r="Y2032" t="str">
        <f t="shared" si="478"/>
        <v/>
      </c>
      <c r="Z2032">
        <f>IF($A2032="",0,IF(AND($M2032=1,$A2032=经营数据!$B$3,$J2032=经营数据!$BA$5,OR($I2032=经营数据!$BA$4,COUNTIF(经营数据!$AA$9:$AA$38,$I2032)&gt;0)),1,0))</f>
        <v>0</v>
      </c>
      <c r="AA2032" t="str">
        <f t="shared" si="479"/>
        <v/>
      </c>
      <c r="AB2032" t="str">
        <f t="shared" si="480"/>
        <v/>
      </c>
      <c r="AC2032">
        <f>IF($A2032="",0,IF(COUNTIF($A$2:$A2032,$A2032)=1,1,0))</f>
        <v>0</v>
      </c>
      <c r="AD2032">
        <f t="shared" si="481"/>
        <v>29</v>
      </c>
      <c r="AE2032" t="str">
        <f t="shared" si="482"/>
        <v/>
      </c>
    </row>
    <row r="2033" spans="1:31" x14ac:dyDescent="0.4">
      <c r="A2033" t="str">
        <f>IF(原始经营数据!$D2034="","",原始经营数据!$D2034)</f>
        <v/>
      </c>
      <c r="B2033" t="str">
        <f>IF(原始经营数据!$D2034="","",T(原始经营数据!$E2034))</f>
        <v/>
      </c>
      <c r="C2033" t="str">
        <f>IF(原始经营数据!$D2034="","",原始经营数据!$F2034)</f>
        <v/>
      </c>
      <c r="D2033" t="str">
        <f>IF(原始经营数据!$D2034="","",原始经营数据!$H2034)</f>
        <v/>
      </c>
      <c r="E2033" t="str">
        <f>IF(原始经营数据!$D2034="","",原始经营数据!$I2034)</f>
        <v/>
      </c>
      <c r="F2033" t="str">
        <f>IF(原始经营数据!$D2034="","",T(原始经营数据!$J2034))</f>
        <v/>
      </c>
      <c r="G2033" t="str">
        <f>IF(原始经营数据!$D2034="","",T(原始经营数据!$K2034))</f>
        <v/>
      </c>
      <c r="H2033" t="str">
        <f>IF(原始经营数据!$D2034="","",原始经营数据!$G2034)</f>
        <v/>
      </c>
      <c r="I2033" t="str">
        <f>IF($A2033="","",IF($B2033&lt;&gt;"",$B2033,IF(COUNTIFS(原始经营数据!$D$3:$D$3001,$A2033,原始经营数据!$E$3:$E$3001,"",原始经营数据!$F$3:$F$3001,$C2033,原始经营数据!$H$3:$H$3001,$D2033,原始经营数据!$K$3:$K$3001,$G2033)&gt;1,"基金整体·来源"&amp;原始经营数据!$A2034,"基金整体")))</f>
        <v/>
      </c>
      <c r="J2033" t="str">
        <f t="shared" si="468"/>
        <v/>
      </c>
      <c r="K2033" t="str">
        <f t="shared" si="469"/>
        <v/>
      </c>
      <c r="L2033" t="str">
        <f t="shared" si="470"/>
        <v/>
      </c>
      <c r="M2033">
        <f>IF($A2033="",0,IF(COUNTIF($L$2:$L2033,$L2033)=1,1,0))</f>
        <v>0</v>
      </c>
      <c r="N2033" t="str">
        <f t="shared" si="471"/>
        <v/>
      </c>
      <c r="O2033" t="str">
        <f t="shared" si="472"/>
        <v/>
      </c>
      <c r="P2033">
        <f>IF($A2033="",0,IF(COUNTIF($O$2:$O2033,$O2033)=1,1,0))</f>
        <v>0</v>
      </c>
      <c r="Q2033" t="str">
        <f>IF(AND($P2033=1,$A2033=经营数据!$B$3,$J2033=经营数据!$BA$5),COUNTIFS($P$2:$P$3000,1,$A$2:$A$3000,$A2033,$J$2:$J$3000,$J2033,$N$2:$N$3000,"&lt;"&amp;$N2033)+1,"")</f>
        <v/>
      </c>
      <c r="R2033" t="str">
        <f t="shared" si="473"/>
        <v/>
      </c>
      <c r="S2033">
        <f>IF($A2033="",0,IF(COUNTIF($R$2:$R2033,$R2033)=1,1,0))</f>
        <v>0</v>
      </c>
      <c r="T2033" t="str">
        <f t="shared" si="474"/>
        <v/>
      </c>
      <c r="U2033" t="str">
        <f>IF($A2033="","",IF($A2033=经营数据!$B$3,COUNTIFS($S$2:$S$3000,1,$A$2:$A$3000,$A2033,$T$2:$T$3000,"&lt;"&amp;$T2033)+1,""))</f>
        <v/>
      </c>
      <c r="V2033" t="str">
        <f t="shared" si="475"/>
        <v/>
      </c>
      <c r="W2033" t="str">
        <f t="shared" si="476"/>
        <v/>
      </c>
      <c r="X2033" t="str">
        <f t="shared" si="477"/>
        <v/>
      </c>
      <c r="Y2033" t="str">
        <f t="shared" si="478"/>
        <v/>
      </c>
      <c r="Z2033">
        <f>IF($A2033="",0,IF(AND($M2033=1,$A2033=经营数据!$B$3,$J2033=经营数据!$BA$5,OR($I2033=经营数据!$BA$4,COUNTIF(经营数据!$AA$9:$AA$38,$I2033)&gt;0)),1,0))</f>
        <v>0</v>
      </c>
      <c r="AA2033" t="str">
        <f t="shared" si="479"/>
        <v/>
      </c>
      <c r="AB2033" t="str">
        <f t="shared" si="480"/>
        <v/>
      </c>
      <c r="AC2033">
        <f>IF($A2033="",0,IF(COUNTIF($A$2:$A2033,$A2033)=1,1,0))</f>
        <v>0</v>
      </c>
      <c r="AD2033">
        <f t="shared" si="481"/>
        <v>29</v>
      </c>
      <c r="AE2033" t="str">
        <f t="shared" si="482"/>
        <v/>
      </c>
    </row>
    <row r="2034" spans="1:31" x14ac:dyDescent="0.4">
      <c r="A2034" t="str">
        <f>IF(原始经营数据!$D2035="","",原始经营数据!$D2035)</f>
        <v/>
      </c>
      <c r="B2034" t="str">
        <f>IF(原始经营数据!$D2035="","",T(原始经营数据!$E2035))</f>
        <v/>
      </c>
      <c r="C2034" t="str">
        <f>IF(原始经营数据!$D2035="","",原始经营数据!$F2035)</f>
        <v/>
      </c>
      <c r="D2034" t="str">
        <f>IF(原始经营数据!$D2035="","",原始经营数据!$H2035)</f>
        <v/>
      </c>
      <c r="E2034" t="str">
        <f>IF(原始经营数据!$D2035="","",原始经营数据!$I2035)</f>
        <v/>
      </c>
      <c r="F2034" t="str">
        <f>IF(原始经营数据!$D2035="","",T(原始经营数据!$J2035))</f>
        <v/>
      </c>
      <c r="G2034" t="str">
        <f>IF(原始经营数据!$D2035="","",T(原始经营数据!$K2035))</f>
        <v/>
      </c>
      <c r="H2034" t="str">
        <f>IF(原始经营数据!$D2035="","",原始经营数据!$G2035)</f>
        <v/>
      </c>
      <c r="I2034" t="str">
        <f>IF($A2034="","",IF($B2034&lt;&gt;"",$B2034,IF(COUNTIFS(原始经营数据!$D$3:$D$3001,$A2034,原始经营数据!$E$3:$E$3001,"",原始经营数据!$F$3:$F$3001,$C2034,原始经营数据!$H$3:$H$3001,$D2034,原始经营数据!$K$3:$K$3001,$G2034)&gt;1,"基金整体·来源"&amp;原始经营数据!$A2035,"基金整体")))</f>
        <v/>
      </c>
      <c r="J2034" t="str">
        <f t="shared" si="468"/>
        <v/>
      </c>
      <c r="K2034" t="str">
        <f t="shared" si="469"/>
        <v/>
      </c>
      <c r="L2034" t="str">
        <f t="shared" si="470"/>
        <v/>
      </c>
      <c r="M2034">
        <f>IF($A2034="",0,IF(COUNTIF($L$2:$L2034,$L2034)=1,1,0))</f>
        <v>0</v>
      </c>
      <c r="N2034" t="str">
        <f t="shared" si="471"/>
        <v/>
      </c>
      <c r="O2034" t="str">
        <f t="shared" si="472"/>
        <v/>
      </c>
      <c r="P2034">
        <f>IF($A2034="",0,IF(COUNTIF($O$2:$O2034,$O2034)=1,1,0))</f>
        <v>0</v>
      </c>
      <c r="Q2034" t="str">
        <f>IF(AND($P2034=1,$A2034=经营数据!$B$3,$J2034=经营数据!$BA$5),COUNTIFS($P$2:$P$3000,1,$A$2:$A$3000,$A2034,$J$2:$J$3000,$J2034,$N$2:$N$3000,"&lt;"&amp;$N2034)+1,"")</f>
        <v/>
      </c>
      <c r="R2034" t="str">
        <f t="shared" si="473"/>
        <v/>
      </c>
      <c r="S2034">
        <f>IF($A2034="",0,IF(COUNTIF($R$2:$R2034,$R2034)=1,1,0))</f>
        <v>0</v>
      </c>
      <c r="T2034" t="str">
        <f t="shared" si="474"/>
        <v/>
      </c>
      <c r="U2034" t="str">
        <f>IF($A2034="","",IF($A2034=经营数据!$B$3,COUNTIFS($S$2:$S$3000,1,$A$2:$A$3000,$A2034,$T$2:$T$3000,"&lt;"&amp;$T2034)+1,""))</f>
        <v/>
      </c>
      <c r="V2034" t="str">
        <f t="shared" si="475"/>
        <v/>
      </c>
      <c r="W2034" t="str">
        <f t="shared" si="476"/>
        <v/>
      </c>
      <c r="X2034" t="str">
        <f t="shared" si="477"/>
        <v/>
      </c>
      <c r="Y2034" t="str">
        <f t="shared" si="478"/>
        <v/>
      </c>
      <c r="Z2034">
        <f>IF($A2034="",0,IF(AND($M2034=1,$A2034=经营数据!$B$3,$J2034=经营数据!$BA$5,OR($I2034=经营数据!$BA$4,COUNTIF(经营数据!$AA$9:$AA$38,$I2034)&gt;0)),1,0))</f>
        <v>0</v>
      </c>
      <c r="AA2034" t="str">
        <f t="shared" si="479"/>
        <v/>
      </c>
      <c r="AB2034" t="str">
        <f t="shared" si="480"/>
        <v/>
      </c>
      <c r="AC2034">
        <f>IF($A2034="",0,IF(COUNTIF($A$2:$A2034,$A2034)=1,1,0))</f>
        <v>0</v>
      </c>
      <c r="AD2034">
        <f t="shared" si="481"/>
        <v>29</v>
      </c>
      <c r="AE2034" t="str">
        <f t="shared" si="482"/>
        <v/>
      </c>
    </row>
    <row r="2035" spans="1:31" x14ac:dyDescent="0.4">
      <c r="A2035" t="str">
        <f>IF(原始经营数据!$D2036="","",原始经营数据!$D2036)</f>
        <v/>
      </c>
      <c r="B2035" t="str">
        <f>IF(原始经营数据!$D2036="","",T(原始经营数据!$E2036))</f>
        <v/>
      </c>
      <c r="C2035" t="str">
        <f>IF(原始经营数据!$D2036="","",原始经营数据!$F2036)</f>
        <v/>
      </c>
      <c r="D2035" t="str">
        <f>IF(原始经营数据!$D2036="","",原始经营数据!$H2036)</f>
        <v/>
      </c>
      <c r="E2035" t="str">
        <f>IF(原始经营数据!$D2036="","",原始经营数据!$I2036)</f>
        <v/>
      </c>
      <c r="F2035" t="str">
        <f>IF(原始经营数据!$D2036="","",T(原始经营数据!$J2036))</f>
        <v/>
      </c>
      <c r="G2035" t="str">
        <f>IF(原始经营数据!$D2036="","",T(原始经营数据!$K2036))</f>
        <v/>
      </c>
      <c r="H2035" t="str">
        <f>IF(原始经营数据!$D2036="","",原始经营数据!$G2036)</f>
        <v/>
      </c>
      <c r="I2035" t="str">
        <f>IF($A2035="","",IF($B2035&lt;&gt;"",$B2035,IF(COUNTIFS(原始经营数据!$D$3:$D$3001,$A2035,原始经营数据!$E$3:$E$3001,"",原始经营数据!$F$3:$F$3001,$C2035,原始经营数据!$H$3:$H$3001,$D2035,原始经营数据!$K$3:$K$3001,$G2035)&gt;1,"基金整体·来源"&amp;原始经营数据!$A2036,"基金整体")))</f>
        <v/>
      </c>
      <c r="J2035" t="str">
        <f t="shared" si="468"/>
        <v/>
      </c>
      <c r="K2035" t="str">
        <f t="shared" si="469"/>
        <v/>
      </c>
      <c r="L2035" t="str">
        <f t="shared" si="470"/>
        <v/>
      </c>
      <c r="M2035">
        <f>IF($A2035="",0,IF(COUNTIF($L$2:$L2035,$L2035)=1,1,0))</f>
        <v>0</v>
      </c>
      <c r="N2035" t="str">
        <f t="shared" si="471"/>
        <v/>
      </c>
      <c r="O2035" t="str">
        <f t="shared" si="472"/>
        <v/>
      </c>
      <c r="P2035">
        <f>IF($A2035="",0,IF(COUNTIF($O$2:$O2035,$O2035)=1,1,0))</f>
        <v>0</v>
      </c>
      <c r="Q2035" t="str">
        <f>IF(AND($P2035=1,$A2035=经营数据!$B$3,$J2035=经营数据!$BA$5),COUNTIFS($P$2:$P$3000,1,$A$2:$A$3000,$A2035,$J$2:$J$3000,$J2035,$N$2:$N$3000,"&lt;"&amp;$N2035)+1,"")</f>
        <v/>
      </c>
      <c r="R2035" t="str">
        <f t="shared" si="473"/>
        <v/>
      </c>
      <c r="S2035">
        <f>IF($A2035="",0,IF(COUNTIF($R$2:$R2035,$R2035)=1,1,0))</f>
        <v>0</v>
      </c>
      <c r="T2035" t="str">
        <f t="shared" si="474"/>
        <v/>
      </c>
      <c r="U2035" t="str">
        <f>IF($A2035="","",IF($A2035=经营数据!$B$3,COUNTIFS($S$2:$S$3000,1,$A$2:$A$3000,$A2035,$T$2:$T$3000,"&lt;"&amp;$T2035)+1,""))</f>
        <v/>
      </c>
      <c r="V2035" t="str">
        <f t="shared" si="475"/>
        <v/>
      </c>
      <c r="W2035" t="str">
        <f t="shared" si="476"/>
        <v/>
      </c>
      <c r="X2035" t="str">
        <f t="shared" si="477"/>
        <v/>
      </c>
      <c r="Y2035" t="str">
        <f t="shared" si="478"/>
        <v/>
      </c>
      <c r="Z2035">
        <f>IF($A2035="",0,IF(AND($M2035=1,$A2035=经营数据!$B$3,$J2035=经营数据!$BA$5,OR($I2035=经营数据!$BA$4,COUNTIF(经营数据!$AA$9:$AA$38,$I2035)&gt;0)),1,0))</f>
        <v>0</v>
      </c>
      <c r="AA2035" t="str">
        <f t="shared" si="479"/>
        <v/>
      </c>
      <c r="AB2035" t="str">
        <f t="shared" si="480"/>
        <v/>
      </c>
      <c r="AC2035">
        <f>IF($A2035="",0,IF(COUNTIF($A$2:$A2035,$A2035)=1,1,0))</f>
        <v>0</v>
      </c>
      <c r="AD2035">
        <f t="shared" si="481"/>
        <v>29</v>
      </c>
      <c r="AE2035" t="str">
        <f t="shared" si="482"/>
        <v/>
      </c>
    </row>
    <row r="2036" spans="1:31" x14ac:dyDescent="0.4">
      <c r="A2036" t="str">
        <f>IF(原始经营数据!$D2037="","",原始经营数据!$D2037)</f>
        <v/>
      </c>
      <c r="B2036" t="str">
        <f>IF(原始经营数据!$D2037="","",T(原始经营数据!$E2037))</f>
        <v/>
      </c>
      <c r="C2036" t="str">
        <f>IF(原始经营数据!$D2037="","",原始经营数据!$F2037)</f>
        <v/>
      </c>
      <c r="D2036" t="str">
        <f>IF(原始经营数据!$D2037="","",原始经营数据!$H2037)</f>
        <v/>
      </c>
      <c r="E2036" t="str">
        <f>IF(原始经营数据!$D2037="","",原始经营数据!$I2037)</f>
        <v/>
      </c>
      <c r="F2036" t="str">
        <f>IF(原始经营数据!$D2037="","",T(原始经营数据!$J2037))</f>
        <v/>
      </c>
      <c r="G2036" t="str">
        <f>IF(原始经营数据!$D2037="","",T(原始经营数据!$K2037))</f>
        <v/>
      </c>
      <c r="H2036" t="str">
        <f>IF(原始经营数据!$D2037="","",原始经营数据!$G2037)</f>
        <v/>
      </c>
      <c r="I2036" t="str">
        <f>IF($A2036="","",IF($B2036&lt;&gt;"",$B2036,IF(COUNTIFS(原始经营数据!$D$3:$D$3001,$A2036,原始经营数据!$E$3:$E$3001,"",原始经营数据!$F$3:$F$3001,$C2036,原始经营数据!$H$3:$H$3001,$D2036,原始经营数据!$K$3:$K$3001,$G2036)&gt;1,"基金整体·来源"&amp;原始经营数据!$A2037,"基金整体")))</f>
        <v/>
      </c>
      <c r="J2036" t="str">
        <f t="shared" si="468"/>
        <v/>
      </c>
      <c r="K2036" t="str">
        <f t="shared" si="469"/>
        <v/>
      </c>
      <c r="L2036" t="str">
        <f t="shared" si="470"/>
        <v/>
      </c>
      <c r="M2036">
        <f>IF($A2036="",0,IF(COUNTIF($L$2:$L2036,$L2036)=1,1,0))</f>
        <v>0</v>
      </c>
      <c r="N2036" t="str">
        <f t="shared" si="471"/>
        <v/>
      </c>
      <c r="O2036" t="str">
        <f t="shared" si="472"/>
        <v/>
      </c>
      <c r="P2036">
        <f>IF($A2036="",0,IF(COUNTIF($O$2:$O2036,$O2036)=1,1,0))</f>
        <v>0</v>
      </c>
      <c r="Q2036" t="str">
        <f>IF(AND($P2036=1,$A2036=经营数据!$B$3,$J2036=经营数据!$BA$5),COUNTIFS($P$2:$P$3000,1,$A$2:$A$3000,$A2036,$J$2:$J$3000,$J2036,$N$2:$N$3000,"&lt;"&amp;$N2036)+1,"")</f>
        <v/>
      </c>
      <c r="R2036" t="str">
        <f t="shared" si="473"/>
        <v/>
      </c>
      <c r="S2036">
        <f>IF($A2036="",0,IF(COUNTIF($R$2:$R2036,$R2036)=1,1,0))</f>
        <v>0</v>
      </c>
      <c r="T2036" t="str">
        <f t="shared" si="474"/>
        <v/>
      </c>
      <c r="U2036" t="str">
        <f>IF($A2036="","",IF($A2036=经营数据!$B$3,COUNTIFS($S$2:$S$3000,1,$A$2:$A$3000,$A2036,$T$2:$T$3000,"&lt;"&amp;$T2036)+1,""))</f>
        <v/>
      </c>
      <c r="V2036" t="str">
        <f t="shared" si="475"/>
        <v/>
      </c>
      <c r="W2036" t="str">
        <f t="shared" si="476"/>
        <v/>
      </c>
      <c r="X2036" t="str">
        <f t="shared" si="477"/>
        <v/>
      </c>
      <c r="Y2036" t="str">
        <f t="shared" si="478"/>
        <v/>
      </c>
      <c r="Z2036">
        <f>IF($A2036="",0,IF(AND($M2036=1,$A2036=经营数据!$B$3,$J2036=经营数据!$BA$5,OR($I2036=经营数据!$BA$4,COUNTIF(经营数据!$AA$9:$AA$38,$I2036)&gt;0)),1,0))</f>
        <v>0</v>
      </c>
      <c r="AA2036" t="str">
        <f t="shared" si="479"/>
        <v/>
      </c>
      <c r="AB2036" t="str">
        <f t="shared" si="480"/>
        <v/>
      </c>
      <c r="AC2036">
        <f>IF($A2036="",0,IF(COUNTIF($A$2:$A2036,$A2036)=1,1,0))</f>
        <v>0</v>
      </c>
      <c r="AD2036">
        <f t="shared" si="481"/>
        <v>29</v>
      </c>
      <c r="AE2036" t="str">
        <f t="shared" si="482"/>
        <v/>
      </c>
    </row>
    <row r="2037" spans="1:31" x14ac:dyDescent="0.4">
      <c r="A2037" t="str">
        <f>IF(原始经营数据!$D2038="","",原始经营数据!$D2038)</f>
        <v/>
      </c>
      <c r="B2037" t="str">
        <f>IF(原始经营数据!$D2038="","",T(原始经营数据!$E2038))</f>
        <v/>
      </c>
      <c r="C2037" t="str">
        <f>IF(原始经营数据!$D2038="","",原始经营数据!$F2038)</f>
        <v/>
      </c>
      <c r="D2037" t="str">
        <f>IF(原始经营数据!$D2038="","",原始经营数据!$H2038)</f>
        <v/>
      </c>
      <c r="E2037" t="str">
        <f>IF(原始经营数据!$D2038="","",原始经营数据!$I2038)</f>
        <v/>
      </c>
      <c r="F2037" t="str">
        <f>IF(原始经营数据!$D2038="","",T(原始经营数据!$J2038))</f>
        <v/>
      </c>
      <c r="G2037" t="str">
        <f>IF(原始经营数据!$D2038="","",T(原始经营数据!$K2038))</f>
        <v/>
      </c>
      <c r="H2037" t="str">
        <f>IF(原始经营数据!$D2038="","",原始经营数据!$G2038)</f>
        <v/>
      </c>
      <c r="I2037" t="str">
        <f>IF($A2037="","",IF($B2037&lt;&gt;"",$B2037,IF(COUNTIFS(原始经营数据!$D$3:$D$3001,$A2037,原始经营数据!$E$3:$E$3001,"",原始经营数据!$F$3:$F$3001,$C2037,原始经营数据!$H$3:$H$3001,$D2037,原始经营数据!$K$3:$K$3001,$G2037)&gt;1,"基金整体·来源"&amp;原始经营数据!$A2038,"基金整体")))</f>
        <v/>
      </c>
      <c r="J2037" t="str">
        <f t="shared" si="468"/>
        <v/>
      </c>
      <c r="K2037" t="str">
        <f t="shared" si="469"/>
        <v/>
      </c>
      <c r="L2037" t="str">
        <f t="shared" si="470"/>
        <v/>
      </c>
      <c r="M2037">
        <f>IF($A2037="",0,IF(COUNTIF($L$2:$L2037,$L2037)=1,1,0))</f>
        <v>0</v>
      </c>
      <c r="N2037" t="str">
        <f t="shared" si="471"/>
        <v/>
      </c>
      <c r="O2037" t="str">
        <f t="shared" si="472"/>
        <v/>
      </c>
      <c r="P2037">
        <f>IF($A2037="",0,IF(COUNTIF($O$2:$O2037,$O2037)=1,1,0))</f>
        <v>0</v>
      </c>
      <c r="Q2037" t="str">
        <f>IF(AND($P2037=1,$A2037=经营数据!$B$3,$J2037=经营数据!$BA$5),COUNTIFS($P$2:$P$3000,1,$A$2:$A$3000,$A2037,$J$2:$J$3000,$J2037,$N$2:$N$3000,"&lt;"&amp;$N2037)+1,"")</f>
        <v/>
      </c>
      <c r="R2037" t="str">
        <f t="shared" si="473"/>
        <v/>
      </c>
      <c r="S2037">
        <f>IF($A2037="",0,IF(COUNTIF($R$2:$R2037,$R2037)=1,1,0))</f>
        <v>0</v>
      </c>
      <c r="T2037" t="str">
        <f t="shared" si="474"/>
        <v/>
      </c>
      <c r="U2037" t="str">
        <f>IF($A2037="","",IF($A2037=经营数据!$B$3,COUNTIFS($S$2:$S$3000,1,$A$2:$A$3000,$A2037,$T$2:$T$3000,"&lt;"&amp;$T2037)+1,""))</f>
        <v/>
      </c>
      <c r="V2037" t="str">
        <f t="shared" si="475"/>
        <v/>
      </c>
      <c r="W2037" t="str">
        <f t="shared" si="476"/>
        <v/>
      </c>
      <c r="X2037" t="str">
        <f t="shared" si="477"/>
        <v/>
      </c>
      <c r="Y2037" t="str">
        <f t="shared" si="478"/>
        <v/>
      </c>
      <c r="Z2037">
        <f>IF($A2037="",0,IF(AND($M2037=1,$A2037=经营数据!$B$3,$J2037=经营数据!$BA$5,OR($I2037=经营数据!$BA$4,COUNTIF(经营数据!$AA$9:$AA$38,$I2037)&gt;0)),1,0))</f>
        <v>0</v>
      </c>
      <c r="AA2037" t="str">
        <f t="shared" si="479"/>
        <v/>
      </c>
      <c r="AB2037" t="str">
        <f t="shared" si="480"/>
        <v/>
      </c>
      <c r="AC2037">
        <f>IF($A2037="",0,IF(COUNTIF($A$2:$A2037,$A2037)=1,1,0))</f>
        <v>0</v>
      </c>
      <c r="AD2037">
        <f t="shared" si="481"/>
        <v>29</v>
      </c>
      <c r="AE2037" t="str">
        <f t="shared" si="482"/>
        <v/>
      </c>
    </row>
    <row r="2038" spans="1:31" x14ac:dyDescent="0.4">
      <c r="A2038" t="str">
        <f>IF(原始经营数据!$D2039="","",原始经营数据!$D2039)</f>
        <v/>
      </c>
      <c r="B2038" t="str">
        <f>IF(原始经营数据!$D2039="","",T(原始经营数据!$E2039))</f>
        <v/>
      </c>
      <c r="C2038" t="str">
        <f>IF(原始经营数据!$D2039="","",原始经营数据!$F2039)</f>
        <v/>
      </c>
      <c r="D2038" t="str">
        <f>IF(原始经营数据!$D2039="","",原始经营数据!$H2039)</f>
        <v/>
      </c>
      <c r="E2038" t="str">
        <f>IF(原始经营数据!$D2039="","",原始经营数据!$I2039)</f>
        <v/>
      </c>
      <c r="F2038" t="str">
        <f>IF(原始经营数据!$D2039="","",T(原始经营数据!$J2039))</f>
        <v/>
      </c>
      <c r="G2038" t="str">
        <f>IF(原始经营数据!$D2039="","",T(原始经营数据!$K2039))</f>
        <v/>
      </c>
      <c r="H2038" t="str">
        <f>IF(原始经营数据!$D2039="","",原始经营数据!$G2039)</f>
        <v/>
      </c>
      <c r="I2038" t="str">
        <f>IF($A2038="","",IF($B2038&lt;&gt;"",$B2038,IF(COUNTIFS(原始经营数据!$D$3:$D$3001,$A2038,原始经营数据!$E$3:$E$3001,"",原始经营数据!$F$3:$F$3001,$C2038,原始经营数据!$H$3:$H$3001,$D2038,原始经营数据!$K$3:$K$3001,$G2038)&gt;1,"基金整体·来源"&amp;原始经营数据!$A2039,"基金整体")))</f>
        <v/>
      </c>
      <c r="J2038" t="str">
        <f t="shared" si="468"/>
        <v/>
      </c>
      <c r="K2038" t="str">
        <f t="shared" si="469"/>
        <v/>
      </c>
      <c r="L2038" t="str">
        <f t="shared" si="470"/>
        <v/>
      </c>
      <c r="M2038">
        <f>IF($A2038="",0,IF(COUNTIF($L$2:$L2038,$L2038)=1,1,0))</f>
        <v>0</v>
      </c>
      <c r="N2038" t="str">
        <f t="shared" si="471"/>
        <v/>
      </c>
      <c r="O2038" t="str">
        <f t="shared" si="472"/>
        <v/>
      </c>
      <c r="P2038">
        <f>IF($A2038="",0,IF(COUNTIF($O$2:$O2038,$O2038)=1,1,0))</f>
        <v>0</v>
      </c>
      <c r="Q2038" t="str">
        <f>IF(AND($P2038=1,$A2038=经营数据!$B$3,$J2038=经营数据!$BA$5),COUNTIFS($P$2:$P$3000,1,$A$2:$A$3000,$A2038,$J$2:$J$3000,$J2038,$N$2:$N$3000,"&lt;"&amp;$N2038)+1,"")</f>
        <v/>
      </c>
      <c r="R2038" t="str">
        <f t="shared" si="473"/>
        <v/>
      </c>
      <c r="S2038">
        <f>IF($A2038="",0,IF(COUNTIF($R$2:$R2038,$R2038)=1,1,0))</f>
        <v>0</v>
      </c>
      <c r="T2038" t="str">
        <f t="shared" si="474"/>
        <v/>
      </c>
      <c r="U2038" t="str">
        <f>IF($A2038="","",IF($A2038=经营数据!$B$3,COUNTIFS($S$2:$S$3000,1,$A$2:$A$3000,$A2038,$T$2:$T$3000,"&lt;"&amp;$T2038)+1,""))</f>
        <v/>
      </c>
      <c r="V2038" t="str">
        <f t="shared" si="475"/>
        <v/>
      </c>
      <c r="W2038" t="str">
        <f t="shared" si="476"/>
        <v/>
      </c>
      <c r="X2038" t="str">
        <f t="shared" si="477"/>
        <v/>
      </c>
      <c r="Y2038" t="str">
        <f t="shared" si="478"/>
        <v/>
      </c>
      <c r="Z2038">
        <f>IF($A2038="",0,IF(AND($M2038=1,$A2038=经营数据!$B$3,$J2038=经营数据!$BA$5,OR($I2038=经营数据!$BA$4,COUNTIF(经营数据!$AA$9:$AA$38,$I2038)&gt;0)),1,0))</f>
        <v>0</v>
      </c>
      <c r="AA2038" t="str">
        <f t="shared" si="479"/>
        <v/>
      </c>
      <c r="AB2038" t="str">
        <f t="shared" si="480"/>
        <v/>
      </c>
      <c r="AC2038">
        <f>IF($A2038="",0,IF(COUNTIF($A$2:$A2038,$A2038)=1,1,0))</f>
        <v>0</v>
      </c>
      <c r="AD2038">
        <f t="shared" si="481"/>
        <v>29</v>
      </c>
      <c r="AE2038" t="str">
        <f t="shared" si="482"/>
        <v/>
      </c>
    </row>
    <row r="2039" spans="1:31" x14ac:dyDescent="0.4">
      <c r="A2039" t="str">
        <f>IF(原始经营数据!$D2040="","",原始经营数据!$D2040)</f>
        <v/>
      </c>
      <c r="B2039" t="str">
        <f>IF(原始经营数据!$D2040="","",T(原始经营数据!$E2040))</f>
        <v/>
      </c>
      <c r="C2039" t="str">
        <f>IF(原始经营数据!$D2040="","",原始经营数据!$F2040)</f>
        <v/>
      </c>
      <c r="D2039" t="str">
        <f>IF(原始经营数据!$D2040="","",原始经营数据!$H2040)</f>
        <v/>
      </c>
      <c r="E2039" t="str">
        <f>IF(原始经营数据!$D2040="","",原始经营数据!$I2040)</f>
        <v/>
      </c>
      <c r="F2039" t="str">
        <f>IF(原始经营数据!$D2040="","",T(原始经营数据!$J2040))</f>
        <v/>
      </c>
      <c r="G2039" t="str">
        <f>IF(原始经营数据!$D2040="","",T(原始经营数据!$K2040))</f>
        <v/>
      </c>
      <c r="H2039" t="str">
        <f>IF(原始经营数据!$D2040="","",原始经营数据!$G2040)</f>
        <v/>
      </c>
      <c r="I2039" t="str">
        <f>IF($A2039="","",IF($B2039&lt;&gt;"",$B2039,IF(COUNTIFS(原始经营数据!$D$3:$D$3001,$A2039,原始经营数据!$E$3:$E$3001,"",原始经营数据!$F$3:$F$3001,$C2039,原始经营数据!$H$3:$H$3001,$D2039,原始经营数据!$K$3:$K$3001,$G2039)&gt;1,"基金整体·来源"&amp;原始经营数据!$A2040,"基金整体")))</f>
        <v/>
      </c>
      <c r="J2039" t="str">
        <f t="shared" si="468"/>
        <v/>
      </c>
      <c r="K2039" t="str">
        <f t="shared" si="469"/>
        <v/>
      </c>
      <c r="L2039" t="str">
        <f t="shared" si="470"/>
        <v/>
      </c>
      <c r="M2039">
        <f>IF($A2039="",0,IF(COUNTIF($L$2:$L2039,$L2039)=1,1,0))</f>
        <v>0</v>
      </c>
      <c r="N2039" t="str">
        <f t="shared" si="471"/>
        <v/>
      </c>
      <c r="O2039" t="str">
        <f t="shared" si="472"/>
        <v/>
      </c>
      <c r="P2039">
        <f>IF($A2039="",0,IF(COUNTIF($O$2:$O2039,$O2039)=1,1,0))</f>
        <v>0</v>
      </c>
      <c r="Q2039" t="str">
        <f>IF(AND($P2039=1,$A2039=经营数据!$B$3,$J2039=经营数据!$BA$5),COUNTIFS($P$2:$P$3000,1,$A$2:$A$3000,$A2039,$J$2:$J$3000,$J2039,$N$2:$N$3000,"&lt;"&amp;$N2039)+1,"")</f>
        <v/>
      </c>
      <c r="R2039" t="str">
        <f t="shared" si="473"/>
        <v/>
      </c>
      <c r="S2039">
        <f>IF($A2039="",0,IF(COUNTIF($R$2:$R2039,$R2039)=1,1,0))</f>
        <v>0</v>
      </c>
      <c r="T2039" t="str">
        <f t="shared" si="474"/>
        <v/>
      </c>
      <c r="U2039" t="str">
        <f>IF($A2039="","",IF($A2039=经营数据!$B$3,COUNTIFS($S$2:$S$3000,1,$A$2:$A$3000,$A2039,$T$2:$T$3000,"&lt;"&amp;$T2039)+1,""))</f>
        <v/>
      </c>
      <c r="V2039" t="str">
        <f t="shared" si="475"/>
        <v/>
      </c>
      <c r="W2039" t="str">
        <f t="shared" si="476"/>
        <v/>
      </c>
      <c r="X2039" t="str">
        <f t="shared" si="477"/>
        <v/>
      </c>
      <c r="Y2039" t="str">
        <f t="shared" si="478"/>
        <v/>
      </c>
      <c r="Z2039">
        <f>IF($A2039="",0,IF(AND($M2039=1,$A2039=经营数据!$B$3,$J2039=经营数据!$BA$5,OR($I2039=经营数据!$BA$4,COUNTIF(经营数据!$AA$9:$AA$38,$I2039)&gt;0)),1,0))</f>
        <v>0</v>
      </c>
      <c r="AA2039" t="str">
        <f t="shared" si="479"/>
        <v/>
      </c>
      <c r="AB2039" t="str">
        <f t="shared" si="480"/>
        <v/>
      </c>
      <c r="AC2039">
        <f>IF($A2039="",0,IF(COUNTIF($A$2:$A2039,$A2039)=1,1,0))</f>
        <v>0</v>
      </c>
      <c r="AD2039">
        <f t="shared" si="481"/>
        <v>29</v>
      </c>
      <c r="AE2039" t="str">
        <f t="shared" si="482"/>
        <v/>
      </c>
    </row>
    <row r="2040" spans="1:31" x14ac:dyDescent="0.4">
      <c r="A2040" t="str">
        <f>IF(原始经营数据!$D2041="","",原始经营数据!$D2041)</f>
        <v/>
      </c>
      <c r="B2040" t="str">
        <f>IF(原始经营数据!$D2041="","",T(原始经营数据!$E2041))</f>
        <v/>
      </c>
      <c r="C2040" t="str">
        <f>IF(原始经营数据!$D2041="","",原始经营数据!$F2041)</f>
        <v/>
      </c>
      <c r="D2040" t="str">
        <f>IF(原始经营数据!$D2041="","",原始经营数据!$H2041)</f>
        <v/>
      </c>
      <c r="E2040" t="str">
        <f>IF(原始经营数据!$D2041="","",原始经营数据!$I2041)</f>
        <v/>
      </c>
      <c r="F2040" t="str">
        <f>IF(原始经营数据!$D2041="","",T(原始经营数据!$J2041))</f>
        <v/>
      </c>
      <c r="G2040" t="str">
        <f>IF(原始经营数据!$D2041="","",T(原始经营数据!$K2041))</f>
        <v/>
      </c>
      <c r="H2040" t="str">
        <f>IF(原始经营数据!$D2041="","",原始经营数据!$G2041)</f>
        <v/>
      </c>
      <c r="I2040" t="str">
        <f>IF($A2040="","",IF($B2040&lt;&gt;"",$B2040,IF(COUNTIFS(原始经营数据!$D$3:$D$3001,$A2040,原始经营数据!$E$3:$E$3001,"",原始经营数据!$F$3:$F$3001,$C2040,原始经营数据!$H$3:$H$3001,$D2040,原始经营数据!$K$3:$K$3001,$G2040)&gt;1,"基金整体·来源"&amp;原始经营数据!$A2041,"基金整体")))</f>
        <v/>
      </c>
      <c r="J2040" t="str">
        <f t="shared" si="468"/>
        <v/>
      </c>
      <c r="K2040" t="str">
        <f t="shared" si="469"/>
        <v/>
      </c>
      <c r="L2040" t="str">
        <f t="shared" si="470"/>
        <v/>
      </c>
      <c r="M2040">
        <f>IF($A2040="",0,IF(COUNTIF($L$2:$L2040,$L2040)=1,1,0))</f>
        <v>0</v>
      </c>
      <c r="N2040" t="str">
        <f t="shared" si="471"/>
        <v/>
      </c>
      <c r="O2040" t="str">
        <f t="shared" si="472"/>
        <v/>
      </c>
      <c r="P2040">
        <f>IF($A2040="",0,IF(COUNTIF($O$2:$O2040,$O2040)=1,1,0))</f>
        <v>0</v>
      </c>
      <c r="Q2040" t="str">
        <f>IF(AND($P2040=1,$A2040=经营数据!$B$3,$J2040=经营数据!$BA$5),COUNTIFS($P$2:$P$3000,1,$A$2:$A$3000,$A2040,$J$2:$J$3000,$J2040,$N$2:$N$3000,"&lt;"&amp;$N2040)+1,"")</f>
        <v/>
      </c>
      <c r="R2040" t="str">
        <f t="shared" si="473"/>
        <v/>
      </c>
      <c r="S2040">
        <f>IF($A2040="",0,IF(COUNTIF($R$2:$R2040,$R2040)=1,1,0))</f>
        <v>0</v>
      </c>
      <c r="T2040" t="str">
        <f t="shared" si="474"/>
        <v/>
      </c>
      <c r="U2040" t="str">
        <f>IF($A2040="","",IF($A2040=经营数据!$B$3,COUNTIFS($S$2:$S$3000,1,$A$2:$A$3000,$A2040,$T$2:$T$3000,"&lt;"&amp;$T2040)+1,""))</f>
        <v/>
      </c>
      <c r="V2040" t="str">
        <f t="shared" si="475"/>
        <v/>
      </c>
      <c r="W2040" t="str">
        <f t="shared" si="476"/>
        <v/>
      </c>
      <c r="X2040" t="str">
        <f t="shared" si="477"/>
        <v/>
      </c>
      <c r="Y2040" t="str">
        <f t="shared" si="478"/>
        <v/>
      </c>
      <c r="Z2040">
        <f>IF($A2040="",0,IF(AND($M2040=1,$A2040=经营数据!$B$3,$J2040=经营数据!$BA$5,OR($I2040=经营数据!$BA$4,COUNTIF(经营数据!$AA$9:$AA$38,$I2040)&gt;0)),1,0))</f>
        <v>0</v>
      </c>
      <c r="AA2040" t="str">
        <f t="shared" si="479"/>
        <v/>
      </c>
      <c r="AB2040" t="str">
        <f t="shared" si="480"/>
        <v/>
      </c>
      <c r="AC2040">
        <f>IF($A2040="",0,IF(COUNTIF($A$2:$A2040,$A2040)=1,1,0))</f>
        <v>0</v>
      </c>
      <c r="AD2040">
        <f t="shared" si="481"/>
        <v>29</v>
      </c>
      <c r="AE2040" t="str">
        <f t="shared" si="482"/>
        <v/>
      </c>
    </row>
    <row r="2041" spans="1:31" x14ac:dyDescent="0.4">
      <c r="A2041" t="str">
        <f>IF(原始经营数据!$D2042="","",原始经营数据!$D2042)</f>
        <v/>
      </c>
      <c r="B2041" t="str">
        <f>IF(原始经营数据!$D2042="","",T(原始经营数据!$E2042))</f>
        <v/>
      </c>
      <c r="C2041" t="str">
        <f>IF(原始经营数据!$D2042="","",原始经营数据!$F2042)</f>
        <v/>
      </c>
      <c r="D2041" t="str">
        <f>IF(原始经营数据!$D2042="","",原始经营数据!$H2042)</f>
        <v/>
      </c>
      <c r="E2041" t="str">
        <f>IF(原始经营数据!$D2042="","",原始经营数据!$I2042)</f>
        <v/>
      </c>
      <c r="F2041" t="str">
        <f>IF(原始经营数据!$D2042="","",T(原始经营数据!$J2042))</f>
        <v/>
      </c>
      <c r="G2041" t="str">
        <f>IF(原始经营数据!$D2042="","",T(原始经营数据!$K2042))</f>
        <v/>
      </c>
      <c r="H2041" t="str">
        <f>IF(原始经营数据!$D2042="","",原始经营数据!$G2042)</f>
        <v/>
      </c>
      <c r="I2041" t="str">
        <f>IF($A2041="","",IF($B2041&lt;&gt;"",$B2041,IF(COUNTIFS(原始经营数据!$D$3:$D$3001,$A2041,原始经营数据!$E$3:$E$3001,"",原始经营数据!$F$3:$F$3001,$C2041,原始经营数据!$H$3:$H$3001,$D2041,原始经营数据!$K$3:$K$3001,$G2041)&gt;1,"基金整体·来源"&amp;原始经营数据!$A2042,"基金整体")))</f>
        <v/>
      </c>
      <c r="J2041" t="str">
        <f t="shared" si="468"/>
        <v/>
      </c>
      <c r="K2041" t="str">
        <f t="shared" si="469"/>
        <v/>
      </c>
      <c r="L2041" t="str">
        <f t="shared" si="470"/>
        <v/>
      </c>
      <c r="M2041">
        <f>IF($A2041="",0,IF(COUNTIF($L$2:$L2041,$L2041)=1,1,0))</f>
        <v>0</v>
      </c>
      <c r="N2041" t="str">
        <f t="shared" si="471"/>
        <v/>
      </c>
      <c r="O2041" t="str">
        <f t="shared" si="472"/>
        <v/>
      </c>
      <c r="P2041">
        <f>IF($A2041="",0,IF(COUNTIF($O$2:$O2041,$O2041)=1,1,0))</f>
        <v>0</v>
      </c>
      <c r="Q2041" t="str">
        <f>IF(AND($P2041=1,$A2041=经营数据!$B$3,$J2041=经营数据!$BA$5),COUNTIFS($P$2:$P$3000,1,$A$2:$A$3000,$A2041,$J$2:$J$3000,$J2041,$N$2:$N$3000,"&lt;"&amp;$N2041)+1,"")</f>
        <v/>
      </c>
      <c r="R2041" t="str">
        <f t="shared" si="473"/>
        <v/>
      </c>
      <c r="S2041">
        <f>IF($A2041="",0,IF(COUNTIF($R$2:$R2041,$R2041)=1,1,0))</f>
        <v>0</v>
      </c>
      <c r="T2041" t="str">
        <f t="shared" si="474"/>
        <v/>
      </c>
      <c r="U2041" t="str">
        <f>IF($A2041="","",IF($A2041=经营数据!$B$3,COUNTIFS($S$2:$S$3000,1,$A$2:$A$3000,$A2041,$T$2:$T$3000,"&lt;"&amp;$T2041)+1,""))</f>
        <v/>
      </c>
      <c r="V2041" t="str">
        <f t="shared" si="475"/>
        <v/>
      </c>
      <c r="W2041" t="str">
        <f t="shared" si="476"/>
        <v/>
      </c>
      <c r="X2041" t="str">
        <f t="shared" si="477"/>
        <v/>
      </c>
      <c r="Y2041" t="str">
        <f t="shared" si="478"/>
        <v/>
      </c>
      <c r="Z2041">
        <f>IF($A2041="",0,IF(AND($M2041=1,$A2041=经营数据!$B$3,$J2041=经营数据!$BA$5,OR($I2041=经营数据!$BA$4,COUNTIF(经营数据!$AA$9:$AA$38,$I2041)&gt;0)),1,0))</f>
        <v>0</v>
      </c>
      <c r="AA2041" t="str">
        <f t="shared" si="479"/>
        <v/>
      </c>
      <c r="AB2041" t="str">
        <f t="shared" si="480"/>
        <v/>
      </c>
      <c r="AC2041">
        <f>IF($A2041="",0,IF(COUNTIF($A$2:$A2041,$A2041)=1,1,0))</f>
        <v>0</v>
      </c>
      <c r="AD2041">
        <f t="shared" si="481"/>
        <v>29</v>
      </c>
      <c r="AE2041" t="str">
        <f t="shared" si="482"/>
        <v/>
      </c>
    </row>
    <row r="2042" spans="1:31" x14ac:dyDescent="0.4">
      <c r="A2042" t="str">
        <f>IF(原始经营数据!$D2043="","",原始经营数据!$D2043)</f>
        <v/>
      </c>
      <c r="B2042" t="str">
        <f>IF(原始经营数据!$D2043="","",T(原始经营数据!$E2043))</f>
        <v/>
      </c>
      <c r="C2042" t="str">
        <f>IF(原始经营数据!$D2043="","",原始经营数据!$F2043)</f>
        <v/>
      </c>
      <c r="D2042" t="str">
        <f>IF(原始经营数据!$D2043="","",原始经营数据!$H2043)</f>
        <v/>
      </c>
      <c r="E2042" t="str">
        <f>IF(原始经营数据!$D2043="","",原始经营数据!$I2043)</f>
        <v/>
      </c>
      <c r="F2042" t="str">
        <f>IF(原始经营数据!$D2043="","",T(原始经营数据!$J2043))</f>
        <v/>
      </c>
      <c r="G2042" t="str">
        <f>IF(原始经营数据!$D2043="","",T(原始经营数据!$K2043))</f>
        <v/>
      </c>
      <c r="H2042" t="str">
        <f>IF(原始经营数据!$D2043="","",原始经营数据!$G2043)</f>
        <v/>
      </c>
      <c r="I2042" t="str">
        <f>IF($A2042="","",IF($B2042&lt;&gt;"",$B2042,IF(COUNTIFS(原始经营数据!$D$3:$D$3001,$A2042,原始经营数据!$E$3:$E$3001,"",原始经营数据!$F$3:$F$3001,$C2042,原始经营数据!$H$3:$H$3001,$D2042,原始经营数据!$K$3:$K$3001,$G2042)&gt;1,"基金整体·来源"&amp;原始经营数据!$A2043,"基金整体")))</f>
        <v/>
      </c>
      <c r="J2042" t="str">
        <f t="shared" si="468"/>
        <v/>
      </c>
      <c r="K2042" t="str">
        <f t="shared" si="469"/>
        <v/>
      </c>
      <c r="L2042" t="str">
        <f t="shared" si="470"/>
        <v/>
      </c>
      <c r="M2042">
        <f>IF($A2042="",0,IF(COUNTIF($L$2:$L2042,$L2042)=1,1,0))</f>
        <v>0</v>
      </c>
      <c r="N2042" t="str">
        <f t="shared" si="471"/>
        <v/>
      </c>
      <c r="O2042" t="str">
        <f t="shared" si="472"/>
        <v/>
      </c>
      <c r="P2042">
        <f>IF($A2042="",0,IF(COUNTIF($O$2:$O2042,$O2042)=1,1,0))</f>
        <v>0</v>
      </c>
      <c r="Q2042" t="str">
        <f>IF(AND($P2042=1,$A2042=经营数据!$B$3,$J2042=经营数据!$BA$5),COUNTIFS($P$2:$P$3000,1,$A$2:$A$3000,$A2042,$J$2:$J$3000,$J2042,$N$2:$N$3000,"&lt;"&amp;$N2042)+1,"")</f>
        <v/>
      </c>
      <c r="R2042" t="str">
        <f t="shared" si="473"/>
        <v/>
      </c>
      <c r="S2042">
        <f>IF($A2042="",0,IF(COUNTIF($R$2:$R2042,$R2042)=1,1,0))</f>
        <v>0</v>
      </c>
      <c r="T2042" t="str">
        <f t="shared" si="474"/>
        <v/>
      </c>
      <c r="U2042" t="str">
        <f>IF($A2042="","",IF($A2042=经营数据!$B$3,COUNTIFS($S$2:$S$3000,1,$A$2:$A$3000,$A2042,$T$2:$T$3000,"&lt;"&amp;$T2042)+1,""))</f>
        <v/>
      </c>
      <c r="V2042" t="str">
        <f t="shared" si="475"/>
        <v/>
      </c>
      <c r="W2042" t="str">
        <f t="shared" si="476"/>
        <v/>
      </c>
      <c r="X2042" t="str">
        <f t="shared" si="477"/>
        <v/>
      </c>
      <c r="Y2042" t="str">
        <f t="shared" si="478"/>
        <v/>
      </c>
      <c r="Z2042">
        <f>IF($A2042="",0,IF(AND($M2042=1,$A2042=经营数据!$B$3,$J2042=经营数据!$BA$5,OR($I2042=经营数据!$BA$4,COUNTIF(经营数据!$AA$9:$AA$38,$I2042)&gt;0)),1,0))</f>
        <v>0</v>
      </c>
      <c r="AA2042" t="str">
        <f t="shared" si="479"/>
        <v/>
      </c>
      <c r="AB2042" t="str">
        <f t="shared" si="480"/>
        <v/>
      </c>
      <c r="AC2042">
        <f>IF($A2042="",0,IF(COUNTIF($A$2:$A2042,$A2042)=1,1,0))</f>
        <v>0</v>
      </c>
      <c r="AD2042">
        <f t="shared" si="481"/>
        <v>29</v>
      </c>
      <c r="AE2042" t="str">
        <f t="shared" si="482"/>
        <v/>
      </c>
    </row>
    <row r="2043" spans="1:31" x14ac:dyDescent="0.4">
      <c r="A2043" t="str">
        <f>IF(原始经营数据!$D2044="","",原始经营数据!$D2044)</f>
        <v/>
      </c>
      <c r="B2043" t="str">
        <f>IF(原始经营数据!$D2044="","",T(原始经营数据!$E2044))</f>
        <v/>
      </c>
      <c r="C2043" t="str">
        <f>IF(原始经营数据!$D2044="","",原始经营数据!$F2044)</f>
        <v/>
      </c>
      <c r="D2043" t="str">
        <f>IF(原始经营数据!$D2044="","",原始经营数据!$H2044)</f>
        <v/>
      </c>
      <c r="E2043" t="str">
        <f>IF(原始经营数据!$D2044="","",原始经营数据!$I2044)</f>
        <v/>
      </c>
      <c r="F2043" t="str">
        <f>IF(原始经营数据!$D2044="","",T(原始经营数据!$J2044))</f>
        <v/>
      </c>
      <c r="G2043" t="str">
        <f>IF(原始经营数据!$D2044="","",T(原始经营数据!$K2044))</f>
        <v/>
      </c>
      <c r="H2043" t="str">
        <f>IF(原始经营数据!$D2044="","",原始经营数据!$G2044)</f>
        <v/>
      </c>
      <c r="I2043" t="str">
        <f>IF($A2043="","",IF($B2043&lt;&gt;"",$B2043,IF(COUNTIFS(原始经营数据!$D$3:$D$3001,$A2043,原始经营数据!$E$3:$E$3001,"",原始经营数据!$F$3:$F$3001,$C2043,原始经营数据!$H$3:$H$3001,$D2043,原始经营数据!$K$3:$K$3001,$G2043)&gt;1,"基金整体·来源"&amp;原始经营数据!$A2044,"基金整体")))</f>
        <v/>
      </c>
      <c r="J2043" t="str">
        <f t="shared" si="468"/>
        <v/>
      </c>
      <c r="K2043" t="str">
        <f t="shared" si="469"/>
        <v/>
      </c>
      <c r="L2043" t="str">
        <f t="shared" si="470"/>
        <v/>
      </c>
      <c r="M2043">
        <f>IF($A2043="",0,IF(COUNTIF($L$2:$L2043,$L2043)=1,1,0))</f>
        <v>0</v>
      </c>
      <c r="N2043" t="str">
        <f t="shared" si="471"/>
        <v/>
      </c>
      <c r="O2043" t="str">
        <f t="shared" si="472"/>
        <v/>
      </c>
      <c r="P2043">
        <f>IF($A2043="",0,IF(COUNTIF($O$2:$O2043,$O2043)=1,1,0))</f>
        <v>0</v>
      </c>
      <c r="Q2043" t="str">
        <f>IF(AND($P2043=1,$A2043=经营数据!$B$3,$J2043=经营数据!$BA$5),COUNTIFS($P$2:$P$3000,1,$A$2:$A$3000,$A2043,$J$2:$J$3000,$J2043,$N$2:$N$3000,"&lt;"&amp;$N2043)+1,"")</f>
        <v/>
      </c>
      <c r="R2043" t="str">
        <f t="shared" si="473"/>
        <v/>
      </c>
      <c r="S2043">
        <f>IF($A2043="",0,IF(COUNTIF($R$2:$R2043,$R2043)=1,1,0))</f>
        <v>0</v>
      </c>
      <c r="T2043" t="str">
        <f t="shared" si="474"/>
        <v/>
      </c>
      <c r="U2043" t="str">
        <f>IF($A2043="","",IF($A2043=经营数据!$B$3,COUNTIFS($S$2:$S$3000,1,$A$2:$A$3000,$A2043,$T$2:$T$3000,"&lt;"&amp;$T2043)+1,""))</f>
        <v/>
      </c>
      <c r="V2043" t="str">
        <f t="shared" si="475"/>
        <v/>
      </c>
      <c r="W2043" t="str">
        <f t="shared" si="476"/>
        <v/>
      </c>
      <c r="X2043" t="str">
        <f t="shared" si="477"/>
        <v/>
      </c>
      <c r="Y2043" t="str">
        <f t="shared" si="478"/>
        <v/>
      </c>
      <c r="Z2043">
        <f>IF($A2043="",0,IF(AND($M2043=1,$A2043=经营数据!$B$3,$J2043=经营数据!$BA$5,OR($I2043=经营数据!$BA$4,COUNTIF(经营数据!$AA$9:$AA$38,$I2043)&gt;0)),1,0))</f>
        <v>0</v>
      </c>
      <c r="AA2043" t="str">
        <f t="shared" si="479"/>
        <v/>
      </c>
      <c r="AB2043" t="str">
        <f t="shared" si="480"/>
        <v/>
      </c>
      <c r="AC2043">
        <f>IF($A2043="",0,IF(COUNTIF($A$2:$A2043,$A2043)=1,1,0))</f>
        <v>0</v>
      </c>
      <c r="AD2043">
        <f t="shared" si="481"/>
        <v>29</v>
      </c>
      <c r="AE2043" t="str">
        <f t="shared" si="482"/>
        <v/>
      </c>
    </row>
    <row r="2044" spans="1:31" x14ac:dyDescent="0.4">
      <c r="A2044" t="str">
        <f>IF(原始经营数据!$D2045="","",原始经营数据!$D2045)</f>
        <v/>
      </c>
      <c r="B2044" t="str">
        <f>IF(原始经营数据!$D2045="","",T(原始经营数据!$E2045))</f>
        <v/>
      </c>
      <c r="C2044" t="str">
        <f>IF(原始经营数据!$D2045="","",原始经营数据!$F2045)</f>
        <v/>
      </c>
      <c r="D2044" t="str">
        <f>IF(原始经营数据!$D2045="","",原始经营数据!$H2045)</f>
        <v/>
      </c>
      <c r="E2044" t="str">
        <f>IF(原始经营数据!$D2045="","",原始经营数据!$I2045)</f>
        <v/>
      </c>
      <c r="F2044" t="str">
        <f>IF(原始经营数据!$D2045="","",T(原始经营数据!$J2045))</f>
        <v/>
      </c>
      <c r="G2044" t="str">
        <f>IF(原始经营数据!$D2045="","",T(原始经营数据!$K2045))</f>
        <v/>
      </c>
      <c r="H2044" t="str">
        <f>IF(原始经营数据!$D2045="","",原始经营数据!$G2045)</f>
        <v/>
      </c>
      <c r="I2044" t="str">
        <f>IF($A2044="","",IF($B2044&lt;&gt;"",$B2044,IF(COUNTIFS(原始经营数据!$D$3:$D$3001,$A2044,原始经营数据!$E$3:$E$3001,"",原始经营数据!$F$3:$F$3001,$C2044,原始经营数据!$H$3:$H$3001,$D2044,原始经营数据!$K$3:$K$3001,$G2044)&gt;1,"基金整体·来源"&amp;原始经营数据!$A2045,"基金整体")))</f>
        <v/>
      </c>
      <c r="J2044" t="str">
        <f t="shared" si="468"/>
        <v/>
      </c>
      <c r="K2044" t="str">
        <f t="shared" si="469"/>
        <v/>
      </c>
      <c r="L2044" t="str">
        <f t="shared" si="470"/>
        <v/>
      </c>
      <c r="M2044">
        <f>IF($A2044="",0,IF(COUNTIF($L$2:$L2044,$L2044)=1,1,0))</f>
        <v>0</v>
      </c>
      <c r="N2044" t="str">
        <f t="shared" si="471"/>
        <v/>
      </c>
      <c r="O2044" t="str">
        <f t="shared" si="472"/>
        <v/>
      </c>
      <c r="P2044">
        <f>IF($A2044="",0,IF(COUNTIF($O$2:$O2044,$O2044)=1,1,0))</f>
        <v>0</v>
      </c>
      <c r="Q2044" t="str">
        <f>IF(AND($P2044=1,$A2044=经营数据!$B$3,$J2044=经营数据!$BA$5),COUNTIFS($P$2:$P$3000,1,$A$2:$A$3000,$A2044,$J$2:$J$3000,$J2044,$N$2:$N$3000,"&lt;"&amp;$N2044)+1,"")</f>
        <v/>
      </c>
      <c r="R2044" t="str">
        <f t="shared" si="473"/>
        <v/>
      </c>
      <c r="S2044">
        <f>IF($A2044="",0,IF(COUNTIF($R$2:$R2044,$R2044)=1,1,0))</f>
        <v>0</v>
      </c>
      <c r="T2044" t="str">
        <f t="shared" si="474"/>
        <v/>
      </c>
      <c r="U2044" t="str">
        <f>IF($A2044="","",IF($A2044=经营数据!$B$3,COUNTIFS($S$2:$S$3000,1,$A$2:$A$3000,$A2044,$T$2:$T$3000,"&lt;"&amp;$T2044)+1,""))</f>
        <v/>
      </c>
      <c r="V2044" t="str">
        <f t="shared" si="475"/>
        <v/>
      </c>
      <c r="W2044" t="str">
        <f t="shared" si="476"/>
        <v/>
      </c>
      <c r="X2044" t="str">
        <f t="shared" si="477"/>
        <v/>
      </c>
      <c r="Y2044" t="str">
        <f t="shared" si="478"/>
        <v/>
      </c>
      <c r="Z2044">
        <f>IF($A2044="",0,IF(AND($M2044=1,$A2044=经营数据!$B$3,$J2044=经营数据!$BA$5,OR($I2044=经营数据!$BA$4,COUNTIF(经营数据!$AA$9:$AA$38,$I2044)&gt;0)),1,0))</f>
        <v>0</v>
      </c>
      <c r="AA2044" t="str">
        <f t="shared" si="479"/>
        <v/>
      </c>
      <c r="AB2044" t="str">
        <f t="shared" si="480"/>
        <v/>
      </c>
      <c r="AC2044">
        <f>IF($A2044="",0,IF(COUNTIF($A$2:$A2044,$A2044)=1,1,0))</f>
        <v>0</v>
      </c>
      <c r="AD2044">
        <f t="shared" si="481"/>
        <v>29</v>
      </c>
      <c r="AE2044" t="str">
        <f t="shared" si="482"/>
        <v/>
      </c>
    </row>
    <row r="2045" spans="1:31" x14ac:dyDescent="0.4">
      <c r="A2045" t="str">
        <f>IF(原始经营数据!$D2046="","",原始经营数据!$D2046)</f>
        <v/>
      </c>
      <c r="B2045" t="str">
        <f>IF(原始经营数据!$D2046="","",T(原始经营数据!$E2046))</f>
        <v/>
      </c>
      <c r="C2045" t="str">
        <f>IF(原始经营数据!$D2046="","",原始经营数据!$F2046)</f>
        <v/>
      </c>
      <c r="D2045" t="str">
        <f>IF(原始经营数据!$D2046="","",原始经营数据!$H2046)</f>
        <v/>
      </c>
      <c r="E2045" t="str">
        <f>IF(原始经营数据!$D2046="","",原始经营数据!$I2046)</f>
        <v/>
      </c>
      <c r="F2045" t="str">
        <f>IF(原始经营数据!$D2046="","",T(原始经营数据!$J2046))</f>
        <v/>
      </c>
      <c r="G2045" t="str">
        <f>IF(原始经营数据!$D2046="","",T(原始经营数据!$K2046))</f>
        <v/>
      </c>
      <c r="H2045" t="str">
        <f>IF(原始经营数据!$D2046="","",原始经营数据!$G2046)</f>
        <v/>
      </c>
      <c r="I2045" t="str">
        <f>IF($A2045="","",IF($B2045&lt;&gt;"",$B2045,IF(COUNTIFS(原始经营数据!$D$3:$D$3001,$A2045,原始经营数据!$E$3:$E$3001,"",原始经营数据!$F$3:$F$3001,$C2045,原始经营数据!$H$3:$H$3001,$D2045,原始经营数据!$K$3:$K$3001,$G2045)&gt;1,"基金整体·来源"&amp;原始经营数据!$A2046,"基金整体")))</f>
        <v/>
      </c>
      <c r="J2045" t="str">
        <f t="shared" si="468"/>
        <v/>
      </c>
      <c r="K2045" t="str">
        <f t="shared" si="469"/>
        <v/>
      </c>
      <c r="L2045" t="str">
        <f t="shared" si="470"/>
        <v/>
      </c>
      <c r="M2045">
        <f>IF($A2045="",0,IF(COUNTIF($L$2:$L2045,$L2045)=1,1,0))</f>
        <v>0</v>
      </c>
      <c r="N2045" t="str">
        <f t="shared" si="471"/>
        <v/>
      </c>
      <c r="O2045" t="str">
        <f t="shared" si="472"/>
        <v/>
      </c>
      <c r="P2045">
        <f>IF($A2045="",0,IF(COUNTIF($O$2:$O2045,$O2045)=1,1,0))</f>
        <v>0</v>
      </c>
      <c r="Q2045" t="str">
        <f>IF(AND($P2045=1,$A2045=经营数据!$B$3,$J2045=经营数据!$BA$5),COUNTIFS($P$2:$P$3000,1,$A$2:$A$3000,$A2045,$J$2:$J$3000,$J2045,$N$2:$N$3000,"&lt;"&amp;$N2045)+1,"")</f>
        <v/>
      </c>
      <c r="R2045" t="str">
        <f t="shared" si="473"/>
        <v/>
      </c>
      <c r="S2045">
        <f>IF($A2045="",0,IF(COUNTIF($R$2:$R2045,$R2045)=1,1,0))</f>
        <v>0</v>
      </c>
      <c r="T2045" t="str">
        <f t="shared" si="474"/>
        <v/>
      </c>
      <c r="U2045" t="str">
        <f>IF($A2045="","",IF($A2045=经营数据!$B$3,COUNTIFS($S$2:$S$3000,1,$A$2:$A$3000,$A2045,$T$2:$T$3000,"&lt;"&amp;$T2045)+1,""))</f>
        <v/>
      </c>
      <c r="V2045" t="str">
        <f t="shared" si="475"/>
        <v/>
      </c>
      <c r="W2045" t="str">
        <f t="shared" si="476"/>
        <v/>
      </c>
      <c r="X2045" t="str">
        <f t="shared" si="477"/>
        <v/>
      </c>
      <c r="Y2045" t="str">
        <f t="shared" si="478"/>
        <v/>
      </c>
      <c r="Z2045">
        <f>IF($A2045="",0,IF(AND($M2045=1,$A2045=经营数据!$B$3,$J2045=经营数据!$BA$5,OR($I2045=经营数据!$BA$4,COUNTIF(经营数据!$AA$9:$AA$38,$I2045)&gt;0)),1,0))</f>
        <v>0</v>
      </c>
      <c r="AA2045" t="str">
        <f t="shared" si="479"/>
        <v/>
      </c>
      <c r="AB2045" t="str">
        <f t="shared" si="480"/>
        <v/>
      </c>
      <c r="AC2045">
        <f>IF($A2045="",0,IF(COUNTIF($A$2:$A2045,$A2045)=1,1,0))</f>
        <v>0</v>
      </c>
      <c r="AD2045">
        <f t="shared" si="481"/>
        <v>29</v>
      </c>
      <c r="AE2045" t="str">
        <f t="shared" si="482"/>
        <v/>
      </c>
    </row>
    <row r="2046" spans="1:31" x14ac:dyDescent="0.4">
      <c r="A2046" t="str">
        <f>IF(原始经营数据!$D2047="","",原始经营数据!$D2047)</f>
        <v/>
      </c>
      <c r="B2046" t="str">
        <f>IF(原始经营数据!$D2047="","",T(原始经营数据!$E2047))</f>
        <v/>
      </c>
      <c r="C2046" t="str">
        <f>IF(原始经营数据!$D2047="","",原始经营数据!$F2047)</f>
        <v/>
      </c>
      <c r="D2046" t="str">
        <f>IF(原始经营数据!$D2047="","",原始经营数据!$H2047)</f>
        <v/>
      </c>
      <c r="E2046" t="str">
        <f>IF(原始经营数据!$D2047="","",原始经营数据!$I2047)</f>
        <v/>
      </c>
      <c r="F2046" t="str">
        <f>IF(原始经营数据!$D2047="","",T(原始经营数据!$J2047))</f>
        <v/>
      </c>
      <c r="G2046" t="str">
        <f>IF(原始经营数据!$D2047="","",T(原始经营数据!$K2047))</f>
        <v/>
      </c>
      <c r="H2046" t="str">
        <f>IF(原始经营数据!$D2047="","",原始经营数据!$G2047)</f>
        <v/>
      </c>
      <c r="I2046" t="str">
        <f>IF($A2046="","",IF($B2046&lt;&gt;"",$B2046,IF(COUNTIFS(原始经营数据!$D$3:$D$3001,$A2046,原始经营数据!$E$3:$E$3001,"",原始经营数据!$F$3:$F$3001,$C2046,原始经营数据!$H$3:$H$3001,$D2046,原始经营数据!$K$3:$K$3001,$G2046)&gt;1,"基金整体·来源"&amp;原始经营数据!$A2047,"基金整体")))</f>
        <v/>
      </c>
      <c r="J2046" t="str">
        <f t="shared" si="468"/>
        <v/>
      </c>
      <c r="K2046" t="str">
        <f t="shared" si="469"/>
        <v/>
      </c>
      <c r="L2046" t="str">
        <f t="shared" si="470"/>
        <v/>
      </c>
      <c r="M2046">
        <f>IF($A2046="",0,IF(COUNTIF($L$2:$L2046,$L2046)=1,1,0))</f>
        <v>0</v>
      </c>
      <c r="N2046" t="str">
        <f t="shared" si="471"/>
        <v/>
      </c>
      <c r="O2046" t="str">
        <f t="shared" si="472"/>
        <v/>
      </c>
      <c r="P2046">
        <f>IF($A2046="",0,IF(COUNTIF($O$2:$O2046,$O2046)=1,1,0))</f>
        <v>0</v>
      </c>
      <c r="Q2046" t="str">
        <f>IF(AND($P2046=1,$A2046=经营数据!$B$3,$J2046=经营数据!$BA$5),COUNTIFS($P$2:$P$3000,1,$A$2:$A$3000,$A2046,$J$2:$J$3000,$J2046,$N$2:$N$3000,"&lt;"&amp;$N2046)+1,"")</f>
        <v/>
      </c>
      <c r="R2046" t="str">
        <f t="shared" si="473"/>
        <v/>
      </c>
      <c r="S2046">
        <f>IF($A2046="",0,IF(COUNTIF($R$2:$R2046,$R2046)=1,1,0))</f>
        <v>0</v>
      </c>
      <c r="T2046" t="str">
        <f t="shared" si="474"/>
        <v/>
      </c>
      <c r="U2046" t="str">
        <f>IF($A2046="","",IF($A2046=经营数据!$B$3,COUNTIFS($S$2:$S$3000,1,$A$2:$A$3000,$A2046,$T$2:$T$3000,"&lt;"&amp;$T2046)+1,""))</f>
        <v/>
      </c>
      <c r="V2046" t="str">
        <f t="shared" si="475"/>
        <v/>
      </c>
      <c r="W2046" t="str">
        <f t="shared" si="476"/>
        <v/>
      </c>
      <c r="X2046" t="str">
        <f t="shared" si="477"/>
        <v/>
      </c>
      <c r="Y2046" t="str">
        <f t="shared" si="478"/>
        <v/>
      </c>
      <c r="Z2046">
        <f>IF($A2046="",0,IF(AND($M2046=1,$A2046=经营数据!$B$3,$J2046=经营数据!$BA$5,OR($I2046=经营数据!$BA$4,COUNTIF(经营数据!$AA$9:$AA$38,$I2046)&gt;0)),1,0))</f>
        <v>0</v>
      </c>
      <c r="AA2046" t="str">
        <f t="shared" si="479"/>
        <v/>
      </c>
      <c r="AB2046" t="str">
        <f t="shared" si="480"/>
        <v/>
      </c>
      <c r="AC2046">
        <f>IF($A2046="",0,IF(COUNTIF($A$2:$A2046,$A2046)=1,1,0))</f>
        <v>0</v>
      </c>
      <c r="AD2046">
        <f t="shared" si="481"/>
        <v>29</v>
      </c>
      <c r="AE2046" t="str">
        <f t="shared" si="482"/>
        <v/>
      </c>
    </row>
    <row r="2047" spans="1:31" x14ac:dyDescent="0.4">
      <c r="A2047" t="str">
        <f>IF(原始经营数据!$D2048="","",原始经营数据!$D2048)</f>
        <v/>
      </c>
      <c r="B2047" t="str">
        <f>IF(原始经营数据!$D2048="","",T(原始经营数据!$E2048))</f>
        <v/>
      </c>
      <c r="C2047" t="str">
        <f>IF(原始经营数据!$D2048="","",原始经营数据!$F2048)</f>
        <v/>
      </c>
      <c r="D2047" t="str">
        <f>IF(原始经营数据!$D2048="","",原始经营数据!$H2048)</f>
        <v/>
      </c>
      <c r="E2047" t="str">
        <f>IF(原始经营数据!$D2048="","",原始经营数据!$I2048)</f>
        <v/>
      </c>
      <c r="F2047" t="str">
        <f>IF(原始经营数据!$D2048="","",T(原始经营数据!$J2048))</f>
        <v/>
      </c>
      <c r="G2047" t="str">
        <f>IF(原始经营数据!$D2048="","",T(原始经营数据!$K2048))</f>
        <v/>
      </c>
      <c r="H2047" t="str">
        <f>IF(原始经营数据!$D2048="","",原始经营数据!$G2048)</f>
        <v/>
      </c>
      <c r="I2047" t="str">
        <f>IF($A2047="","",IF($B2047&lt;&gt;"",$B2047,IF(COUNTIFS(原始经营数据!$D$3:$D$3001,$A2047,原始经营数据!$E$3:$E$3001,"",原始经营数据!$F$3:$F$3001,$C2047,原始经营数据!$H$3:$H$3001,$D2047,原始经营数据!$K$3:$K$3001,$G2047)&gt;1,"基金整体·来源"&amp;原始经营数据!$A2048,"基金整体")))</f>
        <v/>
      </c>
      <c r="J2047" t="str">
        <f t="shared" si="468"/>
        <v/>
      </c>
      <c r="K2047" t="str">
        <f t="shared" si="469"/>
        <v/>
      </c>
      <c r="L2047" t="str">
        <f t="shared" si="470"/>
        <v/>
      </c>
      <c r="M2047">
        <f>IF($A2047="",0,IF(COUNTIF($L$2:$L2047,$L2047)=1,1,0))</f>
        <v>0</v>
      </c>
      <c r="N2047" t="str">
        <f t="shared" si="471"/>
        <v/>
      </c>
      <c r="O2047" t="str">
        <f t="shared" si="472"/>
        <v/>
      </c>
      <c r="P2047">
        <f>IF($A2047="",0,IF(COUNTIF($O$2:$O2047,$O2047)=1,1,0))</f>
        <v>0</v>
      </c>
      <c r="Q2047" t="str">
        <f>IF(AND($P2047=1,$A2047=经营数据!$B$3,$J2047=经营数据!$BA$5),COUNTIFS($P$2:$P$3000,1,$A$2:$A$3000,$A2047,$J$2:$J$3000,$J2047,$N$2:$N$3000,"&lt;"&amp;$N2047)+1,"")</f>
        <v/>
      </c>
      <c r="R2047" t="str">
        <f t="shared" si="473"/>
        <v/>
      </c>
      <c r="S2047">
        <f>IF($A2047="",0,IF(COUNTIF($R$2:$R2047,$R2047)=1,1,0))</f>
        <v>0</v>
      </c>
      <c r="T2047" t="str">
        <f t="shared" si="474"/>
        <v/>
      </c>
      <c r="U2047" t="str">
        <f>IF($A2047="","",IF($A2047=经营数据!$B$3,COUNTIFS($S$2:$S$3000,1,$A$2:$A$3000,$A2047,$T$2:$T$3000,"&lt;"&amp;$T2047)+1,""))</f>
        <v/>
      </c>
      <c r="V2047" t="str">
        <f t="shared" si="475"/>
        <v/>
      </c>
      <c r="W2047" t="str">
        <f t="shared" si="476"/>
        <v/>
      </c>
      <c r="X2047" t="str">
        <f t="shared" si="477"/>
        <v/>
      </c>
      <c r="Y2047" t="str">
        <f t="shared" si="478"/>
        <v/>
      </c>
      <c r="Z2047">
        <f>IF($A2047="",0,IF(AND($M2047=1,$A2047=经营数据!$B$3,$J2047=经营数据!$BA$5,OR($I2047=经营数据!$BA$4,COUNTIF(经营数据!$AA$9:$AA$38,$I2047)&gt;0)),1,0))</f>
        <v>0</v>
      </c>
      <c r="AA2047" t="str">
        <f t="shared" si="479"/>
        <v/>
      </c>
      <c r="AB2047" t="str">
        <f t="shared" si="480"/>
        <v/>
      </c>
      <c r="AC2047">
        <f>IF($A2047="",0,IF(COUNTIF($A$2:$A2047,$A2047)=1,1,0))</f>
        <v>0</v>
      </c>
      <c r="AD2047">
        <f t="shared" si="481"/>
        <v>29</v>
      </c>
      <c r="AE2047" t="str">
        <f t="shared" si="482"/>
        <v/>
      </c>
    </row>
    <row r="2048" spans="1:31" x14ac:dyDescent="0.4">
      <c r="A2048" t="str">
        <f>IF(原始经营数据!$D2049="","",原始经营数据!$D2049)</f>
        <v/>
      </c>
      <c r="B2048" t="str">
        <f>IF(原始经营数据!$D2049="","",T(原始经营数据!$E2049))</f>
        <v/>
      </c>
      <c r="C2048" t="str">
        <f>IF(原始经营数据!$D2049="","",原始经营数据!$F2049)</f>
        <v/>
      </c>
      <c r="D2048" t="str">
        <f>IF(原始经营数据!$D2049="","",原始经营数据!$H2049)</f>
        <v/>
      </c>
      <c r="E2048" t="str">
        <f>IF(原始经营数据!$D2049="","",原始经营数据!$I2049)</f>
        <v/>
      </c>
      <c r="F2048" t="str">
        <f>IF(原始经营数据!$D2049="","",T(原始经营数据!$J2049))</f>
        <v/>
      </c>
      <c r="G2048" t="str">
        <f>IF(原始经营数据!$D2049="","",T(原始经营数据!$K2049))</f>
        <v/>
      </c>
      <c r="H2048" t="str">
        <f>IF(原始经营数据!$D2049="","",原始经营数据!$G2049)</f>
        <v/>
      </c>
      <c r="I2048" t="str">
        <f>IF($A2048="","",IF($B2048&lt;&gt;"",$B2048,IF(COUNTIFS(原始经营数据!$D$3:$D$3001,$A2048,原始经营数据!$E$3:$E$3001,"",原始经营数据!$F$3:$F$3001,$C2048,原始经营数据!$H$3:$H$3001,$D2048,原始经营数据!$K$3:$K$3001,$G2048)&gt;1,"基金整体·来源"&amp;原始经营数据!$A2049,"基金整体")))</f>
        <v/>
      </c>
      <c r="J2048" t="str">
        <f t="shared" si="468"/>
        <v/>
      </c>
      <c r="K2048" t="str">
        <f t="shared" si="469"/>
        <v/>
      </c>
      <c r="L2048" t="str">
        <f t="shared" si="470"/>
        <v/>
      </c>
      <c r="M2048">
        <f>IF($A2048="",0,IF(COUNTIF($L$2:$L2048,$L2048)=1,1,0))</f>
        <v>0</v>
      </c>
      <c r="N2048" t="str">
        <f t="shared" si="471"/>
        <v/>
      </c>
      <c r="O2048" t="str">
        <f t="shared" si="472"/>
        <v/>
      </c>
      <c r="P2048">
        <f>IF($A2048="",0,IF(COUNTIF($O$2:$O2048,$O2048)=1,1,0))</f>
        <v>0</v>
      </c>
      <c r="Q2048" t="str">
        <f>IF(AND($P2048=1,$A2048=经营数据!$B$3,$J2048=经营数据!$BA$5),COUNTIFS($P$2:$P$3000,1,$A$2:$A$3000,$A2048,$J$2:$J$3000,$J2048,$N$2:$N$3000,"&lt;"&amp;$N2048)+1,"")</f>
        <v/>
      </c>
      <c r="R2048" t="str">
        <f t="shared" si="473"/>
        <v/>
      </c>
      <c r="S2048">
        <f>IF($A2048="",0,IF(COUNTIF($R$2:$R2048,$R2048)=1,1,0))</f>
        <v>0</v>
      </c>
      <c r="T2048" t="str">
        <f t="shared" si="474"/>
        <v/>
      </c>
      <c r="U2048" t="str">
        <f>IF($A2048="","",IF($A2048=经营数据!$B$3,COUNTIFS($S$2:$S$3000,1,$A$2:$A$3000,$A2048,$T$2:$T$3000,"&lt;"&amp;$T2048)+1,""))</f>
        <v/>
      </c>
      <c r="V2048" t="str">
        <f t="shared" si="475"/>
        <v/>
      </c>
      <c r="W2048" t="str">
        <f t="shared" si="476"/>
        <v/>
      </c>
      <c r="X2048" t="str">
        <f t="shared" si="477"/>
        <v/>
      </c>
      <c r="Y2048" t="str">
        <f t="shared" si="478"/>
        <v/>
      </c>
      <c r="Z2048">
        <f>IF($A2048="",0,IF(AND($M2048=1,$A2048=经营数据!$B$3,$J2048=经营数据!$BA$5,OR($I2048=经营数据!$BA$4,COUNTIF(经营数据!$AA$9:$AA$38,$I2048)&gt;0)),1,0))</f>
        <v>0</v>
      </c>
      <c r="AA2048" t="str">
        <f t="shared" si="479"/>
        <v/>
      </c>
      <c r="AB2048" t="str">
        <f t="shared" si="480"/>
        <v/>
      </c>
      <c r="AC2048">
        <f>IF($A2048="",0,IF(COUNTIF($A$2:$A2048,$A2048)=1,1,0))</f>
        <v>0</v>
      </c>
      <c r="AD2048">
        <f t="shared" si="481"/>
        <v>29</v>
      </c>
      <c r="AE2048" t="str">
        <f t="shared" si="482"/>
        <v/>
      </c>
    </row>
    <row r="2049" spans="1:31" x14ac:dyDescent="0.4">
      <c r="A2049" t="str">
        <f>IF(原始经营数据!$D2050="","",原始经营数据!$D2050)</f>
        <v/>
      </c>
      <c r="B2049" t="str">
        <f>IF(原始经营数据!$D2050="","",T(原始经营数据!$E2050))</f>
        <v/>
      </c>
      <c r="C2049" t="str">
        <f>IF(原始经营数据!$D2050="","",原始经营数据!$F2050)</f>
        <v/>
      </c>
      <c r="D2049" t="str">
        <f>IF(原始经营数据!$D2050="","",原始经营数据!$H2050)</f>
        <v/>
      </c>
      <c r="E2049" t="str">
        <f>IF(原始经营数据!$D2050="","",原始经营数据!$I2050)</f>
        <v/>
      </c>
      <c r="F2049" t="str">
        <f>IF(原始经营数据!$D2050="","",T(原始经营数据!$J2050))</f>
        <v/>
      </c>
      <c r="G2049" t="str">
        <f>IF(原始经营数据!$D2050="","",T(原始经营数据!$K2050))</f>
        <v/>
      </c>
      <c r="H2049" t="str">
        <f>IF(原始经营数据!$D2050="","",原始经营数据!$G2050)</f>
        <v/>
      </c>
      <c r="I2049" t="str">
        <f>IF($A2049="","",IF($B2049&lt;&gt;"",$B2049,IF(COUNTIFS(原始经营数据!$D$3:$D$3001,$A2049,原始经营数据!$E$3:$E$3001,"",原始经营数据!$F$3:$F$3001,$C2049,原始经营数据!$H$3:$H$3001,$D2049,原始经营数据!$K$3:$K$3001,$G2049)&gt;1,"基金整体·来源"&amp;原始经营数据!$A2050,"基金整体")))</f>
        <v/>
      </c>
      <c r="J2049" t="str">
        <f t="shared" si="468"/>
        <v/>
      </c>
      <c r="K2049" t="str">
        <f t="shared" si="469"/>
        <v/>
      </c>
      <c r="L2049" t="str">
        <f t="shared" si="470"/>
        <v/>
      </c>
      <c r="M2049">
        <f>IF($A2049="",0,IF(COUNTIF($L$2:$L2049,$L2049)=1,1,0))</f>
        <v>0</v>
      </c>
      <c r="N2049" t="str">
        <f t="shared" si="471"/>
        <v/>
      </c>
      <c r="O2049" t="str">
        <f t="shared" si="472"/>
        <v/>
      </c>
      <c r="P2049">
        <f>IF($A2049="",0,IF(COUNTIF($O$2:$O2049,$O2049)=1,1,0))</f>
        <v>0</v>
      </c>
      <c r="Q2049" t="str">
        <f>IF(AND($P2049=1,$A2049=经营数据!$B$3,$J2049=经营数据!$BA$5),COUNTIFS($P$2:$P$3000,1,$A$2:$A$3000,$A2049,$J$2:$J$3000,$J2049,$N$2:$N$3000,"&lt;"&amp;$N2049)+1,"")</f>
        <v/>
      </c>
      <c r="R2049" t="str">
        <f t="shared" si="473"/>
        <v/>
      </c>
      <c r="S2049">
        <f>IF($A2049="",0,IF(COUNTIF($R$2:$R2049,$R2049)=1,1,0))</f>
        <v>0</v>
      </c>
      <c r="T2049" t="str">
        <f t="shared" si="474"/>
        <v/>
      </c>
      <c r="U2049" t="str">
        <f>IF($A2049="","",IF($A2049=经营数据!$B$3,COUNTIFS($S$2:$S$3000,1,$A$2:$A$3000,$A2049,$T$2:$T$3000,"&lt;"&amp;$T2049)+1,""))</f>
        <v/>
      </c>
      <c r="V2049" t="str">
        <f t="shared" si="475"/>
        <v/>
      </c>
      <c r="W2049" t="str">
        <f t="shared" si="476"/>
        <v/>
      </c>
      <c r="X2049" t="str">
        <f t="shared" si="477"/>
        <v/>
      </c>
      <c r="Y2049" t="str">
        <f t="shared" si="478"/>
        <v/>
      </c>
      <c r="Z2049">
        <f>IF($A2049="",0,IF(AND($M2049=1,$A2049=经营数据!$B$3,$J2049=经营数据!$BA$5,OR($I2049=经营数据!$BA$4,COUNTIF(经营数据!$AA$9:$AA$38,$I2049)&gt;0)),1,0))</f>
        <v>0</v>
      </c>
      <c r="AA2049" t="str">
        <f t="shared" si="479"/>
        <v/>
      </c>
      <c r="AB2049" t="str">
        <f t="shared" si="480"/>
        <v/>
      </c>
      <c r="AC2049">
        <f>IF($A2049="",0,IF(COUNTIF($A$2:$A2049,$A2049)=1,1,0))</f>
        <v>0</v>
      </c>
      <c r="AD2049">
        <f t="shared" si="481"/>
        <v>29</v>
      </c>
      <c r="AE2049" t="str">
        <f t="shared" si="482"/>
        <v/>
      </c>
    </row>
    <row r="2050" spans="1:31" x14ac:dyDescent="0.4">
      <c r="A2050" t="str">
        <f>IF(原始经营数据!$D2051="","",原始经营数据!$D2051)</f>
        <v/>
      </c>
      <c r="B2050" t="str">
        <f>IF(原始经营数据!$D2051="","",T(原始经营数据!$E2051))</f>
        <v/>
      </c>
      <c r="C2050" t="str">
        <f>IF(原始经营数据!$D2051="","",原始经营数据!$F2051)</f>
        <v/>
      </c>
      <c r="D2050" t="str">
        <f>IF(原始经营数据!$D2051="","",原始经营数据!$H2051)</f>
        <v/>
      </c>
      <c r="E2050" t="str">
        <f>IF(原始经营数据!$D2051="","",原始经营数据!$I2051)</f>
        <v/>
      </c>
      <c r="F2050" t="str">
        <f>IF(原始经营数据!$D2051="","",T(原始经营数据!$J2051))</f>
        <v/>
      </c>
      <c r="G2050" t="str">
        <f>IF(原始经营数据!$D2051="","",T(原始经营数据!$K2051))</f>
        <v/>
      </c>
      <c r="H2050" t="str">
        <f>IF(原始经营数据!$D2051="","",原始经营数据!$G2051)</f>
        <v/>
      </c>
      <c r="I2050" t="str">
        <f>IF($A2050="","",IF($B2050&lt;&gt;"",$B2050,IF(COUNTIFS(原始经营数据!$D$3:$D$3001,$A2050,原始经营数据!$E$3:$E$3001,"",原始经营数据!$F$3:$F$3001,$C2050,原始经营数据!$H$3:$H$3001,$D2050,原始经营数据!$K$3:$K$3001,$G2050)&gt;1,"基金整体·来源"&amp;原始经营数据!$A2051,"基金整体")))</f>
        <v/>
      </c>
      <c r="J2050" t="str">
        <f t="shared" ref="J2050:J2113" si="483">IF($A2050="","",IF(LEN($C2050)=4,"年度",IF(AND(LEN($C2050)=6,ISNUMBER(SEARCH("Q",$C2050))),"季度","其他期间")))</f>
        <v/>
      </c>
      <c r="K2050" t="str">
        <f t="shared" ref="K2050:K2113" si="484">IF($A2050="","",$D2050&amp;IF($G2050="","","-"&amp;SUBSTITUTE($G2050,CHAR(10),""))&amp;IF($F2050="","","（"&amp;$F2050&amp;"）"))</f>
        <v/>
      </c>
      <c r="L2050" t="str">
        <f t="shared" ref="L2050:L2113" si="485">IF($A2050="","",$I2050&amp;"|"&amp;$K2050&amp;"|"&amp;$J2050)</f>
        <v/>
      </c>
      <c r="M2050">
        <f>IF($A2050="",0,IF(COUNTIF($L$2:$L2050,$L2050)=1,1,0))</f>
        <v>0</v>
      </c>
      <c r="N2050" t="str">
        <f t="shared" ref="N2050:N2113" si="486">IF($A2050="","",IF($J2050="年度",VALUE($C2050)*10,IF($J2050="季度",VALUE(LEFT($C2050,4))*10+VALUE(RIGHT($C2050,1)),VALUE(LEFT($C2050,4))*10+9)))</f>
        <v/>
      </c>
      <c r="O2050" t="str">
        <f t="shared" ref="O2050:O2113" si="487">IF($A2050="","",$A2050&amp;"|"&amp;$C2050&amp;"|"&amp;$J2050)</f>
        <v/>
      </c>
      <c r="P2050">
        <f>IF($A2050="",0,IF(COUNTIF($O$2:$O2050,$O2050)=1,1,0))</f>
        <v>0</v>
      </c>
      <c r="Q2050" t="str">
        <f>IF(AND($P2050=1,$A2050=经营数据!$B$3,$J2050=经营数据!$BA$5),COUNTIFS($P$2:$P$3000,1,$A$2:$A$3000,$A2050,$J$2:$J$3000,$J2050,$N$2:$N$3000,"&lt;"&amp;$N2050)+1,"")</f>
        <v/>
      </c>
      <c r="R2050" t="str">
        <f t="shared" ref="R2050:R2113" si="488">IF($A2050="","",$A2050&amp;"|"&amp;$I2050)</f>
        <v/>
      </c>
      <c r="S2050">
        <f>IF($A2050="",0,IF(COUNTIF($R$2:$R2050,$R2050)=1,1,0))</f>
        <v>0</v>
      </c>
      <c r="T2050" t="str">
        <f t="shared" ref="T2050:T2113" si="489">IF($A2050="","",MATCH($R2050,$R$2:$R$3000,0))</f>
        <v/>
      </c>
      <c r="U2050" t="str">
        <f>IF($A2050="","",IF($A2050=经营数据!$B$3,COUNTIFS($S$2:$S$3000,1,$A$2:$A$3000,$A2050,$T$2:$T$3000,"&lt;"&amp;$T2050)+1,""))</f>
        <v/>
      </c>
      <c r="V2050" t="str">
        <f t="shared" ref="V2050:V2113" si="490">IF($A2050="","",$I2050&amp;"|"&amp;$H2050)</f>
        <v/>
      </c>
      <c r="W2050" t="str">
        <f t="shared" ref="W2050:W2113" si="491">IF($A2050="","",MATCH($V2050,$V$2:$V$3000,0))</f>
        <v/>
      </c>
      <c r="X2050" t="str">
        <f t="shared" ref="X2050:X2113" si="492">IF($A2050="","",$I2050&amp;"|"&amp;$D2050)</f>
        <v/>
      </c>
      <c r="Y2050" t="str">
        <f t="shared" ref="Y2050:Y2113" si="493">IF($A2050="","",MATCH($X2050,$X$2:$X$3000,0))</f>
        <v/>
      </c>
      <c r="Z2050">
        <f>IF($A2050="",0,IF(AND($M2050=1,$A2050=经营数据!$B$3,$J2050=经营数据!$BA$5,OR($I2050=经营数据!$BA$4,COUNTIF(经营数据!$AA$9:$AA$38,$I2050)&gt;0)),1,0))</f>
        <v>0</v>
      </c>
      <c r="AA2050" t="str">
        <f t="shared" ref="AA2050:AA2113" si="494">IF($Z2050=1,$U2050*1000000000000+$W2050*100000000+$Y2050*10000+ROW(),"")</f>
        <v/>
      </c>
      <c r="AB2050" t="str">
        <f t="shared" ref="AB2050:AB2113" si="495">IF($Z2050=1,COUNTIFS($Z$2:$Z$3000,1,$AA$2:$AA$3000,"&lt;"&amp;$AA2050)+1,"")</f>
        <v/>
      </c>
      <c r="AC2050">
        <f>IF($A2050="",0,IF(COUNTIF($A$2:$A2050,$A2050)=1,1,0))</f>
        <v>0</v>
      </c>
      <c r="AD2050">
        <f t="shared" ref="AD2050:AD2113" si="496">IF($A2050="",N(AD2049),IF($AC2050=1,N(AD2049)+1,N(AD2049)))</f>
        <v>29</v>
      </c>
      <c r="AE2050" t="str">
        <f t="shared" ref="AE2050:AE2113" si="497">IF($A2050="","",$I2050&amp;"|"&amp;$K2050)</f>
        <v/>
      </c>
    </row>
    <row r="2051" spans="1:31" x14ac:dyDescent="0.4">
      <c r="A2051" t="str">
        <f>IF(原始经营数据!$D2052="","",原始经营数据!$D2052)</f>
        <v/>
      </c>
      <c r="B2051" t="str">
        <f>IF(原始经营数据!$D2052="","",T(原始经营数据!$E2052))</f>
        <v/>
      </c>
      <c r="C2051" t="str">
        <f>IF(原始经营数据!$D2052="","",原始经营数据!$F2052)</f>
        <v/>
      </c>
      <c r="D2051" t="str">
        <f>IF(原始经营数据!$D2052="","",原始经营数据!$H2052)</f>
        <v/>
      </c>
      <c r="E2051" t="str">
        <f>IF(原始经营数据!$D2052="","",原始经营数据!$I2052)</f>
        <v/>
      </c>
      <c r="F2051" t="str">
        <f>IF(原始经营数据!$D2052="","",T(原始经营数据!$J2052))</f>
        <v/>
      </c>
      <c r="G2051" t="str">
        <f>IF(原始经营数据!$D2052="","",T(原始经营数据!$K2052))</f>
        <v/>
      </c>
      <c r="H2051" t="str">
        <f>IF(原始经营数据!$D2052="","",原始经营数据!$G2052)</f>
        <v/>
      </c>
      <c r="I2051" t="str">
        <f>IF($A2051="","",IF($B2051&lt;&gt;"",$B2051,IF(COUNTIFS(原始经营数据!$D$3:$D$3001,$A2051,原始经营数据!$E$3:$E$3001,"",原始经营数据!$F$3:$F$3001,$C2051,原始经营数据!$H$3:$H$3001,$D2051,原始经营数据!$K$3:$K$3001,$G2051)&gt;1,"基金整体·来源"&amp;原始经营数据!$A2052,"基金整体")))</f>
        <v/>
      </c>
      <c r="J2051" t="str">
        <f t="shared" si="483"/>
        <v/>
      </c>
      <c r="K2051" t="str">
        <f t="shared" si="484"/>
        <v/>
      </c>
      <c r="L2051" t="str">
        <f t="shared" si="485"/>
        <v/>
      </c>
      <c r="M2051">
        <f>IF($A2051="",0,IF(COUNTIF($L$2:$L2051,$L2051)=1,1,0))</f>
        <v>0</v>
      </c>
      <c r="N2051" t="str">
        <f t="shared" si="486"/>
        <v/>
      </c>
      <c r="O2051" t="str">
        <f t="shared" si="487"/>
        <v/>
      </c>
      <c r="P2051">
        <f>IF($A2051="",0,IF(COUNTIF($O$2:$O2051,$O2051)=1,1,0))</f>
        <v>0</v>
      </c>
      <c r="Q2051" t="str">
        <f>IF(AND($P2051=1,$A2051=经营数据!$B$3,$J2051=经营数据!$BA$5),COUNTIFS($P$2:$P$3000,1,$A$2:$A$3000,$A2051,$J$2:$J$3000,$J2051,$N$2:$N$3000,"&lt;"&amp;$N2051)+1,"")</f>
        <v/>
      </c>
      <c r="R2051" t="str">
        <f t="shared" si="488"/>
        <v/>
      </c>
      <c r="S2051">
        <f>IF($A2051="",0,IF(COUNTIF($R$2:$R2051,$R2051)=1,1,0))</f>
        <v>0</v>
      </c>
      <c r="T2051" t="str">
        <f t="shared" si="489"/>
        <v/>
      </c>
      <c r="U2051" t="str">
        <f>IF($A2051="","",IF($A2051=经营数据!$B$3,COUNTIFS($S$2:$S$3000,1,$A$2:$A$3000,$A2051,$T$2:$T$3000,"&lt;"&amp;$T2051)+1,""))</f>
        <v/>
      </c>
      <c r="V2051" t="str">
        <f t="shared" si="490"/>
        <v/>
      </c>
      <c r="W2051" t="str">
        <f t="shared" si="491"/>
        <v/>
      </c>
      <c r="X2051" t="str">
        <f t="shared" si="492"/>
        <v/>
      </c>
      <c r="Y2051" t="str">
        <f t="shared" si="493"/>
        <v/>
      </c>
      <c r="Z2051">
        <f>IF($A2051="",0,IF(AND($M2051=1,$A2051=经营数据!$B$3,$J2051=经营数据!$BA$5,OR($I2051=经营数据!$BA$4,COUNTIF(经营数据!$AA$9:$AA$38,$I2051)&gt;0)),1,0))</f>
        <v>0</v>
      </c>
      <c r="AA2051" t="str">
        <f t="shared" si="494"/>
        <v/>
      </c>
      <c r="AB2051" t="str">
        <f t="shared" si="495"/>
        <v/>
      </c>
      <c r="AC2051">
        <f>IF($A2051="",0,IF(COUNTIF($A$2:$A2051,$A2051)=1,1,0))</f>
        <v>0</v>
      </c>
      <c r="AD2051">
        <f t="shared" si="496"/>
        <v>29</v>
      </c>
      <c r="AE2051" t="str">
        <f t="shared" si="497"/>
        <v/>
      </c>
    </row>
    <row r="2052" spans="1:31" x14ac:dyDescent="0.4">
      <c r="A2052" t="str">
        <f>IF(原始经营数据!$D2053="","",原始经营数据!$D2053)</f>
        <v/>
      </c>
      <c r="B2052" t="str">
        <f>IF(原始经营数据!$D2053="","",T(原始经营数据!$E2053))</f>
        <v/>
      </c>
      <c r="C2052" t="str">
        <f>IF(原始经营数据!$D2053="","",原始经营数据!$F2053)</f>
        <v/>
      </c>
      <c r="D2052" t="str">
        <f>IF(原始经营数据!$D2053="","",原始经营数据!$H2053)</f>
        <v/>
      </c>
      <c r="E2052" t="str">
        <f>IF(原始经营数据!$D2053="","",原始经营数据!$I2053)</f>
        <v/>
      </c>
      <c r="F2052" t="str">
        <f>IF(原始经营数据!$D2053="","",T(原始经营数据!$J2053))</f>
        <v/>
      </c>
      <c r="G2052" t="str">
        <f>IF(原始经营数据!$D2053="","",T(原始经营数据!$K2053))</f>
        <v/>
      </c>
      <c r="H2052" t="str">
        <f>IF(原始经营数据!$D2053="","",原始经营数据!$G2053)</f>
        <v/>
      </c>
      <c r="I2052" t="str">
        <f>IF($A2052="","",IF($B2052&lt;&gt;"",$B2052,IF(COUNTIFS(原始经营数据!$D$3:$D$3001,$A2052,原始经营数据!$E$3:$E$3001,"",原始经营数据!$F$3:$F$3001,$C2052,原始经营数据!$H$3:$H$3001,$D2052,原始经营数据!$K$3:$K$3001,$G2052)&gt;1,"基金整体·来源"&amp;原始经营数据!$A2053,"基金整体")))</f>
        <v/>
      </c>
      <c r="J2052" t="str">
        <f t="shared" si="483"/>
        <v/>
      </c>
      <c r="K2052" t="str">
        <f t="shared" si="484"/>
        <v/>
      </c>
      <c r="L2052" t="str">
        <f t="shared" si="485"/>
        <v/>
      </c>
      <c r="M2052">
        <f>IF($A2052="",0,IF(COUNTIF($L$2:$L2052,$L2052)=1,1,0))</f>
        <v>0</v>
      </c>
      <c r="N2052" t="str">
        <f t="shared" si="486"/>
        <v/>
      </c>
      <c r="O2052" t="str">
        <f t="shared" si="487"/>
        <v/>
      </c>
      <c r="P2052">
        <f>IF($A2052="",0,IF(COUNTIF($O$2:$O2052,$O2052)=1,1,0))</f>
        <v>0</v>
      </c>
      <c r="Q2052" t="str">
        <f>IF(AND($P2052=1,$A2052=经营数据!$B$3,$J2052=经营数据!$BA$5),COUNTIFS($P$2:$P$3000,1,$A$2:$A$3000,$A2052,$J$2:$J$3000,$J2052,$N$2:$N$3000,"&lt;"&amp;$N2052)+1,"")</f>
        <v/>
      </c>
      <c r="R2052" t="str">
        <f t="shared" si="488"/>
        <v/>
      </c>
      <c r="S2052">
        <f>IF($A2052="",0,IF(COUNTIF($R$2:$R2052,$R2052)=1,1,0))</f>
        <v>0</v>
      </c>
      <c r="T2052" t="str">
        <f t="shared" si="489"/>
        <v/>
      </c>
      <c r="U2052" t="str">
        <f>IF($A2052="","",IF($A2052=经营数据!$B$3,COUNTIFS($S$2:$S$3000,1,$A$2:$A$3000,$A2052,$T$2:$T$3000,"&lt;"&amp;$T2052)+1,""))</f>
        <v/>
      </c>
      <c r="V2052" t="str">
        <f t="shared" si="490"/>
        <v/>
      </c>
      <c r="W2052" t="str">
        <f t="shared" si="491"/>
        <v/>
      </c>
      <c r="X2052" t="str">
        <f t="shared" si="492"/>
        <v/>
      </c>
      <c r="Y2052" t="str">
        <f t="shared" si="493"/>
        <v/>
      </c>
      <c r="Z2052">
        <f>IF($A2052="",0,IF(AND($M2052=1,$A2052=经营数据!$B$3,$J2052=经营数据!$BA$5,OR($I2052=经营数据!$BA$4,COUNTIF(经营数据!$AA$9:$AA$38,$I2052)&gt;0)),1,0))</f>
        <v>0</v>
      </c>
      <c r="AA2052" t="str">
        <f t="shared" si="494"/>
        <v/>
      </c>
      <c r="AB2052" t="str">
        <f t="shared" si="495"/>
        <v/>
      </c>
      <c r="AC2052">
        <f>IF($A2052="",0,IF(COUNTIF($A$2:$A2052,$A2052)=1,1,0))</f>
        <v>0</v>
      </c>
      <c r="AD2052">
        <f t="shared" si="496"/>
        <v>29</v>
      </c>
      <c r="AE2052" t="str">
        <f t="shared" si="497"/>
        <v/>
      </c>
    </row>
    <row r="2053" spans="1:31" x14ac:dyDescent="0.4">
      <c r="A2053" t="str">
        <f>IF(原始经营数据!$D2054="","",原始经营数据!$D2054)</f>
        <v/>
      </c>
      <c r="B2053" t="str">
        <f>IF(原始经营数据!$D2054="","",T(原始经营数据!$E2054))</f>
        <v/>
      </c>
      <c r="C2053" t="str">
        <f>IF(原始经营数据!$D2054="","",原始经营数据!$F2054)</f>
        <v/>
      </c>
      <c r="D2053" t="str">
        <f>IF(原始经营数据!$D2054="","",原始经营数据!$H2054)</f>
        <v/>
      </c>
      <c r="E2053" t="str">
        <f>IF(原始经营数据!$D2054="","",原始经营数据!$I2054)</f>
        <v/>
      </c>
      <c r="F2053" t="str">
        <f>IF(原始经营数据!$D2054="","",T(原始经营数据!$J2054))</f>
        <v/>
      </c>
      <c r="G2053" t="str">
        <f>IF(原始经营数据!$D2054="","",T(原始经营数据!$K2054))</f>
        <v/>
      </c>
      <c r="H2053" t="str">
        <f>IF(原始经营数据!$D2054="","",原始经营数据!$G2054)</f>
        <v/>
      </c>
      <c r="I2053" t="str">
        <f>IF($A2053="","",IF($B2053&lt;&gt;"",$B2053,IF(COUNTIFS(原始经营数据!$D$3:$D$3001,$A2053,原始经营数据!$E$3:$E$3001,"",原始经营数据!$F$3:$F$3001,$C2053,原始经营数据!$H$3:$H$3001,$D2053,原始经营数据!$K$3:$K$3001,$G2053)&gt;1,"基金整体·来源"&amp;原始经营数据!$A2054,"基金整体")))</f>
        <v/>
      </c>
      <c r="J2053" t="str">
        <f t="shared" si="483"/>
        <v/>
      </c>
      <c r="K2053" t="str">
        <f t="shared" si="484"/>
        <v/>
      </c>
      <c r="L2053" t="str">
        <f t="shared" si="485"/>
        <v/>
      </c>
      <c r="M2053">
        <f>IF($A2053="",0,IF(COUNTIF($L$2:$L2053,$L2053)=1,1,0))</f>
        <v>0</v>
      </c>
      <c r="N2053" t="str">
        <f t="shared" si="486"/>
        <v/>
      </c>
      <c r="O2053" t="str">
        <f t="shared" si="487"/>
        <v/>
      </c>
      <c r="P2053">
        <f>IF($A2053="",0,IF(COUNTIF($O$2:$O2053,$O2053)=1,1,0))</f>
        <v>0</v>
      </c>
      <c r="Q2053" t="str">
        <f>IF(AND($P2053=1,$A2053=经营数据!$B$3,$J2053=经营数据!$BA$5),COUNTIFS($P$2:$P$3000,1,$A$2:$A$3000,$A2053,$J$2:$J$3000,$J2053,$N$2:$N$3000,"&lt;"&amp;$N2053)+1,"")</f>
        <v/>
      </c>
      <c r="R2053" t="str">
        <f t="shared" si="488"/>
        <v/>
      </c>
      <c r="S2053">
        <f>IF($A2053="",0,IF(COUNTIF($R$2:$R2053,$R2053)=1,1,0))</f>
        <v>0</v>
      </c>
      <c r="T2053" t="str">
        <f t="shared" si="489"/>
        <v/>
      </c>
      <c r="U2053" t="str">
        <f>IF($A2053="","",IF($A2053=经营数据!$B$3,COUNTIFS($S$2:$S$3000,1,$A$2:$A$3000,$A2053,$T$2:$T$3000,"&lt;"&amp;$T2053)+1,""))</f>
        <v/>
      </c>
      <c r="V2053" t="str">
        <f t="shared" si="490"/>
        <v/>
      </c>
      <c r="W2053" t="str">
        <f t="shared" si="491"/>
        <v/>
      </c>
      <c r="X2053" t="str">
        <f t="shared" si="492"/>
        <v/>
      </c>
      <c r="Y2053" t="str">
        <f t="shared" si="493"/>
        <v/>
      </c>
      <c r="Z2053">
        <f>IF($A2053="",0,IF(AND($M2053=1,$A2053=经营数据!$B$3,$J2053=经营数据!$BA$5,OR($I2053=经营数据!$BA$4,COUNTIF(经营数据!$AA$9:$AA$38,$I2053)&gt;0)),1,0))</f>
        <v>0</v>
      </c>
      <c r="AA2053" t="str">
        <f t="shared" si="494"/>
        <v/>
      </c>
      <c r="AB2053" t="str">
        <f t="shared" si="495"/>
        <v/>
      </c>
      <c r="AC2053">
        <f>IF($A2053="",0,IF(COUNTIF($A$2:$A2053,$A2053)=1,1,0))</f>
        <v>0</v>
      </c>
      <c r="AD2053">
        <f t="shared" si="496"/>
        <v>29</v>
      </c>
      <c r="AE2053" t="str">
        <f t="shared" si="497"/>
        <v/>
      </c>
    </row>
    <row r="2054" spans="1:31" x14ac:dyDescent="0.4">
      <c r="A2054" t="str">
        <f>IF(原始经营数据!$D2055="","",原始经营数据!$D2055)</f>
        <v/>
      </c>
      <c r="B2054" t="str">
        <f>IF(原始经营数据!$D2055="","",T(原始经营数据!$E2055))</f>
        <v/>
      </c>
      <c r="C2054" t="str">
        <f>IF(原始经营数据!$D2055="","",原始经营数据!$F2055)</f>
        <v/>
      </c>
      <c r="D2054" t="str">
        <f>IF(原始经营数据!$D2055="","",原始经营数据!$H2055)</f>
        <v/>
      </c>
      <c r="E2054" t="str">
        <f>IF(原始经营数据!$D2055="","",原始经营数据!$I2055)</f>
        <v/>
      </c>
      <c r="F2054" t="str">
        <f>IF(原始经营数据!$D2055="","",T(原始经营数据!$J2055))</f>
        <v/>
      </c>
      <c r="G2054" t="str">
        <f>IF(原始经营数据!$D2055="","",T(原始经营数据!$K2055))</f>
        <v/>
      </c>
      <c r="H2054" t="str">
        <f>IF(原始经营数据!$D2055="","",原始经营数据!$G2055)</f>
        <v/>
      </c>
      <c r="I2054" t="str">
        <f>IF($A2054="","",IF($B2054&lt;&gt;"",$B2054,IF(COUNTIFS(原始经营数据!$D$3:$D$3001,$A2054,原始经营数据!$E$3:$E$3001,"",原始经营数据!$F$3:$F$3001,$C2054,原始经营数据!$H$3:$H$3001,$D2054,原始经营数据!$K$3:$K$3001,$G2054)&gt;1,"基金整体·来源"&amp;原始经营数据!$A2055,"基金整体")))</f>
        <v/>
      </c>
      <c r="J2054" t="str">
        <f t="shared" si="483"/>
        <v/>
      </c>
      <c r="K2054" t="str">
        <f t="shared" si="484"/>
        <v/>
      </c>
      <c r="L2054" t="str">
        <f t="shared" si="485"/>
        <v/>
      </c>
      <c r="M2054">
        <f>IF($A2054="",0,IF(COUNTIF($L$2:$L2054,$L2054)=1,1,0))</f>
        <v>0</v>
      </c>
      <c r="N2054" t="str">
        <f t="shared" si="486"/>
        <v/>
      </c>
      <c r="O2054" t="str">
        <f t="shared" si="487"/>
        <v/>
      </c>
      <c r="P2054">
        <f>IF($A2054="",0,IF(COUNTIF($O$2:$O2054,$O2054)=1,1,0))</f>
        <v>0</v>
      </c>
      <c r="Q2054" t="str">
        <f>IF(AND($P2054=1,$A2054=经营数据!$B$3,$J2054=经营数据!$BA$5),COUNTIFS($P$2:$P$3000,1,$A$2:$A$3000,$A2054,$J$2:$J$3000,$J2054,$N$2:$N$3000,"&lt;"&amp;$N2054)+1,"")</f>
        <v/>
      </c>
      <c r="R2054" t="str">
        <f t="shared" si="488"/>
        <v/>
      </c>
      <c r="S2054">
        <f>IF($A2054="",0,IF(COUNTIF($R$2:$R2054,$R2054)=1,1,0))</f>
        <v>0</v>
      </c>
      <c r="T2054" t="str">
        <f t="shared" si="489"/>
        <v/>
      </c>
      <c r="U2054" t="str">
        <f>IF($A2054="","",IF($A2054=经营数据!$B$3,COUNTIFS($S$2:$S$3000,1,$A$2:$A$3000,$A2054,$T$2:$T$3000,"&lt;"&amp;$T2054)+1,""))</f>
        <v/>
      </c>
      <c r="V2054" t="str">
        <f t="shared" si="490"/>
        <v/>
      </c>
      <c r="W2054" t="str">
        <f t="shared" si="491"/>
        <v/>
      </c>
      <c r="X2054" t="str">
        <f t="shared" si="492"/>
        <v/>
      </c>
      <c r="Y2054" t="str">
        <f t="shared" si="493"/>
        <v/>
      </c>
      <c r="Z2054">
        <f>IF($A2054="",0,IF(AND($M2054=1,$A2054=经营数据!$B$3,$J2054=经营数据!$BA$5,OR($I2054=经营数据!$BA$4,COUNTIF(经营数据!$AA$9:$AA$38,$I2054)&gt;0)),1,0))</f>
        <v>0</v>
      </c>
      <c r="AA2054" t="str">
        <f t="shared" si="494"/>
        <v/>
      </c>
      <c r="AB2054" t="str">
        <f t="shared" si="495"/>
        <v/>
      </c>
      <c r="AC2054">
        <f>IF($A2054="",0,IF(COUNTIF($A$2:$A2054,$A2054)=1,1,0))</f>
        <v>0</v>
      </c>
      <c r="AD2054">
        <f t="shared" si="496"/>
        <v>29</v>
      </c>
      <c r="AE2054" t="str">
        <f t="shared" si="497"/>
        <v/>
      </c>
    </row>
    <row r="2055" spans="1:31" x14ac:dyDescent="0.4">
      <c r="A2055" t="str">
        <f>IF(原始经营数据!$D2056="","",原始经营数据!$D2056)</f>
        <v/>
      </c>
      <c r="B2055" t="str">
        <f>IF(原始经营数据!$D2056="","",T(原始经营数据!$E2056))</f>
        <v/>
      </c>
      <c r="C2055" t="str">
        <f>IF(原始经营数据!$D2056="","",原始经营数据!$F2056)</f>
        <v/>
      </c>
      <c r="D2055" t="str">
        <f>IF(原始经营数据!$D2056="","",原始经营数据!$H2056)</f>
        <v/>
      </c>
      <c r="E2055" t="str">
        <f>IF(原始经营数据!$D2056="","",原始经营数据!$I2056)</f>
        <v/>
      </c>
      <c r="F2055" t="str">
        <f>IF(原始经营数据!$D2056="","",T(原始经营数据!$J2056))</f>
        <v/>
      </c>
      <c r="G2055" t="str">
        <f>IF(原始经营数据!$D2056="","",T(原始经营数据!$K2056))</f>
        <v/>
      </c>
      <c r="H2055" t="str">
        <f>IF(原始经营数据!$D2056="","",原始经营数据!$G2056)</f>
        <v/>
      </c>
      <c r="I2055" t="str">
        <f>IF($A2055="","",IF($B2055&lt;&gt;"",$B2055,IF(COUNTIFS(原始经营数据!$D$3:$D$3001,$A2055,原始经营数据!$E$3:$E$3001,"",原始经营数据!$F$3:$F$3001,$C2055,原始经营数据!$H$3:$H$3001,$D2055,原始经营数据!$K$3:$K$3001,$G2055)&gt;1,"基金整体·来源"&amp;原始经营数据!$A2056,"基金整体")))</f>
        <v/>
      </c>
      <c r="J2055" t="str">
        <f t="shared" si="483"/>
        <v/>
      </c>
      <c r="K2055" t="str">
        <f t="shared" si="484"/>
        <v/>
      </c>
      <c r="L2055" t="str">
        <f t="shared" si="485"/>
        <v/>
      </c>
      <c r="M2055">
        <f>IF($A2055="",0,IF(COUNTIF($L$2:$L2055,$L2055)=1,1,0))</f>
        <v>0</v>
      </c>
      <c r="N2055" t="str">
        <f t="shared" si="486"/>
        <v/>
      </c>
      <c r="O2055" t="str">
        <f t="shared" si="487"/>
        <v/>
      </c>
      <c r="P2055">
        <f>IF($A2055="",0,IF(COUNTIF($O$2:$O2055,$O2055)=1,1,0))</f>
        <v>0</v>
      </c>
      <c r="Q2055" t="str">
        <f>IF(AND($P2055=1,$A2055=经营数据!$B$3,$J2055=经营数据!$BA$5),COUNTIFS($P$2:$P$3000,1,$A$2:$A$3000,$A2055,$J$2:$J$3000,$J2055,$N$2:$N$3000,"&lt;"&amp;$N2055)+1,"")</f>
        <v/>
      </c>
      <c r="R2055" t="str">
        <f t="shared" si="488"/>
        <v/>
      </c>
      <c r="S2055">
        <f>IF($A2055="",0,IF(COUNTIF($R$2:$R2055,$R2055)=1,1,0))</f>
        <v>0</v>
      </c>
      <c r="T2055" t="str">
        <f t="shared" si="489"/>
        <v/>
      </c>
      <c r="U2055" t="str">
        <f>IF($A2055="","",IF($A2055=经营数据!$B$3,COUNTIFS($S$2:$S$3000,1,$A$2:$A$3000,$A2055,$T$2:$T$3000,"&lt;"&amp;$T2055)+1,""))</f>
        <v/>
      </c>
      <c r="V2055" t="str">
        <f t="shared" si="490"/>
        <v/>
      </c>
      <c r="W2055" t="str">
        <f t="shared" si="491"/>
        <v/>
      </c>
      <c r="X2055" t="str">
        <f t="shared" si="492"/>
        <v/>
      </c>
      <c r="Y2055" t="str">
        <f t="shared" si="493"/>
        <v/>
      </c>
      <c r="Z2055">
        <f>IF($A2055="",0,IF(AND($M2055=1,$A2055=经营数据!$B$3,$J2055=经营数据!$BA$5,OR($I2055=经营数据!$BA$4,COUNTIF(经营数据!$AA$9:$AA$38,$I2055)&gt;0)),1,0))</f>
        <v>0</v>
      </c>
      <c r="AA2055" t="str">
        <f t="shared" si="494"/>
        <v/>
      </c>
      <c r="AB2055" t="str">
        <f t="shared" si="495"/>
        <v/>
      </c>
      <c r="AC2055">
        <f>IF($A2055="",0,IF(COUNTIF($A$2:$A2055,$A2055)=1,1,0))</f>
        <v>0</v>
      </c>
      <c r="AD2055">
        <f t="shared" si="496"/>
        <v>29</v>
      </c>
      <c r="AE2055" t="str">
        <f t="shared" si="497"/>
        <v/>
      </c>
    </row>
    <row r="2056" spans="1:31" x14ac:dyDescent="0.4">
      <c r="A2056" t="str">
        <f>IF(原始经营数据!$D2057="","",原始经营数据!$D2057)</f>
        <v/>
      </c>
      <c r="B2056" t="str">
        <f>IF(原始经营数据!$D2057="","",T(原始经营数据!$E2057))</f>
        <v/>
      </c>
      <c r="C2056" t="str">
        <f>IF(原始经营数据!$D2057="","",原始经营数据!$F2057)</f>
        <v/>
      </c>
      <c r="D2056" t="str">
        <f>IF(原始经营数据!$D2057="","",原始经营数据!$H2057)</f>
        <v/>
      </c>
      <c r="E2056" t="str">
        <f>IF(原始经营数据!$D2057="","",原始经营数据!$I2057)</f>
        <v/>
      </c>
      <c r="F2056" t="str">
        <f>IF(原始经营数据!$D2057="","",T(原始经营数据!$J2057))</f>
        <v/>
      </c>
      <c r="G2056" t="str">
        <f>IF(原始经营数据!$D2057="","",T(原始经营数据!$K2057))</f>
        <v/>
      </c>
      <c r="H2056" t="str">
        <f>IF(原始经营数据!$D2057="","",原始经营数据!$G2057)</f>
        <v/>
      </c>
      <c r="I2056" t="str">
        <f>IF($A2056="","",IF($B2056&lt;&gt;"",$B2056,IF(COUNTIFS(原始经营数据!$D$3:$D$3001,$A2056,原始经营数据!$E$3:$E$3001,"",原始经营数据!$F$3:$F$3001,$C2056,原始经营数据!$H$3:$H$3001,$D2056,原始经营数据!$K$3:$K$3001,$G2056)&gt;1,"基金整体·来源"&amp;原始经营数据!$A2057,"基金整体")))</f>
        <v/>
      </c>
      <c r="J2056" t="str">
        <f t="shared" si="483"/>
        <v/>
      </c>
      <c r="K2056" t="str">
        <f t="shared" si="484"/>
        <v/>
      </c>
      <c r="L2056" t="str">
        <f t="shared" si="485"/>
        <v/>
      </c>
      <c r="M2056">
        <f>IF($A2056="",0,IF(COUNTIF($L$2:$L2056,$L2056)=1,1,0))</f>
        <v>0</v>
      </c>
      <c r="N2056" t="str">
        <f t="shared" si="486"/>
        <v/>
      </c>
      <c r="O2056" t="str">
        <f t="shared" si="487"/>
        <v/>
      </c>
      <c r="P2056">
        <f>IF($A2056="",0,IF(COUNTIF($O$2:$O2056,$O2056)=1,1,0))</f>
        <v>0</v>
      </c>
      <c r="Q2056" t="str">
        <f>IF(AND($P2056=1,$A2056=经营数据!$B$3,$J2056=经营数据!$BA$5),COUNTIFS($P$2:$P$3000,1,$A$2:$A$3000,$A2056,$J$2:$J$3000,$J2056,$N$2:$N$3000,"&lt;"&amp;$N2056)+1,"")</f>
        <v/>
      </c>
      <c r="R2056" t="str">
        <f t="shared" si="488"/>
        <v/>
      </c>
      <c r="S2056">
        <f>IF($A2056="",0,IF(COUNTIF($R$2:$R2056,$R2056)=1,1,0))</f>
        <v>0</v>
      </c>
      <c r="T2056" t="str">
        <f t="shared" si="489"/>
        <v/>
      </c>
      <c r="U2056" t="str">
        <f>IF($A2056="","",IF($A2056=经营数据!$B$3,COUNTIFS($S$2:$S$3000,1,$A$2:$A$3000,$A2056,$T$2:$T$3000,"&lt;"&amp;$T2056)+1,""))</f>
        <v/>
      </c>
      <c r="V2056" t="str">
        <f t="shared" si="490"/>
        <v/>
      </c>
      <c r="W2056" t="str">
        <f t="shared" si="491"/>
        <v/>
      </c>
      <c r="X2056" t="str">
        <f t="shared" si="492"/>
        <v/>
      </c>
      <c r="Y2056" t="str">
        <f t="shared" si="493"/>
        <v/>
      </c>
      <c r="Z2056">
        <f>IF($A2056="",0,IF(AND($M2056=1,$A2056=经营数据!$B$3,$J2056=经营数据!$BA$5,OR($I2056=经营数据!$BA$4,COUNTIF(经营数据!$AA$9:$AA$38,$I2056)&gt;0)),1,0))</f>
        <v>0</v>
      </c>
      <c r="AA2056" t="str">
        <f t="shared" si="494"/>
        <v/>
      </c>
      <c r="AB2056" t="str">
        <f t="shared" si="495"/>
        <v/>
      </c>
      <c r="AC2056">
        <f>IF($A2056="",0,IF(COUNTIF($A$2:$A2056,$A2056)=1,1,0))</f>
        <v>0</v>
      </c>
      <c r="AD2056">
        <f t="shared" si="496"/>
        <v>29</v>
      </c>
      <c r="AE2056" t="str">
        <f t="shared" si="497"/>
        <v/>
      </c>
    </row>
    <row r="2057" spans="1:31" x14ac:dyDescent="0.4">
      <c r="A2057" t="str">
        <f>IF(原始经营数据!$D2058="","",原始经营数据!$D2058)</f>
        <v/>
      </c>
      <c r="B2057" t="str">
        <f>IF(原始经营数据!$D2058="","",T(原始经营数据!$E2058))</f>
        <v/>
      </c>
      <c r="C2057" t="str">
        <f>IF(原始经营数据!$D2058="","",原始经营数据!$F2058)</f>
        <v/>
      </c>
      <c r="D2057" t="str">
        <f>IF(原始经营数据!$D2058="","",原始经营数据!$H2058)</f>
        <v/>
      </c>
      <c r="E2057" t="str">
        <f>IF(原始经营数据!$D2058="","",原始经营数据!$I2058)</f>
        <v/>
      </c>
      <c r="F2057" t="str">
        <f>IF(原始经营数据!$D2058="","",T(原始经营数据!$J2058))</f>
        <v/>
      </c>
      <c r="G2057" t="str">
        <f>IF(原始经营数据!$D2058="","",T(原始经营数据!$K2058))</f>
        <v/>
      </c>
      <c r="H2057" t="str">
        <f>IF(原始经营数据!$D2058="","",原始经营数据!$G2058)</f>
        <v/>
      </c>
      <c r="I2057" t="str">
        <f>IF($A2057="","",IF($B2057&lt;&gt;"",$B2057,IF(COUNTIFS(原始经营数据!$D$3:$D$3001,$A2057,原始经营数据!$E$3:$E$3001,"",原始经营数据!$F$3:$F$3001,$C2057,原始经营数据!$H$3:$H$3001,$D2057,原始经营数据!$K$3:$K$3001,$G2057)&gt;1,"基金整体·来源"&amp;原始经营数据!$A2058,"基金整体")))</f>
        <v/>
      </c>
      <c r="J2057" t="str">
        <f t="shared" si="483"/>
        <v/>
      </c>
      <c r="K2057" t="str">
        <f t="shared" si="484"/>
        <v/>
      </c>
      <c r="L2057" t="str">
        <f t="shared" si="485"/>
        <v/>
      </c>
      <c r="M2057">
        <f>IF($A2057="",0,IF(COUNTIF($L$2:$L2057,$L2057)=1,1,0))</f>
        <v>0</v>
      </c>
      <c r="N2057" t="str">
        <f t="shared" si="486"/>
        <v/>
      </c>
      <c r="O2057" t="str">
        <f t="shared" si="487"/>
        <v/>
      </c>
      <c r="P2057">
        <f>IF($A2057="",0,IF(COUNTIF($O$2:$O2057,$O2057)=1,1,0))</f>
        <v>0</v>
      </c>
      <c r="Q2057" t="str">
        <f>IF(AND($P2057=1,$A2057=经营数据!$B$3,$J2057=经营数据!$BA$5),COUNTIFS($P$2:$P$3000,1,$A$2:$A$3000,$A2057,$J$2:$J$3000,$J2057,$N$2:$N$3000,"&lt;"&amp;$N2057)+1,"")</f>
        <v/>
      </c>
      <c r="R2057" t="str">
        <f t="shared" si="488"/>
        <v/>
      </c>
      <c r="S2057">
        <f>IF($A2057="",0,IF(COUNTIF($R$2:$R2057,$R2057)=1,1,0))</f>
        <v>0</v>
      </c>
      <c r="T2057" t="str">
        <f t="shared" si="489"/>
        <v/>
      </c>
      <c r="U2057" t="str">
        <f>IF($A2057="","",IF($A2057=经营数据!$B$3,COUNTIFS($S$2:$S$3000,1,$A$2:$A$3000,$A2057,$T$2:$T$3000,"&lt;"&amp;$T2057)+1,""))</f>
        <v/>
      </c>
      <c r="V2057" t="str">
        <f t="shared" si="490"/>
        <v/>
      </c>
      <c r="W2057" t="str">
        <f t="shared" si="491"/>
        <v/>
      </c>
      <c r="X2057" t="str">
        <f t="shared" si="492"/>
        <v/>
      </c>
      <c r="Y2057" t="str">
        <f t="shared" si="493"/>
        <v/>
      </c>
      <c r="Z2057">
        <f>IF($A2057="",0,IF(AND($M2057=1,$A2057=经营数据!$B$3,$J2057=经营数据!$BA$5,OR($I2057=经营数据!$BA$4,COUNTIF(经营数据!$AA$9:$AA$38,$I2057)&gt;0)),1,0))</f>
        <v>0</v>
      </c>
      <c r="AA2057" t="str">
        <f t="shared" si="494"/>
        <v/>
      </c>
      <c r="AB2057" t="str">
        <f t="shared" si="495"/>
        <v/>
      </c>
      <c r="AC2057">
        <f>IF($A2057="",0,IF(COUNTIF($A$2:$A2057,$A2057)=1,1,0))</f>
        <v>0</v>
      </c>
      <c r="AD2057">
        <f t="shared" si="496"/>
        <v>29</v>
      </c>
      <c r="AE2057" t="str">
        <f t="shared" si="497"/>
        <v/>
      </c>
    </row>
    <row r="2058" spans="1:31" x14ac:dyDescent="0.4">
      <c r="A2058" t="str">
        <f>IF(原始经营数据!$D2059="","",原始经营数据!$D2059)</f>
        <v/>
      </c>
      <c r="B2058" t="str">
        <f>IF(原始经营数据!$D2059="","",T(原始经营数据!$E2059))</f>
        <v/>
      </c>
      <c r="C2058" t="str">
        <f>IF(原始经营数据!$D2059="","",原始经营数据!$F2059)</f>
        <v/>
      </c>
      <c r="D2058" t="str">
        <f>IF(原始经营数据!$D2059="","",原始经营数据!$H2059)</f>
        <v/>
      </c>
      <c r="E2058" t="str">
        <f>IF(原始经营数据!$D2059="","",原始经营数据!$I2059)</f>
        <v/>
      </c>
      <c r="F2058" t="str">
        <f>IF(原始经营数据!$D2059="","",T(原始经营数据!$J2059))</f>
        <v/>
      </c>
      <c r="G2058" t="str">
        <f>IF(原始经营数据!$D2059="","",T(原始经营数据!$K2059))</f>
        <v/>
      </c>
      <c r="H2058" t="str">
        <f>IF(原始经营数据!$D2059="","",原始经营数据!$G2059)</f>
        <v/>
      </c>
      <c r="I2058" t="str">
        <f>IF($A2058="","",IF($B2058&lt;&gt;"",$B2058,IF(COUNTIFS(原始经营数据!$D$3:$D$3001,$A2058,原始经营数据!$E$3:$E$3001,"",原始经营数据!$F$3:$F$3001,$C2058,原始经营数据!$H$3:$H$3001,$D2058,原始经营数据!$K$3:$K$3001,$G2058)&gt;1,"基金整体·来源"&amp;原始经营数据!$A2059,"基金整体")))</f>
        <v/>
      </c>
      <c r="J2058" t="str">
        <f t="shared" si="483"/>
        <v/>
      </c>
      <c r="K2058" t="str">
        <f t="shared" si="484"/>
        <v/>
      </c>
      <c r="L2058" t="str">
        <f t="shared" si="485"/>
        <v/>
      </c>
      <c r="M2058">
        <f>IF($A2058="",0,IF(COUNTIF($L$2:$L2058,$L2058)=1,1,0))</f>
        <v>0</v>
      </c>
      <c r="N2058" t="str">
        <f t="shared" si="486"/>
        <v/>
      </c>
      <c r="O2058" t="str">
        <f t="shared" si="487"/>
        <v/>
      </c>
      <c r="P2058">
        <f>IF($A2058="",0,IF(COUNTIF($O$2:$O2058,$O2058)=1,1,0))</f>
        <v>0</v>
      </c>
      <c r="Q2058" t="str">
        <f>IF(AND($P2058=1,$A2058=经营数据!$B$3,$J2058=经营数据!$BA$5),COUNTIFS($P$2:$P$3000,1,$A$2:$A$3000,$A2058,$J$2:$J$3000,$J2058,$N$2:$N$3000,"&lt;"&amp;$N2058)+1,"")</f>
        <v/>
      </c>
      <c r="R2058" t="str">
        <f t="shared" si="488"/>
        <v/>
      </c>
      <c r="S2058">
        <f>IF($A2058="",0,IF(COUNTIF($R$2:$R2058,$R2058)=1,1,0))</f>
        <v>0</v>
      </c>
      <c r="T2058" t="str">
        <f t="shared" si="489"/>
        <v/>
      </c>
      <c r="U2058" t="str">
        <f>IF($A2058="","",IF($A2058=经营数据!$B$3,COUNTIFS($S$2:$S$3000,1,$A$2:$A$3000,$A2058,$T$2:$T$3000,"&lt;"&amp;$T2058)+1,""))</f>
        <v/>
      </c>
      <c r="V2058" t="str">
        <f t="shared" si="490"/>
        <v/>
      </c>
      <c r="W2058" t="str">
        <f t="shared" si="491"/>
        <v/>
      </c>
      <c r="X2058" t="str">
        <f t="shared" si="492"/>
        <v/>
      </c>
      <c r="Y2058" t="str">
        <f t="shared" si="493"/>
        <v/>
      </c>
      <c r="Z2058">
        <f>IF($A2058="",0,IF(AND($M2058=1,$A2058=经营数据!$B$3,$J2058=经营数据!$BA$5,OR($I2058=经营数据!$BA$4,COUNTIF(经营数据!$AA$9:$AA$38,$I2058)&gt;0)),1,0))</f>
        <v>0</v>
      </c>
      <c r="AA2058" t="str">
        <f t="shared" si="494"/>
        <v/>
      </c>
      <c r="AB2058" t="str">
        <f t="shared" si="495"/>
        <v/>
      </c>
      <c r="AC2058">
        <f>IF($A2058="",0,IF(COUNTIF($A$2:$A2058,$A2058)=1,1,0))</f>
        <v>0</v>
      </c>
      <c r="AD2058">
        <f t="shared" si="496"/>
        <v>29</v>
      </c>
      <c r="AE2058" t="str">
        <f t="shared" si="497"/>
        <v/>
      </c>
    </row>
    <row r="2059" spans="1:31" x14ac:dyDescent="0.4">
      <c r="A2059" t="str">
        <f>IF(原始经营数据!$D2060="","",原始经营数据!$D2060)</f>
        <v/>
      </c>
      <c r="B2059" t="str">
        <f>IF(原始经营数据!$D2060="","",T(原始经营数据!$E2060))</f>
        <v/>
      </c>
      <c r="C2059" t="str">
        <f>IF(原始经营数据!$D2060="","",原始经营数据!$F2060)</f>
        <v/>
      </c>
      <c r="D2059" t="str">
        <f>IF(原始经营数据!$D2060="","",原始经营数据!$H2060)</f>
        <v/>
      </c>
      <c r="E2059" t="str">
        <f>IF(原始经营数据!$D2060="","",原始经营数据!$I2060)</f>
        <v/>
      </c>
      <c r="F2059" t="str">
        <f>IF(原始经营数据!$D2060="","",T(原始经营数据!$J2060))</f>
        <v/>
      </c>
      <c r="G2059" t="str">
        <f>IF(原始经营数据!$D2060="","",T(原始经营数据!$K2060))</f>
        <v/>
      </c>
      <c r="H2059" t="str">
        <f>IF(原始经营数据!$D2060="","",原始经营数据!$G2060)</f>
        <v/>
      </c>
      <c r="I2059" t="str">
        <f>IF($A2059="","",IF($B2059&lt;&gt;"",$B2059,IF(COUNTIFS(原始经营数据!$D$3:$D$3001,$A2059,原始经营数据!$E$3:$E$3001,"",原始经营数据!$F$3:$F$3001,$C2059,原始经营数据!$H$3:$H$3001,$D2059,原始经营数据!$K$3:$K$3001,$G2059)&gt;1,"基金整体·来源"&amp;原始经营数据!$A2060,"基金整体")))</f>
        <v/>
      </c>
      <c r="J2059" t="str">
        <f t="shared" si="483"/>
        <v/>
      </c>
      <c r="K2059" t="str">
        <f t="shared" si="484"/>
        <v/>
      </c>
      <c r="L2059" t="str">
        <f t="shared" si="485"/>
        <v/>
      </c>
      <c r="M2059">
        <f>IF($A2059="",0,IF(COUNTIF($L$2:$L2059,$L2059)=1,1,0))</f>
        <v>0</v>
      </c>
      <c r="N2059" t="str">
        <f t="shared" si="486"/>
        <v/>
      </c>
      <c r="O2059" t="str">
        <f t="shared" si="487"/>
        <v/>
      </c>
      <c r="P2059">
        <f>IF($A2059="",0,IF(COUNTIF($O$2:$O2059,$O2059)=1,1,0))</f>
        <v>0</v>
      </c>
      <c r="Q2059" t="str">
        <f>IF(AND($P2059=1,$A2059=经营数据!$B$3,$J2059=经营数据!$BA$5),COUNTIFS($P$2:$P$3000,1,$A$2:$A$3000,$A2059,$J$2:$J$3000,$J2059,$N$2:$N$3000,"&lt;"&amp;$N2059)+1,"")</f>
        <v/>
      </c>
      <c r="R2059" t="str">
        <f t="shared" si="488"/>
        <v/>
      </c>
      <c r="S2059">
        <f>IF($A2059="",0,IF(COUNTIF($R$2:$R2059,$R2059)=1,1,0))</f>
        <v>0</v>
      </c>
      <c r="T2059" t="str">
        <f t="shared" si="489"/>
        <v/>
      </c>
      <c r="U2059" t="str">
        <f>IF($A2059="","",IF($A2059=经营数据!$B$3,COUNTIFS($S$2:$S$3000,1,$A$2:$A$3000,$A2059,$T$2:$T$3000,"&lt;"&amp;$T2059)+1,""))</f>
        <v/>
      </c>
      <c r="V2059" t="str">
        <f t="shared" si="490"/>
        <v/>
      </c>
      <c r="W2059" t="str">
        <f t="shared" si="491"/>
        <v/>
      </c>
      <c r="X2059" t="str">
        <f t="shared" si="492"/>
        <v/>
      </c>
      <c r="Y2059" t="str">
        <f t="shared" si="493"/>
        <v/>
      </c>
      <c r="Z2059">
        <f>IF($A2059="",0,IF(AND($M2059=1,$A2059=经营数据!$B$3,$J2059=经营数据!$BA$5,OR($I2059=经营数据!$BA$4,COUNTIF(经营数据!$AA$9:$AA$38,$I2059)&gt;0)),1,0))</f>
        <v>0</v>
      </c>
      <c r="AA2059" t="str">
        <f t="shared" si="494"/>
        <v/>
      </c>
      <c r="AB2059" t="str">
        <f t="shared" si="495"/>
        <v/>
      </c>
      <c r="AC2059">
        <f>IF($A2059="",0,IF(COUNTIF($A$2:$A2059,$A2059)=1,1,0))</f>
        <v>0</v>
      </c>
      <c r="AD2059">
        <f t="shared" si="496"/>
        <v>29</v>
      </c>
      <c r="AE2059" t="str">
        <f t="shared" si="497"/>
        <v/>
      </c>
    </row>
    <row r="2060" spans="1:31" x14ac:dyDescent="0.4">
      <c r="A2060" t="str">
        <f>IF(原始经营数据!$D2061="","",原始经营数据!$D2061)</f>
        <v/>
      </c>
      <c r="B2060" t="str">
        <f>IF(原始经营数据!$D2061="","",T(原始经营数据!$E2061))</f>
        <v/>
      </c>
      <c r="C2060" t="str">
        <f>IF(原始经营数据!$D2061="","",原始经营数据!$F2061)</f>
        <v/>
      </c>
      <c r="D2060" t="str">
        <f>IF(原始经营数据!$D2061="","",原始经营数据!$H2061)</f>
        <v/>
      </c>
      <c r="E2060" t="str">
        <f>IF(原始经营数据!$D2061="","",原始经营数据!$I2061)</f>
        <v/>
      </c>
      <c r="F2060" t="str">
        <f>IF(原始经营数据!$D2061="","",T(原始经营数据!$J2061))</f>
        <v/>
      </c>
      <c r="G2060" t="str">
        <f>IF(原始经营数据!$D2061="","",T(原始经营数据!$K2061))</f>
        <v/>
      </c>
      <c r="H2060" t="str">
        <f>IF(原始经营数据!$D2061="","",原始经营数据!$G2061)</f>
        <v/>
      </c>
      <c r="I2060" t="str">
        <f>IF($A2060="","",IF($B2060&lt;&gt;"",$B2060,IF(COUNTIFS(原始经营数据!$D$3:$D$3001,$A2060,原始经营数据!$E$3:$E$3001,"",原始经营数据!$F$3:$F$3001,$C2060,原始经营数据!$H$3:$H$3001,$D2060,原始经营数据!$K$3:$K$3001,$G2060)&gt;1,"基金整体·来源"&amp;原始经营数据!$A2061,"基金整体")))</f>
        <v/>
      </c>
      <c r="J2060" t="str">
        <f t="shared" si="483"/>
        <v/>
      </c>
      <c r="K2060" t="str">
        <f t="shared" si="484"/>
        <v/>
      </c>
      <c r="L2060" t="str">
        <f t="shared" si="485"/>
        <v/>
      </c>
      <c r="M2060">
        <f>IF($A2060="",0,IF(COUNTIF($L$2:$L2060,$L2060)=1,1,0))</f>
        <v>0</v>
      </c>
      <c r="N2060" t="str">
        <f t="shared" si="486"/>
        <v/>
      </c>
      <c r="O2060" t="str">
        <f t="shared" si="487"/>
        <v/>
      </c>
      <c r="P2060">
        <f>IF($A2060="",0,IF(COUNTIF($O$2:$O2060,$O2060)=1,1,0))</f>
        <v>0</v>
      </c>
      <c r="Q2060" t="str">
        <f>IF(AND($P2060=1,$A2060=经营数据!$B$3,$J2060=经营数据!$BA$5),COUNTIFS($P$2:$P$3000,1,$A$2:$A$3000,$A2060,$J$2:$J$3000,$J2060,$N$2:$N$3000,"&lt;"&amp;$N2060)+1,"")</f>
        <v/>
      </c>
      <c r="R2060" t="str">
        <f t="shared" si="488"/>
        <v/>
      </c>
      <c r="S2060">
        <f>IF($A2060="",0,IF(COUNTIF($R$2:$R2060,$R2060)=1,1,0))</f>
        <v>0</v>
      </c>
      <c r="T2060" t="str">
        <f t="shared" si="489"/>
        <v/>
      </c>
      <c r="U2060" t="str">
        <f>IF($A2060="","",IF($A2060=经营数据!$B$3,COUNTIFS($S$2:$S$3000,1,$A$2:$A$3000,$A2060,$T$2:$T$3000,"&lt;"&amp;$T2060)+1,""))</f>
        <v/>
      </c>
      <c r="V2060" t="str">
        <f t="shared" si="490"/>
        <v/>
      </c>
      <c r="W2060" t="str">
        <f t="shared" si="491"/>
        <v/>
      </c>
      <c r="X2060" t="str">
        <f t="shared" si="492"/>
        <v/>
      </c>
      <c r="Y2060" t="str">
        <f t="shared" si="493"/>
        <v/>
      </c>
      <c r="Z2060">
        <f>IF($A2060="",0,IF(AND($M2060=1,$A2060=经营数据!$B$3,$J2060=经营数据!$BA$5,OR($I2060=经营数据!$BA$4,COUNTIF(经营数据!$AA$9:$AA$38,$I2060)&gt;0)),1,0))</f>
        <v>0</v>
      </c>
      <c r="AA2060" t="str">
        <f t="shared" si="494"/>
        <v/>
      </c>
      <c r="AB2060" t="str">
        <f t="shared" si="495"/>
        <v/>
      </c>
      <c r="AC2060">
        <f>IF($A2060="",0,IF(COUNTIF($A$2:$A2060,$A2060)=1,1,0))</f>
        <v>0</v>
      </c>
      <c r="AD2060">
        <f t="shared" si="496"/>
        <v>29</v>
      </c>
      <c r="AE2060" t="str">
        <f t="shared" si="497"/>
        <v/>
      </c>
    </row>
    <row r="2061" spans="1:31" x14ac:dyDescent="0.4">
      <c r="A2061" t="str">
        <f>IF(原始经营数据!$D2062="","",原始经营数据!$D2062)</f>
        <v/>
      </c>
      <c r="B2061" t="str">
        <f>IF(原始经营数据!$D2062="","",T(原始经营数据!$E2062))</f>
        <v/>
      </c>
      <c r="C2061" t="str">
        <f>IF(原始经营数据!$D2062="","",原始经营数据!$F2062)</f>
        <v/>
      </c>
      <c r="D2061" t="str">
        <f>IF(原始经营数据!$D2062="","",原始经营数据!$H2062)</f>
        <v/>
      </c>
      <c r="E2061" t="str">
        <f>IF(原始经营数据!$D2062="","",原始经营数据!$I2062)</f>
        <v/>
      </c>
      <c r="F2061" t="str">
        <f>IF(原始经营数据!$D2062="","",T(原始经营数据!$J2062))</f>
        <v/>
      </c>
      <c r="G2061" t="str">
        <f>IF(原始经营数据!$D2062="","",T(原始经营数据!$K2062))</f>
        <v/>
      </c>
      <c r="H2061" t="str">
        <f>IF(原始经营数据!$D2062="","",原始经营数据!$G2062)</f>
        <v/>
      </c>
      <c r="I2061" t="str">
        <f>IF($A2061="","",IF($B2061&lt;&gt;"",$B2061,IF(COUNTIFS(原始经营数据!$D$3:$D$3001,$A2061,原始经营数据!$E$3:$E$3001,"",原始经营数据!$F$3:$F$3001,$C2061,原始经营数据!$H$3:$H$3001,$D2061,原始经营数据!$K$3:$K$3001,$G2061)&gt;1,"基金整体·来源"&amp;原始经营数据!$A2062,"基金整体")))</f>
        <v/>
      </c>
      <c r="J2061" t="str">
        <f t="shared" si="483"/>
        <v/>
      </c>
      <c r="K2061" t="str">
        <f t="shared" si="484"/>
        <v/>
      </c>
      <c r="L2061" t="str">
        <f t="shared" si="485"/>
        <v/>
      </c>
      <c r="M2061">
        <f>IF($A2061="",0,IF(COUNTIF($L$2:$L2061,$L2061)=1,1,0))</f>
        <v>0</v>
      </c>
      <c r="N2061" t="str">
        <f t="shared" si="486"/>
        <v/>
      </c>
      <c r="O2061" t="str">
        <f t="shared" si="487"/>
        <v/>
      </c>
      <c r="P2061">
        <f>IF($A2061="",0,IF(COUNTIF($O$2:$O2061,$O2061)=1,1,0))</f>
        <v>0</v>
      </c>
      <c r="Q2061" t="str">
        <f>IF(AND($P2061=1,$A2061=经营数据!$B$3,$J2061=经营数据!$BA$5),COUNTIFS($P$2:$P$3000,1,$A$2:$A$3000,$A2061,$J$2:$J$3000,$J2061,$N$2:$N$3000,"&lt;"&amp;$N2061)+1,"")</f>
        <v/>
      </c>
      <c r="R2061" t="str">
        <f t="shared" si="488"/>
        <v/>
      </c>
      <c r="S2061">
        <f>IF($A2061="",0,IF(COUNTIF($R$2:$R2061,$R2061)=1,1,0))</f>
        <v>0</v>
      </c>
      <c r="T2061" t="str">
        <f t="shared" si="489"/>
        <v/>
      </c>
      <c r="U2061" t="str">
        <f>IF($A2061="","",IF($A2061=经营数据!$B$3,COUNTIFS($S$2:$S$3000,1,$A$2:$A$3000,$A2061,$T$2:$T$3000,"&lt;"&amp;$T2061)+1,""))</f>
        <v/>
      </c>
      <c r="V2061" t="str">
        <f t="shared" si="490"/>
        <v/>
      </c>
      <c r="W2061" t="str">
        <f t="shared" si="491"/>
        <v/>
      </c>
      <c r="X2061" t="str">
        <f t="shared" si="492"/>
        <v/>
      </c>
      <c r="Y2061" t="str">
        <f t="shared" si="493"/>
        <v/>
      </c>
      <c r="Z2061">
        <f>IF($A2061="",0,IF(AND($M2061=1,$A2061=经营数据!$B$3,$J2061=经营数据!$BA$5,OR($I2061=经营数据!$BA$4,COUNTIF(经营数据!$AA$9:$AA$38,$I2061)&gt;0)),1,0))</f>
        <v>0</v>
      </c>
      <c r="AA2061" t="str">
        <f t="shared" si="494"/>
        <v/>
      </c>
      <c r="AB2061" t="str">
        <f t="shared" si="495"/>
        <v/>
      </c>
      <c r="AC2061">
        <f>IF($A2061="",0,IF(COUNTIF($A$2:$A2061,$A2061)=1,1,0))</f>
        <v>0</v>
      </c>
      <c r="AD2061">
        <f t="shared" si="496"/>
        <v>29</v>
      </c>
      <c r="AE2061" t="str">
        <f t="shared" si="497"/>
        <v/>
      </c>
    </row>
    <row r="2062" spans="1:31" x14ac:dyDescent="0.4">
      <c r="A2062" t="str">
        <f>IF(原始经营数据!$D2063="","",原始经营数据!$D2063)</f>
        <v/>
      </c>
      <c r="B2062" t="str">
        <f>IF(原始经营数据!$D2063="","",T(原始经营数据!$E2063))</f>
        <v/>
      </c>
      <c r="C2062" t="str">
        <f>IF(原始经营数据!$D2063="","",原始经营数据!$F2063)</f>
        <v/>
      </c>
      <c r="D2062" t="str">
        <f>IF(原始经营数据!$D2063="","",原始经营数据!$H2063)</f>
        <v/>
      </c>
      <c r="E2062" t="str">
        <f>IF(原始经营数据!$D2063="","",原始经营数据!$I2063)</f>
        <v/>
      </c>
      <c r="F2062" t="str">
        <f>IF(原始经营数据!$D2063="","",T(原始经营数据!$J2063))</f>
        <v/>
      </c>
      <c r="G2062" t="str">
        <f>IF(原始经营数据!$D2063="","",T(原始经营数据!$K2063))</f>
        <v/>
      </c>
      <c r="H2062" t="str">
        <f>IF(原始经营数据!$D2063="","",原始经营数据!$G2063)</f>
        <v/>
      </c>
      <c r="I2062" t="str">
        <f>IF($A2062="","",IF($B2062&lt;&gt;"",$B2062,IF(COUNTIFS(原始经营数据!$D$3:$D$3001,$A2062,原始经营数据!$E$3:$E$3001,"",原始经营数据!$F$3:$F$3001,$C2062,原始经营数据!$H$3:$H$3001,$D2062,原始经营数据!$K$3:$K$3001,$G2062)&gt;1,"基金整体·来源"&amp;原始经营数据!$A2063,"基金整体")))</f>
        <v/>
      </c>
      <c r="J2062" t="str">
        <f t="shared" si="483"/>
        <v/>
      </c>
      <c r="K2062" t="str">
        <f t="shared" si="484"/>
        <v/>
      </c>
      <c r="L2062" t="str">
        <f t="shared" si="485"/>
        <v/>
      </c>
      <c r="M2062">
        <f>IF($A2062="",0,IF(COUNTIF($L$2:$L2062,$L2062)=1,1,0))</f>
        <v>0</v>
      </c>
      <c r="N2062" t="str">
        <f t="shared" si="486"/>
        <v/>
      </c>
      <c r="O2062" t="str">
        <f t="shared" si="487"/>
        <v/>
      </c>
      <c r="P2062">
        <f>IF($A2062="",0,IF(COUNTIF($O$2:$O2062,$O2062)=1,1,0))</f>
        <v>0</v>
      </c>
      <c r="Q2062" t="str">
        <f>IF(AND($P2062=1,$A2062=经营数据!$B$3,$J2062=经营数据!$BA$5),COUNTIFS($P$2:$P$3000,1,$A$2:$A$3000,$A2062,$J$2:$J$3000,$J2062,$N$2:$N$3000,"&lt;"&amp;$N2062)+1,"")</f>
        <v/>
      </c>
      <c r="R2062" t="str">
        <f t="shared" si="488"/>
        <v/>
      </c>
      <c r="S2062">
        <f>IF($A2062="",0,IF(COUNTIF($R$2:$R2062,$R2062)=1,1,0))</f>
        <v>0</v>
      </c>
      <c r="T2062" t="str">
        <f t="shared" si="489"/>
        <v/>
      </c>
      <c r="U2062" t="str">
        <f>IF($A2062="","",IF($A2062=经营数据!$B$3,COUNTIFS($S$2:$S$3000,1,$A$2:$A$3000,$A2062,$T$2:$T$3000,"&lt;"&amp;$T2062)+1,""))</f>
        <v/>
      </c>
      <c r="V2062" t="str">
        <f t="shared" si="490"/>
        <v/>
      </c>
      <c r="W2062" t="str">
        <f t="shared" si="491"/>
        <v/>
      </c>
      <c r="X2062" t="str">
        <f t="shared" si="492"/>
        <v/>
      </c>
      <c r="Y2062" t="str">
        <f t="shared" si="493"/>
        <v/>
      </c>
      <c r="Z2062">
        <f>IF($A2062="",0,IF(AND($M2062=1,$A2062=经营数据!$B$3,$J2062=经营数据!$BA$5,OR($I2062=经营数据!$BA$4,COUNTIF(经营数据!$AA$9:$AA$38,$I2062)&gt;0)),1,0))</f>
        <v>0</v>
      </c>
      <c r="AA2062" t="str">
        <f t="shared" si="494"/>
        <v/>
      </c>
      <c r="AB2062" t="str">
        <f t="shared" si="495"/>
        <v/>
      </c>
      <c r="AC2062">
        <f>IF($A2062="",0,IF(COUNTIF($A$2:$A2062,$A2062)=1,1,0))</f>
        <v>0</v>
      </c>
      <c r="AD2062">
        <f t="shared" si="496"/>
        <v>29</v>
      </c>
      <c r="AE2062" t="str">
        <f t="shared" si="497"/>
        <v/>
      </c>
    </row>
    <row r="2063" spans="1:31" x14ac:dyDescent="0.4">
      <c r="A2063" t="str">
        <f>IF(原始经营数据!$D2064="","",原始经营数据!$D2064)</f>
        <v/>
      </c>
      <c r="B2063" t="str">
        <f>IF(原始经营数据!$D2064="","",T(原始经营数据!$E2064))</f>
        <v/>
      </c>
      <c r="C2063" t="str">
        <f>IF(原始经营数据!$D2064="","",原始经营数据!$F2064)</f>
        <v/>
      </c>
      <c r="D2063" t="str">
        <f>IF(原始经营数据!$D2064="","",原始经营数据!$H2064)</f>
        <v/>
      </c>
      <c r="E2063" t="str">
        <f>IF(原始经营数据!$D2064="","",原始经营数据!$I2064)</f>
        <v/>
      </c>
      <c r="F2063" t="str">
        <f>IF(原始经营数据!$D2064="","",T(原始经营数据!$J2064))</f>
        <v/>
      </c>
      <c r="G2063" t="str">
        <f>IF(原始经营数据!$D2064="","",T(原始经营数据!$K2064))</f>
        <v/>
      </c>
      <c r="H2063" t="str">
        <f>IF(原始经营数据!$D2064="","",原始经营数据!$G2064)</f>
        <v/>
      </c>
      <c r="I2063" t="str">
        <f>IF($A2063="","",IF($B2063&lt;&gt;"",$B2063,IF(COUNTIFS(原始经营数据!$D$3:$D$3001,$A2063,原始经营数据!$E$3:$E$3001,"",原始经营数据!$F$3:$F$3001,$C2063,原始经营数据!$H$3:$H$3001,$D2063,原始经营数据!$K$3:$K$3001,$G2063)&gt;1,"基金整体·来源"&amp;原始经营数据!$A2064,"基金整体")))</f>
        <v/>
      </c>
      <c r="J2063" t="str">
        <f t="shared" si="483"/>
        <v/>
      </c>
      <c r="K2063" t="str">
        <f t="shared" si="484"/>
        <v/>
      </c>
      <c r="L2063" t="str">
        <f t="shared" si="485"/>
        <v/>
      </c>
      <c r="M2063">
        <f>IF($A2063="",0,IF(COUNTIF($L$2:$L2063,$L2063)=1,1,0))</f>
        <v>0</v>
      </c>
      <c r="N2063" t="str">
        <f t="shared" si="486"/>
        <v/>
      </c>
      <c r="O2063" t="str">
        <f t="shared" si="487"/>
        <v/>
      </c>
      <c r="P2063">
        <f>IF($A2063="",0,IF(COUNTIF($O$2:$O2063,$O2063)=1,1,0))</f>
        <v>0</v>
      </c>
      <c r="Q2063" t="str">
        <f>IF(AND($P2063=1,$A2063=经营数据!$B$3,$J2063=经营数据!$BA$5),COUNTIFS($P$2:$P$3000,1,$A$2:$A$3000,$A2063,$J$2:$J$3000,$J2063,$N$2:$N$3000,"&lt;"&amp;$N2063)+1,"")</f>
        <v/>
      </c>
      <c r="R2063" t="str">
        <f t="shared" si="488"/>
        <v/>
      </c>
      <c r="S2063">
        <f>IF($A2063="",0,IF(COUNTIF($R$2:$R2063,$R2063)=1,1,0))</f>
        <v>0</v>
      </c>
      <c r="T2063" t="str">
        <f t="shared" si="489"/>
        <v/>
      </c>
      <c r="U2063" t="str">
        <f>IF($A2063="","",IF($A2063=经营数据!$B$3,COUNTIFS($S$2:$S$3000,1,$A$2:$A$3000,$A2063,$T$2:$T$3000,"&lt;"&amp;$T2063)+1,""))</f>
        <v/>
      </c>
      <c r="V2063" t="str">
        <f t="shared" si="490"/>
        <v/>
      </c>
      <c r="W2063" t="str">
        <f t="shared" si="491"/>
        <v/>
      </c>
      <c r="X2063" t="str">
        <f t="shared" si="492"/>
        <v/>
      </c>
      <c r="Y2063" t="str">
        <f t="shared" si="493"/>
        <v/>
      </c>
      <c r="Z2063">
        <f>IF($A2063="",0,IF(AND($M2063=1,$A2063=经营数据!$B$3,$J2063=经营数据!$BA$5,OR($I2063=经营数据!$BA$4,COUNTIF(经营数据!$AA$9:$AA$38,$I2063)&gt;0)),1,0))</f>
        <v>0</v>
      </c>
      <c r="AA2063" t="str">
        <f t="shared" si="494"/>
        <v/>
      </c>
      <c r="AB2063" t="str">
        <f t="shared" si="495"/>
        <v/>
      </c>
      <c r="AC2063">
        <f>IF($A2063="",0,IF(COUNTIF($A$2:$A2063,$A2063)=1,1,0))</f>
        <v>0</v>
      </c>
      <c r="AD2063">
        <f t="shared" si="496"/>
        <v>29</v>
      </c>
      <c r="AE2063" t="str">
        <f t="shared" si="497"/>
        <v/>
      </c>
    </row>
    <row r="2064" spans="1:31" x14ac:dyDescent="0.4">
      <c r="A2064" t="str">
        <f>IF(原始经营数据!$D2065="","",原始经营数据!$D2065)</f>
        <v/>
      </c>
      <c r="B2064" t="str">
        <f>IF(原始经营数据!$D2065="","",T(原始经营数据!$E2065))</f>
        <v/>
      </c>
      <c r="C2064" t="str">
        <f>IF(原始经营数据!$D2065="","",原始经营数据!$F2065)</f>
        <v/>
      </c>
      <c r="D2064" t="str">
        <f>IF(原始经营数据!$D2065="","",原始经营数据!$H2065)</f>
        <v/>
      </c>
      <c r="E2064" t="str">
        <f>IF(原始经营数据!$D2065="","",原始经营数据!$I2065)</f>
        <v/>
      </c>
      <c r="F2064" t="str">
        <f>IF(原始经营数据!$D2065="","",T(原始经营数据!$J2065))</f>
        <v/>
      </c>
      <c r="G2064" t="str">
        <f>IF(原始经营数据!$D2065="","",T(原始经营数据!$K2065))</f>
        <v/>
      </c>
      <c r="H2064" t="str">
        <f>IF(原始经营数据!$D2065="","",原始经营数据!$G2065)</f>
        <v/>
      </c>
      <c r="I2064" t="str">
        <f>IF($A2064="","",IF($B2064&lt;&gt;"",$B2064,IF(COUNTIFS(原始经营数据!$D$3:$D$3001,$A2064,原始经营数据!$E$3:$E$3001,"",原始经营数据!$F$3:$F$3001,$C2064,原始经营数据!$H$3:$H$3001,$D2064,原始经营数据!$K$3:$K$3001,$G2064)&gt;1,"基金整体·来源"&amp;原始经营数据!$A2065,"基金整体")))</f>
        <v/>
      </c>
      <c r="J2064" t="str">
        <f t="shared" si="483"/>
        <v/>
      </c>
      <c r="K2064" t="str">
        <f t="shared" si="484"/>
        <v/>
      </c>
      <c r="L2064" t="str">
        <f t="shared" si="485"/>
        <v/>
      </c>
      <c r="M2064">
        <f>IF($A2064="",0,IF(COUNTIF($L$2:$L2064,$L2064)=1,1,0))</f>
        <v>0</v>
      </c>
      <c r="N2064" t="str">
        <f t="shared" si="486"/>
        <v/>
      </c>
      <c r="O2064" t="str">
        <f t="shared" si="487"/>
        <v/>
      </c>
      <c r="P2064">
        <f>IF($A2064="",0,IF(COUNTIF($O$2:$O2064,$O2064)=1,1,0))</f>
        <v>0</v>
      </c>
      <c r="Q2064" t="str">
        <f>IF(AND($P2064=1,$A2064=经营数据!$B$3,$J2064=经营数据!$BA$5),COUNTIFS($P$2:$P$3000,1,$A$2:$A$3000,$A2064,$J$2:$J$3000,$J2064,$N$2:$N$3000,"&lt;"&amp;$N2064)+1,"")</f>
        <v/>
      </c>
      <c r="R2064" t="str">
        <f t="shared" si="488"/>
        <v/>
      </c>
      <c r="S2064">
        <f>IF($A2064="",0,IF(COUNTIF($R$2:$R2064,$R2064)=1,1,0))</f>
        <v>0</v>
      </c>
      <c r="T2064" t="str">
        <f t="shared" si="489"/>
        <v/>
      </c>
      <c r="U2064" t="str">
        <f>IF($A2064="","",IF($A2064=经营数据!$B$3,COUNTIFS($S$2:$S$3000,1,$A$2:$A$3000,$A2064,$T$2:$T$3000,"&lt;"&amp;$T2064)+1,""))</f>
        <v/>
      </c>
      <c r="V2064" t="str">
        <f t="shared" si="490"/>
        <v/>
      </c>
      <c r="W2064" t="str">
        <f t="shared" si="491"/>
        <v/>
      </c>
      <c r="X2064" t="str">
        <f t="shared" si="492"/>
        <v/>
      </c>
      <c r="Y2064" t="str">
        <f t="shared" si="493"/>
        <v/>
      </c>
      <c r="Z2064">
        <f>IF($A2064="",0,IF(AND($M2064=1,$A2064=经营数据!$B$3,$J2064=经营数据!$BA$5,OR($I2064=经营数据!$BA$4,COUNTIF(经营数据!$AA$9:$AA$38,$I2064)&gt;0)),1,0))</f>
        <v>0</v>
      </c>
      <c r="AA2064" t="str">
        <f t="shared" si="494"/>
        <v/>
      </c>
      <c r="AB2064" t="str">
        <f t="shared" si="495"/>
        <v/>
      </c>
      <c r="AC2064">
        <f>IF($A2064="",0,IF(COUNTIF($A$2:$A2064,$A2064)=1,1,0))</f>
        <v>0</v>
      </c>
      <c r="AD2064">
        <f t="shared" si="496"/>
        <v>29</v>
      </c>
      <c r="AE2064" t="str">
        <f t="shared" si="497"/>
        <v/>
      </c>
    </row>
    <row r="2065" spans="1:31" x14ac:dyDescent="0.4">
      <c r="A2065" t="str">
        <f>IF(原始经营数据!$D2066="","",原始经营数据!$D2066)</f>
        <v/>
      </c>
      <c r="B2065" t="str">
        <f>IF(原始经营数据!$D2066="","",T(原始经营数据!$E2066))</f>
        <v/>
      </c>
      <c r="C2065" t="str">
        <f>IF(原始经营数据!$D2066="","",原始经营数据!$F2066)</f>
        <v/>
      </c>
      <c r="D2065" t="str">
        <f>IF(原始经营数据!$D2066="","",原始经营数据!$H2066)</f>
        <v/>
      </c>
      <c r="E2065" t="str">
        <f>IF(原始经营数据!$D2066="","",原始经营数据!$I2066)</f>
        <v/>
      </c>
      <c r="F2065" t="str">
        <f>IF(原始经营数据!$D2066="","",T(原始经营数据!$J2066))</f>
        <v/>
      </c>
      <c r="G2065" t="str">
        <f>IF(原始经营数据!$D2066="","",T(原始经营数据!$K2066))</f>
        <v/>
      </c>
      <c r="H2065" t="str">
        <f>IF(原始经营数据!$D2066="","",原始经营数据!$G2066)</f>
        <v/>
      </c>
      <c r="I2065" t="str">
        <f>IF($A2065="","",IF($B2065&lt;&gt;"",$B2065,IF(COUNTIFS(原始经营数据!$D$3:$D$3001,$A2065,原始经营数据!$E$3:$E$3001,"",原始经营数据!$F$3:$F$3001,$C2065,原始经营数据!$H$3:$H$3001,$D2065,原始经营数据!$K$3:$K$3001,$G2065)&gt;1,"基金整体·来源"&amp;原始经营数据!$A2066,"基金整体")))</f>
        <v/>
      </c>
      <c r="J2065" t="str">
        <f t="shared" si="483"/>
        <v/>
      </c>
      <c r="K2065" t="str">
        <f t="shared" si="484"/>
        <v/>
      </c>
      <c r="L2065" t="str">
        <f t="shared" si="485"/>
        <v/>
      </c>
      <c r="M2065">
        <f>IF($A2065="",0,IF(COUNTIF($L$2:$L2065,$L2065)=1,1,0))</f>
        <v>0</v>
      </c>
      <c r="N2065" t="str">
        <f t="shared" si="486"/>
        <v/>
      </c>
      <c r="O2065" t="str">
        <f t="shared" si="487"/>
        <v/>
      </c>
      <c r="P2065">
        <f>IF($A2065="",0,IF(COUNTIF($O$2:$O2065,$O2065)=1,1,0))</f>
        <v>0</v>
      </c>
      <c r="Q2065" t="str">
        <f>IF(AND($P2065=1,$A2065=经营数据!$B$3,$J2065=经营数据!$BA$5),COUNTIFS($P$2:$P$3000,1,$A$2:$A$3000,$A2065,$J$2:$J$3000,$J2065,$N$2:$N$3000,"&lt;"&amp;$N2065)+1,"")</f>
        <v/>
      </c>
      <c r="R2065" t="str">
        <f t="shared" si="488"/>
        <v/>
      </c>
      <c r="S2065">
        <f>IF($A2065="",0,IF(COUNTIF($R$2:$R2065,$R2065)=1,1,0))</f>
        <v>0</v>
      </c>
      <c r="T2065" t="str">
        <f t="shared" si="489"/>
        <v/>
      </c>
      <c r="U2065" t="str">
        <f>IF($A2065="","",IF($A2065=经营数据!$B$3,COUNTIFS($S$2:$S$3000,1,$A$2:$A$3000,$A2065,$T$2:$T$3000,"&lt;"&amp;$T2065)+1,""))</f>
        <v/>
      </c>
      <c r="V2065" t="str">
        <f t="shared" si="490"/>
        <v/>
      </c>
      <c r="W2065" t="str">
        <f t="shared" si="491"/>
        <v/>
      </c>
      <c r="X2065" t="str">
        <f t="shared" si="492"/>
        <v/>
      </c>
      <c r="Y2065" t="str">
        <f t="shared" si="493"/>
        <v/>
      </c>
      <c r="Z2065">
        <f>IF($A2065="",0,IF(AND($M2065=1,$A2065=经营数据!$B$3,$J2065=经营数据!$BA$5,OR($I2065=经营数据!$BA$4,COUNTIF(经营数据!$AA$9:$AA$38,$I2065)&gt;0)),1,0))</f>
        <v>0</v>
      </c>
      <c r="AA2065" t="str">
        <f t="shared" si="494"/>
        <v/>
      </c>
      <c r="AB2065" t="str">
        <f t="shared" si="495"/>
        <v/>
      </c>
      <c r="AC2065">
        <f>IF($A2065="",0,IF(COUNTIF($A$2:$A2065,$A2065)=1,1,0))</f>
        <v>0</v>
      </c>
      <c r="AD2065">
        <f t="shared" si="496"/>
        <v>29</v>
      </c>
      <c r="AE2065" t="str">
        <f t="shared" si="497"/>
        <v/>
      </c>
    </row>
    <row r="2066" spans="1:31" x14ac:dyDescent="0.4">
      <c r="A2066" t="str">
        <f>IF(原始经营数据!$D2067="","",原始经营数据!$D2067)</f>
        <v/>
      </c>
      <c r="B2066" t="str">
        <f>IF(原始经营数据!$D2067="","",T(原始经营数据!$E2067))</f>
        <v/>
      </c>
      <c r="C2066" t="str">
        <f>IF(原始经营数据!$D2067="","",原始经营数据!$F2067)</f>
        <v/>
      </c>
      <c r="D2066" t="str">
        <f>IF(原始经营数据!$D2067="","",原始经营数据!$H2067)</f>
        <v/>
      </c>
      <c r="E2066" t="str">
        <f>IF(原始经营数据!$D2067="","",原始经营数据!$I2067)</f>
        <v/>
      </c>
      <c r="F2066" t="str">
        <f>IF(原始经营数据!$D2067="","",T(原始经营数据!$J2067))</f>
        <v/>
      </c>
      <c r="G2066" t="str">
        <f>IF(原始经营数据!$D2067="","",T(原始经营数据!$K2067))</f>
        <v/>
      </c>
      <c r="H2066" t="str">
        <f>IF(原始经营数据!$D2067="","",原始经营数据!$G2067)</f>
        <v/>
      </c>
      <c r="I2066" t="str">
        <f>IF($A2066="","",IF($B2066&lt;&gt;"",$B2066,IF(COUNTIFS(原始经营数据!$D$3:$D$3001,$A2066,原始经营数据!$E$3:$E$3001,"",原始经营数据!$F$3:$F$3001,$C2066,原始经营数据!$H$3:$H$3001,$D2066,原始经营数据!$K$3:$K$3001,$G2066)&gt;1,"基金整体·来源"&amp;原始经营数据!$A2067,"基金整体")))</f>
        <v/>
      </c>
      <c r="J2066" t="str">
        <f t="shared" si="483"/>
        <v/>
      </c>
      <c r="K2066" t="str">
        <f t="shared" si="484"/>
        <v/>
      </c>
      <c r="L2066" t="str">
        <f t="shared" si="485"/>
        <v/>
      </c>
      <c r="M2066">
        <f>IF($A2066="",0,IF(COUNTIF($L$2:$L2066,$L2066)=1,1,0))</f>
        <v>0</v>
      </c>
      <c r="N2066" t="str">
        <f t="shared" si="486"/>
        <v/>
      </c>
      <c r="O2066" t="str">
        <f t="shared" si="487"/>
        <v/>
      </c>
      <c r="P2066">
        <f>IF($A2066="",0,IF(COUNTIF($O$2:$O2066,$O2066)=1,1,0))</f>
        <v>0</v>
      </c>
      <c r="Q2066" t="str">
        <f>IF(AND($P2066=1,$A2066=经营数据!$B$3,$J2066=经营数据!$BA$5),COUNTIFS($P$2:$P$3000,1,$A$2:$A$3000,$A2066,$J$2:$J$3000,$J2066,$N$2:$N$3000,"&lt;"&amp;$N2066)+1,"")</f>
        <v/>
      </c>
      <c r="R2066" t="str">
        <f t="shared" si="488"/>
        <v/>
      </c>
      <c r="S2066">
        <f>IF($A2066="",0,IF(COUNTIF($R$2:$R2066,$R2066)=1,1,0))</f>
        <v>0</v>
      </c>
      <c r="T2066" t="str">
        <f t="shared" si="489"/>
        <v/>
      </c>
      <c r="U2066" t="str">
        <f>IF($A2066="","",IF($A2066=经营数据!$B$3,COUNTIFS($S$2:$S$3000,1,$A$2:$A$3000,$A2066,$T$2:$T$3000,"&lt;"&amp;$T2066)+1,""))</f>
        <v/>
      </c>
      <c r="V2066" t="str">
        <f t="shared" si="490"/>
        <v/>
      </c>
      <c r="W2066" t="str">
        <f t="shared" si="491"/>
        <v/>
      </c>
      <c r="X2066" t="str">
        <f t="shared" si="492"/>
        <v/>
      </c>
      <c r="Y2066" t="str">
        <f t="shared" si="493"/>
        <v/>
      </c>
      <c r="Z2066">
        <f>IF($A2066="",0,IF(AND($M2066=1,$A2066=经营数据!$B$3,$J2066=经营数据!$BA$5,OR($I2066=经营数据!$BA$4,COUNTIF(经营数据!$AA$9:$AA$38,$I2066)&gt;0)),1,0))</f>
        <v>0</v>
      </c>
      <c r="AA2066" t="str">
        <f t="shared" si="494"/>
        <v/>
      </c>
      <c r="AB2066" t="str">
        <f t="shared" si="495"/>
        <v/>
      </c>
      <c r="AC2066">
        <f>IF($A2066="",0,IF(COUNTIF($A$2:$A2066,$A2066)=1,1,0))</f>
        <v>0</v>
      </c>
      <c r="AD2066">
        <f t="shared" si="496"/>
        <v>29</v>
      </c>
      <c r="AE2066" t="str">
        <f t="shared" si="497"/>
        <v/>
      </c>
    </row>
    <row r="2067" spans="1:31" x14ac:dyDescent="0.4">
      <c r="A2067" t="str">
        <f>IF(原始经营数据!$D2068="","",原始经营数据!$D2068)</f>
        <v/>
      </c>
      <c r="B2067" t="str">
        <f>IF(原始经营数据!$D2068="","",T(原始经营数据!$E2068))</f>
        <v/>
      </c>
      <c r="C2067" t="str">
        <f>IF(原始经营数据!$D2068="","",原始经营数据!$F2068)</f>
        <v/>
      </c>
      <c r="D2067" t="str">
        <f>IF(原始经营数据!$D2068="","",原始经营数据!$H2068)</f>
        <v/>
      </c>
      <c r="E2067" t="str">
        <f>IF(原始经营数据!$D2068="","",原始经营数据!$I2068)</f>
        <v/>
      </c>
      <c r="F2067" t="str">
        <f>IF(原始经营数据!$D2068="","",T(原始经营数据!$J2068))</f>
        <v/>
      </c>
      <c r="G2067" t="str">
        <f>IF(原始经营数据!$D2068="","",T(原始经营数据!$K2068))</f>
        <v/>
      </c>
      <c r="H2067" t="str">
        <f>IF(原始经营数据!$D2068="","",原始经营数据!$G2068)</f>
        <v/>
      </c>
      <c r="I2067" t="str">
        <f>IF($A2067="","",IF($B2067&lt;&gt;"",$B2067,IF(COUNTIFS(原始经营数据!$D$3:$D$3001,$A2067,原始经营数据!$E$3:$E$3001,"",原始经营数据!$F$3:$F$3001,$C2067,原始经营数据!$H$3:$H$3001,$D2067,原始经营数据!$K$3:$K$3001,$G2067)&gt;1,"基金整体·来源"&amp;原始经营数据!$A2068,"基金整体")))</f>
        <v/>
      </c>
      <c r="J2067" t="str">
        <f t="shared" si="483"/>
        <v/>
      </c>
      <c r="K2067" t="str">
        <f t="shared" si="484"/>
        <v/>
      </c>
      <c r="L2067" t="str">
        <f t="shared" si="485"/>
        <v/>
      </c>
      <c r="M2067">
        <f>IF($A2067="",0,IF(COUNTIF($L$2:$L2067,$L2067)=1,1,0))</f>
        <v>0</v>
      </c>
      <c r="N2067" t="str">
        <f t="shared" si="486"/>
        <v/>
      </c>
      <c r="O2067" t="str">
        <f t="shared" si="487"/>
        <v/>
      </c>
      <c r="P2067">
        <f>IF($A2067="",0,IF(COUNTIF($O$2:$O2067,$O2067)=1,1,0))</f>
        <v>0</v>
      </c>
      <c r="Q2067" t="str">
        <f>IF(AND($P2067=1,$A2067=经营数据!$B$3,$J2067=经营数据!$BA$5),COUNTIFS($P$2:$P$3000,1,$A$2:$A$3000,$A2067,$J$2:$J$3000,$J2067,$N$2:$N$3000,"&lt;"&amp;$N2067)+1,"")</f>
        <v/>
      </c>
      <c r="R2067" t="str">
        <f t="shared" si="488"/>
        <v/>
      </c>
      <c r="S2067">
        <f>IF($A2067="",0,IF(COUNTIF($R$2:$R2067,$R2067)=1,1,0))</f>
        <v>0</v>
      </c>
      <c r="T2067" t="str">
        <f t="shared" si="489"/>
        <v/>
      </c>
      <c r="U2067" t="str">
        <f>IF($A2067="","",IF($A2067=经营数据!$B$3,COUNTIFS($S$2:$S$3000,1,$A$2:$A$3000,$A2067,$T$2:$T$3000,"&lt;"&amp;$T2067)+1,""))</f>
        <v/>
      </c>
      <c r="V2067" t="str">
        <f t="shared" si="490"/>
        <v/>
      </c>
      <c r="W2067" t="str">
        <f t="shared" si="491"/>
        <v/>
      </c>
      <c r="X2067" t="str">
        <f t="shared" si="492"/>
        <v/>
      </c>
      <c r="Y2067" t="str">
        <f t="shared" si="493"/>
        <v/>
      </c>
      <c r="Z2067">
        <f>IF($A2067="",0,IF(AND($M2067=1,$A2067=经营数据!$B$3,$J2067=经营数据!$BA$5,OR($I2067=经营数据!$BA$4,COUNTIF(经营数据!$AA$9:$AA$38,$I2067)&gt;0)),1,0))</f>
        <v>0</v>
      </c>
      <c r="AA2067" t="str">
        <f t="shared" si="494"/>
        <v/>
      </c>
      <c r="AB2067" t="str">
        <f t="shared" si="495"/>
        <v/>
      </c>
      <c r="AC2067">
        <f>IF($A2067="",0,IF(COUNTIF($A$2:$A2067,$A2067)=1,1,0))</f>
        <v>0</v>
      </c>
      <c r="AD2067">
        <f t="shared" si="496"/>
        <v>29</v>
      </c>
      <c r="AE2067" t="str">
        <f t="shared" si="497"/>
        <v/>
      </c>
    </row>
    <row r="2068" spans="1:31" x14ac:dyDescent="0.4">
      <c r="A2068" t="str">
        <f>IF(原始经营数据!$D2069="","",原始经营数据!$D2069)</f>
        <v/>
      </c>
      <c r="B2068" t="str">
        <f>IF(原始经营数据!$D2069="","",T(原始经营数据!$E2069))</f>
        <v/>
      </c>
      <c r="C2068" t="str">
        <f>IF(原始经营数据!$D2069="","",原始经营数据!$F2069)</f>
        <v/>
      </c>
      <c r="D2068" t="str">
        <f>IF(原始经营数据!$D2069="","",原始经营数据!$H2069)</f>
        <v/>
      </c>
      <c r="E2068" t="str">
        <f>IF(原始经营数据!$D2069="","",原始经营数据!$I2069)</f>
        <v/>
      </c>
      <c r="F2068" t="str">
        <f>IF(原始经营数据!$D2069="","",T(原始经营数据!$J2069))</f>
        <v/>
      </c>
      <c r="G2068" t="str">
        <f>IF(原始经营数据!$D2069="","",T(原始经营数据!$K2069))</f>
        <v/>
      </c>
      <c r="H2068" t="str">
        <f>IF(原始经营数据!$D2069="","",原始经营数据!$G2069)</f>
        <v/>
      </c>
      <c r="I2068" t="str">
        <f>IF($A2068="","",IF($B2068&lt;&gt;"",$B2068,IF(COUNTIFS(原始经营数据!$D$3:$D$3001,$A2068,原始经营数据!$E$3:$E$3001,"",原始经营数据!$F$3:$F$3001,$C2068,原始经营数据!$H$3:$H$3001,$D2068,原始经营数据!$K$3:$K$3001,$G2068)&gt;1,"基金整体·来源"&amp;原始经营数据!$A2069,"基金整体")))</f>
        <v/>
      </c>
      <c r="J2068" t="str">
        <f t="shared" si="483"/>
        <v/>
      </c>
      <c r="K2068" t="str">
        <f t="shared" si="484"/>
        <v/>
      </c>
      <c r="L2068" t="str">
        <f t="shared" si="485"/>
        <v/>
      </c>
      <c r="M2068">
        <f>IF($A2068="",0,IF(COUNTIF($L$2:$L2068,$L2068)=1,1,0))</f>
        <v>0</v>
      </c>
      <c r="N2068" t="str">
        <f t="shared" si="486"/>
        <v/>
      </c>
      <c r="O2068" t="str">
        <f t="shared" si="487"/>
        <v/>
      </c>
      <c r="P2068">
        <f>IF($A2068="",0,IF(COUNTIF($O$2:$O2068,$O2068)=1,1,0))</f>
        <v>0</v>
      </c>
      <c r="Q2068" t="str">
        <f>IF(AND($P2068=1,$A2068=经营数据!$B$3,$J2068=经营数据!$BA$5),COUNTIFS($P$2:$P$3000,1,$A$2:$A$3000,$A2068,$J$2:$J$3000,$J2068,$N$2:$N$3000,"&lt;"&amp;$N2068)+1,"")</f>
        <v/>
      </c>
      <c r="R2068" t="str">
        <f t="shared" si="488"/>
        <v/>
      </c>
      <c r="S2068">
        <f>IF($A2068="",0,IF(COUNTIF($R$2:$R2068,$R2068)=1,1,0))</f>
        <v>0</v>
      </c>
      <c r="T2068" t="str">
        <f t="shared" si="489"/>
        <v/>
      </c>
      <c r="U2068" t="str">
        <f>IF($A2068="","",IF($A2068=经营数据!$B$3,COUNTIFS($S$2:$S$3000,1,$A$2:$A$3000,$A2068,$T$2:$T$3000,"&lt;"&amp;$T2068)+1,""))</f>
        <v/>
      </c>
      <c r="V2068" t="str">
        <f t="shared" si="490"/>
        <v/>
      </c>
      <c r="W2068" t="str">
        <f t="shared" si="491"/>
        <v/>
      </c>
      <c r="X2068" t="str">
        <f t="shared" si="492"/>
        <v/>
      </c>
      <c r="Y2068" t="str">
        <f t="shared" si="493"/>
        <v/>
      </c>
      <c r="Z2068">
        <f>IF($A2068="",0,IF(AND($M2068=1,$A2068=经营数据!$B$3,$J2068=经营数据!$BA$5,OR($I2068=经营数据!$BA$4,COUNTIF(经营数据!$AA$9:$AA$38,$I2068)&gt;0)),1,0))</f>
        <v>0</v>
      </c>
      <c r="AA2068" t="str">
        <f t="shared" si="494"/>
        <v/>
      </c>
      <c r="AB2068" t="str">
        <f t="shared" si="495"/>
        <v/>
      </c>
      <c r="AC2068">
        <f>IF($A2068="",0,IF(COUNTIF($A$2:$A2068,$A2068)=1,1,0))</f>
        <v>0</v>
      </c>
      <c r="AD2068">
        <f t="shared" si="496"/>
        <v>29</v>
      </c>
      <c r="AE2068" t="str">
        <f t="shared" si="497"/>
        <v/>
      </c>
    </row>
    <row r="2069" spans="1:31" x14ac:dyDescent="0.4">
      <c r="A2069" t="str">
        <f>IF(原始经营数据!$D2070="","",原始经营数据!$D2070)</f>
        <v/>
      </c>
      <c r="B2069" t="str">
        <f>IF(原始经营数据!$D2070="","",T(原始经营数据!$E2070))</f>
        <v/>
      </c>
      <c r="C2069" t="str">
        <f>IF(原始经营数据!$D2070="","",原始经营数据!$F2070)</f>
        <v/>
      </c>
      <c r="D2069" t="str">
        <f>IF(原始经营数据!$D2070="","",原始经营数据!$H2070)</f>
        <v/>
      </c>
      <c r="E2069" t="str">
        <f>IF(原始经营数据!$D2070="","",原始经营数据!$I2070)</f>
        <v/>
      </c>
      <c r="F2069" t="str">
        <f>IF(原始经营数据!$D2070="","",T(原始经营数据!$J2070))</f>
        <v/>
      </c>
      <c r="G2069" t="str">
        <f>IF(原始经营数据!$D2070="","",T(原始经营数据!$K2070))</f>
        <v/>
      </c>
      <c r="H2069" t="str">
        <f>IF(原始经营数据!$D2070="","",原始经营数据!$G2070)</f>
        <v/>
      </c>
      <c r="I2069" t="str">
        <f>IF($A2069="","",IF($B2069&lt;&gt;"",$B2069,IF(COUNTIFS(原始经营数据!$D$3:$D$3001,$A2069,原始经营数据!$E$3:$E$3001,"",原始经营数据!$F$3:$F$3001,$C2069,原始经营数据!$H$3:$H$3001,$D2069,原始经营数据!$K$3:$K$3001,$G2069)&gt;1,"基金整体·来源"&amp;原始经营数据!$A2070,"基金整体")))</f>
        <v/>
      </c>
      <c r="J2069" t="str">
        <f t="shared" si="483"/>
        <v/>
      </c>
      <c r="K2069" t="str">
        <f t="shared" si="484"/>
        <v/>
      </c>
      <c r="L2069" t="str">
        <f t="shared" si="485"/>
        <v/>
      </c>
      <c r="M2069">
        <f>IF($A2069="",0,IF(COUNTIF($L$2:$L2069,$L2069)=1,1,0))</f>
        <v>0</v>
      </c>
      <c r="N2069" t="str">
        <f t="shared" si="486"/>
        <v/>
      </c>
      <c r="O2069" t="str">
        <f t="shared" si="487"/>
        <v/>
      </c>
      <c r="P2069">
        <f>IF($A2069="",0,IF(COUNTIF($O$2:$O2069,$O2069)=1,1,0))</f>
        <v>0</v>
      </c>
      <c r="Q2069" t="str">
        <f>IF(AND($P2069=1,$A2069=经营数据!$B$3,$J2069=经营数据!$BA$5),COUNTIFS($P$2:$P$3000,1,$A$2:$A$3000,$A2069,$J$2:$J$3000,$J2069,$N$2:$N$3000,"&lt;"&amp;$N2069)+1,"")</f>
        <v/>
      </c>
      <c r="R2069" t="str">
        <f t="shared" si="488"/>
        <v/>
      </c>
      <c r="S2069">
        <f>IF($A2069="",0,IF(COUNTIF($R$2:$R2069,$R2069)=1,1,0))</f>
        <v>0</v>
      </c>
      <c r="T2069" t="str">
        <f t="shared" si="489"/>
        <v/>
      </c>
      <c r="U2069" t="str">
        <f>IF($A2069="","",IF($A2069=经营数据!$B$3,COUNTIFS($S$2:$S$3000,1,$A$2:$A$3000,$A2069,$T$2:$T$3000,"&lt;"&amp;$T2069)+1,""))</f>
        <v/>
      </c>
      <c r="V2069" t="str">
        <f t="shared" si="490"/>
        <v/>
      </c>
      <c r="W2069" t="str">
        <f t="shared" si="491"/>
        <v/>
      </c>
      <c r="X2069" t="str">
        <f t="shared" si="492"/>
        <v/>
      </c>
      <c r="Y2069" t="str">
        <f t="shared" si="493"/>
        <v/>
      </c>
      <c r="Z2069">
        <f>IF($A2069="",0,IF(AND($M2069=1,$A2069=经营数据!$B$3,$J2069=经营数据!$BA$5,OR($I2069=经营数据!$BA$4,COUNTIF(经营数据!$AA$9:$AA$38,$I2069)&gt;0)),1,0))</f>
        <v>0</v>
      </c>
      <c r="AA2069" t="str">
        <f t="shared" si="494"/>
        <v/>
      </c>
      <c r="AB2069" t="str">
        <f t="shared" si="495"/>
        <v/>
      </c>
      <c r="AC2069">
        <f>IF($A2069="",0,IF(COUNTIF($A$2:$A2069,$A2069)=1,1,0))</f>
        <v>0</v>
      </c>
      <c r="AD2069">
        <f t="shared" si="496"/>
        <v>29</v>
      </c>
      <c r="AE2069" t="str">
        <f t="shared" si="497"/>
        <v/>
      </c>
    </row>
    <row r="2070" spans="1:31" x14ac:dyDescent="0.4">
      <c r="A2070" t="str">
        <f>IF(原始经营数据!$D2071="","",原始经营数据!$D2071)</f>
        <v/>
      </c>
      <c r="B2070" t="str">
        <f>IF(原始经营数据!$D2071="","",T(原始经营数据!$E2071))</f>
        <v/>
      </c>
      <c r="C2070" t="str">
        <f>IF(原始经营数据!$D2071="","",原始经营数据!$F2071)</f>
        <v/>
      </c>
      <c r="D2070" t="str">
        <f>IF(原始经营数据!$D2071="","",原始经营数据!$H2071)</f>
        <v/>
      </c>
      <c r="E2070" t="str">
        <f>IF(原始经营数据!$D2071="","",原始经营数据!$I2071)</f>
        <v/>
      </c>
      <c r="F2070" t="str">
        <f>IF(原始经营数据!$D2071="","",T(原始经营数据!$J2071))</f>
        <v/>
      </c>
      <c r="G2070" t="str">
        <f>IF(原始经营数据!$D2071="","",T(原始经营数据!$K2071))</f>
        <v/>
      </c>
      <c r="H2070" t="str">
        <f>IF(原始经营数据!$D2071="","",原始经营数据!$G2071)</f>
        <v/>
      </c>
      <c r="I2070" t="str">
        <f>IF($A2070="","",IF($B2070&lt;&gt;"",$B2070,IF(COUNTIFS(原始经营数据!$D$3:$D$3001,$A2070,原始经营数据!$E$3:$E$3001,"",原始经营数据!$F$3:$F$3001,$C2070,原始经营数据!$H$3:$H$3001,$D2070,原始经营数据!$K$3:$K$3001,$G2070)&gt;1,"基金整体·来源"&amp;原始经营数据!$A2071,"基金整体")))</f>
        <v/>
      </c>
      <c r="J2070" t="str">
        <f t="shared" si="483"/>
        <v/>
      </c>
      <c r="K2070" t="str">
        <f t="shared" si="484"/>
        <v/>
      </c>
      <c r="L2070" t="str">
        <f t="shared" si="485"/>
        <v/>
      </c>
      <c r="M2070">
        <f>IF($A2070="",0,IF(COUNTIF($L$2:$L2070,$L2070)=1,1,0))</f>
        <v>0</v>
      </c>
      <c r="N2070" t="str">
        <f t="shared" si="486"/>
        <v/>
      </c>
      <c r="O2070" t="str">
        <f t="shared" si="487"/>
        <v/>
      </c>
      <c r="P2070">
        <f>IF($A2070="",0,IF(COUNTIF($O$2:$O2070,$O2070)=1,1,0))</f>
        <v>0</v>
      </c>
      <c r="Q2070" t="str">
        <f>IF(AND($P2070=1,$A2070=经营数据!$B$3,$J2070=经营数据!$BA$5),COUNTIFS($P$2:$P$3000,1,$A$2:$A$3000,$A2070,$J$2:$J$3000,$J2070,$N$2:$N$3000,"&lt;"&amp;$N2070)+1,"")</f>
        <v/>
      </c>
      <c r="R2070" t="str">
        <f t="shared" si="488"/>
        <v/>
      </c>
      <c r="S2070">
        <f>IF($A2070="",0,IF(COUNTIF($R$2:$R2070,$R2070)=1,1,0))</f>
        <v>0</v>
      </c>
      <c r="T2070" t="str">
        <f t="shared" si="489"/>
        <v/>
      </c>
      <c r="U2070" t="str">
        <f>IF($A2070="","",IF($A2070=经营数据!$B$3,COUNTIFS($S$2:$S$3000,1,$A$2:$A$3000,$A2070,$T$2:$T$3000,"&lt;"&amp;$T2070)+1,""))</f>
        <v/>
      </c>
      <c r="V2070" t="str">
        <f t="shared" si="490"/>
        <v/>
      </c>
      <c r="W2070" t="str">
        <f t="shared" si="491"/>
        <v/>
      </c>
      <c r="X2070" t="str">
        <f t="shared" si="492"/>
        <v/>
      </c>
      <c r="Y2070" t="str">
        <f t="shared" si="493"/>
        <v/>
      </c>
      <c r="Z2070">
        <f>IF($A2070="",0,IF(AND($M2070=1,$A2070=经营数据!$B$3,$J2070=经营数据!$BA$5,OR($I2070=经营数据!$BA$4,COUNTIF(经营数据!$AA$9:$AA$38,$I2070)&gt;0)),1,0))</f>
        <v>0</v>
      </c>
      <c r="AA2070" t="str">
        <f t="shared" si="494"/>
        <v/>
      </c>
      <c r="AB2070" t="str">
        <f t="shared" si="495"/>
        <v/>
      </c>
      <c r="AC2070">
        <f>IF($A2070="",0,IF(COUNTIF($A$2:$A2070,$A2070)=1,1,0))</f>
        <v>0</v>
      </c>
      <c r="AD2070">
        <f t="shared" si="496"/>
        <v>29</v>
      </c>
      <c r="AE2070" t="str">
        <f t="shared" si="497"/>
        <v/>
      </c>
    </row>
    <row r="2071" spans="1:31" x14ac:dyDescent="0.4">
      <c r="A2071" t="str">
        <f>IF(原始经营数据!$D2072="","",原始经营数据!$D2072)</f>
        <v/>
      </c>
      <c r="B2071" t="str">
        <f>IF(原始经营数据!$D2072="","",T(原始经营数据!$E2072))</f>
        <v/>
      </c>
      <c r="C2071" t="str">
        <f>IF(原始经营数据!$D2072="","",原始经营数据!$F2072)</f>
        <v/>
      </c>
      <c r="D2071" t="str">
        <f>IF(原始经营数据!$D2072="","",原始经营数据!$H2072)</f>
        <v/>
      </c>
      <c r="E2071" t="str">
        <f>IF(原始经营数据!$D2072="","",原始经营数据!$I2072)</f>
        <v/>
      </c>
      <c r="F2071" t="str">
        <f>IF(原始经营数据!$D2072="","",T(原始经营数据!$J2072))</f>
        <v/>
      </c>
      <c r="G2071" t="str">
        <f>IF(原始经营数据!$D2072="","",T(原始经营数据!$K2072))</f>
        <v/>
      </c>
      <c r="H2071" t="str">
        <f>IF(原始经营数据!$D2072="","",原始经营数据!$G2072)</f>
        <v/>
      </c>
      <c r="I2071" t="str">
        <f>IF($A2071="","",IF($B2071&lt;&gt;"",$B2071,IF(COUNTIFS(原始经营数据!$D$3:$D$3001,$A2071,原始经营数据!$E$3:$E$3001,"",原始经营数据!$F$3:$F$3001,$C2071,原始经营数据!$H$3:$H$3001,$D2071,原始经营数据!$K$3:$K$3001,$G2071)&gt;1,"基金整体·来源"&amp;原始经营数据!$A2072,"基金整体")))</f>
        <v/>
      </c>
      <c r="J2071" t="str">
        <f t="shared" si="483"/>
        <v/>
      </c>
      <c r="K2071" t="str">
        <f t="shared" si="484"/>
        <v/>
      </c>
      <c r="L2071" t="str">
        <f t="shared" si="485"/>
        <v/>
      </c>
      <c r="M2071">
        <f>IF($A2071="",0,IF(COUNTIF($L$2:$L2071,$L2071)=1,1,0))</f>
        <v>0</v>
      </c>
      <c r="N2071" t="str">
        <f t="shared" si="486"/>
        <v/>
      </c>
      <c r="O2071" t="str">
        <f t="shared" si="487"/>
        <v/>
      </c>
      <c r="P2071">
        <f>IF($A2071="",0,IF(COUNTIF($O$2:$O2071,$O2071)=1,1,0))</f>
        <v>0</v>
      </c>
      <c r="Q2071" t="str">
        <f>IF(AND($P2071=1,$A2071=经营数据!$B$3,$J2071=经营数据!$BA$5),COUNTIFS($P$2:$P$3000,1,$A$2:$A$3000,$A2071,$J$2:$J$3000,$J2071,$N$2:$N$3000,"&lt;"&amp;$N2071)+1,"")</f>
        <v/>
      </c>
      <c r="R2071" t="str">
        <f t="shared" si="488"/>
        <v/>
      </c>
      <c r="S2071">
        <f>IF($A2071="",0,IF(COUNTIF($R$2:$R2071,$R2071)=1,1,0))</f>
        <v>0</v>
      </c>
      <c r="T2071" t="str">
        <f t="shared" si="489"/>
        <v/>
      </c>
      <c r="U2071" t="str">
        <f>IF($A2071="","",IF($A2071=经营数据!$B$3,COUNTIFS($S$2:$S$3000,1,$A$2:$A$3000,$A2071,$T$2:$T$3000,"&lt;"&amp;$T2071)+1,""))</f>
        <v/>
      </c>
      <c r="V2071" t="str">
        <f t="shared" si="490"/>
        <v/>
      </c>
      <c r="W2071" t="str">
        <f t="shared" si="491"/>
        <v/>
      </c>
      <c r="X2071" t="str">
        <f t="shared" si="492"/>
        <v/>
      </c>
      <c r="Y2071" t="str">
        <f t="shared" si="493"/>
        <v/>
      </c>
      <c r="Z2071">
        <f>IF($A2071="",0,IF(AND($M2071=1,$A2071=经营数据!$B$3,$J2071=经营数据!$BA$5,OR($I2071=经营数据!$BA$4,COUNTIF(经营数据!$AA$9:$AA$38,$I2071)&gt;0)),1,0))</f>
        <v>0</v>
      </c>
      <c r="AA2071" t="str">
        <f t="shared" si="494"/>
        <v/>
      </c>
      <c r="AB2071" t="str">
        <f t="shared" si="495"/>
        <v/>
      </c>
      <c r="AC2071">
        <f>IF($A2071="",0,IF(COUNTIF($A$2:$A2071,$A2071)=1,1,0))</f>
        <v>0</v>
      </c>
      <c r="AD2071">
        <f t="shared" si="496"/>
        <v>29</v>
      </c>
      <c r="AE2071" t="str">
        <f t="shared" si="497"/>
        <v/>
      </c>
    </row>
    <row r="2072" spans="1:31" x14ac:dyDescent="0.4">
      <c r="A2072" t="str">
        <f>IF(原始经营数据!$D2073="","",原始经营数据!$D2073)</f>
        <v/>
      </c>
      <c r="B2072" t="str">
        <f>IF(原始经营数据!$D2073="","",T(原始经营数据!$E2073))</f>
        <v/>
      </c>
      <c r="C2072" t="str">
        <f>IF(原始经营数据!$D2073="","",原始经营数据!$F2073)</f>
        <v/>
      </c>
      <c r="D2072" t="str">
        <f>IF(原始经营数据!$D2073="","",原始经营数据!$H2073)</f>
        <v/>
      </c>
      <c r="E2072" t="str">
        <f>IF(原始经营数据!$D2073="","",原始经营数据!$I2073)</f>
        <v/>
      </c>
      <c r="F2072" t="str">
        <f>IF(原始经营数据!$D2073="","",T(原始经营数据!$J2073))</f>
        <v/>
      </c>
      <c r="G2072" t="str">
        <f>IF(原始经营数据!$D2073="","",T(原始经营数据!$K2073))</f>
        <v/>
      </c>
      <c r="H2072" t="str">
        <f>IF(原始经营数据!$D2073="","",原始经营数据!$G2073)</f>
        <v/>
      </c>
      <c r="I2072" t="str">
        <f>IF($A2072="","",IF($B2072&lt;&gt;"",$B2072,IF(COUNTIFS(原始经营数据!$D$3:$D$3001,$A2072,原始经营数据!$E$3:$E$3001,"",原始经营数据!$F$3:$F$3001,$C2072,原始经营数据!$H$3:$H$3001,$D2072,原始经营数据!$K$3:$K$3001,$G2072)&gt;1,"基金整体·来源"&amp;原始经营数据!$A2073,"基金整体")))</f>
        <v/>
      </c>
      <c r="J2072" t="str">
        <f t="shared" si="483"/>
        <v/>
      </c>
      <c r="K2072" t="str">
        <f t="shared" si="484"/>
        <v/>
      </c>
      <c r="L2072" t="str">
        <f t="shared" si="485"/>
        <v/>
      </c>
      <c r="M2072">
        <f>IF($A2072="",0,IF(COUNTIF($L$2:$L2072,$L2072)=1,1,0))</f>
        <v>0</v>
      </c>
      <c r="N2072" t="str">
        <f t="shared" si="486"/>
        <v/>
      </c>
      <c r="O2072" t="str">
        <f t="shared" si="487"/>
        <v/>
      </c>
      <c r="P2072">
        <f>IF($A2072="",0,IF(COUNTIF($O$2:$O2072,$O2072)=1,1,0))</f>
        <v>0</v>
      </c>
      <c r="Q2072" t="str">
        <f>IF(AND($P2072=1,$A2072=经营数据!$B$3,$J2072=经营数据!$BA$5),COUNTIFS($P$2:$P$3000,1,$A$2:$A$3000,$A2072,$J$2:$J$3000,$J2072,$N$2:$N$3000,"&lt;"&amp;$N2072)+1,"")</f>
        <v/>
      </c>
      <c r="R2072" t="str">
        <f t="shared" si="488"/>
        <v/>
      </c>
      <c r="S2072">
        <f>IF($A2072="",0,IF(COUNTIF($R$2:$R2072,$R2072)=1,1,0))</f>
        <v>0</v>
      </c>
      <c r="T2072" t="str">
        <f t="shared" si="489"/>
        <v/>
      </c>
      <c r="U2072" t="str">
        <f>IF($A2072="","",IF($A2072=经营数据!$B$3,COUNTIFS($S$2:$S$3000,1,$A$2:$A$3000,$A2072,$T$2:$T$3000,"&lt;"&amp;$T2072)+1,""))</f>
        <v/>
      </c>
      <c r="V2072" t="str">
        <f t="shared" si="490"/>
        <v/>
      </c>
      <c r="W2072" t="str">
        <f t="shared" si="491"/>
        <v/>
      </c>
      <c r="X2072" t="str">
        <f t="shared" si="492"/>
        <v/>
      </c>
      <c r="Y2072" t="str">
        <f t="shared" si="493"/>
        <v/>
      </c>
      <c r="Z2072">
        <f>IF($A2072="",0,IF(AND($M2072=1,$A2072=经营数据!$B$3,$J2072=经营数据!$BA$5,OR($I2072=经营数据!$BA$4,COUNTIF(经营数据!$AA$9:$AA$38,$I2072)&gt;0)),1,0))</f>
        <v>0</v>
      </c>
      <c r="AA2072" t="str">
        <f t="shared" si="494"/>
        <v/>
      </c>
      <c r="AB2072" t="str">
        <f t="shared" si="495"/>
        <v/>
      </c>
      <c r="AC2072">
        <f>IF($A2072="",0,IF(COUNTIF($A$2:$A2072,$A2072)=1,1,0))</f>
        <v>0</v>
      </c>
      <c r="AD2072">
        <f t="shared" si="496"/>
        <v>29</v>
      </c>
      <c r="AE2072" t="str">
        <f t="shared" si="497"/>
        <v/>
      </c>
    </row>
    <row r="2073" spans="1:31" x14ac:dyDescent="0.4">
      <c r="A2073" t="str">
        <f>IF(原始经营数据!$D2074="","",原始经营数据!$D2074)</f>
        <v/>
      </c>
      <c r="B2073" t="str">
        <f>IF(原始经营数据!$D2074="","",T(原始经营数据!$E2074))</f>
        <v/>
      </c>
      <c r="C2073" t="str">
        <f>IF(原始经营数据!$D2074="","",原始经营数据!$F2074)</f>
        <v/>
      </c>
      <c r="D2073" t="str">
        <f>IF(原始经营数据!$D2074="","",原始经营数据!$H2074)</f>
        <v/>
      </c>
      <c r="E2073" t="str">
        <f>IF(原始经营数据!$D2074="","",原始经营数据!$I2074)</f>
        <v/>
      </c>
      <c r="F2073" t="str">
        <f>IF(原始经营数据!$D2074="","",T(原始经营数据!$J2074))</f>
        <v/>
      </c>
      <c r="G2073" t="str">
        <f>IF(原始经营数据!$D2074="","",T(原始经营数据!$K2074))</f>
        <v/>
      </c>
      <c r="H2073" t="str">
        <f>IF(原始经营数据!$D2074="","",原始经营数据!$G2074)</f>
        <v/>
      </c>
      <c r="I2073" t="str">
        <f>IF($A2073="","",IF($B2073&lt;&gt;"",$B2073,IF(COUNTIFS(原始经营数据!$D$3:$D$3001,$A2073,原始经营数据!$E$3:$E$3001,"",原始经营数据!$F$3:$F$3001,$C2073,原始经营数据!$H$3:$H$3001,$D2073,原始经营数据!$K$3:$K$3001,$G2073)&gt;1,"基金整体·来源"&amp;原始经营数据!$A2074,"基金整体")))</f>
        <v/>
      </c>
      <c r="J2073" t="str">
        <f t="shared" si="483"/>
        <v/>
      </c>
      <c r="K2073" t="str">
        <f t="shared" si="484"/>
        <v/>
      </c>
      <c r="L2073" t="str">
        <f t="shared" si="485"/>
        <v/>
      </c>
      <c r="M2073">
        <f>IF($A2073="",0,IF(COUNTIF($L$2:$L2073,$L2073)=1,1,0))</f>
        <v>0</v>
      </c>
      <c r="N2073" t="str">
        <f t="shared" si="486"/>
        <v/>
      </c>
      <c r="O2073" t="str">
        <f t="shared" si="487"/>
        <v/>
      </c>
      <c r="P2073">
        <f>IF($A2073="",0,IF(COUNTIF($O$2:$O2073,$O2073)=1,1,0))</f>
        <v>0</v>
      </c>
      <c r="Q2073" t="str">
        <f>IF(AND($P2073=1,$A2073=经营数据!$B$3,$J2073=经营数据!$BA$5),COUNTIFS($P$2:$P$3000,1,$A$2:$A$3000,$A2073,$J$2:$J$3000,$J2073,$N$2:$N$3000,"&lt;"&amp;$N2073)+1,"")</f>
        <v/>
      </c>
      <c r="R2073" t="str">
        <f t="shared" si="488"/>
        <v/>
      </c>
      <c r="S2073">
        <f>IF($A2073="",0,IF(COUNTIF($R$2:$R2073,$R2073)=1,1,0))</f>
        <v>0</v>
      </c>
      <c r="T2073" t="str">
        <f t="shared" si="489"/>
        <v/>
      </c>
      <c r="U2073" t="str">
        <f>IF($A2073="","",IF($A2073=经营数据!$B$3,COUNTIFS($S$2:$S$3000,1,$A$2:$A$3000,$A2073,$T$2:$T$3000,"&lt;"&amp;$T2073)+1,""))</f>
        <v/>
      </c>
      <c r="V2073" t="str">
        <f t="shared" si="490"/>
        <v/>
      </c>
      <c r="W2073" t="str">
        <f t="shared" si="491"/>
        <v/>
      </c>
      <c r="X2073" t="str">
        <f t="shared" si="492"/>
        <v/>
      </c>
      <c r="Y2073" t="str">
        <f t="shared" si="493"/>
        <v/>
      </c>
      <c r="Z2073">
        <f>IF($A2073="",0,IF(AND($M2073=1,$A2073=经营数据!$B$3,$J2073=经营数据!$BA$5,OR($I2073=经营数据!$BA$4,COUNTIF(经营数据!$AA$9:$AA$38,$I2073)&gt;0)),1,0))</f>
        <v>0</v>
      </c>
      <c r="AA2073" t="str">
        <f t="shared" si="494"/>
        <v/>
      </c>
      <c r="AB2073" t="str">
        <f t="shared" si="495"/>
        <v/>
      </c>
      <c r="AC2073">
        <f>IF($A2073="",0,IF(COUNTIF($A$2:$A2073,$A2073)=1,1,0))</f>
        <v>0</v>
      </c>
      <c r="AD2073">
        <f t="shared" si="496"/>
        <v>29</v>
      </c>
      <c r="AE2073" t="str">
        <f t="shared" si="497"/>
        <v/>
      </c>
    </row>
    <row r="2074" spans="1:31" x14ac:dyDescent="0.4">
      <c r="A2074" t="str">
        <f>IF(原始经营数据!$D2075="","",原始经营数据!$D2075)</f>
        <v/>
      </c>
      <c r="B2074" t="str">
        <f>IF(原始经营数据!$D2075="","",T(原始经营数据!$E2075))</f>
        <v/>
      </c>
      <c r="C2074" t="str">
        <f>IF(原始经营数据!$D2075="","",原始经营数据!$F2075)</f>
        <v/>
      </c>
      <c r="D2074" t="str">
        <f>IF(原始经营数据!$D2075="","",原始经营数据!$H2075)</f>
        <v/>
      </c>
      <c r="E2074" t="str">
        <f>IF(原始经营数据!$D2075="","",原始经营数据!$I2075)</f>
        <v/>
      </c>
      <c r="F2074" t="str">
        <f>IF(原始经营数据!$D2075="","",T(原始经营数据!$J2075))</f>
        <v/>
      </c>
      <c r="G2074" t="str">
        <f>IF(原始经营数据!$D2075="","",T(原始经营数据!$K2075))</f>
        <v/>
      </c>
      <c r="H2074" t="str">
        <f>IF(原始经营数据!$D2075="","",原始经营数据!$G2075)</f>
        <v/>
      </c>
      <c r="I2074" t="str">
        <f>IF($A2074="","",IF($B2074&lt;&gt;"",$B2074,IF(COUNTIFS(原始经营数据!$D$3:$D$3001,$A2074,原始经营数据!$E$3:$E$3001,"",原始经营数据!$F$3:$F$3001,$C2074,原始经营数据!$H$3:$H$3001,$D2074,原始经营数据!$K$3:$K$3001,$G2074)&gt;1,"基金整体·来源"&amp;原始经营数据!$A2075,"基金整体")))</f>
        <v/>
      </c>
      <c r="J2074" t="str">
        <f t="shared" si="483"/>
        <v/>
      </c>
      <c r="K2074" t="str">
        <f t="shared" si="484"/>
        <v/>
      </c>
      <c r="L2074" t="str">
        <f t="shared" si="485"/>
        <v/>
      </c>
      <c r="M2074">
        <f>IF($A2074="",0,IF(COUNTIF($L$2:$L2074,$L2074)=1,1,0))</f>
        <v>0</v>
      </c>
      <c r="N2074" t="str">
        <f t="shared" si="486"/>
        <v/>
      </c>
      <c r="O2074" t="str">
        <f t="shared" si="487"/>
        <v/>
      </c>
      <c r="P2074">
        <f>IF($A2074="",0,IF(COUNTIF($O$2:$O2074,$O2074)=1,1,0))</f>
        <v>0</v>
      </c>
      <c r="Q2074" t="str">
        <f>IF(AND($P2074=1,$A2074=经营数据!$B$3,$J2074=经营数据!$BA$5),COUNTIFS($P$2:$P$3000,1,$A$2:$A$3000,$A2074,$J$2:$J$3000,$J2074,$N$2:$N$3000,"&lt;"&amp;$N2074)+1,"")</f>
        <v/>
      </c>
      <c r="R2074" t="str">
        <f t="shared" si="488"/>
        <v/>
      </c>
      <c r="S2074">
        <f>IF($A2074="",0,IF(COUNTIF($R$2:$R2074,$R2074)=1,1,0))</f>
        <v>0</v>
      </c>
      <c r="T2074" t="str">
        <f t="shared" si="489"/>
        <v/>
      </c>
      <c r="U2074" t="str">
        <f>IF($A2074="","",IF($A2074=经营数据!$B$3,COUNTIFS($S$2:$S$3000,1,$A$2:$A$3000,$A2074,$T$2:$T$3000,"&lt;"&amp;$T2074)+1,""))</f>
        <v/>
      </c>
      <c r="V2074" t="str">
        <f t="shared" si="490"/>
        <v/>
      </c>
      <c r="W2074" t="str">
        <f t="shared" si="491"/>
        <v/>
      </c>
      <c r="X2074" t="str">
        <f t="shared" si="492"/>
        <v/>
      </c>
      <c r="Y2074" t="str">
        <f t="shared" si="493"/>
        <v/>
      </c>
      <c r="Z2074">
        <f>IF($A2074="",0,IF(AND($M2074=1,$A2074=经营数据!$B$3,$J2074=经营数据!$BA$5,OR($I2074=经营数据!$BA$4,COUNTIF(经营数据!$AA$9:$AA$38,$I2074)&gt;0)),1,0))</f>
        <v>0</v>
      </c>
      <c r="AA2074" t="str">
        <f t="shared" si="494"/>
        <v/>
      </c>
      <c r="AB2074" t="str">
        <f t="shared" si="495"/>
        <v/>
      </c>
      <c r="AC2074">
        <f>IF($A2074="",0,IF(COUNTIF($A$2:$A2074,$A2074)=1,1,0))</f>
        <v>0</v>
      </c>
      <c r="AD2074">
        <f t="shared" si="496"/>
        <v>29</v>
      </c>
      <c r="AE2074" t="str">
        <f t="shared" si="497"/>
        <v/>
      </c>
    </row>
    <row r="2075" spans="1:31" x14ac:dyDescent="0.4">
      <c r="A2075" t="str">
        <f>IF(原始经营数据!$D2076="","",原始经营数据!$D2076)</f>
        <v/>
      </c>
      <c r="B2075" t="str">
        <f>IF(原始经营数据!$D2076="","",T(原始经营数据!$E2076))</f>
        <v/>
      </c>
      <c r="C2075" t="str">
        <f>IF(原始经营数据!$D2076="","",原始经营数据!$F2076)</f>
        <v/>
      </c>
      <c r="D2075" t="str">
        <f>IF(原始经营数据!$D2076="","",原始经营数据!$H2076)</f>
        <v/>
      </c>
      <c r="E2075" t="str">
        <f>IF(原始经营数据!$D2076="","",原始经营数据!$I2076)</f>
        <v/>
      </c>
      <c r="F2075" t="str">
        <f>IF(原始经营数据!$D2076="","",T(原始经营数据!$J2076))</f>
        <v/>
      </c>
      <c r="G2075" t="str">
        <f>IF(原始经营数据!$D2076="","",T(原始经营数据!$K2076))</f>
        <v/>
      </c>
      <c r="H2075" t="str">
        <f>IF(原始经营数据!$D2076="","",原始经营数据!$G2076)</f>
        <v/>
      </c>
      <c r="I2075" t="str">
        <f>IF($A2075="","",IF($B2075&lt;&gt;"",$B2075,IF(COUNTIFS(原始经营数据!$D$3:$D$3001,$A2075,原始经营数据!$E$3:$E$3001,"",原始经营数据!$F$3:$F$3001,$C2075,原始经营数据!$H$3:$H$3001,$D2075,原始经营数据!$K$3:$K$3001,$G2075)&gt;1,"基金整体·来源"&amp;原始经营数据!$A2076,"基金整体")))</f>
        <v/>
      </c>
      <c r="J2075" t="str">
        <f t="shared" si="483"/>
        <v/>
      </c>
      <c r="K2075" t="str">
        <f t="shared" si="484"/>
        <v/>
      </c>
      <c r="L2075" t="str">
        <f t="shared" si="485"/>
        <v/>
      </c>
      <c r="M2075">
        <f>IF($A2075="",0,IF(COUNTIF($L$2:$L2075,$L2075)=1,1,0))</f>
        <v>0</v>
      </c>
      <c r="N2075" t="str">
        <f t="shared" si="486"/>
        <v/>
      </c>
      <c r="O2075" t="str">
        <f t="shared" si="487"/>
        <v/>
      </c>
      <c r="P2075">
        <f>IF($A2075="",0,IF(COUNTIF($O$2:$O2075,$O2075)=1,1,0))</f>
        <v>0</v>
      </c>
      <c r="Q2075" t="str">
        <f>IF(AND($P2075=1,$A2075=经营数据!$B$3,$J2075=经营数据!$BA$5),COUNTIFS($P$2:$P$3000,1,$A$2:$A$3000,$A2075,$J$2:$J$3000,$J2075,$N$2:$N$3000,"&lt;"&amp;$N2075)+1,"")</f>
        <v/>
      </c>
      <c r="R2075" t="str">
        <f t="shared" si="488"/>
        <v/>
      </c>
      <c r="S2075">
        <f>IF($A2075="",0,IF(COUNTIF($R$2:$R2075,$R2075)=1,1,0))</f>
        <v>0</v>
      </c>
      <c r="T2075" t="str">
        <f t="shared" si="489"/>
        <v/>
      </c>
      <c r="U2075" t="str">
        <f>IF($A2075="","",IF($A2075=经营数据!$B$3,COUNTIFS($S$2:$S$3000,1,$A$2:$A$3000,$A2075,$T$2:$T$3000,"&lt;"&amp;$T2075)+1,""))</f>
        <v/>
      </c>
      <c r="V2075" t="str">
        <f t="shared" si="490"/>
        <v/>
      </c>
      <c r="W2075" t="str">
        <f t="shared" si="491"/>
        <v/>
      </c>
      <c r="X2075" t="str">
        <f t="shared" si="492"/>
        <v/>
      </c>
      <c r="Y2075" t="str">
        <f t="shared" si="493"/>
        <v/>
      </c>
      <c r="Z2075">
        <f>IF($A2075="",0,IF(AND($M2075=1,$A2075=经营数据!$B$3,$J2075=经营数据!$BA$5,OR($I2075=经营数据!$BA$4,COUNTIF(经营数据!$AA$9:$AA$38,$I2075)&gt;0)),1,0))</f>
        <v>0</v>
      </c>
      <c r="AA2075" t="str">
        <f t="shared" si="494"/>
        <v/>
      </c>
      <c r="AB2075" t="str">
        <f t="shared" si="495"/>
        <v/>
      </c>
      <c r="AC2075">
        <f>IF($A2075="",0,IF(COUNTIF($A$2:$A2075,$A2075)=1,1,0))</f>
        <v>0</v>
      </c>
      <c r="AD2075">
        <f t="shared" si="496"/>
        <v>29</v>
      </c>
      <c r="AE2075" t="str">
        <f t="shared" si="497"/>
        <v/>
      </c>
    </row>
    <row r="2076" spans="1:31" x14ac:dyDescent="0.4">
      <c r="A2076" t="str">
        <f>IF(原始经营数据!$D2077="","",原始经营数据!$D2077)</f>
        <v/>
      </c>
      <c r="B2076" t="str">
        <f>IF(原始经营数据!$D2077="","",T(原始经营数据!$E2077))</f>
        <v/>
      </c>
      <c r="C2076" t="str">
        <f>IF(原始经营数据!$D2077="","",原始经营数据!$F2077)</f>
        <v/>
      </c>
      <c r="D2076" t="str">
        <f>IF(原始经营数据!$D2077="","",原始经营数据!$H2077)</f>
        <v/>
      </c>
      <c r="E2076" t="str">
        <f>IF(原始经营数据!$D2077="","",原始经营数据!$I2077)</f>
        <v/>
      </c>
      <c r="F2076" t="str">
        <f>IF(原始经营数据!$D2077="","",T(原始经营数据!$J2077))</f>
        <v/>
      </c>
      <c r="G2076" t="str">
        <f>IF(原始经营数据!$D2077="","",T(原始经营数据!$K2077))</f>
        <v/>
      </c>
      <c r="H2076" t="str">
        <f>IF(原始经营数据!$D2077="","",原始经营数据!$G2077)</f>
        <v/>
      </c>
      <c r="I2076" t="str">
        <f>IF($A2076="","",IF($B2076&lt;&gt;"",$B2076,IF(COUNTIFS(原始经营数据!$D$3:$D$3001,$A2076,原始经营数据!$E$3:$E$3001,"",原始经营数据!$F$3:$F$3001,$C2076,原始经营数据!$H$3:$H$3001,$D2076,原始经营数据!$K$3:$K$3001,$G2076)&gt;1,"基金整体·来源"&amp;原始经营数据!$A2077,"基金整体")))</f>
        <v/>
      </c>
      <c r="J2076" t="str">
        <f t="shared" si="483"/>
        <v/>
      </c>
      <c r="K2076" t="str">
        <f t="shared" si="484"/>
        <v/>
      </c>
      <c r="L2076" t="str">
        <f t="shared" si="485"/>
        <v/>
      </c>
      <c r="M2076">
        <f>IF($A2076="",0,IF(COUNTIF($L$2:$L2076,$L2076)=1,1,0))</f>
        <v>0</v>
      </c>
      <c r="N2076" t="str">
        <f t="shared" si="486"/>
        <v/>
      </c>
      <c r="O2076" t="str">
        <f t="shared" si="487"/>
        <v/>
      </c>
      <c r="P2076">
        <f>IF($A2076="",0,IF(COUNTIF($O$2:$O2076,$O2076)=1,1,0))</f>
        <v>0</v>
      </c>
      <c r="Q2076" t="str">
        <f>IF(AND($P2076=1,$A2076=经营数据!$B$3,$J2076=经营数据!$BA$5),COUNTIFS($P$2:$P$3000,1,$A$2:$A$3000,$A2076,$J$2:$J$3000,$J2076,$N$2:$N$3000,"&lt;"&amp;$N2076)+1,"")</f>
        <v/>
      </c>
      <c r="R2076" t="str">
        <f t="shared" si="488"/>
        <v/>
      </c>
      <c r="S2076">
        <f>IF($A2076="",0,IF(COUNTIF($R$2:$R2076,$R2076)=1,1,0))</f>
        <v>0</v>
      </c>
      <c r="T2076" t="str">
        <f t="shared" si="489"/>
        <v/>
      </c>
      <c r="U2076" t="str">
        <f>IF($A2076="","",IF($A2076=经营数据!$B$3,COUNTIFS($S$2:$S$3000,1,$A$2:$A$3000,$A2076,$T$2:$T$3000,"&lt;"&amp;$T2076)+1,""))</f>
        <v/>
      </c>
      <c r="V2076" t="str">
        <f t="shared" si="490"/>
        <v/>
      </c>
      <c r="W2076" t="str">
        <f t="shared" si="491"/>
        <v/>
      </c>
      <c r="X2076" t="str">
        <f t="shared" si="492"/>
        <v/>
      </c>
      <c r="Y2076" t="str">
        <f t="shared" si="493"/>
        <v/>
      </c>
      <c r="Z2076">
        <f>IF($A2076="",0,IF(AND($M2076=1,$A2076=经营数据!$B$3,$J2076=经营数据!$BA$5,OR($I2076=经营数据!$BA$4,COUNTIF(经营数据!$AA$9:$AA$38,$I2076)&gt;0)),1,0))</f>
        <v>0</v>
      </c>
      <c r="AA2076" t="str">
        <f t="shared" si="494"/>
        <v/>
      </c>
      <c r="AB2076" t="str">
        <f t="shared" si="495"/>
        <v/>
      </c>
      <c r="AC2076">
        <f>IF($A2076="",0,IF(COUNTIF($A$2:$A2076,$A2076)=1,1,0))</f>
        <v>0</v>
      </c>
      <c r="AD2076">
        <f t="shared" si="496"/>
        <v>29</v>
      </c>
      <c r="AE2076" t="str">
        <f t="shared" si="497"/>
        <v/>
      </c>
    </row>
    <row r="2077" spans="1:31" x14ac:dyDescent="0.4">
      <c r="A2077" t="str">
        <f>IF(原始经营数据!$D2078="","",原始经营数据!$D2078)</f>
        <v/>
      </c>
      <c r="B2077" t="str">
        <f>IF(原始经营数据!$D2078="","",T(原始经营数据!$E2078))</f>
        <v/>
      </c>
      <c r="C2077" t="str">
        <f>IF(原始经营数据!$D2078="","",原始经营数据!$F2078)</f>
        <v/>
      </c>
      <c r="D2077" t="str">
        <f>IF(原始经营数据!$D2078="","",原始经营数据!$H2078)</f>
        <v/>
      </c>
      <c r="E2077" t="str">
        <f>IF(原始经营数据!$D2078="","",原始经营数据!$I2078)</f>
        <v/>
      </c>
      <c r="F2077" t="str">
        <f>IF(原始经营数据!$D2078="","",T(原始经营数据!$J2078))</f>
        <v/>
      </c>
      <c r="G2077" t="str">
        <f>IF(原始经营数据!$D2078="","",T(原始经营数据!$K2078))</f>
        <v/>
      </c>
      <c r="H2077" t="str">
        <f>IF(原始经营数据!$D2078="","",原始经营数据!$G2078)</f>
        <v/>
      </c>
      <c r="I2077" t="str">
        <f>IF($A2077="","",IF($B2077&lt;&gt;"",$B2077,IF(COUNTIFS(原始经营数据!$D$3:$D$3001,$A2077,原始经营数据!$E$3:$E$3001,"",原始经营数据!$F$3:$F$3001,$C2077,原始经营数据!$H$3:$H$3001,$D2077,原始经营数据!$K$3:$K$3001,$G2077)&gt;1,"基金整体·来源"&amp;原始经营数据!$A2078,"基金整体")))</f>
        <v/>
      </c>
      <c r="J2077" t="str">
        <f t="shared" si="483"/>
        <v/>
      </c>
      <c r="K2077" t="str">
        <f t="shared" si="484"/>
        <v/>
      </c>
      <c r="L2077" t="str">
        <f t="shared" si="485"/>
        <v/>
      </c>
      <c r="M2077">
        <f>IF($A2077="",0,IF(COUNTIF($L$2:$L2077,$L2077)=1,1,0))</f>
        <v>0</v>
      </c>
      <c r="N2077" t="str">
        <f t="shared" si="486"/>
        <v/>
      </c>
      <c r="O2077" t="str">
        <f t="shared" si="487"/>
        <v/>
      </c>
      <c r="P2077">
        <f>IF($A2077="",0,IF(COUNTIF($O$2:$O2077,$O2077)=1,1,0))</f>
        <v>0</v>
      </c>
      <c r="Q2077" t="str">
        <f>IF(AND($P2077=1,$A2077=经营数据!$B$3,$J2077=经营数据!$BA$5),COUNTIFS($P$2:$P$3000,1,$A$2:$A$3000,$A2077,$J$2:$J$3000,$J2077,$N$2:$N$3000,"&lt;"&amp;$N2077)+1,"")</f>
        <v/>
      </c>
      <c r="R2077" t="str">
        <f t="shared" si="488"/>
        <v/>
      </c>
      <c r="S2077">
        <f>IF($A2077="",0,IF(COUNTIF($R$2:$R2077,$R2077)=1,1,0))</f>
        <v>0</v>
      </c>
      <c r="T2077" t="str">
        <f t="shared" si="489"/>
        <v/>
      </c>
      <c r="U2077" t="str">
        <f>IF($A2077="","",IF($A2077=经营数据!$B$3,COUNTIFS($S$2:$S$3000,1,$A$2:$A$3000,$A2077,$T$2:$T$3000,"&lt;"&amp;$T2077)+1,""))</f>
        <v/>
      </c>
      <c r="V2077" t="str">
        <f t="shared" si="490"/>
        <v/>
      </c>
      <c r="W2077" t="str">
        <f t="shared" si="491"/>
        <v/>
      </c>
      <c r="X2077" t="str">
        <f t="shared" si="492"/>
        <v/>
      </c>
      <c r="Y2077" t="str">
        <f t="shared" si="493"/>
        <v/>
      </c>
      <c r="Z2077">
        <f>IF($A2077="",0,IF(AND($M2077=1,$A2077=经营数据!$B$3,$J2077=经营数据!$BA$5,OR($I2077=经营数据!$BA$4,COUNTIF(经营数据!$AA$9:$AA$38,$I2077)&gt;0)),1,0))</f>
        <v>0</v>
      </c>
      <c r="AA2077" t="str">
        <f t="shared" si="494"/>
        <v/>
      </c>
      <c r="AB2077" t="str">
        <f t="shared" si="495"/>
        <v/>
      </c>
      <c r="AC2077">
        <f>IF($A2077="",0,IF(COUNTIF($A$2:$A2077,$A2077)=1,1,0))</f>
        <v>0</v>
      </c>
      <c r="AD2077">
        <f t="shared" si="496"/>
        <v>29</v>
      </c>
      <c r="AE2077" t="str">
        <f t="shared" si="497"/>
        <v/>
      </c>
    </row>
    <row r="2078" spans="1:31" x14ac:dyDescent="0.4">
      <c r="A2078" t="str">
        <f>IF(原始经营数据!$D2079="","",原始经营数据!$D2079)</f>
        <v/>
      </c>
      <c r="B2078" t="str">
        <f>IF(原始经营数据!$D2079="","",T(原始经营数据!$E2079))</f>
        <v/>
      </c>
      <c r="C2078" t="str">
        <f>IF(原始经营数据!$D2079="","",原始经营数据!$F2079)</f>
        <v/>
      </c>
      <c r="D2078" t="str">
        <f>IF(原始经营数据!$D2079="","",原始经营数据!$H2079)</f>
        <v/>
      </c>
      <c r="E2078" t="str">
        <f>IF(原始经营数据!$D2079="","",原始经营数据!$I2079)</f>
        <v/>
      </c>
      <c r="F2078" t="str">
        <f>IF(原始经营数据!$D2079="","",T(原始经营数据!$J2079))</f>
        <v/>
      </c>
      <c r="G2078" t="str">
        <f>IF(原始经营数据!$D2079="","",T(原始经营数据!$K2079))</f>
        <v/>
      </c>
      <c r="H2078" t="str">
        <f>IF(原始经营数据!$D2079="","",原始经营数据!$G2079)</f>
        <v/>
      </c>
      <c r="I2078" t="str">
        <f>IF($A2078="","",IF($B2078&lt;&gt;"",$B2078,IF(COUNTIFS(原始经营数据!$D$3:$D$3001,$A2078,原始经营数据!$E$3:$E$3001,"",原始经营数据!$F$3:$F$3001,$C2078,原始经营数据!$H$3:$H$3001,$D2078,原始经营数据!$K$3:$K$3001,$G2078)&gt;1,"基金整体·来源"&amp;原始经营数据!$A2079,"基金整体")))</f>
        <v/>
      </c>
      <c r="J2078" t="str">
        <f t="shared" si="483"/>
        <v/>
      </c>
      <c r="K2078" t="str">
        <f t="shared" si="484"/>
        <v/>
      </c>
      <c r="L2078" t="str">
        <f t="shared" si="485"/>
        <v/>
      </c>
      <c r="M2078">
        <f>IF($A2078="",0,IF(COUNTIF($L$2:$L2078,$L2078)=1,1,0))</f>
        <v>0</v>
      </c>
      <c r="N2078" t="str">
        <f t="shared" si="486"/>
        <v/>
      </c>
      <c r="O2078" t="str">
        <f t="shared" si="487"/>
        <v/>
      </c>
      <c r="P2078">
        <f>IF($A2078="",0,IF(COUNTIF($O$2:$O2078,$O2078)=1,1,0))</f>
        <v>0</v>
      </c>
      <c r="Q2078" t="str">
        <f>IF(AND($P2078=1,$A2078=经营数据!$B$3,$J2078=经营数据!$BA$5),COUNTIFS($P$2:$P$3000,1,$A$2:$A$3000,$A2078,$J$2:$J$3000,$J2078,$N$2:$N$3000,"&lt;"&amp;$N2078)+1,"")</f>
        <v/>
      </c>
      <c r="R2078" t="str">
        <f t="shared" si="488"/>
        <v/>
      </c>
      <c r="S2078">
        <f>IF($A2078="",0,IF(COUNTIF($R$2:$R2078,$R2078)=1,1,0))</f>
        <v>0</v>
      </c>
      <c r="T2078" t="str">
        <f t="shared" si="489"/>
        <v/>
      </c>
      <c r="U2078" t="str">
        <f>IF($A2078="","",IF($A2078=经营数据!$B$3,COUNTIFS($S$2:$S$3000,1,$A$2:$A$3000,$A2078,$T$2:$T$3000,"&lt;"&amp;$T2078)+1,""))</f>
        <v/>
      </c>
      <c r="V2078" t="str">
        <f t="shared" si="490"/>
        <v/>
      </c>
      <c r="W2078" t="str">
        <f t="shared" si="491"/>
        <v/>
      </c>
      <c r="X2078" t="str">
        <f t="shared" si="492"/>
        <v/>
      </c>
      <c r="Y2078" t="str">
        <f t="shared" si="493"/>
        <v/>
      </c>
      <c r="Z2078">
        <f>IF($A2078="",0,IF(AND($M2078=1,$A2078=经营数据!$B$3,$J2078=经营数据!$BA$5,OR($I2078=经营数据!$BA$4,COUNTIF(经营数据!$AA$9:$AA$38,$I2078)&gt;0)),1,0))</f>
        <v>0</v>
      </c>
      <c r="AA2078" t="str">
        <f t="shared" si="494"/>
        <v/>
      </c>
      <c r="AB2078" t="str">
        <f t="shared" si="495"/>
        <v/>
      </c>
      <c r="AC2078">
        <f>IF($A2078="",0,IF(COUNTIF($A$2:$A2078,$A2078)=1,1,0))</f>
        <v>0</v>
      </c>
      <c r="AD2078">
        <f t="shared" si="496"/>
        <v>29</v>
      </c>
      <c r="AE2078" t="str">
        <f t="shared" si="497"/>
        <v/>
      </c>
    </row>
    <row r="2079" spans="1:31" x14ac:dyDescent="0.4">
      <c r="A2079" t="str">
        <f>IF(原始经营数据!$D2080="","",原始经营数据!$D2080)</f>
        <v/>
      </c>
      <c r="B2079" t="str">
        <f>IF(原始经营数据!$D2080="","",T(原始经营数据!$E2080))</f>
        <v/>
      </c>
      <c r="C2079" t="str">
        <f>IF(原始经营数据!$D2080="","",原始经营数据!$F2080)</f>
        <v/>
      </c>
      <c r="D2079" t="str">
        <f>IF(原始经营数据!$D2080="","",原始经营数据!$H2080)</f>
        <v/>
      </c>
      <c r="E2079" t="str">
        <f>IF(原始经营数据!$D2080="","",原始经营数据!$I2080)</f>
        <v/>
      </c>
      <c r="F2079" t="str">
        <f>IF(原始经营数据!$D2080="","",T(原始经营数据!$J2080))</f>
        <v/>
      </c>
      <c r="G2079" t="str">
        <f>IF(原始经营数据!$D2080="","",T(原始经营数据!$K2080))</f>
        <v/>
      </c>
      <c r="H2079" t="str">
        <f>IF(原始经营数据!$D2080="","",原始经营数据!$G2080)</f>
        <v/>
      </c>
      <c r="I2079" t="str">
        <f>IF($A2079="","",IF($B2079&lt;&gt;"",$B2079,IF(COUNTIFS(原始经营数据!$D$3:$D$3001,$A2079,原始经营数据!$E$3:$E$3001,"",原始经营数据!$F$3:$F$3001,$C2079,原始经营数据!$H$3:$H$3001,$D2079,原始经营数据!$K$3:$K$3001,$G2079)&gt;1,"基金整体·来源"&amp;原始经营数据!$A2080,"基金整体")))</f>
        <v/>
      </c>
      <c r="J2079" t="str">
        <f t="shared" si="483"/>
        <v/>
      </c>
      <c r="K2079" t="str">
        <f t="shared" si="484"/>
        <v/>
      </c>
      <c r="L2079" t="str">
        <f t="shared" si="485"/>
        <v/>
      </c>
      <c r="M2079">
        <f>IF($A2079="",0,IF(COUNTIF($L$2:$L2079,$L2079)=1,1,0))</f>
        <v>0</v>
      </c>
      <c r="N2079" t="str">
        <f t="shared" si="486"/>
        <v/>
      </c>
      <c r="O2079" t="str">
        <f t="shared" si="487"/>
        <v/>
      </c>
      <c r="P2079">
        <f>IF($A2079="",0,IF(COUNTIF($O$2:$O2079,$O2079)=1,1,0))</f>
        <v>0</v>
      </c>
      <c r="Q2079" t="str">
        <f>IF(AND($P2079=1,$A2079=经营数据!$B$3,$J2079=经营数据!$BA$5),COUNTIFS($P$2:$P$3000,1,$A$2:$A$3000,$A2079,$J$2:$J$3000,$J2079,$N$2:$N$3000,"&lt;"&amp;$N2079)+1,"")</f>
        <v/>
      </c>
      <c r="R2079" t="str">
        <f t="shared" si="488"/>
        <v/>
      </c>
      <c r="S2079">
        <f>IF($A2079="",0,IF(COUNTIF($R$2:$R2079,$R2079)=1,1,0))</f>
        <v>0</v>
      </c>
      <c r="T2079" t="str">
        <f t="shared" si="489"/>
        <v/>
      </c>
      <c r="U2079" t="str">
        <f>IF($A2079="","",IF($A2079=经营数据!$B$3,COUNTIFS($S$2:$S$3000,1,$A$2:$A$3000,$A2079,$T$2:$T$3000,"&lt;"&amp;$T2079)+1,""))</f>
        <v/>
      </c>
      <c r="V2079" t="str">
        <f t="shared" si="490"/>
        <v/>
      </c>
      <c r="W2079" t="str">
        <f t="shared" si="491"/>
        <v/>
      </c>
      <c r="X2079" t="str">
        <f t="shared" si="492"/>
        <v/>
      </c>
      <c r="Y2079" t="str">
        <f t="shared" si="493"/>
        <v/>
      </c>
      <c r="Z2079">
        <f>IF($A2079="",0,IF(AND($M2079=1,$A2079=经营数据!$B$3,$J2079=经营数据!$BA$5,OR($I2079=经营数据!$BA$4,COUNTIF(经营数据!$AA$9:$AA$38,$I2079)&gt;0)),1,0))</f>
        <v>0</v>
      </c>
      <c r="AA2079" t="str">
        <f t="shared" si="494"/>
        <v/>
      </c>
      <c r="AB2079" t="str">
        <f t="shared" si="495"/>
        <v/>
      </c>
      <c r="AC2079">
        <f>IF($A2079="",0,IF(COUNTIF($A$2:$A2079,$A2079)=1,1,0))</f>
        <v>0</v>
      </c>
      <c r="AD2079">
        <f t="shared" si="496"/>
        <v>29</v>
      </c>
      <c r="AE2079" t="str">
        <f t="shared" si="497"/>
        <v/>
      </c>
    </row>
    <row r="2080" spans="1:31" x14ac:dyDescent="0.4">
      <c r="A2080" t="str">
        <f>IF(原始经营数据!$D2081="","",原始经营数据!$D2081)</f>
        <v/>
      </c>
      <c r="B2080" t="str">
        <f>IF(原始经营数据!$D2081="","",T(原始经营数据!$E2081))</f>
        <v/>
      </c>
      <c r="C2080" t="str">
        <f>IF(原始经营数据!$D2081="","",原始经营数据!$F2081)</f>
        <v/>
      </c>
      <c r="D2080" t="str">
        <f>IF(原始经营数据!$D2081="","",原始经营数据!$H2081)</f>
        <v/>
      </c>
      <c r="E2080" t="str">
        <f>IF(原始经营数据!$D2081="","",原始经营数据!$I2081)</f>
        <v/>
      </c>
      <c r="F2080" t="str">
        <f>IF(原始经营数据!$D2081="","",T(原始经营数据!$J2081))</f>
        <v/>
      </c>
      <c r="G2080" t="str">
        <f>IF(原始经营数据!$D2081="","",T(原始经营数据!$K2081))</f>
        <v/>
      </c>
      <c r="H2080" t="str">
        <f>IF(原始经营数据!$D2081="","",原始经营数据!$G2081)</f>
        <v/>
      </c>
      <c r="I2080" t="str">
        <f>IF($A2080="","",IF($B2080&lt;&gt;"",$B2080,IF(COUNTIFS(原始经营数据!$D$3:$D$3001,$A2080,原始经营数据!$E$3:$E$3001,"",原始经营数据!$F$3:$F$3001,$C2080,原始经营数据!$H$3:$H$3001,$D2080,原始经营数据!$K$3:$K$3001,$G2080)&gt;1,"基金整体·来源"&amp;原始经营数据!$A2081,"基金整体")))</f>
        <v/>
      </c>
      <c r="J2080" t="str">
        <f t="shared" si="483"/>
        <v/>
      </c>
      <c r="K2080" t="str">
        <f t="shared" si="484"/>
        <v/>
      </c>
      <c r="L2080" t="str">
        <f t="shared" si="485"/>
        <v/>
      </c>
      <c r="M2080">
        <f>IF($A2080="",0,IF(COUNTIF($L$2:$L2080,$L2080)=1,1,0))</f>
        <v>0</v>
      </c>
      <c r="N2080" t="str">
        <f t="shared" si="486"/>
        <v/>
      </c>
      <c r="O2080" t="str">
        <f t="shared" si="487"/>
        <v/>
      </c>
      <c r="P2080">
        <f>IF($A2080="",0,IF(COUNTIF($O$2:$O2080,$O2080)=1,1,0))</f>
        <v>0</v>
      </c>
      <c r="Q2080" t="str">
        <f>IF(AND($P2080=1,$A2080=经营数据!$B$3,$J2080=经营数据!$BA$5),COUNTIFS($P$2:$P$3000,1,$A$2:$A$3000,$A2080,$J$2:$J$3000,$J2080,$N$2:$N$3000,"&lt;"&amp;$N2080)+1,"")</f>
        <v/>
      </c>
      <c r="R2080" t="str">
        <f t="shared" si="488"/>
        <v/>
      </c>
      <c r="S2080">
        <f>IF($A2080="",0,IF(COUNTIF($R$2:$R2080,$R2080)=1,1,0))</f>
        <v>0</v>
      </c>
      <c r="T2080" t="str">
        <f t="shared" si="489"/>
        <v/>
      </c>
      <c r="U2080" t="str">
        <f>IF($A2080="","",IF($A2080=经营数据!$B$3,COUNTIFS($S$2:$S$3000,1,$A$2:$A$3000,$A2080,$T$2:$T$3000,"&lt;"&amp;$T2080)+1,""))</f>
        <v/>
      </c>
      <c r="V2080" t="str">
        <f t="shared" si="490"/>
        <v/>
      </c>
      <c r="W2080" t="str">
        <f t="shared" si="491"/>
        <v/>
      </c>
      <c r="X2080" t="str">
        <f t="shared" si="492"/>
        <v/>
      </c>
      <c r="Y2080" t="str">
        <f t="shared" si="493"/>
        <v/>
      </c>
      <c r="Z2080">
        <f>IF($A2080="",0,IF(AND($M2080=1,$A2080=经营数据!$B$3,$J2080=经营数据!$BA$5,OR($I2080=经营数据!$BA$4,COUNTIF(经营数据!$AA$9:$AA$38,$I2080)&gt;0)),1,0))</f>
        <v>0</v>
      </c>
      <c r="AA2080" t="str">
        <f t="shared" si="494"/>
        <v/>
      </c>
      <c r="AB2080" t="str">
        <f t="shared" si="495"/>
        <v/>
      </c>
      <c r="AC2080">
        <f>IF($A2080="",0,IF(COUNTIF($A$2:$A2080,$A2080)=1,1,0))</f>
        <v>0</v>
      </c>
      <c r="AD2080">
        <f t="shared" si="496"/>
        <v>29</v>
      </c>
      <c r="AE2080" t="str">
        <f t="shared" si="497"/>
        <v/>
      </c>
    </row>
    <row r="2081" spans="1:31" x14ac:dyDescent="0.4">
      <c r="A2081" t="str">
        <f>IF(原始经营数据!$D2082="","",原始经营数据!$D2082)</f>
        <v/>
      </c>
      <c r="B2081" t="str">
        <f>IF(原始经营数据!$D2082="","",T(原始经营数据!$E2082))</f>
        <v/>
      </c>
      <c r="C2081" t="str">
        <f>IF(原始经营数据!$D2082="","",原始经营数据!$F2082)</f>
        <v/>
      </c>
      <c r="D2081" t="str">
        <f>IF(原始经营数据!$D2082="","",原始经营数据!$H2082)</f>
        <v/>
      </c>
      <c r="E2081" t="str">
        <f>IF(原始经营数据!$D2082="","",原始经营数据!$I2082)</f>
        <v/>
      </c>
      <c r="F2081" t="str">
        <f>IF(原始经营数据!$D2082="","",T(原始经营数据!$J2082))</f>
        <v/>
      </c>
      <c r="G2081" t="str">
        <f>IF(原始经营数据!$D2082="","",T(原始经营数据!$K2082))</f>
        <v/>
      </c>
      <c r="H2081" t="str">
        <f>IF(原始经营数据!$D2082="","",原始经营数据!$G2082)</f>
        <v/>
      </c>
      <c r="I2081" t="str">
        <f>IF($A2081="","",IF($B2081&lt;&gt;"",$B2081,IF(COUNTIFS(原始经营数据!$D$3:$D$3001,$A2081,原始经营数据!$E$3:$E$3001,"",原始经营数据!$F$3:$F$3001,$C2081,原始经营数据!$H$3:$H$3001,$D2081,原始经营数据!$K$3:$K$3001,$G2081)&gt;1,"基金整体·来源"&amp;原始经营数据!$A2082,"基金整体")))</f>
        <v/>
      </c>
      <c r="J2081" t="str">
        <f t="shared" si="483"/>
        <v/>
      </c>
      <c r="K2081" t="str">
        <f t="shared" si="484"/>
        <v/>
      </c>
      <c r="L2081" t="str">
        <f t="shared" si="485"/>
        <v/>
      </c>
      <c r="M2081">
        <f>IF($A2081="",0,IF(COUNTIF($L$2:$L2081,$L2081)=1,1,0))</f>
        <v>0</v>
      </c>
      <c r="N2081" t="str">
        <f t="shared" si="486"/>
        <v/>
      </c>
      <c r="O2081" t="str">
        <f t="shared" si="487"/>
        <v/>
      </c>
      <c r="P2081">
        <f>IF($A2081="",0,IF(COUNTIF($O$2:$O2081,$O2081)=1,1,0))</f>
        <v>0</v>
      </c>
      <c r="Q2081" t="str">
        <f>IF(AND($P2081=1,$A2081=经营数据!$B$3,$J2081=经营数据!$BA$5),COUNTIFS($P$2:$P$3000,1,$A$2:$A$3000,$A2081,$J$2:$J$3000,$J2081,$N$2:$N$3000,"&lt;"&amp;$N2081)+1,"")</f>
        <v/>
      </c>
      <c r="R2081" t="str">
        <f t="shared" si="488"/>
        <v/>
      </c>
      <c r="S2081">
        <f>IF($A2081="",0,IF(COUNTIF($R$2:$R2081,$R2081)=1,1,0))</f>
        <v>0</v>
      </c>
      <c r="T2081" t="str">
        <f t="shared" si="489"/>
        <v/>
      </c>
      <c r="U2081" t="str">
        <f>IF($A2081="","",IF($A2081=经营数据!$B$3,COUNTIFS($S$2:$S$3000,1,$A$2:$A$3000,$A2081,$T$2:$T$3000,"&lt;"&amp;$T2081)+1,""))</f>
        <v/>
      </c>
      <c r="V2081" t="str">
        <f t="shared" si="490"/>
        <v/>
      </c>
      <c r="W2081" t="str">
        <f t="shared" si="491"/>
        <v/>
      </c>
      <c r="X2081" t="str">
        <f t="shared" si="492"/>
        <v/>
      </c>
      <c r="Y2081" t="str">
        <f t="shared" si="493"/>
        <v/>
      </c>
      <c r="Z2081">
        <f>IF($A2081="",0,IF(AND($M2081=1,$A2081=经营数据!$B$3,$J2081=经营数据!$BA$5,OR($I2081=经营数据!$BA$4,COUNTIF(经营数据!$AA$9:$AA$38,$I2081)&gt;0)),1,0))</f>
        <v>0</v>
      </c>
      <c r="AA2081" t="str">
        <f t="shared" si="494"/>
        <v/>
      </c>
      <c r="AB2081" t="str">
        <f t="shared" si="495"/>
        <v/>
      </c>
      <c r="AC2081">
        <f>IF($A2081="",0,IF(COUNTIF($A$2:$A2081,$A2081)=1,1,0))</f>
        <v>0</v>
      </c>
      <c r="AD2081">
        <f t="shared" si="496"/>
        <v>29</v>
      </c>
      <c r="AE2081" t="str">
        <f t="shared" si="497"/>
        <v/>
      </c>
    </row>
    <row r="2082" spans="1:31" x14ac:dyDescent="0.4">
      <c r="A2082" t="str">
        <f>IF(原始经营数据!$D2083="","",原始经营数据!$D2083)</f>
        <v/>
      </c>
      <c r="B2082" t="str">
        <f>IF(原始经营数据!$D2083="","",T(原始经营数据!$E2083))</f>
        <v/>
      </c>
      <c r="C2082" t="str">
        <f>IF(原始经营数据!$D2083="","",原始经营数据!$F2083)</f>
        <v/>
      </c>
      <c r="D2082" t="str">
        <f>IF(原始经营数据!$D2083="","",原始经营数据!$H2083)</f>
        <v/>
      </c>
      <c r="E2082" t="str">
        <f>IF(原始经营数据!$D2083="","",原始经营数据!$I2083)</f>
        <v/>
      </c>
      <c r="F2082" t="str">
        <f>IF(原始经营数据!$D2083="","",T(原始经营数据!$J2083))</f>
        <v/>
      </c>
      <c r="G2082" t="str">
        <f>IF(原始经营数据!$D2083="","",T(原始经营数据!$K2083))</f>
        <v/>
      </c>
      <c r="H2082" t="str">
        <f>IF(原始经营数据!$D2083="","",原始经营数据!$G2083)</f>
        <v/>
      </c>
      <c r="I2082" t="str">
        <f>IF($A2082="","",IF($B2082&lt;&gt;"",$B2082,IF(COUNTIFS(原始经营数据!$D$3:$D$3001,$A2082,原始经营数据!$E$3:$E$3001,"",原始经营数据!$F$3:$F$3001,$C2082,原始经营数据!$H$3:$H$3001,$D2082,原始经营数据!$K$3:$K$3001,$G2082)&gt;1,"基金整体·来源"&amp;原始经营数据!$A2083,"基金整体")))</f>
        <v/>
      </c>
      <c r="J2082" t="str">
        <f t="shared" si="483"/>
        <v/>
      </c>
      <c r="K2082" t="str">
        <f t="shared" si="484"/>
        <v/>
      </c>
      <c r="L2082" t="str">
        <f t="shared" si="485"/>
        <v/>
      </c>
      <c r="M2082">
        <f>IF($A2082="",0,IF(COUNTIF($L$2:$L2082,$L2082)=1,1,0))</f>
        <v>0</v>
      </c>
      <c r="N2082" t="str">
        <f t="shared" si="486"/>
        <v/>
      </c>
      <c r="O2082" t="str">
        <f t="shared" si="487"/>
        <v/>
      </c>
      <c r="P2082">
        <f>IF($A2082="",0,IF(COUNTIF($O$2:$O2082,$O2082)=1,1,0))</f>
        <v>0</v>
      </c>
      <c r="Q2082" t="str">
        <f>IF(AND($P2082=1,$A2082=经营数据!$B$3,$J2082=经营数据!$BA$5),COUNTIFS($P$2:$P$3000,1,$A$2:$A$3000,$A2082,$J$2:$J$3000,$J2082,$N$2:$N$3000,"&lt;"&amp;$N2082)+1,"")</f>
        <v/>
      </c>
      <c r="R2082" t="str">
        <f t="shared" si="488"/>
        <v/>
      </c>
      <c r="S2082">
        <f>IF($A2082="",0,IF(COUNTIF($R$2:$R2082,$R2082)=1,1,0))</f>
        <v>0</v>
      </c>
      <c r="T2082" t="str">
        <f t="shared" si="489"/>
        <v/>
      </c>
      <c r="U2082" t="str">
        <f>IF($A2082="","",IF($A2082=经营数据!$B$3,COUNTIFS($S$2:$S$3000,1,$A$2:$A$3000,$A2082,$T$2:$T$3000,"&lt;"&amp;$T2082)+1,""))</f>
        <v/>
      </c>
      <c r="V2082" t="str">
        <f t="shared" si="490"/>
        <v/>
      </c>
      <c r="W2082" t="str">
        <f t="shared" si="491"/>
        <v/>
      </c>
      <c r="X2082" t="str">
        <f t="shared" si="492"/>
        <v/>
      </c>
      <c r="Y2082" t="str">
        <f t="shared" si="493"/>
        <v/>
      </c>
      <c r="Z2082">
        <f>IF($A2082="",0,IF(AND($M2082=1,$A2082=经营数据!$B$3,$J2082=经营数据!$BA$5,OR($I2082=经营数据!$BA$4,COUNTIF(经营数据!$AA$9:$AA$38,$I2082)&gt;0)),1,0))</f>
        <v>0</v>
      </c>
      <c r="AA2082" t="str">
        <f t="shared" si="494"/>
        <v/>
      </c>
      <c r="AB2082" t="str">
        <f t="shared" si="495"/>
        <v/>
      </c>
      <c r="AC2082">
        <f>IF($A2082="",0,IF(COUNTIF($A$2:$A2082,$A2082)=1,1,0))</f>
        <v>0</v>
      </c>
      <c r="AD2082">
        <f t="shared" si="496"/>
        <v>29</v>
      </c>
      <c r="AE2082" t="str">
        <f t="shared" si="497"/>
        <v/>
      </c>
    </row>
    <row r="2083" spans="1:31" x14ac:dyDescent="0.4">
      <c r="A2083" t="str">
        <f>IF(原始经营数据!$D2084="","",原始经营数据!$D2084)</f>
        <v/>
      </c>
      <c r="B2083" t="str">
        <f>IF(原始经营数据!$D2084="","",T(原始经营数据!$E2084))</f>
        <v/>
      </c>
      <c r="C2083" t="str">
        <f>IF(原始经营数据!$D2084="","",原始经营数据!$F2084)</f>
        <v/>
      </c>
      <c r="D2083" t="str">
        <f>IF(原始经营数据!$D2084="","",原始经营数据!$H2084)</f>
        <v/>
      </c>
      <c r="E2083" t="str">
        <f>IF(原始经营数据!$D2084="","",原始经营数据!$I2084)</f>
        <v/>
      </c>
      <c r="F2083" t="str">
        <f>IF(原始经营数据!$D2084="","",T(原始经营数据!$J2084))</f>
        <v/>
      </c>
      <c r="G2083" t="str">
        <f>IF(原始经营数据!$D2084="","",T(原始经营数据!$K2084))</f>
        <v/>
      </c>
      <c r="H2083" t="str">
        <f>IF(原始经营数据!$D2084="","",原始经营数据!$G2084)</f>
        <v/>
      </c>
      <c r="I2083" t="str">
        <f>IF($A2083="","",IF($B2083&lt;&gt;"",$B2083,IF(COUNTIFS(原始经营数据!$D$3:$D$3001,$A2083,原始经营数据!$E$3:$E$3001,"",原始经营数据!$F$3:$F$3001,$C2083,原始经营数据!$H$3:$H$3001,$D2083,原始经营数据!$K$3:$K$3001,$G2083)&gt;1,"基金整体·来源"&amp;原始经营数据!$A2084,"基金整体")))</f>
        <v/>
      </c>
      <c r="J2083" t="str">
        <f t="shared" si="483"/>
        <v/>
      </c>
      <c r="K2083" t="str">
        <f t="shared" si="484"/>
        <v/>
      </c>
      <c r="L2083" t="str">
        <f t="shared" si="485"/>
        <v/>
      </c>
      <c r="M2083">
        <f>IF($A2083="",0,IF(COUNTIF($L$2:$L2083,$L2083)=1,1,0))</f>
        <v>0</v>
      </c>
      <c r="N2083" t="str">
        <f t="shared" si="486"/>
        <v/>
      </c>
      <c r="O2083" t="str">
        <f t="shared" si="487"/>
        <v/>
      </c>
      <c r="P2083">
        <f>IF($A2083="",0,IF(COUNTIF($O$2:$O2083,$O2083)=1,1,0))</f>
        <v>0</v>
      </c>
      <c r="Q2083" t="str">
        <f>IF(AND($P2083=1,$A2083=经营数据!$B$3,$J2083=经营数据!$BA$5),COUNTIFS($P$2:$P$3000,1,$A$2:$A$3000,$A2083,$J$2:$J$3000,$J2083,$N$2:$N$3000,"&lt;"&amp;$N2083)+1,"")</f>
        <v/>
      </c>
      <c r="R2083" t="str">
        <f t="shared" si="488"/>
        <v/>
      </c>
      <c r="S2083">
        <f>IF($A2083="",0,IF(COUNTIF($R$2:$R2083,$R2083)=1,1,0))</f>
        <v>0</v>
      </c>
      <c r="T2083" t="str">
        <f t="shared" si="489"/>
        <v/>
      </c>
      <c r="U2083" t="str">
        <f>IF($A2083="","",IF($A2083=经营数据!$B$3,COUNTIFS($S$2:$S$3000,1,$A$2:$A$3000,$A2083,$T$2:$T$3000,"&lt;"&amp;$T2083)+1,""))</f>
        <v/>
      </c>
      <c r="V2083" t="str">
        <f t="shared" si="490"/>
        <v/>
      </c>
      <c r="W2083" t="str">
        <f t="shared" si="491"/>
        <v/>
      </c>
      <c r="X2083" t="str">
        <f t="shared" si="492"/>
        <v/>
      </c>
      <c r="Y2083" t="str">
        <f t="shared" si="493"/>
        <v/>
      </c>
      <c r="Z2083">
        <f>IF($A2083="",0,IF(AND($M2083=1,$A2083=经营数据!$B$3,$J2083=经营数据!$BA$5,OR($I2083=经营数据!$BA$4,COUNTIF(经营数据!$AA$9:$AA$38,$I2083)&gt;0)),1,0))</f>
        <v>0</v>
      </c>
      <c r="AA2083" t="str">
        <f t="shared" si="494"/>
        <v/>
      </c>
      <c r="AB2083" t="str">
        <f t="shared" si="495"/>
        <v/>
      </c>
      <c r="AC2083">
        <f>IF($A2083="",0,IF(COUNTIF($A$2:$A2083,$A2083)=1,1,0))</f>
        <v>0</v>
      </c>
      <c r="AD2083">
        <f t="shared" si="496"/>
        <v>29</v>
      </c>
      <c r="AE2083" t="str">
        <f t="shared" si="497"/>
        <v/>
      </c>
    </row>
    <row r="2084" spans="1:31" x14ac:dyDescent="0.4">
      <c r="A2084" t="str">
        <f>IF(原始经营数据!$D2085="","",原始经营数据!$D2085)</f>
        <v/>
      </c>
      <c r="B2084" t="str">
        <f>IF(原始经营数据!$D2085="","",T(原始经营数据!$E2085))</f>
        <v/>
      </c>
      <c r="C2084" t="str">
        <f>IF(原始经营数据!$D2085="","",原始经营数据!$F2085)</f>
        <v/>
      </c>
      <c r="D2084" t="str">
        <f>IF(原始经营数据!$D2085="","",原始经营数据!$H2085)</f>
        <v/>
      </c>
      <c r="E2084" t="str">
        <f>IF(原始经营数据!$D2085="","",原始经营数据!$I2085)</f>
        <v/>
      </c>
      <c r="F2084" t="str">
        <f>IF(原始经营数据!$D2085="","",T(原始经营数据!$J2085))</f>
        <v/>
      </c>
      <c r="G2084" t="str">
        <f>IF(原始经营数据!$D2085="","",T(原始经营数据!$K2085))</f>
        <v/>
      </c>
      <c r="H2084" t="str">
        <f>IF(原始经营数据!$D2085="","",原始经营数据!$G2085)</f>
        <v/>
      </c>
      <c r="I2084" t="str">
        <f>IF($A2084="","",IF($B2084&lt;&gt;"",$B2084,IF(COUNTIFS(原始经营数据!$D$3:$D$3001,$A2084,原始经营数据!$E$3:$E$3001,"",原始经营数据!$F$3:$F$3001,$C2084,原始经营数据!$H$3:$H$3001,$D2084,原始经营数据!$K$3:$K$3001,$G2084)&gt;1,"基金整体·来源"&amp;原始经营数据!$A2085,"基金整体")))</f>
        <v/>
      </c>
      <c r="J2084" t="str">
        <f t="shared" si="483"/>
        <v/>
      </c>
      <c r="K2084" t="str">
        <f t="shared" si="484"/>
        <v/>
      </c>
      <c r="L2084" t="str">
        <f t="shared" si="485"/>
        <v/>
      </c>
      <c r="M2084">
        <f>IF($A2084="",0,IF(COUNTIF($L$2:$L2084,$L2084)=1,1,0))</f>
        <v>0</v>
      </c>
      <c r="N2084" t="str">
        <f t="shared" si="486"/>
        <v/>
      </c>
      <c r="O2084" t="str">
        <f t="shared" si="487"/>
        <v/>
      </c>
      <c r="P2084">
        <f>IF($A2084="",0,IF(COUNTIF($O$2:$O2084,$O2084)=1,1,0))</f>
        <v>0</v>
      </c>
      <c r="Q2084" t="str">
        <f>IF(AND($P2084=1,$A2084=经营数据!$B$3,$J2084=经营数据!$BA$5),COUNTIFS($P$2:$P$3000,1,$A$2:$A$3000,$A2084,$J$2:$J$3000,$J2084,$N$2:$N$3000,"&lt;"&amp;$N2084)+1,"")</f>
        <v/>
      </c>
      <c r="R2084" t="str">
        <f t="shared" si="488"/>
        <v/>
      </c>
      <c r="S2084">
        <f>IF($A2084="",0,IF(COUNTIF($R$2:$R2084,$R2084)=1,1,0))</f>
        <v>0</v>
      </c>
      <c r="T2084" t="str">
        <f t="shared" si="489"/>
        <v/>
      </c>
      <c r="U2084" t="str">
        <f>IF($A2084="","",IF($A2084=经营数据!$B$3,COUNTIFS($S$2:$S$3000,1,$A$2:$A$3000,$A2084,$T$2:$T$3000,"&lt;"&amp;$T2084)+1,""))</f>
        <v/>
      </c>
      <c r="V2084" t="str">
        <f t="shared" si="490"/>
        <v/>
      </c>
      <c r="W2084" t="str">
        <f t="shared" si="491"/>
        <v/>
      </c>
      <c r="X2084" t="str">
        <f t="shared" si="492"/>
        <v/>
      </c>
      <c r="Y2084" t="str">
        <f t="shared" si="493"/>
        <v/>
      </c>
      <c r="Z2084">
        <f>IF($A2084="",0,IF(AND($M2084=1,$A2084=经营数据!$B$3,$J2084=经营数据!$BA$5,OR($I2084=经营数据!$BA$4,COUNTIF(经营数据!$AA$9:$AA$38,$I2084)&gt;0)),1,0))</f>
        <v>0</v>
      </c>
      <c r="AA2084" t="str">
        <f t="shared" si="494"/>
        <v/>
      </c>
      <c r="AB2084" t="str">
        <f t="shared" si="495"/>
        <v/>
      </c>
      <c r="AC2084">
        <f>IF($A2084="",0,IF(COUNTIF($A$2:$A2084,$A2084)=1,1,0))</f>
        <v>0</v>
      </c>
      <c r="AD2084">
        <f t="shared" si="496"/>
        <v>29</v>
      </c>
      <c r="AE2084" t="str">
        <f t="shared" si="497"/>
        <v/>
      </c>
    </row>
    <row r="2085" spans="1:31" x14ac:dyDescent="0.4">
      <c r="A2085" t="str">
        <f>IF(原始经营数据!$D2086="","",原始经营数据!$D2086)</f>
        <v/>
      </c>
      <c r="B2085" t="str">
        <f>IF(原始经营数据!$D2086="","",T(原始经营数据!$E2086))</f>
        <v/>
      </c>
      <c r="C2085" t="str">
        <f>IF(原始经营数据!$D2086="","",原始经营数据!$F2086)</f>
        <v/>
      </c>
      <c r="D2085" t="str">
        <f>IF(原始经营数据!$D2086="","",原始经营数据!$H2086)</f>
        <v/>
      </c>
      <c r="E2085" t="str">
        <f>IF(原始经营数据!$D2086="","",原始经营数据!$I2086)</f>
        <v/>
      </c>
      <c r="F2085" t="str">
        <f>IF(原始经营数据!$D2086="","",T(原始经营数据!$J2086))</f>
        <v/>
      </c>
      <c r="G2085" t="str">
        <f>IF(原始经营数据!$D2086="","",T(原始经营数据!$K2086))</f>
        <v/>
      </c>
      <c r="H2085" t="str">
        <f>IF(原始经营数据!$D2086="","",原始经营数据!$G2086)</f>
        <v/>
      </c>
      <c r="I2085" t="str">
        <f>IF($A2085="","",IF($B2085&lt;&gt;"",$B2085,IF(COUNTIFS(原始经营数据!$D$3:$D$3001,$A2085,原始经营数据!$E$3:$E$3001,"",原始经营数据!$F$3:$F$3001,$C2085,原始经营数据!$H$3:$H$3001,$D2085,原始经营数据!$K$3:$K$3001,$G2085)&gt;1,"基金整体·来源"&amp;原始经营数据!$A2086,"基金整体")))</f>
        <v/>
      </c>
      <c r="J2085" t="str">
        <f t="shared" si="483"/>
        <v/>
      </c>
      <c r="K2085" t="str">
        <f t="shared" si="484"/>
        <v/>
      </c>
      <c r="L2085" t="str">
        <f t="shared" si="485"/>
        <v/>
      </c>
      <c r="M2085">
        <f>IF($A2085="",0,IF(COUNTIF($L$2:$L2085,$L2085)=1,1,0))</f>
        <v>0</v>
      </c>
      <c r="N2085" t="str">
        <f t="shared" si="486"/>
        <v/>
      </c>
      <c r="O2085" t="str">
        <f t="shared" si="487"/>
        <v/>
      </c>
      <c r="P2085">
        <f>IF($A2085="",0,IF(COUNTIF($O$2:$O2085,$O2085)=1,1,0))</f>
        <v>0</v>
      </c>
      <c r="Q2085" t="str">
        <f>IF(AND($P2085=1,$A2085=经营数据!$B$3,$J2085=经营数据!$BA$5),COUNTIFS($P$2:$P$3000,1,$A$2:$A$3000,$A2085,$J$2:$J$3000,$J2085,$N$2:$N$3000,"&lt;"&amp;$N2085)+1,"")</f>
        <v/>
      </c>
      <c r="R2085" t="str">
        <f t="shared" si="488"/>
        <v/>
      </c>
      <c r="S2085">
        <f>IF($A2085="",0,IF(COUNTIF($R$2:$R2085,$R2085)=1,1,0))</f>
        <v>0</v>
      </c>
      <c r="T2085" t="str">
        <f t="shared" si="489"/>
        <v/>
      </c>
      <c r="U2085" t="str">
        <f>IF($A2085="","",IF($A2085=经营数据!$B$3,COUNTIFS($S$2:$S$3000,1,$A$2:$A$3000,$A2085,$T$2:$T$3000,"&lt;"&amp;$T2085)+1,""))</f>
        <v/>
      </c>
      <c r="V2085" t="str">
        <f t="shared" si="490"/>
        <v/>
      </c>
      <c r="W2085" t="str">
        <f t="shared" si="491"/>
        <v/>
      </c>
      <c r="X2085" t="str">
        <f t="shared" si="492"/>
        <v/>
      </c>
      <c r="Y2085" t="str">
        <f t="shared" si="493"/>
        <v/>
      </c>
      <c r="Z2085">
        <f>IF($A2085="",0,IF(AND($M2085=1,$A2085=经营数据!$B$3,$J2085=经营数据!$BA$5,OR($I2085=经营数据!$BA$4,COUNTIF(经营数据!$AA$9:$AA$38,$I2085)&gt;0)),1,0))</f>
        <v>0</v>
      </c>
      <c r="AA2085" t="str">
        <f t="shared" si="494"/>
        <v/>
      </c>
      <c r="AB2085" t="str">
        <f t="shared" si="495"/>
        <v/>
      </c>
      <c r="AC2085">
        <f>IF($A2085="",0,IF(COUNTIF($A$2:$A2085,$A2085)=1,1,0))</f>
        <v>0</v>
      </c>
      <c r="AD2085">
        <f t="shared" si="496"/>
        <v>29</v>
      </c>
      <c r="AE2085" t="str">
        <f t="shared" si="497"/>
        <v/>
      </c>
    </row>
    <row r="2086" spans="1:31" x14ac:dyDescent="0.4">
      <c r="A2086" t="str">
        <f>IF(原始经营数据!$D2087="","",原始经营数据!$D2087)</f>
        <v/>
      </c>
      <c r="B2086" t="str">
        <f>IF(原始经营数据!$D2087="","",T(原始经营数据!$E2087))</f>
        <v/>
      </c>
      <c r="C2086" t="str">
        <f>IF(原始经营数据!$D2087="","",原始经营数据!$F2087)</f>
        <v/>
      </c>
      <c r="D2086" t="str">
        <f>IF(原始经营数据!$D2087="","",原始经营数据!$H2087)</f>
        <v/>
      </c>
      <c r="E2086" t="str">
        <f>IF(原始经营数据!$D2087="","",原始经营数据!$I2087)</f>
        <v/>
      </c>
      <c r="F2086" t="str">
        <f>IF(原始经营数据!$D2087="","",T(原始经营数据!$J2087))</f>
        <v/>
      </c>
      <c r="G2086" t="str">
        <f>IF(原始经营数据!$D2087="","",T(原始经营数据!$K2087))</f>
        <v/>
      </c>
      <c r="H2086" t="str">
        <f>IF(原始经营数据!$D2087="","",原始经营数据!$G2087)</f>
        <v/>
      </c>
      <c r="I2086" t="str">
        <f>IF($A2086="","",IF($B2086&lt;&gt;"",$B2086,IF(COUNTIFS(原始经营数据!$D$3:$D$3001,$A2086,原始经营数据!$E$3:$E$3001,"",原始经营数据!$F$3:$F$3001,$C2086,原始经营数据!$H$3:$H$3001,$D2086,原始经营数据!$K$3:$K$3001,$G2086)&gt;1,"基金整体·来源"&amp;原始经营数据!$A2087,"基金整体")))</f>
        <v/>
      </c>
      <c r="J2086" t="str">
        <f t="shared" si="483"/>
        <v/>
      </c>
      <c r="K2086" t="str">
        <f t="shared" si="484"/>
        <v/>
      </c>
      <c r="L2086" t="str">
        <f t="shared" si="485"/>
        <v/>
      </c>
      <c r="M2086">
        <f>IF($A2086="",0,IF(COUNTIF($L$2:$L2086,$L2086)=1,1,0))</f>
        <v>0</v>
      </c>
      <c r="N2086" t="str">
        <f t="shared" si="486"/>
        <v/>
      </c>
      <c r="O2086" t="str">
        <f t="shared" si="487"/>
        <v/>
      </c>
      <c r="P2086">
        <f>IF($A2086="",0,IF(COUNTIF($O$2:$O2086,$O2086)=1,1,0))</f>
        <v>0</v>
      </c>
      <c r="Q2086" t="str">
        <f>IF(AND($P2086=1,$A2086=经营数据!$B$3,$J2086=经营数据!$BA$5),COUNTIFS($P$2:$P$3000,1,$A$2:$A$3000,$A2086,$J$2:$J$3000,$J2086,$N$2:$N$3000,"&lt;"&amp;$N2086)+1,"")</f>
        <v/>
      </c>
      <c r="R2086" t="str">
        <f t="shared" si="488"/>
        <v/>
      </c>
      <c r="S2086">
        <f>IF($A2086="",0,IF(COUNTIF($R$2:$R2086,$R2086)=1,1,0))</f>
        <v>0</v>
      </c>
      <c r="T2086" t="str">
        <f t="shared" si="489"/>
        <v/>
      </c>
      <c r="U2086" t="str">
        <f>IF($A2086="","",IF($A2086=经营数据!$B$3,COUNTIFS($S$2:$S$3000,1,$A$2:$A$3000,$A2086,$T$2:$T$3000,"&lt;"&amp;$T2086)+1,""))</f>
        <v/>
      </c>
      <c r="V2086" t="str">
        <f t="shared" si="490"/>
        <v/>
      </c>
      <c r="W2086" t="str">
        <f t="shared" si="491"/>
        <v/>
      </c>
      <c r="X2086" t="str">
        <f t="shared" si="492"/>
        <v/>
      </c>
      <c r="Y2086" t="str">
        <f t="shared" si="493"/>
        <v/>
      </c>
      <c r="Z2086">
        <f>IF($A2086="",0,IF(AND($M2086=1,$A2086=经营数据!$B$3,$J2086=经营数据!$BA$5,OR($I2086=经营数据!$BA$4,COUNTIF(经营数据!$AA$9:$AA$38,$I2086)&gt;0)),1,0))</f>
        <v>0</v>
      </c>
      <c r="AA2086" t="str">
        <f t="shared" si="494"/>
        <v/>
      </c>
      <c r="AB2086" t="str">
        <f t="shared" si="495"/>
        <v/>
      </c>
      <c r="AC2086">
        <f>IF($A2086="",0,IF(COUNTIF($A$2:$A2086,$A2086)=1,1,0))</f>
        <v>0</v>
      </c>
      <c r="AD2086">
        <f t="shared" si="496"/>
        <v>29</v>
      </c>
      <c r="AE2086" t="str">
        <f t="shared" si="497"/>
        <v/>
      </c>
    </row>
    <row r="2087" spans="1:31" x14ac:dyDescent="0.4">
      <c r="A2087" t="str">
        <f>IF(原始经营数据!$D2088="","",原始经营数据!$D2088)</f>
        <v/>
      </c>
      <c r="B2087" t="str">
        <f>IF(原始经营数据!$D2088="","",T(原始经营数据!$E2088))</f>
        <v/>
      </c>
      <c r="C2087" t="str">
        <f>IF(原始经营数据!$D2088="","",原始经营数据!$F2088)</f>
        <v/>
      </c>
      <c r="D2087" t="str">
        <f>IF(原始经营数据!$D2088="","",原始经营数据!$H2088)</f>
        <v/>
      </c>
      <c r="E2087" t="str">
        <f>IF(原始经营数据!$D2088="","",原始经营数据!$I2088)</f>
        <v/>
      </c>
      <c r="F2087" t="str">
        <f>IF(原始经营数据!$D2088="","",T(原始经营数据!$J2088))</f>
        <v/>
      </c>
      <c r="G2087" t="str">
        <f>IF(原始经营数据!$D2088="","",T(原始经营数据!$K2088))</f>
        <v/>
      </c>
      <c r="H2087" t="str">
        <f>IF(原始经营数据!$D2088="","",原始经营数据!$G2088)</f>
        <v/>
      </c>
      <c r="I2087" t="str">
        <f>IF($A2087="","",IF($B2087&lt;&gt;"",$B2087,IF(COUNTIFS(原始经营数据!$D$3:$D$3001,$A2087,原始经营数据!$E$3:$E$3001,"",原始经营数据!$F$3:$F$3001,$C2087,原始经营数据!$H$3:$H$3001,$D2087,原始经营数据!$K$3:$K$3001,$G2087)&gt;1,"基金整体·来源"&amp;原始经营数据!$A2088,"基金整体")))</f>
        <v/>
      </c>
      <c r="J2087" t="str">
        <f t="shared" si="483"/>
        <v/>
      </c>
      <c r="K2087" t="str">
        <f t="shared" si="484"/>
        <v/>
      </c>
      <c r="L2087" t="str">
        <f t="shared" si="485"/>
        <v/>
      </c>
      <c r="M2087">
        <f>IF($A2087="",0,IF(COUNTIF($L$2:$L2087,$L2087)=1,1,0))</f>
        <v>0</v>
      </c>
      <c r="N2087" t="str">
        <f t="shared" si="486"/>
        <v/>
      </c>
      <c r="O2087" t="str">
        <f t="shared" si="487"/>
        <v/>
      </c>
      <c r="P2087">
        <f>IF($A2087="",0,IF(COUNTIF($O$2:$O2087,$O2087)=1,1,0))</f>
        <v>0</v>
      </c>
      <c r="Q2087" t="str">
        <f>IF(AND($P2087=1,$A2087=经营数据!$B$3,$J2087=经营数据!$BA$5),COUNTIFS($P$2:$P$3000,1,$A$2:$A$3000,$A2087,$J$2:$J$3000,$J2087,$N$2:$N$3000,"&lt;"&amp;$N2087)+1,"")</f>
        <v/>
      </c>
      <c r="R2087" t="str">
        <f t="shared" si="488"/>
        <v/>
      </c>
      <c r="S2087">
        <f>IF($A2087="",0,IF(COUNTIF($R$2:$R2087,$R2087)=1,1,0))</f>
        <v>0</v>
      </c>
      <c r="T2087" t="str">
        <f t="shared" si="489"/>
        <v/>
      </c>
      <c r="U2087" t="str">
        <f>IF($A2087="","",IF($A2087=经营数据!$B$3,COUNTIFS($S$2:$S$3000,1,$A$2:$A$3000,$A2087,$T$2:$T$3000,"&lt;"&amp;$T2087)+1,""))</f>
        <v/>
      </c>
      <c r="V2087" t="str">
        <f t="shared" si="490"/>
        <v/>
      </c>
      <c r="W2087" t="str">
        <f t="shared" si="491"/>
        <v/>
      </c>
      <c r="X2087" t="str">
        <f t="shared" si="492"/>
        <v/>
      </c>
      <c r="Y2087" t="str">
        <f t="shared" si="493"/>
        <v/>
      </c>
      <c r="Z2087">
        <f>IF($A2087="",0,IF(AND($M2087=1,$A2087=经营数据!$B$3,$J2087=经营数据!$BA$5,OR($I2087=经营数据!$BA$4,COUNTIF(经营数据!$AA$9:$AA$38,$I2087)&gt;0)),1,0))</f>
        <v>0</v>
      </c>
      <c r="AA2087" t="str">
        <f t="shared" si="494"/>
        <v/>
      </c>
      <c r="AB2087" t="str">
        <f t="shared" si="495"/>
        <v/>
      </c>
      <c r="AC2087">
        <f>IF($A2087="",0,IF(COUNTIF($A$2:$A2087,$A2087)=1,1,0))</f>
        <v>0</v>
      </c>
      <c r="AD2087">
        <f t="shared" si="496"/>
        <v>29</v>
      </c>
      <c r="AE2087" t="str">
        <f t="shared" si="497"/>
        <v/>
      </c>
    </row>
    <row r="2088" spans="1:31" x14ac:dyDescent="0.4">
      <c r="A2088" t="str">
        <f>IF(原始经营数据!$D2089="","",原始经营数据!$D2089)</f>
        <v/>
      </c>
      <c r="B2088" t="str">
        <f>IF(原始经营数据!$D2089="","",T(原始经营数据!$E2089))</f>
        <v/>
      </c>
      <c r="C2088" t="str">
        <f>IF(原始经营数据!$D2089="","",原始经营数据!$F2089)</f>
        <v/>
      </c>
      <c r="D2088" t="str">
        <f>IF(原始经营数据!$D2089="","",原始经营数据!$H2089)</f>
        <v/>
      </c>
      <c r="E2088" t="str">
        <f>IF(原始经营数据!$D2089="","",原始经营数据!$I2089)</f>
        <v/>
      </c>
      <c r="F2088" t="str">
        <f>IF(原始经营数据!$D2089="","",T(原始经营数据!$J2089))</f>
        <v/>
      </c>
      <c r="G2088" t="str">
        <f>IF(原始经营数据!$D2089="","",T(原始经营数据!$K2089))</f>
        <v/>
      </c>
      <c r="H2088" t="str">
        <f>IF(原始经营数据!$D2089="","",原始经营数据!$G2089)</f>
        <v/>
      </c>
      <c r="I2088" t="str">
        <f>IF($A2088="","",IF($B2088&lt;&gt;"",$B2088,IF(COUNTIFS(原始经营数据!$D$3:$D$3001,$A2088,原始经营数据!$E$3:$E$3001,"",原始经营数据!$F$3:$F$3001,$C2088,原始经营数据!$H$3:$H$3001,$D2088,原始经营数据!$K$3:$K$3001,$G2088)&gt;1,"基金整体·来源"&amp;原始经营数据!$A2089,"基金整体")))</f>
        <v/>
      </c>
      <c r="J2088" t="str">
        <f t="shared" si="483"/>
        <v/>
      </c>
      <c r="K2088" t="str">
        <f t="shared" si="484"/>
        <v/>
      </c>
      <c r="L2088" t="str">
        <f t="shared" si="485"/>
        <v/>
      </c>
      <c r="M2088">
        <f>IF($A2088="",0,IF(COUNTIF($L$2:$L2088,$L2088)=1,1,0))</f>
        <v>0</v>
      </c>
      <c r="N2088" t="str">
        <f t="shared" si="486"/>
        <v/>
      </c>
      <c r="O2088" t="str">
        <f t="shared" si="487"/>
        <v/>
      </c>
      <c r="P2088">
        <f>IF($A2088="",0,IF(COUNTIF($O$2:$O2088,$O2088)=1,1,0))</f>
        <v>0</v>
      </c>
      <c r="Q2088" t="str">
        <f>IF(AND($P2088=1,$A2088=经营数据!$B$3,$J2088=经营数据!$BA$5),COUNTIFS($P$2:$P$3000,1,$A$2:$A$3000,$A2088,$J$2:$J$3000,$J2088,$N$2:$N$3000,"&lt;"&amp;$N2088)+1,"")</f>
        <v/>
      </c>
      <c r="R2088" t="str">
        <f t="shared" si="488"/>
        <v/>
      </c>
      <c r="S2088">
        <f>IF($A2088="",0,IF(COUNTIF($R$2:$R2088,$R2088)=1,1,0))</f>
        <v>0</v>
      </c>
      <c r="T2088" t="str">
        <f t="shared" si="489"/>
        <v/>
      </c>
      <c r="U2088" t="str">
        <f>IF($A2088="","",IF($A2088=经营数据!$B$3,COUNTIFS($S$2:$S$3000,1,$A$2:$A$3000,$A2088,$T$2:$T$3000,"&lt;"&amp;$T2088)+1,""))</f>
        <v/>
      </c>
      <c r="V2088" t="str">
        <f t="shared" si="490"/>
        <v/>
      </c>
      <c r="W2088" t="str">
        <f t="shared" si="491"/>
        <v/>
      </c>
      <c r="X2088" t="str">
        <f t="shared" si="492"/>
        <v/>
      </c>
      <c r="Y2088" t="str">
        <f t="shared" si="493"/>
        <v/>
      </c>
      <c r="Z2088">
        <f>IF($A2088="",0,IF(AND($M2088=1,$A2088=经营数据!$B$3,$J2088=经营数据!$BA$5,OR($I2088=经营数据!$BA$4,COUNTIF(经营数据!$AA$9:$AA$38,$I2088)&gt;0)),1,0))</f>
        <v>0</v>
      </c>
      <c r="AA2088" t="str">
        <f t="shared" si="494"/>
        <v/>
      </c>
      <c r="AB2088" t="str">
        <f t="shared" si="495"/>
        <v/>
      </c>
      <c r="AC2088">
        <f>IF($A2088="",0,IF(COUNTIF($A$2:$A2088,$A2088)=1,1,0))</f>
        <v>0</v>
      </c>
      <c r="AD2088">
        <f t="shared" si="496"/>
        <v>29</v>
      </c>
      <c r="AE2088" t="str">
        <f t="shared" si="497"/>
        <v/>
      </c>
    </row>
    <row r="2089" spans="1:31" x14ac:dyDescent="0.4">
      <c r="A2089" t="str">
        <f>IF(原始经营数据!$D2090="","",原始经营数据!$D2090)</f>
        <v/>
      </c>
      <c r="B2089" t="str">
        <f>IF(原始经营数据!$D2090="","",T(原始经营数据!$E2090))</f>
        <v/>
      </c>
      <c r="C2089" t="str">
        <f>IF(原始经营数据!$D2090="","",原始经营数据!$F2090)</f>
        <v/>
      </c>
      <c r="D2089" t="str">
        <f>IF(原始经营数据!$D2090="","",原始经营数据!$H2090)</f>
        <v/>
      </c>
      <c r="E2089" t="str">
        <f>IF(原始经营数据!$D2090="","",原始经营数据!$I2090)</f>
        <v/>
      </c>
      <c r="F2089" t="str">
        <f>IF(原始经营数据!$D2090="","",T(原始经营数据!$J2090))</f>
        <v/>
      </c>
      <c r="G2089" t="str">
        <f>IF(原始经营数据!$D2090="","",T(原始经营数据!$K2090))</f>
        <v/>
      </c>
      <c r="H2089" t="str">
        <f>IF(原始经营数据!$D2090="","",原始经营数据!$G2090)</f>
        <v/>
      </c>
      <c r="I2089" t="str">
        <f>IF($A2089="","",IF($B2089&lt;&gt;"",$B2089,IF(COUNTIFS(原始经营数据!$D$3:$D$3001,$A2089,原始经营数据!$E$3:$E$3001,"",原始经营数据!$F$3:$F$3001,$C2089,原始经营数据!$H$3:$H$3001,$D2089,原始经营数据!$K$3:$K$3001,$G2089)&gt;1,"基金整体·来源"&amp;原始经营数据!$A2090,"基金整体")))</f>
        <v/>
      </c>
      <c r="J2089" t="str">
        <f t="shared" si="483"/>
        <v/>
      </c>
      <c r="K2089" t="str">
        <f t="shared" si="484"/>
        <v/>
      </c>
      <c r="L2089" t="str">
        <f t="shared" si="485"/>
        <v/>
      </c>
      <c r="M2089">
        <f>IF($A2089="",0,IF(COUNTIF($L$2:$L2089,$L2089)=1,1,0))</f>
        <v>0</v>
      </c>
      <c r="N2089" t="str">
        <f t="shared" si="486"/>
        <v/>
      </c>
      <c r="O2089" t="str">
        <f t="shared" si="487"/>
        <v/>
      </c>
      <c r="P2089">
        <f>IF($A2089="",0,IF(COUNTIF($O$2:$O2089,$O2089)=1,1,0))</f>
        <v>0</v>
      </c>
      <c r="Q2089" t="str">
        <f>IF(AND($P2089=1,$A2089=经营数据!$B$3,$J2089=经营数据!$BA$5),COUNTIFS($P$2:$P$3000,1,$A$2:$A$3000,$A2089,$J$2:$J$3000,$J2089,$N$2:$N$3000,"&lt;"&amp;$N2089)+1,"")</f>
        <v/>
      </c>
      <c r="R2089" t="str">
        <f t="shared" si="488"/>
        <v/>
      </c>
      <c r="S2089">
        <f>IF($A2089="",0,IF(COUNTIF($R$2:$R2089,$R2089)=1,1,0))</f>
        <v>0</v>
      </c>
      <c r="T2089" t="str">
        <f t="shared" si="489"/>
        <v/>
      </c>
      <c r="U2089" t="str">
        <f>IF($A2089="","",IF($A2089=经营数据!$B$3,COUNTIFS($S$2:$S$3000,1,$A$2:$A$3000,$A2089,$T$2:$T$3000,"&lt;"&amp;$T2089)+1,""))</f>
        <v/>
      </c>
      <c r="V2089" t="str">
        <f t="shared" si="490"/>
        <v/>
      </c>
      <c r="W2089" t="str">
        <f t="shared" si="491"/>
        <v/>
      </c>
      <c r="X2089" t="str">
        <f t="shared" si="492"/>
        <v/>
      </c>
      <c r="Y2089" t="str">
        <f t="shared" si="493"/>
        <v/>
      </c>
      <c r="Z2089">
        <f>IF($A2089="",0,IF(AND($M2089=1,$A2089=经营数据!$B$3,$J2089=经营数据!$BA$5,OR($I2089=经营数据!$BA$4,COUNTIF(经营数据!$AA$9:$AA$38,$I2089)&gt;0)),1,0))</f>
        <v>0</v>
      </c>
      <c r="AA2089" t="str">
        <f t="shared" si="494"/>
        <v/>
      </c>
      <c r="AB2089" t="str">
        <f t="shared" si="495"/>
        <v/>
      </c>
      <c r="AC2089">
        <f>IF($A2089="",0,IF(COUNTIF($A$2:$A2089,$A2089)=1,1,0))</f>
        <v>0</v>
      </c>
      <c r="AD2089">
        <f t="shared" si="496"/>
        <v>29</v>
      </c>
      <c r="AE2089" t="str">
        <f t="shared" si="497"/>
        <v/>
      </c>
    </row>
    <row r="2090" spans="1:31" x14ac:dyDescent="0.4">
      <c r="A2090" t="str">
        <f>IF(原始经营数据!$D2091="","",原始经营数据!$D2091)</f>
        <v/>
      </c>
      <c r="B2090" t="str">
        <f>IF(原始经营数据!$D2091="","",T(原始经营数据!$E2091))</f>
        <v/>
      </c>
      <c r="C2090" t="str">
        <f>IF(原始经营数据!$D2091="","",原始经营数据!$F2091)</f>
        <v/>
      </c>
      <c r="D2090" t="str">
        <f>IF(原始经营数据!$D2091="","",原始经营数据!$H2091)</f>
        <v/>
      </c>
      <c r="E2090" t="str">
        <f>IF(原始经营数据!$D2091="","",原始经营数据!$I2091)</f>
        <v/>
      </c>
      <c r="F2090" t="str">
        <f>IF(原始经营数据!$D2091="","",T(原始经营数据!$J2091))</f>
        <v/>
      </c>
      <c r="G2090" t="str">
        <f>IF(原始经营数据!$D2091="","",T(原始经营数据!$K2091))</f>
        <v/>
      </c>
      <c r="H2090" t="str">
        <f>IF(原始经营数据!$D2091="","",原始经营数据!$G2091)</f>
        <v/>
      </c>
      <c r="I2090" t="str">
        <f>IF($A2090="","",IF($B2090&lt;&gt;"",$B2090,IF(COUNTIFS(原始经营数据!$D$3:$D$3001,$A2090,原始经营数据!$E$3:$E$3001,"",原始经营数据!$F$3:$F$3001,$C2090,原始经营数据!$H$3:$H$3001,$D2090,原始经营数据!$K$3:$K$3001,$G2090)&gt;1,"基金整体·来源"&amp;原始经营数据!$A2091,"基金整体")))</f>
        <v/>
      </c>
      <c r="J2090" t="str">
        <f t="shared" si="483"/>
        <v/>
      </c>
      <c r="K2090" t="str">
        <f t="shared" si="484"/>
        <v/>
      </c>
      <c r="L2090" t="str">
        <f t="shared" si="485"/>
        <v/>
      </c>
      <c r="M2090">
        <f>IF($A2090="",0,IF(COUNTIF($L$2:$L2090,$L2090)=1,1,0))</f>
        <v>0</v>
      </c>
      <c r="N2090" t="str">
        <f t="shared" si="486"/>
        <v/>
      </c>
      <c r="O2090" t="str">
        <f t="shared" si="487"/>
        <v/>
      </c>
      <c r="P2090">
        <f>IF($A2090="",0,IF(COUNTIF($O$2:$O2090,$O2090)=1,1,0))</f>
        <v>0</v>
      </c>
      <c r="Q2090" t="str">
        <f>IF(AND($P2090=1,$A2090=经营数据!$B$3,$J2090=经营数据!$BA$5),COUNTIFS($P$2:$P$3000,1,$A$2:$A$3000,$A2090,$J$2:$J$3000,$J2090,$N$2:$N$3000,"&lt;"&amp;$N2090)+1,"")</f>
        <v/>
      </c>
      <c r="R2090" t="str">
        <f t="shared" si="488"/>
        <v/>
      </c>
      <c r="S2090">
        <f>IF($A2090="",0,IF(COUNTIF($R$2:$R2090,$R2090)=1,1,0))</f>
        <v>0</v>
      </c>
      <c r="T2090" t="str">
        <f t="shared" si="489"/>
        <v/>
      </c>
      <c r="U2090" t="str">
        <f>IF($A2090="","",IF($A2090=经营数据!$B$3,COUNTIFS($S$2:$S$3000,1,$A$2:$A$3000,$A2090,$T$2:$T$3000,"&lt;"&amp;$T2090)+1,""))</f>
        <v/>
      </c>
      <c r="V2090" t="str">
        <f t="shared" si="490"/>
        <v/>
      </c>
      <c r="W2090" t="str">
        <f t="shared" si="491"/>
        <v/>
      </c>
      <c r="X2090" t="str">
        <f t="shared" si="492"/>
        <v/>
      </c>
      <c r="Y2090" t="str">
        <f t="shared" si="493"/>
        <v/>
      </c>
      <c r="Z2090">
        <f>IF($A2090="",0,IF(AND($M2090=1,$A2090=经营数据!$B$3,$J2090=经营数据!$BA$5,OR($I2090=经营数据!$BA$4,COUNTIF(经营数据!$AA$9:$AA$38,$I2090)&gt;0)),1,0))</f>
        <v>0</v>
      </c>
      <c r="AA2090" t="str">
        <f t="shared" si="494"/>
        <v/>
      </c>
      <c r="AB2090" t="str">
        <f t="shared" si="495"/>
        <v/>
      </c>
      <c r="AC2090">
        <f>IF($A2090="",0,IF(COUNTIF($A$2:$A2090,$A2090)=1,1,0))</f>
        <v>0</v>
      </c>
      <c r="AD2090">
        <f t="shared" si="496"/>
        <v>29</v>
      </c>
      <c r="AE2090" t="str">
        <f t="shared" si="497"/>
        <v/>
      </c>
    </row>
    <row r="2091" spans="1:31" x14ac:dyDescent="0.4">
      <c r="A2091" t="str">
        <f>IF(原始经营数据!$D2092="","",原始经营数据!$D2092)</f>
        <v/>
      </c>
      <c r="B2091" t="str">
        <f>IF(原始经营数据!$D2092="","",T(原始经营数据!$E2092))</f>
        <v/>
      </c>
      <c r="C2091" t="str">
        <f>IF(原始经营数据!$D2092="","",原始经营数据!$F2092)</f>
        <v/>
      </c>
      <c r="D2091" t="str">
        <f>IF(原始经营数据!$D2092="","",原始经营数据!$H2092)</f>
        <v/>
      </c>
      <c r="E2091" t="str">
        <f>IF(原始经营数据!$D2092="","",原始经营数据!$I2092)</f>
        <v/>
      </c>
      <c r="F2091" t="str">
        <f>IF(原始经营数据!$D2092="","",T(原始经营数据!$J2092))</f>
        <v/>
      </c>
      <c r="G2091" t="str">
        <f>IF(原始经营数据!$D2092="","",T(原始经营数据!$K2092))</f>
        <v/>
      </c>
      <c r="H2091" t="str">
        <f>IF(原始经营数据!$D2092="","",原始经营数据!$G2092)</f>
        <v/>
      </c>
      <c r="I2091" t="str">
        <f>IF($A2091="","",IF($B2091&lt;&gt;"",$B2091,IF(COUNTIFS(原始经营数据!$D$3:$D$3001,$A2091,原始经营数据!$E$3:$E$3001,"",原始经营数据!$F$3:$F$3001,$C2091,原始经营数据!$H$3:$H$3001,$D2091,原始经营数据!$K$3:$K$3001,$G2091)&gt;1,"基金整体·来源"&amp;原始经营数据!$A2092,"基金整体")))</f>
        <v/>
      </c>
      <c r="J2091" t="str">
        <f t="shared" si="483"/>
        <v/>
      </c>
      <c r="K2091" t="str">
        <f t="shared" si="484"/>
        <v/>
      </c>
      <c r="L2091" t="str">
        <f t="shared" si="485"/>
        <v/>
      </c>
      <c r="M2091">
        <f>IF($A2091="",0,IF(COUNTIF($L$2:$L2091,$L2091)=1,1,0))</f>
        <v>0</v>
      </c>
      <c r="N2091" t="str">
        <f t="shared" si="486"/>
        <v/>
      </c>
      <c r="O2091" t="str">
        <f t="shared" si="487"/>
        <v/>
      </c>
      <c r="P2091">
        <f>IF($A2091="",0,IF(COUNTIF($O$2:$O2091,$O2091)=1,1,0))</f>
        <v>0</v>
      </c>
      <c r="Q2091" t="str">
        <f>IF(AND($P2091=1,$A2091=经营数据!$B$3,$J2091=经营数据!$BA$5),COUNTIFS($P$2:$P$3000,1,$A$2:$A$3000,$A2091,$J$2:$J$3000,$J2091,$N$2:$N$3000,"&lt;"&amp;$N2091)+1,"")</f>
        <v/>
      </c>
      <c r="R2091" t="str">
        <f t="shared" si="488"/>
        <v/>
      </c>
      <c r="S2091">
        <f>IF($A2091="",0,IF(COUNTIF($R$2:$R2091,$R2091)=1,1,0))</f>
        <v>0</v>
      </c>
      <c r="T2091" t="str">
        <f t="shared" si="489"/>
        <v/>
      </c>
      <c r="U2091" t="str">
        <f>IF($A2091="","",IF($A2091=经营数据!$B$3,COUNTIFS($S$2:$S$3000,1,$A$2:$A$3000,$A2091,$T$2:$T$3000,"&lt;"&amp;$T2091)+1,""))</f>
        <v/>
      </c>
      <c r="V2091" t="str">
        <f t="shared" si="490"/>
        <v/>
      </c>
      <c r="W2091" t="str">
        <f t="shared" si="491"/>
        <v/>
      </c>
      <c r="X2091" t="str">
        <f t="shared" si="492"/>
        <v/>
      </c>
      <c r="Y2091" t="str">
        <f t="shared" si="493"/>
        <v/>
      </c>
      <c r="Z2091">
        <f>IF($A2091="",0,IF(AND($M2091=1,$A2091=经营数据!$B$3,$J2091=经营数据!$BA$5,OR($I2091=经营数据!$BA$4,COUNTIF(经营数据!$AA$9:$AA$38,$I2091)&gt;0)),1,0))</f>
        <v>0</v>
      </c>
      <c r="AA2091" t="str">
        <f t="shared" si="494"/>
        <v/>
      </c>
      <c r="AB2091" t="str">
        <f t="shared" si="495"/>
        <v/>
      </c>
      <c r="AC2091">
        <f>IF($A2091="",0,IF(COUNTIF($A$2:$A2091,$A2091)=1,1,0))</f>
        <v>0</v>
      </c>
      <c r="AD2091">
        <f t="shared" si="496"/>
        <v>29</v>
      </c>
      <c r="AE2091" t="str">
        <f t="shared" si="497"/>
        <v/>
      </c>
    </row>
    <row r="2092" spans="1:31" x14ac:dyDescent="0.4">
      <c r="A2092" t="str">
        <f>IF(原始经营数据!$D2093="","",原始经营数据!$D2093)</f>
        <v/>
      </c>
      <c r="B2092" t="str">
        <f>IF(原始经营数据!$D2093="","",T(原始经营数据!$E2093))</f>
        <v/>
      </c>
      <c r="C2092" t="str">
        <f>IF(原始经营数据!$D2093="","",原始经营数据!$F2093)</f>
        <v/>
      </c>
      <c r="D2092" t="str">
        <f>IF(原始经营数据!$D2093="","",原始经营数据!$H2093)</f>
        <v/>
      </c>
      <c r="E2092" t="str">
        <f>IF(原始经营数据!$D2093="","",原始经营数据!$I2093)</f>
        <v/>
      </c>
      <c r="F2092" t="str">
        <f>IF(原始经营数据!$D2093="","",T(原始经营数据!$J2093))</f>
        <v/>
      </c>
      <c r="G2092" t="str">
        <f>IF(原始经营数据!$D2093="","",T(原始经营数据!$K2093))</f>
        <v/>
      </c>
      <c r="H2092" t="str">
        <f>IF(原始经营数据!$D2093="","",原始经营数据!$G2093)</f>
        <v/>
      </c>
      <c r="I2092" t="str">
        <f>IF($A2092="","",IF($B2092&lt;&gt;"",$B2092,IF(COUNTIFS(原始经营数据!$D$3:$D$3001,$A2092,原始经营数据!$E$3:$E$3001,"",原始经营数据!$F$3:$F$3001,$C2092,原始经营数据!$H$3:$H$3001,$D2092,原始经营数据!$K$3:$K$3001,$G2092)&gt;1,"基金整体·来源"&amp;原始经营数据!$A2093,"基金整体")))</f>
        <v/>
      </c>
      <c r="J2092" t="str">
        <f t="shared" si="483"/>
        <v/>
      </c>
      <c r="K2092" t="str">
        <f t="shared" si="484"/>
        <v/>
      </c>
      <c r="L2092" t="str">
        <f t="shared" si="485"/>
        <v/>
      </c>
      <c r="M2092">
        <f>IF($A2092="",0,IF(COUNTIF($L$2:$L2092,$L2092)=1,1,0))</f>
        <v>0</v>
      </c>
      <c r="N2092" t="str">
        <f t="shared" si="486"/>
        <v/>
      </c>
      <c r="O2092" t="str">
        <f t="shared" si="487"/>
        <v/>
      </c>
      <c r="P2092">
        <f>IF($A2092="",0,IF(COUNTIF($O$2:$O2092,$O2092)=1,1,0))</f>
        <v>0</v>
      </c>
      <c r="Q2092" t="str">
        <f>IF(AND($P2092=1,$A2092=经营数据!$B$3,$J2092=经营数据!$BA$5),COUNTIFS($P$2:$P$3000,1,$A$2:$A$3000,$A2092,$J$2:$J$3000,$J2092,$N$2:$N$3000,"&lt;"&amp;$N2092)+1,"")</f>
        <v/>
      </c>
      <c r="R2092" t="str">
        <f t="shared" si="488"/>
        <v/>
      </c>
      <c r="S2092">
        <f>IF($A2092="",0,IF(COUNTIF($R$2:$R2092,$R2092)=1,1,0))</f>
        <v>0</v>
      </c>
      <c r="T2092" t="str">
        <f t="shared" si="489"/>
        <v/>
      </c>
      <c r="U2092" t="str">
        <f>IF($A2092="","",IF($A2092=经营数据!$B$3,COUNTIFS($S$2:$S$3000,1,$A$2:$A$3000,$A2092,$T$2:$T$3000,"&lt;"&amp;$T2092)+1,""))</f>
        <v/>
      </c>
      <c r="V2092" t="str">
        <f t="shared" si="490"/>
        <v/>
      </c>
      <c r="W2092" t="str">
        <f t="shared" si="491"/>
        <v/>
      </c>
      <c r="X2092" t="str">
        <f t="shared" si="492"/>
        <v/>
      </c>
      <c r="Y2092" t="str">
        <f t="shared" si="493"/>
        <v/>
      </c>
      <c r="Z2092">
        <f>IF($A2092="",0,IF(AND($M2092=1,$A2092=经营数据!$B$3,$J2092=经营数据!$BA$5,OR($I2092=经营数据!$BA$4,COUNTIF(经营数据!$AA$9:$AA$38,$I2092)&gt;0)),1,0))</f>
        <v>0</v>
      </c>
      <c r="AA2092" t="str">
        <f t="shared" si="494"/>
        <v/>
      </c>
      <c r="AB2092" t="str">
        <f t="shared" si="495"/>
        <v/>
      </c>
      <c r="AC2092">
        <f>IF($A2092="",0,IF(COUNTIF($A$2:$A2092,$A2092)=1,1,0))</f>
        <v>0</v>
      </c>
      <c r="AD2092">
        <f t="shared" si="496"/>
        <v>29</v>
      </c>
      <c r="AE2092" t="str">
        <f t="shared" si="497"/>
        <v/>
      </c>
    </row>
    <row r="2093" spans="1:31" x14ac:dyDescent="0.4">
      <c r="A2093" t="str">
        <f>IF(原始经营数据!$D2094="","",原始经营数据!$D2094)</f>
        <v/>
      </c>
      <c r="B2093" t="str">
        <f>IF(原始经营数据!$D2094="","",T(原始经营数据!$E2094))</f>
        <v/>
      </c>
      <c r="C2093" t="str">
        <f>IF(原始经营数据!$D2094="","",原始经营数据!$F2094)</f>
        <v/>
      </c>
      <c r="D2093" t="str">
        <f>IF(原始经营数据!$D2094="","",原始经营数据!$H2094)</f>
        <v/>
      </c>
      <c r="E2093" t="str">
        <f>IF(原始经营数据!$D2094="","",原始经营数据!$I2094)</f>
        <v/>
      </c>
      <c r="F2093" t="str">
        <f>IF(原始经营数据!$D2094="","",T(原始经营数据!$J2094))</f>
        <v/>
      </c>
      <c r="G2093" t="str">
        <f>IF(原始经营数据!$D2094="","",T(原始经营数据!$K2094))</f>
        <v/>
      </c>
      <c r="H2093" t="str">
        <f>IF(原始经营数据!$D2094="","",原始经营数据!$G2094)</f>
        <v/>
      </c>
      <c r="I2093" t="str">
        <f>IF($A2093="","",IF($B2093&lt;&gt;"",$B2093,IF(COUNTIFS(原始经营数据!$D$3:$D$3001,$A2093,原始经营数据!$E$3:$E$3001,"",原始经营数据!$F$3:$F$3001,$C2093,原始经营数据!$H$3:$H$3001,$D2093,原始经营数据!$K$3:$K$3001,$G2093)&gt;1,"基金整体·来源"&amp;原始经营数据!$A2094,"基金整体")))</f>
        <v/>
      </c>
      <c r="J2093" t="str">
        <f t="shared" si="483"/>
        <v/>
      </c>
      <c r="K2093" t="str">
        <f t="shared" si="484"/>
        <v/>
      </c>
      <c r="L2093" t="str">
        <f t="shared" si="485"/>
        <v/>
      </c>
      <c r="M2093">
        <f>IF($A2093="",0,IF(COUNTIF($L$2:$L2093,$L2093)=1,1,0))</f>
        <v>0</v>
      </c>
      <c r="N2093" t="str">
        <f t="shared" si="486"/>
        <v/>
      </c>
      <c r="O2093" t="str">
        <f t="shared" si="487"/>
        <v/>
      </c>
      <c r="P2093">
        <f>IF($A2093="",0,IF(COUNTIF($O$2:$O2093,$O2093)=1,1,0))</f>
        <v>0</v>
      </c>
      <c r="Q2093" t="str">
        <f>IF(AND($P2093=1,$A2093=经营数据!$B$3,$J2093=经营数据!$BA$5),COUNTIFS($P$2:$P$3000,1,$A$2:$A$3000,$A2093,$J$2:$J$3000,$J2093,$N$2:$N$3000,"&lt;"&amp;$N2093)+1,"")</f>
        <v/>
      </c>
      <c r="R2093" t="str">
        <f t="shared" si="488"/>
        <v/>
      </c>
      <c r="S2093">
        <f>IF($A2093="",0,IF(COUNTIF($R$2:$R2093,$R2093)=1,1,0))</f>
        <v>0</v>
      </c>
      <c r="T2093" t="str">
        <f t="shared" si="489"/>
        <v/>
      </c>
      <c r="U2093" t="str">
        <f>IF($A2093="","",IF($A2093=经营数据!$B$3,COUNTIFS($S$2:$S$3000,1,$A$2:$A$3000,$A2093,$T$2:$T$3000,"&lt;"&amp;$T2093)+1,""))</f>
        <v/>
      </c>
      <c r="V2093" t="str">
        <f t="shared" si="490"/>
        <v/>
      </c>
      <c r="W2093" t="str">
        <f t="shared" si="491"/>
        <v/>
      </c>
      <c r="X2093" t="str">
        <f t="shared" si="492"/>
        <v/>
      </c>
      <c r="Y2093" t="str">
        <f t="shared" si="493"/>
        <v/>
      </c>
      <c r="Z2093">
        <f>IF($A2093="",0,IF(AND($M2093=1,$A2093=经营数据!$B$3,$J2093=经营数据!$BA$5,OR($I2093=经营数据!$BA$4,COUNTIF(经营数据!$AA$9:$AA$38,$I2093)&gt;0)),1,0))</f>
        <v>0</v>
      </c>
      <c r="AA2093" t="str">
        <f t="shared" si="494"/>
        <v/>
      </c>
      <c r="AB2093" t="str">
        <f t="shared" si="495"/>
        <v/>
      </c>
      <c r="AC2093">
        <f>IF($A2093="",0,IF(COUNTIF($A$2:$A2093,$A2093)=1,1,0))</f>
        <v>0</v>
      </c>
      <c r="AD2093">
        <f t="shared" si="496"/>
        <v>29</v>
      </c>
      <c r="AE2093" t="str">
        <f t="shared" si="497"/>
        <v/>
      </c>
    </row>
    <row r="2094" spans="1:31" x14ac:dyDescent="0.4">
      <c r="A2094" t="str">
        <f>IF(原始经营数据!$D2095="","",原始经营数据!$D2095)</f>
        <v/>
      </c>
      <c r="B2094" t="str">
        <f>IF(原始经营数据!$D2095="","",T(原始经营数据!$E2095))</f>
        <v/>
      </c>
      <c r="C2094" t="str">
        <f>IF(原始经营数据!$D2095="","",原始经营数据!$F2095)</f>
        <v/>
      </c>
      <c r="D2094" t="str">
        <f>IF(原始经营数据!$D2095="","",原始经营数据!$H2095)</f>
        <v/>
      </c>
      <c r="E2094" t="str">
        <f>IF(原始经营数据!$D2095="","",原始经营数据!$I2095)</f>
        <v/>
      </c>
      <c r="F2094" t="str">
        <f>IF(原始经营数据!$D2095="","",T(原始经营数据!$J2095))</f>
        <v/>
      </c>
      <c r="G2094" t="str">
        <f>IF(原始经营数据!$D2095="","",T(原始经营数据!$K2095))</f>
        <v/>
      </c>
      <c r="H2094" t="str">
        <f>IF(原始经营数据!$D2095="","",原始经营数据!$G2095)</f>
        <v/>
      </c>
      <c r="I2094" t="str">
        <f>IF($A2094="","",IF($B2094&lt;&gt;"",$B2094,IF(COUNTIFS(原始经营数据!$D$3:$D$3001,$A2094,原始经营数据!$E$3:$E$3001,"",原始经营数据!$F$3:$F$3001,$C2094,原始经营数据!$H$3:$H$3001,$D2094,原始经营数据!$K$3:$K$3001,$G2094)&gt;1,"基金整体·来源"&amp;原始经营数据!$A2095,"基金整体")))</f>
        <v/>
      </c>
      <c r="J2094" t="str">
        <f t="shared" si="483"/>
        <v/>
      </c>
      <c r="K2094" t="str">
        <f t="shared" si="484"/>
        <v/>
      </c>
      <c r="L2094" t="str">
        <f t="shared" si="485"/>
        <v/>
      </c>
      <c r="M2094">
        <f>IF($A2094="",0,IF(COUNTIF($L$2:$L2094,$L2094)=1,1,0))</f>
        <v>0</v>
      </c>
      <c r="N2094" t="str">
        <f t="shared" si="486"/>
        <v/>
      </c>
      <c r="O2094" t="str">
        <f t="shared" si="487"/>
        <v/>
      </c>
      <c r="P2094">
        <f>IF($A2094="",0,IF(COUNTIF($O$2:$O2094,$O2094)=1,1,0))</f>
        <v>0</v>
      </c>
      <c r="Q2094" t="str">
        <f>IF(AND($P2094=1,$A2094=经营数据!$B$3,$J2094=经营数据!$BA$5),COUNTIFS($P$2:$P$3000,1,$A$2:$A$3000,$A2094,$J$2:$J$3000,$J2094,$N$2:$N$3000,"&lt;"&amp;$N2094)+1,"")</f>
        <v/>
      </c>
      <c r="R2094" t="str">
        <f t="shared" si="488"/>
        <v/>
      </c>
      <c r="S2094">
        <f>IF($A2094="",0,IF(COUNTIF($R$2:$R2094,$R2094)=1,1,0))</f>
        <v>0</v>
      </c>
      <c r="T2094" t="str">
        <f t="shared" si="489"/>
        <v/>
      </c>
      <c r="U2094" t="str">
        <f>IF($A2094="","",IF($A2094=经营数据!$B$3,COUNTIFS($S$2:$S$3000,1,$A$2:$A$3000,$A2094,$T$2:$T$3000,"&lt;"&amp;$T2094)+1,""))</f>
        <v/>
      </c>
      <c r="V2094" t="str">
        <f t="shared" si="490"/>
        <v/>
      </c>
      <c r="W2094" t="str">
        <f t="shared" si="491"/>
        <v/>
      </c>
      <c r="X2094" t="str">
        <f t="shared" si="492"/>
        <v/>
      </c>
      <c r="Y2094" t="str">
        <f t="shared" si="493"/>
        <v/>
      </c>
      <c r="Z2094">
        <f>IF($A2094="",0,IF(AND($M2094=1,$A2094=经营数据!$B$3,$J2094=经营数据!$BA$5,OR($I2094=经营数据!$BA$4,COUNTIF(经营数据!$AA$9:$AA$38,$I2094)&gt;0)),1,0))</f>
        <v>0</v>
      </c>
      <c r="AA2094" t="str">
        <f t="shared" si="494"/>
        <v/>
      </c>
      <c r="AB2094" t="str">
        <f t="shared" si="495"/>
        <v/>
      </c>
      <c r="AC2094">
        <f>IF($A2094="",0,IF(COUNTIF($A$2:$A2094,$A2094)=1,1,0))</f>
        <v>0</v>
      </c>
      <c r="AD2094">
        <f t="shared" si="496"/>
        <v>29</v>
      </c>
      <c r="AE2094" t="str">
        <f t="shared" si="497"/>
        <v/>
      </c>
    </row>
    <row r="2095" spans="1:31" x14ac:dyDescent="0.4">
      <c r="A2095" t="str">
        <f>IF(原始经营数据!$D2096="","",原始经营数据!$D2096)</f>
        <v/>
      </c>
      <c r="B2095" t="str">
        <f>IF(原始经营数据!$D2096="","",T(原始经营数据!$E2096))</f>
        <v/>
      </c>
      <c r="C2095" t="str">
        <f>IF(原始经营数据!$D2096="","",原始经营数据!$F2096)</f>
        <v/>
      </c>
      <c r="D2095" t="str">
        <f>IF(原始经营数据!$D2096="","",原始经营数据!$H2096)</f>
        <v/>
      </c>
      <c r="E2095" t="str">
        <f>IF(原始经营数据!$D2096="","",原始经营数据!$I2096)</f>
        <v/>
      </c>
      <c r="F2095" t="str">
        <f>IF(原始经营数据!$D2096="","",T(原始经营数据!$J2096))</f>
        <v/>
      </c>
      <c r="G2095" t="str">
        <f>IF(原始经营数据!$D2096="","",T(原始经营数据!$K2096))</f>
        <v/>
      </c>
      <c r="H2095" t="str">
        <f>IF(原始经营数据!$D2096="","",原始经营数据!$G2096)</f>
        <v/>
      </c>
      <c r="I2095" t="str">
        <f>IF($A2095="","",IF($B2095&lt;&gt;"",$B2095,IF(COUNTIFS(原始经营数据!$D$3:$D$3001,$A2095,原始经营数据!$E$3:$E$3001,"",原始经营数据!$F$3:$F$3001,$C2095,原始经营数据!$H$3:$H$3001,$D2095,原始经营数据!$K$3:$K$3001,$G2095)&gt;1,"基金整体·来源"&amp;原始经营数据!$A2096,"基金整体")))</f>
        <v/>
      </c>
      <c r="J2095" t="str">
        <f t="shared" si="483"/>
        <v/>
      </c>
      <c r="K2095" t="str">
        <f t="shared" si="484"/>
        <v/>
      </c>
      <c r="L2095" t="str">
        <f t="shared" si="485"/>
        <v/>
      </c>
      <c r="M2095">
        <f>IF($A2095="",0,IF(COUNTIF($L$2:$L2095,$L2095)=1,1,0))</f>
        <v>0</v>
      </c>
      <c r="N2095" t="str">
        <f t="shared" si="486"/>
        <v/>
      </c>
      <c r="O2095" t="str">
        <f t="shared" si="487"/>
        <v/>
      </c>
      <c r="P2095">
        <f>IF($A2095="",0,IF(COUNTIF($O$2:$O2095,$O2095)=1,1,0))</f>
        <v>0</v>
      </c>
      <c r="Q2095" t="str">
        <f>IF(AND($P2095=1,$A2095=经营数据!$B$3,$J2095=经营数据!$BA$5),COUNTIFS($P$2:$P$3000,1,$A$2:$A$3000,$A2095,$J$2:$J$3000,$J2095,$N$2:$N$3000,"&lt;"&amp;$N2095)+1,"")</f>
        <v/>
      </c>
      <c r="R2095" t="str">
        <f t="shared" si="488"/>
        <v/>
      </c>
      <c r="S2095">
        <f>IF($A2095="",0,IF(COUNTIF($R$2:$R2095,$R2095)=1,1,0))</f>
        <v>0</v>
      </c>
      <c r="T2095" t="str">
        <f t="shared" si="489"/>
        <v/>
      </c>
      <c r="U2095" t="str">
        <f>IF($A2095="","",IF($A2095=经营数据!$B$3,COUNTIFS($S$2:$S$3000,1,$A$2:$A$3000,$A2095,$T$2:$T$3000,"&lt;"&amp;$T2095)+1,""))</f>
        <v/>
      </c>
      <c r="V2095" t="str">
        <f t="shared" si="490"/>
        <v/>
      </c>
      <c r="W2095" t="str">
        <f t="shared" si="491"/>
        <v/>
      </c>
      <c r="X2095" t="str">
        <f t="shared" si="492"/>
        <v/>
      </c>
      <c r="Y2095" t="str">
        <f t="shared" si="493"/>
        <v/>
      </c>
      <c r="Z2095">
        <f>IF($A2095="",0,IF(AND($M2095=1,$A2095=经营数据!$B$3,$J2095=经营数据!$BA$5,OR($I2095=经营数据!$BA$4,COUNTIF(经营数据!$AA$9:$AA$38,$I2095)&gt;0)),1,0))</f>
        <v>0</v>
      </c>
      <c r="AA2095" t="str">
        <f t="shared" si="494"/>
        <v/>
      </c>
      <c r="AB2095" t="str">
        <f t="shared" si="495"/>
        <v/>
      </c>
      <c r="AC2095">
        <f>IF($A2095="",0,IF(COUNTIF($A$2:$A2095,$A2095)=1,1,0))</f>
        <v>0</v>
      </c>
      <c r="AD2095">
        <f t="shared" si="496"/>
        <v>29</v>
      </c>
      <c r="AE2095" t="str">
        <f t="shared" si="497"/>
        <v/>
      </c>
    </row>
    <row r="2096" spans="1:31" x14ac:dyDescent="0.4">
      <c r="A2096" t="str">
        <f>IF(原始经营数据!$D2097="","",原始经营数据!$D2097)</f>
        <v/>
      </c>
      <c r="B2096" t="str">
        <f>IF(原始经营数据!$D2097="","",T(原始经营数据!$E2097))</f>
        <v/>
      </c>
      <c r="C2096" t="str">
        <f>IF(原始经营数据!$D2097="","",原始经营数据!$F2097)</f>
        <v/>
      </c>
      <c r="D2096" t="str">
        <f>IF(原始经营数据!$D2097="","",原始经营数据!$H2097)</f>
        <v/>
      </c>
      <c r="E2096" t="str">
        <f>IF(原始经营数据!$D2097="","",原始经营数据!$I2097)</f>
        <v/>
      </c>
      <c r="F2096" t="str">
        <f>IF(原始经营数据!$D2097="","",T(原始经营数据!$J2097))</f>
        <v/>
      </c>
      <c r="G2096" t="str">
        <f>IF(原始经营数据!$D2097="","",T(原始经营数据!$K2097))</f>
        <v/>
      </c>
      <c r="H2096" t="str">
        <f>IF(原始经营数据!$D2097="","",原始经营数据!$G2097)</f>
        <v/>
      </c>
      <c r="I2096" t="str">
        <f>IF($A2096="","",IF($B2096&lt;&gt;"",$B2096,IF(COUNTIFS(原始经营数据!$D$3:$D$3001,$A2096,原始经营数据!$E$3:$E$3001,"",原始经营数据!$F$3:$F$3001,$C2096,原始经营数据!$H$3:$H$3001,$D2096,原始经营数据!$K$3:$K$3001,$G2096)&gt;1,"基金整体·来源"&amp;原始经营数据!$A2097,"基金整体")))</f>
        <v/>
      </c>
      <c r="J2096" t="str">
        <f t="shared" si="483"/>
        <v/>
      </c>
      <c r="K2096" t="str">
        <f t="shared" si="484"/>
        <v/>
      </c>
      <c r="L2096" t="str">
        <f t="shared" si="485"/>
        <v/>
      </c>
      <c r="M2096">
        <f>IF($A2096="",0,IF(COUNTIF($L$2:$L2096,$L2096)=1,1,0))</f>
        <v>0</v>
      </c>
      <c r="N2096" t="str">
        <f t="shared" si="486"/>
        <v/>
      </c>
      <c r="O2096" t="str">
        <f t="shared" si="487"/>
        <v/>
      </c>
      <c r="P2096">
        <f>IF($A2096="",0,IF(COUNTIF($O$2:$O2096,$O2096)=1,1,0))</f>
        <v>0</v>
      </c>
      <c r="Q2096" t="str">
        <f>IF(AND($P2096=1,$A2096=经营数据!$B$3,$J2096=经营数据!$BA$5),COUNTIFS($P$2:$P$3000,1,$A$2:$A$3000,$A2096,$J$2:$J$3000,$J2096,$N$2:$N$3000,"&lt;"&amp;$N2096)+1,"")</f>
        <v/>
      </c>
      <c r="R2096" t="str">
        <f t="shared" si="488"/>
        <v/>
      </c>
      <c r="S2096">
        <f>IF($A2096="",0,IF(COUNTIF($R$2:$R2096,$R2096)=1,1,0))</f>
        <v>0</v>
      </c>
      <c r="T2096" t="str">
        <f t="shared" si="489"/>
        <v/>
      </c>
      <c r="U2096" t="str">
        <f>IF($A2096="","",IF($A2096=经营数据!$B$3,COUNTIFS($S$2:$S$3000,1,$A$2:$A$3000,$A2096,$T$2:$T$3000,"&lt;"&amp;$T2096)+1,""))</f>
        <v/>
      </c>
      <c r="V2096" t="str">
        <f t="shared" si="490"/>
        <v/>
      </c>
      <c r="W2096" t="str">
        <f t="shared" si="491"/>
        <v/>
      </c>
      <c r="X2096" t="str">
        <f t="shared" si="492"/>
        <v/>
      </c>
      <c r="Y2096" t="str">
        <f t="shared" si="493"/>
        <v/>
      </c>
      <c r="Z2096">
        <f>IF($A2096="",0,IF(AND($M2096=1,$A2096=经营数据!$B$3,$J2096=经营数据!$BA$5,OR($I2096=经营数据!$BA$4,COUNTIF(经营数据!$AA$9:$AA$38,$I2096)&gt;0)),1,0))</f>
        <v>0</v>
      </c>
      <c r="AA2096" t="str">
        <f t="shared" si="494"/>
        <v/>
      </c>
      <c r="AB2096" t="str">
        <f t="shared" si="495"/>
        <v/>
      </c>
      <c r="AC2096">
        <f>IF($A2096="",0,IF(COUNTIF($A$2:$A2096,$A2096)=1,1,0))</f>
        <v>0</v>
      </c>
      <c r="AD2096">
        <f t="shared" si="496"/>
        <v>29</v>
      </c>
      <c r="AE2096" t="str">
        <f t="shared" si="497"/>
        <v/>
      </c>
    </row>
    <row r="2097" spans="1:31" x14ac:dyDescent="0.4">
      <c r="A2097" t="str">
        <f>IF(原始经营数据!$D2098="","",原始经营数据!$D2098)</f>
        <v/>
      </c>
      <c r="B2097" t="str">
        <f>IF(原始经营数据!$D2098="","",T(原始经营数据!$E2098))</f>
        <v/>
      </c>
      <c r="C2097" t="str">
        <f>IF(原始经营数据!$D2098="","",原始经营数据!$F2098)</f>
        <v/>
      </c>
      <c r="D2097" t="str">
        <f>IF(原始经营数据!$D2098="","",原始经营数据!$H2098)</f>
        <v/>
      </c>
      <c r="E2097" t="str">
        <f>IF(原始经营数据!$D2098="","",原始经营数据!$I2098)</f>
        <v/>
      </c>
      <c r="F2097" t="str">
        <f>IF(原始经营数据!$D2098="","",T(原始经营数据!$J2098))</f>
        <v/>
      </c>
      <c r="G2097" t="str">
        <f>IF(原始经营数据!$D2098="","",T(原始经营数据!$K2098))</f>
        <v/>
      </c>
      <c r="H2097" t="str">
        <f>IF(原始经营数据!$D2098="","",原始经营数据!$G2098)</f>
        <v/>
      </c>
      <c r="I2097" t="str">
        <f>IF($A2097="","",IF($B2097&lt;&gt;"",$B2097,IF(COUNTIFS(原始经营数据!$D$3:$D$3001,$A2097,原始经营数据!$E$3:$E$3001,"",原始经营数据!$F$3:$F$3001,$C2097,原始经营数据!$H$3:$H$3001,$D2097,原始经营数据!$K$3:$K$3001,$G2097)&gt;1,"基金整体·来源"&amp;原始经营数据!$A2098,"基金整体")))</f>
        <v/>
      </c>
      <c r="J2097" t="str">
        <f t="shared" si="483"/>
        <v/>
      </c>
      <c r="K2097" t="str">
        <f t="shared" si="484"/>
        <v/>
      </c>
      <c r="L2097" t="str">
        <f t="shared" si="485"/>
        <v/>
      </c>
      <c r="M2097">
        <f>IF($A2097="",0,IF(COUNTIF($L$2:$L2097,$L2097)=1,1,0))</f>
        <v>0</v>
      </c>
      <c r="N2097" t="str">
        <f t="shared" si="486"/>
        <v/>
      </c>
      <c r="O2097" t="str">
        <f t="shared" si="487"/>
        <v/>
      </c>
      <c r="P2097">
        <f>IF($A2097="",0,IF(COUNTIF($O$2:$O2097,$O2097)=1,1,0))</f>
        <v>0</v>
      </c>
      <c r="Q2097" t="str">
        <f>IF(AND($P2097=1,$A2097=经营数据!$B$3,$J2097=经营数据!$BA$5),COUNTIFS($P$2:$P$3000,1,$A$2:$A$3000,$A2097,$J$2:$J$3000,$J2097,$N$2:$N$3000,"&lt;"&amp;$N2097)+1,"")</f>
        <v/>
      </c>
      <c r="R2097" t="str">
        <f t="shared" si="488"/>
        <v/>
      </c>
      <c r="S2097">
        <f>IF($A2097="",0,IF(COUNTIF($R$2:$R2097,$R2097)=1,1,0))</f>
        <v>0</v>
      </c>
      <c r="T2097" t="str">
        <f t="shared" si="489"/>
        <v/>
      </c>
      <c r="U2097" t="str">
        <f>IF($A2097="","",IF($A2097=经营数据!$B$3,COUNTIFS($S$2:$S$3000,1,$A$2:$A$3000,$A2097,$T$2:$T$3000,"&lt;"&amp;$T2097)+1,""))</f>
        <v/>
      </c>
      <c r="V2097" t="str">
        <f t="shared" si="490"/>
        <v/>
      </c>
      <c r="W2097" t="str">
        <f t="shared" si="491"/>
        <v/>
      </c>
      <c r="X2097" t="str">
        <f t="shared" si="492"/>
        <v/>
      </c>
      <c r="Y2097" t="str">
        <f t="shared" si="493"/>
        <v/>
      </c>
      <c r="Z2097">
        <f>IF($A2097="",0,IF(AND($M2097=1,$A2097=经营数据!$B$3,$J2097=经营数据!$BA$5,OR($I2097=经营数据!$BA$4,COUNTIF(经营数据!$AA$9:$AA$38,$I2097)&gt;0)),1,0))</f>
        <v>0</v>
      </c>
      <c r="AA2097" t="str">
        <f t="shared" si="494"/>
        <v/>
      </c>
      <c r="AB2097" t="str">
        <f t="shared" si="495"/>
        <v/>
      </c>
      <c r="AC2097">
        <f>IF($A2097="",0,IF(COUNTIF($A$2:$A2097,$A2097)=1,1,0))</f>
        <v>0</v>
      </c>
      <c r="AD2097">
        <f t="shared" si="496"/>
        <v>29</v>
      </c>
      <c r="AE2097" t="str">
        <f t="shared" si="497"/>
        <v/>
      </c>
    </row>
    <row r="2098" spans="1:31" x14ac:dyDescent="0.4">
      <c r="A2098" t="str">
        <f>IF(原始经营数据!$D2099="","",原始经营数据!$D2099)</f>
        <v/>
      </c>
      <c r="B2098" t="str">
        <f>IF(原始经营数据!$D2099="","",T(原始经营数据!$E2099))</f>
        <v/>
      </c>
      <c r="C2098" t="str">
        <f>IF(原始经营数据!$D2099="","",原始经营数据!$F2099)</f>
        <v/>
      </c>
      <c r="D2098" t="str">
        <f>IF(原始经营数据!$D2099="","",原始经营数据!$H2099)</f>
        <v/>
      </c>
      <c r="E2098" t="str">
        <f>IF(原始经营数据!$D2099="","",原始经营数据!$I2099)</f>
        <v/>
      </c>
      <c r="F2098" t="str">
        <f>IF(原始经营数据!$D2099="","",T(原始经营数据!$J2099))</f>
        <v/>
      </c>
      <c r="G2098" t="str">
        <f>IF(原始经营数据!$D2099="","",T(原始经营数据!$K2099))</f>
        <v/>
      </c>
      <c r="H2098" t="str">
        <f>IF(原始经营数据!$D2099="","",原始经营数据!$G2099)</f>
        <v/>
      </c>
      <c r="I2098" t="str">
        <f>IF($A2098="","",IF($B2098&lt;&gt;"",$B2098,IF(COUNTIFS(原始经营数据!$D$3:$D$3001,$A2098,原始经营数据!$E$3:$E$3001,"",原始经营数据!$F$3:$F$3001,$C2098,原始经营数据!$H$3:$H$3001,$D2098,原始经营数据!$K$3:$K$3001,$G2098)&gt;1,"基金整体·来源"&amp;原始经营数据!$A2099,"基金整体")))</f>
        <v/>
      </c>
      <c r="J2098" t="str">
        <f t="shared" si="483"/>
        <v/>
      </c>
      <c r="K2098" t="str">
        <f t="shared" si="484"/>
        <v/>
      </c>
      <c r="L2098" t="str">
        <f t="shared" si="485"/>
        <v/>
      </c>
      <c r="M2098">
        <f>IF($A2098="",0,IF(COUNTIF($L$2:$L2098,$L2098)=1,1,0))</f>
        <v>0</v>
      </c>
      <c r="N2098" t="str">
        <f t="shared" si="486"/>
        <v/>
      </c>
      <c r="O2098" t="str">
        <f t="shared" si="487"/>
        <v/>
      </c>
      <c r="P2098">
        <f>IF($A2098="",0,IF(COUNTIF($O$2:$O2098,$O2098)=1,1,0))</f>
        <v>0</v>
      </c>
      <c r="Q2098" t="str">
        <f>IF(AND($P2098=1,$A2098=经营数据!$B$3,$J2098=经营数据!$BA$5),COUNTIFS($P$2:$P$3000,1,$A$2:$A$3000,$A2098,$J$2:$J$3000,$J2098,$N$2:$N$3000,"&lt;"&amp;$N2098)+1,"")</f>
        <v/>
      </c>
      <c r="R2098" t="str">
        <f t="shared" si="488"/>
        <v/>
      </c>
      <c r="S2098">
        <f>IF($A2098="",0,IF(COUNTIF($R$2:$R2098,$R2098)=1,1,0))</f>
        <v>0</v>
      </c>
      <c r="T2098" t="str">
        <f t="shared" si="489"/>
        <v/>
      </c>
      <c r="U2098" t="str">
        <f>IF($A2098="","",IF($A2098=经营数据!$B$3,COUNTIFS($S$2:$S$3000,1,$A$2:$A$3000,$A2098,$T$2:$T$3000,"&lt;"&amp;$T2098)+1,""))</f>
        <v/>
      </c>
      <c r="V2098" t="str">
        <f t="shared" si="490"/>
        <v/>
      </c>
      <c r="W2098" t="str">
        <f t="shared" si="491"/>
        <v/>
      </c>
      <c r="X2098" t="str">
        <f t="shared" si="492"/>
        <v/>
      </c>
      <c r="Y2098" t="str">
        <f t="shared" si="493"/>
        <v/>
      </c>
      <c r="Z2098">
        <f>IF($A2098="",0,IF(AND($M2098=1,$A2098=经营数据!$B$3,$J2098=经营数据!$BA$5,OR($I2098=经营数据!$BA$4,COUNTIF(经营数据!$AA$9:$AA$38,$I2098)&gt;0)),1,0))</f>
        <v>0</v>
      </c>
      <c r="AA2098" t="str">
        <f t="shared" si="494"/>
        <v/>
      </c>
      <c r="AB2098" t="str">
        <f t="shared" si="495"/>
        <v/>
      </c>
      <c r="AC2098">
        <f>IF($A2098="",0,IF(COUNTIF($A$2:$A2098,$A2098)=1,1,0))</f>
        <v>0</v>
      </c>
      <c r="AD2098">
        <f t="shared" si="496"/>
        <v>29</v>
      </c>
      <c r="AE2098" t="str">
        <f t="shared" si="497"/>
        <v/>
      </c>
    </row>
    <row r="2099" spans="1:31" x14ac:dyDescent="0.4">
      <c r="A2099" t="str">
        <f>IF(原始经营数据!$D2100="","",原始经营数据!$D2100)</f>
        <v/>
      </c>
      <c r="B2099" t="str">
        <f>IF(原始经营数据!$D2100="","",T(原始经营数据!$E2100))</f>
        <v/>
      </c>
      <c r="C2099" t="str">
        <f>IF(原始经营数据!$D2100="","",原始经营数据!$F2100)</f>
        <v/>
      </c>
      <c r="D2099" t="str">
        <f>IF(原始经营数据!$D2100="","",原始经营数据!$H2100)</f>
        <v/>
      </c>
      <c r="E2099" t="str">
        <f>IF(原始经营数据!$D2100="","",原始经营数据!$I2100)</f>
        <v/>
      </c>
      <c r="F2099" t="str">
        <f>IF(原始经营数据!$D2100="","",T(原始经营数据!$J2100))</f>
        <v/>
      </c>
      <c r="G2099" t="str">
        <f>IF(原始经营数据!$D2100="","",T(原始经营数据!$K2100))</f>
        <v/>
      </c>
      <c r="H2099" t="str">
        <f>IF(原始经营数据!$D2100="","",原始经营数据!$G2100)</f>
        <v/>
      </c>
      <c r="I2099" t="str">
        <f>IF($A2099="","",IF($B2099&lt;&gt;"",$B2099,IF(COUNTIFS(原始经营数据!$D$3:$D$3001,$A2099,原始经营数据!$E$3:$E$3001,"",原始经营数据!$F$3:$F$3001,$C2099,原始经营数据!$H$3:$H$3001,$D2099,原始经营数据!$K$3:$K$3001,$G2099)&gt;1,"基金整体·来源"&amp;原始经营数据!$A2100,"基金整体")))</f>
        <v/>
      </c>
      <c r="J2099" t="str">
        <f t="shared" si="483"/>
        <v/>
      </c>
      <c r="K2099" t="str">
        <f t="shared" si="484"/>
        <v/>
      </c>
      <c r="L2099" t="str">
        <f t="shared" si="485"/>
        <v/>
      </c>
      <c r="M2099">
        <f>IF($A2099="",0,IF(COUNTIF($L$2:$L2099,$L2099)=1,1,0))</f>
        <v>0</v>
      </c>
      <c r="N2099" t="str">
        <f t="shared" si="486"/>
        <v/>
      </c>
      <c r="O2099" t="str">
        <f t="shared" si="487"/>
        <v/>
      </c>
      <c r="P2099">
        <f>IF($A2099="",0,IF(COUNTIF($O$2:$O2099,$O2099)=1,1,0))</f>
        <v>0</v>
      </c>
      <c r="Q2099" t="str">
        <f>IF(AND($P2099=1,$A2099=经营数据!$B$3,$J2099=经营数据!$BA$5),COUNTIFS($P$2:$P$3000,1,$A$2:$A$3000,$A2099,$J$2:$J$3000,$J2099,$N$2:$N$3000,"&lt;"&amp;$N2099)+1,"")</f>
        <v/>
      </c>
      <c r="R2099" t="str">
        <f t="shared" si="488"/>
        <v/>
      </c>
      <c r="S2099">
        <f>IF($A2099="",0,IF(COUNTIF($R$2:$R2099,$R2099)=1,1,0))</f>
        <v>0</v>
      </c>
      <c r="T2099" t="str">
        <f t="shared" si="489"/>
        <v/>
      </c>
      <c r="U2099" t="str">
        <f>IF($A2099="","",IF($A2099=经营数据!$B$3,COUNTIFS($S$2:$S$3000,1,$A$2:$A$3000,$A2099,$T$2:$T$3000,"&lt;"&amp;$T2099)+1,""))</f>
        <v/>
      </c>
      <c r="V2099" t="str">
        <f t="shared" si="490"/>
        <v/>
      </c>
      <c r="W2099" t="str">
        <f t="shared" si="491"/>
        <v/>
      </c>
      <c r="X2099" t="str">
        <f t="shared" si="492"/>
        <v/>
      </c>
      <c r="Y2099" t="str">
        <f t="shared" si="493"/>
        <v/>
      </c>
      <c r="Z2099">
        <f>IF($A2099="",0,IF(AND($M2099=1,$A2099=经营数据!$B$3,$J2099=经营数据!$BA$5,OR($I2099=经营数据!$BA$4,COUNTIF(经营数据!$AA$9:$AA$38,$I2099)&gt;0)),1,0))</f>
        <v>0</v>
      </c>
      <c r="AA2099" t="str">
        <f t="shared" si="494"/>
        <v/>
      </c>
      <c r="AB2099" t="str">
        <f t="shared" si="495"/>
        <v/>
      </c>
      <c r="AC2099">
        <f>IF($A2099="",0,IF(COUNTIF($A$2:$A2099,$A2099)=1,1,0))</f>
        <v>0</v>
      </c>
      <c r="AD2099">
        <f t="shared" si="496"/>
        <v>29</v>
      </c>
      <c r="AE2099" t="str">
        <f t="shared" si="497"/>
        <v/>
      </c>
    </row>
    <row r="2100" spans="1:31" x14ac:dyDescent="0.4">
      <c r="A2100" t="str">
        <f>IF(原始经营数据!$D2101="","",原始经营数据!$D2101)</f>
        <v/>
      </c>
      <c r="B2100" t="str">
        <f>IF(原始经营数据!$D2101="","",T(原始经营数据!$E2101))</f>
        <v/>
      </c>
      <c r="C2100" t="str">
        <f>IF(原始经营数据!$D2101="","",原始经营数据!$F2101)</f>
        <v/>
      </c>
      <c r="D2100" t="str">
        <f>IF(原始经营数据!$D2101="","",原始经营数据!$H2101)</f>
        <v/>
      </c>
      <c r="E2100" t="str">
        <f>IF(原始经营数据!$D2101="","",原始经营数据!$I2101)</f>
        <v/>
      </c>
      <c r="F2100" t="str">
        <f>IF(原始经营数据!$D2101="","",T(原始经营数据!$J2101))</f>
        <v/>
      </c>
      <c r="G2100" t="str">
        <f>IF(原始经营数据!$D2101="","",T(原始经营数据!$K2101))</f>
        <v/>
      </c>
      <c r="H2100" t="str">
        <f>IF(原始经营数据!$D2101="","",原始经营数据!$G2101)</f>
        <v/>
      </c>
      <c r="I2100" t="str">
        <f>IF($A2100="","",IF($B2100&lt;&gt;"",$B2100,IF(COUNTIFS(原始经营数据!$D$3:$D$3001,$A2100,原始经营数据!$E$3:$E$3001,"",原始经营数据!$F$3:$F$3001,$C2100,原始经营数据!$H$3:$H$3001,$D2100,原始经营数据!$K$3:$K$3001,$G2100)&gt;1,"基金整体·来源"&amp;原始经营数据!$A2101,"基金整体")))</f>
        <v/>
      </c>
      <c r="J2100" t="str">
        <f t="shared" si="483"/>
        <v/>
      </c>
      <c r="K2100" t="str">
        <f t="shared" si="484"/>
        <v/>
      </c>
      <c r="L2100" t="str">
        <f t="shared" si="485"/>
        <v/>
      </c>
      <c r="M2100">
        <f>IF($A2100="",0,IF(COUNTIF($L$2:$L2100,$L2100)=1,1,0))</f>
        <v>0</v>
      </c>
      <c r="N2100" t="str">
        <f t="shared" si="486"/>
        <v/>
      </c>
      <c r="O2100" t="str">
        <f t="shared" si="487"/>
        <v/>
      </c>
      <c r="P2100">
        <f>IF($A2100="",0,IF(COUNTIF($O$2:$O2100,$O2100)=1,1,0))</f>
        <v>0</v>
      </c>
      <c r="Q2100" t="str">
        <f>IF(AND($P2100=1,$A2100=经营数据!$B$3,$J2100=经营数据!$BA$5),COUNTIFS($P$2:$P$3000,1,$A$2:$A$3000,$A2100,$J$2:$J$3000,$J2100,$N$2:$N$3000,"&lt;"&amp;$N2100)+1,"")</f>
        <v/>
      </c>
      <c r="R2100" t="str">
        <f t="shared" si="488"/>
        <v/>
      </c>
      <c r="S2100">
        <f>IF($A2100="",0,IF(COUNTIF($R$2:$R2100,$R2100)=1,1,0))</f>
        <v>0</v>
      </c>
      <c r="T2100" t="str">
        <f t="shared" si="489"/>
        <v/>
      </c>
      <c r="U2100" t="str">
        <f>IF($A2100="","",IF($A2100=经营数据!$B$3,COUNTIFS($S$2:$S$3000,1,$A$2:$A$3000,$A2100,$T$2:$T$3000,"&lt;"&amp;$T2100)+1,""))</f>
        <v/>
      </c>
      <c r="V2100" t="str">
        <f t="shared" si="490"/>
        <v/>
      </c>
      <c r="W2100" t="str">
        <f t="shared" si="491"/>
        <v/>
      </c>
      <c r="X2100" t="str">
        <f t="shared" si="492"/>
        <v/>
      </c>
      <c r="Y2100" t="str">
        <f t="shared" si="493"/>
        <v/>
      </c>
      <c r="Z2100">
        <f>IF($A2100="",0,IF(AND($M2100=1,$A2100=经营数据!$B$3,$J2100=经营数据!$BA$5,OR($I2100=经营数据!$BA$4,COUNTIF(经营数据!$AA$9:$AA$38,$I2100)&gt;0)),1,0))</f>
        <v>0</v>
      </c>
      <c r="AA2100" t="str">
        <f t="shared" si="494"/>
        <v/>
      </c>
      <c r="AB2100" t="str">
        <f t="shared" si="495"/>
        <v/>
      </c>
      <c r="AC2100">
        <f>IF($A2100="",0,IF(COUNTIF($A$2:$A2100,$A2100)=1,1,0))</f>
        <v>0</v>
      </c>
      <c r="AD2100">
        <f t="shared" si="496"/>
        <v>29</v>
      </c>
      <c r="AE2100" t="str">
        <f t="shared" si="497"/>
        <v/>
      </c>
    </row>
    <row r="2101" spans="1:31" x14ac:dyDescent="0.4">
      <c r="A2101" t="str">
        <f>IF(原始经营数据!$D2102="","",原始经营数据!$D2102)</f>
        <v/>
      </c>
      <c r="B2101" t="str">
        <f>IF(原始经营数据!$D2102="","",T(原始经营数据!$E2102))</f>
        <v/>
      </c>
      <c r="C2101" t="str">
        <f>IF(原始经营数据!$D2102="","",原始经营数据!$F2102)</f>
        <v/>
      </c>
      <c r="D2101" t="str">
        <f>IF(原始经营数据!$D2102="","",原始经营数据!$H2102)</f>
        <v/>
      </c>
      <c r="E2101" t="str">
        <f>IF(原始经营数据!$D2102="","",原始经营数据!$I2102)</f>
        <v/>
      </c>
      <c r="F2101" t="str">
        <f>IF(原始经营数据!$D2102="","",T(原始经营数据!$J2102))</f>
        <v/>
      </c>
      <c r="G2101" t="str">
        <f>IF(原始经营数据!$D2102="","",T(原始经营数据!$K2102))</f>
        <v/>
      </c>
      <c r="H2101" t="str">
        <f>IF(原始经营数据!$D2102="","",原始经营数据!$G2102)</f>
        <v/>
      </c>
      <c r="I2101" t="str">
        <f>IF($A2101="","",IF($B2101&lt;&gt;"",$B2101,IF(COUNTIFS(原始经营数据!$D$3:$D$3001,$A2101,原始经营数据!$E$3:$E$3001,"",原始经营数据!$F$3:$F$3001,$C2101,原始经营数据!$H$3:$H$3001,$D2101,原始经营数据!$K$3:$K$3001,$G2101)&gt;1,"基金整体·来源"&amp;原始经营数据!$A2102,"基金整体")))</f>
        <v/>
      </c>
      <c r="J2101" t="str">
        <f t="shared" si="483"/>
        <v/>
      </c>
      <c r="K2101" t="str">
        <f t="shared" si="484"/>
        <v/>
      </c>
      <c r="L2101" t="str">
        <f t="shared" si="485"/>
        <v/>
      </c>
      <c r="M2101">
        <f>IF($A2101="",0,IF(COUNTIF($L$2:$L2101,$L2101)=1,1,0))</f>
        <v>0</v>
      </c>
      <c r="N2101" t="str">
        <f t="shared" si="486"/>
        <v/>
      </c>
      <c r="O2101" t="str">
        <f t="shared" si="487"/>
        <v/>
      </c>
      <c r="P2101">
        <f>IF($A2101="",0,IF(COUNTIF($O$2:$O2101,$O2101)=1,1,0))</f>
        <v>0</v>
      </c>
      <c r="Q2101" t="str">
        <f>IF(AND($P2101=1,$A2101=经营数据!$B$3,$J2101=经营数据!$BA$5),COUNTIFS($P$2:$P$3000,1,$A$2:$A$3000,$A2101,$J$2:$J$3000,$J2101,$N$2:$N$3000,"&lt;"&amp;$N2101)+1,"")</f>
        <v/>
      </c>
      <c r="R2101" t="str">
        <f t="shared" si="488"/>
        <v/>
      </c>
      <c r="S2101">
        <f>IF($A2101="",0,IF(COUNTIF($R$2:$R2101,$R2101)=1,1,0))</f>
        <v>0</v>
      </c>
      <c r="T2101" t="str">
        <f t="shared" si="489"/>
        <v/>
      </c>
      <c r="U2101" t="str">
        <f>IF($A2101="","",IF($A2101=经营数据!$B$3,COUNTIFS($S$2:$S$3000,1,$A$2:$A$3000,$A2101,$T$2:$T$3000,"&lt;"&amp;$T2101)+1,""))</f>
        <v/>
      </c>
      <c r="V2101" t="str">
        <f t="shared" si="490"/>
        <v/>
      </c>
      <c r="W2101" t="str">
        <f t="shared" si="491"/>
        <v/>
      </c>
      <c r="X2101" t="str">
        <f t="shared" si="492"/>
        <v/>
      </c>
      <c r="Y2101" t="str">
        <f t="shared" si="493"/>
        <v/>
      </c>
      <c r="Z2101">
        <f>IF($A2101="",0,IF(AND($M2101=1,$A2101=经营数据!$B$3,$J2101=经营数据!$BA$5,OR($I2101=经营数据!$BA$4,COUNTIF(经营数据!$AA$9:$AA$38,$I2101)&gt;0)),1,0))</f>
        <v>0</v>
      </c>
      <c r="AA2101" t="str">
        <f t="shared" si="494"/>
        <v/>
      </c>
      <c r="AB2101" t="str">
        <f t="shared" si="495"/>
        <v/>
      </c>
      <c r="AC2101">
        <f>IF($A2101="",0,IF(COUNTIF($A$2:$A2101,$A2101)=1,1,0))</f>
        <v>0</v>
      </c>
      <c r="AD2101">
        <f t="shared" si="496"/>
        <v>29</v>
      </c>
      <c r="AE2101" t="str">
        <f t="shared" si="497"/>
        <v/>
      </c>
    </row>
    <row r="2102" spans="1:31" x14ac:dyDescent="0.4">
      <c r="A2102" t="str">
        <f>IF(原始经营数据!$D2103="","",原始经营数据!$D2103)</f>
        <v/>
      </c>
      <c r="B2102" t="str">
        <f>IF(原始经营数据!$D2103="","",T(原始经营数据!$E2103))</f>
        <v/>
      </c>
      <c r="C2102" t="str">
        <f>IF(原始经营数据!$D2103="","",原始经营数据!$F2103)</f>
        <v/>
      </c>
      <c r="D2102" t="str">
        <f>IF(原始经营数据!$D2103="","",原始经营数据!$H2103)</f>
        <v/>
      </c>
      <c r="E2102" t="str">
        <f>IF(原始经营数据!$D2103="","",原始经营数据!$I2103)</f>
        <v/>
      </c>
      <c r="F2102" t="str">
        <f>IF(原始经营数据!$D2103="","",T(原始经营数据!$J2103))</f>
        <v/>
      </c>
      <c r="G2102" t="str">
        <f>IF(原始经营数据!$D2103="","",T(原始经营数据!$K2103))</f>
        <v/>
      </c>
      <c r="H2102" t="str">
        <f>IF(原始经营数据!$D2103="","",原始经营数据!$G2103)</f>
        <v/>
      </c>
      <c r="I2102" t="str">
        <f>IF($A2102="","",IF($B2102&lt;&gt;"",$B2102,IF(COUNTIFS(原始经营数据!$D$3:$D$3001,$A2102,原始经营数据!$E$3:$E$3001,"",原始经营数据!$F$3:$F$3001,$C2102,原始经营数据!$H$3:$H$3001,$D2102,原始经营数据!$K$3:$K$3001,$G2102)&gt;1,"基金整体·来源"&amp;原始经营数据!$A2103,"基金整体")))</f>
        <v/>
      </c>
      <c r="J2102" t="str">
        <f t="shared" si="483"/>
        <v/>
      </c>
      <c r="K2102" t="str">
        <f t="shared" si="484"/>
        <v/>
      </c>
      <c r="L2102" t="str">
        <f t="shared" si="485"/>
        <v/>
      </c>
      <c r="M2102">
        <f>IF($A2102="",0,IF(COUNTIF($L$2:$L2102,$L2102)=1,1,0))</f>
        <v>0</v>
      </c>
      <c r="N2102" t="str">
        <f t="shared" si="486"/>
        <v/>
      </c>
      <c r="O2102" t="str">
        <f t="shared" si="487"/>
        <v/>
      </c>
      <c r="P2102">
        <f>IF($A2102="",0,IF(COUNTIF($O$2:$O2102,$O2102)=1,1,0))</f>
        <v>0</v>
      </c>
      <c r="Q2102" t="str">
        <f>IF(AND($P2102=1,$A2102=经营数据!$B$3,$J2102=经营数据!$BA$5),COUNTIFS($P$2:$P$3000,1,$A$2:$A$3000,$A2102,$J$2:$J$3000,$J2102,$N$2:$N$3000,"&lt;"&amp;$N2102)+1,"")</f>
        <v/>
      </c>
      <c r="R2102" t="str">
        <f t="shared" si="488"/>
        <v/>
      </c>
      <c r="S2102">
        <f>IF($A2102="",0,IF(COUNTIF($R$2:$R2102,$R2102)=1,1,0))</f>
        <v>0</v>
      </c>
      <c r="T2102" t="str">
        <f t="shared" si="489"/>
        <v/>
      </c>
      <c r="U2102" t="str">
        <f>IF($A2102="","",IF($A2102=经营数据!$B$3,COUNTIFS($S$2:$S$3000,1,$A$2:$A$3000,$A2102,$T$2:$T$3000,"&lt;"&amp;$T2102)+1,""))</f>
        <v/>
      </c>
      <c r="V2102" t="str">
        <f t="shared" si="490"/>
        <v/>
      </c>
      <c r="W2102" t="str">
        <f t="shared" si="491"/>
        <v/>
      </c>
      <c r="X2102" t="str">
        <f t="shared" si="492"/>
        <v/>
      </c>
      <c r="Y2102" t="str">
        <f t="shared" si="493"/>
        <v/>
      </c>
      <c r="Z2102">
        <f>IF($A2102="",0,IF(AND($M2102=1,$A2102=经营数据!$B$3,$J2102=经营数据!$BA$5,OR($I2102=经营数据!$BA$4,COUNTIF(经营数据!$AA$9:$AA$38,$I2102)&gt;0)),1,0))</f>
        <v>0</v>
      </c>
      <c r="AA2102" t="str">
        <f t="shared" si="494"/>
        <v/>
      </c>
      <c r="AB2102" t="str">
        <f t="shared" si="495"/>
        <v/>
      </c>
      <c r="AC2102">
        <f>IF($A2102="",0,IF(COUNTIF($A$2:$A2102,$A2102)=1,1,0))</f>
        <v>0</v>
      </c>
      <c r="AD2102">
        <f t="shared" si="496"/>
        <v>29</v>
      </c>
      <c r="AE2102" t="str">
        <f t="shared" si="497"/>
        <v/>
      </c>
    </row>
    <row r="2103" spans="1:31" x14ac:dyDescent="0.4">
      <c r="A2103" t="str">
        <f>IF(原始经营数据!$D2104="","",原始经营数据!$D2104)</f>
        <v/>
      </c>
      <c r="B2103" t="str">
        <f>IF(原始经营数据!$D2104="","",T(原始经营数据!$E2104))</f>
        <v/>
      </c>
      <c r="C2103" t="str">
        <f>IF(原始经营数据!$D2104="","",原始经营数据!$F2104)</f>
        <v/>
      </c>
      <c r="D2103" t="str">
        <f>IF(原始经营数据!$D2104="","",原始经营数据!$H2104)</f>
        <v/>
      </c>
      <c r="E2103" t="str">
        <f>IF(原始经营数据!$D2104="","",原始经营数据!$I2104)</f>
        <v/>
      </c>
      <c r="F2103" t="str">
        <f>IF(原始经营数据!$D2104="","",T(原始经营数据!$J2104))</f>
        <v/>
      </c>
      <c r="G2103" t="str">
        <f>IF(原始经营数据!$D2104="","",T(原始经营数据!$K2104))</f>
        <v/>
      </c>
      <c r="H2103" t="str">
        <f>IF(原始经营数据!$D2104="","",原始经营数据!$G2104)</f>
        <v/>
      </c>
      <c r="I2103" t="str">
        <f>IF($A2103="","",IF($B2103&lt;&gt;"",$B2103,IF(COUNTIFS(原始经营数据!$D$3:$D$3001,$A2103,原始经营数据!$E$3:$E$3001,"",原始经营数据!$F$3:$F$3001,$C2103,原始经营数据!$H$3:$H$3001,$D2103,原始经营数据!$K$3:$K$3001,$G2103)&gt;1,"基金整体·来源"&amp;原始经营数据!$A2104,"基金整体")))</f>
        <v/>
      </c>
      <c r="J2103" t="str">
        <f t="shared" si="483"/>
        <v/>
      </c>
      <c r="K2103" t="str">
        <f t="shared" si="484"/>
        <v/>
      </c>
      <c r="L2103" t="str">
        <f t="shared" si="485"/>
        <v/>
      </c>
      <c r="M2103">
        <f>IF($A2103="",0,IF(COUNTIF($L$2:$L2103,$L2103)=1,1,0))</f>
        <v>0</v>
      </c>
      <c r="N2103" t="str">
        <f t="shared" si="486"/>
        <v/>
      </c>
      <c r="O2103" t="str">
        <f t="shared" si="487"/>
        <v/>
      </c>
      <c r="P2103">
        <f>IF($A2103="",0,IF(COUNTIF($O$2:$O2103,$O2103)=1,1,0))</f>
        <v>0</v>
      </c>
      <c r="Q2103" t="str">
        <f>IF(AND($P2103=1,$A2103=经营数据!$B$3,$J2103=经营数据!$BA$5),COUNTIFS($P$2:$P$3000,1,$A$2:$A$3000,$A2103,$J$2:$J$3000,$J2103,$N$2:$N$3000,"&lt;"&amp;$N2103)+1,"")</f>
        <v/>
      </c>
      <c r="R2103" t="str">
        <f t="shared" si="488"/>
        <v/>
      </c>
      <c r="S2103">
        <f>IF($A2103="",0,IF(COUNTIF($R$2:$R2103,$R2103)=1,1,0))</f>
        <v>0</v>
      </c>
      <c r="T2103" t="str">
        <f t="shared" si="489"/>
        <v/>
      </c>
      <c r="U2103" t="str">
        <f>IF($A2103="","",IF($A2103=经营数据!$B$3,COUNTIFS($S$2:$S$3000,1,$A$2:$A$3000,$A2103,$T$2:$T$3000,"&lt;"&amp;$T2103)+1,""))</f>
        <v/>
      </c>
      <c r="V2103" t="str">
        <f t="shared" si="490"/>
        <v/>
      </c>
      <c r="W2103" t="str">
        <f t="shared" si="491"/>
        <v/>
      </c>
      <c r="X2103" t="str">
        <f t="shared" si="492"/>
        <v/>
      </c>
      <c r="Y2103" t="str">
        <f t="shared" si="493"/>
        <v/>
      </c>
      <c r="Z2103">
        <f>IF($A2103="",0,IF(AND($M2103=1,$A2103=经营数据!$B$3,$J2103=经营数据!$BA$5,OR($I2103=经营数据!$BA$4,COUNTIF(经营数据!$AA$9:$AA$38,$I2103)&gt;0)),1,0))</f>
        <v>0</v>
      </c>
      <c r="AA2103" t="str">
        <f t="shared" si="494"/>
        <v/>
      </c>
      <c r="AB2103" t="str">
        <f t="shared" si="495"/>
        <v/>
      </c>
      <c r="AC2103">
        <f>IF($A2103="",0,IF(COUNTIF($A$2:$A2103,$A2103)=1,1,0))</f>
        <v>0</v>
      </c>
      <c r="AD2103">
        <f t="shared" si="496"/>
        <v>29</v>
      </c>
      <c r="AE2103" t="str">
        <f t="shared" si="497"/>
        <v/>
      </c>
    </row>
    <row r="2104" spans="1:31" x14ac:dyDescent="0.4">
      <c r="A2104" t="str">
        <f>IF(原始经营数据!$D2105="","",原始经营数据!$D2105)</f>
        <v/>
      </c>
      <c r="B2104" t="str">
        <f>IF(原始经营数据!$D2105="","",T(原始经营数据!$E2105))</f>
        <v/>
      </c>
      <c r="C2104" t="str">
        <f>IF(原始经营数据!$D2105="","",原始经营数据!$F2105)</f>
        <v/>
      </c>
      <c r="D2104" t="str">
        <f>IF(原始经营数据!$D2105="","",原始经营数据!$H2105)</f>
        <v/>
      </c>
      <c r="E2104" t="str">
        <f>IF(原始经营数据!$D2105="","",原始经营数据!$I2105)</f>
        <v/>
      </c>
      <c r="F2104" t="str">
        <f>IF(原始经营数据!$D2105="","",T(原始经营数据!$J2105))</f>
        <v/>
      </c>
      <c r="G2104" t="str">
        <f>IF(原始经营数据!$D2105="","",T(原始经营数据!$K2105))</f>
        <v/>
      </c>
      <c r="H2104" t="str">
        <f>IF(原始经营数据!$D2105="","",原始经营数据!$G2105)</f>
        <v/>
      </c>
      <c r="I2104" t="str">
        <f>IF($A2104="","",IF($B2104&lt;&gt;"",$B2104,IF(COUNTIFS(原始经营数据!$D$3:$D$3001,$A2104,原始经营数据!$E$3:$E$3001,"",原始经营数据!$F$3:$F$3001,$C2104,原始经营数据!$H$3:$H$3001,$D2104,原始经营数据!$K$3:$K$3001,$G2104)&gt;1,"基金整体·来源"&amp;原始经营数据!$A2105,"基金整体")))</f>
        <v/>
      </c>
      <c r="J2104" t="str">
        <f t="shared" si="483"/>
        <v/>
      </c>
      <c r="K2104" t="str">
        <f t="shared" si="484"/>
        <v/>
      </c>
      <c r="L2104" t="str">
        <f t="shared" si="485"/>
        <v/>
      </c>
      <c r="M2104">
        <f>IF($A2104="",0,IF(COUNTIF($L$2:$L2104,$L2104)=1,1,0))</f>
        <v>0</v>
      </c>
      <c r="N2104" t="str">
        <f t="shared" si="486"/>
        <v/>
      </c>
      <c r="O2104" t="str">
        <f t="shared" si="487"/>
        <v/>
      </c>
      <c r="P2104">
        <f>IF($A2104="",0,IF(COUNTIF($O$2:$O2104,$O2104)=1,1,0))</f>
        <v>0</v>
      </c>
      <c r="Q2104" t="str">
        <f>IF(AND($P2104=1,$A2104=经营数据!$B$3,$J2104=经营数据!$BA$5),COUNTIFS($P$2:$P$3000,1,$A$2:$A$3000,$A2104,$J$2:$J$3000,$J2104,$N$2:$N$3000,"&lt;"&amp;$N2104)+1,"")</f>
        <v/>
      </c>
      <c r="R2104" t="str">
        <f t="shared" si="488"/>
        <v/>
      </c>
      <c r="S2104">
        <f>IF($A2104="",0,IF(COUNTIF($R$2:$R2104,$R2104)=1,1,0))</f>
        <v>0</v>
      </c>
      <c r="T2104" t="str">
        <f t="shared" si="489"/>
        <v/>
      </c>
      <c r="U2104" t="str">
        <f>IF($A2104="","",IF($A2104=经营数据!$B$3,COUNTIFS($S$2:$S$3000,1,$A$2:$A$3000,$A2104,$T$2:$T$3000,"&lt;"&amp;$T2104)+1,""))</f>
        <v/>
      </c>
      <c r="V2104" t="str">
        <f t="shared" si="490"/>
        <v/>
      </c>
      <c r="W2104" t="str">
        <f t="shared" si="491"/>
        <v/>
      </c>
      <c r="X2104" t="str">
        <f t="shared" si="492"/>
        <v/>
      </c>
      <c r="Y2104" t="str">
        <f t="shared" si="493"/>
        <v/>
      </c>
      <c r="Z2104">
        <f>IF($A2104="",0,IF(AND($M2104=1,$A2104=经营数据!$B$3,$J2104=经营数据!$BA$5,OR($I2104=经营数据!$BA$4,COUNTIF(经营数据!$AA$9:$AA$38,$I2104)&gt;0)),1,0))</f>
        <v>0</v>
      </c>
      <c r="AA2104" t="str">
        <f t="shared" si="494"/>
        <v/>
      </c>
      <c r="AB2104" t="str">
        <f t="shared" si="495"/>
        <v/>
      </c>
      <c r="AC2104">
        <f>IF($A2104="",0,IF(COUNTIF($A$2:$A2104,$A2104)=1,1,0))</f>
        <v>0</v>
      </c>
      <c r="AD2104">
        <f t="shared" si="496"/>
        <v>29</v>
      </c>
      <c r="AE2104" t="str">
        <f t="shared" si="497"/>
        <v/>
      </c>
    </row>
    <row r="2105" spans="1:31" x14ac:dyDescent="0.4">
      <c r="A2105" t="str">
        <f>IF(原始经营数据!$D2106="","",原始经营数据!$D2106)</f>
        <v/>
      </c>
      <c r="B2105" t="str">
        <f>IF(原始经营数据!$D2106="","",T(原始经营数据!$E2106))</f>
        <v/>
      </c>
      <c r="C2105" t="str">
        <f>IF(原始经营数据!$D2106="","",原始经营数据!$F2106)</f>
        <v/>
      </c>
      <c r="D2105" t="str">
        <f>IF(原始经营数据!$D2106="","",原始经营数据!$H2106)</f>
        <v/>
      </c>
      <c r="E2105" t="str">
        <f>IF(原始经营数据!$D2106="","",原始经营数据!$I2106)</f>
        <v/>
      </c>
      <c r="F2105" t="str">
        <f>IF(原始经营数据!$D2106="","",T(原始经营数据!$J2106))</f>
        <v/>
      </c>
      <c r="G2105" t="str">
        <f>IF(原始经营数据!$D2106="","",T(原始经营数据!$K2106))</f>
        <v/>
      </c>
      <c r="H2105" t="str">
        <f>IF(原始经营数据!$D2106="","",原始经营数据!$G2106)</f>
        <v/>
      </c>
      <c r="I2105" t="str">
        <f>IF($A2105="","",IF($B2105&lt;&gt;"",$B2105,IF(COUNTIFS(原始经营数据!$D$3:$D$3001,$A2105,原始经营数据!$E$3:$E$3001,"",原始经营数据!$F$3:$F$3001,$C2105,原始经营数据!$H$3:$H$3001,$D2105,原始经营数据!$K$3:$K$3001,$G2105)&gt;1,"基金整体·来源"&amp;原始经营数据!$A2106,"基金整体")))</f>
        <v/>
      </c>
      <c r="J2105" t="str">
        <f t="shared" si="483"/>
        <v/>
      </c>
      <c r="K2105" t="str">
        <f t="shared" si="484"/>
        <v/>
      </c>
      <c r="L2105" t="str">
        <f t="shared" si="485"/>
        <v/>
      </c>
      <c r="M2105">
        <f>IF($A2105="",0,IF(COUNTIF($L$2:$L2105,$L2105)=1,1,0))</f>
        <v>0</v>
      </c>
      <c r="N2105" t="str">
        <f t="shared" si="486"/>
        <v/>
      </c>
      <c r="O2105" t="str">
        <f t="shared" si="487"/>
        <v/>
      </c>
      <c r="P2105">
        <f>IF($A2105="",0,IF(COUNTIF($O$2:$O2105,$O2105)=1,1,0))</f>
        <v>0</v>
      </c>
      <c r="Q2105" t="str">
        <f>IF(AND($P2105=1,$A2105=经营数据!$B$3,$J2105=经营数据!$BA$5),COUNTIFS($P$2:$P$3000,1,$A$2:$A$3000,$A2105,$J$2:$J$3000,$J2105,$N$2:$N$3000,"&lt;"&amp;$N2105)+1,"")</f>
        <v/>
      </c>
      <c r="R2105" t="str">
        <f t="shared" si="488"/>
        <v/>
      </c>
      <c r="S2105">
        <f>IF($A2105="",0,IF(COUNTIF($R$2:$R2105,$R2105)=1,1,0))</f>
        <v>0</v>
      </c>
      <c r="T2105" t="str">
        <f t="shared" si="489"/>
        <v/>
      </c>
      <c r="U2105" t="str">
        <f>IF($A2105="","",IF($A2105=经营数据!$B$3,COUNTIFS($S$2:$S$3000,1,$A$2:$A$3000,$A2105,$T$2:$T$3000,"&lt;"&amp;$T2105)+1,""))</f>
        <v/>
      </c>
      <c r="V2105" t="str">
        <f t="shared" si="490"/>
        <v/>
      </c>
      <c r="W2105" t="str">
        <f t="shared" si="491"/>
        <v/>
      </c>
      <c r="X2105" t="str">
        <f t="shared" si="492"/>
        <v/>
      </c>
      <c r="Y2105" t="str">
        <f t="shared" si="493"/>
        <v/>
      </c>
      <c r="Z2105">
        <f>IF($A2105="",0,IF(AND($M2105=1,$A2105=经营数据!$B$3,$J2105=经营数据!$BA$5,OR($I2105=经营数据!$BA$4,COUNTIF(经营数据!$AA$9:$AA$38,$I2105)&gt;0)),1,0))</f>
        <v>0</v>
      </c>
      <c r="AA2105" t="str">
        <f t="shared" si="494"/>
        <v/>
      </c>
      <c r="AB2105" t="str">
        <f t="shared" si="495"/>
        <v/>
      </c>
      <c r="AC2105">
        <f>IF($A2105="",0,IF(COUNTIF($A$2:$A2105,$A2105)=1,1,0))</f>
        <v>0</v>
      </c>
      <c r="AD2105">
        <f t="shared" si="496"/>
        <v>29</v>
      </c>
      <c r="AE2105" t="str">
        <f t="shared" si="497"/>
        <v/>
      </c>
    </row>
    <row r="2106" spans="1:31" x14ac:dyDescent="0.4">
      <c r="A2106" t="str">
        <f>IF(原始经营数据!$D2107="","",原始经营数据!$D2107)</f>
        <v/>
      </c>
      <c r="B2106" t="str">
        <f>IF(原始经营数据!$D2107="","",T(原始经营数据!$E2107))</f>
        <v/>
      </c>
      <c r="C2106" t="str">
        <f>IF(原始经营数据!$D2107="","",原始经营数据!$F2107)</f>
        <v/>
      </c>
      <c r="D2106" t="str">
        <f>IF(原始经营数据!$D2107="","",原始经营数据!$H2107)</f>
        <v/>
      </c>
      <c r="E2106" t="str">
        <f>IF(原始经营数据!$D2107="","",原始经营数据!$I2107)</f>
        <v/>
      </c>
      <c r="F2106" t="str">
        <f>IF(原始经营数据!$D2107="","",T(原始经营数据!$J2107))</f>
        <v/>
      </c>
      <c r="G2106" t="str">
        <f>IF(原始经营数据!$D2107="","",T(原始经营数据!$K2107))</f>
        <v/>
      </c>
      <c r="H2106" t="str">
        <f>IF(原始经营数据!$D2107="","",原始经营数据!$G2107)</f>
        <v/>
      </c>
      <c r="I2106" t="str">
        <f>IF($A2106="","",IF($B2106&lt;&gt;"",$B2106,IF(COUNTIFS(原始经营数据!$D$3:$D$3001,$A2106,原始经营数据!$E$3:$E$3001,"",原始经营数据!$F$3:$F$3001,$C2106,原始经营数据!$H$3:$H$3001,$D2106,原始经营数据!$K$3:$K$3001,$G2106)&gt;1,"基金整体·来源"&amp;原始经营数据!$A2107,"基金整体")))</f>
        <v/>
      </c>
      <c r="J2106" t="str">
        <f t="shared" si="483"/>
        <v/>
      </c>
      <c r="K2106" t="str">
        <f t="shared" si="484"/>
        <v/>
      </c>
      <c r="L2106" t="str">
        <f t="shared" si="485"/>
        <v/>
      </c>
      <c r="M2106">
        <f>IF($A2106="",0,IF(COUNTIF($L$2:$L2106,$L2106)=1,1,0))</f>
        <v>0</v>
      </c>
      <c r="N2106" t="str">
        <f t="shared" si="486"/>
        <v/>
      </c>
      <c r="O2106" t="str">
        <f t="shared" si="487"/>
        <v/>
      </c>
      <c r="P2106">
        <f>IF($A2106="",0,IF(COUNTIF($O$2:$O2106,$O2106)=1,1,0))</f>
        <v>0</v>
      </c>
      <c r="Q2106" t="str">
        <f>IF(AND($P2106=1,$A2106=经营数据!$B$3,$J2106=经营数据!$BA$5),COUNTIFS($P$2:$P$3000,1,$A$2:$A$3000,$A2106,$J$2:$J$3000,$J2106,$N$2:$N$3000,"&lt;"&amp;$N2106)+1,"")</f>
        <v/>
      </c>
      <c r="R2106" t="str">
        <f t="shared" si="488"/>
        <v/>
      </c>
      <c r="S2106">
        <f>IF($A2106="",0,IF(COUNTIF($R$2:$R2106,$R2106)=1,1,0))</f>
        <v>0</v>
      </c>
      <c r="T2106" t="str">
        <f t="shared" si="489"/>
        <v/>
      </c>
      <c r="U2106" t="str">
        <f>IF($A2106="","",IF($A2106=经营数据!$B$3,COUNTIFS($S$2:$S$3000,1,$A$2:$A$3000,$A2106,$T$2:$T$3000,"&lt;"&amp;$T2106)+1,""))</f>
        <v/>
      </c>
      <c r="V2106" t="str">
        <f t="shared" si="490"/>
        <v/>
      </c>
      <c r="W2106" t="str">
        <f t="shared" si="491"/>
        <v/>
      </c>
      <c r="X2106" t="str">
        <f t="shared" si="492"/>
        <v/>
      </c>
      <c r="Y2106" t="str">
        <f t="shared" si="493"/>
        <v/>
      </c>
      <c r="Z2106">
        <f>IF($A2106="",0,IF(AND($M2106=1,$A2106=经营数据!$B$3,$J2106=经营数据!$BA$5,OR($I2106=经营数据!$BA$4,COUNTIF(经营数据!$AA$9:$AA$38,$I2106)&gt;0)),1,0))</f>
        <v>0</v>
      </c>
      <c r="AA2106" t="str">
        <f t="shared" si="494"/>
        <v/>
      </c>
      <c r="AB2106" t="str">
        <f t="shared" si="495"/>
        <v/>
      </c>
      <c r="AC2106">
        <f>IF($A2106="",0,IF(COUNTIF($A$2:$A2106,$A2106)=1,1,0))</f>
        <v>0</v>
      </c>
      <c r="AD2106">
        <f t="shared" si="496"/>
        <v>29</v>
      </c>
      <c r="AE2106" t="str">
        <f t="shared" si="497"/>
        <v/>
      </c>
    </row>
    <row r="2107" spans="1:31" x14ac:dyDescent="0.4">
      <c r="A2107" t="str">
        <f>IF(原始经营数据!$D2108="","",原始经营数据!$D2108)</f>
        <v/>
      </c>
      <c r="B2107" t="str">
        <f>IF(原始经营数据!$D2108="","",T(原始经营数据!$E2108))</f>
        <v/>
      </c>
      <c r="C2107" t="str">
        <f>IF(原始经营数据!$D2108="","",原始经营数据!$F2108)</f>
        <v/>
      </c>
      <c r="D2107" t="str">
        <f>IF(原始经营数据!$D2108="","",原始经营数据!$H2108)</f>
        <v/>
      </c>
      <c r="E2107" t="str">
        <f>IF(原始经营数据!$D2108="","",原始经营数据!$I2108)</f>
        <v/>
      </c>
      <c r="F2107" t="str">
        <f>IF(原始经营数据!$D2108="","",T(原始经营数据!$J2108))</f>
        <v/>
      </c>
      <c r="G2107" t="str">
        <f>IF(原始经营数据!$D2108="","",T(原始经营数据!$K2108))</f>
        <v/>
      </c>
      <c r="H2107" t="str">
        <f>IF(原始经营数据!$D2108="","",原始经营数据!$G2108)</f>
        <v/>
      </c>
      <c r="I2107" t="str">
        <f>IF($A2107="","",IF($B2107&lt;&gt;"",$B2107,IF(COUNTIFS(原始经营数据!$D$3:$D$3001,$A2107,原始经营数据!$E$3:$E$3001,"",原始经营数据!$F$3:$F$3001,$C2107,原始经营数据!$H$3:$H$3001,$D2107,原始经营数据!$K$3:$K$3001,$G2107)&gt;1,"基金整体·来源"&amp;原始经营数据!$A2108,"基金整体")))</f>
        <v/>
      </c>
      <c r="J2107" t="str">
        <f t="shared" si="483"/>
        <v/>
      </c>
      <c r="K2107" t="str">
        <f t="shared" si="484"/>
        <v/>
      </c>
      <c r="L2107" t="str">
        <f t="shared" si="485"/>
        <v/>
      </c>
      <c r="M2107">
        <f>IF($A2107="",0,IF(COUNTIF($L$2:$L2107,$L2107)=1,1,0))</f>
        <v>0</v>
      </c>
      <c r="N2107" t="str">
        <f t="shared" si="486"/>
        <v/>
      </c>
      <c r="O2107" t="str">
        <f t="shared" si="487"/>
        <v/>
      </c>
      <c r="P2107">
        <f>IF($A2107="",0,IF(COUNTIF($O$2:$O2107,$O2107)=1,1,0))</f>
        <v>0</v>
      </c>
      <c r="Q2107" t="str">
        <f>IF(AND($P2107=1,$A2107=经营数据!$B$3,$J2107=经营数据!$BA$5),COUNTIFS($P$2:$P$3000,1,$A$2:$A$3000,$A2107,$J$2:$J$3000,$J2107,$N$2:$N$3000,"&lt;"&amp;$N2107)+1,"")</f>
        <v/>
      </c>
      <c r="R2107" t="str">
        <f t="shared" si="488"/>
        <v/>
      </c>
      <c r="S2107">
        <f>IF($A2107="",0,IF(COUNTIF($R$2:$R2107,$R2107)=1,1,0))</f>
        <v>0</v>
      </c>
      <c r="T2107" t="str">
        <f t="shared" si="489"/>
        <v/>
      </c>
      <c r="U2107" t="str">
        <f>IF($A2107="","",IF($A2107=经营数据!$B$3,COUNTIFS($S$2:$S$3000,1,$A$2:$A$3000,$A2107,$T$2:$T$3000,"&lt;"&amp;$T2107)+1,""))</f>
        <v/>
      </c>
      <c r="V2107" t="str">
        <f t="shared" si="490"/>
        <v/>
      </c>
      <c r="W2107" t="str">
        <f t="shared" si="491"/>
        <v/>
      </c>
      <c r="X2107" t="str">
        <f t="shared" si="492"/>
        <v/>
      </c>
      <c r="Y2107" t="str">
        <f t="shared" si="493"/>
        <v/>
      </c>
      <c r="Z2107">
        <f>IF($A2107="",0,IF(AND($M2107=1,$A2107=经营数据!$B$3,$J2107=经营数据!$BA$5,OR($I2107=经营数据!$BA$4,COUNTIF(经营数据!$AA$9:$AA$38,$I2107)&gt;0)),1,0))</f>
        <v>0</v>
      </c>
      <c r="AA2107" t="str">
        <f t="shared" si="494"/>
        <v/>
      </c>
      <c r="AB2107" t="str">
        <f t="shared" si="495"/>
        <v/>
      </c>
      <c r="AC2107">
        <f>IF($A2107="",0,IF(COUNTIF($A$2:$A2107,$A2107)=1,1,0))</f>
        <v>0</v>
      </c>
      <c r="AD2107">
        <f t="shared" si="496"/>
        <v>29</v>
      </c>
      <c r="AE2107" t="str">
        <f t="shared" si="497"/>
        <v/>
      </c>
    </row>
    <row r="2108" spans="1:31" x14ac:dyDescent="0.4">
      <c r="A2108" t="str">
        <f>IF(原始经营数据!$D2109="","",原始经营数据!$D2109)</f>
        <v/>
      </c>
      <c r="B2108" t="str">
        <f>IF(原始经营数据!$D2109="","",T(原始经营数据!$E2109))</f>
        <v/>
      </c>
      <c r="C2108" t="str">
        <f>IF(原始经营数据!$D2109="","",原始经营数据!$F2109)</f>
        <v/>
      </c>
      <c r="D2108" t="str">
        <f>IF(原始经营数据!$D2109="","",原始经营数据!$H2109)</f>
        <v/>
      </c>
      <c r="E2108" t="str">
        <f>IF(原始经营数据!$D2109="","",原始经营数据!$I2109)</f>
        <v/>
      </c>
      <c r="F2108" t="str">
        <f>IF(原始经营数据!$D2109="","",T(原始经营数据!$J2109))</f>
        <v/>
      </c>
      <c r="G2108" t="str">
        <f>IF(原始经营数据!$D2109="","",T(原始经营数据!$K2109))</f>
        <v/>
      </c>
      <c r="H2108" t="str">
        <f>IF(原始经营数据!$D2109="","",原始经营数据!$G2109)</f>
        <v/>
      </c>
      <c r="I2108" t="str">
        <f>IF($A2108="","",IF($B2108&lt;&gt;"",$B2108,IF(COUNTIFS(原始经营数据!$D$3:$D$3001,$A2108,原始经营数据!$E$3:$E$3001,"",原始经营数据!$F$3:$F$3001,$C2108,原始经营数据!$H$3:$H$3001,$D2108,原始经营数据!$K$3:$K$3001,$G2108)&gt;1,"基金整体·来源"&amp;原始经营数据!$A2109,"基金整体")))</f>
        <v/>
      </c>
      <c r="J2108" t="str">
        <f t="shared" si="483"/>
        <v/>
      </c>
      <c r="K2108" t="str">
        <f t="shared" si="484"/>
        <v/>
      </c>
      <c r="L2108" t="str">
        <f t="shared" si="485"/>
        <v/>
      </c>
      <c r="M2108">
        <f>IF($A2108="",0,IF(COUNTIF($L$2:$L2108,$L2108)=1,1,0))</f>
        <v>0</v>
      </c>
      <c r="N2108" t="str">
        <f t="shared" si="486"/>
        <v/>
      </c>
      <c r="O2108" t="str">
        <f t="shared" si="487"/>
        <v/>
      </c>
      <c r="P2108">
        <f>IF($A2108="",0,IF(COUNTIF($O$2:$O2108,$O2108)=1,1,0))</f>
        <v>0</v>
      </c>
      <c r="Q2108" t="str">
        <f>IF(AND($P2108=1,$A2108=经营数据!$B$3,$J2108=经营数据!$BA$5),COUNTIFS($P$2:$P$3000,1,$A$2:$A$3000,$A2108,$J$2:$J$3000,$J2108,$N$2:$N$3000,"&lt;"&amp;$N2108)+1,"")</f>
        <v/>
      </c>
      <c r="R2108" t="str">
        <f t="shared" si="488"/>
        <v/>
      </c>
      <c r="S2108">
        <f>IF($A2108="",0,IF(COUNTIF($R$2:$R2108,$R2108)=1,1,0))</f>
        <v>0</v>
      </c>
      <c r="T2108" t="str">
        <f t="shared" si="489"/>
        <v/>
      </c>
      <c r="U2108" t="str">
        <f>IF($A2108="","",IF($A2108=经营数据!$B$3,COUNTIFS($S$2:$S$3000,1,$A$2:$A$3000,$A2108,$T$2:$T$3000,"&lt;"&amp;$T2108)+1,""))</f>
        <v/>
      </c>
      <c r="V2108" t="str">
        <f t="shared" si="490"/>
        <v/>
      </c>
      <c r="W2108" t="str">
        <f t="shared" si="491"/>
        <v/>
      </c>
      <c r="X2108" t="str">
        <f t="shared" si="492"/>
        <v/>
      </c>
      <c r="Y2108" t="str">
        <f t="shared" si="493"/>
        <v/>
      </c>
      <c r="Z2108">
        <f>IF($A2108="",0,IF(AND($M2108=1,$A2108=经营数据!$B$3,$J2108=经营数据!$BA$5,OR($I2108=经营数据!$BA$4,COUNTIF(经营数据!$AA$9:$AA$38,$I2108)&gt;0)),1,0))</f>
        <v>0</v>
      </c>
      <c r="AA2108" t="str">
        <f t="shared" si="494"/>
        <v/>
      </c>
      <c r="AB2108" t="str">
        <f t="shared" si="495"/>
        <v/>
      </c>
      <c r="AC2108">
        <f>IF($A2108="",0,IF(COUNTIF($A$2:$A2108,$A2108)=1,1,0))</f>
        <v>0</v>
      </c>
      <c r="AD2108">
        <f t="shared" si="496"/>
        <v>29</v>
      </c>
      <c r="AE2108" t="str">
        <f t="shared" si="497"/>
        <v/>
      </c>
    </row>
    <row r="2109" spans="1:31" x14ac:dyDescent="0.4">
      <c r="A2109" t="str">
        <f>IF(原始经营数据!$D2110="","",原始经营数据!$D2110)</f>
        <v/>
      </c>
      <c r="B2109" t="str">
        <f>IF(原始经营数据!$D2110="","",T(原始经营数据!$E2110))</f>
        <v/>
      </c>
      <c r="C2109" t="str">
        <f>IF(原始经营数据!$D2110="","",原始经营数据!$F2110)</f>
        <v/>
      </c>
      <c r="D2109" t="str">
        <f>IF(原始经营数据!$D2110="","",原始经营数据!$H2110)</f>
        <v/>
      </c>
      <c r="E2109" t="str">
        <f>IF(原始经营数据!$D2110="","",原始经营数据!$I2110)</f>
        <v/>
      </c>
      <c r="F2109" t="str">
        <f>IF(原始经营数据!$D2110="","",T(原始经营数据!$J2110))</f>
        <v/>
      </c>
      <c r="G2109" t="str">
        <f>IF(原始经营数据!$D2110="","",T(原始经营数据!$K2110))</f>
        <v/>
      </c>
      <c r="H2109" t="str">
        <f>IF(原始经营数据!$D2110="","",原始经营数据!$G2110)</f>
        <v/>
      </c>
      <c r="I2109" t="str">
        <f>IF($A2109="","",IF($B2109&lt;&gt;"",$B2109,IF(COUNTIFS(原始经营数据!$D$3:$D$3001,$A2109,原始经营数据!$E$3:$E$3001,"",原始经营数据!$F$3:$F$3001,$C2109,原始经营数据!$H$3:$H$3001,$D2109,原始经营数据!$K$3:$K$3001,$G2109)&gt;1,"基金整体·来源"&amp;原始经营数据!$A2110,"基金整体")))</f>
        <v/>
      </c>
      <c r="J2109" t="str">
        <f t="shared" si="483"/>
        <v/>
      </c>
      <c r="K2109" t="str">
        <f t="shared" si="484"/>
        <v/>
      </c>
      <c r="L2109" t="str">
        <f t="shared" si="485"/>
        <v/>
      </c>
      <c r="M2109">
        <f>IF($A2109="",0,IF(COUNTIF($L$2:$L2109,$L2109)=1,1,0))</f>
        <v>0</v>
      </c>
      <c r="N2109" t="str">
        <f t="shared" si="486"/>
        <v/>
      </c>
      <c r="O2109" t="str">
        <f t="shared" si="487"/>
        <v/>
      </c>
      <c r="P2109">
        <f>IF($A2109="",0,IF(COUNTIF($O$2:$O2109,$O2109)=1,1,0))</f>
        <v>0</v>
      </c>
      <c r="Q2109" t="str">
        <f>IF(AND($P2109=1,$A2109=经营数据!$B$3,$J2109=经营数据!$BA$5),COUNTIFS($P$2:$P$3000,1,$A$2:$A$3000,$A2109,$J$2:$J$3000,$J2109,$N$2:$N$3000,"&lt;"&amp;$N2109)+1,"")</f>
        <v/>
      </c>
      <c r="R2109" t="str">
        <f t="shared" si="488"/>
        <v/>
      </c>
      <c r="S2109">
        <f>IF($A2109="",0,IF(COUNTIF($R$2:$R2109,$R2109)=1,1,0))</f>
        <v>0</v>
      </c>
      <c r="T2109" t="str">
        <f t="shared" si="489"/>
        <v/>
      </c>
      <c r="U2109" t="str">
        <f>IF($A2109="","",IF($A2109=经营数据!$B$3,COUNTIFS($S$2:$S$3000,1,$A$2:$A$3000,$A2109,$T$2:$T$3000,"&lt;"&amp;$T2109)+1,""))</f>
        <v/>
      </c>
      <c r="V2109" t="str">
        <f t="shared" si="490"/>
        <v/>
      </c>
      <c r="W2109" t="str">
        <f t="shared" si="491"/>
        <v/>
      </c>
      <c r="X2109" t="str">
        <f t="shared" si="492"/>
        <v/>
      </c>
      <c r="Y2109" t="str">
        <f t="shared" si="493"/>
        <v/>
      </c>
      <c r="Z2109">
        <f>IF($A2109="",0,IF(AND($M2109=1,$A2109=经营数据!$B$3,$J2109=经营数据!$BA$5,OR($I2109=经营数据!$BA$4,COUNTIF(经营数据!$AA$9:$AA$38,$I2109)&gt;0)),1,0))</f>
        <v>0</v>
      </c>
      <c r="AA2109" t="str">
        <f t="shared" si="494"/>
        <v/>
      </c>
      <c r="AB2109" t="str">
        <f t="shared" si="495"/>
        <v/>
      </c>
      <c r="AC2109">
        <f>IF($A2109="",0,IF(COUNTIF($A$2:$A2109,$A2109)=1,1,0))</f>
        <v>0</v>
      </c>
      <c r="AD2109">
        <f t="shared" si="496"/>
        <v>29</v>
      </c>
      <c r="AE2109" t="str">
        <f t="shared" si="497"/>
        <v/>
      </c>
    </row>
    <row r="2110" spans="1:31" x14ac:dyDescent="0.4">
      <c r="A2110" t="str">
        <f>IF(原始经营数据!$D2111="","",原始经营数据!$D2111)</f>
        <v/>
      </c>
      <c r="B2110" t="str">
        <f>IF(原始经营数据!$D2111="","",T(原始经营数据!$E2111))</f>
        <v/>
      </c>
      <c r="C2110" t="str">
        <f>IF(原始经营数据!$D2111="","",原始经营数据!$F2111)</f>
        <v/>
      </c>
      <c r="D2110" t="str">
        <f>IF(原始经营数据!$D2111="","",原始经营数据!$H2111)</f>
        <v/>
      </c>
      <c r="E2110" t="str">
        <f>IF(原始经营数据!$D2111="","",原始经营数据!$I2111)</f>
        <v/>
      </c>
      <c r="F2110" t="str">
        <f>IF(原始经营数据!$D2111="","",T(原始经营数据!$J2111))</f>
        <v/>
      </c>
      <c r="G2110" t="str">
        <f>IF(原始经营数据!$D2111="","",T(原始经营数据!$K2111))</f>
        <v/>
      </c>
      <c r="H2110" t="str">
        <f>IF(原始经营数据!$D2111="","",原始经营数据!$G2111)</f>
        <v/>
      </c>
      <c r="I2110" t="str">
        <f>IF($A2110="","",IF($B2110&lt;&gt;"",$B2110,IF(COUNTIFS(原始经营数据!$D$3:$D$3001,$A2110,原始经营数据!$E$3:$E$3001,"",原始经营数据!$F$3:$F$3001,$C2110,原始经营数据!$H$3:$H$3001,$D2110,原始经营数据!$K$3:$K$3001,$G2110)&gt;1,"基金整体·来源"&amp;原始经营数据!$A2111,"基金整体")))</f>
        <v/>
      </c>
      <c r="J2110" t="str">
        <f t="shared" si="483"/>
        <v/>
      </c>
      <c r="K2110" t="str">
        <f t="shared" si="484"/>
        <v/>
      </c>
      <c r="L2110" t="str">
        <f t="shared" si="485"/>
        <v/>
      </c>
      <c r="M2110">
        <f>IF($A2110="",0,IF(COUNTIF($L$2:$L2110,$L2110)=1,1,0))</f>
        <v>0</v>
      </c>
      <c r="N2110" t="str">
        <f t="shared" si="486"/>
        <v/>
      </c>
      <c r="O2110" t="str">
        <f t="shared" si="487"/>
        <v/>
      </c>
      <c r="P2110">
        <f>IF($A2110="",0,IF(COUNTIF($O$2:$O2110,$O2110)=1,1,0))</f>
        <v>0</v>
      </c>
      <c r="Q2110" t="str">
        <f>IF(AND($P2110=1,$A2110=经营数据!$B$3,$J2110=经营数据!$BA$5),COUNTIFS($P$2:$P$3000,1,$A$2:$A$3000,$A2110,$J$2:$J$3000,$J2110,$N$2:$N$3000,"&lt;"&amp;$N2110)+1,"")</f>
        <v/>
      </c>
      <c r="R2110" t="str">
        <f t="shared" si="488"/>
        <v/>
      </c>
      <c r="S2110">
        <f>IF($A2110="",0,IF(COUNTIF($R$2:$R2110,$R2110)=1,1,0))</f>
        <v>0</v>
      </c>
      <c r="T2110" t="str">
        <f t="shared" si="489"/>
        <v/>
      </c>
      <c r="U2110" t="str">
        <f>IF($A2110="","",IF($A2110=经营数据!$B$3,COUNTIFS($S$2:$S$3000,1,$A$2:$A$3000,$A2110,$T$2:$T$3000,"&lt;"&amp;$T2110)+1,""))</f>
        <v/>
      </c>
      <c r="V2110" t="str">
        <f t="shared" si="490"/>
        <v/>
      </c>
      <c r="W2110" t="str">
        <f t="shared" si="491"/>
        <v/>
      </c>
      <c r="X2110" t="str">
        <f t="shared" si="492"/>
        <v/>
      </c>
      <c r="Y2110" t="str">
        <f t="shared" si="493"/>
        <v/>
      </c>
      <c r="Z2110">
        <f>IF($A2110="",0,IF(AND($M2110=1,$A2110=经营数据!$B$3,$J2110=经营数据!$BA$5,OR($I2110=经营数据!$BA$4,COUNTIF(经营数据!$AA$9:$AA$38,$I2110)&gt;0)),1,0))</f>
        <v>0</v>
      </c>
      <c r="AA2110" t="str">
        <f t="shared" si="494"/>
        <v/>
      </c>
      <c r="AB2110" t="str">
        <f t="shared" si="495"/>
        <v/>
      </c>
      <c r="AC2110">
        <f>IF($A2110="",0,IF(COUNTIF($A$2:$A2110,$A2110)=1,1,0))</f>
        <v>0</v>
      </c>
      <c r="AD2110">
        <f t="shared" si="496"/>
        <v>29</v>
      </c>
      <c r="AE2110" t="str">
        <f t="shared" si="497"/>
        <v/>
      </c>
    </row>
    <row r="2111" spans="1:31" x14ac:dyDescent="0.4">
      <c r="A2111" t="str">
        <f>IF(原始经营数据!$D2112="","",原始经营数据!$D2112)</f>
        <v/>
      </c>
      <c r="B2111" t="str">
        <f>IF(原始经营数据!$D2112="","",T(原始经营数据!$E2112))</f>
        <v/>
      </c>
      <c r="C2111" t="str">
        <f>IF(原始经营数据!$D2112="","",原始经营数据!$F2112)</f>
        <v/>
      </c>
      <c r="D2111" t="str">
        <f>IF(原始经营数据!$D2112="","",原始经营数据!$H2112)</f>
        <v/>
      </c>
      <c r="E2111" t="str">
        <f>IF(原始经营数据!$D2112="","",原始经营数据!$I2112)</f>
        <v/>
      </c>
      <c r="F2111" t="str">
        <f>IF(原始经营数据!$D2112="","",T(原始经营数据!$J2112))</f>
        <v/>
      </c>
      <c r="G2111" t="str">
        <f>IF(原始经营数据!$D2112="","",T(原始经营数据!$K2112))</f>
        <v/>
      </c>
      <c r="H2111" t="str">
        <f>IF(原始经营数据!$D2112="","",原始经营数据!$G2112)</f>
        <v/>
      </c>
      <c r="I2111" t="str">
        <f>IF($A2111="","",IF($B2111&lt;&gt;"",$B2111,IF(COUNTIFS(原始经营数据!$D$3:$D$3001,$A2111,原始经营数据!$E$3:$E$3001,"",原始经营数据!$F$3:$F$3001,$C2111,原始经营数据!$H$3:$H$3001,$D2111,原始经营数据!$K$3:$K$3001,$G2111)&gt;1,"基金整体·来源"&amp;原始经营数据!$A2112,"基金整体")))</f>
        <v/>
      </c>
      <c r="J2111" t="str">
        <f t="shared" si="483"/>
        <v/>
      </c>
      <c r="K2111" t="str">
        <f t="shared" si="484"/>
        <v/>
      </c>
      <c r="L2111" t="str">
        <f t="shared" si="485"/>
        <v/>
      </c>
      <c r="M2111">
        <f>IF($A2111="",0,IF(COUNTIF($L$2:$L2111,$L2111)=1,1,0))</f>
        <v>0</v>
      </c>
      <c r="N2111" t="str">
        <f t="shared" si="486"/>
        <v/>
      </c>
      <c r="O2111" t="str">
        <f t="shared" si="487"/>
        <v/>
      </c>
      <c r="P2111">
        <f>IF($A2111="",0,IF(COUNTIF($O$2:$O2111,$O2111)=1,1,0))</f>
        <v>0</v>
      </c>
      <c r="Q2111" t="str">
        <f>IF(AND($P2111=1,$A2111=经营数据!$B$3,$J2111=经营数据!$BA$5),COUNTIFS($P$2:$P$3000,1,$A$2:$A$3000,$A2111,$J$2:$J$3000,$J2111,$N$2:$N$3000,"&lt;"&amp;$N2111)+1,"")</f>
        <v/>
      </c>
      <c r="R2111" t="str">
        <f t="shared" si="488"/>
        <v/>
      </c>
      <c r="S2111">
        <f>IF($A2111="",0,IF(COUNTIF($R$2:$R2111,$R2111)=1,1,0))</f>
        <v>0</v>
      </c>
      <c r="T2111" t="str">
        <f t="shared" si="489"/>
        <v/>
      </c>
      <c r="U2111" t="str">
        <f>IF($A2111="","",IF($A2111=经营数据!$B$3,COUNTIFS($S$2:$S$3000,1,$A$2:$A$3000,$A2111,$T$2:$T$3000,"&lt;"&amp;$T2111)+1,""))</f>
        <v/>
      </c>
      <c r="V2111" t="str">
        <f t="shared" si="490"/>
        <v/>
      </c>
      <c r="W2111" t="str">
        <f t="shared" si="491"/>
        <v/>
      </c>
      <c r="X2111" t="str">
        <f t="shared" si="492"/>
        <v/>
      </c>
      <c r="Y2111" t="str">
        <f t="shared" si="493"/>
        <v/>
      </c>
      <c r="Z2111">
        <f>IF($A2111="",0,IF(AND($M2111=1,$A2111=经营数据!$B$3,$J2111=经营数据!$BA$5,OR($I2111=经营数据!$BA$4,COUNTIF(经营数据!$AA$9:$AA$38,$I2111)&gt;0)),1,0))</f>
        <v>0</v>
      </c>
      <c r="AA2111" t="str">
        <f t="shared" si="494"/>
        <v/>
      </c>
      <c r="AB2111" t="str">
        <f t="shared" si="495"/>
        <v/>
      </c>
      <c r="AC2111">
        <f>IF($A2111="",0,IF(COUNTIF($A$2:$A2111,$A2111)=1,1,0))</f>
        <v>0</v>
      </c>
      <c r="AD2111">
        <f t="shared" si="496"/>
        <v>29</v>
      </c>
      <c r="AE2111" t="str">
        <f t="shared" si="497"/>
        <v/>
      </c>
    </row>
    <row r="2112" spans="1:31" x14ac:dyDescent="0.4">
      <c r="A2112" t="str">
        <f>IF(原始经营数据!$D2113="","",原始经营数据!$D2113)</f>
        <v/>
      </c>
      <c r="B2112" t="str">
        <f>IF(原始经营数据!$D2113="","",T(原始经营数据!$E2113))</f>
        <v/>
      </c>
      <c r="C2112" t="str">
        <f>IF(原始经营数据!$D2113="","",原始经营数据!$F2113)</f>
        <v/>
      </c>
      <c r="D2112" t="str">
        <f>IF(原始经营数据!$D2113="","",原始经营数据!$H2113)</f>
        <v/>
      </c>
      <c r="E2112" t="str">
        <f>IF(原始经营数据!$D2113="","",原始经营数据!$I2113)</f>
        <v/>
      </c>
      <c r="F2112" t="str">
        <f>IF(原始经营数据!$D2113="","",T(原始经营数据!$J2113))</f>
        <v/>
      </c>
      <c r="G2112" t="str">
        <f>IF(原始经营数据!$D2113="","",T(原始经营数据!$K2113))</f>
        <v/>
      </c>
      <c r="H2112" t="str">
        <f>IF(原始经营数据!$D2113="","",原始经营数据!$G2113)</f>
        <v/>
      </c>
      <c r="I2112" t="str">
        <f>IF($A2112="","",IF($B2112&lt;&gt;"",$B2112,IF(COUNTIFS(原始经营数据!$D$3:$D$3001,$A2112,原始经营数据!$E$3:$E$3001,"",原始经营数据!$F$3:$F$3001,$C2112,原始经营数据!$H$3:$H$3001,$D2112,原始经营数据!$K$3:$K$3001,$G2112)&gt;1,"基金整体·来源"&amp;原始经营数据!$A2113,"基金整体")))</f>
        <v/>
      </c>
      <c r="J2112" t="str">
        <f t="shared" si="483"/>
        <v/>
      </c>
      <c r="K2112" t="str">
        <f t="shared" si="484"/>
        <v/>
      </c>
      <c r="L2112" t="str">
        <f t="shared" si="485"/>
        <v/>
      </c>
      <c r="M2112">
        <f>IF($A2112="",0,IF(COUNTIF($L$2:$L2112,$L2112)=1,1,0))</f>
        <v>0</v>
      </c>
      <c r="N2112" t="str">
        <f t="shared" si="486"/>
        <v/>
      </c>
      <c r="O2112" t="str">
        <f t="shared" si="487"/>
        <v/>
      </c>
      <c r="P2112">
        <f>IF($A2112="",0,IF(COUNTIF($O$2:$O2112,$O2112)=1,1,0))</f>
        <v>0</v>
      </c>
      <c r="Q2112" t="str">
        <f>IF(AND($P2112=1,$A2112=经营数据!$B$3,$J2112=经营数据!$BA$5),COUNTIFS($P$2:$P$3000,1,$A$2:$A$3000,$A2112,$J$2:$J$3000,$J2112,$N$2:$N$3000,"&lt;"&amp;$N2112)+1,"")</f>
        <v/>
      </c>
      <c r="R2112" t="str">
        <f t="shared" si="488"/>
        <v/>
      </c>
      <c r="S2112">
        <f>IF($A2112="",0,IF(COUNTIF($R$2:$R2112,$R2112)=1,1,0))</f>
        <v>0</v>
      </c>
      <c r="T2112" t="str">
        <f t="shared" si="489"/>
        <v/>
      </c>
      <c r="U2112" t="str">
        <f>IF($A2112="","",IF($A2112=经营数据!$B$3,COUNTIFS($S$2:$S$3000,1,$A$2:$A$3000,$A2112,$T$2:$T$3000,"&lt;"&amp;$T2112)+1,""))</f>
        <v/>
      </c>
      <c r="V2112" t="str">
        <f t="shared" si="490"/>
        <v/>
      </c>
      <c r="W2112" t="str">
        <f t="shared" si="491"/>
        <v/>
      </c>
      <c r="X2112" t="str">
        <f t="shared" si="492"/>
        <v/>
      </c>
      <c r="Y2112" t="str">
        <f t="shared" si="493"/>
        <v/>
      </c>
      <c r="Z2112">
        <f>IF($A2112="",0,IF(AND($M2112=1,$A2112=经营数据!$B$3,$J2112=经营数据!$BA$5,OR($I2112=经营数据!$BA$4,COUNTIF(经营数据!$AA$9:$AA$38,$I2112)&gt;0)),1,0))</f>
        <v>0</v>
      </c>
      <c r="AA2112" t="str">
        <f t="shared" si="494"/>
        <v/>
      </c>
      <c r="AB2112" t="str">
        <f t="shared" si="495"/>
        <v/>
      </c>
      <c r="AC2112">
        <f>IF($A2112="",0,IF(COUNTIF($A$2:$A2112,$A2112)=1,1,0))</f>
        <v>0</v>
      </c>
      <c r="AD2112">
        <f t="shared" si="496"/>
        <v>29</v>
      </c>
      <c r="AE2112" t="str">
        <f t="shared" si="497"/>
        <v/>
      </c>
    </row>
    <row r="2113" spans="1:31" x14ac:dyDescent="0.4">
      <c r="A2113" t="str">
        <f>IF(原始经营数据!$D2114="","",原始经营数据!$D2114)</f>
        <v/>
      </c>
      <c r="B2113" t="str">
        <f>IF(原始经营数据!$D2114="","",T(原始经营数据!$E2114))</f>
        <v/>
      </c>
      <c r="C2113" t="str">
        <f>IF(原始经营数据!$D2114="","",原始经营数据!$F2114)</f>
        <v/>
      </c>
      <c r="D2113" t="str">
        <f>IF(原始经营数据!$D2114="","",原始经营数据!$H2114)</f>
        <v/>
      </c>
      <c r="E2113" t="str">
        <f>IF(原始经营数据!$D2114="","",原始经营数据!$I2114)</f>
        <v/>
      </c>
      <c r="F2113" t="str">
        <f>IF(原始经营数据!$D2114="","",T(原始经营数据!$J2114))</f>
        <v/>
      </c>
      <c r="G2113" t="str">
        <f>IF(原始经营数据!$D2114="","",T(原始经营数据!$K2114))</f>
        <v/>
      </c>
      <c r="H2113" t="str">
        <f>IF(原始经营数据!$D2114="","",原始经营数据!$G2114)</f>
        <v/>
      </c>
      <c r="I2113" t="str">
        <f>IF($A2113="","",IF($B2113&lt;&gt;"",$B2113,IF(COUNTIFS(原始经营数据!$D$3:$D$3001,$A2113,原始经营数据!$E$3:$E$3001,"",原始经营数据!$F$3:$F$3001,$C2113,原始经营数据!$H$3:$H$3001,$D2113,原始经营数据!$K$3:$K$3001,$G2113)&gt;1,"基金整体·来源"&amp;原始经营数据!$A2114,"基金整体")))</f>
        <v/>
      </c>
      <c r="J2113" t="str">
        <f t="shared" si="483"/>
        <v/>
      </c>
      <c r="K2113" t="str">
        <f t="shared" si="484"/>
        <v/>
      </c>
      <c r="L2113" t="str">
        <f t="shared" si="485"/>
        <v/>
      </c>
      <c r="M2113">
        <f>IF($A2113="",0,IF(COUNTIF($L$2:$L2113,$L2113)=1,1,0))</f>
        <v>0</v>
      </c>
      <c r="N2113" t="str">
        <f t="shared" si="486"/>
        <v/>
      </c>
      <c r="O2113" t="str">
        <f t="shared" si="487"/>
        <v/>
      </c>
      <c r="P2113">
        <f>IF($A2113="",0,IF(COUNTIF($O$2:$O2113,$O2113)=1,1,0))</f>
        <v>0</v>
      </c>
      <c r="Q2113" t="str">
        <f>IF(AND($P2113=1,$A2113=经营数据!$B$3,$J2113=经营数据!$BA$5),COUNTIFS($P$2:$P$3000,1,$A$2:$A$3000,$A2113,$J$2:$J$3000,$J2113,$N$2:$N$3000,"&lt;"&amp;$N2113)+1,"")</f>
        <v/>
      </c>
      <c r="R2113" t="str">
        <f t="shared" si="488"/>
        <v/>
      </c>
      <c r="S2113">
        <f>IF($A2113="",0,IF(COUNTIF($R$2:$R2113,$R2113)=1,1,0))</f>
        <v>0</v>
      </c>
      <c r="T2113" t="str">
        <f t="shared" si="489"/>
        <v/>
      </c>
      <c r="U2113" t="str">
        <f>IF($A2113="","",IF($A2113=经营数据!$B$3,COUNTIFS($S$2:$S$3000,1,$A$2:$A$3000,$A2113,$T$2:$T$3000,"&lt;"&amp;$T2113)+1,""))</f>
        <v/>
      </c>
      <c r="V2113" t="str">
        <f t="shared" si="490"/>
        <v/>
      </c>
      <c r="W2113" t="str">
        <f t="shared" si="491"/>
        <v/>
      </c>
      <c r="X2113" t="str">
        <f t="shared" si="492"/>
        <v/>
      </c>
      <c r="Y2113" t="str">
        <f t="shared" si="493"/>
        <v/>
      </c>
      <c r="Z2113">
        <f>IF($A2113="",0,IF(AND($M2113=1,$A2113=经营数据!$B$3,$J2113=经营数据!$BA$5,OR($I2113=经营数据!$BA$4,COUNTIF(经营数据!$AA$9:$AA$38,$I2113)&gt;0)),1,0))</f>
        <v>0</v>
      </c>
      <c r="AA2113" t="str">
        <f t="shared" si="494"/>
        <v/>
      </c>
      <c r="AB2113" t="str">
        <f t="shared" si="495"/>
        <v/>
      </c>
      <c r="AC2113">
        <f>IF($A2113="",0,IF(COUNTIF($A$2:$A2113,$A2113)=1,1,0))</f>
        <v>0</v>
      </c>
      <c r="AD2113">
        <f t="shared" si="496"/>
        <v>29</v>
      </c>
      <c r="AE2113" t="str">
        <f t="shared" si="497"/>
        <v/>
      </c>
    </row>
    <row r="2114" spans="1:31" x14ac:dyDescent="0.4">
      <c r="A2114" t="str">
        <f>IF(原始经营数据!$D2115="","",原始经营数据!$D2115)</f>
        <v/>
      </c>
      <c r="B2114" t="str">
        <f>IF(原始经营数据!$D2115="","",T(原始经营数据!$E2115))</f>
        <v/>
      </c>
      <c r="C2114" t="str">
        <f>IF(原始经营数据!$D2115="","",原始经营数据!$F2115)</f>
        <v/>
      </c>
      <c r="D2114" t="str">
        <f>IF(原始经营数据!$D2115="","",原始经营数据!$H2115)</f>
        <v/>
      </c>
      <c r="E2114" t="str">
        <f>IF(原始经营数据!$D2115="","",原始经营数据!$I2115)</f>
        <v/>
      </c>
      <c r="F2114" t="str">
        <f>IF(原始经营数据!$D2115="","",T(原始经营数据!$J2115))</f>
        <v/>
      </c>
      <c r="G2114" t="str">
        <f>IF(原始经营数据!$D2115="","",T(原始经营数据!$K2115))</f>
        <v/>
      </c>
      <c r="H2114" t="str">
        <f>IF(原始经营数据!$D2115="","",原始经营数据!$G2115)</f>
        <v/>
      </c>
      <c r="I2114" t="str">
        <f>IF($A2114="","",IF($B2114&lt;&gt;"",$B2114,IF(COUNTIFS(原始经营数据!$D$3:$D$3001,$A2114,原始经营数据!$E$3:$E$3001,"",原始经营数据!$F$3:$F$3001,$C2114,原始经营数据!$H$3:$H$3001,$D2114,原始经营数据!$K$3:$K$3001,$G2114)&gt;1,"基金整体·来源"&amp;原始经营数据!$A2115,"基金整体")))</f>
        <v/>
      </c>
      <c r="J2114" t="str">
        <f t="shared" ref="J2114:J2177" si="498">IF($A2114="","",IF(LEN($C2114)=4,"年度",IF(AND(LEN($C2114)=6,ISNUMBER(SEARCH("Q",$C2114))),"季度","其他期间")))</f>
        <v/>
      </c>
      <c r="K2114" t="str">
        <f t="shared" ref="K2114:K2177" si="499">IF($A2114="","",$D2114&amp;IF($G2114="","","-"&amp;SUBSTITUTE($G2114,CHAR(10),""))&amp;IF($F2114="","","（"&amp;$F2114&amp;"）"))</f>
        <v/>
      </c>
      <c r="L2114" t="str">
        <f t="shared" ref="L2114:L2177" si="500">IF($A2114="","",$I2114&amp;"|"&amp;$K2114&amp;"|"&amp;$J2114)</f>
        <v/>
      </c>
      <c r="M2114">
        <f>IF($A2114="",0,IF(COUNTIF($L$2:$L2114,$L2114)=1,1,0))</f>
        <v>0</v>
      </c>
      <c r="N2114" t="str">
        <f t="shared" ref="N2114:N2177" si="501">IF($A2114="","",IF($J2114="年度",VALUE($C2114)*10,IF($J2114="季度",VALUE(LEFT($C2114,4))*10+VALUE(RIGHT($C2114,1)),VALUE(LEFT($C2114,4))*10+9)))</f>
        <v/>
      </c>
      <c r="O2114" t="str">
        <f t="shared" ref="O2114:O2177" si="502">IF($A2114="","",$A2114&amp;"|"&amp;$C2114&amp;"|"&amp;$J2114)</f>
        <v/>
      </c>
      <c r="P2114">
        <f>IF($A2114="",0,IF(COUNTIF($O$2:$O2114,$O2114)=1,1,0))</f>
        <v>0</v>
      </c>
      <c r="Q2114" t="str">
        <f>IF(AND($P2114=1,$A2114=经营数据!$B$3,$J2114=经营数据!$BA$5),COUNTIFS($P$2:$P$3000,1,$A$2:$A$3000,$A2114,$J$2:$J$3000,$J2114,$N$2:$N$3000,"&lt;"&amp;$N2114)+1,"")</f>
        <v/>
      </c>
      <c r="R2114" t="str">
        <f t="shared" ref="R2114:R2177" si="503">IF($A2114="","",$A2114&amp;"|"&amp;$I2114)</f>
        <v/>
      </c>
      <c r="S2114">
        <f>IF($A2114="",0,IF(COUNTIF($R$2:$R2114,$R2114)=1,1,0))</f>
        <v>0</v>
      </c>
      <c r="T2114" t="str">
        <f t="shared" ref="T2114:T2177" si="504">IF($A2114="","",MATCH($R2114,$R$2:$R$3000,0))</f>
        <v/>
      </c>
      <c r="U2114" t="str">
        <f>IF($A2114="","",IF($A2114=经营数据!$B$3,COUNTIFS($S$2:$S$3000,1,$A$2:$A$3000,$A2114,$T$2:$T$3000,"&lt;"&amp;$T2114)+1,""))</f>
        <v/>
      </c>
      <c r="V2114" t="str">
        <f t="shared" ref="V2114:V2177" si="505">IF($A2114="","",$I2114&amp;"|"&amp;$H2114)</f>
        <v/>
      </c>
      <c r="W2114" t="str">
        <f t="shared" ref="W2114:W2177" si="506">IF($A2114="","",MATCH($V2114,$V$2:$V$3000,0))</f>
        <v/>
      </c>
      <c r="X2114" t="str">
        <f t="shared" ref="X2114:X2177" si="507">IF($A2114="","",$I2114&amp;"|"&amp;$D2114)</f>
        <v/>
      </c>
      <c r="Y2114" t="str">
        <f t="shared" ref="Y2114:Y2177" si="508">IF($A2114="","",MATCH($X2114,$X$2:$X$3000,0))</f>
        <v/>
      </c>
      <c r="Z2114">
        <f>IF($A2114="",0,IF(AND($M2114=1,$A2114=经营数据!$B$3,$J2114=经营数据!$BA$5,OR($I2114=经营数据!$BA$4,COUNTIF(经营数据!$AA$9:$AA$38,$I2114)&gt;0)),1,0))</f>
        <v>0</v>
      </c>
      <c r="AA2114" t="str">
        <f t="shared" ref="AA2114:AA2177" si="509">IF($Z2114=1,$U2114*1000000000000+$W2114*100000000+$Y2114*10000+ROW(),"")</f>
        <v/>
      </c>
      <c r="AB2114" t="str">
        <f t="shared" ref="AB2114:AB2177" si="510">IF($Z2114=1,COUNTIFS($Z$2:$Z$3000,1,$AA$2:$AA$3000,"&lt;"&amp;$AA2114)+1,"")</f>
        <v/>
      </c>
      <c r="AC2114">
        <f>IF($A2114="",0,IF(COUNTIF($A$2:$A2114,$A2114)=1,1,0))</f>
        <v>0</v>
      </c>
      <c r="AD2114">
        <f t="shared" ref="AD2114:AD2177" si="511">IF($A2114="",N(AD2113),IF($AC2114=1,N(AD2113)+1,N(AD2113)))</f>
        <v>29</v>
      </c>
      <c r="AE2114" t="str">
        <f t="shared" ref="AE2114:AE2177" si="512">IF($A2114="","",$I2114&amp;"|"&amp;$K2114)</f>
        <v/>
      </c>
    </row>
    <row r="2115" spans="1:31" x14ac:dyDescent="0.4">
      <c r="A2115" t="str">
        <f>IF(原始经营数据!$D2116="","",原始经营数据!$D2116)</f>
        <v/>
      </c>
      <c r="B2115" t="str">
        <f>IF(原始经营数据!$D2116="","",T(原始经营数据!$E2116))</f>
        <v/>
      </c>
      <c r="C2115" t="str">
        <f>IF(原始经营数据!$D2116="","",原始经营数据!$F2116)</f>
        <v/>
      </c>
      <c r="D2115" t="str">
        <f>IF(原始经营数据!$D2116="","",原始经营数据!$H2116)</f>
        <v/>
      </c>
      <c r="E2115" t="str">
        <f>IF(原始经营数据!$D2116="","",原始经营数据!$I2116)</f>
        <v/>
      </c>
      <c r="F2115" t="str">
        <f>IF(原始经营数据!$D2116="","",T(原始经营数据!$J2116))</f>
        <v/>
      </c>
      <c r="G2115" t="str">
        <f>IF(原始经营数据!$D2116="","",T(原始经营数据!$K2116))</f>
        <v/>
      </c>
      <c r="H2115" t="str">
        <f>IF(原始经营数据!$D2116="","",原始经营数据!$G2116)</f>
        <v/>
      </c>
      <c r="I2115" t="str">
        <f>IF($A2115="","",IF($B2115&lt;&gt;"",$B2115,IF(COUNTIFS(原始经营数据!$D$3:$D$3001,$A2115,原始经营数据!$E$3:$E$3001,"",原始经营数据!$F$3:$F$3001,$C2115,原始经营数据!$H$3:$H$3001,$D2115,原始经营数据!$K$3:$K$3001,$G2115)&gt;1,"基金整体·来源"&amp;原始经营数据!$A2116,"基金整体")))</f>
        <v/>
      </c>
      <c r="J2115" t="str">
        <f t="shared" si="498"/>
        <v/>
      </c>
      <c r="K2115" t="str">
        <f t="shared" si="499"/>
        <v/>
      </c>
      <c r="L2115" t="str">
        <f t="shared" si="500"/>
        <v/>
      </c>
      <c r="M2115">
        <f>IF($A2115="",0,IF(COUNTIF($L$2:$L2115,$L2115)=1,1,0))</f>
        <v>0</v>
      </c>
      <c r="N2115" t="str">
        <f t="shared" si="501"/>
        <v/>
      </c>
      <c r="O2115" t="str">
        <f t="shared" si="502"/>
        <v/>
      </c>
      <c r="P2115">
        <f>IF($A2115="",0,IF(COUNTIF($O$2:$O2115,$O2115)=1,1,0))</f>
        <v>0</v>
      </c>
      <c r="Q2115" t="str">
        <f>IF(AND($P2115=1,$A2115=经营数据!$B$3,$J2115=经营数据!$BA$5),COUNTIFS($P$2:$P$3000,1,$A$2:$A$3000,$A2115,$J$2:$J$3000,$J2115,$N$2:$N$3000,"&lt;"&amp;$N2115)+1,"")</f>
        <v/>
      </c>
      <c r="R2115" t="str">
        <f t="shared" si="503"/>
        <v/>
      </c>
      <c r="S2115">
        <f>IF($A2115="",0,IF(COUNTIF($R$2:$R2115,$R2115)=1,1,0))</f>
        <v>0</v>
      </c>
      <c r="T2115" t="str">
        <f t="shared" si="504"/>
        <v/>
      </c>
      <c r="U2115" t="str">
        <f>IF($A2115="","",IF($A2115=经营数据!$B$3,COUNTIFS($S$2:$S$3000,1,$A$2:$A$3000,$A2115,$T$2:$T$3000,"&lt;"&amp;$T2115)+1,""))</f>
        <v/>
      </c>
      <c r="V2115" t="str">
        <f t="shared" si="505"/>
        <v/>
      </c>
      <c r="W2115" t="str">
        <f t="shared" si="506"/>
        <v/>
      </c>
      <c r="X2115" t="str">
        <f t="shared" si="507"/>
        <v/>
      </c>
      <c r="Y2115" t="str">
        <f t="shared" si="508"/>
        <v/>
      </c>
      <c r="Z2115">
        <f>IF($A2115="",0,IF(AND($M2115=1,$A2115=经营数据!$B$3,$J2115=经营数据!$BA$5,OR($I2115=经营数据!$BA$4,COUNTIF(经营数据!$AA$9:$AA$38,$I2115)&gt;0)),1,0))</f>
        <v>0</v>
      </c>
      <c r="AA2115" t="str">
        <f t="shared" si="509"/>
        <v/>
      </c>
      <c r="AB2115" t="str">
        <f t="shared" si="510"/>
        <v/>
      </c>
      <c r="AC2115">
        <f>IF($A2115="",0,IF(COUNTIF($A$2:$A2115,$A2115)=1,1,0))</f>
        <v>0</v>
      </c>
      <c r="AD2115">
        <f t="shared" si="511"/>
        <v>29</v>
      </c>
      <c r="AE2115" t="str">
        <f t="shared" si="512"/>
        <v/>
      </c>
    </row>
    <row r="2116" spans="1:31" x14ac:dyDescent="0.4">
      <c r="A2116" t="str">
        <f>IF(原始经营数据!$D2117="","",原始经营数据!$D2117)</f>
        <v/>
      </c>
      <c r="B2116" t="str">
        <f>IF(原始经营数据!$D2117="","",T(原始经营数据!$E2117))</f>
        <v/>
      </c>
      <c r="C2116" t="str">
        <f>IF(原始经营数据!$D2117="","",原始经营数据!$F2117)</f>
        <v/>
      </c>
      <c r="D2116" t="str">
        <f>IF(原始经营数据!$D2117="","",原始经营数据!$H2117)</f>
        <v/>
      </c>
      <c r="E2116" t="str">
        <f>IF(原始经营数据!$D2117="","",原始经营数据!$I2117)</f>
        <v/>
      </c>
      <c r="F2116" t="str">
        <f>IF(原始经营数据!$D2117="","",T(原始经营数据!$J2117))</f>
        <v/>
      </c>
      <c r="G2116" t="str">
        <f>IF(原始经营数据!$D2117="","",T(原始经营数据!$K2117))</f>
        <v/>
      </c>
      <c r="H2116" t="str">
        <f>IF(原始经营数据!$D2117="","",原始经营数据!$G2117)</f>
        <v/>
      </c>
      <c r="I2116" t="str">
        <f>IF($A2116="","",IF($B2116&lt;&gt;"",$B2116,IF(COUNTIFS(原始经营数据!$D$3:$D$3001,$A2116,原始经营数据!$E$3:$E$3001,"",原始经营数据!$F$3:$F$3001,$C2116,原始经营数据!$H$3:$H$3001,$D2116,原始经营数据!$K$3:$K$3001,$G2116)&gt;1,"基金整体·来源"&amp;原始经营数据!$A2117,"基金整体")))</f>
        <v/>
      </c>
      <c r="J2116" t="str">
        <f t="shared" si="498"/>
        <v/>
      </c>
      <c r="K2116" t="str">
        <f t="shared" si="499"/>
        <v/>
      </c>
      <c r="L2116" t="str">
        <f t="shared" si="500"/>
        <v/>
      </c>
      <c r="M2116">
        <f>IF($A2116="",0,IF(COUNTIF($L$2:$L2116,$L2116)=1,1,0))</f>
        <v>0</v>
      </c>
      <c r="N2116" t="str">
        <f t="shared" si="501"/>
        <v/>
      </c>
      <c r="O2116" t="str">
        <f t="shared" si="502"/>
        <v/>
      </c>
      <c r="P2116">
        <f>IF($A2116="",0,IF(COUNTIF($O$2:$O2116,$O2116)=1,1,0))</f>
        <v>0</v>
      </c>
      <c r="Q2116" t="str">
        <f>IF(AND($P2116=1,$A2116=经营数据!$B$3,$J2116=经营数据!$BA$5),COUNTIFS($P$2:$P$3000,1,$A$2:$A$3000,$A2116,$J$2:$J$3000,$J2116,$N$2:$N$3000,"&lt;"&amp;$N2116)+1,"")</f>
        <v/>
      </c>
      <c r="R2116" t="str">
        <f t="shared" si="503"/>
        <v/>
      </c>
      <c r="S2116">
        <f>IF($A2116="",0,IF(COUNTIF($R$2:$R2116,$R2116)=1,1,0))</f>
        <v>0</v>
      </c>
      <c r="T2116" t="str">
        <f t="shared" si="504"/>
        <v/>
      </c>
      <c r="U2116" t="str">
        <f>IF($A2116="","",IF($A2116=经营数据!$B$3,COUNTIFS($S$2:$S$3000,1,$A$2:$A$3000,$A2116,$T$2:$T$3000,"&lt;"&amp;$T2116)+1,""))</f>
        <v/>
      </c>
      <c r="V2116" t="str">
        <f t="shared" si="505"/>
        <v/>
      </c>
      <c r="W2116" t="str">
        <f t="shared" si="506"/>
        <v/>
      </c>
      <c r="X2116" t="str">
        <f t="shared" si="507"/>
        <v/>
      </c>
      <c r="Y2116" t="str">
        <f t="shared" si="508"/>
        <v/>
      </c>
      <c r="Z2116">
        <f>IF($A2116="",0,IF(AND($M2116=1,$A2116=经营数据!$B$3,$J2116=经营数据!$BA$5,OR($I2116=经营数据!$BA$4,COUNTIF(经营数据!$AA$9:$AA$38,$I2116)&gt;0)),1,0))</f>
        <v>0</v>
      </c>
      <c r="AA2116" t="str">
        <f t="shared" si="509"/>
        <v/>
      </c>
      <c r="AB2116" t="str">
        <f t="shared" si="510"/>
        <v/>
      </c>
      <c r="AC2116">
        <f>IF($A2116="",0,IF(COUNTIF($A$2:$A2116,$A2116)=1,1,0))</f>
        <v>0</v>
      </c>
      <c r="AD2116">
        <f t="shared" si="511"/>
        <v>29</v>
      </c>
      <c r="AE2116" t="str">
        <f t="shared" si="512"/>
        <v/>
      </c>
    </row>
    <row r="2117" spans="1:31" x14ac:dyDescent="0.4">
      <c r="A2117" t="str">
        <f>IF(原始经营数据!$D2118="","",原始经营数据!$D2118)</f>
        <v/>
      </c>
      <c r="B2117" t="str">
        <f>IF(原始经营数据!$D2118="","",T(原始经营数据!$E2118))</f>
        <v/>
      </c>
      <c r="C2117" t="str">
        <f>IF(原始经营数据!$D2118="","",原始经营数据!$F2118)</f>
        <v/>
      </c>
      <c r="D2117" t="str">
        <f>IF(原始经营数据!$D2118="","",原始经营数据!$H2118)</f>
        <v/>
      </c>
      <c r="E2117" t="str">
        <f>IF(原始经营数据!$D2118="","",原始经营数据!$I2118)</f>
        <v/>
      </c>
      <c r="F2117" t="str">
        <f>IF(原始经营数据!$D2118="","",T(原始经营数据!$J2118))</f>
        <v/>
      </c>
      <c r="G2117" t="str">
        <f>IF(原始经营数据!$D2118="","",T(原始经营数据!$K2118))</f>
        <v/>
      </c>
      <c r="H2117" t="str">
        <f>IF(原始经营数据!$D2118="","",原始经营数据!$G2118)</f>
        <v/>
      </c>
      <c r="I2117" t="str">
        <f>IF($A2117="","",IF($B2117&lt;&gt;"",$B2117,IF(COUNTIFS(原始经营数据!$D$3:$D$3001,$A2117,原始经营数据!$E$3:$E$3001,"",原始经营数据!$F$3:$F$3001,$C2117,原始经营数据!$H$3:$H$3001,$D2117,原始经营数据!$K$3:$K$3001,$G2117)&gt;1,"基金整体·来源"&amp;原始经营数据!$A2118,"基金整体")))</f>
        <v/>
      </c>
      <c r="J2117" t="str">
        <f t="shared" si="498"/>
        <v/>
      </c>
      <c r="K2117" t="str">
        <f t="shared" si="499"/>
        <v/>
      </c>
      <c r="L2117" t="str">
        <f t="shared" si="500"/>
        <v/>
      </c>
      <c r="M2117">
        <f>IF($A2117="",0,IF(COUNTIF($L$2:$L2117,$L2117)=1,1,0))</f>
        <v>0</v>
      </c>
      <c r="N2117" t="str">
        <f t="shared" si="501"/>
        <v/>
      </c>
      <c r="O2117" t="str">
        <f t="shared" si="502"/>
        <v/>
      </c>
      <c r="P2117">
        <f>IF($A2117="",0,IF(COUNTIF($O$2:$O2117,$O2117)=1,1,0))</f>
        <v>0</v>
      </c>
      <c r="Q2117" t="str">
        <f>IF(AND($P2117=1,$A2117=经营数据!$B$3,$J2117=经营数据!$BA$5),COUNTIFS($P$2:$P$3000,1,$A$2:$A$3000,$A2117,$J$2:$J$3000,$J2117,$N$2:$N$3000,"&lt;"&amp;$N2117)+1,"")</f>
        <v/>
      </c>
      <c r="R2117" t="str">
        <f t="shared" si="503"/>
        <v/>
      </c>
      <c r="S2117">
        <f>IF($A2117="",0,IF(COUNTIF($R$2:$R2117,$R2117)=1,1,0))</f>
        <v>0</v>
      </c>
      <c r="T2117" t="str">
        <f t="shared" si="504"/>
        <v/>
      </c>
      <c r="U2117" t="str">
        <f>IF($A2117="","",IF($A2117=经营数据!$B$3,COUNTIFS($S$2:$S$3000,1,$A$2:$A$3000,$A2117,$T$2:$T$3000,"&lt;"&amp;$T2117)+1,""))</f>
        <v/>
      </c>
      <c r="V2117" t="str">
        <f t="shared" si="505"/>
        <v/>
      </c>
      <c r="W2117" t="str">
        <f t="shared" si="506"/>
        <v/>
      </c>
      <c r="X2117" t="str">
        <f t="shared" si="507"/>
        <v/>
      </c>
      <c r="Y2117" t="str">
        <f t="shared" si="508"/>
        <v/>
      </c>
      <c r="Z2117">
        <f>IF($A2117="",0,IF(AND($M2117=1,$A2117=经营数据!$B$3,$J2117=经营数据!$BA$5,OR($I2117=经营数据!$BA$4,COUNTIF(经营数据!$AA$9:$AA$38,$I2117)&gt;0)),1,0))</f>
        <v>0</v>
      </c>
      <c r="AA2117" t="str">
        <f t="shared" si="509"/>
        <v/>
      </c>
      <c r="AB2117" t="str">
        <f t="shared" si="510"/>
        <v/>
      </c>
      <c r="AC2117">
        <f>IF($A2117="",0,IF(COUNTIF($A$2:$A2117,$A2117)=1,1,0))</f>
        <v>0</v>
      </c>
      <c r="AD2117">
        <f t="shared" si="511"/>
        <v>29</v>
      </c>
      <c r="AE2117" t="str">
        <f t="shared" si="512"/>
        <v/>
      </c>
    </row>
    <row r="2118" spans="1:31" x14ac:dyDescent="0.4">
      <c r="A2118" t="str">
        <f>IF(原始经营数据!$D2119="","",原始经营数据!$D2119)</f>
        <v/>
      </c>
      <c r="B2118" t="str">
        <f>IF(原始经营数据!$D2119="","",T(原始经营数据!$E2119))</f>
        <v/>
      </c>
      <c r="C2118" t="str">
        <f>IF(原始经营数据!$D2119="","",原始经营数据!$F2119)</f>
        <v/>
      </c>
      <c r="D2118" t="str">
        <f>IF(原始经营数据!$D2119="","",原始经营数据!$H2119)</f>
        <v/>
      </c>
      <c r="E2118" t="str">
        <f>IF(原始经营数据!$D2119="","",原始经营数据!$I2119)</f>
        <v/>
      </c>
      <c r="F2118" t="str">
        <f>IF(原始经营数据!$D2119="","",T(原始经营数据!$J2119))</f>
        <v/>
      </c>
      <c r="G2118" t="str">
        <f>IF(原始经营数据!$D2119="","",T(原始经营数据!$K2119))</f>
        <v/>
      </c>
      <c r="H2118" t="str">
        <f>IF(原始经营数据!$D2119="","",原始经营数据!$G2119)</f>
        <v/>
      </c>
      <c r="I2118" t="str">
        <f>IF($A2118="","",IF($B2118&lt;&gt;"",$B2118,IF(COUNTIFS(原始经营数据!$D$3:$D$3001,$A2118,原始经营数据!$E$3:$E$3001,"",原始经营数据!$F$3:$F$3001,$C2118,原始经营数据!$H$3:$H$3001,$D2118,原始经营数据!$K$3:$K$3001,$G2118)&gt;1,"基金整体·来源"&amp;原始经营数据!$A2119,"基金整体")))</f>
        <v/>
      </c>
      <c r="J2118" t="str">
        <f t="shared" si="498"/>
        <v/>
      </c>
      <c r="K2118" t="str">
        <f t="shared" si="499"/>
        <v/>
      </c>
      <c r="L2118" t="str">
        <f t="shared" si="500"/>
        <v/>
      </c>
      <c r="M2118">
        <f>IF($A2118="",0,IF(COUNTIF($L$2:$L2118,$L2118)=1,1,0))</f>
        <v>0</v>
      </c>
      <c r="N2118" t="str">
        <f t="shared" si="501"/>
        <v/>
      </c>
      <c r="O2118" t="str">
        <f t="shared" si="502"/>
        <v/>
      </c>
      <c r="P2118">
        <f>IF($A2118="",0,IF(COUNTIF($O$2:$O2118,$O2118)=1,1,0))</f>
        <v>0</v>
      </c>
      <c r="Q2118" t="str">
        <f>IF(AND($P2118=1,$A2118=经营数据!$B$3,$J2118=经营数据!$BA$5),COUNTIFS($P$2:$P$3000,1,$A$2:$A$3000,$A2118,$J$2:$J$3000,$J2118,$N$2:$N$3000,"&lt;"&amp;$N2118)+1,"")</f>
        <v/>
      </c>
      <c r="R2118" t="str">
        <f t="shared" si="503"/>
        <v/>
      </c>
      <c r="S2118">
        <f>IF($A2118="",0,IF(COUNTIF($R$2:$R2118,$R2118)=1,1,0))</f>
        <v>0</v>
      </c>
      <c r="T2118" t="str">
        <f t="shared" si="504"/>
        <v/>
      </c>
      <c r="U2118" t="str">
        <f>IF($A2118="","",IF($A2118=经营数据!$B$3,COUNTIFS($S$2:$S$3000,1,$A$2:$A$3000,$A2118,$T$2:$T$3000,"&lt;"&amp;$T2118)+1,""))</f>
        <v/>
      </c>
      <c r="V2118" t="str">
        <f t="shared" si="505"/>
        <v/>
      </c>
      <c r="W2118" t="str">
        <f t="shared" si="506"/>
        <v/>
      </c>
      <c r="X2118" t="str">
        <f t="shared" si="507"/>
        <v/>
      </c>
      <c r="Y2118" t="str">
        <f t="shared" si="508"/>
        <v/>
      </c>
      <c r="Z2118">
        <f>IF($A2118="",0,IF(AND($M2118=1,$A2118=经营数据!$B$3,$J2118=经营数据!$BA$5,OR($I2118=经营数据!$BA$4,COUNTIF(经营数据!$AA$9:$AA$38,$I2118)&gt;0)),1,0))</f>
        <v>0</v>
      </c>
      <c r="AA2118" t="str">
        <f t="shared" si="509"/>
        <v/>
      </c>
      <c r="AB2118" t="str">
        <f t="shared" si="510"/>
        <v/>
      </c>
      <c r="AC2118">
        <f>IF($A2118="",0,IF(COUNTIF($A$2:$A2118,$A2118)=1,1,0))</f>
        <v>0</v>
      </c>
      <c r="AD2118">
        <f t="shared" si="511"/>
        <v>29</v>
      </c>
      <c r="AE2118" t="str">
        <f t="shared" si="512"/>
        <v/>
      </c>
    </row>
    <row r="2119" spans="1:31" x14ac:dyDescent="0.4">
      <c r="A2119" t="str">
        <f>IF(原始经营数据!$D2120="","",原始经营数据!$D2120)</f>
        <v/>
      </c>
      <c r="B2119" t="str">
        <f>IF(原始经营数据!$D2120="","",T(原始经营数据!$E2120))</f>
        <v/>
      </c>
      <c r="C2119" t="str">
        <f>IF(原始经营数据!$D2120="","",原始经营数据!$F2120)</f>
        <v/>
      </c>
      <c r="D2119" t="str">
        <f>IF(原始经营数据!$D2120="","",原始经营数据!$H2120)</f>
        <v/>
      </c>
      <c r="E2119" t="str">
        <f>IF(原始经营数据!$D2120="","",原始经营数据!$I2120)</f>
        <v/>
      </c>
      <c r="F2119" t="str">
        <f>IF(原始经营数据!$D2120="","",T(原始经营数据!$J2120))</f>
        <v/>
      </c>
      <c r="G2119" t="str">
        <f>IF(原始经营数据!$D2120="","",T(原始经营数据!$K2120))</f>
        <v/>
      </c>
      <c r="H2119" t="str">
        <f>IF(原始经营数据!$D2120="","",原始经营数据!$G2120)</f>
        <v/>
      </c>
      <c r="I2119" t="str">
        <f>IF($A2119="","",IF($B2119&lt;&gt;"",$B2119,IF(COUNTIFS(原始经营数据!$D$3:$D$3001,$A2119,原始经营数据!$E$3:$E$3001,"",原始经营数据!$F$3:$F$3001,$C2119,原始经营数据!$H$3:$H$3001,$D2119,原始经营数据!$K$3:$K$3001,$G2119)&gt;1,"基金整体·来源"&amp;原始经营数据!$A2120,"基金整体")))</f>
        <v/>
      </c>
      <c r="J2119" t="str">
        <f t="shared" si="498"/>
        <v/>
      </c>
      <c r="K2119" t="str">
        <f t="shared" si="499"/>
        <v/>
      </c>
      <c r="L2119" t="str">
        <f t="shared" si="500"/>
        <v/>
      </c>
      <c r="M2119">
        <f>IF($A2119="",0,IF(COUNTIF($L$2:$L2119,$L2119)=1,1,0))</f>
        <v>0</v>
      </c>
      <c r="N2119" t="str">
        <f t="shared" si="501"/>
        <v/>
      </c>
      <c r="O2119" t="str">
        <f t="shared" si="502"/>
        <v/>
      </c>
      <c r="P2119">
        <f>IF($A2119="",0,IF(COUNTIF($O$2:$O2119,$O2119)=1,1,0))</f>
        <v>0</v>
      </c>
      <c r="Q2119" t="str">
        <f>IF(AND($P2119=1,$A2119=经营数据!$B$3,$J2119=经营数据!$BA$5),COUNTIFS($P$2:$P$3000,1,$A$2:$A$3000,$A2119,$J$2:$J$3000,$J2119,$N$2:$N$3000,"&lt;"&amp;$N2119)+1,"")</f>
        <v/>
      </c>
      <c r="R2119" t="str">
        <f t="shared" si="503"/>
        <v/>
      </c>
      <c r="S2119">
        <f>IF($A2119="",0,IF(COUNTIF($R$2:$R2119,$R2119)=1,1,0))</f>
        <v>0</v>
      </c>
      <c r="T2119" t="str">
        <f t="shared" si="504"/>
        <v/>
      </c>
      <c r="U2119" t="str">
        <f>IF($A2119="","",IF($A2119=经营数据!$B$3,COUNTIFS($S$2:$S$3000,1,$A$2:$A$3000,$A2119,$T$2:$T$3000,"&lt;"&amp;$T2119)+1,""))</f>
        <v/>
      </c>
      <c r="V2119" t="str">
        <f t="shared" si="505"/>
        <v/>
      </c>
      <c r="W2119" t="str">
        <f t="shared" si="506"/>
        <v/>
      </c>
      <c r="X2119" t="str">
        <f t="shared" si="507"/>
        <v/>
      </c>
      <c r="Y2119" t="str">
        <f t="shared" si="508"/>
        <v/>
      </c>
      <c r="Z2119">
        <f>IF($A2119="",0,IF(AND($M2119=1,$A2119=经营数据!$B$3,$J2119=经营数据!$BA$5,OR($I2119=经营数据!$BA$4,COUNTIF(经营数据!$AA$9:$AA$38,$I2119)&gt;0)),1,0))</f>
        <v>0</v>
      </c>
      <c r="AA2119" t="str">
        <f t="shared" si="509"/>
        <v/>
      </c>
      <c r="AB2119" t="str">
        <f t="shared" si="510"/>
        <v/>
      </c>
      <c r="AC2119">
        <f>IF($A2119="",0,IF(COUNTIF($A$2:$A2119,$A2119)=1,1,0))</f>
        <v>0</v>
      </c>
      <c r="AD2119">
        <f t="shared" si="511"/>
        <v>29</v>
      </c>
      <c r="AE2119" t="str">
        <f t="shared" si="512"/>
        <v/>
      </c>
    </row>
    <row r="2120" spans="1:31" x14ac:dyDescent="0.4">
      <c r="A2120" t="str">
        <f>IF(原始经营数据!$D2121="","",原始经营数据!$D2121)</f>
        <v/>
      </c>
      <c r="B2120" t="str">
        <f>IF(原始经营数据!$D2121="","",T(原始经营数据!$E2121))</f>
        <v/>
      </c>
      <c r="C2120" t="str">
        <f>IF(原始经营数据!$D2121="","",原始经营数据!$F2121)</f>
        <v/>
      </c>
      <c r="D2120" t="str">
        <f>IF(原始经营数据!$D2121="","",原始经营数据!$H2121)</f>
        <v/>
      </c>
      <c r="E2120" t="str">
        <f>IF(原始经营数据!$D2121="","",原始经营数据!$I2121)</f>
        <v/>
      </c>
      <c r="F2120" t="str">
        <f>IF(原始经营数据!$D2121="","",T(原始经营数据!$J2121))</f>
        <v/>
      </c>
      <c r="G2120" t="str">
        <f>IF(原始经营数据!$D2121="","",T(原始经营数据!$K2121))</f>
        <v/>
      </c>
      <c r="H2120" t="str">
        <f>IF(原始经营数据!$D2121="","",原始经营数据!$G2121)</f>
        <v/>
      </c>
      <c r="I2120" t="str">
        <f>IF($A2120="","",IF($B2120&lt;&gt;"",$B2120,IF(COUNTIFS(原始经营数据!$D$3:$D$3001,$A2120,原始经营数据!$E$3:$E$3001,"",原始经营数据!$F$3:$F$3001,$C2120,原始经营数据!$H$3:$H$3001,$D2120,原始经营数据!$K$3:$K$3001,$G2120)&gt;1,"基金整体·来源"&amp;原始经营数据!$A2121,"基金整体")))</f>
        <v/>
      </c>
      <c r="J2120" t="str">
        <f t="shared" si="498"/>
        <v/>
      </c>
      <c r="K2120" t="str">
        <f t="shared" si="499"/>
        <v/>
      </c>
      <c r="L2120" t="str">
        <f t="shared" si="500"/>
        <v/>
      </c>
      <c r="M2120">
        <f>IF($A2120="",0,IF(COUNTIF($L$2:$L2120,$L2120)=1,1,0))</f>
        <v>0</v>
      </c>
      <c r="N2120" t="str">
        <f t="shared" si="501"/>
        <v/>
      </c>
      <c r="O2120" t="str">
        <f t="shared" si="502"/>
        <v/>
      </c>
      <c r="P2120">
        <f>IF($A2120="",0,IF(COUNTIF($O$2:$O2120,$O2120)=1,1,0))</f>
        <v>0</v>
      </c>
      <c r="Q2120" t="str">
        <f>IF(AND($P2120=1,$A2120=经营数据!$B$3,$J2120=经营数据!$BA$5),COUNTIFS($P$2:$P$3000,1,$A$2:$A$3000,$A2120,$J$2:$J$3000,$J2120,$N$2:$N$3000,"&lt;"&amp;$N2120)+1,"")</f>
        <v/>
      </c>
      <c r="R2120" t="str">
        <f t="shared" si="503"/>
        <v/>
      </c>
      <c r="S2120">
        <f>IF($A2120="",0,IF(COUNTIF($R$2:$R2120,$R2120)=1,1,0))</f>
        <v>0</v>
      </c>
      <c r="T2120" t="str">
        <f t="shared" si="504"/>
        <v/>
      </c>
      <c r="U2120" t="str">
        <f>IF($A2120="","",IF($A2120=经营数据!$B$3,COUNTIFS($S$2:$S$3000,1,$A$2:$A$3000,$A2120,$T$2:$T$3000,"&lt;"&amp;$T2120)+1,""))</f>
        <v/>
      </c>
      <c r="V2120" t="str">
        <f t="shared" si="505"/>
        <v/>
      </c>
      <c r="W2120" t="str">
        <f t="shared" si="506"/>
        <v/>
      </c>
      <c r="X2120" t="str">
        <f t="shared" si="507"/>
        <v/>
      </c>
      <c r="Y2120" t="str">
        <f t="shared" si="508"/>
        <v/>
      </c>
      <c r="Z2120">
        <f>IF($A2120="",0,IF(AND($M2120=1,$A2120=经营数据!$B$3,$J2120=经营数据!$BA$5,OR($I2120=经营数据!$BA$4,COUNTIF(经营数据!$AA$9:$AA$38,$I2120)&gt;0)),1,0))</f>
        <v>0</v>
      </c>
      <c r="AA2120" t="str">
        <f t="shared" si="509"/>
        <v/>
      </c>
      <c r="AB2120" t="str">
        <f t="shared" si="510"/>
        <v/>
      </c>
      <c r="AC2120">
        <f>IF($A2120="",0,IF(COUNTIF($A$2:$A2120,$A2120)=1,1,0))</f>
        <v>0</v>
      </c>
      <c r="AD2120">
        <f t="shared" si="511"/>
        <v>29</v>
      </c>
      <c r="AE2120" t="str">
        <f t="shared" si="512"/>
        <v/>
      </c>
    </row>
    <row r="2121" spans="1:31" x14ac:dyDescent="0.4">
      <c r="A2121" t="str">
        <f>IF(原始经营数据!$D2122="","",原始经营数据!$D2122)</f>
        <v/>
      </c>
      <c r="B2121" t="str">
        <f>IF(原始经营数据!$D2122="","",T(原始经营数据!$E2122))</f>
        <v/>
      </c>
      <c r="C2121" t="str">
        <f>IF(原始经营数据!$D2122="","",原始经营数据!$F2122)</f>
        <v/>
      </c>
      <c r="D2121" t="str">
        <f>IF(原始经营数据!$D2122="","",原始经营数据!$H2122)</f>
        <v/>
      </c>
      <c r="E2121" t="str">
        <f>IF(原始经营数据!$D2122="","",原始经营数据!$I2122)</f>
        <v/>
      </c>
      <c r="F2121" t="str">
        <f>IF(原始经营数据!$D2122="","",T(原始经营数据!$J2122))</f>
        <v/>
      </c>
      <c r="G2121" t="str">
        <f>IF(原始经营数据!$D2122="","",T(原始经营数据!$K2122))</f>
        <v/>
      </c>
      <c r="H2121" t="str">
        <f>IF(原始经营数据!$D2122="","",原始经营数据!$G2122)</f>
        <v/>
      </c>
      <c r="I2121" t="str">
        <f>IF($A2121="","",IF($B2121&lt;&gt;"",$B2121,IF(COUNTIFS(原始经营数据!$D$3:$D$3001,$A2121,原始经营数据!$E$3:$E$3001,"",原始经营数据!$F$3:$F$3001,$C2121,原始经营数据!$H$3:$H$3001,$D2121,原始经营数据!$K$3:$K$3001,$G2121)&gt;1,"基金整体·来源"&amp;原始经营数据!$A2122,"基金整体")))</f>
        <v/>
      </c>
      <c r="J2121" t="str">
        <f t="shared" si="498"/>
        <v/>
      </c>
      <c r="K2121" t="str">
        <f t="shared" si="499"/>
        <v/>
      </c>
      <c r="L2121" t="str">
        <f t="shared" si="500"/>
        <v/>
      </c>
      <c r="M2121">
        <f>IF($A2121="",0,IF(COUNTIF($L$2:$L2121,$L2121)=1,1,0))</f>
        <v>0</v>
      </c>
      <c r="N2121" t="str">
        <f t="shared" si="501"/>
        <v/>
      </c>
      <c r="O2121" t="str">
        <f t="shared" si="502"/>
        <v/>
      </c>
      <c r="P2121">
        <f>IF($A2121="",0,IF(COUNTIF($O$2:$O2121,$O2121)=1,1,0))</f>
        <v>0</v>
      </c>
      <c r="Q2121" t="str">
        <f>IF(AND($P2121=1,$A2121=经营数据!$B$3,$J2121=经营数据!$BA$5),COUNTIFS($P$2:$P$3000,1,$A$2:$A$3000,$A2121,$J$2:$J$3000,$J2121,$N$2:$N$3000,"&lt;"&amp;$N2121)+1,"")</f>
        <v/>
      </c>
      <c r="R2121" t="str">
        <f t="shared" si="503"/>
        <v/>
      </c>
      <c r="S2121">
        <f>IF($A2121="",0,IF(COUNTIF($R$2:$R2121,$R2121)=1,1,0))</f>
        <v>0</v>
      </c>
      <c r="T2121" t="str">
        <f t="shared" si="504"/>
        <v/>
      </c>
      <c r="U2121" t="str">
        <f>IF($A2121="","",IF($A2121=经营数据!$B$3,COUNTIFS($S$2:$S$3000,1,$A$2:$A$3000,$A2121,$T$2:$T$3000,"&lt;"&amp;$T2121)+1,""))</f>
        <v/>
      </c>
      <c r="V2121" t="str">
        <f t="shared" si="505"/>
        <v/>
      </c>
      <c r="W2121" t="str">
        <f t="shared" si="506"/>
        <v/>
      </c>
      <c r="X2121" t="str">
        <f t="shared" si="507"/>
        <v/>
      </c>
      <c r="Y2121" t="str">
        <f t="shared" si="508"/>
        <v/>
      </c>
      <c r="Z2121">
        <f>IF($A2121="",0,IF(AND($M2121=1,$A2121=经营数据!$B$3,$J2121=经营数据!$BA$5,OR($I2121=经营数据!$BA$4,COUNTIF(经营数据!$AA$9:$AA$38,$I2121)&gt;0)),1,0))</f>
        <v>0</v>
      </c>
      <c r="AA2121" t="str">
        <f t="shared" si="509"/>
        <v/>
      </c>
      <c r="AB2121" t="str">
        <f t="shared" si="510"/>
        <v/>
      </c>
      <c r="AC2121">
        <f>IF($A2121="",0,IF(COUNTIF($A$2:$A2121,$A2121)=1,1,0))</f>
        <v>0</v>
      </c>
      <c r="AD2121">
        <f t="shared" si="511"/>
        <v>29</v>
      </c>
      <c r="AE2121" t="str">
        <f t="shared" si="512"/>
        <v/>
      </c>
    </row>
    <row r="2122" spans="1:31" x14ac:dyDescent="0.4">
      <c r="A2122" t="str">
        <f>IF(原始经营数据!$D2123="","",原始经营数据!$D2123)</f>
        <v/>
      </c>
      <c r="B2122" t="str">
        <f>IF(原始经营数据!$D2123="","",T(原始经营数据!$E2123))</f>
        <v/>
      </c>
      <c r="C2122" t="str">
        <f>IF(原始经营数据!$D2123="","",原始经营数据!$F2123)</f>
        <v/>
      </c>
      <c r="D2122" t="str">
        <f>IF(原始经营数据!$D2123="","",原始经营数据!$H2123)</f>
        <v/>
      </c>
      <c r="E2122" t="str">
        <f>IF(原始经营数据!$D2123="","",原始经营数据!$I2123)</f>
        <v/>
      </c>
      <c r="F2122" t="str">
        <f>IF(原始经营数据!$D2123="","",T(原始经营数据!$J2123))</f>
        <v/>
      </c>
      <c r="G2122" t="str">
        <f>IF(原始经营数据!$D2123="","",T(原始经营数据!$K2123))</f>
        <v/>
      </c>
      <c r="H2122" t="str">
        <f>IF(原始经营数据!$D2123="","",原始经营数据!$G2123)</f>
        <v/>
      </c>
      <c r="I2122" t="str">
        <f>IF($A2122="","",IF($B2122&lt;&gt;"",$B2122,IF(COUNTIFS(原始经营数据!$D$3:$D$3001,$A2122,原始经营数据!$E$3:$E$3001,"",原始经营数据!$F$3:$F$3001,$C2122,原始经营数据!$H$3:$H$3001,$D2122,原始经营数据!$K$3:$K$3001,$G2122)&gt;1,"基金整体·来源"&amp;原始经营数据!$A2123,"基金整体")))</f>
        <v/>
      </c>
      <c r="J2122" t="str">
        <f t="shared" si="498"/>
        <v/>
      </c>
      <c r="K2122" t="str">
        <f t="shared" si="499"/>
        <v/>
      </c>
      <c r="L2122" t="str">
        <f t="shared" si="500"/>
        <v/>
      </c>
      <c r="M2122">
        <f>IF($A2122="",0,IF(COUNTIF($L$2:$L2122,$L2122)=1,1,0))</f>
        <v>0</v>
      </c>
      <c r="N2122" t="str">
        <f t="shared" si="501"/>
        <v/>
      </c>
      <c r="O2122" t="str">
        <f t="shared" si="502"/>
        <v/>
      </c>
      <c r="P2122">
        <f>IF($A2122="",0,IF(COUNTIF($O$2:$O2122,$O2122)=1,1,0))</f>
        <v>0</v>
      </c>
      <c r="Q2122" t="str">
        <f>IF(AND($P2122=1,$A2122=经营数据!$B$3,$J2122=经营数据!$BA$5),COUNTIFS($P$2:$P$3000,1,$A$2:$A$3000,$A2122,$J$2:$J$3000,$J2122,$N$2:$N$3000,"&lt;"&amp;$N2122)+1,"")</f>
        <v/>
      </c>
      <c r="R2122" t="str">
        <f t="shared" si="503"/>
        <v/>
      </c>
      <c r="S2122">
        <f>IF($A2122="",0,IF(COUNTIF($R$2:$R2122,$R2122)=1,1,0))</f>
        <v>0</v>
      </c>
      <c r="T2122" t="str">
        <f t="shared" si="504"/>
        <v/>
      </c>
      <c r="U2122" t="str">
        <f>IF($A2122="","",IF($A2122=经营数据!$B$3,COUNTIFS($S$2:$S$3000,1,$A$2:$A$3000,$A2122,$T$2:$T$3000,"&lt;"&amp;$T2122)+1,""))</f>
        <v/>
      </c>
      <c r="V2122" t="str">
        <f t="shared" si="505"/>
        <v/>
      </c>
      <c r="W2122" t="str">
        <f t="shared" si="506"/>
        <v/>
      </c>
      <c r="X2122" t="str">
        <f t="shared" si="507"/>
        <v/>
      </c>
      <c r="Y2122" t="str">
        <f t="shared" si="508"/>
        <v/>
      </c>
      <c r="Z2122">
        <f>IF($A2122="",0,IF(AND($M2122=1,$A2122=经营数据!$B$3,$J2122=经营数据!$BA$5,OR($I2122=经营数据!$BA$4,COUNTIF(经营数据!$AA$9:$AA$38,$I2122)&gt;0)),1,0))</f>
        <v>0</v>
      </c>
      <c r="AA2122" t="str">
        <f t="shared" si="509"/>
        <v/>
      </c>
      <c r="AB2122" t="str">
        <f t="shared" si="510"/>
        <v/>
      </c>
      <c r="AC2122">
        <f>IF($A2122="",0,IF(COUNTIF($A$2:$A2122,$A2122)=1,1,0))</f>
        <v>0</v>
      </c>
      <c r="AD2122">
        <f t="shared" si="511"/>
        <v>29</v>
      </c>
      <c r="AE2122" t="str">
        <f t="shared" si="512"/>
        <v/>
      </c>
    </row>
    <row r="2123" spans="1:31" x14ac:dyDescent="0.4">
      <c r="A2123" t="str">
        <f>IF(原始经营数据!$D2124="","",原始经营数据!$D2124)</f>
        <v/>
      </c>
      <c r="B2123" t="str">
        <f>IF(原始经营数据!$D2124="","",T(原始经营数据!$E2124))</f>
        <v/>
      </c>
      <c r="C2123" t="str">
        <f>IF(原始经营数据!$D2124="","",原始经营数据!$F2124)</f>
        <v/>
      </c>
      <c r="D2123" t="str">
        <f>IF(原始经营数据!$D2124="","",原始经营数据!$H2124)</f>
        <v/>
      </c>
      <c r="E2123" t="str">
        <f>IF(原始经营数据!$D2124="","",原始经营数据!$I2124)</f>
        <v/>
      </c>
      <c r="F2123" t="str">
        <f>IF(原始经营数据!$D2124="","",T(原始经营数据!$J2124))</f>
        <v/>
      </c>
      <c r="G2123" t="str">
        <f>IF(原始经营数据!$D2124="","",T(原始经营数据!$K2124))</f>
        <v/>
      </c>
      <c r="H2123" t="str">
        <f>IF(原始经营数据!$D2124="","",原始经营数据!$G2124)</f>
        <v/>
      </c>
      <c r="I2123" t="str">
        <f>IF($A2123="","",IF($B2123&lt;&gt;"",$B2123,IF(COUNTIFS(原始经营数据!$D$3:$D$3001,$A2123,原始经营数据!$E$3:$E$3001,"",原始经营数据!$F$3:$F$3001,$C2123,原始经营数据!$H$3:$H$3001,$D2123,原始经营数据!$K$3:$K$3001,$G2123)&gt;1,"基金整体·来源"&amp;原始经营数据!$A2124,"基金整体")))</f>
        <v/>
      </c>
      <c r="J2123" t="str">
        <f t="shared" si="498"/>
        <v/>
      </c>
      <c r="K2123" t="str">
        <f t="shared" si="499"/>
        <v/>
      </c>
      <c r="L2123" t="str">
        <f t="shared" si="500"/>
        <v/>
      </c>
      <c r="M2123">
        <f>IF($A2123="",0,IF(COUNTIF($L$2:$L2123,$L2123)=1,1,0))</f>
        <v>0</v>
      </c>
      <c r="N2123" t="str">
        <f t="shared" si="501"/>
        <v/>
      </c>
      <c r="O2123" t="str">
        <f t="shared" si="502"/>
        <v/>
      </c>
      <c r="P2123">
        <f>IF($A2123="",0,IF(COUNTIF($O$2:$O2123,$O2123)=1,1,0))</f>
        <v>0</v>
      </c>
      <c r="Q2123" t="str">
        <f>IF(AND($P2123=1,$A2123=经营数据!$B$3,$J2123=经营数据!$BA$5),COUNTIFS($P$2:$P$3000,1,$A$2:$A$3000,$A2123,$J$2:$J$3000,$J2123,$N$2:$N$3000,"&lt;"&amp;$N2123)+1,"")</f>
        <v/>
      </c>
      <c r="R2123" t="str">
        <f t="shared" si="503"/>
        <v/>
      </c>
      <c r="S2123">
        <f>IF($A2123="",0,IF(COUNTIF($R$2:$R2123,$R2123)=1,1,0))</f>
        <v>0</v>
      </c>
      <c r="T2123" t="str">
        <f t="shared" si="504"/>
        <v/>
      </c>
      <c r="U2123" t="str">
        <f>IF($A2123="","",IF($A2123=经营数据!$B$3,COUNTIFS($S$2:$S$3000,1,$A$2:$A$3000,$A2123,$T$2:$T$3000,"&lt;"&amp;$T2123)+1,""))</f>
        <v/>
      </c>
      <c r="V2123" t="str">
        <f t="shared" si="505"/>
        <v/>
      </c>
      <c r="W2123" t="str">
        <f t="shared" si="506"/>
        <v/>
      </c>
      <c r="X2123" t="str">
        <f t="shared" si="507"/>
        <v/>
      </c>
      <c r="Y2123" t="str">
        <f t="shared" si="508"/>
        <v/>
      </c>
      <c r="Z2123">
        <f>IF($A2123="",0,IF(AND($M2123=1,$A2123=经营数据!$B$3,$J2123=经营数据!$BA$5,OR($I2123=经营数据!$BA$4,COUNTIF(经营数据!$AA$9:$AA$38,$I2123)&gt;0)),1,0))</f>
        <v>0</v>
      </c>
      <c r="AA2123" t="str">
        <f t="shared" si="509"/>
        <v/>
      </c>
      <c r="AB2123" t="str">
        <f t="shared" si="510"/>
        <v/>
      </c>
      <c r="AC2123">
        <f>IF($A2123="",0,IF(COUNTIF($A$2:$A2123,$A2123)=1,1,0))</f>
        <v>0</v>
      </c>
      <c r="AD2123">
        <f t="shared" si="511"/>
        <v>29</v>
      </c>
      <c r="AE2123" t="str">
        <f t="shared" si="512"/>
        <v/>
      </c>
    </row>
    <row r="2124" spans="1:31" x14ac:dyDescent="0.4">
      <c r="A2124" t="str">
        <f>IF(原始经营数据!$D2125="","",原始经营数据!$D2125)</f>
        <v/>
      </c>
      <c r="B2124" t="str">
        <f>IF(原始经营数据!$D2125="","",T(原始经营数据!$E2125))</f>
        <v/>
      </c>
      <c r="C2124" t="str">
        <f>IF(原始经营数据!$D2125="","",原始经营数据!$F2125)</f>
        <v/>
      </c>
      <c r="D2124" t="str">
        <f>IF(原始经营数据!$D2125="","",原始经营数据!$H2125)</f>
        <v/>
      </c>
      <c r="E2124" t="str">
        <f>IF(原始经营数据!$D2125="","",原始经营数据!$I2125)</f>
        <v/>
      </c>
      <c r="F2124" t="str">
        <f>IF(原始经营数据!$D2125="","",T(原始经营数据!$J2125))</f>
        <v/>
      </c>
      <c r="G2124" t="str">
        <f>IF(原始经营数据!$D2125="","",T(原始经营数据!$K2125))</f>
        <v/>
      </c>
      <c r="H2124" t="str">
        <f>IF(原始经营数据!$D2125="","",原始经营数据!$G2125)</f>
        <v/>
      </c>
      <c r="I2124" t="str">
        <f>IF($A2124="","",IF($B2124&lt;&gt;"",$B2124,IF(COUNTIFS(原始经营数据!$D$3:$D$3001,$A2124,原始经营数据!$E$3:$E$3001,"",原始经营数据!$F$3:$F$3001,$C2124,原始经营数据!$H$3:$H$3001,$D2124,原始经营数据!$K$3:$K$3001,$G2124)&gt;1,"基金整体·来源"&amp;原始经营数据!$A2125,"基金整体")))</f>
        <v/>
      </c>
      <c r="J2124" t="str">
        <f t="shared" si="498"/>
        <v/>
      </c>
      <c r="K2124" t="str">
        <f t="shared" si="499"/>
        <v/>
      </c>
      <c r="L2124" t="str">
        <f t="shared" si="500"/>
        <v/>
      </c>
      <c r="M2124">
        <f>IF($A2124="",0,IF(COUNTIF($L$2:$L2124,$L2124)=1,1,0))</f>
        <v>0</v>
      </c>
      <c r="N2124" t="str">
        <f t="shared" si="501"/>
        <v/>
      </c>
      <c r="O2124" t="str">
        <f t="shared" si="502"/>
        <v/>
      </c>
      <c r="P2124">
        <f>IF($A2124="",0,IF(COUNTIF($O$2:$O2124,$O2124)=1,1,0))</f>
        <v>0</v>
      </c>
      <c r="Q2124" t="str">
        <f>IF(AND($P2124=1,$A2124=经营数据!$B$3,$J2124=经营数据!$BA$5),COUNTIFS($P$2:$P$3000,1,$A$2:$A$3000,$A2124,$J$2:$J$3000,$J2124,$N$2:$N$3000,"&lt;"&amp;$N2124)+1,"")</f>
        <v/>
      </c>
      <c r="R2124" t="str">
        <f t="shared" si="503"/>
        <v/>
      </c>
      <c r="S2124">
        <f>IF($A2124="",0,IF(COUNTIF($R$2:$R2124,$R2124)=1,1,0))</f>
        <v>0</v>
      </c>
      <c r="T2124" t="str">
        <f t="shared" si="504"/>
        <v/>
      </c>
      <c r="U2124" t="str">
        <f>IF($A2124="","",IF($A2124=经营数据!$B$3,COUNTIFS($S$2:$S$3000,1,$A$2:$A$3000,$A2124,$T$2:$T$3000,"&lt;"&amp;$T2124)+1,""))</f>
        <v/>
      </c>
      <c r="V2124" t="str">
        <f t="shared" si="505"/>
        <v/>
      </c>
      <c r="W2124" t="str">
        <f t="shared" si="506"/>
        <v/>
      </c>
      <c r="X2124" t="str">
        <f t="shared" si="507"/>
        <v/>
      </c>
      <c r="Y2124" t="str">
        <f t="shared" si="508"/>
        <v/>
      </c>
      <c r="Z2124">
        <f>IF($A2124="",0,IF(AND($M2124=1,$A2124=经营数据!$B$3,$J2124=经营数据!$BA$5,OR($I2124=经营数据!$BA$4,COUNTIF(经营数据!$AA$9:$AA$38,$I2124)&gt;0)),1,0))</f>
        <v>0</v>
      </c>
      <c r="AA2124" t="str">
        <f t="shared" si="509"/>
        <v/>
      </c>
      <c r="AB2124" t="str">
        <f t="shared" si="510"/>
        <v/>
      </c>
      <c r="AC2124">
        <f>IF($A2124="",0,IF(COUNTIF($A$2:$A2124,$A2124)=1,1,0))</f>
        <v>0</v>
      </c>
      <c r="AD2124">
        <f t="shared" si="511"/>
        <v>29</v>
      </c>
      <c r="AE2124" t="str">
        <f t="shared" si="512"/>
        <v/>
      </c>
    </row>
    <row r="2125" spans="1:31" x14ac:dyDescent="0.4">
      <c r="A2125" t="str">
        <f>IF(原始经营数据!$D2126="","",原始经营数据!$D2126)</f>
        <v/>
      </c>
      <c r="B2125" t="str">
        <f>IF(原始经营数据!$D2126="","",T(原始经营数据!$E2126))</f>
        <v/>
      </c>
      <c r="C2125" t="str">
        <f>IF(原始经营数据!$D2126="","",原始经营数据!$F2126)</f>
        <v/>
      </c>
      <c r="D2125" t="str">
        <f>IF(原始经营数据!$D2126="","",原始经营数据!$H2126)</f>
        <v/>
      </c>
      <c r="E2125" t="str">
        <f>IF(原始经营数据!$D2126="","",原始经营数据!$I2126)</f>
        <v/>
      </c>
      <c r="F2125" t="str">
        <f>IF(原始经营数据!$D2126="","",T(原始经营数据!$J2126))</f>
        <v/>
      </c>
      <c r="G2125" t="str">
        <f>IF(原始经营数据!$D2126="","",T(原始经营数据!$K2126))</f>
        <v/>
      </c>
      <c r="H2125" t="str">
        <f>IF(原始经营数据!$D2126="","",原始经营数据!$G2126)</f>
        <v/>
      </c>
      <c r="I2125" t="str">
        <f>IF($A2125="","",IF($B2125&lt;&gt;"",$B2125,IF(COUNTIFS(原始经营数据!$D$3:$D$3001,$A2125,原始经营数据!$E$3:$E$3001,"",原始经营数据!$F$3:$F$3001,$C2125,原始经营数据!$H$3:$H$3001,$D2125,原始经营数据!$K$3:$K$3001,$G2125)&gt;1,"基金整体·来源"&amp;原始经营数据!$A2126,"基金整体")))</f>
        <v/>
      </c>
      <c r="J2125" t="str">
        <f t="shared" si="498"/>
        <v/>
      </c>
      <c r="K2125" t="str">
        <f t="shared" si="499"/>
        <v/>
      </c>
      <c r="L2125" t="str">
        <f t="shared" si="500"/>
        <v/>
      </c>
      <c r="M2125">
        <f>IF($A2125="",0,IF(COUNTIF($L$2:$L2125,$L2125)=1,1,0))</f>
        <v>0</v>
      </c>
      <c r="N2125" t="str">
        <f t="shared" si="501"/>
        <v/>
      </c>
      <c r="O2125" t="str">
        <f t="shared" si="502"/>
        <v/>
      </c>
      <c r="P2125">
        <f>IF($A2125="",0,IF(COUNTIF($O$2:$O2125,$O2125)=1,1,0))</f>
        <v>0</v>
      </c>
      <c r="Q2125" t="str">
        <f>IF(AND($P2125=1,$A2125=经营数据!$B$3,$J2125=经营数据!$BA$5),COUNTIFS($P$2:$P$3000,1,$A$2:$A$3000,$A2125,$J$2:$J$3000,$J2125,$N$2:$N$3000,"&lt;"&amp;$N2125)+1,"")</f>
        <v/>
      </c>
      <c r="R2125" t="str">
        <f t="shared" si="503"/>
        <v/>
      </c>
      <c r="S2125">
        <f>IF($A2125="",0,IF(COUNTIF($R$2:$R2125,$R2125)=1,1,0))</f>
        <v>0</v>
      </c>
      <c r="T2125" t="str">
        <f t="shared" si="504"/>
        <v/>
      </c>
      <c r="U2125" t="str">
        <f>IF($A2125="","",IF($A2125=经营数据!$B$3,COUNTIFS($S$2:$S$3000,1,$A$2:$A$3000,$A2125,$T$2:$T$3000,"&lt;"&amp;$T2125)+1,""))</f>
        <v/>
      </c>
      <c r="V2125" t="str">
        <f t="shared" si="505"/>
        <v/>
      </c>
      <c r="W2125" t="str">
        <f t="shared" si="506"/>
        <v/>
      </c>
      <c r="X2125" t="str">
        <f t="shared" si="507"/>
        <v/>
      </c>
      <c r="Y2125" t="str">
        <f t="shared" si="508"/>
        <v/>
      </c>
      <c r="Z2125">
        <f>IF($A2125="",0,IF(AND($M2125=1,$A2125=经营数据!$B$3,$J2125=经营数据!$BA$5,OR($I2125=经营数据!$BA$4,COUNTIF(经营数据!$AA$9:$AA$38,$I2125)&gt;0)),1,0))</f>
        <v>0</v>
      </c>
      <c r="AA2125" t="str">
        <f t="shared" si="509"/>
        <v/>
      </c>
      <c r="AB2125" t="str">
        <f t="shared" si="510"/>
        <v/>
      </c>
      <c r="AC2125">
        <f>IF($A2125="",0,IF(COUNTIF($A$2:$A2125,$A2125)=1,1,0))</f>
        <v>0</v>
      </c>
      <c r="AD2125">
        <f t="shared" si="511"/>
        <v>29</v>
      </c>
      <c r="AE2125" t="str">
        <f t="shared" si="512"/>
        <v/>
      </c>
    </row>
    <row r="2126" spans="1:31" x14ac:dyDescent="0.4">
      <c r="A2126" t="str">
        <f>IF(原始经营数据!$D2127="","",原始经营数据!$D2127)</f>
        <v/>
      </c>
      <c r="B2126" t="str">
        <f>IF(原始经营数据!$D2127="","",T(原始经营数据!$E2127))</f>
        <v/>
      </c>
      <c r="C2126" t="str">
        <f>IF(原始经营数据!$D2127="","",原始经营数据!$F2127)</f>
        <v/>
      </c>
      <c r="D2126" t="str">
        <f>IF(原始经营数据!$D2127="","",原始经营数据!$H2127)</f>
        <v/>
      </c>
      <c r="E2126" t="str">
        <f>IF(原始经营数据!$D2127="","",原始经营数据!$I2127)</f>
        <v/>
      </c>
      <c r="F2126" t="str">
        <f>IF(原始经营数据!$D2127="","",T(原始经营数据!$J2127))</f>
        <v/>
      </c>
      <c r="G2126" t="str">
        <f>IF(原始经营数据!$D2127="","",T(原始经营数据!$K2127))</f>
        <v/>
      </c>
      <c r="H2126" t="str">
        <f>IF(原始经营数据!$D2127="","",原始经营数据!$G2127)</f>
        <v/>
      </c>
      <c r="I2126" t="str">
        <f>IF($A2126="","",IF($B2126&lt;&gt;"",$B2126,IF(COUNTIFS(原始经营数据!$D$3:$D$3001,$A2126,原始经营数据!$E$3:$E$3001,"",原始经营数据!$F$3:$F$3001,$C2126,原始经营数据!$H$3:$H$3001,$D2126,原始经营数据!$K$3:$K$3001,$G2126)&gt;1,"基金整体·来源"&amp;原始经营数据!$A2127,"基金整体")))</f>
        <v/>
      </c>
      <c r="J2126" t="str">
        <f t="shared" si="498"/>
        <v/>
      </c>
      <c r="K2126" t="str">
        <f t="shared" si="499"/>
        <v/>
      </c>
      <c r="L2126" t="str">
        <f t="shared" si="500"/>
        <v/>
      </c>
      <c r="M2126">
        <f>IF($A2126="",0,IF(COUNTIF($L$2:$L2126,$L2126)=1,1,0))</f>
        <v>0</v>
      </c>
      <c r="N2126" t="str">
        <f t="shared" si="501"/>
        <v/>
      </c>
      <c r="O2126" t="str">
        <f t="shared" si="502"/>
        <v/>
      </c>
      <c r="P2126">
        <f>IF($A2126="",0,IF(COUNTIF($O$2:$O2126,$O2126)=1,1,0))</f>
        <v>0</v>
      </c>
      <c r="Q2126" t="str">
        <f>IF(AND($P2126=1,$A2126=经营数据!$B$3,$J2126=经营数据!$BA$5),COUNTIFS($P$2:$P$3000,1,$A$2:$A$3000,$A2126,$J$2:$J$3000,$J2126,$N$2:$N$3000,"&lt;"&amp;$N2126)+1,"")</f>
        <v/>
      </c>
      <c r="R2126" t="str">
        <f t="shared" si="503"/>
        <v/>
      </c>
      <c r="S2126">
        <f>IF($A2126="",0,IF(COUNTIF($R$2:$R2126,$R2126)=1,1,0))</f>
        <v>0</v>
      </c>
      <c r="T2126" t="str">
        <f t="shared" si="504"/>
        <v/>
      </c>
      <c r="U2126" t="str">
        <f>IF($A2126="","",IF($A2126=经营数据!$B$3,COUNTIFS($S$2:$S$3000,1,$A$2:$A$3000,$A2126,$T$2:$T$3000,"&lt;"&amp;$T2126)+1,""))</f>
        <v/>
      </c>
      <c r="V2126" t="str">
        <f t="shared" si="505"/>
        <v/>
      </c>
      <c r="W2126" t="str">
        <f t="shared" si="506"/>
        <v/>
      </c>
      <c r="X2126" t="str">
        <f t="shared" si="507"/>
        <v/>
      </c>
      <c r="Y2126" t="str">
        <f t="shared" si="508"/>
        <v/>
      </c>
      <c r="Z2126">
        <f>IF($A2126="",0,IF(AND($M2126=1,$A2126=经营数据!$B$3,$J2126=经营数据!$BA$5,OR($I2126=经营数据!$BA$4,COUNTIF(经营数据!$AA$9:$AA$38,$I2126)&gt;0)),1,0))</f>
        <v>0</v>
      </c>
      <c r="AA2126" t="str">
        <f t="shared" si="509"/>
        <v/>
      </c>
      <c r="AB2126" t="str">
        <f t="shared" si="510"/>
        <v/>
      </c>
      <c r="AC2126">
        <f>IF($A2126="",0,IF(COUNTIF($A$2:$A2126,$A2126)=1,1,0))</f>
        <v>0</v>
      </c>
      <c r="AD2126">
        <f t="shared" si="511"/>
        <v>29</v>
      </c>
      <c r="AE2126" t="str">
        <f t="shared" si="512"/>
        <v/>
      </c>
    </row>
    <row r="2127" spans="1:31" x14ac:dyDescent="0.4">
      <c r="A2127" t="str">
        <f>IF(原始经营数据!$D2128="","",原始经营数据!$D2128)</f>
        <v/>
      </c>
      <c r="B2127" t="str">
        <f>IF(原始经营数据!$D2128="","",T(原始经营数据!$E2128))</f>
        <v/>
      </c>
      <c r="C2127" t="str">
        <f>IF(原始经营数据!$D2128="","",原始经营数据!$F2128)</f>
        <v/>
      </c>
      <c r="D2127" t="str">
        <f>IF(原始经营数据!$D2128="","",原始经营数据!$H2128)</f>
        <v/>
      </c>
      <c r="E2127" t="str">
        <f>IF(原始经营数据!$D2128="","",原始经营数据!$I2128)</f>
        <v/>
      </c>
      <c r="F2127" t="str">
        <f>IF(原始经营数据!$D2128="","",T(原始经营数据!$J2128))</f>
        <v/>
      </c>
      <c r="G2127" t="str">
        <f>IF(原始经营数据!$D2128="","",T(原始经营数据!$K2128))</f>
        <v/>
      </c>
      <c r="H2127" t="str">
        <f>IF(原始经营数据!$D2128="","",原始经营数据!$G2128)</f>
        <v/>
      </c>
      <c r="I2127" t="str">
        <f>IF($A2127="","",IF($B2127&lt;&gt;"",$B2127,IF(COUNTIFS(原始经营数据!$D$3:$D$3001,$A2127,原始经营数据!$E$3:$E$3001,"",原始经营数据!$F$3:$F$3001,$C2127,原始经营数据!$H$3:$H$3001,$D2127,原始经营数据!$K$3:$K$3001,$G2127)&gt;1,"基金整体·来源"&amp;原始经营数据!$A2128,"基金整体")))</f>
        <v/>
      </c>
      <c r="J2127" t="str">
        <f t="shared" si="498"/>
        <v/>
      </c>
      <c r="K2127" t="str">
        <f t="shared" si="499"/>
        <v/>
      </c>
      <c r="L2127" t="str">
        <f t="shared" si="500"/>
        <v/>
      </c>
      <c r="M2127">
        <f>IF($A2127="",0,IF(COUNTIF($L$2:$L2127,$L2127)=1,1,0))</f>
        <v>0</v>
      </c>
      <c r="N2127" t="str">
        <f t="shared" si="501"/>
        <v/>
      </c>
      <c r="O2127" t="str">
        <f t="shared" si="502"/>
        <v/>
      </c>
      <c r="P2127">
        <f>IF($A2127="",0,IF(COUNTIF($O$2:$O2127,$O2127)=1,1,0))</f>
        <v>0</v>
      </c>
      <c r="Q2127" t="str">
        <f>IF(AND($P2127=1,$A2127=经营数据!$B$3,$J2127=经营数据!$BA$5),COUNTIFS($P$2:$P$3000,1,$A$2:$A$3000,$A2127,$J$2:$J$3000,$J2127,$N$2:$N$3000,"&lt;"&amp;$N2127)+1,"")</f>
        <v/>
      </c>
      <c r="R2127" t="str">
        <f t="shared" si="503"/>
        <v/>
      </c>
      <c r="S2127">
        <f>IF($A2127="",0,IF(COUNTIF($R$2:$R2127,$R2127)=1,1,0))</f>
        <v>0</v>
      </c>
      <c r="T2127" t="str">
        <f t="shared" si="504"/>
        <v/>
      </c>
      <c r="U2127" t="str">
        <f>IF($A2127="","",IF($A2127=经营数据!$B$3,COUNTIFS($S$2:$S$3000,1,$A$2:$A$3000,$A2127,$T$2:$T$3000,"&lt;"&amp;$T2127)+1,""))</f>
        <v/>
      </c>
      <c r="V2127" t="str">
        <f t="shared" si="505"/>
        <v/>
      </c>
      <c r="W2127" t="str">
        <f t="shared" si="506"/>
        <v/>
      </c>
      <c r="X2127" t="str">
        <f t="shared" si="507"/>
        <v/>
      </c>
      <c r="Y2127" t="str">
        <f t="shared" si="508"/>
        <v/>
      </c>
      <c r="Z2127">
        <f>IF($A2127="",0,IF(AND($M2127=1,$A2127=经营数据!$B$3,$J2127=经营数据!$BA$5,OR($I2127=经营数据!$BA$4,COUNTIF(经营数据!$AA$9:$AA$38,$I2127)&gt;0)),1,0))</f>
        <v>0</v>
      </c>
      <c r="AA2127" t="str">
        <f t="shared" si="509"/>
        <v/>
      </c>
      <c r="AB2127" t="str">
        <f t="shared" si="510"/>
        <v/>
      </c>
      <c r="AC2127">
        <f>IF($A2127="",0,IF(COUNTIF($A$2:$A2127,$A2127)=1,1,0))</f>
        <v>0</v>
      </c>
      <c r="AD2127">
        <f t="shared" si="511"/>
        <v>29</v>
      </c>
      <c r="AE2127" t="str">
        <f t="shared" si="512"/>
        <v/>
      </c>
    </row>
    <row r="2128" spans="1:31" x14ac:dyDescent="0.4">
      <c r="A2128" t="str">
        <f>IF(原始经营数据!$D2129="","",原始经营数据!$D2129)</f>
        <v/>
      </c>
      <c r="B2128" t="str">
        <f>IF(原始经营数据!$D2129="","",T(原始经营数据!$E2129))</f>
        <v/>
      </c>
      <c r="C2128" t="str">
        <f>IF(原始经营数据!$D2129="","",原始经营数据!$F2129)</f>
        <v/>
      </c>
      <c r="D2128" t="str">
        <f>IF(原始经营数据!$D2129="","",原始经营数据!$H2129)</f>
        <v/>
      </c>
      <c r="E2128" t="str">
        <f>IF(原始经营数据!$D2129="","",原始经营数据!$I2129)</f>
        <v/>
      </c>
      <c r="F2128" t="str">
        <f>IF(原始经营数据!$D2129="","",T(原始经营数据!$J2129))</f>
        <v/>
      </c>
      <c r="G2128" t="str">
        <f>IF(原始经营数据!$D2129="","",T(原始经营数据!$K2129))</f>
        <v/>
      </c>
      <c r="H2128" t="str">
        <f>IF(原始经营数据!$D2129="","",原始经营数据!$G2129)</f>
        <v/>
      </c>
      <c r="I2128" t="str">
        <f>IF($A2128="","",IF($B2128&lt;&gt;"",$B2128,IF(COUNTIFS(原始经营数据!$D$3:$D$3001,$A2128,原始经营数据!$E$3:$E$3001,"",原始经营数据!$F$3:$F$3001,$C2128,原始经营数据!$H$3:$H$3001,$D2128,原始经营数据!$K$3:$K$3001,$G2128)&gt;1,"基金整体·来源"&amp;原始经营数据!$A2129,"基金整体")))</f>
        <v/>
      </c>
      <c r="J2128" t="str">
        <f t="shared" si="498"/>
        <v/>
      </c>
      <c r="K2128" t="str">
        <f t="shared" si="499"/>
        <v/>
      </c>
      <c r="L2128" t="str">
        <f t="shared" si="500"/>
        <v/>
      </c>
      <c r="M2128">
        <f>IF($A2128="",0,IF(COUNTIF($L$2:$L2128,$L2128)=1,1,0))</f>
        <v>0</v>
      </c>
      <c r="N2128" t="str">
        <f t="shared" si="501"/>
        <v/>
      </c>
      <c r="O2128" t="str">
        <f t="shared" si="502"/>
        <v/>
      </c>
      <c r="P2128">
        <f>IF($A2128="",0,IF(COUNTIF($O$2:$O2128,$O2128)=1,1,0))</f>
        <v>0</v>
      </c>
      <c r="Q2128" t="str">
        <f>IF(AND($P2128=1,$A2128=经营数据!$B$3,$J2128=经营数据!$BA$5),COUNTIFS($P$2:$P$3000,1,$A$2:$A$3000,$A2128,$J$2:$J$3000,$J2128,$N$2:$N$3000,"&lt;"&amp;$N2128)+1,"")</f>
        <v/>
      </c>
      <c r="R2128" t="str">
        <f t="shared" si="503"/>
        <v/>
      </c>
      <c r="S2128">
        <f>IF($A2128="",0,IF(COUNTIF($R$2:$R2128,$R2128)=1,1,0))</f>
        <v>0</v>
      </c>
      <c r="T2128" t="str">
        <f t="shared" si="504"/>
        <v/>
      </c>
      <c r="U2128" t="str">
        <f>IF($A2128="","",IF($A2128=经营数据!$B$3,COUNTIFS($S$2:$S$3000,1,$A$2:$A$3000,$A2128,$T$2:$T$3000,"&lt;"&amp;$T2128)+1,""))</f>
        <v/>
      </c>
      <c r="V2128" t="str">
        <f t="shared" si="505"/>
        <v/>
      </c>
      <c r="W2128" t="str">
        <f t="shared" si="506"/>
        <v/>
      </c>
      <c r="X2128" t="str">
        <f t="shared" si="507"/>
        <v/>
      </c>
      <c r="Y2128" t="str">
        <f t="shared" si="508"/>
        <v/>
      </c>
      <c r="Z2128">
        <f>IF($A2128="",0,IF(AND($M2128=1,$A2128=经营数据!$B$3,$J2128=经营数据!$BA$5,OR($I2128=经营数据!$BA$4,COUNTIF(经营数据!$AA$9:$AA$38,$I2128)&gt;0)),1,0))</f>
        <v>0</v>
      </c>
      <c r="AA2128" t="str">
        <f t="shared" si="509"/>
        <v/>
      </c>
      <c r="AB2128" t="str">
        <f t="shared" si="510"/>
        <v/>
      </c>
      <c r="AC2128">
        <f>IF($A2128="",0,IF(COUNTIF($A$2:$A2128,$A2128)=1,1,0))</f>
        <v>0</v>
      </c>
      <c r="AD2128">
        <f t="shared" si="511"/>
        <v>29</v>
      </c>
      <c r="AE2128" t="str">
        <f t="shared" si="512"/>
        <v/>
      </c>
    </row>
    <row r="2129" spans="1:31" x14ac:dyDescent="0.4">
      <c r="A2129" t="str">
        <f>IF(原始经营数据!$D2130="","",原始经营数据!$D2130)</f>
        <v/>
      </c>
      <c r="B2129" t="str">
        <f>IF(原始经营数据!$D2130="","",T(原始经营数据!$E2130))</f>
        <v/>
      </c>
      <c r="C2129" t="str">
        <f>IF(原始经营数据!$D2130="","",原始经营数据!$F2130)</f>
        <v/>
      </c>
      <c r="D2129" t="str">
        <f>IF(原始经营数据!$D2130="","",原始经营数据!$H2130)</f>
        <v/>
      </c>
      <c r="E2129" t="str">
        <f>IF(原始经营数据!$D2130="","",原始经营数据!$I2130)</f>
        <v/>
      </c>
      <c r="F2129" t="str">
        <f>IF(原始经营数据!$D2130="","",T(原始经营数据!$J2130))</f>
        <v/>
      </c>
      <c r="G2129" t="str">
        <f>IF(原始经营数据!$D2130="","",T(原始经营数据!$K2130))</f>
        <v/>
      </c>
      <c r="H2129" t="str">
        <f>IF(原始经营数据!$D2130="","",原始经营数据!$G2130)</f>
        <v/>
      </c>
      <c r="I2129" t="str">
        <f>IF($A2129="","",IF($B2129&lt;&gt;"",$B2129,IF(COUNTIFS(原始经营数据!$D$3:$D$3001,$A2129,原始经营数据!$E$3:$E$3001,"",原始经营数据!$F$3:$F$3001,$C2129,原始经营数据!$H$3:$H$3001,$D2129,原始经营数据!$K$3:$K$3001,$G2129)&gt;1,"基金整体·来源"&amp;原始经营数据!$A2130,"基金整体")))</f>
        <v/>
      </c>
      <c r="J2129" t="str">
        <f t="shared" si="498"/>
        <v/>
      </c>
      <c r="K2129" t="str">
        <f t="shared" si="499"/>
        <v/>
      </c>
      <c r="L2129" t="str">
        <f t="shared" si="500"/>
        <v/>
      </c>
      <c r="M2129">
        <f>IF($A2129="",0,IF(COUNTIF($L$2:$L2129,$L2129)=1,1,0))</f>
        <v>0</v>
      </c>
      <c r="N2129" t="str">
        <f t="shared" si="501"/>
        <v/>
      </c>
      <c r="O2129" t="str">
        <f t="shared" si="502"/>
        <v/>
      </c>
      <c r="P2129">
        <f>IF($A2129="",0,IF(COUNTIF($O$2:$O2129,$O2129)=1,1,0))</f>
        <v>0</v>
      </c>
      <c r="Q2129" t="str">
        <f>IF(AND($P2129=1,$A2129=经营数据!$B$3,$J2129=经营数据!$BA$5),COUNTIFS($P$2:$P$3000,1,$A$2:$A$3000,$A2129,$J$2:$J$3000,$J2129,$N$2:$N$3000,"&lt;"&amp;$N2129)+1,"")</f>
        <v/>
      </c>
      <c r="R2129" t="str">
        <f t="shared" si="503"/>
        <v/>
      </c>
      <c r="S2129">
        <f>IF($A2129="",0,IF(COUNTIF($R$2:$R2129,$R2129)=1,1,0))</f>
        <v>0</v>
      </c>
      <c r="T2129" t="str">
        <f t="shared" si="504"/>
        <v/>
      </c>
      <c r="U2129" t="str">
        <f>IF($A2129="","",IF($A2129=经营数据!$B$3,COUNTIFS($S$2:$S$3000,1,$A$2:$A$3000,$A2129,$T$2:$T$3000,"&lt;"&amp;$T2129)+1,""))</f>
        <v/>
      </c>
      <c r="V2129" t="str">
        <f t="shared" si="505"/>
        <v/>
      </c>
      <c r="W2129" t="str">
        <f t="shared" si="506"/>
        <v/>
      </c>
      <c r="X2129" t="str">
        <f t="shared" si="507"/>
        <v/>
      </c>
      <c r="Y2129" t="str">
        <f t="shared" si="508"/>
        <v/>
      </c>
      <c r="Z2129">
        <f>IF($A2129="",0,IF(AND($M2129=1,$A2129=经营数据!$B$3,$J2129=经营数据!$BA$5,OR($I2129=经营数据!$BA$4,COUNTIF(经营数据!$AA$9:$AA$38,$I2129)&gt;0)),1,0))</f>
        <v>0</v>
      </c>
      <c r="AA2129" t="str">
        <f t="shared" si="509"/>
        <v/>
      </c>
      <c r="AB2129" t="str">
        <f t="shared" si="510"/>
        <v/>
      </c>
      <c r="AC2129">
        <f>IF($A2129="",0,IF(COUNTIF($A$2:$A2129,$A2129)=1,1,0))</f>
        <v>0</v>
      </c>
      <c r="AD2129">
        <f t="shared" si="511"/>
        <v>29</v>
      </c>
      <c r="AE2129" t="str">
        <f t="shared" si="512"/>
        <v/>
      </c>
    </row>
    <row r="2130" spans="1:31" x14ac:dyDescent="0.4">
      <c r="A2130" t="str">
        <f>IF(原始经营数据!$D2131="","",原始经营数据!$D2131)</f>
        <v/>
      </c>
      <c r="B2130" t="str">
        <f>IF(原始经营数据!$D2131="","",T(原始经营数据!$E2131))</f>
        <v/>
      </c>
      <c r="C2130" t="str">
        <f>IF(原始经营数据!$D2131="","",原始经营数据!$F2131)</f>
        <v/>
      </c>
      <c r="D2130" t="str">
        <f>IF(原始经营数据!$D2131="","",原始经营数据!$H2131)</f>
        <v/>
      </c>
      <c r="E2130" t="str">
        <f>IF(原始经营数据!$D2131="","",原始经营数据!$I2131)</f>
        <v/>
      </c>
      <c r="F2130" t="str">
        <f>IF(原始经营数据!$D2131="","",T(原始经营数据!$J2131))</f>
        <v/>
      </c>
      <c r="G2130" t="str">
        <f>IF(原始经营数据!$D2131="","",T(原始经营数据!$K2131))</f>
        <v/>
      </c>
      <c r="H2130" t="str">
        <f>IF(原始经营数据!$D2131="","",原始经营数据!$G2131)</f>
        <v/>
      </c>
      <c r="I2130" t="str">
        <f>IF($A2130="","",IF($B2130&lt;&gt;"",$B2130,IF(COUNTIFS(原始经营数据!$D$3:$D$3001,$A2130,原始经营数据!$E$3:$E$3001,"",原始经营数据!$F$3:$F$3001,$C2130,原始经营数据!$H$3:$H$3001,$D2130,原始经营数据!$K$3:$K$3001,$G2130)&gt;1,"基金整体·来源"&amp;原始经营数据!$A2131,"基金整体")))</f>
        <v/>
      </c>
      <c r="J2130" t="str">
        <f t="shared" si="498"/>
        <v/>
      </c>
      <c r="K2130" t="str">
        <f t="shared" si="499"/>
        <v/>
      </c>
      <c r="L2130" t="str">
        <f t="shared" si="500"/>
        <v/>
      </c>
      <c r="M2130">
        <f>IF($A2130="",0,IF(COUNTIF($L$2:$L2130,$L2130)=1,1,0))</f>
        <v>0</v>
      </c>
      <c r="N2130" t="str">
        <f t="shared" si="501"/>
        <v/>
      </c>
      <c r="O2130" t="str">
        <f t="shared" si="502"/>
        <v/>
      </c>
      <c r="P2130">
        <f>IF($A2130="",0,IF(COUNTIF($O$2:$O2130,$O2130)=1,1,0))</f>
        <v>0</v>
      </c>
      <c r="Q2130" t="str">
        <f>IF(AND($P2130=1,$A2130=经营数据!$B$3,$J2130=经营数据!$BA$5),COUNTIFS($P$2:$P$3000,1,$A$2:$A$3000,$A2130,$J$2:$J$3000,$J2130,$N$2:$N$3000,"&lt;"&amp;$N2130)+1,"")</f>
        <v/>
      </c>
      <c r="R2130" t="str">
        <f t="shared" si="503"/>
        <v/>
      </c>
      <c r="S2130">
        <f>IF($A2130="",0,IF(COUNTIF($R$2:$R2130,$R2130)=1,1,0))</f>
        <v>0</v>
      </c>
      <c r="T2130" t="str">
        <f t="shared" si="504"/>
        <v/>
      </c>
      <c r="U2130" t="str">
        <f>IF($A2130="","",IF($A2130=经营数据!$B$3,COUNTIFS($S$2:$S$3000,1,$A$2:$A$3000,$A2130,$T$2:$T$3000,"&lt;"&amp;$T2130)+1,""))</f>
        <v/>
      </c>
      <c r="V2130" t="str">
        <f t="shared" si="505"/>
        <v/>
      </c>
      <c r="W2130" t="str">
        <f t="shared" si="506"/>
        <v/>
      </c>
      <c r="X2130" t="str">
        <f t="shared" si="507"/>
        <v/>
      </c>
      <c r="Y2130" t="str">
        <f t="shared" si="508"/>
        <v/>
      </c>
      <c r="Z2130">
        <f>IF($A2130="",0,IF(AND($M2130=1,$A2130=经营数据!$B$3,$J2130=经营数据!$BA$5,OR($I2130=经营数据!$BA$4,COUNTIF(经营数据!$AA$9:$AA$38,$I2130)&gt;0)),1,0))</f>
        <v>0</v>
      </c>
      <c r="AA2130" t="str">
        <f t="shared" si="509"/>
        <v/>
      </c>
      <c r="AB2130" t="str">
        <f t="shared" si="510"/>
        <v/>
      </c>
      <c r="AC2130">
        <f>IF($A2130="",0,IF(COUNTIF($A$2:$A2130,$A2130)=1,1,0))</f>
        <v>0</v>
      </c>
      <c r="AD2130">
        <f t="shared" si="511"/>
        <v>29</v>
      </c>
      <c r="AE2130" t="str">
        <f t="shared" si="512"/>
        <v/>
      </c>
    </row>
    <row r="2131" spans="1:31" x14ac:dyDescent="0.4">
      <c r="A2131" t="str">
        <f>IF(原始经营数据!$D2132="","",原始经营数据!$D2132)</f>
        <v/>
      </c>
      <c r="B2131" t="str">
        <f>IF(原始经营数据!$D2132="","",T(原始经营数据!$E2132))</f>
        <v/>
      </c>
      <c r="C2131" t="str">
        <f>IF(原始经营数据!$D2132="","",原始经营数据!$F2132)</f>
        <v/>
      </c>
      <c r="D2131" t="str">
        <f>IF(原始经营数据!$D2132="","",原始经营数据!$H2132)</f>
        <v/>
      </c>
      <c r="E2131" t="str">
        <f>IF(原始经营数据!$D2132="","",原始经营数据!$I2132)</f>
        <v/>
      </c>
      <c r="F2131" t="str">
        <f>IF(原始经营数据!$D2132="","",T(原始经营数据!$J2132))</f>
        <v/>
      </c>
      <c r="G2131" t="str">
        <f>IF(原始经营数据!$D2132="","",T(原始经营数据!$K2132))</f>
        <v/>
      </c>
      <c r="H2131" t="str">
        <f>IF(原始经营数据!$D2132="","",原始经营数据!$G2132)</f>
        <v/>
      </c>
      <c r="I2131" t="str">
        <f>IF($A2131="","",IF($B2131&lt;&gt;"",$B2131,IF(COUNTIFS(原始经营数据!$D$3:$D$3001,$A2131,原始经营数据!$E$3:$E$3001,"",原始经营数据!$F$3:$F$3001,$C2131,原始经营数据!$H$3:$H$3001,$D2131,原始经营数据!$K$3:$K$3001,$G2131)&gt;1,"基金整体·来源"&amp;原始经营数据!$A2132,"基金整体")))</f>
        <v/>
      </c>
      <c r="J2131" t="str">
        <f t="shared" si="498"/>
        <v/>
      </c>
      <c r="K2131" t="str">
        <f t="shared" si="499"/>
        <v/>
      </c>
      <c r="L2131" t="str">
        <f t="shared" si="500"/>
        <v/>
      </c>
      <c r="M2131">
        <f>IF($A2131="",0,IF(COUNTIF($L$2:$L2131,$L2131)=1,1,0))</f>
        <v>0</v>
      </c>
      <c r="N2131" t="str">
        <f t="shared" si="501"/>
        <v/>
      </c>
      <c r="O2131" t="str">
        <f t="shared" si="502"/>
        <v/>
      </c>
      <c r="P2131">
        <f>IF($A2131="",0,IF(COUNTIF($O$2:$O2131,$O2131)=1,1,0))</f>
        <v>0</v>
      </c>
      <c r="Q2131" t="str">
        <f>IF(AND($P2131=1,$A2131=经营数据!$B$3,$J2131=经营数据!$BA$5),COUNTIFS($P$2:$P$3000,1,$A$2:$A$3000,$A2131,$J$2:$J$3000,$J2131,$N$2:$N$3000,"&lt;"&amp;$N2131)+1,"")</f>
        <v/>
      </c>
      <c r="R2131" t="str">
        <f t="shared" si="503"/>
        <v/>
      </c>
      <c r="S2131">
        <f>IF($A2131="",0,IF(COUNTIF($R$2:$R2131,$R2131)=1,1,0))</f>
        <v>0</v>
      </c>
      <c r="T2131" t="str">
        <f t="shared" si="504"/>
        <v/>
      </c>
      <c r="U2131" t="str">
        <f>IF($A2131="","",IF($A2131=经营数据!$B$3,COUNTIFS($S$2:$S$3000,1,$A$2:$A$3000,$A2131,$T$2:$T$3000,"&lt;"&amp;$T2131)+1,""))</f>
        <v/>
      </c>
      <c r="V2131" t="str">
        <f t="shared" si="505"/>
        <v/>
      </c>
      <c r="W2131" t="str">
        <f t="shared" si="506"/>
        <v/>
      </c>
      <c r="X2131" t="str">
        <f t="shared" si="507"/>
        <v/>
      </c>
      <c r="Y2131" t="str">
        <f t="shared" si="508"/>
        <v/>
      </c>
      <c r="Z2131">
        <f>IF($A2131="",0,IF(AND($M2131=1,$A2131=经营数据!$B$3,$J2131=经营数据!$BA$5,OR($I2131=经营数据!$BA$4,COUNTIF(经营数据!$AA$9:$AA$38,$I2131)&gt;0)),1,0))</f>
        <v>0</v>
      </c>
      <c r="AA2131" t="str">
        <f t="shared" si="509"/>
        <v/>
      </c>
      <c r="AB2131" t="str">
        <f t="shared" si="510"/>
        <v/>
      </c>
      <c r="AC2131">
        <f>IF($A2131="",0,IF(COUNTIF($A$2:$A2131,$A2131)=1,1,0))</f>
        <v>0</v>
      </c>
      <c r="AD2131">
        <f t="shared" si="511"/>
        <v>29</v>
      </c>
      <c r="AE2131" t="str">
        <f t="shared" si="512"/>
        <v/>
      </c>
    </row>
    <row r="2132" spans="1:31" x14ac:dyDescent="0.4">
      <c r="A2132" t="str">
        <f>IF(原始经营数据!$D2133="","",原始经营数据!$D2133)</f>
        <v/>
      </c>
      <c r="B2132" t="str">
        <f>IF(原始经营数据!$D2133="","",T(原始经营数据!$E2133))</f>
        <v/>
      </c>
      <c r="C2132" t="str">
        <f>IF(原始经营数据!$D2133="","",原始经营数据!$F2133)</f>
        <v/>
      </c>
      <c r="D2132" t="str">
        <f>IF(原始经营数据!$D2133="","",原始经营数据!$H2133)</f>
        <v/>
      </c>
      <c r="E2132" t="str">
        <f>IF(原始经营数据!$D2133="","",原始经营数据!$I2133)</f>
        <v/>
      </c>
      <c r="F2132" t="str">
        <f>IF(原始经营数据!$D2133="","",T(原始经营数据!$J2133))</f>
        <v/>
      </c>
      <c r="G2132" t="str">
        <f>IF(原始经营数据!$D2133="","",T(原始经营数据!$K2133))</f>
        <v/>
      </c>
      <c r="H2132" t="str">
        <f>IF(原始经营数据!$D2133="","",原始经营数据!$G2133)</f>
        <v/>
      </c>
      <c r="I2132" t="str">
        <f>IF($A2132="","",IF($B2132&lt;&gt;"",$B2132,IF(COUNTIFS(原始经营数据!$D$3:$D$3001,$A2132,原始经营数据!$E$3:$E$3001,"",原始经营数据!$F$3:$F$3001,$C2132,原始经营数据!$H$3:$H$3001,$D2132,原始经营数据!$K$3:$K$3001,$G2132)&gt;1,"基金整体·来源"&amp;原始经营数据!$A2133,"基金整体")))</f>
        <v/>
      </c>
      <c r="J2132" t="str">
        <f t="shared" si="498"/>
        <v/>
      </c>
      <c r="K2132" t="str">
        <f t="shared" si="499"/>
        <v/>
      </c>
      <c r="L2132" t="str">
        <f t="shared" si="500"/>
        <v/>
      </c>
      <c r="M2132">
        <f>IF($A2132="",0,IF(COUNTIF($L$2:$L2132,$L2132)=1,1,0))</f>
        <v>0</v>
      </c>
      <c r="N2132" t="str">
        <f t="shared" si="501"/>
        <v/>
      </c>
      <c r="O2132" t="str">
        <f t="shared" si="502"/>
        <v/>
      </c>
      <c r="P2132">
        <f>IF($A2132="",0,IF(COUNTIF($O$2:$O2132,$O2132)=1,1,0))</f>
        <v>0</v>
      </c>
      <c r="Q2132" t="str">
        <f>IF(AND($P2132=1,$A2132=经营数据!$B$3,$J2132=经营数据!$BA$5),COUNTIFS($P$2:$P$3000,1,$A$2:$A$3000,$A2132,$J$2:$J$3000,$J2132,$N$2:$N$3000,"&lt;"&amp;$N2132)+1,"")</f>
        <v/>
      </c>
      <c r="R2132" t="str">
        <f t="shared" si="503"/>
        <v/>
      </c>
      <c r="S2132">
        <f>IF($A2132="",0,IF(COUNTIF($R$2:$R2132,$R2132)=1,1,0))</f>
        <v>0</v>
      </c>
      <c r="T2132" t="str">
        <f t="shared" si="504"/>
        <v/>
      </c>
      <c r="U2132" t="str">
        <f>IF($A2132="","",IF($A2132=经营数据!$B$3,COUNTIFS($S$2:$S$3000,1,$A$2:$A$3000,$A2132,$T$2:$T$3000,"&lt;"&amp;$T2132)+1,""))</f>
        <v/>
      </c>
      <c r="V2132" t="str">
        <f t="shared" si="505"/>
        <v/>
      </c>
      <c r="W2132" t="str">
        <f t="shared" si="506"/>
        <v/>
      </c>
      <c r="X2132" t="str">
        <f t="shared" si="507"/>
        <v/>
      </c>
      <c r="Y2132" t="str">
        <f t="shared" si="508"/>
        <v/>
      </c>
      <c r="Z2132">
        <f>IF($A2132="",0,IF(AND($M2132=1,$A2132=经营数据!$B$3,$J2132=经营数据!$BA$5,OR($I2132=经营数据!$BA$4,COUNTIF(经营数据!$AA$9:$AA$38,$I2132)&gt;0)),1,0))</f>
        <v>0</v>
      </c>
      <c r="AA2132" t="str">
        <f t="shared" si="509"/>
        <v/>
      </c>
      <c r="AB2132" t="str">
        <f t="shared" si="510"/>
        <v/>
      </c>
      <c r="AC2132">
        <f>IF($A2132="",0,IF(COUNTIF($A$2:$A2132,$A2132)=1,1,0))</f>
        <v>0</v>
      </c>
      <c r="AD2132">
        <f t="shared" si="511"/>
        <v>29</v>
      </c>
      <c r="AE2132" t="str">
        <f t="shared" si="512"/>
        <v/>
      </c>
    </row>
    <row r="2133" spans="1:31" x14ac:dyDescent="0.4">
      <c r="A2133" t="str">
        <f>IF(原始经营数据!$D2134="","",原始经营数据!$D2134)</f>
        <v/>
      </c>
      <c r="B2133" t="str">
        <f>IF(原始经营数据!$D2134="","",T(原始经营数据!$E2134))</f>
        <v/>
      </c>
      <c r="C2133" t="str">
        <f>IF(原始经营数据!$D2134="","",原始经营数据!$F2134)</f>
        <v/>
      </c>
      <c r="D2133" t="str">
        <f>IF(原始经营数据!$D2134="","",原始经营数据!$H2134)</f>
        <v/>
      </c>
      <c r="E2133" t="str">
        <f>IF(原始经营数据!$D2134="","",原始经营数据!$I2134)</f>
        <v/>
      </c>
      <c r="F2133" t="str">
        <f>IF(原始经营数据!$D2134="","",T(原始经营数据!$J2134))</f>
        <v/>
      </c>
      <c r="G2133" t="str">
        <f>IF(原始经营数据!$D2134="","",T(原始经营数据!$K2134))</f>
        <v/>
      </c>
      <c r="H2133" t="str">
        <f>IF(原始经营数据!$D2134="","",原始经营数据!$G2134)</f>
        <v/>
      </c>
      <c r="I2133" t="str">
        <f>IF($A2133="","",IF($B2133&lt;&gt;"",$B2133,IF(COUNTIFS(原始经营数据!$D$3:$D$3001,$A2133,原始经营数据!$E$3:$E$3001,"",原始经营数据!$F$3:$F$3001,$C2133,原始经营数据!$H$3:$H$3001,$D2133,原始经营数据!$K$3:$K$3001,$G2133)&gt;1,"基金整体·来源"&amp;原始经营数据!$A2134,"基金整体")))</f>
        <v/>
      </c>
      <c r="J2133" t="str">
        <f t="shared" si="498"/>
        <v/>
      </c>
      <c r="K2133" t="str">
        <f t="shared" si="499"/>
        <v/>
      </c>
      <c r="L2133" t="str">
        <f t="shared" si="500"/>
        <v/>
      </c>
      <c r="M2133">
        <f>IF($A2133="",0,IF(COUNTIF($L$2:$L2133,$L2133)=1,1,0))</f>
        <v>0</v>
      </c>
      <c r="N2133" t="str">
        <f t="shared" si="501"/>
        <v/>
      </c>
      <c r="O2133" t="str">
        <f t="shared" si="502"/>
        <v/>
      </c>
      <c r="P2133">
        <f>IF($A2133="",0,IF(COUNTIF($O$2:$O2133,$O2133)=1,1,0))</f>
        <v>0</v>
      </c>
      <c r="Q2133" t="str">
        <f>IF(AND($P2133=1,$A2133=经营数据!$B$3,$J2133=经营数据!$BA$5),COUNTIFS($P$2:$P$3000,1,$A$2:$A$3000,$A2133,$J$2:$J$3000,$J2133,$N$2:$N$3000,"&lt;"&amp;$N2133)+1,"")</f>
        <v/>
      </c>
      <c r="R2133" t="str">
        <f t="shared" si="503"/>
        <v/>
      </c>
      <c r="S2133">
        <f>IF($A2133="",0,IF(COUNTIF($R$2:$R2133,$R2133)=1,1,0))</f>
        <v>0</v>
      </c>
      <c r="T2133" t="str">
        <f t="shared" si="504"/>
        <v/>
      </c>
      <c r="U2133" t="str">
        <f>IF($A2133="","",IF($A2133=经营数据!$B$3,COUNTIFS($S$2:$S$3000,1,$A$2:$A$3000,$A2133,$T$2:$T$3000,"&lt;"&amp;$T2133)+1,""))</f>
        <v/>
      </c>
      <c r="V2133" t="str">
        <f t="shared" si="505"/>
        <v/>
      </c>
      <c r="W2133" t="str">
        <f t="shared" si="506"/>
        <v/>
      </c>
      <c r="X2133" t="str">
        <f t="shared" si="507"/>
        <v/>
      </c>
      <c r="Y2133" t="str">
        <f t="shared" si="508"/>
        <v/>
      </c>
      <c r="Z2133">
        <f>IF($A2133="",0,IF(AND($M2133=1,$A2133=经营数据!$B$3,$J2133=经营数据!$BA$5,OR($I2133=经营数据!$BA$4,COUNTIF(经营数据!$AA$9:$AA$38,$I2133)&gt;0)),1,0))</f>
        <v>0</v>
      </c>
      <c r="AA2133" t="str">
        <f t="shared" si="509"/>
        <v/>
      </c>
      <c r="AB2133" t="str">
        <f t="shared" si="510"/>
        <v/>
      </c>
      <c r="AC2133">
        <f>IF($A2133="",0,IF(COUNTIF($A$2:$A2133,$A2133)=1,1,0))</f>
        <v>0</v>
      </c>
      <c r="AD2133">
        <f t="shared" si="511"/>
        <v>29</v>
      </c>
      <c r="AE2133" t="str">
        <f t="shared" si="512"/>
        <v/>
      </c>
    </row>
    <row r="2134" spans="1:31" x14ac:dyDescent="0.4">
      <c r="A2134" t="str">
        <f>IF(原始经营数据!$D2135="","",原始经营数据!$D2135)</f>
        <v/>
      </c>
      <c r="B2134" t="str">
        <f>IF(原始经营数据!$D2135="","",T(原始经营数据!$E2135))</f>
        <v/>
      </c>
      <c r="C2134" t="str">
        <f>IF(原始经营数据!$D2135="","",原始经营数据!$F2135)</f>
        <v/>
      </c>
      <c r="D2134" t="str">
        <f>IF(原始经营数据!$D2135="","",原始经营数据!$H2135)</f>
        <v/>
      </c>
      <c r="E2134" t="str">
        <f>IF(原始经营数据!$D2135="","",原始经营数据!$I2135)</f>
        <v/>
      </c>
      <c r="F2134" t="str">
        <f>IF(原始经营数据!$D2135="","",T(原始经营数据!$J2135))</f>
        <v/>
      </c>
      <c r="G2134" t="str">
        <f>IF(原始经营数据!$D2135="","",T(原始经营数据!$K2135))</f>
        <v/>
      </c>
      <c r="H2134" t="str">
        <f>IF(原始经营数据!$D2135="","",原始经营数据!$G2135)</f>
        <v/>
      </c>
      <c r="I2134" t="str">
        <f>IF($A2134="","",IF($B2134&lt;&gt;"",$B2134,IF(COUNTIFS(原始经营数据!$D$3:$D$3001,$A2134,原始经营数据!$E$3:$E$3001,"",原始经营数据!$F$3:$F$3001,$C2134,原始经营数据!$H$3:$H$3001,$D2134,原始经营数据!$K$3:$K$3001,$G2134)&gt;1,"基金整体·来源"&amp;原始经营数据!$A2135,"基金整体")))</f>
        <v/>
      </c>
      <c r="J2134" t="str">
        <f t="shared" si="498"/>
        <v/>
      </c>
      <c r="K2134" t="str">
        <f t="shared" si="499"/>
        <v/>
      </c>
      <c r="L2134" t="str">
        <f t="shared" si="500"/>
        <v/>
      </c>
      <c r="M2134">
        <f>IF($A2134="",0,IF(COUNTIF($L$2:$L2134,$L2134)=1,1,0))</f>
        <v>0</v>
      </c>
      <c r="N2134" t="str">
        <f t="shared" si="501"/>
        <v/>
      </c>
      <c r="O2134" t="str">
        <f t="shared" si="502"/>
        <v/>
      </c>
      <c r="P2134">
        <f>IF($A2134="",0,IF(COUNTIF($O$2:$O2134,$O2134)=1,1,0))</f>
        <v>0</v>
      </c>
      <c r="Q2134" t="str">
        <f>IF(AND($P2134=1,$A2134=经营数据!$B$3,$J2134=经营数据!$BA$5),COUNTIFS($P$2:$P$3000,1,$A$2:$A$3000,$A2134,$J$2:$J$3000,$J2134,$N$2:$N$3000,"&lt;"&amp;$N2134)+1,"")</f>
        <v/>
      </c>
      <c r="R2134" t="str">
        <f t="shared" si="503"/>
        <v/>
      </c>
      <c r="S2134">
        <f>IF($A2134="",0,IF(COUNTIF($R$2:$R2134,$R2134)=1,1,0))</f>
        <v>0</v>
      </c>
      <c r="T2134" t="str">
        <f t="shared" si="504"/>
        <v/>
      </c>
      <c r="U2134" t="str">
        <f>IF($A2134="","",IF($A2134=经营数据!$B$3,COUNTIFS($S$2:$S$3000,1,$A$2:$A$3000,$A2134,$T$2:$T$3000,"&lt;"&amp;$T2134)+1,""))</f>
        <v/>
      </c>
      <c r="V2134" t="str">
        <f t="shared" si="505"/>
        <v/>
      </c>
      <c r="W2134" t="str">
        <f t="shared" si="506"/>
        <v/>
      </c>
      <c r="X2134" t="str">
        <f t="shared" si="507"/>
        <v/>
      </c>
      <c r="Y2134" t="str">
        <f t="shared" si="508"/>
        <v/>
      </c>
      <c r="Z2134">
        <f>IF($A2134="",0,IF(AND($M2134=1,$A2134=经营数据!$B$3,$J2134=经营数据!$BA$5,OR($I2134=经营数据!$BA$4,COUNTIF(经营数据!$AA$9:$AA$38,$I2134)&gt;0)),1,0))</f>
        <v>0</v>
      </c>
      <c r="AA2134" t="str">
        <f t="shared" si="509"/>
        <v/>
      </c>
      <c r="AB2134" t="str">
        <f t="shared" si="510"/>
        <v/>
      </c>
      <c r="AC2134">
        <f>IF($A2134="",0,IF(COUNTIF($A$2:$A2134,$A2134)=1,1,0))</f>
        <v>0</v>
      </c>
      <c r="AD2134">
        <f t="shared" si="511"/>
        <v>29</v>
      </c>
      <c r="AE2134" t="str">
        <f t="shared" si="512"/>
        <v/>
      </c>
    </row>
    <row r="2135" spans="1:31" x14ac:dyDescent="0.4">
      <c r="A2135" t="str">
        <f>IF(原始经营数据!$D2136="","",原始经营数据!$D2136)</f>
        <v/>
      </c>
      <c r="B2135" t="str">
        <f>IF(原始经营数据!$D2136="","",T(原始经营数据!$E2136))</f>
        <v/>
      </c>
      <c r="C2135" t="str">
        <f>IF(原始经营数据!$D2136="","",原始经营数据!$F2136)</f>
        <v/>
      </c>
      <c r="D2135" t="str">
        <f>IF(原始经营数据!$D2136="","",原始经营数据!$H2136)</f>
        <v/>
      </c>
      <c r="E2135" t="str">
        <f>IF(原始经营数据!$D2136="","",原始经营数据!$I2136)</f>
        <v/>
      </c>
      <c r="F2135" t="str">
        <f>IF(原始经营数据!$D2136="","",T(原始经营数据!$J2136))</f>
        <v/>
      </c>
      <c r="G2135" t="str">
        <f>IF(原始经营数据!$D2136="","",T(原始经营数据!$K2136))</f>
        <v/>
      </c>
      <c r="H2135" t="str">
        <f>IF(原始经营数据!$D2136="","",原始经营数据!$G2136)</f>
        <v/>
      </c>
      <c r="I2135" t="str">
        <f>IF($A2135="","",IF($B2135&lt;&gt;"",$B2135,IF(COUNTIFS(原始经营数据!$D$3:$D$3001,$A2135,原始经营数据!$E$3:$E$3001,"",原始经营数据!$F$3:$F$3001,$C2135,原始经营数据!$H$3:$H$3001,$D2135,原始经营数据!$K$3:$K$3001,$G2135)&gt;1,"基金整体·来源"&amp;原始经营数据!$A2136,"基金整体")))</f>
        <v/>
      </c>
      <c r="J2135" t="str">
        <f t="shared" si="498"/>
        <v/>
      </c>
      <c r="K2135" t="str">
        <f t="shared" si="499"/>
        <v/>
      </c>
      <c r="L2135" t="str">
        <f t="shared" si="500"/>
        <v/>
      </c>
      <c r="M2135">
        <f>IF($A2135="",0,IF(COUNTIF($L$2:$L2135,$L2135)=1,1,0))</f>
        <v>0</v>
      </c>
      <c r="N2135" t="str">
        <f t="shared" si="501"/>
        <v/>
      </c>
      <c r="O2135" t="str">
        <f t="shared" si="502"/>
        <v/>
      </c>
      <c r="P2135">
        <f>IF($A2135="",0,IF(COUNTIF($O$2:$O2135,$O2135)=1,1,0))</f>
        <v>0</v>
      </c>
      <c r="Q2135" t="str">
        <f>IF(AND($P2135=1,$A2135=经营数据!$B$3,$J2135=经营数据!$BA$5),COUNTIFS($P$2:$P$3000,1,$A$2:$A$3000,$A2135,$J$2:$J$3000,$J2135,$N$2:$N$3000,"&lt;"&amp;$N2135)+1,"")</f>
        <v/>
      </c>
      <c r="R2135" t="str">
        <f t="shared" si="503"/>
        <v/>
      </c>
      <c r="S2135">
        <f>IF($A2135="",0,IF(COUNTIF($R$2:$R2135,$R2135)=1,1,0))</f>
        <v>0</v>
      </c>
      <c r="T2135" t="str">
        <f t="shared" si="504"/>
        <v/>
      </c>
      <c r="U2135" t="str">
        <f>IF($A2135="","",IF($A2135=经营数据!$B$3,COUNTIFS($S$2:$S$3000,1,$A$2:$A$3000,$A2135,$T$2:$T$3000,"&lt;"&amp;$T2135)+1,""))</f>
        <v/>
      </c>
      <c r="V2135" t="str">
        <f t="shared" si="505"/>
        <v/>
      </c>
      <c r="W2135" t="str">
        <f t="shared" si="506"/>
        <v/>
      </c>
      <c r="X2135" t="str">
        <f t="shared" si="507"/>
        <v/>
      </c>
      <c r="Y2135" t="str">
        <f t="shared" si="508"/>
        <v/>
      </c>
      <c r="Z2135">
        <f>IF($A2135="",0,IF(AND($M2135=1,$A2135=经营数据!$B$3,$J2135=经营数据!$BA$5,OR($I2135=经营数据!$BA$4,COUNTIF(经营数据!$AA$9:$AA$38,$I2135)&gt;0)),1,0))</f>
        <v>0</v>
      </c>
      <c r="AA2135" t="str">
        <f t="shared" si="509"/>
        <v/>
      </c>
      <c r="AB2135" t="str">
        <f t="shared" si="510"/>
        <v/>
      </c>
      <c r="AC2135">
        <f>IF($A2135="",0,IF(COUNTIF($A$2:$A2135,$A2135)=1,1,0))</f>
        <v>0</v>
      </c>
      <c r="AD2135">
        <f t="shared" si="511"/>
        <v>29</v>
      </c>
      <c r="AE2135" t="str">
        <f t="shared" si="512"/>
        <v/>
      </c>
    </row>
    <row r="2136" spans="1:31" x14ac:dyDescent="0.4">
      <c r="A2136" t="str">
        <f>IF(原始经营数据!$D2137="","",原始经营数据!$D2137)</f>
        <v/>
      </c>
      <c r="B2136" t="str">
        <f>IF(原始经营数据!$D2137="","",T(原始经营数据!$E2137))</f>
        <v/>
      </c>
      <c r="C2136" t="str">
        <f>IF(原始经营数据!$D2137="","",原始经营数据!$F2137)</f>
        <v/>
      </c>
      <c r="D2136" t="str">
        <f>IF(原始经营数据!$D2137="","",原始经营数据!$H2137)</f>
        <v/>
      </c>
      <c r="E2136" t="str">
        <f>IF(原始经营数据!$D2137="","",原始经营数据!$I2137)</f>
        <v/>
      </c>
      <c r="F2136" t="str">
        <f>IF(原始经营数据!$D2137="","",T(原始经营数据!$J2137))</f>
        <v/>
      </c>
      <c r="G2136" t="str">
        <f>IF(原始经营数据!$D2137="","",T(原始经营数据!$K2137))</f>
        <v/>
      </c>
      <c r="H2136" t="str">
        <f>IF(原始经营数据!$D2137="","",原始经营数据!$G2137)</f>
        <v/>
      </c>
      <c r="I2136" t="str">
        <f>IF($A2136="","",IF($B2136&lt;&gt;"",$B2136,IF(COUNTIFS(原始经营数据!$D$3:$D$3001,$A2136,原始经营数据!$E$3:$E$3001,"",原始经营数据!$F$3:$F$3001,$C2136,原始经营数据!$H$3:$H$3001,$D2136,原始经营数据!$K$3:$K$3001,$G2136)&gt;1,"基金整体·来源"&amp;原始经营数据!$A2137,"基金整体")))</f>
        <v/>
      </c>
      <c r="J2136" t="str">
        <f t="shared" si="498"/>
        <v/>
      </c>
      <c r="K2136" t="str">
        <f t="shared" si="499"/>
        <v/>
      </c>
      <c r="L2136" t="str">
        <f t="shared" si="500"/>
        <v/>
      </c>
      <c r="M2136">
        <f>IF($A2136="",0,IF(COUNTIF($L$2:$L2136,$L2136)=1,1,0))</f>
        <v>0</v>
      </c>
      <c r="N2136" t="str">
        <f t="shared" si="501"/>
        <v/>
      </c>
      <c r="O2136" t="str">
        <f t="shared" si="502"/>
        <v/>
      </c>
      <c r="P2136">
        <f>IF($A2136="",0,IF(COUNTIF($O$2:$O2136,$O2136)=1,1,0))</f>
        <v>0</v>
      </c>
      <c r="Q2136" t="str">
        <f>IF(AND($P2136=1,$A2136=经营数据!$B$3,$J2136=经营数据!$BA$5),COUNTIFS($P$2:$P$3000,1,$A$2:$A$3000,$A2136,$J$2:$J$3000,$J2136,$N$2:$N$3000,"&lt;"&amp;$N2136)+1,"")</f>
        <v/>
      </c>
      <c r="R2136" t="str">
        <f t="shared" si="503"/>
        <v/>
      </c>
      <c r="S2136">
        <f>IF($A2136="",0,IF(COUNTIF($R$2:$R2136,$R2136)=1,1,0))</f>
        <v>0</v>
      </c>
      <c r="T2136" t="str">
        <f t="shared" si="504"/>
        <v/>
      </c>
      <c r="U2136" t="str">
        <f>IF($A2136="","",IF($A2136=经营数据!$B$3,COUNTIFS($S$2:$S$3000,1,$A$2:$A$3000,$A2136,$T$2:$T$3000,"&lt;"&amp;$T2136)+1,""))</f>
        <v/>
      </c>
      <c r="V2136" t="str">
        <f t="shared" si="505"/>
        <v/>
      </c>
      <c r="W2136" t="str">
        <f t="shared" si="506"/>
        <v/>
      </c>
      <c r="X2136" t="str">
        <f t="shared" si="507"/>
        <v/>
      </c>
      <c r="Y2136" t="str">
        <f t="shared" si="508"/>
        <v/>
      </c>
      <c r="Z2136">
        <f>IF($A2136="",0,IF(AND($M2136=1,$A2136=经营数据!$B$3,$J2136=经营数据!$BA$5,OR($I2136=经营数据!$BA$4,COUNTIF(经营数据!$AA$9:$AA$38,$I2136)&gt;0)),1,0))</f>
        <v>0</v>
      </c>
      <c r="AA2136" t="str">
        <f t="shared" si="509"/>
        <v/>
      </c>
      <c r="AB2136" t="str">
        <f t="shared" si="510"/>
        <v/>
      </c>
      <c r="AC2136">
        <f>IF($A2136="",0,IF(COUNTIF($A$2:$A2136,$A2136)=1,1,0))</f>
        <v>0</v>
      </c>
      <c r="AD2136">
        <f t="shared" si="511"/>
        <v>29</v>
      </c>
      <c r="AE2136" t="str">
        <f t="shared" si="512"/>
        <v/>
      </c>
    </row>
    <row r="2137" spans="1:31" x14ac:dyDescent="0.4">
      <c r="A2137" t="str">
        <f>IF(原始经营数据!$D2138="","",原始经营数据!$D2138)</f>
        <v/>
      </c>
      <c r="B2137" t="str">
        <f>IF(原始经营数据!$D2138="","",T(原始经营数据!$E2138))</f>
        <v/>
      </c>
      <c r="C2137" t="str">
        <f>IF(原始经营数据!$D2138="","",原始经营数据!$F2138)</f>
        <v/>
      </c>
      <c r="D2137" t="str">
        <f>IF(原始经营数据!$D2138="","",原始经营数据!$H2138)</f>
        <v/>
      </c>
      <c r="E2137" t="str">
        <f>IF(原始经营数据!$D2138="","",原始经营数据!$I2138)</f>
        <v/>
      </c>
      <c r="F2137" t="str">
        <f>IF(原始经营数据!$D2138="","",T(原始经营数据!$J2138))</f>
        <v/>
      </c>
      <c r="G2137" t="str">
        <f>IF(原始经营数据!$D2138="","",T(原始经营数据!$K2138))</f>
        <v/>
      </c>
      <c r="H2137" t="str">
        <f>IF(原始经营数据!$D2138="","",原始经营数据!$G2138)</f>
        <v/>
      </c>
      <c r="I2137" t="str">
        <f>IF($A2137="","",IF($B2137&lt;&gt;"",$B2137,IF(COUNTIFS(原始经营数据!$D$3:$D$3001,$A2137,原始经营数据!$E$3:$E$3001,"",原始经营数据!$F$3:$F$3001,$C2137,原始经营数据!$H$3:$H$3001,$D2137,原始经营数据!$K$3:$K$3001,$G2137)&gt;1,"基金整体·来源"&amp;原始经营数据!$A2138,"基金整体")))</f>
        <v/>
      </c>
      <c r="J2137" t="str">
        <f t="shared" si="498"/>
        <v/>
      </c>
      <c r="K2137" t="str">
        <f t="shared" si="499"/>
        <v/>
      </c>
      <c r="L2137" t="str">
        <f t="shared" si="500"/>
        <v/>
      </c>
      <c r="M2137">
        <f>IF($A2137="",0,IF(COUNTIF($L$2:$L2137,$L2137)=1,1,0))</f>
        <v>0</v>
      </c>
      <c r="N2137" t="str">
        <f t="shared" si="501"/>
        <v/>
      </c>
      <c r="O2137" t="str">
        <f t="shared" si="502"/>
        <v/>
      </c>
      <c r="P2137">
        <f>IF($A2137="",0,IF(COUNTIF($O$2:$O2137,$O2137)=1,1,0))</f>
        <v>0</v>
      </c>
      <c r="Q2137" t="str">
        <f>IF(AND($P2137=1,$A2137=经营数据!$B$3,$J2137=经营数据!$BA$5),COUNTIFS($P$2:$P$3000,1,$A$2:$A$3000,$A2137,$J$2:$J$3000,$J2137,$N$2:$N$3000,"&lt;"&amp;$N2137)+1,"")</f>
        <v/>
      </c>
      <c r="R2137" t="str">
        <f t="shared" si="503"/>
        <v/>
      </c>
      <c r="S2137">
        <f>IF($A2137="",0,IF(COUNTIF($R$2:$R2137,$R2137)=1,1,0))</f>
        <v>0</v>
      </c>
      <c r="T2137" t="str">
        <f t="shared" si="504"/>
        <v/>
      </c>
      <c r="U2137" t="str">
        <f>IF($A2137="","",IF($A2137=经营数据!$B$3,COUNTIFS($S$2:$S$3000,1,$A$2:$A$3000,$A2137,$T$2:$T$3000,"&lt;"&amp;$T2137)+1,""))</f>
        <v/>
      </c>
      <c r="V2137" t="str">
        <f t="shared" si="505"/>
        <v/>
      </c>
      <c r="W2137" t="str">
        <f t="shared" si="506"/>
        <v/>
      </c>
      <c r="X2137" t="str">
        <f t="shared" si="507"/>
        <v/>
      </c>
      <c r="Y2137" t="str">
        <f t="shared" si="508"/>
        <v/>
      </c>
      <c r="Z2137">
        <f>IF($A2137="",0,IF(AND($M2137=1,$A2137=经营数据!$B$3,$J2137=经营数据!$BA$5,OR($I2137=经营数据!$BA$4,COUNTIF(经营数据!$AA$9:$AA$38,$I2137)&gt;0)),1,0))</f>
        <v>0</v>
      </c>
      <c r="AA2137" t="str">
        <f t="shared" si="509"/>
        <v/>
      </c>
      <c r="AB2137" t="str">
        <f t="shared" si="510"/>
        <v/>
      </c>
      <c r="AC2137">
        <f>IF($A2137="",0,IF(COUNTIF($A$2:$A2137,$A2137)=1,1,0))</f>
        <v>0</v>
      </c>
      <c r="AD2137">
        <f t="shared" si="511"/>
        <v>29</v>
      </c>
      <c r="AE2137" t="str">
        <f t="shared" si="512"/>
        <v/>
      </c>
    </row>
    <row r="2138" spans="1:31" x14ac:dyDescent="0.4">
      <c r="A2138" t="str">
        <f>IF(原始经营数据!$D2139="","",原始经营数据!$D2139)</f>
        <v/>
      </c>
      <c r="B2138" t="str">
        <f>IF(原始经营数据!$D2139="","",T(原始经营数据!$E2139))</f>
        <v/>
      </c>
      <c r="C2138" t="str">
        <f>IF(原始经营数据!$D2139="","",原始经营数据!$F2139)</f>
        <v/>
      </c>
      <c r="D2138" t="str">
        <f>IF(原始经营数据!$D2139="","",原始经营数据!$H2139)</f>
        <v/>
      </c>
      <c r="E2138" t="str">
        <f>IF(原始经营数据!$D2139="","",原始经营数据!$I2139)</f>
        <v/>
      </c>
      <c r="F2138" t="str">
        <f>IF(原始经营数据!$D2139="","",T(原始经营数据!$J2139))</f>
        <v/>
      </c>
      <c r="G2138" t="str">
        <f>IF(原始经营数据!$D2139="","",T(原始经营数据!$K2139))</f>
        <v/>
      </c>
      <c r="H2138" t="str">
        <f>IF(原始经营数据!$D2139="","",原始经营数据!$G2139)</f>
        <v/>
      </c>
      <c r="I2138" t="str">
        <f>IF($A2138="","",IF($B2138&lt;&gt;"",$B2138,IF(COUNTIFS(原始经营数据!$D$3:$D$3001,$A2138,原始经营数据!$E$3:$E$3001,"",原始经营数据!$F$3:$F$3001,$C2138,原始经营数据!$H$3:$H$3001,$D2138,原始经营数据!$K$3:$K$3001,$G2138)&gt;1,"基金整体·来源"&amp;原始经营数据!$A2139,"基金整体")))</f>
        <v/>
      </c>
      <c r="J2138" t="str">
        <f t="shared" si="498"/>
        <v/>
      </c>
      <c r="K2138" t="str">
        <f t="shared" si="499"/>
        <v/>
      </c>
      <c r="L2138" t="str">
        <f t="shared" si="500"/>
        <v/>
      </c>
      <c r="M2138">
        <f>IF($A2138="",0,IF(COUNTIF($L$2:$L2138,$L2138)=1,1,0))</f>
        <v>0</v>
      </c>
      <c r="N2138" t="str">
        <f t="shared" si="501"/>
        <v/>
      </c>
      <c r="O2138" t="str">
        <f t="shared" si="502"/>
        <v/>
      </c>
      <c r="P2138">
        <f>IF($A2138="",0,IF(COUNTIF($O$2:$O2138,$O2138)=1,1,0))</f>
        <v>0</v>
      </c>
      <c r="Q2138" t="str">
        <f>IF(AND($P2138=1,$A2138=经营数据!$B$3,$J2138=经营数据!$BA$5),COUNTIFS($P$2:$P$3000,1,$A$2:$A$3000,$A2138,$J$2:$J$3000,$J2138,$N$2:$N$3000,"&lt;"&amp;$N2138)+1,"")</f>
        <v/>
      </c>
      <c r="R2138" t="str">
        <f t="shared" si="503"/>
        <v/>
      </c>
      <c r="S2138">
        <f>IF($A2138="",0,IF(COUNTIF($R$2:$R2138,$R2138)=1,1,0))</f>
        <v>0</v>
      </c>
      <c r="T2138" t="str">
        <f t="shared" si="504"/>
        <v/>
      </c>
      <c r="U2138" t="str">
        <f>IF($A2138="","",IF($A2138=经营数据!$B$3,COUNTIFS($S$2:$S$3000,1,$A$2:$A$3000,$A2138,$T$2:$T$3000,"&lt;"&amp;$T2138)+1,""))</f>
        <v/>
      </c>
      <c r="V2138" t="str">
        <f t="shared" si="505"/>
        <v/>
      </c>
      <c r="W2138" t="str">
        <f t="shared" si="506"/>
        <v/>
      </c>
      <c r="X2138" t="str">
        <f t="shared" si="507"/>
        <v/>
      </c>
      <c r="Y2138" t="str">
        <f t="shared" si="508"/>
        <v/>
      </c>
      <c r="Z2138">
        <f>IF($A2138="",0,IF(AND($M2138=1,$A2138=经营数据!$B$3,$J2138=经营数据!$BA$5,OR($I2138=经营数据!$BA$4,COUNTIF(经营数据!$AA$9:$AA$38,$I2138)&gt;0)),1,0))</f>
        <v>0</v>
      </c>
      <c r="AA2138" t="str">
        <f t="shared" si="509"/>
        <v/>
      </c>
      <c r="AB2138" t="str">
        <f t="shared" si="510"/>
        <v/>
      </c>
      <c r="AC2138">
        <f>IF($A2138="",0,IF(COUNTIF($A$2:$A2138,$A2138)=1,1,0))</f>
        <v>0</v>
      </c>
      <c r="AD2138">
        <f t="shared" si="511"/>
        <v>29</v>
      </c>
      <c r="AE2138" t="str">
        <f t="shared" si="512"/>
        <v/>
      </c>
    </row>
    <row r="2139" spans="1:31" x14ac:dyDescent="0.4">
      <c r="A2139" t="str">
        <f>IF(原始经营数据!$D2140="","",原始经营数据!$D2140)</f>
        <v/>
      </c>
      <c r="B2139" t="str">
        <f>IF(原始经营数据!$D2140="","",T(原始经营数据!$E2140))</f>
        <v/>
      </c>
      <c r="C2139" t="str">
        <f>IF(原始经营数据!$D2140="","",原始经营数据!$F2140)</f>
        <v/>
      </c>
      <c r="D2139" t="str">
        <f>IF(原始经营数据!$D2140="","",原始经营数据!$H2140)</f>
        <v/>
      </c>
      <c r="E2139" t="str">
        <f>IF(原始经营数据!$D2140="","",原始经营数据!$I2140)</f>
        <v/>
      </c>
      <c r="F2139" t="str">
        <f>IF(原始经营数据!$D2140="","",T(原始经营数据!$J2140))</f>
        <v/>
      </c>
      <c r="G2139" t="str">
        <f>IF(原始经营数据!$D2140="","",T(原始经营数据!$K2140))</f>
        <v/>
      </c>
      <c r="H2139" t="str">
        <f>IF(原始经营数据!$D2140="","",原始经营数据!$G2140)</f>
        <v/>
      </c>
      <c r="I2139" t="str">
        <f>IF($A2139="","",IF($B2139&lt;&gt;"",$B2139,IF(COUNTIFS(原始经营数据!$D$3:$D$3001,$A2139,原始经营数据!$E$3:$E$3001,"",原始经营数据!$F$3:$F$3001,$C2139,原始经营数据!$H$3:$H$3001,$D2139,原始经营数据!$K$3:$K$3001,$G2139)&gt;1,"基金整体·来源"&amp;原始经营数据!$A2140,"基金整体")))</f>
        <v/>
      </c>
      <c r="J2139" t="str">
        <f t="shared" si="498"/>
        <v/>
      </c>
      <c r="K2139" t="str">
        <f t="shared" si="499"/>
        <v/>
      </c>
      <c r="L2139" t="str">
        <f t="shared" si="500"/>
        <v/>
      </c>
      <c r="M2139">
        <f>IF($A2139="",0,IF(COUNTIF($L$2:$L2139,$L2139)=1,1,0))</f>
        <v>0</v>
      </c>
      <c r="N2139" t="str">
        <f t="shared" si="501"/>
        <v/>
      </c>
      <c r="O2139" t="str">
        <f t="shared" si="502"/>
        <v/>
      </c>
      <c r="P2139">
        <f>IF($A2139="",0,IF(COUNTIF($O$2:$O2139,$O2139)=1,1,0))</f>
        <v>0</v>
      </c>
      <c r="Q2139" t="str">
        <f>IF(AND($P2139=1,$A2139=经营数据!$B$3,$J2139=经营数据!$BA$5),COUNTIFS($P$2:$P$3000,1,$A$2:$A$3000,$A2139,$J$2:$J$3000,$J2139,$N$2:$N$3000,"&lt;"&amp;$N2139)+1,"")</f>
        <v/>
      </c>
      <c r="R2139" t="str">
        <f t="shared" si="503"/>
        <v/>
      </c>
      <c r="S2139">
        <f>IF($A2139="",0,IF(COUNTIF($R$2:$R2139,$R2139)=1,1,0))</f>
        <v>0</v>
      </c>
      <c r="T2139" t="str">
        <f t="shared" si="504"/>
        <v/>
      </c>
      <c r="U2139" t="str">
        <f>IF($A2139="","",IF($A2139=经营数据!$B$3,COUNTIFS($S$2:$S$3000,1,$A$2:$A$3000,$A2139,$T$2:$T$3000,"&lt;"&amp;$T2139)+1,""))</f>
        <v/>
      </c>
      <c r="V2139" t="str">
        <f t="shared" si="505"/>
        <v/>
      </c>
      <c r="W2139" t="str">
        <f t="shared" si="506"/>
        <v/>
      </c>
      <c r="X2139" t="str">
        <f t="shared" si="507"/>
        <v/>
      </c>
      <c r="Y2139" t="str">
        <f t="shared" si="508"/>
        <v/>
      </c>
      <c r="Z2139">
        <f>IF($A2139="",0,IF(AND($M2139=1,$A2139=经营数据!$B$3,$J2139=经营数据!$BA$5,OR($I2139=经营数据!$BA$4,COUNTIF(经营数据!$AA$9:$AA$38,$I2139)&gt;0)),1,0))</f>
        <v>0</v>
      </c>
      <c r="AA2139" t="str">
        <f t="shared" si="509"/>
        <v/>
      </c>
      <c r="AB2139" t="str">
        <f t="shared" si="510"/>
        <v/>
      </c>
      <c r="AC2139">
        <f>IF($A2139="",0,IF(COUNTIF($A$2:$A2139,$A2139)=1,1,0))</f>
        <v>0</v>
      </c>
      <c r="AD2139">
        <f t="shared" si="511"/>
        <v>29</v>
      </c>
      <c r="AE2139" t="str">
        <f t="shared" si="512"/>
        <v/>
      </c>
    </row>
    <row r="2140" spans="1:31" x14ac:dyDescent="0.4">
      <c r="A2140" t="str">
        <f>IF(原始经营数据!$D2141="","",原始经营数据!$D2141)</f>
        <v/>
      </c>
      <c r="B2140" t="str">
        <f>IF(原始经营数据!$D2141="","",T(原始经营数据!$E2141))</f>
        <v/>
      </c>
      <c r="C2140" t="str">
        <f>IF(原始经营数据!$D2141="","",原始经营数据!$F2141)</f>
        <v/>
      </c>
      <c r="D2140" t="str">
        <f>IF(原始经营数据!$D2141="","",原始经营数据!$H2141)</f>
        <v/>
      </c>
      <c r="E2140" t="str">
        <f>IF(原始经营数据!$D2141="","",原始经营数据!$I2141)</f>
        <v/>
      </c>
      <c r="F2140" t="str">
        <f>IF(原始经营数据!$D2141="","",T(原始经营数据!$J2141))</f>
        <v/>
      </c>
      <c r="G2140" t="str">
        <f>IF(原始经营数据!$D2141="","",T(原始经营数据!$K2141))</f>
        <v/>
      </c>
      <c r="H2140" t="str">
        <f>IF(原始经营数据!$D2141="","",原始经营数据!$G2141)</f>
        <v/>
      </c>
      <c r="I2140" t="str">
        <f>IF($A2140="","",IF($B2140&lt;&gt;"",$B2140,IF(COUNTIFS(原始经营数据!$D$3:$D$3001,$A2140,原始经营数据!$E$3:$E$3001,"",原始经营数据!$F$3:$F$3001,$C2140,原始经营数据!$H$3:$H$3001,$D2140,原始经营数据!$K$3:$K$3001,$G2140)&gt;1,"基金整体·来源"&amp;原始经营数据!$A2141,"基金整体")))</f>
        <v/>
      </c>
      <c r="J2140" t="str">
        <f t="shared" si="498"/>
        <v/>
      </c>
      <c r="K2140" t="str">
        <f t="shared" si="499"/>
        <v/>
      </c>
      <c r="L2140" t="str">
        <f t="shared" si="500"/>
        <v/>
      </c>
      <c r="M2140">
        <f>IF($A2140="",0,IF(COUNTIF($L$2:$L2140,$L2140)=1,1,0))</f>
        <v>0</v>
      </c>
      <c r="N2140" t="str">
        <f t="shared" si="501"/>
        <v/>
      </c>
      <c r="O2140" t="str">
        <f t="shared" si="502"/>
        <v/>
      </c>
      <c r="P2140">
        <f>IF($A2140="",0,IF(COUNTIF($O$2:$O2140,$O2140)=1,1,0))</f>
        <v>0</v>
      </c>
      <c r="Q2140" t="str">
        <f>IF(AND($P2140=1,$A2140=经营数据!$B$3,$J2140=经营数据!$BA$5),COUNTIFS($P$2:$P$3000,1,$A$2:$A$3000,$A2140,$J$2:$J$3000,$J2140,$N$2:$N$3000,"&lt;"&amp;$N2140)+1,"")</f>
        <v/>
      </c>
      <c r="R2140" t="str">
        <f t="shared" si="503"/>
        <v/>
      </c>
      <c r="S2140">
        <f>IF($A2140="",0,IF(COUNTIF($R$2:$R2140,$R2140)=1,1,0))</f>
        <v>0</v>
      </c>
      <c r="T2140" t="str">
        <f t="shared" si="504"/>
        <v/>
      </c>
      <c r="U2140" t="str">
        <f>IF($A2140="","",IF($A2140=经营数据!$B$3,COUNTIFS($S$2:$S$3000,1,$A$2:$A$3000,$A2140,$T$2:$T$3000,"&lt;"&amp;$T2140)+1,""))</f>
        <v/>
      </c>
      <c r="V2140" t="str">
        <f t="shared" si="505"/>
        <v/>
      </c>
      <c r="W2140" t="str">
        <f t="shared" si="506"/>
        <v/>
      </c>
      <c r="X2140" t="str">
        <f t="shared" si="507"/>
        <v/>
      </c>
      <c r="Y2140" t="str">
        <f t="shared" si="508"/>
        <v/>
      </c>
      <c r="Z2140">
        <f>IF($A2140="",0,IF(AND($M2140=1,$A2140=经营数据!$B$3,$J2140=经营数据!$BA$5,OR($I2140=经营数据!$BA$4,COUNTIF(经营数据!$AA$9:$AA$38,$I2140)&gt;0)),1,0))</f>
        <v>0</v>
      </c>
      <c r="AA2140" t="str">
        <f t="shared" si="509"/>
        <v/>
      </c>
      <c r="AB2140" t="str">
        <f t="shared" si="510"/>
        <v/>
      </c>
      <c r="AC2140">
        <f>IF($A2140="",0,IF(COUNTIF($A$2:$A2140,$A2140)=1,1,0))</f>
        <v>0</v>
      </c>
      <c r="AD2140">
        <f t="shared" si="511"/>
        <v>29</v>
      </c>
      <c r="AE2140" t="str">
        <f t="shared" si="512"/>
        <v/>
      </c>
    </row>
    <row r="2141" spans="1:31" x14ac:dyDescent="0.4">
      <c r="A2141" t="str">
        <f>IF(原始经营数据!$D2142="","",原始经营数据!$D2142)</f>
        <v/>
      </c>
      <c r="B2141" t="str">
        <f>IF(原始经营数据!$D2142="","",T(原始经营数据!$E2142))</f>
        <v/>
      </c>
      <c r="C2141" t="str">
        <f>IF(原始经营数据!$D2142="","",原始经营数据!$F2142)</f>
        <v/>
      </c>
      <c r="D2141" t="str">
        <f>IF(原始经营数据!$D2142="","",原始经营数据!$H2142)</f>
        <v/>
      </c>
      <c r="E2141" t="str">
        <f>IF(原始经营数据!$D2142="","",原始经营数据!$I2142)</f>
        <v/>
      </c>
      <c r="F2141" t="str">
        <f>IF(原始经营数据!$D2142="","",T(原始经营数据!$J2142))</f>
        <v/>
      </c>
      <c r="G2141" t="str">
        <f>IF(原始经营数据!$D2142="","",T(原始经营数据!$K2142))</f>
        <v/>
      </c>
      <c r="H2141" t="str">
        <f>IF(原始经营数据!$D2142="","",原始经营数据!$G2142)</f>
        <v/>
      </c>
      <c r="I2141" t="str">
        <f>IF($A2141="","",IF($B2141&lt;&gt;"",$B2141,IF(COUNTIFS(原始经营数据!$D$3:$D$3001,$A2141,原始经营数据!$E$3:$E$3001,"",原始经营数据!$F$3:$F$3001,$C2141,原始经营数据!$H$3:$H$3001,$D2141,原始经营数据!$K$3:$K$3001,$G2141)&gt;1,"基金整体·来源"&amp;原始经营数据!$A2142,"基金整体")))</f>
        <v/>
      </c>
      <c r="J2141" t="str">
        <f t="shared" si="498"/>
        <v/>
      </c>
      <c r="K2141" t="str">
        <f t="shared" si="499"/>
        <v/>
      </c>
      <c r="L2141" t="str">
        <f t="shared" si="500"/>
        <v/>
      </c>
      <c r="M2141">
        <f>IF($A2141="",0,IF(COUNTIF($L$2:$L2141,$L2141)=1,1,0))</f>
        <v>0</v>
      </c>
      <c r="N2141" t="str">
        <f t="shared" si="501"/>
        <v/>
      </c>
      <c r="O2141" t="str">
        <f t="shared" si="502"/>
        <v/>
      </c>
      <c r="P2141">
        <f>IF($A2141="",0,IF(COUNTIF($O$2:$O2141,$O2141)=1,1,0))</f>
        <v>0</v>
      </c>
      <c r="Q2141" t="str">
        <f>IF(AND($P2141=1,$A2141=经营数据!$B$3,$J2141=经营数据!$BA$5),COUNTIFS($P$2:$P$3000,1,$A$2:$A$3000,$A2141,$J$2:$J$3000,$J2141,$N$2:$N$3000,"&lt;"&amp;$N2141)+1,"")</f>
        <v/>
      </c>
      <c r="R2141" t="str">
        <f t="shared" si="503"/>
        <v/>
      </c>
      <c r="S2141">
        <f>IF($A2141="",0,IF(COUNTIF($R$2:$R2141,$R2141)=1,1,0))</f>
        <v>0</v>
      </c>
      <c r="T2141" t="str">
        <f t="shared" si="504"/>
        <v/>
      </c>
      <c r="U2141" t="str">
        <f>IF($A2141="","",IF($A2141=经营数据!$B$3,COUNTIFS($S$2:$S$3000,1,$A$2:$A$3000,$A2141,$T$2:$T$3000,"&lt;"&amp;$T2141)+1,""))</f>
        <v/>
      </c>
      <c r="V2141" t="str">
        <f t="shared" si="505"/>
        <v/>
      </c>
      <c r="W2141" t="str">
        <f t="shared" si="506"/>
        <v/>
      </c>
      <c r="X2141" t="str">
        <f t="shared" si="507"/>
        <v/>
      </c>
      <c r="Y2141" t="str">
        <f t="shared" si="508"/>
        <v/>
      </c>
      <c r="Z2141">
        <f>IF($A2141="",0,IF(AND($M2141=1,$A2141=经营数据!$B$3,$J2141=经营数据!$BA$5,OR($I2141=经营数据!$BA$4,COUNTIF(经营数据!$AA$9:$AA$38,$I2141)&gt;0)),1,0))</f>
        <v>0</v>
      </c>
      <c r="AA2141" t="str">
        <f t="shared" si="509"/>
        <v/>
      </c>
      <c r="AB2141" t="str">
        <f t="shared" si="510"/>
        <v/>
      </c>
      <c r="AC2141">
        <f>IF($A2141="",0,IF(COUNTIF($A$2:$A2141,$A2141)=1,1,0))</f>
        <v>0</v>
      </c>
      <c r="AD2141">
        <f t="shared" si="511"/>
        <v>29</v>
      </c>
      <c r="AE2141" t="str">
        <f t="shared" si="512"/>
        <v/>
      </c>
    </row>
    <row r="2142" spans="1:31" x14ac:dyDescent="0.4">
      <c r="A2142" t="str">
        <f>IF(原始经营数据!$D2143="","",原始经营数据!$D2143)</f>
        <v/>
      </c>
      <c r="B2142" t="str">
        <f>IF(原始经营数据!$D2143="","",T(原始经营数据!$E2143))</f>
        <v/>
      </c>
      <c r="C2142" t="str">
        <f>IF(原始经营数据!$D2143="","",原始经营数据!$F2143)</f>
        <v/>
      </c>
      <c r="D2142" t="str">
        <f>IF(原始经营数据!$D2143="","",原始经营数据!$H2143)</f>
        <v/>
      </c>
      <c r="E2142" t="str">
        <f>IF(原始经营数据!$D2143="","",原始经营数据!$I2143)</f>
        <v/>
      </c>
      <c r="F2142" t="str">
        <f>IF(原始经营数据!$D2143="","",T(原始经营数据!$J2143))</f>
        <v/>
      </c>
      <c r="G2142" t="str">
        <f>IF(原始经营数据!$D2143="","",T(原始经营数据!$K2143))</f>
        <v/>
      </c>
      <c r="H2142" t="str">
        <f>IF(原始经营数据!$D2143="","",原始经营数据!$G2143)</f>
        <v/>
      </c>
      <c r="I2142" t="str">
        <f>IF($A2142="","",IF($B2142&lt;&gt;"",$B2142,IF(COUNTIFS(原始经营数据!$D$3:$D$3001,$A2142,原始经营数据!$E$3:$E$3001,"",原始经营数据!$F$3:$F$3001,$C2142,原始经营数据!$H$3:$H$3001,$D2142,原始经营数据!$K$3:$K$3001,$G2142)&gt;1,"基金整体·来源"&amp;原始经营数据!$A2143,"基金整体")))</f>
        <v/>
      </c>
      <c r="J2142" t="str">
        <f t="shared" si="498"/>
        <v/>
      </c>
      <c r="K2142" t="str">
        <f t="shared" si="499"/>
        <v/>
      </c>
      <c r="L2142" t="str">
        <f t="shared" si="500"/>
        <v/>
      </c>
      <c r="M2142">
        <f>IF($A2142="",0,IF(COUNTIF($L$2:$L2142,$L2142)=1,1,0))</f>
        <v>0</v>
      </c>
      <c r="N2142" t="str">
        <f t="shared" si="501"/>
        <v/>
      </c>
      <c r="O2142" t="str">
        <f t="shared" si="502"/>
        <v/>
      </c>
      <c r="P2142">
        <f>IF($A2142="",0,IF(COUNTIF($O$2:$O2142,$O2142)=1,1,0))</f>
        <v>0</v>
      </c>
      <c r="Q2142" t="str">
        <f>IF(AND($P2142=1,$A2142=经营数据!$B$3,$J2142=经营数据!$BA$5),COUNTIFS($P$2:$P$3000,1,$A$2:$A$3000,$A2142,$J$2:$J$3000,$J2142,$N$2:$N$3000,"&lt;"&amp;$N2142)+1,"")</f>
        <v/>
      </c>
      <c r="R2142" t="str">
        <f t="shared" si="503"/>
        <v/>
      </c>
      <c r="S2142">
        <f>IF($A2142="",0,IF(COUNTIF($R$2:$R2142,$R2142)=1,1,0))</f>
        <v>0</v>
      </c>
      <c r="T2142" t="str">
        <f t="shared" si="504"/>
        <v/>
      </c>
      <c r="U2142" t="str">
        <f>IF($A2142="","",IF($A2142=经营数据!$B$3,COUNTIFS($S$2:$S$3000,1,$A$2:$A$3000,$A2142,$T$2:$T$3000,"&lt;"&amp;$T2142)+1,""))</f>
        <v/>
      </c>
      <c r="V2142" t="str">
        <f t="shared" si="505"/>
        <v/>
      </c>
      <c r="W2142" t="str">
        <f t="shared" si="506"/>
        <v/>
      </c>
      <c r="X2142" t="str">
        <f t="shared" si="507"/>
        <v/>
      </c>
      <c r="Y2142" t="str">
        <f t="shared" si="508"/>
        <v/>
      </c>
      <c r="Z2142">
        <f>IF($A2142="",0,IF(AND($M2142=1,$A2142=经营数据!$B$3,$J2142=经营数据!$BA$5,OR($I2142=经营数据!$BA$4,COUNTIF(经营数据!$AA$9:$AA$38,$I2142)&gt;0)),1,0))</f>
        <v>0</v>
      </c>
      <c r="AA2142" t="str">
        <f t="shared" si="509"/>
        <v/>
      </c>
      <c r="AB2142" t="str">
        <f t="shared" si="510"/>
        <v/>
      </c>
      <c r="AC2142">
        <f>IF($A2142="",0,IF(COUNTIF($A$2:$A2142,$A2142)=1,1,0))</f>
        <v>0</v>
      </c>
      <c r="AD2142">
        <f t="shared" si="511"/>
        <v>29</v>
      </c>
      <c r="AE2142" t="str">
        <f t="shared" si="512"/>
        <v/>
      </c>
    </row>
    <row r="2143" spans="1:31" x14ac:dyDescent="0.4">
      <c r="A2143" t="str">
        <f>IF(原始经营数据!$D2144="","",原始经营数据!$D2144)</f>
        <v/>
      </c>
      <c r="B2143" t="str">
        <f>IF(原始经营数据!$D2144="","",T(原始经营数据!$E2144))</f>
        <v/>
      </c>
      <c r="C2143" t="str">
        <f>IF(原始经营数据!$D2144="","",原始经营数据!$F2144)</f>
        <v/>
      </c>
      <c r="D2143" t="str">
        <f>IF(原始经营数据!$D2144="","",原始经营数据!$H2144)</f>
        <v/>
      </c>
      <c r="E2143" t="str">
        <f>IF(原始经营数据!$D2144="","",原始经营数据!$I2144)</f>
        <v/>
      </c>
      <c r="F2143" t="str">
        <f>IF(原始经营数据!$D2144="","",T(原始经营数据!$J2144))</f>
        <v/>
      </c>
      <c r="G2143" t="str">
        <f>IF(原始经营数据!$D2144="","",T(原始经营数据!$K2144))</f>
        <v/>
      </c>
      <c r="H2143" t="str">
        <f>IF(原始经营数据!$D2144="","",原始经营数据!$G2144)</f>
        <v/>
      </c>
      <c r="I2143" t="str">
        <f>IF($A2143="","",IF($B2143&lt;&gt;"",$B2143,IF(COUNTIFS(原始经营数据!$D$3:$D$3001,$A2143,原始经营数据!$E$3:$E$3001,"",原始经营数据!$F$3:$F$3001,$C2143,原始经营数据!$H$3:$H$3001,$D2143,原始经营数据!$K$3:$K$3001,$G2143)&gt;1,"基金整体·来源"&amp;原始经营数据!$A2144,"基金整体")))</f>
        <v/>
      </c>
      <c r="J2143" t="str">
        <f t="shared" si="498"/>
        <v/>
      </c>
      <c r="K2143" t="str">
        <f t="shared" si="499"/>
        <v/>
      </c>
      <c r="L2143" t="str">
        <f t="shared" si="500"/>
        <v/>
      </c>
      <c r="M2143">
        <f>IF($A2143="",0,IF(COUNTIF($L$2:$L2143,$L2143)=1,1,0))</f>
        <v>0</v>
      </c>
      <c r="N2143" t="str">
        <f t="shared" si="501"/>
        <v/>
      </c>
      <c r="O2143" t="str">
        <f t="shared" si="502"/>
        <v/>
      </c>
      <c r="P2143">
        <f>IF($A2143="",0,IF(COUNTIF($O$2:$O2143,$O2143)=1,1,0))</f>
        <v>0</v>
      </c>
      <c r="Q2143" t="str">
        <f>IF(AND($P2143=1,$A2143=经营数据!$B$3,$J2143=经营数据!$BA$5),COUNTIFS($P$2:$P$3000,1,$A$2:$A$3000,$A2143,$J$2:$J$3000,$J2143,$N$2:$N$3000,"&lt;"&amp;$N2143)+1,"")</f>
        <v/>
      </c>
      <c r="R2143" t="str">
        <f t="shared" si="503"/>
        <v/>
      </c>
      <c r="S2143">
        <f>IF($A2143="",0,IF(COUNTIF($R$2:$R2143,$R2143)=1,1,0))</f>
        <v>0</v>
      </c>
      <c r="T2143" t="str">
        <f t="shared" si="504"/>
        <v/>
      </c>
      <c r="U2143" t="str">
        <f>IF($A2143="","",IF($A2143=经营数据!$B$3,COUNTIFS($S$2:$S$3000,1,$A$2:$A$3000,$A2143,$T$2:$T$3000,"&lt;"&amp;$T2143)+1,""))</f>
        <v/>
      </c>
      <c r="V2143" t="str">
        <f t="shared" si="505"/>
        <v/>
      </c>
      <c r="W2143" t="str">
        <f t="shared" si="506"/>
        <v/>
      </c>
      <c r="X2143" t="str">
        <f t="shared" si="507"/>
        <v/>
      </c>
      <c r="Y2143" t="str">
        <f t="shared" si="508"/>
        <v/>
      </c>
      <c r="Z2143">
        <f>IF($A2143="",0,IF(AND($M2143=1,$A2143=经营数据!$B$3,$J2143=经营数据!$BA$5,OR($I2143=经营数据!$BA$4,COUNTIF(经营数据!$AA$9:$AA$38,$I2143)&gt;0)),1,0))</f>
        <v>0</v>
      </c>
      <c r="AA2143" t="str">
        <f t="shared" si="509"/>
        <v/>
      </c>
      <c r="AB2143" t="str">
        <f t="shared" si="510"/>
        <v/>
      </c>
      <c r="AC2143">
        <f>IF($A2143="",0,IF(COUNTIF($A$2:$A2143,$A2143)=1,1,0))</f>
        <v>0</v>
      </c>
      <c r="AD2143">
        <f t="shared" si="511"/>
        <v>29</v>
      </c>
      <c r="AE2143" t="str">
        <f t="shared" si="512"/>
        <v/>
      </c>
    </row>
    <row r="2144" spans="1:31" x14ac:dyDescent="0.4">
      <c r="A2144" t="str">
        <f>IF(原始经营数据!$D2145="","",原始经营数据!$D2145)</f>
        <v/>
      </c>
      <c r="B2144" t="str">
        <f>IF(原始经营数据!$D2145="","",T(原始经营数据!$E2145))</f>
        <v/>
      </c>
      <c r="C2144" t="str">
        <f>IF(原始经营数据!$D2145="","",原始经营数据!$F2145)</f>
        <v/>
      </c>
      <c r="D2144" t="str">
        <f>IF(原始经营数据!$D2145="","",原始经营数据!$H2145)</f>
        <v/>
      </c>
      <c r="E2144" t="str">
        <f>IF(原始经营数据!$D2145="","",原始经营数据!$I2145)</f>
        <v/>
      </c>
      <c r="F2144" t="str">
        <f>IF(原始经营数据!$D2145="","",T(原始经营数据!$J2145))</f>
        <v/>
      </c>
      <c r="G2144" t="str">
        <f>IF(原始经营数据!$D2145="","",T(原始经营数据!$K2145))</f>
        <v/>
      </c>
      <c r="H2144" t="str">
        <f>IF(原始经营数据!$D2145="","",原始经营数据!$G2145)</f>
        <v/>
      </c>
      <c r="I2144" t="str">
        <f>IF($A2144="","",IF($B2144&lt;&gt;"",$B2144,IF(COUNTIFS(原始经营数据!$D$3:$D$3001,$A2144,原始经营数据!$E$3:$E$3001,"",原始经营数据!$F$3:$F$3001,$C2144,原始经营数据!$H$3:$H$3001,$D2144,原始经营数据!$K$3:$K$3001,$G2144)&gt;1,"基金整体·来源"&amp;原始经营数据!$A2145,"基金整体")))</f>
        <v/>
      </c>
      <c r="J2144" t="str">
        <f t="shared" si="498"/>
        <v/>
      </c>
      <c r="K2144" t="str">
        <f t="shared" si="499"/>
        <v/>
      </c>
      <c r="L2144" t="str">
        <f t="shared" si="500"/>
        <v/>
      </c>
      <c r="M2144">
        <f>IF($A2144="",0,IF(COUNTIF($L$2:$L2144,$L2144)=1,1,0))</f>
        <v>0</v>
      </c>
      <c r="N2144" t="str">
        <f t="shared" si="501"/>
        <v/>
      </c>
      <c r="O2144" t="str">
        <f t="shared" si="502"/>
        <v/>
      </c>
      <c r="P2144">
        <f>IF($A2144="",0,IF(COUNTIF($O$2:$O2144,$O2144)=1,1,0))</f>
        <v>0</v>
      </c>
      <c r="Q2144" t="str">
        <f>IF(AND($P2144=1,$A2144=经营数据!$B$3,$J2144=经营数据!$BA$5),COUNTIFS($P$2:$P$3000,1,$A$2:$A$3000,$A2144,$J$2:$J$3000,$J2144,$N$2:$N$3000,"&lt;"&amp;$N2144)+1,"")</f>
        <v/>
      </c>
      <c r="R2144" t="str">
        <f t="shared" si="503"/>
        <v/>
      </c>
      <c r="S2144">
        <f>IF($A2144="",0,IF(COUNTIF($R$2:$R2144,$R2144)=1,1,0))</f>
        <v>0</v>
      </c>
      <c r="T2144" t="str">
        <f t="shared" si="504"/>
        <v/>
      </c>
      <c r="U2144" t="str">
        <f>IF($A2144="","",IF($A2144=经营数据!$B$3,COUNTIFS($S$2:$S$3000,1,$A$2:$A$3000,$A2144,$T$2:$T$3000,"&lt;"&amp;$T2144)+1,""))</f>
        <v/>
      </c>
      <c r="V2144" t="str">
        <f t="shared" si="505"/>
        <v/>
      </c>
      <c r="W2144" t="str">
        <f t="shared" si="506"/>
        <v/>
      </c>
      <c r="X2144" t="str">
        <f t="shared" si="507"/>
        <v/>
      </c>
      <c r="Y2144" t="str">
        <f t="shared" si="508"/>
        <v/>
      </c>
      <c r="Z2144">
        <f>IF($A2144="",0,IF(AND($M2144=1,$A2144=经营数据!$B$3,$J2144=经营数据!$BA$5,OR($I2144=经营数据!$BA$4,COUNTIF(经营数据!$AA$9:$AA$38,$I2144)&gt;0)),1,0))</f>
        <v>0</v>
      </c>
      <c r="AA2144" t="str">
        <f t="shared" si="509"/>
        <v/>
      </c>
      <c r="AB2144" t="str">
        <f t="shared" si="510"/>
        <v/>
      </c>
      <c r="AC2144">
        <f>IF($A2144="",0,IF(COUNTIF($A$2:$A2144,$A2144)=1,1,0))</f>
        <v>0</v>
      </c>
      <c r="AD2144">
        <f t="shared" si="511"/>
        <v>29</v>
      </c>
      <c r="AE2144" t="str">
        <f t="shared" si="512"/>
        <v/>
      </c>
    </row>
    <row r="2145" spans="1:31" x14ac:dyDescent="0.4">
      <c r="A2145" t="str">
        <f>IF(原始经营数据!$D2146="","",原始经营数据!$D2146)</f>
        <v/>
      </c>
      <c r="B2145" t="str">
        <f>IF(原始经营数据!$D2146="","",T(原始经营数据!$E2146))</f>
        <v/>
      </c>
      <c r="C2145" t="str">
        <f>IF(原始经营数据!$D2146="","",原始经营数据!$F2146)</f>
        <v/>
      </c>
      <c r="D2145" t="str">
        <f>IF(原始经营数据!$D2146="","",原始经营数据!$H2146)</f>
        <v/>
      </c>
      <c r="E2145" t="str">
        <f>IF(原始经营数据!$D2146="","",原始经营数据!$I2146)</f>
        <v/>
      </c>
      <c r="F2145" t="str">
        <f>IF(原始经营数据!$D2146="","",T(原始经营数据!$J2146))</f>
        <v/>
      </c>
      <c r="G2145" t="str">
        <f>IF(原始经营数据!$D2146="","",T(原始经营数据!$K2146))</f>
        <v/>
      </c>
      <c r="H2145" t="str">
        <f>IF(原始经营数据!$D2146="","",原始经营数据!$G2146)</f>
        <v/>
      </c>
      <c r="I2145" t="str">
        <f>IF($A2145="","",IF($B2145&lt;&gt;"",$B2145,IF(COUNTIFS(原始经营数据!$D$3:$D$3001,$A2145,原始经营数据!$E$3:$E$3001,"",原始经营数据!$F$3:$F$3001,$C2145,原始经营数据!$H$3:$H$3001,$D2145,原始经营数据!$K$3:$K$3001,$G2145)&gt;1,"基金整体·来源"&amp;原始经营数据!$A2146,"基金整体")))</f>
        <v/>
      </c>
      <c r="J2145" t="str">
        <f t="shared" si="498"/>
        <v/>
      </c>
      <c r="K2145" t="str">
        <f t="shared" si="499"/>
        <v/>
      </c>
      <c r="L2145" t="str">
        <f t="shared" si="500"/>
        <v/>
      </c>
      <c r="M2145">
        <f>IF($A2145="",0,IF(COUNTIF($L$2:$L2145,$L2145)=1,1,0))</f>
        <v>0</v>
      </c>
      <c r="N2145" t="str">
        <f t="shared" si="501"/>
        <v/>
      </c>
      <c r="O2145" t="str">
        <f t="shared" si="502"/>
        <v/>
      </c>
      <c r="P2145">
        <f>IF($A2145="",0,IF(COUNTIF($O$2:$O2145,$O2145)=1,1,0))</f>
        <v>0</v>
      </c>
      <c r="Q2145" t="str">
        <f>IF(AND($P2145=1,$A2145=经营数据!$B$3,$J2145=经营数据!$BA$5),COUNTIFS($P$2:$P$3000,1,$A$2:$A$3000,$A2145,$J$2:$J$3000,$J2145,$N$2:$N$3000,"&lt;"&amp;$N2145)+1,"")</f>
        <v/>
      </c>
      <c r="R2145" t="str">
        <f t="shared" si="503"/>
        <v/>
      </c>
      <c r="S2145">
        <f>IF($A2145="",0,IF(COUNTIF($R$2:$R2145,$R2145)=1,1,0))</f>
        <v>0</v>
      </c>
      <c r="T2145" t="str">
        <f t="shared" si="504"/>
        <v/>
      </c>
      <c r="U2145" t="str">
        <f>IF($A2145="","",IF($A2145=经营数据!$B$3,COUNTIFS($S$2:$S$3000,1,$A$2:$A$3000,$A2145,$T$2:$T$3000,"&lt;"&amp;$T2145)+1,""))</f>
        <v/>
      </c>
      <c r="V2145" t="str">
        <f t="shared" si="505"/>
        <v/>
      </c>
      <c r="W2145" t="str">
        <f t="shared" si="506"/>
        <v/>
      </c>
      <c r="X2145" t="str">
        <f t="shared" si="507"/>
        <v/>
      </c>
      <c r="Y2145" t="str">
        <f t="shared" si="508"/>
        <v/>
      </c>
      <c r="Z2145">
        <f>IF($A2145="",0,IF(AND($M2145=1,$A2145=经营数据!$B$3,$J2145=经营数据!$BA$5,OR($I2145=经营数据!$BA$4,COUNTIF(经营数据!$AA$9:$AA$38,$I2145)&gt;0)),1,0))</f>
        <v>0</v>
      </c>
      <c r="AA2145" t="str">
        <f t="shared" si="509"/>
        <v/>
      </c>
      <c r="AB2145" t="str">
        <f t="shared" si="510"/>
        <v/>
      </c>
      <c r="AC2145">
        <f>IF($A2145="",0,IF(COUNTIF($A$2:$A2145,$A2145)=1,1,0))</f>
        <v>0</v>
      </c>
      <c r="AD2145">
        <f t="shared" si="511"/>
        <v>29</v>
      </c>
      <c r="AE2145" t="str">
        <f t="shared" si="512"/>
        <v/>
      </c>
    </row>
    <row r="2146" spans="1:31" x14ac:dyDescent="0.4">
      <c r="A2146" t="str">
        <f>IF(原始经营数据!$D2147="","",原始经营数据!$D2147)</f>
        <v/>
      </c>
      <c r="B2146" t="str">
        <f>IF(原始经营数据!$D2147="","",T(原始经营数据!$E2147))</f>
        <v/>
      </c>
      <c r="C2146" t="str">
        <f>IF(原始经营数据!$D2147="","",原始经营数据!$F2147)</f>
        <v/>
      </c>
      <c r="D2146" t="str">
        <f>IF(原始经营数据!$D2147="","",原始经营数据!$H2147)</f>
        <v/>
      </c>
      <c r="E2146" t="str">
        <f>IF(原始经营数据!$D2147="","",原始经营数据!$I2147)</f>
        <v/>
      </c>
      <c r="F2146" t="str">
        <f>IF(原始经营数据!$D2147="","",T(原始经营数据!$J2147))</f>
        <v/>
      </c>
      <c r="G2146" t="str">
        <f>IF(原始经营数据!$D2147="","",T(原始经营数据!$K2147))</f>
        <v/>
      </c>
      <c r="H2146" t="str">
        <f>IF(原始经营数据!$D2147="","",原始经营数据!$G2147)</f>
        <v/>
      </c>
      <c r="I2146" t="str">
        <f>IF($A2146="","",IF($B2146&lt;&gt;"",$B2146,IF(COUNTIFS(原始经营数据!$D$3:$D$3001,$A2146,原始经营数据!$E$3:$E$3001,"",原始经营数据!$F$3:$F$3001,$C2146,原始经营数据!$H$3:$H$3001,$D2146,原始经营数据!$K$3:$K$3001,$G2146)&gt;1,"基金整体·来源"&amp;原始经营数据!$A2147,"基金整体")))</f>
        <v/>
      </c>
      <c r="J2146" t="str">
        <f t="shared" si="498"/>
        <v/>
      </c>
      <c r="K2146" t="str">
        <f t="shared" si="499"/>
        <v/>
      </c>
      <c r="L2146" t="str">
        <f t="shared" si="500"/>
        <v/>
      </c>
      <c r="M2146">
        <f>IF($A2146="",0,IF(COUNTIF($L$2:$L2146,$L2146)=1,1,0))</f>
        <v>0</v>
      </c>
      <c r="N2146" t="str">
        <f t="shared" si="501"/>
        <v/>
      </c>
      <c r="O2146" t="str">
        <f t="shared" si="502"/>
        <v/>
      </c>
      <c r="P2146">
        <f>IF($A2146="",0,IF(COUNTIF($O$2:$O2146,$O2146)=1,1,0))</f>
        <v>0</v>
      </c>
      <c r="Q2146" t="str">
        <f>IF(AND($P2146=1,$A2146=经营数据!$B$3,$J2146=经营数据!$BA$5),COUNTIFS($P$2:$P$3000,1,$A$2:$A$3000,$A2146,$J$2:$J$3000,$J2146,$N$2:$N$3000,"&lt;"&amp;$N2146)+1,"")</f>
        <v/>
      </c>
      <c r="R2146" t="str">
        <f t="shared" si="503"/>
        <v/>
      </c>
      <c r="S2146">
        <f>IF($A2146="",0,IF(COUNTIF($R$2:$R2146,$R2146)=1,1,0))</f>
        <v>0</v>
      </c>
      <c r="T2146" t="str">
        <f t="shared" si="504"/>
        <v/>
      </c>
      <c r="U2146" t="str">
        <f>IF($A2146="","",IF($A2146=经营数据!$B$3,COUNTIFS($S$2:$S$3000,1,$A$2:$A$3000,$A2146,$T$2:$T$3000,"&lt;"&amp;$T2146)+1,""))</f>
        <v/>
      </c>
      <c r="V2146" t="str">
        <f t="shared" si="505"/>
        <v/>
      </c>
      <c r="W2146" t="str">
        <f t="shared" si="506"/>
        <v/>
      </c>
      <c r="X2146" t="str">
        <f t="shared" si="507"/>
        <v/>
      </c>
      <c r="Y2146" t="str">
        <f t="shared" si="508"/>
        <v/>
      </c>
      <c r="Z2146">
        <f>IF($A2146="",0,IF(AND($M2146=1,$A2146=经营数据!$B$3,$J2146=经营数据!$BA$5,OR($I2146=经营数据!$BA$4,COUNTIF(经营数据!$AA$9:$AA$38,$I2146)&gt;0)),1,0))</f>
        <v>0</v>
      </c>
      <c r="AA2146" t="str">
        <f t="shared" si="509"/>
        <v/>
      </c>
      <c r="AB2146" t="str">
        <f t="shared" si="510"/>
        <v/>
      </c>
      <c r="AC2146">
        <f>IF($A2146="",0,IF(COUNTIF($A$2:$A2146,$A2146)=1,1,0))</f>
        <v>0</v>
      </c>
      <c r="AD2146">
        <f t="shared" si="511"/>
        <v>29</v>
      </c>
      <c r="AE2146" t="str">
        <f t="shared" si="512"/>
        <v/>
      </c>
    </row>
    <row r="2147" spans="1:31" x14ac:dyDescent="0.4">
      <c r="A2147" t="str">
        <f>IF(原始经营数据!$D2148="","",原始经营数据!$D2148)</f>
        <v/>
      </c>
      <c r="B2147" t="str">
        <f>IF(原始经营数据!$D2148="","",T(原始经营数据!$E2148))</f>
        <v/>
      </c>
      <c r="C2147" t="str">
        <f>IF(原始经营数据!$D2148="","",原始经营数据!$F2148)</f>
        <v/>
      </c>
      <c r="D2147" t="str">
        <f>IF(原始经营数据!$D2148="","",原始经营数据!$H2148)</f>
        <v/>
      </c>
      <c r="E2147" t="str">
        <f>IF(原始经营数据!$D2148="","",原始经营数据!$I2148)</f>
        <v/>
      </c>
      <c r="F2147" t="str">
        <f>IF(原始经营数据!$D2148="","",T(原始经营数据!$J2148))</f>
        <v/>
      </c>
      <c r="G2147" t="str">
        <f>IF(原始经营数据!$D2148="","",T(原始经营数据!$K2148))</f>
        <v/>
      </c>
      <c r="H2147" t="str">
        <f>IF(原始经营数据!$D2148="","",原始经营数据!$G2148)</f>
        <v/>
      </c>
      <c r="I2147" t="str">
        <f>IF($A2147="","",IF($B2147&lt;&gt;"",$B2147,IF(COUNTIFS(原始经营数据!$D$3:$D$3001,$A2147,原始经营数据!$E$3:$E$3001,"",原始经营数据!$F$3:$F$3001,$C2147,原始经营数据!$H$3:$H$3001,$D2147,原始经营数据!$K$3:$K$3001,$G2147)&gt;1,"基金整体·来源"&amp;原始经营数据!$A2148,"基金整体")))</f>
        <v/>
      </c>
      <c r="J2147" t="str">
        <f t="shared" si="498"/>
        <v/>
      </c>
      <c r="K2147" t="str">
        <f t="shared" si="499"/>
        <v/>
      </c>
      <c r="L2147" t="str">
        <f t="shared" si="500"/>
        <v/>
      </c>
      <c r="M2147">
        <f>IF($A2147="",0,IF(COUNTIF($L$2:$L2147,$L2147)=1,1,0))</f>
        <v>0</v>
      </c>
      <c r="N2147" t="str">
        <f t="shared" si="501"/>
        <v/>
      </c>
      <c r="O2147" t="str">
        <f t="shared" si="502"/>
        <v/>
      </c>
      <c r="P2147">
        <f>IF($A2147="",0,IF(COUNTIF($O$2:$O2147,$O2147)=1,1,0))</f>
        <v>0</v>
      </c>
      <c r="Q2147" t="str">
        <f>IF(AND($P2147=1,$A2147=经营数据!$B$3,$J2147=经营数据!$BA$5),COUNTIFS($P$2:$P$3000,1,$A$2:$A$3000,$A2147,$J$2:$J$3000,$J2147,$N$2:$N$3000,"&lt;"&amp;$N2147)+1,"")</f>
        <v/>
      </c>
      <c r="R2147" t="str">
        <f t="shared" si="503"/>
        <v/>
      </c>
      <c r="S2147">
        <f>IF($A2147="",0,IF(COUNTIF($R$2:$R2147,$R2147)=1,1,0))</f>
        <v>0</v>
      </c>
      <c r="T2147" t="str">
        <f t="shared" si="504"/>
        <v/>
      </c>
      <c r="U2147" t="str">
        <f>IF($A2147="","",IF($A2147=经营数据!$B$3,COUNTIFS($S$2:$S$3000,1,$A$2:$A$3000,$A2147,$T$2:$T$3000,"&lt;"&amp;$T2147)+1,""))</f>
        <v/>
      </c>
      <c r="V2147" t="str">
        <f t="shared" si="505"/>
        <v/>
      </c>
      <c r="W2147" t="str">
        <f t="shared" si="506"/>
        <v/>
      </c>
      <c r="X2147" t="str">
        <f t="shared" si="507"/>
        <v/>
      </c>
      <c r="Y2147" t="str">
        <f t="shared" si="508"/>
        <v/>
      </c>
      <c r="Z2147">
        <f>IF($A2147="",0,IF(AND($M2147=1,$A2147=经营数据!$B$3,$J2147=经营数据!$BA$5,OR($I2147=经营数据!$BA$4,COUNTIF(经营数据!$AA$9:$AA$38,$I2147)&gt;0)),1,0))</f>
        <v>0</v>
      </c>
      <c r="AA2147" t="str">
        <f t="shared" si="509"/>
        <v/>
      </c>
      <c r="AB2147" t="str">
        <f t="shared" si="510"/>
        <v/>
      </c>
      <c r="AC2147">
        <f>IF($A2147="",0,IF(COUNTIF($A$2:$A2147,$A2147)=1,1,0))</f>
        <v>0</v>
      </c>
      <c r="AD2147">
        <f t="shared" si="511"/>
        <v>29</v>
      </c>
      <c r="AE2147" t="str">
        <f t="shared" si="512"/>
        <v/>
      </c>
    </row>
    <row r="2148" spans="1:31" x14ac:dyDescent="0.4">
      <c r="A2148" t="str">
        <f>IF(原始经营数据!$D2149="","",原始经营数据!$D2149)</f>
        <v/>
      </c>
      <c r="B2148" t="str">
        <f>IF(原始经营数据!$D2149="","",T(原始经营数据!$E2149))</f>
        <v/>
      </c>
      <c r="C2148" t="str">
        <f>IF(原始经营数据!$D2149="","",原始经营数据!$F2149)</f>
        <v/>
      </c>
      <c r="D2148" t="str">
        <f>IF(原始经营数据!$D2149="","",原始经营数据!$H2149)</f>
        <v/>
      </c>
      <c r="E2148" t="str">
        <f>IF(原始经营数据!$D2149="","",原始经营数据!$I2149)</f>
        <v/>
      </c>
      <c r="F2148" t="str">
        <f>IF(原始经营数据!$D2149="","",T(原始经营数据!$J2149))</f>
        <v/>
      </c>
      <c r="G2148" t="str">
        <f>IF(原始经营数据!$D2149="","",T(原始经营数据!$K2149))</f>
        <v/>
      </c>
      <c r="H2148" t="str">
        <f>IF(原始经营数据!$D2149="","",原始经营数据!$G2149)</f>
        <v/>
      </c>
      <c r="I2148" t="str">
        <f>IF($A2148="","",IF($B2148&lt;&gt;"",$B2148,IF(COUNTIFS(原始经营数据!$D$3:$D$3001,$A2148,原始经营数据!$E$3:$E$3001,"",原始经营数据!$F$3:$F$3001,$C2148,原始经营数据!$H$3:$H$3001,$D2148,原始经营数据!$K$3:$K$3001,$G2148)&gt;1,"基金整体·来源"&amp;原始经营数据!$A2149,"基金整体")))</f>
        <v/>
      </c>
      <c r="J2148" t="str">
        <f t="shared" si="498"/>
        <v/>
      </c>
      <c r="K2148" t="str">
        <f t="shared" si="499"/>
        <v/>
      </c>
      <c r="L2148" t="str">
        <f t="shared" si="500"/>
        <v/>
      </c>
      <c r="M2148">
        <f>IF($A2148="",0,IF(COUNTIF($L$2:$L2148,$L2148)=1,1,0))</f>
        <v>0</v>
      </c>
      <c r="N2148" t="str">
        <f t="shared" si="501"/>
        <v/>
      </c>
      <c r="O2148" t="str">
        <f t="shared" si="502"/>
        <v/>
      </c>
      <c r="P2148">
        <f>IF($A2148="",0,IF(COUNTIF($O$2:$O2148,$O2148)=1,1,0))</f>
        <v>0</v>
      </c>
      <c r="Q2148" t="str">
        <f>IF(AND($P2148=1,$A2148=经营数据!$B$3,$J2148=经营数据!$BA$5),COUNTIFS($P$2:$P$3000,1,$A$2:$A$3000,$A2148,$J$2:$J$3000,$J2148,$N$2:$N$3000,"&lt;"&amp;$N2148)+1,"")</f>
        <v/>
      </c>
      <c r="R2148" t="str">
        <f t="shared" si="503"/>
        <v/>
      </c>
      <c r="S2148">
        <f>IF($A2148="",0,IF(COUNTIF($R$2:$R2148,$R2148)=1,1,0))</f>
        <v>0</v>
      </c>
      <c r="T2148" t="str">
        <f t="shared" si="504"/>
        <v/>
      </c>
      <c r="U2148" t="str">
        <f>IF($A2148="","",IF($A2148=经营数据!$B$3,COUNTIFS($S$2:$S$3000,1,$A$2:$A$3000,$A2148,$T$2:$T$3000,"&lt;"&amp;$T2148)+1,""))</f>
        <v/>
      </c>
      <c r="V2148" t="str">
        <f t="shared" si="505"/>
        <v/>
      </c>
      <c r="W2148" t="str">
        <f t="shared" si="506"/>
        <v/>
      </c>
      <c r="X2148" t="str">
        <f t="shared" si="507"/>
        <v/>
      </c>
      <c r="Y2148" t="str">
        <f t="shared" si="508"/>
        <v/>
      </c>
      <c r="Z2148">
        <f>IF($A2148="",0,IF(AND($M2148=1,$A2148=经营数据!$B$3,$J2148=经营数据!$BA$5,OR($I2148=经营数据!$BA$4,COUNTIF(经营数据!$AA$9:$AA$38,$I2148)&gt;0)),1,0))</f>
        <v>0</v>
      </c>
      <c r="AA2148" t="str">
        <f t="shared" si="509"/>
        <v/>
      </c>
      <c r="AB2148" t="str">
        <f t="shared" si="510"/>
        <v/>
      </c>
      <c r="AC2148">
        <f>IF($A2148="",0,IF(COUNTIF($A$2:$A2148,$A2148)=1,1,0))</f>
        <v>0</v>
      </c>
      <c r="AD2148">
        <f t="shared" si="511"/>
        <v>29</v>
      </c>
      <c r="AE2148" t="str">
        <f t="shared" si="512"/>
        <v/>
      </c>
    </row>
    <row r="2149" spans="1:31" x14ac:dyDescent="0.4">
      <c r="A2149" t="str">
        <f>IF(原始经营数据!$D2150="","",原始经营数据!$D2150)</f>
        <v/>
      </c>
      <c r="B2149" t="str">
        <f>IF(原始经营数据!$D2150="","",T(原始经营数据!$E2150))</f>
        <v/>
      </c>
      <c r="C2149" t="str">
        <f>IF(原始经营数据!$D2150="","",原始经营数据!$F2150)</f>
        <v/>
      </c>
      <c r="D2149" t="str">
        <f>IF(原始经营数据!$D2150="","",原始经营数据!$H2150)</f>
        <v/>
      </c>
      <c r="E2149" t="str">
        <f>IF(原始经营数据!$D2150="","",原始经营数据!$I2150)</f>
        <v/>
      </c>
      <c r="F2149" t="str">
        <f>IF(原始经营数据!$D2150="","",T(原始经营数据!$J2150))</f>
        <v/>
      </c>
      <c r="G2149" t="str">
        <f>IF(原始经营数据!$D2150="","",T(原始经营数据!$K2150))</f>
        <v/>
      </c>
      <c r="H2149" t="str">
        <f>IF(原始经营数据!$D2150="","",原始经营数据!$G2150)</f>
        <v/>
      </c>
      <c r="I2149" t="str">
        <f>IF($A2149="","",IF($B2149&lt;&gt;"",$B2149,IF(COUNTIFS(原始经营数据!$D$3:$D$3001,$A2149,原始经营数据!$E$3:$E$3001,"",原始经营数据!$F$3:$F$3001,$C2149,原始经营数据!$H$3:$H$3001,$D2149,原始经营数据!$K$3:$K$3001,$G2149)&gt;1,"基金整体·来源"&amp;原始经营数据!$A2150,"基金整体")))</f>
        <v/>
      </c>
      <c r="J2149" t="str">
        <f t="shared" si="498"/>
        <v/>
      </c>
      <c r="K2149" t="str">
        <f t="shared" si="499"/>
        <v/>
      </c>
      <c r="L2149" t="str">
        <f t="shared" si="500"/>
        <v/>
      </c>
      <c r="M2149">
        <f>IF($A2149="",0,IF(COUNTIF($L$2:$L2149,$L2149)=1,1,0))</f>
        <v>0</v>
      </c>
      <c r="N2149" t="str">
        <f t="shared" si="501"/>
        <v/>
      </c>
      <c r="O2149" t="str">
        <f t="shared" si="502"/>
        <v/>
      </c>
      <c r="P2149">
        <f>IF($A2149="",0,IF(COUNTIF($O$2:$O2149,$O2149)=1,1,0))</f>
        <v>0</v>
      </c>
      <c r="Q2149" t="str">
        <f>IF(AND($P2149=1,$A2149=经营数据!$B$3,$J2149=经营数据!$BA$5),COUNTIFS($P$2:$P$3000,1,$A$2:$A$3000,$A2149,$J$2:$J$3000,$J2149,$N$2:$N$3000,"&lt;"&amp;$N2149)+1,"")</f>
        <v/>
      </c>
      <c r="R2149" t="str">
        <f t="shared" si="503"/>
        <v/>
      </c>
      <c r="S2149">
        <f>IF($A2149="",0,IF(COUNTIF($R$2:$R2149,$R2149)=1,1,0))</f>
        <v>0</v>
      </c>
      <c r="T2149" t="str">
        <f t="shared" si="504"/>
        <v/>
      </c>
      <c r="U2149" t="str">
        <f>IF($A2149="","",IF($A2149=经营数据!$B$3,COUNTIFS($S$2:$S$3000,1,$A$2:$A$3000,$A2149,$T$2:$T$3000,"&lt;"&amp;$T2149)+1,""))</f>
        <v/>
      </c>
      <c r="V2149" t="str">
        <f t="shared" si="505"/>
        <v/>
      </c>
      <c r="W2149" t="str">
        <f t="shared" si="506"/>
        <v/>
      </c>
      <c r="X2149" t="str">
        <f t="shared" si="507"/>
        <v/>
      </c>
      <c r="Y2149" t="str">
        <f t="shared" si="508"/>
        <v/>
      </c>
      <c r="Z2149">
        <f>IF($A2149="",0,IF(AND($M2149=1,$A2149=经营数据!$B$3,$J2149=经营数据!$BA$5,OR($I2149=经营数据!$BA$4,COUNTIF(经营数据!$AA$9:$AA$38,$I2149)&gt;0)),1,0))</f>
        <v>0</v>
      </c>
      <c r="AA2149" t="str">
        <f t="shared" si="509"/>
        <v/>
      </c>
      <c r="AB2149" t="str">
        <f t="shared" si="510"/>
        <v/>
      </c>
      <c r="AC2149">
        <f>IF($A2149="",0,IF(COUNTIF($A$2:$A2149,$A2149)=1,1,0))</f>
        <v>0</v>
      </c>
      <c r="AD2149">
        <f t="shared" si="511"/>
        <v>29</v>
      </c>
      <c r="AE2149" t="str">
        <f t="shared" si="512"/>
        <v/>
      </c>
    </row>
    <row r="2150" spans="1:31" x14ac:dyDescent="0.4">
      <c r="A2150" t="str">
        <f>IF(原始经营数据!$D2151="","",原始经营数据!$D2151)</f>
        <v/>
      </c>
      <c r="B2150" t="str">
        <f>IF(原始经营数据!$D2151="","",T(原始经营数据!$E2151))</f>
        <v/>
      </c>
      <c r="C2150" t="str">
        <f>IF(原始经营数据!$D2151="","",原始经营数据!$F2151)</f>
        <v/>
      </c>
      <c r="D2150" t="str">
        <f>IF(原始经营数据!$D2151="","",原始经营数据!$H2151)</f>
        <v/>
      </c>
      <c r="E2150" t="str">
        <f>IF(原始经营数据!$D2151="","",原始经营数据!$I2151)</f>
        <v/>
      </c>
      <c r="F2150" t="str">
        <f>IF(原始经营数据!$D2151="","",T(原始经营数据!$J2151))</f>
        <v/>
      </c>
      <c r="G2150" t="str">
        <f>IF(原始经营数据!$D2151="","",T(原始经营数据!$K2151))</f>
        <v/>
      </c>
      <c r="H2150" t="str">
        <f>IF(原始经营数据!$D2151="","",原始经营数据!$G2151)</f>
        <v/>
      </c>
      <c r="I2150" t="str">
        <f>IF($A2150="","",IF($B2150&lt;&gt;"",$B2150,IF(COUNTIFS(原始经营数据!$D$3:$D$3001,$A2150,原始经营数据!$E$3:$E$3001,"",原始经营数据!$F$3:$F$3001,$C2150,原始经营数据!$H$3:$H$3001,$D2150,原始经营数据!$K$3:$K$3001,$G2150)&gt;1,"基金整体·来源"&amp;原始经营数据!$A2151,"基金整体")))</f>
        <v/>
      </c>
      <c r="J2150" t="str">
        <f t="shared" si="498"/>
        <v/>
      </c>
      <c r="K2150" t="str">
        <f t="shared" si="499"/>
        <v/>
      </c>
      <c r="L2150" t="str">
        <f t="shared" si="500"/>
        <v/>
      </c>
      <c r="M2150">
        <f>IF($A2150="",0,IF(COUNTIF($L$2:$L2150,$L2150)=1,1,0))</f>
        <v>0</v>
      </c>
      <c r="N2150" t="str">
        <f t="shared" si="501"/>
        <v/>
      </c>
      <c r="O2150" t="str">
        <f t="shared" si="502"/>
        <v/>
      </c>
      <c r="P2150">
        <f>IF($A2150="",0,IF(COUNTIF($O$2:$O2150,$O2150)=1,1,0))</f>
        <v>0</v>
      </c>
      <c r="Q2150" t="str">
        <f>IF(AND($P2150=1,$A2150=经营数据!$B$3,$J2150=经营数据!$BA$5),COUNTIFS($P$2:$P$3000,1,$A$2:$A$3000,$A2150,$J$2:$J$3000,$J2150,$N$2:$N$3000,"&lt;"&amp;$N2150)+1,"")</f>
        <v/>
      </c>
      <c r="R2150" t="str">
        <f t="shared" si="503"/>
        <v/>
      </c>
      <c r="S2150">
        <f>IF($A2150="",0,IF(COUNTIF($R$2:$R2150,$R2150)=1,1,0))</f>
        <v>0</v>
      </c>
      <c r="T2150" t="str">
        <f t="shared" si="504"/>
        <v/>
      </c>
      <c r="U2150" t="str">
        <f>IF($A2150="","",IF($A2150=经营数据!$B$3,COUNTIFS($S$2:$S$3000,1,$A$2:$A$3000,$A2150,$T$2:$T$3000,"&lt;"&amp;$T2150)+1,""))</f>
        <v/>
      </c>
      <c r="V2150" t="str">
        <f t="shared" si="505"/>
        <v/>
      </c>
      <c r="W2150" t="str">
        <f t="shared" si="506"/>
        <v/>
      </c>
      <c r="X2150" t="str">
        <f t="shared" si="507"/>
        <v/>
      </c>
      <c r="Y2150" t="str">
        <f t="shared" si="508"/>
        <v/>
      </c>
      <c r="Z2150">
        <f>IF($A2150="",0,IF(AND($M2150=1,$A2150=经营数据!$B$3,$J2150=经营数据!$BA$5,OR($I2150=经营数据!$BA$4,COUNTIF(经营数据!$AA$9:$AA$38,$I2150)&gt;0)),1,0))</f>
        <v>0</v>
      </c>
      <c r="AA2150" t="str">
        <f t="shared" si="509"/>
        <v/>
      </c>
      <c r="AB2150" t="str">
        <f t="shared" si="510"/>
        <v/>
      </c>
      <c r="AC2150">
        <f>IF($A2150="",0,IF(COUNTIF($A$2:$A2150,$A2150)=1,1,0))</f>
        <v>0</v>
      </c>
      <c r="AD2150">
        <f t="shared" si="511"/>
        <v>29</v>
      </c>
      <c r="AE2150" t="str">
        <f t="shared" si="512"/>
        <v/>
      </c>
    </row>
    <row r="2151" spans="1:31" x14ac:dyDescent="0.4">
      <c r="A2151" t="str">
        <f>IF(原始经营数据!$D2152="","",原始经营数据!$D2152)</f>
        <v/>
      </c>
      <c r="B2151" t="str">
        <f>IF(原始经营数据!$D2152="","",T(原始经营数据!$E2152))</f>
        <v/>
      </c>
      <c r="C2151" t="str">
        <f>IF(原始经营数据!$D2152="","",原始经营数据!$F2152)</f>
        <v/>
      </c>
      <c r="D2151" t="str">
        <f>IF(原始经营数据!$D2152="","",原始经营数据!$H2152)</f>
        <v/>
      </c>
      <c r="E2151" t="str">
        <f>IF(原始经营数据!$D2152="","",原始经营数据!$I2152)</f>
        <v/>
      </c>
      <c r="F2151" t="str">
        <f>IF(原始经营数据!$D2152="","",T(原始经营数据!$J2152))</f>
        <v/>
      </c>
      <c r="G2151" t="str">
        <f>IF(原始经营数据!$D2152="","",T(原始经营数据!$K2152))</f>
        <v/>
      </c>
      <c r="H2151" t="str">
        <f>IF(原始经营数据!$D2152="","",原始经营数据!$G2152)</f>
        <v/>
      </c>
      <c r="I2151" t="str">
        <f>IF($A2151="","",IF($B2151&lt;&gt;"",$B2151,IF(COUNTIFS(原始经营数据!$D$3:$D$3001,$A2151,原始经营数据!$E$3:$E$3001,"",原始经营数据!$F$3:$F$3001,$C2151,原始经营数据!$H$3:$H$3001,$D2151,原始经营数据!$K$3:$K$3001,$G2151)&gt;1,"基金整体·来源"&amp;原始经营数据!$A2152,"基金整体")))</f>
        <v/>
      </c>
      <c r="J2151" t="str">
        <f t="shared" si="498"/>
        <v/>
      </c>
      <c r="K2151" t="str">
        <f t="shared" si="499"/>
        <v/>
      </c>
      <c r="L2151" t="str">
        <f t="shared" si="500"/>
        <v/>
      </c>
      <c r="M2151">
        <f>IF($A2151="",0,IF(COUNTIF($L$2:$L2151,$L2151)=1,1,0))</f>
        <v>0</v>
      </c>
      <c r="N2151" t="str">
        <f t="shared" si="501"/>
        <v/>
      </c>
      <c r="O2151" t="str">
        <f t="shared" si="502"/>
        <v/>
      </c>
      <c r="P2151">
        <f>IF($A2151="",0,IF(COUNTIF($O$2:$O2151,$O2151)=1,1,0))</f>
        <v>0</v>
      </c>
      <c r="Q2151" t="str">
        <f>IF(AND($P2151=1,$A2151=经营数据!$B$3,$J2151=经营数据!$BA$5),COUNTIFS($P$2:$P$3000,1,$A$2:$A$3000,$A2151,$J$2:$J$3000,$J2151,$N$2:$N$3000,"&lt;"&amp;$N2151)+1,"")</f>
        <v/>
      </c>
      <c r="R2151" t="str">
        <f t="shared" si="503"/>
        <v/>
      </c>
      <c r="S2151">
        <f>IF($A2151="",0,IF(COUNTIF($R$2:$R2151,$R2151)=1,1,0))</f>
        <v>0</v>
      </c>
      <c r="T2151" t="str">
        <f t="shared" si="504"/>
        <v/>
      </c>
      <c r="U2151" t="str">
        <f>IF($A2151="","",IF($A2151=经营数据!$B$3,COUNTIFS($S$2:$S$3000,1,$A$2:$A$3000,$A2151,$T$2:$T$3000,"&lt;"&amp;$T2151)+1,""))</f>
        <v/>
      </c>
      <c r="V2151" t="str">
        <f t="shared" si="505"/>
        <v/>
      </c>
      <c r="W2151" t="str">
        <f t="shared" si="506"/>
        <v/>
      </c>
      <c r="X2151" t="str">
        <f t="shared" si="507"/>
        <v/>
      </c>
      <c r="Y2151" t="str">
        <f t="shared" si="508"/>
        <v/>
      </c>
      <c r="Z2151">
        <f>IF($A2151="",0,IF(AND($M2151=1,$A2151=经营数据!$B$3,$J2151=经营数据!$BA$5,OR($I2151=经营数据!$BA$4,COUNTIF(经营数据!$AA$9:$AA$38,$I2151)&gt;0)),1,0))</f>
        <v>0</v>
      </c>
      <c r="AA2151" t="str">
        <f t="shared" si="509"/>
        <v/>
      </c>
      <c r="AB2151" t="str">
        <f t="shared" si="510"/>
        <v/>
      </c>
      <c r="AC2151">
        <f>IF($A2151="",0,IF(COUNTIF($A$2:$A2151,$A2151)=1,1,0))</f>
        <v>0</v>
      </c>
      <c r="AD2151">
        <f t="shared" si="511"/>
        <v>29</v>
      </c>
      <c r="AE2151" t="str">
        <f t="shared" si="512"/>
        <v/>
      </c>
    </row>
    <row r="2152" spans="1:31" x14ac:dyDescent="0.4">
      <c r="A2152" t="str">
        <f>IF(原始经营数据!$D2153="","",原始经营数据!$D2153)</f>
        <v/>
      </c>
      <c r="B2152" t="str">
        <f>IF(原始经营数据!$D2153="","",T(原始经营数据!$E2153))</f>
        <v/>
      </c>
      <c r="C2152" t="str">
        <f>IF(原始经营数据!$D2153="","",原始经营数据!$F2153)</f>
        <v/>
      </c>
      <c r="D2152" t="str">
        <f>IF(原始经营数据!$D2153="","",原始经营数据!$H2153)</f>
        <v/>
      </c>
      <c r="E2152" t="str">
        <f>IF(原始经营数据!$D2153="","",原始经营数据!$I2153)</f>
        <v/>
      </c>
      <c r="F2152" t="str">
        <f>IF(原始经营数据!$D2153="","",T(原始经营数据!$J2153))</f>
        <v/>
      </c>
      <c r="G2152" t="str">
        <f>IF(原始经营数据!$D2153="","",T(原始经营数据!$K2153))</f>
        <v/>
      </c>
      <c r="H2152" t="str">
        <f>IF(原始经营数据!$D2153="","",原始经营数据!$G2153)</f>
        <v/>
      </c>
      <c r="I2152" t="str">
        <f>IF($A2152="","",IF($B2152&lt;&gt;"",$B2152,IF(COUNTIFS(原始经营数据!$D$3:$D$3001,$A2152,原始经营数据!$E$3:$E$3001,"",原始经营数据!$F$3:$F$3001,$C2152,原始经营数据!$H$3:$H$3001,$D2152,原始经营数据!$K$3:$K$3001,$G2152)&gt;1,"基金整体·来源"&amp;原始经营数据!$A2153,"基金整体")))</f>
        <v/>
      </c>
      <c r="J2152" t="str">
        <f t="shared" si="498"/>
        <v/>
      </c>
      <c r="K2152" t="str">
        <f t="shared" si="499"/>
        <v/>
      </c>
      <c r="L2152" t="str">
        <f t="shared" si="500"/>
        <v/>
      </c>
      <c r="M2152">
        <f>IF($A2152="",0,IF(COUNTIF($L$2:$L2152,$L2152)=1,1,0))</f>
        <v>0</v>
      </c>
      <c r="N2152" t="str">
        <f t="shared" si="501"/>
        <v/>
      </c>
      <c r="O2152" t="str">
        <f t="shared" si="502"/>
        <v/>
      </c>
      <c r="P2152">
        <f>IF($A2152="",0,IF(COUNTIF($O$2:$O2152,$O2152)=1,1,0))</f>
        <v>0</v>
      </c>
      <c r="Q2152" t="str">
        <f>IF(AND($P2152=1,$A2152=经营数据!$B$3,$J2152=经营数据!$BA$5),COUNTIFS($P$2:$P$3000,1,$A$2:$A$3000,$A2152,$J$2:$J$3000,$J2152,$N$2:$N$3000,"&lt;"&amp;$N2152)+1,"")</f>
        <v/>
      </c>
      <c r="R2152" t="str">
        <f t="shared" si="503"/>
        <v/>
      </c>
      <c r="S2152">
        <f>IF($A2152="",0,IF(COUNTIF($R$2:$R2152,$R2152)=1,1,0))</f>
        <v>0</v>
      </c>
      <c r="T2152" t="str">
        <f t="shared" si="504"/>
        <v/>
      </c>
      <c r="U2152" t="str">
        <f>IF($A2152="","",IF($A2152=经营数据!$B$3,COUNTIFS($S$2:$S$3000,1,$A$2:$A$3000,$A2152,$T$2:$T$3000,"&lt;"&amp;$T2152)+1,""))</f>
        <v/>
      </c>
      <c r="V2152" t="str">
        <f t="shared" si="505"/>
        <v/>
      </c>
      <c r="W2152" t="str">
        <f t="shared" si="506"/>
        <v/>
      </c>
      <c r="X2152" t="str">
        <f t="shared" si="507"/>
        <v/>
      </c>
      <c r="Y2152" t="str">
        <f t="shared" si="508"/>
        <v/>
      </c>
      <c r="Z2152">
        <f>IF($A2152="",0,IF(AND($M2152=1,$A2152=经营数据!$B$3,$J2152=经营数据!$BA$5,OR($I2152=经营数据!$BA$4,COUNTIF(经营数据!$AA$9:$AA$38,$I2152)&gt;0)),1,0))</f>
        <v>0</v>
      </c>
      <c r="AA2152" t="str">
        <f t="shared" si="509"/>
        <v/>
      </c>
      <c r="AB2152" t="str">
        <f t="shared" si="510"/>
        <v/>
      </c>
      <c r="AC2152">
        <f>IF($A2152="",0,IF(COUNTIF($A$2:$A2152,$A2152)=1,1,0))</f>
        <v>0</v>
      </c>
      <c r="AD2152">
        <f t="shared" si="511"/>
        <v>29</v>
      </c>
      <c r="AE2152" t="str">
        <f t="shared" si="512"/>
        <v/>
      </c>
    </row>
    <row r="2153" spans="1:31" x14ac:dyDescent="0.4">
      <c r="A2153" t="str">
        <f>IF(原始经营数据!$D2154="","",原始经营数据!$D2154)</f>
        <v/>
      </c>
      <c r="B2153" t="str">
        <f>IF(原始经营数据!$D2154="","",T(原始经营数据!$E2154))</f>
        <v/>
      </c>
      <c r="C2153" t="str">
        <f>IF(原始经营数据!$D2154="","",原始经营数据!$F2154)</f>
        <v/>
      </c>
      <c r="D2153" t="str">
        <f>IF(原始经营数据!$D2154="","",原始经营数据!$H2154)</f>
        <v/>
      </c>
      <c r="E2153" t="str">
        <f>IF(原始经营数据!$D2154="","",原始经营数据!$I2154)</f>
        <v/>
      </c>
      <c r="F2153" t="str">
        <f>IF(原始经营数据!$D2154="","",T(原始经营数据!$J2154))</f>
        <v/>
      </c>
      <c r="G2153" t="str">
        <f>IF(原始经营数据!$D2154="","",T(原始经营数据!$K2154))</f>
        <v/>
      </c>
      <c r="H2153" t="str">
        <f>IF(原始经营数据!$D2154="","",原始经营数据!$G2154)</f>
        <v/>
      </c>
      <c r="I2153" t="str">
        <f>IF($A2153="","",IF($B2153&lt;&gt;"",$B2153,IF(COUNTIFS(原始经营数据!$D$3:$D$3001,$A2153,原始经营数据!$E$3:$E$3001,"",原始经营数据!$F$3:$F$3001,$C2153,原始经营数据!$H$3:$H$3001,$D2153,原始经营数据!$K$3:$K$3001,$G2153)&gt;1,"基金整体·来源"&amp;原始经营数据!$A2154,"基金整体")))</f>
        <v/>
      </c>
      <c r="J2153" t="str">
        <f t="shared" si="498"/>
        <v/>
      </c>
      <c r="K2153" t="str">
        <f t="shared" si="499"/>
        <v/>
      </c>
      <c r="L2153" t="str">
        <f t="shared" si="500"/>
        <v/>
      </c>
      <c r="M2153">
        <f>IF($A2153="",0,IF(COUNTIF($L$2:$L2153,$L2153)=1,1,0))</f>
        <v>0</v>
      </c>
      <c r="N2153" t="str">
        <f t="shared" si="501"/>
        <v/>
      </c>
      <c r="O2153" t="str">
        <f t="shared" si="502"/>
        <v/>
      </c>
      <c r="P2153">
        <f>IF($A2153="",0,IF(COUNTIF($O$2:$O2153,$O2153)=1,1,0))</f>
        <v>0</v>
      </c>
      <c r="Q2153" t="str">
        <f>IF(AND($P2153=1,$A2153=经营数据!$B$3,$J2153=经营数据!$BA$5),COUNTIFS($P$2:$P$3000,1,$A$2:$A$3000,$A2153,$J$2:$J$3000,$J2153,$N$2:$N$3000,"&lt;"&amp;$N2153)+1,"")</f>
        <v/>
      </c>
      <c r="R2153" t="str">
        <f t="shared" si="503"/>
        <v/>
      </c>
      <c r="S2153">
        <f>IF($A2153="",0,IF(COUNTIF($R$2:$R2153,$R2153)=1,1,0))</f>
        <v>0</v>
      </c>
      <c r="T2153" t="str">
        <f t="shared" si="504"/>
        <v/>
      </c>
      <c r="U2153" t="str">
        <f>IF($A2153="","",IF($A2153=经营数据!$B$3,COUNTIFS($S$2:$S$3000,1,$A$2:$A$3000,$A2153,$T$2:$T$3000,"&lt;"&amp;$T2153)+1,""))</f>
        <v/>
      </c>
      <c r="V2153" t="str">
        <f t="shared" si="505"/>
        <v/>
      </c>
      <c r="W2153" t="str">
        <f t="shared" si="506"/>
        <v/>
      </c>
      <c r="X2153" t="str">
        <f t="shared" si="507"/>
        <v/>
      </c>
      <c r="Y2153" t="str">
        <f t="shared" si="508"/>
        <v/>
      </c>
      <c r="Z2153">
        <f>IF($A2153="",0,IF(AND($M2153=1,$A2153=经营数据!$B$3,$J2153=经营数据!$BA$5,OR($I2153=经营数据!$BA$4,COUNTIF(经营数据!$AA$9:$AA$38,$I2153)&gt;0)),1,0))</f>
        <v>0</v>
      </c>
      <c r="AA2153" t="str">
        <f t="shared" si="509"/>
        <v/>
      </c>
      <c r="AB2153" t="str">
        <f t="shared" si="510"/>
        <v/>
      </c>
      <c r="AC2153">
        <f>IF($A2153="",0,IF(COUNTIF($A$2:$A2153,$A2153)=1,1,0))</f>
        <v>0</v>
      </c>
      <c r="AD2153">
        <f t="shared" si="511"/>
        <v>29</v>
      </c>
      <c r="AE2153" t="str">
        <f t="shared" si="512"/>
        <v/>
      </c>
    </row>
    <row r="2154" spans="1:31" x14ac:dyDescent="0.4">
      <c r="A2154" t="str">
        <f>IF(原始经营数据!$D2155="","",原始经营数据!$D2155)</f>
        <v/>
      </c>
      <c r="B2154" t="str">
        <f>IF(原始经营数据!$D2155="","",T(原始经营数据!$E2155))</f>
        <v/>
      </c>
      <c r="C2154" t="str">
        <f>IF(原始经营数据!$D2155="","",原始经营数据!$F2155)</f>
        <v/>
      </c>
      <c r="D2154" t="str">
        <f>IF(原始经营数据!$D2155="","",原始经营数据!$H2155)</f>
        <v/>
      </c>
      <c r="E2154" t="str">
        <f>IF(原始经营数据!$D2155="","",原始经营数据!$I2155)</f>
        <v/>
      </c>
      <c r="F2154" t="str">
        <f>IF(原始经营数据!$D2155="","",T(原始经营数据!$J2155))</f>
        <v/>
      </c>
      <c r="G2154" t="str">
        <f>IF(原始经营数据!$D2155="","",T(原始经营数据!$K2155))</f>
        <v/>
      </c>
      <c r="H2154" t="str">
        <f>IF(原始经营数据!$D2155="","",原始经营数据!$G2155)</f>
        <v/>
      </c>
      <c r="I2154" t="str">
        <f>IF($A2154="","",IF($B2154&lt;&gt;"",$B2154,IF(COUNTIFS(原始经营数据!$D$3:$D$3001,$A2154,原始经营数据!$E$3:$E$3001,"",原始经营数据!$F$3:$F$3001,$C2154,原始经营数据!$H$3:$H$3001,$D2154,原始经营数据!$K$3:$K$3001,$G2154)&gt;1,"基金整体·来源"&amp;原始经营数据!$A2155,"基金整体")))</f>
        <v/>
      </c>
      <c r="J2154" t="str">
        <f t="shared" si="498"/>
        <v/>
      </c>
      <c r="K2154" t="str">
        <f t="shared" si="499"/>
        <v/>
      </c>
      <c r="L2154" t="str">
        <f t="shared" si="500"/>
        <v/>
      </c>
      <c r="M2154">
        <f>IF($A2154="",0,IF(COUNTIF($L$2:$L2154,$L2154)=1,1,0))</f>
        <v>0</v>
      </c>
      <c r="N2154" t="str">
        <f t="shared" si="501"/>
        <v/>
      </c>
      <c r="O2154" t="str">
        <f t="shared" si="502"/>
        <v/>
      </c>
      <c r="P2154">
        <f>IF($A2154="",0,IF(COUNTIF($O$2:$O2154,$O2154)=1,1,0))</f>
        <v>0</v>
      </c>
      <c r="Q2154" t="str">
        <f>IF(AND($P2154=1,$A2154=经营数据!$B$3,$J2154=经营数据!$BA$5),COUNTIFS($P$2:$P$3000,1,$A$2:$A$3000,$A2154,$J$2:$J$3000,$J2154,$N$2:$N$3000,"&lt;"&amp;$N2154)+1,"")</f>
        <v/>
      </c>
      <c r="R2154" t="str">
        <f t="shared" si="503"/>
        <v/>
      </c>
      <c r="S2154">
        <f>IF($A2154="",0,IF(COUNTIF($R$2:$R2154,$R2154)=1,1,0))</f>
        <v>0</v>
      </c>
      <c r="T2154" t="str">
        <f t="shared" si="504"/>
        <v/>
      </c>
      <c r="U2154" t="str">
        <f>IF($A2154="","",IF($A2154=经营数据!$B$3,COUNTIFS($S$2:$S$3000,1,$A$2:$A$3000,$A2154,$T$2:$T$3000,"&lt;"&amp;$T2154)+1,""))</f>
        <v/>
      </c>
      <c r="V2154" t="str">
        <f t="shared" si="505"/>
        <v/>
      </c>
      <c r="W2154" t="str">
        <f t="shared" si="506"/>
        <v/>
      </c>
      <c r="X2154" t="str">
        <f t="shared" si="507"/>
        <v/>
      </c>
      <c r="Y2154" t="str">
        <f t="shared" si="508"/>
        <v/>
      </c>
      <c r="Z2154">
        <f>IF($A2154="",0,IF(AND($M2154=1,$A2154=经营数据!$B$3,$J2154=经营数据!$BA$5,OR($I2154=经营数据!$BA$4,COUNTIF(经营数据!$AA$9:$AA$38,$I2154)&gt;0)),1,0))</f>
        <v>0</v>
      </c>
      <c r="AA2154" t="str">
        <f t="shared" si="509"/>
        <v/>
      </c>
      <c r="AB2154" t="str">
        <f t="shared" si="510"/>
        <v/>
      </c>
      <c r="AC2154">
        <f>IF($A2154="",0,IF(COUNTIF($A$2:$A2154,$A2154)=1,1,0))</f>
        <v>0</v>
      </c>
      <c r="AD2154">
        <f t="shared" si="511"/>
        <v>29</v>
      </c>
      <c r="AE2154" t="str">
        <f t="shared" si="512"/>
        <v/>
      </c>
    </row>
    <row r="2155" spans="1:31" x14ac:dyDescent="0.4">
      <c r="A2155" t="str">
        <f>IF(原始经营数据!$D2156="","",原始经营数据!$D2156)</f>
        <v/>
      </c>
      <c r="B2155" t="str">
        <f>IF(原始经营数据!$D2156="","",T(原始经营数据!$E2156))</f>
        <v/>
      </c>
      <c r="C2155" t="str">
        <f>IF(原始经营数据!$D2156="","",原始经营数据!$F2156)</f>
        <v/>
      </c>
      <c r="D2155" t="str">
        <f>IF(原始经营数据!$D2156="","",原始经营数据!$H2156)</f>
        <v/>
      </c>
      <c r="E2155" t="str">
        <f>IF(原始经营数据!$D2156="","",原始经营数据!$I2156)</f>
        <v/>
      </c>
      <c r="F2155" t="str">
        <f>IF(原始经营数据!$D2156="","",T(原始经营数据!$J2156))</f>
        <v/>
      </c>
      <c r="G2155" t="str">
        <f>IF(原始经营数据!$D2156="","",T(原始经营数据!$K2156))</f>
        <v/>
      </c>
      <c r="H2155" t="str">
        <f>IF(原始经营数据!$D2156="","",原始经营数据!$G2156)</f>
        <v/>
      </c>
      <c r="I2155" t="str">
        <f>IF($A2155="","",IF($B2155&lt;&gt;"",$B2155,IF(COUNTIFS(原始经营数据!$D$3:$D$3001,$A2155,原始经营数据!$E$3:$E$3001,"",原始经营数据!$F$3:$F$3001,$C2155,原始经营数据!$H$3:$H$3001,$D2155,原始经营数据!$K$3:$K$3001,$G2155)&gt;1,"基金整体·来源"&amp;原始经营数据!$A2156,"基金整体")))</f>
        <v/>
      </c>
      <c r="J2155" t="str">
        <f t="shared" si="498"/>
        <v/>
      </c>
      <c r="K2155" t="str">
        <f t="shared" si="499"/>
        <v/>
      </c>
      <c r="L2155" t="str">
        <f t="shared" si="500"/>
        <v/>
      </c>
      <c r="M2155">
        <f>IF($A2155="",0,IF(COUNTIF($L$2:$L2155,$L2155)=1,1,0))</f>
        <v>0</v>
      </c>
      <c r="N2155" t="str">
        <f t="shared" si="501"/>
        <v/>
      </c>
      <c r="O2155" t="str">
        <f t="shared" si="502"/>
        <v/>
      </c>
      <c r="P2155">
        <f>IF($A2155="",0,IF(COUNTIF($O$2:$O2155,$O2155)=1,1,0))</f>
        <v>0</v>
      </c>
      <c r="Q2155" t="str">
        <f>IF(AND($P2155=1,$A2155=经营数据!$B$3,$J2155=经营数据!$BA$5),COUNTIFS($P$2:$P$3000,1,$A$2:$A$3000,$A2155,$J$2:$J$3000,$J2155,$N$2:$N$3000,"&lt;"&amp;$N2155)+1,"")</f>
        <v/>
      </c>
      <c r="R2155" t="str">
        <f t="shared" si="503"/>
        <v/>
      </c>
      <c r="S2155">
        <f>IF($A2155="",0,IF(COUNTIF($R$2:$R2155,$R2155)=1,1,0))</f>
        <v>0</v>
      </c>
      <c r="T2155" t="str">
        <f t="shared" si="504"/>
        <v/>
      </c>
      <c r="U2155" t="str">
        <f>IF($A2155="","",IF($A2155=经营数据!$B$3,COUNTIFS($S$2:$S$3000,1,$A$2:$A$3000,$A2155,$T$2:$T$3000,"&lt;"&amp;$T2155)+1,""))</f>
        <v/>
      </c>
      <c r="V2155" t="str">
        <f t="shared" si="505"/>
        <v/>
      </c>
      <c r="W2155" t="str">
        <f t="shared" si="506"/>
        <v/>
      </c>
      <c r="X2155" t="str">
        <f t="shared" si="507"/>
        <v/>
      </c>
      <c r="Y2155" t="str">
        <f t="shared" si="508"/>
        <v/>
      </c>
      <c r="Z2155">
        <f>IF($A2155="",0,IF(AND($M2155=1,$A2155=经营数据!$B$3,$J2155=经营数据!$BA$5,OR($I2155=经营数据!$BA$4,COUNTIF(经营数据!$AA$9:$AA$38,$I2155)&gt;0)),1,0))</f>
        <v>0</v>
      </c>
      <c r="AA2155" t="str">
        <f t="shared" si="509"/>
        <v/>
      </c>
      <c r="AB2155" t="str">
        <f t="shared" si="510"/>
        <v/>
      </c>
      <c r="AC2155">
        <f>IF($A2155="",0,IF(COUNTIF($A$2:$A2155,$A2155)=1,1,0))</f>
        <v>0</v>
      </c>
      <c r="AD2155">
        <f t="shared" si="511"/>
        <v>29</v>
      </c>
      <c r="AE2155" t="str">
        <f t="shared" si="512"/>
        <v/>
      </c>
    </row>
    <row r="2156" spans="1:31" x14ac:dyDescent="0.4">
      <c r="A2156" t="str">
        <f>IF(原始经营数据!$D2157="","",原始经营数据!$D2157)</f>
        <v/>
      </c>
      <c r="B2156" t="str">
        <f>IF(原始经营数据!$D2157="","",T(原始经营数据!$E2157))</f>
        <v/>
      </c>
      <c r="C2156" t="str">
        <f>IF(原始经营数据!$D2157="","",原始经营数据!$F2157)</f>
        <v/>
      </c>
      <c r="D2156" t="str">
        <f>IF(原始经营数据!$D2157="","",原始经营数据!$H2157)</f>
        <v/>
      </c>
      <c r="E2156" t="str">
        <f>IF(原始经营数据!$D2157="","",原始经营数据!$I2157)</f>
        <v/>
      </c>
      <c r="F2156" t="str">
        <f>IF(原始经营数据!$D2157="","",T(原始经营数据!$J2157))</f>
        <v/>
      </c>
      <c r="G2156" t="str">
        <f>IF(原始经营数据!$D2157="","",T(原始经营数据!$K2157))</f>
        <v/>
      </c>
      <c r="H2156" t="str">
        <f>IF(原始经营数据!$D2157="","",原始经营数据!$G2157)</f>
        <v/>
      </c>
      <c r="I2156" t="str">
        <f>IF($A2156="","",IF($B2156&lt;&gt;"",$B2156,IF(COUNTIFS(原始经营数据!$D$3:$D$3001,$A2156,原始经营数据!$E$3:$E$3001,"",原始经营数据!$F$3:$F$3001,$C2156,原始经营数据!$H$3:$H$3001,$D2156,原始经营数据!$K$3:$K$3001,$G2156)&gt;1,"基金整体·来源"&amp;原始经营数据!$A2157,"基金整体")))</f>
        <v/>
      </c>
      <c r="J2156" t="str">
        <f t="shared" si="498"/>
        <v/>
      </c>
      <c r="K2156" t="str">
        <f t="shared" si="499"/>
        <v/>
      </c>
      <c r="L2156" t="str">
        <f t="shared" si="500"/>
        <v/>
      </c>
      <c r="M2156">
        <f>IF($A2156="",0,IF(COUNTIF($L$2:$L2156,$L2156)=1,1,0))</f>
        <v>0</v>
      </c>
      <c r="N2156" t="str">
        <f t="shared" si="501"/>
        <v/>
      </c>
      <c r="O2156" t="str">
        <f t="shared" si="502"/>
        <v/>
      </c>
      <c r="P2156">
        <f>IF($A2156="",0,IF(COUNTIF($O$2:$O2156,$O2156)=1,1,0))</f>
        <v>0</v>
      </c>
      <c r="Q2156" t="str">
        <f>IF(AND($P2156=1,$A2156=经营数据!$B$3,$J2156=经营数据!$BA$5),COUNTIFS($P$2:$P$3000,1,$A$2:$A$3000,$A2156,$J$2:$J$3000,$J2156,$N$2:$N$3000,"&lt;"&amp;$N2156)+1,"")</f>
        <v/>
      </c>
      <c r="R2156" t="str">
        <f t="shared" si="503"/>
        <v/>
      </c>
      <c r="S2156">
        <f>IF($A2156="",0,IF(COUNTIF($R$2:$R2156,$R2156)=1,1,0))</f>
        <v>0</v>
      </c>
      <c r="T2156" t="str">
        <f t="shared" si="504"/>
        <v/>
      </c>
      <c r="U2156" t="str">
        <f>IF($A2156="","",IF($A2156=经营数据!$B$3,COUNTIFS($S$2:$S$3000,1,$A$2:$A$3000,$A2156,$T$2:$T$3000,"&lt;"&amp;$T2156)+1,""))</f>
        <v/>
      </c>
      <c r="V2156" t="str">
        <f t="shared" si="505"/>
        <v/>
      </c>
      <c r="W2156" t="str">
        <f t="shared" si="506"/>
        <v/>
      </c>
      <c r="X2156" t="str">
        <f t="shared" si="507"/>
        <v/>
      </c>
      <c r="Y2156" t="str">
        <f t="shared" si="508"/>
        <v/>
      </c>
      <c r="Z2156">
        <f>IF($A2156="",0,IF(AND($M2156=1,$A2156=经营数据!$B$3,$J2156=经营数据!$BA$5,OR($I2156=经营数据!$BA$4,COUNTIF(经营数据!$AA$9:$AA$38,$I2156)&gt;0)),1,0))</f>
        <v>0</v>
      </c>
      <c r="AA2156" t="str">
        <f t="shared" si="509"/>
        <v/>
      </c>
      <c r="AB2156" t="str">
        <f t="shared" si="510"/>
        <v/>
      </c>
      <c r="AC2156">
        <f>IF($A2156="",0,IF(COUNTIF($A$2:$A2156,$A2156)=1,1,0))</f>
        <v>0</v>
      </c>
      <c r="AD2156">
        <f t="shared" si="511"/>
        <v>29</v>
      </c>
      <c r="AE2156" t="str">
        <f t="shared" si="512"/>
        <v/>
      </c>
    </row>
    <row r="2157" spans="1:31" x14ac:dyDescent="0.4">
      <c r="A2157" t="str">
        <f>IF(原始经营数据!$D2158="","",原始经营数据!$D2158)</f>
        <v/>
      </c>
      <c r="B2157" t="str">
        <f>IF(原始经营数据!$D2158="","",T(原始经营数据!$E2158))</f>
        <v/>
      </c>
      <c r="C2157" t="str">
        <f>IF(原始经营数据!$D2158="","",原始经营数据!$F2158)</f>
        <v/>
      </c>
      <c r="D2157" t="str">
        <f>IF(原始经营数据!$D2158="","",原始经营数据!$H2158)</f>
        <v/>
      </c>
      <c r="E2157" t="str">
        <f>IF(原始经营数据!$D2158="","",原始经营数据!$I2158)</f>
        <v/>
      </c>
      <c r="F2157" t="str">
        <f>IF(原始经营数据!$D2158="","",T(原始经营数据!$J2158))</f>
        <v/>
      </c>
      <c r="G2157" t="str">
        <f>IF(原始经营数据!$D2158="","",T(原始经营数据!$K2158))</f>
        <v/>
      </c>
      <c r="H2157" t="str">
        <f>IF(原始经营数据!$D2158="","",原始经营数据!$G2158)</f>
        <v/>
      </c>
      <c r="I2157" t="str">
        <f>IF($A2157="","",IF($B2157&lt;&gt;"",$B2157,IF(COUNTIFS(原始经营数据!$D$3:$D$3001,$A2157,原始经营数据!$E$3:$E$3001,"",原始经营数据!$F$3:$F$3001,$C2157,原始经营数据!$H$3:$H$3001,$D2157,原始经营数据!$K$3:$K$3001,$G2157)&gt;1,"基金整体·来源"&amp;原始经营数据!$A2158,"基金整体")))</f>
        <v/>
      </c>
      <c r="J2157" t="str">
        <f t="shared" si="498"/>
        <v/>
      </c>
      <c r="K2157" t="str">
        <f t="shared" si="499"/>
        <v/>
      </c>
      <c r="L2157" t="str">
        <f t="shared" si="500"/>
        <v/>
      </c>
      <c r="M2157">
        <f>IF($A2157="",0,IF(COUNTIF($L$2:$L2157,$L2157)=1,1,0))</f>
        <v>0</v>
      </c>
      <c r="N2157" t="str">
        <f t="shared" si="501"/>
        <v/>
      </c>
      <c r="O2157" t="str">
        <f t="shared" si="502"/>
        <v/>
      </c>
      <c r="P2157">
        <f>IF($A2157="",0,IF(COUNTIF($O$2:$O2157,$O2157)=1,1,0))</f>
        <v>0</v>
      </c>
      <c r="Q2157" t="str">
        <f>IF(AND($P2157=1,$A2157=经营数据!$B$3,$J2157=经营数据!$BA$5),COUNTIFS($P$2:$P$3000,1,$A$2:$A$3000,$A2157,$J$2:$J$3000,$J2157,$N$2:$N$3000,"&lt;"&amp;$N2157)+1,"")</f>
        <v/>
      </c>
      <c r="R2157" t="str">
        <f t="shared" si="503"/>
        <v/>
      </c>
      <c r="S2157">
        <f>IF($A2157="",0,IF(COUNTIF($R$2:$R2157,$R2157)=1,1,0))</f>
        <v>0</v>
      </c>
      <c r="T2157" t="str">
        <f t="shared" si="504"/>
        <v/>
      </c>
      <c r="U2157" t="str">
        <f>IF($A2157="","",IF($A2157=经营数据!$B$3,COUNTIFS($S$2:$S$3000,1,$A$2:$A$3000,$A2157,$T$2:$T$3000,"&lt;"&amp;$T2157)+1,""))</f>
        <v/>
      </c>
      <c r="V2157" t="str">
        <f t="shared" si="505"/>
        <v/>
      </c>
      <c r="W2157" t="str">
        <f t="shared" si="506"/>
        <v/>
      </c>
      <c r="X2157" t="str">
        <f t="shared" si="507"/>
        <v/>
      </c>
      <c r="Y2157" t="str">
        <f t="shared" si="508"/>
        <v/>
      </c>
      <c r="Z2157">
        <f>IF($A2157="",0,IF(AND($M2157=1,$A2157=经营数据!$B$3,$J2157=经营数据!$BA$5,OR($I2157=经营数据!$BA$4,COUNTIF(经营数据!$AA$9:$AA$38,$I2157)&gt;0)),1,0))</f>
        <v>0</v>
      </c>
      <c r="AA2157" t="str">
        <f t="shared" si="509"/>
        <v/>
      </c>
      <c r="AB2157" t="str">
        <f t="shared" si="510"/>
        <v/>
      </c>
      <c r="AC2157">
        <f>IF($A2157="",0,IF(COUNTIF($A$2:$A2157,$A2157)=1,1,0))</f>
        <v>0</v>
      </c>
      <c r="AD2157">
        <f t="shared" si="511"/>
        <v>29</v>
      </c>
      <c r="AE2157" t="str">
        <f t="shared" si="512"/>
        <v/>
      </c>
    </row>
    <row r="2158" spans="1:31" x14ac:dyDescent="0.4">
      <c r="A2158" t="str">
        <f>IF(原始经营数据!$D2159="","",原始经营数据!$D2159)</f>
        <v/>
      </c>
      <c r="B2158" t="str">
        <f>IF(原始经营数据!$D2159="","",T(原始经营数据!$E2159))</f>
        <v/>
      </c>
      <c r="C2158" t="str">
        <f>IF(原始经营数据!$D2159="","",原始经营数据!$F2159)</f>
        <v/>
      </c>
      <c r="D2158" t="str">
        <f>IF(原始经营数据!$D2159="","",原始经营数据!$H2159)</f>
        <v/>
      </c>
      <c r="E2158" t="str">
        <f>IF(原始经营数据!$D2159="","",原始经营数据!$I2159)</f>
        <v/>
      </c>
      <c r="F2158" t="str">
        <f>IF(原始经营数据!$D2159="","",T(原始经营数据!$J2159))</f>
        <v/>
      </c>
      <c r="G2158" t="str">
        <f>IF(原始经营数据!$D2159="","",T(原始经营数据!$K2159))</f>
        <v/>
      </c>
      <c r="H2158" t="str">
        <f>IF(原始经营数据!$D2159="","",原始经营数据!$G2159)</f>
        <v/>
      </c>
      <c r="I2158" t="str">
        <f>IF($A2158="","",IF($B2158&lt;&gt;"",$B2158,IF(COUNTIFS(原始经营数据!$D$3:$D$3001,$A2158,原始经营数据!$E$3:$E$3001,"",原始经营数据!$F$3:$F$3001,$C2158,原始经营数据!$H$3:$H$3001,$D2158,原始经营数据!$K$3:$K$3001,$G2158)&gt;1,"基金整体·来源"&amp;原始经营数据!$A2159,"基金整体")))</f>
        <v/>
      </c>
      <c r="J2158" t="str">
        <f t="shared" si="498"/>
        <v/>
      </c>
      <c r="K2158" t="str">
        <f t="shared" si="499"/>
        <v/>
      </c>
      <c r="L2158" t="str">
        <f t="shared" si="500"/>
        <v/>
      </c>
      <c r="M2158">
        <f>IF($A2158="",0,IF(COUNTIF($L$2:$L2158,$L2158)=1,1,0))</f>
        <v>0</v>
      </c>
      <c r="N2158" t="str">
        <f t="shared" si="501"/>
        <v/>
      </c>
      <c r="O2158" t="str">
        <f t="shared" si="502"/>
        <v/>
      </c>
      <c r="P2158">
        <f>IF($A2158="",0,IF(COUNTIF($O$2:$O2158,$O2158)=1,1,0))</f>
        <v>0</v>
      </c>
      <c r="Q2158" t="str">
        <f>IF(AND($P2158=1,$A2158=经营数据!$B$3,$J2158=经营数据!$BA$5),COUNTIFS($P$2:$P$3000,1,$A$2:$A$3000,$A2158,$J$2:$J$3000,$J2158,$N$2:$N$3000,"&lt;"&amp;$N2158)+1,"")</f>
        <v/>
      </c>
      <c r="R2158" t="str">
        <f t="shared" si="503"/>
        <v/>
      </c>
      <c r="S2158">
        <f>IF($A2158="",0,IF(COUNTIF($R$2:$R2158,$R2158)=1,1,0))</f>
        <v>0</v>
      </c>
      <c r="T2158" t="str">
        <f t="shared" si="504"/>
        <v/>
      </c>
      <c r="U2158" t="str">
        <f>IF($A2158="","",IF($A2158=经营数据!$B$3,COUNTIFS($S$2:$S$3000,1,$A$2:$A$3000,$A2158,$T$2:$T$3000,"&lt;"&amp;$T2158)+1,""))</f>
        <v/>
      </c>
      <c r="V2158" t="str">
        <f t="shared" si="505"/>
        <v/>
      </c>
      <c r="W2158" t="str">
        <f t="shared" si="506"/>
        <v/>
      </c>
      <c r="X2158" t="str">
        <f t="shared" si="507"/>
        <v/>
      </c>
      <c r="Y2158" t="str">
        <f t="shared" si="508"/>
        <v/>
      </c>
      <c r="Z2158">
        <f>IF($A2158="",0,IF(AND($M2158=1,$A2158=经营数据!$B$3,$J2158=经营数据!$BA$5,OR($I2158=经营数据!$BA$4,COUNTIF(经营数据!$AA$9:$AA$38,$I2158)&gt;0)),1,0))</f>
        <v>0</v>
      </c>
      <c r="AA2158" t="str">
        <f t="shared" si="509"/>
        <v/>
      </c>
      <c r="AB2158" t="str">
        <f t="shared" si="510"/>
        <v/>
      </c>
      <c r="AC2158">
        <f>IF($A2158="",0,IF(COUNTIF($A$2:$A2158,$A2158)=1,1,0))</f>
        <v>0</v>
      </c>
      <c r="AD2158">
        <f t="shared" si="511"/>
        <v>29</v>
      </c>
      <c r="AE2158" t="str">
        <f t="shared" si="512"/>
        <v/>
      </c>
    </row>
    <row r="2159" spans="1:31" x14ac:dyDescent="0.4">
      <c r="A2159" t="str">
        <f>IF(原始经营数据!$D2160="","",原始经营数据!$D2160)</f>
        <v/>
      </c>
      <c r="B2159" t="str">
        <f>IF(原始经营数据!$D2160="","",T(原始经营数据!$E2160))</f>
        <v/>
      </c>
      <c r="C2159" t="str">
        <f>IF(原始经营数据!$D2160="","",原始经营数据!$F2160)</f>
        <v/>
      </c>
      <c r="D2159" t="str">
        <f>IF(原始经营数据!$D2160="","",原始经营数据!$H2160)</f>
        <v/>
      </c>
      <c r="E2159" t="str">
        <f>IF(原始经营数据!$D2160="","",原始经营数据!$I2160)</f>
        <v/>
      </c>
      <c r="F2159" t="str">
        <f>IF(原始经营数据!$D2160="","",T(原始经营数据!$J2160))</f>
        <v/>
      </c>
      <c r="G2159" t="str">
        <f>IF(原始经营数据!$D2160="","",T(原始经营数据!$K2160))</f>
        <v/>
      </c>
      <c r="H2159" t="str">
        <f>IF(原始经营数据!$D2160="","",原始经营数据!$G2160)</f>
        <v/>
      </c>
      <c r="I2159" t="str">
        <f>IF($A2159="","",IF($B2159&lt;&gt;"",$B2159,IF(COUNTIFS(原始经营数据!$D$3:$D$3001,$A2159,原始经营数据!$E$3:$E$3001,"",原始经营数据!$F$3:$F$3001,$C2159,原始经营数据!$H$3:$H$3001,$D2159,原始经营数据!$K$3:$K$3001,$G2159)&gt;1,"基金整体·来源"&amp;原始经营数据!$A2160,"基金整体")))</f>
        <v/>
      </c>
      <c r="J2159" t="str">
        <f t="shared" si="498"/>
        <v/>
      </c>
      <c r="K2159" t="str">
        <f t="shared" si="499"/>
        <v/>
      </c>
      <c r="L2159" t="str">
        <f t="shared" si="500"/>
        <v/>
      </c>
      <c r="M2159">
        <f>IF($A2159="",0,IF(COUNTIF($L$2:$L2159,$L2159)=1,1,0))</f>
        <v>0</v>
      </c>
      <c r="N2159" t="str">
        <f t="shared" si="501"/>
        <v/>
      </c>
      <c r="O2159" t="str">
        <f t="shared" si="502"/>
        <v/>
      </c>
      <c r="P2159">
        <f>IF($A2159="",0,IF(COUNTIF($O$2:$O2159,$O2159)=1,1,0))</f>
        <v>0</v>
      </c>
      <c r="Q2159" t="str">
        <f>IF(AND($P2159=1,$A2159=经营数据!$B$3,$J2159=经营数据!$BA$5),COUNTIFS($P$2:$P$3000,1,$A$2:$A$3000,$A2159,$J$2:$J$3000,$J2159,$N$2:$N$3000,"&lt;"&amp;$N2159)+1,"")</f>
        <v/>
      </c>
      <c r="R2159" t="str">
        <f t="shared" si="503"/>
        <v/>
      </c>
      <c r="S2159">
        <f>IF($A2159="",0,IF(COUNTIF($R$2:$R2159,$R2159)=1,1,0))</f>
        <v>0</v>
      </c>
      <c r="T2159" t="str">
        <f t="shared" si="504"/>
        <v/>
      </c>
      <c r="U2159" t="str">
        <f>IF($A2159="","",IF($A2159=经营数据!$B$3,COUNTIFS($S$2:$S$3000,1,$A$2:$A$3000,$A2159,$T$2:$T$3000,"&lt;"&amp;$T2159)+1,""))</f>
        <v/>
      </c>
      <c r="V2159" t="str">
        <f t="shared" si="505"/>
        <v/>
      </c>
      <c r="W2159" t="str">
        <f t="shared" si="506"/>
        <v/>
      </c>
      <c r="X2159" t="str">
        <f t="shared" si="507"/>
        <v/>
      </c>
      <c r="Y2159" t="str">
        <f t="shared" si="508"/>
        <v/>
      </c>
      <c r="Z2159">
        <f>IF($A2159="",0,IF(AND($M2159=1,$A2159=经营数据!$B$3,$J2159=经营数据!$BA$5,OR($I2159=经营数据!$BA$4,COUNTIF(经营数据!$AA$9:$AA$38,$I2159)&gt;0)),1,0))</f>
        <v>0</v>
      </c>
      <c r="AA2159" t="str">
        <f t="shared" si="509"/>
        <v/>
      </c>
      <c r="AB2159" t="str">
        <f t="shared" si="510"/>
        <v/>
      </c>
      <c r="AC2159">
        <f>IF($A2159="",0,IF(COUNTIF($A$2:$A2159,$A2159)=1,1,0))</f>
        <v>0</v>
      </c>
      <c r="AD2159">
        <f t="shared" si="511"/>
        <v>29</v>
      </c>
      <c r="AE2159" t="str">
        <f t="shared" si="512"/>
        <v/>
      </c>
    </row>
    <row r="2160" spans="1:31" x14ac:dyDescent="0.4">
      <c r="A2160" t="str">
        <f>IF(原始经营数据!$D2161="","",原始经营数据!$D2161)</f>
        <v/>
      </c>
      <c r="B2160" t="str">
        <f>IF(原始经营数据!$D2161="","",T(原始经营数据!$E2161))</f>
        <v/>
      </c>
      <c r="C2160" t="str">
        <f>IF(原始经营数据!$D2161="","",原始经营数据!$F2161)</f>
        <v/>
      </c>
      <c r="D2160" t="str">
        <f>IF(原始经营数据!$D2161="","",原始经营数据!$H2161)</f>
        <v/>
      </c>
      <c r="E2160" t="str">
        <f>IF(原始经营数据!$D2161="","",原始经营数据!$I2161)</f>
        <v/>
      </c>
      <c r="F2160" t="str">
        <f>IF(原始经营数据!$D2161="","",T(原始经营数据!$J2161))</f>
        <v/>
      </c>
      <c r="G2160" t="str">
        <f>IF(原始经营数据!$D2161="","",T(原始经营数据!$K2161))</f>
        <v/>
      </c>
      <c r="H2160" t="str">
        <f>IF(原始经营数据!$D2161="","",原始经营数据!$G2161)</f>
        <v/>
      </c>
      <c r="I2160" t="str">
        <f>IF($A2160="","",IF($B2160&lt;&gt;"",$B2160,IF(COUNTIFS(原始经营数据!$D$3:$D$3001,$A2160,原始经营数据!$E$3:$E$3001,"",原始经营数据!$F$3:$F$3001,$C2160,原始经营数据!$H$3:$H$3001,$D2160,原始经营数据!$K$3:$K$3001,$G2160)&gt;1,"基金整体·来源"&amp;原始经营数据!$A2161,"基金整体")))</f>
        <v/>
      </c>
      <c r="J2160" t="str">
        <f t="shared" si="498"/>
        <v/>
      </c>
      <c r="K2160" t="str">
        <f t="shared" si="499"/>
        <v/>
      </c>
      <c r="L2160" t="str">
        <f t="shared" si="500"/>
        <v/>
      </c>
      <c r="M2160">
        <f>IF($A2160="",0,IF(COUNTIF($L$2:$L2160,$L2160)=1,1,0))</f>
        <v>0</v>
      </c>
      <c r="N2160" t="str">
        <f t="shared" si="501"/>
        <v/>
      </c>
      <c r="O2160" t="str">
        <f t="shared" si="502"/>
        <v/>
      </c>
      <c r="P2160">
        <f>IF($A2160="",0,IF(COUNTIF($O$2:$O2160,$O2160)=1,1,0))</f>
        <v>0</v>
      </c>
      <c r="Q2160" t="str">
        <f>IF(AND($P2160=1,$A2160=经营数据!$B$3,$J2160=经营数据!$BA$5),COUNTIFS($P$2:$P$3000,1,$A$2:$A$3000,$A2160,$J$2:$J$3000,$J2160,$N$2:$N$3000,"&lt;"&amp;$N2160)+1,"")</f>
        <v/>
      </c>
      <c r="R2160" t="str">
        <f t="shared" si="503"/>
        <v/>
      </c>
      <c r="S2160">
        <f>IF($A2160="",0,IF(COUNTIF($R$2:$R2160,$R2160)=1,1,0))</f>
        <v>0</v>
      </c>
      <c r="T2160" t="str">
        <f t="shared" si="504"/>
        <v/>
      </c>
      <c r="U2160" t="str">
        <f>IF($A2160="","",IF($A2160=经营数据!$B$3,COUNTIFS($S$2:$S$3000,1,$A$2:$A$3000,$A2160,$T$2:$T$3000,"&lt;"&amp;$T2160)+1,""))</f>
        <v/>
      </c>
      <c r="V2160" t="str">
        <f t="shared" si="505"/>
        <v/>
      </c>
      <c r="W2160" t="str">
        <f t="shared" si="506"/>
        <v/>
      </c>
      <c r="X2160" t="str">
        <f t="shared" si="507"/>
        <v/>
      </c>
      <c r="Y2160" t="str">
        <f t="shared" si="508"/>
        <v/>
      </c>
      <c r="Z2160">
        <f>IF($A2160="",0,IF(AND($M2160=1,$A2160=经营数据!$B$3,$J2160=经营数据!$BA$5,OR($I2160=经营数据!$BA$4,COUNTIF(经营数据!$AA$9:$AA$38,$I2160)&gt;0)),1,0))</f>
        <v>0</v>
      </c>
      <c r="AA2160" t="str">
        <f t="shared" si="509"/>
        <v/>
      </c>
      <c r="AB2160" t="str">
        <f t="shared" si="510"/>
        <v/>
      </c>
      <c r="AC2160">
        <f>IF($A2160="",0,IF(COUNTIF($A$2:$A2160,$A2160)=1,1,0))</f>
        <v>0</v>
      </c>
      <c r="AD2160">
        <f t="shared" si="511"/>
        <v>29</v>
      </c>
      <c r="AE2160" t="str">
        <f t="shared" si="512"/>
        <v/>
      </c>
    </row>
    <row r="2161" spans="1:31" x14ac:dyDescent="0.4">
      <c r="A2161" t="str">
        <f>IF(原始经营数据!$D2162="","",原始经营数据!$D2162)</f>
        <v/>
      </c>
      <c r="B2161" t="str">
        <f>IF(原始经营数据!$D2162="","",T(原始经营数据!$E2162))</f>
        <v/>
      </c>
      <c r="C2161" t="str">
        <f>IF(原始经营数据!$D2162="","",原始经营数据!$F2162)</f>
        <v/>
      </c>
      <c r="D2161" t="str">
        <f>IF(原始经营数据!$D2162="","",原始经营数据!$H2162)</f>
        <v/>
      </c>
      <c r="E2161" t="str">
        <f>IF(原始经营数据!$D2162="","",原始经营数据!$I2162)</f>
        <v/>
      </c>
      <c r="F2161" t="str">
        <f>IF(原始经营数据!$D2162="","",T(原始经营数据!$J2162))</f>
        <v/>
      </c>
      <c r="G2161" t="str">
        <f>IF(原始经营数据!$D2162="","",T(原始经营数据!$K2162))</f>
        <v/>
      </c>
      <c r="H2161" t="str">
        <f>IF(原始经营数据!$D2162="","",原始经营数据!$G2162)</f>
        <v/>
      </c>
      <c r="I2161" t="str">
        <f>IF($A2161="","",IF($B2161&lt;&gt;"",$B2161,IF(COUNTIFS(原始经营数据!$D$3:$D$3001,$A2161,原始经营数据!$E$3:$E$3001,"",原始经营数据!$F$3:$F$3001,$C2161,原始经营数据!$H$3:$H$3001,$D2161,原始经营数据!$K$3:$K$3001,$G2161)&gt;1,"基金整体·来源"&amp;原始经营数据!$A2162,"基金整体")))</f>
        <v/>
      </c>
      <c r="J2161" t="str">
        <f t="shared" si="498"/>
        <v/>
      </c>
      <c r="K2161" t="str">
        <f t="shared" si="499"/>
        <v/>
      </c>
      <c r="L2161" t="str">
        <f t="shared" si="500"/>
        <v/>
      </c>
      <c r="M2161">
        <f>IF($A2161="",0,IF(COUNTIF($L$2:$L2161,$L2161)=1,1,0))</f>
        <v>0</v>
      </c>
      <c r="N2161" t="str">
        <f t="shared" si="501"/>
        <v/>
      </c>
      <c r="O2161" t="str">
        <f t="shared" si="502"/>
        <v/>
      </c>
      <c r="P2161">
        <f>IF($A2161="",0,IF(COUNTIF($O$2:$O2161,$O2161)=1,1,0))</f>
        <v>0</v>
      </c>
      <c r="Q2161" t="str">
        <f>IF(AND($P2161=1,$A2161=经营数据!$B$3,$J2161=经营数据!$BA$5),COUNTIFS($P$2:$P$3000,1,$A$2:$A$3000,$A2161,$J$2:$J$3000,$J2161,$N$2:$N$3000,"&lt;"&amp;$N2161)+1,"")</f>
        <v/>
      </c>
      <c r="R2161" t="str">
        <f t="shared" si="503"/>
        <v/>
      </c>
      <c r="S2161">
        <f>IF($A2161="",0,IF(COUNTIF($R$2:$R2161,$R2161)=1,1,0))</f>
        <v>0</v>
      </c>
      <c r="T2161" t="str">
        <f t="shared" si="504"/>
        <v/>
      </c>
      <c r="U2161" t="str">
        <f>IF($A2161="","",IF($A2161=经营数据!$B$3,COUNTIFS($S$2:$S$3000,1,$A$2:$A$3000,$A2161,$T$2:$T$3000,"&lt;"&amp;$T2161)+1,""))</f>
        <v/>
      </c>
      <c r="V2161" t="str">
        <f t="shared" si="505"/>
        <v/>
      </c>
      <c r="W2161" t="str">
        <f t="shared" si="506"/>
        <v/>
      </c>
      <c r="X2161" t="str">
        <f t="shared" si="507"/>
        <v/>
      </c>
      <c r="Y2161" t="str">
        <f t="shared" si="508"/>
        <v/>
      </c>
      <c r="Z2161">
        <f>IF($A2161="",0,IF(AND($M2161=1,$A2161=经营数据!$B$3,$J2161=经营数据!$BA$5,OR($I2161=经营数据!$BA$4,COUNTIF(经营数据!$AA$9:$AA$38,$I2161)&gt;0)),1,0))</f>
        <v>0</v>
      </c>
      <c r="AA2161" t="str">
        <f t="shared" si="509"/>
        <v/>
      </c>
      <c r="AB2161" t="str">
        <f t="shared" si="510"/>
        <v/>
      </c>
      <c r="AC2161">
        <f>IF($A2161="",0,IF(COUNTIF($A$2:$A2161,$A2161)=1,1,0))</f>
        <v>0</v>
      </c>
      <c r="AD2161">
        <f t="shared" si="511"/>
        <v>29</v>
      </c>
      <c r="AE2161" t="str">
        <f t="shared" si="512"/>
        <v/>
      </c>
    </row>
    <row r="2162" spans="1:31" x14ac:dyDescent="0.4">
      <c r="A2162" t="str">
        <f>IF(原始经营数据!$D2163="","",原始经营数据!$D2163)</f>
        <v/>
      </c>
      <c r="B2162" t="str">
        <f>IF(原始经营数据!$D2163="","",T(原始经营数据!$E2163))</f>
        <v/>
      </c>
      <c r="C2162" t="str">
        <f>IF(原始经营数据!$D2163="","",原始经营数据!$F2163)</f>
        <v/>
      </c>
      <c r="D2162" t="str">
        <f>IF(原始经营数据!$D2163="","",原始经营数据!$H2163)</f>
        <v/>
      </c>
      <c r="E2162" t="str">
        <f>IF(原始经营数据!$D2163="","",原始经营数据!$I2163)</f>
        <v/>
      </c>
      <c r="F2162" t="str">
        <f>IF(原始经营数据!$D2163="","",T(原始经营数据!$J2163))</f>
        <v/>
      </c>
      <c r="G2162" t="str">
        <f>IF(原始经营数据!$D2163="","",T(原始经营数据!$K2163))</f>
        <v/>
      </c>
      <c r="H2162" t="str">
        <f>IF(原始经营数据!$D2163="","",原始经营数据!$G2163)</f>
        <v/>
      </c>
      <c r="I2162" t="str">
        <f>IF($A2162="","",IF($B2162&lt;&gt;"",$B2162,IF(COUNTIFS(原始经营数据!$D$3:$D$3001,$A2162,原始经营数据!$E$3:$E$3001,"",原始经营数据!$F$3:$F$3001,$C2162,原始经营数据!$H$3:$H$3001,$D2162,原始经营数据!$K$3:$K$3001,$G2162)&gt;1,"基金整体·来源"&amp;原始经营数据!$A2163,"基金整体")))</f>
        <v/>
      </c>
      <c r="J2162" t="str">
        <f t="shared" si="498"/>
        <v/>
      </c>
      <c r="K2162" t="str">
        <f t="shared" si="499"/>
        <v/>
      </c>
      <c r="L2162" t="str">
        <f t="shared" si="500"/>
        <v/>
      </c>
      <c r="M2162">
        <f>IF($A2162="",0,IF(COUNTIF($L$2:$L2162,$L2162)=1,1,0))</f>
        <v>0</v>
      </c>
      <c r="N2162" t="str">
        <f t="shared" si="501"/>
        <v/>
      </c>
      <c r="O2162" t="str">
        <f t="shared" si="502"/>
        <v/>
      </c>
      <c r="P2162">
        <f>IF($A2162="",0,IF(COUNTIF($O$2:$O2162,$O2162)=1,1,0))</f>
        <v>0</v>
      </c>
      <c r="Q2162" t="str">
        <f>IF(AND($P2162=1,$A2162=经营数据!$B$3,$J2162=经营数据!$BA$5),COUNTIFS($P$2:$P$3000,1,$A$2:$A$3000,$A2162,$J$2:$J$3000,$J2162,$N$2:$N$3000,"&lt;"&amp;$N2162)+1,"")</f>
        <v/>
      </c>
      <c r="R2162" t="str">
        <f t="shared" si="503"/>
        <v/>
      </c>
      <c r="S2162">
        <f>IF($A2162="",0,IF(COUNTIF($R$2:$R2162,$R2162)=1,1,0))</f>
        <v>0</v>
      </c>
      <c r="T2162" t="str">
        <f t="shared" si="504"/>
        <v/>
      </c>
      <c r="U2162" t="str">
        <f>IF($A2162="","",IF($A2162=经营数据!$B$3,COUNTIFS($S$2:$S$3000,1,$A$2:$A$3000,$A2162,$T$2:$T$3000,"&lt;"&amp;$T2162)+1,""))</f>
        <v/>
      </c>
      <c r="V2162" t="str">
        <f t="shared" si="505"/>
        <v/>
      </c>
      <c r="W2162" t="str">
        <f t="shared" si="506"/>
        <v/>
      </c>
      <c r="X2162" t="str">
        <f t="shared" si="507"/>
        <v/>
      </c>
      <c r="Y2162" t="str">
        <f t="shared" si="508"/>
        <v/>
      </c>
      <c r="Z2162">
        <f>IF($A2162="",0,IF(AND($M2162=1,$A2162=经营数据!$B$3,$J2162=经营数据!$BA$5,OR($I2162=经营数据!$BA$4,COUNTIF(经营数据!$AA$9:$AA$38,$I2162)&gt;0)),1,0))</f>
        <v>0</v>
      </c>
      <c r="AA2162" t="str">
        <f t="shared" si="509"/>
        <v/>
      </c>
      <c r="AB2162" t="str">
        <f t="shared" si="510"/>
        <v/>
      </c>
      <c r="AC2162">
        <f>IF($A2162="",0,IF(COUNTIF($A$2:$A2162,$A2162)=1,1,0))</f>
        <v>0</v>
      </c>
      <c r="AD2162">
        <f t="shared" si="511"/>
        <v>29</v>
      </c>
      <c r="AE2162" t="str">
        <f t="shared" si="512"/>
        <v/>
      </c>
    </row>
    <row r="2163" spans="1:31" x14ac:dyDescent="0.4">
      <c r="A2163" t="str">
        <f>IF(原始经营数据!$D2164="","",原始经营数据!$D2164)</f>
        <v/>
      </c>
      <c r="B2163" t="str">
        <f>IF(原始经营数据!$D2164="","",T(原始经营数据!$E2164))</f>
        <v/>
      </c>
      <c r="C2163" t="str">
        <f>IF(原始经营数据!$D2164="","",原始经营数据!$F2164)</f>
        <v/>
      </c>
      <c r="D2163" t="str">
        <f>IF(原始经营数据!$D2164="","",原始经营数据!$H2164)</f>
        <v/>
      </c>
      <c r="E2163" t="str">
        <f>IF(原始经营数据!$D2164="","",原始经营数据!$I2164)</f>
        <v/>
      </c>
      <c r="F2163" t="str">
        <f>IF(原始经营数据!$D2164="","",T(原始经营数据!$J2164))</f>
        <v/>
      </c>
      <c r="G2163" t="str">
        <f>IF(原始经营数据!$D2164="","",T(原始经营数据!$K2164))</f>
        <v/>
      </c>
      <c r="H2163" t="str">
        <f>IF(原始经营数据!$D2164="","",原始经营数据!$G2164)</f>
        <v/>
      </c>
      <c r="I2163" t="str">
        <f>IF($A2163="","",IF($B2163&lt;&gt;"",$B2163,IF(COUNTIFS(原始经营数据!$D$3:$D$3001,$A2163,原始经营数据!$E$3:$E$3001,"",原始经营数据!$F$3:$F$3001,$C2163,原始经营数据!$H$3:$H$3001,$D2163,原始经营数据!$K$3:$K$3001,$G2163)&gt;1,"基金整体·来源"&amp;原始经营数据!$A2164,"基金整体")))</f>
        <v/>
      </c>
      <c r="J2163" t="str">
        <f t="shared" si="498"/>
        <v/>
      </c>
      <c r="K2163" t="str">
        <f t="shared" si="499"/>
        <v/>
      </c>
      <c r="L2163" t="str">
        <f t="shared" si="500"/>
        <v/>
      </c>
      <c r="M2163">
        <f>IF($A2163="",0,IF(COUNTIF($L$2:$L2163,$L2163)=1,1,0))</f>
        <v>0</v>
      </c>
      <c r="N2163" t="str">
        <f t="shared" si="501"/>
        <v/>
      </c>
      <c r="O2163" t="str">
        <f t="shared" si="502"/>
        <v/>
      </c>
      <c r="P2163">
        <f>IF($A2163="",0,IF(COUNTIF($O$2:$O2163,$O2163)=1,1,0))</f>
        <v>0</v>
      </c>
      <c r="Q2163" t="str">
        <f>IF(AND($P2163=1,$A2163=经营数据!$B$3,$J2163=经营数据!$BA$5),COUNTIFS($P$2:$P$3000,1,$A$2:$A$3000,$A2163,$J$2:$J$3000,$J2163,$N$2:$N$3000,"&lt;"&amp;$N2163)+1,"")</f>
        <v/>
      </c>
      <c r="R2163" t="str">
        <f t="shared" si="503"/>
        <v/>
      </c>
      <c r="S2163">
        <f>IF($A2163="",0,IF(COUNTIF($R$2:$R2163,$R2163)=1,1,0))</f>
        <v>0</v>
      </c>
      <c r="T2163" t="str">
        <f t="shared" si="504"/>
        <v/>
      </c>
      <c r="U2163" t="str">
        <f>IF($A2163="","",IF($A2163=经营数据!$B$3,COUNTIFS($S$2:$S$3000,1,$A$2:$A$3000,$A2163,$T$2:$T$3000,"&lt;"&amp;$T2163)+1,""))</f>
        <v/>
      </c>
      <c r="V2163" t="str">
        <f t="shared" si="505"/>
        <v/>
      </c>
      <c r="W2163" t="str">
        <f t="shared" si="506"/>
        <v/>
      </c>
      <c r="X2163" t="str">
        <f t="shared" si="507"/>
        <v/>
      </c>
      <c r="Y2163" t="str">
        <f t="shared" si="508"/>
        <v/>
      </c>
      <c r="Z2163">
        <f>IF($A2163="",0,IF(AND($M2163=1,$A2163=经营数据!$B$3,$J2163=经营数据!$BA$5,OR($I2163=经营数据!$BA$4,COUNTIF(经营数据!$AA$9:$AA$38,$I2163)&gt;0)),1,0))</f>
        <v>0</v>
      </c>
      <c r="AA2163" t="str">
        <f t="shared" si="509"/>
        <v/>
      </c>
      <c r="AB2163" t="str">
        <f t="shared" si="510"/>
        <v/>
      </c>
      <c r="AC2163">
        <f>IF($A2163="",0,IF(COUNTIF($A$2:$A2163,$A2163)=1,1,0))</f>
        <v>0</v>
      </c>
      <c r="AD2163">
        <f t="shared" si="511"/>
        <v>29</v>
      </c>
      <c r="AE2163" t="str">
        <f t="shared" si="512"/>
        <v/>
      </c>
    </row>
    <row r="2164" spans="1:31" x14ac:dyDescent="0.4">
      <c r="A2164" t="str">
        <f>IF(原始经营数据!$D2165="","",原始经营数据!$D2165)</f>
        <v/>
      </c>
      <c r="B2164" t="str">
        <f>IF(原始经营数据!$D2165="","",T(原始经营数据!$E2165))</f>
        <v/>
      </c>
      <c r="C2164" t="str">
        <f>IF(原始经营数据!$D2165="","",原始经营数据!$F2165)</f>
        <v/>
      </c>
      <c r="D2164" t="str">
        <f>IF(原始经营数据!$D2165="","",原始经营数据!$H2165)</f>
        <v/>
      </c>
      <c r="E2164" t="str">
        <f>IF(原始经营数据!$D2165="","",原始经营数据!$I2165)</f>
        <v/>
      </c>
      <c r="F2164" t="str">
        <f>IF(原始经营数据!$D2165="","",T(原始经营数据!$J2165))</f>
        <v/>
      </c>
      <c r="G2164" t="str">
        <f>IF(原始经营数据!$D2165="","",T(原始经营数据!$K2165))</f>
        <v/>
      </c>
      <c r="H2164" t="str">
        <f>IF(原始经营数据!$D2165="","",原始经营数据!$G2165)</f>
        <v/>
      </c>
      <c r="I2164" t="str">
        <f>IF($A2164="","",IF($B2164&lt;&gt;"",$B2164,IF(COUNTIFS(原始经营数据!$D$3:$D$3001,$A2164,原始经营数据!$E$3:$E$3001,"",原始经营数据!$F$3:$F$3001,$C2164,原始经营数据!$H$3:$H$3001,$D2164,原始经营数据!$K$3:$K$3001,$G2164)&gt;1,"基金整体·来源"&amp;原始经营数据!$A2165,"基金整体")))</f>
        <v/>
      </c>
      <c r="J2164" t="str">
        <f t="shared" si="498"/>
        <v/>
      </c>
      <c r="K2164" t="str">
        <f t="shared" si="499"/>
        <v/>
      </c>
      <c r="L2164" t="str">
        <f t="shared" si="500"/>
        <v/>
      </c>
      <c r="M2164">
        <f>IF($A2164="",0,IF(COUNTIF($L$2:$L2164,$L2164)=1,1,0))</f>
        <v>0</v>
      </c>
      <c r="N2164" t="str">
        <f t="shared" si="501"/>
        <v/>
      </c>
      <c r="O2164" t="str">
        <f t="shared" si="502"/>
        <v/>
      </c>
      <c r="P2164">
        <f>IF($A2164="",0,IF(COUNTIF($O$2:$O2164,$O2164)=1,1,0))</f>
        <v>0</v>
      </c>
      <c r="Q2164" t="str">
        <f>IF(AND($P2164=1,$A2164=经营数据!$B$3,$J2164=经营数据!$BA$5),COUNTIFS($P$2:$P$3000,1,$A$2:$A$3000,$A2164,$J$2:$J$3000,$J2164,$N$2:$N$3000,"&lt;"&amp;$N2164)+1,"")</f>
        <v/>
      </c>
      <c r="R2164" t="str">
        <f t="shared" si="503"/>
        <v/>
      </c>
      <c r="S2164">
        <f>IF($A2164="",0,IF(COUNTIF($R$2:$R2164,$R2164)=1,1,0))</f>
        <v>0</v>
      </c>
      <c r="T2164" t="str">
        <f t="shared" si="504"/>
        <v/>
      </c>
      <c r="U2164" t="str">
        <f>IF($A2164="","",IF($A2164=经营数据!$B$3,COUNTIFS($S$2:$S$3000,1,$A$2:$A$3000,$A2164,$T$2:$T$3000,"&lt;"&amp;$T2164)+1,""))</f>
        <v/>
      </c>
      <c r="V2164" t="str">
        <f t="shared" si="505"/>
        <v/>
      </c>
      <c r="W2164" t="str">
        <f t="shared" si="506"/>
        <v/>
      </c>
      <c r="X2164" t="str">
        <f t="shared" si="507"/>
        <v/>
      </c>
      <c r="Y2164" t="str">
        <f t="shared" si="508"/>
        <v/>
      </c>
      <c r="Z2164">
        <f>IF($A2164="",0,IF(AND($M2164=1,$A2164=经营数据!$B$3,$J2164=经营数据!$BA$5,OR($I2164=经营数据!$BA$4,COUNTIF(经营数据!$AA$9:$AA$38,$I2164)&gt;0)),1,0))</f>
        <v>0</v>
      </c>
      <c r="AA2164" t="str">
        <f t="shared" si="509"/>
        <v/>
      </c>
      <c r="AB2164" t="str">
        <f t="shared" si="510"/>
        <v/>
      </c>
      <c r="AC2164">
        <f>IF($A2164="",0,IF(COUNTIF($A$2:$A2164,$A2164)=1,1,0))</f>
        <v>0</v>
      </c>
      <c r="AD2164">
        <f t="shared" si="511"/>
        <v>29</v>
      </c>
      <c r="AE2164" t="str">
        <f t="shared" si="512"/>
        <v/>
      </c>
    </row>
    <row r="2165" spans="1:31" x14ac:dyDescent="0.4">
      <c r="A2165" t="str">
        <f>IF(原始经营数据!$D2166="","",原始经营数据!$D2166)</f>
        <v/>
      </c>
      <c r="B2165" t="str">
        <f>IF(原始经营数据!$D2166="","",T(原始经营数据!$E2166))</f>
        <v/>
      </c>
      <c r="C2165" t="str">
        <f>IF(原始经营数据!$D2166="","",原始经营数据!$F2166)</f>
        <v/>
      </c>
      <c r="D2165" t="str">
        <f>IF(原始经营数据!$D2166="","",原始经营数据!$H2166)</f>
        <v/>
      </c>
      <c r="E2165" t="str">
        <f>IF(原始经营数据!$D2166="","",原始经营数据!$I2166)</f>
        <v/>
      </c>
      <c r="F2165" t="str">
        <f>IF(原始经营数据!$D2166="","",T(原始经营数据!$J2166))</f>
        <v/>
      </c>
      <c r="G2165" t="str">
        <f>IF(原始经营数据!$D2166="","",T(原始经营数据!$K2166))</f>
        <v/>
      </c>
      <c r="H2165" t="str">
        <f>IF(原始经营数据!$D2166="","",原始经营数据!$G2166)</f>
        <v/>
      </c>
      <c r="I2165" t="str">
        <f>IF($A2165="","",IF($B2165&lt;&gt;"",$B2165,IF(COUNTIFS(原始经营数据!$D$3:$D$3001,$A2165,原始经营数据!$E$3:$E$3001,"",原始经营数据!$F$3:$F$3001,$C2165,原始经营数据!$H$3:$H$3001,$D2165,原始经营数据!$K$3:$K$3001,$G2165)&gt;1,"基金整体·来源"&amp;原始经营数据!$A2166,"基金整体")))</f>
        <v/>
      </c>
      <c r="J2165" t="str">
        <f t="shared" si="498"/>
        <v/>
      </c>
      <c r="K2165" t="str">
        <f t="shared" si="499"/>
        <v/>
      </c>
      <c r="L2165" t="str">
        <f t="shared" si="500"/>
        <v/>
      </c>
      <c r="M2165">
        <f>IF($A2165="",0,IF(COUNTIF($L$2:$L2165,$L2165)=1,1,0))</f>
        <v>0</v>
      </c>
      <c r="N2165" t="str">
        <f t="shared" si="501"/>
        <v/>
      </c>
      <c r="O2165" t="str">
        <f t="shared" si="502"/>
        <v/>
      </c>
      <c r="P2165">
        <f>IF($A2165="",0,IF(COUNTIF($O$2:$O2165,$O2165)=1,1,0))</f>
        <v>0</v>
      </c>
      <c r="Q2165" t="str">
        <f>IF(AND($P2165=1,$A2165=经营数据!$B$3,$J2165=经营数据!$BA$5),COUNTIFS($P$2:$P$3000,1,$A$2:$A$3000,$A2165,$J$2:$J$3000,$J2165,$N$2:$N$3000,"&lt;"&amp;$N2165)+1,"")</f>
        <v/>
      </c>
      <c r="R2165" t="str">
        <f t="shared" si="503"/>
        <v/>
      </c>
      <c r="S2165">
        <f>IF($A2165="",0,IF(COUNTIF($R$2:$R2165,$R2165)=1,1,0))</f>
        <v>0</v>
      </c>
      <c r="T2165" t="str">
        <f t="shared" si="504"/>
        <v/>
      </c>
      <c r="U2165" t="str">
        <f>IF($A2165="","",IF($A2165=经营数据!$B$3,COUNTIFS($S$2:$S$3000,1,$A$2:$A$3000,$A2165,$T$2:$T$3000,"&lt;"&amp;$T2165)+1,""))</f>
        <v/>
      </c>
      <c r="V2165" t="str">
        <f t="shared" si="505"/>
        <v/>
      </c>
      <c r="W2165" t="str">
        <f t="shared" si="506"/>
        <v/>
      </c>
      <c r="X2165" t="str">
        <f t="shared" si="507"/>
        <v/>
      </c>
      <c r="Y2165" t="str">
        <f t="shared" si="508"/>
        <v/>
      </c>
      <c r="Z2165">
        <f>IF($A2165="",0,IF(AND($M2165=1,$A2165=经营数据!$B$3,$J2165=经营数据!$BA$5,OR($I2165=经营数据!$BA$4,COUNTIF(经营数据!$AA$9:$AA$38,$I2165)&gt;0)),1,0))</f>
        <v>0</v>
      </c>
      <c r="AA2165" t="str">
        <f t="shared" si="509"/>
        <v/>
      </c>
      <c r="AB2165" t="str">
        <f t="shared" si="510"/>
        <v/>
      </c>
      <c r="AC2165">
        <f>IF($A2165="",0,IF(COUNTIF($A$2:$A2165,$A2165)=1,1,0))</f>
        <v>0</v>
      </c>
      <c r="AD2165">
        <f t="shared" si="511"/>
        <v>29</v>
      </c>
      <c r="AE2165" t="str">
        <f t="shared" si="512"/>
        <v/>
      </c>
    </row>
    <row r="2166" spans="1:31" x14ac:dyDescent="0.4">
      <c r="A2166" t="str">
        <f>IF(原始经营数据!$D2167="","",原始经营数据!$D2167)</f>
        <v/>
      </c>
      <c r="B2166" t="str">
        <f>IF(原始经营数据!$D2167="","",T(原始经营数据!$E2167))</f>
        <v/>
      </c>
      <c r="C2166" t="str">
        <f>IF(原始经营数据!$D2167="","",原始经营数据!$F2167)</f>
        <v/>
      </c>
      <c r="D2166" t="str">
        <f>IF(原始经营数据!$D2167="","",原始经营数据!$H2167)</f>
        <v/>
      </c>
      <c r="E2166" t="str">
        <f>IF(原始经营数据!$D2167="","",原始经营数据!$I2167)</f>
        <v/>
      </c>
      <c r="F2166" t="str">
        <f>IF(原始经营数据!$D2167="","",T(原始经营数据!$J2167))</f>
        <v/>
      </c>
      <c r="G2166" t="str">
        <f>IF(原始经营数据!$D2167="","",T(原始经营数据!$K2167))</f>
        <v/>
      </c>
      <c r="H2166" t="str">
        <f>IF(原始经营数据!$D2167="","",原始经营数据!$G2167)</f>
        <v/>
      </c>
      <c r="I2166" t="str">
        <f>IF($A2166="","",IF($B2166&lt;&gt;"",$B2166,IF(COUNTIFS(原始经营数据!$D$3:$D$3001,$A2166,原始经营数据!$E$3:$E$3001,"",原始经营数据!$F$3:$F$3001,$C2166,原始经营数据!$H$3:$H$3001,$D2166,原始经营数据!$K$3:$K$3001,$G2166)&gt;1,"基金整体·来源"&amp;原始经营数据!$A2167,"基金整体")))</f>
        <v/>
      </c>
      <c r="J2166" t="str">
        <f t="shared" si="498"/>
        <v/>
      </c>
      <c r="K2166" t="str">
        <f t="shared" si="499"/>
        <v/>
      </c>
      <c r="L2166" t="str">
        <f t="shared" si="500"/>
        <v/>
      </c>
      <c r="M2166">
        <f>IF($A2166="",0,IF(COUNTIF($L$2:$L2166,$L2166)=1,1,0))</f>
        <v>0</v>
      </c>
      <c r="N2166" t="str">
        <f t="shared" si="501"/>
        <v/>
      </c>
      <c r="O2166" t="str">
        <f t="shared" si="502"/>
        <v/>
      </c>
      <c r="P2166">
        <f>IF($A2166="",0,IF(COUNTIF($O$2:$O2166,$O2166)=1,1,0))</f>
        <v>0</v>
      </c>
      <c r="Q2166" t="str">
        <f>IF(AND($P2166=1,$A2166=经营数据!$B$3,$J2166=经营数据!$BA$5),COUNTIFS($P$2:$P$3000,1,$A$2:$A$3000,$A2166,$J$2:$J$3000,$J2166,$N$2:$N$3000,"&lt;"&amp;$N2166)+1,"")</f>
        <v/>
      </c>
      <c r="R2166" t="str">
        <f t="shared" si="503"/>
        <v/>
      </c>
      <c r="S2166">
        <f>IF($A2166="",0,IF(COUNTIF($R$2:$R2166,$R2166)=1,1,0))</f>
        <v>0</v>
      </c>
      <c r="T2166" t="str">
        <f t="shared" si="504"/>
        <v/>
      </c>
      <c r="U2166" t="str">
        <f>IF($A2166="","",IF($A2166=经营数据!$B$3,COUNTIFS($S$2:$S$3000,1,$A$2:$A$3000,$A2166,$T$2:$T$3000,"&lt;"&amp;$T2166)+1,""))</f>
        <v/>
      </c>
      <c r="V2166" t="str">
        <f t="shared" si="505"/>
        <v/>
      </c>
      <c r="W2166" t="str">
        <f t="shared" si="506"/>
        <v/>
      </c>
      <c r="X2166" t="str">
        <f t="shared" si="507"/>
        <v/>
      </c>
      <c r="Y2166" t="str">
        <f t="shared" si="508"/>
        <v/>
      </c>
      <c r="Z2166">
        <f>IF($A2166="",0,IF(AND($M2166=1,$A2166=经营数据!$B$3,$J2166=经营数据!$BA$5,OR($I2166=经营数据!$BA$4,COUNTIF(经营数据!$AA$9:$AA$38,$I2166)&gt;0)),1,0))</f>
        <v>0</v>
      </c>
      <c r="AA2166" t="str">
        <f t="shared" si="509"/>
        <v/>
      </c>
      <c r="AB2166" t="str">
        <f t="shared" si="510"/>
        <v/>
      </c>
      <c r="AC2166">
        <f>IF($A2166="",0,IF(COUNTIF($A$2:$A2166,$A2166)=1,1,0))</f>
        <v>0</v>
      </c>
      <c r="AD2166">
        <f t="shared" si="511"/>
        <v>29</v>
      </c>
      <c r="AE2166" t="str">
        <f t="shared" si="512"/>
        <v/>
      </c>
    </row>
    <row r="2167" spans="1:31" x14ac:dyDescent="0.4">
      <c r="A2167" t="str">
        <f>IF(原始经营数据!$D2168="","",原始经营数据!$D2168)</f>
        <v/>
      </c>
      <c r="B2167" t="str">
        <f>IF(原始经营数据!$D2168="","",T(原始经营数据!$E2168))</f>
        <v/>
      </c>
      <c r="C2167" t="str">
        <f>IF(原始经营数据!$D2168="","",原始经营数据!$F2168)</f>
        <v/>
      </c>
      <c r="D2167" t="str">
        <f>IF(原始经营数据!$D2168="","",原始经营数据!$H2168)</f>
        <v/>
      </c>
      <c r="E2167" t="str">
        <f>IF(原始经营数据!$D2168="","",原始经营数据!$I2168)</f>
        <v/>
      </c>
      <c r="F2167" t="str">
        <f>IF(原始经营数据!$D2168="","",T(原始经营数据!$J2168))</f>
        <v/>
      </c>
      <c r="G2167" t="str">
        <f>IF(原始经营数据!$D2168="","",T(原始经营数据!$K2168))</f>
        <v/>
      </c>
      <c r="H2167" t="str">
        <f>IF(原始经营数据!$D2168="","",原始经营数据!$G2168)</f>
        <v/>
      </c>
      <c r="I2167" t="str">
        <f>IF($A2167="","",IF($B2167&lt;&gt;"",$B2167,IF(COUNTIFS(原始经营数据!$D$3:$D$3001,$A2167,原始经营数据!$E$3:$E$3001,"",原始经营数据!$F$3:$F$3001,$C2167,原始经营数据!$H$3:$H$3001,$D2167,原始经营数据!$K$3:$K$3001,$G2167)&gt;1,"基金整体·来源"&amp;原始经营数据!$A2168,"基金整体")))</f>
        <v/>
      </c>
      <c r="J2167" t="str">
        <f t="shared" si="498"/>
        <v/>
      </c>
      <c r="K2167" t="str">
        <f t="shared" si="499"/>
        <v/>
      </c>
      <c r="L2167" t="str">
        <f t="shared" si="500"/>
        <v/>
      </c>
      <c r="M2167">
        <f>IF($A2167="",0,IF(COUNTIF($L$2:$L2167,$L2167)=1,1,0))</f>
        <v>0</v>
      </c>
      <c r="N2167" t="str">
        <f t="shared" si="501"/>
        <v/>
      </c>
      <c r="O2167" t="str">
        <f t="shared" si="502"/>
        <v/>
      </c>
      <c r="P2167">
        <f>IF($A2167="",0,IF(COUNTIF($O$2:$O2167,$O2167)=1,1,0))</f>
        <v>0</v>
      </c>
      <c r="Q2167" t="str">
        <f>IF(AND($P2167=1,$A2167=经营数据!$B$3,$J2167=经营数据!$BA$5),COUNTIFS($P$2:$P$3000,1,$A$2:$A$3000,$A2167,$J$2:$J$3000,$J2167,$N$2:$N$3000,"&lt;"&amp;$N2167)+1,"")</f>
        <v/>
      </c>
      <c r="R2167" t="str">
        <f t="shared" si="503"/>
        <v/>
      </c>
      <c r="S2167">
        <f>IF($A2167="",0,IF(COUNTIF($R$2:$R2167,$R2167)=1,1,0))</f>
        <v>0</v>
      </c>
      <c r="T2167" t="str">
        <f t="shared" si="504"/>
        <v/>
      </c>
      <c r="U2167" t="str">
        <f>IF($A2167="","",IF($A2167=经营数据!$B$3,COUNTIFS($S$2:$S$3000,1,$A$2:$A$3000,$A2167,$T$2:$T$3000,"&lt;"&amp;$T2167)+1,""))</f>
        <v/>
      </c>
      <c r="V2167" t="str">
        <f t="shared" si="505"/>
        <v/>
      </c>
      <c r="W2167" t="str">
        <f t="shared" si="506"/>
        <v/>
      </c>
      <c r="X2167" t="str">
        <f t="shared" si="507"/>
        <v/>
      </c>
      <c r="Y2167" t="str">
        <f t="shared" si="508"/>
        <v/>
      </c>
      <c r="Z2167">
        <f>IF($A2167="",0,IF(AND($M2167=1,$A2167=经营数据!$B$3,$J2167=经营数据!$BA$5,OR($I2167=经营数据!$BA$4,COUNTIF(经营数据!$AA$9:$AA$38,$I2167)&gt;0)),1,0))</f>
        <v>0</v>
      </c>
      <c r="AA2167" t="str">
        <f t="shared" si="509"/>
        <v/>
      </c>
      <c r="AB2167" t="str">
        <f t="shared" si="510"/>
        <v/>
      </c>
      <c r="AC2167">
        <f>IF($A2167="",0,IF(COUNTIF($A$2:$A2167,$A2167)=1,1,0))</f>
        <v>0</v>
      </c>
      <c r="AD2167">
        <f t="shared" si="511"/>
        <v>29</v>
      </c>
      <c r="AE2167" t="str">
        <f t="shared" si="512"/>
        <v/>
      </c>
    </row>
    <row r="2168" spans="1:31" x14ac:dyDescent="0.4">
      <c r="A2168" t="str">
        <f>IF(原始经营数据!$D2169="","",原始经营数据!$D2169)</f>
        <v/>
      </c>
      <c r="B2168" t="str">
        <f>IF(原始经营数据!$D2169="","",T(原始经营数据!$E2169))</f>
        <v/>
      </c>
      <c r="C2168" t="str">
        <f>IF(原始经营数据!$D2169="","",原始经营数据!$F2169)</f>
        <v/>
      </c>
      <c r="D2168" t="str">
        <f>IF(原始经营数据!$D2169="","",原始经营数据!$H2169)</f>
        <v/>
      </c>
      <c r="E2168" t="str">
        <f>IF(原始经营数据!$D2169="","",原始经营数据!$I2169)</f>
        <v/>
      </c>
      <c r="F2168" t="str">
        <f>IF(原始经营数据!$D2169="","",T(原始经营数据!$J2169))</f>
        <v/>
      </c>
      <c r="G2168" t="str">
        <f>IF(原始经营数据!$D2169="","",T(原始经营数据!$K2169))</f>
        <v/>
      </c>
      <c r="H2168" t="str">
        <f>IF(原始经营数据!$D2169="","",原始经营数据!$G2169)</f>
        <v/>
      </c>
      <c r="I2168" t="str">
        <f>IF($A2168="","",IF($B2168&lt;&gt;"",$B2168,IF(COUNTIFS(原始经营数据!$D$3:$D$3001,$A2168,原始经营数据!$E$3:$E$3001,"",原始经营数据!$F$3:$F$3001,$C2168,原始经营数据!$H$3:$H$3001,$D2168,原始经营数据!$K$3:$K$3001,$G2168)&gt;1,"基金整体·来源"&amp;原始经营数据!$A2169,"基金整体")))</f>
        <v/>
      </c>
      <c r="J2168" t="str">
        <f t="shared" si="498"/>
        <v/>
      </c>
      <c r="K2168" t="str">
        <f t="shared" si="499"/>
        <v/>
      </c>
      <c r="L2168" t="str">
        <f t="shared" si="500"/>
        <v/>
      </c>
      <c r="M2168">
        <f>IF($A2168="",0,IF(COUNTIF($L$2:$L2168,$L2168)=1,1,0))</f>
        <v>0</v>
      </c>
      <c r="N2168" t="str">
        <f t="shared" si="501"/>
        <v/>
      </c>
      <c r="O2168" t="str">
        <f t="shared" si="502"/>
        <v/>
      </c>
      <c r="P2168">
        <f>IF($A2168="",0,IF(COUNTIF($O$2:$O2168,$O2168)=1,1,0))</f>
        <v>0</v>
      </c>
      <c r="Q2168" t="str">
        <f>IF(AND($P2168=1,$A2168=经营数据!$B$3,$J2168=经营数据!$BA$5),COUNTIFS($P$2:$P$3000,1,$A$2:$A$3000,$A2168,$J$2:$J$3000,$J2168,$N$2:$N$3000,"&lt;"&amp;$N2168)+1,"")</f>
        <v/>
      </c>
      <c r="R2168" t="str">
        <f t="shared" si="503"/>
        <v/>
      </c>
      <c r="S2168">
        <f>IF($A2168="",0,IF(COUNTIF($R$2:$R2168,$R2168)=1,1,0))</f>
        <v>0</v>
      </c>
      <c r="T2168" t="str">
        <f t="shared" si="504"/>
        <v/>
      </c>
      <c r="U2168" t="str">
        <f>IF($A2168="","",IF($A2168=经营数据!$B$3,COUNTIFS($S$2:$S$3000,1,$A$2:$A$3000,$A2168,$T$2:$T$3000,"&lt;"&amp;$T2168)+1,""))</f>
        <v/>
      </c>
      <c r="V2168" t="str">
        <f t="shared" si="505"/>
        <v/>
      </c>
      <c r="W2168" t="str">
        <f t="shared" si="506"/>
        <v/>
      </c>
      <c r="X2168" t="str">
        <f t="shared" si="507"/>
        <v/>
      </c>
      <c r="Y2168" t="str">
        <f t="shared" si="508"/>
        <v/>
      </c>
      <c r="Z2168">
        <f>IF($A2168="",0,IF(AND($M2168=1,$A2168=经营数据!$B$3,$J2168=经营数据!$BA$5,OR($I2168=经营数据!$BA$4,COUNTIF(经营数据!$AA$9:$AA$38,$I2168)&gt;0)),1,0))</f>
        <v>0</v>
      </c>
      <c r="AA2168" t="str">
        <f t="shared" si="509"/>
        <v/>
      </c>
      <c r="AB2168" t="str">
        <f t="shared" si="510"/>
        <v/>
      </c>
      <c r="AC2168">
        <f>IF($A2168="",0,IF(COUNTIF($A$2:$A2168,$A2168)=1,1,0))</f>
        <v>0</v>
      </c>
      <c r="AD2168">
        <f t="shared" si="511"/>
        <v>29</v>
      </c>
      <c r="AE2168" t="str">
        <f t="shared" si="512"/>
        <v/>
      </c>
    </row>
    <row r="2169" spans="1:31" x14ac:dyDescent="0.4">
      <c r="A2169" t="str">
        <f>IF(原始经营数据!$D2170="","",原始经营数据!$D2170)</f>
        <v/>
      </c>
      <c r="B2169" t="str">
        <f>IF(原始经营数据!$D2170="","",T(原始经营数据!$E2170))</f>
        <v/>
      </c>
      <c r="C2169" t="str">
        <f>IF(原始经营数据!$D2170="","",原始经营数据!$F2170)</f>
        <v/>
      </c>
      <c r="D2169" t="str">
        <f>IF(原始经营数据!$D2170="","",原始经营数据!$H2170)</f>
        <v/>
      </c>
      <c r="E2169" t="str">
        <f>IF(原始经营数据!$D2170="","",原始经营数据!$I2170)</f>
        <v/>
      </c>
      <c r="F2169" t="str">
        <f>IF(原始经营数据!$D2170="","",T(原始经营数据!$J2170))</f>
        <v/>
      </c>
      <c r="G2169" t="str">
        <f>IF(原始经营数据!$D2170="","",T(原始经营数据!$K2170))</f>
        <v/>
      </c>
      <c r="H2169" t="str">
        <f>IF(原始经营数据!$D2170="","",原始经营数据!$G2170)</f>
        <v/>
      </c>
      <c r="I2169" t="str">
        <f>IF($A2169="","",IF($B2169&lt;&gt;"",$B2169,IF(COUNTIFS(原始经营数据!$D$3:$D$3001,$A2169,原始经营数据!$E$3:$E$3001,"",原始经营数据!$F$3:$F$3001,$C2169,原始经营数据!$H$3:$H$3001,$D2169,原始经营数据!$K$3:$K$3001,$G2169)&gt;1,"基金整体·来源"&amp;原始经营数据!$A2170,"基金整体")))</f>
        <v/>
      </c>
      <c r="J2169" t="str">
        <f t="shared" si="498"/>
        <v/>
      </c>
      <c r="K2169" t="str">
        <f t="shared" si="499"/>
        <v/>
      </c>
      <c r="L2169" t="str">
        <f t="shared" si="500"/>
        <v/>
      </c>
      <c r="M2169">
        <f>IF($A2169="",0,IF(COUNTIF($L$2:$L2169,$L2169)=1,1,0))</f>
        <v>0</v>
      </c>
      <c r="N2169" t="str">
        <f t="shared" si="501"/>
        <v/>
      </c>
      <c r="O2169" t="str">
        <f t="shared" si="502"/>
        <v/>
      </c>
      <c r="P2169">
        <f>IF($A2169="",0,IF(COUNTIF($O$2:$O2169,$O2169)=1,1,0))</f>
        <v>0</v>
      </c>
      <c r="Q2169" t="str">
        <f>IF(AND($P2169=1,$A2169=经营数据!$B$3,$J2169=经营数据!$BA$5),COUNTIFS($P$2:$P$3000,1,$A$2:$A$3000,$A2169,$J$2:$J$3000,$J2169,$N$2:$N$3000,"&lt;"&amp;$N2169)+1,"")</f>
        <v/>
      </c>
      <c r="R2169" t="str">
        <f t="shared" si="503"/>
        <v/>
      </c>
      <c r="S2169">
        <f>IF($A2169="",0,IF(COUNTIF($R$2:$R2169,$R2169)=1,1,0))</f>
        <v>0</v>
      </c>
      <c r="T2169" t="str">
        <f t="shared" si="504"/>
        <v/>
      </c>
      <c r="U2169" t="str">
        <f>IF($A2169="","",IF($A2169=经营数据!$B$3,COUNTIFS($S$2:$S$3000,1,$A$2:$A$3000,$A2169,$T$2:$T$3000,"&lt;"&amp;$T2169)+1,""))</f>
        <v/>
      </c>
      <c r="V2169" t="str">
        <f t="shared" si="505"/>
        <v/>
      </c>
      <c r="W2169" t="str">
        <f t="shared" si="506"/>
        <v/>
      </c>
      <c r="X2169" t="str">
        <f t="shared" si="507"/>
        <v/>
      </c>
      <c r="Y2169" t="str">
        <f t="shared" si="508"/>
        <v/>
      </c>
      <c r="Z2169">
        <f>IF($A2169="",0,IF(AND($M2169=1,$A2169=经营数据!$B$3,$J2169=经营数据!$BA$5,OR($I2169=经营数据!$BA$4,COUNTIF(经营数据!$AA$9:$AA$38,$I2169)&gt;0)),1,0))</f>
        <v>0</v>
      </c>
      <c r="AA2169" t="str">
        <f t="shared" si="509"/>
        <v/>
      </c>
      <c r="AB2169" t="str">
        <f t="shared" si="510"/>
        <v/>
      </c>
      <c r="AC2169">
        <f>IF($A2169="",0,IF(COUNTIF($A$2:$A2169,$A2169)=1,1,0))</f>
        <v>0</v>
      </c>
      <c r="AD2169">
        <f t="shared" si="511"/>
        <v>29</v>
      </c>
      <c r="AE2169" t="str">
        <f t="shared" si="512"/>
        <v/>
      </c>
    </row>
    <row r="2170" spans="1:31" x14ac:dyDescent="0.4">
      <c r="A2170" t="str">
        <f>IF(原始经营数据!$D2171="","",原始经营数据!$D2171)</f>
        <v/>
      </c>
      <c r="B2170" t="str">
        <f>IF(原始经营数据!$D2171="","",T(原始经营数据!$E2171))</f>
        <v/>
      </c>
      <c r="C2170" t="str">
        <f>IF(原始经营数据!$D2171="","",原始经营数据!$F2171)</f>
        <v/>
      </c>
      <c r="D2170" t="str">
        <f>IF(原始经营数据!$D2171="","",原始经营数据!$H2171)</f>
        <v/>
      </c>
      <c r="E2170" t="str">
        <f>IF(原始经营数据!$D2171="","",原始经营数据!$I2171)</f>
        <v/>
      </c>
      <c r="F2170" t="str">
        <f>IF(原始经营数据!$D2171="","",T(原始经营数据!$J2171))</f>
        <v/>
      </c>
      <c r="G2170" t="str">
        <f>IF(原始经营数据!$D2171="","",T(原始经营数据!$K2171))</f>
        <v/>
      </c>
      <c r="H2170" t="str">
        <f>IF(原始经营数据!$D2171="","",原始经营数据!$G2171)</f>
        <v/>
      </c>
      <c r="I2170" t="str">
        <f>IF($A2170="","",IF($B2170&lt;&gt;"",$B2170,IF(COUNTIFS(原始经营数据!$D$3:$D$3001,$A2170,原始经营数据!$E$3:$E$3001,"",原始经营数据!$F$3:$F$3001,$C2170,原始经营数据!$H$3:$H$3001,$D2170,原始经营数据!$K$3:$K$3001,$G2170)&gt;1,"基金整体·来源"&amp;原始经营数据!$A2171,"基金整体")))</f>
        <v/>
      </c>
      <c r="J2170" t="str">
        <f t="shared" si="498"/>
        <v/>
      </c>
      <c r="K2170" t="str">
        <f t="shared" si="499"/>
        <v/>
      </c>
      <c r="L2170" t="str">
        <f t="shared" si="500"/>
        <v/>
      </c>
      <c r="M2170">
        <f>IF($A2170="",0,IF(COUNTIF($L$2:$L2170,$L2170)=1,1,0))</f>
        <v>0</v>
      </c>
      <c r="N2170" t="str">
        <f t="shared" si="501"/>
        <v/>
      </c>
      <c r="O2170" t="str">
        <f t="shared" si="502"/>
        <v/>
      </c>
      <c r="P2170">
        <f>IF($A2170="",0,IF(COUNTIF($O$2:$O2170,$O2170)=1,1,0))</f>
        <v>0</v>
      </c>
      <c r="Q2170" t="str">
        <f>IF(AND($P2170=1,$A2170=经营数据!$B$3,$J2170=经营数据!$BA$5),COUNTIFS($P$2:$P$3000,1,$A$2:$A$3000,$A2170,$J$2:$J$3000,$J2170,$N$2:$N$3000,"&lt;"&amp;$N2170)+1,"")</f>
        <v/>
      </c>
      <c r="R2170" t="str">
        <f t="shared" si="503"/>
        <v/>
      </c>
      <c r="S2170">
        <f>IF($A2170="",0,IF(COUNTIF($R$2:$R2170,$R2170)=1,1,0))</f>
        <v>0</v>
      </c>
      <c r="T2170" t="str">
        <f t="shared" si="504"/>
        <v/>
      </c>
      <c r="U2170" t="str">
        <f>IF($A2170="","",IF($A2170=经营数据!$B$3,COUNTIFS($S$2:$S$3000,1,$A$2:$A$3000,$A2170,$T$2:$T$3000,"&lt;"&amp;$T2170)+1,""))</f>
        <v/>
      </c>
      <c r="V2170" t="str">
        <f t="shared" si="505"/>
        <v/>
      </c>
      <c r="W2170" t="str">
        <f t="shared" si="506"/>
        <v/>
      </c>
      <c r="X2170" t="str">
        <f t="shared" si="507"/>
        <v/>
      </c>
      <c r="Y2170" t="str">
        <f t="shared" si="508"/>
        <v/>
      </c>
      <c r="Z2170">
        <f>IF($A2170="",0,IF(AND($M2170=1,$A2170=经营数据!$B$3,$J2170=经营数据!$BA$5,OR($I2170=经营数据!$BA$4,COUNTIF(经营数据!$AA$9:$AA$38,$I2170)&gt;0)),1,0))</f>
        <v>0</v>
      </c>
      <c r="AA2170" t="str">
        <f t="shared" si="509"/>
        <v/>
      </c>
      <c r="AB2170" t="str">
        <f t="shared" si="510"/>
        <v/>
      </c>
      <c r="AC2170">
        <f>IF($A2170="",0,IF(COUNTIF($A$2:$A2170,$A2170)=1,1,0))</f>
        <v>0</v>
      </c>
      <c r="AD2170">
        <f t="shared" si="511"/>
        <v>29</v>
      </c>
      <c r="AE2170" t="str">
        <f t="shared" si="512"/>
        <v/>
      </c>
    </row>
    <row r="2171" spans="1:31" x14ac:dyDescent="0.4">
      <c r="A2171" t="str">
        <f>IF(原始经营数据!$D2172="","",原始经营数据!$D2172)</f>
        <v/>
      </c>
      <c r="B2171" t="str">
        <f>IF(原始经营数据!$D2172="","",T(原始经营数据!$E2172))</f>
        <v/>
      </c>
      <c r="C2171" t="str">
        <f>IF(原始经营数据!$D2172="","",原始经营数据!$F2172)</f>
        <v/>
      </c>
      <c r="D2171" t="str">
        <f>IF(原始经营数据!$D2172="","",原始经营数据!$H2172)</f>
        <v/>
      </c>
      <c r="E2171" t="str">
        <f>IF(原始经营数据!$D2172="","",原始经营数据!$I2172)</f>
        <v/>
      </c>
      <c r="F2171" t="str">
        <f>IF(原始经营数据!$D2172="","",T(原始经营数据!$J2172))</f>
        <v/>
      </c>
      <c r="G2171" t="str">
        <f>IF(原始经营数据!$D2172="","",T(原始经营数据!$K2172))</f>
        <v/>
      </c>
      <c r="H2171" t="str">
        <f>IF(原始经营数据!$D2172="","",原始经营数据!$G2172)</f>
        <v/>
      </c>
      <c r="I2171" t="str">
        <f>IF($A2171="","",IF($B2171&lt;&gt;"",$B2171,IF(COUNTIFS(原始经营数据!$D$3:$D$3001,$A2171,原始经营数据!$E$3:$E$3001,"",原始经营数据!$F$3:$F$3001,$C2171,原始经营数据!$H$3:$H$3001,$D2171,原始经营数据!$K$3:$K$3001,$G2171)&gt;1,"基金整体·来源"&amp;原始经营数据!$A2172,"基金整体")))</f>
        <v/>
      </c>
      <c r="J2171" t="str">
        <f t="shared" si="498"/>
        <v/>
      </c>
      <c r="K2171" t="str">
        <f t="shared" si="499"/>
        <v/>
      </c>
      <c r="L2171" t="str">
        <f t="shared" si="500"/>
        <v/>
      </c>
      <c r="M2171">
        <f>IF($A2171="",0,IF(COUNTIF($L$2:$L2171,$L2171)=1,1,0))</f>
        <v>0</v>
      </c>
      <c r="N2171" t="str">
        <f t="shared" si="501"/>
        <v/>
      </c>
      <c r="O2171" t="str">
        <f t="shared" si="502"/>
        <v/>
      </c>
      <c r="P2171">
        <f>IF($A2171="",0,IF(COUNTIF($O$2:$O2171,$O2171)=1,1,0))</f>
        <v>0</v>
      </c>
      <c r="Q2171" t="str">
        <f>IF(AND($P2171=1,$A2171=经营数据!$B$3,$J2171=经营数据!$BA$5),COUNTIFS($P$2:$P$3000,1,$A$2:$A$3000,$A2171,$J$2:$J$3000,$J2171,$N$2:$N$3000,"&lt;"&amp;$N2171)+1,"")</f>
        <v/>
      </c>
      <c r="R2171" t="str">
        <f t="shared" si="503"/>
        <v/>
      </c>
      <c r="S2171">
        <f>IF($A2171="",0,IF(COUNTIF($R$2:$R2171,$R2171)=1,1,0))</f>
        <v>0</v>
      </c>
      <c r="T2171" t="str">
        <f t="shared" si="504"/>
        <v/>
      </c>
      <c r="U2171" t="str">
        <f>IF($A2171="","",IF($A2171=经营数据!$B$3,COUNTIFS($S$2:$S$3000,1,$A$2:$A$3000,$A2171,$T$2:$T$3000,"&lt;"&amp;$T2171)+1,""))</f>
        <v/>
      </c>
      <c r="V2171" t="str">
        <f t="shared" si="505"/>
        <v/>
      </c>
      <c r="W2171" t="str">
        <f t="shared" si="506"/>
        <v/>
      </c>
      <c r="X2171" t="str">
        <f t="shared" si="507"/>
        <v/>
      </c>
      <c r="Y2171" t="str">
        <f t="shared" si="508"/>
        <v/>
      </c>
      <c r="Z2171">
        <f>IF($A2171="",0,IF(AND($M2171=1,$A2171=经营数据!$B$3,$J2171=经营数据!$BA$5,OR($I2171=经营数据!$BA$4,COUNTIF(经营数据!$AA$9:$AA$38,$I2171)&gt;0)),1,0))</f>
        <v>0</v>
      </c>
      <c r="AA2171" t="str">
        <f t="shared" si="509"/>
        <v/>
      </c>
      <c r="AB2171" t="str">
        <f t="shared" si="510"/>
        <v/>
      </c>
      <c r="AC2171">
        <f>IF($A2171="",0,IF(COUNTIF($A$2:$A2171,$A2171)=1,1,0))</f>
        <v>0</v>
      </c>
      <c r="AD2171">
        <f t="shared" si="511"/>
        <v>29</v>
      </c>
      <c r="AE2171" t="str">
        <f t="shared" si="512"/>
        <v/>
      </c>
    </row>
    <row r="2172" spans="1:31" x14ac:dyDescent="0.4">
      <c r="A2172" t="str">
        <f>IF(原始经营数据!$D2173="","",原始经营数据!$D2173)</f>
        <v/>
      </c>
      <c r="B2172" t="str">
        <f>IF(原始经营数据!$D2173="","",T(原始经营数据!$E2173))</f>
        <v/>
      </c>
      <c r="C2172" t="str">
        <f>IF(原始经营数据!$D2173="","",原始经营数据!$F2173)</f>
        <v/>
      </c>
      <c r="D2172" t="str">
        <f>IF(原始经营数据!$D2173="","",原始经营数据!$H2173)</f>
        <v/>
      </c>
      <c r="E2172" t="str">
        <f>IF(原始经营数据!$D2173="","",原始经营数据!$I2173)</f>
        <v/>
      </c>
      <c r="F2172" t="str">
        <f>IF(原始经营数据!$D2173="","",T(原始经营数据!$J2173))</f>
        <v/>
      </c>
      <c r="G2172" t="str">
        <f>IF(原始经营数据!$D2173="","",T(原始经营数据!$K2173))</f>
        <v/>
      </c>
      <c r="H2172" t="str">
        <f>IF(原始经营数据!$D2173="","",原始经营数据!$G2173)</f>
        <v/>
      </c>
      <c r="I2172" t="str">
        <f>IF($A2172="","",IF($B2172&lt;&gt;"",$B2172,IF(COUNTIFS(原始经营数据!$D$3:$D$3001,$A2172,原始经营数据!$E$3:$E$3001,"",原始经营数据!$F$3:$F$3001,$C2172,原始经营数据!$H$3:$H$3001,$D2172,原始经营数据!$K$3:$K$3001,$G2172)&gt;1,"基金整体·来源"&amp;原始经营数据!$A2173,"基金整体")))</f>
        <v/>
      </c>
      <c r="J2172" t="str">
        <f t="shared" si="498"/>
        <v/>
      </c>
      <c r="K2172" t="str">
        <f t="shared" si="499"/>
        <v/>
      </c>
      <c r="L2172" t="str">
        <f t="shared" si="500"/>
        <v/>
      </c>
      <c r="M2172">
        <f>IF($A2172="",0,IF(COUNTIF($L$2:$L2172,$L2172)=1,1,0))</f>
        <v>0</v>
      </c>
      <c r="N2172" t="str">
        <f t="shared" si="501"/>
        <v/>
      </c>
      <c r="O2172" t="str">
        <f t="shared" si="502"/>
        <v/>
      </c>
      <c r="P2172">
        <f>IF($A2172="",0,IF(COUNTIF($O$2:$O2172,$O2172)=1,1,0))</f>
        <v>0</v>
      </c>
      <c r="Q2172" t="str">
        <f>IF(AND($P2172=1,$A2172=经营数据!$B$3,$J2172=经营数据!$BA$5),COUNTIFS($P$2:$P$3000,1,$A$2:$A$3000,$A2172,$J$2:$J$3000,$J2172,$N$2:$N$3000,"&lt;"&amp;$N2172)+1,"")</f>
        <v/>
      </c>
      <c r="R2172" t="str">
        <f t="shared" si="503"/>
        <v/>
      </c>
      <c r="S2172">
        <f>IF($A2172="",0,IF(COUNTIF($R$2:$R2172,$R2172)=1,1,0))</f>
        <v>0</v>
      </c>
      <c r="T2172" t="str">
        <f t="shared" si="504"/>
        <v/>
      </c>
      <c r="U2172" t="str">
        <f>IF($A2172="","",IF($A2172=经营数据!$B$3,COUNTIFS($S$2:$S$3000,1,$A$2:$A$3000,$A2172,$T$2:$T$3000,"&lt;"&amp;$T2172)+1,""))</f>
        <v/>
      </c>
      <c r="V2172" t="str">
        <f t="shared" si="505"/>
        <v/>
      </c>
      <c r="W2172" t="str">
        <f t="shared" si="506"/>
        <v/>
      </c>
      <c r="X2172" t="str">
        <f t="shared" si="507"/>
        <v/>
      </c>
      <c r="Y2172" t="str">
        <f t="shared" si="508"/>
        <v/>
      </c>
      <c r="Z2172">
        <f>IF($A2172="",0,IF(AND($M2172=1,$A2172=经营数据!$B$3,$J2172=经营数据!$BA$5,OR($I2172=经营数据!$BA$4,COUNTIF(经营数据!$AA$9:$AA$38,$I2172)&gt;0)),1,0))</f>
        <v>0</v>
      </c>
      <c r="AA2172" t="str">
        <f t="shared" si="509"/>
        <v/>
      </c>
      <c r="AB2172" t="str">
        <f t="shared" si="510"/>
        <v/>
      </c>
      <c r="AC2172">
        <f>IF($A2172="",0,IF(COUNTIF($A$2:$A2172,$A2172)=1,1,0))</f>
        <v>0</v>
      </c>
      <c r="AD2172">
        <f t="shared" si="511"/>
        <v>29</v>
      </c>
      <c r="AE2172" t="str">
        <f t="shared" si="512"/>
        <v/>
      </c>
    </row>
    <row r="2173" spans="1:31" x14ac:dyDescent="0.4">
      <c r="A2173" t="str">
        <f>IF(原始经营数据!$D2174="","",原始经营数据!$D2174)</f>
        <v/>
      </c>
      <c r="B2173" t="str">
        <f>IF(原始经营数据!$D2174="","",T(原始经营数据!$E2174))</f>
        <v/>
      </c>
      <c r="C2173" t="str">
        <f>IF(原始经营数据!$D2174="","",原始经营数据!$F2174)</f>
        <v/>
      </c>
      <c r="D2173" t="str">
        <f>IF(原始经营数据!$D2174="","",原始经营数据!$H2174)</f>
        <v/>
      </c>
      <c r="E2173" t="str">
        <f>IF(原始经营数据!$D2174="","",原始经营数据!$I2174)</f>
        <v/>
      </c>
      <c r="F2173" t="str">
        <f>IF(原始经营数据!$D2174="","",T(原始经营数据!$J2174))</f>
        <v/>
      </c>
      <c r="G2173" t="str">
        <f>IF(原始经营数据!$D2174="","",T(原始经营数据!$K2174))</f>
        <v/>
      </c>
      <c r="H2173" t="str">
        <f>IF(原始经营数据!$D2174="","",原始经营数据!$G2174)</f>
        <v/>
      </c>
      <c r="I2173" t="str">
        <f>IF($A2173="","",IF($B2173&lt;&gt;"",$B2173,IF(COUNTIFS(原始经营数据!$D$3:$D$3001,$A2173,原始经营数据!$E$3:$E$3001,"",原始经营数据!$F$3:$F$3001,$C2173,原始经营数据!$H$3:$H$3001,$D2173,原始经营数据!$K$3:$K$3001,$G2173)&gt;1,"基金整体·来源"&amp;原始经营数据!$A2174,"基金整体")))</f>
        <v/>
      </c>
      <c r="J2173" t="str">
        <f t="shared" si="498"/>
        <v/>
      </c>
      <c r="K2173" t="str">
        <f t="shared" si="499"/>
        <v/>
      </c>
      <c r="L2173" t="str">
        <f t="shared" si="500"/>
        <v/>
      </c>
      <c r="M2173">
        <f>IF($A2173="",0,IF(COUNTIF($L$2:$L2173,$L2173)=1,1,0))</f>
        <v>0</v>
      </c>
      <c r="N2173" t="str">
        <f t="shared" si="501"/>
        <v/>
      </c>
      <c r="O2173" t="str">
        <f t="shared" si="502"/>
        <v/>
      </c>
      <c r="P2173">
        <f>IF($A2173="",0,IF(COUNTIF($O$2:$O2173,$O2173)=1,1,0))</f>
        <v>0</v>
      </c>
      <c r="Q2173" t="str">
        <f>IF(AND($P2173=1,$A2173=经营数据!$B$3,$J2173=经营数据!$BA$5),COUNTIFS($P$2:$P$3000,1,$A$2:$A$3000,$A2173,$J$2:$J$3000,$J2173,$N$2:$N$3000,"&lt;"&amp;$N2173)+1,"")</f>
        <v/>
      </c>
      <c r="R2173" t="str">
        <f t="shared" si="503"/>
        <v/>
      </c>
      <c r="S2173">
        <f>IF($A2173="",0,IF(COUNTIF($R$2:$R2173,$R2173)=1,1,0))</f>
        <v>0</v>
      </c>
      <c r="T2173" t="str">
        <f t="shared" si="504"/>
        <v/>
      </c>
      <c r="U2173" t="str">
        <f>IF($A2173="","",IF($A2173=经营数据!$B$3,COUNTIFS($S$2:$S$3000,1,$A$2:$A$3000,$A2173,$T$2:$T$3000,"&lt;"&amp;$T2173)+1,""))</f>
        <v/>
      </c>
      <c r="V2173" t="str">
        <f t="shared" si="505"/>
        <v/>
      </c>
      <c r="W2173" t="str">
        <f t="shared" si="506"/>
        <v/>
      </c>
      <c r="X2173" t="str">
        <f t="shared" si="507"/>
        <v/>
      </c>
      <c r="Y2173" t="str">
        <f t="shared" si="508"/>
        <v/>
      </c>
      <c r="Z2173">
        <f>IF($A2173="",0,IF(AND($M2173=1,$A2173=经营数据!$B$3,$J2173=经营数据!$BA$5,OR($I2173=经营数据!$BA$4,COUNTIF(经营数据!$AA$9:$AA$38,$I2173)&gt;0)),1,0))</f>
        <v>0</v>
      </c>
      <c r="AA2173" t="str">
        <f t="shared" si="509"/>
        <v/>
      </c>
      <c r="AB2173" t="str">
        <f t="shared" si="510"/>
        <v/>
      </c>
      <c r="AC2173">
        <f>IF($A2173="",0,IF(COUNTIF($A$2:$A2173,$A2173)=1,1,0))</f>
        <v>0</v>
      </c>
      <c r="AD2173">
        <f t="shared" si="511"/>
        <v>29</v>
      </c>
      <c r="AE2173" t="str">
        <f t="shared" si="512"/>
        <v/>
      </c>
    </row>
    <row r="2174" spans="1:31" x14ac:dyDescent="0.4">
      <c r="A2174" t="str">
        <f>IF(原始经营数据!$D2175="","",原始经营数据!$D2175)</f>
        <v/>
      </c>
      <c r="B2174" t="str">
        <f>IF(原始经营数据!$D2175="","",T(原始经营数据!$E2175))</f>
        <v/>
      </c>
      <c r="C2174" t="str">
        <f>IF(原始经营数据!$D2175="","",原始经营数据!$F2175)</f>
        <v/>
      </c>
      <c r="D2174" t="str">
        <f>IF(原始经营数据!$D2175="","",原始经营数据!$H2175)</f>
        <v/>
      </c>
      <c r="E2174" t="str">
        <f>IF(原始经营数据!$D2175="","",原始经营数据!$I2175)</f>
        <v/>
      </c>
      <c r="F2174" t="str">
        <f>IF(原始经营数据!$D2175="","",T(原始经营数据!$J2175))</f>
        <v/>
      </c>
      <c r="G2174" t="str">
        <f>IF(原始经营数据!$D2175="","",T(原始经营数据!$K2175))</f>
        <v/>
      </c>
      <c r="H2174" t="str">
        <f>IF(原始经营数据!$D2175="","",原始经营数据!$G2175)</f>
        <v/>
      </c>
      <c r="I2174" t="str">
        <f>IF($A2174="","",IF($B2174&lt;&gt;"",$B2174,IF(COUNTIFS(原始经营数据!$D$3:$D$3001,$A2174,原始经营数据!$E$3:$E$3001,"",原始经营数据!$F$3:$F$3001,$C2174,原始经营数据!$H$3:$H$3001,$D2174,原始经营数据!$K$3:$K$3001,$G2174)&gt;1,"基金整体·来源"&amp;原始经营数据!$A2175,"基金整体")))</f>
        <v/>
      </c>
      <c r="J2174" t="str">
        <f t="shared" si="498"/>
        <v/>
      </c>
      <c r="K2174" t="str">
        <f t="shared" si="499"/>
        <v/>
      </c>
      <c r="L2174" t="str">
        <f t="shared" si="500"/>
        <v/>
      </c>
      <c r="M2174">
        <f>IF($A2174="",0,IF(COUNTIF($L$2:$L2174,$L2174)=1,1,0))</f>
        <v>0</v>
      </c>
      <c r="N2174" t="str">
        <f t="shared" si="501"/>
        <v/>
      </c>
      <c r="O2174" t="str">
        <f t="shared" si="502"/>
        <v/>
      </c>
      <c r="P2174">
        <f>IF($A2174="",0,IF(COUNTIF($O$2:$O2174,$O2174)=1,1,0))</f>
        <v>0</v>
      </c>
      <c r="Q2174" t="str">
        <f>IF(AND($P2174=1,$A2174=经营数据!$B$3,$J2174=经营数据!$BA$5),COUNTIFS($P$2:$P$3000,1,$A$2:$A$3000,$A2174,$J$2:$J$3000,$J2174,$N$2:$N$3000,"&lt;"&amp;$N2174)+1,"")</f>
        <v/>
      </c>
      <c r="R2174" t="str">
        <f t="shared" si="503"/>
        <v/>
      </c>
      <c r="S2174">
        <f>IF($A2174="",0,IF(COUNTIF($R$2:$R2174,$R2174)=1,1,0))</f>
        <v>0</v>
      </c>
      <c r="T2174" t="str">
        <f t="shared" si="504"/>
        <v/>
      </c>
      <c r="U2174" t="str">
        <f>IF($A2174="","",IF($A2174=经营数据!$B$3,COUNTIFS($S$2:$S$3000,1,$A$2:$A$3000,$A2174,$T$2:$T$3000,"&lt;"&amp;$T2174)+1,""))</f>
        <v/>
      </c>
      <c r="V2174" t="str">
        <f t="shared" si="505"/>
        <v/>
      </c>
      <c r="W2174" t="str">
        <f t="shared" si="506"/>
        <v/>
      </c>
      <c r="X2174" t="str">
        <f t="shared" si="507"/>
        <v/>
      </c>
      <c r="Y2174" t="str">
        <f t="shared" si="508"/>
        <v/>
      </c>
      <c r="Z2174">
        <f>IF($A2174="",0,IF(AND($M2174=1,$A2174=经营数据!$B$3,$J2174=经营数据!$BA$5,OR($I2174=经营数据!$BA$4,COUNTIF(经营数据!$AA$9:$AA$38,$I2174)&gt;0)),1,0))</f>
        <v>0</v>
      </c>
      <c r="AA2174" t="str">
        <f t="shared" si="509"/>
        <v/>
      </c>
      <c r="AB2174" t="str">
        <f t="shared" si="510"/>
        <v/>
      </c>
      <c r="AC2174">
        <f>IF($A2174="",0,IF(COUNTIF($A$2:$A2174,$A2174)=1,1,0))</f>
        <v>0</v>
      </c>
      <c r="AD2174">
        <f t="shared" si="511"/>
        <v>29</v>
      </c>
      <c r="AE2174" t="str">
        <f t="shared" si="512"/>
        <v/>
      </c>
    </row>
    <row r="2175" spans="1:31" x14ac:dyDescent="0.4">
      <c r="A2175" t="str">
        <f>IF(原始经营数据!$D2176="","",原始经营数据!$D2176)</f>
        <v/>
      </c>
      <c r="B2175" t="str">
        <f>IF(原始经营数据!$D2176="","",T(原始经营数据!$E2176))</f>
        <v/>
      </c>
      <c r="C2175" t="str">
        <f>IF(原始经营数据!$D2176="","",原始经营数据!$F2176)</f>
        <v/>
      </c>
      <c r="D2175" t="str">
        <f>IF(原始经营数据!$D2176="","",原始经营数据!$H2176)</f>
        <v/>
      </c>
      <c r="E2175" t="str">
        <f>IF(原始经营数据!$D2176="","",原始经营数据!$I2176)</f>
        <v/>
      </c>
      <c r="F2175" t="str">
        <f>IF(原始经营数据!$D2176="","",T(原始经营数据!$J2176))</f>
        <v/>
      </c>
      <c r="G2175" t="str">
        <f>IF(原始经营数据!$D2176="","",T(原始经营数据!$K2176))</f>
        <v/>
      </c>
      <c r="H2175" t="str">
        <f>IF(原始经营数据!$D2176="","",原始经营数据!$G2176)</f>
        <v/>
      </c>
      <c r="I2175" t="str">
        <f>IF($A2175="","",IF($B2175&lt;&gt;"",$B2175,IF(COUNTIFS(原始经营数据!$D$3:$D$3001,$A2175,原始经营数据!$E$3:$E$3001,"",原始经营数据!$F$3:$F$3001,$C2175,原始经营数据!$H$3:$H$3001,$D2175,原始经营数据!$K$3:$K$3001,$G2175)&gt;1,"基金整体·来源"&amp;原始经营数据!$A2176,"基金整体")))</f>
        <v/>
      </c>
      <c r="J2175" t="str">
        <f t="shared" si="498"/>
        <v/>
      </c>
      <c r="K2175" t="str">
        <f t="shared" si="499"/>
        <v/>
      </c>
      <c r="L2175" t="str">
        <f t="shared" si="500"/>
        <v/>
      </c>
      <c r="M2175">
        <f>IF($A2175="",0,IF(COUNTIF($L$2:$L2175,$L2175)=1,1,0))</f>
        <v>0</v>
      </c>
      <c r="N2175" t="str">
        <f t="shared" si="501"/>
        <v/>
      </c>
      <c r="O2175" t="str">
        <f t="shared" si="502"/>
        <v/>
      </c>
      <c r="P2175">
        <f>IF($A2175="",0,IF(COUNTIF($O$2:$O2175,$O2175)=1,1,0))</f>
        <v>0</v>
      </c>
      <c r="Q2175" t="str">
        <f>IF(AND($P2175=1,$A2175=经营数据!$B$3,$J2175=经营数据!$BA$5),COUNTIFS($P$2:$P$3000,1,$A$2:$A$3000,$A2175,$J$2:$J$3000,$J2175,$N$2:$N$3000,"&lt;"&amp;$N2175)+1,"")</f>
        <v/>
      </c>
      <c r="R2175" t="str">
        <f t="shared" si="503"/>
        <v/>
      </c>
      <c r="S2175">
        <f>IF($A2175="",0,IF(COUNTIF($R$2:$R2175,$R2175)=1,1,0))</f>
        <v>0</v>
      </c>
      <c r="T2175" t="str">
        <f t="shared" si="504"/>
        <v/>
      </c>
      <c r="U2175" t="str">
        <f>IF($A2175="","",IF($A2175=经营数据!$B$3,COUNTIFS($S$2:$S$3000,1,$A$2:$A$3000,$A2175,$T$2:$T$3000,"&lt;"&amp;$T2175)+1,""))</f>
        <v/>
      </c>
      <c r="V2175" t="str">
        <f t="shared" si="505"/>
        <v/>
      </c>
      <c r="W2175" t="str">
        <f t="shared" si="506"/>
        <v/>
      </c>
      <c r="X2175" t="str">
        <f t="shared" si="507"/>
        <v/>
      </c>
      <c r="Y2175" t="str">
        <f t="shared" si="508"/>
        <v/>
      </c>
      <c r="Z2175">
        <f>IF($A2175="",0,IF(AND($M2175=1,$A2175=经营数据!$B$3,$J2175=经营数据!$BA$5,OR($I2175=经营数据!$BA$4,COUNTIF(经营数据!$AA$9:$AA$38,$I2175)&gt;0)),1,0))</f>
        <v>0</v>
      </c>
      <c r="AA2175" t="str">
        <f t="shared" si="509"/>
        <v/>
      </c>
      <c r="AB2175" t="str">
        <f t="shared" si="510"/>
        <v/>
      </c>
      <c r="AC2175">
        <f>IF($A2175="",0,IF(COUNTIF($A$2:$A2175,$A2175)=1,1,0))</f>
        <v>0</v>
      </c>
      <c r="AD2175">
        <f t="shared" si="511"/>
        <v>29</v>
      </c>
      <c r="AE2175" t="str">
        <f t="shared" si="512"/>
        <v/>
      </c>
    </row>
    <row r="2176" spans="1:31" x14ac:dyDescent="0.4">
      <c r="A2176" t="str">
        <f>IF(原始经营数据!$D2177="","",原始经营数据!$D2177)</f>
        <v/>
      </c>
      <c r="B2176" t="str">
        <f>IF(原始经营数据!$D2177="","",T(原始经营数据!$E2177))</f>
        <v/>
      </c>
      <c r="C2176" t="str">
        <f>IF(原始经营数据!$D2177="","",原始经营数据!$F2177)</f>
        <v/>
      </c>
      <c r="D2176" t="str">
        <f>IF(原始经营数据!$D2177="","",原始经营数据!$H2177)</f>
        <v/>
      </c>
      <c r="E2176" t="str">
        <f>IF(原始经营数据!$D2177="","",原始经营数据!$I2177)</f>
        <v/>
      </c>
      <c r="F2176" t="str">
        <f>IF(原始经营数据!$D2177="","",T(原始经营数据!$J2177))</f>
        <v/>
      </c>
      <c r="G2176" t="str">
        <f>IF(原始经营数据!$D2177="","",T(原始经营数据!$K2177))</f>
        <v/>
      </c>
      <c r="H2176" t="str">
        <f>IF(原始经营数据!$D2177="","",原始经营数据!$G2177)</f>
        <v/>
      </c>
      <c r="I2176" t="str">
        <f>IF($A2176="","",IF($B2176&lt;&gt;"",$B2176,IF(COUNTIFS(原始经营数据!$D$3:$D$3001,$A2176,原始经营数据!$E$3:$E$3001,"",原始经营数据!$F$3:$F$3001,$C2176,原始经营数据!$H$3:$H$3001,$D2176,原始经营数据!$K$3:$K$3001,$G2176)&gt;1,"基金整体·来源"&amp;原始经营数据!$A2177,"基金整体")))</f>
        <v/>
      </c>
      <c r="J2176" t="str">
        <f t="shared" si="498"/>
        <v/>
      </c>
      <c r="K2176" t="str">
        <f t="shared" si="499"/>
        <v/>
      </c>
      <c r="L2176" t="str">
        <f t="shared" si="500"/>
        <v/>
      </c>
      <c r="M2176">
        <f>IF($A2176="",0,IF(COUNTIF($L$2:$L2176,$L2176)=1,1,0))</f>
        <v>0</v>
      </c>
      <c r="N2176" t="str">
        <f t="shared" si="501"/>
        <v/>
      </c>
      <c r="O2176" t="str">
        <f t="shared" si="502"/>
        <v/>
      </c>
      <c r="P2176">
        <f>IF($A2176="",0,IF(COUNTIF($O$2:$O2176,$O2176)=1,1,0))</f>
        <v>0</v>
      </c>
      <c r="Q2176" t="str">
        <f>IF(AND($P2176=1,$A2176=经营数据!$B$3,$J2176=经营数据!$BA$5),COUNTIFS($P$2:$P$3000,1,$A$2:$A$3000,$A2176,$J$2:$J$3000,$J2176,$N$2:$N$3000,"&lt;"&amp;$N2176)+1,"")</f>
        <v/>
      </c>
      <c r="R2176" t="str">
        <f t="shared" si="503"/>
        <v/>
      </c>
      <c r="S2176">
        <f>IF($A2176="",0,IF(COUNTIF($R$2:$R2176,$R2176)=1,1,0))</f>
        <v>0</v>
      </c>
      <c r="T2176" t="str">
        <f t="shared" si="504"/>
        <v/>
      </c>
      <c r="U2176" t="str">
        <f>IF($A2176="","",IF($A2176=经营数据!$B$3,COUNTIFS($S$2:$S$3000,1,$A$2:$A$3000,$A2176,$T$2:$T$3000,"&lt;"&amp;$T2176)+1,""))</f>
        <v/>
      </c>
      <c r="V2176" t="str">
        <f t="shared" si="505"/>
        <v/>
      </c>
      <c r="W2176" t="str">
        <f t="shared" si="506"/>
        <v/>
      </c>
      <c r="X2176" t="str">
        <f t="shared" si="507"/>
        <v/>
      </c>
      <c r="Y2176" t="str">
        <f t="shared" si="508"/>
        <v/>
      </c>
      <c r="Z2176">
        <f>IF($A2176="",0,IF(AND($M2176=1,$A2176=经营数据!$B$3,$J2176=经营数据!$BA$5,OR($I2176=经营数据!$BA$4,COUNTIF(经营数据!$AA$9:$AA$38,$I2176)&gt;0)),1,0))</f>
        <v>0</v>
      </c>
      <c r="AA2176" t="str">
        <f t="shared" si="509"/>
        <v/>
      </c>
      <c r="AB2176" t="str">
        <f t="shared" si="510"/>
        <v/>
      </c>
      <c r="AC2176">
        <f>IF($A2176="",0,IF(COUNTIF($A$2:$A2176,$A2176)=1,1,0))</f>
        <v>0</v>
      </c>
      <c r="AD2176">
        <f t="shared" si="511"/>
        <v>29</v>
      </c>
      <c r="AE2176" t="str">
        <f t="shared" si="512"/>
        <v/>
      </c>
    </row>
    <row r="2177" spans="1:31" x14ac:dyDescent="0.4">
      <c r="A2177" t="str">
        <f>IF(原始经营数据!$D2178="","",原始经营数据!$D2178)</f>
        <v/>
      </c>
      <c r="B2177" t="str">
        <f>IF(原始经营数据!$D2178="","",T(原始经营数据!$E2178))</f>
        <v/>
      </c>
      <c r="C2177" t="str">
        <f>IF(原始经营数据!$D2178="","",原始经营数据!$F2178)</f>
        <v/>
      </c>
      <c r="D2177" t="str">
        <f>IF(原始经营数据!$D2178="","",原始经营数据!$H2178)</f>
        <v/>
      </c>
      <c r="E2177" t="str">
        <f>IF(原始经营数据!$D2178="","",原始经营数据!$I2178)</f>
        <v/>
      </c>
      <c r="F2177" t="str">
        <f>IF(原始经营数据!$D2178="","",T(原始经营数据!$J2178))</f>
        <v/>
      </c>
      <c r="G2177" t="str">
        <f>IF(原始经营数据!$D2178="","",T(原始经营数据!$K2178))</f>
        <v/>
      </c>
      <c r="H2177" t="str">
        <f>IF(原始经营数据!$D2178="","",原始经营数据!$G2178)</f>
        <v/>
      </c>
      <c r="I2177" t="str">
        <f>IF($A2177="","",IF($B2177&lt;&gt;"",$B2177,IF(COUNTIFS(原始经营数据!$D$3:$D$3001,$A2177,原始经营数据!$E$3:$E$3001,"",原始经营数据!$F$3:$F$3001,$C2177,原始经营数据!$H$3:$H$3001,$D2177,原始经营数据!$K$3:$K$3001,$G2177)&gt;1,"基金整体·来源"&amp;原始经营数据!$A2178,"基金整体")))</f>
        <v/>
      </c>
      <c r="J2177" t="str">
        <f t="shared" si="498"/>
        <v/>
      </c>
      <c r="K2177" t="str">
        <f t="shared" si="499"/>
        <v/>
      </c>
      <c r="L2177" t="str">
        <f t="shared" si="500"/>
        <v/>
      </c>
      <c r="M2177">
        <f>IF($A2177="",0,IF(COUNTIF($L$2:$L2177,$L2177)=1,1,0))</f>
        <v>0</v>
      </c>
      <c r="N2177" t="str">
        <f t="shared" si="501"/>
        <v/>
      </c>
      <c r="O2177" t="str">
        <f t="shared" si="502"/>
        <v/>
      </c>
      <c r="P2177">
        <f>IF($A2177="",0,IF(COUNTIF($O$2:$O2177,$O2177)=1,1,0))</f>
        <v>0</v>
      </c>
      <c r="Q2177" t="str">
        <f>IF(AND($P2177=1,$A2177=经营数据!$B$3,$J2177=经营数据!$BA$5),COUNTIFS($P$2:$P$3000,1,$A$2:$A$3000,$A2177,$J$2:$J$3000,$J2177,$N$2:$N$3000,"&lt;"&amp;$N2177)+1,"")</f>
        <v/>
      </c>
      <c r="R2177" t="str">
        <f t="shared" si="503"/>
        <v/>
      </c>
      <c r="S2177">
        <f>IF($A2177="",0,IF(COUNTIF($R$2:$R2177,$R2177)=1,1,0))</f>
        <v>0</v>
      </c>
      <c r="T2177" t="str">
        <f t="shared" si="504"/>
        <v/>
      </c>
      <c r="U2177" t="str">
        <f>IF($A2177="","",IF($A2177=经营数据!$B$3,COUNTIFS($S$2:$S$3000,1,$A$2:$A$3000,$A2177,$T$2:$T$3000,"&lt;"&amp;$T2177)+1,""))</f>
        <v/>
      </c>
      <c r="V2177" t="str">
        <f t="shared" si="505"/>
        <v/>
      </c>
      <c r="W2177" t="str">
        <f t="shared" si="506"/>
        <v/>
      </c>
      <c r="X2177" t="str">
        <f t="shared" si="507"/>
        <v/>
      </c>
      <c r="Y2177" t="str">
        <f t="shared" si="508"/>
        <v/>
      </c>
      <c r="Z2177">
        <f>IF($A2177="",0,IF(AND($M2177=1,$A2177=经营数据!$B$3,$J2177=经营数据!$BA$5,OR($I2177=经营数据!$BA$4,COUNTIF(经营数据!$AA$9:$AA$38,$I2177)&gt;0)),1,0))</f>
        <v>0</v>
      </c>
      <c r="AA2177" t="str">
        <f t="shared" si="509"/>
        <v/>
      </c>
      <c r="AB2177" t="str">
        <f t="shared" si="510"/>
        <v/>
      </c>
      <c r="AC2177">
        <f>IF($A2177="",0,IF(COUNTIF($A$2:$A2177,$A2177)=1,1,0))</f>
        <v>0</v>
      </c>
      <c r="AD2177">
        <f t="shared" si="511"/>
        <v>29</v>
      </c>
      <c r="AE2177" t="str">
        <f t="shared" si="512"/>
        <v/>
      </c>
    </row>
    <row r="2178" spans="1:31" x14ac:dyDescent="0.4">
      <c r="A2178" t="str">
        <f>IF(原始经营数据!$D2179="","",原始经营数据!$D2179)</f>
        <v/>
      </c>
      <c r="B2178" t="str">
        <f>IF(原始经营数据!$D2179="","",T(原始经营数据!$E2179))</f>
        <v/>
      </c>
      <c r="C2178" t="str">
        <f>IF(原始经营数据!$D2179="","",原始经营数据!$F2179)</f>
        <v/>
      </c>
      <c r="D2178" t="str">
        <f>IF(原始经营数据!$D2179="","",原始经营数据!$H2179)</f>
        <v/>
      </c>
      <c r="E2178" t="str">
        <f>IF(原始经营数据!$D2179="","",原始经营数据!$I2179)</f>
        <v/>
      </c>
      <c r="F2178" t="str">
        <f>IF(原始经营数据!$D2179="","",T(原始经营数据!$J2179))</f>
        <v/>
      </c>
      <c r="G2178" t="str">
        <f>IF(原始经营数据!$D2179="","",T(原始经营数据!$K2179))</f>
        <v/>
      </c>
      <c r="H2178" t="str">
        <f>IF(原始经营数据!$D2179="","",原始经营数据!$G2179)</f>
        <v/>
      </c>
      <c r="I2178" t="str">
        <f>IF($A2178="","",IF($B2178&lt;&gt;"",$B2178,IF(COUNTIFS(原始经营数据!$D$3:$D$3001,$A2178,原始经营数据!$E$3:$E$3001,"",原始经营数据!$F$3:$F$3001,$C2178,原始经营数据!$H$3:$H$3001,$D2178,原始经营数据!$K$3:$K$3001,$G2178)&gt;1,"基金整体·来源"&amp;原始经营数据!$A2179,"基金整体")))</f>
        <v/>
      </c>
      <c r="J2178" t="str">
        <f t="shared" ref="J2178:J2241" si="513">IF($A2178="","",IF(LEN($C2178)=4,"年度",IF(AND(LEN($C2178)=6,ISNUMBER(SEARCH("Q",$C2178))),"季度","其他期间")))</f>
        <v/>
      </c>
      <c r="K2178" t="str">
        <f t="shared" ref="K2178:K2241" si="514">IF($A2178="","",$D2178&amp;IF($G2178="","","-"&amp;SUBSTITUTE($G2178,CHAR(10),""))&amp;IF($F2178="","","（"&amp;$F2178&amp;"）"))</f>
        <v/>
      </c>
      <c r="L2178" t="str">
        <f t="shared" ref="L2178:L2241" si="515">IF($A2178="","",$I2178&amp;"|"&amp;$K2178&amp;"|"&amp;$J2178)</f>
        <v/>
      </c>
      <c r="M2178">
        <f>IF($A2178="",0,IF(COUNTIF($L$2:$L2178,$L2178)=1,1,0))</f>
        <v>0</v>
      </c>
      <c r="N2178" t="str">
        <f t="shared" ref="N2178:N2241" si="516">IF($A2178="","",IF($J2178="年度",VALUE($C2178)*10,IF($J2178="季度",VALUE(LEFT($C2178,4))*10+VALUE(RIGHT($C2178,1)),VALUE(LEFT($C2178,4))*10+9)))</f>
        <v/>
      </c>
      <c r="O2178" t="str">
        <f t="shared" ref="O2178:O2241" si="517">IF($A2178="","",$A2178&amp;"|"&amp;$C2178&amp;"|"&amp;$J2178)</f>
        <v/>
      </c>
      <c r="P2178">
        <f>IF($A2178="",0,IF(COUNTIF($O$2:$O2178,$O2178)=1,1,0))</f>
        <v>0</v>
      </c>
      <c r="Q2178" t="str">
        <f>IF(AND($P2178=1,$A2178=经营数据!$B$3,$J2178=经营数据!$BA$5),COUNTIFS($P$2:$P$3000,1,$A$2:$A$3000,$A2178,$J$2:$J$3000,$J2178,$N$2:$N$3000,"&lt;"&amp;$N2178)+1,"")</f>
        <v/>
      </c>
      <c r="R2178" t="str">
        <f t="shared" ref="R2178:R2241" si="518">IF($A2178="","",$A2178&amp;"|"&amp;$I2178)</f>
        <v/>
      </c>
      <c r="S2178">
        <f>IF($A2178="",0,IF(COUNTIF($R$2:$R2178,$R2178)=1,1,0))</f>
        <v>0</v>
      </c>
      <c r="T2178" t="str">
        <f t="shared" ref="T2178:T2241" si="519">IF($A2178="","",MATCH($R2178,$R$2:$R$3000,0))</f>
        <v/>
      </c>
      <c r="U2178" t="str">
        <f>IF($A2178="","",IF($A2178=经营数据!$B$3,COUNTIFS($S$2:$S$3000,1,$A$2:$A$3000,$A2178,$T$2:$T$3000,"&lt;"&amp;$T2178)+1,""))</f>
        <v/>
      </c>
      <c r="V2178" t="str">
        <f t="shared" ref="V2178:V2241" si="520">IF($A2178="","",$I2178&amp;"|"&amp;$H2178)</f>
        <v/>
      </c>
      <c r="W2178" t="str">
        <f t="shared" ref="W2178:W2241" si="521">IF($A2178="","",MATCH($V2178,$V$2:$V$3000,0))</f>
        <v/>
      </c>
      <c r="X2178" t="str">
        <f t="shared" ref="X2178:X2241" si="522">IF($A2178="","",$I2178&amp;"|"&amp;$D2178)</f>
        <v/>
      </c>
      <c r="Y2178" t="str">
        <f t="shared" ref="Y2178:Y2241" si="523">IF($A2178="","",MATCH($X2178,$X$2:$X$3000,0))</f>
        <v/>
      </c>
      <c r="Z2178">
        <f>IF($A2178="",0,IF(AND($M2178=1,$A2178=经营数据!$B$3,$J2178=经营数据!$BA$5,OR($I2178=经营数据!$BA$4,COUNTIF(经营数据!$AA$9:$AA$38,$I2178)&gt;0)),1,0))</f>
        <v>0</v>
      </c>
      <c r="AA2178" t="str">
        <f t="shared" ref="AA2178:AA2241" si="524">IF($Z2178=1,$U2178*1000000000000+$W2178*100000000+$Y2178*10000+ROW(),"")</f>
        <v/>
      </c>
      <c r="AB2178" t="str">
        <f t="shared" ref="AB2178:AB2241" si="525">IF($Z2178=1,COUNTIFS($Z$2:$Z$3000,1,$AA$2:$AA$3000,"&lt;"&amp;$AA2178)+1,"")</f>
        <v/>
      </c>
      <c r="AC2178">
        <f>IF($A2178="",0,IF(COUNTIF($A$2:$A2178,$A2178)=1,1,0))</f>
        <v>0</v>
      </c>
      <c r="AD2178">
        <f t="shared" ref="AD2178:AD2241" si="526">IF($A2178="",N(AD2177),IF($AC2178=1,N(AD2177)+1,N(AD2177)))</f>
        <v>29</v>
      </c>
      <c r="AE2178" t="str">
        <f t="shared" ref="AE2178:AE2241" si="527">IF($A2178="","",$I2178&amp;"|"&amp;$K2178)</f>
        <v/>
      </c>
    </row>
    <row r="2179" spans="1:31" x14ac:dyDescent="0.4">
      <c r="A2179" t="str">
        <f>IF(原始经营数据!$D2180="","",原始经营数据!$D2180)</f>
        <v/>
      </c>
      <c r="B2179" t="str">
        <f>IF(原始经营数据!$D2180="","",T(原始经营数据!$E2180))</f>
        <v/>
      </c>
      <c r="C2179" t="str">
        <f>IF(原始经营数据!$D2180="","",原始经营数据!$F2180)</f>
        <v/>
      </c>
      <c r="D2179" t="str">
        <f>IF(原始经营数据!$D2180="","",原始经营数据!$H2180)</f>
        <v/>
      </c>
      <c r="E2179" t="str">
        <f>IF(原始经营数据!$D2180="","",原始经营数据!$I2180)</f>
        <v/>
      </c>
      <c r="F2179" t="str">
        <f>IF(原始经营数据!$D2180="","",T(原始经营数据!$J2180))</f>
        <v/>
      </c>
      <c r="G2179" t="str">
        <f>IF(原始经营数据!$D2180="","",T(原始经营数据!$K2180))</f>
        <v/>
      </c>
      <c r="H2179" t="str">
        <f>IF(原始经营数据!$D2180="","",原始经营数据!$G2180)</f>
        <v/>
      </c>
      <c r="I2179" t="str">
        <f>IF($A2179="","",IF($B2179&lt;&gt;"",$B2179,IF(COUNTIFS(原始经营数据!$D$3:$D$3001,$A2179,原始经营数据!$E$3:$E$3001,"",原始经营数据!$F$3:$F$3001,$C2179,原始经营数据!$H$3:$H$3001,$D2179,原始经营数据!$K$3:$K$3001,$G2179)&gt;1,"基金整体·来源"&amp;原始经营数据!$A2180,"基金整体")))</f>
        <v/>
      </c>
      <c r="J2179" t="str">
        <f t="shared" si="513"/>
        <v/>
      </c>
      <c r="K2179" t="str">
        <f t="shared" si="514"/>
        <v/>
      </c>
      <c r="L2179" t="str">
        <f t="shared" si="515"/>
        <v/>
      </c>
      <c r="M2179">
        <f>IF($A2179="",0,IF(COUNTIF($L$2:$L2179,$L2179)=1,1,0))</f>
        <v>0</v>
      </c>
      <c r="N2179" t="str">
        <f t="shared" si="516"/>
        <v/>
      </c>
      <c r="O2179" t="str">
        <f t="shared" si="517"/>
        <v/>
      </c>
      <c r="P2179">
        <f>IF($A2179="",0,IF(COUNTIF($O$2:$O2179,$O2179)=1,1,0))</f>
        <v>0</v>
      </c>
      <c r="Q2179" t="str">
        <f>IF(AND($P2179=1,$A2179=经营数据!$B$3,$J2179=经营数据!$BA$5),COUNTIFS($P$2:$P$3000,1,$A$2:$A$3000,$A2179,$J$2:$J$3000,$J2179,$N$2:$N$3000,"&lt;"&amp;$N2179)+1,"")</f>
        <v/>
      </c>
      <c r="R2179" t="str">
        <f t="shared" si="518"/>
        <v/>
      </c>
      <c r="S2179">
        <f>IF($A2179="",0,IF(COUNTIF($R$2:$R2179,$R2179)=1,1,0))</f>
        <v>0</v>
      </c>
      <c r="T2179" t="str">
        <f t="shared" si="519"/>
        <v/>
      </c>
      <c r="U2179" t="str">
        <f>IF($A2179="","",IF($A2179=经营数据!$B$3,COUNTIFS($S$2:$S$3000,1,$A$2:$A$3000,$A2179,$T$2:$T$3000,"&lt;"&amp;$T2179)+1,""))</f>
        <v/>
      </c>
      <c r="V2179" t="str">
        <f t="shared" si="520"/>
        <v/>
      </c>
      <c r="W2179" t="str">
        <f t="shared" si="521"/>
        <v/>
      </c>
      <c r="X2179" t="str">
        <f t="shared" si="522"/>
        <v/>
      </c>
      <c r="Y2179" t="str">
        <f t="shared" si="523"/>
        <v/>
      </c>
      <c r="Z2179">
        <f>IF($A2179="",0,IF(AND($M2179=1,$A2179=经营数据!$B$3,$J2179=经营数据!$BA$5,OR($I2179=经营数据!$BA$4,COUNTIF(经营数据!$AA$9:$AA$38,$I2179)&gt;0)),1,0))</f>
        <v>0</v>
      </c>
      <c r="AA2179" t="str">
        <f t="shared" si="524"/>
        <v/>
      </c>
      <c r="AB2179" t="str">
        <f t="shared" si="525"/>
        <v/>
      </c>
      <c r="AC2179">
        <f>IF($A2179="",0,IF(COUNTIF($A$2:$A2179,$A2179)=1,1,0))</f>
        <v>0</v>
      </c>
      <c r="AD2179">
        <f t="shared" si="526"/>
        <v>29</v>
      </c>
      <c r="AE2179" t="str">
        <f t="shared" si="527"/>
        <v/>
      </c>
    </row>
    <row r="2180" spans="1:31" x14ac:dyDescent="0.4">
      <c r="A2180" t="str">
        <f>IF(原始经营数据!$D2181="","",原始经营数据!$D2181)</f>
        <v/>
      </c>
      <c r="B2180" t="str">
        <f>IF(原始经营数据!$D2181="","",T(原始经营数据!$E2181))</f>
        <v/>
      </c>
      <c r="C2180" t="str">
        <f>IF(原始经营数据!$D2181="","",原始经营数据!$F2181)</f>
        <v/>
      </c>
      <c r="D2180" t="str">
        <f>IF(原始经营数据!$D2181="","",原始经营数据!$H2181)</f>
        <v/>
      </c>
      <c r="E2180" t="str">
        <f>IF(原始经营数据!$D2181="","",原始经营数据!$I2181)</f>
        <v/>
      </c>
      <c r="F2180" t="str">
        <f>IF(原始经营数据!$D2181="","",T(原始经营数据!$J2181))</f>
        <v/>
      </c>
      <c r="G2180" t="str">
        <f>IF(原始经营数据!$D2181="","",T(原始经营数据!$K2181))</f>
        <v/>
      </c>
      <c r="H2180" t="str">
        <f>IF(原始经营数据!$D2181="","",原始经营数据!$G2181)</f>
        <v/>
      </c>
      <c r="I2180" t="str">
        <f>IF($A2180="","",IF($B2180&lt;&gt;"",$B2180,IF(COUNTIFS(原始经营数据!$D$3:$D$3001,$A2180,原始经营数据!$E$3:$E$3001,"",原始经营数据!$F$3:$F$3001,$C2180,原始经营数据!$H$3:$H$3001,$D2180,原始经营数据!$K$3:$K$3001,$G2180)&gt;1,"基金整体·来源"&amp;原始经营数据!$A2181,"基金整体")))</f>
        <v/>
      </c>
      <c r="J2180" t="str">
        <f t="shared" si="513"/>
        <v/>
      </c>
      <c r="K2180" t="str">
        <f t="shared" si="514"/>
        <v/>
      </c>
      <c r="L2180" t="str">
        <f t="shared" si="515"/>
        <v/>
      </c>
      <c r="M2180">
        <f>IF($A2180="",0,IF(COUNTIF($L$2:$L2180,$L2180)=1,1,0))</f>
        <v>0</v>
      </c>
      <c r="N2180" t="str">
        <f t="shared" si="516"/>
        <v/>
      </c>
      <c r="O2180" t="str">
        <f t="shared" si="517"/>
        <v/>
      </c>
      <c r="P2180">
        <f>IF($A2180="",0,IF(COUNTIF($O$2:$O2180,$O2180)=1,1,0))</f>
        <v>0</v>
      </c>
      <c r="Q2180" t="str">
        <f>IF(AND($P2180=1,$A2180=经营数据!$B$3,$J2180=经营数据!$BA$5),COUNTIFS($P$2:$P$3000,1,$A$2:$A$3000,$A2180,$J$2:$J$3000,$J2180,$N$2:$N$3000,"&lt;"&amp;$N2180)+1,"")</f>
        <v/>
      </c>
      <c r="R2180" t="str">
        <f t="shared" si="518"/>
        <v/>
      </c>
      <c r="S2180">
        <f>IF($A2180="",0,IF(COUNTIF($R$2:$R2180,$R2180)=1,1,0))</f>
        <v>0</v>
      </c>
      <c r="T2180" t="str">
        <f t="shared" si="519"/>
        <v/>
      </c>
      <c r="U2180" t="str">
        <f>IF($A2180="","",IF($A2180=经营数据!$B$3,COUNTIFS($S$2:$S$3000,1,$A$2:$A$3000,$A2180,$T$2:$T$3000,"&lt;"&amp;$T2180)+1,""))</f>
        <v/>
      </c>
      <c r="V2180" t="str">
        <f t="shared" si="520"/>
        <v/>
      </c>
      <c r="W2180" t="str">
        <f t="shared" si="521"/>
        <v/>
      </c>
      <c r="X2180" t="str">
        <f t="shared" si="522"/>
        <v/>
      </c>
      <c r="Y2180" t="str">
        <f t="shared" si="523"/>
        <v/>
      </c>
      <c r="Z2180">
        <f>IF($A2180="",0,IF(AND($M2180=1,$A2180=经营数据!$B$3,$J2180=经营数据!$BA$5,OR($I2180=经营数据!$BA$4,COUNTIF(经营数据!$AA$9:$AA$38,$I2180)&gt;0)),1,0))</f>
        <v>0</v>
      </c>
      <c r="AA2180" t="str">
        <f t="shared" si="524"/>
        <v/>
      </c>
      <c r="AB2180" t="str">
        <f t="shared" si="525"/>
        <v/>
      </c>
      <c r="AC2180">
        <f>IF($A2180="",0,IF(COUNTIF($A$2:$A2180,$A2180)=1,1,0))</f>
        <v>0</v>
      </c>
      <c r="AD2180">
        <f t="shared" si="526"/>
        <v>29</v>
      </c>
      <c r="AE2180" t="str">
        <f t="shared" si="527"/>
        <v/>
      </c>
    </row>
    <row r="2181" spans="1:31" x14ac:dyDescent="0.4">
      <c r="A2181" t="str">
        <f>IF(原始经营数据!$D2182="","",原始经营数据!$D2182)</f>
        <v/>
      </c>
      <c r="B2181" t="str">
        <f>IF(原始经营数据!$D2182="","",T(原始经营数据!$E2182))</f>
        <v/>
      </c>
      <c r="C2181" t="str">
        <f>IF(原始经营数据!$D2182="","",原始经营数据!$F2182)</f>
        <v/>
      </c>
      <c r="D2181" t="str">
        <f>IF(原始经营数据!$D2182="","",原始经营数据!$H2182)</f>
        <v/>
      </c>
      <c r="E2181" t="str">
        <f>IF(原始经营数据!$D2182="","",原始经营数据!$I2182)</f>
        <v/>
      </c>
      <c r="F2181" t="str">
        <f>IF(原始经营数据!$D2182="","",T(原始经营数据!$J2182))</f>
        <v/>
      </c>
      <c r="G2181" t="str">
        <f>IF(原始经营数据!$D2182="","",T(原始经营数据!$K2182))</f>
        <v/>
      </c>
      <c r="H2181" t="str">
        <f>IF(原始经营数据!$D2182="","",原始经营数据!$G2182)</f>
        <v/>
      </c>
      <c r="I2181" t="str">
        <f>IF($A2181="","",IF($B2181&lt;&gt;"",$B2181,IF(COUNTIFS(原始经营数据!$D$3:$D$3001,$A2181,原始经营数据!$E$3:$E$3001,"",原始经营数据!$F$3:$F$3001,$C2181,原始经营数据!$H$3:$H$3001,$D2181,原始经营数据!$K$3:$K$3001,$G2181)&gt;1,"基金整体·来源"&amp;原始经营数据!$A2182,"基金整体")))</f>
        <v/>
      </c>
      <c r="J2181" t="str">
        <f t="shared" si="513"/>
        <v/>
      </c>
      <c r="K2181" t="str">
        <f t="shared" si="514"/>
        <v/>
      </c>
      <c r="L2181" t="str">
        <f t="shared" si="515"/>
        <v/>
      </c>
      <c r="M2181">
        <f>IF($A2181="",0,IF(COUNTIF($L$2:$L2181,$L2181)=1,1,0))</f>
        <v>0</v>
      </c>
      <c r="N2181" t="str">
        <f t="shared" si="516"/>
        <v/>
      </c>
      <c r="O2181" t="str">
        <f t="shared" si="517"/>
        <v/>
      </c>
      <c r="P2181">
        <f>IF($A2181="",0,IF(COUNTIF($O$2:$O2181,$O2181)=1,1,0))</f>
        <v>0</v>
      </c>
      <c r="Q2181" t="str">
        <f>IF(AND($P2181=1,$A2181=经营数据!$B$3,$J2181=经营数据!$BA$5),COUNTIFS($P$2:$P$3000,1,$A$2:$A$3000,$A2181,$J$2:$J$3000,$J2181,$N$2:$N$3000,"&lt;"&amp;$N2181)+1,"")</f>
        <v/>
      </c>
      <c r="R2181" t="str">
        <f t="shared" si="518"/>
        <v/>
      </c>
      <c r="S2181">
        <f>IF($A2181="",0,IF(COUNTIF($R$2:$R2181,$R2181)=1,1,0))</f>
        <v>0</v>
      </c>
      <c r="T2181" t="str">
        <f t="shared" si="519"/>
        <v/>
      </c>
      <c r="U2181" t="str">
        <f>IF($A2181="","",IF($A2181=经营数据!$B$3,COUNTIFS($S$2:$S$3000,1,$A$2:$A$3000,$A2181,$T$2:$T$3000,"&lt;"&amp;$T2181)+1,""))</f>
        <v/>
      </c>
      <c r="V2181" t="str">
        <f t="shared" si="520"/>
        <v/>
      </c>
      <c r="W2181" t="str">
        <f t="shared" si="521"/>
        <v/>
      </c>
      <c r="X2181" t="str">
        <f t="shared" si="522"/>
        <v/>
      </c>
      <c r="Y2181" t="str">
        <f t="shared" si="523"/>
        <v/>
      </c>
      <c r="Z2181">
        <f>IF($A2181="",0,IF(AND($M2181=1,$A2181=经营数据!$B$3,$J2181=经营数据!$BA$5,OR($I2181=经营数据!$BA$4,COUNTIF(经营数据!$AA$9:$AA$38,$I2181)&gt;0)),1,0))</f>
        <v>0</v>
      </c>
      <c r="AA2181" t="str">
        <f t="shared" si="524"/>
        <v/>
      </c>
      <c r="AB2181" t="str">
        <f t="shared" si="525"/>
        <v/>
      </c>
      <c r="AC2181">
        <f>IF($A2181="",0,IF(COUNTIF($A$2:$A2181,$A2181)=1,1,0))</f>
        <v>0</v>
      </c>
      <c r="AD2181">
        <f t="shared" si="526"/>
        <v>29</v>
      </c>
      <c r="AE2181" t="str">
        <f t="shared" si="527"/>
        <v/>
      </c>
    </row>
    <row r="2182" spans="1:31" x14ac:dyDescent="0.4">
      <c r="A2182" t="str">
        <f>IF(原始经营数据!$D2183="","",原始经营数据!$D2183)</f>
        <v/>
      </c>
      <c r="B2182" t="str">
        <f>IF(原始经营数据!$D2183="","",T(原始经营数据!$E2183))</f>
        <v/>
      </c>
      <c r="C2182" t="str">
        <f>IF(原始经营数据!$D2183="","",原始经营数据!$F2183)</f>
        <v/>
      </c>
      <c r="D2182" t="str">
        <f>IF(原始经营数据!$D2183="","",原始经营数据!$H2183)</f>
        <v/>
      </c>
      <c r="E2182" t="str">
        <f>IF(原始经营数据!$D2183="","",原始经营数据!$I2183)</f>
        <v/>
      </c>
      <c r="F2182" t="str">
        <f>IF(原始经营数据!$D2183="","",T(原始经营数据!$J2183))</f>
        <v/>
      </c>
      <c r="G2182" t="str">
        <f>IF(原始经营数据!$D2183="","",T(原始经营数据!$K2183))</f>
        <v/>
      </c>
      <c r="H2182" t="str">
        <f>IF(原始经营数据!$D2183="","",原始经营数据!$G2183)</f>
        <v/>
      </c>
      <c r="I2182" t="str">
        <f>IF($A2182="","",IF($B2182&lt;&gt;"",$B2182,IF(COUNTIFS(原始经营数据!$D$3:$D$3001,$A2182,原始经营数据!$E$3:$E$3001,"",原始经营数据!$F$3:$F$3001,$C2182,原始经营数据!$H$3:$H$3001,$D2182,原始经营数据!$K$3:$K$3001,$G2182)&gt;1,"基金整体·来源"&amp;原始经营数据!$A2183,"基金整体")))</f>
        <v/>
      </c>
      <c r="J2182" t="str">
        <f t="shared" si="513"/>
        <v/>
      </c>
      <c r="K2182" t="str">
        <f t="shared" si="514"/>
        <v/>
      </c>
      <c r="L2182" t="str">
        <f t="shared" si="515"/>
        <v/>
      </c>
      <c r="M2182">
        <f>IF($A2182="",0,IF(COUNTIF($L$2:$L2182,$L2182)=1,1,0))</f>
        <v>0</v>
      </c>
      <c r="N2182" t="str">
        <f t="shared" si="516"/>
        <v/>
      </c>
      <c r="O2182" t="str">
        <f t="shared" si="517"/>
        <v/>
      </c>
      <c r="P2182">
        <f>IF($A2182="",0,IF(COUNTIF($O$2:$O2182,$O2182)=1,1,0))</f>
        <v>0</v>
      </c>
      <c r="Q2182" t="str">
        <f>IF(AND($P2182=1,$A2182=经营数据!$B$3,$J2182=经营数据!$BA$5),COUNTIFS($P$2:$P$3000,1,$A$2:$A$3000,$A2182,$J$2:$J$3000,$J2182,$N$2:$N$3000,"&lt;"&amp;$N2182)+1,"")</f>
        <v/>
      </c>
      <c r="R2182" t="str">
        <f t="shared" si="518"/>
        <v/>
      </c>
      <c r="S2182">
        <f>IF($A2182="",0,IF(COUNTIF($R$2:$R2182,$R2182)=1,1,0))</f>
        <v>0</v>
      </c>
      <c r="T2182" t="str">
        <f t="shared" si="519"/>
        <v/>
      </c>
      <c r="U2182" t="str">
        <f>IF($A2182="","",IF($A2182=经营数据!$B$3,COUNTIFS($S$2:$S$3000,1,$A$2:$A$3000,$A2182,$T$2:$T$3000,"&lt;"&amp;$T2182)+1,""))</f>
        <v/>
      </c>
      <c r="V2182" t="str">
        <f t="shared" si="520"/>
        <v/>
      </c>
      <c r="W2182" t="str">
        <f t="shared" si="521"/>
        <v/>
      </c>
      <c r="X2182" t="str">
        <f t="shared" si="522"/>
        <v/>
      </c>
      <c r="Y2182" t="str">
        <f t="shared" si="523"/>
        <v/>
      </c>
      <c r="Z2182">
        <f>IF($A2182="",0,IF(AND($M2182=1,$A2182=经营数据!$B$3,$J2182=经营数据!$BA$5,OR($I2182=经营数据!$BA$4,COUNTIF(经营数据!$AA$9:$AA$38,$I2182)&gt;0)),1,0))</f>
        <v>0</v>
      </c>
      <c r="AA2182" t="str">
        <f t="shared" si="524"/>
        <v/>
      </c>
      <c r="AB2182" t="str">
        <f t="shared" si="525"/>
        <v/>
      </c>
      <c r="AC2182">
        <f>IF($A2182="",0,IF(COUNTIF($A$2:$A2182,$A2182)=1,1,0))</f>
        <v>0</v>
      </c>
      <c r="AD2182">
        <f t="shared" si="526"/>
        <v>29</v>
      </c>
      <c r="AE2182" t="str">
        <f t="shared" si="527"/>
        <v/>
      </c>
    </row>
    <row r="2183" spans="1:31" x14ac:dyDescent="0.4">
      <c r="A2183" t="str">
        <f>IF(原始经营数据!$D2184="","",原始经营数据!$D2184)</f>
        <v/>
      </c>
      <c r="B2183" t="str">
        <f>IF(原始经营数据!$D2184="","",T(原始经营数据!$E2184))</f>
        <v/>
      </c>
      <c r="C2183" t="str">
        <f>IF(原始经营数据!$D2184="","",原始经营数据!$F2184)</f>
        <v/>
      </c>
      <c r="D2183" t="str">
        <f>IF(原始经营数据!$D2184="","",原始经营数据!$H2184)</f>
        <v/>
      </c>
      <c r="E2183" t="str">
        <f>IF(原始经营数据!$D2184="","",原始经营数据!$I2184)</f>
        <v/>
      </c>
      <c r="F2183" t="str">
        <f>IF(原始经营数据!$D2184="","",T(原始经营数据!$J2184))</f>
        <v/>
      </c>
      <c r="G2183" t="str">
        <f>IF(原始经营数据!$D2184="","",T(原始经营数据!$K2184))</f>
        <v/>
      </c>
      <c r="H2183" t="str">
        <f>IF(原始经营数据!$D2184="","",原始经营数据!$G2184)</f>
        <v/>
      </c>
      <c r="I2183" t="str">
        <f>IF($A2183="","",IF($B2183&lt;&gt;"",$B2183,IF(COUNTIFS(原始经营数据!$D$3:$D$3001,$A2183,原始经营数据!$E$3:$E$3001,"",原始经营数据!$F$3:$F$3001,$C2183,原始经营数据!$H$3:$H$3001,$D2183,原始经营数据!$K$3:$K$3001,$G2183)&gt;1,"基金整体·来源"&amp;原始经营数据!$A2184,"基金整体")))</f>
        <v/>
      </c>
      <c r="J2183" t="str">
        <f t="shared" si="513"/>
        <v/>
      </c>
      <c r="K2183" t="str">
        <f t="shared" si="514"/>
        <v/>
      </c>
      <c r="L2183" t="str">
        <f t="shared" si="515"/>
        <v/>
      </c>
      <c r="M2183">
        <f>IF($A2183="",0,IF(COUNTIF($L$2:$L2183,$L2183)=1,1,0))</f>
        <v>0</v>
      </c>
      <c r="N2183" t="str">
        <f t="shared" si="516"/>
        <v/>
      </c>
      <c r="O2183" t="str">
        <f t="shared" si="517"/>
        <v/>
      </c>
      <c r="P2183">
        <f>IF($A2183="",0,IF(COUNTIF($O$2:$O2183,$O2183)=1,1,0))</f>
        <v>0</v>
      </c>
      <c r="Q2183" t="str">
        <f>IF(AND($P2183=1,$A2183=经营数据!$B$3,$J2183=经营数据!$BA$5),COUNTIFS($P$2:$P$3000,1,$A$2:$A$3000,$A2183,$J$2:$J$3000,$J2183,$N$2:$N$3000,"&lt;"&amp;$N2183)+1,"")</f>
        <v/>
      </c>
      <c r="R2183" t="str">
        <f t="shared" si="518"/>
        <v/>
      </c>
      <c r="S2183">
        <f>IF($A2183="",0,IF(COUNTIF($R$2:$R2183,$R2183)=1,1,0))</f>
        <v>0</v>
      </c>
      <c r="T2183" t="str">
        <f t="shared" si="519"/>
        <v/>
      </c>
      <c r="U2183" t="str">
        <f>IF($A2183="","",IF($A2183=经营数据!$B$3,COUNTIFS($S$2:$S$3000,1,$A$2:$A$3000,$A2183,$T$2:$T$3000,"&lt;"&amp;$T2183)+1,""))</f>
        <v/>
      </c>
      <c r="V2183" t="str">
        <f t="shared" si="520"/>
        <v/>
      </c>
      <c r="W2183" t="str">
        <f t="shared" si="521"/>
        <v/>
      </c>
      <c r="X2183" t="str">
        <f t="shared" si="522"/>
        <v/>
      </c>
      <c r="Y2183" t="str">
        <f t="shared" si="523"/>
        <v/>
      </c>
      <c r="Z2183">
        <f>IF($A2183="",0,IF(AND($M2183=1,$A2183=经营数据!$B$3,$J2183=经营数据!$BA$5,OR($I2183=经营数据!$BA$4,COUNTIF(经营数据!$AA$9:$AA$38,$I2183)&gt;0)),1,0))</f>
        <v>0</v>
      </c>
      <c r="AA2183" t="str">
        <f t="shared" si="524"/>
        <v/>
      </c>
      <c r="AB2183" t="str">
        <f t="shared" si="525"/>
        <v/>
      </c>
      <c r="AC2183">
        <f>IF($A2183="",0,IF(COUNTIF($A$2:$A2183,$A2183)=1,1,0))</f>
        <v>0</v>
      </c>
      <c r="AD2183">
        <f t="shared" si="526"/>
        <v>29</v>
      </c>
      <c r="AE2183" t="str">
        <f t="shared" si="527"/>
        <v/>
      </c>
    </row>
    <row r="2184" spans="1:31" x14ac:dyDescent="0.4">
      <c r="A2184" t="str">
        <f>IF(原始经营数据!$D2185="","",原始经营数据!$D2185)</f>
        <v/>
      </c>
      <c r="B2184" t="str">
        <f>IF(原始经营数据!$D2185="","",T(原始经营数据!$E2185))</f>
        <v/>
      </c>
      <c r="C2184" t="str">
        <f>IF(原始经营数据!$D2185="","",原始经营数据!$F2185)</f>
        <v/>
      </c>
      <c r="D2184" t="str">
        <f>IF(原始经营数据!$D2185="","",原始经营数据!$H2185)</f>
        <v/>
      </c>
      <c r="E2184" t="str">
        <f>IF(原始经营数据!$D2185="","",原始经营数据!$I2185)</f>
        <v/>
      </c>
      <c r="F2184" t="str">
        <f>IF(原始经营数据!$D2185="","",T(原始经营数据!$J2185))</f>
        <v/>
      </c>
      <c r="G2184" t="str">
        <f>IF(原始经营数据!$D2185="","",T(原始经营数据!$K2185))</f>
        <v/>
      </c>
      <c r="H2184" t="str">
        <f>IF(原始经营数据!$D2185="","",原始经营数据!$G2185)</f>
        <v/>
      </c>
      <c r="I2184" t="str">
        <f>IF($A2184="","",IF($B2184&lt;&gt;"",$B2184,IF(COUNTIFS(原始经营数据!$D$3:$D$3001,$A2184,原始经营数据!$E$3:$E$3001,"",原始经营数据!$F$3:$F$3001,$C2184,原始经营数据!$H$3:$H$3001,$D2184,原始经营数据!$K$3:$K$3001,$G2184)&gt;1,"基金整体·来源"&amp;原始经营数据!$A2185,"基金整体")))</f>
        <v/>
      </c>
      <c r="J2184" t="str">
        <f t="shared" si="513"/>
        <v/>
      </c>
      <c r="K2184" t="str">
        <f t="shared" si="514"/>
        <v/>
      </c>
      <c r="L2184" t="str">
        <f t="shared" si="515"/>
        <v/>
      </c>
      <c r="M2184">
        <f>IF($A2184="",0,IF(COUNTIF($L$2:$L2184,$L2184)=1,1,0))</f>
        <v>0</v>
      </c>
      <c r="N2184" t="str">
        <f t="shared" si="516"/>
        <v/>
      </c>
      <c r="O2184" t="str">
        <f t="shared" si="517"/>
        <v/>
      </c>
      <c r="P2184">
        <f>IF($A2184="",0,IF(COUNTIF($O$2:$O2184,$O2184)=1,1,0))</f>
        <v>0</v>
      </c>
      <c r="Q2184" t="str">
        <f>IF(AND($P2184=1,$A2184=经营数据!$B$3,$J2184=经营数据!$BA$5),COUNTIFS($P$2:$P$3000,1,$A$2:$A$3000,$A2184,$J$2:$J$3000,$J2184,$N$2:$N$3000,"&lt;"&amp;$N2184)+1,"")</f>
        <v/>
      </c>
      <c r="R2184" t="str">
        <f t="shared" si="518"/>
        <v/>
      </c>
      <c r="S2184">
        <f>IF($A2184="",0,IF(COUNTIF($R$2:$R2184,$R2184)=1,1,0))</f>
        <v>0</v>
      </c>
      <c r="T2184" t="str">
        <f t="shared" si="519"/>
        <v/>
      </c>
      <c r="U2184" t="str">
        <f>IF($A2184="","",IF($A2184=经营数据!$B$3,COUNTIFS($S$2:$S$3000,1,$A$2:$A$3000,$A2184,$T$2:$T$3000,"&lt;"&amp;$T2184)+1,""))</f>
        <v/>
      </c>
      <c r="V2184" t="str">
        <f t="shared" si="520"/>
        <v/>
      </c>
      <c r="W2184" t="str">
        <f t="shared" si="521"/>
        <v/>
      </c>
      <c r="X2184" t="str">
        <f t="shared" si="522"/>
        <v/>
      </c>
      <c r="Y2184" t="str">
        <f t="shared" si="523"/>
        <v/>
      </c>
      <c r="Z2184">
        <f>IF($A2184="",0,IF(AND($M2184=1,$A2184=经营数据!$B$3,$J2184=经营数据!$BA$5,OR($I2184=经营数据!$BA$4,COUNTIF(经营数据!$AA$9:$AA$38,$I2184)&gt;0)),1,0))</f>
        <v>0</v>
      </c>
      <c r="AA2184" t="str">
        <f t="shared" si="524"/>
        <v/>
      </c>
      <c r="AB2184" t="str">
        <f t="shared" si="525"/>
        <v/>
      </c>
      <c r="AC2184">
        <f>IF($A2184="",0,IF(COUNTIF($A$2:$A2184,$A2184)=1,1,0))</f>
        <v>0</v>
      </c>
      <c r="AD2184">
        <f t="shared" si="526"/>
        <v>29</v>
      </c>
      <c r="AE2184" t="str">
        <f t="shared" si="527"/>
        <v/>
      </c>
    </row>
    <row r="2185" spans="1:31" x14ac:dyDescent="0.4">
      <c r="A2185" t="str">
        <f>IF(原始经营数据!$D2186="","",原始经营数据!$D2186)</f>
        <v/>
      </c>
      <c r="B2185" t="str">
        <f>IF(原始经营数据!$D2186="","",T(原始经营数据!$E2186))</f>
        <v/>
      </c>
      <c r="C2185" t="str">
        <f>IF(原始经营数据!$D2186="","",原始经营数据!$F2186)</f>
        <v/>
      </c>
      <c r="D2185" t="str">
        <f>IF(原始经营数据!$D2186="","",原始经营数据!$H2186)</f>
        <v/>
      </c>
      <c r="E2185" t="str">
        <f>IF(原始经营数据!$D2186="","",原始经营数据!$I2186)</f>
        <v/>
      </c>
      <c r="F2185" t="str">
        <f>IF(原始经营数据!$D2186="","",T(原始经营数据!$J2186))</f>
        <v/>
      </c>
      <c r="G2185" t="str">
        <f>IF(原始经营数据!$D2186="","",T(原始经营数据!$K2186))</f>
        <v/>
      </c>
      <c r="H2185" t="str">
        <f>IF(原始经营数据!$D2186="","",原始经营数据!$G2186)</f>
        <v/>
      </c>
      <c r="I2185" t="str">
        <f>IF($A2185="","",IF($B2185&lt;&gt;"",$B2185,IF(COUNTIFS(原始经营数据!$D$3:$D$3001,$A2185,原始经营数据!$E$3:$E$3001,"",原始经营数据!$F$3:$F$3001,$C2185,原始经营数据!$H$3:$H$3001,$D2185,原始经营数据!$K$3:$K$3001,$G2185)&gt;1,"基金整体·来源"&amp;原始经营数据!$A2186,"基金整体")))</f>
        <v/>
      </c>
      <c r="J2185" t="str">
        <f t="shared" si="513"/>
        <v/>
      </c>
      <c r="K2185" t="str">
        <f t="shared" si="514"/>
        <v/>
      </c>
      <c r="L2185" t="str">
        <f t="shared" si="515"/>
        <v/>
      </c>
      <c r="M2185">
        <f>IF($A2185="",0,IF(COUNTIF($L$2:$L2185,$L2185)=1,1,0))</f>
        <v>0</v>
      </c>
      <c r="N2185" t="str">
        <f t="shared" si="516"/>
        <v/>
      </c>
      <c r="O2185" t="str">
        <f t="shared" si="517"/>
        <v/>
      </c>
      <c r="P2185">
        <f>IF($A2185="",0,IF(COUNTIF($O$2:$O2185,$O2185)=1,1,0))</f>
        <v>0</v>
      </c>
      <c r="Q2185" t="str">
        <f>IF(AND($P2185=1,$A2185=经营数据!$B$3,$J2185=经营数据!$BA$5),COUNTIFS($P$2:$P$3000,1,$A$2:$A$3000,$A2185,$J$2:$J$3000,$J2185,$N$2:$N$3000,"&lt;"&amp;$N2185)+1,"")</f>
        <v/>
      </c>
      <c r="R2185" t="str">
        <f t="shared" si="518"/>
        <v/>
      </c>
      <c r="S2185">
        <f>IF($A2185="",0,IF(COUNTIF($R$2:$R2185,$R2185)=1,1,0))</f>
        <v>0</v>
      </c>
      <c r="T2185" t="str">
        <f t="shared" si="519"/>
        <v/>
      </c>
      <c r="U2185" t="str">
        <f>IF($A2185="","",IF($A2185=经营数据!$B$3,COUNTIFS($S$2:$S$3000,1,$A$2:$A$3000,$A2185,$T$2:$T$3000,"&lt;"&amp;$T2185)+1,""))</f>
        <v/>
      </c>
      <c r="V2185" t="str">
        <f t="shared" si="520"/>
        <v/>
      </c>
      <c r="W2185" t="str">
        <f t="shared" si="521"/>
        <v/>
      </c>
      <c r="X2185" t="str">
        <f t="shared" si="522"/>
        <v/>
      </c>
      <c r="Y2185" t="str">
        <f t="shared" si="523"/>
        <v/>
      </c>
      <c r="Z2185">
        <f>IF($A2185="",0,IF(AND($M2185=1,$A2185=经营数据!$B$3,$J2185=经营数据!$BA$5,OR($I2185=经营数据!$BA$4,COUNTIF(经营数据!$AA$9:$AA$38,$I2185)&gt;0)),1,0))</f>
        <v>0</v>
      </c>
      <c r="AA2185" t="str">
        <f t="shared" si="524"/>
        <v/>
      </c>
      <c r="AB2185" t="str">
        <f t="shared" si="525"/>
        <v/>
      </c>
      <c r="AC2185">
        <f>IF($A2185="",0,IF(COUNTIF($A$2:$A2185,$A2185)=1,1,0))</f>
        <v>0</v>
      </c>
      <c r="AD2185">
        <f t="shared" si="526"/>
        <v>29</v>
      </c>
      <c r="AE2185" t="str">
        <f t="shared" si="527"/>
        <v/>
      </c>
    </row>
    <row r="2186" spans="1:31" x14ac:dyDescent="0.4">
      <c r="A2186" t="str">
        <f>IF(原始经营数据!$D2187="","",原始经营数据!$D2187)</f>
        <v/>
      </c>
      <c r="B2186" t="str">
        <f>IF(原始经营数据!$D2187="","",T(原始经营数据!$E2187))</f>
        <v/>
      </c>
      <c r="C2186" t="str">
        <f>IF(原始经营数据!$D2187="","",原始经营数据!$F2187)</f>
        <v/>
      </c>
      <c r="D2186" t="str">
        <f>IF(原始经营数据!$D2187="","",原始经营数据!$H2187)</f>
        <v/>
      </c>
      <c r="E2186" t="str">
        <f>IF(原始经营数据!$D2187="","",原始经营数据!$I2187)</f>
        <v/>
      </c>
      <c r="F2186" t="str">
        <f>IF(原始经营数据!$D2187="","",T(原始经营数据!$J2187))</f>
        <v/>
      </c>
      <c r="G2186" t="str">
        <f>IF(原始经营数据!$D2187="","",T(原始经营数据!$K2187))</f>
        <v/>
      </c>
      <c r="H2186" t="str">
        <f>IF(原始经营数据!$D2187="","",原始经营数据!$G2187)</f>
        <v/>
      </c>
      <c r="I2186" t="str">
        <f>IF($A2186="","",IF($B2186&lt;&gt;"",$B2186,IF(COUNTIFS(原始经营数据!$D$3:$D$3001,$A2186,原始经营数据!$E$3:$E$3001,"",原始经营数据!$F$3:$F$3001,$C2186,原始经营数据!$H$3:$H$3001,$D2186,原始经营数据!$K$3:$K$3001,$G2186)&gt;1,"基金整体·来源"&amp;原始经营数据!$A2187,"基金整体")))</f>
        <v/>
      </c>
      <c r="J2186" t="str">
        <f t="shared" si="513"/>
        <v/>
      </c>
      <c r="K2186" t="str">
        <f t="shared" si="514"/>
        <v/>
      </c>
      <c r="L2186" t="str">
        <f t="shared" si="515"/>
        <v/>
      </c>
      <c r="M2186">
        <f>IF($A2186="",0,IF(COUNTIF($L$2:$L2186,$L2186)=1,1,0))</f>
        <v>0</v>
      </c>
      <c r="N2186" t="str">
        <f t="shared" si="516"/>
        <v/>
      </c>
      <c r="O2186" t="str">
        <f t="shared" si="517"/>
        <v/>
      </c>
      <c r="P2186">
        <f>IF($A2186="",0,IF(COUNTIF($O$2:$O2186,$O2186)=1,1,0))</f>
        <v>0</v>
      </c>
      <c r="Q2186" t="str">
        <f>IF(AND($P2186=1,$A2186=经营数据!$B$3,$J2186=经营数据!$BA$5),COUNTIFS($P$2:$P$3000,1,$A$2:$A$3000,$A2186,$J$2:$J$3000,$J2186,$N$2:$N$3000,"&lt;"&amp;$N2186)+1,"")</f>
        <v/>
      </c>
      <c r="R2186" t="str">
        <f t="shared" si="518"/>
        <v/>
      </c>
      <c r="S2186">
        <f>IF($A2186="",0,IF(COUNTIF($R$2:$R2186,$R2186)=1,1,0))</f>
        <v>0</v>
      </c>
      <c r="T2186" t="str">
        <f t="shared" si="519"/>
        <v/>
      </c>
      <c r="U2186" t="str">
        <f>IF($A2186="","",IF($A2186=经营数据!$B$3,COUNTIFS($S$2:$S$3000,1,$A$2:$A$3000,$A2186,$T$2:$T$3000,"&lt;"&amp;$T2186)+1,""))</f>
        <v/>
      </c>
      <c r="V2186" t="str">
        <f t="shared" si="520"/>
        <v/>
      </c>
      <c r="W2186" t="str">
        <f t="shared" si="521"/>
        <v/>
      </c>
      <c r="X2186" t="str">
        <f t="shared" si="522"/>
        <v/>
      </c>
      <c r="Y2186" t="str">
        <f t="shared" si="523"/>
        <v/>
      </c>
      <c r="Z2186">
        <f>IF($A2186="",0,IF(AND($M2186=1,$A2186=经营数据!$B$3,$J2186=经营数据!$BA$5,OR($I2186=经营数据!$BA$4,COUNTIF(经营数据!$AA$9:$AA$38,$I2186)&gt;0)),1,0))</f>
        <v>0</v>
      </c>
      <c r="AA2186" t="str">
        <f t="shared" si="524"/>
        <v/>
      </c>
      <c r="AB2186" t="str">
        <f t="shared" si="525"/>
        <v/>
      </c>
      <c r="AC2186">
        <f>IF($A2186="",0,IF(COUNTIF($A$2:$A2186,$A2186)=1,1,0))</f>
        <v>0</v>
      </c>
      <c r="AD2186">
        <f t="shared" si="526"/>
        <v>29</v>
      </c>
      <c r="AE2186" t="str">
        <f t="shared" si="527"/>
        <v/>
      </c>
    </row>
    <row r="2187" spans="1:31" x14ac:dyDescent="0.4">
      <c r="A2187" t="str">
        <f>IF(原始经营数据!$D2188="","",原始经营数据!$D2188)</f>
        <v/>
      </c>
      <c r="B2187" t="str">
        <f>IF(原始经营数据!$D2188="","",T(原始经营数据!$E2188))</f>
        <v/>
      </c>
      <c r="C2187" t="str">
        <f>IF(原始经营数据!$D2188="","",原始经营数据!$F2188)</f>
        <v/>
      </c>
      <c r="D2187" t="str">
        <f>IF(原始经营数据!$D2188="","",原始经营数据!$H2188)</f>
        <v/>
      </c>
      <c r="E2187" t="str">
        <f>IF(原始经营数据!$D2188="","",原始经营数据!$I2188)</f>
        <v/>
      </c>
      <c r="F2187" t="str">
        <f>IF(原始经营数据!$D2188="","",T(原始经营数据!$J2188))</f>
        <v/>
      </c>
      <c r="G2187" t="str">
        <f>IF(原始经营数据!$D2188="","",T(原始经营数据!$K2188))</f>
        <v/>
      </c>
      <c r="H2187" t="str">
        <f>IF(原始经营数据!$D2188="","",原始经营数据!$G2188)</f>
        <v/>
      </c>
      <c r="I2187" t="str">
        <f>IF($A2187="","",IF($B2187&lt;&gt;"",$B2187,IF(COUNTIFS(原始经营数据!$D$3:$D$3001,$A2187,原始经营数据!$E$3:$E$3001,"",原始经营数据!$F$3:$F$3001,$C2187,原始经营数据!$H$3:$H$3001,$D2187,原始经营数据!$K$3:$K$3001,$G2187)&gt;1,"基金整体·来源"&amp;原始经营数据!$A2188,"基金整体")))</f>
        <v/>
      </c>
      <c r="J2187" t="str">
        <f t="shared" si="513"/>
        <v/>
      </c>
      <c r="K2187" t="str">
        <f t="shared" si="514"/>
        <v/>
      </c>
      <c r="L2187" t="str">
        <f t="shared" si="515"/>
        <v/>
      </c>
      <c r="M2187">
        <f>IF($A2187="",0,IF(COUNTIF($L$2:$L2187,$L2187)=1,1,0))</f>
        <v>0</v>
      </c>
      <c r="N2187" t="str">
        <f t="shared" si="516"/>
        <v/>
      </c>
      <c r="O2187" t="str">
        <f t="shared" si="517"/>
        <v/>
      </c>
      <c r="P2187">
        <f>IF($A2187="",0,IF(COUNTIF($O$2:$O2187,$O2187)=1,1,0))</f>
        <v>0</v>
      </c>
      <c r="Q2187" t="str">
        <f>IF(AND($P2187=1,$A2187=经营数据!$B$3,$J2187=经营数据!$BA$5),COUNTIFS($P$2:$P$3000,1,$A$2:$A$3000,$A2187,$J$2:$J$3000,$J2187,$N$2:$N$3000,"&lt;"&amp;$N2187)+1,"")</f>
        <v/>
      </c>
      <c r="R2187" t="str">
        <f t="shared" si="518"/>
        <v/>
      </c>
      <c r="S2187">
        <f>IF($A2187="",0,IF(COUNTIF($R$2:$R2187,$R2187)=1,1,0))</f>
        <v>0</v>
      </c>
      <c r="T2187" t="str">
        <f t="shared" si="519"/>
        <v/>
      </c>
      <c r="U2187" t="str">
        <f>IF($A2187="","",IF($A2187=经营数据!$B$3,COUNTIFS($S$2:$S$3000,1,$A$2:$A$3000,$A2187,$T$2:$T$3000,"&lt;"&amp;$T2187)+1,""))</f>
        <v/>
      </c>
      <c r="V2187" t="str">
        <f t="shared" si="520"/>
        <v/>
      </c>
      <c r="W2187" t="str">
        <f t="shared" si="521"/>
        <v/>
      </c>
      <c r="X2187" t="str">
        <f t="shared" si="522"/>
        <v/>
      </c>
      <c r="Y2187" t="str">
        <f t="shared" si="523"/>
        <v/>
      </c>
      <c r="Z2187">
        <f>IF($A2187="",0,IF(AND($M2187=1,$A2187=经营数据!$B$3,$J2187=经营数据!$BA$5,OR($I2187=经营数据!$BA$4,COUNTIF(经营数据!$AA$9:$AA$38,$I2187)&gt;0)),1,0))</f>
        <v>0</v>
      </c>
      <c r="AA2187" t="str">
        <f t="shared" si="524"/>
        <v/>
      </c>
      <c r="AB2187" t="str">
        <f t="shared" si="525"/>
        <v/>
      </c>
      <c r="AC2187">
        <f>IF($A2187="",0,IF(COUNTIF($A$2:$A2187,$A2187)=1,1,0))</f>
        <v>0</v>
      </c>
      <c r="AD2187">
        <f t="shared" si="526"/>
        <v>29</v>
      </c>
      <c r="AE2187" t="str">
        <f t="shared" si="527"/>
        <v/>
      </c>
    </row>
    <row r="2188" spans="1:31" x14ac:dyDescent="0.4">
      <c r="A2188" t="str">
        <f>IF(原始经营数据!$D2189="","",原始经营数据!$D2189)</f>
        <v/>
      </c>
      <c r="B2188" t="str">
        <f>IF(原始经营数据!$D2189="","",T(原始经营数据!$E2189))</f>
        <v/>
      </c>
      <c r="C2188" t="str">
        <f>IF(原始经营数据!$D2189="","",原始经营数据!$F2189)</f>
        <v/>
      </c>
      <c r="D2188" t="str">
        <f>IF(原始经营数据!$D2189="","",原始经营数据!$H2189)</f>
        <v/>
      </c>
      <c r="E2188" t="str">
        <f>IF(原始经营数据!$D2189="","",原始经营数据!$I2189)</f>
        <v/>
      </c>
      <c r="F2188" t="str">
        <f>IF(原始经营数据!$D2189="","",T(原始经营数据!$J2189))</f>
        <v/>
      </c>
      <c r="G2188" t="str">
        <f>IF(原始经营数据!$D2189="","",T(原始经营数据!$K2189))</f>
        <v/>
      </c>
      <c r="H2188" t="str">
        <f>IF(原始经营数据!$D2189="","",原始经营数据!$G2189)</f>
        <v/>
      </c>
      <c r="I2188" t="str">
        <f>IF($A2188="","",IF($B2188&lt;&gt;"",$B2188,IF(COUNTIFS(原始经营数据!$D$3:$D$3001,$A2188,原始经营数据!$E$3:$E$3001,"",原始经营数据!$F$3:$F$3001,$C2188,原始经营数据!$H$3:$H$3001,$D2188,原始经营数据!$K$3:$K$3001,$G2188)&gt;1,"基金整体·来源"&amp;原始经营数据!$A2189,"基金整体")))</f>
        <v/>
      </c>
      <c r="J2188" t="str">
        <f t="shared" si="513"/>
        <v/>
      </c>
      <c r="K2188" t="str">
        <f t="shared" si="514"/>
        <v/>
      </c>
      <c r="L2188" t="str">
        <f t="shared" si="515"/>
        <v/>
      </c>
      <c r="M2188">
        <f>IF($A2188="",0,IF(COUNTIF($L$2:$L2188,$L2188)=1,1,0))</f>
        <v>0</v>
      </c>
      <c r="N2188" t="str">
        <f t="shared" si="516"/>
        <v/>
      </c>
      <c r="O2188" t="str">
        <f t="shared" si="517"/>
        <v/>
      </c>
      <c r="P2188">
        <f>IF($A2188="",0,IF(COUNTIF($O$2:$O2188,$O2188)=1,1,0))</f>
        <v>0</v>
      </c>
      <c r="Q2188" t="str">
        <f>IF(AND($P2188=1,$A2188=经营数据!$B$3,$J2188=经营数据!$BA$5),COUNTIFS($P$2:$P$3000,1,$A$2:$A$3000,$A2188,$J$2:$J$3000,$J2188,$N$2:$N$3000,"&lt;"&amp;$N2188)+1,"")</f>
        <v/>
      </c>
      <c r="R2188" t="str">
        <f t="shared" si="518"/>
        <v/>
      </c>
      <c r="S2188">
        <f>IF($A2188="",0,IF(COUNTIF($R$2:$R2188,$R2188)=1,1,0))</f>
        <v>0</v>
      </c>
      <c r="T2188" t="str">
        <f t="shared" si="519"/>
        <v/>
      </c>
      <c r="U2188" t="str">
        <f>IF($A2188="","",IF($A2188=经营数据!$B$3,COUNTIFS($S$2:$S$3000,1,$A$2:$A$3000,$A2188,$T$2:$T$3000,"&lt;"&amp;$T2188)+1,""))</f>
        <v/>
      </c>
      <c r="V2188" t="str">
        <f t="shared" si="520"/>
        <v/>
      </c>
      <c r="W2188" t="str">
        <f t="shared" si="521"/>
        <v/>
      </c>
      <c r="X2188" t="str">
        <f t="shared" si="522"/>
        <v/>
      </c>
      <c r="Y2188" t="str">
        <f t="shared" si="523"/>
        <v/>
      </c>
      <c r="Z2188">
        <f>IF($A2188="",0,IF(AND($M2188=1,$A2188=经营数据!$B$3,$J2188=经营数据!$BA$5,OR($I2188=经营数据!$BA$4,COUNTIF(经营数据!$AA$9:$AA$38,$I2188)&gt;0)),1,0))</f>
        <v>0</v>
      </c>
      <c r="AA2188" t="str">
        <f t="shared" si="524"/>
        <v/>
      </c>
      <c r="AB2188" t="str">
        <f t="shared" si="525"/>
        <v/>
      </c>
      <c r="AC2188">
        <f>IF($A2188="",0,IF(COUNTIF($A$2:$A2188,$A2188)=1,1,0))</f>
        <v>0</v>
      </c>
      <c r="AD2188">
        <f t="shared" si="526"/>
        <v>29</v>
      </c>
      <c r="AE2188" t="str">
        <f t="shared" si="527"/>
        <v/>
      </c>
    </row>
    <row r="2189" spans="1:31" x14ac:dyDescent="0.4">
      <c r="A2189" t="str">
        <f>IF(原始经营数据!$D2190="","",原始经营数据!$D2190)</f>
        <v/>
      </c>
      <c r="B2189" t="str">
        <f>IF(原始经营数据!$D2190="","",T(原始经营数据!$E2190))</f>
        <v/>
      </c>
      <c r="C2189" t="str">
        <f>IF(原始经营数据!$D2190="","",原始经营数据!$F2190)</f>
        <v/>
      </c>
      <c r="D2189" t="str">
        <f>IF(原始经营数据!$D2190="","",原始经营数据!$H2190)</f>
        <v/>
      </c>
      <c r="E2189" t="str">
        <f>IF(原始经营数据!$D2190="","",原始经营数据!$I2190)</f>
        <v/>
      </c>
      <c r="F2189" t="str">
        <f>IF(原始经营数据!$D2190="","",T(原始经营数据!$J2190))</f>
        <v/>
      </c>
      <c r="G2189" t="str">
        <f>IF(原始经营数据!$D2190="","",T(原始经营数据!$K2190))</f>
        <v/>
      </c>
      <c r="H2189" t="str">
        <f>IF(原始经营数据!$D2190="","",原始经营数据!$G2190)</f>
        <v/>
      </c>
      <c r="I2189" t="str">
        <f>IF($A2189="","",IF($B2189&lt;&gt;"",$B2189,IF(COUNTIFS(原始经营数据!$D$3:$D$3001,$A2189,原始经营数据!$E$3:$E$3001,"",原始经营数据!$F$3:$F$3001,$C2189,原始经营数据!$H$3:$H$3001,$D2189,原始经营数据!$K$3:$K$3001,$G2189)&gt;1,"基金整体·来源"&amp;原始经营数据!$A2190,"基金整体")))</f>
        <v/>
      </c>
      <c r="J2189" t="str">
        <f t="shared" si="513"/>
        <v/>
      </c>
      <c r="K2189" t="str">
        <f t="shared" si="514"/>
        <v/>
      </c>
      <c r="L2189" t="str">
        <f t="shared" si="515"/>
        <v/>
      </c>
      <c r="M2189">
        <f>IF($A2189="",0,IF(COUNTIF($L$2:$L2189,$L2189)=1,1,0))</f>
        <v>0</v>
      </c>
      <c r="N2189" t="str">
        <f t="shared" si="516"/>
        <v/>
      </c>
      <c r="O2189" t="str">
        <f t="shared" si="517"/>
        <v/>
      </c>
      <c r="P2189">
        <f>IF($A2189="",0,IF(COUNTIF($O$2:$O2189,$O2189)=1,1,0))</f>
        <v>0</v>
      </c>
      <c r="Q2189" t="str">
        <f>IF(AND($P2189=1,$A2189=经营数据!$B$3,$J2189=经营数据!$BA$5),COUNTIFS($P$2:$P$3000,1,$A$2:$A$3000,$A2189,$J$2:$J$3000,$J2189,$N$2:$N$3000,"&lt;"&amp;$N2189)+1,"")</f>
        <v/>
      </c>
      <c r="R2189" t="str">
        <f t="shared" si="518"/>
        <v/>
      </c>
      <c r="S2189">
        <f>IF($A2189="",0,IF(COUNTIF($R$2:$R2189,$R2189)=1,1,0))</f>
        <v>0</v>
      </c>
      <c r="T2189" t="str">
        <f t="shared" si="519"/>
        <v/>
      </c>
      <c r="U2189" t="str">
        <f>IF($A2189="","",IF($A2189=经营数据!$B$3,COUNTIFS($S$2:$S$3000,1,$A$2:$A$3000,$A2189,$T$2:$T$3000,"&lt;"&amp;$T2189)+1,""))</f>
        <v/>
      </c>
      <c r="V2189" t="str">
        <f t="shared" si="520"/>
        <v/>
      </c>
      <c r="W2189" t="str">
        <f t="shared" si="521"/>
        <v/>
      </c>
      <c r="X2189" t="str">
        <f t="shared" si="522"/>
        <v/>
      </c>
      <c r="Y2189" t="str">
        <f t="shared" si="523"/>
        <v/>
      </c>
      <c r="Z2189">
        <f>IF($A2189="",0,IF(AND($M2189=1,$A2189=经营数据!$B$3,$J2189=经营数据!$BA$5,OR($I2189=经营数据!$BA$4,COUNTIF(经营数据!$AA$9:$AA$38,$I2189)&gt;0)),1,0))</f>
        <v>0</v>
      </c>
      <c r="AA2189" t="str">
        <f t="shared" si="524"/>
        <v/>
      </c>
      <c r="AB2189" t="str">
        <f t="shared" si="525"/>
        <v/>
      </c>
      <c r="AC2189">
        <f>IF($A2189="",0,IF(COUNTIF($A$2:$A2189,$A2189)=1,1,0))</f>
        <v>0</v>
      </c>
      <c r="AD2189">
        <f t="shared" si="526"/>
        <v>29</v>
      </c>
      <c r="AE2189" t="str">
        <f t="shared" si="527"/>
        <v/>
      </c>
    </row>
    <row r="2190" spans="1:31" x14ac:dyDescent="0.4">
      <c r="A2190" t="str">
        <f>IF(原始经营数据!$D2191="","",原始经营数据!$D2191)</f>
        <v/>
      </c>
      <c r="B2190" t="str">
        <f>IF(原始经营数据!$D2191="","",T(原始经营数据!$E2191))</f>
        <v/>
      </c>
      <c r="C2190" t="str">
        <f>IF(原始经营数据!$D2191="","",原始经营数据!$F2191)</f>
        <v/>
      </c>
      <c r="D2190" t="str">
        <f>IF(原始经营数据!$D2191="","",原始经营数据!$H2191)</f>
        <v/>
      </c>
      <c r="E2190" t="str">
        <f>IF(原始经营数据!$D2191="","",原始经营数据!$I2191)</f>
        <v/>
      </c>
      <c r="F2190" t="str">
        <f>IF(原始经营数据!$D2191="","",T(原始经营数据!$J2191))</f>
        <v/>
      </c>
      <c r="G2190" t="str">
        <f>IF(原始经营数据!$D2191="","",T(原始经营数据!$K2191))</f>
        <v/>
      </c>
      <c r="H2190" t="str">
        <f>IF(原始经营数据!$D2191="","",原始经营数据!$G2191)</f>
        <v/>
      </c>
      <c r="I2190" t="str">
        <f>IF($A2190="","",IF($B2190&lt;&gt;"",$B2190,IF(COUNTIFS(原始经营数据!$D$3:$D$3001,$A2190,原始经营数据!$E$3:$E$3001,"",原始经营数据!$F$3:$F$3001,$C2190,原始经营数据!$H$3:$H$3001,$D2190,原始经营数据!$K$3:$K$3001,$G2190)&gt;1,"基金整体·来源"&amp;原始经营数据!$A2191,"基金整体")))</f>
        <v/>
      </c>
      <c r="J2190" t="str">
        <f t="shared" si="513"/>
        <v/>
      </c>
      <c r="K2190" t="str">
        <f t="shared" si="514"/>
        <v/>
      </c>
      <c r="L2190" t="str">
        <f t="shared" si="515"/>
        <v/>
      </c>
      <c r="M2190">
        <f>IF($A2190="",0,IF(COUNTIF($L$2:$L2190,$L2190)=1,1,0))</f>
        <v>0</v>
      </c>
      <c r="N2190" t="str">
        <f t="shared" si="516"/>
        <v/>
      </c>
      <c r="O2190" t="str">
        <f t="shared" si="517"/>
        <v/>
      </c>
      <c r="P2190">
        <f>IF($A2190="",0,IF(COUNTIF($O$2:$O2190,$O2190)=1,1,0))</f>
        <v>0</v>
      </c>
      <c r="Q2190" t="str">
        <f>IF(AND($P2190=1,$A2190=经营数据!$B$3,$J2190=经营数据!$BA$5),COUNTIFS($P$2:$P$3000,1,$A$2:$A$3000,$A2190,$J$2:$J$3000,$J2190,$N$2:$N$3000,"&lt;"&amp;$N2190)+1,"")</f>
        <v/>
      </c>
      <c r="R2190" t="str">
        <f t="shared" si="518"/>
        <v/>
      </c>
      <c r="S2190">
        <f>IF($A2190="",0,IF(COUNTIF($R$2:$R2190,$R2190)=1,1,0))</f>
        <v>0</v>
      </c>
      <c r="T2190" t="str">
        <f t="shared" si="519"/>
        <v/>
      </c>
      <c r="U2190" t="str">
        <f>IF($A2190="","",IF($A2190=经营数据!$B$3,COUNTIFS($S$2:$S$3000,1,$A$2:$A$3000,$A2190,$T$2:$T$3000,"&lt;"&amp;$T2190)+1,""))</f>
        <v/>
      </c>
      <c r="V2190" t="str">
        <f t="shared" si="520"/>
        <v/>
      </c>
      <c r="W2190" t="str">
        <f t="shared" si="521"/>
        <v/>
      </c>
      <c r="X2190" t="str">
        <f t="shared" si="522"/>
        <v/>
      </c>
      <c r="Y2190" t="str">
        <f t="shared" si="523"/>
        <v/>
      </c>
      <c r="Z2190">
        <f>IF($A2190="",0,IF(AND($M2190=1,$A2190=经营数据!$B$3,$J2190=经营数据!$BA$5,OR($I2190=经营数据!$BA$4,COUNTIF(经营数据!$AA$9:$AA$38,$I2190)&gt;0)),1,0))</f>
        <v>0</v>
      </c>
      <c r="AA2190" t="str">
        <f t="shared" si="524"/>
        <v/>
      </c>
      <c r="AB2190" t="str">
        <f t="shared" si="525"/>
        <v/>
      </c>
      <c r="AC2190">
        <f>IF($A2190="",0,IF(COUNTIF($A$2:$A2190,$A2190)=1,1,0))</f>
        <v>0</v>
      </c>
      <c r="AD2190">
        <f t="shared" si="526"/>
        <v>29</v>
      </c>
      <c r="AE2190" t="str">
        <f t="shared" si="527"/>
        <v/>
      </c>
    </row>
    <row r="2191" spans="1:31" x14ac:dyDescent="0.4">
      <c r="A2191" t="str">
        <f>IF(原始经营数据!$D2192="","",原始经营数据!$D2192)</f>
        <v/>
      </c>
      <c r="B2191" t="str">
        <f>IF(原始经营数据!$D2192="","",T(原始经营数据!$E2192))</f>
        <v/>
      </c>
      <c r="C2191" t="str">
        <f>IF(原始经营数据!$D2192="","",原始经营数据!$F2192)</f>
        <v/>
      </c>
      <c r="D2191" t="str">
        <f>IF(原始经营数据!$D2192="","",原始经营数据!$H2192)</f>
        <v/>
      </c>
      <c r="E2191" t="str">
        <f>IF(原始经营数据!$D2192="","",原始经营数据!$I2192)</f>
        <v/>
      </c>
      <c r="F2191" t="str">
        <f>IF(原始经营数据!$D2192="","",T(原始经营数据!$J2192))</f>
        <v/>
      </c>
      <c r="G2191" t="str">
        <f>IF(原始经营数据!$D2192="","",T(原始经营数据!$K2192))</f>
        <v/>
      </c>
      <c r="H2191" t="str">
        <f>IF(原始经营数据!$D2192="","",原始经营数据!$G2192)</f>
        <v/>
      </c>
      <c r="I2191" t="str">
        <f>IF($A2191="","",IF($B2191&lt;&gt;"",$B2191,IF(COUNTIFS(原始经营数据!$D$3:$D$3001,$A2191,原始经营数据!$E$3:$E$3001,"",原始经营数据!$F$3:$F$3001,$C2191,原始经营数据!$H$3:$H$3001,$D2191,原始经营数据!$K$3:$K$3001,$G2191)&gt;1,"基金整体·来源"&amp;原始经营数据!$A2192,"基金整体")))</f>
        <v/>
      </c>
      <c r="J2191" t="str">
        <f t="shared" si="513"/>
        <v/>
      </c>
      <c r="K2191" t="str">
        <f t="shared" si="514"/>
        <v/>
      </c>
      <c r="L2191" t="str">
        <f t="shared" si="515"/>
        <v/>
      </c>
      <c r="M2191">
        <f>IF($A2191="",0,IF(COUNTIF($L$2:$L2191,$L2191)=1,1,0))</f>
        <v>0</v>
      </c>
      <c r="N2191" t="str">
        <f t="shared" si="516"/>
        <v/>
      </c>
      <c r="O2191" t="str">
        <f t="shared" si="517"/>
        <v/>
      </c>
      <c r="P2191">
        <f>IF($A2191="",0,IF(COUNTIF($O$2:$O2191,$O2191)=1,1,0))</f>
        <v>0</v>
      </c>
      <c r="Q2191" t="str">
        <f>IF(AND($P2191=1,$A2191=经营数据!$B$3,$J2191=经营数据!$BA$5),COUNTIFS($P$2:$P$3000,1,$A$2:$A$3000,$A2191,$J$2:$J$3000,$J2191,$N$2:$N$3000,"&lt;"&amp;$N2191)+1,"")</f>
        <v/>
      </c>
      <c r="R2191" t="str">
        <f t="shared" si="518"/>
        <v/>
      </c>
      <c r="S2191">
        <f>IF($A2191="",0,IF(COUNTIF($R$2:$R2191,$R2191)=1,1,0))</f>
        <v>0</v>
      </c>
      <c r="T2191" t="str">
        <f t="shared" si="519"/>
        <v/>
      </c>
      <c r="U2191" t="str">
        <f>IF($A2191="","",IF($A2191=经营数据!$B$3,COUNTIFS($S$2:$S$3000,1,$A$2:$A$3000,$A2191,$T$2:$T$3000,"&lt;"&amp;$T2191)+1,""))</f>
        <v/>
      </c>
      <c r="V2191" t="str">
        <f t="shared" si="520"/>
        <v/>
      </c>
      <c r="W2191" t="str">
        <f t="shared" si="521"/>
        <v/>
      </c>
      <c r="X2191" t="str">
        <f t="shared" si="522"/>
        <v/>
      </c>
      <c r="Y2191" t="str">
        <f t="shared" si="523"/>
        <v/>
      </c>
      <c r="Z2191">
        <f>IF($A2191="",0,IF(AND($M2191=1,$A2191=经营数据!$B$3,$J2191=经营数据!$BA$5,OR($I2191=经营数据!$BA$4,COUNTIF(经营数据!$AA$9:$AA$38,$I2191)&gt;0)),1,0))</f>
        <v>0</v>
      </c>
      <c r="AA2191" t="str">
        <f t="shared" si="524"/>
        <v/>
      </c>
      <c r="AB2191" t="str">
        <f t="shared" si="525"/>
        <v/>
      </c>
      <c r="AC2191">
        <f>IF($A2191="",0,IF(COUNTIF($A$2:$A2191,$A2191)=1,1,0))</f>
        <v>0</v>
      </c>
      <c r="AD2191">
        <f t="shared" si="526"/>
        <v>29</v>
      </c>
      <c r="AE2191" t="str">
        <f t="shared" si="527"/>
        <v/>
      </c>
    </row>
    <row r="2192" spans="1:31" x14ac:dyDescent="0.4">
      <c r="A2192" t="str">
        <f>IF(原始经营数据!$D2193="","",原始经营数据!$D2193)</f>
        <v/>
      </c>
      <c r="B2192" t="str">
        <f>IF(原始经营数据!$D2193="","",T(原始经营数据!$E2193))</f>
        <v/>
      </c>
      <c r="C2192" t="str">
        <f>IF(原始经营数据!$D2193="","",原始经营数据!$F2193)</f>
        <v/>
      </c>
      <c r="D2192" t="str">
        <f>IF(原始经营数据!$D2193="","",原始经营数据!$H2193)</f>
        <v/>
      </c>
      <c r="E2192" t="str">
        <f>IF(原始经营数据!$D2193="","",原始经营数据!$I2193)</f>
        <v/>
      </c>
      <c r="F2192" t="str">
        <f>IF(原始经营数据!$D2193="","",T(原始经营数据!$J2193))</f>
        <v/>
      </c>
      <c r="G2192" t="str">
        <f>IF(原始经营数据!$D2193="","",T(原始经营数据!$K2193))</f>
        <v/>
      </c>
      <c r="H2192" t="str">
        <f>IF(原始经营数据!$D2193="","",原始经营数据!$G2193)</f>
        <v/>
      </c>
      <c r="I2192" t="str">
        <f>IF($A2192="","",IF($B2192&lt;&gt;"",$B2192,IF(COUNTIFS(原始经营数据!$D$3:$D$3001,$A2192,原始经营数据!$E$3:$E$3001,"",原始经营数据!$F$3:$F$3001,$C2192,原始经营数据!$H$3:$H$3001,$D2192,原始经营数据!$K$3:$K$3001,$G2192)&gt;1,"基金整体·来源"&amp;原始经营数据!$A2193,"基金整体")))</f>
        <v/>
      </c>
      <c r="J2192" t="str">
        <f t="shared" si="513"/>
        <v/>
      </c>
      <c r="K2192" t="str">
        <f t="shared" si="514"/>
        <v/>
      </c>
      <c r="L2192" t="str">
        <f t="shared" si="515"/>
        <v/>
      </c>
      <c r="M2192">
        <f>IF($A2192="",0,IF(COUNTIF($L$2:$L2192,$L2192)=1,1,0))</f>
        <v>0</v>
      </c>
      <c r="N2192" t="str">
        <f t="shared" si="516"/>
        <v/>
      </c>
      <c r="O2192" t="str">
        <f t="shared" si="517"/>
        <v/>
      </c>
      <c r="P2192">
        <f>IF($A2192="",0,IF(COUNTIF($O$2:$O2192,$O2192)=1,1,0))</f>
        <v>0</v>
      </c>
      <c r="Q2192" t="str">
        <f>IF(AND($P2192=1,$A2192=经营数据!$B$3,$J2192=经营数据!$BA$5),COUNTIFS($P$2:$P$3000,1,$A$2:$A$3000,$A2192,$J$2:$J$3000,$J2192,$N$2:$N$3000,"&lt;"&amp;$N2192)+1,"")</f>
        <v/>
      </c>
      <c r="R2192" t="str">
        <f t="shared" si="518"/>
        <v/>
      </c>
      <c r="S2192">
        <f>IF($A2192="",0,IF(COUNTIF($R$2:$R2192,$R2192)=1,1,0))</f>
        <v>0</v>
      </c>
      <c r="T2192" t="str">
        <f t="shared" si="519"/>
        <v/>
      </c>
      <c r="U2192" t="str">
        <f>IF($A2192="","",IF($A2192=经营数据!$B$3,COUNTIFS($S$2:$S$3000,1,$A$2:$A$3000,$A2192,$T$2:$T$3000,"&lt;"&amp;$T2192)+1,""))</f>
        <v/>
      </c>
      <c r="V2192" t="str">
        <f t="shared" si="520"/>
        <v/>
      </c>
      <c r="W2192" t="str">
        <f t="shared" si="521"/>
        <v/>
      </c>
      <c r="X2192" t="str">
        <f t="shared" si="522"/>
        <v/>
      </c>
      <c r="Y2192" t="str">
        <f t="shared" si="523"/>
        <v/>
      </c>
      <c r="Z2192">
        <f>IF($A2192="",0,IF(AND($M2192=1,$A2192=经营数据!$B$3,$J2192=经营数据!$BA$5,OR($I2192=经营数据!$BA$4,COUNTIF(经营数据!$AA$9:$AA$38,$I2192)&gt;0)),1,0))</f>
        <v>0</v>
      </c>
      <c r="AA2192" t="str">
        <f t="shared" si="524"/>
        <v/>
      </c>
      <c r="AB2192" t="str">
        <f t="shared" si="525"/>
        <v/>
      </c>
      <c r="AC2192">
        <f>IF($A2192="",0,IF(COUNTIF($A$2:$A2192,$A2192)=1,1,0))</f>
        <v>0</v>
      </c>
      <c r="AD2192">
        <f t="shared" si="526"/>
        <v>29</v>
      </c>
      <c r="AE2192" t="str">
        <f t="shared" si="527"/>
        <v/>
      </c>
    </row>
    <row r="2193" spans="1:31" x14ac:dyDescent="0.4">
      <c r="A2193" t="str">
        <f>IF(原始经营数据!$D2194="","",原始经营数据!$D2194)</f>
        <v/>
      </c>
      <c r="B2193" t="str">
        <f>IF(原始经营数据!$D2194="","",T(原始经营数据!$E2194))</f>
        <v/>
      </c>
      <c r="C2193" t="str">
        <f>IF(原始经营数据!$D2194="","",原始经营数据!$F2194)</f>
        <v/>
      </c>
      <c r="D2193" t="str">
        <f>IF(原始经营数据!$D2194="","",原始经营数据!$H2194)</f>
        <v/>
      </c>
      <c r="E2193" t="str">
        <f>IF(原始经营数据!$D2194="","",原始经营数据!$I2194)</f>
        <v/>
      </c>
      <c r="F2193" t="str">
        <f>IF(原始经营数据!$D2194="","",T(原始经营数据!$J2194))</f>
        <v/>
      </c>
      <c r="G2193" t="str">
        <f>IF(原始经营数据!$D2194="","",T(原始经营数据!$K2194))</f>
        <v/>
      </c>
      <c r="H2193" t="str">
        <f>IF(原始经营数据!$D2194="","",原始经营数据!$G2194)</f>
        <v/>
      </c>
      <c r="I2193" t="str">
        <f>IF($A2193="","",IF($B2193&lt;&gt;"",$B2193,IF(COUNTIFS(原始经营数据!$D$3:$D$3001,$A2193,原始经营数据!$E$3:$E$3001,"",原始经营数据!$F$3:$F$3001,$C2193,原始经营数据!$H$3:$H$3001,$D2193,原始经营数据!$K$3:$K$3001,$G2193)&gt;1,"基金整体·来源"&amp;原始经营数据!$A2194,"基金整体")))</f>
        <v/>
      </c>
      <c r="J2193" t="str">
        <f t="shared" si="513"/>
        <v/>
      </c>
      <c r="K2193" t="str">
        <f t="shared" si="514"/>
        <v/>
      </c>
      <c r="L2193" t="str">
        <f t="shared" si="515"/>
        <v/>
      </c>
      <c r="M2193">
        <f>IF($A2193="",0,IF(COUNTIF($L$2:$L2193,$L2193)=1,1,0))</f>
        <v>0</v>
      </c>
      <c r="N2193" t="str">
        <f t="shared" si="516"/>
        <v/>
      </c>
      <c r="O2193" t="str">
        <f t="shared" si="517"/>
        <v/>
      </c>
      <c r="P2193">
        <f>IF($A2193="",0,IF(COUNTIF($O$2:$O2193,$O2193)=1,1,0))</f>
        <v>0</v>
      </c>
      <c r="Q2193" t="str">
        <f>IF(AND($P2193=1,$A2193=经营数据!$B$3,$J2193=经营数据!$BA$5),COUNTIFS($P$2:$P$3000,1,$A$2:$A$3000,$A2193,$J$2:$J$3000,$J2193,$N$2:$N$3000,"&lt;"&amp;$N2193)+1,"")</f>
        <v/>
      </c>
      <c r="R2193" t="str">
        <f t="shared" si="518"/>
        <v/>
      </c>
      <c r="S2193">
        <f>IF($A2193="",0,IF(COUNTIF($R$2:$R2193,$R2193)=1,1,0))</f>
        <v>0</v>
      </c>
      <c r="T2193" t="str">
        <f t="shared" si="519"/>
        <v/>
      </c>
      <c r="U2193" t="str">
        <f>IF($A2193="","",IF($A2193=经营数据!$B$3,COUNTIFS($S$2:$S$3000,1,$A$2:$A$3000,$A2193,$T$2:$T$3000,"&lt;"&amp;$T2193)+1,""))</f>
        <v/>
      </c>
      <c r="V2193" t="str">
        <f t="shared" si="520"/>
        <v/>
      </c>
      <c r="W2193" t="str">
        <f t="shared" si="521"/>
        <v/>
      </c>
      <c r="X2193" t="str">
        <f t="shared" si="522"/>
        <v/>
      </c>
      <c r="Y2193" t="str">
        <f t="shared" si="523"/>
        <v/>
      </c>
      <c r="Z2193">
        <f>IF($A2193="",0,IF(AND($M2193=1,$A2193=经营数据!$B$3,$J2193=经营数据!$BA$5,OR($I2193=经营数据!$BA$4,COUNTIF(经营数据!$AA$9:$AA$38,$I2193)&gt;0)),1,0))</f>
        <v>0</v>
      </c>
      <c r="AA2193" t="str">
        <f t="shared" si="524"/>
        <v/>
      </c>
      <c r="AB2193" t="str">
        <f t="shared" si="525"/>
        <v/>
      </c>
      <c r="AC2193">
        <f>IF($A2193="",0,IF(COUNTIF($A$2:$A2193,$A2193)=1,1,0))</f>
        <v>0</v>
      </c>
      <c r="AD2193">
        <f t="shared" si="526"/>
        <v>29</v>
      </c>
      <c r="AE2193" t="str">
        <f t="shared" si="527"/>
        <v/>
      </c>
    </row>
    <row r="2194" spans="1:31" x14ac:dyDescent="0.4">
      <c r="A2194" t="str">
        <f>IF(原始经营数据!$D2195="","",原始经营数据!$D2195)</f>
        <v/>
      </c>
      <c r="B2194" t="str">
        <f>IF(原始经营数据!$D2195="","",T(原始经营数据!$E2195))</f>
        <v/>
      </c>
      <c r="C2194" t="str">
        <f>IF(原始经营数据!$D2195="","",原始经营数据!$F2195)</f>
        <v/>
      </c>
      <c r="D2194" t="str">
        <f>IF(原始经营数据!$D2195="","",原始经营数据!$H2195)</f>
        <v/>
      </c>
      <c r="E2194" t="str">
        <f>IF(原始经营数据!$D2195="","",原始经营数据!$I2195)</f>
        <v/>
      </c>
      <c r="F2194" t="str">
        <f>IF(原始经营数据!$D2195="","",T(原始经营数据!$J2195))</f>
        <v/>
      </c>
      <c r="G2194" t="str">
        <f>IF(原始经营数据!$D2195="","",T(原始经营数据!$K2195))</f>
        <v/>
      </c>
      <c r="H2194" t="str">
        <f>IF(原始经营数据!$D2195="","",原始经营数据!$G2195)</f>
        <v/>
      </c>
      <c r="I2194" t="str">
        <f>IF($A2194="","",IF($B2194&lt;&gt;"",$B2194,IF(COUNTIFS(原始经营数据!$D$3:$D$3001,$A2194,原始经营数据!$E$3:$E$3001,"",原始经营数据!$F$3:$F$3001,$C2194,原始经营数据!$H$3:$H$3001,$D2194,原始经营数据!$K$3:$K$3001,$G2194)&gt;1,"基金整体·来源"&amp;原始经营数据!$A2195,"基金整体")))</f>
        <v/>
      </c>
      <c r="J2194" t="str">
        <f t="shared" si="513"/>
        <v/>
      </c>
      <c r="K2194" t="str">
        <f t="shared" si="514"/>
        <v/>
      </c>
      <c r="L2194" t="str">
        <f t="shared" si="515"/>
        <v/>
      </c>
      <c r="M2194">
        <f>IF($A2194="",0,IF(COUNTIF($L$2:$L2194,$L2194)=1,1,0))</f>
        <v>0</v>
      </c>
      <c r="N2194" t="str">
        <f t="shared" si="516"/>
        <v/>
      </c>
      <c r="O2194" t="str">
        <f t="shared" si="517"/>
        <v/>
      </c>
      <c r="P2194">
        <f>IF($A2194="",0,IF(COUNTIF($O$2:$O2194,$O2194)=1,1,0))</f>
        <v>0</v>
      </c>
      <c r="Q2194" t="str">
        <f>IF(AND($P2194=1,$A2194=经营数据!$B$3,$J2194=经营数据!$BA$5),COUNTIFS($P$2:$P$3000,1,$A$2:$A$3000,$A2194,$J$2:$J$3000,$J2194,$N$2:$N$3000,"&lt;"&amp;$N2194)+1,"")</f>
        <v/>
      </c>
      <c r="R2194" t="str">
        <f t="shared" si="518"/>
        <v/>
      </c>
      <c r="S2194">
        <f>IF($A2194="",0,IF(COUNTIF($R$2:$R2194,$R2194)=1,1,0))</f>
        <v>0</v>
      </c>
      <c r="T2194" t="str">
        <f t="shared" si="519"/>
        <v/>
      </c>
      <c r="U2194" t="str">
        <f>IF($A2194="","",IF($A2194=经营数据!$B$3,COUNTIFS($S$2:$S$3000,1,$A$2:$A$3000,$A2194,$T$2:$T$3000,"&lt;"&amp;$T2194)+1,""))</f>
        <v/>
      </c>
      <c r="V2194" t="str">
        <f t="shared" si="520"/>
        <v/>
      </c>
      <c r="W2194" t="str">
        <f t="shared" si="521"/>
        <v/>
      </c>
      <c r="X2194" t="str">
        <f t="shared" si="522"/>
        <v/>
      </c>
      <c r="Y2194" t="str">
        <f t="shared" si="523"/>
        <v/>
      </c>
      <c r="Z2194">
        <f>IF($A2194="",0,IF(AND($M2194=1,$A2194=经营数据!$B$3,$J2194=经营数据!$BA$5,OR($I2194=经营数据!$BA$4,COUNTIF(经营数据!$AA$9:$AA$38,$I2194)&gt;0)),1,0))</f>
        <v>0</v>
      </c>
      <c r="AA2194" t="str">
        <f t="shared" si="524"/>
        <v/>
      </c>
      <c r="AB2194" t="str">
        <f t="shared" si="525"/>
        <v/>
      </c>
      <c r="AC2194">
        <f>IF($A2194="",0,IF(COUNTIF($A$2:$A2194,$A2194)=1,1,0))</f>
        <v>0</v>
      </c>
      <c r="AD2194">
        <f t="shared" si="526"/>
        <v>29</v>
      </c>
      <c r="AE2194" t="str">
        <f t="shared" si="527"/>
        <v/>
      </c>
    </row>
    <row r="2195" spans="1:31" x14ac:dyDescent="0.4">
      <c r="A2195" t="str">
        <f>IF(原始经营数据!$D2196="","",原始经营数据!$D2196)</f>
        <v/>
      </c>
      <c r="B2195" t="str">
        <f>IF(原始经营数据!$D2196="","",T(原始经营数据!$E2196))</f>
        <v/>
      </c>
      <c r="C2195" t="str">
        <f>IF(原始经营数据!$D2196="","",原始经营数据!$F2196)</f>
        <v/>
      </c>
      <c r="D2195" t="str">
        <f>IF(原始经营数据!$D2196="","",原始经营数据!$H2196)</f>
        <v/>
      </c>
      <c r="E2195" t="str">
        <f>IF(原始经营数据!$D2196="","",原始经营数据!$I2196)</f>
        <v/>
      </c>
      <c r="F2195" t="str">
        <f>IF(原始经营数据!$D2196="","",T(原始经营数据!$J2196))</f>
        <v/>
      </c>
      <c r="G2195" t="str">
        <f>IF(原始经营数据!$D2196="","",T(原始经营数据!$K2196))</f>
        <v/>
      </c>
      <c r="H2195" t="str">
        <f>IF(原始经营数据!$D2196="","",原始经营数据!$G2196)</f>
        <v/>
      </c>
      <c r="I2195" t="str">
        <f>IF($A2195="","",IF($B2195&lt;&gt;"",$B2195,IF(COUNTIFS(原始经营数据!$D$3:$D$3001,$A2195,原始经营数据!$E$3:$E$3001,"",原始经营数据!$F$3:$F$3001,$C2195,原始经营数据!$H$3:$H$3001,$D2195,原始经营数据!$K$3:$K$3001,$G2195)&gt;1,"基金整体·来源"&amp;原始经营数据!$A2196,"基金整体")))</f>
        <v/>
      </c>
      <c r="J2195" t="str">
        <f t="shared" si="513"/>
        <v/>
      </c>
      <c r="K2195" t="str">
        <f t="shared" si="514"/>
        <v/>
      </c>
      <c r="L2195" t="str">
        <f t="shared" si="515"/>
        <v/>
      </c>
      <c r="M2195">
        <f>IF($A2195="",0,IF(COUNTIF($L$2:$L2195,$L2195)=1,1,0))</f>
        <v>0</v>
      </c>
      <c r="N2195" t="str">
        <f t="shared" si="516"/>
        <v/>
      </c>
      <c r="O2195" t="str">
        <f t="shared" si="517"/>
        <v/>
      </c>
      <c r="P2195">
        <f>IF($A2195="",0,IF(COUNTIF($O$2:$O2195,$O2195)=1,1,0))</f>
        <v>0</v>
      </c>
      <c r="Q2195" t="str">
        <f>IF(AND($P2195=1,$A2195=经营数据!$B$3,$J2195=经营数据!$BA$5),COUNTIFS($P$2:$P$3000,1,$A$2:$A$3000,$A2195,$J$2:$J$3000,$J2195,$N$2:$N$3000,"&lt;"&amp;$N2195)+1,"")</f>
        <v/>
      </c>
      <c r="R2195" t="str">
        <f t="shared" si="518"/>
        <v/>
      </c>
      <c r="S2195">
        <f>IF($A2195="",0,IF(COUNTIF($R$2:$R2195,$R2195)=1,1,0))</f>
        <v>0</v>
      </c>
      <c r="T2195" t="str">
        <f t="shared" si="519"/>
        <v/>
      </c>
      <c r="U2195" t="str">
        <f>IF($A2195="","",IF($A2195=经营数据!$B$3,COUNTIFS($S$2:$S$3000,1,$A$2:$A$3000,$A2195,$T$2:$T$3000,"&lt;"&amp;$T2195)+1,""))</f>
        <v/>
      </c>
      <c r="V2195" t="str">
        <f t="shared" si="520"/>
        <v/>
      </c>
      <c r="W2195" t="str">
        <f t="shared" si="521"/>
        <v/>
      </c>
      <c r="X2195" t="str">
        <f t="shared" si="522"/>
        <v/>
      </c>
      <c r="Y2195" t="str">
        <f t="shared" si="523"/>
        <v/>
      </c>
      <c r="Z2195">
        <f>IF($A2195="",0,IF(AND($M2195=1,$A2195=经营数据!$B$3,$J2195=经营数据!$BA$5,OR($I2195=经营数据!$BA$4,COUNTIF(经营数据!$AA$9:$AA$38,$I2195)&gt;0)),1,0))</f>
        <v>0</v>
      </c>
      <c r="AA2195" t="str">
        <f t="shared" si="524"/>
        <v/>
      </c>
      <c r="AB2195" t="str">
        <f t="shared" si="525"/>
        <v/>
      </c>
      <c r="AC2195">
        <f>IF($A2195="",0,IF(COUNTIF($A$2:$A2195,$A2195)=1,1,0))</f>
        <v>0</v>
      </c>
      <c r="AD2195">
        <f t="shared" si="526"/>
        <v>29</v>
      </c>
      <c r="AE2195" t="str">
        <f t="shared" si="527"/>
        <v/>
      </c>
    </row>
    <row r="2196" spans="1:31" x14ac:dyDescent="0.4">
      <c r="A2196" t="str">
        <f>IF(原始经营数据!$D2197="","",原始经营数据!$D2197)</f>
        <v/>
      </c>
      <c r="B2196" t="str">
        <f>IF(原始经营数据!$D2197="","",T(原始经营数据!$E2197))</f>
        <v/>
      </c>
      <c r="C2196" t="str">
        <f>IF(原始经营数据!$D2197="","",原始经营数据!$F2197)</f>
        <v/>
      </c>
      <c r="D2196" t="str">
        <f>IF(原始经营数据!$D2197="","",原始经营数据!$H2197)</f>
        <v/>
      </c>
      <c r="E2196" t="str">
        <f>IF(原始经营数据!$D2197="","",原始经营数据!$I2197)</f>
        <v/>
      </c>
      <c r="F2196" t="str">
        <f>IF(原始经营数据!$D2197="","",T(原始经营数据!$J2197))</f>
        <v/>
      </c>
      <c r="G2196" t="str">
        <f>IF(原始经营数据!$D2197="","",T(原始经营数据!$K2197))</f>
        <v/>
      </c>
      <c r="H2196" t="str">
        <f>IF(原始经营数据!$D2197="","",原始经营数据!$G2197)</f>
        <v/>
      </c>
      <c r="I2196" t="str">
        <f>IF($A2196="","",IF($B2196&lt;&gt;"",$B2196,IF(COUNTIFS(原始经营数据!$D$3:$D$3001,$A2196,原始经营数据!$E$3:$E$3001,"",原始经营数据!$F$3:$F$3001,$C2196,原始经营数据!$H$3:$H$3001,$D2196,原始经营数据!$K$3:$K$3001,$G2196)&gt;1,"基金整体·来源"&amp;原始经营数据!$A2197,"基金整体")))</f>
        <v/>
      </c>
      <c r="J2196" t="str">
        <f t="shared" si="513"/>
        <v/>
      </c>
      <c r="K2196" t="str">
        <f t="shared" si="514"/>
        <v/>
      </c>
      <c r="L2196" t="str">
        <f t="shared" si="515"/>
        <v/>
      </c>
      <c r="M2196">
        <f>IF($A2196="",0,IF(COUNTIF($L$2:$L2196,$L2196)=1,1,0))</f>
        <v>0</v>
      </c>
      <c r="N2196" t="str">
        <f t="shared" si="516"/>
        <v/>
      </c>
      <c r="O2196" t="str">
        <f t="shared" si="517"/>
        <v/>
      </c>
      <c r="P2196">
        <f>IF($A2196="",0,IF(COUNTIF($O$2:$O2196,$O2196)=1,1,0))</f>
        <v>0</v>
      </c>
      <c r="Q2196" t="str">
        <f>IF(AND($P2196=1,$A2196=经营数据!$B$3,$J2196=经营数据!$BA$5),COUNTIFS($P$2:$P$3000,1,$A$2:$A$3000,$A2196,$J$2:$J$3000,$J2196,$N$2:$N$3000,"&lt;"&amp;$N2196)+1,"")</f>
        <v/>
      </c>
      <c r="R2196" t="str">
        <f t="shared" si="518"/>
        <v/>
      </c>
      <c r="S2196">
        <f>IF($A2196="",0,IF(COUNTIF($R$2:$R2196,$R2196)=1,1,0))</f>
        <v>0</v>
      </c>
      <c r="T2196" t="str">
        <f t="shared" si="519"/>
        <v/>
      </c>
      <c r="U2196" t="str">
        <f>IF($A2196="","",IF($A2196=经营数据!$B$3,COUNTIFS($S$2:$S$3000,1,$A$2:$A$3000,$A2196,$T$2:$T$3000,"&lt;"&amp;$T2196)+1,""))</f>
        <v/>
      </c>
      <c r="V2196" t="str">
        <f t="shared" si="520"/>
        <v/>
      </c>
      <c r="W2196" t="str">
        <f t="shared" si="521"/>
        <v/>
      </c>
      <c r="X2196" t="str">
        <f t="shared" si="522"/>
        <v/>
      </c>
      <c r="Y2196" t="str">
        <f t="shared" si="523"/>
        <v/>
      </c>
      <c r="Z2196">
        <f>IF($A2196="",0,IF(AND($M2196=1,$A2196=经营数据!$B$3,$J2196=经营数据!$BA$5,OR($I2196=经营数据!$BA$4,COUNTIF(经营数据!$AA$9:$AA$38,$I2196)&gt;0)),1,0))</f>
        <v>0</v>
      </c>
      <c r="AA2196" t="str">
        <f t="shared" si="524"/>
        <v/>
      </c>
      <c r="AB2196" t="str">
        <f t="shared" si="525"/>
        <v/>
      </c>
      <c r="AC2196">
        <f>IF($A2196="",0,IF(COUNTIF($A$2:$A2196,$A2196)=1,1,0))</f>
        <v>0</v>
      </c>
      <c r="AD2196">
        <f t="shared" si="526"/>
        <v>29</v>
      </c>
      <c r="AE2196" t="str">
        <f t="shared" si="527"/>
        <v/>
      </c>
    </row>
    <row r="2197" spans="1:31" x14ac:dyDescent="0.4">
      <c r="A2197" t="str">
        <f>IF(原始经营数据!$D2198="","",原始经营数据!$D2198)</f>
        <v/>
      </c>
      <c r="B2197" t="str">
        <f>IF(原始经营数据!$D2198="","",T(原始经营数据!$E2198))</f>
        <v/>
      </c>
      <c r="C2197" t="str">
        <f>IF(原始经营数据!$D2198="","",原始经营数据!$F2198)</f>
        <v/>
      </c>
      <c r="D2197" t="str">
        <f>IF(原始经营数据!$D2198="","",原始经营数据!$H2198)</f>
        <v/>
      </c>
      <c r="E2197" t="str">
        <f>IF(原始经营数据!$D2198="","",原始经营数据!$I2198)</f>
        <v/>
      </c>
      <c r="F2197" t="str">
        <f>IF(原始经营数据!$D2198="","",T(原始经营数据!$J2198))</f>
        <v/>
      </c>
      <c r="G2197" t="str">
        <f>IF(原始经营数据!$D2198="","",T(原始经营数据!$K2198))</f>
        <v/>
      </c>
      <c r="H2197" t="str">
        <f>IF(原始经营数据!$D2198="","",原始经营数据!$G2198)</f>
        <v/>
      </c>
      <c r="I2197" t="str">
        <f>IF($A2197="","",IF($B2197&lt;&gt;"",$B2197,IF(COUNTIFS(原始经营数据!$D$3:$D$3001,$A2197,原始经营数据!$E$3:$E$3001,"",原始经营数据!$F$3:$F$3001,$C2197,原始经营数据!$H$3:$H$3001,$D2197,原始经营数据!$K$3:$K$3001,$G2197)&gt;1,"基金整体·来源"&amp;原始经营数据!$A2198,"基金整体")))</f>
        <v/>
      </c>
      <c r="J2197" t="str">
        <f t="shared" si="513"/>
        <v/>
      </c>
      <c r="K2197" t="str">
        <f t="shared" si="514"/>
        <v/>
      </c>
      <c r="L2197" t="str">
        <f t="shared" si="515"/>
        <v/>
      </c>
      <c r="M2197">
        <f>IF($A2197="",0,IF(COUNTIF($L$2:$L2197,$L2197)=1,1,0))</f>
        <v>0</v>
      </c>
      <c r="N2197" t="str">
        <f t="shared" si="516"/>
        <v/>
      </c>
      <c r="O2197" t="str">
        <f t="shared" si="517"/>
        <v/>
      </c>
      <c r="P2197">
        <f>IF($A2197="",0,IF(COUNTIF($O$2:$O2197,$O2197)=1,1,0))</f>
        <v>0</v>
      </c>
      <c r="Q2197" t="str">
        <f>IF(AND($P2197=1,$A2197=经营数据!$B$3,$J2197=经营数据!$BA$5),COUNTIFS($P$2:$P$3000,1,$A$2:$A$3000,$A2197,$J$2:$J$3000,$J2197,$N$2:$N$3000,"&lt;"&amp;$N2197)+1,"")</f>
        <v/>
      </c>
      <c r="R2197" t="str">
        <f t="shared" si="518"/>
        <v/>
      </c>
      <c r="S2197">
        <f>IF($A2197="",0,IF(COUNTIF($R$2:$R2197,$R2197)=1,1,0))</f>
        <v>0</v>
      </c>
      <c r="T2197" t="str">
        <f t="shared" si="519"/>
        <v/>
      </c>
      <c r="U2197" t="str">
        <f>IF($A2197="","",IF($A2197=经营数据!$B$3,COUNTIFS($S$2:$S$3000,1,$A$2:$A$3000,$A2197,$T$2:$T$3000,"&lt;"&amp;$T2197)+1,""))</f>
        <v/>
      </c>
      <c r="V2197" t="str">
        <f t="shared" si="520"/>
        <v/>
      </c>
      <c r="W2197" t="str">
        <f t="shared" si="521"/>
        <v/>
      </c>
      <c r="X2197" t="str">
        <f t="shared" si="522"/>
        <v/>
      </c>
      <c r="Y2197" t="str">
        <f t="shared" si="523"/>
        <v/>
      </c>
      <c r="Z2197">
        <f>IF($A2197="",0,IF(AND($M2197=1,$A2197=经营数据!$B$3,$J2197=经营数据!$BA$5,OR($I2197=经营数据!$BA$4,COUNTIF(经营数据!$AA$9:$AA$38,$I2197)&gt;0)),1,0))</f>
        <v>0</v>
      </c>
      <c r="AA2197" t="str">
        <f t="shared" si="524"/>
        <v/>
      </c>
      <c r="AB2197" t="str">
        <f t="shared" si="525"/>
        <v/>
      </c>
      <c r="AC2197">
        <f>IF($A2197="",0,IF(COUNTIF($A$2:$A2197,$A2197)=1,1,0))</f>
        <v>0</v>
      </c>
      <c r="AD2197">
        <f t="shared" si="526"/>
        <v>29</v>
      </c>
      <c r="AE2197" t="str">
        <f t="shared" si="527"/>
        <v/>
      </c>
    </row>
    <row r="2198" spans="1:31" x14ac:dyDescent="0.4">
      <c r="A2198" t="str">
        <f>IF(原始经营数据!$D2199="","",原始经营数据!$D2199)</f>
        <v/>
      </c>
      <c r="B2198" t="str">
        <f>IF(原始经营数据!$D2199="","",T(原始经营数据!$E2199))</f>
        <v/>
      </c>
      <c r="C2198" t="str">
        <f>IF(原始经营数据!$D2199="","",原始经营数据!$F2199)</f>
        <v/>
      </c>
      <c r="D2198" t="str">
        <f>IF(原始经营数据!$D2199="","",原始经营数据!$H2199)</f>
        <v/>
      </c>
      <c r="E2198" t="str">
        <f>IF(原始经营数据!$D2199="","",原始经营数据!$I2199)</f>
        <v/>
      </c>
      <c r="F2198" t="str">
        <f>IF(原始经营数据!$D2199="","",T(原始经营数据!$J2199))</f>
        <v/>
      </c>
      <c r="G2198" t="str">
        <f>IF(原始经营数据!$D2199="","",T(原始经营数据!$K2199))</f>
        <v/>
      </c>
      <c r="H2198" t="str">
        <f>IF(原始经营数据!$D2199="","",原始经营数据!$G2199)</f>
        <v/>
      </c>
      <c r="I2198" t="str">
        <f>IF($A2198="","",IF($B2198&lt;&gt;"",$B2198,IF(COUNTIFS(原始经营数据!$D$3:$D$3001,$A2198,原始经营数据!$E$3:$E$3001,"",原始经营数据!$F$3:$F$3001,$C2198,原始经营数据!$H$3:$H$3001,$D2198,原始经营数据!$K$3:$K$3001,$G2198)&gt;1,"基金整体·来源"&amp;原始经营数据!$A2199,"基金整体")))</f>
        <v/>
      </c>
      <c r="J2198" t="str">
        <f t="shared" si="513"/>
        <v/>
      </c>
      <c r="K2198" t="str">
        <f t="shared" si="514"/>
        <v/>
      </c>
      <c r="L2198" t="str">
        <f t="shared" si="515"/>
        <v/>
      </c>
      <c r="M2198">
        <f>IF($A2198="",0,IF(COUNTIF($L$2:$L2198,$L2198)=1,1,0))</f>
        <v>0</v>
      </c>
      <c r="N2198" t="str">
        <f t="shared" si="516"/>
        <v/>
      </c>
      <c r="O2198" t="str">
        <f t="shared" si="517"/>
        <v/>
      </c>
      <c r="P2198">
        <f>IF($A2198="",0,IF(COUNTIF($O$2:$O2198,$O2198)=1,1,0))</f>
        <v>0</v>
      </c>
      <c r="Q2198" t="str">
        <f>IF(AND($P2198=1,$A2198=经营数据!$B$3,$J2198=经营数据!$BA$5),COUNTIFS($P$2:$P$3000,1,$A$2:$A$3000,$A2198,$J$2:$J$3000,$J2198,$N$2:$N$3000,"&lt;"&amp;$N2198)+1,"")</f>
        <v/>
      </c>
      <c r="R2198" t="str">
        <f t="shared" si="518"/>
        <v/>
      </c>
      <c r="S2198">
        <f>IF($A2198="",0,IF(COUNTIF($R$2:$R2198,$R2198)=1,1,0))</f>
        <v>0</v>
      </c>
      <c r="T2198" t="str">
        <f t="shared" si="519"/>
        <v/>
      </c>
      <c r="U2198" t="str">
        <f>IF($A2198="","",IF($A2198=经营数据!$B$3,COUNTIFS($S$2:$S$3000,1,$A$2:$A$3000,$A2198,$T$2:$T$3000,"&lt;"&amp;$T2198)+1,""))</f>
        <v/>
      </c>
      <c r="V2198" t="str">
        <f t="shared" si="520"/>
        <v/>
      </c>
      <c r="W2198" t="str">
        <f t="shared" si="521"/>
        <v/>
      </c>
      <c r="X2198" t="str">
        <f t="shared" si="522"/>
        <v/>
      </c>
      <c r="Y2198" t="str">
        <f t="shared" si="523"/>
        <v/>
      </c>
      <c r="Z2198">
        <f>IF($A2198="",0,IF(AND($M2198=1,$A2198=经营数据!$B$3,$J2198=经营数据!$BA$5,OR($I2198=经营数据!$BA$4,COUNTIF(经营数据!$AA$9:$AA$38,$I2198)&gt;0)),1,0))</f>
        <v>0</v>
      </c>
      <c r="AA2198" t="str">
        <f t="shared" si="524"/>
        <v/>
      </c>
      <c r="AB2198" t="str">
        <f t="shared" si="525"/>
        <v/>
      </c>
      <c r="AC2198">
        <f>IF($A2198="",0,IF(COUNTIF($A$2:$A2198,$A2198)=1,1,0))</f>
        <v>0</v>
      </c>
      <c r="AD2198">
        <f t="shared" si="526"/>
        <v>29</v>
      </c>
      <c r="AE2198" t="str">
        <f t="shared" si="527"/>
        <v/>
      </c>
    </row>
    <row r="2199" spans="1:31" x14ac:dyDescent="0.4">
      <c r="A2199" t="str">
        <f>IF(原始经营数据!$D2200="","",原始经营数据!$D2200)</f>
        <v/>
      </c>
      <c r="B2199" t="str">
        <f>IF(原始经营数据!$D2200="","",T(原始经营数据!$E2200))</f>
        <v/>
      </c>
      <c r="C2199" t="str">
        <f>IF(原始经营数据!$D2200="","",原始经营数据!$F2200)</f>
        <v/>
      </c>
      <c r="D2199" t="str">
        <f>IF(原始经营数据!$D2200="","",原始经营数据!$H2200)</f>
        <v/>
      </c>
      <c r="E2199" t="str">
        <f>IF(原始经营数据!$D2200="","",原始经营数据!$I2200)</f>
        <v/>
      </c>
      <c r="F2199" t="str">
        <f>IF(原始经营数据!$D2200="","",T(原始经营数据!$J2200))</f>
        <v/>
      </c>
      <c r="G2199" t="str">
        <f>IF(原始经营数据!$D2200="","",T(原始经营数据!$K2200))</f>
        <v/>
      </c>
      <c r="H2199" t="str">
        <f>IF(原始经营数据!$D2200="","",原始经营数据!$G2200)</f>
        <v/>
      </c>
      <c r="I2199" t="str">
        <f>IF($A2199="","",IF($B2199&lt;&gt;"",$B2199,IF(COUNTIFS(原始经营数据!$D$3:$D$3001,$A2199,原始经营数据!$E$3:$E$3001,"",原始经营数据!$F$3:$F$3001,$C2199,原始经营数据!$H$3:$H$3001,$D2199,原始经营数据!$K$3:$K$3001,$G2199)&gt;1,"基金整体·来源"&amp;原始经营数据!$A2200,"基金整体")))</f>
        <v/>
      </c>
      <c r="J2199" t="str">
        <f t="shared" si="513"/>
        <v/>
      </c>
      <c r="K2199" t="str">
        <f t="shared" si="514"/>
        <v/>
      </c>
      <c r="L2199" t="str">
        <f t="shared" si="515"/>
        <v/>
      </c>
      <c r="M2199">
        <f>IF($A2199="",0,IF(COUNTIF($L$2:$L2199,$L2199)=1,1,0))</f>
        <v>0</v>
      </c>
      <c r="N2199" t="str">
        <f t="shared" si="516"/>
        <v/>
      </c>
      <c r="O2199" t="str">
        <f t="shared" si="517"/>
        <v/>
      </c>
      <c r="P2199">
        <f>IF($A2199="",0,IF(COUNTIF($O$2:$O2199,$O2199)=1,1,0))</f>
        <v>0</v>
      </c>
      <c r="Q2199" t="str">
        <f>IF(AND($P2199=1,$A2199=经营数据!$B$3,$J2199=经营数据!$BA$5),COUNTIFS($P$2:$P$3000,1,$A$2:$A$3000,$A2199,$J$2:$J$3000,$J2199,$N$2:$N$3000,"&lt;"&amp;$N2199)+1,"")</f>
        <v/>
      </c>
      <c r="R2199" t="str">
        <f t="shared" si="518"/>
        <v/>
      </c>
      <c r="S2199">
        <f>IF($A2199="",0,IF(COUNTIF($R$2:$R2199,$R2199)=1,1,0))</f>
        <v>0</v>
      </c>
      <c r="T2199" t="str">
        <f t="shared" si="519"/>
        <v/>
      </c>
      <c r="U2199" t="str">
        <f>IF($A2199="","",IF($A2199=经营数据!$B$3,COUNTIFS($S$2:$S$3000,1,$A$2:$A$3000,$A2199,$T$2:$T$3000,"&lt;"&amp;$T2199)+1,""))</f>
        <v/>
      </c>
      <c r="V2199" t="str">
        <f t="shared" si="520"/>
        <v/>
      </c>
      <c r="W2199" t="str">
        <f t="shared" si="521"/>
        <v/>
      </c>
      <c r="X2199" t="str">
        <f t="shared" si="522"/>
        <v/>
      </c>
      <c r="Y2199" t="str">
        <f t="shared" si="523"/>
        <v/>
      </c>
      <c r="Z2199">
        <f>IF($A2199="",0,IF(AND($M2199=1,$A2199=经营数据!$B$3,$J2199=经营数据!$BA$5,OR($I2199=经营数据!$BA$4,COUNTIF(经营数据!$AA$9:$AA$38,$I2199)&gt;0)),1,0))</f>
        <v>0</v>
      </c>
      <c r="AA2199" t="str">
        <f t="shared" si="524"/>
        <v/>
      </c>
      <c r="AB2199" t="str">
        <f t="shared" si="525"/>
        <v/>
      </c>
      <c r="AC2199">
        <f>IF($A2199="",0,IF(COUNTIF($A$2:$A2199,$A2199)=1,1,0))</f>
        <v>0</v>
      </c>
      <c r="AD2199">
        <f t="shared" si="526"/>
        <v>29</v>
      </c>
      <c r="AE2199" t="str">
        <f t="shared" si="527"/>
        <v/>
      </c>
    </row>
    <row r="2200" spans="1:31" x14ac:dyDescent="0.4">
      <c r="A2200" t="str">
        <f>IF(原始经营数据!$D2201="","",原始经营数据!$D2201)</f>
        <v/>
      </c>
      <c r="B2200" t="str">
        <f>IF(原始经营数据!$D2201="","",T(原始经营数据!$E2201))</f>
        <v/>
      </c>
      <c r="C2200" t="str">
        <f>IF(原始经营数据!$D2201="","",原始经营数据!$F2201)</f>
        <v/>
      </c>
      <c r="D2200" t="str">
        <f>IF(原始经营数据!$D2201="","",原始经营数据!$H2201)</f>
        <v/>
      </c>
      <c r="E2200" t="str">
        <f>IF(原始经营数据!$D2201="","",原始经营数据!$I2201)</f>
        <v/>
      </c>
      <c r="F2200" t="str">
        <f>IF(原始经营数据!$D2201="","",T(原始经营数据!$J2201))</f>
        <v/>
      </c>
      <c r="G2200" t="str">
        <f>IF(原始经营数据!$D2201="","",T(原始经营数据!$K2201))</f>
        <v/>
      </c>
      <c r="H2200" t="str">
        <f>IF(原始经营数据!$D2201="","",原始经营数据!$G2201)</f>
        <v/>
      </c>
      <c r="I2200" t="str">
        <f>IF($A2200="","",IF($B2200&lt;&gt;"",$B2200,IF(COUNTIFS(原始经营数据!$D$3:$D$3001,$A2200,原始经营数据!$E$3:$E$3001,"",原始经营数据!$F$3:$F$3001,$C2200,原始经营数据!$H$3:$H$3001,$D2200,原始经营数据!$K$3:$K$3001,$G2200)&gt;1,"基金整体·来源"&amp;原始经营数据!$A2201,"基金整体")))</f>
        <v/>
      </c>
      <c r="J2200" t="str">
        <f t="shared" si="513"/>
        <v/>
      </c>
      <c r="K2200" t="str">
        <f t="shared" si="514"/>
        <v/>
      </c>
      <c r="L2200" t="str">
        <f t="shared" si="515"/>
        <v/>
      </c>
      <c r="M2200">
        <f>IF($A2200="",0,IF(COUNTIF($L$2:$L2200,$L2200)=1,1,0))</f>
        <v>0</v>
      </c>
      <c r="N2200" t="str">
        <f t="shared" si="516"/>
        <v/>
      </c>
      <c r="O2200" t="str">
        <f t="shared" si="517"/>
        <v/>
      </c>
      <c r="P2200">
        <f>IF($A2200="",0,IF(COUNTIF($O$2:$O2200,$O2200)=1,1,0))</f>
        <v>0</v>
      </c>
      <c r="Q2200" t="str">
        <f>IF(AND($P2200=1,$A2200=经营数据!$B$3,$J2200=经营数据!$BA$5),COUNTIFS($P$2:$P$3000,1,$A$2:$A$3000,$A2200,$J$2:$J$3000,$J2200,$N$2:$N$3000,"&lt;"&amp;$N2200)+1,"")</f>
        <v/>
      </c>
      <c r="R2200" t="str">
        <f t="shared" si="518"/>
        <v/>
      </c>
      <c r="S2200">
        <f>IF($A2200="",0,IF(COUNTIF($R$2:$R2200,$R2200)=1,1,0))</f>
        <v>0</v>
      </c>
      <c r="T2200" t="str">
        <f t="shared" si="519"/>
        <v/>
      </c>
      <c r="U2200" t="str">
        <f>IF($A2200="","",IF($A2200=经营数据!$B$3,COUNTIFS($S$2:$S$3000,1,$A$2:$A$3000,$A2200,$T$2:$T$3000,"&lt;"&amp;$T2200)+1,""))</f>
        <v/>
      </c>
      <c r="V2200" t="str">
        <f t="shared" si="520"/>
        <v/>
      </c>
      <c r="W2200" t="str">
        <f t="shared" si="521"/>
        <v/>
      </c>
      <c r="X2200" t="str">
        <f t="shared" si="522"/>
        <v/>
      </c>
      <c r="Y2200" t="str">
        <f t="shared" si="523"/>
        <v/>
      </c>
      <c r="Z2200">
        <f>IF($A2200="",0,IF(AND($M2200=1,$A2200=经营数据!$B$3,$J2200=经营数据!$BA$5,OR($I2200=经营数据!$BA$4,COUNTIF(经营数据!$AA$9:$AA$38,$I2200)&gt;0)),1,0))</f>
        <v>0</v>
      </c>
      <c r="AA2200" t="str">
        <f t="shared" si="524"/>
        <v/>
      </c>
      <c r="AB2200" t="str">
        <f t="shared" si="525"/>
        <v/>
      </c>
      <c r="AC2200">
        <f>IF($A2200="",0,IF(COUNTIF($A$2:$A2200,$A2200)=1,1,0))</f>
        <v>0</v>
      </c>
      <c r="AD2200">
        <f t="shared" si="526"/>
        <v>29</v>
      </c>
      <c r="AE2200" t="str">
        <f t="shared" si="527"/>
        <v/>
      </c>
    </row>
    <row r="2201" spans="1:31" x14ac:dyDescent="0.4">
      <c r="A2201" t="str">
        <f>IF(原始经营数据!$D2202="","",原始经营数据!$D2202)</f>
        <v/>
      </c>
      <c r="B2201" t="str">
        <f>IF(原始经营数据!$D2202="","",T(原始经营数据!$E2202))</f>
        <v/>
      </c>
      <c r="C2201" t="str">
        <f>IF(原始经营数据!$D2202="","",原始经营数据!$F2202)</f>
        <v/>
      </c>
      <c r="D2201" t="str">
        <f>IF(原始经营数据!$D2202="","",原始经营数据!$H2202)</f>
        <v/>
      </c>
      <c r="E2201" t="str">
        <f>IF(原始经营数据!$D2202="","",原始经营数据!$I2202)</f>
        <v/>
      </c>
      <c r="F2201" t="str">
        <f>IF(原始经营数据!$D2202="","",T(原始经营数据!$J2202))</f>
        <v/>
      </c>
      <c r="G2201" t="str">
        <f>IF(原始经营数据!$D2202="","",T(原始经营数据!$K2202))</f>
        <v/>
      </c>
      <c r="H2201" t="str">
        <f>IF(原始经营数据!$D2202="","",原始经营数据!$G2202)</f>
        <v/>
      </c>
      <c r="I2201" t="str">
        <f>IF($A2201="","",IF($B2201&lt;&gt;"",$B2201,IF(COUNTIFS(原始经营数据!$D$3:$D$3001,$A2201,原始经营数据!$E$3:$E$3001,"",原始经营数据!$F$3:$F$3001,$C2201,原始经营数据!$H$3:$H$3001,$D2201,原始经营数据!$K$3:$K$3001,$G2201)&gt;1,"基金整体·来源"&amp;原始经营数据!$A2202,"基金整体")))</f>
        <v/>
      </c>
      <c r="J2201" t="str">
        <f t="shared" si="513"/>
        <v/>
      </c>
      <c r="K2201" t="str">
        <f t="shared" si="514"/>
        <v/>
      </c>
      <c r="L2201" t="str">
        <f t="shared" si="515"/>
        <v/>
      </c>
      <c r="M2201">
        <f>IF($A2201="",0,IF(COUNTIF($L$2:$L2201,$L2201)=1,1,0))</f>
        <v>0</v>
      </c>
      <c r="N2201" t="str">
        <f t="shared" si="516"/>
        <v/>
      </c>
      <c r="O2201" t="str">
        <f t="shared" si="517"/>
        <v/>
      </c>
      <c r="P2201">
        <f>IF($A2201="",0,IF(COUNTIF($O$2:$O2201,$O2201)=1,1,0))</f>
        <v>0</v>
      </c>
      <c r="Q2201" t="str">
        <f>IF(AND($P2201=1,$A2201=经营数据!$B$3,$J2201=经营数据!$BA$5),COUNTIFS($P$2:$P$3000,1,$A$2:$A$3000,$A2201,$J$2:$J$3000,$J2201,$N$2:$N$3000,"&lt;"&amp;$N2201)+1,"")</f>
        <v/>
      </c>
      <c r="R2201" t="str">
        <f t="shared" si="518"/>
        <v/>
      </c>
      <c r="S2201">
        <f>IF($A2201="",0,IF(COUNTIF($R$2:$R2201,$R2201)=1,1,0))</f>
        <v>0</v>
      </c>
      <c r="T2201" t="str">
        <f t="shared" si="519"/>
        <v/>
      </c>
      <c r="U2201" t="str">
        <f>IF($A2201="","",IF($A2201=经营数据!$B$3,COUNTIFS($S$2:$S$3000,1,$A$2:$A$3000,$A2201,$T$2:$T$3000,"&lt;"&amp;$T2201)+1,""))</f>
        <v/>
      </c>
      <c r="V2201" t="str">
        <f t="shared" si="520"/>
        <v/>
      </c>
      <c r="W2201" t="str">
        <f t="shared" si="521"/>
        <v/>
      </c>
      <c r="X2201" t="str">
        <f t="shared" si="522"/>
        <v/>
      </c>
      <c r="Y2201" t="str">
        <f t="shared" si="523"/>
        <v/>
      </c>
      <c r="Z2201">
        <f>IF($A2201="",0,IF(AND($M2201=1,$A2201=经营数据!$B$3,$J2201=经营数据!$BA$5,OR($I2201=经营数据!$BA$4,COUNTIF(经营数据!$AA$9:$AA$38,$I2201)&gt;0)),1,0))</f>
        <v>0</v>
      </c>
      <c r="AA2201" t="str">
        <f t="shared" si="524"/>
        <v/>
      </c>
      <c r="AB2201" t="str">
        <f t="shared" si="525"/>
        <v/>
      </c>
      <c r="AC2201">
        <f>IF($A2201="",0,IF(COUNTIF($A$2:$A2201,$A2201)=1,1,0))</f>
        <v>0</v>
      </c>
      <c r="AD2201">
        <f t="shared" si="526"/>
        <v>29</v>
      </c>
      <c r="AE2201" t="str">
        <f t="shared" si="527"/>
        <v/>
      </c>
    </row>
    <row r="2202" spans="1:31" x14ac:dyDescent="0.4">
      <c r="A2202" t="str">
        <f>IF(原始经营数据!$D2203="","",原始经营数据!$D2203)</f>
        <v/>
      </c>
      <c r="B2202" t="str">
        <f>IF(原始经营数据!$D2203="","",T(原始经营数据!$E2203))</f>
        <v/>
      </c>
      <c r="C2202" t="str">
        <f>IF(原始经营数据!$D2203="","",原始经营数据!$F2203)</f>
        <v/>
      </c>
      <c r="D2202" t="str">
        <f>IF(原始经营数据!$D2203="","",原始经营数据!$H2203)</f>
        <v/>
      </c>
      <c r="E2202" t="str">
        <f>IF(原始经营数据!$D2203="","",原始经营数据!$I2203)</f>
        <v/>
      </c>
      <c r="F2202" t="str">
        <f>IF(原始经营数据!$D2203="","",T(原始经营数据!$J2203))</f>
        <v/>
      </c>
      <c r="G2202" t="str">
        <f>IF(原始经营数据!$D2203="","",T(原始经营数据!$K2203))</f>
        <v/>
      </c>
      <c r="H2202" t="str">
        <f>IF(原始经营数据!$D2203="","",原始经营数据!$G2203)</f>
        <v/>
      </c>
      <c r="I2202" t="str">
        <f>IF($A2202="","",IF($B2202&lt;&gt;"",$B2202,IF(COUNTIFS(原始经营数据!$D$3:$D$3001,$A2202,原始经营数据!$E$3:$E$3001,"",原始经营数据!$F$3:$F$3001,$C2202,原始经营数据!$H$3:$H$3001,$D2202,原始经营数据!$K$3:$K$3001,$G2202)&gt;1,"基金整体·来源"&amp;原始经营数据!$A2203,"基金整体")))</f>
        <v/>
      </c>
      <c r="J2202" t="str">
        <f t="shared" si="513"/>
        <v/>
      </c>
      <c r="K2202" t="str">
        <f t="shared" si="514"/>
        <v/>
      </c>
      <c r="L2202" t="str">
        <f t="shared" si="515"/>
        <v/>
      </c>
      <c r="M2202">
        <f>IF($A2202="",0,IF(COUNTIF($L$2:$L2202,$L2202)=1,1,0))</f>
        <v>0</v>
      </c>
      <c r="N2202" t="str">
        <f t="shared" si="516"/>
        <v/>
      </c>
      <c r="O2202" t="str">
        <f t="shared" si="517"/>
        <v/>
      </c>
      <c r="P2202">
        <f>IF($A2202="",0,IF(COUNTIF($O$2:$O2202,$O2202)=1,1,0))</f>
        <v>0</v>
      </c>
      <c r="Q2202" t="str">
        <f>IF(AND($P2202=1,$A2202=经营数据!$B$3,$J2202=经营数据!$BA$5),COUNTIFS($P$2:$P$3000,1,$A$2:$A$3000,$A2202,$J$2:$J$3000,$J2202,$N$2:$N$3000,"&lt;"&amp;$N2202)+1,"")</f>
        <v/>
      </c>
      <c r="R2202" t="str">
        <f t="shared" si="518"/>
        <v/>
      </c>
      <c r="S2202">
        <f>IF($A2202="",0,IF(COUNTIF($R$2:$R2202,$R2202)=1,1,0))</f>
        <v>0</v>
      </c>
      <c r="T2202" t="str">
        <f t="shared" si="519"/>
        <v/>
      </c>
      <c r="U2202" t="str">
        <f>IF($A2202="","",IF($A2202=经营数据!$B$3,COUNTIFS($S$2:$S$3000,1,$A$2:$A$3000,$A2202,$T$2:$T$3000,"&lt;"&amp;$T2202)+1,""))</f>
        <v/>
      </c>
      <c r="V2202" t="str">
        <f t="shared" si="520"/>
        <v/>
      </c>
      <c r="W2202" t="str">
        <f t="shared" si="521"/>
        <v/>
      </c>
      <c r="X2202" t="str">
        <f t="shared" si="522"/>
        <v/>
      </c>
      <c r="Y2202" t="str">
        <f t="shared" si="523"/>
        <v/>
      </c>
      <c r="Z2202">
        <f>IF($A2202="",0,IF(AND($M2202=1,$A2202=经营数据!$B$3,$J2202=经营数据!$BA$5,OR($I2202=经营数据!$BA$4,COUNTIF(经营数据!$AA$9:$AA$38,$I2202)&gt;0)),1,0))</f>
        <v>0</v>
      </c>
      <c r="AA2202" t="str">
        <f t="shared" si="524"/>
        <v/>
      </c>
      <c r="AB2202" t="str">
        <f t="shared" si="525"/>
        <v/>
      </c>
      <c r="AC2202">
        <f>IF($A2202="",0,IF(COUNTIF($A$2:$A2202,$A2202)=1,1,0))</f>
        <v>0</v>
      </c>
      <c r="AD2202">
        <f t="shared" si="526"/>
        <v>29</v>
      </c>
      <c r="AE2202" t="str">
        <f t="shared" si="527"/>
        <v/>
      </c>
    </row>
    <row r="2203" spans="1:31" x14ac:dyDescent="0.4">
      <c r="A2203" t="str">
        <f>IF(原始经营数据!$D2204="","",原始经营数据!$D2204)</f>
        <v/>
      </c>
      <c r="B2203" t="str">
        <f>IF(原始经营数据!$D2204="","",T(原始经营数据!$E2204))</f>
        <v/>
      </c>
      <c r="C2203" t="str">
        <f>IF(原始经营数据!$D2204="","",原始经营数据!$F2204)</f>
        <v/>
      </c>
      <c r="D2203" t="str">
        <f>IF(原始经营数据!$D2204="","",原始经营数据!$H2204)</f>
        <v/>
      </c>
      <c r="E2203" t="str">
        <f>IF(原始经营数据!$D2204="","",原始经营数据!$I2204)</f>
        <v/>
      </c>
      <c r="F2203" t="str">
        <f>IF(原始经营数据!$D2204="","",T(原始经营数据!$J2204))</f>
        <v/>
      </c>
      <c r="G2203" t="str">
        <f>IF(原始经营数据!$D2204="","",T(原始经营数据!$K2204))</f>
        <v/>
      </c>
      <c r="H2203" t="str">
        <f>IF(原始经营数据!$D2204="","",原始经营数据!$G2204)</f>
        <v/>
      </c>
      <c r="I2203" t="str">
        <f>IF($A2203="","",IF($B2203&lt;&gt;"",$B2203,IF(COUNTIFS(原始经营数据!$D$3:$D$3001,$A2203,原始经营数据!$E$3:$E$3001,"",原始经营数据!$F$3:$F$3001,$C2203,原始经营数据!$H$3:$H$3001,$D2203,原始经营数据!$K$3:$K$3001,$G2203)&gt;1,"基金整体·来源"&amp;原始经营数据!$A2204,"基金整体")))</f>
        <v/>
      </c>
      <c r="J2203" t="str">
        <f t="shared" si="513"/>
        <v/>
      </c>
      <c r="K2203" t="str">
        <f t="shared" si="514"/>
        <v/>
      </c>
      <c r="L2203" t="str">
        <f t="shared" si="515"/>
        <v/>
      </c>
      <c r="M2203">
        <f>IF($A2203="",0,IF(COUNTIF($L$2:$L2203,$L2203)=1,1,0))</f>
        <v>0</v>
      </c>
      <c r="N2203" t="str">
        <f t="shared" si="516"/>
        <v/>
      </c>
      <c r="O2203" t="str">
        <f t="shared" si="517"/>
        <v/>
      </c>
      <c r="P2203">
        <f>IF($A2203="",0,IF(COUNTIF($O$2:$O2203,$O2203)=1,1,0))</f>
        <v>0</v>
      </c>
      <c r="Q2203" t="str">
        <f>IF(AND($P2203=1,$A2203=经营数据!$B$3,$J2203=经营数据!$BA$5),COUNTIFS($P$2:$P$3000,1,$A$2:$A$3000,$A2203,$J$2:$J$3000,$J2203,$N$2:$N$3000,"&lt;"&amp;$N2203)+1,"")</f>
        <v/>
      </c>
      <c r="R2203" t="str">
        <f t="shared" si="518"/>
        <v/>
      </c>
      <c r="S2203">
        <f>IF($A2203="",0,IF(COUNTIF($R$2:$R2203,$R2203)=1,1,0))</f>
        <v>0</v>
      </c>
      <c r="T2203" t="str">
        <f t="shared" si="519"/>
        <v/>
      </c>
      <c r="U2203" t="str">
        <f>IF($A2203="","",IF($A2203=经营数据!$B$3,COUNTIFS($S$2:$S$3000,1,$A$2:$A$3000,$A2203,$T$2:$T$3000,"&lt;"&amp;$T2203)+1,""))</f>
        <v/>
      </c>
      <c r="V2203" t="str">
        <f t="shared" si="520"/>
        <v/>
      </c>
      <c r="W2203" t="str">
        <f t="shared" si="521"/>
        <v/>
      </c>
      <c r="X2203" t="str">
        <f t="shared" si="522"/>
        <v/>
      </c>
      <c r="Y2203" t="str">
        <f t="shared" si="523"/>
        <v/>
      </c>
      <c r="Z2203">
        <f>IF($A2203="",0,IF(AND($M2203=1,$A2203=经营数据!$B$3,$J2203=经营数据!$BA$5,OR($I2203=经营数据!$BA$4,COUNTIF(经营数据!$AA$9:$AA$38,$I2203)&gt;0)),1,0))</f>
        <v>0</v>
      </c>
      <c r="AA2203" t="str">
        <f t="shared" si="524"/>
        <v/>
      </c>
      <c r="AB2203" t="str">
        <f t="shared" si="525"/>
        <v/>
      </c>
      <c r="AC2203">
        <f>IF($A2203="",0,IF(COUNTIF($A$2:$A2203,$A2203)=1,1,0))</f>
        <v>0</v>
      </c>
      <c r="AD2203">
        <f t="shared" si="526"/>
        <v>29</v>
      </c>
      <c r="AE2203" t="str">
        <f t="shared" si="527"/>
        <v/>
      </c>
    </row>
    <row r="2204" spans="1:31" x14ac:dyDescent="0.4">
      <c r="A2204" t="str">
        <f>IF(原始经营数据!$D2205="","",原始经营数据!$D2205)</f>
        <v/>
      </c>
      <c r="B2204" t="str">
        <f>IF(原始经营数据!$D2205="","",T(原始经营数据!$E2205))</f>
        <v/>
      </c>
      <c r="C2204" t="str">
        <f>IF(原始经营数据!$D2205="","",原始经营数据!$F2205)</f>
        <v/>
      </c>
      <c r="D2204" t="str">
        <f>IF(原始经营数据!$D2205="","",原始经营数据!$H2205)</f>
        <v/>
      </c>
      <c r="E2204" t="str">
        <f>IF(原始经营数据!$D2205="","",原始经营数据!$I2205)</f>
        <v/>
      </c>
      <c r="F2204" t="str">
        <f>IF(原始经营数据!$D2205="","",T(原始经营数据!$J2205))</f>
        <v/>
      </c>
      <c r="G2204" t="str">
        <f>IF(原始经营数据!$D2205="","",T(原始经营数据!$K2205))</f>
        <v/>
      </c>
      <c r="H2204" t="str">
        <f>IF(原始经营数据!$D2205="","",原始经营数据!$G2205)</f>
        <v/>
      </c>
      <c r="I2204" t="str">
        <f>IF($A2204="","",IF($B2204&lt;&gt;"",$B2204,IF(COUNTIFS(原始经营数据!$D$3:$D$3001,$A2204,原始经营数据!$E$3:$E$3001,"",原始经营数据!$F$3:$F$3001,$C2204,原始经营数据!$H$3:$H$3001,$D2204,原始经营数据!$K$3:$K$3001,$G2204)&gt;1,"基金整体·来源"&amp;原始经营数据!$A2205,"基金整体")))</f>
        <v/>
      </c>
      <c r="J2204" t="str">
        <f t="shared" si="513"/>
        <v/>
      </c>
      <c r="K2204" t="str">
        <f t="shared" si="514"/>
        <v/>
      </c>
      <c r="L2204" t="str">
        <f t="shared" si="515"/>
        <v/>
      </c>
      <c r="M2204">
        <f>IF($A2204="",0,IF(COUNTIF($L$2:$L2204,$L2204)=1,1,0))</f>
        <v>0</v>
      </c>
      <c r="N2204" t="str">
        <f t="shared" si="516"/>
        <v/>
      </c>
      <c r="O2204" t="str">
        <f t="shared" si="517"/>
        <v/>
      </c>
      <c r="P2204">
        <f>IF($A2204="",0,IF(COUNTIF($O$2:$O2204,$O2204)=1,1,0))</f>
        <v>0</v>
      </c>
      <c r="Q2204" t="str">
        <f>IF(AND($P2204=1,$A2204=经营数据!$B$3,$J2204=经营数据!$BA$5),COUNTIFS($P$2:$P$3000,1,$A$2:$A$3000,$A2204,$J$2:$J$3000,$J2204,$N$2:$N$3000,"&lt;"&amp;$N2204)+1,"")</f>
        <v/>
      </c>
      <c r="R2204" t="str">
        <f t="shared" si="518"/>
        <v/>
      </c>
      <c r="S2204">
        <f>IF($A2204="",0,IF(COUNTIF($R$2:$R2204,$R2204)=1,1,0))</f>
        <v>0</v>
      </c>
      <c r="T2204" t="str">
        <f t="shared" si="519"/>
        <v/>
      </c>
      <c r="U2204" t="str">
        <f>IF($A2204="","",IF($A2204=经营数据!$B$3,COUNTIFS($S$2:$S$3000,1,$A$2:$A$3000,$A2204,$T$2:$T$3000,"&lt;"&amp;$T2204)+1,""))</f>
        <v/>
      </c>
      <c r="V2204" t="str">
        <f t="shared" si="520"/>
        <v/>
      </c>
      <c r="W2204" t="str">
        <f t="shared" si="521"/>
        <v/>
      </c>
      <c r="X2204" t="str">
        <f t="shared" si="522"/>
        <v/>
      </c>
      <c r="Y2204" t="str">
        <f t="shared" si="523"/>
        <v/>
      </c>
      <c r="Z2204">
        <f>IF($A2204="",0,IF(AND($M2204=1,$A2204=经营数据!$B$3,$J2204=经营数据!$BA$5,OR($I2204=经营数据!$BA$4,COUNTIF(经营数据!$AA$9:$AA$38,$I2204)&gt;0)),1,0))</f>
        <v>0</v>
      </c>
      <c r="AA2204" t="str">
        <f t="shared" si="524"/>
        <v/>
      </c>
      <c r="AB2204" t="str">
        <f t="shared" si="525"/>
        <v/>
      </c>
      <c r="AC2204">
        <f>IF($A2204="",0,IF(COUNTIF($A$2:$A2204,$A2204)=1,1,0))</f>
        <v>0</v>
      </c>
      <c r="AD2204">
        <f t="shared" si="526"/>
        <v>29</v>
      </c>
      <c r="AE2204" t="str">
        <f t="shared" si="527"/>
        <v/>
      </c>
    </row>
    <row r="2205" spans="1:31" x14ac:dyDescent="0.4">
      <c r="A2205" t="str">
        <f>IF(原始经营数据!$D2206="","",原始经营数据!$D2206)</f>
        <v/>
      </c>
      <c r="B2205" t="str">
        <f>IF(原始经营数据!$D2206="","",T(原始经营数据!$E2206))</f>
        <v/>
      </c>
      <c r="C2205" t="str">
        <f>IF(原始经营数据!$D2206="","",原始经营数据!$F2206)</f>
        <v/>
      </c>
      <c r="D2205" t="str">
        <f>IF(原始经营数据!$D2206="","",原始经营数据!$H2206)</f>
        <v/>
      </c>
      <c r="E2205" t="str">
        <f>IF(原始经营数据!$D2206="","",原始经营数据!$I2206)</f>
        <v/>
      </c>
      <c r="F2205" t="str">
        <f>IF(原始经营数据!$D2206="","",T(原始经营数据!$J2206))</f>
        <v/>
      </c>
      <c r="G2205" t="str">
        <f>IF(原始经营数据!$D2206="","",T(原始经营数据!$K2206))</f>
        <v/>
      </c>
      <c r="H2205" t="str">
        <f>IF(原始经营数据!$D2206="","",原始经营数据!$G2206)</f>
        <v/>
      </c>
      <c r="I2205" t="str">
        <f>IF($A2205="","",IF($B2205&lt;&gt;"",$B2205,IF(COUNTIFS(原始经营数据!$D$3:$D$3001,$A2205,原始经营数据!$E$3:$E$3001,"",原始经营数据!$F$3:$F$3001,$C2205,原始经营数据!$H$3:$H$3001,$D2205,原始经营数据!$K$3:$K$3001,$G2205)&gt;1,"基金整体·来源"&amp;原始经营数据!$A2206,"基金整体")))</f>
        <v/>
      </c>
      <c r="J2205" t="str">
        <f t="shared" si="513"/>
        <v/>
      </c>
      <c r="K2205" t="str">
        <f t="shared" si="514"/>
        <v/>
      </c>
      <c r="L2205" t="str">
        <f t="shared" si="515"/>
        <v/>
      </c>
      <c r="M2205">
        <f>IF($A2205="",0,IF(COUNTIF($L$2:$L2205,$L2205)=1,1,0))</f>
        <v>0</v>
      </c>
      <c r="N2205" t="str">
        <f t="shared" si="516"/>
        <v/>
      </c>
      <c r="O2205" t="str">
        <f t="shared" si="517"/>
        <v/>
      </c>
      <c r="P2205">
        <f>IF($A2205="",0,IF(COUNTIF($O$2:$O2205,$O2205)=1,1,0))</f>
        <v>0</v>
      </c>
      <c r="Q2205" t="str">
        <f>IF(AND($P2205=1,$A2205=经营数据!$B$3,$J2205=经营数据!$BA$5),COUNTIFS($P$2:$P$3000,1,$A$2:$A$3000,$A2205,$J$2:$J$3000,$J2205,$N$2:$N$3000,"&lt;"&amp;$N2205)+1,"")</f>
        <v/>
      </c>
      <c r="R2205" t="str">
        <f t="shared" si="518"/>
        <v/>
      </c>
      <c r="S2205">
        <f>IF($A2205="",0,IF(COUNTIF($R$2:$R2205,$R2205)=1,1,0))</f>
        <v>0</v>
      </c>
      <c r="T2205" t="str">
        <f t="shared" si="519"/>
        <v/>
      </c>
      <c r="U2205" t="str">
        <f>IF($A2205="","",IF($A2205=经营数据!$B$3,COUNTIFS($S$2:$S$3000,1,$A$2:$A$3000,$A2205,$T$2:$T$3000,"&lt;"&amp;$T2205)+1,""))</f>
        <v/>
      </c>
      <c r="V2205" t="str">
        <f t="shared" si="520"/>
        <v/>
      </c>
      <c r="W2205" t="str">
        <f t="shared" si="521"/>
        <v/>
      </c>
      <c r="X2205" t="str">
        <f t="shared" si="522"/>
        <v/>
      </c>
      <c r="Y2205" t="str">
        <f t="shared" si="523"/>
        <v/>
      </c>
      <c r="Z2205">
        <f>IF($A2205="",0,IF(AND($M2205=1,$A2205=经营数据!$B$3,$J2205=经营数据!$BA$5,OR($I2205=经营数据!$BA$4,COUNTIF(经营数据!$AA$9:$AA$38,$I2205)&gt;0)),1,0))</f>
        <v>0</v>
      </c>
      <c r="AA2205" t="str">
        <f t="shared" si="524"/>
        <v/>
      </c>
      <c r="AB2205" t="str">
        <f t="shared" si="525"/>
        <v/>
      </c>
      <c r="AC2205">
        <f>IF($A2205="",0,IF(COUNTIF($A$2:$A2205,$A2205)=1,1,0))</f>
        <v>0</v>
      </c>
      <c r="AD2205">
        <f t="shared" si="526"/>
        <v>29</v>
      </c>
      <c r="AE2205" t="str">
        <f t="shared" si="527"/>
        <v/>
      </c>
    </row>
    <row r="2206" spans="1:31" x14ac:dyDescent="0.4">
      <c r="A2206" t="str">
        <f>IF(原始经营数据!$D2207="","",原始经营数据!$D2207)</f>
        <v/>
      </c>
      <c r="B2206" t="str">
        <f>IF(原始经营数据!$D2207="","",T(原始经营数据!$E2207))</f>
        <v/>
      </c>
      <c r="C2206" t="str">
        <f>IF(原始经营数据!$D2207="","",原始经营数据!$F2207)</f>
        <v/>
      </c>
      <c r="D2206" t="str">
        <f>IF(原始经营数据!$D2207="","",原始经营数据!$H2207)</f>
        <v/>
      </c>
      <c r="E2206" t="str">
        <f>IF(原始经营数据!$D2207="","",原始经营数据!$I2207)</f>
        <v/>
      </c>
      <c r="F2206" t="str">
        <f>IF(原始经营数据!$D2207="","",T(原始经营数据!$J2207))</f>
        <v/>
      </c>
      <c r="G2206" t="str">
        <f>IF(原始经营数据!$D2207="","",T(原始经营数据!$K2207))</f>
        <v/>
      </c>
      <c r="H2206" t="str">
        <f>IF(原始经营数据!$D2207="","",原始经营数据!$G2207)</f>
        <v/>
      </c>
      <c r="I2206" t="str">
        <f>IF($A2206="","",IF($B2206&lt;&gt;"",$B2206,IF(COUNTIFS(原始经营数据!$D$3:$D$3001,$A2206,原始经营数据!$E$3:$E$3001,"",原始经营数据!$F$3:$F$3001,$C2206,原始经营数据!$H$3:$H$3001,$D2206,原始经营数据!$K$3:$K$3001,$G2206)&gt;1,"基金整体·来源"&amp;原始经营数据!$A2207,"基金整体")))</f>
        <v/>
      </c>
      <c r="J2206" t="str">
        <f t="shared" si="513"/>
        <v/>
      </c>
      <c r="K2206" t="str">
        <f t="shared" si="514"/>
        <v/>
      </c>
      <c r="L2206" t="str">
        <f t="shared" si="515"/>
        <v/>
      </c>
      <c r="M2206">
        <f>IF($A2206="",0,IF(COUNTIF($L$2:$L2206,$L2206)=1,1,0))</f>
        <v>0</v>
      </c>
      <c r="N2206" t="str">
        <f t="shared" si="516"/>
        <v/>
      </c>
      <c r="O2206" t="str">
        <f t="shared" si="517"/>
        <v/>
      </c>
      <c r="P2206">
        <f>IF($A2206="",0,IF(COUNTIF($O$2:$O2206,$O2206)=1,1,0))</f>
        <v>0</v>
      </c>
      <c r="Q2206" t="str">
        <f>IF(AND($P2206=1,$A2206=经营数据!$B$3,$J2206=经营数据!$BA$5),COUNTIFS($P$2:$P$3000,1,$A$2:$A$3000,$A2206,$J$2:$J$3000,$J2206,$N$2:$N$3000,"&lt;"&amp;$N2206)+1,"")</f>
        <v/>
      </c>
      <c r="R2206" t="str">
        <f t="shared" si="518"/>
        <v/>
      </c>
      <c r="S2206">
        <f>IF($A2206="",0,IF(COUNTIF($R$2:$R2206,$R2206)=1,1,0))</f>
        <v>0</v>
      </c>
      <c r="T2206" t="str">
        <f t="shared" si="519"/>
        <v/>
      </c>
      <c r="U2206" t="str">
        <f>IF($A2206="","",IF($A2206=经营数据!$B$3,COUNTIFS($S$2:$S$3000,1,$A$2:$A$3000,$A2206,$T$2:$T$3000,"&lt;"&amp;$T2206)+1,""))</f>
        <v/>
      </c>
      <c r="V2206" t="str">
        <f t="shared" si="520"/>
        <v/>
      </c>
      <c r="W2206" t="str">
        <f t="shared" si="521"/>
        <v/>
      </c>
      <c r="X2206" t="str">
        <f t="shared" si="522"/>
        <v/>
      </c>
      <c r="Y2206" t="str">
        <f t="shared" si="523"/>
        <v/>
      </c>
      <c r="Z2206">
        <f>IF($A2206="",0,IF(AND($M2206=1,$A2206=经营数据!$B$3,$J2206=经营数据!$BA$5,OR($I2206=经营数据!$BA$4,COUNTIF(经营数据!$AA$9:$AA$38,$I2206)&gt;0)),1,0))</f>
        <v>0</v>
      </c>
      <c r="AA2206" t="str">
        <f t="shared" si="524"/>
        <v/>
      </c>
      <c r="AB2206" t="str">
        <f t="shared" si="525"/>
        <v/>
      </c>
      <c r="AC2206">
        <f>IF($A2206="",0,IF(COUNTIF($A$2:$A2206,$A2206)=1,1,0))</f>
        <v>0</v>
      </c>
      <c r="AD2206">
        <f t="shared" si="526"/>
        <v>29</v>
      </c>
      <c r="AE2206" t="str">
        <f t="shared" si="527"/>
        <v/>
      </c>
    </row>
    <row r="2207" spans="1:31" x14ac:dyDescent="0.4">
      <c r="A2207" t="str">
        <f>IF(原始经营数据!$D2208="","",原始经营数据!$D2208)</f>
        <v/>
      </c>
      <c r="B2207" t="str">
        <f>IF(原始经营数据!$D2208="","",T(原始经营数据!$E2208))</f>
        <v/>
      </c>
      <c r="C2207" t="str">
        <f>IF(原始经营数据!$D2208="","",原始经营数据!$F2208)</f>
        <v/>
      </c>
      <c r="D2207" t="str">
        <f>IF(原始经营数据!$D2208="","",原始经营数据!$H2208)</f>
        <v/>
      </c>
      <c r="E2207" t="str">
        <f>IF(原始经营数据!$D2208="","",原始经营数据!$I2208)</f>
        <v/>
      </c>
      <c r="F2207" t="str">
        <f>IF(原始经营数据!$D2208="","",T(原始经营数据!$J2208))</f>
        <v/>
      </c>
      <c r="G2207" t="str">
        <f>IF(原始经营数据!$D2208="","",T(原始经营数据!$K2208))</f>
        <v/>
      </c>
      <c r="H2207" t="str">
        <f>IF(原始经营数据!$D2208="","",原始经营数据!$G2208)</f>
        <v/>
      </c>
      <c r="I2207" t="str">
        <f>IF($A2207="","",IF($B2207&lt;&gt;"",$B2207,IF(COUNTIFS(原始经营数据!$D$3:$D$3001,$A2207,原始经营数据!$E$3:$E$3001,"",原始经营数据!$F$3:$F$3001,$C2207,原始经营数据!$H$3:$H$3001,$D2207,原始经营数据!$K$3:$K$3001,$G2207)&gt;1,"基金整体·来源"&amp;原始经营数据!$A2208,"基金整体")))</f>
        <v/>
      </c>
      <c r="J2207" t="str">
        <f t="shared" si="513"/>
        <v/>
      </c>
      <c r="K2207" t="str">
        <f t="shared" si="514"/>
        <v/>
      </c>
      <c r="L2207" t="str">
        <f t="shared" si="515"/>
        <v/>
      </c>
      <c r="M2207">
        <f>IF($A2207="",0,IF(COUNTIF($L$2:$L2207,$L2207)=1,1,0))</f>
        <v>0</v>
      </c>
      <c r="N2207" t="str">
        <f t="shared" si="516"/>
        <v/>
      </c>
      <c r="O2207" t="str">
        <f t="shared" si="517"/>
        <v/>
      </c>
      <c r="P2207">
        <f>IF($A2207="",0,IF(COUNTIF($O$2:$O2207,$O2207)=1,1,0))</f>
        <v>0</v>
      </c>
      <c r="Q2207" t="str">
        <f>IF(AND($P2207=1,$A2207=经营数据!$B$3,$J2207=经营数据!$BA$5),COUNTIFS($P$2:$P$3000,1,$A$2:$A$3000,$A2207,$J$2:$J$3000,$J2207,$N$2:$N$3000,"&lt;"&amp;$N2207)+1,"")</f>
        <v/>
      </c>
      <c r="R2207" t="str">
        <f t="shared" si="518"/>
        <v/>
      </c>
      <c r="S2207">
        <f>IF($A2207="",0,IF(COUNTIF($R$2:$R2207,$R2207)=1,1,0))</f>
        <v>0</v>
      </c>
      <c r="T2207" t="str">
        <f t="shared" si="519"/>
        <v/>
      </c>
      <c r="U2207" t="str">
        <f>IF($A2207="","",IF($A2207=经营数据!$B$3,COUNTIFS($S$2:$S$3000,1,$A$2:$A$3000,$A2207,$T$2:$T$3000,"&lt;"&amp;$T2207)+1,""))</f>
        <v/>
      </c>
      <c r="V2207" t="str">
        <f t="shared" si="520"/>
        <v/>
      </c>
      <c r="W2207" t="str">
        <f t="shared" si="521"/>
        <v/>
      </c>
      <c r="X2207" t="str">
        <f t="shared" si="522"/>
        <v/>
      </c>
      <c r="Y2207" t="str">
        <f t="shared" si="523"/>
        <v/>
      </c>
      <c r="Z2207">
        <f>IF($A2207="",0,IF(AND($M2207=1,$A2207=经营数据!$B$3,$J2207=经营数据!$BA$5,OR($I2207=经营数据!$BA$4,COUNTIF(经营数据!$AA$9:$AA$38,$I2207)&gt;0)),1,0))</f>
        <v>0</v>
      </c>
      <c r="AA2207" t="str">
        <f t="shared" si="524"/>
        <v/>
      </c>
      <c r="AB2207" t="str">
        <f t="shared" si="525"/>
        <v/>
      </c>
      <c r="AC2207">
        <f>IF($A2207="",0,IF(COUNTIF($A$2:$A2207,$A2207)=1,1,0))</f>
        <v>0</v>
      </c>
      <c r="AD2207">
        <f t="shared" si="526"/>
        <v>29</v>
      </c>
      <c r="AE2207" t="str">
        <f t="shared" si="527"/>
        <v/>
      </c>
    </row>
    <row r="2208" spans="1:31" x14ac:dyDescent="0.4">
      <c r="A2208" t="str">
        <f>IF(原始经营数据!$D2209="","",原始经营数据!$D2209)</f>
        <v/>
      </c>
      <c r="B2208" t="str">
        <f>IF(原始经营数据!$D2209="","",T(原始经营数据!$E2209))</f>
        <v/>
      </c>
      <c r="C2208" t="str">
        <f>IF(原始经营数据!$D2209="","",原始经营数据!$F2209)</f>
        <v/>
      </c>
      <c r="D2208" t="str">
        <f>IF(原始经营数据!$D2209="","",原始经营数据!$H2209)</f>
        <v/>
      </c>
      <c r="E2208" t="str">
        <f>IF(原始经营数据!$D2209="","",原始经营数据!$I2209)</f>
        <v/>
      </c>
      <c r="F2208" t="str">
        <f>IF(原始经营数据!$D2209="","",T(原始经营数据!$J2209))</f>
        <v/>
      </c>
      <c r="G2208" t="str">
        <f>IF(原始经营数据!$D2209="","",T(原始经营数据!$K2209))</f>
        <v/>
      </c>
      <c r="H2208" t="str">
        <f>IF(原始经营数据!$D2209="","",原始经营数据!$G2209)</f>
        <v/>
      </c>
      <c r="I2208" t="str">
        <f>IF($A2208="","",IF($B2208&lt;&gt;"",$B2208,IF(COUNTIFS(原始经营数据!$D$3:$D$3001,$A2208,原始经营数据!$E$3:$E$3001,"",原始经营数据!$F$3:$F$3001,$C2208,原始经营数据!$H$3:$H$3001,$D2208,原始经营数据!$K$3:$K$3001,$G2208)&gt;1,"基金整体·来源"&amp;原始经营数据!$A2209,"基金整体")))</f>
        <v/>
      </c>
      <c r="J2208" t="str">
        <f t="shared" si="513"/>
        <v/>
      </c>
      <c r="K2208" t="str">
        <f t="shared" si="514"/>
        <v/>
      </c>
      <c r="L2208" t="str">
        <f t="shared" si="515"/>
        <v/>
      </c>
      <c r="M2208">
        <f>IF($A2208="",0,IF(COUNTIF($L$2:$L2208,$L2208)=1,1,0))</f>
        <v>0</v>
      </c>
      <c r="N2208" t="str">
        <f t="shared" si="516"/>
        <v/>
      </c>
      <c r="O2208" t="str">
        <f t="shared" si="517"/>
        <v/>
      </c>
      <c r="P2208">
        <f>IF($A2208="",0,IF(COUNTIF($O$2:$O2208,$O2208)=1,1,0))</f>
        <v>0</v>
      </c>
      <c r="Q2208" t="str">
        <f>IF(AND($P2208=1,$A2208=经营数据!$B$3,$J2208=经营数据!$BA$5),COUNTIFS($P$2:$P$3000,1,$A$2:$A$3000,$A2208,$J$2:$J$3000,$J2208,$N$2:$N$3000,"&lt;"&amp;$N2208)+1,"")</f>
        <v/>
      </c>
      <c r="R2208" t="str">
        <f t="shared" si="518"/>
        <v/>
      </c>
      <c r="S2208">
        <f>IF($A2208="",0,IF(COUNTIF($R$2:$R2208,$R2208)=1,1,0))</f>
        <v>0</v>
      </c>
      <c r="T2208" t="str">
        <f t="shared" si="519"/>
        <v/>
      </c>
      <c r="U2208" t="str">
        <f>IF($A2208="","",IF($A2208=经营数据!$B$3,COUNTIFS($S$2:$S$3000,1,$A$2:$A$3000,$A2208,$T$2:$T$3000,"&lt;"&amp;$T2208)+1,""))</f>
        <v/>
      </c>
      <c r="V2208" t="str">
        <f t="shared" si="520"/>
        <v/>
      </c>
      <c r="W2208" t="str">
        <f t="shared" si="521"/>
        <v/>
      </c>
      <c r="X2208" t="str">
        <f t="shared" si="522"/>
        <v/>
      </c>
      <c r="Y2208" t="str">
        <f t="shared" si="523"/>
        <v/>
      </c>
      <c r="Z2208">
        <f>IF($A2208="",0,IF(AND($M2208=1,$A2208=经营数据!$B$3,$J2208=经营数据!$BA$5,OR($I2208=经营数据!$BA$4,COUNTIF(经营数据!$AA$9:$AA$38,$I2208)&gt;0)),1,0))</f>
        <v>0</v>
      </c>
      <c r="AA2208" t="str">
        <f t="shared" si="524"/>
        <v/>
      </c>
      <c r="AB2208" t="str">
        <f t="shared" si="525"/>
        <v/>
      </c>
      <c r="AC2208">
        <f>IF($A2208="",0,IF(COUNTIF($A$2:$A2208,$A2208)=1,1,0))</f>
        <v>0</v>
      </c>
      <c r="AD2208">
        <f t="shared" si="526"/>
        <v>29</v>
      </c>
      <c r="AE2208" t="str">
        <f t="shared" si="527"/>
        <v/>
      </c>
    </row>
    <row r="2209" spans="1:31" x14ac:dyDescent="0.4">
      <c r="A2209" t="str">
        <f>IF(原始经营数据!$D2210="","",原始经营数据!$D2210)</f>
        <v/>
      </c>
      <c r="B2209" t="str">
        <f>IF(原始经营数据!$D2210="","",T(原始经营数据!$E2210))</f>
        <v/>
      </c>
      <c r="C2209" t="str">
        <f>IF(原始经营数据!$D2210="","",原始经营数据!$F2210)</f>
        <v/>
      </c>
      <c r="D2209" t="str">
        <f>IF(原始经营数据!$D2210="","",原始经营数据!$H2210)</f>
        <v/>
      </c>
      <c r="E2209" t="str">
        <f>IF(原始经营数据!$D2210="","",原始经营数据!$I2210)</f>
        <v/>
      </c>
      <c r="F2209" t="str">
        <f>IF(原始经营数据!$D2210="","",T(原始经营数据!$J2210))</f>
        <v/>
      </c>
      <c r="G2209" t="str">
        <f>IF(原始经营数据!$D2210="","",T(原始经营数据!$K2210))</f>
        <v/>
      </c>
      <c r="H2209" t="str">
        <f>IF(原始经营数据!$D2210="","",原始经营数据!$G2210)</f>
        <v/>
      </c>
      <c r="I2209" t="str">
        <f>IF($A2209="","",IF($B2209&lt;&gt;"",$B2209,IF(COUNTIFS(原始经营数据!$D$3:$D$3001,$A2209,原始经营数据!$E$3:$E$3001,"",原始经营数据!$F$3:$F$3001,$C2209,原始经营数据!$H$3:$H$3001,$D2209,原始经营数据!$K$3:$K$3001,$G2209)&gt;1,"基金整体·来源"&amp;原始经营数据!$A2210,"基金整体")))</f>
        <v/>
      </c>
      <c r="J2209" t="str">
        <f t="shared" si="513"/>
        <v/>
      </c>
      <c r="K2209" t="str">
        <f t="shared" si="514"/>
        <v/>
      </c>
      <c r="L2209" t="str">
        <f t="shared" si="515"/>
        <v/>
      </c>
      <c r="M2209">
        <f>IF($A2209="",0,IF(COUNTIF($L$2:$L2209,$L2209)=1,1,0))</f>
        <v>0</v>
      </c>
      <c r="N2209" t="str">
        <f t="shared" si="516"/>
        <v/>
      </c>
      <c r="O2209" t="str">
        <f t="shared" si="517"/>
        <v/>
      </c>
      <c r="P2209">
        <f>IF($A2209="",0,IF(COUNTIF($O$2:$O2209,$O2209)=1,1,0))</f>
        <v>0</v>
      </c>
      <c r="Q2209" t="str">
        <f>IF(AND($P2209=1,$A2209=经营数据!$B$3,$J2209=经营数据!$BA$5),COUNTIFS($P$2:$P$3000,1,$A$2:$A$3000,$A2209,$J$2:$J$3000,$J2209,$N$2:$N$3000,"&lt;"&amp;$N2209)+1,"")</f>
        <v/>
      </c>
      <c r="R2209" t="str">
        <f t="shared" si="518"/>
        <v/>
      </c>
      <c r="S2209">
        <f>IF($A2209="",0,IF(COUNTIF($R$2:$R2209,$R2209)=1,1,0))</f>
        <v>0</v>
      </c>
      <c r="T2209" t="str">
        <f t="shared" si="519"/>
        <v/>
      </c>
      <c r="U2209" t="str">
        <f>IF($A2209="","",IF($A2209=经营数据!$B$3,COUNTIFS($S$2:$S$3000,1,$A$2:$A$3000,$A2209,$T$2:$T$3000,"&lt;"&amp;$T2209)+1,""))</f>
        <v/>
      </c>
      <c r="V2209" t="str">
        <f t="shared" si="520"/>
        <v/>
      </c>
      <c r="W2209" t="str">
        <f t="shared" si="521"/>
        <v/>
      </c>
      <c r="X2209" t="str">
        <f t="shared" si="522"/>
        <v/>
      </c>
      <c r="Y2209" t="str">
        <f t="shared" si="523"/>
        <v/>
      </c>
      <c r="Z2209">
        <f>IF($A2209="",0,IF(AND($M2209=1,$A2209=经营数据!$B$3,$J2209=经营数据!$BA$5,OR($I2209=经营数据!$BA$4,COUNTIF(经营数据!$AA$9:$AA$38,$I2209)&gt;0)),1,0))</f>
        <v>0</v>
      </c>
      <c r="AA2209" t="str">
        <f t="shared" si="524"/>
        <v/>
      </c>
      <c r="AB2209" t="str">
        <f t="shared" si="525"/>
        <v/>
      </c>
      <c r="AC2209">
        <f>IF($A2209="",0,IF(COUNTIF($A$2:$A2209,$A2209)=1,1,0))</f>
        <v>0</v>
      </c>
      <c r="AD2209">
        <f t="shared" si="526"/>
        <v>29</v>
      </c>
      <c r="AE2209" t="str">
        <f t="shared" si="527"/>
        <v/>
      </c>
    </row>
    <row r="2210" spans="1:31" x14ac:dyDescent="0.4">
      <c r="A2210" t="str">
        <f>IF(原始经营数据!$D2211="","",原始经营数据!$D2211)</f>
        <v/>
      </c>
      <c r="B2210" t="str">
        <f>IF(原始经营数据!$D2211="","",T(原始经营数据!$E2211))</f>
        <v/>
      </c>
      <c r="C2210" t="str">
        <f>IF(原始经营数据!$D2211="","",原始经营数据!$F2211)</f>
        <v/>
      </c>
      <c r="D2210" t="str">
        <f>IF(原始经营数据!$D2211="","",原始经营数据!$H2211)</f>
        <v/>
      </c>
      <c r="E2210" t="str">
        <f>IF(原始经营数据!$D2211="","",原始经营数据!$I2211)</f>
        <v/>
      </c>
      <c r="F2210" t="str">
        <f>IF(原始经营数据!$D2211="","",T(原始经营数据!$J2211))</f>
        <v/>
      </c>
      <c r="G2210" t="str">
        <f>IF(原始经营数据!$D2211="","",T(原始经营数据!$K2211))</f>
        <v/>
      </c>
      <c r="H2210" t="str">
        <f>IF(原始经营数据!$D2211="","",原始经营数据!$G2211)</f>
        <v/>
      </c>
      <c r="I2210" t="str">
        <f>IF($A2210="","",IF($B2210&lt;&gt;"",$B2210,IF(COUNTIFS(原始经营数据!$D$3:$D$3001,$A2210,原始经营数据!$E$3:$E$3001,"",原始经营数据!$F$3:$F$3001,$C2210,原始经营数据!$H$3:$H$3001,$D2210,原始经营数据!$K$3:$K$3001,$G2210)&gt;1,"基金整体·来源"&amp;原始经营数据!$A2211,"基金整体")))</f>
        <v/>
      </c>
      <c r="J2210" t="str">
        <f t="shared" si="513"/>
        <v/>
      </c>
      <c r="K2210" t="str">
        <f t="shared" si="514"/>
        <v/>
      </c>
      <c r="L2210" t="str">
        <f t="shared" si="515"/>
        <v/>
      </c>
      <c r="M2210">
        <f>IF($A2210="",0,IF(COUNTIF($L$2:$L2210,$L2210)=1,1,0))</f>
        <v>0</v>
      </c>
      <c r="N2210" t="str">
        <f t="shared" si="516"/>
        <v/>
      </c>
      <c r="O2210" t="str">
        <f t="shared" si="517"/>
        <v/>
      </c>
      <c r="P2210">
        <f>IF($A2210="",0,IF(COUNTIF($O$2:$O2210,$O2210)=1,1,0))</f>
        <v>0</v>
      </c>
      <c r="Q2210" t="str">
        <f>IF(AND($P2210=1,$A2210=经营数据!$B$3,$J2210=经营数据!$BA$5),COUNTIFS($P$2:$P$3000,1,$A$2:$A$3000,$A2210,$J$2:$J$3000,$J2210,$N$2:$N$3000,"&lt;"&amp;$N2210)+1,"")</f>
        <v/>
      </c>
      <c r="R2210" t="str">
        <f t="shared" si="518"/>
        <v/>
      </c>
      <c r="S2210">
        <f>IF($A2210="",0,IF(COUNTIF($R$2:$R2210,$R2210)=1,1,0))</f>
        <v>0</v>
      </c>
      <c r="T2210" t="str">
        <f t="shared" si="519"/>
        <v/>
      </c>
      <c r="U2210" t="str">
        <f>IF($A2210="","",IF($A2210=经营数据!$B$3,COUNTIFS($S$2:$S$3000,1,$A$2:$A$3000,$A2210,$T$2:$T$3000,"&lt;"&amp;$T2210)+1,""))</f>
        <v/>
      </c>
      <c r="V2210" t="str">
        <f t="shared" si="520"/>
        <v/>
      </c>
      <c r="W2210" t="str">
        <f t="shared" si="521"/>
        <v/>
      </c>
      <c r="X2210" t="str">
        <f t="shared" si="522"/>
        <v/>
      </c>
      <c r="Y2210" t="str">
        <f t="shared" si="523"/>
        <v/>
      </c>
      <c r="Z2210">
        <f>IF($A2210="",0,IF(AND($M2210=1,$A2210=经营数据!$B$3,$J2210=经营数据!$BA$5,OR($I2210=经营数据!$BA$4,COUNTIF(经营数据!$AA$9:$AA$38,$I2210)&gt;0)),1,0))</f>
        <v>0</v>
      </c>
      <c r="AA2210" t="str">
        <f t="shared" si="524"/>
        <v/>
      </c>
      <c r="AB2210" t="str">
        <f t="shared" si="525"/>
        <v/>
      </c>
      <c r="AC2210">
        <f>IF($A2210="",0,IF(COUNTIF($A$2:$A2210,$A2210)=1,1,0))</f>
        <v>0</v>
      </c>
      <c r="AD2210">
        <f t="shared" si="526"/>
        <v>29</v>
      </c>
      <c r="AE2210" t="str">
        <f t="shared" si="527"/>
        <v/>
      </c>
    </row>
    <row r="2211" spans="1:31" x14ac:dyDescent="0.4">
      <c r="A2211" t="str">
        <f>IF(原始经营数据!$D2212="","",原始经营数据!$D2212)</f>
        <v/>
      </c>
      <c r="B2211" t="str">
        <f>IF(原始经营数据!$D2212="","",T(原始经营数据!$E2212))</f>
        <v/>
      </c>
      <c r="C2211" t="str">
        <f>IF(原始经营数据!$D2212="","",原始经营数据!$F2212)</f>
        <v/>
      </c>
      <c r="D2211" t="str">
        <f>IF(原始经营数据!$D2212="","",原始经营数据!$H2212)</f>
        <v/>
      </c>
      <c r="E2211" t="str">
        <f>IF(原始经营数据!$D2212="","",原始经营数据!$I2212)</f>
        <v/>
      </c>
      <c r="F2211" t="str">
        <f>IF(原始经营数据!$D2212="","",T(原始经营数据!$J2212))</f>
        <v/>
      </c>
      <c r="G2211" t="str">
        <f>IF(原始经营数据!$D2212="","",T(原始经营数据!$K2212))</f>
        <v/>
      </c>
      <c r="H2211" t="str">
        <f>IF(原始经营数据!$D2212="","",原始经营数据!$G2212)</f>
        <v/>
      </c>
      <c r="I2211" t="str">
        <f>IF($A2211="","",IF($B2211&lt;&gt;"",$B2211,IF(COUNTIFS(原始经营数据!$D$3:$D$3001,$A2211,原始经营数据!$E$3:$E$3001,"",原始经营数据!$F$3:$F$3001,$C2211,原始经营数据!$H$3:$H$3001,$D2211,原始经营数据!$K$3:$K$3001,$G2211)&gt;1,"基金整体·来源"&amp;原始经营数据!$A2212,"基金整体")))</f>
        <v/>
      </c>
      <c r="J2211" t="str">
        <f t="shared" si="513"/>
        <v/>
      </c>
      <c r="K2211" t="str">
        <f t="shared" si="514"/>
        <v/>
      </c>
      <c r="L2211" t="str">
        <f t="shared" si="515"/>
        <v/>
      </c>
      <c r="M2211">
        <f>IF($A2211="",0,IF(COUNTIF($L$2:$L2211,$L2211)=1,1,0))</f>
        <v>0</v>
      </c>
      <c r="N2211" t="str">
        <f t="shared" si="516"/>
        <v/>
      </c>
      <c r="O2211" t="str">
        <f t="shared" si="517"/>
        <v/>
      </c>
      <c r="P2211">
        <f>IF($A2211="",0,IF(COUNTIF($O$2:$O2211,$O2211)=1,1,0))</f>
        <v>0</v>
      </c>
      <c r="Q2211" t="str">
        <f>IF(AND($P2211=1,$A2211=经营数据!$B$3,$J2211=经营数据!$BA$5),COUNTIFS($P$2:$P$3000,1,$A$2:$A$3000,$A2211,$J$2:$J$3000,$J2211,$N$2:$N$3000,"&lt;"&amp;$N2211)+1,"")</f>
        <v/>
      </c>
      <c r="R2211" t="str">
        <f t="shared" si="518"/>
        <v/>
      </c>
      <c r="S2211">
        <f>IF($A2211="",0,IF(COUNTIF($R$2:$R2211,$R2211)=1,1,0))</f>
        <v>0</v>
      </c>
      <c r="T2211" t="str">
        <f t="shared" si="519"/>
        <v/>
      </c>
      <c r="U2211" t="str">
        <f>IF($A2211="","",IF($A2211=经营数据!$B$3,COUNTIFS($S$2:$S$3000,1,$A$2:$A$3000,$A2211,$T$2:$T$3000,"&lt;"&amp;$T2211)+1,""))</f>
        <v/>
      </c>
      <c r="V2211" t="str">
        <f t="shared" si="520"/>
        <v/>
      </c>
      <c r="W2211" t="str">
        <f t="shared" si="521"/>
        <v/>
      </c>
      <c r="X2211" t="str">
        <f t="shared" si="522"/>
        <v/>
      </c>
      <c r="Y2211" t="str">
        <f t="shared" si="523"/>
        <v/>
      </c>
      <c r="Z2211">
        <f>IF($A2211="",0,IF(AND($M2211=1,$A2211=经营数据!$B$3,$J2211=经营数据!$BA$5,OR($I2211=经营数据!$BA$4,COUNTIF(经营数据!$AA$9:$AA$38,$I2211)&gt;0)),1,0))</f>
        <v>0</v>
      </c>
      <c r="AA2211" t="str">
        <f t="shared" si="524"/>
        <v/>
      </c>
      <c r="AB2211" t="str">
        <f t="shared" si="525"/>
        <v/>
      </c>
      <c r="AC2211">
        <f>IF($A2211="",0,IF(COUNTIF($A$2:$A2211,$A2211)=1,1,0))</f>
        <v>0</v>
      </c>
      <c r="AD2211">
        <f t="shared" si="526"/>
        <v>29</v>
      </c>
      <c r="AE2211" t="str">
        <f t="shared" si="527"/>
        <v/>
      </c>
    </row>
    <row r="2212" spans="1:31" x14ac:dyDescent="0.4">
      <c r="A2212" t="str">
        <f>IF(原始经营数据!$D2213="","",原始经营数据!$D2213)</f>
        <v/>
      </c>
      <c r="B2212" t="str">
        <f>IF(原始经营数据!$D2213="","",T(原始经营数据!$E2213))</f>
        <v/>
      </c>
      <c r="C2212" t="str">
        <f>IF(原始经营数据!$D2213="","",原始经营数据!$F2213)</f>
        <v/>
      </c>
      <c r="D2212" t="str">
        <f>IF(原始经营数据!$D2213="","",原始经营数据!$H2213)</f>
        <v/>
      </c>
      <c r="E2212" t="str">
        <f>IF(原始经营数据!$D2213="","",原始经营数据!$I2213)</f>
        <v/>
      </c>
      <c r="F2212" t="str">
        <f>IF(原始经营数据!$D2213="","",T(原始经营数据!$J2213))</f>
        <v/>
      </c>
      <c r="G2212" t="str">
        <f>IF(原始经营数据!$D2213="","",T(原始经营数据!$K2213))</f>
        <v/>
      </c>
      <c r="H2212" t="str">
        <f>IF(原始经营数据!$D2213="","",原始经营数据!$G2213)</f>
        <v/>
      </c>
      <c r="I2212" t="str">
        <f>IF($A2212="","",IF($B2212&lt;&gt;"",$B2212,IF(COUNTIFS(原始经营数据!$D$3:$D$3001,$A2212,原始经营数据!$E$3:$E$3001,"",原始经营数据!$F$3:$F$3001,$C2212,原始经营数据!$H$3:$H$3001,$D2212,原始经营数据!$K$3:$K$3001,$G2212)&gt;1,"基金整体·来源"&amp;原始经营数据!$A2213,"基金整体")))</f>
        <v/>
      </c>
      <c r="J2212" t="str">
        <f t="shared" si="513"/>
        <v/>
      </c>
      <c r="K2212" t="str">
        <f t="shared" si="514"/>
        <v/>
      </c>
      <c r="L2212" t="str">
        <f t="shared" si="515"/>
        <v/>
      </c>
      <c r="M2212">
        <f>IF($A2212="",0,IF(COUNTIF($L$2:$L2212,$L2212)=1,1,0))</f>
        <v>0</v>
      </c>
      <c r="N2212" t="str">
        <f t="shared" si="516"/>
        <v/>
      </c>
      <c r="O2212" t="str">
        <f t="shared" si="517"/>
        <v/>
      </c>
      <c r="P2212">
        <f>IF($A2212="",0,IF(COUNTIF($O$2:$O2212,$O2212)=1,1,0))</f>
        <v>0</v>
      </c>
      <c r="Q2212" t="str">
        <f>IF(AND($P2212=1,$A2212=经营数据!$B$3,$J2212=经营数据!$BA$5),COUNTIFS($P$2:$P$3000,1,$A$2:$A$3000,$A2212,$J$2:$J$3000,$J2212,$N$2:$N$3000,"&lt;"&amp;$N2212)+1,"")</f>
        <v/>
      </c>
      <c r="R2212" t="str">
        <f t="shared" si="518"/>
        <v/>
      </c>
      <c r="S2212">
        <f>IF($A2212="",0,IF(COUNTIF($R$2:$R2212,$R2212)=1,1,0))</f>
        <v>0</v>
      </c>
      <c r="T2212" t="str">
        <f t="shared" si="519"/>
        <v/>
      </c>
      <c r="U2212" t="str">
        <f>IF($A2212="","",IF($A2212=经营数据!$B$3,COUNTIFS($S$2:$S$3000,1,$A$2:$A$3000,$A2212,$T$2:$T$3000,"&lt;"&amp;$T2212)+1,""))</f>
        <v/>
      </c>
      <c r="V2212" t="str">
        <f t="shared" si="520"/>
        <v/>
      </c>
      <c r="W2212" t="str">
        <f t="shared" si="521"/>
        <v/>
      </c>
      <c r="X2212" t="str">
        <f t="shared" si="522"/>
        <v/>
      </c>
      <c r="Y2212" t="str">
        <f t="shared" si="523"/>
        <v/>
      </c>
      <c r="Z2212">
        <f>IF($A2212="",0,IF(AND($M2212=1,$A2212=经营数据!$B$3,$J2212=经营数据!$BA$5,OR($I2212=经营数据!$BA$4,COUNTIF(经营数据!$AA$9:$AA$38,$I2212)&gt;0)),1,0))</f>
        <v>0</v>
      </c>
      <c r="AA2212" t="str">
        <f t="shared" si="524"/>
        <v/>
      </c>
      <c r="AB2212" t="str">
        <f t="shared" si="525"/>
        <v/>
      </c>
      <c r="AC2212">
        <f>IF($A2212="",0,IF(COUNTIF($A$2:$A2212,$A2212)=1,1,0))</f>
        <v>0</v>
      </c>
      <c r="AD2212">
        <f t="shared" si="526"/>
        <v>29</v>
      </c>
      <c r="AE2212" t="str">
        <f t="shared" si="527"/>
        <v/>
      </c>
    </row>
    <row r="2213" spans="1:31" x14ac:dyDescent="0.4">
      <c r="A2213" t="str">
        <f>IF(原始经营数据!$D2214="","",原始经营数据!$D2214)</f>
        <v/>
      </c>
      <c r="B2213" t="str">
        <f>IF(原始经营数据!$D2214="","",T(原始经营数据!$E2214))</f>
        <v/>
      </c>
      <c r="C2213" t="str">
        <f>IF(原始经营数据!$D2214="","",原始经营数据!$F2214)</f>
        <v/>
      </c>
      <c r="D2213" t="str">
        <f>IF(原始经营数据!$D2214="","",原始经营数据!$H2214)</f>
        <v/>
      </c>
      <c r="E2213" t="str">
        <f>IF(原始经营数据!$D2214="","",原始经营数据!$I2214)</f>
        <v/>
      </c>
      <c r="F2213" t="str">
        <f>IF(原始经营数据!$D2214="","",T(原始经营数据!$J2214))</f>
        <v/>
      </c>
      <c r="G2213" t="str">
        <f>IF(原始经营数据!$D2214="","",T(原始经营数据!$K2214))</f>
        <v/>
      </c>
      <c r="H2213" t="str">
        <f>IF(原始经营数据!$D2214="","",原始经营数据!$G2214)</f>
        <v/>
      </c>
      <c r="I2213" t="str">
        <f>IF($A2213="","",IF($B2213&lt;&gt;"",$B2213,IF(COUNTIFS(原始经营数据!$D$3:$D$3001,$A2213,原始经营数据!$E$3:$E$3001,"",原始经营数据!$F$3:$F$3001,$C2213,原始经营数据!$H$3:$H$3001,$D2213,原始经营数据!$K$3:$K$3001,$G2213)&gt;1,"基金整体·来源"&amp;原始经营数据!$A2214,"基金整体")))</f>
        <v/>
      </c>
      <c r="J2213" t="str">
        <f t="shared" si="513"/>
        <v/>
      </c>
      <c r="K2213" t="str">
        <f t="shared" si="514"/>
        <v/>
      </c>
      <c r="L2213" t="str">
        <f t="shared" si="515"/>
        <v/>
      </c>
      <c r="M2213">
        <f>IF($A2213="",0,IF(COUNTIF($L$2:$L2213,$L2213)=1,1,0))</f>
        <v>0</v>
      </c>
      <c r="N2213" t="str">
        <f t="shared" si="516"/>
        <v/>
      </c>
      <c r="O2213" t="str">
        <f t="shared" si="517"/>
        <v/>
      </c>
      <c r="P2213">
        <f>IF($A2213="",0,IF(COUNTIF($O$2:$O2213,$O2213)=1,1,0))</f>
        <v>0</v>
      </c>
      <c r="Q2213" t="str">
        <f>IF(AND($P2213=1,$A2213=经营数据!$B$3,$J2213=经营数据!$BA$5),COUNTIFS($P$2:$P$3000,1,$A$2:$A$3000,$A2213,$J$2:$J$3000,$J2213,$N$2:$N$3000,"&lt;"&amp;$N2213)+1,"")</f>
        <v/>
      </c>
      <c r="R2213" t="str">
        <f t="shared" si="518"/>
        <v/>
      </c>
      <c r="S2213">
        <f>IF($A2213="",0,IF(COUNTIF($R$2:$R2213,$R2213)=1,1,0))</f>
        <v>0</v>
      </c>
      <c r="T2213" t="str">
        <f t="shared" si="519"/>
        <v/>
      </c>
      <c r="U2213" t="str">
        <f>IF($A2213="","",IF($A2213=经营数据!$B$3,COUNTIFS($S$2:$S$3000,1,$A$2:$A$3000,$A2213,$T$2:$T$3000,"&lt;"&amp;$T2213)+1,""))</f>
        <v/>
      </c>
      <c r="V2213" t="str">
        <f t="shared" si="520"/>
        <v/>
      </c>
      <c r="W2213" t="str">
        <f t="shared" si="521"/>
        <v/>
      </c>
      <c r="X2213" t="str">
        <f t="shared" si="522"/>
        <v/>
      </c>
      <c r="Y2213" t="str">
        <f t="shared" si="523"/>
        <v/>
      </c>
      <c r="Z2213">
        <f>IF($A2213="",0,IF(AND($M2213=1,$A2213=经营数据!$B$3,$J2213=经营数据!$BA$5,OR($I2213=经营数据!$BA$4,COUNTIF(经营数据!$AA$9:$AA$38,$I2213)&gt;0)),1,0))</f>
        <v>0</v>
      </c>
      <c r="AA2213" t="str">
        <f t="shared" si="524"/>
        <v/>
      </c>
      <c r="AB2213" t="str">
        <f t="shared" si="525"/>
        <v/>
      </c>
      <c r="AC2213">
        <f>IF($A2213="",0,IF(COUNTIF($A$2:$A2213,$A2213)=1,1,0))</f>
        <v>0</v>
      </c>
      <c r="AD2213">
        <f t="shared" si="526"/>
        <v>29</v>
      </c>
      <c r="AE2213" t="str">
        <f t="shared" si="527"/>
        <v/>
      </c>
    </row>
    <row r="2214" spans="1:31" x14ac:dyDescent="0.4">
      <c r="A2214" t="str">
        <f>IF(原始经营数据!$D2215="","",原始经营数据!$D2215)</f>
        <v/>
      </c>
      <c r="B2214" t="str">
        <f>IF(原始经营数据!$D2215="","",T(原始经营数据!$E2215))</f>
        <v/>
      </c>
      <c r="C2214" t="str">
        <f>IF(原始经营数据!$D2215="","",原始经营数据!$F2215)</f>
        <v/>
      </c>
      <c r="D2214" t="str">
        <f>IF(原始经营数据!$D2215="","",原始经营数据!$H2215)</f>
        <v/>
      </c>
      <c r="E2214" t="str">
        <f>IF(原始经营数据!$D2215="","",原始经营数据!$I2215)</f>
        <v/>
      </c>
      <c r="F2214" t="str">
        <f>IF(原始经营数据!$D2215="","",T(原始经营数据!$J2215))</f>
        <v/>
      </c>
      <c r="G2214" t="str">
        <f>IF(原始经营数据!$D2215="","",T(原始经营数据!$K2215))</f>
        <v/>
      </c>
      <c r="H2214" t="str">
        <f>IF(原始经营数据!$D2215="","",原始经营数据!$G2215)</f>
        <v/>
      </c>
      <c r="I2214" t="str">
        <f>IF($A2214="","",IF($B2214&lt;&gt;"",$B2214,IF(COUNTIFS(原始经营数据!$D$3:$D$3001,$A2214,原始经营数据!$E$3:$E$3001,"",原始经营数据!$F$3:$F$3001,$C2214,原始经营数据!$H$3:$H$3001,$D2214,原始经营数据!$K$3:$K$3001,$G2214)&gt;1,"基金整体·来源"&amp;原始经营数据!$A2215,"基金整体")))</f>
        <v/>
      </c>
      <c r="J2214" t="str">
        <f t="shared" si="513"/>
        <v/>
      </c>
      <c r="K2214" t="str">
        <f t="shared" si="514"/>
        <v/>
      </c>
      <c r="L2214" t="str">
        <f t="shared" si="515"/>
        <v/>
      </c>
      <c r="M2214">
        <f>IF($A2214="",0,IF(COUNTIF($L$2:$L2214,$L2214)=1,1,0))</f>
        <v>0</v>
      </c>
      <c r="N2214" t="str">
        <f t="shared" si="516"/>
        <v/>
      </c>
      <c r="O2214" t="str">
        <f t="shared" si="517"/>
        <v/>
      </c>
      <c r="P2214">
        <f>IF($A2214="",0,IF(COUNTIF($O$2:$O2214,$O2214)=1,1,0))</f>
        <v>0</v>
      </c>
      <c r="Q2214" t="str">
        <f>IF(AND($P2214=1,$A2214=经营数据!$B$3,$J2214=经营数据!$BA$5),COUNTIFS($P$2:$P$3000,1,$A$2:$A$3000,$A2214,$J$2:$J$3000,$J2214,$N$2:$N$3000,"&lt;"&amp;$N2214)+1,"")</f>
        <v/>
      </c>
      <c r="R2214" t="str">
        <f t="shared" si="518"/>
        <v/>
      </c>
      <c r="S2214">
        <f>IF($A2214="",0,IF(COUNTIF($R$2:$R2214,$R2214)=1,1,0))</f>
        <v>0</v>
      </c>
      <c r="T2214" t="str">
        <f t="shared" si="519"/>
        <v/>
      </c>
      <c r="U2214" t="str">
        <f>IF($A2214="","",IF($A2214=经营数据!$B$3,COUNTIFS($S$2:$S$3000,1,$A$2:$A$3000,$A2214,$T$2:$T$3000,"&lt;"&amp;$T2214)+1,""))</f>
        <v/>
      </c>
      <c r="V2214" t="str">
        <f t="shared" si="520"/>
        <v/>
      </c>
      <c r="W2214" t="str">
        <f t="shared" si="521"/>
        <v/>
      </c>
      <c r="X2214" t="str">
        <f t="shared" si="522"/>
        <v/>
      </c>
      <c r="Y2214" t="str">
        <f t="shared" si="523"/>
        <v/>
      </c>
      <c r="Z2214">
        <f>IF($A2214="",0,IF(AND($M2214=1,$A2214=经营数据!$B$3,$J2214=经营数据!$BA$5,OR($I2214=经营数据!$BA$4,COUNTIF(经营数据!$AA$9:$AA$38,$I2214)&gt;0)),1,0))</f>
        <v>0</v>
      </c>
      <c r="AA2214" t="str">
        <f t="shared" si="524"/>
        <v/>
      </c>
      <c r="AB2214" t="str">
        <f t="shared" si="525"/>
        <v/>
      </c>
      <c r="AC2214">
        <f>IF($A2214="",0,IF(COUNTIF($A$2:$A2214,$A2214)=1,1,0))</f>
        <v>0</v>
      </c>
      <c r="AD2214">
        <f t="shared" si="526"/>
        <v>29</v>
      </c>
      <c r="AE2214" t="str">
        <f t="shared" si="527"/>
        <v/>
      </c>
    </row>
    <row r="2215" spans="1:31" x14ac:dyDescent="0.4">
      <c r="A2215" t="str">
        <f>IF(原始经营数据!$D2216="","",原始经营数据!$D2216)</f>
        <v/>
      </c>
      <c r="B2215" t="str">
        <f>IF(原始经营数据!$D2216="","",T(原始经营数据!$E2216))</f>
        <v/>
      </c>
      <c r="C2215" t="str">
        <f>IF(原始经营数据!$D2216="","",原始经营数据!$F2216)</f>
        <v/>
      </c>
      <c r="D2215" t="str">
        <f>IF(原始经营数据!$D2216="","",原始经营数据!$H2216)</f>
        <v/>
      </c>
      <c r="E2215" t="str">
        <f>IF(原始经营数据!$D2216="","",原始经营数据!$I2216)</f>
        <v/>
      </c>
      <c r="F2215" t="str">
        <f>IF(原始经营数据!$D2216="","",T(原始经营数据!$J2216))</f>
        <v/>
      </c>
      <c r="G2215" t="str">
        <f>IF(原始经营数据!$D2216="","",T(原始经营数据!$K2216))</f>
        <v/>
      </c>
      <c r="H2215" t="str">
        <f>IF(原始经营数据!$D2216="","",原始经营数据!$G2216)</f>
        <v/>
      </c>
      <c r="I2215" t="str">
        <f>IF($A2215="","",IF($B2215&lt;&gt;"",$B2215,IF(COUNTIFS(原始经营数据!$D$3:$D$3001,$A2215,原始经营数据!$E$3:$E$3001,"",原始经营数据!$F$3:$F$3001,$C2215,原始经营数据!$H$3:$H$3001,$D2215,原始经营数据!$K$3:$K$3001,$G2215)&gt;1,"基金整体·来源"&amp;原始经营数据!$A2216,"基金整体")))</f>
        <v/>
      </c>
      <c r="J2215" t="str">
        <f t="shared" si="513"/>
        <v/>
      </c>
      <c r="K2215" t="str">
        <f t="shared" si="514"/>
        <v/>
      </c>
      <c r="L2215" t="str">
        <f t="shared" si="515"/>
        <v/>
      </c>
      <c r="M2215">
        <f>IF($A2215="",0,IF(COUNTIF($L$2:$L2215,$L2215)=1,1,0))</f>
        <v>0</v>
      </c>
      <c r="N2215" t="str">
        <f t="shared" si="516"/>
        <v/>
      </c>
      <c r="O2215" t="str">
        <f t="shared" si="517"/>
        <v/>
      </c>
      <c r="P2215">
        <f>IF($A2215="",0,IF(COUNTIF($O$2:$O2215,$O2215)=1,1,0))</f>
        <v>0</v>
      </c>
      <c r="Q2215" t="str">
        <f>IF(AND($P2215=1,$A2215=经营数据!$B$3,$J2215=经营数据!$BA$5),COUNTIFS($P$2:$P$3000,1,$A$2:$A$3000,$A2215,$J$2:$J$3000,$J2215,$N$2:$N$3000,"&lt;"&amp;$N2215)+1,"")</f>
        <v/>
      </c>
      <c r="R2215" t="str">
        <f t="shared" si="518"/>
        <v/>
      </c>
      <c r="S2215">
        <f>IF($A2215="",0,IF(COUNTIF($R$2:$R2215,$R2215)=1,1,0))</f>
        <v>0</v>
      </c>
      <c r="T2215" t="str">
        <f t="shared" si="519"/>
        <v/>
      </c>
      <c r="U2215" t="str">
        <f>IF($A2215="","",IF($A2215=经营数据!$B$3,COUNTIFS($S$2:$S$3000,1,$A$2:$A$3000,$A2215,$T$2:$T$3000,"&lt;"&amp;$T2215)+1,""))</f>
        <v/>
      </c>
      <c r="V2215" t="str">
        <f t="shared" si="520"/>
        <v/>
      </c>
      <c r="W2215" t="str">
        <f t="shared" si="521"/>
        <v/>
      </c>
      <c r="X2215" t="str">
        <f t="shared" si="522"/>
        <v/>
      </c>
      <c r="Y2215" t="str">
        <f t="shared" si="523"/>
        <v/>
      </c>
      <c r="Z2215">
        <f>IF($A2215="",0,IF(AND($M2215=1,$A2215=经营数据!$B$3,$J2215=经营数据!$BA$5,OR($I2215=经营数据!$BA$4,COUNTIF(经营数据!$AA$9:$AA$38,$I2215)&gt;0)),1,0))</f>
        <v>0</v>
      </c>
      <c r="AA2215" t="str">
        <f t="shared" si="524"/>
        <v/>
      </c>
      <c r="AB2215" t="str">
        <f t="shared" si="525"/>
        <v/>
      </c>
      <c r="AC2215">
        <f>IF($A2215="",0,IF(COUNTIF($A$2:$A2215,$A2215)=1,1,0))</f>
        <v>0</v>
      </c>
      <c r="AD2215">
        <f t="shared" si="526"/>
        <v>29</v>
      </c>
      <c r="AE2215" t="str">
        <f t="shared" si="527"/>
        <v/>
      </c>
    </row>
    <row r="2216" spans="1:31" x14ac:dyDescent="0.4">
      <c r="A2216" t="str">
        <f>IF(原始经营数据!$D2217="","",原始经营数据!$D2217)</f>
        <v/>
      </c>
      <c r="B2216" t="str">
        <f>IF(原始经营数据!$D2217="","",T(原始经营数据!$E2217))</f>
        <v/>
      </c>
      <c r="C2216" t="str">
        <f>IF(原始经营数据!$D2217="","",原始经营数据!$F2217)</f>
        <v/>
      </c>
      <c r="D2216" t="str">
        <f>IF(原始经营数据!$D2217="","",原始经营数据!$H2217)</f>
        <v/>
      </c>
      <c r="E2216" t="str">
        <f>IF(原始经营数据!$D2217="","",原始经营数据!$I2217)</f>
        <v/>
      </c>
      <c r="F2216" t="str">
        <f>IF(原始经营数据!$D2217="","",T(原始经营数据!$J2217))</f>
        <v/>
      </c>
      <c r="G2216" t="str">
        <f>IF(原始经营数据!$D2217="","",T(原始经营数据!$K2217))</f>
        <v/>
      </c>
      <c r="H2216" t="str">
        <f>IF(原始经营数据!$D2217="","",原始经营数据!$G2217)</f>
        <v/>
      </c>
      <c r="I2216" t="str">
        <f>IF($A2216="","",IF($B2216&lt;&gt;"",$B2216,IF(COUNTIFS(原始经营数据!$D$3:$D$3001,$A2216,原始经营数据!$E$3:$E$3001,"",原始经营数据!$F$3:$F$3001,$C2216,原始经营数据!$H$3:$H$3001,$D2216,原始经营数据!$K$3:$K$3001,$G2216)&gt;1,"基金整体·来源"&amp;原始经营数据!$A2217,"基金整体")))</f>
        <v/>
      </c>
      <c r="J2216" t="str">
        <f t="shared" si="513"/>
        <v/>
      </c>
      <c r="K2216" t="str">
        <f t="shared" si="514"/>
        <v/>
      </c>
      <c r="L2216" t="str">
        <f t="shared" si="515"/>
        <v/>
      </c>
      <c r="M2216">
        <f>IF($A2216="",0,IF(COUNTIF($L$2:$L2216,$L2216)=1,1,0))</f>
        <v>0</v>
      </c>
      <c r="N2216" t="str">
        <f t="shared" si="516"/>
        <v/>
      </c>
      <c r="O2216" t="str">
        <f t="shared" si="517"/>
        <v/>
      </c>
      <c r="P2216">
        <f>IF($A2216="",0,IF(COUNTIF($O$2:$O2216,$O2216)=1,1,0))</f>
        <v>0</v>
      </c>
      <c r="Q2216" t="str">
        <f>IF(AND($P2216=1,$A2216=经营数据!$B$3,$J2216=经营数据!$BA$5),COUNTIFS($P$2:$P$3000,1,$A$2:$A$3000,$A2216,$J$2:$J$3000,$J2216,$N$2:$N$3000,"&lt;"&amp;$N2216)+1,"")</f>
        <v/>
      </c>
      <c r="R2216" t="str">
        <f t="shared" si="518"/>
        <v/>
      </c>
      <c r="S2216">
        <f>IF($A2216="",0,IF(COUNTIF($R$2:$R2216,$R2216)=1,1,0))</f>
        <v>0</v>
      </c>
      <c r="T2216" t="str">
        <f t="shared" si="519"/>
        <v/>
      </c>
      <c r="U2216" t="str">
        <f>IF($A2216="","",IF($A2216=经营数据!$B$3,COUNTIFS($S$2:$S$3000,1,$A$2:$A$3000,$A2216,$T$2:$T$3000,"&lt;"&amp;$T2216)+1,""))</f>
        <v/>
      </c>
      <c r="V2216" t="str">
        <f t="shared" si="520"/>
        <v/>
      </c>
      <c r="W2216" t="str">
        <f t="shared" si="521"/>
        <v/>
      </c>
      <c r="X2216" t="str">
        <f t="shared" si="522"/>
        <v/>
      </c>
      <c r="Y2216" t="str">
        <f t="shared" si="523"/>
        <v/>
      </c>
      <c r="Z2216">
        <f>IF($A2216="",0,IF(AND($M2216=1,$A2216=经营数据!$B$3,$J2216=经营数据!$BA$5,OR($I2216=经营数据!$BA$4,COUNTIF(经营数据!$AA$9:$AA$38,$I2216)&gt;0)),1,0))</f>
        <v>0</v>
      </c>
      <c r="AA2216" t="str">
        <f t="shared" si="524"/>
        <v/>
      </c>
      <c r="AB2216" t="str">
        <f t="shared" si="525"/>
        <v/>
      </c>
      <c r="AC2216">
        <f>IF($A2216="",0,IF(COUNTIF($A$2:$A2216,$A2216)=1,1,0))</f>
        <v>0</v>
      </c>
      <c r="AD2216">
        <f t="shared" si="526"/>
        <v>29</v>
      </c>
      <c r="AE2216" t="str">
        <f t="shared" si="527"/>
        <v/>
      </c>
    </row>
    <row r="2217" spans="1:31" x14ac:dyDescent="0.4">
      <c r="A2217" t="str">
        <f>IF(原始经营数据!$D2218="","",原始经营数据!$D2218)</f>
        <v/>
      </c>
      <c r="B2217" t="str">
        <f>IF(原始经营数据!$D2218="","",T(原始经营数据!$E2218))</f>
        <v/>
      </c>
      <c r="C2217" t="str">
        <f>IF(原始经营数据!$D2218="","",原始经营数据!$F2218)</f>
        <v/>
      </c>
      <c r="D2217" t="str">
        <f>IF(原始经营数据!$D2218="","",原始经营数据!$H2218)</f>
        <v/>
      </c>
      <c r="E2217" t="str">
        <f>IF(原始经营数据!$D2218="","",原始经营数据!$I2218)</f>
        <v/>
      </c>
      <c r="F2217" t="str">
        <f>IF(原始经营数据!$D2218="","",T(原始经营数据!$J2218))</f>
        <v/>
      </c>
      <c r="G2217" t="str">
        <f>IF(原始经营数据!$D2218="","",T(原始经营数据!$K2218))</f>
        <v/>
      </c>
      <c r="H2217" t="str">
        <f>IF(原始经营数据!$D2218="","",原始经营数据!$G2218)</f>
        <v/>
      </c>
      <c r="I2217" t="str">
        <f>IF($A2217="","",IF($B2217&lt;&gt;"",$B2217,IF(COUNTIFS(原始经营数据!$D$3:$D$3001,$A2217,原始经营数据!$E$3:$E$3001,"",原始经营数据!$F$3:$F$3001,$C2217,原始经营数据!$H$3:$H$3001,$D2217,原始经营数据!$K$3:$K$3001,$G2217)&gt;1,"基金整体·来源"&amp;原始经营数据!$A2218,"基金整体")))</f>
        <v/>
      </c>
      <c r="J2217" t="str">
        <f t="shared" si="513"/>
        <v/>
      </c>
      <c r="K2217" t="str">
        <f t="shared" si="514"/>
        <v/>
      </c>
      <c r="L2217" t="str">
        <f t="shared" si="515"/>
        <v/>
      </c>
      <c r="M2217">
        <f>IF($A2217="",0,IF(COUNTIF($L$2:$L2217,$L2217)=1,1,0))</f>
        <v>0</v>
      </c>
      <c r="N2217" t="str">
        <f t="shared" si="516"/>
        <v/>
      </c>
      <c r="O2217" t="str">
        <f t="shared" si="517"/>
        <v/>
      </c>
      <c r="P2217">
        <f>IF($A2217="",0,IF(COUNTIF($O$2:$O2217,$O2217)=1,1,0))</f>
        <v>0</v>
      </c>
      <c r="Q2217" t="str">
        <f>IF(AND($P2217=1,$A2217=经营数据!$B$3,$J2217=经营数据!$BA$5),COUNTIFS($P$2:$P$3000,1,$A$2:$A$3000,$A2217,$J$2:$J$3000,$J2217,$N$2:$N$3000,"&lt;"&amp;$N2217)+1,"")</f>
        <v/>
      </c>
      <c r="R2217" t="str">
        <f t="shared" si="518"/>
        <v/>
      </c>
      <c r="S2217">
        <f>IF($A2217="",0,IF(COUNTIF($R$2:$R2217,$R2217)=1,1,0))</f>
        <v>0</v>
      </c>
      <c r="T2217" t="str">
        <f t="shared" si="519"/>
        <v/>
      </c>
      <c r="U2217" t="str">
        <f>IF($A2217="","",IF($A2217=经营数据!$B$3,COUNTIFS($S$2:$S$3000,1,$A$2:$A$3000,$A2217,$T$2:$T$3000,"&lt;"&amp;$T2217)+1,""))</f>
        <v/>
      </c>
      <c r="V2217" t="str">
        <f t="shared" si="520"/>
        <v/>
      </c>
      <c r="W2217" t="str">
        <f t="shared" si="521"/>
        <v/>
      </c>
      <c r="X2217" t="str">
        <f t="shared" si="522"/>
        <v/>
      </c>
      <c r="Y2217" t="str">
        <f t="shared" si="523"/>
        <v/>
      </c>
      <c r="Z2217">
        <f>IF($A2217="",0,IF(AND($M2217=1,$A2217=经营数据!$B$3,$J2217=经营数据!$BA$5,OR($I2217=经营数据!$BA$4,COUNTIF(经营数据!$AA$9:$AA$38,$I2217)&gt;0)),1,0))</f>
        <v>0</v>
      </c>
      <c r="AA2217" t="str">
        <f t="shared" si="524"/>
        <v/>
      </c>
      <c r="AB2217" t="str">
        <f t="shared" si="525"/>
        <v/>
      </c>
      <c r="AC2217">
        <f>IF($A2217="",0,IF(COUNTIF($A$2:$A2217,$A2217)=1,1,0))</f>
        <v>0</v>
      </c>
      <c r="AD2217">
        <f t="shared" si="526"/>
        <v>29</v>
      </c>
      <c r="AE2217" t="str">
        <f t="shared" si="527"/>
        <v/>
      </c>
    </row>
    <row r="2218" spans="1:31" x14ac:dyDescent="0.4">
      <c r="A2218" t="str">
        <f>IF(原始经营数据!$D2219="","",原始经营数据!$D2219)</f>
        <v/>
      </c>
      <c r="B2218" t="str">
        <f>IF(原始经营数据!$D2219="","",T(原始经营数据!$E2219))</f>
        <v/>
      </c>
      <c r="C2218" t="str">
        <f>IF(原始经营数据!$D2219="","",原始经营数据!$F2219)</f>
        <v/>
      </c>
      <c r="D2218" t="str">
        <f>IF(原始经营数据!$D2219="","",原始经营数据!$H2219)</f>
        <v/>
      </c>
      <c r="E2218" t="str">
        <f>IF(原始经营数据!$D2219="","",原始经营数据!$I2219)</f>
        <v/>
      </c>
      <c r="F2218" t="str">
        <f>IF(原始经营数据!$D2219="","",T(原始经营数据!$J2219))</f>
        <v/>
      </c>
      <c r="G2218" t="str">
        <f>IF(原始经营数据!$D2219="","",T(原始经营数据!$K2219))</f>
        <v/>
      </c>
      <c r="H2218" t="str">
        <f>IF(原始经营数据!$D2219="","",原始经营数据!$G2219)</f>
        <v/>
      </c>
      <c r="I2218" t="str">
        <f>IF($A2218="","",IF($B2218&lt;&gt;"",$B2218,IF(COUNTIFS(原始经营数据!$D$3:$D$3001,$A2218,原始经营数据!$E$3:$E$3001,"",原始经营数据!$F$3:$F$3001,$C2218,原始经营数据!$H$3:$H$3001,$D2218,原始经营数据!$K$3:$K$3001,$G2218)&gt;1,"基金整体·来源"&amp;原始经营数据!$A2219,"基金整体")))</f>
        <v/>
      </c>
      <c r="J2218" t="str">
        <f t="shared" si="513"/>
        <v/>
      </c>
      <c r="K2218" t="str">
        <f t="shared" si="514"/>
        <v/>
      </c>
      <c r="L2218" t="str">
        <f t="shared" si="515"/>
        <v/>
      </c>
      <c r="M2218">
        <f>IF($A2218="",0,IF(COUNTIF($L$2:$L2218,$L2218)=1,1,0))</f>
        <v>0</v>
      </c>
      <c r="N2218" t="str">
        <f t="shared" si="516"/>
        <v/>
      </c>
      <c r="O2218" t="str">
        <f t="shared" si="517"/>
        <v/>
      </c>
      <c r="P2218">
        <f>IF($A2218="",0,IF(COUNTIF($O$2:$O2218,$O2218)=1,1,0))</f>
        <v>0</v>
      </c>
      <c r="Q2218" t="str">
        <f>IF(AND($P2218=1,$A2218=经营数据!$B$3,$J2218=经营数据!$BA$5),COUNTIFS($P$2:$P$3000,1,$A$2:$A$3000,$A2218,$J$2:$J$3000,$J2218,$N$2:$N$3000,"&lt;"&amp;$N2218)+1,"")</f>
        <v/>
      </c>
      <c r="R2218" t="str">
        <f t="shared" si="518"/>
        <v/>
      </c>
      <c r="S2218">
        <f>IF($A2218="",0,IF(COUNTIF($R$2:$R2218,$R2218)=1,1,0))</f>
        <v>0</v>
      </c>
      <c r="T2218" t="str">
        <f t="shared" si="519"/>
        <v/>
      </c>
      <c r="U2218" t="str">
        <f>IF($A2218="","",IF($A2218=经营数据!$B$3,COUNTIFS($S$2:$S$3000,1,$A$2:$A$3000,$A2218,$T$2:$T$3000,"&lt;"&amp;$T2218)+1,""))</f>
        <v/>
      </c>
      <c r="V2218" t="str">
        <f t="shared" si="520"/>
        <v/>
      </c>
      <c r="W2218" t="str">
        <f t="shared" si="521"/>
        <v/>
      </c>
      <c r="X2218" t="str">
        <f t="shared" si="522"/>
        <v/>
      </c>
      <c r="Y2218" t="str">
        <f t="shared" si="523"/>
        <v/>
      </c>
      <c r="Z2218">
        <f>IF($A2218="",0,IF(AND($M2218=1,$A2218=经营数据!$B$3,$J2218=经营数据!$BA$5,OR($I2218=经营数据!$BA$4,COUNTIF(经营数据!$AA$9:$AA$38,$I2218)&gt;0)),1,0))</f>
        <v>0</v>
      </c>
      <c r="AA2218" t="str">
        <f t="shared" si="524"/>
        <v/>
      </c>
      <c r="AB2218" t="str">
        <f t="shared" si="525"/>
        <v/>
      </c>
      <c r="AC2218">
        <f>IF($A2218="",0,IF(COUNTIF($A$2:$A2218,$A2218)=1,1,0))</f>
        <v>0</v>
      </c>
      <c r="AD2218">
        <f t="shared" si="526"/>
        <v>29</v>
      </c>
      <c r="AE2218" t="str">
        <f t="shared" si="527"/>
        <v/>
      </c>
    </row>
    <row r="2219" spans="1:31" x14ac:dyDescent="0.4">
      <c r="A2219" t="str">
        <f>IF(原始经营数据!$D2220="","",原始经营数据!$D2220)</f>
        <v/>
      </c>
      <c r="B2219" t="str">
        <f>IF(原始经营数据!$D2220="","",T(原始经营数据!$E2220))</f>
        <v/>
      </c>
      <c r="C2219" t="str">
        <f>IF(原始经营数据!$D2220="","",原始经营数据!$F2220)</f>
        <v/>
      </c>
      <c r="D2219" t="str">
        <f>IF(原始经营数据!$D2220="","",原始经营数据!$H2220)</f>
        <v/>
      </c>
      <c r="E2219" t="str">
        <f>IF(原始经营数据!$D2220="","",原始经营数据!$I2220)</f>
        <v/>
      </c>
      <c r="F2219" t="str">
        <f>IF(原始经营数据!$D2220="","",T(原始经营数据!$J2220))</f>
        <v/>
      </c>
      <c r="G2219" t="str">
        <f>IF(原始经营数据!$D2220="","",T(原始经营数据!$K2220))</f>
        <v/>
      </c>
      <c r="H2219" t="str">
        <f>IF(原始经营数据!$D2220="","",原始经营数据!$G2220)</f>
        <v/>
      </c>
      <c r="I2219" t="str">
        <f>IF($A2219="","",IF($B2219&lt;&gt;"",$B2219,IF(COUNTIFS(原始经营数据!$D$3:$D$3001,$A2219,原始经营数据!$E$3:$E$3001,"",原始经营数据!$F$3:$F$3001,$C2219,原始经营数据!$H$3:$H$3001,$D2219,原始经营数据!$K$3:$K$3001,$G2219)&gt;1,"基金整体·来源"&amp;原始经营数据!$A2220,"基金整体")))</f>
        <v/>
      </c>
      <c r="J2219" t="str">
        <f t="shared" si="513"/>
        <v/>
      </c>
      <c r="K2219" t="str">
        <f t="shared" si="514"/>
        <v/>
      </c>
      <c r="L2219" t="str">
        <f t="shared" si="515"/>
        <v/>
      </c>
      <c r="M2219">
        <f>IF($A2219="",0,IF(COUNTIF($L$2:$L2219,$L2219)=1,1,0))</f>
        <v>0</v>
      </c>
      <c r="N2219" t="str">
        <f t="shared" si="516"/>
        <v/>
      </c>
      <c r="O2219" t="str">
        <f t="shared" si="517"/>
        <v/>
      </c>
      <c r="P2219">
        <f>IF($A2219="",0,IF(COUNTIF($O$2:$O2219,$O2219)=1,1,0))</f>
        <v>0</v>
      </c>
      <c r="Q2219" t="str">
        <f>IF(AND($P2219=1,$A2219=经营数据!$B$3,$J2219=经营数据!$BA$5),COUNTIFS($P$2:$P$3000,1,$A$2:$A$3000,$A2219,$J$2:$J$3000,$J2219,$N$2:$N$3000,"&lt;"&amp;$N2219)+1,"")</f>
        <v/>
      </c>
      <c r="R2219" t="str">
        <f t="shared" si="518"/>
        <v/>
      </c>
      <c r="S2219">
        <f>IF($A2219="",0,IF(COUNTIF($R$2:$R2219,$R2219)=1,1,0))</f>
        <v>0</v>
      </c>
      <c r="T2219" t="str">
        <f t="shared" si="519"/>
        <v/>
      </c>
      <c r="U2219" t="str">
        <f>IF($A2219="","",IF($A2219=经营数据!$B$3,COUNTIFS($S$2:$S$3000,1,$A$2:$A$3000,$A2219,$T$2:$T$3000,"&lt;"&amp;$T2219)+1,""))</f>
        <v/>
      </c>
      <c r="V2219" t="str">
        <f t="shared" si="520"/>
        <v/>
      </c>
      <c r="W2219" t="str">
        <f t="shared" si="521"/>
        <v/>
      </c>
      <c r="X2219" t="str">
        <f t="shared" si="522"/>
        <v/>
      </c>
      <c r="Y2219" t="str">
        <f t="shared" si="523"/>
        <v/>
      </c>
      <c r="Z2219">
        <f>IF($A2219="",0,IF(AND($M2219=1,$A2219=经营数据!$B$3,$J2219=经营数据!$BA$5,OR($I2219=经营数据!$BA$4,COUNTIF(经营数据!$AA$9:$AA$38,$I2219)&gt;0)),1,0))</f>
        <v>0</v>
      </c>
      <c r="AA2219" t="str">
        <f t="shared" si="524"/>
        <v/>
      </c>
      <c r="AB2219" t="str">
        <f t="shared" si="525"/>
        <v/>
      </c>
      <c r="AC2219">
        <f>IF($A2219="",0,IF(COUNTIF($A$2:$A2219,$A2219)=1,1,0))</f>
        <v>0</v>
      </c>
      <c r="AD2219">
        <f t="shared" si="526"/>
        <v>29</v>
      </c>
      <c r="AE2219" t="str">
        <f t="shared" si="527"/>
        <v/>
      </c>
    </row>
    <row r="2220" spans="1:31" x14ac:dyDescent="0.4">
      <c r="A2220" t="str">
        <f>IF(原始经营数据!$D2221="","",原始经营数据!$D2221)</f>
        <v/>
      </c>
      <c r="B2220" t="str">
        <f>IF(原始经营数据!$D2221="","",T(原始经营数据!$E2221))</f>
        <v/>
      </c>
      <c r="C2220" t="str">
        <f>IF(原始经营数据!$D2221="","",原始经营数据!$F2221)</f>
        <v/>
      </c>
      <c r="D2220" t="str">
        <f>IF(原始经营数据!$D2221="","",原始经营数据!$H2221)</f>
        <v/>
      </c>
      <c r="E2220" t="str">
        <f>IF(原始经营数据!$D2221="","",原始经营数据!$I2221)</f>
        <v/>
      </c>
      <c r="F2220" t="str">
        <f>IF(原始经营数据!$D2221="","",T(原始经营数据!$J2221))</f>
        <v/>
      </c>
      <c r="G2220" t="str">
        <f>IF(原始经营数据!$D2221="","",T(原始经营数据!$K2221))</f>
        <v/>
      </c>
      <c r="H2220" t="str">
        <f>IF(原始经营数据!$D2221="","",原始经营数据!$G2221)</f>
        <v/>
      </c>
      <c r="I2220" t="str">
        <f>IF($A2220="","",IF($B2220&lt;&gt;"",$B2220,IF(COUNTIFS(原始经营数据!$D$3:$D$3001,$A2220,原始经营数据!$E$3:$E$3001,"",原始经营数据!$F$3:$F$3001,$C2220,原始经营数据!$H$3:$H$3001,$D2220,原始经营数据!$K$3:$K$3001,$G2220)&gt;1,"基金整体·来源"&amp;原始经营数据!$A2221,"基金整体")))</f>
        <v/>
      </c>
      <c r="J2220" t="str">
        <f t="shared" si="513"/>
        <v/>
      </c>
      <c r="K2220" t="str">
        <f t="shared" si="514"/>
        <v/>
      </c>
      <c r="L2220" t="str">
        <f t="shared" si="515"/>
        <v/>
      </c>
      <c r="M2220">
        <f>IF($A2220="",0,IF(COUNTIF($L$2:$L2220,$L2220)=1,1,0))</f>
        <v>0</v>
      </c>
      <c r="N2220" t="str">
        <f t="shared" si="516"/>
        <v/>
      </c>
      <c r="O2220" t="str">
        <f t="shared" si="517"/>
        <v/>
      </c>
      <c r="P2220">
        <f>IF($A2220="",0,IF(COUNTIF($O$2:$O2220,$O2220)=1,1,0))</f>
        <v>0</v>
      </c>
      <c r="Q2220" t="str">
        <f>IF(AND($P2220=1,$A2220=经营数据!$B$3,$J2220=经营数据!$BA$5),COUNTIFS($P$2:$P$3000,1,$A$2:$A$3000,$A2220,$J$2:$J$3000,$J2220,$N$2:$N$3000,"&lt;"&amp;$N2220)+1,"")</f>
        <v/>
      </c>
      <c r="R2220" t="str">
        <f t="shared" si="518"/>
        <v/>
      </c>
      <c r="S2220">
        <f>IF($A2220="",0,IF(COUNTIF($R$2:$R2220,$R2220)=1,1,0))</f>
        <v>0</v>
      </c>
      <c r="T2220" t="str">
        <f t="shared" si="519"/>
        <v/>
      </c>
      <c r="U2220" t="str">
        <f>IF($A2220="","",IF($A2220=经营数据!$B$3,COUNTIFS($S$2:$S$3000,1,$A$2:$A$3000,$A2220,$T$2:$T$3000,"&lt;"&amp;$T2220)+1,""))</f>
        <v/>
      </c>
      <c r="V2220" t="str">
        <f t="shared" si="520"/>
        <v/>
      </c>
      <c r="W2220" t="str">
        <f t="shared" si="521"/>
        <v/>
      </c>
      <c r="X2220" t="str">
        <f t="shared" si="522"/>
        <v/>
      </c>
      <c r="Y2220" t="str">
        <f t="shared" si="523"/>
        <v/>
      </c>
      <c r="Z2220">
        <f>IF($A2220="",0,IF(AND($M2220=1,$A2220=经营数据!$B$3,$J2220=经营数据!$BA$5,OR($I2220=经营数据!$BA$4,COUNTIF(经营数据!$AA$9:$AA$38,$I2220)&gt;0)),1,0))</f>
        <v>0</v>
      </c>
      <c r="AA2220" t="str">
        <f t="shared" si="524"/>
        <v/>
      </c>
      <c r="AB2220" t="str">
        <f t="shared" si="525"/>
        <v/>
      </c>
      <c r="AC2220">
        <f>IF($A2220="",0,IF(COUNTIF($A$2:$A2220,$A2220)=1,1,0))</f>
        <v>0</v>
      </c>
      <c r="AD2220">
        <f t="shared" si="526"/>
        <v>29</v>
      </c>
      <c r="AE2220" t="str">
        <f t="shared" si="527"/>
        <v/>
      </c>
    </row>
    <row r="2221" spans="1:31" x14ac:dyDescent="0.4">
      <c r="A2221" t="str">
        <f>IF(原始经营数据!$D2222="","",原始经营数据!$D2222)</f>
        <v/>
      </c>
      <c r="B2221" t="str">
        <f>IF(原始经营数据!$D2222="","",T(原始经营数据!$E2222))</f>
        <v/>
      </c>
      <c r="C2221" t="str">
        <f>IF(原始经营数据!$D2222="","",原始经营数据!$F2222)</f>
        <v/>
      </c>
      <c r="D2221" t="str">
        <f>IF(原始经营数据!$D2222="","",原始经营数据!$H2222)</f>
        <v/>
      </c>
      <c r="E2221" t="str">
        <f>IF(原始经营数据!$D2222="","",原始经营数据!$I2222)</f>
        <v/>
      </c>
      <c r="F2221" t="str">
        <f>IF(原始经营数据!$D2222="","",T(原始经营数据!$J2222))</f>
        <v/>
      </c>
      <c r="G2221" t="str">
        <f>IF(原始经营数据!$D2222="","",T(原始经营数据!$K2222))</f>
        <v/>
      </c>
      <c r="H2221" t="str">
        <f>IF(原始经营数据!$D2222="","",原始经营数据!$G2222)</f>
        <v/>
      </c>
      <c r="I2221" t="str">
        <f>IF($A2221="","",IF($B2221&lt;&gt;"",$B2221,IF(COUNTIFS(原始经营数据!$D$3:$D$3001,$A2221,原始经营数据!$E$3:$E$3001,"",原始经营数据!$F$3:$F$3001,$C2221,原始经营数据!$H$3:$H$3001,$D2221,原始经营数据!$K$3:$K$3001,$G2221)&gt;1,"基金整体·来源"&amp;原始经营数据!$A2222,"基金整体")))</f>
        <v/>
      </c>
      <c r="J2221" t="str">
        <f t="shared" si="513"/>
        <v/>
      </c>
      <c r="K2221" t="str">
        <f t="shared" si="514"/>
        <v/>
      </c>
      <c r="L2221" t="str">
        <f t="shared" si="515"/>
        <v/>
      </c>
      <c r="M2221">
        <f>IF($A2221="",0,IF(COUNTIF($L$2:$L2221,$L2221)=1,1,0))</f>
        <v>0</v>
      </c>
      <c r="N2221" t="str">
        <f t="shared" si="516"/>
        <v/>
      </c>
      <c r="O2221" t="str">
        <f t="shared" si="517"/>
        <v/>
      </c>
      <c r="P2221">
        <f>IF($A2221="",0,IF(COUNTIF($O$2:$O2221,$O2221)=1,1,0))</f>
        <v>0</v>
      </c>
      <c r="Q2221" t="str">
        <f>IF(AND($P2221=1,$A2221=经营数据!$B$3,$J2221=经营数据!$BA$5),COUNTIFS($P$2:$P$3000,1,$A$2:$A$3000,$A2221,$J$2:$J$3000,$J2221,$N$2:$N$3000,"&lt;"&amp;$N2221)+1,"")</f>
        <v/>
      </c>
      <c r="R2221" t="str">
        <f t="shared" si="518"/>
        <v/>
      </c>
      <c r="S2221">
        <f>IF($A2221="",0,IF(COUNTIF($R$2:$R2221,$R2221)=1,1,0))</f>
        <v>0</v>
      </c>
      <c r="T2221" t="str">
        <f t="shared" si="519"/>
        <v/>
      </c>
      <c r="U2221" t="str">
        <f>IF($A2221="","",IF($A2221=经营数据!$B$3,COUNTIFS($S$2:$S$3000,1,$A$2:$A$3000,$A2221,$T$2:$T$3000,"&lt;"&amp;$T2221)+1,""))</f>
        <v/>
      </c>
      <c r="V2221" t="str">
        <f t="shared" si="520"/>
        <v/>
      </c>
      <c r="W2221" t="str">
        <f t="shared" si="521"/>
        <v/>
      </c>
      <c r="X2221" t="str">
        <f t="shared" si="522"/>
        <v/>
      </c>
      <c r="Y2221" t="str">
        <f t="shared" si="523"/>
        <v/>
      </c>
      <c r="Z2221">
        <f>IF($A2221="",0,IF(AND($M2221=1,$A2221=经营数据!$B$3,$J2221=经营数据!$BA$5,OR($I2221=经营数据!$BA$4,COUNTIF(经营数据!$AA$9:$AA$38,$I2221)&gt;0)),1,0))</f>
        <v>0</v>
      </c>
      <c r="AA2221" t="str">
        <f t="shared" si="524"/>
        <v/>
      </c>
      <c r="AB2221" t="str">
        <f t="shared" si="525"/>
        <v/>
      </c>
      <c r="AC2221">
        <f>IF($A2221="",0,IF(COUNTIF($A$2:$A2221,$A2221)=1,1,0))</f>
        <v>0</v>
      </c>
      <c r="AD2221">
        <f t="shared" si="526"/>
        <v>29</v>
      </c>
      <c r="AE2221" t="str">
        <f t="shared" si="527"/>
        <v/>
      </c>
    </row>
    <row r="2222" spans="1:31" x14ac:dyDescent="0.4">
      <c r="A2222" t="str">
        <f>IF(原始经营数据!$D2223="","",原始经营数据!$D2223)</f>
        <v/>
      </c>
      <c r="B2222" t="str">
        <f>IF(原始经营数据!$D2223="","",T(原始经营数据!$E2223))</f>
        <v/>
      </c>
      <c r="C2222" t="str">
        <f>IF(原始经营数据!$D2223="","",原始经营数据!$F2223)</f>
        <v/>
      </c>
      <c r="D2222" t="str">
        <f>IF(原始经营数据!$D2223="","",原始经营数据!$H2223)</f>
        <v/>
      </c>
      <c r="E2222" t="str">
        <f>IF(原始经营数据!$D2223="","",原始经营数据!$I2223)</f>
        <v/>
      </c>
      <c r="F2222" t="str">
        <f>IF(原始经营数据!$D2223="","",T(原始经营数据!$J2223))</f>
        <v/>
      </c>
      <c r="G2222" t="str">
        <f>IF(原始经营数据!$D2223="","",T(原始经营数据!$K2223))</f>
        <v/>
      </c>
      <c r="H2222" t="str">
        <f>IF(原始经营数据!$D2223="","",原始经营数据!$G2223)</f>
        <v/>
      </c>
      <c r="I2222" t="str">
        <f>IF($A2222="","",IF($B2222&lt;&gt;"",$B2222,IF(COUNTIFS(原始经营数据!$D$3:$D$3001,$A2222,原始经营数据!$E$3:$E$3001,"",原始经营数据!$F$3:$F$3001,$C2222,原始经营数据!$H$3:$H$3001,$D2222,原始经营数据!$K$3:$K$3001,$G2222)&gt;1,"基金整体·来源"&amp;原始经营数据!$A2223,"基金整体")))</f>
        <v/>
      </c>
      <c r="J2222" t="str">
        <f t="shared" si="513"/>
        <v/>
      </c>
      <c r="K2222" t="str">
        <f t="shared" si="514"/>
        <v/>
      </c>
      <c r="L2222" t="str">
        <f t="shared" si="515"/>
        <v/>
      </c>
      <c r="M2222">
        <f>IF($A2222="",0,IF(COUNTIF($L$2:$L2222,$L2222)=1,1,0))</f>
        <v>0</v>
      </c>
      <c r="N2222" t="str">
        <f t="shared" si="516"/>
        <v/>
      </c>
      <c r="O2222" t="str">
        <f t="shared" si="517"/>
        <v/>
      </c>
      <c r="P2222">
        <f>IF($A2222="",0,IF(COUNTIF($O$2:$O2222,$O2222)=1,1,0))</f>
        <v>0</v>
      </c>
      <c r="Q2222" t="str">
        <f>IF(AND($P2222=1,$A2222=经营数据!$B$3,$J2222=经营数据!$BA$5),COUNTIFS($P$2:$P$3000,1,$A$2:$A$3000,$A2222,$J$2:$J$3000,$J2222,$N$2:$N$3000,"&lt;"&amp;$N2222)+1,"")</f>
        <v/>
      </c>
      <c r="R2222" t="str">
        <f t="shared" si="518"/>
        <v/>
      </c>
      <c r="S2222">
        <f>IF($A2222="",0,IF(COUNTIF($R$2:$R2222,$R2222)=1,1,0))</f>
        <v>0</v>
      </c>
      <c r="T2222" t="str">
        <f t="shared" si="519"/>
        <v/>
      </c>
      <c r="U2222" t="str">
        <f>IF($A2222="","",IF($A2222=经营数据!$B$3,COUNTIFS($S$2:$S$3000,1,$A$2:$A$3000,$A2222,$T$2:$T$3000,"&lt;"&amp;$T2222)+1,""))</f>
        <v/>
      </c>
      <c r="V2222" t="str">
        <f t="shared" si="520"/>
        <v/>
      </c>
      <c r="W2222" t="str">
        <f t="shared" si="521"/>
        <v/>
      </c>
      <c r="X2222" t="str">
        <f t="shared" si="522"/>
        <v/>
      </c>
      <c r="Y2222" t="str">
        <f t="shared" si="523"/>
        <v/>
      </c>
      <c r="Z2222">
        <f>IF($A2222="",0,IF(AND($M2222=1,$A2222=经营数据!$B$3,$J2222=经营数据!$BA$5,OR($I2222=经营数据!$BA$4,COUNTIF(经营数据!$AA$9:$AA$38,$I2222)&gt;0)),1,0))</f>
        <v>0</v>
      </c>
      <c r="AA2222" t="str">
        <f t="shared" si="524"/>
        <v/>
      </c>
      <c r="AB2222" t="str">
        <f t="shared" si="525"/>
        <v/>
      </c>
      <c r="AC2222">
        <f>IF($A2222="",0,IF(COUNTIF($A$2:$A2222,$A2222)=1,1,0))</f>
        <v>0</v>
      </c>
      <c r="AD2222">
        <f t="shared" si="526"/>
        <v>29</v>
      </c>
      <c r="AE2222" t="str">
        <f t="shared" si="527"/>
        <v/>
      </c>
    </row>
    <row r="2223" spans="1:31" x14ac:dyDescent="0.4">
      <c r="A2223" t="str">
        <f>IF(原始经营数据!$D2224="","",原始经营数据!$D2224)</f>
        <v/>
      </c>
      <c r="B2223" t="str">
        <f>IF(原始经营数据!$D2224="","",T(原始经营数据!$E2224))</f>
        <v/>
      </c>
      <c r="C2223" t="str">
        <f>IF(原始经营数据!$D2224="","",原始经营数据!$F2224)</f>
        <v/>
      </c>
      <c r="D2223" t="str">
        <f>IF(原始经营数据!$D2224="","",原始经营数据!$H2224)</f>
        <v/>
      </c>
      <c r="E2223" t="str">
        <f>IF(原始经营数据!$D2224="","",原始经营数据!$I2224)</f>
        <v/>
      </c>
      <c r="F2223" t="str">
        <f>IF(原始经营数据!$D2224="","",T(原始经营数据!$J2224))</f>
        <v/>
      </c>
      <c r="G2223" t="str">
        <f>IF(原始经营数据!$D2224="","",T(原始经营数据!$K2224))</f>
        <v/>
      </c>
      <c r="H2223" t="str">
        <f>IF(原始经营数据!$D2224="","",原始经营数据!$G2224)</f>
        <v/>
      </c>
      <c r="I2223" t="str">
        <f>IF($A2223="","",IF($B2223&lt;&gt;"",$B2223,IF(COUNTIFS(原始经营数据!$D$3:$D$3001,$A2223,原始经营数据!$E$3:$E$3001,"",原始经营数据!$F$3:$F$3001,$C2223,原始经营数据!$H$3:$H$3001,$D2223,原始经营数据!$K$3:$K$3001,$G2223)&gt;1,"基金整体·来源"&amp;原始经营数据!$A2224,"基金整体")))</f>
        <v/>
      </c>
      <c r="J2223" t="str">
        <f t="shared" si="513"/>
        <v/>
      </c>
      <c r="K2223" t="str">
        <f t="shared" si="514"/>
        <v/>
      </c>
      <c r="L2223" t="str">
        <f t="shared" si="515"/>
        <v/>
      </c>
      <c r="M2223">
        <f>IF($A2223="",0,IF(COUNTIF($L$2:$L2223,$L2223)=1,1,0))</f>
        <v>0</v>
      </c>
      <c r="N2223" t="str">
        <f t="shared" si="516"/>
        <v/>
      </c>
      <c r="O2223" t="str">
        <f t="shared" si="517"/>
        <v/>
      </c>
      <c r="P2223">
        <f>IF($A2223="",0,IF(COUNTIF($O$2:$O2223,$O2223)=1,1,0))</f>
        <v>0</v>
      </c>
      <c r="Q2223" t="str">
        <f>IF(AND($P2223=1,$A2223=经营数据!$B$3,$J2223=经营数据!$BA$5),COUNTIFS($P$2:$P$3000,1,$A$2:$A$3000,$A2223,$J$2:$J$3000,$J2223,$N$2:$N$3000,"&lt;"&amp;$N2223)+1,"")</f>
        <v/>
      </c>
      <c r="R2223" t="str">
        <f t="shared" si="518"/>
        <v/>
      </c>
      <c r="S2223">
        <f>IF($A2223="",0,IF(COUNTIF($R$2:$R2223,$R2223)=1,1,0))</f>
        <v>0</v>
      </c>
      <c r="T2223" t="str">
        <f t="shared" si="519"/>
        <v/>
      </c>
      <c r="U2223" t="str">
        <f>IF($A2223="","",IF($A2223=经营数据!$B$3,COUNTIFS($S$2:$S$3000,1,$A$2:$A$3000,$A2223,$T$2:$T$3000,"&lt;"&amp;$T2223)+1,""))</f>
        <v/>
      </c>
      <c r="V2223" t="str">
        <f t="shared" si="520"/>
        <v/>
      </c>
      <c r="W2223" t="str">
        <f t="shared" si="521"/>
        <v/>
      </c>
      <c r="X2223" t="str">
        <f t="shared" si="522"/>
        <v/>
      </c>
      <c r="Y2223" t="str">
        <f t="shared" si="523"/>
        <v/>
      </c>
      <c r="Z2223">
        <f>IF($A2223="",0,IF(AND($M2223=1,$A2223=经营数据!$B$3,$J2223=经营数据!$BA$5,OR($I2223=经营数据!$BA$4,COUNTIF(经营数据!$AA$9:$AA$38,$I2223)&gt;0)),1,0))</f>
        <v>0</v>
      </c>
      <c r="AA2223" t="str">
        <f t="shared" si="524"/>
        <v/>
      </c>
      <c r="AB2223" t="str">
        <f t="shared" si="525"/>
        <v/>
      </c>
      <c r="AC2223">
        <f>IF($A2223="",0,IF(COUNTIF($A$2:$A2223,$A2223)=1,1,0))</f>
        <v>0</v>
      </c>
      <c r="AD2223">
        <f t="shared" si="526"/>
        <v>29</v>
      </c>
      <c r="AE2223" t="str">
        <f t="shared" si="527"/>
        <v/>
      </c>
    </row>
    <row r="2224" spans="1:31" x14ac:dyDescent="0.4">
      <c r="A2224" t="str">
        <f>IF(原始经营数据!$D2225="","",原始经营数据!$D2225)</f>
        <v/>
      </c>
      <c r="B2224" t="str">
        <f>IF(原始经营数据!$D2225="","",T(原始经营数据!$E2225))</f>
        <v/>
      </c>
      <c r="C2224" t="str">
        <f>IF(原始经营数据!$D2225="","",原始经营数据!$F2225)</f>
        <v/>
      </c>
      <c r="D2224" t="str">
        <f>IF(原始经营数据!$D2225="","",原始经营数据!$H2225)</f>
        <v/>
      </c>
      <c r="E2224" t="str">
        <f>IF(原始经营数据!$D2225="","",原始经营数据!$I2225)</f>
        <v/>
      </c>
      <c r="F2224" t="str">
        <f>IF(原始经营数据!$D2225="","",T(原始经营数据!$J2225))</f>
        <v/>
      </c>
      <c r="G2224" t="str">
        <f>IF(原始经营数据!$D2225="","",T(原始经营数据!$K2225))</f>
        <v/>
      </c>
      <c r="H2224" t="str">
        <f>IF(原始经营数据!$D2225="","",原始经营数据!$G2225)</f>
        <v/>
      </c>
      <c r="I2224" t="str">
        <f>IF($A2224="","",IF($B2224&lt;&gt;"",$B2224,IF(COUNTIFS(原始经营数据!$D$3:$D$3001,$A2224,原始经营数据!$E$3:$E$3001,"",原始经营数据!$F$3:$F$3001,$C2224,原始经营数据!$H$3:$H$3001,$D2224,原始经营数据!$K$3:$K$3001,$G2224)&gt;1,"基金整体·来源"&amp;原始经营数据!$A2225,"基金整体")))</f>
        <v/>
      </c>
      <c r="J2224" t="str">
        <f t="shared" si="513"/>
        <v/>
      </c>
      <c r="K2224" t="str">
        <f t="shared" si="514"/>
        <v/>
      </c>
      <c r="L2224" t="str">
        <f t="shared" si="515"/>
        <v/>
      </c>
      <c r="M2224">
        <f>IF($A2224="",0,IF(COUNTIF($L$2:$L2224,$L2224)=1,1,0))</f>
        <v>0</v>
      </c>
      <c r="N2224" t="str">
        <f t="shared" si="516"/>
        <v/>
      </c>
      <c r="O2224" t="str">
        <f t="shared" si="517"/>
        <v/>
      </c>
      <c r="P2224">
        <f>IF($A2224="",0,IF(COUNTIF($O$2:$O2224,$O2224)=1,1,0))</f>
        <v>0</v>
      </c>
      <c r="Q2224" t="str">
        <f>IF(AND($P2224=1,$A2224=经营数据!$B$3,$J2224=经营数据!$BA$5),COUNTIFS($P$2:$P$3000,1,$A$2:$A$3000,$A2224,$J$2:$J$3000,$J2224,$N$2:$N$3000,"&lt;"&amp;$N2224)+1,"")</f>
        <v/>
      </c>
      <c r="R2224" t="str">
        <f t="shared" si="518"/>
        <v/>
      </c>
      <c r="S2224">
        <f>IF($A2224="",0,IF(COUNTIF($R$2:$R2224,$R2224)=1,1,0))</f>
        <v>0</v>
      </c>
      <c r="T2224" t="str">
        <f t="shared" si="519"/>
        <v/>
      </c>
      <c r="U2224" t="str">
        <f>IF($A2224="","",IF($A2224=经营数据!$B$3,COUNTIFS($S$2:$S$3000,1,$A$2:$A$3000,$A2224,$T$2:$T$3000,"&lt;"&amp;$T2224)+1,""))</f>
        <v/>
      </c>
      <c r="V2224" t="str">
        <f t="shared" si="520"/>
        <v/>
      </c>
      <c r="W2224" t="str">
        <f t="shared" si="521"/>
        <v/>
      </c>
      <c r="X2224" t="str">
        <f t="shared" si="522"/>
        <v/>
      </c>
      <c r="Y2224" t="str">
        <f t="shared" si="523"/>
        <v/>
      </c>
      <c r="Z2224">
        <f>IF($A2224="",0,IF(AND($M2224=1,$A2224=经营数据!$B$3,$J2224=经营数据!$BA$5,OR($I2224=经营数据!$BA$4,COUNTIF(经营数据!$AA$9:$AA$38,$I2224)&gt;0)),1,0))</f>
        <v>0</v>
      </c>
      <c r="AA2224" t="str">
        <f t="shared" si="524"/>
        <v/>
      </c>
      <c r="AB2224" t="str">
        <f t="shared" si="525"/>
        <v/>
      </c>
      <c r="AC2224">
        <f>IF($A2224="",0,IF(COUNTIF($A$2:$A2224,$A2224)=1,1,0))</f>
        <v>0</v>
      </c>
      <c r="AD2224">
        <f t="shared" si="526"/>
        <v>29</v>
      </c>
      <c r="AE2224" t="str">
        <f t="shared" si="527"/>
        <v/>
      </c>
    </row>
    <row r="2225" spans="1:31" x14ac:dyDescent="0.4">
      <c r="A2225" t="str">
        <f>IF(原始经营数据!$D2226="","",原始经营数据!$D2226)</f>
        <v/>
      </c>
      <c r="B2225" t="str">
        <f>IF(原始经营数据!$D2226="","",T(原始经营数据!$E2226))</f>
        <v/>
      </c>
      <c r="C2225" t="str">
        <f>IF(原始经营数据!$D2226="","",原始经营数据!$F2226)</f>
        <v/>
      </c>
      <c r="D2225" t="str">
        <f>IF(原始经营数据!$D2226="","",原始经营数据!$H2226)</f>
        <v/>
      </c>
      <c r="E2225" t="str">
        <f>IF(原始经营数据!$D2226="","",原始经营数据!$I2226)</f>
        <v/>
      </c>
      <c r="F2225" t="str">
        <f>IF(原始经营数据!$D2226="","",T(原始经营数据!$J2226))</f>
        <v/>
      </c>
      <c r="G2225" t="str">
        <f>IF(原始经营数据!$D2226="","",T(原始经营数据!$K2226))</f>
        <v/>
      </c>
      <c r="H2225" t="str">
        <f>IF(原始经营数据!$D2226="","",原始经营数据!$G2226)</f>
        <v/>
      </c>
      <c r="I2225" t="str">
        <f>IF($A2225="","",IF($B2225&lt;&gt;"",$B2225,IF(COUNTIFS(原始经营数据!$D$3:$D$3001,$A2225,原始经营数据!$E$3:$E$3001,"",原始经营数据!$F$3:$F$3001,$C2225,原始经营数据!$H$3:$H$3001,$D2225,原始经营数据!$K$3:$K$3001,$G2225)&gt;1,"基金整体·来源"&amp;原始经营数据!$A2226,"基金整体")))</f>
        <v/>
      </c>
      <c r="J2225" t="str">
        <f t="shared" si="513"/>
        <v/>
      </c>
      <c r="K2225" t="str">
        <f t="shared" si="514"/>
        <v/>
      </c>
      <c r="L2225" t="str">
        <f t="shared" si="515"/>
        <v/>
      </c>
      <c r="M2225">
        <f>IF($A2225="",0,IF(COUNTIF($L$2:$L2225,$L2225)=1,1,0))</f>
        <v>0</v>
      </c>
      <c r="N2225" t="str">
        <f t="shared" si="516"/>
        <v/>
      </c>
      <c r="O2225" t="str">
        <f t="shared" si="517"/>
        <v/>
      </c>
      <c r="P2225">
        <f>IF($A2225="",0,IF(COUNTIF($O$2:$O2225,$O2225)=1,1,0))</f>
        <v>0</v>
      </c>
      <c r="Q2225" t="str">
        <f>IF(AND($P2225=1,$A2225=经营数据!$B$3,$J2225=经营数据!$BA$5),COUNTIFS($P$2:$P$3000,1,$A$2:$A$3000,$A2225,$J$2:$J$3000,$J2225,$N$2:$N$3000,"&lt;"&amp;$N2225)+1,"")</f>
        <v/>
      </c>
      <c r="R2225" t="str">
        <f t="shared" si="518"/>
        <v/>
      </c>
      <c r="S2225">
        <f>IF($A2225="",0,IF(COUNTIF($R$2:$R2225,$R2225)=1,1,0))</f>
        <v>0</v>
      </c>
      <c r="T2225" t="str">
        <f t="shared" si="519"/>
        <v/>
      </c>
      <c r="U2225" t="str">
        <f>IF($A2225="","",IF($A2225=经营数据!$B$3,COUNTIFS($S$2:$S$3000,1,$A$2:$A$3000,$A2225,$T$2:$T$3000,"&lt;"&amp;$T2225)+1,""))</f>
        <v/>
      </c>
      <c r="V2225" t="str">
        <f t="shared" si="520"/>
        <v/>
      </c>
      <c r="W2225" t="str">
        <f t="shared" si="521"/>
        <v/>
      </c>
      <c r="X2225" t="str">
        <f t="shared" si="522"/>
        <v/>
      </c>
      <c r="Y2225" t="str">
        <f t="shared" si="523"/>
        <v/>
      </c>
      <c r="Z2225">
        <f>IF($A2225="",0,IF(AND($M2225=1,$A2225=经营数据!$B$3,$J2225=经营数据!$BA$5,OR($I2225=经营数据!$BA$4,COUNTIF(经营数据!$AA$9:$AA$38,$I2225)&gt;0)),1,0))</f>
        <v>0</v>
      </c>
      <c r="AA2225" t="str">
        <f t="shared" si="524"/>
        <v/>
      </c>
      <c r="AB2225" t="str">
        <f t="shared" si="525"/>
        <v/>
      </c>
      <c r="AC2225">
        <f>IF($A2225="",0,IF(COUNTIF($A$2:$A2225,$A2225)=1,1,0))</f>
        <v>0</v>
      </c>
      <c r="AD2225">
        <f t="shared" si="526"/>
        <v>29</v>
      </c>
      <c r="AE2225" t="str">
        <f t="shared" si="527"/>
        <v/>
      </c>
    </row>
    <row r="2226" spans="1:31" x14ac:dyDescent="0.4">
      <c r="A2226" t="str">
        <f>IF(原始经营数据!$D2227="","",原始经营数据!$D2227)</f>
        <v/>
      </c>
      <c r="B2226" t="str">
        <f>IF(原始经营数据!$D2227="","",T(原始经营数据!$E2227))</f>
        <v/>
      </c>
      <c r="C2226" t="str">
        <f>IF(原始经营数据!$D2227="","",原始经营数据!$F2227)</f>
        <v/>
      </c>
      <c r="D2226" t="str">
        <f>IF(原始经营数据!$D2227="","",原始经营数据!$H2227)</f>
        <v/>
      </c>
      <c r="E2226" t="str">
        <f>IF(原始经营数据!$D2227="","",原始经营数据!$I2227)</f>
        <v/>
      </c>
      <c r="F2226" t="str">
        <f>IF(原始经营数据!$D2227="","",T(原始经营数据!$J2227))</f>
        <v/>
      </c>
      <c r="G2226" t="str">
        <f>IF(原始经营数据!$D2227="","",T(原始经营数据!$K2227))</f>
        <v/>
      </c>
      <c r="H2226" t="str">
        <f>IF(原始经营数据!$D2227="","",原始经营数据!$G2227)</f>
        <v/>
      </c>
      <c r="I2226" t="str">
        <f>IF($A2226="","",IF($B2226&lt;&gt;"",$B2226,IF(COUNTIFS(原始经营数据!$D$3:$D$3001,$A2226,原始经营数据!$E$3:$E$3001,"",原始经营数据!$F$3:$F$3001,$C2226,原始经营数据!$H$3:$H$3001,$D2226,原始经营数据!$K$3:$K$3001,$G2226)&gt;1,"基金整体·来源"&amp;原始经营数据!$A2227,"基金整体")))</f>
        <v/>
      </c>
      <c r="J2226" t="str">
        <f t="shared" si="513"/>
        <v/>
      </c>
      <c r="K2226" t="str">
        <f t="shared" si="514"/>
        <v/>
      </c>
      <c r="L2226" t="str">
        <f t="shared" si="515"/>
        <v/>
      </c>
      <c r="M2226">
        <f>IF($A2226="",0,IF(COUNTIF($L$2:$L2226,$L2226)=1,1,0))</f>
        <v>0</v>
      </c>
      <c r="N2226" t="str">
        <f t="shared" si="516"/>
        <v/>
      </c>
      <c r="O2226" t="str">
        <f t="shared" si="517"/>
        <v/>
      </c>
      <c r="P2226">
        <f>IF($A2226="",0,IF(COUNTIF($O$2:$O2226,$O2226)=1,1,0))</f>
        <v>0</v>
      </c>
      <c r="Q2226" t="str">
        <f>IF(AND($P2226=1,$A2226=经营数据!$B$3,$J2226=经营数据!$BA$5),COUNTIFS($P$2:$P$3000,1,$A$2:$A$3000,$A2226,$J$2:$J$3000,$J2226,$N$2:$N$3000,"&lt;"&amp;$N2226)+1,"")</f>
        <v/>
      </c>
      <c r="R2226" t="str">
        <f t="shared" si="518"/>
        <v/>
      </c>
      <c r="S2226">
        <f>IF($A2226="",0,IF(COUNTIF($R$2:$R2226,$R2226)=1,1,0))</f>
        <v>0</v>
      </c>
      <c r="T2226" t="str">
        <f t="shared" si="519"/>
        <v/>
      </c>
      <c r="U2226" t="str">
        <f>IF($A2226="","",IF($A2226=经营数据!$B$3,COUNTIFS($S$2:$S$3000,1,$A$2:$A$3000,$A2226,$T$2:$T$3000,"&lt;"&amp;$T2226)+1,""))</f>
        <v/>
      </c>
      <c r="V2226" t="str">
        <f t="shared" si="520"/>
        <v/>
      </c>
      <c r="W2226" t="str">
        <f t="shared" si="521"/>
        <v/>
      </c>
      <c r="X2226" t="str">
        <f t="shared" si="522"/>
        <v/>
      </c>
      <c r="Y2226" t="str">
        <f t="shared" si="523"/>
        <v/>
      </c>
      <c r="Z2226">
        <f>IF($A2226="",0,IF(AND($M2226=1,$A2226=经营数据!$B$3,$J2226=经营数据!$BA$5,OR($I2226=经营数据!$BA$4,COUNTIF(经营数据!$AA$9:$AA$38,$I2226)&gt;0)),1,0))</f>
        <v>0</v>
      </c>
      <c r="AA2226" t="str">
        <f t="shared" si="524"/>
        <v/>
      </c>
      <c r="AB2226" t="str">
        <f t="shared" si="525"/>
        <v/>
      </c>
      <c r="AC2226">
        <f>IF($A2226="",0,IF(COUNTIF($A$2:$A2226,$A2226)=1,1,0))</f>
        <v>0</v>
      </c>
      <c r="AD2226">
        <f t="shared" si="526"/>
        <v>29</v>
      </c>
      <c r="AE2226" t="str">
        <f t="shared" si="527"/>
        <v/>
      </c>
    </row>
    <row r="2227" spans="1:31" x14ac:dyDescent="0.4">
      <c r="A2227" t="str">
        <f>IF(原始经营数据!$D2228="","",原始经营数据!$D2228)</f>
        <v/>
      </c>
      <c r="B2227" t="str">
        <f>IF(原始经营数据!$D2228="","",T(原始经营数据!$E2228))</f>
        <v/>
      </c>
      <c r="C2227" t="str">
        <f>IF(原始经营数据!$D2228="","",原始经营数据!$F2228)</f>
        <v/>
      </c>
      <c r="D2227" t="str">
        <f>IF(原始经营数据!$D2228="","",原始经营数据!$H2228)</f>
        <v/>
      </c>
      <c r="E2227" t="str">
        <f>IF(原始经营数据!$D2228="","",原始经营数据!$I2228)</f>
        <v/>
      </c>
      <c r="F2227" t="str">
        <f>IF(原始经营数据!$D2228="","",T(原始经营数据!$J2228))</f>
        <v/>
      </c>
      <c r="G2227" t="str">
        <f>IF(原始经营数据!$D2228="","",T(原始经营数据!$K2228))</f>
        <v/>
      </c>
      <c r="H2227" t="str">
        <f>IF(原始经营数据!$D2228="","",原始经营数据!$G2228)</f>
        <v/>
      </c>
      <c r="I2227" t="str">
        <f>IF($A2227="","",IF($B2227&lt;&gt;"",$B2227,IF(COUNTIFS(原始经营数据!$D$3:$D$3001,$A2227,原始经营数据!$E$3:$E$3001,"",原始经营数据!$F$3:$F$3001,$C2227,原始经营数据!$H$3:$H$3001,$D2227,原始经营数据!$K$3:$K$3001,$G2227)&gt;1,"基金整体·来源"&amp;原始经营数据!$A2228,"基金整体")))</f>
        <v/>
      </c>
      <c r="J2227" t="str">
        <f t="shared" si="513"/>
        <v/>
      </c>
      <c r="K2227" t="str">
        <f t="shared" si="514"/>
        <v/>
      </c>
      <c r="L2227" t="str">
        <f t="shared" si="515"/>
        <v/>
      </c>
      <c r="M2227">
        <f>IF($A2227="",0,IF(COUNTIF($L$2:$L2227,$L2227)=1,1,0))</f>
        <v>0</v>
      </c>
      <c r="N2227" t="str">
        <f t="shared" si="516"/>
        <v/>
      </c>
      <c r="O2227" t="str">
        <f t="shared" si="517"/>
        <v/>
      </c>
      <c r="P2227">
        <f>IF($A2227="",0,IF(COUNTIF($O$2:$O2227,$O2227)=1,1,0))</f>
        <v>0</v>
      </c>
      <c r="Q2227" t="str">
        <f>IF(AND($P2227=1,$A2227=经营数据!$B$3,$J2227=经营数据!$BA$5),COUNTIFS($P$2:$P$3000,1,$A$2:$A$3000,$A2227,$J$2:$J$3000,$J2227,$N$2:$N$3000,"&lt;"&amp;$N2227)+1,"")</f>
        <v/>
      </c>
      <c r="R2227" t="str">
        <f t="shared" si="518"/>
        <v/>
      </c>
      <c r="S2227">
        <f>IF($A2227="",0,IF(COUNTIF($R$2:$R2227,$R2227)=1,1,0))</f>
        <v>0</v>
      </c>
      <c r="T2227" t="str">
        <f t="shared" si="519"/>
        <v/>
      </c>
      <c r="U2227" t="str">
        <f>IF($A2227="","",IF($A2227=经营数据!$B$3,COUNTIFS($S$2:$S$3000,1,$A$2:$A$3000,$A2227,$T$2:$T$3000,"&lt;"&amp;$T2227)+1,""))</f>
        <v/>
      </c>
      <c r="V2227" t="str">
        <f t="shared" si="520"/>
        <v/>
      </c>
      <c r="W2227" t="str">
        <f t="shared" si="521"/>
        <v/>
      </c>
      <c r="X2227" t="str">
        <f t="shared" si="522"/>
        <v/>
      </c>
      <c r="Y2227" t="str">
        <f t="shared" si="523"/>
        <v/>
      </c>
      <c r="Z2227">
        <f>IF($A2227="",0,IF(AND($M2227=1,$A2227=经营数据!$B$3,$J2227=经营数据!$BA$5,OR($I2227=经营数据!$BA$4,COUNTIF(经营数据!$AA$9:$AA$38,$I2227)&gt;0)),1,0))</f>
        <v>0</v>
      </c>
      <c r="AA2227" t="str">
        <f t="shared" si="524"/>
        <v/>
      </c>
      <c r="AB2227" t="str">
        <f t="shared" si="525"/>
        <v/>
      </c>
      <c r="AC2227">
        <f>IF($A2227="",0,IF(COUNTIF($A$2:$A2227,$A2227)=1,1,0))</f>
        <v>0</v>
      </c>
      <c r="AD2227">
        <f t="shared" si="526"/>
        <v>29</v>
      </c>
      <c r="AE2227" t="str">
        <f t="shared" si="527"/>
        <v/>
      </c>
    </row>
    <row r="2228" spans="1:31" x14ac:dyDescent="0.4">
      <c r="A2228" t="str">
        <f>IF(原始经营数据!$D2229="","",原始经营数据!$D2229)</f>
        <v/>
      </c>
      <c r="B2228" t="str">
        <f>IF(原始经营数据!$D2229="","",T(原始经营数据!$E2229))</f>
        <v/>
      </c>
      <c r="C2228" t="str">
        <f>IF(原始经营数据!$D2229="","",原始经营数据!$F2229)</f>
        <v/>
      </c>
      <c r="D2228" t="str">
        <f>IF(原始经营数据!$D2229="","",原始经营数据!$H2229)</f>
        <v/>
      </c>
      <c r="E2228" t="str">
        <f>IF(原始经营数据!$D2229="","",原始经营数据!$I2229)</f>
        <v/>
      </c>
      <c r="F2228" t="str">
        <f>IF(原始经营数据!$D2229="","",T(原始经营数据!$J2229))</f>
        <v/>
      </c>
      <c r="G2228" t="str">
        <f>IF(原始经营数据!$D2229="","",T(原始经营数据!$K2229))</f>
        <v/>
      </c>
      <c r="H2228" t="str">
        <f>IF(原始经营数据!$D2229="","",原始经营数据!$G2229)</f>
        <v/>
      </c>
      <c r="I2228" t="str">
        <f>IF($A2228="","",IF($B2228&lt;&gt;"",$B2228,IF(COUNTIFS(原始经营数据!$D$3:$D$3001,$A2228,原始经营数据!$E$3:$E$3001,"",原始经营数据!$F$3:$F$3001,$C2228,原始经营数据!$H$3:$H$3001,$D2228,原始经营数据!$K$3:$K$3001,$G2228)&gt;1,"基金整体·来源"&amp;原始经营数据!$A2229,"基金整体")))</f>
        <v/>
      </c>
      <c r="J2228" t="str">
        <f t="shared" si="513"/>
        <v/>
      </c>
      <c r="K2228" t="str">
        <f t="shared" si="514"/>
        <v/>
      </c>
      <c r="L2228" t="str">
        <f t="shared" si="515"/>
        <v/>
      </c>
      <c r="M2228">
        <f>IF($A2228="",0,IF(COUNTIF($L$2:$L2228,$L2228)=1,1,0))</f>
        <v>0</v>
      </c>
      <c r="N2228" t="str">
        <f t="shared" si="516"/>
        <v/>
      </c>
      <c r="O2228" t="str">
        <f t="shared" si="517"/>
        <v/>
      </c>
      <c r="P2228">
        <f>IF($A2228="",0,IF(COUNTIF($O$2:$O2228,$O2228)=1,1,0))</f>
        <v>0</v>
      </c>
      <c r="Q2228" t="str">
        <f>IF(AND($P2228=1,$A2228=经营数据!$B$3,$J2228=经营数据!$BA$5),COUNTIFS($P$2:$P$3000,1,$A$2:$A$3000,$A2228,$J$2:$J$3000,$J2228,$N$2:$N$3000,"&lt;"&amp;$N2228)+1,"")</f>
        <v/>
      </c>
      <c r="R2228" t="str">
        <f t="shared" si="518"/>
        <v/>
      </c>
      <c r="S2228">
        <f>IF($A2228="",0,IF(COUNTIF($R$2:$R2228,$R2228)=1,1,0))</f>
        <v>0</v>
      </c>
      <c r="T2228" t="str">
        <f t="shared" si="519"/>
        <v/>
      </c>
      <c r="U2228" t="str">
        <f>IF($A2228="","",IF($A2228=经营数据!$B$3,COUNTIFS($S$2:$S$3000,1,$A$2:$A$3000,$A2228,$T$2:$T$3000,"&lt;"&amp;$T2228)+1,""))</f>
        <v/>
      </c>
      <c r="V2228" t="str">
        <f t="shared" si="520"/>
        <v/>
      </c>
      <c r="W2228" t="str">
        <f t="shared" si="521"/>
        <v/>
      </c>
      <c r="X2228" t="str">
        <f t="shared" si="522"/>
        <v/>
      </c>
      <c r="Y2228" t="str">
        <f t="shared" si="523"/>
        <v/>
      </c>
      <c r="Z2228">
        <f>IF($A2228="",0,IF(AND($M2228=1,$A2228=经营数据!$B$3,$J2228=经营数据!$BA$5,OR($I2228=经营数据!$BA$4,COUNTIF(经营数据!$AA$9:$AA$38,$I2228)&gt;0)),1,0))</f>
        <v>0</v>
      </c>
      <c r="AA2228" t="str">
        <f t="shared" si="524"/>
        <v/>
      </c>
      <c r="AB2228" t="str">
        <f t="shared" si="525"/>
        <v/>
      </c>
      <c r="AC2228">
        <f>IF($A2228="",0,IF(COUNTIF($A$2:$A2228,$A2228)=1,1,0))</f>
        <v>0</v>
      </c>
      <c r="AD2228">
        <f t="shared" si="526"/>
        <v>29</v>
      </c>
      <c r="AE2228" t="str">
        <f t="shared" si="527"/>
        <v/>
      </c>
    </row>
    <row r="2229" spans="1:31" x14ac:dyDescent="0.4">
      <c r="A2229" t="str">
        <f>IF(原始经营数据!$D2230="","",原始经营数据!$D2230)</f>
        <v/>
      </c>
      <c r="B2229" t="str">
        <f>IF(原始经营数据!$D2230="","",T(原始经营数据!$E2230))</f>
        <v/>
      </c>
      <c r="C2229" t="str">
        <f>IF(原始经营数据!$D2230="","",原始经营数据!$F2230)</f>
        <v/>
      </c>
      <c r="D2229" t="str">
        <f>IF(原始经营数据!$D2230="","",原始经营数据!$H2230)</f>
        <v/>
      </c>
      <c r="E2229" t="str">
        <f>IF(原始经营数据!$D2230="","",原始经营数据!$I2230)</f>
        <v/>
      </c>
      <c r="F2229" t="str">
        <f>IF(原始经营数据!$D2230="","",T(原始经营数据!$J2230))</f>
        <v/>
      </c>
      <c r="G2229" t="str">
        <f>IF(原始经营数据!$D2230="","",T(原始经营数据!$K2230))</f>
        <v/>
      </c>
      <c r="H2229" t="str">
        <f>IF(原始经营数据!$D2230="","",原始经营数据!$G2230)</f>
        <v/>
      </c>
      <c r="I2229" t="str">
        <f>IF($A2229="","",IF($B2229&lt;&gt;"",$B2229,IF(COUNTIFS(原始经营数据!$D$3:$D$3001,$A2229,原始经营数据!$E$3:$E$3001,"",原始经营数据!$F$3:$F$3001,$C2229,原始经营数据!$H$3:$H$3001,$D2229,原始经营数据!$K$3:$K$3001,$G2229)&gt;1,"基金整体·来源"&amp;原始经营数据!$A2230,"基金整体")))</f>
        <v/>
      </c>
      <c r="J2229" t="str">
        <f t="shared" si="513"/>
        <v/>
      </c>
      <c r="K2229" t="str">
        <f t="shared" si="514"/>
        <v/>
      </c>
      <c r="L2229" t="str">
        <f t="shared" si="515"/>
        <v/>
      </c>
      <c r="M2229">
        <f>IF($A2229="",0,IF(COUNTIF($L$2:$L2229,$L2229)=1,1,0))</f>
        <v>0</v>
      </c>
      <c r="N2229" t="str">
        <f t="shared" si="516"/>
        <v/>
      </c>
      <c r="O2229" t="str">
        <f t="shared" si="517"/>
        <v/>
      </c>
      <c r="P2229">
        <f>IF($A2229="",0,IF(COUNTIF($O$2:$O2229,$O2229)=1,1,0))</f>
        <v>0</v>
      </c>
      <c r="Q2229" t="str">
        <f>IF(AND($P2229=1,$A2229=经营数据!$B$3,$J2229=经营数据!$BA$5),COUNTIFS($P$2:$P$3000,1,$A$2:$A$3000,$A2229,$J$2:$J$3000,$J2229,$N$2:$N$3000,"&lt;"&amp;$N2229)+1,"")</f>
        <v/>
      </c>
      <c r="R2229" t="str">
        <f t="shared" si="518"/>
        <v/>
      </c>
      <c r="S2229">
        <f>IF($A2229="",0,IF(COUNTIF($R$2:$R2229,$R2229)=1,1,0))</f>
        <v>0</v>
      </c>
      <c r="T2229" t="str">
        <f t="shared" si="519"/>
        <v/>
      </c>
      <c r="U2229" t="str">
        <f>IF($A2229="","",IF($A2229=经营数据!$B$3,COUNTIFS($S$2:$S$3000,1,$A$2:$A$3000,$A2229,$T$2:$T$3000,"&lt;"&amp;$T2229)+1,""))</f>
        <v/>
      </c>
      <c r="V2229" t="str">
        <f t="shared" si="520"/>
        <v/>
      </c>
      <c r="W2229" t="str">
        <f t="shared" si="521"/>
        <v/>
      </c>
      <c r="X2229" t="str">
        <f t="shared" si="522"/>
        <v/>
      </c>
      <c r="Y2229" t="str">
        <f t="shared" si="523"/>
        <v/>
      </c>
      <c r="Z2229">
        <f>IF($A2229="",0,IF(AND($M2229=1,$A2229=经营数据!$B$3,$J2229=经营数据!$BA$5,OR($I2229=经营数据!$BA$4,COUNTIF(经营数据!$AA$9:$AA$38,$I2229)&gt;0)),1,0))</f>
        <v>0</v>
      </c>
      <c r="AA2229" t="str">
        <f t="shared" si="524"/>
        <v/>
      </c>
      <c r="AB2229" t="str">
        <f t="shared" si="525"/>
        <v/>
      </c>
      <c r="AC2229">
        <f>IF($A2229="",0,IF(COUNTIF($A$2:$A2229,$A2229)=1,1,0))</f>
        <v>0</v>
      </c>
      <c r="AD2229">
        <f t="shared" si="526"/>
        <v>29</v>
      </c>
      <c r="AE2229" t="str">
        <f t="shared" si="527"/>
        <v/>
      </c>
    </row>
    <row r="2230" spans="1:31" x14ac:dyDescent="0.4">
      <c r="A2230" t="str">
        <f>IF(原始经营数据!$D2231="","",原始经营数据!$D2231)</f>
        <v/>
      </c>
      <c r="B2230" t="str">
        <f>IF(原始经营数据!$D2231="","",T(原始经营数据!$E2231))</f>
        <v/>
      </c>
      <c r="C2230" t="str">
        <f>IF(原始经营数据!$D2231="","",原始经营数据!$F2231)</f>
        <v/>
      </c>
      <c r="D2230" t="str">
        <f>IF(原始经营数据!$D2231="","",原始经营数据!$H2231)</f>
        <v/>
      </c>
      <c r="E2230" t="str">
        <f>IF(原始经营数据!$D2231="","",原始经营数据!$I2231)</f>
        <v/>
      </c>
      <c r="F2230" t="str">
        <f>IF(原始经营数据!$D2231="","",T(原始经营数据!$J2231))</f>
        <v/>
      </c>
      <c r="G2230" t="str">
        <f>IF(原始经营数据!$D2231="","",T(原始经营数据!$K2231))</f>
        <v/>
      </c>
      <c r="H2230" t="str">
        <f>IF(原始经营数据!$D2231="","",原始经营数据!$G2231)</f>
        <v/>
      </c>
      <c r="I2230" t="str">
        <f>IF($A2230="","",IF($B2230&lt;&gt;"",$B2230,IF(COUNTIFS(原始经营数据!$D$3:$D$3001,$A2230,原始经营数据!$E$3:$E$3001,"",原始经营数据!$F$3:$F$3001,$C2230,原始经营数据!$H$3:$H$3001,$D2230,原始经营数据!$K$3:$K$3001,$G2230)&gt;1,"基金整体·来源"&amp;原始经营数据!$A2231,"基金整体")))</f>
        <v/>
      </c>
      <c r="J2230" t="str">
        <f t="shared" si="513"/>
        <v/>
      </c>
      <c r="K2230" t="str">
        <f t="shared" si="514"/>
        <v/>
      </c>
      <c r="L2230" t="str">
        <f t="shared" si="515"/>
        <v/>
      </c>
      <c r="M2230">
        <f>IF($A2230="",0,IF(COUNTIF($L$2:$L2230,$L2230)=1,1,0))</f>
        <v>0</v>
      </c>
      <c r="N2230" t="str">
        <f t="shared" si="516"/>
        <v/>
      </c>
      <c r="O2230" t="str">
        <f t="shared" si="517"/>
        <v/>
      </c>
      <c r="P2230">
        <f>IF($A2230="",0,IF(COUNTIF($O$2:$O2230,$O2230)=1,1,0))</f>
        <v>0</v>
      </c>
      <c r="Q2230" t="str">
        <f>IF(AND($P2230=1,$A2230=经营数据!$B$3,$J2230=经营数据!$BA$5),COUNTIFS($P$2:$P$3000,1,$A$2:$A$3000,$A2230,$J$2:$J$3000,$J2230,$N$2:$N$3000,"&lt;"&amp;$N2230)+1,"")</f>
        <v/>
      </c>
      <c r="R2230" t="str">
        <f t="shared" si="518"/>
        <v/>
      </c>
      <c r="S2230">
        <f>IF($A2230="",0,IF(COUNTIF($R$2:$R2230,$R2230)=1,1,0))</f>
        <v>0</v>
      </c>
      <c r="T2230" t="str">
        <f t="shared" si="519"/>
        <v/>
      </c>
      <c r="U2230" t="str">
        <f>IF($A2230="","",IF($A2230=经营数据!$B$3,COUNTIFS($S$2:$S$3000,1,$A$2:$A$3000,$A2230,$T$2:$T$3000,"&lt;"&amp;$T2230)+1,""))</f>
        <v/>
      </c>
      <c r="V2230" t="str">
        <f t="shared" si="520"/>
        <v/>
      </c>
      <c r="W2230" t="str">
        <f t="shared" si="521"/>
        <v/>
      </c>
      <c r="X2230" t="str">
        <f t="shared" si="522"/>
        <v/>
      </c>
      <c r="Y2230" t="str">
        <f t="shared" si="523"/>
        <v/>
      </c>
      <c r="Z2230">
        <f>IF($A2230="",0,IF(AND($M2230=1,$A2230=经营数据!$B$3,$J2230=经营数据!$BA$5,OR($I2230=经营数据!$BA$4,COUNTIF(经营数据!$AA$9:$AA$38,$I2230)&gt;0)),1,0))</f>
        <v>0</v>
      </c>
      <c r="AA2230" t="str">
        <f t="shared" si="524"/>
        <v/>
      </c>
      <c r="AB2230" t="str">
        <f t="shared" si="525"/>
        <v/>
      </c>
      <c r="AC2230">
        <f>IF($A2230="",0,IF(COUNTIF($A$2:$A2230,$A2230)=1,1,0))</f>
        <v>0</v>
      </c>
      <c r="AD2230">
        <f t="shared" si="526"/>
        <v>29</v>
      </c>
      <c r="AE2230" t="str">
        <f t="shared" si="527"/>
        <v/>
      </c>
    </row>
    <row r="2231" spans="1:31" x14ac:dyDescent="0.4">
      <c r="A2231" t="str">
        <f>IF(原始经营数据!$D2232="","",原始经营数据!$D2232)</f>
        <v/>
      </c>
      <c r="B2231" t="str">
        <f>IF(原始经营数据!$D2232="","",T(原始经营数据!$E2232))</f>
        <v/>
      </c>
      <c r="C2231" t="str">
        <f>IF(原始经营数据!$D2232="","",原始经营数据!$F2232)</f>
        <v/>
      </c>
      <c r="D2231" t="str">
        <f>IF(原始经营数据!$D2232="","",原始经营数据!$H2232)</f>
        <v/>
      </c>
      <c r="E2231" t="str">
        <f>IF(原始经营数据!$D2232="","",原始经营数据!$I2232)</f>
        <v/>
      </c>
      <c r="F2231" t="str">
        <f>IF(原始经营数据!$D2232="","",T(原始经营数据!$J2232))</f>
        <v/>
      </c>
      <c r="G2231" t="str">
        <f>IF(原始经营数据!$D2232="","",T(原始经营数据!$K2232))</f>
        <v/>
      </c>
      <c r="H2231" t="str">
        <f>IF(原始经营数据!$D2232="","",原始经营数据!$G2232)</f>
        <v/>
      </c>
      <c r="I2231" t="str">
        <f>IF($A2231="","",IF($B2231&lt;&gt;"",$B2231,IF(COUNTIFS(原始经营数据!$D$3:$D$3001,$A2231,原始经营数据!$E$3:$E$3001,"",原始经营数据!$F$3:$F$3001,$C2231,原始经营数据!$H$3:$H$3001,$D2231,原始经营数据!$K$3:$K$3001,$G2231)&gt;1,"基金整体·来源"&amp;原始经营数据!$A2232,"基金整体")))</f>
        <v/>
      </c>
      <c r="J2231" t="str">
        <f t="shared" si="513"/>
        <v/>
      </c>
      <c r="K2231" t="str">
        <f t="shared" si="514"/>
        <v/>
      </c>
      <c r="L2231" t="str">
        <f t="shared" si="515"/>
        <v/>
      </c>
      <c r="M2231">
        <f>IF($A2231="",0,IF(COUNTIF($L$2:$L2231,$L2231)=1,1,0))</f>
        <v>0</v>
      </c>
      <c r="N2231" t="str">
        <f t="shared" si="516"/>
        <v/>
      </c>
      <c r="O2231" t="str">
        <f t="shared" si="517"/>
        <v/>
      </c>
      <c r="P2231">
        <f>IF($A2231="",0,IF(COUNTIF($O$2:$O2231,$O2231)=1,1,0))</f>
        <v>0</v>
      </c>
      <c r="Q2231" t="str">
        <f>IF(AND($P2231=1,$A2231=经营数据!$B$3,$J2231=经营数据!$BA$5),COUNTIFS($P$2:$P$3000,1,$A$2:$A$3000,$A2231,$J$2:$J$3000,$J2231,$N$2:$N$3000,"&lt;"&amp;$N2231)+1,"")</f>
        <v/>
      </c>
      <c r="R2231" t="str">
        <f t="shared" si="518"/>
        <v/>
      </c>
      <c r="S2231">
        <f>IF($A2231="",0,IF(COUNTIF($R$2:$R2231,$R2231)=1,1,0))</f>
        <v>0</v>
      </c>
      <c r="T2231" t="str">
        <f t="shared" si="519"/>
        <v/>
      </c>
      <c r="U2231" t="str">
        <f>IF($A2231="","",IF($A2231=经营数据!$B$3,COUNTIFS($S$2:$S$3000,1,$A$2:$A$3000,$A2231,$T$2:$T$3000,"&lt;"&amp;$T2231)+1,""))</f>
        <v/>
      </c>
      <c r="V2231" t="str">
        <f t="shared" si="520"/>
        <v/>
      </c>
      <c r="W2231" t="str">
        <f t="shared" si="521"/>
        <v/>
      </c>
      <c r="X2231" t="str">
        <f t="shared" si="522"/>
        <v/>
      </c>
      <c r="Y2231" t="str">
        <f t="shared" si="523"/>
        <v/>
      </c>
      <c r="Z2231">
        <f>IF($A2231="",0,IF(AND($M2231=1,$A2231=经营数据!$B$3,$J2231=经营数据!$BA$5,OR($I2231=经营数据!$BA$4,COUNTIF(经营数据!$AA$9:$AA$38,$I2231)&gt;0)),1,0))</f>
        <v>0</v>
      </c>
      <c r="AA2231" t="str">
        <f t="shared" si="524"/>
        <v/>
      </c>
      <c r="AB2231" t="str">
        <f t="shared" si="525"/>
        <v/>
      </c>
      <c r="AC2231">
        <f>IF($A2231="",0,IF(COUNTIF($A$2:$A2231,$A2231)=1,1,0))</f>
        <v>0</v>
      </c>
      <c r="AD2231">
        <f t="shared" si="526"/>
        <v>29</v>
      </c>
      <c r="AE2231" t="str">
        <f t="shared" si="527"/>
        <v/>
      </c>
    </row>
    <row r="2232" spans="1:31" x14ac:dyDescent="0.4">
      <c r="A2232" t="str">
        <f>IF(原始经营数据!$D2233="","",原始经营数据!$D2233)</f>
        <v/>
      </c>
      <c r="B2232" t="str">
        <f>IF(原始经营数据!$D2233="","",T(原始经营数据!$E2233))</f>
        <v/>
      </c>
      <c r="C2232" t="str">
        <f>IF(原始经营数据!$D2233="","",原始经营数据!$F2233)</f>
        <v/>
      </c>
      <c r="D2232" t="str">
        <f>IF(原始经营数据!$D2233="","",原始经营数据!$H2233)</f>
        <v/>
      </c>
      <c r="E2232" t="str">
        <f>IF(原始经营数据!$D2233="","",原始经营数据!$I2233)</f>
        <v/>
      </c>
      <c r="F2232" t="str">
        <f>IF(原始经营数据!$D2233="","",T(原始经营数据!$J2233))</f>
        <v/>
      </c>
      <c r="G2232" t="str">
        <f>IF(原始经营数据!$D2233="","",T(原始经营数据!$K2233))</f>
        <v/>
      </c>
      <c r="H2232" t="str">
        <f>IF(原始经营数据!$D2233="","",原始经营数据!$G2233)</f>
        <v/>
      </c>
      <c r="I2232" t="str">
        <f>IF($A2232="","",IF($B2232&lt;&gt;"",$B2232,IF(COUNTIFS(原始经营数据!$D$3:$D$3001,$A2232,原始经营数据!$E$3:$E$3001,"",原始经营数据!$F$3:$F$3001,$C2232,原始经营数据!$H$3:$H$3001,$D2232,原始经营数据!$K$3:$K$3001,$G2232)&gt;1,"基金整体·来源"&amp;原始经营数据!$A2233,"基金整体")))</f>
        <v/>
      </c>
      <c r="J2232" t="str">
        <f t="shared" si="513"/>
        <v/>
      </c>
      <c r="K2232" t="str">
        <f t="shared" si="514"/>
        <v/>
      </c>
      <c r="L2232" t="str">
        <f t="shared" si="515"/>
        <v/>
      </c>
      <c r="M2232">
        <f>IF($A2232="",0,IF(COUNTIF($L$2:$L2232,$L2232)=1,1,0))</f>
        <v>0</v>
      </c>
      <c r="N2232" t="str">
        <f t="shared" si="516"/>
        <v/>
      </c>
      <c r="O2232" t="str">
        <f t="shared" si="517"/>
        <v/>
      </c>
      <c r="P2232">
        <f>IF($A2232="",0,IF(COUNTIF($O$2:$O2232,$O2232)=1,1,0))</f>
        <v>0</v>
      </c>
      <c r="Q2232" t="str">
        <f>IF(AND($P2232=1,$A2232=经营数据!$B$3,$J2232=经营数据!$BA$5),COUNTIFS($P$2:$P$3000,1,$A$2:$A$3000,$A2232,$J$2:$J$3000,$J2232,$N$2:$N$3000,"&lt;"&amp;$N2232)+1,"")</f>
        <v/>
      </c>
      <c r="R2232" t="str">
        <f t="shared" si="518"/>
        <v/>
      </c>
      <c r="S2232">
        <f>IF($A2232="",0,IF(COUNTIF($R$2:$R2232,$R2232)=1,1,0))</f>
        <v>0</v>
      </c>
      <c r="T2232" t="str">
        <f t="shared" si="519"/>
        <v/>
      </c>
      <c r="U2232" t="str">
        <f>IF($A2232="","",IF($A2232=经营数据!$B$3,COUNTIFS($S$2:$S$3000,1,$A$2:$A$3000,$A2232,$T$2:$T$3000,"&lt;"&amp;$T2232)+1,""))</f>
        <v/>
      </c>
      <c r="V2232" t="str">
        <f t="shared" si="520"/>
        <v/>
      </c>
      <c r="W2232" t="str">
        <f t="shared" si="521"/>
        <v/>
      </c>
      <c r="X2232" t="str">
        <f t="shared" si="522"/>
        <v/>
      </c>
      <c r="Y2232" t="str">
        <f t="shared" si="523"/>
        <v/>
      </c>
      <c r="Z2232">
        <f>IF($A2232="",0,IF(AND($M2232=1,$A2232=经营数据!$B$3,$J2232=经营数据!$BA$5,OR($I2232=经营数据!$BA$4,COUNTIF(经营数据!$AA$9:$AA$38,$I2232)&gt;0)),1,0))</f>
        <v>0</v>
      </c>
      <c r="AA2232" t="str">
        <f t="shared" si="524"/>
        <v/>
      </c>
      <c r="AB2232" t="str">
        <f t="shared" si="525"/>
        <v/>
      </c>
      <c r="AC2232">
        <f>IF($A2232="",0,IF(COUNTIF($A$2:$A2232,$A2232)=1,1,0))</f>
        <v>0</v>
      </c>
      <c r="AD2232">
        <f t="shared" si="526"/>
        <v>29</v>
      </c>
      <c r="AE2232" t="str">
        <f t="shared" si="527"/>
        <v/>
      </c>
    </row>
    <row r="2233" spans="1:31" x14ac:dyDescent="0.4">
      <c r="A2233" t="str">
        <f>IF(原始经营数据!$D2234="","",原始经营数据!$D2234)</f>
        <v/>
      </c>
      <c r="B2233" t="str">
        <f>IF(原始经营数据!$D2234="","",T(原始经营数据!$E2234))</f>
        <v/>
      </c>
      <c r="C2233" t="str">
        <f>IF(原始经营数据!$D2234="","",原始经营数据!$F2234)</f>
        <v/>
      </c>
      <c r="D2233" t="str">
        <f>IF(原始经营数据!$D2234="","",原始经营数据!$H2234)</f>
        <v/>
      </c>
      <c r="E2233" t="str">
        <f>IF(原始经营数据!$D2234="","",原始经营数据!$I2234)</f>
        <v/>
      </c>
      <c r="F2233" t="str">
        <f>IF(原始经营数据!$D2234="","",T(原始经营数据!$J2234))</f>
        <v/>
      </c>
      <c r="G2233" t="str">
        <f>IF(原始经营数据!$D2234="","",T(原始经营数据!$K2234))</f>
        <v/>
      </c>
      <c r="H2233" t="str">
        <f>IF(原始经营数据!$D2234="","",原始经营数据!$G2234)</f>
        <v/>
      </c>
      <c r="I2233" t="str">
        <f>IF($A2233="","",IF($B2233&lt;&gt;"",$B2233,IF(COUNTIFS(原始经营数据!$D$3:$D$3001,$A2233,原始经营数据!$E$3:$E$3001,"",原始经营数据!$F$3:$F$3001,$C2233,原始经营数据!$H$3:$H$3001,$D2233,原始经营数据!$K$3:$K$3001,$G2233)&gt;1,"基金整体·来源"&amp;原始经营数据!$A2234,"基金整体")))</f>
        <v/>
      </c>
      <c r="J2233" t="str">
        <f t="shared" si="513"/>
        <v/>
      </c>
      <c r="K2233" t="str">
        <f t="shared" si="514"/>
        <v/>
      </c>
      <c r="L2233" t="str">
        <f t="shared" si="515"/>
        <v/>
      </c>
      <c r="M2233">
        <f>IF($A2233="",0,IF(COUNTIF($L$2:$L2233,$L2233)=1,1,0))</f>
        <v>0</v>
      </c>
      <c r="N2233" t="str">
        <f t="shared" si="516"/>
        <v/>
      </c>
      <c r="O2233" t="str">
        <f t="shared" si="517"/>
        <v/>
      </c>
      <c r="P2233">
        <f>IF($A2233="",0,IF(COUNTIF($O$2:$O2233,$O2233)=1,1,0))</f>
        <v>0</v>
      </c>
      <c r="Q2233" t="str">
        <f>IF(AND($P2233=1,$A2233=经营数据!$B$3,$J2233=经营数据!$BA$5),COUNTIFS($P$2:$P$3000,1,$A$2:$A$3000,$A2233,$J$2:$J$3000,$J2233,$N$2:$N$3000,"&lt;"&amp;$N2233)+1,"")</f>
        <v/>
      </c>
      <c r="R2233" t="str">
        <f t="shared" si="518"/>
        <v/>
      </c>
      <c r="S2233">
        <f>IF($A2233="",0,IF(COUNTIF($R$2:$R2233,$R2233)=1,1,0))</f>
        <v>0</v>
      </c>
      <c r="T2233" t="str">
        <f t="shared" si="519"/>
        <v/>
      </c>
      <c r="U2233" t="str">
        <f>IF($A2233="","",IF($A2233=经营数据!$B$3,COUNTIFS($S$2:$S$3000,1,$A$2:$A$3000,$A2233,$T$2:$T$3000,"&lt;"&amp;$T2233)+1,""))</f>
        <v/>
      </c>
      <c r="V2233" t="str">
        <f t="shared" si="520"/>
        <v/>
      </c>
      <c r="W2233" t="str">
        <f t="shared" si="521"/>
        <v/>
      </c>
      <c r="X2233" t="str">
        <f t="shared" si="522"/>
        <v/>
      </c>
      <c r="Y2233" t="str">
        <f t="shared" si="523"/>
        <v/>
      </c>
      <c r="Z2233">
        <f>IF($A2233="",0,IF(AND($M2233=1,$A2233=经营数据!$B$3,$J2233=经营数据!$BA$5,OR($I2233=经营数据!$BA$4,COUNTIF(经营数据!$AA$9:$AA$38,$I2233)&gt;0)),1,0))</f>
        <v>0</v>
      </c>
      <c r="AA2233" t="str">
        <f t="shared" si="524"/>
        <v/>
      </c>
      <c r="AB2233" t="str">
        <f t="shared" si="525"/>
        <v/>
      </c>
      <c r="AC2233">
        <f>IF($A2233="",0,IF(COUNTIF($A$2:$A2233,$A2233)=1,1,0))</f>
        <v>0</v>
      </c>
      <c r="AD2233">
        <f t="shared" si="526"/>
        <v>29</v>
      </c>
      <c r="AE2233" t="str">
        <f t="shared" si="527"/>
        <v/>
      </c>
    </row>
    <row r="2234" spans="1:31" x14ac:dyDescent="0.4">
      <c r="A2234" t="str">
        <f>IF(原始经营数据!$D2235="","",原始经营数据!$D2235)</f>
        <v/>
      </c>
      <c r="B2234" t="str">
        <f>IF(原始经营数据!$D2235="","",T(原始经营数据!$E2235))</f>
        <v/>
      </c>
      <c r="C2234" t="str">
        <f>IF(原始经营数据!$D2235="","",原始经营数据!$F2235)</f>
        <v/>
      </c>
      <c r="D2234" t="str">
        <f>IF(原始经营数据!$D2235="","",原始经营数据!$H2235)</f>
        <v/>
      </c>
      <c r="E2234" t="str">
        <f>IF(原始经营数据!$D2235="","",原始经营数据!$I2235)</f>
        <v/>
      </c>
      <c r="F2234" t="str">
        <f>IF(原始经营数据!$D2235="","",T(原始经营数据!$J2235))</f>
        <v/>
      </c>
      <c r="G2234" t="str">
        <f>IF(原始经营数据!$D2235="","",T(原始经营数据!$K2235))</f>
        <v/>
      </c>
      <c r="H2234" t="str">
        <f>IF(原始经营数据!$D2235="","",原始经营数据!$G2235)</f>
        <v/>
      </c>
      <c r="I2234" t="str">
        <f>IF($A2234="","",IF($B2234&lt;&gt;"",$B2234,IF(COUNTIFS(原始经营数据!$D$3:$D$3001,$A2234,原始经营数据!$E$3:$E$3001,"",原始经营数据!$F$3:$F$3001,$C2234,原始经营数据!$H$3:$H$3001,$D2234,原始经营数据!$K$3:$K$3001,$G2234)&gt;1,"基金整体·来源"&amp;原始经营数据!$A2235,"基金整体")))</f>
        <v/>
      </c>
      <c r="J2234" t="str">
        <f t="shared" si="513"/>
        <v/>
      </c>
      <c r="K2234" t="str">
        <f t="shared" si="514"/>
        <v/>
      </c>
      <c r="L2234" t="str">
        <f t="shared" si="515"/>
        <v/>
      </c>
      <c r="M2234">
        <f>IF($A2234="",0,IF(COUNTIF($L$2:$L2234,$L2234)=1,1,0))</f>
        <v>0</v>
      </c>
      <c r="N2234" t="str">
        <f t="shared" si="516"/>
        <v/>
      </c>
      <c r="O2234" t="str">
        <f t="shared" si="517"/>
        <v/>
      </c>
      <c r="P2234">
        <f>IF($A2234="",0,IF(COUNTIF($O$2:$O2234,$O2234)=1,1,0))</f>
        <v>0</v>
      </c>
      <c r="Q2234" t="str">
        <f>IF(AND($P2234=1,$A2234=经营数据!$B$3,$J2234=经营数据!$BA$5),COUNTIFS($P$2:$P$3000,1,$A$2:$A$3000,$A2234,$J$2:$J$3000,$J2234,$N$2:$N$3000,"&lt;"&amp;$N2234)+1,"")</f>
        <v/>
      </c>
      <c r="R2234" t="str">
        <f t="shared" si="518"/>
        <v/>
      </c>
      <c r="S2234">
        <f>IF($A2234="",0,IF(COUNTIF($R$2:$R2234,$R2234)=1,1,0))</f>
        <v>0</v>
      </c>
      <c r="T2234" t="str">
        <f t="shared" si="519"/>
        <v/>
      </c>
      <c r="U2234" t="str">
        <f>IF($A2234="","",IF($A2234=经营数据!$B$3,COUNTIFS($S$2:$S$3000,1,$A$2:$A$3000,$A2234,$T$2:$T$3000,"&lt;"&amp;$T2234)+1,""))</f>
        <v/>
      </c>
      <c r="V2234" t="str">
        <f t="shared" si="520"/>
        <v/>
      </c>
      <c r="W2234" t="str">
        <f t="shared" si="521"/>
        <v/>
      </c>
      <c r="X2234" t="str">
        <f t="shared" si="522"/>
        <v/>
      </c>
      <c r="Y2234" t="str">
        <f t="shared" si="523"/>
        <v/>
      </c>
      <c r="Z2234">
        <f>IF($A2234="",0,IF(AND($M2234=1,$A2234=经营数据!$B$3,$J2234=经营数据!$BA$5,OR($I2234=经营数据!$BA$4,COUNTIF(经营数据!$AA$9:$AA$38,$I2234)&gt;0)),1,0))</f>
        <v>0</v>
      </c>
      <c r="AA2234" t="str">
        <f t="shared" si="524"/>
        <v/>
      </c>
      <c r="AB2234" t="str">
        <f t="shared" si="525"/>
        <v/>
      </c>
      <c r="AC2234">
        <f>IF($A2234="",0,IF(COUNTIF($A$2:$A2234,$A2234)=1,1,0))</f>
        <v>0</v>
      </c>
      <c r="AD2234">
        <f t="shared" si="526"/>
        <v>29</v>
      </c>
      <c r="AE2234" t="str">
        <f t="shared" si="527"/>
        <v/>
      </c>
    </row>
    <row r="2235" spans="1:31" x14ac:dyDescent="0.4">
      <c r="A2235" t="str">
        <f>IF(原始经营数据!$D2236="","",原始经营数据!$D2236)</f>
        <v/>
      </c>
      <c r="B2235" t="str">
        <f>IF(原始经营数据!$D2236="","",T(原始经营数据!$E2236))</f>
        <v/>
      </c>
      <c r="C2235" t="str">
        <f>IF(原始经营数据!$D2236="","",原始经营数据!$F2236)</f>
        <v/>
      </c>
      <c r="D2235" t="str">
        <f>IF(原始经营数据!$D2236="","",原始经营数据!$H2236)</f>
        <v/>
      </c>
      <c r="E2235" t="str">
        <f>IF(原始经营数据!$D2236="","",原始经营数据!$I2236)</f>
        <v/>
      </c>
      <c r="F2235" t="str">
        <f>IF(原始经营数据!$D2236="","",T(原始经营数据!$J2236))</f>
        <v/>
      </c>
      <c r="G2235" t="str">
        <f>IF(原始经营数据!$D2236="","",T(原始经营数据!$K2236))</f>
        <v/>
      </c>
      <c r="H2235" t="str">
        <f>IF(原始经营数据!$D2236="","",原始经营数据!$G2236)</f>
        <v/>
      </c>
      <c r="I2235" t="str">
        <f>IF($A2235="","",IF($B2235&lt;&gt;"",$B2235,IF(COUNTIFS(原始经营数据!$D$3:$D$3001,$A2235,原始经营数据!$E$3:$E$3001,"",原始经营数据!$F$3:$F$3001,$C2235,原始经营数据!$H$3:$H$3001,$D2235,原始经营数据!$K$3:$K$3001,$G2235)&gt;1,"基金整体·来源"&amp;原始经营数据!$A2236,"基金整体")))</f>
        <v/>
      </c>
      <c r="J2235" t="str">
        <f t="shared" si="513"/>
        <v/>
      </c>
      <c r="K2235" t="str">
        <f t="shared" si="514"/>
        <v/>
      </c>
      <c r="L2235" t="str">
        <f t="shared" si="515"/>
        <v/>
      </c>
      <c r="M2235">
        <f>IF($A2235="",0,IF(COUNTIF($L$2:$L2235,$L2235)=1,1,0))</f>
        <v>0</v>
      </c>
      <c r="N2235" t="str">
        <f t="shared" si="516"/>
        <v/>
      </c>
      <c r="O2235" t="str">
        <f t="shared" si="517"/>
        <v/>
      </c>
      <c r="P2235">
        <f>IF($A2235="",0,IF(COUNTIF($O$2:$O2235,$O2235)=1,1,0))</f>
        <v>0</v>
      </c>
      <c r="Q2235" t="str">
        <f>IF(AND($P2235=1,$A2235=经营数据!$B$3,$J2235=经营数据!$BA$5),COUNTIFS($P$2:$P$3000,1,$A$2:$A$3000,$A2235,$J$2:$J$3000,$J2235,$N$2:$N$3000,"&lt;"&amp;$N2235)+1,"")</f>
        <v/>
      </c>
      <c r="R2235" t="str">
        <f t="shared" si="518"/>
        <v/>
      </c>
      <c r="S2235">
        <f>IF($A2235="",0,IF(COUNTIF($R$2:$R2235,$R2235)=1,1,0))</f>
        <v>0</v>
      </c>
      <c r="T2235" t="str">
        <f t="shared" si="519"/>
        <v/>
      </c>
      <c r="U2235" t="str">
        <f>IF($A2235="","",IF($A2235=经营数据!$B$3,COUNTIFS($S$2:$S$3000,1,$A$2:$A$3000,$A2235,$T$2:$T$3000,"&lt;"&amp;$T2235)+1,""))</f>
        <v/>
      </c>
      <c r="V2235" t="str">
        <f t="shared" si="520"/>
        <v/>
      </c>
      <c r="W2235" t="str">
        <f t="shared" si="521"/>
        <v/>
      </c>
      <c r="X2235" t="str">
        <f t="shared" si="522"/>
        <v/>
      </c>
      <c r="Y2235" t="str">
        <f t="shared" si="523"/>
        <v/>
      </c>
      <c r="Z2235">
        <f>IF($A2235="",0,IF(AND($M2235=1,$A2235=经营数据!$B$3,$J2235=经营数据!$BA$5,OR($I2235=经营数据!$BA$4,COUNTIF(经营数据!$AA$9:$AA$38,$I2235)&gt;0)),1,0))</f>
        <v>0</v>
      </c>
      <c r="AA2235" t="str">
        <f t="shared" si="524"/>
        <v/>
      </c>
      <c r="AB2235" t="str">
        <f t="shared" si="525"/>
        <v/>
      </c>
      <c r="AC2235">
        <f>IF($A2235="",0,IF(COUNTIF($A$2:$A2235,$A2235)=1,1,0))</f>
        <v>0</v>
      </c>
      <c r="AD2235">
        <f t="shared" si="526"/>
        <v>29</v>
      </c>
      <c r="AE2235" t="str">
        <f t="shared" si="527"/>
        <v/>
      </c>
    </row>
    <row r="2236" spans="1:31" x14ac:dyDescent="0.4">
      <c r="A2236" t="str">
        <f>IF(原始经营数据!$D2237="","",原始经营数据!$D2237)</f>
        <v/>
      </c>
      <c r="B2236" t="str">
        <f>IF(原始经营数据!$D2237="","",T(原始经营数据!$E2237))</f>
        <v/>
      </c>
      <c r="C2236" t="str">
        <f>IF(原始经营数据!$D2237="","",原始经营数据!$F2237)</f>
        <v/>
      </c>
      <c r="D2236" t="str">
        <f>IF(原始经营数据!$D2237="","",原始经营数据!$H2237)</f>
        <v/>
      </c>
      <c r="E2236" t="str">
        <f>IF(原始经营数据!$D2237="","",原始经营数据!$I2237)</f>
        <v/>
      </c>
      <c r="F2236" t="str">
        <f>IF(原始经营数据!$D2237="","",T(原始经营数据!$J2237))</f>
        <v/>
      </c>
      <c r="G2236" t="str">
        <f>IF(原始经营数据!$D2237="","",T(原始经营数据!$K2237))</f>
        <v/>
      </c>
      <c r="H2236" t="str">
        <f>IF(原始经营数据!$D2237="","",原始经营数据!$G2237)</f>
        <v/>
      </c>
      <c r="I2236" t="str">
        <f>IF($A2236="","",IF($B2236&lt;&gt;"",$B2236,IF(COUNTIFS(原始经营数据!$D$3:$D$3001,$A2236,原始经营数据!$E$3:$E$3001,"",原始经营数据!$F$3:$F$3001,$C2236,原始经营数据!$H$3:$H$3001,$D2236,原始经营数据!$K$3:$K$3001,$G2236)&gt;1,"基金整体·来源"&amp;原始经营数据!$A2237,"基金整体")))</f>
        <v/>
      </c>
      <c r="J2236" t="str">
        <f t="shared" si="513"/>
        <v/>
      </c>
      <c r="K2236" t="str">
        <f t="shared" si="514"/>
        <v/>
      </c>
      <c r="L2236" t="str">
        <f t="shared" si="515"/>
        <v/>
      </c>
      <c r="M2236">
        <f>IF($A2236="",0,IF(COUNTIF($L$2:$L2236,$L2236)=1,1,0))</f>
        <v>0</v>
      </c>
      <c r="N2236" t="str">
        <f t="shared" si="516"/>
        <v/>
      </c>
      <c r="O2236" t="str">
        <f t="shared" si="517"/>
        <v/>
      </c>
      <c r="P2236">
        <f>IF($A2236="",0,IF(COUNTIF($O$2:$O2236,$O2236)=1,1,0))</f>
        <v>0</v>
      </c>
      <c r="Q2236" t="str">
        <f>IF(AND($P2236=1,$A2236=经营数据!$B$3,$J2236=经营数据!$BA$5),COUNTIFS($P$2:$P$3000,1,$A$2:$A$3000,$A2236,$J$2:$J$3000,$J2236,$N$2:$N$3000,"&lt;"&amp;$N2236)+1,"")</f>
        <v/>
      </c>
      <c r="R2236" t="str">
        <f t="shared" si="518"/>
        <v/>
      </c>
      <c r="S2236">
        <f>IF($A2236="",0,IF(COUNTIF($R$2:$R2236,$R2236)=1,1,0))</f>
        <v>0</v>
      </c>
      <c r="T2236" t="str">
        <f t="shared" si="519"/>
        <v/>
      </c>
      <c r="U2236" t="str">
        <f>IF($A2236="","",IF($A2236=经营数据!$B$3,COUNTIFS($S$2:$S$3000,1,$A$2:$A$3000,$A2236,$T$2:$T$3000,"&lt;"&amp;$T2236)+1,""))</f>
        <v/>
      </c>
      <c r="V2236" t="str">
        <f t="shared" si="520"/>
        <v/>
      </c>
      <c r="W2236" t="str">
        <f t="shared" si="521"/>
        <v/>
      </c>
      <c r="X2236" t="str">
        <f t="shared" si="522"/>
        <v/>
      </c>
      <c r="Y2236" t="str">
        <f t="shared" si="523"/>
        <v/>
      </c>
      <c r="Z2236">
        <f>IF($A2236="",0,IF(AND($M2236=1,$A2236=经营数据!$B$3,$J2236=经营数据!$BA$5,OR($I2236=经营数据!$BA$4,COUNTIF(经营数据!$AA$9:$AA$38,$I2236)&gt;0)),1,0))</f>
        <v>0</v>
      </c>
      <c r="AA2236" t="str">
        <f t="shared" si="524"/>
        <v/>
      </c>
      <c r="AB2236" t="str">
        <f t="shared" si="525"/>
        <v/>
      </c>
      <c r="AC2236">
        <f>IF($A2236="",0,IF(COUNTIF($A$2:$A2236,$A2236)=1,1,0))</f>
        <v>0</v>
      </c>
      <c r="AD2236">
        <f t="shared" si="526"/>
        <v>29</v>
      </c>
      <c r="AE2236" t="str">
        <f t="shared" si="527"/>
        <v/>
      </c>
    </row>
    <row r="2237" spans="1:31" x14ac:dyDescent="0.4">
      <c r="A2237" t="str">
        <f>IF(原始经营数据!$D2238="","",原始经营数据!$D2238)</f>
        <v/>
      </c>
      <c r="B2237" t="str">
        <f>IF(原始经营数据!$D2238="","",T(原始经营数据!$E2238))</f>
        <v/>
      </c>
      <c r="C2237" t="str">
        <f>IF(原始经营数据!$D2238="","",原始经营数据!$F2238)</f>
        <v/>
      </c>
      <c r="D2237" t="str">
        <f>IF(原始经营数据!$D2238="","",原始经营数据!$H2238)</f>
        <v/>
      </c>
      <c r="E2237" t="str">
        <f>IF(原始经营数据!$D2238="","",原始经营数据!$I2238)</f>
        <v/>
      </c>
      <c r="F2237" t="str">
        <f>IF(原始经营数据!$D2238="","",T(原始经营数据!$J2238))</f>
        <v/>
      </c>
      <c r="G2237" t="str">
        <f>IF(原始经营数据!$D2238="","",T(原始经营数据!$K2238))</f>
        <v/>
      </c>
      <c r="H2237" t="str">
        <f>IF(原始经营数据!$D2238="","",原始经营数据!$G2238)</f>
        <v/>
      </c>
      <c r="I2237" t="str">
        <f>IF($A2237="","",IF($B2237&lt;&gt;"",$B2237,IF(COUNTIFS(原始经营数据!$D$3:$D$3001,$A2237,原始经营数据!$E$3:$E$3001,"",原始经营数据!$F$3:$F$3001,$C2237,原始经营数据!$H$3:$H$3001,$D2237,原始经营数据!$K$3:$K$3001,$G2237)&gt;1,"基金整体·来源"&amp;原始经营数据!$A2238,"基金整体")))</f>
        <v/>
      </c>
      <c r="J2237" t="str">
        <f t="shared" si="513"/>
        <v/>
      </c>
      <c r="K2237" t="str">
        <f t="shared" si="514"/>
        <v/>
      </c>
      <c r="L2237" t="str">
        <f t="shared" si="515"/>
        <v/>
      </c>
      <c r="M2237">
        <f>IF($A2237="",0,IF(COUNTIF($L$2:$L2237,$L2237)=1,1,0))</f>
        <v>0</v>
      </c>
      <c r="N2237" t="str">
        <f t="shared" si="516"/>
        <v/>
      </c>
      <c r="O2237" t="str">
        <f t="shared" si="517"/>
        <v/>
      </c>
      <c r="P2237">
        <f>IF($A2237="",0,IF(COUNTIF($O$2:$O2237,$O2237)=1,1,0))</f>
        <v>0</v>
      </c>
      <c r="Q2237" t="str">
        <f>IF(AND($P2237=1,$A2237=经营数据!$B$3,$J2237=经营数据!$BA$5),COUNTIFS($P$2:$P$3000,1,$A$2:$A$3000,$A2237,$J$2:$J$3000,$J2237,$N$2:$N$3000,"&lt;"&amp;$N2237)+1,"")</f>
        <v/>
      </c>
      <c r="R2237" t="str">
        <f t="shared" si="518"/>
        <v/>
      </c>
      <c r="S2237">
        <f>IF($A2237="",0,IF(COUNTIF($R$2:$R2237,$R2237)=1,1,0))</f>
        <v>0</v>
      </c>
      <c r="T2237" t="str">
        <f t="shared" si="519"/>
        <v/>
      </c>
      <c r="U2237" t="str">
        <f>IF($A2237="","",IF($A2237=经营数据!$B$3,COUNTIFS($S$2:$S$3000,1,$A$2:$A$3000,$A2237,$T$2:$T$3000,"&lt;"&amp;$T2237)+1,""))</f>
        <v/>
      </c>
      <c r="V2237" t="str">
        <f t="shared" si="520"/>
        <v/>
      </c>
      <c r="W2237" t="str">
        <f t="shared" si="521"/>
        <v/>
      </c>
      <c r="X2237" t="str">
        <f t="shared" si="522"/>
        <v/>
      </c>
      <c r="Y2237" t="str">
        <f t="shared" si="523"/>
        <v/>
      </c>
      <c r="Z2237">
        <f>IF($A2237="",0,IF(AND($M2237=1,$A2237=经营数据!$B$3,$J2237=经营数据!$BA$5,OR($I2237=经营数据!$BA$4,COUNTIF(经营数据!$AA$9:$AA$38,$I2237)&gt;0)),1,0))</f>
        <v>0</v>
      </c>
      <c r="AA2237" t="str">
        <f t="shared" si="524"/>
        <v/>
      </c>
      <c r="AB2237" t="str">
        <f t="shared" si="525"/>
        <v/>
      </c>
      <c r="AC2237">
        <f>IF($A2237="",0,IF(COUNTIF($A$2:$A2237,$A2237)=1,1,0))</f>
        <v>0</v>
      </c>
      <c r="AD2237">
        <f t="shared" si="526"/>
        <v>29</v>
      </c>
      <c r="AE2237" t="str">
        <f t="shared" si="527"/>
        <v/>
      </c>
    </row>
    <row r="2238" spans="1:31" x14ac:dyDescent="0.4">
      <c r="A2238" t="str">
        <f>IF(原始经营数据!$D2239="","",原始经营数据!$D2239)</f>
        <v/>
      </c>
      <c r="B2238" t="str">
        <f>IF(原始经营数据!$D2239="","",T(原始经营数据!$E2239))</f>
        <v/>
      </c>
      <c r="C2238" t="str">
        <f>IF(原始经营数据!$D2239="","",原始经营数据!$F2239)</f>
        <v/>
      </c>
      <c r="D2238" t="str">
        <f>IF(原始经营数据!$D2239="","",原始经营数据!$H2239)</f>
        <v/>
      </c>
      <c r="E2238" t="str">
        <f>IF(原始经营数据!$D2239="","",原始经营数据!$I2239)</f>
        <v/>
      </c>
      <c r="F2238" t="str">
        <f>IF(原始经营数据!$D2239="","",T(原始经营数据!$J2239))</f>
        <v/>
      </c>
      <c r="G2238" t="str">
        <f>IF(原始经营数据!$D2239="","",T(原始经营数据!$K2239))</f>
        <v/>
      </c>
      <c r="H2238" t="str">
        <f>IF(原始经营数据!$D2239="","",原始经营数据!$G2239)</f>
        <v/>
      </c>
      <c r="I2238" t="str">
        <f>IF($A2238="","",IF($B2238&lt;&gt;"",$B2238,IF(COUNTIFS(原始经营数据!$D$3:$D$3001,$A2238,原始经营数据!$E$3:$E$3001,"",原始经营数据!$F$3:$F$3001,$C2238,原始经营数据!$H$3:$H$3001,$D2238,原始经营数据!$K$3:$K$3001,$G2238)&gt;1,"基金整体·来源"&amp;原始经营数据!$A2239,"基金整体")))</f>
        <v/>
      </c>
      <c r="J2238" t="str">
        <f t="shared" si="513"/>
        <v/>
      </c>
      <c r="K2238" t="str">
        <f t="shared" si="514"/>
        <v/>
      </c>
      <c r="L2238" t="str">
        <f t="shared" si="515"/>
        <v/>
      </c>
      <c r="M2238">
        <f>IF($A2238="",0,IF(COUNTIF($L$2:$L2238,$L2238)=1,1,0))</f>
        <v>0</v>
      </c>
      <c r="N2238" t="str">
        <f t="shared" si="516"/>
        <v/>
      </c>
      <c r="O2238" t="str">
        <f t="shared" si="517"/>
        <v/>
      </c>
      <c r="P2238">
        <f>IF($A2238="",0,IF(COUNTIF($O$2:$O2238,$O2238)=1,1,0))</f>
        <v>0</v>
      </c>
      <c r="Q2238" t="str">
        <f>IF(AND($P2238=1,$A2238=经营数据!$B$3,$J2238=经营数据!$BA$5),COUNTIFS($P$2:$P$3000,1,$A$2:$A$3000,$A2238,$J$2:$J$3000,$J2238,$N$2:$N$3000,"&lt;"&amp;$N2238)+1,"")</f>
        <v/>
      </c>
      <c r="R2238" t="str">
        <f t="shared" si="518"/>
        <v/>
      </c>
      <c r="S2238">
        <f>IF($A2238="",0,IF(COUNTIF($R$2:$R2238,$R2238)=1,1,0))</f>
        <v>0</v>
      </c>
      <c r="T2238" t="str">
        <f t="shared" si="519"/>
        <v/>
      </c>
      <c r="U2238" t="str">
        <f>IF($A2238="","",IF($A2238=经营数据!$B$3,COUNTIFS($S$2:$S$3000,1,$A$2:$A$3000,$A2238,$T$2:$T$3000,"&lt;"&amp;$T2238)+1,""))</f>
        <v/>
      </c>
      <c r="V2238" t="str">
        <f t="shared" si="520"/>
        <v/>
      </c>
      <c r="W2238" t="str">
        <f t="shared" si="521"/>
        <v/>
      </c>
      <c r="X2238" t="str">
        <f t="shared" si="522"/>
        <v/>
      </c>
      <c r="Y2238" t="str">
        <f t="shared" si="523"/>
        <v/>
      </c>
      <c r="Z2238">
        <f>IF($A2238="",0,IF(AND($M2238=1,$A2238=经营数据!$B$3,$J2238=经营数据!$BA$5,OR($I2238=经营数据!$BA$4,COUNTIF(经营数据!$AA$9:$AA$38,$I2238)&gt;0)),1,0))</f>
        <v>0</v>
      </c>
      <c r="AA2238" t="str">
        <f t="shared" si="524"/>
        <v/>
      </c>
      <c r="AB2238" t="str">
        <f t="shared" si="525"/>
        <v/>
      </c>
      <c r="AC2238">
        <f>IF($A2238="",0,IF(COUNTIF($A$2:$A2238,$A2238)=1,1,0))</f>
        <v>0</v>
      </c>
      <c r="AD2238">
        <f t="shared" si="526"/>
        <v>29</v>
      </c>
      <c r="AE2238" t="str">
        <f t="shared" si="527"/>
        <v/>
      </c>
    </row>
    <row r="2239" spans="1:31" x14ac:dyDescent="0.4">
      <c r="A2239" t="str">
        <f>IF(原始经营数据!$D2240="","",原始经营数据!$D2240)</f>
        <v/>
      </c>
      <c r="B2239" t="str">
        <f>IF(原始经营数据!$D2240="","",T(原始经营数据!$E2240))</f>
        <v/>
      </c>
      <c r="C2239" t="str">
        <f>IF(原始经营数据!$D2240="","",原始经营数据!$F2240)</f>
        <v/>
      </c>
      <c r="D2239" t="str">
        <f>IF(原始经营数据!$D2240="","",原始经营数据!$H2240)</f>
        <v/>
      </c>
      <c r="E2239" t="str">
        <f>IF(原始经营数据!$D2240="","",原始经营数据!$I2240)</f>
        <v/>
      </c>
      <c r="F2239" t="str">
        <f>IF(原始经营数据!$D2240="","",T(原始经营数据!$J2240))</f>
        <v/>
      </c>
      <c r="G2239" t="str">
        <f>IF(原始经营数据!$D2240="","",T(原始经营数据!$K2240))</f>
        <v/>
      </c>
      <c r="H2239" t="str">
        <f>IF(原始经营数据!$D2240="","",原始经营数据!$G2240)</f>
        <v/>
      </c>
      <c r="I2239" t="str">
        <f>IF($A2239="","",IF($B2239&lt;&gt;"",$B2239,IF(COUNTIFS(原始经营数据!$D$3:$D$3001,$A2239,原始经营数据!$E$3:$E$3001,"",原始经营数据!$F$3:$F$3001,$C2239,原始经营数据!$H$3:$H$3001,$D2239,原始经营数据!$K$3:$K$3001,$G2239)&gt;1,"基金整体·来源"&amp;原始经营数据!$A2240,"基金整体")))</f>
        <v/>
      </c>
      <c r="J2239" t="str">
        <f t="shared" si="513"/>
        <v/>
      </c>
      <c r="K2239" t="str">
        <f t="shared" si="514"/>
        <v/>
      </c>
      <c r="L2239" t="str">
        <f t="shared" si="515"/>
        <v/>
      </c>
      <c r="M2239">
        <f>IF($A2239="",0,IF(COUNTIF($L$2:$L2239,$L2239)=1,1,0))</f>
        <v>0</v>
      </c>
      <c r="N2239" t="str">
        <f t="shared" si="516"/>
        <v/>
      </c>
      <c r="O2239" t="str">
        <f t="shared" si="517"/>
        <v/>
      </c>
      <c r="P2239">
        <f>IF($A2239="",0,IF(COUNTIF($O$2:$O2239,$O2239)=1,1,0))</f>
        <v>0</v>
      </c>
      <c r="Q2239" t="str">
        <f>IF(AND($P2239=1,$A2239=经营数据!$B$3,$J2239=经营数据!$BA$5),COUNTIFS($P$2:$P$3000,1,$A$2:$A$3000,$A2239,$J$2:$J$3000,$J2239,$N$2:$N$3000,"&lt;"&amp;$N2239)+1,"")</f>
        <v/>
      </c>
      <c r="R2239" t="str">
        <f t="shared" si="518"/>
        <v/>
      </c>
      <c r="S2239">
        <f>IF($A2239="",0,IF(COUNTIF($R$2:$R2239,$R2239)=1,1,0))</f>
        <v>0</v>
      </c>
      <c r="T2239" t="str">
        <f t="shared" si="519"/>
        <v/>
      </c>
      <c r="U2239" t="str">
        <f>IF($A2239="","",IF($A2239=经营数据!$B$3,COUNTIFS($S$2:$S$3000,1,$A$2:$A$3000,$A2239,$T$2:$T$3000,"&lt;"&amp;$T2239)+1,""))</f>
        <v/>
      </c>
      <c r="V2239" t="str">
        <f t="shared" si="520"/>
        <v/>
      </c>
      <c r="W2239" t="str">
        <f t="shared" si="521"/>
        <v/>
      </c>
      <c r="X2239" t="str">
        <f t="shared" si="522"/>
        <v/>
      </c>
      <c r="Y2239" t="str">
        <f t="shared" si="523"/>
        <v/>
      </c>
      <c r="Z2239">
        <f>IF($A2239="",0,IF(AND($M2239=1,$A2239=经营数据!$B$3,$J2239=经营数据!$BA$5,OR($I2239=经营数据!$BA$4,COUNTIF(经营数据!$AA$9:$AA$38,$I2239)&gt;0)),1,0))</f>
        <v>0</v>
      </c>
      <c r="AA2239" t="str">
        <f t="shared" si="524"/>
        <v/>
      </c>
      <c r="AB2239" t="str">
        <f t="shared" si="525"/>
        <v/>
      </c>
      <c r="AC2239">
        <f>IF($A2239="",0,IF(COUNTIF($A$2:$A2239,$A2239)=1,1,0))</f>
        <v>0</v>
      </c>
      <c r="AD2239">
        <f t="shared" si="526"/>
        <v>29</v>
      </c>
      <c r="AE2239" t="str">
        <f t="shared" si="527"/>
        <v/>
      </c>
    </row>
    <row r="2240" spans="1:31" x14ac:dyDescent="0.4">
      <c r="A2240" t="str">
        <f>IF(原始经营数据!$D2241="","",原始经营数据!$D2241)</f>
        <v/>
      </c>
      <c r="B2240" t="str">
        <f>IF(原始经营数据!$D2241="","",T(原始经营数据!$E2241))</f>
        <v/>
      </c>
      <c r="C2240" t="str">
        <f>IF(原始经营数据!$D2241="","",原始经营数据!$F2241)</f>
        <v/>
      </c>
      <c r="D2240" t="str">
        <f>IF(原始经营数据!$D2241="","",原始经营数据!$H2241)</f>
        <v/>
      </c>
      <c r="E2240" t="str">
        <f>IF(原始经营数据!$D2241="","",原始经营数据!$I2241)</f>
        <v/>
      </c>
      <c r="F2240" t="str">
        <f>IF(原始经营数据!$D2241="","",T(原始经营数据!$J2241))</f>
        <v/>
      </c>
      <c r="G2240" t="str">
        <f>IF(原始经营数据!$D2241="","",T(原始经营数据!$K2241))</f>
        <v/>
      </c>
      <c r="H2240" t="str">
        <f>IF(原始经营数据!$D2241="","",原始经营数据!$G2241)</f>
        <v/>
      </c>
      <c r="I2240" t="str">
        <f>IF($A2240="","",IF($B2240&lt;&gt;"",$B2240,IF(COUNTIFS(原始经营数据!$D$3:$D$3001,$A2240,原始经营数据!$E$3:$E$3001,"",原始经营数据!$F$3:$F$3001,$C2240,原始经营数据!$H$3:$H$3001,$D2240,原始经营数据!$K$3:$K$3001,$G2240)&gt;1,"基金整体·来源"&amp;原始经营数据!$A2241,"基金整体")))</f>
        <v/>
      </c>
      <c r="J2240" t="str">
        <f t="shared" si="513"/>
        <v/>
      </c>
      <c r="K2240" t="str">
        <f t="shared" si="514"/>
        <v/>
      </c>
      <c r="L2240" t="str">
        <f t="shared" si="515"/>
        <v/>
      </c>
      <c r="M2240">
        <f>IF($A2240="",0,IF(COUNTIF($L$2:$L2240,$L2240)=1,1,0))</f>
        <v>0</v>
      </c>
      <c r="N2240" t="str">
        <f t="shared" si="516"/>
        <v/>
      </c>
      <c r="O2240" t="str">
        <f t="shared" si="517"/>
        <v/>
      </c>
      <c r="P2240">
        <f>IF($A2240="",0,IF(COUNTIF($O$2:$O2240,$O2240)=1,1,0))</f>
        <v>0</v>
      </c>
      <c r="Q2240" t="str">
        <f>IF(AND($P2240=1,$A2240=经营数据!$B$3,$J2240=经营数据!$BA$5),COUNTIFS($P$2:$P$3000,1,$A$2:$A$3000,$A2240,$J$2:$J$3000,$J2240,$N$2:$N$3000,"&lt;"&amp;$N2240)+1,"")</f>
        <v/>
      </c>
      <c r="R2240" t="str">
        <f t="shared" si="518"/>
        <v/>
      </c>
      <c r="S2240">
        <f>IF($A2240="",0,IF(COUNTIF($R$2:$R2240,$R2240)=1,1,0))</f>
        <v>0</v>
      </c>
      <c r="T2240" t="str">
        <f t="shared" si="519"/>
        <v/>
      </c>
      <c r="U2240" t="str">
        <f>IF($A2240="","",IF($A2240=经营数据!$B$3,COUNTIFS($S$2:$S$3000,1,$A$2:$A$3000,$A2240,$T$2:$T$3000,"&lt;"&amp;$T2240)+1,""))</f>
        <v/>
      </c>
      <c r="V2240" t="str">
        <f t="shared" si="520"/>
        <v/>
      </c>
      <c r="W2240" t="str">
        <f t="shared" si="521"/>
        <v/>
      </c>
      <c r="X2240" t="str">
        <f t="shared" si="522"/>
        <v/>
      </c>
      <c r="Y2240" t="str">
        <f t="shared" si="523"/>
        <v/>
      </c>
      <c r="Z2240">
        <f>IF($A2240="",0,IF(AND($M2240=1,$A2240=经营数据!$B$3,$J2240=经营数据!$BA$5,OR($I2240=经营数据!$BA$4,COUNTIF(经营数据!$AA$9:$AA$38,$I2240)&gt;0)),1,0))</f>
        <v>0</v>
      </c>
      <c r="AA2240" t="str">
        <f t="shared" si="524"/>
        <v/>
      </c>
      <c r="AB2240" t="str">
        <f t="shared" si="525"/>
        <v/>
      </c>
      <c r="AC2240">
        <f>IF($A2240="",0,IF(COUNTIF($A$2:$A2240,$A2240)=1,1,0))</f>
        <v>0</v>
      </c>
      <c r="AD2240">
        <f t="shared" si="526"/>
        <v>29</v>
      </c>
      <c r="AE2240" t="str">
        <f t="shared" si="527"/>
        <v/>
      </c>
    </row>
    <row r="2241" spans="1:31" x14ac:dyDescent="0.4">
      <c r="A2241" t="str">
        <f>IF(原始经营数据!$D2242="","",原始经营数据!$D2242)</f>
        <v/>
      </c>
      <c r="B2241" t="str">
        <f>IF(原始经营数据!$D2242="","",T(原始经营数据!$E2242))</f>
        <v/>
      </c>
      <c r="C2241" t="str">
        <f>IF(原始经营数据!$D2242="","",原始经营数据!$F2242)</f>
        <v/>
      </c>
      <c r="D2241" t="str">
        <f>IF(原始经营数据!$D2242="","",原始经营数据!$H2242)</f>
        <v/>
      </c>
      <c r="E2241" t="str">
        <f>IF(原始经营数据!$D2242="","",原始经营数据!$I2242)</f>
        <v/>
      </c>
      <c r="F2241" t="str">
        <f>IF(原始经营数据!$D2242="","",T(原始经营数据!$J2242))</f>
        <v/>
      </c>
      <c r="G2241" t="str">
        <f>IF(原始经营数据!$D2242="","",T(原始经营数据!$K2242))</f>
        <v/>
      </c>
      <c r="H2241" t="str">
        <f>IF(原始经营数据!$D2242="","",原始经营数据!$G2242)</f>
        <v/>
      </c>
      <c r="I2241" t="str">
        <f>IF($A2241="","",IF($B2241&lt;&gt;"",$B2241,IF(COUNTIFS(原始经营数据!$D$3:$D$3001,$A2241,原始经营数据!$E$3:$E$3001,"",原始经营数据!$F$3:$F$3001,$C2241,原始经营数据!$H$3:$H$3001,$D2241,原始经营数据!$K$3:$K$3001,$G2241)&gt;1,"基金整体·来源"&amp;原始经营数据!$A2242,"基金整体")))</f>
        <v/>
      </c>
      <c r="J2241" t="str">
        <f t="shared" si="513"/>
        <v/>
      </c>
      <c r="K2241" t="str">
        <f t="shared" si="514"/>
        <v/>
      </c>
      <c r="L2241" t="str">
        <f t="shared" si="515"/>
        <v/>
      </c>
      <c r="M2241">
        <f>IF($A2241="",0,IF(COUNTIF($L$2:$L2241,$L2241)=1,1,0))</f>
        <v>0</v>
      </c>
      <c r="N2241" t="str">
        <f t="shared" si="516"/>
        <v/>
      </c>
      <c r="O2241" t="str">
        <f t="shared" si="517"/>
        <v/>
      </c>
      <c r="P2241">
        <f>IF($A2241="",0,IF(COUNTIF($O$2:$O2241,$O2241)=1,1,0))</f>
        <v>0</v>
      </c>
      <c r="Q2241" t="str">
        <f>IF(AND($P2241=1,$A2241=经营数据!$B$3,$J2241=经营数据!$BA$5),COUNTIFS($P$2:$P$3000,1,$A$2:$A$3000,$A2241,$J$2:$J$3000,$J2241,$N$2:$N$3000,"&lt;"&amp;$N2241)+1,"")</f>
        <v/>
      </c>
      <c r="R2241" t="str">
        <f t="shared" si="518"/>
        <v/>
      </c>
      <c r="S2241">
        <f>IF($A2241="",0,IF(COUNTIF($R$2:$R2241,$R2241)=1,1,0))</f>
        <v>0</v>
      </c>
      <c r="T2241" t="str">
        <f t="shared" si="519"/>
        <v/>
      </c>
      <c r="U2241" t="str">
        <f>IF($A2241="","",IF($A2241=经营数据!$B$3,COUNTIFS($S$2:$S$3000,1,$A$2:$A$3000,$A2241,$T$2:$T$3000,"&lt;"&amp;$T2241)+1,""))</f>
        <v/>
      </c>
      <c r="V2241" t="str">
        <f t="shared" si="520"/>
        <v/>
      </c>
      <c r="W2241" t="str">
        <f t="shared" si="521"/>
        <v/>
      </c>
      <c r="X2241" t="str">
        <f t="shared" si="522"/>
        <v/>
      </c>
      <c r="Y2241" t="str">
        <f t="shared" si="523"/>
        <v/>
      </c>
      <c r="Z2241">
        <f>IF($A2241="",0,IF(AND($M2241=1,$A2241=经营数据!$B$3,$J2241=经营数据!$BA$5,OR($I2241=经营数据!$BA$4,COUNTIF(经营数据!$AA$9:$AA$38,$I2241)&gt;0)),1,0))</f>
        <v>0</v>
      </c>
      <c r="AA2241" t="str">
        <f t="shared" si="524"/>
        <v/>
      </c>
      <c r="AB2241" t="str">
        <f t="shared" si="525"/>
        <v/>
      </c>
      <c r="AC2241">
        <f>IF($A2241="",0,IF(COUNTIF($A$2:$A2241,$A2241)=1,1,0))</f>
        <v>0</v>
      </c>
      <c r="AD2241">
        <f t="shared" si="526"/>
        <v>29</v>
      </c>
      <c r="AE2241" t="str">
        <f t="shared" si="527"/>
        <v/>
      </c>
    </row>
    <row r="2242" spans="1:31" x14ac:dyDescent="0.4">
      <c r="A2242" t="str">
        <f>IF(原始经营数据!$D2243="","",原始经营数据!$D2243)</f>
        <v/>
      </c>
      <c r="B2242" t="str">
        <f>IF(原始经营数据!$D2243="","",T(原始经营数据!$E2243))</f>
        <v/>
      </c>
      <c r="C2242" t="str">
        <f>IF(原始经营数据!$D2243="","",原始经营数据!$F2243)</f>
        <v/>
      </c>
      <c r="D2242" t="str">
        <f>IF(原始经营数据!$D2243="","",原始经营数据!$H2243)</f>
        <v/>
      </c>
      <c r="E2242" t="str">
        <f>IF(原始经营数据!$D2243="","",原始经营数据!$I2243)</f>
        <v/>
      </c>
      <c r="F2242" t="str">
        <f>IF(原始经营数据!$D2243="","",T(原始经营数据!$J2243))</f>
        <v/>
      </c>
      <c r="G2242" t="str">
        <f>IF(原始经营数据!$D2243="","",T(原始经营数据!$K2243))</f>
        <v/>
      </c>
      <c r="H2242" t="str">
        <f>IF(原始经营数据!$D2243="","",原始经营数据!$G2243)</f>
        <v/>
      </c>
      <c r="I2242" t="str">
        <f>IF($A2242="","",IF($B2242&lt;&gt;"",$B2242,IF(COUNTIFS(原始经营数据!$D$3:$D$3001,$A2242,原始经营数据!$E$3:$E$3001,"",原始经营数据!$F$3:$F$3001,$C2242,原始经营数据!$H$3:$H$3001,$D2242,原始经营数据!$K$3:$K$3001,$G2242)&gt;1,"基金整体·来源"&amp;原始经营数据!$A2243,"基金整体")))</f>
        <v/>
      </c>
      <c r="J2242" t="str">
        <f t="shared" ref="J2242:J2305" si="528">IF($A2242="","",IF(LEN($C2242)=4,"年度",IF(AND(LEN($C2242)=6,ISNUMBER(SEARCH("Q",$C2242))),"季度","其他期间")))</f>
        <v/>
      </c>
      <c r="K2242" t="str">
        <f t="shared" ref="K2242:K2305" si="529">IF($A2242="","",$D2242&amp;IF($G2242="","","-"&amp;SUBSTITUTE($G2242,CHAR(10),""))&amp;IF($F2242="","","（"&amp;$F2242&amp;"）"))</f>
        <v/>
      </c>
      <c r="L2242" t="str">
        <f t="shared" ref="L2242:L2305" si="530">IF($A2242="","",$I2242&amp;"|"&amp;$K2242&amp;"|"&amp;$J2242)</f>
        <v/>
      </c>
      <c r="M2242">
        <f>IF($A2242="",0,IF(COUNTIF($L$2:$L2242,$L2242)=1,1,0))</f>
        <v>0</v>
      </c>
      <c r="N2242" t="str">
        <f t="shared" ref="N2242:N2305" si="531">IF($A2242="","",IF($J2242="年度",VALUE($C2242)*10,IF($J2242="季度",VALUE(LEFT($C2242,4))*10+VALUE(RIGHT($C2242,1)),VALUE(LEFT($C2242,4))*10+9)))</f>
        <v/>
      </c>
      <c r="O2242" t="str">
        <f t="shared" ref="O2242:O2305" si="532">IF($A2242="","",$A2242&amp;"|"&amp;$C2242&amp;"|"&amp;$J2242)</f>
        <v/>
      </c>
      <c r="P2242">
        <f>IF($A2242="",0,IF(COUNTIF($O$2:$O2242,$O2242)=1,1,0))</f>
        <v>0</v>
      </c>
      <c r="Q2242" t="str">
        <f>IF(AND($P2242=1,$A2242=经营数据!$B$3,$J2242=经营数据!$BA$5),COUNTIFS($P$2:$P$3000,1,$A$2:$A$3000,$A2242,$J$2:$J$3000,$J2242,$N$2:$N$3000,"&lt;"&amp;$N2242)+1,"")</f>
        <v/>
      </c>
      <c r="R2242" t="str">
        <f t="shared" ref="R2242:R2305" si="533">IF($A2242="","",$A2242&amp;"|"&amp;$I2242)</f>
        <v/>
      </c>
      <c r="S2242">
        <f>IF($A2242="",0,IF(COUNTIF($R$2:$R2242,$R2242)=1,1,0))</f>
        <v>0</v>
      </c>
      <c r="T2242" t="str">
        <f t="shared" ref="T2242:T2305" si="534">IF($A2242="","",MATCH($R2242,$R$2:$R$3000,0))</f>
        <v/>
      </c>
      <c r="U2242" t="str">
        <f>IF($A2242="","",IF($A2242=经营数据!$B$3,COUNTIFS($S$2:$S$3000,1,$A$2:$A$3000,$A2242,$T$2:$T$3000,"&lt;"&amp;$T2242)+1,""))</f>
        <v/>
      </c>
      <c r="V2242" t="str">
        <f t="shared" ref="V2242:V2305" si="535">IF($A2242="","",$I2242&amp;"|"&amp;$H2242)</f>
        <v/>
      </c>
      <c r="W2242" t="str">
        <f t="shared" ref="W2242:W2305" si="536">IF($A2242="","",MATCH($V2242,$V$2:$V$3000,0))</f>
        <v/>
      </c>
      <c r="X2242" t="str">
        <f t="shared" ref="X2242:X2305" si="537">IF($A2242="","",$I2242&amp;"|"&amp;$D2242)</f>
        <v/>
      </c>
      <c r="Y2242" t="str">
        <f t="shared" ref="Y2242:Y2305" si="538">IF($A2242="","",MATCH($X2242,$X$2:$X$3000,0))</f>
        <v/>
      </c>
      <c r="Z2242">
        <f>IF($A2242="",0,IF(AND($M2242=1,$A2242=经营数据!$B$3,$J2242=经营数据!$BA$5,OR($I2242=经营数据!$BA$4,COUNTIF(经营数据!$AA$9:$AA$38,$I2242)&gt;0)),1,0))</f>
        <v>0</v>
      </c>
      <c r="AA2242" t="str">
        <f t="shared" ref="AA2242:AA2305" si="539">IF($Z2242=1,$U2242*1000000000000+$W2242*100000000+$Y2242*10000+ROW(),"")</f>
        <v/>
      </c>
      <c r="AB2242" t="str">
        <f t="shared" ref="AB2242:AB2305" si="540">IF($Z2242=1,COUNTIFS($Z$2:$Z$3000,1,$AA$2:$AA$3000,"&lt;"&amp;$AA2242)+1,"")</f>
        <v/>
      </c>
      <c r="AC2242">
        <f>IF($A2242="",0,IF(COUNTIF($A$2:$A2242,$A2242)=1,1,0))</f>
        <v>0</v>
      </c>
      <c r="AD2242">
        <f t="shared" ref="AD2242:AD2305" si="541">IF($A2242="",N(AD2241),IF($AC2242=1,N(AD2241)+1,N(AD2241)))</f>
        <v>29</v>
      </c>
      <c r="AE2242" t="str">
        <f t="shared" ref="AE2242:AE2305" si="542">IF($A2242="","",$I2242&amp;"|"&amp;$K2242)</f>
        <v/>
      </c>
    </row>
    <row r="2243" spans="1:31" x14ac:dyDescent="0.4">
      <c r="A2243" t="str">
        <f>IF(原始经营数据!$D2244="","",原始经营数据!$D2244)</f>
        <v/>
      </c>
      <c r="B2243" t="str">
        <f>IF(原始经营数据!$D2244="","",T(原始经营数据!$E2244))</f>
        <v/>
      </c>
      <c r="C2243" t="str">
        <f>IF(原始经营数据!$D2244="","",原始经营数据!$F2244)</f>
        <v/>
      </c>
      <c r="D2243" t="str">
        <f>IF(原始经营数据!$D2244="","",原始经营数据!$H2244)</f>
        <v/>
      </c>
      <c r="E2243" t="str">
        <f>IF(原始经营数据!$D2244="","",原始经营数据!$I2244)</f>
        <v/>
      </c>
      <c r="F2243" t="str">
        <f>IF(原始经营数据!$D2244="","",T(原始经营数据!$J2244))</f>
        <v/>
      </c>
      <c r="G2243" t="str">
        <f>IF(原始经营数据!$D2244="","",T(原始经营数据!$K2244))</f>
        <v/>
      </c>
      <c r="H2243" t="str">
        <f>IF(原始经营数据!$D2244="","",原始经营数据!$G2244)</f>
        <v/>
      </c>
      <c r="I2243" t="str">
        <f>IF($A2243="","",IF($B2243&lt;&gt;"",$B2243,IF(COUNTIFS(原始经营数据!$D$3:$D$3001,$A2243,原始经营数据!$E$3:$E$3001,"",原始经营数据!$F$3:$F$3001,$C2243,原始经营数据!$H$3:$H$3001,$D2243,原始经营数据!$K$3:$K$3001,$G2243)&gt;1,"基金整体·来源"&amp;原始经营数据!$A2244,"基金整体")))</f>
        <v/>
      </c>
      <c r="J2243" t="str">
        <f t="shared" si="528"/>
        <v/>
      </c>
      <c r="K2243" t="str">
        <f t="shared" si="529"/>
        <v/>
      </c>
      <c r="L2243" t="str">
        <f t="shared" si="530"/>
        <v/>
      </c>
      <c r="M2243">
        <f>IF($A2243="",0,IF(COUNTIF($L$2:$L2243,$L2243)=1,1,0))</f>
        <v>0</v>
      </c>
      <c r="N2243" t="str">
        <f t="shared" si="531"/>
        <v/>
      </c>
      <c r="O2243" t="str">
        <f t="shared" si="532"/>
        <v/>
      </c>
      <c r="P2243">
        <f>IF($A2243="",0,IF(COUNTIF($O$2:$O2243,$O2243)=1,1,0))</f>
        <v>0</v>
      </c>
      <c r="Q2243" t="str">
        <f>IF(AND($P2243=1,$A2243=经营数据!$B$3,$J2243=经营数据!$BA$5),COUNTIFS($P$2:$P$3000,1,$A$2:$A$3000,$A2243,$J$2:$J$3000,$J2243,$N$2:$N$3000,"&lt;"&amp;$N2243)+1,"")</f>
        <v/>
      </c>
      <c r="R2243" t="str">
        <f t="shared" si="533"/>
        <v/>
      </c>
      <c r="S2243">
        <f>IF($A2243="",0,IF(COUNTIF($R$2:$R2243,$R2243)=1,1,0))</f>
        <v>0</v>
      </c>
      <c r="T2243" t="str">
        <f t="shared" si="534"/>
        <v/>
      </c>
      <c r="U2243" t="str">
        <f>IF($A2243="","",IF($A2243=经营数据!$B$3,COUNTIFS($S$2:$S$3000,1,$A$2:$A$3000,$A2243,$T$2:$T$3000,"&lt;"&amp;$T2243)+1,""))</f>
        <v/>
      </c>
      <c r="V2243" t="str">
        <f t="shared" si="535"/>
        <v/>
      </c>
      <c r="W2243" t="str">
        <f t="shared" si="536"/>
        <v/>
      </c>
      <c r="X2243" t="str">
        <f t="shared" si="537"/>
        <v/>
      </c>
      <c r="Y2243" t="str">
        <f t="shared" si="538"/>
        <v/>
      </c>
      <c r="Z2243">
        <f>IF($A2243="",0,IF(AND($M2243=1,$A2243=经营数据!$B$3,$J2243=经营数据!$BA$5,OR($I2243=经营数据!$BA$4,COUNTIF(经营数据!$AA$9:$AA$38,$I2243)&gt;0)),1,0))</f>
        <v>0</v>
      </c>
      <c r="AA2243" t="str">
        <f t="shared" si="539"/>
        <v/>
      </c>
      <c r="AB2243" t="str">
        <f t="shared" si="540"/>
        <v/>
      </c>
      <c r="AC2243">
        <f>IF($A2243="",0,IF(COUNTIF($A$2:$A2243,$A2243)=1,1,0))</f>
        <v>0</v>
      </c>
      <c r="AD2243">
        <f t="shared" si="541"/>
        <v>29</v>
      </c>
      <c r="AE2243" t="str">
        <f t="shared" si="542"/>
        <v/>
      </c>
    </row>
    <row r="2244" spans="1:31" x14ac:dyDescent="0.4">
      <c r="A2244" t="str">
        <f>IF(原始经营数据!$D2245="","",原始经营数据!$D2245)</f>
        <v/>
      </c>
      <c r="B2244" t="str">
        <f>IF(原始经营数据!$D2245="","",T(原始经营数据!$E2245))</f>
        <v/>
      </c>
      <c r="C2244" t="str">
        <f>IF(原始经营数据!$D2245="","",原始经营数据!$F2245)</f>
        <v/>
      </c>
      <c r="D2244" t="str">
        <f>IF(原始经营数据!$D2245="","",原始经营数据!$H2245)</f>
        <v/>
      </c>
      <c r="E2244" t="str">
        <f>IF(原始经营数据!$D2245="","",原始经营数据!$I2245)</f>
        <v/>
      </c>
      <c r="F2244" t="str">
        <f>IF(原始经营数据!$D2245="","",T(原始经营数据!$J2245))</f>
        <v/>
      </c>
      <c r="G2244" t="str">
        <f>IF(原始经营数据!$D2245="","",T(原始经营数据!$K2245))</f>
        <v/>
      </c>
      <c r="H2244" t="str">
        <f>IF(原始经营数据!$D2245="","",原始经营数据!$G2245)</f>
        <v/>
      </c>
      <c r="I2244" t="str">
        <f>IF($A2244="","",IF($B2244&lt;&gt;"",$B2244,IF(COUNTIFS(原始经营数据!$D$3:$D$3001,$A2244,原始经营数据!$E$3:$E$3001,"",原始经营数据!$F$3:$F$3001,$C2244,原始经营数据!$H$3:$H$3001,$D2244,原始经营数据!$K$3:$K$3001,$G2244)&gt;1,"基金整体·来源"&amp;原始经营数据!$A2245,"基金整体")))</f>
        <v/>
      </c>
      <c r="J2244" t="str">
        <f t="shared" si="528"/>
        <v/>
      </c>
      <c r="K2244" t="str">
        <f t="shared" si="529"/>
        <v/>
      </c>
      <c r="L2244" t="str">
        <f t="shared" si="530"/>
        <v/>
      </c>
      <c r="M2244">
        <f>IF($A2244="",0,IF(COUNTIF($L$2:$L2244,$L2244)=1,1,0))</f>
        <v>0</v>
      </c>
      <c r="N2244" t="str">
        <f t="shared" si="531"/>
        <v/>
      </c>
      <c r="O2244" t="str">
        <f t="shared" si="532"/>
        <v/>
      </c>
      <c r="P2244">
        <f>IF($A2244="",0,IF(COUNTIF($O$2:$O2244,$O2244)=1,1,0))</f>
        <v>0</v>
      </c>
      <c r="Q2244" t="str">
        <f>IF(AND($P2244=1,$A2244=经营数据!$B$3,$J2244=经营数据!$BA$5),COUNTIFS($P$2:$P$3000,1,$A$2:$A$3000,$A2244,$J$2:$J$3000,$J2244,$N$2:$N$3000,"&lt;"&amp;$N2244)+1,"")</f>
        <v/>
      </c>
      <c r="R2244" t="str">
        <f t="shared" si="533"/>
        <v/>
      </c>
      <c r="S2244">
        <f>IF($A2244="",0,IF(COUNTIF($R$2:$R2244,$R2244)=1,1,0))</f>
        <v>0</v>
      </c>
      <c r="T2244" t="str">
        <f t="shared" si="534"/>
        <v/>
      </c>
      <c r="U2244" t="str">
        <f>IF($A2244="","",IF($A2244=经营数据!$B$3,COUNTIFS($S$2:$S$3000,1,$A$2:$A$3000,$A2244,$T$2:$T$3000,"&lt;"&amp;$T2244)+1,""))</f>
        <v/>
      </c>
      <c r="V2244" t="str">
        <f t="shared" si="535"/>
        <v/>
      </c>
      <c r="W2244" t="str">
        <f t="shared" si="536"/>
        <v/>
      </c>
      <c r="X2244" t="str">
        <f t="shared" si="537"/>
        <v/>
      </c>
      <c r="Y2244" t="str">
        <f t="shared" si="538"/>
        <v/>
      </c>
      <c r="Z2244">
        <f>IF($A2244="",0,IF(AND($M2244=1,$A2244=经营数据!$B$3,$J2244=经营数据!$BA$5,OR($I2244=经营数据!$BA$4,COUNTIF(经营数据!$AA$9:$AA$38,$I2244)&gt;0)),1,0))</f>
        <v>0</v>
      </c>
      <c r="AA2244" t="str">
        <f t="shared" si="539"/>
        <v/>
      </c>
      <c r="AB2244" t="str">
        <f t="shared" si="540"/>
        <v/>
      </c>
      <c r="AC2244">
        <f>IF($A2244="",0,IF(COUNTIF($A$2:$A2244,$A2244)=1,1,0))</f>
        <v>0</v>
      </c>
      <c r="AD2244">
        <f t="shared" si="541"/>
        <v>29</v>
      </c>
      <c r="AE2244" t="str">
        <f t="shared" si="542"/>
        <v/>
      </c>
    </row>
    <row r="2245" spans="1:31" x14ac:dyDescent="0.4">
      <c r="A2245" t="str">
        <f>IF(原始经营数据!$D2246="","",原始经营数据!$D2246)</f>
        <v/>
      </c>
      <c r="B2245" t="str">
        <f>IF(原始经营数据!$D2246="","",T(原始经营数据!$E2246))</f>
        <v/>
      </c>
      <c r="C2245" t="str">
        <f>IF(原始经营数据!$D2246="","",原始经营数据!$F2246)</f>
        <v/>
      </c>
      <c r="D2245" t="str">
        <f>IF(原始经营数据!$D2246="","",原始经营数据!$H2246)</f>
        <v/>
      </c>
      <c r="E2245" t="str">
        <f>IF(原始经营数据!$D2246="","",原始经营数据!$I2246)</f>
        <v/>
      </c>
      <c r="F2245" t="str">
        <f>IF(原始经营数据!$D2246="","",T(原始经营数据!$J2246))</f>
        <v/>
      </c>
      <c r="G2245" t="str">
        <f>IF(原始经营数据!$D2246="","",T(原始经营数据!$K2246))</f>
        <v/>
      </c>
      <c r="H2245" t="str">
        <f>IF(原始经营数据!$D2246="","",原始经营数据!$G2246)</f>
        <v/>
      </c>
      <c r="I2245" t="str">
        <f>IF($A2245="","",IF($B2245&lt;&gt;"",$B2245,IF(COUNTIFS(原始经营数据!$D$3:$D$3001,$A2245,原始经营数据!$E$3:$E$3001,"",原始经营数据!$F$3:$F$3001,$C2245,原始经营数据!$H$3:$H$3001,$D2245,原始经营数据!$K$3:$K$3001,$G2245)&gt;1,"基金整体·来源"&amp;原始经营数据!$A2246,"基金整体")))</f>
        <v/>
      </c>
      <c r="J2245" t="str">
        <f t="shared" si="528"/>
        <v/>
      </c>
      <c r="K2245" t="str">
        <f t="shared" si="529"/>
        <v/>
      </c>
      <c r="L2245" t="str">
        <f t="shared" si="530"/>
        <v/>
      </c>
      <c r="M2245">
        <f>IF($A2245="",0,IF(COUNTIF($L$2:$L2245,$L2245)=1,1,0))</f>
        <v>0</v>
      </c>
      <c r="N2245" t="str">
        <f t="shared" si="531"/>
        <v/>
      </c>
      <c r="O2245" t="str">
        <f t="shared" si="532"/>
        <v/>
      </c>
      <c r="P2245">
        <f>IF($A2245="",0,IF(COUNTIF($O$2:$O2245,$O2245)=1,1,0))</f>
        <v>0</v>
      </c>
      <c r="Q2245" t="str">
        <f>IF(AND($P2245=1,$A2245=经营数据!$B$3,$J2245=经营数据!$BA$5),COUNTIFS($P$2:$P$3000,1,$A$2:$A$3000,$A2245,$J$2:$J$3000,$J2245,$N$2:$N$3000,"&lt;"&amp;$N2245)+1,"")</f>
        <v/>
      </c>
      <c r="R2245" t="str">
        <f t="shared" si="533"/>
        <v/>
      </c>
      <c r="S2245">
        <f>IF($A2245="",0,IF(COUNTIF($R$2:$R2245,$R2245)=1,1,0))</f>
        <v>0</v>
      </c>
      <c r="T2245" t="str">
        <f t="shared" si="534"/>
        <v/>
      </c>
      <c r="U2245" t="str">
        <f>IF($A2245="","",IF($A2245=经营数据!$B$3,COUNTIFS($S$2:$S$3000,1,$A$2:$A$3000,$A2245,$T$2:$T$3000,"&lt;"&amp;$T2245)+1,""))</f>
        <v/>
      </c>
      <c r="V2245" t="str">
        <f t="shared" si="535"/>
        <v/>
      </c>
      <c r="W2245" t="str">
        <f t="shared" si="536"/>
        <v/>
      </c>
      <c r="X2245" t="str">
        <f t="shared" si="537"/>
        <v/>
      </c>
      <c r="Y2245" t="str">
        <f t="shared" si="538"/>
        <v/>
      </c>
      <c r="Z2245">
        <f>IF($A2245="",0,IF(AND($M2245=1,$A2245=经营数据!$B$3,$J2245=经营数据!$BA$5,OR($I2245=经营数据!$BA$4,COUNTIF(经营数据!$AA$9:$AA$38,$I2245)&gt;0)),1,0))</f>
        <v>0</v>
      </c>
      <c r="AA2245" t="str">
        <f t="shared" si="539"/>
        <v/>
      </c>
      <c r="AB2245" t="str">
        <f t="shared" si="540"/>
        <v/>
      </c>
      <c r="AC2245">
        <f>IF($A2245="",0,IF(COUNTIF($A$2:$A2245,$A2245)=1,1,0))</f>
        <v>0</v>
      </c>
      <c r="AD2245">
        <f t="shared" si="541"/>
        <v>29</v>
      </c>
      <c r="AE2245" t="str">
        <f t="shared" si="542"/>
        <v/>
      </c>
    </row>
    <row r="2246" spans="1:31" x14ac:dyDescent="0.4">
      <c r="A2246" t="str">
        <f>IF(原始经营数据!$D2247="","",原始经营数据!$D2247)</f>
        <v/>
      </c>
      <c r="B2246" t="str">
        <f>IF(原始经营数据!$D2247="","",T(原始经营数据!$E2247))</f>
        <v/>
      </c>
      <c r="C2246" t="str">
        <f>IF(原始经营数据!$D2247="","",原始经营数据!$F2247)</f>
        <v/>
      </c>
      <c r="D2246" t="str">
        <f>IF(原始经营数据!$D2247="","",原始经营数据!$H2247)</f>
        <v/>
      </c>
      <c r="E2246" t="str">
        <f>IF(原始经营数据!$D2247="","",原始经营数据!$I2247)</f>
        <v/>
      </c>
      <c r="F2246" t="str">
        <f>IF(原始经营数据!$D2247="","",T(原始经营数据!$J2247))</f>
        <v/>
      </c>
      <c r="G2246" t="str">
        <f>IF(原始经营数据!$D2247="","",T(原始经营数据!$K2247))</f>
        <v/>
      </c>
      <c r="H2246" t="str">
        <f>IF(原始经营数据!$D2247="","",原始经营数据!$G2247)</f>
        <v/>
      </c>
      <c r="I2246" t="str">
        <f>IF($A2246="","",IF($B2246&lt;&gt;"",$B2246,IF(COUNTIFS(原始经营数据!$D$3:$D$3001,$A2246,原始经营数据!$E$3:$E$3001,"",原始经营数据!$F$3:$F$3001,$C2246,原始经营数据!$H$3:$H$3001,$D2246,原始经营数据!$K$3:$K$3001,$G2246)&gt;1,"基金整体·来源"&amp;原始经营数据!$A2247,"基金整体")))</f>
        <v/>
      </c>
      <c r="J2246" t="str">
        <f t="shared" si="528"/>
        <v/>
      </c>
      <c r="K2246" t="str">
        <f t="shared" si="529"/>
        <v/>
      </c>
      <c r="L2246" t="str">
        <f t="shared" si="530"/>
        <v/>
      </c>
      <c r="M2246">
        <f>IF($A2246="",0,IF(COUNTIF($L$2:$L2246,$L2246)=1,1,0))</f>
        <v>0</v>
      </c>
      <c r="N2246" t="str">
        <f t="shared" si="531"/>
        <v/>
      </c>
      <c r="O2246" t="str">
        <f t="shared" si="532"/>
        <v/>
      </c>
      <c r="P2246">
        <f>IF($A2246="",0,IF(COUNTIF($O$2:$O2246,$O2246)=1,1,0))</f>
        <v>0</v>
      </c>
      <c r="Q2246" t="str">
        <f>IF(AND($P2246=1,$A2246=经营数据!$B$3,$J2246=经营数据!$BA$5),COUNTIFS($P$2:$P$3000,1,$A$2:$A$3000,$A2246,$J$2:$J$3000,$J2246,$N$2:$N$3000,"&lt;"&amp;$N2246)+1,"")</f>
        <v/>
      </c>
      <c r="R2246" t="str">
        <f t="shared" si="533"/>
        <v/>
      </c>
      <c r="S2246">
        <f>IF($A2246="",0,IF(COUNTIF($R$2:$R2246,$R2246)=1,1,0))</f>
        <v>0</v>
      </c>
      <c r="T2246" t="str">
        <f t="shared" si="534"/>
        <v/>
      </c>
      <c r="U2246" t="str">
        <f>IF($A2246="","",IF($A2246=经营数据!$B$3,COUNTIFS($S$2:$S$3000,1,$A$2:$A$3000,$A2246,$T$2:$T$3000,"&lt;"&amp;$T2246)+1,""))</f>
        <v/>
      </c>
      <c r="V2246" t="str">
        <f t="shared" si="535"/>
        <v/>
      </c>
      <c r="W2246" t="str">
        <f t="shared" si="536"/>
        <v/>
      </c>
      <c r="X2246" t="str">
        <f t="shared" si="537"/>
        <v/>
      </c>
      <c r="Y2246" t="str">
        <f t="shared" si="538"/>
        <v/>
      </c>
      <c r="Z2246">
        <f>IF($A2246="",0,IF(AND($M2246=1,$A2246=经营数据!$B$3,$J2246=经营数据!$BA$5,OR($I2246=经营数据!$BA$4,COUNTIF(经营数据!$AA$9:$AA$38,$I2246)&gt;0)),1,0))</f>
        <v>0</v>
      </c>
      <c r="AA2246" t="str">
        <f t="shared" si="539"/>
        <v/>
      </c>
      <c r="AB2246" t="str">
        <f t="shared" si="540"/>
        <v/>
      </c>
      <c r="AC2246">
        <f>IF($A2246="",0,IF(COUNTIF($A$2:$A2246,$A2246)=1,1,0))</f>
        <v>0</v>
      </c>
      <c r="AD2246">
        <f t="shared" si="541"/>
        <v>29</v>
      </c>
      <c r="AE2246" t="str">
        <f t="shared" si="542"/>
        <v/>
      </c>
    </row>
    <row r="2247" spans="1:31" x14ac:dyDescent="0.4">
      <c r="A2247" t="str">
        <f>IF(原始经营数据!$D2248="","",原始经营数据!$D2248)</f>
        <v/>
      </c>
      <c r="B2247" t="str">
        <f>IF(原始经营数据!$D2248="","",T(原始经营数据!$E2248))</f>
        <v/>
      </c>
      <c r="C2247" t="str">
        <f>IF(原始经营数据!$D2248="","",原始经营数据!$F2248)</f>
        <v/>
      </c>
      <c r="D2247" t="str">
        <f>IF(原始经营数据!$D2248="","",原始经营数据!$H2248)</f>
        <v/>
      </c>
      <c r="E2247" t="str">
        <f>IF(原始经营数据!$D2248="","",原始经营数据!$I2248)</f>
        <v/>
      </c>
      <c r="F2247" t="str">
        <f>IF(原始经营数据!$D2248="","",T(原始经营数据!$J2248))</f>
        <v/>
      </c>
      <c r="G2247" t="str">
        <f>IF(原始经营数据!$D2248="","",T(原始经营数据!$K2248))</f>
        <v/>
      </c>
      <c r="H2247" t="str">
        <f>IF(原始经营数据!$D2248="","",原始经营数据!$G2248)</f>
        <v/>
      </c>
      <c r="I2247" t="str">
        <f>IF($A2247="","",IF($B2247&lt;&gt;"",$B2247,IF(COUNTIFS(原始经营数据!$D$3:$D$3001,$A2247,原始经营数据!$E$3:$E$3001,"",原始经营数据!$F$3:$F$3001,$C2247,原始经营数据!$H$3:$H$3001,$D2247,原始经营数据!$K$3:$K$3001,$G2247)&gt;1,"基金整体·来源"&amp;原始经营数据!$A2248,"基金整体")))</f>
        <v/>
      </c>
      <c r="J2247" t="str">
        <f t="shared" si="528"/>
        <v/>
      </c>
      <c r="K2247" t="str">
        <f t="shared" si="529"/>
        <v/>
      </c>
      <c r="L2247" t="str">
        <f t="shared" si="530"/>
        <v/>
      </c>
      <c r="M2247">
        <f>IF($A2247="",0,IF(COUNTIF($L$2:$L2247,$L2247)=1,1,0))</f>
        <v>0</v>
      </c>
      <c r="N2247" t="str">
        <f t="shared" si="531"/>
        <v/>
      </c>
      <c r="O2247" t="str">
        <f t="shared" si="532"/>
        <v/>
      </c>
      <c r="P2247">
        <f>IF($A2247="",0,IF(COUNTIF($O$2:$O2247,$O2247)=1,1,0))</f>
        <v>0</v>
      </c>
      <c r="Q2247" t="str">
        <f>IF(AND($P2247=1,$A2247=经营数据!$B$3,$J2247=经营数据!$BA$5),COUNTIFS($P$2:$P$3000,1,$A$2:$A$3000,$A2247,$J$2:$J$3000,$J2247,$N$2:$N$3000,"&lt;"&amp;$N2247)+1,"")</f>
        <v/>
      </c>
      <c r="R2247" t="str">
        <f t="shared" si="533"/>
        <v/>
      </c>
      <c r="S2247">
        <f>IF($A2247="",0,IF(COUNTIF($R$2:$R2247,$R2247)=1,1,0))</f>
        <v>0</v>
      </c>
      <c r="T2247" t="str">
        <f t="shared" si="534"/>
        <v/>
      </c>
      <c r="U2247" t="str">
        <f>IF($A2247="","",IF($A2247=经营数据!$B$3,COUNTIFS($S$2:$S$3000,1,$A$2:$A$3000,$A2247,$T$2:$T$3000,"&lt;"&amp;$T2247)+1,""))</f>
        <v/>
      </c>
      <c r="V2247" t="str">
        <f t="shared" si="535"/>
        <v/>
      </c>
      <c r="W2247" t="str">
        <f t="shared" si="536"/>
        <v/>
      </c>
      <c r="X2247" t="str">
        <f t="shared" si="537"/>
        <v/>
      </c>
      <c r="Y2247" t="str">
        <f t="shared" si="538"/>
        <v/>
      </c>
      <c r="Z2247">
        <f>IF($A2247="",0,IF(AND($M2247=1,$A2247=经营数据!$B$3,$J2247=经营数据!$BA$5,OR($I2247=经营数据!$BA$4,COUNTIF(经营数据!$AA$9:$AA$38,$I2247)&gt;0)),1,0))</f>
        <v>0</v>
      </c>
      <c r="AA2247" t="str">
        <f t="shared" si="539"/>
        <v/>
      </c>
      <c r="AB2247" t="str">
        <f t="shared" si="540"/>
        <v/>
      </c>
      <c r="AC2247">
        <f>IF($A2247="",0,IF(COUNTIF($A$2:$A2247,$A2247)=1,1,0))</f>
        <v>0</v>
      </c>
      <c r="AD2247">
        <f t="shared" si="541"/>
        <v>29</v>
      </c>
      <c r="AE2247" t="str">
        <f t="shared" si="542"/>
        <v/>
      </c>
    </row>
    <row r="2248" spans="1:31" x14ac:dyDescent="0.4">
      <c r="A2248" t="str">
        <f>IF(原始经营数据!$D2249="","",原始经营数据!$D2249)</f>
        <v/>
      </c>
      <c r="B2248" t="str">
        <f>IF(原始经营数据!$D2249="","",T(原始经营数据!$E2249))</f>
        <v/>
      </c>
      <c r="C2248" t="str">
        <f>IF(原始经营数据!$D2249="","",原始经营数据!$F2249)</f>
        <v/>
      </c>
      <c r="D2248" t="str">
        <f>IF(原始经营数据!$D2249="","",原始经营数据!$H2249)</f>
        <v/>
      </c>
      <c r="E2248" t="str">
        <f>IF(原始经营数据!$D2249="","",原始经营数据!$I2249)</f>
        <v/>
      </c>
      <c r="F2248" t="str">
        <f>IF(原始经营数据!$D2249="","",T(原始经营数据!$J2249))</f>
        <v/>
      </c>
      <c r="G2248" t="str">
        <f>IF(原始经营数据!$D2249="","",T(原始经营数据!$K2249))</f>
        <v/>
      </c>
      <c r="H2248" t="str">
        <f>IF(原始经营数据!$D2249="","",原始经营数据!$G2249)</f>
        <v/>
      </c>
      <c r="I2248" t="str">
        <f>IF($A2248="","",IF($B2248&lt;&gt;"",$B2248,IF(COUNTIFS(原始经营数据!$D$3:$D$3001,$A2248,原始经营数据!$E$3:$E$3001,"",原始经营数据!$F$3:$F$3001,$C2248,原始经营数据!$H$3:$H$3001,$D2248,原始经营数据!$K$3:$K$3001,$G2248)&gt;1,"基金整体·来源"&amp;原始经营数据!$A2249,"基金整体")))</f>
        <v/>
      </c>
      <c r="J2248" t="str">
        <f t="shared" si="528"/>
        <v/>
      </c>
      <c r="K2248" t="str">
        <f t="shared" si="529"/>
        <v/>
      </c>
      <c r="L2248" t="str">
        <f t="shared" si="530"/>
        <v/>
      </c>
      <c r="M2248">
        <f>IF($A2248="",0,IF(COUNTIF($L$2:$L2248,$L2248)=1,1,0))</f>
        <v>0</v>
      </c>
      <c r="N2248" t="str">
        <f t="shared" si="531"/>
        <v/>
      </c>
      <c r="O2248" t="str">
        <f t="shared" si="532"/>
        <v/>
      </c>
      <c r="P2248">
        <f>IF($A2248="",0,IF(COUNTIF($O$2:$O2248,$O2248)=1,1,0))</f>
        <v>0</v>
      </c>
      <c r="Q2248" t="str">
        <f>IF(AND($P2248=1,$A2248=经营数据!$B$3,$J2248=经营数据!$BA$5),COUNTIFS($P$2:$P$3000,1,$A$2:$A$3000,$A2248,$J$2:$J$3000,$J2248,$N$2:$N$3000,"&lt;"&amp;$N2248)+1,"")</f>
        <v/>
      </c>
      <c r="R2248" t="str">
        <f t="shared" si="533"/>
        <v/>
      </c>
      <c r="S2248">
        <f>IF($A2248="",0,IF(COUNTIF($R$2:$R2248,$R2248)=1,1,0))</f>
        <v>0</v>
      </c>
      <c r="T2248" t="str">
        <f t="shared" si="534"/>
        <v/>
      </c>
      <c r="U2248" t="str">
        <f>IF($A2248="","",IF($A2248=经营数据!$B$3,COUNTIFS($S$2:$S$3000,1,$A$2:$A$3000,$A2248,$T$2:$T$3000,"&lt;"&amp;$T2248)+1,""))</f>
        <v/>
      </c>
      <c r="V2248" t="str">
        <f t="shared" si="535"/>
        <v/>
      </c>
      <c r="W2248" t="str">
        <f t="shared" si="536"/>
        <v/>
      </c>
      <c r="X2248" t="str">
        <f t="shared" si="537"/>
        <v/>
      </c>
      <c r="Y2248" t="str">
        <f t="shared" si="538"/>
        <v/>
      </c>
      <c r="Z2248">
        <f>IF($A2248="",0,IF(AND($M2248=1,$A2248=经营数据!$B$3,$J2248=经营数据!$BA$5,OR($I2248=经营数据!$BA$4,COUNTIF(经营数据!$AA$9:$AA$38,$I2248)&gt;0)),1,0))</f>
        <v>0</v>
      </c>
      <c r="AA2248" t="str">
        <f t="shared" si="539"/>
        <v/>
      </c>
      <c r="AB2248" t="str">
        <f t="shared" si="540"/>
        <v/>
      </c>
      <c r="AC2248">
        <f>IF($A2248="",0,IF(COUNTIF($A$2:$A2248,$A2248)=1,1,0))</f>
        <v>0</v>
      </c>
      <c r="AD2248">
        <f t="shared" si="541"/>
        <v>29</v>
      </c>
      <c r="AE2248" t="str">
        <f t="shared" si="542"/>
        <v/>
      </c>
    </row>
    <row r="2249" spans="1:31" x14ac:dyDescent="0.4">
      <c r="A2249" t="str">
        <f>IF(原始经营数据!$D2250="","",原始经营数据!$D2250)</f>
        <v/>
      </c>
      <c r="B2249" t="str">
        <f>IF(原始经营数据!$D2250="","",T(原始经营数据!$E2250))</f>
        <v/>
      </c>
      <c r="C2249" t="str">
        <f>IF(原始经营数据!$D2250="","",原始经营数据!$F2250)</f>
        <v/>
      </c>
      <c r="D2249" t="str">
        <f>IF(原始经营数据!$D2250="","",原始经营数据!$H2250)</f>
        <v/>
      </c>
      <c r="E2249" t="str">
        <f>IF(原始经营数据!$D2250="","",原始经营数据!$I2250)</f>
        <v/>
      </c>
      <c r="F2249" t="str">
        <f>IF(原始经营数据!$D2250="","",T(原始经营数据!$J2250))</f>
        <v/>
      </c>
      <c r="G2249" t="str">
        <f>IF(原始经营数据!$D2250="","",T(原始经营数据!$K2250))</f>
        <v/>
      </c>
      <c r="H2249" t="str">
        <f>IF(原始经营数据!$D2250="","",原始经营数据!$G2250)</f>
        <v/>
      </c>
      <c r="I2249" t="str">
        <f>IF($A2249="","",IF($B2249&lt;&gt;"",$B2249,IF(COUNTIFS(原始经营数据!$D$3:$D$3001,$A2249,原始经营数据!$E$3:$E$3001,"",原始经营数据!$F$3:$F$3001,$C2249,原始经营数据!$H$3:$H$3001,$D2249,原始经营数据!$K$3:$K$3001,$G2249)&gt;1,"基金整体·来源"&amp;原始经营数据!$A2250,"基金整体")))</f>
        <v/>
      </c>
      <c r="J2249" t="str">
        <f t="shared" si="528"/>
        <v/>
      </c>
      <c r="K2249" t="str">
        <f t="shared" si="529"/>
        <v/>
      </c>
      <c r="L2249" t="str">
        <f t="shared" si="530"/>
        <v/>
      </c>
      <c r="M2249">
        <f>IF($A2249="",0,IF(COUNTIF($L$2:$L2249,$L2249)=1,1,0))</f>
        <v>0</v>
      </c>
      <c r="N2249" t="str">
        <f t="shared" si="531"/>
        <v/>
      </c>
      <c r="O2249" t="str">
        <f t="shared" si="532"/>
        <v/>
      </c>
      <c r="P2249">
        <f>IF($A2249="",0,IF(COUNTIF($O$2:$O2249,$O2249)=1,1,0))</f>
        <v>0</v>
      </c>
      <c r="Q2249" t="str">
        <f>IF(AND($P2249=1,$A2249=经营数据!$B$3,$J2249=经营数据!$BA$5),COUNTIFS($P$2:$P$3000,1,$A$2:$A$3000,$A2249,$J$2:$J$3000,$J2249,$N$2:$N$3000,"&lt;"&amp;$N2249)+1,"")</f>
        <v/>
      </c>
      <c r="R2249" t="str">
        <f t="shared" si="533"/>
        <v/>
      </c>
      <c r="S2249">
        <f>IF($A2249="",0,IF(COUNTIF($R$2:$R2249,$R2249)=1,1,0))</f>
        <v>0</v>
      </c>
      <c r="T2249" t="str">
        <f t="shared" si="534"/>
        <v/>
      </c>
      <c r="U2249" t="str">
        <f>IF($A2249="","",IF($A2249=经营数据!$B$3,COUNTIFS($S$2:$S$3000,1,$A$2:$A$3000,$A2249,$T$2:$T$3000,"&lt;"&amp;$T2249)+1,""))</f>
        <v/>
      </c>
      <c r="V2249" t="str">
        <f t="shared" si="535"/>
        <v/>
      </c>
      <c r="W2249" t="str">
        <f t="shared" si="536"/>
        <v/>
      </c>
      <c r="X2249" t="str">
        <f t="shared" si="537"/>
        <v/>
      </c>
      <c r="Y2249" t="str">
        <f t="shared" si="538"/>
        <v/>
      </c>
      <c r="Z2249">
        <f>IF($A2249="",0,IF(AND($M2249=1,$A2249=经营数据!$B$3,$J2249=经营数据!$BA$5,OR($I2249=经营数据!$BA$4,COUNTIF(经营数据!$AA$9:$AA$38,$I2249)&gt;0)),1,0))</f>
        <v>0</v>
      </c>
      <c r="AA2249" t="str">
        <f t="shared" si="539"/>
        <v/>
      </c>
      <c r="AB2249" t="str">
        <f t="shared" si="540"/>
        <v/>
      </c>
      <c r="AC2249">
        <f>IF($A2249="",0,IF(COUNTIF($A$2:$A2249,$A2249)=1,1,0))</f>
        <v>0</v>
      </c>
      <c r="AD2249">
        <f t="shared" si="541"/>
        <v>29</v>
      </c>
      <c r="AE2249" t="str">
        <f t="shared" si="542"/>
        <v/>
      </c>
    </row>
    <row r="2250" spans="1:31" x14ac:dyDescent="0.4">
      <c r="A2250" t="str">
        <f>IF(原始经营数据!$D2251="","",原始经营数据!$D2251)</f>
        <v/>
      </c>
      <c r="B2250" t="str">
        <f>IF(原始经营数据!$D2251="","",T(原始经营数据!$E2251))</f>
        <v/>
      </c>
      <c r="C2250" t="str">
        <f>IF(原始经营数据!$D2251="","",原始经营数据!$F2251)</f>
        <v/>
      </c>
      <c r="D2250" t="str">
        <f>IF(原始经营数据!$D2251="","",原始经营数据!$H2251)</f>
        <v/>
      </c>
      <c r="E2250" t="str">
        <f>IF(原始经营数据!$D2251="","",原始经营数据!$I2251)</f>
        <v/>
      </c>
      <c r="F2250" t="str">
        <f>IF(原始经营数据!$D2251="","",T(原始经营数据!$J2251))</f>
        <v/>
      </c>
      <c r="G2250" t="str">
        <f>IF(原始经营数据!$D2251="","",T(原始经营数据!$K2251))</f>
        <v/>
      </c>
      <c r="H2250" t="str">
        <f>IF(原始经营数据!$D2251="","",原始经营数据!$G2251)</f>
        <v/>
      </c>
      <c r="I2250" t="str">
        <f>IF($A2250="","",IF($B2250&lt;&gt;"",$B2250,IF(COUNTIFS(原始经营数据!$D$3:$D$3001,$A2250,原始经营数据!$E$3:$E$3001,"",原始经营数据!$F$3:$F$3001,$C2250,原始经营数据!$H$3:$H$3001,$D2250,原始经营数据!$K$3:$K$3001,$G2250)&gt;1,"基金整体·来源"&amp;原始经营数据!$A2251,"基金整体")))</f>
        <v/>
      </c>
      <c r="J2250" t="str">
        <f t="shared" si="528"/>
        <v/>
      </c>
      <c r="K2250" t="str">
        <f t="shared" si="529"/>
        <v/>
      </c>
      <c r="L2250" t="str">
        <f t="shared" si="530"/>
        <v/>
      </c>
      <c r="M2250">
        <f>IF($A2250="",0,IF(COUNTIF($L$2:$L2250,$L2250)=1,1,0))</f>
        <v>0</v>
      </c>
      <c r="N2250" t="str">
        <f t="shared" si="531"/>
        <v/>
      </c>
      <c r="O2250" t="str">
        <f t="shared" si="532"/>
        <v/>
      </c>
      <c r="P2250">
        <f>IF($A2250="",0,IF(COUNTIF($O$2:$O2250,$O2250)=1,1,0))</f>
        <v>0</v>
      </c>
      <c r="Q2250" t="str">
        <f>IF(AND($P2250=1,$A2250=经营数据!$B$3,$J2250=经营数据!$BA$5),COUNTIFS($P$2:$P$3000,1,$A$2:$A$3000,$A2250,$J$2:$J$3000,$J2250,$N$2:$N$3000,"&lt;"&amp;$N2250)+1,"")</f>
        <v/>
      </c>
      <c r="R2250" t="str">
        <f t="shared" si="533"/>
        <v/>
      </c>
      <c r="S2250">
        <f>IF($A2250="",0,IF(COUNTIF($R$2:$R2250,$R2250)=1,1,0))</f>
        <v>0</v>
      </c>
      <c r="T2250" t="str">
        <f t="shared" si="534"/>
        <v/>
      </c>
      <c r="U2250" t="str">
        <f>IF($A2250="","",IF($A2250=经营数据!$B$3,COUNTIFS($S$2:$S$3000,1,$A$2:$A$3000,$A2250,$T$2:$T$3000,"&lt;"&amp;$T2250)+1,""))</f>
        <v/>
      </c>
      <c r="V2250" t="str">
        <f t="shared" si="535"/>
        <v/>
      </c>
      <c r="W2250" t="str">
        <f t="shared" si="536"/>
        <v/>
      </c>
      <c r="X2250" t="str">
        <f t="shared" si="537"/>
        <v/>
      </c>
      <c r="Y2250" t="str">
        <f t="shared" si="538"/>
        <v/>
      </c>
      <c r="Z2250">
        <f>IF($A2250="",0,IF(AND($M2250=1,$A2250=经营数据!$B$3,$J2250=经营数据!$BA$5,OR($I2250=经营数据!$BA$4,COUNTIF(经营数据!$AA$9:$AA$38,$I2250)&gt;0)),1,0))</f>
        <v>0</v>
      </c>
      <c r="AA2250" t="str">
        <f t="shared" si="539"/>
        <v/>
      </c>
      <c r="AB2250" t="str">
        <f t="shared" si="540"/>
        <v/>
      </c>
      <c r="AC2250">
        <f>IF($A2250="",0,IF(COUNTIF($A$2:$A2250,$A2250)=1,1,0))</f>
        <v>0</v>
      </c>
      <c r="AD2250">
        <f t="shared" si="541"/>
        <v>29</v>
      </c>
      <c r="AE2250" t="str">
        <f t="shared" si="542"/>
        <v/>
      </c>
    </row>
    <row r="2251" spans="1:31" x14ac:dyDescent="0.4">
      <c r="A2251" t="str">
        <f>IF(原始经营数据!$D2252="","",原始经营数据!$D2252)</f>
        <v/>
      </c>
      <c r="B2251" t="str">
        <f>IF(原始经营数据!$D2252="","",T(原始经营数据!$E2252))</f>
        <v/>
      </c>
      <c r="C2251" t="str">
        <f>IF(原始经营数据!$D2252="","",原始经营数据!$F2252)</f>
        <v/>
      </c>
      <c r="D2251" t="str">
        <f>IF(原始经营数据!$D2252="","",原始经营数据!$H2252)</f>
        <v/>
      </c>
      <c r="E2251" t="str">
        <f>IF(原始经营数据!$D2252="","",原始经营数据!$I2252)</f>
        <v/>
      </c>
      <c r="F2251" t="str">
        <f>IF(原始经营数据!$D2252="","",T(原始经营数据!$J2252))</f>
        <v/>
      </c>
      <c r="G2251" t="str">
        <f>IF(原始经营数据!$D2252="","",T(原始经营数据!$K2252))</f>
        <v/>
      </c>
      <c r="H2251" t="str">
        <f>IF(原始经营数据!$D2252="","",原始经营数据!$G2252)</f>
        <v/>
      </c>
      <c r="I2251" t="str">
        <f>IF($A2251="","",IF($B2251&lt;&gt;"",$B2251,IF(COUNTIFS(原始经营数据!$D$3:$D$3001,$A2251,原始经营数据!$E$3:$E$3001,"",原始经营数据!$F$3:$F$3001,$C2251,原始经营数据!$H$3:$H$3001,$D2251,原始经营数据!$K$3:$K$3001,$G2251)&gt;1,"基金整体·来源"&amp;原始经营数据!$A2252,"基金整体")))</f>
        <v/>
      </c>
      <c r="J2251" t="str">
        <f t="shared" si="528"/>
        <v/>
      </c>
      <c r="K2251" t="str">
        <f t="shared" si="529"/>
        <v/>
      </c>
      <c r="L2251" t="str">
        <f t="shared" si="530"/>
        <v/>
      </c>
      <c r="M2251">
        <f>IF($A2251="",0,IF(COUNTIF($L$2:$L2251,$L2251)=1,1,0))</f>
        <v>0</v>
      </c>
      <c r="N2251" t="str">
        <f t="shared" si="531"/>
        <v/>
      </c>
      <c r="O2251" t="str">
        <f t="shared" si="532"/>
        <v/>
      </c>
      <c r="P2251">
        <f>IF($A2251="",0,IF(COUNTIF($O$2:$O2251,$O2251)=1,1,0))</f>
        <v>0</v>
      </c>
      <c r="Q2251" t="str">
        <f>IF(AND($P2251=1,$A2251=经营数据!$B$3,$J2251=经营数据!$BA$5),COUNTIFS($P$2:$P$3000,1,$A$2:$A$3000,$A2251,$J$2:$J$3000,$J2251,$N$2:$N$3000,"&lt;"&amp;$N2251)+1,"")</f>
        <v/>
      </c>
      <c r="R2251" t="str">
        <f t="shared" si="533"/>
        <v/>
      </c>
      <c r="S2251">
        <f>IF($A2251="",0,IF(COUNTIF($R$2:$R2251,$R2251)=1,1,0))</f>
        <v>0</v>
      </c>
      <c r="T2251" t="str">
        <f t="shared" si="534"/>
        <v/>
      </c>
      <c r="U2251" t="str">
        <f>IF($A2251="","",IF($A2251=经营数据!$B$3,COUNTIFS($S$2:$S$3000,1,$A$2:$A$3000,$A2251,$T$2:$T$3000,"&lt;"&amp;$T2251)+1,""))</f>
        <v/>
      </c>
      <c r="V2251" t="str">
        <f t="shared" si="535"/>
        <v/>
      </c>
      <c r="W2251" t="str">
        <f t="shared" si="536"/>
        <v/>
      </c>
      <c r="X2251" t="str">
        <f t="shared" si="537"/>
        <v/>
      </c>
      <c r="Y2251" t="str">
        <f t="shared" si="538"/>
        <v/>
      </c>
      <c r="Z2251">
        <f>IF($A2251="",0,IF(AND($M2251=1,$A2251=经营数据!$B$3,$J2251=经营数据!$BA$5,OR($I2251=经营数据!$BA$4,COUNTIF(经营数据!$AA$9:$AA$38,$I2251)&gt;0)),1,0))</f>
        <v>0</v>
      </c>
      <c r="AA2251" t="str">
        <f t="shared" si="539"/>
        <v/>
      </c>
      <c r="AB2251" t="str">
        <f t="shared" si="540"/>
        <v/>
      </c>
      <c r="AC2251">
        <f>IF($A2251="",0,IF(COUNTIF($A$2:$A2251,$A2251)=1,1,0))</f>
        <v>0</v>
      </c>
      <c r="AD2251">
        <f t="shared" si="541"/>
        <v>29</v>
      </c>
      <c r="AE2251" t="str">
        <f t="shared" si="542"/>
        <v/>
      </c>
    </row>
    <row r="2252" spans="1:31" x14ac:dyDescent="0.4">
      <c r="A2252" t="str">
        <f>IF(原始经营数据!$D2253="","",原始经营数据!$D2253)</f>
        <v/>
      </c>
      <c r="B2252" t="str">
        <f>IF(原始经营数据!$D2253="","",T(原始经营数据!$E2253))</f>
        <v/>
      </c>
      <c r="C2252" t="str">
        <f>IF(原始经营数据!$D2253="","",原始经营数据!$F2253)</f>
        <v/>
      </c>
      <c r="D2252" t="str">
        <f>IF(原始经营数据!$D2253="","",原始经营数据!$H2253)</f>
        <v/>
      </c>
      <c r="E2252" t="str">
        <f>IF(原始经营数据!$D2253="","",原始经营数据!$I2253)</f>
        <v/>
      </c>
      <c r="F2252" t="str">
        <f>IF(原始经营数据!$D2253="","",T(原始经营数据!$J2253))</f>
        <v/>
      </c>
      <c r="G2252" t="str">
        <f>IF(原始经营数据!$D2253="","",T(原始经营数据!$K2253))</f>
        <v/>
      </c>
      <c r="H2252" t="str">
        <f>IF(原始经营数据!$D2253="","",原始经营数据!$G2253)</f>
        <v/>
      </c>
      <c r="I2252" t="str">
        <f>IF($A2252="","",IF($B2252&lt;&gt;"",$B2252,IF(COUNTIFS(原始经营数据!$D$3:$D$3001,$A2252,原始经营数据!$E$3:$E$3001,"",原始经营数据!$F$3:$F$3001,$C2252,原始经营数据!$H$3:$H$3001,$D2252,原始经营数据!$K$3:$K$3001,$G2252)&gt;1,"基金整体·来源"&amp;原始经营数据!$A2253,"基金整体")))</f>
        <v/>
      </c>
      <c r="J2252" t="str">
        <f t="shared" si="528"/>
        <v/>
      </c>
      <c r="K2252" t="str">
        <f t="shared" si="529"/>
        <v/>
      </c>
      <c r="L2252" t="str">
        <f t="shared" si="530"/>
        <v/>
      </c>
      <c r="M2252">
        <f>IF($A2252="",0,IF(COUNTIF($L$2:$L2252,$L2252)=1,1,0))</f>
        <v>0</v>
      </c>
      <c r="N2252" t="str">
        <f t="shared" si="531"/>
        <v/>
      </c>
      <c r="O2252" t="str">
        <f t="shared" si="532"/>
        <v/>
      </c>
      <c r="P2252">
        <f>IF($A2252="",0,IF(COUNTIF($O$2:$O2252,$O2252)=1,1,0))</f>
        <v>0</v>
      </c>
      <c r="Q2252" t="str">
        <f>IF(AND($P2252=1,$A2252=经营数据!$B$3,$J2252=经营数据!$BA$5),COUNTIFS($P$2:$P$3000,1,$A$2:$A$3000,$A2252,$J$2:$J$3000,$J2252,$N$2:$N$3000,"&lt;"&amp;$N2252)+1,"")</f>
        <v/>
      </c>
      <c r="R2252" t="str">
        <f t="shared" si="533"/>
        <v/>
      </c>
      <c r="S2252">
        <f>IF($A2252="",0,IF(COUNTIF($R$2:$R2252,$R2252)=1,1,0))</f>
        <v>0</v>
      </c>
      <c r="T2252" t="str">
        <f t="shared" si="534"/>
        <v/>
      </c>
      <c r="U2252" t="str">
        <f>IF($A2252="","",IF($A2252=经营数据!$B$3,COUNTIFS($S$2:$S$3000,1,$A$2:$A$3000,$A2252,$T$2:$T$3000,"&lt;"&amp;$T2252)+1,""))</f>
        <v/>
      </c>
      <c r="V2252" t="str">
        <f t="shared" si="535"/>
        <v/>
      </c>
      <c r="W2252" t="str">
        <f t="shared" si="536"/>
        <v/>
      </c>
      <c r="X2252" t="str">
        <f t="shared" si="537"/>
        <v/>
      </c>
      <c r="Y2252" t="str">
        <f t="shared" si="538"/>
        <v/>
      </c>
      <c r="Z2252">
        <f>IF($A2252="",0,IF(AND($M2252=1,$A2252=经营数据!$B$3,$J2252=经营数据!$BA$5,OR($I2252=经营数据!$BA$4,COUNTIF(经营数据!$AA$9:$AA$38,$I2252)&gt;0)),1,0))</f>
        <v>0</v>
      </c>
      <c r="AA2252" t="str">
        <f t="shared" si="539"/>
        <v/>
      </c>
      <c r="AB2252" t="str">
        <f t="shared" si="540"/>
        <v/>
      </c>
      <c r="AC2252">
        <f>IF($A2252="",0,IF(COUNTIF($A$2:$A2252,$A2252)=1,1,0))</f>
        <v>0</v>
      </c>
      <c r="AD2252">
        <f t="shared" si="541"/>
        <v>29</v>
      </c>
      <c r="AE2252" t="str">
        <f t="shared" si="542"/>
        <v/>
      </c>
    </row>
    <row r="2253" spans="1:31" x14ac:dyDescent="0.4">
      <c r="A2253" t="str">
        <f>IF(原始经营数据!$D2254="","",原始经营数据!$D2254)</f>
        <v/>
      </c>
      <c r="B2253" t="str">
        <f>IF(原始经营数据!$D2254="","",T(原始经营数据!$E2254))</f>
        <v/>
      </c>
      <c r="C2253" t="str">
        <f>IF(原始经营数据!$D2254="","",原始经营数据!$F2254)</f>
        <v/>
      </c>
      <c r="D2253" t="str">
        <f>IF(原始经营数据!$D2254="","",原始经营数据!$H2254)</f>
        <v/>
      </c>
      <c r="E2253" t="str">
        <f>IF(原始经营数据!$D2254="","",原始经营数据!$I2254)</f>
        <v/>
      </c>
      <c r="F2253" t="str">
        <f>IF(原始经营数据!$D2254="","",T(原始经营数据!$J2254))</f>
        <v/>
      </c>
      <c r="G2253" t="str">
        <f>IF(原始经营数据!$D2254="","",T(原始经营数据!$K2254))</f>
        <v/>
      </c>
      <c r="H2253" t="str">
        <f>IF(原始经营数据!$D2254="","",原始经营数据!$G2254)</f>
        <v/>
      </c>
      <c r="I2253" t="str">
        <f>IF($A2253="","",IF($B2253&lt;&gt;"",$B2253,IF(COUNTIFS(原始经营数据!$D$3:$D$3001,$A2253,原始经营数据!$E$3:$E$3001,"",原始经营数据!$F$3:$F$3001,$C2253,原始经营数据!$H$3:$H$3001,$D2253,原始经营数据!$K$3:$K$3001,$G2253)&gt;1,"基金整体·来源"&amp;原始经营数据!$A2254,"基金整体")))</f>
        <v/>
      </c>
      <c r="J2253" t="str">
        <f t="shared" si="528"/>
        <v/>
      </c>
      <c r="K2253" t="str">
        <f t="shared" si="529"/>
        <v/>
      </c>
      <c r="L2253" t="str">
        <f t="shared" si="530"/>
        <v/>
      </c>
      <c r="M2253">
        <f>IF($A2253="",0,IF(COUNTIF($L$2:$L2253,$L2253)=1,1,0))</f>
        <v>0</v>
      </c>
      <c r="N2253" t="str">
        <f t="shared" si="531"/>
        <v/>
      </c>
      <c r="O2253" t="str">
        <f t="shared" si="532"/>
        <v/>
      </c>
      <c r="P2253">
        <f>IF($A2253="",0,IF(COUNTIF($O$2:$O2253,$O2253)=1,1,0))</f>
        <v>0</v>
      </c>
      <c r="Q2253" t="str">
        <f>IF(AND($P2253=1,$A2253=经营数据!$B$3,$J2253=经营数据!$BA$5),COUNTIFS($P$2:$P$3000,1,$A$2:$A$3000,$A2253,$J$2:$J$3000,$J2253,$N$2:$N$3000,"&lt;"&amp;$N2253)+1,"")</f>
        <v/>
      </c>
      <c r="R2253" t="str">
        <f t="shared" si="533"/>
        <v/>
      </c>
      <c r="S2253">
        <f>IF($A2253="",0,IF(COUNTIF($R$2:$R2253,$R2253)=1,1,0))</f>
        <v>0</v>
      </c>
      <c r="T2253" t="str">
        <f t="shared" si="534"/>
        <v/>
      </c>
      <c r="U2253" t="str">
        <f>IF($A2253="","",IF($A2253=经营数据!$B$3,COUNTIFS($S$2:$S$3000,1,$A$2:$A$3000,$A2253,$T$2:$T$3000,"&lt;"&amp;$T2253)+1,""))</f>
        <v/>
      </c>
      <c r="V2253" t="str">
        <f t="shared" si="535"/>
        <v/>
      </c>
      <c r="W2253" t="str">
        <f t="shared" si="536"/>
        <v/>
      </c>
      <c r="X2253" t="str">
        <f t="shared" si="537"/>
        <v/>
      </c>
      <c r="Y2253" t="str">
        <f t="shared" si="538"/>
        <v/>
      </c>
      <c r="Z2253">
        <f>IF($A2253="",0,IF(AND($M2253=1,$A2253=经营数据!$B$3,$J2253=经营数据!$BA$5,OR($I2253=经营数据!$BA$4,COUNTIF(经营数据!$AA$9:$AA$38,$I2253)&gt;0)),1,0))</f>
        <v>0</v>
      </c>
      <c r="AA2253" t="str">
        <f t="shared" si="539"/>
        <v/>
      </c>
      <c r="AB2253" t="str">
        <f t="shared" si="540"/>
        <v/>
      </c>
      <c r="AC2253">
        <f>IF($A2253="",0,IF(COUNTIF($A$2:$A2253,$A2253)=1,1,0))</f>
        <v>0</v>
      </c>
      <c r="AD2253">
        <f t="shared" si="541"/>
        <v>29</v>
      </c>
      <c r="AE2253" t="str">
        <f t="shared" si="542"/>
        <v/>
      </c>
    </row>
    <row r="2254" spans="1:31" x14ac:dyDescent="0.4">
      <c r="A2254" t="str">
        <f>IF(原始经营数据!$D2255="","",原始经营数据!$D2255)</f>
        <v/>
      </c>
      <c r="B2254" t="str">
        <f>IF(原始经营数据!$D2255="","",T(原始经营数据!$E2255))</f>
        <v/>
      </c>
      <c r="C2254" t="str">
        <f>IF(原始经营数据!$D2255="","",原始经营数据!$F2255)</f>
        <v/>
      </c>
      <c r="D2254" t="str">
        <f>IF(原始经营数据!$D2255="","",原始经营数据!$H2255)</f>
        <v/>
      </c>
      <c r="E2254" t="str">
        <f>IF(原始经营数据!$D2255="","",原始经营数据!$I2255)</f>
        <v/>
      </c>
      <c r="F2254" t="str">
        <f>IF(原始经营数据!$D2255="","",T(原始经营数据!$J2255))</f>
        <v/>
      </c>
      <c r="G2254" t="str">
        <f>IF(原始经营数据!$D2255="","",T(原始经营数据!$K2255))</f>
        <v/>
      </c>
      <c r="H2254" t="str">
        <f>IF(原始经营数据!$D2255="","",原始经营数据!$G2255)</f>
        <v/>
      </c>
      <c r="I2254" t="str">
        <f>IF($A2254="","",IF($B2254&lt;&gt;"",$B2254,IF(COUNTIFS(原始经营数据!$D$3:$D$3001,$A2254,原始经营数据!$E$3:$E$3001,"",原始经营数据!$F$3:$F$3001,$C2254,原始经营数据!$H$3:$H$3001,$D2254,原始经营数据!$K$3:$K$3001,$G2254)&gt;1,"基金整体·来源"&amp;原始经营数据!$A2255,"基金整体")))</f>
        <v/>
      </c>
      <c r="J2254" t="str">
        <f t="shared" si="528"/>
        <v/>
      </c>
      <c r="K2254" t="str">
        <f t="shared" si="529"/>
        <v/>
      </c>
      <c r="L2254" t="str">
        <f t="shared" si="530"/>
        <v/>
      </c>
      <c r="M2254">
        <f>IF($A2254="",0,IF(COUNTIF($L$2:$L2254,$L2254)=1,1,0))</f>
        <v>0</v>
      </c>
      <c r="N2254" t="str">
        <f t="shared" si="531"/>
        <v/>
      </c>
      <c r="O2254" t="str">
        <f t="shared" si="532"/>
        <v/>
      </c>
      <c r="P2254">
        <f>IF($A2254="",0,IF(COUNTIF($O$2:$O2254,$O2254)=1,1,0))</f>
        <v>0</v>
      </c>
      <c r="Q2254" t="str">
        <f>IF(AND($P2254=1,$A2254=经营数据!$B$3,$J2254=经营数据!$BA$5),COUNTIFS($P$2:$P$3000,1,$A$2:$A$3000,$A2254,$J$2:$J$3000,$J2254,$N$2:$N$3000,"&lt;"&amp;$N2254)+1,"")</f>
        <v/>
      </c>
      <c r="R2254" t="str">
        <f t="shared" si="533"/>
        <v/>
      </c>
      <c r="S2254">
        <f>IF($A2254="",0,IF(COUNTIF($R$2:$R2254,$R2254)=1,1,0))</f>
        <v>0</v>
      </c>
      <c r="T2254" t="str">
        <f t="shared" si="534"/>
        <v/>
      </c>
      <c r="U2254" t="str">
        <f>IF($A2254="","",IF($A2254=经营数据!$B$3,COUNTIFS($S$2:$S$3000,1,$A$2:$A$3000,$A2254,$T$2:$T$3000,"&lt;"&amp;$T2254)+1,""))</f>
        <v/>
      </c>
      <c r="V2254" t="str">
        <f t="shared" si="535"/>
        <v/>
      </c>
      <c r="W2254" t="str">
        <f t="shared" si="536"/>
        <v/>
      </c>
      <c r="X2254" t="str">
        <f t="shared" si="537"/>
        <v/>
      </c>
      <c r="Y2254" t="str">
        <f t="shared" si="538"/>
        <v/>
      </c>
      <c r="Z2254">
        <f>IF($A2254="",0,IF(AND($M2254=1,$A2254=经营数据!$B$3,$J2254=经营数据!$BA$5,OR($I2254=经营数据!$BA$4,COUNTIF(经营数据!$AA$9:$AA$38,$I2254)&gt;0)),1,0))</f>
        <v>0</v>
      </c>
      <c r="AA2254" t="str">
        <f t="shared" si="539"/>
        <v/>
      </c>
      <c r="AB2254" t="str">
        <f t="shared" si="540"/>
        <v/>
      </c>
      <c r="AC2254">
        <f>IF($A2254="",0,IF(COUNTIF($A$2:$A2254,$A2254)=1,1,0))</f>
        <v>0</v>
      </c>
      <c r="AD2254">
        <f t="shared" si="541"/>
        <v>29</v>
      </c>
      <c r="AE2254" t="str">
        <f t="shared" si="542"/>
        <v/>
      </c>
    </row>
    <row r="2255" spans="1:31" x14ac:dyDescent="0.4">
      <c r="A2255" t="str">
        <f>IF(原始经营数据!$D2256="","",原始经营数据!$D2256)</f>
        <v/>
      </c>
      <c r="B2255" t="str">
        <f>IF(原始经营数据!$D2256="","",T(原始经营数据!$E2256))</f>
        <v/>
      </c>
      <c r="C2255" t="str">
        <f>IF(原始经营数据!$D2256="","",原始经营数据!$F2256)</f>
        <v/>
      </c>
      <c r="D2255" t="str">
        <f>IF(原始经营数据!$D2256="","",原始经营数据!$H2256)</f>
        <v/>
      </c>
      <c r="E2255" t="str">
        <f>IF(原始经营数据!$D2256="","",原始经营数据!$I2256)</f>
        <v/>
      </c>
      <c r="F2255" t="str">
        <f>IF(原始经营数据!$D2256="","",T(原始经营数据!$J2256))</f>
        <v/>
      </c>
      <c r="G2255" t="str">
        <f>IF(原始经营数据!$D2256="","",T(原始经营数据!$K2256))</f>
        <v/>
      </c>
      <c r="H2255" t="str">
        <f>IF(原始经营数据!$D2256="","",原始经营数据!$G2256)</f>
        <v/>
      </c>
      <c r="I2255" t="str">
        <f>IF($A2255="","",IF($B2255&lt;&gt;"",$B2255,IF(COUNTIFS(原始经营数据!$D$3:$D$3001,$A2255,原始经营数据!$E$3:$E$3001,"",原始经营数据!$F$3:$F$3001,$C2255,原始经营数据!$H$3:$H$3001,$D2255,原始经营数据!$K$3:$K$3001,$G2255)&gt;1,"基金整体·来源"&amp;原始经营数据!$A2256,"基金整体")))</f>
        <v/>
      </c>
      <c r="J2255" t="str">
        <f t="shared" si="528"/>
        <v/>
      </c>
      <c r="K2255" t="str">
        <f t="shared" si="529"/>
        <v/>
      </c>
      <c r="L2255" t="str">
        <f t="shared" si="530"/>
        <v/>
      </c>
      <c r="M2255">
        <f>IF($A2255="",0,IF(COUNTIF($L$2:$L2255,$L2255)=1,1,0))</f>
        <v>0</v>
      </c>
      <c r="N2255" t="str">
        <f t="shared" si="531"/>
        <v/>
      </c>
      <c r="O2255" t="str">
        <f t="shared" si="532"/>
        <v/>
      </c>
      <c r="P2255">
        <f>IF($A2255="",0,IF(COUNTIF($O$2:$O2255,$O2255)=1,1,0))</f>
        <v>0</v>
      </c>
      <c r="Q2255" t="str">
        <f>IF(AND($P2255=1,$A2255=经营数据!$B$3,$J2255=经营数据!$BA$5),COUNTIFS($P$2:$P$3000,1,$A$2:$A$3000,$A2255,$J$2:$J$3000,$J2255,$N$2:$N$3000,"&lt;"&amp;$N2255)+1,"")</f>
        <v/>
      </c>
      <c r="R2255" t="str">
        <f t="shared" si="533"/>
        <v/>
      </c>
      <c r="S2255">
        <f>IF($A2255="",0,IF(COUNTIF($R$2:$R2255,$R2255)=1,1,0))</f>
        <v>0</v>
      </c>
      <c r="T2255" t="str">
        <f t="shared" si="534"/>
        <v/>
      </c>
      <c r="U2255" t="str">
        <f>IF($A2255="","",IF($A2255=经营数据!$B$3,COUNTIFS($S$2:$S$3000,1,$A$2:$A$3000,$A2255,$T$2:$T$3000,"&lt;"&amp;$T2255)+1,""))</f>
        <v/>
      </c>
      <c r="V2255" t="str">
        <f t="shared" si="535"/>
        <v/>
      </c>
      <c r="W2255" t="str">
        <f t="shared" si="536"/>
        <v/>
      </c>
      <c r="X2255" t="str">
        <f t="shared" si="537"/>
        <v/>
      </c>
      <c r="Y2255" t="str">
        <f t="shared" si="538"/>
        <v/>
      </c>
      <c r="Z2255">
        <f>IF($A2255="",0,IF(AND($M2255=1,$A2255=经营数据!$B$3,$J2255=经营数据!$BA$5,OR($I2255=经营数据!$BA$4,COUNTIF(经营数据!$AA$9:$AA$38,$I2255)&gt;0)),1,0))</f>
        <v>0</v>
      </c>
      <c r="AA2255" t="str">
        <f t="shared" si="539"/>
        <v/>
      </c>
      <c r="AB2255" t="str">
        <f t="shared" si="540"/>
        <v/>
      </c>
      <c r="AC2255">
        <f>IF($A2255="",0,IF(COUNTIF($A$2:$A2255,$A2255)=1,1,0))</f>
        <v>0</v>
      </c>
      <c r="AD2255">
        <f t="shared" si="541"/>
        <v>29</v>
      </c>
      <c r="AE2255" t="str">
        <f t="shared" si="542"/>
        <v/>
      </c>
    </row>
    <row r="2256" spans="1:31" x14ac:dyDescent="0.4">
      <c r="A2256" t="str">
        <f>IF(原始经营数据!$D2257="","",原始经营数据!$D2257)</f>
        <v/>
      </c>
      <c r="B2256" t="str">
        <f>IF(原始经营数据!$D2257="","",T(原始经营数据!$E2257))</f>
        <v/>
      </c>
      <c r="C2256" t="str">
        <f>IF(原始经营数据!$D2257="","",原始经营数据!$F2257)</f>
        <v/>
      </c>
      <c r="D2256" t="str">
        <f>IF(原始经营数据!$D2257="","",原始经营数据!$H2257)</f>
        <v/>
      </c>
      <c r="E2256" t="str">
        <f>IF(原始经营数据!$D2257="","",原始经营数据!$I2257)</f>
        <v/>
      </c>
      <c r="F2256" t="str">
        <f>IF(原始经营数据!$D2257="","",T(原始经营数据!$J2257))</f>
        <v/>
      </c>
      <c r="G2256" t="str">
        <f>IF(原始经营数据!$D2257="","",T(原始经营数据!$K2257))</f>
        <v/>
      </c>
      <c r="H2256" t="str">
        <f>IF(原始经营数据!$D2257="","",原始经营数据!$G2257)</f>
        <v/>
      </c>
      <c r="I2256" t="str">
        <f>IF($A2256="","",IF($B2256&lt;&gt;"",$B2256,IF(COUNTIFS(原始经营数据!$D$3:$D$3001,$A2256,原始经营数据!$E$3:$E$3001,"",原始经营数据!$F$3:$F$3001,$C2256,原始经营数据!$H$3:$H$3001,$D2256,原始经营数据!$K$3:$K$3001,$G2256)&gt;1,"基金整体·来源"&amp;原始经营数据!$A2257,"基金整体")))</f>
        <v/>
      </c>
      <c r="J2256" t="str">
        <f t="shared" si="528"/>
        <v/>
      </c>
      <c r="K2256" t="str">
        <f t="shared" si="529"/>
        <v/>
      </c>
      <c r="L2256" t="str">
        <f t="shared" si="530"/>
        <v/>
      </c>
      <c r="M2256">
        <f>IF($A2256="",0,IF(COUNTIF($L$2:$L2256,$L2256)=1,1,0))</f>
        <v>0</v>
      </c>
      <c r="N2256" t="str">
        <f t="shared" si="531"/>
        <v/>
      </c>
      <c r="O2256" t="str">
        <f t="shared" si="532"/>
        <v/>
      </c>
      <c r="P2256">
        <f>IF($A2256="",0,IF(COUNTIF($O$2:$O2256,$O2256)=1,1,0))</f>
        <v>0</v>
      </c>
      <c r="Q2256" t="str">
        <f>IF(AND($P2256=1,$A2256=经营数据!$B$3,$J2256=经营数据!$BA$5),COUNTIFS($P$2:$P$3000,1,$A$2:$A$3000,$A2256,$J$2:$J$3000,$J2256,$N$2:$N$3000,"&lt;"&amp;$N2256)+1,"")</f>
        <v/>
      </c>
      <c r="R2256" t="str">
        <f t="shared" si="533"/>
        <v/>
      </c>
      <c r="S2256">
        <f>IF($A2256="",0,IF(COUNTIF($R$2:$R2256,$R2256)=1,1,0))</f>
        <v>0</v>
      </c>
      <c r="T2256" t="str">
        <f t="shared" si="534"/>
        <v/>
      </c>
      <c r="U2256" t="str">
        <f>IF($A2256="","",IF($A2256=经营数据!$B$3,COUNTIFS($S$2:$S$3000,1,$A$2:$A$3000,$A2256,$T$2:$T$3000,"&lt;"&amp;$T2256)+1,""))</f>
        <v/>
      </c>
      <c r="V2256" t="str">
        <f t="shared" si="535"/>
        <v/>
      </c>
      <c r="W2256" t="str">
        <f t="shared" si="536"/>
        <v/>
      </c>
      <c r="X2256" t="str">
        <f t="shared" si="537"/>
        <v/>
      </c>
      <c r="Y2256" t="str">
        <f t="shared" si="538"/>
        <v/>
      </c>
      <c r="Z2256">
        <f>IF($A2256="",0,IF(AND($M2256=1,$A2256=经营数据!$B$3,$J2256=经营数据!$BA$5,OR($I2256=经营数据!$BA$4,COUNTIF(经营数据!$AA$9:$AA$38,$I2256)&gt;0)),1,0))</f>
        <v>0</v>
      </c>
      <c r="AA2256" t="str">
        <f t="shared" si="539"/>
        <v/>
      </c>
      <c r="AB2256" t="str">
        <f t="shared" si="540"/>
        <v/>
      </c>
      <c r="AC2256">
        <f>IF($A2256="",0,IF(COUNTIF($A$2:$A2256,$A2256)=1,1,0))</f>
        <v>0</v>
      </c>
      <c r="AD2256">
        <f t="shared" si="541"/>
        <v>29</v>
      </c>
      <c r="AE2256" t="str">
        <f t="shared" si="542"/>
        <v/>
      </c>
    </row>
    <row r="2257" spans="1:31" x14ac:dyDescent="0.4">
      <c r="A2257" t="str">
        <f>IF(原始经营数据!$D2258="","",原始经营数据!$D2258)</f>
        <v/>
      </c>
      <c r="B2257" t="str">
        <f>IF(原始经营数据!$D2258="","",T(原始经营数据!$E2258))</f>
        <v/>
      </c>
      <c r="C2257" t="str">
        <f>IF(原始经营数据!$D2258="","",原始经营数据!$F2258)</f>
        <v/>
      </c>
      <c r="D2257" t="str">
        <f>IF(原始经营数据!$D2258="","",原始经营数据!$H2258)</f>
        <v/>
      </c>
      <c r="E2257" t="str">
        <f>IF(原始经营数据!$D2258="","",原始经营数据!$I2258)</f>
        <v/>
      </c>
      <c r="F2257" t="str">
        <f>IF(原始经营数据!$D2258="","",T(原始经营数据!$J2258))</f>
        <v/>
      </c>
      <c r="G2257" t="str">
        <f>IF(原始经营数据!$D2258="","",T(原始经营数据!$K2258))</f>
        <v/>
      </c>
      <c r="H2257" t="str">
        <f>IF(原始经营数据!$D2258="","",原始经营数据!$G2258)</f>
        <v/>
      </c>
      <c r="I2257" t="str">
        <f>IF($A2257="","",IF($B2257&lt;&gt;"",$B2257,IF(COUNTIFS(原始经营数据!$D$3:$D$3001,$A2257,原始经营数据!$E$3:$E$3001,"",原始经营数据!$F$3:$F$3001,$C2257,原始经营数据!$H$3:$H$3001,$D2257,原始经营数据!$K$3:$K$3001,$G2257)&gt;1,"基金整体·来源"&amp;原始经营数据!$A2258,"基金整体")))</f>
        <v/>
      </c>
      <c r="J2257" t="str">
        <f t="shared" si="528"/>
        <v/>
      </c>
      <c r="K2257" t="str">
        <f t="shared" si="529"/>
        <v/>
      </c>
      <c r="L2257" t="str">
        <f t="shared" si="530"/>
        <v/>
      </c>
      <c r="M2257">
        <f>IF($A2257="",0,IF(COUNTIF($L$2:$L2257,$L2257)=1,1,0))</f>
        <v>0</v>
      </c>
      <c r="N2257" t="str">
        <f t="shared" si="531"/>
        <v/>
      </c>
      <c r="O2257" t="str">
        <f t="shared" si="532"/>
        <v/>
      </c>
      <c r="P2257">
        <f>IF($A2257="",0,IF(COUNTIF($O$2:$O2257,$O2257)=1,1,0))</f>
        <v>0</v>
      </c>
      <c r="Q2257" t="str">
        <f>IF(AND($P2257=1,$A2257=经营数据!$B$3,$J2257=经营数据!$BA$5),COUNTIFS($P$2:$P$3000,1,$A$2:$A$3000,$A2257,$J$2:$J$3000,$J2257,$N$2:$N$3000,"&lt;"&amp;$N2257)+1,"")</f>
        <v/>
      </c>
      <c r="R2257" t="str">
        <f t="shared" si="533"/>
        <v/>
      </c>
      <c r="S2257">
        <f>IF($A2257="",0,IF(COUNTIF($R$2:$R2257,$R2257)=1,1,0))</f>
        <v>0</v>
      </c>
      <c r="T2257" t="str">
        <f t="shared" si="534"/>
        <v/>
      </c>
      <c r="U2257" t="str">
        <f>IF($A2257="","",IF($A2257=经营数据!$B$3,COUNTIFS($S$2:$S$3000,1,$A$2:$A$3000,$A2257,$T$2:$T$3000,"&lt;"&amp;$T2257)+1,""))</f>
        <v/>
      </c>
      <c r="V2257" t="str">
        <f t="shared" si="535"/>
        <v/>
      </c>
      <c r="W2257" t="str">
        <f t="shared" si="536"/>
        <v/>
      </c>
      <c r="X2257" t="str">
        <f t="shared" si="537"/>
        <v/>
      </c>
      <c r="Y2257" t="str">
        <f t="shared" si="538"/>
        <v/>
      </c>
      <c r="Z2257">
        <f>IF($A2257="",0,IF(AND($M2257=1,$A2257=经营数据!$B$3,$J2257=经营数据!$BA$5,OR($I2257=经营数据!$BA$4,COUNTIF(经营数据!$AA$9:$AA$38,$I2257)&gt;0)),1,0))</f>
        <v>0</v>
      </c>
      <c r="AA2257" t="str">
        <f t="shared" si="539"/>
        <v/>
      </c>
      <c r="AB2257" t="str">
        <f t="shared" si="540"/>
        <v/>
      </c>
      <c r="AC2257">
        <f>IF($A2257="",0,IF(COUNTIF($A$2:$A2257,$A2257)=1,1,0))</f>
        <v>0</v>
      </c>
      <c r="AD2257">
        <f t="shared" si="541"/>
        <v>29</v>
      </c>
      <c r="AE2257" t="str">
        <f t="shared" si="542"/>
        <v/>
      </c>
    </row>
    <row r="2258" spans="1:31" x14ac:dyDescent="0.4">
      <c r="A2258" t="str">
        <f>IF(原始经营数据!$D2259="","",原始经营数据!$D2259)</f>
        <v/>
      </c>
      <c r="B2258" t="str">
        <f>IF(原始经营数据!$D2259="","",T(原始经营数据!$E2259))</f>
        <v/>
      </c>
      <c r="C2258" t="str">
        <f>IF(原始经营数据!$D2259="","",原始经营数据!$F2259)</f>
        <v/>
      </c>
      <c r="D2258" t="str">
        <f>IF(原始经营数据!$D2259="","",原始经营数据!$H2259)</f>
        <v/>
      </c>
      <c r="E2258" t="str">
        <f>IF(原始经营数据!$D2259="","",原始经营数据!$I2259)</f>
        <v/>
      </c>
      <c r="F2258" t="str">
        <f>IF(原始经营数据!$D2259="","",T(原始经营数据!$J2259))</f>
        <v/>
      </c>
      <c r="G2258" t="str">
        <f>IF(原始经营数据!$D2259="","",T(原始经营数据!$K2259))</f>
        <v/>
      </c>
      <c r="H2258" t="str">
        <f>IF(原始经营数据!$D2259="","",原始经营数据!$G2259)</f>
        <v/>
      </c>
      <c r="I2258" t="str">
        <f>IF($A2258="","",IF($B2258&lt;&gt;"",$B2258,IF(COUNTIFS(原始经营数据!$D$3:$D$3001,$A2258,原始经营数据!$E$3:$E$3001,"",原始经营数据!$F$3:$F$3001,$C2258,原始经营数据!$H$3:$H$3001,$D2258,原始经营数据!$K$3:$K$3001,$G2258)&gt;1,"基金整体·来源"&amp;原始经营数据!$A2259,"基金整体")))</f>
        <v/>
      </c>
      <c r="J2258" t="str">
        <f t="shared" si="528"/>
        <v/>
      </c>
      <c r="K2258" t="str">
        <f t="shared" si="529"/>
        <v/>
      </c>
      <c r="L2258" t="str">
        <f t="shared" si="530"/>
        <v/>
      </c>
      <c r="M2258">
        <f>IF($A2258="",0,IF(COUNTIF($L$2:$L2258,$L2258)=1,1,0))</f>
        <v>0</v>
      </c>
      <c r="N2258" t="str">
        <f t="shared" si="531"/>
        <v/>
      </c>
      <c r="O2258" t="str">
        <f t="shared" si="532"/>
        <v/>
      </c>
      <c r="P2258">
        <f>IF($A2258="",0,IF(COUNTIF($O$2:$O2258,$O2258)=1,1,0))</f>
        <v>0</v>
      </c>
      <c r="Q2258" t="str">
        <f>IF(AND($P2258=1,$A2258=经营数据!$B$3,$J2258=经营数据!$BA$5),COUNTIFS($P$2:$P$3000,1,$A$2:$A$3000,$A2258,$J$2:$J$3000,$J2258,$N$2:$N$3000,"&lt;"&amp;$N2258)+1,"")</f>
        <v/>
      </c>
      <c r="R2258" t="str">
        <f t="shared" si="533"/>
        <v/>
      </c>
      <c r="S2258">
        <f>IF($A2258="",0,IF(COUNTIF($R$2:$R2258,$R2258)=1,1,0))</f>
        <v>0</v>
      </c>
      <c r="T2258" t="str">
        <f t="shared" si="534"/>
        <v/>
      </c>
      <c r="U2258" t="str">
        <f>IF($A2258="","",IF($A2258=经营数据!$B$3,COUNTIFS($S$2:$S$3000,1,$A$2:$A$3000,$A2258,$T$2:$T$3000,"&lt;"&amp;$T2258)+1,""))</f>
        <v/>
      </c>
      <c r="V2258" t="str">
        <f t="shared" si="535"/>
        <v/>
      </c>
      <c r="W2258" t="str">
        <f t="shared" si="536"/>
        <v/>
      </c>
      <c r="X2258" t="str">
        <f t="shared" si="537"/>
        <v/>
      </c>
      <c r="Y2258" t="str">
        <f t="shared" si="538"/>
        <v/>
      </c>
      <c r="Z2258">
        <f>IF($A2258="",0,IF(AND($M2258=1,$A2258=经营数据!$B$3,$J2258=经营数据!$BA$5,OR($I2258=经营数据!$BA$4,COUNTIF(经营数据!$AA$9:$AA$38,$I2258)&gt;0)),1,0))</f>
        <v>0</v>
      </c>
      <c r="AA2258" t="str">
        <f t="shared" si="539"/>
        <v/>
      </c>
      <c r="AB2258" t="str">
        <f t="shared" si="540"/>
        <v/>
      </c>
      <c r="AC2258">
        <f>IF($A2258="",0,IF(COUNTIF($A$2:$A2258,$A2258)=1,1,0))</f>
        <v>0</v>
      </c>
      <c r="AD2258">
        <f t="shared" si="541"/>
        <v>29</v>
      </c>
      <c r="AE2258" t="str">
        <f t="shared" si="542"/>
        <v/>
      </c>
    </row>
    <row r="2259" spans="1:31" x14ac:dyDescent="0.4">
      <c r="A2259" t="str">
        <f>IF(原始经营数据!$D2260="","",原始经营数据!$D2260)</f>
        <v/>
      </c>
      <c r="B2259" t="str">
        <f>IF(原始经营数据!$D2260="","",T(原始经营数据!$E2260))</f>
        <v/>
      </c>
      <c r="C2259" t="str">
        <f>IF(原始经营数据!$D2260="","",原始经营数据!$F2260)</f>
        <v/>
      </c>
      <c r="D2259" t="str">
        <f>IF(原始经营数据!$D2260="","",原始经营数据!$H2260)</f>
        <v/>
      </c>
      <c r="E2259" t="str">
        <f>IF(原始经营数据!$D2260="","",原始经营数据!$I2260)</f>
        <v/>
      </c>
      <c r="F2259" t="str">
        <f>IF(原始经营数据!$D2260="","",T(原始经营数据!$J2260))</f>
        <v/>
      </c>
      <c r="G2259" t="str">
        <f>IF(原始经营数据!$D2260="","",T(原始经营数据!$K2260))</f>
        <v/>
      </c>
      <c r="H2259" t="str">
        <f>IF(原始经营数据!$D2260="","",原始经营数据!$G2260)</f>
        <v/>
      </c>
      <c r="I2259" t="str">
        <f>IF($A2259="","",IF($B2259&lt;&gt;"",$B2259,IF(COUNTIFS(原始经营数据!$D$3:$D$3001,$A2259,原始经营数据!$E$3:$E$3001,"",原始经营数据!$F$3:$F$3001,$C2259,原始经营数据!$H$3:$H$3001,$D2259,原始经营数据!$K$3:$K$3001,$G2259)&gt;1,"基金整体·来源"&amp;原始经营数据!$A2260,"基金整体")))</f>
        <v/>
      </c>
      <c r="J2259" t="str">
        <f t="shared" si="528"/>
        <v/>
      </c>
      <c r="K2259" t="str">
        <f t="shared" si="529"/>
        <v/>
      </c>
      <c r="L2259" t="str">
        <f t="shared" si="530"/>
        <v/>
      </c>
      <c r="M2259">
        <f>IF($A2259="",0,IF(COUNTIF($L$2:$L2259,$L2259)=1,1,0))</f>
        <v>0</v>
      </c>
      <c r="N2259" t="str">
        <f t="shared" si="531"/>
        <v/>
      </c>
      <c r="O2259" t="str">
        <f t="shared" si="532"/>
        <v/>
      </c>
      <c r="P2259">
        <f>IF($A2259="",0,IF(COUNTIF($O$2:$O2259,$O2259)=1,1,0))</f>
        <v>0</v>
      </c>
      <c r="Q2259" t="str">
        <f>IF(AND($P2259=1,$A2259=经营数据!$B$3,$J2259=经营数据!$BA$5),COUNTIFS($P$2:$P$3000,1,$A$2:$A$3000,$A2259,$J$2:$J$3000,$J2259,$N$2:$N$3000,"&lt;"&amp;$N2259)+1,"")</f>
        <v/>
      </c>
      <c r="R2259" t="str">
        <f t="shared" si="533"/>
        <v/>
      </c>
      <c r="S2259">
        <f>IF($A2259="",0,IF(COUNTIF($R$2:$R2259,$R2259)=1,1,0))</f>
        <v>0</v>
      </c>
      <c r="T2259" t="str">
        <f t="shared" si="534"/>
        <v/>
      </c>
      <c r="U2259" t="str">
        <f>IF($A2259="","",IF($A2259=经营数据!$B$3,COUNTIFS($S$2:$S$3000,1,$A$2:$A$3000,$A2259,$T$2:$T$3000,"&lt;"&amp;$T2259)+1,""))</f>
        <v/>
      </c>
      <c r="V2259" t="str">
        <f t="shared" si="535"/>
        <v/>
      </c>
      <c r="W2259" t="str">
        <f t="shared" si="536"/>
        <v/>
      </c>
      <c r="X2259" t="str">
        <f t="shared" si="537"/>
        <v/>
      </c>
      <c r="Y2259" t="str">
        <f t="shared" si="538"/>
        <v/>
      </c>
      <c r="Z2259">
        <f>IF($A2259="",0,IF(AND($M2259=1,$A2259=经营数据!$B$3,$J2259=经营数据!$BA$5,OR($I2259=经营数据!$BA$4,COUNTIF(经营数据!$AA$9:$AA$38,$I2259)&gt;0)),1,0))</f>
        <v>0</v>
      </c>
      <c r="AA2259" t="str">
        <f t="shared" si="539"/>
        <v/>
      </c>
      <c r="AB2259" t="str">
        <f t="shared" si="540"/>
        <v/>
      </c>
      <c r="AC2259">
        <f>IF($A2259="",0,IF(COUNTIF($A$2:$A2259,$A2259)=1,1,0))</f>
        <v>0</v>
      </c>
      <c r="AD2259">
        <f t="shared" si="541"/>
        <v>29</v>
      </c>
      <c r="AE2259" t="str">
        <f t="shared" si="542"/>
        <v/>
      </c>
    </row>
    <row r="2260" spans="1:31" x14ac:dyDescent="0.4">
      <c r="A2260" t="str">
        <f>IF(原始经营数据!$D2261="","",原始经营数据!$D2261)</f>
        <v/>
      </c>
      <c r="B2260" t="str">
        <f>IF(原始经营数据!$D2261="","",T(原始经营数据!$E2261))</f>
        <v/>
      </c>
      <c r="C2260" t="str">
        <f>IF(原始经营数据!$D2261="","",原始经营数据!$F2261)</f>
        <v/>
      </c>
      <c r="D2260" t="str">
        <f>IF(原始经营数据!$D2261="","",原始经营数据!$H2261)</f>
        <v/>
      </c>
      <c r="E2260" t="str">
        <f>IF(原始经营数据!$D2261="","",原始经营数据!$I2261)</f>
        <v/>
      </c>
      <c r="F2260" t="str">
        <f>IF(原始经营数据!$D2261="","",T(原始经营数据!$J2261))</f>
        <v/>
      </c>
      <c r="G2260" t="str">
        <f>IF(原始经营数据!$D2261="","",T(原始经营数据!$K2261))</f>
        <v/>
      </c>
      <c r="H2260" t="str">
        <f>IF(原始经营数据!$D2261="","",原始经营数据!$G2261)</f>
        <v/>
      </c>
      <c r="I2260" t="str">
        <f>IF($A2260="","",IF($B2260&lt;&gt;"",$B2260,IF(COUNTIFS(原始经营数据!$D$3:$D$3001,$A2260,原始经营数据!$E$3:$E$3001,"",原始经营数据!$F$3:$F$3001,$C2260,原始经营数据!$H$3:$H$3001,$D2260,原始经营数据!$K$3:$K$3001,$G2260)&gt;1,"基金整体·来源"&amp;原始经营数据!$A2261,"基金整体")))</f>
        <v/>
      </c>
      <c r="J2260" t="str">
        <f t="shared" si="528"/>
        <v/>
      </c>
      <c r="K2260" t="str">
        <f t="shared" si="529"/>
        <v/>
      </c>
      <c r="L2260" t="str">
        <f t="shared" si="530"/>
        <v/>
      </c>
      <c r="M2260">
        <f>IF($A2260="",0,IF(COUNTIF($L$2:$L2260,$L2260)=1,1,0))</f>
        <v>0</v>
      </c>
      <c r="N2260" t="str">
        <f t="shared" si="531"/>
        <v/>
      </c>
      <c r="O2260" t="str">
        <f t="shared" si="532"/>
        <v/>
      </c>
      <c r="P2260">
        <f>IF($A2260="",0,IF(COUNTIF($O$2:$O2260,$O2260)=1,1,0))</f>
        <v>0</v>
      </c>
      <c r="Q2260" t="str">
        <f>IF(AND($P2260=1,$A2260=经营数据!$B$3,$J2260=经营数据!$BA$5),COUNTIFS($P$2:$P$3000,1,$A$2:$A$3000,$A2260,$J$2:$J$3000,$J2260,$N$2:$N$3000,"&lt;"&amp;$N2260)+1,"")</f>
        <v/>
      </c>
      <c r="R2260" t="str">
        <f t="shared" si="533"/>
        <v/>
      </c>
      <c r="S2260">
        <f>IF($A2260="",0,IF(COUNTIF($R$2:$R2260,$R2260)=1,1,0))</f>
        <v>0</v>
      </c>
      <c r="T2260" t="str">
        <f t="shared" si="534"/>
        <v/>
      </c>
      <c r="U2260" t="str">
        <f>IF($A2260="","",IF($A2260=经营数据!$B$3,COUNTIFS($S$2:$S$3000,1,$A$2:$A$3000,$A2260,$T$2:$T$3000,"&lt;"&amp;$T2260)+1,""))</f>
        <v/>
      </c>
      <c r="V2260" t="str">
        <f t="shared" si="535"/>
        <v/>
      </c>
      <c r="W2260" t="str">
        <f t="shared" si="536"/>
        <v/>
      </c>
      <c r="X2260" t="str">
        <f t="shared" si="537"/>
        <v/>
      </c>
      <c r="Y2260" t="str">
        <f t="shared" si="538"/>
        <v/>
      </c>
      <c r="Z2260">
        <f>IF($A2260="",0,IF(AND($M2260=1,$A2260=经营数据!$B$3,$J2260=经营数据!$BA$5,OR($I2260=经营数据!$BA$4,COUNTIF(经营数据!$AA$9:$AA$38,$I2260)&gt;0)),1,0))</f>
        <v>0</v>
      </c>
      <c r="AA2260" t="str">
        <f t="shared" si="539"/>
        <v/>
      </c>
      <c r="AB2260" t="str">
        <f t="shared" si="540"/>
        <v/>
      </c>
      <c r="AC2260">
        <f>IF($A2260="",0,IF(COUNTIF($A$2:$A2260,$A2260)=1,1,0))</f>
        <v>0</v>
      </c>
      <c r="AD2260">
        <f t="shared" si="541"/>
        <v>29</v>
      </c>
      <c r="AE2260" t="str">
        <f t="shared" si="542"/>
        <v/>
      </c>
    </row>
    <row r="2261" spans="1:31" x14ac:dyDescent="0.4">
      <c r="A2261" t="str">
        <f>IF(原始经营数据!$D2262="","",原始经营数据!$D2262)</f>
        <v/>
      </c>
      <c r="B2261" t="str">
        <f>IF(原始经营数据!$D2262="","",T(原始经营数据!$E2262))</f>
        <v/>
      </c>
      <c r="C2261" t="str">
        <f>IF(原始经营数据!$D2262="","",原始经营数据!$F2262)</f>
        <v/>
      </c>
      <c r="D2261" t="str">
        <f>IF(原始经营数据!$D2262="","",原始经营数据!$H2262)</f>
        <v/>
      </c>
      <c r="E2261" t="str">
        <f>IF(原始经营数据!$D2262="","",原始经营数据!$I2262)</f>
        <v/>
      </c>
      <c r="F2261" t="str">
        <f>IF(原始经营数据!$D2262="","",T(原始经营数据!$J2262))</f>
        <v/>
      </c>
      <c r="G2261" t="str">
        <f>IF(原始经营数据!$D2262="","",T(原始经营数据!$K2262))</f>
        <v/>
      </c>
      <c r="H2261" t="str">
        <f>IF(原始经营数据!$D2262="","",原始经营数据!$G2262)</f>
        <v/>
      </c>
      <c r="I2261" t="str">
        <f>IF($A2261="","",IF($B2261&lt;&gt;"",$B2261,IF(COUNTIFS(原始经营数据!$D$3:$D$3001,$A2261,原始经营数据!$E$3:$E$3001,"",原始经营数据!$F$3:$F$3001,$C2261,原始经营数据!$H$3:$H$3001,$D2261,原始经营数据!$K$3:$K$3001,$G2261)&gt;1,"基金整体·来源"&amp;原始经营数据!$A2262,"基金整体")))</f>
        <v/>
      </c>
      <c r="J2261" t="str">
        <f t="shared" si="528"/>
        <v/>
      </c>
      <c r="K2261" t="str">
        <f t="shared" si="529"/>
        <v/>
      </c>
      <c r="L2261" t="str">
        <f t="shared" si="530"/>
        <v/>
      </c>
      <c r="M2261">
        <f>IF($A2261="",0,IF(COUNTIF($L$2:$L2261,$L2261)=1,1,0))</f>
        <v>0</v>
      </c>
      <c r="N2261" t="str">
        <f t="shared" si="531"/>
        <v/>
      </c>
      <c r="O2261" t="str">
        <f t="shared" si="532"/>
        <v/>
      </c>
      <c r="P2261">
        <f>IF($A2261="",0,IF(COUNTIF($O$2:$O2261,$O2261)=1,1,0))</f>
        <v>0</v>
      </c>
      <c r="Q2261" t="str">
        <f>IF(AND($P2261=1,$A2261=经营数据!$B$3,$J2261=经营数据!$BA$5),COUNTIFS($P$2:$P$3000,1,$A$2:$A$3000,$A2261,$J$2:$J$3000,$J2261,$N$2:$N$3000,"&lt;"&amp;$N2261)+1,"")</f>
        <v/>
      </c>
      <c r="R2261" t="str">
        <f t="shared" si="533"/>
        <v/>
      </c>
      <c r="S2261">
        <f>IF($A2261="",0,IF(COUNTIF($R$2:$R2261,$R2261)=1,1,0))</f>
        <v>0</v>
      </c>
      <c r="T2261" t="str">
        <f t="shared" si="534"/>
        <v/>
      </c>
      <c r="U2261" t="str">
        <f>IF($A2261="","",IF($A2261=经营数据!$B$3,COUNTIFS($S$2:$S$3000,1,$A$2:$A$3000,$A2261,$T$2:$T$3000,"&lt;"&amp;$T2261)+1,""))</f>
        <v/>
      </c>
      <c r="V2261" t="str">
        <f t="shared" si="535"/>
        <v/>
      </c>
      <c r="W2261" t="str">
        <f t="shared" si="536"/>
        <v/>
      </c>
      <c r="X2261" t="str">
        <f t="shared" si="537"/>
        <v/>
      </c>
      <c r="Y2261" t="str">
        <f t="shared" si="538"/>
        <v/>
      </c>
      <c r="Z2261">
        <f>IF($A2261="",0,IF(AND($M2261=1,$A2261=经营数据!$B$3,$J2261=经营数据!$BA$5,OR($I2261=经营数据!$BA$4,COUNTIF(经营数据!$AA$9:$AA$38,$I2261)&gt;0)),1,0))</f>
        <v>0</v>
      </c>
      <c r="AA2261" t="str">
        <f t="shared" si="539"/>
        <v/>
      </c>
      <c r="AB2261" t="str">
        <f t="shared" si="540"/>
        <v/>
      </c>
      <c r="AC2261">
        <f>IF($A2261="",0,IF(COUNTIF($A$2:$A2261,$A2261)=1,1,0))</f>
        <v>0</v>
      </c>
      <c r="AD2261">
        <f t="shared" si="541"/>
        <v>29</v>
      </c>
      <c r="AE2261" t="str">
        <f t="shared" si="542"/>
        <v/>
      </c>
    </row>
    <row r="2262" spans="1:31" x14ac:dyDescent="0.4">
      <c r="A2262" t="str">
        <f>IF(原始经营数据!$D2263="","",原始经营数据!$D2263)</f>
        <v/>
      </c>
      <c r="B2262" t="str">
        <f>IF(原始经营数据!$D2263="","",T(原始经营数据!$E2263))</f>
        <v/>
      </c>
      <c r="C2262" t="str">
        <f>IF(原始经营数据!$D2263="","",原始经营数据!$F2263)</f>
        <v/>
      </c>
      <c r="D2262" t="str">
        <f>IF(原始经营数据!$D2263="","",原始经营数据!$H2263)</f>
        <v/>
      </c>
      <c r="E2262" t="str">
        <f>IF(原始经营数据!$D2263="","",原始经营数据!$I2263)</f>
        <v/>
      </c>
      <c r="F2262" t="str">
        <f>IF(原始经营数据!$D2263="","",T(原始经营数据!$J2263))</f>
        <v/>
      </c>
      <c r="G2262" t="str">
        <f>IF(原始经营数据!$D2263="","",T(原始经营数据!$K2263))</f>
        <v/>
      </c>
      <c r="H2262" t="str">
        <f>IF(原始经营数据!$D2263="","",原始经营数据!$G2263)</f>
        <v/>
      </c>
      <c r="I2262" t="str">
        <f>IF($A2262="","",IF($B2262&lt;&gt;"",$B2262,IF(COUNTIFS(原始经营数据!$D$3:$D$3001,$A2262,原始经营数据!$E$3:$E$3001,"",原始经营数据!$F$3:$F$3001,$C2262,原始经营数据!$H$3:$H$3001,$D2262,原始经营数据!$K$3:$K$3001,$G2262)&gt;1,"基金整体·来源"&amp;原始经营数据!$A2263,"基金整体")))</f>
        <v/>
      </c>
      <c r="J2262" t="str">
        <f t="shared" si="528"/>
        <v/>
      </c>
      <c r="K2262" t="str">
        <f t="shared" si="529"/>
        <v/>
      </c>
      <c r="L2262" t="str">
        <f t="shared" si="530"/>
        <v/>
      </c>
      <c r="M2262">
        <f>IF($A2262="",0,IF(COUNTIF($L$2:$L2262,$L2262)=1,1,0))</f>
        <v>0</v>
      </c>
      <c r="N2262" t="str">
        <f t="shared" si="531"/>
        <v/>
      </c>
      <c r="O2262" t="str">
        <f t="shared" si="532"/>
        <v/>
      </c>
      <c r="P2262">
        <f>IF($A2262="",0,IF(COUNTIF($O$2:$O2262,$O2262)=1,1,0))</f>
        <v>0</v>
      </c>
      <c r="Q2262" t="str">
        <f>IF(AND($P2262=1,$A2262=经营数据!$B$3,$J2262=经营数据!$BA$5),COUNTIFS($P$2:$P$3000,1,$A$2:$A$3000,$A2262,$J$2:$J$3000,$J2262,$N$2:$N$3000,"&lt;"&amp;$N2262)+1,"")</f>
        <v/>
      </c>
      <c r="R2262" t="str">
        <f t="shared" si="533"/>
        <v/>
      </c>
      <c r="S2262">
        <f>IF($A2262="",0,IF(COUNTIF($R$2:$R2262,$R2262)=1,1,0))</f>
        <v>0</v>
      </c>
      <c r="T2262" t="str">
        <f t="shared" si="534"/>
        <v/>
      </c>
      <c r="U2262" t="str">
        <f>IF($A2262="","",IF($A2262=经营数据!$B$3,COUNTIFS($S$2:$S$3000,1,$A$2:$A$3000,$A2262,$T$2:$T$3000,"&lt;"&amp;$T2262)+1,""))</f>
        <v/>
      </c>
      <c r="V2262" t="str">
        <f t="shared" si="535"/>
        <v/>
      </c>
      <c r="W2262" t="str">
        <f t="shared" si="536"/>
        <v/>
      </c>
      <c r="X2262" t="str">
        <f t="shared" si="537"/>
        <v/>
      </c>
      <c r="Y2262" t="str">
        <f t="shared" si="538"/>
        <v/>
      </c>
      <c r="Z2262">
        <f>IF($A2262="",0,IF(AND($M2262=1,$A2262=经营数据!$B$3,$J2262=经营数据!$BA$5,OR($I2262=经营数据!$BA$4,COUNTIF(经营数据!$AA$9:$AA$38,$I2262)&gt;0)),1,0))</f>
        <v>0</v>
      </c>
      <c r="AA2262" t="str">
        <f t="shared" si="539"/>
        <v/>
      </c>
      <c r="AB2262" t="str">
        <f t="shared" si="540"/>
        <v/>
      </c>
      <c r="AC2262">
        <f>IF($A2262="",0,IF(COUNTIF($A$2:$A2262,$A2262)=1,1,0))</f>
        <v>0</v>
      </c>
      <c r="AD2262">
        <f t="shared" si="541"/>
        <v>29</v>
      </c>
      <c r="AE2262" t="str">
        <f t="shared" si="542"/>
        <v/>
      </c>
    </row>
    <row r="2263" spans="1:31" x14ac:dyDescent="0.4">
      <c r="A2263" t="str">
        <f>IF(原始经营数据!$D2264="","",原始经营数据!$D2264)</f>
        <v/>
      </c>
      <c r="B2263" t="str">
        <f>IF(原始经营数据!$D2264="","",T(原始经营数据!$E2264))</f>
        <v/>
      </c>
      <c r="C2263" t="str">
        <f>IF(原始经营数据!$D2264="","",原始经营数据!$F2264)</f>
        <v/>
      </c>
      <c r="D2263" t="str">
        <f>IF(原始经营数据!$D2264="","",原始经营数据!$H2264)</f>
        <v/>
      </c>
      <c r="E2263" t="str">
        <f>IF(原始经营数据!$D2264="","",原始经营数据!$I2264)</f>
        <v/>
      </c>
      <c r="F2263" t="str">
        <f>IF(原始经营数据!$D2264="","",T(原始经营数据!$J2264))</f>
        <v/>
      </c>
      <c r="G2263" t="str">
        <f>IF(原始经营数据!$D2264="","",T(原始经营数据!$K2264))</f>
        <v/>
      </c>
      <c r="H2263" t="str">
        <f>IF(原始经营数据!$D2264="","",原始经营数据!$G2264)</f>
        <v/>
      </c>
      <c r="I2263" t="str">
        <f>IF($A2263="","",IF($B2263&lt;&gt;"",$B2263,IF(COUNTIFS(原始经营数据!$D$3:$D$3001,$A2263,原始经营数据!$E$3:$E$3001,"",原始经营数据!$F$3:$F$3001,$C2263,原始经营数据!$H$3:$H$3001,$D2263,原始经营数据!$K$3:$K$3001,$G2263)&gt;1,"基金整体·来源"&amp;原始经营数据!$A2264,"基金整体")))</f>
        <v/>
      </c>
      <c r="J2263" t="str">
        <f t="shared" si="528"/>
        <v/>
      </c>
      <c r="K2263" t="str">
        <f t="shared" si="529"/>
        <v/>
      </c>
      <c r="L2263" t="str">
        <f t="shared" si="530"/>
        <v/>
      </c>
      <c r="M2263">
        <f>IF($A2263="",0,IF(COUNTIF($L$2:$L2263,$L2263)=1,1,0))</f>
        <v>0</v>
      </c>
      <c r="N2263" t="str">
        <f t="shared" si="531"/>
        <v/>
      </c>
      <c r="O2263" t="str">
        <f t="shared" si="532"/>
        <v/>
      </c>
      <c r="P2263">
        <f>IF($A2263="",0,IF(COUNTIF($O$2:$O2263,$O2263)=1,1,0))</f>
        <v>0</v>
      </c>
      <c r="Q2263" t="str">
        <f>IF(AND($P2263=1,$A2263=经营数据!$B$3,$J2263=经营数据!$BA$5),COUNTIFS($P$2:$P$3000,1,$A$2:$A$3000,$A2263,$J$2:$J$3000,$J2263,$N$2:$N$3000,"&lt;"&amp;$N2263)+1,"")</f>
        <v/>
      </c>
      <c r="R2263" t="str">
        <f t="shared" si="533"/>
        <v/>
      </c>
      <c r="S2263">
        <f>IF($A2263="",0,IF(COUNTIF($R$2:$R2263,$R2263)=1,1,0))</f>
        <v>0</v>
      </c>
      <c r="T2263" t="str">
        <f t="shared" si="534"/>
        <v/>
      </c>
      <c r="U2263" t="str">
        <f>IF($A2263="","",IF($A2263=经营数据!$B$3,COUNTIFS($S$2:$S$3000,1,$A$2:$A$3000,$A2263,$T$2:$T$3000,"&lt;"&amp;$T2263)+1,""))</f>
        <v/>
      </c>
      <c r="V2263" t="str">
        <f t="shared" si="535"/>
        <v/>
      </c>
      <c r="W2263" t="str">
        <f t="shared" si="536"/>
        <v/>
      </c>
      <c r="X2263" t="str">
        <f t="shared" si="537"/>
        <v/>
      </c>
      <c r="Y2263" t="str">
        <f t="shared" si="538"/>
        <v/>
      </c>
      <c r="Z2263">
        <f>IF($A2263="",0,IF(AND($M2263=1,$A2263=经营数据!$B$3,$J2263=经营数据!$BA$5,OR($I2263=经营数据!$BA$4,COUNTIF(经营数据!$AA$9:$AA$38,$I2263)&gt;0)),1,0))</f>
        <v>0</v>
      </c>
      <c r="AA2263" t="str">
        <f t="shared" si="539"/>
        <v/>
      </c>
      <c r="AB2263" t="str">
        <f t="shared" si="540"/>
        <v/>
      </c>
      <c r="AC2263">
        <f>IF($A2263="",0,IF(COUNTIF($A$2:$A2263,$A2263)=1,1,0))</f>
        <v>0</v>
      </c>
      <c r="AD2263">
        <f t="shared" si="541"/>
        <v>29</v>
      </c>
      <c r="AE2263" t="str">
        <f t="shared" si="542"/>
        <v/>
      </c>
    </row>
    <row r="2264" spans="1:31" x14ac:dyDescent="0.4">
      <c r="A2264" t="str">
        <f>IF(原始经营数据!$D2265="","",原始经营数据!$D2265)</f>
        <v/>
      </c>
      <c r="B2264" t="str">
        <f>IF(原始经营数据!$D2265="","",T(原始经营数据!$E2265))</f>
        <v/>
      </c>
      <c r="C2264" t="str">
        <f>IF(原始经营数据!$D2265="","",原始经营数据!$F2265)</f>
        <v/>
      </c>
      <c r="D2264" t="str">
        <f>IF(原始经营数据!$D2265="","",原始经营数据!$H2265)</f>
        <v/>
      </c>
      <c r="E2264" t="str">
        <f>IF(原始经营数据!$D2265="","",原始经营数据!$I2265)</f>
        <v/>
      </c>
      <c r="F2264" t="str">
        <f>IF(原始经营数据!$D2265="","",T(原始经营数据!$J2265))</f>
        <v/>
      </c>
      <c r="G2264" t="str">
        <f>IF(原始经营数据!$D2265="","",T(原始经营数据!$K2265))</f>
        <v/>
      </c>
      <c r="H2264" t="str">
        <f>IF(原始经营数据!$D2265="","",原始经营数据!$G2265)</f>
        <v/>
      </c>
      <c r="I2264" t="str">
        <f>IF($A2264="","",IF($B2264&lt;&gt;"",$B2264,IF(COUNTIFS(原始经营数据!$D$3:$D$3001,$A2264,原始经营数据!$E$3:$E$3001,"",原始经营数据!$F$3:$F$3001,$C2264,原始经营数据!$H$3:$H$3001,$D2264,原始经营数据!$K$3:$K$3001,$G2264)&gt;1,"基金整体·来源"&amp;原始经营数据!$A2265,"基金整体")))</f>
        <v/>
      </c>
      <c r="J2264" t="str">
        <f t="shared" si="528"/>
        <v/>
      </c>
      <c r="K2264" t="str">
        <f t="shared" si="529"/>
        <v/>
      </c>
      <c r="L2264" t="str">
        <f t="shared" si="530"/>
        <v/>
      </c>
      <c r="M2264">
        <f>IF($A2264="",0,IF(COUNTIF($L$2:$L2264,$L2264)=1,1,0))</f>
        <v>0</v>
      </c>
      <c r="N2264" t="str">
        <f t="shared" si="531"/>
        <v/>
      </c>
      <c r="O2264" t="str">
        <f t="shared" si="532"/>
        <v/>
      </c>
      <c r="P2264">
        <f>IF($A2264="",0,IF(COUNTIF($O$2:$O2264,$O2264)=1,1,0))</f>
        <v>0</v>
      </c>
      <c r="Q2264" t="str">
        <f>IF(AND($P2264=1,$A2264=经营数据!$B$3,$J2264=经营数据!$BA$5),COUNTIFS($P$2:$P$3000,1,$A$2:$A$3000,$A2264,$J$2:$J$3000,$J2264,$N$2:$N$3000,"&lt;"&amp;$N2264)+1,"")</f>
        <v/>
      </c>
      <c r="R2264" t="str">
        <f t="shared" si="533"/>
        <v/>
      </c>
      <c r="S2264">
        <f>IF($A2264="",0,IF(COUNTIF($R$2:$R2264,$R2264)=1,1,0))</f>
        <v>0</v>
      </c>
      <c r="T2264" t="str">
        <f t="shared" si="534"/>
        <v/>
      </c>
      <c r="U2264" t="str">
        <f>IF($A2264="","",IF($A2264=经营数据!$B$3,COUNTIFS($S$2:$S$3000,1,$A$2:$A$3000,$A2264,$T$2:$T$3000,"&lt;"&amp;$T2264)+1,""))</f>
        <v/>
      </c>
      <c r="V2264" t="str">
        <f t="shared" si="535"/>
        <v/>
      </c>
      <c r="W2264" t="str">
        <f t="shared" si="536"/>
        <v/>
      </c>
      <c r="X2264" t="str">
        <f t="shared" si="537"/>
        <v/>
      </c>
      <c r="Y2264" t="str">
        <f t="shared" si="538"/>
        <v/>
      </c>
      <c r="Z2264">
        <f>IF($A2264="",0,IF(AND($M2264=1,$A2264=经营数据!$B$3,$J2264=经营数据!$BA$5,OR($I2264=经营数据!$BA$4,COUNTIF(经营数据!$AA$9:$AA$38,$I2264)&gt;0)),1,0))</f>
        <v>0</v>
      </c>
      <c r="AA2264" t="str">
        <f t="shared" si="539"/>
        <v/>
      </c>
      <c r="AB2264" t="str">
        <f t="shared" si="540"/>
        <v/>
      </c>
      <c r="AC2264">
        <f>IF($A2264="",0,IF(COUNTIF($A$2:$A2264,$A2264)=1,1,0))</f>
        <v>0</v>
      </c>
      <c r="AD2264">
        <f t="shared" si="541"/>
        <v>29</v>
      </c>
      <c r="AE2264" t="str">
        <f t="shared" si="542"/>
        <v/>
      </c>
    </row>
    <row r="2265" spans="1:31" x14ac:dyDescent="0.4">
      <c r="A2265" t="str">
        <f>IF(原始经营数据!$D2266="","",原始经营数据!$D2266)</f>
        <v/>
      </c>
      <c r="B2265" t="str">
        <f>IF(原始经营数据!$D2266="","",T(原始经营数据!$E2266))</f>
        <v/>
      </c>
      <c r="C2265" t="str">
        <f>IF(原始经营数据!$D2266="","",原始经营数据!$F2266)</f>
        <v/>
      </c>
      <c r="D2265" t="str">
        <f>IF(原始经营数据!$D2266="","",原始经营数据!$H2266)</f>
        <v/>
      </c>
      <c r="E2265" t="str">
        <f>IF(原始经营数据!$D2266="","",原始经营数据!$I2266)</f>
        <v/>
      </c>
      <c r="F2265" t="str">
        <f>IF(原始经营数据!$D2266="","",T(原始经营数据!$J2266))</f>
        <v/>
      </c>
      <c r="G2265" t="str">
        <f>IF(原始经营数据!$D2266="","",T(原始经营数据!$K2266))</f>
        <v/>
      </c>
      <c r="H2265" t="str">
        <f>IF(原始经营数据!$D2266="","",原始经营数据!$G2266)</f>
        <v/>
      </c>
      <c r="I2265" t="str">
        <f>IF($A2265="","",IF($B2265&lt;&gt;"",$B2265,IF(COUNTIFS(原始经营数据!$D$3:$D$3001,$A2265,原始经营数据!$E$3:$E$3001,"",原始经营数据!$F$3:$F$3001,$C2265,原始经营数据!$H$3:$H$3001,$D2265,原始经营数据!$K$3:$K$3001,$G2265)&gt;1,"基金整体·来源"&amp;原始经营数据!$A2266,"基金整体")))</f>
        <v/>
      </c>
      <c r="J2265" t="str">
        <f t="shared" si="528"/>
        <v/>
      </c>
      <c r="K2265" t="str">
        <f t="shared" si="529"/>
        <v/>
      </c>
      <c r="L2265" t="str">
        <f t="shared" si="530"/>
        <v/>
      </c>
      <c r="M2265">
        <f>IF($A2265="",0,IF(COUNTIF($L$2:$L2265,$L2265)=1,1,0))</f>
        <v>0</v>
      </c>
      <c r="N2265" t="str">
        <f t="shared" si="531"/>
        <v/>
      </c>
      <c r="O2265" t="str">
        <f t="shared" si="532"/>
        <v/>
      </c>
      <c r="P2265">
        <f>IF($A2265="",0,IF(COUNTIF($O$2:$O2265,$O2265)=1,1,0))</f>
        <v>0</v>
      </c>
      <c r="Q2265" t="str">
        <f>IF(AND($P2265=1,$A2265=经营数据!$B$3,$J2265=经营数据!$BA$5),COUNTIFS($P$2:$P$3000,1,$A$2:$A$3000,$A2265,$J$2:$J$3000,$J2265,$N$2:$N$3000,"&lt;"&amp;$N2265)+1,"")</f>
        <v/>
      </c>
      <c r="R2265" t="str">
        <f t="shared" si="533"/>
        <v/>
      </c>
      <c r="S2265">
        <f>IF($A2265="",0,IF(COUNTIF($R$2:$R2265,$R2265)=1,1,0))</f>
        <v>0</v>
      </c>
      <c r="T2265" t="str">
        <f t="shared" si="534"/>
        <v/>
      </c>
      <c r="U2265" t="str">
        <f>IF($A2265="","",IF($A2265=经营数据!$B$3,COUNTIFS($S$2:$S$3000,1,$A$2:$A$3000,$A2265,$T$2:$T$3000,"&lt;"&amp;$T2265)+1,""))</f>
        <v/>
      </c>
      <c r="V2265" t="str">
        <f t="shared" si="535"/>
        <v/>
      </c>
      <c r="W2265" t="str">
        <f t="shared" si="536"/>
        <v/>
      </c>
      <c r="X2265" t="str">
        <f t="shared" si="537"/>
        <v/>
      </c>
      <c r="Y2265" t="str">
        <f t="shared" si="538"/>
        <v/>
      </c>
      <c r="Z2265">
        <f>IF($A2265="",0,IF(AND($M2265=1,$A2265=经营数据!$B$3,$J2265=经营数据!$BA$5,OR($I2265=经营数据!$BA$4,COUNTIF(经营数据!$AA$9:$AA$38,$I2265)&gt;0)),1,0))</f>
        <v>0</v>
      </c>
      <c r="AA2265" t="str">
        <f t="shared" si="539"/>
        <v/>
      </c>
      <c r="AB2265" t="str">
        <f t="shared" si="540"/>
        <v/>
      </c>
      <c r="AC2265">
        <f>IF($A2265="",0,IF(COUNTIF($A$2:$A2265,$A2265)=1,1,0))</f>
        <v>0</v>
      </c>
      <c r="AD2265">
        <f t="shared" si="541"/>
        <v>29</v>
      </c>
      <c r="AE2265" t="str">
        <f t="shared" si="542"/>
        <v/>
      </c>
    </row>
    <row r="2266" spans="1:31" x14ac:dyDescent="0.4">
      <c r="A2266" t="str">
        <f>IF(原始经营数据!$D2267="","",原始经营数据!$D2267)</f>
        <v/>
      </c>
      <c r="B2266" t="str">
        <f>IF(原始经营数据!$D2267="","",T(原始经营数据!$E2267))</f>
        <v/>
      </c>
      <c r="C2266" t="str">
        <f>IF(原始经营数据!$D2267="","",原始经营数据!$F2267)</f>
        <v/>
      </c>
      <c r="D2266" t="str">
        <f>IF(原始经营数据!$D2267="","",原始经营数据!$H2267)</f>
        <v/>
      </c>
      <c r="E2266" t="str">
        <f>IF(原始经营数据!$D2267="","",原始经营数据!$I2267)</f>
        <v/>
      </c>
      <c r="F2266" t="str">
        <f>IF(原始经营数据!$D2267="","",T(原始经营数据!$J2267))</f>
        <v/>
      </c>
      <c r="G2266" t="str">
        <f>IF(原始经营数据!$D2267="","",T(原始经营数据!$K2267))</f>
        <v/>
      </c>
      <c r="H2266" t="str">
        <f>IF(原始经营数据!$D2267="","",原始经营数据!$G2267)</f>
        <v/>
      </c>
      <c r="I2266" t="str">
        <f>IF($A2266="","",IF($B2266&lt;&gt;"",$B2266,IF(COUNTIFS(原始经营数据!$D$3:$D$3001,$A2266,原始经营数据!$E$3:$E$3001,"",原始经营数据!$F$3:$F$3001,$C2266,原始经营数据!$H$3:$H$3001,$D2266,原始经营数据!$K$3:$K$3001,$G2266)&gt;1,"基金整体·来源"&amp;原始经营数据!$A2267,"基金整体")))</f>
        <v/>
      </c>
      <c r="J2266" t="str">
        <f t="shared" si="528"/>
        <v/>
      </c>
      <c r="K2266" t="str">
        <f t="shared" si="529"/>
        <v/>
      </c>
      <c r="L2266" t="str">
        <f t="shared" si="530"/>
        <v/>
      </c>
      <c r="M2266">
        <f>IF($A2266="",0,IF(COUNTIF($L$2:$L2266,$L2266)=1,1,0))</f>
        <v>0</v>
      </c>
      <c r="N2266" t="str">
        <f t="shared" si="531"/>
        <v/>
      </c>
      <c r="O2266" t="str">
        <f t="shared" si="532"/>
        <v/>
      </c>
      <c r="P2266">
        <f>IF($A2266="",0,IF(COUNTIF($O$2:$O2266,$O2266)=1,1,0))</f>
        <v>0</v>
      </c>
      <c r="Q2266" t="str">
        <f>IF(AND($P2266=1,$A2266=经营数据!$B$3,$J2266=经营数据!$BA$5),COUNTIFS($P$2:$P$3000,1,$A$2:$A$3000,$A2266,$J$2:$J$3000,$J2266,$N$2:$N$3000,"&lt;"&amp;$N2266)+1,"")</f>
        <v/>
      </c>
      <c r="R2266" t="str">
        <f t="shared" si="533"/>
        <v/>
      </c>
      <c r="S2266">
        <f>IF($A2266="",0,IF(COUNTIF($R$2:$R2266,$R2266)=1,1,0))</f>
        <v>0</v>
      </c>
      <c r="T2266" t="str">
        <f t="shared" si="534"/>
        <v/>
      </c>
      <c r="U2266" t="str">
        <f>IF($A2266="","",IF($A2266=经营数据!$B$3,COUNTIFS($S$2:$S$3000,1,$A$2:$A$3000,$A2266,$T$2:$T$3000,"&lt;"&amp;$T2266)+1,""))</f>
        <v/>
      </c>
      <c r="V2266" t="str">
        <f t="shared" si="535"/>
        <v/>
      </c>
      <c r="W2266" t="str">
        <f t="shared" si="536"/>
        <v/>
      </c>
      <c r="X2266" t="str">
        <f t="shared" si="537"/>
        <v/>
      </c>
      <c r="Y2266" t="str">
        <f t="shared" si="538"/>
        <v/>
      </c>
      <c r="Z2266">
        <f>IF($A2266="",0,IF(AND($M2266=1,$A2266=经营数据!$B$3,$J2266=经营数据!$BA$5,OR($I2266=经营数据!$BA$4,COUNTIF(经营数据!$AA$9:$AA$38,$I2266)&gt;0)),1,0))</f>
        <v>0</v>
      </c>
      <c r="AA2266" t="str">
        <f t="shared" si="539"/>
        <v/>
      </c>
      <c r="AB2266" t="str">
        <f t="shared" si="540"/>
        <v/>
      </c>
      <c r="AC2266">
        <f>IF($A2266="",0,IF(COUNTIF($A$2:$A2266,$A2266)=1,1,0))</f>
        <v>0</v>
      </c>
      <c r="AD2266">
        <f t="shared" si="541"/>
        <v>29</v>
      </c>
      <c r="AE2266" t="str">
        <f t="shared" si="542"/>
        <v/>
      </c>
    </row>
    <row r="2267" spans="1:31" x14ac:dyDescent="0.4">
      <c r="A2267" t="str">
        <f>IF(原始经营数据!$D2268="","",原始经营数据!$D2268)</f>
        <v/>
      </c>
      <c r="B2267" t="str">
        <f>IF(原始经营数据!$D2268="","",T(原始经营数据!$E2268))</f>
        <v/>
      </c>
      <c r="C2267" t="str">
        <f>IF(原始经营数据!$D2268="","",原始经营数据!$F2268)</f>
        <v/>
      </c>
      <c r="D2267" t="str">
        <f>IF(原始经营数据!$D2268="","",原始经营数据!$H2268)</f>
        <v/>
      </c>
      <c r="E2267" t="str">
        <f>IF(原始经营数据!$D2268="","",原始经营数据!$I2268)</f>
        <v/>
      </c>
      <c r="F2267" t="str">
        <f>IF(原始经营数据!$D2268="","",T(原始经营数据!$J2268))</f>
        <v/>
      </c>
      <c r="G2267" t="str">
        <f>IF(原始经营数据!$D2268="","",T(原始经营数据!$K2268))</f>
        <v/>
      </c>
      <c r="H2267" t="str">
        <f>IF(原始经营数据!$D2268="","",原始经营数据!$G2268)</f>
        <v/>
      </c>
      <c r="I2267" t="str">
        <f>IF($A2267="","",IF($B2267&lt;&gt;"",$B2267,IF(COUNTIFS(原始经营数据!$D$3:$D$3001,$A2267,原始经营数据!$E$3:$E$3001,"",原始经营数据!$F$3:$F$3001,$C2267,原始经营数据!$H$3:$H$3001,$D2267,原始经营数据!$K$3:$K$3001,$G2267)&gt;1,"基金整体·来源"&amp;原始经营数据!$A2268,"基金整体")))</f>
        <v/>
      </c>
      <c r="J2267" t="str">
        <f t="shared" si="528"/>
        <v/>
      </c>
      <c r="K2267" t="str">
        <f t="shared" si="529"/>
        <v/>
      </c>
      <c r="L2267" t="str">
        <f t="shared" si="530"/>
        <v/>
      </c>
      <c r="M2267">
        <f>IF($A2267="",0,IF(COUNTIF($L$2:$L2267,$L2267)=1,1,0))</f>
        <v>0</v>
      </c>
      <c r="N2267" t="str">
        <f t="shared" si="531"/>
        <v/>
      </c>
      <c r="O2267" t="str">
        <f t="shared" si="532"/>
        <v/>
      </c>
      <c r="P2267">
        <f>IF($A2267="",0,IF(COUNTIF($O$2:$O2267,$O2267)=1,1,0))</f>
        <v>0</v>
      </c>
      <c r="Q2267" t="str">
        <f>IF(AND($P2267=1,$A2267=经营数据!$B$3,$J2267=经营数据!$BA$5),COUNTIFS($P$2:$P$3000,1,$A$2:$A$3000,$A2267,$J$2:$J$3000,$J2267,$N$2:$N$3000,"&lt;"&amp;$N2267)+1,"")</f>
        <v/>
      </c>
      <c r="R2267" t="str">
        <f t="shared" si="533"/>
        <v/>
      </c>
      <c r="S2267">
        <f>IF($A2267="",0,IF(COUNTIF($R$2:$R2267,$R2267)=1,1,0))</f>
        <v>0</v>
      </c>
      <c r="T2267" t="str">
        <f t="shared" si="534"/>
        <v/>
      </c>
      <c r="U2267" t="str">
        <f>IF($A2267="","",IF($A2267=经营数据!$B$3,COUNTIFS($S$2:$S$3000,1,$A$2:$A$3000,$A2267,$T$2:$T$3000,"&lt;"&amp;$T2267)+1,""))</f>
        <v/>
      </c>
      <c r="V2267" t="str">
        <f t="shared" si="535"/>
        <v/>
      </c>
      <c r="W2267" t="str">
        <f t="shared" si="536"/>
        <v/>
      </c>
      <c r="X2267" t="str">
        <f t="shared" si="537"/>
        <v/>
      </c>
      <c r="Y2267" t="str">
        <f t="shared" si="538"/>
        <v/>
      </c>
      <c r="Z2267">
        <f>IF($A2267="",0,IF(AND($M2267=1,$A2267=经营数据!$B$3,$J2267=经营数据!$BA$5,OR($I2267=经营数据!$BA$4,COUNTIF(经营数据!$AA$9:$AA$38,$I2267)&gt;0)),1,0))</f>
        <v>0</v>
      </c>
      <c r="AA2267" t="str">
        <f t="shared" si="539"/>
        <v/>
      </c>
      <c r="AB2267" t="str">
        <f t="shared" si="540"/>
        <v/>
      </c>
      <c r="AC2267">
        <f>IF($A2267="",0,IF(COUNTIF($A$2:$A2267,$A2267)=1,1,0))</f>
        <v>0</v>
      </c>
      <c r="AD2267">
        <f t="shared" si="541"/>
        <v>29</v>
      </c>
      <c r="AE2267" t="str">
        <f t="shared" si="542"/>
        <v/>
      </c>
    </row>
    <row r="2268" spans="1:31" x14ac:dyDescent="0.4">
      <c r="A2268" t="str">
        <f>IF(原始经营数据!$D2269="","",原始经营数据!$D2269)</f>
        <v/>
      </c>
      <c r="B2268" t="str">
        <f>IF(原始经营数据!$D2269="","",T(原始经营数据!$E2269))</f>
        <v/>
      </c>
      <c r="C2268" t="str">
        <f>IF(原始经营数据!$D2269="","",原始经营数据!$F2269)</f>
        <v/>
      </c>
      <c r="D2268" t="str">
        <f>IF(原始经营数据!$D2269="","",原始经营数据!$H2269)</f>
        <v/>
      </c>
      <c r="E2268" t="str">
        <f>IF(原始经营数据!$D2269="","",原始经营数据!$I2269)</f>
        <v/>
      </c>
      <c r="F2268" t="str">
        <f>IF(原始经营数据!$D2269="","",T(原始经营数据!$J2269))</f>
        <v/>
      </c>
      <c r="G2268" t="str">
        <f>IF(原始经营数据!$D2269="","",T(原始经营数据!$K2269))</f>
        <v/>
      </c>
      <c r="H2268" t="str">
        <f>IF(原始经营数据!$D2269="","",原始经营数据!$G2269)</f>
        <v/>
      </c>
      <c r="I2268" t="str">
        <f>IF($A2268="","",IF($B2268&lt;&gt;"",$B2268,IF(COUNTIFS(原始经营数据!$D$3:$D$3001,$A2268,原始经营数据!$E$3:$E$3001,"",原始经营数据!$F$3:$F$3001,$C2268,原始经营数据!$H$3:$H$3001,$D2268,原始经营数据!$K$3:$K$3001,$G2268)&gt;1,"基金整体·来源"&amp;原始经营数据!$A2269,"基金整体")))</f>
        <v/>
      </c>
      <c r="J2268" t="str">
        <f t="shared" si="528"/>
        <v/>
      </c>
      <c r="K2268" t="str">
        <f t="shared" si="529"/>
        <v/>
      </c>
      <c r="L2268" t="str">
        <f t="shared" si="530"/>
        <v/>
      </c>
      <c r="M2268">
        <f>IF($A2268="",0,IF(COUNTIF($L$2:$L2268,$L2268)=1,1,0))</f>
        <v>0</v>
      </c>
      <c r="N2268" t="str">
        <f t="shared" si="531"/>
        <v/>
      </c>
      <c r="O2268" t="str">
        <f t="shared" si="532"/>
        <v/>
      </c>
      <c r="P2268">
        <f>IF($A2268="",0,IF(COUNTIF($O$2:$O2268,$O2268)=1,1,0))</f>
        <v>0</v>
      </c>
      <c r="Q2268" t="str">
        <f>IF(AND($P2268=1,$A2268=经营数据!$B$3,$J2268=经营数据!$BA$5),COUNTIFS($P$2:$P$3000,1,$A$2:$A$3000,$A2268,$J$2:$J$3000,$J2268,$N$2:$N$3000,"&lt;"&amp;$N2268)+1,"")</f>
        <v/>
      </c>
      <c r="R2268" t="str">
        <f t="shared" si="533"/>
        <v/>
      </c>
      <c r="S2268">
        <f>IF($A2268="",0,IF(COUNTIF($R$2:$R2268,$R2268)=1,1,0))</f>
        <v>0</v>
      </c>
      <c r="T2268" t="str">
        <f t="shared" si="534"/>
        <v/>
      </c>
      <c r="U2268" t="str">
        <f>IF($A2268="","",IF($A2268=经营数据!$B$3,COUNTIFS($S$2:$S$3000,1,$A$2:$A$3000,$A2268,$T$2:$T$3000,"&lt;"&amp;$T2268)+1,""))</f>
        <v/>
      </c>
      <c r="V2268" t="str">
        <f t="shared" si="535"/>
        <v/>
      </c>
      <c r="W2268" t="str">
        <f t="shared" si="536"/>
        <v/>
      </c>
      <c r="X2268" t="str">
        <f t="shared" si="537"/>
        <v/>
      </c>
      <c r="Y2268" t="str">
        <f t="shared" si="538"/>
        <v/>
      </c>
      <c r="Z2268">
        <f>IF($A2268="",0,IF(AND($M2268=1,$A2268=经营数据!$B$3,$J2268=经营数据!$BA$5,OR($I2268=经营数据!$BA$4,COUNTIF(经营数据!$AA$9:$AA$38,$I2268)&gt;0)),1,0))</f>
        <v>0</v>
      </c>
      <c r="AA2268" t="str">
        <f t="shared" si="539"/>
        <v/>
      </c>
      <c r="AB2268" t="str">
        <f t="shared" si="540"/>
        <v/>
      </c>
      <c r="AC2268">
        <f>IF($A2268="",0,IF(COUNTIF($A$2:$A2268,$A2268)=1,1,0))</f>
        <v>0</v>
      </c>
      <c r="AD2268">
        <f t="shared" si="541"/>
        <v>29</v>
      </c>
      <c r="AE2268" t="str">
        <f t="shared" si="542"/>
        <v/>
      </c>
    </row>
    <row r="2269" spans="1:31" x14ac:dyDescent="0.4">
      <c r="A2269" t="str">
        <f>IF(原始经营数据!$D2270="","",原始经营数据!$D2270)</f>
        <v/>
      </c>
      <c r="B2269" t="str">
        <f>IF(原始经营数据!$D2270="","",T(原始经营数据!$E2270))</f>
        <v/>
      </c>
      <c r="C2269" t="str">
        <f>IF(原始经营数据!$D2270="","",原始经营数据!$F2270)</f>
        <v/>
      </c>
      <c r="D2269" t="str">
        <f>IF(原始经营数据!$D2270="","",原始经营数据!$H2270)</f>
        <v/>
      </c>
      <c r="E2269" t="str">
        <f>IF(原始经营数据!$D2270="","",原始经营数据!$I2270)</f>
        <v/>
      </c>
      <c r="F2269" t="str">
        <f>IF(原始经营数据!$D2270="","",T(原始经营数据!$J2270))</f>
        <v/>
      </c>
      <c r="G2269" t="str">
        <f>IF(原始经营数据!$D2270="","",T(原始经营数据!$K2270))</f>
        <v/>
      </c>
      <c r="H2269" t="str">
        <f>IF(原始经营数据!$D2270="","",原始经营数据!$G2270)</f>
        <v/>
      </c>
      <c r="I2269" t="str">
        <f>IF($A2269="","",IF($B2269&lt;&gt;"",$B2269,IF(COUNTIFS(原始经营数据!$D$3:$D$3001,$A2269,原始经营数据!$E$3:$E$3001,"",原始经营数据!$F$3:$F$3001,$C2269,原始经营数据!$H$3:$H$3001,$D2269,原始经营数据!$K$3:$K$3001,$G2269)&gt;1,"基金整体·来源"&amp;原始经营数据!$A2270,"基金整体")))</f>
        <v/>
      </c>
      <c r="J2269" t="str">
        <f t="shared" si="528"/>
        <v/>
      </c>
      <c r="K2269" t="str">
        <f t="shared" si="529"/>
        <v/>
      </c>
      <c r="L2269" t="str">
        <f t="shared" si="530"/>
        <v/>
      </c>
      <c r="M2269">
        <f>IF($A2269="",0,IF(COUNTIF($L$2:$L2269,$L2269)=1,1,0))</f>
        <v>0</v>
      </c>
      <c r="N2269" t="str">
        <f t="shared" si="531"/>
        <v/>
      </c>
      <c r="O2269" t="str">
        <f t="shared" si="532"/>
        <v/>
      </c>
      <c r="P2269">
        <f>IF($A2269="",0,IF(COUNTIF($O$2:$O2269,$O2269)=1,1,0))</f>
        <v>0</v>
      </c>
      <c r="Q2269" t="str">
        <f>IF(AND($P2269=1,$A2269=经营数据!$B$3,$J2269=经营数据!$BA$5),COUNTIFS($P$2:$P$3000,1,$A$2:$A$3000,$A2269,$J$2:$J$3000,$J2269,$N$2:$N$3000,"&lt;"&amp;$N2269)+1,"")</f>
        <v/>
      </c>
      <c r="R2269" t="str">
        <f t="shared" si="533"/>
        <v/>
      </c>
      <c r="S2269">
        <f>IF($A2269="",0,IF(COUNTIF($R$2:$R2269,$R2269)=1,1,0))</f>
        <v>0</v>
      </c>
      <c r="T2269" t="str">
        <f t="shared" si="534"/>
        <v/>
      </c>
      <c r="U2269" t="str">
        <f>IF($A2269="","",IF($A2269=经营数据!$B$3,COUNTIFS($S$2:$S$3000,1,$A$2:$A$3000,$A2269,$T$2:$T$3000,"&lt;"&amp;$T2269)+1,""))</f>
        <v/>
      </c>
      <c r="V2269" t="str">
        <f t="shared" si="535"/>
        <v/>
      </c>
      <c r="W2269" t="str">
        <f t="shared" si="536"/>
        <v/>
      </c>
      <c r="X2269" t="str">
        <f t="shared" si="537"/>
        <v/>
      </c>
      <c r="Y2269" t="str">
        <f t="shared" si="538"/>
        <v/>
      </c>
      <c r="Z2269">
        <f>IF($A2269="",0,IF(AND($M2269=1,$A2269=经营数据!$B$3,$J2269=经营数据!$BA$5,OR($I2269=经营数据!$BA$4,COUNTIF(经营数据!$AA$9:$AA$38,$I2269)&gt;0)),1,0))</f>
        <v>0</v>
      </c>
      <c r="AA2269" t="str">
        <f t="shared" si="539"/>
        <v/>
      </c>
      <c r="AB2269" t="str">
        <f t="shared" si="540"/>
        <v/>
      </c>
      <c r="AC2269">
        <f>IF($A2269="",0,IF(COUNTIF($A$2:$A2269,$A2269)=1,1,0))</f>
        <v>0</v>
      </c>
      <c r="AD2269">
        <f t="shared" si="541"/>
        <v>29</v>
      </c>
      <c r="AE2269" t="str">
        <f t="shared" si="542"/>
        <v/>
      </c>
    </row>
    <row r="2270" spans="1:31" x14ac:dyDescent="0.4">
      <c r="A2270" t="str">
        <f>IF(原始经营数据!$D2271="","",原始经营数据!$D2271)</f>
        <v/>
      </c>
      <c r="B2270" t="str">
        <f>IF(原始经营数据!$D2271="","",T(原始经营数据!$E2271))</f>
        <v/>
      </c>
      <c r="C2270" t="str">
        <f>IF(原始经营数据!$D2271="","",原始经营数据!$F2271)</f>
        <v/>
      </c>
      <c r="D2270" t="str">
        <f>IF(原始经营数据!$D2271="","",原始经营数据!$H2271)</f>
        <v/>
      </c>
      <c r="E2270" t="str">
        <f>IF(原始经营数据!$D2271="","",原始经营数据!$I2271)</f>
        <v/>
      </c>
      <c r="F2270" t="str">
        <f>IF(原始经营数据!$D2271="","",T(原始经营数据!$J2271))</f>
        <v/>
      </c>
      <c r="G2270" t="str">
        <f>IF(原始经营数据!$D2271="","",T(原始经营数据!$K2271))</f>
        <v/>
      </c>
      <c r="H2270" t="str">
        <f>IF(原始经营数据!$D2271="","",原始经营数据!$G2271)</f>
        <v/>
      </c>
      <c r="I2270" t="str">
        <f>IF($A2270="","",IF($B2270&lt;&gt;"",$B2270,IF(COUNTIFS(原始经营数据!$D$3:$D$3001,$A2270,原始经营数据!$E$3:$E$3001,"",原始经营数据!$F$3:$F$3001,$C2270,原始经营数据!$H$3:$H$3001,$D2270,原始经营数据!$K$3:$K$3001,$G2270)&gt;1,"基金整体·来源"&amp;原始经营数据!$A2271,"基金整体")))</f>
        <v/>
      </c>
      <c r="J2270" t="str">
        <f t="shared" si="528"/>
        <v/>
      </c>
      <c r="K2270" t="str">
        <f t="shared" si="529"/>
        <v/>
      </c>
      <c r="L2270" t="str">
        <f t="shared" si="530"/>
        <v/>
      </c>
      <c r="M2270">
        <f>IF($A2270="",0,IF(COUNTIF($L$2:$L2270,$L2270)=1,1,0))</f>
        <v>0</v>
      </c>
      <c r="N2270" t="str">
        <f t="shared" si="531"/>
        <v/>
      </c>
      <c r="O2270" t="str">
        <f t="shared" si="532"/>
        <v/>
      </c>
      <c r="P2270">
        <f>IF($A2270="",0,IF(COUNTIF($O$2:$O2270,$O2270)=1,1,0))</f>
        <v>0</v>
      </c>
      <c r="Q2270" t="str">
        <f>IF(AND($P2270=1,$A2270=经营数据!$B$3,$J2270=经营数据!$BA$5),COUNTIFS($P$2:$P$3000,1,$A$2:$A$3000,$A2270,$J$2:$J$3000,$J2270,$N$2:$N$3000,"&lt;"&amp;$N2270)+1,"")</f>
        <v/>
      </c>
      <c r="R2270" t="str">
        <f t="shared" si="533"/>
        <v/>
      </c>
      <c r="S2270">
        <f>IF($A2270="",0,IF(COUNTIF($R$2:$R2270,$R2270)=1,1,0))</f>
        <v>0</v>
      </c>
      <c r="T2270" t="str">
        <f t="shared" si="534"/>
        <v/>
      </c>
      <c r="U2270" t="str">
        <f>IF($A2270="","",IF($A2270=经营数据!$B$3,COUNTIFS($S$2:$S$3000,1,$A$2:$A$3000,$A2270,$T$2:$T$3000,"&lt;"&amp;$T2270)+1,""))</f>
        <v/>
      </c>
      <c r="V2270" t="str">
        <f t="shared" si="535"/>
        <v/>
      </c>
      <c r="W2270" t="str">
        <f t="shared" si="536"/>
        <v/>
      </c>
      <c r="X2270" t="str">
        <f t="shared" si="537"/>
        <v/>
      </c>
      <c r="Y2270" t="str">
        <f t="shared" si="538"/>
        <v/>
      </c>
      <c r="Z2270">
        <f>IF($A2270="",0,IF(AND($M2270=1,$A2270=经营数据!$B$3,$J2270=经营数据!$BA$5,OR($I2270=经营数据!$BA$4,COUNTIF(经营数据!$AA$9:$AA$38,$I2270)&gt;0)),1,0))</f>
        <v>0</v>
      </c>
      <c r="AA2270" t="str">
        <f t="shared" si="539"/>
        <v/>
      </c>
      <c r="AB2270" t="str">
        <f t="shared" si="540"/>
        <v/>
      </c>
      <c r="AC2270">
        <f>IF($A2270="",0,IF(COUNTIF($A$2:$A2270,$A2270)=1,1,0))</f>
        <v>0</v>
      </c>
      <c r="AD2270">
        <f t="shared" si="541"/>
        <v>29</v>
      </c>
      <c r="AE2270" t="str">
        <f t="shared" si="542"/>
        <v/>
      </c>
    </row>
    <row r="2271" spans="1:31" x14ac:dyDescent="0.4">
      <c r="A2271" t="str">
        <f>IF(原始经营数据!$D2272="","",原始经营数据!$D2272)</f>
        <v/>
      </c>
      <c r="B2271" t="str">
        <f>IF(原始经营数据!$D2272="","",T(原始经营数据!$E2272))</f>
        <v/>
      </c>
      <c r="C2271" t="str">
        <f>IF(原始经营数据!$D2272="","",原始经营数据!$F2272)</f>
        <v/>
      </c>
      <c r="D2271" t="str">
        <f>IF(原始经营数据!$D2272="","",原始经营数据!$H2272)</f>
        <v/>
      </c>
      <c r="E2271" t="str">
        <f>IF(原始经营数据!$D2272="","",原始经营数据!$I2272)</f>
        <v/>
      </c>
      <c r="F2271" t="str">
        <f>IF(原始经营数据!$D2272="","",T(原始经营数据!$J2272))</f>
        <v/>
      </c>
      <c r="G2271" t="str">
        <f>IF(原始经营数据!$D2272="","",T(原始经营数据!$K2272))</f>
        <v/>
      </c>
      <c r="H2271" t="str">
        <f>IF(原始经营数据!$D2272="","",原始经营数据!$G2272)</f>
        <v/>
      </c>
      <c r="I2271" t="str">
        <f>IF($A2271="","",IF($B2271&lt;&gt;"",$B2271,IF(COUNTIFS(原始经营数据!$D$3:$D$3001,$A2271,原始经营数据!$E$3:$E$3001,"",原始经营数据!$F$3:$F$3001,$C2271,原始经营数据!$H$3:$H$3001,$D2271,原始经营数据!$K$3:$K$3001,$G2271)&gt;1,"基金整体·来源"&amp;原始经营数据!$A2272,"基金整体")))</f>
        <v/>
      </c>
      <c r="J2271" t="str">
        <f t="shared" si="528"/>
        <v/>
      </c>
      <c r="K2271" t="str">
        <f t="shared" si="529"/>
        <v/>
      </c>
      <c r="L2271" t="str">
        <f t="shared" si="530"/>
        <v/>
      </c>
      <c r="M2271">
        <f>IF($A2271="",0,IF(COUNTIF($L$2:$L2271,$L2271)=1,1,0))</f>
        <v>0</v>
      </c>
      <c r="N2271" t="str">
        <f t="shared" si="531"/>
        <v/>
      </c>
      <c r="O2271" t="str">
        <f t="shared" si="532"/>
        <v/>
      </c>
      <c r="P2271">
        <f>IF($A2271="",0,IF(COUNTIF($O$2:$O2271,$O2271)=1,1,0))</f>
        <v>0</v>
      </c>
      <c r="Q2271" t="str">
        <f>IF(AND($P2271=1,$A2271=经营数据!$B$3,$J2271=经营数据!$BA$5),COUNTIFS($P$2:$P$3000,1,$A$2:$A$3000,$A2271,$J$2:$J$3000,$J2271,$N$2:$N$3000,"&lt;"&amp;$N2271)+1,"")</f>
        <v/>
      </c>
      <c r="R2271" t="str">
        <f t="shared" si="533"/>
        <v/>
      </c>
      <c r="S2271">
        <f>IF($A2271="",0,IF(COUNTIF($R$2:$R2271,$R2271)=1,1,0))</f>
        <v>0</v>
      </c>
      <c r="T2271" t="str">
        <f t="shared" si="534"/>
        <v/>
      </c>
      <c r="U2271" t="str">
        <f>IF($A2271="","",IF($A2271=经营数据!$B$3,COUNTIFS($S$2:$S$3000,1,$A$2:$A$3000,$A2271,$T$2:$T$3000,"&lt;"&amp;$T2271)+1,""))</f>
        <v/>
      </c>
      <c r="V2271" t="str">
        <f t="shared" si="535"/>
        <v/>
      </c>
      <c r="W2271" t="str">
        <f t="shared" si="536"/>
        <v/>
      </c>
      <c r="X2271" t="str">
        <f t="shared" si="537"/>
        <v/>
      </c>
      <c r="Y2271" t="str">
        <f t="shared" si="538"/>
        <v/>
      </c>
      <c r="Z2271">
        <f>IF($A2271="",0,IF(AND($M2271=1,$A2271=经营数据!$B$3,$J2271=经营数据!$BA$5,OR($I2271=经营数据!$BA$4,COUNTIF(经营数据!$AA$9:$AA$38,$I2271)&gt;0)),1,0))</f>
        <v>0</v>
      </c>
      <c r="AA2271" t="str">
        <f t="shared" si="539"/>
        <v/>
      </c>
      <c r="AB2271" t="str">
        <f t="shared" si="540"/>
        <v/>
      </c>
      <c r="AC2271">
        <f>IF($A2271="",0,IF(COUNTIF($A$2:$A2271,$A2271)=1,1,0))</f>
        <v>0</v>
      </c>
      <c r="AD2271">
        <f t="shared" si="541"/>
        <v>29</v>
      </c>
      <c r="AE2271" t="str">
        <f t="shared" si="542"/>
        <v/>
      </c>
    </row>
    <row r="2272" spans="1:31" x14ac:dyDescent="0.4">
      <c r="A2272" t="str">
        <f>IF(原始经营数据!$D2273="","",原始经营数据!$D2273)</f>
        <v/>
      </c>
      <c r="B2272" t="str">
        <f>IF(原始经营数据!$D2273="","",T(原始经营数据!$E2273))</f>
        <v/>
      </c>
      <c r="C2272" t="str">
        <f>IF(原始经营数据!$D2273="","",原始经营数据!$F2273)</f>
        <v/>
      </c>
      <c r="D2272" t="str">
        <f>IF(原始经营数据!$D2273="","",原始经营数据!$H2273)</f>
        <v/>
      </c>
      <c r="E2272" t="str">
        <f>IF(原始经营数据!$D2273="","",原始经营数据!$I2273)</f>
        <v/>
      </c>
      <c r="F2272" t="str">
        <f>IF(原始经营数据!$D2273="","",T(原始经营数据!$J2273))</f>
        <v/>
      </c>
      <c r="G2272" t="str">
        <f>IF(原始经营数据!$D2273="","",T(原始经营数据!$K2273))</f>
        <v/>
      </c>
      <c r="H2272" t="str">
        <f>IF(原始经营数据!$D2273="","",原始经营数据!$G2273)</f>
        <v/>
      </c>
      <c r="I2272" t="str">
        <f>IF($A2272="","",IF($B2272&lt;&gt;"",$B2272,IF(COUNTIFS(原始经营数据!$D$3:$D$3001,$A2272,原始经营数据!$E$3:$E$3001,"",原始经营数据!$F$3:$F$3001,$C2272,原始经营数据!$H$3:$H$3001,$D2272,原始经营数据!$K$3:$K$3001,$G2272)&gt;1,"基金整体·来源"&amp;原始经营数据!$A2273,"基金整体")))</f>
        <v/>
      </c>
      <c r="J2272" t="str">
        <f t="shared" si="528"/>
        <v/>
      </c>
      <c r="K2272" t="str">
        <f t="shared" si="529"/>
        <v/>
      </c>
      <c r="L2272" t="str">
        <f t="shared" si="530"/>
        <v/>
      </c>
      <c r="M2272">
        <f>IF($A2272="",0,IF(COUNTIF($L$2:$L2272,$L2272)=1,1,0))</f>
        <v>0</v>
      </c>
      <c r="N2272" t="str">
        <f t="shared" si="531"/>
        <v/>
      </c>
      <c r="O2272" t="str">
        <f t="shared" si="532"/>
        <v/>
      </c>
      <c r="P2272">
        <f>IF($A2272="",0,IF(COUNTIF($O$2:$O2272,$O2272)=1,1,0))</f>
        <v>0</v>
      </c>
      <c r="Q2272" t="str">
        <f>IF(AND($P2272=1,$A2272=经营数据!$B$3,$J2272=经营数据!$BA$5),COUNTIFS($P$2:$P$3000,1,$A$2:$A$3000,$A2272,$J$2:$J$3000,$J2272,$N$2:$N$3000,"&lt;"&amp;$N2272)+1,"")</f>
        <v/>
      </c>
      <c r="R2272" t="str">
        <f t="shared" si="533"/>
        <v/>
      </c>
      <c r="S2272">
        <f>IF($A2272="",0,IF(COUNTIF($R$2:$R2272,$R2272)=1,1,0))</f>
        <v>0</v>
      </c>
      <c r="T2272" t="str">
        <f t="shared" si="534"/>
        <v/>
      </c>
      <c r="U2272" t="str">
        <f>IF($A2272="","",IF($A2272=经营数据!$B$3,COUNTIFS($S$2:$S$3000,1,$A$2:$A$3000,$A2272,$T$2:$T$3000,"&lt;"&amp;$T2272)+1,""))</f>
        <v/>
      </c>
      <c r="V2272" t="str">
        <f t="shared" si="535"/>
        <v/>
      </c>
      <c r="W2272" t="str">
        <f t="shared" si="536"/>
        <v/>
      </c>
      <c r="X2272" t="str">
        <f t="shared" si="537"/>
        <v/>
      </c>
      <c r="Y2272" t="str">
        <f t="shared" si="538"/>
        <v/>
      </c>
      <c r="Z2272">
        <f>IF($A2272="",0,IF(AND($M2272=1,$A2272=经营数据!$B$3,$J2272=经营数据!$BA$5,OR($I2272=经营数据!$BA$4,COUNTIF(经营数据!$AA$9:$AA$38,$I2272)&gt;0)),1,0))</f>
        <v>0</v>
      </c>
      <c r="AA2272" t="str">
        <f t="shared" si="539"/>
        <v/>
      </c>
      <c r="AB2272" t="str">
        <f t="shared" si="540"/>
        <v/>
      </c>
      <c r="AC2272">
        <f>IF($A2272="",0,IF(COUNTIF($A$2:$A2272,$A2272)=1,1,0))</f>
        <v>0</v>
      </c>
      <c r="AD2272">
        <f t="shared" si="541"/>
        <v>29</v>
      </c>
      <c r="AE2272" t="str">
        <f t="shared" si="542"/>
        <v/>
      </c>
    </row>
    <row r="2273" spans="1:31" x14ac:dyDescent="0.4">
      <c r="A2273" t="str">
        <f>IF(原始经营数据!$D2274="","",原始经营数据!$D2274)</f>
        <v/>
      </c>
      <c r="B2273" t="str">
        <f>IF(原始经营数据!$D2274="","",T(原始经营数据!$E2274))</f>
        <v/>
      </c>
      <c r="C2273" t="str">
        <f>IF(原始经营数据!$D2274="","",原始经营数据!$F2274)</f>
        <v/>
      </c>
      <c r="D2273" t="str">
        <f>IF(原始经营数据!$D2274="","",原始经营数据!$H2274)</f>
        <v/>
      </c>
      <c r="E2273" t="str">
        <f>IF(原始经营数据!$D2274="","",原始经营数据!$I2274)</f>
        <v/>
      </c>
      <c r="F2273" t="str">
        <f>IF(原始经营数据!$D2274="","",T(原始经营数据!$J2274))</f>
        <v/>
      </c>
      <c r="G2273" t="str">
        <f>IF(原始经营数据!$D2274="","",T(原始经营数据!$K2274))</f>
        <v/>
      </c>
      <c r="H2273" t="str">
        <f>IF(原始经营数据!$D2274="","",原始经营数据!$G2274)</f>
        <v/>
      </c>
      <c r="I2273" t="str">
        <f>IF($A2273="","",IF($B2273&lt;&gt;"",$B2273,IF(COUNTIFS(原始经营数据!$D$3:$D$3001,$A2273,原始经营数据!$E$3:$E$3001,"",原始经营数据!$F$3:$F$3001,$C2273,原始经营数据!$H$3:$H$3001,$D2273,原始经营数据!$K$3:$K$3001,$G2273)&gt;1,"基金整体·来源"&amp;原始经营数据!$A2274,"基金整体")))</f>
        <v/>
      </c>
      <c r="J2273" t="str">
        <f t="shared" si="528"/>
        <v/>
      </c>
      <c r="K2273" t="str">
        <f t="shared" si="529"/>
        <v/>
      </c>
      <c r="L2273" t="str">
        <f t="shared" si="530"/>
        <v/>
      </c>
      <c r="M2273">
        <f>IF($A2273="",0,IF(COUNTIF($L$2:$L2273,$L2273)=1,1,0))</f>
        <v>0</v>
      </c>
      <c r="N2273" t="str">
        <f t="shared" si="531"/>
        <v/>
      </c>
      <c r="O2273" t="str">
        <f t="shared" si="532"/>
        <v/>
      </c>
      <c r="P2273">
        <f>IF($A2273="",0,IF(COUNTIF($O$2:$O2273,$O2273)=1,1,0))</f>
        <v>0</v>
      </c>
      <c r="Q2273" t="str">
        <f>IF(AND($P2273=1,$A2273=经营数据!$B$3,$J2273=经营数据!$BA$5),COUNTIFS($P$2:$P$3000,1,$A$2:$A$3000,$A2273,$J$2:$J$3000,$J2273,$N$2:$N$3000,"&lt;"&amp;$N2273)+1,"")</f>
        <v/>
      </c>
      <c r="R2273" t="str">
        <f t="shared" si="533"/>
        <v/>
      </c>
      <c r="S2273">
        <f>IF($A2273="",0,IF(COUNTIF($R$2:$R2273,$R2273)=1,1,0))</f>
        <v>0</v>
      </c>
      <c r="T2273" t="str">
        <f t="shared" si="534"/>
        <v/>
      </c>
      <c r="U2273" t="str">
        <f>IF($A2273="","",IF($A2273=经营数据!$B$3,COUNTIFS($S$2:$S$3000,1,$A$2:$A$3000,$A2273,$T$2:$T$3000,"&lt;"&amp;$T2273)+1,""))</f>
        <v/>
      </c>
      <c r="V2273" t="str">
        <f t="shared" si="535"/>
        <v/>
      </c>
      <c r="W2273" t="str">
        <f t="shared" si="536"/>
        <v/>
      </c>
      <c r="X2273" t="str">
        <f t="shared" si="537"/>
        <v/>
      </c>
      <c r="Y2273" t="str">
        <f t="shared" si="538"/>
        <v/>
      </c>
      <c r="Z2273">
        <f>IF($A2273="",0,IF(AND($M2273=1,$A2273=经营数据!$B$3,$J2273=经营数据!$BA$5,OR($I2273=经营数据!$BA$4,COUNTIF(经营数据!$AA$9:$AA$38,$I2273)&gt;0)),1,0))</f>
        <v>0</v>
      </c>
      <c r="AA2273" t="str">
        <f t="shared" si="539"/>
        <v/>
      </c>
      <c r="AB2273" t="str">
        <f t="shared" si="540"/>
        <v/>
      </c>
      <c r="AC2273">
        <f>IF($A2273="",0,IF(COUNTIF($A$2:$A2273,$A2273)=1,1,0))</f>
        <v>0</v>
      </c>
      <c r="AD2273">
        <f t="shared" si="541"/>
        <v>29</v>
      </c>
      <c r="AE2273" t="str">
        <f t="shared" si="542"/>
        <v/>
      </c>
    </row>
    <row r="2274" spans="1:31" x14ac:dyDescent="0.4">
      <c r="A2274" t="str">
        <f>IF(原始经营数据!$D2275="","",原始经营数据!$D2275)</f>
        <v/>
      </c>
      <c r="B2274" t="str">
        <f>IF(原始经营数据!$D2275="","",T(原始经营数据!$E2275))</f>
        <v/>
      </c>
      <c r="C2274" t="str">
        <f>IF(原始经营数据!$D2275="","",原始经营数据!$F2275)</f>
        <v/>
      </c>
      <c r="D2274" t="str">
        <f>IF(原始经营数据!$D2275="","",原始经营数据!$H2275)</f>
        <v/>
      </c>
      <c r="E2274" t="str">
        <f>IF(原始经营数据!$D2275="","",原始经营数据!$I2275)</f>
        <v/>
      </c>
      <c r="F2274" t="str">
        <f>IF(原始经营数据!$D2275="","",T(原始经营数据!$J2275))</f>
        <v/>
      </c>
      <c r="G2274" t="str">
        <f>IF(原始经营数据!$D2275="","",T(原始经营数据!$K2275))</f>
        <v/>
      </c>
      <c r="H2274" t="str">
        <f>IF(原始经营数据!$D2275="","",原始经营数据!$G2275)</f>
        <v/>
      </c>
      <c r="I2274" t="str">
        <f>IF($A2274="","",IF($B2274&lt;&gt;"",$B2274,IF(COUNTIFS(原始经营数据!$D$3:$D$3001,$A2274,原始经营数据!$E$3:$E$3001,"",原始经营数据!$F$3:$F$3001,$C2274,原始经营数据!$H$3:$H$3001,$D2274,原始经营数据!$K$3:$K$3001,$G2274)&gt;1,"基金整体·来源"&amp;原始经营数据!$A2275,"基金整体")))</f>
        <v/>
      </c>
      <c r="J2274" t="str">
        <f t="shared" si="528"/>
        <v/>
      </c>
      <c r="K2274" t="str">
        <f t="shared" si="529"/>
        <v/>
      </c>
      <c r="L2274" t="str">
        <f t="shared" si="530"/>
        <v/>
      </c>
      <c r="M2274">
        <f>IF($A2274="",0,IF(COUNTIF($L$2:$L2274,$L2274)=1,1,0))</f>
        <v>0</v>
      </c>
      <c r="N2274" t="str">
        <f t="shared" si="531"/>
        <v/>
      </c>
      <c r="O2274" t="str">
        <f t="shared" si="532"/>
        <v/>
      </c>
      <c r="P2274">
        <f>IF($A2274="",0,IF(COUNTIF($O$2:$O2274,$O2274)=1,1,0))</f>
        <v>0</v>
      </c>
      <c r="Q2274" t="str">
        <f>IF(AND($P2274=1,$A2274=经营数据!$B$3,$J2274=经营数据!$BA$5),COUNTIFS($P$2:$P$3000,1,$A$2:$A$3000,$A2274,$J$2:$J$3000,$J2274,$N$2:$N$3000,"&lt;"&amp;$N2274)+1,"")</f>
        <v/>
      </c>
      <c r="R2274" t="str">
        <f t="shared" si="533"/>
        <v/>
      </c>
      <c r="S2274">
        <f>IF($A2274="",0,IF(COUNTIF($R$2:$R2274,$R2274)=1,1,0))</f>
        <v>0</v>
      </c>
      <c r="T2274" t="str">
        <f t="shared" si="534"/>
        <v/>
      </c>
      <c r="U2274" t="str">
        <f>IF($A2274="","",IF($A2274=经营数据!$B$3,COUNTIFS($S$2:$S$3000,1,$A$2:$A$3000,$A2274,$T$2:$T$3000,"&lt;"&amp;$T2274)+1,""))</f>
        <v/>
      </c>
      <c r="V2274" t="str">
        <f t="shared" si="535"/>
        <v/>
      </c>
      <c r="W2274" t="str">
        <f t="shared" si="536"/>
        <v/>
      </c>
      <c r="X2274" t="str">
        <f t="shared" si="537"/>
        <v/>
      </c>
      <c r="Y2274" t="str">
        <f t="shared" si="538"/>
        <v/>
      </c>
      <c r="Z2274">
        <f>IF($A2274="",0,IF(AND($M2274=1,$A2274=经营数据!$B$3,$J2274=经营数据!$BA$5,OR($I2274=经营数据!$BA$4,COUNTIF(经营数据!$AA$9:$AA$38,$I2274)&gt;0)),1,0))</f>
        <v>0</v>
      </c>
      <c r="AA2274" t="str">
        <f t="shared" si="539"/>
        <v/>
      </c>
      <c r="AB2274" t="str">
        <f t="shared" si="540"/>
        <v/>
      </c>
      <c r="AC2274">
        <f>IF($A2274="",0,IF(COUNTIF($A$2:$A2274,$A2274)=1,1,0))</f>
        <v>0</v>
      </c>
      <c r="AD2274">
        <f t="shared" si="541"/>
        <v>29</v>
      </c>
      <c r="AE2274" t="str">
        <f t="shared" si="542"/>
        <v/>
      </c>
    </row>
    <row r="2275" spans="1:31" x14ac:dyDescent="0.4">
      <c r="A2275" t="str">
        <f>IF(原始经营数据!$D2276="","",原始经营数据!$D2276)</f>
        <v/>
      </c>
      <c r="B2275" t="str">
        <f>IF(原始经营数据!$D2276="","",T(原始经营数据!$E2276))</f>
        <v/>
      </c>
      <c r="C2275" t="str">
        <f>IF(原始经营数据!$D2276="","",原始经营数据!$F2276)</f>
        <v/>
      </c>
      <c r="D2275" t="str">
        <f>IF(原始经营数据!$D2276="","",原始经营数据!$H2276)</f>
        <v/>
      </c>
      <c r="E2275" t="str">
        <f>IF(原始经营数据!$D2276="","",原始经营数据!$I2276)</f>
        <v/>
      </c>
      <c r="F2275" t="str">
        <f>IF(原始经营数据!$D2276="","",T(原始经营数据!$J2276))</f>
        <v/>
      </c>
      <c r="G2275" t="str">
        <f>IF(原始经营数据!$D2276="","",T(原始经营数据!$K2276))</f>
        <v/>
      </c>
      <c r="H2275" t="str">
        <f>IF(原始经营数据!$D2276="","",原始经营数据!$G2276)</f>
        <v/>
      </c>
      <c r="I2275" t="str">
        <f>IF($A2275="","",IF($B2275&lt;&gt;"",$B2275,IF(COUNTIFS(原始经营数据!$D$3:$D$3001,$A2275,原始经营数据!$E$3:$E$3001,"",原始经营数据!$F$3:$F$3001,$C2275,原始经营数据!$H$3:$H$3001,$D2275,原始经营数据!$K$3:$K$3001,$G2275)&gt;1,"基金整体·来源"&amp;原始经营数据!$A2276,"基金整体")))</f>
        <v/>
      </c>
      <c r="J2275" t="str">
        <f t="shared" si="528"/>
        <v/>
      </c>
      <c r="K2275" t="str">
        <f t="shared" si="529"/>
        <v/>
      </c>
      <c r="L2275" t="str">
        <f t="shared" si="530"/>
        <v/>
      </c>
      <c r="M2275">
        <f>IF($A2275="",0,IF(COUNTIF($L$2:$L2275,$L2275)=1,1,0))</f>
        <v>0</v>
      </c>
      <c r="N2275" t="str">
        <f t="shared" si="531"/>
        <v/>
      </c>
      <c r="O2275" t="str">
        <f t="shared" si="532"/>
        <v/>
      </c>
      <c r="P2275">
        <f>IF($A2275="",0,IF(COUNTIF($O$2:$O2275,$O2275)=1,1,0))</f>
        <v>0</v>
      </c>
      <c r="Q2275" t="str">
        <f>IF(AND($P2275=1,$A2275=经营数据!$B$3,$J2275=经营数据!$BA$5),COUNTIFS($P$2:$P$3000,1,$A$2:$A$3000,$A2275,$J$2:$J$3000,$J2275,$N$2:$N$3000,"&lt;"&amp;$N2275)+1,"")</f>
        <v/>
      </c>
      <c r="R2275" t="str">
        <f t="shared" si="533"/>
        <v/>
      </c>
      <c r="S2275">
        <f>IF($A2275="",0,IF(COUNTIF($R$2:$R2275,$R2275)=1,1,0))</f>
        <v>0</v>
      </c>
      <c r="T2275" t="str">
        <f t="shared" si="534"/>
        <v/>
      </c>
      <c r="U2275" t="str">
        <f>IF($A2275="","",IF($A2275=经营数据!$B$3,COUNTIFS($S$2:$S$3000,1,$A$2:$A$3000,$A2275,$T$2:$T$3000,"&lt;"&amp;$T2275)+1,""))</f>
        <v/>
      </c>
      <c r="V2275" t="str">
        <f t="shared" si="535"/>
        <v/>
      </c>
      <c r="W2275" t="str">
        <f t="shared" si="536"/>
        <v/>
      </c>
      <c r="X2275" t="str">
        <f t="shared" si="537"/>
        <v/>
      </c>
      <c r="Y2275" t="str">
        <f t="shared" si="538"/>
        <v/>
      </c>
      <c r="Z2275">
        <f>IF($A2275="",0,IF(AND($M2275=1,$A2275=经营数据!$B$3,$J2275=经营数据!$BA$5,OR($I2275=经营数据!$BA$4,COUNTIF(经营数据!$AA$9:$AA$38,$I2275)&gt;0)),1,0))</f>
        <v>0</v>
      </c>
      <c r="AA2275" t="str">
        <f t="shared" si="539"/>
        <v/>
      </c>
      <c r="AB2275" t="str">
        <f t="shared" si="540"/>
        <v/>
      </c>
      <c r="AC2275">
        <f>IF($A2275="",0,IF(COUNTIF($A$2:$A2275,$A2275)=1,1,0))</f>
        <v>0</v>
      </c>
      <c r="AD2275">
        <f t="shared" si="541"/>
        <v>29</v>
      </c>
      <c r="AE2275" t="str">
        <f t="shared" si="542"/>
        <v/>
      </c>
    </row>
    <row r="2276" spans="1:31" x14ac:dyDescent="0.4">
      <c r="A2276" t="str">
        <f>IF(原始经营数据!$D2277="","",原始经营数据!$D2277)</f>
        <v/>
      </c>
      <c r="B2276" t="str">
        <f>IF(原始经营数据!$D2277="","",T(原始经营数据!$E2277))</f>
        <v/>
      </c>
      <c r="C2276" t="str">
        <f>IF(原始经营数据!$D2277="","",原始经营数据!$F2277)</f>
        <v/>
      </c>
      <c r="D2276" t="str">
        <f>IF(原始经营数据!$D2277="","",原始经营数据!$H2277)</f>
        <v/>
      </c>
      <c r="E2276" t="str">
        <f>IF(原始经营数据!$D2277="","",原始经营数据!$I2277)</f>
        <v/>
      </c>
      <c r="F2276" t="str">
        <f>IF(原始经营数据!$D2277="","",T(原始经营数据!$J2277))</f>
        <v/>
      </c>
      <c r="G2276" t="str">
        <f>IF(原始经营数据!$D2277="","",T(原始经营数据!$K2277))</f>
        <v/>
      </c>
      <c r="H2276" t="str">
        <f>IF(原始经营数据!$D2277="","",原始经营数据!$G2277)</f>
        <v/>
      </c>
      <c r="I2276" t="str">
        <f>IF($A2276="","",IF($B2276&lt;&gt;"",$B2276,IF(COUNTIFS(原始经营数据!$D$3:$D$3001,$A2276,原始经营数据!$E$3:$E$3001,"",原始经营数据!$F$3:$F$3001,$C2276,原始经营数据!$H$3:$H$3001,$D2276,原始经营数据!$K$3:$K$3001,$G2276)&gt;1,"基金整体·来源"&amp;原始经营数据!$A2277,"基金整体")))</f>
        <v/>
      </c>
      <c r="J2276" t="str">
        <f t="shared" si="528"/>
        <v/>
      </c>
      <c r="K2276" t="str">
        <f t="shared" si="529"/>
        <v/>
      </c>
      <c r="L2276" t="str">
        <f t="shared" si="530"/>
        <v/>
      </c>
      <c r="M2276">
        <f>IF($A2276="",0,IF(COUNTIF($L$2:$L2276,$L2276)=1,1,0))</f>
        <v>0</v>
      </c>
      <c r="N2276" t="str">
        <f t="shared" si="531"/>
        <v/>
      </c>
      <c r="O2276" t="str">
        <f t="shared" si="532"/>
        <v/>
      </c>
      <c r="P2276">
        <f>IF($A2276="",0,IF(COUNTIF($O$2:$O2276,$O2276)=1,1,0))</f>
        <v>0</v>
      </c>
      <c r="Q2276" t="str">
        <f>IF(AND($P2276=1,$A2276=经营数据!$B$3,$J2276=经营数据!$BA$5),COUNTIFS($P$2:$P$3000,1,$A$2:$A$3000,$A2276,$J$2:$J$3000,$J2276,$N$2:$N$3000,"&lt;"&amp;$N2276)+1,"")</f>
        <v/>
      </c>
      <c r="R2276" t="str">
        <f t="shared" si="533"/>
        <v/>
      </c>
      <c r="S2276">
        <f>IF($A2276="",0,IF(COUNTIF($R$2:$R2276,$R2276)=1,1,0))</f>
        <v>0</v>
      </c>
      <c r="T2276" t="str">
        <f t="shared" si="534"/>
        <v/>
      </c>
      <c r="U2276" t="str">
        <f>IF($A2276="","",IF($A2276=经营数据!$B$3,COUNTIFS($S$2:$S$3000,1,$A$2:$A$3000,$A2276,$T$2:$T$3000,"&lt;"&amp;$T2276)+1,""))</f>
        <v/>
      </c>
      <c r="V2276" t="str">
        <f t="shared" si="535"/>
        <v/>
      </c>
      <c r="W2276" t="str">
        <f t="shared" si="536"/>
        <v/>
      </c>
      <c r="X2276" t="str">
        <f t="shared" si="537"/>
        <v/>
      </c>
      <c r="Y2276" t="str">
        <f t="shared" si="538"/>
        <v/>
      </c>
      <c r="Z2276">
        <f>IF($A2276="",0,IF(AND($M2276=1,$A2276=经营数据!$B$3,$J2276=经营数据!$BA$5,OR($I2276=经营数据!$BA$4,COUNTIF(经营数据!$AA$9:$AA$38,$I2276)&gt;0)),1,0))</f>
        <v>0</v>
      </c>
      <c r="AA2276" t="str">
        <f t="shared" si="539"/>
        <v/>
      </c>
      <c r="AB2276" t="str">
        <f t="shared" si="540"/>
        <v/>
      </c>
      <c r="AC2276">
        <f>IF($A2276="",0,IF(COUNTIF($A$2:$A2276,$A2276)=1,1,0))</f>
        <v>0</v>
      </c>
      <c r="AD2276">
        <f t="shared" si="541"/>
        <v>29</v>
      </c>
      <c r="AE2276" t="str">
        <f t="shared" si="542"/>
        <v/>
      </c>
    </row>
    <row r="2277" spans="1:31" x14ac:dyDescent="0.4">
      <c r="A2277" t="str">
        <f>IF(原始经营数据!$D2278="","",原始经营数据!$D2278)</f>
        <v/>
      </c>
      <c r="B2277" t="str">
        <f>IF(原始经营数据!$D2278="","",T(原始经营数据!$E2278))</f>
        <v/>
      </c>
      <c r="C2277" t="str">
        <f>IF(原始经营数据!$D2278="","",原始经营数据!$F2278)</f>
        <v/>
      </c>
      <c r="D2277" t="str">
        <f>IF(原始经营数据!$D2278="","",原始经营数据!$H2278)</f>
        <v/>
      </c>
      <c r="E2277" t="str">
        <f>IF(原始经营数据!$D2278="","",原始经营数据!$I2278)</f>
        <v/>
      </c>
      <c r="F2277" t="str">
        <f>IF(原始经营数据!$D2278="","",T(原始经营数据!$J2278))</f>
        <v/>
      </c>
      <c r="G2277" t="str">
        <f>IF(原始经营数据!$D2278="","",T(原始经营数据!$K2278))</f>
        <v/>
      </c>
      <c r="H2277" t="str">
        <f>IF(原始经营数据!$D2278="","",原始经营数据!$G2278)</f>
        <v/>
      </c>
      <c r="I2277" t="str">
        <f>IF($A2277="","",IF($B2277&lt;&gt;"",$B2277,IF(COUNTIFS(原始经营数据!$D$3:$D$3001,$A2277,原始经营数据!$E$3:$E$3001,"",原始经营数据!$F$3:$F$3001,$C2277,原始经营数据!$H$3:$H$3001,$D2277,原始经营数据!$K$3:$K$3001,$G2277)&gt;1,"基金整体·来源"&amp;原始经营数据!$A2278,"基金整体")))</f>
        <v/>
      </c>
      <c r="J2277" t="str">
        <f t="shared" si="528"/>
        <v/>
      </c>
      <c r="K2277" t="str">
        <f t="shared" si="529"/>
        <v/>
      </c>
      <c r="L2277" t="str">
        <f t="shared" si="530"/>
        <v/>
      </c>
      <c r="M2277">
        <f>IF($A2277="",0,IF(COUNTIF($L$2:$L2277,$L2277)=1,1,0))</f>
        <v>0</v>
      </c>
      <c r="N2277" t="str">
        <f t="shared" si="531"/>
        <v/>
      </c>
      <c r="O2277" t="str">
        <f t="shared" si="532"/>
        <v/>
      </c>
      <c r="P2277">
        <f>IF($A2277="",0,IF(COUNTIF($O$2:$O2277,$O2277)=1,1,0))</f>
        <v>0</v>
      </c>
      <c r="Q2277" t="str">
        <f>IF(AND($P2277=1,$A2277=经营数据!$B$3,$J2277=经营数据!$BA$5),COUNTIFS($P$2:$P$3000,1,$A$2:$A$3000,$A2277,$J$2:$J$3000,$J2277,$N$2:$N$3000,"&lt;"&amp;$N2277)+1,"")</f>
        <v/>
      </c>
      <c r="R2277" t="str">
        <f t="shared" si="533"/>
        <v/>
      </c>
      <c r="S2277">
        <f>IF($A2277="",0,IF(COUNTIF($R$2:$R2277,$R2277)=1,1,0))</f>
        <v>0</v>
      </c>
      <c r="T2277" t="str">
        <f t="shared" si="534"/>
        <v/>
      </c>
      <c r="U2277" t="str">
        <f>IF($A2277="","",IF($A2277=经营数据!$B$3,COUNTIFS($S$2:$S$3000,1,$A$2:$A$3000,$A2277,$T$2:$T$3000,"&lt;"&amp;$T2277)+1,""))</f>
        <v/>
      </c>
      <c r="V2277" t="str">
        <f t="shared" si="535"/>
        <v/>
      </c>
      <c r="W2277" t="str">
        <f t="shared" si="536"/>
        <v/>
      </c>
      <c r="X2277" t="str">
        <f t="shared" si="537"/>
        <v/>
      </c>
      <c r="Y2277" t="str">
        <f t="shared" si="538"/>
        <v/>
      </c>
      <c r="Z2277">
        <f>IF($A2277="",0,IF(AND($M2277=1,$A2277=经营数据!$B$3,$J2277=经营数据!$BA$5,OR($I2277=经营数据!$BA$4,COUNTIF(经营数据!$AA$9:$AA$38,$I2277)&gt;0)),1,0))</f>
        <v>0</v>
      </c>
      <c r="AA2277" t="str">
        <f t="shared" si="539"/>
        <v/>
      </c>
      <c r="AB2277" t="str">
        <f t="shared" si="540"/>
        <v/>
      </c>
      <c r="AC2277">
        <f>IF($A2277="",0,IF(COUNTIF($A$2:$A2277,$A2277)=1,1,0))</f>
        <v>0</v>
      </c>
      <c r="AD2277">
        <f t="shared" si="541"/>
        <v>29</v>
      </c>
      <c r="AE2277" t="str">
        <f t="shared" si="542"/>
        <v/>
      </c>
    </row>
    <row r="2278" spans="1:31" x14ac:dyDescent="0.4">
      <c r="A2278" t="str">
        <f>IF(原始经营数据!$D2279="","",原始经营数据!$D2279)</f>
        <v/>
      </c>
      <c r="B2278" t="str">
        <f>IF(原始经营数据!$D2279="","",T(原始经营数据!$E2279))</f>
        <v/>
      </c>
      <c r="C2278" t="str">
        <f>IF(原始经营数据!$D2279="","",原始经营数据!$F2279)</f>
        <v/>
      </c>
      <c r="D2278" t="str">
        <f>IF(原始经营数据!$D2279="","",原始经营数据!$H2279)</f>
        <v/>
      </c>
      <c r="E2278" t="str">
        <f>IF(原始经营数据!$D2279="","",原始经营数据!$I2279)</f>
        <v/>
      </c>
      <c r="F2278" t="str">
        <f>IF(原始经营数据!$D2279="","",T(原始经营数据!$J2279))</f>
        <v/>
      </c>
      <c r="G2278" t="str">
        <f>IF(原始经营数据!$D2279="","",T(原始经营数据!$K2279))</f>
        <v/>
      </c>
      <c r="H2278" t="str">
        <f>IF(原始经营数据!$D2279="","",原始经营数据!$G2279)</f>
        <v/>
      </c>
      <c r="I2278" t="str">
        <f>IF($A2278="","",IF($B2278&lt;&gt;"",$B2278,IF(COUNTIFS(原始经营数据!$D$3:$D$3001,$A2278,原始经营数据!$E$3:$E$3001,"",原始经营数据!$F$3:$F$3001,$C2278,原始经营数据!$H$3:$H$3001,$D2278,原始经营数据!$K$3:$K$3001,$G2278)&gt;1,"基金整体·来源"&amp;原始经营数据!$A2279,"基金整体")))</f>
        <v/>
      </c>
      <c r="J2278" t="str">
        <f t="shared" si="528"/>
        <v/>
      </c>
      <c r="K2278" t="str">
        <f t="shared" si="529"/>
        <v/>
      </c>
      <c r="L2278" t="str">
        <f t="shared" si="530"/>
        <v/>
      </c>
      <c r="M2278">
        <f>IF($A2278="",0,IF(COUNTIF($L$2:$L2278,$L2278)=1,1,0))</f>
        <v>0</v>
      </c>
      <c r="N2278" t="str">
        <f t="shared" si="531"/>
        <v/>
      </c>
      <c r="O2278" t="str">
        <f t="shared" si="532"/>
        <v/>
      </c>
      <c r="P2278">
        <f>IF($A2278="",0,IF(COUNTIF($O$2:$O2278,$O2278)=1,1,0))</f>
        <v>0</v>
      </c>
      <c r="Q2278" t="str">
        <f>IF(AND($P2278=1,$A2278=经营数据!$B$3,$J2278=经营数据!$BA$5),COUNTIFS($P$2:$P$3000,1,$A$2:$A$3000,$A2278,$J$2:$J$3000,$J2278,$N$2:$N$3000,"&lt;"&amp;$N2278)+1,"")</f>
        <v/>
      </c>
      <c r="R2278" t="str">
        <f t="shared" si="533"/>
        <v/>
      </c>
      <c r="S2278">
        <f>IF($A2278="",0,IF(COUNTIF($R$2:$R2278,$R2278)=1,1,0))</f>
        <v>0</v>
      </c>
      <c r="T2278" t="str">
        <f t="shared" si="534"/>
        <v/>
      </c>
      <c r="U2278" t="str">
        <f>IF($A2278="","",IF($A2278=经营数据!$B$3,COUNTIFS($S$2:$S$3000,1,$A$2:$A$3000,$A2278,$T$2:$T$3000,"&lt;"&amp;$T2278)+1,""))</f>
        <v/>
      </c>
      <c r="V2278" t="str">
        <f t="shared" si="535"/>
        <v/>
      </c>
      <c r="W2278" t="str">
        <f t="shared" si="536"/>
        <v/>
      </c>
      <c r="X2278" t="str">
        <f t="shared" si="537"/>
        <v/>
      </c>
      <c r="Y2278" t="str">
        <f t="shared" si="538"/>
        <v/>
      </c>
      <c r="Z2278">
        <f>IF($A2278="",0,IF(AND($M2278=1,$A2278=经营数据!$B$3,$J2278=经营数据!$BA$5,OR($I2278=经营数据!$BA$4,COUNTIF(经营数据!$AA$9:$AA$38,$I2278)&gt;0)),1,0))</f>
        <v>0</v>
      </c>
      <c r="AA2278" t="str">
        <f t="shared" si="539"/>
        <v/>
      </c>
      <c r="AB2278" t="str">
        <f t="shared" si="540"/>
        <v/>
      </c>
      <c r="AC2278">
        <f>IF($A2278="",0,IF(COUNTIF($A$2:$A2278,$A2278)=1,1,0))</f>
        <v>0</v>
      </c>
      <c r="AD2278">
        <f t="shared" si="541"/>
        <v>29</v>
      </c>
      <c r="AE2278" t="str">
        <f t="shared" si="542"/>
        <v/>
      </c>
    </row>
    <row r="2279" spans="1:31" x14ac:dyDescent="0.4">
      <c r="A2279" t="str">
        <f>IF(原始经营数据!$D2280="","",原始经营数据!$D2280)</f>
        <v/>
      </c>
      <c r="B2279" t="str">
        <f>IF(原始经营数据!$D2280="","",T(原始经营数据!$E2280))</f>
        <v/>
      </c>
      <c r="C2279" t="str">
        <f>IF(原始经营数据!$D2280="","",原始经营数据!$F2280)</f>
        <v/>
      </c>
      <c r="D2279" t="str">
        <f>IF(原始经营数据!$D2280="","",原始经营数据!$H2280)</f>
        <v/>
      </c>
      <c r="E2279" t="str">
        <f>IF(原始经营数据!$D2280="","",原始经营数据!$I2280)</f>
        <v/>
      </c>
      <c r="F2279" t="str">
        <f>IF(原始经营数据!$D2280="","",T(原始经营数据!$J2280))</f>
        <v/>
      </c>
      <c r="G2279" t="str">
        <f>IF(原始经营数据!$D2280="","",T(原始经营数据!$K2280))</f>
        <v/>
      </c>
      <c r="H2279" t="str">
        <f>IF(原始经营数据!$D2280="","",原始经营数据!$G2280)</f>
        <v/>
      </c>
      <c r="I2279" t="str">
        <f>IF($A2279="","",IF($B2279&lt;&gt;"",$B2279,IF(COUNTIFS(原始经营数据!$D$3:$D$3001,$A2279,原始经营数据!$E$3:$E$3001,"",原始经营数据!$F$3:$F$3001,$C2279,原始经营数据!$H$3:$H$3001,$D2279,原始经营数据!$K$3:$K$3001,$G2279)&gt;1,"基金整体·来源"&amp;原始经营数据!$A2280,"基金整体")))</f>
        <v/>
      </c>
      <c r="J2279" t="str">
        <f t="shared" si="528"/>
        <v/>
      </c>
      <c r="K2279" t="str">
        <f t="shared" si="529"/>
        <v/>
      </c>
      <c r="L2279" t="str">
        <f t="shared" si="530"/>
        <v/>
      </c>
      <c r="M2279">
        <f>IF($A2279="",0,IF(COUNTIF($L$2:$L2279,$L2279)=1,1,0))</f>
        <v>0</v>
      </c>
      <c r="N2279" t="str">
        <f t="shared" si="531"/>
        <v/>
      </c>
      <c r="O2279" t="str">
        <f t="shared" si="532"/>
        <v/>
      </c>
      <c r="P2279">
        <f>IF($A2279="",0,IF(COUNTIF($O$2:$O2279,$O2279)=1,1,0))</f>
        <v>0</v>
      </c>
      <c r="Q2279" t="str">
        <f>IF(AND($P2279=1,$A2279=经营数据!$B$3,$J2279=经营数据!$BA$5),COUNTIFS($P$2:$P$3000,1,$A$2:$A$3000,$A2279,$J$2:$J$3000,$J2279,$N$2:$N$3000,"&lt;"&amp;$N2279)+1,"")</f>
        <v/>
      </c>
      <c r="R2279" t="str">
        <f t="shared" si="533"/>
        <v/>
      </c>
      <c r="S2279">
        <f>IF($A2279="",0,IF(COUNTIF($R$2:$R2279,$R2279)=1,1,0))</f>
        <v>0</v>
      </c>
      <c r="T2279" t="str">
        <f t="shared" si="534"/>
        <v/>
      </c>
      <c r="U2279" t="str">
        <f>IF($A2279="","",IF($A2279=经营数据!$B$3,COUNTIFS($S$2:$S$3000,1,$A$2:$A$3000,$A2279,$T$2:$T$3000,"&lt;"&amp;$T2279)+1,""))</f>
        <v/>
      </c>
      <c r="V2279" t="str">
        <f t="shared" si="535"/>
        <v/>
      </c>
      <c r="W2279" t="str">
        <f t="shared" si="536"/>
        <v/>
      </c>
      <c r="X2279" t="str">
        <f t="shared" si="537"/>
        <v/>
      </c>
      <c r="Y2279" t="str">
        <f t="shared" si="538"/>
        <v/>
      </c>
      <c r="Z2279">
        <f>IF($A2279="",0,IF(AND($M2279=1,$A2279=经营数据!$B$3,$J2279=经营数据!$BA$5,OR($I2279=经营数据!$BA$4,COUNTIF(经营数据!$AA$9:$AA$38,$I2279)&gt;0)),1,0))</f>
        <v>0</v>
      </c>
      <c r="AA2279" t="str">
        <f t="shared" si="539"/>
        <v/>
      </c>
      <c r="AB2279" t="str">
        <f t="shared" si="540"/>
        <v/>
      </c>
      <c r="AC2279">
        <f>IF($A2279="",0,IF(COUNTIF($A$2:$A2279,$A2279)=1,1,0))</f>
        <v>0</v>
      </c>
      <c r="AD2279">
        <f t="shared" si="541"/>
        <v>29</v>
      </c>
      <c r="AE2279" t="str">
        <f t="shared" si="542"/>
        <v/>
      </c>
    </row>
    <row r="2280" spans="1:31" x14ac:dyDescent="0.4">
      <c r="A2280" t="str">
        <f>IF(原始经营数据!$D2281="","",原始经营数据!$D2281)</f>
        <v/>
      </c>
      <c r="B2280" t="str">
        <f>IF(原始经营数据!$D2281="","",T(原始经营数据!$E2281))</f>
        <v/>
      </c>
      <c r="C2280" t="str">
        <f>IF(原始经营数据!$D2281="","",原始经营数据!$F2281)</f>
        <v/>
      </c>
      <c r="D2280" t="str">
        <f>IF(原始经营数据!$D2281="","",原始经营数据!$H2281)</f>
        <v/>
      </c>
      <c r="E2280" t="str">
        <f>IF(原始经营数据!$D2281="","",原始经营数据!$I2281)</f>
        <v/>
      </c>
      <c r="F2280" t="str">
        <f>IF(原始经营数据!$D2281="","",T(原始经营数据!$J2281))</f>
        <v/>
      </c>
      <c r="G2280" t="str">
        <f>IF(原始经营数据!$D2281="","",T(原始经营数据!$K2281))</f>
        <v/>
      </c>
      <c r="H2280" t="str">
        <f>IF(原始经营数据!$D2281="","",原始经营数据!$G2281)</f>
        <v/>
      </c>
      <c r="I2280" t="str">
        <f>IF($A2280="","",IF($B2280&lt;&gt;"",$B2280,IF(COUNTIFS(原始经营数据!$D$3:$D$3001,$A2280,原始经营数据!$E$3:$E$3001,"",原始经营数据!$F$3:$F$3001,$C2280,原始经营数据!$H$3:$H$3001,$D2280,原始经营数据!$K$3:$K$3001,$G2280)&gt;1,"基金整体·来源"&amp;原始经营数据!$A2281,"基金整体")))</f>
        <v/>
      </c>
      <c r="J2280" t="str">
        <f t="shared" si="528"/>
        <v/>
      </c>
      <c r="K2280" t="str">
        <f t="shared" si="529"/>
        <v/>
      </c>
      <c r="L2280" t="str">
        <f t="shared" si="530"/>
        <v/>
      </c>
      <c r="M2280">
        <f>IF($A2280="",0,IF(COUNTIF($L$2:$L2280,$L2280)=1,1,0))</f>
        <v>0</v>
      </c>
      <c r="N2280" t="str">
        <f t="shared" si="531"/>
        <v/>
      </c>
      <c r="O2280" t="str">
        <f t="shared" si="532"/>
        <v/>
      </c>
      <c r="P2280">
        <f>IF($A2280="",0,IF(COUNTIF($O$2:$O2280,$O2280)=1,1,0))</f>
        <v>0</v>
      </c>
      <c r="Q2280" t="str">
        <f>IF(AND($P2280=1,$A2280=经营数据!$B$3,$J2280=经营数据!$BA$5),COUNTIFS($P$2:$P$3000,1,$A$2:$A$3000,$A2280,$J$2:$J$3000,$J2280,$N$2:$N$3000,"&lt;"&amp;$N2280)+1,"")</f>
        <v/>
      </c>
      <c r="R2280" t="str">
        <f t="shared" si="533"/>
        <v/>
      </c>
      <c r="S2280">
        <f>IF($A2280="",0,IF(COUNTIF($R$2:$R2280,$R2280)=1,1,0))</f>
        <v>0</v>
      </c>
      <c r="T2280" t="str">
        <f t="shared" si="534"/>
        <v/>
      </c>
      <c r="U2280" t="str">
        <f>IF($A2280="","",IF($A2280=经营数据!$B$3,COUNTIFS($S$2:$S$3000,1,$A$2:$A$3000,$A2280,$T$2:$T$3000,"&lt;"&amp;$T2280)+1,""))</f>
        <v/>
      </c>
      <c r="V2280" t="str">
        <f t="shared" si="535"/>
        <v/>
      </c>
      <c r="W2280" t="str">
        <f t="shared" si="536"/>
        <v/>
      </c>
      <c r="X2280" t="str">
        <f t="shared" si="537"/>
        <v/>
      </c>
      <c r="Y2280" t="str">
        <f t="shared" si="538"/>
        <v/>
      </c>
      <c r="Z2280">
        <f>IF($A2280="",0,IF(AND($M2280=1,$A2280=经营数据!$B$3,$J2280=经营数据!$BA$5,OR($I2280=经营数据!$BA$4,COUNTIF(经营数据!$AA$9:$AA$38,$I2280)&gt;0)),1,0))</f>
        <v>0</v>
      </c>
      <c r="AA2280" t="str">
        <f t="shared" si="539"/>
        <v/>
      </c>
      <c r="AB2280" t="str">
        <f t="shared" si="540"/>
        <v/>
      </c>
      <c r="AC2280">
        <f>IF($A2280="",0,IF(COUNTIF($A$2:$A2280,$A2280)=1,1,0))</f>
        <v>0</v>
      </c>
      <c r="AD2280">
        <f t="shared" si="541"/>
        <v>29</v>
      </c>
      <c r="AE2280" t="str">
        <f t="shared" si="542"/>
        <v/>
      </c>
    </row>
    <row r="2281" spans="1:31" x14ac:dyDescent="0.4">
      <c r="A2281" t="str">
        <f>IF(原始经营数据!$D2282="","",原始经营数据!$D2282)</f>
        <v/>
      </c>
      <c r="B2281" t="str">
        <f>IF(原始经营数据!$D2282="","",T(原始经营数据!$E2282))</f>
        <v/>
      </c>
      <c r="C2281" t="str">
        <f>IF(原始经营数据!$D2282="","",原始经营数据!$F2282)</f>
        <v/>
      </c>
      <c r="D2281" t="str">
        <f>IF(原始经营数据!$D2282="","",原始经营数据!$H2282)</f>
        <v/>
      </c>
      <c r="E2281" t="str">
        <f>IF(原始经营数据!$D2282="","",原始经营数据!$I2282)</f>
        <v/>
      </c>
      <c r="F2281" t="str">
        <f>IF(原始经营数据!$D2282="","",T(原始经营数据!$J2282))</f>
        <v/>
      </c>
      <c r="G2281" t="str">
        <f>IF(原始经营数据!$D2282="","",T(原始经营数据!$K2282))</f>
        <v/>
      </c>
      <c r="H2281" t="str">
        <f>IF(原始经营数据!$D2282="","",原始经营数据!$G2282)</f>
        <v/>
      </c>
      <c r="I2281" t="str">
        <f>IF($A2281="","",IF($B2281&lt;&gt;"",$B2281,IF(COUNTIFS(原始经营数据!$D$3:$D$3001,$A2281,原始经营数据!$E$3:$E$3001,"",原始经营数据!$F$3:$F$3001,$C2281,原始经营数据!$H$3:$H$3001,$D2281,原始经营数据!$K$3:$K$3001,$G2281)&gt;1,"基金整体·来源"&amp;原始经营数据!$A2282,"基金整体")))</f>
        <v/>
      </c>
      <c r="J2281" t="str">
        <f t="shared" si="528"/>
        <v/>
      </c>
      <c r="K2281" t="str">
        <f t="shared" si="529"/>
        <v/>
      </c>
      <c r="L2281" t="str">
        <f t="shared" si="530"/>
        <v/>
      </c>
      <c r="M2281">
        <f>IF($A2281="",0,IF(COUNTIF($L$2:$L2281,$L2281)=1,1,0))</f>
        <v>0</v>
      </c>
      <c r="N2281" t="str">
        <f t="shared" si="531"/>
        <v/>
      </c>
      <c r="O2281" t="str">
        <f t="shared" si="532"/>
        <v/>
      </c>
      <c r="P2281">
        <f>IF($A2281="",0,IF(COUNTIF($O$2:$O2281,$O2281)=1,1,0))</f>
        <v>0</v>
      </c>
      <c r="Q2281" t="str">
        <f>IF(AND($P2281=1,$A2281=经营数据!$B$3,$J2281=经营数据!$BA$5),COUNTIFS($P$2:$P$3000,1,$A$2:$A$3000,$A2281,$J$2:$J$3000,$J2281,$N$2:$N$3000,"&lt;"&amp;$N2281)+1,"")</f>
        <v/>
      </c>
      <c r="R2281" t="str">
        <f t="shared" si="533"/>
        <v/>
      </c>
      <c r="S2281">
        <f>IF($A2281="",0,IF(COUNTIF($R$2:$R2281,$R2281)=1,1,0))</f>
        <v>0</v>
      </c>
      <c r="T2281" t="str">
        <f t="shared" si="534"/>
        <v/>
      </c>
      <c r="U2281" t="str">
        <f>IF($A2281="","",IF($A2281=经营数据!$B$3,COUNTIFS($S$2:$S$3000,1,$A$2:$A$3000,$A2281,$T$2:$T$3000,"&lt;"&amp;$T2281)+1,""))</f>
        <v/>
      </c>
      <c r="V2281" t="str">
        <f t="shared" si="535"/>
        <v/>
      </c>
      <c r="W2281" t="str">
        <f t="shared" si="536"/>
        <v/>
      </c>
      <c r="X2281" t="str">
        <f t="shared" si="537"/>
        <v/>
      </c>
      <c r="Y2281" t="str">
        <f t="shared" si="538"/>
        <v/>
      </c>
      <c r="Z2281">
        <f>IF($A2281="",0,IF(AND($M2281=1,$A2281=经营数据!$B$3,$J2281=经营数据!$BA$5,OR($I2281=经营数据!$BA$4,COUNTIF(经营数据!$AA$9:$AA$38,$I2281)&gt;0)),1,0))</f>
        <v>0</v>
      </c>
      <c r="AA2281" t="str">
        <f t="shared" si="539"/>
        <v/>
      </c>
      <c r="AB2281" t="str">
        <f t="shared" si="540"/>
        <v/>
      </c>
      <c r="AC2281">
        <f>IF($A2281="",0,IF(COUNTIF($A$2:$A2281,$A2281)=1,1,0))</f>
        <v>0</v>
      </c>
      <c r="AD2281">
        <f t="shared" si="541"/>
        <v>29</v>
      </c>
      <c r="AE2281" t="str">
        <f t="shared" si="542"/>
        <v/>
      </c>
    </row>
    <row r="2282" spans="1:31" x14ac:dyDescent="0.4">
      <c r="A2282" t="str">
        <f>IF(原始经营数据!$D2283="","",原始经营数据!$D2283)</f>
        <v/>
      </c>
      <c r="B2282" t="str">
        <f>IF(原始经营数据!$D2283="","",T(原始经营数据!$E2283))</f>
        <v/>
      </c>
      <c r="C2282" t="str">
        <f>IF(原始经营数据!$D2283="","",原始经营数据!$F2283)</f>
        <v/>
      </c>
      <c r="D2282" t="str">
        <f>IF(原始经营数据!$D2283="","",原始经营数据!$H2283)</f>
        <v/>
      </c>
      <c r="E2282" t="str">
        <f>IF(原始经营数据!$D2283="","",原始经营数据!$I2283)</f>
        <v/>
      </c>
      <c r="F2282" t="str">
        <f>IF(原始经营数据!$D2283="","",T(原始经营数据!$J2283))</f>
        <v/>
      </c>
      <c r="G2282" t="str">
        <f>IF(原始经营数据!$D2283="","",T(原始经营数据!$K2283))</f>
        <v/>
      </c>
      <c r="H2282" t="str">
        <f>IF(原始经营数据!$D2283="","",原始经营数据!$G2283)</f>
        <v/>
      </c>
      <c r="I2282" t="str">
        <f>IF($A2282="","",IF($B2282&lt;&gt;"",$B2282,IF(COUNTIFS(原始经营数据!$D$3:$D$3001,$A2282,原始经营数据!$E$3:$E$3001,"",原始经营数据!$F$3:$F$3001,$C2282,原始经营数据!$H$3:$H$3001,$D2282,原始经营数据!$K$3:$K$3001,$G2282)&gt;1,"基金整体·来源"&amp;原始经营数据!$A2283,"基金整体")))</f>
        <v/>
      </c>
      <c r="J2282" t="str">
        <f t="shared" si="528"/>
        <v/>
      </c>
      <c r="K2282" t="str">
        <f t="shared" si="529"/>
        <v/>
      </c>
      <c r="L2282" t="str">
        <f t="shared" si="530"/>
        <v/>
      </c>
      <c r="M2282">
        <f>IF($A2282="",0,IF(COUNTIF($L$2:$L2282,$L2282)=1,1,0))</f>
        <v>0</v>
      </c>
      <c r="N2282" t="str">
        <f t="shared" si="531"/>
        <v/>
      </c>
      <c r="O2282" t="str">
        <f t="shared" si="532"/>
        <v/>
      </c>
      <c r="P2282">
        <f>IF($A2282="",0,IF(COUNTIF($O$2:$O2282,$O2282)=1,1,0))</f>
        <v>0</v>
      </c>
      <c r="Q2282" t="str">
        <f>IF(AND($P2282=1,$A2282=经营数据!$B$3,$J2282=经营数据!$BA$5),COUNTIFS($P$2:$P$3000,1,$A$2:$A$3000,$A2282,$J$2:$J$3000,$J2282,$N$2:$N$3000,"&lt;"&amp;$N2282)+1,"")</f>
        <v/>
      </c>
      <c r="R2282" t="str">
        <f t="shared" si="533"/>
        <v/>
      </c>
      <c r="S2282">
        <f>IF($A2282="",0,IF(COUNTIF($R$2:$R2282,$R2282)=1,1,0))</f>
        <v>0</v>
      </c>
      <c r="T2282" t="str">
        <f t="shared" si="534"/>
        <v/>
      </c>
      <c r="U2282" t="str">
        <f>IF($A2282="","",IF($A2282=经营数据!$B$3,COUNTIFS($S$2:$S$3000,1,$A$2:$A$3000,$A2282,$T$2:$T$3000,"&lt;"&amp;$T2282)+1,""))</f>
        <v/>
      </c>
      <c r="V2282" t="str">
        <f t="shared" si="535"/>
        <v/>
      </c>
      <c r="W2282" t="str">
        <f t="shared" si="536"/>
        <v/>
      </c>
      <c r="X2282" t="str">
        <f t="shared" si="537"/>
        <v/>
      </c>
      <c r="Y2282" t="str">
        <f t="shared" si="538"/>
        <v/>
      </c>
      <c r="Z2282">
        <f>IF($A2282="",0,IF(AND($M2282=1,$A2282=经营数据!$B$3,$J2282=经营数据!$BA$5,OR($I2282=经营数据!$BA$4,COUNTIF(经营数据!$AA$9:$AA$38,$I2282)&gt;0)),1,0))</f>
        <v>0</v>
      </c>
      <c r="AA2282" t="str">
        <f t="shared" si="539"/>
        <v/>
      </c>
      <c r="AB2282" t="str">
        <f t="shared" si="540"/>
        <v/>
      </c>
      <c r="AC2282">
        <f>IF($A2282="",0,IF(COUNTIF($A$2:$A2282,$A2282)=1,1,0))</f>
        <v>0</v>
      </c>
      <c r="AD2282">
        <f t="shared" si="541"/>
        <v>29</v>
      </c>
      <c r="AE2282" t="str">
        <f t="shared" si="542"/>
        <v/>
      </c>
    </row>
    <row r="2283" spans="1:31" x14ac:dyDescent="0.4">
      <c r="A2283" t="str">
        <f>IF(原始经营数据!$D2284="","",原始经营数据!$D2284)</f>
        <v/>
      </c>
      <c r="B2283" t="str">
        <f>IF(原始经营数据!$D2284="","",T(原始经营数据!$E2284))</f>
        <v/>
      </c>
      <c r="C2283" t="str">
        <f>IF(原始经营数据!$D2284="","",原始经营数据!$F2284)</f>
        <v/>
      </c>
      <c r="D2283" t="str">
        <f>IF(原始经营数据!$D2284="","",原始经营数据!$H2284)</f>
        <v/>
      </c>
      <c r="E2283" t="str">
        <f>IF(原始经营数据!$D2284="","",原始经营数据!$I2284)</f>
        <v/>
      </c>
      <c r="F2283" t="str">
        <f>IF(原始经营数据!$D2284="","",T(原始经营数据!$J2284))</f>
        <v/>
      </c>
      <c r="G2283" t="str">
        <f>IF(原始经营数据!$D2284="","",T(原始经营数据!$K2284))</f>
        <v/>
      </c>
      <c r="H2283" t="str">
        <f>IF(原始经营数据!$D2284="","",原始经营数据!$G2284)</f>
        <v/>
      </c>
      <c r="I2283" t="str">
        <f>IF($A2283="","",IF($B2283&lt;&gt;"",$B2283,IF(COUNTIFS(原始经营数据!$D$3:$D$3001,$A2283,原始经营数据!$E$3:$E$3001,"",原始经营数据!$F$3:$F$3001,$C2283,原始经营数据!$H$3:$H$3001,$D2283,原始经营数据!$K$3:$K$3001,$G2283)&gt;1,"基金整体·来源"&amp;原始经营数据!$A2284,"基金整体")))</f>
        <v/>
      </c>
      <c r="J2283" t="str">
        <f t="shared" si="528"/>
        <v/>
      </c>
      <c r="K2283" t="str">
        <f t="shared" si="529"/>
        <v/>
      </c>
      <c r="L2283" t="str">
        <f t="shared" si="530"/>
        <v/>
      </c>
      <c r="M2283">
        <f>IF($A2283="",0,IF(COUNTIF($L$2:$L2283,$L2283)=1,1,0))</f>
        <v>0</v>
      </c>
      <c r="N2283" t="str">
        <f t="shared" si="531"/>
        <v/>
      </c>
      <c r="O2283" t="str">
        <f t="shared" si="532"/>
        <v/>
      </c>
      <c r="P2283">
        <f>IF($A2283="",0,IF(COUNTIF($O$2:$O2283,$O2283)=1,1,0))</f>
        <v>0</v>
      </c>
      <c r="Q2283" t="str">
        <f>IF(AND($P2283=1,$A2283=经营数据!$B$3,$J2283=经营数据!$BA$5),COUNTIFS($P$2:$P$3000,1,$A$2:$A$3000,$A2283,$J$2:$J$3000,$J2283,$N$2:$N$3000,"&lt;"&amp;$N2283)+1,"")</f>
        <v/>
      </c>
      <c r="R2283" t="str">
        <f t="shared" si="533"/>
        <v/>
      </c>
      <c r="S2283">
        <f>IF($A2283="",0,IF(COUNTIF($R$2:$R2283,$R2283)=1,1,0))</f>
        <v>0</v>
      </c>
      <c r="T2283" t="str">
        <f t="shared" si="534"/>
        <v/>
      </c>
      <c r="U2283" t="str">
        <f>IF($A2283="","",IF($A2283=经营数据!$B$3,COUNTIFS($S$2:$S$3000,1,$A$2:$A$3000,$A2283,$T$2:$T$3000,"&lt;"&amp;$T2283)+1,""))</f>
        <v/>
      </c>
      <c r="V2283" t="str">
        <f t="shared" si="535"/>
        <v/>
      </c>
      <c r="W2283" t="str">
        <f t="shared" si="536"/>
        <v/>
      </c>
      <c r="X2283" t="str">
        <f t="shared" si="537"/>
        <v/>
      </c>
      <c r="Y2283" t="str">
        <f t="shared" si="538"/>
        <v/>
      </c>
      <c r="Z2283">
        <f>IF($A2283="",0,IF(AND($M2283=1,$A2283=经营数据!$B$3,$J2283=经营数据!$BA$5,OR($I2283=经营数据!$BA$4,COUNTIF(经营数据!$AA$9:$AA$38,$I2283)&gt;0)),1,0))</f>
        <v>0</v>
      </c>
      <c r="AA2283" t="str">
        <f t="shared" si="539"/>
        <v/>
      </c>
      <c r="AB2283" t="str">
        <f t="shared" si="540"/>
        <v/>
      </c>
      <c r="AC2283">
        <f>IF($A2283="",0,IF(COUNTIF($A$2:$A2283,$A2283)=1,1,0))</f>
        <v>0</v>
      </c>
      <c r="AD2283">
        <f t="shared" si="541"/>
        <v>29</v>
      </c>
      <c r="AE2283" t="str">
        <f t="shared" si="542"/>
        <v/>
      </c>
    </row>
    <row r="2284" spans="1:31" x14ac:dyDescent="0.4">
      <c r="A2284" t="str">
        <f>IF(原始经营数据!$D2285="","",原始经营数据!$D2285)</f>
        <v/>
      </c>
      <c r="B2284" t="str">
        <f>IF(原始经营数据!$D2285="","",T(原始经营数据!$E2285))</f>
        <v/>
      </c>
      <c r="C2284" t="str">
        <f>IF(原始经营数据!$D2285="","",原始经营数据!$F2285)</f>
        <v/>
      </c>
      <c r="D2284" t="str">
        <f>IF(原始经营数据!$D2285="","",原始经营数据!$H2285)</f>
        <v/>
      </c>
      <c r="E2284" t="str">
        <f>IF(原始经营数据!$D2285="","",原始经营数据!$I2285)</f>
        <v/>
      </c>
      <c r="F2284" t="str">
        <f>IF(原始经营数据!$D2285="","",T(原始经营数据!$J2285))</f>
        <v/>
      </c>
      <c r="G2284" t="str">
        <f>IF(原始经营数据!$D2285="","",T(原始经营数据!$K2285))</f>
        <v/>
      </c>
      <c r="H2284" t="str">
        <f>IF(原始经营数据!$D2285="","",原始经营数据!$G2285)</f>
        <v/>
      </c>
      <c r="I2284" t="str">
        <f>IF($A2284="","",IF($B2284&lt;&gt;"",$B2284,IF(COUNTIFS(原始经营数据!$D$3:$D$3001,$A2284,原始经营数据!$E$3:$E$3001,"",原始经营数据!$F$3:$F$3001,$C2284,原始经营数据!$H$3:$H$3001,$D2284,原始经营数据!$K$3:$K$3001,$G2284)&gt;1,"基金整体·来源"&amp;原始经营数据!$A2285,"基金整体")))</f>
        <v/>
      </c>
      <c r="J2284" t="str">
        <f t="shared" si="528"/>
        <v/>
      </c>
      <c r="K2284" t="str">
        <f t="shared" si="529"/>
        <v/>
      </c>
      <c r="L2284" t="str">
        <f t="shared" si="530"/>
        <v/>
      </c>
      <c r="M2284">
        <f>IF($A2284="",0,IF(COUNTIF($L$2:$L2284,$L2284)=1,1,0))</f>
        <v>0</v>
      </c>
      <c r="N2284" t="str">
        <f t="shared" si="531"/>
        <v/>
      </c>
      <c r="O2284" t="str">
        <f t="shared" si="532"/>
        <v/>
      </c>
      <c r="P2284">
        <f>IF($A2284="",0,IF(COUNTIF($O$2:$O2284,$O2284)=1,1,0))</f>
        <v>0</v>
      </c>
      <c r="Q2284" t="str">
        <f>IF(AND($P2284=1,$A2284=经营数据!$B$3,$J2284=经营数据!$BA$5),COUNTIFS($P$2:$P$3000,1,$A$2:$A$3000,$A2284,$J$2:$J$3000,$J2284,$N$2:$N$3000,"&lt;"&amp;$N2284)+1,"")</f>
        <v/>
      </c>
      <c r="R2284" t="str">
        <f t="shared" si="533"/>
        <v/>
      </c>
      <c r="S2284">
        <f>IF($A2284="",0,IF(COUNTIF($R$2:$R2284,$R2284)=1,1,0))</f>
        <v>0</v>
      </c>
      <c r="T2284" t="str">
        <f t="shared" si="534"/>
        <v/>
      </c>
      <c r="U2284" t="str">
        <f>IF($A2284="","",IF($A2284=经营数据!$B$3,COUNTIFS($S$2:$S$3000,1,$A$2:$A$3000,$A2284,$T$2:$T$3000,"&lt;"&amp;$T2284)+1,""))</f>
        <v/>
      </c>
      <c r="V2284" t="str">
        <f t="shared" si="535"/>
        <v/>
      </c>
      <c r="W2284" t="str">
        <f t="shared" si="536"/>
        <v/>
      </c>
      <c r="X2284" t="str">
        <f t="shared" si="537"/>
        <v/>
      </c>
      <c r="Y2284" t="str">
        <f t="shared" si="538"/>
        <v/>
      </c>
      <c r="Z2284">
        <f>IF($A2284="",0,IF(AND($M2284=1,$A2284=经营数据!$B$3,$J2284=经营数据!$BA$5,OR($I2284=经营数据!$BA$4,COUNTIF(经营数据!$AA$9:$AA$38,$I2284)&gt;0)),1,0))</f>
        <v>0</v>
      </c>
      <c r="AA2284" t="str">
        <f t="shared" si="539"/>
        <v/>
      </c>
      <c r="AB2284" t="str">
        <f t="shared" si="540"/>
        <v/>
      </c>
      <c r="AC2284">
        <f>IF($A2284="",0,IF(COUNTIF($A$2:$A2284,$A2284)=1,1,0))</f>
        <v>0</v>
      </c>
      <c r="AD2284">
        <f t="shared" si="541"/>
        <v>29</v>
      </c>
      <c r="AE2284" t="str">
        <f t="shared" si="542"/>
        <v/>
      </c>
    </row>
    <row r="2285" spans="1:31" x14ac:dyDescent="0.4">
      <c r="A2285" t="str">
        <f>IF(原始经营数据!$D2286="","",原始经营数据!$D2286)</f>
        <v/>
      </c>
      <c r="B2285" t="str">
        <f>IF(原始经营数据!$D2286="","",T(原始经营数据!$E2286))</f>
        <v/>
      </c>
      <c r="C2285" t="str">
        <f>IF(原始经营数据!$D2286="","",原始经营数据!$F2286)</f>
        <v/>
      </c>
      <c r="D2285" t="str">
        <f>IF(原始经营数据!$D2286="","",原始经营数据!$H2286)</f>
        <v/>
      </c>
      <c r="E2285" t="str">
        <f>IF(原始经营数据!$D2286="","",原始经营数据!$I2286)</f>
        <v/>
      </c>
      <c r="F2285" t="str">
        <f>IF(原始经营数据!$D2286="","",T(原始经营数据!$J2286))</f>
        <v/>
      </c>
      <c r="G2285" t="str">
        <f>IF(原始经营数据!$D2286="","",T(原始经营数据!$K2286))</f>
        <v/>
      </c>
      <c r="H2285" t="str">
        <f>IF(原始经营数据!$D2286="","",原始经营数据!$G2286)</f>
        <v/>
      </c>
      <c r="I2285" t="str">
        <f>IF($A2285="","",IF($B2285&lt;&gt;"",$B2285,IF(COUNTIFS(原始经营数据!$D$3:$D$3001,$A2285,原始经营数据!$E$3:$E$3001,"",原始经营数据!$F$3:$F$3001,$C2285,原始经营数据!$H$3:$H$3001,$D2285,原始经营数据!$K$3:$K$3001,$G2285)&gt;1,"基金整体·来源"&amp;原始经营数据!$A2286,"基金整体")))</f>
        <v/>
      </c>
      <c r="J2285" t="str">
        <f t="shared" si="528"/>
        <v/>
      </c>
      <c r="K2285" t="str">
        <f t="shared" si="529"/>
        <v/>
      </c>
      <c r="L2285" t="str">
        <f t="shared" si="530"/>
        <v/>
      </c>
      <c r="M2285">
        <f>IF($A2285="",0,IF(COUNTIF($L$2:$L2285,$L2285)=1,1,0))</f>
        <v>0</v>
      </c>
      <c r="N2285" t="str">
        <f t="shared" si="531"/>
        <v/>
      </c>
      <c r="O2285" t="str">
        <f t="shared" si="532"/>
        <v/>
      </c>
      <c r="P2285">
        <f>IF($A2285="",0,IF(COUNTIF($O$2:$O2285,$O2285)=1,1,0))</f>
        <v>0</v>
      </c>
      <c r="Q2285" t="str">
        <f>IF(AND($P2285=1,$A2285=经营数据!$B$3,$J2285=经营数据!$BA$5),COUNTIFS($P$2:$P$3000,1,$A$2:$A$3000,$A2285,$J$2:$J$3000,$J2285,$N$2:$N$3000,"&lt;"&amp;$N2285)+1,"")</f>
        <v/>
      </c>
      <c r="R2285" t="str">
        <f t="shared" si="533"/>
        <v/>
      </c>
      <c r="S2285">
        <f>IF($A2285="",0,IF(COUNTIF($R$2:$R2285,$R2285)=1,1,0))</f>
        <v>0</v>
      </c>
      <c r="T2285" t="str">
        <f t="shared" si="534"/>
        <v/>
      </c>
      <c r="U2285" t="str">
        <f>IF($A2285="","",IF($A2285=经营数据!$B$3,COUNTIFS($S$2:$S$3000,1,$A$2:$A$3000,$A2285,$T$2:$T$3000,"&lt;"&amp;$T2285)+1,""))</f>
        <v/>
      </c>
      <c r="V2285" t="str">
        <f t="shared" si="535"/>
        <v/>
      </c>
      <c r="W2285" t="str">
        <f t="shared" si="536"/>
        <v/>
      </c>
      <c r="X2285" t="str">
        <f t="shared" si="537"/>
        <v/>
      </c>
      <c r="Y2285" t="str">
        <f t="shared" si="538"/>
        <v/>
      </c>
      <c r="Z2285">
        <f>IF($A2285="",0,IF(AND($M2285=1,$A2285=经营数据!$B$3,$J2285=经营数据!$BA$5,OR($I2285=经营数据!$BA$4,COUNTIF(经营数据!$AA$9:$AA$38,$I2285)&gt;0)),1,0))</f>
        <v>0</v>
      </c>
      <c r="AA2285" t="str">
        <f t="shared" si="539"/>
        <v/>
      </c>
      <c r="AB2285" t="str">
        <f t="shared" si="540"/>
        <v/>
      </c>
      <c r="AC2285">
        <f>IF($A2285="",0,IF(COUNTIF($A$2:$A2285,$A2285)=1,1,0))</f>
        <v>0</v>
      </c>
      <c r="AD2285">
        <f t="shared" si="541"/>
        <v>29</v>
      </c>
      <c r="AE2285" t="str">
        <f t="shared" si="542"/>
        <v/>
      </c>
    </row>
    <row r="2286" spans="1:31" x14ac:dyDescent="0.4">
      <c r="A2286" t="str">
        <f>IF(原始经营数据!$D2287="","",原始经营数据!$D2287)</f>
        <v/>
      </c>
      <c r="B2286" t="str">
        <f>IF(原始经营数据!$D2287="","",T(原始经营数据!$E2287))</f>
        <v/>
      </c>
      <c r="C2286" t="str">
        <f>IF(原始经营数据!$D2287="","",原始经营数据!$F2287)</f>
        <v/>
      </c>
      <c r="D2286" t="str">
        <f>IF(原始经营数据!$D2287="","",原始经营数据!$H2287)</f>
        <v/>
      </c>
      <c r="E2286" t="str">
        <f>IF(原始经营数据!$D2287="","",原始经营数据!$I2287)</f>
        <v/>
      </c>
      <c r="F2286" t="str">
        <f>IF(原始经营数据!$D2287="","",T(原始经营数据!$J2287))</f>
        <v/>
      </c>
      <c r="G2286" t="str">
        <f>IF(原始经营数据!$D2287="","",T(原始经营数据!$K2287))</f>
        <v/>
      </c>
      <c r="H2286" t="str">
        <f>IF(原始经营数据!$D2287="","",原始经营数据!$G2287)</f>
        <v/>
      </c>
      <c r="I2286" t="str">
        <f>IF($A2286="","",IF($B2286&lt;&gt;"",$B2286,IF(COUNTIFS(原始经营数据!$D$3:$D$3001,$A2286,原始经营数据!$E$3:$E$3001,"",原始经营数据!$F$3:$F$3001,$C2286,原始经营数据!$H$3:$H$3001,$D2286,原始经营数据!$K$3:$K$3001,$G2286)&gt;1,"基金整体·来源"&amp;原始经营数据!$A2287,"基金整体")))</f>
        <v/>
      </c>
      <c r="J2286" t="str">
        <f t="shared" si="528"/>
        <v/>
      </c>
      <c r="K2286" t="str">
        <f t="shared" si="529"/>
        <v/>
      </c>
      <c r="L2286" t="str">
        <f t="shared" si="530"/>
        <v/>
      </c>
      <c r="M2286">
        <f>IF($A2286="",0,IF(COUNTIF($L$2:$L2286,$L2286)=1,1,0))</f>
        <v>0</v>
      </c>
      <c r="N2286" t="str">
        <f t="shared" si="531"/>
        <v/>
      </c>
      <c r="O2286" t="str">
        <f t="shared" si="532"/>
        <v/>
      </c>
      <c r="P2286">
        <f>IF($A2286="",0,IF(COUNTIF($O$2:$O2286,$O2286)=1,1,0))</f>
        <v>0</v>
      </c>
      <c r="Q2286" t="str">
        <f>IF(AND($P2286=1,$A2286=经营数据!$B$3,$J2286=经营数据!$BA$5),COUNTIFS($P$2:$P$3000,1,$A$2:$A$3000,$A2286,$J$2:$J$3000,$J2286,$N$2:$N$3000,"&lt;"&amp;$N2286)+1,"")</f>
        <v/>
      </c>
      <c r="R2286" t="str">
        <f t="shared" si="533"/>
        <v/>
      </c>
      <c r="S2286">
        <f>IF($A2286="",0,IF(COUNTIF($R$2:$R2286,$R2286)=1,1,0))</f>
        <v>0</v>
      </c>
      <c r="T2286" t="str">
        <f t="shared" si="534"/>
        <v/>
      </c>
      <c r="U2286" t="str">
        <f>IF($A2286="","",IF($A2286=经营数据!$B$3,COUNTIFS($S$2:$S$3000,1,$A$2:$A$3000,$A2286,$T$2:$T$3000,"&lt;"&amp;$T2286)+1,""))</f>
        <v/>
      </c>
      <c r="V2286" t="str">
        <f t="shared" si="535"/>
        <v/>
      </c>
      <c r="W2286" t="str">
        <f t="shared" si="536"/>
        <v/>
      </c>
      <c r="X2286" t="str">
        <f t="shared" si="537"/>
        <v/>
      </c>
      <c r="Y2286" t="str">
        <f t="shared" si="538"/>
        <v/>
      </c>
      <c r="Z2286">
        <f>IF($A2286="",0,IF(AND($M2286=1,$A2286=经营数据!$B$3,$J2286=经营数据!$BA$5,OR($I2286=经营数据!$BA$4,COUNTIF(经营数据!$AA$9:$AA$38,$I2286)&gt;0)),1,0))</f>
        <v>0</v>
      </c>
      <c r="AA2286" t="str">
        <f t="shared" si="539"/>
        <v/>
      </c>
      <c r="AB2286" t="str">
        <f t="shared" si="540"/>
        <v/>
      </c>
      <c r="AC2286">
        <f>IF($A2286="",0,IF(COUNTIF($A$2:$A2286,$A2286)=1,1,0))</f>
        <v>0</v>
      </c>
      <c r="AD2286">
        <f t="shared" si="541"/>
        <v>29</v>
      </c>
      <c r="AE2286" t="str">
        <f t="shared" si="542"/>
        <v/>
      </c>
    </row>
    <row r="2287" spans="1:31" x14ac:dyDescent="0.4">
      <c r="A2287" t="str">
        <f>IF(原始经营数据!$D2288="","",原始经营数据!$D2288)</f>
        <v/>
      </c>
      <c r="B2287" t="str">
        <f>IF(原始经营数据!$D2288="","",T(原始经营数据!$E2288))</f>
        <v/>
      </c>
      <c r="C2287" t="str">
        <f>IF(原始经营数据!$D2288="","",原始经营数据!$F2288)</f>
        <v/>
      </c>
      <c r="D2287" t="str">
        <f>IF(原始经营数据!$D2288="","",原始经营数据!$H2288)</f>
        <v/>
      </c>
      <c r="E2287" t="str">
        <f>IF(原始经营数据!$D2288="","",原始经营数据!$I2288)</f>
        <v/>
      </c>
      <c r="F2287" t="str">
        <f>IF(原始经营数据!$D2288="","",T(原始经营数据!$J2288))</f>
        <v/>
      </c>
      <c r="G2287" t="str">
        <f>IF(原始经营数据!$D2288="","",T(原始经营数据!$K2288))</f>
        <v/>
      </c>
      <c r="H2287" t="str">
        <f>IF(原始经营数据!$D2288="","",原始经营数据!$G2288)</f>
        <v/>
      </c>
      <c r="I2287" t="str">
        <f>IF($A2287="","",IF($B2287&lt;&gt;"",$B2287,IF(COUNTIFS(原始经营数据!$D$3:$D$3001,$A2287,原始经营数据!$E$3:$E$3001,"",原始经营数据!$F$3:$F$3001,$C2287,原始经营数据!$H$3:$H$3001,$D2287,原始经营数据!$K$3:$K$3001,$G2287)&gt;1,"基金整体·来源"&amp;原始经营数据!$A2288,"基金整体")))</f>
        <v/>
      </c>
      <c r="J2287" t="str">
        <f t="shared" si="528"/>
        <v/>
      </c>
      <c r="K2287" t="str">
        <f t="shared" si="529"/>
        <v/>
      </c>
      <c r="L2287" t="str">
        <f t="shared" si="530"/>
        <v/>
      </c>
      <c r="M2287">
        <f>IF($A2287="",0,IF(COUNTIF($L$2:$L2287,$L2287)=1,1,0))</f>
        <v>0</v>
      </c>
      <c r="N2287" t="str">
        <f t="shared" si="531"/>
        <v/>
      </c>
      <c r="O2287" t="str">
        <f t="shared" si="532"/>
        <v/>
      </c>
      <c r="P2287">
        <f>IF($A2287="",0,IF(COUNTIF($O$2:$O2287,$O2287)=1,1,0))</f>
        <v>0</v>
      </c>
      <c r="Q2287" t="str">
        <f>IF(AND($P2287=1,$A2287=经营数据!$B$3,$J2287=经营数据!$BA$5),COUNTIFS($P$2:$P$3000,1,$A$2:$A$3000,$A2287,$J$2:$J$3000,$J2287,$N$2:$N$3000,"&lt;"&amp;$N2287)+1,"")</f>
        <v/>
      </c>
      <c r="R2287" t="str">
        <f t="shared" si="533"/>
        <v/>
      </c>
      <c r="S2287">
        <f>IF($A2287="",0,IF(COUNTIF($R$2:$R2287,$R2287)=1,1,0))</f>
        <v>0</v>
      </c>
      <c r="T2287" t="str">
        <f t="shared" si="534"/>
        <v/>
      </c>
      <c r="U2287" t="str">
        <f>IF($A2287="","",IF($A2287=经营数据!$B$3,COUNTIFS($S$2:$S$3000,1,$A$2:$A$3000,$A2287,$T$2:$T$3000,"&lt;"&amp;$T2287)+1,""))</f>
        <v/>
      </c>
      <c r="V2287" t="str">
        <f t="shared" si="535"/>
        <v/>
      </c>
      <c r="W2287" t="str">
        <f t="shared" si="536"/>
        <v/>
      </c>
      <c r="X2287" t="str">
        <f t="shared" si="537"/>
        <v/>
      </c>
      <c r="Y2287" t="str">
        <f t="shared" si="538"/>
        <v/>
      </c>
      <c r="Z2287">
        <f>IF($A2287="",0,IF(AND($M2287=1,$A2287=经营数据!$B$3,$J2287=经营数据!$BA$5,OR($I2287=经营数据!$BA$4,COUNTIF(经营数据!$AA$9:$AA$38,$I2287)&gt;0)),1,0))</f>
        <v>0</v>
      </c>
      <c r="AA2287" t="str">
        <f t="shared" si="539"/>
        <v/>
      </c>
      <c r="AB2287" t="str">
        <f t="shared" si="540"/>
        <v/>
      </c>
      <c r="AC2287">
        <f>IF($A2287="",0,IF(COUNTIF($A$2:$A2287,$A2287)=1,1,0))</f>
        <v>0</v>
      </c>
      <c r="AD2287">
        <f t="shared" si="541"/>
        <v>29</v>
      </c>
      <c r="AE2287" t="str">
        <f t="shared" si="542"/>
        <v/>
      </c>
    </row>
    <row r="2288" spans="1:31" x14ac:dyDescent="0.4">
      <c r="A2288" t="str">
        <f>IF(原始经营数据!$D2289="","",原始经营数据!$D2289)</f>
        <v/>
      </c>
      <c r="B2288" t="str">
        <f>IF(原始经营数据!$D2289="","",T(原始经营数据!$E2289))</f>
        <v/>
      </c>
      <c r="C2288" t="str">
        <f>IF(原始经营数据!$D2289="","",原始经营数据!$F2289)</f>
        <v/>
      </c>
      <c r="D2288" t="str">
        <f>IF(原始经营数据!$D2289="","",原始经营数据!$H2289)</f>
        <v/>
      </c>
      <c r="E2288" t="str">
        <f>IF(原始经营数据!$D2289="","",原始经营数据!$I2289)</f>
        <v/>
      </c>
      <c r="F2288" t="str">
        <f>IF(原始经营数据!$D2289="","",T(原始经营数据!$J2289))</f>
        <v/>
      </c>
      <c r="G2288" t="str">
        <f>IF(原始经营数据!$D2289="","",T(原始经营数据!$K2289))</f>
        <v/>
      </c>
      <c r="H2288" t="str">
        <f>IF(原始经营数据!$D2289="","",原始经营数据!$G2289)</f>
        <v/>
      </c>
      <c r="I2288" t="str">
        <f>IF($A2288="","",IF($B2288&lt;&gt;"",$B2288,IF(COUNTIFS(原始经营数据!$D$3:$D$3001,$A2288,原始经营数据!$E$3:$E$3001,"",原始经营数据!$F$3:$F$3001,$C2288,原始经营数据!$H$3:$H$3001,$D2288,原始经营数据!$K$3:$K$3001,$G2288)&gt;1,"基金整体·来源"&amp;原始经营数据!$A2289,"基金整体")))</f>
        <v/>
      </c>
      <c r="J2288" t="str">
        <f t="shared" si="528"/>
        <v/>
      </c>
      <c r="K2288" t="str">
        <f t="shared" si="529"/>
        <v/>
      </c>
      <c r="L2288" t="str">
        <f t="shared" si="530"/>
        <v/>
      </c>
      <c r="M2288">
        <f>IF($A2288="",0,IF(COUNTIF($L$2:$L2288,$L2288)=1,1,0))</f>
        <v>0</v>
      </c>
      <c r="N2288" t="str">
        <f t="shared" si="531"/>
        <v/>
      </c>
      <c r="O2288" t="str">
        <f t="shared" si="532"/>
        <v/>
      </c>
      <c r="P2288">
        <f>IF($A2288="",0,IF(COUNTIF($O$2:$O2288,$O2288)=1,1,0))</f>
        <v>0</v>
      </c>
      <c r="Q2288" t="str">
        <f>IF(AND($P2288=1,$A2288=经营数据!$B$3,$J2288=经营数据!$BA$5),COUNTIFS($P$2:$P$3000,1,$A$2:$A$3000,$A2288,$J$2:$J$3000,$J2288,$N$2:$N$3000,"&lt;"&amp;$N2288)+1,"")</f>
        <v/>
      </c>
      <c r="R2288" t="str">
        <f t="shared" si="533"/>
        <v/>
      </c>
      <c r="S2288">
        <f>IF($A2288="",0,IF(COUNTIF($R$2:$R2288,$R2288)=1,1,0))</f>
        <v>0</v>
      </c>
      <c r="T2288" t="str">
        <f t="shared" si="534"/>
        <v/>
      </c>
      <c r="U2288" t="str">
        <f>IF($A2288="","",IF($A2288=经营数据!$B$3,COUNTIFS($S$2:$S$3000,1,$A$2:$A$3000,$A2288,$T$2:$T$3000,"&lt;"&amp;$T2288)+1,""))</f>
        <v/>
      </c>
      <c r="V2288" t="str">
        <f t="shared" si="535"/>
        <v/>
      </c>
      <c r="W2288" t="str">
        <f t="shared" si="536"/>
        <v/>
      </c>
      <c r="X2288" t="str">
        <f t="shared" si="537"/>
        <v/>
      </c>
      <c r="Y2288" t="str">
        <f t="shared" si="538"/>
        <v/>
      </c>
      <c r="Z2288">
        <f>IF($A2288="",0,IF(AND($M2288=1,$A2288=经营数据!$B$3,$J2288=经营数据!$BA$5,OR($I2288=经营数据!$BA$4,COUNTIF(经营数据!$AA$9:$AA$38,$I2288)&gt;0)),1,0))</f>
        <v>0</v>
      </c>
      <c r="AA2288" t="str">
        <f t="shared" si="539"/>
        <v/>
      </c>
      <c r="AB2288" t="str">
        <f t="shared" si="540"/>
        <v/>
      </c>
      <c r="AC2288">
        <f>IF($A2288="",0,IF(COUNTIF($A$2:$A2288,$A2288)=1,1,0))</f>
        <v>0</v>
      </c>
      <c r="AD2288">
        <f t="shared" si="541"/>
        <v>29</v>
      </c>
      <c r="AE2288" t="str">
        <f t="shared" si="542"/>
        <v/>
      </c>
    </row>
    <row r="2289" spans="1:31" x14ac:dyDescent="0.4">
      <c r="A2289" t="str">
        <f>IF(原始经营数据!$D2290="","",原始经营数据!$D2290)</f>
        <v/>
      </c>
      <c r="B2289" t="str">
        <f>IF(原始经营数据!$D2290="","",T(原始经营数据!$E2290))</f>
        <v/>
      </c>
      <c r="C2289" t="str">
        <f>IF(原始经营数据!$D2290="","",原始经营数据!$F2290)</f>
        <v/>
      </c>
      <c r="D2289" t="str">
        <f>IF(原始经营数据!$D2290="","",原始经营数据!$H2290)</f>
        <v/>
      </c>
      <c r="E2289" t="str">
        <f>IF(原始经营数据!$D2290="","",原始经营数据!$I2290)</f>
        <v/>
      </c>
      <c r="F2289" t="str">
        <f>IF(原始经营数据!$D2290="","",T(原始经营数据!$J2290))</f>
        <v/>
      </c>
      <c r="G2289" t="str">
        <f>IF(原始经营数据!$D2290="","",T(原始经营数据!$K2290))</f>
        <v/>
      </c>
      <c r="H2289" t="str">
        <f>IF(原始经营数据!$D2290="","",原始经营数据!$G2290)</f>
        <v/>
      </c>
      <c r="I2289" t="str">
        <f>IF($A2289="","",IF($B2289&lt;&gt;"",$B2289,IF(COUNTIFS(原始经营数据!$D$3:$D$3001,$A2289,原始经营数据!$E$3:$E$3001,"",原始经营数据!$F$3:$F$3001,$C2289,原始经营数据!$H$3:$H$3001,$D2289,原始经营数据!$K$3:$K$3001,$G2289)&gt;1,"基金整体·来源"&amp;原始经营数据!$A2290,"基金整体")))</f>
        <v/>
      </c>
      <c r="J2289" t="str">
        <f t="shared" si="528"/>
        <v/>
      </c>
      <c r="K2289" t="str">
        <f t="shared" si="529"/>
        <v/>
      </c>
      <c r="L2289" t="str">
        <f t="shared" si="530"/>
        <v/>
      </c>
      <c r="M2289">
        <f>IF($A2289="",0,IF(COUNTIF($L$2:$L2289,$L2289)=1,1,0))</f>
        <v>0</v>
      </c>
      <c r="N2289" t="str">
        <f t="shared" si="531"/>
        <v/>
      </c>
      <c r="O2289" t="str">
        <f t="shared" si="532"/>
        <v/>
      </c>
      <c r="P2289">
        <f>IF($A2289="",0,IF(COUNTIF($O$2:$O2289,$O2289)=1,1,0))</f>
        <v>0</v>
      </c>
      <c r="Q2289" t="str">
        <f>IF(AND($P2289=1,$A2289=经营数据!$B$3,$J2289=经营数据!$BA$5),COUNTIFS($P$2:$P$3000,1,$A$2:$A$3000,$A2289,$J$2:$J$3000,$J2289,$N$2:$N$3000,"&lt;"&amp;$N2289)+1,"")</f>
        <v/>
      </c>
      <c r="R2289" t="str">
        <f t="shared" si="533"/>
        <v/>
      </c>
      <c r="S2289">
        <f>IF($A2289="",0,IF(COUNTIF($R$2:$R2289,$R2289)=1,1,0))</f>
        <v>0</v>
      </c>
      <c r="T2289" t="str">
        <f t="shared" si="534"/>
        <v/>
      </c>
      <c r="U2289" t="str">
        <f>IF($A2289="","",IF($A2289=经营数据!$B$3,COUNTIFS($S$2:$S$3000,1,$A$2:$A$3000,$A2289,$T$2:$T$3000,"&lt;"&amp;$T2289)+1,""))</f>
        <v/>
      </c>
      <c r="V2289" t="str">
        <f t="shared" si="535"/>
        <v/>
      </c>
      <c r="W2289" t="str">
        <f t="shared" si="536"/>
        <v/>
      </c>
      <c r="X2289" t="str">
        <f t="shared" si="537"/>
        <v/>
      </c>
      <c r="Y2289" t="str">
        <f t="shared" si="538"/>
        <v/>
      </c>
      <c r="Z2289">
        <f>IF($A2289="",0,IF(AND($M2289=1,$A2289=经营数据!$B$3,$J2289=经营数据!$BA$5,OR($I2289=经营数据!$BA$4,COUNTIF(经营数据!$AA$9:$AA$38,$I2289)&gt;0)),1,0))</f>
        <v>0</v>
      </c>
      <c r="AA2289" t="str">
        <f t="shared" si="539"/>
        <v/>
      </c>
      <c r="AB2289" t="str">
        <f t="shared" si="540"/>
        <v/>
      </c>
      <c r="AC2289">
        <f>IF($A2289="",0,IF(COUNTIF($A$2:$A2289,$A2289)=1,1,0))</f>
        <v>0</v>
      </c>
      <c r="AD2289">
        <f t="shared" si="541"/>
        <v>29</v>
      </c>
      <c r="AE2289" t="str">
        <f t="shared" si="542"/>
        <v/>
      </c>
    </row>
    <row r="2290" spans="1:31" x14ac:dyDescent="0.4">
      <c r="A2290" t="str">
        <f>IF(原始经营数据!$D2291="","",原始经营数据!$D2291)</f>
        <v/>
      </c>
      <c r="B2290" t="str">
        <f>IF(原始经营数据!$D2291="","",T(原始经营数据!$E2291))</f>
        <v/>
      </c>
      <c r="C2290" t="str">
        <f>IF(原始经营数据!$D2291="","",原始经营数据!$F2291)</f>
        <v/>
      </c>
      <c r="D2290" t="str">
        <f>IF(原始经营数据!$D2291="","",原始经营数据!$H2291)</f>
        <v/>
      </c>
      <c r="E2290" t="str">
        <f>IF(原始经营数据!$D2291="","",原始经营数据!$I2291)</f>
        <v/>
      </c>
      <c r="F2290" t="str">
        <f>IF(原始经营数据!$D2291="","",T(原始经营数据!$J2291))</f>
        <v/>
      </c>
      <c r="G2290" t="str">
        <f>IF(原始经营数据!$D2291="","",T(原始经营数据!$K2291))</f>
        <v/>
      </c>
      <c r="H2290" t="str">
        <f>IF(原始经营数据!$D2291="","",原始经营数据!$G2291)</f>
        <v/>
      </c>
      <c r="I2290" t="str">
        <f>IF($A2290="","",IF($B2290&lt;&gt;"",$B2290,IF(COUNTIFS(原始经营数据!$D$3:$D$3001,$A2290,原始经营数据!$E$3:$E$3001,"",原始经营数据!$F$3:$F$3001,$C2290,原始经营数据!$H$3:$H$3001,$D2290,原始经营数据!$K$3:$K$3001,$G2290)&gt;1,"基金整体·来源"&amp;原始经营数据!$A2291,"基金整体")))</f>
        <v/>
      </c>
      <c r="J2290" t="str">
        <f t="shared" si="528"/>
        <v/>
      </c>
      <c r="K2290" t="str">
        <f t="shared" si="529"/>
        <v/>
      </c>
      <c r="L2290" t="str">
        <f t="shared" si="530"/>
        <v/>
      </c>
      <c r="M2290">
        <f>IF($A2290="",0,IF(COUNTIF($L$2:$L2290,$L2290)=1,1,0))</f>
        <v>0</v>
      </c>
      <c r="N2290" t="str">
        <f t="shared" si="531"/>
        <v/>
      </c>
      <c r="O2290" t="str">
        <f t="shared" si="532"/>
        <v/>
      </c>
      <c r="P2290">
        <f>IF($A2290="",0,IF(COUNTIF($O$2:$O2290,$O2290)=1,1,0))</f>
        <v>0</v>
      </c>
      <c r="Q2290" t="str">
        <f>IF(AND($P2290=1,$A2290=经营数据!$B$3,$J2290=经营数据!$BA$5),COUNTIFS($P$2:$P$3000,1,$A$2:$A$3000,$A2290,$J$2:$J$3000,$J2290,$N$2:$N$3000,"&lt;"&amp;$N2290)+1,"")</f>
        <v/>
      </c>
      <c r="R2290" t="str">
        <f t="shared" si="533"/>
        <v/>
      </c>
      <c r="S2290">
        <f>IF($A2290="",0,IF(COUNTIF($R$2:$R2290,$R2290)=1,1,0))</f>
        <v>0</v>
      </c>
      <c r="T2290" t="str">
        <f t="shared" si="534"/>
        <v/>
      </c>
      <c r="U2290" t="str">
        <f>IF($A2290="","",IF($A2290=经营数据!$B$3,COUNTIFS($S$2:$S$3000,1,$A$2:$A$3000,$A2290,$T$2:$T$3000,"&lt;"&amp;$T2290)+1,""))</f>
        <v/>
      </c>
      <c r="V2290" t="str">
        <f t="shared" si="535"/>
        <v/>
      </c>
      <c r="W2290" t="str">
        <f t="shared" si="536"/>
        <v/>
      </c>
      <c r="X2290" t="str">
        <f t="shared" si="537"/>
        <v/>
      </c>
      <c r="Y2290" t="str">
        <f t="shared" si="538"/>
        <v/>
      </c>
      <c r="Z2290">
        <f>IF($A2290="",0,IF(AND($M2290=1,$A2290=经营数据!$B$3,$J2290=经营数据!$BA$5,OR($I2290=经营数据!$BA$4,COUNTIF(经营数据!$AA$9:$AA$38,$I2290)&gt;0)),1,0))</f>
        <v>0</v>
      </c>
      <c r="AA2290" t="str">
        <f t="shared" si="539"/>
        <v/>
      </c>
      <c r="AB2290" t="str">
        <f t="shared" si="540"/>
        <v/>
      </c>
      <c r="AC2290">
        <f>IF($A2290="",0,IF(COUNTIF($A$2:$A2290,$A2290)=1,1,0))</f>
        <v>0</v>
      </c>
      <c r="AD2290">
        <f t="shared" si="541"/>
        <v>29</v>
      </c>
      <c r="AE2290" t="str">
        <f t="shared" si="542"/>
        <v/>
      </c>
    </row>
    <row r="2291" spans="1:31" x14ac:dyDescent="0.4">
      <c r="A2291" t="str">
        <f>IF(原始经营数据!$D2292="","",原始经营数据!$D2292)</f>
        <v/>
      </c>
      <c r="B2291" t="str">
        <f>IF(原始经营数据!$D2292="","",T(原始经营数据!$E2292))</f>
        <v/>
      </c>
      <c r="C2291" t="str">
        <f>IF(原始经营数据!$D2292="","",原始经营数据!$F2292)</f>
        <v/>
      </c>
      <c r="D2291" t="str">
        <f>IF(原始经营数据!$D2292="","",原始经营数据!$H2292)</f>
        <v/>
      </c>
      <c r="E2291" t="str">
        <f>IF(原始经营数据!$D2292="","",原始经营数据!$I2292)</f>
        <v/>
      </c>
      <c r="F2291" t="str">
        <f>IF(原始经营数据!$D2292="","",T(原始经营数据!$J2292))</f>
        <v/>
      </c>
      <c r="G2291" t="str">
        <f>IF(原始经营数据!$D2292="","",T(原始经营数据!$K2292))</f>
        <v/>
      </c>
      <c r="H2291" t="str">
        <f>IF(原始经营数据!$D2292="","",原始经营数据!$G2292)</f>
        <v/>
      </c>
      <c r="I2291" t="str">
        <f>IF($A2291="","",IF($B2291&lt;&gt;"",$B2291,IF(COUNTIFS(原始经营数据!$D$3:$D$3001,$A2291,原始经营数据!$E$3:$E$3001,"",原始经营数据!$F$3:$F$3001,$C2291,原始经营数据!$H$3:$H$3001,$D2291,原始经营数据!$K$3:$K$3001,$G2291)&gt;1,"基金整体·来源"&amp;原始经营数据!$A2292,"基金整体")))</f>
        <v/>
      </c>
      <c r="J2291" t="str">
        <f t="shared" si="528"/>
        <v/>
      </c>
      <c r="K2291" t="str">
        <f t="shared" si="529"/>
        <v/>
      </c>
      <c r="L2291" t="str">
        <f t="shared" si="530"/>
        <v/>
      </c>
      <c r="M2291">
        <f>IF($A2291="",0,IF(COUNTIF($L$2:$L2291,$L2291)=1,1,0))</f>
        <v>0</v>
      </c>
      <c r="N2291" t="str">
        <f t="shared" si="531"/>
        <v/>
      </c>
      <c r="O2291" t="str">
        <f t="shared" si="532"/>
        <v/>
      </c>
      <c r="P2291">
        <f>IF($A2291="",0,IF(COUNTIF($O$2:$O2291,$O2291)=1,1,0))</f>
        <v>0</v>
      </c>
      <c r="Q2291" t="str">
        <f>IF(AND($P2291=1,$A2291=经营数据!$B$3,$J2291=经营数据!$BA$5),COUNTIFS($P$2:$P$3000,1,$A$2:$A$3000,$A2291,$J$2:$J$3000,$J2291,$N$2:$N$3000,"&lt;"&amp;$N2291)+1,"")</f>
        <v/>
      </c>
      <c r="R2291" t="str">
        <f t="shared" si="533"/>
        <v/>
      </c>
      <c r="S2291">
        <f>IF($A2291="",0,IF(COUNTIF($R$2:$R2291,$R2291)=1,1,0))</f>
        <v>0</v>
      </c>
      <c r="T2291" t="str">
        <f t="shared" si="534"/>
        <v/>
      </c>
      <c r="U2291" t="str">
        <f>IF($A2291="","",IF($A2291=经营数据!$B$3,COUNTIFS($S$2:$S$3000,1,$A$2:$A$3000,$A2291,$T$2:$T$3000,"&lt;"&amp;$T2291)+1,""))</f>
        <v/>
      </c>
      <c r="V2291" t="str">
        <f t="shared" si="535"/>
        <v/>
      </c>
      <c r="W2291" t="str">
        <f t="shared" si="536"/>
        <v/>
      </c>
      <c r="X2291" t="str">
        <f t="shared" si="537"/>
        <v/>
      </c>
      <c r="Y2291" t="str">
        <f t="shared" si="538"/>
        <v/>
      </c>
      <c r="Z2291">
        <f>IF($A2291="",0,IF(AND($M2291=1,$A2291=经营数据!$B$3,$J2291=经营数据!$BA$5,OR($I2291=经营数据!$BA$4,COUNTIF(经营数据!$AA$9:$AA$38,$I2291)&gt;0)),1,0))</f>
        <v>0</v>
      </c>
      <c r="AA2291" t="str">
        <f t="shared" si="539"/>
        <v/>
      </c>
      <c r="AB2291" t="str">
        <f t="shared" si="540"/>
        <v/>
      </c>
      <c r="AC2291">
        <f>IF($A2291="",0,IF(COUNTIF($A$2:$A2291,$A2291)=1,1,0))</f>
        <v>0</v>
      </c>
      <c r="AD2291">
        <f t="shared" si="541"/>
        <v>29</v>
      </c>
      <c r="AE2291" t="str">
        <f t="shared" si="542"/>
        <v/>
      </c>
    </row>
    <row r="2292" spans="1:31" x14ac:dyDescent="0.4">
      <c r="A2292" t="str">
        <f>IF(原始经营数据!$D2293="","",原始经营数据!$D2293)</f>
        <v/>
      </c>
      <c r="B2292" t="str">
        <f>IF(原始经营数据!$D2293="","",T(原始经营数据!$E2293))</f>
        <v/>
      </c>
      <c r="C2292" t="str">
        <f>IF(原始经营数据!$D2293="","",原始经营数据!$F2293)</f>
        <v/>
      </c>
      <c r="D2292" t="str">
        <f>IF(原始经营数据!$D2293="","",原始经营数据!$H2293)</f>
        <v/>
      </c>
      <c r="E2292" t="str">
        <f>IF(原始经营数据!$D2293="","",原始经营数据!$I2293)</f>
        <v/>
      </c>
      <c r="F2292" t="str">
        <f>IF(原始经营数据!$D2293="","",T(原始经营数据!$J2293))</f>
        <v/>
      </c>
      <c r="G2292" t="str">
        <f>IF(原始经营数据!$D2293="","",T(原始经营数据!$K2293))</f>
        <v/>
      </c>
      <c r="H2292" t="str">
        <f>IF(原始经营数据!$D2293="","",原始经营数据!$G2293)</f>
        <v/>
      </c>
      <c r="I2292" t="str">
        <f>IF($A2292="","",IF($B2292&lt;&gt;"",$B2292,IF(COUNTIFS(原始经营数据!$D$3:$D$3001,$A2292,原始经营数据!$E$3:$E$3001,"",原始经营数据!$F$3:$F$3001,$C2292,原始经营数据!$H$3:$H$3001,$D2292,原始经营数据!$K$3:$K$3001,$G2292)&gt;1,"基金整体·来源"&amp;原始经营数据!$A2293,"基金整体")))</f>
        <v/>
      </c>
      <c r="J2292" t="str">
        <f t="shared" si="528"/>
        <v/>
      </c>
      <c r="K2292" t="str">
        <f t="shared" si="529"/>
        <v/>
      </c>
      <c r="L2292" t="str">
        <f t="shared" si="530"/>
        <v/>
      </c>
      <c r="M2292">
        <f>IF($A2292="",0,IF(COUNTIF($L$2:$L2292,$L2292)=1,1,0))</f>
        <v>0</v>
      </c>
      <c r="N2292" t="str">
        <f t="shared" si="531"/>
        <v/>
      </c>
      <c r="O2292" t="str">
        <f t="shared" si="532"/>
        <v/>
      </c>
      <c r="P2292">
        <f>IF($A2292="",0,IF(COUNTIF($O$2:$O2292,$O2292)=1,1,0))</f>
        <v>0</v>
      </c>
      <c r="Q2292" t="str">
        <f>IF(AND($P2292=1,$A2292=经营数据!$B$3,$J2292=经营数据!$BA$5),COUNTIFS($P$2:$P$3000,1,$A$2:$A$3000,$A2292,$J$2:$J$3000,$J2292,$N$2:$N$3000,"&lt;"&amp;$N2292)+1,"")</f>
        <v/>
      </c>
      <c r="R2292" t="str">
        <f t="shared" si="533"/>
        <v/>
      </c>
      <c r="S2292">
        <f>IF($A2292="",0,IF(COUNTIF($R$2:$R2292,$R2292)=1,1,0))</f>
        <v>0</v>
      </c>
      <c r="T2292" t="str">
        <f t="shared" si="534"/>
        <v/>
      </c>
      <c r="U2292" t="str">
        <f>IF($A2292="","",IF($A2292=经营数据!$B$3,COUNTIFS($S$2:$S$3000,1,$A$2:$A$3000,$A2292,$T$2:$T$3000,"&lt;"&amp;$T2292)+1,""))</f>
        <v/>
      </c>
      <c r="V2292" t="str">
        <f t="shared" si="535"/>
        <v/>
      </c>
      <c r="W2292" t="str">
        <f t="shared" si="536"/>
        <v/>
      </c>
      <c r="X2292" t="str">
        <f t="shared" si="537"/>
        <v/>
      </c>
      <c r="Y2292" t="str">
        <f t="shared" si="538"/>
        <v/>
      </c>
      <c r="Z2292">
        <f>IF($A2292="",0,IF(AND($M2292=1,$A2292=经营数据!$B$3,$J2292=经营数据!$BA$5,OR($I2292=经营数据!$BA$4,COUNTIF(经营数据!$AA$9:$AA$38,$I2292)&gt;0)),1,0))</f>
        <v>0</v>
      </c>
      <c r="AA2292" t="str">
        <f t="shared" si="539"/>
        <v/>
      </c>
      <c r="AB2292" t="str">
        <f t="shared" si="540"/>
        <v/>
      </c>
      <c r="AC2292">
        <f>IF($A2292="",0,IF(COUNTIF($A$2:$A2292,$A2292)=1,1,0))</f>
        <v>0</v>
      </c>
      <c r="AD2292">
        <f t="shared" si="541"/>
        <v>29</v>
      </c>
      <c r="AE2292" t="str">
        <f t="shared" si="542"/>
        <v/>
      </c>
    </row>
    <row r="2293" spans="1:31" x14ac:dyDescent="0.4">
      <c r="A2293" t="str">
        <f>IF(原始经营数据!$D2294="","",原始经营数据!$D2294)</f>
        <v/>
      </c>
      <c r="B2293" t="str">
        <f>IF(原始经营数据!$D2294="","",T(原始经营数据!$E2294))</f>
        <v/>
      </c>
      <c r="C2293" t="str">
        <f>IF(原始经营数据!$D2294="","",原始经营数据!$F2294)</f>
        <v/>
      </c>
      <c r="D2293" t="str">
        <f>IF(原始经营数据!$D2294="","",原始经营数据!$H2294)</f>
        <v/>
      </c>
      <c r="E2293" t="str">
        <f>IF(原始经营数据!$D2294="","",原始经营数据!$I2294)</f>
        <v/>
      </c>
      <c r="F2293" t="str">
        <f>IF(原始经营数据!$D2294="","",T(原始经营数据!$J2294))</f>
        <v/>
      </c>
      <c r="G2293" t="str">
        <f>IF(原始经营数据!$D2294="","",T(原始经营数据!$K2294))</f>
        <v/>
      </c>
      <c r="H2293" t="str">
        <f>IF(原始经营数据!$D2294="","",原始经营数据!$G2294)</f>
        <v/>
      </c>
      <c r="I2293" t="str">
        <f>IF($A2293="","",IF($B2293&lt;&gt;"",$B2293,IF(COUNTIFS(原始经营数据!$D$3:$D$3001,$A2293,原始经营数据!$E$3:$E$3001,"",原始经营数据!$F$3:$F$3001,$C2293,原始经营数据!$H$3:$H$3001,$D2293,原始经营数据!$K$3:$K$3001,$G2293)&gt;1,"基金整体·来源"&amp;原始经营数据!$A2294,"基金整体")))</f>
        <v/>
      </c>
      <c r="J2293" t="str">
        <f t="shared" si="528"/>
        <v/>
      </c>
      <c r="K2293" t="str">
        <f t="shared" si="529"/>
        <v/>
      </c>
      <c r="L2293" t="str">
        <f t="shared" si="530"/>
        <v/>
      </c>
      <c r="M2293">
        <f>IF($A2293="",0,IF(COUNTIF($L$2:$L2293,$L2293)=1,1,0))</f>
        <v>0</v>
      </c>
      <c r="N2293" t="str">
        <f t="shared" si="531"/>
        <v/>
      </c>
      <c r="O2293" t="str">
        <f t="shared" si="532"/>
        <v/>
      </c>
      <c r="P2293">
        <f>IF($A2293="",0,IF(COUNTIF($O$2:$O2293,$O2293)=1,1,0))</f>
        <v>0</v>
      </c>
      <c r="Q2293" t="str">
        <f>IF(AND($P2293=1,$A2293=经营数据!$B$3,$J2293=经营数据!$BA$5),COUNTIFS($P$2:$P$3000,1,$A$2:$A$3000,$A2293,$J$2:$J$3000,$J2293,$N$2:$N$3000,"&lt;"&amp;$N2293)+1,"")</f>
        <v/>
      </c>
      <c r="R2293" t="str">
        <f t="shared" si="533"/>
        <v/>
      </c>
      <c r="S2293">
        <f>IF($A2293="",0,IF(COUNTIF($R$2:$R2293,$R2293)=1,1,0))</f>
        <v>0</v>
      </c>
      <c r="T2293" t="str">
        <f t="shared" si="534"/>
        <v/>
      </c>
      <c r="U2293" t="str">
        <f>IF($A2293="","",IF($A2293=经营数据!$B$3,COUNTIFS($S$2:$S$3000,1,$A$2:$A$3000,$A2293,$T$2:$T$3000,"&lt;"&amp;$T2293)+1,""))</f>
        <v/>
      </c>
      <c r="V2293" t="str">
        <f t="shared" si="535"/>
        <v/>
      </c>
      <c r="W2293" t="str">
        <f t="shared" si="536"/>
        <v/>
      </c>
      <c r="X2293" t="str">
        <f t="shared" si="537"/>
        <v/>
      </c>
      <c r="Y2293" t="str">
        <f t="shared" si="538"/>
        <v/>
      </c>
      <c r="Z2293">
        <f>IF($A2293="",0,IF(AND($M2293=1,$A2293=经营数据!$B$3,$J2293=经营数据!$BA$5,OR($I2293=经营数据!$BA$4,COUNTIF(经营数据!$AA$9:$AA$38,$I2293)&gt;0)),1,0))</f>
        <v>0</v>
      </c>
      <c r="AA2293" t="str">
        <f t="shared" si="539"/>
        <v/>
      </c>
      <c r="AB2293" t="str">
        <f t="shared" si="540"/>
        <v/>
      </c>
      <c r="AC2293">
        <f>IF($A2293="",0,IF(COUNTIF($A$2:$A2293,$A2293)=1,1,0))</f>
        <v>0</v>
      </c>
      <c r="AD2293">
        <f t="shared" si="541"/>
        <v>29</v>
      </c>
      <c r="AE2293" t="str">
        <f t="shared" si="542"/>
        <v/>
      </c>
    </row>
    <row r="2294" spans="1:31" x14ac:dyDescent="0.4">
      <c r="A2294" t="str">
        <f>IF(原始经营数据!$D2295="","",原始经营数据!$D2295)</f>
        <v/>
      </c>
      <c r="B2294" t="str">
        <f>IF(原始经营数据!$D2295="","",T(原始经营数据!$E2295))</f>
        <v/>
      </c>
      <c r="C2294" t="str">
        <f>IF(原始经营数据!$D2295="","",原始经营数据!$F2295)</f>
        <v/>
      </c>
      <c r="D2294" t="str">
        <f>IF(原始经营数据!$D2295="","",原始经营数据!$H2295)</f>
        <v/>
      </c>
      <c r="E2294" t="str">
        <f>IF(原始经营数据!$D2295="","",原始经营数据!$I2295)</f>
        <v/>
      </c>
      <c r="F2294" t="str">
        <f>IF(原始经营数据!$D2295="","",T(原始经营数据!$J2295))</f>
        <v/>
      </c>
      <c r="G2294" t="str">
        <f>IF(原始经营数据!$D2295="","",T(原始经营数据!$K2295))</f>
        <v/>
      </c>
      <c r="H2294" t="str">
        <f>IF(原始经营数据!$D2295="","",原始经营数据!$G2295)</f>
        <v/>
      </c>
      <c r="I2294" t="str">
        <f>IF($A2294="","",IF($B2294&lt;&gt;"",$B2294,IF(COUNTIFS(原始经营数据!$D$3:$D$3001,$A2294,原始经营数据!$E$3:$E$3001,"",原始经营数据!$F$3:$F$3001,$C2294,原始经营数据!$H$3:$H$3001,$D2294,原始经营数据!$K$3:$K$3001,$G2294)&gt;1,"基金整体·来源"&amp;原始经营数据!$A2295,"基金整体")))</f>
        <v/>
      </c>
      <c r="J2294" t="str">
        <f t="shared" si="528"/>
        <v/>
      </c>
      <c r="K2294" t="str">
        <f t="shared" si="529"/>
        <v/>
      </c>
      <c r="L2294" t="str">
        <f t="shared" si="530"/>
        <v/>
      </c>
      <c r="M2294">
        <f>IF($A2294="",0,IF(COUNTIF($L$2:$L2294,$L2294)=1,1,0))</f>
        <v>0</v>
      </c>
      <c r="N2294" t="str">
        <f t="shared" si="531"/>
        <v/>
      </c>
      <c r="O2294" t="str">
        <f t="shared" si="532"/>
        <v/>
      </c>
      <c r="P2294">
        <f>IF($A2294="",0,IF(COUNTIF($O$2:$O2294,$O2294)=1,1,0))</f>
        <v>0</v>
      </c>
      <c r="Q2294" t="str">
        <f>IF(AND($P2294=1,$A2294=经营数据!$B$3,$J2294=经营数据!$BA$5),COUNTIFS($P$2:$P$3000,1,$A$2:$A$3000,$A2294,$J$2:$J$3000,$J2294,$N$2:$N$3000,"&lt;"&amp;$N2294)+1,"")</f>
        <v/>
      </c>
      <c r="R2294" t="str">
        <f t="shared" si="533"/>
        <v/>
      </c>
      <c r="S2294">
        <f>IF($A2294="",0,IF(COUNTIF($R$2:$R2294,$R2294)=1,1,0))</f>
        <v>0</v>
      </c>
      <c r="T2294" t="str">
        <f t="shared" si="534"/>
        <v/>
      </c>
      <c r="U2294" t="str">
        <f>IF($A2294="","",IF($A2294=经营数据!$B$3,COUNTIFS($S$2:$S$3000,1,$A$2:$A$3000,$A2294,$T$2:$T$3000,"&lt;"&amp;$T2294)+1,""))</f>
        <v/>
      </c>
      <c r="V2294" t="str">
        <f t="shared" si="535"/>
        <v/>
      </c>
      <c r="W2294" t="str">
        <f t="shared" si="536"/>
        <v/>
      </c>
      <c r="X2294" t="str">
        <f t="shared" si="537"/>
        <v/>
      </c>
      <c r="Y2294" t="str">
        <f t="shared" si="538"/>
        <v/>
      </c>
      <c r="Z2294">
        <f>IF($A2294="",0,IF(AND($M2294=1,$A2294=经营数据!$B$3,$J2294=经营数据!$BA$5,OR($I2294=经营数据!$BA$4,COUNTIF(经营数据!$AA$9:$AA$38,$I2294)&gt;0)),1,0))</f>
        <v>0</v>
      </c>
      <c r="AA2294" t="str">
        <f t="shared" si="539"/>
        <v/>
      </c>
      <c r="AB2294" t="str">
        <f t="shared" si="540"/>
        <v/>
      </c>
      <c r="AC2294">
        <f>IF($A2294="",0,IF(COUNTIF($A$2:$A2294,$A2294)=1,1,0))</f>
        <v>0</v>
      </c>
      <c r="AD2294">
        <f t="shared" si="541"/>
        <v>29</v>
      </c>
      <c r="AE2294" t="str">
        <f t="shared" si="542"/>
        <v/>
      </c>
    </row>
    <row r="2295" spans="1:31" x14ac:dyDescent="0.4">
      <c r="A2295" t="str">
        <f>IF(原始经营数据!$D2296="","",原始经营数据!$D2296)</f>
        <v/>
      </c>
      <c r="B2295" t="str">
        <f>IF(原始经营数据!$D2296="","",T(原始经营数据!$E2296))</f>
        <v/>
      </c>
      <c r="C2295" t="str">
        <f>IF(原始经营数据!$D2296="","",原始经营数据!$F2296)</f>
        <v/>
      </c>
      <c r="D2295" t="str">
        <f>IF(原始经营数据!$D2296="","",原始经营数据!$H2296)</f>
        <v/>
      </c>
      <c r="E2295" t="str">
        <f>IF(原始经营数据!$D2296="","",原始经营数据!$I2296)</f>
        <v/>
      </c>
      <c r="F2295" t="str">
        <f>IF(原始经营数据!$D2296="","",T(原始经营数据!$J2296))</f>
        <v/>
      </c>
      <c r="G2295" t="str">
        <f>IF(原始经营数据!$D2296="","",T(原始经营数据!$K2296))</f>
        <v/>
      </c>
      <c r="H2295" t="str">
        <f>IF(原始经营数据!$D2296="","",原始经营数据!$G2296)</f>
        <v/>
      </c>
      <c r="I2295" t="str">
        <f>IF($A2295="","",IF($B2295&lt;&gt;"",$B2295,IF(COUNTIFS(原始经营数据!$D$3:$D$3001,$A2295,原始经营数据!$E$3:$E$3001,"",原始经营数据!$F$3:$F$3001,$C2295,原始经营数据!$H$3:$H$3001,$D2295,原始经营数据!$K$3:$K$3001,$G2295)&gt;1,"基金整体·来源"&amp;原始经营数据!$A2296,"基金整体")))</f>
        <v/>
      </c>
      <c r="J2295" t="str">
        <f t="shared" si="528"/>
        <v/>
      </c>
      <c r="K2295" t="str">
        <f t="shared" si="529"/>
        <v/>
      </c>
      <c r="L2295" t="str">
        <f t="shared" si="530"/>
        <v/>
      </c>
      <c r="M2295">
        <f>IF($A2295="",0,IF(COUNTIF($L$2:$L2295,$L2295)=1,1,0))</f>
        <v>0</v>
      </c>
      <c r="N2295" t="str">
        <f t="shared" si="531"/>
        <v/>
      </c>
      <c r="O2295" t="str">
        <f t="shared" si="532"/>
        <v/>
      </c>
      <c r="P2295">
        <f>IF($A2295="",0,IF(COUNTIF($O$2:$O2295,$O2295)=1,1,0))</f>
        <v>0</v>
      </c>
      <c r="Q2295" t="str">
        <f>IF(AND($P2295=1,$A2295=经营数据!$B$3,$J2295=经营数据!$BA$5),COUNTIFS($P$2:$P$3000,1,$A$2:$A$3000,$A2295,$J$2:$J$3000,$J2295,$N$2:$N$3000,"&lt;"&amp;$N2295)+1,"")</f>
        <v/>
      </c>
      <c r="R2295" t="str">
        <f t="shared" si="533"/>
        <v/>
      </c>
      <c r="S2295">
        <f>IF($A2295="",0,IF(COUNTIF($R$2:$R2295,$R2295)=1,1,0))</f>
        <v>0</v>
      </c>
      <c r="T2295" t="str">
        <f t="shared" si="534"/>
        <v/>
      </c>
      <c r="U2295" t="str">
        <f>IF($A2295="","",IF($A2295=经营数据!$B$3,COUNTIFS($S$2:$S$3000,1,$A$2:$A$3000,$A2295,$T$2:$T$3000,"&lt;"&amp;$T2295)+1,""))</f>
        <v/>
      </c>
      <c r="V2295" t="str">
        <f t="shared" si="535"/>
        <v/>
      </c>
      <c r="W2295" t="str">
        <f t="shared" si="536"/>
        <v/>
      </c>
      <c r="X2295" t="str">
        <f t="shared" si="537"/>
        <v/>
      </c>
      <c r="Y2295" t="str">
        <f t="shared" si="538"/>
        <v/>
      </c>
      <c r="Z2295">
        <f>IF($A2295="",0,IF(AND($M2295=1,$A2295=经营数据!$B$3,$J2295=经营数据!$BA$5,OR($I2295=经营数据!$BA$4,COUNTIF(经营数据!$AA$9:$AA$38,$I2295)&gt;0)),1,0))</f>
        <v>0</v>
      </c>
      <c r="AA2295" t="str">
        <f t="shared" si="539"/>
        <v/>
      </c>
      <c r="AB2295" t="str">
        <f t="shared" si="540"/>
        <v/>
      </c>
      <c r="AC2295">
        <f>IF($A2295="",0,IF(COUNTIF($A$2:$A2295,$A2295)=1,1,0))</f>
        <v>0</v>
      </c>
      <c r="AD2295">
        <f t="shared" si="541"/>
        <v>29</v>
      </c>
      <c r="AE2295" t="str">
        <f t="shared" si="542"/>
        <v/>
      </c>
    </row>
    <row r="2296" spans="1:31" x14ac:dyDescent="0.4">
      <c r="A2296" t="str">
        <f>IF(原始经营数据!$D2297="","",原始经营数据!$D2297)</f>
        <v/>
      </c>
      <c r="B2296" t="str">
        <f>IF(原始经营数据!$D2297="","",T(原始经营数据!$E2297))</f>
        <v/>
      </c>
      <c r="C2296" t="str">
        <f>IF(原始经营数据!$D2297="","",原始经营数据!$F2297)</f>
        <v/>
      </c>
      <c r="D2296" t="str">
        <f>IF(原始经营数据!$D2297="","",原始经营数据!$H2297)</f>
        <v/>
      </c>
      <c r="E2296" t="str">
        <f>IF(原始经营数据!$D2297="","",原始经营数据!$I2297)</f>
        <v/>
      </c>
      <c r="F2296" t="str">
        <f>IF(原始经营数据!$D2297="","",T(原始经营数据!$J2297))</f>
        <v/>
      </c>
      <c r="G2296" t="str">
        <f>IF(原始经营数据!$D2297="","",T(原始经营数据!$K2297))</f>
        <v/>
      </c>
      <c r="H2296" t="str">
        <f>IF(原始经营数据!$D2297="","",原始经营数据!$G2297)</f>
        <v/>
      </c>
      <c r="I2296" t="str">
        <f>IF($A2296="","",IF($B2296&lt;&gt;"",$B2296,IF(COUNTIFS(原始经营数据!$D$3:$D$3001,$A2296,原始经营数据!$E$3:$E$3001,"",原始经营数据!$F$3:$F$3001,$C2296,原始经营数据!$H$3:$H$3001,$D2296,原始经营数据!$K$3:$K$3001,$G2296)&gt;1,"基金整体·来源"&amp;原始经营数据!$A2297,"基金整体")))</f>
        <v/>
      </c>
      <c r="J2296" t="str">
        <f t="shared" si="528"/>
        <v/>
      </c>
      <c r="K2296" t="str">
        <f t="shared" si="529"/>
        <v/>
      </c>
      <c r="L2296" t="str">
        <f t="shared" si="530"/>
        <v/>
      </c>
      <c r="M2296">
        <f>IF($A2296="",0,IF(COUNTIF($L$2:$L2296,$L2296)=1,1,0))</f>
        <v>0</v>
      </c>
      <c r="N2296" t="str">
        <f t="shared" si="531"/>
        <v/>
      </c>
      <c r="O2296" t="str">
        <f t="shared" si="532"/>
        <v/>
      </c>
      <c r="P2296">
        <f>IF($A2296="",0,IF(COUNTIF($O$2:$O2296,$O2296)=1,1,0))</f>
        <v>0</v>
      </c>
      <c r="Q2296" t="str">
        <f>IF(AND($P2296=1,$A2296=经营数据!$B$3,$J2296=经营数据!$BA$5),COUNTIFS($P$2:$P$3000,1,$A$2:$A$3000,$A2296,$J$2:$J$3000,$J2296,$N$2:$N$3000,"&lt;"&amp;$N2296)+1,"")</f>
        <v/>
      </c>
      <c r="R2296" t="str">
        <f t="shared" si="533"/>
        <v/>
      </c>
      <c r="S2296">
        <f>IF($A2296="",0,IF(COUNTIF($R$2:$R2296,$R2296)=1,1,0))</f>
        <v>0</v>
      </c>
      <c r="T2296" t="str">
        <f t="shared" si="534"/>
        <v/>
      </c>
      <c r="U2296" t="str">
        <f>IF($A2296="","",IF($A2296=经营数据!$B$3,COUNTIFS($S$2:$S$3000,1,$A$2:$A$3000,$A2296,$T$2:$T$3000,"&lt;"&amp;$T2296)+1,""))</f>
        <v/>
      </c>
      <c r="V2296" t="str">
        <f t="shared" si="535"/>
        <v/>
      </c>
      <c r="W2296" t="str">
        <f t="shared" si="536"/>
        <v/>
      </c>
      <c r="X2296" t="str">
        <f t="shared" si="537"/>
        <v/>
      </c>
      <c r="Y2296" t="str">
        <f t="shared" si="538"/>
        <v/>
      </c>
      <c r="Z2296">
        <f>IF($A2296="",0,IF(AND($M2296=1,$A2296=经营数据!$B$3,$J2296=经营数据!$BA$5,OR($I2296=经营数据!$BA$4,COUNTIF(经营数据!$AA$9:$AA$38,$I2296)&gt;0)),1,0))</f>
        <v>0</v>
      </c>
      <c r="AA2296" t="str">
        <f t="shared" si="539"/>
        <v/>
      </c>
      <c r="AB2296" t="str">
        <f t="shared" si="540"/>
        <v/>
      </c>
      <c r="AC2296">
        <f>IF($A2296="",0,IF(COUNTIF($A$2:$A2296,$A2296)=1,1,0))</f>
        <v>0</v>
      </c>
      <c r="AD2296">
        <f t="shared" si="541"/>
        <v>29</v>
      </c>
      <c r="AE2296" t="str">
        <f t="shared" si="542"/>
        <v/>
      </c>
    </row>
    <row r="2297" spans="1:31" x14ac:dyDescent="0.4">
      <c r="A2297" t="str">
        <f>IF(原始经营数据!$D2298="","",原始经营数据!$D2298)</f>
        <v/>
      </c>
      <c r="B2297" t="str">
        <f>IF(原始经营数据!$D2298="","",T(原始经营数据!$E2298))</f>
        <v/>
      </c>
      <c r="C2297" t="str">
        <f>IF(原始经营数据!$D2298="","",原始经营数据!$F2298)</f>
        <v/>
      </c>
      <c r="D2297" t="str">
        <f>IF(原始经营数据!$D2298="","",原始经营数据!$H2298)</f>
        <v/>
      </c>
      <c r="E2297" t="str">
        <f>IF(原始经营数据!$D2298="","",原始经营数据!$I2298)</f>
        <v/>
      </c>
      <c r="F2297" t="str">
        <f>IF(原始经营数据!$D2298="","",T(原始经营数据!$J2298))</f>
        <v/>
      </c>
      <c r="G2297" t="str">
        <f>IF(原始经营数据!$D2298="","",T(原始经营数据!$K2298))</f>
        <v/>
      </c>
      <c r="H2297" t="str">
        <f>IF(原始经营数据!$D2298="","",原始经营数据!$G2298)</f>
        <v/>
      </c>
      <c r="I2297" t="str">
        <f>IF($A2297="","",IF($B2297&lt;&gt;"",$B2297,IF(COUNTIFS(原始经营数据!$D$3:$D$3001,$A2297,原始经营数据!$E$3:$E$3001,"",原始经营数据!$F$3:$F$3001,$C2297,原始经营数据!$H$3:$H$3001,$D2297,原始经营数据!$K$3:$K$3001,$G2297)&gt;1,"基金整体·来源"&amp;原始经营数据!$A2298,"基金整体")))</f>
        <v/>
      </c>
      <c r="J2297" t="str">
        <f t="shared" si="528"/>
        <v/>
      </c>
      <c r="K2297" t="str">
        <f t="shared" si="529"/>
        <v/>
      </c>
      <c r="L2297" t="str">
        <f t="shared" si="530"/>
        <v/>
      </c>
      <c r="M2297">
        <f>IF($A2297="",0,IF(COUNTIF($L$2:$L2297,$L2297)=1,1,0))</f>
        <v>0</v>
      </c>
      <c r="N2297" t="str">
        <f t="shared" si="531"/>
        <v/>
      </c>
      <c r="O2297" t="str">
        <f t="shared" si="532"/>
        <v/>
      </c>
      <c r="P2297">
        <f>IF($A2297="",0,IF(COUNTIF($O$2:$O2297,$O2297)=1,1,0))</f>
        <v>0</v>
      </c>
      <c r="Q2297" t="str">
        <f>IF(AND($P2297=1,$A2297=经营数据!$B$3,$J2297=经营数据!$BA$5),COUNTIFS($P$2:$P$3000,1,$A$2:$A$3000,$A2297,$J$2:$J$3000,$J2297,$N$2:$N$3000,"&lt;"&amp;$N2297)+1,"")</f>
        <v/>
      </c>
      <c r="R2297" t="str">
        <f t="shared" si="533"/>
        <v/>
      </c>
      <c r="S2297">
        <f>IF($A2297="",0,IF(COUNTIF($R$2:$R2297,$R2297)=1,1,0))</f>
        <v>0</v>
      </c>
      <c r="T2297" t="str">
        <f t="shared" si="534"/>
        <v/>
      </c>
      <c r="U2297" t="str">
        <f>IF($A2297="","",IF($A2297=经营数据!$B$3,COUNTIFS($S$2:$S$3000,1,$A$2:$A$3000,$A2297,$T$2:$T$3000,"&lt;"&amp;$T2297)+1,""))</f>
        <v/>
      </c>
      <c r="V2297" t="str">
        <f t="shared" si="535"/>
        <v/>
      </c>
      <c r="W2297" t="str">
        <f t="shared" si="536"/>
        <v/>
      </c>
      <c r="X2297" t="str">
        <f t="shared" si="537"/>
        <v/>
      </c>
      <c r="Y2297" t="str">
        <f t="shared" si="538"/>
        <v/>
      </c>
      <c r="Z2297">
        <f>IF($A2297="",0,IF(AND($M2297=1,$A2297=经营数据!$B$3,$J2297=经营数据!$BA$5,OR($I2297=经营数据!$BA$4,COUNTIF(经营数据!$AA$9:$AA$38,$I2297)&gt;0)),1,0))</f>
        <v>0</v>
      </c>
      <c r="AA2297" t="str">
        <f t="shared" si="539"/>
        <v/>
      </c>
      <c r="AB2297" t="str">
        <f t="shared" si="540"/>
        <v/>
      </c>
      <c r="AC2297">
        <f>IF($A2297="",0,IF(COUNTIF($A$2:$A2297,$A2297)=1,1,0))</f>
        <v>0</v>
      </c>
      <c r="AD2297">
        <f t="shared" si="541"/>
        <v>29</v>
      </c>
      <c r="AE2297" t="str">
        <f t="shared" si="542"/>
        <v/>
      </c>
    </row>
    <row r="2298" spans="1:31" x14ac:dyDescent="0.4">
      <c r="A2298" t="str">
        <f>IF(原始经营数据!$D2299="","",原始经营数据!$D2299)</f>
        <v/>
      </c>
      <c r="B2298" t="str">
        <f>IF(原始经营数据!$D2299="","",T(原始经营数据!$E2299))</f>
        <v/>
      </c>
      <c r="C2298" t="str">
        <f>IF(原始经营数据!$D2299="","",原始经营数据!$F2299)</f>
        <v/>
      </c>
      <c r="D2298" t="str">
        <f>IF(原始经营数据!$D2299="","",原始经营数据!$H2299)</f>
        <v/>
      </c>
      <c r="E2298" t="str">
        <f>IF(原始经营数据!$D2299="","",原始经营数据!$I2299)</f>
        <v/>
      </c>
      <c r="F2298" t="str">
        <f>IF(原始经营数据!$D2299="","",T(原始经营数据!$J2299))</f>
        <v/>
      </c>
      <c r="G2298" t="str">
        <f>IF(原始经营数据!$D2299="","",T(原始经营数据!$K2299))</f>
        <v/>
      </c>
      <c r="H2298" t="str">
        <f>IF(原始经营数据!$D2299="","",原始经营数据!$G2299)</f>
        <v/>
      </c>
      <c r="I2298" t="str">
        <f>IF($A2298="","",IF($B2298&lt;&gt;"",$B2298,IF(COUNTIFS(原始经营数据!$D$3:$D$3001,$A2298,原始经营数据!$E$3:$E$3001,"",原始经营数据!$F$3:$F$3001,$C2298,原始经营数据!$H$3:$H$3001,$D2298,原始经营数据!$K$3:$K$3001,$G2298)&gt;1,"基金整体·来源"&amp;原始经营数据!$A2299,"基金整体")))</f>
        <v/>
      </c>
      <c r="J2298" t="str">
        <f t="shared" si="528"/>
        <v/>
      </c>
      <c r="K2298" t="str">
        <f t="shared" si="529"/>
        <v/>
      </c>
      <c r="L2298" t="str">
        <f t="shared" si="530"/>
        <v/>
      </c>
      <c r="M2298">
        <f>IF($A2298="",0,IF(COUNTIF($L$2:$L2298,$L2298)=1,1,0))</f>
        <v>0</v>
      </c>
      <c r="N2298" t="str">
        <f t="shared" si="531"/>
        <v/>
      </c>
      <c r="O2298" t="str">
        <f t="shared" si="532"/>
        <v/>
      </c>
      <c r="P2298">
        <f>IF($A2298="",0,IF(COUNTIF($O$2:$O2298,$O2298)=1,1,0))</f>
        <v>0</v>
      </c>
      <c r="Q2298" t="str">
        <f>IF(AND($P2298=1,$A2298=经营数据!$B$3,$J2298=经营数据!$BA$5),COUNTIFS($P$2:$P$3000,1,$A$2:$A$3000,$A2298,$J$2:$J$3000,$J2298,$N$2:$N$3000,"&lt;"&amp;$N2298)+1,"")</f>
        <v/>
      </c>
      <c r="R2298" t="str">
        <f t="shared" si="533"/>
        <v/>
      </c>
      <c r="S2298">
        <f>IF($A2298="",0,IF(COUNTIF($R$2:$R2298,$R2298)=1,1,0))</f>
        <v>0</v>
      </c>
      <c r="T2298" t="str">
        <f t="shared" si="534"/>
        <v/>
      </c>
      <c r="U2298" t="str">
        <f>IF($A2298="","",IF($A2298=经营数据!$B$3,COUNTIFS($S$2:$S$3000,1,$A$2:$A$3000,$A2298,$T$2:$T$3000,"&lt;"&amp;$T2298)+1,""))</f>
        <v/>
      </c>
      <c r="V2298" t="str">
        <f t="shared" si="535"/>
        <v/>
      </c>
      <c r="W2298" t="str">
        <f t="shared" si="536"/>
        <v/>
      </c>
      <c r="X2298" t="str">
        <f t="shared" si="537"/>
        <v/>
      </c>
      <c r="Y2298" t="str">
        <f t="shared" si="538"/>
        <v/>
      </c>
      <c r="Z2298">
        <f>IF($A2298="",0,IF(AND($M2298=1,$A2298=经营数据!$B$3,$J2298=经营数据!$BA$5,OR($I2298=经营数据!$BA$4,COUNTIF(经营数据!$AA$9:$AA$38,$I2298)&gt;0)),1,0))</f>
        <v>0</v>
      </c>
      <c r="AA2298" t="str">
        <f t="shared" si="539"/>
        <v/>
      </c>
      <c r="AB2298" t="str">
        <f t="shared" si="540"/>
        <v/>
      </c>
      <c r="AC2298">
        <f>IF($A2298="",0,IF(COUNTIF($A$2:$A2298,$A2298)=1,1,0))</f>
        <v>0</v>
      </c>
      <c r="AD2298">
        <f t="shared" si="541"/>
        <v>29</v>
      </c>
      <c r="AE2298" t="str">
        <f t="shared" si="542"/>
        <v/>
      </c>
    </row>
    <row r="2299" spans="1:31" x14ac:dyDescent="0.4">
      <c r="A2299" t="str">
        <f>IF(原始经营数据!$D2300="","",原始经营数据!$D2300)</f>
        <v/>
      </c>
      <c r="B2299" t="str">
        <f>IF(原始经营数据!$D2300="","",T(原始经营数据!$E2300))</f>
        <v/>
      </c>
      <c r="C2299" t="str">
        <f>IF(原始经营数据!$D2300="","",原始经营数据!$F2300)</f>
        <v/>
      </c>
      <c r="D2299" t="str">
        <f>IF(原始经营数据!$D2300="","",原始经营数据!$H2300)</f>
        <v/>
      </c>
      <c r="E2299" t="str">
        <f>IF(原始经营数据!$D2300="","",原始经营数据!$I2300)</f>
        <v/>
      </c>
      <c r="F2299" t="str">
        <f>IF(原始经营数据!$D2300="","",T(原始经营数据!$J2300))</f>
        <v/>
      </c>
      <c r="G2299" t="str">
        <f>IF(原始经营数据!$D2300="","",T(原始经营数据!$K2300))</f>
        <v/>
      </c>
      <c r="H2299" t="str">
        <f>IF(原始经营数据!$D2300="","",原始经营数据!$G2300)</f>
        <v/>
      </c>
      <c r="I2299" t="str">
        <f>IF($A2299="","",IF($B2299&lt;&gt;"",$B2299,IF(COUNTIFS(原始经营数据!$D$3:$D$3001,$A2299,原始经营数据!$E$3:$E$3001,"",原始经营数据!$F$3:$F$3001,$C2299,原始经营数据!$H$3:$H$3001,$D2299,原始经营数据!$K$3:$K$3001,$G2299)&gt;1,"基金整体·来源"&amp;原始经营数据!$A2300,"基金整体")))</f>
        <v/>
      </c>
      <c r="J2299" t="str">
        <f t="shared" si="528"/>
        <v/>
      </c>
      <c r="K2299" t="str">
        <f t="shared" si="529"/>
        <v/>
      </c>
      <c r="L2299" t="str">
        <f t="shared" si="530"/>
        <v/>
      </c>
      <c r="M2299">
        <f>IF($A2299="",0,IF(COUNTIF($L$2:$L2299,$L2299)=1,1,0))</f>
        <v>0</v>
      </c>
      <c r="N2299" t="str">
        <f t="shared" si="531"/>
        <v/>
      </c>
      <c r="O2299" t="str">
        <f t="shared" si="532"/>
        <v/>
      </c>
      <c r="P2299">
        <f>IF($A2299="",0,IF(COUNTIF($O$2:$O2299,$O2299)=1,1,0))</f>
        <v>0</v>
      </c>
      <c r="Q2299" t="str">
        <f>IF(AND($P2299=1,$A2299=经营数据!$B$3,$J2299=经营数据!$BA$5),COUNTIFS($P$2:$P$3000,1,$A$2:$A$3000,$A2299,$J$2:$J$3000,$J2299,$N$2:$N$3000,"&lt;"&amp;$N2299)+1,"")</f>
        <v/>
      </c>
      <c r="R2299" t="str">
        <f t="shared" si="533"/>
        <v/>
      </c>
      <c r="S2299">
        <f>IF($A2299="",0,IF(COUNTIF($R$2:$R2299,$R2299)=1,1,0))</f>
        <v>0</v>
      </c>
      <c r="T2299" t="str">
        <f t="shared" si="534"/>
        <v/>
      </c>
      <c r="U2299" t="str">
        <f>IF($A2299="","",IF($A2299=经营数据!$B$3,COUNTIFS($S$2:$S$3000,1,$A$2:$A$3000,$A2299,$T$2:$T$3000,"&lt;"&amp;$T2299)+1,""))</f>
        <v/>
      </c>
      <c r="V2299" t="str">
        <f t="shared" si="535"/>
        <v/>
      </c>
      <c r="W2299" t="str">
        <f t="shared" si="536"/>
        <v/>
      </c>
      <c r="X2299" t="str">
        <f t="shared" si="537"/>
        <v/>
      </c>
      <c r="Y2299" t="str">
        <f t="shared" si="538"/>
        <v/>
      </c>
      <c r="Z2299">
        <f>IF($A2299="",0,IF(AND($M2299=1,$A2299=经营数据!$B$3,$J2299=经营数据!$BA$5,OR($I2299=经营数据!$BA$4,COUNTIF(经营数据!$AA$9:$AA$38,$I2299)&gt;0)),1,0))</f>
        <v>0</v>
      </c>
      <c r="AA2299" t="str">
        <f t="shared" si="539"/>
        <v/>
      </c>
      <c r="AB2299" t="str">
        <f t="shared" si="540"/>
        <v/>
      </c>
      <c r="AC2299">
        <f>IF($A2299="",0,IF(COUNTIF($A$2:$A2299,$A2299)=1,1,0))</f>
        <v>0</v>
      </c>
      <c r="AD2299">
        <f t="shared" si="541"/>
        <v>29</v>
      </c>
      <c r="AE2299" t="str">
        <f t="shared" si="542"/>
        <v/>
      </c>
    </row>
    <row r="2300" spans="1:31" x14ac:dyDescent="0.4">
      <c r="A2300" t="str">
        <f>IF(原始经营数据!$D2301="","",原始经营数据!$D2301)</f>
        <v/>
      </c>
      <c r="B2300" t="str">
        <f>IF(原始经营数据!$D2301="","",T(原始经营数据!$E2301))</f>
        <v/>
      </c>
      <c r="C2300" t="str">
        <f>IF(原始经营数据!$D2301="","",原始经营数据!$F2301)</f>
        <v/>
      </c>
      <c r="D2300" t="str">
        <f>IF(原始经营数据!$D2301="","",原始经营数据!$H2301)</f>
        <v/>
      </c>
      <c r="E2300" t="str">
        <f>IF(原始经营数据!$D2301="","",原始经营数据!$I2301)</f>
        <v/>
      </c>
      <c r="F2300" t="str">
        <f>IF(原始经营数据!$D2301="","",T(原始经营数据!$J2301))</f>
        <v/>
      </c>
      <c r="G2300" t="str">
        <f>IF(原始经营数据!$D2301="","",T(原始经营数据!$K2301))</f>
        <v/>
      </c>
      <c r="H2300" t="str">
        <f>IF(原始经营数据!$D2301="","",原始经营数据!$G2301)</f>
        <v/>
      </c>
      <c r="I2300" t="str">
        <f>IF($A2300="","",IF($B2300&lt;&gt;"",$B2300,IF(COUNTIFS(原始经营数据!$D$3:$D$3001,$A2300,原始经营数据!$E$3:$E$3001,"",原始经营数据!$F$3:$F$3001,$C2300,原始经营数据!$H$3:$H$3001,$D2300,原始经营数据!$K$3:$K$3001,$G2300)&gt;1,"基金整体·来源"&amp;原始经营数据!$A2301,"基金整体")))</f>
        <v/>
      </c>
      <c r="J2300" t="str">
        <f t="shared" si="528"/>
        <v/>
      </c>
      <c r="K2300" t="str">
        <f t="shared" si="529"/>
        <v/>
      </c>
      <c r="L2300" t="str">
        <f t="shared" si="530"/>
        <v/>
      </c>
      <c r="M2300">
        <f>IF($A2300="",0,IF(COUNTIF($L$2:$L2300,$L2300)=1,1,0))</f>
        <v>0</v>
      </c>
      <c r="N2300" t="str">
        <f t="shared" si="531"/>
        <v/>
      </c>
      <c r="O2300" t="str">
        <f t="shared" si="532"/>
        <v/>
      </c>
      <c r="P2300">
        <f>IF($A2300="",0,IF(COUNTIF($O$2:$O2300,$O2300)=1,1,0))</f>
        <v>0</v>
      </c>
      <c r="Q2300" t="str">
        <f>IF(AND($P2300=1,$A2300=经营数据!$B$3,$J2300=经营数据!$BA$5),COUNTIFS($P$2:$P$3000,1,$A$2:$A$3000,$A2300,$J$2:$J$3000,$J2300,$N$2:$N$3000,"&lt;"&amp;$N2300)+1,"")</f>
        <v/>
      </c>
      <c r="R2300" t="str">
        <f t="shared" si="533"/>
        <v/>
      </c>
      <c r="S2300">
        <f>IF($A2300="",0,IF(COUNTIF($R$2:$R2300,$R2300)=1,1,0))</f>
        <v>0</v>
      </c>
      <c r="T2300" t="str">
        <f t="shared" si="534"/>
        <v/>
      </c>
      <c r="U2300" t="str">
        <f>IF($A2300="","",IF($A2300=经营数据!$B$3,COUNTIFS($S$2:$S$3000,1,$A$2:$A$3000,$A2300,$T$2:$T$3000,"&lt;"&amp;$T2300)+1,""))</f>
        <v/>
      </c>
      <c r="V2300" t="str">
        <f t="shared" si="535"/>
        <v/>
      </c>
      <c r="W2300" t="str">
        <f t="shared" si="536"/>
        <v/>
      </c>
      <c r="X2300" t="str">
        <f t="shared" si="537"/>
        <v/>
      </c>
      <c r="Y2300" t="str">
        <f t="shared" si="538"/>
        <v/>
      </c>
      <c r="Z2300">
        <f>IF($A2300="",0,IF(AND($M2300=1,$A2300=经营数据!$B$3,$J2300=经营数据!$BA$5,OR($I2300=经营数据!$BA$4,COUNTIF(经营数据!$AA$9:$AA$38,$I2300)&gt;0)),1,0))</f>
        <v>0</v>
      </c>
      <c r="AA2300" t="str">
        <f t="shared" si="539"/>
        <v/>
      </c>
      <c r="AB2300" t="str">
        <f t="shared" si="540"/>
        <v/>
      </c>
      <c r="AC2300">
        <f>IF($A2300="",0,IF(COUNTIF($A$2:$A2300,$A2300)=1,1,0))</f>
        <v>0</v>
      </c>
      <c r="AD2300">
        <f t="shared" si="541"/>
        <v>29</v>
      </c>
      <c r="AE2300" t="str">
        <f t="shared" si="542"/>
        <v/>
      </c>
    </row>
    <row r="2301" spans="1:31" x14ac:dyDescent="0.4">
      <c r="A2301" t="str">
        <f>IF(原始经营数据!$D2302="","",原始经营数据!$D2302)</f>
        <v/>
      </c>
      <c r="B2301" t="str">
        <f>IF(原始经营数据!$D2302="","",T(原始经营数据!$E2302))</f>
        <v/>
      </c>
      <c r="C2301" t="str">
        <f>IF(原始经营数据!$D2302="","",原始经营数据!$F2302)</f>
        <v/>
      </c>
      <c r="D2301" t="str">
        <f>IF(原始经营数据!$D2302="","",原始经营数据!$H2302)</f>
        <v/>
      </c>
      <c r="E2301" t="str">
        <f>IF(原始经营数据!$D2302="","",原始经营数据!$I2302)</f>
        <v/>
      </c>
      <c r="F2301" t="str">
        <f>IF(原始经营数据!$D2302="","",T(原始经营数据!$J2302))</f>
        <v/>
      </c>
      <c r="G2301" t="str">
        <f>IF(原始经营数据!$D2302="","",T(原始经营数据!$K2302))</f>
        <v/>
      </c>
      <c r="H2301" t="str">
        <f>IF(原始经营数据!$D2302="","",原始经营数据!$G2302)</f>
        <v/>
      </c>
      <c r="I2301" t="str">
        <f>IF($A2301="","",IF($B2301&lt;&gt;"",$B2301,IF(COUNTIFS(原始经营数据!$D$3:$D$3001,$A2301,原始经营数据!$E$3:$E$3001,"",原始经营数据!$F$3:$F$3001,$C2301,原始经营数据!$H$3:$H$3001,$D2301,原始经营数据!$K$3:$K$3001,$G2301)&gt;1,"基金整体·来源"&amp;原始经营数据!$A2302,"基金整体")))</f>
        <v/>
      </c>
      <c r="J2301" t="str">
        <f t="shared" si="528"/>
        <v/>
      </c>
      <c r="K2301" t="str">
        <f t="shared" si="529"/>
        <v/>
      </c>
      <c r="L2301" t="str">
        <f t="shared" si="530"/>
        <v/>
      </c>
      <c r="M2301">
        <f>IF($A2301="",0,IF(COUNTIF($L$2:$L2301,$L2301)=1,1,0))</f>
        <v>0</v>
      </c>
      <c r="N2301" t="str">
        <f t="shared" si="531"/>
        <v/>
      </c>
      <c r="O2301" t="str">
        <f t="shared" si="532"/>
        <v/>
      </c>
      <c r="P2301">
        <f>IF($A2301="",0,IF(COUNTIF($O$2:$O2301,$O2301)=1,1,0))</f>
        <v>0</v>
      </c>
      <c r="Q2301" t="str">
        <f>IF(AND($P2301=1,$A2301=经营数据!$B$3,$J2301=经营数据!$BA$5),COUNTIFS($P$2:$P$3000,1,$A$2:$A$3000,$A2301,$J$2:$J$3000,$J2301,$N$2:$N$3000,"&lt;"&amp;$N2301)+1,"")</f>
        <v/>
      </c>
      <c r="R2301" t="str">
        <f t="shared" si="533"/>
        <v/>
      </c>
      <c r="S2301">
        <f>IF($A2301="",0,IF(COUNTIF($R$2:$R2301,$R2301)=1,1,0))</f>
        <v>0</v>
      </c>
      <c r="T2301" t="str">
        <f t="shared" si="534"/>
        <v/>
      </c>
      <c r="U2301" t="str">
        <f>IF($A2301="","",IF($A2301=经营数据!$B$3,COUNTIFS($S$2:$S$3000,1,$A$2:$A$3000,$A2301,$T$2:$T$3000,"&lt;"&amp;$T2301)+1,""))</f>
        <v/>
      </c>
      <c r="V2301" t="str">
        <f t="shared" si="535"/>
        <v/>
      </c>
      <c r="W2301" t="str">
        <f t="shared" si="536"/>
        <v/>
      </c>
      <c r="X2301" t="str">
        <f t="shared" si="537"/>
        <v/>
      </c>
      <c r="Y2301" t="str">
        <f t="shared" si="538"/>
        <v/>
      </c>
      <c r="Z2301">
        <f>IF($A2301="",0,IF(AND($M2301=1,$A2301=经营数据!$B$3,$J2301=经营数据!$BA$5,OR($I2301=经营数据!$BA$4,COUNTIF(经营数据!$AA$9:$AA$38,$I2301)&gt;0)),1,0))</f>
        <v>0</v>
      </c>
      <c r="AA2301" t="str">
        <f t="shared" si="539"/>
        <v/>
      </c>
      <c r="AB2301" t="str">
        <f t="shared" si="540"/>
        <v/>
      </c>
      <c r="AC2301">
        <f>IF($A2301="",0,IF(COUNTIF($A$2:$A2301,$A2301)=1,1,0))</f>
        <v>0</v>
      </c>
      <c r="AD2301">
        <f t="shared" si="541"/>
        <v>29</v>
      </c>
      <c r="AE2301" t="str">
        <f t="shared" si="542"/>
        <v/>
      </c>
    </row>
    <row r="2302" spans="1:31" x14ac:dyDescent="0.4">
      <c r="A2302" t="str">
        <f>IF(原始经营数据!$D2303="","",原始经营数据!$D2303)</f>
        <v/>
      </c>
      <c r="B2302" t="str">
        <f>IF(原始经营数据!$D2303="","",T(原始经营数据!$E2303))</f>
        <v/>
      </c>
      <c r="C2302" t="str">
        <f>IF(原始经营数据!$D2303="","",原始经营数据!$F2303)</f>
        <v/>
      </c>
      <c r="D2302" t="str">
        <f>IF(原始经营数据!$D2303="","",原始经营数据!$H2303)</f>
        <v/>
      </c>
      <c r="E2302" t="str">
        <f>IF(原始经营数据!$D2303="","",原始经营数据!$I2303)</f>
        <v/>
      </c>
      <c r="F2302" t="str">
        <f>IF(原始经营数据!$D2303="","",T(原始经营数据!$J2303))</f>
        <v/>
      </c>
      <c r="G2302" t="str">
        <f>IF(原始经营数据!$D2303="","",T(原始经营数据!$K2303))</f>
        <v/>
      </c>
      <c r="H2302" t="str">
        <f>IF(原始经营数据!$D2303="","",原始经营数据!$G2303)</f>
        <v/>
      </c>
      <c r="I2302" t="str">
        <f>IF($A2302="","",IF($B2302&lt;&gt;"",$B2302,IF(COUNTIFS(原始经营数据!$D$3:$D$3001,$A2302,原始经营数据!$E$3:$E$3001,"",原始经营数据!$F$3:$F$3001,$C2302,原始经营数据!$H$3:$H$3001,$D2302,原始经营数据!$K$3:$K$3001,$G2302)&gt;1,"基金整体·来源"&amp;原始经营数据!$A2303,"基金整体")))</f>
        <v/>
      </c>
      <c r="J2302" t="str">
        <f t="shared" si="528"/>
        <v/>
      </c>
      <c r="K2302" t="str">
        <f t="shared" si="529"/>
        <v/>
      </c>
      <c r="L2302" t="str">
        <f t="shared" si="530"/>
        <v/>
      </c>
      <c r="M2302">
        <f>IF($A2302="",0,IF(COUNTIF($L$2:$L2302,$L2302)=1,1,0))</f>
        <v>0</v>
      </c>
      <c r="N2302" t="str">
        <f t="shared" si="531"/>
        <v/>
      </c>
      <c r="O2302" t="str">
        <f t="shared" si="532"/>
        <v/>
      </c>
      <c r="P2302">
        <f>IF($A2302="",0,IF(COUNTIF($O$2:$O2302,$O2302)=1,1,0))</f>
        <v>0</v>
      </c>
      <c r="Q2302" t="str">
        <f>IF(AND($P2302=1,$A2302=经营数据!$B$3,$J2302=经营数据!$BA$5),COUNTIFS($P$2:$P$3000,1,$A$2:$A$3000,$A2302,$J$2:$J$3000,$J2302,$N$2:$N$3000,"&lt;"&amp;$N2302)+1,"")</f>
        <v/>
      </c>
      <c r="R2302" t="str">
        <f t="shared" si="533"/>
        <v/>
      </c>
      <c r="S2302">
        <f>IF($A2302="",0,IF(COUNTIF($R$2:$R2302,$R2302)=1,1,0))</f>
        <v>0</v>
      </c>
      <c r="T2302" t="str">
        <f t="shared" si="534"/>
        <v/>
      </c>
      <c r="U2302" t="str">
        <f>IF($A2302="","",IF($A2302=经营数据!$B$3,COUNTIFS($S$2:$S$3000,1,$A$2:$A$3000,$A2302,$T$2:$T$3000,"&lt;"&amp;$T2302)+1,""))</f>
        <v/>
      </c>
      <c r="V2302" t="str">
        <f t="shared" si="535"/>
        <v/>
      </c>
      <c r="W2302" t="str">
        <f t="shared" si="536"/>
        <v/>
      </c>
      <c r="X2302" t="str">
        <f t="shared" si="537"/>
        <v/>
      </c>
      <c r="Y2302" t="str">
        <f t="shared" si="538"/>
        <v/>
      </c>
      <c r="Z2302">
        <f>IF($A2302="",0,IF(AND($M2302=1,$A2302=经营数据!$B$3,$J2302=经营数据!$BA$5,OR($I2302=经营数据!$BA$4,COUNTIF(经营数据!$AA$9:$AA$38,$I2302)&gt;0)),1,0))</f>
        <v>0</v>
      </c>
      <c r="AA2302" t="str">
        <f t="shared" si="539"/>
        <v/>
      </c>
      <c r="AB2302" t="str">
        <f t="shared" si="540"/>
        <v/>
      </c>
      <c r="AC2302">
        <f>IF($A2302="",0,IF(COUNTIF($A$2:$A2302,$A2302)=1,1,0))</f>
        <v>0</v>
      </c>
      <c r="AD2302">
        <f t="shared" si="541"/>
        <v>29</v>
      </c>
      <c r="AE2302" t="str">
        <f t="shared" si="542"/>
        <v/>
      </c>
    </row>
    <row r="2303" spans="1:31" x14ac:dyDescent="0.4">
      <c r="A2303" t="str">
        <f>IF(原始经营数据!$D2304="","",原始经营数据!$D2304)</f>
        <v/>
      </c>
      <c r="B2303" t="str">
        <f>IF(原始经营数据!$D2304="","",T(原始经营数据!$E2304))</f>
        <v/>
      </c>
      <c r="C2303" t="str">
        <f>IF(原始经营数据!$D2304="","",原始经营数据!$F2304)</f>
        <v/>
      </c>
      <c r="D2303" t="str">
        <f>IF(原始经营数据!$D2304="","",原始经营数据!$H2304)</f>
        <v/>
      </c>
      <c r="E2303" t="str">
        <f>IF(原始经营数据!$D2304="","",原始经营数据!$I2304)</f>
        <v/>
      </c>
      <c r="F2303" t="str">
        <f>IF(原始经营数据!$D2304="","",T(原始经营数据!$J2304))</f>
        <v/>
      </c>
      <c r="G2303" t="str">
        <f>IF(原始经营数据!$D2304="","",T(原始经营数据!$K2304))</f>
        <v/>
      </c>
      <c r="H2303" t="str">
        <f>IF(原始经营数据!$D2304="","",原始经营数据!$G2304)</f>
        <v/>
      </c>
      <c r="I2303" t="str">
        <f>IF($A2303="","",IF($B2303&lt;&gt;"",$B2303,IF(COUNTIFS(原始经营数据!$D$3:$D$3001,$A2303,原始经营数据!$E$3:$E$3001,"",原始经营数据!$F$3:$F$3001,$C2303,原始经营数据!$H$3:$H$3001,$D2303,原始经营数据!$K$3:$K$3001,$G2303)&gt;1,"基金整体·来源"&amp;原始经营数据!$A2304,"基金整体")))</f>
        <v/>
      </c>
      <c r="J2303" t="str">
        <f t="shared" si="528"/>
        <v/>
      </c>
      <c r="K2303" t="str">
        <f t="shared" si="529"/>
        <v/>
      </c>
      <c r="L2303" t="str">
        <f t="shared" si="530"/>
        <v/>
      </c>
      <c r="M2303">
        <f>IF($A2303="",0,IF(COUNTIF($L$2:$L2303,$L2303)=1,1,0))</f>
        <v>0</v>
      </c>
      <c r="N2303" t="str">
        <f t="shared" si="531"/>
        <v/>
      </c>
      <c r="O2303" t="str">
        <f t="shared" si="532"/>
        <v/>
      </c>
      <c r="P2303">
        <f>IF($A2303="",0,IF(COUNTIF($O$2:$O2303,$O2303)=1,1,0))</f>
        <v>0</v>
      </c>
      <c r="Q2303" t="str">
        <f>IF(AND($P2303=1,$A2303=经营数据!$B$3,$J2303=经营数据!$BA$5),COUNTIFS($P$2:$P$3000,1,$A$2:$A$3000,$A2303,$J$2:$J$3000,$J2303,$N$2:$N$3000,"&lt;"&amp;$N2303)+1,"")</f>
        <v/>
      </c>
      <c r="R2303" t="str">
        <f t="shared" si="533"/>
        <v/>
      </c>
      <c r="S2303">
        <f>IF($A2303="",0,IF(COUNTIF($R$2:$R2303,$R2303)=1,1,0))</f>
        <v>0</v>
      </c>
      <c r="T2303" t="str">
        <f t="shared" si="534"/>
        <v/>
      </c>
      <c r="U2303" t="str">
        <f>IF($A2303="","",IF($A2303=经营数据!$B$3,COUNTIFS($S$2:$S$3000,1,$A$2:$A$3000,$A2303,$T$2:$T$3000,"&lt;"&amp;$T2303)+1,""))</f>
        <v/>
      </c>
      <c r="V2303" t="str">
        <f t="shared" si="535"/>
        <v/>
      </c>
      <c r="W2303" t="str">
        <f t="shared" si="536"/>
        <v/>
      </c>
      <c r="X2303" t="str">
        <f t="shared" si="537"/>
        <v/>
      </c>
      <c r="Y2303" t="str">
        <f t="shared" si="538"/>
        <v/>
      </c>
      <c r="Z2303">
        <f>IF($A2303="",0,IF(AND($M2303=1,$A2303=经营数据!$B$3,$J2303=经营数据!$BA$5,OR($I2303=经营数据!$BA$4,COUNTIF(经营数据!$AA$9:$AA$38,$I2303)&gt;0)),1,0))</f>
        <v>0</v>
      </c>
      <c r="AA2303" t="str">
        <f t="shared" si="539"/>
        <v/>
      </c>
      <c r="AB2303" t="str">
        <f t="shared" si="540"/>
        <v/>
      </c>
      <c r="AC2303">
        <f>IF($A2303="",0,IF(COUNTIF($A$2:$A2303,$A2303)=1,1,0))</f>
        <v>0</v>
      </c>
      <c r="AD2303">
        <f t="shared" si="541"/>
        <v>29</v>
      </c>
      <c r="AE2303" t="str">
        <f t="shared" si="542"/>
        <v/>
      </c>
    </row>
    <row r="2304" spans="1:31" x14ac:dyDescent="0.4">
      <c r="A2304" t="str">
        <f>IF(原始经营数据!$D2305="","",原始经营数据!$D2305)</f>
        <v/>
      </c>
      <c r="B2304" t="str">
        <f>IF(原始经营数据!$D2305="","",T(原始经营数据!$E2305))</f>
        <v/>
      </c>
      <c r="C2304" t="str">
        <f>IF(原始经营数据!$D2305="","",原始经营数据!$F2305)</f>
        <v/>
      </c>
      <c r="D2304" t="str">
        <f>IF(原始经营数据!$D2305="","",原始经营数据!$H2305)</f>
        <v/>
      </c>
      <c r="E2304" t="str">
        <f>IF(原始经营数据!$D2305="","",原始经营数据!$I2305)</f>
        <v/>
      </c>
      <c r="F2304" t="str">
        <f>IF(原始经营数据!$D2305="","",T(原始经营数据!$J2305))</f>
        <v/>
      </c>
      <c r="G2304" t="str">
        <f>IF(原始经营数据!$D2305="","",T(原始经营数据!$K2305))</f>
        <v/>
      </c>
      <c r="H2304" t="str">
        <f>IF(原始经营数据!$D2305="","",原始经营数据!$G2305)</f>
        <v/>
      </c>
      <c r="I2304" t="str">
        <f>IF($A2304="","",IF($B2304&lt;&gt;"",$B2304,IF(COUNTIFS(原始经营数据!$D$3:$D$3001,$A2304,原始经营数据!$E$3:$E$3001,"",原始经营数据!$F$3:$F$3001,$C2304,原始经营数据!$H$3:$H$3001,$D2304,原始经营数据!$K$3:$K$3001,$G2304)&gt;1,"基金整体·来源"&amp;原始经营数据!$A2305,"基金整体")))</f>
        <v/>
      </c>
      <c r="J2304" t="str">
        <f t="shared" si="528"/>
        <v/>
      </c>
      <c r="K2304" t="str">
        <f t="shared" si="529"/>
        <v/>
      </c>
      <c r="L2304" t="str">
        <f t="shared" si="530"/>
        <v/>
      </c>
      <c r="M2304">
        <f>IF($A2304="",0,IF(COUNTIF($L$2:$L2304,$L2304)=1,1,0))</f>
        <v>0</v>
      </c>
      <c r="N2304" t="str">
        <f t="shared" si="531"/>
        <v/>
      </c>
      <c r="O2304" t="str">
        <f t="shared" si="532"/>
        <v/>
      </c>
      <c r="P2304">
        <f>IF($A2304="",0,IF(COUNTIF($O$2:$O2304,$O2304)=1,1,0))</f>
        <v>0</v>
      </c>
      <c r="Q2304" t="str">
        <f>IF(AND($P2304=1,$A2304=经营数据!$B$3,$J2304=经营数据!$BA$5),COUNTIFS($P$2:$P$3000,1,$A$2:$A$3000,$A2304,$J$2:$J$3000,$J2304,$N$2:$N$3000,"&lt;"&amp;$N2304)+1,"")</f>
        <v/>
      </c>
      <c r="R2304" t="str">
        <f t="shared" si="533"/>
        <v/>
      </c>
      <c r="S2304">
        <f>IF($A2304="",0,IF(COUNTIF($R$2:$R2304,$R2304)=1,1,0))</f>
        <v>0</v>
      </c>
      <c r="T2304" t="str">
        <f t="shared" si="534"/>
        <v/>
      </c>
      <c r="U2304" t="str">
        <f>IF($A2304="","",IF($A2304=经营数据!$B$3,COUNTIFS($S$2:$S$3000,1,$A$2:$A$3000,$A2304,$T$2:$T$3000,"&lt;"&amp;$T2304)+1,""))</f>
        <v/>
      </c>
      <c r="V2304" t="str">
        <f t="shared" si="535"/>
        <v/>
      </c>
      <c r="W2304" t="str">
        <f t="shared" si="536"/>
        <v/>
      </c>
      <c r="X2304" t="str">
        <f t="shared" si="537"/>
        <v/>
      </c>
      <c r="Y2304" t="str">
        <f t="shared" si="538"/>
        <v/>
      </c>
      <c r="Z2304">
        <f>IF($A2304="",0,IF(AND($M2304=1,$A2304=经营数据!$B$3,$J2304=经营数据!$BA$5,OR($I2304=经营数据!$BA$4,COUNTIF(经营数据!$AA$9:$AA$38,$I2304)&gt;0)),1,0))</f>
        <v>0</v>
      </c>
      <c r="AA2304" t="str">
        <f t="shared" si="539"/>
        <v/>
      </c>
      <c r="AB2304" t="str">
        <f t="shared" si="540"/>
        <v/>
      </c>
      <c r="AC2304">
        <f>IF($A2304="",0,IF(COUNTIF($A$2:$A2304,$A2304)=1,1,0))</f>
        <v>0</v>
      </c>
      <c r="AD2304">
        <f t="shared" si="541"/>
        <v>29</v>
      </c>
      <c r="AE2304" t="str">
        <f t="shared" si="542"/>
        <v/>
      </c>
    </row>
    <row r="2305" spans="1:31" x14ac:dyDescent="0.4">
      <c r="A2305" t="str">
        <f>IF(原始经营数据!$D2306="","",原始经营数据!$D2306)</f>
        <v/>
      </c>
      <c r="B2305" t="str">
        <f>IF(原始经营数据!$D2306="","",T(原始经营数据!$E2306))</f>
        <v/>
      </c>
      <c r="C2305" t="str">
        <f>IF(原始经营数据!$D2306="","",原始经营数据!$F2306)</f>
        <v/>
      </c>
      <c r="D2305" t="str">
        <f>IF(原始经营数据!$D2306="","",原始经营数据!$H2306)</f>
        <v/>
      </c>
      <c r="E2305" t="str">
        <f>IF(原始经营数据!$D2306="","",原始经营数据!$I2306)</f>
        <v/>
      </c>
      <c r="F2305" t="str">
        <f>IF(原始经营数据!$D2306="","",T(原始经营数据!$J2306))</f>
        <v/>
      </c>
      <c r="G2305" t="str">
        <f>IF(原始经营数据!$D2306="","",T(原始经营数据!$K2306))</f>
        <v/>
      </c>
      <c r="H2305" t="str">
        <f>IF(原始经营数据!$D2306="","",原始经营数据!$G2306)</f>
        <v/>
      </c>
      <c r="I2305" t="str">
        <f>IF($A2305="","",IF($B2305&lt;&gt;"",$B2305,IF(COUNTIFS(原始经营数据!$D$3:$D$3001,$A2305,原始经营数据!$E$3:$E$3001,"",原始经营数据!$F$3:$F$3001,$C2305,原始经营数据!$H$3:$H$3001,$D2305,原始经营数据!$K$3:$K$3001,$G2305)&gt;1,"基金整体·来源"&amp;原始经营数据!$A2306,"基金整体")))</f>
        <v/>
      </c>
      <c r="J2305" t="str">
        <f t="shared" si="528"/>
        <v/>
      </c>
      <c r="K2305" t="str">
        <f t="shared" si="529"/>
        <v/>
      </c>
      <c r="L2305" t="str">
        <f t="shared" si="530"/>
        <v/>
      </c>
      <c r="M2305">
        <f>IF($A2305="",0,IF(COUNTIF($L$2:$L2305,$L2305)=1,1,0))</f>
        <v>0</v>
      </c>
      <c r="N2305" t="str">
        <f t="shared" si="531"/>
        <v/>
      </c>
      <c r="O2305" t="str">
        <f t="shared" si="532"/>
        <v/>
      </c>
      <c r="P2305">
        <f>IF($A2305="",0,IF(COUNTIF($O$2:$O2305,$O2305)=1,1,0))</f>
        <v>0</v>
      </c>
      <c r="Q2305" t="str">
        <f>IF(AND($P2305=1,$A2305=经营数据!$B$3,$J2305=经营数据!$BA$5),COUNTIFS($P$2:$P$3000,1,$A$2:$A$3000,$A2305,$J$2:$J$3000,$J2305,$N$2:$N$3000,"&lt;"&amp;$N2305)+1,"")</f>
        <v/>
      </c>
      <c r="R2305" t="str">
        <f t="shared" si="533"/>
        <v/>
      </c>
      <c r="S2305">
        <f>IF($A2305="",0,IF(COUNTIF($R$2:$R2305,$R2305)=1,1,0))</f>
        <v>0</v>
      </c>
      <c r="T2305" t="str">
        <f t="shared" si="534"/>
        <v/>
      </c>
      <c r="U2305" t="str">
        <f>IF($A2305="","",IF($A2305=经营数据!$B$3,COUNTIFS($S$2:$S$3000,1,$A$2:$A$3000,$A2305,$T$2:$T$3000,"&lt;"&amp;$T2305)+1,""))</f>
        <v/>
      </c>
      <c r="V2305" t="str">
        <f t="shared" si="535"/>
        <v/>
      </c>
      <c r="W2305" t="str">
        <f t="shared" si="536"/>
        <v/>
      </c>
      <c r="X2305" t="str">
        <f t="shared" si="537"/>
        <v/>
      </c>
      <c r="Y2305" t="str">
        <f t="shared" si="538"/>
        <v/>
      </c>
      <c r="Z2305">
        <f>IF($A2305="",0,IF(AND($M2305=1,$A2305=经营数据!$B$3,$J2305=经营数据!$BA$5,OR($I2305=经营数据!$BA$4,COUNTIF(经营数据!$AA$9:$AA$38,$I2305)&gt;0)),1,0))</f>
        <v>0</v>
      </c>
      <c r="AA2305" t="str">
        <f t="shared" si="539"/>
        <v/>
      </c>
      <c r="AB2305" t="str">
        <f t="shared" si="540"/>
        <v/>
      </c>
      <c r="AC2305">
        <f>IF($A2305="",0,IF(COUNTIF($A$2:$A2305,$A2305)=1,1,0))</f>
        <v>0</v>
      </c>
      <c r="AD2305">
        <f t="shared" si="541"/>
        <v>29</v>
      </c>
      <c r="AE2305" t="str">
        <f t="shared" si="542"/>
        <v/>
      </c>
    </row>
    <row r="2306" spans="1:31" x14ac:dyDescent="0.4">
      <c r="A2306" t="str">
        <f>IF(原始经营数据!$D2307="","",原始经营数据!$D2307)</f>
        <v/>
      </c>
      <c r="B2306" t="str">
        <f>IF(原始经营数据!$D2307="","",T(原始经营数据!$E2307))</f>
        <v/>
      </c>
      <c r="C2306" t="str">
        <f>IF(原始经营数据!$D2307="","",原始经营数据!$F2307)</f>
        <v/>
      </c>
      <c r="D2306" t="str">
        <f>IF(原始经营数据!$D2307="","",原始经营数据!$H2307)</f>
        <v/>
      </c>
      <c r="E2306" t="str">
        <f>IF(原始经营数据!$D2307="","",原始经营数据!$I2307)</f>
        <v/>
      </c>
      <c r="F2306" t="str">
        <f>IF(原始经营数据!$D2307="","",T(原始经营数据!$J2307))</f>
        <v/>
      </c>
      <c r="G2306" t="str">
        <f>IF(原始经营数据!$D2307="","",T(原始经营数据!$K2307))</f>
        <v/>
      </c>
      <c r="H2306" t="str">
        <f>IF(原始经营数据!$D2307="","",原始经营数据!$G2307)</f>
        <v/>
      </c>
      <c r="I2306" t="str">
        <f>IF($A2306="","",IF($B2306&lt;&gt;"",$B2306,IF(COUNTIFS(原始经营数据!$D$3:$D$3001,$A2306,原始经营数据!$E$3:$E$3001,"",原始经营数据!$F$3:$F$3001,$C2306,原始经营数据!$H$3:$H$3001,$D2306,原始经营数据!$K$3:$K$3001,$G2306)&gt;1,"基金整体·来源"&amp;原始经营数据!$A2307,"基金整体")))</f>
        <v/>
      </c>
      <c r="J2306" t="str">
        <f t="shared" ref="J2306:J2369" si="543">IF($A2306="","",IF(LEN($C2306)=4,"年度",IF(AND(LEN($C2306)=6,ISNUMBER(SEARCH("Q",$C2306))),"季度","其他期间")))</f>
        <v/>
      </c>
      <c r="K2306" t="str">
        <f t="shared" ref="K2306:K2369" si="544">IF($A2306="","",$D2306&amp;IF($G2306="","","-"&amp;SUBSTITUTE($G2306,CHAR(10),""))&amp;IF($F2306="","","（"&amp;$F2306&amp;"）"))</f>
        <v/>
      </c>
      <c r="L2306" t="str">
        <f t="shared" ref="L2306:L2369" si="545">IF($A2306="","",$I2306&amp;"|"&amp;$K2306&amp;"|"&amp;$J2306)</f>
        <v/>
      </c>
      <c r="M2306">
        <f>IF($A2306="",0,IF(COUNTIF($L$2:$L2306,$L2306)=1,1,0))</f>
        <v>0</v>
      </c>
      <c r="N2306" t="str">
        <f t="shared" ref="N2306:N2369" si="546">IF($A2306="","",IF($J2306="年度",VALUE($C2306)*10,IF($J2306="季度",VALUE(LEFT($C2306,4))*10+VALUE(RIGHT($C2306,1)),VALUE(LEFT($C2306,4))*10+9)))</f>
        <v/>
      </c>
      <c r="O2306" t="str">
        <f t="shared" ref="O2306:O2369" si="547">IF($A2306="","",$A2306&amp;"|"&amp;$C2306&amp;"|"&amp;$J2306)</f>
        <v/>
      </c>
      <c r="P2306">
        <f>IF($A2306="",0,IF(COUNTIF($O$2:$O2306,$O2306)=1,1,0))</f>
        <v>0</v>
      </c>
      <c r="Q2306" t="str">
        <f>IF(AND($P2306=1,$A2306=经营数据!$B$3,$J2306=经营数据!$BA$5),COUNTIFS($P$2:$P$3000,1,$A$2:$A$3000,$A2306,$J$2:$J$3000,$J2306,$N$2:$N$3000,"&lt;"&amp;$N2306)+1,"")</f>
        <v/>
      </c>
      <c r="R2306" t="str">
        <f t="shared" ref="R2306:R2369" si="548">IF($A2306="","",$A2306&amp;"|"&amp;$I2306)</f>
        <v/>
      </c>
      <c r="S2306">
        <f>IF($A2306="",0,IF(COUNTIF($R$2:$R2306,$R2306)=1,1,0))</f>
        <v>0</v>
      </c>
      <c r="T2306" t="str">
        <f t="shared" ref="T2306:T2369" si="549">IF($A2306="","",MATCH($R2306,$R$2:$R$3000,0))</f>
        <v/>
      </c>
      <c r="U2306" t="str">
        <f>IF($A2306="","",IF($A2306=经营数据!$B$3,COUNTIFS($S$2:$S$3000,1,$A$2:$A$3000,$A2306,$T$2:$T$3000,"&lt;"&amp;$T2306)+1,""))</f>
        <v/>
      </c>
      <c r="V2306" t="str">
        <f t="shared" ref="V2306:V2369" si="550">IF($A2306="","",$I2306&amp;"|"&amp;$H2306)</f>
        <v/>
      </c>
      <c r="W2306" t="str">
        <f t="shared" ref="W2306:W2369" si="551">IF($A2306="","",MATCH($V2306,$V$2:$V$3000,0))</f>
        <v/>
      </c>
      <c r="X2306" t="str">
        <f t="shared" ref="X2306:X2369" si="552">IF($A2306="","",$I2306&amp;"|"&amp;$D2306)</f>
        <v/>
      </c>
      <c r="Y2306" t="str">
        <f t="shared" ref="Y2306:Y2369" si="553">IF($A2306="","",MATCH($X2306,$X$2:$X$3000,0))</f>
        <v/>
      </c>
      <c r="Z2306">
        <f>IF($A2306="",0,IF(AND($M2306=1,$A2306=经营数据!$B$3,$J2306=经营数据!$BA$5,OR($I2306=经营数据!$BA$4,COUNTIF(经营数据!$AA$9:$AA$38,$I2306)&gt;0)),1,0))</f>
        <v>0</v>
      </c>
      <c r="AA2306" t="str">
        <f t="shared" ref="AA2306:AA2369" si="554">IF($Z2306=1,$U2306*1000000000000+$W2306*100000000+$Y2306*10000+ROW(),"")</f>
        <v/>
      </c>
      <c r="AB2306" t="str">
        <f t="shared" ref="AB2306:AB2369" si="555">IF($Z2306=1,COUNTIFS($Z$2:$Z$3000,1,$AA$2:$AA$3000,"&lt;"&amp;$AA2306)+1,"")</f>
        <v/>
      </c>
      <c r="AC2306">
        <f>IF($A2306="",0,IF(COUNTIF($A$2:$A2306,$A2306)=1,1,0))</f>
        <v>0</v>
      </c>
      <c r="AD2306">
        <f t="shared" ref="AD2306:AD2369" si="556">IF($A2306="",N(AD2305),IF($AC2306=1,N(AD2305)+1,N(AD2305)))</f>
        <v>29</v>
      </c>
      <c r="AE2306" t="str">
        <f t="shared" ref="AE2306:AE2369" si="557">IF($A2306="","",$I2306&amp;"|"&amp;$K2306)</f>
        <v/>
      </c>
    </row>
    <row r="2307" spans="1:31" x14ac:dyDescent="0.4">
      <c r="A2307" t="str">
        <f>IF(原始经营数据!$D2308="","",原始经营数据!$D2308)</f>
        <v/>
      </c>
      <c r="B2307" t="str">
        <f>IF(原始经营数据!$D2308="","",T(原始经营数据!$E2308))</f>
        <v/>
      </c>
      <c r="C2307" t="str">
        <f>IF(原始经营数据!$D2308="","",原始经营数据!$F2308)</f>
        <v/>
      </c>
      <c r="D2307" t="str">
        <f>IF(原始经营数据!$D2308="","",原始经营数据!$H2308)</f>
        <v/>
      </c>
      <c r="E2307" t="str">
        <f>IF(原始经营数据!$D2308="","",原始经营数据!$I2308)</f>
        <v/>
      </c>
      <c r="F2307" t="str">
        <f>IF(原始经营数据!$D2308="","",T(原始经营数据!$J2308))</f>
        <v/>
      </c>
      <c r="G2307" t="str">
        <f>IF(原始经营数据!$D2308="","",T(原始经营数据!$K2308))</f>
        <v/>
      </c>
      <c r="H2307" t="str">
        <f>IF(原始经营数据!$D2308="","",原始经营数据!$G2308)</f>
        <v/>
      </c>
      <c r="I2307" t="str">
        <f>IF($A2307="","",IF($B2307&lt;&gt;"",$B2307,IF(COUNTIFS(原始经营数据!$D$3:$D$3001,$A2307,原始经营数据!$E$3:$E$3001,"",原始经营数据!$F$3:$F$3001,$C2307,原始经营数据!$H$3:$H$3001,$D2307,原始经营数据!$K$3:$K$3001,$G2307)&gt;1,"基金整体·来源"&amp;原始经营数据!$A2308,"基金整体")))</f>
        <v/>
      </c>
      <c r="J2307" t="str">
        <f t="shared" si="543"/>
        <v/>
      </c>
      <c r="K2307" t="str">
        <f t="shared" si="544"/>
        <v/>
      </c>
      <c r="L2307" t="str">
        <f t="shared" si="545"/>
        <v/>
      </c>
      <c r="M2307">
        <f>IF($A2307="",0,IF(COUNTIF($L$2:$L2307,$L2307)=1,1,0))</f>
        <v>0</v>
      </c>
      <c r="N2307" t="str">
        <f t="shared" si="546"/>
        <v/>
      </c>
      <c r="O2307" t="str">
        <f t="shared" si="547"/>
        <v/>
      </c>
      <c r="P2307">
        <f>IF($A2307="",0,IF(COUNTIF($O$2:$O2307,$O2307)=1,1,0))</f>
        <v>0</v>
      </c>
      <c r="Q2307" t="str">
        <f>IF(AND($P2307=1,$A2307=经营数据!$B$3,$J2307=经营数据!$BA$5),COUNTIFS($P$2:$P$3000,1,$A$2:$A$3000,$A2307,$J$2:$J$3000,$J2307,$N$2:$N$3000,"&lt;"&amp;$N2307)+1,"")</f>
        <v/>
      </c>
      <c r="R2307" t="str">
        <f t="shared" si="548"/>
        <v/>
      </c>
      <c r="S2307">
        <f>IF($A2307="",0,IF(COUNTIF($R$2:$R2307,$R2307)=1,1,0))</f>
        <v>0</v>
      </c>
      <c r="T2307" t="str">
        <f t="shared" si="549"/>
        <v/>
      </c>
      <c r="U2307" t="str">
        <f>IF($A2307="","",IF($A2307=经营数据!$B$3,COUNTIFS($S$2:$S$3000,1,$A$2:$A$3000,$A2307,$T$2:$T$3000,"&lt;"&amp;$T2307)+1,""))</f>
        <v/>
      </c>
      <c r="V2307" t="str">
        <f t="shared" si="550"/>
        <v/>
      </c>
      <c r="W2307" t="str">
        <f t="shared" si="551"/>
        <v/>
      </c>
      <c r="X2307" t="str">
        <f t="shared" si="552"/>
        <v/>
      </c>
      <c r="Y2307" t="str">
        <f t="shared" si="553"/>
        <v/>
      </c>
      <c r="Z2307">
        <f>IF($A2307="",0,IF(AND($M2307=1,$A2307=经营数据!$B$3,$J2307=经营数据!$BA$5,OR($I2307=经营数据!$BA$4,COUNTIF(经营数据!$AA$9:$AA$38,$I2307)&gt;0)),1,0))</f>
        <v>0</v>
      </c>
      <c r="AA2307" t="str">
        <f t="shared" si="554"/>
        <v/>
      </c>
      <c r="AB2307" t="str">
        <f t="shared" si="555"/>
        <v/>
      </c>
      <c r="AC2307">
        <f>IF($A2307="",0,IF(COUNTIF($A$2:$A2307,$A2307)=1,1,0))</f>
        <v>0</v>
      </c>
      <c r="AD2307">
        <f t="shared" si="556"/>
        <v>29</v>
      </c>
      <c r="AE2307" t="str">
        <f t="shared" si="557"/>
        <v/>
      </c>
    </row>
    <row r="2308" spans="1:31" x14ac:dyDescent="0.4">
      <c r="A2308" t="str">
        <f>IF(原始经营数据!$D2309="","",原始经营数据!$D2309)</f>
        <v/>
      </c>
      <c r="B2308" t="str">
        <f>IF(原始经营数据!$D2309="","",T(原始经营数据!$E2309))</f>
        <v/>
      </c>
      <c r="C2308" t="str">
        <f>IF(原始经营数据!$D2309="","",原始经营数据!$F2309)</f>
        <v/>
      </c>
      <c r="D2308" t="str">
        <f>IF(原始经营数据!$D2309="","",原始经营数据!$H2309)</f>
        <v/>
      </c>
      <c r="E2308" t="str">
        <f>IF(原始经营数据!$D2309="","",原始经营数据!$I2309)</f>
        <v/>
      </c>
      <c r="F2308" t="str">
        <f>IF(原始经营数据!$D2309="","",T(原始经营数据!$J2309))</f>
        <v/>
      </c>
      <c r="G2308" t="str">
        <f>IF(原始经营数据!$D2309="","",T(原始经营数据!$K2309))</f>
        <v/>
      </c>
      <c r="H2308" t="str">
        <f>IF(原始经营数据!$D2309="","",原始经营数据!$G2309)</f>
        <v/>
      </c>
      <c r="I2308" t="str">
        <f>IF($A2308="","",IF($B2308&lt;&gt;"",$B2308,IF(COUNTIFS(原始经营数据!$D$3:$D$3001,$A2308,原始经营数据!$E$3:$E$3001,"",原始经营数据!$F$3:$F$3001,$C2308,原始经营数据!$H$3:$H$3001,$D2308,原始经营数据!$K$3:$K$3001,$G2308)&gt;1,"基金整体·来源"&amp;原始经营数据!$A2309,"基金整体")))</f>
        <v/>
      </c>
      <c r="J2308" t="str">
        <f t="shared" si="543"/>
        <v/>
      </c>
      <c r="K2308" t="str">
        <f t="shared" si="544"/>
        <v/>
      </c>
      <c r="L2308" t="str">
        <f t="shared" si="545"/>
        <v/>
      </c>
      <c r="M2308">
        <f>IF($A2308="",0,IF(COUNTIF($L$2:$L2308,$L2308)=1,1,0))</f>
        <v>0</v>
      </c>
      <c r="N2308" t="str">
        <f t="shared" si="546"/>
        <v/>
      </c>
      <c r="O2308" t="str">
        <f t="shared" si="547"/>
        <v/>
      </c>
      <c r="P2308">
        <f>IF($A2308="",0,IF(COUNTIF($O$2:$O2308,$O2308)=1,1,0))</f>
        <v>0</v>
      </c>
      <c r="Q2308" t="str">
        <f>IF(AND($P2308=1,$A2308=经营数据!$B$3,$J2308=经营数据!$BA$5),COUNTIFS($P$2:$P$3000,1,$A$2:$A$3000,$A2308,$J$2:$J$3000,$J2308,$N$2:$N$3000,"&lt;"&amp;$N2308)+1,"")</f>
        <v/>
      </c>
      <c r="R2308" t="str">
        <f t="shared" si="548"/>
        <v/>
      </c>
      <c r="S2308">
        <f>IF($A2308="",0,IF(COUNTIF($R$2:$R2308,$R2308)=1,1,0))</f>
        <v>0</v>
      </c>
      <c r="T2308" t="str">
        <f t="shared" si="549"/>
        <v/>
      </c>
      <c r="U2308" t="str">
        <f>IF($A2308="","",IF($A2308=经营数据!$B$3,COUNTIFS($S$2:$S$3000,1,$A$2:$A$3000,$A2308,$T$2:$T$3000,"&lt;"&amp;$T2308)+1,""))</f>
        <v/>
      </c>
      <c r="V2308" t="str">
        <f t="shared" si="550"/>
        <v/>
      </c>
      <c r="W2308" t="str">
        <f t="shared" si="551"/>
        <v/>
      </c>
      <c r="X2308" t="str">
        <f t="shared" si="552"/>
        <v/>
      </c>
      <c r="Y2308" t="str">
        <f t="shared" si="553"/>
        <v/>
      </c>
      <c r="Z2308">
        <f>IF($A2308="",0,IF(AND($M2308=1,$A2308=经营数据!$B$3,$J2308=经营数据!$BA$5,OR($I2308=经营数据!$BA$4,COUNTIF(经营数据!$AA$9:$AA$38,$I2308)&gt;0)),1,0))</f>
        <v>0</v>
      </c>
      <c r="AA2308" t="str">
        <f t="shared" si="554"/>
        <v/>
      </c>
      <c r="AB2308" t="str">
        <f t="shared" si="555"/>
        <v/>
      </c>
      <c r="AC2308">
        <f>IF($A2308="",0,IF(COUNTIF($A$2:$A2308,$A2308)=1,1,0))</f>
        <v>0</v>
      </c>
      <c r="AD2308">
        <f t="shared" si="556"/>
        <v>29</v>
      </c>
      <c r="AE2308" t="str">
        <f t="shared" si="557"/>
        <v/>
      </c>
    </row>
    <row r="2309" spans="1:31" x14ac:dyDescent="0.4">
      <c r="A2309" t="str">
        <f>IF(原始经营数据!$D2310="","",原始经营数据!$D2310)</f>
        <v/>
      </c>
      <c r="B2309" t="str">
        <f>IF(原始经营数据!$D2310="","",T(原始经营数据!$E2310))</f>
        <v/>
      </c>
      <c r="C2309" t="str">
        <f>IF(原始经营数据!$D2310="","",原始经营数据!$F2310)</f>
        <v/>
      </c>
      <c r="D2309" t="str">
        <f>IF(原始经营数据!$D2310="","",原始经营数据!$H2310)</f>
        <v/>
      </c>
      <c r="E2309" t="str">
        <f>IF(原始经营数据!$D2310="","",原始经营数据!$I2310)</f>
        <v/>
      </c>
      <c r="F2309" t="str">
        <f>IF(原始经营数据!$D2310="","",T(原始经营数据!$J2310))</f>
        <v/>
      </c>
      <c r="G2309" t="str">
        <f>IF(原始经营数据!$D2310="","",T(原始经营数据!$K2310))</f>
        <v/>
      </c>
      <c r="H2309" t="str">
        <f>IF(原始经营数据!$D2310="","",原始经营数据!$G2310)</f>
        <v/>
      </c>
      <c r="I2309" t="str">
        <f>IF($A2309="","",IF($B2309&lt;&gt;"",$B2309,IF(COUNTIFS(原始经营数据!$D$3:$D$3001,$A2309,原始经营数据!$E$3:$E$3001,"",原始经营数据!$F$3:$F$3001,$C2309,原始经营数据!$H$3:$H$3001,$D2309,原始经营数据!$K$3:$K$3001,$G2309)&gt;1,"基金整体·来源"&amp;原始经营数据!$A2310,"基金整体")))</f>
        <v/>
      </c>
      <c r="J2309" t="str">
        <f t="shared" si="543"/>
        <v/>
      </c>
      <c r="K2309" t="str">
        <f t="shared" si="544"/>
        <v/>
      </c>
      <c r="L2309" t="str">
        <f t="shared" si="545"/>
        <v/>
      </c>
      <c r="M2309">
        <f>IF($A2309="",0,IF(COUNTIF($L$2:$L2309,$L2309)=1,1,0))</f>
        <v>0</v>
      </c>
      <c r="N2309" t="str">
        <f t="shared" si="546"/>
        <v/>
      </c>
      <c r="O2309" t="str">
        <f t="shared" si="547"/>
        <v/>
      </c>
      <c r="P2309">
        <f>IF($A2309="",0,IF(COUNTIF($O$2:$O2309,$O2309)=1,1,0))</f>
        <v>0</v>
      </c>
      <c r="Q2309" t="str">
        <f>IF(AND($P2309=1,$A2309=经营数据!$B$3,$J2309=经营数据!$BA$5),COUNTIFS($P$2:$P$3000,1,$A$2:$A$3000,$A2309,$J$2:$J$3000,$J2309,$N$2:$N$3000,"&lt;"&amp;$N2309)+1,"")</f>
        <v/>
      </c>
      <c r="R2309" t="str">
        <f t="shared" si="548"/>
        <v/>
      </c>
      <c r="S2309">
        <f>IF($A2309="",0,IF(COUNTIF($R$2:$R2309,$R2309)=1,1,0))</f>
        <v>0</v>
      </c>
      <c r="T2309" t="str">
        <f t="shared" si="549"/>
        <v/>
      </c>
      <c r="U2309" t="str">
        <f>IF($A2309="","",IF($A2309=经营数据!$B$3,COUNTIFS($S$2:$S$3000,1,$A$2:$A$3000,$A2309,$T$2:$T$3000,"&lt;"&amp;$T2309)+1,""))</f>
        <v/>
      </c>
      <c r="V2309" t="str">
        <f t="shared" si="550"/>
        <v/>
      </c>
      <c r="W2309" t="str">
        <f t="shared" si="551"/>
        <v/>
      </c>
      <c r="X2309" t="str">
        <f t="shared" si="552"/>
        <v/>
      </c>
      <c r="Y2309" t="str">
        <f t="shared" si="553"/>
        <v/>
      </c>
      <c r="Z2309">
        <f>IF($A2309="",0,IF(AND($M2309=1,$A2309=经营数据!$B$3,$J2309=经营数据!$BA$5,OR($I2309=经营数据!$BA$4,COUNTIF(经营数据!$AA$9:$AA$38,$I2309)&gt;0)),1,0))</f>
        <v>0</v>
      </c>
      <c r="AA2309" t="str">
        <f t="shared" si="554"/>
        <v/>
      </c>
      <c r="AB2309" t="str">
        <f t="shared" si="555"/>
        <v/>
      </c>
      <c r="AC2309">
        <f>IF($A2309="",0,IF(COUNTIF($A$2:$A2309,$A2309)=1,1,0))</f>
        <v>0</v>
      </c>
      <c r="AD2309">
        <f t="shared" si="556"/>
        <v>29</v>
      </c>
      <c r="AE2309" t="str">
        <f t="shared" si="557"/>
        <v/>
      </c>
    </row>
    <row r="2310" spans="1:31" x14ac:dyDescent="0.4">
      <c r="A2310" t="str">
        <f>IF(原始经营数据!$D2311="","",原始经营数据!$D2311)</f>
        <v/>
      </c>
      <c r="B2310" t="str">
        <f>IF(原始经营数据!$D2311="","",T(原始经营数据!$E2311))</f>
        <v/>
      </c>
      <c r="C2310" t="str">
        <f>IF(原始经营数据!$D2311="","",原始经营数据!$F2311)</f>
        <v/>
      </c>
      <c r="D2310" t="str">
        <f>IF(原始经营数据!$D2311="","",原始经营数据!$H2311)</f>
        <v/>
      </c>
      <c r="E2310" t="str">
        <f>IF(原始经营数据!$D2311="","",原始经营数据!$I2311)</f>
        <v/>
      </c>
      <c r="F2310" t="str">
        <f>IF(原始经营数据!$D2311="","",T(原始经营数据!$J2311))</f>
        <v/>
      </c>
      <c r="G2310" t="str">
        <f>IF(原始经营数据!$D2311="","",T(原始经营数据!$K2311))</f>
        <v/>
      </c>
      <c r="H2310" t="str">
        <f>IF(原始经营数据!$D2311="","",原始经营数据!$G2311)</f>
        <v/>
      </c>
      <c r="I2310" t="str">
        <f>IF($A2310="","",IF($B2310&lt;&gt;"",$B2310,IF(COUNTIFS(原始经营数据!$D$3:$D$3001,$A2310,原始经营数据!$E$3:$E$3001,"",原始经营数据!$F$3:$F$3001,$C2310,原始经营数据!$H$3:$H$3001,$D2310,原始经营数据!$K$3:$K$3001,$G2310)&gt;1,"基金整体·来源"&amp;原始经营数据!$A2311,"基金整体")))</f>
        <v/>
      </c>
      <c r="J2310" t="str">
        <f t="shared" si="543"/>
        <v/>
      </c>
      <c r="K2310" t="str">
        <f t="shared" si="544"/>
        <v/>
      </c>
      <c r="L2310" t="str">
        <f t="shared" si="545"/>
        <v/>
      </c>
      <c r="M2310">
        <f>IF($A2310="",0,IF(COUNTIF($L$2:$L2310,$L2310)=1,1,0))</f>
        <v>0</v>
      </c>
      <c r="N2310" t="str">
        <f t="shared" si="546"/>
        <v/>
      </c>
      <c r="O2310" t="str">
        <f t="shared" si="547"/>
        <v/>
      </c>
      <c r="P2310">
        <f>IF($A2310="",0,IF(COUNTIF($O$2:$O2310,$O2310)=1,1,0))</f>
        <v>0</v>
      </c>
      <c r="Q2310" t="str">
        <f>IF(AND($P2310=1,$A2310=经营数据!$B$3,$J2310=经营数据!$BA$5),COUNTIFS($P$2:$P$3000,1,$A$2:$A$3000,$A2310,$J$2:$J$3000,$J2310,$N$2:$N$3000,"&lt;"&amp;$N2310)+1,"")</f>
        <v/>
      </c>
      <c r="R2310" t="str">
        <f t="shared" si="548"/>
        <v/>
      </c>
      <c r="S2310">
        <f>IF($A2310="",0,IF(COUNTIF($R$2:$R2310,$R2310)=1,1,0))</f>
        <v>0</v>
      </c>
      <c r="T2310" t="str">
        <f t="shared" si="549"/>
        <v/>
      </c>
      <c r="U2310" t="str">
        <f>IF($A2310="","",IF($A2310=经营数据!$B$3,COUNTIFS($S$2:$S$3000,1,$A$2:$A$3000,$A2310,$T$2:$T$3000,"&lt;"&amp;$T2310)+1,""))</f>
        <v/>
      </c>
      <c r="V2310" t="str">
        <f t="shared" si="550"/>
        <v/>
      </c>
      <c r="W2310" t="str">
        <f t="shared" si="551"/>
        <v/>
      </c>
      <c r="X2310" t="str">
        <f t="shared" si="552"/>
        <v/>
      </c>
      <c r="Y2310" t="str">
        <f t="shared" si="553"/>
        <v/>
      </c>
      <c r="Z2310">
        <f>IF($A2310="",0,IF(AND($M2310=1,$A2310=经营数据!$B$3,$J2310=经营数据!$BA$5,OR($I2310=经营数据!$BA$4,COUNTIF(经营数据!$AA$9:$AA$38,$I2310)&gt;0)),1,0))</f>
        <v>0</v>
      </c>
      <c r="AA2310" t="str">
        <f t="shared" si="554"/>
        <v/>
      </c>
      <c r="AB2310" t="str">
        <f t="shared" si="555"/>
        <v/>
      </c>
      <c r="AC2310">
        <f>IF($A2310="",0,IF(COUNTIF($A$2:$A2310,$A2310)=1,1,0))</f>
        <v>0</v>
      </c>
      <c r="AD2310">
        <f t="shared" si="556"/>
        <v>29</v>
      </c>
      <c r="AE2310" t="str">
        <f t="shared" si="557"/>
        <v/>
      </c>
    </row>
    <row r="2311" spans="1:31" x14ac:dyDescent="0.4">
      <c r="A2311" t="str">
        <f>IF(原始经营数据!$D2312="","",原始经营数据!$D2312)</f>
        <v/>
      </c>
      <c r="B2311" t="str">
        <f>IF(原始经营数据!$D2312="","",T(原始经营数据!$E2312))</f>
        <v/>
      </c>
      <c r="C2311" t="str">
        <f>IF(原始经营数据!$D2312="","",原始经营数据!$F2312)</f>
        <v/>
      </c>
      <c r="D2311" t="str">
        <f>IF(原始经营数据!$D2312="","",原始经营数据!$H2312)</f>
        <v/>
      </c>
      <c r="E2311" t="str">
        <f>IF(原始经营数据!$D2312="","",原始经营数据!$I2312)</f>
        <v/>
      </c>
      <c r="F2311" t="str">
        <f>IF(原始经营数据!$D2312="","",T(原始经营数据!$J2312))</f>
        <v/>
      </c>
      <c r="G2311" t="str">
        <f>IF(原始经营数据!$D2312="","",T(原始经营数据!$K2312))</f>
        <v/>
      </c>
      <c r="H2311" t="str">
        <f>IF(原始经营数据!$D2312="","",原始经营数据!$G2312)</f>
        <v/>
      </c>
      <c r="I2311" t="str">
        <f>IF($A2311="","",IF($B2311&lt;&gt;"",$B2311,IF(COUNTIFS(原始经营数据!$D$3:$D$3001,$A2311,原始经营数据!$E$3:$E$3001,"",原始经营数据!$F$3:$F$3001,$C2311,原始经营数据!$H$3:$H$3001,$D2311,原始经营数据!$K$3:$K$3001,$G2311)&gt;1,"基金整体·来源"&amp;原始经营数据!$A2312,"基金整体")))</f>
        <v/>
      </c>
      <c r="J2311" t="str">
        <f t="shared" si="543"/>
        <v/>
      </c>
      <c r="K2311" t="str">
        <f t="shared" si="544"/>
        <v/>
      </c>
      <c r="L2311" t="str">
        <f t="shared" si="545"/>
        <v/>
      </c>
      <c r="M2311">
        <f>IF($A2311="",0,IF(COUNTIF($L$2:$L2311,$L2311)=1,1,0))</f>
        <v>0</v>
      </c>
      <c r="N2311" t="str">
        <f t="shared" si="546"/>
        <v/>
      </c>
      <c r="O2311" t="str">
        <f t="shared" si="547"/>
        <v/>
      </c>
      <c r="P2311">
        <f>IF($A2311="",0,IF(COUNTIF($O$2:$O2311,$O2311)=1,1,0))</f>
        <v>0</v>
      </c>
      <c r="Q2311" t="str">
        <f>IF(AND($P2311=1,$A2311=经营数据!$B$3,$J2311=经营数据!$BA$5),COUNTIFS($P$2:$P$3000,1,$A$2:$A$3000,$A2311,$J$2:$J$3000,$J2311,$N$2:$N$3000,"&lt;"&amp;$N2311)+1,"")</f>
        <v/>
      </c>
      <c r="R2311" t="str">
        <f t="shared" si="548"/>
        <v/>
      </c>
      <c r="S2311">
        <f>IF($A2311="",0,IF(COUNTIF($R$2:$R2311,$R2311)=1,1,0))</f>
        <v>0</v>
      </c>
      <c r="T2311" t="str">
        <f t="shared" si="549"/>
        <v/>
      </c>
      <c r="U2311" t="str">
        <f>IF($A2311="","",IF($A2311=经营数据!$B$3,COUNTIFS($S$2:$S$3000,1,$A$2:$A$3000,$A2311,$T$2:$T$3000,"&lt;"&amp;$T2311)+1,""))</f>
        <v/>
      </c>
      <c r="V2311" t="str">
        <f t="shared" si="550"/>
        <v/>
      </c>
      <c r="W2311" t="str">
        <f t="shared" si="551"/>
        <v/>
      </c>
      <c r="X2311" t="str">
        <f t="shared" si="552"/>
        <v/>
      </c>
      <c r="Y2311" t="str">
        <f t="shared" si="553"/>
        <v/>
      </c>
      <c r="Z2311">
        <f>IF($A2311="",0,IF(AND($M2311=1,$A2311=经营数据!$B$3,$J2311=经营数据!$BA$5,OR($I2311=经营数据!$BA$4,COUNTIF(经营数据!$AA$9:$AA$38,$I2311)&gt;0)),1,0))</f>
        <v>0</v>
      </c>
      <c r="AA2311" t="str">
        <f t="shared" si="554"/>
        <v/>
      </c>
      <c r="AB2311" t="str">
        <f t="shared" si="555"/>
        <v/>
      </c>
      <c r="AC2311">
        <f>IF($A2311="",0,IF(COUNTIF($A$2:$A2311,$A2311)=1,1,0))</f>
        <v>0</v>
      </c>
      <c r="AD2311">
        <f t="shared" si="556"/>
        <v>29</v>
      </c>
      <c r="AE2311" t="str">
        <f t="shared" si="557"/>
        <v/>
      </c>
    </row>
    <row r="2312" spans="1:31" x14ac:dyDescent="0.4">
      <c r="A2312" t="str">
        <f>IF(原始经营数据!$D2313="","",原始经营数据!$D2313)</f>
        <v/>
      </c>
      <c r="B2312" t="str">
        <f>IF(原始经营数据!$D2313="","",T(原始经营数据!$E2313))</f>
        <v/>
      </c>
      <c r="C2312" t="str">
        <f>IF(原始经营数据!$D2313="","",原始经营数据!$F2313)</f>
        <v/>
      </c>
      <c r="D2312" t="str">
        <f>IF(原始经营数据!$D2313="","",原始经营数据!$H2313)</f>
        <v/>
      </c>
      <c r="E2312" t="str">
        <f>IF(原始经营数据!$D2313="","",原始经营数据!$I2313)</f>
        <v/>
      </c>
      <c r="F2312" t="str">
        <f>IF(原始经营数据!$D2313="","",T(原始经营数据!$J2313))</f>
        <v/>
      </c>
      <c r="G2312" t="str">
        <f>IF(原始经营数据!$D2313="","",T(原始经营数据!$K2313))</f>
        <v/>
      </c>
      <c r="H2312" t="str">
        <f>IF(原始经营数据!$D2313="","",原始经营数据!$G2313)</f>
        <v/>
      </c>
      <c r="I2312" t="str">
        <f>IF($A2312="","",IF($B2312&lt;&gt;"",$B2312,IF(COUNTIFS(原始经营数据!$D$3:$D$3001,$A2312,原始经营数据!$E$3:$E$3001,"",原始经营数据!$F$3:$F$3001,$C2312,原始经营数据!$H$3:$H$3001,$D2312,原始经营数据!$K$3:$K$3001,$G2312)&gt;1,"基金整体·来源"&amp;原始经营数据!$A2313,"基金整体")))</f>
        <v/>
      </c>
      <c r="J2312" t="str">
        <f t="shared" si="543"/>
        <v/>
      </c>
      <c r="K2312" t="str">
        <f t="shared" si="544"/>
        <v/>
      </c>
      <c r="L2312" t="str">
        <f t="shared" si="545"/>
        <v/>
      </c>
      <c r="M2312">
        <f>IF($A2312="",0,IF(COUNTIF($L$2:$L2312,$L2312)=1,1,0))</f>
        <v>0</v>
      </c>
      <c r="N2312" t="str">
        <f t="shared" si="546"/>
        <v/>
      </c>
      <c r="O2312" t="str">
        <f t="shared" si="547"/>
        <v/>
      </c>
      <c r="P2312">
        <f>IF($A2312="",0,IF(COUNTIF($O$2:$O2312,$O2312)=1,1,0))</f>
        <v>0</v>
      </c>
      <c r="Q2312" t="str">
        <f>IF(AND($P2312=1,$A2312=经营数据!$B$3,$J2312=经营数据!$BA$5),COUNTIFS($P$2:$P$3000,1,$A$2:$A$3000,$A2312,$J$2:$J$3000,$J2312,$N$2:$N$3000,"&lt;"&amp;$N2312)+1,"")</f>
        <v/>
      </c>
      <c r="R2312" t="str">
        <f t="shared" si="548"/>
        <v/>
      </c>
      <c r="S2312">
        <f>IF($A2312="",0,IF(COUNTIF($R$2:$R2312,$R2312)=1,1,0))</f>
        <v>0</v>
      </c>
      <c r="T2312" t="str">
        <f t="shared" si="549"/>
        <v/>
      </c>
      <c r="U2312" t="str">
        <f>IF($A2312="","",IF($A2312=经营数据!$B$3,COUNTIFS($S$2:$S$3000,1,$A$2:$A$3000,$A2312,$T$2:$T$3000,"&lt;"&amp;$T2312)+1,""))</f>
        <v/>
      </c>
      <c r="V2312" t="str">
        <f t="shared" si="550"/>
        <v/>
      </c>
      <c r="W2312" t="str">
        <f t="shared" si="551"/>
        <v/>
      </c>
      <c r="X2312" t="str">
        <f t="shared" si="552"/>
        <v/>
      </c>
      <c r="Y2312" t="str">
        <f t="shared" si="553"/>
        <v/>
      </c>
      <c r="Z2312">
        <f>IF($A2312="",0,IF(AND($M2312=1,$A2312=经营数据!$B$3,$J2312=经营数据!$BA$5,OR($I2312=经营数据!$BA$4,COUNTIF(经营数据!$AA$9:$AA$38,$I2312)&gt;0)),1,0))</f>
        <v>0</v>
      </c>
      <c r="AA2312" t="str">
        <f t="shared" si="554"/>
        <v/>
      </c>
      <c r="AB2312" t="str">
        <f t="shared" si="555"/>
        <v/>
      </c>
      <c r="AC2312">
        <f>IF($A2312="",0,IF(COUNTIF($A$2:$A2312,$A2312)=1,1,0))</f>
        <v>0</v>
      </c>
      <c r="AD2312">
        <f t="shared" si="556"/>
        <v>29</v>
      </c>
      <c r="AE2312" t="str">
        <f t="shared" si="557"/>
        <v/>
      </c>
    </row>
    <row r="2313" spans="1:31" x14ac:dyDescent="0.4">
      <c r="A2313" t="str">
        <f>IF(原始经营数据!$D2314="","",原始经营数据!$D2314)</f>
        <v/>
      </c>
      <c r="B2313" t="str">
        <f>IF(原始经营数据!$D2314="","",T(原始经营数据!$E2314))</f>
        <v/>
      </c>
      <c r="C2313" t="str">
        <f>IF(原始经营数据!$D2314="","",原始经营数据!$F2314)</f>
        <v/>
      </c>
      <c r="D2313" t="str">
        <f>IF(原始经营数据!$D2314="","",原始经营数据!$H2314)</f>
        <v/>
      </c>
      <c r="E2313" t="str">
        <f>IF(原始经营数据!$D2314="","",原始经营数据!$I2314)</f>
        <v/>
      </c>
      <c r="F2313" t="str">
        <f>IF(原始经营数据!$D2314="","",T(原始经营数据!$J2314))</f>
        <v/>
      </c>
      <c r="G2313" t="str">
        <f>IF(原始经营数据!$D2314="","",T(原始经营数据!$K2314))</f>
        <v/>
      </c>
      <c r="H2313" t="str">
        <f>IF(原始经营数据!$D2314="","",原始经营数据!$G2314)</f>
        <v/>
      </c>
      <c r="I2313" t="str">
        <f>IF($A2313="","",IF($B2313&lt;&gt;"",$B2313,IF(COUNTIFS(原始经营数据!$D$3:$D$3001,$A2313,原始经营数据!$E$3:$E$3001,"",原始经营数据!$F$3:$F$3001,$C2313,原始经营数据!$H$3:$H$3001,$D2313,原始经营数据!$K$3:$K$3001,$G2313)&gt;1,"基金整体·来源"&amp;原始经营数据!$A2314,"基金整体")))</f>
        <v/>
      </c>
      <c r="J2313" t="str">
        <f t="shared" si="543"/>
        <v/>
      </c>
      <c r="K2313" t="str">
        <f t="shared" si="544"/>
        <v/>
      </c>
      <c r="L2313" t="str">
        <f t="shared" si="545"/>
        <v/>
      </c>
      <c r="M2313">
        <f>IF($A2313="",0,IF(COUNTIF($L$2:$L2313,$L2313)=1,1,0))</f>
        <v>0</v>
      </c>
      <c r="N2313" t="str">
        <f t="shared" si="546"/>
        <v/>
      </c>
      <c r="O2313" t="str">
        <f t="shared" si="547"/>
        <v/>
      </c>
      <c r="P2313">
        <f>IF($A2313="",0,IF(COUNTIF($O$2:$O2313,$O2313)=1,1,0))</f>
        <v>0</v>
      </c>
      <c r="Q2313" t="str">
        <f>IF(AND($P2313=1,$A2313=经营数据!$B$3,$J2313=经营数据!$BA$5),COUNTIFS($P$2:$P$3000,1,$A$2:$A$3000,$A2313,$J$2:$J$3000,$J2313,$N$2:$N$3000,"&lt;"&amp;$N2313)+1,"")</f>
        <v/>
      </c>
      <c r="R2313" t="str">
        <f t="shared" si="548"/>
        <v/>
      </c>
      <c r="S2313">
        <f>IF($A2313="",0,IF(COUNTIF($R$2:$R2313,$R2313)=1,1,0))</f>
        <v>0</v>
      </c>
      <c r="T2313" t="str">
        <f t="shared" si="549"/>
        <v/>
      </c>
      <c r="U2313" t="str">
        <f>IF($A2313="","",IF($A2313=经营数据!$B$3,COUNTIFS($S$2:$S$3000,1,$A$2:$A$3000,$A2313,$T$2:$T$3000,"&lt;"&amp;$T2313)+1,""))</f>
        <v/>
      </c>
      <c r="V2313" t="str">
        <f t="shared" si="550"/>
        <v/>
      </c>
      <c r="W2313" t="str">
        <f t="shared" si="551"/>
        <v/>
      </c>
      <c r="X2313" t="str">
        <f t="shared" si="552"/>
        <v/>
      </c>
      <c r="Y2313" t="str">
        <f t="shared" si="553"/>
        <v/>
      </c>
      <c r="Z2313">
        <f>IF($A2313="",0,IF(AND($M2313=1,$A2313=经营数据!$B$3,$J2313=经营数据!$BA$5,OR($I2313=经营数据!$BA$4,COUNTIF(经营数据!$AA$9:$AA$38,$I2313)&gt;0)),1,0))</f>
        <v>0</v>
      </c>
      <c r="AA2313" t="str">
        <f t="shared" si="554"/>
        <v/>
      </c>
      <c r="AB2313" t="str">
        <f t="shared" si="555"/>
        <v/>
      </c>
      <c r="AC2313">
        <f>IF($A2313="",0,IF(COUNTIF($A$2:$A2313,$A2313)=1,1,0))</f>
        <v>0</v>
      </c>
      <c r="AD2313">
        <f t="shared" si="556"/>
        <v>29</v>
      </c>
      <c r="AE2313" t="str">
        <f t="shared" si="557"/>
        <v/>
      </c>
    </row>
    <row r="2314" spans="1:31" x14ac:dyDescent="0.4">
      <c r="A2314" t="str">
        <f>IF(原始经营数据!$D2315="","",原始经营数据!$D2315)</f>
        <v/>
      </c>
      <c r="B2314" t="str">
        <f>IF(原始经营数据!$D2315="","",T(原始经营数据!$E2315))</f>
        <v/>
      </c>
      <c r="C2314" t="str">
        <f>IF(原始经营数据!$D2315="","",原始经营数据!$F2315)</f>
        <v/>
      </c>
      <c r="D2314" t="str">
        <f>IF(原始经营数据!$D2315="","",原始经营数据!$H2315)</f>
        <v/>
      </c>
      <c r="E2314" t="str">
        <f>IF(原始经营数据!$D2315="","",原始经营数据!$I2315)</f>
        <v/>
      </c>
      <c r="F2314" t="str">
        <f>IF(原始经营数据!$D2315="","",T(原始经营数据!$J2315))</f>
        <v/>
      </c>
      <c r="G2314" t="str">
        <f>IF(原始经营数据!$D2315="","",T(原始经营数据!$K2315))</f>
        <v/>
      </c>
      <c r="H2314" t="str">
        <f>IF(原始经营数据!$D2315="","",原始经营数据!$G2315)</f>
        <v/>
      </c>
      <c r="I2314" t="str">
        <f>IF($A2314="","",IF($B2314&lt;&gt;"",$B2314,IF(COUNTIFS(原始经营数据!$D$3:$D$3001,$A2314,原始经营数据!$E$3:$E$3001,"",原始经营数据!$F$3:$F$3001,$C2314,原始经营数据!$H$3:$H$3001,$D2314,原始经营数据!$K$3:$K$3001,$G2314)&gt;1,"基金整体·来源"&amp;原始经营数据!$A2315,"基金整体")))</f>
        <v/>
      </c>
      <c r="J2314" t="str">
        <f t="shared" si="543"/>
        <v/>
      </c>
      <c r="K2314" t="str">
        <f t="shared" si="544"/>
        <v/>
      </c>
      <c r="L2314" t="str">
        <f t="shared" si="545"/>
        <v/>
      </c>
      <c r="M2314">
        <f>IF($A2314="",0,IF(COUNTIF($L$2:$L2314,$L2314)=1,1,0))</f>
        <v>0</v>
      </c>
      <c r="N2314" t="str">
        <f t="shared" si="546"/>
        <v/>
      </c>
      <c r="O2314" t="str">
        <f t="shared" si="547"/>
        <v/>
      </c>
      <c r="P2314">
        <f>IF($A2314="",0,IF(COUNTIF($O$2:$O2314,$O2314)=1,1,0))</f>
        <v>0</v>
      </c>
      <c r="Q2314" t="str">
        <f>IF(AND($P2314=1,$A2314=经营数据!$B$3,$J2314=经营数据!$BA$5),COUNTIFS($P$2:$P$3000,1,$A$2:$A$3000,$A2314,$J$2:$J$3000,$J2314,$N$2:$N$3000,"&lt;"&amp;$N2314)+1,"")</f>
        <v/>
      </c>
      <c r="R2314" t="str">
        <f t="shared" si="548"/>
        <v/>
      </c>
      <c r="S2314">
        <f>IF($A2314="",0,IF(COUNTIF($R$2:$R2314,$R2314)=1,1,0))</f>
        <v>0</v>
      </c>
      <c r="T2314" t="str">
        <f t="shared" si="549"/>
        <v/>
      </c>
      <c r="U2314" t="str">
        <f>IF($A2314="","",IF($A2314=经营数据!$B$3,COUNTIFS($S$2:$S$3000,1,$A$2:$A$3000,$A2314,$T$2:$T$3000,"&lt;"&amp;$T2314)+1,""))</f>
        <v/>
      </c>
      <c r="V2314" t="str">
        <f t="shared" si="550"/>
        <v/>
      </c>
      <c r="W2314" t="str">
        <f t="shared" si="551"/>
        <v/>
      </c>
      <c r="X2314" t="str">
        <f t="shared" si="552"/>
        <v/>
      </c>
      <c r="Y2314" t="str">
        <f t="shared" si="553"/>
        <v/>
      </c>
      <c r="Z2314">
        <f>IF($A2314="",0,IF(AND($M2314=1,$A2314=经营数据!$B$3,$J2314=经营数据!$BA$5,OR($I2314=经营数据!$BA$4,COUNTIF(经营数据!$AA$9:$AA$38,$I2314)&gt;0)),1,0))</f>
        <v>0</v>
      </c>
      <c r="AA2314" t="str">
        <f t="shared" si="554"/>
        <v/>
      </c>
      <c r="AB2314" t="str">
        <f t="shared" si="555"/>
        <v/>
      </c>
      <c r="AC2314">
        <f>IF($A2314="",0,IF(COUNTIF($A$2:$A2314,$A2314)=1,1,0))</f>
        <v>0</v>
      </c>
      <c r="AD2314">
        <f t="shared" si="556"/>
        <v>29</v>
      </c>
      <c r="AE2314" t="str">
        <f t="shared" si="557"/>
        <v/>
      </c>
    </row>
    <row r="2315" spans="1:31" x14ac:dyDescent="0.4">
      <c r="A2315" t="str">
        <f>IF(原始经营数据!$D2316="","",原始经营数据!$D2316)</f>
        <v/>
      </c>
      <c r="B2315" t="str">
        <f>IF(原始经营数据!$D2316="","",T(原始经营数据!$E2316))</f>
        <v/>
      </c>
      <c r="C2315" t="str">
        <f>IF(原始经营数据!$D2316="","",原始经营数据!$F2316)</f>
        <v/>
      </c>
      <c r="D2315" t="str">
        <f>IF(原始经营数据!$D2316="","",原始经营数据!$H2316)</f>
        <v/>
      </c>
      <c r="E2315" t="str">
        <f>IF(原始经营数据!$D2316="","",原始经营数据!$I2316)</f>
        <v/>
      </c>
      <c r="F2315" t="str">
        <f>IF(原始经营数据!$D2316="","",T(原始经营数据!$J2316))</f>
        <v/>
      </c>
      <c r="G2315" t="str">
        <f>IF(原始经营数据!$D2316="","",T(原始经营数据!$K2316))</f>
        <v/>
      </c>
      <c r="H2315" t="str">
        <f>IF(原始经营数据!$D2316="","",原始经营数据!$G2316)</f>
        <v/>
      </c>
      <c r="I2315" t="str">
        <f>IF($A2315="","",IF($B2315&lt;&gt;"",$B2315,IF(COUNTIFS(原始经营数据!$D$3:$D$3001,$A2315,原始经营数据!$E$3:$E$3001,"",原始经营数据!$F$3:$F$3001,$C2315,原始经营数据!$H$3:$H$3001,$D2315,原始经营数据!$K$3:$K$3001,$G2315)&gt;1,"基金整体·来源"&amp;原始经营数据!$A2316,"基金整体")))</f>
        <v/>
      </c>
      <c r="J2315" t="str">
        <f t="shared" si="543"/>
        <v/>
      </c>
      <c r="K2315" t="str">
        <f t="shared" si="544"/>
        <v/>
      </c>
      <c r="L2315" t="str">
        <f t="shared" si="545"/>
        <v/>
      </c>
      <c r="M2315">
        <f>IF($A2315="",0,IF(COUNTIF($L$2:$L2315,$L2315)=1,1,0))</f>
        <v>0</v>
      </c>
      <c r="N2315" t="str">
        <f t="shared" si="546"/>
        <v/>
      </c>
      <c r="O2315" t="str">
        <f t="shared" si="547"/>
        <v/>
      </c>
      <c r="P2315">
        <f>IF($A2315="",0,IF(COUNTIF($O$2:$O2315,$O2315)=1,1,0))</f>
        <v>0</v>
      </c>
      <c r="Q2315" t="str">
        <f>IF(AND($P2315=1,$A2315=经营数据!$B$3,$J2315=经营数据!$BA$5),COUNTIFS($P$2:$P$3000,1,$A$2:$A$3000,$A2315,$J$2:$J$3000,$J2315,$N$2:$N$3000,"&lt;"&amp;$N2315)+1,"")</f>
        <v/>
      </c>
      <c r="R2315" t="str">
        <f t="shared" si="548"/>
        <v/>
      </c>
      <c r="S2315">
        <f>IF($A2315="",0,IF(COUNTIF($R$2:$R2315,$R2315)=1,1,0))</f>
        <v>0</v>
      </c>
      <c r="T2315" t="str">
        <f t="shared" si="549"/>
        <v/>
      </c>
      <c r="U2315" t="str">
        <f>IF($A2315="","",IF($A2315=经营数据!$B$3,COUNTIFS($S$2:$S$3000,1,$A$2:$A$3000,$A2315,$T$2:$T$3000,"&lt;"&amp;$T2315)+1,""))</f>
        <v/>
      </c>
      <c r="V2315" t="str">
        <f t="shared" si="550"/>
        <v/>
      </c>
      <c r="W2315" t="str">
        <f t="shared" si="551"/>
        <v/>
      </c>
      <c r="X2315" t="str">
        <f t="shared" si="552"/>
        <v/>
      </c>
      <c r="Y2315" t="str">
        <f t="shared" si="553"/>
        <v/>
      </c>
      <c r="Z2315">
        <f>IF($A2315="",0,IF(AND($M2315=1,$A2315=经营数据!$B$3,$J2315=经营数据!$BA$5,OR($I2315=经营数据!$BA$4,COUNTIF(经营数据!$AA$9:$AA$38,$I2315)&gt;0)),1,0))</f>
        <v>0</v>
      </c>
      <c r="AA2315" t="str">
        <f t="shared" si="554"/>
        <v/>
      </c>
      <c r="AB2315" t="str">
        <f t="shared" si="555"/>
        <v/>
      </c>
      <c r="AC2315">
        <f>IF($A2315="",0,IF(COUNTIF($A$2:$A2315,$A2315)=1,1,0))</f>
        <v>0</v>
      </c>
      <c r="AD2315">
        <f t="shared" si="556"/>
        <v>29</v>
      </c>
      <c r="AE2315" t="str">
        <f t="shared" si="557"/>
        <v/>
      </c>
    </row>
    <row r="2316" spans="1:31" x14ac:dyDescent="0.4">
      <c r="A2316" t="str">
        <f>IF(原始经营数据!$D2317="","",原始经营数据!$D2317)</f>
        <v/>
      </c>
      <c r="B2316" t="str">
        <f>IF(原始经营数据!$D2317="","",T(原始经营数据!$E2317))</f>
        <v/>
      </c>
      <c r="C2316" t="str">
        <f>IF(原始经营数据!$D2317="","",原始经营数据!$F2317)</f>
        <v/>
      </c>
      <c r="D2316" t="str">
        <f>IF(原始经营数据!$D2317="","",原始经营数据!$H2317)</f>
        <v/>
      </c>
      <c r="E2316" t="str">
        <f>IF(原始经营数据!$D2317="","",原始经营数据!$I2317)</f>
        <v/>
      </c>
      <c r="F2316" t="str">
        <f>IF(原始经营数据!$D2317="","",T(原始经营数据!$J2317))</f>
        <v/>
      </c>
      <c r="G2316" t="str">
        <f>IF(原始经营数据!$D2317="","",T(原始经营数据!$K2317))</f>
        <v/>
      </c>
      <c r="H2316" t="str">
        <f>IF(原始经营数据!$D2317="","",原始经营数据!$G2317)</f>
        <v/>
      </c>
      <c r="I2316" t="str">
        <f>IF($A2316="","",IF($B2316&lt;&gt;"",$B2316,IF(COUNTIFS(原始经营数据!$D$3:$D$3001,$A2316,原始经营数据!$E$3:$E$3001,"",原始经营数据!$F$3:$F$3001,$C2316,原始经营数据!$H$3:$H$3001,$D2316,原始经营数据!$K$3:$K$3001,$G2316)&gt;1,"基金整体·来源"&amp;原始经营数据!$A2317,"基金整体")))</f>
        <v/>
      </c>
      <c r="J2316" t="str">
        <f t="shared" si="543"/>
        <v/>
      </c>
      <c r="K2316" t="str">
        <f t="shared" si="544"/>
        <v/>
      </c>
      <c r="L2316" t="str">
        <f t="shared" si="545"/>
        <v/>
      </c>
      <c r="M2316">
        <f>IF($A2316="",0,IF(COUNTIF($L$2:$L2316,$L2316)=1,1,0))</f>
        <v>0</v>
      </c>
      <c r="N2316" t="str">
        <f t="shared" si="546"/>
        <v/>
      </c>
      <c r="O2316" t="str">
        <f t="shared" si="547"/>
        <v/>
      </c>
      <c r="P2316">
        <f>IF($A2316="",0,IF(COUNTIF($O$2:$O2316,$O2316)=1,1,0))</f>
        <v>0</v>
      </c>
      <c r="Q2316" t="str">
        <f>IF(AND($P2316=1,$A2316=经营数据!$B$3,$J2316=经营数据!$BA$5),COUNTIFS($P$2:$P$3000,1,$A$2:$A$3000,$A2316,$J$2:$J$3000,$J2316,$N$2:$N$3000,"&lt;"&amp;$N2316)+1,"")</f>
        <v/>
      </c>
      <c r="R2316" t="str">
        <f t="shared" si="548"/>
        <v/>
      </c>
      <c r="S2316">
        <f>IF($A2316="",0,IF(COUNTIF($R$2:$R2316,$R2316)=1,1,0))</f>
        <v>0</v>
      </c>
      <c r="T2316" t="str">
        <f t="shared" si="549"/>
        <v/>
      </c>
      <c r="U2316" t="str">
        <f>IF($A2316="","",IF($A2316=经营数据!$B$3,COUNTIFS($S$2:$S$3000,1,$A$2:$A$3000,$A2316,$T$2:$T$3000,"&lt;"&amp;$T2316)+1,""))</f>
        <v/>
      </c>
      <c r="V2316" t="str">
        <f t="shared" si="550"/>
        <v/>
      </c>
      <c r="W2316" t="str">
        <f t="shared" si="551"/>
        <v/>
      </c>
      <c r="X2316" t="str">
        <f t="shared" si="552"/>
        <v/>
      </c>
      <c r="Y2316" t="str">
        <f t="shared" si="553"/>
        <v/>
      </c>
      <c r="Z2316">
        <f>IF($A2316="",0,IF(AND($M2316=1,$A2316=经营数据!$B$3,$J2316=经营数据!$BA$5,OR($I2316=经营数据!$BA$4,COUNTIF(经营数据!$AA$9:$AA$38,$I2316)&gt;0)),1,0))</f>
        <v>0</v>
      </c>
      <c r="AA2316" t="str">
        <f t="shared" si="554"/>
        <v/>
      </c>
      <c r="AB2316" t="str">
        <f t="shared" si="555"/>
        <v/>
      </c>
      <c r="AC2316">
        <f>IF($A2316="",0,IF(COUNTIF($A$2:$A2316,$A2316)=1,1,0))</f>
        <v>0</v>
      </c>
      <c r="AD2316">
        <f t="shared" si="556"/>
        <v>29</v>
      </c>
      <c r="AE2316" t="str">
        <f t="shared" si="557"/>
        <v/>
      </c>
    </row>
    <row r="2317" spans="1:31" x14ac:dyDescent="0.4">
      <c r="A2317" t="str">
        <f>IF(原始经营数据!$D2318="","",原始经营数据!$D2318)</f>
        <v/>
      </c>
      <c r="B2317" t="str">
        <f>IF(原始经营数据!$D2318="","",T(原始经营数据!$E2318))</f>
        <v/>
      </c>
      <c r="C2317" t="str">
        <f>IF(原始经营数据!$D2318="","",原始经营数据!$F2318)</f>
        <v/>
      </c>
      <c r="D2317" t="str">
        <f>IF(原始经营数据!$D2318="","",原始经营数据!$H2318)</f>
        <v/>
      </c>
      <c r="E2317" t="str">
        <f>IF(原始经营数据!$D2318="","",原始经营数据!$I2318)</f>
        <v/>
      </c>
      <c r="F2317" t="str">
        <f>IF(原始经营数据!$D2318="","",T(原始经营数据!$J2318))</f>
        <v/>
      </c>
      <c r="G2317" t="str">
        <f>IF(原始经营数据!$D2318="","",T(原始经营数据!$K2318))</f>
        <v/>
      </c>
      <c r="H2317" t="str">
        <f>IF(原始经营数据!$D2318="","",原始经营数据!$G2318)</f>
        <v/>
      </c>
      <c r="I2317" t="str">
        <f>IF($A2317="","",IF($B2317&lt;&gt;"",$B2317,IF(COUNTIFS(原始经营数据!$D$3:$D$3001,$A2317,原始经营数据!$E$3:$E$3001,"",原始经营数据!$F$3:$F$3001,$C2317,原始经营数据!$H$3:$H$3001,$D2317,原始经营数据!$K$3:$K$3001,$G2317)&gt;1,"基金整体·来源"&amp;原始经营数据!$A2318,"基金整体")))</f>
        <v/>
      </c>
      <c r="J2317" t="str">
        <f t="shared" si="543"/>
        <v/>
      </c>
      <c r="K2317" t="str">
        <f t="shared" si="544"/>
        <v/>
      </c>
      <c r="L2317" t="str">
        <f t="shared" si="545"/>
        <v/>
      </c>
      <c r="M2317">
        <f>IF($A2317="",0,IF(COUNTIF($L$2:$L2317,$L2317)=1,1,0))</f>
        <v>0</v>
      </c>
      <c r="N2317" t="str">
        <f t="shared" si="546"/>
        <v/>
      </c>
      <c r="O2317" t="str">
        <f t="shared" si="547"/>
        <v/>
      </c>
      <c r="P2317">
        <f>IF($A2317="",0,IF(COUNTIF($O$2:$O2317,$O2317)=1,1,0))</f>
        <v>0</v>
      </c>
      <c r="Q2317" t="str">
        <f>IF(AND($P2317=1,$A2317=经营数据!$B$3,$J2317=经营数据!$BA$5),COUNTIFS($P$2:$P$3000,1,$A$2:$A$3000,$A2317,$J$2:$J$3000,$J2317,$N$2:$N$3000,"&lt;"&amp;$N2317)+1,"")</f>
        <v/>
      </c>
      <c r="R2317" t="str">
        <f t="shared" si="548"/>
        <v/>
      </c>
      <c r="S2317">
        <f>IF($A2317="",0,IF(COUNTIF($R$2:$R2317,$R2317)=1,1,0))</f>
        <v>0</v>
      </c>
      <c r="T2317" t="str">
        <f t="shared" si="549"/>
        <v/>
      </c>
      <c r="U2317" t="str">
        <f>IF($A2317="","",IF($A2317=经营数据!$B$3,COUNTIFS($S$2:$S$3000,1,$A$2:$A$3000,$A2317,$T$2:$T$3000,"&lt;"&amp;$T2317)+1,""))</f>
        <v/>
      </c>
      <c r="V2317" t="str">
        <f t="shared" si="550"/>
        <v/>
      </c>
      <c r="W2317" t="str">
        <f t="shared" si="551"/>
        <v/>
      </c>
      <c r="X2317" t="str">
        <f t="shared" si="552"/>
        <v/>
      </c>
      <c r="Y2317" t="str">
        <f t="shared" si="553"/>
        <v/>
      </c>
      <c r="Z2317">
        <f>IF($A2317="",0,IF(AND($M2317=1,$A2317=经营数据!$B$3,$J2317=经营数据!$BA$5,OR($I2317=经营数据!$BA$4,COUNTIF(经营数据!$AA$9:$AA$38,$I2317)&gt;0)),1,0))</f>
        <v>0</v>
      </c>
      <c r="AA2317" t="str">
        <f t="shared" si="554"/>
        <v/>
      </c>
      <c r="AB2317" t="str">
        <f t="shared" si="555"/>
        <v/>
      </c>
      <c r="AC2317">
        <f>IF($A2317="",0,IF(COUNTIF($A$2:$A2317,$A2317)=1,1,0))</f>
        <v>0</v>
      </c>
      <c r="AD2317">
        <f t="shared" si="556"/>
        <v>29</v>
      </c>
      <c r="AE2317" t="str">
        <f t="shared" si="557"/>
        <v/>
      </c>
    </row>
    <row r="2318" spans="1:31" x14ac:dyDescent="0.4">
      <c r="A2318" t="str">
        <f>IF(原始经营数据!$D2319="","",原始经营数据!$D2319)</f>
        <v/>
      </c>
      <c r="B2318" t="str">
        <f>IF(原始经营数据!$D2319="","",T(原始经营数据!$E2319))</f>
        <v/>
      </c>
      <c r="C2318" t="str">
        <f>IF(原始经营数据!$D2319="","",原始经营数据!$F2319)</f>
        <v/>
      </c>
      <c r="D2318" t="str">
        <f>IF(原始经营数据!$D2319="","",原始经营数据!$H2319)</f>
        <v/>
      </c>
      <c r="E2318" t="str">
        <f>IF(原始经营数据!$D2319="","",原始经营数据!$I2319)</f>
        <v/>
      </c>
      <c r="F2318" t="str">
        <f>IF(原始经营数据!$D2319="","",T(原始经营数据!$J2319))</f>
        <v/>
      </c>
      <c r="G2318" t="str">
        <f>IF(原始经营数据!$D2319="","",T(原始经营数据!$K2319))</f>
        <v/>
      </c>
      <c r="H2318" t="str">
        <f>IF(原始经营数据!$D2319="","",原始经营数据!$G2319)</f>
        <v/>
      </c>
      <c r="I2318" t="str">
        <f>IF($A2318="","",IF($B2318&lt;&gt;"",$B2318,IF(COUNTIFS(原始经营数据!$D$3:$D$3001,$A2318,原始经营数据!$E$3:$E$3001,"",原始经营数据!$F$3:$F$3001,$C2318,原始经营数据!$H$3:$H$3001,$D2318,原始经营数据!$K$3:$K$3001,$G2318)&gt;1,"基金整体·来源"&amp;原始经营数据!$A2319,"基金整体")))</f>
        <v/>
      </c>
      <c r="J2318" t="str">
        <f t="shared" si="543"/>
        <v/>
      </c>
      <c r="K2318" t="str">
        <f t="shared" si="544"/>
        <v/>
      </c>
      <c r="L2318" t="str">
        <f t="shared" si="545"/>
        <v/>
      </c>
      <c r="M2318">
        <f>IF($A2318="",0,IF(COUNTIF($L$2:$L2318,$L2318)=1,1,0))</f>
        <v>0</v>
      </c>
      <c r="N2318" t="str">
        <f t="shared" si="546"/>
        <v/>
      </c>
      <c r="O2318" t="str">
        <f t="shared" si="547"/>
        <v/>
      </c>
      <c r="P2318">
        <f>IF($A2318="",0,IF(COUNTIF($O$2:$O2318,$O2318)=1,1,0))</f>
        <v>0</v>
      </c>
      <c r="Q2318" t="str">
        <f>IF(AND($P2318=1,$A2318=经营数据!$B$3,$J2318=经营数据!$BA$5),COUNTIFS($P$2:$P$3000,1,$A$2:$A$3000,$A2318,$J$2:$J$3000,$J2318,$N$2:$N$3000,"&lt;"&amp;$N2318)+1,"")</f>
        <v/>
      </c>
      <c r="R2318" t="str">
        <f t="shared" si="548"/>
        <v/>
      </c>
      <c r="S2318">
        <f>IF($A2318="",0,IF(COUNTIF($R$2:$R2318,$R2318)=1,1,0))</f>
        <v>0</v>
      </c>
      <c r="T2318" t="str">
        <f t="shared" si="549"/>
        <v/>
      </c>
      <c r="U2318" t="str">
        <f>IF($A2318="","",IF($A2318=经营数据!$B$3,COUNTIFS($S$2:$S$3000,1,$A$2:$A$3000,$A2318,$T$2:$T$3000,"&lt;"&amp;$T2318)+1,""))</f>
        <v/>
      </c>
      <c r="V2318" t="str">
        <f t="shared" si="550"/>
        <v/>
      </c>
      <c r="W2318" t="str">
        <f t="shared" si="551"/>
        <v/>
      </c>
      <c r="X2318" t="str">
        <f t="shared" si="552"/>
        <v/>
      </c>
      <c r="Y2318" t="str">
        <f t="shared" si="553"/>
        <v/>
      </c>
      <c r="Z2318">
        <f>IF($A2318="",0,IF(AND($M2318=1,$A2318=经营数据!$B$3,$J2318=经营数据!$BA$5,OR($I2318=经营数据!$BA$4,COUNTIF(经营数据!$AA$9:$AA$38,$I2318)&gt;0)),1,0))</f>
        <v>0</v>
      </c>
      <c r="AA2318" t="str">
        <f t="shared" si="554"/>
        <v/>
      </c>
      <c r="AB2318" t="str">
        <f t="shared" si="555"/>
        <v/>
      </c>
      <c r="AC2318">
        <f>IF($A2318="",0,IF(COUNTIF($A$2:$A2318,$A2318)=1,1,0))</f>
        <v>0</v>
      </c>
      <c r="AD2318">
        <f t="shared" si="556"/>
        <v>29</v>
      </c>
      <c r="AE2318" t="str">
        <f t="shared" si="557"/>
        <v/>
      </c>
    </row>
    <row r="2319" spans="1:31" x14ac:dyDescent="0.4">
      <c r="A2319" t="str">
        <f>IF(原始经营数据!$D2320="","",原始经营数据!$D2320)</f>
        <v/>
      </c>
      <c r="B2319" t="str">
        <f>IF(原始经营数据!$D2320="","",T(原始经营数据!$E2320))</f>
        <v/>
      </c>
      <c r="C2319" t="str">
        <f>IF(原始经营数据!$D2320="","",原始经营数据!$F2320)</f>
        <v/>
      </c>
      <c r="D2319" t="str">
        <f>IF(原始经营数据!$D2320="","",原始经营数据!$H2320)</f>
        <v/>
      </c>
      <c r="E2319" t="str">
        <f>IF(原始经营数据!$D2320="","",原始经营数据!$I2320)</f>
        <v/>
      </c>
      <c r="F2319" t="str">
        <f>IF(原始经营数据!$D2320="","",T(原始经营数据!$J2320))</f>
        <v/>
      </c>
      <c r="G2319" t="str">
        <f>IF(原始经营数据!$D2320="","",T(原始经营数据!$K2320))</f>
        <v/>
      </c>
      <c r="H2319" t="str">
        <f>IF(原始经营数据!$D2320="","",原始经营数据!$G2320)</f>
        <v/>
      </c>
      <c r="I2319" t="str">
        <f>IF($A2319="","",IF($B2319&lt;&gt;"",$B2319,IF(COUNTIFS(原始经营数据!$D$3:$D$3001,$A2319,原始经营数据!$E$3:$E$3001,"",原始经营数据!$F$3:$F$3001,$C2319,原始经营数据!$H$3:$H$3001,$D2319,原始经营数据!$K$3:$K$3001,$G2319)&gt;1,"基金整体·来源"&amp;原始经营数据!$A2320,"基金整体")))</f>
        <v/>
      </c>
      <c r="J2319" t="str">
        <f t="shared" si="543"/>
        <v/>
      </c>
      <c r="K2319" t="str">
        <f t="shared" si="544"/>
        <v/>
      </c>
      <c r="L2319" t="str">
        <f t="shared" si="545"/>
        <v/>
      </c>
      <c r="M2319">
        <f>IF($A2319="",0,IF(COUNTIF($L$2:$L2319,$L2319)=1,1,0))</f>
        <v>0</v>
      </c>
      <c r="N2319" t="str">
        <f t="shared" si="546"/>
        <v/>
      </c>
      <c r="O2319" t="str">
        <f t="shared" si="547"/>
        <v/>
      </c>
      <c r="P2319">
        <f>IF($A2319="",0,IF(COUNTIF($O$2:$O2319,$O2319)=1,1,0))</f>
        <v>0</v>
      </c>
      <c r="Q2319" t="str">
        <f>IF(AND($P2319=1,$A2319=经营数据!$B$3,$J2319=经营数据!$BA$5),COUNTIFS($P$2:$P$3000,1,$A$2:$A$3000,$A2319,$J$2:$J$3000,$J2319,$N$2:$N$3000,"&lt;"&amp;$N2319)+1,"")</f>
        <v/>
      </c>
      <c r="R2319" t="str">
        <f t="shared" si="548"/>
        <v/>
      </c>
      <c r="S2319">
        <f>IF($A2319="",0,IF(COUNTIF($R$2:$R2319,$R2319)=1,1,0))</f>
        <v>0</v>
      </c>
      <c r="T2319" t="str">
        <f t="shared" si="549"/>
        <v/>
      </c>
      <c r="U2319" t="str">
        <f>IF($A2319="","",IF($A2319=经营数据!$B$3,COUNTIFS($S$2:$S$3000,1,$A$2:$A$3000,$A2319,$T$2:$T$3000,"&lt;"&amp;$T2319)+1,""))</f>
        <v/>
      </c>
      <c r="V2319" t="str">
        <f t="shared" si="550"/>
        <v/>
      </c>
      <c r="W2319" t="str">
        <f t="shared" si="551"/>
        <v/>
      </c>
      <c r="X2319" t="str">
        <f t="shared" si="552"/>
        <v/>
      </c>
      <c r="Y2319" t="str">
        <f t="shared" si="553"/>
        <v/>
      </c>
      <c r="Z2319">
        <f>IF($A2319="",0,IF(AND($M2319=1,$A2319=经营数据!$B$3,$J2319=经营数据!$BA$5,OR($I2319=经营数据!$BA$4,COUNTIF(经营数据!$AA$9:$AA$38,$I2319)&gt;0)),1,0))</f>
        <v>0</v>
      </c>
      <c r="AA2319" t="str">
        <f t="shared" si="554"/>
        <v/>
      </c>
      <c r="AB2319" t="str">
        <f t="shared" si="555"/>
        <v/>
      </c>
      <c r="AC2319">
        <f>IF($A2319="",0,IF(COUNTIF($A$2:$A2319,$A2319)=1,1,0))</f>
        <v>0</v>
      </c>
      <c r="AD2319">
        <f t="shared" si="556"/>
        <v>29</v>
      </c>
      <c r="AE2319" t="str">
        <f t="shared" si="557"/>
        <v/>
      </c>
    </row>
    <row r="2320" spans="1:31" x14ac:dyDescent="0.4">
      <c r="A2320" t="str">
        <f>IF(原始经营数据!$D2321="","",原始经营数据!$D2321)</f>
        <v/>
      </c>
      <c r="B2320" t="str">
        <f>IF(原始经营数据!$D2321="","",T(原始经营数据!$E2321))</f>
        <v/>
      </c>
      <c r="C2320" t="str">
        <f>IF(原始经营数据!$D2321="","",原始经营数据!$F2321)</f>
        <v/>
      </c>
      <c r="D2320" t="str">
        <f>IF(原始经营数据!$D2321="","",原始经营数据!$H2321)</f>
        <v/>
      </c>
      <c r="E2320" t="str">
        <f>IF(原始经营数据!$D2321="","",原始经营数据!$I2321)</f>
        <v/>
      </c>
      <c r="F2320" t="str">
        <f>IF(原始经营数据!$D2321="","",T(原始经营数据!$J2321))</f>
        <v/>
      </c>
      <c r="G2320" t="str">
        <f>IF(原始经营数据!$D2321="","",T(原始经营数据!$K2321))</f>
        <v/>
      </c>
      <c r="H2320" t="str">
        <f>IF(原始经营数据!$D2321="","",原始经营数据!$G2321)</f>
        <v/>
      </c>
      <c r="I2320" t="str">
        <f>IF($A2320="","",IF($B2320&lt;&gt;"",$B2320,IF(COUNTIFS(原始经营数据!$D$3:$D$3001,$A2320,原始经营数据!$E$3:$E$3001,"",原始经营数据!$F$3:$F$3001,$C2320,原始经营数据!$H$3:$H$3001,$D2320,原始经营数据!$K$3:$K$3001,$G2320)&gt;1,"基金整体·来源"&amp;原始经营数据!$A2321,"基金整体")))</f>
        <v/>
      </c>
      <c r="J2320" t="str">
        <f t="shared" si="543"/>
        <v/>
      </c>
      <c r="K2320" t="str">
        <f t="shared" si="544"/>
        <v/>
      </c>
      <c r="L2320" t="str">
        <f t="shared" si="545"/>
        <v/>
      </c>
      <c r="M2320">
        <f>IF($A2320="",0,IF(COUNTIF($L$2:$L2320,$L2320)=1,1,0))</f>
        <v>0</v>
      </c>
      <c r="N2320" t="str">
        <f t="shared" si="546"/>
        <v/>
      </c>
      <c r="O2320" t="str">
        <f t="shared" si="547"/>
        <v/>
      </c>
      <c r="P2320">
        <f>IF($A2320="",0,IF(COUNTIF($O$2:$O2320,$O2320)=1,1,0))</f>
        <v>0</v>
      </c>
      <c r="Q2320" t="str">
        <f>IF(AND($P2320=1,$A2320=经营数据!$B$3,$J2320=经营数据!$BA$5),COUNTIFS($P$2:$P$3000,1,$A$2:$A$3000,$A2320,$J$2:$J$3000,$J2320,$N$2:$N$3000,"&lt;"&amp;$N2320)+1,"")</f>
        <v/>
      </c>
      <c r="R2320" t="str">
        <f t="shared" si="548"/>
        <v/>
      </c>
      <c r="S2320">
        <f>IF($A2320="",0,IF(COUNTIF($R$2:$R2320,$R2320)=1,1,0))</f>
        <v>0</v>
      </c>
      <c r="T2320" t="str">
        <f t="shared" si="549"/>
        <v/>
      </c>
      <c r="U2320" t="str">
        <f>IF($A2320="","",IF($A2320=经营数据!$B$3,COUNTIFS($S$2:$S$3000,1,$A$2:$A$3000,$A2320,$T$2:$T$3000,"&lt;"&amp;$T2320)+1,""))</f>
        <v/>
      </c>
      <c r="V2320" t="str">
        <f t="shared" si="550"/>
        <v/>
      </c>
      <c r="W2320" t="str">
        <f t="shared" si="551"/>
        <v/>
      </c>
      <c r="X2320" t="str">
        <f t="shared" si="552"/>
        <v/>
      </c>
      <c r="Y2320" t="str">
        <f t="shared" si="553"/>
        <v/>
      </c>
      <c r="Z2320">
        <f>IF($A2320="",0,IF(AND($M2320=1,$A2320=经营数据!$B$3,$J2320=经营数据!$BA$5,OR($I2320=经营数据!$BA$4,COUNTIF(经营数据!$AA$9:$AA$38,$I2320)&gt;0)),1,0))</f>
        <v>0</v>
      </c>
      <c r="AA2320" t="str">
        <f t="shared" si="554"/>
        <v/>
      </c>
      <c r="AB2320" t="str">
        <f t="shared" si="555"/>
        <v/>
      </c>
      <c r="AC2320">
        <f>IF($A2320="",0,IF(COUNTIF($A$2:$A2320,$A2320)=1,1,0))</f>
        <v>0</v>
      </c>
      <c r="AD2320">
        <f t="shared" si="556"/>
        <v>29</v>
      </c>
      <c r="AE2320" t="str">
        <f t="shared" si="557"/>
        <v/>
      </c>
    </row>
    <row r="2321" spans="1:31" x14ac:dyDescent="0.4">
      <c r="A2321" t="str">
        <f>IF(原始经营数据!$D2322="","",原始经营数据!$D2322)</f>
        <v/>
      </c>
      <c r="B2321" t="str">
        <f>IF(原始经营数据!$D2322="","",T(原始经营数据!$E2322))</f>
        <v/>
      </c>
      <c r="C2321" t="str">
        <f>IF(原始经营数据!$D2322="","",原始经营数据!$F2322)</f>
        <v/>
      </c>
      <c r="D2321" t="str">
        <f>IF(原始经营数据!$D2322="","",原始经营数据!$H2322)</f>
        <v/>
      </c>
      <c r="E2321" t="str">
        <f>IF(原始经营数据!$D2322="","",原始经营数据!$I2322)</f>
        <v/>
      </c>
      <c r="F2321" t="str">
        <f>IF(原始经营数据!$D2322="","",T(原始经营数据!$J2322))</f>
        <v/>
      </c>
      <c r="G2321" t="str">
        <f>IF(原始经营数据!$D2322="","",T(原始经营数据!$K2322))</f>
        <v/>
      </c>
      <c r="H2321" t="str">
        <f>IF(原始经营数据!$D2322="","",原始经营数据!$G2322)</f>
        <v/>
      </c>
      <c r="I2321" t="str">
        <f>IF($A2321="","",IF($B2321&lt;&gt;"",$B2321,IF(COUNTIFS(原始经营数据!$D$3:$D$3001,$A2321,原始经营数据!$E$3:$E$3001,"",原始经营数据!$F$3:$F$3001,$C2321,原始经营数据!$H$3:$H$3001,$D2321,原始经营数据!$K$3:$K$3001,$G2321)&gt;1,"基金整体·来源"&amp;原始经营数据!$A2322,"基金整体")))</f>
        <v/>
      </c>
      <c r="J2321" t="str">
        <f t="shared" si="543"/>
        <v/>
      </c>
      <c r="K2321" t="str">
        <f t="shared" si="544"/>
        <v/>
      </c>
      <c r="L2321" t="str">
        <f t="shared" si="545"/>
        <v/>
      </c>
      <c r="M2321">
        <f>IF($A2321="",0,IF(COUNTIF($L$2:$L2321,$L2321)=1,1,0))</f>
        <v>0</v>
      </c>
      <c r="N2321" t="str">
        <f t="shared" si="546"/>
        <v/>
      </c>
      <c r="O2321" t="str">
        <f t="shared" si="547"/>
        <v/>
      </c>
      <c r="P2321">
        <f>IF($A2321="",0,IF(COUNTIF($O$2:$O2321,$O2321)=1,1,0))</f>
        <v>0</v>
      </c>
      <c r="Q2321" t="str">
        <f>IF(AND($P2321=1,$A2321=经营数据!$B$3,$J2321=经营数据!$BA$5),COUNTIFS($P$2:$P$3000,1,$A$2:$A$3000,$A2321,$J$2:$J$3000,$J2321,$N$2:$N$3000,"&lt;"&amp;$N2321)+1,"")</f>
        <v/>
      </c>
      <c r="R2321" t="str">
        <f t="shared" si="548"/>
        <v/>
      </c>
      <c r="S2321">
        <f>IF($A2321="",0,IF(COUNTIF($R$2:$R2321,$R2321)=1,1,0))</f>
        <v>0</v>
      </c>
      <c r="T2321" t="str">
        <f t="shared" si="549"/>
        <v/>
      </c>
      <c r="U2321" t="str">
        <f>IF($A2321="","",IF($A2321=经营数据!$B$3,COUNTIFS($S$2:$S$3000,1,$A$2:$A$3000,$A2321,$T$2:$T$3000,"&lt;"&amp;$T2321)+1,""))</f>
        <v/>
      </c>
      <c r="V2321" t="str">
        <f t="shared" si="550"/>
        <v/>
      </c>
      <c r="W2321" t="str">
        <f t="shared" si="551"/>
        <v/>
      </c>
      <c r="X2321" t="str">
        <f t="shared" si="552"/>
        <v/>
      </c>
      <c r="Y2321" t="str">
        <f t="shared" si="553"/>
        <v/>
      </c>
      <c r="Z2321">
        <f>IF($A2321="",0,IF(AND($M2321=1,$A2321=经营数据!$B$3,$J2321=经营数据!$BA$5,OR($I2321=经营数据!$BA$4,COUNTIF(经营数据!$AA$9:$AA$38,$I2321)&gt;0)),1,0))</f>
        <v>0</v>
      </c>
      <c r="AA2321" t="str">
        <f t="shared" si="554"/>
        <v/>
      </c>
      <c r="AB2321" t="str">
        <f t="shared" si="555"/>
        <v/>
      </c>
      <c r="AC2321">
        <f>IF($A2321="",0,IF(COUNTIF($A$2:$A2321,$A2321)=1,1,0))</f>
        <v>0</v>
      </c>
      <c r="AD2321">
        <f t="shared" si="556"/>
        <v>29</v>
      </c>
      <c r="AE2321" t="str">
        <f t="shared" si="557"/>
        <v/>
      </c>
    </row>
    <row r="2322" spans="1:31" x14ac:dyDescent="0.4">
      <c r="A2322" t="str">
        <f>IF(原始经营数据!$D2323="","",原始经营数据!$D2323)</f>
        <v/>
      </c>
      <c r="B2322" t="str">
        <f>IF(原始经营数据!$D2323="","",T(原始经营数据!$E2323))</f>
        <v/>
      </c>
      <c r="C2322" t="str">
        <f>IF(原始经营数据!$D2323="","",原始经营数据!$F2323)</f>
        <v/>
      </c>
      <c r="D2322" t="str">
        <f>IF(原始经营数据!$D2323="","",原始经营数据!$H2323)</f>
        <v/>
      </c>
      <c r="E2322" t="str">
        <f>IF(原始经营数据!$D2323="","",原始经营数据!$I2323)</f>
        <v/>
      </c>
      <c r="F2322" t="str">
        <f>IF(原始经营数据!$D2323="","",T(原始经营数据!$J2323))</f>
        <v/>
      </c>
      <c r="G2322" t="str">
        <f>IF(原始经营数据!$D2323="","",T(原始经营数据!$K2323))</f>
        <v/>
      </c>
      <c r="H2322" t="str">
        <f>IF(原始经营数据!$D2323="","",原始经营数据!$G2323)</f>
        <v/>
      </c>
      <c r="I2322" t="str">
        <f>IF($A2322="","",IF($B2322&lt;&gt;"",$B2322,IF(COUNTIFS(原始经营数据!$D$3:$D$3001,$A2322,原始经营数据!$E$3:$E$3001,"",原始经营数据!$F$3:$F$3001,$C2322,原始经营数据!$H$3:$H$3001,$D2322,原始经营数据!$K$3:$K$3001,$G2322)&gt;1,"基金整体·来源"&amp;原始经营数据!$A2323,"基金整体")))</f>
        <v/>
      </c>
      <c r="J2322" t="str">
        <f t="shared" si="543"/>
        <v/>
      </c>
      <c r="K2322" t="str">
        <f t="shared" si="544"/>
        <v/>
      </c>
      <c r="L2322" t="str">
        <f t="shared" si="545"/>
        <v/>
      </c>
      <c r="M2322">
        <f>IF($A2322="",0,IF(COUNTIF($L$2:$L2322,$L2322)=1,1,0))</f>
        <v>0</v>
      </c>
      <c r="N2322" t="str">
        <f t="shared" si="546"/>
        <v/>
      </c>
      <c r="O2322" t="str">
        <f t="shared" si="547"/>
        <v/>
      </c>
      <c r="P2322">
        <f>IF($A2322="",0,IF(COUNTIF($O$2:$O2322,$O2322)=1,1,0))</f>
        <v>0</v>
      </c>
      <c r="Q2322" t="str">
        <f>IF(AND($P2322=1,$A2322=经营数据!$B$3,$J2322=经营数据!$BA$5),COUNTIFS($P$2:$P$3000,1,$A$2:$A$3000,$A2322,$J$2:$J$3000,$J2322,$N$2:$N$3000,"&lt;"&amp;$N2322)+1,"")</f>
        <v/>
      </c>
      <c r="R2322" t="str">
        <f t="shared" si="548"/>
        <v/>
      </c>
      <c r="S2322">
        <f>IF($A2322="",0,IF(COUNTIF($R$2:$R2322,$R2322)=1,1,0))</f>
        <v>0</v>
      </c>
      <c r="T2322" t="str">
        <f t="shared" si="549"/>
        <v/>
      </c>
      <c r="U2322" t="str">
        <f>IF($A2322="","",IF($A2322=经营数据!$B$3,COUNTIFS($S$2:$S$3000,1,$A$2:$A$3000,$A2322,$T$2:$T$3000,"&lt;"&amp;$T2322)+1,""))</f>
        <v/>
      </c>
      <c r="V2322" t="str">
        <f t="shared" si="550"/>
        <v/>
      </c>
      <c r="W2322" t="str">
        <f t="shared" si="551"/>
        <v/>
      </c>
      <c r="X2322" t="str">
        <f t="shared" si="552"/>
        <v/>
      </c>
      <c r="Y2322" t="str">
        <f t="shared" si="553"/>
        <v/>
      </c>
      <c r="Z2322">
        <f>IF($A2322="",0,IF(AND($M2322=1,$A2322=经营数据!$B$3,$J2322=经营数据!$BA$5,OR($I2322=经营数据!$BA$4,COUNTIF(经营数据!$AA$9:$AA$38,$I2322)&gt;0)),1,0))</f>
        <v>0</v>
      </c>
      <c r="AA2322" t="str">
        <f t="shared" si="554"/>
        <v/>
      </c>
      <c r="AB2322" t="str">
        <f t="shared" si="555"/>
        <v/>
      </c>
      <c r="AC2322">
        <f>IF($A2322="",0,IF(COUNTIF($A$2:$A2322,$A2322)=1,1,0))</f>
        <v>0</v>
      </c>
      <c r="AD2322">
        <f t="shared" si="556"/>
        <v>29</v>
      </c>
      <c r="AE2322" t="str">
        <f t="shared" si="557"/>
        <v/>
      </c>
    </row>
    <row r="2323" spans="1:31" x14ac:dyDescent="0.4">
      <c r="A2323" t="str">
        <f>IF(原始经营数据!$D2324="","",原始经营数据!$D2324)</f>
        <v/>
      </c>
      <c r="B2323" t="str">
        <f>IF(原始经营数据!$D2324="","",T(原始经营数据!$E2324))</f>
        <v/>
      </c>
      <c r="C2323" t="str">
        <f>IF(原始经营数据!$D2324="","",原始经营数据!$F2324)</f>
        <v/>
      </c>
      <c r="D2323" t="str">
        <f>IF(原始经营数据!$D2324="","",原始经营数据!$H2324)</f>
        <v/>
      </c>
      <c r="E2323" t="str">
        <f>IF(原始经营数据!$D2324="","",原始经营数据!$I2324)</f>
        <v/>
      </c>
      <c r="F2323" t="str">
        <f>IF(原始经营数据!$D2324="","",T(原始经营数据!$J2324))</f>
        <v/>
      </c>
      <c r="G2323" t="str">
        <f>IF(原始经营数据!$D2324="","",T(原始经营数据!$K2324))</f>
        <v/>
      </c>
      <c r="H2323" t="str">
        <f>IF(原始经营数据!$D2324="","",原始经营数据!$G2324)</f>
        <v/>
      </c>
      <c r="I2323" t="str">
        <f>IF($A2323="","",IF($B2323&lt;&gt;"",$B2323,IF(COUNTIFS(原始经营数据!$D$3:$D$3001,$A2323,原始经营数据!$E$3:$E$3001,"",原始经营数据!$F$3:$F$3001,$C2323,原始经营数据!$H$3:$H$3001,$D2323,原始经营数据!$K$3:$K$3001,$G2323)&gt;1,"基金整体·来源"&amp;原始经营数据!$A2324,"基金整体")))</f>
        <v/>
      </c>
      <c r="J2323" t="str">
        <f t="shared" si="543"/>
        <v/>
      </c>
      <c r="K2323" t="str">
        <f t="shared" si="544"/>
        <v/>
      </c>
      <c r="L2323" t="str">
        <f t="shared" si="545"/>
        <v/>
      </c>
      <c r="M2323">
        <f>IF($A2323="",0,IF(COUNTIF($L$2:$L2323,$L2323)=1,1,0))</f>
        <v>0</v>
      </c>
      <c r="N2323" t="str">
        <f t="shared" si="546"/>
        <v/>
      </c>
      <c r="O2323" t="str">
        <f t="shared" si="547"/>
        <v/>
      </c>
      <c r="P2323">
        <f>IF($A2323="",0,IF(COUNTIF($O$2:$O2323,$O2323)=1,1,0))</f>
        <v>0</v>
      </c>
      <c r="Q2323" t="str">
        <f>IF(AND($P2323=1,$A2323=经营数据!$B$3,$J2323=经营数据!$BA$5),COUNTIFS($P$2:$P$3000,1,$A$2:$A$3000,$A2323,$J$2:$J$3000,$J2323,$N$2:$N$3000,"&lt;"&amp;$N2323)+1,"")</f>
        <v/>
      </c>
      <c r="R2323" t="str">
        <f t="shared" si="548"/>
        <v/>
      </c>
      <c r="S2323">
        <f>IF($A2323="",0,IF(COUNTIF($R$2:$R2323,$R2323)=1,1,0))</f>
        <v>0</v>
      </c>
      <c r="T2323" t="str">
        <f t="shared" si="549"/>
        <v/>
      </c>
      <c r="U2323" t="str">
        <f>IF($A2323="","",IF($A2323=经营数据!$B$3,COUNTIFS($S$2:$S$3000,1,$A$2:$A$3000,$A2323,$T$2:$T$3000,"&lt;"&amp;$T2323)+1,""))</f>
        <v/>
      </c>
      <c r="V2323" t="str">
        <f t="shared" si="550"/>
        <v/>
      </c>
      <c r="W2323" t="str">
        <f t="shared" si="551"/>
        <v/>
      </c>
      <c r="X2323" t="str">
        <f t="shared" si="552"/>
        <v/>
      </c>
      <c r="Y2323" t="str">
        <f t="shared" si="553"/>
        <v/>
      </c>
      <c r="Z2323">
        <f>IF($A2323="",0,IF(AND($M2323=1,$A2323=经营数据!$B$3,$J2323=经营数据!$BA$5,OR($I2323=经营数据!$BA$4,COUNTIF(经营数据!$AA$9:$AA$38,$I2323)&gt;0)),1,0))</f>
        <v>0</v>
      </c>
      <c r="AA2323" t="str">
        <f t="shared" si="554"/>
        <v/>
      </c>
      <c r="AB2323" t="str">
        <f t="shared" si="555"/>
        <v/>
      </c>
      <c r="AC2323">
        <f>IF($A2323="",0,IF(COUNTIF($A$2:$A2323,$A2323)=1,1,0))</f>
        <v>0</v>
      </c>
      <c r="AD2323">
        <f t="shared" si="556"/>
        <v>29</v>
      </c>
      <c r="AE2323" t="str">
        <f t="shared" si="557"/>
        <v/>
      </c>
    </row>
    <row r="2324" spans="1:31" x14ac:dyDescent="0.4">
      <c r="A2324" t="str">
        <f>IF(原始经营数据!$D2325="","",原始经营数据!$D2325)</f>
        <v/>
      </c>
      <c r="B2324" t="str">
        <f>IF(原始经营数据!$D2325="","",T(原始经营数据!$E2325))</f>
        <v/>
      </c>
      <c r="C2324" t="str">
        <f>IF(原始经营数据!$D2325="","",原始经营数据!$F2325)</f>
        <v/>
      </c>
      <c r="D2324" t="str">
        <f>IF(原始经营数据!$D2325="","",原始经营数据!$H2325)</f>
        <v/>
      </c>
      <c r="E2324" t="str">
        <f>IF(原始经营数据!$D2325="","",原始经营数据!$I2325)</f>
        <v/>
      </c>
      <c r="F2324" t="str">
        <f>IF(原始经营数据!$D2325="","",T(原始经营数据!$J2325))</f>
        <v/>
      </c>
      <c r="G2324" t="str">
        <f>IF(原始经营数据!$D2325="","",T(原始经营数据!$K2325))</f>
        <v/>
      </c>
      <c r="H2324" t="str">
        <f>IF(原始经营数据!$D2325="","",原始经营数据!$G2325)</f>
        <v/>
      </c>
      <c r="I2324" t="str">
        <f>IF($A2324="","",IF($B2324&lt;&gt;"",$B2324,IF(COUNTIFS(原始经营数据!$D$3:$D$3001,$A2324,原始经营数据!$E$3:$E$3001,"",原始经营数据!$F$3:$F$3001,$C2324,原始经营数据!$H$3:$H$3001,$D2324,原始经营数据!$K$3:$K$3001,$G2324)&gt;1,"基金整体·来源"&amp;原始经营数据!$A2325,"基金整体")))</f>
        <v/>
      </c>
      <c r="J2324" t="str">
        <f t="shared" si="543"/>
        <v/>
      </c>
      <c r="K2324" t="str">
        <f t="shared" si="544"/>
        <v/>
      </c>
      <c r="L2324" t="str">
        <f t="shared" si="545"/>
        <v/>
      </c>
      <c r="M2324">
        <f>IF($A2324="",0,IF(COUNTIF($L$2:$L2324,$L2324)=1,1,0))</f>
        <v>0</v>
      </c>
      <c r="N2324" t="str">
        <f t="shared" si="546"/>
        <v/>
      </c>
      <c r="O2324" t="str">
        <f t="shared" si="547"/>
        <v/>
      </c>
      <c r="P2324">
        <f>IF($A2324="",0,IF(COUNTIF($O$2:$O2324,$O2324)=1,1,0))</f>
        <v>0</v>
      </c>
      <c r="Q2324" t="str">
        <f>IF(AND($P2324=1,$A2324=经营数据!$B$3,$J2324=经营数据!$BA$5),COUNTIFS($P$2:$P$3000,1,$A$2:$A$3000,$A2324,$J$2:$J$3000,$J2324,$N$2:$N$3000,"&lt;"&amp;$N2324)+1,"")</f>
        <v/>
      </c>
      <c r="R2324" t="str">
        <f t="shared" si="548"/>
        <v/>
      </c>
      <c r="S2324">
        <f>IF($A2324="",0,IF(COUNTIF($R$2:$R2324,$R2324)=1,1,0))</f>
        <v>0</v>
      </c>
      <c r="T2324" t="str">
        <f t="shared" si="549"/>
        <v/>
      </c>
      <c r="U2324" t="str">
        <f>IF($A2324="","",IF($A2324=经营数据!$B$3,COUNTIFS($S$2:$S$3000,1,$A$2:$A$3000,$A2324,$T$2:$T$3000,"&lt;"&amp;$T2324)+1,""))</f>
        <v/>
      </c>
      <c r="V2324" t="str">
        <f t="shared" si="550"/>
        <v/>
      </c>
      <c r="W2324" t="str">
        <f t="shared" si="551"/>
        <v/>
      </c>
      <c r="X2324" t="str">
        <f t="shared" si="552"/>
        <v/>
      </c>
      <c r="Y2324" t="str">
        <f t="shared" si="553"/>
        <v/>
      </c>
      <c r="Z2324">
        <f>IF($A2324="",0,IF(AND($M2324=1,$A2324=经营数据!$B$3,$J2324=经营数据!$BA$5,OR($I2324=经营数据!$BA$4,COUNTIF(经营数据!$AA$9:$AA$38,$I2324)&gt;0)),1,0))</f>
        <v>0</v>
      </c>
      <c r="AA2324" t="str">
        <f t="shared" si="554"/>
        <v/>
      </c>
      <c r="AB2324" t="str">
        <f t="shared" si="555"/>
        <v/>
      </c>
      <c r="AC2324">
        <f>IF($A2324="",0,IF(COUNTIF($A$2:$A2324,$A2324)=1,1,0))</f>
        <v>0</v>
      </c>
      <c r="AD2324">
        <f t="shared" si="556"/>
        <v>29</v>
      </c>
      <c r="AE2324" t="str">
        <f t="shared" si="557"/>
        <v/>
      </c>
    </row>
    <row r="2325" spans="1:31" x14ac:dyDescent="0.4">
      <c r="A2325" t="str">
        <f>IF(原始经营数据!$D2326="","",原始经营数据!$D2326)</f>
        <v/>
      </c>
      <c r="B2325" t="str">
        <f>IF(原始经营数据!$D2326="","",T(原始经营数据!$E2326))</f>
        <v/>
      </c>
      <c r="C2325" t="str">
        <f>IF(原始经营数据!$D2326="","",原始经营数据!$F2326)</f>
        <v/>
      </c>
      <c r="D2325" t="str">
        <f>IF(原始经营数据!$D2326="","",原始经营数据!$H2326)</f>
        <v/>
      </c>
      <c r="E2325" t="str">
        <f>IF(原始经营数据!$D2326="","",原始经营数据!$I2326)</f>
        <v/>
      </c>
      <c r="F2325" t="str">
        <f>IF(原始经营数据!$D2326="","",T(原始经营数据!$J2326))</f>
        <v/>
      </c>
      <c r="G2325" t="str">
        <f>IF(原始经营数据!$D2326="","",T(原始经营数据!$K2326))</f>
        <v/>
      </c>
      <c r="H2325" t="str">
        <f>IF(原始经营数据!$D2326="","",原始经营数据!$G2326)</f>
        <v/>
      </c>
      <c r="I2325" t="str">
        <f>IF($A2325="","",IF($B2325&lt;&gt;"",$B2325,IF(COUNTIFS(原始经营数据!$D$3:$D$3001,$A2325,原始经营数据!$E$3:$E$3001,"",原始经营数据!$F$3:$F$3001,$C2325,原始经营数据!$H$3:$H$3001,$D2325,原始经营数据!$K$3:$K$3001,$G2325)&gt;1,"基金整体·来源"&amp;原始经营数据!$A2326,"基金整体")))</f>
        <v/>
      </c>
      <c r="J2325" t="str">
        <f t="shared" si="543"/>
        <v/>
      </c>
      <c r="K2325" t="str">
        <f t="shared" si="544"/>
        <v/>
      </c>
      <c r="L2325" t="str">
        <f t="shared" si="545"/>
        <v/>
      </c>
      <c r="M2325">
        <f>IF($A2325="",0,IF(COUNTIF($L$2:$L2325,$L2325)=1,1,0))</f>
        <v>0</v>
      </c>
      <c r="N2325" t="str">
        <f t="shared" si="546"/>
        <v/>
      </c>
      <c r="O2325" t="str">
        <f t="shared" si="547"/>
        <v/>
      </c>
      <c r="P2325">
        <f>IF($A2325="",0,IF(COUNTIF($O$2:$O2325,$O2325)=1,1,0))</f>
        <v>0</v>
      </c>
      <c r="Q2325" t="str">
        <f>IF(AND($P2325=1,$A2325=经营数据!$B$3,$J2325=经营数据!$BA$5),COUNTIFS($P$2:$P$3000,1,$A$2:$A$3000,$A2325,$J$2:$J$3000,$J2325,$N$2:$N$3000,"&lt;"&amp;$N2325)+1,"")</f>
        <v/>
      </c>
      <c r="R2325" t="str">
        <f t="shared" si="548"/>
        <v/>
      </c>
      <c r="S2325">
        <f>IF($A2325="",0,IF(COUNTIF($R$2:$R2325,$R2325)=1,1,0))</f>
        <v>0</v>
      </c>
      <c r="T2325" t="str">
        <f t="shared" si="549"/>
        <v/>
      </c>
      <c r="U2325" t="str">
        <f>IF($A2325="","",IF($A2325=经营数据!$B$3,COUNTIFS($S$2:$S$3000,1,$A$2:$A$3000,$A2325,$T$2:$T$3000,"&lt;"&amp;$T2325)+1,""))</f>
        <v/>
      </c>
      <c r="V2325" t="str">
        <f t="shared" si="550"/>
        <v/>
      </c>
      <c r="W2325" t="str">
        <f t="shared" si="551"/>
        <v/>
      </c>
      <c r="X2325" t="str">
        <f t="shared" si="552"/>
        <v/>
      </c>
      <c r="Y2325" t="str">
        <f t="shared" si="553"/>
        <v/>
      </c>
      <c r="Z2325">
        <f>IF($A2325="",0,IF(AND($M2325=1,$A2325=经营数据!$B$3,$J2325=经营数据!$BA$5,OR($I2325=经营数据!$BA$4,COUNTIF(经营数据!$AA$9:$AA$38,$I2325)&gt;0)),1,0))</f>
        <v>0</v>
      </c>
      <c r="AA2325" t="str">
        <f t="shared" si="554"/>
        <v/>
      </c>
      <c r="AB2325" t="str">
        <f t="shared" si="555"/>
        <v/>
      </c>
      <c r="AC2325">
        <f>IF($A2325="",0,IF(COUNTIF($A$2:$A2325,$A2325)=1,1,0))</f>
        <v>0</v>
      </c>
      <c r="AD2325">
        <f t="shared" si="556"/>
        <v>29</v>
      </c>
      <c r="AE2325" t="str">
        <f t="shared" si="557"/>
        <v/>
      </c>
    </row>
    <row r="2326" spans="1:31" x14ac:dyDescent="0.4">
      <c r="A2326" t="str">
        <f>IF(原始经营数据!$D2327="","",原始经营数据!$D2327)</f>
        <v/>
      </c>
      <c r="B2326" t="str">
        <f>IF(原始经营数据!$D2327="","",T(原始经营数据!$E2327))</f>
        <v/>
      </c>
      <c r="C2326" t="str">
        <f>IF(原始经营数据!$D2327="","",原始经营数据!$F2327)</f>
        <v/>
      </c>
      <c r="D2326" t="str">
        <f>IF(原始经营数据!$D2327="","",原始经营数据!$H2327)</f>
        <v/>
      </c>
      <c r="E2326" t="str">
        <f>IF(原始经营数据!$D2327="","",原始经营数据!$I2327)</f>
        <v/>
      </c>
      <c r="F2326" t="str">
        <f>IF(原始经营数据!$D2327="","",T(原始经营数据!$J2327))</f>
        <v/>
      </c>
      <c r="G2326" t="str">
        <f>IF(原始经营数据!$D2327="","",T(原始经营数据!$K2327))</f>
        <v/>
      </c>
      <c r="H2326" t="str">
        <f>IF(原始经营数据!$D2327="","",原始经营数据!$G2327)</f>
        <v/>
      </c>
      <c r="I2326" t="str">
        <f>IF($A2326="","",IF($B2326&lt;&gt;"",$B2326,IF(COUNTIFS(原始经营数据!$D$3:$D$3001,$A2326,原始经营数据!$E$3:$E$3001,"",原始经营数据!$F$3:$F$3001,$C2326,原始经营数据!$H$3:$H$3001,$D2326,原始经营数据!$K$3:$K$3001,$G2326)&gt;1,"基金整体·来源"&amp;原始经营数据!$A2327,"基金整体")))</f>
        <v/>
      </c>
      <c r="J2326" t="str">
        <f t="shared" si="543"/>
        <v/>
      </c>
      <c r="K2326" t="str">
        <f t="shared" si="544"/>
        <v/>
      </c>
      <c r="L2326" t="str">
        <f t="shared" si="545"/>
        <v/>
      </c>
      <c r="M2326">
        <f>IF($A2326="",0,IF(COUNTIF($L$2:$L2326,$L2326)=1,1,0))</f>
        <v>0</v>
      </c>
      <c r="N2326" t="str">
        <f t="shared" si="546"/>
        <v/>
      </c>
      <c r="O2326" t="str">
        <f t="shared" si="547"/>
        <v/>
      </c>
      <c r="P2326">
        <f>IF($A2326="",0,IF(COUNTIF($O$2:$O2326,$O2326)=1,1,0))</f>
        <v>0</v>
      </c>
      <c r="Q2326" t="str">
        <f>IF(AND($P2326=1,$A2326=经营数据!$B$3,$J2326=经营数据!$BA$5),COUNTIFS($P$2:$P$3000,1,$A$2:$A$3000,$A2326,$J$2:$J$3000,$J2326,$N$2:$N$3000,"&lt;"&amp;$N2326)+1,"")</f>
        <v/>
      </c>
      <c r="R2326" t="str">
        <f t="shared" si="548"/>
        <v/>
      </c>
      <c r="S2326">
        <f>IF($A2326="",0,IF(COUNTIF($R$2:$R2326,$R2326)=1,1,0))</f>
        <v>0</v>
      </c>
      <c r="T2326" t="str">
        <f t="shared" si="549"/>
        <v/>
      </c>
      <c r="U2326" t="str">
        <f>IF($A2326="","",IF($A2326=经营数据!$B$3,COUNTIFS($S$2:$S$3000,1,$A$2:$A$3000,$A2326,$T$2:$T$3000,"&lt;"&amp;$T2326)+1,""))</f>
        <v/>
      </c>
      <c r="V2326" t="str">
        <f t="shared" si="550"/>
        <v/>
      </c>
      <c r="W2326" t="str">
        <f t="shared" si="551"/>
        <v/>
      </c>
      <c r="X2326" t="str">
        <f t="shared" si="552"/>
        <v/>
      </c>
      <c r="Y2326" t="str">
        <f t="shared" si="553"/>
        <v/>
      </c>
      <c r="Z2326">
        <f>IF($A2326="",0,IF(AND($M2326=1,$A2326=经营数据!$B$3,$J2326=经营数据!$BA$5,OR($I2326=经营数据!$BA$4,COUNTIF(经营数据!$AA$9:$AA$38,$I2326)&gt;0)),1,0))</f>
        <v>0</v>
      </c>
      <c r="AA2326" t="str">
        <f t="shared" si="554"/>
        <v/>
      </c>
      <c r="AB2326" t="str">
        <f t="shared" si="555"/>
        <v/>
      </c>
      <c r="AC2326">
        <f>IF($A2326="",0,IF(COUNTIF($A$2:$A2326,$A2326)=1,1,0))</f>
        <v>0</v>
      </c>
      <c r="AD2326">
        <f t="shared" si="556"/>
        <v>29</v>
      </c>
      <c r="AE2326" t="str">
        <f t="shared" si="557"/>
        <v/>
      </c>
    </row>
    <row r="2327" spans="1:31" x14ac:dyDescent="0.4">
      <c r="A2327" t="str">
        <f>IF(原始经营数据!$D2328="","",原始经营数据!$D2328)</f>
        <v/>
      </c>
      <c r="B2327" t="str">
        <f>IF(原始经营数据!$D2328="","",T(原始经营数据!$E2328))</f>
        <v/>
      </c>
      <c r="C2327" t="str">
        <f>IF(原始经营数据!$D2328="","",原始经营数据!$F2328)</f>
        <v/>
      </c>
      <c r="D2327" t="str">
        <f>IF(原始经营数据!$D2328="","",原始经营数据!$H2328)</f>
        <v/>
      </c>
      <c r="E2327" t="str">
        <f>IF(原始经营数据!$D2328="","",原始经营数据!$I2328)</f>
        <v/>
      </c>
      <c r="F2327" t="str">
        <f>IF(原始经营数据!$D2328="","",T(原始经营数据!$J2328))</f>
        <v/>
      </c>
      <c r="G2327" t="str">
        <f>IF(原始经营数据!$D2328="","",T(原始经营数据!$K2328))</f>
        <v/>
      </c>
      <c r="H2327" t="str">
        <f>IF(原始经营数据!$D2328="","",原始经营数据!$G2328)</f>
        <v/>
      </c>
      <c r="I2327" t="str">
        <f>IF($A2327="","",IF($B2327&lt;&gt;"",$B2327,IF(COUNTIFS(原始经营数据!$D$3:$D$3001,$A2327,原始经营数据!$E$3:$E$3001,"",原始经营数据!$F$3:$F$3001,$C2327,原始经营数据!$H$3:$H$3001,$D2327,原始经营数据!$K$3:$K$3001,$G2327)&gt;1,"基金整体·来源"&amp;原始经营数据!$A2328,"基金整体")))</f>
        <v/>
      </c>
      <c r="J2327" t="str">
        <f t="shared" si="543"/>
        <v/>
      </c>
      <c r="K2327" t="str">
        <f t="shared" si="544"/>
        <v/>
      </c>
      <c r="L2327" t="str">
        <f t="shared" si="545"/>
        <v/>
      </c>
      <c r="M2327">
        <f>IF($A2327="",0,IF(COUNTIF($L$2:$L2327,$L2327)=1,1,0))</f>
        <v>0</v>
      </c>
      <c r="N2327" t="str">
        <f t="shared" si="546"/>
        <v/>
      </c>
      <c r="O2327" t="str">
        <f t="shared" si="547"/>
        <v/>
      </c>
      <c r="P2327">
        <f>IF($A2327="",0,IF(COUNTIF($O$2:$O2327,$O2327)=1,1,0))</f>
        <v>0</v>
      </c>
      <c r="Q2327" t="str">
        <f>IF(AND($P2327=1,$A2327=经营数据!$B$3,$J2327=经营数据!$BA$5),COUNTIFS($P$2:$P$3000,1,$A$2:$A$3000,$A2327,$J$2:$J$3000,$J2327,$N$2:$N$3000,"&lt;"&amp;$N2327)+1,"")</f>
        <v/>
      </c>
      <c r="R2327" t="str">
        <f t="shared" si="548"/>
        <v/>
      </c>
      <c r="S2327">
        <f>IF($A2327="",0,IF(COUNTIF($R$2:$R2327,$R2327)=1,1,0))</f>
        <v>0</v>
      </c>
      <c r="T2327" t="str">
        <f t="shared" si="549"/>
        <v/>
      </c>
      <c r="U2327" t="str">
        <f>IF($A2327="","",IF($A2327=经营数据!$B$3,COUNTIFS($S$2:$S$3000,1,$A$2:$A$3000,$A2327,$T$2:$T$3000,"&lt;"&amp;$T2327)+1,""))</f>
        <v/>
      </c>
      <c r="V2327" t="str">
        <f t="shared" si="550"/>
        <v/>
      </c>
      <c r="W2327" t="str">
        <f t="shared" si="551"/>
        <v/>
      </c>
      <c r="X2327" t="str">
        <f t="shared" si="552"/>
        <v/>
      </c>
      <c r="Y2327" t="str">
        <f t="shared" si="553"/>
        <v/>
      </c>
      <c r="Z2327">
        <f>IF($A2327="",0,IF(AND($M2327=1,$A2327=经营数据!$B$3,$J2327=经营数据!$BA$5,OR($I2327=经营数据!$BA$4,COUNTIF(经营数据!$AA$9:$AA$38,$I2327)&gt;0)),1,0))</f>
        <v>0</v>
      </c>
      <c r="AA2327" t="str">
        <f t="shared" si="554"/>
        <v/>
      </c>
      <c r="AB2327" t="str">
        <f t="shared" si="555"/>
        <v/>
      </c>
      <c r="AC2327">
        <f>IF($A2327="",0,IF(COUNTIF($A$2:$A2327,$A2327)=1,1,0))</f>
        <v>0</v>
      </c>
      <c r="AD2327">
        <f t="shared" si="556"/>
        <v>29</v>
      </c>
      <c r="AE2327" t="str">
        <f t="shared" si="557"/>
        <v/>
      </c>
    </row>
    <row r="2328" spans="1:31" x14ac:dyDescent="0.4">
      <c r="A2328" t="str">
        <f>IF(原始经营数据!$D2329="","",原始经营数据!$D2329)</f>
        <v/>
      </c>
      <c r="B2328" t="str">
        <f>IF(原始经营数据!$D2329="","",T(原始经营数据!$E2329))</f>
        <v/>
      </c>
      <c r="C2328" t="str">
        <f>IF(原始经营数据!$D2329="","",原始经营数据!$F2329)</f>
        <v/>
      </c>
      <c r="D2328" t="str">
        <f>IF(原始经营数据!$D2329="","",原始经营数据!$H2329)</f>
        <v/>
      </c>
      <c r="E2328" t="str">
        <f>IF(原始经营数据!$D2329="","",原始经营数据!$I2329)</f>
        <v/>
      </c>
      <c r="F2328" t="str">
        <f>IF(原始经营数据!$D2329="","",T(原始经营数据!$J2329))</f>
        <v/>
      </c>
      <c r="G2328" t="str">
        <f>IF(原始经营数据!$D2329="","",T(原始经营数据!$K2329))</f>
        <v/>
      </c>
      <c r="H2328" t="str">
        <f>IF(原始经营数据!$D2329="","",原始经营数据!$G2329)</f>
        <v/>
      </c>
      <c r="I2328" t="str">
        <f>IF($A2328="","",IF($B2328&lt;&gt;"",$B2328,IF(COUNTIFS(原始经营数据!$D$3:$D$3001,$A2328,原始经营数据!$E$3:$E$3001,"",原始经营数据!$F$3:$F$3001,$C2328,原始经营数据!$H$3:$H$3001,$D2328,原始经营数据!$K$3:$K$3001,$G2328)&gt;1,"基金整体·来源"&amp;原始经营数据!$A2329,"基金整体")))</f>
        <v/>
      </c>
      <c r="J2328" t="str">
        <f t="shared" si="543"/>
        <v/>
      </c>
      <c r="K2328" t="str">
        <f t="shared" si="544"/>
        <v/>
      </c>
      <c r="L2328" t="str">
        <f t="shared" si="545"/>
        <v/>
      </c>
      <c r="M2328">
        <f>IF($A2328="",0,IF(COUNTIF($L$2:$L2328,$L2328)=1,1,0))</f>
        <v>0</v>
      </c>
      <c r="N2328" t="str">
        <f t="shared" si="546"/>
        <v/>
      </c>
      <c r="O2328" t="str">
        <f t="shared" si="547"/>
        <v/>
      </c>
      <c r="P2328">
        <f>IF($A2328="",0,IF(COUNTIF($O$2:$O2328,$O2328)=1,1,0))</f>
        <v>0</v>
      </c>
      <c r="Q2328" t="str">
        <f>IF(AND($P2328=1,$A2328=经营数据!$B$3,$J2328=经营数据!$BA$5),COUNTIFS($P$2:$P$3000,1,$A$2:$A$3000,$A2328,$J$2:$J$3000,$J2328,$N$2:$N$3000,"&lt;"&amp;$N2328)+1,"")</f>
        <v/>
      </c>
      <c r="R2328" t="str">
        <f t="shared" si="548"/>
        <v/>
      </c>
      <c r="S2328">
        <f>IF($A2328="",0,IF(COUNTIF($R$2:$R2328,$R2328)=1,1,0))</f>
        <v>0</v>
      </c>
      <c r="T2328" t="str">
        <f t="shared" si="549"/>
        <v/>
      </c>
      <c r="U2328" t="str">
        <f>IF($A2328="","",IF($A2328=经营数据!$B$3,COUNTIFS($S$2:$S$3000,1,$A$2:$A$3000,$A2328,$T$2:$T$3000,"&lt;"&amp;$T2328)+1,""))</f>
        <v/>
      </c>
      <c r="V2328" t="str">
        <f t="shared" si="550"/>
        <v/>
      </c>
      <c r="W2328" t="str">
        <f t="shared" si="551"/>
        <v/>
      </c>
      <c r="X2328" t="str">
        <f t="shared" si="552"/>
        <v/>
      </c>
      <c r="Y2328" t="str">
        <f t="shared" si="553"/>
        <v/>
      </c>
      <c r="Z2328">
        <f>IF($A2328="",0,IF(AND($M2328=1,$A2328=经营数据!$B$3,$J2328=经营数据!$BA$5,OR($I2328=经营数据!$BA$4,COUNTIF(经营数据!$AA$9:$AA$38,$I2328)&gt;0)),1,0))</f>
        <v>0</v>
      </c>
      <c r="AA2328" t="str">
        <f t="shared" si="554"/>
        <v/>
      </c>
      <c r="AB2328" t="str">
        <f t="shared" si="555"/>
        <v/>
      </c>
      <c r="AC2328">
        <f>IF($A2328="",0,IF(COUNTIF($A$2:$A2328,$A2328)=1,1,0))</f>
        <v>0</v>
      </c>
      <c r="AD2328">
        <f t="shared" si="556"/>
        <v>29</v>
      </c>
      <c r="AE2328" t="str">
        <f t="shared" si="557"/>
        <v/>
      </c>
    </row>
    <row r="2329" spans="1:31" x14ac:dyDescent="0.4">
      <c r="A2329" t="str">
        <f>IF(原始经营数据!$D2330="","",原始经营数据!$D2330)</f>
        <v/>
      </c>
      <c r="B2329" t="str">
        <f>IF(原始经营数据!$D2330="","",T(原始经营数据!$E2330))</f>
        <v/>
      </c>
      <c r="C2329" t="str">
        <f>IF(原始经营数据!$D2330="","",原始经营数据!$F2330)</f>
        <v/>
      </c>
      <c r="D2329" t="str">
        <f>IF(原始经营数据!$D2330="","",原始经营数据!$H2330)</f>
        <v/>
      </c>
      <c r="E2329" t="str">
        <f>IF(原始经营数据!$D2330="","",原始经营数据!$I2330)</f>
        <v/>
      </c>
      <c r="F2329" t="str">
        <f>IF(原始经营数据!$D2330="","",T(原始经营数据!$J2330))</f>
        <v/>
      </c>
      <c r="G2329" t="str">
        <f>IF(原始经营数据!$D2330="","",T(原始经营数据!$K2330))</f>
        <v/>
      </c>
      <c r="H2329" t="str">
        <f>IF(原始经营数据!$D2330="","",原始经营数据!$G2330)</f>
        <v/>
      </c>
      <c r="I2329" t="str">
        <f>IF($A2329="","",IF($B2329&lt;&gt;"",$B2329,IF(COUNTIFS(原始经营数据!$D$3:$D$3001,$A2329,原始经营数据!$E$3:$E$3001,"",原始经营数据!$F$3:$F$3001,$C2329,原始经营数据!$H$3:$H$3001,$D2329,原始经营数据!$K$3:$K$3001,$G2329)&gt;1,"基金整体·来源"&amp;原始经营数据!$A2330,"基金整体")))</f>
        <v/>
      </c>
      <c r="J2329" t="str">
        <f t="shared" si="543"/>
        <v/>
      </c>
      <c r="K2329" t="str">
        <f t="shared" si="544"/>
        <v/>
      </c>
      <c r="L2329" t="str">
        <f t="shared" si="545"/>
        <v/>
      </c>
      <c r="M2329">
        <f>IF($A2329="",0,IF(COUNTIF($L$2:$L2329,$L2329)=1,1,0))</f>
        <v>0</v>
      </c>
      <c r="N2329" t="str">
        <f t="shared" si="546"/>
        <v/>
      </c>
      <c r="O2329" t="str">
        <f t="shared" si="547"/>
        <v/>
      </c>
      <c r="P2329">
        <f>IF($A2329="",0,IF(COUNTIF($O$2:$O2329,$O2329)=1,1,0))</f>
        <v>0</v>
      </c>
      <c r="Q2329" t="str">
        <f>IF(AND($P2329=1,$A2329=经营数据!$B$3,$J2329=经营数据!$BA$5),COUNTIFS($P$2:$P$3000,1,$A$2:$A$3000,$A2329,$J$2:$J$3000,$J2329,$N$2:$N$3000,"&lt;"&amp;$N2329)+1,"")</f>
        <v/>
      </c>
      <c r="R2329" t="str">
        <f t="shared" si="548"/>
        <v/>
      </c>
      <c r="S2329">
        <f>IF($A2329="",0,IF(COUNTIF($R$2:$R2329,$R2329)=1,1,0))</f>
        <v>0</v>
      </c>
      <c r="T2329" t="str">
        <f t="shared" si="549"/>
        <v/>
      </c>
      <c r="U2329" t="str">
        <f>IF($A2329="","",IF($A2329=经营数据!$B$3,COUNTIFS($S$2:$S$3000,1,$A$2:$A$3000,$A2329,$T$2:$T$3000,"&lt;"&amp;$T2329)+1,""))</f>
        <v/>
      </c>
      <c r="V2329" t="str">
        <f t="shared" si="550"/>
        <v/>
      </c>
      <c r="W2329" t="str">
        <f t="shared" si="551"/>
        <v/>
      </c>
      <c r="X2329" t="str">
        <f t="shared" si="552"/>
        <v/>
      </c>
      <c r="Y2329" t="str">
        <f t="shared" si="553"/>
        <v/>
      </c>
      <c r="Z2329">
        <f>IF($A2329="",0,IF(AND($M2329=1,$A2329=经营数据!$B$3,$J2329=经营数据!$BA$5,OR($I2329=经营数据!$BA$4,COUNTIF(经营数据!$AA$9:$AA$38,$I2329)&gt;0)),1,0))</f>
        <v>0</v>
      </c>
      <c r="AA2329" t="str">
        <f t="shared" si="554"/>
        <v/>
      </c>
      <c r="AB2329" t="str">
        <f t="shared" si="555"/>
        <v/>
      </c>
      <c r="AC2329">
        <f>IF($A2329="",0,IF(COUNTIF($A$2:$A2329,$A2329)=1,1,0))</f>
        <v>0</v>
      </c>
      <c r="AD2329">
        <f t="shared" si="556"/>
        <v>29</v>
      </c>
      <c r="AE2329" t="str">
        <f t="shared" si="557"/>
        <v/>
      </c>
    </row>
    <row r="2330" spans="1:31" x14ac:dyDescent="0.4">
      <c r="A2330" t="str">
        <f>IF(原始经营数据!$D2331="","",原始经营数据!$D2331)</f>
        <v/>
      </c>
      <c r="B2330" t="str">
        <f>IF(原始经营数据!$D2331="","",T(原始经营数据!$E2331))</f>
        <v/>
      </c>
      <c r="C2330" t="str">
        <f>IF(原始经营数据!$D2331="","",原始经营数据!$F2331)</f>
        <v/>
      </c>
      <c r="D2330" t="str">
        <f>IF(原始经营数据!$D2331="","",原始经营数据!$H2331)</f>
        <v/>
      </c>
      <c r="E2330" t="str">
        <f>IF(原始经营数据!$D2331="","",原始经营数据!$I2331)</f>
        <v/>
      </c>
      <c r="F2330" t="str">
        <f>IF(原始经营数据!$D2331="","",T(原始经营数据!$J2331))</f>
        <v/>
      </c>
      <c r="G2330" t="str">
        <f>IF(原始经营数据!$D2331="","",T(原始经营数据!$K2331))</f>
        <v/>
      </c>
      <c r="H2330" t="str">
        <f>IF(原始经营数据!$D2331="","",原始经营数据!$G2331)</f>
        <v/>
      </c>
      <c r="I2330" t="str">
        <f>IF($A2330="","",IF($B2330&lt;&gt;"",$B2330,IF(COUNTIFS(原始经营数据!$D$3:$D$3001,$A2330,原始经营数据!$E$3:$E$3001,"",原始经营数据!$F$3:$F$3001,$C2330,原始经营数据!$H$3:$H$3001,$D2330,原始经营数据!$K$3:$K$3001,$G2330)&gt;1,"基金整体·来源"&amp;原始经营数据!$A2331,"基金整体")))</f>
        <v/>
      </c>
      <c r="J2330" t="str">
        <f t="shared" si="543"/>
        <v/>
      </c>
      <c r="K2330" t="str">
        <f t="shared" si="544"/>
        <v/>
      </c>
      <c r="L2330" t="str">
        <f t="shared" si="545"/>
        <v/>
      </c>
      <c r="M2330">
        <f>IF($A2330="",0,IF(COUNTIF($L$2:$L2330,$L2330)=1,1,0))</f>
        <v>0</v>
      </c>
      <c r="N2330" t="str">
        <f t="shared" si="546"/>
        <v/>
      </c>
      <c r="O2330" t="str">
        <f t="shared" si="547"/>
        <v/>
      </c>
      <c r="P2330">
        <f>IF($A2330="",0,IF(COUNTIF($O$2:$O2330,$O2330)=1,1,0))</f>
        <v>0</v>
      </c>
      <c r="Q2330" t="str">
        <f>IF(AND($P2330=1,$A2330=经营数据!$B$3,$J2330=经营数据!$BA$5),COUNTIFS($P$2:$P$3000,1,$A$2:$A$3000,$A2330,$J$2:$J$3000,$J2330,$N$2:$N$3000,"&lt;"&amp;$N2330)+1,"")</f>
        <v/>
      </c>
      <c r="R2330" t="str">
        <f t="shared" si="548"/>
        <v/>
      </c>
      <c r="S2330">
        <f>IF($A2330="",0,IF(COUNTIF($R$2:$R2330,$R2330)=1,1,0))</f>
        <v>0</v>
      </c>
      <c r="T2330" t="str">
        <f t="shared" si="549"/>
        <v/>
      </c>
      <c r="U2330" t="str">
        <f>IF($A2330="","",IF($A2330=经营数据!$B$3,COUNTIFS($S$2:$S$3000,1,$A$2:$A$3000,$A2330,$T$2:$T$3000,"&lt;"&amp;$T2330)+1,""))</f>
        <v/>
      </c>
      <c r="V2330" t="str">
        <f t="shared" si="550"/>
        <v/>
      </c>
      <c r="W2330" t="str">
        <f t="shared" si="551"/>
        <v/>
      </c>
      <c r="X2330" t="str">
        <f t="shared" si="552"/>
        <v/>
      </c>
      <c r="Y2330" t="str">
        <f t="shared" si="553"/>
        <v/>
      </c>
      <c r="Z2330">
        <f>IF($A2330="",0,IF(AND($M2330=1,$A2330=经营数据!$B$3,$J2330=经营数据!$BA$5,OR($I2330=经营数据!$BA$4,COUNTIF(经营数据!$AA$9:$AA$38,$I2330)&gt;0)),1,0))</f>
        <v>0</v>
      </c>
      <c r="AA2330" t="str">
        <f t="shared" si="554"/>
        <v/>
      </c>
      <c r="AB2330" t="str">
        <f t="shared" si="555"/>
        <v/>
      </c>
      <c r="AC2330">
        <f>IF($A2330="",0,IF(COUNTIF($A$2:$A2330,$A2330)=1,1,0))</f>
        <v>0</v>
      </c>
      <c r="AD2330">
        <f t="shared" si="556"/>
        <v>29</v>
      </c>
      <c r="AE2330" t="str">
        <f t="shared" si="557"/>
        <v/>
      </c>
    </row>
    <row r="2331" spans="1:31" x14ac:dyDescent="0.4">
      <c r="A2331" t="str">
        <f>IF(原始经营数据!$D2332="","",原始经营数据!$D2332)</f>
        <v/>
      </c>
      <c r="B2331" t="str">
        <f>IF(原始经营数据!$D2332="","",T(原始经营数据!$E2332))</f>
        <v/>
      </c>
      <c r="C2331" t="str">
        <f>IF(原始经营数据!$D2332="","",原始经营数据!$F2332)</f>
        <v/>
      </c>
      <c r="D2331" t="str">
        <f>IF(原始经营数据!$D2332="","",原始经营数据!$H2332)</f>
        <v/>
      </c>
      <c r="E2331" t="str">
        <f>IF(原始经营数据!$D2332="","",原始经营数据!$I2332)</f>
        <v/>
      </c>
      <c r="F2331" t="str">
        <f>IF(原始经营数据!$D2332="","",T(原始经营数据!$J2332))</f>
        <v/>
      </c>
      <c r="G2331" t="str">
        <f>IF(原始经营数据!$D2332="","",T(原始经营数据!$K2332))</f>
        <v/>
      </c>
      <c r="H2331" t="str">
        <f>IF(原始经营数据!$D2332="","",原始经营数据!$G2332)</f>
        <v/>
      </c>
      <c r="I2331" t="str">
        <f>IF($A2331="","",IF($B2331&lt;&gt;"",$B2331,IF(COUNTIFS(原始经营数据!$D$3:$D$3001,$A2331,原始经营数据!$E$3:$E$3001,"",原始经营数据!$F$3:$F$3001,$C2331,原始经营数据!$H$3:$H$3001,$D2331,原始经营数据!$K$3:$K$3001,$G2331)&gt;1,"基金整体·来源"&amp;原始经营数据!$A2332,"基金整体")))</f>
        <v/>
      </c>
      <c r="J2331" t="str">
        <f t="shared" si="543"/>
        <v/>
      </c>
      <c r="K2331" t="str">
        <f t="shared" si="544"/>
        <v/>
      </c>
      <c r="L2331" t="str">
        <f t="shared" si="545"/>
        <v/>
      </c>
      <c r="M2331">
        <f>IF($A2331="",0,IF(COUNTIF($L$2:$L2331,$L2331)=1,1,0))</f>
        <v>0</v>
      </c>
      <c r="N2331" t="str">
        <f t="shared" si="546"/>
        <v/>
      </c>
      <c r="O2331" t="str">
        <f t="shared" si="547"/>
        <v/>
      </c>
      <c r="P2331">
        <f>IF($A2331="",0,IF(COUNTIF($O$2:$O2331,$O2331)=1,1,0))</f>
        <v>0</v>
      </c>
      <c r="Q2331" t="str">
        <f>IF(AND($P2331=1,$A2331=经营数据!$B$3,$J2331=经营数据!$BA$5),COUNTIFS($P$2:$P$3000,1,$A$2:$A$3000,$A2331,$J$2:$J$3000,$J2331,$N$2:$N$3000,"&lt;"&amp;$N2331)+1,"")</f>
        <v/>
      </c>
      <c r="R2331" t="str">
        <f t="shared" si="548"/>
        <v/>
      </c>
      <c r="S2331">
        <f>IF($A2331="",0,IF(COUNTIF($R$2:$R2331,$R2331)=1,1,0))</f>
        <v>0</v>
      </c>
      <c r="T2331" t="str">
        <f t="shared" si="549"/>
        <v/>
      </c>
      <c r="U2331" t="str">
        <f>IF($A2331="","",IF($A2331=经营数据!$B$3,COUNTIFS($S$2:$S$3000,1,$A$2:$A$3000,$A2331,$T$2:$T$3000,"&lt;"&amp;$T2331)+1,""))</f>
        <v/>
      </c>
      <c r="V2331" t="str">
        <f t="shared" si="550"/>
        <v/>
      </c>
      <c r="W2331" t="str">
        <f t="shared" si="551"/>
        <v/>
      </c>
      <c r="X2331" t="str">
        <f t="shared" si="552"/>
        <v/>
      </c>
      <c r="Y2331" t="str">
        <f t="shared" si="553"/>
        <v/>
      </c>
      <c r="Z2331">
        <f>IF($A2331="",0,IF(AND($M2331=1,$A2331=经营数据!$B$3,$J2331=经营数据!$BA$5,OR($I2331=经营数据!$BA$4,COUNTIF(经营数据!$AA$9:$AA$38,$I2331)&gt;0)),1,0))</f>
        <v>0</v>
      </c>
      <c r="AA2331" t="str">
        <f t="shared" si="554"/>
        <v/>
      </c>
      <c r="AB2331" t="str">
        <f t="shared" si="555"/>
        <v/>
      </c>
      <c r="AC2331">
        <f>IF($A2331="",0,IF(COUNTIF($A$2:$A2331,$A2331)=1,1,0))</f>
        <v>0</v>
      </c>
      <c r="AD2331">
        <f t="shared" si="556"/>
        <v>29</v>
      </c>
      <c r="AE2331" t="str">
        <f t="shared" si="557"/>
        <v/>
      </c>
    </row>
    <row r="2332" spans="1:31" x14ac:dyDescent="0.4">
      <c r="A2332" t="str">
        <f>IF(原始经营数据!$D2333="","",原始经营数据!$D2333)</f>
        <v/>
      </c>
      <c r="B2332" t="str">
        <f>IF(原始经营数据!$D2333="","",T(原始经营数据!$E2333))</f>
        <v/>
      </c>
      <c r="C2332" t="str">
        <f>IF(原始经营数据!$D2333="","",原始经营数据!$F2333)</f>
        <v/>
      </c>
      <c r="D2332" t="str">
        <f>IF(原始经营数据!$D2333="","",原始经营数据!$H2333)</f>
        <v/>
      </c>
      <c r="E2332" t="str">
        <f>IF(原始经营数据!$D2333="","",原始经营数据!$I2333)</f>
        <v/>
      </c>
      <c r="F2332" t="str">
        <f>IF(原始经营数据!$D2333="","",T(原始经营数据!$J2333))</f>
        <v/>
      </c>
      <c r="G2332" t="str">
        <f>IF(原始经营数据!$D2333="","",T(原始经营数据!$K2333))</f>
        <v/>
      </c>
      <c r="H2332" t="str">
        <f>IF(原始经营数据!$D2333="","",原始经营数据!$G2333)</f>
        <v/>
      </c>
      <c r="I2332" t="str">
        <f>IF($A2332="","",IF($B2332&lt;&gt;"",$B2332,IF(COUNTIFS(原始经营数据!$D$3:$D$3001,$A2332,原始经营数据!$E$3:$E$3001,"",原始经营数据!$F$3:$F$3001,$C2332,原始经营数据!$H$3:$H$3001,$D2332,原始经营数据!$K$3:$K$3001,$G2332)&gt;1,"基金整体·来源"&amp;原始经营数据!$A2333,"基金整体")))</f>
        <v/>
      </c>
      <c r="J2332" t="str">
        <f t="shared" si="543"/>
        <v/>
      </c>
      <c r="K2332" t="str">
        <f t="shared" si="544"/>
        <v/>
      </c>
      <c r="L2332" t="str">
        <f t="shared" si="545"/>
        <v/>
      </c>
      <c r="M2332">
        <f>IF($A2332="",0,IF(COUNTIF($L$2:$L2332,$L2332)=1,1,0))</f>
        <v>0</v>
      </c>
      <c r="N2332" t="str">
        <f t="shared" si="546"/>
        <v/>
      </c>
      <c r="O2332" t="str">
        <f t="shared" si="547"/>
        <v/>
      </c>
      <c r="P2332">
        <f>IF($A2332="",0,IF(COUNTIF($O$2:$O2332,$O2332)=1,1,0))</f>
        <v>0</v>
      </c>
      <c r="Q2332" t="str">
        <f>IF(AND($P2332=1,$A2332=经营数据!$B$3,$J2332=经营数据!$BA$5),COUNTIFS($P$2:$P$3000,1,$A$2:$A$3000,$A2332,$J$2:$J$3000,$J2332,$N$2:$N$3000,"&lt;"&amp;$N2332)+1,"")</f>
        <v/>
      </c>
      <c r="R2332" t="str">
        <f t="shared" si="548"/>
        <v/>
      </c>
      <c r="S2332">
        <f>IF($A2332="",0,IF(COUNTIF($R$2:$R2332,$R2332)=1,1,0))</f>
        <v>0</v>
      </c>
      <c r="T2332" t="str">
        <f t="shared" si="549"/>
        <v/>
      </c>
      <c r="U2332" t="str">
        <f>IF($A2332="","",IF($A2332=经营数据!$B$3,COUNTIFS($S$2:$S$3000,1,$A$2:$A$3000,$A2332,$T$2:$T$3000,"&lt;"&amp;$T2332)+1,""))</f>
        <v/>
      </c>
      <c r="V2332" t="str">
        <f t="shared" si="550"/>
        <v/>
      </c>
      <c r="W2332" t="str">
        <f t="shared" si="551"/>
        <v/>
      </c>
      <c r="X2332" t="str">
        <f t="shared" si="552"/>
        <v/>
      </c>
      <c r="Y2332" t="str">
        <f t="shared" si="553"/>
        <v/>
      </c>
      <c r="Z2332">
        <f>IF($A2332="",0,IF(AND($M2332=1,$A2332=经营数据!$B$3,$J2332=经营数据!$BA$5,OR($I2332=经营数据!$BA$4,COUNTIF(经营数据!$AA$9:$AA$38,$I2332)&gt;0)),1,0))</f>
        <v>0</v>
      </c>
      <c r="AA2332" t="str">
        <f t="shared" si="554"/>
        <v/>
      </c>
      <c r="AB2332" t="str">
        <f t="shared" si="555"/>
        <v/>
      </c>
      <c r="AC2332">
        <f>IF($A2332="",0,IF(COUNTIF($A$2:$A2332,$A2332)=1,1,0))</f>
        <v>0</v>
      </c>
      <c r="AD2332">
        <f t="shared" si="556"/>
        <v>29</v>
      </c>
      <c r="AE2332" t="str">
        <f t="shared" si="557"/>
        <v/>
      </c>
    </row>
    <row r="2333" spans="1:31" x14ac:dyDescent="0.4">
      <c r="A2333" t="str">
        <f>IF(原始经营数据!$D2334="","",原始经营数据!$D2334)</f>
        <v/>
      </c>
      <c r="B2333" t="str">
        <f>IF(原始经营数据!$D2334="","",T(原始经营数据!$E2334))</f>
        <v/>
      </c>
      <c r="C2333" t="str">
        <f>IF(原始经营数据!$D2334="","",原始经营数据!$F2334)</f>
        <v/>
      </c>
      <c r="D2333" t="str">
        <f>IF(原始经营数据!$D2334="","",原始经营数据!$H2334)</f>
        <v/>
      </c>
      <c r="E2333" t="str">
        <f>IF(原始经营数据!$D2334="","",原始经营数据!$I2334)</f>
        <v/>
      </c>
      <c r="F2333" t="str">
        <f>IF(原始经营数据!$D2334="","",T(原始经营数据!$J2334))</f>
        <v/>
      </c>
      <c r="G2333" t="str">
        <f>IF(原始经营数据!$D2334="","",T(原始经营数据!$K2334))</f>
        <v/>
      </c>
      <c r="H2333" t="str">
        <f>IF(原始经营数据!$D2334="","",原始经营数据!$G2334)</f>
        <v/>
      </c>
      <c r="I2333" t="str">
        <f>IF($A2333="","",IF($B2333&lt;&gt;"",$B2333,IF(COUNTIFS(原始经营数据!$D$3:$D$3001,$A2333,原始经营数据!$E$3:$E$3001,"",原始经营数据!$F$3:$F$3001,$C2333,原始经营数据!$H$3:$H$3001,$D2333,原始经营数据!$K$3:$K$3001,$G2333)&gt;1,"基金整体·来源"&amp;原始经营数据!$A2334,"基金整体")))</f>
        <v/>
      </c>
      <c r="J2333" t="str">
        <f t="shared" si="543"/>
        <v/>
      </c>
      <c r="K2333" t="str">
        <f t="shared" si="544"/>
        <v/>
      </c>
      <c r="L2333" t="str">
        <f t="shared" si="545"/>
        <v/>
      </c>
      <c r="M2333">
        <f>IF($A2333="",0,IF(COUNTIF($L$2:$L2333,$L2333)=1,1,0))</f>
        <v>0</v>
      </c>
      <c r="N2333" t="str">
        <f t="shared" si="546"/>
        <v/>
      </c>
      <c r="O2333" t="str">
        <f t="shared" si="547"/>
        <v/>
      </c>
      <c r="P2333">
        <f>IF($A2333="",0,IF(COUNTIF($O$2:$O2333,$O2333)=1,1,0))</f>
        <v>0</v>
      </c>
      <c r="Q2333" t="str">
        <f>IF(AND($P2333=1,$A2333=经营数据!$B$3,$J2333=经营数据!$BA$5),COUNTIFS($P$2:$P$3000,1,$A$2:$A$3000,$A2333,$J$2:$J$3000,$J2333,$N$2:$N$3000,"&lt;"&amp;$N2333)+1,"")</f>
        <v/>
      </c>
      <c r="R2333" t="str">
        <f t="shared" si="548"/>
        <v/>
      </c>
      <c r="S2333">
        <f>IF($A2333="",0,IF(COUNTIF($R$2:$R2333,$R2333)=1,1,0))</f>
        <v>0</v>
      </c>
      <c r="T2333" t="str">
        <f t="shared" si="549"/>
        <v/>
      </c>
      <c r="U2333" t="str">
        <f>IF($A2333="","",IF($A2333=经营数据!$B$3,COUNTIFS($S$2:$S$3000,1,$A$2:$A$3000,$A2333,$T$2:$T$3000,"&lt;"&amp;$T2333)+1,""))</f>
        <v/>
      </c>
      <c r="V2333" t="str">
        <f t="shared" si="550"/>
        <v/>
      </c>
      <c r="W2333" t="str">
        <f t="shared" si="551"/>
        <v/>
      </c>
      <c r="X2333" t="str">
        <f t="shared" si="552"/>
        <v/>
      </c>
      <c r="Y2333" t="str">
        <f t="shared" si="553"/>
        <v/>
      </c>
      <c r="Z2333">
        <f>IF($A2333="",0,IF(AND($M2333=1,$A2333=经营数据!$B$3,$J2333=经营数据!$BA$5,OR($I2333=经营数据!$BA$4,COUNTIF(经营数据!$AA$9:$AA$38,$I2333)&gt;0)),1,0))</f>
        <v>0</v>
      </c>
      <c r="AA2333" t="str">
        <f t="shared" si="554"/>
        <v/>
      </c>
      <c r="AB2333" t="str">
        <f t="shared" si="555"/>
        <v/>
      </c>
      <c r="AC2333">
        <f>IF($A2333="",0,IF(COUNTIF($A$2:$A2333,$A2333)=1,1,0))</f>
        <v>0</v>
      </c>
      <c r="AD2333">
        <f t="shared" si="556"/>
        <v>29</v>
      </c>
      <c r="AE2333" t="str">
        <f t="shared" si="557"/>
        <v/>
      </c>
    </row>
    <row r="2334" spans="1:31" x14ac:dyDescent="0.4">
      <c r="A2334" t="str">
        <f>IF(原始经营数据!$D2335="","",原始经营数据!$D2335)</f>
        <v/>
      </c>
      <c r="B2334" t="str">
        <f>IF(原始经营数据!$D2335="","",T(原始经营数据!$E2335))</f>
        <v/>
      </c>
      <c r="C2334" t="str">
        <f>IF(原始经营数据!$D2335="","",原始经营数据!$F2335)</f>
        <v/>
      </c>
      <c r="D2334" t="str">
        <f>IF(原始经营数据!$D2335="","",原始经营数据!$H2335)</f>
        <v/>
      </c>
      <c r="E2334" t="str">
        <f>IF(原始经营数据!$D2335="","",原始经营数据!$I2335)</f>
        <v/>
      </c>
      <c r="F2334" t="str">
        <f>IF(原始经营数据!$D2335="","",T(原始经营数据!$J2335))</f>
        <v/>
      </c>
      <c r="G2334" t="str">
        <f>IF(原始经营数据!$D2335="","",T(原始经营数据!$K2335))</f>
        <v/>
      </c>
      <c r="H2334" t="str">
        <f>IF(原始经营数据!$D2335="","",原始经营数据!$G2335)</f>
        <v/>
      </c>
      <c r="I2334" t="str">
        <f>IF($A2334="","",IF($B2334&lt;&gt;"",$B2334,IF(COUNTIFS(原始经营数据!$D$3:$D$3001,$A2334,原始经营数据!$E$3:$E$3001,"",原始经营数据!$F$3:$F$3001,$C2334,原始经营数据!$H$3:$H$3001,$D2334,原始经营数据!$K$3:$K$3001,$G2334)&gt;1,"基金整体·来源"&amp;原始经营数据!$A2335,"基金整体")))</f>
        <v/>
      </c>
      <c r="J2334" t="str">
        <f t="shared" si="543"/>
        <v/>
      </c>
      <c r="K2334" t="str">
        <f t="shared" si="544"/>
        <v/>
      </c>
      <c r="L2334" t="str">
        <f t="shared" si="545"/>
        <v/>
      </c>
      <c r="M2334">
        <f>IF($A2334="",0,IF(COUNTIF($L$2:$L2334,$L2334)=1,1,0))</f>
        <v>0</v>
      </c>
      <c r="N2334" t="str">
        <f t="shared" si="546"/>
        <v/>
      </c>
      <c r="O2334" t="str">
        <f t="shared" si="547"/>
        <v/>
      </c>
      <c r="P2334">
        <f>IF($A2334="",0,IF(COUNTIF($O$2:$O2334,$O2334)=1,1,0))</f>
        <v>0</v>
      </c>
      <c r="Q2334" t="str">
        <f>IF(AND($P2334=1,$A2334=经营数据!$B$3,$J2334=经营数据!$BA$5),COUNTIFS($P$2:$P$3000,1,$A$2:$A$3000,$A2334,$J$2:$J$3000,$J2334,$N$2:$N$3000,"&lt;"&amp;$N2334)+1,"")</f>
        <v/>
      </c>
      <c r="R2334" t="str">
        <f t="shared" si="548"/>
        <v/>
      </c>
      <c r="S2334">
        <f>IF($A2334="",0,IF(COUNTIF($R$2:$R2334,$R2334)=1,1,0))</f>
        <v>0</v>
      </c>
      <c r="T2334" t="str">
        <f t="shared" si="549"/>
        <v/>
      </c>
      <c r="U2334" t="str">
        <f>IF($A2334="","",IF($A2334=经营数据!$B$3,COUNTIFS($S$2:$S$3000,1,$A$2:$A$3000,$A2334,$T$2:$T$3000,"&lt;"&amp;$T2334)+1,""))</f>
        <v/>
      </c>
      <c r="V2334" t="str">
        <f t="shared" si="550"/>
        <v/>
      </c>
      <c r="W2334" t="str">
        <f t="shared" si="551"/>
        <v/>
      </c>
      <c r="X2334" t="str">
        <f t="shared" si="552"/>
        <v/>
      </c>
      <c r="Y2334" t="str">
        <f t="shared" si="553"/>
        <v/>
      </c>
      <c r="Z2334">
        <f>IF($A2334="",0,IF(AND($M2334=1,$A2334=经营数据!$B$3,$J2334=经营数据!$BA$5,OR($I2334=经营数据!$BA$4,COUNTIF(经营数据!$AA$9:$AA$38,$I2334)&gt;0)),1,0))</f>
        <v>0</v>
      </c>
      <c r="AA2334" t="str">
        <f t="shared" si="554"/>
        <v/>
      </c>
      <c r="AB2334" t="str">
        <f t="shared" si="555"/>
        <v/>
      </c>
      <c r="AC2334">
        <f>IF($A2334="",0,IF(COUNTIF($A$2:$A2334,$A2334)=1,1,0))</f>
        <v>0</v>
      </c>
      <c r="AD2334">
        <f t="shared" si="556"/>
        <v>29</v>
      </c>
      <c r="AE2334" t="str">
        <f t="shared" si="557"/>
        <v/>
      </c>
    </row>
    <row r="2335" spans="1:31" x14ac:dyDescent="0.4">
      <c r="A2335" t="str">
        <f>IF(原始经营数据!$D2336="","",原始经营数据!$D2336)</f>
        <v/>
      </c>
      <c r="B2335" t="str">
        <f>IF(原始经营数据!$D2336="","",T(原始经营数据!$E2336))</f>
        <v/>
      </c>
      <c r="C2335" t="str">
        <f>IF(原始经营数据!$D2336="","",原始经营数据!$F2336)</f>
        <v/>
      </c>
      <c r="D2335" t="str">
        <f>IF(原始经营数据!$D2336="","",原始经营数据!$H2336)</f>
        <v/>
      </c>
      <c r="E2335" t="str">
        <f>IF(原始经营数据!$D2336="","",原始经营数据!$I2336)</f>
        <v/>
      </c>
      <c r="F2335" t="str">
        <f>IF(原始经营数据!$D2336="","",T(原始经营数据!$J2336))</f>
        <v/>
      </c>
      <c r="G2335" t="str">
        <f>IF(原始经营数据!$D2336="","",T(原始经营数据!$K2336))</f>
        <v/>
      </c>
      <c r="H2335" t="str">
        <f>IF(原始经营数据!$D2336="","",原始经营数据!$G2336)</f>
        <v/>
      </c>
      <c r="I2335" t="str">
        <f>IF($A2335="","",IF($B2335&lt;&gt;"",$B2335,IF(COUNTIFS(原始经营数据!$D$3:$D$3001,$A2335,原始经营数据!$E$3:$E$3001,"",原始经营数据!$F$3:$F$3001,$C2335,原始经营数据!$H$3:$H$3001,$D2335,原始经营数据!$K$3:$K$3001,$G2335)&gt;1,"基金整体·来源"&amp;原始经营数据!$A2336,"基金整体")))</f>
        <v/>
      </c>
      <c r="J2335" t="str">
        <f t="shared" si="543"/>
        <v/>
      </c>
      <c r="K2335" t="str">
        <f t="shared" si="544"/>
        <v/>
      </c>
      <c r="L2335" t="str">
        <f t="shared" si="545"/>
        <v/>
      </c>
      <c r="M2335">
        <f>IF($A2335="",0,IF(COUNTIF($L$2:$L2335,$L2335)=1,1,0))</f>
        <v>0</v>
      </c>
      <c r="N2335" t="str">
        <f t="shared" si="546"/>
        <v/>
      </c>
      <c r="O2335" t="str">
        <f t="shared" si="547"/>
        <v/>
      </c>
      <c r="P2335">
        <f>IF($A2335="",0,IF(COUNTIF($O$2:$O2335,$O2335)=1,1,0))</f>
        <v>0</v>
      </c>
      <c r="Q2335" t="str">
        <f>IF(AND($P2335=1,$A2335=经营数据!$B$3,$J2335=经营数据!$BA$5),COUNTIFS($P$2:$P$3000,1,$A$2:$A$3000,$A2335,$J$2:$J$3000,$J2335,$N$2:$N$3000,"&lt;"&amp;$N2335)+1,"")</f>
        <v/>
      </c>
      <c r="R2335" t="str">
        <f t="shared" si="548"/>
        <v/>
      </c>
      <c r="S2335">
        <f>IF($A2335="",0,IF(COUNTIF($R$2:$R2335,$R2335)=1,1,0))</f>
        <v>0</v>
      </c>
      <c r="T2335" t="str">
        <f t="shared" si="549"/>
        <v/>
      </c>
      <c r="U2335" t="str">
        <f>IF($A2335="","",IF($A2335=经营数据!$B$3,COUNTIFS($S$2:$S$3000,1,$A$2:$A$3000,$A2335,$T$2:$T$3000,"&lt;"&amp;$T2335)+1,""))</f>
        <v/>
      </c>
      <c r="V2335" t="str">
        <f t="shared" si="550"/>
        <v/>
      </c>
      <c r="W2335" t="str">
        <f t="shared" si="551"/>
        <v/>
      </c>
      <c r="X2335" t="str">
        <f t="shared" si="552"/>
        <v/>
      </c>
      <c r="Y2335" t="str">
        <f t="shared" si="553"/>
        <v/>
      </c>
      <c r="Z2335">
        <f>IF($A2335="",0,IF(AND($M2335=1,$A2335=经营数据!$B$3,$J2335=经营数据!$BA$5,OR($I2335=经营数据!$BA$4,COUNTIF(经营数据!$AA$9:$AA$38,$I2335)&gt;0)),1,0))</f>
        <v>0</v>
      </c>
      <c r="AA2335" t="str">
        <f t="shared" si="554"/>
        <v/>
      </c>
      <c r="AB2335" t="str">
        <f t="shared" si="555"/>
        <v/>
      </c>
      <c r="AC2335">
        <f>IF($A2335="",0,IF(COUNTIF($A$2:$A2335,$A2335)=1,1,0))</f>
        <v>0</v>
      </c>
      <c r="AD2335">
        <f t="shared" si="556"/>
        <v>29</v>
      </c>
      <c r="AE2335" t="str">
        <f t="shared" si="557"/>
        <v/>
      </c>
    </row>
    <row r="2336" spans="1:31" x14ac:dyDescent="0.4">
      <c r="A2336" t="str">
        <f>IF(原始经营数据!$D2337="","",原始经营数据!$D2337)</f>
        <v/>
      </c>
      <c r="B2336" t="str">
        <f>IF(原始经营数据!$D2337="","",T(原始经营数据!$E2337))</f>
        <v/>
      </c>
      <c r="C2336" t="str">
        <f>IF(原始经营数据!$D2337="","",原始经营数据!$F2337)</f>
        <v/>
      </c>
      <c r="D2336" t="str">
        <f>IF(原始经营数据!$D2337="","",原始经营数据!$H2337)</f>
        <v/>
      </c>
      <c r="E2336" t="str">
        <f>IF(原始经营数据!$D2337="","",原始经营数据!$I2337)</f>
        <v/>
      </c>
      <c r="F2336" t="str">
        <f>IF(原始经营数据!$D2337="","",T(原始经营数据!$J2337))</f>
        <v/>
      </c>
      <c r="G2336" t="str">
        <f>IF(原始经营数据!$D2337="","",T(原始经营数据!$K2337))</f>
        <v/>
      </c>
      <c r="H2336" t="str">
        <f>IF(原始经营数据!$D2337="","",原始经营数据!$G2337)</f>
        <v/>
      </c>
      <c r="I2336" t="str">
        <f>IF($A2336="","",IF($B2336&lt;&gt;"",$B2336,IF(COUNTIFS(原始经营数据!$D$3:$D$3001,$A2336,原始经营数据!$E$3:$E$3001,"",原始经营数据!$F$3:$F$3001,$C2336,原始经营数据!$H$3:$H$3001,$D2336,原始经营数据!$K$3:$K$3001,$G2336)&gt;1,"基金整体·来源"&amp;原始经营数据!$A2337,"基金整体")))</f>
        <v/>
      </c>
      <c r="J2336" t="str">
        <f t="shared" si="543"/>
        <v/>
      </c>
      <c r="K2336" t="str">
        <f t="shared" si="544"/>
        <v/>
      </c>
      <c r="L2336" t="str">
        <f t="shared" si="545"/>
        <v/>
      </c>
      <c r="M2336">
        <f>IF($A2336="",0,IF(COUNTIF($L$2:$L2336,$L2336)=1,1,0))</f>
        <v>0</v>
      </c>
      <c r="N2336" t="str">
        <f t="shared" si="546"/>
        <v/>
      </c>
      <c r="O2336" t="str">
        <f t="shared" si="547"/>
        <v/>
      </c>
      <c r="P2336">
        <f>IF($A2336="",0,IF(COUNTIF($O$2:$O2336,$O2336)=1,1,0))</f>
        <v>0</v>
      </c>
      <c r="Q2336" t="str">
        <f>IF(AND($P2336=1,$A2336=经营数据!$B$3,$J2336=经营数据!$BA$5),COUNTIFS($P$2:$P$3000,1,$A$2:$A$3000,$A2336,$J$2:$J$3000,$J2336,$N$2:$N$3000,"&lt;"&amp;$N2336)+1,"")</f>
        <v/>
      </c>
      <c r="R2336" t="str">
        <f t="shared" si="548"/>
        <v/>
      </c>
      <c r="S2336">
        <f>IF($A2336="",0,IF(COUNTIF($R$2:$R2336,$R2336)=1,1,0))</f>
        <v>0</v>
      </c>
      <c r="T2336" t="str">
        <f t="shared" si="549"/>
        <v/>
      </c>
      <c r="U2336" t="str">
        <f>IF($A2336="","",IF($A2336=经营数据!$B$3,COUNTIFS($S$2:$S$3000,1,$A$2:$A$3000,$A2336,$T$2:$T$3000,"&lt;"&amp;$T2336)+1,""))</f>
        <v/>
      </c>
      <c r="V2336" t="str">
        <f t="shared" si="550"/>
        <v/>
      </c>
      <c r="W2336" t="str">
        <f t="shared" si="551"/>
        <v/>
      </c>
      <c r="X2336" t="str">
        <f t="shared" si="552"/>
        <v/>
      </c>
      <c r="Y2336" t="str">
        <f t="shared" si="553"/>
        <v/>
      </c>
      <c r="Z2336">
        <f>IF($A2336="",0,IF(AND($M2336=1,$A2336=经营数据!$B$3,$J2336=经营数据!$BA$5,OR($I2336=经营数据!$BA$4,COUNTIF(经营数据!$AA$9:$AA$38,$I2336)&gt;0)),1,0))</f>
        <v>0</v>
      </c>
      <c r="AA2336" t="str">
        <f t="shared" si="554"/>
        <v/>
      </c>
      <c r="AB2336" t="str">
        <f t="shared" si="555"/>
        <v/>
      </c>
      <c r="AC2336">
        <f>IF($A2336="",0,IF(COUNTIF($A$2:$A2336,$A2336)=1,1,0))</f>
        <v>0</v>
      </c>
      <c r="AD2336">
        <f t="shared" si="556"/>
        <v>29</v>
      </c>
      <c r="AE2336" t="str">
        <f t="shared" si="557"/>
        <v/>
      </c>
    </row>
    <row r="2337" spans="1:31" x14ac:dyDescent="0.4">
      <c r="A2337" t="str">
        <f>IF(原始经营数据!$D2338="","",原始经营数据!$D2338)</f>
        <v/>
      </c>
      <c r="B2337" t="str">
        <f>IF(原始经营数据!$D2338="","",T(原始经营数据!$E2338))</f>
        <v/>
      </c>
      <c r="C2337" t="str">
        <f>IF(原始经营数据!$D2338="","",原始经营数据!$F2338)</f>
        <v/>
      </c>
      <c r="D2337" t="str">
        <f>IF(原始经营数据!$D2338="","",原始经营数据!$H2338)</f>
        <v/>
      </c>
      <c r="E2337" t="str">
        <f>IF(原始经营数据!$D2338="","",原始经营数据!$I2338)</f>
        <v/>
      </c>
      <c r="F2337" t="str">
        <f>IF(原始经营数据!$D2338="","",T(原始经营数据!$J2338))</f>
        <v/>
      </c>
      <c r="G2337" t="str">
        <f>IF(原始经营数据!$D2338="","",T(原始经营数据!$K2338))</f>
        <v/>
      </c>
      <c r="H2337" t="str">
        <f>IF(原始经营数据!$D2338="","",原始经营数据!$G2338)</f>
        <v/>
      </c>
      <c r="I2337" t="str">
        <f>IF($A2337="","",IF($B2337&lt;&gt;"",$B2337,IF(COUNTIFS(原始经营数据!$D$3:$D$3001,$A2337,原始经营数据!$E$3:$E$3001,"",原始经营数据!$F$3:$F$3001,$C2337,原始经营数据!$H$3:$H$3001,$D2337,原始经营数据!$K$3:$K$3001,$G2337)&gt;1,"基金整体·来源"&amp;原始经营数据!$A2338,"基金整体")))</f>
        <v/>
      </c>
      <c r="J2337" t="str">
        <f t="shared" si="543"/>
        <v/>
      </c>
      <c r="K2337" t="str">
        <f t="shared" si="544"/>
        <v/>
      </c>
      <c r="L2337" t="str">
        <f t="shared" si="545"/>
        <v/>
      </c>
      <c r="M2337">
        <f>IF($A2337="",0,IF(COUNTIF($L$2:$L2337,$L2337)=1,1,0))</f>
        <v>0</v>
      </c>
      <c r="N2337" t="str">
        <f t="shared" si="546"/>
        <v/>
      </c>
      <c r="O2337" t="str">
        <f t="shared" si="547"/>
        <v/>
      </c>
      <c r="P2337">
        <f>IF($A2337="",0,IF(COUNTIF($O$2:$O2337,$O2337)=1,1,0))</f>
        <v>0</v>
      </c>
      <c r="Q2337" t="str">
        <f>IF(AND($P2337=1,$A2337=经营数据!$B$3,$J2337=经营数据!$BA$5),COUNTIFS($P$2:$P$3000,1,$A$2:$A$3000,$A2337,$J$2:$J$3000,$J2337,$N$2:$N$3000,"&lt;"&amp;$N2337)+1,"")</f>
        <v/>
      </c>
      <c r="R2337" t="str">
        <f t="shared" si="548"/>
        <v/>
      </c>
      <c r="S2337">
        <f>IF($A2337="",0,IF(COUNTIF($R$2:$R2337,$R2337)=1,1,0))</f>
        <v>0</v>
      </c>
      <c r="T2337" t="str">
        <f t="shared" si="549"/>
        <v/>
      </c>
      <c r="U2337" t="str">
        <f>IF($A2337="","",IF($A2337=经营数据!$B$3,COUNTIFS($S$2:$S$3000,1,$A$2:$A$3000,$A2337,$T$2:$T$3000,"&lt;"&amp;$T2337)+1,""))</f>
        <v/>
      </c>
      <c r="V2337" t="str">
        <f t="shared" si="550"/>
        <v/>
      </c>
      <c r="W2337" t="str">
        <f t="shared" si="551"/>
        <v/>
      </c>
      <c r="X2337" t="str">
        <f t="shared" si="552"/>
        <v/>
      </c>
      <c r="Y2337" t="str">
        <f t="shared" si="553"/>
        <v/>
      </c>
      <c r="Z2337">
        <f>IF($A2337="",0,IF(AND($M2337=1,$A2337=经营数据!$B$3,$J2337=经营数据!$BA$5,OR($I2337=经营数据!$BA$4,COUNTIF(经营数据!$AA$9:$AA$38,$I2337)&gt;0)),1,0))</f>
        <v>0</v>
      </c>
      <c r="AA2337" t="str">
        <f t="shared" si="554"/>
        <v/>
      </c>
      <c r="AB2337" t="str">
        <f t="shared" si="555"/>
        <v/>
      </c>
      <c r="AC2337">
        <f>IF($A2337="",0,IF(COUNTIF($A$2:$A2337,$A2337)=1,1,0))</f>
        <v>0</v>
      </c>
      <c r="AD2337">
        <f t="shared" si="556"/>
        <v>29</v>
      </c>
      <c r="AE2337" t="str">
        <f t="shared" si="557"/>
        <v/>
      </c>
    </row>
    <row r="2338" spans="1:31" x14ac:dyDescent="0.4">
      <c r="A2338" t="str">
        <f>IF(原始经营数据!$D2339="","",原始经营数据!$D2339)</f>
        <v/>
      </c>
      <c r="B2338" t="str">
        <f>IF(原始经营数据!$D2339="","",T(原始经营数据!$E2339))</f>
        <v/>
      </c>
      <c r="C2338" t="str">
        <f>IF(原始经营数据!$D2339="","",原始经营数据!$F2339)</f>
        <v/>
      </c>
      <c r="D2338" t="str">
        <f>IF(原始经营数据!$D2339="","",原始经营数据!$H2339)</f>
        <v/>
      </c>
      <c r="E2338" t="str">
        <f>IF(原始经营数据!$D2339="","",原始经营数据!$I2339)</f>
        <v/>
      </c>
      <c r="F2338" t="str">
        <f>IF(原始经营数据!$D2339="","",T(原始经营数据!$J2339))</f>
        <v/>
      </c>
      <c r="G2338" t="str">
        <f>IF(原始经营数据!$D2339="","",T(原始经营数据!$K2339))</f>
        <v/>
      </c>
      <c r="H2338" t="str">
        <f>IF(原始经营数据!$D2339="","",原始经营数据!$G2339)</f>
        <v/>
      </c>
      <c r="I2338" t="str">
        <f>IF($A2338="","",IF($B2338&lt;&gt;"",$B2338,IF(COUNTIFS(原始经营数据!$D$3:$D$3001,$A2338,原始经营数据!$E$3:$E$3001,"",原始经营数据!$F$3:$F$3001,$C2338,原始经营数据!$H$3:$H$3001,$D2338,原始经营数据!$K$3:$K$3001,$G2338)&gt;1,"基金整体·来源"&amp;原始经营数据!$A2339,"基金整体")))</f>
        <v/>
      </c>
      <c r="J2338" t="str">
        <f t="shared" si="543"/>
        <v/>
      </c>
      <c r="K2338" t="str">
        <f t="shared" si="544"/>
        <v/>
      </c>
      <c r="L2338" t="str">
        <f t="shared" si="545"/>
        <v/>
      </c>
      <c r="M2338">
        <f>IF($A2338="",0,IF(COUNTIF($L$2:$L2338,$L2338)=1,1,0))</f>
        <v>0</v>
      </c>
      <c r="N2338" t="str">
        <f t="shared" si="546"/>
        <v/>
      </c>
      <c r="O2338" t="str">
        <f t="shared" si="547"/>
        <v/>
      </c>
      <c r="P2338">
        <f>IF($A2338="",0,IF(COUNTIF($O$2:$O2338,$O2338)=1,1,0))</f>
        <v>0</v>
      </c>
      <c r="Q2338" t="str">
        <f>IF(AND($P2338=1,$A2338=经营数据!$B$3,$J2338=经营数据!$BA$5),COUNTIFS($P$2:$P$3000,1,$A$2:$A$3000,$A2338,$J$2:$J$3000,$J2338,$N$2:$N$3000,"&lt;"&amp;$N2338)+1,"")</f>
        <v/>
      </c>
      <c r="R2338" t="str">
        <f t="shared" si="548"/>
        <v/>
      </c>
      <c r="S2338">
        <f>IF($A2338="",0,IF(COUNTIF($R$2:$R2338,$R2338)=1,1,0))</f>
        <v>0</v>
      </c>
      <c r="T2338" t="str">
        <f t="shared" si="549"/>
        <v/>
      </c>
      <c r="U2338" t="str">
        <f>IF($A2338="","",IF($A2338=经营数据!$B$3,COUNTIFS($S$2:$S$3000,1,$A$2:$A$3000,$A2338,$T$2:$T$3000,"&lt;"&amp;$T2338)+1,""))</f>
        <v/>
      </c>
      <c r="V2338" t="str">
        <f t="shared" si="550"/>
        <v/>
      </c>
      <c r="W2338" t="str">
        <f t="shared" si="551"/>
        <v/>
      </c>
      <c r="X2338" t="str">
        <f t="shared" si="552"/>
        <v/>
      </c>
      <c r="Y2338" t="str">
        <f t="shared" si="553"/>
        <v/>
      </c>
      <c r="Z2338">
        <f>IF($A2338="",0,IF(AND($M2338=1,$A2338=经营数据!$B$3,$J2338=经营数据!$BA$5,OR($I2338=经营数据!$BA$4,COUNTIF(经营数据!$AA$9:$AA$38,$I2338)&gt;0)),1,0))</f>
        <v>0</v>
      </c>
      <c r="AA2338" t="str">
        <f t="shared" si="554"/>
        <v/>
      </c>
      <c r="AB2338" t="str">
        <f t="shared" si="555"/>
        <v/>
      </c>
      <c r="AC2338">
        <f>IF($A2338="",0,IF(COUNTIF($A$2:$A2338,$A2338)=1,1,0))</f>
        <v>0</v>
      </c>
      <c r="AD2338">
        <f t="shared" si="556"/>
        <v>29</v>
      </c>
      <c r="AE2338" t="str">
        <f t="shared" si="557"/>
        <v/>
      </c>
    </row>
    <row r="2339" spans="1:31" x14ac:dyDescent="0.4">
      <c r="A2339" t="str">
        <f>IF(原始经营数据!$D2340="","",原始经营数据!$D2340)</f>
        <v/>
      </c>
      <c r="B2339" t="str">
        <f>IF(原始经营数据!$D2340="","",T(原始经营数据!$E2340))</f>
        <v/>
      </c>
      <c r="C2339" t="str">
        <f>IF(原始经营数据!$D2340="","",原始经营数据!$F2340)</f>
        <v/>
      </c>
      <c r="D2339" t="str">
        <f>IF(原始经营数据!$D2340="","",原始经营数据!$H2340)</f>
        <v/>
      </c>
      <c r="E2339" t="str">
        <f>IF(原始经营数据!$D2340="","",原始经营数据!$I2340)</f>
        <v/>
      </c>
      <c r="F2339" t="str">
        <f>IF(原始经营数据!$D2340="","",T(原始经营数据!$J2340))</f>
        <v/>
      </c>
      <c r="G2339" t="str">
        <f>IF(原始经营数据!$D2340="","",T(原始经营数据!$K2340))</f>
        <v/>
      </c>
      <c r="H2339" t="str">
        <f>IF(原始经营数据!$D2340="","",原始经营数据!$G2340)</f>
        <v/>
      </c>
      <c r="I2339" t="str">
        <f>IF($A2339="","",IF($B2339&lt;&gt;"",$B2339,IF(COUNTIFS(原始经营数据!$D$3:$D$3001,$A2339,原始经营数据!$E$3:$E$3001,"",原始经营数据!$F$3:$F$3001,$C2339,原始经营数据!$H$3:$H$3001,$D2339,原始经营数据!$K$3:$K$3001,$G2339)&gt;1,"基金整体·来源"&amp;原始经营数据!$A2340,"基金整体")))</f>
        <v/>
      </c>
      <c r="J2339" t="str">
        <f t="shared" si="543"/>
        <v/>
      </c>
      <c r="K2339" t="str">
        <f t="shared" si="544"/>
        <v/>
      </c>
      <c r="L2339" t="str">
        <f t="shared" si="545"/>
        <v/>
      </c>
      <c r="M2339">
        <f>IF($A2339="",0,IF(COUNTIF($L$2:$L2339,$L2339)=1,1,0))</f>
        <v>0</v>
      </c>
      <c r="N2339" t="str">
        <f t="shared" si="546"/>
        <v/>
      </c>
      <c r="O2339" t="str">
        <f t="shared" si="547"/>
        <v/>
      </c>
      <c r="P2339">
        <f>IF($A2339="",0,IF(COUNTIF($O$2:$O2339,$O2339)=1,1,0))</f>
        <v>0</v>
      </c>
      <c r="Q2339" t="str">
        <f>IF(AND($P2339=1,$A2339=经营数据!$B$3,$J2339=经营数据!$BA$5),COUNTIFS($P$2:$P$3000,1,$A$2:$A$3000,$A2339,$J$2:$J$3000,$J2339,$N$2:$N$3000,"&lt;"&amp;$N2339)+1,"")</f>
        <v/>
      </c>
      <c r="R2339" t="str">
        <f t="shared" si="548"/>
        <v/>
      </c>
      <c r="S2339">
        <f>IF($A2339="",0,IF(COUNTIF($R$2:$R2339,$R2339)=1,1,0))</f>
        <v>0</v>
      </c>
      <c r="T2339" t="str">
        <f t="shared" si="549"/>
        <v/>
      </c>
      <c r="U2339" t="str">
        <f>IF($A2339="","",IF($A2339=经营数据!$B$3,COUNTIFS($S$2:$S$3000,1,$A$2:$A$3000,$A2339,$T$2:$T$3000,"&lt;"&amp;$T2339)+1,""))</f>
        <v/>
      </c>
      <c r="V2339" t="str">
        <f t="shared" si="550"/>
        <v/>
      </c>
      <c r="W2339" t="str">
        <f t="shared" si="551"/>
        <v/>
      </c>
      <c r="X2339" t="str">
        <f t="shared" si="552"/>
        <v/>
      </c>
      <c r="Y2339" t="str">
        <f t="shared" si="553"/>
        <v/>
      </c>
      <c r="Z2339">
        <f>IF($A2339="",0,IF(AND($M2339=1,$A2339=经营数据!$B$3,$J2339=经营数据!$BA$5,OR($I2339=经营数据!$BA$4,COUNTIF(经营数据!$AA$9:$AA$38,$I2339)&gt;0)),1,0))</f>
        <v>0</v>
      </c>
      <c r="AA2339" t="str">
        <f t="shared" si="554"/>
        <v/>
      </c>
      <c r="AB2339" t="str">
        <f t="shared" si="555"/>
        <v/>
      </c>
      <c r="AC2339">
        <f>IF($A2339="",0,IF(COUNTIF($A$2:$A2339,$A2339)=1,1,0))</f>
        <v>0</v>
      </c>
      <c r="AD2339">
        <f t="shared" si="556"/>
        <v>29</v>
      </c>
      <c r="AE2339" t="str">
        <f t="shared" si="557"/>
        <v/>
      </c>
    </row>
    <row r="2340" spans="1:31" x14ac:dyDescent="0.4">
      <c r="A2340" t="str">
        <f>IF(原始经营数据!$D2341="","",原始经营数据!$D2341)</f>
        <v/>
      </c>
      <c r="B2340" t="str">
        <f>IF(原始经营数据!$D2341="","",T(原始经营数据!$E2341))</f>
        <v/>
      </c>
      <c r="C2340" t="str">
        <f>IF(原始经营数据!$D2341="","",原始经营数据!$F2341)</f>
        <v/>
      </c>
      <c r="D2340" t="str">
        <f>IF(原始经营数据!$D2341="","",原始经营数据!$H2341)</f>
        <v/>
      </c>
      <c r="E2340" t="str">
        <f>IF(原始经营数据!$D2341="","",原始经营数据!$I2341)</f>
        <v/>
      </c>
      <c r="F2340" t="str">
        <f>IF(原始经营数据!$D2341="","",T(原始经营数据!$J2341))</f>
        <v/>
      </c>
      <c r="G2340" t="str">
        <f>IF(原始经营数据!$D2341="","",T(原始经营数据!$K2341))</f>
        <v/>
      </c>
      <c r="H2340" t="str">
        <f>IF(原始经营数据!$D2341="","",原始经营数据!$G2341)</f>
        <v/>
      </c>
      <c r="I2340" t="str">
        <f>IF($A2340="","",IF($B2340&lt;&gt;"",$B2340,IF(COUNTIFS(原始经营数据!$D$3:$D$3001,$A2340,原始经营数据!$E$3:$E$3001,"",原始经营数据!$F$3:$F$3001,$C2340,原始经营数据!$H$3:$H$3001,$D2340,原始经营数据!$K$3:$K$3001,$G2340)&gt;1,"基金整体·来源"&amp;原始经营数据!$A2341,"基金整体")))</f>
        <v/>
      </c>
      <c r="J2340" t="str">
        <f t="shared" si="543"/>
        <v/>
      </c>
      <c r="K2340" t="str">
        <f t="shared" si="544"/>
        <v/>
      </c>
      <c r="L2340" t="str">
        <f t="shared" si="545"/>
        <v/>
      </c>
      <c r="M2340">
        <f>IF($A2340="",0,IF(COUNTIF($L$2:$L2340,$L2340)=1,1,0))</f>
        <v>0</v>
      </c>
      <c r="N2340" t="str">
        <f t="shared" si="546"/>
        <v/>
      </c>
      <c r="O2340" t="str">
        <f t="shared" si="547"/>
        <v/>
      </c>
      <c r="P2340">
        <f>IF($A2340="",0,IF(COUNTIF($O$2:$O2340,$O2340)=1,1,0))</f>
        <v>0</v>
      </c>
      <c r="Q2340" t="str">
        <f>IF(AND($P2340=1,$A2340=经营数据!$B$3,$J2340=经营数据!$BA$5),COUNTIFS($P$2:$P$3000,1,$A$2:$A$3000,$A2340,$J$2:$J$3000,$J2340,$N$2:$N$3000,"&lt;"&amp;$N2340)+1,"")</f>
        <v/>
      </c>
      <c r="R2340" t="str">
        <f t="shared" si="548"/>
        <v/>
      </c>
      <c r="S2340">
        <f>IF($A2340="",0,IF(COUNTIF($R$2:$R2340,$R2340)=1,1,0))</f>
        <v>0</v>
      </c>
      <c r="T2340" t="str">
        <f t="shared" si="549"/>
        <v/>
      </c>
      <c r="U2340" t="str">
        <f>IF($A2340="","",IF($A2340=经营数据!$B$3,COUNTIFS($S$2:$S$3000,1,$A$2:$A$3000,$A2340,$T$2:$T$3000,"&lt;"&amp;$T2340)+1,""))</f>
        <v/>
      </c>
      <c r="V2340" t="str">
        <f t="shared" si="550"/>
        <v/>
      </c>
      <c r="W2340" t="str">
        <f t="shared" si="551"/>
        <v/>
      </c>
      <c r="X2340" t="str">
        <f t="shared" si="552"/>
        <v/>
      </c>
      <c r="Y2340" t="str">
        <f t="shared" si="553"/>
        <v/>
      </c>
      <c r="Z2340">
        <f>IF($A2340="",0,IF(AND($M2340=1,$A2340=经营数据!$B$3,$J2340=经营数据!$BA$5,OR($I2340=经营数据!$BA$4,COUNTIF(经营数据!$AA$9:$AA$38,$I2340)&gt;0)),1,0))</f>
        <v>0</v>
      </c>
      <c r="AA2340" t="str">
        <f t="shared" si="554"/>
        <v/>
      </c>
      <c r="AB2340" t="str">
        <f t="shared" si="555"/>
        <v/>
      </c>
      <c r="AC2340">
        <f>IF($A2340="",0,IF(COUNTIF($A$2:$A2340,$A2340)=1,1,0))</f>
        <v>0</v>
      </c>
      <c r="AD2340">
        <f t="shared" si="556"/>
        <v>29</v>
      </c>
      <c r="AE2340" t="str">
        <f t="shared" si="557"/>
        <v/>
      </c>
    </row>
    <row r="2341" spans="1:31" x14ac:dyDescent="0.4">
      <c r="A2341" t="str">
        <f>IF(原始经营数据!$D2342="","",原始经营数据!$D2342)</f>
        <v/>
      </c>
      <c r="B2341" t="str">
        <f>IF(原始经营数据!$D2342="","",T(原始经营数据!$E2342))</f>
        <v/>
      </c>
      <c r="C2341" t="str">
        <f>IF(原始经营数据!$D2342="","",原始经营数据!$F2342)</f>
        <v/>
      </c>
      <c r="D2341" t="str">
        <f>IF(原始经营数据!$D2342="","",原始经营数据!$H2342)</f>
        <v/>
      </c>
      <c r="E2341" t="str">
        <f>IF(原始经营数据!$D2342="","",原始经营数据!$I2342)</f>
        <v/>
      </c>
      <c r="F2341" t="str">
        <f>IF(原始经营数据!$D2342="","",T(原始经营数据!$J2342))</f>
        <v/>
      </c>
      <c r="G2341" t="str">
        <f>IF(原始经营数据!$D2342="","",T(原始经营数据!$K2342))</f>
        <v/>
      </c>
      <c r="H2341" t="str">
        <f>IF(原始经营数据!$D2342="","",原始经营数据!$G2342)</f>
        <v/>
      </c>
      <c r="I2341" t="str">
        <f>IF($A2341="","",IF($B2341&lt;&gt;"",$B2341,IF(COUNTIFS(原始经营数据!$D$3:$D$3001,$A2341,原始经营数据!$E$3:$E$3001,"",原始经营数据!$F$3:$F$3001,$C2341,原始经营数据!$H$3:$H$3001,$D2341,原始经营数据!$K$3:$K$3001,$G2341)&gt;1,"基金整体·来源"&amp;原始经营数据!$A2342,"基金整体")))</f>
        <v/>
      </c>
      <c r="J2341" t="str">
        <f t="shared" si="543"/>
        <v/>
      </c>
      <c r="K2341" t="str">
        <f t="shared" si="544"/>
        <v/>
      </c>
      <c r="L2341" t="str">
        <f t="shared" si="545"/>
        <v/>
      </c>
      <c r="M2341">
        <f>IF($A2341="",0,IF(COUNTIF($L$2:$L2341,$L2341)=1,1,0))</f>
        <v>0</v>
      </c>
      <c r="N2341" t="str">
        <f t="shared" si="546"/>
        <v/>
      </c>
      <c r="O2341" t="str">
        <f t="shared" si="547"/>
        <v/>
      </c>
      <c r="P2341">
        <f>IF($A2341="",0,IF(COUNTIF($O$2:$O2341,$O2341)=1,1,0))</f>
        <v>0</v>
      </c>
      <c r="Q2341" t="str">
        <f>IF(AND($P2341=1,$A2341=经营数据!$B$3,$J2341=经营数据!$BA$5),COUNTIFS($P$2:$P$3000,1,$A$2:$A$3000,$A2341,$J$2:$J$3000,$J2341,$N$2:$N$3000,"&lt;"&amp;$N2341)+1,"")</f>
        <v/>
      </c>
      <c r="R2341" t="str">
        <f t="shared" si="548"/>
        <v/>
      </c>
      <c r="S2341">
        <f>IF($A2341="",0,IF(COUNTIF($R$2:$R2341,$R2341)=1,1,0))</f>
        <v>0</v>
      </c>
      <c r="T2341" t="str">
        <f t="shared" si="549"/>
        <v/>
      </c>
      <c r="U2341" t="str">
        <f>IF($A2341="","",IF($A2341=经营数据!$B$3,COUNTIFS($S$2:$S$3000,1,$A$2:$A$3000,$A2341,$T$2:$T$3000,"&lt;"&amp;$T2341)+1,""))</f>
        <v/>
      </c>
      <c r="V2341" t="str">
        <f t="shared" si="550"/>
        <v/>
      </c>
      <c r="W2341" t="str">
        <f t="shared" si="551"/>
        <v/>
      </c>
      <c r="X2341" t="str">
        <f t="shared" si="552"/>
        <v/>
      </c>
      <c r="Y2341" t="str">
        <f t="shared" si="553"/>
        <v/>
      </c>
      <c r="Z2341">
        <f>IF($A2341="",0,IF(AND($M2341=1,$A2341=经营数据!$B$3,$J2341=经营数据!$BA$5,OR($I2341=经营数据!$BA$4,COUNTIF(经营数据!$AA$9:$AA$38,$I2341)&gt;0)),1,0))</f>
        <v>0</v>
      </c>
      <c r="AA2341" t="str">
        <f t="shared" si="554"/>
        <v/>
      </c>
      <c r="AB2341" t="str">
        <f t="shared" si="555"/>
        <v/>
      </c>
      <c r="AC2341">
        <f>IF($A2341="",0,IF(COUNTIF($A$2:$A2341,$A2341)=1,1,0))</f>
        <v>0</v>
      </c>
      <c r="AD2341">
        <f t="shared" si="556"/>
        <v>29</v>
      </c>
      <c r="AE2341" t="str">
        <f t="shared" si="557"/>
        <v/>
      </c>
    </row>
    <row r="2342" spans="1:31" x14ac:dyDescent="0.4">
      <c r="A2342" t="str">
        <f>IF(原始经营数据!$D2343="","",原始经营数据!$D2343)</f>
        <v/>
      </c>
      <c r="B2342" t="str">
        <f>IF(原始经营数据!$D2343="","",T(原始经营数据!$E2343))</f>
        <v/>
      </c>
      <c r="C2342" t="str">
        <f>IF(原始经营数据!$D2343="","",原始经营数据!$F2343)</f>
        <v/>
      </c>
      <c r="D2342" t="str">
        <f>IF(原始经营数据!$D2343="","",原始经营数据!$H2343)</f>
        <v/>
      </c>
      <c r="E2342" t="str">
        <f>IF(原始经营数据!$D2343="","",原始经营数据!$I2343)</f>
        <v/>
      </c>
      <c r="F2342" t="str">
        <f>IF(原始经营数据!$D2343="","",T(原始经营数据!$J2343))</f>
        <v/>
      </c>
      <c r="G2342" t="str">
        <f>IF(原始经营数据!$D2343="","",T(原始经营数据!$K2343))</f>
        <v/>
      </c>
      <c r="H2342" t="str">
        <f>IF(原始经营数据!$D2343="","",原始经营数据!$G2343)</f>
        <v/>
      </c>
      <c r="I2342" t="str">
        <f>IF($A2342="","",IF($B2342&lt;&gt;"",$B2342,IF(COUNTIFS(原始经营数据!$D$3:$D$3001,$A2342,原始经营数据!$E$3:$E$3001,"",原始经营数据!$F$3:$F$3001,$C2342,原始经营数据!$H$3:$H$3001,$D2342,原始经营数据!$K$3:$K$3001,$G2342)&gt;1,"基金整体·来源"&amp;原始经营数据!$A2343,"基金整体")))</f>
        <v/>
      </c>
      <c r="J2342" t="str">
        <f t="shared" si="543"/>
        <v/>
      </c>
      <c r="K2342" t="str">
        <f t="shared" si="544"/>
        <v/>
      </c>
      <c r="L2342" t="str">
        <f t="shared" si="545"/>
        <v/>
      </c>
      <c r="M2342">
        <f>IF($A2342="",0,IF(COUNTIF($L$2:$L2342,$L2342)=1,1,0))</f>
        <v>0</v>
      </c>
      <c r="N2342" t="str">
        <f t="shared" si="546"/>
        <v/>
      </c>
      <c r="O2342" t="str">
        <f t="shared" si="547"/>
        <v/>
      </c>
      <c r="P2342">
        <f>IF($A2342="",0,IF(COUNTIF($O$2:$O2342,$O2342)=1,1,0))</f>
        <v>0</v>
      </c>
      <c r="Q2342" t="str">
        <f>IF(AND($P2342=1,$A2342=经营数据!$B$3,$J2342=经营数据!$BA$5),COUNTIFS($P$2:$P$3000,1,$A$2:$A$3000,$A2342,$J$2:$J$3000,$J2342,$N$2:$N$3000,"&lt;"&amp;$N2342)+1,"")</f>
        <v/>
      </c>
      <c r="R2342" t="str">
        <f t="shared" si="548"/>
        <v/>
      </c>
      <c r="S2342">
        <f>IF($A2342="",0,IF(COUNTIF($R$2:$R2342,$R2342)=1,1,0))</f>
        <v>0</v>
      </c>
      <c r="T2342" t="str">
        <f t="shared" si="549"/>
        <v/>
      </c>
      <c r="U2342" t="str">
        <f>IF($A2342="","",IF($A2342=经营数据!$B$3,COUNTIFS($S$2:$S$3000,1,$A$2:$A$3000,$A2342,$T$2:$T$3000,"&lt;"&amp;$T2342)+1,""))</f>
        <v/>
      </c>
      <c r="V2342" t="str">
        <f t="shared" si="550"/>
        <v/>
      </c>
      <c r="W2342" t="str">
        <f t="shared" si="551"/>
        <v/>
      </c>
      <c r="X2342" t="str">
        <f t="shared" si="552"/>
        <v/>
      </c>
      <c r="Y2342" t="str">
        <f t="shared" si="553"/>
        <v/>
      </c>
      <c r="Z2342">
        <f>IF($A2342="",0,IF(AND($M2342=1,$A2342=经营数据!$B$3,$J2342=经营数据!$BA$5,OR($I2342=经营数据!$BA$4,COUNTIF(经营数据!$AA$9:$AA$38,$I2342)&gt;0)),1,0))</f>
        <v>0</v>
      </c>
      <c r="AA2342" t="str">
        <f t="shared" si="554"/>
        <v/>
      </c>
      <c r="AB2342" t="str">
        <f t="shared" si="555"/>
        <v/>
      </c>
      <c r="AC2342">
        <f>IF($A2342="",0,IF(COUNTIF($A$2:$A2342,$A2342)=1,1,0))</f>
        <v>0</v>
      </c>
      <c r="AD2342">
        <f t="shared" si="556"/>
        <v>29</v>
      </c>
      <c r="AE2342" t="str">
        <f t="shared" si="557"/>
        <v/>
      </c>
    </row>
    <row r="2343" spans="1:31" x14ac:dyDescent="0.4">
      <c r="A2343" t="str">
        <f>IF(原始经营数据!$D2344="","",原始经营数据!$D2344)</f>
        <v/>
      </c>
      <c r="B2343" t="str">
        <f>IF(原始经营数据!$D2344="","",T(原始经营数据!$E2344))</f>
        <v/>
      </c>
      <c r="C2343" t="str">
        <f>IF(原始经营数据!$D2344="","",原始经营数据!$F2344)</f>
        <v/>
      </c>
      <c r="D2343" t="str">
        <f>IF(原始经营数据!$D2344="","",原始经营数据!$H2344)</f>
        <v/>
      </c>
      <c r="E2343" t="str">
        <f>IF(原始经营数据!$D2344="","",原始经营数据!$I2344)</f>
        <v/>
      </c>
      <c r="F2343" t="str">
        <f>IF(原始经营数据!$D2344="","",T(原始经营数据!$J2344))</f>
        <v/>
      </c>
      <c r="G2343" t="str">
        <f>IF(原始经营数据!$D2344="","",T(原始经营数据!$K2344))</f>
        <v/>
      </c>
      <c r="H2343" t="str">
        <f>IF(原始经营数据!$D2344="","",原始经营数据!$G2344)</f>
        <v/>
      </c>
      <c r="I2343" t="str">
        <f>IF($A2343="","",IF($B2343&lt;&gt;"",$B2343,IF(COUNTIFS(原始经营数据!$D$3:$D$3001,$A2343,原始经营数据!$E$3:$E$3001,"",原始经营数据!$F$3:$F$3001,$C2343,原始经营数据!$H$3:$H$3001,$D2343,原始经营数据!$K$3:$K$3001,$G2343)&gt;1,"基金整体·来源"&amp;原始经营数据!$A2344,"基金整体")))</f>
        <v/>
      </c>
      <c r="J2343" t="str">
        <f t="shared" si="543"/>
        <v/>
      </c>
      <c r="K2343" t="str">
        <f t="shared" si="544"/>
        <v/>
      </c>
      <c r="L2343" t="str">
        <f t="shared" si="545"/>
        <v/>
      </c>
      <c r="M2343">
        <f>IF($A2343="",0,IF(COUNTIF($L$2:$L2343,$L2343)=1,1,0))</f>
        <v>0</v>
      </c>
      <c r="N2343" t="str">
        <f t="shared" si="546"/>
        <v/>
      </c>
      <c r="O2343" t="str">
        <f t="shared" si="547"/>
        <v/>
      </c>
      <c r="P2343">
        <f>IF($A2343="",0,IF(COUNTIF($O$2:$O2343,$O2343)=1,1,0))</f>
        <v>0</v>
      </c>
      <c r="Q2343" t="str">
        <f>IF(AND($P2343=1,$A2343=经营数据!$B$3,$J2343=经营数据!$BA$5),COUNTIFS($P$2:$P$3000,1,$A$2:$A$3000,$A2343,$J$2:$J$3000,$J2343,$N$2:$N$3000,"&lt;"&amp;$N2343)+1,"")</f>
        <v/>
      </c>
      <c r="R2343" t="str">
        <f t="shared" si="548"/>
        <v/>
      </c>
      <c r="S2343">
        <f>IF($A2343="",0,IF(COUNTIF($R$2:$R2343,$R2343)=1,1,0))</f>
        <v>0</v>
      </c>
      <c r="T2343" t="str">
        <f t="shared" si="549"/>
        <v/>
      </c>
      <c r="U2343" t="str">
        <f>IF($A2343="","",IF($A2343=经营数据!$B$3,COUNTIFS($S$2:$S$3000,1,$A$2:$A$3000,$A2343,$T$2:$T$3000,"&lt;"&amp;$T2343)+1,""))</f>
        <v/>
      </c>
      <c r="V2343" t="str">
        <f t="shared" si="550"/>
        <v/>
      </c>
      <c r="W2343" t="str">
        <f t="shared" si="551"/>
        <v/>
      </c>
      <c r="X2343" t="str">
        <f t="shared" si="552"/>
        <v/>
      </c>
      <c r="Y2343" t="str">
        <f t="shared" si="553"/>
        <v/>
      </c>
      <c r="Z2343">
        <f>IF($A2343="",0,IF(AND($M2343=1,$A2343=经营数据!$B$3,$J2343=经营数据!$BA$5,OR($I2343=经营数据!$BA$4,COUNTIF(经营数据!$AA$9:$AA$38,$I2343)&gt;0)),1,0))</f>
        <v>0</v>
      </c>
      <c r="AA2343" t="str">
        <f t="shared" si="554"/>
        <v/>
      </c>
      <c r="AB2343" t="str">
        <f t="shared" si="555"/>
        <v/>
      </c>
      <c r="AC2343">
        <f>IF($A2343="",0,IF(COUNTIF($A$2:$A2343,$A2343)=1,1,0))</f>
        <v>0</v>
      </c>
      <c r="AD2343">
        <f t="shared" si="556"/>
        <v>29</v>
      </c>
      <c r="AE2343" t="str">
        <f t="shared" si="557"/>
        <v/>
      </c>
    </row>
    <row r="2344" spans="1:31" x14ac:dyDescent="0.4">
      <c r="A2344" t="str">
        <f>IF(原始经营数据!$D2345="","",原始经营数据!$D2345)</f>
        <v/>
      </c>
      <c r="B2344" t="str">
        <f>IF(原始经营数据!$D2345="","",T(原始经营数据!$E2345))</f>
        <v/>
      </c>
      <c r="C2344" t="str">
        <f>IF(原始经营数据!$D2345="","",原始经营数据!$F2345)</f>
        <v/>
      </c>
      <c r="D2344" t="str">
        <f>IF(原始经营数据!$D2345="","",原始经营数据!$H2345)</f>
        <v/>
      </c>
      <c r="E2344" t="str">
        <f>IF(原始经营数据!$D2345="","",原始经营数据!$I2345)</f>
        <v/>
      </c>
      <c r="F2344" t="str">
        <f>IF(原始经营数据!$D2345="","",T(原始经营数据!$J2345))</f>
        <v/>
      </c>
      <c r="G2344" t="str">
        <f>IF(原始经营数据!$D2345="","",T(原始经营数据!$K2345))</f>
        <v/>
      </c>
      <c r="H2344" t="str">
        <f>IF(原始经营数据!$D2345="","",原始经营数据!$G2345)</f>
        <v/>
      </c>
      <c r="I2344" t="str">
        <f>IF($A2344="","",IF($B2344&lt;&gt;"",$B2344,IF(COUNTIFS(原始经营数据!$D$3:$D$3001,$A2344,原始经营数据!$E$3:$E$3001,"",原始经营数据!$F$3:$F$3001,$C2344,原始经营数据!$H$3:$H$3001,$D2344,原始经营数据!$K$3:$K$3001,$G2344)&gt;1,"基金整体·来源"&amp;原始经营数据!$A2345,"基金整体")))</f>
        <v/>
      </c>
      <c r="J2344" t="str">
        <f t="shared" si="543"/>
        <v/>
      </c>
      <c r="K2344" t="str">
        <f t="shared" si="544"/>
        <v/>
      </c>
      <c r="L2344" t="str">
        <f t="shared" si="545"/>
        <v/>
      </c>
      <c r="M2344">
        <f>IF($A2344="",0,IF(COUNTIF($L$2:$L2344,$L2344)=1,1,0))</f>
        <v>0</v>
      </c>
      <c r="N2344" t="str">
        <f t="shared" si="546"/>
        <v/>
      </c>
      <c r="O2344" t="str">
        <f t="shared" si="547"/>
        <v/>
      </c>
      <c r="P2344">
        <f>IF($A2344="",0,IF(COUNTIF($O$2:$O2344,$O2344)=1,1,0))</f>
        <v>0</v>
      </c>
      <c r="Q2344" t="str">
        <f>IF(AND($P2344=1,$A2344=经营数据!$B$3,$J2344=经营数据!$BA$5),COUNTIFS($P$2:$P$3000,1,$A$2:$A$3000,$A2344,$J$2:$J$3000,$J2344,$N$2:$N$3000,"&lt;"&amp;$N2344)+1,"")</f>
        <v/>
      </c>
      <c r="R2344" t="str">
        <f t="shared" si="548"/>
        <v/>
      </c>
      <c r="S2344">
        <f>IF($A2344="",0,IF(COUNTIF($R$2:$R2344,$R2344)=1,1,0))</f>
        <v>0</v>
      </c>
      <c r="T2344" t="str">
        <f t="shared" si="549"/>
        <v/>
      </c>
      <c r="U2344" t="str">
        <f>IF($A2344="","",IF($A2344=经营数据!$B$3,COUNTIFS($S$2:$S$3000,1,$A$2:$A$3000,$A2344,$T$2:$T$3000,"&lt;"&amp;$T2344)+1,""))</f>
        <v/>
      </c>
      <c r="V2344" t="str">
        <f t="shared" si="550"/>
        <v/>
      </c>
      <c r="W2344" t="str">
        <f t="shared" si="551"/>
        <v/>
      </c>
      <c r="X2344" t="str">
        <f t="shared" si="552"/>
        <v/>
      </c>
      <c r="Y2344" t="str">
        <f t="shared" si="553"/>
        <v/>
      </c>
      <c r="Z2344">
        <f>IF($A2344="",0,IF(AND($M2344=1,$A2344=经营数据!$B$3,$J2344=经营数据!$BA$5,OR($I2344=经营数据!$BA$4,COUNTIF(经营数据!$AA$9:$AA$38,$I2344)&gt;0)),1,0))</f>
        <v>0</v>
      </c>
      <c r="AA2344" t="str">
        <f t="shared" si="554"/>
        <v/>
      </c>
      <c r="AB2344" t="str">
        <f t="shared" si="555"/>
        <v/>
      </c>
      <c r="AC2344">
        <f>IF($A2344="",0,IF(COUNTIF($A$2:$A2344,$A2344)=1,1,0))</f>
        <v>0</v>
      </c>
      <c r="AD2344">
        <f t="shared" si="556"/>
        <v>29</v>
      </c>
      <c r="AE2344" t="str">
        <f t="shared" si="557"/>
        <v/>
      </c>
    </row>
    <row r="2345" spans="1:31" x14ac:dyDescent="0.4">
      <c r="A2345" t="str">
        <f>IF(原始经营数据!$D2346="","",原始经营数据!$D2346)</f>
        <v/>
      </c>
      <c r="B2345" t="str">
        <f>IF(原始经营数据!$D2346="","",T(原始经营数据!$E2346))</f>
        <v/>
      </c>
      <c r="C2345" t="str">
        <f>IF(原始经营数据!$D2346="","",原始经营数据!$F2346)</f>
        <v/>
      </c>
      <c r="D2345" t="str">
        <f>IF(原始经营数据!$D2346="","",原始经营数据!$H2346)</f>
        <v/>
      </c>
      <c r="E2345" t="str">
        <f>IF(原始经营数据!$D2346="","",原始经营数据!$I2346)</f>
        <v/>
      </c>
      <c r="F2345" t="str">
        <f>IF(原始经营数据!$D2346="","",T(原始经营数据!$J2346))</f>
        <v/>
      </c>
      <c r="G2345" t="str">
        <f>IF(原始经营数据!$D2346="","",T(原始经营数据!$K2346))</f>
        <v/>
      </c>
      <c r="H2345" t="str">
        <f>IF(原始经营数据!$D2346="","",原始经营数据!$G2346)</f>
        <v/>
      </c>
      <c r="I2345" t="str">
        <f>IF($A2345="","",IF($B2345&lt;&gt;"",$B2345,IF(COUNTIFS(原始经营数据!$D$3:$D$3001,$A2345,原始经营数据!$E$3:$E$3001,"",原始经营数据!$F$3:$F$3001,$C2345,原始经营数据!$H$3:$H$3001,$D2345,原始经营数据!$K$3:$K$3001,$G2345)&gt;1,"基金整体·来源"&amp;原始经营数据!$A2346,"基金整体")))</f>
        <v/>
      </c>
      <c r="J2345" t="str">
        <f t="shared" si="543"/>
        <v/>
      </c>
      <c r="K2345" t="str">
        <f t="shared" si="544"/>
        <v/>
      </c>
      <c r="L2345" t="str">
        <f t="shared" si="545"/>
        <v/>
      </c>
      <c r="M2345">
        <f>IF($A2345="",0,IF(COUNTIF($L$2:$L2345,$L2345)=1,1,0))</f>
        <v>0</v>
      </c>
      <c r="N2345" t="str">
        <f t="shared" si="546"/>
        <v/>
      </c>
      <c r="O2345" t="str">
        <f t="shared" si="547"/>
        <v/>
      </c>
      <c r="P2345">
        <f>IF($A2345="",0,IF(COUNTIF($O$2:$O2345,$O2345)=1,1,0))</f>
        <v>0</v>
      </c>
      <c r="Q2345" t="str">
        <f>IF(AND($P2345=1,$A2345=经营数据!$B$3,$J2345=经营数据!$BA$5),COUNTIFS($P$2:$P$3000,1,$A$2:$A$3000,$A2345,$J$2:$J$3000,$J2345,$N$2:$N$3000,"&lt;"&amp;$N2345)+1,"")</f>
        <v/>
      </c>
      <c r="R2345" t="str">
        <f t="shared" si="548"/>
        <v/>
      </c>
      <c r="S2345">
        <f>IF($A2345="",0,IF(COUNTIF($R$2:$R2345,$R2345)=1,1,0))</f>
        <v>0</v>
      </c>
      <c r="T2345" t="str">
        <f t="shared" si="549"/>
        <v/>
      </c>
      <c r="U2345" t="str">
        <f>IF($A2345="","",IF($A2345=经营数据!$B$3,COUNTIFS($S$2:$S$3000,1,$A$2:$A$3000,$A2345,$T$2:$T$3000,"&lt;"&amp;$T2345)+1,""))</f>
        <v/>
      </c>
      <c r="V2345" t="str">
        <f t="shared" si="550"/>
        <v/>
      </c>
      <c r="W2345" t="str">
        <f t="shared" si="551"/>
        <v/>
      </c>
      <c r="X2345" t="str">
        <f t="shared" si="552"/>
        <v/>
      </c>
      <c r="Y2345" t="str">
        <f t="shared" si="553"/>
        <v/>
      </c>
      <c r="Z2345">
        <f>IF($A2345="",0,IF(AND($M2345=1,$A2345=经营数据!$B$3,$J2345=经营数据!$BA$5,OR($I2345=经营数据!$BA$4,COUNTIF(经营数据!$AA$9:$AA$38,$I2345)&gt;0)),1,0))</f>
        <v>0</v>
      </c>
      <c r="AA2345" t="str">
        <f t="shared" si="554"/>
        <v/>
      </c>
      <c r="AB2345" t="str">
        <f t="shared" si="555"/>
        <v/>
      </c>
      <c r="AC2345">
        <f>IF($A2345="",0,IF(COUNTIF($A$2:$A2345,$A2345)=1,1,0))</f>
        <v>0</v>
      </c>
      <c r="AD2345">
        <f t="shared" si="556"/>
        <v>29</v>
      </c>
      <c r="AE2345" t="str">
        <f t="shared" si="557"/>
        <v/>
      </c>
    </row>
    <row r="2346" spans="1:31" x14ac:dyDescent="0.4">
      <c r="A2346" t="str">
        <f>IF(原始经营数据!$D2347="","",原始经营数据!$D2347)</f>
        <v/>
      </c>
      <c r="B2346" t="str">
        <f>IF(原始经营数据!$D2347="","",T(原始经营数据!$E2347))</f>
        <v/>
      </c>
      <c r="C2346" t="str">
        <f>IF(原始经营数据!$D2347="","",原始经营数据!$F2347)</f>
        <v/>
      </c>
      <c r="D2346" t="str">
        <f>IF(原始经营数据!$D2347="","",原始经营数据!$H2347)</f>
        <v/>
      </c>
      <c r="E2346" t="str">
        <f>IF(原始经营数据!$D2347="","",原始经营数据!$I2347)</f>
        <v/>
      </c>
      <c r="F2346" t="str">
        <f>IF(原始经营数据!$D2347="","",T(原始经营数据!$J2347))</f>
        <v/>
      </c>
      <c r="G2346" t="str">
        <f>IF(原始经营数据!$D2347="","",T(原始经营数据!$K2347))</f>
        <v/>
      </c>
      <c r="H2346" t="str">
        <f>IF(原始经营数据!$D2347="","",原始经营数据!$G2347)</f>
        <v/>
      </c>
      <c r="I2346" t="str">
        <f>IF($A2346="","",IF($B2346&lt;&gt;"",$B2346,IF(COUNTIFS(原始经营数据!$D$3:$D$3001,$A2346,原始经营数据!$E$3:$E$3001,"",原始经营数据!$F$3:$F$3001,$C2346,原始经营数据!$H$3:$H$3001,$D2346,原始经营数据!$K$3:$K$3001,$G2346)&gt;1,"基金整体·来源"&amp;原始经营数据!$A2347,"基金整体")))</f>
        <v/>
      </c>
      <c r="J2346" t="str">
        <f t="shared" si="543"/>
        <v/>
      </c>
      <c r="K2346" t="str">
        <f t="shared" si="544"/>
        <v/>
      </c>
      <c r="L2346" t="str">
        <f t="shared" si="545"/>
        <v/>
      </c>
      <c r="M2346">
        <f>IF($A2346="",0,IF(COUNTIF($L$2:$L2346,$L2346)=1,1,0))</f>
        <v>0</v>
      </c>
      <c r="N2346" t="str">
        <f t="shared" si="546"/>
        <v/>
      </c>
      <c r="O2346" t="str">
        <f t="shared" si="547"/>
        <v/>
      </c>
      <c r="P2346">
        <f>IF($A2346="",0,IF(COUNTIF($O$2:$O2346,$O2346)=1,1,0))</f>
        <v>0</v>
      </c>
      <c r="Q2346" t="str">
        <f>IF(AND($P2346=1,$A2346=经营数据!$B$3,$J2346=经营数据!$BA$5),COUNTIFS($P$2:$P$3000,1,$A$2:$A$3000,$A2346,$J$2:$J$3000,$J2346,$N$2:$N$3000,"&lt;"&amp;$N2346)+1,"")</f>
        <v/>
      </c>
      <c r="R2346" t="str">
        <f t="shared" si="548"/>
        <v/>
      </c>
      <c r="S2346">
        <f>IF($A2346="",0,IF(COUNTIF($R$2:$R2346,$R2346)=1,1,0))</f>
        <v>0</v>
      </c>
      <c r="T2346" t="str">
        <f t="shared" si="549"/>
        <v/>
      </c>
      <c r="U2346" t="str">
        <f>IF($A2346="","",IF($A2346=经营数据!$B$3,COUNTIFS($S$2:$S$3000,1,$A$2:$A$3000,$A2346,$T$2:$T$3000,"&lt;"&amp;$T2346)+1,""))</f>
        <v/>
      </c>
      <c r="V2346" t="str">
        <f t="shared" si="550"/>
        <v/>
      </c>
      <c r="W2346" t="str">
        <f t="shared" si="551"/>
        <v/>
      </c>
      <c r="X2346" t="str">
        <f t="shared" si="552"/>
        <v/>
      </c>
      <c r="Y2346" t="str">
        <f t="shared" si="553"/>
        <v/>
      </c>
      <c r="Z2346">
        <f>IF($A2346="",0,IF(AND($M2346=1,$A2346=经营数据!$B$3,$J2346=经营数据!$BA$5,OR($I2346=经营数据!$BA$4,COUNTIF(经营数据!$AA$9:$AA$38,$I2346)&gt;0)),1,0))</f>
        <v>0</v>
      </c>
      <c r="AA2346" t="str">
        <f t="shared" si="554"/>
        <v/>
      </c>
      <c r="AB2346" t="str">
        <f t="shared" si="555"/>
        <v/>
      </c>
      <c r="AC2346">
        <f>IF($A2346="",0,IF(COUNTIF($A$2:$A2346,$A2346)=1,1,0))</f>
        <v>0</v>
      </c>
      <c r="AD2346">
        <f t="shared" si="556"/>
        <v>29</v>
      </c>
      <c r="AE2346" t="str">
        <f t="shared" si="557"/>
        <v/>
      </c>
    </row>
    <row r="2347" spans="1:31" x14ac:dyDescent="0.4">
      <c r="A2347" t="str">
        <f>IF(原始经营数据!$D2348="","",原始经营数据!$D2348)</f>
        <v/>
      </c>
      <c r="B2347" t="str">
        <f>IF(原始经营数据!$D2348="","",T(原始经营数据!$E2348))</f>
        <v/>
      </c>
      <c r="C2347" t="str">
        <f>IF(原始经营数据!$D2348="","",原始经营数据!$F2348)</f>
        <v/>
      </c>
      <c r="D2347" t="str">
        <f>IF(原始经营数据!$D2348="","",原始经营数据!$H2348)</f>
        <v/>
      </c>
      <c r="E2347" t="str">
        <f>IF(原始经营数据!$D2348="","",原始经营数据!$I2348)</f>
        <v/>
      </c>
      <c r="F2347" t="str">
        <f>IF(原始经营数据!$D2348="","",T(原始经营数据!$J2348))</f>
        <v/>
      </c>
      <c r="G2347" t="str">
        <f>IF(原始经营数据!$D2348="","",T(原始经营数据!$K2348))</f>
        <v/>
      </c>
      <c r="H2347" t="str">
        <f>IF(原始经营数据!$D2348="","",原始经营数据!$G2348)</f>
        <v/>
      </c>
      <c r="I2347" t="str">
        <f>IF($A2347="","",IF($B2347&lt;&gt;"",$B2347,IF(COUNTIFS(原始经营数据!$D$3:$D$3001,$A2347,原始经营数据!$E$3:$E$3001,"",原始经营数据!$F$3:$F$3001,$C2347,原始经营数据!$H$3:$H$3001,$D2347,原始经营数据!$K$3:$K$3001,$G2347)&gt;1,"基金整体·来源"&amp;原始经营数据!$A2348,"基金整体")))</f>
        <v/>
      </c>
      <c r="J2347" t="str">
        <f t="shared" si="543"/>
        <v/>
      </c>
      <c r="K2347" t="str">
        <f t="shared" si="544"/>
        <v/>
      </c>
      <c r="L2347" t="str">
        <f t="shared" si="545"/>
        <v/>
      </c>
      <c r="M2347">
        <f>IF($A2347="",0,IF(COUNTIF($L$2:$L2347,$L2347)=1,1,0))</f>
        <v>0</v>
      </c>
      <c r="N2347" t="str">
        <f t="shared" si="546"/>
        <v/>
      </c>
      <c r="O2347" t="str">
        <f t="shared" si="547"/>
        <v/>
      </c>
      <c r="P2347">
        <f>IF($A2347="",0,IF(COUNTIF($O$2:$O2347,$O2347)=1,1,0))</f>
        <v>0</v>
      </c>
      <c r="Q2347" t="str">
        <f>IF(AND($P2347=1,$A2347=经营数据!$B$3,$J2347=经营数据!$BA$5),COUNTIFS($P$2:$P$3000,1,$A$2:$A$3000,$A2347,$J$2:$J$3000,$J2347,$N$2:$N$3000,"&lt;"&amp;$N2347)+1,"")</f>
        <v/>
      </c>
      <c r="R2347" t="str">
        <f t="shared" si="548"/>
        <v/>
      </c>
      <c r="S2347">
        <f>IF($A2347="",0,IF(COUNTIF($R$2:$R2347,$R2347)=1,1,0))</f>
        <v>0</v>
      </c>
      <c r="T2347" t="str">
        <f t="shared" si="549"/>
        <v/>
      </c>
      <c r="U2347" t="str">
        <f>IF($A2347="","",IF($A2347=经营数据!$B$3,COUNTIFS($S$2:$S$3000,1,$A$2:$A$3000,$A2347,$T$2:$T$3000,"&lt;"&amp;$T2347)+1,""))</f>
        <v/>
      </c>
      <c r="V2347" t="str">
        <f t="shared" si="550"/>
        <v/>
      </c>
      <c r="W2347" t="str">
        <f t="shared" si="551"/>
        <v/>
      </c>
      <c r="X2347" t="str">
        <f t="shared" si="552"/>
        <v/>
      </c>
      <c r="Y2347" t="str">
        <f t="shared" si="553"/>
        <v/>
      </c>
      <c r="Z2347">
        <f>IF($A2347="",0,IF(AND($M2347=1,$A2347=经营数据!$B$3,$J2347=经营数据!$BA$5,OR($I2347=经营数据!$BA$4,COUNTIF(经营数据!$AA$9:$AA$38,$I2347)&gt;0)),1,0))</f>
        <v>0</v>
      </c>
      <c r="AA2347" t="str">
        <f t="shared" si="554"/>
        <v/>
      </c>
      <c r="AB2347" t="str">
        <f t="shared" si="555"/>
        <v/>
      </c>
      <c r="AC2347">
        <f>IF($A2347="",0,IF(COUNTIF($A$2:$A2347,$A2347)=1,1,0))</f>
        <v>0</v>
      </c>
      <c r="AD2347">
        <f t="shared" si="556"/>
        <v>29</v>
      </c>
      <c r="AE2347" t="str">
        <f t="shared" si="557"/>
        <v/>
      </c>
    </row>
    <row r="2348" spans="1:31" x14ac:dyDescent="0.4">
      <c r="A2348" t="str">
        <f>IF(原始经营数据!$D2349="","",原始经营数据!$D2349)</f>
        <v/>
      </c>
      <c r="B2348" t="str">
        <f>IF(原始经营数据!$D2349="","",T(原始经营数据!$E2349))</f>
        <v/>
      </c>
      <c r="C2348" t="str">
        <f>IF(原始经营数据!$D2349="","",原始经营数据!$F2349)</f>
        <v/>
      </c>
      <c r="D2348" t="str">
        <f>IF(原始经营数据!$D2349="","",原始经营数据!$H2349)</f>
        <v/>
      </c>
      <c r="E2348" t="str">
        <f>IF(原始经营数据!$D2349="","",原始经营数据!$I2349)</f>
        <v/>
      </c>
      <c r="F2348" t="str">
        <f>IF(原始经营数据!$D2349="","",T(原始经营数据!$J2349))</f>
        <v/>
      </c>
      <c r="G2348" t="str">
        <f>IF(原始经营数据!$D2349="","",T(原始经营数据!$K2349))</f>
        <v/>
      </c>
      <c r="H2348" t="str">
        <f>IF(原始经营数据!$D2349="","",原始经营数据!$G2349)</f>
        <v/>
      </c>
      <c r="I2348" t="str">
        <f>IF($A2348="","",IF($B2348&lt;&gt;"",$B2348,IF(COUNTIFS(原始经营数据!$D$3:$D$3001,$A2348,原始经营数据!$E$3:$E$3001,"",原始经营数据!$F$3:$F$3001,$C2348,原始经营数据!$H$3:$H$3001,$D2348,原始经营数据!$K$3:$K$3001,$G2348)&gt;1,"基金整体·来源"&amp;原始经营数据!$A2349,"基金整体")))</f>
        <v/>
      </c>
      <c r="J2348" t="str">
        <f t="shared" si="543"/>
        <v/>
      </c>
      <c r="K2348" t="str">
        <f t="shared" si="544"/>
        <v/>
      </c>
      <c r="L2348" t="str">
        <f t="shared" si="545"/>
        <v/>
      </c>
      <c r="M2348">
        <f>IF($A2348="",0,IF(COUNTIF($L$2:$L2348,$L2348)=1,1,0))</f>
        <v>0</v>
      </c>
      <c r="N2348" t="str">
        <f t="shared" si="546"/>
        <v/>
      </c>
      <c r="O2348" t="str">
        <f t="shared" si="547"/>
        <v/>
      </c>
      <c r="P2348">
        <f>IF($A2348="",0,IF(COUNTIF($O$2:$O2348,$O2348)=1,1,0))</f>
        <v>0</v>
      </c>
      <c r="Q2348" t="str">
        <f>IF(AND($P2348=1,$A2348=经营数据!$B$3,$J2348=经营数据!$BA$5),COUNTIFS($P$2:$P$3000,1,$A$2:$A$3000,$A2348,$J$2:$J$3000,$J2348,$N$2:$N$3000,"&lt;"&amp;$N2348)+1,"")</f>
        <v/>
      </c>
      <c r="R2348" t="str">
        <f t="shared" si="548"/>
        <v/>
      </c>
      <c r="S2348">
        <f>IF($A2348="",0,IF(COUNTIF($R$2:$R2348,$R2348)=1,1,0))</f>
        <v>0</v>
      </c>
      <c r="T2348" t="str">
        <f t="shared" si="549"/>
        <v/>
      </c>
      <c r="U2348" t="str">
        <f>IF($A2348="","",IF($A2348=经营数据!$B$3,COUNTIFS($S$2:$S$3000,1,$A$2:$A$3000,$A2348,$T$2:$T$3000,"&lt;"&amp;$T2348)+1,""))</f>
        <v/>
      </c>
      <c r="V2348" t="str">
        <f t="shared" si="550"/>
        <v/>
      </c>
      <c r="W2348" t="str">
        <f t="shared" si="551"/>
        <v/>
      </c>
      <c r="X2348" t="str">
        <f t="shared" si="552"/>
        <v/>
      </c>
      <c r="Y2348" t="str">
        <f t="shared" si="553"/>
        <v/>
      </c>
      <c r="Z2348">
        <f>IF($A2348="",0,IF(AND($M2348=1,$A2348=经营数据!$B$3,$J2348=经营数据!$BA$5,OR($I2348=经营数据!$BA$4,COUNTIF(经营数据!$AA$9:$AA$38,$I2348)&gt;0)),1,0))</f>
        <v>0</v>
      </c>
      <c r="AA2348" t="str">
        <f t="shared" si="554"/>
        <v/>
      </c>
      <c r="AB2348" t="str">
        <f t="shared" si="555"/>
        <v/>
      </c>
      <c r="AC2348">
        <f>IF($A2348="",0,IF(COUNTIF($A$2:$A2348,$A2348)=1,1,0))</f>
        <v>0</v>
      </c>
      <c r="AD2348">
        <f t="shared" si="556"/>
        <v>29</v>
      </c>
      <c r="AE2348" t="str">
        <f t="shared" si="557"/>
        <v/>
      </c>
    </row>
    <row r="2349" spans="1:31" x14ac:dyDescent="0.4">
      <c r="A2349" t="str">
        <f>IF(原始经营数据!$D2350="","",原始经营数据!$D2350)</f>
        <v/>
      </c>
      <c r="B2349" t="str">
        <f>IF(原始经营数据!$D2350="","",T(原始经营数据!$E2350))</f>
        <v/>
      </c>
      <c r="C2349" t="str">
        <f>IF(原始经营数据!$D2350="","",原始经营数据!$F2350)</f>
        <v/>
      </c>
      <c r="D2349" t="str">
        <f>IF(原始经营数据!$D2350="","",原始经营数据!$H2350)</f>
        <v/>
      </c>
      <c r="E2349" t="str">
        <f>IF(原始经营数据!$D2350="","",原始经营数据!$I2350)</f>
        <v/>
      </c>
      <c r="F2349" t="str">
        <f>IF(原始经营数据!$D2350="","",T(原始经营数据!$J2350))</f>
        <v/>
      </c>
      <c r="G2349" t="str">
        <f>IF(原始经营数据!$D2350="","",T(原始经营数据!$K2350))</f>
        <v/>
      </c>
      <c r="H2349" t="str">
        <f>IF(原始经营数据!$D2350="","",原始经营数据!$G2350)</f>
        <v/>
      </c>
      <c r="I2349" t="str">
        <f>IF($A2349="","",IF($B2349&lt;&gt;"",$B2349,IF(COUNTIFS(原始经营数据!$D$3:$D$3001,$A2349,原始经营数据!$E$3:$E$3001,"",原始经营数据!$F$3:$F$3001,$C2349,原始经营数据!$H$3:$H$3001,$D2349,原始经营数据!$K$3:$K$3001,$G2349)&gt;1,"基金整体·来源"&amp;原始经营数据!$A2350,"基金整体")))</f>
        <v/>
      </c>
      <c r="J2349" t="str">
        <f t="shared" si="543"/>
        <v/>
      </c>
      <c r="K2349" t="str">
        <f t="shared" si="544"/>
        <v/>
      </c>
      <c r="L2349" t="str">
        <f t="shared" si="545"/>
        <v/>
      </c>
      <c r="M2349">
        <f>IF($A2349="",0,IF(COUNTIF($L$2:$L2349,$L2349)=1,1,0))</f>
        <v>0</v>
      </c>
      <c r="N2349" t="str">
        <f t="shared" si="546"/>
        <v/>
      </c>
      <c r="O2349" t="str">
        <f t="shared" si="547"/>
        <v/>
      </c>
      <c r="P2349">
        <f>IF($A2349="",0,IF(COUNTIF($O$2:$O2349,$O2349)=1,1,0))</f>
        <v>0</v>
      </c>
      <c r="Q2349" t="str">
        <f>IF(AND($P2349=1,$A2349=经营数据!$B$3,$J2349=经营数据!$BA$5),COUNTIFS($P$2:$P$3000,1,$A$2:$A$3000,$A2349,$J$2:$J$3000,$J2349,$N$2:$N$3000,"&lt;"&amp;$N2349)+1,"")</f>
        <v/>
      </c>
      <c r="R2349" t="str">
        <f t="shared" si="548"/>
        <v/>
      </c>
      <c r="S2349">
        <f>IF($A2349="",0,IF(COUNTIF($R$2:$R2349,$R2349)=1,1,0))</f>
        <v>0</v>
      </c>
      <c r="T2349" t="str">
        <f t="shared" si="549"/>
        <v/>
      </c>
      <c r="U2349" t="str">
        <f>IF($A2349="","",IF($A2349=经营数据!$B$3,COUNTIFS($S$2:$S$3000,1,$A$2:$A$3000,$A2349,$T$2:$T$3000,"&lt;"&amp;$T2349)+1,""))</f>
        <v/>
      </c>
      <c r="V2349" t="str">
        <f t="shared" si="550"/>
        <v/>
      </c>
      <c r="W2349" t="str">
        <f t="shared" si="551"/>
        <v/>
      </c>
      <c r="X2349" t="str">
        <f t="shared" si="552"/>
        <v/>
      </c>
      <c r="Y2349" t="str">
        <f t="shared" si="553"/>
        <v/>
      </c>
      <c r="Z2349">
        <f>IF($A2349="",0,IF(AND($M2349=1,$A2349=经营数据!$B$3,$J2349=经营数据!$BA$5,OR($I2349=经营数据!$BA$4,COUNTIF(经营数据!$AA$9:$AA$38,$I2349)&gt;0)),1,0))</f>
        <v>0</v>
      </c>
      <c r="AA2349" t="str">
        <f t="shared" si="554"/>
        <v/>
      </c>
      <c r="AB2349" t="str">
        <f t="shared" si="555"/>
        <v/>
      </c>
      <c r="AC2349">
        <f>IF($A2349="",0,IF(COUNTIF($A$2:$A2349,$A2349)=1,1,0))</f>
        <v>0</v>
      </c>
      <c r="AD2349">
        <f t="shared" si="556"/>
        <v>29</v>
      </c>
      <c r="AE2349" t="str">
        <f t="shared" si="557"/>
        <v/>
      </c>
    </row>
    <row r="2350" spans="1:31" x14ac:dyDescent="0.4">
      <c r="A2350" t="str">
        <f>IF(原始经营数据!$D2351="","",原始经营数据!$D2351)</f>
        <v/>
      </c>
      <c r="B2350" t="str">
        <f>IF(原始经营数据!$D2351="","",T(原始经营数据!$E2351))</f>
        <v/>
      </c>
      <c r="C2350" t="str">
        <f>IF(原始经营数据!$D2351="","",原始经营数据!$F2351)</f>
        <v/>
      </c>
      <c r="D2350" t="str">
        <f>IF(原始经营数据!$D2351="","",原始经营数据!$H2351)</f>
        <v/>
      </c>
      <c r="E2350" t="str">
        <f>IF(原始经营数据!$D2351="","",原始经营数据!$I2351)</f>
        <v/>
      </c>
      <c r="F2350" t="str">
        <f>IF(原始经营数据!$D2351="","",T(原始经营数据!$J2351))</f>
        <v/>
      </c>
      <c r="G2350" t="str">
        <f>IF(原始经营数据!$D2351="","",T(原始经营数据!$K2351))</f>
        <v/>
      </c>
      <c r="H2350" t="str">
        <f>IF(原始经营数据!$D2351="","",原始经营数据!$G2351)</f>
        <v/>
      </c>
      <c r="I2350" t="str">
        <f>IF($A2350="","",IF($B2350&lt;&gt;"",$B2350,IF(COUNTIFS(原始经营数据!$D$3:$D$3001,$A2350,原始经营数据!$E$3:$E$3001,"",原始经营数据!$F$3:$F$3001,$C2350,原始经营数据!$H$3:$H$3001,$D2350,原始经营数据!$K$3:$K$3001,$G2350)&gt;1,"基金整体·来源"&amp;原始经营数据!$A2351,"基金整体")))</f>
        <v/>
      </c>
      <c r="J2350" t="str">
        <f t="shared" si="543"/>
        <v/>
      </c>
      <c r="K2350" t="str">
        <f t="shared" si="544"/>
        <v/>
      </c>
      <c r="L2350" t="str">
        <f t="shared" si="545"/>
        <v/>
      </c>
      <c r="M2350">
        <f>IF($A2350="",0,IF(COUNTIF($L$2:$L2350,$L2350)=1,1,0))</f>
        <v>0</v>
      </c>
      <c r="N2350" t="str">
        <f t="shared" si="546"/>
        <v/>
      </c>
      <c r="O2350" t="str">
        <f t="shared" si="547"/>
        <v/>
      </c>
      <c r="P2350">
        <f>IF($A2350="",0,IF(COUNTIF($O$2:$O2350,$O2350)=1,1,0))</f>
        <v>0</v>
      </c>
      <c r="Q2350" t="str">
        <f>IF(AND($P2350=1,$A2350=经营数据!$B$3,$J2350=经营数据!$BA$5),COUNTIFS($P$2:$P$3000,1,$A$2:$A$3000,$A2350,$J$2:$J$3000,$J2350,$N$2:$N$3000,"&lt;"&amp;$N2350)+1,"")</f>
        <v/>
      </c>
      <c r="R2350" t="str">
        <f t="shared" si="548"/>
        <v/>
      </c>
      <c r="S2350">
        <f>IF($A2350="",0,IF(COUNTIF($R$2:$R2350,$R2350)=1,1,0))</f>
        <v>0</v>
      </c>
      <c r="T2350" t="str">
        <f t="shared" si="549"/>
        <v/>
      </c>
      <c r="U2350" t="str">
        <f>IF($A2350="","",IF($A2350=经营数据!$B$3,COUNTIFS($S$2:$S$3000,1,$A$2:$A$3000,$A2350,$T$2:$T$3000,"&lt;"&amp;$T2350)+1,""))</f>
        <v/>
      </c>
      <c r="V2350" t="str">
        <f t="shared" si="550"/>
        <v/>
      </c>
      <c r="W2350" t="str">
        <f t="shared" si="551"/>
        <v/>
      </c>
      <c r="X2350" t="str">
        <f t="shared" si="552"/>
        <v/>
      </c>
      <c r="Y2350" t="str">
        <f t="shared" si="553"/>
        <v/>
      </c>
      <c r="Z2350">
        <f>IF($A2350="",0,IF(AND($M2350=1,$A2350=经营数据!$B$3,$J2350=经营数据!$BA$5,OR($I2350=经营数据!$BA$4,COUNTIF(经营数据!$AA$9:$AA$38,$I2350)&gt;0)),1,0))</f>
        <v>0</v>
      </c>
      <c r="AA2350" t="str">
        <f t="shared" si="554"/>
        <v/>
      </c>
      <c r="AB2350" t="str">
        <f t="shared" si="555"/>
        <v/>
      </c>
      <c r="AC2350">
        <f>IF($A2350="",0,IF(COUNTIF($A$2:$A2350,$A2350)=1,1,0))</f>
        <v>0</v>
      </c>
      <c r="AD2350">
        <f t="shared" si="556"/>
        <v>29</v>
      </c>
      <c r="AE2350" t="str">
        <f t="shared" si="557"/>
        <v/>
      </c>
    </row>
    <row r="2351" spans="1:31" x14ac:dyDescent="0.4">
      <c r="A2351" t="str">
        <f>IF(原始经营数据!$D2352="","",原始经营数据!$D2352)</f>
        <v/>
      </c>
      <c r="B2351" t="str">
        <f>IF(原始经营数据!$D2352="","",T(原始经营数据!$E2352))</f>
        <v/>
      </c>
      <c r="C2351" t="str">
        <f>IF(原始经营数据!$D2352="","",原始经营数据!$F2352)</f>
        <v/>
      </c>
      <c r="D2351" t="str">
        <f>IF(原始经营数据!$D2352="","",原始经营数据!$H2352)</f>
        <v/>
      </c>
      <c r="E2351" t="str">
        <f>IF(原始经营数据!$D2352="","",原始经营数据!$I2352)</f>
        <v/>
      </c>
      <c r="F2351" t="str">
        <f>IF(原始经营数据!$D2352="","",T(原始经营数据!$J2352))</f>
        <v/>
      </c>
      <c r="G2351" t="str">
        <f>IF(原始经营数据!$D2352="","",T(原始经营数据!$K2352))</f>
        <v/>
      </c>
      <c r="H2351" t="str">
        <f>IF(原始经营数据!$D2352="","",原始经营数据!$G2352)</f>
        <v/>
      </c>
      <c r="I2351" t="str">
        <f>IF($A2351="","",IF($B2351&lt;&gt;"",$B2351,IF(COUNTIFS(原始经营数据!$D$3:$D$3001,$A2351,原始经营数据!$E$3:$E$3001,"",原始经营数据!$F$3:$F$3001,$C2351,原始经营数据!$H$3:$H$3001,$D2351,原始经营数据!$K$3:$K$3001,$G2351)&gt;1,"基金整体·来源"&amp;原始经营数据!$A2352,"基金整体")))</f>
        <v/>
      </c>
      <c r="J2351" t="str">
        <f t="shared" si="543"/>
        <v/>
      </c>
      <c r="K2351" t="str">
        <f t="shared" si="544"/>
        <v/>
      </c>
      <c r="L2351" t="str">
        <f t="shared" si="545"/>
        <v/>
      </c>
      <c r="M2351">
        <f>IF($A2351="",0,IF(COUNTIF($L$2:$L2351,$L2351)=1,1,0))</f>
        <v>0</v>
      </c>
      <c r="N2351" t="str">
        <f t="shared" si="546"/>
        <v/>
      </c>
      <c r="O2351" t="str">
        <f t="shared" si="547"/>
        <v/>
      </c>
      <c r="P2351">
        <f>IF($A2351="",0,IF(COUNTIF($O$2:$O2351,$O2351)=1,1,0))</f>
        <v>0</v>
      </c>
      <c r="Q2351" t="str">
        <f>IF(AND($P2351=1,$A2351=经营数据!$B$3,$J2351=经营数据!$BA$5),COUNTIFS($P$2:$P$3000,1,$A$2:$A$3000,$A2351,$J$2:$J$3000,$J2351,$N$2:$N$3000,"&lt;"&amp;$N2351)+1,"")</f>
        <v/>
      </c>
      <c r="R2351" t="str">
        <f t="shared" si="548"/>
        <v/>
      </c>
      <c r="S2351">
        <f>IF($A2351="",0,IF(COUNTIF($R$2:$R2351,$R2351)=1,1,0))</f>
        <v>0</v>
      </c>
      <c r="T2351" t="str">
        <f t="shared" si="549"/>
        <v/>
      </c>
      <c r="U2351" t="str">
        <f>IF($A2351="","",IF($A2351=经营数据!$B$3,COUNTIFS($S$2:$S$3000,1,$A$2:$A$3000,$A2351,$T$2:$T$3000,"&lt;"&amp;$T2351)+1,""))</f>
        <v/>
      </c>
      <c r="V2351" t="str">
        <f t="shared" si="550"/>
        <v/>
      </c>
      <c r="W2351" t="str">
        <f t="shared" si="551"/>
        <v/>
      </c>
      <c r="X2351" t="str">
        <f t="shared" si="552"/>
        <v/>
      </c>
      <c r="Y2351" t="str">
        <f t="shared" si="553"/>
        <v/>
      </c>
      <c r="Z2351">
        <f>IF($A2351="",0,IF(AND($M2351=1,$A2351=经营数据!$B$3,$J2351=经营数据!$BA$5,OR($I2351=经营数据!$BA$4,COUNTIF(经营数据!$AA$9:$AA$38,$I2351)&gt;0)),1,0))</f>
        <v>0</v>
      </c>
      <c r="AA2351" t="str">
        <f t="shared" si="554"/>
        <v/>
      </c>
      <c r="AB2351" t="str">
        <f t="shared" si="555"/>
        <v/>
      </c>
      <c r="AC2351">
        <f>IF($A2351="",0,IF(COUNTIF($A$2:$A2351,$A2351)=1,1,0))</f>
        <v>0</v>
      </c>
      <c r="AD2351">
        <f t="shared" si="556"/>
        <v>29</v>
      </c>
      <c r="AE2351" t="str">
        <f t="shared" si="557"/>
        <v/>
      </c>
    </row>
    <row r="2352" spans="1:31" x14ac:dyDescent="0.4">
      <c r="A2352" t="str">
        <f>IF(原始经营数据!$D2353="","",原始经营数据!$D2353)</f>
        <v/>
      </c>
      <c r="B2352" t="str">
        <f>IF(原始经营数据!$D2353="","",T(原始经营数据!$E2353))</f>
        <v/>
      </c>
      <c r="C2352" t="str">
        <f>IF(原始经营数据!$D2353="","",原始经营数据!$F2353)</f>
        <v/>
      </c>
      <c r="D2352" t="str">
        <f>IF(原始经营数据!$D2353="","",原始经营数据!$H2353)</f>
        <v/>
      </c>
      <c r="E2352" t="str">
        <f>IF(原始经营数据!$D2353="","",原始经营数据!$I2353)</f>
        <v/>
      </c>
      <c r="F2352" t="str">
        <f>IF(原始经营数据!$D2353="","",T(原始经营数据!$J2353))</f>
        <v/>
      </c>
      <c r="G2352" t="str">
        <f>IF(原始经营数据!$D2353="","",T(原始经营数据!$K2353))</f>
        <v/>
      </c>
      <c r="H2352" t="str">
        <f>IF(原始经营数据!$D2353="","",原始经营数据!$G2353)</f>
        <v/>
      </c>
      <c r="I2352" t="str">
        <f>IF($A2352="","",IF($B2352&lt;&gt;"",$B2352,IF(COUNTIFS(原始经营数据!$D$3:$D$3001,$A2352,原始经营数据!$E$3:$E$3001,"",原始经营数据!$F$3:$F$3001,$C2352,原始经营数据!$H$3:$H$3001,$D2352,原始经营数据!$K$3:$K$3001,$G2352)&gt;1,"基金整体·来源"&amp;原始经营数据!$A2353,"基金整体")))</f>
        <v/>
      </c>
      <c r="J2352" t="str">
        <f t="shared" si="543"/>
        <v/>
      </c>
      <c r="K2352" t="str">
        <f t="shared" si="544"/>
        <v/>
      </c>
      <c r="L2352" t="str">
        <f t="shared" si="545"/>
        <v/>
      </c>
      <c r="M2352">
        <f>IF($A2352="",0,IF(COUNTIF($L$2:$L2352,$L2352)=1,1,0))</f>
        <v>0</v>
      </c>
      <c r="N2352" t="str">
        <f t="shared" si="546"/>
        <v/>
      </c>
      <c r="O2352" t="str">
        <f t="shared" si="547"/>
        <v/>
      </c>
      <c r="P2352">
        <f>IF($A2352="",0,IF(COUNTIF($O$2:$O2352,$O2352)=1,1,0))</f>
        <v>0</v>
      </c>
      <c r="Q2352" t="str">
        <f>IF(AND($P2352=1,$A2352=经营数据!$B$3,$J2352=经营数据!$BA$5),COUNTIFS($P$2:$P$3000,1,$A$2:$A$3000,$A2352,$J$2:$J$3000,$J2352,$N$2:$N$3000,"&lt;"&amp;$N2352)+1,"")</f>
        <v/>
      </c>
      <c r="R2352" t="str">
        <f t="shared" si="548"/>
        <v/>
      </c>
      <c r="S2352">
        <f>IF($A2352="",0,IF(COUNTIF($R$2:$R2352,$R2352)=1,1,0))</f>
        <v>0</v>
      </c>
      <c r="T2352" t="str">
        <f t="shared" si="549"/>
        <v/>
      </c>
      <c r="U2352" t="str">
        <f>IF($A2352="","",IF($A2352=经营数据!$B$3,COUNTIFS($S$2:$S$3000,1,$A$2:$A$3000,$A2352,$T$2:$T$3000,"&lt;"&amp;$T2352)+1,""))</f>
        <v/>
      </c>
      <c r="V2352" t="str">
        <f t="shared" si="550"/>
        <v/>
      </c>
      <c r="W2352" t="str">
        <f t="shared" si="551"/>
        <v/>
      </c>
      <c r="X2352" t="str">
        <f t="shared" si="552"/>
        <v/>
      </c>
      <c r="Y2352" t="str">
        <f t="shared" si="553"/>
        <v/>
      </c>
      <c r="Z2352">
        <f>IF($A2352="",0,IF(AND($M2352=1,$A2352=经营数据!$B$3,$J2352=经营数据!$BA$5,OR($I2352=经营数据!$BA$4,COUNTIF(经营数据!$AA$9:$AA$38,$I2352)&gt;0)),1,0))</f>
        <v>0</v>
      </c>
      <c r="AA2352" t="str">
        <f t="shared" si="554"/>
        <v/>
      </c>
      <c r="AB2352" t="str">
        <f t="shared" si="555"/>
        <v/>
      </c>
      <c r="AC2352">
        <f>IF($A2352="",0,IF(COUNTIF($A$2:$A2352,$A2352)=1,1,0))</f>
        <v>0</v>
      </c>
      <c r="AD2352">
        <f t="shared" si="556"/>
        <v>29</v>
      </c>
      <c r="AE2352" t="str">
        <f t="shared" si="557"/>
        <v/>
      </c>
    </row>
    <row r="2353" spans="1:31" x14ac:dyDescent="0.4">
      <c r="A2353" t="str">
        <f>IF(原始经营数据!$D2354="","",原始经营数据!$D2354)</f>
        <v/>
      </c>
      <c r="B2353" t="str">
        <f>IF(原始经营数据!$D2354="","",T(原始经营数据!$E2354))</f>
        <v/>
      </c>
      <c r="C2353" t="str">
        <f>IF(原始经营数据!$D2354="","",原始经营数据!$F2354)</f>
        <v/>
      </c>
      <c r="D2353" t="str">
        <f>IF(原始经营数据!$D2354="","",原始经营数据!$H2354)</f>
        <v/>
      </c>
      <c r="E2353" t="str">
        <f>IF(原始经营数据!$D2354="","",原始经营数据!$I2354)</f>
        <v/>
      </c>
      <c r="F2353" t="str">
        <f>IF(原始经营数据!$D2354="","",T(原始经营数据!$J2354))</f>
        <v/>
      </c>
      <c r="G2353" t="str">
        <f>IF(原始经营数据!$D2354="","",T(原始经营数据!$K2354))</f>
        <v/>
      </c>
      <c r="H2353" t="str">
        <f>IF(原始经营数据!$D2354="","",原始经营数据!$G2354)</f>
        <v/>
      </c>
      <c r="I2353" t="str">
        <f>IF($A2353="","",IF($B2353&lt;&gt;"",$B2353,IF(COUNTIFS(原始经营数据!$D$3:$D$3001,$A2353,原始经营数据!$E$3:$E$3001,"",原始经营数据!$F$3:$F$3001,$C2353,原始经营数据!$H$3:$H$3001,$D2353,原始经营数据!$K$3:$K$3001,$G2353)&gt;1,"基金整体·来源"&amp;原始经营数据!$A2354,"基金整体")))</f>
        <v/>
      </c>
      <c r="J2353" t="str">
        <f t="shared" si="543"/>
        <v/>
      </c>
      <c r="K2353" t="str">
        <f t="shared" si="544"/>
        <v/>
      </c>
      <c r="L2353" t="str">
        <f t="shared" si="545"/>
        <v/>
      </c>
      <c r="M2353">
        <f>IF($A2353="",0,IF(COUNTIF($L$2:$L2353,$L2353)=1,1,0))</f>
        <v>0</v>
      </c>
      <c r="N2353" t="str">
        <f t="shared" si="546"/>
        <v/>
      </c>
      <c r="O2353" t="str">
        <f t="shared" si="547"/>
        <v/>
      </c>
      <c r="P2353">
        <f>IF($A2353="",0,IF(COUNTIF($O$2:$O2353,$O2353)=1,1,0))</f>
        <v>0</v>
      </c>
      <c r="Q2353" t="str">
        <f>IF(AND($P2353=1,$A2353=经营数据!$B$3,$J2353=经营数据!$BA$5),COUNTIFS($P$2:$P$3000,1,$A$2:$A$3000,$A2353,$J$2:$J$3000,$J2353,$N$2:$N$3000,"&lt;"&amp;$N2353)+1,"")</f>
        <v/>
      </c>
      <c r="R2353" t="str">
        <f t="shared" si="548"/>
        <v/>
      </c>
      <c r="S2353">
        <f>IF($A2353="",0,IF(COUNTIF($R$2:$R2353,$R2353)=1,1,0))</f>
        <v>0</v>
      </c>
      <c r="T2353" t="str">
        <f t="shared" si="549"/>
        <v/>
      </c>
      <c r="U2353" t="str">
        <f>IF($A2353="","",IF($A2353=经营数据!$B$3,COUNTIFS($S$2:$S$3000,1,$A$2:$A$3000,$A2353,$T$2:$T$3000,"&lt;"&amp;$T2353)+1,""))</f>
        <v/>
      </c>
      <c r="V2353" t="str">
        <f t="shared" si="550"/>
        <v/>
      </c>
      <c r="W2353" t="str">
        <f t="shared" si="551"/>
        <v/>
      </c>
      <c r="X2353" t="str">
        <f t="shared" si="552"/>
        <v/>
      </c>
      <c r="Y2353" t="str">
        <f t="shared" si="553"/>
        <v/>
      </c>
      <c r="Z2353">
        <f>IF($A2353="",0,IF(AND($M2353=1,$A2353=经营数据!$B$3,$J2353=经营数据!$BA$5,OR($I2353=经营数据!$BA$4,COUNTIF(经营数据!$AA$9:$AA$38,$I2353)&gt;0)),1,0))</f>
        <v>0</v>
      </c>
      <c r="AA2353" t="str">
        <f t="shared" si="554"/>
        <v/>
      </c>
      <c r="AB2353" t="str">
        <f t="shared" si="555"/>
        <v/>
      </c>
      <c r="AC2353">
        <f>IF($A2353="",0,IF(COUNTIF($A$2:$A2353,$A2353)=1,1,0))</f>
        <v>0</v>
      </c>
      <c r="AD2353">
        <f t="shared" si="556"/>
        <v>29</v>
      </c>
      <c r="AE2353" t="str">
        <f t="shared" si="557"/>
        <v/>
      </c>
    </row>
    <row r="2354" spans="1:31" x14ac:dyDescent="0.4">
      <c r="A2354" t="str">
        <f>IF(原始经营数据!$D2355="","",原始经营数据!$D2355)</f>
        <v/>
      </c>
      <c r="B2354" t="str">
        <f>IF(原始经营数据!$D2355="","",T(原始经营数据!$E2355))</f>
        <v/>
      </c>
      <c r="C2354" t="str">
        <f>IF(原始经营数据!$D2355="","",原始经营数据!$F2355)</f>
        <v/>
      </c>
      <c r="D2354" t="str">
        <f>IF(原始经营数据!$D2355="","",原始经营数据!$H2355)</f>
        <v/>
      </c>
      <c r="E2354" t="str">
        <f>IF(原始经营数据!$D2355="","",原始经营数据!$I2355)</f>
        <v/>
      </c>
      <c r="F2354" t="str">
        <f>IF(原始经营数据!$D2355="","",T(原始经营数据!$J2355))</f>
        <v/>
      </c>
      <c r="G2354" t="str">
        <f>IF(原始经营数据!$D2355="","",T(原始经营数据!$K2355))</f>
        <v/>
      </c>
      <c r="H2354" t="str">
        <f>IF(原始经营数据!$D2355="","",原始经营数据!$G2355)</f>
        <v/>
      </c>
      <c r="I2354" t="str">
        <f>IF($A2354="","",IF($B2354&lt;&gt;"",$B2354,IF(COUNTIFS(原始经营数据!$D$3:$D$3001,$A2354,原始经营数据!$E$3:$E$3001,"",原始经营数据!$F$3:$F$3001,$C2354,原始经营数据!$H$3:$H$3001,$D2354,原始经营数据!$K$3:$K$3001,$G2354)&gt;1,"基金整体·来源"&amp;原始经营数据!$A2355,"基金整体")))</f>
        <v/>
      </c>
      <c r="J2354" t="str">
        <f t="shared" si="543"/>
        <v/>
      </c>
      <c r="K2354" t="str">
        <f t="shared" si="544"/>
        <v/>
      </c>
      <c r="L2354" t="str">
        <f t="shared" si="545"/>
        <v/>
      </c>
      <c r="M2354">
        <f>IF($A2354="",0,IF(COUNTIF($L$2:$L2354,$L2354)=1,1,0))</f>
        <v>0</v>
      </c>
      <c r="N2354" t="str">
        <f t="shared" si="546"/>
        <v/>
      </c>
      <c r="O2354" t="str">
        <f t="shared" si="547"/>
        <v/>
      </c>
      <c r="P2354">
        <f>IF($A2354="",0,IF(COUNTIF($O$2:$O2354,$O2354)=1,1,0))</f>
        <v>0</v>
      </c>
      <c r="Q2354" t="str">
        <f>IF(AND($P2354=1,$A2354=经营数据!$B$3,$J2354=经营数据!$BA$5),COUNTIFS($P$2:$P$3000,1,$A$2:$A$3000,$A2354,$J$2:$J$3000,$J2354,$N$2:$N$3000,"&lt;"&amp;$N2354)+1,"")</f>
        <v/>
      </c>
      <c r="R2354" t="str">
        <f t="shared" si="548"/>
        <v/>
      </c>
      <c r="S2354">
        <f>IF($A2354="",0,IF(COUNTIF($R$2:$R2354,$R2354)=1,1,0))</f>
        <v>0</v>
      </c>
      <c r="T2354" t="str">
        <f t="shared" si="549"/>
        <v/>
      </c>
      <c r="U2354" t="str">
        <f>IF($A2354="","",IF($A2354=经营数据!$B$3,COUNTIFS($S$2:$S$3000,1,$A$2:$A$3000,$A2354,$T$2:$T$3000,"&lt;"&amp;$T2354)+1,""))</f>
        <v/>
      </c>
      <c r="V2354" t="str">
        <f t="shared" si="550"/>
        <v/>
      </c>
      <c r="W2354" t="str">
        <f t="shared" si="551"/>
        <v/>
      </c>
      <c r="X2354" t="str">
        <f t="shared" si="552"/>
        <v/>
      </c>
      <c r="Y2354" t="str">
        <f t="shared" si="553"/>
        <v/>
      </c>
      <c r="Z2354">
        <f>IF($A2354="",0,IF(AND($M2354=1,$A2354=经营数据!$B$3,$J2354=经营数据!$BA$5,OR($I2354=经营数据!$BA$4,COUNTIF(经营数据!$AA$9:$AA$38,$I2354)&gt;0)),1,0))</f>
        <v>0</v>
      </c>
      <c r="AA2354" t="str">
        <f t="shared" si="554"/>
        <v/>
      </c>
      <c r="AB2354" t="str">
        <f t="shared" si="555"/>
        <v/>
      </c>
      <c r="AC2354">
        <f>IF($A2354="",0,IF(COUNTIF($A$2:$A2354,$A2354)=1,1,0))</f>
        <v>0</v>
      </c>
      <c r="AD2354">
        <f t="shared" si="556"/>
        <v>29</v>
      </c>
      <c r="AE2354" t="str">
        <f t="shared" si="557"/>
        <v/>
      </c>
    </row>
    <row r="2355" spans="1:31" x14ac:dyDescent="0.4">
      <c r="A2355" t="str">
        <f>IF(原始经营数据!$D2356="","",原始经营数据!$D2356)</f>
        <v/>
      </c>
      <c r="B2355" t="str">
        <f>IF(原始经营数据!$D2356="","",T(原始经营数据!$E2356))</f>
        <v/>
      </c>
      <c r="C2355" t="str">
        <f>IF(原始经营数据!$D2356="","",原始经营数据!$F2356)</f>
        <v/>
      </c>
      <c r="D2355" t="str">
        <f>IF(原始经营数据!$D2356="","",原始经营数据!$H2356)</f>
        <v/>
      </c>
      <c r="E2355" t="str">
        <f>IF(原始经营数据!$D2356="","",原始经营数据!$I2356)</f>
        <v/>
      </c>
      <c r="F2355" t="str">
        <f>IF(原始经营数据!$D2356="","",T(原始经营数据!$J2356))</f>
        <v/>
      </c>
      <c r="G2355" t="str">
        <f>IF(原始经营数据!$D2356="","",T(原始经营数据!$K2356))</f>
        <v/>
      </c>
      <c r="H2355" t="str">
        <f>IF(原始经营数据!$D2356="","",原始经营数据!$G2356)</f>
        <v/>
      </c>
      <c r="I2355" t="str">
        <f>IF($A2355="","",IF($B2355&lt;&gt;"",$B2355,IF(COUNTIFS(原始经营数据!$D$3:$D$3001,$A2355,原始经营数据!$E$3:$E$3001,"",原始经营数据!$F$3:$F$3001,$C2355,原始经营数据!$H$3:$H$3001,$D2355,原始经营数据!$K$3:$K$3001,$G2355)&gt;1,"基金整体·来源"&amp;原始经营数据!$A2356,"基金整体")))</f>
        <v/>
      </c>
      <c r="J2355" t="str">
        <f t="shared" si="543"/>
        <v/>
      </c>
      <c r="K2355" t="str">
        <f t="shared" si="544"/>
        <v/>
      </c>
      <c r="L2355" t="str">
        <f t="shared" si="545"/>
        <v/>
      </c>
      <c r="M2355">
        <f>IF($A2355="",0,IF(COUNTIF($L$2:$L2355,$L2355)=1,1,0))</f>
        <v>0</v>
      </c>
      <c r="N2355" t="str">
        <f t="shared" si="546"/>
        <v/>
      </c>
      <c r="O2355" t="str">
        <f t="shared" si="547"/>
        <v/>
      </c>
      <c r="P2355">
        <f>IF($A2355="",0,IF(COUNTIF($O$2:$O2355,$O2355)=1,1,0))</f>
        <v>0</v>
      </c>
      <c r="Q2355" t="str">
        <f>IF(AND($P2355=1,$A2355=经营数据!$B$3,$J2355=经营数据!$BA$5),COUNTIFS($P$2:$P$3000,1,$A$2:$A$3000,$A2355,$J$2:$J$3000,$J2355,$N$2:$N$3000,"&lt;"&amp;$N2355)+1,"")</f>
        <v/>
      </c>
      <c r="R2355" t="str">
        <f t="shared" si="548"/>
        <v/>
      </c>
      <c r="S2355">
        <f>IF($A2355="",0,IF(COUNTIF($R$2:$R2355,$R2355)=1,1,0))</f>
        <v>0</v>
      </c>
      <c r="T2355" t="str">
        <f t="shared" si="549"/>
        <v/>
      </c>
      <c r="U2355" t="str">
        <f>IF($A2355="","",IF($A2355=经营数据!$B$3,COUNTIFS($S$2:$S$3000,1,$A$2:$A$3000,$A2355,$T$2:$T$3000,"&lt;"&amp;$T2355)+1,""))</f>
        <v/>
      </c>
      <c r="V2355" t="str">
        <f t="shared" si="550"/>
        <v/>
      </c>
      <c r="W2355" t="str">
        <f t="shared" si="551"/>
        <v/>
      </c>
      <c r="X2355" t="str">
        <f t="shared" si="552"/>
        <v/>
      </c>
      <c r="Y2355" t="str">
        <f t="shared" si="553"/>
        <v/>
      </c>
      <c r="Z2355">
        <f>IF($A2355="",0,IF(AND($M2355=1,$A2355=经营数据!$B$3,$J2355=经营数据!$BA$5,OR($I2355=经营数据!$BA$4,COUNTIF(经营数据!$AA$9:$AA$38,$I2355)&gt;0)),1,0))</f>
        <v>0</v>
      </c>
      <c r="AA2355" t="str">
        <f t="shared" si="554"/>
        <v/>
      </c>
      <c r="AB2355" t="str">
        <f t="shared" si="555"/>
        <v/>
      </c>
      <c r="AC2355">
        <f>IF($A2355="",0,IF(COUNTIF($A$2:$A2355,$A2355)=1,1,0))</f>
        <v>0</v>
      </c>
      <c r="AD2355">
        <f t="shared" si="556"/>
        <v>29</v>
      </c>
      <c r="AE2355" t="str">
        <f t="shared" si="557"/>
        <v/>
      </c>
    </row>
    <row r="2356" spans="1:31" x14ac:dyDescent="0.4">
      <c r="A2356" t="str">
        <f>IF(原始经营数据!$D2357="","",原始经营数据!$D2357)</f>
        <v/>
      </c>
      <c r="B2356" t="str">
        <f>IF(原始经营数据!$D2357="","",T(原始经营数据!$E2357))</f>
        <v/>
      </c>
      <c r="C2356" t="str">
        <f>IF(原始经营数据!$D2357="","",原始经营数据!$F2357)</f>
        <v/>
      </c>
      <c r="D2356" t="str">
        <f>IF(原始经营数据!$D2357="","",原始经营数据!$H2357)</f>
        <v/>
      </c>
      <c r="E2356" t="str">
        <f>IF(原始经营数据!$D2357="","",原始经营数据!$I2357)</f>
        <v/>
      </c>
      <c r="F2356" t="str">
        <f>IF(原始经营数据!$D2357="","",T(原始经营数据!$J2357))</f>
        <v/>
      </c>
      <c r="G2356" t="str">
        <f>IF(原始经营数据!$D2357="","",T(原始经营数据!$K2357))</f>
        <v/>
      </c>
      <c r="H2356" t="str">
        <f>IF(原始经营数据!$D2357="","",原始经营数据!$G2357)</f>
        <v/>
      </c>
      <c r="I2356" t="str">
        <f>IF($A2356="","",IF($B2356&lt;&gt;"",$B2356,IF(COUNTIFS(原始经营数据!$D$3:$D$3001,$A2356,原始经营数据!$E$3:$E$3001,"",原始经营数据!$F$3:$F$3001,$C2356,原始经营数据!$H$3:$H$3001,$D2356,原始经营数据!$K$3:$K$3001,$G2356)&gt;1,"基金整体·来源"&amp;原始经营数据!$A2357,"基金整体")))</f>
        <v/>
      </c>
      <c r="J2356" t="str">
        <f t="shared" si="543"/>
        <v/>
      </c>
      <c r="K2356" t="str">
        <f t="shared" si="544"/>
        <v/>
      </c>
      <c r="L2356" t="str">
        <f t="shared" si="545"/>
        <v/>
      </c>
      <c r="M2356">
        <f>IF($A2356="",0,IF(COUNTIF($L$2:$L2356,$L2356)=1,1,0))</f>
        <v>0</v>
      </c>
      <c r="N2356" t="str">
        <f t="shared" si="546"/>
        <v/>
      </c>
      <c r="O2356" t="str">
        <f t="shared" si="547"/>
        <v/>
      </c>
      <c r="P2356">
        <f>IF($A2356="",0,IF(COUNTIF($O$2:$O2356,$O2356)=1,1,0))</f>
        <v>0</v>
      </c>
      <c r="Q2356" t="str">
        <f>IF(AND($P2356=1,$A2356=经营数据!$B$3,$J2356=经营数据!$BA$5),COUNTIFS($P$2:$P$3000,1,$A$2:$A$3000,$A2356,$J$2:$J$3000,$J2356,$N$2:$N$3000,"&lt;"&amp;$N2356)+1,"")</f>
        <v/>
      </c>
      <c r="R2356" t="str">
        <f t="shared" si="548"/>
        <v/>
      </c>
      <c r="S2356">
        <f>IF($A2356="",0,IF(COUNTIF($R$2:$R2356,$R2356)=1,1,0))</f>
        <v>0</v>
      </c>
      <c r="T2356" t="str">
        <f t="shared" si="549"/>
        <v/>
      </c>
      <c r="U2356" t="str">
        <f>IF($A2356="","",IF($A2356=经营数据!$B$3,COUNTIFS($S$2:$S$3000,1,$A$2:$A$3000,$A2356,$T$2:$T$3000,"&lt;"&amp;$T2356)+1,""))</f>
        <v/>
      </c>
      <c r="V2356" t="str">
        <f t="shared" si="550"/>
        <v/>
      </c>
      <c r="W2356" t="str">
        <f t="shared" si="551"/>
        <v/>
      </c>
      <c r="X2356" t="str">
        <f t="shared" si="552"/>
        <v/>
      </c>
      <c r="Y2356" t="str">
        <f t="shared" si="553"/>
        <v/>
      </c>
      <c r="Z2356">
        <f>IF($A2356="",0,IF(AND($M2356=1,$A2356=经营数据!$B$3,$J2356=经营数据!$BA$5,OR($I2356=经营数据!$BA$4,COUNTIF(经营数据!$AA$9:$AA$38,$I2356)&gt;0)),1,0))</f>
        <v>0</v>
      </c>
      <c r="AA2356" t="str">
        <f t="shared" si="554"/>
        <v/>
      </c>
      <c r="AB2356" t="str">
        <f t="shared" si="555"/>
        <v/>
      </c>
      <c r="AC2356">
        <f>IF($A2356="",0,IF(COUNTIF($A$2:$A2356,$A2356)=1,1,0))</f>
        <v>0</v>
      </c>
      <c r="AD2356">
        <f t="shared" si="556"/>
        <v>29</v>
      </c>
      <c r="AE2356" t="str">
        <f t="shared" si="557"/>
        <v/>
      </c>
    </row>
    <row r="2357" spans="1:31" x14ac:dyDescent="0.4">
      <c r="A2357" t="str">
        <f>IF(原始经营数据!$D2358="","",原始经营数据!$D2358)</f>
        <v/>
      </c>
      <c r="B2357" t="str">
        <f>IF(原始经营数据!$D2358="","",T(原始经营数据!$E2358))</f>
        <v/>
      </c>
      <c r="C2357" t="str">
        <f>IF(原始经营数据!$D2358="","",原始经营数据!$F2358)</f>
        <v/>
      </c>
      <c r="D2357" t="str">
        <f>IF(原始经营数据!$D2358="","",原始经营数据!$H2358)</f>
        <v/>
      </c>
      <c r="E2357" t="str">
        <f>IF(原始经营数据!$D2358="","",原始经营数据!$I2358)</f>
        <v/>
      </c>
      <c r="F2357" t="str">
        <f>IF(原始经营数据!$D2358="","",T(原始经营数据!$J2358))</f>
        <v/>
      </c>
      <c r="G2357" t="str">
        <f>IF(原始经营数据!$D2358="","",T(原始经营数据!$K2358))</f>
        <v/>
      </c>
      <c r="H2357" t="str">
        <f>IF(原始经营数据!$D2358="","",原始经营数据!$G2358)</f>
        <v/>
      </c>
      <c r="I2357" t="str">
        <f>IF($A2357="","",IF($B2357&lt;&gt;"",$B2357,IF(COUNTIFS(原始经营数据!$D$3:$D$3001,$A2357,原始经营数据!$E$3:$E$3001,"",原始经营数据!$F$3:$F$3001,$C2357,原始经营数据!$H$3:$H$3001,$D2357,原始经营数据!$K$3:$K$3001,$G2357)&gt;1,"基金整体·来源"&amp;原始经营数据!$A2358,"基金整体")))</f>
        <v/>
      </c>
      <c r="J2357" t="str">
        <f t="shared" si="543"/>
        <v/>
      </c>
      <c r="K2357" t="str">
        <f t="shared" si="544"/>
        <v/>
      </c>
      <c r="L2357" t="str">
        <f t="shared" si="545"/>
        <v/>
      </c>
      <c r="M2357">
        <f>IF($A2357="",0,IF(COUNTIF($L$2:$L2357,$L2357)=1,1,0))</f>
        <v>0</v>
      </c>
      <c r="N2357" t="str">
        <f t="shared" si="546"/>
        <v/>
      </c>
      <c r="O2357" t="str">
        <f t="shared" si="547"/>
        <v/>
      </c>
      <c r="P2357">
        <f>IF($A2357="",0,IF(COUNTIF($O$2:$O2357,$O2357)=1,1,0))</f>
        <v>0</v>
      </c>
      <c r="Q2357" t="str">
        <f>IF(AND($P2357=1,$A2357=经营数据!$B$3,$J2357=经营数据!$BA$5),COUNTIFS($P$2:$P$3000,1,$A$2:$A$3000,$A2357,$J$2:$J$3000,$J2357,$N$2:$N$3000,"&lt;"&amp;$N2357)+1,"")</f>
        <v/>
      </c>
      <c r="R2357" t="str">
        <f t="shared" si="548"/>
        <v/>
      </c>
      <c r="S2357">
        <f>IF($A2357="",0,IF(COUNTIF($R$2:$R2357,$R2357)=1,1,0))</f>
        <v>0</v>
      </c>
      <c r="T2357" t="str">
        <f t="shared" si="549"/>
        <v/>
      </c>
      <c r="U2357" t="str">
        <f>IF($A2357="","",IF($A2357=经营数据!$B$3,COUNTIFS($S$2:$S$3000,1,$A$2:$A$3000,$A2357,$T$2:$T$3000,"&lt;"&amp;$T2357)+1,""))</f>
        <v/>
      </c>
      <c r="V2357" t="str">
        <f t="shared" si="550"/>
        <v/>
      </c>
      <c r="W2357" t="str">
        <f t="shared" si="551"/>
        <v/>
      </c>
      <c r="X2357" t="str">
        <f t="shared" si="552"/>
        <v/>
      </c>
      <c r="Y2357" t="str">
        <f t="shared" si="553"/>
        <v/>
      </c>
      <c r="Z2357">
        <f>IF($A2357="",0,IF(AND($M2357=1,$A2357=经营数据!$B$3,$J2357=经营数据!$BA$5,OR($I2357=经营数据!$BA$4,COUNTIF(经营数据!$AA$9:$AA$38,$I2357)&gt;0)),1,0))</f>
        <v>0</v>
      </c>
      <c r="AA2357" t="str">
        <f t="shared" si="554"/>
        <v/>
      </c>
      <c r="AB2357" t="str">
        <f t="shared" si="555"/>
        <v/>
      </c>
      <c r="AC2357">
        <f>IF($A2357="",0,IF(COUNTIF($A$2:$A2357,$A2357)=1,1,0))</f>
        <v>0</v>
      </c>
      <c r="AD2357">
        <f t="shared" si="556"/>
        <v>29</v>
      </c>
      <c r="AE2357" t="str">
        <f t="shared" si="557"/>
        <v/>
      </c>
    </row>
    <row r="2358" spans="1:31" x14ac:dyDescent="0.4">
      <c r="A2358" t="str">
        <f>IF(原始经营数据!$D2359="","",原始经营数据!$D2359)</f>
        <v/>
      </c>
      <c r="B2358" t="str">
        <f>IF(原始经营数据!$D2359="","",T(原始经营数据!$E2359))</f>
        <v/>
      </c>
      <c r="C2358" t="str">
        <f>IF(原始经营数据!$D2359="","",原始经营数据!$F2359)</f>
        <v/>
      </c>
      <c r="D2358" t="str">
        <f>IF(原始经营数据!$D2359="","",原始经营数据!$H2359)</f>
        <v/>
      </c>
      <c r="E2358" t="str">
        <f>IF(原始经营数据!$D2359="","",原始经营数据!$I2359)</f>
        <v/>
      </c>
      <c r="F2358" t="str">
        <f>IF(原始经营数据!$D2359="","",T(原始经营数据!$J2359))</f>
        <v/>
      </c>
      <c r="G2358" t="str">
        <f>IF(原始经营数据!$D2359="","",T(原始经营数据!$K2359))</f>
        <v/>
      </c>
      <c r="H2358" t="str">
        <f>IF(原始经营数据!$D2359="","",原始经营数据!$G2359)</f>
        <v/>
      </c>
      <c r="I2358" t="str">
        <f>IF($A2358="","",IF($B2358&lt;&gt;"",$B2358,IF(COUNTIFS(原始经营数据!$D$3:$D$3001,$A2358,原始经营数据!$E$3:$E$3001,"",原始经营数据!$F$3:$F$3001,$C2358,原始经营数据!$H$3:$H$3001,$D2358,原始经营数据!$K$3:$K$3001,$G2358)&gt;1,"基金整体·来源"&amp;原始经营数据!$A2359,"基金整体")))</f>
        <v/>
      </c>
      <c r="J2358" t="str">
        <f t="shared" si="543"/>
        <v/>
      </c>
      <c r="K2358" t="str">
        <f t="shared" si="544"/>
        <v/>
      </c>
      <c r="L2358" t="str">
        <f t="shared" si="545"/>
        <v/>
      </c>
      <c r="M2358">
        <f>IF($A2358="",0,IF(COUNTIF($L$2:$L2358,$L2358)=1,1,0))</f>
        <v>0</v>
      </c>
      <c r="N2358" t="str">
        <f t="shared" si="546"/>
        <v/>
      </c>
      <c r="O2358" t="str">
        <f t="shared" si="547"/>
        <v/>
      </c>
      <c r="P2358">
        <f>IF($A2358="",0,IF(COUNTIF($O$2:$O2358,$O2358)=1,1,0))</f>
        <v>0</v>
      </c>
      <c r="Q2358" t="str">
        <f>IF(AND($P2358=1,$A2358=经营数据!$B$3,$J2358=经营数据!$BA$5),COUNTIFS($P$2:$P$3000,1,$A$2:$A$3000,$A2358,$J$2:$J$3000,$J2358,$N$2:$N$3000,"&lt;"&amp;$N2358)+1,"")</f>
        <v/>
      </c>
      <c r="R2358" t="str">
        <f t="shared" si="548"/>
        <v/>
      </c>
      <c r="S2358">
        <f>IF($A2358="",0,IF(COUNTIF($R$2:$R2358,$R2358)=1,1,0))</f>
        <v>0</v>
      </c>
      <c r="T2358" t="str">
        <f t="shared" si="549"/>
        <v/>
      </c>
      <c r="U2358" t="str">
        <f>IF($A2358="","",IF($A2358=经营数据!$B$3,COUNTIFS($S$2:$S$3000,1,$A$2:$A$3000,$A2358,$T$2:$T$3000,"&lt;"&amp;$T2358)+1,""))</f>
        <v/>
      </c>
      <c r="V2358" t="str">
        <f t="shared" si="550"/>
        <v/>
      </c>
      <c r="W2358" t="str">
        <f t="shared" si="551"/>
        <v/>
      </c>
      <c r="X2358" t="str">
        <f t="shared" si="552"/>
        <v/>
      </c>
      <c r="Y2358" t="str">
        <f t="shared" si="553"/>
        <v/>
      </c>
      <c r="Z2358">
        <f>IF($A2358="",0,IF(AND($M2358=1,$A2358=经营数据!$B$3,$J2358=经营数据!$BA$5,OR($I2358=经营数据!$BA$4,COUNTIF(经营数据!$AA$9:$AA$38,$I2358)&gt;0)),1,0))</f>
        <v>0</v>
      </c>
      <c r="AA2358" t="str">
        <f t="shared" si="554"/>
        <v/>
      </c>
      <c r="AB2358" t="str">
        <f t="shared" si="555"/>
        <v/>
      </c>
      <c r="AC2358">
        <f>IF($A2358="",0,IF(COUNTIF($A$2:$A2358,$A2358)=1,1,0))</f>
        <v>0</v>
      </c>
      <c r="AD2358">
        <f t="shared" si="556"/>
        <v>29</v>
      </c>
      <c r="AE2358" t="str">
        <f t="shared" si="557"/>
        <v/>
      </c>
    </row>
    <row r="2359" spans="1:31" x14ac:dyDescent="0.4">
      <c r="A2359" t="str">
        <f>IF(原始经营数据!$D2360="","",原始经营数据!$D2360)</f>
        <v/>
      </c>
      <c r="B2359" t="str">
        <f>IF(原始经营数据!$D2360="","",T(原始经营数据!$E2360))</f>
        <v/>
      </c>
      <c r="C2359" t="str">
        <f>IF(原始经营数据!$D2360="","",原始经营数据!$F2360)</f>
        <v/>
      </c>
      <c r="D2359" t="str">
        <f>IF(原始经营数据!$D2360="","",原始经营数据!$H2360)</f>
        <v/>
      </c>
      <c r="E2359" t="str">
        <f>IF(原始经营数据!$D2360="","",原始经营数据!$I2360)</f>
        <v/>
      </c>
      <c r="F2359" t="str">
        <f>IF(原始经营数据!$D2360="","",T(原始经营数据!$J2360))</f>
        <v/>
      </c>
      <c r="G2359" t="str">
        <f>IF(原始经营数据!$D2360="","",T(原始经营数据!$K2360))</f>
        <v/>
      </c>
      <c r="H2359" t="str">
        <f>IF(原始经营数据!$D2360="","",原始经营数据!$G2360)</f>
        <v/>
      </c>
      <c r="I2359" t="str">
        <f>IF($A2359="","",IF($B2359&lt;&gt;"",$B2359,IF(COUNTIFS(原始经营数据!$D$3:$D$3001,$A2359,原始经营数据!$E$3:$E$3001,"",原始经营数据!$F$3:$F$3001,$C2359,原始经营数据!$H$3:$H$3001,$D2359,原始经营数据!$K$3:$K$3001,$G2359)&gt;1,"基金整体·来源"&amp;原始经营数据!$A2360,"基金整体")))</f>
        <v/>
      </c>
      <c r="J2359" t="str">
        <f t="shared" si="543"/>
        <v/>
      </c>
      <c r="K2359" t="str">
        <f t="shared" si="544"/>
        <v/>
      </c>
      <c r="L2359" t="str">
        <f t="shared" si="545"/>
        <v/>
      </c>
      <c r="M2359">
        <f>IF($A2359="",0,IF(COUNTIF($L$2:$L2359,$L2359)=1,1,0))</f>
        <v>0</v>
      </c>
      <c r="N2359" t="str">
        <f t="shared" si="546"/>
        <v/>
      </c>
      <c r="O2359" t="str">
        <f t="shared" si="547"/>
        <v/>
      </c>
      <c r="P2359">
        <f>IF($A2359="",0,IF(COUNTIF($O$2:$O2359,$O2359)=1,1,0))</f>
        <v>0</v>
      </c>
      <c r="Q2359" t="str">
        <f>IF(AND($P2359=1,$A2359=经营数据!$B$3,$J2359=经营数据!$BA$5),COUNTIFS($P$2:$P$3000,1,$A$2:$A$3000,$A2359,$J$2:$J$3000,$J2359,$N$2:$N$3000,"&lt;"&amp;$N2359)+1,"")</f>
        <v/>
      </c>
      <c r="R2359" t="str">
        <f t="shared" si="548"/>
        <v/>
      </c>
      <c r="S2359">
        <f>IF($A2359="",0,IF(COUNTIF($R$2:$R2359,$R2359)=1,1,0))</f>
        <v>0</v>
      </c>
      <c r="T2359" t="str">
        <f t="shared" si="549"/>
        <v/>
      </c>
      <c r="U2359" t="str">
        <f>IF($A2359="","",IF($A2359=经营数据!$B$3,COUNTIFS($S$2:$S$3000,1,$A$2:$A$3000,$A2359,$T$2:$T$3000,"&lt;"&amp;$T2359)+1,""))</f>
        <v/>
      </c>
      <c r="V2359" t="str">
        <f t="shared" si="550"/>
        <v/>
      </c>
      <c r="W2359" t="str">
        <f t="shared" si="551"/>
        <v/>
      </c>
      <c r="X2359" t="str">
        <f t="shared" si="552"/>
        <v/>
      </c>
      <c r="Y2359" t="str">
        <f t="shared" si="553"/>
        <v/>
      </c>
      <c r="Z2359">
        <f>IF($A2359="",0,IF(AND($M2359=1,$A2359=经营数据!$B$3,$J2359=经营数据!$BA$5,OR($I2359=经营数据!$BA$4,COUNTIF(经营数据!$AA$9:$AA$38,$I2359)&gt;0)),1,0))</f>
        <v>0</v>
      </c>
      <c r="AA2359" t="str">
        <f t="shared" si="554"/>
        <v/>
      </c>
      <c r="AB2359" t="str">
        <f t="shared" si="555"/>
        <v/>
      </c>
      <c r="AC2359">
        <f>IF($A2359="",0,IF(COUNTIF($A$2:$A2359,$A2359)=1,1,0))</f>
        <v>0</v>
      </c>
      <c r="AD2359">
        <f t="shared" si="556"/>
        <v>29</v>
      </c>
      <c r="AE2359" t="str">
        <f t="shared" si="557"/>
        <v/>
      </c>
    </row>
    <row r="2360" spans="1:31" x14ac:dyDescent="0.4">
      <c r="A2360" t="str">
        <f>IF(原始经营数据!$D2361="","",原始经营数据!$D2361)</f>
        <v/>
      </c>
      <c r="B2360" t="str">
        <f>IF(原始经营数据!$D2361="","",T(原始经营数据!$E2361))</f>
        <v/>
      </c>
      <c r="C2360" t="str">
        <f>IF(原始经营数据!$D2361="","",原始经营数据!$F2361)</f>
        <v/>
      </c>
      <c r="D2360" t="str">
        <f>IF(原始经营数据!$D2361="","",原始经营数据!$H2361)</f>
        <v/>
      </c>
      <c r="E2360" t="str">
        <f>IF(原始经营数据!$D2361="","",原始经营数据!$I2361)</f>
        <v/>
      </c>
      <c r="F2360" t="str">
        <f>IF(原始经营数据!$D2361="","",T(原始经营数据!$J2361))</f>
        <v/>
      </c>
      <c r="G2360" t="str">
        <f>IF(原始经营数据!$D2361="","",T(原始经营数据!$K2361))</f>
        <v/>
      </c>
      <c r="H2360" t="str">
        <f>IF(原始经营数据!$D2361="","",原始经营数据!$G2361)</f>
        <v/>
      </c>
      <c r="I2360" t="str">
        <f>IF($A2360="","",IF($B2360&lt;&gt;"",$B2360,IF(COUNTIFS(原始经营数据!$D$3:$D$3001,$A2360,原始经营数据!$E$3:$E$3001,"",原始经营数据!$F$3:$F$3001,$C2360,原始经营数据!$H$3:$H$3001,$D2360,原始经营数据!$K$3:$K$3001,$G2360)&gt;1,"基金整体·来源"&amp;原始经营数据!$A2361,"基金整体")))</f>
        <v/>
      </c>
      <c r="J2360" t="str">
        <f t="shared" si="543"/>
        <v/>
      </c>
      <c r="K2360" t="str">
        <f t="shared" si="544"/>
        <v/>
      </c>
      <c r="L2360" t="str">
        <f t="shared" si="545"/>
        <v/>
      </c>
      <c r="M2360">
        <f>IF($A2360="",0,IF(COUNTIF($L$2:$L2360,$L2360)=1,1,0))</f>
        <v>0</v>
      </c>
      <c r="N2360" t="str">
        <f t="shared" si="546"/>
        <v/>
      </c>
      <c r="O2360" t="str">
        <f t="shared" si="547"/>
        <v/>
      </c>
      <c r="P2360">
        <f>IF($A2360="",0,IF(COUNTIF($O$2:$O2360,$O2360)=1,1,0))</f>
        <v>0</v>
      </c>
      <c r="Q2360" t="str">
        <f>IF(AND($P2360=1,$A2360=经营数据!$B$3,$J2360=经营数据!$BA$5),COUNTIFS($P$2:$P$3000,1,$A$2:$A$3000,$A2360,$J$2:$J$3000,$J2360,$N$2:$N$3000,"&lt;"&amp;$N2360)+1,"")</f>
        <v/>
      </c>
      <c r="R2360" t="str">
        <f t="shared" si="548"/>
        <v/>
      </c>
      <c r="S2360">
        <f>IF($A2360="",0,IF(COUNTIF($R$2:$R2360,$R2360)=1,1,0))</f>
        <v>0</v>
      </c>
      <c r="T2360" t="str">
        <f t="shared" si="549"/>
        <v/>
      </c>
      <c r="U2360" t="str">
        <f>IF($A2360="","",IF($A2360=经营数据!$B$3,COUNTIFS($S$2:$S$3000,1,$A$2:$A$3000,$A2360,$T$2:$T$3000,"&lt;"&amp;$T2360)+1,""))</f>
        <v/>
      </c>
      <c r="V2360" t="str">
        <f t="shared" si="550"/>
        <v/>
      </c>
      <c r="W2360" t="str">
        <f t="shared" si="551"/>
        <v/>
      </c>
      <c r="X2360" t="str">
        <f t="shared" si="552"/>
        <v/>
      </c>
      <c r="Y2360" t="str">
        <f t="shared" si="553"/>
        <v/>
      </c>
      <c r="Z2360">
        <f>IF($A2360="",0,IF(AND($M2360=1,$A2360=经营数据!$B$3,$J2360=经营数据!$BA$5,OR($I2360=经营数据!$BA$4,COUNTIF(经营数据!$AA$9:$AA$38,$I2360)&gt;0)),1,0))</f>
        <v>0</v>
      </c>
      <c r="AA2360" t="str">
        <f t="shared" si="554"/>
        <v/>
      </c>
      <c r="AB2360" t="str">
        <f t="shared" si="555"/>
        <v/>
      </c>
      <c r="AC2360">
        <f>IF($A2360="",0,IF(COUNTIF($A$2:$A2360,$A2360)=1,1,0))</f>
        <v>0</v>
      </c>
      <c r="AD2360">
        <f t="shared" si="556"/>
        <v>29</v>
      </c>
      <c r="AE2360" t="str">
        <f t="shared" si="557"/>
        <v/>
      </c>
    </row>
    <row r="2361" spans="1:31" x14ac:dyDescent="0.4">
      <c r="A2361" t="str">
        <f>IF(原始经营数据!$D2362="","",原始经营数据!$D2362)</f>
        <v/>
      </c>
      <c r="B2361" t="str">
        <f>IF(原始经营数据!$D2362="","",T(原始经营数据!$E2362))</f>
        <v/>
      </c>
      <c r="C2361" t="str">
        <f>IF(原始经营数据!$D2362="","",原始经营数据!$F2362)</f>
        <v/>
      </c>
      <c r="D2361" t="str">
        <f>IF(原始经营数据!$D2362="","",原始经营数据!$H2362)</f>
        <v/>
      </c>
      <c r="E2361" t="str">
        <f>IF(原始经营数据!$D2362="","",原始经营数据!$I2362)</f>
        <v/>
      </c>
      <c r="F2361" t="str">
        <f>IF(原始经营数据!$D2362="","",T(原始经营数据!$J2362))</f>
        <v/>
      </c>
      <c r="G2361" t="str">
        <f>IF(原始经营数据!$D2362="","",T(原始经营数据!$K2362))</f>
        <v/>
      </c>
      <c r="H2361" t="str">
        <f>IF(原始经营数据!$D2362="","",原始经营数据!$G2362)</f>
        <v/>
      </c>
      <c r="I2361" t="str">
        <f>IF($A2361="","",IF($B2361&lt;&gt;"",$B2361,IF(COUNTIFS(原始经营数据!$D$3:$D$3001,$A2361,原始经营数据!$E$3:$E$3001,"",原始经营数据!$F$3:$F$3001,$C2361,原始经营数据!$H$3:$H$3001,$D2361,原始经营数据!$K$3:$K$3001,$G2361)&gt;1,"基金整体·来源"&amp;原始经营数据!$A2362,"基金整体")))</f>
        <v/>
      </c>
      <c r="J2361" t="str">
        <f t="shared" si="543"/>
        <v/>
      </c>
      <c r="K2361" t="str">
        <f t="shared" si="544"/>
        <v/>
      </c>
      <c r="L2361" t="str">
        <f t="shared" si="545"/>
        <v/>
      </c>
      <c r="M2361">
        <f>IF($A2361="",0,IF(COUNTIF($L$2:$L2361,$L2361)=1,1,0))</f>
        <v>0</v>
      </c>
      <c r="N2361" t="str">
        <f t="shared" si="546"/>
        <v/>
      </c>
      <c r="O2361" t="str">
        <f t="shared" si="547"/>
        <v/>
      </c>
      <c r="P2361">
        <f>IF($A2361="",0,IF(COUNTIF($O$2:$O2361,$O2361)=1,1,0))</f>
        <v>0</v>
      </c>
      <c r="Q2361" t="str">
        <f>IF(AND($P2361=1,$A2361=经营数据!$B$3,$J2361=经营数据!$BA$5),COUNTIFS($P$2:$P$3000,1,$A$2:$A$3000,$A2361,$J$2:$J$3000,$J2361,$N$2:$N$3000,"&lt;"&amp;$N2361)+1,"")</f>
        <v/>
      </c>
      <c r="R2361" t="str">
        <f t="shared" si="548"/>
        <v/>
      </c>
      <c r="S2361">
        <f>IF($A2361="",0,IF(COUNTIF($R$2:$R2361,$R2361)=1,1,0))</f>
        <v>0</v>
      </c>
      <c r="T2361" t="str">
        <f t="shared" si="549"/>
        <v/>
      </c>
      <c r="U2361" t="str">
        <f>IF($A2361="","",IF($A2361=经营数据!$B$3,COUNTIFS($S$2:$S$3000,1,$A$2:$A$3000,$A2361,$T$2:$T$3000,"&lt;"&amp;$T2361)+1,""))</f>
        <v/>
      </c>
      <c r="V2361" t="str">
        <f t="shared" si="550"/>
        <v/>
      </c>
      <c r="W2361" t="str">
        <f t="shared" si="551"/>
        <v/>
      </c>
      <c r="X2361" t="str">
        <f t="shared" si="552"/>
        <v/>
      </c>
      <c r="Y2361" t="str">
        <f t="shared" si="553"/>
        <v/>
      </c>
      <c r="Z2361">
        <f>IF($A2361="",0,IF(AND($M2361=1,$A2361=经营数据!$B$3,$J2361=经营数据!$BA$5,OR($I2361=经营数据!$BA$4,COUNTIF(经营数据!$AA$9:$AA$38,$I2361)&gt;0)),1,0))</f>
        <v>0</v>
      </c>
      <c r="AA2361" t="str">
        <f t="shared" si="554"/>
        <v/>
      </c>
      <c r="AB2361" t="str">
        <f t="shared" si="555"/>
        <v/>
      </c>
      <c r="AC2361">
        <f>IF($A2361="",0,IF(COUNTIF($A$2:$A2361,$A2361)=1,1,0))</f>
        <v>0</v>
      </c>
      <c r="AD2361">
        <f t="shared" si="556"/>
        <v>29</v>
      </c>
      <c r="AE2361" t="str">
        <f t="shared" si="557"/>
        <v/>
      </c>
    </row>
    <row r="2362" spans="1:31" x14ac:dyDescent="0.4">
      <c r="A2362" t="str">
        <f>IF(原始经营数据!$D2363="","",原始经营数据!$D2363)</f>
        <v/>
      </c>
      <c r="B2362" t="str">
        <f>IF(原始经营数据!$D2363="","",T(原始经营数据!$E2363))</f>
        <v/>
      </c>
      <c r="C2362" t="str">
        <f>IF(原始经营数据!$D2363="","",原始经营数据!$F2363)</f>
        <v/>
      </c>
      <c r="D2362" t="str">
        <f>IF(原始经营数据!$D2363="","",原始经营数据!$H2363)</f>
        <v/>
      </c>
      <c r="E2362" t="str">
        <f>IF(原始经营数据!$D2363="","",原始经营数据!$I2363)</f>
        <v/>
      </c>
      <c r="F2362" t="str">
        <f>IF(原始经营数据!$D2363="","",T(原始经营数据!$J2363))</f>
        <v/>
      </c>
      <c r="G2362" t="str">
        <f>IF(原始经营数据!$D2363="","",T(原始经营数据!$K2363))</f>
        <v/>
      </c>
      <c r="H2362" t="str">
        <f>IF(原始经营数据!$D2363="","",原始经营数据!$G2363)</f>
        <v/>
      </c>
      <c r="I2362" t="str">
        <f>IF($A2362="","",IF($B2362&lt;&gt;"",$B2362,IF(COUNTIFS(原始经营数据!$D$3:$D$3001,$A2362,原始经营数据!$E$3:$E$3001,"",原始经营数据!$F$3:$F$3001,$C2362,原始经营数据!$H$3:$H$3001,$D2362,原始经营数据!$K$3:$K$3001,$G2362)&gt;1,"基金整体·来源"&amp;原始经营数据!$A2363,"基金整体")))</f>
        <v/>
      </c>
      <c r="J2362" t="str">
        <f t="shared" si="543"/>
        <v/>
      </c>
      <c r="K2362" t="str">
        <f t="shared" si="544"/>
        <v/>
      </c>
      <c r="L2362" t="str">
        <f t="shared" si="545"/>
        <v/>
      </c>
      <c r="M2362">
        <f>IF($A2362="",0,IF(COUNTIF($L$2:$L2362,$L2362)=1,1,0))</f>
        <v>0</v>
      </c>
      <c r="N2362" t="str">
        <f t="shared" si="546"/>
        <v/>
      </c>
      <c r="O2362" t="str">
        <f t="shared" si="547"/>
        <v/>
      </c>
      <c r="P2362">
        <f>IF($A2362="",0,IF(COUNTIF($O$2:$O2362,$O2362)=1,1,0))</f>
        <v>0</v>
      </c>
      <c r="Q2362" t="str">
        <f>IF(AND($P2362=1,$A2362=经营数据!$B$3,$J2362=经营数据!$BA$5),COUNTIFS($P$2:$P$3000,1,$A$2:$A$3000,$A2362,$J$2:$J$3000,$J2362,$N$2:$N$3000,"&lt;"&amp;$N2362)+1,"")</f>
        <v/>
      </c>
      <c r="R2362" t="str">
        <f t="shared" si="548"/>
        <v/>
      </c>
      <c r="S2362">
        <f>IF($A2362="",0,IF(COUNTIF($R$2:$R2362,$R2362)=1,1,0))</f>
        <v>0</v>
      </c>
      <c r="T2362" t="str">
        <f t="shared" si="549"/>
        <v/>
      </c>
      <c r="U2362" t="str">
        <f>IF($A2362="","",IF($A2362=经营数据!$B$3,COUNTIFS($S$2:$S$3000,1,$A$2:$A$3000,$A2362,$T$2:$T$3000,"&lt;"&amp;$T2362)+1,""))</f>
        <v/>
      </c>
      <c r="V2362" t="str">
        <f t="shared" si="550"/>
        <v/>
      </c>
      <c r="W2362" t="str">
        <f t="shared" si="551"/>
        <v/>
      </c>
      <c r="X2362" t="str">
        <f t="shared" si="552"/>
        <v/>
      </c>
      <c r="Y2362" t="str">
        <f t="shared" si="553"/>
        <v/>
      </c>
      <c r="Z2362">
        <f>IF($A2362="",0,IF(AND($M2362=1,$A2362=经营数据!$B$3,$J2362=经营数据!$BA$5,OR($I2362=经营数据!$BA$4,COUNTIF(经营数据!$AA$9:$AA$38,$I2362)&gt;0)),1,0))</f>
        <v>0</v>
      </c>
      <c r="AA2362" t="str">
        <f t="shared" si="554"/>
        <v/>
      </c>
      <c r="AB2362" t="str">
        <f t="shared" si="555"/>
        <v/>
      </c>
      <c r="AC2362">
        <f>IF($A2362="",0,IF(COUNTIF($A$2:$A2362,$A2362)=1,1,0))</f>
        <v>0</v>
      </c>
      <c r="AD2362">
        <f t="shared" si="556"/>
        <v>29</v>
      </c>
      <c r="AE2362" t="str">
        <f t="shared" si="557"/>
        <v/>
      </c>
    </row>
    <row r="2363" spans="1:31" x14ac:dyDescent="0.4">
      <c r="A2363" t="str">
        <f>IF(原始经营数据!$D2364="","",原始经营数据!$D2364)</f>
        <v/>
      </c>
      <c r="B2363" t="str">
        <f>IF(原始经营数据!$D2364="","",T(原始经营数据!$E2364))</f>
        <v/>
      </c>
      <c r="C2363" t="str">
        <f>IF(原始经营数据!$D2364="","",原始经营数据!$F2364)</f>
        <v/>
      </c>
      <c r="D2363" t="str">
        <f>IF(原始经营数据!$D2364="","",原始经营数据!$H2364)</f>
        <v/>
      </c>
      <c r="E2363" t="str">
        <f>IF(原始经营数据!$D2364="","",原始经营数据!$I2364)</f>
        <v/>
      </c>
      <c r="F2363" t="str">
        <f>IF(原始经营数据!$D2364="","",T(原始经营数据!$J2364))</f>
        <v/>
      </c>
      <c r="G2363" t="str">
        <f>IF(原始经营数据!$D2364="","",T(原始经营数据!$K2364))</f>
        <v/>
      </c>
      <c r="H2363" t="str">
        <f>IF(原始经营数据!$D2364="","",原始经营数据!$G2364)</f>
        <v/>
      </c>
      <c r="I2363" t="str">
        <f>IF($A2363="","",IF($B2363&lt;&gt;"",$B2363,IF(COUNTIFS(原始经营数据!$D$3:$D$3001,$A2363,原始经营数据!$E$3:$E$3001,"",原始经营数据!$F$3:$F$3001,$C2363,原始经营数据!$H$3:$H$3001,$D2363,原始经营数据!$K$3:$K$3001,$G2363)&gt;1,"基金整体·来源"&amp;原始经营数据!$A2364,"基金整体")))</f>
        <v/>
      </c>
      <c r="J2363" t="str">
        <f t="shared" si="543"/>
        <v/>
      </c>
      <c r="K2363" t="str">
        <f t="shared" si="544"/>
        <v/>
      </c>
      <c r="L2363" t="str">
        <f t="shared" si="545"/>
        <v/>
      </c>
      <c r="M2363">
        <f>IF($A2363="",0,IF(COUNTIF($L$2:$L2363,$L2363)=1,1,0))</f>
        <v>0</v>
      </c>
      <c r="N2363" t="str">
        <f t="shared" si="546"/>
        <v/>
      </c>
      <c r="O2363" t="str">
        <f t="shared" si="547"/>
        <v/>
      </c>
      <c r="P2363">
        <f>IF($A2363="",0,IF(COUNTIF($O$2:$O2363,$O2363)=1,1,0))</f>
        <v>0</v>
      </c>
      <c r="Q2363" t="str">
        <f>IF(AND($P2363=1,$A2363=经营数据!$B$3,$J2363=经营数据!$BA$5),COUNTIFS($P$2:$P$3000,1,$A$2:$A$3000,$A2363,$J$2:$J$3000,$J2363,$N$2:$N$3000,"&lt;"&amp;$N2363)+1,"")</f>
        <v/>
      </c>
      <c r="R2363" t="str">
        <f t="shared" si="548"/>
        <v/>
      </c>
      <c r="S2363">
        <f>IF($A2363="",0,IF(COUNTIF($R$2:$R2363,$R2363)=1,1,0))</f>
        <v>0</v>
      </c>
      <c r="T2363" t="str">
        <f t="shared" si="549"/>
        <v/>
      </c>
      <c r="U2363" t="str">
        <f>IF($A2363="","",IF($A2363=经营数据!$B$3,COUNTIFS($S$2:$S$3000,1,$A$2:$A$3000,$A2363,$T$2:$T$3000,"&lt;"&amp;$T2363)+1,""))</f>
        <v/>
      </c>
      <c r="V2363" t="str">
        <f t="shared" si="550"/>
        <v/>
      </c>
      <c r="W2363" t="str">
        <f t="shared" si="551"/>
        <v/>
      </c>
      <c r="X2363" t="str">
        <f t="shared" si="552"/>
        <v/>
      </c>
      <c r="Y2363" t="str">
        <f t="shared" si="553"/>
        <v/>
      </c>
      <c r="Z2363">
        <f>IF($A2363="",0,IF(AND($M2363=1,$A2363=经营数据!$B$3,$J2363=经营数据!$BA$5,OR($I2363=经营数据!$BA$4,COUNTIF(经营数据!$AA$9:$AA$38,$I2363)&gt;0)),1,0))</f>
        <v>0</v>
      </c>
      <c r="AA2363" t="str">
        <f t="shared" si="554"/>
        <v/>
      </c>
      <c r="AB2363" t="str">
        <f t="shared" si="555"/>
        <v/>
      </c>
      <c r="AC2363">
        <f>IF($A2363="",0,IF(COUNTIF($A$2:$A2363,$A2363)=1,1,0))</f>
        <v>0</v>
      </c>
      <c r="AD2363">
        <f t="shared" si="556"/>
        <v>29</v>
      </c>
      <c r="AE2363" t="str">
        <f t="shared" si="557"/>
        <v/>
      </c>
    </row>
    <row r="2364" spans="1:31" x14ac:dyDescent="0.4">
      <c r="A2364" t="str">
        <f>IF(原始经营数据!$D2365="","",原始经营数据!$D2365)</f>
        <v/>
      </c>
      <c r="B2364" t="str">
        <f>IF(原始经营数据!$D2365="","",T(原始经营数据!$E2365))</f>
        <v/>
      </c>
      <c r="C2364" t="str">
        <f>IF(原始经营数据!$D2365="","",原始经营数据!$F2365)</f>
        <v/>
      </c>
      <c r="D2364" t="str">
        <f>IF(原始经营数据!$D2365="","",原始经营数据!$H2365)</f>
        <v/>
      </c>
      <c r="E2364" t="str">
        <f>IF(原始经营数据!$D2365="","",原始经营数据!$I2365)</f>
        <v/>
      </c>
      <c r="F2364" t="str">
        <f>IF(原始经营数据!$D2365="","",T(原始经营数据!$J2365))</f>
        <v/>
      </c>
      <c r="G2364" t="str">
        <f>IF(原始经营数据!$D2365="","",T(原始经营数据!$K2365))</f>
        <v/>
      </c>
      <c r="H2364" t="str">
        <f>IF(原始经营数据!$D2365="","",原始经营数据!$G2365)</f>
        <v/>
      </c>
      <c r="I2364" t="str">
        <f>IF($A2364="","",IF($B2364&lt;&gt;"",$B2364,IF(COUNTIFS(原始经营数据!$D$3:$D$3001,$A2364,原始经营数据!$E$3:$E$3001,"",原始经营数据!$F$3:$F$3001,$C2364,原始经营数据!$H$3:$H$3001,$D2364,原始经营数据!$K$3:$K$3001,$G2364)&gt;1,"基金整体·来源"&amp;原始经营数据!$A2365,"基金整体")))</f>
        <v/>
      </c>
      <c r="J2364" t="str">
        <f t="shared" si="543"/>
        <v/>
      </c>
      <c r="K2364" t="str">
        <f t="shared" si="544"/>
        <v/>
      </c>
      <c r="L2364" t="str">
        <f t="shared" si="545"/>
        <v/>
      </c>
      <c r="M2364">
        <f>IF($A2364="",0,IF(COUNTIF($L$2:$L2364,$L2364)=1,1,0))</f>
        <v>0</v>
      </c>
      <c r="N2364" t="str">
        <f t="shared" si="546"/>
        <v/>
      </c>
      <c r="O2364" t="str">
        <f t="shared" si="547"/>
        <v/>
      </c>
      <c r="P2364">
        <f>IF($A2364="",0,IF(COUNTIF($O$2:$O2364,$O2364)=1,1,0))</f>
        <v>0</v>
      </c>
      <c r="Q2364" t="str">
        <f>IF(AND($P2364=1,$A2364=经营数据!$B$3,$J2364=经营数据!$BA$5),COUNTIFS($P$2:$P$3000,1,$A$2:$A$3000,$A2364,$J$2:$J$3000,$J2364,$N$2:$N$3000,"&lt;"&amp;$N2364)+1,"")</f>
        <v/>
      </c>
      <c r="R2364" t="str">
        <f t="shared" si="548"/>
        <v/>
      </c>
      <c r="S2364">
        <f>IF($A2364="",0,IF(COUNTIF($R$2:$R2364,$R2364)=1,1,0))</f>
        <v>0</v>
      </c>
      <c r="T2364" t="str">
        <f t="shared" si="549"/>
        <v/>
      </c>
      <c r="U2364" t="str">
        <f>IF($A2364="","",IF($A2364=经营数据!$B$3,COUNTIFS($S$2:$S$3000,1,$A$2:$A$3000,$A2364,$T$2:$T$3000,"&lt;"&amp;$T2364)+1,""))</f>
        <v/>
      </c>
      <c r="V2364" t="str">
        <f t="shared" si="550"/>
        <v/>
      </c>
      <c r="W2364" t="str">
        <f t="shared" si="551"/>
        <v/>
      </c>
      <c r="X2364" t="str">
        <f t="shared" si="552"/>
        <v/>
      </c>
      <c r="Y2364" t="str">
        <f t="shared" si="553"/>
        <v/>
      </c>
      <c r="Z2364">
        <f>IF($A2364="",0,IF(AND($M2364=1,$A2364=经营数据!$B$3,$J2364=经营数据!$BA$5,OR($I2364=经营数据!$BA$4,COUNTIF(经营数据!$AA$9:$AA$38,$I2364)&gt;0)),1,0))</f>
        <v>0</v>
      </c>
      <c r="AA2364" t="str">
        <f t="shared" si="554"/>
        <v/>
      </c>
      <c r="AB2364" t="str">
        <f t="shared" si="555"/>
        <v/>
      </c>
      <c r="AC2364">
        <f>IF($A2364="",0,IF(COUNTIF($A$2:$A2364,$A2364)=1,1,0))</f>
        <v>0</v>
      </c>
      <c r="AD2364">
        <f t="shared" si="556"/>
        <v>29</v>
      </c>
      <c r="AE2364" t="str">
        <f t="shared" si="557"/>
        <v/>
      </c>
    </row>
    <row r="2365" spans="1:31" x14ac:dyDescent="0.4">
      <c r="A2365" t="str">
        <f>IF(原始经营数据!$D2366="","",原始经营数据!$D2366)</f>
        <v/>
      </c>
      <c r="B2365" t="str">
        <f>IF(原始经营数据!$D2366="","",T(原始经营数据!$E2366))</f>
        <v/>
      </c>
      <c r="C2365" t="str">
        <f>IF(原始经营数据!$D2366="","",原始经营数据!$F2366)</f>
        <v/>
      </c>
      <c r="D2365" t="str">
        <f>IF(原始经营数据!$D2366="","",原始经营数据!$H2366)</f>
        <v/>
      </c>
      <c r="E2365" t="str">
        <f>IF(原始经营数据!$D2366="","",原始经营数据!$I2366)</f>
        <v/>
      </c>
      <c r="F2365" t="str">
        <f>IF(原始经营数据!$D2366="","",T(原始经营数据!$J2366))</f>
        <v/>
      </c>
      <c r="G2365" t="str">
        <f>IF(原始经营数据!$D2366="","",T(原始经营数据!$K2366))</f>
        <v/>
      </c>
      <c r="H2365" t="str">
        <f>IF(原始经营数据!$D2366="","",原始经营数据!$G2366)</f>
        <v/>
      </c>
      <c r="I2365" t="str">
        <f>IF($A2365="","",IF($B2365&lt;&gt;"",$B2365,IF(COUNTIFS(原始经营数据!$D$3:$D$3001,$A2365,原始经营数据!$E$3:$E$3001,"",原始经营数据!$F$3:$F$3001,$C2365,原始经营数据!$H$3:$H$3001,$D2365,原始经营数据!$K$3:$K$3001,$G2365)&gt;1,"基金整体·来源"&amp;原始经营数据!$A2366,"基金整体")))</f>
        <v/>
      </c>
      <c r="J2365" t="str">
        <f t="shared" si="543"/>
        <v/>
      </c>
      <c r="K2365" t="str">
        <f t="shared" si="544"/>
        <v/>
      </c>
      <c r="L2365" t="str">
        <f t="shared" si="545"/>
        <v/>
      </c>
      <c r="M2365">
        <f>IF($A2365="",0,IF(COUNTIF($L$2:$L2365,$L2365)=1,1,0))</f>
        <v>0</v>
      </c>
      <c r="N2365" t="str">
        <f t="shared" si="546"/>
        <v/>
      </c>
      <c r="O2365" t="str">
        <f t="shared" si="547"/>
        <v/>
      </c>
      <c r="P2365">
        <f>IF($A2365="",0,IF(COUNTIF($O$2:$O2365,$O2365)=1,1,0))</f>
        <v>0</v>
      </c>
      <c r="Q2365" t="str">
        <f>IF(AND($P2365=1,$A2365=经营数据!$B$3,$J2365=经营数据!$BA$5),COUNTIFS($P$2:$P$3000,1,$A$2:$A$3000,$A2365,$J$2:$J$3000,$J2365,$N$2:$N$3000,"&lt;"&amp;$N2365)+1,"")</f>
        <v/>
      </c>
      <c r="R2365" t="str">
        <f t="shared" si="548"/>
        <v/>
      </c>
      <c r="S2365">
        <f>IF($A2365="",0,IF(COUNTIF($R$2:$R2365,$R2365)=1,1,0))</f>
        <v>0</v>
      </c>
      <c r="T2365" t="str">
        <f t="shared" si="549"/>
        <v/>
      </c>
      <c r="U2365" t="str">
        <f>IF($A2365="","",IF($A2365=经营数据!$B$3,COUNTIFS($S$2:$S$3000,1,$A$2:$A$3000,$A2365,$T$2:$T$3000,"&lt;"&amp;$T2365)+1,""))</f>
        <v/>
      </c>
      <c r="V2365" t="str">
        <f t="shared" si="550"/>
        <v/>
      </c>
      <c r="W2365" t="str">
        <f t="shared" si="551"/>
        <v/>
      </c>
      <c r="X2365" t="str">
        <f t="shared" si="552"/>
        <v/>
      </c>
      <c r="Y2365" t="str">
        <f t="shared" si="553"/>
        <v/>
      </c>
      <c r="Z2365">
        <f>IF($A2365="",0,IF(AND($M2365=1,$A2365=经营数据!$B$3,$J2365=经营数据!$BA$5,OR($I2365=经营数据!$BA$4,COUNTIF(经营数据!$AA$9:$AA$38,$I2365)&gt;0)),1,0))</f>
        <v>0</v>
      </c>
      <c r="AA2365" t="str">
        <f t="shared" si="554"/>
        <v/>
      </c>
      <c r="AB2365" t="str">
        <f t="shared" si="555"/>
        <v/>
      </c>
      <c r="AC2365">
        <f>IF($A2365="",0,IF(COUNTIF($A$2:$A2365,$A2365)=1,1,0))</f>
        <v>0</v>
      </c>
      <c r="AD2365">
        <f t="shared" si="556"/>
        <v>29</v>
      </c>
      <c r="AE2365" t="str">
        <f t="shared" si="557"/>
        <v/>
      </c>
    </row>
    <row r="2366" spans="1:31" x14ac:dyDescent="0.4">
      <c r="A2366" t="str">
        <f>IF(原始经营数据!$D2367="","",原始经营数据!$D2367)</f>
        <v/>
      </c>
      <c r="B2366" t="str">
        <f>IF(原始经营数据!$D2367="","",T(原始经营数据!$E2367))</f>
        <v/>
      </c>
      <c r="C2366" t="str">
        <f>IF(原始经营数据!$D2367="","",原始经营数据!$F2367)</f>
        <v/>
      </c>
      <c r="D2366" t="str">
        <f>IF(原始经营数据!$D2367="","",原始经营数据!$H2367)</f>
        <v/>
      </c>
      <c r="E2366" t="str">
        <f>IF(原始经营数据!$D2367="","",原始经营数据!$I2367)</f>
        <v/>
      </c>
      <c r="F2366" t="str">
        <f>IF(原始经营数据!$D2367="","",T(原始经营数据!$J2367))</f>
        <v/>
      </c>
      <c r="G2366" t="str">
        <f>IF(原始经营数据!$D2367="","",T(原始经营数据!$K2367))</f>
        <v/>
      </c>
      <c r="H2366" t="str">
        <f>IF(原始经营数据!$D2367="","",原始经营数据!$G2367)</f>
        <v/>
      </c>
      <c r="I2366" t="str">
        <f>IF($A2366="","",IF($B2366&lt;&gt;"",$B2366,IF(COUNTIFS(原始经营数据!$D$3:$D$3001,$A2366,原始经营数据!$E$3:$E$3001,"",原始经营数据!$F$3:$F$3001,$C2366,原始经营数据!$H$3:$H$3001,$D2366,原始经营数据!$K$3:$K$3001,$G2366)&gt;1,"基金整体·来源"&amp;原始经营数据!$A2367,"基金整体")))</f>
        <v/>
      </c>
      <c r="J2366" t="str">
        <f t="shared" si="543"/>
        <v/>
      </c>
      <c r="K2366" t="str">
        <f t="shared" si="544"/>
        <v/>
      </c>
      <c r="L2366" t="str">
        <f t="shared" si="545"/>
        <v/>
      </c>
      <c r="M2366">
        <f>IF($A2366="",0,IF(COUNTIF($L$2:$L2366,$L2366)=1,1,0))</f>
        <v>0</v>
      </c>
      <c r="N2366" t="str">
        <f t="shared" si="546"/>
        <v/>
      </c>
      <c r="O2366" t="str">
        <f t="shared" si="547"/>
        <v/>
      </c>
      <c r="P2366">
        <f>IF($A2366="",0,IF(COUNTIF($O$2:$O2366,$O2366)=1,1,0))</f>
        <v>0</v>
      </c>
      <c r="Q2366" t="str">
        <f>IF(AND($P2366=1,$A2366=经营数据!$B$3,$J2366=经营数据!$BA$5),COUNTIFS($P$2:$P$3000,1,$A$2:$A$3000,$A2366,$J$2:$J$3000,$J2366,$N$2:$N$3000,"&lt;"&amp;$N2366)+1,"")</f>
        <v/>
      </c>
      <c r="R2366" t="str">
        <f t="shared" si="548"/>
        <v/>
      </c>
      <c r="S2366">
        <f>IF($A2366="",0,IF(COUNTIF($R$2:$R2366,$R2366)=1,1,0))</f>
        <v>0</v>
      </c>
      <c r="T2366" t="str">
        <f t="shared" si="549"/>
        <v/>
      </c>
      <c r="U2366" t="str">
        <f>IF($A2366="","",IF($A2366=经营数据!$B$3,COUNTIFS($S$2:$S$3000,1,$A$2:$A$3000,$A2366,$T$2:$T$3000,"&lt;"&amp;$T2366)+1,""))</f>
        <v/>
      </c>
      <c r="V2366" t="str">
        <f t="shared" si="550"/>
        <v/>
      </c>
      <c r="W2366" t="str">
        <f t="shared" si="551"/>
        <v/>
      </c>
      <c r="X2366" t="str">
        <f t="shared" si="552"/>
        <v/>
      </c>
      <c r="Y2366" t="str">
        <f t="shared" si="553"/>
        <v/>
      </c>
      <c r="Z2366">
        <f>IF($A2366="",0,IF(AND($M2366=1,$A2366=经营数据!$B$3,$J2366=经营数据!$BA$5,OR($I2366=经营数据!$BA$4,COUNTIF(经营数据!$AA$9:$AA$38,$I2366)&gt;0)),1,0))</f>
        <v>0</v>
      </c>
      <c r="AA2366" t="str">
        <f t="shared" si="554"/>
        <v/>
      </c>
      <c r="AB2366" t="str">
        <f t="shared" si="555"/>
        <v/>
      </c>
      <c r="AC2366">
        <f>IF($A2366="",0,IF(COUNTIF($A$2:$A2366,$A2366)=1,1,0))</f>
        <v>0</v>
      </c>
      <c r="AD2366">
        <f t="shared" si="556"/>
        <v>29</v>
      </c>
      <c r="AE2366" t="str">
        <f t="shared" si="557"/>
        <v/>
      </c>
    </row>
    <row r="2367" spans="1:31" x14ac:dyDescent="0.4">
      <c r="A2367" t="str">
        <f>IF(原始经营数据!$D2368="","",原始经营数据!$D2368)</f>
        <v/>
      </c>
      <c r="B2367" t="str">
        <f>IF(原始经营数据!$D2368="","",T(原始经营数据!$E2368))</f>
        <v/>
      </c>
      <c r="C2367" t="str">
        <f>IF(原始经营数据!$D2368="","",原始经营数据!$F2368)</f>
        <v/>
      </c>
      <c r="D2367" t="str">
        <f>IF(原始经营数据!$D2368="","",原始经营数据!$H2368)</f>
        <v/>
      </c>
      <c r="E2367" t="str">
        <f>IF(原始经营数据!$D2368="","",原始经营数据!$I2368)</f>
        <v/>
      </c>
      <c r="F2367" t="str">
        <f>IF(原始经营数据!$D2368="","",T(原始经营数据!$J2368))</f>
        <v/>
      </c>
      <c r="G2367" t="str">
        <f>IF(原始经营数据!$D2368="","",T(原始经营数据!$K2368))</f>
        <v/>
      </c>
      <c r="H2367" t="str">
        <f>IF(原始经营数据!$D2368="","",原始经营数据!$G2368)</f>
        <v/>
      </c>
      <c r="I2367" t="str">
        <f>IF($A2367="","",IF($B2367&lt;&gt;"",$B2367,IF(COUNTIFS(原始经营数据!$D$3:$D$3001,$A2367,原始经营数据!$E$3:$E$3001,"",原始经营数据!$F$3:$F$3001,$C2367,原始经营数据!$H$3:$H$3001,$D2367,原始经营数据!$K$3:$K$3001,$G2367)&gt;1,"基金整体·来源"&amp;原始经营数据!$A2368,"基金整体")))</f>
        <v/>
      </c>
      <c r="J2367" t="str">
        <f t="shared" si="543"/>
        <v/>
      </c>
      <c r="K2367" t="str">
        <f t="shared" si="544"/>
        <v/>
      </c>
      <c r="L2367" t="str">
        <f t="shared" si="545"/>
        <v/>
      </c>
      <c r="M2367">
        <f>IF($A2367="",0,IF(COUNTIF($L$2:$L2367,$L2367)=1,1,0))</f>
        <v>0</v>
      </c>
      <c r="N2367" t="str">
        <f t="shared" si="546"/>
        <v/>
      </c>
      <c r="O2367" t="str">
        <f t="shared" si="547"/>
        <v/>
      </c>
      <c r="P2367">
        <f>IF($A2367="",0,IF(COUNTIF($O$2:$O2367,$O2367)=1,1,0))</f>
        <v>0</v>
      </c>
      <c r="Q2367" t="str">
        <f>IF(AND($P2367=1,$A2367=经营数据!$B$3,$J2367=经营数据!$BA$5),COUNTIFS($P$2:$P$3000,1,$A$2:$A$3000,$A2367,$J$2:$J$3000,$J2367,$N$2:$N$3000,"&lt;"&amp;$N2367)+1,"")</f>
        <v/>
      </c>
      <c r="R2367" t="str">
        <f t="shared" si="548"/>
        <v/>
      </c>
      <c r="S2367">
        <f>IF($A2367="",0,IF(COUNTIF($R$2:$R2367,$R2367)=1,1,0))</f>
        <v>0</v>
      </c>
      <c r="T2367" t="str">
        <f t="shared" si="549"/>
        <v/>
      </c>
      <c r="U2367" t="str">
        <f>IF($A2367="","",IF($A2367=经营数据!$B$3,COUNTIFS($S$2:$S$3000,1,$A$2:$A$3000,$A2367,$T$2:$T$3000,"&lt;"&amp;$T2367)+1,""))</f>
        <v/>
      </c>
      <c r="V2367" t="str">
        <f t="shared" si="550"/>
        <v/>
      </c>
      <c r="W2367" t="str">
        <f t="shared" si="551"/>
        <v/>
      </c>
      <c r="X2367" t="str">
        <f t="shared" si="552"/>
        <v/>
      </c>
      <c r="Y2367" t="str">
        <f t="shared" si="553"/>
        <v/>
      </c>
      <c r="Z2367">
        <f>IF($A2367="",0,IF(AND($M2367=1,$A2367=经营数据!$B$3,$J2367=经营数据!$BA$5,OR($I2367=经营数据!$BA$4,COUNTIF(经营数据!$AA$9:$AA$38,$I2367)&gt;0)),1,0))</f>
        <v>0</v>
      </c>
      <c r="AA2367" t="str">
        <f t="shared" si="554"/>
        <v/>
      </c>
      <c r="AB2367" t="str">
        <f t="shared" si="555"/>
        <v/>
      </c>
      <c r="AC2367">
        <f>IF($A2367="",0,IF(COUNTIF($A$2:$A2367,$A2367)=1,1,0))</f>
        <v>0</v>
      </c>
      <c r="AD2367">
        <f t="shared" si="556"/>
        <v>29</v>
      </c>
      <c r="AE2367" t="str">
        <f t="shared" si="557"/>
        <v/>
      </c>
    </row>
    <row r="2368" spans="1:31" x14ac:dyDescent="0.4">
      <c r="A2368" t="str">
        <f>IF(原始经营数据!$D2369="","",原始经营数据!$D2369)</f>
        <v/>
      </c>
      <c r="B2368" t="str">
        <f>IF(原始经营数据!$D2369="","",T(原始经营数据!$E2369))</f>
        <v/>
      </c>
      <c r="C2368" t="str">
        <f>IF(原始经营数据!$D2369="","",原始经营数据!$F2369)</f>
        <v/>
      </c>
      <c r="D2368" t="str">
        <f>IF(原始经营数据!$D2369="","",原始经营数据!$H2369)</f>
        <v/>
      </c>
      <c r="E2368" t="str">
        <f>IF(原始经营数据!$D2369="","",原始经营数据!$I2369)</f>
        <v/>
      </c>
      <c r="F2368" t="str">
        <f>IF(原始经营数据!$D2369="","",T(原始经营数据!$J2369))</f>
        <v/>
      </c>
      <c r="G2368" t="str">
        <f>IF(原始经营数据!$D2369="","",T(原始经营数据!$K2369))</f>
        <v/>
      </c>
      <c r="H2368" t="str">
        <f>IF(原始经营数据!$D2369="","",原始经营数据!$G2369)</f>
        <v/>
      </c>
      <c r="I2368" t="str">
        <f>IF($A2368="","",IF($B2368&lt;&gt;"",$B2368,IF(COUNTIFS(原始经营数据!$D$3:$D$3001,$A2368,原始经营数据!$E$3:$E$3001,"",原始经营数据!$F$3:$F$3001,$C2368,原始经营数据!$H$3:$H$3001,$D2368,原始经营数据!$K$3:$K$3001,$G2368)&gt;1,"基金整体·来源"&amp;原始经营数据!$A2369,"基金整体")))</f>
        <v/>
      </c>
      <c r="J2368" t="str">
        <f t="shared" si="543"/>
        <v/>
      </c>
      <c r="K2368" t="str">
        <f t="shared" si="544"/>
        <v/>
      </c>
      <c r="L2368" t="str">
        <f t="shared" si="545"/>
        <v/>
      </c>
      <c r="M2368">
        <f>IF($A2368="",0,IF(COUNTIF($L$2:$L2368,$L2368)=1,1,0))</f>
        <v>0</v>
      </c>
      <c r="N2368" t="str">
        <f t="shared" si="546"/>
        <v/>
      </c>
      <c r="O2368" t="str">
        <f t="shared" si="547"/>
        <v/>
      </c>
      <c r="P2368">
        <f>IF($A2368="",0,IF(COUNTIF($O$2:$O2368,$O2368)=1,1,0))</f>
        <v>0</v>
      </c>
      <c r="Q2368" t="str">
        <f>IF(AND($P2368=1,$A2368=经营数据!$B$3,$J2368=经营数据!$BA$5),COUNTIFS($P$2:$P$3000,1,$A$2:$A$3000,$A2368,$J$2:$J$3000,$J2368,$N$2:$N$3000,"&lt;"&amp;$N2368)+1,"")</f>
        <v/>
      </c>
      <c r="R2368" t="str">
        <f t="shared" si="548"/>
        <v/>
      </c>
      <c r="S2368">
        <f>IF($A2368="",0,IF(COUNTIF($R$2:$R2368,$R2368)=1,1,0))</f>
        <v>0</v>
      </c>
      <c r="T2368" t="str">
        <f t="shared" si="549"/>
        <v/>
      </c>
      <c r="U2368" t="str">
        <f>IF($A2368="","",IF($A2368=经营数据!$B$3,COUNTIFS($S$2:$S$3000,1,$A$2:$A$3000,$A2368,$T$2:$T$3000,"&lt;"&amp;$T2368)+1,""))</f>
        <v/>
      </c>
      <c r="V2368" t="str">
        <f t="shared" si="550"/>
        <v/>
      </c>
      <c r="W2368" t="str">
        <f t="shared" si="551"/>
        <v/>
      </c>
      <c r="X2368" t="str">
        <f t="shared" si="552"/>
        <v/>
      </c>
      <c r="Y2368" t="str">
        <f t="shared" si="553"/>
        <v/>
      </c>
      <c r="Z2368">
        <f>IF($A2368="",0,IF(AND($M2368=1,$A2368=经营数据!$B$3,$J2368=经营数据!$BA$5,OR($I2368=经营数据!$BA$4,COUNTIF(经营数据!$AA$9:$AA$38,$I2368)&gt;0)),1,0))</f>
        <v>0</v>
      </c>
      <c r="AA2368" t="str">
        <f t="shared" si="554"/>
        <v/>
      </c>
      <c r="AB2368" t="str">
        <f t="shared" si="555"/>
        <v/>
      </c>
      <c r="AC2368">
        <f>IF($A2368="",0,IF(COUNTIF($A$2:$A2368,$A2368)=1,1,0))</f>
        <v>0</v>
      </c>
      <c r="AD2368">
        <f t="shared" si="556"/>
        <v>29</v>
      </c>
      <c r="AE2368" t="str">
        <f t="shared" si="557"/>
        <v/>
      </c>
    </row>
    <row r="2369" spans="1:31" x14ac:dyDescent="0.4">
      <c r="A2369" t="str">
        <f>IF(原始经营数据!$D2370="","",原始经营数据!$D2370)</f>
        <v/>
      </c>
      <c r="B2369" t="str">
        <f>IF(原始经营数据!$D2370="","",T(原始经营数据!$E2370))</f>
        <v/>
      </c>
      <c r="C2369" t="str">
        <f>IF(原始经营数据!$D2370="","",原始经营数据!$F2370)</f>
        <v/>
      </c>
      <c r="D2369" t="str">
        <f>IF(原始经营数据!$D2370="","",原始经营数据!$H2370)</f>
        <v/>
      </c>
      <c r="E2369" t="str">
        <f>IF(原始经营数据!$D2370="","",原始经营数据!$I2370)</f>
        <v/>
      </c>
      <c r="F2369" t="str">
        <f>IF(原始经营数据!$D2370="","",T(原始经营数据!$J2370))</f>
        <v/>
      </c>
      <c r="G2369" t="str">
        <f>IF(原始经营数据!$D2370="","",T(原始经营数据!$K2370))</f>
        <v/>
      </c>
      <c r="H2369" t="str">
        <f>IF(原始经营数据!$D2370="","",原始经营数据!$G2370)</f>
        <v/>
      </c>
      <c r="I2369" t="str">
        <f>IF($A2369="","",IF($B2369&lt;&gt;"",$B2369,IF(COUNTIFS(原始经营数据!$D$3:$D$3001,$A2369,原始经营数据!$E$3:$E$3001,"",原始经营数据!$F$3:$F$3001,$C2369,原始经营数据!$H$3:$H$3001,$D2369,原始经营数据!$K$3:$K$3001,$G2369)&gt;1,"基金整体·来源"&amp;原始经营数据!$A2370,"基金整体")))</f>
        <v/>
      </c>
      <c r="J2369" t="str">
        <f t="shared" si="543"/>
        <v/>
      </c>
      <c r="K2369" t="str">
        <f t="shared" si="544"/>
        <v/>
      </c>
      <c r="L2369" t="str">
        <f t="shared" si="545"/>
        <v/>
      </c>
      <c r="M2369">
        <f>IF($A2369="",0,IF(COUNTIF($L$2:$L2369,$L2369)=1,1,0))</f>
        <v>0</v>
      </c>
      <c r="N2369" t="str">
        <f t="shared" si="546"/>
        <v/>
      </c>
      <c r="O2369" t="str">
        <f t="shared" si="547"/>
        <v/>
      </c>
      <c r="P2369">
        <f>IF($A2369="",0,IF(COUNTIF($O$2:$O2369,$O2369)=1,1,0))</f>
        <v>0</v>
      </c>
      <c r="Q2369" t="str">
        <f>IF(AND($P2369=1,$A2369=经营数据!$B$3,$J2369=经营数据!$BA$5),COUNTIFS($P$2:$P$3000,1,$A$2:$A$3000,$A2369,$J$2:$J$3000,$J2369,$N$2:$N$3000,"&lt;"&amp;$N2369)+1,"")</f>
        <v/>
      </c>
      <c r="R2369" t="str">
        <f t="shared" si="548"/>
        <v/>
      </c>
      <c r="S2369">
        <f>IF($A2369="",0,IF(COUNTIF($R$2:$R2369,$R2369)=1,1,0))</f>
        <v>0</v>
      </c>
      <c r="T2369" t="str">
        <f t="shared" si="549"/>
        <v/>
      </c>
      <c r="U2369" t="str">
        <f>IF($A2369="","",IF($A2369=经营数据!$B$3,COUNTIFS($S$2:$S$3000,1,$A$2:$A$3000,$A2369,$T$2:$T$3000,"&lt;"&amp;$T2369)+1,""))</f>
        <v/>
      </c>
      <c r="V2369" t="str">
        <f t="shared" si="550"/>
        <v/>
      </c>
      <c r="W2369" t="str">
        <f t="shared" si="551"/>
        <v/>
      </c>
      <c r="X2369" t="str">
        <f t="shared" si="552"/>
        <v/>
      </c>
      <c r="Y2369" t="str">
        <f t="shared" si="553"/>
        <v/>
      </c>
      <c r="Z2369">
        <f>IF($A2369="",0,IF(AND($M2369=1,$A2369=经营数据!$B$3,$J2369=经营数据!$BA$5,OR($I2369=经营数据!$BA$4,COUNTIF(经营数据!$AA$9:$AA$38,$I2369)&gt;0)),1,0))</f>
        <v>0</v>
      </c>
      <c r="AA2369" t="str">
        <f t="shared" si="554"/>
        <v/>
      </c>
      <c r="AB2369" t="str">
        <f t="shared" si="555"/>
        <v/>
      </c>
      <c r="AC2369">
        <f>IF($A2369="",0,IF(COUNTIF($A$2:$A2369,$A2369)=1,1,0))</f>
        <v>0</v>
      </c>
      <c r="AD2369">
        <f t="shared" si="556"/>
        <v>29</v>
      </c>
      <c r="AE2369" t="str">
        <f t="shared" si="557"/>
        <v/>
      </c>
    </row>
    <row r="2370" spans="1:31" x14ac:dyDescent="0.4">
      <c r="A2370" t="str">
        <f>IF(原始经营数据!$D2371="","",原始经营数据!$D2371)</f>
        <v/>
      </c>
      <c r="B2370" t="str">
        <f>IF(原始经营数据!$D2371="","",T(原始经营数据!$E2371))</f>
        <v/>
      </c>
      <c r="C2370" t="str">
        <f>IF(原始经营数据!$D2371="","",原始经营数据!$F2371)</f>
        <v/>
      </c>
      <c r="D2370" t="str">
        <f>IF(原始经营数据!$D2371="","",原始经营数据!$H2371)</f>
        <v/>
      </c>
      <c r="E2370" t="str">
        <f>IF(原始经营数据!$D2371="","",原始经营数据!$I2371)</f>
        <v/>
      </c>
      <c r="F2370" t="str">
        <f>IF(原始经营数据!$D2371="","",T(原始经营数据!$J2371))</f>
        <v/>
      </c>
      <c r="G2370" t="str">
        <f>IF(原始经营数据!$D2371="","",T(原始经营数据!$K2371))</f>
        <v/>
      </c>
      <c r="H2370" t="str">
        <f>IF(原始经营数据!$D2371="","",原始经营数据!$G2371)</f>
        <v/>
      </c>
      <c r="I2370" t="str">
        <f>IF($A2370="","",IF($B2370&lt;&gt;"",$B2370,IF(COUNTIFS(原始经营数据!$D$3:$D$3001,$A2370,原始经营数据!$E$3:$E$3001,"",原始经营数据!$F$3:$F$3001,$C2370,原始经营数据!$H$3:$H$3001,$D2370,原始经营数据!$K$3:$K$3001,$G2370)&gt;1,"基金整体·来源"&amp;原始经营数据!$A2371,"基金整体")))</f>
        <v/>
      </c>
      <c r="J2370" t="str">
        <f t="shared" ref="J2370:J2433" si="558">IF($A2370="","",IF(LEN($C2370)=4,"年度",IF(AND(LEN($C2370)=6,ISNUMBER(SEARCH("Q",$C2370))),"季度","其他期间")))</f>
        <v/>
      </c>
      <c r="K2370" t="str">
        <f t="shared" ref="K2370:K2433" si="559">IF($A2370="","",$D2370&amp;IF($G2370="","","-"&amp;SUBSTITUTE($G2370,CHAR(10),""))&amp;IF($F2370="","","（"&amp;$F2370&amp;"）"))</f>
        <v/>
      </c>
      <c r="L2370" t="str">
        <f t="shared" ref="L2370:L2433" si="560">IF($A2370="","",$I2370&amp;"|"&amp;$K2370&amp;"|"&amp;$J2370)</f>
        <v/>
      </c>
      <c r="M2370">
        <f>IF($A2370="",0,IF(COUNTIF($L$2:$L2370,$L2370)=1,1,0))</f>
        <v>0</v>
      </c>
      <c r="N2370" t="str">
        <f t="shared" ref="N2370:N2433" si="561">IF($A2370="","",IF($J2370="年度",VALUE($C2370)*10,IF($J2370="季度",VALUE(LEFT($C2370,4))*10+VALUE(RIGHT($C2370,1)),VALUE(LEFT($C2370,4))*10+9)))</f>
        <v/>
      </c>
      <c r="O2370" t="str">
        <f t="shared" ref="O2370:O2433" si="562">IF($A2370="","",$A2370&amp;"|"&amp;$C2370&amp;"|"&amp;$J2370)</f>
        <v/>
      </c>
      <c r="P2370">
        <f>IF($A2370="",0,IF(COUNTIF($O$2:$O2370,$O2370)=1,1,0))</f>
        <v>0</v>
      </c>
      <c r="Q2370" t="str">
        <f>IF(AND($P2370=1,$A2370=经营数据!$B$3,$J2370=经营数据!$BA$5),COUNTIFS($P$2:$P$3000,1,$A$2:$A$3000,$A2370,$J$2:$J$3000,$J2370,$N$2:$N$3000,"&lt;"&amp;$N2370)+1,"")</f>
        <v/>
      </c>
      <c r="R2370" t="str">
        <f t="shared" ref="R2370:R2433" si="563">IF($A2370="","",$A2370&amp;"|"&amp;$I2370)</f>
        <v/>
      </c>
      <c r="S2370">
        <f>IF($A2370="",0,IF(COUNTIF($R$2:$R2370,$R2370)=1,1,0))</f>
        <v>0</v>
      </c>
      <c r="T2370" t="str">
        <f t="shared" ref="T2370:T2433" si="564">IF($A2370="","",MATCH($R2370,$R$2:$R$3000,0))</f>
        <v/>
      </c>
      <c r="U2370" t="str">
        <f>IF($A2370="","",IF($A2370=经营数据!$B$3,COUNTIFS($S$2:$S$3000,1,$A$2:$A$3000,$A2370,$T$2:$T$3000,"&lt;"&amp;$T2370)+1,""))</f>
        <v/>
      </c>
      <c r="V2370" t="str">
        <f t="shared" ref="V2370:V2433" si="565">IF($A2370="","",$I2370&amp;"|"&amp;$H2370)</f>
        <v/>
      </c>
      <c r="W2370" t="str">
        <f t="shared" ref="W2370:W2433" si="566">IF($A2370="","",MATCH($V2370,$V$2:$V$3000,0))</f>
        <v/>
      </c>
      <c r="X2370" t="str">
        <f t="shared" ref="X2370:X2433" si="567">IF($A2370="","",$I2370&amp;"|"&amp;$D2370)</f>
        <v/>
      </c>
      <c r="Y2370" t="str">
        <f t="shared" ref="Y2370:Y2433" si="568">IF($A2370="","",MATCH($X2370,$X$2:$X$3000,0))</f>
        <v/>
      </c>
      <c r="Z2370">
        <f>IF($A2370="",0,IF(AND($M2370=1,$A2370=经营数据!$B$3,$J2370=经营数据!$BA$5,OR($I2370=经营数据!$BA$4,COUNTIF(经营数据!$AA$9:$AA$38,$I2370)&gt;0)),1,0))</f>
        <v>0</v>
      </c>
      <c r="AA2370" t="str">
        <f t="shared" ref="AA2370:AA2433" si="569">IF($Z2370=1,$U2370*1000000000000+$W2370*100000000+$Y2370*10000+ROW(),"")</f>
        <v/>
      </c>
      <c r="AB2370" t="str">
        <f t="shared" ref="AB2370:AB2433" si="570">IF($Z2370=1,COUNTIFS($Z$2:$Z$3000,1,$AA$2:$AA$3000,"&lt;"&amp;$AA2370)+1,"")</f>
        <v/>
      </c>
      <c r="AC2370">
        <f>IF($A2370="",0,IF(COUNTIF($A$2:$A2370,$A2370)=1,1,0))</f>
        <v>0</v>
      </c>
      <c r="AD2370">
        <f t="shared" ref="AD2370:AD2433" si="571">IF($A2370="",N(AD2369),IF($AC2370=1,N(AD2369)+1,N(AD2369)))</f>
        <v>29</v>
      </c>
      <c r="AE2370" t="str">
        <f t="shared" ref="AE2370:AE2433" si="572">IF($A2370="","",$I2370&amp;"|"&amp;$K2370)</f>
        <v/>
      </c>
    </row>
    <row r="2371" spans="1:31" x14ac:dyDescent="0.4">
      <c r="A2371" t="str">
        <f>IF(原始经营数据!$D2372="","",原始经营数据!$D2372)</f>
        <v/>
      </c>
      <c r="B2371" t="str">
        <f>IF(原始经营数据!$D2372="","",T(原始经营数据!$E2372))</f>
        <v/>
      </c>
      <c r="C2371" t="str">
        <f>IF(原始经营数据!$D2372="","",原始经营数据!$F2372)</f>
        <v/>
      </c>
      <c r="D2371" t="str">
        <f>IF(原始经营数据!$D2372="","",原始经营数据!$H2372)</f>
        <v/>
      </c>
      <c r="E2371" t="str">
        <f>IF(原始经营数据!$D2372="","",原始经营数据!$I2372)</f>
        <v/>
      </c>
      <c r="F2371" t="str">
        <f>IF(原始经营数据!$D2372="","",T(原始经营数据!$J2372))</f>
        <v/>
      </c>
      <c r="G2371" t="str">
        <f>IF(原始经营数据!$D2372="","",T(原始经营数据!$K2372))</f>
        <v/>
      </c>
      <c r="H2371" t="str">
        <f>IF(原始经营数据!$D2372="","",原始经营数据!$G2372)</f>
        <v/>
      </c>
      <c r="I2371" t="str">
        <f>IF($A2371="","",IF($B2371&lt;&gt;"",$B2371,IF(COUNTIFS(原始经营数据!$D$3:$D$3001,$A2371,原始经营数据!$E$3:$E$3001,"",原始经营数据!$F$3:$F$3001,$C2371,原始经营数据!$H$3:$H$3001,$D2371,原始经营数据!$K$3:$K$3001,$G2371)&gt;1,"基金整体·来源"&amp;原始经营数据!$A2372,"基金整体")))</f>
        <v/>
      </c>
      <c r="J2371" t="str">
        <f t="shared" si="558"/>
        <v/>
      </c>
      <c r="K2371" t="str">
        <f t="shared" si="559"/>
        <v/>
      </c>
      <c r="L2371" t="str">
        <f t="shared" si="560"/>
        <v/>
      </c>
      <c r="M2371">
        <f>IF($A2371="",0,IF(COUNTIF($L$2:$L2371,$L2371)=1,1,0))</f>
        <v>0</v>
      </c>
      <c r="N2371" t="str">
        <f t="shared" si="561"/>
        <v/>
      </c>
      <c r="O2371" t="str">
        <f t="shared" si="562"/>
        <v/>
      </c>
      <c r="P2371">
        <f>IF($A2371="",0,IF(COUNTIF($O$2:$O2371,$O2371)=1,1,0))</f>
        <v>0</v>
      </c>
      <c r="Q2371" t="str">
        <f>IF(AND($P2371=1,$A2371=经营数据!$B$3,$J2371=经营数据!$BA$5),COUNTIFS($P$2:$P$3000,1,$A$2:$A$3000,$A2371,$J$2:$J$3000,$J2371,$N$2:$N$3000,"&lt;"&amp;$N2371)+1,"")</f>
        <v/>
      </c>
      <c r="R2371" t="str">
        <f t="shared" si="563"/>
        <v/>
      </c>
      <c r="S2371">
        <f>IF($A2371="",0,IF(COUNTIF($R$2:$R2371,$R2371)=1,1,0))</f>
        <v>0</v>
      </c>
      <c r="T2371" t="str">
        <f t="shared" si="564"/>
        <v/>
      </c>
      <c r="U2371" t="str">
        <f>IF($A2371="","",IF($A2371=经营数据!$B$3,COUNTIFS($S$2:$S$3000,1,$A$2:$A$3000,$A2371,$T$2:$T$3000,"&lt;"&amp;$T2371)+1,""))</f>
        <v/>
      </c>
      <c r="V2371" t="str">
        <f t="shared" si="565"/>
        <v/>
      </c>
      <c r="W2371" t="str">
        <f t="shared" si="566"/>
        <v/>
      </c>
      <c r="X2371" t="str">
        <f t="shared" si="567"/>
        <v/>
      </c>
      <c r="Y2371" t="str">
        <f t="shared" si="568"/>
        <v/>
      </c>
      <c r="Z2371">
        <f>IF($A2371="",0,IF(AND($M2371=1,$A2371=经营数据!$B$3,$J2371=经营数据!$BA$5,OR($I2371=经营数据!$BA$4,COUNTIF(经营数据!$AA$9:$AA$38,$I2371)&gt;0)),1,0))</f>
        <v>0</v>
      </c>
      <c r="AA2371" t="str">
        <f t="shared" si="569"/>
        <v/>
      </c>
      <c r="AB2371" t="str">
        <f t="shared" si="570"/>
        <v/>
      </c>
      <c r="AC2371">
        <f>IF($A2371="",0,IF(COUNTIF($A$2:$A2371,$A2371)=1,1,0))</f>
        <v>0</v>
      </c>
      <c r="AD2371">
        <f t="shared" si="571"/>
        <v>29</v>
      </c>
      <c r="AE2371" t="str">
        <f t="shared" si="572"/>
        <v/>
      </c>
    </row>
    <row r="2372" spans="1:31" x14ac:dyDescent="0.4">
      <c r="A2372" t="str">
        <f>IF(原始经营数据!$D2373="","",原始经营数据!$D2373)</f>
        <v/>
      </c>
      <c r="B2372" t="str">
        <f>IF(原始经营数据!$D2373="","",T(原始经营数据!$E2373))</f>
        <v/>
      </c>
      <c r="C2372" t="str">
        <f>IF(原始经营数据!$D2373="","",原始经营数据!$F2373)</f>
        <v/>
      </c>
      <c r="D2372" t="str">
        <f>IF(原始经营数据!$D2373="","",原始经营数据!$H2373)</f>
        <v/>
      </c>
      <c r="E2372" t="str">
        <f>IF(原始经营数据!$D2373="","",原始经营数据!$I2373)</f>
        <v/>
      </c>
      <c r="F2372" t="str">
        <f>IF(原始经营数据!$D2373="","",T(原始经营数据!$J2373))</f>
        <v/>
      </c>
      <c r="G2372" t="str">
        <f>IF(原始经营数据!$D2373="","",T(原始经营数据!$K2373))</f>
        <v/>
      </c>
      <c r="H2372" t="str">
        <f>IF(原始经营数据!$D2373="","",原始经营数据!$G2373)</f>
        <v/>
      </c>
      <c r="I2372" t="str">
        <f>IF($A2372="","",IF($B2372&lt;&gt;"",$B2372,IF(COUNTIFS(原始经营数据!$D$3:$D$3001,$A2372,原始经营数据!$E$3:$E$3001,"",原始经营数据!$F$3:$F$3001,$C2372,原始经营数据!$H$3:$H$3001,$D2372,原始经营数据!$K$3:$K$3001,$G2372)&gt;1,"基金整体·来源"&amp;原始经营数据!$A2373,"基金整体")))</f>
        <v/>
      </c>
      <c r="J2372" t="str">
        <f t="shared" si="558"/>
        <v/>
      </c>
      <c r="K2372" t="str">
        <f t="shared" si="559"/>
        <v/>
      </c>
      <c r="L2372" t="str">
        <f t="shared" si="560"/>
        <v/>
      </c>
      <c r="M2372">
        <f>IF($A2372="",0,IF(COUNTIF($L$2:$L2372,$L2372)=1,1,0))</f>
        <v>0</v>
      </c>
      <c r="N2372" t="str">
        <f t="shared" si="561"/>
        <v/>
      </c>
      <c r="O2372" t="str">
        <f t="shared" si="562"/>
        <v/>
      </c>
      <c r="P2372">
        <f>IF($A2372="",0,IF(COUNTIF($O$2:$O2372,$O2372)=1,1,0))</f>
        <v>0</v>
      </c>
      <c r="Q2372" t="str">
        <f>IF(AND($P2372=1,$A2372=经营数据!$B$3,$J2372=经营数据!$BA$5),COUNTIFS($P$2:$P$3000,1,$A$2:$A$3000,$A2372,$J$2:$J$3000,$J2372,$N$2:$N$3000,"&lt;"&amp;$N2372)+1,"")</f>
        <v/>
      </c>
      <c r="R2372" t="str">
        <f t="shared" si="563"/>
        <v/>
      </c>
      <c r="S2372">
        <f>IF($A2372="",0,IF(COUNTIF($R$2:$R2372,$R2372)=1,1,0))</f>
        <v>0</v>
      </c>
      <c r="T2372" t="str">
        <f t="shared" si="564"/>
        <v/>
      </c>
      <c r="U2372" t="str">
        <f>IF($A2372="","",IF($A2372=经营数据!$B$3,COUNTIFS($S$2:$S$3000,1,$A$2:$A$3000,$A2372,$T$2:$T$3000,"&lt;"&amp;$T2372)+1,""))</f>
        <v/>
      </c>
      <c r="V2372" t="str">
        <f t="shared" si="565"/>
        <v/>
      </c>
      <c r="W2372" t="str">
        <f t="shared" si="566"/>
        <v/>
      </c>
      <c r="X2372" t="str">
        <f t="shared" si="567"/>
        <v/>
      </c>
      <c r="Y2372" t="str">
        <f t="shared" si="568"/>
        <v/>
      </c>
      <c r="Z2372">
        <f>IF($A2372="",0,IF(AND($M2372=1,$A2372=经营数据!$B$3,$J2372=经营数据!$BA$5,OR($I2372=经营数据!$BA$4,COUNTIF(经营数据!$AA$9:$AA$38,$I2372)&gt;0)),1,0))</f>
        <v>0</v>
      </c>
      <c r="AA2372" t="str">
        <f t="shared" si="569"/>
        <v/>
      </c>
      <c r="AB2372" t="str">
        <f t="shared" si="570"/>
        <v/>
      </c>
      <c r="AC2372">
        <f>IF($A2372="",0,IF(COUNTIF($A$2:$A2372,$A2372)=1,1,0))</f>
        <v>0</v>
      </c>
      <c r="AD2372">
        <f t="shared" si="571"/>
        <v>29</v>
      </c>
      <c r="AE2372" t="str">
        <f t="shared" si="572"/>
        <v/>
      </c>
    </row>
    <row r="2373" spans="1:31" x14ac:dyDescent="0.4">
      <c r="A2373" t="str">
        <f>IF(原始经营数据!$D2374="","",原始经营数据!$D2374)</f>
        <v/>
      </c>
      <c r="B2373" t="str">
        <f>IF(原始经营数据!$D2374="","",T(原始经营数据!$E2374))</f>
        <v/>
      </c>
      <c r="C2373" t="str">
        <f>IF(原始经营数据!$D2374="","",原始经营数据!$F2374)</f>
        <v/>
      </c>
      <c r="D2373" t="str">
        <f>IF(原始经营数据!$D2374="","",原始经营数据!$H2374)</f>
        <v/>
      </c>
      <c r="E2373" t="str">
        <f>IF(原始经营数据!$D2374="","",原始经营数据!$I2374)</f>
        <v/>
      </c>
      <c r="F2373" t="str">
        <f>IF(原始经营数据!$D2374="","",T(原始经营数据!$J2374))</f>
        <v/>
      </c>
      <c r="G2373" t="str">
        <f>IF(原始经营数据!$D2374="","",T(原始经营数据!$K2374))</f>
        <v/>
      </c>
      <c r="H2373" t="str">
        <f>IF(原始经营数据!$D2374="","",原始经营数据!$G2374)</f>
        <v/>
      </c>
      <c r="I2373" t="str">
        <f>IF($A2373="","",IF($B2373&lt;&gt;"",$B2373,IF(COUNTIFS(原始经营数据!$D$3:$D$3001,$A2373,原始经营数据!$E$3:$E$3001,"",原始经营数据!$F$3:$F$3001,$C2373,原始经营数据!$H$3:$H$3001,$D2373,原始经营数据!$K$3:$K$3001,$G2373)&gt;1,"基金整体·来源"&amp;原始经营数据!$A2374,"基金整体")))</f>
        <v/>
      </c>
      <c r="J2373" t="str">
        <f t="shared" si="558"/>
        <v/>
      </c>
      <c r="K2373" t="str">
        <f t="shared" si="559"/>
        <v/>
      </c>
      <c r="L2373" t="str">
        <f t="shared" si="560"/>
        <v/>
      </c>
      <c r="M2373">
        <f>IF($A2373="",0,IF(COUNTIF($L$2:$L2373,$L2373)=1,1,0))</f>
        <v>0</v>
      </c>
      <c r="N2373" t="str">
        <f t="shared" si="561"/>
        <v/>
      </c>
      <c r="O2373" t="str">
        <f t="shared" si="562"/>
        <v/>
      </c>
      <c r="P2373">
        <f>IF($A2373="",0,IF(COUNTIF($O$2:$O2373,$O2373)=1,1,0))</f>
        <v>0</v>
      </c>
      <c r="Q2373" t="str">
        <f>IF(AND($P2373=1,$A2373=经营数据!$B$3,$J2373=经营数据!$BA$5),COUNTIFS($P$2:$P$3000,1,$A$2:$A$3000,$A2373,$J$2:$J$3000,$J2373,$N$2:$N$3000,"&lt;"&amp;$N2373)+1,"")</f>
        <v/>
      </c>
      <c r="R2373" t="str">
        <f t="shared" si="563"/>
        <v/>
      </c>
      <c r="S2373">
        <f>IF($A2373="",0,IF(COUNTIF($R$2:$R2373,$R2373)=1,1,0))</f>
        <v>0</v>
      </c>
      <c r="T2373" t="str">
        <f t="shared" si="564"/>
        <v/>
      </c>
      <c r="U2373" t="str">
        <f>IF($A2373="","",IF($A2373=经营数据!$B$3,COUNTIFS($S$2:$S$3000,1,$A$2:$A$3000,$A2373,$T$2:$T$3000,"&lt;"&amp;$T2373)+1,""))</f>
        <v/>
      </c>
      <c r="V2373" t="str">
        <f t="shared" si="565"/>
        <v/>
      </c>
      <c r="W2373" t="str">
        <f t="shared" si="566"/>
        <v/>
      </c>
      <c r="X2373" t="str">
        <f t="shared" si="567"/>
        <v/>
      </c>
      <c r="Y2373" t="str">
        <f t="shared" si="568"/>
        <v/>
      </c>
      <c r="Z2373">
        <f>IF($A2373="",0,IF(AND($M2373=1,$A2373=经营数据!$B$3,$J2373=经营数据!$BA$5,OR($I2373=经营数据!$BA$4,COUNTIF(经营数据!$AA$9:$AA$38,$I2373)&gt;0)),1,0))</f>
        <v>0</v>
      </c>
      <c r="AA2373" t="str">
        <f t="shared" si="569"/>
        <v/>
      </c>
      <c r="AB2373" t="str">
        <f t="shared" si="570"/>
        <v/>
      </c>
      <c r="AC2373">
        <f>IF($A2373="",0,IF(COUNTIF($A$2:$A2373,$A2373)=1,1,0))</f>
        <v>0</v>
      </c>
      <c r="AD2373">
        <f t="shared" si="571"/>
        <v>29</v>
      </c>
      <c r="AE2373" t="str">
        <f t="shared" si="572"/>
        <v/>
      </c>
    </row>
    <row r="2374" spans="1:31" x14ac:dyDescent="0.4">
      <c r="A2374" t="str">
        <f>IF(原始经营数据!$D2375="","",原始经营数据!$D2375)</f>
        <v/>
      </c>
      <c r="B2374" t="str">
        <f>IF(原始经营数据!$D2375="","",T(原始经营数据!$E2375))</f>
        <v/>
      </c>
      <c r="C2374" t="str">
        <f>IF(原始经营数据!$D2375="","",原始经营数据!$F2375)</f>
        <v/>
      </c>
      <c r="D2374" t="str">
        <f>IF(原始经营数据!$D2375="","",原始经营数据!$H2375)</f>
        <v/>
      </c>
      <c r="E2374" t="str">
        <f>IF(原始经营数据!$D2375="","",原始经营数据!$I2375)</f>
        <v/>
      </c>
      <c r="F2374" t="str">
        <f>IF(原始经营数据!$D2375="","",T(原始经营数据!$J2375))</f>
        <v/>
      </c>
      <c r="G2374" t="str">
        <f>IF(原始经营数据!$D2375="","",T(原始经营数据!$K2375))</f>
        <v/>
      </c>
      <c r="H2374" t="str">
        <f>IF(原始经营数据!$D2375="","",原始经营数据!$G2375)</f>
        <v/>
      </c>
      <c r="I2374" t="str">
        <f>IF($A2374="","",IF($B2374&lt;&gt;"",$B2374,IF(COUNTIFS(原始经营数据!$D$3:$D$3001,$A2374,原始经营数据!$E$3:$E$3001,"",原始经营数据!$F$3:$F$3001,$C2374,原始经营数据!$H$3:$H$3001,$D2374,原始经营数据!$K$3:$K$3001,$G2374)&gt;1,"基金整体·来源"&amp;原始经营数据!$A2375,"基金整体")))</f>
        <v/>
      </c>
      <c r="J2374" t="str">
        <f t="shared" si="558"/>
        <v/>
      </c>
      <c r="K2374" t="str">
        <f t="shared" si="559"/>
        <v/>
      </c>
      <c r="L2374" t="str">
        <f t="shared" si="560"/>
        <v/>
      </c>
      <c r="M2374">
        <f>IF($A2374="",0,IF(COUNTIF($L$2:$L2374,$L2374)=1,1,0))</f>
        <v>0</v>
      </c>
      <c r="N2374" t="str">
        <f t="shared" si="561"/>
        <v/>
      </c>
      <c r="O2374" t="str">
        <f t="shared" si="562"/>
        <v/>
      </c>
      <c r="P2374">
        <f>IF($A2374="",0,IF(COUNTIF($O$2:$O2374,$O2374)=1,1,0))</f>
        <v>0</v>
      </c>
      <c r="Q2374" t="str">
        <f>IF(AND($P2374=1,$A2374=经营数据!$B$3,$J2374=经营数据!$BA$5),COUNTIFS($P$2:$P$3000,1,$A$2:$A$3000,$A2374,$J$2:$J$3000,$J2374,$N$2:$N$3000,"&lt;"&amp;$N2374)+1,"")</f>
        <v/>
      </c>
      <c r="R2374" t="str">
        <f t="shared" si="563"/>
        <v/>
      </c>
      <c r="S2374">
        <f>IF($A2374="",0,IF(COUNTIF($R$2:$R2374,$R2374)=1,1,0))</f>
        <v>0</v>
      </c>
      <c r="T2374" t="str">
        <f t="shared" si="564"/>
        <v/>
      </c>
      <c r="U2374" t="str">
        <f>IF($A2374="","",IF($A2374=经营数据!$B$3,COUNTIFS($S$2:$S$3000,1,$A$2:$A$3000,$A2374,$T$2:$T$3000,"&lt;"&amp;$T2374)+1,""))</f>
        <v/>
      </c>
      <c r="V2374" t="str">
        <f t="shared" si="565"/>
        <v/>
      </c>
      <c r="W2374" t="str">
        <f t="shared" si="566"/>
        <v/>
      </c>
      <c r="X2374" t="str">
        <f t="shared" si="567"/>
        <v/>
      </c>
      <c r="Y2374" t="str">
        <f t="shared" si="568"/>
        <v/>
      </c>
      <c r="Z2374">
        <f>IF($A2374="",0,IF(AND($M2374=1,$A2374=经营数据!$B$3,$J2374=经营数据!$BA$5,OR($I2374=经营数据!$BA$4,COUNTIF(经营数据!$AA$9:$AA$38,$I2374)&gt;0)),1,0))</f>
        <v>0</v>
      </c>
      <c r="AA2374" t="str">
        <f t="shared" si="569"/>
        <v/>
      </c>
      <c r="AB2374" t="str">
        <f t="shared" si="570"/>
        <v/>
      </c>
      <c r="AC2374">
        <f>IF($A2374="",0,IF(COUNTIF($A$2:$A2374,$A2374)=1,1,0))</f>
        <v>0</v>
      </c>
      <c r="AD2374">
        <f t="shared" si="571"/>
        <v>29</v>
      </c>
      <c r="AE2374" t="str">
        <f t="shared" si="572"/>
        <v/>
      </c>
    </row>
    <row r="2375" spans="1:31" x14ac:dyDescent="0.4">
      <c r="A2375" t="str">
        <f>IF(原始经营数据!$D2376="","",原始经营数据!$D2376)</f>
        <v/>
      </c>
      <c r="B2375" t="str">
        <f>IF(原始经营数据!$D2376="","",T(原始经营数据!$E2376))</f>
        <v/>
      </c>
      <c r="C2375" t="str">
        <f>IF(原始经营数据!$D2376="","",原始经营数据!$F2376)</f>
        <v/>
      </c>
      <c r="D2375" t="str">
        <f>IF(原始经营数据!$D2376="","",原始经营数据!$H2376)</f>
        <v/>
      </c>
      <c r="E2375" t="str">
        <f>IF(原始经营数据!$D2376="","",原始经营数据!$I2376)</f>
        <v/>
      </c>
      <c r="F2375" t="str">
        <f>IF(原始经营数据!$D2376="","",T(原始经营数据!$J2376))</f>
        <v/>
      </c>
      <c r="G2375" t="str">
        <f>IF(原始经营数据!$D2376="","",T(原始经营数据!$K2376))</f>
        <v/>
      </c>
      <c r="H2375" t="str">
        <f>IF(原始经营数据!$D2376="","",原始经营数据!$G2376)</f>
        <v/>
      </c>
      <c r="I2375" t="str">
        <f>IF($A2375="","",IF($B2375&lt;&gt;"",$B2375,IF(COUNTIFS(原始经营数据!$D$3:$D$3001,$A2375,原始经营数据!$E$3:$E$3001,"",原始经营数据!$F$3:$F$3001,$C2375,原始经营数据!$H$3:$H$3001,$D2375,原始经营数据!$K$3:$K$3001,$G2375)&gt;1,"基金整体·来源"&amp;原始经营数据!$A2376,"基金整体")))</f>
        <v/>
      </c>
      <c r="J2375" t="str">
        <f t="shared" si="558"/>
        <v/>
      </c>
      <c r="K2375" t="str">
        <f t="shared" si="559"/>
        <v/>
      </c>
      <c r="L2375" t="str">
        <f t="shared" si="560"/>
        <v/>
      </c>
      <c r="M2375">
        <f>IF($A2375="",0,IF(COUNTIF($L$2:$L2375,$L2375)=1,1,0))</f>
        <v>0</v>
      </c>
      <c r="N2375" t="str">
        <f t="shared" si="561"/>
        <v/>
      </c>
      <c r="O2375" t="str">
        <f t="shared" si="562"/>
        <v/>
      </c>
      <c r="P2375">
        <f>IF($A2375="",0,IF(COUNTIF($O$2:$O2375,$O2375)=1,1,0))</f>
        <v>0</v>
      </c>
      <c r="Q2375" t="str">
        <f>IF(AND($P2375=1,$A2375=经营数据!$B$3,$J2375=经营数据!$BA$5),COUNTIFS($P$2:$P$3000,1,$A$2:$A$3000,$A2375,$J$2:$J$3000,$J2375,$N$2:$N$3000,"&lt;"&amp;$N2375)+1,"")</f>
        <v/>
      </c>
      <c r="R2375" t="str">
        <f t="shared" si="563"/>
        <v/>
      </c>
      <c r="S2375">
        <f>IF($A2375="",0,IF(COUNTIF($R$2:$R2375,$R2375)=1,1,0))</f>
        <v>0</v>
      </c>
      <c r="T2375" t="str">
        <f t="shared" si="564"/>
        <v/>
      </c>
      <c r="U2375" t="str">
        <f>IF($A2375="","",IF($A2375=经营数据!$B$3,COUNTIFS($S$2:$S$3000,1,$A$2:$A$3000,$A2375,$T$2:$T$3000,"&lt;"&amp;$T2375)+1,""))</f>
        <v/>
      </c>
      <c r="V2375" t="str">
        <f t="shared" si="565"/>
        <v/>
      </c>
      <c r="W2375" t="str">
        <f t="shared" si="566"/>
        <v/>
      </c>
      <c r="X2375" t="str">
        <f t="shared" si="567"/>
        <v/>
      </c>
      <c r="Y2375" t="str">
        <f t="shared" si="568"/>
        <v/>
      </c>
      <c r="Z2375">
        <f>IF($A2375="",0,IF(AND($M2375=1,$A2375=经营数据!$B$3,$J2375=经营数据!$BA$5,OR($I2375=经营数据!$BA$4,COUNTIF(经营数据!$AA$9:$AA$38,$I2375)&gt;0)),1,0))</f>
        <v>0</v>
      </c>
      <c r="AA2375" t="str">
        <f t="shared" si="569"/>
        <v/>
      </c>
      <c r="AB2375" t="str">
        <f t="shared" si="570"/>
        <v/>
      </c>
      <c r="AC2375">
        <f>IF($A2375="",0,IF(COUNTIF($A$2:$A2375,$A2375)=1,1,0))</f>
        <v>0</v>
      </c>
      <c r="AD2375">
        <f t="shared" si="571"/>
        <v>29</v>
      </c>
      <c r="AE2375" t="str">
        <f t="shared" si="572"/>
        <v/>
      </c>
    </row>
    <row r="2376" spans="1:31" x14ac:dyDescent="0.4">
      <c r="A2376" t="str">
        <f>IF(原始经营数据!$D2377="","",原始经营数据!$D2377)</f>
        <v/>
      </c>
      <c r="B2376" t="str">
        <f>IF(原始经营数据!$D2377="","",T(原始经营数据!$E2377))</f>
        <v/>
      </c>
      <c r="C2376" t="str">
        <f>IF(原始经营数据!$D2377="","",原始经营数据!$F2377)</f>
        <v/>
      </c>
      <c r="D2376" t="str">
        <f>IF(原始经营数据!$D2377="","",原始经营数据!$H2377)</f>
        <v/>
      </c>
      <c r="E2376" t="str">
        <f>IF(原始经营数据!$D2377="","",原始经营数据!$I2377)</f>
        <v/>
      </c>
      <c r="F2376" t="str">
        <f>IF(原始经营数据!$D2377="","",T(原始经营数据!$J2377))</f>
        <v/>
      </c>
      <c r="G2376" t="str">
        <f>IF(原始经营数据!$D2377="","",T(原始经营数据!$K2377))</f>
        <v/>
      </c>
      <c r="H2376" t="str">
        <f>IF(原始经营数据!$D2377="","",原始经营数据!$G2377)</f>
        <v/>
      </c>
      <c r="I2376" t="str">
        <f>IF($A2376="","",IF($B2376&lt;&gt;"",$B2376,IF(COUNTIFS(原始经营数据!$D$3:$D$3001,$A2376,原始经营数据!$E$3:$E$3001,"",原始经营数据!$F$3:$F$3001,$C2376,原始经营数据!$H$3:$H$3001,$D2376,原始经营数据!$K$3:$K$3001,$G2376)&gt;1,"基金整体·来源"&amp;原始经营数据!$A2377,"基金整体")))</f>
        <v/>
      </c>
      <c r="J2376" t="str">
        <f t="shared" si="558"/>
        <v/>
      </c>
      <c r="K2376" t="str">
        <f t="shared" si="559"/>
        <v/>
      </c>
      <c r="L2376" t="str">
        <f t="shared" si="560"/>
        <v/>
      </c>
      <c r="M2376">
        <f>IF($A2376="",0,IF(COUNTIF($L$2:$L2376,$L2376)=1,1,0))</f>
        <v>0</v>
      </c>
      <c r="N2376" t="str">
        <f t="shared" si="561"/>
        <v/>
      </c>
      <c r="O2376" t="str">
        <f t="shared" si="562"/>
        <v/>
      </c>
      <c r="P2376">
        <f>IF($A2376="",0,IF(COUNTIF($O$2:$O2376,$O2376)=1,1,0))</f>
        <v>0</v>
      </c>
      <c r="Q2376" t="str">
        <f>IF(AND($P2376=1,$A2376=经营数据!$B$3,$J2376=经营数据!$BA$5),COUNTIFS($P$2:$P$3000,1,$A$2:$A$3000,$A2376,$J$2:$J$3000,$J2376,$N$2:$N$3000,"&lt;"&amp;$N2376)+1,"")</f>
        <v/>
      </c>
      <c r="R2376" t="str">
        <f t="shared" si="563"/>
        <v/>
      </c>
      <c r="S2376">
        <f>IF($A2376="",0,IF(COUNTIF($R$2:$R2376,$R2376)=1,1,0))</f>
        <v>0</v>
      </c>
      <c r="T2376" t="str">
        <f t="shared" si="564"/>
        <v/>
      </c>
      <c r="U2376" t="str">
        <f>IF($A2376="","",IF($A2376=经营数据!$B$3,COUNTIFS($S$2:$S$3000,1,$A$2:$A$3000,$A2376,$T$2:$T$3000,"&lt;"&amp;$T2376)+1,""))</f>
        <v/>
      </c>
      <c r="V2376" t="str">
        <f t="shared" si="565"/>
        <v/>
      </c>
      <c r="W2376" t="str">
        <f t="shared" si="566"/>
        <v/>
      </c>
      <c r="X2376" t="str">
        <f t="shared" si="567"/>
        <v/>
      </c>
      <c r="Y2376" t="str">
        <f t="shared" si="568"/>
        <v/>
      </c>
      <c r="Z2376">
        <f>IF($A2376="",0,IF(AND($M2376=1,$A2376=经营数据!$B$3,$J2376=经营数据!$BA$5,OR($I2376=经营数据!$BA$4,COUNTIF(经营数据!$AA$9:$AA$38,$I2376)&gt;0)),1,0))</f>
        <v>0</v>
      </c>
      <c r="AA2376" t="str">
        <f t="shared" si="569"/>
        <v/>
      </c>
      <c r="AB2376" t="str">
        <f t="shared" si="570"/>
        <v/>
      </c>
      <c r="AC2376">
        <f>IF($A2376="",0,IF(COUNTIF($A$2:$A2376,$A2376)=1,1,0))</f>
        <v>0</v>
      </c>
      <c r="AD2376">
        <f t="shared" si="571"/>
        <v>29</v>
      </c>
      <c r="AE2376" t="str">
        <f t="shared" si="572"/>
        <v/>
      </c>
    </row>
    <row r="2377" spans="1:31" x14ac:dyDescent="0.4">
      <c r="A2377" t="str">
        <f>IF(原始经营数据!$D2378="","",原始经营数据!$D2378)</f>
        <v/>
      </c>
      <c r="B2377" t="str">
        <f>IF(原始经营数据!$D2378="","",T(原始经营数据!$E2378))</f>
        <v/>
      </c>
      <c r="C2377" t="str">
        <f>IF(原始经营数据!$D2378="","",原始经营数据!$F2378)</f>
        <v/>
      </c>
      <c r="D2377" t="str">
        <f>IF(原始经营数据!$D2378="","",原始经营数据!$H2378)</f>
        <v/>
      </c>
      <c r="E2377" t="str">
        <f>IF(原始经营数据!$D2378="","",原始经营数据!$I2378)</f>
        <v/>
      </c>
      <c r="F2377" t="str">
        <f>IF(原始经营数据!$D2378="","",T(原始经营数据!$J2378))</f>
        <v/>
      </c>
      <c r="G2377" t="str">
        <f>IF(原始经营数据!$D2378="","",T(原始经营数据!$K2378))</f>
        <v/>
      </c>
      <c r="H2377" t="str">
        <f>IF(原始经营数据!$D2378="","",原始经营数据!$G2378)</f>
        <v/>
      </c>
      <c r="I2377" t="str">
        <f>IF($A2377="","",IF($B2377&lt;&gt;"",$B2377,IF(COUNTIFS(原始经营数据!$D$3:$D$3001,$A2377,原始经营数据!$E$3:$E$3001,"",原始经营数据!$F$3:$F$3001,$C2377,原始经营数据!$H$3:$H$3001,$D2377,原始经营数据!$K$3:$K$3001,$G2377)&gt;1,"基金整体·来源"&amp;原始经营数据!$A2378,"基金整体")))</f>
        <v/>
      </c>
      <c r="J2377" t="str">
        <f t="shared" si="558"/>
        <v/>
      </c>
      <c r="K2377" t="str">
        <f t="shared" si="559"/>
        <v/>
      </c>
      <c r="L2377" t="str">
        <f t="shared" si="560"/>
        <v/>
      </c>
      <c r="M2377">
        <f>IF($A2377="",0,IF(COUNTIF($L$2:$L2377,$L2377)=1,1,0))</f>
        <v>0</v>
      </c>
      <c r="N2377" t="str">
        <f t="shared" si="561"/>
        <v/>
      </c>
      <c r="O2377" t="str">
        <f t="shared" si="562"/>
        <v/>
      </c>
      <c r="P2377">
        <f>IF($A2377="",0,IF(COUNTIF($O$2:$O2377,$O2377)=1,1,0))</f>
        <v>0</v>
      </c>
      <c r="Q2377" t="str">
        <f>IF(AND($P2377=1,$A2377=经营数据!$B$3,$J2377=经营数据!$BA$5),COUNTIFS($P$2:$P$3000,1,$A$2:$A$3000,$A2377,$J$2:$J$3000,$J2377,$N$2:$N$3000,"&lt;"&amp;$N2377)+1,"")</f>
        <v/>
      </c>
      <c r="R2377" t="str">
        <f t="shared" si="563"/>
        <v/>
      </c>
      <c r="S2377">
        <f>IF($A2377="",0,IF(COUNTIF($R$2:$R2377,$R2377)=1,1,0))</f>
        <v>0</v>
      </c>
      <c r="T2377" t="str">
        <f t="shared" si="564"/>
        <v/>
      </c>
      <c r="U2377" t="str">
        <f>IF($A2377="","",IF($A2377=经营数据!$B$3,COUNTIFS($S$2:$S$3000,1,$A$2:$A$3000,$A2377,$T$2:$T$3000,"&lt;"&amp;$T2377)+1,""))</f>
        <v/>
      </c>
      <c r="V2377" t="str">
        <f t="shared" si="565"/>
        <v/>
      </c>
      <c r="W2377" t="str">
        <f t="shared" si="566"/>
        <v/>
      </c>
      <c r="X2377" t="str">
        <f t="shared" si="567"/>
        <v/>
      </c>
      <c r="Y2377" t="str">
        <f t="shared" si="568"/>
        <v/>
      </c>
      <c r="Z2377">
        <f>IF($A2377="",0,IF(AND($M2377=1,$A2377=经营数据!$B$3,$J2377=经营数据!$BA$5,OR($I2377=经营数据!$BA$4,COUNTIF(经营数据!$AA$9:$AA$38,$I2377)&gt;0)),1,0))</f>
        <v>0</v>
      </c>
      <c r="AA2377" t="str">
        <f t="shared" si="569"/>
        <v/>
      </c>
      <c r="AB2377" t="str">
        <f t="shared" si="570"/>
        <v/>
      </c>
      <c r="AC2377">
        <f>IF($A2377="",0,IF(COUNTIF($A$2:$A2377,$A2377)=1,1,0))</f>
        <v>0</v>
      </c>
      <c r="AD2377">
        <f t="shared" si="571"/>
        <v>29</v>
      </c>
      <c r="AE2377" t="str">
        <f t="shared" si="572"/>
        <v/>
      </c>
    </row>
    <row r="2378" spans="1:31" x14ac:dyDescent="0.4">
      <c r="A2378" t="str">
        <f>IF(原始经营数据!$D2379="","",原始经营数据!$D2379)</f>
        <v/>
      </c>
      <c r="B2378" t="str">
        <f>IF(原始经营数据!$D2379="","",T(原始经营数据!$E2379))</f>
        <v/>
      </c>
      <c r="C2378" t="str">
        <f>IF(原始经营数据!$D2379="","",原始经营数据!$F2379)</f>
        <v/>
      </c>
      <c r="D2378" t="str">
        <f>IF(原始经营数据!$D2379="","",原始经营数据!$H2379)</f>
        <v/>
      </c>
      <c r="E2378" t="str">
        <f>IF(原始经营数据!$D2379="","",原始经营数据!$I2379)</f>
        <v/>
      </c>
      <c r="F2378" t="str">
        <f>IF(原始经营数据!$D2379="","",T(原始经营数据!$J2379))</f>
        <v/>
      </c>
      <c r="G2378" t="str">
        <f>IF(原始经营数据!$D2379="","",T(原始经营数据!$K2379))</f>
        <v/>
      </c>
      <c r="H2378" t="str">
        <f>IF(原始经营数据!$D2379="","",原始经营数据!$G2379)</f>
        <v/>
      </c>
      <c r="I2378" t="str">
        <f>IF($A2378="","",IF($B2378&lt;&gt;"",$B2378,IF(COUNTIFS(原始经营数据!$D$3:$D$3001,$A2378,原始经营数据!$E$3:$E$3001,"",原始经营数据!$F$3:$F$3001,$C2378,原始经营数据!$H$3:$H$3001,$D2378,原始经营数据!$K$3:$K$3001,$G2378)&gt;1,"基金整体·来源"&amp;原始经营数据!$A2379,"基金整体")))</f>
        <v/>
      </c>
      <c r="J2378" t="str">
        <f t="shared" si="558"/>
        <v/>
      </c>
      <c r="K2378" t="str">
        <f t="shared" si="559"/>
        <v/>
      </c>
      <c r="L2378" t="str">
        <f t="shared" si="560"/>
        <v/>
      </c>
      <c r="M2378">
        <f>IF($A2378="",0,IF(COUNTIF($L$2:$L2378,$L2378)=1,1,0))</f>
        <v>0</v>
      </c>
      <c r="N2378" t="str">
        <f t="shared" si="561"/>
        <v/>
      </c>
      <c r="O2378" t="str">
        <f t="shared" si="562"/>
        <v/>
      </c>
      <c r="P2378">
        <f>IF($A2378="",0,IF(COUNTIF($O$2:$O2378,$O2378)=1,1,0))</f>
        <v>0</v>
      </c>
      <c r="Q2378" t="str">
        <f>IF(AND($P2378=1,$A2378=经营数据!$B$3,$J2378=经营数据!$BA$5),COUNTIFS($P$2:$P$3000,1,$A$2:$A$3000,$A2378,$J$2:$J$3000,$J2378,$N$2:$N$3000,"&lt;"&amp;$N2378)+1,"")</f>
        <v/>
      </c>
      <c r="R2378" t="str">
        <f t="shared" si="563"/>
        <v/>
      </c>
      <c r="S2378">
        <f>IF($A2378="",0,IF(COUNTIF($R$2:$R2378,$R2378)=1,1,0))</f>
        <v>0</v>
      </c>
      <c r="T2378" t="str">
        <f t="shared" si="564"/>
        <v/>
      </c>
      <c r="U2378" t="str">
        <f>IF($A2378="","",IF($A2378=经营数据!$B$3,COUNTIFS($S$2:$S$3000,1,$A$2:$A$3000,$A2378,$T$2:$T$3000,"&lt;"&amp;$T2378)+1,""))</f>
        <v/>
      </c>
      <c r="V2378" t="str">
        <f t="shared" si="565"/>
        <v/>
      </c>
      <c r="W2378" t="str">
        <f t="shared" si="566"/>
        <v/>
      </c>
      <c r="X2378" t="str">
        <f t="shared" si="567"/>
        <v/>
      </c>
      <c r="Y2378" t="str">
        <f t="shared" si="568"/>
        <v/>
      </c>
      <c r="Z2378">
        <f>IF($A2378="",0,IF(AND($M2378=1,$A2378=经营数据!$B$3,$J2378=经营数据!$BA$5,OR($I2378=经营数据!$BA$4,COUNTIF(经营数据!$AA$9:$AA$38,$I2378)&gt;0)),1,0))</f>
        <v>0</v>
      </c>
      <c r="AA2378" t="str">
        <f t="shared" si="569"/>
        <v/>
      </c>
      <c r="AB2378" t="str">
        <f t="shared" si="570"/>
        <v/>
      </c>
      <c r="AC2378">
        <f>IF($A2378="",0,IF(COUNTIF($A$2:$A2378,$A2378)=1,1,0))</f>
        <v>0</v>
      </c>
      <c r="AD2378">
        <f t="shared" si="571"/>
        <v>29</v>
      </c>
      <c r="AE2378" t="str">
        <f t="shared" si="572"/>
        <v/>
      </c>
    </row>
    <row r="2379" spans="1:31" x14ac:dyDescent="0.4">
      <c r="A2379" t="str">
        <f>IF(原始经营数据!$D2380="","",原始经营数据!$D2380)</f>
        <v/>
      </c>
      <c r="B2379" t="str">
        <f>IF(原始经营数据!$D2380="","",T(原始经营数据!$E2380))</f>
        <v/>
      </c>
      <c r="C2379" t="str">
        <f>IF(原始经营数据!$D2380="","",原始经营数据!$F2380)</f>
        <v/>
      </c>
      <c r="D2379" t="str">
        <f>IF(原始经营数据!$D2380="","",原始经营数据!$H2380)</f>
        <v/>
      </c>
      <c r="E2379" t="str">
        <f>IF(原始经营数据!$D2380="","",原始经营数据!$I2380)</f>
        <v/>
      </c>
      <c r="F2379" t="str">
        <f>IF(原始经营数据!$D2380="","",T(原始经营数据!$J2380))</f>
        <v/>
      </c>
      <c r="G2379" t="str">
        <f>IF(原始经营数据!$D2380="","",T(原始经营数据!$K2380))</f>
        <v/>
      </c>
      <c r="H2379" t="str">
        <f>IF(原始经营数据!$D2380="","",原始经营数据!$G2380)</f>
        <v/>
      </c>
      <c r="I2379" t="str">
        <f>IF($A2379="","",IF($B2379&lt;&gt;"",$B2379,IF(COUNTIFS(原始经营数据!$D$3:$D$3001,$A2379,原始经营数据!$E$3:$E$3001,"",原始经营数据!$F$3:$F$3001,$C2379,原始经营数据!$H$3:$H$3001,$D2379,原始经营数据!$K$3:$K$3001,$G2379)&gt;1,"基金整体·来源"&amp;原始经营数据!$A2380,"基金整体")))</f>
        <v/>
      </c>
      <c r="J2379" t="str">
        <f t="shared" si="558"/>
        <v/>
      </c>
      <c r="K2379" t="str">
        <f t="shared" si="559"/>
        <v/>
      </c>
      <c r="L2379" t="str">
        <f t="shared" si="560"/>
        <v/>
      </c>
      <c r="M2379">
        <f>IF($A2379="",0,IF(COUNTIF($L$2:$L2379,$L2379)=1,1,0))</f>
        <v>0</v>
      </c>
      <c r="N2379" t="str">
        <f t="shared" si="561"/>
        <v/>
      </c>
      <c r="O2379" t="str">
        <f t="shared" si="562"/>
        <v/>
      </c>
      <c r="P2379">
        <f>IF($A2379="",0,IF(COUNTIF($O$2:$O2379,$O2379)=1,1,0))</f>
        <v>0</v>
      </c>
      <c r="Q2379" t="str">
        <f>IF(AND($P2379=1,$A2379=经营数据!$B$3,$J2379=经营数据!$BA$5),COUNTIFS($P$2:$P$3000,1,$A$2:$A$3000,$A2379,$J$2:$J$3000,$J2379,$N$2:$N$3000,"&lt;"&amp;$N2379)+1,"")</f>
        <v/>
      </c>
      <c r="R2379" t="str">
        <f t="shared" si="563"/>
        <v/>
      </c>
      <c r="S2379">
        <f>IF($A2379="",0,IF(COUNTIF($R$2:$R2379,$R2379)=1,1,0))</f>
        <v>0</v>
      </c>
      <c r="T2379" t="str">
        <f t="shared" si="564"/>
        <v/>
      </c>
      <c r="U2379" t="str">
        <f>IF($A2379="","",IF($A2379=经营数据!$B$3,COUNTIFS($S$2:$S$3000,1,$A$2:$A$3000,$A2379,$T$2:$T$3000,"&lt;"&amp;$T2379)+1,""))</f>
        <v/>
      </c>
      <c r="V2379" t="str">
        <f t="shared" si="565"/>
        <v/>
      </c>
      <c r="W2379" t="str">
        <f t="shared" si="566"/>
        <v/>
      </c>
      <c r="X2379" t="str">
        <f t="shared" si="567"/>
        <v/>
      </c>
      <c r="Y2379" t="str">
        <f t="shared" si="568"/>
        <v/>
      </c>
      <c r="Z2379">
        <f>IF($A2379="",0,IF(AND($M2379=1,$A2379=经营数据!$B$3,$J2379=经营数据!$BA$5,OR($I2379=经营数据!$BA$4,COUNTIF(经营数据!$AA$9:$AA$38,$I2379)&gt;0)),1,0))</f>
        <v>0</v>
      </c>
      <c r="AA2379" t="str">
        <f t="shared" si="569"/>
        <v/>
      </c>
      <c r="AB2379" t="str">
        <f t="shared" si="570"/>
        <v/>
      </c>
      <c r="AC2379">
        <f>IF($A2379="",0,IF(COUNTIF($A$2:$A2379,$A2379)=1,1,0))</f>
        <v>0</v>
      </c>
      <c r="AD2379">
        <f t="shared" si="571"/>
        <v>29</v>
      </c>
      <c r="AE2379" t="str">
        <f t="shared" si="572"/>
        <v/>
      </c>
    </row>
    <row r="2380" spans="1:31" x14ac:dyDescent="0.4">
      <c r="A2380" t="str">
        <f>IF(原始经营数据!$D2381="","",原始经营数据!$D2381)</f>
        <v/>
      </c>
      <c r="B2380" t="str">
        <f>IF(原始经营数据!$D2381="","",T(原始经营数据!$E2381))</f>
        <v/>
      </c>
      <c r="C2380" t="str">
        <f>IF(原始经营数据!$D2381="","",原始经营数据!$F2381)</f>
        <v/>
      </c>
      <c r="D2380" t="str">
        <f>IF(原始经营数据!$D2381="","",原始经营数据!$H2381)</f>
        <v/>
      </c>
      <c r="E2380" t="str">
        <f>IF(原始经营数据!$D2381="","",原始经营数据!$I2381)</f>
        <v/>
      </c>
      <c r="F2380" t="str">
        <f>IF(原始经营数据!$D2381="","",T(原始经营数据!$J2381))</f>
        <v/>
      </c>
      <c r="G2380" t="str">
        <f>IF(原始经营数据!$D2381="","",T(原始经营数据!$K2381))</f>
        <v/>
      </c>
      <c r="H2380" t="str">
        <f>IF(原始经营数据!$D2381="","",原始经营数据!$G2381)</f>
        <v/>
      </c>
      <c r="I2380" t="str">
        <f>IF($A2380="","",IF($B2380&lt;&gt;"",$B2380,IF(COUNTIFS(原始经营数据!$D$3:$D$3001,$A2380,原始经营数据!$E$3:$E$3001,"",原始经营数据!$F$3:$F$3001,$C2380,原始经营数据!$H$3:$H$3001,$D2380,原始经营数据!$K$3:$K$3001,$G2380)&gt;1,"基金整体·来源"&amp;原始经营数据!$A2381,"基金整体")))</f>
        <v/>
      </c>
      <c r="J2380" t="str">
        <f t="shared" si="558"/>
        <v/>
      </c>
      <c r="K2380" t="str">
        <f t="shared" si="559"/>
        <v/>
      </c>
      <c r="L2380" t="str">
        <f t="shared" si="560"/>
        <v/>
      </c>
      <c r="M2380">
        <f>IF($A2380="",0,IF(COUNTIF($L$2:$L2380,$L2380)=1,1,0))</f>
        <v>0</v>
      </c>
      <c r="N2380" t="str">
        <f t="shared" si="561"/>
        <v/>
      </c>
      <c r="O2380" t="str">
        <f t="shared" si="562"/>
        <v/>
      </c>
      <c r="P2380">
        <f>IF($A2380="",0,IF(COUNTIF($O$2:$O2380,$O2380)=1,1,0))</f>
        <v>0</v>
      </c>
      <c r="Q2380" t="str">
        <f>IF(AND($P2380=1,$A2380=经营数据!$B$3,$J2380=经营数据!$BA$5),COUNTIFS($P$2:$P$3000,1,$A$2:$A$3000,$A2380,$J$2:$J$3000,$J2380,$N$2:$N$3000,"&lt;"&amp;$N2380)+1,"")</f>
        <v/>
      </c>
      <c r="R2380" t="str">
        <f t="shared" si="563"/>
        <v/>
      </c>
      <c r="S2380">
        <f>IF($A2380="",0,IF(COUNTIF($R$2:$R2380,$R2380)=1,1,0))</f>
        <v>0</v>
      </c>
      <c r="T2380" t="str">
        <f t="shared" si="564"/>
        <v/>
      </c>
      <c r="U2380" t="str">
        <f>IF($A2380="","",IF($A2380=经营数据!$B$3,COUNTIFS($S$2:$S$3000,1,$A$2:$A$3000,$A2380,$T$2:$T$3000,"&lt;"&amp;$T2380)+1,""))</f>
        <v/>
      </c>
      <c r="V2380" t="str">
        <f t="shared" si="565"/>
        <v/>
      </c>
      <c r="W2380" t="str">
        <f t="shared" si="566"/>
        <v/>
      </c>
      <c r="X2380" t="str">
        <f t="shared" si="567"/>
        <v/>
      </c>
      <c r="Y2380" t="str">
        <f t="shared" si="568"/>
        <v/>
      </c>
      <c r="Z2380">
        <f>IF($A2380="",0,IF(AND($M2380=1,$A2380=经营数据!$B$3,$J2380=经营数据!$BA$5,OR($I2380=经营数据!$BA$4,COUNTIF(经营数据!$AA$9:$AA$38,$I2380)&gt;0)),1,0))</f>
        <v>0</v>
      </c>
      <c r="AA2380" t="str">
        <f t="shared" si="569"/>
        <v/>
      </c>
      <c r="AB2380" t="str">
        <f t="shared" si="570"/>
        <v/>
      </c>
      <c r="AC2380">
        <f>IF($A2380="",0,IF(COUNTIF($A$2:$A2380,$A2380)=1,1,0))</f>
        <v>0</v>
      </c>
      <c r="AD2380">
        <f t="shared" si="571"/>
        <v>29</v>
      </c>
      <c r="AE2380" t="str">
        <f t="shared" si="572"/>
        <v/>
      </c>
    </row>
    <row r="2381" spans="1:31" x14ac:dyDescent="0.4">
      <c r="A2381" t="str">
        <f>IF(原始经营数据!$D2382="","",原始经营数据!$D2382)</f>
        <v/>
      </c>
      <c r="B2381" t="str">
        <f>IF(原始经营数据!$D2382="","",T(原始经营数据!$E2382))</f>
        <v/>
      </c>
      <c r="C2381" t="str">
        <f>IF(原始经营数据!$D2382="","",原始经营数据!$F2382)</f>
        <v/>
      </c>
      <c r="D2381" t="str">
        <f>IF(原始经营数据!$D2382="","",原始经营数据!$H2382)</f>
        <v/>
      </c>
      <c r="E2381" t="str">
        <f>IF(原始经营数据!$D2382="","",原始经营数据!$I2382)</f>
        <v/>
      </c>
      <c r="F2381" t="str">
        <f>IF(原始经营数据!$D2382="","",T(原始经营数据!$J2382))</f>
        <v/>
      </c>
      <c r="G2381" t="str">
        <f>IF(原始经营数据!$D2382="","",T(原始经营数据!$K2382))</f>
        <v/>
      </c>
      <c r="H2381" t="str">
        <f>IF(原始经营数据!$D2382="","",原始经营数据!$G2382)</f>
        <v/>
      </c>
      <c r="I2381" t="str">
        <f>IF($A2381="","",IF($B2381&lt;&gt;"",$B2381,IF(COUNTIFS(原始经营数据!$D$3:$D$3001,$A2381,原始经营数据!$E$3:$E$3001,"",原始经营数据!$F$3:$F$3001,$C2381,原始经营数据!$H$3:$H$3001,$D2381,原始经营数据!$K$3:$K$3001,$G2381)&gt;1,"基金整体·来源"&amp;原始经营数据!$A2382,"基金整体")))</f>
        <v/>
      </c>
      <c r="J2381" t="str">
        <f t="shared" si="558"/>
        <v/>
      </c>
      <c r="K2381" t="str">
        <f t="shared" si="559"/>
        <v/>
      </c>
      <c r="L2381" t="str">
        <f t="shared" si="560"/>
        <v/>
      </c>
      <c r="M2381">
        <f>IF($A2381="",0,IF(COUNTIF($L$2:$L2381,$L2381)=1,1,0))</f>
        <v>0</v>
      </c>
      <c r="N2381" t="str">
        <f t="shared" si="561"/>
        <v/>
      </c>
      <c r="O2381" t="str">
        <f t="shared" si="562"/>
        <v/>
      </c>
      <c r="P2381">
        <f>IF($A2381="",0,IF(COUNTIF($O$2:$O2381,$O2381)=1,1,0))</f>
        <v>0</v>
      </c>
      <c r="Q2381" t="str">
        <f>IF(AND($P2381=1,$A2381=经营数据!$B$3,$J2381=经营数据!$BA$5),COUNTIFS($P$2:$P$3000,1,$A$2:$A$3000,$A2381,$J$2:$J$3000,$J2381,$N$2:$N$3000,"&lt;"&amp;$N2381)+1,"")</f>
        <v/>
      </c>
      <c r="R2381" t="str">
        <f t="shared" si="563"/>
        <v/>
      </c>
      <c r="S2381">
        <f>IF($A2381="",0,IF(COUNTIF($R$2:$R2381,$R2381)=1,1,0))</f>
        <v>0</v>
      </c>
      <c r="T2381" t="str">
        <f t="shared" si="564"/>
        <v/>
      </c>
      <c r="U2381" t="str">
        <f>IF($A2381="","",IF($A2381=经营数据!$B$3,COUNTIFS($S$2:$S$3000,1,$A$2:$A$3000,$A2381,$T$2:$T$3000,"&lt;"&amp;$T2381)+1,""))</f>
        <v/>
      </c>
      <c r="V2381" t="str">
        <f t="shared" si="565"/>
        <v/>
      </c>
      <c r="W2381" t="str">
        <f t="shared" si="566"/>
        <v/>
      </c>
      <c r="X2381" t="str">
        <f t="shared" si="567"/>
        <v/>
      </c>
      <c r="Y2381" t="str">
        <f t="shared" si="568"/>
        <v/>
      </c>
      <c r="Z2381">
        <f>IF($A2381="",0,IF(AND($M2381=1,$A2381=经营数据!$B$3,$J2381=经营数据!$BA$5,OR($I2381=经营数据!$BA$4,COUNTIF(经营数据!$AA$9:$AA$38,$I2381)&gt;0)),1,0))</f>
        <v>0</v>
      </c>
      <c r="AA2381" t="str">
        <f t="shared" si="569"/>
        <v/>
      </c>
      <c r="AB2381" t="str">
        <f t="shared" si="570"/>
        <v/>
      </c>
      <c r="AC2381">
        <f>IF($A2381="",0,IF(COUNTIF($A$2:$A2381,$A2381)=1,1,0))</f>
        <v>0</v>
      </c>
      <c r="AD2381">
        <f t="shared" si="571"/>
        <v>29</v>
      </c>
      <c r="AE2381" t="str">
        <f t="shared" si="572"/>
        <v/>
      </c>
    </row>
    <row r="2382" spans="1:31" x14ac:dyDescent="0.4">
      <c r="A2382" t="str">
        <f>IF(原始经营数据!$D2383="","",原始经营数据!$D2383)</f>
        <v/>
      </c>
      <c r="B2382" t="str">
        <f>IF(原始经营数据!$D2383="","",T(原始经营数据!$E2383))</f>
        <v/>
      </c>
      <c r="C2382" t="str">
        <f>IF(原始经营数据!$D2383="","",原始经营数据!$F2383)</f>
        <v/>
      </c>
      <c r="D2382" t="str">
        <f>IF(原始经营数据!$D2383="","",原始经营数据!$H2383)</f>
        <v/>
      </c>
      <c r="E2382" t="str">
        <f>IF(原始经营数据!$D2383="","",原始经营数据!$I2383)</f>
        <v/>
      </c>
      <c r="F2382" t="str">
        <f>IF(原始经营数据!$D2383="","",T(原始经营数据!$J2383))</f>
        <v/>
      </c>
      <c r="G2382" t="str">
        <f>IF(原始经营数据!$D2383="","",T(原始经营数据!$K2383))</f>
        <v/>
      </c>
      <c r="H2382" t="str">
        <f>IF(原始经营数据!$D2383="","",原始经营数据!$G2383)</f>
        <v/>
      </c>
      <c r="I2382" t="str">
        <f>IF($A2382="","",IF($B2382&lt;&gt;"",$B2382,IF(COUNTIFS(原始经营数据!$D$3:$D$3001,$A2382,原始经营数据!$E$3:$E$3001,"",原始经营数据!$F$3:$F$3001,$C2382,原始经营数据!$H$3:$H$3001,$D2382,原始经营数据!$K$3:$K$3001,$G2382)&gt;1,"基金整体·来源"&amp;原始经营数据!$A2383,"基金整体")))</f>
        <v/>
      </c>
      <c r="J2382" t="str">
        <f t="shared" si="558"/>
        <v/>
      </c>
      <c r="K2382" t="str">
        <f t="shared" si="559"/>
        <v/>
      </c>
      <c r="L2382" t="str">
        <f t="shared" si="560"/>
        <v/>
      </c>
      <c r="M2382">
        <f>IF($A2382="",0,IF(COUNTIF($L$2:$L2382,$L2382)=1,1,0))</f>
        <v>0</v>
      </c>
      <c r="N2382" t="str">
        <f t="shared" si="561"/>
        <v/>
      </c>
      <c r="O2382" t="str">
        <f t="shared" si="562"/>
        <v/>
      </c>
      <c r="P2382">
        <f>IF($A2382="",0,IF(COUNTIF($O$2:$O2382,$O2382)=1,1,0))</f>
        <v>0</v>
      </c>
      <c r="Q2382" t="str">
        <f>IF(AND($P2382=1,$A2382=经营数据!$B$3,$J2382=经营数据!$BA$5),COUNTIFS($P$2:$P$3000,1,$A$2:$A$3000,$A2382,$J$2:$J$3000,$J2382,$N$2:$N$3000,"&lt;"&amp;$N2382)+1,"")</f>
        <v/>
      </c>
      <c r="R2382" t="str">
        <f t="shared" si="563"/>
        <v/>
      </c>
      <c r="S2382">
        <f>IF($A2382="",0,IF(COUNTIF($R$2:$R2382,$R2382)=1,1,0))</f>
        <v>0</v>
      </c>
      <c r="T2382" t="str">
        <f t="shared" si="564"/>
        <v/>
      </c>
      <c r="U2382" t="str">
        <f>IF($A2382="","",IF($A2382=经营数据!$B$3,COUNTIFS($S$2:$S$3000,1,$A$2:$A$3000,$A2382,$T$2:$T$3000,"&lt;"&amp;$T2382)+1,""))</f>
        <v/>
      </c>
      <c r="V2382" t="str">
        <f t="shared" si="565"/>
        <v/>
      </c>
      <c r="W2382" t="str">
        <f t="shared" si="566"/>
        <v/>
      </c>
      <c r="X2382" t="str">
        <f t="shared" si="567"/>
        <v/>
      </c>
      <c r="Y2382" t="str">
        <f t="shared" si="568"/>
        <v/>
      </c>
      <c r="Z2382">
        <f>IF($A2382="",0,IF(AND($M2382=1,$A2382=经营数据!$B$3,$J2382=经营数据!$BA$5,OR($I2382=经营数据!$BA$4,COUNTIF(经营数据!$AA$9:$AA$38,$I2382)&gt;0)),1,0))</f>
        <v>0</v>
      </c>
      <c r="AA2382" t="str">
        <f t="shared" si="569"/>
        <v/>
      </c>
      <c r="AB2382" t="str">
        <f t="shared" si="570"/>
        <v/>
      </c>
      <c r="AC2382">
        <f>IF($A2382="",0,IF(COUNTIF($A$2:$A2382,$A2382)=1,1,0))</f>
        <v>0</v>
      </c>
      <c r="AD2382">
        <f t="shared" si="571"/>
        <v>29</v>
      </c>
      <c r="AE2382" t="str">
        <f t="shared" si="572"/>
        <v/>
      </c>
    </row>
    <row r="2383" spans="1:31" x14ac:dyDescent="0.4">
      <c r="A2383" t="str">
        <f>IF(原始经营数据!$D2384="","",原始经营数据!$D2384)</f>
        <v/>
      </c>
      <c r="B2383" t="str">
        <f>IF(原始经营数据!$D2384="","",T(原始经营数据!$E2384))</f>
        <v/>
      </c>
      <c r="C2383" t="str">
        <f>IF(原始经营数据!$D2384="","",原始经营数据!$F2384)</f>
        <v/>
      </c>
      <c r="D2383" t="str">
        <f>IF(原始经营数据!$D2384="","",原始经营数据!$H2384)</f>
        <v/>
      </c>
      <c r="E2383" t="str">
        <f>IF(原始经营数据!$D2384="","",原始经营数据!$I2384)</f>
        <v/>
      </c>
      <c r="F2383" t="str">
        <f>IF(原始经营数据!$D2384="","",T(原始经营数据!$J2384))</f>
        <v/>
      </c>
      <c r="G2383" t="str">
        <f>IF(原始经营数据!$D2384="","",T(原始经营数据!$K2384))</f>
        <v/>
      </c>
      <c r="H2383" t="str">
        <f>IF(原始经营数据!$D2384="","",原始经营数据!$G2384)</f>
        <v/>
      </c>
      <c r="I2383" t="str">
        <f>IF($A2383="","",IF($B2383&lt;&gt;"",$B2383,IF(COUNTIFS(原始经营数据!$D$3:$D$3001,$A2383,原始经营数据!$E$3:$E$3001,"",原始经营数据!$F$3:$F$3001,$C2383,原始经营数据!$H$3:$H$3001,$D2383,原始经营数据!$K$3:$K$3001,$G2383)&gt;1,"基金整体·来源"&amp;原始经营数据!$A2384,"基金整体")))</f>
        <v/>
      </c>
      <c r="J2383" t="str">
        <f t="shared" si="558"/>
        <v/>
      </c>
      <c r="K2383" t="str">
        <f t="shared" si="559"/>
        <v/>
      </c>
      <c r="L2383" t="str">
        <f t="shared" si="560"/>
        <v/>
      </c>
      <c r="M2383">
        <f>IF($A2383="",0,IF(COUNTIF($L$2:$L2383,$L2383)=1,1,0))</f>
        <v>0</v>
      </c>
      <c r="N2383" t="str">
        <f t="shared" si="561"/>
        <v/>
      </c>
      <c r="O2383" t="str">
        <f t="shared" si="562"/>
        <v/>
      </c>
      <c r="P2383">
        <f>IF($A2383="",0,IF(COUNTIF($O$2:$O2383,$O2383)=1,1,0))</f>
        <v>0</v>
      </c>
      <c r="Q2383" t="str">
        <f>IF(AND($P2383=1,$A2383=经营数据!$B$3,$J2383=经营数据!$BA$5),COUNTIFS($P$2:$P$3000,1,$A$2:$A$3000,$A2383,$J$2:$J$3000,$J2383,$N$2:$N$3000,"&lt;"&amp;$N2383)+1,"")</f>
        <v/>
      </c>
      <c r="R2383" t="str">
        <f t="shared" si="563"/>
        <v/>
      </c>
      <c r="S2383">
        <f>IF($A2383="",0,IF(COUNTIF($R$2:$R2383,$R2383)=1,1,0))</f>
        <v>0</v>
      </c>
      <c r="T2383" t="str">
        <f t="shared" si="564"/>
        <v/>
      </c>
      <c r="U2383" t="str">
        <f>IF($A2383="","",IF($A2383=经营数据!$B$3,COUNTIFS($S$2:$S$3000,1,$A$2:$A$3000,$A2383,$T$2:$T$3000,"&lt;"&amp;$T2383)+1,""))</f>
        <v/>
      </c>
      <c r="V2383" t="str">
        <f t="shared" si="565"/>
        <v/>
      </c>
      <c r="W2383" t="str">
        <f t="shared" si="566"/>
        <v/>
      </c>
      <c r="X2383" t="str">
        <f t="shared" si="567"/>
        <v/>
      </c>
      <c r="Y2383" t="str">
        <f t="shared" si="568"/>
        <v/>
      </c>
      <c r="Z2383">
        <f>IF($A2383="",0,IF(AND($M2383=1,$A2383=经营数据!$B$3,$J2383=经营数据!$BA$5,OR($I2383=经营数据!$BA$4,COUNTIF(经营数据!$AA$9:$AA$38,$I2383)&gt;0)),1,0))</f>
        <v>0</v>
      </c>
      <c r="AA2383" t="str">
        <f t="shared" si="569"/>
        <v/>
      </c>
      <c r="AB2383" t="str">
        <f t="shared" si="570"/>
        <v/>
      </c>
      <c r="AC2383">
        <f>IF($A2383="",0,IF(COUNTIF($A$2:$A2383,$A2383)=1,1,0))</f>
        <v>0</v>
      </c>
      <c r="AD2383">
        <f t="shared" si="571"/>
        <v>29</v>
      </c>
      <c r="AE2383" t="str">
        <f t="shared" si="572"/>
        <v/>
      </c>
    </row>
    <row r="2384" spans="1:31" x14ac:dyDescent="0.4">
      <c r="A2384" t="str">
        <f>IF(原始经营数据!$D2385="","",原始经营数据!$D2385)</f>
        <v/>
      </c>
      <c r="B2384" t="str">
        <f>IF(原始经营数据!$D2385="","",T(原始经营数据!$E2385))</f>
        <v/>
      </c>
      <c r="C2384" t="str">
        <f>IF(原始经营数据!$D2385="","",原始经营数据!$F2385)</f>
        <v/>
      </c>
      <c r="D2384" t="str">
        <f>IF(原始经营数据!$D2385="","",原始经营数据!$H2385)</f>
        <v/>
      </c>
      <c r="E2384" t="str">
        <f>IF(原始经营数据!$D2385="","",原始经营数据!$I2385)</f>
        <v/>
      </c>
      <c r="F2384" t="str">
        <f>IF(原始经营数据!$D2385="","",T(原始经营数据!$J2385))</f>
        <v/>
      </c>
      <c r="G2384" t="str">
        <f>IF(原始经营数据!$D2385="","",T(原始经营数据!$K2385))</f>
        <v/>
      </c>
      <c r="H2384" t="str">
        <f>IF(原始经营数据!$D2385="","",原始经营数据!$G2385)</f>
        <v/>
      </c>
      <c r="I2384" t="str">
        <f>IF($A2384="","",IF($B2384&lt;&gt;"",$B2384,IF(COUNTIFS(原始经营数据!$D$3:$D$3001,$A2384,原始经营数据!$E$3:$E$3001,"",原始经营数据!$F$3:$F$3001,$C2384,原始经营数据!$H$3:$H$3001,$D2384,原始经营数据!$K$3:$K$3001,$G2384)&gt;1,"基金整体·来源"&amp;原始经营数据!$A2385,"基金整体")))</f>
        <v/>
      </c>
      <c r="J2384" t="str">
        <f t="shared" si="558"/>
        <v/>
      </c>
      <c r="K2384" t="str">
        <f t="shared" si="559"/>
        <v/>
      </c>
      <c r="L2384" t="str">
        <f t="shared" si="560"/>
        <v/>
      </c>
      <c r="M2384">
        <f>IF($A2384="",0,IF(COUNTIF($L$2:$L2384,$L2384)=1,1,0))</f>
        <v>0</v>
      </c>
      <c r="N2384" t="str">
        <f t="shared" si="561"/>
        <v/>
      </c>
      <c r="O2384" t="str">
        <f t="shared" si="562"/>
        <v/>
      </c>
      <c r="P2384">
        <f>IF($A2384="",0,IF(COUNTIF($O$2:$O2384,$O2384)=1,1,0))</f>
        <v>0</v>
      </c>
      <c r="Q2384" t="str">
        <f>IF(AND($P2384=1,$A2384=经营数据!$B$3,$J2384=经营数据!$BA$5),COUNTIFS($P$2:$P$3000,1,$A$2:$A$3000,$A2384,$J$2:$J$3000,$J2384,$N$2:$N$3000,"&lt;"&amp;$N2384)+1,"")</f>
        <v/>
      </c>
      <c r="R2384" t="str">
        <f t="shared" si="563"/>
        <v/>
      </c>
      <c r="S2384">
        <f>IF($A2384="",0,IF(COUNTIF($R$2:$R2384,$R2384)=1,1,0))</f>
        <v>0</v>
      </c>
      <c r="T2384" t="str">
        <f t="shared" si="564"/>
        <v/>
      </c>
      <c r="U2384" t="str">
        <f>IF($A2384="","",IF($A2384=经营数据!$B$3,COUNTIFS($S$2:$S$3000,1,$A$2:$A$3000,$A2384,$T$2:$T$3000,"&lt;"&amp;$T2384)+1,""))</f>
        <v/>
      </c>
      <c r="V2384" t="str">
        <f t="shared" si="565"/>
        <v/>
      </c>
      <c r="W2384" t="str">
        <f t="shared" si="566"/>
        <v/>
      </c>
      <c r="X2384" t="str">
        <f t="shared" si="567"/>
        <v/>
      </c>
      <c r="Y2384" t="str">
        <f t="shared" si="568"/>
        <v/>
      </c>
      <c r="Z2384">
        <f>IF($A2384="",0,IF(AND($M2384=1,$A2384=经营数据!$B$3,$J2384=经营数据!$BA$5,OR($I2384=经营数据!$BA$4,COUNTIF(经营数据!$AA$9:$AA$38,$I2384)&gt;0)),1,0))</f>
        <v>0</v>
      </c>
      <c r="AA2384" t="str">
        <f t="shared" si="569"/>
        <v/>
      </c>
      <c r="AB2384" t="str">
        <f t="shared" si="570"/>
        <v/>
      </c>
      <c r="AC2384">
        <f>IF($A2384="",0,IF(COUNTIF($A$2:$A2384,$A2384)=1,1,0))</f>
        <v>0</v>
      </c>
      <c r="AD2384">
        <f t="shared" si="571"/>
        <v>29</v>
      </c>
      <c r="AE2384" t="str">
        <f t="shared" si="572"/>
        <v/>
      </c>
    </row>
    <row r="2385" spans="1:31" x14ac:dyDescent="0.4">
      <c r="A2385" t="str">
        <f>IF(原始经营数据!$D2386="","",原始经营数据!$D2386)</f>
        <v/>
      </c>
      <c r="B2385" t="str">
        <f>IF(原始经营数据!$D2386="","",T(原始经营数据!$E2386))</f>
        <v/>
      </c>
      <c r="C2385" t="str">
        <f>IF(原始经营数据!$D2386="","",原始经营数据!$F2386)</f>
        <v/>
      </c>
      <c r="D2385" t="str">
        <f>IF(原始经营数据!$D2386="","",原始经营数据!$H2386)</f>
        <v/>
      </c>
      <c r="E2385" t="str">
        <f>IF(原始经营数据!$D2386="","",原始经营数据!$I2386)</f>
        <v/>
      </c>
      <c r="F2385" t="str">
        <f>IF(原始经营数据!$D2386="","",T(原始经营数据!$J2386))</f>
        <v/>
      </c>
      <c r="G2385" t="str">
        <f>IF(原始经营数据!$D2386="","",T(原始经营数据!$K2386))</f>
        <v/>
      </c>
      <c r="H2385" t="str">
        <f>IF(原始经营数据!$D2386="","",原始经营数据!$G2386)</f>
        <v/>
      </c>
      <c r="I2385" t="str">
        <f>IF($A2385="","",IF($B2385&lt;&gt;"",$B2385,IF(COUNTIFS(原始经营数据!$D$3:$D$3001,$A2385,原始经营数据!$E$3:$E$3001,"",原始经营数据!$F$3:$F$3001,$C2385,原始经营数据!$H$3:$H$3001,$D2385,原始经营数据!$K$3:$K$3001,$G2385)&gt;1,"基金整体·来源"&amp;原始经营数据!$A2386,"基金整体")))</f>
        <v/>
      </c>
      <c r="J2385" t="str">
        <f t="shared" si="558"/>
        <v/>
      </c>
      <c r="K2385" t="str">
        <f t="shared" si="559"/>
        <v/>
      </c>
      <c r="L2385" t="str">
        <f t="shared" si="560"/>
        <v/>
      </c>
      <c r="M2385">
        <f>IF($A2385="",0,IF(COUNTIF($L$2:$L2385,$L2385)=1,1,0))</f>
        <v>0</v>
      </c>
      <c r="N2385" t="str">
        <f t="shared" si="561"/>
        <v/>
      </c>
      <c r="O2385" t="str">
        <f t="shared" si="562"/>
        <v/>
      </c>
      <c r="P2385">
        <f>IF($A2385="",0,IF(COUNTIF($O$2:$O2385,$O2385)=1,1,0))</f>
        <v>0</v>
      </c>
      <c r="Q2385" t="str">
        <f>IF(AND($P2385=1,$A2385=经营数据!$B$3,$J2385=经营数据!$BA$5),COUNTIFS($P$2:$P$3000,1,$A$2:$A$3000,$A2385,$J$2:$J$3000,$J2385,$N$2:$N$3000,"&lt;"&amp;$N2385)+1,"")</f>
        <v/>
      </c>
      <c r="R2385" t="str">
        <f t="shared" si="563"/>
        <v/>
      </c>
      <c r="S2385">
        <f>IF($A2385="",0,IF(COUNTIF($R$2:$R2385,$R2385)=1,1,0))</f>
        <v>0</v>
      </c>
      <c r="T2385" t="str">
        <f t="shared" si="564"/>
        <v/>
      </c>
      <c r="U2385" t="str">
        <f>IF($A2385="","",IF($A2385=经营数据!$B$3,COUNTIFS($S$2:$S$3000,1,$A$2:$A$3000,$A2385,$T$2:$T$3000,"&lt;"&amp;$T2385)+1,""))</f>
        <v/>
      </c>
      <c r="V2385" t="str">
        <f t="shared" si="565"/>
        <v/>
      </c>
      <c r="W2385" t="str">
        <f t="shared" si="566"/>
        <v/>
      </c>
      <c r="X2385" t="str">
        <f t="shared" si="567"/>
        <v/>
      </c>
      <c r="Y2385" t="str">
        <f t="shared" si="568"/>
        <v/>
      </c>
      <c r="Z2385">
        <f>IF($A2385="",0,IF(AND($M2385=1,$A2385=经营数据!$B$3,$J2385=经营数据!$BA$5,OR($I2385=经营数据!$BA$4,COUNTIF(经营数据!$AA$9:$AA$38,$I2385)&gt;0)),1,0))</f>
        <v>0</v>
      </c>
      <c r="AA2385" t="str">
        <f t="shared" si="569"/>
        <v/>
      </c>
      <c r="AB2385" t="str">
        <f t="shared" si="570"/>
        <v/>
      </c>
      <c r="AC2385">
        <f>IF($A2385="",0,IF(COUNTIF($A$2:$A2385,$A2385)=1,1,0))</f>
        <v>0</v>
      </c>
      <c r="AD2385">
        <f t="shared" si="571"/>
        <v>29</v>
      </c>
      <c r="AE2385" t="str">
        <f t="shared" si="572"/>
        <v/>
      </c>
    </row>
    <row r="2386" spans="1:31" x14ac:dyDescent="0.4">
      <c r="A2386" t="str">
        <f>IF(原始经营数据!$D2387="","",原始经营数据!$D2387)</f>
        <v/>
      </c>
      <c r="B2386" t="str">
        <f>IF(原始经营数据!$D2387="","",T(原始经营数据!$E2387))</f>
        <v/>
      </c>
      <c r="C2386" t="str">
        <f>IF(原始经营数据!$D2387="","",原始经营数据!$F2387)</f>
        <v/>
      </c>
      <c r="D2386" t="str">
        <f>IF(原始经营数据!$D2387="","",原始经营数据!$H2387)</f>
        <v/>
      </c>
      <c r="E2386" t="str">
        <f>IF(原始经营数据!$D2387="","",原始经营数据!$I2387)</f>
        <v/>
      </c>
      <c r="F2386" t="str">
        <f>IF(原始经营数据!$D2387="","",T(原始经营数据!$J2387))</f>
        <v/>
      </c>
      <c r="G2386" t="str">
        <f>IF(原始经营数据!$D2387="","",T(原始经营数据!$K2387))</f>
        <v/>
      </c>
      <c r="H2386" t="str">
        <f>IF(原始经营数据!$D2387="","",原始经营数据!$G2387)</f>
        <v/>
      </c>
      <c r="I2386" t="str">
        <f>IF($A2386="","",IF($B2386&lt;&gt;"",$B2386,IF(COUNTIFS(原始经营数据!$D$3:$D$3001,$A2386,原始经营数据!$E$3:$E$3001,"",原始经营数据!$F$3:$F$3001,$C2386,原始经营数据!$H$3:$H$3001,$D2386,原始经营数据!$K$3:$K$3001,$G2386)&gt;1,"基金整体·来源"&amp;原始经营数据!$A2387,"基金整体")))</f>
        <v/>
      </c>
      <c r="J2386" t="str">
        <f t="shared" si="558"/>
        <v/>
      </c>
      <c r="K2386" t="str">
        <f t="shared" si="559"/>
        <v/>
      </c>
      <c r="L2386" t="str">
        <f t="shared" si="560"/>
        <v/>
      </c>
      <c r="M2386">
        <f>IF($A2386="",0,IF(COUNTIF($L$2:$L2386,$L2386)=1,1,0))</f>
        <v>0</v>
      </c>
      <c r="N2386" t="str">
        <f t="shared" si="561"/>
        <v/>
      </c>
      <c r="O2386" t="str">
        <f t="shared" si="562"/>
        <v/>
      </c>
      <c r="P2386">
        <f>IF($A2386="",0,IF(COUNTIF($O$2:$O2386,$O2386)=1,1,0))</f>
        <v>0</v>
      </c>
      <c r="Q2386" t="str">
        <f>IF(AND($P2386=1,$A2386=经营数据!$B$3,$J2386=经营数据!$BA$5),COUNTIFS($P$2:$P$3000,1,$A$2:$A$3000,$A2386,$J$2:$J$3000,$J2386,$N$2:$N$3000,"&lt;"&amp;$N2386)+1,"")</f>
        <v/>
      </c>
      <c r="R2386" t="str">
        <f t="shared" si="563"/>
        <v/>
      </c>
      <c r="S2386">
        <f>IF($A2386="",0,IF(COUNTIF($R$2:$R2386,$R2386)=1,1,0))</f>
        <v>0</v>
      </c>
      <c r="T2386" t="str">
        <f t="shared" si="564"/>
        <v/>
      </c>
      <c r="U2386" t="str">
        <f>IF($A2386="","",IF($A2386=经营数据!$B$3,COUNTIFS($S$2:$S$3000,1,$A$2:$A$3000,$A2386,$T$2:$T$3000,"&lt;"&amp;$T2386)+1,""))</f>
        <v/>
      </c>
      <c r="V2386" t="str">
        <f t="shared" si="565"/>
        <v/>
      </c>
      <c r="W2386" t="str">
        <f t="shared" si="566"/>
        <v/>
      </c>
      <c r="X2386" t="str">
        <f t="shared" si="567"/>
        <v/>
      </c>
      <c r="Y2386" t="str">
        <f t="shared" si="568"/>
        <v/>
      </c>
      <c r="Z2386">
        <f>IF($A2386="",0,IF(AND($M2386=1,$A2386=经营数据!$B$3,$J2386=经营数据!$BA$5,OR($I2386=经营数据!$BA$4,COUNTIF(经营数据!$AA$9:$AA$38,$I2386)&gt;0)),1,0))</f>
        <v>0</v>
      </c>
      <c r="AA2386" t="str">
        <f t="shared" si="569"/>
        <v/>
      </c>
      <c r="AB2386" t="str">
        <f t="shared" si="570"/>
        <v/>
      </c>
      <c r="AC2386">
        <f>IF($A2386="",0,IF(COUNTIF($A$2:$A2386,$A2386)=1,1,0))</f>
        <v>0</v>
      </c>
      <c r="AD2386">
        <f t="shared" si="571"/>
        <v>29</v>
      </c>
      <c r="AE2386" t="str">
        <f t="shared" si="572"/>
        <v/>
      </c>
    </row>
    <row r="2387" spans="1:31" x14ac:dyDescent="0.4">
      <c r="A2387" t="str">
        <f>IF(原始经营数据!$D2388="","",原始经营数据!$D2388)</f>
        <v/>
      </c>
      <c r="B2387" t="str">
        <f>IF(原始经营数据!$D2388="","",T(原始经营数据!$E2388))</f>
        <v/>
      </c>
      <c r="C2387" t="str">
        <f>IF(原始经营数据!$D2388="","",原始经营数据!$F2388)</f>
        <v/>
      </c>
      <c r="D2387" t="str">
        <f>IF(原始经营数据!$D2388="","",原始经营数据!$H2388)</f>
        <v/>
      </c>
      <c r="E2387" t="str">
        <f>IF(原始经营数据!$D2388="","",原始经营数据!$I2388)</f>
        <v/>
      </c>
      <c r="F2387" t="str">
        <f>IF(原始经营数据!$D2388="","",T(原始经营数据!$J2388))</f>
        <v/>
      </c>
      <c r="G2387" t="str">
        <f>IF(原始经营数据!$D2388="","",T(原始经营数据!$K2388))</f>
        <v/>
      </c>
      <c r="H2387" t="str">
        <f>IF(原始经营数据!$D2388="","",原始经营数据!$G2388)</f>
        <v/>
      </c>
      <c r="I2387" t="str">
        <f>IF($A2387="","",IF($B2387&lt;&gt;"",$B2387,IF(COUNTIFS(原始经营数据!$D$3:$D$3001,$A2387,原始经营数据!$E$3:$E$3001,"",原始经营数据!$F$3:$F$3001,$C2387,原始经营数据!$H$3:$H$3001,$D2387,原始经营数据!$K$3:$K$3001,$G2387)&gt;1,"基金整体·来源"&amp;原始经营数据!$A2388,"基金整体")))</f>
        <v/>
      </c>
      <c r="J2387" t="str">
        <f t="shared" si="558"/>
        <v/>
      </c>
      <c r="K2387" t="str">
        <f t="shared" si="559"/>
        <v/>
      </c>
      <c r="L2387" t="str">
        <f t="shared" si="560"/>
        <v/>
      </c>
      <c r="M2387">
        <f>IF($A2387="",0,IF(COUNTIF($L$2:$L2387,$L2387)=1,1,0))</f>
        <v>0</v>
      </c>
      <c r="N2387" t="str">
        <f t="shared" si="561"/>
        <v/>
      </c>
      <c r="O2387" t="str">
        <f t="shared" si="562"/>
        <v/>
      </c>
      <c r="P2387">
        <f>IF($A2387="",0,IF(COUNTIF($O$2:$O2387,$O2387)=1,1,0))</f>
        <v>0</v>
      </c>
      <c r="Q2387" t="str">
        <f>IF(AND($P2387=1,$A2387=经营数据!$B$3,$J2387=经营数据!$BA$5),COUNTIFS($P$2:$P$3000,1,$A$2:$A$3000,$A2387,$J$2:$J$3000,$J2387,$N$2:$N$3000,"&lt;"&amp;$N2387)+1,"")</f>
        <v/>
      </c>
      <c r="R2387" t="str">
        <f t="shared" si="563"/>
        <v/>
      </c>
      <c r="S2387">
        <f>IF($A2387="",0,IF(COUNTIF($R$2:$R2387,$R2387)=1,1,0))</f>
        <v>0</v>
      </c>
      <c r="T2387" t="str">
        <f t="shared" si="564"/>
        <v/>
      </c>
      <c r="U2387" t="str">
        <f>IF($A2387="","",IF($A2387=经营数据!$B$3,COUNTIFS($S$2:$S$3000,1,$A$2:$A$3000,$A2387,$T$2:$T$3000,"&lt;"&amp;$T2387)+1,""))</f>
        <v/>
      </c>
      <c r="V2387" t="str">
        <f t="shared" si="565"/>
        <v/>
      </c>
      <c r="W2387" t="str">
        <f t="shared" si="566"/>
        <v/>
      </c>
      <c r="X2387" t="str">
        <f t="shared" si="567"/>
        <v/>
      </c>
      <c r="Y2387" t="str">
        <f t="shared" si="568"/>
        <v/>
      </c>
      <c r="Z2387">
        <f>IF($A2387="",0,IF(AND($M2387=1,$A2387=经营数据!$B$3,$J2387=经营数据!$BA$5,OR($I2387=经营数据!$BA$4,COUNTIF(经营数据!$AA$9:$AA$38,$I2387)&gt;0)),1,0))</f>
        <v>0</v>
      </c>
      <c r="AA2387" t="str">
        <f t="shared" si="569"/>
        <v/>
      </c>
      <c r="AB2387" t="str">
        <f t="shared" si="570"/>
        <v/>
      </c>
      <c r="AC2387">
        <f>IF($A2387="",0,IF(COUNTIF($A$2:$A2387,$A2387)=1,1,0))</f>
        <v>0</v>
      </c>
      <c r="AD2387">
        <f t="shared" si="571"/>
        <v>29</v>
      </c>
      <c r="AE2387" t="str">
        <f t="shared" si="572"/>
        <v/>
      </c>
    </row>
    <row r="2388" spans="1:31" x14ac:dyDescent="0.4">
      <c r="A2388" t="str">
        <f>IF(原始经营数据!$D2389="","",原始经营数据!$D2389)</f>
        <v/>
      </c>
      <c r="B2388" t="str">
        <f>IF(原始经营数据!$D2389="","",T(原始经营数据!$E2389))</f>
        <v/>
      </c>
      <c r="C2388" t="str">
        <f>IF(原始经营数据!$D2389="","",原始经营数据!$F2389)</f>
        <v/>
      </c>
      <c r="D2388" t="str">
        <f>IF(原始经营数据!$D2389="","",原始经营数据!$H2389)</f>
        <v/>
      </c>
      <c r="E2388" t="str">
        <f>IF(原始经营数据!$D2389="","",原始经营数据!$I2389)</f>
        <v/>
      </c>
      <c r="F2388" t="str">
        <f>IF(原始经营数据!$D2389="","",T(原始经营数据!$J2389))</f>
        <v/>
      </c>
      <c r="G2388" t="str">
        <f>IF(原始经营数据!$D2389="","",T(原始经营数据!$K2389))</f>
        <v/>
      </c>
      <c r="H2388" t="str">
        <f>IF(原始经营数据!$D2389="","",原始经营数据!$G2389)</f>
        <v/>
      </c>
      <c r="I2388" t="str">
        <f>IF($A2388="","",IF($B2388&lt;&gt;"",$B2388,IF(COUNTIFS(原始经营数据!$D$3:$D$3001,$A2388,原始经营数据!$E$3:$E$3001,"",原始经营数据!$F$3:$F$3001,$C2388,原始经营数据!$H$3:$H$3001,$D2388,原始经营数据!$K$3:$K$3001,$G2388)&gt;1,"基金整体·来源"&amp;原始经营数据!$A2389,"基金整体")))</f>
        <v/>
      </c>
      <c r="J2388" t="str">
        <f t="shared" si="558"/>
        <v/>
      </c>
      <c r="K2388" t="str">
        <f t="shared" si="559"/>
        <v/>
      </c>
      <c r="L2388" t="str">
        <f t="shared" si="560"/>
        <v/>
      </c>
      <c r="M2388">
        <f>IF($A2388="",0,IF(COUNTIF($L$2:$L2388,$L2388)=1,1,0))</f>
        <v>0</v>
      </c>
      <c r="N2388" t="str">
        <f t="shared" si="561"/>
        <v/>
      </c>
      <c r="O2388" t="str">
        <f t="shared" si="562"/>
        <v/>
      </c>
      <c r="P2388">
        <f>IF($A2388="",0,IF(COUNTIF($O$2:$O2388,$O2388)=1,1,0))</f>
        <v>0</v>
      </c>
      <c r="Q2388" t="str">
        <f>IF(AND($P2388=1,$A2388=经营数据!$B$3,$J2388=经营数据!$BA$5),COUNTIFS($P$2:$P$3000,1,$A$2:$A$3000,$A2388,$J$2:$J$3000,$J2388,$N$2:$N$3000,"&lt;"&amp;$N2388)+1,"")</f>
        <v/>
      </c>
      <c r="R2388" t="str">
        <f t="shared" si="563"/>
        <v/>
      </c>
      <c r="S2388">
        <f>IF($A2388="",0,IF(COUNTIF($R$2:$R2388,$R2388)=1,1,0))</f>
        <v>0</v>
      </c>
      <c r="T2388" t="str">
        <f t="shared" si="564"/>
        <v/>
      </c>
      <c r="U2388" t="str">
        <f>IF($A2388="","",IF($A2388=经营数据!$B$3,COUNTIFS($S$2:$S$3000,1,$A$2:$A$3000,$A2388,$T$2:$T$3000,"&lt;"&amp;$T2388)+1,""))</f>
        <v/>
      </c>
      <c r="V2388" t="str">
        <f t="shared" si="565"/>
        <v/>
      </c>
      <c r="W2388" t="str">
        <f t="shared" si="566"/>
        <v/>
      </c>
      <c r="X2388" t="str">
        <f t="shared" si="567"/>
        <v/>
      </c>
      <c r="Y2388" t="str">
        <f t="shared" si="568"/>
        <v/>
      </c>
      <c r="Z2388">
        <f>IF($A2388="",0,IF(AND($M2388=1,$A2388=经营数据!$B$3,$J2388=经营数据!$BA$5,OR($I2388=经营数据!$BA$4,COUNTIF(经营数据!$AA$9:$AA$38,$I2388)&gt;0)),1,0))</f>
        <v>0</v>
      </c>
      <c r="AA2388" t="str">
        <f t="shared" si="569"/>
        <v/>
      </c>
      <c r="AB2388" t="str">
        <f t="shared" si="570"/>
        <v/>
      </c>
      <c r="AC2388">
        <f>IF($A2388="",0,IF(COUNTIF($A$2:$A2388,$A2388)=1,1,0))</f>
        <v>0</v>
      </c>
      <c r="AD2388">
        <f t="shared" si="571"/>
        <v>29</v>
      </c>
      <c r="AE2388" t="str">
        <f t="shared" si="572"/>
        <v/>
      </c>
    </row>
    <row r="2389" spans="1:31" x14ac:dyDescent="0.4">
      <c r="A2389" t="str">
        <f>IF(原始经营数据!$D2390="","",原始经营数据!$D2390)</f>
        <v/>
      </c>
      <c r="B2389" t="str">
        <f>IF(原始经营数据!$D2390="","",T(原始经营数据!$E2390))</f>
        <v/>
      </c>
      <c r="C2389" t="str">
        <f>IF(原始经营数据!$D2390="","",原始经营数据!$F2390)</f>
        <v/>
      </c>
      <c r="D2389" t="str">
        <f>IF(原始经营数据!$D2390="","",原始经营数据!$H2390)</f>
        <v/>
      </c>
      <c r="E2389" t="str">
        <f>IF(原始经营数据!$D2390="","",原始经营数据!$I2390)</f>
        <v/>
      </c>
      <c r="F2389" t="str">
        <f>IF(原始经营数据!$D2390="","",T(原始经营数据!$J2390))</f>
        <v/>
      </c>
      <c r="G2389" t="str">
        <f>IF(原始经营数据!$D2390="","",T(原始经营数据!$K2390))</f>
        <v/>
      </c>
      <c r="H2389" t="str">
        <f>IF(原始经营数据!$D2390="","",原始经营数据!$G2390)</f>
        <v/>
      </c>
      <c r="I2389" t="str">
        <f>IF($A2389="","",IF($B2389&lt;&gt;"",$B2389,IF(COUNTIFS(原始经营数据!$D$3:$D$3001,$A2389,原始经营数据!$E$3:$E$3001,"",原始经营数据!$F$3:$F$3001,$C2389,原始经营数据!$H$3:$H$3001,$D2389,原始经营数据!$K$3:$K$3001,$G2389)&gt;1,"基金整体·来源"&amp;原始经营数据!$A2390,"基金整体")))</f>
        <v/>
      </c>
      <c r="J2389" t="str">
        <f t="shared" si="558"/>
        <v/>
      </c>
      <c r="K2389" t="str">
        <f t="shared" si="559"/>
        <v/>
      </c>
      <c r="L2389" t="str">
        <f t="shared" si="560"/>
        <v/>
      </c>
      <c r="M2389">
        <f>IF($A2389="",0,IF(COUNTIF($L$2:$L2389,$L2389)=1,1,0))</f>
        <v>0</v>
      </c>
      <c r="N2389" t="str">
        <f t="shared" si="561"/>
        <v/>
      </c>
      <c r="O2389" t="str">
        <f t="shared" si="562"/>
        <v/>
      </c>
      <c r="P2389">
        <f>IF($A2389="",0,IF(COUNTIF($O$2:$O2389,$O2389)=1,1,0))</f>
        <v>0</v>
      </c>
      <c r="Q2389" t="str">
        <f>IF(AND($P2389=1,$A2389=经营数据!$B$3,$J2389=经营数据!$BA$5),COUNTIFS($P$2:$P$3000,1,$A$2:$A$3000,$A2389,$J$2:$J$3000,$J2389,$N$2:$N$3000,"&lt;"&amp;$N2389)+1,"")</f>
        <v/>
      </c>
      <c r="R2389" t="str">
        <f t="shared" si="563"/>
        <v/>
      </c>
      <c r="S2389">
        <f>IF($A2389="",0,IF(COUNTIF($R$2:$R2389,$R2389)=1,1,0))</f>
        <v>0</v>
      </c>
      <c r="T2389" t="str">
        <f t="shared" si="564"/>
        <v/>
      </c>
      <c r="U2389" t="str">
        <f>IF($A2389="","",IF($A2389=经营数据!$B$3,COUNTIFS($S$2:$S$3000,1,$A$2:$A$3000,$A2389,$T$2:$T$3000,"&lt;"&amp;$T2389)+1,""))</f>
        <v/>
      </c>
      <c r="V2389" t="str">
        <f t="shared" si="565"/>
        <v/>
      </c>
      <c r="W2389" t="str">
        <f t="shared" si="566"/>
        <v/>
      </c>
      <c r="X2389" t="str">
        <f t="shared" si="567"/>
        <v/>
      </c>
      <c r="Y2389" t="str">
        <f t="shared" si="568"/>
        <v/>
      </c>
      <c r="Z2389">
        <f>IF($A2389="",0,IF(AND($M2389=1,$A2389=经营数据!$B$3,$J2389=经营数据!$BA$5,OR($I2389=经营数据!$BA$4,COUNTIF(经营数据!$AA$9:$AA$38,$I2389)&gt;0)),1,0))</f>
        <v>0</v>
      </c>
      <c r="AA2389" t="str">
        <f t="shared" si="569"/>
        <v/>
      </c>
      <c r="AB2389" t="str">
        <f t="shared" si="570"/>
        <v/>
      </c>
      <c r="AC2389">
        <f>IF($A2389="",0,IF(COUNTIF($A$2:$A2389,$A2389)=1,1,0))</f>
        <v>0</v>
      </c>
      <c r="AD2389">
        <f t="shared" si="571"/>
        <v>29</v>
      </c>
      <c r="AE2389" t="str">
        <f t="shared" si="572"/>
        <v/>
      </c>
    </row>
    <row r="2390" spans="1:31" x14ac:dyDescent="0.4">
      <c r="A2390" t="str">
        <f>IF(原始经营数据!$D2391="","",原始经营数据!$D2391)</f>
        <v/>
      </c>
      <c r="B2390" t="str">
        <f>IF(原始经营数据!$D2391="","",T(原始经营数据!$E2391))</f>
        <v/>
      </c>
      <c r="C2390" t="str">
        <f>IF(原始经营数据!$D2391="","",原始经营数据!$F2391)</f>
        <v/>
      </c>
      <c r="D2390" t="str">
        <f>IF(原始经营数据!$D2391="","",原始经营数据!$H2391)</f>
        <v/>
      </c>
      <c r="E2390" t="str">
        <f>IF(原始经营数据!$D2391="","",原始经营数据!$I2391)</f>
        <v/>
      </c>
      <c r="F2390" t="str">
        <f>IF(原始经营数据!$D2391="","",T(原始经营数据!$J2391))</f>
        <v/>
      </c>
      <c r="G2390" t="str">
        <f>IF(原始经营数据!$D2391="","",T(原始经营数据!$K2391))</f>
        <v/>
      </c>
      <c r="H2390" t="str">
        <f>IF(原始经营数据!$D2391="","",原始经营数据!$G2391)</f>
        <v/>
      </c>
      <c r="I2390" t="str">
        <f>IF($A2390="","",IF($B2390&lt;&gt;"",$B2390,IF(COUNTIFS(原始经营数据!$D$3:$D$3001,$A2390,原始经营数据!$E$3:$E$3001,"",原始经营数据!$F$3:$F$3001,$C2390,原始经营数据!$H$3:$H$3001,$D2390,原始经营数据!$K$3:$K$3001,$G2390)&gt;1,"基金整体·来源"&amp;原始经营数据!$A2391,"基金整体")))</f>
        <v/>
      </c>
      <c r="J2390" t="str">
        <f t="shared" si="558"/>
        <v/>
      </c>
      <c r="K2390" t="str">
        <f t="shared" si="559"/>
        <v/>
      </c>
      <c r="L2390" t="str">
        <f t="shared" si="560"/>
        <v/>
      </c>
      <c r="M2390">
        <f>IF($A2390="",0,IF(COUNTIF($L$2:$L2390,$L2390)=1,1,0))</f>
        <v>0</v>
      </c>
      <c r="N2390" t="str">
        <f t="shared" si="561"/>
        <v/>
      </c>
      <c r="O2390" t="str">
        <f t="shared" si="562"/>
        <v/>
      </c>
      <c r="P2390">
        <f>IF($A2390="",0,IF(COUNTIF($O$2:$O2390,$O2390)=1,1,0))</f>
        <v>0</v>
      </c>
      <c r="Q2390" t="str">
        <f>IF(AND($P2390=1,$A2390=经营数据!$B$3,$J2390=经营数据!$BA$5),COUNTIFS($P$2:$P$3000,1,$A$2:$A$3000,$A2390,$J$2:$J$3000,$J2390,$N$2:$N$3000,"&lt;"&amp;$N2390)+1,"")</f>
        <v/>
      </c>
      <c r="R2390" t="str">
        <f t="shared" si="563"/>
        <v/>
      </c>
      <c r="S2390">
        <f>IF($A2390="",0,IF(COUNTIF($R$2:$R2390,$R2390)=1,1,0))</f>
        <v>0</v>
      </c>
      <c r="T2390" t="str">
        <f t="shared" si="564"/>
        <v/>
      </c>
      <c r="U2390" t="str">
        <f>IF($A2390="","",IF($A2390=经营数据!$B$3,COUNTIFS($S$2:$S$3000,1,$A$2:$A$3000,$A2390,$T$2:$T$3000,"&lt;"&amp;$T2390)+1,""))</f>
        <v/>
      </c>
      <c r="V2390" t="str">
        <f t="shared" si="565"/>
        <v/>
      </c>
      <c r="W2390" t="str">
        <f t="shared" si="566"/>
        <v/>
      </c>
      <c r="X2390" t="str">
        <f t="shared" si="567"/>
        <v/>
      </c>
      <c r="Y2390" t="str">
        <f t="shared" si="568"/>
        <v/>
      </c>
      <c r="Z2390">
        <f>IF($A2390="",0,IF(AND($M2390=1,$A2390=经营数据!$B$3,$J2390=经营数据!$BA$5,OR($I2390=经营数据!$BA$4,COUNTIF(经营数据!$AA$9:$AA$38,$I2390)&gt;0)),1,0))</f>
        <v>0</v>
      </c>
      <c r="AA2390" t="str">
        <f t="shared" si="569"/>
        <v/>
      </c>
      <c r="AB2390" t="str">
        <f t="shared" si="570"/>
        <v/>
      </c>
      <c r="AC2390">
        <f>IF($A2390="",0,IF(COUNTIF($A$2:$A2390,$A2390)=1,1,0))</f>
        <v>0</v>
      </c>
      <c r="AD2390">
        <f t="shared" si="571"/>
        <v>29</v>
      </c>
      <c r="AE2390" t="str">
        <f t="shared" si="572"/>
        <v/>
      </c>
    </row>
    <row r="2391" spans="1:31" x14ac:dyDescent="0.4">
      <c r="A2391" t="str">
        <f>IF(原始经营数据!$D2392="","",原始经营数据!$D2392)</f>
        <v/>
      </c>
      <c r="B2391" t="str">
        <f>IF(原始经营数据!$D2392="","",T(原始经营数据!$E2392))</f>
        <v/>
      </c>
      <c r="C2391" t="str">
        <f>IF(原始经营数据!$D2392="","",原始经营数据!$F2392)</f>
        <v/>
      </c>
      <c r="D2391" t="str">
        <f>IF(原始经营数据!$D2392="","",原始经营数据!$H2392)</f>
        <v/>
      </c>
      <c r="E2391" t="str">
        <f>IF(原始经营数据!$D2392="","",原始经营数据!$I2392)</f>
        <v/>
      </c>
      <c r="F2391" t="str">
        <f>IF(原始经营数据!$D2392="","",T(原始经营数据!$J2392))</f>
        <v/>
      </c>
      <c r="G2391" t="str">
        <f>IF(原始经营数据!$D2392="","",T(原始经营数据!$K2392))</f>
        <v/>
      </c>
      <c r="H2391" t="str">
        <f>IF(原始经营数据!$D2392="","",原始经营数据!$G2392)</f>
        <v/>
      </c>
      <c r="I2391" t="str">
        <f>IF($A2391="","",IF($B2391&lt;&gt;"",$B2391,IF(COUNTIFS(原始经营数据!$D$3:$D$3001,$A2391,原始经营数据!$E$3:$E$3001,"",原始经营数据!$F$3:$F$3001,$C2391,原始经营数据!$H$3:$H$3001,$D2391,原始经营数据!$K$3:$K$3001,$G2391)&gt;1,"基金整体·来源"&amp;原始经营数据!$A2392,"基金整体")))</f>
        <v/>
      </c>
      <c r="J2391" t="str">
        <f t="shared" si="558"/>
        <v/>
      </c>
      <c r="K2391" t="str">
        <f t="shared" si="559"/>
        <v/>
      </c>
      <c r="L2391" t="str">
        <f t="shared" si="560"/>
        <v/>
      </c>
      <c r="M2391">
        <f>IF($A2391="",0,IF(COUNTIF($L$2:$L2391,$L2391)=1,1,0))</f>
        <v>0</v>
      </c>
      <c r="N2391" t="str">
        <f t="shared" si="561"/>
        <v/>
      </c>
      <c r="O2391" t="str">
        <f t="shared" si="562"/>
        <v/>
      </c>
      <c r="P2391">
        <f>IF($A2391="",0,IF(COUNTIF($O$2:$O2391,$O2391)=1,1,0))</f>
        <v>0</v>
      </c>
      <c r="Q2391" t="str">
        <f>IF(AND($P2391=1,$A2391=经营数据!$B$3,$J2391=经营数据!$BA$5),COUNTIFS($P$2:$P$3000,1,$A$2:$A$3000,$A2391,$J$2:$J$3000,$J2391,$N$2:$N$3000,"&lt;"&amp;$N2391)+1,"")</f>
        <v/>
      </c>
      <c r="R2391" t="str">
        <f t="shared" si="563"/>
        <v/>
      </c>
      <c r="S2391">
        <f>IF($A2391="",0,IF(COUNTIF($R$2:$R2391,$R2391)=1,1,0))</f>
        <v>0</v>
      </c>
      <c r="T2391" t="str">
        <f t="shared" si="564"/>
        <v/>
      </c>
      <c r="U2391" t="str">
        <f>IF($A2391="","",IF($A2391=经营数据!$B$3,COUNTIFS($S$2:$S$3000,1,$A$2:$A$3000,$A2391,$T$2:$T$3000,"&lt;"&amp;$T2391)+1,""))</f>
        <v/>
      </c>
      <c r="V2391" t="str">
        <f t="shared" si="565"/>
        <v/>
      </c>
      <c r="W2391" t="str">
        <f t="shared" si="566"/>
        <v/>
      </c>
      <c r="X2391" t="str">
        <f t="shared" si="567"/>
        <v/>
      </c>
      <c r="Y2391" t="str">
        <f t="shared" si="568"/>
        <v/>
      </c>
      <c r="Z2391">
        <f>IF($A2391="",0,IF(AND($M2391=1,$A2391=经营数据!$B$3,$J2391=经营数据!$BA$5,OR($I2391=经营数据!$BA$4,COUNTIF(经营数据!$AA$9:$AA$38,$I2391)&gt;0)),1,0))</f>
        <v>0</v>
      </c>
      <c r="AA2391" t="str">
        <f t="shared" si="569"/>
        <v/>
      </c>
      <c r="AB2391" t="str">
        <f t="shared" si="570"/>
        <v/>
      </c>
      <c r="AC2391">
        <f>IF($A2391="",0,IF(COUNTIF($A$2:$A2391,$A2391)=1,1,0))</f>
        <v>0</v>
      </c>
      <c r="AD2391">
        <f t="shared" si="571"/>
        <v>29</v>
      </c>
      <c r="AE2391" t="str">
        <f t="shared" si="572"/>
        <v/>
      </c>
    </row>
    <row r="2392" spans="1:31" x14ac:dyDescent="0.4">
      <c r="A2392" t="str">
        <f>IF(原始经营数据!$D2393="","",原始经营数据!$D2393)</f>
        <v/>
      </c>
      <c r="B2392" t="str">
        <f>IF(原始经营数据!$D2393="","",T(原始经营数据!$E2393))</f>
        <v/>
      </c>
      <c r="C2392" t="str">
        <f>IF(原始经营数据!$D2393="","",原始经营数据!$F2393)</f>
        <v/>
      </c>
      <c r="D2392" t="str">
        <f>IF(原始经营数据!$D2393="","",原始经营数据!$H2393)</f>
        <v/>
      </c>
      <c r="E2392" t="str">
        <f>IF(原始经营数据!$D2393="","",原始经营数据!$I2393)</f>
        <v/>
      </c>
      <c r="F2392" t="str">
        <f>IF(原始经营数据!$D2393="","",T(原始经营数据!$J2393))</f>
        <v/>
      </c>
      <c r="G2392" t="str">
        <f>IF(原始经营数据!$D2393="","",T(原始经营数据!$K2393))</f>
        <v/>
      </c>
      <c r="H2392" t="str">
        <f>IF(原始经营数据!$D2393="","",原始经营数据!$G2393)</f>
        <v/>
      </c>
      <c r="I2392" t="str">
        <f>IF($A2392="","",IF($B2392&lt;&gt;"",$B2392,IF(COUNTIFS(原始经营数据!$D$3:$D$3001,$A2392,原始经营数据!$E$3:$E$3001,"",原始经营数据!$F$3:$F$3001,$C2392,原始经营数据!$H$3:$H$3001,$D2392,原始经营数据!$K$3:$K$3001,$G2392)&gt;1,"基金整体·来源"&amp;原始经营数据!$A2393,"基金整体")))</f>
        <v/>
      </c>
      <c r="J2392" t="str">
        <f t="shared" si="558"/>
        <v/>
      </c>
      <c r="K2392" t="str">
        <f t="shared" si="559"/>
        <v/>
      </c>
      <c r="L2392" t="str">
        <f t="shared" si="560"/>
        <v/>
      </c>
      <c r="M2392">
        <f>IF($A2392="",0,IF(COUNTIF($L$2:$L2392,$L2392)=1,1,0))</f>
        <v>0</v>
      </c>
      <c r="N2392" t="str">
        <f t="shared" si="561"/>
        <v/>
      </c>
      <c r="O2392" t="str">
        <f t="shared" si="562"/>
        <v/>
      </c>
      <c r="P2392">
        <f>IF($A2392="",0,IF(COUNTIF($O$2:$O2392,$O2392)=1,1,0))</f>
        <v>0</v>
      </c>
      <c r="Q2392" t="str">
        <f>IF(AND($P2392=1,$A2392=经营数据!$B$3,$J2392=经营数据!$BA$5),COUNTIFS($P$2:$P$3000,1,$A$2:$A$3000,$A2392,$J$2:$J$3000,$J2392,$N$2:$N$3000,"&lt;"&amp;$N2392)+1,"")</f>
        <v/>
      </c>
      <c r="R2392" t="str">
        <f t="shared" si="563"/>
        <v/>
      </c>
      <c r="S2392">
        <f>IF($A2392="",0,IF(COUNTIF($R$2:$R2392,$R2392)=1,1,0))</f>
        <v>0</v>
      </c>
      <c r="T2392" t="str">
        <f t="shared" si="564"/>
        <v/>
      </c>
      <c r="U2392" t="str">
        <f>IF($A2392="","",IF($A2392=经营数据!$B$3,COUNTIFS($S$2:$S$3000,1,$A$2:$A$3000,$A2392,$T$2:$T$3000,"&lt;"&amp;$T2392)+1,""))</f>
        <v/>
      </c>
      <c r="V2392" t="str">
        <f t="shared" si="565"/>
        <v/>
      </c>
      <c r="W2392" t="str">
        <f t="shared" si="566"/>
        <v/>
      </c>
      <c r="X2392" t="str">
        <f t="shared" si="567"/>
        <v/>
      </c>
      <c r="Y2392" t="str">
        <f t="shared" si="568"/>
        <v/>
      </c>
      <c r="Z2392">
        <f>IF($A2392="",0,IF(AND($M2392=1,$A2392=经营数据!$B$3,$J2392=经营数据!$BA$5,OR($I2392=经营数据!$BA$4,COUNTIF(经营数据!$AA$9:$AA$38,$I2392)&gt;0)),1,0))</f>
        <v>0</v>
      </c>
      <c r="AA2392" t="str">
        <f t="shared" si="569"/>
        <v/>
      </c>
      <c r="AB2392" t="str">
        <f t="shared" si="570"/>
        <v/>
      </c>
      <c r="AC2392">
        <f>IF($A2392="",0,IF(COUNTIF($A$2:$A2392,$A2392)=1,1,0))</f>
        <v>0</v>
      </c>
      <c r="AD2392">
        <f t="shared" si="571"/>
        <v>29</v>
      </c>
      <c r="AE2392" t="str">
        <f t="shared" si="572"/>
        <v/>
      </c>
    </row>
    <row r="2393" spans="1:31" x14ac:dyDescent="0.4">
      <c r="A2393" t="str">
        <f>IF(原始经营数据!$D2394="","",原始经营数据!$D2394)</f>
        <v/>
      </c>
      <c r="B2393" t="str">
        <f>IF(原始经营数据!$D2394="","",T(原始经营数据!$E2394))</f>
        <v/>
      </c>
      <c r="C2393" t="str">
        <f>IF(原始经营数据!$D2394="","",原始经营数据!$F2394)</f>
        <v/>
      </c>
      <c r="D2393" t="str">
        <f>IF(原始经营数据!$D2394="","",原始经营数据!$H2394)</f>
        <v/>
      </c>
      <c r="E2393" t="str">
        <f>IF(原始经营数据!$D2394="","",原始经营数据!$I2394)</f>
        <v/>
      </c>
      <c r="F2393" t="str">
        <f>IF(原始经营数据!$D2394="","",T(原始经营数据!$J2394))</f>
        <v/>
      </c>
      <c r="G2393" t="str">
        <f>IF(原始经营数据!$D2394="","",T(原始经营数据!$K2394))</f>
        <v/>
      </c>
      <c r="H2393" t="str">
        <f>IF(原始经营数据!$D2394="","",原始经营数据!$G2394)</f>
        <v/>
      </c>
      <c r="I2393" t="str">
        <f>IF($A2393="","",IF($B2393&lt;&gt;"",$B2393,IF(COUNTIFS(原始经营数据!$D$3:$D$3001,$A2393,原始经营数据!$E$3:$E$3001,"",原始经营数据!$F$3:$F$3001,$C2393,原始经营数据!$H$3:$H$3001,$D2393,原始经营数据!$K$3:$K$3001,$G2393)&gt;1,"基金整体·来源"&amp;原始经营数据!$A2394,"基金整体")))</f>
        <v/>
      </c>
      <c r="J2393" t="str">
        <f t="shared" si="558"/>
        <v/>
      </c>
      <c r="K2393" t="str">
        <f t="shared" si="559"/>
        <v/>
      </c>
      <c r="L2393" t="str">
        <f t="shared" si="560"/>
        <v/>
      </c>
      <c r="M2393">
        <f>IF($A2393="",0,IF(COUNTIF($L$2:$L2393,$L2393)=1,1,0))</f>
        <v>0</v>
      </c>
      <c r="N2393" t="str">
        <f t="shared" si="561"/>
        <v/>
      </c>
      <c r="O2393" t="str">
        <f t="shared" si="562"/>
        <v/>
      </c>
      <c r="P2393">
        <f>IF($A2393="",0,IF(COUNTIF($O$2:$O2393,$O2393)=1,1,0))</f>
        <v>0</v>
      </c>
      <c r="Q2393" t="str">
        <f>IF(AND($P2393=1,$A2393=经营数据!$B$3,$J2393=经营数据!$BA$5),COUNTIFS($P$2:$P$3000,1,$A$2:$A$3000,$A2393,$J$2:$J$3000,$J2393,$N$2:$N$3000,"&lt;"&amp;$N2393)+1,"")</f>
        <v/>
      </c>
      <c r="R2393" t="str">
        <f t="shared" si="563"/>
        <v/>
      </c>
      <c r="S2393">
        <f>IF($A2393="",0,IF(COUNTIF($R$2:$R2393,$R2393)=1,1,0))</f>
        <v>0</v>
      </c>
      <c r="T2393" t="str">
        <f t="shared" si="564"/>
        <v/>
      </c>
      <c r="U2393" t="str">
        <f>IF($A2393="","",IF($A2393=经营数据!$B$3,COUNTIFS($S$2:$S$3000,1,$A$2:$A$3000,$A2393,$T$2:$T$3000,"&lt;"&amp;$T2393)+1,""))</f>
        <v/>
      </c>
      <c r="V2393" t="str">
        <f t="shared" si="565"/>
        <v/>
      </c>
      <c r="W2393" t="str">
        <f t="shared" si="566"/>
        <v/>
      </c>
      <c r="X2393" t="str">
        <f t="shared" si="567"/>
        <v/>
      </c>
      <c r="Y2393" t="str">
        <f t="shared" si="568"/>
        <v/>
      </c>
      <c r="Z2393">
        <f>IF($A2393="",0,IF(AND($M2393=1,$A2393=经营数据!$B$3,$J2393=经营数据!$BA$5,OR($I2393=经营数据!$BA$4,COUNTIF(经营数据!$AA$9:$AA$38,$I2393)&gt;0)),1,0))</f>
        <v>0</v>
      </c>
      <c r="AA2393" t="str">
        <f t="shared" si="569"/>
        <v/>
      </c>
      <c r="AB2393" t="str">
        <f t="shared" si="570"/>
        <v/>
      </c>
      <c r="AC2393">
        <f>IF($A2393="",0,IF(COUNTIF($A$2:$A2393,$A2393)=1,1,0))</f>
        <v>0</v>
      </c>
      <c r="AD2393">
        <f t="shared" si="571"/>
        <v>29</v>
      </c>
      <c r="AE2393" t="str">
        <f t="shared" si="572"/>
        <v/>
      </c>
    </row>
    <row r="2394" spans="1:31" x14ac:dyDescent="0.4">
      <c r="A2394" t="str">
        <f>IF(原始经营数据!$D2395="","",原始经营数据!$D2395)</f>
        <v/>
      </c>
      <c r="B2394" t="str">
        <f>IF(原始经营数据!$D2395="","",T(原始经营数据!$E2395))</f>
        <v/>
      </c>
      <c r="C2394" t="str">
        <f>IF(原始经营数据!$D2395="","",原始经营数据!$F2395)</f>
        <v/>
      </c>
      <c r="D2394" t="str">
        <f>IF(原始经营数据!$D2395="","",原始经营数据!$H2395)</f>
        <v/>
      </c>
      <c r="E2394" t="str">
        <f>IF(原始经营数据!$D2395="","",原始经营数据!$I2395)</f>
        <v/>
      </c>
      <c r="F2394" t="str">
        <f>IF(原始经营数据!$D2395="","",T(原始经营数据!$J2395))</f>
        <v/>
      </c>
      <c r="G2394" t="str">
        <f>IF(原始经营数据!$D2395="","",T(原始经营数据!$K2395))</f>
        <v/>
      </c>
      <c r="H2394" t="str">
        <f>IF(原始经营数据!$D2395="","",原始经营数据!$G2395)</f>
        <v/>
      </c>
      <c r="I2394" t="str">
        <f>IF($A2394="","",IF($B2394&lt;&gt;"",$B2394,IF(COUNTIFS(原始经营数据!$D$3:$D$3001,$A2394,原始经营数据!$E$3:$E$3001,"",原始经营数据!$F$3:$F$3001,$C2394,原始经营数据!$H$3:$H$3001,$D2394,原始经营数据!$K$3:$K$3001,$G2394)&gt;1,"基金整体·来源"&amp;原始经营数据!$A2395,"基金整体")))</f>
        <v/>
      </c>
      <c r="J2394" t="str">
        <f t="shared" si="558"/>
        <v/>
      </c>
      <c r="K2394" t="str">
        <f t="shared" si="559"/>
        <v/>
      </c>
      <c r="L2394" t="str">
        <f t="shared" si="560"/>
        <v/>
      </c>
      <c r="M2394">
        <f>IF($A2394="",0,IF(COUNTIF($L$2:$L2394,$L2394)=1,1,0))</f>
        <v>0</v>
      </c>
      <c r="N2394" t="str">
        <f t="shared" si="561"/>
        <v/>
      </c>
      <c r="O2394" t="str">
        <f t="shared" si="562"/>
        <v/>
      </c>
      <c r="P2394">
        <f>IF($A2394="",0,IF(COUNTIF($O$2:$O2394,$O2394)=1,1,0))</f>
        <v>0</v>
      </c>
      <c r="Q2394" t="str">
        <f>IF(AND($P2394=1,$A2394=经营数据!$B$3,$J2394=经营数据!$BA$5),COUNTIFS($P$2:$P$3000,1,$A$2:$A$3000,$A2394,$J$2:$J$3000,$J2394,$N$2:$N$3000,"&lt;"&amp;$N2394)+1,"")</f>
        <v/>
      </c>
      <c r="R2394" t="str">
        <f t="shared" si="563"/>
        <v/>
      </c>
      <c r="S2394">
        <f>IF($A2394="",0,IF(COUNTIF($R$2:$R2394,$R2394)=1,1,0))</f>
        <v>0</v>
      </c>
      <c r="T2394" t="str">
        <f t="shared" si="564"/>
        <v/>
      </c>
      <c r="U2394" t="str">
        <f>IF($A2394="","",IF($A2394=经营数据!$B$3,COUNTIFS($S$2:$S$3000,1,$A$2:$A$3000,$A2394,$T$2:$T$3000,"&lt;"&amp;$T2394)+1,""))</f>
        <v/>
      </c>
      <c r="V2394" t="str">
        <f t="shared" si="565"/>
        <v/>
      </c>
      <c r="W2394" t="str">
        <f t="shared" si="566"/>
        <v/>
      </c>
      <c r="X2394" t="str">
        <f t="shared" si="567"/>
        <v/>
      </c>
      <c r="Y2394" t="str">
        <f t="shared" si="568"/>
        <v/>
      </c>
      <c r="Z2394">
        <f>IF($A2394="",0,IF(AND($M2394=1,$A2394=经营数据!$B$3,$J2394=经营数据!$BA$5,OR($I2394=经营数据!$BA$4,COUNTIF(经营数据!$AA$9:$AA$38,$I2394)&gt;0)),1,0))</f>
        <v>0</v>
      </c>
      <c r="AA2394" t="str">
        <f t="shared" si="569"/>
        <v/>
      </c>
      <c r="AB2394" t="str">
        <f t="shared" si="570"/>
        <v/>
      </c>
      <c r="AC2394">
        <f>IF($A2394="",0,IF(COUNTIF($A$2:$A2394,$A2394)=1,1,0))</f>
        <v>0</v>
      </c>
      <c r="AD2394">
        <f t="shared" si="571"/>
        <v>29</v>
      </c>
      <c r="AE2394" t="str">
        <f t="shared" si="572"/>
        <v/>
      </c>
    </row>
    <row r="2395" spans="1:31" x14ac:dyDescent="0.4">
      <c r="A2395" t="str">
        <f>IF(原始经营数据!$D2396="","",原始经营数据!$D2396)</f>
        <v/>
      </c>
      <c r="B2395" t="str">
        <f>IF(原始经营数据!$D2396="","",T(原始经营数据!$E2396))</f>
        <v/>
      </c>
      <c r="C2395" t="str">
        <f>IF(原始经营数据!$D2396="","",原始经营数据!$F2396)</f>
        <v/>
      </c>
      <c r="D2395" t="str">
        <f>IF(原始经营数据!$D2396="","",原始经营数据!$H2396)</f>
        <v/>
      </c>
      <c r="E2395" t="str">
        <f>IF(原始经营数据!$D2396="","",原始经营数据!$I2396)</f>
        <v/>
      </c>
      <c r="F2395" t="str">
        <f>IF(原始经营数据!$D2396="","",T(原始经营数据!$J2396))</f>
        <v/>
      </c>
      <c r="G2395" t="str">
        <f>IF(原始经营数据!$D2396="","",T(原始经营数据!$K2396))</f>
        <v/>
      </c>
      <c r="H2395" t="str">
        <f>IF(原始经营数据!$D2396="","",原始经营数据!$G2396)</f>
        <v/>
      </c>
      <c r="I2395" t="str">
        <f>IF($A2395="","",IF($B2395&lt;&gt;"",$B2395,IF(COUNTIFS(原始经营数据!$D$3:$D$3001,$A2395,原始经营数据!$E$3:$E$3001,"",原始经营数据!$F$3:$F$3001,$C2395,原始经营数据!$H$3:$H$3001,$D2395,原始经营数据!$K$3:$K$3001,$G2395)&gt;1,"基金整体·来源"&amp;原始经营数据!$A2396,"基金整体")))</f>
        <v/>
      </c>
      <c r="J2395" t="str">
        <f t="shared" si="558"/>
        <v/>
      </c>
      <c r="K2395" t="str">
        <f t="shared" si="559"/>
        <v/>
      </c>
      <c r="L2395" t="str">
        <f t="shared" si="560"/>
        <v/>
      </c>
      <c r="M2395">
        <f>IF($A2395="",0,IF(COUNTIF($L$2:$L2395,$L2395)=1,1,0))</f>
        <v>0</v>
      </c>
      <c r="N2395" t="str">
        <f t="shared" si="561"/>
        <v/>
      </c>
      <c r="O2395" t="str">
        <f t="shared" si="562"/>
        <v/>
      </c>
      <c r="P2395">
        <f>IF($A2395="",0,IF(COUNTIF($O$2:$O2395,$O2395)=1,1,0))</f>
        <v>0</v>
      </c>
      <c r="Q2395" t="str">
        <f>IF(AND($P2395=1,$A2395=经营数据!$B$3,$J2395=经营数据!$BA$5),COUNTIFS($P$2:$P$3000,1,$A$2:$A$3000,$A2395,$J$2:$J$3000,$J2395,$N$2:$N$3000,"&lt;"&amp;$N2395)+1,"")</f>
        <v/>
      </c>
      <c r="R2395" t="str">
        <f t="shared" si="563"/>
        <v/>
      </c>
      <c r="S2395">
        <f>IF($A2395="",0,IF(COUNTIF($R$2:$R2395,$R2395)=1,1,0))</f>
        <v>0</v>
      </c>
      <c r="T2395" t="str">
        <f t="shared" si="564"/>
        <v/>
      </c>
      <c r="U2395" t="str">
        <f>IF($A2395="","",IF($A2395=经营数据!$B$3,COUNTIFS($S$2:$S$3000,1,$A$2:$A$3000,$A2395,$T$2:$T$3000,"&lt;"&amp;$T2395)+1,""))</f>
        <v/>
      </c>
      <c r="V2395" t="str">
        <f t="shared" si="565"/>
        <v/>
      </c>
      <c r="W2395" t="str">
        <f t="shared" si="566"/>
        <v/>
      </c>
      <c r="X2395" t="str">
        <f t="shared" si="567"/>
        <v/>
      </c>
      <c r="Y2395" t="str">
        <f t="shared" si="568"/>
        <v/>
      </c>
      <c r="Z2395">
        <f>IF($A2395="",0,IF(AND($M2395=1,$A2395=经营数据!$B$3,$J2395=经营数据!$BA$5,OR($I2395=经营数据!$BA$4,COUNTIF(经营数据!$AA$9:$AA$38,$I2395)&gt;0)),1,0))</f>
        <v>0</v>
      </c>
      <c r="AA2395" t="str">
        <f t="shared" si="569"/>
        <v/>
      </c>
      <c r="AB2395" t="str">
        <f t="shared" si="570"/>
        <v/>
      </c>
      <c r="AC2395">
        <f>IF($A2395="",0,IF(COUNTIF($A$2:$A2395,$A2395)=1,1,0))</f>
        <v>0</v>
      </c>
      <c r="AD2395">
        <f t="shared" si="571"/>
        <v>29</v>
      </c>
      <c r="AE2395" t="str">
        <f t="shared" si="572"/>
        <v/>
      </c>
    </row>
    <row r="2396" spans="1:31" x14ac:dyDescent="0.4">
      <c r="A2396" t="str">
        <f>IF(原始经营数据!$D2397="","",原始经营数据!$D2397)</f>
        <v/>
      </c>
      <c r="B2396" t="str">
        <f>IF(原始经营数据!$D2397="","",T(原始经营数据!$E2397))</f>
        <v/>
      </c>
      <c r="C2396" t="str">
        <f>IF(原始经营数据!$D2397="","",原始经营数据!$F2397)</f>
        <v/>
      </c>
      <c r="D2396" t="str">
        <f>IF(原始经营数据!$D2397="","",原始经营数据!$H2397)</f>
        <v/>
      </c>
      <c r="E2396" t="str">
        <f>IF(原始经营数据!$D2397="","",原始经营数据!$I2397)</f>
        <v/>
      </c>
      <c r="F2396" t="str">
        <f>IF(原始经营数据!$D2397="","",T(原始经营数据!$J2397))</f>
        <v/>
      </c>
      <c r="G2396" t="str">
        <f>IF(原始经营数据!$D2397="","",T(原始经营数据!$K2397))</f>
        <v/>
      </c>
      <c r="H2396" t="str">
        <f>IF(原始经营数据!$D2397="","",原始经营数据!$G2397)</f>
        <v/>
      </c>
      <c r="I2396" t="str">
        <f>IF($A2396="","",IF($B2396&lt;&gt;"",$B2396,IF(COUNTIFS(原始经营数据!$D$3:$D$3001,$A2396,原始经营数据!$E$3:$E$3001,"",原始经营数据!$F$3:$F$3001,$C2396,原始经营数据!$H$3:$H$3001,$D2396,原始经营数据!$K$3:$K$3001,$G2396)&gt;1,"基金整体·来源"&amp;原始经营数据!$A2397,"基金整体")))</f>
        <v/>
      </c>
      <c r="J2396" t="str">
        <f t="shared" si="558"/>
        <v/>
      </c>
      <c r="K2396" t="str">
        <f t="shared" si="559"/>
        <v/>
      </c>
      <c r="L2396" t="str">
        <f t="shared" si="560"/>
        <v/>
      </c>
      <c r="M2396">
        <f>IF($A2396="",0,IF(COUNTIF($L$2:$L2396,$L2396)=1,1,0))</f>
        <v>0</v>
      </c>
      <c r="N2396" t="str">
        <f t="shared" si="561"/>
        <v/>
      </c>
      <c r="O2396" t="str">
        <f t="shared" si="562"/>
        <v/>
      </c>
      <c r="P2396">
        <f>IF($A2396="",0,IF(COUNTIF($O$2:$O2396,$O2396)=1,1,0))</f>
        <v>0</v>
      </c>
      <c r="Q2396" t="str">
        <f>IF(AND($P2396=1,$A2396=经营数据!$B$3,$J2396=经营数据!$BA$5),COUNTIFS($P$2:$P$3000,1,$A$2:$A$3000,$A2396,$J$2:$J$3000,$J2396,$N$2:$N$3000,"&lt;"&amp;$N2396)+1,"")</f>
        <v/>
      </c>
      <c r="R2396" t="str">
        <f t="shared" si="563"/>
        <v/>
      </c>
      <c r="S2396">
        <f>IF($A2396="",0,IF(COUNTIF($R$2:$R2396,$R2396)=1,1,0))</f>
        <v>0</v>
      </c>
      <c r="T2396" t="str">
        <f t="shared" si="564"/>
        <v/>
      </c>
      <c r="U2396" t="str">
        <f>IF($A2396="","",IF($A2396=经营数据!$B$3,COUNTIFS($S$2:$S$3000,1,$A$2:$A$3000,$A2396,$T$2:$T$3000,"&lt;"&amp;$T2396)+1,""))</f>
        <v/>
      </c>
      <c r="V2396" t="str">
        <f t="shared" si="565"/>
        <v/>
      </c>
      <c r="W2396" t="str">
        <f t="shared" si="566"/>
        <v/>
      </c>
      <c r="X2396" t="str">
        <f t="shared" si="567"/>
        <v/>
      </c>
      <c r="Y2396" t="str">
        <f t="shared" si="568"/>
        <v/>
      </c>
      <c r="Z2396">
        <f>IF($A2396="",0,IF(AND($M2396=1,$A2396=经营数据!$B$3,$J2396=经营数据!$BA$5,OR($I2396=经营数据!$BA$4,COUNTIF(经营数据!$AA$9:$AA$38,$I2396)&gt;0)),1,0))</f>
        <v>0</v>
      </c>
      <c r="AA2396" t="str">
        <f t="shared" si="569"/>
        <v/>
      </c>
      <c r="AB2396" t="str">
        <f t="shared" si="570"/>
        <v/>
      </c>
      <c r="AC2396">
        <f>IF($A2396="",0,IF(COUNTIF($A$2:$A2396,$A2396)=1,1,0))</f>
        <v>0</v>
      </c>
      <c r="AD2396">
        <f t="shared" si="571"/>
        <v>29</v>
      </c>
      <c r="AE2396" t="str">
        <f t="shared" si="572"/>
        <v/>
      </c>
    </row>
    <row r="2397" spans="1:31" x14ac:dyDescent="0.4">
      <c r="A2397" t="str">
        <f>IF(原始经营数据!$D2398="","",原始经营数据!$D2398)</f>
        <v/>
      </c>
      <c r="B2397" t="str">
        <f>IF(原始经营数据!$D2398="","",T(原始经营数据!$E2398))</f>
        <v/>
      </c>
      <c r="C2397" t="str">
        <f>IF(原始经营数据!$D2398="","",原始经营数据!$F2398)</f>
        <v/>
      </c>
      <c r="D2397" t="str">
        <f>IF(原始经营数据!$D2398="","",原始经营数据!$H2398)</f>
        <v/>
      </c>
      <c r="E2397" t="str">
        <f>IF(原始经营数据!$D2398="","",原始经营数据!$I2398)</f>
        <v/>
      </c>
      <c r="F2397" t="str">
        <f>IF(原始经营数据!$D2398="","",T(原始经营数据!$J2398))</f>
        <v/>
      </c>
      <c r="G2397" t="str">
        <f>IF(原始经营数据!$D2398="","",T(原始经营数据!$K2398))</f>
        <v/>
      </c>
      <c r="H2397" t="str">
        <f>IF(原始经营数据!$D2398="","",原始经营数据!$G2398)</f>
        <v/>
      </c>
      <c r="I2397" t="str">
        <f>IF($A2397="","",IF($B2397&lt;&gt;"",$B2397,IF(COUNTIFS(原始经营数据!$D$3:$D$3001,$A2397,原始经营数据!$E$3:$E$3001,"",原始经营数据!$F$3:$F$3001,$C2397,原始经营数据!$H$3:$H$3001,$D2397,原始经营数据!$K$3:$K$3001,$G2397)&gt;1,"基金整体·来源"&amp;原始经营数据!$A2398,"基金整体")))</f>
        <v/>
      </c>
      <c r="J2397" t="str">
        <f t="shared" si="558"/>
        <v/>
      </c>
      <c r="K2397" t="str">
        <f t="shared" si="559"/>
        <v/>
      </c>
      <c r="L2397" t="str">
        <f t="shared" si="560"/>
        <v/>
      </c>
      <c r="M2397">
        <f>IF($A2397="",0,IF(COUNTIF($L$2:$L2397,$L2397)=1,1,0))</f>
        <v>0</v>
      </c>
      <c r="N2397" t="str">
        <f t="shared" si="561"/>
        <v/>
      </c>
      <c r="O2397" t="str">
        <f t="shared" si="562"/>
        <v/>
      </c>
      <c r="P2397">
        <f>IF($A2397="",0,IF(COUNTIF($O$2:$O2397,$O2397)=1,1,0))</f>
        <v>0</v>
      </c>
      <c r="Q2397" t="str">
        <f>IF(AND($P2397=1,$A2397=经营数据!$B$3,$J2397=经营数据!$BA$5),COUNTIFS($P$2:$P$3000,1,$A$2:$A$3000,$A2397,$J$2:$J$3000,$J2397,$N$2:$N$3000,"&lt;"&amp;$N2397)+1,"")</f>
        <v/>
      </c>
      <c r="R2397" t="str">
        <f t="shared" si="563"/>
        <v/>
      </c>
      <c r="S2397">
        <f>IF($A2397="",0,IF(COUNTIF($R$2:$R2397,$R2397)=1,1,0))</f>
        <v>0</v>
      </c>
      <c r="T2397" t="str">
        <f t="shared" si="564"/>
        <v/>
      </c>
      <c r="U2397" t="str">
        <f>IF($A2397="","",IF($A2397=经营数据!$B$3,COUNTIFS($S$2:$S$3000,1,$A$2:$A$3000,$A2397,$T$2:$T$3000,"&lt;"&amp;$T2397)+1,""))</f>
        <v/>
      </c>
      <c r="V2397" t="str">
        <f t="shared" si="565"/>
        <v/>
      </c>
      <c r="W2397" t="str">
        <f t="shared" si="566"/>
        <v/>
      </c>
      <c r="X2397" t="str">
        <f t="shared" si="567"/>
        <v/>
      </c>
      <c r="Y2397" t="str">
        <f t="shared" si="568"/>
        <v/>
      </c>
      <c r="Z2397">
        <f>IF($A2397="",0,IF(AND($M2397=1,$A2397=经营数据!$B$3,$J2397=经营数据!$BA$5,OR($I2397=经营数据!$BA$4,COUNTIF(经营数据!$AA$9:$AA$38,$I2397)&gt;0)),1,0))</f>
        <v>0</v>
      </c>
      <c r="AA2397" t="str">
        <f t="shared" si="569"/>
        <v/>
      </c>
      <c r="AB2397" t="str">
        <f t="shared" si="570"/>
        <v/>
      </c>
      <c r="AC2397">
        <f>IF($A2397="",0,IF(COUNTIF($A$2:$A2397,$A2397)=1,1,0))</f>
        <v>0</v>
      </c>
      <c r="AD2397">
        <f t="shared" si="571"/>
        <v>29</v>
      </c>
      <c r="AE2397" t="str">
        <f t="shared" si="572"/>
        <v/>
      </c>
    </row>
    <row r="2398" spans="1:31" x14ac:dyDescent="0.4">
      <c r="A2398" t="str">
        <f>IF(原始经营数据!$D2399="","",原始经营数据!$D2399)</f>
        <v/>
      </c>
      <c r="B2398" t="str">
        <f>IF(原始经营数据!$D2399="","",T(原始经营数据!$E2399))</f>
        <v/>
      </c>
      <c r="C2398" t="str">
        <f>IF(原始经营数据!$D2399="","",原始经营数据!$F2399)</f>
        <v/>
      </c>
      <c r="D2398" t="str">
        <f>IF(原始经营数据!$D2399="","",原始经营数据!$H2399)</f>
        <v/>
      </c>
      <c r="E2398" t="str">
        <f>IF(原始经营数据!$D2399="","",原始经营数据!$I2399)</f>
        <v/>
      </c>
      <c r="F2398" t="str">
        <f>IF(原始经营数据!$D2399="","",T(原始经营数据!$J2399))</f>
        <v/>
      </c>
      <c r="G2398" t="str">
        <f>IF(原始经营数据!$D2399="","",T(原始经营数据!$K2399))</f>
        <v/>
      </c>
      <c r="H2398" t="str">
        <f>IF(原始经营数据!$D2399="","",原始经营数据!$G2399)</f>
        <v/>
      </c>
      <c r="I2398" t="str">
        <f>IF($A2398="","",IF($B2398&lt;&gt;"",$B2398,IF(COUNTIFS(原始经营数据!$D$3:$D$3001,$A2398,原始经营数据!$E$3:$E$3001,"",原始经营数据!$F$3:$F$3001,$C2398,原始经营数据!$H$3:$H$3001,$D2398,原始经营数据!$K$3:$K$3001,$G2398)&gt;1,"基金整体·来源"&amp;原始经营数据!$A2399,"基金整体")))</f>
        <v/>
      </c>
      <c r="J2398" t="str">
        <f t="shared" si="558"/>
        <v/>
      </c>
      <c r="K2398" t="str">
        <f t="shared" si="559"/>
        <v/>
      </c>
      <c r="L2398" t="str">
        <f t="shared" si="560"/>
        <v/>
      </c>
      <c r="M2398">
        <f>IF($A2398="",0,IF(COUNTIF($L$2:$L2398,$L2398)=1,1,0))</f>
        <v>0</v>
      </c>
      <c r="N2398" t="str">
        <f t="shared" si="561"/>
        <v/>
      </c>
      <c r="O2398" t="str">
        <f t="shared" si="562"/>
        <v/>
      </c>
      <c r="P2398">
        <f>IF($A2398="",0,IF(COUNTIF($O$2:$O2398,$O2398)=1,1,0))</f>
        <v>0</v>
      </c>
      <c r="Q2398" t="str">
        <f>IF(AND($P2398=1,$A2398=经营数据!$B$3,$J2398=经营数据!$BA$5),COUNTIFS($P$2:$P$3000,1,$A$2:$A$3000,$A2398,$J$2:$J$3000,$J2398,$N$2:$N$3000,"&lt;"&amp;$N2398)+1,"")</f>
        <v/>
      </c>
      <c r="R2398" t="str">
        <f t="shared" si="563"/>
        <v/>
      </c>
      <c r="S2398">
        <f>IF($A2398="",0,IF(COUNTIF($R$2:$R2398,$R2398)=1,1,0))</f>
        <v>0</v>
      </c>
      <c r="T2398" t="str">
        <f t="shared" si="564"/>
        <v/>
      </c>
      <c r="U2398" t="str">
        <f>IF($A2398="","",IF($A2398=经营数据!$B$3,COUNTIFS($S$2:$S$3000,1,$A$2:$A$3000,$A2398,$T$2:$T$3000,"&lt;"&amp;$T2398)+1,""))</f>
        <v/>
      </c>
      <c r="V2398" t="str">
        <f t="shared" si="565"/>
        <v/>
      </c>
      <c r="W2398" t="str">
        <f t="shared" si="566"/>
        <v/>
      </c>
      <c r="X2398" t="str">
        <f t="shared" si="567"/>
        <v/>
      </c>
      <c r="Y2398" t="str">
        <f t="shared" si="568"/>
        <v/>
      </c>
      <c r="Z2398">
        <f>IF($A2398="",0,IF(AND($M2398=1,$A2398=经营数据!$B$3,$J2398=经营数据!$BA$5,OR($I2398=经营数据!$BA$4,COUNTIF(经营数据!$AA$9:$AA$38,$I2398)&gt;0)),1,0))</f>
        <v>0</v>
      </c>
      <c r="AA2398" t="str">
        <f t="shared" si="569"/>
        <v/>
      </c>
      <c r="AB2398" t="str">
        <f t="shared" si="570"/>
        <v/>
      </c>
      <c r="AC2398">
        <f>IF($A2398="",0,IF(COUNTIF($A$2:$A2398,$A2398)=1,1,0))</f>
        <v>0</v>
      </c>
      <c r="AD2398">
        <f t="shared" si="571"/>
        <v>29</v>
      </c>
      <c r="AE2398" t="str">
        <f t="shared" si="572"/>
        <v/>
      </c>
    </row>
    <row r="2399" spans="1:31" x14ac:dyDescent="0.4">
      <c r="A2399" t="str">
        <f>IF(原始经营数据!$D2400="","",原始经营数据!$D2400)</f>
        <v/>
      </c>
      <c r="B2399" t="str">
        <f>IF(原始经营数据!$D2400="","",T(原始经营数据!$E2400))</f>
        <v/>
      </c>
      <c r="C2399" t="str">
        <f>IF(原始经营数据!$D2400="","",原始经营数据!$F2400)</f>
        <v/>
      </c>
      <c r="D2399" t="str">
        <f>IF(原始经营数据!$D2400="","",原始经营数据!$H2400)</f>
        <v/>
      </c>
      <c r="E2399" t="str">
        <f>IF(原始经营数据!$D2400="","",原始经营数据!$I2400)</f>
        <v/>
      </c>
      <c r="F2399" t="str">
        <f>IF(原始经营数据!$D2400="","",T(原始经营数据!$J2400))</f>
        <v/>
      </c>
      <c r="G2399" t="str">
        <f>IF(原始经营数据!$D2400="","",T(原始经营数据!$K2400))</f>
        <v/>
      </c>
      <c r="H2399" t="str">
        <f>IF(原始经营数据!$D2400="","",原始经营数据!$G2400)</f>
        <v/>
      </c>
      <c r="I2399" t="str">
        <f>IF($A2399="","",IF($B2399&lt;&gt;"",$B2399,IF(COUNTIFS(原始经营数据!$D$3:$D$3001,$A2399,原始经营数据!$E$3:$E$3001,"",原始经营数据!$F$3:$F$3001,$C2399,原始经营数据!$H$3:$H$3001,$D2399,原始经营数据!$K$3:$K$3001,$G2399)&gt;1,"基金整体·来源"&amp;原始经营数据!$A2400,"基金整体")))</f>
        <v/>
      </c>
      <c r="J2399" t="str">
        <f t="shared" si="558"/>
        <v/>
      </c>
      <c r="K2399" t="str">
        <f t="shared" si="559"/>
        <v/>
      </c>
      <c r="L2399" t="str">
        <f t="shared" si="560"/>
        <v/>
      </c>
      <c r="M2399">
        <f>IF($A2399="",0,IF(COUNTIF($L$2:$L2399,$L2399)=1,1,0))</f>
        <v>0</v>
      </c>
      <c r="N2399" t="str">
        <f t="shared" si="561"/>
        <v/>
      </c>
      <c r="O2399" t="str">
        <f t="shared" si="562"/>
        <v/>
      </c>
      <c r="P2399">
        <f>IF($A2399="",0,IF(COUNTIF($O$2:$O2399,$O2399)=1,1,0))</f>
        <v>0</v>
      </c>
      <c r="Q2399" t="str">
        <f>IF(AND($P2399=1,$A2399=经营数据!$B$3,$J2399=经营数据!$BA$5),COUNTIFS($P$2:$P$3000,1,$A$2:$A$3000,$A2399,$J$2:$J$3000,$J2399,$N$2:$N$3000,"&lt;"&amp;$N2399)+1,"")</f>
        <v/>
      </c>
      <c r="R2399" t="str">
        <f t="shared" si="563"/>
        <v/>
      </c>
      <c r="S2399">
        <f>IF($A2399="",0,IF(COUNTIF($R$2:$R2399,$R2399)=1,1,0))</f>
        <v>0</v>
      </c>
      <c r="T2399" t="str">
        <f t="shared" si="564"/>
        <v/>
      </c>
      <c r="U2399" t="str">
        <f>IF($A2399="","",IF($A2399=经营数据!$B$3,COUNTIFS($S$2:$S$3000,1,$A$2:$A$3000,$A2399,$T$2:$T$3000,"&lt;"&amp;$T2399)+1,""))</f>
        <v/>
      </c>
      <c r="V2399" t="str">
        <f t="shared" si="565"/>
        <v/>
      </c>
      <c r="W2399" t="str">
        <f t="shared" si="566"/>
        <v/>
      </c>
      <c r="X2399" t="str">
        <f t="shared" si="567"/>
        <v/>
      </c>
      <c r="Y2399" t="str">
        <f t="shared" si="568"/>
        <v/>
      </c>
      <c r="Z2399">
        <f>IF($A2399="",0,IF(AND($M2399=1,$A2399=经营数据!$B$3,$J2399=经营数据!$BA$5,OR($I2399=经营数据!$BA$4,COUNTIF(经营数据!$AA$9:$AA$38,$I2399)&gt;0)),1,0))</f>
        <v>0</v>
      </c>
      <c r="AA2399" t="str">
        <f t="shared" si="569"/>
        <v/>
      </c>
      <c r="AB2399" t="str">
        <f t="shared" si="570"/>
        <v/>
      </c>
      <c r="AC2399">
        <f>IF($A2399="",0,IF(COUNTIF($A$2:$A2399,$A2399)=1,1,0))</f>
        <v>0</v>
      </c>
      <c r="AD2399">
        <f t="shared" si="571"/>
        <v>29</v>
      </c>
      <c r="AE2399" t="str">
        <f t="shared" si="572"/>
        <v/>
      </c>
    </row>
    <row r="2400" spans="1:31" x14ac:dyDescent="0.4">
      <c r="A2400" t="str">
        <f>IF(原始经营数据!$D2401="","",原始经营数据!$D2401)</f>
        <v/>
      </c>
      <c r="B2400" t="str">
        <f>IF(原始经营数据!$D2401="","",T(原始经营数据!$E2401))</f>
        <v/>
      </c>
      <c r="C2400" t="str">
        <f>IF(原始经营数据!$D2401="","",原始经营数据!$F2401)</f>
        <v/>
      </c>
      <c r="D2400" t="str">
        <f>IF(原始经营数据!$D2401="","",原始经营数据!$H2401)</f>
        <v/>
      </c>
      <c r="E2400" t="str">
        <f>IF(原始经营数据!$D2401="","",原始经营数据!$I2401)</f>
        <v/>
      </c>
      <c r="F2400" t="str">
        <f>IF(原始经营数据!$D2401="","",T(原始经营数据!$J2401))</f>
        <v/>
      </c>
      <c r="G2400" t="str">
        <f>IF(原始经营数据!$D2401="","",T(原始经营数据!$K2401))</f>
        <v/>
      </c>
      <c r="H2400" t="str">
        <f>IF(原始经营数据!$D2401="","",原始经营数据!$G2401)</f>
        <v/>
      </c>
      <c r="I2400" t="str">
        <f>IF($A2400="","",IF($B2400&lt;&gt;"",$B2400,IF(COUNTIFS(原始经营数据!$D$3:$D$3001,$A2400,原始经营数据!$E$3:$E$3001,"",原始经营数据!$F$3:$F$3001,$C2400,原始经营数据!$H$3:$H$3001,$D2400,原始经营数据!$K$3:$K$3001,$G2400)&gt;1,"基金整体·来源"&amp;原始经营数据!$A2401,"基金整体")))</f>
        <v/>
      </c>
      <c r="J2400" t="str">
        <f t="shared" si="558"/>
        <v/>
      </c>
      <c r="K2400" t="str">
        <f t="shared" si="559"/>
        <v/>
      </c>
      <c r="L2400" t="str">
        <f t="shared" si="560"/>
        <v/>
      </c>
      <c r="M2400">
        <f>IF($A2400="",0,IF(COUNTIF($L$2:$L2400,$L2400)=1,1,0))</f>
        <v>0</v>
      </c>
      <c r="N2400" t="str">
        <f t="shared" si="561"/>
        <v/>
      </c>
      <c r="O2400" t="str">
        <f t="shared" si="562"/>
        <v/>
      </c>
      <c r="P2400">
        <f>IF($A2400="",0,IF(COUNTIF($O$2:$O2400,$O2400)=1,1,0))</f>
        <v>0</v>
      </c>
      <c r="Q2400" t="str">
        <f>IF(AND($P2400=1,$A2400=经营数据!$B$3,$J2400=经营数据!$BA$5),COUNTIFS($P$2:$P$3000,1,$A$2:$A$3000,$A2400,$J$2:$J$3000,$J2400,$N$2:$N$3000,"&lt;"&amp;$N2400)+1,"")</f>
        <v/>
      </c>
      <c r="R2400" t="str">
        <f t="shared" si="563"/>
        <v/>
      </c>
      <c r="S2400">
        <f>IF($A2400="",0,IF(COUNTIF($R$2:$R2400,$R2400)=1,1,0))</f>
        <v>0</v>
      </c>
      <c r="T2400" t="str">
        <f t="shared" si="564"/>
        <v/>
      </c>
      <c r="U2400" t="str">
        <f>IF($A2400="","",IF($A2400=经营数据!$B$3,COUNTIFS($S$2:$S$3000,1,$A$2:$A$3000,$A2400,$T$2:$T$3000,"&lt;"&amp;$T2400)+1,""))</f>
        <v/>
      </c>
      <c r="V2400" t="str">
        <f t="shared" si="565"/>
        <v/>
      </c>
      <c r="W2400" t="str">
        <f t="shared" si="566"/>
        <v/>
      </c>
      <c r="X2400" t="str">
        <f t="shared" si="567"/>
        <v/>
      </c>
      <c r="Y2400" t="str">
        <f t="shared" si="568"/>
        <v/>
      </c>
      <c r="Z2400">
        <f>IF($A2400="",0,IF(AND($M2400=1,$A2400=经营数据!$B$3,$J2400=经营数据!$BA$5,OR($I2400=经营数据!$BA$4,COUNTIF(经营数据!$AA$9:$AA$38,$I2400)&gt;0)),1,0))</f>
        <v>0</v>
      </c>
      <c r="AA2400" t="str">
        <f t="shared" si="569"/>
        <v/>
      </c>
      <c r="AB2400" t="str">
        <f t="shared" si="570"/>
        <v/>
      </c>
      <c r="AC2400">
        <f>IF($A2400="",0,IF(COUNTIF($A$2:$A2400,$A2400)=1,1,0))</f>
        <v>0</v>
      </c>
      <c r="AD2400">
        <f t="shared" si="571"/>
        <v>29</v>
      </c>
      <c r="AE2400" t="str">
        <f t="shared" si="572"/>
        <v/>
      </c>
    </row>
    <row r="2401" spans="1:31" x14ac:dyDescent="0.4">
      <c r="A2401" t="str">
        <f>IF(原始经营数据!$D2402="","",原始经营数据!$D2402)</f>
        <v/>
      </c>
      <c r="B2401" t="str">
        <f>IF(原始经营数据!$D2402="","",T(原始经营数据!$E2402))</f>
        <v/>
      </c>
      <c r="C2401" t="str">
        <f>IF(原始经营数据!$D2402="","",原始经营数据!$F2402)</f>
        <v/>
      </c>
      <c r="D2401" t="str">
        <f>IF(原始经营数据!$D2402="","",原始经营数据!$H2402)</f>
        <v/>
      </c>
      <c r="E2401" t="str">
        <f>IF(原始经营数据!$D2402="","",原始经营数据!$I2402)</f>
        <v/>
      </c>
      <c r="F2401" t="str">
        <f>IF(原始经营数据!$D2402="","",T(原始经营数据!$J2402))</f>
        <v/>
      </c>
      <c r="G2401" t="str">
        <f>IF(原始经营数据!$D2402="","",T(原始经营数据!$K2402))</f>
        <v/>
      </c>
      <c r="H2401" t="str">
        <f>IF(原始经营数据!$D2402="","",原始经营数据!$G2402)</f>
        <v/>
      </c>
      <c r="I2401" t="str">
        <f>IF($A2401="","",IF($B2401&lt;&gt;"",$B2401,IF(COUNTIFS(原始经营数据!$D$3:$D$3001,$A2401,原始经营数据!$E$3:$E$3001,"",原始经营数据!$F$3:$F$3001,$C2401,原始经营数据!$H$3:$H$3001,$D2401,原始经营数据!$K$3:$K$3001,$G2401)&gt;1,"基金整体·来源"&amp;原始经营数据!$A2402,"基金整体")))</f>
        <v/>
      </c>
      <c r="J2401" t="str">
        <f t="shared" si="558"/>
        <v/>
      </c>
      <c r="K2401" t="str">
        <f t="shared" si="559"/>
        <v/>
      </c>
      <c r="L2401" t="str">
        <f t="shared" si="560"/>
        <v/>
      </c>
      <c r="M2401">
        <f>IF($A2401="",0,IF(COUNTIF($L$2:$L2401,$L2401)=1,1,0))</f>
        <v>0</v>
      </c>
      <c r="N2401" t="str">
        <f t="shared" si="561"/>
        <v/>
      </c>
      <c r="O2401" t="str">
        <f t="shared" si="562"/>
        <v/>
      </c>
      <c r="P2401">
        <f>IF($A2401="",0,IF(COUNTIF($O$2:$O2401,$O2401)=1,1,0))</f>
        <v>0</v>
      </c>
      <c r="Q2401" t="str">
        <f>IF(AND($P2401=1,$A2401=经营数据!$B$3,$J2401=经营数据!$BA$5),COUNTIFS($P$2:$P$3000,1,$A$2:$A$3000,$A2401,$J$2:$J$3000,$J2401,$N$2:$N$3000,"&lt;"&amp;$N2401)+1,"")</f>
        <v/>
      </c>
      <c r="R2401" t="str">
        <f t="shared" si="563"/>
        <v/>
      </c>
      <c r="S2401">
        <f>IF($A2401="",0,IF(COUNTIF($R$2:$R2401,$R2401)=1,1,0))</f>
        <v>0</v>
      </c>
      <c r="T2401" t="str">
        <f t="shared" si="564"/>
        <v/>
      </c>
      <c r="U2401" t="str">
        <f>IF($A2401="","",IF($A2401=经营数据!$B$3,COUNTIFS($S$2:$S$3000,1,$A$2:$A$3000,$A2401,$T$2:$T$3000,"&lt;"&amp;$T2401)+1,""))</f>
        <v/>
      </c>
      <c r="V2401" t="str">
        <f t="shared" si="565"/>
        <v/>
      </c>
      <c r="W2401" t="str">
        <f t="shared" si="566"/>
        <v/>
      </c>
      <c r="X2401" t="str">
        <f t="shared" si="567"/>
        <v/>
      </c>
      <c r="Y2401" t="str">
        <f t="shared" si="568"/>
        <v/>
      </c>
      <c r="Z2401">
        <f>IF($A2401="",0,IF(AND($M2401=1,$A2401=经营数据!$B$3,$J2401=经营数据!$BA$5,OR($I2401=经营数据!$BA$4,COUNTIF(经营数据!$AA$9:$AA$38,$I2401)&gt;0)),1,0))</f>
        <v>0</v>
      </c>
      <c r="AA2401" t="str">
        <f t="shared" si="569"/>
        <v/>
      </c>
      <c r="AB2401" t="str">
        <f t="shared" si="570"/>
        <v/>
      </c>
      <c r="AC2401">
        <f>IF($A2401="",0,IF(COUNTIF($A$2:$A2401,$A2401)=1,1,0))</f>
        <v>0</v>
      </c>
      <c r="AD2401">
        <f t="shared" si="571"/>
        <v>29</v>
      </c>
      <c r="AE2401" t="str">
        <f t="shared" si="572"/>
        <v/>
      </c>
    </row>
    <row r="2402" spans="1:31" x14ac:dyDescent="0.4">
      <c r="A2402" t="str">
        <f>IF(原始经营数据!$D2403="","",原始经营数据!$D2403)</f>
        <v/>
      </c>
      <c r="B2402" t="str">
        <f>IF(原始经营数据!$D2403="","",T(原始经营数据!$E2403))</f>
        <v/>
      </c>
      <c r="C2402" t="str">
        <f>IF(原始经营数据!$D2403="","",原始经营数据!$F2403)</f>
        <v/>
      </c>
      <c r="D2402" t="str">
        <f>IF(原始经营数据!$D2403="","",原始经营数据!$H2403)</f>
        <v/>
      </c>
      <c r="E2402" t="str">
        <f>IF(原始经营数据!$D2403="","",原始经营数据!$I2403)</f>
        <v/>
      </c>
      <c r="F2402" t="str">
        <f>IF(原始经营数据!$D2403="","",T(原始经营数据!$J2403))</f>
        <v/>
      </c>
      <c r="G2402" t="str">
        <f>IF(原始经营数据!$D2403="","",T(原始经营数据!$K2403))</f>
        <v/>
      </c>
      <c r="H2402" t="str">
        <f>IF(原始经营数据!$D2403="","",原始经营数据!$G2403)</f>
        <v/>
      </c>
      <c r="I2402" t="str">
        <f>IF($A2402="","",IF($B2402&lt;&gt;"",$B2402,IF(COUNTIFS(原始经营数据!$D$3:$D$3001,$A2402,原始经营数据!$E$3:$E$3001,"",原始经营数据!$F$3:$F$3001,$C2402,原始经营数据!$H$3:$H$3001,$D2402,原始经营数据!$K$3:$K$3001,$G2402)&gt;1,"基金整体·来源"&amp;原始经营数据!$A2403,"基金整体")))</f>
        <v/>
      </c>
      <c r="J2402" t="str">
        <f t="shared" si="558"/>
        <v/>
      </c>
      <c r="K2402" t="str">
        <f t="shared" si="559"/>
        <v/>
      </c>
      <c r="L2402" t="str">
        <f t="shared" si="560"/>
        <v/>
      </c>
      <c r="M2402">
        <f>IF($A2402="",0,IF(COUNTIF($L$2:$L2402,$L2402)=1,1,0))</f>
        <v>0</v>
      </c>
      <c r="N2402" t="str">
        <f t="shared" si="561"/>
        <v/>
      </c>
      <c r="O2402" t="str">
        <f t="shared" si="562"/>
        <v/>
      </c>
      <c r="P2402">
        <f>IF($A2402="",0,IF(COUNTIF($O$2:$O2402,$O2402)=1,1,0))</f>
        <v>0</v>
      </c>
      <c r="Q2402" t="str">
        <f>IF(AND($P2402=1,$A2402=经营数据!$B$3,$J2402=经营数据!$BA$5),COUNTIFS($P$2:$P$3000,1,$A$2:$A$3000,$A2402,$J$2:$J$3000,$J2402,$N$2:$N$3000,"&lt;"&amp;$N2402)+1,"")</f>
        <v/>
      </c>
      <c r="R2402" t="str">
        <f t="shared" si="563"/>
        <v/>
      </c>
      <c r="S2402">
        <f>IF($A2402="",0,IF(COUNTIF($R$2:$R2402,$R2402)=1,1,0))</f>
        <v>0</v>
      </c>
      <c r="T2402" t="str">
        <f t="shared" si="564"/>
        <v/>
      </c>
      <c r="U2402" t="str">
        <f>IF($A2402="","",IF($A2402=经营数据!$B$3,COUNTIFS($S$2:$S$3000,1,$A$2:$A$3000,$A2402,$T$2:$T$3000,"&lt;"&amp;$T2402)+1,""))</f>
        <v/>
      </c>
      <c r="V2402" t="str">
        <f t="shared" si="565"/>
        <v/>
      </c>
      <c r="W2402" t="str">
        <f t="shared" si="566"/>
        <v/>
      </c>
      <c r="X2402" t="str">
        <f t="shared" si="567"/>
        <v/>
      </c>
      <c r="Y2402" t="str">
        <f t="shared" si="568"/>
        <v/>
      </c>
      <c r="Z2402">
        <f>IF($A2402="",0,IF(AND($M2402=1,$A2402=经营数据!$B$3,$J2402=经营数据!$BA$5,OR($I2402=经营数据!$BA$4,COUNTIF(经营数据!$AA$9:$AA$38,$I2402)&gt;0)),1,0))</f>
        <v>0</v>
      </c>
      <c r="AA2402" t="str">
        <f t="shared" si="569"/>
        <v/>
      </c>
      <c r="AB2402" t="str">
        <f t="shared" si="570"/>
        <v/>
      </c>
      <c r="AC2402">
        <f>IF($A2402="",0,IF(COUNTIF($A$2:$A2402,$A2402)=1,1,0))</f>
        <v>0</v>
      </c>
      <c r="AD2402">
        <f t="shared" si="571"/>
        <v>29</v>
      </c>
      <c r="AE2402" t="str">
        <f t="shared" si="572"/>
        <v/>
      </c>
    </row>
    <row r="2403" spans="1:31" x14ac:dyDescent="0.4">
      <c r="A2403" t="str">
        <f>IF(原始经营数据!$D2404="","",原始经营数据!$D2404)</f>
        <v/>
      </c>
      <c r="B2403" t="str">
        <f>IF(原始经营数据!$D2404="","",T(原始经营数据!$E2404))</f>
        <v/>
      </c>
      <c r="C2403" t="str">
        <f>IF(原始经营数据!$D2404="","",原始经营数据!$F2404)</f>
        <v/>
      </c>
      <c r="D2403" t="str">
        <f>IF(原始经营数据!$D2404="","",原始经营数据!$H2404)</f>
        <v/>
      </c>
      <c r="E2403" t="str">
        <f>IF(原始经营数据!$D2404="","",原始经营数据!$I2404)</f>
        <v/>
      </c>
      <c r="F2403" t="str">
        <f>IF(原始经营数据!$D2404="","",T(原始经营数据!$J2404))</f>
        <v/>
      </c>
      <c r="G2403" t="str">
        <f>IF(原始经营数据!$D2404="","",T(原始经营数据!$K2404))</f>
        <v/>
      </c>
      <c r="H2403" t="str">
        <f>IF(原始经营数据!$D2404="","",原始经营数据!$G2404)</f>
        <v/>
      </c>
      <c r="I2403" t="str">
        <f>IF($A2403="","",IF($B2403&lt;&gt;"",$B2403,IF(COUNTIFS(原始经营数据!$D$3:$D$3001,$A2403,原始经营数据!$E$3:$E$3001,"",原始经营数据!$F$3:$F$3001,$C2403,原始经营数据!$H$3:$H$3001,$D2403,原始经营数据!$K$3:$K$3001,$G2403)&gt;1,"基金整体·来源"&amp;原始经营数据!$A2404,"基金整体")))</f>
        <v/>
      </c>
      <c r="J2403" t="str">
        <f t="shared" si="558"/>
        <v/>
      </c>
      <c r="K2403" t="str">
        <f t="shared" si="559"/>
        <v/>
      </c>
      <c r="L2403" t="str">
        <f t="shared" si="560"/>
        <v/>
      </c>
      <c r="M2403">
        <f>IF($A2403="",0,IF(COUNTIF($L$2:$L2403,$L2403)=1,1,0))</f>
        <v>0</v>
      </c>
      <c r="N2403" t="str">
        <f t="shared" si="561"/>
        <v/>
      </c>
      <c r="O2403" t="str">
        <f t="shared" si="562"/>
        <v/>
      </c>
      <c r="P2403">
        <f>IF($A2403="",0,IF(COUNTIF($O$2:$O2403,$O2403)=1,1,0))</f>
        <v>0</v>
      </c>
      <c r="Q2403" t="str">
        <f>IF(AND($P2403=1,$A2403=经营数据!$B$3,$J2403=经营数据!$BA$5),COUNTIFS($P$2:$P$3000,1,$A$2:$A$3000,$A2403,$J$2:$J$3000,$J2403,$N$2:$N$3000,"&lt;"&amp;$N2403)+1,"")</f>
        <v/>
      </c>
      <c r="R2403" t="str">
        <f t="shared" si="563"/>
        <v/>
      </c>
      <c r="S2403">
        <f>IF($A2403="",0,IF(COUNTIF($R$2:$R2403,$R2403)=1,1,0))</f>
        <v>0</v>
      </c>
      <c r="T2403" t="str">
        <f t="shared" si="564"/>
        <v/>
      </c>
      <c r="U2403" t="str">
        <f>IF($A2403="","",IF($A2403=经营数据!$B$3,COUNTIFS($S$2:$S$3000,1,$A$2:$A$3000,$A2403,$T$2:$T$3000,"&lt;"&amp;$T2403)+1,""))</f>
        <v/>
      </c>
      <c r="V2403" t="str">
        <f t="shared" si="565"/>
        <v/>
      </c>
      <c r="W2403" t="str">
        <f t="shared" si="566"/>
        <v/>
      </c>
      <c r="X2403" t="str">
        <f t="shared" si="567"/>
        <v/>
      </c>
      <c r="Y2403" t="str">
        <f t="shared" si="568"/>
        <v/>
      </c>
      <c r="Z2403">
        <f>IF($A2403="",0,IF(AND($M2403=1,$A2403=经营数据!$B$3,$J2403=经营数据!$BA$5,OR($I2403=经营数据!$BA$4,COUNTIF(经营数据!$AA$9:$AA$38,$I2403)&gt;0)),1,0))</f>
        <v>0</v>
      </c>
      <c r="AA2403" t="str">
        <f t="shared" si="569"/>
        <v/>
      </c>
      <c r="AB2403" t="str">
        <f t="shared" si="570"/>
        <v/>
      </c>
      <c r="AC2403">
        <f>IF($A2403="",0,IF(COUNTIF($A$2:$A2403,$A2403)=1,1,0))</f>
        <v>0</v>
      </c>
      <c r="AD2403">
        <f t="shared" si="571"/>
        <v>29</v>
      </c>
      <c r="AE2403" t="str">
        <f t="shared" si="572"/>
        <v/>
      </c>
    </row>
    <row r="2404" spans="1:31" x14ac:dyDescent="0.4">
      <c r="A2404" t="str">
        <f>IF(原始经营数据!$D2405="","",原始经营数据!$D2405)</f>
        <v/>
      </c>
      <c r="B2404" t="str">
        <f>IF(原始经营数据!$D2405="","",T(原始经营数据!$E2405))</f>
        <v/>
      </c>
      <c r="C2404" t="str">
        <f>IF(原始经营数据!$D2405="","",原始经营数据!$F2405)</f>
        <v/>
      </c>
      <c r="D2404" t="str">
        <f>IF(原始经营数据!$D2405="","",原始经营数据!$H2405)</f>
        <v/>
      </c>
      <c r="E2404" t="str">
        <f>IF(原始经营数据!$D2405="","",原始经营数据!$I2405)</f>
        <v/>
      </c>
      <c r="F2404" t="str">
        <f>IF(原始经营数据!$D2405="","",T(原始经营数据!$J2405))</f>
        <v/>
      </c>
      <c r="G2404" t="str">
        <f>IF(原始经营数据!$D2405="","",T(原始经营数据!$K2405))</f>
        <v/>
      </c>
      <c r="H2404" t="str">
        <f>IF(原始经营数据!$D2405="","",原始经营数据!$G2405)</f>
        <v/>
      </c>
      <c r="I2404" t="str">
        <f>IF($A2404="","",IF($B2404&lt;&gt;"",$B2404,IF(COUNTIFS(原始经营数据!$D$3:$D$3001,$A2404,原始经营数据!$E$3:$E$3001,"",原始经营数据!$F$3:$F$3001,$C2404,原始经营数据!$H$3:$H$3001,$D2404,原始经营数据!$K$3:$K$3001,$G2404)&gt;1,"基金整体·来源"&amp;原始经营数据!$A2405,"基金整体")))</f>
        <v/>
      </c>
      <c r="J2404" t="str">
        <f t="shared" si="558"/>
        <v/>
      </c>
      <c r="K2404" t="str">
        <f t="shared" si="559"/>
        <v/>
      </c>
      <c r="L2404" t="str">
        <f t="shared" si="560"/>
        <v/>
      </c>
      <c r="M2404">
        <f>IF($A2404="",0,IF(COUNTIF($L$2:$L2404,$L2404)=1,1,0))</f>
        <v>0</v>
      </c>
      <c r="N2404" t="str">
        <f t="shared" si="561"/>
        <v/>
      </c>
      <c r="O2404" t="str">
        <f t="shared" si="562"/>
        <v/>
      </c>
      <c r="P2404">
        <f>IF($A2404="",0,IF(COUNTIF($O$2:$O2404,$O2404)=1,1,0))</f>
        <v>0</v>
      </c>
      <c r="Q2404" t="str">
        <f>IF(AND($P2404=1,$A2404=经营数据!$B$3,$J2404=经营数据!$BA$5),COUNTIFS($P$2:$P$3000,1,$A$2:$A$3000,$A2404,$J$2:$J$3000,$J2404,$N$2:$N$3000,"&lt;"&amp;$N2404)+1,"")</f>
        <v/>
      </c>
      <c r="R2404" t="str">
        <f t="shared" si="563"/>
        <v/>
      </c>
      <c r="S2404">
        <f>IF($A2404="",0,IF(COUNTIF($R$2:$R2404,$R2404)=1,1,0))</f>
        <v>0</v>
      </c>
      <c r="T2404" t="str">
        <f t="shared" si="564"/>
        <v/>
      </c>
      <c r="U2404" t="str">
        <f>IF($A2404="","",IF($A2404=经营数据!$B$3,COUNTIFS($S$2:$S$3000,1,$A$2:$A$3000,$A2404,$T$2:$T$3000,"&lt;"&amp;$T2404)+1,""))</f>
        <v/>
      </c>
      <c r="V2404" t="str">
        <f t="shared" si="565"/>
        <v/>
      </c>
      <c r="W2404" t="str">
        <f t="shared" si="566"/>
        <v/>
      </c>
      <c r="X2404" t="str">
        <f t="shared" si="567"/>
        <v/>
      </c>
      <c r="Y2404" t="str">
        <f t="shared" si="568"/>
        <v/>
      </c>
      <c r="Z2404">
        <f>IF($A2404="",0,IF(AND($M2404=1,$A2404=经营数据!$B$3,$J2404=经营数据!$BA$5,OR($I2404=经营数据!$BA$4,COUNTIF(经营数据!$AA$9:$AA$38,$I2404)&gt;0)),1,0))</f>
        <v>0</v>
      </c>
      <c r="AA2404" t="str">
        <f t="shared" si="569"/>
        <v/>
      </c>
      <c r="AB2404" t="str">
        <f t="shared" si="570"/>
        <v/>
      </c>
      <c r="AC2404">
        <f>IF($A2404="",0,IF(COUNTIF($A$2:$A2404,$A2404)=1,1,0))</f>
        <v>0</v>
      </c>
      <c r="AD2404">
        <f t="shared" si="571"/>
        <v>29</v>
      </c>
      <c r="AE2404" t="str">
        <f t="shared" si="572"/>
        <v/>
      </c>
    </row>
    <row r="2405" spans="1:31" x14ac:dyDescent="0.4">
      <c r="A2405" t="str">
        <f>IF(原始经营数据!$D2406="","",原始经营数据!$D2406)</f>
        <v/>
      </c>
      <c r="B2405" t="str">
        <f>IF(原始经营数据!$D2406="","",T(原始经营数据!$E2406))</f>
        <v/>
      </c>
      <c r="C2405" t="str">
        <f>IF(原始经营数据!$D2406="","",原始经营数据!$F2406)</f>
        <v/>
      </c>
      <c r="D2405" t="str">
        <f>IF(原始经营数据!$D2406="","",原始经营数据!$H2406)</f>
        <v/>
      </c>
      <c r="E2405" t="str">
        <f>IF(原始经营数据!$D2406="","",原始经营数据!$I2406)</f>
        <v/>
      </c>
      <c r="F2405" t="str">
        <f>IF(原始经营数据!$D2406="","",T(原始经营数据!$J2406))</f>
        <v/>
      </c>
      <c r="G2405" t="str">
        <f>IF(原始经营数据!$D2406="","",T(原始经营数据!$K2406))</f>
        <v/>
      </c>
      <c r="H2405" t="str">
        <f>IF(原始经营数据!$D2406="","",原始经营数据!$G2406)</f>
        <v/>
      </c>
      <c r="I2405" t="str">
        <f>IF($A2405="","",IF($B2405&lt;&gt;"",$B2405,IF(COUNTIFS(原始经营数据!$D$3:$D$3001,$A2405,原始经营数据!$E$3:$E$3001,"",原始经营数据!$F$3:$F$3001,$C2405,原始经营数据!$H$3:$H$3001,$D2405,原始经营数据!$K$3:$K$3001,$G2405)&gt;1,"基金整体·来源"&amp;原始经营数据!$A2406,"基金整体")))</f>
        <v/>
      </c>
      <c r="J2405" t="str">
        <f t="shared" si="558"/>
        <v/>
      </c>
      <c r="K2405" t="str">
        <f t="shared" si="559"/>
        <v/>
      </c>
      <c r="L2405" t="str">
        <f t="shared" si="560"/>
        <v/>
      </c>
      <c r="M2405">
        <f>IF($A2405="",0,IF(COUNTIF($L$2:$L2405,$L2405)=1,1,0))</f>
        <v>0</v>
      </c>
      <c r="N2405" t="str">
        <f t="shared" si="561"/>
        <v/>
      </c>
      <c r="O2405" t="str">
        <f t="shared" si="562"/>
        <v/>
      </c>
      <c r="P2405">
        <f>IF($A2405="",0,IF(COUNTIF($O$2:$O2405,$O2405)=1,1,0))</f>
        <v>0</v>
      </c>
      <c r="Q2405" t="str">
        <f>IF(AND($P2405=1,$A2405=经营数据!$B$3,$J2405=经营数据!$BA$5),COUNTIFS($P$2:$P$3000,1,$A$2:$A$3000,$A2405,$J$2:$J$3000,$J2405,$N$2:$N$3000,"&lt;"&amp;$N2405)+1,"")</f>
        <v/>
      </c>
      <c r="R2405" t="str">
        <f t="shared" si="563"/>
        <v/>
      </c>
      <c r="S2405">
        <f>IF($A2405="",0,IF(COUNTIF($R$2:$R2405,$R2405)=1,1,0))</f>
        <v>0</v>
      </c>
      <c r="T2405" t="str">
        <f t="shared" si="564"/>
        <v/>
      </c>
      <c r="U2405" t="str">
        <f>IF($A2405="","",IF($A2405=经营数据!$B$3,COUNTIFS($S$2:$S$3000,1,$A$2:$A$3000,$A2405,$T$2:$T$3000,"&lt;"&amp;$T2405)+1,""))</f>
        <v/>
      </c>
      <c r="V2405" t="str">
        <f t="shared" si="565"/>
        <v/>
      </c>
      <c r="W2405" t="str">
        <f t="shared" si="566"/>
        <v/>
      </c>
      <c r="X2405" t="str">
        <f t="shared" si="567"/>
        <v/>
      </c>
      <c r="Y2405" t="str">
        <f t="shared" si="568"/>
        <v/>
      </c>
      <c r="Z2405">
        <f>IF($A2405="",0,IF(AND($M2405=1,$A2405=经营数据!$B$3,$J2405=经营数据!$BA$5,OR($I2405=经营数据!$BA$4,COUNTIF(经营数据!$AA$9:$AA$38,$I2405)&gt;0)),1,0))</f>
        <v>0</v>
      </c>
      <c r="AA2405" t="str">
        <f t="shared" si="569"/>
        <v/>
      </c>
      <c r="AB2405" t="str">
        <f t="shared" si="570"/>
        <v/>
      </c>
      <c r="AC2405">
        <f>IF($A2405="",0,IF(COUNTIF($A$2:$A2405,$A2405)=1,1,0))</f>
        <v>0</v>
      </c>
      <c r="AD2405">
        <f t="shared" si="571"/>
        <v>29</v>
      </c>
      <c r="AE2405" t="str">
        <f t="shared" si="572"/>
        <v/>
      </c>
    </row>
    <row r="2406" spans="1:31" x14ac:dyDescent="0.4">
      <c r="A2406" t="str">
        <f>IF(原始经营数据!$D2407="","",原始经营数据!$D2407)</f>
        <v/>
      </c>
      <c r="B2406" t="str">
        <f>IF(原始经营数据!$D2407="","",T(原始经营数据!$E2407))</f>
        <v/>
      </c>
      <c r="C2406" t="str">
        <f>IF(原始经营数据!$D2407="","",原始经营数据!$F2407)</f>
        <v/>
      </c>
      <c r="D2406" t="str">
        <f>IF(原始经营数据!$D2407="","",原始经营数据!$H2407)</f>
        <v/>
      </c>
      <c r="E2406" t="str">
        <f>IF(原始经营数据!$D2407="","",原始经营数据!$I2407)</f>
        <v/>
      </c>
      <c r="F2406" t="str">
        <f>IF(原始经营数据!$D2407="","",T(原始经营数据!$J2407))</f>
        <v/>
      </c>
      <c r="G2406" t="str">
        <f>IF(原始经营数据!$D2407="","",T(原始经营数据!$K2407))</f>
        <v/>
      </c>
      <c r="H2406" t="str">
        <f>IF(原始经营数据!$D2407="","",原始经营数据!$G2407)</f>
        <v/>
      </c>
      <c r="I2406" t="str">
        <f>IF($A2406="","",IF($B2406&lt;&gt;"",$B2406,IF(COUNTIFS(原始经营数据!$D$3:$D$3001,$A2406,原始经营数据!$E$3:$E$3001,"",原始经营数据!$F$3:$F$3001,$C2406,原始经营数据!$H$3:$H$3001,$D2406,原始经营数据!$K$3:$K$3001,$G2406)&gt;1,"基金整体·来源"&amp;原始经营数据!$A2407,"基金整体")))</f>
        <v/>
      </c>
      <c r="J2406" t="str">
        <f t="shared" si="558"/>
        <v/>
      </c>
      <c r="K2406" t="str">
        <f t="shared" si="559"/>
        <v/>
      </c>
      <c r="L2406" t="str">
        <f t="shared" si="560"/>
        <v/>
      </c>
      <c r="M2406">
        <f>IF($A2406="",0,IF(COUNTIF($L$2:$L2406,$L2406)=1,1,0))</f>
        <v>0</v>
      </c>
      <c r="N2406" t="str">
        <f t="shared" si="561"/>
        <v/>
      </c>
      <c r="O2406" t="str">
        <f t="shared" si="562"/>
        <v/>
      </c>
      <c r="P2406">
        <f>IF($A2406="",0,IF(COUNTIF($O$2:$O2406,$O2406)=1,1,0))</f>
        <v>0</v>
      </c>
      <c r="Q2406" t="str">
        <f>IF(AND($P2406=1,$A2406=经营数据!$B$3,$J2406=经营数据!$BA$5),COUNTIFS($P$2:$P$3000,1,$A$2:$A$3000,$A2406,$J$2:$J$3000,$J2406,$N$2:$N$3000,"&lt;"&amp;$N2406)+1,"")</f>
        <v/>
      </c>
      <c r="R2406" t="str">
        <f t="shared" si="563"/>
        <v/>
      </c>
      <c r="S2406">
        <f>IF($A2406="",0,IF(COUNTIF($R$2:$R2406,$R2406)=1,1,0))</f>
        <v>0</v>
      </c>
      <c r="T2406" t="str">
        <f t="shared" si="564"/>
        <v/>
      </c>
      <c r="U2406" t="str">
        <f>IF($A2406="","",IF($A2406=经营数据!$B$3,COUNTIFS($S$2:$S$3000,1,$A$2:$A$3000,$A2406,$T$2:$T$3000,"&lt;"&amp;$T2406)+1,""))</f>
        <v/>
      </c>
      <c r="V2406" t="str">
        <f t="shared" si="565"/>
        <v/>
      </c>
      <c r="W2406" t="str">
        <f t="shared" si="566"/>
        <v/>
      </c>
      <c r="X2406" t="str">
        <f t="shared" si="567"/>
        <v/>
      </c>
      <c r="Y2406" t="str">
        <f t="shared" si="568"/>
        <v/>
      </c>
      <c r="Z2406">
        <f>IF($A2406="",0,IF(AND($M2406=1,$A2406=经营数据!$B$3,$J2406=经营数据!$BA$5,OR($I2406=经营数据!$BA$4,COUNTIF(经营数据!$AA$9:$AA$38,$I2406)&gt;0)),1,0))</f>
        <v>0</v>
      </c>
      <c r="AA2406" t="str">
        <f t="shared" si="569"/>
        <v/>
      </c>
      <c r="AB2406" t="str">
        <f t="shared" si="570"/>
        <v/>
      </c>
      <c r="AC2406">
        <f>IF($A2406="",0,IF(COUNTIF($A$2:$A2406,$A2406)=1,1,0))</f>
        <v>0</v>
      </c>
      <c r="AD2406">
        <f t="shared" si="571"/>
        <v>29</v>
      </c>
      <c r="AE2406" t="str">
        <f t="shared" si="572"/>
        <v/>
      </c>
    </row>
    <row r="2407" spans="1:31" x14ac:dyDescent="0.4">
      <c r="A2407" t="str">
        <f>IF(原始经营数据!$D2408="","",原始经营数据!$D2408)</f>
        <v/>
      </c>
      <c r="B2407" t="str">
        <f>IF(原始经营数据!$D2408="","",T(原始经营数据!$E2408))</f>
        <v/>
      </c>
      <c r="C2407" t="str">
        <f>IF(原始经营数据!$D2408="","",原始经营数据!$F2408)</f>
        <v/>
      </c>
      <c r="D2407" t="str">
        <f>IF(原始经营数据!$D2408="","",原始经营数据!$H2408)</f>
        <v/>
      </c>
      <c r="E2407" t="str">
        <f>IF(原始经营数据!$D2408="","",原始经营数据!$I2408)</f>
        <v/>
      </c>
      <c r="F2407" t="str">
        <f>IF(原始经营数据!$D2408="","",T(原始经营数据!$J2408))</f>
        <v/>
      </c>
      <c r="G2407" t="str">
        <f>IF(原始经营数据!$D2408="","",T(原始经营数据!$K2408))</f>
        <v/>
      </c>
      <c r="H2407" t="str">
        <f>IF(原始经营数据!$D2408="","",原始经营数据!$G2408)</f>
        <v/>
      </c>
      <c r="I2407" t="str">
        <f>IF($A2407="","",IF($B2407&lt;&gt;"",$B2407,IF(COUNTIFS(原始经营数据!$D$3:$D$3001,$A2407,原始经营数据!$E$3:$E$3001,"",原始经营数据!$F$3:$F$3001,$C2407,原始经营数据!$H$3:$H$3001,$D2407,原始经营数据!$K$3:$K$3001,$G2407)&gt;1,"基金整体·来源"&amp;原始经营数据!$A2408,"基金整体")))</f>
        <v/>
      </c>
      <c r="J2407" t="str">
        <f t="shared" si="558"/>
        <v/>
      </c>
      <c r="K2407" t="str">
        <f t="shared" si="559"/>
        <v/>
      </c>
      <c r="L2407" t="str">
        <f t="shared" si="560"/>
        <v/>
      </c>
      <c r="M2407">
        <f>IF($A2407="",0,IF(COUNTIF($L$2:$L2407,$L2407)=1,1,0))</f>
        <v>0</v>
      </c>
      <c r="N2407" t="str">
        <f t="shared" si="561"/>
        <v/>
      </c>
      <c r="O2407" t="str">
        <f t="shared" si="562"/>
        <v/>
      </c>
      <c r="P2407">
        <f>IF($A2407="",0,IF(COUNTIF($O$2:$O2407,$O2407)=1,1,0))</f>
        <v>0</v>
      </c>
      <c r="Q2407" t="str">
        <f>IF(AND($P2407=1,$A2407=经营数据!$B$3,$J2407=经营数据!$BA$5),COUNTIFS($P$2:$P$3000,1,$A$2:$A$3000,$A2407,$J$2:$J$3000,$J2407,$N$2:$N$3000,"&lt;"&amp;$N2407)+1,"")</f>
        <v/>
      </c>
      <c r="R2407" t="str">
        <f t="shared" si="563"/>
        <v/>
      </c>
      <c r="S2407">
        <f>IF($A2407="",0,IF(COUNTIF($R$2:$R2407,$R2407)=1,1,0))</f>
        <v>0</v>
      </c>
      <c r="T2407" t="str">
        <f t="shared" si="564"/>
        <v/>
      </c>
      <c r="U2407" t="str">
        <f>IF($A2407="","",IF($A2407=经营数据!$B$3,COUNTIFS($S$2:$S$3000,1,$A$2:$A$3000,$A2407,$T$2:$T$3000,"&lt;"&amp;$T2407)+1,""))</f>
        <v/>
      </c>
      <c r="V2407" t="str">
        <f t="shared" si="565"/>
        <v/>
      </c>
      <c r="W2407" t="str">
        <f t="shared" si="566"/>
        <v/>
      </c>
      <c r="X2407" t="str">
        <f t="shared" si="567"/>
        <v/>
      </c>
      <c r="Y2407" t="str">
        <f t="shared" si="568"/>
        <v/>
      </c>
      <c r="Z2407">
        <f>IF($A2407="",0,IF(AND($M2407=1,$A2407=经营数据!$B$3,$J2407=经营数据!$BA$5,OR($I2407=经营数据!$BA$4,COUNTIF(经营数据!$AA$9:$AA$38,$I2407)&gt;0)),1,0))</f>
        <v>0</v>
      </c>
      <c r="AA2407" t="str">
        <f t="shared" si="569"/>
        <v/>
      </c>
      <c r="AB2407" t="str">
        <f t="shared" si="570"/>
        <v/>
      </c>
      <c r="AC2407">
        <f>IF($A2407="",0,IF(COUNTIF($A$2:$A2407,$A2407)=1,1,0))</f>
        <v>0</v>
      </c>
      <c r="AD2407">
        <f t="shared" si="571"/>
        <v>29</v>
      </c>
      <c r="AE2407" t="str">
        <f t="shared" si="572"/>
        <v/>
      </c>
    </row>
    <row r="2408" spans="1:31" x14ac:dyDescent="0.4">
      <c r="A2408" t="str">
        <f>IF(原始经营数据!$D2409="","",原始经营数据!$D2409)</f>
        <v/>
      </c>
      <c r="B2408" t="str">
        <f>IF(原始经营数据!$D2409="","",T(原始经营数据!$E2409))</f>
        <v/>
      </c>
      <c r="C2408" t="str">
        <f>IF(原始经营数据!$D2409="","",原始经营数据!$F2409)</f>
        <v/>
      </c>
      <c r="D2408" t="str">
        <f>IF(原始经营数据!$D2409="","",原始经营数据!$H2409)</f>
        <v/>
      </c>
      <c r="E2408" t="str">
        <f>IF(原始经营数据!$D2409="","",原始经营数据!$I2409)</f>
        <v/>
      </c>
      <c r="F2408" t="str">
        <f>IF(原始经营数据!$D2409="","",T(原始经营数据!$J2409))</f>
        <v/>
      </c>
      <c r="G2408" t="str">
        <f>IF(原始经营数据!$D2409="","",T(原始经营数据!$K2409))</f>
        <v/>
      </c>
      <c r="H2408" t="str">
        <f>IF(原始经营数据!$D2409="","",原始经营数据!$G2409)</f>
        <v/>
      </c>
      <c r="I2408" t="str">
        <f>IF($A2408="","",IF($B2408&lt;&gt;"",$B2408,IF(COUNTIFS(原始经营数据!$D$3:$D$3001,$A2408,原始经营数据!$E$3:$E$3001,"",原始经营数据!$F$3:$F$3001,$C2408,原始经营数据!$H$3:$H$3001,$D2408,原始经营数据!$K$3:$K$3001,$G2408)&gt;1,"基金整体·来源"&amp;原始经营数据!$A2409,"基金整体")))</f>
        <v/>
      </c>
      <c r="J2408" t="str">
        <f t="shared" si="558"/>
        <v/>
      </c>
      <c r="K2408" t="str">
        <f t="shared" si="559"/>
        <v/>
      </c>
      <c r="L2408" t="str">
        <f t="shared" si="560"/>
        <v/>
      </c>
      <c r="M2408">
        <f>IF($A2408="",0,IF(COUNTIF($L$2:$L2408,$L2408)=1,1,0))</f>
        <v>0</v>
      </c>
      <c r="N2408" t="str">
        <f t="shared" si="561"/>
        <v/>
      </c>
      <c r="O2408" t="str">
        <f t="shared" si="562"/>
        <v/>
      </c>
      <c r="P2408">
        <f>IF($A2408="",0,IF(COUNTIF($O$2:$O2408,$O2408)=1,1,0))</f>
        <v>0</v>
      </c>
      <c r="Q2408" t="str">
        <f>IF(AND($P2408=1,$A2408=经营数据!$B$3,$J2408=经营数据!$BA$5),COUNTIFS($P$2:$P$3000,1,$A$2:$A$3000,$A2408,$J$2:$J$3000,$J2408,$N$2:$N$3000,"&lt;"&amp;$N2408)+1,"")</f>
        <v/>
      </c>
      <c r="R2408" t="str">
        <f t="shared" si="563"/>
        <v/>
      </c>
      <c r="S2408">
        <f>IF($A2408="",0,IF(COUNTIF($R$2:$R2408,$R2408)=1,1,0))</f>
        <v>0</v>
      </c>
      <c r="T2408" t="str">
        <f t="shared" si="564"/>
        <v/>
      </c>
      <c r="U2408" t="str">
        <f>IF($A2408="","",IF($A2408=经营数据!$B$3,COUNTIFS($S$2:$S$3000,1,$A$2:$A$3000,$A2408,$T$2:$T$3000,"&lt;"&amp;$T2408)+1,""))</f>
        <v/>
      </c>
      <c r="V2408" t="str">
        <f t="shared" si="565"/>
        <v/>
      </c>
      <c r="W2408" t="str">
        <f t="shared" si="566"/>
        <v/>
      </c>
      <c r="X2408" t="str">
        <f t="shared" si="567"/>
        <v/>
      </c>
      <c r="Y2408" t="str">
        <f t="shared" si="568"/>
        <v/>
      </c>
      <c r="Z2408">
        <f>IF($A2408="",0,IF(AND($M2408=1,$A2408=经营数据!$B$3,$J2408=经营数据!$BA$5,OR($I2408=经营数据!$BA$4,COUNTIF(经营数据!$AA$9:$AA$38,$I2408)&gt;0)),1,0))</f>
        <v>0</v>
      </c>
      <c r="AA2408" t="str">
        <f t="shared" si="569"/>
        <v/>
      </c>
      <c r="AB2408" t="str">
        <f t="shared" si="570"/>
        <v/>
      </c>
      <c r="AC2408">
        <f>IF($A2408="",0,IF(COUNTIF($A$2:$A2408,$A2408)=1,1,0))</f>
        <v>0</v>
      </c>
      <c r="AD2408">
        <f t="shared" si="571"/>
        <v>29</v>
      </c>
      <c r="AE2408" t="str">
        <f t="shared" si="572"/>
        <v/>
      </c>
    </row>
    <row r="2409" spans="1:31" x14ac:dyDescent="0.4">
      <c r="A2409" t="str">
        <f>IF(原始经营数据!$D2410="","",原始经营数据!$D2410)</f>
        <v/>
      </c>
      <c r="B2409" t="str">
        <f>IF(原始经营数据!$D2410="","",T(原始经营数据!$E2410))</f>
        <v/>
      </c>
      <c r="C2409" t="str">
        <f>IF(原始经营数据!$D2410="","",原始经营数据!$F2410)</f>
        <v/>
      </c>
      <c r="D2409" t="str">
        <f>IF(原始经营数据!$D2410="","",原始经营数据!$H2410)</f>
        <v/>
      </c>
      <c r="E2409" t="str">
        <f>IF(原始经营数据!$D2410="","",原始经营数据!$I2410)</f>
        <v/>
      </c>
      <c r="F2409" t="str">
        <f>IF(原始经营数据!$D2410="","",T(原始经营数据!$J2410))</f>
        <v/>
      </c>
      <c r="G2409" t="str">
        <f>IF(原始经营数据!$D2410="","",T(原始经营数据!$K2410))</f>
        <v/>
      </c>
      <c r="H2409" t="str">
        <f>IF(原始经营数据!$D2410="","",原始经营数据!$G2410)</f>
        <v/>
      </c>
      <c r="I2409" t="str">
        <f>IF($A2409="","",IF($B2409&lt;&gt;"",$B2409,IF(COUNTIFS(原始经营数据!$D$3:$D$3001,$A2409,原始经营数据!$E$3:$E$3001,"",原始经营数据!$F$3:$F$3001,$C2409,原始经营数据!$H$3:$H$3001,$D2409,原始经营数据!$K$3:$K$3001,$G2409)&gt;1,"基金整体·来源"&amp;原始经营数据!$A2410,"基金整体")))</f>
        <v/>
      </c>
      <c r="J2409" t="str">
        <f t="shared" si="558"/>
        <v/>
      </c>
      <c r="K2409" t="str">
        <f t="shared" si="559"/>
        <v/>
      </c>
      <c r="L2409" t="str">
        <f t="shared" si="560"/>
        <v/>
      </c>
      <c r="M2409">
        <f>IF($A2409="",0,IF(COUNTIF($L$2:$L2409,$L2409)=1,1,0))</f>
        <v>0</v>
      </c>
      <c r="N2409" t="str">
        <f t="shared" si="561"/>
        <v/>
      </c>
      <c r="O2409" t="str">
        <f t="shared" si="562"/>
        <v/>
      </c>
      <c r="P2409">
        <f>IF($A2409="",0,IF(COUNTIF($O$2:$O2409,$O2409)=1,1,0))</f>
        <v>0</v>
      </c>
      <c r="Q2409" t="str">
        <f>IF(AND($P2409=1,$A2409=经营数据!$B$3,$J2409=经营数据!$BA$5),COUNTIFS($P$2:$P$3000,1,$A$2:$A$3000,$A2409,$J$2:$J$3000,$J2409,$N$2:$N$3000,"&lt;"&amp;$N2409)+1,"")</f>
        <v/>
      </c>
      <c r="R2409" t="str">
        <f t="shared" si="563"/>
        <v/>
      </c>
      <c r="S2409">
        <f>IF($A2409="",0,IF(COUNTIF($R$2:$R2409,$R2409)=1,1,0))</f>
        <v>0</v>
      </c>
      <c r="T2409" t="str">
        <f t="shared" si="564"/>
        <v/>
      </c>
      <c r="U2409" t="str">
        <f>IF($A2409="","",IF($A2409=经营数据!$B$3,COUNTIFS($S$2:$S$3000,1,$A$2:$A$3000,$A2409,$T$2:$T$3000,"&lt;"&amp;$T2409)+1,""))</f>
        <v/>
      </c>
      <c r="V2409" t="str">
        <f t="shared" si="565"/>
        <v/>
      </c>
      <c r="W2409" t="str">
        <f t="shared" si="566"/>
        <v/>
      </c>
      <c r="X2409" t="str">
        <f t="shared" si="567"/>
        <v/>
      </c>
      <c r="Y2409" t="str">
        <f t="shared" si="568"/>
        <v/>
      </c>
      <c r="Z2409">
        <f>IF($A2409="",0,IF(AND($M2409=1,$A2409=经营数据!$B$3,$J2409=经营数据!$BA$5,OR($I2409=经营数据!$BA$4,COUNTIF(经营数据!$AA$9:$AA$38,$I2409)&gt;0)),1,0))</f>
        <v>0</v>
      </c>
      <c r="AA2409" t="str">
        <f t="shared" si="569"/>
        <v/>
      </c>
      <c r="AB2409" t="str">
        <f t="shared" si="570"/>
        <v/>
      </c>
      <c r="AC2409">
        <f>IF($A2409="",0,IF(COUNTIF($A$2:$A2409,$A2409)=1,1,0))</f>
        <v>0</v>
      </c>
      <c r="AD2409">
        <f t="shared" si="571"/>
        <v>29</v>
      </c>
      <c r="AE2409" t="str">
        <f t="shared" si="572"/>
        <v/>
      </c>
    </row>
    <row r="2410" spans="1:31" x14ac:dyDescent="0.4">
      <c r="A2410" t="str">
        <f>IF(原始经营数据!$D2411="","",原始经营数据!$D2411)</f>
        <v/>
      </c>
      <c r="B2410" t="str">
        <f>IF(原始经营数据!$D2411="","",T(原始经营数据!$E2411))</f>
        <v/>
      </c>
      <c r="C2410" t="str">
        <f>IF(原始经营数据!$D2411="","",原始经营数据!$F2411)</f>
        <v/>
      </c>
      <c r="D2410" t="str">
        <f>IF(原始经营数据!$D2411="","",原始经营数据!$H2411)</f>
        <v/>
      </c>
      <c r="E2410" t="str">
        <f>IF(原始经营数据!$D2411="","",原始经营数据!$I2411)</f>
        <v/>
      </c>
      <c r="F2410" t="str">
        <f>IF(原始经营数据!$D2411="","",T(原始经营数据!$J2411))</f>
        <v/>
      </c>
      <c r="G2410" t="str">
        <f>IF(原始经营数据!$D2411="","",T(原始经营数据!$K2411))</f>
        <v/>
      </c>
      <c r="H2410" t="str">
        <f>IF(原始经营数据!$D2411="","",原始经营数据!$G2411)</f>
        <v/>
      </c>
      <c r="I2410" t="str">
        <f>IF($A2410="","",IF($B2410&lt;&gt;"",$B2410,IF(COUNTIFS(原始经营数据!$D$3:$D$3001,$A2410,原始经营数据!$E$3:$E$3001,"",原始经营数据!$F$3:$F$3001,$C2410,原始经营数据!$H$3:$H$3001,$D2410,原始经营数据!$K$3:$K$3001,$G2410)&gt;1,"基金整体·来源"&amp;原始经营数据!$A2411,"基金整体")))</f>
        <v/>
      </c>
      <c r="J2410" t="str">
        <f t="shared" si="558"/>
        <v/>
      </c>
      <c r="K2410" t="str">
        <f t="shared" si="559"/>
        <v/>
      </c>
      <c r="L2410" t="str">
        <f t="shared" si="560"/>
        <v/>
      </c>
      <c r="M2410">
        <f>IF($A2410="",0,IF(COUNTIF($L$2:$L2410,$L2410)=1,1,0))</f>
        <v>0</v>
      </c>
      <c r="N2410" t="str">
        <f t="shared" si="561"/>
        <v/>
      </c>
      <c r="O2410" t="str">
        <f t="shared" si="562"/>
        <v/>
      </c>
      <c r="P2410">
        <f>IF($A2410="",0,IF(COUNTIF($O$2:$O2410,$O2410)=1,1,0))</f>
        <v>0</v>
      </c>
      <c r="Q2410" t="str">
        <f>IF(AND($P2410=1,$A2410=经营数据!$B$3,$J2410=经营数据!$BA$5),COUNTIFS($P$2:$P$3000,1,$A$2:$A$3000,$A2410,$J$2:$J$3000,$J2410,$N$2:$N$3000,"&lt;"&amp;$N2410)+1,"")</f>
        <v/>
      </c>
      <c r="R2410" t="str">
        <f t="shared" si="563"/>
        <v/>
      </c>
      <c r="S2410">
        <f>IF($A2410="",0,IF(COUNTIF($R$2:$R2410,$R2410)=1,1,0))</f>
        <v>0</v>
      </c>
      <c r="T2410" t="str">
        <f t="shared" si="564"/>
        <v/>
      </c>
      <c r="U2410" t="str">
        <f>IF($A2410="","",IF($A2410=经营数据!$B$3,COUNTIFS($S$2:$S$3000,1,$A$2:$A$3000,$A2410,$T$2:$T$3000,"&lt;"&amp;$T2410)+1,""))</f>
        <v/>
      </c>
      <c r="V2410" t="str">
        <f t="shared" si="565"/>
        <v/>
      </c>
      <c r="W2410" t="str">
        <f t="shared" si="566"/>
        <v/>
      </c>
      <c r="X2410" t="str">
        <f t="shared" si="567"/>
        <v/>
      </c>
      <c r="Y2410" t="str">
        <f t="shared" si="568"/>
        <v/>
      </c>
      <c r="Z2410">
        <f>IF($A2410="",0,IF(AND($M2410=1,$A2410=经营数据!$B$3,$J2410=经营数据!$BA$5,OR($I2410=经营数据!$BA$4,COUNTIF(经营数据!$AA$9:$AA$38,$I2410)&gt;0)),1,0))</f>
        <v>0</v>
      </c>
      <c r="AA2410" t="str">
        <f t="shared" si="569"/>
        <v/>
      </c>
      <c r="AB2410" t="str">
        <f t="shared" si="570"/>
        <v/>
      </c>
      <c r="AC2410">
        <f>IF($A2410="",0,IF(COUNTIF($A$2:$A2410,$A2410)=1,1,0))</f>
        <v>0</v>
      </c>
      <c r="AD2410">
        <f t="shared" si="571"/>
        <v>29</v>
      </c>
      <c r="AE2410" t="str">
        <f t="shared" si="572"/>
        <v/>
      </c>
    </row>
    <row r="2411" spans="1:31" x14ac:dyDescent="0.4">
      <c r="A2411" t="str">
        <f>IF(原始经营数据!$D2412="","",原始经营数据!$D2412)</f>
        <v/>
      </c>
      <c r="B2411" t="str">
        <f>IF(原始经营数据!$D2412="","",T(原始经营数据!$E2412))</f>
        <v/>
      </c>
      <c r="C2411" t="str">
        <f>IF(原始经营数据!$D2412="","",原始经营数据!$F2412)</f>
        <v/>
      </c>
      <c r="D2411" t="str">
        <f>IF(原始经营数据!$D2412="","",原始经营数据!$H2412)</f>
        <v/>
      </c>
      <c r="E2411" t="str">
        <f>IF(原始经营数据!$D2412="","",原始经营数据!$I2412)</f>
        <v/>
      </c>
      <c r="F2411" t="str">
        <f>IF(原始经营数据!$D2412="","",T(原始经营数据!$J2412))</f>
        <v/>
      </c>
      <c r="G2411" t="str">
        <f>IF(原始经营数据!$D2412="","",T(原始经营数据!$K2412))</f>
        <v/>
      </c>
      <c r="H2411" t="str">
        <f>IF(原始经营数据!$D2412="","",原始经营数据!$G2412)</f>
        <v/>
      </c>
      <c r="I2411" t="str">
        <f>IF($A2411="","",IF($B2411&lt;&gt;"",$B2411,IF(COUNTIFS(原始经营数据!$D$3:$D$3001,$A2411,原始经营数据!$E$3:$E$3001,"",原始经营数据!$F$3:$F$3001,$C2411,原始经营数据!$H$3:$H$3001,$D2411,原始经营数据!$K$3:$K$3001,$G2411)&gt;1,"基金整体·来源"&amp;原始经营数据!$A2412,"基金整体")))</f>
        <v/>
      </c>
      <c r="J2411" t="str">
        <f t="shared" si="558"/>
        <v/>
      </c>
      <c r="K2411" t="str">
        <f t="shared" si="559"/>
        <v/>
      </c>
      <c r="L2411" t="str">
        <f t="shared" si="560"/>
        <v/>
      </c>
      <c r="M2411">
        <f>IF($A2411="",0,IF(COUNTIF($L$2:$L2411,$L2411)=1,1,0))</f>
        <v>0</v>
      </c>
      <c r="N2411" t="str">
        <f t="shared" si="561"/>
        <v/>
      </c>
      <c r="O2411" t="str">
        <f t="shared" si="562"/>
        <v/>
      </c>
      <c r="P2411">
        <f>IF($A2411="",0,IF(COUNTIF($O$2:$O2411,$O2411)=1,1,0))</f>
        <v>0</v>
      </c>
      <c r="Q2411" t="str">
        <f>IF(AND($P2411=1,$A2411=经营数据!$B$3,$J2411=经营数据!$BA$5),COUNTIFS($P$2:$P$3000,1,$A$2:$A$3000,$A2411,$J$2:$J$3000,$J2411,$N$2:$N$3000,"&lt;"&amp;$N2411)+1,"")</f>
        <v/>
      </c>
      <c r="R2411" t="str">
        <f t="shared" si="563"/>
        <v/>
      </c>
      <c r="S2411">
        <f>IF($A2411="",0,IF(COUNTIF($R$2:$R2411,$R2411)=1,1,0))</f>
        <v>0</v>
      </c>
      <c r="T2411" t="str">
        <f t="shared" si="564"/>
        <v/>
      </c>
      <c r="U2411" t="str">
        <f>IF($A2411="","",IF($A2411=经营数据!$B$3,COUNTIFS($S$2:$S$3000,1,$A$2:$A$3000,$A2411,$T$2:$T$3000,"&lt;"&amp;$T2411)+1,""))</f>
        <v/>
      </c>
      <c r="V2411" t="str">
        <f t="shared" si="565"/>
        <v/>
      </c>
      <c r="W2411" t="str">
        <f t="shared" si="566"/>
        <v/>
      </c>
      <c r="X2411" t="str">
        <f t="shared" si="567"/>
        <v/>
      </c>
      <c r="Y2411" t="str">
        <f t="shared" si="568"/>
        <v/>
      </c>
      <c r="Z2411">
        <f>IF($A2411="",0,IF(AND($M2411=1,$A2411=经营数据!$B$3,$J2411=经营数据!$BA$5,OR($I2411=经营数据!$BA$4,COUNTIF(经营数据!$AA$9:$AA$38,$I2411)&gt;0)),1,0))</f>
        <v>0</v>
      </c>
      <c r="AA2411" t="str">
        <f t="shared" si="569"/>
        <v/>
      </c>
      <c r="AB2411" t="str">
        <f t="shared" si="570"/>
        <v/>
      </c>
      <c r="AC2411">
        <f>IF($A2411="",0,IF(COUNTIF($A$2:$A2411,$A2411)=1,1,0))</f>
        <v>0</v>
      </c>
      <c r="AD2411">
        <f t="shared" si="571"/>
        <v>29</v>
      </c>
      <c r="AE2411" t="str">
        <f t="shared" si="572"/>
        <v/>
      </c>
    </row>
    <row r="2412" spans="1:31" x14ac:dyDescent="0.4">
      <c r="A2412" t="str">
        <f>IF(原始经营数据!$D2413="","",原始经营数据!$D2413)</f>
        <v/>
      </c>
      <c r="B2412" t="str">
        <f>IF(原始经营数据!$D2413="","",T(原始经营数据!$E2413))</f>
        <v/>
      </c>
      <c r="C2412" t="str">
        <f>IF(原始经营数据!$D2413="","",原始经营数据!$F2413)</f>
        <v/>
      </c>
      <c r="D2412" t="str">
        <f>IF(原始经营数据!$D2413="","",原始经营数据!$H2413)</f>
        <v/>
      </c>
      <c r="E2412" t="str">
        <f>IF(原始经营数据!$D2413="","",原始经营数据!$I2413)</f>
        <v/>
      </c>
      <c r="F2412" t="str">
        <f>IF(原始经营数据!$D2413="","",T(原始经营数据!$J2413))</f>
        <v/>
      </c>
      <c r="G2412" t="str">
        <f>IF(原始经营数据!$D2413="","",T(原始经营数据!$K2413))</f>
        <v/>
      </c>
      <c r="H2412" t="str">
        <f>IF(原始经营数据!$D2413="","",原始经营数据!$G2413)</f>
        <v/>
      </c>
      <c r="I2412" t="str">
        <f>IF($A2412="","",IF($B2412&lt;&gt;"",$B2412,IF(COUNTIFS(原始经营数据!$D$3:$D$3001,$A2412,原始经营数据!$E$3:$E$3001,"",原始经营数据!$F$3:$F$3001,$C2412,原始经营数据!$H$3:$H$3001,$D2412,原始经营数据!$K$3:$K$3001,$G2412)&gt;1,"基金整体·来源"&amp;原始经营数据!$A2413,"基金整体")))</f>
        <v/>
      </c>
      <c r="J2412" t="str">
        <f t="shared" si="558"/>
        <v/>
      </c>
      <c r="K2412" t="str">
        <f t="shared" si="559"/>
        <v/>
      </c>
      <c r="L2412" t="str">
        <f t="shared" si="560"/>
        <v/>
      </c>
      <c r="M2412">
        <f>IF($A2412="",0,IF(COUNTIF($L$2:$L2412,$L2412)=1,1,0))</f>
        <v>0</v>
      </c>
      <c r="N2412" t="str">
        <f t="shared" si="561"/>
        <v/>
      </c>
      <c r="O2412" t="str">
        <f t="shared" si="562"/>
        <v/>
      </c>
      <c r="P2412">
        <f>IF($A2412="",0,IF(COUNTIF($O$2:$O2412,$O2412)=1,1,0))</f>
        <v>0</v>
      </c>
      <c r="Q2412" t="str">
        <f>IF(AND($P2412=1,$A2412=经营数据!$B$3,$J2412=经营数据!$BA$5),COUNTIFS($P$2:$P$3000,1,$A$2:$A$3000,$A2412,$J$2:$J$3000,$J2412,$N$2:$N$3000,"&lt;"&amp;$N2412)+1,"")</f>
        <v/>
      </c>
      <c r="R2412" t="str">
        <f t="shared" si="563"/>
        <v/>
      </c>
      <c r="S2412">
        <f>IF($A2412="",0,IF(COUNTIF($R$2:$R2412,$R2412)=1,1,0))</f>
        <v>0</v>
      </c>
      <c r="T2412" t="str">
        <f t="shared" si="564"/>
        <v/>
      </c>
      <c r="U2412" t="str">
        <f>IF($A2412="","",IF($A2412=经营数据!$B$3,COUNTIFS($S$2:$S$3000,1,$A$2:$A$3000,$A2412,$T$2:$T$3000,"&lt;"&amp;$T2412)+1,""))</f>
        <v/>
      </c>
      <c r="V2412" t="str">
        <f t="shared" si="565"/>
        <v/>
      </c>
      <c r="W2412" t="str">
        <f t="shared" si="566"/>
        <v/>
      </c>
      <c r="X2412" t="str">
        <f t="shared" si="567"/>
        <v/>
      </c>
      <c r="Y2412" t="str">
        <f t="shared" si="568"/>
        <v/>
      </c>
      <c r="Z2412">
        <f>IF($A2412="",0,IF(AND($M2412=1,$A2412=经营数据!$B$3,$J2412=经营数据!$BA$5,OR($I2412=经营数据!$BA$4,COUNTIF(经营数据!$AA$9:$AA$38,$I2412)&gt;0)),1,0))</f>
        <v>0</v>
      </c>
      <c r="AA2412" t="str">
        <f t="shared" si="569"/>
        <v/>
      </c>
      <c r="AB2412" t="str">
        <f t="shared" si="570"/>
        <v/>
      </c>
      <c r="AC2412">
        <f>IF($A2412="",0,IF(COUNTIF($A$2:$A2412,$A2412)=1,1,0))</f>
        <v>0</v>
      </c>
      <c r="AD2412">
        <f t="shared" si="571"/>
        <v>29</v>
      </c>
      <c r="AE2412" t="str">
        <f t="shared" si="572"/>
        <v/>
      </c>
    </row>
    <row r="2413" spans="1:31" x14ac:dyDescent="0.4">
      <c r="A2413" t="str">
        <f>IF(原始经营数据!$D2414="","",原始经营数据!$D2414)</f>
        <v/>
      </c>
      <c r="B2413" t="str">
        <f>IF(原始经营数据!$D2414="","",T(原始经营数据!$E2414))</f>
        <v/>
      </c>
      <c r="C2413" t="str">
        <f>IF(原始经营数据!$D2414="","",原始经营数据!$F2414)</f>
        <v/>
      </c>
      <c r="D2413" t="str">
        <f>IF(原始经营数据!$D2414="","",原始经营数据!$H2414)</f>
        <v/>
      </c>
      <c r="E2413" t="str">
        <f>IF(原始经营数据!$D2414="","",原始经营数据!$I2414)</f>
        <v/>
      </c>
      <c r="F2413" t="str">
        <f>IF(原始经营数据!$D2414="","",T(原始经营数据!$J2414))</f>
        <v/>
      </c>
      <c r="G2413" t="str">
        <f>IF(原始经营数据!$D2414="","",T(原始经营数据!$K2414))</f>
        <v/>
      </c>
      <c r="H2413" t="str">
        <f>IF(原始经营数据!$D2414="","",原始经营数据!$G2414)</f>
        <v/>
      </c>
      <c r="I2413" t="str">
        <f>IF($A2413="","",IF($B2413&lt;&gt;"",$B2413,IF(COUNTIFS(原始经营数据!$D$3:$D$3001,$A2413,原始经营数据!$E$3:$E$3001,"",原始经营数据!$F$3:$F$3001,$C2413,原始经营数据!$H$3:$H$3001,$D2413,原始经营数据!$K$3:$K$3001,$G2413)&gt;1,"基金整体·来源"&amp;原始经营数据!$A2414,"基金整体")))</f>
        <v/>
      </c>
      <c r="J2413" t="str">
        <f t="shared" si="558"/>
        <v/>
      </c>
      <c r="K2413" t="str">
        <f t="shared" si="559"/>
        <v/>
      </c>
      <c r="L2413" t="str">
        <f t="shared" si="560"/>
        <v/>
      </c>
      <c r="M2413">
        <f>IF($A2413="",0,IF(COUNTIF($L$2:$L2413,$L2413)=1,1,0))</f>
        <v>0</v>
      </c>
      <c r="N2413" t="str">
        <f t="shared" si="561"/>
        <v/>
      </c>
      <c r="O2413" t="str">
        <f t="shared" si="562"/>
        <v/>
      </c>
      <c r="P2413">
        <f>IF($A2413="",0,IF(COUNTIF($O$2:$O2413,$O2413)=1,1,0))</f>
        <v>0</v>
      </c>
      <c r="Q2413" t="str">
        <f>IF(AND($P2413=1,$A2413=经营数据!$B$3,$J2413=经营数据!$BA$5),COUNTIFS($P$2:$P$3000,1,$A$2:$A$3000,$A2413,$J$2:$J$3000,$J2413,$N$2:$N$3000,"&lt;"&amp;$N2413)+1,"")</f>
        <v/>
      </c>
      <c r="R2413" t="str">
        <f t="shared" si="563"/>
        <v/>
      </c>
      <c r="S2413">
        <f>IF($A2413="",0,IF(COUNTIF($R$2:$R2413,$R2413)=1,1,0))</f>
        <v>0</v>
      </c>
      <c r="T2413" t="str">
        <f t="shared" si="564"/>
        <v/>
      </c>
      <c r="U2413" t="str">
        <f>IF($A2413="","",IF($A2413=经营数据!$B$3,COUNTIFS($S$2:$S$3000,1,$A$2:$A$3000,$A2413,$T$2:$T$3000,"&lt;"&amp;$T2413)+1,""))</f>
        <v/>
      </c>
      <c r="V2413" t="str">
        <f t="shared" si="565"/>
        <v/>
      </c>
      <c r="W2413" t="str">
        <f t="shared" si="566"/>
        <v/>
      </c>
      <c r="X2413" t="str">
        <f t="shared" si="567"/>
        <v/>
      </c>
      <c r="Y2413" t="str">
        <f t="shared" si="568"/>
        <v/>
      </c>
      <c r="Z2413">
        <f>IF($A2413="",0,IF(AND($M2413=1,$A2413=经营数据!$B$3,$J2413=经营数据!$BA$5,OR($I2413=经营数据!$BA$4,COUNTIF(经营数据!$AA$9:$AA$38,$I2413)&gt;0)),1,0))</f>
        <v>0</v>
      </c>
      <c r="AA2413" t="str">
        <f t="shared" si="569"/>
        <v/>
      </c>
      <c r="AB2413" t="str">
        <f t="shared" si="570"/>
        <v/>
      </c>
      <c r="AC2413">
        <f>IF($A2413="",0,IF(COUNTIF($A$2:$A2413,$A2413)=1,1,0))</f>
        <v>0</v>
      </c>
      <c r="AD2413">
        <f t="shared" si="571"/>
        <v>29</v>
      </c>
      <c r="AE2413" t="str">
        <f t="shared" si="572"/>
        <v/>
      </c>
    </row>
    <row r="2414" spans="1:31" x14ac:dyDescent="0.4">
      <c r="A2414" t="str">
        <f>IF(原始经营数据!$D2415="","",原始经营数据!$D2415)</f>
        <v/>
      </c>
      <c r="B2414" t="str">
        <f>IF(原始经营数据!$D2415="","",T(原始经营数据!$E2415))</f>
        <v/>
      </c>
      <c r="C2414" t="str">
        <f>IF(原始经营数据!$D2415="","",原始经营数据!$F2415)</f>
        <v/>
      </c>
      <c r="D2414" t="str">
        <f>IF(原始经营数据!$D2415="","",原始经营数据!$H2415)</f>
        <v/>
      </c>
      <c r="E2414" t="str">
        <f>IF(原始经营数据!$D2415="","",原始经营数据!$I2415)</f>
        <v/>
      </c>
      <c r="F2414" t="str">
        <f>IF(原始经营数据!$D2415="","",T(原始经营数据!$J2415))</f>
        <v/>
      </c>
      <c r="G2414" t="str">
        <f>IF(原始经营数据!$D2415="","",T(原始经营数据!$K2415))</f>
        <v/>
      </c>
      <c r="H2414" t="str">
        <f>IF(原始经营数据!$D2415="","",原始经营数据!$G2415)</f>
        <v/>
      </c>
      <c r="I2414" t="str">
        <f>IF($A2414="","",IF($B2414&lt;&gt;"",$B2414,IF(COUNTIFS(原始经营数据!$D$3:$D$3001,$A2414,原始经营数据!$E$3:$E$3001,"",原始经营数据!$F$3:$F$3001,$C2414,原始经营数据!$H$3:$H$3001,$D2414,原始经营数据!$K$3:$K$3001,$G2414)&gt;1,"基金整体·来源"&amp;原始经营数据!$A2415,"基金整体")))</f>
        <v/>
      </c>
      <c r="J2414" t="str">
        <f t="shared" si="558"/>
        <v/>
      </c>
      <c r="K2414" t="str">
        <f t="shared" si="559"/>
        <v/>
      </c>
      <c r="L2414" t="str">
        <f t="shared" si="560"/>
        <v/>
      </c>
      <c r="M2414">
        <f>IF($A2414="",0,IF(COUNTIF($L$2:$L2414,$L2414)=1,1,0))</f>
        <v>0</v>
      </c>
      <c r="N2414" t="str">
        <f t="shared" si="561"/>
        <v/>
      </c>
      <c r="O2414" t="str">
        <f t="shared" si="562"/>
        <v/>
      </c>
      <c r="P2414">
        <f>IF($A2414="",0,IF(COUNTIF($O$2:$O2414,$O2414)=1,1,0))</f>
        <v>0</v>
      </c>
      <c r="Q2414" t="str">
        <f>IF(AND($P2414=1,$A2414=经营数据!$B$3,$J2414=经营数据!$BA$5),COUNTIFS($P$2:$P$3000,1,$A$2:$A$3000,$A2414,$J$2:$J$3000,$J2414,$N$2:$N$3000,"&lt;"&amp;$N2414)+1,"")</f>
        <v/>
      </c>
      <c r="R2414" t="str">
        <f t="shared" si="563"/>
        <v/>
      </c>
      <c r="S2414">
        <f>IF($A2414="",0,IF(COUNTIF($R$2:$R2414,$R2414)=1,1,0))</f>
        <v>0</v>
      </c>
      <c r="T2414" t="str">
        <f t="shared" si="564"/>
        <v/>
      </c>
      <c r="U2414" t="str">
        <f>IF($A2414="","",IF($A2414=经营数据!$B$3,COUNTIFS($S$2:$S$3000,1,$A$2:$A$3000,$A2414,$T$2:$T$3000,"&lt;"&amp;$T2414)+1,""))</f>
        <v/>
      </c>
      <c r="V2414" t="str">
        <f t="shared" si="565"/>
        <v/>
      </c>
      <c r="W2414" t="str">
        <f t="shared" si="566"/>
        <v/>
      </c>
      <c r="X2414" t="str">
        <f t="shared" si="567"/>
        <v/>
      </c>
      <c r="Y2414" t="str">
        <f t="shared" si="568"/>
        <v/>
      </c>
      <c r="Z2414">
        <f>IF($A2414="",0,IF(AND($M2414=1,$A2414=经营数据!$B$3,$J2414=经营数据!$BA$5,OR($I2414=经营数据!$BA$4,COUNTIF(经营数据!$AA$9:$AA$38,$I2414)&gt;0)),1,0))</f>
        <v>0</v>
      </c>
      <c r="AA2414" t="str">
        <f t="shared" si="569"/>
        <v/>
      </c>
      <c r="AB2414" t="str">
        <f t="shared" si="570"/>
        <v/>
      </c>
      <c r="AC2414">
        <f>IF($A2414="",0,IF(COUNTIF($A$2:$A2414,$A2414)=1,1,0))</f>
        <v>0</v>
      </c>
      <c r="AD2414">
        <f t="shared" si="571"/>
        <v>29</v>
      </c>
      <c r="AE2414" t="str">
        <f t="shared" si="572"/>
        <v/>
      </c>
    </row>
    <row r="2415" spans="1:31" x14ac:dyDescent="0.4">
      <c r="A2415" t="str">
        <f>IF(原始经营数据!$D2416="","",原始经营数据!$D2416)</f>
        <v/>
      </c>
      <c r="B2415" t="str">
        <f>IF(原始经营数据!$D2416="","",T(原始经营数据!$E2416))</f>
        <v/>
      </c>
      <c r="C2415" t="str">
        <f>IF(原始经营数据!$D2416="","",原始经营数据!$F2416)</f>
        <v/>
      </c>
      <c r="D2415" t="str">
        <f>IF(原始经营数据!$D2416="","",原始经营数据!$H2416)</f>
        <v/>
      </c>
      <c r="E2415" t="str">
        <f>IF(原始经营数据!$D2416="","",原始经营数据!$I2416)</f>
        <v/>
      </c>
      <c r="F2415" t="str">
        <f>IF(原始经营数据!$D2416="","",T(原始经营数据!$J2416))</f>
        <v/>
      </c>
      <c r="G2415" t="str">
        <f>IF(原始经营数据!$D2416="","",T(原始经营数据!$K2416))</f>
        <v/>
      </c>
      <c r="H2415" t="str">
        <f>IF(原始经营数据!$D2416="","",原始经营数据!$G2416)</f>
        <v/>
      </c>
      <c r="I2415" t="str">
        <f>IF($A2415="","",IF($B2415&lt;&gt;"",$B2415,IF(COUNTIFS(原始经营数据!$D$3:$D$3001,$A2415,原始经营数据!$E$3:$E$3001,"",原始经营数据!$F$3:$F$3001,$C2415,原始经营数据!$H$3:$H$3001,$D2415,原始经营数据!$K$3:$K$3001,$G2415)&gt;1,"基金整体·来源"&amp;原始经营数据!$A2416,"基金整体")))</f>
        <v/>
      </c>
      <c r="J2415" t="str">
        <f t="shared" si="558"/>
        <v/>
      </c>
      <c r="K2415" t="str">
        <f t="shared" si="559"/>
        <v/>
      </c>
      <c r="L2415" t="str">
        <f t="shared" si="560"/>
        <v/>
      </c>
      <c r="M2415">
        <f>IF($A2415="",0,IF(COUNTIF($L$2:$L2415,$L2415)=1,1,0))</f>
        <v>0</v>
      </c>
      <c r="N2415" t="str">
        <f t="shared" si="561"/>
        <v/>
      </c>
      <c r="O2415" t="str">
        <f t="shared" si="562"/>
        <v/>
      </c>
      <c r="P2415">
        <f>IF($A2415="",0,IF(COUNTIF($O$2:$O2415,$O2415)=1,1,0))</f>
        <v>0</v>
      </c>
      <c r="Q2415" t="str">
        <f>IF(AND($P2415=1,$A2415=经营数据!$B$3,$J2415=经营数据!$BA$5),COUNTIFS($P$2:$P$3000,1,$A$2:$A$3000,$A2415,$J$2:$J$3000,$J2415,$N$2:$N$3000,"&lt;"&amp;$N2415)+1,"")</f>
        <v/>
      </c>
      <c r="R2415" t="str">
        <f t="shared" si="563"/>
        <v/>
      </c>
      <c r="S2415">
        <f>IF($A2415="",0,IF(COUNTIF($R$2:$R2415,$R2415)=1,1,0))</f>
        <v>0</v>
      </c>
      <c r="T2415" t="str">
        <f t="shared" si="564"/>
        <v/>
      </c>
      <c r="U2415" t="str">
        <f>IF($A2415="","",IF($A2415=经营数据!$B$3,COUNTIFS($S$2:$S$3000,1,$A$2:$A$3000,$A2415,$T$2:$T$3000,"&lt;"&amp;$T2415)+1,""))</f>
        <v/>
      </c>
      <c r="V2415" t="str">
        <f t="shared" si="565"/>
        <v/>
      </c>
      <c r="W2415" t="str">
        <f t="shared" si="566"/>
        <v/>
      </c>
      <c r="X2415" t="str">
        <f t="shared" si="567"/>
        <v/>
      </c>
      <c r="Y2415" t="str">
        <f t="shared" si="568"/>
        <v/>
      </c>
      <c r="Z2415">
        <f>IF($A2415="",0,IF(AND($M2415=1,$A2415=经营数据!$B$3,$J2415=经营数据!$BA$5,OR($I2415=经营数据!$BA$4,COUNTIF(经营数据!$AA$9:$AA$38,$I2415)&gt;0)),1,0))</f>
        <v>0</v>
      </c>
      <c r="AA2415" t="str">
        <f t="shared" si="569"/>
        <v/>
      </c>
      <c r="AB2415" t="str">
        <f t="shared" si="570"/>
        <v/>
      </c>
      <c r="AC2415">
        <f>IF($A2415="",0,IF(COUNTIF($A$2:$A2415,$A2415)=1,1,0))</f>
        <v>0</v>
      </c>
      <c r="AD2415">
        <f t="shared" si="571"/>
        <v>29</v>
      </c>
      <c r="AE2415" t="str">
        <f t="shared" si="572"/>
        <v/>
      </c>
    </row>
    <row r="2416" spans="1:31" x14ac:dyDescent="0.4">
      <c r="A2416" t="str">
        <f>IF(原始经营数据!$D2417="","",原始经营数据!$D2417)</f>
        <v/>
      </c>
      <c r="B2416" t="str">
        <f>IF(原始经营数据!$D2417="","",T(原始经营数据!$E2417))</f>
        <v/>
      </c>
      <c r="C2416" t="str">
        <f>IF(原始经营数据!$D2417="","",原始经营数据!$F2417)</f>
        <v/>
      </c>
      <c r="D2416" t="str">
        <f>IF(原始经营数据!$D2417="","",原始经营数据!$H2417)</f>
        <v/>
      </c>
      <c r="E2416" t="str">
        <f>IF(原始经营数据!$D2417="","",原始经营数据!$I2417)</f>
        <v/>
      </c>
      <c r="F2416" t="str">
        <f>IF(原始经营数据!$D2417="","",T(原始经营数据!$J2417))</f>
        <v/>
      </c>
      <c r="G2416" t="str">
        <f>IF(原始经营数据!$D2417="","",T(原始经营数据!$K2417))</f>
        <v/>
      </c>
      <c r="H2416" t="str">
        <f>IF(原始经营数据!$D2417="","",原始经营数据!$G2417)</f>
        <v/>
      </c>
      <c r="I2416" t="str">
        <f>IF($A2416="","",IF($B2416&lt;&gt;"",$B2416,IF(COUNTIFS(原始经营数据!$D$3:$D$3001,$A2416,原始经营数据!$E$3:$E$3001,"",原始经营数据!$F$3:$F$3001,$C2416,原始经营数据!$H$3:$H$3001,$D2416,原始经营数据!$K$3:$K$3001,$G2416)&gt;1,"基金整体·来源"&amp;原始经营数据!$A2417,"基金整体")))</f>
        <v/>
      </c>
      <c r="J2416" t="str">
        <f t="shared" si="558"/>
        <v/>
      </c>
      <c r="K2416" t="str">
        <f t="shared" si="559"/>
        <v/>
      </c>
      <c r="L2416" t="str">
        <f t="shared" si="560"/>
        <v/>
      </c>
      <c r="M2416">
        <f>IF($A2416="",0,IF(COUNTIF($L$2:$L2416,$L2416)=1,1,0))</f>
        <v>0</v>
      </c>
      <c r="N2416" t="str">
        <f t="shared" si="561"/>
        <v/>
      </c>
      <c r="O2416" t="str">
        <f t="shared" si="562"/>
        <v/>
      </c>
      <c r="P2416">
        <f>IF($A2416="",0,IF(COUNTIF($O$2:$O2416,$O2416)=1,1,0))</f>
        <v>0</v>
      </c>
      <c r="Q2416" t="str">
        <f>IF(AND($P2416=1,$A2416=经营数据!$B$3,$J2416=经营数据!$BA$5),COUNTIFS($P$2:$P$3000,1,$A$2:$A$3000,$A2416,$J$2:$J$3000,$J2416,$N$2:$N$3000,"&lt;"&amp;$N2416)+1,"")</f>
        <v/>
      </c>
      <c r="R2416" t="str">
        <f t="shared" si="563"/>
        <v/>
      </c>
      <c r="S2416">
        <f>IF($A2416="",0,IF(COUNTIF($R$2:$R2416,$R2416)=1,1,0))</f>
        <v>0</v>
      </c>
      <c r="T2416" t="str">
        <f t="shared" si="564"/>
        <v/>
      </c>
      <c r="U2416" t="str">
        <f>IF($A2416="","",IF($A2416=经营数据!$B$3,COUNTIFS($S$2:$S$3000,1,$A$2:$A$3000,$A2416,$T$2:$T$3000,"&lt;"&amp;$T2416)+1,""))</f>
        <v/>
      </c>
      <c r="V2416" t="str">
        <f t="shared" si="565"/>
        <v/>
      </c>
      <c r="W2416" t="str">
        <f t="shared" si="566"/>
        <v/>
      </c>
      <c r="X2416" t="str">
        <f t="shared" si="567"/>
        <v/>
      </c>
      <c r="Y2416" t="str">
        <f t="shared" si="568"/>
        <v/>
      </c>
      <c r="Z2416">
        <f>IF($A2416="",0,IF(AND($M2416=1,$A2416=经营数据!$B$3,$J2416=经营数据!$BA$5,OR($I2416=经营数据!$BA$4,COUNTIF(经营数据!$AA$9:$AA$38,$I2416)&gt;0)),1,0))</f>
        <v>0</v>
      </c>
      <c r="AA2416" t="str">
        <f t="shared" si="569"/>
        <v/>
      </c>
      <c r="AB2416" t="str">
        <f t="shared" si="570"/>
        <v/>
      </c>
      <c r="AC2416">
        <f>IF($A2416="",0,IF(COUNTIF($A$2:$A2416,$A2416)=1,1,0))</f>
        <v>0</v>
      </c>
      <c r="AD2416">
        <f t="shared" si="571"/>
        <v>29</v>
      </c>
      <c r="AE2416" t="str">
        <f t="shared" si="572"/>
        <v/>
      </c>
    </row>
    <row r="2417" spans="1:31" x14ac:dyDescent="0.4">
      <c r="A2417" t="str">
        <f>IF(原始经营数据!$D2418="","",原始经营数据!$D2418)</f>
        <v/>
      </c>
      <c r="B2417" t="str">
        <f>IF(原始经营数据!$D2418="","",T(原始经营数据!$E2418))</f>
        <v/>
      </c>
      <c r="C2417" t="str">
        <f>IF(原始经营数据!$D2418="","",原始经营数据!$F2418)</f>
        <v/>
      </c>
      <c r="D2417" t="str">
        <f>IF(原始经营数据!$D2418="","",原始经营数据!$H2418)</f>
        <v/>
      </c>
      <c r="E2417" t="str">
        <f>IF(原始经营数据!$D2418="","",原始经营数据!$I2418)</f>
        <v/>
      </c>
      <c r="F2417" t="str">
        <f>IF(原始经营数据!$D2418="","",T(原始经营数据!$J2418))</f>
        <v/>
      </c>
      <c r="G2417" t="str">
        <f>IF(原始经营数据!$D2418="","",T(原始经营数据!$K2418))</f>
        <v/>
      </c>
      <c r="H2417" t="str">
        <f>IF(原始经营数据!$D2418="","",原始经营数据!$G2418)</f>
        <v/>
      </c>
      <c r="I2417" t="str">
        <f>IF($A2417="","",IF($B2417&lt;&gt;"",$B2417,IF(COUNTIFS(原始经营数据!$D$3:$D$3001,$A2417,原始经营数据!$E$3:$E$3001,"",原始经营数据!$F$3:$F$3001,$C2417,原始经营数据!$H$3:$H$3001,$D2417,原始经营数据!$K$3:$K$3001,$G2417)&gt;1,"基金整体·来源"&amp;原始经营数据!$A2418,"基金整体")))</f>
        <v/>
      </c>
      <c r="J2417" t="str">
        <f t="shared" si="558"/>
        <v/>
      </c>
      <c r="K2417" t="str">
        <f t="shared" si="559"/>
        <v/>
      </c>
      <c r="L2417" t="str">
        <f t="shared" si="560"/>
        <v/>
      </c>
      <c r="M2417">
        <f>IF($A2417="",0,IF(COUNTIF($L$2:$L2417,$L2417)=1,1,0))</f>
        <v>0</v>
      </c>
      <c r="N2417" t="str">
        <f t="shared" si="561"/>
        <v/>
      </c>
      <c r="O2417" t="str">
        <f t="shared" si="562"/>
        <v/>
      </c>
      <c r="P2417">
        <f>IF($A2417="",0,IF(COUNTIF($O$2:$O2417,$O2417)=1,1,0))</f>
        <v>0</v>
      </c>
      <c r="Q2417" t="str">
        <f>IF(AND($P2417=1,$A2417=经营数据!$B$3,$J2417=经营数据!$BA$5),COUNTIFS($P$2:$P$3000,1,$A$2:$A$3000,$A2417,$J$2:$J$3000,$J2417,$N$2:$N$3000,"&lt;"&amp;$N2417)+1,"")</f>
        <v/>
      </c>
      <c r="R2417" t="str">
        <f t="shared" si="563"/>
        <v/>
      </c>
      <c r="S2417">
        <f>IF($A2417="",0,IF(COUNTIF($R$2:$R2417,$R2417)=1,1,0))</f>
        <v>0</v>
      </c>
      <c r="T2417" t="str">
        <f t="shared" si="564"/>
        <v/>
      </c>
      <c r="U2417" t="str">
        <f>IF($A2417="","",IF($A2417=经营数据!$B$3,COUNTIFS($S$2:$S$3000,1,$A$2:$A$3000,$A2417,$T$2:$T$3000,"&lt;"&amp;$T2417)+1,""))</f>
        <v/>
      </c>
      <c r="V2417" t="str">
        <f t="shared" si="565"/>
        <v/>
      </c>
      <c r="W2417" t="str">
        <f t="shared" si="566"/>
        <v/>
      </c>
      <c r="X2417" t="str">
        <f t="shared" si="567"/>
        <v/>
      </c>
      <c r="Y2417" t="str">
        <f t="shared" si="568"/>
        <v/>
      </c>
      <c r="Z2417">
        <f>IF($A2417="",0,IF(AND($M2417=1,$A2417=经营数据!$B$3,$J2417=经营数据!$BA$5,OR($I2417=经营数据!$BA$4,COUNTIF(经营数据!$AA$9:$AA$38,$I2417)&gt;0)),1,0))</f>
        <v>0</v>
      </c>
      <c r="AA2417" t="str">
        <f t="shared" si="569"/>
        <v/>
      </c>
      <c r="AB2417" t="str">
        <f t="shared" si="570"/>
        <v/>
      </c>
      <c r="AC2417">
        <f>IF($A2417="",0,IF(COUNTIF($A$2:$A2417,$A2417)=1,1,0))</f>
        <v>0</v>
      </c>
      <c r="AD2417">
        <f t="shared" si="571"/>
        <v>29</v>
      </c>
      <c r="AE2417" t="str">
        <f t="shared" si="572"/>
        <v/>
      </c>
    </row>
    <row r="2418" spans="1:31" x14ac:dyDescent="0.4">
      <c r="A2418" t="str">
        <f>IF(原始经营数据!$D2419="","",原始经营数据!$D2419)</f>
        <v/>
      </c>
      <c r="B2418" t="str">
        <f>IF(原始经营数据!$D2419="","",T(原始经营数据!$E2419))</f>
        <v/>
      </c>
      <c r="C2418" t="str">
        <f>IF(原始经营数据!$D2419="","",原始经营数据!$F2419)</f>
        <v/>
      </c>
      <c r="D2418" t="str">
        <f>IF(原始经营数据!$D2419="","",原始经营数据!$H2419)</f>
        <v/>
      </c>
      <c r="E2418" t="str">
        <f>IF(原始经营数据!$D2419="","",原始经营数据!$I2419)</f>
        <v/>
      </c>
      <c r="F2418" t="str">
        <f>IF(原始经营数据!$D2419="","",T(原始经营数据!$J2419))</f>
        <v/>
      </c>
      <c r="G2418" t="str">
        <f>IF(原始经营数据!$D2419="","",T(原始经营数据!$K2419))</f>
        <v/>
      </c>
      <c r="H2418" t="str">
        <f>IF(原始经营数据!$D2419="","",原始经营数据!$G2419)</f>
        <v/>
      </c>
      <c r="I2418" t="str">
        <f>IF($A2418="","",IF($B2418&lt;&gt;"",$B2418,IF(COUNTIFS(原始经营数据!$D$3:$D$3001,$A2418,原始经营数据!$E$3:$E$3001,"",原始经营数据!$F$3:$F$3001,$C2418,原始经营数据!$H$3:$H$3001,$D2418,原始经营数据!$K$3:$K$3001,$G2418)&gt;1,"基金整体·来源"&amp;原始经营数据!$A2419,"基金整体")))</f>
        <v/>
      </c>
      <c r="J2418" t="str">
        <f t="shared" si="558"/>
        <v/>
      </c>
      <c r="K2418" t="str">
        <f t="shared" si="559"/>
        <v/>
      </c>
      <c r="L2418" t="str">
        <f t="shared" si="560"/>
        <v/>
      </c>
      <c r="M2418">
        <f>IF($A2418="",0,IF(COUNTIF($L$2:$L2418,$L2418)=1,1,0))</f>
        <v>0</v>
      </c>
      <c r="N2418" t="str">
        <f t="shared" si="561"/>
        <v/>
      </c>
      <c r="O2418" t="str">
        <f t="shared" si="562"/>
        <v/>
      </c>
      <c r="P2418">
        <f>IF($A2418="",0,IF(COUNTIF($O$2:$O2418,$O2418)=1,1,0))</f>
        <v>0</v>
      </c>
      <c r="Q2418" t="str">
        <f>IF(AND($P2418=1,$A2418=经营数据!$B$3,$J2418=经营数据!$BA$5),COUNTIFS($P$2:$P$3000,1,$A$2:$A$3000,$A2418,$J$2:$J$3000,$J2418,$N$2:$N$3000,"&lt;"&amp;$N2418)+1,"")</f>
        <v/>
      </c>
      <c r="R2418" t="str">
        <f t="shared" si="563"/>
        <v/>
      </c>
      <c r="S2418">
        <f>IF($A2418="",0,IF(COUNTIF($R$2:$R2418,$R2418)=1,1,0))</f>
        <v>0</v>
      </c>
      <c r="T2418" t="str">
        <f t="shared" si="564"/>
        <v/>
      </c>
      <c r="U2418" t="str">
        <f>IF($A2418="","",IF($A2418=经营数据!$B$3,COUNTIFS($S$2:$S$3000,1,$A$2:$A$3000,$A2418,$T$2:$T$3000,"&lt;"&amp;$T2418)+1,""))</f>
        <v/>
      </c>
      <c r="V2418" t="str">
        <f t="shared" si="565"/>
        <v/>
      </c>
      <c r="W2418" t="str">
        <f t="shared" si="566"/>
        <v/>
      </c>
      <c r="X2418" t="str">
        <f t="shared" si="567"/>
        <v/>
      </c>
      <c r="Y2418" t="str">
        <f t="shared" si="568"/>
        <v/>
      </c>
      <c r="Z2418">
        <f>IF($A2418="",0,IF(AND($M2418=1,$A2418=经营数据!$B$3,$J2418=经营数据!$BA$5,OR($I2418=经营数据!$BA$4,COUNTIF(经营数据!$AA$9:$AA$38,$I2418)&gt;0)),1,0))</f>
        <v>0</v>
      </c>
      <c r="AA2418" t="str">
        <f t="shared" si="569"/>
        <v/>
      </c>
      <c r="AB2418" t="str">
        <f t="shared" si="570"/>
        <v/>
      </c>
      <c r="AC2418">
        <f>IF($A2418="",0,IF(COUNTIF($A$2:$A2418,$A2418)=1,1,0))</f>
        <v>0</v>
      </c>
      <c r="AD2418">
        <f t="shared" si="571"/>
        <v>29</v>
      </c>
      <c r="AE2418" t="str">
        <f t="shared" si="572"/>
        <v/>
      </c>
    </row>
    <row r="2419" spans="1:31" x14ac:dyDescent="0.4">
      <c r="A2419" t="str">
        <f>IF(原始经营数据!$D2420="","",原始经营数据!$D2420)</f>
        <v/>
      </c>
      <c r="B2419" t="str">
        <f>IF(原始经营数据!$D2420="","",T(原始经营数据!$E2420))</f>
        <v/>
      </c>
      <c r="C2419" t="str">
        <f>IF(原始经营数据!$D2420="","",原始经营数据!$F2420)</f>
        <v/>
      </c>
      <c r="D2419" t="str">
        <f>IF(原始经营数据!$D2420="","",原始经营数据!$H2420)</f>
        <v/>
      </c>
      <c r="E2419" t="str">
        <f>IF(原始经营数据!$D2420="","",原始经营数据!$I2420)</f>
        <v/>
      </c>
      <c r="F2419" t="str">
        <f>IF(原始经营数据!$D2420="","",T(原始经营数据!$J2420))</f>
        <v/>
      </c>
      <c r="G2419" t="str">
        <f>IF(原始经营数据!$D2420="","",T(原始经营数据!$K2420))</f>
        <v/>
      </c>
      <c r="H2419" t="str">
        <f>IF(原始经营数据!$D2420="","",原始经营数据!$G2420)</f>
        <v/>
      </c>
      <c r="I2419" t="str">
        <f>IF($A2419="","",IF($B2419&lt;&gt;"",$B2419,IF(COUNTIFS(原始经营数据!$D$3:$D$3001,$A2419,原始经营数据!$E$3:$E$3001,"",原始经营数据!$F$3:$F$3001,$C2419,原始经营数据!$H$3:$H$3001,$D2419,原始经营数据!$K$3:$K$3001,$G2419)&gt;1,"基金整体·来源"&amp;原始经营数据!$A2420,"基金整体")))</f>
        <v/>
      </c>
      <c r="J2419" t="str">
        <f t="shared" si="558"/>
        <v/>
      </c>
      <c r="K2419" t="str">
        <f t="shared" si="559"/>
        <v/>
      </c>
      <c r="L2419" t="str">
        <f t="shared" si="560"/>
        <v/>
      </c>
      <c r="M2419">
        <f>IF($A2419="",0,IF(COUNTIF($L$2:$L2419,$L2419)=1,1,0))</f>
        <v>0</v>
      </c>
      <c r="N2419" t="str">
        <f t="shared" si="561"/>
        <v/>
      </c>
      <c r="O2419" t="str">
        <f t="shared" si="562"/>
        <v/>
      </c>
      <c r="P2419">
        <f>IF($A2419="",0,IF(COUNTIF($O$2:$O2419,$O2419)=1,1,0))</f>
        <v>0</v>
      </c>
      <c r="Q2419" t="str">
        <f>IF(AND($P2419=1,$A2419=经营数据!$B$3,$J2419=经营数据!$BA$5),COUNTIFS($P$2:$P$3000,1,$A$2:$A$3000,$A2419,$J$2:$J$3000,$J2419,$N$2:$N$3000,"&lt;"&amp;$N2419)+1,"")</f>
        <v/>
      </c>
      <c r="R2419" t="str">
        <f t="shared" si="563"/>
        <v/>
      </c>
      <c r="S2419">
        <f>IF($A2419="",0,IF(COUNTIF($R$2:$R2419,$R2419)=1,1,0))</f>
        <v>0</v>
      </c>
      <c r="T2419" t="str">
        <f t="shared" si="564"/>
        <v/>
      </c>
      <c r="U2419" t="str">
        <f>IF($A2419="","",IF($A2419=经营数据!$B$3,COUNTIFS($S$2:$S$3000,1,$A$2:$A$3000,$A2419,$T$2:$T$3000,"&lt;"&amp;$T2419)+1,""))</f>
        <v/>
      </c>
      <c r="V2419" t="str">
        <f t="shared" si="565"/>
        <v/>
      </c>
      <c r="W2419" t="str">
        <f t="shared" si="566"/>
        <v/>
      </c>
      <c r="X2419" t="str">
        <f t="shared" si="567"/>
        <v/>
      </c>
      <c r="Y2419" t="str">
        <f t="shared" si="568"/>
        <v/>
      </c>
      <c r="Z2419">
        <f>IF($A2419="",0,IF(AND($M2419=1,$A2419=经营数据!$B$3,$J2419=经营数据!$BA$5,OR($I2419=经营数据!$BA$4,COUNTIF(经营数据!$AA$9:$AA$38,$I2419)&gt;0)),1,0))</f>
        <v>0</v>
      </c>
      <c r="AA2419" t="str">
        <f t="shared" si="569"/>
        <v/>
      </c>
      <c r="AB2419" t="str">
        <f t="shared" si="570"/>
        <v/>
      </c>
      <c r="AC2419">
        <f>IF($A2419="",0,IF(COUNTIF($A$2:$A2419,$A2419)=1,1,0))</f>
        <v>0</v>
      </c>
      <c r="AD2419">
        <f t="shared" si="571"/>
        <v>29</v>
      </c>
      <c r="AE2419" t="str">
        <f t="shared" si="572"/>
        <v/>
      </c>
    </row>
    <row r="2420" spans="1:31" x14ac:dyDescent="0.4">
      <c r="A2420" t="str">
        <f>IF(原始经营数据!$D2421="","",原始经营数据!$D2421)</f>
        <v/>
      </c>
      <c r="B2420" t="str">
        <f>IF(原始经营数据!$D2421="","",T(原始经营数据!$E2421))</f>
        <v/>
      </c>
      <c r="C2420" t="str">
        <f>IF(原始经营数据!$D2421="","",原始经营数据!$F2421)</f>
        <v/>
      </c>
      <c r="D2420" t="str">
        <f>IF(原始经营数据!$D2421="","",原始经营数据!$H2421)</f>
        <v/>
      </c>
      <c r="E2420" t="str">
        <f>IF(原始经营数据!$D2421="","",原始经营数据!$I2421)</f>
        <v/>
      </c>
      <c r="F2420" t="str">
        <f>IF(原始经营数据!$D2421="","",T(原始经营数据!$J2421))</f>
        <v/>
      </c>
      <c r="G2420" t="str">
        <f>IF(原始经营数据!$D2421="","",T(原始经营数据!$K2421))</f>
        <v/>
      </c>
      <c r="H2420" t="str">
        <f>IF(原始经营数据!$D2421="","",原始经营数据!$G2421)</f>
        <v/>
      </c>
      <c r="I2420" t="str">
        <f>IF($A2420="","",IF($B2420&lt;&gt;"",$B2420,IF(COUNTIFS(原始经营数据!$D$3:$D$3001,$A2420,原始经营数据!$E$3:$E$3001,"",原始经营数据!$F$3:$F$3001,$C2420,原始经营数据!$H$3:$H$3001,$D2420,原始经营数据!$K$3:$K$3001,$G2420)&gt;1,"基金整体·来源"&amp;原始经营数据!$A2421,"基金整体")))</f>
        <v/>
      </c>
      <c r="J2420" t="str">
        <f t="shared" si="558"/>
        <v/>
      </c>
      <c r="K2420" t="str">
        <f t="shared" si="559"/>
        <v/>
      </c>
      <c r="L2420" t="str">
        <f t="shared" si="560"/>
        <v/>
      </c>
      <c r="M2420">
        <f>IF($A2420="",0,IF(COUNTIF($L$2:$L2420,$L2420)=1,1,0))</f>
        <v>0</v>
      </c>
      <c r="N2420" t="str">
        <f t="shared" si="561"/>
        <v/>
      </c>
      <c r="O2420" t="str">
        <f t="shared" si="562"/>
        <v/>
      </c>
      <c r="P2420">
        <f>IF($A2420="",0,IF(COUNTIF($O$2:$O2420,$O2420)=1,1,0))</f>
        <v>0</v>
      </c>
      <c r="Q2420" t="str">
        <f>IF(AND($P2420=1,$A2420=经营数据!$B$3,$J2420=经营数据!$BA$5),COUNTIFS($P$2:$P$3000,1,$A$2:$A$3000,$A2420,$J$2:$J$3000,$J2420,$N$2:$N$3000,"&lt;"&amp;$N2420)+1,"")</f>
        <v/>
      </c>
      <c r="R2420" t="str">
        <f t="shared" si="563"/>
        <v/>
      </c>
      <c r="S2420">
        <f>IF($A2420="",0,IF(COUNTIF($R$2:$R2420,$R2420)=1,1,0))</f>
        <v>0</v>
      </c>
      <c r="T2420" t="str">
        <f t="shared" si="564"/>
        <v/>
      </c>
      <c r="U2420" t="str">
        <f>IF($A2420="","",IF($A2420=经营数据!$B$3,COUNTIFS($S$2:$S$3000,1,$A$2:$A$3000,$A2420,$T$2:$T$3000,"&lt;"&amp;$T2420)+1,""))</f>
        <v/>
      </c>
      <c r="V2420" t="str">
        <f t="shared" si="565"/>
        <v/>
      </c>
      <c r="W2420" t="str">
        <f t="shared" si="566"/>
        <v/>
      </c>
      <c r="X2420" t="str">
        <f t="shared" si="567"/>
        <v/>
      </c>
      <c r="Y2420" t="str">
        <f t="shared" si="568"/>
        <v/>
      </c>
      <c r="Z2420">
        <f>IF($A2420="",0,IF(AND($M2420=1,$A2420=经营数据!$B$3,$J2420=经营数据!$BA$5,OR($I2420=经营数据!$BA$4,COUNTIF(经营数据!$AA$9:$AA$38,$I2420)&gt;0)),1,0))</f>
        <v>0</v>
      </c>
      <c r="AA2420" t="str">
        <f t="shared" si="569"/>
        <v/>
      </c>
      <c r="AB2420" t="str">
        <f t="shared" si="570"/>
        <v/>
      </c>
      <c r="AC2420">
        <f>IF($A2420="",0,IF(COUNTIF($A$2:$A2420,$A2420)=1,1,0))</f>
        <v>0</v>
      </c>
      <c r="AD2420">
        <f t="shared" si="571"/>
        <v>29</v>
      </c>
      <c r="AE2420" t="str">
        <f t="shared" si="572"/>
        <v/>
      </c>
    </row>
    <row r="2421" spans="1:31" x14ac:dyDescent="0.4">
      <c r="A2421" t="str">
        <f>IF(原始经营数据!$D2422="","",原始经营数据!$D2422)</f>
        <v/>
      </c>
      <c r="B2421" t="str">
        <f>IF(原始经营数据!$D2422="","",T(原始经营数据!$E2422))</f>
        <v/>
      </c>
      <c r="C2421" t="str">
        <f>IF(原始经营数据!$D2422="","",原始经营数据!$F2422)</f>
        <v/>
      </c>
      <c r="D2421" t="str">
        <f>IF(原始经营数据!$D2422="","",原始经营数据!$H2422)</f>
        <v/>
      </c>
      <c r="E2421" t="str">
        <f>IF(原始经营数据!$D2422="","",原始经营数据!$I2422)</f>
        <v/>
      </c>
      <c r="F2421" t="str">
        <f>IF(原始经营数据!$D2422="","",T(原始经营数据!$J2422))</f>
        <v/>
      </c>
      <c r="G2421" t="str">
        <f>IF(原始经营数据!$D2422="","",T(原始经营数据!$K2422))</f>
        <v/>
      </c>
      <c r="H2421" t="str">
        <f>IF(原始经营数据!$D2422="","",原始经营数据!$G2422)</f>
        <v/>
      </c>
      <c r="I2421" t="str">
        <f>IF($A2421="","",IF($B2421&lt;&gt;"",$B2421,IF(COUNTIFS(原始经营数据!$D$3:$D$3001,$A2421,原始经营数据!$E$3:$E$3001,"",原始经营数据!$F$3:$F$3001,$C2421,原始经营数据!$H$3:$H$3001,$D2421,原始经营数据!$K$3:$K$3001,$G2421)&gt;1,"基金整体·来源"&amp;原始经营数据!$A2422,"基金整体")))</f>
        <v/>
      </c>
      <c r="J2421" t="str">
        <f t="shared" si="558"/>
        <v/>
      </c>
      <c r="K2421" t="str">
        <f t="shared" si="559"/>
        <v/>
      </c>
      <c r="L2421" t="str">
        <f t="shared" si="560"/>
        <v/>
      </c>
      <c r="M2421">
        <f>IF($A2421="",0,IF(COUNTIF($L$2:$L2421,$L2421)=1,1,0))</f>
        <v>0</v>
      </c>
      <c r="N2421" t="str">
        <f t="shared" si="561"/>
        <v/>
      </c>
      <c r="O2421" t="str">
        <f t="shared" si="562"/>
        <v/>
      </c>
      <c r="P2421">
        <f>IF($A2421="",0,IF(COUNTIF($O$2:$O2421,$O2421)=1,1,0))</f>
        <v>0</v>
      </c>
      <c r="Q2421" t="str">
        <f>IF(AND($P2421=1,$A2421=经营数据!$B$3,$J2421=经营数据!$BA$5),COUNTIFS($P$2:$P$3000,1,$A$2:$A$3000,$A2421,$J$2:$J$3000,$J2421,$N$2:$N$3000,"&lt;"&amp;$N2421)+1,"")</f>
        <v/>
      </c>
      <c r="R2421" t="str">
        <f t="shared" si="563"/>
        <v/>
      </c>
      <c r="S2421">
        <f>IF($A2421="",0,IF(COUNTIF($R$2:$R2421,$R2421)=1,1,0))</f>
        <v>0</v>
      </c>
      <c r="T2421" t="str">
        <f t="shared" si="564"/>
        <v/>
      </c>
      <c r="U2421" t="str">
        <f>IF($A2421="","",IF($A2421=经营数据!$B$3,COUNTIFS($S$2:$S$3000,1,$A$2:$A$3000,$A2421,$T$2:$T$3000,"&lt;"&amp;$T2421)+1,""))</f>
        <v/>
      </c>
      <c r="V2421" t="str">
        <f t="shared" si="565"/>
        <v/>
      </c>
      <c r="W2421" t="str">
        <f t="shared" si="566"/>
        <v/>
      </c>
      <c r="X2421" t="str">
        <f t="shared" si="567"/>
        <v/>
      </c>
      <c r="Y2421" t="str">
        <f t="shared" si="568"/>
        <v/>
      </c>
      <c r="Z2421">
        <f>IF($A2421="",0,IF(AND($M2421=1,$A2421=经营数据!$B$3,$J2421=经营数据!$BA$5,OR($I2421=经营数据!$BA$4,COUNTIF(经营数据!$AA$9:$AA$38,$I2421)&gt;0)),1,0))</f>
        <v>0</v>
      </c>
      <c r="AA2421" t="str">
        <f t="shared" si="569"/>
        <v/>
      </c>
      <c r="AB2421" t="str">
        <f t="shared" si="570"/>
        <v/>
      </c>
      <c r="AC2421">
        <f>IF($A2421="",0,IF(COUNTIF($A$2:$A2421,$A2421)=1,1,0))</f>
        <v>0</v>
      </c>
      <c r="AD2421">
        <f t="shared" si="571"/>
        <v>29</v>
      </c>
      <c r="AE2421" t="str">
        <f t="shared" si="572"/>
        <v/>
      </c>
    </row>
    <row r="2422" spans="1:31" x14ac:dyDescent="0.4">
      <c r="A2422" t="str">
        <f>IF(原始经营数据!$D2423="","",原始经营数据!$D2423)</f>
        <v/>
      </c>
      <c r="B2422" t="str">
        <f>IF(原始经营数据!$D2423="","",T(原始经营数据!$E2423))</f>
        <v/>
      </c>
      <c r="C2422" t="str">
        <f>IF(原始经营数据!$D2423="","",原始经营数据!$F2423)</f>
        <v/>
      </c>
      <c r="D2422" t="str">
        <f>IF(原始经营数据!$D2423="","",原始经营数据!$H2423)</f>
        <v/>
      </c>
      <c r="E2422" t="str">
        <f>IF(原始经营数据!$D2423="","",原始经营数据!$I2423)</f>
        <v/>
      </c>
      <c r="F2422" t="str">
        <f>IF(原始经营数据!$D2423="","",T(原始经营数据!$J2423))</f>
        <v/>
      </c>
      <c r="G2422" t="str">
        <f>IF(原始经营数据!$D2423="","",T(原始经营数据!$K2423))</f>
        <v/>
      </c>
      <c r="H2422" t="str">
        <f>IF(原始经营数据!$D2423="","",原始经营数据!$G2423)</f>
        <v/>
      </c>
      <c r="I2422" t="str">
        <f>IF($A2422="","",IF($B2422&lt;&gt;"",$B2422,IF(COUNTIFS(原始经营数据!$D$3:$D$3001,$A2422,原始经营数据!$E$3:$E$3001,"",原始经营数据!$F$3:$F$3001,$C2422,原始经营数据!$H$3:$H$3001,$D2422,原始经营数据!$K$3:$K$3001,$G2422)&gt;1,"基金整体·来源"&amp;原始经营数据!$A2423,"基金整体")))</f>
        <v/>
      </c>
      <c r="J2422" t="str">
        <f t="shared" si="558"/>
        <v/>
      </c>
      <c r="K2422" t="str">
        <f t="shared" si="559"/>
        <v/>
      </c>
      <c r="L2422" t="str">
        <f t="shared" si="560"/>
        <v/>
      </c>
      <c r="M2422">
        <f>IF($A2422="",0,IF(COUNTIF($L$2:$L2422,$L2422)=1,1,0))</f>
        <v>0</v>
      </c>
      <c r="N2422" t="str">
        <f t="shared" si="561"/>
        <v/>
      </c>
      <c r="O2422" t="str">
        <f t="shared" si="562"/>
        <v/>
      </c>
      <c r="P2422">
        <f>IF($A2422="",0,IF(COUNTIF($O$2:$O2422,$O2422)=1,1,0))</f>
        <v>0</v>
      </c>
      <c r="Q2422" t="str">
        <f>IF(AND($P2422=1,$A2422=经营数据!$B$3,$J2422=经营数据!$BA$5),COUNTIFS($P$2:$P$3000,1,$A$2:$A$3000,$A2422,$J$2:$J$3000,$J2422,$N$2:$N$3000,"&lt;"&amp;$N2422)+1,"")</f>
        <v/>
      </c>
      <c r="R2422" t="str">
        <f t="shared" si="563"/>
        <v/>
      </c>
      <c r="S2422">
        <f>IF($A2422="",0,IF(COUNTIF($R$2:$R2422,$R2422)=1,1,0))</f>
        <v>0</v>
      </c>
      <c r="T2422" t="str">
        <f t="shared" si="564"/>
        <v/>
      </c>
      <c r="U2422" t="str">
        <f>IF($A2422="","",IF($A2422=经营数据!$B$3,COUNTIFS($S$2:$S$3000,1,$A$2:$A$3000,$A2422,$T$2:$T$3000,"&lt;"&amp;$T2422)+1,""))</f>
        <v/>
      </c>
      <c r="V2422" t="str">
        <f t="shared" si="565"/>
        <v/>
      </c>
      <c r="W2422" t="str">
        <f t="shared" si="566"/>
        <v/>
      </c>
      <c r="X2422" t="str">
        <f t="shared" si="567"/>
        <v/>
      </c>
      <c r="Y2422" t="str">
        <f t="shared" si="568"/>
        <v/>
      </c>
      <c r="Z2422">
        <f>IF($A2422="",0,IF(AND($M2422=1,$A2422=经营数据!$B$3,$J2422=经营数据!$BA$5,OR($I2422=经营数据!$BA$4,COUNTIF(经营数据!$AA$9:$AA$38,$I2422)&gt;0)),1,0))</f>
        <v>0</v>
      </c>
      <c r="AA2422" t="str">
        <f t="shared" si="569"/>
        <v/>
      </c>
      <c r="AB2422" t="str">
        <f t="shared" si="570"/>
        <v/>
      </c>
      <c r="AC2422">
        <f>IF($A2422="",0,IF(COUNTIF($A$2:$A2422,$A2422)=1,1,0))</f>
        <v>0</v>
      </c>
      <c r="AD2422">
        <f t="shared" si="571"/>
        <v>29</v>
      </c>
      <c r="AE2422" t="str">
        <f t="shared" si="572"/>
        <v/>
      </c>
    </row>
    <row r="2423" spans="1:31" x14ac:dyDescent="0.4">
      <c r="A2423" t="str">
        <f>IF(原始经营数据!$D2424="","",原始经营数据!$D2424)</f>
        <v/>
      </c>
      <c r="B2423" t="str">
        <f>IF(原始经营数据!$D2424="","",T(原始经营数据!$E2424))</f>
        <v/>
      </c>
      <c r="C2423" t="str">
        <f>IF(原始经营数据!$D2424="","",原始经营数据!$F2424)</f>
        <v/>
      </c>
      <c r="D2423" t="str">
        <f>IF(原始经营数据!$D2424="","",原始经营数据!$H2424)</f>
        <v/>
      </c>
      <c r="E2423" t="str">
        <f>IF(原始经营数据!$D2424="","",原始经营数据!$I2424)</f>
        <v/>
      </c>
      <c r="F2423" t="str">
        <f>IF(原始经营数据!$D2424="","",T(原始经营数据!$J2424))</f>
        <v/>
      </c>
      <c r="G2423" t="str">
        <f>IF(原始经营数据!$D2424="","",T(原始经营数据!$K2424))</f>
        <v/>
      </c>
      <c r="H2423" t="str">
        <f>IF(原始经营数据!$D2424="","",原始经营数据!$G2424)</f>
        <v/>
      </c>
      <c r="I2423" t="str">
        <f>IF($A2423="","",IF($B2423&lt;&gt;"",$B2423,IF(COUNTIFS(原始经营数据!$D$3:$D$3001,$A2423,原始经营数据!$E$3:$E$3001,"",原始经营数据!$F$3:$F$3001,$C2423,原始经营数据!$H$3:$H$3001,$D2423,原始经营数据!$K$3:$K$3001,$G2423)&gt;1,"基金整体·来源"&amp;原始经营数据!$A2424,"基金整体")))</f>
        <v/>
      </c>
      <c r="J2423" t="str">
        <f t="shared" si="558"/>
        <v/>
      </c>
      <c r="K2423" t="str">
        <f t="shared" si="559"/>
        <v/>
      </c>
      <c r="L2423" t="str">
        <f t="shared" si="560"/>
        <v/>
      </c>
      <c r="M2423">
        <f>IF($A2423="",0,IF(COUNTIF($L$2:$L2423,$L2423)=1,1,0))</f>
        <v>0</v>
      </c>
      <c r="N2423" t="str">
        <f t="shared" si="561"/>
        <v/>
      </c>
      <c r="O2423" t="str">
        <f t="shared" si="562"/>
        <v/>
      </c>
      <c r="P2423">
        <f>IF($A2423="",0,IF(COUNTIF($O$2:$O2423,$O2423)=1,1,0))</f>
        <v>0</v>
      </c>
      <c r="Q2423" t="str">
        <f>IF(AND($P2423=1,$A2423=经营数据!$B$3,$J2423=经营数据!$BA$5),COUNTIFS($P$2:$P$3000,1,$A$2:$A$3000,$A2423,$J$2:$J$3000,$J2423,$N$2:$N$3000,"&lt;"&amp;$N2423)+1,"")</f>
        <v/>
      </c>
      <c r="R2423" t="str">
        <f t="shared" si="563"/>
        <v/>
      </c>
      <c r="S2423">
        <f>IF($A2423="",0,IF(COUNTIF($R$2:$R2423,$R2423)=1,1,0))</f>
        <v>0</v>
      </c>
      <c r="T2423" t="str">
        <f t="shared" si="564"/>
        <v/>
      </c>
      <c r="U2423" t="str">
        <f>IF($A2423="","",IF($A2423=经营数据!$B$3,COUNTIFS($S$2:$S$3000,1,$A$2:$A$3000,$A2423,$T$2:$T$3000,"&lt;"&amp;$T2423)+1,""))</f>
        <v/>
      </c>
      <c r="V2423" t="str">
        <f t="shared" si="565"/>
        <v/>
      </c>
      <c r="W2423" t="str">
        <f t="shared" si="566"/>
        <v/>
      </c>
      <c r="X2423" t="str">
        <f t="shared" si="567"/>
        <v/>
      </c>
      <c r="Y2423" t="str">
        <f t="shared" si="568"/>
        <v/>
      </c>
      <c r="Z2423">
        <f>IF($A2423="",0,IF(AND($M2423=1,$A2423=经营数据!$B$3,$J2423=经营数据!$BA$5,OR($I2423=经营数据!$BA$4,COUNTIF(经营数据!$AA$9:$AA$38,$I2423)&gt;0)),1,0))</f>
        <v>0</v>
      </c>
      <c r="AA2423" t="str">
        <f t="shared" si="569"/>
        <v/>
      </c>
      <c r="AB2423" t="str">
        <f t="shared" si="570"/>
        <v/>
      </c>
      <c r="AC2423">
        <f>IF($A2423="",0,IF(COUNTIF($A$2:$A2423,$A2423)=1,1,0))</f>
        <v>0</v>
      </c>
      <c r="AD2423">
        <f t="shared" si="571"/>
        <v>29</v>
      </c>
      <c r="AE2423" t="str">
        <f t="shared" si="572"/>
        <v/>
      </c>
    </row>
    <row r="2424" spans="1:31" x14ac:dyDescent="0.4">
      <c r="A2424" t="str">
        <f>IF(原始经营数据!$D2425="","",原始经营数据!$D2425)</f>
        <v/>
      </c>
      <c r="B2424" t="str">
        <f>IF(原始经营数据!$D2425="","",T(原始经营数据!$E2425))</f>
        <v/>
      </c>
      <c r="C2424" t="str">
        <f>IF(原始经营数据!$D2425="","",原始经营数据!$F2425)</f>
        <v/>
      </c>
      <c r="D2424" t="str">
        <f>IF(原始经营数据!$D2425="","",原始经营数据!$H2425)</f>
        <v/>
      </c>
      <c r="E2424" t="str">
        <f>IF(原始经营数据!$D2425="","",原始经营数据!$I2425)</f>
        <v/>
      </c>
      <c r="F2424" t="str">
        <f>IF(原始经营数据!$D2425="","",T(原始经营数据!$J2425))</f>
        <v/>
      </c>
      <c r="G2424" t="str">
        <f>IF(原始经营数据!$D2425="","",T(原始经营数据!$K2425))</f>
        <v/>
      </c>
      <c r="H2424" t="str">
        <f>IF(原始经营数据!$D2425="","",原始经营数据!$G2425)</f>
        <v/>
      </c>
      <c r="I2424" t="str">
        <f>IF($A2424="","",IF($B2424&lt;&gt;"",$B2424,IF(COUNTIFS(原始经营数据!$D$3:$D$3001,$A2424,原始经营数据!$E$3:$E$3001,"",原始经营数据!$F$3:$F$3001,$C2424,原始经营数据!$H$3:$H$3001,$D2424,原始经营数据!$K$3:$K$3001,$G2424)&gt;1,"基金整体·来源"&amp;原始经营数据!$A2425,"基金整体")))</f>
        <v/>
      </c>
      <c r="J2424" t="str">
        <f t="shared" si="558"/>
        <v/>
      </c>
      <c r="K2424" t="str">
        <f t="shared" si="559"/>
        <v/>
      </c>
      <c r="L2424" t="str">
        <f t="shared" si="560"/>
        <v/>
      </c>
      <c r="M2424">
        <f>IF($A2424="",0,IF(COUNTIF($L$2:$L2424,$L2424)=1,1,0))</f>
        <v>0</v>
      </c>
      <c r="N2424" t="str">
        <f t="shared" si="561"/>
        <v/>
      </c>
      <c r="O2424" t="str">
        <f t="shared" si="562"/>
        <v/>
      </c>
      <c r="P2424">
        <f>IF($A2424="",0,IF(COUNTIF($O$2:$O2424,$O2424)=1,1,0))</f>
        <v>0</v>
      </c>
      <c r="Q2424" t="str">
        <f>IF(AND($P2424=1,$A2424=经营数据!$B$3,$J2424=经营数据!$BA$5),COUNTIFS($P$2:$P$3000,1,$A$2:$A$3000,$A2424,$J$2:$J$3000,$J2424,$N$2:$N$3000,"&lt;"&amp;$N2424)+1,"")</f>
        <v/>
      </c>
      <c r="R2424" t="str">
        <f t="shared" si="563"/>
        <v/>
      </c>
      <c r="S2424">
        <f>IF($A2424="",0,IF(COUNTIF($R$2:$R2424,$R2424)=1,1,0))</f>
        <v>0</v>
      </c>
      <c r="T2424" t="str">
        <f t="shared" si="564"/>
        <v/>
      </c>
      <c r="U2424" t="str">
        <f>IF($A2424="","",IF($A2424=经营数据!$B$3,COUNTIFS($S$2:$S$3000,1,$A$2:$A$3000,$A2424,$T$2:$T$3000,"&lt;"&amp;$T2424)+1,""))</f>
        <v/>
      </c>
      <c r="V2424" t="str">
        <f t="shared" si="565"/>
        <v/>
      </c>
      <c r="W2424" t="str">
        <f t="shared" si="566"/>
        <v/>
      </c>
      <c r="X2424" t="str">
        <f t="shared" si="567"/>
        <v/>
      </c>
      <c r="Y2424" t="str">
        <f t="shared" si="568"/>
        <v/>
      </c>
      <c r="Z2424">
        <f>IF($A2424="",0,IF(AND($M2424=1,$A2424=经营数据!$B$3,$J2424=经营数据!$BA$5,OR($I2424=经营数据!$BA$4,COUNTIF(经营数据!$AA$9:$AA$38,$I2424)&gt;0)),1,0))</f>
        <v>0</v>
      </c>
      <c r="AA2424" t="str">
        <f t="shared" si="569"/>
        <v/>
      </c>
      <c r="AB2424" t="str">
        <f t="shared" si="570"/>
        <v/>
      </c>
      <c r="AC2424">
        <f>IF($A2424="",0,IF(COUNTIF($A$2:$A2424,$A2424)=1,1,0))</f>
        <v>0</v>
      </c>
      <c r="AD2424">
        <f t="shared" si="571"/>
        <v>29</v>
      </c>
      <c r="AE2424" t="str">
        <f t="shared" si="572"/>
        <v/>
      </c>
    </row>
    <row r="2425" spans="1:31" x14ac:dyDescent="0.4">
      <c r="A2425" t="str">
        <f>IF(原始经营数据!$D2426="","",原始经营数据!$D2426)</f>
        <v/>
      </c>
      <c r="B2425" t="str">
        <f>IF(原始经营数据!$D2426="","",T(原始经营数据!$E2426))</f>
        <v/>
      </c>
      <c r="C2425" t="str">
        <f>IF(原始经营数据!$D2426="","",原始经营数据!$F2426)</f>
        <v/>
      </c>
      <c r="D2425" t="str">
        <f>IF(原始经营数据!$D2426="","",原始经营数据!$H2426)</f>
        <v/>
      </c>
      <c r="E2425" t="str">
        <f>IF(原始经营数据!$D2426="","",原始经营数据!$I2426)</f>
        <v/>
      </c>
      <c r="F2425" t="str">
        <f>IF(原始经营数据!$D2426="","",T(原始经营数据!$J2426))</f>
        <v/>
      </c>
      <c r="G2425" t="str">
        <f>IF(原始经营数据!$D2426="","",T(原始经营数据!$K2426))</f>
        <v/>
      </c>
      <c r="H2425" t="str">
        <f>IF(原始经营数据!$D2426="","",原始经营数据!$G2426)</f>
        <v/>
      </c>
      <c r="I2425" t="str">
        <f>IF($A2425="","",IF($B2425&lt;&gt;"",$B2425,IF(COUNTIFS(原始经营数据!$D$3:$D$3001,$A2425,原始经营数据!$E$3:$E$3001,"",原始经营数据!$F$3:$F$3001,$C2425,原始经营数据!$H$3:$H$3001,$D2425,原始经营数据!$K$3:$K$3001,$G2425)&gt;1,"基金整体·来源"&amp;原始经营数据!$A2426,"基金整体")))</f>
        <v/>
      </c>
      <c r="J2425" t="str">
        <f t="shared" si="558"/>
        <v/>
      </c>
      <c r="K2425" t="str">
        <f t="shared" si="559"/>
        <v/>
      </c>
      <c r="L2425" t="str">
        <f t="shared" si="560"/>
        <v/>
      </c>
      <c r="M2425">
        <f>IF($A2425="",0,IF(COUNTIF($L$2:$L2425,$L2425)=1,1,0))</f>
        <v>0</v>
      </c>
      <c r="N2425" t="str">
        <f t="shared" si="561"/>
        <v/>
      </c>
      <c r="O2425" t="str">
        <f t="shared" si="562"/>
        <v/>
      </c>
      <c r="P2425">
        <f>IF($A2425="",0,IF(COUNTIF($O$2:$O2425,$O2425)=1,1,0))</f>
        <v>0</v>
      </c>
      <c r="Q2425" t="str">
        <f>IF(AND($P2425=1,$A2425=经营数据!$B$3,$J2425=经营数据!$BA$5),COUNTIFS($P$2:$P$3000,1,$A$2:$A$3000,$A2425,$J$2:$J$3000,$J2425,$N$2:$N$3000,"&lt;"&amp;$N2425)+1,"")</f>
        <v/>
      </c>
      <c r="R2425" t="str">
        <f t="shared" si="563"/>
        <v/>
      </c>
      <c r="S2425">
        <f>IF($A2425="",0,IF(COUNTIF($R$2:$R2425,$R2425)=1,1,0))</f>
        <v>0</v>
      </c>
      <c r="T2425" t="str">
        <f t="shared" si="564"/>
        <v/>
      </c>
      <c r="U2425" t="str">
        <f>IF($A2425="","",IF($A2425=经营数据!$B$3,COUNTIFS($S$2:$S$3000,1,$A$2:$A$3000,$A2425,$T$2:$T$3000,"&lt;"&amp;$T2425)+1,""))</f>
        <v/>
      </c>
      <c r="V2425" t="str">
        <f t="shared" si="565"/>
        <v/>
      </c>
      <c r="W2425" t="str">
        <f t="shared" si="566"/>
        <v/>
      </c>
      <c r="X2425" t="str">
        <f t="shared" si="567"/>
        <v/>
      </c>
      <c r="Y2425" t="str">
        <f t="shared" si="568"/>
        <v/>
      </c>
      <c r="Z2425">
        <f>IF($A2425="",0,IF(AND($M2425=1,$A2425=经营数据!$B$3,$J2425=经营数据!$BA$5,OR($I2425=经营数据!$BA$4,COUNTIF(经营数据!$AA$9:$AA$38,$I2425)&gt;0)),1,0))</f>
        <v>0</v>
      </c>
      <c r="AA2425" t="str">
        <f t="shared" si="569"/>
        <v/>
      </c>
      <c r="AB2425" t="str">
        <f t="shared" si="570"/>
        <v/>
      </c>
      <c r="AC2425">
        <f>IF($A2425="",0,IF(COUNTIF($A$2:$A2425,$A2425)=1,1,0))</f>
        <v>0</v>
      </c>
      <c r="AD2425">
        <f t="shared" si="571"/>
        <v>29</v>
      </c>
      <c r="AE2425" t="str">
        <f t="shared" si="572"/>
        <v/>
      </c>
    </row>
    <row r="2426" spans="1:31" x14ac:dyDescent="0.4">
      <c r="A2426" t="str">
        <f>IF(原始经营数据!$D2427="","",原始经营数据!$D2427)</f>
        <v/>
      </c>
      <c r="B2426" t="str">
        <f>IF(原始经营数据!$D2427="","",T(原始经营数据!$E2427))</f>
        <v/>
      </c>
      <c r="C2426" t="str">
        <f>IF(原始经营数据!$D2427="","",原始经营数据!$F2427)</f>
        <v/>
      </c>
      <c r="D2426" t="str">
        <f>IF(原始经营数据!$D2427="","",原始经营数据!$H2427)</f>
        <v/>
      </c>
      <c r="E2426" t="str">
        <f>IF(原始经营数据!$D2427="","",原始经营数据!$I2427)</f>
        <v/>
      </c>
      <c r="F2426" t="str">
        <f>IF(原始经营数据!$D2427="","",T(原始经营数据!$J2427))</f>
        <v/>
      </c>
      <c r="G2426" t="str">
        <f>IF(原始经营数据!$D2427="","",T(原始经营数据!$K2427))</f>
        <v/>
      </c>
      <c r="H2426" t="str">
        <f>IF(原始经营数据!$D2427="","",原始经营数据!$G2427)</f>
        <v/>
      </c>
      <c r="I2426" t="str">
        <f>IF($A2426="","",IF($B2426&lt;&gt;"",$B2426,IF(COUNTIFS(原始经营数据!$D$3:$D$3001,$A2426,原始经营数据!$E$3:$E$3001,"",原始经营数据!$F$3:$F$3001,$C2426,原始经营数据!$H$3:$H$3001,$D2426,原始经营数据!$K$3:$K$3001,$G2426)&gt;1,"基金整体·来源"&amp;原始经营数据!$A2427,"基金整体")))</f>
        <v/>
      </c>
      <c r="J2426" t="str">
        <f t="shared" si="558"/>
        <v/>
      </c>
      <c r="K2426" t="str">
        <f t="shared" si="559"/>
        <v/>
      </c>
      <c r="L2426" t="str">
        <f t="shared" si="560"/>
        <v/>
      </c>
      <c r="M2426">
        <f>IF($A2426="",0,IF(COUNTIF($L$2:$L2426,$L2426)=1,1,0))</f>
        <v>0</v>
      </c>
      <c r="N2426" t="str">
        <f t="shared" si="561"/>
        <v/>
      </c>
      <c r="O2426" t="str">
        <f t="shared" si="562"/>
        <v/>
      </c>
      <c r="P2426">
        <f>IF($A2426="",0,IF(COUNTIF($O$2:$O2426,$O2426)=1,1,0))</f>
        <v>0</v>
      </c>
      <c r="Q2426" t="str">
        <f>IF(AND($P2426=1,$A2426=经营数据!$B$3,$J2426=经营数据!$BA$5),COUNTIFS($P$2:$P$3000,1,$A$2:$A$3000,$A2426,$J$2:$J$3000,$J2426,$N$2:$N$3000,"&lt;"&amp;$N2426)+1,"")</f>
        <v/>
      </c>
      <c r="R2426" t="str">
        <f t="shared" si="563"/>
        <v/>
      </c>
      <c r="S2426">
        <f>IF($A2426="",0,IF(COUNTIF($R$2:$R2426,$R2426)=1,1,0))</f>
        <v>0</v>
      </c>
      <c r="T2426" t="str">
        <f t="shared" si="564"/>
        <v/>
      </c>
      <c r="U2426" t="str">
        <f>IF($A2426="","",IF($A2426=经营数据!$B$3,COUNTIFS($S$2:$S$3000,1,$A$2:$A$3000,$A2426,$T$2:$T$3000,"&lt;"&amp;$T2426)+1,""))</f>
        <v/>
      </c>
      <c r="V2426" t="str">
        <f t="shared" si="565"/>
        <v/>
      </c>
      <c r="W2426" t="str">
        <f t="shared" si="566"/>
        <v/>
      </c>
      <c r="X2426" t="str">
        <f t="shared" si="567"/>
        <v/>
      </c>
      <c r="Y2426" t="str">
        <f t="shared" si="568"/>
        <v/>
      </c>
      <c r="Z2426">
        <f>IF($A2426="",0,IF(AND($M2426=1,$A2426=经营数据!$B$3,$J2426=经营数据!$BA$5,OR($I2426=经营数据!$BA$4,COUNTIF(经营数据!$AA$9:$AA$38,$I2426)&gt;0)),1,0))</f>
        <v>0</v>
      </c>
      <c r="AA2426" t="str">
        <f t="shared" si="569"/>
        <v/>
      </c>
      <c r="AB2426" t="str">
        <f t="shared" si="570"/>
        <v/>
      </c>
      <c r="AC2426">
        <f>IF($A2426="",0,IF(COUNTIF($A$2:$A2426,$A2426)=1,1,0))</f>
        <v>0</v>
      </c>
      <c r="AD2426">
        <f t="shared" si="571"/>
        <v>29</v>
      </c>
      <c r="AE2426" t="str">
        <f t="shared" si="572"/>
        <v/>
      </c>
    </row>
    <row r="2427" spans="1:31" x14ac:dyDescent="0.4">
      <c r="A2427" t="str">
        <f>IF(原始经营数据!$D2428="","",原始经营数据!$D2428)</f>
        <v/>
      </c>
      <c r="B2427" t="str">
        <f>IF(原始经营数据!$D2428="","",T(原始经营数据!$E2428))</f>
        <v/>
      </c>
      <c r="C2427" t="str">
        <f>IF(原始经营数据!$D2428="","",原始经营数据!$F2428)</f>
        <v/>
      </c>
      <c r="D2427" t="str">
        <f>IF(原始经营数据!$D2428="","",原始经营数据!$H2428)</f>
        <v/>
      </c>
      <c r="E2427" t="str">
        <f>IF(原始经营数据!$D2428="","",原始经营数据!$I2428)</f>
        <v/>
      </c>
      <c r="F2427" t="str">
        <f>IF(原始经营数据!$D2428="","",T(原始经营数据!$J2428))</f>
        <v/>
      </c>
      <c r="G2427" t="str">
        <f>IF(原始经营数据!$D2428="","",T(原始经营数据!$K2428))</f>
        <v/>
      </c>
      <c r="H2427" t="str">
        <f>IF(原始经营数据!$D2428="","",原始经营数据!$G2428)</f>
        <v/>
      </c>
      <c r="I2427" t="str">
        <f>IF($A2427="","",IF($B2427&lt;&gt;"",$B2427,IF(COUNTIFS(原始经营数据!$D$3:$D$3001,$A2427,原始经营数据!$E$3:$E$3001,"",原始经营数据!$F$3:$F$3001,$C2427,原始经营数据!$H$3:$H$3001,$D2427,原始经营数据!$K$3:$K$3001,$G2427)&gt;1,"基金整体·来源"&amp;原始经营数据!$A2428,"基金整体")))</f>
        <v/>
      </c>
      <c r="J2427" t="str">
        <f t="shared" si="558"/>
        <v/>
      </c>
      <c r="K2427" t="str">
        <f t="shared" si="559"/>
        <v/>
      </c>
      <c r="L2427" t="str">
        <f t="shared" si="560"/>
        <v/>
      </c>
      <c r="M2427">
        <f>IF($A2427="",0,IF(COUNTIF($L$2:$L2427,$L2427)=1,1,0))</f>
        <v>0</v>
      </c>
      <c r="N2427" t="str">
        <f t="shared" si="561"/>
        <v/>
      </c>
      <c r="O2427" t="str">
        <f t="shared" si="562"/>
        <v/>
      </c>
      <c r="P2427">
        <f>IF($A2427="",0,IF(COUNTIF($O$2:$O2427,$O2427)=1,1,0))</f>
        <v>0</v>
      </c>
      <c r="Q2427" t="str">
        <f>IF(AND($P2427=1,$A2427=经营数据!$B$3,$J2427=经营数据!$BA$5),COUNTIFS($P$2:$P$3000,1,$A$2:$A$3000,$A2427,$J$2:$J$3000,$J2427,$N$2:$N$3000,"&lt;"&amp;$N2427)+1,"")</f>
        <v/>
      </c>
      <c r="R2427" t="str">
        <f t="shared" si="563"/>
        <v/>
      </c>
      <c r="S2427">
        <f>IF($A2427="",0,IF(COUNTIF($R$2:$R2427,$R2427)=1,1,0))</f>
        <v>0</v>
      </c>
      <c r="T2427" t="str">
        <f t="shared" si="564"/>
        <v/>
      </c>
      <c r="U2427" t="str">
        <f>IF($A2427="","",IF($A2427=经营数据!$B$3,COUNTIFS($S$2:$S$3000,1,$A$2:$A$3000,$A2427,$T$2:$T$3000,"&lt;"&amp;$T2427)+1,""))</f>
        <v/>
      </c>
      <c r="V2427" t="str">
        <f t="shared" si="565"/>
        <v/>
      </c>
      <c r="W2427" t="str">
        <f t="shared" si="566"/>
        <v/>
      </c>
      <c r="X2427" t="str">
        <f t="shared" si="567"/>
        <v/>
      </c>
      <c r="Y2427" t="str">
        <f t="shared" si="568"/>
        <v/>
      </c>
      <c r="Z2427">
        <f>IF($A2427="",0,IF(AND($M2427=1,$A2427=经营数据!$B$3,$J2427=经营数据!$BA$5,OR($I2427=经营数据!$BA$4,COUNTIF(经营数据!$AA$9:$AA$38,$I2427)&gt;0)),1,0))</f>
        <v>0</v>
      </c>
      <c r="AA2427" t="str">
        <f t="shared" si="569"/>
        <v/>
      </c>
      <c r="AB2427" t="str">
        <f t="shared" si="570"/>
        <v/>
      </c>
      <c r="AC2427">
        <f>IF($A2427="",0,IF(COUNTIF($A$2:$A2427,$A2427)=1,1,0))</f>
        <v>0</v>
      </c>
      <c r="AD2427">
        <f t="shared" si="571"/>
        <v>29</v>
      </c>
      <c r="AE2427" t="str">
        <f t="shared" si="572"/>
        <v/>
      </c>
    </row>
    <row r="2428" spans="1:31" x14ac:dyDescent="0.4">
      <c r="A2428" t="str">
        <f>IF(原始经营数据!$D2429="","",原始经营数据!$D2429)</f>
        <v/>
      </c>
      <c r="B2428" t="str">
        <f>IF(原始经营数据!$D2429="","",T(原始经营数据!$E2429))</f>
        <v/>
      </c>
      <c r="C2428" t="str">
        <f>IF(原始经营数据!$D2429="","",原始经营数据!$F2429)</f>
        <v/>
      </c>
      <c r="D2428" t="str">
        <f>IF(原始经营数据!$D2429="","",原始经营数据!$H2429)</f>
        <v/>
      </c>
      <c r="E2428" t="str">
        <f>IF(原始经营数据!$D2429="","",原始经营数据!$I2429)</f>
        <v/>
      </c>
      <c r="F2428" t="str">
        <f>IF(原始经营数据!$D2429="","",T(原始经营数据!$J2429))</f>
        <v/>
      </c>
      <c r="G2428" t="str">
        <f>IF(原始经营数据!$D2429="","",T(原始经营数据!$K2429))</f>
        <v/>
      </c>
      <c r="H2428" t="str">
        <f>IF(原始经营数据!$D2429="","",原始经营数据!$G2429)</f>
        <v/>
      </c>
      <c r="I2428" t="str">
        <f>IF($A2428="","",IF($B2428&lt;&gt;"",$B2428,IF(COUNTIFS(原始经营数据!$D$3:$D$3001,$A2428,原始经营数据!$E$3:$E$3001,"",原始经营数据!$F$3:$F$3001,$C2428,原始经营数据!$H$3:$H$3001,$D2428,原始经营数据!$K$3:$K$3001,$G2428)&gt;1,"基金整体·来源"&amp;原始经营数据!$A2429,"基金整体")))</f>
        <v/>
      </c>
      <c r="J2428" t="str">
        <f t="shared" si="558"/>
        <v/>
      </c>
      <c r="K2428" t="str">
        <f t="shared" si="559"/>
        <v/>
      </c>
      <c r="L2428" t="str">
        <f t="shared" si="560"/>
        <v/>
      </c>
      <c r="M2428">
        <f>IF($A2428="",0,IF(COUNTIF($L$2:$L2428,$L2428)=1,1,0))</f>
        <v>0</v>
      </c>
      <c r="N2428" t="str">
        <f t="shared" si="561"/>
        <v/>
      </c>
      <c r="O2428" t="str">
        <f t="shared" si="562"/>
        <v/>
      </c>
      <c r="P2428">
        <f>IF($A2428="",0,IF(COUNTIF($O$2:$O2428,$O2428)=1,1,0))</f>
        <v>0</v>
      </c>
      <c r="Q2428" t="str">
        <f>IF(AND($P2428=1,$A2428=经营数据!$B$3,$J2428=经营数据!$BA$5),COUNTIFS($P$2:$P$3000,1,$A$2:$A$3000,$A2428,$J$2:$J$3000,$J2428,$N$2:$N$3000,"&lt;"&amp;$N2428)+1,"")</f>
        <v/>
      </c>
      <c r="R2428" t="str">
        <f t="shared" si="563"/>
        <v/>
      </c>
      <c r="S2428">
        <f>IF($A2428="",0,IF(COUNTIF($R$2:$R2428,$R2428)=1,1,0))</f>
        <v>0</v>
      </c>
      <c r="T2428" t="str">
        <f t="shared" si="564"/>
        <v/>
      </c>
      <c r="U2428" t="str">
        <f>IF($A2428="","",IF($A2428=经营数据!$B$3,COUNTIFS($S$2:$S$3000,1,$A$2:$A$3000,$A2428,$T$2:$T$3000,"&lt;"&amp;$T2428)+1,""))</f>
        <v/>
      </c>
      <c r="V2428" t="str">
        <f t="shared" si="565"/>
        <v/>
      </c>
      <c r="W2428" t="str">
        <f t="shared" si="566"/>
        <v/>
      </c>
      <c r="X2428" t="str">
        <f t="shared" si="567"/>
        <v/>
      </c>
      <c r="Y2428" t="str">
        <f t="shared" si="568"/>
        <v/>
      </c>
      <c r="Z2428">
        <f>IF($A2428="",0,IF(AND($M2428=1,$A2428=经营数据!$B$3,$J2428=经营数据!$BA$5,OR($I2428=经营数据!$BA$4,COUNTIF(经营数据!$AA$9:$AA$38,$I2428)&gt;0)),1,0))</f>
        <v>0</v>
      </c>
      <c r="AA2428" t="str">
        <f t="shared" si="569"/>
        <v/>
      </c>
      <c r="AB2428" t="str">
        <f t="shared" si="570"/>
        <v/>
      </c>
      <c r="AC2428">
        <f>IF($A2428="",0,IF(COUNTIF($A$2:$A2428,$A2428)=1,1,0))</f>
        <v>0</v>
      </c>
      <c r="AD2428">
        <f t="shared" si="571"/>
        <v>29</v>
      </c>
      <c r="AE2428" t="str">
        <f t="shared" si="572"/>
        <v/>
      </c>
    </row>
    <row r="2429" spans="1:31" x14ac:dyDescent="0.4">
      <c r="A2429" t="str">
        <f>IF(原始经营数据!$D2430="","",原始经营数据!$D2430)</f>
        <v/>
      </c>
      <c r="B2429" t="str">
        <f>IF(原始经营数据!$D2430="","",T(原始经营数据!$E2430))</f>
        <v/>
      </c>
      <c r="C2429" t="str">
        <f>IF(原始经营数据!$D2430="","",原始经营数据!$F2430)</f>
        <v/>
      </c>
      <c r="D2429" t="str">
        <f>IF(原始经营数据!$D2430="","",原始经营数据!$H2430)</f>
        <v/>
      </c>
      <c r="E2429" t="str">
        <f>IF(原始经营数据!$D2430="","",原始经营数据!$I2430)</f>
        <v/>
      </c>
      <c r="F2429" t="str">
        <f>IF(原始经营数据!$D2430="","",T(原始经营数据!$J2430))</f>
        <v/>
      </c>
      <c r="G2429" t="str">
        <f>IF(原始经营数据!$D2430="","",T(原始经营数据!$K2430))</f>
        <v/>
      </c>
      <c r="H2429" t="str">
        <f>IF(原始经营数据!$D2430="","",原始经营数据!$G2430)</f>
        <v/>
      </c>
      <c r="I2429" t="str">
        <f>IF($A2429="","",IF($B2429&lt;&gt;"",$B2429,IF(COUNTIFS(原始经营数据!$D$3:$D$3001,$A2429,原始经营数据!$E$3:$E$3001,"",原始经营数据!$F$3:$F$3001,$C2429,原始经营数据!$H$3:$H$3001,$D2429,原始经营数据!$K$3:$K$3001,$G2429)&gt;1,"基金整体·来源"&amp;原始经营数据!$A2430,"基金整体")))</f>
        <v/>
      </c>
      <c r="J2429" t="str">
        <f t="shared" si="558"/>
        <v/>
      </c>
      <c r="K2429" t="str">
        <f t="shared" si="559"/>
        <v/>
      </c>
      <c r="L2429" t="str">
        <f t="shared" si="560"/>
        <v/>
      </c>
      <c r="M2429">
        <f>IF($A2429="",0,IF(COUNTIF($L$2:$L2429,$L2429)=1,1,0))</f>
        <v>0</v>
      </c>
      <c r="N2429" t="str">
        <f t="shared" si="561"/>
        <v/>
      </c>
      <c r="O2429" t="str">
        <f t="shared" si="562"/>
        <v/>
      </c>
      <c r="P2429">
        <f>IF($A2429="",0,IF(COUNTIF($O$2:$O2429,$O2429)=1,1,0))</f>
        <v>0</v>
      </c>
      <c r="Q2429" t="str">
        <f>IF(AND($P2429=1,$A2429=经营数据!$B$3,$J2429=经营数据!$BA$5),COUNTIFS($P$2:$P$3000,1,$A$2:$A$3000,$A2429,$J$2:$J$3000,$J2429,$N$2:$N$3000,"&lt;"&amp;$N2429)+1,"")</f>
        <v/>
      </c>
      <c r="R2429" t="str">
        <f t="shared" si="563"/>
        <v/>
      </c>
      <c r="S2429">
        <f>IF($A2429="",0,IF(COUNTIF($R$2:$R2429,$R2429)=1,1,0))</f>
        <v>0</v>
      </c>
      <c r="T2429" t="str">
        <f t="shared" si="564"/>
        <v/>
      </c>
      <c r="U2429" t="str">
        <f>IF($A2429="","",IF($A2429=经营数据!$B$3,COUNTIFS($S$2:$S$3000,1,$A$2:$A$3000,$A2429,$T$2:$T$3000,"&lt;"&amp;$T2429)+1,""))</f>
        <v/>
      </c>
      <c r="V2429" t="str">
        <f t="shared" si="565"/>
        <v/>
      </c>
      <c r="W2429" t="str">
        <f t="shared" si="566"/>
        <v/>
      </c>
      <c r="X2429" t="str">
        <f t="shared" si="567"/>
        <v/>
      </c>
      <c r="Y2429" t="str">
        <f t="shared" si="568"/>
        <v/>
      </c>
      <c r="Z2429">
        <f>IF($A2429="",0,IF(AND($M2429=1,$A2429=经营数据!$B$3,$J2429=经营数据!$BA$5,OR($I2429=经营数据!$BA$4,COUNTIF(经营数据!$AA$9:$AA$38,$I2429)&gt;0)),1,0))</f>
        <v>0</v>
      </c>
      <c r="AA2429" t="str">
        <f t="shared" si="569"/>
        <v/>
      </c>
      <c r="AB2429" t="str">
        <f t="shared" si="570"/>
        <v/>
      </c>
      <c r="AC2429">
        <f>IF($A2429="",0,IF(COUNTIF($A$2:$A2429,$A2429)=1,1,0))</f>
        <v>0</v>
      </c>
      <c r="AD2429">
        <f t="shared" si="571"/>
        <v>29</v>
      </c>
      <c r="AE2429" t="str">
        <f t="shared" si="572"/>
        <v/>
      </c>
    </row>
    <row r="2430" spans="1:31" x14ac:dyDescent="0.4">
      <c r="A2430" t="str">
        <f>IF(原始经营数据!$D2431="","",原始经营数据!$D2431)</f>
        <v/>
      </c>
      <c r="B2430" t="str">
        <f>IF(原始经营数据!$D2431="","",T(原始经营数据!$E2431))</f>
        <v/>
      </c>
      <c r="C2430" t="str">
        <f>IF(原始经营数据!$D2431="","",原始经营数据!$F2431)</f>
        <v/>
      </c>
      <c r="D2430" t="str">
        <f>IF(原始经营数据!$D2431="","",原始经营数据!$H2431)</f>
        <v/>
      </c>
      <c r="E2430" t="str">
        <f>IF(原始经营数据!$D2431="","",原始经营数据!$I2431)</f>
        <v/>
      </c>
      <c r="F2430" t="str">
        <f>IF(原始经营数据!$D2431="","",T(原始经营数据!$J2431))</f>
        <v/>
      </c>
      <c r="G2430" t="str">
        <f>IF(原始经营数据!$D2431="","",T(原始经营数据!$K2431))</f>
        <v/>
      </c>
      <c r="H2430" t="str">
        <f>IF(原始经营数据!$D2431="","",原始经营数据!$G2431)</f>
        <v/>
      </c>
      <c r="I2430" t="str">
        <f>IF($A2430="","",IF($B2430&lt;&gt;"",$B2430,IF(COUNTIFS(原始经营数据!$D$3:$D$3001,$A2430,原始经营数据!$E$3:$E$3001,"",原始经营数据!$F$3:$F$3001,$C2430,原始经营数据!$H$3:$H$3001,$D2430,原始经营数据!$K$3:$K$3001,$G2430)&gt;1,"基金整体·来源"&amp;原始经营数据!$A2431,"基金整体")))</f>
        <v/>
      </c>
      <c r="J2430" t="str">
        <f t="shared" si="558"/>
        <v/>
      </c>
      <c r="K2430" t="str">
        <f t="shared" si="559"/>
        <v/>
      </c>
      <c r="L2430" t="str">
        <f t="shared" si="560"/>
        <v/>
      </c>
      <c r="M2430">
        <f>IF($A2430="",0,IF(COUNTIF($L$2:$L2430,$L2430)=1,1,0))</f>
        <v>0</v>
      </c>
      <c r="N2430" t="str">
        <f t="shared" si="561"/>
        <v/>
      </c>
      <c r="O2430" t="str">
        <f t="shared" si="562"/>
        <v/>
      </c>
      <c r="P2430">
        <f>IF($A2430="",0,IF(COUNTIF($O$2:$O2430,$O2430)=1,1,0))</f>
        <v>0</v>
      </c>
      <c r="Q2430" t="str">
        <f>IF(AND($P2430=1,$A2430=经营数据!$B$3,$J2430=经营数据!$BA$5),COUNTIFS($P$2:$P$3000,1,$A$2:$A$3000,$A2430,$J$2:$J$3000,$J2430,$N$2:$N$3000,"&lt;"&amp;$N2430)+1,"")</f>
        <v/>
      </c>
      <c r="R2430" t="str">
        <f t="shared" si="563"/>
        <v/>
      </c>
      <c r="S2430">
        <f>IF($A2430="",0,IF(COUNTIF($R$2:$R2430,$R2430)=1,1,0))</f>
        <v>0</v>
      </c>
      <c r="T2430" t="str">
        <f t="shared" si="564"/>
        <v/>
      </c>
      <c r="U2430" t="str">
        <f>IF($A2430="","",IF($A2430=经营数据!$B$3,COUNTIFS($S$2:$S$3000,1,$A$2:$A$3000,$A2430,$T$2:$T$3000,"&lt;"&amp;$T2430)+1,""))</f>
        <v/>
      </c>
      <c r="V2430" t="str">
        <f t="shared" si="565"/>
        <v/>
      </c>
      <c r="W2430" t="str">
        <f t="shared" si="566"/>
        <v/>
      </c>
      <c r="X2430" t="str">
        <f t="shared" si="567"/>
        <v/>
      </c>
      <c r="Y2430" t="str">
        <f t="shared" si="568"/>
        <v/>
      </c>
      <c r="Z2430">
        <f>IF($A2430="",0,IF(AND($M2430=1,$A2430=经营数据!$B$3,$J2430=经营数据!$BA$5,OR($I2430=经营数据!$BA$4,COUNTIF(经营数据!$AA$9:$AA$38,$I2430)&gt;0)),1,0))</f>
        <v>0</v>
      </c>
      <c r="AA2430" t="str">
        <f t="shared" si="569"/>
        <v/>
      </c>
      <c r="AB2430" t="str">
        <f t="shared" si="570"/>
        <v/>
      </c>
      <c r="AC2430">
        <f>IF($A2430="",0,IF(COUNTIF($A$2:$A2430,$A2430)=1,1,0))</f>
        <v>0</v>
      </c>
      <c r="AD2430">
        <f t="shared" si="571"/>
        <v>29</v>
      </c>
      <c r="AE2430" t="str">
        <f t="shared" si="572"/>
        <v/>
      </c>
    </row>
    <row r="2431" spans="1:31" x14ac:dyDescent="0.4">
      <c r="A2431" t="str">
        <f>IF(原始经营数据!$D2432="","",原始经营数据!$D2432)</f>
        <v/>
      </c>
      <c r="B2431" t="str">
        <f>IF(原始经营数据!$D2432="","",T(原始经营数据!$E2432))</f>
        <v/>
      </c>
      <c r="C2431" t="str">
        <f>IF(原始经营数据!$D2432="","",原始经营数据!$F2432)</f>
        <v/>
      </c>
      <c r="D2431" t="str">
        <f>IF(原始经营数据!$D2432="","",原始经营数据!$H2432)</f>
        <v/>
      </c>
      <c r="E2431" t="str">
        <f>IF(原始经营数据!$D2432="","",原始经营数据!$I2432)</f>
        <v/>
      </c>
      <c r="F2431" t="str">
        <f>IF(原始经营数据!$D2432="","",T(原始经营数据!$J2432))</f>
        <v/>
      </c>
      <c r="G2431" t="str">
        <f>IF(原始经营数据!$D2432="","",T(原始经营数据!$K2432))</f>
        <v/>
      </c>
      <c r="H2431" t="str">
        <f>IF(原始经营数据!$D2432="","",原始经营数据!$G2432)</f>
        <v/>
      </c>
      <c r="I2431" t="str">
        <f>IF($A2431="","",IF($B2431&lt;&gt;"",$B2431,IF(COUNTIFS(原始经营数据!$D$3:$D$3001,$A2431,原始经营数据!$E$3:$E$3001,"",原始经营数据!$F$3:$F$3001,$C2431,原始经营数据!$H$3:$H$3001,$D2431,原始经营数据!$K$3:$K$3001,$G2431)&gt;1,"基金整体·来源"&amp;原始经营数据!$A2432,"基金整体")))</f>
        <v/>
      </c>
      <c r="J2431" t="str">
        <f t="shared" si="558"/>
        <v/>
      </c>
      <c r="K2431" t="str">
        <f t="shared" si="559"/>
        <v/>
      </c>
      <c r="L2431" t="str">
        <f t="shared" si="560"/>
        <v/>
      </c>
      <c r="M2431">
        <f>IF($A2431="",0,IF(COUNTIF($L$2:$L2431,$L2431)=1,1,0))</f>
        <v>0</v>
      </c>
      <c r="N2431" t="str">
        <f t="shared" si="561"/>
        <v/>
      </c>
      <c r="O2431" t="str">
        <f t="shared" si="562"/>
        <v/>
      </c>
      <c r="P2431">
        <f>IF($A2431="",0,IF(COUNTIF($O$2:$O2431,$O2431)=1,1,0))</f>
        <v>0</v>
      </c>
      <c r="Q2431" t="str">
        <f>IF(AND($P2431=1,$A2431=经营数据!$B$3,$J2431=经营数据!$BA$5),COUNTIFS($P$2:$P$3000,1,$A$2:$A$3000,$A2431,$J$2:$J$3000,$J2431,$N$2:$N$3000,"&lt;"&amp;$N2431)+1,"")</f>
        <v/>
      </c>
      <c r="R2431" t="str">
        <f t="shared" si="563"/>
        <v/>
      </c>
      <c r="S2431">
        <f>IF($A2431="",0,IF(COUNTIF($R$2:$R2431,$R2431)=1,1,0))</f>
        <v>0</v>
      </c>
      <c r="T2431" t="str">
        <f t="shared" si="564"/>
        <v/>
      </c>
      <c r="U2431" t="str">
        <f>IF($A2431="","",IF($A2431=经营数据!$B$3,COUNTIFS($S$2:$S$3000,1,$A$2:$A$3000,$A2431,$T$2:$T$3000,"&lt;"&amp;$T2431)+1,""))</f>
        <v/>
      </c>
      <c r="V2431" t="str">
        <f t="shared" si="565"/>
        <v/>
      </c>
      <c r="W2431" t="str">
        <f t="shared" si="566"/>
        <v/>
      </c>
      <c r="X2431" t="str">
        <f t="shared" si="567"/>
        <v/>
      </c>
      <c r="Y2431" t="str">
        <f t="shared" si="568"/>
        <v/>
      </c>
      <c r="Z2431">
        <f>IF($A2431="",0,IF(AND($M2431=1,$A2431=经营数据!$B$3,$J2431=经营数据!$BA$5,OR($I2431=经营数据!$BA$4,COUNTIF(经营数据!$AA$9:$AA$38,$I2431)&gt;0)),1,0))</f>
        <v>0</v>
      </c>
      <c r="AA2431" t="str">
        <f t="shared" si="569"/>
        <v/>
      </c>
      <c r="AB2431" t="str">
        <f t="shared" si="570"/>
        <v/>
      </c>
      <c r="AC2431">
        <f>IF($A2431="",0,IF(COUNTIF($A$2:$A2431,$A2431)=1,1,0))</f>
        <v>0</v>
      </c>
      <c r="AD2431">
        <f t="shared" si="571"/>
        <v>29</v>
      </c>
      <c r="AE2431" t="str">
        <f t="shared" si="572"/>
        <v/>
      </c>
    </row>
    <row r="2432" spans="1:31" x14ac:dyDescent="0.4">
      <c r="A2432" t="str">
        <f>IF(原始经营数据!$D2433="","",原始经营数据!$D2433)</f>
        <v/>
      </c>
      <c r="B2432" t="str">
        <f>IF(原始经营数据!$D2433="","",T(原始经营数据!$E2433))</f>
        <v/>
      </c>
      <c r="C2432" t="str">
        <f>IF(原始经营数据!$D2433="","",原始经营数据!$F2433)</f>
        <v/>
      </c>
      <c r="D2432" t="str">
        <f>IF(原始经营数据!$D2433="","",原始经营数据!$H2433)</f>
        <v/>
      </c>
      <c r="E2432" t="str">
        <f>IF(原始经营数据!$D2433="","",原始经营数据!$I2433)</f>
        <v/>
      </c>
      <c r="F2432" t="str">
        <f>IF(原始经营数据!$D2433="","",T(原始经营数据!$J2433))</f>
        <v/>
      </c>
      <c r="G2432" t="str">
        <f>IF(原始经营数据!$D2433="","",T(原始经营数据!$K2433))</f>
        <v/>
      </c>
      <c r="H2432" t="str">
        <f>IF(原始经营数据!$D2433="","",原始经营数据!$G2433)</f>
        <v/>
      </c>
      <c r="I2432" t="str">
        <f>IF($A2432="","",IF($B2432&lt;&gt;"",$B2432,IF(COUNTIFS(原始经营数据!$D$3:$D$3001,$A2432,原始经营数据!$E$3:$E$3001,"",原始经营数据!$F$3:$F$3001,$C2432,原始经营数据!$H$3:$H$3001,$D2432,原始经营数据!$K$3:$K$3001,$G2432)&gt;1,"基金整体·来源"&amp;原始经营数据!$A2433,"基金整体")))</f>
        <v/>
      </c>
      <c r="J2432" t="str">
        <f t="shared" si="558"/>
        <v/>
      </c>
      <c r="K2432" t="str">
        <f t="shared" si="559"/>
        <v/>
      </c>
      <c r="L2432" t="str">
        <f t="shared" si="560"/>
        <v/>
      </c>
      <c r="M2432">
        <f>IF($A2432="",0,IF(COUNTIF($L$2:$L2432,$L2432)=1,1,0))</f>
        <v>0</v>
      </c>
      <c r="N2432" t="str">
        <f t="shared" si="561"/>
        <v/>
      </c>
      <c r="O2432" t="str">
        <f t="shared" si="562"/>
        <v/>
      </c>
      <c r="P2432">
        <f>IF($A2432="",0,IF(COUNTIF($O$2:$O2432,$O2432)=1,1,0))</f>
        <v>0</v>
      </c>
      <c r="Q2432" t="str">
        <f>IF(AND($P2432=1,$A2432=经营数据!$B$3,$J2432=经营数据!$BA$5),COUNTIFS($P$2:$P$3000,1,$A$2:$A$3000,$A2432,$J$2:$J$3000,$J2432,$N$2:$N$3000,"&lt;"&amp;$N2432)+1,"")</f>
        <v/>
      </c>
      <c r="R2432" t="str">
        <f t="shared" si="563"/>
        <v/>
      </c>
      <c r="S2432">
        <f>IF($A2432="",0,IF(COUNTIF($R$2:$R2432,$R2432)=1,1,0))</f>
        <v>0</v>
      </c>
      <c r="T2432" t="str">
        <f t="shared" si="564"/>
        <v/>
      </c>
      <c r="U2432" t="str">
        <f>IF($A2432="","",IF($A2432=经营数据!$B$3,COUNTIFS($S$2:$S$3000,1,$A$2:$A$3000,$A2432,$T$2:$T$3000,"&lt;"&amp;$T2432)+1,""))</f>
        <v/>
      </c>
      <c r="V2432" t="str">
        <f t="shared" si="565"/>
        <v/>
      </c>
      <c r="W2432" t="str">
        <f t="shared" si="566"/>
        <v/>
      </c>
      <c r="X2432" t="str">
        <f t="shared" si="567"/>
        <v/>
      </c>
      <c r="Y2432" t="str">
        <f t="shared" si="568"/>
        <v/>
      </c>
      <c r="Z2432">
        <f>IF($A2432="",0,IF(AND($M2432=1,$A2432=经营数据!$B$3,$J2432=经营数据!$BA$5,OR($I2432=经营数据!$BA$4,COUNTIF(经营数据!$AA$9:$AA$38,$I2432)&gt;0)),1,0))</f>
        <v>0</v>
      </c>
      <c r="AA2432" t="str">
        <f t="shared" si="569"/>
        <v/>
      </c>
      <c r="AB2432" t="str">
        <f t="shared" si="570"/>
        <v/>
      </c>
      <c r="AC2432">
        <f>IF($A2432="",0,IF(COUNTIF($A$2:$A2432,$A2432)=1,1,0))</f>
        <v>0</v>
      </c>
      <c r="AD2432">
        <f t="shared" si="571"/>
        <v>29</v>
      </c>
      <c r="AE2432" t="str">
        <f t="shared" si="572"/>
        <v/>
      </c>
    </row>
    <row r="2433" spans="1:31" x14ac:dyDescent="0.4">
      <c r="A2433" t="str">
        <f>IF(原始经营数据!$D2434="","",原始经营数据!$D2434)</f>
        <v/>
      </c>
      <c r="B2433" t="str">
        <f>IF(原始经营数据!$D2434="","",T(原始经营数据!$E2434))</f>
        <v/>
      </c>
      <c r="C2433" t="str">
        <f>IF(原始经营数据!$D2434="","",原始经营数据!$F2434)</f>
        <v/>
      </c>
      <c r="D2433" t="str">
        <f>IF(原始经营数据!$D2434="","",原始经营数据!$H2434)</f>
        <v/>
      </c>
      <c r="E2433" t="str">
        <f>IF(原始经营数据!$D2434="","",原始经营数据!$I2434)</f>
        <v/>
      </c>
      <c r="F2433" t="str">
        <f>IF(原始经营数据!$D2434="","",T(原始经营数据!$J2434))</f>
        <v/>
      </c>
      <c r="G2433" t="str">
        <f>IF(原始经营数据!$D2434="","",T(原始经营数据!$K2434))</f>
        <v/>
      </c>
      <c r="H2433" t="str">
        <f>IF(原始经营数据!$D2434="","",原始经营数据!$G2434)</f>
        <v/>
      </c>
      <c r="I2433" t="str">
        <f>IF($A2433="","",IF($B2433&lt;&gt;"",$B2433,IF(COUNTIFS(原始经营数据!$D$3:$D$3001,$A2433,原始经营数据!$E$3:$E$3001,"",原始经营数据!$F$3:$F$3001,$C2433,原始经营数据!$H$3:$H$3001,$D2433,原始经营数据!$K$3:$K$3001,$G2433)&gt;1,"基金整体·来源"&amp;原始经营数据!$A2434,"基金整体")))</f>
        <v/>
      </c>
      <c r="J2433" t="str">
        <f t="shared" si="558"/>
        <v/>
      </c>
      <c r="K2433" t="str">
        <f t="shared" si="559"/>
        <v/>
      </c>
      <c r="L2433" t="str">
        <f t="shared" si="560"/>
        <v/>
      </c>
      <c r="M2433">
        <f>IF($A2433="",0,IF(COUNTIF($L$2:$L2433,$L2433)=1,1,0))</f>
        <v>0</v>
      </c>
      <c r="N2433" t="str">
        <f t="shared" si="561"/>
        <v/>
      </c>
      <c r="O2433" t="str">
        <f t="shared" si="562"/>
        <v/>
      </c>
      <c r="P2433">
        <f>IF($A2433="",0,IF(COUNTIF($O$2:$O2433,$O2433)=1,1,0))</f>
        <v>0</v>
      </c>
      <c r="Q2433" t="str">
        <f>IF(AND($P2433=1,$A2433=经营数据!$B$3,$J2433=经营数据!$BA$5),COUNTIFS($P$2:$P$3000,1,$A$2:$A$3000,$A2433,$J$2:$J$3000,$J2433,$N$2:$N$3000,"&lt;"&amp;$N2433)+1,"")</f>
        <v/>
      </c>
      <c r="R2433" t="str">
        <f t="shared" si="563"/>
        <v/>
      </c>
      <c r="S2433">
        <f>IF($A2433="",0,IF(COUNTIF($R$2:$R2433,$R2433)=1,1,0))</f>
        <v>0</v>
      </c>
      <c r="T2433" t="str">
        <f t="shared" si="564"/>
        <v/>
      </c>
      <c r="U2433" t="str">
        <f>IF($A2433="","",IF($A2433=经营数据!$B$3,COUNTIFS($S$2:$S$3000,1,$A$2:$A$3000,$A2433,$T$2:$T$3000,"&lt;"&amp;$T2433)+1,""))</f>
        <v/>
      </c>
      <c r="V2433" t="str">
        <f t="shared" si="565"/>
        <v/>
      </c>
      <c r="W2433" t="str">
        <f t="shared" si="566"/>
        <v/>
      </c>
      <c r="X2433" t="str">
        <f t="shared" si="567"/>
        <v/>
      </c>
      <c r="Y2433" t="str">
        <f t="shared" si="568"/>
        <v/>
      </c>
      <c r="Z2433">
        <f>IF($A2433="",0,IF(AND($M2433=1,$A2433=经营数据!$B$3,$J2433=经营数据!$BA$5,OR($I2433=经营数据!$BA$4,COUNTIF(经营数据!$AA$9:$AA$38,$I2433)&gt;0)),1,0))</f>
        <v>0</v>
      </c>
      <c r="AA2433" t="str">
        <f t="shared" si="569"/>
        <v/>
      </c>
      <c r="AB2433" t="str">
        <f t="shared" si="570"/>
        <v/>
      </c>
      <c r="AC2433">
        <f>IF($A2433="",0,IF(COUNTIF($A$2:$A2433,$A2433)=1,1,0))</f>
        <v>0</v>
      </c>
      <c r="AD2433">
        <f t="shared" si="571"/>
        <v>29</v>
      </c>
      <c r="AE2433" t="str">
        <f t="shared" si="572"/>
        <v/>
      </c>
    </row>
    <row r="2434" spans="1:31" x14ac:dyDescent="0.4">
      <c r="A2434" t="str">
        <f>IF(原始经营数据!$D2435="","",原始经营数据!$D2435)</f>
        <v/>
      </c>
      <c r="B2434" t="str">
        <f>IF(原始经营数据!$D2435="","",T(原始经营数据!$E2435))</f>
        <v/>
      </c>
      <c r="C2434" t="str">
        <f>IF(原始经营数据!$D2435="","",原始经营数据!$F2435)</f>
        <v/>
      </c>
      <c r="D2434" t="str">
        <f>IF(原始经营数据!$D2435="","",原始经营数据!$H2435)</f>
        <v/>
      </c>
      <c r="E2434" t="str">
        <f>IF(原始经营数据!$D2435="","",原始经营数据!$I2435)</f>
        <v/>
      </c>
      <c r="F2434" t="str">
        <f>IF(原始经营数据!$D2435="","",T(原始经营数据!$J2435))</f>
        <v/>
      </c>
      <c r="G2434" t="str">
        <f>IF(原始经营数据!$D2435="","",T(原始经营数据!$K2435))</f>
        <v/>
      </c>
      <c r="H2434" t="str">
        <f>IF(原始经营数据!$D2435="","",原始经营数据!$G2435)</f>
        <v/>
      </c>
      <c r="I2434" t="str">
        <f>IF($A2434="","",IF($B2434&lt;&gt;"",$B2434,IF(COUNTIFS(原始经营数据!$D$3:$D$3001,$A2434,原始经营数据!$E$3:$E$3001,"",原始经营数据!$F$3:$F$3001,$C2434,原始经营数据!$H$3:$H$3001,$D2434,原始经营数据!$K$3:$K$3001,$G2434)&gt;1,"基金整体·来源"&amp;原始经营数据!$A2435,"基金整体")))</f>
        <v/>
      </c>
      <c r="J2434" t="str">
        <f t="shared" ref="J2434:J2497" si="573">IF($A2434="","",IF(LEN($C2434)=4,"年度",IF(AND(LEN($C2434)=6,ISNUMBER(SEARCH("Q",$C2434))),"季度","其他期间")))</f>
        <v/>
      </c>
      <c r="K2434" t="str">
        <f t="shared" ref="K2434:K2497" si="574">IF($A2434="","",$D2434&amp;IF($G2434="","","-"&amp;SUBSTITUTE($G2434,CHAR(10),""))&amp;IF($F2434="","","（"&amp;$F2434&amp;"）"))</f>
        <v/>
      </c>
      <c r="L2434" t="str">
        <f t="shared" ref="L2434:L2497" si="575">IF($A2434="","",$I2434&amp;"|"&amp;$K2434&amp;"|"&amp;$J2434)</f>
        <v/>
      </c>
      <c r="M2434">
        <f>IF($A2434="",0,IF(COUNTIF($L$2:$L2434,$L2434)=1,1,0))</f>
        <v>0</v>
      </c>
      <c r="N2434" t="str">
        <f t="shared" ref="N2434:N2497" si="576">IF($A2434="","",IF($J2434="年度",VALUE($C2434)*10,IF($J2434="季度",VALUE(LEFT($C2434,4))*10+VALUE(RIGHT($C2434,1)),VALUE(LEFT($C2434,4))*10+9)))</f>
        <v/>
      </c>
      <c r="O2434" t="str">
        <f t="shared" ref="O2434:O2497" si="577">IF($A2434="","",$A2434&amp;"|"&amp;$C2434&amp;"|"&amp;$J2434)</f>
        <v/>
      </c>
      <c r="P2434">
        <f>IF($A2434="",0,IF(COUNTIF($O$2:$O2434,$O2434)=1,1,0))</f>
        <v>0</v>
      </c>
      <c r="Q2434" t="str">
        <f>IF(AND($P2434=1,$A2434=经营数据!$B$3,$J2434=经营数据!$BA$5),COUNTIFS($P$2:$P$3000,1,$A$2:$A$3000,$A2434,$J$2:$J$3000,$J2434,$N$2:$N$3000,"&lt;"&amp;$N2434)+1,"")</f>
        <v/>
      </c>
      <c r="R2434" t="str">
        <f t="shared" ref="R2434:R2497" si="578">IF($A2434="","",$A2434&amp;"|"&amp;$I2434)</f>
        <v/>
      </c>
      <c r="S2434">
        <f>IF($A2434="",0,IF(COUNTIF($R$2:$R2434,$R2434)=1,1,0))</f>
        <v>0</v>
      </c>
      <c r="T2434" t="str">
        <f t="shared" ref="T2434:T2497" si="579">IF($A2434="","",MATCH($R2434,$R$2:$R$3000,0))</f>
        <v/>
      </c>
      <c r="U2434" t="str">
        <f>IF($A2434="","",IF($A2434=经营数据!$B$3,COUNTIFS($S$2:$S$3000,1,$A$2:$A$3000,$A2434,$T$2:$T$3000,"&lt;"&amp;$T2434)+1,""))</f>
        <v/>
      </c>
      <c r="V2434" t="str">
        <f t="shared" ref="V2434:V2497" si="580">IF($A2434="","",$I2434&amp;"|"&amp;$H2434)</f>
        <v/>
      </c>
      <c r="W2434" t="str">
        <f t="shared" ref="W2434:W2497" si="581">IF($A2434="","",MATCH($V2434,$V$2:$V$3000,0))</f>
        <v/>
      </c>
      <c r="X2434" t="str">
        <f t="shared" ref="X2434:X2497" si="582">IF($A2434="","",$I2434&amp;"|"&amp;$D2434)</f>
        <v/>
      </c>
      <c r="Y2434" t="str">
        <f t="shared" ref="Y2434:Y2497" si="583">IF($A2434="","",MATCH($X2434,$X$2:$X$3000,0))</f>
        <v/>
      </c>
      <c r="Z2434">
        <f>IF($A2434="",0,IF(AND($M2434=1,$A2434=经营数据!$B$3,$J2434=经营数据!$BA$5,OR($I2434=经营数据!$BA$4,COUNTIF(经营数据!$AA$9:$AA$38,$I2434)&gt;0)),1,0))</f>
        <v>0</v>
      </c>
      <c r="AA2434" t="str">
        <f t="shared" ref="AA2434:AA2497" si="584">IF($Z2434=1,$U2434*1000000000000+$W2434*100000000+$Y2434*10000+ROW(),"")</f>
        <v/>
      </c>
      <c r="AB2434" t="str">
        <f t="shared" ref="AB2434:AB2497" si="585">IF($Z2434=1,COUNTIFS($Z$2:$Z$3000,1,$AA$2:$AA$3000,"&lt;"&amp;$AA2434)+1,"")</f>
        <v/>
      </c>
      <c r="AC2434">
        <f>IF($A2434="",0,IF(COUNTIF($A$2:$A2434,$A2434)=1,1,0))</f>
        <v>0</v>
      </c>
      <c r="AD2434">
        <f t="shared" ref="AD2434:AD2497" si="586">IF($A2434="",N(AD2433),IF($AC2434=1,N(AD2433)+1,N(AD2433)))</f>
        <v>29</v>
      </c>
      <c r="AE2434" t="str">
        <f t="shared" ref="AE2434:AE2497" si="587">IF($A2434="","",$I2434&amp;"|"&amp;$K2434)</f>
        <v/>
      </c>
    </row>
    <row r="2435" spans="1:31" x14ac:dyDescent="0.4">
      <c r="A2435" t="str">
        <f>IF(原始经营数据!$D2436="","",原始经营数据!$D2436)</f>
        <v/>
      </c>
      <c r="B2435" t="str">
        <f>IF(原始经营数据!$D2436="","",T(原始经营数据!$E2436))</f>
        <v/>
      </c>
      <c r="C2435" t="str">
        <f>IF(原始经营数据!$D2436="","",原始经营数据!$F2436)</f>
        <v/>
      </c>
      <c r="D2435" t="str">
        <f>IF(原始经营数据!$D2436="","",原始经营数据!$H2436)</f>
        <v/>
      </c>
      <c r="E2435" t="str">
        <f>IF(原始经营数据!$D2436="","",原始经营数据!$I2436)</f>
        <v/>
      </c>
      <c r="F2435" t="str">
        <f>IF(原始经营数据!$D2436="","",T(原始经营数据!$J2436))</f>
        <v/>
      </c>
      <c r="G2435" t="str">
        <f>IF(原始经营数据!$D2436="","",T(原始经营数据!$K2436))</f>
        <v/>
      </c>
      <c r="H2435" t="str">
        <f>IF(原始经营数据!$D2436="","",原始经营数据!$G2436)</f>
        <v/>
      </c>
      <c r="I2435" t="str">
        <f>IF($A2435="","",IF($B2435&lt;&gt;"",$B2435,IF(COUNTIFS(原始经营数据!$D$3:$D$3001,$A2435,原始经营数据!$E$3:$E$3001,"",原始经营数据!$F$3:$F$3001,$C2435,原始经营数据!$H$3:$H$3001,$D2435,原始经营数据!$K$3:$K$3001,$G2435)&gt;1,"基金整体·来源"&amp;原始经营数据!$A2436,"基金整体")))</f>
        <v/>
      </c>
      <c r="J2435" t="str">
        <f t="shared" si="573"/>
        <v/>
      </c>
      <c r="K2435" t="str">
        <f t="shared" si="574"/>
        <v/>
      </c>
      <c r="L2435" t="str">
        <f t="shared" si="575"/>
        <v/>
      </c>
      <c r="M2435">
        <f>IF($A2435="",0,IF(COUNTIF($L$2:$L2435,$L2435)=1,1,0))</f>
        <v>0</v>
      </c>
      <c r="N2435" t="str">
        <f t="shared" si="576"/>
        <v/>
      </c>
      <c r="O2435" t="str">
        <f t="shared" si="577"/>
        <v/>
      </c>
      <c r="P2435">
        <f>IF($A2435="",0,IF(COUNTIF($O$2:$O2435,$O2435)=1,1,0))</f>
        <v>0</v>
      </c>
      <c r="Q2435" t="str">
        <f>IF(AND($P2435=1,$A2435=经营数据!$B$3,$J2435=经营数据!$BA$5),COUNTIFS($P$2:$P$3000,1,$A$2:$A$3000,$A2435,$J$2:$J$3000,$J2435,$N$2:$N$3000,"&lt;"&amp;$N2435)+1,"")</f>
        <v/>
      </c>
      <c r="R2435" t="str">
        <f t="shared" si="578"/>
        <v/>
      </c>
      <c r="S2435">
        <f>IF($A2435="",0,IF(COUNTIF($R$2:$R2435,$R2435)=1,1,0))</f>
        <v>0</v>
      </c>
      <c r="T2435" t="str">
        <f t="shared" si="579"/>
        <v/>
      </c>
      <c r="U2435" t="str">
        <f>IF($A2435="","",IF($A2435=经营数据!$B$3,COUNTIFS($S$2:$S$3000,1,$A$2:$A$3000,$A2435,$T$2:$T$3000,"&lt;"&amp;$T2435)+1,""))</f>
        <v/>
      </c>
      <c r="V2435" t="str">
        <f t="shared" si="580"/>
        <v/>
      </c>
      <c r="W2435" t="str">
        <f t="shared" si="581"/>
        <v/>
      </c>
      <c r="X2435" t="str">
        <f t="shared" si="582"/>
        <v/>
      </c>
      <c r="Y2435" t="str">
        <f t="shared" si="583"/>
        <v/>
      </c>
      <c r="Z2435">
        <f>IF($A2435="",0,IF(AND($M2435=1,$A2435=经营数据!$B$3,$J2435=经营数据!$BA$5,OR($I2435=经营数据!$BA$4,COUNTIF(经营数据!$AA$9:$AA$38,$I2435)&gt;0)),1,0))</f>
        <v>0</v>
      </c>
      <c r="AA2435" t="str">
        <f t="shared" si="584"/>
        <v/>
      </c>
      <c r="AB2435" t="str">
        <f t="shared" si="585"/>
        <v/>
      </c>
      <c r="AC2435">
        <f>IF($A2435="",0,IF(COUNTIF($A$2:$A2435,$A2435)=1,1,0))</f>
        <v>0</v>
      </c>
      <c r="AD2435">
        <f t="shared" si="586"/>
        <v>29</v>
      </c>
      <c r="AE2435" t="str">
        <f t="shared" si="587"/>
        <v/>
      </c>
    </row>
    <row r="2436" spans="1:31" x14ac:dyDescent="0.4">
      <c r="A2436" t="str">
        <f>IF(原始经营数据!$D2437="","",原始经营数据!$D2437)</f>
        <v/>
      </c>
      <c r="B2436" t="str">
        <f>IF(原始经营数据!$D2437="","",T(原始经营数据!$E2437))</f>
        <v/>
      </c>
      <c r="C2436" t="str">
        <f>IF(原始经营数据!$D2437="","",原始经营数据!$F2437)</f>
        <v/>
      </c>
      <c r="D2436" t="str">
        <f>IF(原始经营数据!$D2437="","",原始经营数据!$H2437)</f>
        <v/>
      </c>
      <c r="E2436" t="str">
        <f>IF(原始经营数据!$D2437="","",原始经营数据!$I2437)</f>
        <v/>
      </c>
      <c r="F2436" t="str">
        <f>IF(原始经营数据!$D2437="","",T(原始经营数据!$J2437))</f>
        <v/>
      </c>
      <c r="G2436" t="str">
        <f>IF(原始经营数据!$D2437="","",T(原始经营数据!$K2437))</f>
        <v/>
      </c>
      <c r="H2436" t="str">
        <f>IF(原始经营数据!$D2437="","",原始经营数据!$G2437)</f>
        <v/>
      </c>
      <c r="I2436" t="str">
        <f>IF($A2436="","",IF($B2436&lt;&gt;"",$B2436,IF(COUNTIFS(原始经营数据!$D$3:$D$3001,$A2436,原始经营数据!$E$3:$E$3001,"",原始经营数据!$F$3:$F$3001,$C2436,原始经营数据!$H$3:$H$3001,$D2436,原始经营数据!$K$3:$K$3001,$G2436)&gt;1,"基金整体·来源"&amp;原始经营数据!$A2437,"基金整体")))</f>
        <v/>
      </c>
      <c r="J2436" t="str">
        <f t="shared" si="573"/>
        <v/>
      </c>
      <c r="K2436" t="str">
        <f t="shared" si="574"/>
        <v/>
      </c>
      <c r="L2436" t="str">
        <f t="shared" si="575"/>
        <v/>
      </c>
      <c r="M2436">
        <f>IF($A2436="",0,IF(COUNTIF($L$2:$L2436,$L2436)=1,1,0))</f>
        <v>0</v>
      </c>
      <c r="N2436" t="str">
        <f t="shared" si="576"/>
        <v/>
      </c>
      <c r="O2436" t="str">
        <f t="shared" si="577"/>
        <v/>
      </c>
      <c r="P2436">
        <f>IF($A2436="",0,IF(COUNTIF($O$2:$O2436,$O2436)=1,1,0))</f>
        <v>0</v>
      </c>
      <c r="Q2436" t="str">
        <f>IF(AND($P2436=1,$A2436=经营数据!$B$3,$J2436=经营数据!$BA$5),COUNTIFS($P$2:$P$3000,1,$A$2:$A$3000,$A2436,$J$2:$J$3000,$J2436,$N$2:$N$3000,"&lt;"&amp;$N2436)+1,"")</f>
        <v/>
      </c>
      <c r="R2436" t="str">
        <f t="shared" si="578"/>
        <v/>
      </c>
      <c r="S2436">
        <f>IF($A2436="",0,IF(COUNTIF($R$2:$R2436,$R2436)=1,1,0))</f>
        <v>0</v>
      </c>
      <c r="T2436" t="str">
        <f t="shared" si="579"/>
        <v/>
      </c>
      <c r="U2436" t="str">
        <f>IF($A2436="","",IF($A2436=经营数据!$B$3,COUNTIFS($S$2:$S$3000,1,$A$2:$A$3000,$A2436,$T$2:$T$3000,"&lt;"&amp;$T2436)+1,""))</f>
        <v/>
      </c>
      <c r="V2436" t="str">
        <f t="shared" si="580"/>
        <v/>
      </c>
      <c r="W2436" t="str">
        <f t="shared" si="581"/>
        <v/>
      </c>
      <c r="X2436" t="str">
        <f t="shared" si="582"/>
        <v/>
      </c>
      <c r="Y2436" t="str">
        <f t="shared" si="583"/>
        <v/>
      </c>
      <c r="Z2436">
        <f>IF($A2436="",0,IF(AND($M2436=1,$A2436=经营数据!$B$3,$J2436=经营数据!$BA$5,OR($I2436=经营数据!$BA$4,COUNTIF(经营数据!$AA$9:$AA$38,$I2436)&gt;0)),1,0))</f>
        <v>0</v>
      </c>
      <c r="AA2436" t="str">
        <f t="shared" si="584"/>
        <v/>
      </c>
      <c r="AB2436" t="str">
        <f t="shared" si="585"/>
        <v/>
      </c>
      <c r="AC2436">
        <f>IF($A2436="",0,IF(COUNTIF($A$2:$A2436,$A2436)=1,1,0))</f>
        <v>0</v>
      </c>
      <c r="AD2436">
        <f t="shared" si="586"/>
        <v>29</v>
      </c>
      <c r="AE2436" t="str">
        <f t="shared" si="587"/>
        <v/>
      </c>
    </row>
    <row r="2437" spans="1:31" x14ac:dyDescent="0.4">
      <c r="A2437" t="str">
        <f>IF(原始经营数据!$D2438="","",原始经营数据!$D2438)</f>
        <v/>
      </c>
      <c r="B2437" t="str">
        <f>IF(原始经营数据!$D2438="","",T(原始经营数据!$E2438))</f>
        <v/>
      </c>
      <c r="C2437" t="str">
        <f>IF(原始经营数据!$D2438="","",原始经营数据!$F2438)</f>
        <v/>
      </c>
      <c r="D2437" t="str">
        <f>IF(原始经营数据!$D2438="","",原始经营数据!$H2438)</f>
        <v/>
      </c>
      <c r="E2437" t="str">
        <f>IF(原始经营数据!$D2438="","",原始经营数据!$I2438)</f>
        <v/>
      </c>
      <c r="F2437" t="str">
        <f>IF(原始经营数据!$D2438="","",T(原始经营数据!$J2438))</f>
        <v/>
      </c>
      <c r="G2437" t="str">
        <f>IF(原始经营数据!$D2438="","",T(原始经营数据!$K2438))</f>
        <v/>
      </c>
      <c r="H2437" t="str">
        <f>IF(原始经营数据!$D2438="","",原始经营数据!$G2438)</f>
        <v/>
      </c>
      <c r="I2437" t="str">
        <f>IF($A2437="","",IF($B2437&lt;&gt;"",$B2437,IF(COUNTIFS(原始经营数据!$D$3:$D$3001,$A2437,原始经营数据!$E$3:$E$3001,"",原始经营数据!$F$3:$F$3001,$C2437,原始经营数据!$H$3:$H$3001,$D2437,原始经营数据!$K$3:$K$3001,$G2437)&gt;1,"基金整体·来源"&amp;原始经营数据!$A2438,"基金整体")))</f>
        <v/>
      </c>
      <c r="J2437" t="str">
        <f t="shared" si="573"/>
        <v/>
      </c>
      <c r="K2437" t="str">
        <f t="shared" si="574"/>
        <v/>
      </c>
      <c r="L2437" t="str">
        <f t="shared" si="575"/>
        <v/>
      </c>
      <c r="M2437">
        <f>IF($A2437="",0,IF(COUNTIF($L$2:$L2437,$L2437)=1,1,0))</f>
        <v>0</v>
      </c>
      <c r="N2437" t="str">
        <f t="shared" si="576"/>
        <v/>
      </c>
      <c r="O2437" t="str">
        <f t="shared" si="577"/>
        <v/>
      </c>
      <c r="P2437">
        <f>IF($A2437="",0,IF(COUNTIF($O$2:$O2437,$O2437)=1,1,0))</f>
        <v>0</v>
      </c>
      <c r="Q2437" t="str">
        <f>IF(AND($P2437=1,$A2437=经营数据!$B$3,$J2437=经营数据!$BA$5),COUNTIFS($P$2:$P$3000,1,$A$2:$A$3000,$A2437,$J$2:$J$3000,$J2437,$N$2:$N$3000,"&lt;"&amp;$N2437)+1,"")</f>
        <v/>
      </c>
      <c r="R2437" t="str">
        <f t="shared" si="578"/>
        <v/>
      </c>
      <c r="S2437">
        <f>IF($A2437="",0,IF(COUNTIF($R$2:$R2437,$R2437)=1,1,0))</f>
        <v>0</v>
      </c>
      <c r="T2437" t="str">
        <f t="shared" si="579"/>
        <v/>
      </c>
      <c r="U2437" t="str">
        <f>IF($A2437="","",IF($A2437=经营数据!$B$3,COUNTIFS($S$2:$S$3000,1,$A$2:$A$3000,$A2437,$T$2:$T$3000,"&lt;"&amp;$T2437)+1,""))</f>
        <v/>
      </c>
      <c r="V2437" t="str">
        <f t="shared" si="580"/>
        <v/>
      </c>
      <c r="W2437" t="str">
        <f t="shared" si="581"/>
        <v/>
      </c>
      <c r="X2437" t="str">
        <f t="shared" si="582"/>
        <v/>
      </c>
      <c r="Y2437" t="str">
        <f t="shared" si="583"/>
        <v/>
      </c>
      <c r="Z2437">
        <f>IF($A2437="",0,IF(AND($M2437=1,$A2437=经营数据!$B$3,$J2437=经营数据!$BA$5,OR($I2437=经营数据!$BA$4,COUNTIF(经营数据!$AA$9:$AA$38,$I2437)&gt;0)),1,0))</f>
        <v>0</v>
      </c>
      <c r="AA2437" t="str">
        <f t="shared" si="584"/>
        <v/>
      </c>
      <c r="AB2437" t="str">
        <f t="shared" si="585"/>
        <v/>
      </c>
      <c r="AC2437">
        <f>IF($A2437="",0,IF(COUNTIF($A$2:$A2437,$A2437)=1,1,0))</f>
        <v>0</v>
      </c>
      <c r="AD2437">
        <f t="shared" si="586"/>
        <v>29</v>
      </c>
      <c r="AE2437" t="str">
        <f t="shared" si="587"/>
        <v/>
      </c>
    </row>
    <row r="2438" spans="1:31" x14ac:dyDescent="0.4">
      <c r="A2438" t="str">
        <f>IF(原始经营数据!$D2439="","",原始经营数据!$D2439)</f>
        <v/>
      </c>
      <c r="B2438" t="str">
        <f>IF(原始经营数据!$D2439="","",T(原始经营数据!$E2439))</f>
        <v/>
      </c>
      <c r="C2438" t="str">
        <f>IF(原始经营数据!$D2439="","",原始经营数据!$F2439)</f>
        <v/>
      </c>
      <c r="D2438" t="str">
        <f>IF(原始经营数据!$D2439="","",原始经营数据!$H2439)</f>
        <v/>
      </c>
      <c r="E2438" t="str">
        <f>IF(原始经营数据!$D2439="","",原始经营数据!$I2439)</f>
        <v/>
      </c>
      <c r="F2438" t="str">
        <f>IF(原始经营数据!$D2439="","",T(原始经营数据!$J2439))</f>
        <v/>
      </c>
      <c r="G2438" t="str">
        <f>IF(原始经营数据!$D2439="","",T(原始经营数据!$K2439))</f>
        <v/>
      </c>
      <c r="H2438" t="str">
        <f>IF(原始经营数据!$D2439="","",原始经营数据!$G2439)</f>
        <v/>
      </c>
      <c r="I2438" t="str">
        <f>IF($A2438="","",IF($B2438&lt;&gt;"",$B2438,IF(COUNTIFS(原始经营数据!$D$3:$D$3001,$A2438,原始经营数据!$E$3:$E$3001,"",原始经营数据!$F$3:$F$3001,$C2438,原始经营数据!$H$3:$H$3001,$D2438,原始经营数据!$K$3:$K$3001,$G2438)&gt;1,"基金整体·来源"&amp;原始经营数据!$A2439,"基金整体")))</f>
        <v/>
      </c>
      <c r="J2438" t="str">
        <f t="shared" si="573"/>
        <v/>
      </c>
      <c r="K2438" t="str">
        <f t="shared" si="574"/>
        <v/>
      </c>
      <c r="L2438" t="str">
        <f t="shared" si="575"/>
        <v/>
      </c>
      <c r="M2438">
        <f>IF($A2438="",0,IF(COUNTIF($L$2:$L2438,$L2438)=1,1,0))</f>
        <v>0</v>
      </c>
      <c r="N2438" t="str">
        <f t="shared" si="576"/>
        <v/>
      </c>
      <c r="O2438" t="str">
        <f t="shared" si="577"/>
        <v/>
      </c>
      <c r="P2438">
        <f>IF($A2438="",0,IF(COUNTIF($O$2:$O2438,$O2438)=1,1,0))</f>
        <v>0</v>
      </c>
      <c r="Q2438" t="str">
        <f>IF(AND($P2438=1,$A2438=经营数据!$B$3,$J2438=经营数据!$BA$5),COUNTIFS($P$2:$P$3000,1,$A$2:$A$3000,$A2438,$J$2:$J$3000,$J2438,$N$2:$N$3000,"&lt;"&amp;$N2438)+1,"")</f>
        <v/>
      </c>
      <c r="R2438" t="str">
        <f t="shared" si="578"/>
        <v/>
      </c>
      <c r="S2438">
        <f>IF($A2438="",0,IF(COUNTIF($R$2:$R2438,$R2438)=1,1,0))</f>
        <v>0</v>
      </c>
      <c r="T2438" t="str">
        <f t="shared" si="579"/>
        <v/>
      </c>
      <c r="U2438" t="str">
        <f>IF($A2438="","",IF($A2438=经营数据!$B$3,COUNTIFS($S$2:$S$3000,1,$A$2:$A$3000,$A2438,$T$2:$T$3000,"&lt;"&amp;$T2438)+1,""))</f>
        <v/>
      </c>
      <c r="V2438" t="str">
        <f t="shared" si="580"/>
        <v/>
      </c>
      <c r="W2438" t="str">
        <f t="shared" si="581"/>
        <v/>
      </c>
      <c r="X2438" t="str">
        <f t="shared" si="582"/>
        <v/>
      </c>
      <c r="Y2438" t="str">
        <f t="shared" si="583"/>
        <v/>
      </c>
      <c r="Z2438">
        <f>IF($A2438="",0,IF(AND($M2438=1,$A2438=经营数据!$B$3,$J2438=经营数据!$BA$5,OR($I2438=经营数据!$BA$4,COUNTIF(经营数据!$AA$9:$AA$38,$I2438)&gt;0)),1,0))</f>
        <v>0</v>
      </c>
      <c r="AA2438" t="str">
        <f t="shared" si="584"/>
        <v/>
      </c>
      <c r="AB2438" t="str">
        <f t="shared" si="585"/>
        <v/>
      </c>
      <c r="AC2438">
        <f>IF($A2438="",0,IF(COUNTIF($A$2:$A2438,$A2438)=1,1,0))</f>
        <v>0</v>
      </c>
      <c r="AD2438">
        <f t="shared" si="586"/>
        <v>29</v>
      </c>
      <c r="AE2438" t="str">
        <f t="shared" si="587"/>
        <v/>
      </c>
    </row>
    <row r="2439" spans="1:31" x14ac:dyDescent="0.4">
      <c r="A2439" t="str">
        <f>IF(原始经营数据!$D2440="","",原始经营数据!$D2440)</f>
        <v/>
      </c>
      <c r="B2439" t="str">
        <f>IF(原始经营数据!$D2440="","",T(原始经营数据!$E2440))</f>
        <v/>
      </c>
      <c r="C2439" t="str">
        <f>IF(原始经营数据!$D2440="","",原始经营数据!$F2440)</f>
        <v/>
      </c>
      <c r="D2439" t="str">
        <f>IF(原始经营数据!$D2440="","",原始经营数据!$H2440)</f>
        <v/>
      </c>
      <c r="E2439" t="str">
        <f>IF(原始经营数据!$D2440="","",原始经营数据!$I2440)</f>
        <v/>
      </c>
      <c r="F2439" t="str">
        <f>IF(原始经营数据!$D2440="","",T(原始经营数据!$J2440))</f>
        <v/>
      </c>
      <c r="G2439" t="str">
        <f>IF(原始经营数据!$D2440="","",T(原始经营数据!$K2440))</f>
        <v/>
      </c>
      <c r="H2439" t="str">
        <f>IF(原始经营数据!$D2440="","",原始经营数据!$G2440)</f>
        <v/>
      </c>
      <c r="I2439" t="str">
        <f>IF($A2439="","",IF($B2439&lt;&gt;"",$B2439,IF(COUNTIFS(原始经营数据!$D$3:$D$3001,$A2439,原始经营数据!$E$3:$E$3001,"",原始经营数据!$F$3:$F$3001,$C2439,原始经营数据!$H$3:$H$3001,$D2439,原始经营数据!$K$3:$K$3001,$G2439)&gt;1,"基金整体·来源"&amp;原始经营数据!$A2440,"基金整体")))</f>
        <v/>
      </c>
      <c r="J2439" t="str">
        <f t="shared" si="573"/>
        <v/>
      </c>
      <c r="K2439" t="str">
        <f t="shared" si="574"/>
        <v/>
      </c>
      <c r="L2439" t="str">
        <f t="shared" si="575"/>
        <v/>
      </c>
      <c r="M2439">
        <f>IF($A2439="",0,IF(COUNTIF($L$2:$L2439,$L2439)=1,1,0))</f>
        <v>0</v>
      </c>
      <c r="N2439" t="str">
        <f t="shared" si="576"/>
        <v/>
      </c>
      <c r="O2439" t="str">
        <f t="shared" si="577"/>
        <v/>
      </c>
      <c r="P2439">
        <f>IF($A2439="",0,IF(COUNTIF($O$2:$O2439,$O2439)=1,1,0))</f>
        <v>0</v>
      </c>
      <c r="Q2439" t="str">
        <f>IF(AND($P2439=1,$A2439=经营数据!$B$3,$J2439=经营数据!$BA$5),COUNTIFS($P$2:$P$3000,1,$A$2:$A$3000,$A2439,$J$2:$J$3000,$J2439,$N$2:$N$3000,"&lt;"&amp;$N2439)+1,"")</f>
        <v/>
      </c>
      <c r="R2439" t="str">
        <f t="shared" si="578"/>
        <v/>
      </c>
      <c r="S2439">
        <f>IF($A2439="",0,IF(COUNTIF($R$2:$R2439,$R2439)=1,1,0))</f>
        <v>0</v>
      </c>
      <c r="T2439" t="str">
        <f t="shared" si="579"/>
        <v/>
      </c>
      <c r="U2439" t="str">
        <f>IF($A2439="","",IF($A2439=经营数据!$B$3,COUNTIFS($S$2:$S$3000,1,$A$2:$A$3000,$A2439,$T$2:$T$3000,"&lt;"&amp;$T2439)+1,""))</f>
        <v/>
      </c>
      <c r="V2439" t="str">
        <f t="shared" si="580"/>
        <v/>
      </c>
      <c r="W2439" t="str">
        <f t="shared" si="581"/>
        <v/>
      </c>
      <c r="X2439" t="str">
        <f t="shared" si="582"/>
        <v/>
      </c>
      <c r="Y2439" t="str">
        <f t="shared" si="583"/>
        <v/>
      </c>
      <c r="Z2439">
        <f>IF($A2439="",0,IF(AND($M2439=1,$A2439=经营数据!$B$3,$J2439=经营数据!$BA$5,OR($I2439=经营数据!$BA$4,COUNTIF(经营数据!$AA$9:$AA$38,$I2439)&gt;0)),1,0))</f>
        <v>0</v>
      </c>
      <c r="AA2439" t="str">
        <f t="shared" si="584"/>
        <v/>
      </c>
      <c r="AB2439" t="str">
        <f t="shared" si="585"/>
        <v/>
      </c>
      <c r="AC2439">
        <f>IF($A2439="",0,IF(COUNTIF($A$2:$A2439,$A2439)=1,1,0))</f>
        <v>0</v>
      </c>
      <c r="AD2439">
        <f t="shared" si="586"/>
        <v>29</v>
      </c>
      <c r="AE2439" t="str">
        <f t="shared" si="587"/>
        <v/>
      </c>
    </row>
    <row r="2440" spans="1:31" x14ac:dyDescent="0.4">
      <c r="A2440" t="str">
        <f>IF(原始经营数据!$D2441="","",原始经营数据!$D2441)</f>
        <v/>
      </c>
      <c r="B2440" t="str">
        <f>IF(原始经营数据!$D2441="","",T(原始经营数据!$E2441))</f>
        <v/>
      </c>
      <c r="C2440" t="str">
        <f>IF(原始经营数据!$D2441="","",原始经营数据!$F2441)</f>
        <v/>
      </c>
      <c r="D2440" t="str">
        <f>IF(原始经营数据!$D2441="","",原始经营数据!$H2441)</f>
        <v/>
      </c>
      <c r="E2440" t="str">
        <f>IF(原始经营数据!$D2441="","",原始经营数据!$I2441)</f>
        <v/>
      </c>
      <c r="F2440" t="str">
        <f>IF(原始经营数据!$D2441="","",T(原始经营数据!$J2441))</f>
        <v/>
      </c>
      <c r="G2440" t="str">
        <f>IF(原始经营数据!$D2441="","",T(原始经营数据!$K2441))</f>
        <v/>
      </c>
      <c r="H2440" t="str">
        <f>IF(原始经营数据!$D2441="","",原始经营数据!$G2441)</f>
        <v/>
      </c>
      <c r="I2440" t="str">
        <f>IF($A2440="","",IF($B2440&lt;&gt;"",$B2440,IF(COUNTIFS(原始经营数据!$D$3:$D$3001,$A2440,原始经营数据!$E$3:$E$3001,"",原始经营数据!$F$3:$F$3001,$C2440,原始经营数据!$H$3:$H$3001,$D2440,原始经营数据!$K$3:$K$3001,$G2440)&gt;1,"基金整体·来源"&amp;原始经营数据!$A2441,"基金整体")))</f>
        <v/>
      </c>
      <c r="J2440" t="str">
        <f t="shared" si="573"/>
        <v/>
      </c>
      <c r="K2440" t="str">
        <f t="shared" si="574"/>
        <v/>
      </c>
      <c r="L2440" t="str">
        <f t="shared" si="575"/>
        <v/>
      </c>
      <c r="M2440">
        <f>IF($A2440="",0,IF(COUNTIF($L$2:$L2440,$L2440)=1,1,0))</f>
        <v>0</v>
      </c>
      <c r="N2440" t="str">
        <f t="shared" si="576"/>
        <v/>
      </c>
      <c r="O2440" t="str">
        <f t="shared" si="577"/>
        <v/>
      </c>
      <c r="P2440">
        <f>IF($A2440="",0,IF(COUNTIF($O$2:$O2440,$O2440)=1,1,0))</f>
        <v>0</v>
      </c>
      <c r="Q2440" t="str">
        <f>IF(AND($P2440=1,$A2440=经营数据!$B$3,$J2440=经营数据!$BA$5),COUNTIFS($P$2:$P$3000,1,$A$2:$A$3000,$A2440,$J$2:$J$3000,$J2440,$N$2:$N$3000,"&lt;"&amp;$N2440)+1,"")</f>
        <v/>
      </c>
      <c r="R2440" t="str">
        <f t="shared" si="578"/>
        <v/>
      </c>
      <c r="S2440">
        <f>IF($A2440="",0,IF(COUNTIF($R$2:$R2440,$R2440)=1,1,0))</f>
        <v>0</v>
      </c>
      <c r="T2440" t="str">
        <f t="shared" si="579"/>
        <v/>
      </c>
      <c r="U2440" t="str">
        <f>IF($A2440="","",IF($A2440=经营数据!$B$3,COUNTIFS($S$2:$S$3000,1,$A$2:$A$3000,$A2440,$T$2:$T$3000,"&lt;"&amp;$T2440)+1,""))</f>
        <v/>
      </c>
      <c r="V2440" t="str">
        <f t="shared" si="580"/>
        <v/>
      </c>
      <c r="W2440" t="str">
        <f t="shared" si="581"/>
        <v/>
      </c>
      <c r="X2440" t="str">
        <f t="shared" si="582"/>
        <v/>
      </c>
      <c r="Y2440" t="str">
        <f t="shared" si="583"/>
        <v/>
      </c>
      <c r="Z2440">
        <f>IF($A2440="",0,IF(AND($M2440=1,$A2440=经营数据!$B$3,$J2440=经营数据!$BA$5,OR($I2440=经营数据!$BA$4,COUNTIF(经营数据!$AA$9:$AA$38,$I2440)&gt;0)),1,0))</f>
        <v>0</v>
      </c>
      <c r="AA2440" t="str">
        <f t="shared" si="584"/>
        <v/>
      </c>
      <c r="AB2440" t="str">
        <f t="shared" si="585"/>
        <v/>
      </c>
      <c r="AC2440">
        <f>IF($A2440="",0,IF(COUNTIF($A$2:$A2440,$A2440)=1,1,0))</f>
        <v>0</v>
      </c>
      <c r="AD2440">
        <f t="shared" si="586"/>
        <v>29</v>
      </c>
      <c r="AE2440" t="str">
        <f t="shared" si="587"/>
        <v/>
      </c>
    </row>
    <row r="2441" spans="1:31" x14ac:dyDescent="0.4">
      <c r="A2441" t="str">
        <f>IF(原始经营数据!$D2442="","",原始经营数据!$D2442)</f>
        <v/>
      </c>
      <c r="B2441" t="str">
        <f>IF(原始经营数据!$D2442="","",T(原始经营数据!$E2442))</f>
        <v/>
      </c>
      <c r="C2441" t="str">
        <f>IF(原始经营数据!$D2442="","",原始经营数据!$F2442)</f>
        <v/>
      </c>
      <c r="D2441" t="str">
        <f>IF(原始经营数据!$D2442="","",原始经营数据!$H2442)</f>
        <v/>
      </c>
      <c r="E2441" t="str">
        <f>IF(原始经营数据!$D2442="","",原始经营数据!$I2442)</f>
        <v/>
      </c>
      <c r="F2441" t="str">
        <f>IF(原始经营数据!$D2442="","",T(原始经营数据!$J2442))</f>
        <v/>
      </c>
      <c r="G2441" t="str">
        <f>IF(原始经营数据!$D2442="","",T(原始经营数据!$K2442))</f>
        <v/>
      </c>
      <c r="H2441" t="str">
        <f>IF(原始经营数据!$D2442="","",原始经营数据!$G2442)</f>
        <v/>
      </c>
      <c r="I2441" t="str">
        <f>IF($A2441="","",IF($B2441&lt;&gt;"",$B2441,IF(COUNTIFS(原始经营数据!$D$3:$D$3001,$A2441,原始经营数据!$E$3:$E$3001,"",原始经营数据!$F$3:$F$3001,$C2441,原始经营数据!$H$3:$H$3001,$D2441,原始经营数据!$K$3:$K$3001,$G2441)&gt;1,"基金整体·来源"&amp;原始经营数据!$A2442,"基金整体")))</f>
        <v/>
      </c>
      <c r="J2441" t="str">
        <f t="shared" si="573"/>
        <v/>
      </c>
      <c r="K2441" t="str">
        <f t="shared" si="574"/>
        <v/>
      </c>
      <c r="L2441" t="str">
        <f t="shared" si="575"/>
        <v/>
      </c>
      <c r="M2441">
        <f>IF($A2441="",0,IF(COUNTIF($L$2:$L2441,$L2441)=1,1,0))</f>
        <v>0</v>
      </c>
      <c r="N2441" t="str">
        <f t="shared" si="576"/>
        <v/>
      </c>
      <c r="O2441" t="str">
        <f t="shared" si="577"/>
        <v/>
      </c>
      <c r="P2441">
        <f>IF($A2441="",0,IF(COUNTIF($O$2:$O2441,$O2441)=1,1,0))</f>
        <v>0</v>
      </c>
      <c r="Q2441" t="str">
        <f>IF(AND($P2441=1,$A2441=经营数据!$B$3,$J2441=经营数据!$BA$5),COUNTIFS($P$2:$P$3000,1,$A$2:$A$3000,$A2441,$J$2:$J$3000,$J2441,$N$2:$N$3000,"&lt;"&amp;$N2441)+1,"")</f>
        <v/>
      </c>
      <c r="R2441" t="str">
        <f t="shared" si="578"/>
        <v/>
      </c>
      <c r="S2441">
        <f>IF($A2441="",0,IF(COUNTIF($R$2:$R2441,$R2441)=1,1,0))</f>
        <v>0</v>
      </c>
      <c r="T2441" t="str">
        <f t="shared" si="579"/>
        <v/>
      </c>
      <c r="U2441" t="str">
        <f>IF($A2441="","",IF($A2441=经营数据!$B$3,COUNTIFS($S$2:$S$3000,1,$A$2:$A$3000,$A2441,$T$2:$T$3000,"&lt;"&amp;$T2441)+1,""))</f>
        <v/>
      </c>
      <c r="V2441" t="str">
        <f t="shared" si="580"/>
        <v/>
      </c>
      <c r="W2441" t="str">
        <f t="shared" si="581"/>
        <v/>
      </c>
      <c r="X2441" t="str">
        <f t="shared" si="582"/>
        <v/>
      </c>
      <c r="Y2441" t="str">
        <f t="shared" si="583"/>
        <v/>
      </c>
      <c r="Z2441">
        <f>IF($A2441="",0,IF(AND($M2441=1,$A2441=经营数据!$B$3,$J2441=经营数据!$BA$5,OR($I2441=经营数据!$BA$4,COUNTIF(经营数据!$AA$9:$AA$38,$I2441)&gt;0)),1,0))</f>
        <v>0</v>
      </c>
      <c r="AA2441" t="str">
        <f t="shared" si="584"/>
        <v/>
      </c>
      <c r="AB2441" t="str">
        <f t="shared" si="585"/>
        <v/>
      </c>
      <c r="AC2441">
        <f>IF($A2441="",0,IF(COUNTIF($A$2:$A2441,$A2441)=1,1,0))</f>
        <v>0</v>
      </c>
      <c r="AD2441">
        <f t="shared" si="586"/>
        <v>29</v>
      </c>
      <c r="AE2441" t="str">
        <f t="shared" si="587"/>
        <v/>
      </c>
    </row>
    <row r="2442" spans="1:31" x14ac:dyDescent="0.4">
      <c r="A2442" t="str">
        <f>IF(原始经营数据!$D2443="","",原始经营数据!$D2443)</f>
        <v/>
      </c>
      <c r="B2442" t="str">
        <f>IF(原始经营数据!$D2443="","",T(原始经营数据!$E2443))</f>
        <v/>
      </c>
      <c r="C2442" t="str">
        <f>IF(原始经营数据!$D2443="","",原始经营数据!$F2443)</f>
        <v/>
      </c>
      <c r="D2442" t="str">
        <f>IF(原始经营数据!$D2443="","",原始经营数据!$H2443)</f>
        <v/>
      </c>
      <c r="E2442" t="str">
        <f>IF(原始经营数据!$D2443="","",原始经营数据!$I2443)</f>
        <v/>
      </c>
      <c r="F2442" t="str">
        <f>IF(原始经营数据!$D2443="","",T(原始经营数据!$J2443))</f>
        <v/>
      </c>
      <c r="G2442" t="str">
        <f>IF(原始经营数据!$D2443="","",T(原始经营数据!$K2443))</f>
        <v/>
      </c>
      <c r="H2442" t="str">
        <f>IF(原始经营数据!$D2443="","",原始经营数据!$G2443)</f>
        <v/>
      </c>
      <c r="I2442" t="str">
        <f>IF($A2442="","",IF($B2442&lt;&gt;"",$B2442,IF(COUNTIFS(原始经营数据!$D$3:$D$3001,$A2442,原始经营数据!$E$3:$E$3001,"",原始经营数据!$F$3:$F$3001,$C2442,原始经营数据!$H$3:$H$3001,$D2442,原始经营数据!$K$3:$K$3001,$G2442)&gt;1,"基金整体·来源"&amp;原始经营数据!$A2443,"基金整体")))</f>
        <v/>
      </c>
      <c r="J2442" t="str">
        <f t="shared" si="573"/>
        <v/>
      </c>
      <c r="K2442" t="str">
        <f t="shared" si="574"/>
        <v/>
      </c>
      <c r="L2442" t="str">
        <f t="shared" si="575"/>
        <v/>
      </c>
      <c r="M2442">
        <f>IF($A2442="",0,IF(COUNTIF($L$2:$L2442,$L2442)=1,1,0))</f>
        <v>0</v>
      </c>
      <c r="N2442" t="str">
        <f t="shared" si="576"/>
        <v/>
      </c>
      <c r="O2442" t="str">
        <f t="shared" si="577"/>
        <v/>
      </c>
      <c r="P2442">
        <f>IF($A2442="",0,IF(COUNTIF($O$2:$O2442,$O2442)=1,1,0))</f>
        <v>0</v>
      </c>
      <c r="Q2442" t="str">
        <f>IF(AND($P2442=1,$A2442=经营数据!$B$3,$J2442=经营数据!$BA$5),COUNTIFS($P$2:$P$3000,1,$A$2:$A$3000,$A2442,$J$2:$J$3000,$J2442,$N$2:$N$3000,"&lt;"&amp;$N2442)+1,"")</f>
        <v/>
      </c>
      <c r="R2442" t="str">
        <f t="shared" si="578"/>
        <v/>
      </c>
      <c r="S2442">
        <f>IF($A2442="",0,IF(COUNTIF($R$2:$R2442,$R2442)=1,1,0))</f>
        <v>0</v>
      </c>
      <c r="T2442" t="str">
        <f t="shared" si="579"/>
        <v/>
      </c>
      <c r="U2442" t="str">
        <f>IF($A2442="","",IF($A2442=经营数据!$B$3,COUNTIFS($S$2:$S$3000,1,$A$2:$A$3000,$A2442,$T$2:$T$3000,"&lt;"&amp;$T2442)+1,""))</f>
        <v/>
      </c>
      <c r="V2442" t="str">
        <f t="shared" si="580"/>
        <v/>
      </c>
      <c r="W2442" t="str">
        <f t="shared" si="581"/>
        <v/>
      </c>
      <c r="X2442" t="str">
        <f t="shared" si="582"/>
        <v/>
      </c>
      <c r="Y2442" t="str">
        <f t="shared" si="583"/>
        <v/>
      </c>
      <c r="Z2442">
        <f>IF($A2442="",0,IF(AND($M2442=1,$A2442=经营数据!$B$3,$J2442=经营数据!$BA$5,OR($I2442=经营数据!$BA$4,COUNTIF(经营数据!$AA$9:$AA$38,$I2442)&gt;0)),1,0))</f>
        <v>0</v>
      </c>
      <c r="AA2442" t="str">
        <f t="shared" si="584"/>
        <v/>
      </c>
      <c r="AB2442" t="str">
        <f t="shared" si="585"/>
        <v/>
      </c>
      <c r="AC2442">
        <f>IF($A2442="",0,IF(COUNTIF($A$2:$A2442,$A2442)=1,1,0))</f>
        <v>0</v>
      </c>
      <c r="AD2442">
        <f t="shared" si="586"/>
        <v>29</v>
      </c>
      <c r="AE2442" t="str">
        <f t="shared" si="587"/>
        <v/>
      </c>
    </row>
    <row r="2443" spans="1:31" x14ac:dyDescent="0.4">
      <c r="A2443" t="str">
        <f>IF(原始经营数据!$D2444="","",原始经营数据!$D2444)</f>
        <v/>
      </c>
      <c r="B2443" t="str">
        <f>IF(原始经营数据!$D2444="","",T(原始经营数据!$E2444))</f>
        <v/>
      </c>
      <c r="C2443" t="str">
        <f>IF(原始经营数据!$D2444="","",原始经营数据!$F2444)</f>
        <v/>
      </c>
      <c r="D2443" t="str">
        <f>IF(原始经营数据!$D2444="","",原始经营数据!$H2444)</f>
        <v/>
      </c>
      <c r="E2443" t="str">
        <f>IF(原始经营数据!$D2444="","",原始经营数据!$I2444)</f>
        <v/>
      </c>
      <c r="F2443" t="str">
        <f>IF(原始经营数据!$D2444="","",T(原始经营数据!$J2444))</f>
        <v/>
      </c>
      <c r="G2443" t="str">
        <f>IF(原始经营数据!$D2444="","",T(原始经营数据!$K2444))</f>
        <v/>
      </c>
      <c r="H2443" t="str">
        <f>IF(原始经营数据!$D2444="","",原始经营数据!$G2444)</f>
        <v/>
      </c>
      <c r="I2443" t="str">
        <f>IF($A2443="","",IF($B2443&lt;&gt;"",$B2443,IF(COUNTIFS(原始经营数据!$D$3:$D$3001,$A2443,原始经营数据!$E$3:$E$3001,"",原始经营数据!$F$3:$F$3001,$C2443,原始经营数据!$H$3:$H$3001,$D2443,原始经营数据!$K$3:$K$3001,$G2443)&gt;1,"基金整体·来源"&amp;原始经营数据!$A2444,"基金整体")))</f>
        <v/>
      </c>
      <c r="J2443" t="str">
        <f t="shared" si="573"/>
        <v/>
      </c>
      <c r="K2443" t="str">
        <f t="shared" si="574"/>
        <v/>
      </c>
      <c r="L2443" t="str">
        <f t="shared" si="575"/>
        <v/>
      </c>
      <c r="M2443">
        <f>IF($A2443="",0,IF(COUNTIF($L$2:$L2443,$L2443)=1,1,0))</f>
        <v>0</v>
      </c>
      <c r="N2443" t="str">
        <f t="shared" si="576"/>
        <v/>
      </c>
      <c r="O2443" t="str">
        <f t="shared" si="577"/>
        <v/>
      </c>
      <c r="P2443">
        <f>IF($A2443="",0,IF(COUNTIF($O$2:$O2443,$O2443)=1,1,0))</f>
        <v>0</v>
      </c>
      <c r="Q2443" t="str">
        <f>IF(AND($P2443=1,$A2443=经营数据!$B$3,$J2443=经营数据!$BA$5),COUNTIFS($P$2:$P$3000,1,$A$2:$A$3000,$A2443,$J$2:$J$3000,$J2443,$N$2:$N$3000,"&lt;"&amp;$N2443)+1,"")</f>
        <v/>
      </c>
      <c r="R2443" t="str">
        <f t="shared" si="578"/>
        <v/>
      </c>
      <c r="S2443">
        <f>IF($A2443="",0,IF(COUNTIF($R$2:$R2443,$R2443)=1,1,0))</f>
        <v>0</v>
      </c>
      <c r="T2443" t="str">
        <f t="shared" si="579"/>
        <v/>
      </c>
      <c r="U2443" t="str">
        <f>IF($A2443="","",IF($A2443=经营数据!$B$3,COUNTIFS($S$2:$S$3000,1,$A$2:$A$3000,$A2443,$T$2:$T$3000,"&lt;"&amp;$T2443)+1,""))</f>
        <v/>
      </c>
      <c r="V2443" t="str">
        <f t="shared" si="580"/>
        <v/>
      </c>
      <c r="W2443" t="str">
        <f t="shared" si="581"/>
        <v/>
      </c>
      <c r="X2443" t="str">
        <f t="shared" si="582"/>
        <v/>
      </c>
      <c r="Y2443" t="str">
        <f t="shared" si="583"/>
        <v/>
      </c>
      <c r="Z2443">
        <f>IF($A2443="",0,IF(AND($M2443=1,$A2443=经营数据!$B$3,$J2443=经营数据!$BA$5,OR($I2443=经营数据!$BA$4,COUNTIF(经营数据!$AA$9:$AA$38,$I2443)&gt;0)),1,0))</f>
        <v>0</v>
      </c>
      <c r="AA2443" t="str">
        <f t="shared" si="584"/>
        <v/>
      </c>
      <c r="AB2443" t="str">
        <f t="shared" si="585"/>
        <v/>
      </c>
      <c r="AC2443">
        <f>IF($A2443="",0,IF(COUNTIF($A$2:$A2443,$A2443)=1,1,0))</f>
        <v>0</v>
      </c>
      <c r="AD2443">
        <f t="shared" si="586"/>
        <v>29</v>
      </c>
      <c r="AE2443" t="str">
        <f t="shared" si="587"/>
        <v/>
      </c>
    </row>
    <row r="2444" spans="1:31" x14ac:dyDescent="0.4">
      <c r="A2444" t="str">
        <f>IF(原始经营数据!$D2445="","",原始经营数据!$D2445)</f>
        <v/>
      </c>
      <c r="B2444" t="str">
        <f>IF(原始经营数据!$D2445="","",T(原始经营数据!$E2445))</f>
        <v/>
      </c>
      <c r="C2444" t="str">
        <f>IF(原始经营数据!$D2445="","",原始经营数据!$F2445)</f>
        <v/>
      </c>
      <c r="D2444" t="str">
        <f>IF(原始经营数据!$D2445="","",原始经营数据!$H2445)</f>
        <v/>
      </c>
      <c r="E2444" t="str">
        <f>IF(原始经营数据!$D2445="","",原始经营数据!$I2445)</f>
        <v/>
      </c>
      <c r="F2444" t="str">
        <f>IF(原始经营数据!$D2445="","",T(原始经营数据!$J2445))</f>
        <v/>
      </c>
      <c r="G2444" t="str">
        <f>IF(原始经营数据!$D2445="","",T(原始经营数据!$K2445))</f>
        <v/>
      </c>
      <c r="H2444" t="str">
        <f>IF(原始经营数据!$D2445="","",原始经营数据!$G2445)</f>
        <v/>
      </c>
      <c r="I2444" t="str">
        <f>IF($A2444="","",IF($B2444&lt;&gt;"",$B2444,IF(COUNTIFS(原始经营数据!$D$3:$D$3001,$A2444,原始经营数据!$E$3:$E$3001,"",原始经营数据!$F$3:$F$3001,$C2444,原始经营数据!$H$3:$H$3001,$D2444,原始经营数据!$K$3:$K$3001,$G2444)&gt;1,"基金整体·来源"&amp;原始经营数据!$A2445,"基金整体")))</f>
        <v/>
      </c>
      <c r="J2444" t="str">
        <f t="shared" si="573"/>
        <v/>
      </c>
      <c r="K2444" t="str">
        <f t="shared" si="574"/>
        <v/>
      </c>
      <c r="L2444" t="str">
        <f t="shared" si="575"/>
        <v/>
      </c>
      <c r="M2444">
        <f>IF($A2444="",0,IF(COUNTIF($L$2:$L2444,$L2444)=1,1,0))</f>
        <v>0</v>
      </c>
      <c r="N2444" t="str">
        <f t="shared" si="576"/>
        <v/>
      </c>
      <c r="O2444" t="str">
        <f t="shared" si="577"/>
        <v/>
      </c>
      <c r="P2444">
        <f>IF($A2444="",0,IF(COUNTIF($O$2:$O2444,$O2444)=1,1,0))</f>
        <v>0</v>
      </c>
      <c r="Q2444" t="str">
        <f>IF(AND($P2444=1,$A2444=经营数据!$B$3,$J2444=经营数据!$BA$5),COUNTIFS($P$2:$P$3000,1,$A$2:$A$3000,$A2444,$J$2:$J$3000,$J2444,$N$2:$N$3000,"&lt;"&amp;$N2444)+1,"")</f>
        <v/>
      </c>
      <c r="R2444" t="str">
        <f t="shared" si="578"/>
        <v/>
      </c>
      <c r="S2444">
        <f>IF($A2444="",0,IF(COUNTIF($R$2:$R2444,$R2444)=1,1,0))</f>
        <v>0</v>
      </c>
      <c r="T2444" t="str">
        <f t="shared" si="579"/>
        <v/>
      </c>
      <c r="U2444" t="str">
        <f>IF($A2444="","",IF($A2444=经营数据!$B$3,COUNTIFS($S$2:$S$3000,1,$A$2:$A$3000,$A2444,$T$2:$T$3000,"&lt;"&amp;$T2444)+1,""))</f>
        <v/>
      </c>
      <c r="V2444" t="str">
        <f t="shared" si="580"/>
        <v/>
      </c>
      <c r="W2444" t="str">
        <f t="shared" si="581"/>
        <v/>
      </c>
      <c r="X2444" t="str">
        <f t="shared" si="582"/>
        <v/>
      </c>
      <c r="Y2444" t="str">
        <f t="shared" si="583"/>
        <v/>
      </c>
      <c r="Z2444">
        <f>IF($A2444="",0,IF(AND($M2444=1,$A2444=经营数据!$B$3,$J2444=经营数据!$BA$5,OR($I2444=经营数据!$BA$4,COUNTIF(经营数据!$AA$9:$AA$38,$I2444)&gt;0)),1,0))</f>
        <v>0</v>
      </c>
      <c r="AA2444" t="str">
        <f t="shared" si="584"/>
        <v/>
      </c>
      <c r="AB2444" t="str">
        <f t="shared" si="585"/>
        <v/>
      </c>
      <c r="AC2444">
        <f>IF($A2444="",0,IF(COUNTIF($A$2:$A2444,$A2444)=1,1,0))</f>
        <v>0</v>
      </c>
      <c r="AD2444">
        <f t="shared" si="586"/>
        <v>29</v>
      </c>
      <c r="AE2444" t="str">
        <f t="shared" si="587"/>
        <v/>
      </c>
    </row>
    <row r="2445" spans="1:31" x14ac:dyDescent="0.4">
      <c r="A2445" t="str">
        <f>IF(原始经营数据!$D2446="","",原始经营数据!$D2446)</f>
        <v/>
      </c>
      <c r="B2445" t="str">
        <f>IF(原始经营数据!$D2446="","",T(原始经营数据!$E2446))</f>
        <v/>
      </c>
      <c r="C2445" t="str">
        <f>IF(原始经营数据!$D2446="","",原始经营数据!$F2446)</f>
        <v/>
      </c>
      <c r="D2445" t="str">
        <f>IF(原始经营数据!$D2446="","",原始经营数据!$H2446)</f>
        <v/>
      </c>
      <c r="E2445" t="str">
        <f>IF(原始经营数据!$D2446="","",原始经营数据!$I2446)</f>
        <v/>
      </c>
      <c r="F2445" t="str">
        <f>IF(原始经营数据!$D2446="","",T(原始经营数据!$J2446))</f>
        <v/>
      </c>
      <c r="G2445" t="str">
        <f>IF(原始经营数据!$D2446="","",T(原始经营数据!$K2446))</f>
        <v/>
      </c>
      <c r="H2445" t="str">
        <f>IF(原始经营数据!$D2446="","",原始经营数据!$G2446)</f>
        <v/>
      </c>
      <c r="I2445" t="str">
        <f>IF($A2445="","",IF($B2445&lt;&gt;"",$B2445,IF(COUNTIFS(原始经营数据!$D$3:$D$3001,$A2445,原始经营数据!$E$3:$E$3001,"",原始经营数据!$F$3:$F$3001,$C2445,原始经营数据!$H$3:$H$3001,$D2445,原始经营数据!$K$3:$K$3001,$G2445)&gt;1,"基金整体·来源"&amp;原始经营数据!$A2446,"基金整体")))</f>
        <v/>
      </c>
      <c r="J2445" t="str">
        <f t="shared" si="573"/>
        <v/>
      </c>
      <c r="K2445" t="str">
        <f t="shared" si="574"/>
        <v/>
      </c>
      <c r="L2445" t="str">
        <f t="shared" si="575"/>
        <v/>
      </c>
      <c r="M2445">
        <f>IF($A2445="",0,IF(COUNTIF($L$2:$L2445,$L2445)=1,1,0))</f>
        <v>0</v>
      </c>
      <c r="N2445" t="str">
        <f t="shared" si="576"/>
        <v/>
      </c>
      <c r="O2445" t="str">
        <f t="shared" si="577"/>
        <v/>
      </c>
      <c r="P2445">
        <f>IF($A2445="",0,IF(COUNTIF($O$2:$O2445,$O2445)=1,1,0))</f>
        <v>0</v>
      </c>
      <c r="Q2445" t="str">
        <f>IF(AND($P2445=1,$A2445=经营数据!$B$3,$J2445=经营数据!$BA$5),COUNTIFS($P$2:$P$3000,1,$A$2:$A$3000,$A2445,$J$2:$J$3000,$J2445,$N$2:$N$3000,"&lt;"&amp;$N2445)+1,"")</f>
        <v/>
      </c>
      <c r="R2445" t="str">
        <f t="shared" si="578"/>
        <v/>
      </c>
      <c r="S2445">
        <f>IF($A2445="",0,IF(COUNTIF($R$2:$R2445,$R2445)=1,1,0))</f>
        <v>0</v>
      </c>
      <c r="T2445" t="str">
        <f t="shared" si="579"/>
        <v/>
      </c>
      <c r="U2445" t="str">
        <f>IF($A2445="","",IF($A2445=经营数据!$B$3,COUNTIFS($S$2:$S$3000,1,$A$2:$A$3000,$A2445,$T$2:$T$3000,"&lt;"&amp;$T2445)+1,""))</f>
        <v/>
      </c>
      <c r="V2445" t="str">
        <f t="shared" si="580"/>
        <v/>
      </c>
      <c r="W2445" t="str">
        <f t="shared" si="581"/>
        <v/>
      </c>
      <c r="X2445" t="str">
        <f t="shared" si="582"/>
        <v/>
      </c>
      <c r="Y2445" t="str">
        <f t="shared" si="583"/>
        <v/>
      </c>
      <c r="Z2445">
        <f>IF($A2445="",0,IF(AND($M2445=1,$A2445=经营数据!$B$3,$J2445=经营数据!$BA$5,OR($I2445=经营数据!$BA$4,COUNTIF(经营数据!$AA$9:$AA$38,$I2445)&gt;0)),1,0))</f>
        <v>0</v>
      </c>
      <c r="AA2445" t="str">
        <f t="shared" si="584"/>
        <v/>
      </c>
      <c r="AB2445" t="str">
        <f t="shared" si="585"/>
        <v/>
      </c>
      <c r="AC2445">
        <f>IF($A2445="",0,IF(COUNTIF($A$2:$A2445,$A2445)=1,1,0))</f>
        <v>0</v>
      </c>
      <c r="AD2445">
        <f t="shared" si="586"/>
        <v>29</v>
      </c>
      <c r="AE2445" t="str">
        <f t="shared" si="587"/>
        <v/>
      </c>
    </row>
    <row r="2446" spans="1:31" x14ac:dyDescent="0.4">
      <c r="A2446" t="str">
        <f>IF(原始经营数据!$D2447="","",原始经营数据!$D2447)</f>
        <v/>
      </c>
      <c r="B2446" t="str">
        <f>IF(原始经营数据!$D2447="","",T(原始经营数据!$E2447))</f>
        <v/>
      </c>
      <c r="C2446" t="str">
        <f>IF(原始经营数据!$D2447="","",原始经营数据!$F2447)</f>
        <v/>
      </c>
      <c r="D2446" t="str">
        <f>IF(原始经营数据!$D2447="","",原始经营数据!$H2447)</f>
        <v/>
      </c>
      <c r="E2446" t="str">
        <f>IF(原始经营数据!$D2447="","",原始经营数据!$I2447)</f>
        <v/>
      </c>
      <c r="F2446" t="str">
        <f>IF(原始经营数据!$D2447="","",T(原始经营数据!$J2447))</f>
        <v/>
      </c>
      <c r="G2446" t="str">
        <f>IF(原始经营数据!$D2447="","",T(原始经营数据!$K2447))</f>
        <v/>
      </c>
      <c r="H2446" t="str">
        <f>IF(原始经营数据!$D2447="","",原始经营数据!$G2447)</f>
        <v/>
      </c>
      <c r="I2446" t="str">
        <f>IF($A2446="","",IF($B2446&lt;&gt;"",$B2446,IF(COUNTIFS(原始经营数据!$D$3:$D$3001,$A2446,原始经营数据!$E$3:$E$3001,"",原始经营数据!$F$3:$F$3001,$C2446,原始经营数据!$H$3:$H$3001,$D2446,原始经营数据!$K$3:$K$3001,$G2446)&gt;1,"基金整体·来源"&amp;原始经营数据!$A2447,"基金整体")))</f>
        <v/>
      </c>
      <c r="J2446" t="str">
        <f t="shared" si="573"/>
        <v/>
      </c>
      <c r="K2446" t="str">
        <f t="shared" si="574"/>
        <v/>
      </c>
      <c r="L2446" t="str">
        <f t="shared" si="575"/>
        <v/>
      </c>
      <c r="M2446">
        <f>IF($A2446="",0,IF(COUNTIF($L$2:$L2446,$L2446)=1,1,0))</f>
        <v>0</v>
      </c>
      <c r="N2446" t="str">
        <f t="shared" si="576"/>
        <v/>
      </c>
      <c r="O2446" t="str">
        <f t="shared" si="577"/>
        <v/>
      </c>
      <c r="P2446">
        <f>IF($A2446="",0,IF(COUNTIF($O$2:$O2446,$O2446)=1,1,0))</f>
        <v>0</v>
      </c>
      <c r="Q2446" t="str">
        <f>IF(AND($P2446=1,$A2446=经营数据!$B$3,$J2446=经营数据!$BA$5),COUNTIFS($P$2:$P$3000,1,$A$2:$A$3000,$A2446,$J$2:$J$3000,$J2446,$N$2:$N$3000,"&lt;"&amp;$N2446)+1,"")</f>
        <v/>
      </c>
      <c r="R2446" t="str">
        <f t="shared" si="578"/>
        <v/>
      </c>
      <c r="S2446">
        <f>IF($A2446="",0,IF(COUNTIF($R$2:$R2446,$R2446)=1,1,0))</f>
        <v>0</v>
      </c>
      <c r="T2446" t="str">
        <f t="shared" si="579"/>
        <v/>
      </c>
      <c r="U2446" t="str">
        <f>IF($A2446="","",IF($A2446=经营数据!$B$3,COUNTIFS($S$2:$S$3000,1,$A$2:$A$3000,$A2446,$T$2:$T$3000,"&lt;"&amp;$T2446)+1,""))</f>
        <v/>
      </c>
      <c r="V2446" t="str">
        <f t="shared" si="580"/>
        <v/>
      </c>
      <c r="W2446" t="str">
        <f t="shared" si="581"/>
        <v/>
      </c>
      <c r="X2446" t="str">
        <f t="shared" si="582"/>
        <v/>
      </c>
      <c r="Y2446" t="str">
        <f t="shared" si="583"/>
        <v/>
      </c>
      <c r="Z2446">
        <f>IF($A2446="",0,IF(AND($M2446=1,$A2446=经营数据!$B$3,$J2446=经营数据!$BA$5,OR($I2446=经营数据!$BA$4,COUNTIF(经营数据!$AA$9:$AA$38,$I2446)&gt;0)),1,0))</f>
        <v>0</v>
      </c>
      <c r="AA2446" t="str">
        <f t="shared" si="584"/>
        <v/>
      </c>
      <c r="AB2446" t="str">
        <f t="shared" si="585"/>
        <v/>
      </c>
      <c r="AC2446">
        <f>IF($A2446="",0,IF(COUNTIF($A$2:$A2446,$A2446)=1,1,0))</f>
        <v>0</v>
      </c>
      <c r="AD2446">
        <f t="shared" si="586"/>
        <v>29</v>
      </c>
      <c r="AE2446" t="str">
        <f t="shared" si="587"/>
        <v/>
      </c>
    </row>
    <row r="2447" spans="1:31" x14ac:dyDescent="0.4">
      <c r="A2447" t="str">
        <f>IF(原始经营数据!$D2448="","",原始经营数据!$D2448)</f>
        <v/>
      </c>
      <c r="B2447" t="str">
        <f>IF(原始经营数据!$D2448="","",T(原始经营数据!$E2448))</f>
        <v/>
      </c>
      <c r="C2447" t="str">
        <f>IF(原始经营数据!$D2448="","",原始经营数据!$F2448)</f>
        <v/>
      </c>
      <c r="D2447" t="str">
        <f>IF(原始经营数据!$D2448="","",原始经营数据!$H2448)</f>
        <v/>
      </c>
      <c r="E2447" t="str">
        <f>IF(原始经营数据!$D2448="","",原始经营数据!$I2448)</f>
        <v/>
      </c>
      <c r="F2447" t="str">
        <f>IF(原始经营数据!$D2448="","",T(原始经营数据!$J2448))</f>
        <v/>
      </c>
      <c r="G2447" t="str">
        <f>IF(原始经营数据!$D2448="","",T(原始经营数据!$K2448))</f>
        <v/>
      </c>
      <c r="H2447" t="str">
        <f>IF(原始经营数据!$D2448="","",原始经营数据!$G2448)</f>
        <v/>
      </c>
      <c r="I2447" t="str">
        <f>IF($A2447="","",IF($B2447&lt;&gt;"",$B2447,IF(COUNTIFS(原始经营数据!$D$3:$D$3001,$A2447,原始经营数据!$E$3:$E$3001,"",原始经营数据!$F$3:$F$3001,$C2447,原始经营数据!$H$3:$H$3001,$D2447,原始经营数据!$K$3:$K$3001,$G2447)&gt;1,"基金整体·来源"&amp;原始经营数据!$A2448,"基金整体")))</f>
        <v/>
      </c>
      <c r="J2447" t="str">
        <f t="shared" si="573"/>
        <v/>
      </c>
      <c r="K2447" t="str">
        <f t="shared" si="574"/>
        <v/>
      </c>
      <c r="L2447" t="str">
        <f t="shared" si="575"/>
        <v/>
      </c>
      <c r="M2447">
        <f>IF($A2447="",0,IF(COUNTIF($L$2:$L2447,$L2447)=1,1,0))</f>
        <v>0</v>
      </c>
      <c r="N2447" t="str">
        <f t="shared" si="576"/>
        <v/>
      </c>
      <c r="O2447" t="str">
        <f t="shared" si="577"/>
        <v/>
      </c>
      <c r="P2447">
        <f>IF($A2447="",0,IF(COUNTIF($O$2:$O2447,$O2447)=1,1,0))</f>
        <v>0</v>
      </c>
      <c r="Q2447" t="str">
        <f>IF(AND($P2447=1,$A2447=经营数据!$B$3,$J2447=经营数据!$BA$5),COUNTIFS($P$2:$P$3000,1,$A$2:$A$3000,$A2447,$J$2:$J$3000,$J2447,$N$2:$N$3000,"&lt;"&amp;$N2447)+1,"")</f>
        <v/>
      </c>
      <c r="R2447" t="str">
        <f t="shared" si="578"/>
        <v/>
      </c>
      <c r="S2447">
        <f>IF($A2447="",0,IF(COUNTIF($R$2:$R2447,$R2447)=1,1,0))</f>
        <v>0</v>
      </c>
      <c r="T2447" t="str">
        <f t="shared" si="579"/>
        <v/>
      </c>
      <c r="U2447" t="str">
        <f>IF($A2447="","",IF($A2447=经营数据!$B$3,COUNTIFS($S$2:$S$3000,1,$A$2:$A$3000,$A2447,$T$2:$T$3000,"&lt;"&amp;$T2447)+1,""))</f>
        <v/>
      </c>
      <c r="V2447" t="str">
        <f t="shared" si="580"/>
        <v/>
      </c>
      <c r="W2447" t="str">
        <f t="shared" si="581"/>
        <v/>
      </c>
      <c r="X2447" t="str">
        <f t="shared" si="582"/>
        <v/>
      </c>
      <c r="Y2447" t="str">
        <f t="shared" si="583"/>
        <v/>
      </c>
      <c r="Z2447">
        <f>IF($A2447="",0,IF(AND($M2447=1,$A2447=经营数据!$B$3,$J2447=经营数据!$BA$5,OR($I2447=经营数据!$BA$4,COUNTIF(经营数据!$AA$9:$AA$38,$I2447)&gt;0)),1,0))</f>
        <v>0</v>
      </c>
      <c r="AA2447" t="str">
        <f t="shared" si="584"/>
        <v/>
      </c>
      <c r="AB2447" t="str">
        <f t="shared" si="585"/>
        <v/>
      </c>
      <c r="AC2447">
        <f>IF($A2447="",0,IF(COUNTIF($A$2:$A2447,$A2447)=1,1,0))</f>
        <v>0</v>
      </c>
      <c r="AD2447">
        <f t="shared" si="586"/>
        <v>29</v>
      </c>
      <c r="AE2447" t="str">
        <f t="shared" si="587"/>
        <v/>
      </c>
    </row>
    <row r="2448" spans="1:31" x14ac:dyDescent="0.4">
      <c r="A2448" t="str">
        <f>IF(原始经营数据!$D2449="","",原始经营数据!$D2449)</f>
        <v/>
      </c>
      <c r="B2448" t="str">
        <f>IF(原始经营数据!$D2449="","",T(原始经营数据!$E2449))</f>
        <v/>
      </c>
      <c r="C2448" t="str">
        <f>IF(原始经营数据!$D2449="","",原始经营数据!$F2449)</f>
        <v/>
      </c>
      <c r="D2448" t="str">
        <f>IF(原始经营数据!$D2449="","",原始经营数据!$H2449)</f>
        <v/>
      </c>
      <c r="E2448" t="str">
        <f>IF(原始经营数据!$D2449="","",原始经营数据!$I2449)</f>
        <v/>
      </c>
      <c r="F2448" t="str">
        <f>IF(原始经营数据!$D2449="","",T(原始经营数据!$J2449))</f>
        <v/>
      </c>
      <c r="G2448" t="str">
        <f>IF(原始经营数据!$D2449="","",T(原始经营数据!$K2449))</f>
        <v/>
      </c>
      <c r="H2448" t="str">
        <f>IF(原始经营数据!$D2449="","",原始经营数据!$G2449)</f>
        <v/>
      </c>
      <c r="I2448" t="str">
        <f>IF($A2448="","",IF($B2448&lt;&gt;"",$B2448,IF(COUNTIFS(原始经营数据!$D$3:$D$3001,$A2448,原始经营数据!$E$3:$E$3001,"",原始经营数据!$F$3:$F$3001,$C2448,原始经营数据!$H$3:$H$3001,$D2448,原始经营数据!$K$3:$K$3001,$G2448)&gt;1,"基金整体·来源"&amp;原始经营数据!$A2449,"基金整体")))</f>
        <v/>
      </c>
      <c r="J2448" t="str">
        <f t="shared" si="573"/>
        <v/>
      </c>
      <c r="K2448" t="str">
        <f t="shared" si="574"/>
        <v/>
      </c>
      <c r="L2448" t="str">
        <f t="shared" si="575"/>
        <v/>
      </c>
      <c r="M2448">
        <f>IF($A2448="",0,IF(COUNTIF($L$2:$L2448,$L2448)=1,1,0))</f>
        <v>0</v>
      </c>
      <c r="N2448" t="str">
        <f t="shared" si="576"/>
        <v/>
      </c>
      <c r="O2448" t="str">
        <f t="shared" si="577"/>
        <v/>
      </c>
      <c r="P2448">
        <f>IF($A2448="",0,IF(COUNTIF($O$2:$O2448,$O2448)=1,1,0))</f>
        <v>0</v>
      </c>
      <c r="Q2448" t="str">
        <f>IF(AND($P2448=1,$A2448=经营数据!$B$3,$J2448=经营数据!$BA$5),COUNTIFS($P$2:$P$3000,1,$A$2:$A$3000,$A2448,$J$2:$J$3000,$J2448,$N$2:$N$3000,"&lt;"&amp;$N2448)+1,"")</f>
        <v/>
      </c>
      <c r="R2448" t="str">
        <f t="shared" si="578"/>
        <v/>
      </c>
      <c r="S2448">
        <f>IF($A2448="",0,IF(COUNTIF($R$2:$R2448,$R2448)=1,1,0))</f>
        <v>0</v>
      </c>
      <c r="T2448" t="str">
        <f t="shared" si="579"/>
        <v/>
      </c>
      <c r="U2448" t="str">
        <f>IF($A2448="","",IF($A2448=经营数据!$B$3,COUNTIFS($S$2:$S$3000,1,$A$2:$A$3000,$A2448,$T$2:$T$3000,"&lt;"&amp;$T2448)+1,""))</f>
        <v/>
      </c>
      <c r="V2448" t="str">
        <f t="shared" si="580"/>
        <v/>
      </c>
      <c r="W2448" t="str">
        <f t="shared" si="581"/>
        <v/>
      </c>
      <c r="X2448" t="str">
        <f t="shared" si="582"/>
        <v/>
      </c>
      <c r="Y2448" t="str">
        <f t="shared" si="583"/>
        <v/>
      </c>
      <c r="Z2448">
        <f>IF($A2448="",0,IF(AND($M2448=1,$A2448=经营数据!$B$3,$J2448=经营数据!$BA$5,OR($I2448=经营数据!$BA$4,COUNTIF(经营数据!$AA$9:$AA$38,$I2448)&gt;0)),1,0))</f>
        <v>0</v>
      </c>
      <c r="AA2448" t="str">
        <f t="shared" si="584"/>
        <v/>
      </c>
      <c r="AB2448" t="str">
        <f t="shared" si="585"/>
        <v/>
      </c>
      <c r="AC2448">
        <f>IF($A2448="",0,IF(COUNTIF($A$2:$A2448,$A2448)=1,1,0))</f>
        <v>0</v>
      </c>
      <c r="AD2448">
        <f t="shared" si="586"/>
        <v>29</v>
      </c>
      <c r="AE2448" t="str">
        <f t="shared" si="587"/>
        <v/>
      </c>
    </row>
    <row r="2449" spans="1:31" x14ac:dyDescent="0.4">
      <c r="A2449" t="str">
        <f>IF(原始经营数据!$D2450="","",原始经营数据!$D2450)</f>
        <v/>
      </c>
      <c r="B2449" t="str">
        <f>IF(原始经营数据!$D2450="","",T(原始经营数据!$E2450))</f>
        <v/>
      </c>
      <c r="C2449" t="str">
        <f>IF(原始经营数据!$D2450="","",原始经营数据!$F2450)</f>
        <v/>
      </c>
      <c r="D2449" t="str">
        <f>IF(原始经营数据!$D2450="","",原始经营数据!$H2450)</f>
        <v/>
      </c>
      <c r="E2449" t="str">
        <f>IF(原始经营数据!$D2450="","",原始经营数据!$I2450)</f>
        <v/>
      </c>
      <c r="F2449" t="str">
        <f>IF(原始经营数据!$D2450="","",T(原始经营数据!$J2450))</f>
        <v/>
      </c>
      <c r="G2449" t="str">
        <f>IF(原始经营数据!$D2450="","",T(原始经营数据!$K2450))</f>
        <v/>
      </c>
      <c r="H2449" t="str">
        <f>IF(原始经营数据!$D2450="","",原始经营数据!$G2450)</f>
        <v/>
      </c>
      <c r="I2449" t="str">
        <f>IF($A2449="","",IF($B2449&lt;&gt;"",$B2449,IF(COUNTIFS(原始经营数据!$D$3:$D$3001,$A2449,原始经营数据!$E$3:$E$3001,"",原始经营数据!$F$3:$F$3001,$C2449,原始经营数据!$H$3:$H$3001,$D2449,原始经营数据!$K$3:$K$3001,$G2449)&gt;1,"基金整体·来源"&amp;原始经营数据!$A2450,"基金整体")))</f>
        <v/>
      </c>
      <c r="J2449" t="str">
        <f t="shared" si="573"/>
        <v/>
      </c>
      <c r="K2449" t="str">
        <f t="shared" si="574"/>
        <v/>
      </c>
      <c r="L2449" t="str">
        <f t="shared" si="575"/>
        <v/>
      </c>
      <c r="M2449">
        <f>IF($A2449="",0,IF(COUNTIF($L$2:$L2449,$L2449)=1,1,0))</f>
        <v>0</v>
      </c>
      <c r="N2449" t="str">
        <f t="shared" si="576"/>
        <v/>
      </c>
      <c r="O2449" t="str">
        <f t="shared" si="577"/>
        <v/>
      </c>
      <c r="P2449">
        <f>IF($A2449="",0,IF(COUNTIF($O$2:$O2449,$O2449)=1,1,0))</f>
        <v>0</v>
      </c>
      <c r="Q2449" t="str">
        <f>IF(AND($P2449=1,$A2449=经营数据!$B$3,$J2449=经营数据!$BA$5),COUNTIFS($P$2:$P$3000,1,$A$2:$A$3000,$A2449,$J$2:$J$3000,$J2449,$N$2:$N$3000,"&lt;"&amp;$N2449)+1,"")</f>
        <v/>
      </c>
      <c r="R2449" t="str">
        <f t="shared" si="578"/>
        <v/>
      </c>
      <c r="S2449">
        <f>IF($A2449="",0,IF(COUNTIF($R$2:$R2449,$R2449)=1,1,0))</f>
        <v>0</v>
      </c>
      <c r="T2449" t="str">
        <f t="shared" si="579"/>
        <v/>
      </c>
      <c r="U2449" t="str">
        <f>IF($A2449="","",IF($A2449=经营数据!$B$3,COUNTIFS($S$2:$S$3000,1,$A$2:$A$3000,$A2449,$T$2:$T$3000,"&lt;"&amp;$T2449)+1,""))</f>
        <v/>
      </c>
      <c r="V2449" t="str">
        <f t="shared" si="580"/>
        <v/>
      </c>
      <c r="W2449" t="str">
        <f t="shared" si="581"/>
        <v/>
      </c>
      <c r="X2449" t="str">
        <f t="shared" si="582"/>
        <v/>
      </c>
      <c r="Y2449" t="str">
        <f t="shared" si="583"/>
        <v/>
      </c>
      <c r="Z2449">
        <f>IF($A2449="",0,IF(AND($M2449=1,$A2449=经营数据!$B$3,$J2449=经营数据!$BA$5,OR($I2449=经营数据!$BA$4,COUNTIF(经营数据!$AA$9:$AA$38,$I2449)&gt;0)),1,0))</f>
        <v>0</v>
      </c>
      <c r="AA2449" t="str">
        <f t="shared" si="584"/>
        <v/>
      </c>
      <c r="AB2449" t="str">
        <f t="shared" si="585"/>
        <v/>
      </c>
      <c r="AC2449">
        <f>IF($A2449="",0,IF(COUNTIF($A$2:$A2449,$A2449)=1,1,0))</f>
        <v>0</v>
      </c>
      <c r="AD2449">
        <f t="shared" si="586"/>
        <v>29</v>
      </c>
      <c r="AE2449" t="str">
        <f t="shared" si="587"/>
        <v/>
      </c>
    </row>
    <row r="2450" spans="1:31" x14ac:dyDescent="0.4">
      <c r="A2450" t="str">
        <f>IF(原始经营数据!$D2451="","",原始经营数据!$D2451)</f>
        <v/>
      </c>
      <c r="B2450" t="str">
        <f>IF(原始经营数据!$D2451="","",T(原始经营数据!$E2451))</f>
        <v/>
      </c>
      <c r="C2450" t="str">
        <f>IF(原始经营数据!$D2451="","",原始经营数据!$F2451)</f>
        <v/>
      </c>
      <c r="D2450" t="str">
        <f>IF(原始经营数据!$D2451="","",原始经营数据!$H2451)</f>
        <v/>
      </c>
      <c r="E2450" t="str">
        <f>IF(原始经营数据!$D2451="","",原始经营数据!$I2451)</f>
        <v/>
      </c>
      <c r="F2450" t="str">
        <f>IF(原始经营数据!$D2451="","",T(原始经营数据!$J2451))</f>
        <v/>
      </c>
      <c r="G2450" t="str">
        <f>IF(原始经营数据!$D2451="","",T(原始经营数据!$K2451))</f>
        <v/>
      </c>
      <c r="H2450" t="str">
        <f>IF(原始经营数据!$D2451="","",原始经营数据!$G2451)</f>
        <v/>
      </c>
      <c r="I2450" t="str">
        <f>IF($A2450="","",IF($B2450&lt;&gt;"",$B2450,IF(COUNTIFS(原始经营数据!$D$3:$D$3001,$A2450,原始经营数据!$E$3:$E$3001,"",原始经营数据!$F$3:$F$3001,$C2450,原始经营数据!$H$3:$H$3001,$D2450,原始经营数据!$K$3:$K$3001,$G2450)&gt;1,"基金整体·来源"&amp;原始经营数据!$A2451,"基金整体")))</f>
        <v/>
      </c>
      <c r="J2450" t="str">
        <f t="shared" si="573"/>
        <v/>
      </c>
      <c r="K2450" t="str">
        <f t="shared" si="574"/>
        <v/>
      </c>
      <c r="L2450" t="str">
        <f t="shared" si="575"/>
        <v/>
      </c>
      <c r="M2450">
        <f>IF($A2450="",0,IF(COUNTIF($L$2:$L2450,$L2450)=1,1,0))</f>
        <v>0</v>
      </c>
      <c r="N2450" t="str">
        <f t="shared" si="576"/>
        <v/>
      </c>
      <c r="O2450" t="str">
        <f t="shared" si="577"/>
        <v/>
      </c>
      <c r="P2450">
        <f>IF($A2450="",0,IF(COUNTIF($O$2:$O2450,$O2450)=1,1,0))</f>
        <v>0</v>
      </c>
      <c r="Q2450" t="str">
        <f>IF(AND($P2450=1,$A2450=经营数据!$B$3,$J2450=经营数据!$BA$5),COUNTIFS($P$2:$P$3000,1,$A$2:$A$3000,$A2450,$J$2:$J$3000,$J2450,$N$2:$N$3000,"&lt;"&amp;$N2450)+1,"")</f>
        <v/>
      </c>
      <c r="R2450" t="str">
        <f t="shared" si="578"/>
        <v/>
      </c>
      <c r="S2450">
        <f>IF($A2450="",0,IF(COUNTIF($R$2:$R2450,$R2450)=1,1,0))</f>
        <v>0</v>
      </c>
      <c r="T2450" t="str">
        <f t="shared" si="579"/>
        <v/>
      </c>
      <c r="U2450" t="str">
        <f>IF($A2450="","",IF($A2450=经营数据!$B$3,COUNTIFS($S$2:$S$3000,1,$A$2:$A$3000,$A2450,$T$2:$T$3000,"&lt;"&amp;$T2450)+1,""))</f>
        <v/>
      </c>
      <c r="V2450" t="str">
        <f t="shared" si="580"/>
        <v/>
      </c>
      <c r="W2450" t="str">
        <f t="shared" si="581"/>
        <v/>
      </c>
      <c r="X2450" t="str">
        <f t="shared" si="582"/>
        <v/>
      </c>
      <c r="Y2450" t="str">
        <f t="shared" si="583"/>
        <v/>
      </c>
      <c r="Z2450">
        <f>IF($A2450="",0,IF(AND($M2450=1,$A2450=经营数据!$B$3,$J2450=经营数据!$BA$5,OR($I2450=经营数据!$BA$4,COUNTIF(经营数据!$AA$9:$AA$38,$I2450)&gt;0)),1,0))</f>
        <v>0</v>
      </c>
      <c r="AA2450" t="str">
        <f t="shared" si="584"/>
        <v/>
      </c>
      <c r="AB2450" t="str">
        <f t="shared" si="585"/>
        <v/>
      </c>
      <c r="AC2450">
        <f>IF($A2450="",0,IF(COUNTIF($A$2:$A2450,$A2450)=1,1,0))</f>
        <v>0</v>
      </c>
      <c r="AD2450">
        <f t="shared" si="586"/>
        <v>29</v>
      </c>
      <c r="AE2450" t="str">
        <f t="shared" si="587"/>
        <v/>
      </c>
    </row>
    <row r="2451" spans="1:31" x14ac:dyDescent="0.4">
      <c r="A2451" t="str">
        <f>IF(原始经营数据!$D2452="","",原始经营数据!$D2452)</f>
        <v/>
      </c>
      <c r="B2451" t="str">
        <f>IF(原始经营数据!$D2452="","",T(原始经营数据!$E2452))</f>
        <v/>
      </c>
      <c r="C2451" t="str">
        <f>IF(原始经营数据!$D2452="","",原始经营数据!$F2452)</f>
        <v/>
      </c>
      <c r="D2451" t="str">
        <f>IF(原始经营数据!$D2452="","",原始经营数据!$H2452)</f>
        <v/>
      </c>
      <c r="E2451" t="str">
        <f>IF(原始经营数据!$D2452="","",原始经营数据!$I2452)</f>
        <v/>
      </c>
      <c r="F2451" t="str">
        <f>IF(原始经营数据!$D2452="","",T(原始经营数据!$J2452))</f>
        <v/>
      </c>
      <c r="G2451" t="str">
        <f>IF(原始经营数据!$D2452="","",T(原始经营数据!$K2452))</f>
        <v/>
      </c>
      <c r="H2451" t="str">
        <f>IF(原始经营数据!$D2452="","",原始经营数据!$G2452)</f>
        <v/>
      </c>
      <c r="I2451" t="str">
        <f>IF($A2451="","",IF($B2451&lt;&gt;"",$B2451,IF(COUNTIFS(原始经营数据!$D$3:$D$3001,$A2451,原始经营数据!$E$3:$E$3001,"",原始经营数据!$F$3:$F$3001,$C2451,原始经营数据!$H$3:$H$3001,$D2451,原始经营数据!$K$3:$K$3001,$G2451)&gt;1,"基金整体·来源"&amp;原始经营数据!$A2452,"基金整体")))</f>
        <v/>
      </c>
      <c r="J2451" t="str">
        <f t="shared" si="573"/>
        <v/>
      </c>
      <c r="K2451" t="str">
        <f t="shared" si="574"/>
        <v/>
      </c>
      <c r="L2451" t="str">
        <f t="shared" si="575"/>
        <v/>
      </c>
      <c r="M2451">
        <f>IF($A2451="",0,IF(COUNTIF($L$2:$L2451,$L2451)=1,1,0))</f>
        <v>0</v>
      </c>
      <c r="N2451" t="str">
        <f t="shared" si="576"/>
        <v/>
      </c>
      <c r="O2451" t="str">
        <f t="shared" si="577"/>
        <v/>
      </c>
      <c r="P2451">
        <f>IF($A2451="",0,IF(COUNTIF($O$2:$O2451,$O2451)=1,1,0))</f>
        <v>0</v>
      </c>
      <c r="Q2451" t="str">
        <f>IF(AND($P2451=1,$A2451=经营数据!$B$3,$J2451=经营数据!$BA$5),COUNTIFS($P$2:$P$3000,1,$A$2:$A$3000,$A2451,$J$2:$J$3000,$J2451,$N$2:$N$3000,"&lt;"&amp;$N2451)+1,"")</f>
        <v/>
      </c>
      <c r="R2451" t="str">
        <f t="shared" si="578"/>
        <v/>
      </c>
      <c r="S2451">
        <f>IF($A2451="",0,IF(COUNTIF($R$2:$R2451,$R2451)=1,1,0))</f>
        <v>0</v>
      </c>
      <c r="T2451" t="str">
        <f t="shared" si="579"/>
        <v/>
      </c>
      <c r="U2451" t="str">
        <f>IF($A2451="","",IF($A2451=经营数据!$B$3,COUNTIFS($S$2:$S$3000,1,$A$2:$A$3000,$A2451,$T$2:$T$3000,"&lt;"&amp;$T2451)+1,""))</f>
        <v/>
      </c>
      <c r="V2451" t="str">
        <f t="shared" si="580"/>
        <v/>
      </c>
      <c r="W2451" t="str">
        <f t="shared" si="581"/>
        <v/>
      </c>
      <c r="X2451" t="str">
        <f t="shared" si="582"/>
        <v/>
      </c>
      <c r="Y2451" t="str">
        <f t="shared" si="583"/>
        <v/>
      </c>
      <c r="Z2451">
        <f>IF($A2451="",0,IF(AND($M2451=1,$A2451=经营数据!$B$3,$J2451=经营数据!$BA$5,OR($I2451=经营数据!$BA$4,COUNTIF(经营数据!$AA$9:$AA$38,$I2451)&gt;0)),1,0))</f>
        <v>0</v>
      </c>
      <c r="AA2451" t="str">
        <f t="shared" si="584"/>
        <v/>
      </c>
      <c r="AB2451" t="str">
        <f t="shared" si="585"/>
        <v/>
      </c>
      <c r="AC2451">
        <f>IF($A2451="",0,IF(COUNTIF($A$2:$A2451,$A2451)=1,1,0))</f>
        <v>0</v>
      </c>
      <c r="AD2451">
        <f t="shared" si="586"/>
        <v>29</v>
      </c>
      <c r="AE2451" t="str">
        <f t="shared" si="587"/>
        <v/>
      </c>
    </row>
    <row r="2452" spans="1:31" x14ac:dyDescent="0.4">
      <c r="A2452" t="str">
        <f>IF(原始经营数据!$D2453="","",原始经营数据!$D2453)</f>
        <v/>
      </c>
      <c r="B2452" t="str">
        <f>IF(原始经营数据!$D2453="","",T(原始经营数据!$E2453))</f>
        <v/>
      </c>
      <c r="C2452" t="str">
        <f>IF(原始经营数据!$D2453="","",原始经营数据!$F2453)</f>
        <v/>
      </c>
      <c r="D2452" t="str">
        <f>IF(原始经营数据!$D2453="","",原始经营数据!$H2453)</f>
        <v/>
      </c>
      <c r="E2452" t="str">
        <f>IF(原始经营数据!$D2453="","",原始经营数据!$I2453)</f>
        <v/>
      </c>
      <c r="F2452" t="str">
        <f>IF(原始经营数据!$D2453="","",T(原始经营数据!$J2453))</f>
        <v/>
      </c>
      <c r="G2452" t="str">
        <f>IF(原始经营数据!$D2453="","",T(原始经营数据!$K2453))</f>
        <v/>
      </c>
      <c r="H2452" t="str">
        <f>IF(原始经营数据!$D2453="","",原始经营数据!$G2453)</f>
        <v/>
      </c>
      <c r="I2452" t="str">
        <f>IF($A2452="","",IF($B2452&lt;&gt;"",$B2452,IF(COUNTIFS(原始经营数据!$D$3:$D$3001,$A2452,原始经营数据!$E$3:$E$3001,"",原始经营数据!$F$3:$F$3001,$C2452,原始经营数据!$H$3:$H$3001,$D2452,原始经营数据!$K$3:$K$3001,$G2452)&gt;1,"基金整体·来源"&amp;原始经营数据!$A2453,"基金整体")))</f>
        <v/>
      </c>
      <c r="J2452" t="str">
        <f t="shared" si="573"/>
        <v/>
      </c>
      <c r="K2452" t="str">
        <f t="shared" si="574"/>
        <v/>
      </c>
      <c r="L2452" t="str">
        <f t="shared" si="575"/>
        <v/>
      </c>
      <c r="M2452">
        <f>IF($A2452="",0,IF(COUNTIF($L$2:$L2452,$L2452)=1,1,0))</f>
        <v>0</v>
      </c>
      <c r="N2452" t="str">
        <f t="shared" si="576"/>
        <v/>
      </c>
      <c r="O2452" t="str">
        <f t="shared" si="577"/>
        <v/>
      </c>
      <c r="P2452">
        <f>IF($A2452="",0,IF(COUNTIF($O$2:$O2452,$O2452)=1,1,0))</f>
        <v>0</v>
      </c>
      <c r="Q2452" t="str">
        <f>IF(AND($P2452=1,$A2452=经营数据!$B$3,$J2452=经营数据!$BA$5),COUNTIFS($P$2:$P$3000,1,$A$2:$A$3000,$A2452,$J$2:$J$3000,$J2452,$N$2:$N$3000,"&lt;"&amp;$N2452)+1,"")</f>
        <v/>
      </c>
      <c r="R2452" t="str">
        <f t="shared" si="578"/>
        <v/>
      </c>
      <c r="S2452">
        <f>IF($A2452="",0,IF(COUNTIF($R$2:$R2452,$R2452)=1,1,0))</f>
        <v>0</v>
      </c>
      <c r="T2452" t="str">
        <f t="shared" si="579"/>
        <v/>
      </c>
      <c r="U2452" t="str">
        <f>IF($A2452="","",IF($A2452=经营数据!$B$3,COUNTIFS($S$2:$S$3000,1,$A$2:$A$3000,$A2452,$T$2:$T$3000,"&lt;"&amp;$T2452)+1,""))</f>
        <v/>
      </c>
      <c r="V2452" t="str">
        <f t="shared" si="580"/>
        <v/>
      </c>
      <c r="W2452" t="str">
        <f t="shared" si="581"/>
        <v/>
      </c>
      <c r="X2452" t="str">
        <f t="shared" si="582"/>
        <v/>
      </c>
      <c r="Y2452" t="str">
        <f t="shared" si="583"/>
        <v/>
      </c>
      <c r="Z2452">
        <f>IF($A2452="",0,IF(AND($M2452=1,$A2452=经营数据!$B$3,$J2452=经营数据!$BA$5,OR($I2452=经营数据!$BA$4,COUNTIF(经营数据!$AA$9:$AA$38,$I2452)&gt;0)),1,0))</f>
        <v>0</v>
      </c>
      <c r="AA2452" t="str">
        <f t="shared" si="584"/>
        <v/>
      </c>
      <c r="AB2452" t="str">
        <f t="shared" si="585"/>
        <v/>
      </c>
      <c r="AC2452">
        <f>IF($A2452="",0,IF(COUNTIF($A$2:$A2452,$A2452)=1,1,0))</f>
        <v>0</v>
      </c>
      <c r="AD2452">
        <f t="shared" si="586"/>
        <v>29</v>
      </c>
      <c r="AE2452" t="str">
        <f t="shared" si="587"/>
        <v/>
      </c>
    </row>
    <row r="2453" spans="1:31" x14ac:dyDescent="0.4">
      <c r="A2453" t="str">
        <f>IF(原始经营数据!$D2454="","",原始经营数据!$D2454)</f>
        <v/>
      </c>
      <c r="B2453" t="str">
        <f>IF(原始经营数据!$D2454="","",T(原始经营数据!$E2454))</f>
        <v/>
      </c>
      <c r="C2453" t="str">
        <f>IF(原始经营数据!$D2454="","",原始经营数据!$F2454)</f>
        <v/>
      </c>
      <c r="D2453" t="str">
        <f>IF(原始经营数据!$D2454="","",原始经营数据!$H2454)</f>
        <v/>
      </c>
      <c r="E2453" t="str">
        <f>IF(原始经营数据!$D2454="","",原始经营数据!$I2454)</f>
        <v/>
      </c>
      <c r="F2453" t="str">
        <f>IF(原始经营数据!$D2454="","",T(原始经营数据!$J2454))</f>
        <v/>
      </c>
      <c r="G2453" t="str">
        <f>IF(原始经营数据!$D2454="","",T(原始经营数据!$K2454))</f>
        <v/>
      </c>
      <c r="H2453" t="str">
        <f>IF(原始经营数据!$D2454="","",原始经营数据!$G2454)</f>
        <v/>
      </c>
      <c r="I2453" t="str">
        <f>IF($A2453="","",IF($B2453&lt;&gt;"",$B2453,IF(COUNTIFS(原始经营数据!$D$3:$D$3001,$A2453,原始经营数据!$E$3:$E$3001,"",原始经营数据!$F$3:$F$3001,$C2453,原始经营数据!$H$3:$H$3001,$D2453,原始经营数据!$K$3:$K$3001,$G2453)&gt;1,"基金整体·来源"&amp;原始经营数据!$A2454,"基金整体")))</f>
        <v/>
      </c>
      <c r="J2453" t="str">
        <f t="shared" si="573"/>
        <v/>
      </c>
      <c r="K2453" t="str">
        <f t="shared" si="574"/>
        <v/>
      </c>
      <c r="L2453" t="str">
        <f t="shared" si="575"/>
        <v/>
      </c>
      <c r="M2453">
        <f>IF($A2453="",0,IF(COUNTIF($L$2:$L2453,$L2453)=1,1,0))</f>
        <v>0</v>
      </c>
      <c r="N2453" t="str">
        <f t="shared" si="576"/>
        <v/>
      </c>
      <c r="O2453" t="str">
        <f t="shared" si="577"/>
        <v/>
      </c>
      <c r="P2453">
        <f>IF($A2453="",0,IF(COUNTIF($O$2:$O2453,$O2453)=1,1,0))</f>
        <v>0</v>
      </c>
      <c r="Q2453" t="str">
        <f>IF(AND($P2453=1,$A2453=经营数据!$B$3,$J2453=经营数据!$BA$5),COUNTIFS($P$2:$P$3000,1,$A$2:$A$3000,$A2453,$J$2:$J$3000,$J2453,$N$2:$N$3000,"&lt;"&amp;$N2453)+1,"")</f>
        <v/>
      </c>
      <c r="R2453" t="str">
        <f t="shared" si="578"/>
        <v/>
      </c>
      <c r="S2453">
        <f>IF($A2453="",0,IF(COUNTIF($R$2:$R2453,$R2453)=1,1,0))</f>
        <v>0</v>
      </c>
      <c r="T2453" t="str">
        <f t="shared" si="579"/>
        <v/>
      </c>
      <c r="U2453" t="str">
        <f>IF($A2453="","",IF($A2453=经营数据!$B$3,COUNTIFS($S$2:$S$3000,1,$A$2:$A$3000,$A2453,$T$2:$T$3000,"&lt;"&amp;$T2453)+1,""))</f>
        <v/>
      </c>
      <c r="V2453" t="str">
        <f t="shared" si="580"/>
        <v/>
      </c>
      <c r="W2453" t="str">
        <f t="shared" si="581"/>
        <v/>
      </c>
      <c r="X2453" t="str">
        <f t="shared" si="582"/>
        <v/>
      </c>
      <c r="Y2453" t="str">
        <f t="shared" si="583"/>
        <v/>
      </c>
      <c r="Z2453">
        <f>IF($A2453="",0,IF(AND($M2453=1,$A2453=经营数据!$B$3,$J2453=经营数据!$BA$5,OR($I2453=经营数据!$BA$4,COUNTIF(经营数据!$AA$9:$AA$38,$I2453)&gt;0)),1,0))</f>
        <v>0</v>
      </c>
      <c r="AA2453" t="str">
        <f t="shared" si="584"/>
        <v/>
      </c>
      <c r="AB2453" t="str">
        <f t="shared" si="585"/>
        <v/>
      </c>
      <c r="AC2453">
        <f>IF($A2453="",0,IF(COUNTIF($A$2:$A2453,$A2453)=1,1,0))</f>
        <v>0</v>
      </c>
      <c r="AD2453">
        <f t="shared" si="586"/>
        <v>29</v>
      </c>
      <c r="AE2453" t="str">
        <f t="shared" si="587"/>
        <v/>
      </c>
    </row>
    <row r="2454" spans="1:31" x14ac:dyDescent="0.4">
      <c r="A2454" t="str">
        <f>IF(原始经营数据!$D2455="","",原始经营数据!$D2455)</f>
        <v/>
      </c>
      <c r="B2454" t="str">
        <f>IF(原始经营数据!$D2455="","",T(原始经营数据!$E2455))</f>
        <v/>
      </c>
      <c r="C2454" t="str">
        <f>IF(原始经营数据!$D2455="","",原始经营数据!$F2455)</f>
        <v/>
      </c>
      <c r="D2454" t="str">
        <f>IF(原始经营数据!$D2455="","",原始经营数据!$H2455)</f>
        <v/>
      </c>
      <c r="E2454" t="str">
        <f>IF(原始经营数据!$D2455="","",原始经营数据!$I2455)</f>
        <v/>
      </c>
      <c r="F2454" t="str">
        <f>IF(原始经营数据!$D2455="","",T(原始经营数据!$J2455))</f>
        <v/>
      </c>
      <c r="G2454" t="str">
        <f>IF(原始经营数据!$D2455="","",T(原始经营数据!$K2455))</f>
        <v/>
      </c>
      <c r="H2454" t="str">
        <f>IF(原始经营数据!$D2455="","",原始经营数据!$G2455)</f>
        <v/>
      </c>
      <c r="I2454" t="str">
        <f>IF($A2454="","",IF($B2454&lt;&gt;"",$B2454,IF(COUNTIFS(原始经营数据!$D$3:$D$3001,$A2454,原始经营数据!$E$3:$E$3001,"",原始经营数据!$F$3:$F$3001,$C2454,原始经营数据!$H$3:$H$3001,$D2454,原始经营数据!$K$3:$K$3001,$G2454)&gt;1,"基金整体·来源"&amp;原始经营数据!$A2455,"基金整体")))</f>
        <v/>
      </c>
      <c r="J2454" t="str">
        <f t="shared" si="573"/>
        <v/>
      </c>
      <c r="K2454" t="str">
        <f t="shared" si="574"/>
        <v/>
      </c>
      <c r="L2454" t="str">
        <f t="shared" si="575"/>
        <v/>
      </c>
      <c r="M2454">
        <f>IF($A2454="",0,IF(COUNTIF($L$2:$L2454,$L2454)=1,1,0))</f>
        <v>0</v>
      </c>
      <c r="N2454" t="str">
        <f t="shared" si="576"/>
        <v/>
      </c>
      <c r="O2454" t="str">
        <f t="shared" si="577"/>
        <v/>
      </c>
      <c r="P2454">
        <f>IF($A2454="",0,IF(COUNTIF($O$2:$O2454,$O2454)=1,1,0))</f>
        <v>0</v>
      </c>
      <c r="Q2454" t="str">
        <f>IF(AND($P2454=1,$A2454=经营数据!$B$3,$J2454=经营数据!$BA$5),COUNTIFS($P$2:$P$3000,1,$A$2:$A$3000,$A2454,$J$2:$J$3000,$J2454,$N$2:$N$3000,"&lt;"&amp;$N2454)+1,"")</f>
        <v/>
      </c>
      <c r="R2454" t="str">
        <f t="shared" si="578"/>
        <v/>
      </c>
      <c r="S2454">
        <f>IF($A2454="",0,IF(COUNTIF($R$2:$R2454,$R2454)=1,1,0))</f>
        <v>0</v>
      </c>
      <c r="T2454" t="str">
        <f t="shared" si="579"/>
        <v/>
      </c>
      <c r="U2454" t="str">
        <f>IF($A2454="","",IF($A2454=经营数据!$B$3,COUNTIFS($S$2:$S$3000,1,$A$2:$A$3000,$A2454,$T$2:$T$3000,"&lt;"&amp;$T2454)+1,""))</f>
        <v/>
      </c>
      <c r="V2454" t="str">
        <f t="shared" si="580"/>
        <v/>
      </c>
      <c r="W2454" t="str">
        <f t="shared" si="581"/>
        <v/>
      </c>
      <c r="X2454" t="str">
        <f t="shared" si="582"/>
        <v/>
      </c>
      <c r="Y2454" t="str">
        <f t="shared" si="583"/>
        <v/>
      </c>
      <c r="Z2454">
        <f>IF($A2454="",0,IF(AND($M2454=1,$A2454=经营数据!$B$3,$J2454=经营数据!$BA$5,OR($I2454=经营数据!$BA$4,COUNTIF(经营数据!$AA$9:$AA$38,$I2454)&gt;0)),1,0))</f>
        <v>0</v>
      </c>
      <c r="AA2454" t="str">
        <f t="shared" si="584"/>
        <v/>
      </c>
      <c r="AB2454" t="str">
        <f t="shared" si="585"/>
        <v/>
      </c>
      <c r="AC2454">
        <f>IF($A2454="",0,IF(COUNTIF($A$2:$A2454,$A2454)=1,1,0))</f>
        <v>0</v>
      </c>
      <c r="AD2454">
        <f t="shared" si="586"/>
        <v>29</v>
      </c>
      <c r="AE2454" t="str">
        <f t="shared" si="587"/>
        <v/>
      </c>
    </row>
    <row r="2455" spans="1:31" x14ac:dyDescent="0.4">
      <c r="A2455" t="str">
        <f>IF(原始经营数据!$D2456="","",原始经营数据!$D2456)</f>
        <v/>
      </c>
      <c r="B2455" t="str">
        <f>IF(原始经营数据!$D2456="","",T(原始经营数据!$E2456))</f>
        <v/>
      </c>
      <c r="C2455" t="str">
        <f>IF(原始经营数据!$D2456="","",原始经营数据!$F2456)</f>
        <v/>
      </c>
      <c r="D2455" t="str">
        <f>IF(原始经营数据!$D2456="","",原始经营数据!$H2456)</f>
        <v/>
      </c>
      <c r="E2455" t="str">
        <f>IF(原始经营数据!$D2456="","",原始经营数据!$I2456)</f>
        <v/>
      </c>
      <c r="F2455" t="str">
        <f>IF(原始经营数据!$D2456="","",T(原始经营数据!$J2456))</f>
        <v/>
      </c>
      <c r="G2455" t="str">
        <f>IF(原始经营数据!$D2456="","",T(原始经营数据!$K2456))</f>
        <v/>
      </c>
      <c r="H2455" t="str">
        <f>IF(原始经营数据!$D2456="","",原始经营数据!$G2456)</f>
        <v/>
      </c>
      <c r="I2455" t="str">
        <f>IF($A2455="","",IF($B2455&lt;&gt;"",$B2455,IF(COUNTIFS(原始经营数据!$D$3:$D$3001,$A2455,原始经营数据!$E$3:$E$3001,"",原始经营数据!$F$3:$F$3001,$C2455,原始经营数据!$H$3:$H$3001,$D2455,原始经营数据!$K$3:$K$3001,$G2455)&gt;1,"基金整体·来源"&amp;原始经营数据!$A2456,"基金整体")))</f>
        <v/>
      </c>
      <c r="J2455" t="str">
        <f t="shared" si="573"/>
        <v/>
      </c>
      <c r="K2455" t="str">
        <f t="shared" si="574"/>
        <v/>
      </c>
      <c r="L2455" t="str">
        <f t="shared" si="575"/>
        <v/>
      </c>
      <c r="M2455">
        <f>IF($A2455="",0,IF(COUNTIF($L$2:$L2455,$L2455)=1,1,0))</f>
        <v>0</v>
      </c>
      <c r="N2455" t="str">
        <f t="shared" si="576"/>
        <v/>
      </c>
      <c r="O2455" t="str">
        <f t="shared" si="577"/>
        <v/>
      </c>
      <c r="P2455">
        <f>IF($A2455="",0,IF(COUNTIF($O$2:$O2455,$O2455)=1,1,0))</f>
        <v>0</v>
      </c>
      <c r="Q2455" t="str">
        <f>IF(AND($P2455=1,$A2455=经营数据!$B$3,$J2455=经营数据!$BA$5),COUNTIFS($P$2:$P$3000,1,$A$2:$A$3000,$A2455,$J$2:$J$3000,$J2455,$N$2:$N$3000,"&lt;"&amp;$N2455)+1,"")</f>
        <v/>
      </c>
      <c r="R2455" t="str">
        <f t="shared" si="578"/>
        <v/>
      </c>
      <c r="S2455">
        <f>IF($A2455="",0,IF(COUNTIF($R$2:$R2455,$R2455)=1,1,0))</f>
        <v>0</v>
      </c>
      <c r="T2455" t="str">
        <f t="shared" si="579"/>
        <v/>
      </c>
      <c r="U2455" t="str">
        <f>IF($A2455="","",IF($A2455=经营数据!$B$3,COUNTIFS($S$2:$S$3000,1,$A$2:$A$3000,$A2455,$T$2:$T$3000,"&lt;"&amp;$T2455)+1,""))</f>
        <v/>
      </c>
      <c r="V2455" t="str">
        <f t="shared" si="580"/>
        <v/>
      </c>
      <c r="W2455" t="str">
        <f t="shared" si="581"/>
        <v/>
      </c>
      <c r="X2455" t="str">
        <f t="shared" si="582"/>
        <v/>
      </c>
      <c r="Y2455" t="str">
        <f t="shared" si="583"/>
        <v/>
      </c>
      <c r="Z2455">
        <f>IF($A2455="",0,IF(AND($M2455=1,$A2455=经营数据!$B$3,$J2455=经营数据!$BA$5,OR($I2455=经营数据!$BA$4,COUNTIF(经营数据!$AA$9:$AA$38,$I2455)&gt;0)),1,0))</f>
        <v>0</v>
      </c>
      <c r="AA2455" t="str">
        <f t="shared" si="584"/>
        <v/>
      </c>
      <c r="AB2455" t="str">
        <f t="shared" si="585"/>
        <v/>
      </c>
      <c r="AC2455">
        <f>IF($A2455="",0,IF(COUNTIF($A$2:$A2455,$A2455)=1,1,0))</f>
        <v>0</v>
      </c>
      <c r="AD2455">
        <f t="shared" si="586"/>
        <v>29</v>
      </c>
      <c r="AE2455" t="str">
        <f t="shared" si="587"/>
        <v/>
      </c>
    </row>
    <row r="2456" spans="1:31" x14ac:dyDescent="0.4">
      <c r="A2456" t="str">
        <f>IF(原始经营数据!$D2457="","",原始经营数据!$D2457)</f>
        <v/>
      </c>
      <c r="B2456" t="str">
        <f>IF(原始经营数据!$D2457="","",T(原始经营数据!$E2457))</f>
        <v/>
      </c>
      <c r="C2456" t="str">
        <f>IF(原始经营数据!$D2457="","",原始经营数据!$F2457)</f>
        <v/>
      </c>
      <c r="D2456" t="str">
        <f>IF(原始经营数据!$D2457="","",原始经营数据!$H2457)</f>
        <v/>
      </c>
      <c r="E2456" t="str">
        <f>IF(原始经营数据!$D2457="","",原始经营数据!$I2457)</f>
        <v/>
      </c>
      <c r="F2456" t="str">
        <f>IF(原始经营数据!$D2457="","",T(原始经营数据!$J2457))</f>
        <v/>
      </c>
      <c r="G2456" t="str">
        <f>IF(原始经营数据!$D2457="","",T(原始经营数据!$K2457))</f>
        <v/>
      </c>
      <c r="H2456" t="str">
        <f>IF(原始经营数据!$D2457="","",原始经营数据!$G2457)</f>
        <v/>
      </c>
      <c r="I2456" t="str">
        <f>IF($A2456="","",IF($B2456&lt;&gt;"",$B2456,IF(COUNTIFS(原始经营数据!$D$3:$D$3001,$A2456,原始经营数据!$E$3:$E$3001,"",原始经营数据!$F$3:$F$3001,$C2456,原始经营数据!$H$3:$H$3001,$D2456,原始经营数据!$K$3:$K$3001,$G2456)&gt;1,"基金整体·来源"&amp;原始经营数据!$A2457,"基金整体")))</f>
        <v/>
      </c>
      <c r="J2456" t="str">
        <f t="shared" si="573"/>
        <v/>
      </c>
      <c r="K2456" t="str">
        <f t="shared" si="574"/>
        <v/>
      </c>
      <c r="L2456" t="str">
        <f t="shared" si="575"/>
        <v/>
      </c>
      <c r="M2456">
        <f>IF($A2456="",0,IF(COUNTIF($L$2:$L2456,$L2456)=1,1,0))</f>
        <v>0</v>
      </c>
      <c r="N2456" t="str">
        <f t="shared" si="576"/>
        <v/>
      </c>
      <c r="O2456" t="str">
        <f t="shared" si="577"/>
        <v/>
      </c>
      <c r="P2456">
        <f>IF($A2456="",0,IF(COUNTIF($O$2:$O2456,$O2456)=1,1,0))</f>
        <v>0</v>
      </c>
      <c r="Q2456" t="str">
        <f>IF(AND($P2456=1,$A2456=经营数据!$B$3,$J2456=经营数据!$BA$5),COUNTIFS($P$2:$P$3000,1,$A$2:$A$3000,$A2456,$J$2:$J$3000,$J2456,$N$2:$N$3000,"&lt;"&amp;$N2456)+1,"")</f>
        <v/>
      </c>
      <c r="R2456" t="str">
        <f t="shared" si="578"/>
        <v/>
      </c>
      <c r="S2456">
        <f>IF($A2456="",0,IF(COUNTIF($R$2:$R2456,$R2456)=1,1,0))</f>
        <v>0</v>
      </c>
      <c r="T2456" t="str">
        <f t="shared" si="579"/>
        <v/>
      </c>
      <c r="U2456" t="str">
        <f>IF($A2456="","",IF($A2456=经营数据!$B$3,COUNTIFS($S$2:$S$3000,1,$A$2:$A$3000,$A2456,$T$2:$T$3000,"&lt;"&amp;$T2456)+1,""))</f>
        <v/>
      </c>
      <c r="V2456" t="str">
        <f t="shared" si="580"/>
        <v/>
      </c>
      <c r="W2456" t="str">
        <f t="shared" si="581"/>
        <v/>
      </c>
      <c r="X2456" t="str">
        <f t="shared" si="582"/>
        <v/>
      </c>
      <c r="Y2456" t="str">
        <f t="shared" si="583"/>
        <v/>
      </c>
      <c r="Z2456">
        <f>IF($A2456="",0,IF(AND($M2456=1,$A2456=经营数据!$B$3,$J2456=经营数据!$BA$5,OR($I2456=经营数据!$BA$4,COUNTIF(经营数据!$AA$9:$AA$38,$I2456)&gt;0)),1,0))</f>
        <v>0</v>
      </c>
      <c r="AA2456" t="str">
        <f t="shared" si="584"/>
        <v/>
      </c>
      <c r="AB2456" t="str">
        <f t="shared" si="585"/>
        <v/>
      </c>
      <c r="AC2456">
        <f>IF($A2456="",0,IF(COUNTIF($A$2:$A2456,$A2456)=1,1,0))</f>
        <v>0</v>
      </c>
      <c r="AD2456">
        <f t="shared" si="586"/>
        <v>29</v>
      </c>
      <c r="AE2456" t="str">
        <f t="shared" si="587"/>
        <v/>
      </c>
    </row>
    <row r="2457" spans="1:31" x14ac:dyDescent="0.4">
      <c r="A2457" t="str">
        <f>IF(原始经营数据!$D2458="","",原始经营数据!$D2458)</f>
        <v/>
      </c>
      <c r="B2457" t="str">
        <f>IF(原始经营数据!$D2458="","",T(原始经营数据!$E2458))</f>
        <v/>
      </c>
      <c r="C2457" t="str">
        <f>IF(原始经营数据!$D2458="","",原始经营数据!$F2458)</f>
        <v/>
      </c>
      <c r="D2457" t="str">
        <f>IF(原始经营数据!$D2458="","",原始经营数据!$H2458)</f>
        <v/>
      </c>
      <c r="E2457" t="str">
        <f>IF(原始经营数据!$D2458="","",原始经营数据!$I2458)</f>
        <v/>
      </c>
      <c r="F2457" t="str">
        <f>IF(原始经营数据!$D2458="","",T(原始经营数据!$J2458))</f>
        <v/>
      </c>
      <c r="G2457" t="str">
        <f>IF(原始经营数据!$D2458="","",T(原始经营数据!$K2458))</f>
        <v/>
      </c>
      <c r="H2457" t="str">
        <f>IF(原始经营数据!$D2458="","",原始经营数据!$G2458)</f>
        <v/>
      </c>
      <c r="I2457" t="str">
        <f>IF($A2457="","",IF($B2457&lt;&gt;"",$B2457,IF(COUNTIFS(原始经营数据!$D$3:$D$3001,$A2457,原始经营数据!$E$3:$E$3001,"",原始经营数据!$F$3:$F$3001,$C2457,原始经营数据!$H$3:$H$3001,$D2457,原始经营数据!$K$3:$K$3001,$G2457)&gt;1,"基金整体·来源"&amp;原始经营数据!$A2458,"基金整体")))</f>
        <v/>
      </c>
      <c r="J2457" t="str">
        <f t="shared" si="573"/>
        <v/>
      </c>
      <c r="K2457" t="str">
        <f t="shared" si="574"/>
        <v/>
      </c>
      <c r="L2457" t="str">
        <f t="shared" si="575"/>
        <v/>
      </c>
      <c r="M2457">
        <f>IF($A2457="",0,IF(COUNTIF($L$2:$L2457,$L2457)=1,1,0))</f>
        <v>0</v>
      </c>
      <c r="N2457" t="str">
        <f t="shared" si="576"/>
        <v/>
      </c>
      <c r="O2457" t="str">
        <f t="shared" si="577"/>
        <v/>
      </c>
      <c r="P2457">
        <f>IF($A2457="",0,IF(COUNTIF($O$2:$O2457,$O2457)=1,1,0))</f>
        <v>0</v>
      </c>
      <c r="Q2457" t="str">
        <f>IF(AND($P2457=1,$A2457=经营数据!$B$3,$J2457=经营数据!$BA$5),COUNTIFS($P$2:$P$3000,1,$A$2:$A$3000,$A2457,$J$2:$J$3000,$J2457,$N$2:$N$3000,"&lt;"&amp;$N2457)+1,"")</f>
        <v/>
      </c>
      <c r="R2457" t="str">
        <f t="shared" si="578"/>
        <v/>
      </c>
      <c r="S2457">
        <f>IF($A2457="",0,IF(COUNTIF($R$2:$R2457,$R2457)=1,1,0))</f>
        <v>0</v>
      </c>
      <c r="T2457" t="str">
        <f t="shared" si="579"/>
        <v/>
      </c>
      <c r="U2457" t="str">
        <f>IF($A2457="","",IF($A2457=经营数据!$B$3,COUNTIFS($S$2:$S$3000,1,$A$2:$A$3000,$A2457,$T$2:$T$3000,"&lt;"&amp;$T2457)+1,""))</f>
        <v/>
      </c>
      <c r="V2457" t="str">
        <f t="shared" si="580"/>
        <v/>
      </c>
      <c r="W2457" t="str">
        <f t="shared" si="581"/>
        <v/>
      </c>
      <c r="X2457" t="str">
        <f t="shared" si="582"/>
        <v/>
      </c>
      <c r="Y2457" t="str">
        <f t="shared" si="583"/>
        <v/>
      </c>
      <c r="Z2457">
        <f>IF($A2457="",0,IF(AND($M2457=1,$A2457=经营数据!$B$3,$J2457=经营数据!$BA$5,OR($I2457=经营数据!$BA$4,COUNTIF(经营数据!$AA$9:$AA$38,$I2457)&gt;0)),1,0))</f>
        <v>0</v>
      </c>
      <c r="AA2457" t="str">
        <f t="shared" si="584"/>
        <v/>
      </c>
      <c r="AB2457" t="str">
        <f t="shared" si="585"/>
        <v/>
      </c>
      <c r="AC2457">
        <f>IF($A2457="",0,IF(COUNTIF($A$2:$A2457,$A2457)=1,1,0))</f>
        <v>0</v>
      </c>
      <c r="AD2457">
        <f t="shared" si="586"/>
        <v>29</v>
      </c>
      <c r="AE2457" t="str">
        <f t="shared" si="587"/>
        <v/>
      </c>
    </row>
    <row r="2458" spans="1:31" x14ac:dyDescent="0.4">
      <c r="A2458" t="str">
        <f>IF(原始经营数据!$D2459="","",原始经营数据!$D2459)</f>
        <v/>
      </c>
      <c r="B2458" t="str">
        <f>IF(原始经营数据!$D2459="","",T(原始经营数据!$E2459))</f>
        <v/>
      </c>
      <c r="C2458" t="str">
        <f>IF(原始经营数据!$D2459="","",原始经营数据!$F2459)</f>
        <v/>
      </c>
      <c r="D2458" t="str">
        <f>IF(原始经营数据!$D2459="","",原始经营数据!$H2459)</f>
        <v/>
      </c>
      <c r="E2458" t="str">
        <f>IF(原始经营数据!$D2459="","",原始经营数据!$I2459)</f>
        <v/>
      </c>
      <c r="F2458" t="str">
        <f>IF(原始经营数据!$D2459="","",T(原始经营数据!$J2459))</f>
        <v/>
      </c>
      <c r="G2458" t="str">
        <f>IF(原始经营数据!$D2459="","",T(原始经营数据!$K2459))</f>
        <v/>
      </c>
      <c r="H2458" t="str">
        <f>IF(原始经营数据!$D2459="","",原始经营数据!$G2459)</f>
        <v/>
      </c>
      <c r="I2458" t="str">
        <f>IF($A2458="","",IF($B2458&lt;&gt;"",$B2458,IF(COUNTIFS(原始经营数据!$D$3:$D$3001,$A2458,原始经营数据!$E$3:$E$3001,"",原始经营数据!$F$3:$F$3001,$C2458,原始经营数据!$H$3:$H$3001,$D2458,原始经营数据!$K$3:$K$3001,$G2458)&gt;1,"基金整体·来源"&amp;原始经营数据!$A2459,"基金整体")))</f>
        <v/>
      </c>
      <c r="J2458" t="str">
        <f t="shared" si="573"/>
        <v/>
      </c>
      <c r="K2458" t="str">
        <f t="shared" si="574"/>
        <v/>
      </c>
      <c r="L2458" t="str">
        <f t="shared" si="575"/>
        <v/>
      </c>
      <c r="M2458">
        <f>IF($A2458="",0,IF(COUNTIF($L$2:$L2458,$L2458)=1,1,0))</f>
        <v>0</v>
      </c>
      <c r="N2458" t="str">
        <f t="shared" si="576"/>
        <v/>
      </c>
      <c r="O2458" t="str">
        <f t="shared" si="577"/>
        <v/>
      </c>
      <c r="P2458">
        <f>IF($A2458="",0,IF(COUNTIF($O$2:$O2458,$O2458)=1,1,0))</f>
        <v>0</v>
      </c>
      <c r="Q2458" t="str">
        <f>IF(AND($P2458=1,$A2458=经营数据!$B$3,$J2458=经营数据!$BA$5),COUNTIFS($P$2:$P$3000,1,$A$2:$A$3000,$A2458,$J$2:$J$3000,$J2458,$N$2:$N$3000,"&lt;"&amp;$N2458)+1,"")</f>
        <v/>
      </c>
      <c r="R2458" t="str">
        <f t="shared" si="578"/>
        <v/>
      </c>
      <c r="S2458">
        <f>IF($A2458="",0,IF(COUNTIF($R$2:$R2458,$R2458)=1,1,0))</f>
        <v>0</v>
      </c>
      <c r="T2458" t="str">
        <f t="shared" si="579"/>
        <v/>
      </c>
      <c r="U2458" t="str">
        <f>IF($A2458="","",IF($A2458=经营数据!$B$3,COUNTIFS($S$2:$S$3000,1,$A$2:$A$3000,$A2458,$T$2:$T$3000,"&lt;"&amp;$T2458)+1,""))</f>
        <v/>
      </c>
      <c r="V2458" t="str">
        <f t="shared" si="580"/>
        <v/>
      </c>
      <c r="W2458" t="str">
        <f t="shared" si="581"/>
        <v/>
      </c>
      <c r="X2458" t="str">
        <f t="shared" si="582"/>
        <v/>
      </c>
      <c r="Y2458" t="str">
        <f t="shared" si="583"/>
        <v/>
      </c>
      <c r="Z2458">
        <f>IF($A2458="",0,IF(AND($M2458=1,$A2458=经营数据!$B$3,$J2458=经营数据!$BA$5,OR($I2458=经营数据!$BA$4,COUNTIF(经营数据!$AA$9:$AA$38,$I2458)&gt;0)),1,0))</f>
        <v>0</v>
      </c>
      <c r="AA2458" t="str">
        <f t="shared" si="584"/>
        <v/>
      </c>
      <c r="AB2458" t="str">
        <f t="shared" si="585"/>
        <v/>
      </c>
      <c r="AC2458">
        <f>IF($A2458="",0,IF(COUNTIF($A$2:$A2458,$A2458)=1,1,0))</f>
        <v>0</v>
      </c>
      <c r="AD2458">
        <f t="shared" si="586"/>
        <v>29</v>
      </c>
      <c r="AE2458" t="str">
        <f t="shared" si="587"/>
        <v/>
      </c>
    </row>
    <row r="2459" spans="1:31" x14ac:dyDescent="0.4">
      <c r="A2459" t="str">
        <f>IF(原始经营数据!$D2460="","",原始经营数据!$D2460)</f>
        <v/>
      </c>
      <c r="B2459" t="str">
        <f>IF(原始经营数据!$D2460="","",T(原始经营数据!$E2460))</f>
        <v/>
      </c>
      <c r="C2459" t="str">
        <f>IF(原始经营数据!$D2460="","",原始经营数据!$F2460)</f>
        <v/>
      </c>
      <c r="D2459" t="str">
        <f>IF(原始经营数据!$D2460="","",原始经营数据!$H2460)</f>
        <v/>
      </c>
      <c r="E2459" t="str">
        <f>IF(原始经营数据!$D2460="","",原始经营数据!$I2460)</f>
        <v/>
      </c>
      <c r="F2459" t="str">
        <f>IF(原始经营数据!$D2460="","",T(原始经营数据!$J2460))</f>
        <v/>
      </c>
      <c r="G2459" t="str">
        <f>IF(原始经营数据!$D2460="","",T(原始经营数据!$K2460))</f>
        <v/>
      </c>
      <c r="H2459" t="str">
        <f>IF(原始经营数据!$D2460="","",原始经营数据!$G2460)</f>
        <v/>
      </c>
      <c r="I2459" t="str">
        <f>IF($A2459="","",IF($B2459&lt;&gt;"",$B2459,IF(COUNTIFS(原始经营数据!$D$3:$D$3001,$A2459,原始经营数据!$E$3:$E$3001,"",原始经营数据!$F$3:$F$3001,$C2459,原始经营数据!$H$3:$H$3001,$D2459,原始经营数据!$K$3:$K$3001,$G2459)&gt;1,"基金整体·来源"&amp;原始经营数据!$A2460,"基金整体")))</f>
        <v/>
      </c>
      <c r="J2459" t="str">
        <f t="shared" si="573"/>
        <v/>
      </c>
      <c r="K2459" t="str">
        <f t="shared" si="574"/>
        <v/>
      </c>
      <c r="L2459" t="str">
        <f t="shared" si="575"/>
        <v/>
      </c>
      <c r="M2459">
        <f>IF($A2459="",0,IF(COUNTIF($L$2:$L2459,$L2459)=1,1,0))</f>
        <v>0</v>
      </c>
      <c r="N2459" t="str">
        <f t="shared" si="576"/>
        <v/>
      </c>
      <c r="O2459" t="str">
        <f t="shared" si="577"/>
        <v/>
      </c>
      <c r="P2459">
        <f>IF($A2459="",0,IF(COUNTIF($O$2:$O2459,$O2459)=1,1,0))</f>
        <v>0</v>
      </c>
      <c r="Q2459" t="str">
        <f>IF(AND($P2459=1,$A2459=经营数据!$B$3,$J2459=经营数据!$BA$5),COUNTIFS($P$2:$P$3000,1,$A$2:$A$3000,$A2459,$J$2:$J$3000,$J2459,$N$2:$N$3000,"&lt;"&amp;$N2459)+1,"")</f>
        <v/>
      </c>
      <c r="R2459" t="str">
        <f t="shared" si="578"/>
        <v/>
      </c>
      <c r="S2459">
        <f>IF($A2459="",0,IF(COUNTIF($R$2:$R2459,$R2459)=1,1,0))</f>
        <v>0</v>
      </c>
      <c r="T2459" t="str">
        <f t="shared" si="579"/>
        <v/>
      </c>
      <c r="U2459" t="str">
        <f>IF($A2459="","",IF($A2459=经营数据!$B$3,COUNTIFS($S$2:$S$3000,1,$A$2:$A$3000,$A2459,$T$2:$T$3000,"&lt;"&amp;$T2459)+1,""))</f>
        <v/>
      </c>
      <c r="V2459" t="str">
        <f t="shared" si="580"/>
        <v/>
      </c>
      <c r="W2459" t="str">
        <f t="shared" si="581"/>
        <v/>
      </c>
      <c r="X2459" t="str">
        <f t="shared" si="582"/>
        <v/>
      </c>
      <c r="Y2459" t="str">
        <f t="shared" si="583"/>
        <v/>
      </c>
      <c r="Z2459">
        <f>IF($A2459="",0,IF(AND($M2459=1,$A2459=经营数据!$B$3,$J2459=经营数据!$BA$5,OR($I2459=经营数据!$BA$4,COUNTIF(经营数据!$AA$9:$AA$38,$I2459)&gt;0)),1,0))</f>
        <v>0</v>
      </c>
      <c r="AA2459" t="str">
        <f t="shared" si="584"/>
        <v/>
      </c>
      <c r="AB2459" t="str">
        <f t="shared" si="585"/>
        <v/>
      </c>
      <c r="AC2459">
        <f>IF($A2459="",0,IF(COUNTIF($A$2:$A2459,$A2459)=1,1,0))</f>
        <v>0</v>
      </c>
      <c r="AD2459">
        <f t="shared" si="586"/>
        <v>29</v>
      </c>
      <c r="AE2459" t="str">
        <f t="shared" si="587"/>
        <v/>
      </c>
    </row>
    <row r="2460" spans="1:31" x14ac:dyDescent="0.4">
      <c r="A2460" t="str">
        <f>IF(原始经营数据!$D2461="","",原始经营数据!$D2461)</f>
        <v/>
      </c>
      <c r="B2460" t="str">
        <f>IF(原始经营数据!$D2461="","",T(原始经营数据!$E2461))</f>
        <v/>
      </c>
      <c r="C2460" t="str">
        <f>IF(原始经营数据!$D2461="","",原始经营数据!$F2461)</f>
        <v/>
      </c>
      <c r="D2460" t="str">
        <f>IF(原始经营数据!$D2461="","",原始经营数据!$H2461)</f>
        <v/>
      </c>
      <c r="E2460" t="str">
        <f>IF(原始经营数据!$D2461="","",原始经营数据!$I2461)</f>
        <v/>
      </c>
      <c r="F2460" t="str">
        <f>IF(原始经营数据!$D2461="","",T(原始经营数据!$J2461))</f>
        <v/>
      </c>
      <c r="G2460" t="str">
        <f>IF(原始经营数据!$D2461="","",T(原始经营数据!$K2461))</f>
        <v/>
      </c>
      <c r="H2460" t="str">
        <f>IF(原始经营数据!$D2461="","",原始经营数据!$G2461)</f>
        <v/>
      </c>
      <c r="I2460" t="str">
        <f>IF($A2460="","",IF($B2460&lt;&gt;"",$B2460,IF(COUNTIFS(原始经营数据!$D$3:$D$3001,$A2460,原始经营数据!$E$3:$E$3001,"",原始经营数据!$F$3:$F$3001,$C2460,原始经营数据!$H$3:$H$3001,$D2460,原始经营数据!$K$3:$K$3001,$G2460)&gt;1,"基金整体·来源"&amp;原始经营数据!$A2461,"基金整体")))</f>
        <v/>
      </c>
      <c r="J2460" t="str">
        <f t="shared" si="573"/>
        <v/>
      </c>
      <c r="K2460" t="str">
        <f t="shared" si="574"/>
        <v/>
      </c>
      <c r="L2460" t="str">
        <f t="shared" si="575"/>
        <v/>
      </c>
      <c r="M2460">
        <f>IF($A2460="",0,IF(COUNTIF($L$2:$L2460,$L2460)=1,1,0))</f>
        <v>0</v>
      </c>
      <c r="N2460" t="str">
        <f t="shared" si="576"/>
        <v/>
      </c>
      <c r="O2460" t="str">
        <f t="shared" si="577"/>
        <v/>
      </c>
      <c r="P2460">
        <f>IF($A2460="",0,IF(COUNTIF($O$2:$O2460,$O2460)=1,1,0))</f>
        <v>0</v>
      </c>
      <c r="Q2460" t="str">
        <f>IF(AND($P2460=1,$A2460=经营数据!$B$3,$J2460=经营数据!$BA$5),COUNTIFS($P$2:$P$3000,1,$A$2:$A$3000,$A2460,$J$2:$J$3000,$J2460,$N$2:$N$3000,"&lt;"&amp;$N2460)+1,"")</f>
        <v/>
      </c>
      <c r="R2460" t="str">
        <f t="shared" si="578"/>
        <v/>
      </c>
      <c r="S2460">
        <f>IF($A2460="",0,IF(COUNTIF($R$2:$R2460,$R2460)=1,1,0))</f>
        <v>0</v>
      </c>
      <c r="T2460" t="str">
        <f t="shared" si="579"/>
        <v/>
      </c>
      <c r="U2460" t="str">
        <f>IF($A2460="","",IF($A2460=经营数据!$B$3,COUNTIFS($S$2:$S$3000,1,$A$2:$A$3000,$A2460,$T$2:$T$3000,"&lt;"&amp;$T2460)+1,""))</f>
        <v/>
      </c>
      <c r="V2460" t="str">
        <f t="shared" si="580"/>
        <v/>
      </c>
      <c r="W2460" t="str">
        <f t="shared" si="581"/>
        <v/>
      </c>
      <c r="X2460" t="str">
        <f t="shared" si="582"/>
        <v/>
      </c>
      <c r="Y2460" t="str">
        <f t="shared" si="583"/>
        <v/>
      </c>
      <c r="Z2460">
        <f>IF($A2460="",0,IF(AND($M2460=1,$A2460=经营数据!$B$3,$J2460=经营数据!$BA$5,OR($I2460=经营数据!$BA$4,COUNTIF(经营数据!$AA$9:$AA$38,$I2460)&gt;0)),1,0))</f>
        <v>0</v>
      </c>
      <c r="AA2460" t="str">
        <f t="shared" si="584"/>
        <v/>
      </c>
      <c r="AB2460" t="str">
        <f t="shared" si="585"/>
        <v/>
      </c>
      <c r="AC2460">
        <f>IF($A2460="",0,IF(COUNTIF($A$2:$A2460,$A2460)=1,1,0))</f>
        <v>0</v>
      </c>
      <c r="AD2460">
        <f t="shared" si="586"/>
        <v>29</v>
      </c>
      <c r="AE2460" t="str">
        <f t="shared" si="587"/>
        <v/>
      </c>
    </row>
    <row r="2461" spans="1:31" x14ac:dyDescent="0.4">
      <c r="A2461" t="str">
        <f>IF(原始经营数据!$D2462="","",原始经营数据!$D2462)</f>
        <v/>
      </c>
      <c r="B2461" t="str">
        <f>IF(原始经营数据!$D2462="","",T(原始经营数据!$E2462))</f>
        <v/>
      </c>
      <c r="C2461" t="str">
        <f>IF(原始经营数据!$D2462="","",原始经营数据!$F2462)</f>
        <v/>
      </c>
      <c r="D2461" t="str">
        <f>IF(原始经营数据!$D2462="","",原始经营数据!$H2462)</f>
        <v/>
      </c>
      <c r="E2461" t="str">
        <f>IF(原始经营数据!$D2462="","",原始经营数据!$I2462)</f>
        <v/>
      </c>
      <c r="F2461" t="str">
        <f>IF(原始经营数据!$D2462="","",T(原始经营数据!$J2462))</f>
        <v/>
      </c>
      <c r="G2461" t="str">
        <f>IF(原始经营数据!$D2462="","",T(原始经营数据!$K2462))</f>
        <v/>
      </c>
      <c r="H2461" t="str">
        <f>IF(原始经营数据!$D2462="","",原始经营数据!$G2462)</f>
        <v/>
      </c>
      <c r="I2461" t="str">
        <f>IF($A2461="","",IF($B2461&lt;&gt;"",$B2461,IF(COUNTIFS(原始经营数据!$D$3:$D$3001,$A2461,原始经营数据!$E$3:$E$3001,"",原始经营数据!$F$3:$F$3001,$C2461,原始经营数据!$H$3:$H$3001,$D2461,原始经营数据!$K$3:$K$3001,$G2461)&gt;1,"基金整体·来源"&amp;原始经营数据!$A2462,"基金整体")))</f>
        <v/>
      </c>
      <c r="J2461" t="str">
        <f t="shared" si="573"/>
        <v/>
      </c>
      <c r="K2461" t="str">
        <f t="shared" si="574"/>
        <v/>
      </c>
      <c r="L2461" t="str">
        <f t="shared" si="575"/>
        <v/>
      </c>
      <c r="M2461">
        <f>IF($A2461="",0,IF(COUNTIF($L$2:$L2461,$L2461)=1,1,0))</f>
        <v>0</v>
      </c>
      <c r="N2461" t="str">
        <f t="shared" si="576"/>
        <v/>
      </c>
      <c r="O2461" t="str">
        <f t="shared" si="577"/>
        <v/>
      </c>
      <c r="P2461">
        <f>IF($A2461="",0,IF(COUNTIF($O$2:$O2461,$O2461)=1,1,0))</f>
        <v>0</v>
      </c>
      <c r="Q2461" t="str">
        <f>IF(AND($P2461=1,$A2461=经营数据!$B$3,$J2461=经营数据!$BA$5),COUNTIFS($P$2:$P$3000,1,$A$2:$A$3000,$A2461,$J$2:$J$3000,$J2461,$N$2:$N$3000,"&lt;"&amp;$N2461)+1,"")</f>
        <v/>
      </c>
      <c r="R2461" t="str">
        <f t="shared" si="578"/>
        <v/>
      </c>
      <c r="S2461">
        <f>IF($A2461="",0,IF(COUNTIF($R$2:$R2461,$R2461)=1,1,0))</f>
        <v>0</v>
      </c>
      <c r="T2461" t="str">
        <f t="shared" si="579"/>
        <v/>
      </c>
      <c r="U2461" t="str">
        <f>IF($A2461="","",IF($A2461=经营数据!$B$3,COUNTIFS($S$2:$S$3000,1,$A$2:$A$3000,$A2461,$T$2:$T$3000,"&lt;"&amp;$T2461)+1,""))</f>
        <v/>
      </c>
      <c r="V2461" t="str">
        <f t="shared" si="580"/>
        <v/>
      </c>
      <c r="W2461" t="str">
        <f t="shared" si="581"/>
        <v/>
      </c>
      <c r="X2461" t="str">
        <f t="shared" si="582"/>
        <v/>
      </c>
      <c r="Y2461" t="str">
        <f t="shared" si="583"/>
        <v/>
      </c>
      <c r="Z2461">
        <f>IF($A2461="",0,IF(AND($M2461=1,$A2461=经营数据!$B$3,$J2461=经营数据!$BA$5,OR($I2461=经营数据!$BA$4,COUNTIF(经营数据!$AA$9:$AA$38,$I2461)&gt;0)),1,0))</f>
        <v>0</v>
      </c>
      <c r="AA2461" t="str">
        <f t="shared" si="584"/>
        <v/>
      </c>
      <c r="AB2461" t="str">
        <f t="shared" si="585"/>
        <v/>
      </c>
      <c r="AC2461">
        <f>IF($A2461="",0,IF(COUNTIF($A$2:$A2461,$A2461)=1,1,0))</f>
        <v>0</v>
      </c>
      <c r="AD2461">
        <f t="shared" si="586"/>
        <v>29</v>
      </c>
      <c r="AE2461" t="str">
        <f t="shared" si="587"/>
        <v/>
      </c>
    </row>
    <row r="2462" spans="1:31" x14ac:dyDescent="0.4">
      <c r="A2462" t="str">
        <f>IF(原始经营数据!$D2463="","",原始经营数据!$D2463)</f>
        <v/>
      </c>
      <c r="B2462" t="str">
        <f>IF(原始经营数据!$D2463="","",T(原始经营数据!$E2463))</f>
        <v/>
      </c>
      <c r="C2462" t="str">
        <f>IF(原始经营数据!$D2463="","",原始经营数据!$F2463)</f>
        <v/>
      </c>
      <c r="D2462" t="str">
        <f>IF(原始经营数据!$D2463="","",原始经营数据!$H2463)</f>
        <v/>
      </c>
      <c r="E2462" t="str">
        <f>IF(原始经营数据!$D2463="","",原始经营数据!$I2463)</f>
        <v/>
      </c>
      <c r="F2462" t="str">
        <f>IF(原始经营数据!$D2463="","",T(原始经营数据!$J2463))</f>
        <v/>
      </c>
      <c r="G2462" t="str">
        <f>IF(原始经营数据!$D2463="","",T(原始经营数据!$K2463))</f>
        <v/>
      </c>
      <c r="H2462" t="str">
        <f>IF(原始经营数据!$D2463="","",原始经营数据!$G2463)</f>
        <v/>
      </c>
      <c r="I2462" t="str">
        <f>IF($A2462="","",IF($B2462&lt;&gt;"",$B2462,IF(COUNTIFS(原始经营数据!$D$3:$D$3001,$A2462,原始经营数据!$E$3:$E$3001,"",原始经营数据!$F$3:$F$3001,$C2462,原始经营数据!$H$3:$H$3001,$D2462,原始经营数据!$K$3:$K$3001,$G2462)&gt;1,"基金整体·来源"&amp;原始经营数据!$A2463,"基金整体")))</f>
        <v/>
      </c>
      <c r="J2462" t="str">
        <f t="shared" si="573"/>
        <v/>
      </c>
      <c r="K2462" t="str">
        <f t="shared" si="574"/>
        <v/>
      </c>
      <c r="L2462" t="str">
        <f t="shared" si="575"/>
        <v/>
      </c>
      <c r="M2462">
        <f>IF($A2462="",0,IF(COUNTIF($L$2:$L2462,$L2462)=1,1,0))</f>
        <v>0</v>
      </c>
      <c r="N2462" t="str">
        <f t="shared" si="576"/>
        <v/>
      </c>
      <c r="O2462" t="str">
        <f t="shared" si="577"/>
        <v/>
      </c>
      <c r="P2462">
        <f>IF($A2462="",0,IF(COUNTIF($O$2:$O2462,$O2462)=1,1,0))</f>
        <v>0</v>
      </c>
      <c r="Q2462" t="str">
        <f>IF(AND($P2462=1,$A2462=经营数据!$B$3,$J2462=经营数据!$BA$5),COUNTIFS($P$2:$P$3000,1,$A$2:$A$3000,$A2462,$J$2:$J$3000,$J2462,$N$2:$N$3000,"&lt;"&amp;$N2462)+1,"")</f>
        <v/>
      </c>
      <c r="R2462" t="str">
        <f t="shared" si="578"/>
        <v/>
      </c>
      <c r="S2462">
        <f>IF($A2462="",0,IF(COUNTIF($R$2:$R2462,$R2462)=1,1,0))</f>
        <v>0</v>
      </c>
      <c r="T2462" t="str">
        <f t="shared" si="579"/>
        <v/>
      </c>
      <c r="U2462" t="str">
        <f>IF($A2462="","",IF($A2462=经营数据!$B$3,COUNTIFS($S$2:$S$3000,1,$A$2:$A$3000,$A2462,$T$2:$T$3000,"&lt;"&amp;$T2462)+1,""))</f>
        <v/>
      </c>
      <c r="V2462" t="str">
        <f t="shared" si="580"/>
        <v/>
      </c>
      <c r="W2462" t="str">
        <f t="shared" si="581"/>
        <v/>
      </c>
      <c r="X2462" t="str">
        <f t="shared" si="582"/>
        <v/>
      </c>
      <c r="Y2462" t="str">
        <f t="shared" si="583"/>
        <v/>
      </c>
      <c r="Z2462">
        <f>IF($A2462="",0,IF(AND($M2462=1,$A2462=经营数据!$B$3,$J2462=经营数据!$BA$5,OR($I2462=经营数据!$BA$4,COUNTIF(经营数据!$AA$9:$AA$38,$I2462)&gt;0)),1,0))</f>
        <v>0</v>
      </c>
      <c r="AA2462" t="str">
        <f t="shared" si="584"/>
        <v/>
      </c>
      <c r="AB2462" t="str">
        <f t="shared" si="585"/>
        <v/>
      </c>
      <c r="AC2462">
        <f>IF($A2462="",0,IF(COUNTIF($A$2:$A2462,$A2462)=1,1,0))</f>
        <v>0</v>
      </c>
      <c r="AD2462">
        <f t="shared" si="586"/>
        <v>29</v>
      </c>
      <c r="AE2462" t="str">
        <f t="shared" si="587"/>
        <v/>
      </c>
    </row>
    <row r="2463" spans="1:31" x14ac:dyDescent="0.4">
      <c r="A2463" t="str">
        <f>IF(原始经营数据!$D2464="","",原始经营数据!$D2464)</f>
        <v/>
      </c>
      <c r="B2463" t="str">
        <f>IF(原始经营数据!$D2464="","",T(原始经营数据!$E2464))</f>
        <v/>
      </c>
      <c r="C2463" t="str">
        <f>IF(原始经营数据!$D2464="","",原始经营数据!$F2464)</f>
        <v/>
      </c>
      <c r="D2463" t="str">
        <f>IF(原始经营数据!$D2464="","",原始经营数据!$H2464)</f>
        <v/>
      </c>
      <c r="E2463" t="str">
        <f>IF(原始经营数据!$D2464="","",原始经营数据!$I2464)</f>
        <v/>
      </c>
      <c r="F2463" t="str">
        <f>IF(原始经营数据!$D2464="","",T(原始经营数据!$J2464))</f>
        <v/>
      </c>
      <c r="G2463" t="str">
        <f>IF(原始经营数据!$D2464="","",T(原始经营数据!$K2464))</f>
        <v/>
      </c>
      <c r="H2463" t="str">
        <f>IF(原始经营数据!$D2464="","",原始经营数据!$G2464)</f>
        <v/>
      </c>
      <c r="I2463" t="str">
        <f>IF($A2463="","",IF($B2463&lt;&gt;"",$B2463,IF(COUNTIFS(原始经营数据!$D$3:$D$3001,$A2463,原始经营数据!$E$3:$E$3001,"",原始经营数据!$F$3:$F$3001,$C2463,原始经营数据!$H$3:$H$3001,$D2463,原始经营数据!$K$3:$K$3001,$G2463)&gt;1,"基金整体·来源"&amp;原始经营数据!$A2464,"基金整体")))</f>
        <v/>
      </c>
      <c r="J2463" t="str">
        <f t="shared" si="573"/>
        <v/>
      </c>
      <c r="K2463" t="str">
        <f t="shared" si="574"/>
        <v/>
      </c>
      <c r="L2463" t="str">
        <f t="shared" si="575"/>
        <v/>
      </c>
      <c r="M2463">
        <f>IF($A2463="",0,IF(COUNTIF($L$2:$L2463,$L2463)=1,1,0))</f>
        <v>0</v>
      </c>
      <c r="N2463" t="str">
        <f t="shared" si="576"/>
        <v/>
      </c>
      <c r="O2463" t="str">
        <f t="shared" si="577"/>
        <v/>
      </c>
      <c r="P2463">
        <f>IF($A2463="",0,IF(COUNTIF($O$2:$O2463,$O2463)=1,1,0))</f>
        <v>0</v>
      </c>
      <c r="Q2463" t="str">
        <f>IF(AND($P2463=1,$A2463=经营数据!$B$3,$J2463=经营数据!$BA$5),COUNTIFS($P$2:$P$3000,1,$A$2:$A$3000,$A2463,$J$2:$J$3000,$J2463,$N$2:$N$3000,"&lt;"&amp;$N2463)+1,"")</f>
        <v/>
      </c>
      <c r="R2463" t="str">
        <f t="shared" si="578"/>
        <v/>
      </c>
      <c r="S2463">
        <f>IF($A2463="",0,IF(COUNTIF($R$2:$R2463,$R2463)=1,1,0))</f>
        <v>0</v>
      </c>
      <c r="T2463" t="str">
        <f t="shared" si="579"/>
        <v/>
      </c>
      <c r="U2463" t="str">
        <f>IF($A2463="","",IF($A2463=经营数据!$B$3,COUNTIFS($S$2:$S$3000,1,$A$2:$A$3000,$A2463,$T$2:$T$3000,"&lt;"&amp;$T2463)+1,""))</f>
        <v/>
      </c>
      <c r="V2463" t="str">
        <f t="shared" si="580"/>
        <v/>
      </c>
      <c r="W2463" t="str">
        <f t="shared" si="581"/>
        <v/>
      </c>
      <c r="X2463" t="str">
        <f t="shared" si="582"/>
        <v/>
      </c>
      <c r="Y2463" t="str">
        <f t="shared" si="583"/>
        <v/>
      </c>
      <c r="Z2463">
        <f>IF($A2463="",0,IF(AND($M2463=1,$A2463=经营数据!$B$3,$J2463=经营数据!$BA$5,OR($I2463=经营数据!$BA$4,COUNTIF(经营数据!$AA$9:$AA$38,$I2463)&gt;0)),1,0))</f>
        <v>0</v>
      </c>
      <c r="AA2463" t="str">
        <f t="shared" si="584"/>
        <v/>
      </c>
      <c r="AB2463" t="str">
        <f t="shared" si="585"/>
        <v/>
      </c>
      <c r="AC2463">
        <f>IF($A2463="",0,IF(COUNTIF($A$2:$A2463,$A2463)=1,1,0))</f>
        <v>0</v>
      </c>
      <c r="AD2463">
        <f t="shared" si="586"/>
        <v>29</v>
      </c>
      <c r="AE2463" t="str">
        <f t="shared" si="587"/>
        <v/>
      </c>
    </row>
    <row r="2464" spans="1:31" x14ac:dyDescent="0.4">
      <c r="A2464" t="str">
        <f>IF(原始经营数据!$D2465="","",原始经营数据!$D2465)</f>
        <v/>
      </c>
      <c r="B2464" t="str">
        <f>IF(原始经营数据!$D2465="","",T(原始经营数据!$E2465))</f>
        <v/>
      </c>
      <c r="C2464" t="str">
        <f>IF(原始经营数据!$D2465="","",原始经营数据!$F2465)</f>
        <v/>
      </c>
      <c r="D2464" t="str">
        <f>IF(原始经营数据!$D2465="","",原始经营数据!$H2465)</f>
        <v/>
      </c>
      <c r="E2464" t="str">
        <f>IF(原始经营数据!$D2465="","",原始经营数据!$I2465)</f>
        <v/>
      </c>
      <c r="F2464" t="str">
        <f>IF(原始经营数据!$D2465="","",T(原始经营数据!$J2465))</f>
        <v/>
      </c>
      <c r="G2464" t="str">
        <f>IF(原始经营数据!$D2465="","",T(原始经营数据!$K2465))</f>
        <v/>
      </c>
      <c r="H2464" t="str">
        <f>IF(原始经营数据!$D2465="","",原始经营数据!$G2465)</f>
        <v/>
      </c>
      <c r="I2464" t="str">
        <f>IF($A2464="","",IF($B2464&lt;&gt;"",$B2464,IF(COUNTIFS(原始经营数据!$D$3:$D$3001,$A2464,原始经营数据!$E$3:$E$3001,"",原始经营数据!$F$3:$F$3001,$C2464,原始经营数据!$H$3:$H$3001,$D2464,原始经营数据!$K$3:$K$3001,$G2464)&gt;1,"基金整体·来源"&amp;原始经营数据!$A2465,"基金整体")))</f>
        <v/>
      </c>
      <c r="J2464" t="str">
        <f t="shared" si="573"/>
        <v/>
      </c>
      <c r="K2464" t="str">
        <f t="shared" si="574"/>
        <v/>
      </c>
      <c r="L2464" t="str">
        <f t="shared" si="575"/>
        <v/>
      </c>
      <c r="M2464">
        <f>IF($A2464="",0,IF(COUNTIF($L$2:$L2464,$L2464)=1,1,0))</f>
        <v>0</v>
      </c>
      <c r="N2464" t="str">
        <f t="shared" si="576"/>
        <v/>
      </c>
      <c r="O2464" t="str">
        <f t="shared" si="577"/>
        <v/>
      </c>
      <c r="P2464">
        <f>IF($A2464="",0,IF(COUNTIF($O$2:$O2464,$O2464)=1,1,0))</f>
        <v>0</v>
      </c>
      <c r="Q2464" t="str">
        <f>IF(AND($P2464=1,$A2464=经营数据!$B$3,$J2464=经营数据!$BA$5),COUNTIFS($P$2:$P$3000,1,$A$2:$A$3000,$A2464,$J$2:$J$3000,$J2464,$N$2:$N$3000,"&lt;"&amp;$N2464)+1,"")</f>
        <v/>
      </c>
      <c r="R2464" t="str">
        <f t="shared" si="578"/>
        <v/>
      </c>
      <c r="S2464">
        <f>IF($A2464="",0,IF(COUNTIF($R$2:$R2464,$R2464)=1,1,0))</f>
        <v>0</v>
      </c>
      <c r="T2464" t="str">
        <f t="shared" si="579"/>
        <v/>
      </c>
      <c r="U2464" t="str">
        <f>IF($A2464="","",IF($A2464=经营数据!$B$3,COUNTIFS($S$2:$S$3000,1,$A$2:$A$3000,$A2464,$T$2:$T$3000,"&lt;"&amp;$T2464)+1,""))</f>
        <v/>
      </c>
      <c r="V2464" t="str">
        <f t="shared" si="580"/>
        <v/>
      </c>
      <c r="W2464" t="str">
        <f t="shared" si="581"/>
        <v/>
      </c>
      <c r="X2464" t="str">
        <f t="shared" si="582"/>
        <v/>
      </c>
      <c r="Y2464" t="str">
        <f t="shared" si="583"/>
        <v/>
      </c>
      <c r="Z2464">
        <f>IF($A2464="",0,IF(AND($M2464=1,$A2464=经营数据!$B$3,$J2464=经营数据!$BA$5,OR($I2464=经营数据!$BA$4,COUNTIF(经营数据!$AA$9:$AA$38,$I2464)&gt;0)),1,0))</f>
        <v>0</v>
      </c>
      <c r="AA2464" t="str">
        <f t="shared" si="584"/>
        <v/>
      </c>
      <c r="AB2464" t="str">
        <f t="shared" si="585"/>
        <v/>
      </c>
      <c r="AC2464">
        <f>IF($A2464="",0,IF(COUNTIF($A$2:$A2464,$A2464)=1,1,0))</f>
        <v>0</v>
      </c>
      <c r="AD2464">
        <f t="shared" si="586"/>
        <v>29</v>
      </c>
      <c r="AE2464" t="str">
        <f t="shared" si="587"/>
        <v/>
      </c>
    </row>
    <row r="2465" spans="1:31" x14ac:dyDescent="0.4">
      <c r="A2465" t="str">
        <f>IF(原始经营数据!$D2466="","",原始经营数据!$D2466)</f>
        <v/>
      </c>
      <c r="B2465" t="str">
        <f>IF(原始经营数据!$D2466="","",T(原始经营数据!$E2466))</f>
        <v/>
      </c>
      <c r="C2465" t="str">
        <f>IF(原始经营数据!$D2466="","",原始经营数据!$F2466)</f>
        <v/>
      </c>
      <c r="D2465" t="str">
        <f>IF(原始经营数据!$D2466="","",原始经营数据!$H2466)</f>
        <v/>
      </c>
      <c r="E2465" t="str">
        <f>IF(原始经营数据!$D2466="","",原始经营数据!$I2466)</f>
        <v/>
      </c>
      <c r="F2465" t="str">
        <f>IF(原始经营数据!$D2466="","",T(原始经营数据!$J2466))</f>
        <v/>
      </c>
      <c r="G2465" t="str">
        <f>IF(原始经营数据!$D2466="","",T(原始经营数据!$K2466))</f>
        <v/>
      </c>
      <c r="H2465" t="str">
        <f>IF(原始经营数据!$D2466="","",原始经营数据!$G2466)</f>
        <v/>
      </c>
      <c r="I2465" t="str">
        <f>IF($A2465="","",IF($B2465&lt;&gt;"",$B2465,IF(COUNTIFS(原始经营数据!$D$3:$D$3001,$A2465,原始经营数据!$E$3:$E$3001,"",原始经营数据!$F$3:$F$3001,$C2465,原始经营数据!$H$3:$H$3001,$D2465,原始经营数据!$K$3:$K$3001,$G2465)&gt;1,"基金整体·来源"&amp;原始经营数据!$A2466,"基金整体")))</f>
        <v/>
      </c>
      <c r="J2465" t="str">
        <f t="shared" si="573"/>
        <v/>
      </c>
      <c r="K2465" t="str">
        <f t="shared" si="574"/>
        <v/>
      </c>
      <c r="L2465" t="str">
        <f t="shared" si="575"/>
        <v/>
      </c>
      <c r="M2465">
        <f>IF($A2465="",0,IF(COUNTIF($L$2:$L2465,$L2465)=1,1,0))</f>
        <v>0</v>
      </c>
      <c r="N2465" t="str">
        <f t="shared" si="576"/>
        <v/>
      </c>
      <c r="O2465" t="str">
        <f t="shared" si="577"/>
        <v/>
      </c>
      <c r="P2465">
        <f>IF($A2465="",0,IF(COUNTIF($O$2:$O2465,$O2465)=1,1,0))</f>
        <v>0</v>
      </c>
      <c r="Q2465" t="str">
        <f>IF(AND($P2465=1,$A2465=经营数据!$B$3,$J2465=经营数据!$BA$5),COUNTIFS($P$2:$P$3000,1,$A$2:$A$3000,$A2465,$J$2:$J$3000,$J2465,$N$2:$N$3000,"&lt;"&amp;$N2465)+1,"")</f>
        <v/>
      </c>
      <c r="R2465" t="str">
        <f t="shared" si="578"/>
        <v/>
      </c>
      <c r="S2465">
        <f>IF($A2465="",0,IF(COUNTIF($R$2:$R2465,$R2465)=1,1,0))</f>
        <v>0</v>
      </c>
      <c r="T2465" t="str">
        <f t="shared" si="579"/>
        <v/>
      </c>
      <c r="U2465" t="str">
        <f>IF($A2465="","",IF($A2465=经营数据!$B$3,COUNTIFS($S$2:$S$3000,1,$A$2:$A$3000,$A2465,$T$2:$T$3000,"&lt;"&amp;$T2465)+1,""))</f>
        <v/>
      </c>
      <c r="V2465" t="str">
        <f t="shared" si="580"/>
        <v/>
      </c>
      <c r="W2465" t="str">
        <f t="shared" si="581"/>
        <v/>
      </c>
      <c r="X2465" t="str">
        <f t="shared" si="582"/>
        <v/>
      </c>
      <c r="Y2465" t="str">
        <f t="shared" si="583"/>
        <v/>
      </c>
      <c r="Z2465">
        <f>IF($A2465="",0,IF(AND($M2465=1,$A2465=经营数据!$B$3,$J2465=经营数据!$BA$5,OR($I2465=经营数据!$BA$4,COUNTIF(经营数据!$AA$9:$AA$38,$I2465)&gt;0)),1,0))</f>
        <v>0</v>
      </c>
      <c r="AA2465" t="str">
        <f t="shared" si="584"/>
        <v/>
      </c>
      <c r="AB2465" t="str">
        <f t="shared" si="585"/>
        <v/>
      </c>
      <c r="AC2465">
        <f>IF($A2465="",0,IF(COUNTIF($A$2:$A2465,$A2465)=1,1,0))</f>
        <v>0</v>
      </c>
      <c r="AD2465">
        <f t="shared" si="586"/>
        <v>29</v>
      </c>
      <c r="AE2465" t="str">
        <f t="shared" si="587"/>
        <v/>
      </c>
    </row>
    <row r="2466" spans="1:31" x14ac:dyDescent="0.4">
      <c r="A2466" t="str">
        <f>IF(原始经营数据!$D2467="","",原始经营数据!$D2467)</f>
        <v/>
      </c>
      <c r="B2466" t="str">
        <f>IF(原始经营数据!$D2467="","",T(原始经营数据!$E2467))</f>
        <v/>
      </c>
      <c r="C2466" t="str">
        <f>IF(原始经营数据!$D2467="","",原始经营数据!$F2467)</f>
        <v/>
      </c>
      <c r="D2466" t="str">
        <f>IF(原始经营数据!$D2467="","",原始经营数据!$H2467)</f>
        <v/>
      </c>
      <c r="E2466" t="str">
        <f>IF(原始经营数据!$D2467="","",原始经营数据!$I2467)</f>
        <v/>
      </c>
      <c r="F2466" t="str">
        <f>IF(原始经营数据!$D2467="","",T(原始经营数据!$J2467))</f>
        <v/>
      </c>
      <c r="G2466" t="str">
        <f>IF(原始经营数据!$D2467="","",T(原始经营数据!$K2467))</f>
        <v/>
      </c>
      <c r="H2466" t="str">
        <f>IF(原始经营数据!$D2467="","",原始经营数据!$G2467)</f>
        <v/>
      </c>
      <c r="I2466" t="str">
        <f>IF($A2466="","",IF($B2466&lt;&gt;"",$B2466,IF(COUNTIFS(原始经营数据!$D$3:$D$3001,$A2466,原始经营数据!$E$3:$E$3001,"",原始经营数据!$F$3:$F$3001,$C2466,原始经营数据!$H$3:$H$3001,$D2466,原始经营数据!$K$3:$K$3001,$G2466)&gt;1,"基金整体·来源"&amp;原始经营数据!$A2467,"基金整体")))</f>
        <v/>
      </c>
      <c r="J2466" t="str">
        <f t="shared" si="573"/>
        <v/>
      </c>
      <c r="K2466" t="str">
        <f t="shared" si="574"/>
        <v/>
      </c>
      <c r="L2466" t="str">
        <f t="shared" si="575"/>
        <v/>
      </c>
      <c r="M2466">
        <f>IF($A2466="",0,IF(COUNTIF($L$2:$L2466,$L2466)=1,1,0))</f>
        <v>0</v>
      </c>
      <c r="N2466" t="str">
        <f t="shared" si="576"/>
        <v/>
      </c>
      <c r="O2466" t="str">
        <f t="shared" si="577"/>
        <v/>
      </c>
      <c r="P2466">
        <f>IF($A2466="",0,IF(COUNTIF($O$2:$O2466,$O2466)=1,1,0))</f>
        <v>0</v>
      </c>
      <c r="Q2466" t="str">
        <f>IF(AND($P2466=1,$A2466=经营数据!$B$3,$J2466=经营数据!$BA$5),COUNTIFS($P$2:$P$3000,1,$A$2:$A$3000,$A2466,$J$2:$J$3000,$J2466,$N$2:$N$3000,"&lt;"&amp;$N2466)+1,"")</f>
        <v/>
      </c>
      <c r="R2466" t="str">
        <f t="shared" si="578"/>
        <v/>
      </c>
      <c r="S2466">
        <f>IF($A2466="",0,IF(COUNTIF($R$2:$R2466,$R2466)=1,1,0))</f>
        <v>0</v>
      </c>
      <c r="T2466" t="str">
        <f t="shared" si="579"/>
        <v/>
      </c>
      <c r="U2466" t="str">
        <f>IF($A2466="","",IF($A2466=经营数据!$B$3,COUNTIFS($S$2:$S$3000,1,$A$2:$A$3000,$A2466,$T$2:$T$3000,"&lt;"&amp;$T2466)+1,""))</f>
        <v/>
      </c>
      <c r="V2466" t="str">
        <f t="shared" si="580"/>
        <v/>
      </c>
      <c r="W2466" t="str">
        <f t="shared" si="581"/>
        <v/>
      </c>
      <c r="X2466" t="str">
        <f t="shared" si="582"/>
        <v/>
      </c>
      <c r="Y2466" t="str">
        <f t="shared" si="583"/>
        <v/>
      </c>
      <c r="Z2466">
        <f>IF($A2466="",0,IF(AND($M2466=1,$A2466=经营数据!$B$3,$J2466=经营数据!$BA$5,OR($I2466=经营数据!$BA$4,COUNTIF(经营数据!$AA$9:$AA$38,$I2466)&gt;0)),1,0))</f>
        <v>0</v>
      </c>
      <c r="AA2466" t="str">
        <f t="shared" si="584"/>
        <v/>
      </c>
      <c r="AB2466" t="str">
        <f t="shared" si="585"/>
        <v/>
      </c>
      <c r="AC2466">
        <f>IF($A2466="",0,IF(COUNTIF($A$2:$A2466,$A2466)=1,1,0))</f>
        <v>0</v>
      </c>
      <c r="AD2466">
        <f t="shared" si="586"/>
        <v>29</v>
      </c>
      <c r="AE2466" t="str">
        <f t="shared" si="587"/>
        <v/>
      </c>
    </row>
    <row r="2467" spans="1:31" x14ac:dyDescent="0.4">
      <c r="A2467" t="str">
        <f>IF(原始经营数据!$D2468="","",原始经营数据!$D2468)</f>
        <v/>
      </c>
      <c r="B2467" t="str">
        <f>IF(原始经营数据!$D2468="","",T(原始经营数据!$E2468))</f>
        <v/>
      </c>
      <c r="C2467" t="str">
        <f>IF(原始经营数据!$D2468="","",原始经营数据!$F2468)</f>
        <v/>
      </c>
      <c r="D2467" t="str">
        <f>IF(原始经营数据!$D2468="","",原始经营数据!$H2468)</f>
        <v/>
      </c>
      <c r="E2467" t="str">
        <f>IF(原始经营数据!$D2468="","",原始经营数据!$I2468)</f>
        <v/>
      </c>
      <c r="F2467" t="str">
        <f>IF(原始经营数据!$D2468="","",T(原始经营数据!$J2468))</f>
        <v/>
      </c>
      <c r="G2467" t="str">
        <f>IF(原始经营数据!$D2468="","",T(原始经营数据!$K2468))</f>
        <v/>
      </c>
      <c r="H2467" t="str">
        <f>IF(原始经营数据!$D2468="","",原始经营数据!$G2468)</f>
        <v/>
      </c>
      <c r="I2467" t="str">
        <f>IF($A2467="","",IF($B2467&lt;&gt;"",$B2467,IF(COUNTIFS(原始经营数据!$D$3:$D$3001,$A2467,原始经营数据!$E$3:$E$3001,"",原始经营数据!$F$3:$F$3001,$C2467,原始经营数据!$H$3:$H$3001,$D2467,原始经营数据!$K$3:$K$3001,$G2467)&gt;1,"基金整体·来源"&amp;原始经营数据!$A2468,"基金整体")))</f>
        <v/>
      </c>
      <c r="J2467" t="str">
        <f t="shared" si="573"/>
        <v/>
      </c>
      <c r="K2467" t="str">
        <f t="shared" si="574"/>
        <v/>
      </c>
      <c r="L2467" t="str">
        <f t="shared" si="575"/>
        <v/>
      </c>
      <c r="M2467">
        <f>IF($A2467="",0,IF(COUNTIF($L$2:$L2467,$L2467)=1,1,0))</f>
        <v>0</v>
      </c>
      <c r="N2467" t="str">
        <f t="shared" si="576"/>
        <v/>
      </c>
      <c r="O2467" t="str">
        <f t="shared" si="577"/>
        <v/>
      </c>
      <c r="P2467">
        <f>IF($A2467="",0,IF(COUNTIF($O$2:$O2467,$O2467)=1,1,0))</f>
        <v>0</v>
      </c>
      <c r="Q2467" t="str">
        <f>IF(AND($P2467=1,$A2467=经营数据!$B$3,$J2467=经营数据!$BA$5),COUNTIFS($P$2:$P$3000,1,$A$2:$A$3000,$A2467,$J$2:$J$3000,$J2467,$N$2:$N$3000,"&lt;"&amp;$N2467)+1,"")</f>
        <v/>
      </c>
      <c r="R2467" t="str">
        <f t="shared" si="578"/>
        <v/>
      </c>
      <c r="S2467">
        <f>IF($A2467="",0,IF(COUNTIF($R$2:$R2467,$R2467)=1,1,0))</f>
        <v>0</v>
      </c>
      <c r="T2467" t="str">
        <f t="shared" si="579"/>
        <v/>
      </c>
      <c r="U2467" t="str">
        <f>IF($A2467="","",IF($A2467=经营数据!$B$3,COUNTIFS($S$2:$S$3000,1,$A$2:$A$3000,$A2467,$T$2:$T$3000,"&lt;"&amp;$T2467)+1,""))</f>
        <v/>
      </c>
      <c r="V2467" t="str">
        <f t="shared" si="580"/>
        <v/>
      </c>
      <c r="W2467" t="str">
        <f t="shared" si="581"/>
        <v/>
      </c>
      <c r="X2467" t="str">
        <f t="shared" si="582"/>
        <v/>
      </c>
      <c r="Y2467" t="str">
        <f t="shared" si="583"/>
        <v/>
      </c>
      <c r="Z2467">
        <f>IF($A2467="",0,IF(AND($M2467=1,$A2467=经营数据!$B$3,$J2467=经营数据!$BA$5,OR($I2467=经营数据!$BA$4,COUNTIF(经营数据!$AA$9:$AA$38,$I2467)&gt;0)),1,0))</f>
        <v>0</v>
      </c>
      <c r="AA2467" t="str">
        <f t="shared" si="584"/>
        <v/>
      </c>
      <c r="AB2467" t="str">
        <f t="shared" si="585"/>
        <v/>
      </c>
      <c r="AC2467">
        <f>IF($A2467="",0,IF(COUNTIF($A$2:$A2467,$A2467)=1,1,0))</f>
        <v>0</v>
      </c>
      <c r="AD2467">
        <f t="shared" si="586"/>
        <v>29</v>
      </c>
      <c r="AE2467" t="str">
        <f t="shared" si="587"/>
        <v/>
      </c>
    </row>
    <row r="2468" spans="1:31" x14ac:dyDescent="0.4">
      <c r="A2468" t="str">
        <f>IF(原始经营数据!$D2469="","",原始经营数据!$D2469)</f>
        <v/>
      </c>
      <c r="B2468" t="str">
        <f>IF(原始经营数据!$D2469="","",T(原始经营数据!$E2469))</f>
        <v/>
      </c>
      <c r="C2468" t="str">
        <f>IF(原始经营数据!$D2469="","",原始经营数据!$F2469)</f>
        <v/>
      </c>
      <c r="D2468" t="str">
        <f>IF(原始经营数据!$D2469="","",原始经营数据!$H2469)</f>
        <v/>
      </c>
      <c r="E2468" t="str">
        <f>IF(原始经营数据!$D2469="","",原始经营数据!$I2469)</f>
        <v/>
      </c>
      <c r="F2468" t="str">
        <f>IF(原始经营数据!$D2469="","",T(原始经营数据!$J2469))</f>
        <v/>
      </c>
      <c r="G2468" t="str">
        <f>IF(原始经营数据!$D2469="","",T(原始经营数据!$K2469))</f>
        <v/>
      </c>
      <c r="H2468" t="str">
        <f>IF(原始经营数据!$D2469="","",原始经营数据!$G2469)</f>
        <v/>
      </c>
      <c r="I2468" t="str">
        <f>IF($A2468="","",IF($B2468&lt;&gt;"",$B2468,IF(COUNTIFS(原始经营数据!$D$3:$D$3001,$A2468,原始经营数据!$E$3:$E$3001,"",原始经营数据!$F$3:$F$3001,$C2468,原始经营数据!$H$3:$H$3001,$D2468,原始经营数据!$K$3:$K$3001,$G2468)&gt;1,"基金整体·来源"&amp;原始经营数据!$A2469,"基金整体")))</f>
        <v/>
      </c>
      <c r="J2468" t="str">
        <f t="shared" si="573"/>
        <v/>
      </c>
      <c r="K2468" t="str">
        <f t="shared" si="574"/>
        <v/>
      </c>
      <c r="L2468" t="str">
        <f t="shared" si="575"/>
        <v/>
      </c>
      <c r="M2468">
        <f>IF($A2468="",0,IF(COUNTIF($L$2:$L2468,$L2468)=1,1,0))</f>
        <v>0</v>
      </c>
      <c r="N2468" t="str">
        <f t="shared" si="576"/>
        <v/>
      </c>
      <c r="O2468" t="str">
        <f t="shared" si="577"/>
        <v/>
      </c>
      <c r="P2468">
        <f>IF($A2468="",0,IF(COUNTIF($O$2:$O2468,$O2468)=1,1,0))</f>
        <v>0</v>
      </c>
      <c r="Q2468" t="str">
        <f>IF(AND($P2468=1,$A2468=经营数据!$B$3,$J2468=经营数据!$BA$5),COUNTIFS($P$2:$P$3000,1,$A$2:$A$3000,$A2468,$J$2:$J$3000,$J2468,$N$2:$N$3000,"&lt;"&amp;$N2468)+1,"")</f>
        <v/>
      </c>
      <c r="R2468" t="str">
        <f t="shared" si="578"/>
        <v/>
      </c>
      <c r="S2468">
        <f>IF($A2468="",0,IF(COUNTIF($R$2:$R2468,$R2468)=1,1,0))</f>
        <v>0</v>
      </c>
      <c r="T2468" t="str">
        <f t="shared" si="579"/>
        <v/>
      </c>
      <c r="U2468" t="str">
        <f>IF($A2468="","",IF($A2468=经营数据!$B$3,COUNTIFS($S$2:$S$3000,1,$A$2:$A$3000,$A2468,$T$2:$T$3000,"&lt;"&amp;$T2468)+1,""))</f>
        <v/>
      </c>
      <c r="V2468" t="str">
        <f t="shared" si="580"/>
        <v/>
      </c>
      <c r="W2468" t="str">
        <f t="shared" si="581"/>
        <v/>
      </c>
      <c r="X2468" t="str">
        <f t="shared" si="582"/>
        <v/>
      </c>
      <c r="Y2468" t="str">
        <f t="shared" si="583"/>
        <v/>
      </c>
      <c r="Z2468">
        <f>IF($A2468="",0,IF(AND($M2468=1,$A2468=经营数据!$B$3,$J2468=经营数据!$BA$5,OR($I2468=经营数据!$BA$4,COUNTIF(经营数据!$AA$9:$AA$38,$I2468)&gt;0)),1,0))</f>
        <v>0</v>
      </c>
      <c r="AA2468" t="str">
        <f t="shared" si="584"/>
        <v/>
      </c>
      <c r="AB2468" t="str">
        <f t="shared" si="585"/>
        <v/>
      </c>
      <c r="AC2468">
        <f>IF($A2468="",0,IF(COUNTIF($A$2:$A2468,$A2468)=1,1,0))</f>
        <v>0</v>
      </c>
      <c r="AD2468">
        <f t="shared" si="586"/>
        <v>29</v>
      </c>
      <c r="AE2468" t="str">
        <f t="shared" si="587"/>
        <v/>
      </c>
    </row>
    <row r="2469" spans="1:31" x14ac:dyDescent="0.4">
      <c r="A2469" t="str">
        <f>IF(原始经营数据!$D2470="","",原始经营数据!$D2470)</f>
        <v/>
      </c>
      <c r="B2469" t="str">
        <f>IF(原始经营数据!$D2470="","",T(原始经营数据!$E2470))</f>
        <v/>
      </c>
      <c r="C2469" t="str">
        <f>IF(原始经营数据!$D2470="","",原始经营数据!$F2470)</f>
        <v/>
      </c>
      <c r="D2469" t="str">
        <f>IF(原始经营数据!$D2470="","",原始经营数据!$H2470)</f>
        <v/>
      </c>
      <c r="E2469" t="str">
        <f>IF(原始经营数据!$D2470="","",原始经营数据!$I2470)</f>
        <v/>
      </c>
      <c r="F2469" t="str">
        <f>IF(原始经营数据!$D2470="","",T(原始经营数据!$J2470))</f>
        <v/>
      </c>
      <c r="G2469" t="str">
        <f>IF(原始经营数据!$D2470="","",T(原始经营数据!$K2470))</f>
        <v/>
      </c>
      <c r="H2469" t="str">
        <f>IF(原始经营数据!$D2470="","",原始经营数据!$G2470)</f>
        <v/>
      </c>
      <c r="I2469" t="str">
        <f>IF($A2469="","",IF($B2469&lt;&gt;"",$B2469,IF(COUNTIFS(原始经营数据!$D$3:$D$3001,$A2469,原始经营数据!$E$3:$E$3001,"",原始经营数据!$F$3:$F$3001,$C2469,原始经营数据!$H$3:$H$3001,$D2469,原始经营数据!$K$3:$K$3001,$G2469)&gt;1,"基金整体·来源"&amp;原始经营数据!$A2470,"基金整体")))</f>
        <v/>
      </c>
      <c r="J2469" t="str">
        <f t="shared" si="573"/>
        <v/>
      </c>
      <c r="K2469" t="str">
        <f t="shared" si="574"/>
        <v/>
      </c>
      <c r="L2469" t="str">
        <f t="shared" si="575"/>
        <v/>
      </c>
      <c r="M2469">
        <f>IF($A2469="",0,IF(COUNTIF($L$2:$L2469,$L2469)=1,1,0))</f>
        <v>0</v>
      </c>
      <c r="N2469" t="str">
        <f t="shared" si="576"/>
        <v/>
      </c>
      <c r="O2469" t="str">
        <f t="shared" si="577"/>
        <v/>
      </c>
      <c r="P2469">
        <f>IF($A2469="",0,IF(COUNTIF($O$2:$O2469,$O2469)=1,1,0))</f>
        <v>0</v>
      </c>
      <c r="Q2469" t="str">
        <f>IF(AND($P2469=1,$A2469=经营数据!$B$3,$J2469=经营数据!$BA$5),COUNTIFS($P$2:$P$3000,1,$A$2:$A$3000,$A2469,$J$2:$J$3000,$J2469,$N$2:$N$3000,"&lt;"&amp;$N2469)+1,"")</f>
        <v/>
      </c>
      <c r="R2469" t="str">
        <f t="shared" si="578"/>
        <v/>
      </c>
      <c r="S2469">
        <f>IF($A2469="",0,IF(COUNTIF($R$2:$R2469,$R2469)=1,1,0))</f>
        <v>0</v>
      </c>
      <c r="T2469" t="str">
        <f t="shared" si="579"/>
        <v/>
      </c>
      <c r="U2469" t="str">
        <f>IF($A2469="","",IF($A2469=经营数据!$B$3,COUNTIFS($S$2:$S$3000,1,$A$2:$A$3000,$A2469,$T$2:$T$3000,"&lt;"&amp;$T2469)+1,""))</f>
        <v/>
      </c>
      <c r="V2469" t="str">
        <f t="shared" si="580"/>
        <v/>
      </c>
      <c r="W2469" t="str">
        <f t="shared" si="581"/>
        <v/>
      </c>
      <c r="X2469" t="str">
        <f t="shared" si="582"/>
        <v/>
      </c>
      <c r="Y2469" t="str">
        <f t="shared" si="583"/>
        <v/>
      </c>
      <c r="Z2469">
        <f>IF($A2469="",0,IF(AND($M2469=1,$A2469=经营数据!$B$3,$J2469=经营数据!$BA$5,OR($I2469=经营数据!$BA$4,COUNTIF(经营数据!$AA$9:$AA$38,$I2469)&gt;0)),1,0))</f>
        <v>0</v>
      </c>
      <c r="AA2469" t="str">
        <f t="shared" si="584"/>
        <v/>
      </c>
      <c r="AB2469" t="str">
        <f t="shared" si="585"/>
        <v/>
      </c>
      <c r="AC2469">
        <f>IF($A2469="",0,IF(COUNTIF($A$2:$A2469,$A2469)=1,1,0))</f>
        <v>0</v>
      </c>
      <c r="AD2469">
        <f t="shared" si="586"/>
        <v>29</v>
      </c>
      <c r="AE2469" t="str">
        <f t="shared" si="587"/>
        <v/>
      </c>
    </row>
    <row r="2470" spans="1:31" x14ac:dyDescent="0.4">
      <c r="A2470" t="str">
        <f>IF(原始经营数据!$D2471="","",原始经营数据!$D2471)</f>
        <v/>
      </c>
      <c r="B2470" t="str">
        <f>IF(原始经营数据!$D2471="","",T(原始经营数据!$E2471))</f>
        <v/>
      </c>
      <c r="C2470" t="str">
        <f>IF(原始经营数据!$D2471="","",原始经营数据!$F2471)</f>
        <v/>
      </c>
      <c r="D2470" t="str">
        <f>IF(原始经营数据!$D2471="","",原始经营数据!$H2471)</f>
        <v/>
      </c>
      <c r="E2470" t="str">
        <f>IF(原始经营数据!$D2471="","",原始经营数据!$I2471)</f>
        <v/>
      </c>
      <c r="F2470" t="str">
        <f>IF(原始经营数据!$D2471="","",T(原始经营数据!$J2471))</f>
        <v/>
      </c>
      <c r="G2470" t="str">
        <f>IF(原始经营数据!$D2471="","",T(原始经营数据!$K2471))</f>
        <v/>
      </c>
      <c r="H2470" t="str">
        <f>IF(原始经营数据!$D2471="","",原始经营数据!$G2471)</f>
        <v/>
      </c>
      <c r="I2470" t="str">
        <f>IF($A2470="","",IF($B2470&lt;&gt;"",$B2470,IF(COUNTIFS(原始经营数据!$D$3:$D$3001,$A2470,原始经营数据!$E$3:$E$3001,"",原始经营数据!$F$3:$F$3001,$C2470,原始经营数据!$H$3:$H$3001,$D2470,原始经营数据!$K$3:$K$3001,$G2470)&gt;1,"基金整体·来源"&amp;原始经营数据!$A2471,"基金整体")))</f>
        <v/>
      </c>
      <c r="J2470" t="str">
        <f t="shared" si="573"/>
        <v/>
      </c>
      <c r="K2470" t="str">
        <f t="shared" si="574"/>
        <v/>
      </c>
      <c r="L2470" t="str">
        <f t="shared" si="575"/>
        <v/>
      </c>
      <c r="M2470">
        <f>IF($A2470="",0,IF(COUNTIF($L$2:$L2470,$L2470)=1,1,0))</f>
        <v>0</v>
      </c>
      <c r="N2470" t="str">
        <f t="shared" si="576"/>
        <v/>
      </c>
      <c r="O2470" t="str">
        <f t="shared" si="577"/>
        <v/>
      </c>
      <c r="P2470">
        <f>IF($A2470="",0,IF(COUNTIF($O$2:$O2470,$O2470)=1,1,0))</f>
        <v>0</v>
      </c>
      <c r="Q2470" t="str">
        <f>IF(AND($P2470=1,$A2470=经营数据!$B$3,$J2470=经营数据!$BA$5),COUNTIFS($P$2:$P$3000,1,$A$2:$A$3000,$A2470,$J$2:$J$3000,$J2470,$N$2:$N$3000,"&lt;"&amp;$N2470)+1,"")</f>
        <v/>
      </c>
      <c r="R2470" t="str">
        <f t="shared" si="578"/>
        <v/>
      </c>
      <c r="S2470">
        <f>IF($A2470="",0,IF(COUNTIF($R$2:$R2470,$R2470)=1,1,0))</f>
        <v>0</v>
      </c>
      <c r="T2470" t="str">
        <f t="shared" si="579"/>
        <v/>
      </c>
      <c r="U2470" t="str">
        <f>IF($A2470="","",IF($A2470=经营数据!$B$3,COUNTIFS($S$2:$S$3000,1,$A$2:$A$3000,$A2470,$T$2:$T$3000,"&lt;"&amp;$T2470)+1,""))</f>
        <v/>
      </c>
      <c r="V2470" t="str">
        <f t="shared" si="580"/>
        <v/>
      </c>
      <c r="W2470" t="str">
        <f t="shared" si="581"/>
        <v/>
      </c>
      <c r="X2470" t="str">
        <f t="shared" si="582"/>
        <v/>
      </c>
      <c r="Y2470" t="str">
        <f t="shared" si="583"/>
        <v/>
      </c>
      <c r="Z2470">
        <f>IF($A2470="",0,IF(AND($M2470=1,$A2470=经营数据!$B$3,$J2470=经营数据!$BA$5,OR($I2470=经营数据!$BA$4,COUNTIF(经营数据!$AA$9:$AA$38,$I2470)&gt;0)),1,0))</f>
        <v>0</v>
      </c>
      <c r="AA2470" t="str">
        <f t="shared" si="584"/>
        <v/>
      </c>
      <c r="AB2470" t="str">
        <f t="shared" si="585"/>
        <v/>
      </c>
      <c r="AC2470">
        <f>IF($A2470="",0,IF(COUNTIF($A$2:$A2470,$A2470)=1,1,0))</f>
        <v>0</v>
      </c>
      <c r="AD2470">
        <f t="shared" si="586"/>
        <v>29</v>
      </c>
      <c r="AE2470" t="str">
        <f t="shared" si="587"/>
        <v/>
      </c>
    </row>
    <row r="2471" spans="1:31" x14ac:dyDescent="0.4">
      <c r="A2471" t="str">
        <f>IF(原始经营数据!$D2472="","",原始经营数据!$D2472)</f>
        <v/>
      </c>
      <c r="B2471" t="str">
        <f>IF(原始经营数据!$D2472="","",T(原始经营数据!$E2472))</f>
        <v/>
      </c>
      <c r="C2471" t="str">
        <f>IF(原始经营数据!$D2472="","",原始经营数据!$F2472)</f>
        <v/>
      </c>
      <c r="D2471" t="str">
        <f>IF(原始经营数据!$D2472="","",原始经营数据!$H2472)</f>
        <v/>
      </c>
      <c r="E2471" t="str">
        <f>IF(原始经营数据!$D2472="","",原始经营数据!$I2472)</f>
        <v/>
      </c>
      <c r="F2471" t="str">
        <f>IF(原始经营数据!$D2472="","",T(原始经营数据!$J2472))</f>
        <v/>
      </c>
      <c r="G2471" t="str">
        <f>IF(原始经营数据!$D2472="","",T(原始经营数据!$K2472))</f>
        <v/>
      </c>
      <c r="H2471" t="str">
        <f>IF(原始经营数据!$D2472="","",原始经营数据!$G2472)</f>
        <v/>
      </c>
      <c r="I2471" t="str">
        <f>IF($A2471="","",IF($B2471&lt;&gt;"",$B2471,IF(COUNTIFS(原始经营数据!$D$3:$D$3001,$A2471,原始经营数据!$E$3:$E$3001,"",原始经营数据!$F$3:$F$3001,$C2471,原始经营数据!$H$3:$H$3001,$D2471,原始经营数据!$K$3:$K$3001,$G2471)&gt;1,"基金整体·来源"&amp;原始经营数据!$A2472,"基金整体")))</f>
        <v/>
      </c>
      <c r="J2471" t="str">
        <f t="shared" si="573"/>
        <v/>
      </c>
      <c r="K2471" t="str">
        <f t="shared" si="574"/>
        <v/>
      </c>
      <c r="L2471" t="str">
        <f t="shared" si="575"/>
        <v/>
      </c>
      <c r="M2471">
        <f>IF($A2471="",0,IF(COUNTIF($L$2:$L2471,$L2471)=1,1,0))</f>
        <v>0</v>
      </c>
      <c r="N2471" t="str">
        <f t="shared" si="576"/>
        <v/>
      </c>
      <c r="O2471" t="str">
        <f t="shared" si="577"/>
        <v/>
      </c>
      <c r="P2471">
        <f>IF($A2471="",0,IF(COUNTIF($O$2:$O2471,$O2471)=1,1,0))</f>
        <v>0</v>
      </c>
      <c r="Q2471" t="str">
        <f>IF(AND($P2471=1,$A2471=经营数据!$B$3,$J2471=经营数据!$BA$5),COUNTIFS($P$2:$P$3000,1,$A$2:$A$3000,$A2471,$J$2:$J$3000,$J2471,$N$2:$N$3000,"&lt;"&amp;$N2471)+1,"")</f>
        <v/>
      </c>
      <c r="R2471" t="str">
        <f t="shared" si="578"/>
        <v/>
      </c>
      <c r="S2471">
        <f>IF($A2471="",0,IF(COUNTIF($R$2:$R2471,$R2471)=1,1,0))</f>
        <v>0</v>
      </c>
      <c r="T2471" t="str">
        <f t="shared" si="579"/>
        <v/>
      </c>
      <c r="U2471" t="str">
        <f>IF($A2471="","",IF($A2471=经营数据!$B$3,COUNTIFS($S$2:$S$3000,1,$A$2:$A$3000,$A2471,$T$2:$T$3000,"&lt;"&amp;$T2471)+1,""))</f>
        <v/>
      </c>
      <c r="V2471" t="str">
        <f t="shared" si="580"/>
        <v/>
      </c>
      <c r="W2471" t="str">
        <f t="shared" si="581"/>
        <v/>
      </c>
      <c r="X2471" t="str">
        <f t="shared" si="582"/>
        <v/>
      </c>
      <c r="Y2471" t="str">
        <f t="shared" si="583"/>
        <v/>
      </c>
      <c r="Z2471">
        <f>IF($A2471="",0,IF(AND($M2471=1,$A2471=经营数据!$B$3,$J2471=经营数据!$BA$5,OR($I2471=经营数据!$BA$4,COUNTIF(经营数据!$AA$9:$AA$38,$I2471)&gt;0)),1,0))</f>
        <v>0</v>
      </c>
      <c r="AA2471" t="str">
        <f t="shared" si="584"/>
        <v/>
      </c>
      <c r="AB2471" t="str">
        <f t="shared" si="585"/>
        <v/>
      </c>
      <c r="AC2471">
        <f>IF($A2471="",0,IF(COUNTIF($A$2:$A2471,$A2471)=1,1,0))</f>
        <v>0</v>
      </c>
      <c r="AD2471">
        <f t="shared" si="586"/>
        <v>29</v>
      </c>
      <c r="AE2471" t="str">
        <f t="shared" si="587"/>
        <v/>
      </c>
    </row>
    <row r="2472" spans="1:31" x14ac:dyDescent="0.4">
      <c r="A2472" t="str">
        <f>IF(原始经营数据!$D2473="","",原始经营数据!$D2473)</f>
        <v/>
      </c>
      <c r="B2472" t="str">
        <f>IF(原始经营数据!$D2473="","",T(原始经营数据!$E2473))</f>
        <v/>
      </c>
      <c r="C2472" t="str">
        <f>IF(原始经营数据!$D2473="","",原始经营数据!$F2473)</f>
        <v/>
      </c>
      <c r="D2472" t="str">
        <f>IF(原始经营数据!$D2473="","",原始经营数据!$H2473)</f>
        <v/>
      </c>
      <c r="E2472" t="str">
        <f>IF(原始经营数据!$D2473="","",原始经营数据!$I2473)</f>
        <v/>
      </c>
      <c r="F2472" t="str">
        <f>IF(原始经营数据!$D2473="","",T(原始经营数据!$J2473))</f>
        <v/>
      </c>
      <c r="G2472" t="str">
        <f>IF(原始经营数据!$D2473="","",T(原始经营数据!$K2473))</f>
        <v/>
      </c>
      <c r="H2472" t="str">
        <f>IF(原始经营数据!$D2473="","",原始经营数据!$G2473)</f>
        <v/>
      </c>
      <c r="I2472" t="str">
        <f>IF($A2472="","",IF($B2472&lt;&gt;"",$B2472,IF(COUNTIFS(原始经营数据!$D$3:$D$3001,$A2472,原始经营数据!$E$3:$E$3001,"",原始经营数据!$F$3:$F$3001,$C2472,原始经营数据!$H$3:$H$3001,$D2472,原始经营数据!$K$3:$K$3001,$G2472)&gt;1,"基金整体·来源"&amp;原始经营数据!$A2473,"基金整体")))</f>
        <v/>
      </c>
      <c r="J2472" t="str">
        <f t="shared" si="573"/>
        <v/>
      </c>
      <c r="K2472" t="str">
        <f t="shared" si="574"/>
        <v/>
      </c>
      <c r="L2472" t="str">
        <f t="shared" si="575"/>
        <v/>
      </c>
      <c r="M2472">
        <f>IF($A2472="",0,IF(COUNTIF($L$2:$L2472,$L2472)=1,1,0))</f>
        <v>0</v>
      </c>
      <c r="N2472" t="str">
        <f t="shared" si="576"/>
        <v/>
      </c>
      <c r="O2472" t="str">
        <f t="shared" si="577"/>
        <v/>
      </c>
      <c r="P2472">
        <f>IF($A2472="",0,IF(COUNTIF($O$2:$O2472,$O2472)=1,1,0))</f>
        <v>0</v>
      </c>
      <c r="Q2472" t="str">
        <f>IF(AND($P2472=1,$A2472=经营数据!$B$3,$J2472=经营数据!$BA$5),COUNTIFS($P$2:$P$3000,1,$A$2:$A$3000,$A2472,$J$2:$J$3000,$J2472,$N$2:$N$3000,"&lt;"&amp;$N2472)+1,"")</f>
        <v/>
      </c>
      <c r="R2472" t="str">
        <f t="shared" si="578"/>
        <v/>
      </c>
      <c r="S2472">
        <f>IF($A2472="",0,IF(COUNTIF($R$2:$R2472,$R2472)=1,1,0))</f>
        <v>0</v>
      </c>
      <c r="T2472" t="str">
        <f t="shared" si="579"/>
        <v/>
      </c>
      <c r="U2472" t="str">
        <f>IF($A2472="","",IF($A2472=经营数据!$B$3,COUNTIFS($S$2:$S$3000,1,$A$2:$A$3000,$A2472,$T$2:$T$3000,"&lt;"&amp;$T2472)+1,""))</f>
        <v/>
      </c>
      <c r="V2472" t="str">
        <f t="shared" si="580"/>
        <v/>
      </c>
      <c r="W2472" t="str">
        <f t="shared" si="581"/>
        <v/>
      </c>
      <c r="X2472" t="str">
        <f t="shared" si="582"/>
        <v/>
      </c>
      <c r="Y2472" t="str">
        <f t="shared" si="583"/>
        <v/>
      </c>
      <c r="Z2472">
        <f>IF($A2472="",0,IF(AND($M2472=1,$A2472=经营数据!$B$3,$J2472=经营数据!$BA$5,OR($I2472=经营数据!$BA$4,COUNTIF(经营数据!$AA$9:$AA$38,$I2472)&gt;0)),1,0))</f>
        <v>0</v>
      </c>
      <c r="AA2472" t="str">
        <f t="shared" si="584"/>
        <v/>
      </c>
      <c r="AB2472" t="str">
        <f t="shared" si="585"/>
        <v/>
      </c>
      <c r="AC2472">
        <f>IF($A2472="",0,IF(COUNTIF($A$2:$A2472,$A2472)=1,1,0))</f>
        <v>0</v>
      </c>
      <c r="AD2472">
        <f t="shared" si="586"/>
        <v>29</v>
      </c>
      <c r="AE2472" t="str">
        <f t="shared" si="587"/>
        <v/>
      </c>
    </row>
    <row r="2473" spans="1:31" x14ac:dyDescent="0.4">
      <c r="A2473" t="str">
        <f>IF(原始经营数据!$D2474="","",原始经营数据!$D2474)</f>
        <v/>
      </c>
      <c r="B2473" t="str">
        <f>IF(原始经营数据!$D2474="","",T(原始经营数据!$E2474))</f>
        <v/>
      </c>
      <c r="C2473" t="str">
        <f>IF(原始经营数据!$D2474="","",原始经营数据!$F2474)</f>
        <v/>
      </c>
      <c r="D2473" t="str">
        <f>IF(原始经营数据!$D2474="","",原始经营数据!$H2474)</f>
        <v/>
      </c>
      <c r="E2473" t="str">
        <f>IF(原始经营数据!$D2474="","",原始经营数据!$I2474)</f>
        <v/>
      </c>
      <c r="F2473" t="str">
        <f>IF(原始经营数据!$D2474="","",T(原始经营数据!$J2474))</f>
        <v/>
      </c>
      <c r="G2473" t="str">
        <f>IF(原始经营数据!$D2474="","",T(原始经营数据!$K2474))</f>
        <v/>
      </c>
      <c r="H2473" t="str">
        <f>IF(原始经营数据!$D2474="","",原始经营数据!$G2474)</f>
        <v/>
      </c>
      <c r="I2473" t="str">
        <f>IF($A2473="","",IF($B2473&lt;&gt;"",$B2473,IF(COUNTIFS(原始经营数据!$D$3:$D$3001,$A2473,原始经营数据!$E$3:$E$3001,"",原始经营数据!$F$3:$F$3001,$C2473,原始经营数据!$H$3:$H$3001,$D2473,原始经营数据!$K$3:$K$3001,$G2473)&gt;1,"基金整体·来源"&amp;原始经营数据!$A2474,"基金整体")))</f>
        <v/>
      </c>
      <c r="J2473" t="str">
        <f t="shared" si="573"/>
        <v/>
      </c>
      <c r="K2473" t="str">
        <f t="shared" si="574"/>
        <v/>
      </c>
      <c r="L2473" t="str">
        <f t="shared" si="575"/>
        <v/>
      </c>
      <c r="M2473">
        <f>IF($A2473="",0,IF(COUNTIF($L$2:$L2473,$L2473)=1,1,0))</f>
        <v>0</v>
      </c>
      <c r="N2473" t="str">
        <f t="shared" si="576"/>
        <v/>
      </c>
      <c r="O2473" t="str">
        <f t="shared" si="577"/>
        <v/>
      </c>
      <c r="P2473">
        <f>IF($A2473="",0,IF(COUNTIF($O$2:$O2473,$O2473)=1,1,0))</f>
        <v>0</v>
      </c>
      <c r="Q2473" t="str">
        <f>IF(AND($P2473=1,$A2473=经营数据!$B$3,$J2473=经营数据!$BA$5),COUNTIFS($P$2:$P$3000,1,$A$2:$A$3000,$A2473,$J$2:$J$3000,$J2473,$N$2:$N$3000,"&lt;"&amp;$N2473)+1,"")</f>
        <v/>
      </c>
      <c r="R2473" t="str">
        <f t="shared" si="578"/>
        <v/>
      </c>
      <c r="S2473">
        <f>IF($A2473="",0,IF(COUNTIF($R$2:$R2473,$R2473)=1,1,0))</f>
        <v>0</v>
      </c>
      <c r="T2473" t="str">
        <f t="shared" si="579"/>
        <v/>
      </c>
      <c r="U2473" t="str">
        <f>IF($A2473="","",IF($A2473=经营数据!$B$3,COUNTIFS($S$2:$S$3000,1,$A$2:$A$3000,$A2473,$T$2:$T$3000,"&lt;"&amp;$T2473)+1,""))</f>
        <v/>
      </c>
      <c r="V2473" t="str">
        <f t="shared" si="580"/>
        <v/>
      </c>
      <c r="W2473" t="str">
        <f t="shared" si="581"/>
        <v/>
      </c>
      <c r="X2473" t="str">
        <f t="shared" si="582"/>
        <v/>
      </c>
      <c r="Y2473" t="str">
        <f t="shared" si="583"/>
        <v/>
      </c>
      <c r="Z2473">
        <f>IF($A2473="",0,IF(AND($M2473=1,$A2473=经营数据!$B$3,$J2473=经营数据!$BA$5,OR($I2473=经营数据!$BA$4,COUNTIF(经营数据!$AA$9:$AA$38,$I2473)&gt;0)),1,0))</f>
        <v>0</v>
      </c>
      <c r="AA2473" t="str">
        <f t="shared" si="584"/>
        <v/>
      </c>
      <c r="AB2473" t="str">
        <f t="shared" si="585"/>
        <v/>
      </c>
      <c r="AC2473">
        <f>IF($A2473="",0,IF(COUNTIF($A$2:$A2473,$A2473)=1,1,0))</f>
        <v>0</v>
      </c>
      <c r="AD2473">
        <f t="shared" si="586"/>
        <v>29</v>
      </c>
      <c r="AE2473" t="str">
        <f t="shared" si="587"/>
        <v/>
      </c>
    </row>
    <row r="2474" spans="1:31" x14ac:dyDescent="0.4">
      <c r="A2474" t="str">
        <f>IF(原始经营数据!$D2475="","",原始经营数据!$D2475)</f>
        <v/>
      </c>
      <c r="B2474" t="str">
        <f>IF(原始经营数据!$D2475="","",T(原始经营数据!$E2475))</f>
        <v/>
      </c>
      <c r="C2474" t="str">
        <f>IF(原始经营数据!$D2475="","",原始经营数据!$F2475)</f>
        <v/>
      </c>
      <c r="D2474" t="str">
        <f>IF(原始经营数据!$D2475="","",原始经营数据!$H2475)</f>
        <v/>
      </c>
      <c r="E2474" t="str">
        <f>IF(原始经营数据!$D2475="","",原始经营数据!$I2475)</f>
        <v/>
      </c>
      <c r="F2474" t="str">
        <f>IF(原始经营数据!$D2475="","",T(原始经营数据!$J2475))</f>
        <v/>
      </c>
      <c r="G2474" t="str">
        <f>IF(原始经营数据!$D2475="","",T(原始经营数据!$K2475))</f>
        <v/>
      </c>
      <c r="H2474" t="str">
        <f>IF(原始经营数据!$D2475="","",原始经营数据!$G2475)</f>
        <v/>
      </c>
      <c r="I2474" t="str">
        <f>IF($A2474="","",IF($B2474&lt;&gt;"",$B2474,IF(COUNTIFS(原始经营数据!$D$3:$D$3001,$A2474,原始经营数据!$E$3:$E$3001,"",原始经营数据!$F$3:$F$3001,$C2474,原始经营数据!$H$3:$H$3001,$D2474,原始经营数据!$K$3:$K$3001,$G2474)&gt;1,"基金整体·来源"&amp;原始经营数据!$A2475,"基金整体")))</f>
        <v/>
      </c>
      <c r="J2474" t="str">
        <f t="shared" si="573"/>
        <v/>
      </c>
      <c r="K2474" t="str">
        <f t="shared" si="574"/>
        <v/>
      </c>
      <c r="L2474" t="str">
        <f t="shared" si="575"/>
        <v/>
      </c>
      <c r="M2474">
        <f>IF($A2474="",0,IF(COUNTIF($L$2:$L2474,$L2474)=1,1,0))</f>
        <v>0</v>
      </c>
      <c r="N2474" t="str">
        <f t="shared" si="576"/>
        <v/>
      </c>
      <c r="O2474" t="str">
        <f t="shared" si="577"/>
        <v/>
      </c>
      <c r="P2474">
        <f>IF($A2474="",0,IF(COUNTIF($O$2:$O2474,$O2474)=1,1,0))</f>
        <v>0</v>
      </c>
      <c r="Q2474" t="str">
        <f>IF(AND($P2474=1,$A2474=经营数据!$B$3,$J2474=经营数据!$BA$5),COUNTIFS($P$2:$P$3000,1,$A$2:$A$3000,$A2474,$J$2:$J$3000,$J2474,$N$2:$N$3000,"&lt;"&amp;$N2474)+1,"")</f>
        <v/>
      </c>
      <c r="R2474" t="str">
        <f t="shared" si="578"/>
        <v/>
      </c>
      <c r="S2474">
        <f>IF($A2474="",0,IF(COUNTIF($R$2:$R2474,$R2474)=1,1,0))</f>
        <v>0</v>
      </c>
      <c r="T2474" t="str">
        <f t="shared" si="579"/>
        <v/>
      </c>
      <c r="U2474" t="str">
        <f>IF($A2474="","",IF($A2474=经营数据!$B$3,COUNTIFS($S$2:$S$3000,1,$A$2:$A$3000,$A2474,$T$2:$T$3000,"&lt;"&amp;$T2474)+1,""))</f>
        <v/>
      </c>
      <c r="V2474" t="str">
        <f t="shared" si="580"/>
        <v/>
      </c>
      <c r="W2474" t="str">
        <f t="shared" si="581"/>
        <v/>
      </c>
      <c r="X2474" t="str">
        <f t="shared" si="582"/>
        <v/>
      </c>
      <c r="Y2474" t="str">
        <f t="shared" si="583"/>
        <v/>
      </c>
      <c r="Z2474">
        <f>IF($A2474="",0,IF(AND($M2474=1,$A2474=经营数据!$B$3,$J2474=经营数据!$BA$5,OR($I2474=经营数据!$BA$4,COUNTIF(经营数据!$AA$9:$AA$38,$I2474)&gt;0)),1,0))</f>
        <v>0</v>
      </c>
      <c r="AA2474" t="str">
        <f t="shared" si="584"/>
        <v/>
      </c>
      <c r="AB2474" t="str">
        <f t="shared" si="585"/>
        <v/>
      </c>
      <c r="AC2474">
        <f>IF($A2474="",0,IF(COUNTIF($A$2:$A2474,$A2474)=1,1,0))</f>
        <v>0</v>
      </c>
      <c r="AD2474">
        <f t="shared" si="586"/>
        <v>29</v>
      </c>
      <c r="AE2474" t="str">
        <f t="shared" si="587"/>
        <v/>
      </c>
    </row>
    <row r="2475" spans="1:31" x14ac:dyDescent="0.4">
      <c r="A2475" t="str">
        <f>IF(原始经营数据!$D2476="","",原始经营数据!$D2476)</f>
        <v/>
      </c>
      <c r="B2475" t="str">
        <f>IF(原始经营数据!$D2476="","",T(原始经营数据!$E2476))</f>
        <v/>
      </c>
      <c r="C2475" t="str">
        <f>IF(原始经营数据!$D2476="","",原始经营数据!$F2476)</f>
        <v/>
      </c>
      <c r="D2475" t="str">
        <f>IF(原始经营数据!$D2476="","",原始经营数据!$H2476)</f>
        <v/>
      </c>
      <c r="E2475" t="str">
        <f>IF(原始经营数据!$D2476="","",原始经营数据!$I2476)</f>
        <v/>
      </c>
      <c r="F2475" t="str">
        <f>IF(原始经营数据!$D2476="","",T(原始经营数据!$J2476))</f>
        <v/>
      </c>
      <c r="G2475" t="str">
        <f>IF(原始经营数据!$D2476="","",T(原始经营数据!$K2476))</f>
        <v/>
      </c>
      <c r="H2475" t="str">
        <f>IF(原始经营数据!$D2476="","",原始经营数据!$G2476)</f>
        <v/>
      </c>
      <c r="I2475" t="str">
        <f>IF($A2475="","",IF($B2475&lt;&gt;"",$B2475,IF(COUNTIFS(原始经营数据!$D$3:$D$3001,$A2475,原始经营数据!$E$3:$E$3001,"",原始经营数据!$F$3:$F$3001,$C2475,原始经营数据!$H$3:$H$3001,$D2475,原始经营数据!$K$3:$K$3001,$G2475)&gt;1,"基金整体·来源"&amp;原始经营数据!$A2476,"基金整体")))</f>
        <v/>
      </c>
      <c r="J2475" t="str">
        <f t="shared" si="573"/>
        <v/>
      </c>
      <c r="K2475" t="str">
        <f t="shared" si="574"/>
        <v/>
      </c>
      <c r="L2475" t="str">
        <f t="shared" si="575"/>
        <v/>
      </c>
      <c r="M2475">
        <f>IF($A2475="",0,IF(COUNTIF($L$2:$L2475,$L2475)=1,1,0))</f>
        <v>0</v>
      </c>
      <c r="N2475" t="str">
        <f t="shared" si="576"/>
        <v/>
      </c>
      <c r="O2475" t="str">
        <f t="shared" si="577"/>
        <v/>
      </c>
      <c r="P2475">
        <f>IF($A2475="",0,IF(COUNTIF($O$2:$O2475,$O2475)=1,1,0))</f>
        <v>0</v>
      </c>
      <c r="Q2475" t="str">
        <f>IF(AND($P2475=1,$A2475=经营数据!$B$3,$J2475=经营数据!$BA$5),COUNTIFS($P$2:$P$3000,1,$A$2:$A$3000,$A2475,$J$2:$J$3000,$J2475,$N$2:$N$3000,"&lt;"&amp;$N2475)+1,"")</f>
        <v/>
      </c>
      <c r="R2475" t="str">
        <f t="shared" si="578"/>
        <v/>
      </c>
      <c r="S2475">
        <f>IF($A2475="",0,IF(COUNTIF($R$2:$R2475,$R2475)=1,1,0))</f>
        <v>0</v>
      </c>
      <c r="T2475" t="str">
        <f t="shared" si="579"/>
        <v/>
      </c>
      <c r="U2475" t="str">
        <f>IF($A2475="","",IF($A2475=经营数据!$B$3,COUNTIFS($S$2:$S$3000,1,$A$2:$A$3000,$A2475,$T$2:$T$3000,"&lt;"&amp;$T2475)+1,""))</f>
        <v/>
      </c>
      <c r="V2475" t="str">
        <f t="shared" si="580"/>
        <v/>
      </c>
      <c r="W2475" t="str">
        <f t="shared" si="581"/>
        <v/>
      </c>
      <c r="X2475" t="str">
        <f t="shared" si="582"/>
        <v/>
      </c>
      <c r="Y2475" t="str">
        <f t="shared" si="583"/>
        <v/>
      </c>
      <c r="Z2475">
        <f>IF($A2475="",0,IF(AND($M2475=1,$A2475=经营数据!$B$3,$J2475=经营数据!$BA$5,OR($I2475=经营数据!$BA$4,COUNTIF(经营数据!$AA$9:$AA$38,$I2475)&gt;0)),1,0))</f>
        <v>0</v>
      </c>
      <c r="AA2475" t="str">
        <f t="shared" si="584"/>
        <v/>
      </c>
      <c r="AB2475" t="str">
        <f t="shared" si="585"/>
        <v/>
      </c>
      <c r="AC2475">
        <f>IF($A2475="",0,IF(COUNTIF($A$2:$A2475,$A2475)=1,1,0))</f>
        <v>0</v>
      </c>
      <c r="AD2475">
        <f t="shared" si="586"/>
        <v>29</v>
      </c>
      <c r="AE2475" t="str">
        <f t="shared" si="587"/>
        <v/>
      </c>
    </row>
    <row r="2476" spans="1:31" x14ac:dyDescent="0.4">
      <c r="A2476" t="str">
        <f>IF(原始经营数据!$D2477="","",原始经营数据!$D2477)</f>
        <v/>
      </c>
      <c r="B2476" t="str">
        <f>IF(原始经营数据!$D2477="","",T(原始经营数据!$E2477))</f>
        <v/>
      </c>
      <c r="C2476" t="str">
        <f>IF(原始经营数据!$D2477="","",原始经营数据!$F2477)</f>
        <v/>
      </c>
      <c r="D2476" t="str">
        <f>IF(原始经营数据!$D2477="","",原始经营数据!$H2477)</f>
        <v/>
      </c>
      <c r="E2476" t="str">
        <f>IF(原始经营数据!$D2477="","",原始经营数据!$I2477)</f>
        <v/>
      </c>
      <c r="F2476" t="str">
        <f>IF(原始经营数据!$D2477="","",T(原始经营数据!$J2477))</f>
        <v/>
      </c>
      <c r="G2476" t="str">
        <f>IF(原始经营数据!$D2477="","",T(原始经营数据!$K2477))</f>
        <v/>
      </c>
      <c r="H2476" t="str">
        <f>IF(原始经营数据!$D2477="","",原始经营数据!$G2477)</f>
        <v/>
      </c>
      <c r="I2476" t="str">
        <f>IF($A2476="","",IF($B2476&lt;&gt;"",$B2476,IF(COUNTIFS(原始经营数据!$D$3:$D$3001,$A2476,原始经营数据!$E$3:$E$3001,"",原始经营数据!$F$3:$F$3001,$C2476,原始经营数据!$H$3:$H$3001,$D2476,原始经营数据!$K$3:$K$3001,$G2476)&gt;1,"基金整体·来源"&amp;原始经营数据!$A2477,"基金整体")))</f>
        <v/>
      </c>
      <c r="J2476" t="str">
        <f t="shared" si="573"/>
        <v/>
      </c>
      <c r="K2476" t="str">
        <f t="shared" si="574"/>
        <v/>
      </c>
      <c r="L2476" t="str">
        <f t="shared" si="575"/>
        <v/>
      </c>
      <c r="M2476">
        <f>IF($A2476="",0,IF(COUNTIF($L$2:$L2476,$L2476)=1,1,0))</f>
        <v>0</v>
      </c>
      <c r="N2476" t="str">
        <f t="shared" si="576"/>
        <v/>
      </c>
      <c r="O2476" t="str">
        <f t="shared" si="577"/>
        <v/>
      </c>
      <c r="P2476">
        <f>IF($A2476="",0,IF(COUNTIF($O$2:$O2476,$O2476)=1,1,0))</f>
        <v>0</v>
      </c>
      <c r="Q2476" t="str">
        <f>IF(AND($P2476=1,$A2476=经营数据!$B$3,$J2476=经营数据!$BA$5),COUNTIFS($P$2:$P$3000,1,$A$2:$A$3000,$A2476,$J$2:$J$3000,$J2476,$N$2:$N$3000,"&lt;"&amp;$N2476)+1,"")</f>
        <v/>
      </c>
      <c r="R2476" t="str">
        <f t="shared" si="578"/>
        <v/>
      </c>
      <c r="S2476">
        <f>IF($A2476="",0,IF(COUNTIF($R$2:$R2476,$R2476)=1,1,0))</f>
        <v>0</v>
      </c>
      <c r="T2476" t="str">
        <f t="shared" si="579"/>
        <v/>
      </c>
      <c r="U2476" t="str">
        <f>IF($A2476="","",IF($A2476=经营数据!$B$3,COUNTIFS($S$2:$S$3000,1,$A$2:$A$3000,$A2476,$T$2:$T$3000,"&lt;"&amp;$T2476)+1,""))</f>
        <v/>
      </c>
      <c r="V2476" t="str">
        <f t="shared" si="580"/>
        <v/>
      </c>
      <c r="W2476" t="str">
        <f t="shared" si="581"/>
        <v/>
      </c>
      <c r="X2476" t="str">
        <f t="shared" si="582"/>
        <v/>
      </c>
      <c r="Y2476" t="str">
        <f t="shared" si="583"/>
        <v/>
      </c>
      <c r="Z2476">
        <f>IF($A2476="",0,IF(AND($M2476=1,$A2476=经营数据!$B$3,$J2476=经营数据!$BA$5,OR($I2476=经营数据!$BA$4,COUNTIF(经营数据!$AA$9:$AA$38,$I2476)&gt;0)),1,0))</f>
        <v>0</v>
      </c>
      <c r="AA2476" t="str">
        <f t="shared" si="584"/>
        <v/>
      </c>
      <c r="AB2476" t="str">
        <f t="shared" si="585"/>
        <v/>
      </c>
      <c r="AC2476">
        <f>IF($A2476="",0,IF(COUNTIF($A$2:$A2476,$A2476)=1,1,0))</f>
        <v>0</v>
      </c>
      <c r="AD2476">
        <f t="shared" si="586"/>
        <v>29</v>
      </c>
      <c r="AE2476" t="str">
        <f t="shared" si="587"/>
        <v/>
      </c>
    </row>
    <row r="2477" spans="1:31" x14ac:dyDescent="0.4">
      <c r="A2477" t="str">
        <f>IF(原始经营数据!$D2478="","",原始经营数据!$D2478)</f>
        <v/>
      </c>
      <c r="B2477" t="str">
        <f>IF(原始经营数据!$D2478="","",T(原始经营数据!$E2478))</f>
        <v/>
      </c>
      <c r="C2477" t="str">
        <f>IF(原始经营数据!$D2478="","",原始经营数据!$F2478)</f>
        <v/>
      </c>
      <c r="D2477" t="str">
        <f>IF(原始经营数据!$D2478="","",原始经营数据!$H2478)</f>
        <v/>
      </c>
      <c r="E2477" t="str">
        <f>IF(原始经营数据!$D2478="","",原始经营数据!$I2478)</f>
        <v/>
      </c>
      <c r="F2477" t="str">
        <f>IF(原始经营数据!$D2478="","",T(原始经营数据!$J2478))</f>
        <v/>
      </c>
      <c r="G2477" t="str">
        <f>IF(原始经营数据!$D2478="","",T(原始经营数据!$K2478))</f>
        <v/>
      </c>
      <c r="H2477" t="str">
        <f>IF(原始经营数据!$D2478="","",原始经营数据!$G2478)</f>
        <v/>
      </c>
      <c r="I2477" t="str">
        <f>IF($A2477="","",IF($B2477&lt;&gt;"",$B2477,IF(COUNTIFS(原始经营数据!$D$3:$D$3001,$A2477,原始经营数据!$E$3:$E$3001,"",原始经营数据!$F$3:$F$3001,$C2477,原始经营数据!$H$3:$H$3001,$D2477,原始经营数据!$K$3:$K$3001,$G2477)&gt;1,"基金整体·来源"&amp;原始经营数据!$A2478,"基金整体")))</f>
        <v/>
      </c>
      <c r="J2477" t="str">
        <f t="shared" si="573"/>
        <v/>
      </c>
      <c r="K2477" t="str">
        <f t="shared" si="574"/>
        <v/>
      </c>
      <c r="L2477" t="str">
        <f t="shared" si="575"/>
        <v/>
      </c>
      <c r="M2477">
        <f>IF($A2477="",0,IF(COUNTIF($L$2:$L2477,$L2477)=1,1,0))</f>
        <v>0</v>
      </c>
      <c r="N2477" t="str">
        <f t="shared" si="576"/>
        <v/>
      </c>
      <c r="O2477" t="str">
        <f t="shared" si="577"/>
        <v/>
      </c>
      <c r="P2477">
        <f>IF($A2477="",0,IF(COUNTIF($O$2:$O2477,$O2477)=1,1,0))</f>
        <v>0</v>
      </c>
      <c r="Q2477" t="str">
        <f>IF(AND($P2477=1,$A2477=经营数据!$B$3,$J2477=经营数据!$BA$5),COUNTIFS($P$2:$P$3000,1,$A$2:$A$3000,$A2477,$J$2:$J$3000,$J2477,$N$2:$N$3000,"&lt;"&amp;$N2477)+1,"")</f>
        <v/>
      </c>
      <c r="R2477" t="str">
        <f t="shared" si="578"/>
        <v/>
      </c>
      <c r="S2477">
        <f>IF($A2477="",0,IF(COUNTIF($R$2:$R2477,$R2477)=1,1,0))</f>
        <v>0</v>
      </c>
      <c r="T2477" t="str">
        <f t="shared" si="579"/>
        <v/>
      </c>
      <c r="U2477" t="str">
        <f>IF($A2477="","",IF($A2477=经营数据!$B$3,COUNTIFS($S$2:$S$3000,1,$A$2:$A$3000,$A2477,$T$2:$T$3000,"&lt;"&amp;$T2477)+1,""))</f>
        <v/>
      </c>
      <c r="V2477" t="str">
        <f t="shared" si="580"/>
        <v/>
      </c>
      <c r="W2477" t="str">
        <f t="shared" si="581"/>
        <v/>
      </c>
      <c r="X2477" t="str">
        <f t="shared" si="582"/>
        <v/>
      </c>
      <c r="Y2477" t="str">
        <f t="shared" si="583"/>
        <v/>
      </c>
      <c r="Z2477">
        <f>IF($A2477="",0,IF(AND($M2477=1,$A2477=经营数据!$B$3,$J2477=经营数据!$BA$5,OR($I2477=经营数据!$BA$4,COUNTIF(经营数据!$AA$9:$AA$38,$I2477)&gt;0)),1,0))</f>
        <v>0</v>
      </c>
      <c r="AA2477" t="str">
        <f t="shared" si="584"/>
        <v/>
      </c>
      <c r="AB2477" t="str">
        <f t="shared" si="585"/>
        <v/>
      </c>
      <c r="AC2477">
        <f>IF($A2477="",0,IF(COUNTIF($A$2:$A2477,$A2477)=1,1,0))</f>
        <v>0</v>
      </c>
      <c r="AD2477">
        <f t="shared" si="586"/>
        <v>29</v>
      </c>
      <c r="AE2477" t="str">
        <f t="shared" si="587"/>
        <v/>
      </c>
    </row>
    <row r="2478" spans="1:31" x14ac:dyDescent="0.4">
      <c r="A2478" t="str">
        <f>IF(原始经营数据!$D2479="","",原始经营数据!$D2479)</f>
        <v/>
      </c>
      <c r="B2478" t="str">
        <f>IF(原始经营数据!$D2479="","",T(原始经营数据!$E2479))</f>
        <v/>
      </c>
      <c r="C2478" t="str">
        <f>IF(原始经营数据!$D2479="","",原始经营数据!$F2479)</f>
        <v/>
      </c>
      <c r="D2478" t="str">
        <f>IF(原始经营数据!$D2479="","",原始经营数据!$H2479)</f>
        <v/>
      </c>
      <c r="E2478" t="str">
        <f>IF(原始经营数据!$D2479="","",原始经营数据!$I2479)</f>
        <v/>
      </c>
      <c r="F2478" t="str">
        <f>IF(原始经营数据!$D2479="","",T(原始经营数据!$J2479))</f>
        <v/>
      </c>
      <c r="G2478" t="str">
        <f>IF(原始经营数据!$D2479="","",T(原始经营数据!$K2479))</f>
        <v/>
      </c>
      <c r="H2478" t="str">
        <f>IF(原始经营数据!$D2479="","",原始经营数据!$G2479)</f>
        <v/>
      </c>
      <c r="I2478" t="str">
        <f>IF($A2478="","",IF($B2478&lt;&gt;"",$B2478,IF(COUNTIFS(原始经营数据!$D$3:$D$3001,$A2478,原始经营数据!$E$3:$E$3001,"",原始经营数据!$F$3:$F$3001,$C2478,原始经营数据!$H$3:$H$3001,$D2478,原始经营数据!$K$3:$K$3001,$G2478)&gt;1,"基金整体·来源"&amp;原始经营数据!$A2479,"基金整体")))</f>
        <v/>
      </c>
      <c r="J2478" t="str">
        <f t="shared" si="573"/>
        <v/>
      </c>
      <c r="K2478" t="str">
        <f t="shared" si="574"/>
        <v/>
      </c>
      <c r="L2478" t="str">
        <f t="shared" si="575"/>
        <v/>
      </c>
      <c r="M2478">
        <f>IF($A2478="",0,IF(COUNTIF($L$2:$L2478,$L2478)=1,1,0))</f>
        <v>0</v>
      </c>
      <c r="N2478" t="str">
        <f t="shared" si="576"/>
        <v/>
      </c>
      <c r="O2478" t="str">
        <f t="shared" si="577"/>
        <v/>
      </c>
      <c r="P2478">
        <f>IF($A2478="",0,IF(COUNTIF($O$2:$O2478,$O2478)=1,1,0))</f>
        <v>0</v>
      </c>
      <c r="Q2478" t="str">
        <f>IF(AND($P2478=1,$A2478=经营数据!$B$3,$J2478=经营数据!$BA$5),COUNTIFS($P$2:$P$3000,1,$A$2:$A$3000,$A2478,$J$2:$J$3000,$J2478,$N$2:$N$3000,"&lt;"&amp;$N2478)+1,"")</f>
        <v/>
      </c>
      <c r="R2478" t="str">
        <f t="shared" si="578"/>
        <v/>
      </c>
      <c r="S2478">
        <f>IF($A2478="",0,IF(COUNTIF($R$2:$R2478,$R2478)=1,1,0))</f>
        <v>0</v>
      </c>
      <c r="T2478" t="str">
        <f t="shared" si="579"/>
        <v/>
      </c>
      <c r="U2478" t="str">
        <f>IF($A2478="","",IF($A2478=经营数据!$B$3,COUNTIFS($S$2:$S$3000,1,$A$2:$A$3000,$A2478,$T$2:$T$3000,"&lt;"&amp;$T2478)+1,""))</f>
        <v/>
      </c>
      <c r="V2478" t="str">
        <f t="shared" si="580"/>
        <v/>
      </c>
      <c r="W2478" t="str">
        <f t="shared" si="581"/>
        <v/>
      </c>
      <c r="X2478" t="str">
        <f t="shared" si="582"/>
        <v/>
      </c>
      <c r="Y2478" t="str">
        <f t="shared" si="583"/>
        <v/>
      </c>
      <c r="Z2478">
        <f>IF($A2478="",0,IF(AND($M2478=1,$A2478=经营数据!$B$3,$J2478=经营数据!$BA$5,OR($I2478=经营数据!$BA$4,COUNTIF(经营数据!$AA$9:$AA$38,$I2478)&gt;0)),1,0))</f>
        <v>0</v>
      </c>
      <c r="AA2478" t="str">
        <f t="shared" si="584"/>
        <v/>
      </c>
      <c r="AB2478" t="str">
        <f t="shared" si="585"/>
        <v/>
      </c>
      <c r="AC2478">
        <f>IF($A2478="",0,IF(COUNTIF($A$2:$A2478,$A2478)=1,1,0))</f>
        <v>0</v>
      </c>
      <c r="AD2478">
        <f t="shared" si="586"/>
        <v>29</v>
      </c>
      <c r="AE2478" t="str">
        <f t="shared" si="587"/>
        <v/>
      </c>
    </row>
    <row r="2479" spans="1:31" x14ac:dyDescent="0.4">
      <c r="A2479" t="str">
        <f>IF(原始经营数据!$D2480="","",原始经营数据!$D2480)</f>
        <v/>
      </c>
      <c r="B2479" t="str">
        <f>IF(原始经营数据!$D2480="","",T(原始经营数据!$E2480))</f>
        <v/>
      </c>
      <c r="C2479" t="str">
        <f>IF(原始经营数据!$D2480="","",原始经营数据!$F2480)</f>
        <v/>
      </c>
      <c r="D2479" t="str">
        <f>IF(原始经营数据!$D2480="","",原始经营数据!$H2480)</f>
        <v/>
      </c>
      <c r="E2479" t="str">
        <f>IF(原始经营数据!$D2480="","",原始经营数据!$I2480)</f>
        <v/>
      </c>
      <c r="F2479" t="str">
        <f>IF(原始经营数据!$D2480="","",T(原始经营数据!$J2480))</f>
        <v/>
      </c>
      <c r="G2479" t="str">
        <f>IF(原始经营数据!$D2480="","",T(原始经营数据!$K2480))</f>
        <v/>
      </c>
      <c r="H2479" t="str">
        <f>IF(原始经营数据!$D2480="","",原始经营数据!$G2480)</f>
        <v/>
      </c>
      <c r="I2479" t="str">
        <f>IF($A2479="","",IF($B2479&lt;&gt;"",$B2479,IF(COUNTIFS(原始经营数据!$D$3:$D$3001,$A2479,原始经营数据!$E$3:$E$3001,"",原始经营数据!$F$3:$F$3001,$C2479,原始经营数据!$H$3:$H$3001,$D2479,原始经营数据!$K$3:$K$3001,$G2479)&gt;1,"基金整体·来源"&amp;原始经营数据!$A2480,"基金整体")))</f>
        <v/>
      </c>
      <c r="J2479" t="str">
        <f t="shared" si="573"/>
        <v/>
      </c>
      <c r="K2479" t="str">
        <f t="shared" si="574"/>
        <v/>
      </c>
      <c r="L2479" t="str">
        <f t="shared" si="575"/>
        <v/>
      </c>
      <c r="M2479">
        <f>IF($A2479="",0,IF(COUNTIF($L$2:$L2479,$L2479)=1,1,0))</f>
        <v>0</v>
      </c>
      <c r="N2479" t="str">
        <f t="shared" si="576"/>
        <v/>
      </c>
      <c r="O2479" t="str">
        <f t="shared" si="577"/>
        <v/>
      </c>
      <c r="P2479">
        <f>IF($A2479="",0,IF(COUNTIF($O$2:$O2479,$O2479)=1,1,0))</f>
        <v>0</v>
      </c>
      <c r="Q2479" t="str">
        <f>IF(AND($P2479=1,$A2479=经营数据!$B$3,$J2479=经营数据!$BA$5),COUNTIFS($P$2:$P$3000,1,$A$2:$A$3000,$A2479,$J$2:$J$3000,$J2479,$N$2:$N$3000,"&lt;"&amp;$N2479)+1,"")</f>
        <v/>
      </c>
      <c r="R2479" t="str">
        <f t="shared" si="578"/>
        <v/>
      </c>
      <c r="S2479">
        <f>IF($A2479="",0,IF(COUNTIF($R$2:$R2479,$R2479)=1,1,0))</f>
        <v>0</v>
      </c>
      <c r="T2479" t="str">
        <f t="shared" si="579"/>
        <v/>
      </c>
      <c r="U2479" t="str">
        <f>IF($A2479="","",IF($A2479=经营数据!$B$3,COUNTIFS($S$2:$S$3000,1,$A$2:$A$3000,$A2479,$T$2:$T$3000,"&lt;"&amp;$T2479)+1,""))</f>
        <v/>
      </c>
      <c r="V2479" t="str">
        <f t="shared" si="580"/>
        <v/>
      </c>
      <c r="W2479" t="str">
        <f t="shared" si="581"/>
        <v/>
      </c>
      <c r="X2479" t="str">
        <f t="shared" si="582"/>
        <v/>
      </c>
      <c r="Y2479" t="str">
        <f t="shared" si="583"/>
        <v/>
      </c>
      <c r="Z2479">
        <f>IF($A2479="",0,IF(AND($M2479=1,$A2479=经营数据!$B$3,$J2479=经营数据!$BA$5,OR($I2479=经营数据!$BA$4,COUNTIF(经营数据!$AA$9:$AA$38,$I2479)&gt;0)),1,0))</f>
        <v>0</v>
      </c>
      <c r="AA2479" t="str">
        <f t="shared" si="584"/>
        <v/>
      </c>
      <c r="AB2479" t="str">
        <f t="shared" si="585"/>
        <v/>
      </c>
      <c r="AC2479">
        <f>IF($A2479="",0,IF(COUNTIF($A$2:$A2479,$A2479)=1,1,0))</f>
        <v>0</v>
      </c>
      <c r="AD2479">
        <f t="shared" si="586"/>
        <v>29</v>
      </c>
      <c r="AE2479" t="str">
        <f t="shared" si="587"/>
        <v/>
      </c>
    </row>
    <row r="2480" spans="1:31" x14ac:dyDescent="0.4">
      <c r="A2480" t="str">
        <f>IF(原始经营数据!$D2481="","",原始经营数据!$D2481)</f>
        <v/>
      </c>
      <c r="B2480" t="str">
        <f>IF(原始经营数据!$D2481="","",T(原始经营数据!$E2481))</f>
        <v/>
      </c>
      <c r="C2480" t="str">
        <f>IF(原始经营数据!$D2481="","",原始经营数据!$F2481)</f>
        <v/>
      </c>
      <c r="D2480" t="str">
        <f>IF(原始经营数据!$D2481="","",原始经营数据!$H2481)</f>
        <v/>
      </c>
      <c r="E2480" t="str">
        <f>IF(原始经营数据!$D2481="","",原始经营数据!$I2481)</f>
        <v/>
      </c>
      <c r="F2480" t="str">
        <f>IF(原始经营数据!$D2481="","",T(原始经营数据!$J2481))</f>
        <v/>
      </c>
      <c r="G2480" t="str">
        <f>IF(原始经营数据!$D2481="","",T(原始经营数据!$K2481))</f>
        <v/>
      </c>
      <c r="H2480" t="str">
        <f>IF(原始经营数据!$D2481="","",原始经营数据!$G2481)</f>
        <v/>
      </c>
      <c r="I2480" t="str">
        <f>IF($A2480="","",IF($B2480&lt;&gt;"",$B2480,IF(COUNTIFS(原始经营数据!$D$3:$D$3001,$A2480,原始经营数据!$E$3:$E$3001,"",原始经营数据!$F$3:$F$3001,$C2480,原始经营数据!$H$3:$H$3001,$D2480,原始经营数据!$K$3:$K$3001,$G2480)&gt;1,"基金整体·来源"&amp;原始经营数据!$A2481,"基金整体")))</f>
        <v/>
      </c>
      <c r="J2480" t="str">
        <f t="shared" si="573"/>
        <v/>
      </c>
      <c r="K2480" t="str">
        <f t="shared" si="574"/>
        <v/>
      </c>
      <c r="L2480" t="str">
        <f t="shared" si="575"/>
        <v/>
      </c>
      <c r="M2480">
        <f>IF($A2480="",0,IF(COUNTIF($L$2:$L2480,$L2480)=1,1,0))</f>
        <v>0</v>
      </c>
      <c r="N2480" t="str">
        <f t="shared" si="576"/>
        <v/>
      </c>
      <c r="O2480" t="str">
        <f t="shared" si="577"/>
        <v/>
      </c>
      <c r="P2480">
        <f>IF($A2480="",0,IF(COUNTIF($O$2:$O2480,$O2480)=1,1,0))</f>
        <v>0</v>
      </c>
      <c r="Q2480" t="str">
        <f>IF(AND($P2480=1,$A2480=经营数据!$B$3,$J2480=经营数据!$BA$5),COUNTIFS($P$2:$P$3000,1,$A$2:$A$3000,$A2480,$J$2:$J$3000,$J2480,$N$2:$N$3000,"&lt;"&amp;$N2480)+1,"")</f>
        <v/>
      </c>
      <c r="R2480" t="str">
        <f t="shared" si="578"/>
        <v/>
      </c>
      <c r="S2480">
        <f>IF($A2480="",0,IF(COUNTIF($R$2:$R2480,$R2480)=1,1,0))</f>
        <v>0</v>
      </c>
      <c r="T2480" t="str">
        <f t="shared" si="579"/>
        <v/>
      </c>
      <c r="U2480" t="str">
        <f>IF($A2480="","",IF($A2480=经营数据!$B$3,COUNTIFS($S$2:$S$3000,1,$A$2:$A$3000,$A2480,$T$2:$T$3000,"&lt;"&amp;$T2480)+1,""))</f>
        <v/>
      </c>
      <c r="V2480" t="str">
        <f t="shared" si="580"/>
        <v/>
      </c>
      <c r="W2480" t="str">
        <f t="shared" si="581"/>
        <v/>
      </c>
      <c r="X2480" t="str">
        <f t="shared" si="582"/>
        <v/>
      </c>
      <c r="Y2480" t="str">
        <f t="shared" si="583"/>
        <v/>
      </c>
      <c r="Z2480">
        <f>IF($A2480="",0,IF(AND($M2480=1,$A2480=经营数据!$B$3,$J2480=经营数据!$BA$5,OR($I2480=经营数据!$BA$4,COUNTIF(经营数据!$AA$9:$AA$38,$I2480)&gt;0)),1,0))</f>
        <v>0</v>
      </c>
      <c r="AA2480" t="str">
        <f t="shared" si="584"/>
        <v/>
      </c>
      <c r="AB2480" t="str">
        <f t="shared" si="585"/>
        <v/>
      </c>
      <c r="AC2480">
        <f>IF($A2480="",0,IF(COUNTIF($A$2:$A2480,$A2480)=1,1,0))</f>
        <v>0</v>
      </c>
      <c r="AD2480">
        <f t="shared" si="586"/>
        <v>29</v>
      </c>
      <c r="AE2480" t="str">
        <f t="shared" si="587"/>
        <v/>
      </c>
    </row>
    <row r="2481" spans="1:31" x14ac:dyDescent="0.4">
      <c r="A2481" t="str">
        <f>IF(原始经营数据!$D2482="","",原始经营数据!$D2482)</f>
        <v/>
      </c>
      <c r="B2481" t="str">
        <f>IF(原始经营数据!$D2482="","",T(原始经营数据!$E2482))</f>
        <v/>
      </c>
      <c r="C2481" t="str">
        <f>IF(原始经营数据!$D2482="","",原始经营数据!$F2482)</f>
        <v/>
      </c>
      <c r="D2481" t="str">
        <f>IF(原始经营数据!$D2482="","",原始经营数据!$H2482)</f>
        <v/>
      </c>
      <c r="E2481" t="str">
        <f>IF(原始经营数据!$D2482="","",原始经营数据!$I2482)</f>
        <v/>
      </c>
      <c r="F2481" t="str">
        <f>IF(原始经营数据!$D2482="","",T(原始经营数据!$J2482))</f>
        <v/>
      </c>
      <c r="G2481" t="str">
        <f>IF(原始经营数据!$D2482="","",T(原始经营数据!$K2482))</f>
        <v/>
      </c>
      <c r="H2481" t="str">
        <f>IF(原始经营数据!$D2482="","",原始经营数据!$G2482)</f>
        <v/>
      </c>
      <c r="I2481" t="str">
        <f>IF($A2481="","",IF($B2481&lt;&gt;"",$B2481,IF(COUNTIFS(原始经营数据!$D$3:$D$3001,$A2481,原始经营数据!$E$3:$E$3001,"",原始经营数据!$F$3:$F$3001,$C2481,原始经营数据!$H$3:$H$3001,$D2481,原始经营数据!$K$3:$K$3001,$G2481)&gt;1,"基金整体·来源"&amp;原始经营数据!$A2482,"基金整体")))</f>
        <v/>
      </c>
      <c r="J2481" t="str">
        <f t="shared" si="573"/>
        <v/>
      </c>
      <c r="K2481" t="str">
        <f t="shared" si="574"/>
        <v/>
      </c>
      <c r="L2481" t="str">
        <f t="shared" si="575"/>
        <v/>
      </c>
      <c r="M2481">
        <f>IF($A2481="",0,IF(COUNTIF($L$2:$L2481,$L2481)=1,1,0))</f>
        <v>0</v>
      </c>
      <c r="N2481" t="str">
        <f t="shared" si="576"/>
        <v/>
      </c>
      <c r="O2481" t="str">
        <f t="shared" si="577"/>
        <v/>
      </c>
      <c r="P2481">
        <f>IF($A2481="",0,IF(COUNTIF($O$2:$O2481,$O2481)=1,1,0))</f>
        <v>0</v>
      </c>
      <c r="Q2481" t="str">
        <f>IF(AND($P2481=1,$A2481=经营数据!$B$3,$J2481=经营数据!$BA$5),COUNTIFS($P$2:$P$3000,1,$A$2:$A$3000,$A2481,$J$2:$J$3000,$J2481,$N$2:$N$3000,"&lt;"&amp;$N2481)+1,"")</f>
        <v/>
      </c>
      <c r="R2481" t="str">
        <f t="shared" si="578"/>
        <v/>
      </c>
      <c r="S2481">
        <f>IF($A2481="",0,IF(COUNTIF($R$2:$R2481,$R2481)=1,1,0))</f>
        <v>0</v>
      </c>
      <c r="T2481" t="str">
        <f t="shared" si="579"/>
        <v/>
      </c>
      <c r="U2481" t="str">
        <f>IF($A2481="","",IF($A2481=经营数据!$B$3,COUNTIFS($S$2:$S$3000,1,$A$2:$A$3000,$A2481,$T$2:$T$3000,"&lt;"&amp;$T2481)+1,""))</f>
        <v/>
      </c>
      <c r="V2481" t="str">
        <f t="shared" si="580"/>
        <v/>
      </c>
      <c r="W2481" t="str">
        <f t="shared" si="581"/>
        <v/>
      </c>
      <c r="X2481" t="str">
        <f t="shared" si="582"/>
        <v/>
      </c>
      <c r="Y2481" t="str">
        <f t="shared" si="583"/>
        <v/>
      </c>
      <c r="Z2481">
        <f>IF($A2481="",0,IF(AND($M2481=1,$A2481=经营数据!$B$3,$J2481=经营数据!$BA$5,OR($I2481=经营数据!$BA$4,COUNTIF(经营数据!$AA$9:$AA$38,$I2481)&gt;0)),1,0))</f>
        <v>0</v>
      </c>
      <c r="AA2481" t="str">
        <f t="shared" si="584"/>
        <v/>
      </c>
      <c r="AB2481" t="str">
        <f t="shared" si="585"/>
        <v/>
      </c>
      <c r="AC2481">
        <f>IF($A2481="",0,IF(COUNTIF($A$2:$A2481,$A2481)=1,1,0))</f>
        <v>0</v>
      </c>
      <c r="AD2481">
        <f t="shared" si="586"/>
        <v>29</v>
      </c>
      <c r="AE2481" t="str">
        <f t="shared" si="587"/>
        <v/>
      </c>
    </row>
    <row r="2482" spans="1:31" x14ac:dyDescent="0.4">
      <c r="A2482" t="str">
        <f>IF(原始经营数据!$D2483="","",原始经营数据!$D2483)</f>
        <v/>
      </c>
      <c r="B2482" t="str">
        <f>IF(原始经营数据!$D2483="","",T(原始经营数据!$E2483))</f>
        <v/>
      </c>
      <c r="C2482" t="str">
        <f>IF(原始经营数据!$D2483="","",原始经营数据!$F2483)</f>
        <v/>
      </c>
      <c r="D2482" t="str">
        <f>IF(原始经营数据!$D2483="","",原始经营数据!$H2483)</f>
        <v/>
      </c>
      <c r="E2482" t="str">
        <f>IF(原始经营数据!$D2483="","",原始经营数据!$I2483)</f>
        <v/>
      </c>
      <c r="F2482" t="str">
        <f>IF(原始经营数据!$D2483="","",T(原始经营数据!$J2483))</f>
        <v/>
      </c>
      <c r="G2482" t="str">
        <f>IF(原始经营数据!$D2483="","",T(原始经营数据!$K2483))</f>
        <v/>
      </c>
      <c r="H2482" t="str">
        <f>IF(原始经营数据!$D2483="","",原始经营数据!$G2483)</f>
        <v/>
      </c>
      <c r="I2482" t="str">
        <f>IF($A2482="","",IF($B2482&lt;&gt;"",$B2482,IF(COUNTIFS(原始经营数据!$D$3:$D$3001,$A2482,原始经营数据!$E$3:$E$3001,"",原始经营数据!$F$3:$F$3001,$C2482,原始经营数据!$H$3:$H$3001,$D2482,原始经营数据!$K$3:$K$3001,$G2482)&gt;1,"基金整体·来源"&amp;原始经营数据!$A2483,"基金整体")))</f>
        <v/>
      </c>
      <c r="J2482" t="str">
        <f t="shared" si="573"/>
        <v/>
      </c>
      <c r="K2482" t="str">
        <f t="shared" si="574"/>
        <v/>
      </c>
      <c r="L2482" t="str">
        <f t="shared" si="575"/>
        <v/>
      </c>
      <c r="M2482">
        <f>IF($A2482="",0,IF(COUNTIF($L$2:$L2482,$L2482)=1,1,0))</f>
        <v>0</v>
      </c>
      <c r="N2482" t="str">
        <f t="shared" si="576"/>
        <v/>
      </c>
      <c r="O2482" t="str">
        <f t="shared" si="577"/>
        <v/>
      </c>
      <c r="P2482">
        <f>IF($A2482="",0,IF(COUNTIF($O$2:$O2482,$O2482)=1,1,0))</f>
        <v>0</v>
      </c>
      <c r="Q2482" t="str">
        <f>IF(AND($P2482=1,$A2482=经营数据!$B$3,$J2482=经营数据!$BA$5),COUNTIFS($P$2:$P$3000,1,$A$2:$A$3000,$A2482,$J$2:$J$3000,$J2482,$N$2:$N$3000,"&lt;"&amp;$N2482)+1,"")</f>
        <v/>
      </c>
      <c r="R2482" t="str">
        <f t="shared" si="578"/>
        <v/>
      </c>
      <c r="S2482">
        <f>IF($A2482="",0,IF(COUNTIF($R$2:$R2482,$R2482)=1,1,0))</f>
        <v>0</v>
      </c>
      <c r="T2482" t="str">
        <f t="shared" si="579"/>
        <v/>
      </c>
      <c r="U2482" t="str">
        <f>IF($A2482="","",IF($A2482=经营数据!$B$3,COUNTIFS($S$2:$S$3000,1,$A$2:$A$3000,$A2482,$T$2:$T$3000,"&lt;"&amp;$T2482)+1,""))</f>
        <v/>
      </c>
      <c r="V2482" t="str">
        <f t="shared" si="580"/>
        <v/>
      </c>
      <c r="W2482" t="str">
        <f t="shared" si="581"/>
        <v/>
      </c>
      <c r="X2482" t="str">
        <f t="shared" si="582"/>
        <v/>
      </c>
      <c r="Y2482" t="str">
        <f t="shared" si="583"/>
        <v/>
      </c>
      <c r="Z2482">
        <f>IF($A2482="",0,IF(AND($M2482=1,$A2482=经营数据!$B$3,$J2482=经营数据!$BA$5,OR($I2482=经营数据!$BA$4,COUNTIF(经营数据!$AA$9:$AA$38,$I2482)&gt;0)),1,0))</f>
        <v>0</v>
      </c>
      <c r="AA2482" t="str">
        <f t="shared" si="584"/>
        <v/>
      </c>
      <c r="AB2482" t="str">
        <f t="shared" si="585"/>
        <v/>
      </c>
      <c r="AC2482">
        <f>IF($A2482="",0,IF(COUNTIF($A$2:$A2482,$A2482)=1,1,0))</f>
        <v>0</v>
      </c>
      <c r="AD2482">
        <f t="shared" si="586"/>
        <v>29</v>
      </c>
      <c r="AE2482" t="str">
        <f t="shared" si="587"/>
        <v/>
      </c>
    </row>
    <row r="2483" spans="1:31" x14ac:dyDescent="0.4">
      <c r="A2483" t="str">
        <f>IF(原始经营数据!$D2484="","",原始经营数据!$D2484)</f>
        <v/>
      </c>
      <c r="B2483" t="str">
        <f>IF(原始经营数据!$D2484="","",T(原始经营数据!$E2484))</f>
        <v/>
      </c>
      <c r="C2483" t="str">
        <f>IF(原始经营数据!$D2484="","",原始经营数据!$F2484)</f>
        <v/>
      </c>
      <c r="D2483" t="str">
        <f>IF(原始经营数据!$D2484="","",原始经营数据!$H2484)</f>
        <v/>
      </c>
      <c r="E2483" t="str">
        <f>IF(原始经营数据!$D2484="","",原始经营数据!$I2484)</f>
        <v/>
      </c>
      <c r="F2483" t="str">
        <f>IF(原始经营数据!$D2484="","",T(原始经营数据!$J2484))</f>
        <v/>
      </c>
      <c r="G2483" t="str">
        <f>IF(原始经营数据!$D2484="","",T(原始经营数据!$K2484))</f>
        <v/>
      </c>
      <c r="H2483" t="str">
        <f>IF(原始经营数据!$D2484="","",原始经营数据!$G2484)</f>
        <v/>
      </c>
      <c r="I2483" t="str">
        <f>IF($A2483="","",IF($B2483&lt;&gt;"",$B2483,IF(COUNTIFS(原始经营数据!$D$3:$D$3001,$A2483,原始经营数据!$E$3:$E$3001,"",原始经营数据!$F$3:$F$3001,$C2483,原始经营数据!$H$3:$H$3001,$D2483,原始经营数据!$K$3:$K$3001,$G2483)&gt;1,"基金整体·来源"&amp;原始经营数据!$A2484,"基金整体")))</f>
        <v/>
      </c>
      <c r="J2483" t="str">
        <f t="shared" si="573"/>
        <v/>
      </c>
      <c r="K2483" t="str">
        <f t="shared" si="574"/>
        <v/>
      </c>
      <c r="L2483" t="str">
        <f t="shared" si="575"/>
        <v/>
      </c>
      <c r="M2483">
        <f>IF($A2483="",0,IF(COUNTIF($L$2:$L2483,$L2483)=1,1,0))</f>
        <v>0</v>
      </c>
      <c r="N2483" t="str">
        <f t="shared" si="576"/>
        <v/>
      </c>
      <c r="O2483" t="str">
        <f t="shared" si="577"/>
        <v/>
      </c>
      <c r="P2483">
        <f>IF($A2483="",0,IF(COUNTIF($O$2:$O2483,$O2483)=1,1,0))</f>
        <v>0</v>
      </c>
      <c r="Q2483" t="str">
        <f>IF(AND($P2483=1,$A2483=经营数据!$B$3,$J2483=经营数据!$BA$5),COUNTIFS($P$2:$P$3000,1,$A$2:$A$3000,$A2483,$J$2:$J$3000,$J2483,$N$2:$N$3000,"&lt;"&amp;$N2483)+1,"")</f>
        <v/>
      </c>
      <c r="R2483" t="str">
        <f t="shared" si="578"/>
        <v/>
      </c>
      <c r="S2483">
        <f>IF($A2483="",0,IF(COUNTIF($R$2:$R2483,$R2483)=1,1,0))</f>
        <v>0</v>
      </c>
      <c r="T2483" t="str">
        <f t="shared" si="579"/>
        <v/>
      </c>
      <c r="U2483" t="str">
        <f>IF($A2483="","",IF($A2483=经营数据!$B$3,COUNTIFS($S$2:$S$3000,1,$A$2:$A$3000,$A2483,$T$2:$T$3000,"&lt;"&amp;$T2483)+1,""))</f>
        <v/>
      </c>
      <c r="V2483" t="str">
        <f t="shared" si="580"/>
        <v/>
      </c>
      <c r="W2483" t="str">
        <f t="shared" si="581"/>
        <v/>
      </c>
      <c r="X2483" t="str">
        <f t="shared" si="582"/>
        <v/>
      </c>
      <c r="Y2483" t="str">
        <f t="shared" si="583"/>
        <v/>
      </c>
      <c r="Z2483">
        <f>IF($A2483="",0,IF(AND($M2483=1,$A2483=经营数据!$B$3,$J2483=经营数据!$BA$5,OR($I2483=经营数据!$BA$4,COUNTIF(经营数据!$AA$9:$AA$38,$I2483)&gt;0)),1,0))</f>
        <v>0</v>
      </c>
      <c r="AA2483" t="str">
        <f t="shared" si="584"/>
        <v/>
      </c>
      <c r="AB2483" t="str">
        <f t="shared" si="585"/>
        <v/>
      </c>
      <c r="AC2483">
        <f>IF($A2483="",0,IF(COUNTIF($A$2:$A2483,$A2483)=1,1,0))</f>
        <v>0</v>
      </c>
      <c r="AD2483">
        <f t="shared" si="586"/>
        <v>29</v>
      </c>
      <c r="AE2483" t="str">
        <f t="shared" si="587"/>
        <v/>
      </c>
    </row>
    <row r="2484" spans="1:31" x14ac:dyDescent="0.4">
      <c r="A2484" t="str">
        <f>IF(原始经营数据!$D2485="","",原始经营数据!$D2485)</f>
        <v/>
      </c>
      <c r="B2484" t="str">
        <f>IF(原始经营数据!$D2485="","",T(原始经营数据!$E2485))</f>
        <v/>
      </c>
      <c r="C2484" t="str">
        <f>IF(原始经营数据!$D2485="","",原始经营数据!$F2485)</f>
        <v/>
      </c>
      <c r="D2484" t="str">
        <f>IF(原始经营数据!$D2485="","",原始经营数据!$H2485)</f>
        <v/>
      </c>
      <c r="E2484" t="str">
        <f>IF(原始经营数据!$D2485="","",原始经营数据!$I2485)</f>
        <v/>
      </c>
      <c r="F2484" t="str">
        <f>IF(原始经营数据!$D2485="","",T(原始经营数据!$J2485))</f>
        <v/>
      </c>
      <c r="G2484" t="str">
        <f>IF(原始经营数据!$D2485="","",T(原始经营数据!$K2485))</f>
        <v/>
      </c>
      <c r="H2484" t="str">
        <f>IF(原始经营数据!$D2485="","",原始经营数据!$G2485)</f>
        <v/>
      </c>
      <c r="I2484" t="str">
        <f>IF($A2484="","",IF($B2484&lt;&gt;"",$B2484,IF(COUNTIFS(原始经营数据!$D$3:$D$3001,$A2484,原始经营数据!$E$3:$E$3001,"",原始经营数据!$F$3:$F$3001,$C2484,原始经营数据!$H$3:$H$3001,$D2484,原始经营数据!$K$3:$K$3001,$G2484)&gt;1,"基金整体·来源"&amp;原始经营数据!$A2485,"基金整体")))</f>
        <v/>
      </c>
      <c r="J2484" t="str">
        <f t="shared" si="573"/>
        <v/>
      </c>
      <c r="K2484" t="str">
        <f t="shared" si="574"/>
        <v/>
      </c>
      <c r="L2484" t="str">
        <f t="shared" si="575"/>
        <v/>
      </c>
      <c r="M2484">
        <f>IF($A2484="",0,IF(COUNTIF($L$2:$L2484,$L2484)=1,1,0))</f>
        <v>0</v>
      </c>
      <c r="N2484" t="str">
        <f t="shared" si="576"/>
        <v/>
      </c>
      <c r="O2484" t="str">
        <f t="shared" si="577"/>
        <v/>
      </c>
      <c r="P2484">
        <f>IF($A2484="",0,IF(COUNTIF($O$2:$O2484,$O2484)=1,1,0))</f>
        <v>0</v>
      </c>
      <c r="Q2484" t="str">
        <f>IF(AND($P2484=1,$A2484=经营数据!$B$3,$J2484=经营数据!$BA$5),COUNTIFS($P$2:$P$3000,1,$A$2:$A$3000,$A2484,$J$2:$J$3000,$J2484,$N$2:$N$3000,"&lt;"&amp;$N2484)+1,"")</f>
        <v/>
      </c>
      <c r="R2484" t="str">
        <f t="shared" si="578"/>
        <v/>
      </c>
      <c r="S2484">
        <f>IF($A2484="",0,IF(COUNTIF($R$2:$R2484,$R2484)=1,1,0))</f>
        <v>0</v>
      </c>
      <c r="T2484" t="str">
        <f t="shared" si="579"/>
        <v/>
      </c>
      <c r="U2484" t="str">
        <f>IF($A2484="","",IF($A2484=经营数据!$B$3,COUNTIFS($S$2:$S$3000,1,$A$2:$A$3000,$A2484,$T$2:$T$3000,"&lt;"&amp;$T2484)+1,""))</f>
        <v/>
      </c>
      <c r="V2484" t="str">
        <f t="shared" si="580"/>
        <v/>
      </c>
      <c r="W2484" t="str">
        <f t="shared" si="581"/>
        <v/>
      </c>
      <c r="X2484" t="str">
        <f t="shared" si="582"/>
        <v/>
      </c>
      <c r="Y2484" t="str">
        <f t="shared" si="583"/>
        <v/>
      </c>
      <c r="Z2484">
        <f>IF($A2484="",0,IF(AND($M2484=1,$A2484=经营数据!$B$3,$J2484=经营数据!$BA$5,OR($I2484=经营数据!$BA$4,COUNTIF(经营数据!$AA$9:$AA$38,$I2484)&gt;0)),1,0))</f>
        <v>0</v>
      </c>
      <c r="AA2484" t="str">
        <f t="shared" si="584"/>
        <v/>
      </c>
      <c r="AB2484" t="str">
        <f t="shared" si="585"/>
        <v/>
      </c>
      <c r="AC2484">
        <f>IF($A2484="",0,IF(COUNTIF($A$2:$A2484,$A2484)=1,1,0))</f>
        <v>0</v>
      </c>
      <c r="AD2484">
        <f t="shared" si="586"/>
        <v>29</v>
      </c>
      <c r="AE2484" t="str">
        <f t="shared" si="587"/>
        <v/>
      </c>
    </row>
    <row r="2485" spans="1:31" x14ac:dyDescent="0.4">
      <c r="A2485" t="str">
        <f>IF(原始经营数据!$D2486="","",原始经营数据!$D2486)</f>
        <v/>
      </c>
      <c r="B2485" t="str">
        <f>IF(原始经营数据!$D2486="","",T(原始经营数据!$E2486))</f>
        <v/>
      </c>
      <c r="C2485" t="str">
        <f>IF(原始经营数据!$D2486="","",原始经营数据!$F2486)</f>
        <v/>
      </c>
      <c r="D2485" t="str">
        <f>IF(原始经营数据!$D2486="","",原始经营数据!$H2486)</f>
        <v/>
      </c>
      <c r="E2485" t="str">
        <f>IF(原始经营数据!$D2486="","",原始经营数据!$I2486)</f>
        <v/>
      </c>
      <c r="F2485" t="str">
        <f>IF(原始经营数据!$D2486="","",T(原始经营数据!$J2486))</f>
        <v/>
      </c>
      <c r="G2485" t="str">
        <f>IF(原始经营数据!$D2486="","",T(原始经营数据!$K2486))</f>
        <v/>
      </c>
      <c r="H2485" t="str">
        <f>IF(原始经营数据!$D2486="","",原始经营数据!$G2486)</f>
        <v/>
      </c>
      <c r="I2485" t="str">
        <f>IF($A2485="","",IF($B2485&lt;&gt;"",$B2485,IF(COUNTIFS(原始经营数据!$D$3:$D$3001,$A2485,原始经营数据!$E$3:$E$3001,"",原始经营数据!$F$3:$F$3001,$C2485,原始经营数据!$H$3:$H$3001,$D2485,原始经营数据!$K$3:$K$3001,$G2485)&gt;1,"基金整体·来源"&amp;原始经营数据!$A2486,"基金整体")))</f>
        <v/>
      </c>
      <c r="J2485" t="str">
        <f t="shared" si="573"/>
        <v/>
      </c>
      <c r="K2485" t="str">
        <f t="shared" si="574"/>
        <v/>
      </c>
      <c r="L2485" t="str">
        <f t="shared" si="575"/>
        <v/>
      </c>
      <c r="M2485">
        <f>IF($A2485="",0,IF(COUNTIF($L$2:$L2485,$L2485)=1,1,0))</f>
        <v>0</v>
      </c>
      <c r="N2485" t="str">
        <f t="shared" si="576"/>
        <v/>
      </c>
      <c r="O2485" t="str">
        <f t="shared" si="577"/>
        <v/>
      </c>
      <c r="P2485">
        <f>IF($A2485="",0,IF(COUNTIF($O$2:$O2485,$O2485)=1,1,0))</f>
        <v>0</v>
      </c>
      <c r="Q2485" t="str">
        <f>IF(AND($P2485=1,$A2485=经营数据!$B$3,$J2485=经营数据!$BA$5),COUNTIFS($P$2:$P$3000,1,$A$2:$A$3000,$A2485,$J$2:$J$3000,$J2485,$N$2:$N$3000,"&lt;"&amp;$N2485)+1,"")</f>
        <v/>
      </c>
      <c r="R2485" t="str">
        <f t="shared" si="578"/>
        <v/>
      </c>
      <c r="S2485">
        <f>IF($A2485="",0,IF(COUNTIF($R$2:$R2485,$R2485)=1,1,0))</f>
        <v>0</v>
      </c>
      <c r="T2485" t="str">
        <f t="shared" si="579"/>
        <v/>
      </c>
      <c r="U2485" t="str">
        <f>IF($A2485="","",IF($A2485=经营数据!$B$3,COUNTIFS($S$2:$S$3000,1,$A$2:$A$3000,$A2485,$T$2:$T$3000,"&lt;"&amp;$T2485)+1,""))</f>
        <v/>
      </c>
      <c r="V2485" t="str">
        <f t="shared" si="580"/>
        <v/>
      </c>
      <c r="W2485" t="str">
        <f t="shared" si="581"/>
        <v/>
      </c>
      <c r="X2485" t="str">
        <f t="shared" si="582"/>
        <v/>
      </c>
      <c r="Y2485" t="str">
        <f t="shared" si="583"/>
        <v/>
      </c>
      <c r="Z2485">
        <f>IF($A2485="",0,IF(AND($M2485=1,$A2485=经营数据!$B$3,$J2485=经营数据!$BA$5,OR($I2485=经营数据!$BA$4,COUNTIF(经营数据!$AA$9:$AA$38,$I2485)&gt;0)),1,0))</f>
        <v>0</v>
      </c>
      <c r="AA2485" t="str">
        <f t="shared" si="584"/>
        <v/>
      </c>
      <c r="AB2485" t="str">
        <f t="shared" si="585"/>
        <v/>
      </c>
      <c r="AC2485">
        <f>IF($A2485="",0,IF(COUNTIF($A$2:$A2485,$A2485)=1,1,0))</f>
        <v>0</v>
      </c>
      <c r="AD2485">
        <f t="shared" si="586"/>
        <v>29</v>
      </c>
      <c r="AE2485" t="str">
        <f t="shared" si="587"/>
        <v/>
      </c>
    </row>
    <row r="2486" spans="1:31" x14ac:dyDescent="0.4">
      <c r="A2486" t="str">
        <f>IF(原始经营数据!$D2487="","",原始经营数据!$D2487)</f>
        <v/>
      </c>
      <c r="B2486" t="str">
        <f>IF(原始经营数据!$D2487="","",T(原始经营数据!$E2487))</f>
        <v/>
      </c>
      <c r="C2486" t="str">
        <f>IF(原始经营数据!$D2487="","",原始经营数据!$F2487)</f>
        <v/>
      </c>
      <c r="D2486" t="str">
        <f>IF(原始经营数据!$D2487="","",原始经营数据!$H2487)</f>
        <v/>
      </c>
      <c r="E2486" t="str">
        <f>IF(原始经营数据!$D2487="","",原始经营数据!$I2487)</f>
        <v/>
      </c>
      <c r="F2486" t="str">
        <f>IF(原始经营数据!$D2487="","",T(原始经营数据!$J2487))</f>
        <v/>
      </c>
      <c r="G2486" t="str">
        <f>IF(原始经营数据!$D2487="","",T(原始经营数据!$K2487))</f>
        <v/>
      </c>
      <c r="H2486" t="str">
        <f>IF(原始经营数据!$D2487="","",原始经营数据!$G2487)</f>
        <v/>
      </c>
      <c r="I2486" t="str">
        <f>IF($A2486="","",IF($B2486&lt;&gt;"",$B2486,IF(COUNTIFS(原始经营数据!$D$3:$D$3001,$A2486,原始经营数据!$E$3:$E$3001,"",原始经营数据!$F$3:$F$3001,$C2486,原始经营数据!$H$3:$H$3001,$D2486,原始经营数据!$K$3:$K$3001,$G2486)&gt;1,"基金整体·来源"&amp;原始经营数据!$A2487,"基金整体")))</f>
        <v/>
      </c>
      <c r="J2486" t="str">
        <f t="shared" si="573"/>
        <v/>
      </c>
      <c r="K2486" t="str">
        <f t="shared" si="574"/>
        <v/>
      </c>
      <c r="L2486" t="str">
        <f t="shared" si="575"/>
        <v/>
      </c>
      <c r="M2486">
        <f>IF($A2486="",0,IF(COUNTIF($L$2:$L2486,$L2486)=1,1,0))</f>
        <v>0</v>
      </c>
      <c r="N2486" t="str">
        <f t="shared" si="576"/>
        <v/>
      </c>
      <c r="O2486" t="str">
        <f t="shared" si="577"/>
        <v/>
      </c>
      <c r="P2486">
        <f>IF($A2486="",0,IF(COUNTIF($O$2:$O2486,$O2486)=1,1,0))</f>
        <v>0</v>
      </c>
      <c r="Q2486" t="str">
        <f>IF(AND($P2486=1,$A2486=经营数据!$B$3,$J2486=经营数据!$BA$5),COUNTIFS($P$2:$P$3000,1,$A$2:$A$3000,$A2486,$J$2:$J$3000,$J2486,$N$2:$N$3000,"&lt;"&amp;$N2486)+1,"")</f>
        <v/>
      </c>
      <c r="R2486" t="str">
        <f t="shared" si="578"/>
        <v/>
      </c>
      <c r="S2486">
        <f>IF($A2486="",0,IF(COUNTIF($R$2:$R2486,$R2486)=1,1,0))</f>
        <v>0</v>
      </c>
      <c r="T2486" t="str">
        <f t="shared" si="579"/>
        <v/>
      </c>
      <c r="U2486" t="str">
        <f>IF($A2486="","",IF($A2486=经营数据!$B$3,COUNTIFS($S$2:$S$3000,1,$A$2:$A$3000,$A2486,$T$2:$T$3000,"&lt;"&amp;$T2486)+1,""))</f>
        <v/>
      </c>
      <c r="V2486" t="str">
        <f t="shared" si="580"/>
        <v/>
      </c>
      <c r="W2486" t="str">
        <f t="shared" si="581"/>
        <v/>
      </c>
      <c r="X2486" t="str">
        <f t="shared" si="582"/>
        <v/>
      </c>
      <c r="Y2486" t="str">
        <f t="shared" si="583"/>
        <v/>
      </c>
      <c r="Z2486">
        <f>IF($A2486="",0,IF(AND($M2486=1,$A2486=经营数据!$B$3,$J2486=经营数据!$BA$5,OR($I2486=经营数据!$BA$4,COUNTIF(经营数据!$AA$9:$AA$38,$I2486)&gt;0)),1,0))</f>
        <v>0</v>
      </c>
      <c r="AA2486" t="str">
        <f t="shared" si="584"/>
        <v/>
      </c>
      <c r="AB2486" t="str">
        <f t="shared" si="585"/>
        <v/>
      </c>
      <c r="AC2486">
        <f>IF($A2486="",0,IF(COUNTIF($A$2:$A2486,$A2486)=1,1,0))</f>
        <v>0</v>
      </c>
      <c r="AD2486">
        <f t="shared" si="586"/>
        <v>29</v>
      </c>
      <c r="AE2486" t="str">
        <f t="shared" si="587"/>
        <v/>
      </c>
    </row>
    <row r="2487" spans="1:31" x14ac:dyDescent="0.4">
      <c r="A2487" t="str">
        <f>IF(原始经营数据!$D2488="","",原始经营数据!$D2488)</f>
        <v/>
      </c>
      <c r="B2487" t="str">
        <f>IF(原始经营数据!$D2488="","",T(原始经营数据!$E2488))</f>
        <v/>
      </c>
      <c r="C2487" t="str">
        <f>IF(原始经营数据!$D2488="","",原始经营数据!$F2488)</f>
        <v/>
      </c>
      <c r="D2487" t="str">
        <f>IF(原始经营数据!$D2488="","",原始经营数据!$H2488)</f>
        <v/>
      </c>
      <c r="E2487" t="str">
        <f>IF(原始经营数据!$D2488="","",原始经营数据!$I2488)</f>
        <v/>
      </c>
      <c r="F2487" t="str">
        <f>IF(原始经营数据!$D2488="","",T(原始经营数据!$J2488))</f>
        <v/>
      </c>
      <c r="G2487" t="str">
        <f>IF(原始经营数据!$D2488="","",T(原始经营数据!$K2488))</f>
        <v/>
      </c>
      <c r="H2487" t="str">
        <f>IF(原始经营数据!$D2488="","",原始经营数据!$G2488)</f>
        <v/>
      </c>
      <c r="I2487" t="str">
        <f>IF($A2487="","",IF($B2487&lt;&gt;"",$B2487,IF(COUNTIFS(原始经营数据!$D$3:$D$3001,$A2487,原始经营数据!$E$3:$E$3001,"",原始经营数据!$F$3:$F$3001,$C2487,原始经营数据!$H$3:$H$3001,$D2487,原始经营数据!$K$3:$K$3001,$G2487)&gt;1,"基金整体·来源"&amp;原始经营数据!$A2488,"基金整体")))</f>
        <v/>
      </c>
      <c r="J2487" t="str">
        <f t="shared" si="573"/>
        <v/>
      </c>
      <c r="K2487" t="str">
        <f t="shared" si="574"/>
        <v/>
      </c>
      <c r="L2487" t="str">
        <f t="shared" si="575"/>
        <v/>
      </c>
      <c r="M2487">
        <f>IF($A2487="",0,IF(COUNTIF($L$2:$L2487,$L2487)=1,1,0))</f>
        <v>0</v>
      </c>
      <c r="N2487" t="str">
        <f t="shared" si="576"/>
        <v/>
      </c>
      <c r="O2487" t="str">
        <f t="shared" si="577"/>
        <v/>
      </c>
      <c r="P2487">
        <f>IF($A2487="",0,IF(COUNTIF($O$2:$O2487,$O2487)=1,1,0))</f>
        <v>0</v>
      </c>
      <c r="Q2487" t="str">
        <f>IF(AND($P2487=1,$A2487=经营数据!$B$3,$J2487=经营数据!$BA$5),COUNTIFS($P$2:$P$3000,1,$A$2:$A$3000,$A2487,$J$2:$J$3000,$J2487,$N$2:$N$3000,"&lt;"&amp;$N2487)+1,"")</f>
        <v/>
      </c>
      <c r="R2487" t="str">
        <f t="shared" si="578"/>
        <v/>
      </c>
      <c r="S2487">
        <f>IF($A2487="",0,IF(COUNTIF($R$2:$R2487,$R2487)=1,1,0))</f>
        <v>0</v>
      </c>
      <c r="T2487" t="str">
        <f t="shared" si="579"/>
        <v/>
      </c>
      <c r="U2487" t="str">
        <f>IF($A2487="","",IF($A2487=经营数据!$B$3,COUNTIFS($S$2:$S$3000,1,$A$2:$A$3000,$A2487,$T$2:$T$3000,"&lt;"&amp;$T2487)+1,""))</f>
        <v/>
      </c>
      <c r="V2487" t="str">
        <f t="shared" si="580"/>
        <v/>
      </c>
      <c r="W2487" t="str">
        <f t="shared" si="581"/>
        <v/>
      </c>
      <c r="X2487" t="str">
        <f t="shared" si="582"/>
        <v/>
      </c>
      <c r="Y2487" t="str">
        <f t="shared" si="583"/>
        <v/>
      </c>
      <c r="Z2487">
        <f>IF($A2487="",0,IF(AND($M2487=1,$A2487=经营数据!$B$3,$J2487=经营数据!$BA$5,OR($I2487=经营数据!$BA$4,COUNTIF(经营数据!$AA$9:$AA$38,$I2487)&gt;0)),1,0))</f>
        <v>0</v>
      </c>
      <c r="AA2487" t="str">
        <f t="shared" si="584"/>
        <v/>
      </c>
      <c r="AB2487" t="str">
        <f t="shared" si="585"/>
        <v/>
      </c>
      <c r="AC2487">
        <f>IF($A2487="",0,IF(COUNTIF($A$2:$A2487,$A2487)=1,1,0))</f>
        <v>0</v>
      </c>
      <c r="AD2487">
        <f t="shared" si="586"/>
        <v>29</v>
      </c>
      <c r="AE2487" t="str">
        <f t="shared" si="587"/>
        <v/>
      </c>
    </row>
    <row r="2488" spans="1:31" x14ac:dyDescent="0.4">
      <c r="A2488" t="str">
        <f>IF(原始经营数据!$D2489="","",原始经营数据!$D2489)</f>
        <v/>
      </c>
      <c r="B2488" t="str">
        <f>IF(原始经营数据!$D2489="","",T(原始经营数据!$E2489))</f>
        <v/>
      </c>
      <c r="C2488" t="str">
        <f>IF(原始经营数据!$D2489="","",原始经营数据!$F2489)</f>
        <v/>
      </c>
      <c r="D2488" t="str">
        <f>IF(原始经营数据!$D2489="","",原始经营数据!$H2489)</f>
        <v/>
      </c>
      <c r="E2488" t="str">
        <f>IF(原始经营数据!$D2489="","",原始经营数据!$I2489)</f>
        <v/>
      </c>
      <c r="F2488" t="str">
        <f>IF(原始经营数据!$D2489="","",T(原始经营数据!$J2489))</f>
        <v/>
      </c>
      <c r="G2488" t="str">
        <f>IF(原始经营数据!$D2489="","",T(原始经营数据!$K2489))</f>
        <v/>
      </c>
      <c r="H2488" t="str">
        <f>IF(原始经营数据!$D2489="","",原始经营数据!$G2489)</f>
        <v/>
      </c>
      <c r="I2488" t="str">
        <f>IF($A2488="","",IF($B2488&lt;&gt;"",$B2488,IF(COUNTIFS(原始经营数据!$D$3:$D$3001,$A2488,原始经营数据!$E$3:$E$3001,"",原始经营数据!$F$3:$F$3001,$C2488,原始经营数据!$H$3:$H$3001,$D2488,原始经营数据!$K$3:$K$3001,$G2488)&gt;1,"基金整体·来源"&amp;原始经营数据!$A2489,"基金整体")))</f>
        <v/>
      </c>
      <c r="J2488" t="str">
        <f t="shared" si="573"/>
        <v/>
      </c>
      <c r="K2488" t="str">
        <f t="shared" si="574"/>
        <v/>
      </c>
      <c r="L2488" t="str">
        <f t="shared" si="575"/>
        <v/>
      </c>
      <c r="M2488">
        <f>IF($A2488="",0,IF(COUNTIF($L$2:$L2488,$L2488)=1,1,0))</f>
        <v>0</v>
      </c>
      <c r="N2488" t="str">
        <f t="shared" si="576"/>
        <v/>
      </c>
      <c r="O2488" t="str">
        <f t="shared" si="577"/>
        <v/>
      </c>
      <c r="P2488">
        <f>IF($A2488="",0,IF(COUNTIF($O$2:$O2488,$O2488)=1,1,0))</f>
        <v>0</v>
      </c>
      <c r="Q2488" t="str">
        <f>IF(AND($P2488=1,$A2488=经营数据!$B$3,$J2488=经营数据!$BA$5),COUNTIFS($P$2:$P$3000,1,$A$2:$A$3000,$A2488,$J$2:$J$3000,$J2488,$N$2:$N$3000,"&lt;"&amp;$N2488)+1,"")</f>
        <v/>
      </c>
      <c r="R2488" t="str">
        <f t="shared" si="578"/>
        <v/>
      </c>
      <c r="S2488">
        <f>IF($A2488="",0,IF(COUNTIF($R$2:$R2488,$R2488)=1,1,0))</f>
        <v>0</v>
      </c>
      <c r="T2488" t="str">
        <f t="shared" si="579"/>
        <v/>
      </c>
      <c r="U2488" t="str">
        <f>IF($A2488="","",IF($A2488=经营数据!$B$3,COUNTIFS($S$2:$S$3000,1,$A$2:$A$3000,$A2488,$T$2:$T$3000,"&lt;"&amp;$T2488)+1,""))</f>
        <v/>
      </c>
      <c r="V2488" t="str">
        <f t="shared" si="580"/>
        <v/>
      </c>
      <c r="W2488" t="str">
        <f t="shared" si="581"/>
        <v/>
      </c>
      <c r="X2488" t="str">
        <f t="shared" si="582"/>
        <v/>
      </c>
      <c r="Y2488" t="str">
        <f t="shared" si="583"/>
        <v/>
      </c>
      <c r="Z2488">
        <f>IF($A2488="",0,IF(AND($M2488=1,$A2488=经营数据!$B$3,$J2488=经营数据!$BA$5,OR($I2488=经营数据!$BA$4,COUNTIF(经营数据!$AA$9:$AA$38,$I2488)&gt;0)),1,0))</f>
        <v>0</v>
      </c>
      <c r="AA2488" t="str">
        <f t="shared" si="584"/>
        <v/>
      </c>
      <c r="AB2488" t="str">
        <f t="shared" si="585"/>
        <v/>
      </c>
      <c r="AC2488">
        <f>IF($A2488="",0,IF(COUNTIF($A$2:$A2488,$A2488)=1,1,0))</f>
        <v>0</v>
      </c>
      <c r="AD2488">
        <f t="shared" si="586"/>
        <v>29</v>
      </c>
      <c r="AE2488" t="str">
        <f t="shared" si="587"/>
        <v/>
      </c>
    </row>
    <row r="2489" spans="1:31" x14ac:dyDescent="0.4">
      <c r="A2489" t="str">
        <f>IF(原始经营数据!$D2490="","",原始经营数据!$D2490)</f>
        <v/>
      </c>
      <c r="B2489" t="str">
        <f>IF(原始经营数据!$D2490="","",T(原始经营数据!$E2490))</f>
        <v/>
      </c>
      <c r="C2489" t="str">
        <f>IF(原始经营数据!$D2490="","",原始经营数据!$F2490)</f>
        <v/>
      </c>
      <c r="D2489" t="str">
        <f>IF(原始经营数据!$D2490="","",原始经营数据!$H2490)</f>
        <v/>
      </c>
      <c r="E2489" t="str">
        <f>IF(原始经营数据!$D2490="","",原始经营数据!$I2490)</f>
        <v/>
      </c>
      <c r="F2489" t="str">
        <f>IF(原始经营数据!$D2490="","",T(原始经营数据!$J2490))</f>
        <v/>
      </c>
      <c r="G2489" t="str">
        <f>IF(原始经营数据!$D2490="","",T(原始经营数据!$K2490))</f>
        <v/>
      </c>
      <c r="H2489" t="str">
        <f>IF(原始经营数据!$D2490="","",原始经营数据!$G2490)</f>
        <v/>
      </c>
      <c r="I2489" t="str">
        <f>IF($A2489="","",IF($B2489&lt;&gt;"",$B2489,IF(COUNTIFS(原始经营数据!$D$3:$D$3001,$A2489,原始经营数据!$E$3:$E$3001,"",原始经营数据!$F$3:$F$3001,$C2489,原始经营数据!$H$3:$H$3001,$D2489,原始经营数据!$K$3:$K$3001,$G2489)&gt;1,"基金整体·来源"&amp;原始经营数据!$A2490,"基金整体")))</f>
        <v/>
      </c>
      <c r="J2489" t="str">
        <f t="shared" si="573"/>
        <v/>
      </c>
      <c r="K2489" t="str">
        <f t="shared" si="574"/>
        <v/>
      </c>
      <c r="L2489" t="str">
        <f t="shared" si="575"/>
        <v/>
      </c>
      <c r="M2489">
        <f>IF($A2489="",0,IF(COUNTIF($L$2:$L2489,$L2489)=1,1,0))</f>
        <v>0</v>
      </c>
      <c r="N2489" t="str">
        <f t="shared" si="576"/>
        <v/>
      </c>
      <c r="O2489" t="str">
        <f t="shared" si="577"/>
        <v/>
      </c>
      <c r="P2489">
        <f>IF($A2489="",0,IF(COUNTIF($O$2:$O2489,$O2489)=1,1,0))</f>
        <v>0</v>
      </c>
      <c r="Q2489" t="str">
        <f>IF(AND($P2489=1,$A2489=经营数据!$B$3,$J2489=经营数据!$BA$5),COUNTIFS($P$2:$P$3000,1,$A$2:$A$3000,$A2489,$J$2:$J$3000,$J2489,$N$2:$N$3000,"&lt;"&amp;$N2489)+1,"")</f>
        <v/>
      </c>
      <c r="R2489" t="str">
        <f t="shared" si="578"/>
        <v/>
      </c>
      <c r="S2489">
        <f>IF($A2489="",0,IF(COUNTIF($R$2:$R2489,$R2489)=1,1,0))</f>
        <v>0</v>
      </c>
      <c r="T2489" t="str">
        <f t="shared" si="579"/>
        <v/>
      </c>
      <c r="U2489" t="str">
        <f>IF($A2489="","",IF($A2489=经营数据!$B$3,COUNTIFS($S$2:$S$3000,1,$A$2:$A$3000,$A2489,$T$2:$T$3000,"&lt;"&amp;$T2489)+1,""))</f>
        <v/>
      </c>
      <c r="V2489" t="str">
        <f t="shared" si="580"/>
        <v/>
      </c>
      <c r="W2489" t="str">
        <f t="shared" si="581"/>
        <v/>
      </c>
      <c r="X2489" t="str">
        <f t="shared" si="582"/>
        <v/>
      </c>
      <c r="Y2489" t="str">
        <f t="shared" si="583"/>
        <v/>
      </c>
      <c r="Z2489">
        <f>IF($A2489="",0,IF(AND($M2489=1,$A2489=经营数据!$B$3,$J2489=经营数据!$BA$5,OR($I2489=经营数据!$BA$4,COUNTIF(经营数据!$AA$9:$AA$38,$I2489)&gt;0)),1,0))</f>
        <v>0</v>
      </c>
      <c r="AA2489" t="str">
        <f t="shared" si="584"/>
        <v/>
      </c>
      <c r="AB2489" t="str">
        <f t="shared" si="585"/>
        <v/>
      </c>
      <c r="AC2489">
        <f>IF($A2489="",0,IF(COUNTIF($A$2:$A2489,$A2489)=1,1,0))</f>
        <v>0</v>
      </c>
      <c r="AD2489">
        <f t="shared" si="586"/>
        <v>29</v>
      </c>
      <c r="AE2489" t="str">
        <f t="shared" si="587"/>
        <v/>
      </c>
    </row>
    <row r="2490" spans="1:31" x14ac:dyDescent="0.4">
      <c r="A2490" t="str">
        <f>IF(原始经营数据!$D2491="","",原始经营数据!$D2491)</f>
        <v/>
      </c>
      <c r="B2490" t="str">
        <f>IF(原始经营数据!$D2491="","",T(原始经营数据!$E2491))</f>
        <v/>
      </c>
      <c r="C2490" t="str">
        <f>IF(原始经营数据!$D2491="","",原始经营数据!$F2491)</f>
        <v/>
      </c>
      <c r="D2490" t="str">
        <f>IF(原始经营数据!$D2491="","",原始经营数据!$H2491)</f>
        <v/>
      </c>
      <c r="E2490" t="str">
        <f>IF(原始经营数据!$D2491="","",原始经营数据!$I2491)</f>
        <v/>
      </c>
      <c r="F2490" t="str">
        <f>IF(原始经营数据!$D2491="","",T(原始经营数据!$J2491))</f>
        <v/>
      </c>
      <c r="G2490" t="str">
        <f>IF(原始经营数据!$D2491="","",T(原始经营数据!$K2491))</f>
        <v/>
      </c>
      <c r="H2490" t="str">
        <f>IF(原始经营数据!$D2491="","",原始经营数据!$G2491)</f>
        <v/>
      </c>
      <c r="I2490" t="str">
        <f>IF($A2490="","",IF($B2490&lt;&gt;"",$B2490,IF(COUNTIFS(原始经营数据!$D$3:$D$3001,$A2490,原始经营数据!$E$3:$E$3001,"",原始经营数据!$F$3:$F$3001,$C2490,原始经营数据!$H$3:$H$3001,$D2490,原始经营数据!$K$3:$K$3001,$G2490)&gt;1,"基金整体·来源"&amp;原始经营数据!$A2491,"基金整体")))</f>
        <v/>
      </c>
      <c r="J2490" t="str">
        <f t="shared" si="573"/>
        <v/>
      </c>
      <c r="K2490" t="str">
        <f t="shared" si="574"/>
        <v/>
      </c>
      <c r="L2490" t="str">
        <f t="shared" si="575"/>
        <v/>
      </c>
      <c r="M2490">
        <f>IF($A2490="",0,IF(COUNTIF($L$2:$L2490,$L2490)=1,1,0))</f>
        <v>0</v>
      </c>
      <c r="N2490" t="str">
        <f t="shared" si="576"/>
        <v/>
      </c>
      <c r="O2490" t="str">
        <f t="shared" si="577"/>
        <v/>
      </c>
      <c r="P2490">
        <f>IF($A2490="",0,IF(COUNTIF($O$2:$O2490,$O2490)=1,1,0))</f>
        <v>0</v>
      </c>
      <c r="Q2490" t="str">
        <f>IF(AND($P2490=1,$A2490=经营数据!$B$3,$J2490=经营数据!$BA$5),COUNTIFS($P$2:$P$3000,1,$A$2:$A$3000,$A2490,$J$2:$J$3000,$J2490,$N$2:$N$3000,"&lt;"&amp;$N2490)+1,"")</f>
        <v/>
      </c>
      <c r="R2490" t="str">
        <f t="shared" si="578"/>
        <v/>
      </c>
      <c r="S2490">
        <f>IF($A2490="",0,IF(COUNTIF($R$2:$R2490,$R2490)=1,1,0))</f>
        <v>0</v>
      </c>
      <c r="T2490" t="str">
        <f t="shared" si="579"/>
        <v/>
      </c>
      <c r="U2490" t="str">
        <f>IF($A2490="","",IF($A2490=经营数据!$B$3,COUNTIFS($S$2:$S$3000,1,$A$2:$A$3000,$A2490,$T$2:$T$3000,"&lt;"&amp;$T2490)+1,""))</f>
        <v/>
      </c>
      <c r="V2490" t="str">
        <f t="shared" si="580"/>
        <v/>
      </c>
      <c r="W2490" t="str">
        <f t="shared" si="581"/>
        <v/>
      </c>
      <c r="X2490" t="str">
        <f t="shared" si="582"/>
        <v/>
      </c>
      <c r="Y2490" t="str">
        <f t="shared" si="583"/>
        <v/>
      </c>
      <c r="Z2490">
        <f>IF($A2490="",0,IF(AND($M2490=1,$A2490=经营数据!$B$3,$J2490=经营数据!$BA$5,OR($I2490=经营数据!$BA$4,COUNTIF(经营数据!$AA$9:$AA$38,$I2490)&gt;0)),1,0))</f>
        <v>0</v>
      </c>
      <c r="AA2490" t="str">
        <f t="shared" si="584"/>
        <v/>
      </c>
      <c r="AB2490" t="str">
        <f t="shared" si="585"/>
        <v/>
      </c>
      <c r="AC2490">
        <f>IF($A2490="",0,IF(COUNTIF($A$2:$A2490,$A2490)=1,1,0))</f>
        <v>0</v>
      </c>
      <c r="AD2490">
        <f t="shared" si="586"/>
        <v>29</v>
      </c>
      <c r="AE2490" t="str">
        <f t="shared" si="587"/>
        <v/>
      </c>
    </row>
    <row r="2491" spans="1:31" x14ac:dyDescent="0.4">
      <c r="A2491" t="str">
        <f>IF(原始经营数据!$D2492="","",原始经营数据!$D2492)</f>
        <v/>
      </c>
      <c r="B2491" t="str">
        <f>IF(原始经营数据!$D2492="","",T(原始经营数据!$E2492))</f>
        <v/>
      </c>
      <c r="C2491" t="str">
        <f>IF(原始经营数据!$D2492="","",原始经营数据!$F2492)</f>
        <v/>
      </c>
      <c r="D2491" t="str">
        <f>IF(原始经营数据!$D2492="","",原始经营数据!$H2492)</f>
        <v/>
      </c>
      <c r="E2491" t="str">
        <f>IF(原始经营数据!$D2492="","",原始经营数据!$I2492)</f>
        <v/>
      </c>
      <c r="F2491" t="str">
        <f>IF(原始经营数据!$D2492="","",T(原始经营数据!$J2492))</f>
        <v/>
      </c>
      <c r="G2491" t="str">
        <f>IF(原始经营数据!$D2492="","",T(原始经营数据!$K2492))</f>
        <v/>
      </c>
      <c r="H2491" t="str">
        <f>IF(原始经营数据!$D2492="","",原始经营数据!$G2492)</f>
        <v/>
      </c>
      <c r="I2491" t="str">
        <f>IF($A2491="","",IF($B2491&lt;&gt;"",$B2491,IF(COUNTIFS(原始经营数据!$D$3:$D$3001,$A2491,原始经营数据!$E$3:$E$3001,"",原始经营数据!$F$3:$F$3001,$C2491,原始经营数据!$H$3:$H$3001,$D2491,原始经营数据!$K$3:$K$3001,$G2491)&gt;1,"基金整体·来源"&amp;原始经营数据!$A2492,"基金整体")))</f>
        <v/>
      </c>
      <c r="J2491" t="str">
        <f t="shared" si="573"/>
        <v/>
      </c>
      <c r="K2491" t="str">
        <f t="shared" si="574"/>
        <v/>
      </c>
      <c r="L2491" t="str">
        <f t="shared" si="575"/>
        <v/>
      </c>
      <c r="M2491">
        <f>IF($A2491="",0,IF(COUNTIF($L$2:$L2491,$L2491)=1,1,0))</f>
        <v>0</v>
      </c>
      <c r="N2491" t="str">
        <f t="shared" si="576"/>
        <v/>
      </c>
      <c r="O2491" t="str">
        <f t="shared" si="577"/>
        <v/>
      </c>
      <c r="P2491">
        <f>IF($A2491="",0,IF(COUNTIF($O$2:$O2491,$O2491)=1,1,0))</f>
        <v>0</v>
      </c>
      <c r="Q2491" t="str">
        <f>IF(AND($P2491=1,$A2491=经营数据!$B$3,$J2491=经营数据!$BA$5),COUNTIFS($P$2:$P$3000,1,$A$2:$A$3000,$A2491,$J$2:$J$3000,$J2491,$N$2:$N$3000,"&lt;"&amp;$N2491)+1,"")</f>
        <v/>
      </c>
      <c r="R2491" t="str">
        <f t="shared" si="578"/>
        <v/>
      </c>
      <c r="S2491">
        <f>IF($A2491="",0,IF(COUNTIF($R$2:$R2491,$R2491)=1,1,0))</f>
        <v>0</v>
      </c>
      <c r="T2491" t="str">
        <f t="shared" si="579"/>
        <v/>
      </c>
      <c r="U2491" t="str">
        <f>IF($A2491="","",IF($A2491=经营数据!$B$3,COUNTIFS($S$2:$S$3000,1,$A$2:$A$3000,$A2491,$T$2:$T$3000,"&lt;"&amp;$T2491)+1,""))</f>
        <v/>
      </c>
      <c r="V2491" t="str">
        <f t="shared" si="580"/>
        <v/>
      </c>
      <c r="W2491" t="str">
        <f t="shared" si="581"/>
        <v/>
      </c>
      <c r="X2491" t="str">
        <f t="shared" si="582"/>
        <v/>
      </c>
      <c r="Y2491" t="str">
        <f t="shared" si="583"/>
        <v/>
      </c>
      <c r="Z2491">
        <f>IF($A2491="",0,IF(AND($M2491=1,$A2491=经营数据!$B$3,$J2491=经营数据!$BA$5,OR($I2491=经营数据!$BA$4,COUNTIF(经营数据!$AA$9:$AA$38,$I2491)&gt;0)),1,0))</f>
        <v>0</v>
      </c>
      <c r="AA2491" t="str">
        <f t="shared" si="584"/>
        <v/>
      </c>
      <c r="AB2491" t="str">
        <f t="shared" si="585"/>
        <v/>
      </c>
      <c r="AC2491">
        <f>IF($A2491="",0,IF(COUNTIF($A$2:$A2491,$A2491)=1,1,0))</f>
        <v>0</v>
      </c>
      <c r="AD2491">
        <f t="shared" si="586"/>
        <v>29</v>
      </c>
      <c r="AE2491" t="str">
        <f t="shared" si="587"/>
        <v/>
      </c>
    </row>
    <row r="2492" spans="1:31" x14ac:dyDescent="0.4">
      <c r="A2492" t="str">
        <f>IF(原始经营数据!$D2493="","",原始经营数据!$D2493)</f>
        <v/>
      </c>
      <c r="B2492" t="str">
        <f>IF(原始经营数据!$D2493="","",T(原始经营数据!$E2493))</f>
        <v/>
      </c>
      <c r="C2492" t="str">
        <f>IF(原始经营数据!$D2493="","",原始经营数据!$F2493)</f>
        <v/>
      </c>
      <c r="D2492" t="str">
        <f>IF(原始经营数据!$D2493="","",原始经营数据!$H2493)</f>
        <v/>
      </c>
      <c r="E2492" t="str">
        <f>IF(原始经营数据!$D2493="","",原始经营数据!$I2493)</f>
        <v/>
      </c>
      <c r="F2492" t="str">
        <f>IF(原始经营数据!$D2493="","",T(原始经营数据!$J2493))</f>
        <v/>
      </c>
      <c r="G2492" t="str">
        <f>IF(原始经营数据!$D2493="","",T(原始经营数据!$K2493))</f>
        <v/>
      </c>
      <c r="H2492" t="str">
        <f>IF(原始经营数据!$D2493="","",原始经营数据!$G2493)</f>
        <v/>
      </c>
      <c r="I2492" t="str">
        <f>IF($A2492="","",IF($B2492&lt;&gt;"",$B2492,IF(COUNTIFS(原始经营数据!$D$3:$D$3001,$A2492,原始经营数据!$E$3:$E$3001,"",原始经营数据!$F$3:$F$3001,$C2492,原始经营数据!$H$3:$H$3001,$D2492,原始经营数据!$K$3:$K$3001,$G2492)&gt;1,"基金整体·来源"&amp;原始经营数据!$A2493,"基金整体")))</f>
        <v/>
      </c>
      <c r="J2492" t="str">
        <f t="shared" si="573"/>
        <v/>
      </c>
      <c r="K2492" t="str">
        <f t="shared" si="574"/>
        <v/>
      </c>
      <c r="L2492" t="str">
        <f t="shared" si="575"/>
        <v/>
      </c>
      <c r="M2492">
        <f>IF($A2492="",0,IF(COUNTIF($L$2:$L2492,$L2492)=1,1,0))</f>
        <v>0</v>
      </c>
      <c r="N2492" t="str">
        <f t="shared" si="576"/>
        <v/>
      </c>
      <c r="O2492" t="str">
        <f t="shared" si="577"/>
        <v/>
      </c>
      <c r="P2492">
        <f>IF($A2492="",0,IF(COUNTIF($O$2:$O2492,$O2492)=1,1,0))</f>
        <v>0</v>
      </c>
      <c r="Q2492" t="str">
        <f>IF(AND($P2492=1,$A2492=经营数据!$B$3,$J2492=经营数据!$BA$5),COUNTIFS($P$2:$P$3000,1,$A$2:$A$3000,$A2492,$J$2:$J$3000,$J2492,$N$2:$N$3000,"&lt;"&amp;$N2492)+1,"")</f>
        <v/>
      </c>
      <c r="R2492" t="str">
        <f t="shared" si="578"/>
        <v/>
      </c>
      <c r="S2492">
        <f>IF($A2492="",0,IF(COUNTIF($R$2:$R2492,$R2492)=1,1,0))</f>
        <v>0</v>
      </c>
      <c r="T2492" t="str">
        <f t="shared" si="579"/>
        <v/>
      </c>
      <c r="U2492" t="str">
        <f>IF($A2492="","",IF($A2492=经营数据!$B$3,COUNTIFS($S$2:$S$3000,1,$A$2:$A$3000,$A2492,$T$2:$T$3000,"&lt;"&amp;$T2492)+1,""))</f>
        <v/>
      </c>
      <c r="V2492" t="str">
        <f t="shared" si="580"/>
        <v/>
      </c>
      <c r="W2492" t="str">
        <f t="shared" si="581"/>
        <v/>
      </c>
      <c r="X2492" t="str">
        <f t="shared" si="582"/>
        <v/>
      </c>
      <c r="Y2492" t="str">
        <f t="shared" si="583"/>
        <v/>
      </c>
      <c r="Z2492">
        <f>IF($A2492="",0,IF(AND($M2492=1,$A2492=经营数据!$B$3,$J2492=经营数据!$BA$5,OR($I2492=经营数据!$BA$4,COUNTIF(经营数据!$AA$9:$AA$38,$I2492)&gt;0)),1,0))</f>
        <v>0</v>
      </c>
      <c r="AA2492" t="str">
        <f t="shared" si="584"/>
        <v/>
      </c>
      <c r="AB2492" t="str">
        <f t="shared" si="585"/>
        <v/>
      </c>
      <c r="AC2492">
        <f>IF($A2492="",0,IF(COUNTIF($A$2:$A2492,$A2492)=1,1,0))</f>
        <v>0</v>
      </c>
      <c r="AD2492">
        <f t="shared" si="586"/>
        <v>29</v>
      </c>
      <c r="AE2492" t="str">
        <f t="shared" si="587"/>
        <v/>
      </c>
    </row>
    <row r="2493" spans="1:31" x14ac:dyDescent="0.4">
      <c r="A2493" t="str">
        <f>IF(原始经营数据!$D2494="","",原始经营数据!$D2494)</f>
        <v/>
      </c>
      <c r="B2493" t="str">
        <f>IF(原始经营数据!$D2494="","",T(原始经营数据!$E2494))</f>
        <v/>
      </c>
      <c r="C2493" t="str">
        <f>IF(原始经营数据!$D2494="","",原始经营数据!$F2494)</f>
        <v/>
      </c>
      <c r="D2493" t="str">
        <f>IF(原始经营数据!$D2494="","",原始经营数据!$H2494)</f>
        <v/>
      </c>
      <c r="E2493" t="str">
        <f>IF(原始经营数据!$D2494="","",原始经营数据!$I2494)</f>
        <v/>
      </c>
      <c r="F2493" t="str">
        <f>IF(原始经营数据!$D2494="","",T(原始经营数据!$J2494))</f>
        <v/>
      </c>
      <c r="G2493" t="str">
        <f>IF(原始经营数据!$D2494="","",T(原始经营数据!$K2494))</f>
        <v/>
      </c>
      <c r="H2493" t="str">
        <f>IF(原始经营数据!$D2494="","",原始经营数据!$G2494)</f>
        <v/>
      </c>
      <c r="I2493" t="str">
        <f>IF($A2493="","",IF($B2493&lt;&gt;"",$B2493,IF(COUNTIFS(原始经营数据!$D$3:$D$3001,$A2493,原始经营数据!$E$3:$E$3001,"",原始经营数据!$F$3:$F$3001,$C2493,原始经营数据!$H$3:$H$3001,$D2493,原始经营数据!$K$3:$K$3001,$G2493)&gt;1,"基金整体·来源"&amp;原始经营数据!$A2494,"基金整体")))</f>
        <v/>
      </c>
      <c r="J2493" t="str">
        <f t="shared" si="573"/>
        <v/>
      </c>
      <c r="K2493" t="str">
        <f t="shared" si="574"/>
        <v/>
      </c>
      <c r="L2493" t="str">
        <f t="shared" si="575"/>
        <v/>
      </c>
      <c r="M2493">
        <f>IF($A2493="",0,IF(COUNTIF($L$2:$L2493,$L2493)=1,1,0))</f>
        <v>0</v>
      </c>
      <c r="N2493" t="str">
        <f t="shared" si="576"/>
        <v/>
      </c>
      <c r="O2493" t="str">
        <f t="shared" si="577"/>
        <v/>
      </c>
      <c r="P2493">
        <f>IF($A2493="",0,IF(COUNTIF($O$2:$O2493,$O2493)=1,1,0))</f>
        <v>0</v>
      </c>
      <c r="Q2493" t="str">
        <f>IF(AND($P2493=1,$A2493=经营数据!$B$3,$J2493=经营数据!$BA$5),COUNTIFS($P$2:$P$3000,1,$A$2:$A$3000,$A2493,$J$2:$J$3000,$J2493,$N$2:$N$3000,"&lt;"&amp;$N2493)+1,"")</f>
        <v/>
      </c>
      <c r="R2493" t="str">
        <f t="shared" si="578"/>
        <v/>
      </c>
      <c r="S2493">
        <f>IF($A2493="",0,IF(COUNTIF($R$2:$R2493,$R2493)=1,1,0))</f>
        <v>0</v>
      </c>
      <c r="T2493" t="str">
        <f t="shared" si="579"/>
        <v/>
      </c>
      <c r="U2493" t="str">
        <f>IF($A2493="","",IF($A2493=经营数据!$B$3,COUNTIFS($S$2:$S$3000,1,$A$2:$A$3000,$A2493,$T$2:$T$3000,"&lt;"&amp;$T2493)+1,""))</f>
        <v/>
      </c>
      <c r="V2493" t="str">
        <f t="shared" si="580"/>
        <v/>
      </c>
      <c r="W2493" t="str">
        <f t="shared" si="581"/>
        <v/>
      </c>
      <c r="X2493" t="str">
        <f t="shared" si="582"/>
        <v/>
      </c>
      <c r="Y2493" t="str">
        <f t="shared" si="583"/>
        <v/>
      </c>
      <c r="Z2493">
        <f>IF($A2493="",0,IF(AND($M2493=1,$A2493=经营数据!$B$3,$J2493=经营数据!$BA$5,OR($I2493=经营数据!$BA$4,COUNTIF(经营数据!$AA$9:$AA$38,$I2493)&gt;0)),1,0))</f>
        <v>0</v>
      </c>
      <c r="AA2493" t="str">
        <f t="shared" si="584"/>
        <v/>
      </c>
      <c r="AB2493" t="str">
        <f t="shared" si="585"/>
        <v/>
      </c>
      <c r="AC2493">
        <f>IF($A2493="",0,IF(COUNTIF($A$2:$A2493,$A2493)=1,1,0))</f>
        <v>0</v>
      </c>
      <c r="AD2493">
        <f t="shared" si="586"/>
        <v>29</v>
      </c>
      <c r="AE2493" t="str">
        <f t="shared" si="587"/>
        <v/>
      </c>
    </row>
    <row r="2494" spans="1:31" x14ac:dyDescent="0.4">
      <c r="A2494" t="str">
        <f>IF(原始经营数据!$D2495="","",原始经营数据!$D2495)</f>
        <v/>
      </c>
      <c r="B2494" t="str">
        <f>IF(原始经营数据!$D2495="","",T(原始经营数据!$E2495))</f>
        <v/>
      </c>
      <c r="C2494" t="str">
        <f>IF(原始经营数据!$D2495="","",原始经营数据!$F2495)</f>
        <v/>
      </c>
      <c r="D2494" t="str">
        <f>IF(原始经营数据!$D2495="","",原始经营数据!$H2495)</f>
        <v/>
      </c>
      <c r="E2494" t="str">
        <f>IF(原始经营数据!$D2495="","",原始经营数据!$I2495)</f>
        <v/>
      </c>
      <c r="F2494" t="str">
        <f>IF(原始经营数据!$D2495="","",T(原始经营数据!$J2495))</f>
        <v/>
      </c>
      <c r="G2494" t="str">
        <f>IF(原始经营数据!$D2495="","",T(原始经营数据!$K2495))</f>
        <v/>
      </c>
      <c r="H2494" t="str">
        <f>IF(原始经营数据!$D2495="","",原始经营数据!$G2495)</f>
        <v/>
      </c>
      <c r="I2494" t="str">
        <f>IF($A2494="","",IF($B2494&lt;&gt;"",$B2494,IF(COUNTIFS(原始经营数据!$D$3:$D$3001,$A2494,原始经营数据!$E$3:$E$3001,"",原始经营数据!$F$3:$F$3001,$C2494,原始经营数据!$H$3:$H$3001,$D2494,原始经营数据!$K$3:$K$3001,$G2494)&gt;1,"基金整体·来源"&amp;原始经营数据!$A2495,"基金整体")))</f>
        <v/>
      </c>
      <c r="J2494" t="str">
        <f t="shared" si="573"/>
        <v/>
      </c>
      <c r="K2494" t="str">
        <f t="shared" si="574"/>
        <v/>
      </c>
      <c r="L2494" t="str">
        <f t="shared" si="575"/>
        <v/>
      </c>
      <c r="M2494">
        <f>IF($A2494="",0,IF(COUNTIF($L$2:$L2494,$L2494)=1,1,0))</f>
        <v>0</v>
      </c>
      <c r="N2494" t="str">
        <f t="shared" si="576"/>
        <v/>
      </c>
      <c r="O2494" t="str">
        <f t="shared" si="577"/>
        <v/>
      </c>
      <c r="P2494">
        <f>IF($A2494="",0,IF(COUNTIF($O$2:$O2494,$O2494)=1,1,0))</f>
        <v>0</v>
      </c>
      <c r="Q2494" t="str">
        <f>IF(AND($P2494=1,$A2494=经营数据!$B$3,$J2494=经营数据!$BA$5),COUNTIFS($P$2:$P$3000,1,$A$2:$A$3000,$A2494,$J$2:$J$3000,$J2494,$N$2:$N$3000,"&lt;"&amp;$N2494)+1,"")</f>
        <v/>
      </c>
      <c r="R2494" t="str">
        <f t="shared" si="578"/>
        <v/>
      </c>
      <c r="S2494">
        <f>IF($A2494="",0,IF(COUNTIF($R$2:$R2494,$R2494)=1,1,0))</f>
        <v>0</v>
      </c>
      <c r="T2494" t="str">
        <f t="shared" si="579"/>
        <v/>
      </c>
      <c r="U2494" t="str">
        <f>IF($A2494="","",IF($A2494=经营数据!$B$3,COUNTIFS($S$2:$S$3000,1,$A$2:$A$3000,$A2494,$T$2:$T$3000,"&lt;"&amp;$T2494)+1,""))</f>
        <v/>
      </c>
      <c r="V2494" t="str">
        <f t="shared" si="580"/>
        <v/>
      </c>
      <c r="W2494" t="str">
        <f t="shared" si="581"/>
        <v/>
      </c>
      <c r="X2494" t="str">
        <f t="shared" si="582"/>
        <v/>
      </c>
      <c r="Y2494" t="str">
        <f t="shared" si="583"/>
        <v/>
      </c>
      <c r="Z2494">
        <f>IF($A2494="",0,IF(AND($M2494=1,$A2494=经营数据!$B$3,$J2494=经营数据!$BA$5,OR($I2494=经营数据!$BA$4,COUNTIF(经营数据!$AA$9:$AA$38,$I2494)&gt;0)),1,0))</f>
        <v>0</v>
      </c>
      <c r="AA2494" t="str">
        <f t="shared" si="584"/>
        <v/>
      </c>
      <c r="AB2494" t="str">
        <f t="shared" si="585"/>
        <v/>
      </c>
      <c r="AC2494">
        <f>IF($A2494="",0,IF(COUNTIF($A$2:$A2494,$A2494)=1,1,0))</f>
        <v>0</v>
      </c>
      <c r="AD2494">
        <f t="shared" si="586"/>
        <v>29</v>
      </c>
      <c r="AE2494" t="str">
        <f t="shared" si="587"/>
        <v/>
      </c>
    </row>
    <row r="2495" spans="1:31" x14ac:dyDescent="0.4">
      <c r="A2495" t="str">
        <f>IF(原始经营数据!$D2496="","",原始经营数据!$D2496)</f>
        <v/>
      </c>
      <c r="B2495" t="str">
        <f>IF(原始经营数据!$D2496="","",T(原始经营数据!$E2496))</f>
        <v/>
      </c>
      <c r="C2495" t="str">
        <f>IF(原始经营数据!$D2496="","",原始经营数据!$F2496)</f>
        <v/>
      </c>
      <c r="D2495" t="str">
        <f>IF(原始经营数据!$D2496="","",原始经营数据!$H2496)</f>
        <v/>
      </c>
      <c r="E2495" t="str">
        <f>IF(原始经营数据!$D2496="","",原始经营数据!$I2496)</f>
        <v/>
      </c>
      <c r="F2495" t="str">
        <f>IF(原始经营数据!$D2496="","",T(原始经营数据!$J2496))</f>
        <v/>
      </c>
      <c r="G2495" t="str">
        <f>IF(原始经营数据!$D2496="","",T(原始经营数据!$K2496))</f>
        <v/>
      </c>
      <c r="H2495" t="str">
        <f>IF(原始经营数据!$D2496="","",原始经营数据!$G2496)</f>
        <v/>
      </c>
      <c r="I2495" t="str">
        <f>IF($A2495="","",IF($B2495&lt;&gt;"",$B2495,IF(COUNTIFS(原始经营数据!$D$3:$D$3001,$A2495,原始经营数据!$E$3:$E$3001,"",原始经营数据!$F$3:$F$3001,$C2495,原始经营数据!$H$3:$H$3001,$D2495,原始经营数据!$K$3:$K$3001,$G2495)&gt;1,"基金整体·来源"&amp;原始经营数据!$A2496,"基金整体")))</f>
        <v/>
      </c>
      <c r="J2495" t="str">
        <f t="shared" si="573"/>
        <v/>
      </c>
      <c r="K2495" t="str">
        <f t="shared" si="574"/>
        <v/>
      </c>
      <c r="L2495" t="str">
        <f t="shared" si="575"/>
        <v/>
      </c>
      <c r="M2495">
        <f>IF($A2495="",0,IF(COUNTIF($L$2:$L2495,$L2495)=1,1,0))</f>
        <v>0</v>
      </c>
      <c r="N2495" t="str">
        <f t="shared" si="576"/>
        <v/>
      </c>
      <c r="O2495" t="str">
        <f t="shared" si="577"/>
        <v/>
      </c>
      <c r="P2495">
        <f>IF($A2495="",0,IF(COUNTIF($O$2:$O2495,$O2495)=1,1,0))</f>
        <v>0</v>
      </c>
      <c r="Q2495" t="str">
        <f>IF(AND($P2495=1,$A2495=经营数据!$B$3,$J2495=经营数据!$BA$5),COUNTIFS($P$2:$P$3000,1,$A$2:$A$3000,$A2495,$J$2:$J$3000,$J2495,$N$2:$N$3000,"&lt;"&amp;$N2495)+1,"")</f>
        <v/>
      </c>
      <c r="R2495" t="str">
        <f t="shared" si="578"/>
        <v/>
      </c>
      <c r="S2495">
        <f>IF($A2495="",0,IF(COUNTIF($R$2:$R2495,$R2495)=1,1,0))</f>
        <v>0</v>
      </c>
      <c r="T2495" t="str">
        <f t="shared" si="579"/>
        <v/>
      </c>
      <c r="U2495" t="str">
        <f>IF($A2495="","",IF($A2495=经营数据!$B$3,COUNTIFS($S$2:$S$3000,1,$A$2:$A$3000,$A2495,$T$2:$T$3000,"&lt;"&amp;$T2495)+1,""))</f>
        <v/>
      </c>
      <c r="V2495" t="str">
        <f t="shared" si="580"/>
        <v/>
      </c>
      <c r="W2495" t="str">
        <f t="shared" si="581"/>
        <v/>
      </c>
      <c r="X2495" t="str">
        <f t="shared" si="582"/>
        <v/>
      </c>
      <c r="Y2495" t="str">
        <f t="shared" si="583"/>
        <v/>
      </c>
      <c r="Z2495">
        <f>IF($A2495="",0,IF(AND($M2495=1,$A2495=经营数据!$B$3,$J2495=经营数据!$BA$5,OR($I2495=经营数据!$BA$4,COUNTIF(经营数据!$AA$9:$AA$38,$I2495)&gt;0)),1,0))</f>
        <v>0</v>
      </c>
      <c r="AA2495" t="str">
        <f t="shared" si="584"/>
        <v/>
      </c>
      <c r="AB2495" t="str">
        <f t="shared" si="585"/>
        <v/>
      </c>
      <c r="AC2495">
        <f>IF($A2495="",0,IF(COUNTIF($A$2:$A2495,$A2495)=1,1,0))</f>
        <v>0</v>
      </c>
      <c r="AD2495">
        <f t="shared" si="586"/>
        <v>29</v>
      </c>
      <c r="AE2495" t="str">
        <f t="shared" si="587"/>
        <v/>
      </c>
    </row>
    <row r="2496" spans="1:31" x14ac:dyDescent="0.4">
      <c r="A2496" t="str">
        <f>IF(原始经营数据!$D2497="","",原始经营数据!$D2497)</f>
        <v/>
      </c>
      <c r="B2496" t="str">
        <f>IF(原始经营数据!$D2497="","",T(原始经营数据!$E2497))</f>
        <v/>
      </c>
      <c r="C2496" t="str">
        <f>IF(原始经营数据!$D2497="","",原始经营数据!$F2497)</f>
        <v/>
      </c>
      <c r="D2496" t="str">
        <f>IF(原始经营数据!$D2497="","",原始经营数据!$H2497)</f>
        <v/>
      </c>
      <c r="E2496" t="str">
        <f>IF(原始经营数据!$D2497="","",原始经营数据!$I2497)</f>
        <v/>
      </c>
      <c r="F2496" t="str">
        <f>IF(原始经营数据!$D2497="","",T(原始经营数据!$J2497))</f>
        <v/>
      </c>
      <c r="G2496" t="str">
        <f>IF(原始经营数据!$D2497="","",T(原始经营数据!$K2497))</f>
        <v/>
      </c>
      <c r="H2496" t="str">
        <f>IF(原始经营数据!$D2497="","",原始经营数据!$G2497)</f>
        <v/>
      </c>
      <c r="I2496" t="str">
        <f>IF($A2496="","",IF($B2496&lt;&gt;"",$B2496,IF(COUNTIFS(原始经营数据!$D$3:$D$3001,$A2496,原始经营数据!$E$3:$E$3001,"",原始经营数据!$F$3:$F$3001,$C2496,原始经营数据!$H$3:$H$3001,$D2496,原始经营数据!$K$3:$K$3001,$G2496)&gt;1,"基金整体·来源"&amp;原始经营数据!$A2497,"基金整体")))</f>
        <v/>
      </c>
      <c r="J2496" t="str">
        <f t="shared" si="573"/>
        <v/>
      </c>
      <c r="K2496" t="str">
        <f t="shared" si="574"/>
        <v/>
      </c>
      <c r="L2496" t="str">
        <f t="shared" si="575"/>
        <v/>
      </c>
      <c r="M2496">
        <f>IF($A2496="",0,IF(COUNTIF($L$2:$L2496,$L2496)=1,1,0))</f>
        <v>0</v>
      </c>
      <c r="N2496" t="str">
        <f t="shared" si="576"/>
        <v/>
      </c>
      <c r="O2496" t="str">
        <f t="shared" si="577"/>
        <v/>
      </c>
      <c r="P2496">
        <f>IF($A2496="",0,IF(COUNTIF($O$2:$O2496,$O2496)=1,1,0))</f>
        <v>0</v>
      </c>
      <c r="Q2496" t="str">
        <f>IF(AND($P2496=1,$A2496=经营数据!$B$3,$J2496=经营数据!$BA$5),COUNTIFS($P$2:$P$3000,1,$A$2:$A$3000,$A2496,$J$2:$J$3000,$J2496,$N$2:$N$3000,"&lt;"&amp;$N2496)+1,"")</f>
        <v/>
      </c>
      <c r="R2496" t="str">
        <f t="shared" si="578"/>
        <v/>
      </c>
      <c r="S2496">
        <f>IF($A2496="",0,IF(COUNTIF($R$2:$R2496,$R2496)=1,1,0))</f>
        <v>0</v>
      </c>
      <c r="T2496" t="str">
        <f t="shared" si="579"/>
        <v/>
      </c>
      <c r="U2496" t="str">
        <f>IF($A2496="","",IF($A2496=经营数据!$B$3,COUNTIFS($S$2:$S$3000,1,$A$2:$A$3000,$A2496,$T$2:$T$3000,"&lt;"&amp;$T2496)+1,""))</f>
        <v/>
      </c>
      <c r="V2496" t="str">
        <f t="shared" si="580"/>
        <v/>
      </c>
      <c r="W2496" t="str">
        <f t="shared" si="581"/>
        <v/>
      </c>
      <c r="X2496" t="str">
        <f t="shared" si="582"/>
        <v/>
      </c>
      <c r="Y2496" t="str">
        <f t="shared" si="583"/>
        <v/>
      </c>
      <c r="Z2496">
        <f>IF($A2496="",0,IF(AND($M2496=1,$A2496=经营数据!$B$3,$J2496=经营数据!$BA$5,OR($I2496=经营数据!$BA$4,COUNTIF(经营数据!$AA$9:$AA$38,$I2496)&gt;0)),1,0))</f>
        <v>0</v>
      </c>
      <c r="AA2496" t="str">
        <f t="shared" si="584"/>
        <v/>
      </c>
      <c r="AB2496" t="str">
        <f t="shared" si="585"/>
        <v/>
      </c>
      <c r="AC2496">
        <f>IF($A2496="",0,IF(COUNTIF($A$2:$A2496,$A2496)=1,1,0))</f>
        <v>0</v>
      </c>
      <c r="AD2496">
        <f t="shared" si="586"/>
        <v>29</v>
      </c>
      <c r="AE2496" t="str">
        <f t="shared" si="587"/>
        <v/>
      </c>
    </row>
    <row r="2497" spans="1:31" x14ac:dyDescent="0.4">
      <c r="A2497" t="str">
        <f>IF(原始经营数据!$D2498="","",原始经营数据!$D2498)</f>
        <v/>
      </c>
      <c r="B2497" t="str">
        <f>IF(原始经营数据!$D2498="","",T(原始经营数据!$E2498))</f>
        <v/>
      </c>
      <c r="C2497" t="str">
        <f>IF(原始经营数据!$D2498="","",原始经营数据!$F2498)</f>
        <v/>
      </c>
      <c r="D2497" t="str">
        <f>IF(原始经营数据!$D2498="","",原始经营数据!$H2498)</f>
        <v/>
      </c>
      <c r="E2497" t="str">
        <f>IF(原始经营数据!$D2498="","",原始经营数据!$I2498)</f>
        <v/>
      </c>
      <c r="F2497" t="str">
        <f>IF(原始经营数据!$D2498="","",T(原始经营数据!$J2498))</f>
        <v/>
      </c>
      <c r="G2497" t="str">
        <f>IF(原始经营数据!$D2498="","",T(原始经营数据!$K2498))</f>
        <v/>
      </c>
      <c r="H2497" t="str">
        <f>IF(原始经营数据!$D2498="","",原始经营数据!$G2498)</f>
        <v/>
      </c>
      <c r="I2497" t="str">
        <f>IF($A2497="","",IF($B2497&lt;&gt;"",$B2497,IF(COUNTIFS(原始经营数据!$D$3:$D$3001,$A2497,原始经营数据!$E$3:$E$3001,"",原始经营数据!$F$3:$F$3001,$C2497,原始经营数据!$H$3:$H$3001,$D2497,原始经营数据!$K$3:$K$3001,$G2497)&gt;1,"基金整体·来源"&amp;原始经营数据!$A2498,"基金整体")))</f>
        <v/>
      </c>
      <c r="J2497" t="str">
        <f t="shared" si="573"/>
        <v/>
      </c>
      <c r="K2497" t="str">
        <f t="shared" si="574"/>
        <v/>
      </c>
      <c r="L2497" t="str">
        <f t="shared" si="575"/>
        <v/>
      </c>
      <c r="M2497">
        <f>IF($A2497="",0,IF(COUNTIF($L$2:$L2497,$L2497)=1,1,0))</f>
        <v>0</v>
      </c>
      <c r="N2497" t="str">
        <f t="shared" si="576"/>
        <v/>
      </c>
      <c r="O2497" t="str">
        <f t="shared" si="577"/>
        <v/>
      </c>
      <c r="P2497">
        <f>IF($A2497="",0,IF(COUNTIF($O$2:$O2497,$O2497)=1,1,0))</f>
        <v>0</v>
      </c>
      <c r="Q2497" t="str">
        <f>IF(AND($P2497=1,$A2497=经营数据!$B$3,$J2497=经营数据!$BA$5),COUNTIFS($P$2:$P$3000,1,$A$2:$A$3000,$A2497,$J$2:$J$3000,$J2497,$N$2:$N$3000,"&lt;"&amp;$N2497)+1,"")</f>
        <v/>
      </c>
      <c r="R2497" t="str">
        <f t="shared" si="578"/>
        <v/>
      </c>
      <c r="S2497">
        <f>IF($A2497="",0,IF(COUNTIF($R$2:$R2497,$R2497)=1,1,0))</f>
        <v>0</v>
      </c>
      <c r="T2497" t="str">
        <f t="shared" si="579"/>
        <v/>
      </c>
      <c r="U2497" t="str">
        <f>IF($A2497="","",IF($A2497=经营数据!$B$3,COUNTIFS($S$2:$S$3000,1,$A$2:$A$3000,$A2497,$T$2:$T$3000,"&lt;"&amp;$T2497)+1,""))</f>
        <v/>
      </c>
      <c r="V2497" t="str">
        <f t="shared" si="580"/>
        <v/>
      </c>
      <c r="W2497" t="str">
        <f t="shared" si="581"/>
        <v/>
      </c>
      <c r="X2497" t="str">
        <f t="shared" si="582"/>
        <v/>
      </c>
      <c r="Y2497" t="str">
        <f t="shared" si="583"/>
        <v/>
      </c>
      <c r="Z2497">
        <f>IF($A2497="",0,IF(AND($M2497=1,$A2497=经营数据!$B$3,$J2497=经营数据!$BA$5,OR($I2497=经营数据!$BA$4,COUNTIF(经营数据!$AA$9:$AA$38,$I2497)&gt;0)),1,0))</f>
        <v>0</v>
      </c>
      <c r="AA2497" t="str">
        <f t="shared" si="584"/>
        <v/>
      </c>
      <c r="AB2497" t="str">
        <f t="shared" si="585"/>
        <v/>
      </c>
      <c r="AC2497">
        <f>IF($A2497="",0,IF(COUNTIF($A$2:$A2497,$A2497)=1,1,0))</f>
        <v>0</v>
      </c>
      <c r="AD2497">
        <f t="shared" si="586"/>
        <v>29</v>
      </c>
      <c r="AE2497" t="str">
        <f t="shared" si="587"/>
        <v/>
      </c>
    </row>
    <row r="2498" spans="1:31" x14ac:dyDescent="0.4">
      <c r="A2498" t="str">
        <f>IF(原始经营数据!$D2499="","",原始经营数据!$D2499)</f>
        <v/>
      </c>
      <c r="B2498" t="str">
        <f>IF(原始经营数据!$D2499="","",T(原始经营数据!$E2499))</f>
        <v/>
      </c>
      <c r="C2498" t="str">
        <f>IF(原始经营数据!$D2499="","",原始经营数据!$F2499)</f>
        <v/>
      </c>
      <c r="D2498" t="str">
        <f>IF(原始经营数据!$D2499="","",原始经营数据!$H2499)</f>
        <v/>
      </c>
      <c r="E2498" t="str">
        <f>IF(原始经营数据!$D2499="","",原始经营数据!$I2499)</f>
        <v/>
      </c>
      <c r="F2498" t="str">
        <f>IF(原始经营数据!$D2499="","",T(原始经营数据!$J2499))</f>
        <v/>
      </c>
      <c r="G2498" t="str">
        <f>IF(原始经营数据!$D2499="","",T(原始经营数据!$K2499))</f>
        <v/>
      </c>
      <c r="H2498" t="str">
        <f>IF(原始经营数据!$D2499="","",原始经营数据!$G2499)</f>
        <v/>
      </c>
      <c r="I2498" t="str">
        <f>IF($A2498="","",IF($B2498&lt;&gt;"",$B2498,IF(COUNTIFS(原始经营数据!$D$3:$D$3001,$A2498,原始经营数据!$E$3:$E$3001,"",原始经营数据!$F$3:$F$3001,$C2498,原始经营数据!$H$3:$H$3001,$D2498,原始经营数据!$K$3:$K$3001,$G2498)&gt;1,"基金整体·来源"&amp;原始经营数据!$A2499,"基金整体")))</f>
        <v/>
      </c>
      <c r="J2498" t="str">
        <f t="shared" ref="J2498:J2561" si="588">IF($A2498="","",IF(LEN($C2498)=4,"年度",IF(AND(LEN($C2498)=6,ISNUMBER(SEARCH("Q",$C2498))),"季度","其他期间")))</f>
        <v/>
      </c>
      <c r="K2498" t="str">
        <f t="shared" ref="K2498:K2561" si="589">IF($A2498="","",$D2498&amp;IF($G2498="","","-"&amp;SUBSTITUTE($G2498,CHAR(10),""))&amp;IF($F2498="","","（"&amp;$F2498&amp;"）"))</f>
        <v/>
      </c>
      <c r="L2498" t="str">
        <f t="shared" ref="L2498:L2561" si="590">IF($A2498="","",$I2498&amp;"|"&amp;$K2498&amp;"|"&amp;$J2498)</f>
        <v/>
      </c>
      <c r="M2498">
        <f>IF($A2498="",0,IF(COUNTIF($L$2:$L2498,$L2498)=1,1,0))</f>
        <v>0</v>
      </c>
      <c r="N2498" t="str">
        <f t="shared" ref="N2498:N2561" si="591">IF($A2498="","",IF($J2498="年度",VALUE($C2498)*10,IF($J2498="季度",VALUE(LEFT($C2498,4))*10+VALUE(RIGHT($C2498,1)),VALUE(LEFT($C2498,4))*10+9)))</f>
        <v/>
      </c>
      <c r="O2498" t="str">
        <f t="shared" ref="O2498:O2561" si="592">IF($A2498="","",$A2498&amp;"|"&amp;$C2498&amp;"|"&amp;$J2498)</f>
        <v/>
      </c>
      <c r="P2498">
        <f>IF($A2498="",0,IF(COUNTIF($O$2:$O2498,$O2498)=1,1,0))</f>
        <v>0</v>
      </c>
      <c r="Q2498" t="str">
        <f>IF(AND($P2498=1,$A2498=经营数据!$B$3,$J2498=经营数据!$BA$5),COUNTIFS($P$2:$P$3000,1,$A$2:$A$3000,$A2498,$J$2:$J$3000,$J2498,$N$2:$N$3000,"&lt;"&amp;$N2498)+1,"")</f>
        <v/>
      </c>
      <c r="R2498" t="str">
        <f t="shared" ref="R2498:R2561" si="593">IF($A2498="","",$A2498&amp;"|"&amp;$I2498)</f>
        <v/>
      </c>
      <c r="S2498">
        <f>IF($A2498="",0,IF(COUNTIF($R$2:$R2498,$R2498)=1,1,0))</f>
        <v>0</v>
      </c>
      <c r="T2498" t="str">
        <f t="shared" ref="T2498:T2561" si="594">IF($A2498="","",MATCH($R2498,$R$2:$R$3000,0))</f>
        <v/>
      </c>
      <c r="U2498" t="str">
        <f>IF($A2498="","",IF($A2498=经营数据!$B$3,COUNTIFS($S$2:$S$3000,1,$A$2:$A$3000,$A2498,$T$2:$T$3000,"&lt;"&amp;$T2498)+1,""))</f>
        <v/>
      </c>
      <c r="V2498" t="str">
        <f t="shared" ref="V2498:V2561" si="595">IF($A2498="","",$I2498&amp;"|"&amp;$H2498)</f>
        <v/>
      </c>
      <c r="W2498" t="str">
        <f t="shared" ref="W2498:W2561" si="596">IF($A2498="","",MATCH($V2498,$V$2:$V$3000,0))</f>
        <v/>
      </c>
      <c r="X2498" t="str">
        <f t="shared" ref="X2498:X2561" si="597">IF($A2498="","",$I2498&amp;"|"&amp;$D2498)</f>
        <v/>
      </c>
      <c r="Y2498" t="str">
        <f t="shared" ref="Y2498:Y2561" si="598">IF($A2498="","",MATCH($X2498,$X$2:$X$3000,0))</f>
        <v/>
      </c>
      <c r="Z2498">
        <f>IF($A2498="",0,IF(AND($M2498=1,$A2498=经营数据!$B$3,$J2498=经营数据!$BA$5,OR($I2498=经营数据!$BA$4,COUNTIF(经营数据!$AA$9:$AA$38,$I2498)&gt;0)),1,0))</f>
        <v>0</v>
      </c>
      <c r="AA2498" t="str">
        <f t="shared" ref="AA2498:AA2561" si="599">IF($Z2498=1,$U2498*1000000000000+$W2498*100000000+$Y2498*10000+ROW(),"")</f>
        <v/>
      </c>
      <c r="AB2498" t="str">
        <f t="shared" ref="AB2498:AB2561" si="600">IF($Z2498=1,COUNTIFS($Z$2:$Z$3000,1,$AA$2:$AA$3000,"&lt;"&amp;$AA2498)+1,"")</f>
        <v/>
      </c>
      <c r="AC2498">
        <f>IF($A2498="",0,IF(COUNTIF($A$2:$A2498,$A2498)=1,1,0))</f>
        <v>0</v>
      </c>
      <c r="AD2498">
        <f t="shared" ref="AD2498:AD2561" si="601">IF($A2498="",N(AD2497),IF($AC2498=1,N(AD2497)+1,N(AD2497)))</f>
        <v>29</v>
      </c>
      <c r="AE2498" t="str">
        <f t="shared" ref="AE2498:AE2561" si="602">IF($A2498="","",$I2498&amp;"|"&amp;$K2498)</f>
        <v/>
      </c>
    </row>
    <row r="2499" spans="1:31" x14ac:dyDescent="0.4">
      <c r="A2499" t="str">
        <f>IF(原始经营数据!$D2500="","",原始经营数据!$D2500)</f>
        <v/>
      </c>
      <c r="B2499" t="str">
        <f>IF(原始经营数据!$D2500="","",T(原始经营数据!$E2500))</f>
        <v/>
      </c>
      <c r="C2499" t="str">
        <f>IF(原始经营数据!$D2500="","",原始经营数据!$F2500)</f>
        <v/>
      </c>
      <c r="D2499" t="str">
        <f>IF(原始经营数据!$D2500="","",原始经营数据!$H2500)</f>
        <v/>
      </c>
      <c r="E2499" t="str">
        <f>IF(原始经营数据!$D2500="","",原始经营数据!$I2500)</f>
        <v/>
      </c>
      <c r="F2499" t="str">
        <f>IF(原始经营数据!$D2500="","",T(原始经营数据!$J2500))</f>
        <v/>
      </c>
      <c r="G2499" t="str">
        <f>IF(原始经营数据!$D2500="","",T(原始经营数据!$K2500))</f>
        <v/>
      </c>
      <c r="H2499" t="str">
        <f>IF(原始经营数据!$D2500="","",原始经营数据!$G2500)</f>
        <v/>
      </c>
      <c r="I2499" t="str">
        <f>IF($A2499="","",IF($B2499&lt;&gt;"",$B2499,IF(COUNTIFS(原始经营数据!$D$3:$D$3001,$A2499,原始经营数据!$E$3:$E$3001,"",原始经营数据!$F$3:$F$3001,$C2499,原始经营数据!$H$3:$H$3001,$D2499,原始经营数据!$K$3:$K$3001,$G2499)&gt;1,"基金整体·来源"&amp;原始经营数据!$A2500,"基金整体")))</f>
        <v/>
      </c>
      <c r="J2499" t="str">
        <f t="shared" si="588"/>
        <v/>
      </c>
      <c r="K2499" t="str">
        <f t="shared" si="589"/>
        <v/>
      </c>
      <c r="L2499" t="str">
        <f t="shared" si="590"/>
        <v/>
      </c>
      <c r="M2499">
        <f>IF($A2499="",0,IF(COUNTIF($L$2:$L2499,$L2499)=1,1,0))</f>
        <v>0</v>
      </c>
      <c r="N2499" t="str">
        <f t="shared" si="591"/>
        <v/>
      </c>
      <c r="O2499" t="str">
        <f t="shared" si="592"/>
        <v/>
      </c>
      <c r="P2499">
        <f>IF($A2499="",0,IF(COUNTIF($O$2:$O2499,$O2499)=1,1,0))</f>
        <v>0</v>
      </c>
      <c r="Q2499" t="str">
        <f>IF(AND($P2499=1,$A2499=经营数据!$B$3,$J2499=经营数据!$BA$5),COUNTIFS($P$2:$P$3000,1,$A$2:$A$3000,$A2499,$J$2:$J$3000,$J2499,$N$2:$N$3000,"&lt;"&amp;$N2499)+1,"")</f>
        <v/>
      </c>
      <c r="R2499" t="str">
        <f t="shared" si="593"/>
        <v/>
      </c>
      <c r="S2499">
        <f>IF($A2499="",0,IF(COUNTIF($R$2:$R2499,$R2499)=1,1,0))</f>
        <v>0</v>
      </c>
      <c r="T2499" t="str">
        <f t="shared" si="594"/>
        <v/>
      </c>
      <c r="U2499" t="str">
        <f>IF($A2499="","",IF($A2499=经营数据!$B$3,COUNTIFS($S$2:$S$3000,1,$A$2:$A$3000,$A2499,$T$2:$T$3000,"&lt;"&amp;$T2499)+1,""))</f>
        <v/>
      </c>
      <c r="V2499" t="str">
        <f t="shared" si="595"/>
        <v/>
      </c>
      <c r="W2499" t="str">
        <f t="shared" si="596"/>
        <v/>
      </c>
      <c r="X2499" t="str">
        <f t="shared" si="597"/>
        <v/>
      </c>
      <c r="Y2499" t="str">
        <f t="shared" si="598"/>
        <v/>
      </c>
      <c r="Z2499">
        <f>IF($A2499="",0,IF(AND($M2499=1,$A2499=经营数据!$B$3,$J2499=经营数据!$BA$5,OR($I2499=经营数据!$BA$4,COUNTIF(经营数据!$AA$9:$AA$38,$I2499)&gt;0)),1,0))</f>
        <v>0</v>
      </c>
      <c r="AA2499" t="str">
        <f t="shared" si="599"/>
        <v/>
      </c>
      <c r="AB2499" t="str">
        <f t="shared" si="600"/>
        <v/>
      </c>
      <c r="AC2499">
        <f>IF($A2499="",0,IF(COUNTIF($A$2:$A2499,$A2499)=1,1,0))</f>
        <v>0</v>
      </c>
      <c r="AD2499">
        <f t="shared" si="601"/>
        <v>29</v>
      </c>
      <c r="AE2499" t="str">
        <f t="shared" si="602"/>
        <v/>
      </c>
    </row>
    <row r="2500" spans="1:31" x14ac:dyDescent="0.4">
      <c r="A2500" t="str">
        <f>IF(原始经营数据!$D2501="","",原始经营数据!$D2501)</f>
        <v/>
      </c>
      <c r="B2500" t="str">
        <f>IF(原始经营数据!$D2501="","",T(原始经营数据!$E2501))</f>
        <v/>
      </c>
      <c r="C2500" t="str">
        <f>IF(原始经营数据!$D2501="","",原始经营数据!$F2501)</f>
        <v/>
      </c>
      <c r="D2500" t="str">
        <f>IF(原始经营数据!$D2501="","",原始经营数据!$H2501)</f>
        <v/>
      </c>
      <c r="E2500" t="str">
        <f>IF(原始经营数据!$D2501="","",原始经营数据!$I2501)</f>
        <v/>
      </c>
      <c r="F2500" t="str">
        <f>IF(原始经营数据!$D2501="","",T(原始经营数据!$J2501))</f>
        <v/>
      </c>
      <c r="G2500" t="str">
        <f>IF(原始经营数据!$D2501="","",T(原始经营数据!$K2501))</f>
        <v/>
      </c>
      <c r="H2500" t="str">
        <f>IF(原始经营数据!$D2501="","",原始经营数据!$G2501)</f>
        <v/>
      </c>
      <c r="I2500" t="str">
        <f>IF($A2500="","",IF($B2500&lt;&gt;"",$B2500,IF(COUNTIFS(原始经营数据!$D$3:$D$3001,$A2500,原始经营数据!$E$3:$E$3001,"",原始经营数据!$F$3:$F$3001,$C2500,原始经营数据!$H$3:$H$3001,$D2500,原始经营数据!$K$3:$K$3001,$G2500)&gt;1,"基金整体·来源"&amp;原始经营数据!$A2501,"基金整体")))</f>
        <v/>
      </c>
      <c r="J2500" t="str">
        <f t="shared" si="588"/>
        <v/>
      </c>
      <c r="K2500" t="str">
        <f t="shared" si="589"/>
        <v/>
      </c>
      <c r="L2500" t="str">
        <f t="shared" si="590"/>
        <v/>
      </c>
      <c r="M2500">
        <f>IF($A2500="",0,IF(COUNTIF($L$2:$L2500,$L2500)=1,1,0))</f>
        <v>0</v>
      </c>
      <c r="N2500" t="str">
        <f t="shared" si="591"/>
        <v/>
      </c>
      <c r="O2500" t="str">
        <f t="shared" si="592"/>
        <v/>
      </c>
      <c r="P2500">
        <f>IF($A2500="",0,IF(COUNTIF($O$2:$O2500,$O2500)=1,1,0))</f>
        <v>0</v>
      </c>
      <c r="Q2500" t="str">
        <f>IF(AND($P2500=1,$A2500=经营数据!$B$3,$J2500=经营数据!$BA$5),COUNTIFS($P$2:$P$3000,1,$A$2:$A$3000,$A2500,$J$2:$J$3000,$J2500,$N$2:$N$3000,"&lt;"&amp;$N2500)+1,"")</f>
        <v/>
      </c>
      <c r="R2500" t="str">
        <f t="shared" si="593"/>
        <v/>
      </c>
      <c r="S2500">
        <f>IF($A2500="",0,IF(COUNTIF($R$2:$R2500,$R2500)=1,1,0))</f>
        <v>0</v>
      </c>
      <c r="T2500" t="str">
        <f t="shared" si="594"/>
        <v/>
      </c>
      <c r="U2500" t="str">
        <f>IF($A2500="","",IF($A2500=经营数据!$B$3,COUNTIFS($S$2:$S$3000,1,$A$2:$A$3000,$A2500,$T$2:$T$3000,"&lt;"&amp;$T2500)+1,""))</f>
        <v/>
      </c>
      <c r="V2500" t="str">
        <f t="shared" si="595"/>
        <v/>
      </c>
      <c r="W2500" t="str">
        <f t="shared" si="596"/>
        <v/>
      </c>
      <c r="X2500" t="str">
        <f t="shared" si="597"/>
        <v/>
      </c>
      <c r="Y2500" t="str">
        <f t="shared" si="598"/>
        <v/>
      </c>
      <c r="Z2500">
        <f>IF($A2500="",0,IF(AND($M2500=1,$A2500=经营数据!$B$3,$J2500=经营数据!$BA$5,OR($I2500=经营数据!$BA$4,COUNTIF(经营数据!$AA$9:$AA$38,$I2500)&gt;0)),1,0))</f>
        <v>0</v>
      </c>
      <c r="AA2500" t="str">
        <f t="shared" si="599"/>
        <v/>
      </c>
      <c r="AB2500" t="str">
        <f t="shared" si="600"/>
        <v/>
      </c>
      <c r="AC2500">
        <f>IF($A2500="",0,IF(COUNTIF($A$2:$A2500,$A2500)=1,1,0))</f>
        <v>0</v>
      </c>
      <c r="AD2500">
        <f t="shared" si="601"/>
        <v>29</v>
      </c>
      <c r="AE2500" t="str">
        <f t="shared" si="602"/>
        <v/>
      </c>
    </row>
    <row r="2501" spans="1:31" x14ac:dyDescent="0.4">
      <c r="A2501" t="str">
        <f>IF(原始经营数据!$D2502="","",原始经营数据!$D2502)</f>
        <v/>
      </c>
      <c r="B2501" t="str">
        <f>IF(原始经营数据!$D2502="","",T(原始经营数据!$E2502))</f>
        <v/>
      </c>
      <c r="C2501" t="str">
        <f>IF(原始经营数据!$D2502="","",原始经营数据!$F2502)</f>
        <v/>
      </c>
      <c r="D2501" t="str">
        <f>IF(原始经营数据!$D2502="","",原始经营数据!$H2502)</f>
        <v/>
      </c>
      <c r="E2501" t="str">
        <f>IF(原始经营数据!$D2502="","",原始经营数据!$I2502)</f>
        <v/>
      </c>
      <c r="F2501" t="str">
        <f>IF(原始经营数据!$D2502="","",T(原始经营数据!$J2502))</f>
        <v/>
      </c>
      <c r="G2501" t="str">
        <f>IF(原始经营数据!$D2502="","",T(原始经营数据!$K2502))</f>
        <v/>
      </c>
      <c r="H2501" t="str">
        <f>IF(原始经营数据!$D2502="","",原始经营数据!$G2502)</f>
        <v/>
      </c>
      <c r="I2501" t="str">
        <f>IF($A2501="","",IF($B2501&lt;&gt;"",$B2501,IF(COUNTIFS(原始经营数据!$D$3:$D$3001,$A2501,原始经营数据!$E$3:$E$3001,"",原始经营数据!$F$3:$F$3001,$C2501,原始经营数据!$H$3:$H$3001,$D2501,原始经营数据!$K$3:$K$3001,$G2501)&gt;1,"基金整体·来源"&amp;原始经营数据!$A2502,"基金整体")))</f>
        <v/>
      </c>
      <c r="J2501" t="str">
        <f t="shared" si="588"/>
        <v/>
      </c>
      <c r="K2501" t="str">
        <f t="shared" si="589"/>
        <v/>
      </c>
      <c r="L2501" t="str">
        <f t="shared" si="590"/>
        <v/>
      </c>
      <c r="M2501">
        <f>IF($A2501="",0,IF(COUNTIF($L$2:$L2501,$L2501)=1,1,0))</f>
        <v>0</v>
      </c>
      <c r="N2501" t="str">
        <f t="shared" si="591"/>
        <v/>
      </c>
      <c r="O2501" t="str">
        <f t="shared" si="592"/>
        <v/>
      </c>
      <c r="P2501">
        <f>IF($A2501="",0,IF(COUNTIF($O$2:$O2501,$O2501)=1,1,0))</f>
        <v>0</v>
      </c>
      <c r="Q2501" t="str">
        <f>IF(AND($P2501=1,$A2501=经营数据!$B$3,$J2501=经营数据!$BA$5),COUNTIFS($P$2:$P$3000,1,$A$2:$A$3000,$A2501,$J$2:$J$3000,$J2501,$N$2:$N$3000,"&lt;"&amp;$N2501)+1,"")</f>
        <v/>
      </c>
      <c r="R2501" t="str">
        <f t="shared" si="593"/>
        <v/>
      </c>
      <c r="S2501">
        <f>IF($A2501="",0,IF(COUNTIF($R$2:$R2501,$R2501)=1,1,0))</f>
        <v>0</v>
      </c>
      <c r="T2501" t="str">
        <f t="shared" si="594"/>
        <v/>
      </c>
      <c r="U2501" t="str">
        <f>IF($A2501="","",IF($A2501=经营数据!$B$3,COUNTIFS($S$2:$S$3000,1,$A$2:$A$3000,$A2501,$T$2:$T$3000,"&lt;"&amp;$T2501)+1,""))</f>
        <v/>
      </c>
      <c r="V2501" t="str">
        <f t="shared" si="595"/>
        <v/>
      </c>
      <c r="W2501" t="str">
        <f t="shared" si="596"/>
        <v/>
      </c>
      <c r="X2501" t="str">
        <f t="shared" si="597"/>
        <v/>
      </c>
      <c r="Y2501" t="str">
        <f t="shared" si="598"/>
        <v/>
      </c>
      <c r="Z2501">
        <f>IF($A2501="",0,IF(AND($M2501=1,$A2501=经营数据!$B$3,$J2501=经营数据!$BA$5,OR($I2501=经营数据!$BA$4,COUNTIF(经营数据!$AA$9:$AA$38,$I2501)&gt;0)),1,0))</f>
        <v>0</v>
      </c>
      <c r="AA2501" t="str">
        <f t="shared" si="599"/>
        <v/>
      </c>
      <c r="AB2501" t="str">
        <f t="shared" si="600"/>
        <v/>
      </c>
      <c r="AC2501">
        <f>IF($A2501="",0,IF(COUNTIF($A$2:$A2501,$A2501)=1,1,0))</f>
        <v>0</v>
      </c>
      <c r="AD2501">
        <f t="shared" si="601"/>
        <v>29</v>
      </c>
      <c r="AE2501" t="str">
        <f t="shared" si="602"/>
        <v/>
      </c>
    </row>
    <row r="2502" spans="1:31" x14ac:dyDescent="0.4">
      <c r="A2502" t="str">
        <f>IF(原始经营数据!$D2503="","",原始经营数据!$D2503)</f>
        <v/>
      </c>
      <c r="B2502" t="str">
        <f>IF(原始经营数据!$D2503="","",T(原始经营数据!$E2503))</f>
        <v/>
      </c>
      <c r="C2502" t="str">
        <f>IF(原始经营数据!$D2503="","",原始经营数据!$F2503)</f>
        <v/>
      </c>
      <c r="D2502" t="str">
        <f>IF(原始经营数据!$D2503="","",原始经营数据!$H2503)</f>
        <v/>
      </c>
      <c r="E2502" t="str">
        <f>IF(原始经营数据!$D2503="","",原始经营数据!$I2503)</f>
        <v/>
      </c>
      <c r="F2502" t="str">
        <f>IF(原始经营数据!$D2503="","",T(原始经营数据!$J2503))</f>
        <v/>
      </c>
      <c r="G2502" t="str">
        <f>IF(原始经营数据!$D2503="","",T(原始经营数据!$K2503))</f>
        <v/>
      </c>
      <c r="H2502" t="str">
        <f>IF(原始经营数据!$D2503="","",原始经营数据!$G2503)</f>
        <v/>
      </c>
      <c r="I2502" t="str">
        <f>IF($A2502="","",IF($B2502&lt;&gt;"",$B2502,IF(COUNTIFS(原始经营数据!$D$3:$D$3001,$A2502,原始经营数据!$E$3:$E$3001,"",原始经营数据!$F$3:$F$3001,$C2502,原始经营数据!$H$3:$H$3001,$D2502,原始经营数据!$K$3:$K$3001,$G2502)&gt;1,"基金整体·来源"&amp;原始经营数据!$A2503,"基金整体")))</f>
        <v/>
      </c>
      <c r="J2502" t="str">
        <f t="shared" si="588"/>
        <v/>
      </c>
      <c r="K2502" t="str">
        <f t="shared" si="589"/>
        <v/>
      </c>
      <c r="L2502" t="str">
        <f t="shared" si="590"/>
        <v/>
      </c>
      <c r="M2502">
        <f>IF($A2502="",0,IF(COUNTIF($L$2:$L2502,$L2502)=1,1,0))</f>
        <v>0</v>
      </c>
      <c r="N2502" t="str">
        <f t="shared" si="591"/>
        <v/>
      </c>
      <c r="O2502" t="str">
        <f t="shared" si="592"/>
        <v/>
      </c>
      <c r="P2502">
        <f>IF($A2502="",0,IF(COUNTIF($O$2:$O2502,$O2502)=1,1,0))</f>
        <v>0</v>
      </c>
      <c r="Q2502" t="str">
        <f>IF(AND($P2502=1,$A2502=经营数据!$B$3,$J2502=经营数据!$BA$5),COUNTIFS($P$2:$P$3000,1,$A$2:$A$3000,$A2502,$J$2:$J$3000,$J2502,$N$2:$N$3000,"&lt;"&amp;$N2502)+1,"")</f>
        <v/>
      </c>
      <c r="R2502" t="str">
        <f t="shared" si="593"/>
        <v/>
      </c>
      <c r="S2502">
        <f>IF($A2502="",0,IF(COUNTIF($R$2:$R2502,$R2502)=1,1,0))</f>
        <v>0</v>
      </c>
      <c r="T2502" t="str">
        <f t="shared" si="594"/>
        <v/>
      </c>
      <c r="U2502" t="str">
        <f>IF($A2502="","",IF($A2502=经营数据!$B$3,COUNTIFS($S$2:$S$3000,1,$A$2:$A$3000,$A2502,$T$2:$T$3000,"&lt;"&amp;$T2502)+1,""))</f>
        <v/>
      </c>
      <c r="V2502" t="str">
        <f t="shared" si="595"/>
        <v/>
      </c>
      <c r="W2502" t="str">
        <f t="shared" si="596"/>
        <v/>
      </c>
      <c r="X2502" t="str">
        <f t="shared" si="597"/>
        <v/>
      </c>
      <c r="Y2502" t="str">
        <f t="shared" si="598"/>
        <v/>
      </c>
      <c r="Z2502">
        <f>IF($A2502="",0,IF(AND($M2502=1,$A2502=经营数据!$B$3,$J2502=经营数据!$BA$5,OR($I2502=经营数据!$BA$4,COUNTIF(经营数据!$AA$9:$AA$38,$I2502)&gt;0)),1,0))</f>
        <v>0</v>
      </c>
      <c r="AA2502" t="str">
        <f t="shared" si="599"/>
        <v/>
      </c>
      <c r="AB2502" t="str">
        <f t="shared" si="600"/>
        <v/>
      </c>
      <c r="AC2502">
        <f>IF($A2502="",0,IF(COUNTIF($A$2:$A2502,$A2502)=1,1,0))</f>
        <v>0</v>
      </c>
      <c r="AD2502">
        <f t="shared" si="601"/>
        <v>29</v>
      </c>
      <c r="AE2502" t="str">
        <f t="shared" si="602"/>
        <v/>
      </c>
    </row>
    <row r="2503" spans="1:31" x14ac:dyDescent="0.4">
      <c r="A2503" t="str">
        <f>IF(原始经营数据!$D2504="","",原始经营数据!$D2504)</f>
        <v/>
      </c>
      <c r="B2503" t="str">
        <f>IF(原始经营数据!$D2504="","",T(原始经营数据!$E2504))</f>
        <v/>
      </c>
      <c r="C2503" t="str">
        <f>IF(原始经营数据!$D2504="","",原始经营数据!$F2504)</f>
        <v/>
      </c>
      <c r="D2503" t="str">
        <f>IF(原始经营数据!$D2504="","",原始经营数据!$H2504)</f>
        <v/>
      </c>
      <c r="E2503" t="str">
        <f>IF(原始经营数据!$D2504="","",原始经营数据!$I2504)</f>
        <v/>
      </c>
      <c r="F2503" t="str">
        <f>IF(原始经营数据!$D2504="","",T(原始经营数据!$J2504))</f>
        <v/>
      </c>
      <c r="G2503" t="str">
        <f>IF(原始经营数据!$D2504="","",T(原始经营数据!$K2504))</f>
        <v/>
      </c>
      <c r="H2503" t="str">
        <f>IF(原始经营数据!$D2504="","",原始经营数据!$G2504)</f>
        <v/>
      </c>
      <c r="I2503" t="str">
        <f>IF($A2503="","",IF($B2503&lt;&gt;"",$B2503,IF(COUNTIFS(原始经营数据!$D$3:$D$3001,$A2503,原始经营数据!$E$3:$E$3001,"",原始经营数据!$F$3:$F$3001,$C2503,原始经营数据!$H$3:$H$3001,$D2503,原始经营数据!$K$3:$K$3001,$G2503)&gt;1,"基金整体·来源"&amp;原始经营数据!$A2504,"基金整体")))</f>
        <v/>
      </c>
      <c r="J2503" t="str">
        <f t="shared" si="588"/>
        <v/>
      </c>
      <c r="K2503" t="str">
        <f t="shared" si="589"/>
        <v/>
      </c>
      <c r="L2503" t="str">
        <f t="shared" si="590"/>
        <v/>
      </c>
      <c r="M2503">
        <f>IF($A2503="",0,IF(COUNTIF($L$2:$L2503,$L2503)=1,1,0))</f>
        <v>0</v>
      </c>
      <c r="N2503" t="str">
        <f t="shared" si="591"/>
        <v/>
      </c>
      <c r="O2503" t="str">
        <f t="shared" si="592"/>
        <v/>
      </c>
      <c r="P2503">
        <f>IF($A2503="",0,IF(COUNTIF($O$2:$O2503,$O2503)=1,1,0))</f>
        <v>0</v>
      </c>
      <c r="Q2503" t="str">
        <f>IF(AND($P2503=1,$A2503=经营数据!$B$3,$J2503=经营数据!$BA$5),COUNTIFS($P$2:$P$3000,1,$A$2:$A$3000,$A2503,$J$2:$J$3000,$J2503,$N$2:$N$3000,"&lt;"&amp;$N2503)+1,"")</f>
        <v/>
      </c>
      <c r="R2503" t="str">
        <f t="shared" si="593"/>
        <v/>
      </c>
      <c r="S2503">
        <f>IF($A2503="",0,IF(COUNTIF($R$2:$R2503,$R2503)=1,1,0))</f>
        <v>0</v>
      </c>
      <c r="T2503" t="str">
        <f t="shared" si="594"/>
        <v/>
      </c>
      <c r="U2503" t="str">
        <f>IF($A2503="","",IF($A2503=经营数据!$B$3,COUNTIFS($S$2:$S$3000,1,$A$2:$A$3000,$A2503,$T$2:$T$3000,"&lt;"&amp;$T2503)+1,""))</f>
        <v/>
      </c>
      <c r="V2503" t="str">
        <f t="shared" si="595"/>
        <v/>
      </c>
      <c r="W2503" t="str">
        <f t="shared" si="596"/>
        <v/>
      </c>
      <c r="X2503" t="str">
        <f t="shared" si="597"/>
        <v/>
      </c>
      <c r="Y2503" t="str">
        <f t="shared" si="598"/>
        <v/>
      </c>
      <c r="Z2503">
        <f>IF($A2503="",0,IF(AND($M2503=1,$A2503=经营数据!$B$3,$J2503=经营数据!$BA$5,OR($I2503=经营数据!$BA$4,COUNTIF(经营数据!$AA$9:$AA$38,$I2503)&gt;0)),1,0))</f>
        <v>0</v>
      </c>
      <c r="AA2503" t="str">
        <f t="shared" si="599"/>
        <v/>
      </c>
      <c r="AB2503" t="str">
        <f t="shared" si="600"/>
        <v/>
      </c>
      <c r="AC2503">
        <f>IF($A2503="",0,IF(COUNTIF($A$2:$A2503,$A2503)=1,1,0))</f>
        <v>0</v>
      </c>
      <c r="AD2503">
        <f t="shared" si="601"/>
        <v>29</v>
      </c>
      <c r="AE2503" t="str">
        <f t="shared" si="602"/>
        <v/>
      </c>
    </row>
    <row r="2504" spans="1:31" x14ac:dyDescent="0.4">
      <c r="A2504" t="str">
        <f>IF(原始经营数据!$D2505="","",原始经营数据!$D2505)</f>
        <v/>
      </c>
      <c r="B2504" t="str">
        <f>IF(原始经营数据!$D2505="","",T(原始经营数据!$E2505))</f>
        <v/>
      </c>
      <c r="C2504" t="str">
        <f>IF(原始经营数据!$D2505="","",原始经营数据!$F2505)</f>
        <v/>
      </c>
      <c r="D2504" t="str">
        <f>IF(原始经营数据!$D2505="","",原始经营数据!$H2505)</f>
        <v/>
      </c>
      <c r="E2504" t="str">
        <f>IF(原始经营数据!$D2505="","",原始经营数据!$I2505)</f>
        <v/>
      </c>
      <c r="F2504" t="str">
        <f>IF(原始经营数据!$D2505="","",T(原始经营数据!$J2505))</f>
        <v/>
      </c>
      <c r="G2504" t="str">
        <f>IF(原始经营数据!$D2505="","",T(原始经营数据!$K2505))</f>
        <v/>
      </c>
      <c r="H2504" t="str">
        <f>IF(原始经营数据!$D2505="","",原始经营数据!$G2505)</f>
        <v/>
      </c>
      <c r="I2504" t="str">
        <f>IF($A2504="","",IF($B2504&lt;&gt;"",$B2504,IF(COUNTIFS(原始经营数据!$D$3:$D$3001,$A2504,原始经营数据!$E$3:$E$3001,"",原始经营数据!$F$3:$F$3001,$C2504,原始经营数据!$H$3:$H$3001,$D2504,原始经营数据!$K$3:$K$3001,$G2504)&gt;1,"基金整体·来源"&amp;原始经营数据!$A2505,"基金整体")))</f>
        <v/>
      </c>
      <c r="J2504" t="str">
        <f t="shared" si="588"/>
        <v/>
      </c>
      <c r="K2504" t="str">
        <f t="shared" si="589"/>
        <v/>
      </c>
      <c r="L2504" t="str">
        <f t="shared" si="590"/>
        <v/>
      </c>
      <c r="M2504">
        <f>IF($A2504="",0,IF(COUNTIF($L$2:$L2504,$L2504)=1,1,0))</f>
        <v>0</v>
      </c>
      <c r="N2504" t="str">
        <f t="shared" si="591"/>
        <v/>
      </c>
      <c r="O2504" t="str">
        <f t="shared" si="592"/>
        <v/>
      </c>
      <c r="P2504">
        <f>IF($A2504="",0,IF(COUNTIF($O$2:$O2504,$O2504)=1,1,0))</f>
        <v>0</v>
      </c>
      <c r="Q2504" t="str">
        <f>IF(AND($P2504=1,$A2504=经营数据!$B$3,$J2504=经营数据!$BA$5),COUNTIFS($P$2:$P$3000,1,$A$2:$A$3000,$A2504,$J$2:$J$3000,$J2504,$N$2:$N$3000,"&lt;"&amp;$N2504)+1,"")</f>
        <v/>
      </c>
      <c r="R2504" t="str">
        <f t="shared" si="593"/>
        <v/>
      </c>
      <c r="S2504">
        <f>IF($A2504="",0,IF(COUNTIF($R$2:$R2504,$R2504)=1,1,0))</f>
        <v>0</v>
      </c>
      <c r="T2504" t="str">
        <f t="shared" si="594"/>
        <v/>
      </c>
      <c r="U2504" t="str">
        <f>IF($A2504="","",IF($A2504=经营数据!$B$3,COUNTIFS($S$2:$S$3000,1,$A$2:$A$3000,$A2504,$T$2:$T$3000,"&lt;"&amp;$T2504)+1,""))</f>
        <v/>
      </c>
      <c r="V2504" t="str">
        <f t="shared" si="595"/>
        <v/>
      </c>
      <c r="W2504" t="str">
        <f t="shared" si="596"/>
        <v/>
      </c>
      <c r="X2504" t="str">
        <f t="shared" si="597"/>
        <v/>
      </c>
      <c r="Y2504" t="str">
        <f t="shared" si="598"/>
        <v/>
      </c>
      <c r="Z2504">
        <f>IF($A2504="",0,IF(AND($M2504=1,$A2504=经营数据!$B$3,$J2504=经营数据!$BA$5,OR($I2504=经营数据!$BA$4,COUNTIF(经营数据!$AA$9:$AA$38,$I2504)&gt;0)),1,0))</f>
        <v>0</v>
      </c>
      <c r="AA2504" t="str">
        <f t="shared" si="599"/>
        <v/>
      </c>
      <c r="AB2504" t="str">
        <f t="shared" si="600"/>
        <v/>
      </c>
      <c r="AC2504">
        <f>IF($A2504="",0,IF(COUNTIF($A$2:$A2504,$A2504)=1,1,0))</f>
        <v>0</v>
      </c>
      <c r="AD2504">
        <f t="shared" si="601"/>
        <v>29</v>
      </c>
      <c r="AE2504" t="str">
        <f t="shared" si="602"/>
        <v/>
      </c>
    </row>
    <row r="2505" spans="1:31" x14ac:dyDescent="0.4">
      <c r="A2505" t="str">
        <f>IF(原始经营数据!$D2506="","",原始经营数据!$D2506)</f>
        <v/>
      </c>
      <c r="B2505" t="str">
        <f>IF(原始经营数据!$D2506="","",T(原始经营数据!$E2506))</f>
        <v/>
      </c>
      <c r="C2505" t="str">
        <f>IF(原始经营数据!$D2506="","",原始经营数据!$F2506)</f>
        <v/>
      </c>
      <c r="D2505" t="str">
        <f>IF(原始经营数据!$D2506="","",原始经营数据!$H2506)</f>
        <v/>
      </c>
      <c r="E2505" t="str">
        <f>IF(原始经营数据!$D2506="","",原始经营数据!$I2506)</f>
        <v/>
      </c>
      <c r="F2505" t="str">
        <f>IF(原始经营数据!$D2506="","",T(原始经营数据!$J2506))</f>
        <v/>
      </c>
      <c r="G2505" t="str">
        <f>IF(原始经营数据!$D2506="","",T(原始经营数据!$K2506))</f>
        <v/>
      </c>
      <c r="H2505" t="str">
        <f>IF(原始经营数据!$D2506="","",原始经营数据!$G2506)</f>
        <v/>
      </c>
      <c r="I2505" t="str">
        <f>IF($A2505="","",IF($B2505&lt;&gt;"",$B2505,IF(COUNTIFS(原始经营数据!$D$3:$D$3001,$A2505,原始经营数据!$E$3:$E$3001,"",原始经营数据!$F$3:$F$3001,$C2505,原始经营数据!$H$3:$H$3001,$D2505,原始经营数据!$K$3:$K$3001,$G2505)&gt;1,"基金整体·来源"&amp;原始经营数据!$A2506,"基金整体")))</f>
        <v/>
      </c>
      <c r="J2505" t="str">
        <f t="shared" si="588"/>
        <v/>
      </c>
      <c r="K2505" t="str">
        <f t="shared" si="589"/>
        <v/>
      </c>
      <c r="L2505" t="str">
        <f t="shared" si="590"/>
        <v/>
      </c>
      <c r="M2505">
        <f>IF($A2505="",0,IF(COUNTIF($L$2:$L2505,$L2505)=1,1,0))</f>
        <v>0</v>
      </c>
      <c r="N2505" t="str">
        <f t="shared" si="591"/>
        <v/>
      </c>
      <c r="O2505" t="str">
        <f t="shared" si="592"/>
        <v/>
      </c>
      <c r="P2505">
        <f>IF($A2505="",0,IF(COUNTIF($O$2:$O2505,$O2505)=1,1,0))</f>
        <v>0</v>
      </c>
      <c r="Q2505" t="str">
        <f>IF(AND($P2505=1,$A2505=经营数据!$B$3,$J2505=经营数据!$BA$5),COUNTIFS($P$2:$P$3000,1,$A$2:$A$3000,$A2505,$J$2:$J$3000,$J2505,$N$2:$N$3000,"&lt;"&amp;$N2505)+1,"")</f>
        <v/>
      </c>
      <c r="R2505" t="str">
        <f t="shared" si="593"/>
        <v/>
      </c>
      <c r="S2505">
        <f>IF($A2505="",0,IF(COUNTIF($R$2:$R2505,$R2505)=1,1,0))</f>
        <v>0</v>
      </c>
      <c r="T2505" t="str">
        <f t="shared" si="594"/>
        <v/>
      </c>
      <c r="U2505" t="str">
        <f>IF($A2505="","",IF($A2505=经营数据!$B$3,COUNTIFS($S$2:$S$3000,1,$A$2:$A$3000,$A2505,$T$2:$T$3000,"&lt;"&amp;$T2505)+1,""))</f>
        <v/>
      </c>
      <c r="V2505" t="str">
        <f t="shared" si="595"/>
        <v/>
      </c>
      <c r="W2505" t="str">
        <f t="shared" si="596"/>
        <v/>
      </c>
      <c r="X2505" t="str">
        <f t="shared" si="597"/>
        <v/>
      </c>
      <c r="Y2505" t="str">
        <f t="shared" si="598"/>
        <v/>
      </c>
      <c r="Z2505">
        <f>IF($A2505="",0,IF(AND($M2505=1,$A2505=经营数据!$B$3,$J2505=经营数据!$BA$5,OR($I2505=经营数据!$BA$4,COUNTIF(经营数据!$AA$9:$AA$38,$I2505)&gt;0)),1,0))</f>
        <v>0</v>
      </c>
      <c r="AA2505" t="str">
        <f t="shared" si="599"/>
        <v/>
      </c>
      <c r="AB2505" t="str">
        <f t="shared" si="600"/>
        <v/>
      </c>
      <c r="AC2505">
        <f>IF($A2505="",0,IF(COUNTIF($A$2:$A2505,$A2505)=1,1,0))</f>
        <v>0</v>
      </c>
      <c r="AD2505">
        <f t="shared" si="601"/>
        <v>29</v>
      </c>
      <c r="AE2505" t="str">
        <f t="shared" si="602"/>
        <v/>
      </c>
    </row>
    <row r="2506" spans="1:31" x14ac:dyDescent="0.4">
      <c r="A2506" t="str">
        <f>IF(原始经营数据!$D2507="","",原始经营数据!$D2507)</f>
        <v/>
      </c>
      <c r="B2506" t="str">
        <f>IF(原始经营数据!$D2507="","",T(原始经营数据!$E2507))</f>
        <v/>
      </c>
      <c r="C2506" t="str">
        <f>IF(原始经营数据!$D2507="","",原始经营数据!$F2507)</f>
        <v/>
      </c>
      <c r="D2506" t="str">
        <f>IF(原始经营数据!$D2507="","",原始经营数据!$H2507)</f>
        <v/>
      </c>
      <c r="E2506" t="str">
        <f>IF(原始经营数据!$D2507="","",原始经营数据!$I2507)</f>
        <v/>
      </c>
      <c r="F2506" t="str">
        <f>IF(原始经营数据!$D2507="","",T(原始经营数据!$J2507))</f>
        <v/>
      </c>
      <c r="G2506" t="str">
        <f>IF(原始经营数据!$D2507="","",T(原始经营数据!$K2507))</f>
        <v/>
      </c>
      <c r="H2506" t="str">
        <f>IF(原始经营数据!$D2507="","",原始经营数据!$G2507)</f>
        <v/>
      </c>
      <c r="I2506" t="str">
        <f>IF($A2506="","",IF($B2506&lt;&gt;"",$B2506,IF(COUNTIFS(原始经营数据!$D$3:$D$3001,$A2506,原始经营数据!$E$3:$E$3001,"",原始经营数据!$F$3:$F$3001,$C2506,原始经营数据!$H$3:$H$3001,$D2506,原始经营数据!$K$3:$K$3001,$G2506)&gt;1,"基金整体·来源"&amp;原始经营数据!$A2507,"基金整体")))</f>
        <v/>
      </c>
      <c r="J2506" t="str">
        <f t="shared" si="588"/>
        <v/>
      </c>
      <c r="K2506" t="str">
        <f t="shared" si="589"/>
        <v/>
      </c>
      <c r="L2506" t="str">
        <f t="shared" si="590"/>
        <v/>
      </c>
      <c r="M2506">
        <f>IF($A2506="",0,IF(COUNTIF($L$2:$L2506,$L2506)=1,1,0))</f>
        <v>0</v>
      </c>
      <c r="N2506" t="str">
        <f t="shared" si="591"/>
        <v/>
      </c>
      <c r="O2506" t="str">
        <f t="shared" si="592"/>
        <v/>
      </c>
      <c r="P2506">
        <f>IF($A2506="",0,IF(COUNTIF($O$2:$O2506,$O2506)=1,1,0))</f>
        <v>0</v>
      </c>
      <c r="Q2506" t="str">
        <f>IF(AND($P2506=1,$A2506=经营数据!$B$3,$J2506=经营数据!$BA$5),COUNTIFS($P$2:$P$3000,1,$A$2:$A$3000,$A2506,$J$2:$J$3000,$J2506,$N$2:$N$3000,"&lt;"&amp;$N2506)+1,"")</f>
        <v/>
      </c>
      <c r="R2506" t="str">
        <f t="shared" si="593"/>
        <v/>
      </c>
      <c r="S2506">
        <f>IF($A2506="",0,IF(COUNTIF($R$2:$R2506,$R2506)=1,1,0))</f>
        <v>0</v>
      </c>
      <c r="T2506" t="str">
        <f t="shared" si="594"/>
        <v/>
      </c>
      <c r="U2506" t="str">
        <f>IF($A2506="","",IF($A2506=经营数据!$B$3,COUNTIFS($S$2:$S$3000,1,$A$2:$A$3000,$A2506,$T$2:$T$3000,"&lt;"&amp;$T2506)+1,""))</f>
        <v/>
      </c>
      <c r="V2506" t="str">
        <f t="shared" si="595"/>
        <v/>
      </c>
      <c r="W2506" t="str">
        <f t="shared" si="596"/>
        <v/>
      </c>
      <c r="X2506" t="str">
        <f t="shared" si="597"/>
        <v/>
      </c>
      <c r="Y2506" t="str">
        <f t="shared" si="598"/>
        <v/>
      </c>
      <c r="Z2506">
        <f>IF($A2506="",0,IF(AND($M2506=1,$A2506=经营数据!$B$3,$J2506=经营数据!$BA$5,OR($I2506=经营数据!$BA$4,COUNTIF(经营数据!$AA$9:$AA$38,$I2506)&gt;0)),1,0))</f>
        <v>0</v>
      </c>
      <c r="AA2506" t="str">
        <f t="shared" si="599"/>
        <v/>
      </c>
      <c r="AB2506" t="str">
        <f t="shared" si="600"/>
        <v/>
      </c>
      <c r="AC2506">
        <f>IF($A2506="",0,IF(COUNTIF($A$2:$A2506,$A2506)=1,1,0))</f>
        <v>0</v>
      </c>
      <c r="AD2506">
        <f t="shared" si="601"/>
        <v>29</v>
      </c>
      <c r="AE2506" t="str">
        <f t="shared" si="602"/>
        <v/>
      </c>
    </row>
    <row r="2507" spans="1:31" x14ac:dyDescent="0.4">
      <c r="A2507" t="str">
        <f>IF(原始经营数据!$D2508="","",原始经营数据!$D2508)</f>
        <v/>
      </c>
      <c r="B2507" t="str">
        <f>IF(原始经营数据!$D2508="","",T(原始经营数据!$E2508))</f>
        <v/>
      </c>
      <c r="C2507" t="str">
        <f>IF(原始经营数据!$D2508="","",原始经营数据!$F2508)</f>
        <v/>
      </c>
      <c r="D2507" t="str">
        <f>IF(原始经营数据!$D2508="","",原始经营数据!$H2508)</f>
        <v/>
      </c>
      <c r="E2507" t="str">
        <f>IF(原始经营数据!$D2508="","",原始经营数据!$I2508)</f>
        <v/>
      </c>
      <c r="F2507" t="str">
        <f>IF(原始经营数据!$D2508="","",T(原始经营数据!$J2508))</f>
        <v/>
      </c>
      <c r="G2507" t="str">
        <f>IF(原始经营数据!$D2508="","",T(原始经营数据!$K2508))</f>
        <v/>
      </c>
      <c r="H2507" t="str">
        <f>IF(原始经营数据!$D2508="","",原始经营数据!$G2508)</f>
        <v/>
      </c>
      <c r="I2507" t="str">
        <f>IF($A2507="","",IF($B2507&lt;&gt;"",$B2507,IF(COUNTIFS(原始经营数据!$D$3:$D$3001,$A2507,原始经营数据!$E$3:$E$3001,"",原始经营数据!$F$3:$F$3001,$C2507,原始经营数据!$H$3:$H$3001,$D2507,原始经营数据!$K$3:$K$3001,$G2507)&gt;1,"基金整体·来源"&amp;原始经营数据!$A2508,"基金整体")))</f>
        <v/>
      </c>
      <c r="J2507" t="str">
        <f t="shared" si="588"/>
        <v/>
      </c>
      <c r="K2507" t="str">
        <f t="shared" si="589"/>
        <v/>
      </c>
      <c r="L2507" t="str">
        <f t="shared" si="590"/>
        <v/>
      </c>
      <c r="M2507">
        <f>IF($A2507="",0,IF(COUNTIF($L$2:$L2507,$L2507)=1,1,0))</f>
        <v>0</v>
      </c>
      <c r="N2507" t="str">
        <f t="shared" si="591"/>
        <v/>
      </c>
      <c r="O2507" t="str">
        <f t="shared" si="592"/>
        <v/>
      </c>
      <c r="P2507">
        <f>IF($A2507="",0,IF(COUNTIF($O$2:$O2507,$O2507)=1,1,0))</f>
        <v>0</v>
      </c>
      <c r="Q2507" t="str">
        <f>IF(AND($P2507=1,$A2507=经营数据!$B$3,$J2507=经营数据!$BA$5),COUNTIFS($P$2:$P$3000,1,$A$2:$A$3000,$A2507,$J$2:$J$3000,$J2507,$N$2:$N$3000,"&lt;"&amp;$N2507)+1,"")</f>
        <v/>
      </c>
      <c r="R2507" t="str">
        <f t="shared" si="593"/>
        <v/>
      </c>
      <c r="S2507">
        <f>IF($A2507="",0,IF(COUNTIF($R$2:$R2507,$R2507)=1,1,0))</f>
        <v>0</v>
      </c>
      <c r="T2507" t="str">
        <f t="shared" si="594"/>
        <v/>
      </c>
      <c r="U2507" t="str">
        <f>IF($A2507="","",IF($A2507=经营数据!$B$3,COUNTIFS($S$2:$S$3000,1,$A$2:$A$3000,$A2507,$T$2:$T$3000,"&lt;"&amp;$T2507)+1,""))</f>
        <v/>
      </c>
      <c r="V2507" t="str">
        <f t="shared" si="595"/>
        <v/>
      </c>
      <c r="W2507" t="str">
        <f t="shared" si="596"/>
        <v/>
      </c>
      <c r="X2507" t="str">
        <f t="shared" si="597"/>
        <v/>
      </c>
      <c r="Y2507" t="str">
        <f t="shared" si="598"/>
        <v/>
      </c>
      <c r="Z2507">
        <f>IF($A2507="",0,IF(AND($M2507=1,$A2507=经营数据!$B$3,$J2507=经营数据!$BA$5,OR($I2507=经营数据!$BA$4,COUNTIF(经营数据!$AA$9:$AA$38,$I2507)&gt;0)),1,0))</f>
        <v>0</v>
      </c>
      <c r="AA2507" t="str">
        <f t="shared" si="599"/>
        <v/>
      </c>
      <c r="AB2507" t="str">
        <f t="shared" si="600"/>
        <v/>
      </c>
      <c r="AC2507">
        <f>IF($A2507="",0,IF(COUNTIF($A$2:$A2507,$A2507)=1,1,0))</f>
        <v>0</v>
      </c>
      <c r="AD2507">
        <f t="shared" si="601"/>
        <v>29</v>
      </c>
      <c r="AE2507" t="str">
        <f t="shared" si="602"/>
        <v/>
      </c>
    </row>
    <row r="2508" spans="1:31" x14ac:dyDescent="0.4">
      <c r="A2508" t="str">
        <f>IF(原始经营数据!$D2509="","",原始经营数据!$D2509)</f>
        <v/>
      </c>
      <c r="B2508" t="str">
        <f>IF(原始经营数据!$D2509="","",T(原始经营数据!$E2509))</f>
        <v/>
      </c>
      <c r="C2508" t="str">
        <f>IF(原始经营数据!$D2509="","",原始经营数据!$F2509)</f>
        <v/>
      </c>
      <c r="D2508" t="str">
        <f>IF(原始经营数据!$D2509="","",原始经营数据!$H2509)</f>
        <v/>
      </c>
      <c r="E2508" t="str">
        <f>IF(原始经营数据!$D2509="","",原始经营数据!$I2509)</f>
        <v/>
      </c>
      <c r="F2508" t="str">
        <f>IF(原始经营数据!$D2509="","",T(原始经营数据!$J2509))</f>
        <v/>
      </c>
      <c r="G2508" t="str">
        <f>IF(原始经营数据!$D2509="","",T(原始经营数据!$K2509))</f>
        <v/>
      </c>
      <c r="H2508" t="str">
        <f>IF(原始经营数据!$D2509="","",原始经营数据!$G2509)</f>
        <v/>
      </c>
      <c r="I2508" t="str">
        <f>IF($A2508="","",IF($B2508&lt;&gt;"",$B2508,IF(COUNTIFS(原始经营数据!$D$3:$D$3001,$A2508,原始经营数据!$E$3:$E$3001,"",原始经营数据!$F$3:$F$3001,$C2508,原始经营数据!$H$3:$H$3001,$D2508,原始经营数据!$K$3:$K$3001,$G2508)&gt;1,"基金整体·来源"&amp;原始经营数据!$A2509,"基金整体")))</f>
        <v/>
      </c>
      <c r="J2508" t="str">
        <f t="shared" si="588"/>
        <v/>
      </c>
      <c r="K2508" t="str">
        <f t="shared" si="589"/>
        <v/>
      </c>
      <c r="L2508" t="str">
        <f t="shared" si="590"/>
        <v/>
      </c>
      <c r="M2508">
        <f>IF($A2508="",0,IF(COUNTIF($L$2:$L2508,$L2508)=1,1,0))</f>
        <v>0</v>
      </c>
      <c r="N2508" t="str">
        <f t="shared" si="591"/>
        <v/>
      </c>
      <c r="O2508" t="str">
        <f t="shared" si="592"/>
        <v/>
      </c>
      <c r="P2508">
        <f>IF($A2508="",0,IF(COUNTIF($O$2:$O2508,$O2508)=1,1,0))</f>
        <v>0</v>
      </c>
      <c r="Q2508" t="str">
        <f>IF(AND($P2508=1,$A2508=经营数据!$B$3,$J2508=经营数据!$BA$5),COUNTIFS($P$2:$P$3000,1,$A$2:$A$3000,$A2508,$J$2:$J$3000,$J2508,$N$2:$N$3000,"&lt;"&amp;$N2508)+1,"")</f>
        <v/>
      </c>
      <c r="R2508" t="str">
        <f t="shared" si="593"/>
        <v/>
      </c>
      <c r="S2508">
        <f>IF($A2508="",0,IF(COUNTIF($R$2:$R2508,$R2508)=1,1,0))</f>
        <v>0</v>
      </c>
      <c r="T2508" t="str">
        <f t="shared" si="594"/>
        <v/>
      </c>
      <c r="U2508" t="str">
        <f>IF($A2508="","",IF($A2508=经营数据!$B$3,COUNTIFS($S$2:$S$3000,1,$A$2:$A$3000,$A2508,$T$2:$T$3000,"&lt;"&amp;$T2508)+1,""))</f>
        <v/>
      </c>
      <c r="V2508" t="str">
        <f t="shared" si="595"/>
        <v/>
      </c>
      <c r="W2508" t="str">
        <f t="shared" si="596"/>
        <v/>
      </c>
      <c r="X2508" t="str">
        <f t="shared" si="597"/>
        <v/>
      </c>
      <c r="Y2508" t="str">
        <f t="shared" si="598"/>
        <v/>
      </c>
      <c r="Z2508">
        <f>IF($A2508="",0,IF(AND($M2508=1,$A2508=经营数据!$B$3,$J2508=经营数据!$BA$5,OR($I2508=经营数据!$BA$4,COUNTIF(经营数据!$AA$9:$AA$38,$I2508)&gt;0)),1,0))</f>
        <v>0</v>
      </c>
      <c r="AA2508" t="str">
        <f t="shared" si="599"/>
        <v/>
      </c>
      <c r="AB2508" t="str">
        <f t="shared" si="600"/>
        <v/>
      </c>
      <c r="AC2508">
        <f>IF($A2508="",0,IF(COUNTIF($A$2:$A2508,$A2508)=1,1,0))</f>
        <v>0</v>
      </c>
      <c r="AD2508">
        <f t="shared" si="601"/>
        <v>29</v>
      </c>
      <c r="AE2508" t="str">
        <f t="shared" si="602"/>
        <v/>
      </c>
    </row>
    <row r="2509" spans="1:31" x14ac:dyDescent="0.4">
      <c r="A2509" t="str">
        <f>IF(原始经营数据!$D2510="","",原始经营数据!$D2510)</f>
        <v/>
      </c>
      <c r="B2509" t="str">
        <f>IF(原始经营数据!$D2510="","",T(原始经营数据!$E2510))</f>
        <v/>
      </c>
      <c r="C2509" t="str">
        <f>IF(原始经营数据!$D2510="","",原始经营数据!$F2510)</f>
        <v/>
      </c>
      <c r="D2509" t="str">
        <f>IF(原始经营数据!$D2510="","",原始经营数据!$H2510)</f>
        <v/>
      </c>
      <c r="E2509" t="str">
        <f>IF(原始经营数据!$D2510="","",原始经营数据!$I2510)</f>
        <v/>
      </c>
      <c r="F2509" t="str">
        <f>IF(原始经营数据!$D2510="","",T(原始经营数据!$J2510))</f>
        <v/>
      </c>
      <c r="G2509" t="str">
        <f>IF(原始经营数据!$D2510="","",T(原始经营数据!$K2510))</f>
        <v/>
      </c>
      <c r="H2509" t="str">
        <f>IF(原始经营数据!$D2510="","",原始经营数据!$G2510)</f>
        <v/>
      </c>
      <c r="I2509" t="str">
        <f>IF($A2509="","",IF($B2509&lt;&gt;"",$B2509,IF(COUNTIFS(原始经营数据!$D$3:$D$3001,$A2509,原始经营数据!$E$3:$E$3001,"",原始经营数据!$F$3:$F$3001,$C2509,原始经营数据!$H$3:$H$3001,$D2509,原始经营数据!$K$3:$K$3001,$G2509)&gt;1,"基金整体·来源"&amp;原始经营数据!$A2510,"基金整体")))</f>
        <v/>
      </c>
      <c r="J2509" t="str">
        <f t="shared" si="588"/>
        <v/>
      </c>
      <c r="K2509" t="str">
        <f t="shared" si="589"/>
        <v/>
      </c>
      <c r="L2509" t="str">
        <f t="shared" si="590"/>
        <v/>
      </c>
      <c r="M2509">
        <f>IF($A2509="",0,IF(COUNTIF($L$2:$L2509,$L2509)=1,1,0))</f>
        <v>0</v>
      </c>
      <c r="N2509" t="str">
        <f t="shared" si="591"/>
        <v/>
      </c>
      <c r="O2509" t="str">
        <f t="shared" si="592"/>
        <v/>
      </c>
      <c r="P2509">
        <f>IF($A2509="",0,IF(COUNTIF($O$2:$O2509,$O2509)=1,1,0))</f>
        <v>0</v>
      </c>
      <c r="Q2509" t="str">
        <f>IF(AND($P2509=1,$A2509=经营数据!$B$3,$J2509=经营数据!$BA$5),COUNTIFS($P$2:$P$3000,1,$A$2:$A$3000,$A2509,$J$2:$J$3000,$J2509,$N$2:$N$3000,"&lt;"&amp;$N2509)+1,"")</f>
        <v/>
      </c>
      <c r="R2509" t="str">
        <f t="shared" si="593"/>
        <v/>
      </c>
      <c r="S2509">
        <f>IF($A2509="",0,IF(COUNTIF($R$2:$R2509,$R2509)=1,1,0))</f>
        <v>0</v>
      </c>
      <c r="T2509" t="str">
        <f t="shared" si="594"/>
        <v/>
      </c>
      <c r="U2509" t="str">
        <f>IF($A2509="","",IF($A2509=经营数据!$B$3,COUNTIFS($S$2:$S$3000,1,$A$2:$A$3000,$A2509,$T$2:$T$3000,"&lt;"&amp;$T2509)+1,""))</f>
        <v/>
      </c>
      <c r="V2509" t="str">
        <f t="shared" si="595"/>
        <v/>
      </c>
      <c r="W2509" t="str">
        <f t="shared" si="596"/>
        <v/>
      </c>
      <c r="X2509" t="str">
        <f t="shared" si="597"/>
        <v/>
      </c>
      <c r="Y2509" t="str">
        <f t="shared" si="598"/>
        <v/>
      </c>
      <c r="Z2509">
        <f>IF($A2509="",0,IF(AND($M2509=1,$A2509=经营数据!$B$3,$J2509=经营数据!$BA$5,OR($I2509=经营数据!$BA$4,COUNTIF(经营数据!$AA$9:$AA$38,$I2509)&gt;0)),1,0))</f>
        <v>0</v>
      </c>
      <c r="AA2509" t="str">
        <f t="shared" si="599"/>
        <v/>
      </c>
      <c r="AB2509" t="str">
        <f t="shared" si="600"/>
        <v/>
      </c>
      <c r="AC2509">
        <f>IF($A2509="",0,IF(COUNTIF($A$2:$A2509,$A2509)=1,1,0))</f>
        <v>0</v>
      </c>
      <c r="AD2509">
        <f t="shared" si="601"/>
        <v>29</v>
      </c>
      <c r="AE2509" t="str">
        <f t="shared" si="602"/>
        <v/>
      </c>
    </row>
    <row r="2510" spans="1:31" x14ac:dyDescent="0.4">
      <c r="A2510" t="str">
        <f>IF(原始经营数据!$D2511="","",原始经营数据!$D2511)</f>
        <v/>
      </c>
      <c r="B2510" t="str">
        <f>IF(原始经营数据!$D2511="","",T(原始经营数据!$E2511))</f>
        <v/>
      </c>
      <c r="C2510" t="str">
        <f>IF(原始经营数据!$D2511="","",原始经营数据!$F2511)</f>
        <v/>
      </c>
      <c r="D2510" t="str">
        <f>IF(原始经营数据!$D2511="","",原始经营数据!$H2511)</f>
        <v/>
      </c>
      <c r="E2510" t="str">
        <f>IF(原始经营数据!$D2511="","",原始经营数据!$I2511)</f>
        <v/>
      </c>
      <c r="F2510" t="str">
        <f>IF(原始经营数据!$D2511="","",T(原始经营数据!$J2511))</f>
        <v/>
      </c>
      <c r="G2510" t="str">
        <f>IF(原始经营数据!$D2511="","",T(原始经营数据!$K2511))</f>
        <v/>
      </c>
      <c r="H2510" t="str">
        <f>IF(原始经营数据!$D2511="","",原始经营数据!$G2511)</f>
        <v/>
      </c>
      <c r="I2510" t="str">
        <f>IF($A2510="","",IF($B2510&lt;&gt;"",$B2510,IF(COUNTIFS(原始经营数据!$D$3:$D$3001,$A2510,原始经营数据!$E$3:$E$3001,"",原始经营数据!$F$3:$F$3001,$C2510,原始经营数据!$H$3:$H$3001,$D2510,原始经营数据!$K$3:$K$3001,$G2510)&gt;1,"基金整体·来源"&amp;原始经营数据!$A2511,"基金整体")))</f>
        <v/>
      </c>
      <c r="J2510" t="str">
        <f t="shared" si="588"/>
        <v/>
      </c>
      <c r="K2510" t="str">
        <f t="shared" si="589"/>
        <v/>
      </c>
      <c r="L2510" t="str">
        <f t="shared" si="590"/>
        <v/>
      </c>
      <c r="M2510">
        <f>IF($A2510="",0,IF(COUNTIF($L$2:$L2510,$L2510)=1,1,0))</f>
        <v>0</v>
      </c>
      <c r="N2510" t="str">
        <f t="shared" si="591"/>
        <v/>
      </c>
      <c r="O2510" t="str">
        <f t="shared" si="592"/>
        <v/>
      </c>
      <c r="P2510">
        <f>IF($A2510="",0,IF(COUNTIF($O$2:$O2510,$O2510)=1,1,0))</f>
        <v>0</v>
      </c>
      <c r="Q2510" t="str">
        <f>IF(AND($P2510=1,$A2510=经营数据!$B$3,$J2510=经营数据!$BA$5),COUNTIFS($P$2:$P$3000,1,$A$2:$A$3000,$A2510,$J$2:$J$3000,$J2510,$N$2:$N$3000,"&lt;"&amp;$N2510)+1,"")</f>
        <v/>
      </c>
      <c r="R2510" t="str">
        <f t="shared" si="593"/>
        <v/>
      </c>
      <c r="S2510">
        <f>IF($A2510="",0,IF(COUNTIF($R$2:$R2510,$R2510)=1,1,0))</f>
        <v>0</v>
      </c>
      <c r="T2510" t="str">
        <f t="shared" si="594"/>
        <v/>
      </c>
      <c r="U2510" t="str">
        <f>IF($A2510="","",IF($A2510=经营数据!$B$3,COUNTIFS($S$2:$S$3000,1,$A$2:$A$3000,$A2510,$T$2:$T$3000,"&lt;"&amp;$T2510)+1,""))</f>
        <v/>
      </c>
      <c r="V2510" t="str">
        <f t="shared" si="595"/>
        <v/>
      </c>
      <c r="W2510" t="str">
        <f t="shared" si="596"/>
        <v/>
      </c>
      <c r="X2510" t="str">
        <f t="shared" si="597"/>
        <v/>
      </c>
      <c r="Y2510" t="str">
        <f t="shared" si="598"/>
        <v/>
      </c>
      <c r="Z2510">
        <f>IF($A2510="",0,IF(AND($M2510=1,$A2510=经营数据!$B$3,$J2510=经营数据!$BA$5,OR($I2510=经营数据!$BA$4,COUNTIF(经营数据!$AA$9:$AA$38,$I2510)&gt;0)),1,0))</f>
        <v>0</v>
      </c>
      <c r="AA2510" t="str">
        <f t="shared" si="599"/>
        <v/>
      </c>
      <c r="AB2510" t="str">
        <f t="shared" si="600"/>
        <v/>
      </c>
      <c r="AC2510">
        <f>IF($A2510="",0,IF(COUNTIF($A$2:$A2510,$A2510)=1,1,0))</f>
        <v>0</v>
      </c>
      <c r="AD2510">
        <f t="shared" si="601"/>
        <v>29</v>
      </c>
      <c r="AE2510" t="str">
        <f t="shared" si="602"/>
        <v/>
      </c>
    </row>
    <row r="2511" spans="1:31" x14ac:dyDescent="0.4">
      <c r="A2511" t="str">
        <f>IF(原始经营数据!$D2512="","",原始经营数据!$D2512)</f>
        <v/>
      </c>
      <c r="B2511" t="str">
        <f>IF(原始经营数据!$D2512="","",T(原始经营数据!$E2512))</f>
        <v/>
      </c>
      <c r="C2511" t="str">
        <f>IF(原始经营数据!$D2512="","",原始经营数据!$F2512)</f>
        <v/>
      </c>
      <c r="D2511" t="str">
        <f>IF(原始经营数据!$D2512="","",原始经营数据!$H2512)</f>
        <v/>
      </c>
      <c r="E2511" t="str">
        <f>IF(原始经营数据!$D2512="","",原始经营数据!$I2512)</f>
        <v/>
      </c>
      <c r="F2511" t="str">
        <f>IF(原始经营数据!$D2512="","",T(原始经营数据!$J2512))</f>
        <v/>
      </c>
      <c r="G2511" t="str">
        <f>IF(原始经营数据!$D2512="","",T(原始经营数据!$K2512))</f>
        <v/>
      </c>
      <c r="H2511" t="str">
        <f>IF(原始经营数据!$D2512="","",原始经营数据!$G2512)</f>
        <v/>
      </c>
      <c r="I2511" t="str">
        <f>IF($A2511="","",IF($B2511&lt;&gt;"",$B2511,IF(COUNTIFS(原始经营数据!$D$3:$D$3001,$A2511,原始经营数据!$E$3:$E$3001,"",原始经营数据!$F$3:$F$3001,$C2511,原始经营数据!$H$3:$H$3001,$D2511,原始经营数据!$K$3:$K$3001,$G2511)&gt;1,"基金整体·来源"&amp;原始经营数据!$A2512,"基金整体")))</f>
        <v/>
      </c>
      <c r="J2511" t="str">
        <f t="shared" si="588"/>
        <v/>
      </c>
      <c r="K2511" t="str">
        <f t="shared" si="589"/>
        <v/>
      </c>
      <c r="L2511" t="str">
        <f t="shared" si="590"/>
        <v/>
      </c>
      <c r="M2511">
        <f>IF($A2511="",0,IF(COUNTIF($L$2:$L2511,$L2511)=1,1,0))</f>
        <v>0</v>
      </c>
      <c r="N2511" t="str">
        <f t="shared" si="591"/>
        <v/>
      </c>
      <c r="O2511" t="str">
        <f t="shared" si="592"/>
        <v/>
      </c>
      <c r="P2511">
        <f>IF($A2511="",0,IF(COUNTIF($O$2:$O2511,$O2511)=1,1,0))</f>
        <v>0</v>
      </c>
      <c r="Q2511" t="str">
        <f>IF(AND($P2511=1,$A2511=经营数据!$B$3,$J2511=经营数据!$BA$5),COUNTIFS($P$2:$P$3000,1,$A$2:$A$3000,$A2511,$J$2:$J$3000,$J2511,$N$2:$N$3000,"&lt;"&amp;$N2511)+1,"")</f>
        <v/>
      </c>
      <c r="R2511" t="str">
        <f t="shared" si="593"/>
        <v/>
      </c>
      <c r="S2511">
        <f>IF($A2511="",0,IF(COUNTIF($R$2:$R2511,$R2511)=1,1,0))</f>
        <v>0</v>
      </c>
      <c r="T2511" t="str">
        <f t="shared" si="594"/>
        <v/>
      </c>
      <c r="U2511" t="str">
        <f>IF($A2511="","",IF($A2511=经营数据!$B$3,COUNTIFS($S$2:$S$3000,1,$A$2:$A$3000,$A2511,$T$2:$T$3000,"&lt;"&amp;$T2511)+1,""))</f>
        <v/>
      </c>
      <c r="V2511" t="str">
        <f t="shared" si="595"/>
        <v/>
      </c>
      <c r="W2511" t="str">
        <f t="shared" si="596"/>
        <v/>
      </c>
      <c r="X2511" t="str">
        <f t="shared" si="597"/>
        <v/>
      </c>
      <c r="Y2511" t="str">
        <f t="shared" si="598"/>
        <v/>
      </c>
      <c r="Z2511">
        <f>IF($A2511="",0,IF(AND($M2511=1,$A2511=经营数据!$B$3,$J2511=经营数据!$BA$5,OR($I2511=经营数据!$BA$4,COUNTIF(经营数据!$AA$9:$AA$38,$I2511)&gt;0)),1,0))</f>
        <v>0</v>
      </c>
      <c r="AA2511" t="str">
        <f t="shared" si="599"/>
        <v/>
      </c>
      <c r="AB2511" t="str">
        <f t="shared" si="600"/>
        <v/>
      </c>
      <c r="AC2511">
        <f>IF($A2511="",0,IF(COUNTIF($A$2:$A2511,$A2511)=1,1,0))</f>
        <v>0</v>
      </c>
      <c r="AD2511">
        <f t="shared" si="601"/>
        <v>29</v>
      </c>
      <c r="AE2511" t="str">
        <f t="shared" si="602"/>
        <v/>
      </c>
    </row>
    <row r="2512" spans="1:31" x14ac:dyDescent="0.4">
      <c r="A2512" t="str">
        <f>IF(原始经营数据!$D2513="","",原始经营数据!$D2513)</f>
        <v/>
      </c>
      <c r="B2512" t="str">
        <f>IF(原始经营数据!$D2513="","",T(原始经营数据!$E2513))</f>
        <v/>
      </c>
      <c r="C2512" t="str">
        <f>IF(原始经营数据!$D2513="","",原始经营数据!$F2513)</f>
        <v/>
      </c>
      <c r="D2512" t="str">
        <f>IF(原始经营数据!$D2513="","",原始经营数据!$H2513)</f>
        <v/>
      </c>
      <c r="E2512" t="str">
        <f>IF(原始经营数据!$D2513="","",原始经营数据!$I2513)</f>
        <v/>
      </c>
      <c r="F2512" t="str">
        <f>IF(原始经营数据!$D2513="","",T(原始经营数据!$J2513))</f>
        <v/>
      </c>
      <c r="G2512" t="str">
        <f>IF(原始经营数据!$D2513="","",T(原始经营数据!$K2513))</f>
        <v/>
      </c>
      <c r="H2512" t="str">
        <f>IF(原始经营数据!$D2513="","",原始经营数据!$G2513)</f>
        <v/>
      </c>
      <c r="I2512" t="str">
        <f>IF($A2512="","",IF($B2512&lt;&gt;"",$B2512,IF(COUNTIFS(原始经营数据!$D$3:$D$3001,$A2512,原始经营数据!$E$3:$E$3001,"",原始经营数据!$F$3:$F$3001,$C2512,原始经营数据!$H$3:$H$3001,$D2512,原始经营数据!$K$3:$K$3001,$G2512)&gt;1,"基金整体·来源"&amp;原始经营数据!$A2513,"基金整体")))</f>
        <v/>
      </c>
      <c r="J2512" t="str">
        <f t="shared" si="588"/>
        <v/>
      </c>
      <c r="K2512" t="str">
        <f t="shared" si="589"/>
        <v/>
      </c>
      <c r="L2512" t="str">
        <f t="shared" si="590"/>
        <v/>
      </c>
      <c r="M2512">
        <f>IF($A2512="",0,IF(COUNTIF($L$2:$L2512,$L2512)=1,1,0))</f>
        <v>0</v>
      </c>
      <c r="N2512" t="str">
        <f t="shared" si="591"/>
        <v/>
      </c>
      <c r="O2512" t="str">
        <f t="shared" si="592"/>
        <v/>
      </c>
      <c r="P2512">
        <f>IF($A2512="",0,IF(COUNTIF($O$2:$O2512,$O2512)=1,1,0))</f>
        <v>0</v>
      </c>
      <c r="Q2512" t="str">
        <f>IF(AND($P2512=1,$A2512=经营数据!$B$3,$J2512=经营数据!$BA$5),COUNTIFS($P$2:$P$3000,1,$A$2:$A$3000,$A2512,$J$2:$J$3000,$J2512,$N$2:$N$3000,"&lt;"&amp;$N2512)+1,"")</f>
        <v/>
      </c>
      <c r="R2512" t="str">
        <f t="shared" si="593"/>
        <v/>
      </c>
      <c r="S2512">
        <f>IF($A2512="",0,IF(COUNTIF($R$2:$R2512,$R2512)=1,1,0))</f>
        <v>0</v>
      </c>
      <c r="T2512" t="str">
        <f t="shared" si="594"/>
        <v/>
      </c>
      <c r="U2512" t="str">
        <f>IF($A2512="","",IF($A2512=经营数据!$B$3,COUNTIFS($S$2:$S$3000,1,$A$2:$A$3000,$A2512,$T$2:$T$3000,"&lt;"&amp;$T2512)+1,""))</f>
        <v/>
      </c>
      <c r="V2512" t="str">
        <f t="shared" si="595"/>
        <v/>
      </c>
      <c r="W2512" t="str">
        <f t="shared" si="596"/>
        <v/>
      </c>
      <c r="X2512" t="str">
        <f t="shared" si="597"/>
        <v/>
      </c>
      <c r="Y2512" t="str">
        <f t="shared" si="598"/>
        <v/>
      </c>
      <c r="Z2512">
        <f>IF($A2512="",0,IF(AND($M2512=1,$A2512=经营数据!$B$3,$J2512=经营数据!$BA$5,OR($I2512=经营数据!$BA$4,COUNTIF(经营数据!$AA$9:$AA$38,$I2512)&gt;0)),1,0))</f>
        <v>0</v>
      </c>
      <c r="AA2512" t="str">
        <f t="shared" si="599"/>
        <v/>
      </c>
      <c r="AB2512" t="str">
        <f t="shared" si="600"/>
        <v/>
      </c>
      <c r="AC2512">
        <f>IF($A2512="",0,IF(COUNTIF($A$2:$A2512,$A2512)=1,1,0))</f>
        <v>0</v>
      </c>
      <c r="AD2512">
        <f t="shared" si="601"/>
        <v>29</v>
      </c>
      <c r="AE2512" t="str">
        <f t="shared" si="602"/>
        <v/>
      </c>
    </row>
    <row r="2513" spans="1:31" x14ac:dyDescent="0.4">
      <c r="A2513" t="str">
        <f>IF(原始经营数据!$D2514="","",原始经营数据!$D2514)</f>
        <v/>
      </c>
      <c r="B2513" t="str">
        <f>IF(原始经营数据!$D2514="","",T(原始经营数据!$E2514))</f>
        <v/>
      </c>
      <c r="C2513" t="str">
        <f>IF(原始经营数据!$D2514="","",原始经营数据!$F2514)</f>
        <v/>
      </c>
      <c r="D2513" t="str">
        <f>IF(原始经营数据!$D2514="","",原始经营数据!$H2514)</f>
        <v/>
      </c>
      <c r="E2513" t="str">
        <f>IF(原始经营数据!$D2514="","",原始经营数据!$I2514)</f>
        <v/>
      </c>
      <c r="F2513" t="str">
        <f>IF(原始经营数据!$D2514="","",T(原始经营数据!$J2514))</f>
        <v/>
      </c>
      <c r="G2513" t="str">
        <f>IF(原始经营数据!$D2514="","",T(原始经营数据!$K2514))</f>
        <v/>
      </c>
      <c r="H2513" t="str">
        <f>IF(原始经营数据!$D2514="","",原始经营数据!$G2514)</f>
        <v/>
      </c>
      <c r="I2513" t="str">
        <f>IF($A2513="","",IF($B2513&lt;&gt;"",$B2513,IF(COUNTIFS(原始经营数据!$D$3:$D$3001,$A2513,原始经营数据!$E$3:$E$3001,"",原始经营数据!$F$3:$F$3001,$C2513,原始经营数据!$H$3:$H$3001,$D2513,原始经营数据!$K$3:$K$3001,$G2513)&gt;1,"基金整体·来源"&amp;原始经营数据!$A2514,"基金整体")))</f>
        <v/>
      </c>
      <c r="J2513" t="str">
        <f t="shared" si="588"/>
        <v/>
      </c>
      <c r="K2513" t="str">
        <f t="shared" si="589"/>
        <v/>
      </c>
      <c r="L2513" t="str">
        <f t="shared" si="590"/>
        <v/>
      </c>
      <c r="M2513">
        <f>IF($A2513="",0,IF(COUNTIF($L$2:$L2513,$L2513)=1,1,0))</f>
        <v>0</v>
      </c>
      <c r="N2513" t="str">
        <f t="shared" si="591"/>
        <v/>
      </c>
      <c r="O2513" t="str">
        <f t="shared" si="592"/>
        <v/>
      </c>
      <c r="P2513">
        <f>IF($A2513="",0,IF(COUNTIF($O$2:$O2513,$O2513)=1,1,0))</f>
        <v>0</v>
      </c>
      <c r="Q2513" t="str">
        <f>IF(AND($P2513=1,$A2513=经营数据!$B$3,$J2513=经营数据!$BA$5),COUNTIFS($P$2:$P$3000,1,$A$2:$A$3000,$A2513,$J$2:$J$3000,$J2513,$N$2:$N$3000,"&lt;"&amp;$N2513)+1,"")</f>
        <v/>
      </c>
      <c r="R2513" t="str">
        <f t="shared" si="593"/>
        <v/>
      </c>
      <c r="S2513">
        <f>IF($A2513="",0,IF(COUNTIF($R$2:$R2513,$R2513)=1,1,0))</f>
        <v>0</v>
      </c>
      <c r="T2513" t="str">
        <f t="shared" si="594"/>
        <v/>
      </c>
      <c r="U2513" t="str">
        <f>IF($A2513="","",IF($A2513=经营数据!$B$3,COUNTIFS($S$2:$S$3000,1,$A$2:$A$3000,$A2513,$T$2:$T$3000,"&lt;"&amp;$T2513)+1,""))</f>
        <v/>
      </c>
      <c r="V2513" t="str">
        <f t="shared" si="595"/>
        <v/>
      </c>
      <c r="W2513" t="str">
        <f t="shared" si="596"/>
        <v/>
      </c>
      <c r="X2513" t="str">
        <f t="shared" si="597"/>
        <v/>
      </c>
      <c r="Y2513" t="str">
        <f t="shared" si="598"/>
        <v/>
      </c>
      <c r="Z2513">
        <f>IF($A2513="",0,IF(AND($M2513=1,$A2513=经营数据!$B$3,$J2513=经营数据!$BA$5,OR($I2513=经营数据!$BA$4,COUNTIF(经营数据!$AA$9:$AA$38,$I2513)&gt;0)),1,0))</f>
        <v>0</v>
      </c>
      <c r="AA2513" t="str">
        <f t="shared" si="599"/>
        <v/>
      </c>
      <c r="AB2513" t="str">
        <f t="shared" si="600"/>
        <v/>
      </c>
      <c r="AC2513">
        <f>IF($A2513="",0,IF(COUNTIF($A$2:$A2513,$A2513)=1,1,0))</f>
        <v>0</v>
      </c>
      <c r="AD2513">
        <f t="shared" si="601"/>
        <v>29</v>
      </c>
      <c r="AE2513" t="str">
        <f t="shared" si="602"/>
        <v/>
      </c>
    </row>
    <row r="2514" spans="1:31" x14ac:dyDescent="0.4">
      <c r="A2514" t="str">
        <f>IF(原始经营数据!$D2515="","",原始经营数据!$D2515)</f>
        <v/>
      </c>
      <c r="B2514" t="str">
        <f>IF(原始经营数据!$D2515="","",T(原始经营数据!$E2515))</f>
        <v/>
      </c>
      <c r="C2514" t="str">
        <f>IF(原始经营数据!$D2515="","",原始经营数据!$F2515)</f>
        <v/>
      </c>
      <c r="D2514" t="str">
        <f>IF(原始经营数据!$D2515="","",原始经营数据!$H2515)</f>
        <v/>
      </c>
      <c r="E2514" t="str">
        <f>IF(原始经营数据!$D2515="","",原始经营数据!$I2515)</f>
        <v/>
      </c>
      <c r="F2514" t="str">
        <f>IF(原始经营数据!$D2515="","",T(原始经营数据!$J2515))</f>
        <v/>
      </c>
      <c r="G2514" t="str">
        <f>IF(原始经营数据!$D2515="","",T(原始经营数据!$K2515))</f>
        <v/>
      </c>
      <c r="H2514" t="str">
        <f>IF(原始经营数据!$D2515="","",原始经营数据!$G2515)</f>
        <v/>
      </c>
      <c r="I2514" t="str">
        <f>IF($A2514="","",IF($B2514&lt;&gt;"",$B2514,IF(COUNTIFS(原始经营数据!$D$3:$D$3001,$A2514,原始经营数据!$E$3:$E$3001,"",原始经营数据!$F$3:$F$3001,$C2514,原始经营数据!$H$3:$H$3001,$D2514,原始经营数据!$K$3:$K$3001,$G2514)&gt;1,"基金整体·来源"&amp;原始经营数据!$A2515,"基金整体")))</f>
        <v/>
      </c>
      <c r="J2514" t="str">
        <f t="shared" si="588"/>
        <v/>
      </c>
      <c r="K2514" t="str">
        <f t="shared" si="589"/>
        <v/>
      </c>
      <c r="L2514" t="str">
        <f t="shared" si="590"/>
        <v/>
      </c>
      <c r="M2514">
        <f>IF($A2514="",0,IF(COUNTIF($L$2:$L2514,$L2514)=1,1,0))</f>
        <v>0</v>
      </c>
      <c r="N2514" t="str">
        <f t="shared" si="591"/>
        <v/>
      </c>
      <c r="O2514" t="str">
        <f t="shared" si="592"/>
        <v/>
      </c>
      <c r="P2514">
        <f>IF($A2514="",0,IF(COUNTIF($O$2:$O2514,$O2514)=1,1,0))</f>
        <v>0</v>
      </c>
      <c r="Q2514" t="str">
        <f>IF(AND($P2514=1,$A2514=经营数据!$B$3,$J2514=经营数据!$BA$5),COUNTIFS($P$2:$P$3000,1,$A$2:$A$3000,$A2514,$J$2:$J$3000,$J2514,$N$2:$N$3000,"&lt;"&amp;$N2514)+1,"")</f>
        <v/>
      </c>
      <c r="R2514" t="str">
        <f t="shared" si="593"/>
        <v/>
      </c>
      <c r="S2514">
        <f>IF($A2514="",0,IF(COUNTIF($R$2:$R2514,$R2514)=1,1,0))</f>
        <v>0</v>
      </c>
      <c r="T2514" t="str">
        <f t="shared" si="594"/>
        <v/>
      </c>
      <c r="U2514" t="str">
        <f>IF($A2514="","",IF($A2514=经营数据!$B$3,COUNTIFS($S$2:$S$3000,1,$A$2:$A$3000,$A2514,$T$2:$T$3000,"&lt;"&amp;$T2514)+1,""))</f>
        <v/>
      </c>
      <c r="V2514" t="str">
        <f t="shared" si="595"/>
        <v/>
      </c>
      <c r="W2514" t="str">
        <f t="shared" si="596"/>
        <v/>
      </c>
      <c r="X2514" t="str">
        <f t="shared" si="597"/>
        <v/>
      </c>
      <c r="Y2514" t="str">
        <f t="shared" si="598"/>
        <v/>
      </c>
      <c r="Z2514">
        <f>IF($A2514="",0,IF(AND($M2514=1,$A2514=经营数据!$B$3,$J2514=经营数据!$BA$5,OR($I2514=经营数据!$BA$4,COUNTIF(经营数据!$AA$9:$AA$38,$I2514)&gt;0)),1,0))</f>
        <v>0</v>
      </c>
      <c r="AA2514" t="str">
        <f t="shared" si="599"/>
        <v/>
      </c>
      <c r="AB2514" t="str">
        <f t="shared" si="600"/>
        <v/>
      </c>
      <c r="AC2514">
        <f>IF($A2514="",0,IF(COUNTIF($A$2:$A2514,$A2514)=1,1,0))</f>
        <v>0</v>
      </c>
      <c r="AD2514">
        <f t="shared" si="601"/>
        <v>29</v>
      </c>
      <c r="AE2514" t="str">
        <f t="shared" si="602"/>
        <v/>
      </c>
    </row>
    <row r="2515" spans="1:31" x14ac:dyDescent="0.4">
      <c r="A2515" t="str">
        <f>IF(原始经营数据!$D2516="","",原始经营数据!$D2516)</f>
        <v/>
      </c>
      <c r="B2515" t="str">
        <f>IF(原始经营数据!$D2516="","",T(原始经营数据!$E2516))</f>
        <v/>
      </c>
      <c r="C2515" t="str">
        <f>IF(原始经营数据!$D2516="","",原始经营数据!$F2516)</f>
        <v/>
      </c>
      <c r="D2515" t="str">
        <f>IF(原始经营数据!$D2516="","",原始经营数据!$H2516)</f>
        <v/>
      </c>
      <c r="E2515" t="str">
        <f>IF(原始经营数据!$D2516="","",原始经营数据!$I2516)</f>
        <v/>
      </c>
      <c r="F2515" t="str">
        <f>IF(原始经营数据!$D2516="","",T(原始经营数据!$J2516))</f>
        <v/>
      </c>
      <c r="G2515" t="str">
        <f>IF(原始经营数据!$D2516="","",T(原始经营数据!$K2516))</f>
        <v/>
      </c>
      <c r="H2515" t="str">
        <f>IF(原始经营数据!$D2516="","",原始经营数据!$G2516)</f>
        <v/>
      </c>
      <c r="I2515" t="str">
        <f>IF($A2515="","",IF($B2515&lt;&gt;"",$B2515,IF(COUNTIFS(原始经营数据!$D$3:$D$3001,$A2515,原始经营数据!$E$3:$E$3001,"",原始经营数据!$F$3:$F$3001,$C2515,原始经营数据!$H$3:$H$3001,$D2515,原始经营数据!$K$3:$K$3001,$G2515)&gt;1,"基金整体·来源"&amp;原始经营数据!$A2516,"基金整体")))</f>
        <v/>
      </c>
      <c r="J2515" t="str">
        <f t="shared" si="588"/>
        <v/>
      </c>
      <c r="K2515" t="str">
        <f t="shared" si="589"/>
        <v/>
      </c>
      <c r="L2515" t="str">
        <f t="shared" si="590"/>
        <v/>
      </c>
      <c r="M2515">
        <f>IF($A2515="",0,IF(COUNTIF($L$2:$L2515,$L2515)=1,1,0))</f>
        <v>0</v>
      </c>
      <c r="N2515" t="str">
        <f t="shared" si="591"/>
        <v/>
      </c>
      <c r="O2515" t="str">
        <f t="shared" si="592"/>
        <v/>
      </c>
      <c r="P2515">
        <f>IF($A2515="",0,IF(COUNTIF($O$2:$O2515,$O2515)=1,1,0))</f>
        <v>0</v>
      </c>
      <c r="Q2515" t="str">
        <f>IF(AND($P2515=1,$A2515=经营数据!$B$3,$J2515=经营数据!$BA$5),COUNTIFS($P$2:$P$3000,1,$A$2:$A$3000,$A2515,$J$2:$J$3000,$J2515,$N$2:$N$3000,"&lt;"&amp;$N2515)+1,"")</f>
        <v/>
      </c>
      <c r="R2515" t="str">
        <f t="shared" si="593"/>
        <v/>
      </c>
      <c r="S2515">
        <f>IF($A2515="",0,IF(COUNTIF($R$2:$R2515,$R2515)=1,1,0))</f>
        <v>0</v>
      </c>
      <c r="T2515" t="str">
        <f t="shared" si="594"/>
        <v/>
      </c>
      <c r="U2515" t="str">
        <f>IF($A2515="","",IF($A2515=经营数据!$B$3,COUNTIFS($S$2:$S$3000,1,$A$2:$A$3000,$A2515,$T$2:$T$3000,"&lt;"&amp;$T2515)+1,""))</f>
        <v/>
      </c>
      <c r="V2515" t="str">
        <f t="shared" si="595"/>
        <v/>
      </c>
      <c r="W2515" t="str">
        <f t="shared" si="596"/>
        <v/>
      </c>
      <c r="X2515" t="str">
        <f t="shared" si="597"/>
        <v/>
      </c>
      <c r="Y2515" t="str">
        <f t="shared" si="598"/>
        <v/>
      </c>
      <c r="Z2515">
        <f>IF($A2515="",0,IF(AND($M2515=1,$A2515=经营数据!$B$3,$J2515=经营数据!$BA$5,OR($I2515=经营数据!$BA$4,COUNTIF(经营数据!$AA$9:$AA$38,$I2515)&gt;0)),1,0))</f>
        <v>0</v>
      </c>
      <c r="AA2515" t="str">
        <f t="shared" si="599"/>
        <v/>
      </c>
      <c r="AB2515" t="str">
        <f t="shared" si="600"/>
        <v/>
      </c>
      <c r="AC2515">
        <f>IF($A2515="",0,IF(COUNTIF($A$2:$A2515,$A2515)=1,1,0))</f>
        <v>0</v>
      </c>
      <c r="AD2515">
        <f t="shared" si="601"/>
        <v>29</v>
      </c>
      <c r="AE2515" t="str">
        <f t="shared" si="602"/>
        <v/>
      </c>
    </row>
    <row r="2516" spans="1:31" x14ac:dyDescent="0.4">
      <c r="A2516" t="str">
        <f>IF(原始经营数据!$D2517="","",原始经营数据!$D2517)</f>
        <v/>
      </c>
      <c r="B2516" t="str">
        <f>IF(原始经营数据!$D2517="","",T(原始经营数据!$E2517))</f>
        <v/>
      </c>
      <c r="C2516" t="str">
        <f>IF(原始经营数据!$D2517="","",原始经营数据!$F2517)</f>
        <v/>
      </c>
      <c r="D2516" t="str">
        <f>IF(原始经营数据!$D2517="","",原始经营数据!$H2517)</f>
        <v/>
      </c>
      <c r="E2516" t="str">
        <f>IF(原始经营数据!$D2517="","",原始经营数据!$I2517)</f>
        <v/>
      </c>
      <c r="F2516" t="str">
        <f>IF(原始经营数据!$D2517="","",T(原始经营数据!$J2517))</f>
        <v/>
      </c>
      <c r="G2516" t="str">
        <f>IF(原始经营数据!$D2517="","",T(原始经营数据!$K2517))</f>
        <v/>
      </c>
      <c r="H2516" t="str">
        <f>IF(原始经营数据!$D2517="","",原始经营数据!$G2517)</f>
        <v/>
      </c>
      <c r="I2516" t="str">
        <f>IF($A2516="","",IF($B2516&lt;&gt;"",$B2516,IF(COUNTIFS(原始经营数据!$D$3:$D$3001,$A2516,原始经营数据!$E$3:$E$3001,"",原始经营数据!$F$3:$F$3001,$C2516,原始经营数据!$H$3:$H$3001,$D2516,原始经营数据!$K$3:$K$3001,$G2516)&gt;1,"基金整体·来源"&amp;原始经营数据!$A2517,"基金整体")))</f>
        <v/>
      </c>
      <c r="J2516" t="str">
        <f t="shared" si="588"/>
        <v/>
      </c>
      <c r="K2516" t="str">
        <f t="shared" si="589"/>
        <v/>
      </c>
      <c r="L2516" t="str">
        <f t="shared" si="590"/>
        <v/>
      </c>
      <c r="M2516">
        <f>IF($A2516="",0,IF(COUNTIF($L$2:$L2516,$L2516)=1,1,0))</f>
        <v>0</v>
      </c>
      <c r="N2516" t="str">
        <f t="shared" si="591"/>
        <v/>
      </c>
      <c r="O2516" t="str">
        <f t="shared" si="592"/>
        <v/>
      </c>
      <c r="P2516">
        <f>IF($A2516="",0,IF(COUNTIF($O$2:$O2516,$O2516)=1,1,0))</f>
        <v>0</v>
      </c>
      <c r="Q2516" t="str">
        <f>IF(AND($P2516=1,$A2516=经营数据!$B$3,$J2516=经营数据!$BA$5),COUNTIFS($P$2:$P$3000,1,$A$2:$A$3000,$A2516,$J$2:$J$3000,$J2516,$N$2:$N$3000,"&lt;"&amp;$N2516)+1,"")</f>
        <v/>
      </c>
      <c r="R2516" t="str">
        <f t="shared" si="593"/>
        <v/>
      </c>
      <c r="S2516">
        <f>IF($A2516="",0,IF(COUNTIF($R$2:$R2516,$R2516)=1,1,0))</f>
        <v>0</v>
      </c>
      <c r="T2516" t="str">
        <f t="shared" si="594"/>
        <v/>
      </c>
      <c r="U2516" t="str">
        <f>IF($A2516="","",IF($A2516=经营数据!$B$3,COUNTIFS($S$2:$S$3000,1,$A$2:$A$3000,$A2516,$T$2:$T$3000,"&lt;"&amp;$T2516)+1,""))</f>
        <v/>
      </c>
      <c r="V2516" t="str">
        <f t="shared" si="595"/>
        <v/>
      </c>
      <c r="W2516" t="str">
        <f t="shared" si="596"/>
        <v/>
      </c>
      <c r="X2516" t="str">
        <f t="shared" si="597"/>
        <v/>
      </c>
      <c r="Y2516" t="str">
        <f t="shared" si="598"/>
        <v/>
      </c>
      <c r="Z2516">
        <f>IF($A2516="",0,IF(AND($M2516=1,$A2516=经营数据!$B$3,$J2516=经营数据!$BA$5,OR($I2516=经营数据!$BA$4,COUNTIF(经营数据!$AA$9:$AA$38,$I2516)&gt;0)),1,0))</f>
        <v>0</v>
      </c>
      <c r="AA2516" t="str">
        <f t="shared" si="599"/>
        <v/>
      </c>
      <c r="AB2516" t="str">
        <f t="shared" si="600"/>
        <v/>
      </c>
      <c r="AC2516">
        <f>IF($A2516="",0,IF(COUNTIF($A$2:$A2516,$A2516)=1,1,0))</f>
        <v>0</v>
      </c>
      <c r="AD2516">
        <f t="shared" si="601"/>
        <v>29</v>
      </c>
      <c r="AE2516" t="str">
        <f t="shared" si="602"/>
        <v/>
      </c>
    </row>
    <row r="2517" spans="1:31" x14ac:dyDescent="0.4">
      <c r="A2517" t="str">
        <f>IF(原始经营数据!$D2518="","",原始经营数据!$D2518)</f>
        <v/>
      </c>
      <c r="B2517" t="str">
        <f>IF(原始经营数据!$D2518="","",T(原始经营数据!$E2518))</f>
        <v/>
      </c>
      <c r="C2517" t="str">
        <f>IF(原始经营数据!$D2518="","",原始经营数据!$F2518)</f>
        <v/>
      </c>
      <c r="D2517" t="str">
        <f>IF(原始经营数据!$D2518="","",原始经营数据!$H2518)</f>
        <v/>
      </c>
      <c r="E2517" t="str">
        <f>IF(原始经营数据!$D2518="","",原始经营数据!$I2518)</f>
        <v/>
      </c>
      <c r="F2517" t="str">
        <f>IF(原始经营数据!$D2518="","",T(原始经营数据!$J2518))</f>
        <v/>
      </c>
      <c r="G2517" t="str">
        <f>IF(原始经营数据!$D2518="","",T(原始经营数据!$K2518))</f>
        <v/>
      </c>
      <c r="H2517" t="str">
        <f>IF(原始经营数据!$D2518="","",原始经营数据!$G2518)</f>
        <v/>
      </c>
      <c r="I2517" t="str">
        <f>IF($A2517="","",IF($B2517&lt;&gt;"",$B2517,IF(COUNTIFS(原始经营数据!$D$3:$D$3001,$A2517,原始经营数据!$E$3:$E$3001,"",原始经营数据!$F$3:$F$3001,$C2517,原始经营数据!$H$3:$H$3001,$D2517,原始经营数据!$K$3:$K$3001,$G2517)&gt;1,"基金整体·来源"&amp;原始经营数据!$A2518,"基金整体")))</f>
        <v/>
      </c>
      <c r="J2517" t="str">
        <f t="shared" si="588"/>
        <v/>
      </c>
      <c r="K2517" t="str">
        <f t="shared" si="589"/>
        <v/>
      </c>
      <c r="L2517" t="str">
        <f t="shared" si="590"/>
        <v/>
      </c>
      <c r="M2517">
        <f>IF($A2517="",0,IF(COUNTIF($L$2:$L2517,$L2517)=1,1,0))</f>
        <v>0</v>
      </c>
      <c r="N2517" t="str">
        <f t="shared" si="591"/>
        <v/>
      </c>
      <c r="O2517" t="str">
        <f t="shared" si="592"/>
        <v/>
      </c>
      <c r="P2517">
        <f>IF($A2517="",0,IF(COUNTIF($O$2:$O2517,$O2517)=1,1,0))</f>
        <v>0</v>
      </c>
      <c r="Q2517" t="str">
        <f>IF(AND($P2517=1,$A2517=经营数据!$B$3,$J2517=经营数据!$BA$5),COUNTIFS($P$2:$P$3000,1,$A$2:$A$3000,$A2517,$J$2:$J$3000,$J2517,$N$2:$N$3000,"&lt;"&amp;$N2517)+1,"")</f>
        <v/>
      </c>
      <c r="R2517" t="str">
        <f t="shared" si="593"/>
        <v/>
      </c>
      <c r="S2517">
        <f>IF($A2517="",0,IF(COUNTIF($R$2:$R2517,$R2517)=1,1,0))</f>
        <v>0</v>
      </c>
      <c r="T2517" t="str">
        <f t="shared" si="594"/>
        <v/>
      </c>
      <c r="U2517" t="str">
        <f>IF($A2517="","",IF($A2517=经营数据!$B$3,COUNTIFS($S$2:$S$3000,1,$A$2:$A$3000,$A2517,$T$2:$T$3000,"&lt;"&amp;$T2517)+1,""))</f>
        <v/>
      </c>
      <c r="V2517" t="str">
        <f t="shared" si="595"/>
        <v/>
      </c>
      <c r="W2517" t="str">
        <f t="shared" si="596"/>
        <v/>
      </c>
      <c r="X2517" t="str">
        <f t="shared" si="597"/>
        <v/>
      </c>
      <c r="Y2517" t="str">
        <f t="shared" si="598"/>
        <v/>
      </c>
      <c r="Z2517">
        <f>IF($A2517="",0,IF(AND($M2517=1,$A2517=经营数据!$B$3,$J2517=经营数据!$BA$5,OR($I2517=经营数据!$BA$4,COUNTIF(经营数据!$AA$9:$AA$38,$I2517)&gt;0)),1,0))</f>
        <v>0</v>
      </c>
      <c r="AA2517" t="str">
        <f t="shared" si="599"/>
        <v/>
      </c>
      <c r="AB2517" t="str">
        <f t="shared" si="600"/>
        <v/>
      </c>
      <c r="AC2517">
        <f>IF($A2517="",0,IF(COUNTIF($A$2:$A2517,$A2517)=1,1,0))</f>
        <v>0</v>
      </c>
      <c r="AD2517">
        <f t="shared" si="601"/>
        <v>29</v>
      </c>
      <c r="AE2517" t="str">
        <f t="shared" si="602"/>
        <v/>
      </c>
    </row>
    <row r="2518" spans="1:31" x14ac:dyDescent="0.4">
      <c r="A2518" t="str">
        <f>IF(原始经营数据!$D2519="","",原始经营数据!$D2519)</f>
        <v/>
      </c>
      <c r="B2518" t="str">
        <f>IF(原始经营数据!$D2519="","",T(原始经营数据!$E2519))</f>
        <v/>
      </c>
      <c r="C2518" t="str">
        <f>IF(原始经营数据!$D2519="","",原始经营数据!$F2519)</f>
        <v/>
      </c>
      <c r="D2518" t="str">
        <f>IF(原始经营数据!$D2519="","",原始经营数据!$H2519)</f>
        <v/>
      </c>
      <c r="E2518" t="str">
        <f>IF(原始经营数据!$D2519="","",原始经营数据!$I2519)</f>
        <v/>
      </c>
      <c r="F2518" t="str">
        <f>IF(原始经营数据!$D2519="","",T(原始经营数据!$J2519))</f>
        <v/>
      </c>
      <c r="G2518" t="str">
        <f>IF(原始经营数据!$D2519="","",T(原始经营数据!$K2519))</f>
        <v/>
      </c>
      <c r="H2518" t="str">
        <f>IF(原始经营数据!$D2519="","",原始经营数据!$G2519)</f>
        <v/>
      </c>
      <c r="I2518" t="str">
        <f>IF($A2518="","",IF($B2518&lt;&gt;"",$B2518,IF(COUNTIFS(原始经营数据!$D$3:$D$3001,$A2518,原始经营数据!$E$3:$E$3001,"",原始经营数据!$F$3:$F$3001,$C2518,原始经营数据!$H$3:$H$3001,$D2518,原始经营数据!$K$3:$K$3001,$G2518)&gt;1,"基金整体·来源"&amp;原始经营数据!$A2519,"基金整体")))</f>
        <v/>
      </c>
      <c r="J2518" t="str">
        <f t="shared" si="588"/>
        <v/>
      </c>
      <c r="K2518" t="str">
        <f t="shared" si="589"/>
        <v/>
      </c>
      <c r="L2518" t="str">
        <f t="shared" si="590"/>
        <v/>
      </c>
      <c r="M2518">
        <f>IF($A2518="",0,IF(COUNTIF($L$2:$L2518,$L2518)=1,1,0))</f>
        <v>0</v>
      </c>
      <c r="N2518" t="str">
        <f t="shared" si="591"/>
        <v/>
      </c>
      <c r="O2518" t="str">
        <f t="shared" si="592"/>
        <v/>
      </c>
      <c r="P2518">
        <f>IF($A2518="",0,IF(COUNTIF($O$2:$O2518,$O2518)=1,1,0))</f>
        <v>0</v>
      </c>
      <c r="Q2518" t="str">
        <f>IF(AND($P2518=1,$A2518=经营数据!$B$3,$J2518=经营数据!$BA$5),COUNTIFS($P$2:$P$3000,1,$A$2:$A$3000,$A2518,$J$2:$J$3000,$J2518,$N$2:$N$3000,"&lt;"&amp;$N2518)+1,"")</f>
        <v/>
      </c>
      <c r="R2518" t="str">
        <f t="shared" si="593"/>
        <v/>
      </c>
      <c r="S2518">
        <f>IF($A2518="",0,IF(COUNTIF($R$2:$R2518,$R2518)=1,1,0))</f>
        <v>0</v>
      </c>
      <c r="T2518" t="str">
        <f t="shared" si="594"/>
        <v/>
      </c>
      <c r="U2518" t="str">
        <f>IF($A2518="","",IF($A2518=经营数据!$B$3,COUNTIFS($S$2:$S$3000,1,$A$2:$A$3000,$A2518,$T$2:$T$3000,"&lt;"&amp;$T2518)+1,""))</f>
        <v/>
      </c>
      <c r="V2518" t="str">
        <f t="shared" si="595"/>
        <v/>
      </c>
      <c r="W2518" t="str">
        <f t="shared" si="596"/>
        <v/>
      </c>
      <c r="X2518" t="str">
        <f t="shared" si="597"/>
        <v/>
      </c>
      <c r="Y2518" t="str">
        <f t="shared" si="598"/>
        <v/>
      </c>
      <c r="Z2518">
        <f>IF($A2518="",0,IF(AND($M2518=1,$A2518=经营数据!$B$3,$J2518=经营数据!$BA$5,OR($I2518=经营数据!$BA$4,COUNTIF(经营数据!$AA$9:$AA$38,$I2518)&gt;0)),1,0))</f>
        <v>0</v>
      </c>
      <c r="AA2518" t="str">
        <f t="shared" si="599"/>
        <v/>
      </c>
      <c r="AB2518" t="str">
        <f t="shared" si="600"/>
        <v/>
      </c>
      <c r="AC2518">
        <f>IF($A2518="",0,IF(COUNTIF($A$2:$A2518,$A2518)=1,1,0))</f>
        <v>0</v>
      </c>
      <c r="AD2518">
        <f t="shared" si="601"/>
        <v>29</v>
      </c>
      <c r="AE2518" t="str">
        <f t="shared" si="602"/>
        <v/>
      </c>
    </row>
    <row r="2519" spans="1:31" x14ac:dyDescent="0.4">
      <c r="A2519" t="str">
        <f>IF(原始经营数据!$D2520="","",原始经营数据!$D2520)</f>
        <v/>
      </c>
      <c r="B2519" t="str">
        <f>IF(原始经营数据!$D2520="","",T(原始经营数据!$E2520))</f>
        <v/>
      </c>
      <c r="C2519" t="str">
        <f>IF(原始经营数据!$D2520="","",原始经营数据!$F2520)</f>
        <v/>
      </c>
      <c r="D2519" t="str">
        <f>IF(原始经营数据!$D2520="","",原始经营数据!$H2520)</f>
        <v/>
      </c>
      <c r="E2519" t="str">
        <f>IF(原始经营数据!$D2520="","",原始经营数据!$I2520)</f>
        <v/>
      </c>
      <c r="F2519" t="str">
        <f>IF(原始经营数据!$D2520="","",T(原始经营数据!$J2520))</f>
        <v/>
      </c>
      <c r="G2519" t="str">
        <f>IF(原始经营数据!$D2520="","",T(原始经营数据!$K2520))</f>
        <v/>
      </c>
      <c r="H2519" t="str">
        <f>IF(原始经营数据!$D2520="","",原始经营数据!$G2520)</f>
        <v/>
      </c>
      <c r="I2519" t="str">
        <f>IF($A2519="","",IF($B2519&lt;&gt;"",$B2519,IF(COUNTIFS(原始经营数据!$D$3:$D$3001,$A2519,原始经营数据!$E$3:$E$3001,"",原始经营数据!$F$3:$F$3001,$C2519,原始经营数据!$H$3:$H$3001,$D2519,原始经营数据!$K$3:$K$3001,$G2519)&gt;1,"基金整体·来源"&amp;原始经营数据!$A2520,"基金整体")))</f>
        <v/>
      </c>
      <c r="J2519" t="str">
        <f t="shared" si="588"/>
        <v/>
      </c>
      <c r="K2519" t="str">
        <f t="shared" si="589"/>
        <v/>
      </c>
      <c r="L2519" t="str">
        <f t="shared" si="590"/>
        <v/>
      </c>
      <c r="M2519">
        <f>IF($A2519="",0,IF(COUNTIF($L$2:$L2519,$L2519)=1,1,0))</f>
        <v>0</v>
      </c>
      <c r="N2519" t="str">
        <f t="shared" si="591"/>
        <v/>
      </c>
      <c r="O2519" t="str">
        <f t="shared" si="592"/>
        <v/>
      </c>
      <c r="P2519">
        <f>IF($A2519="",0,IF(COUNTIF($O$2:$O2519,$O2519)=1,1,0))</f>
        <v>0</v>
      </c>
      <c r="Q2519" t="str">
        <f>IF(AND($P2519=1,$A2519=经营数据!$B$3,$J2519=经营数据!$BA$5),COUNTIFS($P$2:$P$3000,1,$A$2:$A$3000,$A2519,$J$2:$J$3000,$J2519,$N$2:$N$3000,"&lt;"&amp;$N2519)+1,"")</f>
        <v/>
      </c>
      <c r="R2519" t="str">
        <f t="shared" si="593"/>
        <v/>
      </c>
      <c r="S2519">
        <f>IF($A2519="",0,IF(COUNTIF($R$2:$R2519,$R2519)=1,1,0))</f>
        <v>0</v>
      </c>
      <c r="T2519" t="str">
        <f t="shared" si="594"/>
        <v/>
      </c>
      <c r="U2519" t="str">
        <f>IF($A2519="","",IF($A2519=经营数据!$B$3,COUNTIFS($S$2:$S$3000,1,$A$2:$A$3000,$A2519,$T$2:$T$3000,"&lt;"&amp;$T2519)+1,""))</f>
        <v/>
      </c>
      <c r="V2519" t="str">
        <f t="shared" si="595"/>
        <v/>
      </c>
      <c r="W2519" t="str">
        <f t="shared" si="596"/>
        <v/>
      </c>
      <c r="X2519" t="str">
        <f t="shared" si="597"/>
        <v/>
      </c>
      <c r="Y2519" t="str">
        <f t="shared" si="598"/>
        <v/>
      </c>
      <c r="Z2519">
        <f>IF($A2519="",0,IF(AND($M2519=1,$A2519=经营数据!$B$3,$J2519=经营数据!$BA$5,OR($I2519=经营数据!$BA$4,COUNTIF(经营数据!$AA$9:$AA$38,$I2519)&gt;0)),1,0))</f>
        <v>0</v>
      </c>
      <c r="AA2519" t="str">
        <f t="shared" si="599"/>
        <v/>
      </c>
      <c r="AB2519" t="str">
        <f t="shared" si="600"/>
        <v/>
      </c>
      <c r="AC2519">
        <f>IF($A2519="",0,IF(COUNTIF($A$2:$A2519,$A2519)=1,1,0))</f>
        <v>0</v>
      </c>
      <c r="AD2519">
        <f t="shared" si="601"/>
        <v>29</v>
      </c>
      <c r="AE2519" t="str">
        <f t="shared" si="602"/>
        <v/>
      </c>
    </row>
    <row r="2520" spans="1:31" x14ac:dyDescent="0.4">
      <c r="A2520" t="str">
        <f>IF(原始经营数据!$D2521="","",原始经营数据!$D2521)</f>
        <v/>
      </c>
      <c r="B2520" t="str">
        <f>IF(原始经营数据!$D2521="","",T(原始经营数据!$E2521))</f>
        <v/>
      </c>
      <c r="C2520" t="str">
        <f>IF(原始经营数据!$D2521="","",原始经营数据!$F2521)</f>
        <v/>
      </c>
      <c r="D2520" t="str">
        <f>IF(原始经营数据!$D2521="","",原始经营数据!$H2521)</f>
        <v/>
      </c>
      <c r="E2520" t="str">
        <f>IF(原始经营数据!$D2521="","",原始经营数据!$I2521)</f>
        <v/>
      </c>
      <c r="F2520" t="str">
        <f>IF(原始经营数据!$D2521="","",T(原始经营数据!$J2521))</f>
        <v/>
      </c>
      <c r="G2520" t="str">
        <f>IF(原始经营数据!$D2521="","",T(原始经营数据!$K2521))</f>
        <v/>
      </c>
      <c r="H2520" t="str">
        <f>IF(原始经营数据!$D2521="","",原始经营数据!$G2521)</f>
        <v/>
      </c>
      <c r="I2520" t="str">
        <f>IF($A2520="","",IF($B2520&lt;&gt;"",$B2520,IF(COUNTIFS(原始经营数据!$D$3:$D$3001,$A2520,原始经营数据!$E$3:$E$3001,"",原始经营数据!$F$3:$F$3001,$C2520,原始经营数据!$H$3:$H$3001,$D2520,原始经营数据!$K$3:$K$3001,$G2520)&gt;1,"基金整体·来源"&amp;原始经营数据!$A2521,"基金整体")))</f>
        <v/>
      </c>
      <c r="J2520" t="str">
        <f t="shared" si="588"/>
        <v/>
      </c>
      <c r="K2520" t="str">
        <f t="shared" si="589"/>
        <v/>
      </c>
      <c r="L2520" t="str">
        <f t="shared" si="590"/>
        <v/>
      </c>
      <c r="M2520">
        <f>IF($A2520="",0,IF(COUNTIF($L$2:$L2520,$L2520)=1,1,0))</f>
        <v>0</v>
      </c>
      <c r="N2520" t="str">
        <f t="shared" si="591"/>
        <v/>
      </c>
      <c r="O2520" t="str">
        <f t="shared" si="592"/>
        <v/>
      </c>
      <c r="P2520">
        <f>IF($A2520="",0,IF(COUNTIF($O$2:$O2520,$O2520)=1,1,0))</f>
        <v>0</v>
      </c>
      <c r="Q2520" t="str">
        <f>IF(AND($P2520=1,$A2520=经营数据!$B$3,$J2520=经营数据!$BA$5),COUNTIFS($P$2:$P$3000,1,$A$2:$A$3000,$A2520,$J$2:$J$3000,$J2520,$N$2:$N$3000,"&lt;"&amp;$N2520)+1,"")</f>
        <v/>
      </c>
      <c r="R2520" t="str">
        <f t="shared" si="593"/>
        <v/>
      </c>
      <c r="S2520">
        <f>IF($A2520="",0,IF(COUNTIF($R$2:$R2520,$R2520)=1,1,0))</f>
        <v>0</v>
      </c>
      <c r="T2520" t="str">
        <f t="shared" si="594"/>
        <v/>
      </c>
      <c r="U2520" t="str">
        <f>IF($A2520="","",IF($A2520=经营数据!$B$3,COUNTIFS($S$2:$S$3000,1,$A$2:$A$3000,$A2520,$T$2:$T$3000,"&lt;"&amp;$T2520)+1,""))</f>
        <v/>
      </c>
      <c r="V2520" t="str">
        <f t="shared" si="595"/>
        <v/>
      </c>
      <c r="W2520" t="str">
        <f t="shared" si="596"/>
        <v/>
      </c>
      <c r="X2520" t="str">
        <f t="shared" si="597"/>
        <v/>
      </c>
      <c r="Y2520" t="str">
        <f t="shared" si="598"/>
        <v/>
      </c>
      <c r="Z2520">
        <f>IF($A2520="",0,IF(AND($M2520=1,$A2520=经营数据!$B$3,$J2520=经营数据!$BA$5,OR($I2520=经营数据!$BA$4,COUNTIF(经营数据!$AA$9:$AA$38,$I2520)&gt;0)),1,0))</f>
        <v>0</v>
      </c>
      <c r="AA2520" t="str">
        <f t="shared" si="599"/>
        <v/>
      </c>
      <c r="AB2520" t="str">
        <f t="shared" si="600"/>
        <v/>
      </c>
      <c r="AC2520">
        <f>IF($A2520="",0,IF(COUNTIF($A$2:$A2520,$A2520)=1,1,0))</f>
        <v>0</v>
      </c>
      <c r="AD2520">
        <f t="shared" si="601"/>
        <v>29</v>
      </c>
      <c r="AE2520" t="str">
        <f t="shared" si="602"/>
        <v/>
      </c>
    </row>
    <row r="2521" spans="1:31" x14ac:dyDescent="0.4">
      <c r="A2521" t="str">
        <f>IF(原始经营数据!$D2522="","",原始经营数据!$D2522)</f>
        <v/>
      </c>
      <c r="B2521" t="str">
        <f>IF(原始经营数据!$D2522="","",T(原始经营数据!$E2522))</f>
        <v/>
      </c>
      <c r="C2521" t="str">
        <f>IF(原始经营数据!$D2522="","",原始经营数据!$F2522)</f>
        <v/>
      </c>
      <c r="D2521" t="str">
        <f>IF(原始经营数据!$D2522="","",原始经营数据!$H2522)</f>
        <v/>
      </c>
      <c r="E2521" t="str">
        <f>IF(原始经营数据!$D2522="","",原始经营数据!$I2522)</f>
        <v/>
      </c>
      <c r="F2521" t="str">
        <f>IF(原始经营数据!$D2522="","",T(原始经营数据!$J2522))</f>
        <v/>
      </c>
      <c r="G2521" t="str">
        <f>IF(原始经营数据!$D2522="","",T(原始经营数据!$K2522))</f>
        <v/>
      </c>
      <c r="H2521" t="str">
        <f>IF(原始经营数据!$D2522="","",原始经营数据!$G2522)</f>
        <v/>
      </c>
      <c r="I2521" t="str">
        <f>IF($A2521="","",IF($B2521&lt;&gt;"",$B2521,IF(COUNTIFS(原始经营数据!$D$3:$D$3001,$A2521,原始经营数据!$E$3:$E$3001,"",原始经营数据!$F$3:$F$3001,$C2521,原始经营数据!$H$3:$H$3001,$D2521,原始经营数据!$K$3:$K$3001,$G2521)&gt;1,"基金整体·来源"&amp;原始经营数据!$A2522,"基金整体")))</f>
        <v/>
      </c>
      <c r="J2521" t="str">
        <f t="shared" si="588"/>
        <v/>
      </c>
      <c r="K2521" t="str">
        <f t="shared" si="589"/>
        <v/>
      </c>
      <c r="L2521" t="str">
        <f t="shared" si="590"/>
        <v/>
      </c>
      <c r="M2521">
        <f>IF($A2521="",0,IF(COUNTIF($L$2:$L2521,$L2521)=1,1,0))</f>
        <v>0</v>
      </c>
      <c r="N2521" t="str">
        <f t="shared" si="591"/>
        <v/>
      </c>
      <c r="O2521" t="str">
        <f t="shared" si="592"/>
        <v/>
      </c>
      <c r="P2521">
        <f>IF($A2521="",0,IF(COUNTIF($O$2:$O2521,$O2521)=1,1,0))</f>
        <v>0</v>
      </c>
      <c r="Q2521" t="str">
        <f>IF(AND($P2521=1,$A2521=经营数据!$B$3,$J2521=经营数据!$BA$5),COUNTIFS($P$2:$P$3000,1,$A$2:$A$3000,$A2521,$J$2:$J$3000,$J2521,$N$2:$N$3000,"&lt;"&amp;$N2521)+1,"")</f>
        <v/>
      </c>
      <c r="R2521" t="str">
        <f t="shared" si="593"/>
        <v/>
      </c>
      <c r="S2521">
        <f>IF($A2521="",0,IF(COUNTIF($R$2:$R2521,$R2521)=1,1,0))</f>
        <v>0</v>
      </c>
      <c r="T2521" t="str">
        <f t="shared" si="594"/>
        <v/>
      </c>
      <c r="U2521" t="str">
        <f>IF($A2521="","",IF($A2521=经营数据!$B$3,COUNTIFS($S$2:$S$3000,1,$A$2:$A$3000,$A2521,$T$2:$T$3000,"&lt;"&amp;$T2521)+1,""))</f>
        <v/>
      </c>
      <c r="V2521" t="str">
        <f t="shared" si="595"/>
        <v/>
      </c>
      <c r="W2521" t="str">
        <f t="shared" si="596"/>
        <v/>
      </c>
      <c r="X2521" t="str">
        <f t="shared" si="597"/>
        <v/>
      </c>
      <c r="Y2521" t="str">
        <f t="shared" si="598"/>
        <v/>
      </c>
      <c r="Z2521">
        <f>IF($A2521="",0,IF(AND($M2521=1,$A2521=经营数据!$B$3,$J2521=经营数据!$BA$5,OR($I2521=经营数据!$BA$4,COUNTIF(经营数据!$AA$9:$AA$38,$I2521)&gt;0)),1,0))</f>
        <v>0</v>
      </c>
      <c r="AA2521" t="str">
        <f t="shared" si="599"/>
        <v/>
      </c>
      <c r="AB2521" t="str">
        <f t="shared" si="600"/>
        <v/>
      </c>
      <c r="AC2521">
        <f>IF($A2521="",0,IF(COUNTIF($A$2:$A2521,$A2521)=1,1,0))</f>
        <v>0</v>
      </c>
      <c r="AD2521">
        <f t="shared" si="601"/>
        <v>29</v>
      </c>
      <c r="AE2521" t="str">
        <f t="shared" si="602"/>
        <v/>
      </c>
    </row>
    <row r="2522" spans="1:31" x14ac:dyDescent="0.4">
      <c r="A2522" t="str">
        <f>IF(原始经营数据!$D2523="","",原始经营数据!$D2523)</f>
        <v/>
      </c>
      <c r="B2522" t="str">
        <f>IF(原始经营数据!$D2523="","",T(原始经营数据!$E2523))</f>
        <v/>
      </c>
      <c r="C2522" t="str">
        <f>IF(原始经营数据!$D2523="","",原始经营数据!$F2523)</f>
        <v/>
      </c>
      <c r="D2522" t="str">
        <f>IF(原始经营数据!$D2523="","",原始经营数据!$H2523)</f>
        <v/>
      </c>
      <c r="E2522" t="str">
        <f>IF(原始经营数据!$D2523="","",原始经营数据!$I2523)</f>
        <v/>
      </c>
      <c r="F2522" t="str">
        <f>IF(原始经营数据!$D2523="","",T(原始经营数据!$J2523))</f>
        <v/>
      </c>
      <c r="G2522" t="str">
        <f>IF(原始经营数据!$D2523="","",T(原始经营数据!$K2523))</f>
        <v/>
      </c>
      <c r="H2522" t="str">
        <f>IF(原始经营数据!$D2523="","",原始经营数据!$G2523)</f>
        <v/>
      </c>
      <c r="I2522" t="str">
        <f>IF($A2522="","",IF($B2522&lt;&gt;"",$B2522,IF(COUNTIFS(原始经营数据!$D$3:$D$3001,$A2522,原始经营数据!$E$3:$E$3001,"",原始经营数据!$F$3:$F$3001,$C2522,原始经营数据!$H$3:$H$3001,$D2522,原始经营数据!$K$3:$K$3001,$G2522)&gt;1,"基金整体·来源"&amp;原始经营数据!$A2523,"基金整体")))</f>
        <v/>
      </c>
      <c r="J2522" t="str">
        <f t="shared" si="588"/>
        <v/>
      </c>
      <c r="K2522" t="str">
        <f t="shared" si="589"/>
        <v/>
      </c>
      <c r="L2522" t="str">
        <f t="shared" si="590"/>
        <v/>
      </c>
      <c r="M2522">
        <f>IF($A2522="",0,IF(COUNTIF($L$2:$L2522,$L2522)=1,1,0))</f>
        <v>0</v>
      </c>
      <c r="N2522" t="str">
        <f t="shared" si="591"/>
        <v/>
      </c>
      <c r="O2522" t="str">
        <f t="shared" si="592"/>
        <v/>
      </c>
      <c r="P2522">
        <f>IF($A2522="",0,IF(COUNTIF($O$2:$O2522,$O2522)=1,1,0))</f>
        <v>0</v>
      </c>
      <c r="Q2522" t="str">
        <f>IF(AND($P2522=1,$A2522=经营数据!$B$3,$J2522=经营数据!$BA$5),COUNTIFS($P$2:$P$3000,1,$A$2:$A$3000,$A2522,$J$2:$J$3000,$J2522,$N$2:$N$3000,"&lt;"&amp;$N2522)+1,"")</f>
        <v/>
      </c>
      <c r="R2522" t="str">
        <f t="shared" si="593"/>
        <v/>
      </c>
      <c r="S2522">
        <f>IF($A2522="",0,IF(COUNTIF($R$2:$R2522,$R2522)=1,1,0))</f>
        <v>0</v>
      </c>
      <c r="T2522" t="str">
        <f t="shared" si="594"/>
        <v/>
      </c>
      <c r="U2522" t="str">
        <f>IF($A2522="","",IF($A2522=经营数据!$B$3,COUNTIFS($S$2:$S$3000,1,$A$2:$A$3000,$A2522,$T$2:$T$3000,"&lt;"&amp;$T2522)+1,""))</f>
        <v/>
      </c>
      <c r="V2522" t="str">
        <f t="shared" si="595"/>
        <v/>
      </c>
      <c r="W2522" t="str">
        <f t="shared" si="596"/>
        <v/>
      </c>
      <c r="X2522" t="str">
        <f t="shared" si="597"/>
        <v/>
      </c>
      <c r="Y2522" t="str">
        <f t="shared" si="598"/>
        <v/>
      </c>
      <c r="Z2522">
        <f>IF($A2522="",0,IF(AND($M2522=1,$A2522=经营数据!$B$3,$J2522=经营数据!$BA$5,OR($I2522=经营数据!$BA$4,COUNTIF(经营数据!$AA$9:$AA$38,$I2522)&gt;0)),1,0))</f>
        <v>0</v>
      </c>
      <c r="AA2522" t="str">
        <f t="shared" si="599"/>
        <v/>
      </c>
      <c r="AB2522" t="str">
        <f t="shared" si="600"/>
        <v/>
      </c>
      <c r="AC2522">
        <f>IF($A2522="",0,IF(COUNTIF($A$2:$A2522,$A2522)=1,1,0))</f>
        <v>0</v>
      </c>
      <c r="AD2522">
        <f t="shared" si="601"/>
        <v>29</v>
      </c>
      <c r="AE2522" t="str">
        <f t="shared" si="602"/>
        <v/>
      </c>
    </row>
    <row r="2523" spans="1:31" x14ac:dyDescent="0.4">
      <c r="A2523" t="str">
        <f>IF(原始经营数据!$D2524="","",原始经营数据!$D2524)</f>
        <v/>
      </c>
      <c r="B2523" t="str">
        <f>IF(原始经营数据!$D2524="","",T(原始经营数据!$E2524))</f>
        <v/>
      </c>
      <c r="C2523" t="str">
        <f>IF(原始经营数据!$D2524="","",原始经营数据!$F2524)</f>
        <v/>
      </c>
      <c r="D2523" t="str">
        <f>IF(原始经营数据!$D2524="","",原始经营数据!$H2524)</f>
        <v/>
      </c>
      <c r="E2523" t="str">
        <f>IF(原始经营数据!$D2524="","",原始经营数据!$I2524)</f>
        <v/>
      </c>
      <c r="F2523" t="str">
        <f>IF(原始经营数据!$D2524="","",T(原始经营数据!$J2524))</f>
        <v/>
      </c>
      <c r="G2523" t="str">
        <f>IF(原始经营数据!$D2524="","",T(原始经营数据!$K2524))</f>
        <v/>
      </c>
      <c r="H2523" t="str">
        <f>IF(原始经营数据!$D2524="","",原始经营数据!$G2524)</f>
        <v/>
      </c>
      <c r="I2523" t="str">
        <f>IF($A2523="","",IF($B2523&lt;&gt;"",$B2523,IF(COUNTIFS(原始经营数据!$D$3:$D$3001,$A2523,原始经营数据!$E$3:$E$3001,"",原始经营数据!$F$3:$F$3001,$C2523,原始经营数据!$H$3:$H$3001,$D2523,原始经营数据!$K$3:$K$3001,$G2523)&gt;1,"基金整体·来源"&amp;原始经营数据!$A2524,"基金整体")))</f>
        <v/>
      </c>
      <c r="J2523" t="str">
        <f t="shared" si="588"/>
        <v/>
      </c>
      <c r="K2523" t="str">
        <f t="shared" si="589"/>
        <v/>
      </c>
      <c r="L2523" t="str">
        <f t="shared" si="590"/>
        <v/>
      </c>
      <c r="M2523">
        <f>IF($A2523="",0,IF(COUNTIF($L$2:$L2523,$L2523)=1,1,0))</f>
        <v>0</v>
      </c>
      <c r="N2523" t="str">
        <f t="shared" si="591"/>
        <v/>
      </c>
      <c r="O2523" t="str">
        <f t="shared" si="592"/>
        <v/>
      </c>
      <c r="P2523">
        <f>IF($A2523="",0,IF(COUNTIF($O$2:$O2523,$O2523)=1,1,0))</f>
        <v>0</v>
      </c>
      <c r="Q2523" t="str">
        <f>IF(AND($P2523=1,$A2523=经营数据!$B$3,$J2523=经营数据!$BA$5),COUNTIFS($P$2:$P$3000,1,$A$2:$A$3000,$A2523,$J$2:$J$3000,$J2523,$N$2:$N$3000,"&lt;"&amp;$N2523)+1,"")</f>
        <v/>
      </c>
      <c r="R2523" t="str">
        <f t="shared" si="593"/>
        <v/>
      </c>
      <c r="S2523">
        <f>IF($A2523="",0,IF(COUNTIF($R$2:$R2523,$R2523)=1,1,0))</f>
        <v>0</v>
      </c>
      <c r="T2523" t="str">
        <f t="shared" si="594"/>
        <v/>
      </c>
      <c r="U2523" t="str">
        <f>IF($A2523="","",IF($A2523=经营数据!$B$3,COUNTIFS($S$2:$S$3000,1,$A$2:$A$3000,$A2523,$T$2:$T$3000,"&lt;"&amp;$T2523)+1,""))</f>
        <v/>
      </c>
      <c r="V2523" t="str">
        <f t="shared" si="595"/>
        <v/>
      </c>
      <c r="W2523" t="str">
        <f t="shared" si="596"/>
        <v/>
      </c>
      <c r="X2523" t="str">
        <f t="shared" si="597"/>
        <v/>
      </c>
      <c r="Y2523" t="str">
        <f t="shared" si="598"/>
        <v/>
      </c>
      <c r="Z2523">
        <f>IF($A2523="",0,IF(AND($M2523=1,$A2523=经营数据!$B$3,$J2523=经营数据!$BA$5,OR($I2523=经营数据!$BA$4,COUNTIF(经营数据!$AA$9:$AA$38,$I2523)&gt;0)),1,0))</f>
        <v>0</v>
      </c>
      <c r="AA2523" t="str">
        <f t="shared" si="599"/>
        <v/>
      </c>
      <c r="AB2523" t="str">
        <f t="shared" si="600"/>
        <v/>
      </c>
      <c r="AC2523">
        <f>IF($A2523="",0,IF(COUNTIF($A$2:$A2523,$A2523)=1,1,0))</f>
        <v>0</v>
      </c>
      <c r="AD2523">
        <f t="shared" si="601"/>
        <v>29</v>
      </c>
      <c r="AE2523" t="str">
        <f t="shared" si="602"/>
        <v/>
      </c>
    </row>
    <row r="2524" spans="1:31" x14ac:dyDescent="0.4">
      <c r="A2524" t="str">
        <f>IF(原始经营数据!$D2525="","",原始经营数据!$D2525)</f>
        <v/>
      </c>
      <c r="B2524" t="str">
        <f>IF(原始经营数据!$D2525="","",T(原始经营数据!$E2525))</f>
        <v/>
      </c>
      <c r="C2524" t="str">
        <f>IF(原始经营数据!$D2525="","",原始经营数据!$F2525)</f>
        <v/>
      </c>
      <c r="D2524" t="str">
        <f>IF(原始经营数据!$D2525="","",原始经营数据!$H2525)</f>
        <v/>
      </c>
      <c r="E2524" t="str">
        <f>IF(原始经营数据!$D2525="","",原始经营数据!$I2525)</f>
        <v/>
      </c>
      <c r="F2524" t="str">
        <f>IF(原始经营数据!$D2525="","",T(原始经营数据!$J2525))</f>
        <v/>
      </c>
      <c r="G2524" t="str">
        <f>IF(原始经营数据!$D2525="","",T(原始经营数据!$K2525))</f>
        <v/>
      </c>
      <c r="H2524" t="str">
        <f>IF(原始经营数据!$D2525="","",原始经营数据!$G2525)</f>
        <v/>
      </c>
      <c r="I2524" t="str">
        <f>IF($A2524="","",IF($B2524&lt;&gt;"",$B2524,IF(COUNTIFS(原始经营数据!$D$3:$D$3001,$A2524,原始经营数据!$E$3:$E$3001,"",原始经营数据!$F$3:$F$3001,$C2524,原始经营数据!$H$3:$H$3001,$D2524,原始经营数据!$K$3:$K$3001,$G2524)&gt;1,"基金整体·来源"&amp;原始经营数据!$A2525,"基金整体")))</f>
        <v/>
      </c>
      <c r="J2524" t="str">
        <f t="shared" si="588"/>
        <v/>
      </c>
      <c r="K2524" t="str">
        <f t="shared" si="589"/>
        <v/>
      </c>
      <c r="L2524" t="str">
        <f t="shared" si="590"/>
        <v/>
      </c>
      <c r="M2524">
        <f>IF($A2524="",0,IF(COUNTIF($L$2:$L2524,$L2524)=1,1,0))</f>
        <v>0</v>
      </c>
      <c r="N2524" t="str">
        <f t="shared" si="591"/>
        <v/>
      </c>
      <c r="O2524" t="str">
        <f t="shared" si="592"/>
        <v/>
      </c>
      <c r="P2524">
        <f>IF($A2524="",0,IF(COUNTIF($O$2:$O2524,$O2524)=1,1,0))</f>
        <v>0</v>
      </c>
      <c r="Q2524" t="str">
        <f>IF(AND($P2524=1,$A2524=经营数据!$B$3,$J2524=经营数据!$BA$5),COUNTIFS($P$2:$P$3000,1,$A$2:$A$3000,$A2524,$J$2:$J$3000,$J2524,$N$2:$N$3000,"&lt;"&amp;$N2524)+1,"")</f>
        <v/>
      </c>
      <c r="R2524" t="str">
        <f t="shared" si="593"/>
        <v/>
      </c>
      <c r="S2524">
        <f>IF($A2524="",0,IF(COUNTIF($R$2:$R2524,$R2524)=1,1,0))</f>
        <v>0</v>
      </c>
      <c r="T2524" t="str">
        <f t="shared" si="594"/>
        <v/>
      </c>
      <c r="U2524" t="str">
        <f>IF($A2524="","",IF($A2524=经营数据!$B$3,COUNTIFS($S$2:$S$3000,1,$A$2:$A$3000,$A2524,$T$2:$T$3000,"&lt;"&amp;$T2524)+1,""))</f>
        <v/>
      </c>
      <c r="V2524" t="str">
        <f t="shared" si="595"/>
        <v/>
      </c>
      <c r="W2524" t="str">
        <f t="shared" si="596"/>
        <v/>
      </c>
      <c r="X2524" t="str">
        <f t="shared" si="597"/>
        <v/>
      </c>
      <c r="Y2524" t="str">
        <f t="shared" si="598"/>
        <v/>
      </c>
      <c r="Z2524">
        <f>IF($A2524="",0,IF(AND($M2524=1,$A2524=经营数据!$B$3,$J2524=经营数据!$BA$5,OR($I2524=经营数据!$BA$4,COUNTIF(经营数据!$AA$9:$AA$38,$I2524)&gt;0)),1,0))</f>
        <v>0</v>
      </c>
      <c r="AA2524" t="str">
        <f t="shared" si="599"/>
        <v/>
      </c>
      <c r="AB2524" t="str">
        <f t="shared" si="600"/>
        <v/>
      </c>
      <c r="AC2524">
        <f>IF($A2524="",0,IF(COUNTIF($A$2:$A2524,$A2524)=1,1,0))</f>
        <v>0</v>
      </c>
      <c r="AD2524">
        <f t="shared" si="601"/>
        <v>29</v>
      </c>
      <c r="AE2524" t="str">
        <f t="shared" si="602"/>
        <v/>
      </c>
    </row>
    <row r="2525" spans="1:31" x14ac:dyDescent="0.4">
      <c r="A2525" t="str">
        <f>IF(原始经营数据!$D2526="","",原始经营数据!$D2526)</f>
        <v/>
      </c>
      <c r="B2525" t="str">
        <f>IF(原始经营数据!$D2526="","",T(原始经营数据!$E2526))</f>
        <v/>
      </c>
      <c r="C2525" t="str">
        <f>IF(原始经营数据!$D2526="","",原始经营数据!$F2526)</f>
        <v/>
      </c>
      <c r="D2525" t="str">
        <f>IF(原始经营数据!$D2526="","",原始经营数据!$H2526)</f>
        <v/>
      </c>
      <c r="E2525" t="str">
        <f>IF(原始经营数据!$D2526="","",原始经营数据!$I2526)</f>
        <v/>
      </c>
      <c r="F2525" t="str">
        <f>IF(原始经营数据!$D2526="","",T(原始经营数据!$J2526))</f>
        <v/>
      </c>
      <c r="G2525" t="str">
        <f>IF(原始经营数据!$D2526="","",T(原始经营数据!$K2526))</f>
        <v/>
      </c>
      <c r="H2525" t="str">
        <f>IF(原始经营数据!$D2526="","",原始经营数据!$G2526)</f>
        <v/>
      </c>
      <c r="I2525" t="str">
        <f>IF($A2525="","",IF($B2525&lt;&gt;"",$B2525,IF(COUNTIFS(原始经营数据!$D$3:$D$3001,$A2525,原始经营数据!$E$3:$E$3001,"",原始经营数据!$F$3:$F$3001,$C2525,原始经营数据!$H$3:$H$3001,$D2525,原始经营数据!$K$3:$K$3001,$G2525)&gt;1,"基金整体·来源"&amp;原始经营数据!$A2526,"基金整体")))</f>
        <v/>
      </c>
      <c r="J2525" t="str">
        <f t="shared" si="588"/>
        <v/>
      </c>
      <c r="K2525" t="str">
        <f t="shared" si="589"/>
        <v/>
      </c>
      <c r="L2525" t="str">
        <f t="shared" si="590"/>
        <v/>
      </c>
      <c r="M2525">
        <f>IF($A2525="",0,IF(COUNTIF($L$2:$L2525,$L2525)=1,1,0))</f>
        <v>0</v>
      </c>
      <c r="N2525" t="str">
        <f t="shared" si="591"/>
        <v/>
      </c>
      <c r="O2525" t="str">
        <f t="shared" si="592"/>
        <v/>
      </c>
      <c r="P2525">
        <f>IF($A2525="",0,IF(COUNTIF($O$2:$O2525,$O2525)=1,1,0))</f>
        <v>0</v>
      </c>
      <c r="Q2525" t="str">
        <f>IF(AND($P2525=1,$A2525=经营数据!$B$3,$J2525=经营数据!$BA$5),COUNTIFS($P$2:$P$3000,1,$A$2:$A$3000,$A2525,$J$2:$J$3000,$J2525,$N$2:$N$3000,"&lt;"&amp;$N2525)+1,"")</f>
        <v/>
      </c>
      <c r="R2525" t="str">
        <f t="shared" si="593"/>
        <v/>
      </c>
      <c r="S2525">
        <f>IF($A2525="",0,IF(COUNTIF($R$2:$R2525,$R2525)=1,1,0))</f>
        <v>0</v>
      </c>
      <c r="T2525" t="str">
        <f t="shared" si="594"/>
        <v/>
      </c>
      <c r="U2525" t="str">
        <f>IF($A2525="","",IF($A2525=经营数据!$B$3,COUNTIFS($S$2:$S$3000,1,$A$2:$A$3000,$A2525,$T$2:$T$3000,"&lt;"&amp;$T2525)+1,""))</f>
        <v/>
      </c>
      <c r="V2525" t="str">
        <f t="shared" si="595"/>
        <v/>
      </c>
      <c r="W2525" t="str">
        <f t="shared" si="596"/>
        <v/>
      </c>
      <c r="X2525" t="str">
        <f t="shared" si="597"/>
        <v/>
      </c>
      <c r="Y2525" t="str">
        <f t="shared" si="598"/>
        <v/>
      </c>
      <c r="Z2525">
        <f>IF($A2525="",0,IF(AND($M2525=1,$A2525=经营数据!$B$3,$J2525=经营数据!$BA$5,OR($I2525=经营数据!$BA$4,COUNTIF(经营数据!$AA$9:$AA$38,$I2525)&gt;0)),1,0))</f>
        <v>0</v>
      </c>
      <c r="AA2525" t="str">
        <f t="shared" si="599"/>
        <v/>
      </c>
      <c r="AB2525" t="str">
        <f t="shared" si="600"/>
        <v/>
      </c>
      <c r="AC2525">
        <f>IF($A2525="",0,IF(COUNTIF($A$2:$A2525,$A2525)=1,1,0))</f>
        <v>0</v>
      </c>
      <c r="AD2525">
        <f t="shared" si="601"/>
        <v>29</v>
      </c>
      <c r="AE2525" t="str">
        <f t="shared" si="602"/>
        <v/>
      </c>
    </row>
    <row r="2526" spans="1:31" x14ac:dyDescent="0.4">
      <c r="A2526" t="str">
        <f>IF(原始经营数据!$D2527="","",原始经营数据!$D2527)</f>
        <v/>
      </c>
      <c r="B2526" t="str">
        <f>IF(原始经营数据!$D2527="","",T(原始经营数据!$E2527))</f>
        <v/>
      </c>
      <c r="C2526" t="str">
        <f>IF(原始经营数据!$D2527="","",原始经营数据!$F2527)</f>
        <v/>
      </c>
      <c r="D2526" t="str">
        <f>IF(原始经营数据!$D2527="","",原始经营数据!$H2527)</f>
        <v/>
      </c>
      <c r="E2526" t="str">
        <f>IF(原始经营数据!$D2527="","",原始经营数据!$I2527)</f>
        <v/>
      </c>
      <c r="F2526" t="str">
        <f>IF(原始经营数据!$D2527="","",T(原始经营数据!$J2527))</f>
        <v/>
      </c>
      <c r="G2526" t="str">
        <f>IF(原始经营数据!$D2527="","",T(原始经营数据!$K2527))</f>
        <v/>
      </c>
      <c r="H2526" t="str">
        <f>IF(原始经营数据!$D2527="","",原始经营数据!$G2527)</f>
        <v/>
      </c>
      <c r="I2526" t="str">
        <f>IF($A2526="","",IF($B2526&lt;&gt;"",$B2526,IF(COUNTIFS(原始经营数据!$D$3:$D$3001,$A2526,原始经营数据!$E$3:$E$3001,"",原始经营数据!$F$3:$F$3001,$C2526,原始经营数据!$H$3:$H$3001,$D2526,原始经营数据!$K$3:$K$3001,$G2526)&gt;1,"基金整体·来源"&amp;原始经营数据!$A2527,"基金整体")))</f>
        <v/>
      </c>
      <c r="J2526" t="str">
        <f t="shared" si="588"/>
        <v/>
      </c>
      <c r="K2526" t="str">
        <f t="shared" si="589"/>
        <v/>
      </c>
      <c r="L2526" t="str">
        <f t="shared" si="590"/>
        <v/>
      </c>
      <c r="M2526">
        <f>IF($A2526="",0,IF(COUNTIF($L$2:$L2526,$L2526)=1,1,0))</f>
        <v>0</v>
      </c>
      <c r="N2526" t="str">
        <f t="shared" si="591"/>
        <v/>
      </c>
      <c r="O2526" t="str">
        <f t="shared" si="592"/>
        <v/>
      </c>
      <c r="P2526">
        <f>IF($A2526="",0,IF(COUNTIF($O$2:$O2526,$O2526)=1,1,0))</f>
        <v>0</v>
      </c>
      <c r="Q2526" t="str">
        <f>IF(AND($P2526=1,$A2526=经营数据!$B$3,$J2526=经营数据!$BA$5),COUNTIFS($P$2:$P$3000,1,$A$2:$A$3000,$A2526,$J$2:$J$3000,$J2526,$N$2:$N$3000,"&lt;"&amp;$N2526)+1,"")</f>
        <v/>
      </c>
      <c r="R2526" t="str">
        <f t="shared" si="593"/>
        <v/>
      </c>
      <c r="S2526">
        <f>IF($A2526="",0,IF(COUNTIF($R$2:$R2526,$R2526)=1,1,0))</f>
        <v>0</v>
      </c>
      <c r="T2526" t="str">
        <f t="shared" si="594"/>
        <v/>
      </c>
      <c r="U2526" t="str">
        <f>IF($A2526="","",IF($A2526=经营数据!$B$3,COUNTIFS($S$2:$S$3000,1,$A$2:$A$3000,$A2526,$T$2:$T$3000,"&lt;"&amp;$T2526)+1,""))</f>
        <v/>
      </c>
      <c r="V2526" t="str">
        <f t="shared" si="595"/>
        <v/>
      </c>
      <c r="W2526" t="str">
        <f t="shared" si="596"/>
        <v/>
      </c>
      <c r="X2526" t="str">
        <f t="shared" si="597"/>
        <v/>
      </c>
      <c r="Y2526" t="str">
        <f t="shared" si="598"/>
        <v/>
      </c>
      <c r="Z2526">
        <f>IF($A2526="",0,IF(AND($M2526=1,$A2526=经营数据!$B$3,$J2526=经营数据!$BA$5,OR($I2526=经营数据!$BA$4,COUNTIF(经营数据!$AA$9:$AA$38,$I2526)&gt;0)),1,0))</f>
        <v>0</v>
      </c>
      <c r="AA2526" t="str">
        <f t="shared" si="599"/>
        <v/>
      </c>
      <c r="AB2526" t="str">
        <f t="shared" si="600"/>
        <v/>
      </c>
      <c r="AC2526">
        <f>IF($A2526="",0,IF(COUNTIF($A$2:$A2526,$A2526)=1,1,0))</f>
        <v>0</v>
      </c>
      <c r="AD2526">
        <f t="shared" si="601"/>
        <v>29</v>
      </c>
      <c r="AE2526" t="str">
        <f t="shared" si="602"/>
        <v/>
      </c>
    </row>
    <row r="2527" spans="1:31" x14ac:dyDescent="0.4">
      <c r="A2527" t="str">
        <f>IF(原始经营数据!$D2528="","",原始经营数据!$D2528)</f>
        <v/>
      </c>
      <c r="B2527" t="str">
        <f>IF(原始经营数据!$D2528="","",T(原始经营数据!$E2528))</f>
        <v/>
      </c>
      <c r="C2527" t="str">
        <f>IF(原始经营数据!$D2528="","",原始经营数据!$F2528)</f>
        <v/>
      </c>
      <c r="D2527" t="str">
        <f>IF(原始经营数据!$D2528="","",原始经营数据!$H2528)</f>
        <v/>
      </c>
      <c r="E2527" t="str">
        <f>IF(原始经营数据!$D2528="","",原始经营数据!$I2528)</f>
        <v/>
      </c>
      <c r="F2527" t="str">
        <f>IF(原始经营数据!$D2528="","",T(原始经营数据!$J2528))</f>
        <v/>
      </c>
      <c r="G2527" t="str">
        <f>IF(原始经营数据!$D2528="","",T(原始经营数据!$K2528))</f>
        <v/>
      </c>
      <c r="H2527" t="str">
        <f>IF(原始经营数据!$D2528="","",原始经营数据!$G2528)</f>
        <v/>
      </c>
      <c r="I2527" t="str">
        <f>IF($A2527="","",IF($B2527&lt;&gt;"",$B2527,IF(COUNTIFS(原始经营数据!$D$3:$D$3001,$A2527,原始经营数据!$E$3:$E$3001,"",原始经营数据!$F$3:$F$3001,$C2527,原始经营数据!$H$3:$H$3001,$D2527,原始经营数据!$K$3:$K$3001,$G2527)&gt;1,"基金整体·来源"&amp;原始经营数据!$A2528,"基金整体")))</f>
        <v/>
      </c>
      <c r="J2527" t="str">
        <f t="shared" si="588"/>
        <v/>
      </c>
      <c r="K2527" t="str">
        <f t="shared" si="589"/>
        <v/>
      </c>
      <c r="L2527" t="str">
        <f t="shared" si="590"/>
        <v/>
      </c>
      <c r="M2527">
        <f>IF($A2527="",0,IF(COUNTIF($L$2:$L2527,$L2527)=1,1,0))</f>
        <v>0</v>
      </c>
      <c r="N2527" t="str">
        <f t="shared" si="591"/>
        <v/>
      </c>
      <c r="O2527" t="str">
        <f t="shared" si="592"/>
        <v/>
      </c>
      <c r="P2527">
        <f>IF($A2527="",0,IF(COUNTIF($O$2:$O2527,$O2527)=1,1,0))</f>
        <v>0</v>
      </c>
      <c r="Q2527" t="str">
        <f>IF(AND($P2527=1,$A2527=经营数据!$B$3,$J2527=经营数据!$BA$5),COUNTIFS($P$2:$P$3000,1,$A$2:$A$3000,$A2527,$J$2:$J$3000,$J2527,$N$2:$N$3000,"&lt;"&amp;$N2527)+1,"")</f>
        <v/>
      </c>
      <c r="R2527" t="str">
        <f t="shared" si="593"/>
        <v/>
      </c>
      <c r="S2527">
        <f>IF($A2527="",0,IF(COUNTIF($R$2:$R2527,$R2527)=1,1,0))</f>
        <v>0</v>
      </c>
      <c r="T2527" t="str">
        <f t="shared" si="594"/>
        <v/>
      </c>
      <c r="U2527" t="str">
        <f>IF($A2527="","",IF($A2527=经营数据!$B$3,COUNTIFS($S$2:$S$3000,1,$A$2:$A$3000,$A2527,$T$2:$T$3000,"&lt;"&amp;$T2527)+1,""))</f>
        <v/>
      </c>
      <c r="V2527" t="str">
        <f t="shared" si="595"/>
        <v/>
      </c>
      <c r="W2527" t="str">
        <f t="shared" si="596"/>
        <v/>
      </c>
      <c r="X2527" t="str">
        <f t="shared" si="597"/>
        <v/>
      </c>
      <c r="Y2527" t="str">
        <f t="shared" si="598"/>
        <v/>
      </c>
      <c r="Z2527">
        <f>IF($A2527="",0,IF(AND($M2527=1,$A2527=经营数据!$B$3,$J2527=经营数据!$BA$5,OR($I2527=经营数据!$BA$4,COUNTIF(经营数据!$AA$9:$AA$38,$I2527)&gt;0)),1,0))</f>
        <v>0</v>
      </c>
      <c r="AA2527" t="str">
        <f t="shared" si="599"/>
        <v/>
      </c>
      <c r="AB2527" t="str">
        <f t="shared" si="600"/>
        <v/>
      </c>
      <c r="AC2527">
        <f>IF($A2527="",0,IF(COUNTIF($A$2:$A2527,$A2527)=1,1,0))</f>
        <v>0</v>
      </c>
      <c r="AD2527">
        <f t="shared" si="601"/>
        <v>29</v>
      </c>
      <c r="AE2527" t="str">
        <f t="shared" si="602"/>
        <v/>
      </c>
    </row>
    <row r="2528" spans="1:31" x14ac:dyDescent="0.4">
      <c r="A2528" t="str">
        <f>IF(原始经营数据!$D2529="","",原始经营数据!$D2529)</f>
        <v/>
      </c>
      <c r="B2528" t="str">
        <f>IF(原始经营数据!$D2529="","",T(原始经营数据!$E2529))</f>
        <v/>
      </c>
      <c r="C2528" t="str">
        <f>IF(原始经营数据!$D2529="","",原始经营数据!$F2529)</f>
        <v/>
      </c>
      <c r="D2528" t="str">
        <f>IF(原始经营数据!$D2529="","",原始经营数据!$H2529)</f>
        <v/>
      </c>
      <c r="E2528" t="str">
        <f>IF(原始经营数据!$D2529="","",原始经营数据!$I2529)</f>
        <v/>
      </c>
      <c r="F2528" t="str">
        <f>IF(原始经营数据!$D2529="","",T(原始经营数据!$J2529))</f>
        <v/>
      </c>
      <c r="G2528" t="str">
        <f>IF(原始经营数据!$D2529="","",T(原始经营数据!$K2529))</f>
        <v/>
      </c>
      <c r="H2528" t="str">
        <f>IF(原始经营数据!$D2529="","",原始经营数据!$G2529)</f>
        <v/>
      </c>
      <c r="I2528" t="str">
        <f>IF($A2528="","",IF($B2528&lt;&gt;"",$B2528,IF(COUNTIFS(原始经营数据!$D$3:$D$3001,$A2528,原始经营数据!$E$3:$E$3001,"",原始经营数据!$F$3:$F$3001,$C2528,原始经营数据!$H$3:$H$3001,$D2528,原始经营数据!$K$3:$K$3001,$G2528)&gt;1,"基金整体·来源"&amp;原始经营数据!$A2529,"基金整体")))</f>
        <v/>
      </c>
      <c r="J2528" t="str">
        <f t="shared" si="588"/>
        <v/>
      </c>
      <c r="K2528" t="str">
        <f t="shared" si="589"/>
        <v/>
      </c>
      <c r="L2528" t="str">
        <f t="shared" si="590"/>
        <v/>
      </c>
      <c r="M2528">
        <f>IF($A2528="",0,IF(COUNTIF($L$2:$L2528,$L2528)=1,1,0))</f>
        <v>0</v>
      </c>
      <c r="N2528" t="str">
        <f t="shared" si="591"/>
        <v/>
      </c>
      <c r="O2528" t="str">
        <f t="shared" si="592"/>
        <v/>
      </c>
      <c r="P2528">
        <f>IF($A2528="",0,IF(COUNTIF($O$2:$O2528,$O2528)=1,1,0))</f>
        <v>0</v>
      </c>
      <c r="Q2528" t="str">
        <f>IF(AND($P2528=1,$A2528=经营数据!$B$3,$J2528=经营数据!$BA$5),COUNTIFS($P$2:$P$3000,1,$A$2:$A$3000,$A2528,$J$2:$J$3000,$J2528,$N$2:$N$3000,"&lt;"&amp;$N2528)+1,"")</f>
        <v/>
      </c>
      <c r="R2528" t="str">
        <f t="shared" si="593"/>
        <v/>
      </c>
      <c r="S2528">
        <f>IF($A2528="",0,IF(COUNTIF($R$2:$R2528,$R2528)=1,1,0))</f>
        <v>0</v>
      </c>
      <c r="T2528" t="str">
        <f t="shared" si="594"/>
        <v/>
      </c>
      <c r="U2528" t="str">
        <f>IF($A2528="","",IF($A2528=经营数据!$B$3,COUNTIFS($S$2:$S$3000,1,$A$2:$A$3000,$A2528,$T$2:$T$3000,"&lt;"&amp;$T2528)+1,""))</f>
        <v/>
      </c>
      <c r="V2528" t="str">
        <f t="shared" si="595"/>
        <v/>
      </c>
      <c r="W2528" t="str">
        <f t="shared" si="596"/>
        <v/>
      </c>
      <c r="X2528" t="str">
        <f t="shared" si="597"/>
        <v/>
      </c>
      <c r="Y2528" t="str">
        <f t="shared" si="598"/>
        <v/>
      </c>
      <c r="Z2528">
        <f>IF($A2528="",0,IF(AND($M2528=1,$A2528=经营数据!$B$3,$J2528=经营数据!$BA$5,OR($I2528=经营数据!$BA$4,COUNTIF(经营数据!$AA$9:$AA$38,$I2528)&gt;0)),1,0))</f>
        <v>0</v>
      </c>
      <c r="AA2528" t="str">
        <f t="shared" si="599"/>
        <v/>
      </c>
      <c r="AB2528" t="str">
        <f t="shared" si="600"/>
        <v/>
      </c>
      <c r="AC2528">
        <f>IF($A2528="",0,IF(COUNTIF($A$2:$A2528,$A2528)=1,1,0))</f>
        <v>0</v>
      </c>
      <c r="AD2528">
        <f t="shared" si="601"/>
        <v>29</v>
      </c>
      <c r="AE2528" t="str">
        <f t="shared" si="602"/>
        <v/>
      </c>
    </row>
    <row r="2529" spans="1:31" x14ac:dyDescent="0.4">
      <c r="A2529" t="str">
        <f>IF(原始经营数据!$D2530="","",原始经营数据!$D2530)</f>
        <v/>
      </c>
      <c r="B2529" t="str">
        <f>IF(原始经营数据!$D2530="","",T(原始经营数据!$E2530))</f>
        <v/>
      </c>
      <c r="C2529" t="str">
        <f>IF(原始经营数据!$D2530="","",原始经营数据!$F2530)</f>
        <v/>
      </c>
      <c r="D2529" t="str">
        <f>IF(原始经营数据!$D2530="","",原始经营数据!$H2530)</f>
        <v/>
      </c>
      <c r="E2529" t="str">
        <f>IF(原始经营数据!$D2530="","",原始经营数据!$I2530)</f>
        <v/>
      </c>
      <c r="F2529" t="str">
        <f>IF(原始经营数据!$D2530="","",T(原始经营数据!$J2530))</f>
        <v/>
      </c>
      <c r="G2529" t="str">
        <f>IF(原始经营数据!$D2530="","",T(原始经营数据!$K2530))</f>
        <v/>
      </c>
      <c r="H2529" t="str">
        <f>IF(原始经营数据!$D2530="","",原始经营数据!$G2530)</f>
        <v/>
      </c>
      <c r="I2529" t="str">
        <f>IF($A2529="","",IF($B2529&lt;&gt;"",$B2529,IF(COUNTIFS(原始经营数据!$D$3:$D$3001,$A2529,原始经营数据!$E$3:$E$3001,"",原始经营数据!$F$3:$F$3001,$C2529,原始经营数据!$H$3:$H$3001,$D2529,原始经营数据!$K$3:$K$3001,$G2529)&gt;1,"基金整体·来源"&amp;原始经营数据!$A2530,"基金整体")))</f>
        <v/>
      </c>
      <c r="J2529" t="str">
        <f t="shared" si="588"/>
        <v/>
      </c>
      <c r="K2529" t="str">
        <f t="shared" si="589"/>
        <v/>
      </c>
      <c r="L2529" t="str">
        <f t="shared" si="590"/>
        <v/>
      </c>
      <c r="M2529">
        <f>IF($A2529="",0,IF(COUNTIF($L$2:$L2529,$L2529)=1,1,0))</f>
        <v>0</v>
      </c>
      <c r="N2529" t="str">
        <f t="shared" si="591"/>
        <v/>
      </c>
      <c r="O2529" t="str">
        <f t="shared" si="592"/>
        <v/>
      </c>
      <c r="P2529">
        <f>IF($A2529="",0,IF(COUNTIF($O$2:$O2529,$O2529)=1,1,0))</f>
        <v>0</v>
      </c>
      <c r="Q2529" t="str">
        <f>IF(AND($P2529=1,$A2529=经营数据!$B$3,$J2529=经营数据!$BA$5),COUNTIFS($P$2:$P$3000,1,$A$2:$A$3000,$A2529,$J$2:$J$3000,$J2529,$N$2:$N$3000,"&lt;"&amp;$N2529)+1,"")</f>
        <v/>
      </c>
      <c r="R2529" t="str">
        <f t="shared" si="593"/>
        <v/>
      </c>
      <c r="S2529">
        <f>IF($A2529="",0,IF(COUNTIF($R$2:$R2529,$R2529)=1,1,0))</f>
        <v>0</v>
      </c>
      <c r="T2529" t="str">
        <f t="shared" si="594"/>
        <v/>
      </c>
      <c r="U2529" t="str">
        <f>IF($A2529="","",IF($A2529=经营数据!$B$3,COUNTIFS($S$2:$S$3000,1,$A$2:$A$3000,$A2529,$T$2:$T$3000,"&lt;"&amp;$T2529)+1,""))</f>
        <v/>
      </c>
      <c r="V2529" t="str">
        <f t="shared" si="595"/>
        <v/>
      </c>
      <c r="W2529" t="str">
        <f t="shared" si="596"/>
        <v/>
      </c>
      <c r="X2529" t="str">
        <f t="shared" si="597"/>
        <v/>
      </c>
      <c r="Y2529" t="str">
        <f t="shared" si="598"/>
        <v/>
      </c>
      <c r="Z2529">
        <f>IF($A2529="",0,IF(AND($M2529=1,$A2529=经营数据!$B$3,$J2529=经营数据!$BA$5,OR($I2529=经营数据!$BA$4,COUNTIF(经营数据!$AA$9:$AA$38,$I2529)&gt;0)),1,0))</f>
        <v>0</v>
      </c>
      <c r="AA2529" t="str">
        <f t="shared" si="599"/>
        <v/>
      </c>
      <c r="AB2529" t="str">
        <f t="shared" si="600"/>
        <v/>
      </c>
      <c r="AC2529">
        <f>IF($A2529="",0,IF(COUNTIF($A$2:$A2529,$A2529)=1,1,0))</f>
        <v>0</v>
      </c>
      <c r="AD2529">
        <f t="shared" si="601"/>
        <v>29</v>
      </c>
      <c r="AE2529" t="str">
        <f t="shared" si="602"/>
        <v/>
      </c>
    </row>
    <row r="2530" spans="1:31" x14ac:dyDescent="0.4">
      <c r="A2530" t="str">
        <f>IF(原始经营数据!$D2531="","",原始经营数据!$D2531)</f>
        <v/>
      </c>
      <c r="B2530" t="str">
        <f>IF(原始经营数据!$D2531="","",T(原始经营数据!$E2531))</f>
        <v/>
      </c>
      <c r="C2530" t="str">
        <f>IF(原始经营数据!$D2531="","",原始经营数据!$F2531)</f>
        <v/>
      </c>
      <c r="D2530" t="str">
        <f>IF(原始经营数据!$D2531="","",原始经营数据!$H2531)</f>
        <v/>
      </c>
      <c r="E2530" t="str">
        <f>IF(原始经营数据!$D2531="","",原始经营数据!$I2531)</f>
        <v/>
      </c>
      <c r="F2530" t="str">
        <f>IF(原始经营数据!$D2531="","",T(原始经营数据!$J2531))</f>
        <v/>
      </c>
      <c r="G2530" t="str">
        <f>IF(原始经营数据!$D2531="","",T(原始经营数据!$K2531))</f>
        <v/>
      </c>
      <c r="H2530" t="str">
        <f>IF(原始经营数据!$D2531="","",原始经营数据!$G2531)</f>
        <v/>
      </c>
      <c r="I2530" t="str">
        <f>IF($A2530="","",IF($B2530&lt;&gt;"",$B2530,IF(COUNTIFS(原始经营数据!$D$3:$D$3001,$A2530,原始经营数据!$E$3:$E$3001,"",原始经营数据!$F$3:$F$3001,$C2530,原始经营数据!$H$3:$H$3001,$D2530,原始经营数据!$K$3:$K$3001,$G2530)&gt;1,"基金整体·来源"&amp;原始经营数据!$A2531,"基金整体")))</f>
        <v/>
      </c>
      <c r="J2530" t="str">
        <f t="shared" si="588"/>
        <v/>
      </c>
      <c r="K2530" t="str">
        <f t="shared" si="589"/>
        <v/>
      </c>
      <c r="L2530" t="str">
        <f t="shared" si="590"/>
        <v/>
      </c>
      <c r="M2530">
        <f>IF($A2530="",0,IF(COUNTIF($L$2:$L2530,$L2530)=1,1,0))</f>
        <v>0</v>
      </c>
      <c r="N2530" t="str">
        <f t="shared" si="591"/>
        <v/>
      </c>
      <c r="O2530" t="str">
        <f t="shared" si="592"/>
        <v/>
      </c>
      <c r="P2530">
        <f>IF($A2530="",0,IF(COUNTIF($O$2:$O2530,$O2530)=1,1,0))</f>
        <v>0</v>
      </c>
      <c r="Q2530" t="str">
        <f>IF(AND($P2530=1,$A2530=经营数据!$B$3,$J2530=经营数据!$BA$5),COUNTIFS($P$2:$P$3000,1,$A$2:$A$3000,$A2530,$J$2:$J$3000,$J2530,$N$2:$N$3000,"&lt;"&amp;$N2530)+1,"")</f>
        <v/>
      </c>
      <c r="R2530" t="str">
        <f t="shared" si="593"/>
        <v/>
      </c>
      <c r="S2530">
        <f>IF($A2530="",0,IF(COUNTIF($R$2:$R2530,$R2530)=1,1,0))</f>
        <v>0</v>
      </c>
      <c r="T2530" t="str">
        <f t="shared" si="594"/>
        <v/>
      </c>
      <c r="U2530" t="str">
        <f>IF($A2530="","",IF($A2530=经营数据!$B$3,COUNTIFS($S$2:$S$3000,1,$A$2:$A$3000,$A2530,$T$2:$T$3000,"&lt;"&amp;$T2530)+1,""))</f>
        <v/>
      </c>
      <c r="V2530" t="str">
        <f t="shared" si="595"/>
        <v/>
      </c>
      <c r="W2530" t="str">
        <f t="shared" si="596"/>
        <v/>
      </c>
      <c r="X2530" t="str">
        <f t="shared" si="597"/>
        <v/>
      </c>
      <c r="Y2530" t="str">
        <f t="shared" si="598"/>
        <v/>
      </c>
      <c r="Z2530">
        <f>IF($A2530="",0,IF(AND($M2530=1,$A2530=经营数据!$B$3,$J2530=经营数据!$BA$5,OR($I2530=经营数据!$BA$4,COUNTIF(经营数据!$AA$9:$AA$38,$I2530)&gt;0)),1,0))</f>
        <v>0</v>
      </c>
      <c r="AA2530" t="str">
        <f t="shared" si="599"/>
        <v/>
      </c>
      <c r="AB2530" t="str">
        <f t="shared" si="600"/>
        <v/>
      </c>
      <c r="AC2530">
        <f>IF($A2530="",0,IF(COUNTIF($A$2:$A2530,$A2530)=1,1,0))</f>
        <v>0</v>
      </c>
      <c r="AD2530">
        <f t="shared" si="601"/>
        <v>29</v>
      </c>
      <c r="AE2530" t="str">
        <f t="shared" si="602"/>
        <v/>
      </c>
    </row>
    <row r="2531" spans="1:31" x14ac:dyDescent="0.4">
      <c r="A2531" t="str">
        <f>IF(原始经营数据!$D2532="","",原始经营数据!$D2532)</f>
        <v/>
      </c>
      <c r="B2531" t="str">
        <f>IF(原始经营数据!$D2532="","",T(原始经营数据!$E2532))</f>
        <v/>
      </c>
      <c r="C2531" t="str">
        <f>IF(原始经营数据!$D2532="","",原始经营数据!$F2532)</f>
        <v/>
      </c>
      <c r="D2531" t="str">
        <f>IF(原始经营数据!$D2532="","",原始经营数据!$H2532)</f>
        <v/>
      </c>
      <c r="E2531" t="str">
        <f>IF(原始经营数据!$D2532="","",原始经营数据!$I2532)</f>
        <v/>
      </c>
      <c r="F2531" t="str">
        <f>IF(原始经营数据!$D2532="","",T(原始经营数据!$J2532))</f>
        <v/>
      </c>
      <c r="G2531" t="str">
        <f>IF(原始经营数据!$D2532="","",T(原始经营数据!$K2532))</f>
        <v/>
      </c>
      <c r="H2531" t="str">
        <f>IF(原始经营数据!$D2532="","",原始经营数据!$G2532)</f>
        <v/>
      </c>
      <c r="I2531" t="str">
        <f>IF($A2531="","",IF($B2531&lt;&gt;"",$B2531,IF(COUNTIFS(原始经营数据!$D$3:$D$3001,$A2531,原始经营数据!$E$3:$E$3001,"",原始经营数据!$F$3:$F$3001,$C2531,原始经营数据!$H$3:$H$3001,$D2531,原始经营数据!$K$3:$K$3001,$G2531)&gt;1,"基金整体·来源"&amp;原始经营数据!$A2532,"基金整体")))</f>
        <v/>
      </c>
      <c r="J2531" t="str">
        <f t="shared" si="588"/>
        <v/>
      </c>
      <c r="K2531" t="str">
        <f t="shared" si="589"/>
        <v/>
      </c>
      <c r="L2531" t="str">
        <f t="shared" si="590"/>
        <v/>
      </c>
      <c r="M2531">
        <f>IF($A2531="",0,IF(COUNTIF($L$2:$L2531,$L2531)=1,1,0))</f>
        <v>0</v>
      </c>
      <c r="N2531" t="str">
        <f t="shared" si="591"/>
        <v/>
      </c>
      <c r="O2531" t="str">
        <f t="shared" si="592"/>
        <v/>
      </c>
      <c r="P2531">
        <f>IF($A2531="",0,IF(COUNTIF($O$2:$O2531,$O2531)=1,1,0))</f>
        <v>0</v>
      </c>
      <c r="Q2531" t="str">
        <f>IF(AND($P2531=1,$A2531=经营数据!$B$3,$J2531=经营数据!$BA$5),COUNTIFS($P$2:$P$3000,1,$A$2:$A$3000,$A2531,$J$2:$J$3000,$J2531,$N$2:$N$3000,"&lt;"&amp;$N2531)+1,"")</f>
        <v/>
      </c>
      <c r="R2531" t="str">
        <f t="shared" si="593"/>
        <v/>
      </c>
      <c r="S2531">
        <f>IF($A2531="",0,IF(COUNTIF($R$2:$R2531,$R2531)=1,1,0))</f>
        <v>0</v>
      </c>
      <c r="T2531" t="str">
        <f t="shared" si="594"/>
        <v/>
      </c>
      <c r="U2531" t="str">
        <f>IF($A2531="","",IF($A2531=经营数据!$B$3,COUNTIFS($S$2:$S$3000,1,$A$2:$A$3000,$A2531,$T$2:$T$3000,"&lt;"&amp;$T2531)+1,""))</f>
        <v/>
      </c>
      <c r="V2531" t="str">
        <f t="shared" si="595"/>
        <v/>
      </c>
      <c r="W2531" t="str">
        <f t="shared" si="596"/>
        <v/>
      </c>
      <c r="X2531" t="str">
        <f t="shared" si="597"/>
        <v/>
      </c>
      <c r="Y2531" t="str">
        <f t="shared" si="598"/>
        <v/>
      </c>
      <c r="Z2531">
        <f>IF($A2531="",0,IF(AND($M2531=1,$A2531=经营数据!$B$3,$J2531=经营数据!$BA$5,OR($I2531=经营数据!$BA$4,COUNTIF(经营数据!$AA$9:$AA$38,$I2531)&gt;0)),1,0))</f>
        <v>0</v>
      </c>
      <c r="AA2531" t="str">
        <f t="shared" si="599"/>
        <v/>
      </c>
      <c r="AB2531" t="str">
        <f t="shared" si="600"/>
        <v/>
      </c>
      <c r="AC2531">
        <f>IF($A2531="",0,IF(COUNTIF($A$2:$A2531,$A2531)=1,1,0))</f>
        <v>0</v>
      </c>
      <c r="AD2531">
        <f t="shared" si="601"/>
        <v>29</v>
      </c>
      <c r="AE2531" t="str">
        <f t="shared" si="602"/>
        <v/>
      </c>
    </row>
    <row r="2532" spans="1:31" x14ac:dyDescent="0.4">
      <c r="A2532" t="str">
        <f>IF(原始经营数据!$D2533="","",原始经营数据!$D2533)</f>
        <v/>
      </c>
      <c r="B2532" t="str">
        <f>IF(原始经营数据!$D2533="","",T(原始经营数据!$E2533))</f>
        <v/>
      </c>
      <c r="C2532" t="str">
        <f>IF(原始经营数据!$D2533="","",原始经营数据!$F2533)</f>
        <v/>
      </c>
      <c r="D2532" t="str">
        <f>IF(原始经营数据!$D2533="","",原始经营数据!$H2533)</f>
        <v/>
      </c>
      <c r="E2532" t="str">
        <f>IF(原始经营数据!$D2533="","",原始经营数据!$I2533)</f>
        <v/>
      </c>
      <c r="F2532" t="str">
        <f>IF(原始经营数据!$D2533="","",T(原始经营数据!$J2533))</f>
        <v/>
      </c>
      <c r="G2532" t="str">
        <f>IF(原始经营数据!$D2533="","",T(原始经营数据!$K2533))</f>
        <v/>
      </c>
      <c r="H2532" t="str">
        <f>IF(原始经营数据!$D2533="","",原始经营数据!$G2533)</f>
        <v/>
      </c>
      <c r="I2532" t="str">
        <f>IF($A2532="","",IF($B2532&lt;&gt;"",$B2532,IF(COUNTIFS(原始经营数据!$D$3:$D$3001,$A2532,原始经营数据!$E$3:$E$3001,"",原始经营数据!$F$3:$F$3001,$C2532,原始经营数据!$H$3:$H$3001,$D2532,原始经营数据!$K$3:$K$3001,$G2532)&gt;1,"基金整体·来源"&amp;原始经营数据!$A2533,"基金整体")))</f>
        <v/>
      </c>
      <c r="J2532" t="str">
        <f t="shared" si="588"/>
        <v/>
      </c>
      <c r="K2532" t="str">
        <f t="shared" si="589"/>
        <v/>
      </c>
      <c r="L2532" t="str">
        <f t="shared" si="590"/>
        <v/>
      </c>
      <c r="M2532">
        <f>IF($A2532="",0,IF(COUNTIF($L$2:$L2532,$L2532)=1,1,0))</f>
        <v>0</v>
      </c>
      <c r="N2532" t="str">
        <f t="shared" si="591"/>
        <v/>
      </c>
      <c r="O2532" t="str">
        <f t="shared" si="592"/>
        <v/>
      </c>
      <c r="P2532">
        <f>IF($A2532="",0,IF(COUNTIF($O$2:$O2532,$O2532)=1,1,0))</f>
        <v>0</v>
      </c>
      <c r="Q2532" t="str">
        <f>IF(AND($P2532=1,$A2532=经营数据!$B$3,$J2532=经营数据!$BA$5),COUNTIFS($P$2:$P$3000,1,$A$2:$A$3000,$A2532,$J$2:$J$3000,$J2532,$N$2:$N$3000,"&lt;"&amp;$N2532)+1,"")</f>
        <v/>
      </c>
      <c r="R2532" t="str">
        <f t="shared" si="593"/>
        <v/>
      </c>
      <c r="S2532">
        <f>IF($A2532="",0,IF(COUNTIF($R$2:$R2532,$R2532)=1,1,0))</f>
        <v>0</v>
      </c>
      <c r="T2532" t="str">
        <f t="shared" si="594"/>
        <v/>
      </c>
      <c r="U2532" t="str">
        <f>IF($A2532="","",IF($A2532=经营数据!$B$3,COUNTIFS($S$2:$S$3000,1,$A$2:$A$3000,$A2532,$T$2:$T$3000,"&lt;"&amp;$T2532)+1,""))</f>
        <v/>
      </c>
      <c r="V2532" t="str">
        <f t="shared" si="595"/>
        <v/>
      </c>
      <c r="W2532" t="str">
        <f t="shared" si="596"/>
        <v/>
      </c>
      <c r="X2532" t="str">
        <f t="shared" si="597"/>
        <v/>
      </c>
      <c r="Y2532" t="str">
        <f t="shared" si="598"/>
        <v/>
      </c>
      <c r="Z2532">
        <f>IF($A2532="",0,IF(AND($M2532=1,$A2532=经营数据!$B$3,$J2532=经营数据!$BA$5,OR($I2532=经营数据!$BA$4,COUNTIF(经营数据!$AA$9:$AA$38,$I2532)&gt;0)),1,0))</f>
        <v>0</v>
      </c>
      <c r="AA2532" t="str">
        <f t="shared" si="599"/>
        <v/>
      </c>
      <c r="AB2532" t="str">
        <f t="shared" si="600"/>
        <v/>
      </c>
      <c r="AC2532">
        <f>IF($A2532="",0,IF(COUNTIF($A$2:$A2532,$A2532)=1,1,0))</f>
        <v>0</v>
      </c>
      <c r="AD2532">
        <f t="shared" si="601"/>
        <v>29</v>
      </c>
      <c r="AE2532" t="str">
        <f t="shared" si="602"/>
        <v/>
      </c>
    </row>
    <row r="2533" spans="1:31" x14ac:dyDescent="0.4">
      <c r="A2533" t="str">
        <f>IF(原始经营数据!$D2534="","",原始经营数据!$D2534)</f>
        <v/>
      </c>
      <c r="B2533" t="str">
        <f>IF(原始经营数据!$D2534="","",T(原始经营数据!$E2534))</f>
        <v/>
      </c>
      <c r="C2533" t="str">
        <f>IF(原始经营数据!$D2534="","",原始经营数据!$F2534)</f>
        <v/>
      </c>
      <c r="D2533" t="str">
        <f>IF(原始经营数据!$D2534="","",原始经营数据!$H2534)</f>
        <v/>
      </c>
      <c r="E2533" t="str">
        <f>IF(原始经营数据!$D2534="","",原始经营数据!$I2534)</f>
        <v/>
      </c>
      <c r="F2533" t="str">
        <f>IF(原始经营数据!$D2534="","",T(原始经营数据!$J2534))</f>
        <v/>
      </c>
      <c r="G2533" t="str">
        <f>IF(原始经营数据!$D2534="","",T(原始经营数据!$K2534))</f>
        <v/>
      </c>
      <c r="H2533" t="str">
        <f>IF(原始经营数据!$D2534="","",原始经营数据!$G2534)</f>
        <v/>
      </c>
      <c r="I2533" t="str">
        <f>IF($A2533="","",IF($B2533&lt;&gt;"",$B2533,IF(COUNTIFS(原始经营数据!$D$3:$D$3001,$A2533,原始经营数据!$E$3:$E$3001,"",原始经营数据!$F$3:$F$3001,$C2533,原始经营数据!$H$3:$H$3001,$D2533,原始经营数据!$K$3:$K$3001,$G2533)&gt;1,"基金整体·来源"&amp;原始经营数据!$A2534,"基金整体")))</f>
        <v/>
      </c>
      <c r="J2533" t="str">
        <f t="shared" si="588"/>
        <v/>
      </c>
      <c r="K2533" t="str">
        <f t="shared" si="589"/>
        <v/>
      </c>
      <c r="L2533" t="str">
        <f t="shared" si="590"/>
        <v/>
      </c>
      <c r="M2533">
        <f>IF($A2533="",0,IF(COUNTIF($L$2:$L2533,$L2533)=1,1,0))</f>
        <v>0</v>
      </c>
      <c r="N2533" t="str">
        <f t="shared" si="591"/>
        <v/>
      </c>
      <c r="O2533" t="str">
        <f t="shared" si="592"/>
        <v/>
      </c>
      <c r="P2533">
        <f>IF($A2533="",0,IF(COUNTIF($O$2:$O2533,$O2533)=1,1,0))</f>
        <v>0</v>
      </c>
      <c r="Q2533" t="str">
        <f>IF(AND($P2533=1,$A2533=经营数据!$B$3,$J2533=经营数据!$BA$5),COUNTIFS($P$2:$P$3000,1,$A$2:$A$3000,$A2533,$J$2:$J$3000,$J2533,$N$2:$N$3000,"&lt;"&amp;$N2533)+1,"")</f>
        <v/>
      </c>
      <c r="R2533" t="str">
        <f t="shared" si="593"/>
        <v/>
      </c>
      <c r="S2533">
        <f>IF($A2533="",0,IF(COUNTIF($R$2:$R2533,$R2533)=1,1,0))</f>
        <v>0</v>
      </c>
      <c r="T2533" t="str">
        <f t="shared" si="594"/>
        <v/>
      </c>
      <c r="U2533" t="str">
        <f>IF($A2533="","",IF($A2533=经营数据!$B$3,COUNTIFS($S$2:$S$3000,1,$A$2:$A$3000,$A2533,$T$2:$T$3000,"&lt;"&amp;$T2533)+1,""))</f>
        <v/>
      </c>
      <c r="V2533" t="str">
        <f t="shared" si="595"/>
        <v/>
      </c>
      <c r="W2533" t="str">
        <f t="shared" si="596"/>
        <v/>
      </c>
      <c r="X2533" t="str">
        <f t="shared" si="597"/>
        <v/>
      </c>
      <c r="Y2533" t="str">
        <f t="shared" si="598"/>
        <v/>
      </c>
      <c r="Z2533">
        <f>IF($A2533="",0,IF(AND($M2533=1,$A2533=经营数据!$B$3,$J2533=经营数据!$BA$5,OR($I2533=经营数据!$BA$4,COUNTIF(经营数据!$AA$9:$AA$38,$I2533)&gt;0)),1,0))</f>
        <v>0</v>
      </c>
      <c r="AA2533" t="str">
        <f t="shared" si="599"/>
        <v/>
      </c>
      <c r="AB2533" t="str">
        <f t="shared" si="600"/>
        <v/>
      </c>
      <c r="AC2533">
        <f>IF($A2533="",0,IF(COUNTIF($A$2:$A2533,$A2533)=1,1,0))</f>
        <v>0</v>
      </c>
      <c r="AD2533">
        <f t="shared" si="601"/>
        <v>29</v>
      </c>
      <c r="AE2533" t="str">
        <f t="shared" si="602"/>
        <v/>
      </c>
    </row>
    <row r="2534" spans="1:31" x14ac:dyDescent="0.4">
      <c r="A2534" t="str">
        <f>IF(原始经营数据!$D2535="","",原始经营数据!$D2535)</f>
        <v/>
      </c>
      <c r="B2534" t="str">
        <f>IF(原始经营数据!$D2535="","",T(原始经营数据!$E2535))</f>
        <v/>
      </c>
      <c r="C2534" t="str">
        <f>IF(原始经营数据!$D2535="","",原始经营数据!$F2535)</f>
        <v/>
      </c>
      <c r="D2534" t="str">
        <f>IF(原始经营数据!$D2535="","",原始经营数据!$H2535)</f>
        <v/>
      </c>
      <c r="E2534" t="str">
        <f>IF(原始经营数据!$D2535="","",原始经营数据!$I2535)</f>
        <v/>
      </c>
      <c r="F2534" t="str">
        <f>IF(原始经营数据!$D2535="","",T(原始经营数据!$J2535))</f>
        <v/>
      </c>
      <c r="G2534" t="str">
        <f>IF(原始经营数据!$D2535="","",T(原始经营数据!$K2535))</f>
        <v/>
      </c>
      <c r="H2534" t="str">
        <f>IF(原始经营数据!$D2535="","",原始经营数据!$G2535)</f>
        <v/>
      </c>
      <c r="I2534" t="str">
        <f>IF($A2534="","",IF($B2534&lt;&gt;"",$B2534,IF(COUNTIFS(原始经营数据!$D$3:$D$3001,$A2534,原始经营数据!$E$3:$E$3001,"",原始经营数据!$F$3:$F$3001,$C2534,原始经营数据!$H$3:$H$3001,$D2534,原始经营数据!$K$3:$K$3001,$G2534)&gt;1,"基金整体·来源"&amp;原始经营数据!$A2535,"基金整体")))</f>
        <v/>
      </c>
      <c r="J2534" t="str">
        <f t="shared" si="588"/>
        <v/>
      </c>
      <c r="K2534" t="str">
        <f t="shared" si="589"/>
        <v/>
      </c>
      <c r="L2534" t="str">
        <f t="shared" si="590"/>
        <v/>
      </c>
      <c r="M2534">
        <f>IF($A2534="",0,IF(COUNTIF($L$2:$L2534,$L2534)=1,1,0))</f>
        <v>0</v>
      </c>
      <c r="N2534" t="str">
        <f t="shared" si="591"/>
        <v/>
      </c>
      <c r="O2534" t="str">
        <f t="shared" si="592"/>
        <v/>
      </c>
      <c r="P2534">
        <f>IF($A2534="",0,IF(COUNTIF($O$2:$O2534,$O2534)=1,1,0))</f>
        <v>0</v>
      </c>
      <c r="Q2534" t="str">
        <f>IF(AND($P2534=1,$A2534=经营数据!$B$3,$J2534=经营数据!$BA$5),COUNTIFS($P$2:$P$3000,1,$A$2:$A$3000,$A2534,$J$2:$J$3000,$J2534,$N$2:$N$3000,"&lt;"&amp;$N2534)+1,"")</f>
        <v/>
      </c>
      <c r="R2534" t="str">
        <f t="shared" si="593"/>
        <v/>
      </c>
      <c r="S2534">
        <f>IF($A2534="",0,IF(COUNTIF($R$2:$R2534,$R2534)=1,1,0))</f>
        <v>0</v>
      </c>
      <c r="T2534" t="str">
        <f t="shared" si="594"/>
        <v/>
      </c>
      <c r="U2534" t="str">
        <f>IF($A2534="","",IF($A2534=经营数据!$B$3,COUNTIFS($S$2:$S$3000,1,$A$2:$A$3000,$A2534,$T$2:$T$3000,"&lt;"&amp;$T2534)+1,""))</f>
        <v/>
      </c>
      <c r="V2534" t="str">
        <f t="shared" si="595"/>
        <v/>
      </c>
      <c r="W2534" t="str">
        <f t="shared" si="596"/>
        <v/>
      </c>
      <c r="X2534" t="str">
        <f t="shared" si="597"/>
        <v/>
      </c>
      <c r="Y2534" t="str">
        <f t="shared" si="598"/>
        <v/>
      </c>
      <c r="Z2534">
        <f>IF($A2534="",0,IF(AND($M2534=1,$A2534=经营数据!$B$3,$J2534=经营数据!$BA$5,OR($I2534=经营数据!$BA$4,COUNTIF(经营数据!$AA$9:$AA$38,$I2534)&gt;0)),1,0))</f>
        <v>0</v>
      </c>
      <c r="AA2534" t="str">
        <f t="shared" si="599"/>
        <v/>
      </c>
      <c r="AB2534" t="str">
        <f t="shared" si="600"/>
        <v/>
      </c>
      <c r="AC2534">
        <f>IF($A2534="",0,IF(COUNTIF($A$2:$A2534,$A2534)=1,1,0))</f>
        <v>0</v>
      </c>
      <c r="AD2534">
        <f t="shared" si="601"/>
        <v>29</v>
      </c>
      <c r="AE2534" t="str">
        <f t="shared" si="602"/>
        <v/>
      </c>
    </row>
    <row r="2535" spans="1:31" x14ac:dyDescent="0.4">
      <c r="A2535" t="str">
        <f>IF(原始经营数据!$D2536="","",原始经营数据!$D2536)</f>
        <v/>
      </c>
      <c r="B2535" t="str">
        <f>IF(原始经营数据!$D2536="","",T(原始经营数据!$E2536))</f>
        <v/>
      </c>
      <c r="C2535" t="str">
        <f>IF(原始经营数据!$D2536="","",原始经营数据!$F2536)</f>
        <v/>
      </c>
      <c r="D2535" t="str">
        <f>IF(原始经营数据!$D2536="","",原始经营数据!$H2536)</f>
        <v/>
      </c>
      <c r="E2535" t="str">
        <f>IF(原始经营数据!$D2536="","",原始经营数据!$I2536)</f>
        <v/>
      </c>
      <c r="F2535" t="str">
        <f>IF(原始经营数据!$D2536="","",T(原始经营数据!$J2536))</f>
        <v/>
      </c>
      <c r="G2535" t="str">
        <f>IF(原始经营数据!$D2536="","",T(原始经营数据!$K2536))</f>
        <v/>
      </c>
      <c r="H2535" t="str">
        <f>IF(原始经营数据!$D2536="","",原始经营数据!$G2536)</f>
        <v/>
      </c>
      <c r="I2535" t="str">
        <f>IF($A2535="","",IF($B2535&lt;&gt;"",$B2535,IF(COUNTIFS(原始经营数据!$D$3:$D$3001,$A2535,原始经营数据!$E$3:$E$3001,"",原始经营数据!$F$3:$F$3001,$C2535,原始经营数据!$H$3:$H$3001,$D2535,原始经营数据!$K$3:$K$3001,$G2535)&gt;1,"基金整体·来源"&amp;原始经营数据!$A2536,"基金整体")))</f>
        <v/>
      </c>
      <c r="J2535" t="str">
        <f t="shared" si="588"/>
        <v/>
      </c>
      <c r="K2535" t="str">
        <f t="shared" si="589"/>
        <v/>
      </c>
      <c r="L2535" t="str">
        <f t="shared" si="590"/>
        <v/>
      </c>
      <c r="M2535">
        <f>IF($A2535="",0,IF(COUNTIF($L$2:$L2535,$L2535)=1,1,0))</f>
        <v>0</v>
      </c>
      <c r="N2535" t="str">
        <f t="shared" si="591"/>
        <v/>
      </c>
      <c r="O2535" t="str">
        <f t="shared" si="592"/>
        <v/>
      </c>
      <c r="P2535">
        <f>IF($A2535="",0,IF(COUNTIF($O$2:$O2535,$O2535)=1,1,0))</f>
        <v>0</v>
      </c>
      <c r="Q2535" t="str">
        <f>IF(AND($P2535=1,$A2535=经营数据!$B$3,$J2535=经营数据!$BA$5),COUNTIFS($P$2:$P$3000,1,$A$2:$A$3000,$A2535,$J$2:$J$3000,$J2535,$N$2:$N$3000,"&lt;"&amp;$N2535)+1,"")</f>
        <v/>
      </c>
      <c r="R2535" t="str">
        <f t="shared" si="593"/>
        <v/>
      </c>
      <c r="S2535">
        <f>IF($A2535="",0,IF(COUNTIF($R$2:$R2535,$R2535)=1,1,0))</f>
        <v>0</v>
      </c>
      <c r="T2535" t="str">
        <f t="shared" si="594"/>
        <v/>
      </c>
      <c r="U2535" t="str">
        <f>IF($A2535="","",IF($A2535=经营数据!$B$3,COUNTIFS($S$2:$S$3000,1,$A$2:$A$3000,$A2535,$T$2:$T$3000,"&lt;"&amp;$T2535)+1,""))</f>
        <v/>
      </c>
      <c r="V2535" t="str">
        <f t="shared" si="595"/>
        <v/>
      </c>
      <c r="W2535" t="str">
        <f t="shared" si="596"/>
        <v/>
      </c>
      <c r="X2535" t="str">
        <f t="shared" si="597"/>
        <v/>
      </c>
      <c r="Y2535" t="str">
        <f t="shared" si="598"/>
        <v/>
      </c>
      <c r="Z2535">
        <f>IF($A2535="",0,IF(AND($M2535=1,$A2535=经营数据!$B$3,$J2535=经营数据!$BA$5,OR($I2535=经营数据!$BA$4,COUNTIF(经营数据!$AA$9:$AA$38,$I2535)&gt;0)),1,0))</f>
        <v>0</v>
      </c>
      <c r="AA2535" t="str">
        <f t="shared" si="599"/>
        <v/>
      </c>
      <c r="AB2535" t="str">
        <f t="shared" si="600"/>
        <v/>
      </c>
      <c r="AC2535">
        <f>IF($A2535="",0,IF(COUNTIF($A$2:$A2535,$A2535)=1,1,0))</f>
        <v>0</v>
      </c>
      <c r="AD2535">
        <f t="shared" si="601"/>
        <v>29</v>
      </c>
      <c r="AE2535" t="str">
        <f t="shared" si="602"/>
        <v/>
      </c>
    </row>
    <row r="2536" spans="1:31" x14ac:dyDescent="0.4">
      <c r="A2536" t="str">
        <f>IF(原始经营数据!$D2537="","",原始经营数据!$D2537)</f>
        <v/>
      </c>
      <c r="B2536" t="str">
        <f>IF(原始经营数据!$D2537="","",T(原始经营数据!$E2537))</f>
        <v/>
      </c>
      <c r="C2536" t="str">
        <f>IF(原始经营数据!$D2537="","",原始经营数据!$F2537)</f>
        <v/>
      </c>
      <c r="D2536" t="str">
        <f>IF(原始经营数据!$D2537="","",原始经营数据!$H2537)</f>
        <v/>
      </c>
      <c r="E2536" t="str">
        <f>IF(原始经营数据!$D2537="","",原始经营数据!$I2537)</f>
        <v/>
      </c>
      <c r="F2536" t="str">
        <f>IF(原始经营数据!$D2537="","",T(原始经营数据!$J2537))</f>
        <v/>
      </c>
      <c r="G2536" t="str">
        <f>IF(原始经营数据!$D2537="","",T(原始经营数据!$K2537))</f>
        <v/>
      </c>
      <c r="H2536" t="str">
        <f>IF(原始经营数据!$D2537="","",原始经营数据!$G2537)</f>
        <v/>
      </c>
      <c r="I2536" t="str">
        <f>IF($A2536="","",IF($B2536&lt;&gt;"",$B2536,IF(COUNTIFS(原始经营数据!$D$3:$D$3001,$A2536,原始经营数据!$E$3:$E$3001,"",原始经营数据!$F$3:$F$3001,$C2536,原始经营数据!$H$3:$H$3001,$D2536,原始经营数据!$K$3:$K$3001,$G2536)&gt;1,"基金整体·来源"&amp;原始经营数据!$A2537,"基金整体")))</f>
        <v/>
      </c>
      <c r="J2536" t="str">
        <f t="shared" si="588"/>
        <v/>
      </c>
      <c r="K2536" t="str">
        <f t="shared" si="589"/>
        <v/>
      </c>
      <c r="L2536" t="str">
        <f t="shared" si="590"/>
        <v/>
      </c>
      <c r="M2536">
        <f>IF($A2536="",0,IF(COUNTIF($L$2:$L2536,$L2536)=1,1,0))</f>
        <v>0</v>
      </c>
      <c r="N2536" t="str">
        <f t="shared" si="591"/>
        <v/>
      </c>
      <c r="O2536" t="str">
        <f t="shared" si="592"/>
        <v/>
      </c>
      <c r="P2536">
        <f>IF($A2536="",0,IF(COUNTIF($O$2:$O2536,$O2536)=1,1,0))</f>
        <v>0</v>
      </c>
      <c r="Q2536" t="str">
        <f>IF(AND($P2536=1,$A2536=经营数据!$B$3,$J2536=经营数据!$BA$5),COUNTIFS($P$2:$P$3000,1,$A$2:$A$3000,$A2536,$J$2:$J$3000,$J2536,$N$2:$N$3000,"&lt;"&amp;$N2536)+1,"")</f>
        <v/>
      </c>
      <c r="R2536" t="str">
        <f t="shared" si="593"/>
        <v/>
      </c>
      <c r="S2536">
        <f>IF($A2536="",0,IF(COUNTIF($R$2:$R2536,$R2536)=1,1,0))</f>
        <v>0</v>
      </c>
      <c r="T2536" t="str">
        <f t="shared" si="594"/>
        <v/>
      </c>
      <c r="U2536" t="str">
        <f>IF($A2536="","",IF($A2536=经营数据!$B$3,COUNTIFS($S$2:$S$3000,1,$A$2:$A$3000,$A2536,$T$2:$T$3000,"&lt;"&amp;$T2536)+1,""))</f>
        <v/>
      </c>
      <c r="V2536" t="str">
        <f t="shared" si="595"/>
        <v/>
      </c>
      <c r="W2536" t="str">
        <f t="shared" si="596"/>
        <v/>
      </c>
      <c r="X2536" t="str">
        <f t="shared" si="597"/>
        <v/>
      </c>
      <c r="Y2536" t="str">
        <f t="shared" si="598"/>
        <v/>
      </c>
      <c r="Z2536">
        <f>IF($A2536="",0,IF(AND($M2536=1,$A2536=经营数据!$B$3,$J2536=经营数据!$BA$5,OR($I2536=经营数据!$BA$4,COUNTIF(经营数据!$AA$9:$AA$38,$I2536)&gt;0)),1,0))</f>
        <v>0</v>
      </c>
      <c r="AA2536" t="str">
        <f t="shared" si="599"/>
        <v/>
      </c>
      <c r="AB2536" t="str">
        <f t="shared" si="600"/>
        <v/>
      </c>
      <c r="AC2536">
        <f>IF($A2536="",0,IF(COUNTIF($A$2:$A2536,$A2536)=1,1,0))</f>
        <v>0</v>
      </c>
      <c r="AD2536">
        <f t="shared" si="601"/>
        <v>29</v>
      </c>
      <c r="AE2536" t="str">
        <f t="shared" si="602"/>
        <v/>
      </c>
    </row>
    <row r="2537" spans="1:31" x14ac:dyDescent="0.4">
      <c r="A2537" t="str">
        <f>IF(原始经营数据!$D2538="","",原始经营数据!$D2538)</f>
        <v/>
      </c>
      <c r="B2537" t="str">
        <f>IF(原始经营数据!$D2538="","",T(原始经营数据!$E2538))</f>
        <v/>
      </c>
      <c r="C2537" t="str">
        <f>IF(原始经营数据!$D2538="","",原始经营数据!$F2538)</f>
        <v/>
      </c>
      <c r="D2537" t="str">
        <f>IF(原始经营数据!$D2538="","",原始经营数据!$H2538)</f>
        <v/>
      </c>
      <c r="E2537" t="str">
        <f>IF(原始经营数据!$D2538="","",原始经营数据!$I2538)</f>
        <v/>
      </c>
      <c r="F2537" t="str">
        <f>IF(原始经营数据!$D2538="","",T(原始经营数据!$J2538))</f>
        <v/>
      </c>
      <c r="G2537" t="str">
        <f>IF(原始经营数据!$D2538="","",T(原始经营数据!$K2538))</f>
        <v/>
      </c>
      <c r="H2537" t="str">
        <f>IF(原始经营数据!$D2538="","",原始经营数据!$G2538)</f>
        <v/>
      </c>
      <c r="I2537" t="str">
        <f>IF($A2537="","",IF($B2537&lt;&gt;"",$B2537,IF(COUNTIFS(原始经营数据!$D$3:$D$3001,$A2537,原始经营数据!$E$3:$E$3001,"",原始经营数据!$F$3:$F$3001,$C2537,原始经营数据!$H$3:$H$3001,$D2537,原始经营数据!$K$3:$K$3001,$G2537)&gt;1,"基金整体·来源"&amp;原始经营数据!$A2538,"基金整体")))</f>
        <v/>
      </c>
      <c r="J2537" t="str">
        <f t="shared" si="588"/>
        <v/>
      </c>
      <c r="K2537" t="str">
        <f t="shared" si="589"/>
        <v/>
      </c>
      <c r="L2537" t="str">
        <f t="shared" si="590"/>
        <v/>
      </c>
      <c r="M2537">
        <f>IF($A2537="",0,IF(COUNTIF($L$2:$L2537,$L2537)=1,1,0))</f>
        <v>0</v>
      </c>
      <c r="N2537" t="str">
        <f t="shared" si="591"/>
        <v/>
      </c>
      <c r="O2537" t="str">
        <f t="shared" si="592"/>
        <v/>
      </c>
      <c r="P2537">
        <f>IF($A2537="",0,IF(COUNTIF($O$2:$O2537,$O2537)=1,1,0))</f>
        <v>0</v>
      </c>
      <c r="Q2537" t="str">
        <f>IF(AND($P2537=1,$A2537=经营数据!$B$3,$J2537=经营数据!$BA$5),COUNTIFS($P$2:$P$3000,1,$A$2:$A$3000,$A2537,$J$2:$J$3000,$J2537,$N$2:$N$3000,"&lt;"&amp;$N2537)+1,"")</f>
        <v/>
      </c>
      <c r="R2537" t="str">
        <f t="shared" si="593"/>
        <v/>
      </c>
      <c r="S2537">
        <f>IF($A2537="",0,IF(COUNTIF($R$2:$R2537,$R2537)=1,1,0))</f>
        <v>0</v>
      </c>
      <c r="T2537" t="str">
        <f t="shared" si="594"/>
        <v/>
      </c>
      <c r="U2537" t="str">
        <f>IF($A2537="","",IF($A2537=经营数据!$B$3,COUNTIFS($S$2:$S$3000,1,$A$2:$A$3000,$A2537,$T$2:$T$3000,"&lt;"&amp;$T2537)+1,""))</f>
        <v/>
      </c>
      <c r="V2537" t="str">
        <f t="shared" si="595"/>
        <v/>
      </c>
      <c r="W2537" t="str">
        <f t="shared" si="596"/>
        <v/>
      </c>
      <c r="X2537" t="str">
        <f t="shared" si="597"/>
        <v/>
      </c>
      <c r="Y2537" t="str">
        <f t="shared" si="598"/>
        <v/>
      </c>
      <c r="Z2537">
        <f>IF($A2537="",0,IF(AND($M2537=1,$A2537=经营数据!$B$3,$J2537=经营数据!$BA$5,OR($I2537=经营数据!$BA$4,COUNTIF(经营数据!$AA$9:$AA$38,$I2537)&gt;0)),1,0))</f>
        <v>0</v>
      </c>
      <c r="AA2537" t="str">
        <f t="shared" si="599"/>
        <v/>
      </c>
      <c r="AB2537" t="str">
        <f t="shared" si="600"/>
        <v/>
      </c>
      <c r="AC2537">
        <f>IF($A2537="",0,IF(COUNTIF($A$2:$A2537,$A2537)=1,1,0))</f>
        <v>0</v>
      </c>
      <c r="AD2537">
        <f t="shared" si="601"/>
        <v>29</v>
      </c>
      <c r="AE2537" t="str">
        <f t="shared" si="602"/>
        <v/>
      </c>
    </row>
    <row r="2538" spans="1:31" x14ac:dyDescent="0.4">
      <c r="A2538" t="str">
        <f>IF(原始经营数据!$D2539="","",原始经营数据!$D2539)</f>
        <v/>
      </c>
      <c r="B2538" t="str">
        <f>IF(原始经营数据!$D2539="","",T(原始经营数据!$E2539))</f>
        <v/>
      </c>
      <c r="C2538" t="str">
        <f>IF(原始经营数据!$D2539="","",原始经营数据!$F2539)</f>
        <v/>
      </c>
      <c r="D2538" t="str">
        <f>IF(原始经营数据!$D2539="","",原始经营数据!$H2539)</f>
        <v/>
      </c>
      <c r="E2538" t="str">
        <f>IF(原始经营数据!$D2539="","",原始经营数据!$I2539)</f>
        <v/>
      </c>
      <c r="F2538" t="str">
        <f>IF(原始经营数据!$D2539="","",T(原始经营数据!$J2539))</f>
        <v/>
      </c>
      <c r="G2538" t="str">
        <f>IF(原始经营数据!$D2539="","",T(原始经营数据!$K2539))</f>
        <v/>
      </c>
      <c r="H2538" t="str">
        <f>IF(原始经营数据!$D2539="","",原始经营数据!$G2539)</f>
        <v/>
      </c>
      <c r="I2538" t="str">
        <f>IF($A2538="","",IF($B2538&lt;&gt;"",$B2538,IF(COUNTIFS(原始经营数据!$D$3:$D$3001,$A2538,原始经营数据!$E$3:$E$3001,"",原始经营数据!$F$3:$F$3001,$C2538,原始经营数据!$H$3:$H$3001,$D2538,原始经营数据!$K$3:$K$3001,$G2538)&gt;1,"基金整体·来源"&amp;原始经营数据!$A2539,"基金整体")))</f>
        <v/>
      </c>
      <c r="J2538" t="str">
        <f t="shared" si="588"/>
        <v/>
      </c>
      <c r="K2538" t="str">
        <f t="shared" si="589"/>
        <v/>
      </c>
      <c r="L2538" t="str">
        <f t="shared" si="590"/>
        <v/>
      </c>
      <c r="M2538">
        <f>IF($A2538="",0,IF(COUNTIF($L$2:$L2538,$L2538)=1,1,0))</f>
        <v>0</v>
      </c>
      <c r="N2538" t="str">
        <f t="shared" si="591"/>
        <v/>
      </c>
      <c r="O2538" t="str">
        <f t="shared" si="592"/>
        <v/>
      </c>
      <c r="P2538">
        <f>IF($A2538="",0,IF(COUNTIF($O$2:$O2538,$O2538)=1,1,0))</f>
        <v>0</v>
      </c>
      <c r="Q2538" t="str">
        <f>IF(AND($P2538=1,$A2538=经营数据!$B$3,$J2538=经营数据!$BA$5),COUNTIFS($P$2:$P$3000,1,$A$2:$A$3000,$A2538,$J$2:$J$3000,$J2538,$N$2:$N$3000,"&lt;"&amp;$N2538)+1,"")</f>
        <v/>
      </c>
      <c r="R2538" t="str">
        <f t="shared" si="593"/>
        <v/>
      </c>
      <c r="S2538">
        <f>IF($A2538="",0,IF(COUNTIF($R$2:$R2538,$R2538)=1,1,0))</f>
        <v>0</v>
      </c>
      <c r="T2538" t="str">
        <f t="shared" si="594"/>
        <v/>
      </c>
      <c r="U2538" t="str">
        <f>IF($A2538="","",IF($A2538=经营数据!$B$3,COUNTIFS($S$2:$S$3000,1,$A$2:$A$3000,$A2538,$T$2:$T$3000,"&lt;"&amp;$T2538)+1,""))</f>
        <v/>
      </c>
      <c r="V2538" t="str">
        <f t="shared" si="595"/>
        <v/>
      </c>
      <c r="W2538" t="str">
        <f t="shared" si="596"/>
        <v/>
      </c>
      <c r="X2538" t="str">
        <f t="shared" si="597"/>
        <v/>
      </c>
      <c r="Y2538" t="str">
        <f t="shared" si="598"/>
        <v/>
      </c>
      <c r="Z2538">
        <f>IF($A2538="",0,IF(AND($M2538=1,$A2538=经营数据!$B$3,$J2538=经营数据!$BA$5,OR($I2538=经营数据!$BA$4,COUNTIF(经营数据!$AA$9:$AA$38,$I2538)&gt;0)),1,0))</f>
        <v>0</v>
      </c>
      <c r="AA2538" t="str">
        <f t="shared" si="599"/>
        <v/>
      </c>
      <c r="AB2538" t="str">
        <f t="shared" si="600"/>
        <v/>
      </c>
      <c r="AC2538">
        <f>IF($A2538="",0,IF(COUNTIF($A$2:$A2538,$A2538)=1,1,0))</f>
        <v>0</v>
      </c>
      <c r="AD2538">
        <f t="shared" si="601"/>
        <v>29</v>
      </c>
      <c r="AE2538" t="str">
        <f t="shared" si="602"/>
        <v/>
      </c>
    </row>
    <row r="2539" spans="1:31" x14ac:dyDescent="0.4">
      <c r="A2539" t="str">
        <f>IF(原始经营数据!$D2540="","",原始经营数据!$D2540)</f>
        <v/>
      </c>
      <c r="B2539" t="str">
        <f>IF(原始经营数据!$D2540="","",T(原始经营数据!$E2540))</f>
        <v/>
      </c>
      <c r="C2539" t="str">
        <f>IF(原始经营数据!$D2540="","",原始经营数据!$F2540)</f>
        <v/>
      </c>
      <c r="D2539" t="str">
        <f>IF(原始经营数据!$D2540="","",原始经营数据!$H2540)</f>
        <v/>
      </c>
      <c r="E2539" t="str">
        <f>IF(原始经营数据!$D2540="","",原始经营数据!$I2540)</f>
        <v/>
      </c>
      <c r="F2539" t="str">
        <f>IF(原始经营数据!$D2540="","",T(原始经营数据!$J2540))</f>
        <v/>
      </c>
      <c r="G2539" t="str">
        <f>IF(原始经营数据!$D2540="","",T(原始经营数据!$K2540))</f>
        <v/>
      </c>
      <c r="H2539" t="str">
        <f>IF(原始经营数据!$D2540="","",原始经营数据!$G2540)</f>
        <v/>
      </c>
      <c r="I2539" t="str">
        <f>IF($A2539="","",IF($B2539&lt;&gt;"",$B2539,IF(COUNTIFS(原始经营数据!$D$3:$D$3001,$A2539,原始经营数据!$E$3:$E$3001,"",原始经营数据!$F$3:$F$3001,$C2539,原始经营数据!$H$3:$H$3001,$D2539,原始经营数据!$K$3:$K$3001,$G2539)&gt;1,"基金整体·来源"&amp;原始经营数据!$A2540,"基金整体")))</f>
        <v/>
      </c>
      <c r="J2539" t="str">
        <f t="shared" si="588"/>
        <v/>
      </c>
      <c r="K2539" t="str">
        <f t="shared" si="589"/>
        <v/>
      </c>
      <c r="L2539" t="str">
        <f t="shared" si="590"/>
        <v/>
      </c>
      <c r="M2539">
        <f>IF($A2539="",0,IF(COUNTIF($L$2:$L2539,$L2539)=1,1,0))</f>
        <v>0</v>
      </c>
      <c r="N2539" t="str">
        <f t="shared" si="591"/>
        <v/>
      </c>
      <c r="O2539" t="str">
        <f t="shared" si="592"/>
        <v/>
      </c>
      <c r="P2539">
        <f>IF($A2539="",0,IF(COUNTIF($O$2:$O2539,$O2539)=1,1,0))</f>
        <v>0</v>
      </c>
      <c r="Q2539" t="str">
        <f>IF(AND($P2539=1,$A2539=经营数据!$B$3,$J2539=经营数据!$BA$5),COUNTIFS($P$2:$P$3000,1,$A$2:$A$3000,$A2539,$J$2:$J$3000,$J2539,$N$2:$N$3000,"&lt;"&amp;$N2539)+1,"")</f>
        <v/>
      </c>
      <c r="R2539" t="str">
        <f t="shared" si="593"/>
        <v/>
      </c>
      <c r="S2539">
        <f>IF($A2539="",0,IF(COUNTIF($R$2:$R2539,$R2539)=1,1,0))</f>
        <v>0</v>
      </c>
      <c r="T2539" t="str">
        <f t="shared" si="594"/>
        <v/>
      </c>
      <c r="U2539" t="str">
        <f>IF($A2539="","",IF($A2539=经营数据!$B$3,COUNTIFS($S$2:$S$3000,1,$A$2:$A$3000,$A2539,$T$2:$T$3000,"&lt;"&amp;$T2539)+1,""))</f>
        <v/>
      </c>
      <c r="V2539" t="str">
        <f t="shared" si="595"/>
        <v/>
      </c>
      <c r="W2539" t="str">
        <f t="shared" si="596"/>
        <v/>
      </c>
      <c r="X2539" t="str">
        <f t="shared" si="597"/>
        <v/>
      </c>
      <c r="Y2539" t="str">
        <f t="shared" si="598"/>
        <v/>
      </c>
      <c r="Z2539">
        <f>IF($A2539="",0,IF(AND($M2539=1,$A2539=经营数据!$B$3,$J2539=经营数据!$BA$5,OR($I2539=经营数据!$BA$4,COUNTIF(经营数据!$AA$9:$AA$38,$I2539)&gt;0)),1,0))</f>
        <v>0</v>
      </c>
      <c r="AA2539" t="str">
        <f t="shared" si="599"/>
        <v/>
      </c>
      <c r="AB2539" t="str">
        <f t="shared" si="600"/>
        <v/>
      </c>
      <c r="AC2539">
        <f>IF($A2539="",0,IF(COUNTIF($A$2:$A2539,$A2539)=1,1,0))</f>
        <v>0</v>
      </c>
      <c r="AD2539">
        <f t="shared" si="601"/>
        <v>29</v>
      </c>
      <c r="AE2539" t="str">
        <f t="shared" si="602"/>
        <v/>
      </c>
    </row>
    <row r="2540" spans="1:31" x14ac:dyDescent="0.4">
      <c r="A2540" t="str">
        <f>IF(原始经营数据!$D2541="","",原始经营数据!$D2541)</f>
        <v/>
      </c>
      <c r="B2540" t="str">
        <f>IF(原始经营数据!$D2541="","",T(原始经营数据!$E2541))</f>
        <v/>
      </c>
      <c r="C2540" t="str">
        <f>IF(原始经营数据!$D2541="","",原始经营数据!$F2541)</f>
        <v/>
      </c>
      <c r="D2540" t="str">
        <f>IF(原始经营数据!$D2541="","",原始经营数据!$H2541)</f>
        <v/>
      </c>
      <c r="E2540" t="str">
        <f>IF(原始经营数据!$D2541="","",原始经营数据!$I2541)</f>
        <v/>
      </c>
      <c r="F2540" t="str">
        <f>IF(原始经营数据!$D2541="","",T(原始经营数据!$J2541))</f>
        <v/>
      </c>
      <c r="G2540" t="str">
        <f>IF(原始经营数据!$D2541="","",T(原始经营数据!$K2541))</f>
        <v/>
      </c>
      <c r="H2540" t="str">
        <f>IF(原始经营数据!$D2541="","",原始经营数据!$G2541)</f>
        <v/>
      </c>
      <c r="I2540" t="str">
        <f>IF($A2540="","",IF($B2540&lt;&gt;"",$B2540,IF(COUNTIFS(原始经营数据!$D$3:$D$3001,$A2540,原始经营数据!$E$3:$E$3001,"",原始经营数据!$F$3:$F$3001,$C2540,原始经营数据!$H$3:$H$3001,$D2540,原始经营数据!$K$3:$K$3001,$G2540)&gt;1,"基金整体·来源"&amp;原始经营数据!$A2541,"基金整体")))</f>
        <v/>
      </c>
      <c r="J2540" t="str">
        <f t="shared" si="588"/>
        <v/>
      </c>
      <c r="K2540" t="str">
        <f t="shared" si="589"/>
        <v/>
      </c>
      <c r="L2540" t="str">
        <f t="shared" si="590"/>
        <v/>
      </c>
      <c r="M2540">
        <f>IF($A2540="",0,IF(COUNTIF($L$2:$L2540,$L2540)=1,1,0))</f>
        <v>0</v>
      </c>
      <c r="N2540" t="str">
        <f t="shared" si="591"/>
        <v/>
      </c>
      <c r="O2540" t="str">
        <f t="shared" si="592"/>
        <v/>
      </c>
      <c r="P2540">
        <f>IF($A2540="",0,IF(COUNTIF($O$2:$O2540,$O2540)=1,1,0))</f>
        <v>0</v>
      </c>
      <c r="Q2540" t="str">
        <f>IF(AND($P2540=1,$A2540=经营数据!$B$3,$J2540=经营数据!$BA$5),COUNTIFS($P$2:$P$3000,1,$A$2:$A$3000,$A2540,$J$2:$J$3000,$J2540,$N$2:$N$3000,"&lt;"&amp;$N2540)+1,"")</f>
        <v/>
      </c>
      <c r="R2540" t="str">
        <f t="shared" si="593"/>
        <v/>
      </c>
      <c r="S2540">
        <f>IF($A2540="",0,IF(COUNTIF($R$2:$R2540,$R2540)=1,1,0))</f>
        <v>0</v>
      </c>
      <c r="T2540" t="str">
        <f t="shared" si="594"/>
        <v/>
      </c>
      <c r="U2540" t="str">
        <f>IF($A2540="","",IF($A2540=经营数据!$B$3,COUNTIFS($S$2:$S$3000,1,$A$2:$A$3000,$A2540,$T$2:$T$3000,"&lt;"&amp;$T2540)+1,""))</f>
        <v/>
      </c>
      <c r="V2540" t="str">
        <f t="shared" si="595"/>
        <v/>
      </c>
      <c r="W2540" t="str">
        <f t="shared" si="596"/>
        <v/>
      </c>
      <c r="X2540" t="str">
        <f t="shared" si="597"/>
        <v/>
      </c>
      <c r="Y2540" t="str">
        <f t="shared" si="598"/>
        <v/>
      </c>
      <c r="Z2540">
        <f>IF($A2540="",0,IF(AND($M2540=1,$A2540=经营数据!$B$3,$J2540=经营数据!$BA$5,OR($I2540=经营数据!$BA$4,COUNTIF(经营数据!$AA$9:$AA$38,$I2540)&gt;0)),1,0))</f>
        <v>0</v>
      </c>
      <c r="AA2540" t="str">
        <f t="shared" si="599"/>
        <v/>
      </c>
      <c r="AB2540" t="str">
        <f t="shared" si="600"/>
        <v/>
      </c>
      <c r="AC2540">
        <f>IF($A2540="",0,IF(COUNTIF($A$2:$A2540,$A2540)=1,1,0))</f>
        <v>0</v>
      </c>
      <c r="AD2540">
        <f t="shared" si="601"/>
        <v>29</v>
      </c>
      <c r="AE2540" t="str">
        <f t="shared" si="602"/>
        <v/>
      </c>
    </row>
    <row r="2541" spans="1:31" x14ac:dyDescent="0.4">
      <c r="A2541" t="str">
        <f>IF(原始经营数据!$D2542="","",原始经营数据!$D2542)</f>
        <v/>
      </c>
      <c r="B2541" t="str">
        <f>IF(原始经营数据!$D2542="","",T(原始经营数据!$E2542))</f>
        <v/>
      </c>
      <c r="C2541" t="str">
        <f>IF(原始经营数据!$D2542="","",原始经营数据!$F2542)</f>
        <v/>
      </c>
      <c r="D2541" t="str">
        <f>IF(原始经营数据!$D2542="","",原始经营数据!$H2542)</f>
        <v/>
      </c>
      <c r="E2541" t="str">
        <f>IF(原始经营数据!$D2542="","",原始经营数据!$I2542)</f>
        <v/>
      </c>
      <c r="F2541" t="str">
        <f>IF(原始经营数据!$D2542="","",T(原始经营数据!$J2542))</f>
        <v/>
      </c>
      <c r="G2541" t="str">
        <f>IF(原始经营数据!$D2542="","",T(原始经营数据!$K2542))</f>
        <v/>
      </c>
      <c r="H2541" t="str">
        <f>IF(原始经营数据!$D2542="","",原始经营数据!$G2542)</f>
        <v/>
      </c>
      <c r="I2541" t="str">
        <f>IF($A2541="","",IF($B2541&lt;&gt;"",$B2541,IF(COUNTIFS(原始经营数据!$D$3:$D$3001,$A2541,原始经营数据!$E$3:$E$3001,"",原始经营数据!$F$3:$F$3001,$C2541,原始经营数据!$H$3:$H$3001,$D2541,原始经营数据!$K$3:$K$3001,$G2541)&gt;1,"基金整体·来源"&amp;原始经营数据!$A2542,"基金整体")))</f>
        <v/>
      </c>
      <c r="J2541" t="str">
        <f t="shared" si="588"/>
        <v/>
      </c>
      <c r="K2541" t="str">
        <f t="shared" si="589"/>
        <v/>
      </c>
      <c r="L2541" t="str">
        <f t="shared" si="590"/>
        <v/>
      </c>
      <c r="M2541">
        <f>IF($A2541="",0,IF(COUNTIF($L$2:$L2541,$L2541)=1,1,0))</f>
        <v>0</v>
      </c>
      <c r="N2541" t="str">
        <f t="shared" si="591"/>
        <v/>
      </c>
      <c r="O2541" t="str">
        <f t="shared" si="592"/>
        <v/>
      </c>
      <c r="P2541">
        <f>IF($A2541="",0,IF(COUNTIF($O$2:$O2541,$O2541)=1,1,0))</f>
        <v>0</v>
      </c>
      <c r="Q2541" t="str">
        <f>IF(AND($P2541=1,$A2541=经营数据!$B$3,$J2541=经营数据!$BA$5),COUNTIFS($P$2:$P$3000,1,$A$2:$A$3000,$A2541,$J$2:$J$3000,$J2541,$N$2:$N$3000,"&lt;"&amp;$N2541)+1,"")</f>
        <v/>
      </c>
      <c r="R2541" t="str">
        <f t="shared" si="593"/>
        <v/>
      </c>
      <c r="S2541">
        <f>IF($A2541="",0,IF(COUNTIF($R$2:$R2541,$R2541)=1,1,0))</f>
        <v>0</v>
      </c>
      <c r="T2541" t="str">
        <f t="shared" si="594"/>
        <v/>
      </c>
      <c r="U2541" t="str">
        <f>IF($A2541="","",IF($A2541=经营数据!$B$3,COUNTIFS($S$2:$S$3000,1,$A$2:$A$3000,$A2541,$T$2:$T$3000,"&lt;"&amp;$T2541)+1,""))</f>
        <v/>
      </c>
      <c r="V2541" t="str">
        <f t="shared" si="595"/>
        <v/>
      </c>
      <c r="W2541" t="str">
        <f t="shared" si="596"/>
        <v/>
      </c>
      <c r="X2541" t="str">
        <f t="shared" si="597"/>
        <v/>
      </c>
      <c r="Y2541" t="str">
        <f t="shared" si="598"/>
        <v/>
      </c>
      <c r="Z2541">
        <f>IF($A2541="",0,IF(AND($M2541=1,$A2541=经营数据!$B$3,$J2541=经营数据!$BA$5,OR($I2541=经营数据!$BA$4,COUNTIF(经营数据!$AA$9:$AA$38,$I2541)&gt;0)),1,0))</f>
        <v>0</v>
      </c>
      <c r="AA2541" t="str">
        <f t="shared" si="599"/>
        <v/>
      </c>
      <c r="AB2541" t="str">
        <f t="shared" si="600"/>
        <v/>
      </c>
      <c r="AC2541">
        <f>IF($A2541="",0,IF(COUNTIF($A$2:$A2541,$A2541)=1,1,0))</f>
        <v>0</v>
      </c>
      <c r="AD2541">
        <f t="shared" si="601"/>
        <v>29</v>
      </c>
      <c r="AE2541" t="str">
        <f t="shared" si="602"/>
        <v/>
      </c>
    </row>
    <row r="2542" spans="1:31" x14ac:dyDescent="0.4">
      <c r="A2542" t="str">
        <f>IF(原始经营数据!$D2543="","",原始经营数据!$D2543)</f>
        <v/>
      </c>
      <c r="B2542" t="str">
        <f>IF(原始经营数据!$D2543="","",T(原始经营数据!$E2543))</f>
        <v/>
      </c>
      <c r="C2542" t="str">
        <f>IF(原始经营数据!$D2543="","",原始经营数据!$F2543)</f>
        <v/>
      </c>
      <c r="D2542" t="str">
        <f>IF(原始经营数据!$D2543="","",原始经营数据!$H2543)</f>
        <v/>
      </c>
      <c r="E2542" t="str">
        <f>IF(原始经营数据!$D2543="","",原始经营数据!$I2543)</f>
        <v/>
      </c>
      <c r="F2542" t="str">
        <f>IF(原始经营数据!$D2543="","",T(原始经营数据!$J2543))</f>
        <v/>
      </c>
      <c r="G2542" t="str">
        <f>IF(原始经营数据!$D2543="","",T(原始经营数据!$K2543))</f>
        <v/>
      </c>
      <c r="H2542" t="str">
        <f>IF(原始经营数据!$D2543="","",原始经营数据!$G2543)</f>
        <v/>
      </c>
      <c r="I2542" t="str">
        <f>IF($A2542="","",IF($B2542&lt;&gt;"",$B2542,IF(COUNTIFS(原始经营数据!$D$3:$D$3001,$A2542,原始经营数据!$E$3:$E$3001,"",原始经营数据!$F$3:$F$3001,$C2542,原始经营数据!$H$3:$H$3001,$D2542,原始经营数据!$K$3:$K$3001,$G2542)&gt;1,"基金整体·来源"&amp;原始经营数据!$A2543,"基金整体")))</f>
        <v/>
      </c>
      <c r="J2542" t="str">
        <f t="shared" si="588"/>
        <v/>
      </c>
      <c r="K2542" t="str">
        <f t="shared" si="589"/>
        <v/>
      </c>
      <c r="L2542" t="str">
        <f t="shared" si="590"/>
        <v/>
      </c>
      <c r="M2542">
        <f>IF($A2542="",0,IF(COUNTIF($L$2:$L2542,$L2542)=1,1,0))</f>
        <v>0</v>
      </c>
      <c r="N2542" t="str">
        <f t="shared" si="591"/>
        <v/>
      </c>
      <c r="O2542" t="str">
        <f t="shared" si="592"/>
        <v/>
      </c>
      <c r="P2542">
        <f>IF($A2542="",0,IF(COUNTIF($O$2:$O2542,$O2542)=1,1,0))</f>
        <v>0</v>
      </c>
      <c r="Q2542" t="str">
        <f>IF(AND($P2542=1,$A2542=经营数据!$B$3,$J2542=经营数据!$BA$5),COUNTIFS($P$2:$P$3000,1,$A$2:$A$3000,$A2542,$J$2:$J$3000,$J2542,$N$2:$N$3000,"&lt;"&amp;$N2542)+1,"")</f>
        <v/>
      </c>
      <c r="R2542" t="str">
        <f t="shared" si="593"/>
        <v/>
      </c>
      <c r="S2542">
        <f>IF($A2542="",0,IF(COUNTIF($R$2:$R2542,$R2542)=1,1,0))</f>
        <v>0</v>
      </c>
      <c r="T2542" t="str">
        <f t="shared" si="594"/>
        <v/>
      </c>
      <c r="U2542" t="str">
        <f>IF($A2542="","",IF($A2542=经营数据!$B$3,COUNTIFS($S$2:$S$3000,1,$A$2:$A$3000,$A2542,$T$2:$T$3000,"&lt;"&amp;$T2542)+1,""))</f>
        <v/>
      </c>
      <c r="V2542" t="str">
        <f t="shared" si="595"/>
        <v/>
      </c>
      <c r="W2542" t="str">
        <f t="shared" si="596"/>
        <v/>
      </c>
      <c r="X2542" t="str">
        <f t="shared" si="597"/>
        <v/>
      </c>
      <c r="Y2542" t="str">
        <f t="shared" si="598"/>
        <v/>
      </c>
      <c r="Z2542">
        <f>IF($A2542="",0,IF(AND($M2542=1,$A2542=经营数据!$B$3,$J2542=经营数据!$BA$5,OR($I2542=经营数据!$BA$4,COUNTIF(经营数据!$AA$9:$AA$38,$I2542)&gt;0)),1,0))</f>
        <v>0</v>
      </c>
      <c r="AA2542" t="str">
        <f t="shared" si="599"/>
        <v/>
      </c>
      <c r="AB2542" t="str">
        <f t="shared" si="600"/>
        <v/>
      </c>
      <c r="AC2542">
        <f>IF($A2542="",0,IF(COUNTIF($A$2:$A2542,$A2542)=1,1,0))</f>
        <v>0</v>
      </c>
      <c r="AD2542">
        <f t="shared" si="601"/>
        <v>29</v>
      </c>
      <c r="AE2542" t="str">
        <f t="shared" si="602"/>
        <v/>
      </c>
    </row>
    <row r="2543" spans="1:31" x14ac:dyDescent="0.4">
      <c r="A2543" t="str">
        <f>IF(原始经营数据!$D2544="","",原始经营数据!$D2544)</f>
        <v/>
      </c>
      <c r="B2543" t="str">
        <f>IF(原始经营数据!$D2544="","",T(原始经营数据!$E2544))</f>
        <v/>
      </c>
      <c r="C2543" t="str">
        <f>IF(原始经营数据!$D2544="","",原始经营数据!$F2544)</f>
        <v/>
      </c>
      <c r="D2543" t="str">
        <f>IF(原始经营数据!$D2544="","",原始经营数据!$H2544)</f>
        <v/>
      </c>
      <c r="E2543" t="str">
        <f>IF(原始经营数据!$D2544="","",原始经营数据!$I2544)</f>
        <v/>
      </c>
      <c r="F2543" t="str">
        <f>IF(原始经营数据!$D2544="","",T(原始经营数据!$J2544))</f>
        <v/>
      </c>
      <c r="G2543" t="str">
        <f>IF(原始经营数据!$D2544="","",T(原始经营数据!$K2544))</f>
        <v/>
      </c>
      <c r="H2543" t="str">
        <f>IF(原始经营数据!$D2544="","",原始经营数据!$G2544)</f>
        <v/>
      </c>
      <c r="I2543" t="str">
        <f>IF($A2543="","",IF($B2543&lt;&gt;"",$B2543,IF(COUNTIFS(原始经营数据!$D$3:$D$3001,$A2543,原始经营数据!$E$3:$E$3001,"",原始经营数据!$F$3:$F$3001,$C2543,原始经营数据!$H$3:$H$3001,$D2543,原始经营数据!$K$3:$K$3001,$G2543)&gt;1,"基金整体·来源"&amp;原始经营数据!$A2544,"基金整体")))</f>
        <v/>
      </c>
      <c r="J2543" t="str">
        <f t="shared" si="588"/>
        <v/>
      </c>
      <c r="K2543" t="str">
        <f t="shared" si="589"/>
        <v/>
      </c>
      <c r="L2543" t="str">
        <f t="shared" si="590"/>
        <v/>
      </c>
      <c r="M2543">
        <f>IF($A2543="",0,IF(COUNTIF($L$2:$L2543,$L2543)=1,1,0))</f>
        <v>0</v>
      </c>
      <c r="N2543" t="str">
        <f t="shared" si="591"/>
        <v/>
      </c>
      <c r="O2543" t="str">
        <f t="shared" si="592"/>
        <v/>
      </c>
      <c r="P2543">
        <f>IF($A2543="",0,IF(COUNTIF($O$2:$O2543,$O2543)=1,1,0))</f>
        <v>0</v>
      </c>
      <c r="Q2543" t="str">
        <f>IF(AND($P2543=1,$A2543=经营数据!$B$3,$J2543=经营数据!$BA$5),COUNTIFS($P$2:$P$3000,1,$A$2:$A$3000,$A2543,$J$2:$J$3000,$J2543,$N$2:$N$3000,"&lt;"&amp;$N2543)+1,"")</f>
        <v/>
      </c>
      <c r="R2543" t="str">
        <f t="shared" si="593"/>
        <v/>
      </c>
      <c r="S2543">
        <f>IF($A2543="",0,IF(COUNTIF($R$2:$R2543,$R2543)=1,1,0))</f>
        <v>0</v>
      </c>
      <c r="T2543" t="str">
        <f t="shared" si="594"/>
        <v/>
      </c>
      <c r="U2543" t="str">
        <f>IF($A2543="","",IF($A2543=经营数据!$B$3,COUNTIFS($S$2:$S$3000,1,$A$2:$A$3000,$A2543,$T$2:$T$3000,"&lt;"&amp;$T2543)+1,""))</f>
        <v/>
      </c>
      <c r="V2543" t="str">
        <f t="shared" si="595"/>
        <v/>
      </c>
      <c r="W2543" t="str">
        <f t="shared" si="596"/>
        <v/>
      </c>
      <c r="X2543" t="str">
        <f t="shared" si="597"/>
        <v/>
      </c>
      <c r="Y2543" t="str">
        <f t="shared" si="598"/>
        <v/>
      </c>
      <c r="Z2543">
        <f>IF($A2543="",0,IF(AND($M2543=1,$A2543=经营数据!$B$3,$J2543=经营数据!$BA$5,OR($I2543=经营数据!$BA$4,COUNTIF(经营数据!$AA$9:$AA$38,$I2543)&gt;0)),1,0))</f>
        <v>0</v>
      </c>
      <c r="AA2543" t="str">
        <f t="shared" si="599"/>
        <v/>
      </c>
      <c r="AB2543" t="str">
        <f t="shared" si="600"/>
        <v/>
      </c>
      <c r="AC2543">
        <f>IF($A2543="",0,IF(COUNTIF($A$2:$A2543,$A2543)=1,1,0))</f>
        <v>0</v>
      </c>
      <c r="AD2543">
        <f t="shared" si="601"/>
        <v>29</v>
      </c>
      <c r="AE2543" t="str">
        <f t="shared" si="602"/>
        <v/>
      </c>
    </row>
    <row r="2544" spans="1:31" x14ac:dyDescent="0.4">
      <c r="A2544" t="str">
        <f>IF(原始经营数据!$D2545="","",原始经营数据!$D2545)</f>
        <v/>
      </c>
      <c r="B2544" t="str">
        <f>IF(原始经营数据!$D2545="","",T(原始经营数据!$E2545))</f>
        <v/>
      </c>
      <c r="C2544" t="str">
        <f>IF(原始经营数据!$D2545="","",原始经营数据!$F2545)</f>
        <v/>
      </c>
      <c r="D2544" t="str">
        <f>IF(原始经营数据!$D2545="","",原始经营数据!$H2545)</f>
        <v/>
      </c>
      <c r="E2544" t="str">
        <f>IF(原始经营数据!$D2545="","",原始经营数据!$I2545)</f>
        <v/>
      </c>
      <c r="F2544" t="str">
        <f>IF(原始经营数据!$D2545="","",T(原始经营数据!$J2545))</f>
        <v/>
      </c>
      <c r="G2544" t="str">
        <f>IF(原始经营数据!$D2545="","",T(原始经营数据!$K2545))</f>
        <v/>
      </c>
      <c r="H2544" t="str">
        <f>IF(原始经营数据!$D2545="","",原始经营数据!$G2545)</f>
        <v/>
      </c>
      <c r="I2544" t="str">
        <f>IF($A2544="","",IF($B2544&lt;&gt;"",$B2544,IF(COUNTIFS(原始经营数据!$D$3:$D$3001,$A2544,原始经营数据!$E$3:$E$3001,"",原始经营数据!$F$3:$F$3001,$C2544,原始经营数据!$H$3:$H$3001,$D2544,原始经营数据!$K$3:$K$3001,$G2544)&gt;1,"基金整体·来源"&amp;原始经营数据!$A2545,"基金整体")))</f>
        <v/>
      </c>
      <c r="J2544" t="str">
        <f t="shared" si="588"/>
        <v/>
      </c>
      <c r="K2544" t="str">
        <f t="shared" si="589"/>
        <v/>
      </c>
      <c r="L2544" t="str">
        <f t="shared" si="590"/>
        <v/>
      </c>
      <c r="M2544">
        <f>IF($A2544="",0,IF(COUNTIF($L$2:$L2544,$L2544)=1,1,0))</f>
        <v>0</v>
      </c>
      <c r="N2544" t="str">
        <f t="shared" si="591"/>
        <v/>
      </c>
      <c r="O2544" t="str">
        <f t="shared" si="592"/>
        <v/>
      </c>
      <c r="P2544">
        <f>IF($A2544="",0,IF(COUNTIF($O$2:$O2544,$O2544)=1,1,0))</f>
        <v>0</v>
      </c>
      <c r="Q2544" t="str">
        <f>IF(AND($P2544=1,$A2544=经营数据!$B$3,$J2544=经营数据!$BA$5),COUNTIFS($P$2:$P$3000,1,$A$2:$A$3000,$A2544,$J$2:$J$3000,$J2544,$N$2:$N$3000,"&lt;"&amp;$N2544)+1,"")</f>
        <v/>
      </c>
      <c r="R2544" t="str">
        <f t="shared" si="593"/>
        <v/>
      </c>
      <c r="S2544">
        <f>IF($A2544="",0,IF(COUNTIF($R$2:$R2544,$R2544)=1,1,0))</f>
        <v>0</v>
      </c>
      <c r="T2544" t="str">
        <f t="shared" si="594"/>
        <v/>
      </c>
      <c r="U2544" t="str">
        <f>IF($A2544="","",IF($A2544=经营数据!$B$3,COUNTIFS($S$2:$S$3000,1,$A$2:$A$3000,$A2544,$T$2:$T$3000,"&lt;"&amp;$T2544)+1,""))</f>
        <v/>
      </c>
      <c r="V2544" t="str">
        <f t="shared" si="595"/>
        <v/>
      </c>
      <c r="W2544" t="str">
        <f t="shared" si="596"/>
        <v/>
      </c>
      <c r="X2544" t="str">
        <f t="shared" si="597"/>
        <v/>
      </c>
      <c r="Y2544" t="str">
        <f t="shared" si="598"/>
        <v/>
      </c>
      <c r="Z2544">
        <f>IF($A2544="",0,IF(AND($M2544=1,$A2544=经营数据!$B$3,$J2544=经营数据!$BA$5,OR($I2544=经营数据!$BA$4,COUNTIF(经营数据!$AA$9:$AA$38,$I2544)&gt;0)),1,0))</f>
        <v>0</v>
      </c>
      <c r="AA2544" t="str">
        <f t="shared" si="599"/>
        <v/>
      </c>
      <c r="AB2544" t="str">
        <f t="shared" si="600"/>
        <v/>
      </c>
      <c r="AC2544">
        <f>IF($A2544="",0,IF(COUNTIF($A$2:$A2544,$A2544)=1,1,0))</f>
        <v>0</v>
      </c>
      <c r="AD2544">
        <f t="shared" si="601"/>
        <v>29</v>
      </c>
      <c r="AE2544" t="str">
        <f t="shared" si="602"/>
        <v/>
      </c>
    </row>
    <row r="2545" spans="1:31" x14ac:dyDescent="0.4">
      <c r="A2545" t="str">
        <f>IF(原始经营数据!$D2546="","",原始经营数据!$D2546)</f>
        <v/>
      </c>
      <c r="B2545" t="str">
        <f>IF(原始经营数据!$D2546="","",T(原始经营数据!$E2546))</f>
        <v/>
      </c>
      <c r="C2545" t="str">
        <f>IF(原始经营数据!$D2546="","",原始经营数据!$F2546)</f>
        <v/>
      </c>
      <c r="D2545" t="str">
        <f>IF(原始经营数据!$D2546="","",原始经营数据!$H2546)</f>
        <v/>
      </c>
      <c r="E2545" t="str">
        <f>IF(原始经营数据!$D2546="","",原始经营数据!$I2546)</f>
        <v/>
      </c>
      <c r="F2545" t="str">
        <f>IF(原始经营数据!$D2546="","",T(原始经营数据!$J2546))</f>
        <v/>
      </c>
      <c r="G2545" t="str">
        <f>IF(原始经营数据!$D2546="","",T(原始经营数据!$K2546))</f>
        <v/>
      </c>
      <c r="H2545" t="str">
        <f>IF(原始经营数据!$D2546="","",原始经营数据!$G2546)</f>
        <v/>
      </c>
      <c r="I2545" t="str">
        <f>IF($A2545="","",IF($B2545&lt;&gt;"",$B2545,IF(COUNTIFS(原始经营数据!$D$3:$D$3001,$A2545,原始经营数据!$E$3:$E$3001,"",原始经营数据!$F$3:$F$3001,$C2545,原始经营数据!$H$3:$H$3001,$D2545,原始经营数据!$K$3:$K$3001,$G2545)&gt;1,"基金整体·来源"&amp;原始经营数据!$A2546,"基金整体")))</f>
        <v/>
      </c>
      <c r="J2545" t="str">
        <f t="shared" si="588"/>
        <v/>
      </c>
      <c r="K2545" t="str">
        <f t="shared" si="589"/>
        <v/>
      </c>
      <c r="L2545" t="str">
        <f t="shared" si="590"/>
        <v/>
      </c>
      <c r="M2545">
        <f>IF($A2545="",0,IF(COUNTIF($L$2:$L2545,$L2545)=1,1,0))</f>
        <v>0</v>
      </c>
      <c r="N2545" t="str">
        <f t="shared" si="591"/>
        <v/>
      </c>
      <c r="O2545" t="str">
        <f t="shared" si="592"/>
        <v/>
      </c>
      <c r="P2545">
        <f>IF($A2545="",0,IF(COUNTIF($O$2:$O2545,$O2545)=1,1,0))</f>
        <v>0</v>
      </c>
      <c r="Q2545" t="str">
        <f>IF(AND($P2545=1,$A2545=经营数据!$B$3,$J2545=经营数据!$BA$5),COUNTIFS($P$2:$P$3000,1,$A$2:$A$3000,$A2545,$J$2:$J$3000,$J2545,$N$2:$N$3000,"&lt;"&amp;$N2545)+1,"")</f>
        <v/>
      </c>
      <c r="R2545" t="str">
        <f t="shared" si="593"/>
        <v/>
      </c>
      <c r="S2545">
        <f>IF($A2545="",0,IF(COUNTIF($R$2:$R2545,$R2545)=1,1,0))</f>
        <v>0</v>
      </c>
      <c r="T2545" t="str">
        <f t="shared" si="594"/>
        <v/>
      </c>
      <c r="U2545" t="str">
        <f>IF($A2545="","",IF($A2545=经营数据!$B$3,COUNTIFS($S$2:$S$3000,1,$A$2:$A$3000,$A2545,$T$2:$T$3000,"&lt;"&amp;$T2545)+1,""))</f>
        <v/>
      </c>
      <c r="V2545" t="str">
        <f t="shared" si="595"/>
        <v/>
      </c>
      <c r="W2545" t="str">
        <f t="shared" si="596"/>
        <v/>
      </c>
      <c r="X2545" t="str">
        <f t="shared" si="597"/>
        <v/>
      </c>
      <c r="Y2545" t="str">
        <f t="shared" si="598"/>
        <v/>
      </c>
      <c r="Z2545">
        <f>IF($A2545="",0,IF(AND($M2545=1,$A2545=经营数据!$B$3,$J2545=经营数据!$BA$5,OR($I2545=经营数据!$BA$4,COUNTIF(经营数据!$AA$9:$AA$38,$I2545)&gt;0)),1,0))</f>
        <v>0</v>
      </c>
      <c r="AA2545" t="str">
        <f t="shared" si="599"/>
        <v/>
      </c>
      <c r="AB2545" t="str">
        <f t="shared" si="600"/>
        <v/>
      </c>
      <c r="AC2545">
        <f>IF($A2545="",0,IF(COUNTIF($A$2:$A2545,$A2545)=1,1,0))</f>
        <v>0</v>
      </c>
      <c r="AD2545">
        <f t="shared" si="601"/>
        <v>29</v>
      </c>
      <c r="AE2545" t="str">
        <f t="shared" si="602"/>
        <v/>
      </c>
    </row>
    <row r="2546" spans="1:31" x14ac:dyDescent="0.4">
      <c r="A2546" t="str">
        <f>IF(原始经营数据!$D2547="","",原始经营数据!$D2547)</f>
        <v/>
      </c>
      <c r="B2546" t="str">
        <f>IF(原始经营数据!$D2547="","",T(原始经营数据!$E2547))</f>
        <v/>
      </c>
      <c r="C2546" t="str">
        <f>IF(原始经营数据!$D2547="","",原始经营数据!$F2547)</f>
        <v/>
      </c>
      <c r="D2546" t="str">
        <f>IF(原始经营数据!$D2547="","",原始经营数据!$H2547)</f>
        <v/>
      </c>
      <c r="E2546" t="str">
        <f>IF(原始经营数据!$D2547="","",原始经营数据!$I2547)</f>
        <v/>
      </c>
      <c r="F2546" t="str">
        <f>IF(原始经营数据!$D2547="","",T(原始经营数据!$J2547))</f>
        <v/>
      </c>
      <c r="G2546" t="str">
        <f>IF(原始经营数据!$D2547="","",T(原始经营数据!$K2547))</f>
        <v/>
      </c>
      <c r="H2546" t="str">
        <f>IF(原始经营数据!$D2547="","",原始经营数据!$G2547)</f>
        <v/>
      </c>
      <c r="I2546" t="str">
        <f>IF($A2546="","",IF($B2546&lt;&gt;"",$B2546,IF(COUNTIFS(原始经营数据!$D$3:$D$3001,$A2546,原始经营数据!$E$3:$E$3001,"",原始经营数据!$F$3:$F$3001,$C2546,原始经营数据!$H$3:$H$3001,$D2546,原始经营数据!$K$3:$K$3001,$G2546)&gt;1,"基金整体·来源"&amp;原始经营数据!$A2547,"基金整体")))</f>
        <v/>
      </c>
      <c r="J2546" t="str">
        <f t="shared" si="588"/>
        <v/>
      </c>
      <c r="K2546" t="str">
        <f t="shared" si="589"/>
        <v/>
      </c>
      <c r="L2546" t="str">
        <f t="shared" si="590"/>
        <v/>
      </c>
      <c r="M2546">
        <f>IF($A2546="",0,IF(COUNTIF($L$2:$L2546,$L2546)=1,1,0))</f>
        <v>0</v>
      </c>
      <c r="N2546" t="str">
        <f t="shared" si="591"/>
        <v/>
      </c>
      <c r="O2546" t="str">
        <f t="shared" si="592"/>
        <v/>
      </c>
      <c r="P2546">
        <f>IF($A2546="",0,IF(COUNTIF($O$2:$O2546,$O2546)=1,1,0))</f>
        <v>0</v>
      </c>
      <c r="Q2546" t="str">
        <f>IF(AND($P2546=1,$A2546=经营数据!$B$3,$J2546=经营数据!$BA$5),COUNTIFS($P$2:$P$3000,1,$A$2:$A$3000,$A2546,$J$2:$J$3000,$J2546,$N$2:$N$3000,"&lt;"&amp;$N2546)+1,"")</f>
        <v/>
      </c>
      <c r="R2546" t="str">
        <f t="shared" si="593"/>
        <v/>
      </c>
      <c r="S2546">
        <f>IF($A2546="",0,IF(COUNTIF($R$2:$R2546,$R2546)=1,1,0))</f>
        <v>0</v>
      </c>
      <c r="T2546" t="str">
        <f t="shared" si="594"/>
        <v/>
      </c>
      <c r="U2546" t="str">
        <f>IF($A2546="","",IF($A2546=经营数据!$B$3,COUNTIFS($S$2:$S$3000,1,$A$2:$A$3000,$A2546,$T$2:$T$3000,"&lt;"&amp;$T2546)+1,""))</f>
        <v/>
      </c>
      <c r="V2546" t="str">
        <f t="shared" si="595"/>
        <v/>
      </c>
      <c r="W2546" t="str">
        <f t="shared" si="596"/>
        <v/>
      </c>
      <c r="X2546" t="str">
        <f t="shared" si="597"/>
        <v/>
      </c>
      <c r="Y2546" t="str">
        <f t="shared" si="598"/>
        <v/>
      </c>
      <c r="Z2546">
        <f>IF($A2546="",0,IF(AND($M2546=1,$A2546=经营数据!$B$3,$J2546=经营数据!$BA$5,OR($I2546=经营数据!$BA$4,COUNTIF(经营数据!$AA$9:$AA$38,$I2546)&gt;0)),1,0))</f>
        <v>0</v>
      </c>
      <c r="AA2546" t="str">
        <f t="shared" si="599"/>
        <v/>
      </c>
      <c r="AB2546" t="str">
        <f t="shared" si="600"/>
        <v/>
      </c>
      <c r="AC2546">
        <f>IF($A2546="",0,IF(COUNTIF($A$2:$A2546,$A2546)=1,1,0))</f>
        <v>0</v>
      </c>
      <c r="AD2546">
        <f t="shared" si="601"/>
        <v>29</v>
      </c>
      <c r="AE2546" t="str">
        <f t="shared" si="602"/>
        <v/>
      </c>
    </row>
    <row r="2547" spans="1:31" x14ac:dyDescent="0.4">
      <c r="A2547" t="str">
        <f>IF(原始经营数据!$D2548="","",原始经营数据!$D2548)</f>
        <v/>
      </c>
      <c r="B2547" t="str">
        <f>IF(原始经营数据!$D2548="","",T(原始经营数据!$E2548))</f>
        <v/>
      </c>
      <c r="C2547" t="str">
        <f>IF(原始经营数据!$D2548="","",原始经营数据!$F2548)</f>
        <v/>
      </c>
      <c r="D2547" t="str">
        <f>IF(原始经营数据!$D2548="","",原始经营数据!$H2548)</f>
        <v/>
      </c>
      <c r="E2547" t="str">
        <f>IF(原始经营数据!$D2548="","",原始经营数据!$I2548)</f>
        <v/>
      </c>
      <c r="F2547" t="str">
        <f>IF(原始经营数据!$D2548="","",T(原始经营数据!$J2548))</f>
        <v/>
      </c>
      <c r="G2547" t="str">
        <f>IF(原始经营数据!$D2548="","",T(原始经营数据!$K2548))</f>
        <v/>
      </c>
      <c r="H2547" t="str">
        <f>IF(原始经营数据!$D2548="","",原始经营数据!$G2548)</f>
        <v/>
      </c>
      <c r="I2547" t="str">
        <f>IF($A2547="","",IF($B2547&lt;&gt;"",$B2547,IF(COUNTIFS(原始经营数据!$D$3:$D$3001,$A2547,原始经营数据!$E$3:$E$3001,"",原始经营数据!$F$3:$F$3001,$C2547,原始经营数据!$H$3:$H$3001,$D2547,原始经营数据!$K$3:$K$3001,$G2547)&gt;1,"基金整体·来源"&amp;原始经营数据!$A2548,"基金整体")))</f>
        <v/>
      </c>
      <c r="J2547" t="str">
        <f t="shared" si="588"/>
        <v/>
      </c>
      <c r="K2547" t="str">
        <f t="shared" si="589"/>
        <v/>
      </c>
      <c r="L2547" t="str">
        <f t="shared" si="590"/>
        <v/>
      </c>
      <c r="M2547">
        <f>IF($A2547="",0,IF(COUNTIF($L$2:$L2547,$L2547)=1,1,0))</f>
        <v>0</v>
      </c>
      <c r="N2547" t="str">
        <f t="shared" si="591"/>
        <v/>
      </c>
      <c r="O2547" t="str">
        <f t="shared" si="592"/>
        <v/>
      </c>
      <c r="P2547">
        <f>IF($A2547="",0,IF(COUNTIF($O$2:$O2547,$O2547)=1,1,0))</f>
        <v>0</v>
      </c>
      <c r="Q2547" t="str">
        <f>IF(AND($P2547=1,$A2547=经营数据!$B$3,$J2547=经营数据!$BA$5),COUNTIFS($P$2:$P$3000,1,$A$2:$A$3000,$A2547,$J$2:$J$3000,$J2547,$N$2:$N$3000,"&lt;"&amp;$N2547)+1,"")</f>
        <v/>
      </c>
      <c r="R2547" t="str">
        <f t="shared" si="593"/>
        <v/>
      </c>
      <c r="S2547">
        <f>IF($A2547="",0,IF(COUNTIF($R$2:$R2547,$R2547)=1,1,0))</f>
        <v>0</v>
      </c>
      <c r="T2547" t="str">
        <f t="shared" si="594"/>
        <v/>
      </c>
      <c r="U2547" t="str">
        <f>IF($A2547="","",IF($A2547=经营数据!$B$3,COUNTIFS($S$2:$S$3000,1,$A$2:$A$3000,$A2547,$T$2:$T$3000,"&lt;"&amp;$T2547)+1,""))</f>
        <v/>
      </c>
      <c r="V2547" t="str">
        <f t="shared" si="595"/>
        <v/>
      </c>
      <c r="W2547" t="str">
        <f t="shared" si="596"/>
        <v/>
      </c>
      <c r="X2547" t="str">
        <f t="shared" si="597"/>
        <v/>
      </c>
      <c r="Y2547" t="str">
        <f t="shared" si="598"/>
        <v/>
      </c>
      <c r="Z2547">
        <f>IF($A2547="",0,IF(AND($M2547=1,$A2547=经营数据!$B$3,$J2547=经营数据!$BA$5,OR($I2547=经营数据!$BA$4,COUNTIF(经营数据!$AA$9:$AA$38,$I2547)&gt;0)),1,0))</f>
        <v>0</v>
      </c>
      <c r="AA2547" t="str">
        <f t="shared" si="599"/>
        <v/>
      </c>
      <c r="AB2547" t="str">
        <f t="shared" si="600"/>
        <v/>
      </c>
      <c r="AC2547">
        <f>IF($A2547="",0,IF(COUNTIF($A$2:$A2547,$A2547)=1,1,0))</f>
        <v>0</v>
      </c>
      <c r="AD2547">
        <f t="shared" si="601"/>
        <v>29</v>
      </c>
      <c r="AE2547" t="str">
        <f t="shared" si="602"/>
        <v/>
      </c>
    </row>
    <row r="2548" spans="1:31" x14ac:dyDescent="0.4">
      <c r="A2548" t="str">
        <f>IF(原始经营数据!$D2549="","",原始经营数据!$D2549)</f>
        <v/>
      </c>
      <c r="B2548" t="str">
        <f>IF(原始经营数据!$D2549="","",T(原始经营数据!$E2549))</f>
        <v/>
      </c>
      <c r="C2548" t="str">
        <f>IF(原始经营数据!$D2549="","",原始经营数据!$F2549)</f>
        <v/>
      </c>
      <c r="D2548" t="str">
        <f>IF(原始经营数据!$D2549="","",原始经营数据!$H2549)</f>
        <v/>
      </c>
      <c r="E2548" t="str">
        <f>IF(原始经营数据!$D2549="","",原始经营数据!$I2549)</f>
        <v/>
      </c>
      <c r="F2548" t="str">
        <f>IF(原始经营数据!$D2549="","",T(原始经营数据!$J2549))</f>
        <v/>
      </c>
      <c r="G2548" t="str">
        <f>IF(原始经营数据!$D2549="","",T(原始经营数据!$K2549))</f>
        <v/>
      </c>
      <c r="H2548" t="str">
        <f>IF(原始经营数据!$D2549="","",原始经营数据!$G2549)</f>
        <v/>
      </c>
      <c r="I2548" t="str">
        <f>IF($A2548="","",IF($B2548&lt;&gt;"",$B2548,IF(COUNTIFS(原始经营数据!$D$3:$D$3001,$A2548,原始经营数据!$E$3:$E$3001,"",原始经营数据!$F$3:$F$3001,$C2548,原始经营数据!$H$3:$H$3001,$D2548,原始经营数据!$K$3:$K$3001,$G2548)&gt;1,"基金整体·来源"&amp;原始经营数据!$A2549,"基金整体")))</f>
        <v/>
      </c>
      <c r="J2548" t="str">
        <f t="shared" si="588"/>
        <v/>
      </c>
      <c r="K2548" t="str">
        <f t="shared" si="589"/>
        <v/>
      </c>
      <c r="L2548" t="str">
        <f t="shared" si="590"/>
        <v/>
      </c>
      <c r="M2548">
        <f>IF($A2548="",0,IF(COUNTIF($L$2:$L2548,$L2548)=1,1,0))</f>
        <v>0</v>
      </c>
      <c r="N2548" t="str">
        <f t="shared" si="591"/>
        <v/>
      </c>
      <c r="O2548" t="str">
        <f t="shared" si="592"/>
        <v/>
      </c>
      <c r="P2548">
        <f>IF($A2548="",0,IF(COUNTIF($O$2:$O2548,$O2548)=1,1,0))</f>
        <v>0</v>
      </c>
      <c r="Q2548" t="str">
        <f>IF(AND($P2548=1,$A2548=经营数据!$B$3,$J2548=经营数据!$BA$5),COUNTIFS($P$2:$P$3000,1,$A$2:$A$3000,$A2548,$J$2:$J$3000,$J2548,$N$2:$N$3000,"&lt;"&amp;$N2548)+1,"")</f>
        <v/>
      </c>
      <c r="R2548" t="str">
        <f t="shared" si="593"/>
        <v/>
      </c>
      <c r="S2548">
        <f>IF($A2548="",0,IF(COUNTIF($R$2:$R2548,$R2548)=1,1,0))</f>
        <v>0</v>
      </c>
      <c r="T2548" t="str">
        <f t="shared" si="594"/>
        <v/>
      </c>
      <c r="U2548" t="str">
        <f>IF($A2548="","",IF($A2548=经营数据!$B$3,COUNTIFS($S$2:$S$3000,1,$A$2:$A$3000,$A2548,$T$2:$T$3000,"&lt;"&amp;$T2548)+1,""))</f>
        <v/>
      </c>
      <c r="V2548" t="str">
        <f t="shared" si="595"/>
        <v/>
      </c>
      <c r="W2548" t="str">
        <f t="shared" si="596"/>
        <v/>
      </c>
      <c r="X2548" t="str">
        <f t="shared" si="597"/>
        <v/>
      </c>
      <c r="Y2548" t="str">
        <f t="shared" si="598"/>
        <v/>
      </c>
      <c r="Z2548">
        <f>IF($A2548="",0,IF(AND($M2548=1,$A2548=经营数据!$B$3,$J2548=经营数据!$BA$5,OR($I2548=经营数据!$BA$4,COUNTIF(经营数据!$AA$9:$AA$38,$I2548)&gt;0)),1,0))</f>
        <v>0</v>
      </c>
      <c r="AA2548" t="str">
        <f t="shared" si="599"/>
        <v/>
      </c>
      <c r="AB2548" t="str">
        <f t="shared" si="600"/>
        <v/>
      </c>
      <c r="AC2548">
        <f>IF($A2548="",0,IF(COUNTIF($A$2:$A2548,$A2548)=1,1,0))</f>
        <v>0</v>
      </c>
      <c r="AD2548">
        <f t="shared" si="601"/>
        <v>29</v>
      </c>
      <c r="AE2548" t="str">
        <f t="shared" si="602"/>
        <v/>
      </c>
    </row>
    <row r="2549" spans="1:31" x14ac:dyDescent="0.4">
      <c r="A2549" t="str">
        <f>IF(原始经营数据!$D2550="","",原始经营数据!$D2550)</f>
        <v/>
      </c>
      <c r="B2549" t="str">
        <f>IF(原始经营数据!$D2550="","",T(原始经营数据!$E2550))</f>
        <v/>
      </c>
      <c r="C2549" t="str">
        <f>IF(原始经营数据!$D2550="","",原始经营数据!$F2550)</f>
        <v/>
      </c>
      <c r="D2549" t="str">
        <f>IF(原始经营数据!$D2550="","",原始经营数据!$H2550)</f>
        <v/>
      </c>
      <c r="E2549" t="str">
        <f>IF(原始经营数据!$D2550="","",原始经营数据!$I2550)</f>
        <v/>
      </c>
      <c r="F2549" t="str">
        <f>IF(原始经营数据!$D2550="","",T(原始经营数据!$J2550))</f>
        <v/>
      </c>
      <c r="G2549" t="str">
        <f>IF(原始经营数据!$D2550="","",T(原始经营数据!$K2550))</f>
        <v/>
      </c>
      <c r="H2549" t="str">
        <f>IF(原始经营数据!$D2550="","",原始经营数据!$G2550)</f>
        <v/>
      </c>
      <c r="I2549" t="str">
        <f>IF($A2549="","",IF($B2549&lt;&gt;"",$B2549,IF(COUNTIFS(原始经营数据!$D$3:$D$3001,$A2549,原始经营数据!$E$3:$E$3001,"",原始经营数据!$F$3:$F$3001,$C2549,原始经营数据!$H$3:$H$3001,$D2549,原始经营数据!$K$3:$K$3001,$G2549)&gt;1,"基金整体·来源"&amp;原始经营数据!$A2550,"基金整体")))</f>
        <v/>
      </c>
      <c r="J2549" t="str">
        <f t="shared" si="588"/>
        <v/>
      </c>
      <c r="K2549" t="str">
        <f t="shared" si="589"/>
        <v/>
      </c>
      <c r="L2549" t="str">
        <f t="shared" si="590"/>
        <v/>
      </c>
      <c r="M2549">
        <f>IF($A2549="",0,IF(COUNTIF($L$2:$L2549,$L2549)=1,1,0))</f>
        <v>0</v>
      </c>
      <c r="N2549" t="str">
        <f t="shared" si="591"/>
        <v/>
      </c>
      <c r="O2549" t="str">
        <f t="shared" si="592"/>
        <v/>
      </c>
      <c r="P2549">
        <f>IF($A2549="",0,IF(COUNTIF($O$2:$O2549,$O2549)=1,1,0))</f>
        <v>0</v>
      </c>
      <c r="Q2549" t="str">
        <f>IF(AND($P2549=1,$A2549=经营数据!$B$3,$J2549=经营数据!$BA$5),COUNTIFS($P$2:$P$3000,1,$A$2:$A$3000,$A2549,$J$2:$J$3000,$J2549,$N$2:$N$3000,"&lt;"&amp;$N2549)+1,"")</f>
        <v/>
      </c>
      <c r="R2549" t="str">
        <f t="shared" si="593"/>
        <v/>
      </c>
      <c r="S2549">
        <f>IF($A2549="",0,IF(COUNTIF($R$2:$R2549,$R2549)=1,1,0))</f>
        <v>0</v>
      </c>
      <c r="T2549" t="str">
        <f t="shared" si="594"/>
        <v/>
      </c>
      <c r="U2549" t="str">
        <f>IF($A2549="","",IF($A2549=经营数据!$B$3,COUNTIFS($S$2:$S$3000,1,$A$2:$A$3000,$A2549,$T$2:$T$3000,"&lt;"&amp;$T2549)+1,""))</f>
        <v/>
      </c>
      <c r="V2549" t="str">
        <f t="shared" si="595"/>
        <v/>
      </c>
      <c r="W2549" t="str">
        <f t="shared" si="596"/>
        <v/>
      </c>
      <c r="X2549" t="str">
        <f t="shared" si="597"/>
        <v/>
      </c>
      <c r="Y2549" t="str">
        <f t="shared" si="598"/>
        <v/>
      </c>
      <c r="Z2549">
        <f>IF($A2549="",0,IF(AND($M2549=1,$A2549=经营数据!$B$3,$J2549=经营数据!$BA$5,OR($I2549=经营数据!$BA$4,COUNTIF(经营数据!$AA$9:$AA$38,$I2549)&gt;0)),1,0))</f>
        <v>0</v>
      </c>
      <c r="AA2549" t="str">
        <f t="shared" si="599"/>
        <v/>
      </c>
      <c r="AB2549" t="str">
        <f t="shared" si="600"/>
        <v/>
      </c>
      <c r="AC2549">
        <f>IF($A2549="",0,IF(COUNTIF($A$2:$A2549,$A2549)=1,1,0))</f>
        <v>0</v>
      </c>
      <c r="AD2549">
        <f t="shared" si="601"/>
        <v>29</v>
      </c>
      <c r="AE2549" t="str">
        <f t="shared" si="602"/>
        <v/>
      </c>
    </row>
    <row r="2550" spans="1:31" x14ac:dyDescent="0.4">
      <c r="A2550" t="str">
        <f>IF(原始经营数据!$D2551="","",原始经营数据!$D2551)</f>
        <v/>
      </c>
      <c r="B2550" t="str">
        <f>IF(原始经营数据!$D2551="","",T(原始经营数据!$E2551))</f>
        <v/>
      </c>
      <c r="C2550" t="str">
        <f>IF(原始经营数据!$D2551="","",原始经营数据!$F2551)</f>
        <v/>
      </c>
      <c r="D2550" t="str">
        <f>IF(原始经营数据!$D2551="","",原始经营数据!$H2551)</f>
        <v/>
      </c>
      <c r="E2550" t="str">
        <f>IF(原始经营数据!$D2551="","",原始经营数据!$I2551)</f>
        <v/>
      </c>
      <c r="F2550" t="str">
        <f>IF(原始经营数据!$D2551="","",T(原始经营数据!$J2551))</f>
        <v/>
      </c>
      <c r="G2550" t="str">
        <f>IF(原始经营数据!$D2551="","",T(原始经营数据!$K2551))</f>
        <v/>
      </c>
      <c r="H2550" t="str">
        <f>IF(原始经营数据!$D2551="","",原始经营数据!$G2551)</f>
        <v/>
      </c>
      <c r="I2550" t="str">
        <f>IF($A2550="","",IF($B2550&lt;&gt;"",$B2550,IF(COUNTIFS(原始经营数据!$D$3:$D$3001,$A2550,原始经营数据!$E$3:$E$3001,"",原始经营数据!$F$3:$F$3001,$C2550,原始经营数据!$H$3:$H$3001,$D2550,原始经营数据!$K$3:$K$3001,$G2550)&gt;1,"基金整体·来源"&amp;原始经营数据!$A2551,"基金整体")))</f>
        <v/>
      </c>
      <c r="J2550" t="str">
        <f t="shared" si="588"/>
        <v/>
      </c>
      <c r="K2550" t="str">
        <f t="shared" si="589"/>
        <v/>
      </c>
      <c r="L2550" t="str">
        <f t="shared" si="590"/>
        <v/>
      </c>
      <c r="M2550">
        <f>IF($A2550="",0,IF(COUNTIF($L$2:$L2550,$L2550)=1,1,0))</f>
        <v>0</v>
      </c>
      <c r="N2550" t="str">
        <f t="shared" si="591"/>
        <v/>
      </c>
      <c r="O2550" t="str">
        <f t="shared" si="592"/>
        <v/>
      </c>
      <c r="P2550">
        <f>IF($A2550="",0,IF(COUNTIF($O$2:$O2550,$O2550)=1,1,0))</f>
        <v>0</v>
      </c>
      <c r="Q2550" t="str">
        <f>IF(AND($P2550=1,$A2550=经营数据!$B$3,$J2550=经营数据!$BA$5),COUNTIFS($P$2:$P$3000,1,$A$2:$A$3000,$A2550,$J$2:$J$3000,$J2550,$N$2:$N$3000,"&lt;"&amp;$N2550)+1,"")</f>
        <v/>
      </c>
      <c r="R2550" t="str">
        <f t="shared" si="593"/>
        <v/>
      </c>
      <c r="S2550">
        <f>IF($A2550="",0,IF(COUNTIF($R$2:$R2550,$R2550)=1,1,0))</f>
        <v>0</v>
      </c>
      <c r="T2550" t="str">
        <f t="shared" si="594"/>
        <v/>
      </c>
      <c r="U2550" t="str">
        <f>IF($A2550="","",IF($A2550=经营数据!$B$3,COUNTIFS($S$2:$S$3000,1,$A$2:$A$3000,$A2550,$T$2:$T$3000,"&lt;"&amp;$T2550)+1,""))</f>
        <v/>
      </c>
      <c r="V2550" t="str">
        <f t="shared" si="595"/>
        <v/>
      </c>
      <c r="W2550" t="str">
        <f t="shared" si="596"/>
        <v/>
      </c>
      <c r="X2550" t="str">
        <f t="shared" si="597"/>
        <v/>
      </c>
      <c r="Y2550" t="str">
        <f t="shared" si="598"/>
        <v/>
      </c>
      <c r="Z2550">
        <f>IF($A2550="",0,IF(AND($M2550=1,$A2550=经营数据!$B$3,$J2550=经营数据!$BA$5,OR($I2550=经营数据!$BA$4,COUNTIF(经营数据!$AA$9:$AA$38,$I2550)&gt;0)),1,0))</f>
        <v>0</v>
      </c>
      <c r="AA2550" t="str">
        <f t="shared" si="599"/>
        <v/>
      </c>
      <c r="AB2550" t="str">
        <f t="shared" si="600"/>
        <v/>
      </c>
      <c r="AC2550">
        <f>IF($A2550="",0,IF(COUNTIF($A$2:$A2550,$A2550)=1,1,0))</f>
        <v>0</v>
      </c>
      <c r="AD2550">
        <f t="shared" si="601"/>
        <v>29</v>
      </c>
      <c r="AE2550" t="str">
        <f t="shared" si="602"/>
        <v/>
      </c>
    </row>
    <row r="2551" spans="1:31" x14ac:dyDescent="0.4">
      <c r="A2551" t="str">
        <f>IF(原始经营数据!$D2552="","",原始经营数据!$D2552)</f>
        <v/>
      </c>
      <c r="B2551" t="str">
        <f>IF(原始经营数据!$D2552="","",T(原始经营数据!$E2552))</f>
        <v/>
      </c>
      <c r="C2551" t="str">
        <f>IF(原始经营数据!$D2552="","",原始经营数据!$F2552)</f>
        <v/>
      </c>
      <c r="D2551" t="str">
        <f>IF(原始经营数据!$D2552="","",原始经营数据!$H2552)</f>
        <v/>
      </c>
      <c r="E2551" t="str">
        <f>IF(原始经营数据!$D2552="","",原始经营数据!$I2552)</f>
        <v/>
      </c>
      <c r="F2551" t="str">
        <f>IF(原始经营数据!$D2552="","",T(原始经营数据!$J2552))</f>
        <v/>
      </c>
      <c r="G2551" t="str">
        <f>IF(原始经营数据!$D2552="","",T(原始经营数据!$K2552))</f>
        <v/>
      </c>
      <c r="H2551" t="str">
        <f>IF(原始经营数据!$D2552="","",原始经营数据!$G2552)</f>
        <v/>
      </c>
      <c r="I2551" t="str">
        <f>IF($A2551="","",IF($B2551&lt;&gt;"",$B2551,IF(COUNTIFS(原始经营数据!$D$3:$D$3001,$A2551,原始经营数据!$E$3:$E$3001,"",原始经营数据!$F$3:$F$3001,$C2551,原始经营数据!$H$3:$H$3001,$D2551,原始经营数据!$K$3:$K$3001,$G2551)&gt;1,"基金整体·来源"&amp;原始经营数据!$A2552,"基金整体")))</f>
        <v/>
      </c>
      <c r="J2551" t="str">
        <f t="shared" si="588"/>
        <v/>
      </c>
      <c r="K2551" t="str">
        <f t="shared" si="589"/>
        <v/>
      </c>
      <c r="L2551" t="str">
        <f t="shared" si="590"/>
        <v/>
      </c>
      <c r="M2551">
        <f>IF($A2551="",0,IF(COUNTIF($L$2:$L2551,$L2551)=1,1,0))</f>
        <v>0</v>
      </c>
      <c r="N2551" t="str">
        <f t="shared" si="591"/>
        <v/>
      </c>
      <c r="O2551" t="str">
        <f t="shared" si="592"/>
        <v/>
      </c>
      <c r="P2551">
        <f>IF($A2551="",0,IF(COUNTIF($O$2:$O2551,$O2551)=1,1,0))</f>
        <v>0</v>
      </c>
      <c r="Q2551" t="str">
        <f>IF(AND($P2551=1,$A2551=经营数据!$B$3,$J2551=经营数据!$BA$5),COUNTIFS($P$2:$P$3000,1,$A$2:$A$3000,$A2551,$J$2:$J$3000,$J2551,$N$2:$N$3000,"&lt;"&amp;$N2551)+1,"")</f>
        <v/>
      </c>
      <c r="R2551" t="str">
        <f t="shared" si="593"/>
        <v/>
      </c>
      <c r="S2551">
        <f>IF($A2551="",0,IF(COUNTIF($R$2:$R2551,$R2551)=1,1,0))</f>
        <v>0</v>
      </c>
      <c r="T2551" t="str">
        <f t="shared" si="594"/>
        <v/>
      </c>
      <c r="U2551" t="str">
        <f>IF($A2551="","",IF($A2551=经营数据!$B$3,COUNTIFS($S$2:$S$3000,1,$A$2:$A$3000,$A2551,$T$2:$T$3000,"&lt;"&amp;$T2551)+1,""))</f>
        <v/>
      </c>
      <c r="V2551" t="str">
        <f t="shared" si="595"/>
        <v/>
      </c>
      <c r="W2551" t="str">
        <f t="shared" si="596"/>
        <v/>
      </c>
      <c r="X2551" t="str">
        <f t="shared" si="597"/>
        <v/>
      </c>
      <c r="Y2551" t="str">
        <f t="shared" si="598"/>
        <v/>
      </c>
      <c r="Z2551">
        <f>IF($A2551="",0,IF(AND($M2551=1,$A2551=经营数据!$B$3,$J2551=经营数据!$BA$5,OR($I2551=经营数据!$BA$4,COUNTIF(经营数据!$AA$9:$AA$38,$I2551)&gt;0)),1,0))</f>
        <v>0</v>
      </c>
      <c r="AA2551" t="str">
        <f t="shared" si="599"/>
        <v/>
      </c>
      <c r="AB2551" t="str">
        <f t="shared" si="600"/>
        <v/>
      </c>
      <c r="AC2551">
        <f>IF($A2551="",0,IF(COUNTIF($A$2:$A2551,$A2551)=1,1,0))</f>
        <v>0</v>
      </c>
      <c r="AD2551">
        <f t="shared" si="601"/>
        <v>29</v>
      </c>
      <c r="AE2551" t="str">
        <f t="shared" si="602"/>
        <v/>
      </c>
    </row>
    <row r="2552" spans="1:31" x14ac:dyDescent="0.4">
      <c r="A2552" t="str">
        <f>IF(原始经营数据!$D2553="","",原始经营数据!$D2553)</f>
        <v/>
      </c>
      <c r="B2552" t="str">
        <f>IF(原始经营数据!$D2553="","",T(原始经营数据!$E2553))</f>
        <v/>
      </c>
      <c r="C2552" t="str">
        <f>IF(原始经营数据!$D2553="","",原始经营数据!$F2553)</f>
        <v/>
      </c>
      <c r="D2552" t="str">
        <f>IF(原始经营数据!$D2553="","",原始经营数据!$H2553)</f>
        <v/>
      </c>
      <c r="E2552" t="str">
        <f>IF(原始经营数据!$D2553="","",原始经营数据!$I2553)</f>
        <v/>
      </c>
      <c r="F2552" t="str">
        <f>IF(原始经营数据!$D2553="","",T(原始经营数据!$J2553))</f>
        <v/>
      </c>
      <c r="G2552" t="str">
        <f>IF(原始经营数据!$D2553="","",T(原始经营数据!$K2553))</f>
        <v/>
      </c>
      <c r="H2552" t="str">
        <f>IF(原始经营数据!$D2553="","",原始经营数据!$G2553)</f>
        <v/>
      </c>
      <c r="I2552" t="str">
        <f>IF($A2552="","",IF($B2552&lt;&gt;"",$B2552,IF(COUNTIFS(原始经营数据!$D$3:$D$3001,$A2552,原始经营数据!$E$3:$E$3001,"",原始经营数据!$F$3:$F$3001,$C2552,原始经营数据!$H$3:$H$3001,$D2552,原始经营数据!$K$3:$K$3001,$G2552)&gt;1,"基金整体·来源"&amp;原始经营数据!$A2553,"基金整体")))</f>
        <v/>
      </c>
      <c r="J2552" t="str">
        <f t="shared" si="588"/>
        <v/>
      </c>
      <c r="K2552" t="str">
        <f t="shared" si="589"/>
        <v/>
      </c>
      <c r="L2552" t="str">
        <f t="shared" si="590"/>
        <v/>
      </c>
      <c r="M2552">
        <f>IF($A2552="",0,IF(COUNTIF($L$2:$L2552,$L2552)=1,1,0))</f>
        <v>0</v>
      </c>
      <c r="N2552" t="str">
        <f t="shared" si="591"/>
        <v/>
      </c>
      <c r="O2552" t="str">
        <f t="shared" si="592"/>
        <v/>
      </c>
      <c r="P2552">
        <f>IF($A2552="",0,IF(COUNTIF($O$2:$O2552,$O2552)=1,1,0))</f>
        <v>0</v>
      </c>
      <c r="Q2552" t="str">
        <f>IF(AND($P2552=1,$A2552=经营数据!$B$3,$J2552=经营数据!$BA$5),COUNTIFS($P$2:$P$3000,1,$A$2:$A$3000,$A2552,$J$2:$J$3000,$J2552,$N$2:$N$3000,"&lt;"&amp;$N2552)+1,"")</f>
        <v/>
      </c>
      <c r="R2552" t="str">
        <f t="shared" si="593"/>
        <v/>
      </c>
      <c r="S2552">
        <f>IF($A2552="",0,IF(COUNTIF($R$2:$R2552,$R2552)=1,1,0))</f>
        <v>0</v>
      </c>
      <c r="T2552" t="str">
        <f t="shared" si="594"/>
        <v/>
      </c>
      <c r="U2552" t="str">
        <f>IF($A2552="","",IF($A2552=经营数据!$B$3,COUNTIFS($S$2:$S$3000,1,$A$2:$A$3000,$A2552,$T$2:$T$3000,"&lt;"&amp;$T2552)+1,""))</f>
        <v/>
      </c>
      <c r="V2552" t="str">
        <f t="shared" si="595"/>
        <v/>
      </c>
      <c r="W2552" t="str">
        <f t="shared" si="596"/>
        <v/>
      </c>
      <c r="X2552" t="str">
        <f t="shared" si="597"/>
        <v/>
      </c>
      <c r="Y2552" t="str">
        <f t="shared" si="598"/>
        <v/>
      </c>
      <c r="Z2552">
        <f>IF($A2552="",0,IF(AND($M2552=1,$A2552=经营数据!$B$3,$J2552=经营数据!$BA$5,OR($I2552=经营数据!$BA$4,COUNTIF(经营数据!$AA$9:$AA$38,$I2552)&gt;0)),1,0))</f>
        <v>0</v>
      </c>
      <c r="AA2552" t="str">
        <f t="shared" si="599"/>
        <v/>
      </c>
      <c r="AB2552" t="str">
        <f t="shared" si="600"/>
        <v/>
      </c>
      <c r="AC2552">
        <f>IF($A2552="",0,IF(COUNTIF($A$2:$A2552,$A2552)=1,1,0))</f>
        <v>0</v>
      </c>
      <c r="AD2552">
        <f t="shared" si="601"/>
        <v>29</v>
      </c>
      <c r="AE2552" t="str">
        <f t="shared" si="602"/>
        <v/>
      </c>
    </row>
    <row r="2553" spans="1:31" x14ac:dyDescent="0.4">
      <c r="A2553" t="str">
        <f>IF(原始经营数据!$D2554="","",原始经营数据!$D2554)</f>
        <v/>
      </c>
      <c r="B2553" t="str">
        <f>IF(原始经营数据!$D2554="","",T(原始经营数据!$E2554))</f>
        <v/>
      </c>
      <c r="C2553" t="str">
        <f>IF(原始经营数据!$D2554="","",原始经营数据!$F2554)</f>
        <v/>
      </c>
      <c r="D2553" t="str">
        <f>IF(原始经营数据!$D2554="","",原始经营数据!$H2554)</f>
        <v/>
      </c>
      <c r="E2553" t="str">
        <f>IF(原始经营数据!$D2554="","",原始经营数据!$I2554)</f>
        <v/>
      </c>
      <c r="F2553" t="str">
        <f>IF(原始经营数据!$D2554="","",T(原始经营数据!$J2554))</f>
        <v/>
      </c>
      <c r="G2553" t="str">
        <f>IF(原始经营数据!$D2554="","",T(原始经营数据!$K2554))</f>
        <v/>
      </c>
      <c r="H2553" t="str">
        <f>IF(原始经营数据!$D2554="","",原始经营数据!$G2554)</f>
        <v/>
      </c>
      <c r="I2553" t="str">
        <f>IF($A2553="","",IF($B2553&lt;&gt;"",$B2553,IF(COUNTIFS(原始经营数据!$D$3:$D$3001,$A2553,原始经营数据!$E$3:$E$3001,"",原始经营数据!$F$3:$F$3001,$C2553,原始经营数据!$H$3:$H$3001,$D2553,原始经营数据!$K$3:$K$3001,$G2553)&gt;1,"基金整体·来源"&amp;原始经营数据!$A2554,"基金整体")))</f>
        <v/>
      </c>
      <c r="J2553" t="str">
        <f t="shared" si="588"/>
        <v/>
      </c>
      <c r="K2553" t="str">
        <f t="shared" si="589"/>
        <v/>
      </c>
      <c r="L2553" t="str">
        <f t="shared" si="590"/>
        <v/>
      </c>
      <c r="M2553">
        <f>IF($A2553="",0,IF(COUNTIF($L$2:$L2553,$L2553)=1,1,0))</f>
        <v>0</v>
      </c>
      <c r="N2553" t="str">
        <f t="shared" si="591"/>
        <v/>
      </c>
      <c r="O2553" t="str">
        <f t="shared" si="592"/>
        <v/>
      </c>
      <c r="P2553">
        <f>IF($A2553="",0,IF(COUNTIF($O$2:$O2553,$O2553)=1,1,0))</f>
        <v>0</v>
      </c>
      <c r="Q2553" t="str">
        <f>IF(AND($P2553=1,$A2553=经营数据!$B$3,$J2553=经营数据!$BA$5),COUNTIFS($P$2:$P$3000,1,$A$2:$A$3000,$A2553,$J$2:$J$3000,$J2553,$N$2:$N$3000,"&lt;"&amp;$N2553)+1,"")</f>
        <v/>
      </c>
      <c r="R2553" t="str">
        <f t="shared" si="593"/>
        <v/>
      </c>
      <c r="S2553">
        <f>IF($A2553="",0,IF(COUNTIF($R$2:$R2553,$R2553)=1,1,0))</f>
        <v>0</v>
      </c>
      <c r="T2553" t="str">
        <f t="shared" si="594"/>
        <v/>
      </c>
      <c r="U2553" t="str">
        <f>IF($A2553="","",IF($A2553=经营数据!$B$3,COUNTIFS($S$2:$S$3000,1,$A$2:$A$3000,$A2553,$T$2:$T$3000,"&lt;"&amp;$T2553)+1,""))</f>
        <v/>
      </c>
      <c r="V2553" t="str">
        <f t="shared" si="595"/>
        <v/>
      </c>
      <c r="W2553" t="str">
        <f t="shared" si="596"/>
        <v/>
      </c>
      <c r="X2553" t="str">
        <f t="shared" si="597"/>
        <v/>
      </c>
      <c r="Y2553" t="str">
        <f t="shared" si="598"/>
        <v/>
      </c>
      <c r="Z2553">
        <f>IF($A2553="",0,IF(AND($M2553=1,$A2553=经营数据!$B$3,$J2553=经营数据!$BA$5,OR($I2553=经营数据!$BA$4,COUNTIF(经营数据!$AA$9:$AA$38,$I2553)&gt;0)),1,0))</f>
        <v>0</v>
      </c>
      <c r="AA2553" t="str">
        <f t="shared" si="599"/>
        <v/>
      </c>
      <c r="AB2553" t="str">
        <f t="shared" si="600"/>
        <v/>
      </c>
      <c r="AC2553">
        <f>IF($A2553="",0,IF(COUNTIF($A$2:$A2553,$A2553)=1,1,0))</f>
        <v>0</v>
      </c>
      <c r="AD2553">
        <f t="shared" si="601"/>
        <v>29</v>
      </c>
      <c r="AE2553" t="str">
        <f t="shared" si="602"/>
        <v/>
      </c>
    </row>
    <row r="2554" spans="1:31" x14ac:dyDescent="0.4">
      <c r="A2554" t="str">
        <f>IF(原始经营数据!$D2555="","",原始经营数据!$D2555)</f>
        <v/>
      </c>
      <c r="B2554" t="str">
        <f>IF(原始经营数据!$D2555="","",T(原始经营数据!$E2555))</f>
        <v/>
      </c>
      <c r="C2554" t="str">
        <f>IF(原始经营数据!$D2555="","",原始经营数据!$F2555)</f>
        <v/>
      </c>
      <c r="D2554" t="str">
        <f>IF(原始经营数据!$D2555="","",原始经营数据!$H2555)</f>
        <v/>
      </c>
      <c r="E2554" t="str">
        <f>IF(原始经营数据!$D2555="","",原始经营数据!$I2555)</f>
        <v/>
      </c>
      <c r="F2554" t="str">
        <f>IF(原始经营数据!$D2555="","",T(原始经营数据!$J2555))</f>
        <v/>
      </c>
      <c r="G2554" t="str">
        <f>IF(原始经营数据!$D2555="","",T(原始经营数据!$K2555))</f>
        <v/>
      </c>
      <c r="H2554" t="str">
        <f>IF(原始经营数据!$D2555="","",原始经营数据!$G2555)</f>
        <v/>
      </c>
      <c r="I2554" t="str">
        <f>IF($A2554="","",IF($B2554&lt;&gt;"",$B2554,IF(COUNTIFS(原始经营数据!$D$3:$D$3001,$A2554,原始经营数据!$E$3:$E$3001,"",原始经营数据!$F$3:$F$3001,$C2554,原始经营数据!$H$3:$H$3001,$D2554,原始经营数据!$K$3:$K$3001,$G2554)&gt;1,"基金整体·来源"&amp;原始经营数据!$A2555,"基金整体")))</f>
        <v/>
      </c>
      <c r="J2554" t="str">
        <f t="shared" si="588"/>
        <v/>
      </c>
      <c r="K2554" t="str">
        <f t="shared" si="589"/>
        <v/>
      </c>
      <c r="L2554" t="str">
        <f t="shared" si="590"/>
        <v/>
      </c>
      <c r="M2554">
        <f>IF($A2554="",0,IF(COUNTIF($L$2:$L2554,$L2554)=1,1,0))</f>
        <v>0</v>
      </c>
      <c r="N2554" t="str">
        <f t="shared" si="591"/>
        <v/>
      </c>
      <c r="O2554" t="str">
        <f t="shared" si="592"/>
        <v/>
      </c>
      <c r="P2554">
        <f>IF($A2554="",0,IF(COUNTIF($O$2:$O2554,$O2554)=1,1,0))</f>
        <v>0</v>
      </c>
      <c r="Q2554" t="str">
        <f>IF(AND($P2554=1,$A2554=经营数据!$B$3,$J2554=经营数据!$BA$5),COUNTIFS($P$2:$P$3000,1,$A$2:$A$3000,$A2554,$J$2:$J$3000,$J2554,$N$2:$N$3000,"&lt;"&amp;$N2554)+1,"")</f>
        <v/>
      </c>
      <c r="R2554" t="str">
        <f t="shared" si="593"/>
        <v/>
      </c>
      <c r="S2554">
        <f>IF($A2554="",0,IF(COUNTIF($R$2:$R2554,$R2554)=1,1,0))</f>
        <v>0</v>
      </c>
      <c r="T2554" t="str">
        <f t="shared" si="594"/>
        <v/>
      </c>
      <c r="U2554" t="str">
        <f>IF($A2554="","",IF($A2554=经营数据!$B$3,COUNTIFS($S$2:$S$3000,1,$A$2:$A$3000,$A2554,$T$2:$T$3000,"&lt;"&amp;$T2554)+1,""))</f>
        <v/>
      </c>
      <c r="V2554" t="str">
        <f t="shared" si="595"/>
        <v/>
      </c>
      <c r="W2554" t="str">
        <f t="shared" si="596"/>
        <v/>
      </c>
      <c r="X2554" t="str">
        <f t="shared" si="597"/>
        <v/>
      </c>
      <c r="Y2554" t="str">
        <f t="shared" si="598"/>
        <v/>
      </c>
      <c r="Z2554">
        <f>IF($A2554="",0,IF(AND($M2554=1,$A2554=经营数据!$B$3,$J2554=经营数据!$BA$5,OR($I2554=经营数据!$BA$4,COUNTIF(经营数据!$AA$9:$AA$38,$I2554)&gt;0)),1,0))</f>
        <v>0</v>
      </c>
      <c r="AA2554" t="str">
        <f t="shared" si="599"/>
        <v/>
      </c>
      <c r="AB2554" t="str">
        <f t="shared" si="600"/>
        <v/>
      </c>
      <c r="AC2554">
        <f>IF($A2554="",0,IF(COUNTIF($A$2:$A2554,$A2554)=1,1,0))</f>
        <v>0</v>
      </c>
      <c r="AD2554">
        <f t="shared" si="601"/>
        <v>29</v>
      </c>
      <c r="AE2554" t="str">
        <f t="shared" si="602"/>
        <v/>
      </c>
    </row>
    <row r="2555" spans="1:31" x14ac:dyDescent="0.4">
      <c r="A2555" t="str">
        <f>IF(原始经营数据!$D2556="","",原始经营数据!$D2556)</f>
        <v/>
      </c>
      <c r="B2555" t="str">
        <f>IF(原始经营数据!$D2556="","",T(原始经营数据!$E2556))</f>
        <v/>
      </c>
      <c r="C2555" t="str">
        <f>IF(原始经营数据!$D2556="","",原始经营数据!$F2556)</f>
        <v/>
      </c>
      <c r="D2555" t="str">
        <f>IF(原始经营数据!$D2556="","",原始经营数据!$H2556)</f>
        <v/>
      </c>
      <c r="E2555" t="str">
        <f>IF(原始经营数据!$D2556="","",原始经营数据!$I2556)</f>
        <v/>
      </c>
      <c r="F2555" t="str">
        <f>IF(原始经营数据!$D2556="","",T(原始经营数据!$J2556))</f>
        <v/>
      </c>
      <c r="G2555" t="str">
        <f>IF(原始经营数据!$D2556="","",T(原始经营数据!$K2556))</f>
        <v/>
      </c>
      <c r="H2555" t="str">
        <f>IF(原始经营数据!$D2556="","",原始经营数据!$G2556)</f>
        <v/>
      </c>
      <c r="I2555" t="str">
        <f>IF($A2555="","",IF($B2555&lt;&gt;"",$B2555,IF(COUNTIFS(原始经营数据!$D$3:$D$3001,$A2555,原始经营数据!$E$3:$E$3001,"",原始经营数据!$F$3:$F$3001,$C2555,原始经营数据!$H$3:$H$3001,$D2555,原始经营数据!$K$3:$K$3001,$G2555)&gt;1,"基金整体·来源"&amp;原始经营数据!$A2556,"基金整体")))</f>
        <v/>
      </c>
      <c r="J2555" t="str">
        <f t="shared" si="588"/>
        <v/>
      </c>
      <c r="K2555" t="str">
        <f t="shared" si="589"/>
        <v/>
      </c>
      <c r="L2555" t="str">
        <f t="shared" si="590"/>
        <v/>
      </c>
      <c r="M2555">
        <f>IF($A2555="",0,IF(COUNTIF($L$2:$L2555,$L2555)=1,1,0))</f>
        <v>0</v>
      </c>
      <c r="N2555" t="str">
        <f t="shared" si="591"/>
        <v/>
      </c>
      <c r="O2555" t="str">
        <f t="shared" si="592"/>
        <v/>
      </c>
      <c r="P2555">
        <f>IF($A2555="",0,IF(COUNTIF($O$2:$O2555,$O2555)=1,1,0))</f>
        <v>0</v>
      </c>
      <c r="Q2555" t="str">
        <f>IF(AND($P2555=1,$A2555=经营数据!$B$3,$J2555=经营数据!$BA$5),COUNTIFS($P$2:$P$3000,1,$A$2:$A$3000,$A2555,$J$2:$J$3000,$J2555,$N$2:$N$3000,"&lt;"&amp;$N2555)+1,"")</f>
        <v/>
      </c>
      <c r="R2555" t="str">
        <f t="shared" si="593"/>
        <v/>
      </c>
      <c r="S2555">
        <f>IF($A2555="",0,IF(COUNTIF($R$2:$R2555,$R2555)=1,1,0))</f>
        <v>0</v>
      </c>
      <c r="T2555" t="str">
        <f t="shared" si="594"/>
        <v/>
      </c>
      <c r="U2555" t="str">
        <f>IF($A2555="","",IF($A2555=经营数据!$B$3,COUNTIFS($S$2:$S$3000,1,$A$2:$A$3000,$A2555,$T$2:$T$3000,"&lt;"&amp;$T2555)+1,""))</f>
        <v/>
      </c>
      <c r="V2555" t="str">
        <f t="shared" si="595"/>
        <v/>
      </c>
      <c r="W2555" t="str">
        <f t="shared" si="596"/>
        <v/>
      </c>
      <c r="X2555" t="str">
        <f t="shared" si="597"/>
        <v/>
      </c>
      <c r="Y2555" t="str">
        <f t="shared" si="598"/>
        <v/>
      </c>
      <c r="Z2555">
        <f>IF($A2555="",0,IF(AND($M2555=1,$A2555=经营数据!$B$3,$J2555=经营数据!$BA$5,OR($I2555=经营数据!$BA$4,COUNTIF(经营数据!$AA$9:$AA$38,$I2555)&gt;0)),1,0))</f>
        <v>0</v>
      </c>
      <c r="AA2555" t="str">
        <f t="shared" si="599"/>
        <v/>
      </c>
      <c r="AB2555" t="str">
        <f t="shared" si="600"/>
        <v/>
      </c>
      <c r="AC2555">
        <f>IF($A2555="",0,IF(COUNTIF($A$2:$A2555,$A2555)=1,1,0))</f>
        <v>0</v>
      </c>
      <c r="AD2555">
        <f t="shared" si="601"/>
        <v>29</v>
      </c>
      <c r="AE2555" t="str">
        <f t="shared" si="602"/>
        <v/>
      </c>
    </row>
    <row r="2556" spans="1:31" x14ac:dyDescent="0.4">
      <c r="A2556" t="str">
        <f>IF(原始经营数据!$D2557="","",原始经营数据!$D2557)</f>
        <v/>
      </c>
      <c r="B2556" t="str">
        <f>IF(原始经营数据!$D2557="","",T(原始经营数据!$E2557))</f>
        <v/>
      </c>
      <c r="C2556" t="str">
        <f>IF(原始经营数据!$D2557="","",原始经营数据!$F2557)</f>
        <v/>
      </c>
      <c r="D2556" t="str">
        <f>IF(原始经营数据!$D2557="","",原始经营数据!$H2557)</f>
        <v/>
      </c>
      <c r="E2556" t="str">
        <f>IF(原始经营数据!$D2557="","",原始经营数据!$I2557)</f>
        <v/>
      </c>
      <c r="F2556" t="str">
        <f>IF(原始经营数据!$D2557="","",T(原始经营数据!$J2557))</f>
        <v/>
      </c>
      <c r="G2556" t="str">
        <f>IF(原始经营数据!$D2557="","",T(原始经营数据!$K2557))</f>
        <v/>
      </c>
      <c r="H2556" t="str">
        <f>IF(原始经营数据!$D2557="","",原始经营数据!$G2557)</f>
        <v/>
      </c>
      <c r="I2556" t="str">
        <f>IF($A2556="","",IF($B2556&lt;&gt;"",$B2556,IF(COUNTIFS(原始经营数据!$D$3:$D$3001,$A2556,原始经营数据!$E$3:$E$3001,"",原始经营数据!$F$3:$F$3001,$C2556,原始经营数据!$H$3:$H$3001,$D2556,原始经营数据!$K$3:$K$3001,$G2556)&gt;1,"基金整体·来源"&amp;原始经营数据!$A2557,"基金整体")))</f>
        <v/>
      </c>
      <c r="J2556" t="str">
        <f t="shared" si="588"/>
        <v/>
      </c>
      <c r="K2556" t="str">
        <f t="shared" si="589"/>
        <v/>
      </c>
      <c r="L2556" t="str">
        <f t="shared" si="590"/>
        <v/>
      </c>
      <c r="M2556">
        <f>IF($A2556="",0,IF(COUNTIF($L$2:$L2556,$L2556)=1,1,0))</f>
        <v>0</v>
      </c>
      <c r="N2556" t="str">
        <f t="shared" si="591"/>
        <v/>
      </c>
      <c r="O2556" t="str">
        <f t="shared" si="592"/>
        <v/>
      </c>
      <c r="P2556">
        <f>IF($A2556="",0,IF(COUNTIF($O$2:$O2556,$O2556)=1,1,0))</f>
        <v>0</v>
      </c>
      <c r="Q2556" t="str">
        <f>IF(AND($P2556=1,$A2556=经营数据!$B$3,$J2556=经营数据!$BA$5),COUNTIFS($P$2:$P$3000,1,$A$2:$A$3000,$A2556,$J$2:$J$3000,$J2556,$N$2:$N$3000,"&lt;"&amp;$N2556)+1,"")</f>
        <v/>
      </c>
      <c r="R2556" t="str">
        <f t="shared" si="593"/>
        <v/>
      </c>
      <c r="S2556">
        <f>IF($A2556="",0,IF(COUNTIF($R$2:$R2556,$R2556)=1,1,0))</f>
        <v>0</v>
      </c>
      <c r="T2556" t="str">
        <f t="shared" si="594"/>
        <v/>
      </c>
      <c r="U2556" t="str">
        <f>IF($A2556="","",IF($A2556=经营数据!$B$3,COUNTIFS($S$2:$S$3000,1,$A$2:$A$3000,$A2556,$T$2:$T$3000,"&lt;"&amp;$T2556)+1,""))</f>
        <v/>
      </c>
      <c r="V2556" t="str">
        <f t="shared" si="595"/>
        <v/>
      </c>
      <c r="W2556" t="str">
        <f t="shared" si="596"/>
        <v/>
      </c>
      <c r="X2556" t="str">
        <f t="shared" si="597"/>
        <v/>
      </c>
      <c r="Y2556" t="str">
        <f t="shared" si="598"/>
        <v/>
      </c>
      <c r="Z2556">
        <f>IF($A2556="",0,IF(AND($M2556=1,$A2556=经营数据!$B$3,$J2556=经营数据!$BA$5,OR($I2556=经营数据!$BA$4,COUNTIF(经营数据!$AA$9:$AA$38,$I2556)&gt;0)),1,0))</f>
        <v>0</v>
      </c>
      <c r="AA2556" t="str">
        <f t="shared" si="599"/>
        <v/>
      </c>
      <c r="AB2556" t="str">
        <f t="shared" si="600"/>
        <v/>
      </c>
      <c r="AC2556">
        <f>IF($A2556="",0,IF(COUNTIF($A$2:$A2556,$A2556)=1,1,0))</f>
        <v>0</v>
      </c>
      <c r="AD2556">
        <f t="shared" si="601"/>
        <v>29</v>
      </c>
      <c r="AE2556" t="str">
        <f t="shared" si="602"/>
        <v/>
      </c>
    </row>
    <row r="2557" spans="1:31" x14ac:dyDescent="0.4">
      <c r="A2557" t="str">
        <f>IF(原始经营数据!$D2558="","",原始经营数据!$D2558)</f>
        <v/>
      </c>
      <c r="B2557" t="str">
        <f>IF(原始经营数据!$D2558="","",T(原始经营数据!$E2558))</f>
        <v/>
      </c>
      <c r="C2557" t="str">
        <f>IF(原始经营数据!$D2558="","",原始经营数据!$F2558)</f>
        <v/>
      </c>
      <c r="D2557" t="str">
        <f>IF(原始经营数据!$D2558="","",原始经营数据!$H2558)</f>
        <v/>
      </c>
      <c r="E2557" t="str">
        <f>IF(原始经营数据!$D2558="","",原始经营数据!$I2558)</f>
        <v/>
      </c>
      <c r="F2557" t="str">
        <f>IF(原始经营数据!$D2558="","",T(原始经营数据!$J2558))</f>
        <v/>
      </c>
      <c r="G2557" t="str">
        <f>IF(原始经营数据!$D2558="","",T(原始经营数据!$K2558))</f>
        <v/>
      </c>
      <c r="H2557" t="str">
        <f>IF(原始经营数据!$D2558="","",原始经营数据!$G2558)</f>
        <v/>
      </c>
      <c r="I2557" t="str">
        <f>IF($A2557="","",IF($B2557&lt;&gt;"",$B2557,IF(COUNTIFS(原始经营数据!$D$3:$D$3001,$A2557,原始经营数据!$E$3:$E$3001,"",原始经营数据!$F$3:$F$3001,$C2557,原始经营数据!$H$3:$H$3001,$D2557,原始经营数据!$K$3:$K$3001,$G2557)&gt;1,"基金整体·来源"&amp;原始经营数据!$A2558,"基金整体")))</f>
        <v/>
      </c>
      <c r="J2557" t="str">
        <f t="shared" si="588"/>
        <v/>
      </c>
      <c r="K2557" t="str">
        <f t="shared" si="589"/>
        <v/>
      </c>
      <c r="L2557" t="str">
        <f t="shared" si="590"/>
        <v/>
      </c>
      <c r="M2557">
        <f>IF($A2557="",0,IF(COUNTIF($L$2:$L2557,$L2557)=1,1,0))</f>
        <v>0</v>
      </c>
      <c r="N2557" t="str">
        <f t="shared" si="591"/>
        <v/>
      </c>
      <c r="O2557" t="str">
        <f t="shared" si="592"/>
        <v/>
      </c>
      <c r="P2557">
        <f>IF($A2557="",0,IF(COUNTIF($O$2:$O2557,$O2557)=1,1,0))</f>
        <v>0</v>
      </c>
      <c r="Q2557" t="str">
        <f>IF(AND($P2557=1,$A2557=经营数据!$B$3,$J2557=经营数据!$BA$5),COUNTIFS($P$2:$P$3000,1,$A$2:$A$3000,$A2557,$J$2:$J$3000,$J2557,$N$2:$N$3000,"&lt;"&amp;$N2557)+1,"")</f>
        <v/>
      </c>
      <c r="R2557" t="str">
        <f t="shared" si="593"/>
        <v/>
      </c>
      <c r="S2557">
        <f>IF($A2557="",0,IF(COUNTIF($R$2:$R2557,$R2557)=1,1,0))</f>
        <v>0</v>
      </c>
      <c r="T2557" t="str">
        <f t="shared" si="594"/>
        <v/>
      </c>
      <c r="U2557" t="str">
        <f>IF($A2557="","",IF($A2557=经营数据!$B$3,COUNTIFS($S$2:$S$3000,1,$A$2:$A$3000,$A2557,$T$2:$T$3000,"&lt;"&amp;$T2557)+1,""))</f>
        <v/>
      </c>
      <c r="V2557" t="str">
        <f t="shared" si="595"/>
        <v/>
      </c>
      <c r="W2557" t="str">
        <f t="shared" si="596"/>
        <v/>
      </c>
      <c r="X2557" t="str">
        <f t="shared" si="597"/>
        <v/>
      </c>
      <c r="Y2557" t="str">
        <f t="shared" si="598"/>
        <v/>
      </c>
      <c r="Z2557">
        <f>IF($A2557="",0,IF(AND($M2557=1,$A2557=经营数据!$B$3,$J2557=经营数据!$BA$5,OR($I2557=经营数据!$BA$4,COUNTIF(经营数据!$AA$9:$AA$38,$I2557)&gt;0)),1,0))</f>
        <v>0</v>
      </c>
      <c r="AA2557" t="str">
        <f t="shared" si="599"/>
        <v/>
      </c>
      <c r="AB2557" t="str">
        <f t="shared" si="600"/>
        <v/>
      </c>
      <c r="AC2557">
        <f>IF($A2557="",0,IF(COUNTIF($A$2:$A2557,$A2557)=1,1,0))</f>
        <v>0</v>
      </c>
      <c r="AD2557">
        <f t="shared" si="601"/>
        <v>29</v>
      </c>
      <c r="AE2557" t="str">
        <f t="shared" si="602"/>
        <v/>
      </c>
    </row>
    <row r="2558" spans="1:31" x14ac:dyDescent="0.4">
      <c r="A2558" t="str">
        <f>IF(原始经营数据!$D2559="","",原始经营数据!$D2559)</f>
        <v/>
      </c>
      <c r="B2558" t="str">
        <f>IF(原始经营数据!$D2559="","",T(原始经营数据!$E2559))</f>
        <v/>
      </c>
      <c r="C2558" t="str">
        <f>IF(原始经营数据!$D2559="","",原始经营数据!$F2559)</f>
        <v/>
      </c>
      <c r="D2558" t="str">
        <f>IF(原始经营数据!$D2559="","",原始经营数据!$H2559)</f>
        <v/>
      </c>
      <c r="E2558" t="str">
        <f>IF(原始经营数据!$D2559="","",原始经营数据!$I2559)</f>
        <v/>
      </c>
      <c r="F2558" t="str">
        <f>IF(原始经营数据!$D2559="","",T(原始经营数据!$J2559))</f>
        <v/>
      </c>
      <c r="G2558" t="str">
        <f>IF(原始经营数据!$D2559="","",T(原始经营数据!$K2559))</f>
        <v/>
      </c>
      <c r="H2558" t="str">
        <f>IF(原始经营数据!$D2559="","",原始经营数据!$G2559)</f>
        <v/>
      </c>
      <c r="I2558" t="str">
        <f>IF($A2558="","",IF($B2558&lt;&gt;"",$B2558,IF(COUNTIFS(原始经营数据!$D$3:$D$3001,$A2558,原始经营数据!$E$3:$E$3001,"",原始经营数据!$F$3:$F$3001,$C2558,原始经营数据!$H$3:$H$3001,$D2558,原始经营数据!$K$3:$K$3001,$G2558)&gt;1,"基金整体·来源"&amp;原始经营数据!$A2559,"基金整体")))</f>
        <v/>
      </c>
      <c r="J2558" t="str">
        <f t="shared" si="588"/>
        <v/>
      </c>
      <c r="K2558" t="str">
        <f t="shared" si="589"/>
        <v/>
      </c>
      <c r="L2558" t="str">
        <f t="shared" si="590"/>
        <v/>
      </c>
      <c r="M2558">
        <f>IF($A2558="",0,IF(COUNTIF($L$2:$L2558,$L2558)=1,1,0))</f>
        <v>0</v>
      </c>
      <c r="N2558" t="str">
        <f t="shared" si="591"/>
        <v/>
      </c>
      <c r="O2558" t="str">
        <f t="shared" si="592"/>
        <v/>
      </c>
      <c r="P2558">
        <f>IF($A2558="",0,IF(COUNTIF($O$2:$O2558,$O2558)=1,1,0))</f>
        <v>0</v>
      </c>
      <c r="Q2558" t="str">
        <f>IF(AND($P2558=1,$A2558=经营数据!$B$3,$J2558=经营数据!$BA$5),COUNTIFS($P$2:$P$3000,1,$A$2:$A$3000,$A2558,$J$2:$J$3000,$J2558,$N$2:$N$3000,"&lt;"&amp;$N2558)+1,"")</f>
        <v/>
      </c>
      <c r="R2558" t="str">
        <f t="shared" si="593"/>
        <v/>
      </c>
      <c r="S2558">
        <f>IF($A2558="",0,IF(COUNTIF($R$2:$R2558,$R2558)=1,1,0))</f>
        <v>0</v>
      </c>
      <c r="T2558" t="str">
        <f t="shared" si="594"/>
        <v/>
      </c>
      <c r="U2558" t="str">
        <f>IF($A2558="","",IF($A2558=经营数据!$B$3,COUNTIFS($S$2:$S$3000,1,$A$2:$A$3000,$A2558,$T$2:$T$3000,"&lt;"&amp;$T2558)+1,""))</f>
        <v/>
      </c>
      <c r="V2558" t="str">
        <f t="shared" si="595"/>
        <v/>
      </c>
      <c r="W2558" t="str">
        <f t="shared" si="596"/>
        <v/>
      </c>
      <c r="X2558" t="str">
        <f t="shared" si="597"/>
        <v/>
      </c>
      <c r="Y2558" t="str">
        <f t="shared" si="598"/>
        <v/>
      </c>
      <c r="Z2558">
        <f>IF($A2558="",0,IF(AND($M2558=1,$A2558=经营数据!$B$3,$J2558=经营数据!$BA$5,OR($I2558=经营数据!$BA$4,COUNTIF(经营数据!$AA$9:$AA$38,$I2558)&gt;0)),1,0))</f>
        <v>0</v>
      </c>
      <c r="AA2558" t="str">
        <f t="shared" si="599"/>
        <v/>
      </c>
      <c r="AB2558" t="str">
        <f t="shared" si="600"/>
        <v/>
      </c>
      <c r="AC2558">
        <f>IF($A2558="",0,IF(COUNTIF($A$2:$A2558,$A2558)=1,1,0))</f>
        <v>0</v>
      </c>
      <c r="AD2558">
        <f t="shared" si="601"/>
        <v>29</v>
      </c>
      <c r="AE2558" t="str">
        <f t="shared" si="602"/>
        <v/>
      </c>
    </row>
    <row r="2559" spans="1:31" x14ac:dyDescent="0.4">
      <c r="A2559" t="str">
        <f>IF(原始经营数据!$D2560="","",原始经营数据!$D2560)</f>
        <v/>
      </c>
      <c r="B2559" t="str">
        <f>IF(原始经营数据!$D2560="","",T(原始经营数据!$E2560))</f>
        <v/>
      </c>
      <c r="C2559" t="str">
        <f>IF(原始经营数据!$D2560="","",原始经营数据!$F2560)</f>
        <v/>
      </c>
      <c r="D2559" t="str">
        <f>IF(原始经营数据!$D2560="","",原始经营数据!$H2560)</f>
        <v/>
      </c>
      <c r="E2559" t="str">
        <f>IF(原始经营数据!$D2560="","",原始经营数据!$I2560)</f>
        <v/>
      </c>
      <c r="F2559" t="str">
        <f>IF(原始经营数据!$D2560="","",T(原始经营数据!$J2560))</f>
        <v/>
      </c>
      <c r="G2559" t="str">
        <f>IF(原始经营数据!$D2560="","",T(原始经营数据!$K2560))</f>
        <v/>
      </c>
      <c r="H2559" t="str">
        <f>IF(原始经营数据!$D2560="","",原始经营数据!$G2560)</f>
        <v/>
      </c>
      <c r="I2559" t="str">
        <f>IF($A2559="","",IF($B2559&lt;&gt;"",$B2559,IF(COUNTIFS(原始经营数据!$D$3:$D$3001,$A2559,原始经营数据!$E$3:$E$3001,"",原始经营数据!$F$3:$F$3001,$C2559,原始经营数据!$H$3:$H$3001,$D2559,原始经营数据!$K$3:$K$3001,$G2559)&gt;1,"基金整体·来源"&amp;原始经营数据!$A2560,"基金整体")))</f>
        <v/>
      </c>
      <c r="J2559" t="str">
        <f t="shared" si="588"/>
        <v/>
      </c>
      <c r="K2559" t="str">
        <f t="shared" si="589"/>
        <v/>
      </c>
      <c r="L2559" t="str">
        <f t="shared" si="590"/>
        <v/>
      </c>
      <c r="M2559">
        <f>IF($A2559="",0,IF(COUNTIF($L$2:$L2559,$L2559)=1,1,0))</f>
        <v>0</v>
      </c>
      <c r="N2559" t="str">
        <f t="shared" si="591"/>
        <v/>
      </c>
      <c r="O2559" t="str">
        <f t="shared" si="592"/>
        <v/>
      </c>
      <c r="P2559">
        <f>IF($A2559="",0,IF(COUNTIF($O$2:$O2559,$O2559)=1,1,0))</f>
        <v>0</v>
      </c>
      <c r="Q2559" t="str">
        <f>IF(AND($P2559=1,$A2559=经营数据!$B$3,$J2559=经营数据!$BA$5),COUNTIFS($P$2:$P$3000,1,$A$2:$A$3000,$A2559,$J$2:$J$3000,$J2559,$N$2:$N$3000,"&lt;"&amp;$N2559)+1,"")</f>
        <v/>
      </c>
      <c r="R2559" t="str">
        <f t="shared" si="593"/>
        <v/>
      </c>
      <c r="S2559">
        <f>IF($A2559="",0,IF(COUNTIF($R$2:$R2559,$R2559)=1,1,0))</f>
        <v>0</v>
      </c>
      <c r="T2559" t="str">
        <f t="shared" si="594"/>
        <v/>
      </c>
      <c r="U2559" t="str">
        <f>IF($A2559="","",IF($A2559=经营数据!$B$3,COUNTIFS($S$2:$S$3000,1,$A$2:$A$3000,$A2559,$T$2:$T$3000,"&lt;"&amp;$T2559)+1,""))</f>
        <v/>
      </c>
      <c r="V2559" t="str">
        <f t="shared" si="595"/>
        <v/>
      </c>
      <c r="W2559" t="str">
        <f t="shared" si="596"/>
        <v/>
      </c>
      <c r="X2559" t="str">
        <f t="shared" si="597"/>
        <v/>
      </c>
      <c r="Y2559" t="str">
        <f t="shared" si="598"/>
        <v/>
      </c>
      <c r="Z2559">
        <f>IF($A2559="",0,IF(AND($M2559=1,$A2559=经营数据!$B$3,$J2559=经营数据!$BA$5,OR($I2559=经营数据!$BA$4,COUNTIF(经营数据!$AA$9:$AA$38,$I2559)&gt;0)),1,0))</f>
        <v>0</v>
      </c>
      <c r="AA2559" t="str">
        <f t="shared" si="599"/>
        <v/>
      </c>
      <c r="AB2559" t="str">
        <f t="shared" si="600"/>
        <v/>
      </c>
      <c r="AC2559">
        <f>IF($A2559="",0,IF(COUNTIF($A$2:$A2559,$A2559)=1,1,0))</f>
        <v>0</v>
      </c>
      <c r="AD2559">
        <f t="shared" si="601"/>
        <v>29</v>
      </c>
      <c r="AE2559" t="str">
        <f t="shared" si="602"/>
        <v/>
      </c>
    </row>
    <row r="2560" spans="1:31" x14ac:dyDescent="0.4">
      <c r="A2560" t="str">
        <f>IF(原始经营数据!$D2561="","",原始经营数据!$D2561)</f>
        <v/>
      </c>
      <c r="B2560" t="str">
        <f>IF(原始经营数据!$D2561="","",T(原始经营数据!$E2561))</f>
        <v/>
      </c>
      <c r="C2560" t="str">
        <f>IF(原始经营数据!$D2561="","",原始经营数据!$F2561)</f>
        <v/>
      </c>
      <c r="D2560" t="str">
        <f>IF(原始经营数据!$D2561="","",原始经营数据!$H2561)</f>
        <v/>
      </c>
      <c r="E2560" t="str">
        <f>IF(原始经营数据!$D2561="","",原始经营数据!$I2561)</f>
        <v/>
      </c>
      <c r="F2560" t="str">
        <f>IF(原始经营数据!$D2561="","",T(原始经营数据!$J2561))</f>
        <v/>
      </c>
      <c r="G2560" t="str">
        <f>IF(原始经营数据!$D2561="","",T(原始经营数据!$K2561))</f>
        <v/>
      </c>
      <c r="H2560" t="str">
        <f>IF(原始经营数据!$D2561="","",原始经营数据!$G2561)</f>
        <v/>
      </c>
      <c r="I2560" t="str">
        <f>IF($A2560="","",IF($B2560&lt;&gt;"",$B2560,IF(COUNTIFS(原始经营数据!$D$3:$D$3001,$A2560,原始经营数据!$E$3:$E$3001,"",原始经营数据!$F$3:$F$3001,$C2560,原始经营数据!$H$3:$H$3001,$D2560,原始经营数据!$K$3:$K$3001,$G2560)&gt;1,"基金整体·来源"&amp;原始经营数据!$A2561,"基金整体")))</f>
        <v/>
      </c>
      <c r="J2560" t="str">
        <f t="shared" si="588"/>
        <v/>
      </c>
      <c r="K2560" t="str">
        <f t="shared" si="589"/>
        <v/>
      </c>
      <c r="L2560" t="str">
        <f t="shared" si="590"/>
        <v/>
      </c>
      <c r="M2560">
        <f>IF($A2560="",0,IF(COUNTIF($L$2:$L2560,$L2560)=1,1,0))</f>
        <v>0</v>
      </c>
      <c r="N2560" t="str">
        <f t="shared" si="591"/>
        <v/>
      </c>
      <c r="O2560" t="str">
        <f t="shared" si="592"/>
        <v/>
      </c>
      <c r="P2560">
        <f>IF($A2560="",0,IF(COUNTIF($O$2:$O2560,$O2560)=1,1,0))</f>
        <v>0</v>
      </c>
      <c r="Q2560" t="str">
        <f>IF(AND($P2560=1,$A2560=经营数据!$B$3,$J2560=经营数据!$BA$5),COUNTIFS($P$2:$P$3000,1,$A$2:$A$3000,$A2560,$J$2:$J$3000,$J2560,$N$2:$N$3000,"&lt;"&amp;$N2560)+1,"")</f>
        <v/>
      </c>
      <c r="R2560" t="str">
        <f t="shared" si="593"/>
        <v/>
      </c>
      <c r="S2560">
        <f>IF($A2560="",0,IF(COUNTIF($R$2:$R2560,$R2560)=1,1,0))</f>
        <v>0</v>
      </c>
      <c r="T2560" t="str">
        <f t="shared" si="594"/>
        <v/>
      </c>
      <c r="U2560" t="str">
        <f>IF($A2560="","",IF($A2560=经营数据!$B$3,COUNTIFS($S$2:$S$3000,1,$A$2:$A$3000,$A2560,$T$2:$T$3000,"&lt;"&amp;$T2560)+1,""))</f>
        <v/>
      </c>
      <c r="V2560" t="str">
        <f t="shared" si="595"/>
        <v/>
      </c>
      <c r="W2560" t="str">
        <f t="shared" si="596"/>
        <v/>
      </c>
      <c r="X2560" t="str">
        <f t="shared" si="597"/>
        <v/>
      </c>
      <c r="Y2560" t="str">
        <f t="shared" si="598"/>
        <v/>
      </c>
      <c r="Z2560">
        <f>IF($A2560="",0,IF(AND($M2560=1,$A2560=经营数据!$B$3,$J2560=经营数据!$BA$5,OR($I2560=经营数据!$BA$4,COUNTIF(经营数据!$AA$9:$AA$38,$I2560)&gt;0)),1,0))</f>
        <v>0</v>
      </c>
      <c r="AA2560" t="str">
        <f t="shared" si="599"/>
        <v/>
      </c>
      <c r="AB2560" t="str">
        <f t="shared" si="600"/>
        <v/>
      </c>
      <c r="AC2560">
        <f>IF($A2560="",0,IF(COUNTIF($A$2:$A2560,$A2560)=1,1,0))</f>
        <v>0</v>
      </c>
      <c r="AD2560">
        <f t="shared" si="601"/>
        <v>29</v>
      </c>
      <c r="AE2560" t="str">
        <f t="shared" si="602"/>
        <v/>
      </c>
    </row>
    <row r="2561" spans="1:31" x14ac:dyDescent="0.4">
      <c r="A2561" t="str">
        <f>IF(原始经营数据!$D2562="","",原始经营数据!$D2562)</f>
        <v/>
      </c>
      <c r="B2561" t="str">
        <f>IF(原始经营数据!$D2562="","",T(原始经营数据!$E2562))</f>
        <v/>
      </c>
      <c r="C2561" t="str">
        <f>IF(原始经营数据!$D2562="","",原始经营数据!$F2562)</f>
        <v/>
      </c>
      <c r="D2561" t="str">
        <f>IF(原始经营数据!$D2562="","",原始经营数据!$H2562)</f>
        <v/>
      </c>
      <c r="E2561" t="str">
        <f>IF(原始经营数据!$D2562="","",原始经营数据!$I2562)</f>
        <v/>
      </c>
      <c r="F2561" t="str">
        <f>IF(原始经营数据!$D2562="","",T(原始经营数据!$J2562))</f>
        <v/>
      </c>
      <c r="G2561" t="str">
        <f>IF(原始经营数据!$D2562="","",T(原始经营数据!$K2562))</f>
        <v/>
      </c>
      <c r="H2561" t="str">
        <f>IF(原始经营数据!$D2562="","",原始经营数据!$G2562)</f>
        <v/>
      </c>
      <c r="I2561" t="str">
        <f>IF($A2561="","",IF($B2561&lt;&gt;"",$B2561,IF(COUNTIFS(原始经营数据!$D$3:$D$3001,$A2561,原始经营数据!$E$3:$E$3001,"",原始经营数据!$F$3:$F$3001,$C2561,原始经营数据!$H$3:$H$3001,$D2561,原始经营数据!$K$3:$K$3001,$G2561)&gt;1,"基金整体·来源"&amp;原始经营数据!$A2562,"基金整体")))</f>
        <v/>
      </c>
      <c r="J2561" t="str">
        <f t="shared" si="588"/>
        <v/>
      </c>
      <c r="K2561" t="str">
        <f t="shared" si="589"/>
        <v/>
      </c>
      <c r="L2561" t="str">
        <f t="shared" si="590"/>
        <v/>
      </c>
      <c r="M2561">
        <f>IF($A2561="",0,IF(COUNTIF($L$2:$L2561,$L2561)=1,1,0))</f>
        <v>0</v>
      </c>
      <c r="N2561" t="str">
        <f t="shared" si="591"/>
        <v/>
      </c>
      <c r="O2561" t="str">
        <f t="shared" si="592"/>
        <v/>
      </c>
      <c r="P2561">
        <f>IF($A2561="",0,IF(COUNTIF($O$2:$O2561,$O2561)=1,1,0))</f>
        <v>0</v>
      </c>
      <c r="Q2561" t="str">
        <f>IF(AND($P2561=1,$A2561=经营数据!$B$3,$J2561=经营数据!$BA$5),COUNTIFS($P$2:$P$3000,1,$A$2:$A$3000,$A2561,$J$2:$J$3000,$J2561,$N$2:$N$3000,"&lt;"&amp;$N2561)+1,"")</f>
        <v/>
      </c>
      <c r="R2561" t="str">
        <f t="shared" si="593"/>
        <v/>
      </c>
      <c r="S2561">
        <f>IF($A2561="",0,IF(COUNTIF($R$2:$R2561,$R2561)=1,1,0))</f>
        <v>0</v>
      </c>
      <c r="T2561" t="str">
        <f t="shared" si="594"/>
        <v/>
      </c>
      <c r="U2561" t="str">
        <f>IF($A2561="","",IF($A2561=经营数据!$B$3,COUNTIFS($S$2:$S$3000,1,$A$2:$A$3000,$A2561,$T$2:$T$3000,"&lt;"&amp;$T2561)+1,""))</f>
        <v/>
      </c>
      <c r="V2561" t="str">
        <f t="shared" si="595"/>
        <v/>
      </c>
      <c r="W2561" t="str">
        <f t="shared" si="596"/>
        <v/>
      </c>
      <c r="X2561" t="str">
        <f t="shared" si="597"/>
        <v/>
      </c>
      <c r="Y2561" t="str">
        <f t="shared" si="598"/>
        <v/>
      </c>
      <c r="Z2561">
        <f>IF($A2561="",0,IF(AND($M2561=1,$A2561=经营数据!$B$3,$J2561=经营数据!$BA$5,OR($I2561=经营数据!$BA$4,COUNTIF(经营数据!$AA$9:$AA$38,$I2561)&gt;0)),1,0))</f>
        <v>0</v>
      </c>
      <c r="AA2561" t="str">
        <f t="shared" si="599"/>
        <v/>
      </c>
      <c r="AB2561" t="str">
        <f t="shared" si="600"/>
        <v/>
      </c>
      <c r="AC2561">
        <f>IF($A2561="",0,IF(COUNTIF($A$2:$A2561,$A2561)=1,1,0))</f>
        <v>0</v>
      </c>
      <c r="AD2561">
        <f t="shared" si="601"/>
        <v>29</v>
      </c>
      <c r="AE2561" t="str">
        <f t="shared" si="602"/>
        <v/>
      </c>
    </row>
    <row r="2562" spans="1:31" x14ac:dyDescent="0.4">
      <c r="A2562" t="str">
        <f>IF(原始经营数据!$D2563="","",原始经营数据!$D2563)</f>
        <v/>
      </c>
      <c r="B2562" t="str">
        <f>IF(原始经营数据!$D2563="","",T(原始经营数据!$E2563))</f>
        <v/>
      </c>
      <c r="C2562" t="str">
        <f>IF(原始经营数据!$D2563="","",原始经营数据!$F2563)</f>
        <v/>
      </c>
      <c r="D2562" t="str">
        <f>IF(原始经营数据!$D2563="","",原始经营数据!$H2563)</f>
        <v/>
      </c>
      <c r="E2562" t="str">
        <f>IF(原始经营数据!$D2563="","",原始经营数据!$I2563)</f>
        <v/>
      </c>
      <c r="F2562" t="str">
        <f>IF(原始经营数据!$D2563="","",T(原始经营数据!$J2563))</f>
        <v/>
      </c>
      <c r="G2562" t="str">
        <f>IF(原始经营数据!$D2563="","",T(原始经营数据!$K2563))</f>
        <v/>
      </c>
      <c r="H2562" t="str">
        <f>IF(原始经营数据!$D2563="","",原始经营数据!$G2563)</f>
        <v/>
      </c>
      <c r="I2562" t="str">
        <f>IF($A2562="","",IF($B2562&lt;&gt;"",$B2562,IF(COUNTIFS(原始经营数据!$D$3:$D$3001,$A2562,原始经营数据!$E$3:$E$3001,"",原始经营数据!$F$3:$F$3001,$C2562,原始经营数据!$H$3:$H$3001,$D2562,原始经营数据!$K$3:$K$3001,$G2562)&gt;1,"基金整体·来源"&amp;原始经营数据!$A2563,"基金整体")))</f>
        <v/>
      </c>
      <c r="J2562" t="str">
        <f t="shared" ref="J2562:J2625" si="603">IF($A2562="","",IF(LEN($C2562)=4,"年度",IF(AND(LEN($C2562)=6,ISNUMBER(SEARCH("Q",$C2562))),"季度","其他期间")))</f>
        <v/>
      </c>
      <c r="K2562" t="str">
        <f t="shared" ref="K2562:K2625" si="604">IF($A2562="","",$D2562&amp;IF($G2562="","","-"&amp;SUBSTITUTE($G2562,CHAR(10),""))&amp;IF($F2562="","","（"&amp;$F2562&amp;"）"))</f>
        <v/>
      </c>
      <c r="L2562" t="str">
        <f t="shared" ref="L2562:L2625" si="605">IF($A2562="","",$I2562&amp;"|"&amp;$K2562&amp;"|"&amp;$J2562)</f>
        <v/>
      </c>
      <c r="M2562">
        <f>IF($A2562="",0,IF(COUNTIF($L$2:$L2562,$L2562)=1,1,0))</f>
        <v>0</v>
      </c>
      <c r="N2562" t="str">
        <f t="shared" ref="N2562:N2625" si="606">IF($A2562="","",IF($J2562="年度",VALUE($C2562)*10,IF($J2562="季度",VALUE(LEFT($C2562,4))*10+VALUE(RIGHT($C2562,1)),VALUE(LEFT($C2562,4))*10+9)))</f>
        <v/>
      </c>
      <c r="O2562" t="str">
        <f t="shared" ref="O2562:O2625" si="607">IF($A2562="","",$A2562&amp;"|"&amp;$C2562&amp;"|"&amp;$J2562)</f>
        <v/>
      </c>
      <c r="P2562">
        <f>IF($A2562="",0,IF(COUNTIF($O$2:$O2562,$O2562)=1,1,0))</f>
        <v>0</v>
      </c>
      <c r="Q2562" t="str">
        <f>IF(AND($P2562=1,$A2562=经营数据!$B$3,$J2562=经营数据!$BA$5),COUNTIFS($P$2:$P$3000,1,$A$2:$A$3000,$A2562,$J$2:$J$3000,$J2562,$N$2:$N$3000,"&lt;"&amp;$N2562)+1,"")</f>
        <v/>
      </c>
      <c r="R2562" t="str">
        <f t="shared" ref="R2562:R2625" si="608">IF($A2562="","",$A2562&amp;"|"&amp;$I2562)</f>
        <v/>
      </c>
      <c r="S2562">
        <f>IF($A2562="",0,IF(COUNTIF($R$2:$R2562,$R2562)=1,1,0))</f>
        <v>0</v>
      </c>
      <c r="T2562" t="str">
        <f t="shared" ref="T2562:T2625" si="609">IF($A2562="","",MATCH($R2562,$R$2:$R$3000,0))</f>
        <v/>
      </c>
      <c r="U2562" t="str">
        <f>IF($A2562="","",IF($A2562=经营数据!$B$3,COUNTIFS($S$2:$S$3000,1,$A$2:$A$3000,$A2562,$T$2:$T$3000,"&lt;"&amp;$T2562)+1,""))</f>
        <v/>
      </c>
      <c r="V2562" t="str">
        <f t="shared" ref="V2562:V2625" si="610">IF($A2562="","",$I2562&amp;"|"&amp;$H2562)</f>
        <v/>
      </c>
      <c r="W2562" t="str">
        <f t="shared" ref="W2562:W2625" si="611">IF($A2562="","",MATCH($V2562,$V$2:$V$3000,0))</f>
        <v/>
      </c>
      <c r="X2562" t="str">
        <f t="shared" ref="X2562:X2625" si="612">IF($A2562="","",$I2562&amp;"|"&amp;$D2562)</f>
        <v/>
      </c>
      <c r="Y2562" t="str">
        <f t="shared" ref="Y2562:Y2625" si="613">IF($A2562="","",MATCH($X2562,$X$2:$X$3000,0))</f>
        <v/>
      </c>
      <c r="Z2562">
        <f>IF($A2562="",0,IF(AND($M2562=1,$A2562=经营数据!$B$3,$J2562=经营数据!$BA$5,OR($I2562=经营数据!$BA$4,COUNTIF(经营数据!$AA$9:$AA$38,$I2562)&gt;0)),1,0))</f>
        <v>0</v>
      </c>
      <c r="AA2562" t="str">
        <f t="shared" ref="AA2562:AA2625" si="614">IF($Z2562=1,$U2562*1000000000000+$W2562*100000000+$Y2562*10000+ROW(),"")</f>
        <v/>
      </c>
      <c r="AB2562" t="str">
        <f t="shared" ref="AB2562:AB2625" si="615">IF($Z2562=1,COUNTIFS($Z$2:$Z$3000,1,$AA$2:$AA$3000,"&lt;"&amp;$AA2562)+1,"")</f>
        <v/>
      </c>
      <c r="AC2562">
        <f>IF($A2562="",0,IF(COUNTIF($A$2:$A2562,$A2562)=1,1,0))</f>
        <v>0</v>
      </c>
      <c r="AD2562">
        <f t="shared" ref="AD2562:AD2625" si="616">IF($A2562="",N(AD2561),IF($AC2562=1,N(AD2561)+1,N(AD2561)))</f>
        <v>29</v>
      </c>
      <c r="AE2562" t="str">
        <f t="shared" ref="AE2562:AE2625" si="617">IF($A2562="","",$I2562&amp;"|"&amp;$K2562)</f>
        <v/>
      </c>
    </row>
    <row r="2563" spans="1:31" x14ac:dyDescent="0.4">
      <c r="A2563" t="str">
        <f>IF(原始经营数据!$D2564="","",原始经营数据!$D2564)</f>
        <v/>
      </c>
      <c r="B2563" t="str">
        <f>IF(原始经营数据!$D2564="","",T(原始经营数据!$E2564))</f>
        <v/>
      </c>
      <c r="C2563" t="str">
        <f>IF(原始经营数据!$D2564="","",原始经营数据!$F2564)</f>
        <v/>
      </c>
      <c r="D2563" t="str">
        <f>IF(原始经营数据!$D2564="","",原始经营数据!$H2564)</f>
        <v/>
      </c>
      <c r="E2563" t="str">
        <f>IF(原始经营数据!$D2564="","",原始经营数据!$I2564)</f>
        <v/>
      </c>
      <c r="F2563" t="str">
        <f>IF(原始经营数据!$D2564="","",T(原始经营数据!$J2564))</f>
        <v/>
      </c>
      <c r="G2563" t="str">
        <f>IF(原始经营数据!$D2564="","",T(原始经营数据!$K2564))</f>
        <v/>
      </c>
      <c r="H2563" t="str">
        <f>IF(原始经营数据!$D2564="","",原始经营数据!$G2564)</f>
        <v/>
      </c>
      <c r="I2563" t="str">
        <f>IF($A2563="","",IF($B2563&lt;&gt;"",$B2563,IF(COUNTIFS(原始经营数据!$D$3:$D$3001,$A2563,原始经营数据!$E$3:$E$3001,"",原始经营数据!$F$3:$F$3001,$C2563,原始经营数据!$H$3:$H$3001,$D2563,原始经营数据!$K$3:$K$3001,$G2563)&gt;1,"基金整体·来源"&amp;原始经营数据!$A2564,"基金整体")))</f>
        <v/>
      </c>
      <c r="J2563" t="str">
        <f t="shared" si="603"/>
        <v/>
      </c>
      <c r="K2563" t="str">
        <f t="shared" si="604"/>
        <v/>
      </c>
      <c r="L2563" t="str">
        <f t="shared" si="605"/>
        <v/>
      </c>
      <c r="M2563">
        <f>IF($A2563="",0,IF(COUNTIF($L$2:$L2563,$L2563)=1,1,0))</f>
        <v>0</v>
      </c>
      <c r="N2563" t="str">
        <f t="shared" si="606"/>
        <v/>
      </c>
      <c r="O2563" t="str">
        <f t="shared" si="607"/>
        <v/>
      </c>
      <c r="P2563">
        <f>IF($A2563="",0,IF(COUNTIF($O$2:$O2563,$O2563)=1,1,0))</f>
        <v>0</v>
      </c>
      <c r="Q2563" t="str">
        <f>IF(AND($P2563=1,$A2563=经营数据!$B$3,$J2563=经营数据!$BA$5),COUNTIFS($P$2:$P$3000,1,$A$2:$A$3000,$A2563,$J$2:$J$3000,$J2563,$N$2:$N$3000,"&lt;"&amp;$N2563)+1,"")</f>
        <v/>
      </c>
      <c r="R2563" t="str">
        <f t="shared" si="608"/>
        <v/>
      </c>
      <c r="S2563">
        <f>IF($A2563="",0,IF(COUNTIF($R$2:$R2563,$R2563)=1,1,0))</f>
        <v>0</v>
      </c>
      <c r="T2563" t="str">
        <f t="shared" si="609"/>
        <v/>
      </c>
      <c r="U2563" t="str">
        <f>IF($A2563="","",IF($A2563=经营数据!$B$3,COUNTIFS($S$2:$S$3000,1,$A$2:$A$3000,$A2563,$T$2:$T$3000,"&lt;"&amp;$T2563)+1,""))</f>
        <v/>
      </c>
      <c r="V2563" t="str">
        <f t="shared" si="610"/>
        <v/>
      </c>
      <c r="W2563" t="str">
        <f t="shared" si="611"/>
        <v/>
      </c>
      <c r="X2563" t="str">
        <f t="shared" si="612"/>
        <v/>
      </c>
      <c r="Y2563" t="str">
        <f t="shared" si="613"/>
        <v/>
      </c>
      <c r="Z2563">
        <f>IF($A2563="",0,IF(AND($M2563=1,$A2563=经营数据!$B$3,$J2563=经营数据!$BA$5,OR($I2563=经营数据!$BA$4,COUNTIF(经营数据!$AA$9:$AA$38,$I2563)&gt;0)),1,0))</f>
        <v>0</v>
      </c>
      <c r="AA2563" t="str">
        <f t="shared" si="614"/>
        <v/>
      </c>
      <c r="AB2563" t="str">
        <f t="shared" si="615"/>
        <v/>
      </c>
      <c r="AC2563">
        <f>IF($A2563="",0,IF(COUNTIF($A$2:$A2563,$A2563)=1,1,0))</f>
        <v>0</v>
      </c>
      <c r="AD2563">
        <f t="shared" si="616"/>
        <v>29</v>
      </c>
      <c r="AE2563" t="str">
        <f t="shared" si="617"/>
        <v/>
      </c>
    </row>
    <row r="2564" spans="1:31" x14ac:dyDescent="0.4">
      <c r="A2564" t="str">
        <f>IF(原始经营数据!$D2565="","",原始经营数据!$D2565)</f>
        <v/>
      </c>
      <c r="B2564" t="str">
        <f>IF(原始经营数据!$D2565="","",T(原始经营数据!$E2565))</f>
        <v/>
      </c>
      <c r="C2564" t="str">
        <f>IF(原始经营数据!$D2565="","",原始经营数据!$F2565)</f>
        <v/>
      </c>
      <c r="D2564" t="str">
        <f>IF(原始经营数据!$D2565="","",原始经营数据!$H2565)</f>
        <v/>
      </c>
      <c r="E2564" t="str">
        <f>IF(原始经营数据!$D2565="","",原始经营数据!$I2565)</f>
        <v/>
      </c>
      <c r="F2564" t="str">
        <f>IF(原始经营数据!$D2565="","",T(原始经营数据!$J2565))</f>
        <v/>
      </c>
      <c r="G2564" t="str">
        <f>IF(原始经营数据!$D2565="","",T(原始经营数据!$K2565))</f>
        <v/>
      </c>
      <c r="H2564" t="str">
        <f>IF(原始经营数据!$D2565="","",原始经营数据!$G2565)</f>
        <v/>
      </c>
      <c r="I2564" t="str">
        <f>IF($A2564="","",IF($B2564&lt;&gt;"",$B2564,IF(COUNTIFS(原始经营数据!$D$3:$D$3001,$A2564,原始经营数据!$E$3:$E$3001,"",原始经营数据!$F$3:$F$3001,$C2564,原始经营数据!$H$3:$H$3001,$D2564,原始经营数据!$K$3:$K$3001,$G2564)&gt;1,"基金整体·来源"&amp;原始经营数据!$A2565,"基金整体")))</f>
        <v/>
      </c>
      <c r="J2564" t="str">
        <f t="shared" si="603"/>
        <v/>
      </c>
      <c r="K2564" t="str">
        <f t="shared" si="604"/>
        <v/>
      </c>
      <c r="L2564" t="str">
        <f t="shared" si="605"/>
        <v/>
      </c>
      <c r="M2564">
        <f>IF($A2564="",0,IF(COUNTIF($L$2:$L2564,$L2564)=1,1,0))</f>
        <v>0</v>
      </c>
      <c r="N2564" t="str">
        <f t="shared" si="606"/>
        <v/>
      </c>
      <c r="O2564" t="str">
        <f t="shared" si="607"/>
        <v/>
      </c>
      <c r="P2564">
        <f>IF($A2564="",0,IF(COUNTIF($O$2:$O2564,$O2564)=1,1,0))</f>
        <v>0</v>
      </c>
      <c r="Q2564" t="str">
        <f>IF(AND($P2564=1,$A2564=经营数据!$B$3,$J2564=经营数据!$BA$5),COUNTIFS($P$2:$P$3000,1,$A$2:$A$3000,$A2564,$J$2:$J$3000,$J2564,$N$2:$N$3000,"&lt;"&amp;$N2564)+1,"")</f>
        <v/>
      </c>
      <c r="R2564" t="str">
        <f t="shared" si="608"/>
        <v/>
      </c>
      <c r="S2564">
        <f>IF($A2564="",0,IF(COUNTIF($R$2:$R2564,$R2564)=1,1,0))</f>
        <v>0</v>
      </c>
      <c r="T2564" t="str">
        <f t="shared" si="609"/>
        <v/>
      </c>
      <c r="U2564" t="str">
        <f>IF($A2564="","",IF($A2564=经营数据!$B$3,COUNTIFS($S$2:$S$3000,1,$A$2:$A$3000,$A2564,$T$2:$T$3000,"&lt;"&amp;$T2564)+1,""))</f>
        <v/>
      </c>
      <c r="V2564" t="str">
        <f t="shared" si="610"/>
        <v/>
      </c>
      <c r="W2564" t="str">
        <f t="shared" si="611"/>
        <v/>
      </c>
      <c r="X2564" t="str">
        <f t="shared" si="612"/>
        <v/>
      </c>
      <c r="Y2564" t="str">
        <f t="shared" si="613"/>
        <v/>
      </c>
      <c r="Z2564">
        <f>IF($A2564="",0,IF(AND($M2564=1,$A2564=经营数据!$B$3,$J2564=经营数据!$BA$5,OR($I2564=经营数据!$BA$4,COUNTIF(经营数据!$AA$9:$AA$38,$I2564)&gt;0)),1,0))</f>
        <v>0</v>
      </c>
      <c r="AA2564" t="str">
        <f t="shared" si="614"/>
        <v/>
      </c>
      <c r="AB2564" t="str">
        <f t="shared" si="615"/>
        <v/>
      </c>
      <c r="AC2564">
        <f>IF($A2564="",0,IF(COUNTIF($A$2:$A2564,$A2564)=1,1,0))</f>
        <v>0</v>
      </c>
      <c r="AD2564">
        <f t="shared" si="616"/>
        <v>29</v>
      </c>
      <c r="AE2564" t="str">
        <f t="shared" si="617"/>
        <v/>
      </c>
    </row>
    <row r="2565" spans="1:31" x14ac:dyDescent="0.4">
      <c r="A2565" t="str">
        <f>IF(原始经营数据!$D2566="","",原始经营数据!$D2566)</f>
        <v/>
      </c>
      <c r="B2565" t="str">
        <f>IF(原始经营数据!$D2566="","",T(原始经营数据!$E2566))</f>
        <v/>
      </c>
      <c r="C2565" t="str">
        <f>IF(原始经营数据!$D2566="","",原始经营数据!$F2566)</f>
        <v/>
      </c>
      <c r="D2565" t="str">
        <f>IF(原始经营数据!$D2566="","",原始经营数据!$H2566)</f>
        <v/>
      </c>
      <c r="E2565" t="str">
        <f>IF(原始经营数据!$D2566="","",原始经营数据!$I2566)</f>
        <v/>
      </c>
      <c r="F2565" t="str">
        <f>IF(原始经营数据!$D2566="","",T(原始经营数据!$J2566))</f>
        <v/>
      </c>
      <c r="G2565" t="str">
        <f>IF(原始经营数据!$D2566="","",T(原始经营数据!$K2566))</f>
        <v/>
      </c>
      <c r="H2565" t="str">
        <f>IF(原始经营数据!$D2566="","",原始经营数据!$G2566)</f>
        <v/>
      </c>
      <c r="I2565" t="str">
        <f>IF($A2565="","",IF($B2565&lt;&gt;"",$B2565,IF(COUNTIFS(原始经营数据!$D$3:$D$3001,$A2565,原始经营数据!$E$3:$E$3001,"",原始经营数据!$F$3:$F$3001,$C2565,原始经营数据!$H$3:$H$3001,$D2565,原始经营数据!$K$3:$K$3001,$G2565)&gt;1,"基金整体·来源"&amp;原始经营数据!$A2566,"基金整体")))</f>
        <v/>
      </c>
      <c r="J2565" t="str">
        <f t="shared" si="603"/>
        <v/>
      </c>
      <c r="K2565" t="str">
        <f t="shared" si="604"/>
        <v/>
      </c>
      <c r="L2565" t="str">
        <f t="shared" si="605"/>
        <v/>
      </c>
      <c r="M2565">
        <f>IF($A2565="",0,IF(COUNTIF($L$2:$L2565,$L2565)=1,1,0))</f>
        <v>0</v>
      </c>
      <c r="N2565" t="str">
        <f t="shared" si="606"/>
        <v/>
      </c>
      <c r="O2565" t="str">
        <f t="shared" si="607"/>
        <v/>
      </c>
      <c r="P2565">
        <f>IF($A2565="",0,IF(COUNTIF($O$2:$O2565,$O2565)=1,1,0))</f>
        <v>0</v>
      </c>
      <c r="Q2565" t="str">
        <f>IF(AND($P2565=1,$A2565=经营数据!$B$3,$J2565=经营数据!$BA$5),COUNTIFS($P$2:$P$3000,1,$A$2:$A$3000,$A2565,$J$2:$J$3000,$J2565,$N$2:$N$3000,"&lt;"&amp;$N2565)+1,"")</f>
        <v/>
      </c>
      <c r="R2565" t="str">
        <f t="shared" si="608"/>
        <v/>
      </c>
      <c r="S2565">
        <f>IF($A2565="",0,IF(COUNTIF($R$2:$R2565,$R2565)=1,1,0))</f>
        <v>0</v>
      </c>
      <c r="T2565" t="str">
        <f t="shared" si="609"/>
        <v/>
      </c>
      <c r="U2565" t="str">
        <f>IF($A2565="","",IF($A2565=经营数据!$B$3,COUNTIFS($S$2:$S$3000,1,$A$2:$A$3000,$A2565,$T$2:$T$3000,"&lt;"&amp;$T2565)+1,""))</f>
        <v/>
      </c>
      <c r="V2565" t="str">
        <f t="shared" si="610"/>
        <v/>
      </c>
      <c r="W2565" t="str">
        <f t="shared" si="611"/>
        <v/>
      </c>
      <c r="X2565" t="str">
        <f t="shared" si="612"/>
        <v/>
      </c>
      <c r="Y2565" t="str">
        <f t="shared" si="613"/>
        <v/>
      </c>
      <c r="Z2565">
        <f>IF($A2565="",0,IF(AND($M2565=1,$A2565=经营数据!$B$3,$J2565=经营数据!$BA$5,OR($I2565=经营数据!$BA$4,COUNTIF(经营数据!$AA$9:$AA$38,$I2565)&gt;0)),1,0))</f>
        <v>0</v>
      </c>
      <c r="AA2565" t="str">
        <f t="shared" si="614"/>
        <v/>
      </c>
      <c r="AB2565" t="str">
        <f t="shared" si="615"/>
        <v/>
      </c>
      <c r="AC2565">
        <f>IF($A2565="",0,IF(COUNTIF($A$2:$A2565,$A2565)=1,1,0))</f>
        <v>0</v>
      </c>
      <c r="AD2565">
        <f t="shared" si="616"/>
        <v>29</v>
      </c>
      <c r="AE2565" t="str">
        <f t="shared" si="617"/>
        <v/>
      </c>
    </row>
    <row r="2566" spans="1:31" x14ac:dyDescent="0.4">
      <c r="A2566" t="str">
        <f>IF(原始经营数据!$D2567="","",原始经营数据!$D2567)</f>
        <v/>
      </c>
      <c r="B2566" t="str">
        <f>IF(原始经营数据!$D2567="","",T(原始经营数据!$E2567))</f>
        <v/>
      </c>
      <c r="C2566" t="str">
        <f>IF(原始经营数据!$D2567="","",原始经营数据!$F2567)</f>
        <v/>
      </c>
      <c r="D2566" t="str">
        <f>IF(原始经营数据!$D2567="","",原始经营数据!$H2567)</f>
        <v/>
      </c>
      <c r="E2566" t="str">
        <f>IF(原始经营数据!$D2567="","",原始经营数据!$I2567)</f>
        <v/>
      </c>
      <c r="F2566" t="str">
        <f>IF(原始经营数据!$D2567="","",T(原始经营数据!$J2567))</f>
        <v/>
      </c>
      <c r="G2566" t="str">
        <f>IF(原始经营数据!$D2567="","",T(原始经营数据!$K2567))</f>
        <v/>
      </c>
      <c r="H2566" t="str">
        <f>IF(原始经营数据!$D2567="","",原始经营数据!$G2567)</f>
        <v/>
      </c>
      <c r="I2566" t="str">
        <f>IF($A2566="","",IF($B2566&lt;&gt;"",$B2566,IF(COUNTIFS(原始经营数据!$D$3:$D$3001,$A2566,原始经营数据!$E$3:$E$3001,"",原始经营数据!$F$3:$F$3001,$C2566,原始经营数据!$H$3:$H$3001,$D2566,原始经营数据!$K$3:$K$3001,$G2566)&gt;1,"基金整体·来源"&amp;原始经营数据!$A2567,"基金整体")))</f>
        <v/>
      </c>
      <c r="J2566" t="str">
        <f t="shared" si="603"/>
        <v/>
      </c>
      <c r="K2566" t="str">
        <f t="shared" si="604"/>
        <v/>
      </c>
      <c r="L2566" t="str">
        <f t="shared" si="605"/>
        <v/>
      </c>
      <c r="M2566">
        <f>IF($A2566="",0,IF(COUNTIF($L$2:$L2566,$L2566)=1,1,0))</f>
        <v>0</v>
      </c>
      <c r="N2566" t="str">
        <f t="shared" si="606"/>
        <v/>
      </c>
      <c r="O2566" t="str">
        <f t="shared" si="607"/>
        <v/>
      </c>
      <c r="P2566">
        <f>IF($A2566="",0,IF(COUNTIF($O$2:$O2566,$O2566)=1,1,0))</f>
        <v>0</v>
      </c>
      <c r="Q2566" t="str">
        <f>IF(AND($P2566=1,$A2566=经营数据!$B$3,$J2566=经营数据!$BA$5),COUNTIFS($P$2:$P$3000,1,$A$2:$A$3000,$A2566,$J$2:$J$3000,$J2566,$N$2:$N$3000,"&lt;"&amp;$N2566)+1,"")</f>
        <v/>
      </c>
      <c r="R2566" t="str">
        <f t="shared" si="608"/>
        <v/>
      </c>
      <c r="S2566">
        <f>IF($A2566="",0,IF(COUNTIF($R$2:$R2566,$R2566)=1,1,0))</f>
        <v>0</v>
      </c>
      <c r="T2566" t="str">
        <f t="shared" si="609"/>
        <v/>
      </c>
      <c r="U2566" t="str">
        <f>IF($A2566="","",IF($A2566=经营数据!$B$3,COUNTIFS($S$2:$S$3000,1,$A$2:$A$3000,$A2566,$T$2:$T$3000,"&lt;"&amp;$T2566)+1,""))</f>
        <v/>
      </c>
      <c r="V2566" t="str">
        <f t="shared" si="610"/>
        <v/>
      </c>
      <c r="W2566" t="str">
        <f t="shared" si="611"/>
        <v/>
      </c>
      <c r="X2566" t="str">
        <f t="shared" si="612"/>
        <v/>
      </c>
      <c r="Y2566" t="str">
        <f t="shared" si="613"/>
        <v/>
      </c>
      <c r="Z2566">
        <f>IF($A2566="",0,IF(AND($M2566=1,$A2566=经营数据!$B$3,$J2566=经营数据!$BA$5,OR($I2566=经营数据!$BA$4,COUNTIF(经营数据!$AA$9:$AA$38,$I2566)&gt;0)),1,0))</f>
        <v>0</v>
      </c>
      <c r="AA2566" t="str">
        <f t="shared" si="614"/>
        <v/>
      </c>
      <c r="AB2566" t="str">
        <f t="shared" si="615"/>
        <v/>
      </c>
      <c r="AC2566">
        <f>IF($A2566="",0,IF(COUNTIF($A$2:$A2566,$A2566)=1,1,0))</f>
        <v>0</v>
      </c>
      <c r="AD2566">
        <f t="shared" si="616"/>
        <v>29</v>
      </c>
      <c r="AE2566" t="str">
        <f t="shared" si="617"/>
        <v/>
      </c>
    </row>
    <row r="2567" spans="1:31" x14ac:dyDescent="0.4">
      <c r="A2567" t="str">
        <f>IF(原始经营数据!$D2568="","",原始经营数据!$D2568)</f>
        <v/>
      </c>
      <c r="B2567" t="str">
        <f>IF(原始经营数据!$D2568="","",T(原始经营数据!$E2568))</f>
        <v/>
      </c>
      <c r="C2567" t="str">
        <f>IF(原始经营数据!$D2568="","",原始经营数据!$F2568)</f>
        <v/>
      </c>
      <c r="D2567" t="str">
        <f>IF(原始经营数据!$D2568="","",原始经营数据!$H2568)</f>
        <v/>
      </c>
      <c r="E2567" t="str">
        <f>IF(原始经营数据!$D2568="","",原始经营数据!$I2568)</f>
        <v/>
      </c>
      <c r="F2567" t="str">
        <f>IF(原始经营数据!$D2568="","",T(原始经营数据!$J2568))</f>
        <v/>
      </c>
      <c r="G2567" t="str">
        <f>IF(原始经营数据!$D2568="","",T(原始经营数据!$K2568))</f>
        <v/>
      </c>
      <c r="H2567" t="str">
        <f>IF(原始经营数据!$D2568="","",原始经营数据!$G2568)</f>
        <v/>
      </c>
      <c r="I2567" t="str">
        <f>IF($A2567="","",IF($B2567&lt;&gt;"",$B2567,IF(COUNTIFS(原始经营数据!$D$3:$D$3001,$A2567,原始经营数据!$E$3:$E$3001,"",原始经营数据!$F$3:$F$3001,$C2567,原始经营数据!$H$3:$H$3001,$D2567,原始经营数据!$K$3:$K$3001,$G2567)&gt;1,"基金整体·来源"&amp;原始经营数据!$A2568,"基金整体")))</f>
        <v/>
      </c>
      <c r="J2567" t="str">
        <f t="shared" si="603"/>
        <v/>
      </c>
      <c r="K2567" t="str">
        <f t="shared" si="604"/>
        <v/>
      </c>
      <c r="L2567" t="str">
        <f t="shared" si="605"/>
        <v/>
      </c>
      <c r="M2567">
        <f>IF($A2567="",0,IF(COUNTIF($L$2:$L2567,$L2567)=1,1,0))</f>
        <v>0</v>
      </c>
      <c r="N2567" t="str">
        <f t="shared" si="606"/>
        <v/>
      </c>
      <c r="O2567" t="str">
        <f t="shared" si="607"/>
        <v/>
      </c>
      <c r="P2567">
        <f>IF($A2567="",0,IF(COUNTIF($O$2:$O2567,$O2567)=1,1,0))</f>
        <v>0</v>
      </c>
      <c r="Q2567" t="str">
        <f>IF(AND($P2567=1,$A2567=经营数据!$B$3,$J2567=经营数据!$BA$5),COUNTIFS($P$2:$P$3000,1,$A$2:$A$3000,$A2567,$J$2:$J$3000,$J2567,$N$2:$N$3000,"&lt;"&amp;$N2567)+1,"")</f>
        <v/>
      </c>
      <c r="R2567" t="str">
        <f t="shared" si="608"/>
        <v/>
      </c>
      <c r="S2567">
        <f>IF($A2567="",0,IF(COUNTIF($R$2:$R2567,$R2567)=1,1,0))</f>
        <v>0</v>
      </c>
      <c r="T2567" t="str">
        <f t="shared" si="609"/>
        <v/>
      </c>
      <c r="U2567" t="str">
        <f>IF($A2567="","",IF($A2567=经营数据!$B$3,COUNTIFS($S$2:$S$3000,1,$A$2:$A$3000,$A2567,$T$2:$T$3000,"&lt;"&amp;$T2567)+1,""))</f>
        <v/>
      </c>
      <c r="V2567" t="str">
        <f t="shared" si="610"/>
        <v/>
      </c>
      <c r="W2567" t="str">
        <f t="shared" si="611"/>
        <v/>
      </c>
      <c r="X2567" t="str">
        <f t="shared" si="612"/>
        <v/>
      </c>
      <c r="Y2567" t="str">
        <f t="shared" si="613"/>
        <v/>
      </c>
      <c r="Z2567">
        <f>IF($A2567="",0,IF(AND($M2567=1,$A2567=经营数据!$B$3,$J2567=经营数据!$BA$5,OR($I2567=经营数据!$BA$4,COUNTIF(经营数据!$AA$9:$AA$38,$I2567)&gt;0)),1,0))</f>
        <v>0</v>
      </c>
      <c r="AA2567" t="str">
        <f t="shared" si="614"/>
        <v/>
      </c>
      <c r="AB2567" t="str">
        <f t="shared" si="615"/>
        <v/>
      </c>
      <c r="AC2567">
        <f>IF($A2567="",0,IF(COUNTIF($A$2:$A2567,$A2567)=1,1,0))</f>
        <v>0</v>
      </c>
      <c r="AD2567">
        <f t="shared" si="616"/>
        <v>29</v>
      </c>
      <c r="AE2567" t="str">
        <f t="shared" si="617"/>
        <v/>
      </c>
    </row>
    <row r="2568" spans="1:31" x14ac:dyDescent="0.4">
      <c r="A2568" t="str">
        <f>IF(原始经营数据!$D2569="","",原始经营数据!$D2569)</f>
        <v/>
      </c>
      <c r="B2568" t="str">
        <f>IF(原始经营数据!$D2569="","",T(原始经营数据!$E2569))</f>
        <v/>
      </c>
      <c r="C2568" t="str">
        <f>IF(原始经营数据!$D2569="","",原始经营数据!$F2569)</f>
        <v/>
      </c>
      <c r="D2568" t="str">
        <f>IF(原始经营数据!$D2569="","",原始经营数据!$H2569)</f>
        <v/>
      </c>
      <c r="E2568" t="str">
        <f>IF(原始经营数据!$D2569="","",原始经营数据!$I2569)</f>
        <v/>
      </c>
      <c r="F2568" t="str">
        <f>IF(原始经营数据!$D2569="","",T(原始经营数据!$J2569))</f>
        <v/>
      </c>
      <c r="G2568" t="str">
        <f>IF(原始经营数据!$D2569="","",T(原始经营数据!$K2569))</f>
        <v/>
      </c>
      <c r="H2568" t="str">
        <f>IF(原始经营数据!$D2569="","",原始经营数据!$G2569)</f>
        <v/>
      </c>
      <c r="I2568" t="str">
        <f>IF($A2568="","",IF($B2568&lt;&gt;"",$B2568,IF(COUNTIFS(原始经营数据!$D$3:$D$3001,$A2568,原始经营数据!$E$3:$E$3001,"",原始经营数据!$F$3:$F$3001,$C2568,原始经营数据!$H$3:$H$3001,$D2568,原始经营数据!$K$3:$K$3001,$G2568)&gt;1,"基金整体·来源"&amp;原始经营数据!$A2569,"基金整体")))</f>
        <v/>
      </c>
      <c r="J2568" t="str">
        <f t="shared" si="603"/>
        <v/>
      </c>
      <c r="K2568" t="str">
        <f t="shared" si="604"/>
        <v/>
      </c>
      <c r="L2568" t="str">
        <f t="shared" si="605"/>
        <v/>
      </c>
      <c r="M2568">
        <f>IF($A2568="",0,IF(COUNTIF($L$2:$L2568,$L2568)=1,1,0))</f>
        <v>0</v>
      </c>
      <c r="N2568" t="str">
        <f t="shared" si="606"/>
        <v/>
      </c>
      <c r="O2568" t="str">
        <f t="shared" si="607"/>
        <v/>
      </c>
      <c r="P2568">
        <f>IF($A2568="",0,IF(COUNTIF($O$2:$O2568,$O2568)=1,1,0))</f>
        <v>0</v>
      </c>
      <c r="Q2568" t="str">
        <f>IF(AND($P2568=1,$A2568=经营数据!$B$3,$J2568=经营数据!$BA$5),COUNTIFS($P$2:$P$3000,1,$A$2:$A$3000,$A2568,$J$2:$J$3000,$J2568,$N$2:$N$3000,"&lt;"&amp;$N2568)+1,"")</f>
        <v/>
      </c>
      <c r="R2568" t="str">
        <f t="shared" si="608"/>
        <v/>
      </c>
      <c r="S2568">
        <f>IF($A2568="",0,IF(COUNTIF($R$2:$R2568,$R2568)=1,1,0))</f>
        <v>0</v>
      </c>
      <c r="T2568" t="str">
        <f t="shared" si="609"/>
        <v/>
      </c>
      <c r="U2568" t="str">
        <f>IF($A2568="","",IF($A2568=经营数据!$B$3,COUNTIFS($S$2:$S$3000,1,$A$2:$A$3000,$A2568,$T$2:$T$3000,"&lt;"&amp;$T2568)+1,""))</f>
        <v/>
      </c>
      <c r="V2568" t="str">
        <f t="shared" si="610"/>
        <v/>
      </c>
      <c r="W2568" t="str">
        <f t="shared" si="611"/>
        <v/>
      </c>
      <c r="X2568" t="str">
        <f t="shared" si="612"/>
        <v/>
      </c>
      <c r="Y2568" t="str">
        <f t="shared" si="613"/>
        <v/>
      </c>
      <c r="Z2568">
        <f>IF($A2568="",0,IF(AND($M2568=1,$A2568=经营数据!$B$3,$J2568=经营数据!$BA$5,OR($I2568=经营数据!$BA$4,COUNTIF(经营数据!$AA$9:$AA$38,$I2568)&gt;0)),1,0))</f>
        <v>0</v>
      </c>
      <c r="AA2568" t="str">
        <f t="shared" si="614"/>
        <v/>
      </c>
      <c r="AB2568" t="str">
        <f t="shared" si="615"/>
        <v/>
      </c>
      <c r="AC2568">
        <f>IF($A2568="",0,IF(COUNTIF($A$2:$A2568,$A2568)=1,1,0))</f>
        <v>0</v>
      </c>
      <c r="AD2568">
        <f t="shared" si="616"/>
        <v>29</v>
      </c>
      <c r="AE2568" t="str">
        <f t="shared" si="617"/>
        <v/>
      </c>
    </row>
    <row r="2569" spans="1:31" x14ac:dyDescent="0.4">
      <c r="A2569" t="str">
        <f>IF(原始经营数据!$D2570="","",原始经营数据!$D2570)</f>
        <v/>
      </c>
      <c r="B2569" t="str">
        <f>IF(原始经营数据!$D2570="","",T(原始经营数据!$E2570))</f>
        <v/>
      </c>
      <c r="C2569" t="str">
        <f>IF(原始经营数据!$D2570="","",原始经营数据!$F2570)</f>
        <v/>
      </c>
      <c r="D2569" t="str">
        <f>IF(原始经营数据!$D2570="","",原始经营数据!$H2570)</f>
        <v/>
      </c>
      <c r="E2569" t="str">
        <f>IF(原始经营数据!$D2570="","",原始经营数据!$I2570)</f>
        <v/>
      </c>
      <c r="F2569" t="str">
        <f>IF(原始经营数据!$D2570="","",T(原始经营数据!$J2570))</f>
        <v/>
      </c>
      <c r="G2569" t="str">
        <f>IF(原始经营数据!$D2570="","",T(原始经营数据!$K2570))</f>
        <v/>
      </c>
      <c r="H2569" t="str">
        <f>IF(原始经营数据!$D2570="","",原始经营数据!$G2570)</f>
        <v/>
      </c>
      <c r="I2569" t="str">
        <f>IF($A2569="","",IF($B2569&lt;&gt;"",$B2569,IF(COUNTIFS(原始经营数据!$D$3:$D$3001,$A2569,原始经营数据!$E$3:$E$3001,"",原始经营数据!$F$3:$F$3001,$C2569,原始经营数据!$H$3:$H$3001,$D2569,原始经营数据!$K$3:$K$3001,$G2569)&gt;1,"基金整体·来源"&amp;原始经营数据!$A2570,"基金整体")))</f>
        <v/>
      </c>
      <c r="J2569" t="str">
        <f t="shared" si="603"/>
        <v/>
      </c>
      <c r="K2569" t="str">
        <f t="shared" si="604"/>
        <v/>
      </c>
      <c r="L2569" t="str">
        <f t="shared" si="605"/>
        <v/>
      </c>
      <c r="M2569">
        <f>IF($A2569="",0,IF(COUNTIF($L$2:$L2569,$L2569)=1,1,0))</f>
        <v>0</v>
      </c>
      <c r="N2569" t="str">
        <f t="shared" si="606"/>
        <v/>
      </c>
      <c r="O2569" t="str">
        <f t="shared" si="607"/>
        <v/>
      </c>
      <c r="P2569">
        <f>IF($A2569="",0,IF(COUNTIF($O$2:$O2569,$O2569)=1,1,0))</f>
        <v>0</v>
      </c>
      <c r="Q2569" t="str">
        <f>IF(AND($P2569=1,$A2569=经营数据!$B$3,$J2569=经营数据!$BA$5),COUNTIFS($P$2:$P$3000,1,$A$2:$A$3000,$A2569,$J$2:$J$3000,$J2569,$N$2:$N$3000,"&lt;"&amp;$N2569)+1,"")</f>
        <v/>
      </c>
      <c r="R2569" t="str">
        <f t="shared" si="608"/>
        <v/>
      </c>
      <c r="S2569">
        <f>IF($A2569="",0,IF(COUNTIF($R$2:$R2569,$R2569)=1,1,0))</f>
        <v>0</v>
      </c>
      <c r="T2569" t="str">
        <f t="shared" si="609"/>
        <v/>
      </c>
      <c r="U2569" t="str">
        <f>IF($A2569="","",IF($A2569=经营数据!$B$3,COUNTIFS($S$2:$S$3000,1,$A$2:$A$3000,$A2569,$T$2:$T$3000,"&lt;"&amp;$T2569)+1,""))</f>
        <v/>
      </c>
      <c r="V2569" t="str">
        <f t="shared" si="610"/>
        <v/>
      </c>
      <c r="W2569" t="str">
        <f t="shared" si="611"/>
        <v/>
      </c>
      <c r="X2569" t="str">
        <f t="shared" si="612"/>
        <v/>
      </c>
      <c r="Y2569" t="str">
        <f t="shared" si="613"/>
        <v/>
      </c>
      <c r="Z2569">
        <f>IF($A2569="",0,IF(AND($M2569=1,$A2569=经营数据!$B$3,$J2569=经营数据!$BA$5,OR($I2569=经营数据!$BA$4,COUNTIF(经营数据!$AA$9:$AA$38,$I2569)&gt;0)),1,0))</f>
        <v>0</v>
      </c>
      <c r="AA2569" t="str">
        <f t="shared" si="614"/>
        <v/>
      </c>
      <c r="AB2569" t="str">
        <f t="shared" si="615"/>
        <v/>
      </c>
      <c r="AC2569">
        <f>IF($A2569="",0,IF(COUNTIF($A$2:$A2569,$A2569)=1,1,0))</f>
        <v>0</v>
      </c>
      <c r="AD2569">
        <f t="shared" si="616"/>
        <v>29</v>
      </c>
      <c r="AE2569" t="str">
        <f t="shared" si="617"/>
        <v/>
      </c>
    </row>
    <row r="2570" spans="1:31" x14ac:dyDescent="0.4">
      <c r="A2570" t="str">
        <f>IF(原始经营数据!$D2571="","",原始经营数据!$D2571)</f>
        <v/>
      </c>
      <c r="B2570" t="str">
        <f>IF(原始经营数据!$D2571="","",T(原始经营数据!$E2571))</f>
        <v/>
      </c>
      <c r="C2570" t="str">
        <f>IF(原始经营数据!$D2571="","",原始经营数据!$F2571)</f>
        <v/>
      </c>
      <c r="D2570" t="str">
        <f>IF(原始经营数据!$D2571="","",原始经营数据!$H2571)</f>
        <v/>
      </c>
      <c r="E2570" t="str">
        <f>IF(原始经营数据!$D2571="","",原始经营数据!$I2571)</f>
        <v/>
      </c>
      <c r="F2570" t="str">
        <f>IF(原始经营数据!$D2571="","",T(原始经营数据!$J2571))</f>
        <v/>
      </c>
      <c r="G2570" t="str">
        <f>IF(原始经营数据!$D2571="","",T(原始经营数据!$K2571))</f>
        <v/>
      </c>
      <c r="H2570" t="str">
        <f>IF(原始经营数据!$D2571="","",原始经营数据!$G2571)</f>
        <v/>
      </c>
      <c r="I2570" t="str">
        <f>IF($A2570="","",IF($B2570&lt;&gt;"",$B2570,IF(COUNTIFS(原始经营数据!$D$3:$D$3001,$A2570,原始经营数据!$E$3:$E$3001,"",原始经营数据!$F$3:$F$3001,$C2570,原始经营数据!$H$3:$H$3001,$D2570,原始经营数据!$K$3:$K$3001,$G2570)&gt;1,"基金整体·来源"&amp;原始经营数据!$A2571,"基金整体")))</f>
        <v/>
      </c>
      <c r="J2570" t="str">
        <f t="shared" si="603"/>
        <v/>
      </c>
      <c r="K2570" t="str">
        <f t="shared" si="604"/>
        <v/>
      </c>
      <c r="L2570" t="str">
        <f t="shared" si="605"/>
        <v/>
      </c>
      <c r="M2570">
        <f>IF($A2570="",0,IF(COUNTIF($L$2:$L2570,$L2570)=1,1,0))</f>
        <v>0</v>
      </c>
      <c r="N2570" t="str">
        <f t="shared" si="606"/>
        <v/>
      </c>
      <c r="O2570" t="str">
        <f t="shared" si="607"/>
        <v/>
      </c>
      <c r="P2570">
        <f>IF($A2570="",0,IF(COUNTIF($O$2:$O2570,$O2570)=1,1,0))</f>
        <v>0</v>
      </c>
      <c r="Q2570" t="str">
        <f>IF(AND($P2570=1,$A2570=经营数据!$B$3,$J2570=经营数据!$BA$5),COUNTIFS($P$2:$P$3000,1,$A$2:$A$3000,$A2570,$J$2:$J$3000,$J2570,$N$2:$N$3000,"&lt;"&amp;$N2570)+1,"")</f>
        <v/>
      </c>
      <c r="R2570" t="str">
        <f t="shared" si="608"/>
        <v/>
      </c>
      <c r="S2570">
        <f>IF($A2570="",0,IF(COUNTIF($R$2:$R2570,$R2570)=1,1,0))</f>
        <v>0</v>
      </c>
      <c r="T2570" t="str">
        <f t="shared" si="609"/>
        <v/>
      </c>
      <c r="U2570" t="str">
        <f>IF($A2570="","",IF($A2570=经营数据!$B$3,COUNTIFS($S$2:$S$3000,1,$A$2:$A$3000,$A2570,$T$2:$T$3000,"&lt;"&amp;$T2570)+1,""))</f>
        <v/>
      </c>
      <c r="V2570" t="str">
        <f t="shared" si="610"/>
        <v/>
      </c>
      <c r="W2570" t="str">
        <f t="shared" si="611"/>
        <v/>
      </c>
      <c r="X2570" t="str">
        <f t="shared" si="612"/>
        <v/>
      </c>
      <c r="Y2570" t="str">
        <f t="shared" si="613"/>
        <v/>
      </c>
      <c r="Z2570">
        <f>IF($A2570="",0,IF(AND($M2570=1,$A2570=经营数据!$B$3,$J2570=经营数据!$BA$5,OR($I2570=经营数据!$BA$4,COUNTIF(经营数据!$AA$9:$AA$38,$I2570)&gt;0)),1,0))</f>
        <v>0</v>
      </c>
      <c r="AA2570" t="str">
        <f t="shared" si="614"/>
        <v/>
      </c>
      <c r="AB2570" t="str">
        <f t="shared" si="615"/>
        <v/>
      </c>
      <c r="AC2570">
        <f>IF($A2570="",0,IF(COUNTIF($A$2:$A2570,$A2570)=1,1,0))</f>
        <v>0</v>
      </c>
      <c r="AD2570">
        <f t="shared" si="616"/>
        <v>29</v>
      </c>
      <c r="AE2570" t="str">
        <f t="shared" si="617"/>
        <v/>
      </c>
    </row>
    <row r="2571" spans="1:31" x14ac:dyDescent="0.4">
      <c r="A2571" t="str">
        <f>IF(原始经营数据!$D2572="","",原始经营数据!$D2572)</f>
        <v/>
      </c>
      <c r="B2571" t="str">
        <f>IF(原始经营数据!$D2572="","",T(原始经营数据!$E2572))</f>
        <v/>
      </c>
      <c r="C2571" t="str">
        <f>IF(原始经营数据!$D2572="","",原始经营数据!$F2572)</f>
        <v/>
      </c>
      <c r="D2571" t="str">
        <f>IF(原始经营数据!$D2572="","",原始经营数据!$H2572)</f>
        <v/>
      </c>
      <c r="E2571" t="str">
        <f>IF(原始经营数据!$D2572="","",原始经营数据!$I2572)</f>
        <v/>
      </c>
      <c r="F2571" t="str">
        <f>IF(原始经营数据!$D2572="","",T(原始经营数据!$J2572))</f>
        <v/>
      </c>
      <c r="G2571" t="str">
        <f>IF(原始经营数据!$D2572="","",T(原始经营数据!$K2572))</f>
        <v/>
      </c>
      <c r="H2571" t="str">
        <f>IF(原始经营数据!$D2572="","",原始经营数据!$G2572)</f>
        <v/>
      </c>
      <c r="I2571" t="str">
        <f>IF($A2571="","",IF($B2571&lt;&gt;"",$B2571,IF(COUNTIFS(原始经营数据!$D$3:$D$3001,$A2571,原始经营数据!$E$3:$E$3001,"",原始经营数据!$F$3:$F$3001,$C2571,原始经营数据!$H$3:$H$3001,$D2571,原始经营数据!$K$3:$K$3001,$G2571)&gt;1,"基金整体·来源"&amp;原始经营数据!$A2572,"基金整体")))</f>
        <v/>
      </c>
      <c r="J2571" t="str">
        <f t="shared" si="603"/>
        <v/>
      </c>
      <c r="K2571" t="str">
        <f t="shared" si="604"/>
        <v/>
      </c>
      <c r="L2571" t="str">
        <f t="shared" si="605"/>
        <v/>
      </c>
      <c r="M2571">
        <f>IF($A2571="",0,IF(COUNTIF($L$2:$L2571,$L2571)=1,1,0))</f>
        <v>0</v>
      </c>
      <c r="N2571" t="str">
        <f t="shared" si="606"/>
        <v/>
      </c>
      <c r="O2571" t="str">
        <f t="shared" si="607"/>
        <v/>
      </c>
      <c r="P2571">
        <f>IF($A2571="",0,IF(COUNTIF($O$2:$O2571,$O2571)=1,1,0))</f>
        <v>0</v>
      </c>
      <c r="Q2571" t="str">
        <f>IF(AND($P2571=1,$A2571=经营数据!$B$3,$J2571=经营数据!$BA$5),COUNTIFS($P$2:$P$3000,1,$A$2:$A$3000,$A2571,$J$2:$J$3000,$J2571,$N$2:$N$3000,"&lt;"&amp;$N2571)+1,"")</f>
        <v/>
      </c>
      <c r="R2571" t="str">
        <f t="shared" si="608"/>
        <v/>
      </c>
      <c r="S2571">
        <f>IF($A2571="",0,IF(COUNTIF($R$2:$R2571,$R2571)=1,1,0))</f>
        <v>0</v>
      </c>
      <c r="T2571" t="str">
        <f t="shared" si="609"/>
        <v/>
      </c>
      <c r="U2571" t="str">
        <f>IF($A2571="","",IF($A2571=经营数据!$B$3,COUNTIFS($S$2:$S$3000,1,$A$2:$A$3000,$A2571,$T$2:$T$3000,"&lt;"&amp;$T2571)+1,""))</f>
        <v/>
      </c>
      <c r="V2571" t="str">
        <f t="shared" si="610"/>
        <v/>
      </c>
      <c r="W2571" t="str">
        <f t="shared" si="611"/>
        <v/>
      </c>
      <c r="X2571" t="str">
        <f t="shared" si="612"/>
        <v/>
      </c>
      <c r="Y2571" t="str">
        <f t="shared" si="613"/>
        <v/>
      </c>
      <c r="Z2571">
        <f>IF($A2571="",0,IF(AND($M2571=1,$A2571=经营数据!$B$3,$J2571=经营数据!$BA$5,OR($I2571=经营数据!$BA$4,COUNTIF(经营数据!$AA$9:$AA$38,$I2571)&gt;0)),1,0))</f>
        <v>0</v>
      </c>
      <c r="AA2571" t="str">
        <f t="shared" si="614"/>
        <v/>
      </c>
      <c r="AB2571" t="str">
        <f t="shared" si="615"/>
        <v/>
      </c>
      <c r="AC2571">
        <f>IF($A2571="",0,IF(COUNTIF($A$2:$A2571,$A2571)=1,1,0))</f>
        <v>0</v>
      </c>
      <c r="AD2571">
        <f t="shared" si="616"/>
        <v>29</v>
      </c>
      <c r="AE2571" t="str">
        <f t="shared" si="617"/>
        <v/>
      </c>
    </row>
    <row r="2572" spans="1:31" x14ac:dyDescent="0.4">
      <c r="A2572" t="str">
        <f>IF(原始经营数据!$D2573="","",原始经营数据!$D2573)</f>
        <v/>
      </c>
      <c r="B2572" t="str">
        <f>IF(原始经营数据!$D2573="","",T(原始经营数据!$E2573))</f>
        <v/>
      </c>
      <c r="C2572" t="str">
        <f>IF(原始经营数据!$D2573="","",原始经营数据!$F2573)</f>
        <v/>
      </c>
      <c r="D2572" t="str">
        <f>IF(原始经营数据!$D2573="","",原始经营数据!$H2573)</f>
        <v/>
      </c>
      <c r="E2572" t="str">
        <f>IF(原始经营数据!$D2573="","",原始经营数据!$I2573)</f>
        <v/>
      </c>
      <c r="F2572" t="str">
        <f>IF(原始经营数据!$D2573="","",T(原始经营数据!$J2573))</f>
        <v/>
      </c>
      <c r="G2572" t="str">
        <f>IF(原始经营数据!$D2573="","",T(原始经营数据!$K2573))</f>
        <v/>
      </c>
      <c r="H2572" t="str">
        <f>IF(原始经营数据!$D2573="","",原始经营数据!$G2573)</f>
        <v/>
      </c>
      <c r="I2572" t="str">
        <f>IF($A2572="","",IF($B2572&lt;&gt;"",$B2572,IF(COUNTIFS(原始经营数据!$D$3:$D$3001,$A2572,原始经营数据!$E$3:$E$3001,"",原始经营数据!$F$3:$F$3001,$C2572,原始经营数据!$H$3:$H$3001,$D2572,原始经营数据!$K$3:$K$3001,$G2572)&gt;1,"基金整体·来源"&amp;原始经营数据!$A2573,"基金整体")))</f>
        <v/>
      </c>
      <c r="J2572" t="str">
        <f t="shared" si="603"/>
        <v/>
      </c>
      <c r="K2572" t="str">
        <f t="shared" si="604"/>
        <v/>
      </c>
      <c r="L2572" t="str">
        <f t="shared" si="605"/>
        <v/>
      </c>
      <c r="M2572">
        <f>IF($A2572="",0,IF(COUNTIF($L$2:$L2572,$L2572)=1,1,0))</f>
        <v>0</v>
      </c>
      <c r="N2572" t="str">
        <f t="shared" si="606"/>
        <v/>
      </c>
      <c r="O2572" t="str">
        <f t="shared" si="607"/>
        <v/>
      </c>
      <c r="P2572">
        <f>IF($A2572="",0,IF(COUNTIF($O$2:$O2572,$O2572)=1,1,0))</f>
        <v>0</v>
      </c>
      <c r="Q2572" t="str">
        <f>IF(AND($P2572=1,$A2572=经营数据!$B$3,$J2572=经营数据!$BA$5),COUNTIFS($P$2:$P$3000,1,$A$2:$A$3000,$A2572,$J$2:$J$3000,$J2572,$N$2:$N$3000,"&lt;"&amp;$N2572)+1,"")</f>
        <v/>
      </c>
      <c r="R2572" t="str">
        <f t="shared" si="608"/>
        <v/>
      </c>
      <c r="S2572">
        <f>IF($A2572="",0,IF(COUNTIF($R$2:$R2572,$R2572)=1,1,0))</f>
        <v>0</v>
      </c>
      <c r="T2572" t="str">
        <f t="shared" si="609"/>
        <v/>
      </c>
      <c r="U2572" t="str">
        <f>IF($A2572="","",IF($A2572=经营数据!$B$3,COUNTIFS($S$2:$S$3000,1,$A$2:$A$3000,$A2572,$T$2:$T$3000,"&lt;"&amp;$T2572)+1,""))</f>
        <v/>
      </c>
      <c r="V2572" t="str">
        <f t="shared" si="610"/>
        <v/>
      </c>
      <c r="W2572" t="str">
        <f t="shared" si="611"/>
        <v/>
      </c>
      <c r="X2572" t="str">
        <f t="shared" si="612"/>
        <v/>
      </c>
      <c r="Y2572" t="str">
        <f t="shared" si="613"/>
        <v/>
      </c>
      <c r="Z2572">
        <f>IF($A2572="",0,IF(AND($M2572=1,$A2572=经营数据!$B$3,$J2572=经营数据!$BA$5,OR($I2572=经营数据!$BA$4,COUNTIF(经营数据!$AA$9:$AA$38,$I2572)&gt;0)),1,0))</f>
        <v>0</v>
      </c>
      <c r="AA2572" t="str">
        <f t="shared" si="614"/>
        <v/>
      </c>
      <c r="AB2572" t="str">
        <f t="shared" si="615"/>
        <v/>
      </c>
      <c r="AC2572">
        <f>IF($A2572="",0,IF(COUNTIF($A$2:$A2572,$A2572)=1,1,0))</f>
        <v>0</v>
      </c>
      <c r="AD2572">
        <f t="shared" si="616"/>
        <v>29</v>
      </c>
      <c r="AE2572" t="str">
        <f t="shared" si="617"/>
        <v/>
      </c>
    </row>
    <row r="2573" spans="1:31" x14ac:dyDescent="0.4">
      <c r="A2573" t="str">
        <f>IF(原始经营数据!$D2574="","",原始经营数据!$D2574)</f>
        <v/>
      </c>
      <c r="B2573" t="str">
        <f>IF(原始经营数据!$D2574="","",T(原始经营数据!$E2574))</f>
        <v/>
      </c>
      <c r="C2573" t="str">
        <f>IF(原始经营数据!$D2574="","",原始经营数据!$F2574)</f>
        <v/>
      </c>
      <c r="D2573" t="str">
        <f>IF(原始经营数据!$D2574="","",原始经营数据!$H2574)</f>
        <v/>
      </c>
      <c r="E2573" t="str">
        <f>IF(原始经营数据!$D2574="","",原始经营数据!$I2574)</f>
        <v/>
      </c>
      <c r="F2573" t="str">
        <f>IF(原始经营数据!$D2574="","",T(原始经营数据!$J2574))</f>
        <v/>
      </c>
      <c r="G2573" t="str">
        <f>IF(原始经营数据!$D2574="","",T(原始经营数据!$K2574))</f>
        <v/>
      </c>
      <c r="H2573" t="str">
        <f>IF(原始经营数据!$D2574="","",原始经营数据!$G2574)</f>
        <v/>
      </c>
      <c r="I2573" t="str">
        <f>IF($A2573="","",IF($B2573&lt;&gt;"",$B2573,IF(COUNTIFS(原始经营数据!$D$3:$D$3001,$A2573,原始经营数据!$E$3:$E$3001,"",原始经营数据!$F$3:$F$3001,$C2573,原始经营数据!$H$3:$H$3001,$D2573,原始经营数据!$K$3:$K$3001,$G2573)&gt;1,"基金整体·来源"&amp;原始经营数据!$A2574,"基金整体")))</f>
        <v/>
      </c>
      <c r="J2573" t="str">
        <f t="shared" si="603"/>
        <v/>
      </c>
      <c r="K2573" t="str">
        <f t="shared" si="604"/>
        <v/>
      </c>
      <c r="L2573" t="str">
        <f t="shared" si="605"/>
        <v/>
      </c>
      <c r="M2573">
        <f>IF($A2573="",0,IF(COUNTIF($L$2:$L2573,$L2573)=1,1,0))</f>
        <v>0</v>
      </c>
      <c r="N2573" t="str">
        <f t="shared" si="606"/>
        <v/>
      </c>
      <c r="O2573" t="str">
        <f t="shared" si="607"/>
        <v/>
      </c>
      <c r="P2573">
        <f>IF($A2573="",0,IF(COUNTIF($O$2:$O2573,$O2573)=1,1,0))</f>
        <v>0</v>
      </c>
      <c r="Q2573" t="str">
        <f>IF(AND($P2573=1,$A2573=经营数据!$B$3,$J2573=经营数据!$BA$5),COUNTIFS($P$2:$P$3000,1,$A$2:$A$3000,$A2573,$J$2:$J$3000,$J2573,$N$2:$N$3000,"&lt;"&amp;$N2573)+1,"")</f>
        <v/>
      </c>
      <c r="R2573" t="str">
        <f t="shared" si="608"/>
        <v/>
      </c>
      <c r="S2573">
        <f>IF($A2573="",0,IF(COUNTIF($R$2:$R2573,$R2573)=1,1,0))</f>
        <v>0</v>
      </c>
      <c r="T2573" t="str">
        <f t="shared" si="609"/>
        <v/>
      </c>
      <c r="U2573" t="str">
        <f>IF($A2573="","",IF($A2573=经营数据!$B$3,COUNTIFS($S$2:$S$3000,1,$A$2:$A$3000,$A2573,$T$2:$T$3000,"&lt;"&amp;$T2573)+1,""))</f>
        <v/>
      </c>
      <c r="V2573" t="str">
        <f t="shared" si="610"/>
        <v/>
      </c>
      <c r="W2573" t="str">
        <f t="shared" si="611"/>
        <v/>
      </c>
      <c r="X2573" t="str">
        <f t="shared" si="612"/>
        <v/>
      </c>
      <c r="Y2573" t="str">
        <f t="shared" si="613"/>
        <v/>
      </c>
      <c r="Z2573">
        <f>IF($A2573="",0,IF(AND($M2573=1,$A2573=经营数据!$B$3,$J2573=经营数据!$BA$5,OR($I2573=经营数据!$BA$4,COUNTIF(经营数据!$AA$9:$AA$38,$I2573)&gt;0)),1,0))</f>
        <v>0</v>
      </c>
      <c r="AA2573" t="str">
        <f t="shared" si="614"/>
        <v/>
      </c>
      <c r="AB2573" t="str">
        <f t="shared" si="615"/>
        <v/>
      </c>
      <c r="AC2573">
        <f>IF($A2573="",0,IF(COUNTIF($A$2:$A2573,$A2573)=1,1,0))</f>
        <v>0</v>
      </c>
      <c r="AD2573">
        <f t="shared" si="616"/>
        <v>29</v>
      </c>
      <c r="AE2573" t="str">
        <f t="shared" si="617"/>
        <v/>
      </c>
    </row>
    <row r="2574" spans="1:31" x14ac:dyDescent="0.4">
      <c r="A2574" t="str">
        <f>IF(原始经营数据!$D2575="","",原始经营数据!$D2575)</f>
        <v/>
      </c>
      <c r="B2574" t="str">
        <f>IF(原始经营数据!$D2575="","",T(原始经营数据!$E2575))</f>
        <v/>
      </c>
      <c r="C2574" t="str">
        <f>IF(原始经营数据!$D2575="","",原始经营数据!$F2575)</f>
        <v/>
      </c>
      <c r="D2574" t="str">
        <f>IF(原始经营数据!$D2575="","",原始经营数据!$H2575)</f>
        <v/>
      </c>
      <c r="E2574" t="str">
        <f>IF(原始经营数据!$D2575="","",原始经营数据!$I2575)</f>
        <v/>
      </c>
      <c r="F2574" t="str">
        <f>IF(原始经营数据!$D2575="","",T(原始经营数据!$J2575))</f>
        <v/>
      </c>
      <c r="G2574" t="str">
        <f>IF(原始经营数据!$D2575="","",T(原始经营数据!$K2575))</f>
        <v/>
      </c>
      <c r="H2574" t="str">
        <f>IF(原始经营数据!$D2575="","",原始经营数据!$G2575)</f>
        <v/>
      </c>
      <c r="I2574" t="str">
        <f>IF($A2574="","",IF($B2574&lt;&gt;"",$B2574,IF(COUNTIFS(原始经营数据!$D$3:$D$3001,$A2574,原始经营数据!$E$3:$E$3001,"",原始经营数据!$F$3:$F$3001,$C2574,原始经营数据!$H$3:$H$3001,$D2574,原始经营数据!$K$3:$K$3001,$G2574)&gt;1,"基金整体·来源"&amp;原始经营数据!$A2575,"基金整体")))</f>
        <v/>
      </c>
      <c r="J2574" t="str">
        <f t="shared" si="603"/>
        <v/>
      </c>
      <c r="K2574" t="str">
        <f t="shared" si="604"/>
        <v/>
      </c>
      <c r="L2574" t="str">
        <f t="shared" si="605"/>
        <v/>
      </c>
      <c r="M2574">
        <f>IF($A2574="",0,IF(COUNTIF($L$2:$L2574,$L2574)=1,1,0))</f>
        <v>0</v>
      </c>
      <c r="N2574" t="str">
        <f t="shared" si="606"/>
        <v/>
      </c>
      <c r="O2574" t="str">
        <f t="shared" si="607"/>
        <v/>
      </c>
      <c r="P2574">
        <f>IF($A2574="",0,IF(COUNTIF($O$2:$O2574,$O2574)=1,1,0))</f>
        <v>0</v>
      </c>
      <c r="Q2574" t="str">
        <f>IF(AND($P2574=1,$A2574=经营数据!$B$3,$J2574=经营数据!$BA$5),COUNTIFS($P$2:$P$3000,1,$A$2:$A$3000,$A2574,$J$2:$J$3000,$J2574,$N$2:$N$3000,"&lt;"&amp;$N2574)+1,"")</f>
        <v/>
      </c>
      <c r="R2574" t="str">
        <f t="shared" si="608"/>
        <v/>
      </c>
      <c r="S2574">
        <f>IF($A2574="",0,IF(COUNTIF($R$2:$R2574,$R2574)=1,1,0))</f>
        <v>0</v>
      </c>
      <c r="T2574" t="str">
        <f t="shared" si="609"/>
        <v/>
      </c>
      <c r="U2574" t="str">
        <f>IF($A2574="","",IF($A2574=经营数据!$B$3,COUNTIFS($S$2:$S$3000,1,$A$2:$A$3000,$A2574,$T$2:$T$3000,"&lt;"&amp;$T2574)+1,""))</f>
        <v/>
      </c>
      <c r="V2574" t="str">
        <f t="shared" si="610"/>
        <v/>
      </c>
      <c r="W2574" t="str">
        <f t="shared" si="611"/>
        <v/>
      </c>
      <c r="X2574" t="str">
        <f t="shared" si="612"/>
        <v/>
      </c>
      <c r="Y2574" t="str">
        <f t="shared" si="613"/>
        <v/>
      </c>
      <c r="Z2574">
        <f>IF($A2574="",0,IF(AND($M2574=1,$A2574=经营数据!$B$3,$J2574=经营数据!$BA$5,OR($I2574=经营数据!$BA$4,COUNTIF(经营数据!$AA$9:$AA$38,$I2574)&gt;0)),1,0))</f>
        <v>0</v>
      </c>
      <c r="AA2574" t="str">
        <f t="shared" si="614"/>
        <v/>
      </c>
      <c r="AB2574" t="str">
        <f t="shared" si="615"/>
        <v/>
      </c>
      <c r="AC2574">
        <f>IF($A2574="",0,IF(COUNTIF($A$2:$A2574,$A2574)=1,1,0))</f>
        <v>0</v>
      </c>
      <c r="AD2574">
        <f t="shared" si="616"/>
        <v>29</v>
      </c>
      <c r="AE2574" t="str">
        <f t="shared" si="617"/>
        <v/>
      </c>
    </row>
    <row r="2575" spans="1:31" x14ac:dyDescent="0.4">
      <c r="A2575" t="str">
        <f>IF(原始经营数据!$D2576="","",原始经营数据!$D2576)</f>
        <v/>
      </c>
      <c r="B2575" t="str">
        <f>IF(原始经营数据!$D2576="","",T(原始经营数据!$E2576))</f>
        <v/>
      </c>
      <c r="C2575" t="str">
        <f>IF(原始经营数据!$D2576="","",原始经营数据!$F2576)</f>
        <v/>
      </c>
      <c r="D2575" t="str">
        <f>IF(原始经营数据!$D2576="","",原始经营数据!$H2576)</f>
        <v/>
      </c>
      <c r="E2575" t="str">
        <f>IF(原始经营数据!$D2576="","",原始经营数据!$I2576)</f>
        <v/>
      </c>
      <c r="F2575" t="str">
        <f>IF(原始经营数据!$D2576="","",T(原始经营数据!$J2576))</f>
        <v/>
      </c>
      <c r="G2575" t="str">
        <f>IF(原始经营数据!$D2576="","",T(原始经营数据!$K2576))</f>
        <v/>
      </c>
      <c r="H2575" t="str">
        <f>IF(原始经营数据!$D2576="","",原始经营数据!$G2576)</f>
        <v/>
      </c>
      <c r="I2575" t="str">
        <f>IF($A2575="","",IF($B2575&lt;&gt;"",$B2575,IF(COUNTIFS(原始经营数据!$D$3:$D$3001,$A2575,原始经营数据!$E$3:$E$3001,"",原始经营数据!$F$3:$F$3001,$C2575,原始经营数据!$H$3:$H$3001,$D2575,原始经营数据!$K$3:$K$3001,$G2575)&gt;1,"基金整体·来源"&amp;原始经营数据!$A2576,"基金整体")))</f>
        <v/>
      </c>
      <c r="J2575" t="str">
        <f t="shared" si="603"/>
        <v/>
      </c>
      <c r="K2575" t="str">
        <f t="shared" si="604"/>
        <v/>
      </c>
      <c r="L2575" t="str">
        <f t="shared" si="605"/>
        <v/>
      </c>
      <c r="M2575">
        <f>IF($A2575="",0,IF(COUNTIF($L$2:$L2575,$L2575)=1,1,0))</f>
        <v>0</v>
      </c>
      <c r="N2575" t="str">
        <f t="shared" si="606"/>
        <v/>
      </c>
      <c r="O2575" t="str">
        <f t="shared" si="607"/>
        <v/>
      </c>
      <c r="P2575">
        <f>IF($A2575="",0,IF(COUNTIF($O$2:$O2575,$O2575)=1,1,0))</f>
        <v>0</v>
      </c>
      <c r="Q2575" t="str">
        <f>IF(AND($P2575=1,$A2575=经营数据!$B$3,$J2575=经营数据!$BA$5),COUNTIFS($P$2:$P$3000,1,$A$2:$A$3000,$A2575,$J$2:$J$3000,$J2575,$N$2:$N$3000,"&lt;"&amp;$N2575)+1,"")</f>
        <v/>
      </c>
      <c r="R2575" t="str">
        <f t="shared" si="608"/>
        <v/>
      </c>
      <c r="S2575">
        <f>IF($A2575="",0,IF(COUNTIF($R$2:$R2575,$R2575)=1,1,0))</f>
        <v>0</v>
      </c>
      <c r="T2575" t="str">
        <f t="shared" si="609"/>
        <v/>
      </c>
      <c r="U2575" t="str">
        <f>IF($A2575="","",IF($A2575=经营数据!$B$3,COUNTIFS($S$2:$S$3000,1,$A$2:$A$3000,$A2575,$T$2:$T$3000,"&lt;"&amp;$T2575)+1,""))</f>
        <v/>
      </c>
      <c r="V2575" t="str">
        <f t="shared" si="610"/>
        <v/>
      </c>
      <c r="W2575" t="str">
        <f t="shared" si="611"/>
        <v/>
      </c>
      <c r="X2575" t="str">
        <f t="shared" si="612"/>
        <v/>
      </c>
      <c r="Y2575" t="str">
        <f t="shared" si="613"/>
        <v/>
      </c>
      <c r="Z2575">
        <f>IF($A2575="",0,IF(AND($M2575=1,$A2575=经营数据!$B$3,$J2575=经营数据!$BA$5,OR($I2575=经营数据!$BA$4,COUNTIF(经营数据!$AA$9:$AA$38,$I2575)&gt;0)),1,0))</f>
        <v>0</v>
      </c>
      <c r="AA2575" t="str">
        <f t="shared" si="614"/>
        <v/>
      </c>
      <c r="AB2575" t="str">
        <f t="shared" si="615"/>
        <v/>
      </c>
      <c r="AC2575">
        <f>IF($A2575="",0,IF(COUNTIF($A$2:$A2575,$A2575)=1,1,0))</f>
        <v>0</v>
      </c>
      <c r="AD2575">
        <f t="shared" si="616"/>
        <v>29</v>
      </c>
      <c r="AE2575" t="str">
        <f t="shared" si="617"/>
        <v/>
      </c>
    </row>
    <row r="2576" spans="1:31" x14ac:dyDescent="0.4">
      <c r="A2576" t="str">
        <f>IF(原始经营数据!$D2577="","",原始经营数据!$D2577)</f>
        <v/>
      </c>
      <c r="B2576" t="str">
        <f>IF(原始经营数据!$D2577="","",T(原始经营数据!$E2577))</f>
        <v/>
      </c>
      <c r="C2576" t="str">
        <f>IF(原始经营数据!$D2577="","",原始经营数据!$F2577)</f>
        <v/>
      </c>
      <c r="D2576" t="str">
        <f>IF(原始经营数据!$D2577="","",原始经营数据!$H2577)</f>
        <v/>
      </c>
      <c r="E2576" t="str">
        <f>IF(原始经营数据!$D2577="","",原始经营数据!$I2577)</f>
        <v/>
      </c>
      <c r="F2576" t="str">
        <f>IF(原始经营数据!$D2577="","",T(原始经营数据!$J2577))</f>
        <v/>
      </c>
      <c r="G2576" t="str">
        <f>IF(原始经营数据!$D2577="","",T(原始经营数据!$K2577))</f>
        <v/>
      </c>
      <c r="H2576" t="str">
        <f>IF(原始经营数据!$D2577="","",原始经营数据!$G2577)</f>
        <v/>
      </c>
      <c r="I2576" t="str">
        <f>IF($A2576="","",IF($B2576&lt;&gt;"",$B2576,IF(COUNTIFS(原始经营数据!$D$3:$D$3001,$A2576,原始经营数据!$E$3:$E$3001,"",原始经营数据!$F$3:$F$3001,$C2576,原始经营数据!$H$3:$H$3001,$D2576,原始经营数据!$K$3:$K$3001,$G2576)&gt;1,"基金整体·来源"&amp;原始经营数据!$A2577,"基金整体")))</f>
        <v/>
      </c>
      <c r="J2576" t="str">
        <f t="shared" si="603"/>
        <v/>
      </c>
      <c r="K2576" t="str">
        <f t="shared" si="604"/>
        <v/>
      </c>
      <c r="L2576" t="str">
        <f t="shared" si="605"/>
        <v/>
      </c>
      <c r="M2576">
        <f>IF($A2576="",0,IF(COUNTIF($L$2:$L2576,$L2576)=1,1,0))</f>
        <v>0</v>
      </c>
      <c r="N2576" t="str">
        <f t="shared" si="606"/>
        <v/>
      </c>
      <c r="O2576" t="str">
        <f t="shared" si="607"/>
        <v/>
      </c>
      <c r="P2576">
        <f>IF($A2576="",0,IF(COUNTIF($O$2:$O2576,$O2576)=1,1,0))</f>
        <v>0</v>
      </c>
      <c r="Q2576" t="str">
        <f>IF(AND($P2576=1,$A2576=经营数据!$B$3,$J2576=经营数据!$BA$5),COUNTIFS($P$2:$P$3000,1,$A$2:$A$3000,$A2576,$J$2:$J$3000,$J2576,$N$2:$N$3000,"&lt;"&amp;$N2576)+1,"")</f>
        <v/>
      </c>
      <c r="R2576" t="str">
        <f t="shared" si="608"/>
        <v/>
      </c>
      <c r="S2576">
        <f>IF($A2576="",0,IF(COUNTIF($R$2:$R2576,$R2576)=1,1,0))</f>
        <v>0</v>
      </c>
      <c r="T2576" t="str">
        <f t="shared" si="609"/>
        <v/>
      </c>
      <c r="U2576" t="str">
        <f>IF($A2576="","",IF($A2576=经营数据!$B$3,COUNTIFS($S$2:$S$3000,1,$A$2:$A$3000,$A2576,$T$2:$T$3000,"&lt;"&amp;$T2576)+1,""))</f>
        <v/>
      </c>
      <c r="V2576" t="str">
        <f t="shared" si="610"/>
        <v/>
      </c>
      <c r="W2576" t="str">
        <f t="shared" si="611"/>
        <v/>
      </c>
      <c r="X2576" t="str">
        <f t="shared" si="612"/>
        <v/>
      </c>
      <c r="Y2576" t="str">
        <f t="shared" si="613"/>
        <v/>
      </c>
      <c r="Z2576">
        <f>IF($A2576="",0,IF(AND($M2576=1,$A2576=经营数据!$B$3,$J2576=经营数据!$BA$5,OR($I2576=经营数据!$BA$4,COUNTIF(经营数据!$AA$9:$AA$38,$I2576)&gt;0)),1,0))</f>
        <v>0</v>
      </c>
      <c r="AA2576" t="str">
        <f t="shared" si="614"/>
        <v/>
      </c>
      <c r="AB2576" t="str">
        <f t="shared" si="615"/>
        <v/>
      </c>
      <c r="AC2576">
        <f>IF($A2576="",0,IF(COUNTIF($A$2:$A2576,$A2576)=1,1,0))</f>
        <v>0</v>
      </c>
      <c r="AD2576">
        <f t="shared" si="616"/>
        <v>29</v>
      </c>
      <c r="AE2576" t="str">
        <f t="shared" si="617"/>
        <v/>
      </c>
    </row>
    <row r="2577" spans="1:31" x14ac:dyDescent="0.4">
      <c r="A2577" t="str">
        <f>IF(原始经营数据!$D2578="","",原始经营数据!$D2578)</f>
        <v/>
      </c>
      <c r="B2577" t="str">
        <f>IF(原始经营数据!$D2578="","",T(原始经营数据!$E2578))</f>
        <v/>
      </c>
      <c r="C2577" t="str">
        <f>IF(原始经营数据!$D2578="","",原始经营数据!$F2578)</f>
        <v/>
      </c>
      <c r="D2577" t="str">
        <f>IF(原始经营数据!$D2578="","",原始经营数据!$H2578)</f>
        <v/>
      </c>
      <c r="E2577" t="str">
        <f>IF(原始经营数据!$D2578="","",原始经营数据!$I2578)</f>
        <v/>
      </c>
      <c r="F2577" t="str">
        <f>IF(原始经营数据!$D2578="","",T(原始经营数据!$J2578))</f>
        <v/>
      </c>
      <c r="G2577" t="str">
        <f>IF(原始经营数据!$D2578="","",T(原始经营数据!$K2578))</f>
        <v/>
      </c>
      <c r="H2577" t="str">
        <f>IF(原始经营数据!$D2578="","",原始经营数据!$G2578)</f>
        <v/>
      </c>
      <c r="I2577" t="str">
        <f>IF($A2577="","",IF($B2577&lt;&gt;"",$B2577,IF(COUNTIFS(原始经营数据!$D$3:$D$3001,$A2577,原始经营数据!$E$3:$E$3001,"",原始经营数据!$F$3:$F$3001,$C2577,原始经营数据!$H$3:$H$3001,$D2577,原始经营数据!$K$3:$K$3001,$G2577)&gt;1,"基金整体·来源"&amp;原始经营数据!$A2578,"基金整体")))</f>
        <v/>
      </c>
      <c r="J2577" t="str">
        <f t="shared" si="603"/>
        <v/>
      </c>
      <c r="K2577" t="str">
        <f t="shared" si="604"/>
        <v/>
      </c>
      <c r="L2577" t="str">
        <f t="shared" si="605"/>
        <v/>
      </c>
      <c r="M2577">
        <f>IF($A2577="",0,IF(COUNTIF($L$2:$L2577,$L2577)=1,1,0))</f>
        <v>0</v>
      </c>
      <c r="N2577" t="str">
        <f t="shared" si="606"/>
        <v/>
      </c>
      <c r="O2577" t="str">
        <f t="shared" si="607"/>
        <v/>
      </c>
      <c r="P2577">
        <f>IF($A2577="",0,IF(COUNTIF($O$2:$O2577,$O2577)=1,1,0))</f>
        <v>0</v>
      </c>
      <c r="Q2577" t="str">
        <f>IF(AND($P2577=1,$A2577=经营数据!$B$3,$J2577=经营数据!$BA$5),COUNTIFS($P$2:$P$3000,1,$A$2:$A$3000,$A2577,$J$2:$J$3000,$J2577,$N$2:$N$3000,"&lt;"&amp;$N2577)+1,"")</f>
        <v/>
      </c>
      <c r="R2577" t="str">
        <f t="shared" si="608"/>
        <v/>
      </c>
      <c r="S2577">
        <f>IF($A2577="",0,IF(COUNTIF($R$2:$R2577,$R2577)=1,1,0))</f>
        <v>0</v>
      </c>
      <c r="T2577" t="str">
        <f t="shared" si="609"/>
        <v/>
      </c>
      <c r="U2577" t="str">
        <f>IF($A2577="","",IF($A2577=经营数据!$B$3,COUNTIFS($S$2:$S$3000,1,$A$2:$A$3000,$A2577,$T$2:$T$3000,"&lt;"&amp;$T2577)+1,""))</f>
        <v/>
      </c>
      <c r="V2577" t="str">
        <f t="shared" si="610"/>
        <v/>
      </c>
      <c r="W2577" t="str">
        <f t="shared" si="611"/>
        <v/>
      </c>
      <c r="X2577" t="str">
        <f t="shared" si="612"/>
        <v/>
      </c>
      <c r="Y2577" t="str">
        <f t="shared" si="613"/>
        <v/>
      </c>
      <c r="Z2577">
        <f>IF($A2577="",0,IF(AND($M2577=1,$A2577=经营数据!$B$3,$J2577=经营数据!$BA$5,OR($I2577=经营数据!$BA$4,COUNTIF(经营数据!$AA$9:$AA$38,$I2577)&gt;0)),1,0))</f>
        <v>0</v>
      </c>
      <c r="AA2577" t="str">
        <f t="shared" si="614"/>
        <v/>
      </c>
      <c r="AB2577" t="str">
        <f t="shared" si="615"/>
        <v/>
      </c>
      <c r="AC2577">
        <f>IF($A2577="",0,IF(COUNTIF($A$2:$A2577,$A2577)=1,1,0))</f>
        <v>0</v>
      </c>
      <c r="AD2577">
        <f t="shared" si="616"/>
        <v>29</v>
      </c>
      <c r="AE2577" t="str">
        <f t="shared" si="617"/>
        <v/>
      </c>
    </row>
    <row r="2578" spans="1:31" x14ac:dyDescent="0.4">
      <c r="A2578" t="str">
        <f>IF(原始经营数据!$D2579="","",原始经营数据!$D2579)</f>
        <v/>
      </c>
      <c r="B2578" t="str">
        <f>IF(原始经营数据!$D2579="","",T(原始经营数据!$E2579))</f>
        <v/>
      </c>
      <c r="C2578" t="str">
        <f>IF(原始经营数据!$D2579="","",原始经营数据!$F2579)</f>
        <v/>
      </c>
      <c r="D2578" t="str">
        <f>IF(原始经营数据!$D2579="","",原始经营数据!$H2579)</f>
        <v/>
      </c>
      <c r="E2578" t="str">
        <f>IF(原始经营数据!$D2579="","",原始经营数据!$I2579)</f>
        <v/>
      </c>
      <c r="F2578" t="str">
        <f>IF(原始经营数据!$D2579="","",T(原始经营数据!$J2579))</f>
        <v/>
      </c>
      <c r="G2578" t="str">
        <f>IF(原始经营数据!$D2579="","",T(原始经营数据!$K2579))</f>
        <v/>
      </c>
      <c r="H2578" t="str">
        <f>IF(原始经营数据!$D2579="","",原始经营数据!$G2579)</f>
        <v/>
      </c>
      <c r="I2578" t="str">
        <f>IF($A2578="","",IF($B2578&lt;&gt;"",$B2578,IF(COUNTIFS(原始经营数据!$D$3:$D$3001,$A2578,原始经营数据!$E$3:$E$3001,"",原始经营数据!$F$3:$F$3001,$C2578,原始经营数据!$H$3:$H$3001,$D2578,原始经营数据!$K$3:$K$3001,$G2578)&gt;1,"基金整体·来源"&amp;原始经营数据!$A2579,"基金整体")))</f>
        <v/>
      </c>
      <c r="J2578" t="str">
        <f t="shared" si="603"/>
        <v/>
      </c>
      <c r="K2578" t="str">
        <f t="shared" si="604"/>
        <v/>
      </c>
      <c r="L2578" t="str">
        <f t="shared" si="605"/>
        <v/>
      </c>
      <c r="M2578">
        <f>IF($A2578="",0,IF(COUNTIF($L$2:$L2578,$L2578)=1,1,0))</f>
        <v>0</v>
      </c>
      <c r="N2578" t="str">
        <f t="shared" si="606"/>
        <v/>
      </c>
      <c r="O2578" t="str">
        <f t="shared" si="607"/>
        <v/>
      </c>
      <c r="P2578">
        <f>IF($A2578="",0,IF(COUNTIF($O$2:$O2578,$O2578)=1,1,0))</f>
        <v>0</v>
      </c>
      <c r="Q2578" t="str">
        <f>IF(AND($P2578=1,$A2578=经营数据!$B$3,$J2578=经营数据!$BA$5),COUNTIFS($P$2:$P$3000,1,$A$2:$A$3000,$A2578,$J$2:$J$3000,$J2578,$N$2:$N$3000,"&lt;"&amp;$N2578)+1,"")</f>
        <v/>
      </c>
      <c r="R2578" t="str">
        <f t="shared" si="608"/>
        <v/>
      </c>
      <c r="S2578">
        <f>IF($A2578="",0,IF(COUNTIF($R$2:$R2578,$R2578)=1,1,0))</f>
        <v>0</v>
      </c>
      <c r="T2578" t="str">
        <f t="shared" si="609"/>
        <v/>
      </c>
      <c r="U2578" t="str">
        <f>IF($A2578="","",IF($A2578=经营数据!$B$3,COUNTIFS($S$2:$S$3000,1,$A$2:$A$3000,$A2578,$T$2:$T$3000,"&lt;"&amp;$T2578)+1,""))</f>
        <v/>
      </c>
      <c r="V2578" t="str">
        <f t="shared" si="610"/>
        <v/>
      </c>
      <c r="W2578" t="str">
        <f t="shared" si="611"/>
        <v/>
      </c>
      <c r="X2578" t="str">
        <f t="shared" si="612"/>
        <v/>
      </c>
      <c r="Y2578" t="str">
        <f t="shared" si="613"/>
        <v/>
      </c>
      <c r="Z2578">
        <f>IF($A2578="",0,IF(AND($M2578=1,$A2578=经营数据!$B$3,$J2578=经营数据!$BA$5,OR($I2578=经营数据!$BA$4,COUNTIF(经营数据!$AA$9:$AA$38,$I2578)&gt;0)),1,0))</f>
        <v>0</v>
      </c>
      <c r="AA2578" t="str">
        <f t="shared" si="614"/>
        <v/>
      </c>
      <c r="AB2578" t="str">
        <f t="shared" si="615"/>
        <v/>
      </c>
      <c r="AC2578">
        <f>IF($A2578="",0,IF(COUNTIF($A$2:$A2578,$A2578)=1,1,0))</f>
        <v>0</v>
      </c>
      <c r="AD2578">
        <f t="shared" si="616"/>
        <v>29</v>
      </c>
      <c r="AE2578" t="str">
        <f t="shared" si="617"/>
        <v/>
      </c>
    </row>
    <row r="2579" spans="1:31" x14ac:dyDescent="0.4">
      <c r="A2579" t="str">
        <f>IF(原始经营数据!$D2580="","",原始经营数据!$D2580)</f>
        <v/>
      </c>
      <c r="B2579" t="str">
        <f>IF(原始经营数据!$D2580="","",T(原始经营数据!$E2580))</f>
        <v/>
      </c>
      <c r="C2579" t="str">
        <f>IF(原始经营数据!$D2580="","",原始经营数据!$F2580)</f>
        <v/>
      </c>
      <c r="D2579" t="str">
        <f>IF(原始经营数据!$D2580="","",原始经营数据!$H2580)</f>
        <v/>
      </c>
      <c r="E2579" t="str">
        <f>IF(原始经营数据!$D2580="","",原始经营数据!$I2580)</f>
        <v/>
      </c>
      <c r="F2579" t="str">
        <f>IF(原始经营数据!$D2580="","",T(原始经营数据!$J2580))</f>
        <v/>
      </c>
      <c r="G2579" t="str">
        <f>IF(原始经营数据!$D2580="","",T(原始经营数据!$K2580))</f>
        <v/>
      </c>
      <c r="H2579" t="str">
        <f>IF(原始经营数据!$D2580="","",原始经营数据!$G2580)</f>
        <v/>
      </c>
      <c r="I2579" t="str">
        <f>IF($A2579="","",IF($B2579&lt;&gt;"",$B2579,IF(COUNTIFS(原始经营数据!$D$3:$D$3001,$A2579,原始经营数据!$E$3:$E$3001,"",原始经营数据!$F$3:$F$3001,$C2579,原始经营数据!$H$3:$H$3001,$D2579,原始经营数据!$K$3:$K$3001,$G2579)&gt;1,"基金整体·来源"&amp;原始经营数据!$A2580,"基金整体")))</f>
        <v/>
      </c>
      <c r="J2579" t="str">
        <f t="shared" si="603"/>
        <v/>
      </c>
      <c r="K2579" t="str">
        <f t="shared" si="604"/>
        <v/>
      </c>
      <c r="L2579" t="str">
        <f t="shared" si="605"/>
        <v/>
      </c>
      <c r="M2579">
        <f>IF($A2579="",0,IF(COUNTIF($L$2:$L2579,$L2579)=1,1,0))</f>
        <v>0</v>
      </c>
      <c r="N2579" t="str">
        <f t="shared" si="606"/>
        <v/>
      </c>
      <c r="O2579" t="str">
        <f t="shared" si="607"/>
        <v/>
      </c>
      <c r="P2579">
        <f>IF($A2579="",0,IF(COUNTIF($O$2:$O2579,$O2579)=1,1,0))</f>
        <v>0</v>
      </c>
      <c r="Q2579" t="str">
        <f>IF(AND($P2579=1,$A2579=经营数据!$B$3,$J2579=经营数据!$BA$5),COUNTIFS($P$2:$P$3000,1,$A$2:$A$3000,$A2579,$J$2:$J$3000,$J2579,$N$2:$N$3000,"&lt;"&amp;$N2579)+1,"")</f>
        <v/>
      </c>
      <c r="R2579" t="str">
        <f t="shared" si="608"/>
        <v/>
      </c>
      <c r="S2579">
        <f>IF($A2579="",0,IF(COUNTIF($R$2:$R2579,$R2579)=1,1,0))</f>
        <v>0</v>
      </c>
      <c r="T2579" t="str">
        <f t="shared" si="609"/>
        <v/>
      </c>
      <c r="U2579" t="str">
        <f>IF($A2579="","",IF($A2579=经营数据!$B$3,COUNTIFS($S$2:$S$3000,1,$A$2:$A$3000,$A2579,$T$2:$T$3000,"&lt;"&amp;$T2579)+1,""))</f>
        <v/>
      </c>
      <c r="V2579" t="str">
        <f t="shared" si="610"/>
        <v/>
      </c>
      <c r="W2579" t="str">
        <f t="shared" si="611"/>
        <v/>
      </c>
      <c r="X2579" t="str">
        <f t="shared" si="612"/>
        <v/>
      </c>
      <c r="Y2579" t="str">
        <f t="shared" si="613"/>
        <v/>
      </c>
      <c r="Z2579">
        <f>IF($A2579="",0,IF(AND($M2579=1,$A2579=经营数据!$B$3,$J2579=经营数据!$BA$5,OR($I2579=经营数据!$BA$4,COUNTIF(经营数据!$AA$9:$AA$38,$I2579)&gt;0)),1,0))</f>
        <v>0</v>
      </c>
      <c r="AA2579" t="str">
        <f t="shared" si="614"/>
        <v/>
      </c>
      <c r="AB2579" t="str">
        <f t="shared" si="615"/>
        <v/>
      </c>
      <c r="AC2579">
        <f>IF($A2579="",0,IF(COUNTIF($A$2:$A2579,$A2579)=1,1,0))</f>
        <v>0</v>
      </c>
      <c r="AD2579">
        <f t="shared" si="616"/>
        <v>29</v>
      </c>
      <c r="AE2579" t="str">
        <f t="shared" si="617"/>
        <v/>
      </c>
    </row>
    <row r="2580" spans="1:31" x14ac:dyDescent="0.4">
      <c r="A2580" t="str">
        <f>IF(原始经营数据!$D2581="","",原始经营数据!$D2581)</f>
        <v/>
      </c>
      <c r="B2580" t="str">
        <f>IF(原始经营数据!$D2581="","",T(原始经营数据!$E2581))</f>
        <v/>
      </c>
      <c r="C2580" t="str">
        <f>IF(原始经营数据!$D2581="","",原始经营数据!$F2581)</f>
        <v/>
      </c>
      <c r="D2580" t="str">
        <f>IF(原始经营数据!$D2581="","",原始经营数据!$H2581)</f>
        <v/>
      </c>
      <c r="E2580" t="str">
        <f>IF(原始经营数据!$D2581="","",原始经营数据!$I2581)</f>
        <v/>
      </c>
      <c r="F2580" t="str">
        <f>IF(原始经营数据!$D2581="","",T(原始经营数据!$J2581))</f>
        <v/>
      </c>
      <c r="G2580" t="str">
        <f>IF(原始经营数据!$D2581="","",T(原始经营数据!$K2581))</f>
        <v/>
      </c>
      <c r="H2580" t="str">
        <f>IF(原始经营数据!$D2581="","",原始经营数据!$G2581)</f>
        <v/>
      </c>
      <c r="I2580" t="str">
        <f>IF($A2580="","",IF($B2580&lt;&gt;"",$B2580,IF(COUNTIFS(原始经营数据!$D$3:$D$3001,$A2580,原始经营数据!$E$3:$E$3001,"",原始经营数据!$F$3:$F$3001,$C2580,原始经营数据!$H$3:$H$3001,$D2580,原始经营数据!$K$3:$K$3001,$G2580)&gt;1,"基金整体·来源"&amp;原始经营数据!$A2581,"基金整体")))</f>
        <v/>
      </c>
      <c r="J2580" t="str">
        <f t="shared" si="603"/>
        <v/>
      </c>
      <c r="K2580" t="str">
        <f t="shared" si="604"/>
        <v/>
      </c>
      <c r="L2580" t="str">
        <f t="shared" si="605"/>
        <v/>
      </c>
      <c r="M2580">
        <f>IF($A2580="",0,IF(COUNTIF($L$2:$L2580,$L2580)=1,1,0))</f>
        <v>0</v>
      </c>
      <c r="N2580" t="str">
        <f t="shared" si="606"/>
        <v/>
      </c>
      <c r="O2580" t="str">
        <f t="shared" si="607"/>
        <v/>
      </c>
      <c r="P2580">
        <f>IF($A2580="",0,IF(COUNTIF($O$2:$O2580,$O2580)=1,1,0))</f>
        <v>0</v>
      </c>
      <c r="Q2580" t="str">
        <f>IF(AND($P2580=1,$A2580=经营数据!$B$3,$J2580=经营数据!$BA$5),COUNTIFS($P$2:$P$3000,1,$A$2:$A$3000,$A2580,$J$2:$J$3000,$J2580,$N$2:$N$3000,"&lt;"&amp;$N2580)+1,"")</f>
        <v/>
      </c>
      <c r="R2580" t="str">
        <f t="shared" si="608"/>
        <v/>
      </c>
      <c r="S2580">
        <f>IF($A2580="",0,IF(COUNTIF($R$2:$R2580,$R2580)=1,1,0))</f>
        <v>0</v>
      </c>
      <c r="T2580" t="str">
        <f t="shared" si="609"/>
        <v/>
      </c>
      <c r="U2580" t="str">
        <f>IF($A2580="","",IF($A2580=经营数据!$B$3,COUNTIFS($S$2:$S$3000,1,$A$2:$A$3000,$A2580,$T$2:$T$3000,"&lt;"&amp;$T2580)+1,""))</f>
        <v/>
      </c>
      <c r="V2580" t="str">
        <f t="shared" si="610"/>
        <v/>
      </c>
      <c r="W2580" t="str">
        <f t="shared" si="611"/>
        <v/>
      </c>
      <c r="X2580" t="str">
        <f t="shared" si="612"/>
        <v/>
      </c>
      <c r="Y2580" t="str">
        <f t="shared" si="613"/>
        <v/>
      </c>
      <c r="Z2580">
        <f>IF($A2580="",0,IF(AND($M2580=1,$A2580=经营数据!$B$3,$J2580=经营数据!$BA$5,OR($I2580=经营数据!$BA$4,COUNTIF(经营数据!$AA$9:$AA$38,$I2580)&gt;0)),1,0))</f>
        <v>0</v>
      </c>
      <c r="AA2580" t="str">
        <f t="shared" si="614"/>
        <v/>
      </c>
      <c r="AB2580" t="str">
        <f t="shared" si="615"/>
        <v/>
      </c>
      <c r="AC2580">
        <f>IF($A2580="",0,IF(COUNTIF($A$2:$A2580,$A2580)=1,1,0))</f>
        <v>0</v>
      </c>
      <c r="AD2580">
        <f t="shared" si="616"/>
        <v>29</v>
      </c>
      <c r="AE2580" t="str">
        <f t="shared" si="617"/>
        <v/>
      </c>
    </row>
    <row r="2581" spans="1:31" x14ac:dyDescent="0.4">
      <c r="A2581" t="str">
        <f>IF(原始经营数据!$D2582="","",原始经营数据!$D2582)</f>
        <v/>
      </c>
      <c r="B2581" t="str">
        <f>IF(原始经营数据!$D2582="","",T(原始经营数据!$E2582))</f>
        <v/>
      </c>
      <c r="C2581" t="str">
        <f>IF(原始经营数据!$D2582="","",原始经营数据!$F2582)</f>
        <v/>
      </c>
      <c r="D2581" t="str">
        <f>IF(原始经营数据!$D2582="","",原始经营数据!$H2582)</f>
        <v/>
      </c>
      <c r="E2581" t="str">
        <f>IF(原始经营数据!$D2582="","",原始经营数据!$I2582)</f>
        <v/>
      </c>
      <c r="F2581" t="str">
        <f>IF(原始经营数据!$D2582="","",T(原始经营数据!$J2582))</f>
        <v/>
      </c>
      <c r="G2581" t="str">
        <f>IF(原始经营数据!$D2582="","",T(原始经营数据!$K2582))</f>
        <v/>
      </c>
      <c r="H2581" t="str">
        <f>IF(原始经营数据!$D2582="","",原始经营数据!$G2582)</f>
        <v/>
      </c>
      <c r="I2581" t="str">
        <f>IF($A2581="","",IF($B2581&lt;&gt;"",$B2581,IF(COUNTIFS(原始经营数据!$D$3:$D$3001,$A2581,原始经营数据!$E$3:$E$3001,"",原始经营数据!$F$3:$F$3001,$C2581,原始经营数据!$H$3:$H$3001,$D2581,原始经营数据!$K$3:$K$3001,$G2581)&gt;1,"基金整体·来源"&amp;原始经营数据!$A2582,"基金整体")))</f>
        <v/>
      </c>
      <c r="J2581" t="str">
        <f t="shared" si="603"/>
        <v/>
      </c>
      <c r="K2581" t="str">
        <f t="shared" si="604"/>
        <v/>
      </c>
      <c r="L2581" t="str">
        <f t="shared" si="605"/>
        <v/>
      </c>
      <c r="M2581">
        <f>IF($A2581="",0,IF(COUNTIF($L$2:$L2581,$L2581)=1,1,0))</f>
        <v>0</v>
      </c>
      <c r="N2581" t="str">
        <f t="shared" si="606"/>
        <v/>
      </c>
      <c r="O2581" t="str">
        <f t="shared" si="607"/>
        <v/>
      </c>
      <c r="P2581">
        <f>IF($A2581="",0,IF(COUNTIF($O$2:$O2581,$O2581)=1,1,0))</f>
        <v>0</v>
      </c>
      <c r="Q2581" t="str">
        <f>IF(AND($P2581=1,$A2581=经营数据!$B$3,$J2581=经营数据!$BA$5),COUNTIFS($P$2:$P$3000,1,$A$2:$A$3000,$A2581,$J$2:$J$3000,$J2581,$N$2:$N$3000,"&lt;"&amp;$N2581)+1,"")</f>
        <v/>
      </c>
      <c r="R2581" t="str">
        <f t="shared" si="608"/>
        <v/>
      </c>
      <c r="S2581">
        <f>IF($A2581="",0,IF(COUNTIF($R$2:$R2581,$R2581)=1,1,0))</f>
        <v>0</v>
      </c>
      <c r="T2581" t="str">
        <f t="shared" si="609"/>
        <v/>
      </c>
      <c r="U2581" t="str">
        <f>IF($A2581="","",IF($A2581=经营数据!$B$3,COUNTIFS($S$2:$S$3000,1,$A$2:$A$3000,$A2581,$T$2:$T$3000,"&lt;"&amp;$T2581)+1,""))</f>
        <v/>
      </c>
      <c r="V2581" t="str">
        <f t="shared" si="610"/>
        <v/>
      </c>
      <c r="W2581" t="str">
        <f t="shared" si="611"/>
        <v/>
      </c>
      <c r="X2581" t="str">
        <f t="shared" si="612"/>
        <v/>
      </c>
      <c r="Y2581" t="str">
        <f t="shared" si="613"/>
        <v/>
      </c>
      <c r="Z2581">
        <f>IF($A2581="",0,IF(AND($M2581=1,$A2581=经营数据!$B$3,$J2581=经营数据!$BA$5,OR($I2581=经营数据!$BA$4,COUNTIF(经营数据!$AA$9:$AA$38,$I2581)&gt;0)),1,0))</f>
        <v>0</v>
      </c>
      <c r="AA2581" t="str">
        <f t="shared" si="614"/>
        <v/>
      </c>
      <c r="AB2581" t="str">
        <f t="shared" si="615"/>
        <v/>
      </c>
      <c r="AC2581">
        <f>IF($A2581="",0,IF(COUNTIF($A$2:$A2581,$A2581)=1,1,0))</f>
        <v>0</v>
      </c>
      <c r="AD2581">
        <f t="shared" si="616"/>
        <v>29</v>
      </c>
      <c r="AE2581" t="str">
        <f t="shared" si="617"/>
        <v/>
      </c>
    </row>
    <row r="2582" spans="1:31" x14ac:dyDescent="0.4">
      <c r="A2582" t="str">
        <f>IF(原始经营数据!$D2583="","",原始经营数据!$D2583)</f>
        <v/>
      </c>
      <c r="B2582" t="str">
        <f>IF(原始经营数据!$D2583="","",T(原始经营数据!$E2583))</f>
        <v/>
      </c>
      <c r="C2582" t="str">
        <f>IF(原始经营数据!$D2583="","",原始经营数据!$F2583)</f>
        <v/>
      </c>
      <c r="D2582" t="str">
        <f>IF(原始经营数据!$D2583="","",原始经营数据!$H2583)</f>
        <v/>
      </c>
      <c r="E2582" t="str">
        <f>IF(原始经营数据!$D2583="","",原始经营数据!$I2583)</f>
        <v/>
      </c>
      <c r="F2582" t="str">
        <f>IF(原始经营数据!$D2583="","",T(原始经营数据!$J2583))</f>
        <v/>
      </c>
      <c r="G2582" t="str">
        <f>IF(原始经营数据!$D2583="","",T(原始经营数据!$K2583))</f>
        <v/>
      </c>
      <c r="H2582" t="str">
        <f>IF(原始经营数据!$D2583="","",原始经营数据!$G2583)</f>
        <v/>
      </c>
      <c r="I2582" t="str">
        <f>IF($A2582="","",IF($B2582&lt;&gt;"",$B2582,IF(COUNTIFS(原始经营数据!$D$3:$D$3001,$A2582,原始经营数据!$E$3:$E$3001,"",原始经营数据!$F$3:$F$3001,$C2582,原始经营数据!$H$3:$H$3001,$D2582,原始经营数据!$K$3:$K$3001,$G2582)&gt;1,"基金整体·来源"&amp;原始经营数据!$A2583,"基金整体")))</f>
        <v/>
      </c>
      <c r="J2582" t="str">
        <f t="shared" si="603"/>
        <v/>
      </c>
      <c r="K2582" t="str">
        <f t="shared" si="604"/>
        <v/>
      </c>
      <c r="L2582" t="str">
        <f t="shared" si="605"/>
        <v/>
      </c>
      <c r="M2582">
        <f>IF($A2582="",0,IF(COUNTIF($L$2:$L2582,$L2582)=1,1,0))</f>
        <v>0</v>
      </c>
      <c r="N2582" t="str">
        <f t="shared" si="606"/>
        <v/>
      </c>
      <c r="O2582" t="str">
        <f t="shared" si="607"/>
        <v/>
      </c>
      <c r="P2582">
        <f>IF($A2582="",0,IF(COUNTIF($O$2:$O2582,$O2582)=1,1,0))</f>
        <v>0</v>
      </c>
      <c r="Q2582" t="str">
        <f>IF(AND($P2582=1,$A2582=经营数据!$B$3,$J2582=经营数据!$BA$5),COUNTIFS($P$2:$P$3000,1,$A$2:$A$3000,$A2582,$J$2:$J$3000,$J2582,$N$2:$N$3000,"&lt;"&amp;$N2582)+1,"")</f>
        <v/>
      </c>
      <c r="R2582" t="str">
        <f t="shared" si="608"/>
        <v/>
      </c>
      <c r="S2582">
        <f>IF($A2582="",0,IF(COUNTIF($R$2:$R2582,$R2582)=1,1,0))</f>
        <v>0</v>
      </c>
      <c r="T2582" t="str">
        <f t="shared" si="609"/>
        <v/>
      </c>
      <c r="U2582" t="str">
        <f>IF($A2582="","",IF($A2582=经营数据!$B$3,COUNTIFS($S$2:$S$3000,1,$A$2:$A$3000,$A2582,$T$2:$T$3000,"&lt;"&amp;$T2582)+1,""))</f>
        <v/>
      </c>
      <c r="V2582" t="str">
        <f t="shared" si="610"/>
        <v/>
      </c>
      <c r="W2582" t="str">
        <f t="shared" si="611"/>
        <v/>
      </c>
      <c r="X2582" t="str">
        <f t="shared" si="612"/>
        <v/>
      </c>
      <c r="Y2582" t="str">
        <f t="shared" si="613"/>
        <v/>
      </c>
      <c r="Z2582">
        <f>IF($A2582="",0,IF(AND($M2582=1,$A2582=经营数据!$B$3,$J2582=经营数据!$BA$5,OR($I2582=经营数据!$BA$4,COUNTIF(经营数据!$AA$9:$AA$38,$I2582)&gt;0)),1,0))</f>
        <v>0</v>
      </c>
      <c r="AA2582" t="str">
        <f t="shared" si="614"/>
        <v/>
      </c>
      <c r="AB2582" t="str">
        <f t="shared" si="615"/>
        <v/>
      </c>
      <c r="AC2582">
        <f>IF($A2582="",0,IF(COUNTIF($A$2:$A2582,$A2582)=1,1,0))</f>
        <v>0</v>
      </c>
      <c r="AD2582">
        <f t="shared" si="616"/>
        <v>29</v>
      </c>
      <c r="AE2582" t="str">
        <f t="shared" si="617"/>
        <v/>
      </c>
    </row>
    <row r="2583" spans="1:31" x14ac:dyDescent="0.4">
      <c r="A2583" t="str">
        <f>IF(原始经营数据!$D2584="","",原始经营数据!$D2584)</f>
        <v/>
      </c>
      <c r="B2583" t="str">
        <f>IF(原始经营数据!$D2584="","",T(原始经营数据!$E2584))</f>
        <v/>
      </c>
      <c r="C2583" t="str">
        <f>IF(原始经营数据!$D2584="","",原始经营数据!$F2584)</f>
        <v/>
      </c>
      <c r="D2583" t="str">
        <f>IF(原始经营数据!$D2584="","",原始经营数据!$H2584)</f>
        <v/>
      </c>
      <c r="E2583" t="str">
        <f>IF(原始经营数据!$D2584="","",原始经营数据!$I2584)</f>
        <v/>
      </c>
      <c r="F2583" t="str">
        <f>IF(原始经营数据!$D2584="","",T(原始经营数据!$J2584))</f>
        <v/>
      </c>
      <c r="G2583" t="str">
        <f>IF(原始经营数据!$D2584="","",T(原始经营数据!$K2584))</f>
        <v/>
      </c>
      <c r="H2583" t="str">
        <f>IF(原始经营数据!$D2584="","",原始经营数据!$G2584)</f>
        <v/>
      </c>
      <c r="I2583" t="str">
        <f>IF($A2583="","",IF($B2583&lt;&gt;"",$B2583,IF(COUNTIFS(原始经营数据!$D$3:$D$3001,$A2583,原始经营数据!$E$3:$E$3001,"",原始经营数据!$F$3:$F$3001,$C2583,原始经营数据!$H$3:$H$3001,$D2583,原始经营数据!$K$3:$K$3001,$G2583)&gt;1,"基金整体·来源"&amp;原始经营数据!$A2584,"基金整体")))</f>
        <v/>
      </c>
      <c r="J2583" t="str">
        <f t="shared" si="603"/>
        <v/>
      </c>
      <c r="K2583" t="str">
        <f t="shared" si="604"/>
        <v/>
      </c>
      <c r="L2583" t="str">
        <f t="shared" si="605"/>
        <v/>
      </c>
      <c r="M2583">
        <f>IF($A2583="",0,IF(COUNTIF($L$2:$L2583,$L2583)=1,1,0))</f>
        <v>0</v>
      </c>
      <c r="N2583" t="str">
        <f t="shared" si="606"/>
        <v/>
      </c>
      <c r="O2583" t="str">
        <f t="shared" si="607"/>
        <v/>
      </c>
      <c r="P2583">
        <f>IF($A2583="",0,IF(COUNTIF($O$2:$O2583,$O2583)=1,1,0))</f>
        <v>0</v>
      </c>
      <c r="Q2583" t="str">
        <f>IF(AND($P2583=1,$A2583=经营数据!$B$3,$J2583=经营数据!$BA$5),COUNTIFS($P$2:$P$3000,1,$A$2:$A$3000,$A2583,$J$2:$J$3000,$J2583,$N$2:$N$3000,"&lt;"&amp;$N2583)+1,"")</f>
        <v/>
      </c>
      <c r="R2583" t="str">
        <f t="shared" si="608"/>
        <v/>
      </c>
      <c r="S2583">
        <f>IF($A2583="",0,IF(COUNTIF($R$2:$R2583,$R2583)=1,1,0))</f>
        <v>0</v>
      </c>
      <c r="T2583" t="str">
        <f t="shared" si="609"/>
        <v/>
      </c>
      <c r="U2583" t="str">
        <f>IF($A2583="","",IF($A2583=经营数据!$B$3,COUNTIFS($S$2:$S$3000,1,$A$2:$A$3000,$A2583,$T$2:$T$3000,"&lt;"&amp;$T2583)+1,""))</f>
        <v/>
      </c>
      <c r="V2583" t="str">
        <f t="shared" si="610"/>
        <v/>
      </c>
      <c r="W2583" t="str">
        <f t="shared" si="611"/>
        <v/>
      </c>
      <c r="X2583" t="str">
        <f t="shared" si="612"/>
        <v/>
      </c>
      <c r="Y2583" t="str">
        <f t="shared" si="613"/>
        <v/>
      </c>
      <c r="Z2583">
        <f>IF($A2583="",0,IF(AND($M2583=1,$A2583=经营数据!$B$3,$J2583=经营数据!$BA$5,OR($I2583=经营数据!$BA$4,COUNTIF(经营数据!$AA$9:$AA$38,$I2583)&gt;0)),1,0))</f>
        <v>0</v>
      </c>
      <c r="AA2583" t="str">
        <f t="shared" si="614"/>
        <v/>
      </c>
      <c r="AB2583" t="str">
        <f t="shared" si="615"/>
        <v/>
      </c>
      <c r="AC2583">
        <f>IF($A2583="",0,IF(COUNTIF($A$2:$A2583,$A2583)=1,1,0))</f>
        <v>0</v>
      </c>
      <c r="AD2583">
        <f t="shared" si="616"/>
        <v>29</v>
      </c>
      <c r="AE2583" t="str">
        <f t="shared" si="617"/>
        <v/>
      </c>
    </row>
    <row r="2584" spans="1:31" x14ac:dyDescent="0.4">
      <c r="A2584" t="str">
        <f>IF(原始经营数据!$D2585="","",原始经营数据!$D2585)</f>
        <v/>
      </c>
      <c r="B2584" t="str">
        <f>IF(原始经营数据!$D2585="","",T(原始经营数据!$E2585))</f>
        <v/>
      </c>
      <c r="C2584" t="str">
        <f>IF(原始经营数据!$D2585="","",原始经营数据!$F2585)</f>
        <v/>
      </c>
      <c r="D2584" t="str">
        <f>IF(原始经营数据!$D2585="","",原始经营数据!$H2585)</f>
        <v/>
      </c>
      <c r="E2584" t="str">
        <f>IF(原始经营数据!$D2585="","",原始经营数据!$I2585)</f>
        <v/>
      </c>
      <c r="F2584" t="str">
        <f>IF(原始经营数据!$D2585="","",T(原始经营数据!$J2585))</f>
        <v/>
      </c>
      <c r="G2584" t="str">
        <f>IF(原始经营数据!$D2585="","",T(原始经营数据!$K2585))</f>
        <v/>
      </c>
      <c r="H2584" t="str">
        <f>IF(原始经营数据!$D2585="","",原始经营数据!$G2585)</f>
        <v/>
      </c>
      <c r="I2584" t="str">
        <f>IF($A2584="","",IF($B2584&lt;&gt;"",$B2584,IF(COUNTIFS(原始经营数据!$D$3:$D$3001,$A2584,原始经营数据!$E$3:$E$3001,"",原始经营数据!$F$3:$F$3001,$C2584,原始经营数据!$H$3:$H$3001,$D2584,原始经营数据!$K$3:$K$3001,$G2584)&gt;1,"基金整体·来源"&amp;原始经营数据!$A2585,"基金整体")))</f>
        <v/>
      </c>
      <c r="J2584" t="str">
        <f t="shared" si="603"/>
        <v/>
      </c>
      <c r="K2584" t="str">
        <f t="shared" si="604"/>
        <v/>
      </c>
      <c r="L2584" t="str">
        <f t="shared" si="605"/>
        <v/>
      </c>
      <c r="M2584">
        <f>IF($A2584="",0,IF(COUNTIF($L$2:$L2584,$L2584)=1,1,0))</f>
        <v>0</v>
      </c>
      <c r="N2584" t="str">
        <f t="shared" si="606"/>
        <v/>
      </c>
      <c r="O2584" t="str">
        <f t="shared" si="607"/>
        <v/>
      </c>
      <c r="P2584">
        <f>IF($A2584="",0,IF(COUNTIF($O$2:$O2584,$O2584)=1,1,0))</f>
        <v>0</v>
      </c>
      <c r="Q2584" t="str">
        <f>IF(AND($P2584=1,$A2584=经营数据!$B$3,$J2584=经营数据!$BA$5),COUNTIFS($P$2:$P$3000,1,$A$2:$A$3000,$A2584,$J$2:$J$3000,$J2584,$N$2:$N$3000,"&lt;"&amp;$N2584)+1,"")</f>
        <v/>
      </c>
      <c r="R2584" t="str">
        <f t="shared" si="608"/>
        <v/>
      </c>
      <c r="S2584">
        <f>IF($A2584="",0,IF(COUNTIF($R$2:$R2584,$R2584)=1,1,0))</f>
        <v>0</v>
      </c>
      <c r="T2584" t="str">
        <f t="shared" si="609"/>
        <v/>
      </c>
      <c r="U2584" t="str">
        <f>IF($A2584="","",IF($A2584=经营数据!$B$3,COUNTIFS($S$2:$S$3000,1,$A$2:$A$3000,$A2584,$T$2:$T$3000,"&lt;"&amp;$T2584)+1,""))</f>
        <v/>
      </c>
      <c r="V2584" t="str">
        <f t="shared" si="610"/>
        <v/>
      </c>
      <c r="W2584" t="str">
        <f t="shared" si="611"/>
        <v/>
      </c>
      <c r="X2584" t="str">
        <f t="shared" si="612"/>
        <v/>
      </c>
      <c r="Y2584" t="str">
        <f t="shared" si="613"/>
        <v/>
      </c>
      <c r="Z2584">
        <f>IF($A2584="",0,IF(AND($M2584=1,$A2584=经营数据!$B$3,$J2584=经营数据!$BA$5,OR($I2584=经营数据!$BA$4,COUNTIF(经营数据!$AA$9:$AA$38,$I2584)&gt;0)),1,0))</f>
        <v>0</v>
      </c>
      <c r="AA2584" t="str">
        <f t="shared" si="614"/>
        <v/>
      </c>
      <c r="AB2584" t="str">
        <f t="shared" si="615"/>
        <v/>
      </c>
      <c r="AC2584">
        <f>IF($A2584="",0,IF(COUNTIF($A$2:$A2584,$A2584)=1,1,0))</f>
        <v>0</v>
      </c>
      <c r="AD2584">
        <f t="shared" si="616"/>
        <v>29</v>
      </c>
      <c r="AE2584" t="str">
        <f t="shared" si="617"/>
        <v/>
      </c>
    </row>
    <row r="2585" spans="1:31" x14ac:dyDescent="0.4">
      <c r="A2585" t="str">
        <f>IF(原始经营数据!$D2586="","",原始经营数据!$D2586)</f>
        <v/>
      </c>
      <c r="B2585" t="str">
        <f>IF(原始经营数据!$D2586="","",T(原始经营数据!$E2586))</f>
        <v/>
      </c>
      <c r="C2585" t="str">
        <f>IF(原始经营数据!$D2586="","",原始经营数据!$F2586)</f>
        <v/>
      </c>
      <c r="D2585" t="str">
        <f>IF(原始经营数据!$D2586="","",原始经营数据!$H2586)</f>
        <v/>
      </c>
      <c r="E2585" t="str">
        <f>IF(原始经营数据!$D2586="","",原始经营数据!$I2586)</f>
        <v/>
      </c>
      <c r="F2585" t="str">
        <f>IF(原始经营数据!$D2586="","",T(原始经营数据!$J2586))</f>
        <v/>
      </c>
      <c r="G2585" t="str">
        <f>IF(原始经营数据!$D2586="","",T(原始经营数据!$K2586))</f>
        <v/>
      </c>
      <c r="H2585" t="str">
        <f>IF(原始经营数据!$D2586="","",原始经营数据!$G2586)</f>
        <v/>
      </c>
      <c r="I2585" t="str">
        <f>IF($A2585="","",IF($B2585&lt;&gt;"",$B2585,IF(COUNTIFS(原始经营数据!$D$3:$D$3001,$A2585,原始经营数据!$E$3:$E$3001,"",原始经营数据!$F$3:$F$3001,$C2585,原始经营数据!$H$3:$H$3001,$D2585,原始经营数据!$K$3:$K$3001,$G2585)&gt;1,"基金整体·来源"&amp;原始经营数据!$A2586,"基金整体")))</f>
        <v/>
      </c>
      <c r="J2585" t="str">
        <f t="shared" si="603"/>
        <v/>
      </c>
      <c r="K2585" t="str">
        <f t="shared" si="604"/>
        <v/>
      </c>
      <c r="L2585" t="str">
        <f t="shared" si="605"/>
        <v/>
      </c>
      <c r="M2585">
        <f>IF($A2585="",0,IF(COUNTIF($L$2:$L2585,$L2585)=1,1,0))</f>
        <v>0</v>
      </c>
      <c r="N2585" t="str">
        <f t="shared" si="606"/>
        <v/>
      </c>
      <c r="O2585" t="str">
        <f t="shared" si="607"/>
        <v/>
      </c>
      <c r="P2585">
        <f>IF($A2585="",0,IF(COUNTIF($O$2:$O2585,$O2585)=1,1,0))</f>
        <v>0</v>
      </c>
      <c r="Q2585" t="str">
        <f>IF(AND($P2585=1,$A2585=经营数据!$B$3,$J2585=经营数据!$BA$5),COUNTIFS($P$2:$P$3000,1,$A$2:$A$3000,$A2585,$J$2:$J$3000,$J2585,$N$2:$N$3000,"&lt;"&amp;$N2585)+1,"")</f>
        <v/>
      </c>
      <c r="R2585" t="str">
        <f t="shared" si="608"/>
        <v/>
      </c>
      <c r="S2585">
        <f>IF($A2585="",0,IF(COUNTIF($R$2:$R2585,$R2585)=1,1,0))</f>
        <v>0</v>
      </c>
      <c r="T2585" t="str">
        <f t="shared" si="609"/>
        <v/>
      </c>
      <c r="U2585" t="str">
        <f>IF($A2585="","",IF($A2585=经营数据!$B$3,COUNTIFS($S$2:$S$3000,1,$A$2:$A$3000,$A2585,$T$2:$T$3000,"&lt;"&amp;$T2585)+1,""))</f>
        <v/>
      </c>
      <c r="V2585" t="str">
        <f t="shared" si="610"/>
        <v/>
      </c>
      <c r="W2585" t="str">
        <f t="shared" si="611"/>
        <v/>
      </c>
      <c r="X2585" t="str">
        <f t="shared" si="612"/>
        <v/>
      </c>
      <c r="Y2585" t="str">
        <f t="shared" si="613"/>
        <v/>
      </c>
      <c r="Z2585">
        <f>IF($A2585="",0,IF(AND($M2585=1,$A2585=经营数据!$B$3,$J2585=经营数据!$BA$5,OR($I2585=经营数据!$BA$4,COUNTIF(经营数据!$AA$9:$AA$38,$I2585)&gt;0)),1,0))</f>
        <v>0</v>
      </c>
      <c r="AA2585" t="str">
        <f t="shared" si="614"/>
        <v/>
      </c>
      <c r="AB2585" t="str">
        <f t="shared" si="615"/>
        <v/>
      </c>
      <c r="AC2585">
        <f>IF($A2585="",0,IF(COUNTIF($A$2:$A2585,$A2585)=1,1,0))</f>
        <v>0</v>
      </c>
      <c r="AD2585">
        <f t="shared" si="616"/>
        <v>29</v>
      </c>
      <c r="AE2585" t="str">
        <f t="shared" si="617"/>
        <v/>
      </c>
    </row>
    <row r="2586" spans="1:31" x14ac:dyDescent="0.4">
      <c r="A2586" t="str">
        <f>IF(原始经营数据!$D2587="","",原始经营数据!$D2587)</f>
        <v/>
      </c>
      <c r="B2586" t="str">
        <f>IF(原始经营数据!$D2587="","",T(原始经营数据!$E2587))</f>
        <v/>
      </c>
      <c r="C2586" t="str">
        <f>IF(原始经营数据!$D2587="","",原始经营数据!$F2587)</f>
        <v/>
      </c>
      <c r="D2586" t="str">
        <f>IF(原始经营数据!$D2587="","",原始经营数据!$H2587)</f>
        <v/>
      </c>
      <c r="E2586" t="str">
        <f>IF(原始经营数据!$D2587="","",原始经营数据!$I2587)</f>
        <v/>
      </c>
      <c r="F2586" t="str">
        <f>IF(原始经营数据!$D2587="","",T(原始经营数据!$J2587))</f>
        <v/>
      </c>
      <c r="G2586" t="str">
        <f>IF(原始经营数据!$D2587="","",T(原始经营数据!$K2587))</f>
        <v/>
      </c>
      <c r="H2586" t="str">
        <f>IF(原始经营数据!$D2587="","",原始经营数据!$G2587)</f>
        <v/>
      </c>
      <c r="I2586" t="str">
        <f>IF($A2586="","",IF($B2586&lt;&gt;"",$B2586,IF(COUNTIFS(原始经营数据!$D$3:$D$3001,$A2586,原始经营数据!$E$3:$E$3001,"",原始经营数据!$F$3:$F$3001,$C2586,原始经营数据!$H$3:$H$3001,$D2586,原始经营数据!$K$3:$K$3001,$G2586)&gt;1,"基金整体·来源"&amp;原始经营数据!$A2587,"基金整体")))</f>
        <v/>
      </c>
      <c r="J2586" t="str">
        <f t="shared" si="603"/>
        <v/>
      </c>
      <c r="K2586" t="str">
        <f t="shared" si="604"/>
        <v/>
      </c>
      <c r="L2586" t="str">
        <f t="shared" si="605"/>
        <v/>
      </c>
      <c r="M2586">
        <f>IF($A2586="",0,IF(COUNTIF($L$2:$L2586,$L2586)=1,1,0))</f>
        <v>0</v>
      </c>
      <c r="N2586" t="str">
        <f t="shared" si="606"/>
        <v/>
      </c>
      <c r="O2586" t="str">
        <f t="shared" si="607"/>
        <v/>
      </c>
      <c r="P2586">
        <f>IF($A2586="",0,IF(COUNTIF($O$2:$O2586,$O2586)=1,1,0))</f>
        <v>0</v>
      </c>
      <c r="Q2586" t="str">
        <f>IF(AND($P2586=1,$A2586=经营数据!$B$3,$J2586=经营数据!$BA$5),COUNTIFS($P$2:$P$3000,1,$A$2:$A$3000,$A2586,$J$2:$J$3000,$J2586,$N$2:$N$3000,"&lt;"&amp;$N2586)+1,"")</f>
        <v/>
      </c>
      <c r="R2586" t="str">
        <f t="shared" si="608"/>
        <v/>
      </c>
      <c r="S2586">
        <f>IF($A2586="",0,IF(COUNTIF($R$2:$R2586,$R2586)=1,1,0))</f>
        <v>0</v>
      </c>
      <c r="T2586" t="str">
        <f t="shared" si="609"/>
        <v/>
      </c>
      <c r="U2586" t="str">
        <f>IF($A2586="","",IF($A2586=经营数据!$B$3,COUNTIFS($S$2:$S$3000,1,$A$2:$A$3000,$A2586,$T$2:$T$3000,"&lt;"&amp;$T2586)+1,""))</f>
        <v/>
      </c>
      <c r="V2586" t="str">
        <f t="shared" si="610"/>
        <v/>
      </c>
      <c r="W2586" t="str">
        <f t="shared" si="611"/>
        <v/>
      </c>
      <c r="X2586" t="str">
        <f t="shared" si="612"/>
        <v/>
      </c>
      <c r="Y2586" t="str">
        <f t="shared" si="613"/>
        <v/>
      </c>
      <c r="Z2586">
        <f>IF($A2586="",0,IF(AND($M2586=1,$A2586=经营数据!$B$3,$J2586=经营数据!$BA$5,OR($I2586=经营数据!$BA$4,COUNTIF(经营数据!$AA$9:$AA$38,$I2586)&gt;0)),1,0))</f>
        <v>0</v>
      </c>
      <c r="AA2586" t="str">
        <f t="shared" si="614"/>
        <v/>
      </c>
      <c r="AB2586" t="str">
        <f t="shared" si="615"/>
        <v/>
      </c>
      <c r="AC2586">
        <f>IF($A2586="",0,IF(COUNTIF($A$2:$A2586,$A2586)=1,1,0))</f>
        <v>0</v>
      </c>
      <c r="AD2586">
        <f t="shared" si="616"/>
        <v>29</v>
      </c>
      <c r="AE2586" t="str">
        <f t="shared" si="617"/>
        <v/>
      </c>
    </row>
    <row r="2587" spans="1:31" x14ac:dyDescent="0.4">
      <c r="A2587" t="str">
        <f>IF(原始经营数据!$D2588="","",原始经营数据!$D2588)</f>
        <v/>
      </c>
      <c r="B2587" t="str">
        <f>IF(原始经营数据!$D2588="","",T(原始经营数据!$E2588))</f>
        <v/>
      </c>
      <c r="C2587" t="str">
        <f>IF(原始经营数据!$D2588="","",原始经营数据!$F2588)</f>
        <v/>
      </c>
      <c r="D2587" t="str">
        <f>IF(原始经营数据!$D2588="","",原始经营数据!$H2588)</f>
        <v/>
      </c>
      <c r="E2587" t="str">
        <f>IF(原始经营数据!$D2588="","",原始经营数据!$I2588)</f>
        <v/>
      </c>
      <c r="F2587" t="str">
        <f>IF(原始经营数据!$D2588="","",T(原始经营数据!$J2588))</f>
        <v/>
      </c>
      <c r="G2587" t="str">
        <f>IF(原始经营数据!$D2588="","",T(原始经营数据!$K2588))</f>
        <v/>
      </c>
      <c r="H2587" t="str">
        <f>IF(原始经营数据!$D2588="","",原始经营数据!$G2588)</f>
        <v/>
      </c>
      <c r="I2587" t="str">
        <f>IF($A2587="","",IF($B2587&lt;&gt;"",$B2587,IF(COUNTIFS(原始经营数据!$D$3:$D$3001,$A2587,原始经营数据!$E$3:$E$3001,"",原始经营数据!$F$3:$F$3001,$C2587,原始经营数据!$H$3:$H$3001,$D2587,原始经营数据!$K$3:$K$3001,$G2587)&gt;1,"基金整体·来源"&amp;原始经营数据!$A2588,"基金整体")))</f>
        <v/>
      </c>
      <c r="J2587" t="str">
        <f t="shared" si="603"/>
        <v/>
      </c>
      <c r="K2587" t="str">
        <f t="shared" si="604"/>
        <v/>
      </c>
      <c r="L2587" t="str">
        <f t="shared" si="605"/>
        <v/>
      </c>
      <c r="M2587">
        <f>IF($A2587="",0,IF(COUNTIF($L$2:$L2587,$L2587)=1,1,0))</f>
        <v>0</v>
      </c>
      <c r="N2587" t="str">
        <f t="shared" si="606"/>
        <v/>
      </c>
      <c r="O2587" t="str">
        <f t="shared" si="607"/>
        <v/>
      </c>
      <c r="P2587">
        <f>IF($A2587="",0,IF(COUNTIF($O$2:$O2587,$O2587)=1,1,0))</f>
        <v>0</v>
      </c>
      <c r="Q2587" t="str">
        <f>IF(AND($P2587=1,$A2587=经营数据!$B$3,$J2587=经营数据!$BA$5),COUNTIFS($P$2:$P$3000,1,$A$2:$A$3000,$A2587,$J$2:$J$3000,$J2587,$N$2:$N$3000,"&lt;"&amp;$N2587)+1,"")</f>
        <v/>
      </c>
      <c r="R2587" t="str">
        <f t="shared" si="608"/>
        <v/>
      </c>
      <c r="S2587">
        <f>IF($A2587="",0,IF(COUNTIF($R$2:$R2587,$R2587)=1,1,0))</f>
        <v>0</v>
      </c>
      <c r="T2587" t="str">
        <f t="shared" si="609"/>
        <v/>
      </c>
      <c r="U2587" t="str">
        <f>IF($A2587="","",IF($A2587=经营数据!$B$3,COUNTIFS($S$2:$S$3000,1,$A$2:$A$3000,$A2587,$T$2:$T$3000,"&lt;"&amp;$T2587)+1,""))</f>
        <v/>
      </c>
      <c r="V2587" t="str">
        <f t="shared" si="610"/>
        <v/>
      </c>
      <c r="W2587" t="str">
        <f t="shared" si="611"/>
        <v/>
      </c>
      <c r="X2587" t="str">
        <f t="shared" si="612"/>
        <v/>
      </c>
      <c r="Y2587" t="str">
        <f t="shared" si="613"/>
        <v/>
      </c>
      <c r="Z2587">
        <f>IF($A2587="",0,IF(AND($M2587=1,$A2587=经营数据!$B$3,$J2587=经营数据!$BA$5,OR($I2587=经营数据!$BA$4,COUNTIF(经营数据!$AA$9:$AA$38,$I2587)&gt;0)),1,0))</f>
        <v>0</v>
      </c>
      <c r="AA2587" t="str">
        <f t="shared" si="614"/>
        <v/>
      </c>
      <c r="AB2587" t="str">
        <f t="shared" si="615"/>
        <v/>
      </c>
      <c r="AC2587">
        <f>IF($A2587="",0,IF(COUNTIF($A$2:$A2587,$A2587)=1,1,0))</f>
        <v>0</v>
      </c>
      <c r="AD2587">
        <f t="shared" si="616"/>
        <v>29</v>
      </c>
      <c r="AE2587" t="str">
        <f t="shared" si="617"/>
        <v/>
      </c>
    </row>
    <row r="2588" spans="1:31" x14ac:dyDescent="0.4">
      <c r="A2588" t="str">
        <f>IF(原始经营数据!$D2589="","",原始经营数据!$D2589)</f>
        <v/>
      </c>
      <c r="B2588" t="str">
        <f>IF(原始经营数据!$D2589="","",T(原始经营数据!$E2589))</f>
        <v/>
      </c>
      <c r="C2588" t="str">
        <f>IF(原始经营数据!$D2589="","",原始经营数据!$F2589)</f>
        <v/>
      </c>
      <c r="D2588" t="str">
        <f>IF(原始经营数据!$D2589="","",原始经营数据!$H2589)</f>
        <v/>
      </c>
      <c r="E2588" t="str">
        <f>IF(原始经营数据!$D2589="","",原始经营数据!$I2589)</f>
        <v/>
      </c>
      <c r="F2588" t="str">
        <f>IF(原始经营数据!$D2589="","",T(原始经营数据!$J2589))</f>
        <v/>
      </c>
      <c r="G2588" t="str">
        <f>IF(原始经营数据!$D2589="","",T(原始经营数据!$K2589))</f>
        <v/>
      </c>
      <c r="H2588" t="str">
        <f>IF(原始经营数据!$D2589="","",原始经营数据!$G2589)</f>
        <v/>
      </c>
      <c r="I2588" t="str">
        <f>IF($A2588="","",IF($B2588&lt;&gt;"",$B2588,IF(COUNTIFS(原始经营数据!$D$3:$D$3001,$A2588,原始经营数据!$E$3:$E$3001,"",原始经营数据!$F$3:$F$3001,$C2588,原始经营数据!$H$3:$H$3001,$D2588,原始经营数据!$K$3:$K$3001,$G2588)&gt;1,"基金整体·来源"&amp;原始经营数据!$A2589,"基金整体")))</f>
        <v/>
      </c>
      <c r="J2588" t="str">
        <f t="shared" si="603"/>
        <v/>
      </c>
      <c r="K2588" t="str">
        <f t="shared" si="604"/>
        <v/>
      </c>
      <c r="L2588" t="str">
        <f t="shared" si="605"/>
        <v/>
      </c>
      <c r="M2588">
        <f>IF($A2588="",0,IF(COUNTIF($L$2:$L2588,$L2588)=1,1,0))</f>
        <v>0</v>
      </c>
      <c r="N2588" t="str">
        <f t="shared" si="606"/>
        <v/>
      </c>
      <c r="O2588" t="str">
        <f t="shared" si="607"/>
        <v/>
      </c>
      <c r="P2588">
        <f>IF($A2588="",0,IF(COUNTIF($O$2:$O2588,$O2588)=1,1,0))</f>
        <v>0</v>
      </c>
      <c r="Q2588" t="str">
        <f>IF(AND($P2588=1,$A2588=经营数据!$B$3,$J2588=经营数据!$BA$5),COUNTIFS($P$2:$P$3000,1,$A$2:$A$3000,$A2588,$J$2:$J$3000,$J2588,$N$2:$N$3000,"&lt;"&amp;$N2588)+1,"")</f>
        <v/>
      </c>
      <c r="R2588" t="str">
        <f t="shared" si="608"/>
        <v/>
      </c>
      <c r="S2588">
        <f>IF($A2588="",0,IF(COUNTIF($R$2:$R2588,$R2588)=1,1,0))</f>
        <v>0</v>
      </c>
      <c r="T2588" t="str">
        <f t="shared" si="609"/>
        <v/>
      </c>
      <c r="U2588" t="str">
        <f>IF($A2588="","",IF($A2588=经营数据!$B$3,COUNTIFS($S$2:$S$3000,1,$A$2:$A$3000,$A2588,$T$2:$T$3000,"&lt;"&amp;$T2588)+1,""))</f>
        <v/>
      </c>
      <c r="V2588" t="str">
        <f t="shared" si="610"/>
        <v/>
      </c>
      <c r="W2588" t="str">
        <f t="shared" si="611"/>
        <v/>
      </c>
      <c r="X2588" t="str">
        <f t="shared" si="612"/>
        <v/>
      </c>
      <c r="Y2588" t="str">
        <f t="shared" si="613"/>
        <v/>
      </c>
      <c r="Z2588">
        <f>IF($A2588="",0,IF(AND($M2588=1,$A2588=经营数据!$B$3,$J2588=经营数据!$BA$5,OR($I2588=经营数据!$BA$4,COUNTIF(经营数据!$AA$9:$AA$38,$I2588)&gt;0)),1,0))</f>
        <v>0</v>
      </c>
      <c r="AA2588" t="str">
        <f t="shared" si="614"/>
        <v/>
      </c>
      <c r="AB2588" t="str">
        <f t="shared" si="615"/>
        <v/>
      </c>
      <c r="AC2588">
        <f>IF($A2588="",0,IF(COUNTIF($A$2:$A2588,$A2588)=1,1,0))</f>
        <v>0</v>
      </c>
      <c r="AD2588">
        <f t="shared" si="616"/>
        <v>29</v>
      </c>
      <c r="AE2588" t="str">
        <f t="shared" si="617"/>
        <v/>
      </c>
    </row>
    <row r="2589" spans="1:31" x14ac:dyDescent="0.4">
      <c r="A2589" t="str">
        <f>IF(原始经营数据!$D2590="","",原始经营数据!$D2590)</f>
        <v/>
      </c>
      <c r="B2589" t="str">
        <f>IF(原始经营数据!$D2590="","",T(原始经营数据!$E2590))</f>
        <v/>
      </c>
      <c r="C2589" t="str">
        <f>IF(原始经营数据!$D2590="","",原始经营数据!$F2590)</f>
        <v/>
      </c>
      <c r="D2589" t="str">
        <f>IF(原始经营数据!$D2590="","",原始经营数据!$H2590)</f>
        <v/>
      </c>
      <c r="E2589" t="str">
        <f>IF(原始经营数据!$D2590="","",原始经营数据!$I2590)</f>
        <v/>
      </c>
      <c r="F2589" t="str">
        <f>IF(原始经营数据!$D2590="","",T(原始经营数据!$J2590))</f>
        <v/>
      </c>
      <c r="G2589" t="str">
        <f>IF(原始经营数据!$D2590="","",T(原始经营数据!$K2590))</f>
        <v/>
      </c>
      <c r="H2589" t="str">
        <f>IF(原始经营数据!$D2590="","",原始经营数据!$G2590)</f>
        <v/>
      </c>
      <c r="I2589" t="str">
        <f>IF($A2589="","",IF($B2589&lt;&gt;"",$B2589,IF(COUNTIFS(原始经营数据!$D$3:$D$3001,$A2589,原始经营数据!$E$3:$E$3001,"",原始经营数据!$F$3:$F$3001,$C2589,原始经营数据!$H$3:$H$3001,$D2589,原始经营数据!$K$3:$K$3001,$G2589)&gt;1,"基金整体·来源"&amp;原始经营数据!$A2590,"基金整体")))</f>
        <v/>
      </c>
      <c r="J2589" t="str">
        <f t="shared" si="603"/>
        <v/>
      </c>
      <c r="K2589" t="str">
        <f t="shared" si="604"/>
        <v/>
      </c>
      <c r="L2589" t="str">
        <f t="shared" si="605"/>
        <v/>
      </c>
      <c r="M2589">
        <f>IF($A2589="",0,IF(COUNTIF($L$2:$L2589,$L2589)=1,1,0))</f>
        <v>0</v>
      </c>
      <c r="N2589" t="str">
        <f t="shared" si="606"/>
        <v/>
      </c>
      <c r="O2589" t="str">
        <f t="shared" si="607"/>
        <v/>
      </c>
      <c r="P2589">
        <f>IF($A2589="",0,IF(COUNTIF($O$2:$O2589,$O2589)=1,1,0))</f>
        <v>0</v>
      </c>
      <c r="Q2589" t="str">
        <f>IF(AND($P2589=1,$A2589=经营数据!$B$3,$J2589=经营数据!$BA$5),COUNTIFS($P$2:$P$3000,1,$A$2:$A$3000,$A2589,$J$2:$J$3000,$J2589,$N$2:$N$3000,"&lt;"&amp;$N2589)+1,"")</f>
        <v/>
      </c>
      <c r="R2589" t="str">
        <f t="shared" si="608"/>
        <v/>
      </c>
      <c r="S2589">
        <f>IF($A2589="",0,IF(COUNTIF($R$2:$R2589,$R2589)=1,1,0))</f>
        <v>0</v>
      </c>
      <c r="T2589" t="str">
        <f t="shared" si="609"/>
        <v/>
      </c>
      <c r="U2589" t="str">
        <f>IF($A2589="","",IF($A2589=经营数据!$B$3,COUNTIFS($S$2:$S$3000,1,$A$2:$A$3000,$A2589,$T$2:$T$3000,"&lt;"&amp;$T2589)+1,""))</f>
        <v/>
      </c>
      <c r="V2589" t="str">
        <f t="shared" si="610"/>
        <v/>
      </c>
      <c r="W2589" t="str">
        <f t="shared" si="611"/>
        <v/>
      </c>
      <c r="X2589" t="str">
        <f t="shared" si="612"/>
        <v/>
      </c>
      <c r="Y2589" t="str">
        <f t="shared" si="613"/>
        <v/>
      </c>
      <c r="Z2589">
        <f>IF($A2589="",0,IF(AND($M2589=1,$A2589=经营数据!$B$3,$J2589=经营数据!$BA$5,OR($I2589=经营数据!$BA$4,COUNTIF(经营数据!$AA$9:$AA$38,$I2589)&gt;0)),1,0))</f>
        <v>0</v>
      </c>
      <c r="AA2589" t="str">
        <f t="shared" si="614"/>
        <v/>
      </c>
      <c r="AB2589" t="str">
        <f t="shared" si="615"/>
        <v/>
      </c>
      <c r="AC2589">
        <f>IF($A2589="",0,IF(COUNTIF($A$2:$A2589,$A2589)=1,1,0))</f>
        <v>0</v>
      </c>
      <c r="AD2589">
        <f t="shared" si="616"/>
        <v>29</v>
      </c>
      <c r="AE2589" t="str">
        <f t="shared" si="617"/>
        <v/>
      </c>
    </row>
    <row r="2590" spans="1:31" x14ac:dyDescent="0.4">
      <c r="A2590" t="str">
        <f>IF(原始经营数据!$D2591="","",原始经营数据!$D2591)</f>
        <v/>
      </c>
      <c r="B2590" t="str">
        <f>IF(原始经营数据!$D2591="","",T(原始经营数据!$E2591))</f>
        <v/>
      </c>
      <c r="C2590" t="str">
        <f>IF(原始经营数据!$D2591="","",原始经营数据!$F2591)</f>
        <v/>
      </c>
      <c r="D2590" t="str">
        <f>IF(原始经营数据!$D2591="","",原始经营数据!$H2591)</f>
        <v/>
      </c>
      <c r="E2590" t="str">
        <f>IF(原始经营数据!$D2591="","",原始经营数据!$I2591)</f>
        <v/>
      </c>
      <c r="F2590" t="str">
        <f>IF(原始经营数据!$D2591="","",T(原始经营数据!$J2591))</f>
        <v/>
      </c>
      <c r="G2590" t="str">
        <f>IF(原始经营数据!$D2591="","",T(原始经营数据!$K2591))</f>
        <v/>
      </c>
      <c r="H2590" t="str">
        <f>IF(原始经营数据!$D2591="","",原始经营数据!$G2591)</f>
        <v/>
      </c>
      <c r="I2590" t="str">
        <f>IF($A2590="","",IF($B2590&lt;&gt;"",$B2590,IF(COUNTIFS(原始经营数据!$D$3:$D$3001,$A2590,原始经营数据!$E$3:$E$3001,"",原始经营数据!$F$3:$F$3001,$C2590,原始经营数据!$H$3:$H$3001,$D2590,原始经营数据!$K$3:$K$3001,$G2590)&gt;1,"基金整体·来源"&amp;原始经营数据!$A2591,"基金整体")))</f>
        <v/>
      </c>
      <c r="J2590" t="str">
        <f t="shared" si="603"/>
        <v/>
      </c>
      <c r="K2590" t="str">
        <f t="shared" si="604"/>
        <v/>
      </c>
      <c r="L2590" t="str">
        <f t="shared" si="605"/>
        <v/>
      </c>
      <c r="M2590">
        <f>IF($A2590="",0,IF(COUNTIF($L$2:$L2590,$L2590)=1,1,0))</f>
        <v>0</v>
      </c>
      <c r="N2590" t="str">
        <f t="shared" si="606"/>
        <v/>
      </c>
      <c r="O2590" t="str">
        <f t="shared" si="607"/>
        <v/>
      </c>
      <c r="P2590">
        <f>IF($A2590="",0,IF(COUNTIF($O$2:$O2590,$O2590)=1,1,0))</f>
        <v>0</v>
      </c>
      <c r="Q2590" t="str">
        <f>IF(AND($P2590=1,$A2590=经营数据!$B$3,$J2590=经营数据!$BA$5),COUNTIFS($P$2:$P$3000,1,$A$2:$A$3000,$A2590,$J$2:$J$3000,$J2590,$N$2:$N$3000,"&lt;"&amp;$N2590)+1,"")</f>
        <v/>
      </c>
      <c r="R2590" t="str">
        <f t="shared" si="608"/>
        <v/>
      </c>
      <c r="S2590">
        <f>IF($A2590="",0,IF(COUNTIF($R$2:$R2590,$R2590)=1,1,0))</f>
        <v>0</v>
      </c>
      <c r="T2590" t="str">
        <f t="shared" si="609"/>
        <v/>
      </c>
      <c r="U2590" t="str">
        <f>IF($A2590="","",IF($A2590=经营数据!$B$3,COUNTIFS($S$2:$S$3000,1,$A$2:$A$3000,$A2590,$T$2:$T$3000,"&lt;"&amp;$T2590)+1,""))</f>
        <v/>
      </c>
      <c r="V2590" t="str">
        <f t="shared" si="610"/>
        <v/>
      </c>
      <c r="W2590" t="str">
        <f t="shared" si="611"/>
        <v/>
      </c>
      <c r="X2590" t="str">
        <f t="shared" si="612"/>
        <v/>
      </c>
      <c r="Y2590" t="str">
        <f t="shared" si="613"/>
        <v/>
      </c>
      <c r="Z2590">
        <f>IF($A2590="",0,IF(AND($M2590=1,$A2590=经营数据!$B$3,$J2590=经营数据!$BA$5,OR($I2590=经营数据!$BA$4,COUNTIF(经营数据!$AA$9:$AA$38,$I2590)&gt;0)),1,0))</f>
        <v>0</v>
      </c>
      <c r="AA2590" t="str">
        <f t="shared" si="614"/>
        <v/>
      </c>
      <c r="AB2590" t="str">
        <f t="shared" si="615"/>
        <v/>
      </c>
      <c r="AC2590">
        <f>IF($A2590="",0,IF(COUNTIF($A$2:$A2590,$A2590)=1,1,0))</f>
        <v>0</v>
      </c>
      <c r="AD2590">
        <f t="shared" si="616"/>
        <v>29</v>
      </c>
      <c r="AE2590" t="str">
        <f t="shared" si="617"/>
        <v/>
      </c>
    </row>
    <row r="2591" spans="1:31" x14ac:dyDescent="0.4">
      <c r="A2591" t="str">
        <f>IF(原始经营数据!$D2592="","",原始经营数据!$D2592)</f>
        <v/>
      </c>
      <c r="B2591" t="str">
        <f>IF(原始经营数据!$D2592="","",T(原始经营数据!$E2592))</f>
        <v/>
      </c>
      <c r="C2591" t="str">
        <f>IF(原始经营数据!$D2592="","",原始经营数据!$F2592)</f>
        <v/>
      </c>
      <c r="D2591" t="str">
        <f>IF(原始经营数据!$D2592="","",原始经营数据!$H2592)</f>
        <v/>
      </c>
      <c r="E2591" t="str">
        <f>IF(原始经营数据!$D2592="","",原始经营数据!$I2592)</f>
        <v/>
      </c>
      <c r="F2591" t="str">
        <f>IF(原始经营数据!$D2592="","",T(原始经营数据!$J2592))</f>
        <v/>
      </c>
      <c r="G2591" t="str">
        <f>IF(原始经营数据!$D2592="","",T(原始经营数据!$K2592))</f>
        <v/>
      </c>
      <c r="H2591" t="str">
        <f>IF(原始经营数据!$D2592="","",原始经营数据!$G2592)</f>
        <v/>
      </c>
      <c r="I2591" t="str">
        <f>IF($A2591="","",IF($B2591&lt;&gt;"",$B2591,IF(COUNTIFS(原始经营数据!$D$3:$D$3001,$A2591,原始经营数据!$E$3:$E$3001,"",原始经营数据!$F$3:$F$3001,$C2591,原始经营数据!$H$3:$H$3001,$D2591,原始经营数据!$K$3:$K$3001,$G2591)&gt;1,"基金整体·来源"&amp;原始经营数据!$A2592,"基金整体")))</f>
        <v/>
      </c>
      <c r="J2591" t="str">
        <f t="shared" si="603"/>
        <v/>
      </c>
      <c r="K2591" t="str">
        <f t="shared" si="604"/>
        <v/>
      </c>
      <c r="L2591" t="str">
        <f t="shared" si="605"/>
        <v/>
      </c>
      <c r="M2591">
        <f>IF($A2591="",0,IF(COUNTIF($L$2:$L2591,$L2591)=1,1,0))</f>
        <v>0</v>
      </c>
      <c r="N2591" t="str">
        <f t="shared" si="606"/>
        <v/>
      </c>
      <c r="O2591" t="str">
        <f t="shared" si="607"/>
        <v/>
      </c>
      <c r="P2591">
        <f>IF($A2591="",0,IF(COUNTIF($O$2:$O2591,$O2591)=1,1,0))</f>
        <v>0</v>
      </c>
      <c r="Q2591" t="str">
        <f>IF(AND($P2591=1,$A2591=经营数据!$B$3,$J2591=经营数据!$BA$5),COUNTIFS($P$2:$P$3000,1,$A$2:$A$3000,$A2591,$J$2:$J$3000,$J2591,$N$2:$N$3000,"&lt;"&amp;$N2591)+1,"")</f>
        <v/>
      </c>
      <c r="R2591" t="str">
        <f t="shared" si="608"/>
        <v/>
      </c>
      <c r="S2591">
        <f>IF($A2591="",0,IF(COUNTIF($R$2:$R2591,$R2591)=1,1,0))</f>
        <v>0</v>
      </c>
      <c r="T2591" t="str">
        <f t="shared" si="609"/>
        <v/>
      </c>
      <c r="U2591" t="str">
        <f>IF($A2591="","",IF($A2591=经营数据!$B$3,COUNTIFS($S$2:$S$3000,1,$A$2:$A$3000,$A2591,$T$2:$T$3000,"&lt;"&amp;$T2591)+1,""))</f>
        <v/>
      </c>
      <c r="V2591" t="str">
        <f t="shared" si="610"/>
        <v/>
      </c>
      <c r="W2591" t="str">
        <f t="shared" si="611"/>
        <v/>
      </c>
      <c r="X2591" t="str">
        <f t="shared" si="612"/>
        <v/>
      </c>
      <c r="Y2591" t="str">
        <f t="shared" si="613"/>
        <v/>
      </c>
      <c r="Z2591">
        <f>IF($A2591="",0,IF(AND($M2591=1,$A2591=经营数据!$B$3,$J2591=经营数据!$BA$5,OR($I2591=经营数据!$BA$4,COUNTIF(经营数据!$AA$9:$AA$38,$I2591)&gt;0)),1,0))</f>
        <v>0</v>
      </c>
      <c r="AA2591" t="str">
        <f t="shared" si="614"/>
        <v/>
      </c>
      <c r="AB2591" t="str">
        <f t="shared" si="615"/>
        <v/>
      </c>
      <c r="AC2591">
        <f>IF($A2591="",0,IF(COUNTIF($A$2:$A2591,$A2591)=1,1,0))</f>
        <v>0</v>
      </c>
      <c r="AD2591">
        <f t="shared" si="616"/>
        <v>29</v>
      </c>
      <c r="AE2591" t="str">
        <f t="shared" si="617"/>
        <v/>
      </c>
    </row>
    <row r="2592" spans="1:31" x14ac:dyDescent="0.4">
      <c r="A2592" t="str">
        <f>IF(原始经营数据!$D2593="","",原始经营数据!$D2593)</f>
        <v/>
      </c>
      <c r="B2592" t="str">
        <f>IF(原始经营数据!$D2593="","",T(原始经营数据!$E2593))</f>
        <v/>
      </c>
      <c r="C2592" t="str">
        <f>IF(原始经营数据!$D2593="","",原始经营数据!$F2593)</f>
        <v/>
      </c>
      <c r="D2592" t="str">
        <f>IF(原始经营数据!$D2593="","",原始经营数据!$H2593)</f>
        <v/>
      </c>
      <c r="E2592" t="str">
        <f>IF(原始经营数据!$D2593="","",原始经营数据!$I2593)</f>
        <v/>
      </c>
      <c r="F2592" t="str">
        <f>IF(原始经营数据!$D2593="","",T(原始经营数据!$J2593))</f>
        <v/>
      </c>
      <c r="G2592" t="str">
        <f>IF(原始经营数据!$D2593="","",T(原始经营数据!$K2593))</f>
        <v/>
      </c>
      <c r="H2592" t="str">
        <f>IF(原始经营数据!$D2593="","",原始经营数据!$G2593)</f>
        <v/>
      </c>
      <c r="I2592" t="str">
        <f>IF($A2592="","",IF($B2592&lt;&gt;"",$B2592,IF(COUNTIFS(原始经营数据!$D$3:$D$3001,$A2592,原始经营数据!$E$3:$E$3001,"",原始经营数据!$F$3:$F$3001,$C2592,原始经营数据!$H$3:$H$3001,$D2592,原始经营数据!$K$3:$K$3001,$G2592)&gt;1,"基金整体·来源"&amp;原始经营数据!$A2593,"基金整体")))</f>
        <v/>
      </c>
      <c r="J2592" t="str">
        <f t="shared" si="603"/>
        <v/>
      </c>
      <c r="K2592" t="str">
        <f t="shared" si="604"/>
        <v/>
      </c>
      <c r="L2592" t="str">
        <f t="shared" si="605"/>
        <v/>
      </c>
      <c r="M2592">
        <f>IF($A2592="",0,IF(COUNTIF($L$2:$L2592,$L2592)=1,1,0))</f>
        <v>0</v>
      </c>
      <c r="N2592" t="str">
        <f t="shared" si="606"/>
        <v/>
      </c>
      <c r="O2592" t="str">
        <f t="shared" si="607"/>
        <v/>
      </c>
      <c r="P2592">
        <f>IF($A2592="",0,IF(COUNTIF($O$2:$O2592,$O2592)=1,1,0))</f>
        <v>0</v>
      </c>
      <c r="Q2592" t="str">
        <f>IF(AND($P2592=1,$A2592=经营数据!$B$3,$J2592=经营数据!$BA$5),COUNTIFS($P$2:$P$3000,1,$A$2:$A$3000,$A2592,$J$2:$J$3000,$J2592,$N$2:$N$3000,"&lt;"&amp;$N2592)+1,"")</f>
        <v/>
      </c>
      <c r="R2592" t="str">
        <f t="shared" si="608"/>
        <v/>
      </c>
      <c r="S2592">
        <f>IF($A2592="",0,IF(COUNTIF($R$2:$R2592,$R2592)=1,1,0))</f>
        <v>0</v>
      </c>
      <c r="T2592" t="str">
        <f t="shared" si="609"/>
        <v/>
      </c>
      <c r="U2592" t="str">
        <f>IF($A2592="","",IF($A2592=经营数据!$B$3,COUNTIFS($S$2:$S$3000,1,$A$2:$A$3000,$A2592,$T$2:$T$3000,"&lt;"&amp;$T2592)+1,""))</f>
        <v/>
      </c>
      <c r="V2592" t="str">
        <f t="shared" si="610"/>
        <v/>
      </c>
      <c r="W2592" t="str">
        <f t="shared" si="611"/>
        <v/>
      </c>
      <c r="X2592" t="str">
        <f t="shared" si="612"/>
        <v/>
      </c>
      <c r="Y2592" t="str">
        <f t="shared" si="613"/>
        <v/>
      </c>
      <c r="Z2592">
        <f>IF($A2592="",0,IF(AND($M2592=1,$A2592=经营数据!$B$3,$J2592=经营数据!$BA$5,OR($I2592=经营数据!$BA$4,COUNTIF(经营数据!$AA$9:$AA$38,$I2592)&gt;0)),1,0))</f>
        <v>0</v>
      </c>
      <c r="AA2592" t="str">
        <f t="shared" si="614"/>
        <v/>
      </c>
      <c r="AB2592" t="str">
        <f t="shared" si="615"/>
        <v/>
      </c>
      <c r="AC2592">
        <f>IF($A2592="",0,IF(COUNTIF($A$2:$A2592,$A2592)=1,1,0))</f>
        <v>0</v>
      </c>
      <c r="AD2592">
        <f t="shared" si="616"/>
        <v>29</v>
      </c>
      <c r="AE2592" t="str">
        <f t="shared" si="617"/>
        <v/>
      </c>
    </row>
    <row r="2593" spans="1:31" x14ac:dyDescent="0.4">
      <c r="A2593" t="str">
        <f>IF(原始经营数据!$D2594="","",原始经营数据!$D2594)</f>
        <v/>
      </c>
      <c r="B2593" t="str">
        <f>IF(原始经营数据!$D2594="","",T(原始经营数据!$E2594))</f>
        <v/>
      </c>
      <c r="C2593" t="str">
        <f>IF(原始经营数据!$D2594="","",原始经营数据!$F2594)</f>
        <v/>
      </c>
      <c r="D2593" t="str">
        <f>IF(原始经营数据!$D2594="","",原始经营数据!$H2594)</f>
        <v/>
      </c>
      <c r="E2593" t="str">
        <f>IF(原始经营数据!$D2594="","",原始经营数据!$I2594)</f>
        <v/>
      </c>
      <c r="F2593" t="str">
        <f>IF(原始经营数据!$D2594="","",T(原始经营数据!$J2594))</f>
        <v/>
      </c>
      <c r="G2593" t="str">
        <f>IF(原始经营数据!$D2594="","",T(原始经营数据!$K2594))</f>
        <v/>
      </c>
      <c r="H2593" t="str">
        <f>IF(原始经营数据!$D2594="","",原始经营数据!$G2594)</f>
        <v/>
      </c>
      <c r="I2593" t="str">
        <f>IF($A2593="","",IF($B2593&lt;&gt;"",$B2593,IF(COUNTIFS(原始经营数据!$D$3:$D$3001,$A2593,原始经营数据!$E$3:$E$3001,"",原始经营数据!$F$3:$F$3001,$C2593,原始经营数据!$H$3:$H$3001,$D2593,原始经营数据!$K$3:$K$3001,$G2593)&gt;1,"基金整体·来源"&amp;原始经营数据!$A2594,"基金整体")))</f>
        <v/>
      </c>
      <c r="J2593" t="str">
        <f t="shared" si="603"/>
        <v/>
      </c>
      <c r="K2593" t="str">
        <f t="shared" si="604"/>
        <v/>
      </c>
      <c r="L2593" t="str">
        <f t="shared" si="605"/>
        <v/>
      </c>
      <c r="M2593">
        <f>IF($A2593="",0,IF(COUNTIF($L$2:$L2593,$L2593)=1,1,0))</f>
        <v>0</v>
      </c>
      <c r="N2593" t="str">
        <f t="shared" si="606"/>
        <v/>
      </c>
      <c r="O2593" t="str">
        <f t="shared" si="607"/>
        <v/>
      </c>
      <c r="P2593">
        <f>IF($A2593="",0,IF(COUNTIF($O$2:$O2593,$O2593)=1,1,0))</f>
        <v>0</v>
      </c>
      <c r="Q2593" t="str">
        <f>IF(AND($P2593=1,$A2593=经营数据!$B$3,$J2593=经营数据!$BA$5),COUNTIFS($P$2:$P$3000,1,$A$2:$A$3000,$A2593,$J$2:$J$3000,$J2593,$N$2:$N$3000,"&lt;"&amp;$N2593)+1,"")</f>
        <v/>
      </c>
      <c r="R2593" t="str">
        <f t="shared" si="608"/>
        <v/>
      </c>
      <c r="S2593">
        <f>IF($A2593="",0,IF(COUNTIF($R$2:$R2593,$R2593)=1,1,0))</f>
        <v>0</v>
      </c>
      <c r="T2593" t="str">
        <f t="shared" si="609"/>
        <v/>
      </c>
      <c r="U2593" t="str">
        <f>IF($A2593="","",IF($A2593=经营数据!$B$3,COUNTIFS($S$2:$S$3000,1,$A$2:$A$3000,$A2593,$T$2:$T$3000,"&lt;"&amp;$T2593)+1,""))</f>
        <v/>
      </c>
      <c r="V2593" t="str">
        <f t="shared" si="610"/>
        <v/>
      </c>
      <c r="W2593" t="str">
        <f t="shared" si="611"/>
        <v/>
      </c>
      <c r="X2593" t="str">
        <f t="shared" si="612"/>
        <v/>
      </c>
      <c r="Y2593" t="str">
        <f t="shared" si="613"/>
        <v/>
      </c>
      <c r="Z2593">
        <f>IF($A2593="",0,IF(AND($M2593=1,$A2593=经营数据!$B$3,$J2593=经营数据!$BA$5,OR($I2593=经营数据!$BA$4,COUNTIF(经营数据!$AA$9:$AA$38,$I2593)&gt;0)),1,0))</f>
        <v>0</v>
      </c>
      <c r="AA2593" t="str">
        <f t="shared" si="614"/>
        <v/>
      </c>
      <c r="AB2593" t="str">
        <f t="shared" si="615"/>
        <v/>
      </c>
      <c r="AC2593">
        <f>IF($A2593="",0,IF(COUNTIF($A$2:$A2593,$A2593)=1,1,0))</f>
        <v>0</v>
      </c>
      <c r="AD2593">
        <f t="shared" si="616"/>
        <v>29</v>
      </c>
      <c r="AE2593" t="str">
        <f t="shared" si="617"/>
        <v/>
      </c>
    </row>
    <row r="2594" spans="1:31" x14ac:dyDescent="0.4">
      <c r="A2594" t="str">
        <f>IF(原始经营数据!$D2595="","",原始经营数据!$D2595)</f>
        <v/>
      </c>
      <c r="B2594" t="str">
        <f>IF(原始经营数据!$D2595="","",T(原始经营数据!$E2595))</f>
        <v/>
      </c>
      <c r="C2594" t="str">
        <f>IF(原始经营数据!$D2595="","",原始经营数据!$F2595)</f>
        <v/>
      </c>
      <c r="D2594" t="str">
        <f>IF(原始经营数据!$D2595="","",原始经营数据!$H2595)</f>
        <v/>
      </c>
      <c r="E2594" t="str">
        <f>IF(原始经营数据!$D2595="","",原始经营数据!$I2595)</f>
        <v/>
      </c>
      <c r="F2594" t="str">
        <f>IF(原始经营数据!$D2595="","",T(原始经营数据!$J2595))</f>
        <v/>
      </c>
      <c r="G2594" t="str">
        <f>IF(原始经营数据!$D2595="","",T(原始经营数据!$K2595))</f>
        <v/>
      </c>
      <c r="H2594" t="str">
        <f>IF(原始经营数据!$D2595="","",原始经营数据!$G2595)</f>
        <v/>
      </c>
      <c r="I2594" t="str">
        <f>IF($A2594="","",IF($B2594&lt;&gt;"",$B2594,IF(COUNTIFS(原始经营数据!$D$3:$D$3001,$A2594,原始经营数据!$E$3:$E$3001,"",原始经营数据!$F$3:$F$3001,$C2594,原始经营数据!$H$3:$H$3001,$D2594,原始经营数据!$K$3:$K$3001,$G2594)&gt;1,"基金整体·来源"&amp;原始经营数据!$A2595,"基金整体")))</f>
        <v/>
      </c>
      <c r="J2594" t="str">
        <f t="shared" si="603"/>
        <v/>
      </c>
      <c r="K2594" t="str">
        <f t="shared" si="604"/>
        <v/>
      </c>
      <c r="L2594" t="str">
        <f t="shared" si="605"/>
        <v/>
      </c>
      <c r="M2594">
        <f>IF($A2594="",0,IF(COUNTIF($L$2:$L2594,$L2594)=1,1,0))</f>
        <v>0</v>
      </c>
      <c r="N2594" t="str">
        <f t="shared" si="606"/>
        <v/>
      </c>
      <c r="O2594" t="str">
        <f t="shared" si="607"/>
        <v/>
      </c>
      <c r="P2594">
        <f>IF($A2594="",0,IF(COUNTIF($O$2:$O2594,$O2594)=1,1,0))</f>
        <v>0</v>
      </c>
      <c r="Q2594" t="str">
        <f>IF(AND($P2594=1,$A2594=经营数据!$B$3,$J2594=经营数据!$BA$5),COUNTIFS($P$2:$P$3000,1,$A$2:$A$3000,$A2594,$J$2:$J$3000,$J2594,$N$2:$N$3000,"&lt;"&amp;$N2594)+1,"")</f>
        <v/>
      </c>
      <c r="R2594" t="str">
        <f t="shared" si="608"/>
        <v/>
      </c>
      <c r="S2594">
        <f>IF($A2594="",0,IF(COUNTIF($R$2:$R2594,$R2594)=1,1,0))</f>
        <v>0</v>
      </c>
      <c r="T2594" t="str">
        <f t="shared" si="609"/>
        <v/>
      </c>
      <c r="U2594" t="str">
        <f>IF($A2594="","",IF($A2594=经营数据!$B$3,COUNTIFS($S$2:$S$3000,1,$A$2:$A$3000,$A2594,$T$2:$T$3000,"&lt;"&amp;$T2594)+1,""))</f>
        <v/>
      </c>
      <c r="V2594" t="str">
        <f t="shared" si="610"/>
        <v/>
      </c>
      <c r="W2594" t="str">
        <f t="shared" si="611"/>
        <v/>
      </c>
      <c r="X2594" t="str">
        <f t="shared" si="612"/>
        <v/>
      </c>
      <c r="Y2594" t="str">
        <f t="shared" si="613"/>
        <v/>
      </c>
      <c r="Z2594">
        <f>IF($A2594="",0,IF(AND($M2594=1,$A2594=经营数据!$B$3,$J2594=经营数据!$BA$5,OR($I2594=经营数据!$BA$4,COUNTIF(经营数据!$AA$9:$AA$38,$I2594)&gt;0)),1,0))</f>
        <v>0</v>
      </c>
      <c r="AA2594" t="str">
        <f t="shared" si="614"/>
        <v/>
      </c>
      <c r="AB2594" t="str">
        <f t="shared" si="615"/>
        <v/>
      </c>
      <c r="AC2594">
        <f>IF($A2594="",0,IF(COUNTIF($A$2:$A2594,$A2594)=1,1,0))</f>
        <v>0</v>
      </c>
      <c r="AD2594">
        <f t="shared" si="616"/>
        <v>29</v>
      </c>
      <c r="AE2594" t="str">
        <f t="shared" si="617"/>
        <v/>
      </c>
    </row>
    <row r="2595" spans="1:31" x14ac:dyDescent="0.4">
      <c r="A2595" t="str">
        <f>IF(原始经营数据!$D2596="","",原始经营数据!$D2596)</f>
        <v/>
      </c>
      <c r="B2595" t="str">
        <f>IF(原始经营数据!$D2596="","",T(原始经营数据!$E2596))</f>
        <v/>
      </c>
      <c r="C2595" t="str">
        <f>IF(原始经营数据!$D2596="","",原始经营数据!$F2596)</f>
        <v/>
      </c>
      <c r="D2595" t="str">
        <f>IF(原始经营数据!$D2596="","",原始经营数据!$H2596)</f>
        <v/>
      </c>
      <c r="E2595" t="str">
        <f>IF(原始经营数据!$D2596="","",原始经营数据!$I2596)</f>
        <v/>
      </c>
      <c r="F2595" t="str">
        <f>IF(原始经营数据!$D2596="","",T(原始经营数据!$J2596))</f>
        <v/>
      </c>
      <c r="G2595" t="str">
        <f>IF(原始经营数据!$D2596="","",T(原始经营数据!$K2596))</f>
        <v/>
      </c>
      <c r="H2595" t="str">
        <f>IF(原始经营数据!$D2596="","",原始经营数据!$G2596)</f>
        <v/>
      </c>
      <c r="I2595" t="str">
        <f>IF($A2595="","",IF($B2595&lt;&gt;"",$B2595,IF(COUNTIFS(原始经营数据!$D$3:$D$3001,$A2595,原始经营数据!$E$3:$E$3001,"",原始经营数据!$F$3:$F$3001,$C2595,原始经营数据!$H$3:$H$3001,$D2595,原始经营数据!$K$3:$K$3001,$G2595)&gt;1,"基金整体·来源"&amp;原始经营数据!$A2596,"基金整体")))</f>
        <v/>
      </c>
      <c r="J2595" t="str">
        <f t="shared" si="603"/>
        <v/>
      </c>
      <c r="K2595" t="str">
        <f t="shared" si="604"/>
        <v/>
      </c>
      <c r="L2595" t="str">
        <f t="shared" si="605"/>
        <v/>
      </c>
      <c r="M2595">
        <f>IF($A2595="",0,IF(COUNTIF($L$2:$L2595,$L2595)=1,1,0))</f>
        <v>0</v>
      </c>
      <c r="N2595" t="str">
        <f t="shared" si="606"/>
        <v/>
      </c>
      <c r="O2595" t="str">
        <f t="shared" si="607"/>
        <v/>
      </c>
      <c r="P2595">
        <f>IF($A2595="",0,IF(COUNTIF($O$2:$O2595,$O2595)=1,1,0))</f>
        <v>0</v>
      </c>
      <c r="Q2595" t="str">
        <f>IF(AND($P2595=1,$A2595=经营数据!$B$3,$J2595=经营数据!$BA$5),COUNTIFS($P$2:$P$3000,1,$A$2:$A$3000,$A2595,$J$2:$J$3000,$J2595,$N$2:$N$3000,"&lt;"&amp;$N2595)+1,"")</f>
        <v/>
      </c>
      <c r="R2595" t="str">
        <f t="shared" si="608"/>
        <v/>
      </c>
      <c r="S2595">
        <f>IF($A2595="",0,IF(COUNTIF($R$2:$R2595,$R2595)=1,1,0))</f>
        <v>0</v>
      </c>
      <c r="T2595" t="str">
        <f t="shared" si="609"/>
        <v/>
      </c>
      <c r="U2595" t="str">
        <f>IF($A2595="","",IF($A2595=经营数据!$B$3,COUNTIFS($S$2:$S$3000,1,$A$2:$A$3000,$A2595,$T$2:$T$3000,"&lt;"&amp;$T2595)+1,""))</f>
        <v/>
      </c>
      <c r="V2595" t="str">
        <f t="shared" si="610"/>
        <v/>
      </c>
      <c r="W2595" t="str">
        <f t="shared" si="611"/>
        <v/>
      </c>
      <c r="X2595" t="str">
        <f t="shared" si="612"/>
        <v/>
      </c>
      <c r="Y2595" t="str">
        <f t="shared" si="613"/>
        <v/>
      </c>
      <c r="Z2595">
        <f>IF($A2595="",0,IF(AND($M2595=1,$A2595=经营数据!$B$3,$J2595=经营数据!$BA$5,OR($I2595=经营数据!$BA$4,COUNTIF(经营数据!$AA$9:$AA$38,$I2595)&gt;0)),1,0))</f>
        <v>0</v>
      </c>
      <c r="AA2595" t="str">
        <f t="shared" si="614"/>
        <v/>
      </c>
      <c r="AB2595" t="str">
        <f t="shared" si="615"/>
        <v/>
      </c>
      <c r="AC2595">
        <f>IF($A2595="",0,IF(COUNTIF($A$2:$A2595,$A2595)=1,1,0))</f>
        <v>0</v>
      </c>
      <c r="AD2595">
        <f t="shared" si="616"/>
        <v>29</v>
      </c>
      <c r="AE2595" t="str">
        <f t="shared" si="617"/>
        <v/>
      </c>
    </row>
    <row r="2596" spans="1:31" x14ac:dyDescent="0.4">
      <c r="A2596" t="str">
        <f>IF(原始经营数据!$D2597="","",原始经营数据!$D2597)</f>
        <v/>
      </c>
      <c r="B2596" t="str">
        <f>IF(原始经营数据!$D2597="","",T(原始经营数据!$E2597))</f>
        <v/>
      </c>
      <c r="C2596" t="str">
        <f>IF(原始经营数据!$D2597="","",原始经营数据!$F2597)</f>
        <v/>
      </c>
      <c r="D2596" t="str">
        <f>IF(原始经营数据!$D2597="","",原始经营数据!$H2597)</f>
        <v/>
      </c>
      <c r="E2596" t="str">
        <f>IF(原始经营数据!$D2597="","",原始经营数据!$I2597)</f>
        <v/>
      </c>
      <c r="F2596" t="str">
        <f>IF(原始经营数据!$D2597="","",T(原始经营数据!$J2597))</f>
        <v/>
      </c>
      <c r="G2596" t="str">
        <f>IF(原始经营数据!$D2597="","",T(原始经营数据!$K2597))</f>
        <v/>
      </c>
      <c r="H2596" t="str">
        <f>IF(原始经营数据!$D2597="","",原始经营数据!$G2597)</f>
        <v/>
      </c>
      <c r="I2596" t="str">
        <f>IF($A2596="","",IF($B2596&lt;&gt;"",$B2596,IF(COUNTIFS(原始经营数据!$D$3:$D$3001,$A2596,原始经营数据!$E$3:$E$3001,"",原始经营数据!$F$3:$F$3001,$C2596,原始经营数据!$H$3:$H$3001,$D2596,原始经营数据!$K$3:$K$3001,$G2596)&gt;1,"基金整体·来源"&amp;原始经营数据!$A2597,"基金整体")))</f>
        <v/>
      </c>
      <c r="J2596" t="str">
        <f t="shared" si="603"/>
        <v/>
      </c>
      <c r="K2596" t="str">
        <f t="shared" si="604"/>
        <v/>
      </c>
      <c r="L2596" t="str">
        <f t="shared" si="605"/>
        <v/>
      </c>
      <c r="M2596">
        <f>IF($A2596="",0,IF(COUNTIF($L$2:$L2596,$L2596)=1,1,0))</f>
        <v>0</v>
      </c>
      <c r="N2596" t="str">
        <f t="shared" si="606"/>
        <v/>
      </c>
      <c r="O2596" t="str">
        <f t="shared" si="607"/>
        <v/>
      </c>
      <c r="P2596">
        <f>IF($A2596="",0,IF(COUNTIF($O$2:$O2596,$O2596)=1,1,0))</f>
        <v>0</v>
      </c>
      <c r="Q2596" t="str">
        <f>IF(AND($P2596=1,$A2596=经营数据!$B$3,$J2596=经营数据!$BA$5),COUNTIFS($P$2:$P$3000,1,$A$2:$A$3000,$A2596,$J$2:$J$3000,$J2596,$N$2:$N$3000,"&lt;"&amp;$N2596)+1,"")</f>
        <v/>
      </c>
      <c r="R2596" t="str">
        <f t="shared" si="608"/>
        <v/>
      </c>
      <c r="S2596">
        <f>IF($A2596="",0,IF(COUNTIF($R$2:$R2596,$R2596)=1,1,0))</f>
        <v>0</v>
      </c>
      <c r="T2596" t="str">
        <f t="shared" si="609"/>
        <v/>
      </c>
      <c r="U2596" t="str">
        <f>IF($A2596="","",IF($A2596=经营数据!$B$3,COUNTIFS($S$2:$S$3000,1,$A$2:$A$3000,$A2596,$T$2:$T$3000,"&lt;"&amp;$T2596)+1,""))</f>
        <v/>
      </c>
      <c r="V2596" t="str">
        <f t="shared" si="610"/>
        <v/>
      </c>
      <c r="W2596" t="str">
        <f t="shared" si="611"/>
        <v/>
      </c>
      <c r="X2596" t="str">
        <f t="shared" si="612"/>
        <v/>
      </c>
      <c r="Y2596" t="str">
        <f t="shared" si="613"/>
        <v/>
      </c>
      <c r="Z2596">
        <f>IF($A2596="",0,IF(AND($M2596=1,$A2596=经营数据!$B$3,$J2596=经营数据!$BA$5,OR($I2596=经营数据!$BA$4,COUNTIF(经营数据!$AA$9:$AA$38,$I2596)&gt;0)),1,0))</f>
        <v>0</v>
      </c>
      <c r="AA2596" t="str">
        <f t="shared" si="614"/>
        <v/>
      </c>
      <c r="AB2596" t="str">
        <f t="shared" si="615"/>
        <v/>
      </c>
      <c r="AC2596">
        <f>IF($A2596="",0,IF(COUNTIF($A$2:$A2596,$A2596)=1,1,0))</f>
        <v>0</v>
      </c>
      <c r="AD2596">
        <f t="shared" si="616"/>
        <v>29</v>
      </c>
      <c r="AE2596" t="str">
        <f t="shared" si="617"/>
        <v/>
      </c>
    </row>
    <row r="2597" spans="1:31" x14ac:dyDescent="0.4">
      <c r="A2597" t="str">
        <f>IF(原始经营数据!$D2598="","",原始经营数据!$D2598)</f>
        <v/>
      </c>
      <c r="B2597" t="str">
        <f>IF(原始经营数据!$D2598="","",T(原始经营数据!$E2598))</f>
        <v/>
      </c>
      <c r="C2597" t="str">
        <f>IF(原始经营数据!$D2598="","",原始经营数据!$F2598)</f>
        <v/>
      </c>
      <c r="D2597" t="str">
        <f>IF(原始经营数据!$D2598="","",原始经营数据!$H2598)</f>
        <v/>
      </c>
      <c r="E2597" t="str">
        <f>IF(原始经营数据!$D2598="","",原始经营数据!$I2598)</f>
        <v/>
      </c>
      <c r="F2597" t="str">
        <f>IF(原始经营数据!$D2598="","",T(原始经营数据!$J2598))</f>
        <v/>
      </c>
      <c r="G2597" t="str">
        <f>IF(原始经营数据!$D2598="","",T(原始经营数据!$K2598))</f>
        <v/>
      </c>
      <c r="H2597" t="str">
        <f>IF(原始经营数据!$D2598="","",原始经营数据!$G2598)</f>
        <v/>
      </c>
      <c r="I2597" t="str">
        <f>IF($A2597="","",IF($B2597&lt;&gt;"",$B2597,IF(COUNTIFS(原始经营数据!$D$3:$D$3001,$A2597,原始经营数据!$E$3:$E$3001,"",原始经营数据!$F$3:$F$3001,$C2597,原始经营数据!$H$3:$H$3001,$D2597,原始经营数据!$K$3:$K$3001,$G2597)&gt;1,"基金整体·来源"&amp;原始经营数据!$A2598,"基金整体")))</f>
        <v/>
      </c>
      <c r="J2597" t="str">
        <f t="shared" si="603"/>
        <v/>
      </c>
      <c r="K2597" t="str">
        <f t="shared" si="604"/>
        <v/>
      </c>
      <c r="L2597" t="str">
        <f t="shared" si="605"/>
        <v/>
      </c>
      <c r="M2597">
        <f>IF($A2597="",0,IF(COUNTIF($L$2:$L2597,$L2597)=1,1,0))</f>
        <v>0</v>
      </c>
      <c r="N2597" t="str">
        <f t="shared" si="606"/>
        <v/>
      </c>
      <c r="O2597" t="str">
        <f t="shared" si="607"/>
        <v/>
      </c>
      <c r="P2597">
        <f>IF($A2597="",0,IF(COUNTIF($O$2:$O2597,$O2597)=1,1,0))</f>
        <v>0</v>
      </c>
      <c r="Q2597" t="str">
        <f>IF(AND($P2597=1,$A2597=经营数据!$B$3,$J2597=经营数据!$BA$5),COUNTIFS($P$2:$P$3000,1,$A$2:$A$3000,$A2597,$J$2:$J$3000,$J2597,$N$2:$N$3000,"&lt;"&amp;$N2597)+1,"")</f>
        <v/>
      </c>
      <c r="R2597" t="str">
        <f t="shared" si="608"/>
        <v/>
      </c>
      <c r="S2597">
        <f>IF($A2597="",0,IF(COUNTIF($R$2:$R2597,$R2597)=1,1,0))</f>
        <v>0</v>
      </c>
      <c r="T2597" t="str">
        <f t="shared" si="609"/>
        <v/>
      </c>
      <c r="U2597" t="str">
        <f>IF($A2597="","",IF($A2597=经营数据!$B$3,COUNTIFS($S$2:$S$3000,1,$A$2:$A$3000,$A2597,$T$2:$T$3000,"&lt;"&amp;$T2597)+1,""))</f>
        <v/>
      </c>
      <c r="V2597" t="str">
        <f t="shared" si="610"/>
        <v/>
      </c>
      <c r="W2597" t="str">
        <f t="shared" si="611"/>
        <v/>
      </c>
      <c r="X2597" t="str">
        <f t="shared" si="612"/>
        <v/>
      </c>
      <c r="Y2597" t="str">
        <f t="shared" si="613"/>
        <v/>
      </c>
      <c r="Z2597">
        <f>IF($A2597="",0,IF(AND($M2597=1,$A2597=经营数据!$B$3,$J2597=经营数据!$BA$5,OR($I2597=经营数据!$BA$4,COUNTIF(经营数据!$AA$9:$AA$38,$I2597)&gt;0)),1,0))</f>
        <v>0</v>
      </c>
      <c r="AA2597" t="str">
        <f t="shared" si="614"/>
        <v/>
      </c>
      <c r="AB2597" t="str">
        <f t="shared" si="615"/>
        <v/>
      </c>
      <c r="AC2597">
        <f>IF($A2597="",0,IF(COUNTIF($A$2:$A2597,$A2597)=1,1,0))</f>
        <v>0</v>
      </c>
      <c r="AD2597">
        <f t="shared" si="616"/>
        <v>29</v>
      </c>
      <c r="AE2597" t="str">
        <f t="shared" si="617"/>
        <v/>
      </c>
    </row>
    <row r="2598" spans="1:31" x14ac:dyDescent="0.4">
      <c r="A2598" t="str">
        <f>IF(原始经营数据!$D2599="","",原始经营数据!$D2599)</f>
        <v/>
      </c>
      <c r="B2598" t="str">
        <f>IF(原始经营数据!$D2599="","",T(原始经营数据!$E2599))</f>
        <v/>
      </c>
      <c r="C2598" t="str">
        <f>IF(原始经营数据!$D2599="","",原始经营数据!$F2599)</f>
        <v/>
      </c>
      <c r="D2598" t="str">
        <f>IF(原始经营数据!$D2599="","",原始经营数据!$H2599)</f>
        <v/>
      </c>
      <c r="E2598" t="str">
        <f>IF(原始经营数据!$D2599="","",原始经营数据!$I2599)</f>
        <v/>
      </c>
      <c r="F2598" t="str">
        <f>IF(原始经营数据!$D2599="","",T(原始经营数据!$J2599))</f>
        <v/>
      </c>
      <c r="G2598" t="str">
        <f>IF(原始经营数据!$D2599="","",T(原始经营数据!$K2599))</f>
        <v/>
      </c>
      <c r="H2598" t="str">
        <f>IF(原始经营数据!$D2599="","",原始经营数据!$G2599)</f>
        <v/>
      </c>
      <c r="I2598" t="str">
        <f>IF($A2598="","",IF($B2598&lt;&gt;"",$B2598,IF(COUNTIFS(原始经营数据!$D$3:$D$3001,$A2598,原始经营数据!$E$3:$E$3001,"",原始经营数据!$F$3:$F$3001,$C2598,原始经营数据!$H$3:$H$3001,$D2598,原始经营数据!$K$3:$K$3001,$G2598)&gt;1,"基金整体·来源"&amp;原始经营数据!$A2599,"基金整体")))</f>
        <v/>
      </c>
      <c r="J2598" t="str">
        <f t="shared" si="603"/>
        <v/>
      </c>
      <c r="K2598" t="str">
        <f t="shared" si="604"/>
        <v/>
      </c>
      <c r="L2598" t="str">
        <f t="shared" si="605"/>
        <v/>
      </c>
      <c r="M2598">
        <f>IF($A2598="",0,IF(COUNTIF($L$2:$L2598,$L2598)=1,1,0))</f>
        <v>0</v>
      </c>
      <c r="N2598" t="str">
        <f t="shared" si="606"/>
        <v/>
      </c>
      <c r="O2598" t="str">
        <f t="shared" si="607"/>
        <v/>
      </c>
      <c r="P2598">
        <f>IF($A2598="",0,IF(COUNTIF($O$2:$O2598,$O2598)=1,1,0))</f>
        <v>0</v>
      </c>
      <c r="Q2598" t="str">
        <f>IF(AND($P2598=1,$A2598=经营数据!$B$3,$J2598=经营数据!$BA$5),COUNTIFS($P$2:$P$3000,1,$A$2:$A$3000,$A2598,$J$2:$J$3000,$J2598,$N$2:$N$3000,"&lt;"&amp;$N2598)+1,"")</f>
        <v/>
      </c>
      <c r="R2598" t="str">
        <f t="shared" si="608"/>
        <v/>
      </c>
      <c r="S2598">
        <f>IF($A2598="",0,IF(COUNTIF($R$2:$R2598,$R2598)=1,1,0))</f>
        <v>0</v>
      </c>
      <c r="T2598" t="str">
        <f t="shared" si="609"/>
        <v/>
      </c>
      <c r="U2598" t="str">
        <f>IF($A2598="","",IF($A2598=经营数据!$B$3,COUNTIFS($S$2:$S$3000,1,$A$2:$A$3000,$A2598,$T$2:$T$3000,"&lt;"&amp;$T2598)+1,""))</f>
        <v/>
      </c>
      <c r="V2598" t="str">
        <f t="shared" si="610"/>
        <v/>
      </c>
      <c r="W2598" t="str">
        <f t="shared" si="611"/>
        <v/>
      </c>
      <c r="X2598" t="str">
        <f t="shared" si="612"/>
        <v/>
      </c>
      <c r="Y2598" t="str">
        <f t="shared" si="613"/>
        <v/>
      </c>
      <c r="Z2598">
        <f>IF($A2598="",0,IF(AND($M2598=1,$A2598=经营数据!$B$3,$J2598=经营数据!$BA$5,OR($I2598=经营数据!$BA$4,COUNTIF(经营数据!$AA$9:$AA$38,$I2598)&gt;0)),1,0))</f>
        <v>0</v>
      </c>
      <c r="AA2598" t="str">
        <f t="shared" si="614"/>
        <v/>
      </c>
      <c r="AB2598" t="str">
        <f t="shared" si="615"/>
        <v/>
      </c>
      <c r="AC2598">
        <f>IF($A2598="",0,IF(COUNTIF($A$2:$A2598,$A2598)=1,1,0))</f>
        <v>0</v>
      </c>
      <c r="AD2598">
        <f t="shared" si="616"/>
        <v>29</v>
      </c>
      <c r="AE2598" t="str">
        <f t="shared" si="617"/>
        <v/>
      </c>
    </row>
    <row r="2599" spans="1:31" x14ac:dyDescent="0.4">
      <c r="A2599" t="str">
        <f>IF(原始经营数据!$D2600="","",原始经营数据!$D2600)</f>
        <v/>
      </c>
      <c r="B2599" t="str">
        <f>IF(原始经营数据!$D2600="","",T(原始经营数据!$E2600))</f>
        <v/>
      </c>
      <c r="C2599" t="str">
        <f>IF(原始经营数据!$D2600="","",原始经营数据!$F2600)</f>
        <v/>
      </c>
      <c r="D2599" t="str">
        <f>IF(原始经营数据!$D2600="","",原始经营数据!$H2600)</f>
        <v/>
      </c>
      <c r="E2599" t="str">
        <f>IF(原始经营数据!$D2600="","",原始经营数据!$I2600)</f>
        <v/>
      </c>
      <c r="F2599" t="str">
        <f>IF(原始经营数据!$D2600="","",T(原始经营数据!$J2600))</f>
        <v/>
      </c>
      <c r="G2599" t="str">
        <f>IF(原始经营数据!$D2600="","",T(原始经营数据!$K2600))</f>
        <v/>
      </c>
      <c r="H2599" t="str">
        <f>IF(原始经营数据!$D2600="","",原始经营数据!$G2600)</f>
        <v/>
      </c>
      <c r="I2599" t="str">
        <f>IF($A2599="","",IF($B2599&lt;&gt;"",$B2599,IF(COUNTIFS(原始经营数据!$D$3:$D$3001,$A2599,原始经营数据!$E$3:$E$3001,"",原始经营数据!$F$3:$F$3001,$C2599,原始经营数据!$H$3:$H$3001,$D2599,原始经营数据!$K$3:$K$3001,$G2599)&gt;1,"基金整体·来源"&amp;原始经营数据!$A2600,"基金整体")))</f>
        <v/>
      </c>
      <c r="J2599" t="str">
        <f t="shared" si="603"/>
        <v/>
      </c>
      <c r="K2599" t="str">
        <f t="shared" si="604"/>
        <v/>
      </c>
      <c r="L2599" t="str">
        <f t="shared" si="605"/>
        <v/>
      </c>
      <c r="M2599">
        <f>IF($A2599="",0,IF(COUNTIF($L$2:$L2599,$L2599)=1,1,0))</f>
        <v>0</v>
      </c>
      <c r="N2599" t="str">
        <f t="shared" si="606"/>
        <v/>
      </c>
      <c r="O2599" t="str">
        <f t="shared" si="607"/>
        <v/>
      </c>
      <c r="P2599">
        <f>IF($A2599="",0,IF(COUNTIF($O$2:$O2599,$O2599)=1,1,0))</f>
        <v>0</v>
      </c>
      <c r="Q2599" t="str">
        <f>IF(AND($P2599=1,$A2599=经营数据!$B$3,$J2599=经营数据!$BA$5),COUNTIFS($P$2:$P$3000,1,$A$2:$A$3000,$A2599,$J$2:$J$3000,$J2599,$N$2:$N$3000,"&lt;"&amp;$N2599)+1,"")</f>
        <v/>
      </c>
      <c r="R2599" t="str">
        <f t="shared" si="608"/>
        <v/>
      </c>
      <c r="S2599">
        <f>IF($A2599="",0,IF(COUNTIF($R$2:$R2599,$R2599)=1,1,0))</f>
        <v>0</v>
      </c>
      <c r="T2599" t="str">
        <f t="shared" si="609"/>
        <v/>
      </c>
      <c r="U2599" t="str">
        <f>IF($A2599="","",IF($A2599=经营数据!$B$3,COUNTIFS($S$2:$S$3000,1,$A$2:$A$3000,$A2599,$T$2:$T$3000,"&lt;"&amp;$T2599)+1,""))</f>
        <v/>
      </c>
      <c r="V2599" t="str">
        <f t="shared" si="610"/>
        <v/>
      </c>
      <c r="W2599" t="str">
        <f t="shared" si="611"/>
        <v/>
      </c>
      <c r="X2599" t="str">
        <f t="shared" si="612"/>
        <v/>
      </c>
      <c r="Y2599" t="str">
        <f t="shared" si="613"/>
        <v/>
      </c>
      <c r="Z2599">
        <f>IF($A2599="",0,IF(AND($M2599=1,$A2599=经营数据!$B$3,$J2599=经营数据!$BA$5,OR($I2599=经营数据!$BA$4,COUNTIF(经营数据!$AA$9:$AA$38,$I2599)&gt;0)),1,0))</f>
        <v>0</v>
      </c>
      <c r="AA2599" t="str">
        <f t="shared" si="614"/>
        <v/>
      </c>
      <c r="AB2599" t="str">
        <f t="shared" si="615"/>
        <v/>
      </c>
      <c r="AC2599">
        <f>IF($A2599="",0,IF(COUNTIF($A$2:$A2599,$A2599)=1,1,0))</f>
        <v>0</v>
      </c>
      <c r="AD2599">
        <f t="shared" si="616"/>
        <v>29</v>
      </c>
      <c r="AE2599" t="str">
        <f t="shared" si="617"/>
        <v/>
      </c>
    </row>
    <row r="2600" spans="1:31" x14ac:dyDescent="0.4">
      <c r="A2600" t="str">
        <f>IF(原始经营数据!$D2601="","",原始经营数据!$D2601)</f>
        <v/>
      </c>
      <c r="B2600" t="str">
        <f>IF(原始经营数据!$D2601="","",T(原始经营数据!$E2601))</f>
        <v/>
      </c>
      <c r="C2600" t="str">
        <f>IF(原始经营数据!$D2601="","",原始经营数据!$F2601)</f>
        <v/>
      </c>
      <c r="D2600" t="str">
        <f>IF(原始经营数据!$D2601="","",原始经营数据!$H2601)</f>
        <v/>
      </c>
      <c r="E2600" t="str">
        <f>IF(原始经营数据!$D2601="","",原始经营数据!$I2601)</f>
        <v/>
      </c>
      <c r="F2600" t="str">
        <f>IF(原始经营数据!$D2601="","",T(原始经营数据!$J2601))</f>
        <v/>
      </c>
      <c r="G2600" t="str">
        <f>IF(原始经营数据!$D2601="","",T(原始经营数据!$K2601))</f>
        <v/>
      </c>
      <c r="H2600" t="str">
        <f>IF(原始经营数据!$D2601="","",原始经营数据!$G2601)</f>
        <v/>
      </c>
      <c r="I2600" t="str">
        <f>IF($A2600="","",IF($B2600&lt;&gt;"",$B2600,IF(COUNTIFS(原始经营数据!$D$3:$D$3001,$A2600,原始经营数据!$E$3:$E$3001,"",原始经营数据!$F$3:$F$3001,$C2600,原始经营数据!$H$3:$H$3001,$D2600,原始经营数据!$K$3:$K$3001,$G2600)&gt;1,"基金整体·来源"&amp;原始经营数据!$A2601,"基金整体")))</f>
        <v/>
      </c>
      <c r="J2600" t="str">
        <f t="shared" si="603"/>
        <v/>
      </c>
      <c r="K2600" t="str">
        <f t="shared" si="604"/>
        <v/>
      </c>
      <c r="L2600" t="str">
        <f t="shared" si="605"/>
        <v/>
      </c>
      <c r="M2600">
        <f>IF($A2600="",0,IF(COUNTIF($L$2:$L2600,$L2600)=1,1,0))</f>
        <v>0</v>
      </c>
      <c r="N2600" t="str">
        <f t="shared" si="606"/>
        <v/>
      </c>
      <c r="O2600" t="str">
        <f t="shared" si="607"/>
        <v/>
      </c>
      <c r="P2600">
        <f>IF($A2600="",0,IF(COUNTIF($O$2:$O2600,$O2600)=1,1,0))</f>
        <v>0</v>
      </c>
      <c r="Q2600" t="str">
        <f>IF(AND($P2600=1,$A2600=经营数据!$B$3,$J2600=经营数据!$BA$5),COUNTIFS($P$2:$P$3000,1,$A$2:$A$3000,$A2600,$J$2:$J$3000,$J2600,$N$2:$N$3000,"&lt;"&amp;$N2600)+1,"")</f>
        <v/>
      </c>
      <c r="R2600" t="str">
        <f t="shared" si="608"/>
        <v/>
      </c>
      <c r="S2600">
        <f>IF($A2600="",0,IF(COUNTIF($R$2:$R2600,$R2600)=1,1,0))</f>
        <v>0</v>
      </c>
      <c r="T2600" t="str">
        <f t="shared" si="609"/>
        <v/>
      </c>
      <c r="U2600" t="str">
        <f>IF($A2600="","",IF($A2600=经营数据!$B$3,COUNTIFS($S$2:$S$3000,1,$A$2:$A$3000,$A2600,$T$2:$T$3000,"&lt;"&amp;$T2600)+1,""))</f>
        <v/>
      </c>
      <c r="V2600" t="str">
        <f t="shared" si="610"/>
        <v/>
      </c>
      <c r="W2600" t="str">
        <f t="shared" si="611"/>
        <v/>
      </c>
      <c r="X2600" t="str">
        <f t="shared" si="612"/>
        <v/>
      </c>
      <c r="Y2600" t="str">
        <f t="shared" si="613"/>
        <v/>
      </c>
      <c r="Z2600">
        <f>IF($A2600="",0,IF(AND($M2600=1,$A2600=经营数据!$B$3,$J2600=经营数据!$BA$5,OR($I2600=经营数据!$BA$4,COUNTIF(经营数据!$AA$9:$AA$38,$I2600)&gt;0)),1,0))</f>
        <v>0</v>
      </c>
      <c r="AA2600" t="str">
        <f t="shared" si="614"/>
        <v/>
      </c>
      <c r="AB2600" t="str">
        <f t="shared" si="615"/>
        <v/>
      </c>
      <c r="AC2600">
        <f>IF($A2600="",0,IF(COUNTIF($A$2:$A2600,$A2600)=1,1,0))</f>
        <v>0</v>
      </c>
      <c r="AD2600">
        <f t="shared" si="616"/>
        <v>29</v>
      </c>
      <c r="AE2600" t="str">
        <f t="shared" si="617"/>
        <v/>
      </c>
    </row>
    <row r="2601" spans="1:31" x14ac:dyDescent="0.4">
      <c r="A2601" t="str">
        <f>IF(原始经营数据!$D2602="","",原始经营数据!$D2602)</f>
        <v/>
      </c>
      <c r="B2601" t="str">
        <f>IF(原始经营数据!$D2602="","",T(原始经营数据!$E2602))</f>
        <v/>
      </c>
      <c r="C2601" t="str">
        <f>IF(原始经营数据!$D2602="","",原始经营数据!$F2602)</f>
        <v/>
      </c>
      <c r="D2601" t="str">
        <f>IF(原始经营数据!$D2602="","",原始经营数据!$H2602)</f>
        <v/>
      </c>
      <c r="E2601" t="str">
        <f>IF(原始经营数据!$D2602="","",原始经营数据!$I2602)</f>
        <v/>
      </c>
      <c r="F2601" t="str">
        <f>IF(原始经营数据!$D2602="","",T(原始经营数据!$J2602))</f>
        <v/>
      </c>
      <c r="G2601" t="str">
        <f>IF(原始经营数据!$D2602="","",T(原始经营数据!$K2602))</f>
        <v/>
      </c>
      <c r="H2601" t="str">
        <f>IF(原始经营数据!$D2602="","",原始经营数据!$G2602)</f>
        <v/>
      </c>
      <c r="I2601" t="str">
        <f>IF($A2601="","",IF($B2601&lt;&gt;"",$B2601,IF(COUNTIFS(原始经营数据!$D$3:$D$3001,$A2601,原始经营数据!$E$3:$E$3001,"",原始经营数据!$F$3:$F$3001,$C2601,原始经营数据!$H$3:$H$3001,$D2601,原始经营数据!$K$3:$K$3001,$G2601)&gt;1,"基金整体·来源"&amp;原始经营数据!$A2602,"基金整体")))</f>
        <v/>
      </c>
      <c r="J2601" t="str">
        <f t="shared" si="603"/>
        <v/>
      </c>
      <c r="K2601" t="str">
        <f t="shared" si="604"/>
        <v/>
      </c>
      <c r="L2601" t="str">
        <f t="shared" si="605"/>
        <v/>
      </c>
      <c r="M2601">
        <f>IF($A2601="",0,IF(COUNTIF($L$2:$L2601,$L2601)=1,1,0))</f>
        <v>0</v>
      </c>
      <c r="N2601" t="str">
        <f t="shared" si="606"/>
        <v/>
      </c>
      <c r="O2601" t="str">
        <f t="shared" si="607"/>
        <v/>
      </c>
      <c r="P2601">
        <f>IF($A2601="",0,IF(COUNTIF($O$2:$O2601,$O2601)=1,1,0))</f>
        <v>0</v>
      </c>
      <c r="Q2601" t="str">
        <f>IF(AND($P2601=1,$A2601=经营数据!$B$3,$J2601=经营数据!$BA$5),COUNTIFS($P$2:$P$3000,1,$A$2:$A$3000,$A2601,$J$2:$J$3000,$J2601,$N$2:$N$3000,"&lt;"&amp;$N2601)+1,"")</f>
        <v/>
      </c>
      <c r="R2601" t="str">
        <f t="shared" si="608"/>
        <v/>
      </c>
      <c r="S2601">
        <f>IF($A2601="",0,IF(COUNTIF($R$2:$R2601,$R2601)=1,1,0))</f>
        <v>0</v>
      </c>
      <c r="T2601" t="str">
        <f t="shared" si="609"/>
        <v/>
      </c>
      <c r="U2601" t="str">
        <f>IF($A2601="","",IF($A2601=经营数据!$B$3,COUNTIFS($S$2:$S$3000,1,$A$2:$A$3000,$A2601,$T$2:$T$3000,"&lt;"&amp;$T2601)+1,""))</f>
        <v/>
      </c>
      <c r="V2601" t="str">
        <f t="shared" si="610"/>
        <v/>
      </c>
      <c r="W2601" t="str">
        <f t="shared" si="611"/>
        <v/>
      </c>
      <c r="X2601" t="str">
        <f t="shared" si="612"/>
        <v/>
      </c>
      <c r="Y2601" t="str">
        <f t="shared" si="613"/>
        <v/>
      </c>
      <c r="Z2601">
        <f>IF($A2601="",0,IF(AND($M2601=1,$A2601=经营数据!$B$3,$J2601=经营数据!$BA$5,OR($I2601=经营数据!$BA$4,COUNTIF(经营数据!$AA$9:$AA$38,$I2601)&gt;0)),1,0))</f>
        <v>0</v>
      </c>
      <c r="AA2601" t="str">
        <f t="shared" si="614"/>
        <v/>
      </c>
      <c r="AB2601" t="str">
        <f t="shared" si="615"/>
        <v/>
      </c>
      <c r="AC2601">
        <f>IF($A2601="",0,IF(COUNTIF($A$2:$A2601,$A2601)=1,1,0))</f>
        <v>0</v>
      </c>
      <c r="AD2601">
        <f t="shared" si="616"/>
        <v>29</v>
      </c>
      <c r="AE2601" t="str">
        <f t="shared" si="617"/>
        <v/>
      </c>
    </row>
    <row r="2602" spans="1:31" x14ac:dyDescent="0.4">
      <c r="A2602" t="str">
        <f>IF(原始经营数据!$D2603="","",原始经营数据!$D2603)</f>
        <v/>
      </c>
      <c r="B2602" t="str">
        <f>IF(原始经营数据!$D2603="","",T(原始经营数据!$E2603))</f>
        <v/>
      </c>
      <c r="C2602" t="str">
        <f>IF(原始经营数据!$D2603="","",原始经营数据!$F2603)</f>
        <v/>
      </c>
      <c r="D2602" t="str">
        <f>IF(原始经营数据!$D2603="","",原始经营数据!$H2603)</f>
        <v/>
      </c>
      <c r="E2602" t="str">
        <f>IF(原始经营数据!$D2603="","",原始经营数据!$I2603)</f>
        <v/>
      </c>
      <c r="F2602" t="str">
        <f>IF(原始经营数据!$D2603="","",T(原始经营数据!$J2603))</f>
        <v/>
      </c>
      <c r="G2602" t="str">
        <f>IF(原始经营数据!$D2603="","",T(原始经营数据!$K2603))</f>
        <v/>
      </c>
      <c r="H2602" t="str">
        <f>IF(原始经营数据!$D2603="","",原始经营数据!$G2603)</f>
        <v/>
      </c>
      <c r="I2602" t="str">
        <f>IF($A2602="","",IF($B2602&lt;&gt;"",$B2602,IF(COUNTIFS(原始经营数据!$D$3:$D$3001,$A2602,原始经营数据!$E$3:$E$3001,"",原始经营数据!$F$3:$F$3001,$C2602,原始经营数据!$H$3:$H$3001,$D2602,原始经营数据!$K$3:$K$3001,$G2602)&gt;1,"基金整体·来源"&amp;原始经营数据!$A2603,"基金整体")))</f>
        <v/>
      </c>
      <c r="J2602" t="str">
        <f t="shared" si="603"/>
        <v/>
      </c>
      <c r="K2602" t="str">
        <f t="shared" si="604"/>
        <v/>
      </c>
      <c r="L2602" t="str">
        <f t="shared" si="605"/>
        <v/>
      </c>
      <c r="M2602">
        <f>IF($A2602="",0,IF(COUNTIF($L$2:$L2602,$L2602)=1,1,0))</f>
        <v>0</v>
      </c>
      <c r="N2602" t="str">
        <f t="shared" si="606"/>
        <v/>
      </c>
      <c r="O2602" t="str">
        <f t="shared" si="607"/>
        <v/>
      </c>
      <c r="P2602">
        <f>IF($A2602="",0,IF(COUNTIF($O$2:$O2602,$O2602)=1,1,0))</f>
        <v>0</v>
      </c>
      <c r="Q2602" t="str">
        <f>IF(AND($P2602=1,$A2602=经营数据!$B$3,$J2602=经营数据!$BA$5),COUNTIFS($P$2:$P$3000,1,$A$2:$A$3000,$A2602,$J$2:$J$3000,$J2602,$N$2:$N$3000,"&lt;"&amp;$N2602)+1,"")</f>
        <v/>
      </c>
      <c r="R2602" t="str">
        <f t="shared" si="608"/>
        <v/>
      </c>
      <c r="S2602">
        <f>IF($A2602="",0,IF(COUNTIF($R$2:$R2602,$R2602)=1,1,0))</f>
        <v>0</v>
      </c>
      <c r="T2602" t="str">
        <f t="shared" si="609"/>
        <v/>
      </c>
      <c r="U2602" t="str">
        <f>IF($A2602="","",IF($A2602=经营数据!$B$3,COUNTIFS($S$2:$S$3000,1,$A$2:$A$3000,$A2602,$T$2:$T$3000,"&lt;"&amp;$T2602)+1,""))</f>
        <v/>
      </c>
      <c r="V2602" t="str">
        <f t="shared" si="610"/>
        <v/>
      </c>
      <c r="W2602" t="str">
        <f t="shared" si="611"/>
        <v/>
      </c>
      <c r="X2602" t="str">
        <f t="shared" si="612"/>
        <v/>
      </c>
      <c r="Y2602" t="str">
        <f t="shared" si="613"/>
        <v/>
      </c>
      <c r="Z2602">
        <f>IF($A2602="",0,IF(AND($M2602=1,$A2602=经营数据!$B$3,$J2602=经营数据!$BA$5,OR($I2602=经营数据!$BA$4,COUNTIF(经营数据!$AA$9:$AA$38,$I2602)&gt;0)),1,0))</f>
        <v>0</v>
      </c>
      <c r="AA2602" t="str">
        <f t="shared" si="614"/>
        <v/>
      </c>
      <c r="AB2602" t="str">
        <f t="shared" si="615"/>
        <v/>
      </c>
      <c r="AC2602">
        <f>IF($A2602="",0,IF(COUNTIF($A$2:$A2602,$A2602)=1,1,0))</f>
        <v>0</v>
      </c>
      <c r="AD2602">
        <f t="shared" si="616"/>
        <v>29</v>
      </c>
      <c r="AE2602" t="str">
        <f t="shared" si="617"/>
        <v/>
      </c>
    </row>
    <row r="2603" spans="1:31" x14ac:dyDescent="0.4">
      <c r="A2603" t="str">
        <f>IF(原始经营数据!$D2604="","",原始经营数据!$D2604)</f>
        <v/>
      </c>
      <c r="B2603" t="str">
        <f>IF(原始经营数据!$D2604="","",T(原始经营数据!$E2604))</f>
        <v/>
      </c>
      <c r="C2603" t="str">
        <f>IF(原始经营数据!$D2604="","",原始经营数据!$F2604)</f>
        <v/>
      </c>
      <c r="D2603" t="str">
        <f>IF(原始经营数据!$D2604="","",原始经营数据!$H2604)</f>
        <v/>
      </c>
      <c r="E2603" t="str">
        <f>IF(原始经营数据!$D2604="","",原始经营数据!$I2604)</f>
        <v/>
      </c>
      <c r="F2603" t="str">
        <f>IF(原始经营数据!$D2604="","",T(原始经营数据!$J2604))</f>
        <v/>
      </c>
      <c r="G2603" t="str">
        <f>IF(原始经营数据!$D2604="","",T(原始经营数据!$K2604))</f>
        <v/>
      </c>
      <c r="H2603" t="str">
        <f>IF(原始经营数据!$D2604="","",原始经营数据!$G2604)</f>
        <v/>
      </c>
      <c r="I2603" t="str">
        <f>IF($A2603="","",IF($B2603&lt;&gt;"",$B2603,IF(COUNTIFS(原始经营数据!$D$3:$D$3001,$A2603,原始经营数据!$E$3:$E$3001,"",原始经营数据!$F$3:$F$3001,$C2603,原始经营数据!$H$3:$H$3001,$D2603,原始经营数据!$K$3:$K$3001,$G2603)&gt;1,"基金整体·来源"&amp;原始经营数据!$A2604,"基金整体")))</f>
        <v/>
      </c>
      <c r="J2603" t="str">
        <f t="shared" si="603"/>
        <v/>
      </c>
      <c r="K2603" t="str">
        <f t="shared" si="604"/>
        <v/>
      </c>
      <c r="L2603" t="str">
        <f t="shared" si="605"/>
        <v/>
      </c>
      <c r="M2603">
        <f>IF($A2603="",0,IF(COUNTIF($L$2:$L2603,$L2603)=1,1,0))</f>
        <v>0</v>
      </c>
      <c r="N2603" t="str">
        <f t="shared" si="606"/>
        <v/>
      </c>
      <c r="O2603" t="str">
        <f t="shared" si="607"/>
        <v/>
      </c>
      <c r="P2603">
        <f>IF($A2603="",0,IF(COUNTIF($O$2:$O2603,$O2603)=1,1,0))</f>
        <v>0</v>
      </c>
      <c r="Q2603" t="str">
        <f>IF(AND($P2603=1,$A2603=经营数据!$B$3,$J2603=经营数据!$BA$5),COUNTIFS($P$2:$P$3000,1,$A$2:$A$3000,$A2603,$J$2:$J$3000,$J2603,$N$2:$N$3000,"&lt;"&amp;$N2603)+1,"")</f>
        <v/>
      </c>
      <c r="R2603" t="str">
        <f t="shared" si="608"/>
        <v/>
      </c>
      <c r="S2603">
        <f>IF($A2603="",0,IF(COUNTIF($R$2:$R2603,$R2603)=1,1,0))</f>
        <v>0</v>
      </c>
      <c r="T2603" t="str">
        <f t="shared" si="609"/>
        <v/>
      </c>
      <c r="U2603" t="str">
        <f>IF($A2603="","",IF($A2603=经营数据!$B$3,COUNTIFS($S$2:$S$3000,1,$A$2:$A$3000,$A2603,$T$2:$T$3000,"&lt;"&amp;$T2603)+1,""))</f>
        <v/>
      </c>
      <c r="V2603" t="str">
        <f t="shared" si="610"/>
        <v/>
      </c>
      <c r="W2603" t="str">
        <f t="shared" si="611"/>
        <v/>
      </c>
      <c r="X2603" t="str">
        <f t="shared" si="612"/>
        <v/>
      </c>
      <c r="Y2603" t="str">
        <f t="shared" si="613"/>
        <v/>
      </c>
      <c r="Z2603">
        <f>IF($A2603="",0,IF(AND($M2603=1,$A2603=经营数据!$B$3,$J2603=经营数据!$BA$5,OR($I2603=经营数据!$BA$4,COUNTIF(经营数据!$AA$9:$AA$38,$I2603)&gt;0)),1,0))</f>
        <v>0</v>
      </c>
      <c r="AA2603" t="str">
        <f t="shared" si="614"/>
        <v/>
      </c>
      <c r="AB2603" t="str">
        <f t="shared" si="615"/>
        <v/>
      </c>
      <c r="AC2603">
        <f>IF($A2603="",0,IF(COUNTIF($A$2:$A2603,$A2603)=1,1,0))</f>
        <v>0</v>
      </c>
      <c r="AD2603">
        <f t="shared" si="616"/>
        <v>29</v>
      </c>
      <c r="AE2603" t="str">
        <f t="shared" si="617"/>
        <v/>
      </c>
    </row>
    <row r="2604" spans="1:31" x14ac:dyDescent="0.4">
      <c r="A2604" t="str">
        <f>IF(原始经营数据!$D2605="","",原始经营数据!$D2605)</f>
        <v/>
      </c>
      <c r="B2604" t="str">
        <f>IF(原始经营数据!$D2605="","",T(原始经营数据!$E2605))</f>
        <v/>
      </c>
      <c r="C2604" t="str">
        <f>IF(原始经营数据!$D2605="","",原始经营数据!$F2605)</f>
        <v/>
      </c>
      <c r="D2604" t="str">
        <f>IF(原始经营数据!$D2605="","",原始经营数据!$H2605)</f>
        <v/>
      </c>
      <c r="E2604" t="str">
        <f>IF(原始经营数据!$D2605="","",原始经营数据!$I2605)</f>
        <v/>
      </c>
      <c r="F2604" t="str">
        <f>IF(原始经营数据!$D2605="","",T(原始经营数据!$J2605))</f>
        <v/>
      </c>
      <c r="G2604" t="str">
        <f>IF(原始经营数据!$D2605="","",T(原始经营数据!$K2605))</f>
        <v/>
      </c>
      <c r="H2604" t="str">
        <f>IF(原始经营数据!$D2605="","",原始经营数据!$G2605)</f>
        <v/>
      </c>
      <c r="I2604" t="str">
        <f>IF($A2604="","",IF($B2604&lt;&gt;"",$B2604,IF(COUNTIFS(原始经营数据!$D$3:$D$3001,$A2604,原始经营数据!$E$3:$E$3001,"",原始经营数据!$F$3:$F$3001,$C2604,原始经营数据!$H$3:$H$3001,$D2604,原始经营数据!$K$3:$K$3001,$G2604)&gt;1,"基金整体·来源"&amp;原始经营数据!$A2605,"基金整体")))</f>
        <v/>
      </c>
      <c r="J2604" t="str">
        <f t="shared" si="603"/>
        <v/>
      </c>
      <c r="K2604" t="str">
        <f t="shared" si="604"/>
        <v/>
      </c>
      <c r="L2604" t="str">
        <f t="shared" si="605"/>
        <v/>
      </c>
      <c r="M2604">
        <f>IF($A2604="",0,IF(COUNTIF($L$2:$L2604,$L2604)=1,1,0))</f>
        <v>0</v>
      </c>
      <c r="N2604" t="str">
        <f t="shared" si="606"/>
        <v/>
      </c>
      <c r="O2604" t="str">
        <f t="shared" si="607"/>
        <v/>
      </c>
      <c r="P2604">
        <f>IF($A2604="",0,IF(COUNTIF($O$2:$O2604,$O2604)=1,1,0))</f>
        <v>0</v>
      </c>
      <c r="Q2604" t="str">
        <f>IF(AND($P2604=1,$A2604=经营数据!$B$3,$J2604=经营数据!$BA$5),COUNTIFS($P$2:$P$3000,1,$A$2:$A$3000,$A2604,$J$2:$J$3000,$J2604,$N$2:$N$3000,"&lt;"&amp;$N2604)+1,"")</f>
        <v/>
      </c>
      <c r="R2604" t="str">
        <f t="shared" si="608"/>
        <v/>
      </c>
      <c r="S2604">
        <f>IF($A2604="",0,IF(COUNTIF($R$2:$R2604,$R2604)=1,1,0))</f>
        <v>0</v>
      </c>
      <c r="T2604" t="str">
        <f t="shared" si="609"/>
        <v/>
      </c>
      <c r="U2604" t="str">
        <f>IF($A2604="","",IF($A2604=经营数据!$B$3,COUNTIFS($S$2:$S$3000,1,$A$2:$A$3000,$A2604,$T$2:$T$3000,"&lt;"&amp;$T2604)+1,""))</f>
        <v/>
      </c>
      <c r="V2604" t="str">
        <f t="shared" si="610"/>
        <v/>
      </c>
      <c r="W2604" t="str">
        <f t="shared" si="611"/>
        <v/>
      </c>
      <c r="X2604" t="str">
        <f t="shared" si="612"/>
        <v/>
      </c>
      <c r="Y2604" t="str">
        <f t="shared" si="613"/>
        <v/>
      </c>
      <c r="Z2604">
        <f>IF($A2604="",0,IF(AND($M2604=1,$A2604=经营数据!$B$3,$J2604=经营数据!$BA$5,OR($I2604=经营数据!$BA$4,COUNTIF(经营数据!$AA$9:$AA$38,$I2604)&gt;0)),1,0))</f>
        <v>0</v>
      </c>
      <c r="AA2604" t="str">
        <f t="shared" si="614"/>
        <v/>
      </c>
      <c r="AB2604" t="str">
        <f t="shared" si="615"/>
        <v/>
      </c>
      <c r="AC2604">
        <f>IF($A2604="",0,IF(COUNTIF($A$2:$A2604,$A2604)=1,1,0))</f>
        <v>0</v>
      </c>
      <c r="AD2604">
        <f t="shared" si="616"/>
        <v>29</v>
      </c>
      <c r="AE2604" t="str">
        <f t="shared" si="617"/>
        <v/>
      </c>
    </row>
    <row r="2605" spans="1:31" x14ac:dyDescent="0.4">
      <c r="A2605" t="str">
        <f>IF(原始经营数据!$D2606="","",原始经营数据!$D2606)</f>
        <v/>
      </c>
      <c r="B2605" t="str">
        <f>IF(原始经营数据!$D2606="","",T(原始经营数据!$E2606))</f>
        <v/>
      </c>
      <c r="C2605" t="str">
        <f>IF(原始经营数据!$D2606="","",原始经营数据!$F2606)</f>
        <v/>
      </c>
      <c r="D2605" t="str">
        <f>IF(原始经营数据!$D2606="","",原始经营数据!$H2606)</f>
        <v/>
      </c>
      <c r="E2605" t="str">
        <f>IF(原始经营数据!$D2606="","",原始经营数据!$I2606)</f>
        <v/>
      </c>
      <c r="F2605" t="str">
        <f>IF(原始经营数据!$D2606="","",T(原始经营数据!$J2606))</f>
        <v/>
      </c>
      <c r="G2605" t="str">
        <f>IF(原始经营数据!$D2606="","",T(原始经营数据!$K2606))</f>
        <v/>
      </c>
      <c r="H2605" t="str">
        <f>IF(原始经营数据!$D2606="","",原始经营数据!$G2606)</f>
        <v/>
      </c>
      <c r="I2605" t="str">
        <f>IF($A2605="","",IF($B2605&lt;&gt;"",$B2605,IF(COUNTIFS(原始经营数据!$D$3:$D$3001,$A2605,原始经营数据!$E$3:$E$3001,"",原始经营数据!$F$3:$F$3001,$C2605,原始经营数据!$H$3:$H$3001,$D2605,原始经营数据!$K$3:$K$3001,$G2605)&gt;1,"基金整体·来源"&amp;原始经营数据!$A2606,"基金整体")))</f>
        <v/>
      </c>
      <c r="J2605" t="str">
        <f t="shared" si="603"/>
        <v/>
      </c>
      <c r="K2605" t="str">
        <f t="shared" si="604"/>
        <v/>
      </c>
      <c r="L2605" t="str">
        <f t="shared" si="605"/>
        <v/>
      </c>
      <c r="M2605">
        <f>IF($A2605="",0,IF(COUNTIF($L$2:$L2605,$L2605)=1,1,0))</f>
        <v>0</v>
      </c>
      <c r="N2605" t="str">
        <f t="shared" si="606"/>
        <v/>
      </c>
      <c r="O2605" t="str">
        <f t="shared" si="607"/>
        <v/>
      </c>
      <c r="P2605">
        <f>IF($A2605="",0,IF(COUNTIF($O$2:$O2605,$O2605)=1,1,0))</f>
        <v>0</v>
      </c>
      <c r="Q2605" t="str">
        <f>IF(AND($P2605=1,$A2605=经营数据!$B$3,$J2605=经营数据!$BA$5),COUNTIFS($P$2:$P$3000,1,$A$2:$A$3000,$A2605,$J$2:$J$3000,$J2605,$N$2:$N$3000,"&lt;"&amp;$N2605)+1,"")</f>
        <v/>
      </c>
      <c r="R2605" t="str">
        <f t="shared" si="608"/>
        <v/>
      </c>
      <c r="S2605">
        <f>IF($A2605="",0,IF(COUNTIF($R$2:$R2605,$R2605)=1,1,0))</f>
        <v>0</v>
      </c>
      <c r="T2605" t="str">
        <f t="shared" si="609"/>
        <v/>
      </c>
      <c r="U2605" t="str">
        <f>IF($A2605="","",IF($A2605=经营数据!$B$3,COUNTIFS($S$2:$S$3000,1,$A$2:$A$3000,$A2605,$T$2:$T$3000,"&lt;"&amp;$T2605)+1,""))</f>
        <v/>
      </c>
      <c r="V2605" t="str">
        <f t="shared" si="610"/>
        <v/>
      </c>
      <c r="W2605" t="str">
        <f t="shared" si="611"/>
        <v/>
      </c>
      <c r="X2605" t="str">
        <f t="shared" si="612"/>
        <v/>
      </c>
      <c r="Y2605" t="str">
        <f t="shared" si="613"/>
        <v/>
      </c>
      <c r="Z2605">
        <f>IF($A2605="",0,IF(AND($M2605=1,$A2605=经营数据!$B$3,$J2605=经营数据!$BA$5,OR($I2605=经营数据!$BA$4,COUNTIF(经营数据!$AA$9:$AA$38,$I2605)&gt;0)),1,0))</f>
        <v>0</v>
      </c>
      <c r="AA2605" t="str">
        <f t="shared" si="614"/>
        <v/>
      </c>
      <c r="AB2605" t="str">
        <f t="shared" si="615"/>
        <v/>
      </c>
      <c r="AC2605">
        <f>IF($A2605="",0,IF(COUNTIF($A$2:$A2605,$A2605)=1,1,0))</f>
        <v>0</v>
      </c>
      <c r="AD2605">
        <f t="shared" si="616"/>
        <v>29</v>
      </c>
      <c r="AE2605" t="str">
        <f t="shared" si="617"/>
        <v/>
      </c>
    </row>
    <row r="2606" spans="1:31" x14ac:dyDescent="0.4">
      <c r="A2606" t="str">
        <f>IF(原始经营数据!$D2607="","",原始经营数据!$D2607)</f>
        <v/>
      </c>
      <c r="B2606" t="str">
        <f>IF(原始经营数据!$D2607="","",T(原始经营数据!$E2607))</f>
        <v/>
      </c>
      <c r="C2606" t="str">
        <f>IF(原始经营数据!$D2607="","",原始经营数据!$F2607)</f>
        <v/>
      </c>
      <c r="D2606" t="str">
        <f>IF(原始经营数据!$D2607="","",原始经营数据!$H2607)</f>
        <v/>
      </c>
      <c r="E2606" t="str">
        <f>IF(原始经营数据!$D2607="","",原始经营数据!$I2607)</f>
        <v/>
      </c>
      <c r="F2606" t="str">
        <f>IF(原始经营数据!$D2607="","",T(原始经营数据!$J2607))</f>
        <v/>
      </c>
      <c r="G2606" t="str">
        <f>IF(原始经营数据!$D2607="","",T(原始经营数据!$K2607))</f>
        <v/>
      </c>
      <c r="H2606" t="str">
        <f>IF(原始经营数据!$D2607="","",原始经营数据!$G2607)</f>
        <v/>
      </c>
      <c r="I2606" t="str">
        <f>IF($A2606="","",IF($B2606&lt;&gt;"",$B2606,IF(COUNTIFS(原始经营数据!$D$3:$D$3001,$A2606,原始经营数据!$E$3:$E$3001,"",原始经营数据!$F$3:$F$3001,$C2606,原始经营数据!$H$3:$H$3001,$D2606,原始经营数据!$K$3:$K$3001,$G2606)&gt;1,"基金整体·来源"&amp;原始经营数据!$A2607,"基金整体")))</f>
        <v/>
      </c>
      <c r="J2606" t="str">
        <f t="shared" si="603"/>
        <v/>
      </c>
      <c r="K2606" t="str">
        <f t="shared" si="604"/>
        <v/>
      </c>
      <c r="L2606" t="str">
        <f t="shared" si="605"/>
        <v/>
      </c>
      <c r="M2606">
        <f>IF($A2606="",0,IF(COUNTIF($L$2:$L2606,$L2606)=1,1,0))</f>
        <v>0</v>
      </c>
      <c r="N2606" t="str">
        <f t="shared" si="606"/>
        <v/>
      </c>
      <c r="O2606" t="str">
        <f t="shared" si="607"/>
        <v/>
      </c>
      <c r="P2606">
        <f>IF($A2606="",0,IF(COUNTIF($O$2:$O2606,$O2606)=1,1,0))</f>
        <v>0</v>
      </c>
      <c r="Q2606" t="str">
        <f>IF(AND($P2606=1,$A2606=经营数据!$B$3,$J2606=经营数据!$BA$5),COUNTIFS($P$2:$P$3000,1,$A$2:$A$3000,$A2606,$J$2:$J$3000,$J2606,$N$2:$N$3000,"&lt;"&amp;$N2606)+1,"")</f>
        <v/>
      </c>
      <c r="R2606" t="str">
        <f t="shared" si="608"/>
        <v/>
      </c>
      <c r="S2606">
        <f>IF($A2606="",0,IF(COUNTIF($R$2:$R2606,$R2606)=1,1,0))</f>
        <v>0</v>
      </c>
      <c r="T2606" t="str">
        <f t="shared" si="609"/>
        <v/>
      </c>
      <c r="U2606" t="str">
        <f>IF($A2606="","",IF($A2606=经营数据!$B$3,COUNTIFS($S$2:$S$3000,1,$A$2:$A$3000,$A2606,$T$2:$T$3000,"&lt;"&amp;$T2606)+1,""))</f>
        <v/>
      </c>
      <c r="V2606" t="str">
        <f t="shared" si="610"/>
        <v/>
      </c>
      <c r="W2606" t="str">
        <f t="shared" si="611"/>
        <v/>
      </c>
      <c r="X2606" t="str">
        <f t="shared" si="612"/>
        <v/>
      </c>
      <c r="Y2606" t="str">
        <f t="shared" si="613"/>
        <v/>
      </c>
      <c r="Z2606">
        <f>IF($A2606="",0,IF(AND($M2606=1,$A2606=经营数据!$B$3,$J2606=经营数据!$BA$5,OR($I2606=经营数据!$BA$4,COUNTIF(经营数据!$AA$9:$AA$38,$I2606)&gt;0)),1,0))</f>
        <v>0</v>
      </c>
      <c r="AA2606" t="str">
        <f t="shared" si="614"/>
        <v/>
      </c>
      <c r="AB2606" t="str">
        <f t="shared" si="615"/>
        <v/>
      </c>
      <c r="AC2606">
        <f>IF($A2606="",0,IF(COUNTIF($A$2:$A2606,$A2606)=1,1,0))</f>
        <v>0</v>
      </c>
      <c r="AD2606">
        <f t="shared" si="616"/>
        <v>29</v>
      </c>
      <c r="AE2606" t="str">
        <f t="shared" si="617"/>
        <v/>
      </c>
    </row>
    <row r="2607" spans="1:31" x14ac:dyDescent="0.4">
      <c r="A2607" t="str">
        <f>IF(原始经营数据!$D2608="","",原始经营数据!$D2608)</f>
        <v/>
      </c>
      <c r="B2607" t="str">
        <f>IF(原始经营数据!$D2608="","",T(原始经营数据!$E2608))</f>
        <v/>
      </c>
      <c r="C2607" t="str">
        <f>IF(原始经营数据!$D2608="","",原始经营数据!$F2608)</f>
        <v/>
      </c>
      <c r="D2607" t="str">
        <f>IF(原始经营数据!$D2608="","",原始经营数据!$H2608)</f>
        <v/>
      </c>
      <c r="E2607" t="str">
        <f>IF(原始经营数据!$D2608="","",原始经营数据!$I2608)</f>
        <v/>
      </c>
      <c r="F2607" t="str">
        <f>IF(原始经营数据!$D2608="","",T(原始经营数据!$J2608))</f>
        <v/>
      </c>
      <c r="G2607" t="str">
        <f>IF(原始经营数据!$D2608="","",T(原始经营数据!$K2608))</f>
        <v/>
      </c>
      <c r="H2607" t="str">
        <f>IF(原始经营数据!$D2608="","",原始经营数据!$G2608)</f>
        <v/>
      </c>
      <c r="I2607" t="str">
        <f>IF($A2607="","",IF($B2607&lt;&gt;"",$B2607,IF(COUNTIFS(原始经营数据!$D$3:$D$3001,$A2607,原始经营数据!$E$3:$E$3001,"",原始经营数据!$F$3:$F$3001,$C2607,原始经营数据!$H$3:$H$3001,$D2607,原始经营数据!$K$3:$K$3001,$G2607)&gt;1,"基金整体·来源"&amp;原始经营数据!$A2608,"基金整体")))</f>
        <v/>
      </c>
      <c r="J2607" t="str">
        <f t="shared" si="603"/>
        <v/>
      </c>
      <c r="K2607" t="str">
        <f t="shared" si="604"/>
        <v/>
      </c>
      <c r="L2607" t="str">
        <f t="shared" si="605"/>
        <v/>
      </c>
      <c r="M2607">
        <f>IF($A2607="",0,IF(COUNTIF($L$2:$L2607,$L2607)=1,1,0))</f>
        <v>0</v>
      </c>
      <c r="N2607" t="str">
        <f t="shared" si="606"/>
        <v/>
      </c>
      <c r="O2607" t="str">
        <f t="shared" si="607"/>
        <v/>
      </c>
      <c r="P2607">
        <f>IF($A2607="",0,IF(COUNTIF($O$2:$O2607,$O2607)=1,1,0))</f>
        <v>0</v>
      </c>
      <c r="Q2607" t="str">
        <f>IF(AND($P2607=1,$A2607=经营数据!$B$3,$J2607=经营数据!$BA$5),COUNTIFS($P$2:$P$3000,1,$A$2:$A$3000,$A2607,$J$2:$J$3000,$J2607,$N$2:$N$3000,"&lt;"&amp;$N2607)+1,"")</f>
        <v/>
      </c>
      <c r="R2607" t="str">
        <f t="shared" si="608"/>
        <v/>
      </c>
      <c r="S2607">
        <f>IF($A2607="",0,IF(COUNTIF($R$2:$R2607,$R2607)=1,1,0))</f>
        <v>0</v>
      </c>
      <c r="T2607" t="str">
        <f t="shared" si="609"/>
        <v/>
      </c>
      <c r="U2607" t="str">
        <f>IF($A2607="","",IF($A2607=经营数据!$B$3,COUNTIFS($S$2:$S$3000,1,$A$2:$A$3000,$A2607,$T$2:$T$3000,"&lt;"&amp;$T2607)+1,""))</f>
        <v/>
      </c>
      <c r="V2607" t="str">
        <f t="shared" si="610"/>
        <v/>
      </c>
      <c r="W2607" t="str">
        <f t="shared" si="611"/>
        <v/>
      </c>
      <c r="X2607" t="str">
        <f t="shared" si="612"/>
        <v/>
      </c>
      <c r="Y2607" t="str">
        <f t="shared" si="613"/>
        <v/>
      </c>
      <c r="Z2607">
        <f>IF($A2607="",0,IF(AND($M2607=1,$A2607=经营数据!$B$3,$J2607=经营数据!$BA$5,OR($I2607=经营数据!$BA$4,COUNTIF(经营数据!$AA$9:$AA$38,$I2607)&gt;0)),1,0))</f>
        <v>0</v>
      </c>
      <c r="AA2607" t="str">
        <f t="shared" si="614"/>
        <v/>
      </c>
      <c r="AB2607" t="str">
        <f t="shared" si="615"/>
        <v/>
      </c>
      <c r="AC2607">
        <f>IF($A2607="",0,IF(COUNTIF($A$2:$A2607,$A2607)=1,1,0))</f>
        <v>0</v>
      </c>
      <c r="AD2607">
        <f t="shared" si="616"/>
        <v>29</v>
      </c>
      <c r="AE2607" t="str">
        <f t="shared" si="617"/>
        <v/>
      </c>
    </row>
    <row r="2608" spans="1:31" x14ac:dyDescent="0.4">
      <c r="A2608" t="str">
        <f>IF(原始经营数据!$D2609="","",原始经营数据!$D2609)</f>
        <v/>
      </c>
      <c r="B2608" t="str">
        <f>IF(原始经营数据!$D2609="","",T(原始经营数据!$E2609))</f>
        <v/>
      </c>
      <c r="C2608" t="str">
        <f>IF(原始经营数据!$D2609="","",原始经营数据!$F2609)</f>
        <v/>
      </c>
      <c r="D2608" t="str">
        <f>IF(原始经营数据!$D2609="","",原始经营数据!$H2609)</f>
        <v/>
      </c>
      <c r="E2608" t="str">
        <f>IF(原始经营数据!$D2609="","",原始经营数据!$I2609)</f>
        <v/>
      </c>
      <c r="F2608" t="str">
        <f>IF(原始经营数据!$D2609="","",T(原始经营数据!$J2609))</f>
        <v/>
      </c>
      <c r="G2608" t="str">
        <f>IF(原始经营数据!$D2609="","",T(原始经营数据!$K2609))</f>
        <v/>
      </c>
      <c r="H2608" t="str">
        <f>IF(原始经营数据!$D2609="","",原始经营数据!$G2609)</f>
        <v/>
      </c>
      <c r="I2608" t="str">
        <f>IF($A2608="","",IF($B2608&lt;&gt;"",$B2608,IF(COUNTIFS(原始经营数据!$D$3:$D$3001,$A2608,原始经营数据!$E$3:$E$3001,"",原始经营数据!$F$3:$F$3001,$C2608,原始经营数据!$H$3:$H$3001,$D2608,原始经营数据!$K$3:$K$3001,$G2608)&gt;1,"基金整体·来源"&amp;原始经营数据!$A2609,"基金整体")))</f>
        <v/>
      </c>
      <c r="J2608" t="str">
        <f t="shared" si="603"/>
        <v/>
      </c>
      <c r="K2608" t="str">
        <f t="shared" si="604"/>
        <v/>
      </c>
      <c r="L2608" t="str">
        <f t="shared" si="605"/>
        <v/>
      </c>
      <c r="M2608">
        <f>IF($A2608="",0,IF(COUNTIF($L$2:$L2608,$L2608)=1,1,0))</f>
        <v>0</v>
      </c>
      <c r="N2608" t="str">
        <f t="shared" si="606"/>
        <v/>
      </c>
      <c r="O2608" t="str">
        <f t="shared" si="607"/>
        <v/>
      </c>
      <c r="P2608">
        <f>IF($A2608="",0,IF(COUNTIF($O$2:$O2608,$O2608)=1,1,0))</f>
        <v>0</v>
      </c>
      <c r="Q2608" t="str">
        <f>IF(AND($P2608=1,$A2608=经营数据!$B$3,$J2608=经营数据!$BA$5),COUNTIFS($P$2:$P$3000,1,$A$2:$A$3000,$A2608,$J$2:$J$3000,$J2608,$N$2:$N$3000,"&lt;"&amp;$N2608)+1,"")</f>
        <v/>
      </c>
      <c r="R2608" t="str">
        <f t="shared" si="608"/>
        <v/>
      </c>
      <c r="S2608">
        <f>IF($A2608="",0,IF(COUNTIF($R$2:$R2608,$R2608)=1,1,0))</f>
        <v>0</v>
      </c>
      <c r="T2608" t="str">
        <f t="shared" si="609"/>
        <v/>
      </c>
      <c r="U2608" t="str">
        <f>IF($A2608="","",IF($A2608=经营数据!$B$3,COUNTIFS($S$2:$S$3000,1,$A$2:$A$3000,$A2608,$T$2:$T$3000,"&lt;"&amp;$T2608)+1,""))</f>
        <v/>
      </c>
      <c r="V2608" t="str">
        <f t="shared" si="610"/>
        <v/>
      </c>
      <c r="W2608" t="str">
        <f t="shared" si="611"/>
        <v/>
      </c>
      <c r="X2608" t="str">
        <f t="shared" si="612"/>
        <v/>
      </c>
      <c r="Y2608" t="str">
        <f t="shared" si="613"/>
        <v/>
      </c>
      <c r="Z2608">
        <f>IF($A2608="",0,IF(AND($M2608=1,$A2608=经营数据!$B$3,$J2608=经营数据!$BA$5,OR($I2608=经营数据!$BA$4,COUNTIF(经营数据!$AA$9:$AA$38,$I2608)&gt;0)),1,0))</f>
        <v>0</v>
      </c>
      <c r="AA2608" t="str">
        <f t="shared" si="614"/>
        <v/>
      </c>
      <c r="AB2608" t="str">
        <f t="shared" si="615"/>
        <v/>
      </c>
      <c r="AC2608">
        <f>IF($A2608="",0,IF(COUNTIF($A$2:$A2608,$A2608)=1,1,0))</f>
        <v>0</v>
      </c>
      <c r="AD2608">
        <f t="shared" si="616"/>
        <v>29</v>
      </c>
      <c r="AE2608" t="str">
        <f t="shared" si="617"/>
        <v/>
      </c>
    </row>
    <row r="2609" spans="1:31" x14ac:dyDescent="0.4">
      <c r="A2609" t="str">
        <f>IF(原始经营数据!$D2610="","",原始经营数据!$D2610)</f>
        <v/>
      </c>
      <c r="B2609" t="str">
        <f>IF(原始经营数据!$D2610="","",T(原始经营数据!$E2610))</f>
        <v/>
      </c>
      <c r="C2609" t="str">
        <f>IF(原始经营数据!$D2610="","",原始经营数据!$F2610)</f>
        <v/>
      </c>
      <c r="D2609" t="str">
        <f>IF(原始经营数据!$D2610="","",原始经营数据!$H2610)</f>
        <v/>
      </c>
      <c r="E2609" t="str">
        <f>IF(原始经营数据!$D2610="","",原始经营数据!$I2610)</f>
        <v/>
      </c>
      <c r="F2609" t="str">
        <f>IF(原始经营数据!$D2610="","",T(原始经营数据!$J2610))</f>
        <v/>
      </c>
      <c r="G2609" t="str">
        <f>IF(原始经营数据!$D2610="","",T(原始经营数据!$K2610))</f>
        <v/>
      </c>
      <c r="H2609" t="str">
        <f>IF(原始经营数据!$D2610="","",原始经营数据!$G2610)</f>
        <v/>
      </c>
      <c r="I2609" t="str">
        <f>IF($A2609="","",IF($B2609&lt;&gt;"",$B2609,IF(COUNTIFS(原始经营数据!$D$3:$D$3001,$A2609,原始经营数据!$E$3:$E$3001,"",原始经营数据!$F$3:$F$3001,$C2609,原始经营数据!$H$3:$H$3001,$D2609,原始经营数据!$K$3:$K$3001,$G2609)&gt;1,"基金整体·来源"&amp;原始经营数据!$A2610,"基金整体")))</f>
        <v/>
      </c>
      <c r="J2609" t="str">
        <f t="shared" si="603"/>
        <v/>
      </c>
      <c r="K2609" t="str">
        <f t="shared" si="604"/>
        <v/>
      </c>
      <c r="L2609" t="str">
        <f t="shared" si="605"/>
        <v/>
      </c>
      <c r="M2609">
        <f>IF($A2609="",0,IF(COUNTIF($L$2:$L2609,$L2609)=1,1,0))</f>
        <v>0</v>
      </c>
      <c r="N2609" t="str">
        <f t="shared" si="606"/>
        <v/>
      </c>
      <c r="O2609" t="str">
        <f t="shared" si="607"/>
        <v/>
      </c>
      <c r="P2609">
        <f>IF($A2609="",0,IF(COUNTIF($O$2:$O2609,$O2609)=1,1,0))</f>
        <v>0</v>
      </c>
      <c r="Q2609" t="str">
        <f>IF(AND($P2609=1,$A2609=经营数据!$B$3,$J2609=经营数据!$BA$5),COUNTIFS($P$2:$P$3000,1,$A$2:$A$3000,$A2609,$J$2:$J$3000,$J2609,$N$2:$N$3000,"&lt;"&amp;$N2609)+1,"")</f>
        <v/>
      </c>
      <c r="R2609" t="str">
        <f t="shared" si="608"/>
        <v/>
      </c>
      <c r="S2609">
        <f>IF($A2609="",0,IF(COUNTIF($R$2:$R2609,$R2609)=1,1,0))</f>
        <v>0</v>
      </c>
      <c r="T2609" t="str">
        <f t="shared" si="609"/>
        <v/>
      </c>
      <c r="U2609" t="str">
        <f>IF($A2609="","",IF($A2609=经营数据!$B$3,COUNTIFS($S$2:$S$3000,1,$A$2:$A$3000,$A2609,$T$2:$T$3000,"&lt;"&amp;$T2609)+1,""))</f>
        <v/>
      </c>
      <c r="V2609" t="str">
        <f t="shared" si="610"/>
        <v/>
      </c>
      <c r="W2609" t="str">
        <f t="shared" si="611"/>
        <v/>
      </c>
      <c r="X2609" t="str">
        <f t="shared" si="612"/>
        <v/>
      </c>
      <c r="Y2609" t="str">
        <f t="shared" si="613"/>
        <v/>
      </c>
      <c r="Z2609">
        <f>IF($A2609="",0,IF(AND($M2609=1,$A2609=经营数据!$B$3,$J2609=经营数据!$BA$5,OR($I2609=经营数据!$BA$4,COUNTIF(经营数据!$AA$9:$AA$38,$I2609)&gt;0)),1,0))</f>
        <v>0</v>
      </c>
      <c r="AA2609" t="str">
        <f t="shared" si="614"/>
        <v/>
      </c>
      <c r="AB2609" t="str">
        <f t="shared" si="615"/>
        <v/>
      </c>
      <c r="AC2609">
        <f>IF($A2609="",0,IF(COUNTIF($A$2:$A2609,$A2609)=1,1,0))</f>
        <v>0</v>
      </c>
      <c r="AD2609">
        <f t="shared" si="616"/>
        <v>29</v>
      </c>
      <c r="AE2609" t="str">
        <f t="shared" si="617"/>
        <v/>
      </c>
    </row>
    <row r="2610" spans="1:31" x14ac:dyDescent="0.4">
      <c r="A2610" t="str">
        <f>IF(原始经营数据!$D2611="","",原始经营数据!$D2611)</f>
        <v/>
      </c>
      <c r="B2610" t="str">
        <f>IF(原始经营数据!$D2611="","",T(原始经营数据!$E2611))</f>
        <v/>
      </c>
      <c r="C2610" t="str">
        <f>IF(原始经营数据!$D2611="","",原始经营数据!$F2611)</f>
        <v/>
      </c>
      <c r="D2610" t="str">
        <f>IF(原始经营数据!$D2611="","",原始经营数据!$H2611)</f>
        <v/>
      </c>
      <c r="E2610" t="str">
        <f>IF(原始经营数据!$D2611="","",原始经营数据!$I2611)</f>
        <v/>
      </c>
      <c r="F2610" t="str">
        <f>IF(原始经营数据!$D2611="","",T(原始经营数据!$J2611))</f>
        <v/>
      </c>
      <c r="G2610" t="str">
        <f>IF(原始经营数据!$D2611="","",T(原始经营数据!$K2611))</f>
        <v/>
      </c>
      <c r="H2610" t="str">
        <f>IF(原始经营数据!$D2611="","",原始经营数据!$G2611)</f>
        <v/>
      </c>
      <c r="I2610" t="str">
        <f>IF($A2610="","",IF($B2610&lt;&gt;"",$B2610,IF(COUNTIFS(原始经营数据!$D$3:$D$3001,$A2610,原始经营数据!$E$3:$E$3001,"",原始经营数据!$F$3:$F$3001,$C2610,原始经营数据!$H$3:$H$3001,$D2610,原始经营数据!$K$3:$K$3001,$G2610)&gt;1,"基金整体·来源"&amp;原始经营数据!$A2611,"基金整体")))</f>
        <v/>
      </c>
      <c r="J2610" t="str">
        <f t="shared" si="603"/>
        <v/>
      </c>
      <c r="K2610" t="str">
        <f t="shared" si="604"/>
        <v/>
      </c>
      <c r="L2610" t="str">
        <f t="shared" si="605"/>
        <v/>
      </c>
      <c r="M2610">
        <f>IF($A2610="",0,IF(COUNTIF($L$2:$L2610,$L2610)=1,1,0))</f>
        <v>0</v>
      </c>
      <c r="N2610" t="str">
        <f t="shared" si="606"/>
        <v/>
      </c>
      <c r="O2610" t="str">
        <f t="shared" si="607"/>
        <v/>
      </c>
      <c r="P2610">
        <f>IF($A2610="",0,IF(COUNTIF($O$2:$O2610,$O2610)=1,1,0))</f>
        <v>0</v>
      </c>
      <c r="Q2610" t="str">
        <f>IF(AND($P2610=1,$A2610=经营数据!$B$3,$J2610=经营数据!$BA$5),COUNTIFS($P$2:$P$3000,1,$A$2:$A$3000,$A2610,$J$2:$J$3000,$J2610,$N$2:$N$3000,"&lt;"&amp;$N2610)+1,"")</f>
        <v/>
      </c>
      <c r="R2610" t="str">
        <f t="shared" si="608"/>
        <v/>
      </c>
      <c r="S2610">
        <f>IF($A2610="",0,IF(COUNTIF($R$2:$R2610,$R2610)=1,1,0))</f>
        <v>0</v>
      </c>
      <c r="T2610" t="str">
        <f t="shared" si="609"/>
        <v/>
      </c>
      <c r="U2610" t="str">
        <f>IF($A2610="","",IF($A2610=经营数据!$B$3,COUNTIFS($S$2:$S$3000,1,$A$2:$A$3000,$A2610,$T$2:$T$3000,"&lt;"&amp;$T2610)+1,""))</f>
        <v/>
      </c>
      <c r="V2610" t="str">
        <f t="shared" si="610"/>
        <v/>
      </c>
      <c r="W2610" t="str">
        <f t="shared" si="611"/>
        <v/>
      </c>
      <c r="X2610" t="str">
        <f t="shared" si="612"/>
        <v/>
      </c>
      <c r="Y2610" t="str">
        <f t="shared" si="613"/>
        <v/>
      </c>
      <c r="Z2610">
        <f>IF($A2610="",0,IF(AND($M2610=1,$A2610=经营数据!$B$3,$J2610=经营数据!$BA$5,OR($I2610=经营数据!$BA$4,COUNTIF(经营数据!$AA$9:$AA$38,$I2610)&gt;0)),1,0))</f>
        <v>0</v>
      </c>
      <c r="AA2610" t="str">
        <f t="shared" si="614"/>
        <v/>
      </c>
      <c r="AB2610" t="str">
        <f t="shared" si="615"/>
        <v/>
      </c>
      <c r="AC2610">
        <f>IF($A2610="",0,IF(COUNTIF($A$2:$A2610,$A2610)=1,1,0))</f>
        <v>0</v>
      </c>
      <c r="AD2610">
        <f t="shared" si="616"/>
        <v>29</v>
      </c>
      <c r="AE2610" t="str">
        <f t="shared" si="617"/>
        <v/>
      </c>
    </row>
    <row r="2611" spans="1:31" x14ac:dyDescent="0.4">
      <c r="A2611" t="str">
        <f>IF(原始经营数据!$D2612="","",原始经营数据!$D2612)</f>
        <v/>
      </c>
      <c r="B2611" t="str">
        <f>IF(原始经营数据!$D2612="","",T(原始经营数据!$E2612))</f>
        <v/>
      </c>
      <c r="C2611" t="str">
        <f>IF(原始经营数据!$D2612="","",原始经营数据!$F2612)</f>
        <v/>
      </c>
      <c r="D2611" t="str">
        <f>IF(原始经营数据!$D2612="","",原始经营数据!$H2612)</f>
        <v/>
      </c>
      <c r="E2611" t="str">
        <f>IF(原始经营数据!$D2612="","",原始经营数据!$I2612)</f>
        <v/>
      </c>
      <c r="F2611" t="str">
        <f>IF(原始经营数据!$D2612="","",T(原始经营数据!$J2612))</f>
        <v/>
      </c>
      <c r="G2611" t="str">
        <f>IF(原始经营数据!$D2612="","",T(原始经营数据!$K2612))</f>
        <v/>
      </c>
      <c r="H2611" t="str">
        <f>IF(原始经营数据!$D2612="","",原始经营数据!$G2612)</f>
        <v/>
      </c>
      <c r="I2611" t="str">
        <f>IF($A2611="","",IF($B2611&lt;&gt;"",$B2611,IF(COUNTIFS(原始经营数据!$D$3:$D$3001,$A2611,原始经营数据!$E$3:$E$3001,"",原始经营数据!$F$3:$F$3001,$C2611,原始经营数据!$H$3:$H$3001,$D2611,原始经营数据!$K$3:$K$3001,$G2611)&gt;1,"基金整体·来源"&amp;原始经营数据!$A2612,"基金整体")))</f>
        <v/>
      </c>
      <c r="J2611" t="str">
        <f t="shared" si="603"/>
        <v/>
      </c>
      <c r="K2611" t="str">
        <f t="shared" si="604"/>
        <v/>
      </c>
      <c r="L2611" t="str">
        <f t="shared" si="605"/>
        <v/>
      </c>
      <c r="M2611">
        <f>IF($A2611="",0,IF(COUNTIF($L$2:$L2611,$L2611)=1,1,0))</f>
        <v>0</v>
      </c>
      <c r="N2611" t="str">
        <f t="shared" si="606"/>
        <v/>
      </c>
      <c r="O2611" t="str">
        <f t="shared" si="607"/>
        <v/>
      </c>
      <c r="P2611">
        <f>IF($A2611="",0,IF(COUNTIF($O$2:$O2611,$O2611)=1,1,0))</f>
        <v>0</v>
      </c>
      <c r="Q2611" t="str">
        <f>IF(AND($P2611=1,$A2611=经营数据!$B$3,$J2611=经营数据!$BA$5),COUNTIFS($P$2:$P$3000,1,$A$2:$A$3000,$A2611,$J$2:$J$3000,$J2611,$N$2:$N$3000,"&lt;"&amp;$N2611)+1,"")</f>
        <v/>
      </c>
      <c r="R2611" t="str">
        <f t="shared" si="608"/>
        <v/>
      </c>
      <c r="S2611">
        <f>IF($A2611="",0,IF(COUNTIF($R$2:$R2611,$R2611)=1,1,0))</f>
        <v>0</v>
      </c>
      <c r="T2611" t="str">
        <f t="shared" si="609"/>
        <v/>
      </c>
      <c r="U2611" t="str">
        <f>IF($A2611="","",IF($A2611=经营数据!$B$3,COUNTIFS($S$2:$S$3000,1,$A$2:$A$3000,$A2611,$T$2:$T$3000,"&lt;"&amp;$T2611)+1,""))</f>
        <v/>
      </c>
      <c r="V2611" t="str">
        <f t="shared" si="610"/>
        <v/>
      </c>
      <c r="W2611" t="str">
        <f t="shared" si="611"/>
        <v/>
      </c>
      <c r="X2611" t="str">
        <f t="shared" si="612"/>
        <v/>
      </c>
      <c r="Y2611" t="str">
        <f t="shared" si="613"/>
        <v/>
      </c>
      <c r="Z2611">
        <f>IF($A2611="",0,IF(AND($M2611=1,$A2611=经营数据!$B$3,$J2611=经营数据!$BA$5,OR($I2611=经营数据!$BA$4,COUNTIF(经营数据!$AA$9:$AA$38,$I2611)&gt;0)),1,0))</f>
        <v>0</v>
      </c>
      <c r="AA2611" t="str">
        <f t="shared" si="614"/>
        <v/>
      </c>
      <c r="AB2611" t="str">
        <f t="shared" si="615"/>
        <v/>
      </c>
      <c r="AC2611">
        <f>IF($A2611="",0,IF(COUNTIF($A$2:$A2611,$A2611)=1,1,0))</f>
        <v>0</v>
      </c>
      <c r="AD2611">
        <f t="shared" si="616"/>
        <v>29</v>
      </c>
      <c r="AE2611" t="str">
        <f t="shared" si="617"/>
        <v/>
      </c>
    </row>
    <row r="2612" spans="1:31" x14ac:dyDescent="0.4">
      <c r="A2612" t="str">
        <f>IF(原始经营数据!$D2613="","",原始经营数据!$D2613)</f>
        <v/>
      </c>
      <c r="B2612" t="str">
        <f>IF(原始经营数据!$D2613="","",T(原始经营数据!$E2613))</f>
        <v/>
      </c>
      <c r="C2612" t="str">
        <f>IF(原始经营数据!$D2613="","",原始经营数据!$F2613)</f>
        <v/>
      </c>
      <c r="D2612" t="str">
        <f>IF(原始经营数据!$D2613="","",原始经营数据!$H2613)</f>
        <v/>
      </c>
      <c r="E2612" t="str">
        <f>IF(原始经营数据!$D2613="","",原始经营数据!$I2613)</f>
        <v/>
      </c>
      <c r="F2612" t="str">
        <f>IF(原始经营数据!$D2613="","",T(原始经营数据!$J2613))</f>
        <v/>
      </c>
      <c r="G2612" t="str">
        <f>IF(原始经营数据!$D2613="","",T(原始经营数据!$K2613))</f>
        <v/>
      </c>
      <c r="H2612" t="str">
        <f>IF(原始经营数据!$D2613="","",原始经营数据!$G2613)</f>
        <v/>
      </c>
      <c r="I2612" t="str">
        <f>IF($A2612="","",IF($B2612&lt;&gt;"",$B2612,IF(COUNTIFS(原始经营数据!$D$3:$D$3001,$A2612,原始经营数据!$E$3:$E$3001,"",原始经营数据!$F$3:$F$3001,$C2612,原始经营数据!$H$3:$H$3001,$D2612,原始经营数据!$K$3:$K$3001,$G2612)&gt;1,"基金整体·来源"&amp;原始经营数据!$A2613,"基金整体")))</f>
        <v/>
      </c>
      <c r="J2612" t="str">
        <f t="shared" si="603"/>
        <v/>
      </c>
      <c r="K2612" t="str">
        <f t="shared" si="604"/>
        <v/>
      </c>
      <c r="L2612" t="str">
        <f t="shared" si="605"/>
        <v/>
      </c>
      <c r="M2612">
        <f>IF($A2612="",0,IF(COUNTIF($L$2:$L2612,$L2612)=1,1,0))</f>
        <v>0</v>
      </c>
      <c r="N2612" t="str">
        <f t="shared" si="606"/>
        <v/>
      </c>
      <c r="O2612" t="str">
        <f t="shared" si="607"/>
        <v/>
      </c>
      <c r="P2612">
        <f>IF($A2612="",0,IF(COUNTIF($O$2:$O2612,$O2612)=1,1,0))</f>
        <v>0</v>
      </c>
      <c r="Q2612" t="str">
        <f>IF(AND($P2612=1,$A2612=经营数据!$B$3,$J2612=经营数据!$BA$5),COUNTIFS($P$2:$P$3000,1,$A$2:$A$3000,$A2612,$J$2:$J$3000,$J2612,$N$2:$N$3000,"&lt;"&amp;$N2612)+1,"")</f>
        <v/>
      </c>
      <c r="R2612" t="str">
        <f t="shared" si="608"/>
        <v/>
      </c>
      <c r="S2612">
        <f>IF($A2612="",0,IF(COUNTIF($R$2:$R2612,$R2612)=1,1,0))</f>
        <v>0</v>
      </c>
      <c r="T2612" t="str">
        <f t="shared" si="609"/>
        <v/>
      </c>
      <c r="U2612" t="str">
        <f>IF($A2612="","",IF($A2612=经营数据!$B$3,COUNTIFS($S$2:$S$3000,1,$A$2:$A$3000,$A2612,$T$2:$T$3000,"&lt;"&amp;$T2612)+1,""))</f>
        <v/>
      </c>
      <c r="V2612" t="str">
        <f t="shared" si="610"/>
        <v/>
      </c>
      <c r="W2612" t="str">
        <f t="shared" si="611"/>
        <v/>
      </c>
      <c r="X2612" t="str">
        <f t="shared" si="612"/>
        <v/>
      </c>
      <c r="Y2612" t="str">
        <f t="shared" si="613"/>
        <v/>
      </c>
      <c r="Z2612">
        <f>IF($A2612="",0,IF(AND($M2612=1,$A2612=经营数据!$B$3,$J2612=经营数据!$BA$5,OR($I2612=经营数据!$BA$4,COUNTIF(经营数据!$AA$9:$AA$38,$I2612)&gt;0)),1,0))</f>
        <v>0</v>
      </c>
      <c r="AA2612" t="str">
        <f t="shared" si="614"/>
        <v/>
      </c>
      <c r="AB2612" t="str">
        <f t="shared" si="615"/>
        <v/>
      </c>
      <c r="AC2612">
        <f>IF($A2612="",0,IF(COUNTIF($A$2:$A2612,$A2612)=1,1,0))</f>
        <v>0</v>
      </c>
      <c r="AD2612">
        <f t="shared" si="616"/>
        <v>29</v>
      </c>
      <c r="AE2612" t="str">
        <f t="shared" si="617"/>
        <v/>
      </c>
    </row>
    <row r="2613" spans="1:31" x14ac:dyDescent="0.4">
      <c r="A2613" t="str">
        <f>IF(原始经营数据!$D2614="","",原始经营数据!$D2614)</f>
        <v/>
      </c>
      <c r="B2613" t="str">
        <f>IF(原始经营数据!$D2614="","",T(原始经营数据!$E2614))</f>
        <v/>
      </c>
      <c r="C2613" t="str">
        <f>IF(原始经营数据!$D2614="","",原始经营数据!$F2614)</f>
        <v/>
      </c>
      <c r="D2613" t="str">
        <f>IF(原始经营数据!$D2614="","",原始经营数据!$H2614)</f>
        <v/>
      </c>
      <c r="E2613" t="str">
        <f>IF(原始经营数据!$D2614="","",原始经营数据!$I2614)</f>
        <v/>
      </c>
      <c r="F2613" t="str">
        <f>IF(原始经营数据!$D2614="","",T(原始经营数据!$J2614))</f>
        <v/>
      </c>
      <c r="G2613" t="str">
        <f>IF(原始经营数据!$D2614="","",T(原始经营数据!$K2614))</f>
        <v/>
      </c>
      <c r="H2613" t="str">
        <f>IF(原始经营数据!$D2614="","",原始经营数据!$G2614)</f>
        <v/>
      </c>
      <c r="I2613" t="str">
        <f>IF($A2613="","",IF($B2613&lt;&gt;"",$B2613,IF(COUNTIFS(原始经营数据!$D$3:$D$3001,$A2613,原始经营数据!$E$3:$E$3001,"",原始经营数据!$F$3:$F$3001,$C2613,原始经营数据!$H$3:$H$3001,$D2613,原始经营数据!$K$3:$K$3001,$G2613)&gt;1,"基金整体·来源"&amp;原始经营数据!$A2614,"基金整体")))</f>
        <v/>
      </c>
      <c r="J2613" t="str">
        <f t="shared" si="603"/>
        <v/>
      </c>
      <c r="K2613" t="str">
        <f t="shared" si="604"/>
        <v/>
      </c>
      <c r="L2613" t="str">
        <f t="shared" si="605"/>
        <v/>
      </c>
      <c r="M2613">
        <f>IF($A2613="",0,IF(COUNTIF($L$2:$L2613,$L2613)=1,1,0))</f>
        <v>0</v>
      </c>
      <c r="N2613" t="str">
        <f t="shared" si="606"/>
        <v/>
      </c>
      <c r="O2613" t="str">
        <f t="shared" si="607"/>
        <v/>
      </c>
      <c r="P2613">
        <f>IF($A2613="",0,IF(COUNTIF($O$2:$O2613,$O2613)=1,1,0))</f>
        <v>0</v>
      </c>
      <c r="Q2613" t="str">
        <f>IF(AND($P2613=1,$A2613=经营数据!$B$3,$J2613=经营数据!$BA$5),COUNTIFS($P$2:$P$3000,1,$A$2:$A$3000,$A2613,$J$2:$J$3000,$J2613,$N$2:$N$3000,"&lt;"&amp;$N2613)+1,"")</f>
        <v/>
      </c>
      <c r="R2613" t="str">
        <f t="shared" si="608"/>
        <v/>
      </c>
      <c r="S2613">
        <f>IF($A2613="",0,IF(COUNTIF($R$2:$R2613,$R2613)=1,1,0))</f>
        <v>0</v>
      </c>
      <c r="T2613" t="str">
        <f t="shared" si="609"/>
        <v/>
      </c>
      <c r="U2613" t="str">
        <f>IF($A2613="","",IF($A2613=经营数据!$B$3,COUNTIFS($S$2:$S$3000,1,$A$2:$A$3000,$A2613,$T$2:$T$3000,"&lt;"&amp;$T2613)+1,""))</f>
        <v/>
      </c>
      <c r="V2613" t="str">
        <f t="shared" si="610"/>
        <v/>
      </c>
      <c r="W2613" t="str">
        <f t="shared" si="611"/>
        <v/>
      </c>
      <c r="X2613" t="str">
        <f t="shared" si="612"/>
        <v/>
      </c>
      <c r="Y2613" t="str">
        <f t="shared" si="613"/>
        <v/>
      </c>
      <c r="Z2613">
        <f>IF($A2613="",0,IF(AND($M2613=1,$A2613=经营数据!$B$3,$J2613=经营数据!$BA$5,OR($I2613=经营数据!$BA$4,COUNTIF(经营数据!$AA$9:$AA$38,$I2613)&gt;0)),1,0))</f>
        <v>0</v>
      </c>
      <c r="AA2613" t="str">
        <f t="shared" si="614"/>
        <v/>
      </c>
      <c r="AB2613" t="str">
        <f t="shared" si="615"/>
        <v/>
      </c>
      <c r="AC2613">
        <f>IF($A2613="",0,IF(COUNTIF($A$2:$A2613,$A2613)=1,1,0))</f>
        <v>0</v>
      </c>
      <c r="AD2613">
        <f t="shared" si="616"/>
        <v>29</v>
      </c>
      <c r="AE2613" t="str">
        <f t="shared" si="617"/>
        <v/>
      </c>
    </row>
    <row r="2614" spans="1:31" x14ac:dyDescent="0.4">
      <c r="A2614" t="str">
        <f>IF(原始经营数据!$D2615="","",原始经营数据!$D2615)</f>
        <v/>
      </c>
      <c r="B2614" t="str">
        <f>IF(原始经营数据!$D2615="","",T(原始经营数据!$E2615))</f>
        <v/>
      </c>
      <c r="C2614" t="str">
        <f>IF(原始经营数据!$D2615="","",原始经营数据!$F2615)</f>
        <v/>
      </c>
      <c r="D2614" t="str">
        <f>IF(原始经营数据!$D2615="","",原始经营数据!$H2615)</f>
        <v/>
      </c>
      <c r="E2614" t="str">
        <f>IF(原始经营数据!$D2615="","",原始经营数据!$I2615)</f>
        <v/>
      </c>
      <c r="F2614" t="str">
        <f>IF(原始经营数据!$D2615="","",T(原始经营数据!$J2615))</f>
        <v/>
      </c>
      <c r="G2614" t="str">
        <f>IF(原始经营数据!$D2615="","",T(原始经营数据!$K2615))</f>
        <v/>
      </c>
      <c r="H2614" t="str">
        <f>IF(原始经营数据!$D2615="","",原始经营数据!$G2615)</f>
        <v/>
      </c>
      <c r="I2614" t="str">
        <f>IF($A2614="","",IF($B2614&lt;&gt;"",$B2614,IF(COUNTIFS(原始经营数据!$D$3:$D$3001,$A2614,原始经营数据!$E$3:$E$3001,"",原始经营数据!$F$3:$F$3001,$C2614,原始经营数据!$H$3:$H$3001,$D2614,原始经营数据!$K$3:$K$3001,$G2614)&gt;1,"基金整体·来源"&amp;原始经营数据!$A2615,"基金整体")))</f>
        <v/>
      </c>
      <c r="J2614" t="str">
        <f t="shared" si="603"/>
        <v/>
      </c>
      <c r="K2614" t="str">
        <f t="shared" si="604"/>
        <v/>
      </c>
      <c r="L2614" t="str">
        <f t="shared" si="605"/>
        <v/>
      </c>
      <c r="M2614">
        <f>IF($A2614="",0,IF(COUNTIF($L$2:$L2614,$L2614)=1,1,0))</f>
        <v>0</v>
      </c>
      <c r="N2614" t="str">
        <f t="shared" si="606"/>
        <v/>
      </c>
      <c r="O2614" t="str">
        <f t="shared" si="607"/>
        <v/>
      </c>
      <c r="P2614">
        <f>IF($A2614="",0,IF(COUNTIF($O$2:$O2614,$O2614)=1,1,0))</f>
        <v>0</v>
      </c>
      <c r="Q2614" t="str">
        <f>IF(AND($P2614=1,$A2614=经营数据!$B$3,$J2614=经营数据!$BA$5),COUNTIFS($P$2:$P$3000,1,$A$2:$A$3000,$A2614,$J$2:$J$3000,$J2614,$N$2:$N$3000,"&lt;"&amp;$N2614)+1,"")</f>
        <v/>
      </c>
      <c r="R2614" t="str">
        <f t="shared" si="608"/>
        <v/>
      </c>
      <c r="S2614">
        <f>IF($A2614="",0,IF(COUNTIF($R$2:$R2614,$R2614)=1,1,0))</f>
        <v>0</v>
      </c>
      <c r="T2614" t="str">
        <f t="shared" si="609"/>
        <v/>
      </c>
      <c r="U2614" t="str">
        <f>IF($A2614="","",IF($A2614=经营数据!$B$3,COUNTIFS($S$2:$S$3000,1,$A$2:$A$3000,$A2614,$T$2:$T$3000,"&lt;"&amp;$T2614)+1,""))</f>
        <v/>
      </c>
      <c r="V2614" t="str">
        <f t="shared" si="610"/>
        <v/>
      </c>
      <c r="W2614" t="str">
        <f t="shared" si="611"/>
        <v/>
      </c>
      <c r="X2614" t="str">
        <f t="shared" si="612"/>
        <v/>
      </c>
      <c r="Y2614" t="str">
        <f t="shared" si="613"/>
        <v/>
      </c>
      <c r="Z2614">
        <f>IF($A2614="",0,IF(AND($M2614=1,$A2614=经营数据!$B$3,$J2614=经营数据!$BA$5,OR($I2614=经营数据!$BA$4,COUNTIF(经营数据!$AA$9:$AA$38,$I2614)&gt;0)),1,0))</f>
        <v>0</v>
      </c>
      <c r="AA2614" t="str">
        <f t="shared" si="614"/>
        <v/>
      </c>
      <c r="AB2614" t="str">
        <f t="shared" si="615"/>
        <v/>
      </c>
      <c r="AC2614">
        <f>IF($A2614="",0,IF(COUNTIF($A$2:$A2614,$A2614)=1,1,0))</f>
        <v>0</v>
      </c>
      <c r="AD2614">
        <f t="shared" si="616"/>
        <v>29</v>
      </c>
      <c r="AE2614" t="str">
        <f t="shared" si="617"/>
        <v/>
      </c>
    </row>
    <row r="2615" spans="1:31" x14ac:dyDescent="0.4">
      <c r="A2615" t="str">
        <f>IF(原始经营数据!$D2616="","",原始经营数据!$D2616)</f>
        <v/>
      </c>
      <c r="B2615" t="str">
        <f>IF(原始经营数据!$D2616="","",T(原始经营数据!$E2616))</f>
        <v/>
      </c>
      <c r="C2615" t="str">
        <f>IF(原始经营数据!$D2616="","",原始经营数据!$F2616)</f>
        <v/>
      </c>
      <c r="D2615" t="str">
        <f>IF(原始经营数据!$D2616="","",原始经营数据!$H2616)</f>
        <v/>
      </c>
      <c r="E2615" t="str">
        <f>IF(原始经营数据!$D2616="","",原始经营数据!$I2616)</f>
        <v/>
      </c>
      <c r="F2615" t="str">
        <f>IF(原始经营数据!$D2616="","",T(原始经营数据!$J2616))</f>
        <v/>
      </c>
      <c r="G2615" t="str">
        <f>IF(原始经营数据!$D2616="","",T(原始经营数据!$K2616))</f>
        <v/>
      </c>
      <c r="H2615" t="str">
        <f>IF(原始经营数据!$D2616="","",原始经营数据!$G2616)</f>
        <v/>
      </c>
      <c r="I2615" t="str">
        <f>IF($A2615="","",IF($B2615&lt;&gt;"",$B2615,IF(COUNTIFS(原始经营数据!$D$3:$D$3001,$A2615,原始经营数据!$E$3:$E$3001,"",原始经营数据!$F$3:$F$3001,$C2615,原始经营数据!$H$3:$H$3001,$D2615,原始经营数据!$K$3:$K$3001,$G2615)&gt;1,"基金整体·来源"&amp;原始经营数据!$A2616,"基金整体")))</f>
        <v/>
      </c>
      <c r="J2615" t="str">
        <f t="shared" si="603"/>
        <v/>
      </c>
      <c r="K2615" t="str">
        <f t="shared" si="604"/>
        <v/>
      </c>
      <c r="L2615" t="str">
        <f t="shared" si="605"/>
        <v/>
      </c>
      <c r="M2615">
        <f>IF($A2615="",0,IF(COUNTIF($L$2:$L2615,$L2615)=1,1,0))</f>
        <v>0</v>
      </c>
      <c r="N2615" t="str">
        <f t="shared" si="606"/>
        <v/>
      </c>
      <c r="O2615" t="str">
        <f t="shared" si="607"/>
        <v/>
      </c>
      <c r="P2615">
        <f>IF($A2615="",0,IF(COUNTIF($O$2:$O2615,$O2615)=1,1,0))</f>
        <v>0</v>
      </c>
      <c r="Q2615" t="str">
        <f>IF(AND($P2615=1,$A2615=经营数据!$B$3,$J2615=经营数据!$BA$5),COUNTIFS($P$2:$P$3000,1,$A$2:$A$3000,$A2615,$J$2:$J$3000,$J2615,$N$2:$N$3000,"&lt;"&amp;$N2615)+1,"")</f>
        <v/>
      </c>
      <c r="R2615" t="str">
        <f t="shared" si="608"/>
        <v/>
      </c>
      <c r="S2615">
        <f>IF($A2615="",0,IF(COUNTIF($R$2:$R2615,$R2615)=1,1,0))</f>
        <v>0</v>
      </c>
      <c r="T2615" t="str">
        <f t="shared" si="609"/>
        <v/>
      </c>
      <c r="U2615" t="str">
        <f>IF($A2615="","",IF($A2615=经营数据!$B$3,COUNTIFS($S$2:$S$3000,1,$A$2:$A$3000,$A2615,$T$2:$T$3000,"&lt;"&amp;$T2615)+1,""))</f>
        <v/>
      </c>
      <c r="V2615" t="str">
        <f t="shared" si="610"/>
        <v/>
      </c>
      <c r="W2615" t="str">
        <f t="shared" si="611"/>
        <v/>
      </c>
      <c r="X2615" t="str">
        <f t="shared" si="612"/>
        <v/>
      </c>
      <c r="Y2615" t="str">
        <f t="shared" si="613"/>
        <v/>
      </c>
      <c r="Z2615">
        <f>IF($A2615="",0,IF(AND($M2615=1,$A2615=经营数据!$B$3,$J2615=经营数据!$BA$5,OR($I2615=经营数据!$BA$4,COUNTIF(经营数据!$AA$9:$AA$38,$I2615)&gt;0)),1,0))</f>
        <v>0</v>
      </c>
      <c r="AA2615" t="str">
        <f t="shared" si="614"/>
        <v/>
      </c>
      <c r="AB2615" t="str">
        <f t="shared" si="615"/>
        <v/>
      </c>
      <c r="AC2615">
        <f>IF($A2615="",0,IF(COUNTIF($A$2:$A2615,$A2615)=1,1,0))</f>
        <v>0</v>
      </c>
      <c r="AD2615">
        <f t="shared" si="616"/>
        <v>29</v>
      </c>
      <c r="AE2615" t="str">
        <f t="shared" si="617"/>
        <v/>
      </c>
    </row>
    <row r="2616" spans="1:31" x14ac:dyDescent="0.4">
      <c r="A2616" t="str">
        <f>IF(原始经营数据!$D2617="","",原始经营数据!$D2617)</f>
        <v/>
      </c>
      <c r="B2616" t="str">
        <f>IF(原始经营数据!$D2617="","",T(原始经营数据!$E2617))</f>
        <v/>
      </c>
      <c r="C2616" t="str">
        <f>IF(原始经营数据!$D2617="","",原始经营数据!$F2617)</f>
        <v/>
      </c>
      <c r="D2616" t="str">
        <f>IF(原始经营数据!$D2617="","",原始经营数据!$H2617)</f>
        <v/>
      </c>
      <c r="E2616" t="str">
        <f>IF(原始经营数据!$D2617="","",原始经营数据!$I2617)</f>
        <v/>
      </c>
      <c r="F2616" t="str">
        <f>IF(原始经营数据!$D2617="","",T(原始经营数据!$J2617))</f>
        <v/>
      </c>
      <c r="G2616" t="str">
        <f>IF(原始经营数据!$D2617="","",T(原始经营数据!$K2617))</f>
        <v/>
      </c>
      <c r="H2616" t="str">
        <f>IF(原始经营数据!$D2617="","",原始经营数据!$G2617)</f>
        <v/>
      </c>
      <c r="I2616" t="str">
        <f>IF($A2616="","",IF($B2616&lt;&gt;"",$B2616,IF(COUNTIFS(原始经营数据!$D$3:$D$3001,$A2616,原始经营数据!$E$3:$E$3001,"",原始经营数据!$F$3:$F$3001,$C2616,原始经营数据!$H$3:$H$3001,$D2616,原始经营数据!$K$3:$K$3001,$G2616)&gt;1,"基金整体·来源"&amp;原始经营数据!$A2617,"基金整体")))</f>
        <v/>
      </c>
      <c r="J2616" t="str">
        <f t="shared" si="603"/>
        <v/>
      </c>
      <c r="K2616" t="str">
        <f t="shared" si="604"/>
        <v/>
      </c>
      <c r="L2616" t="str">
        <f t="shared" si="605"/>
        <v/>
      </c>
      <c r="M2616">
        <f>IF($A2616="",0,IF(COUNTIF($L$2:$L2616,$L2616)=1,1,0))</f>
        <v>0</v>
      </c>
      <c r="N2616" t="str">
        <f t="shared" si="606"/>
        <v/>
      </c>
      <c r="O2616" t="str">
        <f t="shared" si="607"/>
        <v/>
      </c>
      <c r="P2616">
        <f>IF($A2616="",0,IF(COUNTIF($O$2:$O2616,$O2616)=1,1,0))</f>
        <v>0</v>
      </c>
      <c r="Q2616" t="str">
        <f>IF(AND($P2616=1,$A2616=经营数据!$B$3,$J2616=经营数据!$BA$5),COUNTIFS($P$2:$P$3000,1,$A$2:$A$3000,$A2616,$J$2:$J$3000,$J2616,$N$2:$N$3000,"&lt;"&amp;$N2616)+1,"")</f>
        <v/>
      </c>
      <c r="R2616" t="str">
        <f t="shared" si="608"/>
        <v/>
      </c>
      <c r="S2616">
        <f>IF($A2616="",0,IF(COUNTIF($R$2:$R2616,$R2616)=1,1,0))</f>
        <v>0</v>
      </c>
      <c r="T2616" t="str">
        <f t="shared" si="609"/>
        <v/>
      </c>
      <c r="U2616" t="str">
        <f>IF($A2616="","",IF($A2616=经营数据!$B$3,COUNTIFS($S$2:$S$3000,1,$A$2:$A$3000,$A2616,$T$2:$T$3000,"&lt;"&amp;$T2616)+1,""))</f>
        <v/>
      </c>
      <c r="V2616" t="str">
        <f t="shared" si="610"/>
        <v/>
      </c>
      <c r="W2616" t="str">
        <f t="shared" si="611"/>
        <v/>
      </c>
      <c r="X2616" t="str">
        <f t="shared" si="612"/>
        <v/>
      </c>
      <c r="Y2616" t="str">
        <f t="shared" si="613"/>
        <v/>
      </c>
      <c r="Z2616">
        <f>IF($A2616="",0,IF(AND($M2616=1,$A2616=经营数据!$B$3,$J2616=经营数据!$BA$5,OR($I2616=经营数据!$BA$4,COUNTIF(经营数据!$AA$9:$AA$38,$I2616)&gt;0)),1,0))</f>
        <v>0</v>
      </c>
      <c r="AA2616" t="str">
        <f t="shared" si="614"/>
        <v/>
      </c>
      <c r="AB2616" t="str">
        <f t="shared" si="615"/>
        <v/>
      </c>
      <c r="AC2616">
        <f>IF($A2616="",0,IF(COUNTIF($A$2:$A2616,$A2616)=1,1,0))</f>
        <v>0</v>
      </c>
      <c r="AD2616">
        <f t="shared" si="616"/>
        <v>29</v>
      </c>
      <c r="AE2616" t="str">
        <f t="shared" si="617"/>
        <v/>
      </c>
    </row>
    <row r="2617" spans="1:31" x14ac:dyDescent="0.4">
      <c r="A2617" t="str">
        <f>IF(原始经营数据!$D2618="","",原始经营数据!$D2618)</f>
        <v/>
      </c>
      <c r="B2617" t="str">
        <f>IF(原始经营数据!$D2618="","",T(原始经营数据!$E2618))</f>
        <v/>
      </c>
      <c r="C2617" t="str">
        <f>IF(原始经营数据!$D2618="","",原始经营数据!$F2618)</f>
        <v/>
      </c>
      <c r="D2617" t="str">
        <f>IF(原始经营数据!$D2618="","",原始经营数据!$H2618)</f>
        <v/>
      </c>
      <c r="E2617" t="str">
        <f>IF(原始经营数据!$D2618="","",原始经营数据!$I2618)</f>
        <v/>
      </c>
      <c r="F2617" t="str">
        <f>IF(原始经营数据!$D2618="","",T(原始经营数据!$J2618))</f>
        <v/>
      </c>
      <c r="G2617" t="str">
        <f>IF(原始经营数据!$D2618="","",T(原始经营数据!$K2618))</f>
        <v/>
      </c>
      <c r="H2617" t="str">
        <f>IF(原始经营数据!$D2618="","",原始经营数据!$G2618)</f>
        <v/>
      </c>
      <c r="I2617" t="str">
        <f>IF($A2617="","",IF($B2617&lt;&gt;"",$B2617,IF(COUNTIFS(原始经营数据!$D$3:$D$3001,$A2617,原始经营数据!$E$3:$E$3001,"",原始经营数据!$F$3:$F$3001,$C2617,原始经营数据!$H$3:$H$3001,$D2617,原始经营数据!$K$3:$K$3001,$G2617)&gt;1,"基金整体·来源"&amp;原始经营数据!$A2618,"基金整体")))</f>
        <v/>
      </c>
      <c r="J2617" t="str">
        <f t="shared" si="603"/>
        <v/>
      </c>
      <c r="K2617" t="str">
        <f t="shared" si="604"/>
        <v/>
      </c>
      <c r="L2617" t="str">
        <f t="shared" si="605"/>
        <v/>
      </c>
      <c r="M2617">
        <f>IF($A2617="",0,IF(COUNTIF($L$2:$L2617,$L2617)=1,1,0))</f>
        <v>0</v>
      </c>
      <c r="N2617" t="str">
        <f t="shared" si="606"/>
        <v/>
      </c>
      <c r="O2617" t="str">
        <f t="shared" si="607"/>
        <v/>
      </c>
      <c r="P2617">
        <f>IF($A2617="",0,IF(COUNTIF($O$2:$O2617,$O2617)=1,1,0))</f>
        <v>0</v>
      </c>
      <c r="Q2617" t="str">
        <f>IF(AND($P2617=1,$A2617=经营数据!$B$3,$J2617=经营数据!$BA$5),COUNTIFS($P$2:$P$3000,1,$A$2:$A$3000,$A2617,$J$2:$J$3000,$J2617,$N$2:$N$3000,"&lt;"&amp;$N2617)+1,"")</f>
        <v/>
      </c>
      <c r="R2617" t="str">
        <f t="shared" si="608"/>
        <v/>
      </c>
      <c r="S2617">
        <f>IF($A2617="",0,IF(COUNTIF($R$2:$R2617,$R2617)=1,1,0))</f>
        <v>0</v>
      </c>
      <c r="T2617" t="str">
        <f t="shared" si="609"/>
        <v/>
      </c>
      <c r="U2617" t="str">
        <f>IF($A2617="","",IF($A2617=经营数据!$B$3,COUNTIFS($S$2:$S$3000,1,$A$2:$A$3000,$A2617,$T$2:$T$3000,"&lt;"&amp;$T2617)+1,""))</f>
        <v/>
      </c>
      <c r="V2617" t="str">
        <f t="shared" si="610"/>
        <v/>
      </c>
      <c r="W2617" t="str">
        <f t="shared" si="611"/>
        <v/>
      </c>
      <c r="X2617" t="str">
        <f t="shared" si="612"/>
        <v/>
      </c>
      <c r="Y2617" t="str">
        <f t="shared" si="613"/>
        <v/>
      </c>
      <c r="Z2617">
        <f>IF($A2617="",0,IF(AND($M2617=1,$A2617=经营数据!$B$3,$J2617=经营数据!$BA$5,OR($I2617=经营数据!$BA$4,COUNTIF(经营数据!$AA$9:$AA$38,$I2617)&gt;0)),1,0))</f>
        <v>0</v>
      </c>
      <c r="AA2617" t="str">
        <f t="shared" si="614"/>
        <v/>
      </c>
      <c r="AB2617" t="str">
        <f t="shared" si="615"/>
        <v/>
      </c>
      <c r="AC2617">
        <f>IF($A2617="",0,IF(COUNTIF($A$2:$A2617,$A2617)=1,1,0))</f>
        <v>0</v>
      </c>
      <c r="AD2617">
        <f t="shared" si="616"/>
        <v>29</v>
      </c>
      <c r="AE2617" t="str">
        <f t="shared" si="617"/>
        <v/>
      </c>
    </row>
    <row r="2618" spans="1:31" x14ac:dyDescent="0.4">
      <c r="A2618" t="str">
        <f>IF(原始经营数据!$D2619="","",原始经营数据!$D2619)</f>
        <v/>
      </c>
      <c r="B2618" t="str">
        <f>IF(原始经营数据!$D2619="","",T(原始经营数据!$E2619))</f>
        <v/>
      </c>
      <c r="C2618" t="str">
        <f>IF(原始经营数据!$D2619="","",原始经营数据!$F2619)</f>
        <v/>
      </c>
      <c r="D2618" t="str">
        <f>IF(原始经营数据!$D2619="","",原始经营数据!$H2619)</f>
        <v/>
      </c>
      <c r="E2618" t="str">
        <f>IF(原始经营数据!$D2619="","",原始经营数据!$I2619)</f>
        <v/>
      </c>
      <c r="F2618" t="str">
        <f>IF(原始经营数据!$D2619="","",T(原始经营数据!$J2619))</f>
        <v/>
      </c>
      <c r="G2618" t="str">
        <f>IF(原始经营数据!$D2619="","",T(原始经营数据!$K2619))</f>
        <v/>
      </c>
      <c r="H2618" t="str">
        <f>IF(原始经营数据!$D2619="","",原始经营数据!$G2619)</f>
        <v/>
      </c>
      <c r="I2618" t="str">
        <f>IF($A2618="","",IF($B2618&lt;&gt;"",$B2618,IF(COUNTIFS(原始经营数据!$D$3:$D$3001,$A2618,原始经营数据!$E$3:$E$3001,"",原始经营数据!$F$3:$F$3001,$C2618,原始经营数据!$H$3:$H$3001,$D2618,原始经营数据!$K$3:$K$3001,$G2618)&gt;1,"基金整体·来源"&amp;原始经营数据!$A2619,"基金整体")))</f>
        <v/>
      </c>
      <c r="J2618" t="str">
        <f t="shared" si="603"/>
        <v/>
      </c>
      <c r="K2618" t="str">
        <f t="shared" si="604"/>
        <v/>
      </c>
      <c r="L2618" t="str">
        <f t="shared" si="605"/>
        <v/>
      </c>
      <c r="M2618">
        <f>IF($A2618="",0,IF(COUNTIF($L$2:$L2618,$L2618)=1,1,0))</f>
        <v>0</v>
      </c>
      <c r="N2618" t="str">
        <f t="shared" si="606"/>
        <v/>
      </c>
      <c r="O2618" t="str">
        <f t="shared" si="607"/>
        <v/>
      </c>
      <c r="P2618">
        <f>IF($A2618="",0,IF(COUNTIF($O$2:$O2618,$O2618)=1,1,0))</f>
        <v>0</v>
      </c>
      <c r="Q2618" t="str">
        <f>IF(AND($P2618=1,$A2618=经营数据!$B$3,$J2618=经营数据!$BA$5),COUNTIFS($P$2:$P$3000,1,$A$2:$A$3000,$A2618,$J$2:$J$3000,$J2618,$N$2:$N$3000,"&lt;"&amp;$N2618)+1,"")</f>
        <v/>
      </c>
      <c r="R2618" t="str">
        <f t="shared" si="608"/>
        <v/>
      </c>
      <c r="S2618">
        <f>IF($A2618="",0,IF(COUNTIF($R$2:$R2618,$R2618)=1,1,0))</f>
        <v>0</v>
      </c>
      <c r="T2618" t="str">
        <f t="shared" si="609"/>
        <v/>
      </c>
      <c r="U2618" t="str">
        <f>IF($A2618="","",IF($A2618=经营数据!$B$3,COUNTIFS($S$2:$S$3000,1,$A$2:$A$3000,$A2618,$T$2:$T$3000,"&lt;"&amp;$T2618)+1,""))</f>
        <v/>
      </c>
      <c r="V2618" t="str">
        <f t="shared" si="610"/>
        <v/>
      </c>
      <c r="W2618" t="str">
        <f t="shared" si="611"/>
        <v/>
      </c>
      <c r="X2618" t="str">
        <f t="shared" si="612"/>
        <v/>
      </c>
      <c r="Y2618" t="str">
        <f t="shared" si="613"/>
        <v/>
      </c>
      <c r="Z2618">
        <f>IF($A2618="",0,IF(AND($M2618=1,$A2618=经营数据!$B$3,$J2618=经营数据!$BA$5,OR($I2618=经营数据!$BA$4,COUNTIF(经营数据!$AA$9:$AA$38,$I2618)&gt;0)),1,0))</f>
        <v>0</v>
      </c>
      <c r="AA2618" t="str">
        <f t="shared" si="614"/>
        <v/>
      </c>
      <c r="AB2618" t="str">
        <f t="shared" si="615"/>
        <v/>
      </c>
      <c r="AC2618">
        <f>IF($A2618="",0,IF(COUNTIF($A$2:$A2618,$A2618)=1,1,0))</f>
        <v>0</v>
      </c>
      <c r="AD2618">
        <f t="shared" si="616"/>
        <v>29</v>
      </c>
      <c r="AE2618" t="str">
        <f t="shared" si="617"/>
        <v/>
      </c>
    </row>
    <row r="2619" spans="1:31" x14ac:dyDescent="0.4">
      <c r="A2619" t="str">
        <f>IF(原始经营数据!$D2620="","",原始经营数据!$D2620)</f>
        <v/>
      </c>
      <c r="B2619" t="str">
        <f>IF(原始经营数据!$D2620="","",T(原始经营数据!$E2620))</f>
        <v/>
      </c>
      <c r="C2619" t="str">
        <f>IF(原始经营数据!$D2620="","",原始经营数据!$F2620)</f>
        <v/>
      </c>
      <c r="D2619" t="str">
        <f>IF(原始经营数据!$D2620="","",原始经营数据!$H2620)</f>
        <v/>
      </c>
      <c r="E2619" t="str">
        <f>IF(原始经营数据!$D2620="","",原始经营数据!$I2620)</f>
        <v/>
      </c>
      <c r="F2619" t="str">
        <f>IF(原始经营数据!$D2620="","",T(原始经营数据!$J2620))</f>
        <v/>
      </c>
      <c r="G2619" t="str">
        <f>IF(原始经营数据!$D2620="","",T(原始经营数据!$K2620))</f>
        <v/>
      </c>
      <c r="H2619" t="str">
        <f>IF(原始经营数据!$D2620="","",原始经营数据!$G2620)</f>
        <v/>
      </c>
      <c r="I2619" t="str">
        <f>IF($A2619="","",IF($B2619&lt;&gt;"",$B2619,IF(COUNTIFS(原始经营数据!$D$3:$D$3001,$A2619,原始经营数据!$E$3:$E$3001,"",原始经营数据!$F$3:$F$3001,$C2619,原始经营数据!$H$3:$H$3001,$D2619,原始经营数据!$K$3:$K$3001,$G2619)&gt;1,"基金整体·来源"&amp;原始经营数据!$A2620,"基金整体")))</f>
        <v/>
      </c>
      <c r="J2619" t="str">
        <f t="shared" si="603"/>
        <v/>
      </c>
      <c r="K2619" t="str">
        <f t="shared" si="604"/>
        <v/>
      </c>
      <c r="L2619" t="str">
        <f t="shared" si="605"/>
        <v/>
      </c>
      <c r="M2619">
        <f>IF($A2619="",0,IF(COUNTIF($L$2:$L2619,$L2619)=1,1,0))</f>
        <v>0</v>
      </c>
      <c r="N2619" t="str">
        <f t="shared" si="606"/>
        <v/>
      </c>
      <c r="O2619" t="str">
        <f t="shared" si="607"/>
        <v/>
      </c>
      <c r="P2619">
        <f>IF($A2619="",0,IF(COUNTIF($O$2:$O2619,$O2619)=1,1,0))</f>
        <v>0</v>
      </c>
      <c r="Q2619" t="str">
        <f>IF(AND($P2619=1,$A2619=经营数据!$B$3,$J2619=经营数据!$BA$5),COUNTIFS($P$2:$P$3000,1,$A$2:$A$3000,$A2619,$J$2:$J$3000,$J2619,$N$2:$N$3000,"&lt;"&amp;$N2619)+1,"")</f>
        <v/>
      </c>
      <c r="R2619" t="str">
        <f t="shared" si="608"/>
        <v/>
      </c>
      <c r="S2619">
        <f>IF($A2619="",0,IF(COUNTIF($R$2:$R2619,$R2619)=1,1,0))</f>
        <v>0</v>
      </c>
      <c r="T2619" t="str">
        <f t="shared" si="609"/>
        <v/>
      </c>
      <c r="U2619" t="str">
        <f>IF($A2619="","",IF($A2619=经营数据!$B$3,COUNTIFS($S$2:$S$3000,1,$A$2:$A$3000,$A2619,$T$2:$T$3000,"&lt;"&amp;$T2619)+1,""))</f>
        <v/>
      </c>
      <c r="V2619" t="str">
        <f t="shared" si="610"/>
        <v/>
      </c>
      <c r="W2619" t="str">
        <f t="shared" si="611"/>
        <v/>
      </c>
      <c r="X2619" t="str">
        <f t="shared" si="612"/>
        <v/>
      </c>
      <c r="Y2619" t="str">
        <f t="shared" si="613"/>
        <v/>
      </c>
      <c r="Z2619">
        <f>IF($A2619="",0,IF(AND($M2619=1,$A2619=经营数据!$B$3,$J2619=经营数据!$BA$5,OR($I2619=经营数据!$BA$4,COUNTIF(经营数据!$AA$9:$AA$38,$I2619)&gt;0)),1,0))</f>
        <v>0</v>
      </c>
      <c r="AA2619" t="str">
        <f t="shared" si="614"/>
        <v/>
      </c>
      <c r="AB2619" t="str">
        <f t="shared" si="615"/>
        <v/>
      </c>
      <c r="AC2619">
        <f>IF($A2619="",0,IF(COUNTIF($A$2:$A2619,$A2619)=1,1,0))</f>
        <v>0</v>
      </c>
      <c r="AD2619">
        <f t="shared" si="616"/>
        <v>29</v>
      </c>
      <c r="AE2619" t="str">
        <f t="shared" si="617"/>
        <v/>
      </c>
    </row>
    <row r="2620" spans="1:31" x14ac:dyDescent="0.4">
      <c r="A2620" t="str">
        <f>IF(原始经营数据!$D2621="","",原始经营数据!$D2621)</f>
        <v/>
      </c>
      <c r="B2620" t="str">
        <f>IF(原始经营数据!$D2621="","",T(原始经营数据!$E2621))</f>
        <v/>
      </c>
      <c r="C2620" t="str">
        <f>IF(原始经营数据!$D2621="","",原始经营数据!$F2621)</f>
        <v/>
      </c>
      <c r="D2620" t="str">
        <f>IF(原始经营数据!$D2621="","",原始经营数据!$H2621)</f>
        <v/>
      </c>
      <c r="E2620" t="str">
        <f>IF(原始经营数据!$D2621="","",原始经营数据!$I2621)</f>
        <v/>
      </c>
      <c r="F2620" t="str">
        <f>IF(原始经营数据!$D2621="","",T(原始经营数据!$J2621))</f>
        <v/>
      </c>
      <c r="G2620" t="str">
        <f>IF(原始经营数据!$D2621="","",T(原始经营数据!$K2621))</f>
        <v/>
      </c>
      <c r="H2620" t="str">
        <f>IF(原始经营数据!$D2621="","",原始经营数据!$G2621)</f>
        <v/>
      </c>
      <c r="I2620" t="str">
        <f>IF($A2620="","",IF($B2620&lt;&gt;"",$B2620,IF(COUNTIFS(原始经营数据!$D$3:$D$3001,$A2620,原始经营数据!$E$3:$E$3001,"",原始经营数据!$F$3:$F$3001,$C2620,原始经营数据!$H$3:$H$3001,$D2620,原始经营数据!$K$3:$K$3001,$G2620)&gt;1,"基金整体·来源"&amp;原始经营数据!$A2621,"基金整体")))</f>
        <v/>
      </c>
      <c r="J2620" t="str">
        <f t="shared" si="603"/>
        <v/>
      </c>
      <c r="K2620" t="str">
        <f t="shared" si="604"/>
        <v/>
      </c>
      <c r="L2620" t="str">
        <f t="shared" si="605"/>
        <v/>
      </c>
      <c r="M2620">
        <f>IF($A2620="",0,IF(COUNTIF($L$2:$L2620,$L2620)=1,1,0))</f>
        <v>0</v>
      </c>
      <c r="N2620" t="str">
        <f t="shared" si="606"/>
        <v/>
      </c>
      <c r="O2620" t="str">
        <f t="shared" si="607"/>
        <v/>
      </c>
      <c r="P2620">
        <f>IF($A2620="",0,IF(COUNTIF($O$2:$O2620,$O2620)=1,1,0))</f>
        <v>0</v>
      </c>
      <c r="Q2620" t="str">
        <f>IF(AND($P2620=1,$A2620=经营数据!$B$3,$J2620=经营数据!$BA$5),COUNTIFS($P$2:$P$3000,1,$A$2:$A$3000,$A2620,$J$2:$J$3000,$J2620,$N$2:$N$3000,"&lt;"&amp;$N2620)+1,"")</f>
        <v/>
      </c>
      <c r="R2620" t="str">
        <f t="shared" si="608"/>
        <v/>
      </c>
      <c r="S2620">
        <f>IF($A2620="",0,IF(COUNTIF($R$2:$R2620,$R2620)=1,1,0))</f>
        <v>0</v>
      </c>
      <c r="T2620" t="str">
        <f t="shared" si="609"/>
        <v/>
      </c>
      <c r="U2620" t="str">
        <f>IF($A2620="","",IF($A2620=经营数据!$B$3,COUNTIFS($S$2:$S$3000,1,$A$2:$A$3000,$A2620,$T$2:$T$3000,"&lt;"&amp;$T2620)+1,""))</f>
        <v/>
      </c>
      <c r="V2620" t="str">
        <f t="shared" si="610"/>
        <v/>
      </c>
      <c r="W2620" t="str">
        <f t="shared" si="611"/>
        <v/>
      </c>
      <c r="X2620" t="str">
        <f t="shared" si="612"/>
        <v/>
      </c>
      <c r="Y2620" t="str">
        <f t="shared" si="613"/>
        <v/>
      </c>
      <c r="Z2620">
        <f>IF($A2620="",0,IF(AND($M2620=1,$A2620=经营数据!$B$3,$J2620=经营数据!$BA$5,OR($I2620=经营数据!$BA$4,COUNTIF(经营数据!$AA$9:$AA$38,$I2620)&gt;0)),1,0))</f>
        <v>0</v>
      </c>
      <c r="AA2620" t="str">
        <f t="shared" si="614"/>
        <v/>
      </c>
      <c r="AB2620" t="str">
        <f t="shared" si="615"/>
        <v/>
      </c>
      <c r="AC2620">
        <f>IF($A2620="",0,IF(COUNTIF($A$2:$A2620,$A2620)=1,1,0))</f>
        <v>0</v>
      </c>
      <c r="AD2620">
        <f t="shared" si="616"/>
        <v>29</v>
      </c>
      <c r="AE2620" t="str">
        <f t="shared" si="617"/>
        <v/>
      </c>
    </row>
    <row r="2621" spans="1:31" x14ac:dyDescent="0.4">
      <c r="A2621" t="str">
        <f>IF(原始经营数据!$D2622="","",原始经营数据!$D2622)</f>
        <v/>
      </c>
      <c r="B2621" t="str">
        <f>IF(原始经营数据!$D2622="","",T(原始经营数据!$E2622))</f>
        <v/>
      </c>
      <c r="C2621" t="str">
        <f>IF(原始经营数据!$D2622="","",原始经营数据!$F2622)</f>
        <v/>
      </c>
      <c r="D2621" t="str">
        <f>IF(原始经营数据!$D2622="","",原始经营数据!$H2622)</f>
        <v/>
      </c>
      <c r="E2621" t="str">
        <f>IF(原始经营数据!$D2622="","",原始经营数据!$I2622)</f>
        <v/>
      </c>
      <c r="F2621" t="str">
        <f>IF(原始经营数据!$D2622="","",T(原始经营数据!$J2622))</f>
        <v/>
      </c>
      <c r="G2621" t="str">
        <f>IF(原始经营数据!$D2622="","",T(原始经营数据!$K2622))</f>
        <v/>
      </c>
      <c r="H2621" t="str">
        <f>IF(原始经营数据!$D2622="","",原始经营数据!$G2622)</f>
        <v/>
      </c>
      <c r="I2621" t="str">
        <f>IF($A2621="","",IF($B2621&lt;&gt;"",$B2621,IF(COUNTIFS(原始经营数据!$D$3:$D$3001,$A2621,原始经营数据!$E$3:$E$3001,"",原始经营数据!$F$3:$F$3001,$C2621,原始经营数据!$H$3:$H$3001,$D2621,原始经营数据!$K$3:$K$3001,$G2621)&gt;1,"基金整体·来源"&amp;原始经营数据!$A2622,"基金整体")))</f>
        <v/>
      </c>
      <c r="J2621" t="str">
        <f t="shared" si="603"/>
        <v/>
      </c>
      <c r="K2621" t="str">
        <f t="shared" si="604"/>
        <v/>
      </c>
      <c r="L2621" t="str">
        <f t="shared" si="605"/>
        <v/>
      </c>
      <c r="M2621">
        <f>IF($A2621="",0,IF(COUNTIF($L$2:$L2621,$L2621)=1,1,0))</f>
        <v>0</v>
      </c>
      <c r="N2621" t="str">
        <f t="shared" si="606"/>
        <v/>
      </c>
      <c r="O2621" t="str">
        <f t="shared" si="607"/>
        <v/>
      </c>
      <c r="P2621">
        <f>IF($A2621="",0,IF(COUNTIF($O$2:$O2621,$O2621)=1,1,0))</f>
        <v>0</v>
      </c>
      <c r="Q2621" t="str">
        <f>IF(AND($P2621=1,$A2621=经营数据!$B$3,$J2621=经营数据!$BA$5),COUNTIFS($P$2:$P$3000,1,$A$2:$A$3000,$A2621,$J$2:$J$3000,$J2621,$N$2:$N$3000,"&lt;"&amp;$N2621)+1,"")</f>
        <v/>
      </c>
      <c r="R2621" t="str">
        <f t="shared" si="608"/>
        <v/>
      </c>
      <c r="S2621">
        <f>IF($A2621="",0,IF(COUNTIF($R$2:$R2621,$R2621)=1,1,0))</f>
        <v>0</v>
      </c>
      <c r="T2621" t="str">
        <f t="shared" si="609"/>
        <v/>
      </c>
      <c r="U2621" t="str">
        <f>IF($A2621="","",IF($A2621=经营数据!$B$3,COUNTIFS($S$2:$S$3000,1,$A$2:$A$3000,$A2621,$T$2:$T$3000,"&lt;"&amp;$T2621)+1,""))</f>
        <v/>
      </c>
      <c r="V2621" t="str">
        <f t="shared" si="610"/>
        <v/>
      </c>
      <c r="W2621" t="str">
        <f t="shared" si="611"/>
        <v/>
      </c>
      <c r="X2621" t="str">
        <f t="shared" si="612"/>
        <v/>
      </c>
      <c r="Y2621" t="str">
        <f t="shared" si="613"/>
        <v/>
      </c>
      <c r="Z2621">
        <f>IF($A2621="",0,IF(AND($M2621=1,$A2621=经营数据!$B$3,$J2621=经营数据!$BA$5,OR($I2621=经营数据!$BA$4,COUNTIF(经营数据!$AA$9:$AA$38,$I2621)&gt;0)),1,0))</f>
        <v>0</v>
      </c>
      <c r="AA2621" t="str">
        <f t="shared" si="614"/>
        <v/>
      </c>
      <c r="AB2621" t="str">
        <f t="shared" si="615"/>
        <v/>
      </c>
      <c r="AC2621">
        <f>IF($A2621="",0,IF(COUNTIF($A$2:$A2621,$A2621)=1,1,0))</f>
        <v>0</v>
      </c>
      <c r="AD2621">
        <f t="shared" si="616"/>
        <v>29</v>
      </c>
      <c r="AE2621" t="str">
        <f t="shared" si="617"/>
        <v/>
      </c>
    </row>
    <row r="2622" spans="1:31" x14ac:dyDescent="0.4">
      <c r="A2622" t="str">
        <f>IF(原始经营数据!$D2623="","",原始经营数据!$D2623)</f>
        <v/>
      </c>
      <c r="B2622" t="str">
        <f>IF(原始经营数据!$D2623="","",T(原始经营数据!$E2623))</f>
        <v/>
      </c>
      <c r="C2622" t="str">
        <f>IF(原始经营数据!$D2623="","",原始经营数据!$F2623)</f>
        <v/>
      </c>
      <c r="D2622" t="str">
        <f>IF(原始经营数据!$D2623="","",原始经营数据!$H2623)</f>
        <v/>
      </c>
      <c r="E2622" t="str">
        <f>IF(原始经营数据!$D2623="","",原始经营数据!$I2623)</f>
        <v/>
      </c>
      <c r="F2622" t="str">
        <f>IF(原始经营数据!$D2623="","",T(原始经营数据!$J2623))</f>
        <v/>
      </c>
      <c r="G2622" t="str">
        <f>IF(原始经营数据!$D2623="","",T(原始经营数据!$K2623))</f>
        <v/>
      </c>
      <c r="H2622" t="str">
        <f>IF(原始经营数据!$D2623="","",原始经营数据!$G2623)</f>
        <v/>
      </c>
      <c r="I2622" t="str">
        <f>IF($A2622="","",IF($B2622&lt;&gt;"",$B2622,IF(COUNTIFS(原始经营数据!$D$3:$D$3001,$A2622,原始经营数据!$E$3:$E$3001,"",原始经营数据!$F$3:$F$3001,$C2622,原始经营数据!$H$3:$H$3001,$D2622,原始经营数据!$K$3:$K$3001,$G2622)&gt;1,"基金整体·来源"&amp;原始经营数据!$A2623,"基金整体")))</f>
        <v/>
      </c>
      <c r="J2622" t="str">
        <f t="shared" si="603"/>
        <v/>
      </c>
      <c r="K2622" t="str">
        <f t="shared" si="604"/>
        <v/>
      </c>
      <c r="L2622" t="str">
        <f t="shared" si="605"/>
        <v/>
      </c>
      <c r="M2622">
        <f>IF($A2622="",0,IF(COUNTIF($L$2:$L2622,$L2622)=1,1,0))</f>
        <v>0</v>
      </c>
      <c r="N2622" t="str">
        <f t="shared" si="606"/>
        <v/>
      </c>
      <c r="O2622" t="str">
        <f t="shared" si="607"/>
        <v/>
      </c>
      <c r="P2622">
        <f>IF($A2622="",0,IF(COUNTIF($O$2:$O2622,$O2622)=1,1,0))</f>
        <v>0</v>
      </c>
      <c r="Q2622" t="str">
        <f>IF(AND($P2622=1,$A2622=经营数据!$B$3,$J2622=经营数据!$BA$5),COUNTIFS($P$2:$P$3000,1,$A$2:$A$3000,$A2622,$J$2:$J$3000,$J2622,$N$2:$N$3000,"&lt;"&amp;$N2622)+1,"")</f>
        <v/>
      </c>
      <c r="R2622" t="str">
        <f t="shared" si="608"/>
        <v/>
      </c>
      <c r="S2622">
        <f>IF($A2622="",0,IF(COUNTIF($R$2:$R2622,$R2622)=1,1,0))</f>
        <v>0</v>
      </c>
      <c r="T2622" t="str">
        <f t="shared" si="609"/>
        <v/>
      </c>
      <c r="U2622" t="str">
        <f>IF($A2622="","",IF($A2622=经营数据!$B$3,COUNTIFS($S$2:$S$3000,1,$A$2:$A$3000,$A2622,$T$2:$T$3000,"&lt;"&amp;$T2622)+1,""))</f>
        <v/>
      </c>
      <c r="V2622" t="str">
        <f t="shared" si="610"/>
        <v/>
      </c>
      <c r="W2622" t="str">
        <f t="shared" si="611"/>
        <v/>
      </c>
      <c r="X2622" t="str">
        <f t="shared" si="612"/>
        <v/>
      </c>
      <c r="Y2622" t="str">
        <f t="shared" si="613"/>
        <v/>
      </c>
      <c r="Z2622">
        <f>IF($A2622="",0,IF(AND($M2622=1,$A2622=经营数据!$B$3,$J2622=经营数据!$BA$5,OR($I2622=经营数据!$BA$4,COUNTIF(经营数据!$AA$9:$AA$38,$I2622)&gt;0)),1,0))</f>
        <v>0</v>
      </c>
      <c r="AA2622" t="str">
        <f t="shared" si="614"/>
        <v/>
      </c>
      <c r="AB2622" t="str">
        <f t="shared" si="615"/>
        <v/>
      </c>
      <c r="AC2622">
        <f>IF($A2622="",0,IF(COUNTIF($A$2:$A2622,$A2622)=1,1,0))</f>
        <v>0</v>
      </c>
      <c r="AD2622">
        <f t="shared" si="616"/>
        <v>29</v>
      </c>
      <c r="AE2622" t="str">
        <f t="shared" si="617"/>
        <v/>
      </c>
    </row>
    <row r="2623" spans="1:31" x14ac:dyDescent="0.4">
      <c r="A2623" t="str">
        <f>IF(原始经营数据!$D2624="","",原始经营数据!$D2624)</f>
        <v/>
      </c>
      <c r="B2623" t="str">
        <f>IF(原始经营数据!$D2624="","",T(原始经营数据!$E2624))</f>
        <v/>
      </c>
      <c r="C2623" t="str">
        <f>IF(原始经营数据!$D2624="","",原始经营数据!$F2624)</f>
        <v/>
      </c>
      <c r="D2623" t="str">
        <f>IF(原始经营数据!$D2624="","",原始经营数据!$H2624)</f>
        <v/>
      </c>
      <c r="E2623" t="str">
        <f>IF(原始经营数据!$D2624="","",原始经营数据!$I2624)</f>
        <v/>
      </c>
      <c r="F2623" t="str">
        <f>IF(原始经营数据!$D2624="","",T(原始经营数据!$J2624))</f>
        <v/>
      </c>
      <c r="G2623" t="str">
        <f>IF(原始经营数据!$D2624="","",T(原始经营数据!$K2624))</f>
        <v/>
      </c>
      <c r="H2623" t="str">
        <f>IF(原始经营数据!$D2624="","",原始经营数据!$G2624)</f>
        <v/>
      </c>
      <c r="I2623" t="str">
        <f>IF($A2623="","",IF($B2623&lt;&gt;"",$B2623,IF(COUNTIFS(原始经营数据!$D$3:$D$3001,$A2623,原始经营数据!$E$3:$E$3001,"",原始经营数据!$F$3:$F$3001,$C2623,原始经营数据!$H$3:$H$3001,$D2623,原始经营数据!$K$3:$K$3001,$G2623)&gt;1,"基金整体·来源"&amp;原始经营数据!$A2624,"基金整体")))</f>
        <v/>
      </c>
      <c r="J2623" t="str">
        <f t="shared" si="603"/>
        <v/>
      </c>
      <c r="K2623" t="str">
        <f t="shared" si="604"/>
        <v/>
      </c>
      <c r="L2623" t="str">
        <f t="shared" si="605"/>
        <v/>
      </c>
      <c r="M2623">
        <f>IF($A2623="",0,IF(COUNTIF($L$2:$L2623,$L2623)=1,1,0))</f>
        <v>0</v>
      </c>
      <c r="N2623" t="str">
        <f t="shared" si="606"/>
        <v/>
      </c>
      <c r="O2623" t="str">
        <f t="shared" si="607"/>
        <v/>
      </c>
      <c r="P2623">
        <f>IF($A2623="",0,IF(COUNTIF($O$2:$O2623,$O2623)=1,1,0))</f>
        <v>0</v>
      </c>
      <c r="Q2623" t="str">
        <f>IF(AND($P2623=1,$A2623=经营数据!$B$3,$J2623=经营数据!$BA$5),COUNTIFS($P$2:$P$3000,1,$A$2:$A$3000,$A2623,$J$2:$J$3000,$J2623,$N$2:$N$3000,"&lt;"&amp;$N2623)+1,"")</f>
        <v/>
      </c>
      <c r="R2623" t="str">
        <f t="shared" si="608"/>
        <v/>
      </c>
      <c r="S2623">
        <f>IF($A2623="",0,IF(COUNTIF($R$2:$R2623,$R2623)=1,1,0))</f>
        <v>0</v>
      </c>
      <c r="T2623" t="str">
        <f t="shared" si="609"/>
        <v/>
      </c>
      <c r="U2623" t="str">
        <f>IF($A2623="","",IF($A2623=经营数据!$B$3,COUNTIFS($S$2:$S$3000,1,$A$2:$A$3000,$A2623,$T$2:$T$3000,"&lt;"&amp;$T2623)+1,""))</f>
        <v/>
      </c>
      <c r="V2623" t="str">
        <f t="shared" si="610"/>
        <v/>
      </c>
      <c r="W2623" t="str">
        <f t="shared" si="611"/>
        <v/>
      </c>
      <c r="X2623" t="str">
        <f t="shared" si="612"/>
        <v/>
      </c>
      <c r="Y2623" t="str">
        <f t="shared" si="613"/>
        <v/>
      </c>
      <c r="Z2623">
        <f>IF($A2623="",0,IF(AND($M2623=1,$A2623=经营数据!$B$3,$J2623=经营数据!$BA$5,OR($I2623=经营数据!$BA$4,COUNTIF(经营数据!$AA$9:$AA$38,$I2623)&gt;0)),1,0))</f>
        <v>0</v>
      </c>
      <c r="AA2623" t="str">
        <f t="shared" si="614"/>
        <v/>
      </c>
      <c r="AB2623" t="str">
        <f t="shared" si="615"/>
        <v/>
      </c>
      <c r="AC2623">
        <f>IF($A2623="",0,IF(COUNTIF($A$2:$A2623,$A2623)=1,1,0))</f>
        <v>0</v>
      </c>
      <c r="AD2623">
        <f t="shared" si="616"/>
        <v>29</v>
      </c>
      <c r="AE2623" t="str">
        <f t="shared" si="617"/>
        <v/>
      </c>
    </row>
    <row r="2624" spans="1:31" x14ac:dyDescent="0.4">
      <c r="A2624" t="str">
        <f>IF(原始经营数据!$D2625="","",原始经营数据!$D2625)</f>
        <v/>
      </c>
      <c r="B2624" t="str">
        <f>IF(原始经营数据!$D2625="","",T(原始经营数据!$E2625))</f>
        <v/>
      </c>
      <c r="C2624" t="str">
        <f>IF(原始经营数据!$D2625="","",原始经营数据!$F2625)</f>
        <v/>
      </c>
      <c r="D2624" t="str">
        <f>IF(原始经营数据!$D2625="","",原始经营数据!$H2625)</f>
        <v/>
      </c>
      <c r="E2624" t="str">
        <f>IF(原始经营数据!$D2625="","",原始经营数据!$I2625)</f>
        <v/>
      </c>
      <c r="F2624" t="str">
        <f>IF(原始经营数据!$D2625="","",T(原始经营数据!$J2625))</f>
        <v/>
      </c>
      <c r="G2624" t="str">
        <f>IF(原始经营数据!$D2625="","",T(原始经营数据!$K2625))</f>
        <v/>
      </c>
      <c r="H2624" t="str">
        <f>IF(原始经营数据!$D2625="","",原始经营数据!$G2625)</f>
        <v/>
      </c>
      <c r="I2624" t="str">
        <f>IF($A2624="","",IF($B2624&lt;&gt;"",$B2624,IF(COUNTIFS(原始经营数据!$D$3:$D$3001,$A2624,原始经营数据!$E$3:$E$3001,"",原始经营数据!$F$3:$F$3001,$C2624,原始经营数据!$H$3:$H$3001,$D2624,原始经营数据!$K$3:$K$3001,$G2624)&gt;1,"基金整体·来源"&amp;原始经营数据!$A2625,"基金整体")))</f>
        <v/>
      </c>
      <c r="J2624" t="str">
        <f t="shared" si="603"/>
        <v/>
      </c>
      <c r="K2624" t="str">
        <f t="shared" si="604"/>
        <v/>
      </c>
      <c r="L2624" t="str">
        <f t="shared" si="605"/>
        <v/>
      </c>
      <c r="M2624">
        <f>IF($A2624="",0,IF(COUNTIF($L$2:$L2624,$L2624)=1,1,0))</f>
        <v>0</v>
      </c>
      <c r="N2624" t="str">
        <f t="shared" si="606"/>
        <v/>
      </c>
      <c r="O2624" t="str">
        <f t="shared" si="607"/>
        <v/>
      </c>
      <c r="P2624">
        <f>IF($A2624="",0,IF(COUNTIF($O$2:$O2624,$O2624)=1,1,0))</f>
        <v>0</v>
      </c>
      <c r="Q2624" t="str">
        <f>IF(AND($P2624=1,$A2624=经营数据!$B$3,$J2624=经营数据!$BA$5),COUNTIFS($P$2:$P$3000,1,$A$2:$A$3000,$A2624,$J$2:$J$3000,$J2624,$N$2:$N$3000,"&lt;"&amp;$N2624)+1,"")</f>
        <v/>
      </c>
      <c r="R2624" t="str">
        <f t="shared" si="608"/>
        <v/>
      </c>
      <c r="S2624">
        <f>IF($A2624="",0,IF(COUNTIF($R$2:$R2624,$R2624)=1,1,0))</f>
        <v>0</v>
      </c>
      <c r="T2624" t="str">
        <f t="shared" si="609"/>
        <v/>
      </c>
      <c r="U2624" t="str">
        <f>IF($A2624="","",IF($A2624=经营数据!$B$3,COUNTIFS($S$2:$S$3000,1,$A$2:$A$3000,$A2624,$T$2:$T$3000,"&lt;"&amp;$T2624)+1,""))</f>
        <v/>
      </c>
      <c r="V2624" t="str">
        <f t="shared" si="610"/>
        <v/>
      </c>
      <c r="W2624" t="str">
        <f t="shared" si="611"/>
        <v/>
      </c>
      <c r="X2624" t="str">
        <f t="shared" si="612"/>
        <v/>
      </c>
      <c r="Y2624" t="str">
        <f t="shared" si="613"/>
        <v/>
      </c>
      <c r="Z2624">
        <f>IF($A2624="",0,IF(AND($M2624=1,$A2624=经营数据!$B$3,$J2624=经营数据!$BA$5,OR($I2624=经营数据!$BA$4,COUNTIF(经营数据!$AA$9:$AA$38,$I2624)&gt;0)),1,0))</f>
        <v>0</v>
      </c>
      <c r="AA2624" t="str">
        <f t="shared" si="614"/>
        <v/>
      </c>
      <c r="AB2624" t="str">
        <f t="shared" si="615"/>
        <v/>
      </c>
      <c r="AC2624">
        <f>IF($A2624="",0,IF(COUNTIF($A$2:$A2624,$A2624)=1,1,0))</f>
        <v>0</v>
      </c>
      <c r="AD2624">
        <f t="shared" si="616"/>
        <v>29</v>
      </c>
      <c r="AE2624" t="str">
        <f t="shared" si="617"/>
        <v/>
      </c>
    </row>
    <row r="2625" spans="1:31" x14ac:dyDescent="0.4">
      <c r="A2625" t="str">
        <f>IF(原始经营数据!$D2626="","",原始经营数据!$D2626)</f>
        <v/>
      </c>
      <c r="B2625" t="str">
        <f>IF(原始经营数据!$D2626="","",T(原始经营数据!$E2626))</f>
        <v/>
      </c>
      <c r="C2625" t="str">
        <f>IF(原始经营数据!$D2626="","",原始经营数据!$F2626)</f>
        <v/>
      </c>
      <c r="D2625" t="str">
        <f>IF(原始经营数据!$D2626="","",原始经营数据!$H2626)</f>
        <v/>
      </c>
      <c r="E2625" t="str">
        <f>IF(原始经营数据!$D2626="","",原始经营数据!$I2626)</f>
        <v/>
      </c>
      <c r="F2625" t="str">
        <f>IF(原始经营数据!$D2626="","",T(原始经营数据!$J2626))</f>
        <v/>
      </c>
      <c r="G2625" t="str">
        <f>IF(原始经营数据!$D2626="","",T(原始经营数据!$K2626))</f>
        <v/>
      </c>
      <c r="H2625" t="str">
        <f>IF(原始经营数据!$D2626="","",原始经营数据!$G2626)</f>
        <v/>
      </c>
      <c r="I2625" t="str">
        <f>IF($A2625="","",IF($B2625&lt;&gt;"",$B2625,IF(COUNTIFS(原始经营数据!$D$3:$D$3001,$A2625,原始经营数据!$E$3:$E$3001,"",原始经营数据!$F$3:$F$3001,$C2625,原始经营数据!$H$3:$H$3001,$D2625,原始经营数据!$K$3:$K$3001,$G2625)&gt;1,"基金整体·来源"&amp;原始经营数据!$A2626,"基金整体")))</f>
        <v/>
      </c>
      <c r="J2625" t="str">
        <f t="shared" si="603"/>
        <v/>
      </c>
      <c r="K2625" t="str">
        <f t="shared" si="604"/>
        <v/>
      </c>
      <c r="L2625" t="str">
        <f t="shared" si="605"/>
        <v/>
      </c>
      <c r="M2625">
        <f>IF($A2625="",0,IF(COUNTIF($L$2:$L2625,$L2625)=1,1,0))</f>
        <v>0</v>
      </c>
      <c r="N2625" t="str">
        <f t="shared" si="606"/>
        <v/>
      </c>
      <c r="O2625" t="str">
        <f t="shared" si="607"/>
        <v/>
      </c>
      <c r="P2625">
        <f>IF($A2625="",0,IF(COUNTIF($O$2:$O2625,$O2625)=1,1,0))</f>
        <v>0</v>
      </c>
      <c r="Q2625" t="str">
        <f>IF(AND($P2625=1,$A2625=经营数据!$B$3,$J2625=经营数据!$BA$5),COUNTIFS($P$2:$P$3000,1,$A$2:$A$3000,$A2625,$J$2:$J$3000,$J2625,$N$2:$N$3000,"&lt;"&amp;$N2625)+1,"")</f>
        <v/>
      </c>
      <c r="R2625" t="str">
        <f t="shared" si="608"/>
        <v/>
      </c>
      <c r="S2625">
        <f>IF($A2625="",0,IF(COUNTIF($R$2:$R2625,$R2625)=1,1,0))</f>
        <v>0</v>
      </c>
      <c r="T2625" t="str">
        <f t="shared" si="609"/>
        <v/>
      </c>
      <c r="U2625" t="str">
        <f>IF($A2625="","",IF($A2625=经营数据!$B$3,COUNTIFS($S$2:$S$3000,1,$A$2:$A$3000,$A2625,$T$2:$T$3000,"&lt;"&amp;$T2625)+1,""))</f>
        <v/>
      </c>
      <c r="V2625" t="str">
        <f t="shared" si="610"/>
        <v/>
      </c>
      <c r="W2625" t="str">
        <f t="shared" si="611"/>
        <v/>
      </c>
      <c r="X2625" t="str">
        <f t="shared" si="612"/>
        <v/>
      </c>
      <c r="Y2625" t="str">
        <f t="shared" si="613"/>
        <v/>
      </c>
      <c r="Z2625">
        <f>IF($A2625="",0,IF(AND($M2625=1,$A2625=经营数据!$B$3,$J2625=经营数据!$BA$5,OR($I2625=经营数据!$BA$4,COUNTIF(经营数据!$AA$9:$AA$38,$I2625)&gt;0)),1,0))</f>
        <v>0</v>
      </c>
      <c r="AA2625" t="str">
        <f t="shared" si="614"/>
        <v/>
      </c>
      <c r="AB2625" t="str">
        <f t="shared" si="615"/>
        <v/>
      </c>
      <c r="AC2625">
        <f>IF($A2625="",0,IF(COUNTIF($A$2:$A2625,$A2625)=1,1,0))</f>
        <v>0</v>
      </c>
      <c r="AD2625">
        <f t="shared" si="616"/>
        <v>29</v>
      </c>
      <c r="AE2625" t="str">
        <f t="shared" si="617"/>
        <v/>
      </c>
    </row>
    <row r="2626" spans="1:31" x14ac:dyDescent="0.4">
      <c r="A2626" t="str">
        <f>IF(原始经营数据!$D2627="","",原始经营数据!$D2627)</f>
        <v/>
      </c>
      <c r="B2626" t="str">
        <f>IF(原始经营数据!$D2627="","",T(原始经营数据!$E2627))</f>
        <v/>
      </c>
      <c r="C2626" t="str">
        <f>IF(原始经营数据!$D2627="","",原始经营数据!$F2627)</f>
        <v/>
      </c>
      <c r="D2626" t="str">
        <f>IF(原始经营数据!$D2627="","",原始经营数据!$H2627)</f>
        <v/>
      </c>
      <c r="E2626" t="str">
        <f>IF(原始经营数据!$D2627="","",原始经营数据!$I2627)</f>
        <v/>
      </c>
      <c r="F2626" t="str">
        <f>IF(原始经营数据!$D2627="","",T(原始经营数据!$J2627))</f>
        <v/>
      </c>
      <c r="G2626" t="str">
        <f>IF(原始经营数据!$D2627="","",T(原始经营数据!$K2627))</f>
        <v/>
      </c>
      <c r="H2626" t="str">
        <f>IF(原始经营数据!$D2627="","",原始经营数据!$G2627)</f>
        <v/>
      </c>
      <c r="I2626" t="str">
        <f>IF($A2626="","",IF($B2626&lt;&gt;"",$B2626,IF(COUNTIFS(原始经营数据!$D$3:$D$3001,$A2626,原始经营数据!$E$3:$E$3001,"",原始经营数据!$F$3:$F$3001,$C2626,原始经营数据!$H$3:$H$3001,$D2626,原始经营数据!$K$3:$K$3001,$G2626)&gt;1,"基金整体·来源"&amp;原始经营数据!$A2627,"基金整体")))</f>
        <v/>
      </c>
      <c r="J2626" t="str">
        <f t="shared" ref="J2626:J2689" si="618">IF($A2626="","",IF(LEN($C2626)=4,"年度",IF(AND(LEN($C2626)=6,ISNUMBER(SEARCH("Q",$C2626))),"季度","其他期间")))</f>
        <v/>
      </c>
      <c r="K2626" t="str">
        <f t="shared" ref="K2626:K2689" si="619">IF($A2626="","",$D2626&amp;IF($G2626="","","-"&amp;SUBSTITUTE($G2626,CHAR(10),""))&amp;IF($F2626="","","（"&amp;$F2626&amp;"）"))</f>
        <v/>
      </c>
      <c r="L2626" t="str">
        <f t="shared" ref="L2626:L2689" si="620">IF($A2626="","",$I2626&amp;"|"&amp;$K2626&amp;"|"&amp;$J2626)</f>
        <v/>
      </c>
      <c r="M2626">
        <f>IF($A2626="",0,IF(COUNTIF($L$2:$L2626,$L2626)=1,1,0))</f>
        <v>0</v>
      </c>
      <c r="N2626" t="str">
        <f t="shared" ref="N2626:N2689" si="621">IF($A2626="","",IF($J2626="年度",VALUE($C2626)*10,IF($J2626="季度",VALUE(LEFT($C2626,4))*10+VALUE(RIGHT($C2626,1)),VALUE(LEFT($C2626,4))*10+9)))</f>
        <v/>
      </c>
      <c r="O2626" t="str">
        <f t="shared" ref="O2626:O2689" si="622">IF($A2626="","",$A2626&amp;"|"&amp;$C2626&amp;"|"&amp;$J2626)</f>
        <v/>
      </c>
      <c r="P2626">
        <f>IF($A2626="",0,IF(COUNTIF($O$2:$O2626,$O2626)=1,1,0))</f>
        <v>0</v>
      </c>
      <c r="Q2626" t="str">
        <f>IF(AND($P2626=1,$A2626=经营数据!$B$3,$J2626=经营数据!$BA$5),COUNTIFS($P$2:$P$3000,1,$A$2:$A$3000,$A2626,$J$2:$J$3000,$J2626,$N$2:$N$3000,"&lt;"&amp;$N2626)+1,"")</f>
        <v/>
      </c>
      <c r="R2626" t="str">
        <f t="shared" ref="R2626:R2689" si="623">IF($A2626="","",$A2626&amp;"|"&amp;$I2626)</f>
        <v/>
      </c>
      <c r="S2626">
        <f>IF($A2626="",0,IF(COUNTIF($R$2:$R2626,$R2626)=1,1,0))</f>
        <v>0</v>
      </c>
      <c r="T2626" t="str">
        <f t="shared" ref="T2626:T2689" si="624">IF($A2626="","",MATCH($R2626,$R$2:$R$3000,0))</f>
        <v/>
      </c>
      <c r="U2626" t="str">
        <f>IF($A2626="","",IF($A2626=经营数据!$B$3,COUNTIFS($S$2:$S$3000,1,$A$2:$A$3000,$A2626,$T$2:$T$3000,"&lt;"&amp;$T2626)+1,""))</f>
        <v/>
      </c>
      <c r="V2626" t="str">
        <f t="shared" ref="V2626:V2689" si="625">IF($A2626="","",$I2626&amp;"|"&amp;$H2626)</f>
        <v/>
      </c>
      <c r="W2626" t="str">
        <f t="shared" ref="W2626:W2689" si="626">IF($A2626="","",MATCH($V2626,$V$2:$V$3000,0))</f>
        <v/>
      </c>
      <c r="X2626" t="str">
        <f t="shared" ref="X2626:X2689" si="627">IF($A2626="","",$I2626&amp;"|"&amp;$D2626)</f>
        <v/>
      </c>
      <c r="Y2626" t="str">
        <f t="shared" ref="Y2626:Y2689" si="628">IF($A2626="","",MATCH($X2626,$X$2:$X$3000,0))</f>
        <v/>
      </c>
      <c r="Z2626">
        <f>IF($A2626="",0,IF(AND($M2626=1,$A2626=经营数据!$B$3,$J2626=经营数据!$BA$5,OR($I2626=经营数据!$BA$4,COUNTIF(经营数据!$AA$9:$AA$38,$I2626)&gt;0)),1,0))</f>
        <v>0</v>
      </c>
      <c r="AA2626" t="str">
        <f t="shared" ref="AA2626:AA2689" si="629">IF($Z2626=1,$U2626*1000000000000+$W2626*100000000+$Y2626*10000+ROW(),"")</f>
        <v/>
      </c>
      <c r="AB2626" t="str">
        <f t="shared" ref="AB2626:AB2689" si="630">IF($Z2626=1,COUNTIFS($Z$2:$Z$3000,1,$AA$2:$AA$3000,"&lt;"&amp;$AA2626)+1,"")</f>
        <v/>
      </c>
      <c r="AC2626">
        <f>IF($A2626="",0,IF(COUNTIF($A$2:$A2626,$A2626)=1,1,0))</f>
        <v>0</v>
      </c>
      <c r="AD2626">
        <f t="shared" ref="AD2626:AD2689" si="631">IF($A2626="",N(AD2625),IF($AC2626=1,N(AD2625)+1,N(AD2625)))</f>
        <v>29</v>
      </c>
      <c r="AE2626" t="str">
        <f t="shared" ref="AE2626:AE2689" si="632">IF($A2626="","",$I2626&amp;"|"&amp;$K2626)</f>
        <v/>
      </c>
    </row>
    <row r="2627" spans="1:31" x14ac:dyDescent="0.4">
      <c r="A2627" t="str">
        <f>IF(原始经营数据!$D2628="","",原始经营数据!$D2628)</f>
        <v/>
      </c>
      <c r="B2627" t="str">
        <f>IF(原始经营数据!$D2628="","",T(原始经营数据!$E2628))</f>
        <v/>
      </c>
      <c r="C2627" t="str">
        <f>IF(原始经营数据!$D2628="","",原始经营数据!$F2628)</f>
        <v/>
      </c>
      <c r="D2627" t="str">
        <f>IF(原始经营数据!$D2628="","",原始经营数据!$H2628)</f>
        <v/>
      </c>
      <c r="E2627" t="str">
        <f>IF(原始经营数据!$D2628="","",原始经营数据!$I2628)</f>
        <v/>
      </c>
      <c r="F2627" t="str">
        <f>IF(原始经营数据!$D2628="","",T(原始经营数据!$J2628))</f>
        <v/>
      </c>
      <c r="G2627" t="str">
        <f>IF(原始经营数据!$D2628="","",T(原始经营数据!$K2628))</f>
        <v/>
      </c>
      <c r="H2627" t="str">
        <f>IF(原始经营数据!$D2628="","",原始经营数据!$G2628)</f>
        <v/>
      </c>
      <c r="I2627" t="str">
        <f>IF($A2627="","",IF($B2627&lt;&gt;"",$B2627,IF(COUNTIFS(原始经营数据!$D$3:$D$3001,$A2627,原始经营数据!$E$3:$E$3001,"",原始经营数据!$F$3:$F$3001,$C2627,原始经营数据!$H$3:$H$3001,$D2627,原始经营数据!$K$3:$K$3001,$G2627)&gt;1,"基金整体·来源"&amp;原始经营数据!$A2628,"基金整体")))</f>
        <v/>
      </c>
      <c r="J2627" t="str">
        <f t="shared" si="618"/>
        <v/>
      </c>
      <c r="K2627" t="str">
        <f t="shared" si="619"/>
        <v/>
      </c>
      <c r="L2627" t="str">
        <f t="shared" si="620"/>
        <v/>
      </c>
      <c r="M2627">
        <f>IF($A2627="",0,IF(COUNTIF($L$2:$L2627,$L2627)=1,1,0))</f>
        <v>0</v>
      </c>
      <c r="N2627" t="str">
        <f t="shared" si="621"/>
        <v/>
      </c>
      <c r="O2627" t="str">
        <f t="shared" si="622"/>
        <v/>
      </c>
      <c r="P2627">
        <f>IF($A2627="",0,IF(COUNTIF($O$2:$O2627,$O2627)=1,1,0))</f>
        <v>0</v>
      </c>
      <c r="Q2627" t="str">
        <f>IF(AND($P2627=1,$A2627=经营数据!$B$3,$J2627=经营数据!$BA$5),COUNTIFS($P$2:$P$3000,1,$A$2:$A$3000,$A2627,$J$2:$J$3000,$J2627,$N$2:$N$3000,"&lt;"&amp;$N2627)+1,"")</f>
        <v/>
      </c>
      <c r="R2627" t="str">
        <f t="shared" si="623"/>
        <v/>
      </c>
      <c r="S2627">
        <f>IF($A2627="",0,IF(COUNTIF($R$2:$R2627,$R2627)=1,1,0))</f>
        <v>0</v>
      </c>
      <c r="T2627" t="str">
        <f t="shared" si="624"/>
        <v/>
      </c>
      <c r="U2627" t="str">
        <f>IF($A2627="","",IF($A2627=经营数据!$B$3,COUNTIFS($S$2:$S$3000,1,$A$2:$A$3000,$A2627,$T$2:$T$3000,"&lt;"&amp;$T2627)+1,""))</f>
        <v/>
      </c>
      <c r="V2627" t="str">
        <f t="shared" si="625"/>
        <v/>
      </c>
      <c r="W2627" t="str">
        <f t="shared" si="626"/>
        <v/>
      </c>
      <c r="X2627" t="str">
        <f t="shared" si="627"/>
        <v/>
      </c>
      <c r="Y2627" t="str">
        <f t="shared" si="628"/>
        <v/>
      </c>
      <c r="Z2627">
        <f>IF($A2627="",0,IF(AND($M2627=1,$A2627=经营数据!$B$3,$J2627=经营数据!$BA$5,OR($I2627=经营数据!$BA$4,COUNTIF(经营数据!$AA$9:$AA$38,$I2627)&gt;0)),1,0))</f>
        <v>0</v>
      </c>
      <c r="AA2627" t="str">
        <f t="shared" si="629"/>
        <v/>
      </c>
      <c r="AB2627" t="str">
        <f t="shared" si="630"/>
        <v/>
      </c>
      <c r="AC2627">
        <f>IF($A2627="",0,IF(COUNTIF($A$2:$A2627,$A2627)=1,1,0))</f>
        <v>0</v>
      </c>
      <c r="AD2627">
        <f t="shared" si="631"/>
        <v>29</v>
      </c>
      <c r="AE2627" t="str">
        <f t="shared" si="632"/>
        <v/>
      </c>
    </row>
    <row r="2628" spans="1:31" x14ac:dyDescent="0.4">
      <c r="A2628" t="str">
        <f>IF(原始经营数据!$D2629="","",原始经营数据!$D2629)</f>
        <v/>
      </c>
      <c r="B2628" t="str">
        <f>IF(原始经营数据!$D2629="","",T(原始经营数据!$E2629))</f>
        <v/>
      </c>
      <c r="C2628" t="str">
        <f>IF(原始经营数据!$D2629="","",原始经营数据!$F2629)</f>
        <v/>
      </c>
      <c r="D2628" t="str">
        <f>IF(原始经营数据!$D2629="","",原始经营数据!$H2629)</f>
        <v/>
      </c>
      <c r="E2628" t="str">
        <f>IF(原始经营数据!$D2629="","",原始经营数据!$I2629)</f>
        <v/>
      </c>
      <c r="F2628" t="str">
        <f>IF(原始经营数据!$D2629="","",T(原始经营数据!$J2629))</f>
        <v/>
      </c>
      <c r="G2628" t="str">
        <f>IF(原始经营数据!$D2629="","",T(原始经营数据!$K2629))</f>
        <v/>
      </c>
      <c r="H2628" t="str">
        <f>IF(原始经营数据!$D2629="","",原始经营数据!$G2629)</f>
        <v/>
      </c>
      <c r="I2628" t="str">
        <f>IF($A2628="","",IF($B2628&lt;&gt;"",$B2628,IF(COUNTIFS(原始经营数据!$D$3:$D$3001,$A2628,原始经营数据!$E$3:$E$3001,"",原始经营数据!$F$3:$F$3001,$C2628,原始经营数据!$H$3:$H$3001,$D2628,原始经营数据!$K$3:$K$3001,$G2628)&gt;1,"基金整体·来源"&amp;原始经营数据!$A2629,"基金整体")))</f>
        <v/>
      </c>
      <c r="J2628" t="str">
        <f t="shared" si="618"/>
        <v/>
      </c>
      <c r="K2628" t="str">
        <f t="shared" si="619"/>
        <v/>
      </c>
      <c r="L2628" t="str">
        <f t="shared" si="620"/>
        <v/>
      </c>
      <c r="M2628">
        <f>IF($A2628="",0,IF(COUNTIF($L$2:$L2628,$L2628)=1,1,0))</f>
        <v>0</v>
      </c>
      <c r="N2628" t="str">
        <f t="shared" si="621"/>
        <v/>
      </c>
      <c r="O2628" t="str">
        <f t="shared" si="622"/>
        <v/>
      </c>
      <c r="P2628">
        <f>IF($A2628="",0,IF(COUNTIF($O$2:$O2628,$O2628)=1,1,0))</f>
        <v>0</v>
      </c>
      <c r="Q2628" t="str">
        <f>IF(AND($P2628=1,$A2628=经营数据!$B$3,$J2628=经营数据!$BA$5),COUNTIFS($P$2:$P$3000,1,$A$2:$A$3000,$A2628,$J$2:$J$3000,$J2628,$N$2:$N$3000,"&lt;"&amp;$N2628)+1,"")</f>
        <v/>
      </c>
      <c r="R2628" t="str">
        <f t="shared" si="623"/>
        <v/>
      </c>
      <c r="S2628">
        <f>IF($A2628="",0,IF(COUNTIF($R$2:$R2628,$R2628)=1,1,0))</f>
        <v>0</v>
      </c>
      <c r="T2628" t="str">
        <f t="shared" si="624"/>
        <v/>
      </c>
      <c r="U2628" t="str">
        <f>IF($A2628="","",IF($A2628=经营数据!$B$3,COUNTIFS($S$2:$S$3000,1,$A$2:$A$3000,$A2628,$T$2:$T$3000,"&lt;"&amp;$T2628)+1,""))</f>
        <v/>
      </c>
      <c r="V2628" t="str">
        <f t="shared" si="625"/>
        <v/>
      </c>
      <c r="W2628" t="str">
        <f t="shared" si="626"/>
        <v/>
      </c>
      <c r="X2628" t="str">
        <f t="shared" si="627"/>
        <v/>
      </c>
      <c r="Y2628" t="str">
        <f t="shared" si="628"/>
        <v/>
      </c>
      <c r="Z2628">
        <f>IF($A2628="",0,IF(AND($M2628=1,$A2628=经营数据!$B$3,$J2628=经营数据!$BA$5,OR($I2628=经营数据!$BA$4,COUNTIF(经营数据!$AA$9:$AA$38,$I2628)&gt;0)),1,0))</f>
        <v>0</v>
      </c>
      <c r="AA2628" t="str">
        <f t="shared" si="629"/>
        <v/>
      </c>
      <c r="AB2628" t="str">
        <f t="shared" si="630"/>
        <v/>
      </c>
      <c r="AC2628">
        <f>IF($A2628="",0,IF(COUNTIF($A$2:$A2628,$A2628)=1,1,0))</f>
        <v>0</v>
      </c>
      <c r="AD2628">
        <f t="shared" si="631"/>
        <v>29</v>
      </c>
      <c r="AE2628" t="str">
        <f t="shared" si="632"/>
        <v/>
      </c>
    </row>
    <row r="2629" spans="1:31" x14ac:dyDescent="0.4">
      <c r="A2629" t="str">
        <f>IF(原始经营数据!$D2630="","",原始经营数据!$D2630)</f>
        <v/>
      </c>
      <c r="B2629" t="str">
        <f>IF(原始经营数据!$D2630="","",T(原始经营数据!$E2630))</f>
        <v/>
      </c>
      <c r="C2629" t="str">
        <f>IF(原始经营数据!$D2630="","",原始经营数据!$F2630)</f>
        <v/>
      </c>
      <c r="D2629" t="str">
        <f>IF(原始经营数据!$D2630="","",原始经营数据!$H2630)</f>
        <v/>
      </c>
      <c r="E2629" t="str">
        <f>IF(原始经营数据!$D2630="","",原始经营数据!$I2630)</f>
        <v/>
      </c>
      <c r="F2629" t="str">
        <f>IF(原始经营数据!$D2630="","",T(原始经营数据!$J2630))</f>
        <v/>
      </c>
      <c r="G2629" t="str">
        <f>IF(原始经营数据!$D2630="","",T(原始经营数据!$K2630))</f>
        <v/>
      </c>
      <c r="H2629" t="str">
        <f>IF(原始经营数据!$D2630="","",原始经营数据!$G2630)</f>
        <v/>
      </c>
      <c r="I2629" t="str">
        <f>IF($A2629="","",IF($B2629&lt;&gt;"",$B2629,IF(COUNTIFS(原始经营数据!$D$3:$D$3001,$A2629,原始经营数据!$E$3:$E$3001,"",原始经营数据!$F$3:$F$3001,$C2629,原始经营数据!$H$3:$H$3001,$D2629,原始经营数据!$K$3:$K$3001,$G2629)&gt;1,"基金整体·来源"&amp;原始经营数据!$A2630,"基金整体")))</f>
        <v/>
      </c>
      <c r="J2629" t="str">
        <f t="shared" si="618"/>
        <v/>
      </c>
      <c r="K2629" t="str">
        <f t="shared" si="619"/>
        <v/>
      </c>
      <c r="L2629" t="str">
        <f t="shared" si="620"/>
        <v/>
      </c>
      <c r="M2629">
        <f>IF($A2629="",0,IF(COUNTIF($L$2:$L2629,$L2629)=1,1,0))</f>
        <v>0</v>
      </c>
      <c r="N2629" t="str">
        <f t="shared" si="621"/>
        <v/>
      </c>
      <c r="O2629" t="str">
        <f t="shared" si="622"/>
        <v/>
      </c>
      <c r="P2629">
        <f>IF($A2629="",0,IF(COUNTIF($O$2:$O2629,$O2629)=1,1,0))</f>
        <v>0</v>
      </c>
      <c r="Q2629" t="str">
        <f>IF(AND($P2629=1,$A2629=经营数据!$B$3,$J2629=经营数据!$BA$5),COUNTIFS($P$2:$P$3000,1,$A$2:$A$3000,$A2629,$J$2:$J$3000,$J2629,$N$2:$N$3000,"&lt;"&amp;$N2629)+1,"")</f>
        <v/>
      </c>
      <c r="R2629" t="str">
        <f t="shared" si="623"/>
        <v/>
      </c>
      <c r="S2629">
        <f>IF($A2629="",0,IF(COUNTIF($R$2:$R2629,$R2629)=1,1,0))</f>
        <v>0</v>
      </c>
      <c r="T2629" t="str">
        <f t="shared" si="624"/>
        <v/>
      </c>
      <c r="U2629" t="str">
        <f>IF($A2629="","",IF($A2629=经营数据!$B$3,COUNTIFS($S$2:$S$3000,1,$A$2:$A$3000,$A2629,$T$2:$T$3000,"&lt;"&amp;$T2629)+1,""))</f>
        <v/>
      </c>
      <c r="V2629" t="str">
        <f t="shared" si="625"/>
        <v/>
      </c>
      <c r="W2629" t="str">
        <f t="shared" si="626"/>
        <v/>
      </c>
      <c r="X2629" t="str">
        <f t="shared" si="627"/>
        <v/>
      </c>
      <c r="Y2629" t="str">
        <f t="shared" si="628"/>
        <v/>
      </c>
      <c r="Z2629">
        <f>IF($A2629="",0,IF(AND($M2629=1,$A2629=经营数据!$B$3,$J2629=经营数据!$BA$5,OR($I2629=经营数据!$BA$4,COUNTIF(经营数据!$AA$9:$AA$38,$I2629)&gt;0)),1,0))</f>
        <v>0</v>
      </c>
      <c r="AA2629" t="str">
        <f t="shared" si="629"/>
        <v/>
      </c>
      <c r="AB2629" t="str">
        <f t="shared" si="630"/>
        <v/>
      </c>
      <c r="AC2629">
        <f>IF($A2629="",0,IF(COUNTIF($A$2:$A2629,$A2629)=1,1,0))</f>
        <v>0</v>
      </c>
      <c r="AD2629">
        <f t="shared" si="631"/>
        <v>29</v>
      </c>
      <c r="AE2629" t="str">
        <f t="shared" si="632"/>
        <v/>
      </c>
    </row>
    <row r="2630" spans="1:31" x14ac:dyDescent="0.4">
      <c r="A2630" t="str">
        <f>IF(原始经营数据!$D2631="","",原始经营数据!$D2631)</f>
        <v/>
      </c>
      <c r="B2630" t="str">
        <f>IF(原始经营数据!$D2631="","",T(原始经营数据!$E2631))</f>
        <v/>
      </c>
      <c r="C2630" t="str">
        <f>IF(原始经营数据!$D2631="","",原始经营数据!$F2631)</f>
        <v/>
      </c>
      <c r="D2630" t="str">
        <f>IF(原始经营数据!$D2631="","",原始经营数据!$H2631)</f>
        <v/>
      </c>
      <c r="E2630" t="str">
        <f>IF(原始经营数据!$D2631="","",原始经营数据!$I2631)</f>
        <v/>
      </c>
      <c r="F2630" t="str">
        <f>IF(原始经营数据!$D2631="","",T(原始经营数据!$J2631))</f>
        <v/>
      </c>
      <c r="G2630" t="str">
        <f>IF(原始经营数据!$D2631="","",T(原始经营数据!$K2631))</f>
        <v/>
      </c>
      <c r="H2630" t="str">
        <f>IF(原始经营数据!$D2631="","",原始经营数据!$G2631)</f>
        <v/>
      </c>
      <c r="I2630" t="str">
        <f>IF($A2630="","",IF($B2630&lt;&gt;"",$B2630,IF(COUNTIFS(原始经营数据!$D$3:$D$3001,$A2630,原始经营数据!$E$3:$E$3001,"",原始经营数据!$F$3:$F$3001,$C2630,原始经营数据!$H$3:$H$3001,$D2630,原始经营数据!$K$3:$K$3001,$G2630)&gt;1,"基金整体·来源"&amp;原始经营数据!$A2631,"基金整体")))</f>
        <v/>
      </c>
      <c r="J2630" t="str">
        <f t="shared" si="618"/>
        <v/>
      </c>
      <c r="K2630" t="str">
        <f t="shared" si="619"/>
        <v/>
      </c>
      <c r="L2630" t="str">
        <f t="shared" si="620"/>
        <v/>
      </c>
      <c r="M2630">
        <f>IF($A2630="",0,IF(COUNTIF($L$2:$L2630,$L2630)=1,1,0))</f>
        <v>0</v>
      </c>
      <c r="N2630" t="str">
        <f t="shared" si="621"/>
        <v/>
      </c>
      <c r="O2630" t="str">
        <f t="shared" si="622"/>
        <v/>
      </c>
      <c r="P2630">
        <f>IF($A2630="",0,IF(COUNTIF($O$2:$O2630,$O2630)=1,1,0))</f>
        <v>0</v>
      </c>
      <c r="Q2630" t="str">
        <f>IF(AND($P2630=1,$A2630=经营数据!$B$3,$J2630=经营数据!$BA$5),COUNTIFS($P$2:$P$3000,1,$A$2:$A$3000,$A2630,$J$2:$J$3000,$J2630,$N$2:$N$3000,"&lt;"&amp;$N2630)+1,"")</f>
        <v/>
      </c>
      <c r="R2630" t="str">
        <f t="shared" si="623"/>
        <v/>
      </c>
      <c r="S2630">
        <f>IF($A2630="",0,IF(COUNTIF($R$2:$R2630,$R2630)=1,1,0))</f>
        <v>0</v>
      </c>
      <c r="T2630" t="str">
        <f t="shared" si="624"/>
        <v/>
      </c>
      <c r="U2630" t="str">
        <f>IF($A2630="","",IF($A2630=经营数据!$B$3,COUNTIFS($S$2:$S$3000,1,$A$2:$A$3000,$A2630,$T$2:$T$3000,"&lt;"&amp;$T2630)+1,""))</f>
        <v/>
      </c>
      <c r="V2630" t="str">
        <f t="shared" si="625"/>
        <v/>
      </c>
      <c r="W2630" t="str">
        <f t="shared" si="626"/>
        <v/>
      </c>
      <c r="X2630" t="str">
        <f t="shared" si="627"/>
        <v/>
      </c>
      <c r="Y2630" t="str">
        <f t="shared" si="628"/>
        <v/>
      </c>
      <c r="Z2630">
        <f>IF($A2630="",0,IF(AND($M2630=1,$A2630=经营数据!$B$3,$J2630=经营数据!$BA$5,OR($I2630=经营数据!$BA$4,COUNTIF(经营数据!$AA$9:$AA$38,$I2630)&gt;0)),1,0))</f>
        <v>0</v>
      </c>
      <c r="AA2630" t="str">
        <f t="shared" si="629"/>
        <v/>
      </c>
      <c r="AB2630" t="str">
        <f t="shared" si="630"/>
        <v/>
      </c>
      <c r="AC2630">
        <f>IF($A2630="",0,IF(COUNTIF($A$2:$A2630,$A2630)=1,1,0))</f>
        <v>0</v>
      </c>
      <c r="AD2630">
        <f t="shared" si="631"/>
        <v>29</v>
      </c>
      <c r="AE2630" t="str">
        <f t="shared" si="632"/>
        <v/>
      </c>
    </row>
    <row r="2631" spans="1:31" x14ac:dyDescent="0.4">
      <c r="A2631" t="str">
        <f>IF(原始经营数据!$D2632="","",原始经营数据!$D2632)</f>
        <v/>
      </c>
      <c r="B2631" t="str">
        <f>IF(原始经营数据!$D2632="","",T(原始经营数据!$E2632))</f>
        <v/>
      </c>
      <c r="C2631" t="str">
        <f>IF(原始经营数据!$D2632="","",原始经营数据!$F2632)</f>
        <v/>
      </c>
      <c r="D2631" t="str">
        <f>IF(原始经营数据!$D2632="","",原始经营数据!$H2632)</f>
        <v/>
      </c>
      <c r="E2631" t="str">
        <f>IF(原始经营数据!$D2632="","",原始经营数据!$I2632)</f>
        <v/>
      </c>
      <c r="F2631" t="str">
        <f>IF(原始经营数据!$D2632="","",T(原始经营数据!$J2632))</f>
        <v/>
      </c>
      <c r="G2631" t="str">
        <f>IF(原始经营数据!$D2632="","",T(原始经营数据!$K2632))</f>
        <v/>
      </c>
      <c r="H2631" t="str">
        <f>IF(原始经营数据!$D2632="","",原始经营数据!$G2632)</f>
        <v/>
      </c>
      <c r="I2631" t="str">
        <f>IF($A2631="","",IF($B2631&lt;&gt;"",$B2631,IF(COUNTIFS(原始经营数据!$D$3:$D$3001,$A2631,原始经营数据!$E$3:$E$3001,"",原始经营数据!$F$3:$F$3001,$C2631,原始经营数据!$H$3:$H$3001,$D2631,原始经营数据!$K$3:$K$3001,$G2631)&gt;1,"基金整体·来源"&amp;原始经营数据!$A2632,"基金整体")))</f>
        <v/>
      </c>
      <c r="J2631" t="str">
        <f t="shared" si="618"/>
        <v/>
      </c>
      <c r="K2631" t="str">
        <f t="shared" si="619"/>
        <v/>
      </c>
      <c r="L2631" t="str">
        <f t="shared" si="620"/>
        <v/>
      </c>
      <c r="M2631">
        <f>IF($A2631="",0,IF(COUNTIF($L$2:$L2631,$L2631)=1,1,0))</f>
        <v>0</v>
      </c>
      <c r="N2631" t="str">
        <f t="shared" si="621"/>
        <v/>
      </c>
      <c r="O2631" t="str">
        <f t="shared" si="622"/>
        <v/>
      </c>
      <c r="P2631">
        <f>IF($A2631="",0,IF(COUNTIF($O$2:$O2631,$O2631)=1,1,0))</f>
        <v>0</v>
      </c>
      <c r="Q2631" t="str">
        <f>IF(AND($P2631=1,$A2631=经营数据!$B$3,$J2631=经营数据!$BA$5),COUNTIFS($P$2:$P$3000,1,$A$2:$A$3000,$A2631,$J$2:$J$3000,$J2631,$N$2:$N$3000,"&lt;"&amp;$N2631)+1,"")</f>
        <v/>
      </c>
      <c r="R2631" t="str">
        <f t="shared" si="623"/>
        <v/>
      </c>
      <c r="S2631">
        <f>IF($A2631="",0,IF(COUNTIF($R$2:$R2631,$R2631)=1,1,0))</f>
        <v>0</v>
      </c>
      <c r="T2631" t="str">
        <f t="shared" si="624"/>
        <v/>
      </c>
      <c r="U2631" t="str">
        <f>IF($A2631="","",IF($A2631=经营数据!$B$3,COUNTIFS($S$2:$S$3000,1,$A$2:$A$3000,$A2631,$T$2:$T$3000,"&lt;"&amp;$T2631)+1,""))</f>
        <v/>
      </c>
      <c r="V2631" t="str">
        <f t="shared" si="625"/>
        <v/>
      </c>
      <c r="W2631" t="str">
        <f t="shared" si="626"/>
        <v/>
      </c>
      <c r="X2631" t="str">
        <f t="shared" si="627"/>
        <v/>
      </c>
      <c r="Y2631" t="str">
        <f t="shared" si="628"/>
        <v/>
      </c>
      <c r="Z2631">
        <f>IF($A2631="",0,IF(AND($M2631=1,$A2631=经营数据!$B$3,$J2631=经营数据!$BA$5,OR($I2631=经营数据!$BA$4,COUNTIF(经营数据!$AA$9:$AA$38,$I2631)&gt;0)),1,0))</f>
        <v>0</v>
      </c>
      <c r="AA2631" t="str">
        <f t="shared" si="629"/>
        <v/>
      </c>
      <c r="AB2631" t="str">
        <f t="shared" si="630"/>
        <v/>
      </c>
      <c r="AC2631">
        <f>IF($A2631="",0,IF(COUNTIF($A$2:$A2631,$A2631)=1,1,0))</f>
        <v>0</v>
      </c>
      <c r="AD2631">
        <f t="shared" si="631"/>
        <v>29</v>
      </c>
      <c r="AE2631" t="str">
        <f t="shared" si="632"/>
        <v/>
      </c>
    </row>
    <row r="2632" spans="1:31" x14ac:dyDescent="0.4">
      <c r="A2632" t="str">
        <f>IF(原始经营数据!$D2633="","",原始经营数据!$D2633)</f>
        <v/>
      </c>
      <c r="B2632" t="str">
        <f>IF(原始经营数据!$D2633="","",T(原始经营数据!$E2633))</f>
        <v/>
      </c>
      <c r="C2632" t="str">
        <f>IF(原始经营数据!$D2633="","",原始经营数据!$F2633)</f>
        <v/>
      </c>
      <c r="D2632" t="str">
        <f>IF(原始经营数据!$D2633="","",原始经营数据!$H2633)</f>
        <v/>
      </c>
      <c r="E2632" t="str">
        <f>IF(原始经营数据!$D2633="","",原始经营数据!$I2633)</f>
        <v/>
      </c>
      <c r="F2632" t="str">
        <f>IF(原始经营数据!$D2633="","",T(原始经营数据!$J2633))</f>
        <v/>
      </c>
      <c r="G2632" t="str">
        <f>IF(原始经营数据!$D2633="","",T(原始经营数据!$K2633))</f>
        <v/>
      </c>
      <c r="H2632" t="str">
        <f>IF(原始经营数据!$D2633="","",原始经营数据!$G2633)</f>
        <v/>
      </c>
      <c r="I2632" t="str">
        <f>IF($A2632="","",IF($B2632&lt;&gt;"",$B2632,IF(COUNTIFS(原始经营数据!$D$3:$D$3001,$A2632,原始经营数据!$E$3:$E$3001,"",原始经营数据!$F$3:$F$3001,$C2632,原始经营数据!$H$3:$H$3001,$D2632,原始经营数据!$K$3:$K$3001,$G2632)&gt;1,"基金整体·来源"&amp;原始经营数据!$A2633,"基金整体")))</f>
        <v/>
      </c>
      <c r="J2632" t="str">
        <f t="shared" si="618"/>
        <v/>
      </c>
      <c r="K2632" t="str">
        <f t="shared" si="619"/>
        <v/>
      </c>
      <c r="L2632" t="str">
        <f t="shared" si="620"/>
        <v/>
      </c>
      <c r="M2632">
        <f>IF($A2632="",0,IF(COUNTIF($L$2:$L2632,$L2632)=1,1,0))</f>
        <v>0</v>
      </c>
      <c r="N2632" t="str">
        <f t="shared" si="621"/>
        <v/>
      </c>
      <c r="O2632" t="str">
        <f t="shared" si="622"/>
        <v/>
      </c>
      <c r="P2632">
        <f>IF($A2632="",0,IF(COUNTIF($O$2:$O2632,$O2632)=1,1,0))</f>
        <v>0</v>
      </c>
      <c r="Q2632" t="str">
        <f>IF(AND($P2632=1,$A2632=经营数据!$B$3,$J2632=经营数据!$BA$5),COUNTIFS($P$2:$P$3000,1,$A$2:$A$3000,$A2632,$J$2:$J$3000,$J2632,$N$2:$N$3000,"&lt;"&amp;$N2632)+1,"")</f>
        <v/>
      </c>
      <c r="R2632" t="str">
        <f t="shared" si="623"/>
        <v/>
      </c>
      <c r="S2632">
        <f>IF($A2632="",0,IF(COUNTIF($R$2:$R2632,$R2632)=1,1,0))</f>
        <v>0</v>
      </c>
      <c r="T2632" t="str">
        <f t="shared" si="624"/>
        <v/>
      </c>
      <c r="U2632" t="str">
        <f>IF($A2632="","",IF($A2632=经营数据!$B$3,COUNTIFS($S$2:$S$3000,1,$A$2:$A$3000,$A2632,$T$2:$T$3000,"&lt;"&amp;$T2632)+1,""))</f>
        <v/>
      </c>
      <c r="V2632" t="str">
        <f t="shared" si="625"/>
        <v/>
      </c>
      <c r="W2632" t="str">
        <f t="shared" si="626"/>
        <v/>
      </c>
      <c r="X2632" t="str">
        <f t="shared" si="627"/>
        <v/>
      </c>
      <c r="Y2632" t="str">
        <f t="shared" si="628"/>
        <v/>
      </c>
      <c r="Z2632">
        <f>IF($A2632="",0,IF(AND($M2632=1,$A2632=经营数据!$B$3,$J2632=经营数据!$BA$5,OR($I2632=经营数据!$BA$4,COUNTIF(经营数据!$AA$9:$AA$38,$I2632)&gt;0)),1,0))</f>
        <v>0</v>
      </c>
      <c r="AA2632" t="str">
        <f t="shared" si="629"/>
        <v/>
      </c>
      <c r="AB2632" t="str">
        <f t="shared" si="630"/>
        <v/>
      </c>
      <c r="AC2632">
        <f>IF($A2632="",0,IF(COUNTIF($A$2:$A2632,$A2632)=1,1,0))</f>
        <v>0</v>
      </c>
      <c r="AD2632">
        <f t="shared" si="631"/>
        <v>29</v>
      </c>
      <c r="AE2632" t="str">
        <f t="shared" si="632"/>
        <v/>
      </c>
    </row>
    <row r="2633" spans="1:31" x14ac:dyDescent="0.4">
      <c r="A2633" t="str">
        <f>IF(原始经营数据!$D2634="","",原始经营数据!$D2634)</f>
        <v/>
      </c>
      <c r="B2633" t="str">
        <f>IF(原始经营数据!$D2634="","",T(原始经营数据!$E2634))</f>
        <v/>
      </c>
      <c r="C2633" t="str">
        <f>IF(原始经营数据!$D2634="","",原始经营数据!$F2634)</f>
        <v/>
      </c>
      <c r="D2633" t="str">
        <f>IF(原始经营数据!$D2634="","",原始经营数据!$H2634)</f>
        <v/>
      </c>
      <c r="E2633" t="str">
        <f>IF(原始经营数据!$D2634="","",原始经营数据!$I2634)</f>
        <v/>
      </c>
      <c r="F2633" t="str">
        <f>IF(原始经营数据!$D2634="","",T(原始经营数据!$J2634))</f>
        <v/>
      </c>
      <c r="G2633" t="str">
        <f>IF(原始经营数据!$D2634="","",T(原始经营数据!$K2634))</f>
        <v/>
      </c>
      <c r="H2633" t="str">
        <f>IF(原始经营数据!$D2634="","",原始经营数据!$G2634)</f>
        <v/>
      </c>
      <c r="I2633" t="str">
        <f>IF($A2633="","",IF($B2633&lt;&gt;"",$B2633,IF(COUNTIFS(原始经营数据!$D$3:$D$3001,$A2633,原始经营数据!$E$3:$E$3001,"",原始经营数据!$F$3:$F$3001,$C2633,原始经营数据!$H$3:$H$3001,$D2633,原始经营数据!$K$3:$K$3001,$G2633)&gt;1,"基金整体·来源"&amp;原始经营数据!$A2634,"基金整体")))</f>
        <v/>
      </c>
      <c r="J2633" t="str">
        <f t="shared" si="618"/>
        <v/>
      </c>
      <c r="K2633" t="str">
        <f t="shared" si="619"/>
        <v/>
      </c>
      <c r="L2633" t="str">
        <f t="shared" si="620"/>
        <v/>
      </c>
      <c r="M2633">
        <f>IF($A2633="",0,IF(COUNTIF($L$2:$L2633,$L2633)=1,1,0))</f>
        <v>0</v>
      </c>
      <c r="N2633" t="str">
        <f t="shared" si="621"/>
        <v/>
      </c>
      <c r="O2633" t="str">
        <f t="shared" si="622"/>
        <v/>
      </c>
      <c r="P2633">
        <f>IF($A2633="",0,IF(COUNTIF($O$2:$O2633,$O2633)=1,1,0))</f>
        <v>0</v>
      </c>
      <c r="Q2633" t="str">
        <f>IF(AND($P2633=1,$A2633=经营数据!$B$3,$J2633=经营数据!$BA$5),COUNTIFS($P$2:$P$3000,1,$A$2:$A$3000,$A2633,$J$2:$J$3000,$J2633,$N$2:$N$3000,"&lt;"&amp;$N2633)+1,"")</f>
        <v/>
      </c>
      <c r="R2633" t="str">
        <f t="shared" si="623"/>
        <v/>
      </c>
      <c r="S2633">
        <f>IF($A2633="",0,IF(COUNTIF($R$2:$R2633,$R2633)=1,1,0))</f>
        <v>0</v>
      </c>
      <c r="T2633" t="str">
        <f t="shared" si="624"/>
        <v/>
      </c>
      <c r="U2633" t="str">
        <f>IF($A2633="","",IF($A2633=经营数据!$B$3,COUNTIFS($S$2:$S$3000,1,$A$2:$A$3000,$A2633,$T$2:$T$3000,"&lt;"&amp;$T2633)+1,""))</f>
        <v/>
      </c>
      <c r="V2633" t="str">
        <f t="shared" si="625"/>
        <v/>
      </c>
      <c r="W2633" t="str">
        <f t="shared" si="626"/>
        <v/>
      </c>
      <c r="X2633" t="str">
        <f t="shared" si="627"/>
        <v/>
      </c>
      <c r="Y2633" t="str">
        <f t="shared" si="628"/>
        <v/>
      </c>
      <c r="Z2633">
        <f>IF($A2633="",0,IF(AND($M2633=1,$A2633=经营数据!$B$3,$J2633=经营数据!$BA$5,OR($I2633=经营数据!$BA$4,COUNTIF(经营数据!$AA$9:$AA$38,$I2633)&gt;0)),1,0))</f>
        <v>0</v>
      </c>
      <c r="AA2633" t="str">
        <f t="shared" si="629"/>
        <v/>
      </c>
      <c r="AB2633" t="str">
        <f t="shared" si="630"/>
        <v/>
      </c>
      <c r="AC2633">
        <f>IF($A2633="",0,IF(COUNTIF($A$2:$A2633,$A2633)=1,1,0))</f>
        <v>0</v>
      </c>
      <c r="AD2633">
        <f t="shared" si="631"/>
        <v>29</v>
      </c>
      <c r="AE2633" t="str">
        <f t="shared" si="632"/>
        <v/>
      </c>
    </row>
    <row r="2634" spans="1:31" x14ac:dyDescent="0.4">
      <c r="A2634" t="str">
        <f>IF(原始经营数据!$D2635="","",原始经营数据!$D2635)</f>
        <v/>
      </c>
      <c r="B2634" t="str">
        <f>IF(原始经营数据!$D2635="","",T(原始经营数据!$E2635))</f>
        <v/>
      </c>
      <c r="C2634" t="str">
        <f>IF(原始经营数据!$D2635="","",原始经营数据!$F2635)</f>
        <v/>
      </c>
      <c r="D2634" t="str">
        <f>IF(原始经营数据!$D2635="","",原始经营数据!$H2635)</f>
        <v/>
      </c>
      <c r="E2634" t="str">
        <f>IF(原始经营数据!$D2635="","",原始经营数据!$I2635)</f>
        <v/>
      </c>
      <c r="F2634" t="str">
        <f>IF(原始经营数据!$D2635="","",T(原始经营数据!$J2635))</f>
        <v/>
      </c>
      <c r="G2634" t="str">
        <f>IF(原始经营数据!$D2635="","",T(原始经营数据!$K2635))</f>
        <v/>
      </c>
      <c r="H2634" t="str">
        <f>IF(原始经营数据!$D2635="","",原始经营数据!$G2635)</f>
        <v/>
      </c>
      <c r="I2634" t="str">
        <f>IF($A2634="","",IF($B2634&lt;&gt;"",$B2634,IF(COUNTIFS(原始经营数据!$D$3:$D$3001,$A2634,原始经营数据!$E$3:$E$3001,"",原始经营数据!$F$3:$F$3001,$C2634,原始经营数据!$H$3:$H$3001,$D2634,原始经营数据!$K$3:$K$3001,$G2634)&gt;1,"基金整体·来源"&amp;原始经营数据!$A2635,"基金整体")))</f>
        <v/>
      </c>
      <c r="J2634" t="str">
        <f t="shared" si="618"/>
        <v/>
      </c>
      <c r="K2634" t="str">
        <f t="shared" si="619"/>
        <v/>
      </c>
      <c r="L2634" t="str">
        <f t="shared" si="620"/>
        <v/>
      </c>
      <c r="M2634">
        <f>IF($A2634="",0,IF(COUNTIF($L$2:$L2634,$L2634)=1,1,0))</f>
        <v>0</v>
      </c>
      <c r="N2634" t="str">
        <f t="shared" si="621"/>
        <v/>
      </c>
      <c r="O2634" t="str">
        <f t="shared" si="622"/>
        <v/>
      </c>
      <c r="P2634">
        <f>IF($A2634="",0,IF(COUNTIF($O$2:$O2634,$O2634)=1,1,0))</f>
        <v>0</v>
      </c>
      <c r="Q2634" t="str">
        <f>IF(AND($P2634=1,$A2634=经营数据!$B$3,$J2634=经营数据!$BA$5),COUNTIFS($P$2:$P$3000,1,$A$2:$A$3000,$A2634,$J$2:$J$3000,$J2634,$N$2:$N$3000,"&lt;"&amp;$N2634)+1,"")</f>
        <v/>
      </c>
      <c r="R2634" t="str">
        <f t="shared" si="623"/>
        <v/>
      </c>
      <c r="S2634">
        <f>IF($A2634="",0,IF(COUNTIF($R$2:$R2634,$R2634)=1,1,0))</f>
        <v>0</v>
      </c>
      <c r="T2634" t="str">
        <f t="shared" si="624"/>
        <v/>
      </c>
      <c r="U2634" t="str">
        <f>IF($A2634="","",IF($A2634=经营数据!$B$3,COUNTIFS($S$2:$S$3000,1,$A$2:$A$3000,$A2634,$T$2:$T$3000,"&lt;"&amp;$T2634)+1,""))</f>
        <v/>
      </c>
      <c r="V2634" t="str">
        <f t="shared" si="625"/>
        <v/>
      </c>
      <c r="W2634" t="str">
        <f t="shared" si="626"/>
        <v/>
      </c>
      <c r="X2634" t="str">
        <f t="shared" si="627"/>
        <v/>
      </c>
      <c r="Y2634" t="str">
        <f t="shared" si="628"/>
        <v/>
      </c>
      <c r="Z2634">
        <f>IF($A2634="",0,IF(AND($M2634=1,$A2634=经营数据!$B$3,$J2634=经营数据!$BA$5,OR($I2634=经营数据!$BA$4,COUNTIF(经营数据!$AA$9:$AA$38,$I2634)&gt;0)),1,0))</f>
        <v>0</v>
      </c>
      <c r="AA2634" t="str">
        <f t="shared" si="629"/>
        <v/>
      </c>
      <c r="AB2634" t="str">
        <f t="shared" si="630"/>
        <v/>
      </c>
      <c r="AC2634">
        <f>IF($A2634="",0,IF(COUNTIF($A$2:$A2634,$A2634)=1,1,0))</f>
        <v>0</v>
      </c>
      <c r="AD2634">
        <f t="shared" si="631"/>
        <v>29</v>
      </c>
      <c r="AE2634" t="str">
        <f t="shared" si="632"/>
        <v/>
      </c>
    </row>
    <row r="2635" spans="1:31" x14ac:dyDescent="0.4">
      <c r="A2635" t="str">
        <f>IF(原始经营数据!$D2636="","",原始经营数据!$D2636)</f>
        <v/>
      </c>
      <c r="B2635" t="str">
        <f>IF(原始经营数据!$D2636="","",T(原始经营数据!$E2636))</f>
        <v/>
      </c>
      <c r="C2635" t="str">
        <f>IF(原始经营数据!$D2636="","",原始经营数据!$F2636)</f>
        <v/>
      </c>
      <c r="D2635" t="str">
        <f>IF(原始经营数据!$D2636="","",原始经营数据!$H2636)</f>
        <v/>
      </c>
      <c r="E2635" t="str">
        <f>IF(原始经营数据!$D2636="","",原始经营数据!$I2636)</f>
        <v/>
      </c>
      <c r="F2635" t="str">
        <f>IF(原始经营数据!$D2636="","",T(原始经营数据!$J2636))</f>
        <v/>
      </c>
      <c r="G2635" t="str">
        <f>IF(原始经营数据!$D2636="","",T(原始经营数据!$K2636))</f>
        <v/>
      </c>
      <c r="H2635" t="str">
        <f>IF(原始经营数据!$D2636="","",原始经营数据!$G2636)</f>
        <v/>
      </c>
      <c r="I2635" t="str">
        <f>IF($A2635="","",IF($B2635&lt;&gt;"",$B2635,IF(COUNTIFS(原始经营数据!$D$3:$D$3001,$A2635,原始经营数据!$E$3:$E$3001,"",原始经营数据!$F$3:$F$3001,$C2635,原始经营数据!$H$3:$H$3001,$D2635,原始经营数据!$K$3:$K$3001,$G2635)&gt;1,"基金整体·来源"&amp;原始经营数据!$A2636,"基金整体")))</f>
        <v/>
      </c>
      <c r="J2635" t="str">
        <f t="shared" si="618"/>
        <v/>
      </c>
      <c r="K2635" t="str">
        <f t="shared" si="619"/>
        <v/>
      </c>
      <c r="L2635" t="str">
        <f t="shared" si="620"/>
        <v/>
      </c>
      <c r="M2635">
        <f>IF($A2635="",0,IF(COUNTIF($L$2:$L2635,$L2635)=1,1,0))</f>
        <v>0</v>
      </c>
      <c r="N2635" t="str">
        <f t="shared" si="621"/>
        <v/>
      </c>
      <c r="O2635" t="str">
        <f t="shared" si="622"/>
        <v/>
      </c>
      <c r="P2635">
        <f>IF($A2635="",0,IF(COUNTIF($O$2:$O2635,$O2635)=1,1,0))</f>
        <v>0</v>
      </c>
      <c r="Q2635" t="str">
        <f>IF(AND($P2635=1,$A2635=经营数据!$B$3,$J2635=经营数据!$BA$5),COUNTIFS($P$2:$P$3000,1,$A$2:$A$3000,$A2635,$J$2:$J$3000,$J2635,$N$2:$N$3000,"&lt;"&amp;$N2635)+1,"")</f>
        <v/>
      </c>
      <c r="R2635" t="str">
        <f t="shared" si="623"/>
        <v/>
      </c>
      <c r="S2635">
        <f>IF($A2635="",0,IF(COUNTIF($R$2:$R2635,$R2635)=1,1,0))</f>
        <v>0</v>
      </c>
      <c r="T2635" t="str">
        <f t="shared" si="624"/>
        <v/>
      </c>
      <c r="U2635" t="str">
        <f>IF($A2635="","",IF($A2635=经营数据!$B$3,COUNTIFS($S$2:$S$3000,1,$A$2:$A$3000,$A2635,$T$2:$T$3000,"&lt;"&amp;$T2635)+1,""))</f>
        <v/>
      </c>
      <c r="V2635" t="str">
        <f t="shared" si="625"/>
        <v/>
      </c>
      <c r="W2635" t="str">
        <f t="shared" si="626"/>
        <v/>
      </c>
      <c r="X2635" t="str">
        <f t="shared" si="627"/>
        <v/>
      </c>
      <c r="Y2635" t="str">
        <f t="shared" si="628"/>
        <v/>
      </c>
      <c r="Z2635">
        <f>IF($A2635="",0,IF(AND($M2635=1,$A2635=经营数据!$B$3,$J2635=经营数据!$BA$5,OR($I2635=经营数据!$BA$4,COUNTIF(经营数据!$AA$9:$AA$38,$I2635)&gt;0)),1,0))</f>
        <v>0</v>
      </c>
      <c r="AA2635" t="str">
        <f t="shared" si="629"/>
        <v/>
      </c>
      <c r="AB2635" t="str">
        <f t="shared" si="630"/>
        <v/>
      </c>
      <c r="AC2635">
        <f>IF($A2635="",0,IF(COUNTIF($A$2:$A2635,$A2635)=1,1,0))</f>
        <v>0</v>
      </c>
      <c r="AD2635">
        <f t="shared" si="631"/>
        <v>29</v>
      </c>
      <c r="AE2635" t="str">
        <f t="shared" si="632"/>
        <v/>
      </c>
    </row>
    <row r="2636" spans="1:31" x14ac:dyDescent="0.4">
      <c r="A2636" t="str">
        <f>IF(原始经营数据!$D2637="","",原始经营数据!$D2637)</f>
        <v/>
      </c>
      <c r="B2636" t="str">
        <f>IF(原始经营数据!$D2637="","",T(原始经营数据!$E2637))</f>
        <v/>
      </c>
      <c r="C2636" t="str">
        <f>IF(原始经营数据!$D2637="","",原始经营数据!$F2637)</f>
        <v/>
      </c>
      <c r="D2636" t="str">
        <f>IF(原始经营数据!$D2637="","",原始经营数据!$H2637)</f>
        <v/>
      </c>
      <c r="E2636" t="str">
        <f>IF(原始经营数据!$D2637="","",原始经营数据!$I2637)</f>
        <v/>
      </c>
      <c r="F2636" t="str">
        <f>IF(原始经营数据!$D2637="","",T(原始经营数据!$J2637))</f>
        <v/>
      </c>
      <c r="G2636" t="str">
        <f>IF(原始经营数据!$D2637="","",T(原始经营数据!$K2637))</f>
        <v/>
      </c>
      <c r="H2636" t="str">
        <f>IF(原始经营数据!$D2637="","",原始经营数据!$G2637)</f>
        <v/>
      </c>
      <c r="I2636" t="str">
        <f>IF($A2636="","",IF($B2636&lt;&gt;"",$B2636,IF(COUNTIFS(原始经营数据!$D$3:$D$3001,$A2636,原始经营数据!$E$3:$E$3001,"",原始经营数据!$F$3:$F$3001,$C2636,原始经营数据!$H$3:$H$3001,$D2636,原始经营数据!$K$3:$K$3001,$G2636)&gt;1,"基金整体·来源"&amp;原始经营数据!$A2637,"基金整体")))</f>
        <v/>
      </c>
      <c r="J2636" t="str">
        <f t="shared" si="618"/>
        <v/>
      </c>
      <c r="K2636" t="str">
        <f t="shared" si="619"/>
        <v/>
      </c>
      <c r="L2636" t="str">
        <f t="shared" si="620"/>
        <v/>
      </c>
      <c r="M2636">
        <f>IF($A2636="",0,IF(COUNTIF($L$2:$L2636,$L2636)=1,1,0))</f>
        <v>0</v>
      </c>
      <c r="N2636" t="str">
        <f t="shared" si="621"/>
        <v/>
      </c>
      <c r="O2636" t="str">
        <f t="shared" si="622"/>
        <v/>
      </c>
      <c r="P2636">
        <f>IF($A2636="",0,IF(COUNTIF($O$2:$O2636,$O2636)=1,1,0))</f>
        <v>0</v>
      </c>
      <c r="Q2636" t="str">
        <f>IF(AND($P2636=1,$A2636=经营数据!$B$3,$J2636=经营数据!$BA$5),COUNTIFS($P$2:$P$3000,1,$A$2:$A$3000,$A2636,$J$2:$J$3000,$J2636,$N$2:$N$3000,"&lt;"&amp;$N2636)+1,"")</f>
        <v/>
      </c>
      <c r="R2636" t="str">
        <f t="shared" si="623"/>
        <v/>
      </c>
      <c r="S2636">
        <f>IF($A2636="",0,IF(COUNTIF($R$2:$R2636,$R2636)=1,1,0))</f>
        <v>0</v>
      </c>
      <c r="T2636" t="str">
        <f t="shared" si="624"/>
        <v/>
      </c>
      <c r="U2636" t="str">
        <f>IF($A2636="","",IF($A2636=经营数据!$B$3,COUNTIFS($S$2:$S$3000,1,$A$2:$A$3000,$A2636,$T$2:$T$3000,"&lt;"&amp;$T2636)+1,""))</f>
        <v/>
      </c>
      <c r="V2636" t="str">
        <f t="shared" si="625"/>
        <v/>
      </c>
      <c r="W2636" t="str">
        <f t="shared" si="626"/>
        <v/>
      </c>
      <c r="X2636" t="str">
        <f t="shared" si="627"/>
        <v/>
      </c>
      <c r="Y2636" t="str">
        <f t="shared" si="628"/>
        <v/>
      </c>
      <c r="Z2636">
        <f>IF($A2636="",0,IF(AND($M2636=1,$A2636=经营数据!$B$3,$J2636=经营数据!$BA$5,OR($I2636=经营数据!$BA$4,COUNTIF(经营数据!$AA$9:$AA$38,$I2636)&gt;0)),1,0))</f>
        <v>0</v>
      </c>
      <c r="AA2636" t="str">
        <f t="shared" si="629"/>
        <v/>
      </c>
      <c r="AB2636" t="str">
        <f t="shared" si="630"/>
        <v/>
      </c>
      <c r="AC2636">
        <f>IF($A2636="",0,IF(COUNTIF($A$2:$A2636,$A2636)=1,1,0))</f>
        <v>0</v>
      </c>
      <c r="AD2636">
        <f t="shared" si="631"/>
        <v>29</v>
      </c>
      <c r="AE2636" t="str">
        <f t="shared" si="632"/>
        <v/>
      </c>
    </row>
    <row r="2637" spans="1:31" x14ac:dyDescent="0.4">
      <c r="A2637" t="str">
        <f>IF(原始经营数据!$D2638="","",原始经营数据!$D2638)</f>
        <v/>
      </c>
      <c r="B2637" t="str">
        <f>IF(原始经营数据!$D2638="","",T(原始经营数据!$E2638))</f>
        <v/>
      </c>
      <c r="C2637" t="str">
        <f>IF(原始经营数据!$D2638="","",原始经营数据!$F2638)</f>
        <v/>
      </c>
      <c r="D2637" t="str">
        <f>IF(原始经营数据!$D2638="","",原始经营数据!$H2638)</f>
        <v/>
      </c>
      <c r="E2637" t="str">
        <f>IF(原始经营数据!$D2638="","",原始经营数据!$I2638)</f>
        <v/>
      </c>
      <c r="F2637" t="str">
        <f>IF(原始经营数据!$D2638="","",T(原始经营数据!$J2638))</f>
        <v/>
      </c>
      <c r="G2637" t="str">
        <f>IF(原始经营数据!$D2638="","",T(原始经营数据!$K2638))</f>
        <v/>
      </c>
      <c r="H2637" t="str">
        <f>IF(原始经营数据!$D2638="","",原始经营数据!$G2638)</f>
        <v/>
      </c>
      <c r="I2637" t="str">
        <f>IF($A2637="","",IF($B2637&lt;&gt;"",$B2637,IF(COUNTIFS(原始经营数据!$D$3:$D$3001,$A2637,原始经营数据!$E$3:$E$3001,"",原始经营数据!$F$3:$F$3001,$C2637,原始经营数据!$H$3:$H$3001,$D2637,原始经营数据!$K$3:$K$3001,$G2637)&gt;1,"基金整体·来源"&amp;原始经营数据!$A2638,"基金整体")))</f>
        <v/>
      </c>
      <c r="J2637" t="str">
        <f t="shared" si="618"/>
        <v/>
      </c>
      <c r="K2637" t="str">
        <f t="shared" si="619"/>
        <v/>
      </c>
      <c r="L2637" t="str">
        <f t="shared" si="620"/>
        <v/>
      </c>
      <c r="M2637">
        <f>IF($A2637="",0,IF(COUNTIF($L$2:$L2637,$L2637)=1,1,0))</f>
        <v>0</v>
      </c>
      <c r="N2637" t="str">
        <f t="shared" si="621"/>
        <v/>
      </c>
      <c r="O2637" t="str">
        <f t="shared" si="622"/>
        <v/>
      </c>
      <c r="P2637">
        <f>IF($A2637="",0,IF(COUNTIF($O$2:$O2637,$O2637)=1,1,0))</f>
        <v>0</v>
      </c>
      <c r="Q2637" t="str">
        <f>IF(AND($P2637=1,$A2637=经营数据!$B$3,$J2637=经营数据!$BA$5),COUNTIFS($P$2:$P$3000,1,$A$2:$A$3000,$A2637,$J$2:$J$3000,$J2637,$N$2:$N$3000,"&lt;"&amp;$N2637)+1,"")</f>
        <v/>
      </c>
      <c r="R2637" t="str">
        <f t="shared" si="623"/>
        <v/>
      </c>
      <c r="S2637">
        <f>IF($A2637="",0,IF(COUNTIF($R$2:$R2637,$R2637)=1,1,0))</f>
        <v>0</v>
      </c>
      <c r="T2637" t="str">
        <f t="shared" si="624"/>
        <v/>
      </c>
      <c r="U2637" t="str">
        <f>IF($A2637="","",IF($A2637=经营数据!$B$3,COUNTIFS($S$2:$S$3000,1,$A$2:$A$3000,$A2637,$T$2:$T$3000,"&lt;"&amp;$T2637)+1,""))</f>
        <v/>
      </c>
      <c r="V2637" t="str">
        <f t="shared" si="625"/>
        <v/>
      </c>
      <c r="W2637" t="str">
        <f t="shared" si="626"/>
        <v/>
      </c>
      <c r="X2637" t="str">
        <f t="shared" si="627"/>
        <v/>
      </c>
      <c r="Y2637" t="str">
        <f t="shared" si="628"/>
        <v/>
      </c>
      <c r="Z2637">
        <f>IF($A2637="",0,IF(AND($M2637=1,$A2637=经营数据!$B$3,$J2637=经营数据!$BA$5,OR($I2637=经营数据!$BA$4,COUNTIF(经营数据!$AA$9:$AA$38,$I2637)&gt;0)),1,0))</f>
        <v>0</v>
      </c>
      <c r="AA2637" t="str">
        <f t="shared" si="629"/>
        <v/>
      </c>
      <c r="AB2637" t="str">
        <f t="shared" si="630"/>
        <v/>
      </c>
      <c r="AC2637">
        <f>IF($A2637="",0,IF(COUNTIF($A$2:$A2637,$A2637)=1,1,0))</f>
        <v>0</v>
      </c>
      <c r="AD2637">
        <f t="shared" si="631"/>
        <v>29</v>
      </c>
      <c r="AE2637" t="str">
        <f t="shared" si="632"/>
        <v/>
      </c>
    </row>
    <row r="2638" spans="1:31" x14ac:dyDescent="0.4">
      <c r="A2638" t="str">
        <f>IF(原始经营数据!$D2639="","",原始经营数据!$D2639)</f>
        <v/>
      </c>
      <c r="B2638" t="str">
        <f>IF(原始经营数据!$D2639="","",T(原始经营数据!$E2639))</f>
        <v/>
      </c>
      <c r="C2638" t="str">
        <f>IF(原始经营数据!$D2639="","",原始经营数据!$F2639)</f>
        <v/>
      </c>
      <c r="D2638" t="str">
        <f>IF(原始经营数据!$D2639="","",原始经营数据!$H2639)</f>
        <v/>
      </c>
      <c r="E2638" t="str">
        <f>IF(原始经营数据!$D2639="","",原始经营数据!$I2639)</f>
        <v/>
      </c>
      <c r="F2638" t="str">
        <f>IF(原始经营数据!$D2639="","",T(原始经营数据!$J2639))</f>
        <v/>
      </c>
      <c r="G2638" t="str">
        <f>IF(原始经营数据!$D2639="","",T(原始经营数据!$K2639))</f>
        <v/>
      </c>
      <c r="H2638" t="str">
        <f>IF(原始经营数据!$D2639="","",原始经营数据!$G2639)</f>
        <v/>
      </c>
      <c r="I2638" t="str">
        <f>IF($A2638="","",IF($B2638&lt;&gt;"",$B2638,IF(COUNTIFS(原始经营数据!$D$3:$D$3001,$A2638,原始经营数据!$E$3:$E$3001,"",原始经营数据!$F$3:$F$3001,$C2638,原始经营数据!$H$3:$H$3001,$D2638,原始经营数据!$K$3:$K$3001,$G2638)&gt;1,"基金整体·来源"&amp;原始经营数据!$A2639,"基金整体")))</f>
        <v/>
      </c>
      <c r="J2638" t="str">
        <f t="shared" si="618"/>
        <v/>
      </c>
      <c r="K2638" t="str">
        <f t="shared" si="619"/>
        <v/>
      </c>
      <c r="L2638" t="str">
        <f t="shared" si="620"/>
        <v/>
      </c>
      <c r="M2638">
        <f>IF($A2638="",0,IF(COUNTIF($L$2:$L2638,$L2638)=1,1,0))</f>
        <v>0</v>
      </c>
      <c r="N2638" t="str">
        <f t="shared" si="621"/>
        <v/>
      </c>
      <c r="O2638" t="str">
        <f t="shared" si="622"/>
        <v/>
      </c>
      <c r="P2638">
        <f>IF($A2638="",0,IF(COUNTIF($O$2:$O2638,$O2638)=1,1,0))</f>
        <v>0</v>
      </c>
      <c r="Q2638" t="str">
        <f>IF(AND($P2638=1,$A2638=经营数据!$B$3,$J2638=经营数据!$BA$5),COUNTIFS($P$2:$P$3000,1,$A$2:$A$3000,$A2638,$J$2:$J$3000,$J2638,$N$2:$N$3000,"&lt;"&amp;$N2638)+1,"")</f>
        <v/>
      </c>
      <c r="R2638" t="str">
        <f t="shared" si="623"/>
        <v/>
      </c>
      <c r="S2638">
        <f>IF($A2638="",0,IF(COUNTIF($R$2:$R2638,$R2638)=1,1,0))</f>
        <v>0</v>
      </c>
      <c r="T2638" t="str">
        <f t="shared" si="624"/>
        <v/>
      </c>
      <c r="U2638" t="str">
        <f>IF($A2638="","",IF($A2638=经营数据!$B$3,COUNTIFS($S$2:$S$3000,1,$A$2:$A$3000,$A2638,$T$2:$T$3000,"&lt;"&amp;$T2638)+1,""))</f>
        <v/>
      </c>
      <c r="V2638" t="str">
        <f t="shared" si="625"/>
        <v/>
      </c>
      <c r="W2638" t="str">
        <f t="shared" si="626"/>
        <v/>
      </c>
      <c r="X2638" t="str">
        <f t="shared" si="627"/>
        <v/>
      </c>
      <c r="Y2638" t="str">
        <f t="shared" si="628"/>
        <v/>
      </c>
      <c r="Z2638">
        <f>IF($A2638="",0,IF(AND($M2638=1,$A2638=经营数据!$B$3,$J2638=经营数据!$BA$5,OR($I2638=经营数据!$BA$4,COUNTIF(经营数据!$AA$9:$AA$38,$I2638)&gt;0)),1,0))</f>
        <v>0</v>
      </c>
      <c r="AA2638" t="str">
        <f t="shared" si="629"/>
        <v/>
      </c>
      <c r="AB2638" t="str">
        <f t="shared" si="630"/>
        <v/>
      </c>
      <c r="AC2638">
        <f>IF($A2638="",0,IF(COUNTIF($A$2:$A2638,$A2638)=1,1,0))</f>
        <v>0</v>
      </c>
      <c r="AD2638">
        <f t="shared" si="631"/>
        <v>29</v>
      </c>
      <c r="AE2638" t="str">
        <f t="shared" si="632"/>
        <v/>
      </c>
    </row>
    <row r="2639" spans="1:31" x14ac:dyDescent="0.4">
      <c r="A2639" t="str">
        <f>IF(原始经营数据!$D2640="","",原始经营数据!$D2640)</f>
        <v/>
      </c>
      <c r="B2639" t="str">
        <f>IF(原始经营数据!$D2640="","",T(原始经营数据!$E2640))</f>
        <v/>
      </c>
      <c r="C2639" t="str">
        <f>IF(原始经营数据!$D2640="","",原始经营数据!$F2640)</f>
        <v/>
      </c>
      <c r="D2639" t="str">
        <f>IF(原始经营数据!$D2640="","",原始经营数据!$H2640)</f>
        <v/>
      </c>
      <c r="E2639" t="str">
        <f>IF(原始经营数据!$D2640="","",原始经营数据!$I2640)</f>
        <v/>
      </c>
      <c r="F2639" t="str">
        <f>IF(原始经营数据!$D2640="","",T(原始经营数据!$J2640))</f>
        <v/>
      </c>
      <c r="G2639" t="str">
        <f>IF(原始经营数据!$D2640="","",T(原始经营数据!$K2640))</f>
        <v/>
      </c>
      <c r="H2639" t="str">
        <f>IF(原始经营数据!$D2640="","",原始经营数据!$G2640)</f>
        <v/>
      </c>
      <c r="I2639" t="str">
        <f>IF($A2639="","",IF($B2639&lt;&gt;"",$B2639,IF(COUNTIFS(原始经营数据!$D$3:$D$3001,$A2639,原始经营数据!$E$3:$E$3001,"",原始经营数据!$F$3:$F$3001,$C2639,原始经营数据!$H$3:$H$3001,$D2639,原始经营数据!$K$3:$K$3001,$G2639)&gt;1,"基金整体·来源"&amp;原始经营数据!$A2640,"基金整体")))</f>
        <v/>
      </c>
      <c r="J2639" t="str">
        <f t="shared" si="618"/>
        <v/>
      </c>
      <c r="K2639" t="str">
        <f t="shared" si="619"/>
        <v/>
      </c>
      <c r="L2639" t="str">
        <f t="shared" si="620"/>
        <v/>
      </c>
      <c r="M2639">
        <f>IF($A2639="",0,IF(COUNTIF($L$2:$L2639,$L2639)=1,1,0))</f>
        <v>0</v>
      </c>
      <c r="N2639" t="str">
        <f t="shared" si="621"/>
        <v/>
      </c>
      <c r="O2639" t="str">
        <f t="shared" si="622"/>
        <v/>
      </c>
      <c r="P2639">
        <f>IF($A2639="",0,IF(COUNTIF($O$2:$O2639,$O2639)=1,1,0))</f>
        <v>0</v>
      </c>
      <c r="Q2639" t="str">
        <f>IF(AND($P2639=1,$A2639=经营数据!$B$3,$J2639=经营数据!$BA$5),COUNTIFS($P$2:$P$3000,1,$A$2:$A$3000,$A2639,$J$2:$J$3000,$J2639,$N$2:$N$3000,"&lt;"&amp;$N2639)+1,"")</f>
        <v/>
      </c>
      <c r="R2639" t="str">
        <f t="shared" si="623"/>
        <v/>
      </c>
      <c r="S2639">
        <f>IF($A2639="",0,IF(COUNTIF($R$2:$R2639,$R2639)=1,1,0))</f>
        <v>0</v>
      </c>
      <c r="T2639" t="str">
        <f t="shared" si="624"/>
        <v/>
      </c>
      <c r="U2639" t="str">
        <f>IF($A2639="","",IF($A2639=经营数据!$B$3,COUNTIFS($S$2:$S$3000,1,$A$2:$A$3000,$A2639,$T$2:$T$3000,"&lt;"&amp;$T2639)+1,""))</f>
        <v/>
      </c>
      <c r="V2639" t="str">
        <f t="shared" si="625"/>
        <v/>
      </c>
      <c r="W2639" t="str">
        <f t="shared" si="626"/>
        <v/>
      </c>
      <c r="X2639" t="str">
        <f t="shared" si="627"/>
        <v/>
      </c>
      <c r="Y2639" t="str">
        <f t="shared" si="628"/>
        <v/>
      </c>
      <c r="Z2639">
        <f>IF($A2639="",0,IF(AND($M2639=1,$A2639=经营数据!$B$3,$J2639=经营数据!$BA$5,OR($I2639=经营数据!$BA$4,COUNTIF(经营数据!$AA$9:$AA$38,$I2639)&gt;0)),1,0))</f>
        <v>0</v>
      </c>
      <c r="AA2639" t="str">
        <f t="shared" si="629"/>
        <v/>
      </c>
      <c r="AB2639" t="str">
        <f t="shared" si="630"/>
        <v/>
      </c>
      <c r="AC2639">
        <f>IF($A2639="",0,IF(COUNTIF($A$2:$A2639,$A2639)=1,1,0))</f>
        <v>0</v>
      </c>
      <c r="AD2639">
        <f t="shared" si="631"/>
        <v>29</v>
      </c>
      <c r="AE2639" t="str">
        <f t="shared" si="632"/>
        <v/>
      </c>
    </row>
    <row r="2640" spans="1:31" x14ac:dyDescent="0.4">
      <c r="A2640" t="str">
        <f>IF(原始经营数据!$D2641="","",原始经营数据!$D2641)</f>
        <v/>
      </c>
      <c r="B2640" t="str">
        <f>IF(原始经营数据!$D2641="","",T(原始经营数据!$E2641))</f>
        <v/>
      </c>
      <c r="C2640" t="str">
        <f>IF(原始经营数据!$D2641="","",原始经营数据!$F2641)</f>
        <v/>
      </c>
      <c r="D2640" t="str">
        <f>IF(原始经营数据!$D2641="","",原始经营数据!$H2641)</f>
        <v/>
      </c>
      <c r="E2640" t="str">
        <f>IF(原始经营数据!$D2641="","",原始经营数据!$I2641)</f>
        <v/>
      </c>
      <c r="F2640" t="str">
        <f>IF(原始经营数据!$D2641="","",T(原始经营数据!$J2641))</f>
        <v/>
      </c>
      <c r="G2640" t="str">
        <f>IF(原始经营数据!$D2641="","",T(原始经营数据!$K2641))</f>
        <v/>
      </c>
      <c r="H2640" t="str">
        <f>IF(原始经营数据!$D2641="","",原始经营数据!$G2641)</f>
        <v/>
      </c>
      <c r="I2640" t="str">
        <f>IF($A2640="","",IF($B2640&lt;&gt;"",$B2640,IF(COUNTIFS(原始经营数据!$D$3:$D$3001,$A2640,原始经营数据!$E$3:$E$3001,"",原始经营数据!$F$3:$F$3001,$C2640,原始经营数据!$H$3:$H$3001,$D2640,原始经营数据!$K$3:$K$3001,$G2640)&gt;1,"基金整体·来源"&amp;原始经营数据!$A2641,"基金整体")))</f>
        <v/>
      </c>
      <c r="J2640" t="str">
        <f t="shared" si="618"/>
        <v/>
      </c>
      <c r="K2640" t="str">
        <f t="shared" si="619"/>
        <v/>
      </c>
      <c r="L2640" t="str">
        <f t="shared" si="620"/>
        <v/>
      </c>
      <c r="M2640">
        <f>IF($A2640="",0,IF(COUNTIF($L$2:$L2640,$L2640)=1,1,0))</f>
        <v>0</v>
      </c>
      <c r="N2640" t="str">
        <f t="shared" si="621"/>
        <v/>
      </c>
      <c r="O2640" t="str">
        <f t="shared" si="622"/>
        <v/>
      </c>
      <c r="P2640">
        <f>IF($A2640="",0,IF(COUNTIF($O$2:$O2640,$O2640)=1,1,0))</f>
        <v>0</v>
      </c>
      <c r="Q2640" t="str">
        <f>IF(AND($P2640=1,$A2640=经营数据!$B$3,$J2640=经营数据!$BA$5),COUNTIFS($P$2:$P$3000,1,$A$2:$A$3000,$A2640,$J$2:$J$3000,$J2640,$N$2:$N$3000,"&lt;"&amp;$N2640)+1,"")</f>
        <v/>
      </c>
      <c r="R2640" t="str">
        <f t="shared" si="623"/>
        <v/>
      </c>
      <c r="S2640">
        <f>IF($A2640="",0,IF(COUNTIF($R$2:$R2640,$R2640)=1,1,0))</f>
        <v>0</v>
      </c>
      <c r="T2640" t="str">
        <f t="shared" si="624"/>
        <v/>
      </c>
      <c r="U2640" t="str">
        <f>IF($A2640="","",IF($A2640=经营数据!$B$3,COUNTIFS($S$2:$S$3000,1,$A$2:$A$3000,$A2640,$T$2:$T$3000,"&lt;"&amp;$T2640)+1,""))</f>
        <v/>
      </c>
      <c r="V2640" t="str">
        <f t="shared" si="625"/>
        <v/>
      </c>
      <c r="W2640" t="str">
        <f t="shared" si="626"/>
        <v/>
      </c>
      <c r="X2640" t="str">
        <f t="shared" si="627"/>
        <v/>
      </c>
      <c r="Y2640" t="str">
        <f t="shared" si="628"/>
        <v/>
      </c>
      <c r="Z2640">
        <f>IF($A2640="",0,IF(AND($M2640=1,$A2640=经营数据!$B$3,$J2640=经营数据!$BA$5,OR($I2640=经营数据!$BA$4,COUNTIF(经营数据!$AA$9:$AA$38,$I2640)&gt;0)),1,0))</f>
        <v>0</v>
      </c>
      <c r="AA2640" t="str">
        <f t="shared" si="629"/>
        <v/>
      </c>
      <c r="AB2640" t="str">
        <f t="shared" si="630"/>
        <v/>
      </c>
      <c r="AC2640">
        <f>IF($A2640="",0,IF(COUNTIF($A$2:$A2640,$A2640)=1,1,0))</f>
        <v>0</v>
      </c>
      <c r="AD2640">
        <f t="shared" si="631"/>
        <v>29</v>
      </c>
      <c r="AE2640" t="str">
        <f t="shared" si="632"/>
        <v/>
      </c>
    </row>
    <row r="2641" spans="1:31" x14ac:dyDescent="0.4">
      <c r="A2641" t="str">
        <f>IF(原始经营数据!$D2642="","",原始经营数据!$D2642)</f>
        <v/>
      </c>
      <c r="B2641" t="str">
        <f>IF(原始经营数据!$D2642="","",T(原始经营数据!$E2642))</f>
        <v/>
      </c>
      <c r="C2641" t="str">
        <f>IF(原始经营数据!$D2642="","",原始经营数据!$F2642)</f>
        <v/>
      </c>
      <c r="D2641" t="str">
        <f>IF(原始经营数据!$D2642="","",原始经营数据!$H2642)</f>
        <v/>
      </c>
      <c r="E2641" t="str">
        <f>IF(原始经营数据!$D2642="","",原始经营数据!$I2642)</f>
        <v/>
      </c>
      <c r="F2641" t="str">
        <f>IF(原始经营数据!$D2642="","",T(原始经营数据!$J2642))</f>
        <v/>
      </c>
      <c r="G2641" t="str">
        <f>IF(原始经营数据!$D2642="","",T(原始经营数据!$K2642))</f>
        <v/>
      </c>
      <c r="H2641" t="str">
        <f>IF(原始经营数据!$D2642="","",原始经营数据!$G2642)</f>
        <v/>
      </c>
      <c r="I2641" t="str">
        <f>IF($A2641="","",IF($B2641&lt;&gt;"",$B2641,IF(COUNTIFS(原始经营数据!$D$3:$D$3001,$A2641,原始经营数据!$E$3:$E$3001,"",原始经营数据!$F$3:$F$3001,$C2641,原始经营数据!$H$3:$H$3001,$D2641,原始经营数据!$K$3:$K$3001,$G2641)&gt;1,"基金整体·来源"&amp;原始经营数据!$A2642,"基金整体")))</f>
        <v/>
      </c>
      <c r="J2641" t="str">
        <f t="shared" si="618"/>
        <v/>
      </c>
      <c r="K2641" t="str">
        <f t="shared" si="619"/>
        <v/>
      </c>
      <c r="L2641" t="str">
        <f t="shared" si="620"/>
        <v/>
      </c>
      <c r="M2641">
        <f>IF($A2641="",0,IF(COUNTIF($L$2:$L2641,$L2641)=1,1,0))</f>
        <v>0</v>
      </c>
      <c r="N2641" t="str">
        <f t="shared" si="621"/>
        <v/>
      </c>
      <c r="O2641" t="str">
        <f t="shared" si="622"/>
        <v/>
      </c>
      <c r="P2641">
        <f>IF($A2641="",0,IF(COUNTIF($O$2:$O2641,$O2641)=1,1,0))</f>
        <v>0</v>
      </c>
      <c r="Q2641" t="str">
        <f>IF(AND($P2641=1,$A2641=经营数据!$B$3,$J2641=经营数据!$BA$5),COUNTIFS($P$2:$P$3000,1,$A$2:$A$3000,$A2641,$J$2:$J$3000,$J2641,$N$2:$N$3000,"&lt;"&amp;$N2641)+1,"")</f>
        <v/>
      </c>
      <c r="R2641" t="str">
        <f t="shared" si="623"/>
        <v/>
      </c>
      <c r="S2641">
        <f>IF($A2641="",0,IF(COUNTIF($R$2:$R2641,$R2641)=1,1,0))</f>
        <v>0</v>
      </c>
      <c r="T2641" t="str">
        <f t="shared" si="624"/>
        <v/>
      </c>
      <c r="U2641" t="str">
        <f>IF($A2641="","",IF($A2641=经营数据!$B$3,COUNTIFS($S$2:$S$3000,1,$A$2:$A$3000,$A2641,$T$2:$T$3000,"&lt;"&amp;$T2641)+1,""))</f>
        <v/>
      </c>
      <c r="V2641" t="str">
        <f t="shared" si="625"/>
        <v/>
      </c>
      <c r="W2641" t="str">
        <f t="shared" si="626"/>
        <v/>
      </c>
      <c r="X2641" t="str">
        <f t="shared" si="627"/>
        <v/>
      </c>
      <c r="Y2641" t="str">
        <f t="shared" si="628"/>
        <v/>
      </c>
      <c r="Z2641">
        <f>IF($A2641="",0,IF(AND($M2641=1,$A2641=经营数据!$B$3,$J2641=经营数据!$BA$5,OR($I2641=经营数据!$BA$4,COUNTIF(经营数据!$AA$9:$AA$38,$I2641)&gt;0)),1,0))</f>
        <v>0</v>
      </c>
      <c r="AA2641" t="str">
        <f t="shared" si="629"/>
        <v/>
      </c>
      <c r="AB2641" t="str">
        <f t="shared" si="630"/>
        <v/>
      </c>
      <c r="AC2641">
        <f>IF($A2641="",0,IF(COUNTIF($A$2:$A2641,$A2641)=1,1,0))</f>
        <v>0</v>
      </c>
      <c r="AD2641">
        <f t="shared" si="631"/>
        <v>29</v>
      </c>
      <c r="AE2641" t="str">
        <f t="shared" si="632"/>
        <v/>
      </c>
    </row>
    <row r="2642" spans="1:31" x14ac:dyDescent="0.4">
      <c r="A2642" t="str">
        <f>IF(原始经营数据!$D2643="","",原始经营数据!$D2643)</f>
        <v/>
      </c>
      <c r="B2642" t="str">
        <f>IF(原始经营数据!$D2643="","",T(原始经营数据!$E2643))</f>
        <v/>
      </c>
      <c r="C2642" t="str">
        <f>IF(原始经营数据!$D2643="","",原始经营数据!$F2643)</f>
        <v/>
      </c>
      <c r="D2642" t="str">
        <f>IF(原始经营数据!$D2643="","",原始经营数据!$H2643)</f>
        <v/>
      </c>
      <c r="E2642" t="str">
        <f>IF(原始经营数据!$D2643="","",原始经营数据!$I2643)</f>
        <v/>
      </c>
      <c r="F2642" t="str">
        <f>IF(原始经营数据!$D2643="","",T(原始经营数据!$J2643))</f>
        <v/>
      </c>
      <c r="G2642" t="str">
        <f>IF(原始经营数据!$D2643="","",T(原始经营数据!$K2643))</f>
        <v/>
      </c>
      <c r="H2642" t="str">
        <f>IF(原始经营数据!$D2643="","",原始经营数据!$G2643)</f>
        <v/>
      </c>
      <c r="I2642" t="str">
        <f>IF($A2642="","",IF($B2642&lt;&gt;"",$B2642,IF(COUNTIFS(原始经营数据!$D$3:$D$3001,$A2642,原始经营数据!$E$3:$E$3001,"",原始经营数据!$F$3:$F$3001,$C2642,原始经营数据!$H$3:$H$3001,$D2642,原始经营数据!$K$3:$K$3001,$G2642)&gt;1,"基金整体·来源"&amp;原始经营数据!$A2643,"基金整体")))</f>
        <v/>
      </c>
      <c r="J2642" t="str">
        <f t="shared" si="618"/>
        <v/>
      </c>
      <c r="K2642" t="str">
        <f t="shared" si="619"/>
        <v/>
      </c>
      <c r="L2642" t="str">
        <f t="shared" si="620"/>
        <v/>
      </c>
      <c r="M2642">
        <f>IF($A2642="",0,IF(COUNTIF($L$2:$L2642,$L2642)=1,1,0))</f>
        <v>0</v>
      </c>
      <c r="N2642" t="str">
        <f t="shared" si="621"/>
        <v/>
      </c>
      <c r="O2642" t="str">
        <f t="shared" si="622"/>
        <v/>
      </c>
      <c r="P2642">
        <f>IF($A2642="",0,IF(COUNTIF($O$2:$O2642,$O2642)=1,1,0))</f>
        <v>0</v>
      </c>
      <c r="Q2642" t="str">
        <f>IF(AND($P2642=1,$A2642=经营数据!$B$3,$J2642=经营数据!$BA$5),COUNTIFS($P$2:$P$3000,1,$A$2:$A$3000,$A2642,$J$2:$J$3000,$J2642,$N$2:$N$3000,"&lt;"&amp;$N2642)+1,"")</f>
        <v/>
      </c>
      <c r="R2642" t="str">
        <f t="shared" si="623"/>
        <v/>
      </c>
      <c r="S2642">
        <f>IF($A2642="",0,IF(COUNTIF($R$2:$R2642,$R2642)=1,1,0))</f>
        <v>0</v>
      </c>
      <c r="T2642" t="str">
        <f t="shared" si="624"/>
        <v/>
      </c>
      <c r="U2642" t="str">
        <f>IF($A2642="","",IF($A2642=经营数据!$B$3,COUNTIFS($S$2:$S$3000,1,$A$2:$A$3000,$A2642,$T$2:$T$3000,"&lt;"&amp;$T2642)+1,""))</f>
        <v/>
      </c>
      <c r="V2642" t="str">
        <f t="shared" si="625"/>
        <v/>
      </c>
      <c r="W2642" t="str">
        <f t="shared" si="626"/>
        <v/>
      </c>
      <c r="X2642" t="str">
        <f t="shared" si="627"/>
        <v/>
      </c>
      <c r="Y2642" t="str">
        <f t="shared" si="628"/>
        <v/>
      </c>
      <c r="Z2642">
        <f>IF($A2642="",0,IF(AND($M2642=1,$A2642=经营数据!$B$3,$J2642=经营数据!$BA$5,OR($I2642=经营数据!$BA$4,COUNTIF(经营数据!$AA$9:$AA$38,$I2642)&gt;0)),1,0))</f>
        <v>0</v>
      </c>
      <c r="AA2642" t="str">
        <f t="shared" si="629"/>
        <v/>
      </c>
      <c r="AB2642" t="str">
        <f t="shared" si="630"/>
        <v/>
      </c>
      <c r="AC2642">
        <f>IF($A2642="",0,IF(COUNTIF($A$2:$A2642,$A2642)=1,1,0))</f>
        <v>0</v>
      </c>
      <c r="AD2642">
        <f t="shared" si="631"/>
        <v>29</v>
      </c>
      <c r="AE2642" t="str">
        <f t="shared" si="632"/>
        <v/>
      </c>
    </row>
    <row r="2643" spans="1:31" x14ac:dyDescent="0.4">
      <c r="A2643" t="str">
        <f>IF(原始经营数据!$D2644="","",原始经营数据!$D2644)</f>
        <v/>
      </c>
      <c r="B2643" t="str">
        <f>IF(原始经营数据!$D2644="","",T(原始经营数据!$E2644))</f>
        <v/>
      </c>
      <c r="C2643" t="str">
        <f>IF(原始经营数据!$D2644="","",原始经营数据!$F2644)</f>
        <v/>
      </c>
      <c r="D2643" t="str">
        <f>IF(原始经营数据!$D2644="","",原始经营数据!$H2644)</f>
        <v/>
      </c>
      <c r="E2643" t="str">
        <f>IF(原始经营数据!$D2644="","",原始经营数据!$I2644)</f>
        <v/>
      </c>
      <c r="F2643" t="str">
        <f>IF(原始经营数据!$D2644="","",T(原始经营数据!$J2644))</f>
        <v/>
      </c>
      <c r="G2643" t="str">
        <f>IF(原始经营数据!$D2644="","",T(原始经营数据!$K2644))</f>
        <v/>
      </c>
      <c r="H2643" t="str">
        <f>IF(原始经营数据!$D2644="","",原始经营数据!$G2644)</f>
        <v/>
      </c>
      <c r="I2643" t="str">
        <f>IF($A2643="","",IF($B2643&lt;&gt;"",$B2643,IF(COUNTIFS(原始经营数据!$D$3:$D$3001,$A2643,原始经营数据!$E$3:$E$3001,"",原始经营数据!$F$3:$F$3001,$C2643,原始经营数据!$H$3:$H$3001,$D2643,原始经营数据!$K$3:$K$3001,$G2643)&gt;1,"基金整体·来源"&amp;原始经营数据!$A2644,"基金整体")))</f>
        <v/>
      </c>
      <c r="J2643" t="str">
        <f t="shared" si="618"/>
        <v/>
      </c>
      <c r="K2643" t="str">
        <f t="shared" si="619"/>
        <v/>
      </c>
      <c r="L2643" t="str">
        <f t="shared" si="620"/>
        <v/>
      </c>
      <c r="M2643">
        <f>IF($A2643="",0,IF(COUNTIF($L$2:$L2643,$L2643)=1,1,0))</f>
        <v>0</v>
      </c>
      <c r="N2643" t="str">
        <f t="shared" si="621"/>
        <v/>
      </c>
      <c r="O2643" t="str">
        <f t="shared" si="622"/>
        <v/>
      </c>
      <c r="P2643">
        <f>IF($A2643="",0,IF(COUNTIF($O$2:$O2643,$O2643)=1,1,0))</f>
        <v>0</v>
      </c>
      <c r="Q2643" t="str">
        <f>IF(AND($P2643=1,$A2643=经营数据!$B$3,$J2643=经营数据!$BA$5),COUNTIFS($P$2:$P$3000,1,$A$2:$A$3000,$A2643,$J$2:$J$3000,$J2643,$N$2:$N$3000,"&lt;"&amp;$N2643)+1,"")</f>
        <v/>
      </c>
      <c r="R2643" t="str">
        <f t="shared" si="623"/>
        <v/>
      </c>
      <c r="S2643">
        <f>IF($A2643="",0,IF(COUNTIF($R$2:$R2643,$R2643)=1,1,0))</f>
        <v>0</v>
      </c>
      <c r="T2643" t="str">
        <f t="shared" si="624"/>
        <v/>
      </c>
      <c r="U2643" t="str">
        <f>IF($A2643="","",IF($A2643=经营数据!$B$3,COUNTIFS($S$2:$S$3000,1,$A$2:$A$3000,$A2643,$T$2:$T$3000,"&lt;"&amp;$T2643)+1,""))</f>
        <v/>
      </c>
      <c r="V2643" t="str">
        <f t="shared" si="625"/>
        <v/>
      </c>
      <c r="W2643" t="str">
        <f t="shared" si="626"/>
        <v/>
      </c>
      <c r="X2643" t="str">
        <f t="shared" si="627"/>
        <v/>
      </c>
      <c r="Y2643" t="str">
        <f t="shared" si="628"/>
        <v/>
      </c>
      <c r="Z2643">
        <f>IF($A2643="",0,IF(AND($M2643=1,$A2643=经营数据!$B$3,$J2643=经营数据!$BA$5,OR($I2643=经营数据!$BA$4,COUNTIF(经营数据!$AA$9:$AA$38,$I2643)&gt;0)),1,0))</f>
        <v>0</v>
      </c>
      <c r="AA2643" t="str">
        <f t="shared" si="629"/>
        <v/>
      </c>
      <c r="AB2643" t="str">
        <f t="shared" si="630"/>
        <v/>
      </c>
      <c r="AC2643">
        <f>IF($A2643="",0,IF(COUNTIF($A$2:$A2643,$A2643)=1,1,0))</f>
        <v>0</v>
      </c>
      <c r="AD2643">
        <f t="shared" si="631"/>
        <v>29</v>
      </c>
      <c r="AE2643" t="str">
        <f t="shared" si="632"/>
        <v/>
      </c>
    </row>
    <row r="2644" spans="1:31" x14ac:dyDescent="0.4">
      <c r="A2644" t="str">
        <f>IF(原始经营数据!$D2645="","",原始经营数据!$D2645)</f>
        <v/>
      </c>
      <c r="B2644" t="str">
        <f>IF(原始经营数据!$D2645="","",T(原始经营数据!$E2645))</f>
        <v/>
      </c>
      <c r="C2644" t="str">
        <f>IF(原始经营数据!$D2645="","",原始经营数据!$F2645)</f>
        <v/>
      </c>
      <c r="D2644" t="str">
        <f>IF(原始经营数据!$D2645="","",原始经营数据!$H2645)</f>
        <v/>
      </c>
      <c r="E2644" t="str">
        <f>IF(原始经营数据!$D2645="","",原始经营数据!$I2645)</f>
        <v/>
      </c>
      <c r="F2644" t="str">
        <f>IF(原始经营数据!$D2645="","",T(原始经营数据!$J2645))</f>
        <v/>
      </c>
      <c r="G2644" t="str">
        <f>IF(原始经营数据!$D2645="","",T(原始经营数据!$K2645))</f>
        <v/>
      </c>
      <c r="H2644" t="str">
        <f>IF(原始经营数据!$D2645="","",原始经营数据!$G2645)</f>
        <v/>
      </c>
      <c r="I2644" t="str">
        <f>IF($A2644="","",IF($B2644&lt;&gt;"",$B2644,IF(COUNTIFS(原始经营数据!$D$3:$D$3001,$A2644,原始经营数据!$E$3:$E$3001,"",原始经营数据!$F$3:$F$3001,$C2644,原始经营数据!$H$3:$H$3001,$D2644,原始经营数据!$K$3:$K$3001,$G2644)&gt;1,"基金整体·来源"&amp;原始经营数据!$A2645,"基金整体")))</f>
        <v/>
      </c>
      <c r="J2644" t="str">
        <f t="shared" si="618"/>
        <v/>
      </c>
      <c r="K2644" t="str">
        <f t="shared" si="619"/>
        <v/>
      </c>
      <c r="L2644" t="str">
        <f t="shared" si="620"/>
        <v/>
      </c>
      <c r="M2644">
        <f>IF($A2644="",0,IF(COUNTIF($L$2:$L2644,$L2644)=1,1,0))</f>
        <v>0</v>
      </c>
      <c r="N2644" t="str">
        <f t="shared" si="621"/>
        <v/>
      </c>
      <c r="O2644" t="str">
        <f t="shared" si="622"/>
        <v/>
      </c>
      <c r="P2644">
        <f>IF($A2644="",0,IF(COUNTIF($O$2:$O2644,$O2644)=1,1,0))</f>
        <v>0</v>
      </c>
      <c r="Q2644" t="str">
        <f>IF(AND($P2644=1,$A2644=经营数据!$B$3,$J2644=经营数据!$BA$5),COUNTIFS($P$2:$P$3000,1,$A$2:$A$3000,$A2644,$J$2:$J$3000,$J2644,$N$2:$N$3000,"&lt;"&amp;$N2644)+1,"")</f>
        <v/>
      </c>
      <c r="R2644" t="str">
        <f t="shared" si="623"/>
        <v/>
      </c>
      <c r="S2644">
        <f>IF($A2644="",0,IF(COUNTIF($R$2:$R2644,$R2644)=1,1,0))</f>
        <v>0</v>
      </c>
      <c r="T2644" t="str">
        <f t="shared" si="624"/>
        <v/>
      </c>
      <c r="U2644" t="str">
        <f>IF($A2644="","",IF($A2644=经营数据!$B$3,COUNTIFS($S$2:$S$3000,1,$A$2:$A$3000,$A2644,$T$2:$T$3000,"&lt;"&amp;$T2644)+1,""))</f>
        <v/>
      </c>
      <c r="V2644" t="str">
        <f t="shared" si="625"/>
        <v/>
      </c>
      <c r="W2644" t="str">
        <f t="shared" si="626"/>
        <v/>
      </c>
      <c r="X2644" t="str">
        <f t="shared" si="627"/>
        <v/>
      </c>
      <c r="Y2644" t="str">
        <f t="shared" si="628"/>
        <v/>
      </c>
      <c r="Z2644">
        <f>IF($A2644="",0,IF(AND($M2644=1,$A2644=经营数据!$B$3,$J2644=经营数据!$BA$5,OR($I2644=经营数据!$BA$4,COUNTIF(经营数据!$AA$9:$AA$38,$I2644)&gt;0)),1,0))</f>
        <v>0</v>
      </c>
      <c r="AA2644" t="str">
        <f t="shared" si="629"/>
        <v/>
      </c>
      <c r="AB2644" t="str">
        <f t="shared" si="630"/>
        <v/>
      </c>
      <c r="AC2644">
        <f>IF($A2644="",0,IF(COUNTIF($A$2:$A2644,$A2644)=1,1,0))</f>
        <v>0</v>
      </c>
      <c r="AD2644">
        <f t="shared" si="631"/>
        <v>29</v>
      </c>
      <c r="AE2644" t="str">
        <f t="shared" si="632"/>
        <v/>
      </c>
    </row>
    <row r="2645" spans="1:31" x14ac:dyDescent="0.4">
      <c r="A2645" t="str">
        <f>IF(原始经营数据!$D2646="","",原始经营数据!$D2646)</f>
        <v/>
      </c>
      <c r="B2645" t="str">
        <f>IF(原始经营数据!$D2646="","",T(原始经营数据!$E2646))</f>
        <v/>
      </c>
      <c r="C2645" t="str">
        <f>IF(原始经营数据!$D2646="","",原始经营数据!$F2646)</f>
        <v/>
      </c>
      <c r="D2645" t="str">
        <f>IF(原始经营数据!$D2646="","",原始经营数据!$H2646)</f>
        <v/>
      </c>
      <c r="E2645" t="str">
        <f>IF(原始经营数据!$D2646="","",原始经营数据!$I2646)</f>
        <v/>
      </c>
      <c r="F2645" t="str">
        <f>IF(原始经营数据!$D2646="","",T(原始经营数据!$J2646))</f>
        <v/>
      </c>
      <c r="G2645" t="str">
        <f>IF(原始经营数据!$D2646="","",T(原始经营数据!$K2646))</f>
        <v/>
      </c>
      <c r="H2645" t="str">
        <f>IF(原始经营数据!$D2646="","",原始经营数据!$G2646)</f>
        <v/>
      </c>
      <c r="I2645" t="str">
        <f>IF($A2645="","",IF($B2645&lt;&gt;"",$B2645,IF(COUNTIFS(原始经营数据!$D$3:$D$3001,$A2645,原始经营数据!$E$3:$E$3001,"",原始经营数据!$F$3:$F$3001,$C2645,原始经营数据!$H$3:$H$3001,$D2645,原始经营数据!$K$3:$K$3001,$G2645)&gt;1,"基金整体·来源"&amp;原始经营数据!$A2646,"基金整体")))</f>
        <v/>
      </c>
      <c r="J2645" t="str">
        <f t="shared" si="618"/>
        <v/>
      </c>
      <c r="K2645" t="str">
        <f t="shared" si="619"/>
        <v/>
      </c>
      <c r="L2645" t="str">
        <f t="shared" si="620"/>
        <v/>
      </c>
      <c r="M2645">
        <f>IF($A2645="",0,IF(COUNTIF($L$2:$L2645,$L2645)=1,1,0))</f>
        <v>0</v>
      </c>
      <c r="N2645" t="str">
        <f t="shared" si="621"/>
        <v/>
      </c>
      <c r="O2645" t="str">
        <f t="shared" si="622"/>
        <v/>
      </c>
      <c r="P2645">
        <f>IF($A2645="",0,IF(COUNTIF($O$2:$O2645,$O2645)=1,1,0))</f>
        <v>0</v>
      </c>
      <c r="Q2645" t="str">
        <f>IF(AND($P2645=1,$A2645=经营数据!$B$3,$J2645=经营数据!$BA$5),COUNTIFS($P$2:$P$3000,1,$A$2:$A$3000,$A2645,$J$2:$J$3000,$J2645,$N$2:$N$3000,"&lt;"&amp;$N2645)+1,"")</f>
        <v/>
      </c>
      <c r="R2645" t="str">
        <f t="shared" si="623"/>
        <v/>
      </c>
      <c r="S2645">
        <f>IF($A2645="",0,IF(COUNTIF($R$2:$R2645,$R2645)=1,1,0))</f>
        <v>0</v>
      </c>
      <c r="T2645" t="str">
        <f t="shared" si="624"/>
        <v/>
      </c>
      <c r="U2645" t="str">
        <f>IF($A2645="","",IF($A2645=经营数据!$B$3,COUNTIFS($S$2:$S$3000,1,$A$2:$A$3000,$A2645,$T$2:$T$3000,"&lt;"&amp;$T2645)+1,""))</f>
        <v/>
      </c>
      <c r="V2645" t="str">
        <f t="shared" si="625"/>
        <v/>
      </c>
      <c r="W2645" t="str">
        <f t="shared" si="626"/>
        <v/>
      </c>
      <c r="X2645" t="str">
        <f t="shared" si="627"/>
        <v/>
      </c>
      <c r="Y2645" t="str">
        <f t="shared" si="628"/>
        <v/>
      </c>
      <c r="Z2645">
        <f>IF($A2645="",0,IF(AND($M2645=1,$A2645=经营数据!$B$3,$J2645=经营数据!$BA$5,OR($I2645=经营数据!$BA$4,COUNTIF(经营数据!$AA$9:$AA$38,$I2645)&gt;0)),1,0))</f>
        <v>0</v>
      </c>
      <c r="AA2645" t="str">
        <f t="shared" si="629"/>
        <v/>
      </c>
      <c r="AB2645" t="str">
        <f t="shared" si="630"/>
        <v/>
      </c>
      <c r="AC2645">
        <f>IF($A2645="",0,IF(COUNTIF($A$2:$A2645,$A2645)=1,1,0))</f>
        <v>0</v>
      </c>
      <c r="AD2645">
        <f t="shared" si="631"/>
        <v>29</v>
      </c>
      <c r="AE2645" t="str">
        <f t="shared" si="632"/>
        <v/>
      </c>
    </row>
    <row r="2646" spans="1:31" x14ac:dyDescent="0.4">
      <c r="A2646" t="str">
        <f>IF(原始经营数据!$D2647="","",原始经营数据!$D2647)</f>
        <v/>
      </c>
      <c r="B2646" t="str">
        <f>IF(原始经营数据!$D2647="","",T(原始经营数据!$E2647))</f>
        <v/>
      </c>
      <c r="C2646" t="str">
        <f>IF(原始经营数据!$D2647="","",原始经营数据!$F2647)</f>
        <v/>
      </c>
      <c r="D2646" t="str">
        <f>IF(原始经营数据!$D2647="","",原始经营数据!$H2647)</f>
        <v/>
      </c>
      <c r="E2646" t="str">
        <f>IF(原始经营数据!$D2647="","",原始经营数据!$I2647)</f>
        <v/>
      </c>
      <c r="F2646" t="str">
        <f>IF(原始经营数据!$D2647="","",T(原始经营数据!$J2647))</f>
        <v/>
      </c>
      <c r="G2646" t="str">
        <f>IF(原始经营数据!$D2647="","",T(原始经营数据!$K2647))</f>
        <v/>
      </c>
      <c r="H2646" t="str">
        <f>IF(原始经营数据!$D2647="","",原始经营数据!$G2647)</f>
        <v/>
      </c>
      <c r="I2646" t="str">
        <f>IF($A2646="","",IF($B2646&lt;&gt;"",$B2646,IF(COUNTIFS(原始经营数据!$D$3:$D$3001,$A2646,原始经营数据!$E$3:$E$3001,"",原始经营数据!$F$3:$F$3001,$C2646,原始经营数据!$H$3:$H$3001,$D2646,原始经营数据!$K$3:$K$3001,$G2646)&gt;1,"基金整体·来源"&amp;原始经营数据!$A2647,"基金整体")))</f>
        <v/>
      </c>
      <c r="J2646" t="str">
        <f t="shared" si="618"/>
        <v/>
      </c>
      <c r="K2646" t="str">
        <f t="shared" si="619"/>
        <v/>
      </c>
      <c r="L2646" t="str">
        <f t="shared" si="620"/>
        <v/>
      </c>
      <c r="M2646">
        <f>IF($A2646="",0,IF(COUNTIF($L$2:$L2646,$L2646)=1,1,0))</f>
        <v>0</v>
      </c>
      <c r="N2646" t="str">
        <f t="shared" si="621"/>
        <v/>
      </c>
      <c r="O2646" t="str">
        <f t="shared" si="622"/>
        <v/>
      </c>
      <c r="P2646">
        <f>IF($A2646="",0,IF(COUNTIF($O$2:$O2646,$O2646)=1,1,0))</f>
        <v>0</v>
      </c>
      <c r="Q2646" t="str">
        <f>IF(AND($P2646=1,$A2646=经营数据!$B$3,$J2646=经营数据!$BA$5),COUNTIFS($P$2:$P$3000,1,$A$2:$A$3000,$A2646,$J$2:$J$3000,$J2646,$N$2:$N$3000,"&lt;"&amp;$N2646)+1,"")</f>
        <v/>
      </c>
      <c r="R2646" t="str">
        <f t="shared" si="623"/>
        <v/>
      </c>
      <c r="S2646">
        <f>IF($A2646="",0,IF(COUNTIF($R$2:$R2646,$R2646)=1,1,0))</f>
        <v>0</v>
      </c>
      <c r="T2646" t="str">
        <f t="shared" si="624"/>
        <v/>
      </c>
      <c r="U2646" t="str">
        <f>IF($A2646="","",IF($A2646=经营数据!$B$3,COUNTIFS($S$2:$S$3000,1,$A$2:$A$3000,$A2646,$T$2:$T$3000,"&lt;"&amp;$T2646)+1,""))</f>
        <v/>
      </c>
      <c r="V2646" t="str">
        <f t="shared" si="625"/>
        <v/>
      </c>
      <c r="W2646" t="str">
        <f t="shared" si="626"/>
        <v/>
      </c>
      <c r="X2646" t="str">
        <f t="shared" si="627"/>
        <v/>
      </c>
      <c r="Y2646" t="str">
        <f t="shared" si="628"/>
        <v/>
      </c>
      <c r="Z2646">
        <f>IF($A2646="",0,IF(AND($M2646=1,$A2646=经营数据!$B$3,$J2646=经营数据!$BA$5,OR($I2646=经营数据!$BA$4,COUNTIF(经营数据!$AA$9:$AA$38,$I2646)&gt;0)),1,0))</f>
        <v>0</v>
      </c>
      <c r="AA2646" t="str">
        <f t="shared" si="629"/>
        <v/>
      </c>
      <c r="AB2646" t="str">
        <f t="shared" si="630"/>
        <v/>
      </c>
      <c r="AC2646">
        <f>IF($A2646="",0,IF(COUNTIF($A$2:$A2646,$A2646)=1,1,0))</f>
        <v>0</v>
      </c>
      <c r="AD2646">
        <f t="shared" si="631"/>
        <v>29</v>
      </c>
      <c r="AE2646" t="str">
        <f t="shared" si="632"/>
        <v/>
      </c>
    </row>
    <row r="2647" spans="1:31" x14ac:dyDescent="0.4">
      <c r="A2647" t="str">
        <f>IF(原始经营数据!$D2648="","",原始经营数据!$D2648)</f>
        <v/>
      </c>
      <c r="B2647" t="str">
        <f>IF(原始经营数据!$D2648="","",T(原始经营数据!$E2648))</f>
        <v/>
      </c>
      <c r="C2647" t="str">
        <f>IF(原始经营数据!$D2648="","",原始经营数据!$F2648)</f>
        <v/>
      </c>
      <c r="D2647" t="str">
        <f>IF(原始经营数据!$D2648="","",原始经营数据!$H2648)</f>
        <v/>
      </c>
      <c r="E2647" t="str">
        <f>IF(原始经营数据!$D2648="","",原始经营数据!$I2648)</f>
        <v/>
      </c>
      <c r="F2647" t="str">
        <f>IF(原始经营数据!$D2648="","",T(原始经营数据!$J2648))</f>
        <v/>
      </c>
      <c r="G2647" t="str">
        <f>IF(原始经营数据!$D2648="","",T(原始经营数据!$K2648))</f>
        <v/>
      </c>
      <c r="H2647" t="str">
        <f>IF(原始经营数据!$D2648="","",原始经营数据!$G2648)</f>
        <v/>
      </c>
      <c r="I2647" t="str">
        <f>IF($A2647="","",IF($B2647&lt;&gt;"",$B2647,IF(COUNTIFS(原始经营数据!$D$3:$D$3001,$A2647,原始经营数据!$E$3:$E$3001,"",原始经营数据!$F$3:$F$3001,$C2647,原始经营数据!$H$3:$H$3001,$D2647,原始经营数据!$K$3:$K$3001,$G2647)&gt;1,"基金整体·来源"&amp;原始经营数据!$A2648,"基金整体")))</f>
        <v/>
      </c>
      <c r="J2647" t="str">
        <f t="shared" si="618"/>
        <v/>
      </c>
      <c r="K2647" t="str">
        <f t="shared" si="619"/>
        <v/>
      </c>
      <c r="L2647" t="str">
        <f t="shared" si="620"/>
        <v/>
      </c>
      <c r="M2647">
        <f>IF($A2647="",0,IF(COUNTIF($L$2:$L2647,$L2647)=1,1,0))</f>
        <v>0</v>
      </c>
      <c r="N2647" t="str">
        <f t="shared" si="621"/>
        <v/>
      </c>
      <c r="O2647" t="str">
        <f t="shared" si="622"/>
        <v/>
      </c>
      <c r="P2647">
        <f>IF($A2647="",0,IF(COUNTIF($O$2:$O2647,$O2647)=1,1,0))</f>
        <v>0</v>
      </c>
      <c r="Q2647" t="str">
        <f>IF(AND($P2647=1,$A2647=经营数据!$B$3,$J2647=经营数据!$BA$5),COUNTIFS($P$2:$P$3000,1,$A$2:$A$3000,$A2647,$J$2:$J$3000,$J2647,$N$2:$N$3000,"&lt;"&amp;$N2647)+1,"")</f>
        <v/>
      </c>
      <c r="R2647" t="str">
        <f t="shared" si="623"/>
        <v/>
      </c>
      <c r="S2647">
        <f>IF($A2647="",0,IF(COUNTIF($R$2:$R2647,$R2647)=1,1,0))</f>
        <v>0</v>
      </c>
      <c r="T2647" t="str">
        <f t="shared" si="624"/>
        <v/>
      </c>
      <c r="U2647" t="str">
        <f>IF($A2647="","",IF($A2647=经营数据!$B$3,COUNTIFS($S$2:$S$3000,1,$A$2:$A$3000,$A2647,$T$2:$T$3000,"&lt;"&amp;$T2647)+1,""))</f>
        <v/>
      </c>
      <c r="V2647" t="str">
        <f t="shared" si="625"/>
        <v/>
      </c>
      <c r="W2647" t="str">
        <f t="shared" si="626"/>
        <v/>
      </c>
      <c r="X2647" t="str">
        <f t="shared" si="627"/>
        <v/>
      </c>
      <c r="Y2647" t="str">
        <f t="shared" si="628"/>
        <v/>
      </c>
      <c r="Z2647">
        <f>IF($A2647="",0,IF(AND($M2647=1,$A2647=经营数据!$B$3,$J2647=经营数据!$BA$5,OR($I2647=经营数据!$BA$4,COUNTIF(经营数据!$AA$9:$AA$38,$I2647)&gt;0)),1,0))</f>
        <v>0</v>
      </c>
      <c r="AA2647" t="str">
        <f t="shared" si="629"/>
        <v/>
      </c>
      <c r="AB2647" t="str">
        <f t="shared" si="630"/>
        <v/>
      </c>
      <c r="AC2647">
        <f>IF($A2647="",0,IF(COUNTIF($A$2:$A2647,$A2647)=1,1,0))</f>
        <v>0</v>
      </c>
      <c r="AD2647">
        <f t="shared" si="631"/>
        <v>29</v>
      </c>
      <c r="AE2647" t="str">
        <f t="shared" si="632"/>
        <v/>
      </c>
    </row>
    <row r="2648" spans="1:31" x14ac:dyDescent="0.4">
      <c r="A2648" t="str">
        <f>IF(原始经营数据!$D2649="","",原始经营数据!$D2649)</f>
        <v/>
      </c>
      <c r="B2648" t="str">
        <f>IF(原始经营数据!$D2649="","",T(原始经营数据!$E2649))</f>
        <v/>
      </c>
      <c r="C2648" t="str">
        <f>IF(原始经营数据!$D2649="","",原始经营数据!$F2649)</f>
        <v/>
      </c>
      <c r="D2648" t="str">
        <f>IF(原始经营数据!$D2649="","",原始经营数据!$H2649)</f>
        <v/>
      </c>
      <c r="E2648" t="str">
        <f>IF(原始经营数据!$D2649="","",原始经营数据!$I2649)</f>
        <v/>
      </c>
      <c r="F2648" t="str">
        <f>IF(原始经营数据!$D2649="","",T(原始经营数据!$J2649))</f>
        <v/>
      </c>
      <c r="G2648" t="str">
        <f>IF(原始经营数据!$D2649="","",T(原始经营数据!$K2649))</f>
        <v/>
      </c>
      <c r="H2648" t="str">
        <f>IF(原始经营数据!$D2649="","",原始经营数据!$G2649)</f>
        <v/>
      </c>
      <c r="I2648" t="str">
        <f>IF($A2648="","",IF($B2648&lt;&gt;"",$B2648,IF(COUNTIFS(原始经营数据!$D$3:$D$3001,$A2648,原始经营数据!$E$3:$E$3001,"",原始经营数据!$F$3:$F$3001,$C2648,原始经营数据!$H$3:$H$3001,$D2648,原始经营数据!$K$3:$K$3001,$G2648)&gt;1,"基金整体·来源"&amp;原始经营数据!$A2649,"基金整体")))</f>
        <v/>
      </c>
      <c r="J2648" t="str">
        <f t="shared" si="618"/>
        <v/>
      </c>
      <c r="K2648" t="str">
        <f t="shared" si="619"/>
        <v/>
      </c>
      <c r="L2648" t="str">
        <f t="shared" si="620"/>
        <v/>
      </c>
      <c r="M2648">
        <f>IF($A2648="",0,IF(COUNTIF($L$2:$L2648,$L2648)=1,1,0))</f>
        <v>0</v>
      </c>
      <c r="N2648" t="str">
        <f t="shared" si="621"/>
        <v/>
      </c>
      <c r="O2648" t="str">
        <f t="shared" si="622"/>
        <v/>
      </c>
      <c r="P2648">
        <f>IF($A2648="",0,IF(COUNTIF($O$2:$O2648,$O2648)=1,1,0))</f>
        <v>0</v>
      </c>
      <c r="Q2648" t="str">
        <f>IF(AND($P2648=1,$A2648=经营数据!$B$3,$J2648=经营数据!$BA$5),COUNTIFS($P$2:$P$3000,1,$A$2:$A$3000,$A2648,$J$2:$J$3000,$J2648,$N$2:$N$3000,"&lt;"&amp;$N2648)+1,"")</f>
        <v/>
      </c>
      <c r="R2648" t="str">
        <f t="shared" si="623"/>
        <v/>
      </c>
      <c r="S2648">
        <f>IF($A2648="",0,IF(COUNTIF($R$2:$R2648,$R2648)=1,1,0))</f>
        <v>0</v>
      </c>
      <c r="T2648" t="str">
        <f t="shared" si="624"/>
        <v/>
      </c>
      <c r="U2648" t="str">
        <f>IF($A2648="","",IF($A2648=经营数据!$B$3,COUNTIFS($S$2:$S$3000,1,$A$2:$A$3000,$A2648,$T$2:$T$3000,"&lt;"&amp;$T2648)+1,""))</f>
        <v/>
      </c>
      <c r="V2648" t="str">
        <f t="shared" si="625"/>
        <v/>
      </c>
      <c r="W2648" t="str">
        <f t="shared" si="626"/>
        <v/>
      </c>
      <c r="X2648" t="str">
        <f t="shared" si="627"/>
        <v/>
      </c>
      <c r="Y2648" t="str">
        <f t="shared" si="628"/>
        <v/>
      </c>
      <c r="Z2648">
        <f>IF($A2648="",0,IF(AND($M2648=1,$A2648=经营数据!$B$3,$J2648=经营数据!$BA$5,OR($I2648=经营数据!$BA$4,COUNTIF(经营数据!$AA$9:$AA$38,$I2648)&gt;0)),1,0))</f>
        <v>0</v>
      </c>
      <c r="AA2648" t="str">
        <f t="shared" si="629"/>
        <v/>
      </c>
      <c r="AB2648" t="str">
        <f t="shared" si="630"/>
        <v/>
      </c>
      <c r="AC2648">
        <f>IF($A2648="",0,IF(COUNTIF($A$2:$A2648,$A2648)=1,1,0))</f>
        <v>0</v>
      </c>
      <c r="AD2648">
        <f t="shared" si="631"/>
        <v>29</v>
      </c>
      <c r="AE2648" t="str">
        <f t="shared" si="632"/>
        <v/>
      </c>
    </row>
    <row r="2649" spans="1:31" x14ac:dyDescent="0.4">
      <c r="A2649" t="str">
        <f>IF(原始经营数据!$D2650="","",原始经营数据!$D2650)</f>
        <v/>
      </c>
      <c r="B2649" t="str">
        <f>IF(原始经营数据!$D2650="","",T(原始经营数据!$E2650))</f>
        <v/>
      </c>
      <c r="C2649" t="str">
        <f>IF(原始经营数据!$D2650="","",原始经营数据!$F2650)</f>
        <v/>
      </c>
      <c r="D2649" t="str">
        <f>IF(原始经营数据!$D2650="","",原始经营数据!$H2650)</f>
        <v/>
      </c>
      <c r="E2649" t="str">
        <f>IF(原始经营数据!$D2650="","",原始经营数据!$I2650)</f>
        <v/>
      </c>
      <c r="F2649" t="str">
        <f>IF(原始经营数据!$D2650="","",T(原始经营数据!$J2650))</f>
        <v/>
      </c>
      <c r="G2649" t="str">
        <f>IF(原始经营数据!$D2650="","",T(原始经营数据!$K2650))</f>
        <v/>
      </c>
      <c r="H2649" t="str">
        <f>IF(原始经营数据!$D2650="","",原始经营数据!$G2650)</f>
        <v/>
      </c>
      <c r="I2649" t="str">
        <f>IF($A2649="","",IF($B2649&lt;&gt;"",$B2649,IF(COUNTIFS(原始经营数据!$D$3:$D$3001,$A2649,原始经营数据!$E$3:$E$3001,"",原始经营数据!$F$3:$F$3001,$C2649,原始经营数据!$H$3:$H$3001,$D2649,原始经营数据!$K$3:$K$3001,$G2649)&gt;1,"基金整体·来源"&amp;原始经营数据!$A2650,"基金整体")))</f>
        <v/>
      </c>
      <c r="J2649" t="str">
        <f t="shared" si="618"/>
        <v/>
      </c>
      <c r="K2649" t="str">
        <f t="shared" si="619"/>
        <v/>
      </c>
      <c r="L2649" t="str">
        <f t="shared" si="620"/>
        <v/>
      </c>
      <c r="M2649">
        <f>IF($A2649="",0,IF(COUNTIF($L$2:$L2649,$L2649)=1,1,0))</f>
        <v>0</v>
      </c>
      <c r="N2649" t="str">
        <f t="shared" si="621"/>
        <v/>
      </c>
      <c r="O2649" t="str">
        <f t="shared" si="622"/>
        <v/>
      </c>
      <c r="P2649">
        <f>IF($A2649="",0,IF(COUNTIF($O$2:$O2649,$O2649)=1,1,0))</f>
        <v>0</v>
      </c>
      <c r="Q2649" t="str">
        <f>IF(AND($P2649=1,$A2649=经营数据!$B$3,$J2649=经营数据!$BA$5),COUNTIFS($P$2:$P$3000,1,$A$2:$A$3000,$A2649,$J$2:$J$3000,$J2649,$N$2:$N$3000,"&lt;"&amp;$N2649)+1,"")</f>
        <v/>
      </c>
      <c r="R2649" t="str">
        <f t="shared" si="623"/>
        <v/>
      </c>
      <c r="S2649">
        <f>IF($A2649="",0,IF(COUNTIF($R$2:$R2649,$R2649)=1,1,0))</f>
        <v>0</v>
      </c>
      <c r="T2649" t="str">
        <f t="shared" si="624"/>
        <v/>
      </c>
      <c r="U2649" t="str">
        <f>IF($A2649="","",IF($A2649=经营数据!$B$3,COUNTIFS($S$2:$S$3000,1,$A$2:$A$3000,$A2649,$T$2:$T$3000,"&lt;"&amp;$T2649)+1,""))</f>
        <v/>
      </c>
      <c r="V2649" t="str">
        <f t="shared" si="625"/>
        <v/>
      </c>
      <c r="W2649" t="str">
        <f t="shared" si="626"/>
        <v/>
      </c>
      <c r="X2649" t="str">
        <f t="shared" si="627"/>
        <v/>
      </c>
      <c r="Y2649" t="str">
        <f t="shared" si="628"/>
        <v/>
      </c>
      <c r="Z2649">
        <f>IF($A2649="",0,IF(AND($M2649=1,$A2649=经营数据!$B$3,$J2649=经营数据!$BA$5,OR($I2649=经营数据!$BA$4,COUNTIF(经营数据!$AA$9:$AA$38,$I2649)&gt;0)),1,0))</f>
        <v>0</v>
      </c>
      <c r="AA2649" t="str">
        <f t="shared" si="629"/>
        <v/>
      </c>
      <c r="AB2649" t="str">
        <f t="shared" si="630"/>
        <v/>
      </c>
      <c r="AC2649">
        <f>IF($A2649="",0,IF(COUNTIF($A$2:$A2649,$A2649)=1,1,0))</f>
        <v>0</v>
      </c>
      <c r="AD2649">
        <f t="shared" si="631"/>
        <v>29</v>
      </c>
      <c r="AE2649" t="str">
        <f t="shared" si="632"/>
        <v/>
      </c>
    </row>
    <row r="2650" spans="1:31" x14ac:dyDescent="0.4">
      <c r="A2650" t="str">
        <f>IF(原始经营数据!$D2651="","",原始经营数据!$D2651)</f>
        <v/>
      </c>
      <c r="B2650" t="str">
        <f>IF(原始经营数据!$D2651="","",T(原始经营数据!$E2651))</f>
        <v/>
      </c>
      <c r="C2650" t="str">
        <f>IF(原始经营数据!$D2651="","",原始经营数据!$F2651)</f>
        <v/>
      </c>
      <c r="D2650" t="str">
        <f>IF(原始经营数据!$D2651="","",原始经营数据!$H2651)</f>
        <v/>
      </c>
      <c r="E2650" t="str">
        <f>IF(原始经营数据!$D2651="","",原始经营数据!$I2651)</f>
        <v/>
      </c>
      <c r="F2650" t="str">
        <f>IF(原始经营数据!$D2651="","",T(原始经营数据!$J2651))</f>
        <v/>
      </c>
      <c r="G2650" t="str">
        <f>IF(原始经营数据!$D2651="","",T(原始经营数据!$K2651))</f>
        <v/>
      </c>
      <c r="H2650" t="str">
        <f>IF(原始经营数据!$D2651="","",原始经营数据!$G2651)</f>
        <v/>
      </c>
      <c r="I2650" t="str">
        <f>IF($A2650="","",IF($B2650&lt;&gt;"",$B2650,IF(COUNTIFS(原始经营数据!$D$3:$D$3001,$A2650,原始经营数据!$E$3:$E$3001,"",原始经营数据!$F$3:$F$3001,$C2650,原始经营数据!$H$3:$H$3001,$D2650,原始经营数据!$K$3:$K$3001,$G2650)&gt;1,"基金整体·来源"&amp;原始经营数据!$A2651,"基金整体")))</f>
        <v/>
      </c>
      <c r="J2650" t="str">
        <f t="shared" si="618"/>
        <v/>
      </c>
      <c r="K2650" t="str">
        <f t="shared" si="619"/>
        <v/>
      </c>
      <c r="L2650" t="str">
        <f t="shared" si="620"/>
        <v/>
      </c>
      <c r="M2650">
        <f>IF($A2650="",0,IF(COUNTIF($L$2:$L2650,$L2650)=1,1,0))</f>
        <v>0</v>
      </c>
      <c r="N2650" t="str">
        <f t="shared" si="621"/>
        <v/>
      </c>
      <c r="O2650" t="str">
        <f t="shared" si="622"/>
        <v/>
      </c>
      <c r="P2650">
        <f>IF($A2650="",0,IF(COUNTIF($O$2:$O2650,$O2650)=1,1,0))</f>
        <v>0</v>
      </c>
      <c r="Q2650" t="str">
        <f>IF(AND($P2650=1,$A2650=经营数据!$B$3,$J2650=经营数据!$BA$5),COUNTIFS($P$2:$P$3000,1,$A$2:$A$3000,$A2650,$J$2:$J$3000,$J2650,$N$2:$N$3000,"&lt;"&amp;$N2650)+1,"")</f>
        <v/>
      </c>
      <c r="R2650" t="str">
        <f t="shared" si="623"/>
        <v/>
      </c>
      <c r="S2650">
        <f>IF($A2650="",0,IF(COUNTIF($R$2:$R2650,$R2650)=1,1,0))</f>
        <v>0</v>
      </c>
      <c r="T2650" t="str">
        <f t="shared" si="624"/>
        <v/>
      </c>
      <c r="U2650" t="str">
        <f>IF($A2650="","",IF($A2650=经营数据!$B$3,COUNTIFS($S$2:$S$3000,1,$A$2:$A$3000,$A2650,$T$2:$T$3000,"&lt;"&amp;$T2650)+1,""))</f>
        <v/>
      </c>
      <c r="V2650" t="str">
        <f t="shared" si="625"/>
        <v/>
      </c>
      <c r="W2650" t="str">
        <f t="shared" si="626"/>
        <v/>
      </c>
      <c r="X2650" t="str">
        <f t="shared" si="627"/>
        <v/>
      </c>
      <c r="Y2650" t="str">
        <f t="shared" si="628"/>
        <v/>
      </c>
      <c r="Z2650">
        <f>IF($A2650="",0,IF(AND($M2650=1,$A2650=经营数据!$B$3,$J2650=经营数据!$BA$5,OR($I2650=经营数据!$BA$4,COUNTIF(经营数据!$AA$9:$AA$38,$I2650)&gt;0)),1,0))</f>
        <v>0</v>
      </c>
      <c r="AA2650" t="str">
        <f t="shared" si="629"/>
        <v/>
      </c>
      <c r="AB2650" t="str">
        <f t="shared" si="630"/>
        <v/>
      </c>
      <c r="AC2650">
        <f>IF($A2650="",0,IF(COUNTIF($A$2:$A2650,$A2650)=1,1,0))</f>
        <v>0</v>
      </c>
      <c r="AD2650">
        <f t="shared" si="631"/>
        <v>29</v>
      </c>
      <c r="AE2650" t="str">
        <f t="shared" si="632"/>
        <v/>
      </c>
    </row>
    <row r="2651" spans="1:31" x14ac:dyDescent="0.4">
      <c r="A2651" t="str">
        <f>IF(原始经营数据!$D2652="","",原始经营数据!$D2652)</f>
        <v/>
      </c>
      <c r="B2651" t="str">
        <f>IF(原始经营数据!$D2652="","",T(原始经营数据!$E2652))</f>
        <v/>
      </c>
      <c r="C2651" t="str">
        <f>IF(原始经营数据!$D2652="","",原始经营数据!$F2652)</f>
        <v/>
      </c>
      <c r="D2651" t="str">
        <f>IF(原始经营数据!$D2652="","",原始经营数据!$H2652)</f>
        <v/>
      </c>
      <c r="E2651" t="str">
        <f>IF(原始经营数据!$D2652="","",原始经营数据!$I2652)</f>
        <v/>
      </c>
      <c r="F2651" t="str">
        <f>IF(原始经营数据!$D2652="","",T(原始经营数据!$J2652))</f>
        <v/>
      </c>
      <c r="G2651" t="str">
        <f>IF(原始经营数据!$D2652="","",T(原始经营数据!$K2652))</f>
        <v/>
      </c>
      <c r="H2651" t="str">
        <f>IF(原始经营数据!$D2652="","",原始经营数据!$G2652)</f>
        <v/>
      </c>
      <c r="I2651" t="str">
        <f>IF($A2651="","",IF($B2651&lt;&gt;"",$B2651,IF(COUNTIFS(原始经营数据!$D$3:$D$3001,$A2651,原始经营数据!$E$3:$E$3001,"",原始经营数据!$F$3:$F$3001,$C2651,原始经营数据!$H$3:$H$3001,$D2651,原始经营数据!$K$3:$K$3001,$G2651)&gt;1,"基金整体·来源"&amp;原始经营数据!$A2652,"基金整体")))</f>
        <v/>
      </c>
      <c r="J2651" t="str">
        <f t="shared" si="618"/>
        <v/>
      </c>
      <c r="K2651" t="str">
        <f t="shared" si="619"/>
        <v/>
      </c>
      <c r="L2651" t="str">
        <f t="shared" si="620"/>
        <v/>
      </c>
      <c r="M2651">
        <f>IF($A2651="",0,IF(COUNTIF($L$2:$L2651,$L2651)=1,1,0))</f>
        <v>0</v>
      </c>
      <c r="N2651" t="str">
        <f t="shared" si="621"/>
        <v/>
      </c>
      <c r="O2651" t="str">
        <f t="shared" si="622"/>
        <v/>
      </c>
      <c r="P2651">
        <f>IF($A2651="",0,IF(COUNTIF($O$2:$O2651,$O2651)=1,1,0))</f>
        <v>0</v>
      </c>
      <c r="Q2651" t="str">
        <f>IF(AND($P2651=1,$A2651=经营数据!$B$3,$J2651=经营数据!$BA$5),COUNTIFS($P$2:$P$3000,1,$A$2:$A$3000,$A2651,$J$2:$J$3000,$J2651,$N$2:$N$3000,"&lt;"&amp;$N2651)+1,"")</f>
        <v/>
      </c>
      <c r="R2651" t="str">
        <f t="shared" si="623"/>
        <v/>
      </c>
      <c r="S2651">
        <f>IF($A2651="",0,IF(COUNTIF($R$2:$R2651,$R2651)=1,1,0))</f>
        <v>0</v>
      </c>
      <c r="T2651" t="str">
        <f t="shared" si="624"/>
        <v/>
      </c>
      <c r="U2651" t="str">
        <f>IF($A2651="","",IF($A2651=经营数据!$B$3,COUNTIFS($S$2:$S$3000,1,$A$2:$A$3000,$A2651,$T$2:$T$3000,"&lt;"&amp;$T2651)+1,""))</f>
        <v/>
      </c>
      <c r="V2651" t="str">
        <f t="shared" si="625"/>
        <v/>
      </c>
      <c r="W2651" t="str">
        <f t="shared" si="626"/>
        <v/>
      </c>
      <c r="X2651" t="str">
        <f t="shared" si="627"/>
        <v/>
      </c>
      <c r="Y2651" t="str">
        <f t="shared" si="628"/>
        <v/>
      </c>
      <c r="Z2651">
        <f>IF($A2651="",0,IF(AND($M2651=1,$A2651=经营数据!$B$3,$J2651=经营数据!$BA$5,OR($I2651=经营数据!$BA$4,COUNTIF(经营数据!$AA$9:$AA$38,$I2651)&gt;0)),1,0))</f>
        <v>0</v>
      </c>
      <c r="AA2651" t="str">
        <f t="shared" si="629"/>
        <v/>
      </c>
      <c r="AB2651" t="str">
        <f t="shared" si="630"/>
        <v/>
      </c>
      <c r="AC2651">
        <f>IF($A2651="",0,IF(COUNTIF($A$2:$A2651,$A2651)=1,1,0))</f>
        <v>0</v>
      </c>
      <c r="AD2651">
        <f t="shared" si="631"/>
        <v>29</v>
      </c>
      <c r="AE2651" t="str">
        <f t="shared" si="632"/>
        <v/>
      </c>
    </row>
    <row r="2652" spans="1:31" x14ac:dyDescent="0.4">
      <c r="A2652" t="str">
        <f>IF(原始经营数据!$D2653="","",原始经营数据!$D2653)</f>
        <v/>
      </c>
      <c r="B2652" t="str">
        <f>IF(原始经营数据!$D2653="","",T(原始经营数据!$E2653))</f>
        <v/>
      </c>
      <c r="C2652" t="str">
        <f>IF(原始经营数据!$D2653="","",原始经营数据!$F2653)</f>
        <v/>
      </c>
      <c r="D2652" t="str">
        <f>IF(原始经营数据!$D2653="","",原始经营数据!$H2653)</f>
        <v/>
      </c>
      <c r="E2652" t="str">
        <f>IF(原始经营数据!$D2653="","",原始经营数据!$I2653)</f>
        <v/>
      </c>
      <c r="F2652" t="str">
        <f>IF(原始经营数据!$D2653="","",T(原始经营数据!$J2653))</f>
        <v/>
      </c>
      <c r="G2652" t="str">
        <f>IF(原始经营数据!$D2653="","",T(原始经营数据!$K2653))</f>
        <v/>
      </c>
      <c r="H2652" t="str">
        <f>IF(原始经营数据!$D2653="","",原始经营数据!$G2653)</f>
        <v/>
      </c>
      <c r="I2652" t="str">
        <f>IF($A2652="","",IF($B2652&lt;&gt;"",$B2652,IF(COUNTIFS(原始经营数据!$D$3:$D$3001,$A2652,原始经营数据!$E$3:$E$3001,"",原始经营数据!$F$3:$F$3001,$C2652,原始经营数据!$H$3:$H$3001,$D2652,原始经营数据!$K$3:$K$3001,$G2652)&gt;1,"基金整体·来源"&amp;原始经营数据!$A2653,"基金整体")))</f>
        <v/>
      </c>
      <c r="J2652" t="str">
        <f t="shared" si="618"/>
        <v/>
      </c>
      <c r="K2652" t="str">
        <f t="shared" si="619"/>
        <v/>
      </c>
      <c r="L2652" t="str">
        <f t="shared" si="620"/>
        <v/>
      </c>
      <c r="M2652">
        <f>IF($A2652="",0,IF(COUNTIF($L$2:$L2652,$L2652)=1,1,0))</f>
        <v>0</v>
      </c>
      <c r="N2652" t="str">
        <f t="shared" si="621"/>
        <v/>
      </c>
      <c r="O2652" t="str">
        <f t="shared" si="622"/>
        <v/>
      </c>
      <c r="P2652">
        <f>IF($A2652="",0,IF(COUNTIF($O$2:$O2652,$O2652)=1,1,0))</f>
        <v>0</v>
      </c>
      <c r="Q2652" t="str">
        <f>IF(AND($P2652=1,$A2652=经营数据!$B$3,$J2652=经营数据!$BA$5),COUNTIFS($P$2:$P$3000,1,$A$2:$A$3000,$A2652,$J$2:$J$3000,$J2652,$N$2:$N$3000,"&lt;"&amp;$N2652)+1,"")</f>
        <v/>
      </c>
      <c r="R2652" t="str">
        <f t="shared" si="623"/>
        <v/>
      </c>
      <c r="S2652">
        <f>IF($A2652="",0,IF(COUNTIF($R$2:$R2652,$R2652)=1,1,0))</f>
        <v>0</v>
      </c>
      <c r="T2652" t="str">
        <f t="shared" si="624"/>
        <v/>
      </c>
      <c r="U2652" t="str">
        <f>IF($A2652="","",IF($A2652=经营数据!$B$3,COUNTIFS($S$2:$S$3000,1,$A$2:$A$3000,$A2652,$T$2:$T$3000,"&lt;"&amp;$T2652)+1,""))</f>
        <v/>
      </c>
      <c r="V2652" t="str">
        <f t="shared" si="625"/>
        <v/>
      </c>
      <c r="W2652" t="str">
        <f t="shared" si="626"/>
        <v/>
      </c>
      <c r="X2652" t="str">
        <f t="shared" si="627"/>
        <v/>
      </c>
      <c r="Y2652" t="str">
        <f t="shared" si="628"/>
        <v/>
      </c>
      <c r="Z2652">
        <f>IF($A2652="",0,IF(AND($M2652=1,$A2652=经营数据!$B$3,$J2652=经营数据!$BA$5,OR($I2652=经营数据!$BA$4,COUNTIF(经营数据!$AA$9:$AA$38,$I2652)&gt;0)),1,0))</f>
        <v>0</v>
      </c>
      <c r="AA2652" t="str">
        <f t="shared" si="629"/>
        <v/>
      </c>
      <c r="AB2652" t="str">
        <f t="shared" si="630"/>
        <v/>
      </c>
      <c r="AC2652">
        <f>IF($A2652="",0,IF(COUNTIF($A$2:$A2652,$A2652)=1,1,0))</f>
        <v>0</v>
      </c>
      <c r="AD2652">
        <f t="shared" si="631"/>
        <v>29</v>
      </c>
      <c r="AE2652" t="str">
        <f t="shared" si="632"/>
        <v/>
      </c>
    </row>
    <row r="2653" spans="1:31" x14ac:dyDescent="0.4">
      <c r="A2653" t="str">
        <f>IF(原始经营数据!$D2654="","",原始经营数据!$D2654)</f>
        <v/>
      </c>
      <c r="B2653" t="str">
        <f>IF(原始经营数据!$D2654="","",T(原始经营数据!$E2654))</f>
        <v/>
      </c>
      <c r="C2653" t="str">
        <f>IF(原始经营数据!$D2654="","",原始经营数据!$F2654)</f>
        <v/>
      </c>
      <c r="D2653" t="str">
        <f>IF(原始经营数据!$D2654="","",原始经营数据!$H2654)</f>
        <v/>
      </c>
      <c r="E2653" t="str">
        <f>IF(原始经营数据!$D2654="","",原始经营数据!$I2654)</f>
        <v/>
      </c>
      <c r="F2653" t="str">
        <f>IF(原始经营数据!$D2654="","",T(原始经营数据!$J2654))</f>
        <v/>
      </c>
      <c r="G2653" t="str">
        <f>IF(原始经营数据!$D2654="","",T(原始经营数据!$K2654))</f>
        <v/>
      </c>
      <c r="H2653" t="str">
        <f>IF(原始经营数据!$D2654="","",原始经营数据!$G2654)</f>
        <v/>
      </c>
      <c r="I2653" t="str">
        <f>IF($A2653="","",IF($B2653&lt;&gt;"",$B2653,IF(COUNTIFS(原始经营数据!$D$3:$D$3001,$A2653,原始经营数据!$E$3:$E$3001,"",原始经营数据!$F$3:$F$3001,$C2653,原始经营数据!$H$3:$H$3001,$D2653,原始经营数据!$K$3:$K$3001,$G2653)&gt;1,"基金整体·来源"&amp;原始经营数据!$A2654,"基金整体")))</f>
        <v/>
      </c>
      <c r="J2653" t="str">
        <f t="shared" si="618"/>
        <v/>
      </c>
      <c r="K2653" t="str">
        <f t="shared" si="619"/>
        <v/>
      </c>
      <c r="L2653" t="str">
        <f t="shared" si="620"/>
        <v/>
      </c>
      <c r="M2653">
        <f>IF($A2653="",0,IF(COUNTIF($L$2:$L2653,$L2653)=1,1,0))</f>
        <v>0</v>
      </c>
      <c r="N2653" t="str">
        <f t="shared" si="621"/>
        <v/>
      </c>
      <c r="O2653" t="str">
        <f t="shared" si="622"/>
        <v/>
      </c>
      <c r="P2653">
        <f>IF($A2653="",0,IF(COUNTIF($O$2:$O2653,$O2653)=1,1,0))</f>
        <v>0</v>
      </c>
      <c r="Q2653" t="str">
        <f>IF(AND($P2653=1,$A2653=经营数据!$B$3,$J2653=经营数据!$BA$5),COUNTIFS($P$2:$P$3000,1,$A$2:$A$3000,$A2653,$J$2:$J$3000,$J2653,$N$2:$N$3000,"&lt;"&amp;$N2653)+1,"")</f>
        <v/>
      </c>
      <c r="R2653" t="str">
        <f t="shared" si="623"/>
        <v/>
      </c>
      <c r="S2653">
        <f>IF($A2653="",0,IF(COUNTIF($R$2:$R2653,$R2653)=1,1,0))</f>
        <v>0</v>
      </c>
      <c r="T2653" t="str">
        <f t="shared" si="624"/>
        <v/>
      </c>
      <c r="U2653" t="str">
        <f>IF($A2653="","",IF($A2653=经营数据!$B$3,COUNTIFS($S$2:$S$3000,1,$A$2:$A$3000,$A2653,$T$2:$T$3000,"&lt;"&amp;$T2653)+1,""))</f>
        <v/>
      </c>
      <c r="V2653" t="str">
        <f t="shared" si="625"/>
        <v/>
      </c>
      <c r="W2653" t="str">
        <f t="shared" si="626"/>
        <v/>
      </c>
      <c r="X2653" t="str">
        <f t="shared" si="627"/>
        <v/>
      </c>
      <c r="Y2653" t="str">
        <f t="shared" si="628"/>
        <v/>
      </c>
      <c r="Z2653">
        <f>IF($A2653="",0,IF(AND($M2653=1,$A2653=经营数据!$B$3,$J2653=经营数据!$BA$5,OR($I2653=经营数据!$BA$4,COUNTIF(经营数据!$AA$9:$AA$38,$I2653)&gt;0)),1,0))</f>
        <v>0</v>
      </c>
      <c r="AA2653" t="str">
        <f t="shared" si="629"/>
        <v/>
      </c>
      <c r="AB2653" t="str">
        <f t="shared" si="630"/>
        <v/>
      </c>
      <c r="AC2653">
        <f>IF($A2653="",0,IF(COUNTIF($A$2:$A2653,$A2653)=1,1,0))</f>
        <v>0</v>
      </c>
      <c r="AD2653">
        <f t="shared" si="631"/>
        <v>29</v>
      </c>
      <c r="AE2653" t="str">
        <f t="shared" si="632"/>
        <v/>
      </c>
    </row>
    <row r="2654" spans="1:31" x14ac:dyDescent="0.4">
      <c r="A2654" t="str">
        <f>IF(原始经营数据!$D2655="","",原始经营数据!$D2655)</f>
        <v/>
      </c>
      <c r="B2654" t="str">
        <f>IF(原始经营数据!$D2655="","",T(原始经营数据!$E2655))</f>
        <v/>
      </c>
      <c r="C2654" t="str">
        <f>IF(原始经营数据!$D2655="","",原始经营数据!$F2655)</f>
        <v/>
      </c>
      <c r="D2654" t="str">
        <f>IF(原始经营数据!$D2655="","",原始经营数据!$H2655)</f>
        <v/>
      </c>
      <c r="E2654" t="str">
        <f>IF(原始经营数据!$D2655="","",原始经营数据!$I2655)</f>
        <v/>
      </c>
      <c r="F2654" t="str">
        <f>IF(原始经营数据!$D2655="","",T(原始经营数据!$J2655))</f>
        <v/>
      </c>
      <c r="G2654" t="str">
        <f>IF(原始经营数据!$D2655="","",T(原始经营数据!$K2655))</f>
        <v/>
      </c>
      <c r="H2654" t="str">
        <f>IF(原始经营数据!$D2655="","",原始经营数据!$G2655)</f>
        <v/>
      </c>
      <c r="I2654" t="str">
        <f>IF($A2654="","",IF($B2654&lt;&gt;"",$B2654,IF(COUNTIFS(原始经营数据!$D$3:$D$3001,$A2654,原始经营数据!$E$3:$E$3001,"",原始经营数据!$F$3:$F$3001,$C2654,原始经营数据!$H$3:$H$3001,$D2654,原始经营数据!$K$3:$K$3001,$G2654)&gt;1,"基金整体·来源"&amp;原始经营数据!$A2655,"基金整体")))</f>
        <v/>
      </c>
      <c r="J2654" t="str">
        <f t="shared" si="618"/>
        <v/>
      </c>
      <c r="K2654" t="str">
        <f t="shared" si="619"/>
        <v/>
      </c>
      <c r="L2654" t="str">
        <f t="shared" si="620"/>
        <v/>
      </c>
      <c r="M2654">
        <f>IF($A2654="",0,IF(COUNTIF($L$2:$L2654,$L2654)=1,1,0))</f>
        <v>0</v>
      </c>
      <c r="N2654" t="str">
        <f t="shared" si="621"/>
        <v/>
      </c>
      <c r="O2654" t="str">
        <f t="shared" si="622"/>
        <v/>
      </c>
      <c r="P2654">
        <f>IF($A2654="",0,IF(COUNTIF($O$2:$O2654,$O2654)=1,1,0))</f>
        <v>0</v>
      </c>
      <c r="Q2654" t="str">
        <f>IF(AND($P2654=1,$A2654=经营数据!$B$3,$J2654=经营数据!$BA$5),COUNTIFS($P$2:$P$3000,1,$A$2:$A$3000,$A2654,$J$2:$J$3000,$J2654,$N$2:$N$3000,"&lt;"&amp;$N2654)+1,"")</f>
        <v/>
      </c>
      <c r="R2654" t="str">
        <f t="shared" si="623"/>
        <v/>
      </c>
      <c r="S2654">
        <f>IF($A2654="",0,IF(COUNTIF($R$2:$R2654,$R2654)=1,1,0))</f>
        <v>0</v>
      </c>
      <c r="T2654" t="str">
        <f t="shared" si="624"/>
        <v/>
      </c>
      <c r="U2654" t="str">
        <f>IF($A2654="","",IF($A2654=经营数据!$B$3,COUNTIFS($S$2:$S$3000,1,$A$2:$A$3000,$A2654,$T$2:$T$3000,"&lt;"&amp;$T2654)+1,""))</f>
        <v/>
      </c>
      <c r="V2654" t="str">
        <f t="shared" si="625"/>
        <v/>
      </c>
      <c r="W2654" t="str">
        <f t="shared" si="626"/>
        <v/>
      </c>
      <c r="X2654" t="str">
        <f t="shared" si="627"/>
        <v/>
      </c>
      <c r="Y2654" t="str">
        <f t="shared" si="628"/>
        <v/>
      </c>
      <c r="Z2654">
        <f>IF($A2654="",0,IF(AND($M2654=1,$A2654=经营数据!$B$3,$J2654=经营数据!$BA$5,OR($I2654=经营数据!$BA$4,COUNTIF(经营数据!$AA$9:$AA$38,$I2654)&gt;0)),1,0))</f>
        <v>0</v>
      </c>
      <c r="AA2654" t="str">
        <f t="shared" si="629"/>
        <v/>
      </c>
      <c r="AB2654" t="str">
        <f t="shared" si="630"/>
        <v/>
      </c>
      <c r="AC2654">
        <f>IF($A2654="",0,IF(COUNTIF($A$2:$A2654,$A2654)=1,1,0))</f>
        <v>0</v>
      </c>
      <c r="AD2654">
        <f t="shared" si="631"/>
        <v>29</v>
      </c>
      <c r="AE2654" t="str">
        <f t="shared" si="632"/>
        <v/>
      </c>
    </row>
    <row r="2655" spans="1:31" x14ac:dyDescent="0.4">
      <c r="A2655" t="str">
        <f>IF(原始经营数据!$D2656="","",原始经营数据!$D2656)</f>
        <v/>
      </c>
      <c r="B2655" t="str">
        <f>IF(原始经营数据!$D2656="","",T(原始经营数据!$E2656))</f>
        <v/>
      </c>
      <c r="C2655" t="str">
        <f>IF(原始经营数据!$D2656="","",原始经营数据!$F2656)</f>
        <v/>
      </c>
      <c r="D2655" t="str">
        <f>IF(原始经营数据!$D2656="","",原始经营数据!$H2656)</f>
        <v/>
      </c>
      <c r="E2655" t="str">
        <f>IF(原始经营数据!$D2656="","",原始经营数据!$I2656)</f>
        <v/>
      </c>
      <c r="F2655" t="str">
        <f>IF(原始经营数据!$D2656="","",T(原始经营数据!$J2656))</f>
        <v/>
      </c>
      <c r="G2655" t="str">
        <f>IF(原始经营数据!$D2656="","",T(原始经营数据!$K2656))</f>
        <v/>
      </c>
      <c r="H2655" t="str">
        <f>IF(原始经营数据!$D2656="","",原始经营数据!$G2656)</f>
        <v/>
      </c>
      <c r="I2655" t="str">
        <f>IF($A2655="","",IF($B2655&lt;&gt;"",$B2655,IF(COUNTIFS(原始经营数据!$D$3:$D$3001,$A2655,原始经营数据!$E$3:$E$3001,"",原始经营数据!$F$3:$F$3001,$C2655,原始经营数据!$H$3:$H$3001,$D2655,原始经营数据!$K$3:$K$3001,$G2655)&gt;1,"基金整体·来源"&amp;原始经营数据!$A2656,"基金整体")))</f>
        <v/>
      </c>
      <c r="J2655" t="str">
        <f t="shared" si="618"/>
        <v/>
      </c>
      <c r="K2655" t="str">
        <f t="shared" si="619"/>
        <v/>
      </c>
      <c r="L2655" t="str">
        <f t="shared" si="620"/>
        <v/>
      </c>
      <c r="M2655">
        <f>IF($A2655="",0,IF(COUNTIF($L$2:$L2655,$L2655)=1,1,0))</f>
        <v>0</v>
      </c>
      <c r="N2655" t="str">
        <f t="shared" si="621"/>
        <v/>
      </c>
      <c r="O2655" t="str">
        <f t="shared" si="622"/>
        <v/>
      </c>
      <c r="P2655">
        <f>IF($A2655="",0,IF(COUNTIF($O$2:$O2655,$O2655)=1,1,0))</f>
        <v>0</v>
      </c>
      <c r="Q2655" t="str">
        <f>IF(AND($P2655=1,$A2655=经营数据!$B$3,$J2655=经营数据!$BA$5),COUNTIFS($P$2:$P$3000,1,$A$2:$A$3000,$A2655,$J$2:$J$3000,$J2655,$N$2:$N$3000,"&lt;"&amp;$N2655)+1,"")</f>
        <v/>
      </c>
      <c r="R2655" t="str">
        <f t="shared" si="623"/>
        <v/>
      </c>
      <c r="S2655">
        <f>IF($A2655="",0,IF(COUNTIF($R$2:$R2655,$R2655)=1,1,0))</f>
        <v>0</v>
      </c>
      <c r="T2655" t="str">
        <f t="shared" si="624"/>
        <v/>
      </c>
      <c r="U2655" t="str">
        <f>IF($A2655="","",IF($A2655=经营数据!$B$3,COUNTIFS($S$2:$S$3000,1,$A$2:$A$3000,$A2655,$T$2:$T$3000,"&lt;"&amp;$T2655)+1,""))</f>
        <v/>
      </c>
      <c r="V2655" t="str">
        <f t="shared" si="625"/>
        <v/>
      </c>
      <c r="W2655" t="str">
        <f t="shared" si="626"/>
        <v/>
      </c>
      <c r="X2655" t="str">
        <f t="shared" si="627"/>
        <v/>
      </c>
      <c r="Y2655" t="str">
        <f t="shared" si="628"/>
        <v/>
      </c>
      <c r="Z2655">
        <f>IF($A2655="",0,IF(AND($M2655=1,$A2655=经营数据!$B$3,$J2655=经营数据!$BA$5,OR($I2655=经营数据!$BA$4,COUNTIF(经营数据!$AA$9:$AA$38,$I2655)&gt;0)),1,0))</f>
        <v>0</v>
      </c>
      <c r="AA2655" t="str">
        <f t="shared" si="629"/>
        <v/>
      </c>
      <c r="AB2655" t="str">
        <f t="shared" si="630"/>
        <v/>
      </c>
      <c r="AC2655">
        <f>IF($A2655="",0,IF(COUNTIF($A$2:$A2655,$A2655)=1,1,0))</f>
        <v>0</v>
      </c>
      <c r="AD2655">
        <f t="shared" si="631"/>
        <v>29</v>
      </c>
      <c r="AE2655" t="str">
        <f t="shared" si="632"/>
        <v/>
      </c>
    </row>
    <row r="2656" spans="1:31" x14ac:dyDescent="0.4">
      <c r="A2656" t="str">
        <f>IF(原始经营数据!$D2657="","",原始经营数据!$D2657)</f>
        <v/>
      </c>
      <c r="B2656" t="str">
        <f>IF(原始经营数据!$D2657="","",T(原始经营数据!$E2657))</f>
        <v/>
      </c>
      <c r="C2656" t="str">
        <f>IF(原始经营数据!$D2657="","",原始经营数据!$F2657)</f>
        <v/>
      </c>
      <c r="D2656" t="str">
        <f>IF(原始经营数据!$D2657="","",原始经营数据!$H2657)</f>
        <v/>
      </c>
      <c r="E2656" t="str">
        <f>IF(原始经营数据!$D2657="","",原始经营数据!$I2657)</f>
        <v/>
      </c>
      <c r="F2656" t="str">
        <f>IF(原始经营数据!$D2657="","",T(原始经营数据!$J2657))</f>
        <v/>
      </c>
      <c r="G2656" t="str">
        <f>IF(原始经营数据!$D2657="","",T(原始经营数据!$K2657))</f>
        <v/>
      </c>
      <c r="H2656" t="str">
        <f>IF(原始经营数据!$D2657="","",原始经营数据!$G2657)</f>
        <v/>
      </c>
      <c r="I2656" t="str">
        <f>IF($A2656="","",IF($B2656&lt;&gt;"",$B2656,IF(COUNTIFS(原始经营数据!$D$3:$D$3001,$A2656,原始经营数据!$E$3:$E$3001,"",原始经营数据!$F$3:$F$3001,$C2656,原始经营数据!$H$3:$H$3001,$D2656,原始经营数据!$K$3:$K$3001,$G2656)&gt;1,"基金整体·来源"&amp;原始经营数据!$A2657,"基金整体")))</f>
        <v/>
      </c>
      <c r="J2656" t="str">
        <f t="shared" si="618"/>
        <v/>
      </c>
      <c r="K2656" t="str">
        <f t="shared" si="619"/>
        <v/>
      </c>
      <c r="L2656" t="str">
        <f t="shared" si="620"/>
        <v/>
      </c>
      <c r="M2656">
        <f>IF($A2656="",0,IF(COUNTIF($L$2:$L2656,$L2656)=1,1,0))</f>
        <v>0</v>
      </c>
      <c r="N2656" t="str">
        <f t="shared" si="621"/>
        <v/>
      </c>
      <c r="O2656" t="str">
        <f t="shared" si="622"/>
        <v/>
      </c>
      <c r="P2656">
        <f>IF($A2656="",0,IF(COUNTIF($O$2:$O2656,$O2656)=1,1,0))</f>
        <v>0</v>
      </c>
      <c r="Q2656" t="str">
        <f>IF(AND($P2656=1,$A2656=经营数据!$B$3,$J2656=经营数据!$BA$5),COUNTIFS($P$2:$P$3000,1,$A$2:$A$3000,$A2656,$J$2:$J$3000,$J2656,$N$2:$N$3000,"&lt;"&amp;$N2656)+1,"")</f>
        <v/>
      </c>
      <c r="R2656" t="str">
        <f t="shared" si="623"/>
        <v/>
      </c>
      <c r="S2656">
        <f>IF($A2656="",0,IF(COUNTIF($R$2:$R2656,$R2656)=1,1,0))</f>
        <v>0</v>
      </c>
      <c r="T2656" t="str">
        <f t="shared" si="624"/>
        <v/>
      </c>
      <c r="U2656" t="str">
        <f>IF($A2656="","",IF($A2656=经营数据!$B$3,COUNTIFS($S$2:$S$3000,1,$A$2:$A$3000,$A2656,$T$2:$T$3000,"&lt;"&amp;$T2656)+1,""))</f>
        <v/>
      </c>
      <c r="V2656" t="str">
        <f t="shared" si="625"/>
        <v/>
      </c>
      <c r="W2656" t="str">
        <f t="shared" si="626"/>
        <v/>
      </c>
      <c r="X2656" t="str">
        <f t="shared" si="627"/>
        <v/>
      </c>
      <c r="Y2656" t="str">
        <f t="shared" si="628"/>
        <v/>
      </c>
      <c r="Z2656">
        <f>IF($A2656="",0,IF(AND($M2656=1,$A2656=经营数据!$B$3,$J2656=经营数据!$BA$5,OR($I2656=经营数据!$BA$4,COUNTIF(经营数据!$AA$9:$AA$38,$I2656)&gt;0)),1,0))</f>
        <v>0</v>
      </c>
      <c r="AA2656" t="str">
        <f t="shared" si="629"/>
        <v/>
      </c>
      <c r="AB2656" t="str">
        <f t="shared" si="630"/>
        <v/>
      </c>
      <c r="AC2656">
        <f>IF($A2656="",0,IF(COUNTIF($A$2:$A2656,$A2656)=1,1,0))</f>
        <v>0</v>
      </c>
      <c r="AD2656">
        <f t="shared" si="631"/>
        <v>29</v>
      </c>
      <c r="AE2656" t="str">
        <f t="shared" si="632"/>
        <v/>
      </c>
    </row>
    <row r="2657" spans="1:31" x14ac:dyDescent="0.4">
      <c r="A2657" t="str">
        <f>IF(原始经营数据!$D2658="","",原始经营数据!$D2658)</f>
        <v/>
      </c>
      <c r="B2657" t="str">
        <f>IF(原始经营数据!$D2658="","",T(原始经营数据!$E2658))</f>
        <v/>
      </c>
      <c r="C2657" t="str">
        <f>IF(原始经营数据!$D2658="","",原始经营数据!$F2658)</f>
        <v/>
      </c>
      <c r="D2657" t="str">
        <f>IF(原始经营数据!$D2658="","",原始经营数据!$H2658)</f>
        <v/>
      </c>
      <c r="E2657" t="str">
        <f>IF(原始经营数据!$D2658="","",原始经营数据!$I2658)</f>
        <v/>
      </c>
      <c r="F2657" t="str">
        <f>IF(原始经营数据!$D2658="","",T(原始经营数据!$J2658))</f>
        <v/>
      </c>
      <c r="G2657" t="str">
        <f>IF(原始经营数据!$D2658="","",T(原始经营数据!$K2658))</f>
        <v/>
      </c>
      <c r="H2657" t="str">
        <f>IF(原始经营数据!$D2658="","",原始经营数据!$G2658)</f>
        <v/>
      </c>
      <c r="I2657" t="str">
        <f>IF($A2657="","",IF($B2657&lt;&gt;"",$B2657,IF(COUNTIFS(原始经营数据!$D$3:$D$3001,$A2657,原始经营数据!$E$3:$E$3001,"",原始经营数据!$F$3:$F$3001,$C2657,原始经营数据!$H$3:$H$3001,$D2657,原始经营数据!$K$3:$K$3001,$G2657)&gt;1,"基金整体·来源"&amp;原始经营数据!$A2658,"基金整体")))</f>
        <v/>
      </c>
      <c r="J2657" t="str">
        <f t="shared" si="618"/>
        <v/>
      </c>
      <c r="K2657" t="str">
        <f t="shared" si="619"/>
        <v/>
      </c>
      <c r="L2657" t="str">
        <f t="shared" si="620"/>
        <v/>
      </c>
      <c r="M2657">
        <f>IF($A2657="",0,IF(COUNTIF($L$2:$L2657,$L2657)=1,1,0))</f>
        <v>0</v>
      </c>
      <c r="N2657" t="str">
        <f t="shared" si="621"/>
        <v/>
      </c>
      <c r="O2657" t="str">
        <f t="shared" si="622"/>
        <v/>
      </c>
      <c r="P2657">
        <f>IF($A2657="",0,IF(COUNTIF($O$2:$O2657,$O2657)=1,1,0))</f>
        <v>0</v>
      </c>
      <c r="Q2657" t="str">
        <f>IF(AND($P2657=1,$A2657=经营数据!$B$3,$J2657=经营数据!$BA$5),COUNTIFS($P$2:$P$3000,1,$A$2:$A$3000,$A2657,$J$2:$J$3000,$J2657,$N$2:$N$3000,"&lt;"&amp;$N2657)+1,"")</f>
        <v/>
      </c>
      <c r="R2657" t="str">
        <f t="shared" si="623"/>
        <v/>
      </c>
      <c r="S2657">
        <f>IF($A2657="",0,IF(COUNTIF($R$2:$R2657,$R2657)=1,1,0))</f>
        <v>0</v>
      </c>
      <c r="T2657" t="str">
        <f t="shared" si="624"/>
        <v/>
      </c>
      <c r="U2657" t="str">
        <f>IF($A2657="","",IF($A2657=经营数据!$B$3,COUNTIFS($S$2:$S$3000,1,$A$2:$A$3000,$A2657,$T$2:$T$3000,"&lt;"&amp;$T2657)+1,""))</f>
        <v/>
      </c>
      <c r="V2657" t="str">
        <f t="shared" si="625"/>
        <v/>
      </c>
      <c r="W2657" t="str">
        <f t="shared" si="626"/>
        <v/>
      </c>
      <c r="X2657" t="str">
        <f t="shared" si="627"/>
        <v/>
      </c>
      <c r="Y2657" t="str">
        <f t="shared" si="628"/>
        <v/>
      </c>
      <c r="Z2657">
        <f>IF($A2657="",0,IF(AND($M2657=1,$A2657=经营数据!$B$3,$J2657=经营数据!$BA$5,OR($I2657=经营数据!$BA$4,COUNTIF(经营数据!$AA$9:$AA$38,$I2657)&gt;0)),1,0))</f>
        <v>0</v>
      </c>
      <c r="AA2657" t="str">
        <f t="shared" si="629"/>
        <v/>
      </c>
      <c r="AB2657" t="str">
        <f t="shared" si="630"/>
        <v/>
      </c>
      <c r="AC2657">
        <f>IF($A2657="",0,IF(COUNTIF($A$2:$A2657,$A2657)=1,1,0))</f>
        <v>0</v>
      </c>
      <c r="AD2657">
        <f t="shared" si="631"/>
        <v>29</v>
      </c>
      <c r="AE2657" t="str">
        <f t="shared" si="632"/>
        <v/>
      </c>
    </row>
    <row r="2658" spans="1:31" x14ac:dyDescent="0.4">
      <c r="A2658" t="str">
        <f>IF(原始经营数据!$D2659="","",原始经营数据!$D2659)</f>
        <v/>
      </c>
      <c r="B2658" t="str">
        <f>IF(原始经营数据!$D2659="","",T(原始经营数据!$E2659))</f>
        <v/>
      </c>
      <c r="C2658" t="str">
        <f>IF(原始经营数据!$D2659="","",原始经营数据!$F2659)</f>
        <v/>
      </c>
      <c r="D2658" t="str">
        <f>IF(原始经营数据!$D2659="","",原始经营数据!$H2659)</f>
        <v/>
      </c>
      <c r="E2658" t="str">
        <f>IF(原始经营数据!$D2659="","",原始经营数据!$I2659)</f>
        <v/>
      </c>
      <c r="F2658" t="str">
        <f>IF(原始经营数据!$D2659="","",T(原始经营数据!$J2659))</f>
        <v/>
      </c>
      <c r="G2658" t="str">
        <f>IF(原始经营数据!$D2659="","",T(原始经营数据!$K2659))</f>
        <v/>
      </c>
      <c r="H2658" t="str">
        <f>IF(原始经营数据!$D2659="","",原始经营数据!$G2659)</f>
        <v/>
      </c>
      <c r="I2658" t="str">
        <f>IF($A2658="","",IF($B2658&lt;&gt;"",$B2658,IF(COUNTIFS(原始经营数据!$D$3:$D$3001,$A2658,原始经营数据!$E$3:$E$3001,"",原始经营数据!$F$3:$F$3001,$C2658,原始经营数据!$H$3:$H$3001,$D2658,原始经营数据!$K$3:$K$3001,$G2658)&gt;1,"基金整体·来源"&amp;原始经营数据!$A2659,"基金整体")))</f>
        <v/>
      </c>
      <c r="J2658" t="str">
        <f t="shared" si="618"/>
        <v/>
      </c>
      <c r="K2658" t="str">
        <f t="shared" si="619"/>
        <v/>
      </c>
      <c r="L2658" t="str">
        <f t="shared" si="620"/>
        <v/>
      </c>
      <c r="M2658">
        <f>IF($A2658="",0,IF(COUNTIF($L$2:$L2658,$L2658)=1,1,0))</f>
        <v>0</v>
      </c>
      <c r="N2658" t="str">
        <f t="shared" si="621"/>
        <v/>
      </c>
      <c r="O2658" t="str">
        <f t="shared" si="622"/>
        <v/>
      </c>
      <c r="P2658">
        <f>IF($A2658="",0,IF(COUNTIF($O$2:$O2658,$O2658)=1,1,0))</f>
        <v>0</v>
      </c>
      <c r="Q2658" t="str">
        <f>IF(AND($P2658=1,$A2658=经营数据!$B$3,$J2658=经营数据!$BA$5),COUNTIFS($P$2:$P$3000,1,$A$2:$A$3000,$A2658,$J$2:$J$3000,$J2658,$N$2:$N$3000,"&lt;"&amp;$N2658)+1,"")</f>
        <v/>
      </c>
      <c r="R2658" t="str">
        <f t="shared" si="623"/>
        <v/>
      </c>
      <c r="S2658">
        <f>IF($A2658="",0,IF(COUNTIF($R$2:$R2658,$R2658)=1,1,0))</f>
        <v>0</v>
      </c>
      <c r="T2658" t="str">
        <f t="shared" si="624"/>
        <v/>
      </c>
      <c r="U2658" t="str">
        <f>IF($A2658="","",IF($A2658=经营数据!$B$3,COUNTIFS($S$2:$S$3000,1,$A$2:$A$3000,$A2658,$T$2:$T$3000,"&lt;"&amp;$T2658)+1,""))</f>
        <v/>
      </c>
      <c r="V2658" t="str">
        <f t="shared" si="625"/>
        <v/>
      </c>
      <c r="W2658" t="str">
        <f t="shared" si="626"/>
        <v/>
      </c>
      <c r="X2658" t="str">
        <f t="shared" si="627"/>
        <v/>
      </c>
      <c r="Y2658" t="str">
        <f t="shared" si="628"/>
        <v/>
      </c>
      <c r="Z2658">
        <f>IF($A2658="",0,IF(AND($M2658=1,$A2658=经营数据!$B$3,$J2658=经营数据!$BA$5,OR($I2658=经营数据!$BA$4,COUNTIF(经营数据!$AA$9:$AA$38,$I2658)&gt;0)),1,0))</f>
        <v>0</v>
      </c>
      <c r="AA2658" t="str">
        <f t="shared" si="629"/>
        <v/>
      </c>
      <c r="AB2658" t="str">
        <f t="shared" si="630"/>
        <v/>
      </c>
      <c r="AC2658">
        <f>IF($A2658="",0,IF(COUNTIF($A$2:$A2658,$A2658)=1,1,0))</f>
        <v>0</v>
      </c>
      <c r="AD2658">
        <f t="shared" si="631"/>
        <v>29</v>
      </c>
      <c r="AE2658" t="str">
        <f t="shared" si="632"/>
        <v/>
      </c>
    </row>
    <row r="2659" spans="1:31" x14ac:dyDescent="0.4">
      <c r="A2659" t="str">
        <f>IF(原始经营数据!$D2660="","",原始经营数据!$D2660)</f>
        <v/>
      </c>
      <c r="B2659" t="str">
        <f>IF(原始经营数据!$D2660="","",T(原始经营数据!$E2660))</f>
        <v/>
      </c>
      <c r="C2659" t="str">
        <f>IF(原始经营数据!$D2660="","",原始经营数据!$F2660)</f>
        <v/>
      </c>
      <c r="D2659" t="str">
        <f>IF(原始经营数据!$D2660="","",原始经营数据!$H2660)</f>
        <v/>
      </c>
      <c r="E2659" t="str">
        <f>IF(原始经营数据!$D2660="","",原始经营数据!$I2660)</f>
        <v/>
      </c>
      <c r="F2659" t="str">
        <f>IF(原始经营数据!$D2660="","",T(原始经营数据!$J2660))</f>
        <v/>
      </c>
      <c r="G2659" t="str">
        <f>IF(原始经营数据!$D2660="","",T(原始经营数据!$K2660))</f>
        <v/>
      </c>
      <c r="H2659" t="str">
        <f>IF(原始经营数据!$D2660="","",原始经营数据!$G2660)</f>
        <v/>
      </c>
      <c r="I2659" t="str">
        <f>IF($A2659="","",IF($B2659&lt;&gt;"",$B2659,IF(COUNTIFS(原始经营数据!$D$3:$D$3001,$A2659,原始经营数据!$E$3:$E$3001,"",原始经营数据!$F$3:$F$3001,$C2659,原始经营数据!$H$3:$H$3001,$D2659,原始经营数据!$K$3:$K$3001,$G2659)&gt;1,"基金整体·来源"&amp;原始经营数据!$A2660,"基金整体")))</f>
        <v/>
      </c>
      <c r="J2659" t="str">
        <f t="shared" si="618"/>
        <v/>
      </c>
      <c r="K2659" t="str">
        <f t="shared" si="619"/>
        <v/>
      </c>
      <c r="L2659" t="str">
        <f t="shared" si="620"/>
        <v/>
      </c>
      <c r="M2659">
        <f>IF($A2659="",0,IF(COUNTIF($L$2:$L2659,$L2659)=1,1,0))</f>
        <v>0</v>
      </c>
      <c r="N2659" t="str">
        <f t="shared" si="621"/>
        <v/>
      </c>
      <c r="O2659" t="str">
        <f t="shared" si="622"/>
        <v/>
      </c>
      <c r="P2659">
        <f>IF($A2659="",0,IF(COUNTIF($O$2:$O2659,$O2659)=1,1,0))</f>
        <v>0</v>
      </c>
      <c r="Q2659" t="str">
        <f>IF(AND($P2659=1,$A2659=经营数据!$B$3,$J2659=经营数据!$BA$5),COUNTIFS($P$2:$P$3000,1,$A$2:$A$3000,$A2659,$J$2:$J$3000,$J2659,$N$2:$N$3000,"&lt;"&amp;$N2659)+1,"")</f>
        <v/>
      </c>
      <c r="R2659" t="str">
        <f t="shared" si="623"/>
        <v/>
      </c>
      <c r="S2659">
        <f>IF($A2659="",0,IF(COUNTIF($R$2:$R2659,$R2659)=1,1,0))</f>
        <v>0</v>
      </c>
      <c r="T2659" t="str">
        <f t="shared" si="624"/>
        <v/>
      </c>
      <c r="U2659" t="str">
        <f>IF($A2659="","",IF($A2659=经营数据!$B$3,COUNTIFS($S$2:$S$3000,1,$A$2:$A$3000,$A2659,$T$2:$T$3000,"&lt;"&amp;$T2659)+1,""))</f>
        <v/>
      </c>
      <c r="V2659" t="str">
        <f t="shared" si="625"/>
        <v/>
      </c>
      <c r="W2659" t="str">
        <f t="shared" si="626"/>
        <v/>
      </c>
      <c r="X2659" t="str">
        <f t="shared" si="627"/>
        <v/>
      </c>
      <c r="Y2659" t="str">
        <f t="shared" si="628"/>
        <v/>
      </c>
      <c r="Z2659">
        <f>IF($A2659="",0,IF(AND($M2659=1,$A2659=经营数据!$B$3,$J2659=经营数据!$BA$5,OR($I2659=经营数据!$BA$4,COUNTIF(经营数据!$AA$9:$AA$38,$I2659)&gt;0)),1,0))</f>
        <v>0</v>
      </c>
      <c r="AA2659" t="str">
        <f t="shared" si="629"/>
        <v/>
      </c>
      <c r="AB2659" t="str">
        <f t="shared" si="630"/>
        <v/>
      </c>
      <c r="AC2659">
        <f>IF($A2659="",0,IF(COUNTIF($A$2:$A2659,$A2659)=1,1,0))</f>
        <v>0</v>
      </c>
      <c r="AD2659">
        <f t="shared" si="631"/>
        <v>29</v>
      </c>
      <c r="AE2659" t="str">
        <f t="shared" si="632"/>
        <v/>
      </c>
    </row>
    <row r="2660" spans="1:31" x14ac:dyDescent="0.4">
      <c r="A2660" t="str">
        <f>IF(原始经营数据!$D2661="","",原始经营数据!$D2661)</f>
        <v/>
      </c>
      <c r="B2660" t="str">
        <f>IF(原始经营数据!$D2661="","",T(原始经营数据!$E2661))</f>
        <v/>
      </c>
      <c r="C2660" t="str">
        <f>IF(原始经营数据!$D2661="","",原始经营数据!$F2661)</f>
        <v/>
      </c>
      <c r="D2660" t="str">
        <f>IF(原始经营数据!$D2661="","",原始经营数据!$H2661)</f>
        <v/>
      </c>
      <c r="E2660" t="str">
        <f>IF(原始经营数据!$D2661="","",原始经营数据!$I2661)</f>
        <v/>
      </c>
      <c r="F2660" t="str">
        <f>IF(原始经营数据!$D2661="","",T(原始经营数据!$J2661))</f>
        <v/>
      </c>
      <c r="G2660" t="str">
        <f>IF(原始经营数据!$D2661="","",T(原始经营数据!$K2661))</f>
        <v/>
      </c>
      <c r="H2660" t="str">
        <f>IF(原始经营数据!$D2661="","",原始经营数据!$G2661)</f>
        <v/>
      </c>
      <c r="I2660" t="str">
        <f>IF($A2660="","",IF($B2660&lt;&gt;"",$B2660,IF(COUNTIFS(原始经营数据!$D$3:$D$3001,$A2660,原始经营数据!$E$3:$E$3001,"",原始经营数据!$F$3:$F$3001,$C2660,原始经营数据!$H$3:$H$3001,$D2660,原始经营数据!$K$3:$K$3001,$G2660)&gt;1,"基金整体·来源"&amp;原始经营数据!$A2661,"基金整体")))</f>
        <v/>
      </c>
      <c r="J2660" t="str">
        <f t="shared" si="618"/>
        <v/>
      </c>
      <c r="K2660" t="str">
        <f t="shared" si="619"/>
        <v/>
      </c>
      <c r="L2660" t="str">
        <f t="shared" si="620"/>
        <v/>
      </c>
      <c r="M2660">
        <f>IF($A2660="",0,IF(COUNTIF($L$2:$L2660,$L2660)=1,1,0))</f>
        <v>0</v>
      </c>
      <c r="N2660" t="str">
        <f t="shared" si="621"/>
        <v/>
      </c>
      <c r="O2660" t="str">
        <f t="shared" si="622"/>
        <v/>
      </c>
      <c r="P2660">
        <f>IF($A2660="",0,IF(COUNTIF($O$2:$O2660,$O2660)=1,1,0))</f>
        <v>0</v>
      </c>
      <c r="Q2660" t="str">
        <f>IF(AND($P2660=1,$A2660=经营数据!$B$3,$J2660=经营数据!$BA$5),COUNTIFS($P$2:$P$3000,1,$A$2:$A$3000,$A2660,$J$2:$J$3000,$J2660,$N$2:$N$3000,"&lt;"&amp;$N2660)+1,"")</f>
        <v/>
      </c>
      <c r="R2660" t="str">
        <f t="shared" si="623"/>
        <v/>
      </c>
      <c r="S2660">
        <f>IF($A2660="",0,IF(COUNTIF($R$2:$R2660,$R2660)=1,1,0))</f>
        <v>0</v>
      </c>
      <c r="T2660" t="str">
        <f t="shared" si="624"/>
        <v/>
      </c>
      <c r="U2660" t="str">
        <f>IF($A2660="","",IF($A2660=经营数据!$B$3,COUNTIFS($S$2:$S$3000,1,$A$2:$A$3000,$A2660,$T$2:$T$3000,"&lt;"&amp;$T2660)+1,""))</f>
        <v/>
      </c>
      <c r="V2660" t="str">
        <f t="shared" si="625"/>
        <v/>
      </c>
      <c r="W2660" t="str">
        <f t="shared" si="626"/>
        <v/>
      </c>
      <c r="X2660" t="str">
        <f t="shared" si="627"/>
        <v/>
      </c>
      <c r="Y2660" t="str">
        <f t="shared" si="628"/>
        <v/>
      </c>
      <c r="Z2660">
        <f>IF($A2660="",0,IF(AND($M2660=1,$A2660=经营数据!$B$3,$J2660=经营数据!$BA$5,OR($I2660=经营数据!$BA$4,COUNTIF(经营数据!$AA$9:$AA$38,$I2660)&gt;0)),1,0))</f>
        <v>0</v>
      </c>
      <c r="AA2660" t="str">
        <f t="shared" si="629"/>
        <v/>
      </c>
      <c r="AB2660" t="str">
        <f t="shared" si="630"/>
        <v/>
      </c>
      <c r="AC2660">
        <f>IF($A2660="",0,IF(COUNTIF($A$2:$A2660,$A2660)=1,1,0))</f>
        <v>0</v>
      </c>
      <c r="AD2660">
        <f t="shared" si="631"/>
        <v>29</v>
      </c>
      <c r="AE2660" t="str">
        <f t="shared" si="632"/>
        <v/>
      </c>
    </row>
    <row r="2661" spans="1:31" x14ac:dyDescent="0.4">
      <c r="A2661" t="str">
        <f>IF(原始经营数据!$D2662="","",原始经营数据!$D2662)</f>
        <v/>
      </c>
      <c r="B2661" t="str">
        <f>IF(原始经营数据!$D2662="","",T(原始经营数据!$E2662))</f>
        <v/>
      </c>
      <c r="C2661" t="str">
        <f>IF(原始经营数据!$D2662="","",原始经营数据!$F2662)</f>
        <v/>
      </c>
      <c r="D2661" t="str">
        <f>IF(原始经营数据!$D2662="","",原始经营数据!$H2662)</f>
        <v/>
      </c>
      <c r="E2661" t="str">
        <f>IF(原始经营数据!$D2662="","",原始经营数据!$I2662)</f>
        <v/>
      </c>
      <c r="F2661" t="str">
        <f>IF(原始经营数据!$D2662="","",T(原始经营数据!$J2662))</f>
        <v/>
      </c>
      <c r="G2661" t="str">
        <f>IF(原始经营数据!$D2662="","",T(原始经营数据!$K2662))</f>
        <v/>
      </c>
      <c r="H2661" t="str">
        <f>IF(原始经营数据!$D2662="","",原始经营数据!$G2662)</f>
        <v/>
      </c>
      <c r="I2661" t="str">
        <f>IF($A2661="","",IF($B2661&lt;&gt;"",$B2661,IF(COUNTIFS(原始经营数据!$D$3:$D$3001,$A2661,原始经营数据!$E$3:$E$3001,"",原始经营数据!$F$3:$F$3001,$C2661,原始经营数据!$H$3:$H$3001,$D2661,原始经营数据!$K$3:$K$3001,$G2661)&gt;1,"基金整体·来源"&amp;原始经营数据!$A2662,"基金整体")))</f>
        <v/>
      </c>
      <c r="J2661" t="str">
        <f t="shared" si="618"/>
        <v/>
      </c>
      <c r="K2661" t="str">
        <f t="shared" si="619"/>
        <v/>
      </c>
      <c r="L2661" t="str">
        <f t="shared" si="620"/>
        <v/>
      </c>
      <c r="M2661">
        <f>IF($A2661="",0,IF(COUNTIF($L$2:$L2661,$L2661)=1,1,0))</f>
        <v>0</v>
      </c>
      <c r="N2661" t="str">
        <f t="shared" si="621"/>
        <v/>
      </c>
      <c r="O2661" t="str">
        <f t="shared" si="622"/>
        <v/>
      </c>
      <c r="P2661">
        <f>IF($A2661="",0,IF(COUNTIF($O$2:$O2661,$O2661)=1,1,0))</f>
        <v>0</v>
      </c>
      <c r="Q2661" t="str">
        <f>IF(AND($P2661=1,$A2661=经营数据!$B$3,$J2661=经营数据!$BA$5),COUNTIFS($P$2:$P$3000,1,$A$2:$A$3000,$A2661,$J$2:$J$3000,$J2661,$N$2:$N$3000,"&lt;"&amp;$N2661)+1,"")</f>
        <v/>
      </c>
      <c r="R2661" t="str">
        <f t="shared" si="623"/>
        <v/>
      </c>
      <c r="S2661">
        <f>IF($A2661="",0,IF(COUNTIF($R$2:$R2661,$R2661)=1,1,0))</f>
        <v>0</v>
      </c>
      <c r="T2661" t="str">
        <f t="shared" si="624"/>
        <v/>
      </c>
      <c r="U2661" t="str">
        <f>IF($A2661="","",IF($A2661=经营数据!$B$3,COUNTIFS($S$2:$S$3000,1,$A$2:$A$3000,$A2661,$T$2:$T$3000,"&lt;"&amp;$T2661)+1,""))</f>
        <v/>
      </c>
      <c r="V2661" t="str">
        <f t="shared" si="625"/>
        <v/>
      </c>
      <c r="W2661" t="str">
        <f t="shared" si="626"/>
        <v/>
      </c>
      <c r="X2661" t="str">
        <f t="shared" si="627"/>
        <v/>
      </c>
      <c r="Y2661" t="str">
        <f t="shared" si="628"/>
        <v/>
      </c>
      <c r="Z2661">
        <f>IF($A2661="",0,IF(AND($M2661=1,$A2661=经营数据!$B$3,$J2661=经营数据!$BA$5,OR($I2661=经营数据!$BA$4,COUNTIF(经营数据!$AA$9:$AA$38,$I2661)&gt;0)),1,0))</f>
        <v>0</v>
      </c>
      <c r="AA2661" t="str">
        <f t="shared" si="629"/>
        <v/>
      </c>
      <c r="AB2661" t="str">
        <f t="shared" si="630"/>
        <v/>
      </c>
      <c r="AC2661">
        <f>IF($A2661="",0,IF(COUNTIF($A$2:$A2661,$A2661)=1,1,0))</f>
        <v>0</v>
      </c>
      <c r="AD2661">
        <f t="shared" si="631"/>
        <v>29</v>
      </c>
      <c r="AE2661" t="str">
        <f t="shared" si="632"/>
        <v/>
      </c>
    </row>
    <row r="2662" spans="1:31" x14ac:dyDescent="0.4">
      <c r="A2662" t="str">
        <f>IF(原始经营数据!$D2663="","",原始经营数据!$D2663)</f>
        <v/>
      </c>
      <c r="B2662" t="str">
        <f>IF(原始经营数据!$D2663="","",T(原始经营数据!$E2663))</f>
        <v/>
      </c>
      <c r="C2662" t="str">
        <f>IF(原始经营数据!$D2663="","",原始经营数据!$F2663)</f>
        <v/>
      </c>
      <c r="D2662" t="str">
        <f>IF(原始经营数据!$D2663="","",原始经营数据!$H2663)</f>
        <v/>
      </c>
      <c r="E2662" t="str">
        <f>IF(原始经营数据!$D2663="","",原始经营数据!$I2663)</f>
        <v/>
      </c>
      <c r="F2662" t="str">
        <f>IF(原始经营数据!$D2663="","",T(原始经营数据!$J2663))</f>
        <v/>
      </c>
      <c r="G2662" t="str">
        <f>IF(原始经营数据!$D2663="","",T(原始经营数据!$K2663))</f>
        <v/>
      </c>
      <c r="H2662" t="str">
        <f>IF(原始经营数据!$D2663="","",原始经营数据!$G2663)</f>
        <v/>
      </c>
      <c r="I2662" t="str">
        <f>IF($A2662="","",IF($B2662&lt;&gt;"",$B2662,IF(COUNTIFS(原始经营数据!$D$3:$D$3001,$A2662,原始经营数据!$E$3:$E$3001,"",原始经营数据!$F$3:$F$3001,$C2662,原始经营数据!$H$3:$H$3001,$D2662,原始经营数据!$K$3:$K$3001,$G2662)&gt;1,"基金整体·来源"&amp;原始经营数据!$A2663,"基金整体")))</f>
        <v/>
      </c>
      <c r="J2662" t="str">
        <f t="shared" si="618"/>
        <v/>
      </c>
      <c r="K2662" t="str">
        <f t="shared" si="619"/>
        <v/>
      </c>
      <c r="L2662" t="str">
        <f t="shared" si="620"/>
        <v/>
      </c>
      <c r="M2662">
        <f>IF($A2662="",0,IF(COUNTIF($L$2:$L2662,$L2662)=1,1,0))</f>
        <v>0</v>
      </c>
      <c r="N2662" t="str">
        <f t="shared" si="621"/>
        <v/>
      </c>
      <c r="O2662" t="str">
        <f t="shared" si="622"/>
        <v/>
      </c>
      <c r="P2662">
        <f>IF($A2662="",0,IF(COUNTIF($O$2:$O2662,$O2662)=1,1,0))</f>
        <v>0</v>
      </c>
      <c r="Q2662" t="str">
        <f>IF(AND($P2662=1,$A2662=经营数据!$B$3,$J2662=经营数据!$BA$5),COUNTIFS($P$2:$P$3000,1,$A$2:$A$3000,$A2662,$J$2:$J$3000,$J2662,$N$2:$N$3000,"&lt;"&amp;$N2662)+1,"")</f>
        <v/>
      </c>
      <c r="R2662" t="str">
        <f t="shared" si="623"/>
        <v/>
      </c>
      <c r="S2662">
        <f>IF($A2662="",0,IF(COUNTIF($R$2:$R2662,$R2662)=1,1,0))</f>
        <v>0</v>
      </c>
      <c r="T2662" t="str">
        <f t="shared" si="624"/>
        <v/>
      </c>
      <c r="U2662" t="str">
        <f>IF($A2662="","",IF($A2662=经营数据!$B$3,COUNTIFS($S$2:$S$3000,1,$A$2:$A$3000,$A2662,$T$2:$T$3000,"&lt;"&amp;$T2662)+1,""))</f>
        <v/>
      </c>
      <c r="V2662" t="str">
        <f t="shared" si="625"/>
        <v/>
      </c>
      <c r="W2662" t="str">
        <f t="shared" si="626"/>
        <v/>
      </c>
      <c r="X2662" t="str">
        <f t="shared" si="627"/>
        <v/>
      </c>
      <c r="Y2662" t="str">
        <f t="shared" si="628"/>
        <v/>
      </c>
      <c r="Z2662">
        <f>IF($A2662="",0,IF(AND($M2662=1,$A2662=经营数据!$B$3,$J2662=经营数据!$BA$5,OR($I2662=经营数据!$BA$4,COUNTIF(经营数据!$AA$9:$AA$38,$I2662)&gt;0)),1,0))</f>
        <v>0</v>
      </c>
      <c r="AA2662" t="str">
        <f t="shared" si="629"/>
        <v/>
      </c>
      <c r="AB2662" t="str">
        <f t="shared" si="630"/>
        <v/>
      </c>
      <c r="AC2662">
        <f>IF($A2662="",0,IF(COUNTIF($A$2:$A2662,$A2662)=1,1,0))</f>
        <v>0</v>
      </c>
      <c r="AD2662">
        <f t="shared" si="631"/>
        <v>29</v>
      </c>
      <c r="AE2662" t="str">
        <f t="shared" si="632"/>
        <v/>
      </c>
    </row>
    <row r="2663" spans="1:31" x14ac:dyDescent="0.4">
      <c r="A2663" t="str">
        <f>IF(原始经营数据!$D2664="","",原始经营数据!$D2664)</f>
        <v/>
      </c>
      <c r="B2663" t="str">
        <f>IF(原始经营数据!$D2664="","",T(原始经营数据!$E2664))</f>
        <v/>
      </c>
      <c r="C2663" t="str">
        <f>IF(原始经营数据!$D2664="","",原始经营数据!$F2664)</f>
        <v/>
      </c>
      <c r="D2663" t="str">
        <f>IF(原始经营数据!$D2664="","",原始经营数据!$H2664)</f>
        <v/>
      </c>
      <c r="E2663" t="str">
        <f>IF(原始经营数据!$D2664="","",原始经营数据!$I2664)</f>
        <v/>
      </c>
      <c r="F2663" t="str">
        <f>IF(原始经营数据!$D2664="","",T(原始经营数据!$J2664))</f>
        <v/>
      </c>
      <c r="G2663" t="str">
        <f>IF(原始经营数据!$D2664="","",T(原始经营数据!$K2664))</f>
        <v/>
      </c>
      <c r="H2663" t="str">
        <f>IF(原始经营数据!$D2664="","",原始经营数据!$G2664)</f>
        <v/>
      </c>
      <c r="I2663" t="str">
        <f>IF($A2663="","",IF($B2663&lt;&gt;"",$B2663,IF(COUNTIFS(原始经营数据!$D$3:$D$3001,$A2663,原始经营数据!$E$3:$E$3001,"",原始经营数据!$F$3:$F$3001,$C2663,原始经营数据!$H$3:$H$3001,$D2663,原始经营数据!$K$3:$K$3001,$G2663)&gt;1,"基金整体·来源"&amp;原始经营数据!$A2664,"基金整体")))</f>
        <v/>
      </c>
      <c r="J2663" t="str">
        <f t="shared" si="618"/>
        <v/>
      </c>
      <c r="K2663" t="str">
        <f t="shared" si="619"/>
        <v/>
      </c>
      <c r="L2663" t="str">
        <f t="shared" si="620"/>
        <v/>
      </c>
      <c r="M2663">
        <f>IF($A2663="",0,IF(COUNTIF($L$2:$L2663,$L2663)=1,1,0))</f>
        <v>0</v>
      </c>
      <c r="N2663" t="str">
        <f t="shared" si="621"/>
        <v/>
      </c>
      <c r="O2663" t="str">
        <f t="shared" si="622"/>
        <v/>
      </c>
      <c r="P2663">
        <f>IF($A2663="",0,IF(COUNTIF($O$2:$O2663,$O2663)=1,1,0))</f>
        <v>0</v>
      </c>
      <c r="Q2663" t="str">
        <f>IF(AND($P2663=1,$A2663=经营数据!$B$3,$J2663=经营数据!$BA$5),COUNTIFS($P$2:$P$3000,1,$A$2:$A$3000,$A2663,$J$2:$J$3000,$J2663,$N$2:$N$3000,"&lt;"&amp;$N2663)+1,"")</f>
        <v/>
      </c>
      <c r="R2663" t="str">
        <f t="shared" si="623"/>
        <v/>
      </c>
      <c r="S2663">
        <f>IF($A2663="",0,IF(COUNTIF($R$2:$R2663,$R2663)=1,1,0))</f>
        <v>0</v>
      </c>
      <c r="T2663" t="str">
        <f t="shared" si="624"/>
        <v/>
      </c>
      <c r="U2663" t="str">
        <f>IF($A2663="","",IF($A2663=经营数据!$B$3,COUNTIFS($S$2:$S$3000,1,$A$2:$A$3000,$A2663,$T$2:$T$3000,"&lt;"&amp;$T2663)+1,""))</f>
        <v/>
      </c>
      <c r="V2663" t="str">
        <f t="shared" si="625"/>
        <v/>
      </c>
      <c r="W2663" t="str">
        <f t="shared" si="626"/>
        <v/>
      </c>
      <c r="X2663" t="str">
        <f t="shared" si="627"/>
        <v/>
      </c>
      <c r="Y2663" t="str">
        <f t="shared" si="628"/>
        <v/>
      </c>
      <c r="Z2663">
        <f>IF($A2663="",0,IF(AND($M2663=1,$A2663=经营数据!$B$3,$J2663=经营数据!$BA$5,OR($I2663=经营数据!$BA$4,COUNTIF(经营数据!$AA$9:$AA$38,$I2663)&gt;0)),1,0))</f>
        <v>0</v>
      </c>
      <c r="AA2663" t="str">
        <f t="shared" si="629"/>
        <v/>
      </c>
      <c r="AB2663" t="str">
        <f t="shared" si="630"/>
        <v/>
      </c>
      <c r="AC2663">
        <f>IF($A2663="",0,IF(COUNTIF($A$2:$A2663,$A2663)=1,1,0))</f>
        <v>0</v>
      </c>
      <c r="AD2663">
        <f t="shared" si="631"/>
        <v>29</v>
      </c>
      <c r="AE2663" t="str">
        <f t="shared" si="632"/>
        <v/>
      </c>
    </row>
    <row r="2664" spans="1:31" x14ac:dyDescent="0.4">
      <c r="A2664" t="str">
        <f>IF(原始经营数据!$D2665="","",原始经营数据!$D2665)</f>
        <v/>
      </c>
      <c r="B2664" t="str">
        <f>IF(原始经营数据!$D2665="","",T(原始经营数据!$E2665))</f>
        <v/>
      </c>
      <c r="C2664" t="str">
        <f>IF(原始经营数据!$D2665="","",原始经营数据!$F2665)</f>
        <v/>
      </c>
      <c r="D2664" t="str">
        <f>IF(原始经营数据!$D2665="","",原始经营数据!$H2665)</f>
        <v/>
      </c>
      <c r="E2664" t="str">
        <f>IF(原始经营数据!$D2665="","",原始经营数据!$I2665)</f>
        <v/>
      </c>
      <c r="F2664" t="str">
        <f>IF(原始经营数据!$D2665="","",T(原始经营数据!$J2665))</f>
        <v/>
      </c>
      <c r="G2664" t="str">
        <f>IF(原始经营数据!$D2665="","",T(原始经营数据!$K2665))</f>
        <v/>
      </c>
      <c r="H2664" t="str">
        <f>IF(原始经营数据!$D2665="","",原始经营数据!$G2665)</f>
        <v/>
      </c>
      <c r="I2664" t="str">
        <f>IF($A2664="","",IF($B2664&lt;&gt;"",$B2664,IF(COUNTIFS(原始经营数据!$D$3:$D$3001,$A2664,原始经营数据!$E$3:$E$3001,"",原始经营数据!$F$3:$F$3001,$C2664,原始经营数据!$H$3:$H$3001,$D2664,原始经营数据!$K$3:$K$3001,$G2664)&gt;1,"基金整体·来源"&amp;原始经营数据!$A2665,"基金整体")))</f>
        <v/>
      </c>
      <c r="J2664" t="str">
        <f t="shared" si="618"/>
        <v/>
      </c>
      <c r="K2664" t="str">
        <f t="shared" si="619"/>
        <v/>
      </c>
      <c r="L2664" t="str">
        <f t="shared" si="620"/>
        <v/>
      </c>
      <c r="M2664">
        <f>IF($A2664="",0,IF(COUNTIF($L$2:$L2664,$L2664)=1,1,0))</f>
        <v>0</v>
      </c>
      <c r="N2664" t="str">
        <f t="shared" si="621"/>
        <v/>
      </c>
      <c r="O2664" t="str">
        <f t="shared" si="622"/>
        <v/>
      </c>
      <c r="P2664">
        <f>IF($A2664="",0,IF(COUNTIF($O$2:$O2664,$O2664)=1,1,0))</f>
        <v>0</v>
      </c>
      <c r="Q2664" t="str">
        <f>IF(AND($P2664=1,$A2664=经营数据!$B$3,$J2664=经营数据!$BA$5),COUNTIFS($P$2:$P$3000,1,$A$2:$A$3000,$A2664,$J$2:$J$3000,$J2664,$N$2:$N$3000,"&lt;"&amp;$N2664)+1,"")</f>
        <v/>
      </c>
      <c r="R2664" t="str">
        <f t="shared" si="623"/>
        <v/>
      </c>
      <c r="S2664">
        <f>IF($A2664="",0,IF(COUNTIF($R$2:$R2664,$R2664)=1,1,0))</f>
        <v>0</v>
      </c>
      <c r="T2664" t="str">
        <f t="shared" si="624"/>
        <v/>
      </c>
      <c r="U2664" t="str">
        <f>IF($A2664="","",IF($A2664=经营数据!$B$3,COUNTIFS($S$2:$S$3000,1,$A$2:$A$3000,$A2664,$T$2:$T$3000,"&lt;"&amp;$T2664)+1,""))</f>
        <v/>
      </c>
      <c r="V2664" t="str">
        <f t="shared" si="625"/>
        <v/>
      </c>
      <c r="W2664" t="str">
        <f t="shared" si="626"/>
        <v/>
      </c>
      <c r="X2664" t="str">
        <f t="shared" si="627"/>
        <v/>
      </c>
      <c r="Y2664" t="str">
        <f t="shared" si="628"/>
        <v/>
      </c>
      <c r="Z2664">
        <f>IF($A2664="",0,IF(AND($M2664=1,$A2664=经营数据!$B$3,$J2664=经营数据!$BA$5,OR($I2664=经营数据!$BA$4,COUNTIF(经营数据!$AA$9:$AA$38,$I2664)&gt;0)),1,0))</f>
        <v>0</v>
      </c>
      <c r="AA2664" t="str">
        <f t="shared" si="629"/>
        <v/>
      </c>
      <c r="AB2664" t="str">
        <f t="shared" si="630"/>
        <v/>
      </c>
      <c r="AC2664">
        <f>IF($A2664="",0,IF(COUNTIF($A$2:$A2664,$A2664)=1,1,0))</f>
        <v>0</v>
      </c>
      <c r="AD2664">
        <f t="shared" si="631"/>
        <v>29</v>
      </c>
      <c r="AE2664" t="str">
        <f t="shared" si="632"/>
        <v/>
      </c>
    </row>
    <row r="2665" spans="1:31" x14ac:dyDescent="0.4">
      <c r="A2665" t="str">
        <f>IF(原始经营数据!$D2666="","",原始经营数据!$D2666)</f>
        <v/>
      </c>
      <c r="B2665" t="str">
        <f>IF(原始经营数据!$D2666="","",T(原始经营数据!$E2666))</f>
        <v/>
      </c>
      <c r="C2665" t="str">
        <f>IF(原始经营数据!$D2666="","",原始经营数据!$F2666)</f>
        <v/>
      </c>
      <c r="D2665" t="str">
        <f>IF(原始经营数据!$D2666="","",原始经营数据!$H2666)</f>
        <v/>
      </c>
      <c r="E2665" t="str">
        <f>IF(原始经营数据!$D2666="","",原始经营数据!$I2666)</f>
        <v/>
      </c>
      <c r="F2665" t="str">
        <f>IF(原始经营数据!$D2666="","",T(原始经营数据!$J2666))</f>
        <v/>
      </c>
      <c r="G2665" t="str">
        <f>IF(原始经营数据!$D2666="","",T(原始经营数据!$K2666))</f>
        <v/>
      </c>
      <c r="H2665" t="str">
        <f>IF(原始经营数据!$D2666="","",原始经营数据!$G2666)</f>
        <v/>
      </c>
      <c r="I2665" t="str">
        <f>IF($A2665="","",IF($B2665&lt;&gt;"",$B2665,IF(COUNTIFS(原始经营数据!$D$3:$D$3001,$A2665,原始经营数据!$E$3:$E$3001,"",原始经营数据!$F$3:$F$3001,$C2665,原始经营数据!$H$3:$H$3001,$D2665,原始经营数据!$K$3:$K$3001,$G2665)&gt;1,"基金整体·来源"&amp;原始经营数据!$A2666,"基金整体")))</f>
        <v/>
      </c>
      <c r="J2665" t="str">
        <f t="shared" si="618"/>
        <v/>
      </c>
      <c r="K2665" t="str">
        <f t="shared" si="619"/>
        <v/>
      </c>
      <c r="L2665" t="str">
        <f t="shared" si="620"/>
        <v/>
      </c>
      <c r="M2665">
        <f>IF($A2665="",0,IF(COUNTIF($L$2:$L2665,$L2665)=1,1,0))</f>
        <v>0</v>
      </c>
      <c r="N2665" t="str">
        <f t="shared" si="621"/>
        <v/>
      </c>
      <c r="O2665" t="str">
        <f t="shared" si="622"/>
        <v/>
      </c>
      <c r="P2665">
        <f>IF($A2665="",0,IF(COUNTIF($O$2:$O2665,$O2665)=1,1,0))</f>
        <v>0</v>
      </c>
      <c r="Q2665" t="str">
        <f>IF(AND($P2665=1,$A2665=经营数据!$B$3,$J2665=经营数据!$BA$5),COUNTIFS($P$2:$P$3000,1,$A$2:$A$3000,$A2665,$J$2:$J$3000,$J2665,$N$2:$N$3000,"&lt;"&amp;$N2665)+1,"")</f>
        <v/>
      </c>
      <c r="R2665" t="str">
        <f t="shared" si="623"/>
        <v/>
      </c>
      <c r="S2665">
        <f>IF($A2665="",0,IF(COUNTIF($R$2:$R2665,$R2665)=1,1,0))</f>
        <v>0</v>
      </c>
      <c r="T2665" t="str">
        <f t="shared" si="624"/>
        <v/>
      </c>
      <c r="U2665" t="str">
        <f>IF($A2665="","",IF($A2665=经营数据!$B$3,COUNTIFS($S$2:$S$3000,1,$A$2:$A$3000,$A2665,$T$2:$T$3000,"&lt;"&amp;$T2665)+1,""))</f>
        <v/>
      </c>
      <c r="V2665" t="str">
        <f t="shared" si="625"/>
        <v/>
      </c>
      <c r="W2665" t="str">
        <f t="shared" si="626"/>
        <v/>
      </c>
      <c r="X2665" t="str">
        <f t="shared" si="627"/>
        <v/>
      </c>
      <c r="Y2665" t="str">
        <f t="shared" si="628"/>
        <v/>
      </c>
      <c r="Z2665">
        <f>IF($A2665="",0,IF(AND($M2665=1,$A2665=经营数据!$B$3,$J2665=经营数据!$BA$5,OR($I2665=经营数据!$BA$4,COUNTIF(经营数据!$AA$9:$AA$38,$I2665)&gt;0)),1,0))</f>
        <v>0</v>
      </c>
      <c r="AA2665" t="str">
        <f t="shared" si="629"/>
        <v/>
      </c>
      <c r="AB2665" t="str">
        <f t="shared" si="630"/>
        <v/>
      </c>
      <c r="AC2665">
        <f>IF($A2665="",0,IF(COUNTIF($A$2:$A2665,$A2665)=1,1,0))</f>
        <v>0</v>
      </c>
      <c r="AD2665">
        <f t="shared" si="631"/>
        <v>29</v>
      </c>
      <c r="AE2665" t="str">
        <f t="shared" si="632"/>
        <v/>
      </c>
    </row>
    <row r="2666" spans="1:31" x14ac:dyDescent="0.4">
      <c r="A2666" t="str">
        <f>IF(原始经营数据!$D2667="","",原始经营数据!$D2667)</f>
        <v/>
      </c>
      <c r="B2666" t="str">
        <f>IF(原始经营数据!$D2667="","",T(原始经营数据!$E2667))</f>
        <v/>
      </c>
      <c r="C2666" t="str">
        <f>IF(原始经营数据!$D2667="","",原始经营数据!$F2667)</f>
        <v/>
      </c>
      <c r="D2666" t="str">
        <f>IF(原始经营数据!$D2667="","",原始经营数据!$H2667)</f>
        <v/>
      </c>
      <c r="E2666" t="str">
        <f>IF(原始经营数据!$D2667="","",原始经营数据!$I2667)</f>
        <v/>
      </c>
      <c r="F2666" t="str">
        <f>IF(原始经营数据!$D2667="","",T(原始经营数据!$J2667))</f>
        <v/>
      </c>
      <c r="G2666" t="str">
        <f>IF(原始经营数据!$D2667="","",T(原始经营数据!$K2667))</f>
        <v/>
      </c>
      <c r="H2666" t="str">
        <f>IF(原始经营数据!$D2667="","",原始经营数据!$G2667)</f>
        <v/>
      </c>
      <c r="I2666" t="str">
        <f>IF($A2666="","",IF($B2666&lt;&gt;"",$B2666,IF(COUNTIFS(原始经营数据!$D$3:$D$3001,$A2666,原始经营数据!$E$3:$E$3001,"",原始经营数据!$F$3:$F$3001,$C2666,原始经营数据!$H$3:$H$3001,$D2666,原始经营数据!$K$3:$K$3001,$G2666)&gt;1,"基金整体·来源"&amp;原始经营数据!$A2667,"基金整体")))</f>
        <v/>
      </c>
      <c r="J2666" t="str">
        <f t="shared" si="618"/>
        <v/>
      </c>
      <c r="K2666" t="str">
        <f t="shared" si="619"/>
        <v/>
      </c>
      <c r="L2666" t="str">
        <f t="shared" si="620"/>
        <v/>
      </c>
      <c r="M2666">
        <f>IF($A2666="",0,IF(COUNTIF($L$2:$L2666,$L2666)=1,1,0))</f>
        <v>0</v>
      </c>
      <c r="N2666" t="str">
        <f t="shared" si="621"/>
        <v/>
      </c>
      <c r="O2666" t="str">
        <f t="shared" si="622"/>
        <v/>
      </c>
      <c r="P2666">
        <f>IF($A2666="",0,IF(COUNTIF($O$2:$O2666,$O2666)=1,1,0))</f>
        <v>0</v>
      </c>
      <c r="Q2666" t="str">
        <f>IF(AND($P2666=1,$A2666=经营数据!$B$3,$J2666=经营数据!$BA$5),COUNTIFS($P$2:$P$3000,1,$A$2:$A$3000,$A2666,$J$2:$J$3000,$J2666,$N$2:$N$3000,"&lt;"&amp;$N2666)+1,"")</f>
        <v/>
      </c>
      <c r="R2666" t="str">
        <f t="shared" si="623"/>
        <v/>
      </c>
      <c r="S2666">
        <f>IF($A2666="",0,IF(COUNTIF($R$2:$R2666,$R2666)=1,1,0))</f>
        <v>0</v>
      </c>
      <c r="T2666" t="str">
        <f t="shared" si="624"/>
        <v/>
      </c>
      <c r="U2666" t="str">
        <f>IF($A2666="","",IF($A2666=经营数据!$B$3,COUNTIFS($S$2:$S$3000,1,$A$2:$A$3000,$A2666,$T$2:$T$3000,"&lt;"&amp;$T2666)+1,""))</f>
        <v/>
      </c>
      <c r="V2666" t="str">
        <f t="shared" si="625"/>
        <v/>
      </c>
      <c r="W2666" t="str">
        <f t="shared" si="626"/>
        <v/>
      </c>
      <c r="X2666" t="str">
        <f t="shared" si="627"/>
        <v/>
      </c>
      <c r="Y2666" t="str">
        <f t="shared" si="628"/>
        <v/>
      </c>
      <c r="Z2666">
        <f>IF($A2666="",0,IF(AND($M2666=1,$A2666=经营数据!$B$3,$J2666=经营数据!$BA$5,OR($I2666=经营数据!$BA$4,COUNTIF(经营数据!$AA$9:$AA$38,$I2666)&gt;0)),1,0))</f>
        <v>0</v>
      </c>
      <c r="AA2666" t="str">
        <f t="shared" si="629"/>
        <v/>
      </c>
      <c r="AB2666" t="str">
        <f t="shared" si="630"/>
        <v/>
      </c>
      <c r="AC2666">
        <f>IF($A2666="",0,IF(COUNTIF($A$2:$A2666,$A2666)=1,1,0))</f>
        <v>0</v>
      </c>
      <c r="AD2666">
        <f t="shared" si="631"/>
        <v>29</v>
      </c>
      <c r="AE2666" t="str">
        <f t="shared" si="632"/>
        <v/>
      </c>
    </row>
    <row r="2667" spans="1:31" x14ac:dyDescent="0.4">
      <c r="A2667" t="str">
        <f>IF(原始经营数据!$D2668="","",原始经营数据!$D2668)</f>
        <v/>
      </c>
      <c r="B2667" t="str">
        <f>IF(原始经营数据!$D2668="","",T(原始经营数据!$E2668))</f>
        <v/>
      </c>
      <c r="C2667" t="str">
        <f>IF(原始经营数据!$D2668="","",原始经营数据!$F2668)</f>
        <v/>
      </c>
      <c r="D2667" t="str">
        <f>IF(原始经营数据!$D2668="","",原始经营数据!$H2668)</f>
        <v/>
      </c>
      <c r="E2667" t="str">
        <f>IF(原始经营数据!$D2668="","",原始经营数据!$I2668)</f>
        <v/>
      </c>
      <c r="F2667" t="str">
        <f>IF(原始经营数据!$D2668="","",T(原始经营数据!$J2668))</f>
        <v/>
      </c>
      <c r="G2667" t="str">
        <f>IF(原始经营数据!$D2668="","",T(原始经营数据!$K2668))</f>
        <v/>
      </c>
      <c r="H2667" t="str">
        <f>IF(原始经营数据!$D2668="","",原始经营数据!$G2668)</f>
        <v/>
      </c>
      <c r="I2667" t="str">
        <f>IF($A2667="","",IF($B2667&lt;&gt;"",$B2667,IF(COUNTIFS(原始经营数据!$D$3:$D$3001,$A2667,原始经营数据!$E$3:$E$3001,"",原始经营数据!$F$3:$F$3001,$C2667,原始经营数据!$H$3:$H$3001,$D2667,原始经营数据!$K$3:$K$3001,$G2667)&gt;1,"基金整体·来源"&amp;原始经营数据!$A2668,"基金整体")))</f>
        <v/>
      </c>
      <c r="J2667" t="str">
        <f t="shared" si="618"/>
        <v/>
      </c>
      <c r="K2667" t="str">
        <f t="shared" si="619"/>
        <v/>
      </c>
      <c r="L2667" t="str">
        <f t="shared" si="620"/>
        <v/>
      </c>
      <c r="M2667">
        <f>IF($A2667="",0,IF(COUNTIF($L$2:$L2667,$L2667)=1,1,0))</f>
        <v>0</v>
      </c>
      <c r="N2667" t="str">
        <f t="shared" si="621"/>
        <v/>
      </c>
      <c r="O2667" t="str">
        <f t="shared" si="622"/>
        <v/>
      </c>
      <c r="P2667">
        <f>IF($A2667="",0,IF(COUNTIF($O$2:$O2667,$O2667)=1,1,0))</f>
        <v>0</v>
      </c>
      <c r="Q2667" t="str">
        <f>IF(AND($P2667=1,$A2667=经营数据!$B$3,$J2667=经营数据!$BA$5),COUNTIFS($P$2:$P$3000,1,$A$2:$A$3000,$A2667,$J$2:$J$3000,$J2667,$N$2:$N$3000,"&lt;"&amp;$N2667)+1,"")</f>
        <v/>
      </c>
      <c r="R2667" t="str">
        <f t="shared" si="623"/>
        <v/>
      </c>
      <c r="S2667">
        <f>IF($A2667="",0,IF(COUNTIF($R$2:$R2667,$R2667)=1,1,0))</f>
        <v>0</v>
      </c>
      <c r="T2667" t="str">
        <f t="shared" si="624"/>
        <v/>
      </c>
      <c r="U2667" t="str">
        <f>IF($A2667="","",IF($A2667=经营数据!$B$3,COUNTIFS($S$2:$S$3000,1,$A$2:$A$3000,$A2667,$T$2:$T$3000,"&lt;"&amp;$T2667)+1,""))</f>
        <v/>
      </c>
      <c r="V2667" t="str">
        <f t="shared" si="625"/>
        <v/>
      </c>
      <c r="W2667" t="str">
        <f t="shared" si="626"/>
        <v/>
      </c>
      <c r="X2667" t="str">
        <f t="shared" si="627"/>
        <v/>
      </c>
      <c r="Y2667" t="str">
        <f t="shared" si="628"/>
        <v/>
      </c>
      <c r="Z2667">
        <f>IF($A2667="",0,IF(AND($M2667=1,$A2667=经营数据!$B$3,$J2667=经营数据!$BA$5,OR($I2667=经营数据!$BA$4,COUNTIF(经营数据!$AA$9:$AA$38,$I2667)&gt;0)),1,0))</f>
        <v>0</v>
      </c>
      <c r="AA2667" t="str">
        <f t="shared" si="629"/>
        <v/>
      </c>
      <c r="AB2667" t="str">
        <f t="shared" si="630"/>
        <v/>
      </c>
      <c r="AC2667">
        <f>IF($A2667="",0,IF(COUNTIF($A$2:$A2667,$A2667)=1,1,0))</f>
        <v>0</v>
      </c>
      <c r="AD2667">
        <f t="shared" si="631"/>
        <v>29</v>
      </c>
      <c r="AE2667" t="str">
        <f t="shared" si="632"/>
        <v/>
      </c>
    </row>
    <row r="2668" spans="1:31" x14ac:dyDescent="0.4">
      <c r="A2668" t="str">
        <f>IF(原始经营数据!$D2669="","",原始经营数据!$D2669)</f>
        <v/>
      </c>
      <c r="B2668" t="str">
        <f>IF(原始经营数据!$D2669="","",T(原始经营数据!$E2669))</f>
        <v/>
      </c>
      <c r="C2668" t="str">
        <f>IF(原始经营数据!$D2669="","",原始经营数据!$F2669)</f>
        <v/>
      </c>
      <c r="D2668" t="str">
        <f>IF(原始经营数据!$D2669="","",原始经营数据!$H2669)</f>
        <v/>
      </c>
      <c r="E2668" t="str">
        <f>IF(原始经营数据!$D2669="","",原始经营数据!$I2669)</f>
        <v/>
      </c>
      <c r="F2668" t="str">
        <f>IF(原始经营数据!$D2669="","",T(原始经营数据!$J2669))</f>
        <v/>
      </c>
      <c r="G2668" t="str">
        <f>IF(原始经营数据!$D2669="","",T(原始经营数据!$K2669))</f>
        <v/>
      </c>
      <c r="H2668" t="str">
        <f>IF(原始经营数据!$D2669="","",原始经营数据!$G2669)</f>
        <v/>
      </c>
      <c r="I2668" t="str">
        <f>IF($A2668="","",IF($B2668&lt;&gt;"",$B2668,IF(COUNTIFS(原始经营数据!$D$3:$D$3001,$A2668,原始经营数据!$E$3:$E$3001,"",原始经营数据!$F$3:$F$3001,$C2668,原始经营数据!$H$3:$H$3001,$D2668,原始经营数据!$K$3:$K$3001,$G2668)&gt;1,"基金整体·来源"&amp;原始经营数据!$A2669,"基金整体")))</f>
        <v/>
      </c>
      <c r="J2668" t="str">
        <f t="shared" si="618"/>
        <v/>
      </c>
      <c r="K2668" t="str">
        <f t="shared" si="619"/>
        <v/>
      </c>
      <c r="L2668" t="str">
        <f t="shared" si="620"/>
        <v/>
      </c>
      <c r="M2668">
        <f>IF($A2668="",0,IF(COUNTIF($L$2:$L2668,$L2668)=1,1,0))</f>
        <v>0</v>
      </c>
      <c r="N2668" t="str">
        <f t="shared" si="621"/>
        <v/>
      </c>
      <c r="O2668" t="str">
        <f t="shared" si="622"/>
        <v/>
      </c>
      <c r="P2668">
        <f>IF($A2668="",0,IF(COUNTIF($O$2:$O2668,$O2668)=1,1,0))</f>
        <v>0</v>
      </c>
      <c r="Q2668" t="str">
        <f>IF(AND($P2668=1,$A2668=经营数据!$B$3,$J2668=经营数据!$BA$5),COUNTIFS($P$2:$P$3000,1,$A$2:$A$3000,$A2668,$J$2:$J$3000,$J2668,$N$2:$N$3000,"&lt;"&amp;$N2668)+1,"")</f>
        <v/>
      </c>
      <c r="R2668" t="str">
        <f t="shared" si="623"/>
        <v/>
      </c>
      <c r="S2668">
        <f>IF($A2668="",0,IF(COUNTIF($R$2:$R2668,$R2668)=1,1,0))</f>
        <v>0</v>
      </c>
      <c r="T2668" t="str">
        <f t="shared" si="624"/>
        <v/>
      </c>
      <c r="U2668" t="str">
        <f>IF($A2668="","",IF($A2668=经营数据!$B$3,COUNTIFS($S$2:$S$3000,1,$A$2:$A$3000,$A2668,$T$2:$T$3000,"&lt;"&amp;$T2668)+1,""))</f>
        <v/>
      </c>
      <c r="V2668" t="str">
        <f t="shared" si="625"/>
        <v/>
      </c>
      <c r="W2668" t="str">
        <f t="shared" si="626"/>
        <v/>
      </c>
      <c r="X2668" t="str">
        <f t="shared" si="627"/>
        <v/>
      </c>
      <c r="Y2668" t="str">
        <f t="shared" si="628"/>
        <v/>
      </c>
      <c r="Z2668">
        <f>IF($A2668="",0,IF(AND($M2668=1,$A2668=经营数据!$B$3,$J2668=经营数据!$BA$5,OR($I2668=经营数据!$BA$4,COUNTIF(经营数据!$AA$9:$AA$38,$I2668)&gt;0)),1,0))</f>
        <v>0</v>
      </c>
      <c r="AA2668" t="str">
        <f t="shared" si="629"/>
        <v/>
      </c>
      <c r="AB2668" t="str">
        <f t="shared" si="630"/>
        <v/>
      </c>
      <c r="AC2668">
        <f>IF($A2668="",0,IF(COUNTIF($A$2:$A2668,$A2668)=1,1,0))</f>
        <v>0</v>
      </c>
      <c r="AD2668">
        <f t="shared" si="631"/>
        <v>29</v>
      </c>
      <c r="AE2668" t="str">
        <f t="shared" si="632"/>
        <v/>
      </c>
    </row>
    <row r="2669" spans="1:31" x14ac:dyDescent="0.4">
      <c r="A2669" t="str">
        <f>IF(原始经营数据!$D2670="","",原始经营数据!$D2670)</f>
        <v/>
      </c>
      <c r="B2669" t="str">
        <f>IF(原始经营数据!$D2670="","",T(原始经营数据!$E2670))</f>
        <v/>
      </c>
      <c r="C2669" t="str">
        <f>IF(原始经营数据!$D2670="","",原始经营数据!$F2670)</f>
        <v/>
      </c>
      <c r="D2669" t="str">
        <f>IF(原始经营数据!$D2670="","",原始经营数据!$H2670)</f>
        <v/>
      </c>
      <c r="E2669" t="str">
        <f>IF(原始经营数据!$D2670="","",原始经营数据!$I2670)</f>
        <v/>
      </c>
      <c r="F2669" t="str">
        <f>IF(原始经营数据!$D2670="","",T(原始经营数据!$J2670))</f>
        <v/>
      </c>
      <c r="G2669" t="str">
        <f>IF(原始经营数据!$D2670="","",T(原始经营数据!$K2670))</f>
        <v/>
      </c>
      <c r="H2669" t="str">
        <f>IF(原始经营数据!$D2670="","",原始经营数据!$G2670)</f>
        <v/>
      </c>
      <c r="I2669" t="str">
        <f>IF($A2669="","",IF($B2669&lt;&gt;"",$B2669,IF(COUNTIFS(原始经营数据!$D$3:$D$3001,$A2669,原始经营数据!$E$3:$E$3001,"",原始经营数据!$F$3:$F$3001,$C2669,原始经营数据!$H$3:$H$3001,$D2669,原始经营数据!$K$3:$K$3001,$G2669)&gt;1,"基金整体·来源"&amp;原始经营数据!$A2670,"基金整体")))</f>
        <v/>
      </c>
      <c r="J2669" t="str">
        <f t="shared" si="618"/>
        <v/>
      </c>
      <c r="K2669" t="str">
        <f t="shared" si="619"/>
        <v/>
      </c>
      <c r="L2669" t="str">
        <f t="shared" si="620"/>
        <v/>
      </c>
      <c r="M2669">
        <f>IF($A2669="",0,IF(COUNTIF($L$2:$L2669,$L2669)=1,1,0))</f>
        <v>0</v>
      </c>
      <c r="N2669" t="str">
        <f t="shared" si="621"/>
        <v/>
      </c>
      <c r="O2669" t="str">
        <f t="shared" si="622"/>
        <v/>
      </c>
      <c r="P2669">
        <f>IF($A2669="",0,IF(COUNTIF($O$2:$O2669,$O2669)=1,1,0))</f>
        <v>0</v>
      </c>
      <c r="Q2669" t="str">
        <f>IF(AND($P2669=1,$A2669=经营数据!$B$3,$J2669=经营数据!$BA$5),COUNTIFS($P$2:$P$3000,1,$A$2:$A$3000,$A2669,$J$2:$J$3000,$J2669,$N$2:$N$3000,"&lt;"&amp;$N2669)+1,"")</f>
        <v/>
      </c>
      <c r="R2669" t="str">
        <f t="shared" si="623"/>
        <v/>
      </c>
      <c r="S2669">
        <f>IF($A2669="",0,IF(COUNTIF($R$2:$R2669,$R2669)=1,1,0))</f>
        <v>0</v>
      </c>
      <c r="T2669" t="str">
        <f t="shared" si="624"/>
        <v/>
      </c>
      <c r="U2669" t="str">
        <f>IF($A2669="","",IF($A2669=经营数据!$B$3,COUNTIFS($S$2:$S$3000,1,$A$2:$A$3000,$A2669,$T$2:$T$3000,"&lt;"&amp;$T2669)+1,""))</f>
        <v/>
      </c>
      <c r="V2669" t="str">
        <f t="shared" si="625"/>
        <v/>
      </c>
      <c r="W2669" t="str">
        <f t="shared" si="626"/>
        <v/>
      </c>
      <c r="X2669" t="str">
        <f t="shared" si="627"/>
        <v/>
      </c>
      <c r="Y2669" t="str">
        <f t="shared" si="628"/>
        <v/>
      </c>
      <c r="Z2669">
        <f>IF($A2669="",0,IF(AND($M2669=1,$A2669=经营数据!$B$3,$J2669=经营数据!$BA$5,OR($I2669=经营数据!$BA$4,COUNTIF(经营数据!$AA$9:$AA$38,$I2669)&gt;0)),1,0))</f>
        <v>0</v>
      </c>
      <c r="AA2669" t="str">
        <f t="shared" si="629"/>
        <v/>
      </c>
      <c r="AB2669" t="str">
        <f t="shared" si="630"/>
        <v/>
      </c>
      <c r="AC2669">
        <f>IF($A2669="",0,IF(COUNTIF($A$2:$A2669,$A2669)=1,1,0))</f>
        <v>0</v>
      </c>
      <c r="AD2669">
        <f t="shared" si="631"/>
        <v>29</v>
      </c>
      <c r="AE2669" t="str">
        <f t="shared" si="632"/>
        <v/>
      </c>
    </row>
    <row r="2670" spans="1:31" x14ac:dyDescent="0.4">
      <c r="A2670" t="str">
        <f>IF(原始经营数据!$D2671="","",原始经营数据!$D2671)</f>
        <v/>
      </c>
      <c r="B2670" t="str">
        <f>IF(原始经营数据!$D2671="","",T(原始经营数据!$E2671))</f>
        <v/>
      </c>
      <c r="C2670" t="str">
        <f>IF(原始经营数据!$D2671="","",原始经营数据!$F2671)</f>
        <v/>
      </c>
      <c r="D2670" t="str">
        <f>IF(原始经营数据!$D2671="","",原始经营数据!$H2671)</f>
        <v/>
      </c>
      <c r="E2670" t="str">
        <f>IF(原始经营数据!$D2671="","",原始经营数据!$I2671)</f>
        <v/>
      </c>
      <c r="F2670" t="str">
        <f>IF(原始经营数据!$D2671="","",T(原始经营数据!$J2671))</f>
        <v/>
      </c>
      <c r="G2670" t="str">
        <f>IF(原始经营数据!$D2671="","",T(原始经营数据!$K2671))</f>
        <v/>
      </c>
      <c r="H2670" t="str">
        <f>IF(原始经营数据!$D2671="","",原始经营数据!$G2671)</f>
        <v/>
      </c>
      <c r="I2670" t="str">
        <f>IF($A2670="","",IF($B2670&lt;&gt;"",$B2670,IF(COUNTIFS(原始经营数据!$D$3:$D$3001,$A2670,原始经营数据!$E$3:$E$3001,"",原始经营数据!$F$3:$F$3001,$C2670,原始经营数据!$H$3:$H$3001,$D2670,原始经营数据!$K$3:$K$3001,$G2670)&gt;1,"基金整体·来源"&amp;原始经营数据!$A2671,"基金整体")))</f>
        <v/>
      </c>
      <c r="J2670" t="str">
        <f t="shared" si="618"/>
        <v/>
      </c>
      <c r="K2670" t="str">
        <f t="shared" si="619"/>
        <v/>
      </c>
      <c r="L2670" t="str">
        <f t="shared" si="620"/>
        <v/>
      </c>
      <c r="M2670">
        <f>IF($A2670="",0,IF(COUNTIF($L$2:$L2670,$L2670)=1,1,0))</f>
        <v>0</v>
      </c>
      <c r="N2670" t="str">
        <f t="shared" si="621"/>
        <v/>
      </c>
      <c r="O2670" t="str">
        <f t="shared" si="622"/>
        <v/>
      </c>
      <c r="P2670">
        <f>IF($A2670="",0,IF(COUNTIF($O$2:$O2670,$O2670)=1,1,0))</f>
        <v>0</v>
      </c>
      <c r="Q2670" t="str">
        <f>IF(AND($P2670=1,$A2670=经营数据!$B$3,$J2670=经营数据!$BA$5),COUNTIFS($P$2:$P$3000,1,$A$2:$A$3000,$A2670,$J$2:$J$3000,$J2670,$N$2:$N$3000,"&lt;"&amp;$N2670)+1,"")</f>
        <v/>
      </c>
      <c r="R2670" t="str">
        <f t="shared" si="623"/>
        <v/>
      </c>
      <c r="S2670">
        <f>IF($A2670="",0,IF(COUNTIF($R$2:$R2670,$R2670)=1,1,0))</f>
        <v>0</v>
      </c>
      <c r="T2670" t="str">
        <f t="shared" si="624"/>
        <v/>
      </c>
      <c r="U2670" t="str">
        <f>IF($A2670="","",IF($A2670=经营数据!$B$3,COUNTIFS($S$2:$S$3000,1,$A$2:$A$3000,$A2670,$T$2:$T$3000,"&lt;"&amp;$T2670)+1,""))</f>
        <v/>
      </c>
      <c r="V2670" t="str">
        <f t="shared" si="625"/>
        <v/>
      </c>
      <c r="W2670" t="str">
        <f t="shared" si="626"/>
        <v/>
      </c>
      <c r="X2670" t="str">
        <f t="shared" si="627"/>
        <v/>
      </c>
      <c r="Y2670" t="str">
        <f t="shared" si="628"/>
        <v/>
      </c>
      <c r="Z2670">
        <f>IF($A2670="",0,IF(AND($M2670=1,$A2670=经营数据!$B$3,$J2670=经营数据!$BA$5,OR($I2670=经营数据!$BA$4,COUNTIF(经营数据!$AA$9:$AA$38,$I2670)&gt;0)),1,0))</f>
        <v>0</v>
      </c>
      <c r="AA2670" t="str">
        <f t="shared" si="629"/>
        <v/>
      </c>
      <c r="AB2670" t="str">
        <f t="shared" si="630"/>
        <v/>
      </c>
      <c r="AC2670">
        <f>IF($A2670="",0,IF(COUNTIF($A$2:$A2670,$A2670)=1,1,0))</f>
        <v>0</v>
      </c>
      <c r="AD2670">
        <f t="shared" si="631"/>
        <v>29</v>
      </c>
      <c r="AE2670" t="str">
        <f t="shared" si="632"/>
        <v/>
      </c>
    </row>
    <row r="2671" spans="1:31" x14ac:dyDescent="0.4">
      <c r="A2671" t="str">
        <f>IF(原始经营数据!$D2672="","",原始经营数据!$D2672)</f>
        <v/>
      </c>
      <c r="B2671" t="str">
        <f>IF(原始经营数据!$D2672="","",T(原始经营数据!$E2672))</f>
        <v/>
      </c>
      <c r="C2671" t="str">
        <f>IF(原始经营数据!$D2672="","",原始经营数据!$F2672)</f>
        <v/>
      </c>
      <c r="D2671" t="str">
        <f>IF(原始经营数据!$D2672="","",原始经营数据!$H2672)</f>
        <v/>
      </c>
      <c r="E2671" t="str">
        <f>IF(原始经营数据!$D2672="","",原始经营数据!$I2672)</f>
        <v/>
      </c>
      <c r="F2671" t="str">
        <f>IF(原始经营数据!$D2672="","",T(原始经营数据!$J2672))</f>
        <v/>
      </c>
      <c r="G2671" t="str">
        <f>IF(原始经营数据!$D2672="","",T(原始经营数据!$K2672))</f>
        <v/>
      </c>
      <c r="H2671" t="str">
        <f>IF(原始经营数据!$D2672="","",原始经营数据!$G2672)</f>
        <v/>
      </c>
      <c r="I2671" t="str">
        <f>IF($A2671="","",IF($B2671&lt;&gt;"",$B2671,IF(COUNTIFS(原始经营数据!$D$3:$D$3001,$A2671,原始经营数据!$E$3:$E$3001,"",原始经营数据!$F$3:$F$3001,$C2671,原始经营数据!$H$3:$H$3001,$D2671,原始经营数据!$K$3:$K$3001,$G2671)&gt;1,"基金整体·来源"&amp;原始经营数据!$A2672,"基金整体")))</f>
        <v/>
      </c>
      <c r="J2671" t="str">
        <f t="shared" si="618"/>
        <v/>
      </c>
      <c r="K2671" t="str">
        <f t="shared" si="619"/>
        <v/>
      </c>
      <c r="L2671" t="str">
        <f t="shared" si="620"/>
        <v/>
      </c>
      <c r="M2671">
        <f>IF($A2671="",0,IF(COUNTIF($L$2:$L2671,$L2671)=1,1,0))</f>
        <v>0</v>
      </c>
      <c r="N2671" t="str">
        <f t="shared" si="621"/>
        <v/>
      </c>
      <c r="O2671" t="str">
        <f t="shared" si="622"/>
        <v/>
      </c>
      <c r="P2671">
        <f>IF($A2671="",0,IF(COUNTIF($O$2:$O2671,$O2671)=1,1,0))</f>
        <v>0</v>
      </c>
      <c r="Q2671" t="str">
        <f>IF(AND($P2671=1,$A2671=经营数据!$B$3,$J2671=经营数据!$BA$5),COUNTIFS($P$2:$P$3000,1,$A$2:$A$3000,$A2671,$J$2:$J$3000,$J2671,$N$2:$N$3000,"&lt;"&amp;$N2671)+1,"")</f>
        <v/>
      </c>
      <c r="R2671" t="str">
        <f t="shared" si="623"/>
        <v/>
      </c>
      <c r="S2671">
        <f>IF($A2671="",0,IF(COUNTIF($R$2:$R2671,$R2671)=1,1,0))</f>
        <v>0</v>
      </c>
      <c r="T2671" t="str">
        <f t="shared" si="624"/>
        <v/>
      </c>
      <c r="U2671" t="str">
        <f>IF($A2671="","",IF($A2671=经营数据!$B$3,COUNTIFS($S$2:$S$3000,1,$A$2:$A$3000,$A2671,$T$2:$T$3000,"&lt;"&amp;$T2671)+1,""))</f>
        <v/>
      </c>
      <c r="V2671" t="str">
        <f t="shared" si="625"/>
        <v/>
      </c>
      <c r="W2671" t="str">
        <f t="shared" si="626"/>
        <v/>
      </c>
      <c r="X2671" t="str">
        <f t="shared" si="627"/>
        <v/>
      </c>
      <c r="Y2671" t="str">
        <f t="shared" si="628"/>
        <v/>
      </c>
      <c r="Z2671">
        <f>IF($A2671="",0,IF(AND($M2671=1,$A2671=经营数据!$B$3,$J2671=经营数据!$BA$5,OR($I2671=经营数据!$BA$4,COUNTIF(经营数据!$AA$9:$AA$38,$I2671)&gt;0)),1,0))</f>
        <v>0</v>
      </c>
      <c r="AA2671" t="str">
        <f t="shared" si="629"/>
        <v/>
      </c>
      <c r="AB2671" t="str">
        <f t="shared" si="630"/>
        <v/>
      </c>
      <c r="AC2671">
        <f>IF($A2671="",0,IF(COUNTIF($A$2:$A2671,$A2671)=1,1,0))</f>
        <v>0</v>
      </c>
      <c r="AD2671">
        <f t="shared" si="631"/>
        <v>29</v>
      </c>
      <c r="AE2671" t="str">
        <f t="shared" si="632"/>
        <v/>
      </c>
    </row>
    <row r="2672" spans="1:31" x14ac:dyDescent="0.4">
      <c r="A2672" t="str">
        <f>IF(原始经营数据!$D2673="","",原始经营数据!$D2673)</f>
        <v/>
      </c>
      <c r="B2672" t="str">
        <f>IF(原始经营数据!$D2673="","",T(原始经营数据!$E2673))</f>
        <v/>
      </c>
      <c r="C2672" t="str">
        <f>IF(原始经营数据!$D2673="","",原始经营数据!$F2673)</f>
        <v/>
      </c>
      <c r="D2672" t="str">
        <f>IF(原始经营数据!$D2673="","",原始经营数据!$H2673)</f>
        <v/>
      </c>
      <c r="E2672" t="str">
        <f>IF(原始经营数据!$D2673="","",原始经营数据!$I2673)</f>
        <v/>
      </c>
      <c r="F2672" t="str">
        <f>IF(原始经营数据!$D2673="","",T(原始经营数据!$J2673))</f>
        <v/>
      </c>
      <c r="G2672" t="str">
        <f>IF(原始经营数据!$D2673="","",T(原始经营数据!$K2673))</f>
        <v/>
      </c>
      <c r="H2672" t="str">
        <f>IF(原始经营数据!$D2673="","",原始经营数据!$G2673)</f>
        <v/>
      </c>
      <c r="I2672" t="str">
        <f>IF($A2672="","",IF($B2672&lt;&gt;"",$B2672,IF(COUNTIFS(原始经营数据!$D$3:$D$3001,$A2672,原始经营数据!$E$3:$E$3001,"",原始经营数据!$F$3:$F$3001,$C2672,原始经营数据!$H$3:$H$3001,$D2672,原始经营数据!$K$3:$K$3001,$G2672)&gt;1,"基金整体·来源"&amp;原始经营数据!$A2673,"基金整体")))</f>
        <v/>
      </c>
      <c r="J2672" t="str">
        <f t="shared" si="618"/>
        <v/>
      </c>
      <c r="K2672" t="str">
        <f t="shared" si="619"/>
        <v/>
      </c>
      <c r="L2672" t="str">
        <f t="shared" si="620"/>
        <v/>
      </c>
      <c r="M2672">
        <f>IF($A2672="",0,IF(COUNTIF($L$2:$L2672,$L2672)=1,1,0))</f>
        <v>0</v>
      </c>
      <c r="N2672" t="str">
        <f t="shared" si="621"/>
        <v/>
      </c>
      <c r="O2672" t="str">
        <f t="shared" si="622"/>
        <v/>
      </c>
      <c r="P2672">
        <f>IF($A2672="",0,IF(COUNTIF($O$2:$O2672,$O2672)=1,1,0))</f>
        <v>0</v>
      </c>
      <c r="Q2672" t="str">
        <f>IF(AND($P2672=1,$A2672=经营数据!$B$3,$J2672=经营数据!$BA$5),COUNTIFS($P$2:$P$3000,1,$A$2:$A$3000,$A2672,$J$2:$J$3000,$J2672,$N$2:$N$3000,"&lt;"&amp;$N2672)+1,"")</f>
        <v/>
      </c>
      <c r="R2672" t="str">
        <f t="shared" si="623"/>
        <v/>
      </c>
      <c r="S2672">
        <f>IF($A2672="",0,IF(COUNTIF($R$2:$R2672,$R2672)=1,1,0))</f>
        <v>0</v>
      </c>
      <c r="T2672" t="str">
        <f t="shared" si="624"/>
        <v/>
      </c>
      <c r="U2672" t="str">
        <f>IF($A2672="","",IF($A2672=经营数据!$B$3,COUNTIFS($S$2:$S$3000,1,$A$2:$A$3000,$A2672,$T$2:$T$3000,"&lt;"&amp;$T2672)+1,""))</f>
        <v/>
      </c>
      <c r="V2672" t="str">
        <f t="shared" si="625"/>
        <v/>
      </c>
      <c r="W2672" t="str">
        <f t="shared" si="626"/>
        <v/>
      </c>
      <c r="X2672" t="str">
        <f t="shared" si="627"/>
        <v/>
      </c>
      <c r="Y2672" t="str">
        <f t="shared" si="628"/>
        <v/>
      </c>
      <c r="Z2672">
        <f>IF($A2672="",0,IF(AND($M2672=1,$A2672=经营数据!$B$3,$J2672=经营数据!$BA$5,OR($I2672=经营数据!$BA$4,COUNTIF(经营数据!$AA$9:$AA$38,$I2672)&gt;0)),1,0))</f>
        <v>0</v>
      </c>
      <c r="AA2672" t="str">
        <f t="shared" si="629"/>
        <v/>
      </c>
      <c r="AB2672" t="str">
        <f t="shared" si="630"/>
        <v/>
      </c>
      <c r="AC2672">
        <f>IF($A2672="",0,IF(COUNTIF($A$2:$A2672,$A2672)=1,1,0))</f>
        <v>0</v>
      </c>
      <c r="AD2672">
        <f t="shared" si="631"/>
        <v>29</v>
      </c>
      <c r="AE2672" t="str">
        <f t="shared" si="632"/>
        <v/>
      </c>
    </row>
    <row r="2673" spans="1:31" x14ac:dyDescent="0.4">
      <c r="A2673" t="str">
        <f>IF(原始经营数据!$D2674="","",原始经营数据!$D2674)</f>
        <v/>
      </c>
      <c r="B2673" t="str">
        <f>IF(原始经营数据!$D2674="","",T(原始经营数据!$E2674))</f>
        <v/>
      </c>
      <c r="C2673" t="str">
        <f>IF(原始经营数据!$D2674="","",原始经营数据!$F2674)</f>
        <v/>
      </c>
      <c r="D2673" t="str">
        <f>IF(原始经营数据!$D2674="","",原始经营数据!$H2674)</f>
        <v/>
      </c>
      <c r="E2673" t="str">
        <f>IF(原始经营数据!$D2674="","",原始经营数据!$I2674)</f>
        <v/>
      </c>
      <c r="F2673" t="str">
        <f>IF(原始经营数据!$D2674="","",T(原始经营数据!$J2674))</f>
        <v/>
      </c>
      <c r="G2673" t="str">
        <f>IF(原始经营数据!$D2674="","",T(原始经营数据!$K2674))</f>
        <v/>
      </c>
      <c r="H2673" t="str">
        <f>IF(原始经营数据!$D2674="","",原始经营数据!$G2674)</f>
        <v/>
      </c>
      <c r="I2673" t="str">
        <f>IF($A2673="","",IF($B2673&lt;&gt;"",$B2673,IF(COUNTIFS(原始经营数据!$D$3:$D$3001,$A2673,原始经营数据!$E$3:$E$3001,"",原始经营数据!$F$3:$F$3001,$C2673,原始经营数据!$H$3:$H$3001,$D2673,原始经营数据!$K$3:$K$3001,$G2673)&gt;1,"基金整体·来源"&amp;原始经营数据!$A2674,"基金整体")))</f>
        <v/>
      </c>
      <c r="J2673" t="str">
        <f t="shared" si="618"/>
        <v/>
      </c>
      <c r="K2673" t="str">
        <f t="shared" si="619"/>
        <v/>
      </c>
      <c r="L2673" t="str">
        <f t="shared" si="620"/>
        <v/>
      </c>
      <c r="M2673">
        <f>IF($A2673="",0,IF(COUNTIF($L$2:$L2673,$L2673)=1,1,0))</f>
        <v>0</v>
      </c>
      <c r="N2673" t="str">
        <f t="shared" si="621"/>
        <v/>
      </c>
      <c r="O2673" t="str">
        <f t="shared" si="622"/>
        <v/>
      </c>
      <c r="P2673">
        <f>IF($A2673="",0,IF(COUNTIF($O$2:$O2673,$O2673)=1,1,0))</f>
        <v>0</v>
      </c>
      <c r="Q2673" t="str">
        <f>IF(AND($P2673=1,$A2673=经营数据!$B$3,$J2673=经营数据!$BA$5),COUNTIFS($P$2:$P$3000,1,$A$2:$A$3000,$A2673,$J$2:$J$3000,$J2673,$N$2:$N$3000,"&lt;"&amp;$N2673)+1,"")</f>
        <v/>
      </c>
      <c r="R2673" t="str">
        <f t="shared" si="623"/>
        <v/>
      </c>
      <c r="S2673">
        <f>IF($A2673="",0,IF(COUNTIF($R$2:$R2673,$R2673)=1,1,0))</f>
        <v>0</v>
      </c>
      <c r="T2673" t="str">
        <f t="shared" si="624"/>
        <v/>
      </c>
      <c r="U2673" t="str">
        <f>IF($A2673="","",IF($A2673=经营数据!$B$3,COUNTIFS($S$2:$S$3000,1,$A$2:$A$3000,$A2673,$T$2:$T$3000,"&lt;"&amp;$T2673)+1,""))</f>
        <v/>
      </c>
      <c r="V2673" t="str">
        <f t="shared" si="625"/>
        <v/>
      </c>
      <c r="W2673" t="str">
        <f t="shared" si="626"/>
        <v/>
      </c>
      <c r="X2673" t="str">
        <f t="shared" si="627"/>
        <v/>
      </c>
      <c r="Y2673" t="str">
        <f t="shared" si="628"/>
        <v/>
      </c>
      <c r="Z2673">
        <f>IF($A2673="",0,IF(AND($M2673=1,$A2673=经营数据!$B$3,$J2673=经营数据!$BA$5,OR($I2673=经营数据!$BA$4,COUNTIF(经营数据!$AA$9:$AA$38,$I2673)&gt;0)),1,0))</f>
        <v>0</v>
      </c>
      <c r="AA2673" t="str">
        <f t="shared" si="629"/>
        <v/>
      </c>
      <c r="AB2673" t="str">
        <f t="shared" si="630"/>
        <v/>
      </c>
      <c r="AC2673">
        <f>IF($A2673="",0,IF(COUNTIF($A$2:$A2673,$A2673)=1,1,0))</f>
        <v>0</v>
      </c>
      <c r="AD2673">
        <f t="shared" si="631"/>
        <v>29</v>
      </c>
      <c r="AE2673" t="str">
        <f t="shared" si="632"/>
        <v/>
      </c>
    </row>
    <row r="2674" spans="1:31" x14ac:dyDescent="0.4">
      <c r="A2674" t="str">
        <f>IF(原始经营数据!$D2675="","",原始经营数据!$D2675)</f>
        <v/>
      </c>
      <c r="B2674" t="str">
        <f>IF(原始经营数据!$D2675="","",T(原始经营数据!$E2675))</f>
        <v/>
      </c>
      <c r="C2674" t="str">
        <f>IF(原始经营数据!$D2675="","",原始经营数据!$F2675)</f>
        <v/>
      </c>
      <c r="D2674" t="str">
        <f>IF(原始经营数据!$D2675="","",原始经营数据!$H2675)</f>
        <v/>
      </c>
      <c r="E2674" t="str">
        <f>IF(原始经营数据!$D2675="","",原始经营数据!$I2675)</f>
        <v/>
      </c>
      <c r="F2674" t="str">
        <f>IF(原始经营数据!$D2675="","",T(原始经营数据!$J2675))</f>
        <v/>
      </c>
      <c r="G2674" t="str">
        <f>IF(原始经营数据!$D2675="","",T(原始经营数据!$K2675))</f>
        <v/>
      </c>
      <c r="H2674" t="str">
        <f>IF(原始经营数据!$D2675="","",原始经营数据!$G2675)</f>
        <v/>
      </c>
      <c r="I2674" t="str">
        <f>IF($A2674="","",IF($B2674&lt;&gt;"",$B2674,IF(COUNTIFS(原始经营数据!$D$3:$D$3001,$A2674,原始经营数据!$E$3:$E$3001,"",原始经营数据!$F$3:$F$3001,$C2674,原始经营数据!$H$3:$H$3001,$D2674,原始经营数据!$K$3:$K$3001,$G2674)&gt;1,"基金整体·来源"&amp;原始经营数据!$A2675,"基金整体")))</f>
        <v/>
      </c>
      <c r="J2674" t="str">
        <f t="shared" si="618"/>
        <v/>
      </c>
      <c r="K2674" t="str">
        <f t="shared" si="619"/>
        <v/>
      </c>
      <c r="L2674" t="str">
        <f t="shared" si="620"/>
        <v/>
      </c>
      <c r="M2674">
        <f>IF($A2674="",0,IF(COUNTIF($L$2:$L2674,$L2674)=1,1,0))</f>
        <v>0</v>
      </c>
      <c r="N2674" t="str">
        <f t="shared" si="621"/>
        <v/>
      </c>
      <c r="O2674" t="str">
        <f t="shared" si="622"/>
        <v/>
      </c>
      <c r="P2674">
        <f>IF($A2674="",0,IF(COUNTIF($O$2:$O2674,$O2674)=1,1,0))</f>
        <v>0</v>
      </c>
      <c r="Q2674" t="str">
        <f>IF(AND($P2674=1,$A2674=经营数据!$B$3,$J2674=经营数据!$BA$5),COUNTIFS($P$2:$P$3000,1,$A$2:$A$3000,$A2674,$J$2:$J$3000,$J2674,$N$2:$N$3000,"&lt;"&amp;$N2674)+1,"")</f>
        <v/>
      </c>
      <c r="R2674" t="str">
        <f t="shared" si="623"/>
        <v/>
      </c>
      <c r="S2674">
        <f>IF($A2674="",0,IF(COUNTIF($R$2:$R2674,$R2674)=1,1,0))</f>
        <v>0</v>
      </c>
      <c r="T2674" t="str">
        <f t="shared" si="624"/>
        <v/>
      </c>
      <c r="U2674" t="str">
        <f>IF($A2674="","",IF($A2674=经营数据!$B$3,COUNTIFS($S$2:$S$3000,1,$A$2:$A$3000,$A2674,$T$2:$T$3000,"&lt;"&amp;$T2674)+1,""))</f>
        <v/>
      </c>
      <c r="V2674" t="str">
        <f t="shared" si="625"/>
        <v/>
      </c>
      <c r="W2674" t="str">
        <f t="shared" si="626"/>
        <v/>
      </c>
      <c r="X2674" t="str">
        <f t="shared" si="627"/>
        <v/>
      </c>
      <c r="Y2674" t="str">
        <f t="shared" si="628"/>
        <v/>
      </c>
      <c r="Z2674">
        <f>IF($A2674="",0,IF(AND($M2674=1,$A2674=经营数据!$B$3,$J2674=经营数据!$BA$5,OR($I2674=经营数据!$BA$4,COUNTIF(经营数据!$AA$9:$AA$38,$I2674)&gt;0)),1,0))</f>
        <v>0</v>
      </c>
      <c r="AA2674" t="str">
        <f t="shared" si="629"/>
        <v/>
      </c>
      <c r="AB2674" t="str">
        <f t="shared" si="630"/>
        <v/>
      </c>
      <c r="AC2674">
        <f>IF($A2674="",0,IF(COUNTIF($A$2:$A2674,$A2674)=1,1,0))</f>
        <v>0</v>
      </c>
      <c r="AD2674">
        <f t="shared" si="631"/>
        <v>29</v>
      </c>
      <c r="AE2674" t="str">
        <f t="shared" si="632"/>
        <v/>
      </c>
    </row>
    <row r="2675" spans="1:31" x14ac:dyDescent="0.4">
      <c r="A2675" t="str">
        <f>IF(原始经营数据!$D2676="","",原始经营数据!$D2676)</f>
        <v/>
      </c>
      <c r="B2675" t="str">
        <f>IF(原始经营数据!$D2676="","",T(原始经营数据!$E2676))</f>
        <v/>
      </c>
      <c r="C2675" t="str">
        <f>IF(原始经营数据!$D2676="","",原始经营数据!$F2676)</f>
        <v/>
      </c>
      <c r="D2675" t="str">
        <f>IF(原始经营数据!$D2676="","",原始经营数据!$H2676)</f>
        <v/>
      </c>
      <c r="E2675" t="str">
        <f>IF(原始经营数据!$D2676="","",原始经营数据!$I2676)</f>
        <v/>
      </c>
      <c r="F2675" t="str">
        <f>IF(原始经营数据!$D2676="","",T(原始经营数据!$J2676))</f>
        <v/>
      </c>
      <c r="G2675" t="str">
        <f>IF(原始经营数据!$D2676="","",T(原始经营数据!$K2676))</f>
        <v/>
      </c>
      <c r="H2675" t="str">
        <f>IF(原始经营数据!$D2676="","",原始经营数据!$G2676)</f>
        <v/>
      </c>
      <c r="I2675" t="str">
        <f>IF($A2675="","",IF($B2675&lt;&gt;"",$B2675,IF(COUNTIFS(原始经营数据!$D$3:$D$3001,$A2675,原始经营数据!$E$3:$E$3001,"",原始经营数据!$F$3:$F$3001,$C2675,原始经营数据!$H$3:$H$3001,$D2675,原始经营数据!$K$3:$K$3001,$G2675)&gt;1,"基金整体·来源"&amp;原始经营数据!$A2676,"基金整体")))</f>
        <v/>
      </c>
      <c r="J2675" t="str">
        <f t="shared" si="618"/>
        <v/>
      </c>
      <c r="K2675" t="str">
        <f t="shared" si="619"/>
        <v/>
      </c>
      <c r="L2675" t="str">
        <f t="shared" si="620"/>
        <v/>
      </c>
      <c r="M2675">
        <f>IF($A2675="",0,IF(COUNTIF($L$2:$L2675,$L2675)=1,1,0))</f>
        <v>0</v>
      </c>
      <c r="N2675" t="str">
        <f t="shared" si="621"/>
        <v/>
      </c>
      <c r="O2675" t="str">
        <f t="shared" si="622"/>
        <v/>
      </c>
      <c r="P2675">
        <f>IF($A2675="",0,IF(COUNTIF($O$2:$O2675,$O2675)=1,1,0))</f>
        <v>0</v>
      </c>
      <c r="Q2675" t="str">
        <f>IF(AND($P2675=1,$A2675=经营数据!$B$3,$J2675=经营数据!$BA$5),COUNTIFS($P$2:$P$3000,1,$A$2:$A$3000,$A2675,$J$2:$J$3000,$J2675,$N$2:$N$3000,"&lt;"&amp;$N2675)+1,"")</f>
        <v/>
      </c>
      <c r="R2675" t="str">
        <f t="shared" si="623"/>
        <v/>
      </c>
      <c r="S2675">
        <f>IF($A2675="",0,IF(COUNTIF($R$2:$R2675,$R2675)=1,1,0))</f>
        <v>0</v>
      </c>
      <c r="T2675" t="str">
        <f t="shared" si="624"/>
        <v/>
      </c>
      <c r="U2675" t="str">
        <f>IF($A2675="","",IF($A2675=经营数据!$B$3,COUNTIFS($S$2:$S$3000,1,$A$2:$A$3000,$A2675,$T$2:$T$3000,"&lt;"&amp;$T2675)+1,""))</f>
        <v/>
      </c>
      <c r="V2675" t="str">
        <f t="shared" si="625"/>
        <v/>
      </c>
      <c r="W2675" t="str">
        <f t="shared" si="626"/>
        <v/>
      </c>
      <c r="X2675" t="str">
        <f t="shared" si="627"/>
        <v/>
      </c>
      <c r="Y2675" t="str">
        <f t="shared" si="628"/>
        <v/>
      </c>
      <c r="Z2675">
        <f>IF($A2675="",0,IF(AND($M2675=1,$A2675=经营数据!$B$3,$J2675=经营数据!$BA$5,OR($I2675=经营数据!$BA$4,COUNTIF(经营数据!$AA$9:$AA$38,$I2675)&gt;0)),1,0))</f>
        <v>0</v>
      </c>
      <c r="AA2675" t="str">
        <f t="shared" si="629"/>
        <v/>
      </c>
      <c r="AB2675" t="str">
        <f t="shared" si="630"/>
        <v/>
      </c>
      <c r="AC2675">
        <f>IF($A2675="",0,IF(COUNTIF($A$2:$A2675,$A2675)=1,1,0))</f>
        <v>0</v>
      </c>
      <c r="AD2675">
        <f t="shared" si="631"/>
        <v>29</v>
      </c>
      <c r="AE2675" t="str">
        <f t="shared" si="632"/>
        <v/>
      </c>
    </row>
    <row r="2676" spans="1:31" x14ac:dyDescent="0.4">
      <c r="A2676" t="str">
        <f>IF(原始经营数据!$D2677="","",原始经营数据!$D2677)</f>
        <v/>
      </c>
      <c r="B2676" t="str">
        <f>IF(原始经营数据!$D2677="","",T(原始经营数据!$E2677))</f>
        <v/>
      </c>
      <c r="C2676" t="str">
        <f>IF(原始经营数据!$D2677="","",原始经营数据!$F2677)</f>
        <v/>
      </c>
      <c r="D2676" t="str">
        <f>IF(原始经营数据!$D2677="","",原始经营数据!$H2677)</f>
        <v/>
      </c>
      <c r="E2676" t="str">
        <f>IF(原始经营数据!$D2677="","",原始经营数据!$I2677)</f>
        <v/>
      </c>
      <c r="F2676" t="str">
        <f>IF(原始经营数据!$D2677="","",T(原始经营数据!$J2677))</f>
        <v/>
      </c>
      <c r="G2676" t="str">
        <f>IF(原始经营数据!$D2677="","",T(原始经营数据!$K2677))</f>
        <v/>
      </c>
      <c r="H2676" t="str">
        <f>IF(原始经营数据!$D2677="","",原始经营数据!$G2677)</f>
        <v/>
      </c>
      <c r="I2676" t="str">
        <f>IF($A2676="","",IF($B2676&lt;&gt;"",$B2676,IF(COUNTIFS(原始经营数据!$D$3:$D$3001,$A2676,原始经营数据!$E$3:$E$3001,"",原始经营数据!$F$3:$F$3001,$C2676,原始经营数据!$H$3:$H$3001,$D2676,原始经营数据!$K$3:$K$3001,$G2676)&gt;1,"基金整体·来源"&amp;原始经营数据!$A2677,"基金整体")))</f>
        <v/>
      </c>
      <c r="J2676" t="str">
        <f t="shared" si="618"/>
        <v/>
      </c>
      <c r="K2676" t="str">
        <f t="shared" si="619"/>
        <v/>
      </c>
      <c r="L2676" t="str">
        <f t="shared" si="620"/>
        <v/>
      </c>
      <c r="M2676">
        <f>IF($A2676="",0,IF(COUNTIF($L$2:$L2676,$L2676)=1,1,0))</f>
        <v>0</v>
      </c>
      <c r="N2676" t="str">
        <f t="shared" si="621"/>
        <v/>
      </c>
      <c r="O2676" t="str">
        <f t="shared" si="622"/>
        <v/>
      </c>
      <c r="P2676">
        <f>IF($A2676="",0,IF(COUNTIF($O$2:$O2676,$O2676)=1,1,0))</f>
        <v>0</v>
      </c>
      <c r="Q2676" t="str">
        <f>IF(AND($P2676=1,$A2676=经营数据!$B$3,$J2676=经营数据!$BA$5),COUNTIFS($P$2:$P$3000,1,$A$2:$A$3000,$A2676,$J$2:$J$3000,$J2676,$N$2:$N$3000,"&lt;"&amp;$N2676)+1,"")</f>
        <v/>
      </c>
      <c r="R2676" t="str">
        <f t="shared" si="623"/>
        <v/>
      </c>
      <c r="S2676">
        <f>IF($A2676="",0,IF(COUNTIF($R$2:$R2676,$R2676)=1,1,0))</f>
        <v>0</v>
      </c>
      <c r="T2676" t="str">
        <f t="shared" si="624"/>
        <v/>
      </c>
      <c r="U2676" t="str">
        <f>IF($A2676="","",IF($A2676=经营数据!$B$3,COUNTIFS($S$2:$S$3000,1,$A$2:$A$3000,$A2676,$T$2:$T$3000,"&lt;"&amp;$T2676)+1,""))</f>
        <v/>
      </c>
      <c r="V2676" t="str">
        <f t="shared" si="625"/>
        <v/>
      </c>
      <c r="W2676" t="str">
        <f t="shared" si="626"/>
        <v/>
      </c>
      <c r="X2676" t="str">
        <f t="shared" si="627"/>
        <v/>
      </c>
      <c r="Y2676" t="str">
        <f t="shared" si="628"/>
        <v/>
      </c>
      <c r="Z2676">
        <f>IF($A2676="",0,IF(AND($M2676=1,$A2676=经营数据!$B$3,$J2676=经营数据!$BA$5,OR($I2676=经营数据!$BA$4,COUNTIF(经营数据!$AA$9:$AA$38,$I2676)&gt;0)),1,0))</f>
        <v>0</v>
      </c>
      <c r="AA2676" t="str">
        <f t="shared" si="629"/>
        <v/>
      </c>
      <c r="AB2676" t="str">
        <f t="shared" si="630"/>
        <v/>
      </c>
      <c r="AC2676">
        <f>IF($A2676="",0,IF(COUNTIF($A$2:$A2676,$A2676)=1,1,0))</f>
        <v>0</v>
      </c>
      <c r="AD2676">
        <f t="shared" si="631"/>
        <v>29</v>
      </c>
      <c r="AE2676" t="str">
        <f t="shared" si="632"/>
        <v/>
      </c>
    </row>
    <row r="2677" spans="1:31" x14ac:dyDescent="0.4">
      <c r="A2677" t="str">
        <f>IF(原始经营数据!$D2678="","",原始经营数据!$D2678)</f>
        <v/>
      </c>
      <c r="B2677" t="str">
        <f>IF(原始经营数据!$D2678="","",T(原始经营数据!$E2678))</f>
        <v/>
      </c>
      <c r="C2677" t="str">
        <f>IF(原始经营数据!$D2678="","",原始经营数据!$F2678)</f>
        <v/>
      </c>
      <c r="D2677" t="str">
        <f>IF(原始经营数据!$D2678="","",原始经营数据!$H2678)</f>
        <v/>
      </c>
      <c r="E2677" t="str">
        <f>IF(原始经营数据!$D2678="","",原始经营数据!$I2678)</f>
        <v/>
      </c>
      <c r="F2677" t="str">
        <f>IF(原始经营数据!$D2678="","",T(原始经营数据!$J2678))</f>
        <v/>
      </c>
      <c r="G2677" t="str">
        <f>IF(原始经营数据!$D2678="","",T(原始经营数据!$K2678))</f>
        <v/>
      </c>
      <c r="H2677" t="str">
        <f>IF(原始经营数据!$D2678="","",原始经营数据!$G2678)</f>
        <v/>
      </c>
      <c r="I2677" t="str">
        <f>IF($A2677="","",IF($B2677&lt;&gt;"",$B2677,IF(COUNTIFS(原始经营数据!$D$3:$D$3001,$A2677,原始经营数据!$E$3:$E$3001,"",原始经营数据!$F$3:$F$3001,$C2677,原始经营数据!$H$3:$H$3001,$D2677,原始经营数据!$K$3:$K$3001,$G2677)&gt;1,"基金整体·来源"&amp;原始经营数据!$A2678,"基金整体")))</f>
        <v/>
      </c>
      <c r="J2677" t="str">
        <f t="shared" si="618"/>
        <v/>
      </c>
      <c r="K2677" t="str">
        <f t="shared" si="619"/>
        <v/>
      </c>
      <c r="L2677" t="str">
        <f t="shared" si="620"/>
        <v/>
      </c>
      <c r="M2677">
        <f>IF($A2677="",0,IF(COUNTIF($L$2:$L2677,$L2677)=1,1,0))</f>
        <v>0</v>
      </c>
      <c r="N2677" t="str">
        <f t="shared" si="621"/>
        <v/>
      </c>
      <c r="O2677" t="str">
        <f t="shared" si="622"/>
        <v/>
      </c>
      <c r="P2677">
        <f>IF($A2677="",0,IF(COUNTIF($O$2:$O2677,$O2677)=1,1,0))</f>
        <v>0</v>
      </c>
      <c r="Q2677" t="str">
        <f>IF(AND($P2677=1,$A2677=经营数据!$B$3,$J2677=经营数据!$BA$5),COUNTIFS($P$2:$P$3000,1,$A$2:$A$3000,$A2677,$J$2:$J$3000,$J2677,$N$2:$N$3000,"&lt;"&amp;$N2677)+1,"")</f>
        <v/>
      </c>
      <c r="R2677" t="str">
        <f t="shared" si="623"/>
        <v/>
      </c>
      <c r="S2677">
        <f>IF($A2677="",0,IF(COUNTIF($R$2:$R2677,$R2677)=1,1,0))</f>
        <v>0</v>
      </c>
      <c r="T2677" t="str">
        <f t="shared" si="624"/>
        <v/>
      </c>
      <c r="U2677" t="str">
        <f>IF($A2677="","",IF($A2677=经营数据!$B$3,COUNTIFS($S$2:$S$3000,1,$A$2:$A$3000,$A2677,$T$2:$T$3000,"&lt;"&amp;$T2677)+1,""))</f>
        <v/>
      </c>
      <c r="V2677" t="str">
        <f t="shared" si="625"/>
        <v/>
      </c>
      <c r="W2677" t="str">
        <f t="shared" si="626"/>
        <v/>
      </c>
      <c r="X2677" t="str">
        <f t="shared" si="627"/>
        <v/>
      </c>
      <c r="Y2677" t="str">
        <f t="shared" si="628"/>
        <v/>
      </c>
      <c r="Z2677">
        <f>IF($A2677="",0,IF(AND($M2677=1,$A2677=经营数据!$B$3,$J2677=经营数据!$BA$5,OR($I2677=经营数据!$BA$4,COUNTIF(经营数据!$AA$9:$AA$38,$I2677)&gt;0)),1,0))</f>
        <v>0</v>
      </c>
      <c r="AA2677" t="str">
        <f t="shared" si="629"/>
        <v/>
      </c>
      <c r="AB2677" t="str">
        <f t="shared" si="630"/>
        <v/>
      </c>
      <c r="AC2677">
        <f>IF($A2677="",0,IF(COUNTIF($A$2:$A2677,$A2677)=1,1,0))</f>
        <v>0</v>
      </c>
      <c r="AD2677">
        <f t="shared" si="631"/>
        <v>29</v>
      </c>
      <c r="AE2677" t="str">
        <f t="shared" si="632"/>
        <v/>
      </c>
    </row>
    <row r="2678" spans="1:31" x14ac:dyDescent="0.4">
      <c r="A2678" t="str">
        <f>IF(原始经营数据!$D2679="","",原始经营数据!$D2679)</f>
        <v/>
      </c>
      <c r="B2678" t="str">
        <f>IF(原始经营数据!$D2679="","",T(原始经营数据!$E2679))</f>
        <v/>
      </c>
      <c r="C2678" t="str">
        <f>IF(原始经营数据!$D2679="","",原始经营数据!$F2679)</f>
        <v/>
      </c>
      <c r="D2678" t="str">
        <f>IF(原始经营数据!$D2679="","",原始经营数据!$H2679)</f>
        <v/>
      </c>
      <c r="E2678" t="str">
        <f>IF(原始经营数据!$D2679="","",原始经营数据!$I2679)</f>
        <v/>
      </c>
      <c r="F2678" t="str">
        <f>IF(原始经营数据!$D2679="","",T(原始经营数据!$J2679))</f>
        <v/>
      </c>
      <c r="G2678" t="str">
        <f>IF(原始经营数据!$D2679="","",T(原始经营数据!$K2679))</f>
        <v/>
      </c>
      <c r="H2678" t="str">
        <f>IF(原始经营数据!$D2679="","",原始经营数据!$G2679)</f>
        <v/>
      </c>
      <c r="I2678" t="str">
        <f>IF($A2678="","",IF($B2678&lt;&gt;"",$B2678,IF(COUNTIFS(原始经营数据!$D$3:$D$3001,$A2678,原始经营数据!$E$3:$E$3001,"",原始经营数据!$F$3:$F$3001,$C2678,原始经营数据!$H$3:$H$3001,$D2678,原始经营数据!$K$3:$K$3001,$G2678)&gt;1,"基金整体·来源"&amp;原始经营数据!$A2679,"基金整体")))</f>
        <v/>
      </c>
      <c r="J2678" t="str">
        <f t="shared" si="618"/>
        <v/>
      </c>
      <c r="K2678" t="str">
        <f t="shared" si="619"/>
        <v/>
      </c>
      <c r="L2678" t="str">
        <f t="shared" si="620"/>
        <v/>
      </c>
      <c r="M2678">
        <f>IF($A2678="",0,IF(COUNTIF($L$2:$L2678,$L2678)=1,1,0))</f>
        <v>0</v>
      </c>
      <c r="N2678" t="str">
        <f t="shared" si="621"/>
        <v/>
      </c>
      <c r="O2678" t="str">
        <f t="shared" si="622"/>
        <v/>
      </c>
      <c r="P2678">
        <f>IF($A2678="",0,IF(COUNTIF($O$2:$O2678,$O2678)=1,1,0))</f>
        <v>0</v>
      </c>
      <c r="Q2678" t="str">
        <f>IF(AND($P2678=1,$A2678=经营数据!$B$3,$J2678=经营数据!$BA$5),COUNTIFS($P$2:$P$3000,1,$A$2:$A$3000,$A2678,$J$2:$J$3000,$J2678,$N$2:$N$3000,"&lt;"&amp;$N2678)+1,"")</f>
        <v/>
      </c>
      <c r="R2678" t="str">
        <f t="shared" si="623"/>
        <v/>
      </c>
      <c r="S2678">
        <f>IF($A2678="",0,IF(COUNTIF($R$2:$R2678,$R2678)=1,1,0))</f>
        <v>0</v>
      </c>
      <c r="T2678" t="str">
        <f t="shared" si="624"/>
        <v/>
      </c>
      <c r="U2678" t="str">
        <f>IF($A2678="","",IF($A2678=经营数据!$B$3,COUNTIFS($S$2:$S$3000,1,$A$2:$A$3000,$A2678,$T$2:$T$3000,"&lt;"&amp;$T2678)+1,""))</f>
        <v/>
      </c>
      <c r="V2678" t="str">
        <f t="shared" si="625"/>
        <v/>
      </c>
      <c r="W2678" t="str">
        <f t="shared" si="626"/>
        <v/>
      </c>
      <c r="X2678" t="str">
        <f t="shared" si="627"/>
        <v/>
      </c>
      <c r="Y2678" t="str">
        <f t="shared" si="628"/>
        <v/>
      </c>
      <c r="Z2678">
        <f>IF($A2678="",0,IF(AND($M2678=1,$A2678=经营数据!$B$3,$J2678=经营数据!$BA$5,OR($I2678=经营数据!$BA$4,COUNTIF(经营数据!$AA$9:$AA$38,$I2678)&gt;0)),1,0))</f>
        <v>0</v>
      </c>
      <c r="AA2678" t="str">
        <f t="shared" si="629"/>
        <v/>
      </c>
      <c r="AB2678" t="str">
        <f t="shared" si="630"/>
        <v/>
      </c>
      <c r="AC2678">
        <f>IF($A2678="",0,IF(COUNTIF($A$2:$A2678,$A2678)=1,1,0))</f>
        <v>0</v>
      </c>
      <c r="AD2678">
        <f t="shared" si="631"/>
        <v>29</v>
      </c>
      <c r="AE2678" t="str">
        <f t="shared" si="632"/>
        <v/>
      </c>
    </row>
    <row r="2679" spans="1:31" x14ac:dyDescent="0.4">
      <c r="A2679" t="str">
        <f>IF(原始经营数据!$D2680="","",原始经营数据!$D2680)</f>
        <v/>
      </c>
      <c r="B2679" t="str">
        <f>IF(原始经营数据!$D2680="","",T(原始经营数据!$E2680))</f>
        <v/>
      </c>
      <c r="C2679" t="str">
        <f>IF(原始经营数据!$D2680="","",原始经营数据!$F2680)</f>
        <v/>
      </c>
      <c r="D2679" t="str">
        <f>IF(原始经营数据!$D2680="","",原始经营数据!$H2680)</f>
        <v/>
      </c>
      <c r="E2679" t="str">
        <f>IF(原始经营数据!$D2680="","",原始经营数据!$I2680)</f>
        <v/>
      </c>
      <c r="F2679" t="str">
        <f>IF(原始经营数据!$D2680="","",T(原始经营数据!$J2680))</f>
        <v/>
      </c>
      <c r="G2679" t="str">
        <f>IF(原始经营数据!$D2680="","",T(原始经营数据!$K2680))</f>
        <v/>
      </c>
      <c r="H2679" t="str">
        <f>IF(原始经营数据!$D2680="","",原始经营数据!$G2680)</f>
        <v/>
      </c>
      <c r="I2679" t="str">
        <f>IF($A2679="","",IF($B2679&lt;&gt;"",$B2679,IF(COUNTIFS(原始经营数据!$D$3:$D$3001,$A2679,原始经营数据!$E$3:$E$3001,"",原始经营数据!$F$3:$F$3001,$C2679,原始经营数据!$H$3:$H$3001,$D2679,原始经营数据!$K$3:$K$3001,$G2679)&gt;1,"基金整体·来源"&amp;原始经营数据!$A2680,"基金整体")))</f>
        <v/>
      </c>
      <c r="J2679" t="str">
        <f t="shared" si="618"/>
        <v/>
      </c>
      <c r="K2679" t="str">
        <f t="shared" si="619"/>
        <v/>
      </c>
      <c r="L2679" t="str">
        <f t="shared" si="620"/>
        <v/>
      </c>
      <c r="M2679">
        <f>IF($A2679="",0,IF(COUNTIF($L$2:$L2679,$L2679)=1,1,0))</f>
        <v>0</v>
      </c>
      <c r="N2679" t="str">
        <f t="shared" si="621"/>
        <v/>
      </c>
      <c r="O2679" t="str">
        <f t="shared" si="622"/>
        <v/>
      </c>
      <c r="P2679">
        <f>IF($A2679="",0,IF(COUNTIF($O$2:$O2679,$O2679)=1,1,0))</f>
        <v>0</v>
      </c>
      <c r="Q2679" t="str">
        <f>IF(AND($P2679=1,$A2679=经营数据!$B$3,$J2679=经营数据!$BA$5),COUNTIFS($P$2:$P$3000,1,$A$2:$A$3000,$A2679,$J$2:$J$3000,$J2679,$N$2:$N$3000,"&lt;"&amp;$N2679)+1,"")</f>
        <v/>
      </c>
      <c r="R2679" t="str">
        <f t="shared" si="623"/>
        <v/>
      </c>
      <c r="S2679">
        <f>IF($A2679="",0,IF(COUNTIF($R$2:$R2679,$R2679)=1,1,0))</f>
        <v>0</v>
      </c>
      <c r="T2679" t="str">
        <f t="shared" si="624"/>
        <v/>
      </c>
      <c r="U2679" t="str">
        <f>IF($A2679="","",IF($A2679=经营数据!$B$3,COUNTIFS($S$2:$S$3000,1,$A$2:$A$3000,$A2679,$T$2:$T$3000,"&lt;"&amp;$T2679)+1,""))</f>
        <v/>
      </c>
      <c r="V2679" t="str">
        <f t="shared" si="625"/>
        <v/>
      </c>
      <c r="W2679" t="str">
        <f t="shared" si="626"/>
        <v/>
      </c>
      <c r="X2679" t="str">
        <f t="shared" si="627"/>
        <v/>
      </c>
      <c r="Y2679" t="str">
        <f t="shared" si="628"/>
        <v/>
      </c>
      <c r="Z2679">
        <f>IF($A2679="",0,IF(AND($M2679=1,$A2679=经营数据!$B$3,$J2679=经营数据!$BA$5,OR($I2679=经营数据!$BA$4,COUNTIF(经营数据!$AA$9:$AA$38,$I2679)&gt;0)),1,0))</f>
        <v>0</v>
      </c>
      <c r="AA2679" t="str">
        <f t="shared" si="629"/>
        <v/>
      </c>
      <c r="AB2679" t="str">
        <f t="shared" si="630"/>
        <v/>
      </c>
      <c r="AC2679">
        <f>IF($A2679="",0,IF(COUNTIF($A$2:$A2679,$A2679)=1,1,0))</f>
        <v>0</v>
      </c>
      <c r="AD2679">
        <f t="shared" si="631"/>
        <v>29</v>
      </c>
      <c r="AE2679" t="str">
        <f t="shared" si="632"/>
        <v/>
      </c>
    </row>
    <row r="2680" spans="1:31" x14ac:dyDescent="0.4">
      <c r="A2680" t="str">
        <f>IF(原始经营数据!$D2681="","",原始经营数据!$D2681)</f>
        <v/>
      </c>
      <c r="B2680" t="str">
        <f>IF(原始经营数据!$D2681="","",T(原始经营数据!$E2681))</f>
        <v/>
      </c>
      <c r="C2680" t="str">
        <f>IF(原始经营数据!$D2681="","",原始经营数据!$F2681)</f>
        <v/>
      </c>
      <c r="D2680" t="str">
        <f>IF(原始经营数据!$D2681="","",原始经营数据!$H2681)</f>
        <v/>
      </c>
      <c r="E2680" t="str">
        <f>IF(原始经营数据!$D2681="","",原始经营数据!$I2681)</f>
        <v/>
      </c>
      <c r="F2680" t="str">
        <f>IF(原始经营数据!$D2681="","",T(原始经营数据!$J2681))</f>
        <v/>
      </c>
      <c r="G2680" t="str">
        <f>IF(原始经营数据!$D2681="","",T(原始经营数据!$K2681))</f>
        <v/>
      </c>
      <c r="H2680" t="str">
        <f>IF(原始经营数据!$D2681="","",原始经营数据!$G2681)</f>
        <v/>
      </c>
      <c r="I2680" t="str">
        <f>IF($A2680="","",IF($B2680&lt;&gt;"",$B2680,IF(COUNTIFS(原始经营数据!$D$3:$D$3001,$A2680,原始经营数据!$E$3:$E$3001,"",原始经营数据!$F$3:$F$3001,$C2680,原始经营数据!$H$3:$H$3001,$D2680,原始经营数据!$K$3:$K$3001,$G2680)&gt;1,"基金整体·来源"&amp;原始经营数据!$A2681,"基金整体")))</f>
        <v/>
      </c>
      <c r="J2680" t="str">
        <f t="shared" si="618"/>
        <v/>
      </c>
      <c r="K2680" t="str">
        <f t="shared" si="619"/>
        <v/>
      </c>
      <c r="L2680" t="str">
        <f t="shared" si="620"/>
        <v/>
      </c>
      <c r="M2680">
        <f>IF($A2680="",0,IF(COUNTIF($L$2:$L2680,$L2680)=1,1,0))</f>
        <v>0</v>
      </c>
      <c r="N2680" t="str">
        <f t="shared" si="621"/>
        <v/>
      </c>
      <c r="O2680" t="str">
        <f t="shared" si="622"/>
        <v/>
      </c>
      <c r="P2680">
        <f>IF($A2680="",0,IF(COUNTIF($O$2:$O2680,$O2680)=1,1,0))</f>
        <v>0</v>
      </c>
      <c r="Q2680" t="str">
        <f>IF(AND($P2680=1,$A2680=经营数据!$B$3,$J2680=经营数据!$BA$5),COUNTIFS($P$2:$P$3000,1,$A$2:$A$3000,$A2680,$J$2:$J$3000,$J2680,$N$2:$N$3000,"&lt;"&amp;$N2680)+1,"")</f>
        <v/>
      </c>
      <c r="R2680" t="str">
        <f t="shared" si="623"/>
        <v/>
      </c>
      <c r="S2680">
        <f>IF($A2680="",0,IF(COUNTIF($R$2:$R2680,$R2680)=1,1,0))</f>
        <v>0</v>
      </c>
      <c r="T2680" t="str">
        <f t="shared" si="624"/>
        <v/>
      </c>
      <c r="U2680" t="str">
        <f>IF($A2680="","",IF($A2680=经营数据!$B$3,COUNTIFS($S$2:$S$3000,1,$A$2:$A$3000,$A2680,$T$2:$T$3000,"&lt;"&amp;$T2680)+1,""))</f>
        <v/>
      </c>
      <c r="V2680" t="str">
        <f t="shared" si="625"/>
        <v/>
      </c>
      <c r="W2680" t="str">
        <f t="shared" si="626"/>
        <v/>
      </c>
      <c r="X2680" t="str">
        <f t="shared" si="627"/>
        <v/>
      </c>
      <c r="Y2680" t="str">
        <f t="shared" si="628"/>
        <v/>
      </c>
      <c r="Z2680">
        <f>IF($A2680="",0,IF(AND($M2680=1,$A2680=经营数据!$B$3,$J2680=经营数据!$BA$5,OR($I2680=经营数据!$BA$4,COUNTIF(经营数据!$AA$9:$AA$38,$I2680)&gt;0)),1,0))</f>
        <v>0</v>
      </c>
      <c r="AA2680" t="str">
        <f t="shared" si="629"/>
        <v/>
      </c>
      <c r="AB2680" t="str">
        <f t="shared" si="630"/>
        <v/>
      </c>
      <c r="AC2680">
        <f>IF($A2680="",0,IF(COUNTIF($A$2:$A2680,$A2680)=1,1,0))</f>
        <v>0</v>
      </c>
      <c r="AD2680">
        <f t="shared" si="631"/>
        <v>29</v>
      </c>
      <c r="AE2680" t="str">
        <f t="shared" si="632"/>
        <v/>
      </c>
    </row>
    <row r="2681" spans="1:31" x14ac:dyDescent="0.4">
      <c r="A2681" t="str">
        <f>IF(原始经营数据!$D2682="","",原始经营数据!$D2682)</f>
        <v/>
      </c>
      <c r="B2681" t="str">
        <f>IF(原始经营数据!$D2682="","",T(原始经营数据!$E2682))</f>
        <v/>
      </c>
      <c r="C2681" t="str">
        <f>IF(原始经营数据!$D2682="","",原始经营数据!$F2682)</f>
        <v/>
      </c>
      <c r="D2681" t="str">
        <f>IF(原始经营数据!$D2682="","",原始经营数据!$H2682)</f>
        <v/>
      </c>
      <c r="E2681" t="str">
        <f>IF(原始经营数据!$D2682="","",原始经营数据!$I2682)</f>
        <v/>
      </c>
      <c r="F2681" t="str">
        <f>IF(原始经营数据!$D2682="","",T(原始经营数据!$J2682))</f>
        <v/>
      </c>
      <c r="G2681" t="str">
        <f>IF(原始经营数据!$D2682="","",T(原始经营数据!$K2682))</f>
        <v/>
      </c>
      <c r="H2681" t="str">
        <f>IF(原始经营数据!$D2682="","",原始经营数据!$G2682)</f>
        <v/>
      </c>
      <c r="I2681" t="str">
        <f>IF($A2681="","",IF($B2681&lt;&gt;"",$B2681,IF(COUNTIFS(原始经营数据!$D$3:$D$3001,$A2681,原始经营数据!$E$3:$E$3001,"",原始经营数据!$F$3:$F$3001,$C2681,原始经营数据!$H$3:$H$3001,$D2681,原始经营数据!$K$3:$K$3001,$G2681)&gt;1,"基金整体·来源"&amp;原始经营数据!$A2682,"基金整体")))</f>
        <v/>
      </c>
      <c r="J2681" t="str">
        <f t="shared" si="618"/>
        <v/>
      </c>
      <c r="K2681" t="str">
        <f t="shared" si="619"/>
        <v/>
      </c>
      <c r="L2681" t="str">
        <f t="shared" si="620"/>
        <v/>
      </c>
      <c r="M2681">
        <f>IF($A2681="",0,IF(COUNTIF($L$2:$L2681,$L2681)=1,1,0))</f>
        <v>0</v>
      </c>
      <c r="N2681" t="str">
        <f t="shared" si="621"/>
        <v/>
      </c>
      <c r="O2681" t="str">
        <f t="shared" si="622"/>
        <v/>
      </c>
      <c r="P2681">
        <f>IF($A2681="",0,IF(COUNTIF($O$2:$O2681,$O2681)=1,1,0))</f>
        <v>0</v>
      </c>
      <c r="Q2681" t="str">
        <f>IF(AND($P2681=1,$A2681=经营数据!$B$3,$J2681=经营数据!$BA$5),COUNTIFS($P$2:$P$3000,1,$A$2:$A$3000,$A2681,$J$2:$J$3000,$J2681,$N$2:$N$3000,"&lt;"&amp;$N2681)+1,"")</f>
        <v/>
      </c>
      <c r="R2681" t="str">
        <f t="shared" si="623"/>
        <v/>
      </c>
      <c r="S2681">
        <f>IF($A2681="",0,IF(COUNTIF($R$2:$R2681,$R2681)=1,1,0))</f>
        <v>0</v>
      </c>
      <c r="T2681" t="str">
        <f t="shared" si="624"/>
        <v/>
      </c>
      <c r="U2681" t="str">
        <f>IF($A2681="","",IF($A2681=经营数据!$B$3,COUNTIFS($S$2:$S$3000,1,$A$2:$A$3000,$A2681,$T$2:$T$3000,"&lt;"&amp;$T2681)+1,""))</f>
        <v/>
      </c>
      <c r="V2681" t="str">
        <f t="shared" si="625"/>
        <v/>
      </c>
      <c r="W2681" t="str">
        <f t="shared" si="626"/>
        <v/>
      </c>
      <c r="X2681" t="str">
        <f t="shared" si="627"/>
        <v/>
      </c>
      <c r="Y2681" t="str">
        <f t="shared" si="628"/>
        <v/>
      </c>
      <c r="Z2681">
        <f>IF($A2681="",0,IF(AND($M2681=1,$A2681=经营数据!$B$3,$J2681=经营数据!$BA$5,OR($I2681=经营数据!$BA$4,COUNTIF(经营数据!$AA$9:$AA$38,$I2681)&gt;0)),1,0))</f>
        <v>0</v>
      </c>
      <c r="AA2681" t="str">
        <f t="shared" si="629"/>
        <v/>
      </c>
      <c r="AB2681" t="str">
        <f t="shared" si="630"/>
        <v/>
      </c>
      <c r="AC2681">
        <f>IF($A2681="",0,IF(COUNTIF($A$2:$A2681,$A2681)=1,1,0))</f>
        <v>0</v>
      </c>
      <c r="AD2681">
        <f t="shared" si="631"/>
        <v>29</v>
      </c>
      <c r="AE2681" t="str">
        <f t="shared" si="632"/>
        <v/>
      </c>
    </row>
    <row r="2682" spans="1:31" x14ac:dyDescent="0.4">
      <c r="A2682" t="str">
        <f>IF(原始经营数据!$D2683="","",原始经营数据!$D2683)</f>
        <v/>
      </c>
      <c r="B2682" t="str">
        <f>IF(原始经营数据!$D2683="","",T(原始经营数据!$E2683))</f>
        <v/>
      </c>
      <c r="C2682" t="str">
        <f>IF(原始经营数据!$D2683="","",原始经营数据!$F2683)</f>
        <v/>
      </c>
      <c r="D2682" t="str">
        <f>IF(原始经营数据!$D2683="","",原始经营数据!$H2683)</f>
        <v/>
      </c>
      <c r="E2682" t="str">
        <f>IF(原始经营数据!$D2683="","",原始经营数据!$I2683)</f>
        <v/>
      </c>
      <c r="F2682" t="str">
        <f>IF(原始经营数据!$D2683="","",T(原始经营数据!$J2683))</f>
        <v/>
      </c>
      <c r="G2682" t="str">
        <f>IF(原始经营数据!$D2683="","",T(原始经营数据!$K2683))</f>
        <v/>
      </c>
      <c r="H2682" t="str">
        <f>IF(原始经营数据!$D2683="","",原始经营数据!$G2683)</f>
        <v/>
      </c>
      <c r="I2682" t="str">
        <f>IF($A2682="","",IF($B2682&lt;&gt;"",$B2682,IF(COUNTIFS(原始经营数据!$D$3:$D$3001,$A2682,原始经营数据!$E$3:$E$3001,"",原始经营数据!$F$3:$F$3001,$C2682,原始经营数据!$H$3:$H$3001,$D2682,原始经营数据!$K$3:$K$3001,$G2682)&gt;1,"基金整体·来源"&amp;原始经营数据!$A2683,"基金整体")))</f>
        <v/>
      </c>
      <c r="J2682" t="str">
        <f t="shared" si="618"/>
        <v/>
      </c>
      <c r="K2682" t="str">
        <f t="shared" si="619"/>
        <v/>
      </c>
      <c r="L2682" t="str">
        <f t="shared" si="620"/>
        <v/>
      </c>
      <c r="M2682">
        <f>IF($A2682="",0,IF(COUNTIF($L$2:$L2682,$L2682)=1,1,0))</f>
        <v>0</v>
      </c>
      <c r="N2682" t="str">
        <f t="shared" si="621"/>
        <v/>
      </c>
      <c r="O2682" t="str">
        <f t="shared" si="622"/>
        <v/>
      </c>
      <c r="P2682">
        <f>IF($A2682="",0,IF(COUNTIF($O$2:$O2682,$O2682)=1,1,0))</f>
        <v>0</v>
      </c>
      <c r="Q2682" t="str">
        <f>IF(AND($P2682=1,$A2682=经营数据!$B$3,$J2682=经营数据!$BA$5),COUNTIFS($P$2:$P$3000,1,$A$2:$A$3000,$A2682,$J$2:$J$3000,$J2682,$N$2:$N$3000,"&lt;"&amp;$N2682)+1,"")</f>
        <v/>
      </c>
      <c r="R2682" t="str">
        <f t="shared" si="623"/>
        <v/>
      </c>
      <c r="S2682">
        <f>IF($A2682="",0,IF(COUNTIF($R$2:$R2682,$R2682)=1,1,0))</f>
        <v>0</v>
      </c>
      <c r="T2682" t="str">
        <f t="shared" si="624"/>
        <v/>
      </c>
      <c r="U2682" t="str">
        <f>IF($A2682="","",IF($A2682=经营数据!$B$3,COUNTIFS($S$2:$S$3000,1,$A$2:$A$3000,$A2682,$T$2:$T$3000,"&lt;"&amp;$T2682)+1,""))</f>
        <v/>
      </c>
      <c r="V2682" t="str">
        <f t="shared" si="625"/>
        <v/>
      </c>
      <c r="W2682" t="str">
        <f t="shared" si="626"/>
        <v/>
      </c>
      <c r="X2682" t="str">
        <f t="shared" si="627"/>
        <v/>
      </c>
      <c r="Y2682" t="str">
        <f t="shared" si="628"/>
        <v/>
      </c>
      <c r="Z2682">
        <f>IF($A2682="",0,IF(AND($M2682=1,$A2682=经营数据!$B$3,$J2682=经营数据!$BA$5,OR($I2682=经营数据!$BA$4,COUNTIF(经营数据!$AA$9:$AA$38,$I2682)&gt;0)),1,0))</f>
        <v>0</v>
      </c>
      <c r="AA2682" t="str">
        <f t="shared" si="629"/>
        <v/>
      </c>
      <c r="AB2682" t="str">
        <f t="shared" si="630"/>
        <v/>
      </c>
      <c r="AC2682">
        <f>IF($A2682="",0,IF(COUNTIF($A$2:$A2682,$A2682)=1,1,0))</f>
        <v>0</v>
      </c>
      <c r="AD2682">
        <f t="shared" si="631"/>
        <v>29</v>
      </c>
      <c r="AE2682" t="str">
        <f t="shared" si="632"/>
        <v/>
      </c>
    </row>
    <row r="2683" spans="1:31" x14ac:dyDescent="0.4">
      <c r="A2683" t="str">
        <f>IF(原始经营数据!$D2684="","",原始经营数据!$D2684)</f>
        <v/>
      </c>
      <c r="B2683" t="str">
        <f>IF(原始经营数据!$D2684="","",T(原始经营数据!$E2684))</f>
        <v/>
      </c>
      <c r="C2683" t="str">
        <f>IF(原始经营数据!$D2684="","",原始经营数据!$F2684)</f>
        <v/>
      </c>
      <c r="D2683" t="str">
        <f>IF(原始经营数据!$D2684="","",原始经营数据!$H2684)</f>
        <v/>
      </c>
      <c r="E2683" t="str">
        <f>IF(原始经营数据!$D2684="","",原始经营数据!$I2684)</f>
        <v/>
      </c>
      <c r="F2683" t="str">
        <f>IF(原始经营数据!$D2684="","",T(原始经营数据!$J2684))</f>
        <v/>
      </c>
      <c r="G2683" t="str">
        <f>IF(原始经营数据!$D2684="","",T(原始经营数据!$K2684))</f>
        <v/>
      </c>
      <c r="H2683" t="str">
        <f>IF(原始经营数据!$D2684="","",原始经营数据!$G2684)</f>
        <v/>
      </c>
      <c r="I2683" t="str">
        <f>IF($A2683="","",IF($B2683&lt;&gt;"",$B2683,IF(COUNTIFS(原始经营数据!$D$3:$D$3001,$A2683,原始经营数据!$E$3:$E$3001,"",原始经营数据!$F$3:$F$3001,$C2683,原始经营数据!$H$3:$H$3001,$D2683,原始经营数据!$K$3:$K$3001,$G2683)&gt;1,"基金整体·来源"&amp;原始经营数据!$A2684,"基金整体")))</f>
        <v/>
      </c>
      <c r="J2683" t="str">
        <f t="shared" si="618"/>
        <v/>
      </c>
      <c r="K2683" t="str">
        <f t="shared" si="619"/>
        <v/>
      </c>
      <c r="L2683" t="str">
        <f t="shared" si="620"/>
        <v/>
      </c>
      <c r="M2683">
        <f>IF($A2683="",0,IF(COUNTIF($L$2:$L2683,$L2683)=1,1,0))</f>
        <v>0</v>
      </c>
      <c r="N2683" t="str">
        <f t="shared" si="621"/>
        <v/>
      </c>
      <c r="O2683" t="str">
        <f t="shared" si="622"/>
        <v/>
      </c>
      <c r="P2683">
        <f>IF($A2683="",0,IF(COUNTIF($O$2:$O2683,$O2683)=1,1,0))</f>
        <v>0</v>
      </c>
      <c r="Q2683" t="str">
        <f>IF(AND($P2683=1,$A2683=经营数据!$B$3,$J2683=经营数据!$BA$5),COUNTIFS($P$2:$P$3000,1,$A$2:$A$3000,$A2683,$J$2:$J$3000,$J2683,$N$2:$N$3000,"&lt;"&amp;$N2683)+1,"")</f>
        <v/>
      </c>
      <c r="R2683" t="str">
        <f t="shared" si="623"/>
        <v/>
      </c>
      <c r="S2683">
        <f>IF($A2683="",0,IF(COUNTIF($R$2:$R2683,$R2683)=1,1,0))</f>
        <v>0</v>
      </c>
      <c r="T2683" t="str">
        <f t="shared" si="624"/>
        <v/>
      </c>
      <c r="U2683" t="str">
        <f>IF($A2683="","",IF($A2683=经营数据!$B$3,COUNTIFS($S$2:$S$3000,1,$A$2:$A$3000,$A2683,$T$2:$T$3000,"&lt;"&amp;$T2683)+1,""))</f>
        <v/>
      </c>
      <c r="V2683" t="str">
        <f t="shared" si="625"/>
        <v/>
      </c>
      <c r="W2683" t="str">
        <f t="shared" si="626"/>
        <v/>
      </c>
      <c r="X2683" t="str">
        <f t="shared" si="627"/>
        <v/>
      </c>
      <c r="Y2683" t="str">
        <f t="shared" si="628"/>
        <v/>
      </c>
      <c r="Z2683">
        <f>IF($A2683="",0,IF(AND($M2683=1,$A2683=经营数据!$B$3,$J2683=经营数据!$BA$5,OR($I2683=经营数据!$BA$4,COUNTIF(经营数据!$AA$9:$AA$38,$I2683)&gt;0)),1,0))</f>
        <v>0</v>
      </c>
      <c r="AA2683" t="str">
        <f t="shared" si="629"/>
        <v/>
      </c>
      <c r="AB2683" t="str">
        <f t="shared" si="630"/>
        <v/>
      </c>
      <c r="AC2683">
        <f>IF($A2683="",0,IF(COUNTIF($A$2:$A2683,$A2683)=1,1,0))</f>
        <v>0</v>
      </c>
      <c r="AD2683">
        <f t="shared" si="631"/>
        <v>29</v>
      </c>
      <c r="AE2683" t="str">
        <f t="shared" si="632"/>
        <v/>
      </c>
    </row>
    <row r="2684" spans="1:31" x14ac:dyDescent="0.4">
      <c r="A2684" t="str">
        <f>IF(原始经营数据!$D2685="","",原始经营数据!$D2685)</f>
        <v/>
      </c>
      <c r="B2684" t="str">
        <f>IF(原始经营数据!$D2685="","",T(原始经营数据!$E2685))</f>
        <v/>
      </c>
      <c r="C2684" t="str">
        <f>IF(原始经营数据!$D2685="","",原始经营数据!$F2685)</f>
        <v/>
      </c>
      <c r="D2684" t="str">
        <f>IF(原始经营数据!$D2685="","",原始经营数据!$H2685)</f>
        <v/>
      </c>
      <c r="E2684" t="str">
        <f>IF(原始经营数据!$D2685="","",原始经营数据!$I2685)</f>
        <v/>
      </c>
      <c r="F2684" t="str">
        <f>IF(原始经营数据!$D2685="","",T(原始经营数据!$J2685))</f>
        <v/>
      </c>
      <c r="G2684" t="str">
        <f>IF(原始经营数据!$D2685="","",T(原始经营数据!$K2685))</f>
        <v/>
      </c>
      <c r="H2684" t="str">
        <f>IF(原始经营数据!$D2685="","",原始经营数据!$G2685)</f>
        <v/>
      </c>
      <c r="I2684" t="str">
        <f>IF($A2684="","",IF($B2684&lt;&gt;"",$B2684,IF(COUNTIFS(原始经营数据!$D$3:$D$3001,$A2684,原始经营数据!$E$3:$E$3001,"",原始经营数据!$F$3:$F$3001,$C2684,原始经营数据!$H$3:$H$3001,$D2684,原始经营数据!$K$3:$K$3001,$G2684)&gt;1,"基金整体·来源"&amp;原始经营数据!$A2685,"基金整体")))</f>
        <v/>
      </c>
      <c r="J2684" t="str">
        <f t="shared" si="618"/>
        <v/>
      </c>
      <c r="K2684" t="str">
        <f t="shared" si="619"/>
        <v/>
      </c>
      <c r="L2684" t="str">
        <f t="shared" si="620"/>
        <v/>
      </c>
      <c r="M2684">
        <f>IF($A2684="",0,IF(COUNTIF($L$2:$L2684,$L2684)=1,1,0))</f>
        <v>0</v>
      </c>
      <c r="N2684" t="str">
        <f t="shared" si="621"/>
        <v/>
      </c>
      <c r="O2684" t="str">
        <f t="shared" si="622"/>
        <v/>
      </c>
      <c r="P2684">
        <f>IF($A2684="",0,IF(COUNTIF($O$2:$O2684,$O2684)=1,1,0))</f>
        <v>0</v>
      </c>
      <c r="Q2684" t="str">
        <f>IF(AND($P2684=1,$A2684=经营数据!$B$3,$J2684=经营数据!$BA$5),COUNTIFS($P$2:$P$3000,1,$A$2:$A$3000,$A2684,$J$2:$J$3000,$J2684,$N$2:$N$3000,"&lt;"&amp;$N2684)+1,"")</f>
        <v/>
      </c>
      <c r="R2684" t="str">
        <f t="shared" si="623"/>
        <v/>
      </c>
      <c r="S2684">
        <f>IF($A2684="",0,IF(COUNTIF($R$2:$R2684,$R2684)=1,1,0))</f>
        <v>0</v>
      </c>
      <c r="T2684" t="str">
        <f t="shared" si="624"/>
        <v/>
      </c>
      <c r="U2684" t="str">
        <f>IF($A2684="","",IF($A2684=经营数据!$B$3,COUNTIFS($S$2:$S$3000,1,$A$2:$A$3000,$A2684,$T$2:$T$3000,"&lt;"&amp;$T2684)+1,""))</f>
        <v/>
      </c>
      <c r="V2684" t="str">
        <f t="shared" si="625"/>
        <v/>
      </c>
      <c r="W2684" t="str">
        <f t="shared" si="626"/>
        <v/>
      </c>
      <c r="X2684" t="str">
        <f t="shared" si="627"/>
        <v/>
      </c>
      <c r="Y2684" t="str">
        <f t="shared" si="628"/>
        <v/>
      </c>
      <c r="Z2684">
        <f>IF($A2684="",0,IF(AND($M2684=1,$A2684=经营数据!$B$3,$J2684=经营数据!$BA$5,OR($I2684=经营数据!$BA$4,COUNTIF(经营数据!$AA$9:$AA$38,$I2684)&gt;0)),1,0))</f>
        <v>0</v>
      </c>
      <c r="AA2684" t="str">
        <f t="shared" si="629"/>
        <v/>
      </c>
      <c r="AB2684" t="str">
        <f t="shared" si="630"/>
        <v/>
      </c>
      <c r="AC2684">
        <f>IF($A2684="",0,IF(COUNTIF($A$2:$A2684,$A2684)=1,1,0))</f>
        <v>0</v>
      </c>
      <c r="AD2684">
        <f t="shared" si="631"/>
        <v>29</v>
      </c>
      <c r="AE2684" t="str">
        <f t="shared" si="632"/>
        <v/>
      </c>
    </row>
    <row r="2685" spans="1:31" x14ac:dyDescent="0.4">
      <c r="A2685" t="str">
        <f>IF(原始经营数据!$D2686="","",原始经营数据!$D2686)</f>
        <v/>
      </c>
      <c r="B2685" t="str">
        <f>IF(原始经营数据!$D2686="","",T(原始经营数据!$E2686))</f>
        <v/>
      </c>
      <c r="C2685" t="str">
        <f>IF(原始经营数据!$D2686="","",原始经营数据!$F2686)</f>
        <v/>
      </c>
      <c r="D2685" t="str">
        <f>IF(原始经营数据!$D2686="","",原始经营数据!$H2686)</f>
        <v/>
      </c>
      <c r="E2685" t="str">
        <f>IF(原始经营数据!$D2686="","",原始经营数据!$I2686)</f>
        <v/>
      </c>
      <c r="F2685" t="str">
        <f>IF(原始经营数据!$D2686="","",T(原始经营数据!$J2686))</f>
        <v/>
      </c>
      <c r="G2685" t="str">
        <f>IF(原始经营数据!$D2686="","",T(原始经营数据!$K2686))</f>
        <v/>
      </c>
      <c r="H2685" t="str">
        <f>IF(原始经营数据!$D2686="","",原始经营数据!$G2686)</f>
        <v/>
      </c>
      <c r="I2685" t="str">
        <f>IF($A2685="","",IF($B2685&lt;&gt;"",$B2685,IF(COUNTIFS(原始经营数据!$D$3:$D$3001,$A2685,原始经营数据!$E$3:$E$3001,"",原始经营数据!$F$3:$F$3001,$C2685,原始经营数据!$H$3:$H$3001,$D2685,原始经营数据!$K$3:$K$3001,$G2685)&gt;1,"基金整体·来源"&amp;原始经营数据!$A2686,"基金整体")))</f>
        <v/>
      </c>
      <c r="J2685" t="str">
        <f t="shared" si="618"/>
        <v/>
      </c>
      <c r="K2685" t="str">
        <f t="shared" si="619"/>
        <v/>
      </c>
      <c r="L2685" t="str">
        <f t="shared" si="620"/>
        <v/>
      </c>
      <c r="M2685">
        <f>IF($A2685="",0,IF(COUNTIF($L$2:$L2685,$L2685)=1,1,0))</f>
        <v>0</v>
      </c>
      <c r="N2685" t="str">
        <f t="shared" si="621"/>
        <v/>
      </c>
      <c r="O2685" t="str">
        <f t="shared" si="622"/>
        <v/>
      </c>
      <c r="P2685">
        <f>IF($A2685="",0,IF(COUNTIF($O$2:$O2685,$O2685)=1,1,0))</f>
        <v>0</v>
      </c>
      <c r="Q2685" t="str">
        <f>IF(AND($P2685=1,$A2685=经营数据!$B$3,$J2685=经营数据!$BA$5),COUNTIFS($P$2:$P$3000,1,$A$2:$A$3000,$A2685,$J$2:$J$3000,$J2685,$N$2:$N$3000,"&lt;"&amp;$N2685)+1,"")</f>
        <v/>
      </c>
      <c r="R2685" t="str">
        <f t="shared" si="623"/>
        <v/>
      </c>
      <c r="S2685">
        <f>IF($A2685="",0,IF(COUNTIF($R$2:$R2685,$R2685)=1,1,0))</f>
        <v>0</v>
      </c>
      <c r="T2685" t="str">
        <f t="shared" si="624"/>
        <v/>
      </c>
      <c r="U2685" t="str">
        <f>IF($A2685="","",IF($A2685=经营数据!$B$3,COUNTIFS($S$2:$S$3000,1,$A$2:$A$3000,$A2685,$T$2:$T$3000,"&lt;"&amp;$T2685)+1,""))</f>
        <v/>
      </c>
      <c r="V2685" t="str">
        <f t="shared" si="625"/>
        <v/>
      </c>
      <c r="W2685" t="str">
        <f t="shared" si="626"/>
        <v/>
      </c>
      <c r="X2685" t="str">
        <f t="shared" si="627"/>
        <v/>
      </c>
      <c r="Y2685" t="str">
        <f t="shared" si="628"/>
        <v/>
      </c>
      <c r="Z2685">
        <f>IF($A2685="",0,IF(AND($M2685=1,$A2685=经营数据!$B$3,$J2685=经营数据!$BA$5,OR($I2685=经营数据!$BA$4,COUNTIF(经营数据!$AA$9:$AA$38,$I2685)&gt;0)),1,0))</f>
        <v>0</v>
      </c>
      <c r="AA2685" t="str">
        <f t="shared" si="629"/>
        <v/>
      </c>
      <c r="AB2685" t="str">
        <f t="shared" si="630"/>
        <v/>
      </c>
      <c r="AC2685">
        <f>IF($A2685="",0,IF(COUNTIF($A$2:$A2685,$A2685)=1,1,0))</f>
        <v>0</v>
      </c>
      <c r="AD2685">
        <f t="shared" si="631"/>
        <v>29</v>
      </c>
      <c r="AE2685" t="str">
        <f t="shared" si="632"/>
        <v/>
      </c>
    </row>
    <row r="2686" spans="1:31" x14ac:dyDescent="0.4">
      <c r="A2686" t="str">
        <f>IF(原始经营数据!$D2687="","",原始经营数据!$D2687)</f>
        <v/>
      </c>
      <c r="B2686" t="str">
        <f>IF(原始经营数据!$D2687="","",T(原始经营数据!$E2687))</f>
        <v/>
      </c>
      <c r="C2686" t="str">
        <f>IF(原始经营数据!$D2687="","",原始经营数据!$F2687)</f>
        <v/>
      </c>
      <c r="D2686" t="str">
        <f>IF(原始经营数据!$D2687="","",原始经营数据!$H2687)</f>
        <v/>
      </c>
      <c r="E2686" t="str">
        <f>IF(原始经营数据!$D2687="","",原始经营数据!$I2687)</f>
        <v/>
      </c>
      <c r="F2686" t="str">
        <f>IF(原始经营数据!$D2687="","",T(原始经营数据!$J2687))</f>
        <v/>
      </c>
      <c r="G2686" t="str">
        <f>IF(原始经营数据!$D2687="","",T(原始经营数据!$K2687))</f>
        <v/>
      </c>
      <c r="H2686" t="str">
        <f>IF(原始经营数据!$D2687="","",原始经营数据!$G2687)</f>
        <v/>
      </c>
      <c r="I2686" t="str">
        <f>IF($A2686="","",IF($B2686&lt;&gt;"",$B2686,IF(COUNTIFS(原始经营数据!$D$3:$D$3001,$A2686,原始经营数据!$E$3:$E$3001,"",原始经营数据!$F$3:$F$3001,$C2686,原始经营数据!$H$3:$H$3001,$D2686,原始经营数据!$K$3:$K$3001,$G2686)&gt;1,"基金整体·来源"&amp;原始经营数据!$A2687,"基金整体")))</f>
        <v/>
      </c>
      <c r="J2686" t="str">
        <f t="shared" si="618"/>
        <v/>
      </c>
      <c r="K2686" t="str">
        <f t="shared" si="619"/>
        <v/>
      </c>
      <c r="L2686" t="str">
        <f t="shared" si="620"/>
        <v/>
      </c>
      <c r="M2686">
        <f>IF($A2686="",0,IF(COUNTIF($L$2:$L2686,$L2686)=1,1,0))</f>
        <v>0</v>
      </c>
      <c r="N2686" t="str">
        <f t="shared" si="621"/>
        <v/>
      </c>
      <c r="O2686" t="str">
        <f t="shared" si="622"/>
        <v/>
      </c>
      <c r="P2686">
        <f>IF($A2686="",0,IF(COUNTIF($O$2:$O2686,$O2686)=1,1,0))</f>
        <v>0</v>
      </c>
      <c r="Q2686" t="str">
        <f>IF(AND($P2686=1,$A2686=经营数据!$B$3,$J2686=经营数据!$BA$5),COUNTIFS($P$2:$P$3000,1,$A$2:$A$3000,$A2686,$J$2:$J$3000,$J2686,$N$2:$N$3000,"&lt;"&amp;$N2686)+1,"")</f>
        <v/>
      </c>
      <c r="R2686" t="str">
        <f t="shared" si="623"/>
        <v/>
      </c>
      <c r="S2686">
        <f>IF($A2686="",0,IF(COUNTIF($R$2:$R2686,$R2686)=1,1,0))</f>
        <v>0</v>
      </c>
      <c r="T2686" t="str">
        <f t="shared" si="624"/>
        <v/>
      </c>
      <c r="U2686" t="str">
        <f>IF($A2686="","",IF($A2686=经营数据!$B$3,COUNTIFS($S$2:$S$3000,1,$A$2:$A$3000,$A2686,$T$2:$T$3000,"&lt;"&amp;$T2686)+1,""))</f>
        <v/>
      </c>
      <c r="V2686" t="str">
        <f t="shared" si="625"/>
        <v/>
      </c>
      <c r="W2686" t="str">
        <f t="shared" si="626"/>
        <v/>
      </c>
      <c r="X2686" t="str">
        <f t="shared" si="627"/>
        <v/>
      </c>
      <c r="Y2686" t="str">
        <f t="shared" si="628"/>
        <v/>
      </c>
      <c r="Z2686">
        <f>IF($A2686="",0,IF(AND($M2686=1,$A2686=经营数据!$B$3,$J2686=经营数据!$BA$5,OR($I2686=经营数据!$BA$4,COUNTIF(经营数据!$AA$9:$AA$38,$I2686)&gt;0)),1,0))</f>
        <v>0</v>
      </c>
      <c r="AA2686" t="str">
        <f t="shared" si="629"/>
        <v/>
      </c>
      <c r="AB2686" t="str">
        <f t="shared" si="630"/>
        <v/>
      </c>
      <c r="AC2686">
        <f>IF($A2686="",0,IF(COUNTIF($A$2:$A2686,$A2686)=1,1,0))</f>
        <v>0</v>
      </c>
      <c r="AD2686">
        <f t="shared" si="631"/>
        <v>29</v>
      </c>
      <c r="AE2686" t="str">
        <f t="shared" si="632"/>
        <v/>
      </c>
    </row>
    <row r="2687" spans="1:31" x14ac:dyDescent="0.4">
      <c r="A2687" t="str">
        <f>IF(原始经营数据!$D2688="","",原始经营数据!$D2688)</f>
        <v/>
      </c>
      <c r="B2687" t="str">
        <f>IF(原始经营数据!$D2688="","",T(原始经营数据!$E2688))</f>
        <v/>
      </c>
      <c r="C2687" t="str">
        <f>IF(原始经营数据!$D2688="","",原始经营数据!$F2688)</f>
        <v/>
      </c>
      <c r="D2687" t="str">
        <f>IF(原始经营数据!$D2688="","",原始经营数据!$H2688)</f>
        <v/>
      </c>
      <c r="E2687" t="str">
        <f>IF(原始经营数据!$D2688="","",原始经营数据!$I2688)</f>
        <v/>
      </c>
      <c r="F2687" t="str">
        <f>IF(原始经营数据!$D2688="","",T(原始经营数据!$J2688))</f>
        <v/>
      </c>
      <c r="G2687" t="str">
        <f>IF(原始经营数据!$D2688="","",T(原始经营数据!$K2688))</f>
        <v/>
      </c>
      <c r="H2687" t="str">
        <f>IF(原始经营数据!$D2688="","",原始经营数据!$G2688)</f>
        <v/>
      </c>
      <c r="I2687" t="str">
        <f>IF($A2687="","",IF($B2687&lt;&gt;"",$B2687,IF(COUNTIFS(原始经营数据!$D$3:$D$3001,$A2687,原始经营数据!$E$3:$E$3001,"",原始经营数据!$F$3:$F$3001,$C2687,原始经营数据!$H$3:$H$3001,$D2687,原始经营数据!$K$3:$K$3001,$G2687)&gt;1,"基金整体·来源"&amp;原始经营数据!$A2688,"基金整体")))</f>
        <v/>
      </c>
      <c r="J2687" t="str">
        <f t="shared" si="618"/>
        <v/>
      </c>
      <c r="K2687" t="str">
        <f t="shared" si="619"/>
        <v/>
      </c>
      <c r="L2687" t="str">
        <f t="shared" si="620"/>
        <v/>
      </c>
      <c r="M2687">
        <f>IF($A2687="",0,IF(COUNTIF($L$2:$L2687,$L2687)=1,1,0))</f>
        <v>0</v>
      </c>
      <c r="N2687" t="str">
        <f t="shared" si="621"/>
        <v/>
      </c>
      <c r="O2687" t="str">
        <f t="shared" si="622"/>
        <v/>
      </c>
      <c r="P2687">
        <f>IF($A2687="",0,IF(COUNTIF($O$2:$O2687,$O2687)=1,1,0))</f>
        <v>0</v>
      </c>
      <c r="Q2687" t="str">
        <f>IF(AND($P2687=1,$A2687=经营数据!$B$3,$J2687=经营数据!$BA$5),COUNTIFS($P$2:$P$3000,1,$A$2:$A$3000,$A2687,$J$2:$J$3000,$J2687,$N$2:$N$3000,"&lt;"&amp;$N2687)+1,"")</f>
        <v/>
      </c>
      <c r="R2687" t="str">
        <f t="shared" si="623"/>
        <v/>
      </c>
      <c r="S2687">
        <f>IF($A2687="",0,IF(COUNTIF($R$2:$R2687,$R2687)=1,1,0))</f>
        <v>0</v>
      </c>
      <c r="T2687" t="str">
        <f t="shared" si="624"/>
        <v/>
      </c>
      <c r="U2687" t="str">
        <f>IF($A2687="","",IF($A2687=经营数据!$B$3,COUNTIFS($S$2:$S$3000,1,$A$2:$A$3000,$A2687,$T$2:$T$3000,"&lt;"&amp;$T2687)+1,""))</f>
        <v/>
      </c>
      <c r="V2687" t="str">
        <f t="shared" si="625"/>
        <v/>
      </c>
      <c r="W2687" t="str">
        <f t="shared" si="626"/>
        <v/>
      </c>
      <c r="X2687" t="str">
        <f t="shared" si="627"/>
        <v/>
      </c>
      <c r="Y2687" t="str">
        <f t="shared" si="628"/>
        <v/>
      </c>
      <c r="Z2687">
        <f>IF($A2687="",0,IF(AND($M2687=1,$A2687=经营数据!$B$3,$J2687=经营数据!$BA$5,OR($I2687=经营数据!$BA$4,COUNTIF(经营数据!$AA$9:$AA$38,$I2687)&gt;0)),1,0))</f>
        <v>0</v>
      </c>
      <c r="AA2687" t="str">
        <f t="shared" si="629"/>
        <v/>
      </c>
      <c r="AB2687" t="str">
        <f t="shared" si="630"/>
        <v/>
      </c>
      <c r="AC2687">
        <f>IF($A2687="",0,IF(COUNTIF($A$2:$A2687,$A2687)=1,1,0))</f>
        <v>0</v>
      </c>
      <c r="AD2687">
        <f t="shared" si="631"/>
        <v>29</v>
      </c>
      <c r="AE2687" t="str">
        <f t="shared" si="632"/>
        <v/>
      </c>
    </row>
    <row r="2688" spans="1:31" x14ac:dyDescent="0.4">
      <c r="A2688" t="str">
        <f>IF(原始经营数据!$D2689="","",原始经营数据!$D2689)</f>
        <v/>
      </c>
      <c r="B2688" t="str">
        <f>IF(原始经营数据!$D2689="","",T(原始经营数据!$E2689))</f>
        <v/>
      </c>
      <c r="C2688" t="str">
        <f>IF(原始经营数据!$D2689="","",原始经营数据!$F2689)</f>
        <v/>
      </c>
      <c r="D2688" t="str">
        <f>IF(原始经营数据!$D2689="","",原始经营数据!$H2689)</f>
        <v/>
      </c>
      <c r="E2688" t="str">
        <f>IF(原始经营数据!$D2689="","",原始经营数据!$I2689)</f>
        <v/>
      </c>
      <c r="F2688" t="str">
        <f>IF(原始经营数据!$D2689="","",T(原始经营数据!$J2689))</f>
        <v/>
      </c>
      <c r="G2688" t="str">
        <f>IF(原始经营数据!$D2689="","",T(原始经营数据!$K2689))</f>
        <v/>
      </c>
      <c r="H2688" t="str">
        <f>IF(原始经营数据!$D2689="","",原始经营数据!$G2689)</f>
        <v/>
      </c>
      <c r="I2688" t="str">
        <f>IF($A2688="","",IF($B2688&lt;&gt;"",$B2688,IF(COUNTIFS(原始经营数据!$D$3:$D$3001,$A2688,原始经营数据!$E$3:$E$3001,"",原始经营数据!$F$3:$F$3001,$C2688,原始经营数据!$H$3:$H$3001,$D2688,原始经营数据!$K$3:$K$3001,$G2688)&gt;1,"基金整体·来源"&amp;原始经营数据!$A2689,"基金整体")))</f>
        <v/>
      </c>
      <c r="J2688" t="str">
        <f t="shared" si="618"/>
        <v/>
      </c>
      <c r="K2688" t="str">
        <f t="shared" si="619"/>
        <v/>
      </c>
      <c r="L2688" t="str">
        <f t="shared" si="620"/>
        <v/>
      </c>
      <c r="M2688">
        <f>IF($A2688="",0,IF(COUNTIF($L$2:$L2688,$L2688)=1,1,0))</f>
        <v>0</v>
      </c>
      <c r="N2688" t="str">
        <f t="shared" si="621"/>
        <v/>
      </c>
      <c r="O2688" t="str">
        <f t="shared" si="622"/>
        <v/>
      </c>
      <c r="P2688">
        <f>IF($A2688="",0,IF(COUNTIF($O$2:$O2688,$O2688)=1,1,0))</f>
        <v>0</v>
      </c>
      <c r="Q2688" t="str">
        <f>IF(AND($P2688=1,$A2688=经营数据!$B$3,$J2688=经营数据!$BA$5),COUNTIFS($P$2:$P$3000,1,$A$2:$A$3000,$A2688,$J$2:$J$3000,$J2688,$N$2:$N$3000,"&lt;"&amp;$N2688)+1,"")</f>
        <v/>
      </c>
      <c r="R2688" t="str">
        <f t="shared" si="623"/>
        <v/>
      </c>
      <c r="S2688">
        <f>IF($A2688="",0,IF(COUNTIF($R$2:$R2688,$R2688)=1,1,0))</f>
        <v>0</v>
      </c>
      <c r="T2688" t="str">
        <f t="shared" si="624"/>
        <v/>
      </c>
      <c r="U2688" t="str">
        <f>IF($A2688="","",IF($A2688=经营数据!$B$3,COUNTIFS($S$2:$S$3000,1,$A$2:$A$3000,$A2688,$T$2:$T$3000,"&lt;"&amp;$T2688)+1,""))</f>
        <v/>
      </c>
      <c r="V2688" t="str">
        <f t="shared" si="625"/>
        <v/>
      </c>
      <c r="W2688" t="str">
        <f t="shared" si="626"/>
        <v/>
      </c>
      <c r="X2688" t="str">
        <f t="shared" si="627"/>
        <v/>
      </c>
      <c r="Y2688" t="str">
        <f t="shared" si="628"/>
        <v/>
      </c>
      <c r="Z2688">
        <f>IF($A2688="",0,IF(AND($M2688=1,$A2688=经营数据!$B$3,$J2688=经营数据!$BA$5,OR($I2688=经营数据!$BA$4,COUNTIF(经营数据!$AA$9:$AA$38,$I2688)&gt;0)),1,0))</f>
        <v>0</v>
      </c>
      <c r="AA2688" t="str">
        <f t="shared" si="629"/>
        <v/>
      </c>
      <c r="AB2688" t="str">
        <f t="shared" si="630"/>
        <v/>
      </c>
      <c r="AC2688">
        <f>IF($A2688="",0,IF(COUNTIF($A$2:$A2688,$A2688)=1,1,0))</f>
        <v>0</v>
      </c>
      <c r="AD2688">
        <f t="shared" si="631"/>
        <v>29</v>
      </c>
      <c r="AE2688" t="str">
        <f t="shared" si="632"/>
        <v/>
      </c>
    </row>
    <row r="2689" spans="1:31" x14ac:dyDescent="0.4">
      <c r="A2689" t="str">
        <f>IF(原始经营数据!$D2690="","",原始经营数据!$D2690)</f>
        <v/>
      </c>
      <c r="B2689" t="str">
        <f>IF(原始经营数据!$D2690="","",T(原始经营数据!$E2690))</f>
        <v/>
      </c>
      <c r="C2689" t="str">
        <f>IF(原始经营数据!$D2690="","",原始经营数据!$F2690)</f>
        <v/>
      </c>
      <c r="D2689" t="str">
        <f>IF(原始经营数据!$D2690="","",原始经营数据!$H2690)</f>
        <v/>
      </c>
      <c r="E2689" t="str">
        <f>IF(原始经营数据!$D2690="","",原始经营数据!$I2690)</f>
        <v/>
      </c>
      <c r="F2689" t="str">
        <f>IF(原始经营数据!$D2690="","",T(原始经营数据!$J2690))</f>
        <v/>
      </c>
      <c r="G2689" t="str">
        <f>IF(原始经营数据!$D2690="","",T(原始经营数据!$K2690))</f>
        <v/>
      </c>
      <c r="H2689" t="str">
        <f>IF(原始经营数据!$D2690="","",原始经营数据!$G2690)</f>
        <v/>
      </c>
      <c r="I2689" t="str">
        <f>IF($A2689="","",IF($B2689&lt;&gt;"",$B2689,IF(COUNTIFS(原始经营数据!$D$3:$D$3001,$A2689,原始经营数据!$E$3:$E$3001,"",原始经营数据!$F$3:$F$3001,$C2689,原始经营数据!$H$3:$H$3001,$D2689,原始经营数据!$K$3:$K$3001,$G2689)&gt;1,"基金整体·来源"&amp;原始经营数据!$A2690,"基金整体")))</f>
        <v/>
      </c>
      <c r="J2689" t="str">
        <f t="shared" si="618"/>
        <v/>
      </c>
      <c r="K2689" t="str">
        <f t="shared" si="619"/>
        <v/>
      </c>
      <c r="L2689" t="str">
        <f t="shared" si="620"/>
        <v/>
      </c>
      <c r="M2689">
        <f>IF($A2689="",0,IF(COUNTIF($L$2:$L2689,$L2689)=1,1,0))</f>
        <v>0</v>
      </c>
      <c r="N2689" t="str">
        <f t="shared" si="621"/>
        <v/>
      </c>
      <c r="O2689" t="str">
        <f t="shared" si="622"/>
        <v/>
      </c>
      <c r="P2689">
        <f>IF($A2689="",0,IF(COUNTIF($O$2:$O2689,$O2689)=1,1,0))</f>
        <v>0</v>
      </c>
      <c r="Q2689" t="str">
        <f>IF(AND($P2689=1,$A2689=经营数据!$B$3,$J2689=经营数据!$BA$5),COUNTIFS($P$2:$P$3000,1,$A$2:$A$3000,$A2689,$J$2:$J$3000,$J2689,$N$2:$N$3000,"&lt;"&amp;$N2689)+1,"")</f>
        <v/>
      </c>
      <c r="R2689" t="str">
        <f t="shared" si="623"/>
        <v/>
      </c>
      <c r="S2689">
        <f>IF($A2689="",0,IF(COUNTIF($R$2:$R2689,$R2689)=1,1,0))</f>
        <v>0</v>
      </c>
      <c r="T2689" t="str">
        <f t="shared" si="624"/>
        <v/>
      </c>
      <c r="U2689" t="str">
        <f>IF($A2689="","",IF($A2689=经营数据!$B$3,COUNTIFS($S$2:$S$3000,1,$A$2:$A$3000,$A2689,$T$2:$T$3000,"&lt;"&amp;$T2689)+1,""))</f>
        <v/>
      </c>
      <c r="V2689" t="str">
        <f t="shared" si="625"/>
        <v/>
      </c>
      <c r="W2689" t="str">
        <f t="shared" si="626"/>
        <v/>
      </c>
      <c r="X2689" t="str">
        <f t="shared" si="627"/>
        <v/>
      </c>
      <c r="Y2689" t="str">
        <f t="shared" si="628"/>
        <v/>
      </c>
      <c r="Z2689">
        <f>IF($A2689="",0,IF(AND($M2689=1,$A2689=经营数据!$B$3,$J2689=经营数据!$BA$5,OR($I2689=经营数据!$BA$4,COUNTIF(经营数据!$AA$9:$AA$38,$I2689)&gt;0)),1,0))</f>
        <v>0</v>
      </c>
      <c r="AA2689" t="str">
        <f t="shared" si="629"/>
        <v/>
      </c>
      <c r="AB2689" t="str">
        <f t="shared" si="630"/>
        <v/>
      </c>
      <c r="AC2689">
        <f>IF($A2689="",0,IF(COUNTIF($A$2:$A2689,$A2689)=1,1,0))</f>
        <v>0</v>
      </c>
      <c r="AD2689">
        <f t="shared" si="631"/>
        <v>29</v>
      </c>
      <c r="AE2689" t="str">
        <f t="shared" si="632"/>
        <v/>
      </c>
    </row>
    <row r="2690" spans="1:31" x14ac:dyDescent="0.4">
      <c r="A2690" t="str">
        <f>IF(原始经营数据!$D2691="","",原始经营数据!$D2691)</f>
        <v/>
      </c>
      <c r="B2690" t="str">
        <f>IF(原始经营数据!$D2691="","",T(原始经营数据!$E2691))</f>
        <v/>
      </c>
      <c r="C2690" t="str">
        <f>IF(原始经营数据!$D2691="","",原始经营数据!$F2691)</f>
        <v/>
      </c>
      <c r="D2690" t="str">
        <f>IF(原始经营数据!$D2691="","",原始经营数据!$H2691)</f>
        <v/>
      </c>
      <c r="E2690" t="str">
        <f>IF(原始经营数据!$D2691="","",原始经营数据!$I2691)</f>
        <v/>
      </c>
      <c r="F2690" t="str">
        <f>IF(原始经营数据!$D2691="","",T(原始经营数据!$J2691))</f>
        <v/>
      </c>
      <c r="G2690" t="str">
        <f>IF(原始经营数据!$D2691="","",T(原始经营数据!$K2691))</f>
        <v/>
      </c>
      <c r="H2690" t="str">
        <f>IF(原始经营数据!$D2691="","",原始经营数据!$G2691)</f>
        <v/>
      </c>
      <c r="I2690" t="str">
        <f>IF($A2690="","",IF($B2690&lt;&gt;"",$B2690,IF(COUNTIFS(原始经营数据!$D$3:$D$3001,$A2690,原始经营数据!$E$3:$E$3001,"",原始经营数据!$F$3:$F$3001,$C2690,原始经营数据!$H$3:$H$3001,$D2690,原始经营数据!$K$3:$K$3001,$G2690)&gt;1,"基金整体·来源"&amp;原始经营数据!$A2691,"基金整体")))</f>
        <v/>
      </c>
      <c r="J2690" t="str">
        <f t="shared" ref="J2690:J2753" si="633">IF($A2690="","",IF(LEN($C2690)=4,"年度",IF(AND(LEN($C2690)=6,ISNUMBER(SEARCH("Q",$C2690))),"季度","其他期间")))</f>
        <v/>
      </c>
      <c r="K2690" t="str">
        <f t="shared" ref="K2690:K2753" si="634">IF($A2690="","",$D2690&amp;IF($G2690="","","-"&amp;SUBSTITUTE($G2690,CHAR(10),""))&amp;IF($F2690="","","（"&amp;$F2690&amp;"）"))</f>
        <v/>
      </c>
      <c r="L2690" t="str">
        <f t="shared" ref="L2690:L2753" si="635">IF($A2690="","",$I2690&amp;"|"&amp;$K2690&amp;"|"&amp;$J2690)</f>
        <v/>
      </c>
      <c r="M2690">
        <f>IF($A2690="",0,IF(COUNTIF($L$2:$L2690,$L2690)=1,1,0))</f>
        <v>0</v>
      </c>
      <c r="N2690" t="str">
        <f t="shared" ref="N2690:N2753" si="636">IF($A2690="","",IF($J2690="年度",VALUE($C2690)*10,IF($J2690="季度",VALUE(LEFT($C2690,4))*10+VALUE(RIGHT($C2690,1)),VALUE(LEFT($C2690,4))*10+9)))</f>
        <v/>
      </c>
      <c r="O2690" t="str">
        <f t="shared" ref="O2690:O2753" si="637">IF($A2690="","",$A2690&amp;"|"&amp;$C2690&amp;"|"&amp;$J2690)</f>
        <v/>
      </c>
      <c r="P2690">
        <f>IF($A2690="",0,IF(COUNTIF($O$2:$O2690,$O2690)=1,1,0))</f>
        <v>0</v>
      </c>
      <c r="Q2690" t="str">
        <f>IF(AND($P2690=1,$A2690=经营数据!$B$3,$J2690=经营数据!$BA$5),COUNTIFS($P$2:$P$3000,1,$A$2:$A$3000,$A2690,$J$2:$J$3000,$J2690,$N$2:$N$3000,"&lt;"&amp;$N2690)+1,"")</f>
        <v/>
      </c>
      <c r="R2690" t="str">
        <f t="shared" ref="R2690:R2753" si="638">IF($A2690="","",$A2690&amp;"|"&amp;$I2690)</f>
        <v/>
      </c>
      <c r="S2690">
        <f>IF($A2690="",0,IF(COUNTIF($R$2:$R2690,$R2690)=1,1,0))</f>
        <v>0</v>
      </c>
      <c r="T2690" t="str">
        <f t="shared" ref="T2690:T2753" si="639">IF($A2690="","",MATCH($R2690,$R$2:$R$3000,0))</f>
        <v/>
      </c>
      <c r="U2690" t="str">
        <f>IF($A2690="","",IF($A2690=经营数据!$B$3,COUNTIFS($S$2:$S$3000,1,$A$2:$A$3000,$A2690,$T$2:$T$3000,"&lt;"&amp;$T2690)+1,""))</f>
        <v/>
      </c>
      <c r="V2690" t="str">
        <f t="shared" ref="V2690:V2753" si="640">IF($A2690="","",$I2690&amp;"|"&amp;$H2690)</f>
        <v/>
      </c>
      <c r="W2690" t="str">
        <f t="shared" ref="W2690:W2753" si="641">IF($A2690="","",MATCH($V2690,$V$2:$V$3000,0))</f>
        <v/>
      </c>
      <c r="X2690" t="str">
        <f t="shared" ref="X2690:X2753" si="642">IF($A2690="","",$I2690&amp;"|"&amp;$D2690)</f>
        <v/>
      </c>
      <c r="Y2690" t="str">
        <f t="shared" ref="Y2690:Y2753" si="643">IF($A2690="","",MATCH($X2690,$X$2:$X$3000,0))</f>
        <v/>
      </c>
      <c r="Z2690">
        <f>IF($A2690="",0,IF(AND($M2690=1,$A2690=经营数据!$B$3,$J2690=经营数据!$BA$5,OR($I2690=经营数据!$BA$4,COUNTIF(经营数据!$AA$9:$AA$38,$I2690)&gt;0)),1,0))</f>
        <v>0</v>
      </c>
      <c r="AA2690" t="str">
        <f t="shared" ref="AA2690:AA2753" si="644">IF($Z2690=1,$U2690*1000000000000+$W2690*100000000+$Y2690*10000+ROW(),"")</f>
        <v/>
      </c>
      <c r="AB2690" t="str">
        <f t="shared" ref="AB2690:AB2753" si="645">IF($Z2690=1,COUNTIFS($Z$2:$Z$3000,1,$AA$2:$AA$3000,"&lt;"&amp;$AA2690)+1,"")</f>
        <v/>
      </c>
      <c r="AC2690">
        <f>IF($A2690="",0,IF(COUNTIF($A$2:$A2690,$A2690)=1,1,0))</f>
        <v>0</v>
      </c>
      <c r="AD2690">
        <f t="shared" ref="AD2690:AD2753" si="646">IF($A2690="",N(AD2689),IF($AC2690=1,N(AD2689)+1,N(AD2689)))</f>
        <v>29</v>
      </c>
      <c r="AE2690" t="str">
        <f t="shared" ref="AE2690:AE2753" si="647">IF($A2690="","",$I2690&amp;"|"&amp;$K2690)</f>
        <v/>
      </c>
    </row>
    <row r="2691" spans="1:31" x14ac:dyDescent="0.4">
      <c r="A2691" t="str">
        <f>IF(原始经营数据!$D2692="","",原始经营数据!$D2692)</f>
        <v/>
      </c>
      <c r="B2691" t="str">
        <f>IF(原始经营数据!$D2692="","",T(原始经营数据!$E2692))</f>
        <v/>
      </c>
      <c r="C2691" t="str">
        <f>IF(原始经营数据!$D2692="","",原始经营数据!$F2692)</f>
        <v/>
      </c>
      <c r="D2691" t="str">
        <f>IF(原始经营数据!$D2692="","",原始经营数据!$H2692)</f>
        <v/>
      </c>
      <c r="E2691" t="str">
        <f>IF(原始经营数据!$D2692="","",原始经营数据!$I2692)</f>
        <v/>
      </c>
      <c r="F2691" t="str">
        <f>IF(原始经营数据!$D2692="","",T(原始经营数据!$J2692))</f>
        <v/>
      </c>
      <c r="G2691" t="str">
        <f>IF(原始经营数据!$D2692="","",T(原始经营数据!$K2692))</f>
        <v/>
      </c>
      <c r="H2691" t="str">
        <f>IF(原始经营数据!$D2692="","",原始经营数据!$G2692)</f>
        <v/>
      </c>
      <c r="I2691" t="str">
        <f>IF($A2691="","",IF($B2691&lt;&gt;"",$B2691,IF(COUNTIFS(原始经营数据!$D$3:$D$3001,$A2691,原始经营数据!$E$3:$E$3001,"",原始经营数据!$F$3:$F$3001,$C2691,原始经营数据!$H$3:$H$3001,$D2691,原始经营数据!$K$3:$K$3001,$G2691)&gt;1,"基金整体·来源"&amp;原始经营数据!$A2692,"基金整体")))</f>
        <v/>
      </c>
      <c r="J2691" t="str">
        <f t="shared" si="633"/>
        <v/>
      </c>
      <c r="K2691" t="str">
        <f t="shared" si="634"/>
        <v/>
      </c>
      <c r="L2691" t="str">
        <f t="shared" si="635"/>
        <v/>
      </c>
      <c r="M2691">
        <f>IF($A2691="",0,IF(COUNTIF($L$2:$L2691,$L2691)=1,1,0))</f>
        <v>0</v>
      </c>
      <c r="N2691" t="str">
        <f t="shared" si="636"/>
        <v/>
      </c>
      <c r="O2691" t="str">
        <f t="shared" si="637"/>
        <v/>
      </c>
      <c r="P2691">
        <f>IF($A2691="",0,IF(COUNTIF($O$2:$O2691,$O2691)=1,1,0))</f>
        <v>0</v>
      </c>
      <c r="Q2691" t="str">
        <f>IF(AND($P2691=1,$A2691=经营数据!$B$3,$J2691=经营数据!$BA$5),COUNTIFS($P$2:$P$3000,1,$A$2:$A$3000,$A2691,$J$2:$J$3000,$J2691,$N$2:$N$3000,"&lt;"&amp;$N2691)+1,"")</f>
        <v/>
      </c>
      <c r="R2691" t="str">
        <f t="shared" si="638"/>
        <v/>
      </c>
      <c r="S2691">
        <f>IF($A2691="",0,IF(COUNTIF($R$2:$R2691,$R2691)=1,1,0))</f>
        <v>0</v>
      </c>
      <c r="T2691" t="str">
        <f t="shared" si="639"/>
        <v/>
      </c>
      <c r="U2691" t="str">
        <f>IF($A2691="","",IF($A2691=经营数据!$B$3,COUNTIFS($S$2:$S$3000,1,$A$2:$A$3000,$A2691,$T$2:$T$3000,"&lt;"&amp;$T2691)+1,""))</f>
        <v/>
      </c>
      <c r="V2691" t="str">
        <f t="shared" si="640"/>
        <v/>
      </c>
      <c r="W2691" t="str">
        <f t="shared" si="641"/>
        <v/>
      </c>
      <c r="X2691" t="str">
        <f t="shared" si="642"/>
        <v/>
      </c>
      <c r="Y2691" t="str">
        <f t="shared" si="643"/>
        <v/>
      </c>
      <c r="Z2691">
        <f>IF($A2691="",0,IF(AND($M2691=1,$A2691=经营数据!$B$3,$J2691=经营数据!$BA$5,OR($I2691=经营数据!$BA$4,COUNTIF(经营数据!$AA$9:$AA$38,$I2691)&gt;0)),1,0))</f>
        <v>0</v>
      </c>
      <c r="AA2691" t="str">
        <f t="shared" si="644"/>
        <v/>
      </c>
      <c r="AB2691" t="str">
        <f t="shared" si="645"/>
        <v/>
      </c>
      <c r="AC2691">
        <f>IF($A2691="",0,IF(COUNTIF($A$2:$A2691,$A2691)=1,1,0))</f>
        <v>0</v>
      </c>
      <c r="AD2691">
        <f t="shared" si="646"/>
        <v>29</v>
      </c>
      <c r="AE2691" t="str">
        <f t="shared" si="647"/>
        <v/>
      </c>
    </row>
    <row r="2692" spans="1:31" x14ac:dyDescent="0.4">
      <c r="A2692" t="str">
        <f>IF(原始经营数据!$D2693="","",原始经营数据!$D2693)</f>
        <v/>
      </c>
      <c r="B2692" t="str">
        <f>IF(原始经营数据!$D2693="","",T(原始经营数据!$E2693))</f>
        <v/>
      </c>
      <c r="C2692" t="str">
        <f>IF(原始经营数据!$D2693="","",原始经营数据!$F2693)</f>
        <v/>
      </c>
      <c r="D2692" t="str">
        <f>IF(原始经营数据!$D2693="","",原始经营数据!$H2693)</f>
        <v/>
      </c>
      <c r="E2692" t="str">
        <f>IF(原始经营数据!$D2693="","",原始经营数据!$I2693)</f>
        <v/>
      </c>
      <c r="F2692" t="str">
        <f>IF(原始经营数据!$D2693="","",T(原始经营数据!$J2693))</f>
        <v/>
      </c>
      <c r="G2692" t="str">
        <f>IF(原始经营数据!$D2693="","",T(原始经营数据!$K2693))</f>
        <v/>
      </c>
      <c r="H2692" t="str">
        <f>IF(原始经营数据!$D2693="","",原始经营数据!$G2693)</f>
        <v/>
      </c>
      <c r="I2692" t="str">
        <f>IF($A2692="","",IF($B2692&lt;&gt;"",$B2692,IF(COUNTIFS(原始经营数据!$D$3:$D$3001,$A2692,原始经营数据!$E$3:$E$3001,"",原始经营数据!$F$3:$F$3001,$C2692,原始经营数据!$H$3:$H$3001,$D2692,原始经营数据!$K$3:$K$3001,$G2692)&gt;1,"基金整体·来源"&amp;原始经营数据!$A2693,"基金整体")))</f>
        <v/>
      </c>
      <c r="J2692" t="str">
        <f t="shared" si="633"/>
        <v/>
      </c>
      <c r="K2692" t="str">
        <f t="shared" si="634"/>
        <v/>
      </c>
      <c r="L2692" t="str">
        <f t="shared" si="635"/>
        <v/>
      </c>
      <c r="M2692">
        <f>IF($A2692="",0,IF(COUNTIF($L$2:$L2692,$L2692)=1,1,0))</f>
        <v>0</v>
      </c>
      <c r="N2692" t="str">
        <f t="shared" si="636"/>
        <v/>
      </c>
      <c r="O2692" t="str">
        <f t="shared" si="637"/>
        <v/>
      </c>
      <c r="P2692">
        <f>IF($A2692="",0,IF(COUNTIF($O$2:$O2692,$O2692)=1,1,0))</f>
        <v>0</v>
      </c>
      <c r="Q2692" t="str">
        <f>IF(AND($P2692=1,$A2692=经营数据!$B$3,$J2692=经营数据!$BA$5),COUNTIFS($P$2:$P$3000,1,$A$2:$A$3000,$A2692,$J$2:$J$3000,$J2692,$N$2:$N$3000,"&lt;"&amp;$N2692)+1,"")</f>
        <v/>
      </c>
      <c r="R2692" t="str">
        <f t="shared" si="638"/>
        <v/>
      </c>
      <c r="S2692">
        <f>IF($A2692="",0,IF(COUNTIF($R$2:$R2692,$R2692)=1,1,0))</f>
        <v>0</v>
      </c>
      <c r="T2692" t="str">
        <f t="shared" si="639"/>
        <v/>
      </c>
      <c r="U2692" t="str">
        <f>IF($A2692="","",IF($A2692=经营数据!$B$3,COUNTIFS($S$2:$S$3000,1,$A$2:$A$3000,$A2692,$T$2:$T$3000,"&lt;"&amp;$T2692)+1,""))</f>
        <v/>
      </c>
      <c r="V2692" t="str">
        <f t="shared" si="640"/>
        <v/>
      </c>
      <c r="W2692" t="str">
        <f t="shared" si="641"/>
        <v/>
      </c>
      <c r="X2692" t="str">
        <f t="shared" si="642"/>
        <v/>
      </c>
      <c r="Y2692" t="str">
        <f t="shared" si="643"/>
        <v/>
      </c>
      <c r="Z2692">
        <f>IF($A2692="",0,IF(AND($M2692=1,$A2692=经营数据!$B$3,$J2692=经营数据!$BA$5,OR($I2692=经营数据!$BA$4,COUNTIF(经营数据!$AA$9:$AA$38,$I2692)&gt;0)),1,0))</f>
        <v>0</v>
      </c>
      <c r="AA2692" t="str">
        <f t="shared" si="644"/>
        <v/>
      </c>
      <c r="AB2692" t="str">
        <f t="shared" si="645"/>
        <v/>
      </c>
      <c r="AC2692">
        <f>IF($A2692="",0,IF(COUNTIF($A$2:$A2692,$A2692)=1,1,0))</f>
        <v>0</v>
      </c>
      <c r="AD2692">
        <f t="shared" si="646"/>
        <v>29</v>
      </c>
      <c r="AE2692" t="str">
        <f t="shared" si="647"/>
        <v/>
      </c>
    </row>
    <row r="2693" spans="1:31" x14ac:dyDescent="0.4">
      <c r="A2693" t="str">
        <f>IF(原始经营数据!$D2694="","",原始经营数据!$D2694)</f>
        <v/>
      </c>
      <c r="B2693" t="str">
        <f>IF(原始经营数据!$D2694="","",T(原始经营数据!$E2694))</f>
        <v/>
      </c>
      <c r="C2693" t="str">
        <f>IF(原始经营数据!$D2694="","",原始经营数据!$F2694)</f>
        <v/>
      </c>
      <c r="D2693" t="str">
        <f>IF(原始经营数据!$D2694="","",原始经营数据!$H2694)</f>
        <v/>
      </c>
      <c r="E2693" t="str">
        <f>IF(原始经营数据!$D2694="","",原始经营数据!$I2694)</f>
        <v/>
      </c>
      <c r="F2693" t="str">
        <f>IF(原始经营数据!$D2694="","",T(原始经营数据!$J2694))</f>
        <v/>
      </c>
      <c r="G2693" t="str">
        <f>IF(原始经营数据!$D2694="","",T(原始经营数据!$K2694))</f>
        <v/>
      </c>
      <c r="H2693" t="str">
        <f>IF(原始经营数据!$D2694="","",原始经营数据!$G2694)</f>
        <v/>
      </c>
      <c r="I2693" t="str">
        <f>IF($A2693="","",IF($B2693&lt;&gt;"",$B2693,IF(COUNTIFS(原始经营数据!$D$3:$D$3001,$A2693,原始经营数据!$E$3:$E$3001,"",原始经营数据!$F$3:$F$3001,$C2693,原始经营数据!$H$3:$H$3001,$D2693,原始经营数据!$K$3:$K$3001,$G2693)&gt;1,"基金整体·来源"&amp;原始经营数据!$A2694,"基金整体")))</f>
        <v/>
      </c>
      <c r="J2693" t="str">
        <f t="shared" si="633"/>
        <v/>
      </c>
      <c r="K2693" t="str">
        <f t="shared" si="634"/>
        <v/>
      </c>
      <c r="L2693" t="str">
        <f t="shared" si="635"/>
        <v/>
      </c>
      <c r="M2693">
        <f>IF($A2693="",0,IF(COUNTIF($L$2:$L2693,$L2693)=1,1,0))</f>
        <v>0</v>
      </c>
      <c r="N2693" t="str">
        <f t="shared" si="636"/>
        <v/>
      </c>
      <c r="O2693" t="str">
        <f t="shared" si="637"/>
        <v/>
      </c>
      <c r="P2693">
        <f>IF($A2693="",0,IF(COUNTIF($O$2:$O2693,$O2693)=1,1,0))</f>
        <v>0</v>
      </c>
      <c r="Q2693" t="str">
        <f>IF(AND($P2693=1,$A2693=经营数据!$B$3,$J2693=经营数据!$BA$5),COUNTIFS($P$2:$P$3000,1,$A$2:$A$3000,$A2693,$J$2:$J$3000,$J2693,$N$2:$N$3000,"&lt;"&amp;$N2693)+1,"")</f>
        <v/>
      </c>
      <c r="R2693" t="str">
        <f t="shared" si="638"/>
        <v/>
      </c>
      <c r="S2693">
        <f>IF($A2693="",0,IF(COUNTIF($R$2:$R2693,$R2693)=1,1,0))</f>
        <v>0</v>
      </c>
      <c r="T2693" t="str">
        <f t="shared" si="639"/>
        <v/>
      </c>
      <c r="U2693" t="str">
        <f>IF($A2693="","",IF($A2693=经营数据!$B$3,COUNTIFS($S$2:$S$3000,1,$A$2:$A$3000,$A2693,$T$2:$T$3000,"&lt;"&amp;$T2693)+1,""))</f>
        <v/>
      </c>
      <c r="V2693" t="str">
        <f t="shared" si="640"/>
        <v/>
      </c>
      <c r="W2693" t="str">
        <f t="shared" si="641"/>
        <v/>
      </c>
      <c r="X2693" t="str">
        <f t="shared" si="642"/>
        <v/>
      </c>
      <c r="Y2693" t="str">
        <f t="shared" si="643"/>
        <v/>
      </c>
      <c r="Z2693">
        <f>IF($A2693="",0,IF(AND($M2693=1,$A2693=经营数据!$B$3,$J2693=经营数据!$BA$5,OR($I2693=经营数据!$BA$4,COUNTIF(经营数据!$AA$9:$AA$38,$I2693)&gt;0)),1,0))</f>
        <v>0</v>
      </c>
      <c r="AA2693" t="str">
        <f t="shared" si="644"/>
        <v/>
      </c>
      <c r="AB2693" t="str">
        <f t="shared" si="645"/>
        <v/>
      </c>
      <c r="AC2693">
        <f>IF($A2693="",0,IF(COUNTIF($A$2:$A2693,$A2693)=1,1,0))</f>
        <v>0</v>
      </c>
      <c r="AD2693">
        <f t="shared" si="646"/>
        <v>29</v>
      </c>
      <c r="AE2693" t="str">
        <f t="shared" si="647"/>
        <v/>
      </c>
    </row>
    <row r="2694" spans="1:31" x14ac:dyDescent="0.4">
      <c r="A2694" t="str">
        <f>IF(原始经营数据!$D2695="","",原始经营数据!$D2695)</f>
        <v/>
      </c>
      <c r="B2694" t="str">
        <f>IF(原始经营数据!$D2695="","",T(原始经营数据!$E2695))</f>
        <v/>
      </c>
      <c r="C2694" t="str">
        <f>IF(原始经营数据!$D2695="","",原始经营数据!$F2695)</f>
        <v/>
      </c>
      <c r="D2694" t="str">
        <f>IF(原始经营数据!$D2695="","",原始经营数据!$H2695)</f>
        <v/>
      </c>
      <c r="E2694" t="str">
        <f>IF(原始经营数据!$D2695="","",原始经营数据!$I2695)</f>
        <v/>
      </c>
      <c r="F2694" t="str">
        <f>IF(原始经营数据!$D2695="","",T(原始经营数据!$J2695))</f>
        <v/>
      </c>
      <c r="G2694" t="str">
        <f>IF(原始经营数据!$D2695="","",T(原始经营数据!$K2695))</f>
        <v/>
      </c>
      <c r="H2694" t="str">
        <f>IF(原始经营数据!$D2695="","",原始经营数据!$G2695)</f>
        <v/>
      </c>
      <c r="I2694" t="str">
        <f>IF($A2694="","",IF($B2694&lt;&gt;"",$B2694,IF(COUNTIFS(原始经营数据!$D$3:$D$3001,$A2694,原始经营数据!$E$3:$E$3001,"",原始经营数据!$F$3:$F$3001,$C2694,原始经营数据!$H$3:$H$3001,$D2694,原始经营数据!$K$3:$K$3001,$G2694)&gt;1,"基金整体·来源"&amp;原始经营数据!$A2695,"基金整体")))</f>
        <v/>
      </c>
      <c r="J2694" t="str">
        <f t="shared" si="633"/>
        <v/>
      </c>
      <c r="K2694" t="str">
        <f t="shared" si="634"/>
        <v/>
      </c>
      <c r="L2694" t="str">
        <f t="shared" si="635"/>
        <v/>
      </c>
      <c r="M2694">
        <f>IF($A2694="",0,IF(COUNTIF($L$2:$L2694,$L2694)=1,1,0))</f>
        <v>0</v>
      </c>
      <c r="N2694" t="str">
        <f t="shared" si="636"/>
        <v/>
      </c>
      <c r="O2694" t="str">
        <f t="shared" si="637"/>
        <v/>
      </c>
      <c r="P2694">
        <f>IF($A2694="",0,IF(COUNTIF($O$2:$O2694,$O2694)=1,1,0))</f>
        <v>0</v>
      </c>
      <c r="Q2694" t="str">
        <f>IF(AND($P2694=1,$A2694=经营数据!$B$3,$J2694=经营数据!$BA$5),COUNTIFS($P$2:$P$3000,1,$A$2:$A$3000,$A2694,$J$2:$J$3000,$J2694,$N$2:$N$3000,"&lt;"&amp;$N2694)+1,"")</f>
        <v/>
      </c>
      <c r="R2694" t="str">
        <f t="shared" si="638"/>
        <v/>
      </c>
      <c r="S2694">
        <f>IF($A2694="",0,IF(COUNTIF($R$2:$R2694,$R2694)=1,1,0))</f>
        <v>0</v>
      </c>
      <c r="T2694" t="str">
        <f t="shared" si="639"/>
        <v/>
      </c>
      <c r="U2694" t="str">
        <f>IF($A2694="","",IF($A2694=经营数据!$B$3,COUNTIFS($S$2:$S$3000,1,$A$2:$A$3000,$A2694,$T$2:$T$3000,"&lt;"&amp;$T2694)+1,""))</f>
        <v/>
      </c>
      <c r="V2694" t="str">
        <f t="shared" si="640"/>
        <v/>
      </c>
      <c r="W2694" t="str">
        <f t="shared" si="641"/>
        <v/>
      </c>
      <c r="X2694" t="str">
        <f t="shared" si="642"/>
        <v/>
      </c>
      <c r="Y2694" t="str">
        <f t="shared" si="643"/>
        <v/>
      </c>
      <c r="Z2694">
        <f>IF($A2694="",0,IF(AND($M2694=1,$A2694=经营数据!$B$3,$J2694=经营数据!$BA$5,OR($I2694=经营数据!$BA$4,COUNTIF(经营数据!$AA$9:$AA$38,$I2694)&gt;0)),1,0))</f>
        <v>0</v>
      </c>
      <c r="AA2694" t="str">
        <f t="shared" si="644"/>
        <v/>
      </c>
      <c r="AB2694" t="str">
        <f t="shared" si="645"/>
        <v/>
      </c>
      <c r="AC2694">
        <f>IF($A2694="",0,IF(COUNTIF($A$2:$A2694,$A2694)=1,1,0))</f>
        <v>0</v>
      </c>
      <c r="AD2694">
        <f t="shared" si="646"/>
        <v>29</v>
      </c>
      <c r="AE2694" t="str">
        <f t="shared" si="647"/>
        <v/>
      </c>
    </row>
    <row r="2695" spans="1:31" x14ac:dyDescent="0.4">
      <c r="A2695" t="str">
        <f>IF(原始经营数据!$D2696="","",原始经营数据!$D2696)</f>
        <v/>
      </c>
      <c r="B2695" t="str">
        <f>IF(原始经营数据!$D2696="","",T(原始经营数据!$E2696))</f>
        <v/>
      </c>
      <c r="C2695" t="str">
        <f>IF(原始经营数据!$D2696="","",原始经营数据!$F2696)</f>
        <v/>
      </c>
      <c r="D2695" t="str">
        <f>IF(原始经营数据!$D2696="","",原始经营数据!$H2696)</f>
        <v/>
      </c>
      <c r="E2695" t="str">
        <f>IF(原始经营数据!$D2696="","",原始经营数据!$I2696)</f>
        <v/>
      </c>
      <c r="F2695" t="str">
        <f>IF(原始经营数据!$D2696="","",T(原始经营数据!$J2696))</f>
        <v/>
      </c>
      <c r="G2695" t="str">
        <f>IF(原始经营数据!$D2696="","",T(原始经营数据!$K2696))</f>
        <v/>
      </c>
      <c r="H2695" t="str">
        <f>IF(原始经营数据!$D2696="","",原始经营数据!$G2696)</f>
        <v/>
      </c>
      <c r="I2695" t="str">
        <f>IF($A2695="","",IF($B2695&lt;&gt;"",$B2695,IF(COUNTIFS(原始经营数据!$D$3:$D$3001,$A2695,原始经营数据!$E$3:$E$3001,"",原始经营数据!$F$3:$F$3001,$C2695,原始经营数据!$H$3:$H$3001,$D2695,原始经营数据!$K$3:$K$3001,$G2695)&gt;1,"基金整体·来源"&amp;原始经营数据!$A2696,"基金整体")))</f>
        <v/>
      </c>
      <c r="J2695" t="str">
        <f t="shared" si="633"/>
        <v/>
      </c>
      <c r="K2695" t="str">
        <f t="shared" si="634"/>
        <v/>
      </c>
      <c r="L2695" t="str">
        <f t="shared" si="635"/>
        <v/>
      </c>
      <c r="M2695">
        <f>IF($A2695="",0,IF(COUNTIF($L$2:$L2695,$L2695)=1,1,0))</f>
        <v>0</v>
      </c>
      <c r="N2695" t="str">
        <f t="shared" si="636"/>
        <v/>
      </c>
      <c r="O2695" t="str">
        <f t="shared" si="637"/>
        <v/>
      </c>
      <c r="P2695">
        <f>IF($A2695="",0,IF(COUNTIF($O$2:$O2695,$O2695)=1,1,0))</f>
        <v>0</v>
      </c>
      <c r="Q2695" t="str">
        <f>IF(AND($P2695=1,$A2695=经营数据!$B$3,$J2695=经营数据!$BA$5),COUNTIFS($P$2:$P$3000,1,$A$2:$A$3000,$A2695,$J$2:$J$3000,$J2695,$N$2:$N$3000,"&lt;"&amp;$N2695)+1,"")</f>
        <v/>
      </c>
      <c r="R2695" t="str">
        <f t="shared" si="638"/>
        <v/>
      </c>
      <c r="S2695">
        <f>IF($A2695="",0,IF(COUNTIF($R$2:$R2695,$R2695)=1,1,0))</f>
        <v>0</v>
      </c>
      <c r="T2695" t="str">
        <f t="shared" si="639"/>
        <v/>
      </c>
      <c r="U2695" t="str">
        <f>IF($A2695="","",IF($A2695=经营数据!$B$3,COUNTIFS($S$2:$S$3000,1,$A$2:$A$3000,$A2695,$T$2:$T$3000,"&lt;"&amp;$T2695)+1,""))</f>
        <v/>
      </c>
      <c r="V2695" t="str">
        <f t="shared" si="640"/>
        <v/>
      </c>
      <c r="W2695" t="str">
        <f t="shared" si="641"/>
        <v/>
      </c>
      <c r="X2695" t="str">
        <f t="shared" si="642"/>
        <v/>
      </c>
      <c r="Y2695" t="str">
        <f t="shared" si="643"/>
        <v/>
      </c>
      <c r="Z2695">
        <f>IF($A2695="",0,IF(AND($M2695=1,$A2695=经营数据!$B$3,$J2695=经营数据!$BA$5,OR($I2695=经营数据!$BA$4,COUNTIF(经营数据!$AA$9:$AA$38,$I2695)&gt;0)),1,0))</f>
        <v>0</v>
      </c>
      <c r="AA2695" t="str">
        <f t="shared" si="644"/>
        <v/>
      </c>
      <c r="AB2695" t="str">
        <f t="shared" si="645"/>
        <v/>
      </c>
      <c r="AC2695">
        <f>IF($A2695="",0,IF(COUNTIF($A$2:$A2695,$A2695)=1,1,0))</f>
        <v>0</v>
      </c>
      <c r="AD2695">
        <f t="shared" si="646"/>
        <v>29</v>
      </c>
      <c r="AE2695" t="str">
        <f t="shared" si="647"/>
        <v/>
      </c>
    </row>
    <row r="2696" spans="1:31" x14ac:dyDescent="0.4">
      <c r="A2696" t="str">
        <f>IF(原始经营数据!$D2697="","",原始经营数据!$D2697)</f>
        <v/>
      </c>
      <c r="B2696" t="str">
        <f>IF(原始经营数据!$D2697="","",T(原始经营数据!$E2697))</f>
        <v/>
      </c>
      <c r="C2696" t="str">
        <f>IF(原始经营数据!$D2697="","",原始经营数据!$F2697)</f>
        <v/>
      </c>
      <c r="D2696" t="str">
        <f>IF(原始经营数据!$D2697="","",原始经营数据!$H2697)</f>
        <v/>
      </c>
      <c r="E2696" t="str">
        <f>IF(原始经营数据!$D2697="","",原始经营数据!$I2697)</f>
        <v/>
      </c>
      <c r="F2696" t="str">
        <f>IF(原始经营数据!$D2697="","",T(原始经营数据!$J2697))</f>
        <v/>
      </c>
      <c r="G2696" t="str">
        <f>IF(原始经营数据!$D2697="","",T(原始经营数据!$K2697))</f>
        <v/>
      </c>
      <c r="H2696" t="str">
        <f>IF(原始经营数据!$D2697="","",原始经营数据!$G2697)</f>
        <v/>
      </c>
      <c r="I2696" t="str">
        <f>IF($A2696="","",IF($B2696&lt;&gt;"",$B2696,IF(COUNTIFS(原始经营数据!$D$3:$D$3001,$A2696,原始经营数据!$E$3:$E$3001,"",原始经营数据!$F$3:$F$3001,$C2696,原始经营数据!$H$3:$H$3001,$D2696,原始经营数据!$K$3:$K$3001,$G2696)&gt;1,"基金整体·来源"&amp;原始经营数据!$A2697,"基金整体")))</f>
        <v/>
      </c>
      <c r="J2696" t="str">
        <f t="shared" si="633"/>
        <v/>
      </c>
      <c r="K2696" t="str">
        <f t="shared" si="634"/>
        <v/>
      </c>
      <c r="L2696" t="str">
        <f t="shared" si="635"/>
        <v/>
      </c>
      <c r="M2696">
        <f>IF($A2696="",0,IF(COUNTIF($L$2:$L2696,$L2696)=1,1,0))</f>
        <v>0</v>
      </c>
      <c r="N2696" t="str">
        <f t="shared" si="636"/>
        <v/>
      </c>
      <c r="O2696" t="str">
        <f t="shared" si="637"/>
        <v/>
      </c>
      <c r="P2696">
        <f>IF($A2696="",0,IF(COUNTIF($O$2:$O2696,$O2696)=1,1,0))</f>
        <v>0</v>
      </c>
      <c r="Q2696" t="str">
        <f>IF(AND($P2696=1,$A2696=经营数据!$B$3,$J2696=经营数据!$BA$5),COUNTIFS($P$2:$P$3000,1,$A$2:$A$3000,$A2696,$J$2:$J$3000,$J2696,$N$2:$N$3000,"&lt;"&amp;$N2696)+1,"")</f>
        <v/>
      </c>
      <c r="R2696" t="str">
        <f t="shared" si="638"/>
        <v/>
      </c>
      <c r="S2696">
        <f>IF($A2696="",0,IF(COUNTIF($R$2:$R2696,$R2696)=1,1,0))</f>
        <v>0</v>
      </c>
      <c r="T2696" t="str">
        <f t="shared" si="639"/>
        <v/>
      </c>
      <c r="U2696" t="str">
        <f>IF($A2696="","",IF($A2696=经营数据!$B$3,COUNTIFS($S$2:$S$3000,1,$A$2:$A$3000,$A2696,$T$2:$T$3000,"&lt;"&amp;$T2696)+1,""))</f>
        <v/>
      </c>
      <c r="V2696" t="str">
        <f t="shared" si="640"/>
        <v/>
      </c>
      <c r="W2696" t="str">
        <f t="shared" si="641"/>
        <v/>
      </c>
      <c r="X2696" t="str">
        <f t="shared" si="642"/>
        <v/>
      </c>
      <c r="Y2696" t="str">
        <f t="shared" si="643"/>
        <v/>
      </c>
      <c r="Z2696">
        <f>IF($A2696="",0,IF(AND($M2696=1,$A2696=经营数据!$B$3,$J2696=经营数据!$BA$5,OR($I2696=经营数据!$BA$4,COUNTIF(经营数据!$AA$9:$AA$38,$I2696)&gt;0)),1,0))</f>
        <v>0</v>
      </c>
      <c r="AA2696" t="str">
        <f t="shared" si="644"/>
        <v/>
      </c>
      <c r="AB2696" t="str">
        <f t="shared" si="645"/>
        <v/>
      </c>
      <c r="AC2696">
        <f>IF($A2696="",0,IF(COUNTIF($A$2:$A2696,$A2696)=1,1,0))</f>
        <v>0</v>
      </c>
      <c r="AD2696">
        <f t="shared" si="646"/>
        <v>29</v>
      </c>
      <c r="AE2696" t="str">
        <f t="shared" si="647"/>
        <v/>
      </c>
    </row>
    <row r="2697" spans="1:31" x14ac:dyDescent="0.4">
      <c r="A2697" t="str">
        <f>IF(原始经营数据!$D2698="","",原始经营数据!$D2698)</f>
        <v/>
      </c>
      <c r="B2697" t="str">
        <f>IF(原始经营数据!$D2698="","",T(原始经营数据!$E2698))</f>
        <v/>
      </c>
      <c r="C2697" t="str">
        <f>IF(原始经营数据!$D2698="","",原始经营数据!$F2698)</f>
        <v/>
      </c>
      <c r="D2697" t="str">
        <f>IF(原始经营数据!$D2698="","",原始经营数据!$H2698)</f>
        <v/>
      </c>
      <c r="E2697" t="str">
        <f>IF(原始经营数据!$D2698="","",原始经营数据!$I2698)</f>
        <v/>
      </c>
      <c r="F2697" t="str">
        <f>IF(原始经营数据!$D2698="","",T(原始经营数据!$J2698))</f>
        <v/>
      </c>
      <c r="G2697" t="str">
        <f>IF(原始经营数据!$D2698="","",T(原始经营数据!$K2698))</f>
        <v/>
      </c>
      <c r="H2697" t="str">
        <f>IF(原始经营数据!$D2698="","",原始经营数据!$G2698)</f>
        <v/>
      </c>
      <c r="I2697" t="str">
        <f>IF($A2697="","",IF($B2697&lt;&gt;"",$B2697,IF(COUNTIFS(原始经营数据!$D$3:$D$3001,$A2697,原始经营数据!$E$3:$E$3001,"",原始经营数据!$F$3:$F$3001,$C2697,原始经营数据!$H$3:$H$3001,$D2697,原始经营数据!$K$3:$K$3001,$G2697)&gt;1,"基金整体·来源"&amp;原始经营数据!$A2698,"基金整体")))</f>
        <v/>
      </c>
      <c r="J2697" t="str">
        <f t="shared" si="633"/>
        <v/>
      </c>
      <c r="K2697" t="str">
        <f t="shared" si="634"/>
        <v/>
      </c>
      <c r="L2697" t="str">
        <f t="shared" si="635"/>
        <v/>
      </c>
      <c r="M2697">
        <f>IF($A2697="",0,IF(COUNTIF($L$2:$L2697,$L2697)=1,1,0))</f>
        <v>0</v>
      </c>
      <c r="N2697" t="str">
        <f t="shared" si="636"/>
        <v/>
      </c>
      <c r="O2697" t="str">
        <f t="shared" si="637"/>
        <v/>
      </c>
      <c r="P2697">
        <f>IF($A2697="",0,IF(COUNTIF($O$2:$O2697,$O2697)=1,1,0))</f>
        <v>0</v>
      </c>
      <c r="Q2697" t="str">
        <f>IF(AND($P2697=1,$A2697=经营数据!$B$3,$J2697=经营数据!$BA$5),COUNTIFS($P$2:$P$3000,1,$A$2:$A$3000,$A2697,$J$2:$J$3000,$J2697,$N$2:$N$3000,"&lt;"&amp;$N2697)+1,"")</f>
        <v/>
      </c>
      <c r="R2697" t="str">
        <f t="shared" si="638"/>
        <v/>
      </c>
      <c r="S2697">
        <f>IF($A2697="",0,IF(COUNTIF($R$2:$R2697,$R2697)=1,1,0))</f>
        <v>0</v>
      </c>
      <c r="T2697" t="str">
        <f t="shared" si="639"/>
        <v/>
      </c>
      <c r="U2697" t="str">
        <f>IF($A2697="","",IF($A2697=经营数据!$B$3,COUNTIFS($S$2:$S$3000,1,$A$2:$A$3000,$A2697,$T$2:$T$3000,"&lt;"&amp;$T2697)+1,""))</f>
        <v/>
      </c>
      <c r="V2697" t="str">
        <f t="shared" si="640"/>
        <v/>
      </c>
      <c r="W2697" t="str">
        <f t="shared" si="641"/>
        <v/>
      </c>
      <c r="X2697" t="str">
        <f t="shared" si="642"/>
        <v/>
      </c>
      <c r="Y2697" t="str">
        <f t="shared" si="643"/>
        <v/>
      </c>
      <c r="Z2697">
        <f>IF($A2697="",0,IF(AND($M2697=1,$A2697=经营数据!$B$3,$J2697=经营数据!$BA$5,OR($I2697=经营数据!$BA$4,COUNTIF(经营数据!$AA$9:$AA$38,$I2697)&gt;0)),1,0))</f>
        <v>0</v>
      </c>
      <c r="AA2697" t="str">
        <f t="shared" si="644"/>
        <v/>
      </c>
      <c r="AB2697" t="str">
        <f t="shared" si="645"/>
        <v/>
      </c>
      <c r="AC2697">
        <f>IF($A2697="",0,IF(COUNTIF($A$2:$A2697,$A2697)=1,1,0))</f>
        <v>0</v>
      </c>
      <c r="AD2697">
        <f t="shared" si="646"/>
        <v>29</v>
      </c>
      <c r="AE2697" t="str">
        <f t="shared" si="647"/>
        <v/>
      </c>
    </row>
    <row r="2698" spans="1:31" x14ac:dyDescent="0.4">
      <c r="A2698" t="str">
        <f>IF(原始经营数据!$D2699="","",原始经营数据!$D2699)</f>
        <v/>
      </c>
      <c r="B2698" t="str">
        <f>IF(原始经营数据!$D2699="","",T(原始经营数据!$E2699))</f>
        <v/>
      </c>
      <c r="C2698" t="str">
        <f>IF(原始经营数据!$D2699="","",原始经营数据!$F2699)</f>
        <v/>
      </c>
      <c r="D2698" t="str">
        <f>IF(原始经营数据!$D2699="","",原始经营数据!$H2699)</f>
        <v/>
      </c>
      <c r="E2698" t="str">
        <f>IF(原始经营数据!$D2699="","",原始经营数据!$I2699)</f>
        <v/>
      </c>
      <c r="F2698" t="str">
        <f>IF(原始经营数据!$D2699="","",T(原始经营数据!$J2699))</f>
        <v/>
      </c>
      <c r="G2698" t="str">
        <f>IF(原始经营数据!$D2699="","",T(原始经营数据!$K2699))</f>
        <v/>
      </c>
      <c r="H2698" t="str">
        <f>IF(原始经营数据!$D2699="","",原始经营数据!$G2699)</f>
        <v/>
      </c>
      <c r="I2698" t="str">
        <f>IF($A2698="","",IF($B2698&lt;&gt;"",$B2698,IF(COUNTIFS(原始经营数据!$D$3:$D$3001,$A2698,原始经营数据!$E$3:$E$3001,"",原始经营数据!$F$3:$F$3001,$C2698,原始经营数据!$H$3:$H$3001,$D2698,原始经营数据!$K$3:$K$3001,$G2698)&gt;1,"基金整体·来源"&amp;原始经营数据!$A2699,"基金整体")))</f>
        <v/>
      </c>
      <c r="J2698" t="str">
        <f t="shared" si="633"/>
        <v/>
      </c>
      <c r="K2698" t="str">
        <f t="shared" si="634"/>
        <v/>
      </c>
      <c r="L2698" t="str">
        <f t="shared" si="635"/>
        <v/>
      </c>
      <c r="M2698">
        <f>IF($A2698="",0,IF(COUNTIF($L$2:$L2698,$L2698)=1,1,0))</f>
        <v>0</v>
      </c>
      <c r="N2698" t="str">
        <f t="shared" si="636"/>
        <v/>
      </c>
      <c r="O2698" t="str">
        <f t="shared" si="637"/>
        <v/>
      </c>
      <c r="P2698">
        <f>IF($A2698="",0,IF(COUNTIF($O$2:$O2698,$O2698)=1,1,0))</f>
        <v>0</v>
      </c>
      <c r="Q2698" t="str">
        <f>IF(AND($P2698=1,$A2698=经营数据!$B$3,$J2698=经营数据!$BA$5),COUNTIFS($P$2:$P$3000,1,$A$2:$A$3000,$A2698,$J$2:$J$3000,$J2698,$N$2:$N$3000,"&lt;"&amp;$N2698)+1,"")</f>
        <v/>
      </c>
      <c r="R2698" t="str">
        <f t="shared" si="638"/>
        <v/>
      </c>
      <c r="S2698">
        <f>IF($A2698="",0,IF(COUNTIF($R$2:$R2698,$R2698)=1,1,0))</f>
        <v>0</v>
      </c>
      <c r="T2698" t="str">
        <f t="shared" si="639"/>
        <v/>
      </c>
      <c r="U2698" t="str">
        <f>IF($A2698="","",IF($A2698=经营数据!$B$3,COUNTIFS($S$2:$S$3000,1,$A$2:$A$3000,$A2698,$T$2:$T$3000,"&lt;"&amp;$T2698)+1,""))</f>
        <v/>
      </c>
      <c r="V2698" t="str">
        <f t="shared" si="640"/>
        <v/>
      </c>
      <c r="W2698" t="str">
        <f t="shared" si="641"/>
        <v/>
      </c>
      <c r="X2698" t="str">
        <f t="shared" si="642"/>
        <v/>
      </c>
      <c r="Y2698" t="str">
        <f t="shared" si="643"/>
        <v/>
      </c>
      <c r="Z2698">
        <f>IF($A2698="",0,IF(AND($M2698=1,$A2698=经营数据!$B$3,$J2698=经营数据!$BA$5,OR($I2698=经营数据!$BA$4,COUNTIF(经营数据!$AA$9:$AA$38,$I2698)&gt;0)),1,0))</f>
        <v>0</v>
      </c>
      <c r="AA2698" t="str">
        <f t="shared" si="644"/>
        <v/>
      </c>
      <c r="AB2698" t="str">
        <f t="shared" si="645"/>
        <v/>
      </c>
      <c r="AC2698">
        <f>IF($A2698="",0,IF(COUNTIF($A$2:$A2698,$A2698)=1,1,0))</f>
        <v>0</v>
      </c>
      <c r="AD2698">
        <f t="shared" si="646"/>
        <v>29</v>
      </c>
      <c r="AE2698" t="str">
        <f t="shared" si="647"/>
        <v/>
      </c>
    </row>
    <row r="2699" spans="1:31" x14ac:dyDescent="0.4">
      <c r="A2699" t="str">
        <f>IF(原始经营数据!$D2700="","",原始经营数据!$D2700)</f>
        <v/>
      </c>
      <c r="B2699" t="str">
        <f>IF(原始经营数据!$D2700="","",T(原始经营数据!$E2700))</f>
        <v/>
      </c>
      <c r="C2699" t="str">
        <f>IF(原始经营数据!$D2700="","",原始经营数据!$F2700)</f>
        <v/>
      </c>
      <c r="D2699" t="str">
        <f>IF(原始经营数据!$D2700="","",原始经营数据!$H2700)</f>
        <v/>
      </c>
      <c r="E2699" t="str">
        <f>IF(原始经营数据!$D2700="","",原始经营数据!$I2700)</f>
        <v/>
      </c>
      <c r="F2699" t="str">
        <f>IF(原始经营数据!$D2700="","",T(原始经营数据!$J2700))</f>
        <v/>
      </c>
      <c r="G2699" t="str">
        <f>IF(原始经营数据!$D2700="","",T(原始经营数据!$K2700))</f>
        <v/>
      </c>
      <c r="H2699" t="str">
        <f>IF(原始经营数据!$D2700="","",原始经营数据!$G2700)</f>
        <v/>
      </c>
      <c r="I2699" t="str">
        <f>IF($A2699="","",IF($B2699&lt;&gt;"",$B2699,IF(COUNTIFS(原始经营数据!$D$3:$D$3001,$A2699,原始经营数据!$E$3:$E$3001,"",原始经营数据!$F$3:$F$3001,$C2699,原始经营数据!$H$3:$H$3001,$D2699,原始经营数据!$K$3:$K$3001,$G2699)&gt;1,"基金整体·来源"&amp;原始经营数据!$A2700,"基金整体")))</f>
        <v/>
      </c>
      <c r="J2699" t="str">
        <f t="shared" si="633"/>
        <v/>
      </c>
      <c r="K2699" t="str">
        <f t="shared" si="634"/>
        <v/>
      </c>
      <c r="L2699" t="str">
        <f t="shared" si="635"/>
        <v/>
      </c>
      <c r="M2699">
        <f>IF($A2699="",0,IF(COUNTIF($L$2:$L2699,$L2699)=1,1,0))</f>
        <v>0</v>
      </c>
      <c r="N2699" t="str">
        <f t="shared" si="636"/>
        <v/>
      </c>
      <c r="O2699" t="str">
        <f t="shared" si="637"/>
        <v/>
      </c>
      <c r="P2699">
        <f>IF($A2699="",0,IF(COUNTIF($O$2:$O2699,$O2699)=1,1,0))</f>
        <v>0</v>
      </c>
      <c r="Q2699" t="str">
        <f>IF(AND($P2699=1,$A2699=经营数据!$B$3,$J2699=经营数据!$BA$5),COUNTIFS($P$2:$P$3000,1,$A$2:$A$3000,$A2699,$J$2:$J$3000,$J2699,$N$2:$N$3000,"&lt;"&amp;$N2699)+1,"")</f>
        <v/>
      </c>
      <c r="R2699" t="str">
        <f t="shared" si="638"/>
        <v/>
      </c>
      <c r="S2699">
        <f>IF($A2699="",0,IF(COUNTIF($R$2:$R2699,$R2699)=1,1,0))</f>
        <v>0</v>
      </c>
      <c r="T2699" t="str">
        <f t="shared" si="639"/>
        <v/>
      </c>
      <c r="U2699" t="str">
        <f>IF($A2699="","",IF($A2699=经营数据!$B$3,COUNTIFS($S$2:$S$3000,1,$A$2:$A$3000,$A2699,$T$2:$T$3000,"&lt;"&amp;$T2699)+1,""))</f>
        <v/>
      </c>
      <c r="V2699" t="str">
        <f t="shared" si="640"/>
        <v/>
      </c>
      <c r="W2699" t="str">
        <f t="shared" si="641"/>
        <v/>
      </c>
      <c r="X2699" t="str">
        <f t="shared" si="642"/>
        <v/>
      </c>
      <c r="Y2699" t="str">
        <f t="shared" si="643"/>
        <v/>
      </c>
      <c r="Z2699">
        <f>IF($A2699="",0,IF(AND($M2699=1,$A2699=经营数据!$B$3,$J2699=经营数据!$BA$5,OR($I2699=经营数据!$BA$4,COUNTIF(经营数据!$AA$9:$AA$38,$I2699)&gt;0)),1,0))</f>
        <v>0</v>
      </c>
      <c r="AA2699" t="str">
        <f t="shared" si="644"/>
        <v/>
      </c>
      <c r="AB2699" t="str">
        <f t="shared" si="645"/>
        <v/>
      </c>
      <c r="AC2699">
        <f>IF($A2699="",0,IF(COUNTIF($A$2:$A2699,$A2699)=1,1,0))</f>
        <v>0</v>
      </c>
      <c r="AD2699">
        <f t="shared" si="646"/>
        <v>29</v>
      </c>
      <c r="AE2699" t="str">
        <f t="shared" si="647"/>
        <v/>
      </c>
    </row>
    <row r="2700" spans="1:31" x14ac:dyDescent="0.4">
      <c r="A2700" t="str">
        <f>IF(原始经营数据!$D2701="","",原始经营数据!$D2701)</f>
        <v/>
      </c>
      <c r="B2700" t="str">
        <f>IF(原始经营数据!$D2701="","",T(原始经营数据!$E2701))</f>
        <v/>
      </c>
      <c r="C2700" t="str">
        <f>IF(原始经营数据!$D2701="","",原始经营数据!$F2701)</f>
        <v/>
      </c>
      <c r="D2700" t="str">
        <f>IF(原始经营数据!$D2701="","",原始经营数据!$H2701)</f>
        <v/>
      </c>
      <c r="E2700" t="str">
        <f>IF(原始经营数据!$D2701="","",原始经营数据!$I2701)</f>
        <v/>
      </c>
      <c r="F2700" t="str">
        <f>IF(原始经营数据!$D2701="","",T(原始经营数据!$J2701))</f>
        <v/>
      </c>
      <c r="G2700" t="str">
        <f>IF(原始经营数据!$D2701="","",T(原始经营数据!$K2701))</f>
        <v/>
      </c>
      <c r="H2700" t="str">
        <f>IF(原始经营数据!$D2701="","",原始经营数据!$G2701)</f>
        <v/>
      </c>
      <c r="I2700" t="str">
        <f>IF($A2700="","",IF($B2700&lt;&gt;"",$B2700,IF(COUNTIFS(原始经营数据!$D$3:$D$3001,$A2700,原始经营数据!$E$3:$E$3001,"",原始经营数据!$F$3:$F$3001,$C2700,原始经营数据!$H$3:$H$3001,$D2700,原始经营数据!$K$3:$K$3001,$G2700)&gt;1,"基金整体·来源"&amp;原始经营数据!$A2701,"基金整体")))</f>
        <v/>
      </c>
      <c r="J2700" t="str">
        <f t="shared" si="633"/>
        <v/>
      </c>
      <c r="K2700" t="str">
        <f t="shared" si="634"/>
        <v/>
      </c>
      <c r="L2700" t="str">
        <f t="shared" si="635"/>
        <v/>
      </c>
      <c r="M2700">
        <f>IF($A2700="",0,IF(COUNTIF($L$2:$L2700,$L2700)=1,1,0))</f>
        <v>0</v>
      </c>
      <c r="N2700" t="str">
        <f t="shared" si="636"/>
        <v/>
      </c>
      <c r="O2700" t="str">
        <f t="shared" si="637"/>
        <v/>
      </c>
      <c r="P2700">
        <f>IF($A2700="",0,IF(COUNTIF($O$2:$O2700,$O2700)=1,1,0))</f>
        <v>0</v>
      </c>
      <c r="Q2700" t="str">
        <f>IF(AND($P2700=1,$A2700=经营数据!$B$3,$J2700=经营数据!$BA$5),COUNTIFS($P$2:$P$3000,1,$A$2:$A$3000,$A2700,$J$2:$J$3000,$J2700,$N$2:$N$3000,"&lt;"&amp;$N2700)+1,"")</f>
        <v/>
      </c>
      <c r="R2700" t="str">
        <f t="shared" si="638"/>
        <v/>
      </c>
      <c r="S2700">
        <f>IF($A2700="",0,IF(COUNTIF($R$2:$R2700,$R2700)=1,1,0))</f>
        <v>0</v>
      </c>
      <c r="T2700" t="str">
        <f t="shared" si="639"/>
        <v/>
      </c>
      <c r="U2700" t="str">
        <f>IF($A2700="","",IF($A2700=经营数据!$B$3,COUNTIFS($S$2:$S$3000,1,$A$2:$A$3000,$A2700,$T$2:$T$3000,"&lt;"&amp;$T2700)+1,""))</f>
        <v/>
      </c>
      <c r="V2700" t="str">
        <f t="shared" si="640"/>
        <v/>
      </c>
      <c r="W2700" t="str">
        <f t="shared" si="641"/>
        <v/>
      </c>
      <c r="X2700" t="str">
        <f t="shared" si="642"/>
        <v/>
      </c>
      <c r="Y2700" t="str">
        <f t="shared" si="643"/>
        <v/>
      </c>
      <c r="Z2700">
        <f>IF($A2700="",0,IF(AND($M2700=1,$A2700=经营数据!$B$3,$J2700=经营数据!$BA$5,OR($I2700=经营数据!$BA$4,COUNTIF(经营数据!$AA$9:$AA$38,$I2700)&gt;0)),1,0))</f>
        <v>0</v>
      </c>
      <c r="AA2700" t="str">
        <f t="shared" si="644"/>
        <v/>
      </c>
      <c r="AB2700" t="str">
        <f t="shared" si="645"/>
        <v/>
      </c>
      <c r="AC2700">
        <f>IF($A2700="",0,IF(COUNTIF($A$2:$A2700,$A2700)=1,1,0))</f>
        <v>0</v>
      </c>
      <c r="AD2700">
        <f t="shared" si="646"/>
        <v>29</v>
      </c>
      <c r="AE2700" t="str">
        <f t="shared" si="647"/>
        <v/>
      </c>
    </row>
    <row r="2701" spans="1:31" x14ac:dyDescent="0.4">
      <c r="A2701" t="str">
        <f>IF(原始经营数据!$D2702="","",原始经营数据!$D2702)</f>
        <v/>
      </c>
      <c r="B2701" t="str">
        <f>IF(原始经营数据!$D2702="","",T(原始经营数据!$E2702))</f>
        <v/>
      </c>
      <c r="C2701" t="str">
        <f>IF(原始经营数据!$D2702="","",原始经营数据!$F2702)</f>
        <v/>
      </c>
      <c r="D2701" t="str">
        <f>IF(原始经营数据!$D2702="","",原始经营数据!$H2702)</f>
        <v/>
      </c>
      <c r="E2701" t="str">
        <f>IF(原始经营数据!$D2702="","",原始经营数据!$I2702)</f>
        <v/>
      </c>
      <c r="F2701" t="str">
        <f>IF(原始经营数据!$D2702="","",T(原始经营数据!$J2702))</f>
        <v/>
      </c>
      <c r="G2701" t="str">
        <f>IF(原始经营数据!$D2702="","",T(原始经营数据!$K2702))</f>
        <v/>
      </c>
      <c r="H2701" t="str">
        <f>IF(原始经营数据!$D2702="","",原始经营数据!$G2702)</f>
        <v/>
      </c>
      <c r="I2701" t="str">
        <f>IF($A2701="","",IF($B2701&lt;&gt;"",$B2701,IF(COUNTIFS(原始经营数据!$D$3:$D$3001,$A2701,原始经营数据!$E$3:$E$3001,"",原始经营数据!$F$3:$F$3001,$C2701,原始经营数据!$H$3:$H$3001,$D2701,原始经营数据!$K$3:$K$3001,$G2701)&gt;1,"基金整体·来源"&amp;原始经营数据!$A2702,"基金整体")))</f>
        <v/>
      </c>
      <c r="J2701" t="str">
        <f t="shared" si="633"/>
        <v/>
      </c>
      <c r="K2701" t="str">
        <f t="shared" si="634"/>
        <v/>
      </c>
      <c r="L2701" t="str">
        <f t="shared" si="635"/>
        <v/>
      </c>
      <c r="M2701">
        <f>IF($A2701="",0,IF(COUNTIF($L$2:$L2701,$L2701)=1,1,0))</f>
        <v>0</v>
      </c>
      <c r="N2701" t="str">
        <f t="shared" si="636"/>
        <v/>
      </c>
      <c r="O2701" t="str">
        <f t="shared" si="637"/>
        <v/>
      </c>
      <c r="P2701">
        <f>IF($A2701="",0,IF(COUNTIF($O$2:$O2701,$O2701)=1,1,0))</f>
        <v>0</v>
      </c>
      <c r="Q2701" t="str">
        <f>IF(AND($P2701=1,$A2701=经营数据!$B$3,$J2701=经营数据!$BA$5),COUNTIFS($P$2:$P$3000,1,$A$2:$A$3000,$A2701,$J$2:$J$3000,$J2701,$N$2:$N$3000,"&lt;"&amp;$N2701)+1,"")</f>
        <v/>
      </c>
      <c r="R2701" t="str">
        <f t="shared" si="638"/>
        <v/>
      </c>
      <c r="S2701">
        <f>IF($A2701="",0,IF(COUNTIF($R$2:$R2701,$R2701)=1,1,0))</f>
        <v>0</v>
      </c>
      <c r="T2701" t="str">
        <f t="shared" si="639"/>
        <v/>
      </c>
      <c r="U2701" t="str">
        <f>IF($A2701="","",IF($A2701=经营数据!$B$3,COUNTIFS($S$2:$S$3000,1,$A$2:$A$3000,$A2701,$T$2:$T$3000,"&lt;"&amp;$T2701)+1,""))</f>
        <v/>
      </c>
      <c r="V2701" t="str">
        <f t="shared" si="640"/>
        <v/>
      </c>
      <c r="W2701" t="str">
        <f t="shared" si="641"/>
        <v/>
      </c>
      <c r="X2701" t="str">
        <f t="shared" si="642"/>
        <v/>
      </c>
      <c r="Y2701" t="str">
        <f t="shared" si="643"/>
        <v/>
      </c>
      <c r="Z2701">
        <f>IF($A2701="",0,IF(AND($M2701=1,$A2701=经营数据!$B$3,$J2701=经营数据!$BA$5,OR($I2701=经营数据!$BA$4,COUNTIF(经营数据!$AA$9:$AA$38,$I2701)&gt;0)),1,0))</f>
        <v>0</v>
      </c>
      <c r="AA2701" t="str">
        <f t="shared" si="644"/>
        <v/>
      </c>
      <c r="AB2701" t="str">
        <f t="shared" si="645"/>
        <v/>
      </c>
      <c r="AC2701">
        <f>IF($A2701="",0,IF(COUNTIF($A$2:$A2701,$A2701)=1,1,0))</f>
        <v>0</v>
      </c>
      <c r="AD2701">
        <f t="shared" si="646"/>
        <v>29</v>
      </c>
      <c r="AE2701" t="str">
        <f t="shared" si="647"/>
        <v/>
      </c>
    </row>
    <row r="2702" spans="1:31" x14ac:dyDescent="0.4">
      <c r="A2702" t="str">
        <f>IF(原始经营数据!$D2703="","",原始经营数据!$D2703)</f>
        <v/>
      </c>
      <c r="B2702" t="str">
        <f>IF(原始经营数据!$D2703="","",T(原始经营数据!$E2703))</f>
        <v/>
      </c>
      <c r="C2702" t="str">
        <f>IF(原始经营数据!$D2703="","",原始经营数据!$F2703)</f>
        <v/>
      </c>
      <c r="D2702" t="str">
        <f>IF(原始经营数据!$D2703="","",原始经营数据!$H2703)</f>
        <v/>
      </c>
      <c r="E2702" t="str">
        <f>IF(原始经营数据!$D2703="","",原始经营数据!$I2703)</f>
        <v/>
      </c>
      <c r="F2702" t="str">
        <f>IF(原始经营数据!$D2703="","",T(原始经营数据!$J2703))</f>
        <v/>
      </c>
      <c r="G2702" t="str">
        <f>IF(原始经营数据!$D2703="","",T(原始经营数据!$K2703))</f>
        <v/>
      </c>
      <c r="H2702" t="str">
        <f>IF(原始经营数据!$D2703="","",原始经营数据!$G2703)</f>
        <v/>
      </c>
      <c r="I2702" t="str">
        <f>IF($A2702="","",IF($B2702&lt;&gt;"",$B2702,IF(COUNTIFS(原始经营数据!$D$3:$D$3001,$A2702,原始经营数据!$E$3:$E$3001,"",原始经营数据!$F$3:$F$3001,$C2702,原始经营数据!$H$3:$H$3001,$D2702,原始经营数据!$K$3:$K$3001,$G2702)&gt;1,"基金整体·来源"&amp;原始经营数据!$A2703,"基金整体")))</f>
        <v/>
      </c>
      <c r="J2702" t="str">
        <f t="shared" si="633"/>
        <v/>
      </c>
      <c r="K2702" t="str">
        <f t="shared" si="634"/>
        <v/>
      </c>
      <c r="L2702" t="str">
        <f t="shared" si="635"/>
        <v/>
      </c>
      <c r="M2702">
        <f>IF($A2702="",0,IF(COUNTIF($L$2:$L2702,$L2702)=1,1,0))</f>
        <v>0</v>
      </c>
      <c r="N2702" t="str">
        <f t="shared" si="636"/>
        <v/>
      </c>
      <c r="O2702" t="str">
        <f t="shared" si="637"/>
        <v/>
      </c>
      <c r="P2702">
        <f>IF($A2702="",0,IF(COUNTIF($O$2:$O2702,$O2702)=1,1,0))</f>
        <v>0</v>
      </c>
      <c r="Q2702" t="str">
        <f>IF(AND($P2702=1,$A2702=经营数据!$B$3,$J2702=经营数据!$BA$5),COUNTIFS($P$2:$P$3000,1,$A$2:$A$3000,$A2702,$J$2:$J$3000,$J2702,$N$2:$N$3000,"&lt;"&amp;$N2702)+1,"")</f>
        <v/>
      </c>
      <c r="R2702" t="str">
        <f t="shared" si="638"/>
        <v/>
      </c>
      <c r="S2702">
        <f>IF($A2702="",0,IF(COUNTIF($R$2:$R2702,$R2702)=1,1,0))</f>
        <v>0</v>
      </c>
      <c r="T2702" t="str">
        <f t="shared" si="639"/>
        <v/>
      </c>
      <c r="U2702" t="str">
        <f>IF($A2702="","",IF($A2702=经营数据!$B$3,COUNTIFS($S$2:$S$3000,1,$A$2:$A$3000,$A2702,$T$2:$T$3000,"&lt;"&amp;$T2702)+1,""))</f>
        <v/>
      </c>
      <c r="V2702" t="str">
        <f t="shared" si="640"/>
        <v/>
      </c>
      <c r="W2702" t="str">
        <f t="shared" si="641"/>
        <v/>
      </c>
      <c r="X2702" t="str">
        <f t="shared" si="642"/>
        <v/>
      </c>
      <c r="Y2702" t="str">
        <f t="shared" si="643"/>
        <v/>
      </c>
      <c r="Z2702">
        <f>IF($A2702="",0,IF(AND($M2702=1,$A2702=经营数据!$B$3,$J2702=经营数据!$BA$5,OR($I2702=经营数据!$BA$4,COUNTIF(经营数据!$AA$9:$AA$38,$I2702)&gt;0)),1,0))</f>
        <v>0</v>
      </c>
      <c r="AA2702" t="str">
        <f t="shared" si="644"/>
        <v/>
      </c>
      <c r="AB2702" t="str">
        <f t="shared" si="645"/>
        <v/>
      </c>
      <c r="AC2702">
        <f>IF($A2702="",0,IF(COUNTIF($A$2:$A2702,$A2702)=1,1,0))</f>
        <v>0</v>
      </c>
      <c r="AD2702">
        <f t="shared" si="646"/>
        <v>29</v>
      </c>
      <c r="AE2702" t="str">
        <f t="shared" si="647"/>
        <v/>
      </c>
    </row>
    <row r="2703" spans="1:31" x14ac:dyDescent="0.4">
      <c r="A2703" t="str">
        <f>IF(原始经营数据!$D2704="","",原始经营数据!$D2704)</f>
        <v/>
      </c>
      <c r="B2703" t="str">
        <f>IF(原始经营数据!$D2704="","",T(原始经营数据!$E2704))</f>
        <v/>
      </c>
      <c r="C2703" t="str">
        <f>IF(原始经营数据!$D2704="","",原始经营数据!$F2704)</f>
        <v/>
      </c>
      <c r="D2703" t="str">
        <f>IF(原始经营数据!$D2704="","",原始经营数据!$H2704)</f>
        <v/>
      </c>
      <c r="E2703" t="str">
        <f>IF(原始经营数据!$D2704="","",原始经营数据!$I2704)</f>
        <v/>
      </c>
      <c r="F2703" t="str">
        <f>IF(原始经营数据!$D2704="","",T(原始经营数据!$J2704))</f>
        <v/>
      </c>
      <c r="G2703" t="str">
        <f>IF(原始经营数据!$D2704="","",T(原始经营数据!$K2704))</f>
        <v/>
      </c>
      <c r="H2703" t="str">
        <f>IF(原始经营数据!$D2704="","",原始经营数据!$G2704)</f>
        <v/>
      </c>
      <c r="I2703" t="str">
        <f>IF($A2703="","",IF($B2703&lt;&gt;"",$B2703,IF(COUNTIFS(原始经营数据!$D$3:$D$3001,$A2703,原始经营数据!$E$3:$E$3001,"",原始经营数据!$F$3:$F$3001,$C2703,原始经营数据!$H$3:$H$3001,$D2703,原始经营数据!$K$3:$K$3001,$G2703)&gt;1,"基金整体·来源"&amp;原始经营数据!$A2704,"基金整体")))</f>
        <v/>
      </c>
      <c r="J2703" t="str">
        <f t="shared" si="633"/>
        <v/>
      </c>
      <c r="K2703" t="str">
        <f t="shared" si="634"/>
        <v/>
      </c>
      <c r="L2703" t="str">
        <f t="shared" si="635"/>
        <v/>
      </c>
      <c r="M2703">
        <f>IF($A2703="",0,IF(COUNTIF($L$2:$L2703,$L2703)=1,1,0))</f>
        <v>0</v>
      </c>
      <c r="N2703" t="str">
        <f t="shared" si="636"/>
        <v/>
      </c>
      <c r="O2703" t="str">
        <f t="shared" si="637"/>
        <v/>
      </c>
      <c r="P2703">
        <f>IF($A2703="",0,IF(COUNTIF($O$2:$O2703,$O2703)=1,1,0))</f>
        <v>0</v>
      </c>
      <c r="Q2703" t="str">
        <f>IF(AND($P2703=1,$A2703=经营数据!$B$3,$J2703=经营数据!$BA$5),COUNTIFS($P$2:$P$3000,1,$A$2:$A$3000,$A2703,$J$2:$J$3000,$J2703,$N$2:$N$3000,"&lt;"&amp;$N2703)+1,"")</f>
        <v/>
      </c>
      <c r="R2703" t="str">
        <f t="shared" si="638"/>
        <v/>
      </c>
      <c r="S2703">
        <f>IF($A2703="",0,IF(COUNTIF($R$2:$R2703,$R2703)=1,1,0))</f>
        <v>0</v>
      </c>
      <c r="T2703" t="str">
        <f t="shared" si="639"/>
        <v/>
      </c>
      <c r="U2703" t="str">
        <f>IF($A2703="","",IF($A2703=经营数据!$B$3,COUNTIFS($S$2:$S$3000,1,$A$2:$A$3000,$A2703,$T$2:$T$3000,"&lt;"&amp;$T2703)+1,""))</f>
        <v/>
      </c>
      <c r="V2703" t="str">
        <f t="shared" si="640"/>
        <v/>
      </c>
      <c r="W2703" t="str">
        <f t="shared" si="641"/>
        <v/>
      </c>
      <c r="X2703" t="str">
        <f t="shared" si="642"/>
        <v/>
      </c>
      <c r="Y2703" t="str">
        <f t="shared" si="643"/>
        <v/>
      </c>
      <c r="Z2703">
        <f>IF($A2703="",0,IF(AND($M2703=1,$A2703=经营数据!$B$3,$J2703=经营数据!$BA$5,OR($I2703=经营数据!$BA$4,COUNTIF(经营数据!$AA$9:$AA$38,$I2703)&gt;0)),1,0))</f>
        <v>0</v>
      </c>
      <c r="AA2703" t="str">
        <f t="shared" si="644"/>
        <v/>
      </c>
      <c r="AB2703" t="str">
        <f t="shared" si="645"/>
        <v/>
      </c>
      <c r="AC2703">
        <f>IF($A2703="",0,IF(COUNTIF($A$2:$A2703,$A2703)=1,1,0))</f>
        <v>0</v>
      </c>
      <c r="AD2703">
        <f t="shared" si="646"/>
        <v>29</v>
      </c>
      <c r="AE2703" t="str">
        <f t="shared" si="647"/>
        <v/>
      </c>
    </row>
    <row r="2704" spans="1:31" x14ac:dyDescent="0.4">
      <c r="A2704" t="str">
        <f>IF(原始经营数据!$D2705="","",原始经营数据!$D2705)</f>
        <v/>
      </c>
      <c r="B2704" t="str">
        <f>IF(原始经营数据!$D2705="","",T(原始经营数据!$E2705))</f>
        <v/>
      </c>
      <c r="C2704" t="str">
        <f>IF(原始经营数据!$D2705="","",原始经营数据!$F2705)</f>
        <v/>
      </c>
      <c r="D2704" t="str">
        <f>IF(原始经营数据!$D2705="","",原始经营数据!$H2705)</f>
        <v/>
      </c>
      <c r="E2704" t="str">
        <f>IF(原始经营数据!$D2705="","",原始经营数据!$I2705)</f>
        <v/>
      </c>
      <c r="F2704" t="str">
        <f>IF(原始经营数据!$D2705="","",T(原始经营数据!$J2705))</f>
        <v/>
      </c>
      <c r="G2704" t="str">
        <f>IF(原始经营数据!$D2705="","",T(原始经营数据!$K2705))</f>
        <v/>
      </c>
      <c r="H2704" t="str">
        <f>IF(原始经营数据!$D2705="","",原始经营数据!$G2705)</f>
        <v/>
      </c>
      <c r="I2704" t="str">
        <f>IF($A2704="","",IF($B2704&lt;&gt;"",$B2704,IF(COUNTIFS(原始经营数据!$D$3:$D$3001,$A2704,原始经营数据!$E$3:$E$3001,"",原始经营数据!$F$3:$F$3001,$C2704,原始经营数据!$H$3:$H$3001,$D2704,原始经营数据!$K$3:$K$3001,$G2704)&gt;1,"基金整体·来源"&amp;原始经营数据!$A2705,"基金整体")))</f>
        <v/>
      </c>
      <c r="J2704" t="str">
        <f t="shared" si="633"/>
        <v/>
      </c>
      <c r="K2704" t="str">
        <f t="shared" si="634"/>
        <v/>
      </c>
      <c r="L2704" t="str">
        <f t="shared" si="635"/>
        <v/>
      </c>
      <c r="M2704">
        <f>IF($A2704="",0,IF(COUNTIF($L$2:$L2704,$L2704)=1,1,0))</f>
        <v>0</v>
      </c>
      <c r="N2704" t="str">
        <f t="shared" si="636"/>
        <v/>
      </c>
      <c r="O2704" t="str">
        <f t="shared" si="637"/>
        <v/>
      </c>
      <c r="P2704">
        <f>IF($A2704="",0,IF(COUNTIF($O$2:$O2704,$O2704)=1,1,0))</f>
        <v>0</v>
      </c>
      <c r="Q2704" t="str">
        <f>IF(AND($P2704=1,$A2704=经营数据!$B$3,$J2704=经营数据!$BA$5),COUNTIFS($P$2:$P$3000,1,$A$2:$A$3000,$A2704,$J$2:$J$3000,$J2704,$N$2:$N$3000,"&lt;"&amp;$N2704)+1,"")</f>
        <v/>
      </c>
      <c r="R2704" t="str">
        <f t="shared" si="638"/>
        <v/>
      </c>
      <c r="S2704">
        <f>IF($A2704="",0,IF(COUNTIF($R$2:$R2704,$R2704)=1,1,0))</f>
        <v>0</v>
      </c>
      <c r="T2704" t="str">
        <f t="shared" si="639"/>
        <v/>
      </c>
      <c r="U2704" t="str">
        <f>IF($A2704="","",IF($A2704=经营数据!$B$3,COUNTIFS($S$2:$S$3000,1,$A$2:$A$3000,$A2704,$T$2:$T$3000,"&lt;"&amp;$T2704)+1,""))</f>
        <v/>
      </c>
      <c r="V2704" t="str">
        <f t="shared" si="640"/>
        <v/>
      </c>
      <c r="W2704" t="str">
        <f t="shared" si="641"/>
        <v/>
      </c>
      <c r="X2704" t="str">
        <f t="shared" si="642"/>
        <v/>
      </c>
      <c r="Y2704" t="str">
        <f t="shared" si="643"/>
        <v/>
      </c>
      <c r="Z2704">
        <f>IF($A2704="",0,IF(AND($M2704=1,$A2704=经营数据!$B$3,$J2704=经营数据!$BA$5,OR($I2704=经营数据!$BA$4,COUNTIF(经营数据!$AA$9:$AA$38,$I2704)&gt;0)),1,0))</f>
        <v>0</v>
      </c>
      <c r="AA2704" t="str">
        <f t="shared" si="644"/>
        <v/>
      </c>
      <c r="AB2704" t="str">
        <f t="shared" si="645"/>
        <v/>
      </c>
      <c r="AC2704">
        <f>IF($A2704="",0,IF(COUNTIF($A$2:$A2704,$A2704)=1,1,0))</f>
        <v>0</v>
      </c>
      <c r="AD2704">
        <f t="shared" si="646"/>
        <v>29</v>
      </c>
      <c r="AE2704" t="str">
        <f t="shared" si="647"/>
        <v/>
      </c>
    </row>
    <row r="2705" spans="1:31" x14ac:dyDescent="0.4">
      <c r="A2705" t="str">
        <f>IF(原始经营数据!$D2706="","",原始经营数据!$D2706)</f>
        <v/>
      </c>
      <c r="B2705" t="str">
        <f>IF(原始经营数据!$D2706="","",T(原始经营数据!$E2706))</f>
        <v/>
      </c>
      <c r="C2705" t="str">
        <f>IF(原始经营数据!$D2706="","",原始经营数据!$F2706)</f>
        <v/>
      </c>
      <c r="D2705" t="str">
        <f>IF(原始经营数据!$D2706="","",原始经营数据!$H2706)</f>
        <v/>
      </c>
      <c r="E2705" t="str">
        <f>IF(原始经营数据!$D2706="","",原始经营数据!$I2706)</f>
        <v/>
      </c>
      <c r="F2705" t="str">
        <f>IF(原始经营数据!$D2706="","",T(原始经营数据!$J2706))</f>
        <v/>
      </c>
      <c r="G2705" t="str">
        <f>IF(原始经营数据!$D2706="","",T(原始经营数据!$K2706))</f>
        <v/>
      </c>
      <c r="H2705" t="str">
        <f>IF(原始经营数据!$D2706="","",原始经营数据!$G2706)</f>
        <v/>
      </c>
      <c r="I2705" t="str">
        <f>IF($A2705="","",IF($B2705&lt;&gt;"",$B2705,IF(COUNTIFS(原始经营数据!$D$3:$D$3001,$A2705,原始经营数据!$E$3:$E$3001,"",原始经营数据!$F$3:$F$3001,$C2705,原始经营数据!$H$3:$H$3001,$D2705,原始经营数据!$K$3:$K$3001,$G2705)&gt;1,"基金整体·来源"&amp;原始经营数据!$A2706,"基金整体")))</f>
        <v/>
      </c>
      <c r="J2705" t="str">
        <f t="shared" si="633"/>
        <v/>
      </c>
      <c r="K2705" t="str">
        <f t="shared" si="634"/>
        <v/>
      </c>
      <c r="L2705" t="str">
        <f t="shared" si="635"/>
        <v/>
      </c>
      <c r="M2705">
        <f>IF($A2705="",0,IF(COUNTIF($L$2:$L2705,$L2705)=1,1,0))</f>
        <v>0</v>
      </c>
      <c r="N2705" t="str">
        <f t="shared" si="636"/>
        <v/>
      </c>
      <c r="O2705" t="str">
        <f t="shared" si="637"/>
        <v/>
      </c>
      <c r="P2705">
        <f>IF($A2705="",0,IF(COUNTIF($O$2:$O2705,$O2705)=1,1,0))</f>
        <v>0</v>
      </c>
      <c r="Q2705" t="str">
        <f>IF(AND($P2705=1,$A2705=经营数据!$B$3,$J2705=经营数据!$BA$5),COUNTIFS($P$2:$P$3000,1,$A$2:$A$3000,$A2705,$J$2:$J$3000,$J2705,$N$2:$N$3000,"&lt;"&amp;$N2705)+1,"")</f>
        <v/>
      </c>
      <c r="R2705" t="str">
        <f t="shared" si="638"/>
        <v/>
      </c>
      <c r="S2705">
        <f>IF($A2705="",0,IF(COUNTIF($R$2:$R2705,$R2705)=1,1,0))</f>
        <v>0</v>
      </c>
      <c r="T2705" t="str">
        <f t="shared" si="639"/>
        <v/>
      </c>
      <c r="U2705" t="str">
        <f>IF($A2705="","",IF($A2705=经营数据!$B$3,COUNTIFS($S$2:$S$3000,1,$A$2:$A$3000,$A2705,$T$2:$T$3000,"&lt;"&amp;$T2705)+1,""))</f>
        <v/>
      </c>
      <c r="V2705" t="str">
        <f t="shared" si="640"/>
        <v/>
      </c>
      <c r="W2705" t="str">
        <f t="shared" si="641"/>
        <v/>
      </c>
      <c r="X2705" t="str">
        <f t="shared" si="642"/>
        <v/>
      </c>
      <c r="Y2705" t="str">
        <f t="shared" si="643"/>
        <v/>
      </c>
      <c r="Z2705">
        <f>IF($A2705="",0,IF(AND($M2705=1,$A2705=经营数据!$B$3,$J2705=经营数据!$BA$5,OR($I2705=经营数据!$BA$4,COUNTIF(经营数据!$AA$9:$AA$38,$I2705)&gt;0)),1,0))</f>
        <v>0</v>
      </c>
      <c r="AA2705" t="str">
        <f t="shared" si="644"/>
        <v/>
      </c>
      <c r="AB2705" t="str">
        <f t="shared" si="645"/>
        <v/>
      </c>
      <c r="AC2705">
        <f>IF($A2705="",0,IF(COUNTIF($A$2:$A2705,$A2705)=1,1,0))</f>
        <v>0</v>
      </c>
      <c r="AD2705">
        <f t="shared" si="646"/>
        <v>29</v>
      </c>
      <c r="AE2705" t="str">
        <f t="shared" si="647"/>
        <v/>
      </c>
    </row>
    <row r="2706" spans="1:31" x14ac:dyDescent="0.4">
      <c r="A2706" t="str">
        <f>IF(原始经营数据!$D2707="","",原始经营数据!$D2707)</f>
        <v/>
      </c>
      <c r="B2706" t="str">
        <f>IF(原始经营数据!$D2707="","",T(原始经营数据!$E2707))</f>
        <v/>
      </c>
      <c r="C2706" t="str">
        <f>IF(原始经营数据!$D2707="","",原始经营数据!$F2707)</f>
        <v/>
      </c>
      <c r="D2706" t="str">
        <f>IF(原始经营数据!$D2707="","",原始经营数据!$H2707)</f>
        <v/>
      </c>
      <c r="E2706" t="str">
        <f>IF(原始经营数据!$D2707="","",原始经营数据!$I2707)</f>
        <v/>
      </c>
      <c r="F2706" t="str">
        <f>IF(原始经营数据!$D2707="","",T(原始经营数据!$J2707))</f>
        <v/>
      </c>
      <c r="G2706" t="str">
        <f>IF(原始经营数据!$D2707="","",T(原始经营数据!$K2707))</f>
        <v/>
      </c>
      <c r="H2706" t="str">
        <f>IF(原始经营数据!$D2707="","",原始经营数据!$G2707)</f>
        <v/>
      </c>
      <c r="I2706" t="str">
        <f>IF($A2706="","",IF($B2706&lt;&gt;"",$B2706,IF(COUNTIFS(原始经营数据!$D$3:$D$3001,$A2706,原始经营数据!$E$3:$E$3001,"",原始经营数据!$F$3:$F$3001,$C2706,原始经营数据!$H$3:$H$3001,$D2706,原始经营数据!$K$3:$K$3001,$G2706)&gt;1,"基金整体·来源"&amp;原始经营数据!$A2707,"基金整体")))</f>
        <v/>
      </c>
      <c r="J2706" t="str">
        <f t="shared" si="633"/>
        <v/>
      </c>
      <c r="K2706" t="str">
        <f t="shared" si="634"/>
        <v/>
      </c>
      <c r="L2706" t="str">
        <f t="shared" si="635"/>
        <v/>
      </c>
      <c r="M2706">
        <f>IF($A2706="",0,IF(COUNTIF($L$2:$L2706,$L2706)=1,1,0))</f>
        <v>0</v>
      </c>
      <c r="N2706" t="str">
        <f t="shared" si="636"/>
        <v/>
      </c>
      <c r="O2706" t="str">
        <f t="shared" si="637"/>
        <v/>
      </c>
      <c r="P2706">
        <f>IF($A2706="",0,IF(COUNTIF($O$2:$O2706,$O2706)=1,1,0))</f>
        <v>0</v>
      </c>
      <c r="Q2706" t="str">
        <f>IF(AND($P2706=1,$A2706=经营数据!$B$3,$J2706=经营数据!$BA$5),COUNTIFS($P$2:$P$3000,1,$A$2:$A$3000,$A2706,$J$2:$J$3000,$J2706,$N$2:$N$3000,"&lt;"&amp;$N2706)+1,"")</f>
        <v/>
      </c>
      <c r="R2706" t="str">
        <f t="shared" si="638"/>
        <v/>
      </c>
      <c r="S2706">
        <f>IF($A2706="",0,IF(COUNTIF($R$2:$R2706,$R2706)=1,1,0))</f>
        <v>0</v>
      </c>
      <c r="T2706" t="str">
        <f t="shared" si="639"/>
        <v/>
      </c>
      <c r="U2706" t="str">
        <f>IF($A2706="","",IF($A2706=经营数据!$B$3,COUNTIFS($S$2:$S$3000,1,$A$2:$A$3000,$A2706,$T$2:$T$3000,"&lt;"&amp;$T2706)+1,""))</f>
        <v/>
      </c>
      <c r="V2706" t="str">
        <f t="shared" si="640"/>
        <v/>
      </c>
      <c r="W2706" t="str">
        <f t="shared" si="641"/>
        <v/>
      </c>
      <c r="X2706" t="str">
        <f t="shared" si="642"/>
        <v/>
      </c>
      <c r="Y2706" t="str">
        <f t="shared" si="643"/>
        <v/>
      </c>
      <c r="Z2706">
        <f>IF($A2706="",0,IF(AND($M2706=1,$A2706=经营数据!$B$3,$J2706=经营数据!$BA$5,OR($I2706=经营数据!$BA$4,COUNTIF(经营数据!$AA$9:$AA$38,$I2706)&gt;0)),1,0))</f>
        <v>0</v>
      </c>
      <c r="AA2706" t="str">
        <f t="shared" si="644"/>
        <v/>
      </c>
      <c r="AB2706" t="str">
        <f t="shared" si="645"/>
        <v/>
      </c>
      <c r="AC2706">
        <f>IF($A2706="",0,IF(COUNTIF($A$2:$A2706,$A2706)=1,1,0))</f>
        <v>0</v>
      </c>
      <c r="AD2706">
        <f t="shared" si="646"/>
        <v>29</v>
      </c>
      <c r="AE2706" t="str">
        <f t="shared" si="647"/>
        <v/>
      </c>
    </row>
    <row r="2707" spans="1:31" x14ac:dyDescent="0.4">
      <c r="A2707" t="str">
        <f>IF(原始经营数据!$D2708="","",原始经营数据!$D2708)</f>
        <v/>
      </c>
      <c r="B2707" t="str">
        <f>IF(原始经营数据!$D2708="","",T(原始经营数据!$E2708))</f>
        <v/>
      </c>
      <c r="C2707" t="str">
        <f>IF(原始经营数据!$D2708="","",原始经营数据!$F2708)</f>
        <v/>
      </c>
      <c r="D2707" t="str">
        <f>IF(原始经营数据!$D2708="","",原始经营数据!$H2708)</f>
        <v/>
      </c>
      <c r="E2707" t="str">
        <f>IF(原始经营数据!$D2708="","",原始经营数据!$I2708)</f>
        <v/>
      </c>
      <c r="F2707" t="str">
        <f>IF(原始经营数据!$D2708="","",T(原始经营数据!$J2708))</f>
        <v/>
      </c>
      <c r="G2707" t="str">
        <f>IF(原始经营数据!$D2708="","",T(原始经营数据!$K2708))</f>
        <v/>
      </c>
      <c r="H2707" t="str">
        <f>IF(原始经营数据!$D2708="","",原始经营数据!$G2708)</f>
        <v/>
      </c>
      <c r="I2707" t="str">
        <f>IF($A2707="","",IF($B2707&lt;&gt;"",$B2707,IF(COUNTIFS(原始经营数据!$D$3:$D$3001,$A2707,原始经营数据!$E$3:$E$3001,"",原始经营数据!$F$3:$F$3001,$C2707,原始经营数据!$H$3:$H$3001,$D2707,原始经营数据!$K$3:$K$3001,$G2707)&gt;1,"基金整体·来源"&amp;原始经营数据!$A2708,"基金整体")))</f>
        <v/>
      </c>
      <c r="J2707" t="str">
        <f t="shared" si="633"/>
        <v/>
      </c>
      <c r="K2707" t="str">
        <f t="shared" si="634"/>
        <v/>
      </c>
      <c r="L2707" t="str">
        <f t="shared" si="635"/>
        <v/>
      </c>
      <c r="M2707">
        <f>IF($A2707="",0,IF(COUNTIF($L$2:$L2707,$L2707)=1,1,0))</f>
        <v>0</v>
      </c>
      <c r="N2707" t="str">
        <f t="shared" si="636"/>
        <v/>
      </c>
      <c r="O2707" t="str">
        <f t="shared" si="637"/>
        <v/>
      </c>
      <c r="P2707">
        <f>IF($A2707="",0,IF(COUNTIF($O$2:$O2707,$O2707)=1,1,0))</f>
        <v>0</v>
      </c>
      <c r="Q2707" t="str">
        <f>IF(AND($P2707=1,$A2707=经营数据!$B$3,$J2707=经营数据!$BA$5),COUNTIFS($P$2:$P$3000,1,$A$2:$A$3000,$A2707,$J$2:$J$3000,$J2707,$N$2:$N$3000,"&lt;"&amp;$N2707)+1,"")</f>
        <v/>
      </c>
      <c r="R2707" t="str">
        <f t="shared" si="638"/>
        <v/>
      </c>
      <c r="S2707">
        <f>IF($A2707="",0,IF(COUNTIF($R$2:$R2707,$R2707)=1,1,0))</f>
        <v>0</v>
      </c>
      <c r="T2707" t="str">
        <f t="shared" si="639"/>
        <v/>
      </c>
      <c r="U2707" t="str">
        <f>IF($A2707="","",IF($A2707=经营数据!$B$3,COUNTIFS($S$2:$S$3000,1,$A$2:$A$3000,$A2707,$T$2:$T$3000,"&lt;"&amp;$T2707)+1,""))</f>
        <v/>
      </c>
      <c r="V2707" t="str">
        <f t="shared" si="640"/>
        <v/>
      </c>
      <c r="W2707" t="str">
        <f t="shared" si="641"/>
        <v/>
      </c>
      <c r="X2707" t="str">
        <f t="shared" si="642"/>
        <v/>
      </c>
      <c r="Y2707" t="str">
        <f t="shared" si="643"/>
        <v/>
      </c>
      <c r="Z2707">
        <f>IF($A2707="",0,IF(AND($M2707=1,$A2707=经营数据!$B$3,$J2707=经营数据!$BA$5,OR($I2707=经营数据!$BA$4,COUNTIF(经营数据!$AA$9:$AA$38,$I2707)&gt;0)),1,0))</f>
        <v>0</v>
      </c>
      <c r="AA2707" t="str">
        <f t="shared" si="644"/>
        <v/>
      </c>
      <c r="AB2707" t="str">
        <f t="shared" si="645"/>
        <v/>
      </c>
      <c r="AC2707">
        <f>IF($A2707="",0,IF(COUNTIF($A$2:$A2707,$A2707)=1,1,0))</f>
        <v>0</v>
      </c>
      <c r="AD2707">
        <f t="shared" si="646"/>
        <v>29</v>
      </c>
      <c r="AE2707" t="str">
        <f t="shared" si="647"/>
        <v/>
      </c>
    </row>
    <row r="2708" spans="1:31" x14ac:dyDescent="0.4">
      <c r="A2708" t="str">
        <f>IF(原始经营数据!$D2709="","",原始经营数据!$D2709)</f>
        <v/>
      </c>
      <c r="B2708" t="str">
        <f>IF(原始经营数据!$D2709="","",T(原始经营数据!$E2709))</f>
        <v/>
      </c>
      <c r="C2708" t="str">
        <f>IF(原始经营数据!$D2709="","",原始经营数据!$F2709)</f>
        <v/>
      </c>
      <c r="D2708" t="str">
        <f>IF(原始经营数据!$D2709="","",原始经营数据!$H2709)</f>
        <v/>
      </c>
      <c r="E2708" t="str">
        <f>IF(原始经营数据!$D2709="","",原始经营数据!$I2709)</f>
        <v/>
      </c>
      <c r="F2708" t="str">
        <f>IF(原始经营数据!$D2709="","",T(原始经营数据!$J2709))</f>
        <v/>
      </c>
      <c r="G2708" t="str">
        <f>IF(原始经营数据!$D2709="","",T(原始经营数据!$K2709))</f>
        <v/>
      </c>
      <c r="H2708" t="str">
        <f>IF(原始经营数据!$D2709="","",原始经营数据!$G2709)</f>
        <v/>
      </c>
      <c r="I2708" t="str">
        <f>IF($A2708="","",IF($B2708&lt;&gt;"",$B2708,IF(COUNTIFS(原始经营数据!$D$3:$D$3001,$A2708,原始经营数据!$E$3:$E$3001,"",原始经营数据!$F$3:$F$3001,$C2708,原始经营数据!$H$3:$H$3001,$D2708,原始经营数据!$K$3:$K$3001,$G2708)&gt;1,"基金整体·来源"&amp;原始经营数据!$A2709,"基金整体")))</f>
        <v/>
      </c>
      <c r="J2708" t="str">
        <f t="shared" si="633"/>
        <v/>
      </c>
      <c r="K2708" t="str">
        <f t="shared" si="634"/>
        <v/>
      </c>
      <c r="L2708" t="str">
        <f t="shared" si="635"/>
        <v/>
      </c>
      <c r="M2708">
        <f>IF($A2708="",0,IF(COUNTIF($L$2:$L2708,$L2708)=1,1,0))</f>
        <v>0</v>
      </c>
      <c r="N2708" t="str">
        <f t="shared" si="636"/>
        <v/>
      </c>
      <c r="O2708" t="str">
        <f t="shared" si="637"/>
        <v/>
      </c>
      <c r="P2708">
        <f>IF($A2708="",0,IF(COUNTIF($O$2:$O2708,$O2708)=1,1,0))</f>
        <v>0</v>
      </c>
      <c r="Q2708" t="str">
        <f>IF(AND($P2708=1,$A2708=经营数据!$B$3,$J2708=经营数据!$BA$5),COUNTIFS($P$2:$P$3000,1,$A$2:$A$3000,$A2708,$J$2:$J$3000,$J2708,$N$2:$N$3000,"&lt;"&amp;$N2708)+1,"")</f>
        <v/>
      </c>
      <c r="R2708" t="str">
        <f t="shared" si="638"/>
        <v/>
      </c>
      <c r="S2708">
        <f>IF($A2708="",0,IF(COUNTIF($R$2:$R2708,$R2708)=1,1,0))</f>
        <v>0</v>
      </c>
      <c r="T2708" t="str">
        <f t="shared" si="639"/>
        <v/>
      </c>
      <c r="U2708" t="str">
        <f>IF($A2708="","",IF($A2708=经营数据!$B$3,COUNTIFS($S$2:$S$3000,1,$A$2:$A$3000,$A2708,$T$2:$T$3000,"&lt;"&amp;$T2708)+1,""))</f>
        <v/>
      </c>
      <c r="V2708" t="str">
        <f t="shared" si="640"/>
        <v/>
      </c>
      <c r="W2708" t="str">
        <f t="shared" si="641"/>
        <v/>
      </c>
      <c r="X2708" t="str">
        <f t="shared" si="642"/>
        <v/>
      </c>
      <c r="Y2708" t="str">
        <f t="shared" si="643"/>
        <v/>
      </c>
      <c r="Z2708">
        <f>IF($A2708="",0,IF(AND($M2708=1,$A2708=经营数据!$B$3,$J2708=经营数据!$BA$5,OR($I2708=经营数据!$BA$4,COUNTIF(经营数据!$AA$9:$AA$38,$I2708)&gt;0)),1,0))</f>
        <v>0</v>
      </c>
      <c r="AA2708" t="str">
        <f t="shared" si="644"/>
        <v/>
      </c>
      <c r="AB2708" t="str">
        <f t="shared" si="645"/>
        <v/>
      </c>
      <c r="AC2708">
        <f>IF($A2708="",0,IF(COUNTIF($A$2:$A2708,$A2708)=1,1,0))</f>
        <v>0</v>
      </c>
      <c r="AD2708">
        <f t="shared" si="646"/>
        <v>29</v>
      </c>
      <c r="AE2708" t="str">
        <f t="shared" si="647"/>
        <v/>
      </c>
    </row>
    <row r="2709" spans="1:31" x14ac:dyDescent="0.4">
      <c r="A2709" t="str">
        <f>IF(原始经营数据!$D2710="","",原始经营数据!$D2710)</f>
        <v/>
      </c>
      <c r="B2709" t="str">
        <f>IF(原始经营数据!$D2710="","",T(原始经营数据!$E2710))</f>
        <v/>
      </c>
      <c r="C2709" t="str">
        <f>IF(原始经营数据!$D2710="","",原始经营数据!$F2710)</f>
        <v/>
      </c>
      <c r="D2709" t="str">
        <f>IF(原始经营数据!$D2710="","",原始经营数据!$H2710)</f>
        <v/>
      </c>
      <c r="E2709" t="str">
        <f>IF(原始经营数据!$D2710="","",原始经营数据!$I2710)</f>
        <v/>
      </c>
      <c r="F2709" t="str">
        <f>IF(原始经营数据!$D2710="","",T(原始经营数据!$J2710))</f>
        <v/>
      </c>
      <c r="G2709" t="str">
        <f>IF(原始经营数据!$D2710="","",T(原始经营数据!$K2710))</f>
        <v/>
      </c>
      <c r="H2709" t="str">
        <f>IF(原始经营数据!$D2710="","",原始经营数据!$G2710)</f>
        <v/>
      </c>
      <c r="I2709" t="str">
        <f>IF($A2709="","",IF($B2709&lt;&gt;"",$B2709,IF(COUNTIFS(原始经营数据!$D$3:$D$3001,$A2709,原始经营数据!$E$3:$E$3001,"",原始经营数据!$F$3:$F$3001,$C2709,原始经营数据!$H$3:$H$3001,$D2709,原始经营数据!$K$3:$K$3001,$G2709)&gt;1,"基金整体·来源"&amp;原始经营数据!$A2710,"基金整体")))</f>
        <v/>
      </c>
      <c r="J2709" t="str">
        <f t="shared" si="633"/>
        <v/>
      </c>
      <c r="K2709" t="str">
        <f t="shared" si="634"/>
        <v/>
      </c>
      <c r="L2709" t="str">
        <f t="shared" si="635"/>
        <v/>
      </c>
      <c r="M2709">
        <f>IF($A2709="",0,IF(COUNTIF($L$2:$L2709,$L2709)=1,1,0))</f>
        <v>0</v>
      </c>
      <c r="N2709" t="str">
        <f t="shared" si="636"/>
        <v/>
      </c>
      <c r="O2709" t="str">
        <f t="shared" si="637"/>
        <v/>
      </c>
      <c r="P2709">
        <f>IF($A2709="",0,IF(COUNTIF($O$2:$O2709,$O2709)=1,1,0))</f>
        <v>0</v>
      </c>
      <c r="Q2709" t="str">
        <f>IF(AND($P2709=1,$A2709=经营数据!$B$3,$J2709=经营数据!$BA$5),COUNTIFS($P$2:$P$3000,1,$A$2:$A$3000,$A2709,$J$2:$J$3000,$J2709,$N$2:$N$3000,"&lt;"&amp;$N2709)+1,"")</f>
        <v/>
      </c>
      <c r="R2709" t="str">
        <f t="shared" si="638"/>
        <v/>
      </c>
      <c r="S2709">
        <f>IF($A2709="",0,IF(COUNTIF($R$2:$R2709,$R2709)=1,1,0))</f>
        <v>0</v>
      </c>
      <c r="T2709" t="str">
        <f t="shared" si="639"/>
        <v/>
      </c>
      <c r="U2709" t="str">
        <f>IF($A2709="","",IF($A2709=经营数据!$B$3,COUNTIFS($S$2:$S$3000,1,$A$2:$A$3000,$A2709,$T$2:$T$3000,"&lt;"&amp;$T2709)+1,""))</f>
        <v/>
      </c>
      <c r="V2709" t="str">
        <f t="shared" si="640"/>
        <v/>
      </c>
      <c r="W2709" t="str">
        <f t="shared" si="641"/>
        <v/>
      </c>
      <c r="X2709" t="str">
        <f t="shared" si="642"/>
        <v/>
      </c>
      <c r="Y2709" t="str">
        <f t="shared" si="643"/>
        <v/>
      </c>
      <c r="Z2709">
        <f>IF($A2709="",0,IF(AND($M2709=1,$A2709=经营数据!$B$3,$J2709=经营数据!$BA$5,OR($I2709=经营数据!$BA$4,COUNTIF(经营数据!$AA$9:$AA$38,$I2709)&gt;0)),1,0))</f>
        <v>0</v>
      </c>
      <c r="AA2709" t="str">
        <f t="shared" si="644"/>
        <v/>
      </c>
      <c r="AB2709" t="str">
        <f t="shared" si="645"/>
        <v/>
      </c>
      <c r="AC2709">
        <f>IF($A2709="",0,IF(COUNTIF($A$2:$A2709,$A2709)=1,1,0))</f>
        <v>0</v>
      </c>
      <c r="AD2709">
        <f t="shared" si="646"/>
        <v>29</v>
      </c>
      <c r="AE2709" t="str">
        <f t="shared" si="647"/>
        <v/>
      </c>
    </row>
    <row r="2710" spans="1:31" x14ac:dyDescent="0.4">
      <c r="A2710" t="str">
        <f>IF(原始经营数据!$D2711="","",原始经营数据!$D2711)</f>
        <v/>
      </c>
      <c r="B2710" t="str">
        <f>IF(原始经营数据!$D2711="","",T(原始经营数据!$E2711))</f>
        <v/>
      </c>
      <c r="C2710" t="str">
        <f>IF(原始经营数据!$D2711="","",原始经营数据!$F2711)</f>
        <v/>
      </c>
      <c r="D2710" t="str">
        <f>IF(原始经营数据!$D2711="","",原始经营数据!$H2711)</f>
        <v/>
      </c>
      <c r="E2710" t="str">
        <f>IF(原始经营数据!$D2711="","",原始经营数据!$I2711)</f>
        <v/>
      </c>
      <c r="F2710" t="str">
        <f>IF(原始经营数据!$D2711="","",T(原始经营数据!$J2711))</f>
        <v/>
      </c>
      <c r="G2710" t="str">
        <f>IF(原始经营数据!$D2711="","",T(原始经营数据!$K2711))</f>
        <v/>
      </c>
      <c r="H2710" t="str">
        <f>IF(原始经营数据!$D2711="","",原始经营数据!$G2711)</f>
        <v/>
      </c>
      <c r="I2710" t="str">
        <f>IF($A2710="","",IF($B2710&lt;&gt;"",$B2710,IF(COUNTIFS(原始经营数据!$D$3:$D$3001,$A2710,原始经营数据!$E$3:$E$3001,"",原始经营数据!$F$3:$F$3001,$C2710,原始经营数据!$H$3:$H$3001,$D2710,原始经营数据!$K$3:$K$3001,$G2710)&gt;1,"基金整体·来源"&amp;原始经营数据!$A2711,"基金整体")))</f>
        <v/>
      </c>
      <c r="J2710" t="str">
        <f t="shared" si="633"/>
        <v/>
      </c>
      <c r="K2710" t="str">
        <f t="shared" si="634"/>
        <v/>
      </c>
      <c r="L2710" t="str">
        <f t="shared" si="635"/>
        <v/>
      </c>
      <c r="M2710">
        <f>IF($A2710="",0,IF(COUNTIF($L$2:$L2710,$L2710)=1,1,0))</f>
        <v>0</v>
      </c>
      <c r="N2710" t="str">
        <f t="shared" si="636"/>
        <v/>
      </c>
      <c r="O2710" t="str">
        <f t="shared" si="637"/>
        <v/>
      </c>
      <c r="P2710">
        <f>IF($A2710="",0,IF(COUNTIF($O$2:$O2710,$O2710)=1,1,0))</f>
        <v>0</v>
      </c>
      <c r="Q2710" t="str">
        <f>IF(AND($P2710=1,$A2710=经营数据!$B$3,$J2710=经营数据!$BA$5),COUNTIFS($P$2:$P$3000,1,$A$2:$A$3000,$A2710,$J$2:$J$3000,$J2710,$N$2:$N$3000,"&lt;"&amp;$N2710)+1,"")</f>
        <v/>
      </c>
      <c r="R2710" t="str">
        <f t="shared" si="638"/>
        <v/>
      </c>
      <c r="S2710">
        <f>IF($A2710="",0,IF(COUNTIF($R$2:$R2710,$R2710)=1,1,0))</f>
        <v>0</v>
      </c>
      <c r="T2710" t="str">
        <f t="shared" si="639"/>
        <v/>
      </c>
      <c r="U2710" t="str">
        <f>IF($A2710="","",IF($A2710=经营数据!$B$3,COUNTIFS($S$2:$S$3000,1,$A$2:$A$3000,$A2710,$T$2:$T$3000,"&lt;"&amp;$T2710)+1,""))</f>
        <v/>
      </c>
      <c r="V2710" t="str">
        <f t="shared" si="640"/>
        <v/>
      </c>
      <c r="W2710" t="str">
        <f t="shared" si="641"/>
        <v/>
      </c>
      <c r="X2710" t="str">
        <f t="shared" si="642"/>
        <v/>
      </c>
      <c r="Y2710" t="str">
        <f t="shared" si="643"/>
        <v/>
      </c>
      <c r="Z2710">
        <f>IF($A2710="",0,IF(AND($M2710=1,$A2710=经营数据!$B$3,$J2710=经营数据!$BA$5,OR($I2710=经营数据!$BA$4,COUNTIF(经营数据!$AA$9:$AA$38,$I2710)&gt;0)),1,0))</f>
        <v>0</v>
      </c>
      <c r="AA2710" t="str">
        <f t="shared" si="644"/>
        <v/>
      </c>
      <c r="AB2710" t="str">
        <f t="shared" si="645"/>
        <v/>
      </c>
      <c r="AC2710">
        <f>IF($A2710="",0,IF(COUNTIF($A$2:$A2710,$A2710)=1,1,0))</f>
        <v>0</v>
      </c>
      <c r="AD2710">
        <f t="shared" si="646"/>
        <v>29</v>
      </c>
      <c r="AE2710" t="str">
        <f t="shared" si="647"/>
        <v/>
      </c>
    </row>
    <row r="2711" spans="1:31" x14ac:dyDescent="0.4">
      <c r="A2711" t="str">
        <f>IF(原始经营数据!$D2712="","",原始经营数据!$D2712)</f>
        <v/>
      </c>
      <c r="B2711" t="str">
        <f>IF(原始经营数据!$D2712="","",T(原始经营数据!$E2712))</f>
        <v/>
      </c>
      <c r="C2711" t="str">
        <f>IF(原始经营数据!$D2712="","",原始经营数据!$F2712)</f>
        <v/>
      </c>
      <c r="D2711" t="str">
        <f>IF(原始经营数据!$D2712="","",原始经营数据!$H2712)</f>
        <v/>
      </c>
      <c r="E2711" t="str">
        <f>IF(原始经营数据!$D2712="","",原始经营数据!$I2712)</f>
        <v/>
      </c>
      <c r="F2711" t="str">
        <f>IF(原始经营数据!$D2712="","",T(原始经营数据!$J2712))</f>
        <v/>
      </c>
      <c r="G2711" t="str">
        <f>IF(原始经营数据!$D2712="","",T(原始经营数据!$K2712))</f>
        <v/>
      </c>
      <c r="H2711" t="str">
        <f>IF(原始经营数据!$D2712="","",原始经营数据!$G2712)</f>
        <v/>
      </c>
      <c r="I2711" t="str">
        <f>IF($A2711="","",IF($B2711&lt;&gt;"",$B2711,IF(COUNTIFS(原始经营数据!$D$3:$D$3001,$A2711,原始经营数据!$E$3:$E$3001,"",原始经营数据!$F$3:$F$3001,$C2711,原始经营数据!$H$3:$H$3001,$D2711,原始经营数据!$K$3:$K$3001,$G2711)&gt;1,"基金整体·来源"&amp;原始经营数据!$A2712,"基金整体")))</f>
        <v/>
      </c>
      <c r="J2711" t="str">
        <f t="shared" si="633"/>
        <v/>
      </c>
      <c r="K2711" t="str">
        <f t="shared" si="634"/>
        <v/>
      </c>
      <c r="L2711" t="str">
        <f t="shared" si="635"/>
        <v/>
      </c>
      <c r="M2711">
        <f>IF($A2711="",0,IF(COUNTIF($L$2:$L2711,$L2711)=1,1,0))</f>
        <v>0</v>
      </c>
      <c r="N2711" t="str">
        <f t="shared" si="636"/>
        <v/>
      </c>
      <c r="O2711" t="str">
        <f t="shared" si="637"/>
        <v/>
      </c>
      <c r="P2711">
        <f>IF($A2711="",0,IF(COUNTIF($O$2:$O2711,$O2711)=1,1,0))</f>
        <v>0</v>
      </c>
      <c r="Q2711" t="str">
        <f>IF(AND($P2711=1,$A2711=经营数据!$B$3,$J2711=经营数据!$BA$5),COUNTIFS($P$2:$P$3000,1,$A$2:$A$3000,$A2711,$J$2:$J$3000,$J2711,$N$2:$N$3000,"&lt;"&amp;$N2711)+1,"")</f>
        <v/>
      </c>
      <c r="R2711" t="str">
        <f t="shared" si="638"/>
        <v/>
      </c>
      <c r="S2711">
        <f>IF($A2711="",0,IF(COUNTIF($R$2:$R2711,$R2711)=1,1,0))</f>
        <v>0</v>
      </c>
      <c r="T2711" t="str">
        <f t="shared" si="639"/>
        <v/>
      </c>
      <c r="U2711" t="str">
        <f>IF($A2711="","",IF($A2711=经营数据!$B$3,COUNTIFS($S$2:$S$3000,1,$A$2:$A$3000,$A2711,$T$2:$T$3000,"&lt;"&amp;$T2711)+1,""))</f>
        <v/>
      </c>
      <c r="V2711" t="str">
        <f t="shared" si="640"/>
        <v/>
      </c>
      <c r="W2711" t="str">
        <f t="shared" si="641"/>
        <v/>
      </c>
      <c r="X2711" t="str">
        <f t="shared" si="642"/>
        <v/>
      </c>
      <c r="Y2711" t="str">
        <f t="shared" si="643"/>
        <v/>
      </c>
      <c r="Z2711">
        <f>IF($A2711="",0,IF(AND($M2711=1,$A2711=经营数据!$B$3,$J2711=经营数据!$BA$5,OR($I2711=经营数据!$BA$4,COUNTIF(经营数据!$AA$9:$AA$38,$I2711)&gt;0)),1,0))</f>
        <v>0</v>
      </c>
      <c r="AA2711" t="str">
        <f t="shared" si="644"/>
        <v/>
      </c>
      <c r="AB2711" t="str">
        <f t="shared" si="645"/>
        <v/>
      </c>
      <c r="AC2711">
        <f>IF($A2711="",0,IF(COUNTIF($A$2:$A2711,$A2711)=1,1,0))</f>
        <v>0</v>
      </c>
      <c r="AD2711">
        <f t="shared" si="646"/>
        <v>29</v>
      </c>
      <c r="AE2711" t="str">
        <f t="shared" si="647"/>
        <v/>
      </c>
    </row>
    <row r="2712" spans="1:31" x14ac:dyDescent="0.4">
      <c r="A2712" t="str">
        <f>IF(原始经营数据!$D2713="","",原始经营数据!$D2713)</f>
        <v/>
      </c>
      <c r="B2712" t="str">
        <f>IF(原始经营数据!$D2713="","",T(原始经营数据!$E2713))</f>
        <v/>
      </c>
      <c r="C2712" t="str">
        <f>IF(原始经营数据!$D2713="","",原始经营数据!$F2713)</f>
        <v/>
      </c>
      <c r="D2712" t="str">
        <f>IF(原始经营数据!$D2713="","",原始经营数据!$H2713)</f>
        <v/>
      </c>
      <c r="E2712" t="str">
        <f>IF(原始经营数据!$D2713="","",原始经营数据!$I2713)</f>
        <v/>
      </c>
      <c r="F2712" t="str">
        <f>IF(原始经营数据!$D2713="","",T(原始经营数据!$J2713))</f>
        <v/>
      </c>
      <c r="G2712" t="str">
        <f>IF(原始经营数据!$D2713="","",T(原始经营数据!$K2713))</f>
        <v/>
      </c>
      <c r="H2712" t="str">
        <f>IF(原始经营数据!$D2713="","",原始经营数据!$G2713)</f>
        <v/>
      </c>
      <c r="I2712" t="str">
        <f>IF($A2712="","",IF($B2712&lt;&gt;"",$B2712,IF(COUNTIFS(原始经营数据!$D$3:$D$3001,$A2712,原始经营数据!$E$3:$E$3001,"",原始经营数据!$F$3:$F$3001,$C2712,原始经营数据!$H$3:$H$3001,$D2712,原始经营数据!$K$3:$K$3001,$G2712)&gt;1,"基金整体·来源"&amp;原始经营数据!$A2713,"基金整体")))</f>
        <v/>
      </c>
      <c r="J2712" t="str">
        <f t="shared" si="633"/>
        <v/>
      </c>
      <c r="K2712" t="str">
        <f t="shared" si="634"/>
        <v/>
      </c>
      <c r="L2712" t="str">
        <f t="shared" si="635"/>
        <v/>
      </c>
      <c r="M2712">
        <f>IF($A2712="",0,IF(COUNTIF($L$2:$L2712,$L2712)=1,1,0))</f>
        <v>0</v>
      </c>
      <c r="N2712" t="str">
        <f t="shared" si="636"/>
        <v/>
      </c>
      <c r="O2712" t="str">
        <f t="shared" si="637"/>
        <v/>
      </c>
      <c r="P2712">
        <f>IF($A2712="",0,IF(COUNTIF($O$2:$O2712,$O2712)=1,1,0))</f>
        <v>0</v>
      </c>
      <c r="Q2712" t="str">
        <f>IF(AND($P2712=1,$A2712=经营数据!$B$3,$J2712=经营数据!$BA$5),COUNTIFS($P$2:$P$3000,1,$A$2:$A$3000,$A2712,$J$2:$J$3000,$J2712,$N$2:$N$3000,"&lt;"&amp;$N2712)+1,"")</f>
        <v/>
      </c>
      <c r="R2712" t="str">
        <f t="shared" si="638"/>
        <v/>
      </c>
      <c r="S2712">
        <f>IF($A2712="",0,IF(COUNTIF($R$2:$R2712,$R2712)=1,1,0))</f>
        <v>0</v>
      </c>
      <c r="T2712" t="str">
        <f t="shared" si="639"/>
        <v/>
      </c>
      <c r="U2712" t="str">
        <f>IF($A2712="","",IF($A2712=经营数据!$B$3,COUNTIFS($S$2:$S$3000,1,$A$2:$A$3000,$A2712,$T$2:$T$3000,"&lt;"&amp;$T2712)+1,""))</f>
        <v/>
      </c>
      <c r="V2712" t="str">
        <f t="shared" si="640"/>
        <v/>
      </c>
      <c r="W2712" t="str">
        <f t="shared" si="641"/>
        <v/>
      </c>
      <c r="X2712" t="str">
        <f t="shared" si="642"/>
        <v/>
      </c>
      <c r="Y2712" t="str">
        <f t="shared" si="643"/>
        <v/>
      </c>
      <c r="Z2712">
        <f>IF($A2712="",0,IF(AND($M2712=1,$A2712=经营数据!$B$3,$J2712=经营数据!$BA$5,OR($I2712=经营数据!$BA$4,COUNTIF(经营数据!$AA$9:$AA$38,$I2712)&gt;0)),1,0))</f>
        <v>0</v>
      </c>
      <c r="AA2712" t="str">
        <f t="shared" si="644"/>
        <v/>
      </c>
      <c r="AB2712" t="str">
        <f t="shared" si="645"/>
        <v/>
      </c>
      <c r="AC2712">
        <f>IF($A2712="",0,IF(COUNTIF($A$2:$A2712,$A2712)=1,1,0))</f>
        <v>0</v>
      </c>
      <c r="AD2712">
        <f t="shared" si="646"/>
        <v>29</v>
      </c>
      <c r="AE2712" t="str">
        <f t="shared" si="647"/>
        <v/>
      </c>
    </row>
    <row r="2713" spans="1:31" x14ac:dyDescent="0.4">
      <c r="A2713" t="str">
        <f>IF(原始经营数据!$D2714="","",原始经营数据!$D2714)</f>
        <v/>
      </c>
      <c r="B2713" t="str">
        <f>IF(原始经营数据!$D2714="","",T(原始经营数据!$E2714))</f>
        <v/>
      </c>
      <c r="C2713" t="str">
        <f>IF(原始经营数据!$D2714="","",原始经营数据!$F2714)</f>
        <v/>
      </c>
      <c r="D2713" t="str">
        <f>IF(原始经营数据!$D2714="","",原始经营数据!$H2714)</f>
        <v/>
      </c>
      <c r="E2713" t="str">
        <f>IF(原始经营数据!$D2714="","",原始经营数据!$I2714)</f>
        <v/>
      </c>
      <c r="F2713" t="str">
        <f>IF(原始经营数据!$D2714="","",T(原始经营数据!$J2714))</f>
        <v/>
      </c>
      <c r="G2713" t="str">
        <f>IF(原始经营数据!$D2714="","",T(原始经营数据!$K2714))</f>
        <v/>
      </c>
      <c r="H2713" t="str">
        <f>IF(原始经营数据!$D2714="","",原始经营数据!$G2714)</f>
        <v/>
      </c>
      <c r="I2713" t="str">
        <f>IF($A2713="","",IF($B2713&lt;&gt;"",$B2713,IF(COUNTIFS(原始经营数据!$D$3:$D$3001,$A2713,原始经营数据!$E$3:$E$3001,"",原始经营数据!$F$3:$F$3001,$C2713,原始经营数据!$H$3:$H$3001,$D2713,原始经营数据!$K$3:$K$3001,$G2713)&gt;1,"基金整体·来源"&amp;原始经营数据!$A2714,"基金整体")))</f>
        <v/>
      </c>
      <c r="J2713" t="str">
        <f t="shared" si="633"/>
        <v/>
      </c>
      <c r="K2713" t="str">
        <f t="shared" si="634"/>
        <v/>
      </c>
      <c r="L2713" t="str">
        <f t="shared" si="635"/>
        <v/>
      </c>
      <c r="M2713">
        <f>IF($A2713="",0,IF(COUNTIF($L$2:$L2713,$L2713)=1,1,0))</f>
        <v>0</v>
      </c>
      <c r="N2713" t="str">
        <f t="shared" si="636"/>
        <v/>
      </c>
      <c r="O2713" t="str">
        <f t="shared" si="637"/>
        <v/>
      </c>
      <c r="P2713">
        <f>IF($A2713="",0,IF(COUNTIF($O$2:$O2713,$O2713)=1,1,0))</f>
        <v>0</v>
      </c>
      <c r="Q2713" t="str">
        <f>IF(AND($P2713=1,$A2713=经营数据!$B$3,$J2713=经营数据!$BA$5),COUNTIFS($P$2:$P$3000,1,$A$2:$A$3000,$A2713,$J$2:$J$3000,$J2713,$N$2:$N$3000,"&lt;"&amp;$N2713)+1,"")</f>
        <v/>
      </c>
      <c r="R2713" t="str">
        <f t="shared" si="638"/>
        <v/>
      </c>
      <c r="S2713">
        <f>IF($A2713="",0,IF(COUNTIF($R$2:$R2713,$R2713)=1,1,0))</f>
        <v>0</v>
      </c>
      <c r="T2713" t="str">
        <f t="shared" si="639"/>
        <v/>
      </c>
      <c r="U2713" t="str">
        <f>IF($A2713="","",IF($A2713=经营数据!$B$3,COUNTIFS($S$2:$S$3000,1,$A$2:$A$3000,$A2713,$T$2:$T$3000,"&lt;"&amp;$T2713)+1,""))</f>
        <v/>
      </c>
      <c r="V2713" t="str">
        <f t="shared" si="640"/>
        <v/>
      </c>
      <c r="W2713" t="str">
        <f t="shared" si="641"/>
        <v/>
      </c>
      <c r="X2713" t="str">
        <f t="shared" si="642"/>
        <v/>
      </c>
      <c r="Y2713" t="str">
        <f t="shared" si="643"/>
        <v/>
      </c>
      <c r="Z2713">
        <f>IF($A2713="",0,IF(AND($M2713=1,$A2713=经营数据!$B$3,$J2713=经营数据!$BA$5,OR($I2713=经营数据!$BA$4,COUNTIF(经营数据!$AA$9:$AA$38,$I2713)&gt;0)),1,0))</f>
        <v>0</v>
      </c>
      <c r="AA2713" t="str">
        <f t="shared" si="644"/>
        <v/>
      </c>
      <c r="AB2713" t="str">
        <f t="shared" si="645"/>
        <v/>
      </c>
      <c r="AC2713">
        <f>IF($A2713="",0,IF(COUNTIF($A$2:$A2713,$A2713)=1,1,0))</f>
        <v>0</v>
      </c>
      <c r="AD2713">
        <f t="shared" si="646"/>
        <v>29</v>
      </c>
      <c r="AE2713" t="str">
        <f t="shared" si="647"/>
        <v/>
      </c>
    </row>
    <row r="2714" spans="1:31" x14ac:dyDescent="0.4">
      <c r="A2714" t="str">
        <f>IF(原始经营数据!$D2715="","",原始经营数据!$D2715)</f>
        <v/>
      </c>
      <c r="B2714" t="str">
        <f>IF(原始经营数据!$D2715="","",T(原始经营数据!$E2715))</f>
        <v/>
      </c>
      <c r="C2714" t="str">
        <f>IF(原始经营数据!$D2715="","",原始经营数据!$F2715)</f>
        <v/>
      </c>
      <c r="D2714" t="str">
        <f>IF(原始经营数据!$D2715="","",原始经营数据!$H2715)</f>
        <v/>
      </c>
      <c r="E2714" t="str">
        <f>IF(原始经营数据!$D2715="","",原始经营数据!$I2715)</f>
        <v/>
      </c>
      <c r="F2714" t="str">
        <f>IF(原始经营数据!$D2715="","",T(原始经营数据!$J2715))</f>
        <v/>
      </c>
      <c r="G2714" t="str">
        <f>IF(原始经营数据!$D2715="","",T(原始经营数据!$K2715))</f>
        <v/>
      </c>
      <c r="H2714" t="str">
        <f>IF(原始经营数据!$D2715="","",原始经营数据!$G2715)</f>
        <v/>
      </c>
      <c r="I2714" t="str">
        <f>IF($A2714="","",IF($B2714&lt;&gt;"",$B2714,IF(COUNTIFS(原始经营数据!$D$3:$D$3001,$A2714,原始经营数据!$E$3:$E$3001,"",原始经营数据!$F$3:$F$3001,$C2714,原始经营数据!$H$3:$H$3001,$D2714,原始经营数据!$K$3:$K$3001,$G2714)&gt;1,"基金整体·来源"&amp;原始经营数据!$A2715,"基金整体")))</f>
        <v/>
      </c>
      <c r="J2714" t="str">
        <f t="shared" si="633"/>
        <v/>
      </c>
      <c r="K2714" t="str">
        <f t="shared" si="634"/>
        <v/>
      </c>
      <c r="L2714" t="str">
        <f t="shared" si="635"/>
        <v/>
      </c>
      <c r="M2714">
        <f>IF($A2714="",0,IF(COUNTIF($L$2:$L2714,$L2714)=1,1,0))</f>
        <v>0</v>
      </c>
      <c r="N2714" t="str">
        <f t="shared" si="636"/>
        <v/>
      </c>
      <c r="O2714" t="str">
        <f t="shared" si="637"/>
        <v/>
      </c>
      <c r="P2714">
        <f>IF($A2714="",0,IF(COUNTIF($O$2:$O2714,$O2714)=1,1,0))</f>
        <v>0</v>
      </c>
      <c r="Q2714" t="str">
        <f>IF(AND($P2714=1,$A2714=经营数据!$B$3,$J2714=经营数据!$BA$5),COUNTIFS($P$2:$P$3000,1,$A$2:$A$3000,$A2714,$J$2:$J$3000,$J2714,$N$2:$N$3000,"&lt;"&amp;$N2714)+1,"")</f>
        <v/>
      </c>
      <c r="R2714" t="str">
        <f t="shared" si="638"/>
        <v/>
      </c>
      <c r="S2714">
        <f>IF($A2714="",0,IF(COUNTIF($R$2:$R2714,$R2714)=1,1,0))</f>
        <v>0</v>
      </c>
      <c r="T2714" t="str">
        <f t="shared" si="639"/>
        <v/>
      </c>
      <c r="U2714" t="str">
        <f>IF($A2714="","",IF($A2714=经营数据!$B$3,COUNTIFS($S$2:$S$3000,1,$A$2:$A$3000,$A2714,$T$2:$T$3000,"&lt;"&amp;$T2714)+1,""))</f>
        <v/>
      </c>
      <c r="V2714" t="str">
        <f t="shared" si="640"/>
        <v/>
      </c>
      <c r="W2714" t="str">
        <f t="shared" si="641"/>
        <v/>
      </c>
      <c r="X2714" t="str">
        <f t="shared" si="642"/>
        <v/>
      </c>
      <c r="Y2714" t="str">
        <f t="shared" si="643"/>
        <v/>
      </c>
      <c r="Z2714">
        <f>IF($A2714="",0,IF(AND($M2714=1,$A2714=经营数据!$B$3,$J2714=经营数据!$BA$5,OR($I2714=经营数据!$BA$4,COUNTIF(经营数据!$AA$9:$AA$38,$I2714)&gt;0)),1,0))</f>
        <v>0</v>
      </c>
      <c r="AA2714" t="str">
        <f t="shared" si="644"/>
        <v/>
      </c>
      <c r="AB2714" t="str">
        <f t="shared" si="645"/>
        <v/>
      </c>
      <c r="AC2714">
        <f>IF($A2714="",0,IF(COUNTIF($A$2:$A2714,$A2714)=1,1,0))</f>
        <v>0</v>
      </c>
      <c r="AD2714">
        <f t="shared" si="646"/>
        <v>29</v>
      </c>
      <c r="AE2714" t="str">
        <f t="shared" si="647"/>
        <v/>
      </c>
    </row>
    <row r="2715" spans="1:31" x14ac:dyDescent="0.4">
      <c r="A2715" t="str">
        <f>IF(原始经营数据!$D2716="","",原始经营数据!$D2716)</f>
        <v/>
      </c>
      <c r="B2715" t="str">
        <f>IF(原始经营数据!$D2716="","",T(原始经营数据!$E2716))</f>
        <v/>
      </c>
      <c r="C2715" t="str">
        <f>IF(原始经营数据!$D2716="","",原始经营数据!$F2716)</f>
        <v/>
      </c>
      <c r="D2715" t="str">
        <f>IF(原始经营数据!$D2716="","",原始经营数据!$H2716)</f>
        <v/>
      </c>
      <c r="E2715" t="str">
        <f>IF(原始经营数据!$D2716="","",原始经营数据!$I2716)</f>
        <v/>
      </c>
      <c r="F2715" t="str">
        <f>IF(原始经营数据!$D2716="","",T(原始经营数据!$J2716))</f>
        <v/>
      </c>
      <c r="G2715" t="str">
        <f>IF(原始经营数据!$D2716="","",T(原始经营数据!$K2716))</f>
        <v/>
      </c>
      <c r="H2715" t="str">
        <f>IF(原始经营数据!$D2716="","",原始经营数据!$G2716)</f>
        <v/>
      </c>
      <c r="I2715" t="str">
        <f>IF($A2715="","",IF($B2715&lt;&gt;"",$B2715,IF(COUNTIFS(原始经营数据!$D$3:$D$3001,$A2715,原始经营数据!$E$3:$E$3001,"",原始经营数据!$F$3:$F$3001,$C2715,原始经营数据!$H$3:$H$3001,$D2715,原始经营数据!$K$3:$K$3001,$G2715)&gt;1,"基金整体·来源"&amp;原始经营数据!$A2716,"基金整体")))</f>
        <v/>
      </c>
      <c r="J2715" t="str">
        <f t="shared" si="633"/>
        <v/>
      </c>
      <c r="K2715" t="str">
        <f t="shared" si="634"/>
        <v/>
      </c>
      <c r="L2715" t="str">
        <f t="shared" si="635"/>
        <v/>
      </c>
      <c r="M2715">
        <f>IF($A2715="",0,IF(COUNTIF($L$2:$L2715,$L2715)=1,1,0))</f>
        <v>0</v>
      </c>
      <c r="N2715" t="str">
        <f t="shared" si="636"/>
        <v/>
      </c>
      <c r="O2715" t="str">
        <f t="shared" si="637"/>
        <v/>
      </c>
      <c r="P2715">
        <f>IF($A2715="",0,IF(COUNTIF($O$2:$O2715,$O2715)=1,1,0))</f>
        <v>0</v>
      </c>
      <c r="Q2715" t="str">
        <f>IF(AND($P2715=1,$A2715=经营数据!$B$3,$J2715=经营数据!$BA$5),COUNTIFS($P$2:$P$3000,1,$A$2:$A$3000,$A2715,$J$2:$J$3000,$J2715,$N$2:$N$3000,"&lt;"&amp;$N2715)+1,"")</f>
        <v/>
      </c>
      <c r="R2715" t="str">
        <f t="shared" si="638"/>
        <v/>
      </c>
      <c r="S2715">
        <f>IF($A2715="",0,IF(COUNTIF($R$2:$R2715,$R2715)=1,1,0))</f>
        <v>0</v>
      </c>
      <c r="T2715" t="str">
        <f t="shared" si="639"/>
        <v/>
      </c>
      <c r="U2715" t="str">
        <f>IF($A2715="","",IF($A2715=经营数据!$B$3,COUNTIFS($S$2:$S$3000,1,$A$2:$A$3000,$A2715,$T$2:$T$3000,"&lt;"&amp;$T2715)+1,""))</f>
        <v/>
      </c>
      <c r="V2715" t="str">
        <f t="shared" si="640"/>
        <v/>
      </c>
      <c r="W2715" t="str">
        <f t="shared" si="641"/>
        <v/>
      </c>
      <c r="X2715" t="str">
        <f t="shared" si="642"/>
        <v/>
      </c>
      <c r="Y2715" t="str">
        <f t="shared" si="643"/>
        <v/>
      </c>
      <c r="Z2715">
        <f>IF($A2715="",0,IF(AND($M2715=1,$A2715=经营数据!$B$3,$J2715=经营数据!$BA$5,OR($I2715=经营数据!$BA$4,COUNTIF(经营数据!$AA$9:$AA$38,$I2715)&gt;0)),1,0))</f>
        <v>0</v>
      </c>
      <c r="AA2715" t="str">
        <f t="shared" si="644"/>
        <v/>
      </c>
      <c r="AB2715" t="str">
        <f t="shared" si="645"/>
        <v/>
      </c>
      <c r="AC2715">
        <f>IF($A2715="",0,IF(COUNTIF($A$2:$A2715,$A2715)=1,1,0))</f>
        <v>0</v>
      </c>
      <c r="AD2715">
        <f t="shared" si="646"/>
        <v>29</v>
      </c>
      <c r="AE2715" t="str">
        <f t="shared" si="647"/>
        <v/>
      </c>
    </row>
    <row r="2716" spans="1:31" x14ac:dyDescent="0.4">
      <c r="A2716" t="str">
        <f>IF(原始经营数据!$D2717="","",原始经营数据!$D2717)</f>
        <v/>
      </c>
      <c r="B2716" t="str">
        <f>IF(原始经营数据!$D2717="","",T(原始经营数据!$E2717))</f>
        <v/>
      </c>
      <c r="C2716" t="str">
        <f>IF(原始经营数据!$D2717="","",原始经营数据!$F2717)</f>
        <v/>
      </c>
      <c r="D2716" t="str">
        <f>IF(原始经营数据!$D2717="","",原始经营数据!$H2717)</f>
        <v/>
      </c>
      <c r="E2716" t="str">
        <f>IF(原始经营数据!$D2717="","",原始经营数据!$I2717)</f>
        <v/>
      </c>
      <c r="F2716" t="str">
        <f>IF(原始经营数据!$D2717="","",T(原始经营数据!$J2717))</f>
        <v/>
      </c>
      <c r="G2716" t="str">
        <f>IF(原始经营数据!$D2717="","",T(原始经营数据!$K2717))</f>
        <v/>
      </c>
      <c r="H2716" t="str">
        <f>IF(原始经营数据!$D2717="","",原始经营数据!$G2717)</f>
        <v/>
      </c>
      <c r="I2716" t="str">
        <f>IF($A2716="","",IF($B2716&lt;&gt;"",$B2716,IF(COUNTIFS(原始经营数据!$D$3:$D$3001,$A2716,原始经营数据!$E$3:$E$3001,"",原始经营数据!$F$3:$F$3001,$C2716,原始经营数据!$H$3:$H$3001,$D2716,原始经营数据!$K$3:$K$3001,$G2716)&gt;1,"基金整体·来源"&amp;原始经营数据!$A2717,"基金整体")))</f>
        <v/>
      </c>
      <c r="J2716" t="str">
        <f t="shared" si="633"/>
        <v/>
      </c>
      <c r="K2716" t="str">
        <f t="shared" si="634"/>
        <v/>
      </c>
      <c r="L2716" t="str">
        <f t="shared" si="635"/>
        <v/>
      </c>
      <c r="M2716">
        <f>IF($A2716="",0,IF(COUNTIF($L$2:$L2716,$L2716)=1,1,0))</f>
        <v>0</v>
      </c>
      <c r="N2716" t="str">
        <f t="shared" si="636"/>
        <v/>
      </c>
      <c r="O2716" t="str">
        <f t="shared" si="637"/>
        <v/>
      </c>
      <c r="P2716">
        <f>IF($A2716="",0,IF(COUNTIF($O$2:$O2716,$O2716)=1,1,0))</f>
        <v>0</v>
      </c>
      <c r="Q2716" t="str">
        <f>IF(AND($P2716=1,$A2716=经营数据!$B$3,$J2716=经营数据!$BA$5),COUNTIFS($P$2:$P$3000,1,$A$2:$A$3000,$A2716,$J$2:$J$3000,$J2716,$N$2:$N$3000,"&lt;"&amp;$N2716)+1,"")</f>
        <v/>
      </c>
      <c r="R2716" t="str">
        <f t="shared" si="638"/>
        <v/>
      </c>
      <c r="S2716">
        <f>IF($A2716="",0,IF(COUNTIF($R$2:$R2716,$R2716)=1,1,0))</f>
        <v>0</v>
      </c>
      <c r="T2716" t="str">
        <f t="shared" si="639"/>
        <v/>
      </c>
      <c r="U2716" t="str">
        <f>IF($A2716="","",IF($A2716=经营数据!$B$3,COUNTIFS($S$2:$S$3000,1,$A$2:$A$3000,$A2716,$T$2:$T$3000,"&lt;"&amp;$T2716)+1,""))</f>
        <v/>
      </c>
      <c r="V2716" t="str">
        <f t="shared" si="640"/>
        <v/>
      </c>
      <c r="W2716" t="str">
        <f t="shared" si="641"/>
        <v/>
      </c>
      <c r="X2716" t="str">
        <f t="shared" si="642"/>
        <v/>
      </c>
      <c r="Y2716" t="str">
        <f t="shared" si="643"/>
        <v/>
      </c>
      <c r="Z2716">
        <f>IF($A2716="",0,IF(AND($M2716=1,$A2716=经营数据!$B$3,$J2716=经营数据!$BA$5,OR($I2716=经营数据!$BA$4,COUNTIF(经营数据!$AA$9:$AA$38,$I2716)&gt;0)),1,0))</f>
        <v>0</v>
      </c>
      <c r="AA2716" t="str">
        <f t="shared" si="644"/>
        <v/>
      </c>
      <c r="AB2716" t="str">
        <f t="shared" si="645"/>
        <v/>
      </c>
      <c r="AC2716">
        <f>IF($A2716="",0,IF(COUNTIF($A$2:$A2716,$A2716)=1,1,0))</f>
        <v>0</v>
      </c>
      <c r="AD2716">
        <f t="shared" si="646"/>
        <v>29</v>
      </c>
      <c r="AE2716" t="str">
        <f t="shared" si="647"/>
        <v/>
      </c>
    </row>
    <row r="2717" spans="1:31" x14ac:dyDescent="0.4">
      <c r="A2717" t="str">
        <f>IF(原始经营数据!$D2718="","",原始经营数据!$D2718)</f>
        <v/>
      </c>
      <c r="B2717" t="str">
        <f>IF(原始经营数据!$D2718="","",T(原始经营数据!$E2718))</f>
        <v/>
      </c>
      <c r="C2717" t="str">
        <f>IF(原始经营数据!$D2718="","",原始经营数据!$F2718)</f>
        <v/>
      </c>
      <c r="D2717" t="str">
        <f>IF(原始经营数据!$D2718="","",原始经营数据!$H2718)</f>
        <v/>
      </c>
      <c r="E2717" t="str">
        <f>IF(原始经营数据!$D2718="","",原始经营数据!$I2718)</f>
        <v/>
      </c>
      <c r="F2717" t="str">
        <f>IF(原始经营数据!$D2718="","",T(原始经营数据!$J2718))</f>
        <v/>
      </c>
      <c r="G2717" t="str">
        <f>IF(原始经营数据!$D2718="","",T(原始经营数据!$K2718))</f>
        <v/>
      </c>
      <c r="H2717" t="str">
        <f>IF(原始经营数据!$D2718="","",原始经营数据!$G2718)</f>
        <v/>
      </c>
      <c r="I2717" t="str">
        <f>IF($A2717="","",IF($B2717&lt;&gt;"",$B2717,IF(COUNTIFS(原始经营数据!$D$3:$D$3001,$A2717,原始经营数据!$E$3:$E$3001,"",原始经营数据!$F$3:$F$3001,$C2717,原始经营数据!$H$3:$H$3001,$D2717,原始经营数据!$K$3:$K$3001,$G2717)&gt;1,"基金整体·来源"&amp;原始经营数据!$A2718,"基金整体")))</f>
        <v/>
      </c>
      <c r="J2717" t="str">
        <f t="shared" si="633"/>
        <v/>
      </c>
      <c r="K2717" t="str">
        <f t="shared" si="634"/>
        <v/>
      </c>
      <c r="L2717" t="str">
        <f t="shared" si="635"/>
        <v/>
      </c>
      <c r="M2717">
        <f>IF($A2717="",0,IF(COUNTIF($L$2:$L2717,$L2717)=1,1,0))</f>
        <v>0</v>
      </c>
      <c r="N2717" t="str">
        <f t="shared" si="636"/>
        <v/>
      </c>
      <c r="O2717" t="str">
        <f t="shared" si="637"/>
        <v/>
      </c>
      <c r="P2717">
        <f>IF($A2717="",0,IF(COUNTIF($O$2:$O2717,$O2717)=1,1,0))</f>
        <v>0</v>
      </c>
      <c r="Q2717" t="str">
        <f>IF(AND($P2717=1,$A2717=经营数据!$B$3,$J2717=经营数据!$BA$5),COUNTIFS($P$2:$P$3000,1,$A$2:$A$3000,$A2717,$J$2:$J$3000,$J2717,$N$2:$N$3000,"&lt;"&amp;$N2717)+1,"")</f>
        <v/>
      </c>
      <c r="R2717" t="str">
        <f t="shared" si="638"/>
        <v/>
      </c>
      <c r="S2717">
        <f>IF($A2717="",0,IF(COUNTIF($R$2:$R2717,$R2717)=1,1,0))</f>
        <v>0</v>
      </c>
      <c r="T2717" t="str">
        <f t="shared" si="639"/>
        <v/>
      </c>
      <c r="U2717" t="str">
        <f>IF($A2717="","",IF($A2717=经营数据!$B$3,COUNTIFS($S$2:$S$3000,1,$A$2:$A$3000,$A2717,$T$2:$T$3000,"&lt;"&amp;$T2717)+1,""))</f>
        <v/>
      </c>
      <c r="V2717" t="str">
        <f t="shared" si="640"/>
        <v/>
      </c>
      <c r="W2717" t="str">
        <f t="shared" si="641"/>
        <v/>
      </c>
      <c r="X2717" t="str">
        <f t="shared" si="642"/>
        <v/>
      </c>
      <c r="Y2717" t="str">
        <f t="shared" si="643"/>
        <v/>
      </c>
      <c r="Z2717">
        <f>IF($A2717="",0,IF(AND($M2717=1,$A2717=经营数据!$B$3,$J2717=经营数据!$BA$5,OR($I2717=经营数据!$BA$4,COUNTIF(经营数据!$AA$9:$AA$38,$I2717)&gt;0)),1,0))</f>
        <v>0</v>
      </c>
      <c r="AA2717" t="str">
        <f t="shared" si="644"/>
        <v/>
      </c>
      <c r="AB2717" t="str">
        <f t="shared" si="645"/>
        <v/>
      </c>
      <c r="AC2717">
        <f>IF($A2717="",0,IF(COUNTIF($A$2:$A2717,$A2717)=1,1,0))</f>
        <v>0</v>
      </c>
      <c r="AD2717">
        <f t="shared" si="646"/>
        <v>29</v>
      </c>
      <c r="AE2717" t="str">
        <f t="shared" si="647"/>
        <v/>
      </c>
    </row>
    <row r="2718" spans="1:31" x14ac:dyDescent="0.4">
      <c r="A2718" t="str">
        <f>IF(原始经营数据!$D2719="","",原始经营数据!$D2719)</f>
        <v/>
      </c>
      <c r="B2718" t="str">
        <f>IF(原始经营数据!$D2719="","",T(原始经营数据!$E2719))</f>
        <v/>
      </c>
      <c r="C2718" t="str">
        <f>IF(原始经营数据!$D2719="","",原始经营数据!$F2719)</f>
        <v/>
      </c>
      <c r="D2718" t="str">
        <f>IF(原始经营数据!$D2719="","",原始经营数据!$H2719)</f>
        <v/>
      </c>
      <c r="E2718" t="str">
        <f>IF(原始经营数据!$D2719="","",原始经营数据!$I2719)</f>
        <v/>
      </c>
      <c r="F2718" t="str">
        <f>IF(原始经营数据!$D2719="","",T(原始经营数据!$J2719))</f>
        <v/>
      </c>
      <c r="G2718" t="str">
        <f>IF(原始经营数据!$D2719="","",T(原始经营数据!$K2719))</f>
        <v/>
      </c>
      <c r="H2718" t="str">
        <f>IF(原始经营数据!$D2719="","",原始经营数据!$G2719)</f>
        <v/>
      </c>
      <c r="I2718" t="str">
        <f>IF($A2718="","",IF($B2718&lt;&gt;"",$B2718,IF(COUNTIFS(原始经营数据!$D$3:$D$3001,$A2718,原始经营数据!$E$3:$E$3001,"",原始经营数据!$F$3:$F$3001,$C2718,原始经营数据!$H$3:$H$3001,$D2718,原始经营数据!$K$3:$K$3001,$G2718)&gt;1,"基金整体·来源"&amp;原始经营数据!$A2719,"基金整体")))</f>
        <v/>
      </c>
      <c r="J2718" t="str">
        <f t="shared" si="633"/>
        <v/>
      </c>
      <c r="K2718" t="str">
        <f t="shared" si="634"/>
        <v/>
      </c>
      <c r="L2718" t="str">
        <f t="shared" si="635"/>
        <v/>
      </c>
      <c r="M2718">
        <f>IF($A2718="",0,IF(COUNTIF($L$2:$L2718,$L2718)=1,1,0))</f>
        <v>0</v>
      </c>
      <c r="N2718" t="str">
        <f t="shared" si="636"/>
        <v/>
      </c>
      <c r="O2718" t="str">
        <f t="shared" si="637"/>
        <v/>
      </c>
      <c r="P2718">
        <f>IF($A2718="",0,IF(COUNTIF($O$2:$O2718,$O2718)=1,1,0))</f>
        <v>0</v>
      </c>
      <c r="Q2718" t="str">
        <f>IF(AND($P2718=1,$A2718=经营数据!$B$3,$J2718=经营数据!$BA$5),COUNTIFS($P$2:$P$3000,1,$A$2:$A$3000,$A2718,$J$2:$J$3000,$J2718,$N$2:$N$3000,"&lt;"&amp;$N2718)+1,"")</f>
        <v/>
      </c>
      <c r="R2718" t="str">
        <f t="shared" si="638"/>
        <v/>
      </c>
      <c r="S2718">
        <f>IF($A2718="",0,IF(COUNTIF($R$2:$R2718,$R2718)=1,1,0))</f>
        <v>0</v>
      </c>
      <c r="T2718" t="str">
        <f t="shared" si="639"/>
        <v/>
      </c>
      <c r="U2718" t="str">
        <f>IF($A2718="","",IF($A2718=经营数据!$B$3,COUNTIFS($S$2:$S$3000,1,$A$2:$A$3000,$A2718,$T$2:$T$3000,"&lt;"&amp;$T2718)+1,""))</f>
        <v/>
      </c>
      <c r="V2718" t="str">
        <f t="shared" si="640"/>
        <v/>
      </c>
      <c r="W2718" t="str">
        <f t="shared" si="641"/>
        <v/>
      </c>
      <c r="X2718" t="str">
        <f t="shared" si="642"/>
        <v/>
      </c>
      <c r="Y2718" t="str">
        <f t="shared" si="643"/>
        <v/>
      </c>
      <c r="Z2718">
        <f>IF($A2718="",0,IF(AND($M2718=1,$A2718=经营数据!$B$3,$J2718=经营数据!$BA$5,OR($I2718=经营数据!$BA$4,COUNTIF(经营数据!$AA$9:$AA$38,$I2718)&gt;0)),1,0))</f>
        <v>0</v>
      </c>
      <c r="AA2718" t="str">
        <f t="shared" si="644"/>
        <v/>
      </c>
      <c r="AB2718" t="str">
        <f t="shared" si="645"/>
        <v/>
      </c>
      <c r="AC2718">
        <f>IF($A2718="",0,IF(COUNTIF($A$2:$A2718,$A2718)=1,1,0))</f>
        <v>0</v>
      </c>
      <c r="AD2718">
        <f t="shared" si="646"/>
        <v>29</v>
      </c>
      <c r="AE2718" t="str">
        <f t="shared" si="647"/>
        <v/>
      </c>
    </row>
    <row r="2719" spans="1:31" x14ac:dyDescent="0.4">
      <c r="A2719" t="str">
        <f>IF(原始经营数据!$D2720="","",原始经营数据!$D2720)</f>
        <v/>
      </c>
      <c r="B2719" t="str">
        <f>IF(原始经营数据!$D2720="","",T(原始经营数据!$E2720))</f>
        <v/>
      </c>
      <c r="C2719" t="str">
        <f>IF(原始经营数据!$D2720="","",原始经营数据!$F2720)</f>
        <v/>
      </c>
      <c r="D2719" t="str">
        <f>IF(原始经营数据!$D2720="","",原始经营数据!$H2720)</f>
        <v/>
      </c>
      <c r="E2719" t="str">
        <f>IF(原始经营数据!$D2720="","",原始经营数据!$I2720)</f>
        <v/>
      </c>
      <c r="F2719" t="str">
        <f>IF(原始经营数据!$D2720="","",T(原始经营数据!$J2720))</f>
        <v/>
      </c>
      <c r="G2719" t="str">
        <f>IF(原始经营数据!$D2720="","",T(原始经营数据!$K2720))</f>
        <v/>
      </c>
      <c r="H2719" t="str">
        <f>IF(原始经营数据!$D2720="","",原始经营数据!$G2720)</f>
        <v/>
      </c>
      <c r="I2719" t="str">
        <f>IF($A2719="","",IF($B2719&lt;&gt;"",$B2719,IF(COUNTIFS(原始经营数据!$D$3:$D$3001,$A2719,原始经营数据!$E$3:$E$3001,"",原始经营数据!$F$3:$F$3001,$C2719,原始经营数据!$H$3:$H$3001,$D2719,原始经营数据!$K$3:$K$3001,$G2719)&gt;1,"基金整体·来源"&amp;原始经营数据!$A2720,"基金整体")))</f>
        <v/>
      </c>
      <c r="J2719" t="str">
        <f t="shared" si="633"/>
        <v/>
      </c>
      <c r="K2719" t="str">
        <f t="shared" si="634"/>
        <v/>
      </c>
      <c r="L2719" t="str">
        <f t="shared" si="635"/>
        <v/>
      </c>
      <c r="M2719">
        <f>IF($A2719="",0,IF(COUNTIF($L$2:$L2719,$L2719)=1,1,0))</f>
        <v>0</v>
      </c>
      <c r="N2719" t="str">
        <f t="shared" si="636"/>
        <v/>
      </c>
      <c r="O2719" t="str">
        <f t="shared" si="637"/>
        <v/>
      </c>
      <c r="P2719">
        <f>IF($A2719="",0,IF(COUNTIF($O$2:$O2719,$O2719)=1,1,0))</f>
        <v>0</v>
      </c>
      <c r="Q2719" t="str">
        <f>IF(AND($P2719=1,$A2719=经营数据!$B$3,$J2719=经营数据!$BA$5),COUNTIFS($P$2:$P$3000,1,$A$2:$A$3000,$A2719,$J$2:$J$3000,$J2719,$N$2:$N$3000,"&lt;"&amp;$N2719)+1,"")</f>
        <v/>
      </c>
      <c r="R2719" t="str">
        <f t="shared" si="638"/>
        <v/>
      </c>
      <c r="S2719">
        <f>IF($A2719="",0,IF(COUNTIF($R$2:$R2719,$R2719)=1,1,0))</f>
        <v>0</v>
      </c>
      <c r="T2719" t="str">
        <f t="shared" si="639"/>
        <v/>
      </c>
      <c r="U2719" t="str">
        <f>IF($A2719="","",IF($A2719=经营数据!$B$3,COUNTIFS($S$2:$S$3000,1,$A$2:$A$3000,$A2719,$T$2:$T$3000,"&lt;"&amp;$T2719)+1,""))</f>
        <v/>
      </c>
      <c r="V2719" t="str">
        <f t="shared" si="640"/>
        <v/>
      </c>
      <c r="W2719" t="str">
        <f t="shared" si="641"/>
        <v/>
      </c>
      <c r="X2719" t="str">
        <f t="shared" si="642"/>
        <v/>
      </c>
      <c r="Y2719" t="str">
        <f t="shared" si="643"/>
        <v/>
      </c>
      <c r="Z2719">
        <f>IF($A2719="",0,IF(AND($M2719=1,$A2719=经营数据!$B$3,$J2719=经营数据!$BA$5,OR($I2719=经营数据!$BA$4,COUNTIF(经营数据!$AA$9:$AA$38,$I2719)&gt;0)),1,0))</f>
        <v>0</v>
      </c>
      <c r="AA2719" t="str">
        <f t="shared" si="644"/>
        <v/>
      </c>
      <c r="AB2719" t="str">
        <f t="shared" si="645"/>
        <v/>
      </c>
      <c r="AC2719">
        <f>IF($A2719="",0,IF(COUNTIF($A$2:$A2719,$A2719)=1,1,0))</f>
        <v>0</v>
      </c>
      <c r="AD2719">
        <f t="shared" si="646"/>
        <v>29</v>
      </c>
      <c r="AE2719" t="str">
        <f t="shared" si="647"/>
        <v/>
      </c>
    </row>
    <row r="2720" spans="1:31" x14ac:dyDescent="0.4">
      <c r="A2720" t="str">
        <f>IF(原始经营数据!$D2721="","",原始经营数据!$D2721)</f>
        <v/>
      </c>
      <c r="B2720" t="str">
        <f>IF(原始经营数据!$D2721="","",T(原始经营数据!$E2721))</f>
        <v/>
      </c>
      <c r="C2720" t="str">
        <f>IF(原始经营数据!$D2721="","",原始经营数据!$F2721)</f>
        <v/>
      </c>
      <c r="D2720" t="str">
        <f>IF(原始经营数据!$D2721="","",原始经营数据!$H2721)</f>
        <v/>
      </c>
      <c r="E2720" t="str">
        <f>IF(原始经营数据!$D2721="","",原始经营数据!$I2721)</f>
        <v/>
      </c>
      <c r="F2720" t="str">
        <f>IF(原始经营数据!$D2721="","",T(原始经营数据!$J2721))</f>
        <v/>
      </c>
      <c r="G2720" t="str">
        <f>IF(原始经营数据!$D2721="","",T(原始经营数据!$K2721))</f>
        <v/>
      </c>
      <c r="H2720" t="str">
        <f>IF(原始经营数据!$D2721="","",原始经营数据!$G2721)</f>
        <v/>
      </c>
      <c r="I2720" t="str">
        <f>IF($A2720="","",IF($B2720&lt;&gt;"",$B2720,IF(COUNTIFS(原始经营数据!$D$3:$D$3001,$A2720,原始经营数据!$E$3:$E$3001,"",原始经营数据!$F$3:$F$3001,$C2720,原始经营数据!$H$3:$H$3001,$D2720,原始经营数据!$K$3:$K$3001,$G2720)&gt;1,"基金整体·来源"&amp;原始经营数据!$A2721,"基金整体")))</f>
        <v/>
      </c>
      <c r="J2720" t="str">
        <f t="shared" si="633"/>
        <v/>
      </c>
      <c r="K2720" t="str">
        <f t="shared" si="634"/>
        <v/>
      </c>
      <c r="L2720" t="str">
        <f t="shared" si="635"/>
        <v/>
      </c>
      <c r="M2720">
        <f>IF($A2720="",0,IF(COUNTIF($L$2:$L2720,$L2720)=1,1,0))</f>
        <v>0</v>
      </c>
      <c r="N2720" t="str">
        <f t="shared" si="636"/>
        <v/>
      </c>
      <c r="O2720" t="str">
        <f t="shared" si="637"/>
        <v/>
      </c>
      <c r="P2720">
        <f>IF($A2720="",0,IF(COUNTIF($O$2:$O2720,$O2720)=1,1,0))</f>
        <v>0</v>
      </c>
      <c r="Q2720" t="str">
        <f>IF(AND($P2720=1,$A2720=经营数据!$B$3,$J2720=经营数据!$BA$5),COUNTIFS($P$2:$P$3000,1,$A$2:$A$3000,$A2720,$J$2:$J$3000,$J2720,$N$2:$N$3000,"&lt;"&amp;$N2720)+1,"")</f>
        <v/>
      </c>
      <c r="R2720" t="str">
        <f t="shared" si="638"/>
        <v/>
      </c>
      <c r="S2720">
        <f>IF($A2720="",0,IF(COUNTIF($R$2:$R2720,$R2720)=1,1,0))</f>
        <v>0</v>
      </c>
      <c r="T2720" t="str">
        <f t="shared" si="639"/>
        <v/>
      </c>
      <c r="U2720" t="str">
        <f>IF($A2720="","",IF($A2720=经营数据!$B$3,COUNTIFS($S$2:$S$3000,1,$A$2:$A$3000,$A2720,$T$2:$T$3000,"&lt;"&amp;$T2720)+1,""))</f>
        <v/>
      </c>
      <c r="V2720" t="str">
        <f t="shared" si="640"/>
        <v/>
      </c>
      <c r="W2720" t="str">
        <f t="shared" si="641"/>
        <v/>
      </c>
      <c r="X2720" t="str">
        <f t="shared" si="642"/>
        <v/>
      </c>
      <c r="Y2720" t="str">
        <f t="shared" si="643"/>
        <v/>
      </c>
      <c r="Z2720">
        <f>IF($A2720="",0,IF(AND($M2720=1,$A2720=经营数据!$B$3,$J2720=经营数据!$BA$5,OR($I2720=经营数据!$BA$4,COUNTIF(经营数据!$AA$9:$AA$38,$I2720)&gt;0)),1,0))</f>
        <v>0</v>
      </c>
      <c r="AA2720" t="str">
        <f t="shared" si="644"/>
        <v/>
      </c>
      <c r="AB2720" t="str">
        <f t="shared" si="645"/>
        <v/>
      </c>
      <c r="AC2720">
        <f>IF($A2720="",0,IF(COUNTIF($A$2:$A2720,$A2720)=1,1,0))</f>
        <v>0</v>
      </c>
      <c r="AD2720">
        <f t="shared" si="646"/>
        <v>29</v>
      </c>
      <c r="AE2720" t="str">
        <f t="shared" si="647"/>
        <v/>
      </c>
    </row>
    <row r="2721" spans="1:31" x14ac:dyDescent="0.4">
      <c r="A2721" t="str">
        <f>IF(原始经营数据!$D2722="","",原始经营数据!$D2722)</f>
        <v/>
      </c>
      <c r="B2721" t="str">
        <f>IF(原始经营数据!$D2722="","",T(原始经营数据!$E2722))</f>
        <v/>
      </c>
      <c r="C2721" t="str">
        <f>IF(原始经营数据!$D2722="","",原始经营数据!$F2722)</f>
        <v/>
      </c>
      <c r="D2721" t="str">
        <f>IF(原始经营数据!$D2722="","",原始经营数据!$H2722)</f>
        <v/>
      </c>
      <c r="E2721" t="str">
        <f>IF(原始经营数据!$D2722="","",原始经营数据!$I2722)</f>
        <v/>
      </c>
      <c r="F2721" t="str">
        <f>IF(原始经营数据!$D2722="","",T(原始经营数据!$J2722))</f>
        <v/>
      </c>
      <c r="G2721" t="str">
        <f>IF(原始经营数据!$D2722="","",T(原始经营数据!$K2722))</f>
        <v/>
      </c>
      <c r="H2721" t="str">
        <f>IF(原始经营数据!$D2722="","",原始经营数据!$G2722)</f>
        <v/>
      </c>
      <c r="I2721" t="str">
        <f>IF($A2721="","",IF($B2721&lt;&gt;"",$B2721,IF(COUNTIFS(原始经营数据!$D$3:$D$3001,$A2721,原始经营数据!$E$3:$E$3001,"",原始经营数据!$F$3:$F$3001,$C2721,原始经营数据!$H$3:$H$3001,$D2721,原始经营数据!$K$3:$K$3001,$G2721)&gt;1,"基金整体·来源"&amp;原始经营数据!$A2722,"基金整体")))</f>
        <v/>
      </c>
      <c r="J2721" t="str">
        <f t="shared" si="633"/>
        <v/>
      </c>
      <c r="K2721" t="str">
        <f t="shared" si="634"/>
        <v/>
      </c>
      <c r="L2721" t="str">
        <f t="shared" si="635"/>
        <v/>
      </c>
      <c r="M2721">
        <f>IF($A2721="",0,IF(COUNTIF($L$2:$L2721,$L2721)=1,1,0))</f>
        <v>0</v>
      </c>
      <c r="N2721" t="str">
        <f t="shared" si="636"/>
        <v/>
      </c>
      <c r="O2721" t="str">
        <f t="shared" si="637"/>
        <v/>
      </c>
      <c r="P2721">
        <f>IF($A2721="",0,IF(COUNTIF($O$2:$O2721,$O2721)=1,1,0))</f>
        <v>0</v>
      </c>
      <c r="Q2721" t="str">
        <f>IF(AND($P2721=1,$A2721=经营数据!$B$3,$J2721=经营数据!$BA$5),COUNTIFS($P$2:$P$3000,1,$A$2:$A$3000,$A2721,$J$2:$J$3000,$J2721,$N$2:$N$3000,"&lt;"&amp;$N2721)+1,"")</f>
        <v/>
      </c>
      <c r="R2721" t="str">
        <f t="shared" si="638"/>
        <v/>
      </c>
      <c r="S2721">
        <f>IF($A2721="",0,IF(COUNTIF($R$2:$R2721,$R2721)=1,1,0))</f>
        <v>0</v>
      </c>
      <c r="T2721" t="str">
        <f t="shared" si="639"/>
        <v/>
      </c>
      <c r="U2721" t="str">
        <f>IF($A2721="","",IF($A2721=经营数据!$B$3,COUNTIFS($S$2:$S$3000,1,$A$2:$A$3000,$A2721,$T$2:$T$3000,"&lt;"&amp;$T2721)+1,""))</f>
        <v/>
      </c>
      <c r="V2721" t="str">
        <f t="shared" si="640"/>
        <v/>
      </c>
      <c r="W2721" t="str">
        <f t="shared" si="641"/>
        <v/>
      </c>
      <c r="X2721" t="str">
        <f t="shared" si="642"/>
        <v/>
      </c>
      <c r="Y2721" t="str">
        <f t="shared" si="643"/>
        <v/>
      </c>
      <c r="Z2721">
        <f>IF($A2721="",0,IF(AND($M2721=1,$A2721=经营数据!$B$3,$J2721=经营数据!$BA$5,OR($I2721=经营数据!$BA$4,COUNTIF(经营数据!$AA$9:$AA$38,$I2721)&gt;0)),1,0))</f>
        <v>0</v>
      </c>
      <c r="AA2721" t="str">
        <f t="shared" si="644"/>
        <v/>
      </c>
      <c r="AB2721" t="str">
        <f t="shared" si="645"/>
        <v/>
      </c>
      <c r="AC2721">
        <f>IF($A2721="",0,IF(COUNTIF($A$2:$A2721,$A2721)=1,1,0))</f>
        <v>0</v>
      </c>
      <c r="AD2721">
        <f t="shared" si="646"/>
        <v>29</v>
      </c>
      <c r="AE2721" t="str">
        <f t="shared" si="647"/>
        <v/>
      </c>
    </row>
    <row r="2722" spans="1:31" x14ac:dyDescent="0.4">
      <c r="A2722" t="str">
        <f>IF(原始经营数据!$D2723="","",原始经营数据!$D2723)</f>
        <v/>
      </c>
      <c r="B2722" t="str">
        <f>IF(原始经营数据!$D2723="","",T(原始经营数据!$E2723))</f>
        <v/>
      </c>
      <c r="C2722" t="str">
        <f>IF(原始经营数据!$D2723="","",原始经营数据!$F2723)</f>
        <v/>
      </c>
      <c r="D2722" t="str">
        <f>IF(原始经营数据!$D2723="","",原始经营数据!$H2723)</f>
        <v/>
      </c>
      <c r="E2722" t="str">
        <f>IF(原始经营数据!$D2723="","",原始经营数据!$I2723)</f>
        <v/>
      </c>
      <c r="F2722" t="str">
        <f>IF(原始经营数据!$D2723="","",T(原始经营数据!$J2723))</f>
        <v/>
      </c>
      <c r="G2722" t="str">
        <f>IF(原始经营数据!$D2723="","",T(原始经营数据!$K2723))</f>
        <v/>
      </c>
      <c r="H2722" t="str">
        <f>IF(原始经营数据!$D2723="","",原始经营数据!$G2723)</f>
        <v/>
      </c>
      <c r="I2722" t="str">
        <f>IF($A2722="","",IF($B2722&lt;&gt;"",$B2722,IF(COUNTIFS(原始经营数据!$D$3:$D$3001,$A2722,原始经营数据!$E$3:$E$3001,"",原始经营数据!$F$3:$F$3001,$C2722,原始经营数据!$H$3:$H$3001,$D2722,原始经营数据!$K$3:$K$3001,$G2722)&gt;1,"基金整体·来源"&amp;原始经营数据!$A2723,"基金整体")))</f>
        <v/>
      </c>
      <c r="J2722" t="str">
        <f t="shared" si="633"/>
        <v/>
      </c>
      <c r="K2722" t="str">
        <f t="shared" si="634"/>
        <v/>
      </c>
      <c r="L2722" t="str">
        <f t="shared" si="635"/>
        <v/>
      </c>
      <c r="M2722">
        <f>IF($A2722="",0,IF(COUNTIF($L$2:$L2722,$L2722)=1,1,0))</f>
        <v>0</v>
      </c>
      <c r="N2722" t="str">
        <f t="shared" si="636"/>
        <v/>
      </c>
      <c r="O2722" t="str">
        <f t="shared" si="637"/>
        <v/>
      </c>
      <c r="P2722">
        <f>IF($A2722="",0,IF(COUNTIF($O$2:$O2722,$O2722)=1,1,0))</f>
        <v>0</v>
      </c>
      <c r="Q2722" t="str">
        <f>IF(AND($P2722=1,$A2722=经营数据!$B$3,$J2722=经营数据!$BA$5),COUNTIFS($P$2:$P$3000,1,$A$2:$A$3000,$A2722,$J$2:$J$3000,$J2722,$N$2:$N$3000,"&lt;"&amp;$N2722)+1,"")</f>
        <v/>
      </c>
      <c r="R2722" t="str">
        <f t="shared" si="638"/>
        <v/>
      </c>
      <c r="S2722">
        <f>IF($A2722="",0,IF(COUNTIF($R$2:$R2722,$R2722)=1,1,0))</f>
        <v>0</v>
      </c>
      <c r="T2722" t="str">
        <f t="shared" si="639"/>
        <v/>
      </c>
      <c r="U2722" t="str">
        <f>IF($A2722="","",IF($A2722=经营数据!$B$3,COUNTIFS($S$2:$S$3000,1,$A$2:$A$3000,$A2722,$T$2:$T$3000,"&lt;"&amp;$T2722)+1,""))</f>
        <v/>
      </c>
      <c r="V2722" t="str">
        <f t="shared" si="640"/>
        <v/>
      </c>
      <c r="W2722" t="str">
        <f t="shared" si="641"/>
        <v/>
      </c>
      <c r="X2722" t="str">
        <f t="shared" si="642"/>
        <v/>
      </c>
      <c r="Y2722" t="str">
        <f t="shared" si="643"/>
        <v/>
      </c>
      <c r="Z2722">
        <f>IF($A2722="",0,IF(AND($M2722=1,$A2722=经营数据!$B$3,$J2722=经营数据!$BA$5,OR($I2722=经营数据!$BA$4,COUNTIF(经营数据!$AA$9:$AA$38,$I2722)&gt;0)),1,0))</f>
        <v>0</v>
      </c>
      <c r="AA2722" t="str">
        <f t="shared" si="644"/>
        <v/>
      </c>
      <c r="AB2722" t="str">
        <f t="shared" si="645"/>
        <v/>
      </c>
      <c r="AC2722">
        <f>IF($A2722="",0,IF(COUNTIF($A$2:$A2722,$A2722)=1,1,0))</f>
        <v>0</v>
      </c>
      <c r="AD2722">
        <f t="shared" si="646"/>
        <v>29</v>
      </c>
      <c r="AE2722" t="str">
        <f t="shared" si="647"/>
        <v/>
      </c>
    </row>
    <row r="2723" spans="1:31" x14ac:dyDescent="0.4">
      <c r="A2723" t="str">
        <f>IF(原始经营数据!$D2724="","",原始经营数据!$D2724)</f>
        <v/>
      </c>
      <c r="B2723" t="str">
        <f>IF(原始经营数据!$D2724="","",T(原始经营数据!$E2724))</f>
        <v/>
      </c>
      <c r="C2723" t="str">
        <f>IF(原始经营数据!$D2724="","",原始经营数据!$F2724)</f>
        <v/>
      </c>
      <c r="D2723" t="str">
        <f>IF(原始经营数据!$D2724="","",原始经营数据!$H2724)</f>
        <v/>
      </c>
      <c r="E2723" t="str">
        <f>IF(原始经营数据!$D2724="","",原始经营数据!$I2724)</f>
        <v/>
      </c>
      <c r="F2723" t="str">
        <f>IF(原始经营数据!$D2724="","",T(原始经营数据!$J2724))</f>
        <v/>
      </c>
      <c r="G2723" t="str">
        <f>IF(原始经营数据!$D2724="","",T(原始经营数据!$K2724))</f>
        <v/>
      </c>
      <c r="H2723" t="str">
        <f>IF(原始经营数据!$D2724="","",原始经营数据!$G2724)</f>
        <v/>
      </c>
      <c r="I2723" t="str">
        <f>IF($A2723="","",IF($B2723&lt;&gt;"",$B2723,IF(COUNTIFS(原始经营数据!$D$3:$D$3001,$A2723,原始经营数据!$E$3:$E$3001,"",原始经营数据!$F$3:$F$3001,$C2723,原始经营数据!$H$3:$H$3001,$D2723,原始经营数据!$K$3:$K$3001,$G2723)&gt;1,"基金整体·来源"&amp;原始经营数据!$A2724,"基金整体")))</f>
        <v/>
      </c>
      <c r="J2723" t="str">
        <f t="shared" si="633"/>
        <v/>
      </c>
      <c r="K2723" t="str">
        <f t="shared" si="634"/>
        <v/>
      </c>
      <c r="L2723" t="str">
        <f t="shared" si="635"/>
        <v/>
      </c>
      <c r="M2723">
        <f>IF($A2723="",0,IF(COUNTIF($L$2:$L2723,$L2723)=1,1,0))</f>
        <v>0</v>
      </c>
      <c r="N2723" t="str">
        <f t="shared" si="636"/>
        <v/>
      </c>
      <c r="O2723" t="str">
        <f t="shared" si="637"/>
        <v/>
      </c>
      <c r="P2723">
        <f>IF($A2723="",0,IF(COUNTIF($O$2:$O2723,$O2723)=1,1,0))</f>
        <v>0</v>
      </c>
      <c r="Q2723" t="str">
        <f>IF(AND($P2723=1,$A2723=经营数据!$B$3,$J2723=经营数据!$BA$5),COUNTIFS($P$2:$P$3000,1,$A$2:$A$3000,$A2723,$J$2:$J$3000,$J2723,$N$2:$N$3000,"&lt;"&amp;$N2723)+1,"")</f>
        <v/>
      </c>
      <c r="R2723" t="str">
        <f t="shared" si="638"/>
        <v/>
      </c>
      <c r="S2723">
        <f>IF($A2723="",0,IF(COUNTIF($R$2:$R2723,$R2723)=1,1,0))</f>
        <v>0</v>
      </c>
      <c r="T2723" t="str">
        <f t="shared" si="639"/>
        <v/>
      </c>
      <c r="U2723" t="str">
        <f>IF($A2723="","",IF($A2723=经营数据!$B$3,COUNTIFS($S$2:$S$3000,1,$A$2:$A$3000,$A2723,$T$2:$T$3000,"&lt;"&amp;$T2723)+1,""))</f>
        <v/>
      </c>
      <c r="V2723" t="str">
        <f t="shared" si="640"/>
        <v/>
      </c>
      <c r="W2723" t="str">
        <f t="shared" si="641"/>
        <v/>
      </c>
      <c r="X2723" t="str">
        <f t="shared" si="642"/>
        <v/>
      </c>
      <c r="Y2723" t="str">
        <f t="shared" si="643"/>
        <v/>
      </c>
      <c r="Z2723">
        <f>IF($A2723="",0,IF(AND($M2723=1,$A2723=经营数据!$B$3,$J2723=经营数据!$BA$5,OR($I2723=经营数据!$BA$4,COUNTIF(经营数据!$AA$9:$AA$38,$I2723)&gt;0)),1,0))</f>
        <v>0</v>
      </c>
      <c r="AA2723" t="str">
        <f t="shared" si="644"/>
        <v/>
      </c>
      <c r="AB2723" t="str">
        <f t="shared" si="645"/>
        <v/>
      </c>
      <c r="AC2723">
        <f>IF($A2723="",0,IF(COUNTIF($A$2:$A2723,$A2723)=1,1,0))</f>
        <v>0</v>
      </c>
      <c r="AD2723">
        <f t="shared" si="646"/>
        <v>29</v>
      </c>
      <c r="AE2723" t="str">
        <f t="shared" si="647"/>
        <v/>
      </c>
    </row>
    <row r="2724" spans="1:31" x14ac:dyDescent="0.4">
      <c r="A2724" t="str">
        <f>IF(原始经营数据!$D2725="","",原始经营数据!$D2725)</f>
        <v/>
      </c>
      <c r="B2724" t="str">
        <f>IF(原始经营数据!$D2725="","",T(原始经营数据!$E2725))</f>
        <v/>
      </c>
      <c r="C2724" t="str">
        <f>IF(原始经营数据!$D2725="","",原始经营数据!$F2725)</f>
        <v/>
      </c>
      <c r="D2724" t="str">
        <f>IF(原始经营数据!$D2725="","",原始经营数据!$H2725)</f>
        <v/>
      </c>
      <c r="E2724" t="str">
        <f>IF(原始经营数据!$D2725="","",原始经营数据!$I2725)</f>
        <v/>
      </c>
      <c r="F2724" t="str">
        <f>IF(原始经营数据!$D2725="","",T(原始经营数据!$J2725))</f>
        <v/>
      </c>
      <c r="G2724" t="str">
        <f>IF(原始经营数据!$D2725="","",T(原始经营数据!$K2725))</f>
        <v/>
      </c>
      <c r="H2724" t="str">
        <f>IF(原始经营数据!$D2725="","",原始经营数据!$G2725)</f>
        <v/>
      </c>
      <c r="I2724" t="str">
        <f>IF($A2724="","",IF($B2724&lt;&gt;"",$B2724,IF(COUNTIFS(原始经营数据!$D$3:$D$3001,$A2724,原始经营数据!$E$3:$E$3001,"",原始经营数据!$F$3:$F$3001,$C2724,原始经营数据!$H$3:$H$3001,$D2724,原始经营数据!$K$3:$K$3001,$G2724)&gt;1,"基金整体·来源"&amp;原始经营数据!$A2725,"基金整体")))</f>
        <v/>
      </c>
      <c r="J2724" t="str">
        <f t="shared" si="633"/>
        <v/>
      </c>
      <c r="K2724" t="str">
        <f t="shared" si="634"/>
        <v/>
      </c>
      <c r="L2724" t="str">
        <f t="shared" si="635"/>
        <v/>
      </c>
      <c r="M2724">
        <f>IF($A2724="",0,IF(COUNTIF($L$2:$L2724,$L2724)=1,1,0))</f>
        <v>0</v>
      </c>
      <c r="N2724" t="str">
        <f t="shared" si="636"/>
        <v/>
      </c>
      <c r="O2724" t="str">
        <f t="shared" si="637"/>
        <v/>
      </c>
      <c r="P2724">
        <f>IF($A2724="",0,IF(COUNTIF($O$2:$O2724,$O2724)=1,1,0))</f>
        <v>0</v>
      </c>
      <c r="Q2724" t="str">
        <f>IF(AND($P2724=1,$A2724=经营数据!$B$3,$J2724=经营数据!$BA$5),COUNTIFS($P$2:$P$3000,1,$A$2:$A$3000,$A2724,$J$2:$J$3000,$J2724,$N$2:$N$3000,"&lt;"&amp;$N2724)+1,"")</f>
        <v/>
      </c>
      <c r="R2724" t="str">
        <f t="shared" si="638"/>
        <v/>
      </c>
      <c r="S2724">
        <f>IF($A2724="",0,IF(COUNTIF($R$2:$R2724,$R2724)=1,1,0))</f>
        <v>0</v>
      </c>
      <c r="T2724" t="str">
        <f t="shared" si="639"/>
        <v/>
      </c>
      <c r="U2724" t="str">
        <f>IF($A2724="","",IF($A2724=经营数据!$B$3,COUNTIFS($S$2:$S$3000,1,$A$2:$A$3000,$A2724,$T$2:$T$3000,"&lt;"&amp;$T2724)+1,""))</f>
        <v/>
      </c>
      <c r="V2724" t="str">
        <f t="shared" si="640"/>
        <v/>
      </c>
      <c r="W2724" t="str">
        <f t="shared" si="641"/>
        <v/>
      </c>
      <c r="X2724" t="str">
        <f t="shared" si="642"/>
        <v/>
      </c>
      <c r="Y2724" t="str">
        <f t="shared" si="643"/>
        <v/>
      </c>
      <c r="Z2724">
        <f>IF($A2724="",0,IF(AND($M2724=1,$A2724=经营数据!$B$3,$J2724=经营数据!$BA$5,OR($I2724=经营数据!$BA$4,COUNTIF(经营数据!$AA$9:$AA$38,$I2724)&gt;0)),1,0))</f>
        <v>0</v>
      </c>
      <c r="AA2724" t="str">
        <f t="shared" si="644"/>
        <v/>
      </c>
      <c r="AB2724" t="str">
        <f t="shared" si="645"/>
        <v/>
      </c>
      <c r="AC2724">
        <f>IF($A2724="",0,IF(COUNTIF($A$2:$A2724,$A2724)=1,1,0))</f>
        <v>0</v>
      </c>
      <c r="AD2724">
        <f t="shared" si="646"/>
        <v>29</v>
      </c>
      <c r="AE2724" t="str">
        <f t="shared" si="647"/>
        <v/>
      </c>
    </row>
    <row r="2725" spans="1:31" x14ac:dyDescent="0.4">
      <c r="A2725" t="str">
        <f>IF(原始经营数据!$D2726="","",原始经营数据!$D2726)</f>
        <v/>
      </c>
      <c r="B2725" t="str">
        <f>IF(原始经营数据!$D2726="","",T(原始经营数据!$E2726))</f>
        <v/>
      </c>
      <c r="C2725" t="str">
        <f>IF(原始经营数据!$D2726="","",原始经营数据!$F2726)</f>
        <v/>
      </c>
      <c r="D2725" t="str">
        <f>IF(原始经营数据!$D2726="","",原始经营数据!$H2726)</f>
        <v/>
      </c>
      <c r="E2725" t="str">
        <f>IF(原始经营数据!$D2726="","",原始经营数据!$I2726)</f>
        <v/>
      </c>
      <c r="F2725" t="str">
        <f>IF(原始经营数据!$D2726="","",T(原始经营数据!$J2726))</f>
        <v/>
      </c>
      <c r="G2725" t="str">
        <f>IF(原始经营数据!$D2726="","",T(原始经营数据!$K2726))</f>
        <v/>
      </c>
      <c r="H2725" t="str">
        <f>IF(原始经营数据!$D2726="","",原始经营数据!$G2726)</f>
        <v/>
      </c>
      <c r="I2725" t="str">
        <f>IF($A2725="","",IF($B2725&lt;&gt;"",$B2725,IF(COUNTIFS(原始经营数据!$D$3:$D$3001,$A2725,原始经营数据!$E$3:$E$3001,"",原始经营数据!$F$3:$F$3001,$C2725,原始经营数据!$H$3:$H$3001,$D2725,原始经营数据!$K$3:$K$3001,$G2725)&gt;1,"基金整体·来源"&amp;原始经营数据!$A2726,"基金整体")))</f>
        <v/>
      </c>
      <c r="J2725" t="str">
        <f t="shared" si="633"/>
        <v/>
      </c>
      <c r="K2725" t="str">
        <f t="shared" si="634"/>
        <v/>
      </c>
      <c r="L2725" t="str">
        <f t="shared" si="635"/>
        <v/>
      </c>
      <c r="M2725">
        <f>IF($A2725="",0,IF(COUNTIF($L$2:$L2725,$L2725)=1,1,0))</f>
        <v>0</v>
      </c>
      <c r="N2725" t="str">
        <f t="shared" si="636"/>
        <v/>
      </c>
      <c r="O2725" t="str">
        <f t="shared" si="637"/>
        <v/>
      </c>
      <c r="P2725">
        <f>IF($A2725="",0,IF(COUNTIF($O$2:$O2725,$O2725)=1,1,0))</f>
        <v>0</v>
      </c>
      <c r="Q2725" t="str">
        <f>IF(AND($P2725=1,$A2725=经营数据!$B$3,$J2725=经营数据!$BA$5),COUNTIFS($P$2:$P$3000,1,$A$2:$A$3000,$A2725,$J$2:$J$3000,$J2725,$N$2:$N$3000,"&lt;"&amp;$N2725)+1,"")</f>
        <v/>
      </c>
      <c r="R2725" t="str">
        <f t="shared" si="638"/>
        <v/>
      </c>
      <c r="S2725">
        <f>IF($A2725="",0,IF(COUNTIF($R$2:$R2725,$R2725)=1,1,0))</f>
        <v>0</v>
      </c>
      <c r="T2725" t="str">
        <f t="shared" si="639"/>
        <v/>
      </c>
      <c r="U2725" t="str">
        <f>IF($A2725="","",IF($A2725=经营数据!$B$3,COUNTIFS($S$2:$S$3000,1,$A$2:$A$3000,$A2725,$T$2:$T$3000,"&lt;"&amp;$T2725)+1,""))</f>
        <v/>
      </c>
      <c r="V2725" t="str">
        <f t="shared" si="640"/>
        <v/>
      </c>
      <c r="W2725" t="str">
        <f t="shared" si="641"/>
        <v/>
      </c>
      <c r="X2725" t="str">
        <f t="shared" si="642"/>
        <v/>
      </c>
      <c r="Y2725" t="str">
        <f t="shared" si="643"/>
        <v/>
      </c>
      <c r="Z2725">
        <f>IF($A2725="",0,IF(AND($M2725=1,$A2725=经营数据!$B$3,$J2725=经营数据!$BA$5,OR($I2725=经营数据!$BA$4,COUNTIF(经营数据!$AA$9:$AA$38,$I2725)&gt;0)),1,0))</f>
        <v>0</v>
      </c>
      <c r="AA2725" t="str">
        <f t="shared" si="644"/>
        <v/>
      </c>
      <c r="AB2725" t="str">
        <f t="shared" si="645"/>
        <v/>
      </c>
      <c r="AC2725">
        <f>IF($A2725="",0,IF(COUNTIF($A$2:$A2725,$A2725)=1,1,0))</f>
        <v>0</v>
      </c>
      <c r="AD2725">
        <f t="shared" si="646"/>
        <v>29</v>
      </c>
      <c r="AE2725" t="str">
        <f t="shared" si="647"/>
        <v/>
      </c>
    </row>
    <row r="2726" spans="1:31" x14ac:dyDescent="0.4">
      <c r="A2726" t="str">
        <f>IF(原始经营数据!$D2727="","",原始经营数据!$D2727)</f>
        <v/>
      </c>
      <c r="B2726" t="str">
        <f>IF(原始经营数据!$D2727="","",T(原始经营数据!$E2727))</f>
        <v/>
      </c>
      <c r="C2726" t="str">
        <f>IF(原始经营数据!$D2727="","",原始经营数据!$F2727)</f>
        <v/>
      </c>
      <c r="D2726" t="str">
        <f>IF(原始经营数据!$D2727="","",原始经营数据!$H2727)</f>
        <v/>
      </c>
      <c r="E2726" t="str">
        <f>IF(原始经营数据!$D2727="","",原始经营数据!$I2727)</f>
        <v/>
      </c>
      <c r="F2726" t="str">
        <f>IF(原始经营数据!$D2727="","",T(原始经营数据!$J2727))</f>
        <v/>
      </c>
      <c r="G2726" t="str">
        <f>IF(原始经营数据!$D2727="","",T(原始经营数据!$K2727))</f>
        <v/>
      </c>
      <c r="H2726" t="str">
        <f>IF(原始经营数据!$D2727="","",原始经营数据!$G2727)</f>
        <v/>
      </c>
      <c r="I2726" t="str">
        <f>IF($A2726="","",IF($B2726&lt;&gt;"",$B2726,IF(COUNTIFS(原始经营数据!$D$3:$D$3001,$A2726,原始经营数据!$E$3:$E$3001,"",原始经营数据!$F$3:$F$3001,$C2726,原始经营数据!$H$3:$H$3001,$D2726,原始经营数据!$K$3:$K$3001,$G2726)&gt;1,"基金整体·来源"&amp;原始经营数据!$A2727,"基金整体")))</f>
        <v/>
      </c>
      <c r="J2726" t="str">
        <f t="shared" si="633"/>
        <v/>
      </c>
      <c r="K2726" t="str">
        <f t="shared" si="634"/>
        <v/>
      </c>
      <c r="L2726" t="str">
        <f t="shared" si="635"/>
        <v/>
      </c>
      <c r="M2726">
        <f>IF($A2726="",0,IF(COUNTIF($L$2:$L2726,$L2726)=1,1,0))</f>
        <v>0</v>
      </c>
      <c r="N2726" t="str">
        <f t="shared" si="636"/>
        <v/>
      </c>
      <c r="O2726" t="str">
        <f t="shared" si="637"/>
        <v/>
      </c>
      <c r="P2726">
        <f>IF($A2726="",0,IF(COUNTIF($O$2:$O2726,$O2726)=1,1,0))</f>
        <v>0</v>
      </c>
      <c r="Q2726" t="str">
        <f>IF(AND($P2726=1,$A2726=经营数据!$B$3,$J2726=经营数据!$BA$5),COUNTIFS($P$2:$P$3000,1,$A$2:$A$3000,$A2726,$J$2:$J$3000,$J2726,$N$2:$N$3000,"&lt;"&amp;$N2726)+1,"")</f>
        <v/>
      </c>
      <c r="R2726" t="str">
        <f t="shared" si="638"/>
        <v/>
      </c>
      <c r="S2726">
        <f>IF($A2726="",0,IF(COUNTIF($R$2:$R2726,$R2726)=1,1,0))</f>
        <v>0</v>
      </c>
      <c r="T2726" t="str">
        <f t="shared" si="639"/>
        <v/>
      </c>
      <c r="U2726" t="str">
        <f>IF($A2726="","",IF($A2726=经营数据!$B$3,COUNTIFS($S$2:$S$3000,1,$A$2:$A$3000,$A2726,$T$2:$T$3000,"&lt;"&amp;$T2726)+1,""))</f>
        <v/>
      </c>
      <c r="V2726" t="str">
        <f t="shared" si="640"/>
        <v/>
      </c>
      <c r="W2726" t="str">
        <f t="shared" si="641"/>
        <v/>
      </c>
      <c r="X2726" t="str">
        <f t="shared" si="642"/>
        <v/>
      </c>
      <c r="Y2726" t="str">
        <f t="shared" si="643"/>
        <v/>
      </c>
      <c r="Z2726">
        <f>IF($A2726="",0,IF(AND($M2726=1,$A2726=经营数据!$B$3,$J2726=经营数据!$BA$5,OR($I2726=经营数据!$BA$4,COUNTIF(经营数据!$AA$9:$AA$38,$I2726)&gt;0)),1,0))</f>
        <v>0</v>
      </c>
      <c r="AA2726" t="str">
        <f t="shared" si="644"/>
        <v/>
      </c>
      <c r="AB2726" t="str">
        <f t="shared" si="645"/>
        <v/>
      </c>
      <c r="AC2726">
        <f>IF($A2726="",0,IF(COUNTIF($A$2:$A2726,$A2726)=1,1,0))</f>
        <v>0</v>
      </c>
      <c r="AD2726">
        <f t="shared" si="646"/>
        <v>29</v>
      </c>
      <c r="AE2726" t="str">
        <f t="shared" si="647"/>
        <v/>
      </c>
    </row>
    <row r="2727" spans="1:31" x14ac:dyDescent="0.4">
      <c r="A2727" t="str">
        <f>IF(原始经营数据!$D2728="","",原始经营数据!$D2728)</f>
        <v/>
      </c>
      <c r="B2727" t="str">
        <f>IF(原始经营数据!$D2728="","",T(原始经营数据!$E2728))</f>
        <v/>
      </c>
      <c r="C2727" t="str">
        <f>IF(原始经营数据!$D2728="","",原始经营数据!$F2728)</f>
        <v/>
      </c>
      <c r="D2727" t="str">
        <f>IF(原始经营数据!$D2728="","",原始经营数据!$H2728)</f>
        <v/>
      </c>
      <c r="E2727" t="str">
        <f>IF(原始经营数据!$D2728="","",原始经营数据!$I2728)</f>
        <v/>
      </c>
      <c r="F2727" t="str">
        <f>IF(原始经营数据!$D2728="","",T(原始经营数据!$J2728))</f>
        <v/>
      </c>
      <c r="G2727" t="str">
        <f>IF(原始经营数据!$D2728="","",T(原始经营数据!$K2728))</f>
        <v/>
      </c>
      <c r="H2727" t="str">
        <f>IF(原始经营数据!$D2728="","",原始经营数据!$G2728)</f>
        <v/>
      </c>
      <c r="I2727" t="str">
        <f>IF($A2727="","",IF($B2727&lt;&gt;"",$B2727,IF(COUNTIFS(原始经营数据!$D$3:$D$3001,$A2727,原始经营数据!$E$3:$E$3001,"",原始经营数据!$F$3:$F$3001,$C2727,原始经营数据!$H$3:$H$3001,$D2727,原始经营数据!$K$3:$K$3001,$G2727)&gt;1,"基金整体·来源"&amp;原始经营数据!$A2728,"基金整体")))</f>
        <v/>
      </c>
      <c r="J2727" t="str">
        <f t="shared" si="633"/>
        <v/>
      </c>
      <c r="K2727" t="str">
        <f t="shared" si="634"/>
        <v/>
      </c>
      <c r="L2727" t="str">
        <f t="shared" si="635"/>
        <v/>
      </c>
      <c r="M2727">
        <f>IF($A2727="",0,IF(COUNTIF($L$2:$L2727,$L2727)=1,1,0))</f>
        <v>0</v>
      </c>
      <c r="N2727" t="str">
        <f t="shared" si="636"/>
        <v/>
      </c>
      <c r="O2727" t="str">
        <f t="shared" si="637"/>
        <v/>
      </c>
      <c r="P2727">
        <f>IF($A2727="",0,IF(COUNTIF($O$2:$O2727,$O2727)=1,1,0))</f>
        <v>0</v>
      </c>
      <c r="Q2727" t="str">
        <f>IF(AND($P2727=1,$A2727=经营数据!$B$3,$J2727=经营数据!$BA$5),COUNTIFS($P$2:$P$3000,1,$A$2:$A$3000,$A2727,$J$2:$J$3000,$J2727,$N$2:$N$3000,"&lt;"&amp;$N2727)+1,"")</f>
        <v/>
      </c>
      <c r="R2727" t="str">
        <f t="shared" si="638"/>
        <v/>
      </c>
      <c r="S2727">
        <f>IF($A2727="",0,IF(COUNTIF($R$2:$R2727,$R2727)=1,1,0))</f>
        <v>0</v>
      </c>
      <c r="T2727" t="str">
        <f t="shared" si="639"/>
        <v/>
      </c>
      <c r="U2727" t="str">
        <f>IF($A2727="","",IF($A2727=经营数据!$B$3,COUNTIFS($S$2:$S$3000,1,$A$2:$A$3000,$A2727,$T$2:$T$3000,"&lt;"&amp;$T2727)+1,""))</f>
        <v/>
      </c>
      <c r="V2727" t="str">
        <f t="shared" si="640"/>
        <v/>
      </c>
      <c r="W2727" t="str">
        <f t="shared" si="641"/>
        <v/>
      </c>
      <c r="X2727" t="str">
        <f t="shared" si="642"/>
        <v/>
      </c>
      <c r="Y2727" t="str">
        <f t="shared" si="643"/>
        <v/>
      </c>
      <c r="Z2727">
        <f>IF($A2727="",0,IF(AND($M2727=1,$A2727=经营数据!$B$3,$J2727=经营数据!$BA$5,OR($I2727=经营数据!$BA$4,COUNTIF(经营数据!$AA$9:$AA$38,$I2727)&gt;0)),1,0))</f>
        <v>0</v>
      </c>
      <c r="AA2727" t="str">
        <f t="shared" si="644"/>
        <v/>
      </c>
      <c r="AB2727" t="str">
        <f t="shared" si="645"/>
        <v/>
      </c>
      <c r="AC2727">
        <f>IF($A2727="",0,IF(COUNTIF($A$2:$A2727,$A2727)=1,1,0))</f>
        <v>0</v>
      </c>
      <c r="AD2727">
        <f t="shared" si="646"/>
        <v>29</v>
      </c>
      <c r="AE2727" t="str">
        <f t="shared" si="647"/>
        <v/>
      </c>
    </row>
    <row r="2728" spans="1:31" x14ac:dyDescent="0.4">
      <c r="A2728" t="str">
        <f>IF(原始经营数据!$D2729="","",原始经营数据!$D2729)</f>
        <v/>
      </c>
      <c r="B2728" t="str">
        <f>IF(原始经营数据!$D2729="","",T(原始经营数据!$E2729))</f>
        <v/>
      </c>
      <c r="C2728" t="str">
        <f>IF(原始经营数据!$D2729="","",原始经营数据!$F2729)</f>
        <v/>
      </c>
      <c r="D2728" t="str">
        <f>IF(原始经营数据!$D2729="","",原始经营数据!$H2729)</f>
        <v/>
      </c>
      <c r="E2728" t="str">
        <f>IF(原始经营数据!$D2729="","",原始经营数据!$I2729)</f>
        <v/>
      </c>
      <c r="F2728" t="str">
        <f>IF(原始经营数据!$D2729="","",T(原始经营数据!$J2729))</f>
        <v/>
      </c>
      <c r="G2728" t="str">
        <f>IF(原始经营数据!$D2729="","",T(原始经营数据!$K2729))</f>
        <v/>
      </c>
      <c r="H2728" t="str">
        <f>IF(原始经营数据!$D2729="","",原始经营数据!$G2729)</f>
        <v/>
      </c>
      <c r="I2728" t="str">
        <f>IF($A2728="","",IF($B2728&lt;&gt;"",$B2728,IF(COUNTIFS(原始经营数据!$D$3:$D$3001,$A2728,原始经营数据!$E$3:$E$3001,"",原始经营数据!$F$3:$F$3001,$C2728,原始经营数据!$H$3:$H$3001,$D2728,原始经营数据!$K$3:$K$3001,$G2728)&gt;1,"基金整体·来源"&amp;原始经营数据!$A2729,"基金整体")))</f>
        <v/>
      </c>
      <c r="J2728" t="str">
        <f t="shared" si="633"/>
        <v/>
      </c>
      <c r="K2728" t="str">
        <f t="shared" si="634"/>
        <v/>
      </c>
      <c r="L2728" t="str">
        <f t="shared" si="635"/>
        <v/>
      </c>
      <c r="M2728">
        <f>IF($A2728="",0,IF(COUNTIF($L$2:$L2728,$L2728)=1,1,0))</f>
        <v>0</v>
      </c>
      <c r="N2728" t="str">
        <f t="shared" si="636"/>
        <v/>
      </c>
      <c r="O2728" t="str">
        <f t="shared" si="637"/>
        <v/>
      </c>
      <c r="P2728">
        <f>IF($A2728="",0,IF(COUNTIF($O$2:$O2728,$O2728)=1,1,0))</f>
        <v>0</v>
      </c>
      <c r="Q2728" t="str">
        <f>IF(AND($P2728=1,$A2728=经营数据!$B$3,$J2728=经营数据!$BA$5),COUNTIFS($P$2:$P$3000,1,$A$2:$A$3000,$A2728,$J$2:$J$3000,$J2728,$N$2:$N$3000,"&lt;"&amp;$N2728)+1,"")</f>
        <v/>
      </c>
      <c r="R2728" t="str">
        <f t="shared" si="638"/>
        <v/>
      </c>
      <c r="S2728">
        <f>IF($A2728="",0,IF(COUNTIF($R$2:$R2728,$R2728)=1,1,0))</f>
        <v>0</v>
      </c>
      <c r="T2728" t="str">
        <f t="shared" si="639"/>
        <v/>
      </c>
      <c r="U2728" t="str">
        <f>IF($A2728="","",IF($A2728=经营数据!$B$3,COUNTIFS($S$2:$S$3000,1,$A$2:$A$3000,$A2728,$T$2:$T$3000,"&lt;"&amp;$T2728)+1,""))</f>
        <v/>
      </c>
      <c r="V2728" t="str">
        <f t="shared" si="640"/>
        <v/>
      </c>
      <c r="W2728" t="str">
        <f t="shared" si="641"/>
        <v/>
      </c>
      <c r="X2728" t="str">
        <f t="shared" si="642"/>
        <v/>
      </c>
      <c r="Y2728" t="str">
        <f t="shared" si="643"/>
        <v/>
      </c>
      <c r="Z2728">
        <f>IF($A2728="",0,IF(AND($M2728=1,$A2728=经营数据!$B$3,$J2728=经营数据!$BA$5,OR($I2728=经营数据!$BA$4,COUNTIF(经营数据!$AA$9:$AA$38,$I2728)&gt;0)),1,0))</f>
        <v>0</v>
      </c>
      <c r="AA2728" t="str">
        <f t="shared" si="644"/>
        <v/>
      </c>
      <c r="AB2728" t="str">
        <f t="shared" si="645"/>
        <v/>
      </c>
      <c r="AC2728">
        <f>IF($A2728="",0,IF(COUNTIF($A$2:$A2728,$A2728)=1,1,0))</f>
        <v>0</v>
      </c>
      <c r="AD2728">
        <f t="shared" si="646"/>
        <v>29</v>
      </c>
      <c r="AE2728" t="str">
        <f t="shared" si="647"/>
        <v/>
      </c>
    </row>
    <row r="2729" spans="1:31" x14ac:dyDescent="0.4">
      <c r="A2729" t="str">
        <f>IF(原始经营数据!$D2730="","",原始经营数据!$D2730)</f>
        <v/>
      </c>
      <c r="B2729" t="str">
        <f>IF(原始经营数据!$D2730="","",T(原始经营数据!$E2730))</f>
        <v/>
      </c>
      <c r="C2729" t="str">
        <f>IF(原始经营数据!$D2730="","",原始经营数据!$F2730)</f>
        <v/>
      </c>
      <c r="D2729" t="str">
        <f>IF(原始经营数据!$D2730="","",原始经营数据!$H2730)</f>
        <v/>
      </c>
      <c r="E2729" t="str">
        <f>IF(原始经营数据!$D2730="","",原始经营数据!$I2730)</f>
        <v/>
      </c>
      <c r="F2729" t="str">
        <f>IF(原始经营数据!$D2730="","",T(原始经营数据!$J2730))</f>
        <v/>
      </c>
      <c r="G2729" t="str">
        <f>IF(原始经营数据!$D2730="","",T(原始经营数据!$K2730))</f>
        <v/>
      </c>
      <c r="H2729" t="str">
        <f>IF(原始经营数据!$D2730="","",原始经营数据!$G2730)</f>
        <v/>
      </c>
      <c r="I2729" t="str">
        <f>IF($A2729="","",IF($B2729&lt;&gt;"",$B2729,IF(COUNTIFS(原始经营数据!$D$3:$D$3001,$A2729,原始经营数据!$E$3:$E$3001,"",原始经营数据!$F$3:$F$3001,$C2729,原始经营数据!$H$3:$H$3001,$D2729,原始经营数据!$K$3:$K$3001,$G2729)&gt;1,"基金整体·来源"&amp;原始经营数据!$A2730,"基金整体")))</f>
        <v/>
      </c>
      <c r="J2729" t="str">
        <f t="shared" si="633"/>
        <v/>
      </c>
      <c r="K2729" t="str">
        <f t="shared" si="634"/>
        <v/>
      </c>
      <c r="L2729" t="str">
        <f t="shared" si="635"/>
        <v/>
      </c>
      <c r="M2729">
        <f>IF($A2729="",0,IF(COUNTIF($L$2:$L2729,$L2729)=1,1,0))</f>
        <v>0</v>
      </c>
      <c r="N2729" t="str">
        <f t="shared" si="636"/>
        <v/>
      </c>
      <c r="O2729" t="str">
        <f t="shared" si="637"/>
        <v/>
      </c>
      <c r="P2729">
        <f>IF($A2729="",0,IF(COUNTIF($O$2:$O2729,$O2729)=1,1,0))</f>
        <v>0</v>
      </c>
      <c r="Q2729" t="str">
        <f>IF(AND($P2729=1,$A2729=经营数据!$B$3,$J2729=经营数据!$BA$5),COUNTIFS($P$2:$P$3000,1,$A$2:$A$3000,$A2729,$J$2:$J$3000,$J2729,$N$2:$N$3000,"&lt;"&amp;$N2729)+1,"")</f>
        <v/>
      </c>
      <c r="R2729" t="str">
        <f t="shared" si="638"/>
        <v/>
      </c>
      <c r="S2729">
        <f>IF($A2729="",0,IF(COUNTIF($R$2:$R2729,$R2729)=1,1,0))</f>
        <v>0</v>
      </c>
      <c r="T2729" t="str">
        <f t="shared" si="639"/>
        <v/>
      </c>
      <c r="U2729" t="str">
        <f>IF($A2729="","",IF($A2729=经营数据!$B$3,COUNTIFS($S$2:$S$3000,1,$A$2:$A$3000,$A2729,$T$2:$T$3000,"&lt;"&amp;$T2729)+1,""))</f>
        <v/>
      </c>
      <c r="V2729" t="str">
        <f t="shared" si="640"/>
        <v/>
      </c>
      <c r="W2729" t="str">
        <f t="shared" si="641"/>
        <v/>
      </c>
      <c r="X2729" t="str">
        <f t="shared" si="642"/>
        <v/>
      </c>
      <c r="Y2729" t="str">
        <f t="shared" si="643"/>
        <v/>
      </c>
      <c r="Z2729">
        <f>IF($A2729="",0,IF(AND($M2729=1,$A2729=经营数据!$B$3,$J2729=经营数据!$BA$5,OR($I2729=经营数据!$BA$4,COUNTIF(经营数据!$AA$9:$AA$38,$I2729)&gt;0)),1,0))</f>
        <v>0</v>
      </c>
      <c r="AA2729" t="str">
        <f t="shared" si="644"/>
        <v/>
      </c>
      <c r="AB2729" t="str">
        <f t="shared" si="645"/>
        <v/>
      </c>
      <c r="AC2729">
        <f>IF($A2729="",0,IF(COUNTIF($A$2:$A2729,$A2729)=1,1,0))</f>
        <v>0</v>
      </c>
      <c r="AD2729">
        <f t="shared" si="646"/>
        <v>29</v>
      </c>
      <c r="AE2729" t="str">
        <f t="shared" si="647"/>
        <v/>
      </c>
    </row>
    <row r="2730" spans="1:31" x14ac:dyDescent="0.4">
      <c r="A2730" t="str">
        <f>IF(原始经营数据!$D2731="","",原始经营数据!$D2731)</f>
        <v/>
      </c>
      <c r="B2730" t="str">
        <f>IF(原始经营数据!$D2731="","",T(原始经营数据!$E2731))</f>
        <v/>
      </c>
      <c r="C2730" t="str">
        <f>IF(原始经营数据!$D2731="","",原始经营数据!$F2731)</f>
        <v/>
      </c>
      <c r="D2730" t="str">
        <f>IF(原始经营数据!$D2731="","",原始经营数据!$H2731)</f>
        <v/>
      </c>
      <c r="E2730" t="str">
        <f>IF(原始经营数据!$D2731="","",原始经营数据!$I2731)</f>
        <v/>
      </c>
      <c r="F2730" t="str">
        <f>IF(原始经营数据!$D2731="","",T(原始经营数据!$J2731))</f>
        <v/>
      </c>
      <c r="G2730" t="str">
        <f>IF(原始经营数据!$D2731="","",T(原始经营数据!$K2731))</f>
        <v/>
      </c>
      <c r="H2730" t="str">
        <f>IF(原始经营数据!$D2731="","",原始经营数据!$G2731)</f>
        <v/>
      </c>
      <c r="I2730" t="str">
        <f>IF($A2730="","",IF($B2730&lt;&gt;"",$B2730,IF(COUNTIFS(原始经营数据!$D$3:$D$3001,$A2730,原始经营数据!$E$3:$E$3001,"",原始经营数据!$F$3:$F$3001,$C2730,原始经营数据!$H$3:$H$3001,$D2730,原始经营数据!$K$3:$K$3001,$G2730)&gt;1,"基金整体·来源"&amp;原始经营数据!$A2731,"基金整体")))</f>
        <v/>
      </c>
      <c r="J2730" t="str">
        <f t="shared" si="633"/>
        <v/>
      </c>
      <c r="K2730" t="str">
        <f t="shared" si="634"/>
        <v/>
      </c>
      <c r="L2730" t="str">
        <f t="shared" si="635"/>
        <v/>
      </c>
      <c r="M2730">
        <f>IF($A2730="",0,IF(COUNTIF($L$2:$L2730,$L2730)=1,1,0))</f>
        <v>0</v>
      </c>
      <c r="N2730" t="str">
        <f t="shared" si="636"/>
        <v/>
      </c>
      <c r="O2730" t="str">
        <f t="shared" si="637"/>
        <v/>
      </c>
      <c r="P2730">
        <f>IF($A2730="",0,IF(COUNTIF($O$2:$O2730,$O2730)=1,1,0))</f>
        <v>0</v>
      </c>
      <c r="Q2730" t="str">
        <f>IF(AND($P2730=1,$A2730=经营数据!$B$3,$J2730=经营数据!$BA$5),COUNTIFS($P$2:$P$3000,1,$A$2:$A$3000,$A2730,$J$2:$J$3000,$J2730,$N$2:$N$3000,"&lt;"&amp;$N2730)+1,"")</f>
        <v/>
      </c>
      <c r="R2730" t="str">
        <f t="shared" si="638"/>
        <v/>
      </c>
      <c r="S2730">
        <f>IF($A2730="",0,IF(COUNTIF($R$2:$R2730,$R2730)=1,1,0))</f>
        <v>0</v>
      </c>
      <c r="T2730" t="str">
        <f t="shared" si="639"/>
        <v/>
      </c>
      <c r="U2730" t="str">
        <f>IF($A2730="","",IF($A2730=经营数据!$B$3,COUNTIFS($S$2:$S$3000,1,$A$2:$A$3000,$A2730,$T$2:$T$3000,"&lt;"&amp;$T2730)+1,""))</f>
        <v/>
      </c>
      <c r="V2730" t="str">
        <f t="shared" si="640"/>
        <v/>
      </c>
      <c r="W2730" t="str">
        <f t="shared" si="641"/>
        <v/>
      </c>
      <c r="X2730" t="str">
        <f t="shared" si="642"/>
        <v/>
      </c>
      <c r="Y2730" t="str">
        <f t="shared" si="643"/>
        <v/>
      </c>
      <c r="Z2730">
        <f>IF($A2730="",0,IF(AND($M2730=1,$A2730=经营数据!$B$3,$J2730=经营数据!$BA$5,OR($I2730=经营数据!$BA$4,COUNTIF(经营数据!$AA$9:$AA$38,$I2730)&gt;0)),1,0))</f>
        <v>0</v>
      </c>
      <c r="AA2730" t="str">
        <f t="shared" si="644"/>
        <v/>
      </c>
      <c r="AB2730" t="str">
        <f t="shared" si="645"/>
        <v/>
      </c>
      <c r="AC2730">
        <f>IF($A2730="",0,IF(COUNTIF($A$2:$A2730,$A2730)=1,1,0))</f>
        <v>0</v>
      </c>
      <c r="AD2730">
        <f t="shared" si="646"/>
        <v>29</v>
      </c>
      <c r="AE2730" t="str">
        <f t="shared" si="647"/>
        <v/>
      </c>
    </row>
    <row r="2731" spans="1:31" x14ac:dyDescent="0.4">
      <c r="A2731" t="str">
        <f>IF(原始经营数据!$D2732="","",原始经营数据!$D2732)</f>
        <v/>
      </c>
      <c r="B2731" t="str">
        <f>IF(原始经营数据!$D2732="","",T(原始经营数据!$E2732))</f>
        <v/>
      </c>
      <c r="C2731" t="str">
        <f>IF(原始经营数据!$D2732="","",原始经营数据!$F2732)</f>
        <v/>
      </c>
      <c r="D2731" t="str">
        <f>IF(原始经营数据!$D2732="","",原始经营数据!$H2732)</f>
        <v/>
      </c>
      <c r="E2731" t="str">
        <f>IF(原始经营数据!$D2732="","",原始经营数据!$I2732)</f>
        <v/>
      </c>
      <c r="F2731" t="str">
        <f>IF(原始经营数据!$D2732="","",T(原始经营数据!$J2732))</f>
        <v/>
      </c>
      <c r="G2731" t="str">
        <f>IF(原始经营数据!$D2732="","",T(原始经营数据!$K2732))</f>
        <v/>
      </c>
      <c r="H2731" t="str">
        <f>IF(原始经营数据!$D2732="","",原始经营数据!$G2732)</f>
        <v/>
      </c>
      <c r="I2731" t="str">
        <f>IF($A2731="","",IF($B2731&lt;&gt;"",$B2731,IF(COUNTIFS(原始经营数据!$D$3:$D$3001,$A2731,原始经营数据!$E$3:$E$3001,"",原始经营数据!$F$3:$F$3001,$C2731,原始经营数据!$H$3:$H$3001,$D2731,原始经营数据!$K$3:$K$3001,$G2731)&gt;1,"基金整体·来源"&amp;原始经营数据!$A2732,"基金整体")))</f>
        <v/>
      </c>
      <c r="J2731" t="str">
        <f t="shared" si="633"/>
        <v/>
      </c>
      <c r="K2731" t="str">
        <f t="shared" si="634"/>
        <v/>
      </c>
      <c r="L2731" t="str">
        <f t="shared" si="635"/>
        <v/>
      </c>
      <c r="M2731">
        <f>IF($A2731="",0,IF(COUNTIF($L$2:$L2731,$L2731)=1,1,0))</f>
        <v>0</v>
      </c>
      <c r="N2731" t="str">
        <f t="shared" si="636"/>
        <v/>
      </c>
      <c r="O2731" t="str">
        <f t="shared" si="637"/>
        <v/>
      </c>
      <c r="P2731">
        <f>IF($A2731="",0,IF(COUNTIF($O$2:$O2731,$O2731)=1,1,0))</f>
        <v>0</v>
      </c>
      <c r="Q2731" t="str">
        <f>IF(AND($P2731=1,$A2731=经营数据!$B$3,$J2731=经营数据!$BA$5),COUNTIFS($P$2:$P$3000,1,$A$2:$A$3000,$A2731,$J$2:$J$3000,$J2731,$N$2:$N$3000,"&lt;"&amp;$N2731)+1,"")</f>
        <v/>
      </c>
      <c r="R2731" t="str">
        <f t="shared" si="638"/>
        <v/>
      </c>
      <c r="S2731">
        <f>IF($A2731="",0,IF(COUNTIF($R$2:$R2731,$R2731)=1,1,0))</f>
        <v>0</v>
      </c>
      <c r="T2731" t="str">
        <f t="shared" si="639"/>
        <v/>
      </c>
      <c r="U2731" t="str">
        <f>IF($A2731="","",IF($A2731=经营数据!$B$3,COUNTIFS($S$2:$S$3000,1,$A$2:$A$3000,$A2731,$T$2:$T$3000,"&lt;"&amp;$T2731)+1,""))</f>
        <v/>
      </c>
      <c r="V2731" t="str">
        <f t="shared" si="640"/>
        <v/>
      </c>
      <c r="W2731" t="str">
        <f t="shared" si="641"/>
        <v/>
      </c>
      <c r="X2731" t="str">
        <f t="shared" si="642"/>
        <v/>
      </c>
      <c r="Y2731" t="str">
        <f t="shared" si="643"/>
        <v/>
      </c>
      <c r="Z2731">
        <f>IF($A2731="",0,IF(AND($M2731=1,$A2731=经营数据!$B$3,$J2731=经营数据!$BA$5,OR($I2731=经营数据!$BA$4,COUNTIF(经营数据!$AA$9:$AA$38,$I2731)&gt;0)),1,0))</f>
        <v>0</v>
      </c>
      <c r="AA2731" t="str">
        <f t="shared" si="644"/>
        <v/>
      </c>
      <c r="AB2731" t="str">
        <f t="shared" si="645"/>
        <v/>
      </c>
      <c r="AC2731">
        <f>IF($A2731="",0,IF(COUNTIF($A$2:$A2731,$A2731)=1,1,0))</f>
        <v>0</v>
      </c>
      <c r="AD2731">
        <f t="shared" si="646"/>
        <v>29</v>
      </c>
      <c r="AE2731" t="str">
        <f t="shared" si="647"/>
        <v/>
      </c>
    </row>
    <row r="2732" spans="1:31" x14ac:dyDescent="0.4">
      <c r="A2732" t="str">
        <f>IF(原始经营数据!$D2733="","",原始经营数据!$D2733)</f>
        <v/>
      </c>
      <c r="B2732" t="str">
        <f>IF(原始经营数据!$D2733="","",T(原始经营数据!$E2733))</f>
        <v/>
      </c>
      <c r="C2732" t="str">
        <f>IF(原始经营数据!$D2733="","",原始经营数据!$F2733)</f>
        <v/>
      </c>
      <c r="D2732" t="str">
        <f>IF(原始经营数据!$D2733="","",原始经营数据!$H2733)</f>
        <v/>
      </c>
      <c r="E2732" t="str">
        <f>IF(原始经营数据!$D2733="","",原始经营数据!$I2733)</f>
        <v/>
      </c>
      <c r="F2732" t="str">
        <f>IF(原始经营数据!$D2733="","",T(原始经营数据!$J2733))</f>
        <v/>
      </c>
      <c r="G2732" t="str">
        <f>IF(原始经营数据!$D2733="","",T(原始经营数据!$K2733))</f>
        <v/>
      </c>
      <c r="H2732" t="str">
        <f>IF(原始经营数据!$D2733="","",原始经营数据!$G2733)</f>
        <v/>
      </c>
      <c r="I2732" t="str">
        <f>IF($A2732="","",IF($B2732&lt;&gt;"",$B2732,IF(COUNTIFS(原始经营数据!$D$3:$D$3001,$A2732,原始经营数据!$E$3:$E$3001,"",原始经营数据!$F$3:$F$3001,$C2732,原始经营数据!$H$3:$H$3001,$D2732,原始经营数据!$K$3:$K$3001,$G2732)&gt;1,"基金整体·来源"&amp;原始经营数据!$A2733,"基金整体")))</f>
        <v/>
      </c>
      <c r="J2732" t="str">
        <f t="shared" si="633"/>
        <v/>
      </c>
      <c r="K2732" t="str">
        <f t="shared" si="634"/>
        <v/>
      </c>
      <c r="L2732" t="str">
        <f t="shared" si="635"/>
        <v/>
      </c>
      <c r="M2732">
        <f>IF($A2732="",0,IF(COUNTIF($L$2:$L2732,$L2732)=1,1,0))</f>
        <v>0</v>
      </c>
      <c r="N2732" t="str">
        <f t="shared" si="636"/>
        <v/>
      </c>
      <c r="O2732" t="str">
        <f t="shared" si="637"/>
        <v/>
      </c>
      <c r="P2732">
        <f>IF($A2732="",0,IF(COUNTIF($O$2:$O2732,$O2732)=1,1,0))</f>
        <v>0</v>
      </c>
      <c r="Q2732" t="str">
        <f>IF(AND($P2732=1,$A2732=经营数据!$B$3,$J2732=经营数据!$BA$5),COUNTIFS($P$2:$P$3000,1,$A$2:$A$3000,$A2732,$J$2:$J$3000,$J2732,$N$2:$N$3000,"&lt;"&amp;$N2732)+1,"")</f>
        <v/>
      </c>
      <c r="R2732" t="str">
        <f t="shared" si="638"/>
        <v/>
      </c>
      <c r="S2732">
        <f>IF($A2732="",0,IF(COUNTIF($R$2:$R2732,$R2732)=1,1,0))</f>
        <v>0</v>
      </c>
      <c r="T2732" t="str">
        <f t="shared" si="639"/>
        <v/>
      </c>
      <c r="U2732" t="str">
        <f>IF($A2732="","",IF($A2732=经营数据!$B$3,COUNTIFS($S$2:$S$3000,1,$A$2:$A$3000,$A2732,$T$2:$T$3000,"&lt;"&amp;$T2732)+1,""))</f>
        <v/>
      </c>
      <c r="V2732" t="str">
        <f t="shared" si="640"/>
        <v/>
      </c>
      <c r="W2732" t="str">
        <f t="shared" si="641"/>
        <v/>
      </c>
      <c r="X2732" t="str">
        <f t="shared" si="642"/>
        <v/>
      </c>
      <c r="Y2732" t="str">
        <f t="shared" si="643"/>
        <v/>
      </c>
      <c r="Z2732">
        <f>IF($A2732="",0,IF(AND($M2732=1,$A2732=经营数据!$B$3,$J2732=经营数据!$BA$5,OR($I2732=经营数据!$BA$4,COUNTIF(经营数据!$AA$9:$AA$38,$I2732)&gt;0)),1,0))</f>
        <v>0</v>
      </c>
      <c r="AA2732" t="str">
        <f t="shared" si="644"/>
        <v/>
      </c>
      <c r="AB2732" t="str">
        <f t="shared" si="645"/>
        <v/>
      </c>
      <c r="AC2732">
        <f>IF($A2732="",0,IF(COUNTIF($A$2:$A2732,$A2732)=1,1,0))</f>
        <v>0</v>
      </c>
      <c r="AD2732">
        <f t="shared" si="646"/>
        <v>29</v>
      </c>
      <c r="AE2732" t="str">
        <f t="shared" si="647"/>
        <v/>
      </c>
    </row>
    <row r="2733" spans="1:31" x14ac:dyDescent="0.4">
      <c r="A2733" t="str">
        <f>IF(原始经营数据!$D2734="","",原始经营数据!$D2734)</f>
        <v/>
      </c>
      <c r="B2733" t="str">
        <f>IF(原始经营数据!$D2734="","",T(原始经营数据!$E2734))</f>
        <v/>
      </c>
      <c r="C2733" t="str">
        <f>IF(原始经营数据!$D2734="","",原始经营数据!$F2734)</f>
        <v/>
      </c>
      <c r="D2733" t="str">
        <f>IF(原始经营数据!$D2734="","",原始经营数据!$H2734)</f>
        <v/>
      </c>
      <c r="E2733" t="str">
        <f>IF(原始经营数据!$D2734="","",原始经营数据!$I2734)</f>
        <v/>
      </c>
      <c r="F2733" t="str">
        <f>IF(原始经营数据!$D2734="","",T(原始经营数据!$J2734))</f>
        <v/>
      </c>
      <c r="G2733" t="str">
        <f>IF(原始经营数据!$D2734="","",T(原始经营数据!$K2734))</f>
        <v/>
      </c>
      <c r="H2733" t="str">
        <f>IF(原始经营数据!$D2734="","",原始经营数据!$G2734)</f>
        <v/>
      </c>
      <c r="I2733" t="str">
        <f>IF($A2733="","",IF($B2733&lt;&gt;"",$B2733,IF(COUNTIFS(原始经营数据!$D$3:$D$3001,$A2733,原始经营数据!$E$3:$E$3001,"",原始经营数据!$F$3:$F$3001,$C2733,原始经营数据!$H$3:$H$3001,$D2733,原始经营数据!$K$3:$K$3001,$G2733)&gt;1,"基金整体·来源"&amp;原始经营数据!$A2734,"基金整体")))</f>
        <v/>
      </c>
      <c r="J2733" t="str">
        <f t="shared" si="633"/>
        <v/>
      </c>
      <c r="K2733" t="str">
        <f t="shared" si="634"/>
        <v/>
      </c>
      <c r="L2733" t="str">
        <f t="shared" si="635"/>
        <v/>
      </c>
      <c r="M2733">
        <f>IF($A2733="",0,IF(COUNTIF($L$2:$L2733,$L2733)=1,1,0))</f>
        <v>0</v>
      </c>
      <c r="N2733" t="str">
        <f t="shared" si="636"/>
        <v/>
      </c>
      <c r="O2733" t="str">
        <f t="shared" si="637"/>
        <v/>
      </c>
      <c r="P2733">
        <f>IF($A2733="",0,IF(COUNTIF($O$2:$O2733,$O2733)=1,1,0))</f>
        <v>0</v>
      </c>
      <c r="Q2733" t="str">
        <f>IF(AND($P2733=1,$A2733=经营数据!$B$3,$J2733=经营数据!$BA$5),COUNTIFS($P$2:$P$3000,1,$A$2:$A$3000,$A2733,$J$2:$J$3000,$J2733,$N$2:$N$3000,"&lt;"&amp;$N2733)+1,"")</f>
        <v/>
      </c>
      <c r="R2733" t="str">
        <f t="shared" si="638"/>
        <v/>
      </c>
      <c r="S2733">
        <f>IF($A2733="",0,IF(COUNTIF($R$2:$R2733,$R2733)=1,1,0))</f>
        <v>0</v>
      </c>
      <c r="T2733" t="str">
        <f t="shared" si="639"/>
        <v/>
      </c>
      <c r="U2733" t="str">
        <f>IF($A2733="","",IF($A2733=经营数据!$B$3,COUNTIFS($S$2:$S$3000,1,$A$2:$A$3000,$A2733,$T$2:$T$3000,"&lt;"&amp;$T2733)+1,""))</f>
        <v/>
      </c>
      <c r="V2733" t="str">
        <f t="shared" si="640"/>
        <v/>
      </c>
      <c r="W2733" t="str">
        <f t="shared" si="641"/>
        <v/>
      </c>
      <c r="X2733" t="str">
        <f t="shared" si="642"/>
        <v/>
      </c>
      <c r="Y2733" t="str">
        <f t="shared" si="643"/>
        <v/>
      </c>
      <c r="Z2733">
        <f>IF($A2733="",0,IF(AND($M2733=1,$A2733=经营数据!$B$3,$J2733=经营数据!$BA$5,OR($I2733=经营数据!$BA$4,COUNTIF(经营数据!$AA$9:$AA$38,$I2733)&gt;0)),1,0))</f>
        <v>0</v>
      </c>
      <c r="AA2733" t="str">
        <f t="shared" si="644"/>
        <v/>
      </c>
      <c r="AB2733" t="str">
        <f t="shared" si="645"/>
        <v/>
      </c>
      <c r="AC2733">
        <f>IF($A2733="",0,IF(COUNTIF($A$2:$A2733,$A2733)=1,1,0))</f>
        <v>0</v>
      </c>
      <c r="AD2733">
        <f t="shared" si="646"/>
        <v>29</v>
      </c>
      <c r="AE2733" t="str">
        <f t="shared" si="647"/>
        <v/>
      </c>
    </row>
    <row r="2734" spans="1:31" x14ac:dyDescent="0.4">
      <c r="A2734" t="str">
        <f>IF(原始经营数据!$D2735="","",原始经营数据!$D2735)</f>
        <v/>
      </c>
      <c r="B2734" t="str">
        <f>IF(原始经营数据!$D2735="","",T(原始经营数据!$E2735))</f>
        <v/>
      </c>
      <c r="C2734" t="str">
        <f>IF(原始经营数据!$D2735="","",原始经营数据!$F2735)</f>
        <v/>
      </c>
      <c r="D2734" t="str">
        <f>IF(原始经营数据!$D2735="","",原始经营数据!$H2735)</f>
        <v/>
      </c>
      <c r="E2734" t="str">
        <f>IF(原始经营数据!$D2735="","",原始经营数据!$I2735)</f>
        <v/>
      </c>
      <c r="F2734" t="str">
        <f>IF(原始经营数据!$D2735="","",T(原始经营数据!$J2735))</f>
        <v/>
      </c>
      <c r="G2734" t="str">
        <f>IF(原始经营数据!$D2735="","",T(原始经营数据!$K2735))</f>
        <v/>
      </c>
      <c r="H2734" t="str">
        <f>IF(原始经营数据!$D2735="","",原始经营数据!$G2735)</f>
        <v/>
      </c>
      <c r="I2734" t="str">
        <f>IF($A2734="","",IF($B2734&lt;&gt;"",$B2734,IF(COUNTIFS(原始经营数据!$D$3:$D$3001,$A2734,原始经营数据!$E$3:$E$3001,"",原始经营数据!$F$3:$F$3001,$C2734,原始经营数据!$H$3:$H$3001,$D2734,原始经营数据!$K$3:$K$3001,$G2734)&gt;1,"基金整体·来源"&amp;原始经营数据!$A2735,"基金整体")))</f>
        <v/>
      </c>
      <c r="J2734" t="str">
        <f t="shared" si="633"/>
        <v/>
      </c>
      <c r="K2734" t="str">
        <f t="shared" si="634"/>
        <v/>
      </c>
      <c r="L2734" t="str">
        <f t="shared" si="635"/>
        <v/>
      </c>
      <c r="M2734">
        <f>IF($A2734="",0,IF(COUNTIF($L$2:$L2734,$L2734)=1,1,0))</f>
        <v>0</v>
      </c>
      <c r="N2734" t="str">
        <f t="shared" si="636"/>
        <v/>
      </c>
      <c r="O2734" t="str">
        <f t="shared" si="637"/>
        <v/>
      </c>
      <c r="P2734">
        <f>IF($A2734="",0,IF(COUNTIF($O$2:$O2734,$O2734)=1,1,0))</f>
        <v>0</v>
      </c>
      <c r="Q2734" t="str">
        <f>IF(AND($P2734=1,$A2734=经营数据!$B$3,$J2734=经营数据!$BA$5),COUNTIFS($P$2:$P$3000,1,$A$2:$A$3000,$A2734,$J$2:$J$3000,$J2734,$N$2:$N$3000,"&lt;"&amp;$N2734)+1,"")</f>
        <v/>
      </c>
      <c r="R2734" t="str">
        <f t="shared" si="638"/>
        <v/>
      </c>
      <c r="S2734">
        <f>IF($A2734="",0,IF(COUNTIF($R$2:$R2734,$R2734)=1,1,0))</f>
        <v>0</v>
      </c>
      <c r="T2734" t="str">
        <f t="shared" si="639"/>
        <v/>
      </c>
      <c r="U2734" t="str">
        <f>IF($A2734="","",IF($A2734=经营数据!$B$3,COUNTIFS($S$2:$S$3000,1,$A$2:$A$3000,$A2734,$T$2:$T$3000,"&lt;"&amp;$T2734)+1,""))</f>
        <v/>
      </c>
      <c r="V2734" t="str">
        <f t="shared" si="640"/>
        <v/>
      </c>
      <c r="W2734" t="str">
        <f t="shared" si="641"/>
        <v/>
      </c>
      <c r="X2734" t="str">
        <f t="shared" si="642"/>
        <v/>
      </c>
      <c r="Y2734" t="str">
        <f t="shared" si="643"/>
        <v/>
      </c>
      <c r="Z2734">
        <f>IF($A2734="",0,IF(AND($M2734=1,$A2734=经营数据!$B$3,$J2734=经营数据!$BA$5,OR($I2734=经营数据!$BA$4,COUNTIF(经营数据!$AA$9:$AA$38,$I2734)&gt;0)),1,0))</f>
        <v>0</v>
      </c>
      <c r="AA2734" t="str">
        <f t="shared" si="644"/>
        <v/>
      </c>
      <c r="AB2734" t="str">
        <f t="shared" si="645"/>
        <v/>
      </c>
      <c r="AC2734">
        <f>IF($A2734="",0,IF(COUNTIF($A$2:$A2734,$A2734)=1,1,0))</f>
        <v>0</v>
      </c>
      <c r="AD2734">
        <f t="shared" si="646"/>
        <v>29</v>
      </c>
      <c r="AE2734" t="str">
        <f t="shared" si="647"/>
        <v/>
      </c>
    </row>
    <row r="2735" spans="1:31" x14ac:dyDescent="0.4">
      <c r="A2735" t="str">
        <f>IF(原始经营数据!$D2736="","",原始经营数据!$D2736)</f>
        <v/>
      </c>
      <c r="B2735" t="str">
        <f>IF(原始经营数据!$D2736="","",T(原始经营数据!$E2736))</f>
        <v/>
      </c>
      <c r="C2735" t="str">
        <f>IF(原始经营数据!$D2736="","",原始经营数据!$F2736)</f>
        <v/>
      </c>
      <c r="D2735" t="str">
        <f>IF(原始经营数据!$D2736="","",原始经营数据!$H2736)</f>
        <v/>
      </c>
      <c r="E2735" t="str">
        <f>IF(原始经营数据!$D2736="","",原始经营数据!$I2736)</f>
        <v/>
      </c>
      <c r="F2735" t="str">
        <f>IF(原始经营数据!$D2736="","",T(原始经营数据!$J2736))</f>
        <v/>
      </c>
      <c r="G2735" t="str">
        <f>IF(原始经营数据!$D2736="","",T(原始经营数据!$K2736))</f>
        <v/>
      </c>
      <c r="H2735" t="str">
        <f>IF(原始经营数据!$D2736="","",原始经营数据!$G2736)</f>
        <v/>
      </c>
      <c r="I2735" t="str">
        <f>IF($A2735="","",IF($B2735&lt;&gt;"",$B2735,IF(COUNTIFS(原始经营数据!$D$3:$D$3001,$A2735,原始经营数据!$E$3:$E$3001,"",原始经营数据!$F$3:$F$3001,$C2735,原始经营数据!$H$3:$H$3001,$D2735,原始经营数据!$K$3:$K$3001,$G2735)&gt;1,"基金整体·来源"&amp;原始经营数据!$A2736,"基金整体")))</f>
        <v/>
      </c>
      <c r="J2735" t="str">
        <f t="shared" si="633"/>
        <v/>
      </c>
      <c r="K2735" t="str">
        <f t="shared" si="634"/>
        <v/>
      </c>
      <c r="L2735" t="str">
        <f t="shared" si="635"/>
        <v/>
      </c>
      <c r="M2735">
        <f>IF($A2735="",0,IF(COUNTIF($L$2:$L2735,$L2735)=1,1,0))</f>
        <v>0</v>
      </c>
      <c r="N2735" t="str">
        <f t="shared" si="636"/>
        <v/>
      </c>
      <c r="O2735" t="str">
        <f t="shared" si="637"/>
        <v/>
      </c>
      <c r="P2735">
        <f>IF($A2735="",0,IF(COUNTIF($O$2:$O2735,$O2735)=1,1,0))</f>
        <v>0</v>
      </c>
      <c r="Q2735" t="str">
        <f>IF(AND($P2735=1,$A2735=经营数据!$B$3,$J2735=经营数据!$BA$5),COUNTIFS($P$2:$P$3000,1,$A$2:$A$3000,$A2735,$J$2:$J$3000,$J2735,$N$2:$N$3000,"&lt;"&amp;$N2735)+1,"")</f>
        <v/>
      </c>
      <c r="R2735" t="str">
        <f t="shared" si="638"/>
        <v/>
      </c>
      <c r="S2735">
        <f>IF($A2735="",0,IF(COUNTIF($R$2:$R2735,$R2735)=1,1,0))</f>
        <v>0</v>
      </c>
      <c r="T2735" t="str">
        <f t="shared" si="639"/>
        <v/>
      </c>
      <c r="U2735" t="str">
        <f>IF($A2735="","",IF($A2735=经营数据!$B$3,COUNTIFS($S$2:$S$3000,1,$A$2:$A$3000,$A2735,$T$2:$T$3000,"&lt;"&amp;$T2735)+1,""))</f>
        <v/>
      </c>
      <c r="V2735" t="str">
        <f t="shared" si="640"/>
        <v/>
      </c>
      <c r="W2735" t="str">
        <f t="shared" si="641"/>
        <v/>
      </c>
      <c r="X2735" t="str">
        <f t="shared" si="642"/>
        <v/>
      </c>
      <c r="Y2735" t="str">
        <f t="shared" si="643"/>
        <v/>
      </c>
      <c r="Z2735">
        <f>IF($A2735="",0,IF(AND($M2735=1,$A2735=经营数据!$B$3,$J2735=经营数据!$BA$5,OR($I2735=经营数据!$BA$4,COUNTIF(经营数据!$AA$9:$AA$38,$I2735)&gt;0)),1,0))</f>
        <v>0</v>
      </c>
      <c r="AA2735" t="str">
        <f t="shared" si="644"/>
        <v/>
      </c>
      <c r="AB2735" t="str">
        <f t="shared" si="645"/>
        <v/>
      </c>
      <c r="AC2735">
        <f>IF($A2735="",0,IF(COUNTIF($A$2:$A2735,$A2735)=1,1,0))</f>
        <v>0</v>
      </c>
      <c r="AD2735">
        <f t="shared" si="646"/>
        <v>29</v>
      </c>
      <c r="AE2735" t="str">
        <f t="shared" si="647"/>
        <v/>
      </c>
    </row>
    <row r="2736" spans="1:31" x14ac:dyDescent="0.4">
      <c r="A2736" t="str">
        <f>IF(原始经营数据!$D2737="","",原始经营数据!$D2737)</f>
        <v/>
      </c>
      <c r="B2736" t="str">
        <f>IF(原始经营数据!$D2737="","",T(原始经营数据!$E2737))</f>
        <v/>
      </c>
      <c r="C2736" t="str">
        <f>IF(原始经营数据!$D2737="","",原始经营数据!$F2737)</f>
        <v/>
      </c>
      <c r="D2736" t="str">
        <f>IF(原始经营数据!$D2737="","",原始经营数据!$H2737)</f>
        <v/>
      </c>
      <c r="E2736" t="str">
        <f>IF(原始经营数据!$D2737="","",原始经营数据!$I2737)</f>
        <v/>
      </c>
      <c r="F2736" t="str">
        <f>IF(原始经营数据!$D2737="","",T(原始经营数据!$J2737))</f>
        <v/>
      </c>
      <c r="G2736" t="str">
        <f>IF(原始经营数据!$D2737="","",T(原始经营数据!$K2737))</f>
        <v/>
      </c>
      <c r="H2736" t="str">
        <f>IF(原始经营数据!$D2737="","",原始经营数据!$G2737)</f>
        <v/>
      </c>
      <c r="I2736" t="str">
        <f>IF($A2736="","",IF($B2736&lt;&gt;"",$B2736,IF(COUNTIFS(原始经营数据!$D$3:$D$3001,$A2736,原始经营数据!$E$3:$E$3001,"",原始经营数据!$F$3:$F$3001,$C2736,原始经营数据!$H$3:$H$3001,$D2736,原始经营数据!$K$3:$K$3001,$G2736)&gt;1,"基金整体·来源"&amp;原始经营数据!$A2737,"基金整体")))</f>
        <v/>
      </c>
      <c r="J2736" t="str">
        <f t="shared" si="633"/>
        <v/>
      </c>
      <c r="K2736" t="str">
        <f t="shared" si="634"/>
        <v/>
      </c>
      <c r="L2736" t="str">
        <f t="shared" si="635"/>
        <v/>
      </c>
      <c r="M2736">
        <f>IF($A2736="",0,IF(COUNTIF($L$2:$L2736,$L2736)=1,1,0))</f>
        <v>0</v>
      </c>
      <c r="N2736" t="str">
        <f t="shared" si="636"/>
        <v/>
      </c>
      <c r="O2736" t="str">
        <f t="shared" si="637"/>
        <v/>
      </c>
      <c r="P2736">
        <f>IF($A2736="",0,IF(COUNTIF($O$2:$O2736,$O2736)=1,1,0))</f>
        <v>0</v>
      </c>
      <c r="Q2736" t="str">
        <f>IF(AND($P2736=1,$A2736=经营数据!$B$3,$J2736=经营数据!$BA$5),COUNTIFS($P$2:$P$3000,1,$A$2:$A$3000,$A2736,$J$2:$J$3000,$J2736,$N$2:$N$3000,"&lt;"&amp;$N2736)+1,"")</f>
        <v/>
      </c>
      <c r="R2736" t="str">
        <f t="shared" si="638"/>
        <v/>
      </c>
      <c r="S2736">
        <f>IF($A2736="",0,IF(COUNTIF($R$2:$R2736,$R2736)=1,1,0))</f>
        <v>0</v>
      </c>
      <c r="T2736" t="str">
        <f t="shared" si="639"/>
        <v/>
      </c>
      <c r="U2736" t="str">
        <f>IF($A2736="","",IF($A2736=经营数据!$B$3,COUNTIFS($S$2:$S$3000,1,$A$2:$A$3000,$A2736,$T$2:$T$3000,"&lt;"&amp;$T2736)+1,""))</f>
        <v/>
      </c>
      <c r="V2736" t="str">
        <f t="shared" si="640"/>
        <v/>
      </c>
      <c r="W2736" t="str">
        <f t="shared" si="641"/>
        <v/>
      </c>
      <c r="X2736" t="str">
        <f t="shared" si="642"/>
        <v/>
      </c>
      <c r="Y2736" t="str">
        <f t="shared" si="643"/>
        <v/>
      </c>
      <c r="Z2736">
        <f>IF($A2736="",0,IF(AND($M2736=1,$A2736=经营数据!$B$3,$J2736=经营数据!$BA$5,OR($I2736=经营数据!$BA$4,COUNTIF(经营数据!$AA$9:$AA$38,$I2736)&gt;0)),1,0))</f>
        <v>0</v>
      </c>
      <c r="AA2736" t="str">
        <f t="shared" si="644"/>
        <v/>
      </c>
      <c r="AB2736" t="str">
        <f t="shared" si="645"/>
        <v/>
      </c>
      <c r="AC2736">
        <f>IF($A2736="",0,IF(COUNTIF($A$2:$A2736,$A2736)=1,1,0))</f>
        <v>0</v>
      </c>
      <c r="AD2736">
        <f t="shared" si="646"/>
        <v>29</v>
      </c>
      <c r="AE2736" t="str">
        <f t="shared" si="647"/>
        <v/>
      </c>
    </row>
    <row r="2737" spans="1:31" x14ac:dyDescent="0.4">
      <c r="A2737" t="str">
        <f>IF(原始经营数据!$D2738="","",原始经营数据!$D2738)</f>
        <v/>
      </c>
      <c r="B2737" t="str">
        <f>IF(原始经营数据!$D2738="","",T(原始经营数据!$E2738))</f>
        <v/>
      </c>
      <c r="C2737" t="str">
        <f>IF(原始经营数据!$D2738="","",原始经营数据!$F2738)</f>
        <v/>
      </c>
      <c r="D2737" t="str">
        <f>IF(原始经营数据!$D2738="","",原始经营数据!$H2738)</f>
        <v/>
      </c>
      <c r="E2737" t="str">
        <f>IF(原始经营数据!$D2738="","",原始经营数据!$I2738)</f>
        <v/>
      </c>
      <c r="F2737" t="str">
        <f>IF(原始经营数据!$D2738="","",T(原始经营数据!$J2738))</f>
        <v/>
      </c>
      <c r="G2737" t="str">
        <f>IF(原始经营数据!$D2738="","",T(原始经营数据!$K2738))</f>
        <v/>
      </c>
      <c r="H2737" t="str">
        <f>IF(原始经营数据!$D2738="","",原始经营数据!$G2738)</f>
        <v/>
      </c>
      <c r="I2737" t="str">
        <f>IF($A2737="","",IF($B2737&lt;&gt;"",$B2737,IF(COUNTIFS(原始经营数据!$D$3:$D$3001,$A2737,原始经营数据!$E$3:$E$3001,"",原始经营数据!$F$3:$F$3001,$C2737,原始经营数据!$H$3:$H$3001,$D2737,原始经营数据!$K$3:$K$3001,$G2737)&gt;1,"基金整体·来源"&amp;原始经营数据!$A2738,"基金整体")))</f>
        <v/>
      </c>
      <c r="J2737" t="str">
        <f t="shared" si="633"/>
        <v/>
      </c>
      <c r="K2737" t="str">
        <f t="shared" si="634"/>
        <v/>
      </c>
      <c r="L2737" t="str">
        <f t="shared" si="635"/>
        <v/>
      </c>
      <c r="M2737">
        <f>IF($A2737="",0,IF(COUNTIF($L$2:$L2737,$L2737)=1,1,0))</f>
        <v>0</v>
      </c>
      <c r="N2737" t="str">
        <f t="shared" si="636"/>
        <v/>
      </c>
      <c r="O2737" t="str">
        <f t="shared" si="637"/>
        <v/>
      </c>
      <c r="P2737">
        <f>IF($A2737="",0,IF(COUNTIF($O$2:$O2737,$O2737)=1,1,0))</f>
        <v>0</v>
      </c>
      <c r="Q2737" t="str">
        <f>IF(AND($P2737=1,$A2737=经营数据!$B$3,$J2737=经营数据!$BA$5),COUNTIFS($P$2:$P$3000,1,$A$2:$A$3000,$A2737,$J$2:$J$3000,$J2737,$N$2:$N$3000,"&lt;"&amp;$N2737)+1,"")</f>
        <v/>
      </c>
      <c r="R2737" t="str">
        <f t="shared" si="638"/>
        <v/>
      </c>
      <c r="S2737">
        <f>IF($A2737="",0,IF(COUNTIF($R$2:$R2737,$R2737)=1,1,0))</f>
        <v>0</v>
      </c>
      <c r="T2737" t="str">
        <f t="shared" si="639"/>
        <v/>
      </c>
      <c r="U2737" t="str">
        <f>IF($A2737="","",IF($A2737=经营数据!$B$3,COUNTIFS($S$2:$S$3000,1,$A$2:$A$3000,$A2737,$T$2:$T$3000,"&lt;"&amp;$T2737)+1,""))</f>
        <v/>
      </c>
      <c r="V2737" t="str">
        <f t="shared" si="640"/>
        <v/>
      </c>
      <c r="W2737" t="str">
        <f t="shared" si="641"/>
        <v/>
      </c>
      <c r="X2737" t="str">
        <f t="shared" si="642"/>
        <v/>
      </c>
      <c r="Y2737" t="str">
        <f t="shared" si="643"/>
        <v/>
      </c>
      <c r="Z2737">
        <f>IF($A2737="",0,IF(AND($M2737=1,$A2737=经营数据!$B$3,$J2737=经营数据!$BA$5,OR($I2737=经营数据!$BA$4,COUNTIF(经营数据!$AA$9:$AA$38,$I2737)&gt;0)),1,0))</f>
        <v>0</v>
      </c>
      <c r="AA2737" t="str">
        <f t="shared" si="644"/>
        <v/>
      </c>
      <c r="AB2737" t="str">
        <f t="shared" si="645"/>
        <v/>
      </c>
      <c r="AC2737">
        <f>IF($A2737="",0,IF(COUNTIF($A$2:$A2737,$A2737)=1,1,0))</f>
        <v>0</v>
      </c>
      <c r="AD2737">
        <f t="shared" si="646"/>
        <v>29</v>
      </c>
      <c r="AE2737" t="str">
        <f t="shared" si="647"/>
        <v/>
      </c>
    </row>
    <row r="2738" spans="1:31" x14ac:dyDescent="0.4">
      <c r="A2738" t="str">
        <f>IF(原始经营数据!$D2739="","",原始经营数据!$D2739)</f>
        <v/>
      </c>
      <c r="B2738" t="str">
        <f>IF(原始经营数据!$D2739="","",T(原始经营数据!$E2739))</f>
        <v/>
      </c>
      <c r="C2738" t="str">
        <f>IF(原始经营数据!$D2739="","",原始经营数据!$F2739)</f>
        <v/>
      </c>
      <c r="D2738" t="str">
        <f>IF(原始经营数据!$D2739="","",原始经营数据!$H2739)</f>
        <v/>
      </c>
      <c r="E2738" t="str">
        <f>IF(原始经营数据!$D2739="","",原始经营数据!$I2739)</f>
        <v/>
      </c>
      <c r="F2738" t="str">
        <f>IF(原始经营数据!$D2739="","",T(原始经营数据!$J2739))</f>
        <v/>
      </c>
      <c r="G2738" t="str">
        <f>IF(原始经营数据!$D2739="","",T(原始经营数据!$K2739))</f>
        <v/>
      </c>
      <c r="H2738" t="str">
        <f>IF(原始经营数据!$D2739="","",原始经营数据!$G2739)</f>
        <v/>
      </c>
      <c r="I2738" t="str">
        <f>IF($A2738="","",IF($B2738&lt;&gt;"",$B2738,IF(COUNTIFS(原始经营数据!$D$3:$D$3001,$A2738,原始经营数据!$E$3:$E$3001,"",原始经营数据!$F$3:$F$3001,$C2738,原始经营数据!$H$3:$H$3001,$D2738,原始经营数据!$K$3:$K$3001,$G2738)&gt;1,"基金整体·来源"&amp;原始经营数据!$A2739,"基金整体")))</f>
        <v/>
      </c>
      <c r="J2738" t="str">
        <f t="shared" si="633"/>
        <v/>
      </c>
      <c r="K2738" t="str">
        <f t="shared" si="634"/>
        <v/>
      </c>
      <c r="L2738" t="str">
        <f t="shared" si="635"/>
        <v/>
      </c>
      <c r="M2738">
        <f>IF($A2738="",0,IF(COUNTIF($L$2:$L2738,$L2738)=1,1,0))</f>
        <v>0</v>
      </c>
      <c r="N2738" t="str">
        <f t="shared" si="636"/>
        <v/>
      </c>
      <c r="O2738" t="str">
        <f t="shared" si="637"/>
        <v/>
      </c>
      <c r="P2738">
        <f>IF($A2738="",0,IF(COUNTIF($O$2:$O2738,$O2738)=1,1,0))</f>
        <v>0</v>
      </c>
      <c r="Q2738" t="str">
        <f>IF(AND($P2738=1,$A2738=经营数据!$B$3,$J2738=经营数据!$BA$5),COUNTIFS($P$2:$P$3000,1,$A$2:$A$3000,$A2738,$J$2:$J$3000,$J2738,$N$2:$N$3000,"&lt;"&amp;$N2738)+1,"")</f>
        <v/>
      </c>
      <c r="R2738" t="str">
        <f t="shared" si="638"/>
        <v/>
      </c>
      <c r="S2738">
        <f>IF($A2738="",0,IF(COUNTIF($R$2:$R2738,$R2738)=1,1,0))</f>
        <v>0</v>
      </c>
      <c r="T2738" t="str">
        <f t="shared" si="639"/>
        <v/>
      </c>
      <c r="U2738" t="str">
        <f>IF($A2738="","",IF($A2738=经营数据!$B$3,COUNTIFS($S$2:$S$3000,1,$A$2:$A$3000,$A2738,$T$2:$T$3000,"&lt;"&amp;$T2738)+1,""))</f>
        <v/>
      </c>
      <c r="V2738" t="str">
        <f t="shared" si="640"/>
        <v/>
      </c>
      <c r="W2738" t="str">
        <f t="shared" si="641"/>
        <v/>
      </c>
      <c r="X2738" t="str">
        <f t="shared" si="642"/>
        <v/>
      </c>
      <c r="Y2738" t="str">
        <f t="shared" si="643"/>
        <v/>
      </c>
      <c r="Z2738">
        <f>IF($A2738="",0,IF(AND($M2738=1,$A2738=经营数据!$B$3,$J2738=经营数据!$BA$5,OR($I2738=经营数据!$BA$4,COUNTIF(经营数据!$AA$9:$AA$38,$I2738)&gt;0)),1,0))</f>
        <v>0</v>
      </c>
      <c r="AA2738" t="str">
        <f t="shared" si="644"/>
        <v/>
      </c>
      <c r="AB2738" t="str">
        <f t="shared" si="645"/>
        <v/>
      </c>
      <c r="AC2738">
        <f>IF($A2738="",0,IF(COUNTIF($A$2:$A2738,$A2738)=1,1,0))</f>
        <v>0</v>
      </c>
      <c r="AD2738">
        <f t="shared" si="646"/>
        <v>29</v>
      </c>
      <c r="AE2738" t="str">
        <f t="shared" si="647"/>
        <v/>
      </c>
    </row>
    <row r="2739" spans="1:31" x14ac:dyDescent="0.4">
      <c r="A2739" t="str">
        <f>IF(原始经营数据!$D2740="","",原始经营数据!$D2740)</f>
        <v/>
      </c>
      <c r="B2739" t="str">
        <f>IF(原始经营数据!$D2740="","",T(原始经营数据!$E2740))</f>
        <v/>
      </c>
      <c r="C2739" t="str">
        <f>IF(原始经营数据!$D2740="","",原始经营数据!$F2740)</f>
        <v/>
      </c>
      <c r="D2739" t="str">
        <f>IF(原始经营数据!$D2740="","",原始经营数据!$H2740)</f>
        <v/>
      </c>
      <c r="E2739" t="str">
        <f>IF(原始经营数据!$D2740="","",原始经营数据!$I2740)</f>
        <v/>
      </c>
      <c r="F2739" t="str">
        <f>IF(原始经营数据!$D2740="","",T(原始经营数据!$J2740))</f>
        <v/>
      </c>
      <c r="G2739" t="str">
        <f>IF(原始经营数据!$D2740="","",T(原始经营数据!$K2740))</f>
        <v/>
      </c>
      <c r="H2739" t="str">
        <f>IF(原始经营数据!$D2740="","",原始经营数据!$G2740)</f>
        <v/>
      </c>
      <c r="I2739" t="str">
        <f>IF($A2739="","",IF($B2739&lt;&gt;"",$B2739,IF(COUNTIFS(原始经营数据!$D$3:$D$3001,$A2739,原始经营数据!$E$3:$E$3001,"",原始经营数据!$F$3:$F$3001,$C2739,原始经营数据!$H$3:$H$3001,$D2739,原始经营数据!$K$3:$K$3001,$G2739)&gt;1,"基金整体·来源"&amp;原始经营数据!$A2740,"基金整体")))</f>
        <v/>
      </c>
      <c r="J2739" t="str">
        <f t="shared" si="633"/>
        <v/>
      </c>
      <c r="K2739" t="str">
        <f t="shared" si="634"/>
        <v/>
      </c>
      <c r="L2739" t="str">
        <f t="shared" si="635"/>
        <v/>
      </c>
      <c r="M2739">
        <f>IF($A2739="",0,IF(COUNTIF($L$2:$L2739,$L2739)=1,1,0))</f>
        <v>0</v>
      </c>
      <c r="N2739" t="str">
        <f t="shared" si="636"/>
        <v/>
      </c>
      <c r="O2739" t="str">
        <f t="shared" si="637"/>
        <v/>
      </c>
      <c r="P2739">
        <f>IF($A2739="",0,IF(COUNTIF($O$2:$O2739,$O2739)=1,1,0))</f>
        <v>0</v>
      </c>
      <c r="Q2739" t="str">
        <f>IF(AND($P2739=1,$A2739=经营数据!$B$3,$J2739=经营数据!$BA$5),COUNTIFS($P$2:$P$3000,1,$A$2:$A$3000,$A2739,$J$2:$J$3000,$J2739,$N$2:$N$3000,"&lt;"&amp;$N2739)+1,"")</f>
        <v/>
      </c>
      <c r="R2739" t="str">
        <f t="shared" si="638"/>
        <v/>
      </c>
      <c r="S2739">
        <f>IF($A2739="",0,IF(COUNTIF($R$2:$R2739,$R2739)=1,1,0))</f>
        <v>0</v>
      </c>
      <c r="T2739" t="str">
        <f t="shared" si="639"/>
        <v/>
      </c>
      <c r="U2739" t="str">
        <f>IF($A2739="","",IF($A2739=经营数据!$B$3,COUNTIFS($S$2:$S$3000,1,$A$2:$A$3000,$A2739,$T$2:$T$3000,"&lt;"&amp;$T2739)+1,""))</f>
        <v/>
      </c>
      <c r="V2739" t="str">
        <f t="shared" si="640"/>
        <v/>
      </c>
      <c r="W2739" t="str">
        <f t="shared" si="641"/>
        <v/>
      </c>
      <c r="X2739" t="str">
        <f t="shared" si="642"/>
        <v/>
      </c>
      <c r="Y2739" t="str">
        <f t="shared" si="643"/>
        <v/>
      </c>
      <c r="Z2739">
        <f>IF($A2739="",0,IF(AND($M2739=1,$A2739=经营数据!$B$3,$J2739=经营数据!$BA$5,OR($I2739=经营数据!$BA$4,COUNTIF(经营数据!$AA$9:$AA$38,$I2739)&gt;0)),1,0))</f>
        <v>0</v>
      </c>
      <c r="AA2739" t="str">
        <f t="shared" si="644"/>
        <v/>
      </c>
      <c r="AB2739" t="str">
        <f t="shared" si="645"/>
        <v/>
      </c>
      <c r="AC2739">
        <f>IF($A2739="",0,IF(COUNTIF($A$2:$A2739,$A2739)=1,1,0))</f>
        <v>0</v>
      </c>
      <c r="AD2739">
        <f t="shared" si="646"/>
        <v>29</v>
      </c>
      <c r="AE2739" t="str">
        <f t="shared" si="647"/>
        <v/>
      </c>
    </row>
    <row r="2740" spans="1:31" x14ac:dyDescent="0.4">
      <c r="A2740" t="str">
        <f>IF(原始经营数据!$D2741="","",原始经营数据!$D2741)</f>
        <v/>
      </c>
      <c r="B2740" t="str">
        <f>IF(原始经营数据!$D2741="","",T(原始经营数据!$E2741))</f>
        <v/>
      </c>
      <c r="C2740" t="str">
        <f>IF(原始经营数据!$D2741="","",原始经营数据!$F2741)</f>
        <v/>
      </c>
      <c r="D2740" t="str">
        <f>IF(原始经营数据!$D2741="","",原始经营数据!$H2741)</f>
        <v/>
      </c>
      <c r="E2740" t="str">
        <f>IF(原始经营数据!$D2741="","",原始经营数据!$I2741)</f>
        <v/>
      </c>
      <c r="F2740" t="str">
        <f>IF(原始经营数据!$D2741="","",T(原始经营数据!$J2741))</f>
        <v/>
      </c>
      <c r="G2740" t="str">
        <f>IF(原始经营数据!$D2741="","",T(原始经营数据!$K2741))</f>
        <v/>
      </c>
      <c r="H2740" t="str">
        <f>IF(原始经营数据!$D2741="","",原始经营数据!$G2741)</f>
        <v/>
      </c>
      <c r="I2740" t="str">
        <f>IF($A2740="","",IF($B2740&lt;&gt;"",$B2740,IF(COUNTIFS(原始经营数据!$D$3:$D$3001,$A2740,原始经营数据!$E$3:$E$3001,"",原始经营数据!$F$3:$F$3001,$C2740,原始经营数据!$H$3:$H$3001,$D2740,原始经营数据!$K$3:$K$3001,$G2740)&gt;1,"基金整体·来源"&amp;原始经营数据!$A2741,"基金整体")))</f>
        <v/>
      </c>
      <c r="J2740" t="str">
        <f t="shared" si="633"/>
        <v/>
      </c>
      <c r="K2740" t="str">
        <f t="shared" si="634"/>
        <v/>
      </c>
      <c r="L2740" t="str">
        <f t="shared" si="635"/>
        <v/>
      </c>
      <c r="M2740">
        <f>IF($A2740="",0,IF(COUNTIF($L$2:$L2740,$L2740)=1,1,0))</f>
        <v>0</v>
      </c>
      <c r="N2740" t="str">
        <f t="shared" si="636"/>
        <v/>
      </c>
      <c r="O2740" t="str">
        <f t="shared" si="637"/>
        <v/>
      </c>
      <c r="P2740">
        <f>IF($A2740="",0,IF(COUNTIF($O$2:$O2740,$O2740)=1,1,0))</f>
        <v>0</v>
      </c>
      <c r="Q2740" t="str">
        <f>IF(AND($P2740=1,$A2740=经营数据!$B$3,$J2740=经营数据!$BA$5),COUNTIFS($P$2:$P$3000,1,$A$2:$A$3000,$A2740,$J$2:$J$3000,$J2740,$N$2:$N$3000,"&lt;"&amp;$N2740)+1,"")</f>
        <v/>
      </c>
      <c r="R2740" t="str">
        <f t="shared" si="638"/>
        <v/>
      </c>
      <c r="S2740">
        <f>IF($A2740="",0,IF(COUNTIF($R$2:$R2740,$R2740)=1,1,0))</f>
        <v>0</v>
      </c>
      <c r="T2740" t="str">
        <f t="shared" si="639"/>
        <v/>
      </c>
      <c r="U2740" t="str">
        <f>IF($A2740="","",IF($A2740=经营数据!$B$3,COUNTIFS($S$2:$S$3000,1,$A$2:$A$3000,$A2740,$T$2:$T$3000,"&lt;"&amp;$T2740)+1,""))</f>
        <v/>
      </c>
      <c r="V2740" t="str">
        <f t="shared" si="640"/>
        <v/>
      </c>
      <c r="W2740" t="str">
        <f t="shared" si="641"/>
        <v/>
      </c>
      <c r="X2740" t="str">
        <f t="shared" si="642"/>
        <v/>
      </c>
      <c r="Y2740" t="str">
        <f t="shared" si="643"/>
        <v/>
      </c>
      <c r="Z2740">
        <f>IF($A2740="",0,IF(AND($M2740=1,$A2740=经营数据!$B$3,$J2740=经营数据!$BA$5,OR($I2740=经营数据!$BA$4,COUNTIF(经营数据!$AA$9:$AA$38,$I2740)&gt;0)),1,0))</f>
        <v>0</v>
      </c>
      <c r="AA2740" t="str">
        <f t="shared" si="644"/>
        <v/>
      </c>
      <c r="AB2740" t="str">
        <f t="shared" si="645"/>
        <v/>
      </c>
      <c r="AC2740">
        <f>IF($A2740="",0,IF(COUNTIF($A$2:$A2740,$A2740)=1,1,0))</f>
        <v>0</v>
      </c>
      <c r="AD2740">
        <f t="shared" si="646"/>
        <v>29</v>
      </c>
      <c r="AE2740" t="str">
        <f t="shared" si="647"/>
        <v/>
      </c>
    </row>
    <row r="2741" spans="1:31" x14ac:dyDescent="0.4">
      <c r="A2741" t="str">
        <f>IF(原始经营数据!$D2742="","",原始经营数据!$D2742)</f>
        <v/>
      </c>
      <c r="B2741" t="str">
        <f>IF(原始经营数据!$D2742="","",T(原始经营数据!$E2742))</f>
        <v/>
      </c>
      <c r="C2741" t="str">
        <f>IF(原始经营数据!$D2742="","",原始经营数据!$F2742)</f>
        <v/>
      </c>
      <c r="D2741" t="str">
        <f>IF(原始经营数据!$D2742="","",原始经营数据!$H2742)</f>
        <v/>
      </c>
      <c r="E2741" t="str">
        <f>IF(原始经营数据!$D2742="","",原始经营数据!$I2742)</f>
        <v/>
      </c>
      <c r="F2741" t="str">
        <f>IF(原始经营数据!$D2742="","",T(原始经营数据!$J2742))</f>
        <v/>
      </c>
      <c r="G2741" t="str">
        <f>IF(原始经营数据!$D2742="","",T(原始经营数据!$K2742))</f>
        <v/>
      </c>
      <c r="H2741" t="str">
        <f>IF(原始经营数据!$D2742="","",原始经营数据!$G2742)</f>
        <v/>
      </c>
      <c r="I2741" t="str">
        <f>IF($A2741="","",IF($B2741&lt;&gt;"",$B2741,IF(COUNTIFS(原始经营数据!$D$3:$D$3001,$A2741,原始经营数据!$E$3:$E$3001,"",原始经营数据!$F$3:$F$3001,$C2741,原始经营数据!$H$3:$H$3001,$D2741,原始经营数据!$K$3:$K$3001,$G2741)&gt;1,"基金整体·来源"&amp;原始经营数据!$A2742,"基金整体")))</f>
        <v/>
      </c>
      <c r="J2741" t="str">
        <f t="shared" si="633"/>
        <v/>
      </c>
      <c r="K2741" t="str">
        <f t="shared" si="634"/>
        <v/>
      </c>
      <c r="L2741" t="str">
        <f t="shared" si="635"/>
        <v/>
      </c>
      <c r="M2741">
        <f>IF($A2741="",0,IF(COUNTIF($L$2:$L2741,$L2741)=1,1,0))</f>
        <v>0</v>
      </c>
      <c r="N2741" t="str">
        <f t="shared" si="636"/>
        <v/>
      </c>
      <c r="O2741" t="str">
        <f t="shared" si="637"/>
        <v/>
      </c>
      <c r="P2741">
        <f>IF($A2741="",0,IF(COUNTIF($O$2:$O2741,$O2741)=1,1,0))</f>
        <v>0</v>
      </c>
      <c r="Q2741" t="str">
        <f>IF(AND($P2741=1,$A2741=经营数据!$B$3,$J2741=经营数据!$BA$5),COUNTIFS($P$2:$P$3000,1,$A$2:$A$3000,$A2741,$J$2:$J$3000,$J2741,$N$2:$N$3000,"&lt;"&amp;$N2741)+1,"")</f>
        <v/>
      </c>
      <c r="R2741" t="str">
        <f t="shared" si="638"/>
        <v/>
      </c>
      <c r="S2741">
        <f>IF($A2741="",0,IF(COUNTIF($R$2:$R2741,$R2741)=1,1,0))</f>
        <v>0</v>
      </c>
      <c r="T2741" t="str">
        <f t="shared" si="639"/>
        <v/>
      </c>
      <c r="U2741" t="str">
        <f>IF($A2741="","",IF($A2741=经营数据!$B$3,COUNTIFS($S$2:$S$3000,1,$A$2:$A$3000,$A2741,$T$2:$T$3000,"&lt;"&amp;$T2741)+1,""))</f>
        <v/>
      </c>
      <c r="V2741" t="str">
        <f t="shared" si="640"/>
        <v/>
      </c>
      <c r="W2741" t="str">
        <f t="shared" si="641"/>
        <v/>
      </c>
      <c r="X2741" t="str">
        <f t="shared" si="642"/>
        <v/>
      </c>
      <c r="Y2741" t="str">
        <f t="shared" si="643"/>
        <v/>
      </c>
      <c r="Z2741">
        <f>IF($A2741="",0,IF(AND($M2741=1,$A2741=经营数据!$B$3,$J2741=经营数据!$BA$5,OR($I2741=经营数据!$BA$4,COUNTIF(经营数据!$AA$9:$AA$38,$I2741)&gt;0)),1,0))</f>
        <v>0</v>
      </c>
      <c r="AA2741" t="str">
        <f t="shared" si="644"/>
        <v/>
      </c>
      <c r="AB2741" t="str">
        <f t="shared" si="645"/>
        <v/>
      </c>
      <c r="AC2741">
        <f>IF($A2741="",0,IF(COUNTIF($A$2:$A2741,$A2741)=1,1,0))</f>
        <v>0</v>
      </c>
      <c r="AD2741">
        <f t="shared" si="646"/>
        <v>29</v>
      </c>
      <c r="AE2741" t="str">
        <f t="shared" si="647"/>
        <v/>
      </c>
    </row>
    <row r="2742" spans="1:31" x14ac:dyDescent="0.4">
      <c r="A2742" t="str">
        <f>IF(原始经营数据!$D2743="","",原始经营数据!$D2743)</f>
        <v/>
      </c>
      <c r="B2742" t="str">
        <f>IF(原始经营数据!$D2743="","",T(原始经营数据!$E2743))</f>
        <v/>
      </c>
      <c r="C2742" t="str">
        <f>IF(原始经营数据!$D2743="","",原始经营数据!$F2743)</f>
        <v/>
      </c>
      <c r="D2742" t="str">
        <f>IF(原始经营数据!$D2743="","",原始经营数据!$H2743)</f>
        <v/>
      </c>
      <c r="E2742" t="str">
        <f>IF(原始经营数据!$D2743="","",原始经营数据!$I2743)</f>
        <v/>
      </c>
      <c r="F2742" t="str">
        <f>IF(原始经营数据!$D2743="","",T(原始经营数据!$J2743))</f>
        <v/>
      </c>
      <c r="G2742" t="str">
        <f>IF(原始经营数据!$D2743="","",T(原始经营数据!$K2743))</f>
        <v/>
      </c>
      <c r="H2742" t="str">
        <f>IF(原始经营数据!$D2743="","",原始经营数据!$G2743)</f>
        <v/>
      </c>
      <c r="I2742" t="str">
        <f>IF($A2742="","",IF($B2742&lt;&gt;"",$B2742,IF(COUNTIFS(原始经营数据!$D$3:$D$3001,$A2742,原始经营数据!$E$3:$E$3001,"",原始经营数据!$F$3:$F$3001,$C2742,原始经营数据!$H$3:$H$3001,$D2742,原始经营数据!$K$3:$K$3001,$G2742)&gt;1,"基金整体·来源"&amp;原始经营数据!$A2743,"基金整体")))</f>
        <v/>
      </c>
      <c r="J2742" t="str">
        <f t="shared" si="633"/>
        <v/>
      </c>
      <c r="K2742" t="str">
        <f t="shared" si="634"/>
        <v/>
      </c>
      <c r="L2742" t="str">
        <f t="shared" si="635"/>
        <v/>
      </c>
      <c r="M2742">
        <f>IF($A2742="",0,IF(COUNTIF($L$2:$L2742,$L2742)=1,1,0))</f>
        <v>0</v>
      </c>
      <c r="N2742" t="str">
        <f t="shared" si="636"/>
        <v/>
      </c>
      <c r="O2742" t="str">
        <f t="shared" si="637"/>
        <v/>
      </c>
      <c r="P2742">
        <f>IF($A2742="",0,IF(COUNTIF($O$2:$O2742,$O2742)=1,1,0))</f>
        <v>0</v>
      </c>
      <c r="Q2742" t="str">
        <f>IF(AND($P2742=1,$A2742=经营数据!$B$3,$J2742=经营数据!$BA$5),COUNTIFS($P$2:$P$3000,1,$A$2:$A$3000,$A2742,$J$2:$J$3000,$J2742,$N$2:$N$3000,"&lt;"&amp;$N2742)+1,"")</f>
        <v/>
      </c>
      <c r="R2742" t="str">
        <f t="shared" si="638"/>
        <v/>
      </c>
      <c r="S2742">
        <f>IF($A2742="",0,IF(COUNTIF($R$2:$R2742,$R2742)=1,1,0))</f>
        <v>0</v>
      </c>
      <c r="T2742" t="str">
        <f t="shared" si="639"/>
        <v/>
      </c>
      <c r="U2742" t="str">
        <f>IF($A2742="","",IF($A2742=经营数据!$B$3,COUNTIFS($S$2:$S$3000,1,$A$2:$A$3000,$A2742,$T$2:$T$3000,"&lt;"&amp;$T2742)+1,""))</f>
        <v/>
      </c>
      <c r="V2742" t="str">
        <f t="shared" si="640"/>
        <v/>
      </c>
      <c r="W2742" t="str">
        <f t="shared" si="641"/>
        <v/>
      </c>
      <c r="X2742" t="str">
        <f t="shared" si="642"/>
        <v/>
      </c>
      <c r="Y2742" t="str">
        <f t="shared" si="643"/>
        <v/>
      </c>
      <c r="Z2742">
        <f>IF($A2742="",0,IF(AND($M2742=1,$A2742=经营数据!$B$3,$J2742=经营数据!$BA$5,OR($I2742=经营数据!$BA$4,COUNTIF(经营数据!$AA$9:$AA$38,$I2742)&gt;0)),1,0))</f>
        <v>0</v>
      </c>
      <c r="AA2742" t="str">
        <f t="shared" si="644"/>
        <v/>
      </c>
      <c r="AB2742" t="str">
        <f t="shared" si="645"/>
        <v/>
      </c>
      <c r="AC2742">
        <f>IF($A2742="",0,IF(COUNTIF($A$2:$A2742,$A2742)=1,1,0))</f>
        <v>0</v>
      </c>
      <c r="AD2742">
        <f t="shared" si="646"/>
        <v>29</v>
      </c>
      <c r="AE2742" t="str">
        <f t="shared" si="647"/>
        <v/>
      </c>
    </row>
    <row r="2743" spans="1:31" x14ac:dyDescent="0.4">
      <c r="A2743" t="str">
        <f>IF(原始经营数据!$D2744="","",原始经营数据!$D2744)</f>
        <v/>
      </c>
      <c r="B2743" t="str">
        <f>IF(原始经营数据!$D2744="","",T(原始经营数据!$E2744))</f>
        <v/>
      </c>
      <c r="C2743" t="str">
        <f>IF(原始经营数据!$D2744="","",原始经营数据!$F2744)</f>
        <v/>
      </c>
      <c r="D2743" t="str">
        <f>IF(原始经营数据!$D2744="","",原始经营数据!$H2744)</f>
        <v/>
      </c>
      <c r="E2743" t="str">
        <f>IF(原始经营数据!$D2744="","",原始经营数据!$I2744)</f>
        <v/>
      </c>
      <c r="F2743" t="str">
        <f>IF(原始经营数据!$D2744="","",T(原始经营数据!$J2744))</f>
        <v/>
      </c>
      <c r="G2743" t="str">
        <f>IF(原始经营数据!$D2744="","",T(原始经营数据!$K2744))</f>
        <v/>
      </c>
      <c r="H2743" t="str">
        <f>IF(原始经营数据!$D2744="","",原始经营数据!$G2744)</f>
        <v/>
      </c>
      <c r="I2743" t="str">
        <f>IF($A2743="","",IF($B2743&lt;&gt;"",$B2743,IF(COUNTIFS(原始经营数据!$D$3:$D$3001,$A2743,原始经营数据!$E$3:$E$3001,"",原始经营数据!$F$3:$F$3001,$C2743,原始经营数据!$H$3:$H$3001,$D2743,原始经营数据!$K$3:$K$3001,$G2743)&gt;1,"基金整体·来源"&amp;原始经营数据!$A2744,"基金整体")))</f>
        <v/>
      </c>
      <c r="J2743" t="str">
        <f t="shared" si="633"/>
        <v/>
      </c>
      <c r="K2743" t="str">
        <f t="shared" si="634"/>
        <v/>
      </c>
      <c r="L2743" t="str">
        <f t="shared" si="635"/>
        <v/>
      </c>
      <c r="M2743">
        <f>IF($A2743="",0,IF(COUNTIF($L$2:$L2743,$L2743)=1,1,0))</f>
        <v>0</v>
      </c>
      <c r="N2743" t="str">
        <f t="shared" si="636"/>
        <v/>
      </c>
      <c r="O2743" t="str">
        <f t="shared" si="637"/>
        <v/>
      </c>
      <c r="P2743">
        <f>IF($A2743="",0,IF(COUNTIF($O$2:$O2743,$O2743)=1,1,0))</f>
        <v>0</v>
      </c>
      <c r="Q2743" t="str">
        <f>IF(AND($P2743=1,$A2743=经营数据!$B$3,$J2743=经营数据!$BA$5),COUNTIFS($P$2:$P$3000,1,$A$2:$A$3000,$A2743,$J$2:$J$3000,$J2743,$N$2:$N$3000,"&lt;"&amp;$N2743)+1,"")</f>
        <v/>
      </c>
      <c r="R2743" t="str">
        <f t="shared" si="638"/>
        <v/>
      </c>
      <c r="S2743">
        <f>IF($A2743="",0,IF(COUNTIF($R$2:$R2743,$R2743)=1,1,0))</f>
        <v>0</v>
      </c>
      <c r="T2743" t="str">
        <f t="shared" si="639"/>
        <v/>
      </c>
      <c r="U2743" t="str">
        <f>IF($A2743="","",IF($A2743=经营数据!$B$3,COUNTIFS($S$2:$S$3000,1,$A$2:$A$3000,$A2743,$T$2:$T$3000,"&lt;"&amp;$T2743)+1,""))</f>
        <v/>
      </c>
      <c r="V2743" t="str">
        <f t="shared" si="640"/>
        <v/>
      </c>
      <c r="W2743" t="str">
        <f t="shared" si="641"/>
        <v/>
      </c>
      <c r="X2743" t="str">
        <f t="shared" si="642"/>
        <v/>
      </c>
      <c r="Y2743" t="str">
        <f t="shared" si="643"/>
        <v/>
      </c>
      <c r="Z2743">
        <f>IF($A2743="",0,IF(AND($M2743=1,$A2743=经营数据!$B$3,$J2743=经营数据!$BA$5,OR($I2743=经营数据!$BA$4,COUNTIF(经营数据!$AA$9:$AA$38,$I2743)&gt;0)),1,0))</f>
        <v>0</v>
      </c>
      <c r="AA2743" t="str">
        <f t="shared" si="644"/>
        <v/>
      </c>
      <c r="AB2743" t="str">
        <f t="shared" si="645"/>
        <v/>
      </c>
      <c r="AC2743">
        <f>IF($A2743="",0,IF(COUNTIF($A$2:$A2743,$A2743)=1,1,0))</f>
        <v>0</v>
      </c>
      <c r="AD2743">
        <f t="shared" si="646"/>
        <v>29</v>
      </c>
      <c r="AE2743" t="str">
        <f t="shared" si="647"/>
        <v/>
      </c>
    </row>
    <row r="2744" spans="1:31" x14ac:dyDescent="0.4">
      <c r="A2744" t="str">
        <f>IF(原始经营数据!$D2745="","",原始经营数据!$D2745)</f>
        <v/>
      </c>
      <c r="B2744" t="str">
        <f>IF(原始经营数据!$D2745="","",T(原始经营数据!$E2745))</f>
        <v/>
      </c>
      <c r="C2744" t="str">
        <f>IF(原始经营数据!$D2745="","",原始经营数据!$F2745)</f>
        <v/>
      </c>
      <c r="D2744" t="str">
        <f>IF(原始经营数据!$D2745="","",原始经营数据!$H2745)</f>
        <v/>
      </c>
      <c r="E2744" t="str">
        <f>IF(原始经营数据!$D2745="","",原始经营数据!$I2745)</f>
        <v/>
      </c>
      <c r="F2744" t="str">
        <f>IF(原始经营数据!$D2745="","",T(原始经营数据!$J2745))</f>
        <v/>
      </c>
      <c r="G2744" t="str">
        <f>IF(原始经营数据!$D2745="","",T(原始经营数据!$K2745))</f>
        <v/>
      </c>
      <c r="H2744" t="str">
        <f>IF(原始经营数据!$D2745="","",原始经营数据!$G2745)</f>
        <v/>
      </c>
      <c r="I2744" t="str">
        <f>IF($A2744="","",IF($B2744&lt;&gt;"",$B2744,IF(COUNTIFS(原始经营数据!$D$3:$D$3001,$A2744,原始经营数据!$E$3:$E$3001,"",原始经营数据!$F$3:$F$3001,$C2744,原始经营数据!$H$3:$H$3001,$D2744,原始经营数据!$K$3:$K$3001,$G2744)&gt;1,"基金整体·来源"&amp;原始经营数据!$A2745,"基金整体")))</f>
        <v/>
      </c>
      <c r="J2744" t="str">
        <f t="shared" si="633"/>
        <v/>
      </c>
      <c r="K2744" t="str">
        <f t="shared" si="634"/>
        <v/>
      </c>
      <c r="L2744" t="str">
        <f t="shared" si="635"/>
        <v/>
      </c>
      <c r="M2744">
        <f>IF($A2744="",0,IF(COUNTIF($L$2:$L2744,$L2744)=1,1,0))</f>
        <v>0</v>
      </c>
      <c r="N2744" t="str">
        <f t="shared" si="636"/>
        <v/>
      </c>
      <c r="O2744" t="str">
        <f t="shared" si="637"/>
        <v/>
      </c>
      <c r="P2744">
        <f>IF($A2744="",0,IF(COUNTIF($O$2:$O2744,$O2744)=1,1,0))</f>
        <v>0</v>
      </c>
      <c r="Q2744" t="str">
        <f>IF(AND($P2744=1,$A2744=经营数据!$B$3,$J2744=经营数据!$BA$5),COUNTIFS($P$2:$P$3000,1,$A$2:$A$3000,$A2744,$J$2:$J$3000,$J2744,$N$2:$N$3000,"&lt;"&amp;$N2744)+1,"")</f>
        <v/>
      </c>
      <c r="R2744" t="str">
        <f t="shared" si="638"/>
        <v/>
      </c>
      <c r="S2744">
        <f>IF($A2744="",0,IF(COUNTIF($R$2:$R2744,$R2744)=1,1,0))</f>
        <v>0</v>
      </c>
      <c r="T2744" t="str">
        <f t="shared" si="639"/>
        <v/>
      </c>
      <c r="U2744" t="str">
        <f>IF($A2744="","",IF($A2744=经营数据!$B$3,COUNTIFS($S$2:$S$3000,1,$A$2:$A$3000,$A2744,$T$2:$T$3000,"&lt;"&amp;$T2744)+1,""))</f>
        <v/>
      </c>
      <c r="V2744" t="str">
        <f t="shared" si="640"/>
        <v/>
      </c>
      <c r="W2744" t="str">
        <f t="shared" si="641"/>
        <v/>
      </c>
      <c r="X2744" t="str">
        <f t="shared" si="642"/>
        <v/>
      </c>
      <c r="Y2744" t="str">
        <f t="shared" si="643"/>
        <v/>
      </c>
      <c r="Z2744">
        <f>IF($A2744="",0,IF(AND($M2744=1,$A2744=经营数据!$B$3,$J2744=经营数据!$BA$5,OR($I2744=经营数据!$BA$4,COUNTIF(经营数据!$AA$9:$AA$38,$I2744)&gt;0)),1,0))</f>
        <v>0</v>
      </c>
      <c r="AA2744" t="str">
        <f t="shared" si="644"/>
        <v/>
      </c>
      <c r="AB2744" t="str">
        <f t="shared" si="645"/>
        <v/>
      </c>
      <c r="AC2744">
        <f>IF($A2744="",0,IF(COUNTIF($A$2:$A2744,$A2744)=1,1,0))</f>
        <v>0</v>
      </c>
      <c r="AD2744">
        <f t="shared" si="646"/>
        <v>29</v>
      </c>
      <c r="AE2744" t="str">
        <f t="shared" si="647"/>
        <v/>
      </c>
    </row>
    <row r="2745" spans="1:31" x14ac:dyDescent="0.4">
      <c r="A2745" t="str">
        <f>IF(原始经营数据!$D2746="","",原始经营数据!$D2746)</f>
        <v/>
      </c>
      <c r="B2745" t="str">
        <f>IF(原始经营数据!$D2746="","",T(原始经营数据!$E2746))</f>
        <v/>
      </c>
      <c r="C2745" t="str">
        <f>IF(原始经营数据!$D2746="","",原始经营数据!$F2746)</f>
        <v/>
      </c>
      <c r="D2745" t="str">
        <f>IF(原始经营数据!$D2746="","",原始经营数据!$H2746)</f>
        <v/>
      </c>
      <c r="E2745" t="str">
        <f>IF(原始经营数据!$D2746="","",原始经营数据!$I2746)</f>
        <v/>
      </c>
      <c r="F2745" t="str">
        <f>IF(原始经营数据!$D2746="","",T(原始经营数据!$J2746))</f>
        <v/>
      </c>
      <c r="G2745" t="str">
        <f>IF(原始经营数据!$D2746="","",T(原始经营数据!$K2746))</f>
        <v/>
      </c>
      <c r="H2745" t="str">
        <f>IF(原始经营数据!$D2746="","",原始经营数据!$G2746)</f>
        <v/>
      </c>
      <c r="I2745" t="str">
        <f>IF($A2745="","",IF($B2745&lt;&gt;"",$B2745,IF(COUNTIFS(原始经营数据!$D$3:$D$3001,$A2745,原始经营数据!$E$3:$E$3001,"",原始经营数据!$F$3:$F$3001,$C2745,原始经营数据!$H$3:$H$3001,$D2745,原始经营数据!$K$3:$K$3001,$G2745)&gt;1,"基金整体·来源"&amp;原始经营数据!$A2746,"基金整体")))</f>
        <v/>
      </c>
      <c r="J2745" t="str">
        <f t="shared" si="633"/>
        <v/>
      </c>
      <c r="K2745" t="str">
        <f t="shared" si="634"/>
        <v/>
      </c>
      <c r="L2745" t="str">
        <f t="shared" si="635"/>
        <v/>
      </c>
      <c r="M2745">
        <f>IF($A2745="",0,IF(COUNTIF($L$2:$L2745,$L2745)=1,1,0))</f>
        <v>0</v>
      </c>
      <c r="N2745" t="str">
        <f t="shared" si="636"/>
        <v/>
      </c>
      <c r="O2745" t="str">
        <f t="shared" si="637"/>
        <v/>
      </c>
      <c r="P2745">
        <f>IF($A2745="",0,IF(COUNTIF($O$2:$O2745,$O2745)=1,1,0))</f>
        <v>0</v>
      </c>
      <c r="Q2745" t="str">
        <f>IF(AND($P2745=1,$A2745=经营数据!$B$3,$J2745=经营数据!$BA$5),COUNTIFS($P$2:$P$3000,1,$A$2:$A$3000,$A2745,$J$2:$J$3000,$J2745,$N$2:$N$3000,"&lt;"&amp;$N2745)+1,"")</f>
        <v/>
      </c>
      <c r="R2745" t="str">
        <f t="shared" si="638"/>
        <v/>
      </c>
      <c r="S2745">
        <f>IF($A2745="",0,IF(COUNTIF($R$2:$R2745,$R2745)=1,1,0))</f>
        <v>0</v>
      </c>
      <c r="T2745" t="str">
        <f t="shared" si="639"/>
        <v/>
      </c>
      <c r="U2745" t="str">
        <f>IF($A2745="","",IF($A2745=经营数据!$B$3,COUNTIFS($S$2:$S$3000,1,$A$2:$A$3000,$A2745,$T$2:$T$3000,"&lt;"&amp;$T2745)+1,""))</f>
        <v/>
      </c>
      <c r="V2745" t="str">
        <f t="shared" si="640"/>
        <v/>
      </c>
      <c r="W2745" t="str">
        <f t="shared" si="641"/>
        <v/>
      </c>
      <c r="X2745" t="str">
        <f t="shared" si="642"/>
        <v/>
      </c>
      <c r="Y2745" t="str">
        <f t="shared" si="643"/>
        <v/>
      </c>
      <c r="Z2745">
        <f>IF($A2745="",0,IF(AND($M2745=1,$A2745=经营数据!$B$3,$J2745=经营数据!$BA$5,OR($I2745=经营数据!$BA$4,COUNTIF(经营数据!$AA$9:$AA$38,$I2745)&gt;0)),1,0))</f>
        <v>0</v>
      </c>
      <c r="AA2745" t="str">
        <f t="shared" si="644"/>
        <v/>
      </c>
      <c r="AB2745" t="str">
        <f t="shared" si="645"/>
        <v/>
      </c>
      <c r="AC2745">
        <f>IF($A2745="",0,IF(COUNTIF($A$2:$A2745,$A2745)=1,1,0))</f>
        <v>0</v>
      </c>
      <c r="AD2745">
        <f t="shared" si="646"/>
        <v>29</v>
      </c>
      <c r="AE2745" t="str">
        <f t="shared" si="647"/>
        <v/>
      </c>
    </row>
    <row r="2746" spans="1:31" x14ac:dyDescent="0.4">
      <c r="A2746" t="str">
        <f>IF(原始经营数据!$D2747="","",原始经营数据!$D2747)</f>
        <v/>
      </c>
      <c r="B2746" t="str">
        <f>IF(原始经营数据!$D2747="","",T(原始经营数据!$E2747))</f>
        <v/>
      </c>
      <c r="C2746" t="str">
        <f>IF(原始经营数据!$D2747="","",原始经营数据!$F2747)</f>
        <v/>
      </c>
      <c r="D2746" t="str">
        <f>IF(原始经营数据!$D2747="","",原始经营数据!$H2747)</f>
        <v/>
      </c>
      <c r="E2746" t="str">
        <f>IF(原始经营数据!$D2747="","",原始经营数据!$I2747)</f>
        <v/>
      </c>
      <c r="F2746" t="str">
        <f>IF(原始经营数据!$D2747="","",T(原始经营数据!$J2747))</f>
        <v/>
      </c>
      <c r="G2746" t="str">
        <f>IF(原始经营数据!$D2747="","",T(原始经营数据!$K2747))</f>
        <v/>
      </c>
      <c r="H2746" t="str">
        <f>IF(原始经营数据!$D2747="","",原始经营数据!$G2747)</f>
        <v/>
      </c>
      <c r="I2746" t="str">
        <f>IF($A2746="","",IF($B2746&lt;&gt;"",$B2746,IF(COUNTIFS(原始经营数据!$D$3:$D$3001,$A2746,原始经营数据!$E$3:$E$3001,"",原始经营数据!$F$3:$F$3001,$C2746,原始经营数据!$H$3:$H$3001,$D2746,原始经营数据!$K$3:$K$3001,$G2746)&gt;1,"基金整体·来源"&amp;原始经营数据!$A2747,"基金整体")))</f>
        <v/>
      </c>
      <c r="J2746" t="str">
        <f t="shared" si="633"/>
        <v/>
      </c>
      <c r="K2746" t="str">
        <f t="shared" si="634"/>
        <v/>
      </c>
      <c r="L2746" t="str">
        <f t="shared" si="635"/>
        <v/>
      </c>
      <c r="M2746">
        <f>IF($A2746="",0,IF(COUNTIF($L$2:$L2746,$L2746)=1,1,0))</f>
        <v>0</v>
      </c>
      <c r="N2746" t="str">
        <f t="shared" si="636"/>
        <v/>
      </c>
      <c r="O2746" t="str">
        <f t="shared" si="637"/>
        <v/>
      </c>
      <c r="P2746">
        <f>IF($A2746="",0,IF(COUNTIF($O$2:$O2746,$O2746)=1,1,0))</f>
        <v>0</v>
      </c>
      <c r="Q2746" t="str">
        <f>IF(AND($P2746=1,$A2746=经营数据!$B$3,$J2746=经营数据!$BA$5),COUNTIFS($P$2:$P$3000,1,$A$2:$A$3000,$A2746,$J$2:$J$3000,$J2746,$N$2:$N$3000,"&lt;"&amp;$N2746)+1,"")</f>
        <v/>
      </c>
      <c r="R2746" t="str">
        <f t="shared" si="638"/>
        <v/>
      </c>
      <c r="S2746">
        <f>IF($A2746="",0,IF(COUNTIF($R$2:$R2746,$R2746)=1,1,0))</f>
        <v>0</v>
      </c>
      <c r="T2746" t="str">
        <f t="shared" si="639"/>
        <v/>
      </c>
      <c r="U2746" t="str">
        <f>IF($A2746="","",IF($A2746=经营数据!$B$3,COUNTIFS($S$2:$S$3000,1,$A$2:$A$3000,$A2746,$T$2:$T$3000,"&lt;"&amp;$T2746)+1,""))</f>
        <v/>
      </c>
      <c r="V2746" t="str">
        <f t="shared" si="640"/>
        <v/>
      </c>
      <c r="W2746" t="str">
        <f t="shared" si="641"/>
        <v/>
      </c>
      <c r="X2746" t="str">
        <f t="shared" si="642"/>
        <v/>
      </c>
      <c r="Y2746" t="str">
        <f t="shared" si="643"/>
        <v/>
      </c>
      <c r="Z2746">
        <f>IF($A2746="",0,IF(AND($M2746=1,$A2746=经营数据!$B$3,$J2746=经营数据!$BA$5,OR($I2746=经营数据!$BA$4,COUNTIF(经营数据!$AA$9:$AA$38,$I2746)&gt;0)),1,0))</f>
        <v>0</v>
      </c>
      <c r="AA2746" t="str">
        <f t="shared" si="644"/>
        <v/>
      </c>
      <c r="AB2746" t="str">
        <f t="shared" si="645"/>
        <v/>
      </c>
      <c r="AC2746">
        <f>IF($A2746="",0,IF(COUNTIF($A$2:$A2746,$A2746)=1,1,0))</f>
        <v>0</v>
      </c>
      <c r="AD2746">
        <f t="shared" si="646"/>
        <v>29</v>
      </c>
      <c r="AE2746" t="str">
        <f t="shared" si="647"/>
        <v/>
      </c>
    </row>
    <row r="2747" spans="1:31" x14ac:dyDescent="0.4">
      <c r="A2747" t="str">
        <f>IF(原始经营数据!$D2748="","",原始经营数据!$D2748)</f>
        <v/>
      </c>
      <c r="B2747" t="str">
        <f>IF(原始经营数据!$D2748="","",T(原始经营数据!$E2748))</f>
        <v/>
      </c>
      <c r="C2747" t="str">
        <f>IF(原始经营数据!$D2748="","",原始经营数据!$F2748)</f>
        <v/>
      </c>
      <c r="D2747" t="str">
        <f>IF(原始经营数据!$D2748="","",原始经营数据!$H2748)</f>
        <v/>
      </c>
      <c r="E2747" t="str">
        <f>IF(原始经营数据!$D2748="","",原始经营数据!$I2748)</f>
        <v/>
      </c>
      <c r="F2747" t="str">
        <f>IF(原始经营数据!$D2748="","",T(原始经营数据!$J2748))</f>
        <v/>
      </c>
      <c r="G2747" t="str">
        <f>IF(原始经营数据!$D2748="","",T(原始经营数据!$K2748))</f>
        <v/>
      </c>
      <c r="H2747" t="str">
        <f>IF(原始经营数据!$D2748="","",原始经营数据!$G2748)</f>
        <v/>
      </c>
      <c r="I2747" t="str">
        <f>IF($A2747="","",IF($B2747&lt;&gt;"",$B2747,IF(COUNTIFS(原始经营数据!$D$3:$D$3001,$A2747,原始经营数据!$E$3:$E$3001,"",原始经营数据!$F$3:$F$3001,$C2747,原始经营数据!$H$3:$H$3001,$D2747,原始经营数据!$K$3:$K$3001,$G2747)&gt;1,"基金整体·来源"&amp;原始经营数据!$A2748,"基金整体")))</f>
        <v/>
      </c>
      <c r="J2747" t="str">
        <f t="shared" si="633"/>
        <v/>
      </c>
      <c r="K2747" t="str">
        <f t="shared" si="634"/>
        <v/>
      </c>
      <c r="L2747" t="str">
        <f t="shared" si="635"/>
        <v/>
      </c>
      <c r="M2747">
        <f>IF($A2747="",0,IF(COUNTIF($L$2:$L2747,$L2747)=1,1,0))</f>
        <v>0</v>
      </c>
      <c r="N2747" t="str">
        <f t="shared" si="636"/>
        <v/>
      </c>
      <c r="O2747" t="str">
        <f t="shared" si="637"/>
        <v/>
      </c>
      <c r="P2747">
        <f>IF($A2747="",0,IF(COUNTIF($O$2:$O2747,$O2747)=1,1,0))</f>
        <v>0</v>
      </c>
      <c r="Q2747" t="str">
        <f>IF(AND($P2747=1,$A2747=经营数据!$B$3,$J2747=经营数据!$BA$5),COUNTIFS($P$2:$P$3000,1,$A$2:$A$3000,$A2747,$J$2:$J$3000,$J2747,$N$2:$N$3000,"&lt;"&amp;$N2747)+1,"")</f>
        <v/>
      </c>
      <c r="R2747" t="str">
        <f t="shared" si="638"/>
        <v/>
      </c>
      <c r="S2747">
        <f>IF($A2747="",0,IF(COUNTIF($R$2:$R2747,$R2747)=1,1,0))</f>
        <v>0</v>
      </c>
      <c r="T2747" t="str">
        <f t="shared" si="639"/>
        <v/>
      </c>
      <c r="U2747" t="str">
        <f>IF($A2747="","",IF($A2747=经营数据!$B$3,COUNTIFS($S$2:$S$3000,1,$A$2:$A$3000,$A2747,$T$2:$T$3000,"&lt;"&amp;$T2747)+1,""))</f>
        <v/>
      </c>
      <c r="V2747" t="str">
        <f t="shared" si="640"/>
        <v/>
      </c>
      <c r="W2747" t="str">
        <f t="shared" si="641"/>
        <v/>
      </c>
      <c r="X2747" t="str">
        <f t="shared" si="642"/>
        <v/>
      </c>
      <c r="Y2747" t="str">
        <f t="shared" si="643"/>
        <v/>
      </c>
      <c r="Z2747">
        <f>IF($A2747="",0,IF(AND($M2747=1,$A2747=经营数据!$B$3,$J2747=经营数据!$BA$5,OR($I2747=经营数据!$BA$4,COUNTIF(经营数据!$AA$9:$AA$38,$I2747)&gt;0)),1,0))</f>
        <v>0</v>
      </c>
      <c r="AA2747" t="str">
        <f t="shared" si="644"/>
        <v/>
      </c>
      <c r="AB2747" t="str">
        <f t="shared" si="645"/>
        <v/>
      </c>
      <c r="AC2747">
        <f>IF($A2747="",0,IF(COUNTIF($A$2:$A2747,$A2747)=1,1,0))</f>
        <v>0</v>
      </c>
      <c r="AD2747">
        <f t="shared" si="646"/>
        <v>29</v>
      </c>
      <c r="AE2747" t="str">
        <f t="shared" si="647"/>
        <v/>
      </c>
    </row>
    <row r="2748" spans="1:31" x14ac:dyDescent="0.4">
      <c r="A2748" t="str">
        <f>IF(原始经营数据!$D2749="","",原始经营数据!$D2749)</f>
        <v/>
      </c>
      <c r="B2748" t="str">
        <f>IF(原始经营数据!$D2749="","",T(原始经营数据!$E2749))</f>
        <v/>
      </c>
      <c r="C2748" t="str">
        <f>IF(原始经营数据!$D2749="","",原始经营数据!$F2749)</f>
        <v/>
      </c>
      <c r="D2748" t="str">
        <f>IF(原始经营数据!$D2749="","",原始经营数据!$H2749)</f>
        <v/>
      </c>
      <c r="E2748" t="str">
        <f>IF(原始经营数据!$D2749="","",原始经营数据!$I2749)</f>
        <v/>
      </c>
      <c r="F2748" t="str">
        <f>IF(原始经营数据!$D2749="","",T(原始经营数据!$J2749))</f>
        <v/>
      </c>
      <c r="G2748" t="str">
        <f>IF(原始经营数据!$D2749="","",T(原始经营数据!$K2749))</f>
        <v/>
      </c>
      <c r="H2748" t="str">
        <f>IF(原始经营数据!$D2749="","",原始经营数据!$G2749)</f>
        <v/>
      </c>
      <c r="I2748" t="str">
        <f>IF($A2748="","",IF($B2748&lt;&gt;"",$B2748,IF(COUNTIFS(原始经营数据!$D$3:$D$3001,$A2748,原始经营数据!$E$3:$E$3001,"",原始经营数据!$F$3:$F$3001,$C2748,原始经营数据!$H$3:$H$3001,$D2748,原始经营数据!$K$3:$K$3001,$G2748)&gt;1,"基金整体·来源"&amp;原始经营数据!$A2749,"基金整体")))</f>
        <v/>
      </c>
      <c r="J2748" t="str">
        <f t="shared" si="633"/>
        <v/>
      </c>
      <c r="K2748" t="str">
        <f t="shared" si="634"/>
        <v/>
      </c>
      <c r="L2748" t="str">
        <f t="shared" si="635"/>
        <v/>
      </c>
      <c r="M2748">
        <f>IF($A2748="",0,IF(COUNTIF($L$2:$L2748,$L2748)=1,1,0))</f>
        <v>0</v>
      </c>
      <c r="N2748" t="str">
        <f t="shared" si="636"/>
        <v/>
      </c>
      <c r="O2748" t="str">
        <f t="shared" si="637"/>
        <v/>
      </c>
      <c r="P2748">
        <f>IF($A2748="",0,IF(COUNTIF($O$2:$O2748,$O2748)=1,1,0))</f>
        <v>0</v>
      </c>
      <c r="Q2748" t="str">
        <f>IF(AND($P2748=1,$A2748=经营数据!$B$3,$J2748=经营数据!$BA$5),COUNTIFS($P$2:$P$3000,1,$A$2:$A$3000,$A2748,$J$2:$J$3000,$J2748,$N$2:$N$3000,"&lt;"&amp;$N2748)+1,"")</f>
        <v/>
      </c>
      <c r="R2748" t="str">
        <f t="shared" si="638"/>
        <v/>
      </c>
      <c r="S2748">
        <f>IF($A2748="",0,IF(COUNTIF($R$2:$R2748,$R2748)=1,1,0))</f>
        <v>0</v>
      </c>
      <c r="T2748" t="str">
        <f t="shared" si="639"/>
        <v/>
      </c>
      <c r="U2748" t="str">
        <f>IF($A2748="","",IF($A2748=经营数据!$B$3,COUNTIFS($S$2:$S$3000,1,$A$2:$A$3000,$A2748,$T$2:$T$3000,"&lt;"&amp;$T2748)+1,""))</f>
        <v/>
      </c>
      <c r="V2748" t="str">
        <f t="shared" si="640"/>
        <v/>
      </c>
      <c r="W2748" t="str">
        <f t="shared" si="641"/>
        <v/>
      </c>
      <c r="X2748" t="str">
        <f t="shared" si="642"/>
        <v/>
      </c>
      <c r="Y2748" t="str">
        <f t="shared" si="643"/>
        <v/>
      </c>
      <c r="Z2748">
        <f>IF($A2748="",0,IF(AND($M2748=1,$A2748=经营数据!$B$3,$J2748=经营数据!$BA$5,OR($I2748=经营数据!$BA$4,COUNTIF(经营数据!$AA$9:$AA$38,$I2748)&gt;0)),1,0))</f>
        <v>0</v>
      </c>
      <c r="AA2748" t="str">
        <f t="shared" si="644"/>
        <v/>
      </c>
      <c r="AB2748" t="str">
        <f t="shared" si="645"/>
        <v/>
      </c>
      <c r="AC2748">
        <f>IF($A2748="",0,IF(COUNTIF($A$2:$A2748,$A2748)=1,1,0))</f>
        <v>0</v>
      </c>
      <c r="AD2748">
        <f t="shared" si="646"/>
        <v>29</v>
      </c>
      <c r="AE2748" t="str">
        <f t="shared" si="647"/>
        <v/>
      </c>
    </row>
    <row r="2749" spans="1:31" x14ac:dyDescent="0.4">
      <c r="A2749" t="str">
        <f>IF(原始经营数据!$D2750="","",原始经营数据!$D2750)</f>
        <v/>
      </c>
      <c r="B2749" t="str">
        <f>IF(原始经营数据!$D2750="","",T(原始经营数据!$E2750))</f>
        <v/>
      </c>
      <c r="C2749" t="str">
        <f>IF(原始经营数据!$D2750="","",原始经营数据!$F2750)</f>
        <v/>
      </c>
      <c r="D2749" t="str">
        <f>IF(原始经营数据!$D2750="","",原始经营数据!$H2750)</f>
        <v/>
      </c>
      <c r="E2749" t="str">
        <f>IF(原始经营数据!$D2750="","",原始经营数据!$I2750)</f>
        <v/>
      </c>
      <c r="F2749" t="str">
        <f>IF(原始经营数据!$D2750="","",T(原始经营数据!$J2750))</f>
        <v/>
      </c>
      <c r="G2749" t="str">
        <f>IF(原始经营数据!$D2750="","",T(原始经营数据!$K2750))</f>
        <v/>
      </c>
      <c r="H2749" t="str">
        <f>IF(原始经营数据!$D2750="","",原始经营数据!$G2750)</f>
        <v/>
      </c>
      <c r="I2749" t="str">
        <f>IF($A2749="","",IF($B2749&lt;&gt;"",$B2749,IF(COUNTIFS(原始经营数据!$D$3:$D$3001,$A2749,原始经营数据!$E$3:$E$3001,"",原始经营数据!$F$3:$F$3001,$C2749,原始经营数据!$H$3:$H$3001,$D2749,原始经营数据!$K$3:$K$3001,$G2749)&gt;1,"基金整体·来源"&amp;原始经营数据!$A2750,"基金整体")))</f>
        <v/>
      </c>
      <c r="J2749" t="str">
        <f t="shared" si="633"/>
        <v/>
      </c>
      <c r="K2749" t="str">
        <f t="shared" si="634"/>
        <v/>
      </c>
      <c r="L2749" t="str">
        <f t="shared" si="635"/>
        <v/>
      </c>
      <c r="M2749">
        <f>IF($A2749="",0,IF(COUNTIF($L$2:$L2749,$L2749)=1,1,0))</f>
        <v>0</v>
      </c>
      <c r="N2749" t="str">
        <f t="shared" si="636"/>
        <v/>
      </c>
      <c r="O2749" t="str">
        <f t="shared" si="637"/>
        <v/>
      </c>
      <c r="P2749">
        <f>IF($A2749="",0,IF(COUNTIF($O$2:$O2749,$O2749)=1,1,0))</f>
        <v>0</v>
      </c>
      <c r="Q2749" t="str">
        <f>IF(AND($P2749=1,$A2749=经营数据!$B$3,$J2749=经营数据!$BA$5),COUNTIFS($P$2:$P$3000,1,$A$2:$A$3000,$A2749,$J$2:$J$3000,$J2749,$N$2:$N$3000,"&lt;"&amp;$N2749)+1,"")</f>
        <v/>
      </c>
      <c r="R2749" t="str">
        <f t="shared" si="638"/>
        <v/>
      </c>
      <c r="S2749">
        <f>IF($A2749="",0,IF(COUNTIF($R$2:$R2749,$R2749)=1,1,0))</f>
        <v>0</v>
      </c>
      <c r="T2749" t="str">
        <f t="shared" si="639"/>
        <v/>
      </c>
      <c r="U2749" t="str">
        <f>IF($A2749="","",IF($A2749=经营数据!$B$3,COUNTIFS($S$2:$S$3000,1,$A$2:$A$3000,$A2749,$T$2:$T$3000,"&lt;"&amp;$T2749)+1,""))</f>
        <v/>
      </c>
      <c r="V2749" t="str">
        <f t="shared" si="640"/>
        <v/>
      </c>
      <c r="W2749" t="str">
        <f t="shared" si="641"/>
        <v/>
      </c>
      <c r="X2749" t="str">
        <f t="shared" si="642"/>
        <v/>
      </c>
      <c r="Y2749" t="str">
        <f t="shared" si="643"/>
        <v/>
      </c>
      <c r="Z2749">
        <f>IF($A2749="",0,IF(AND($M2749=1,$A2749=经营数据!$B$3,$J2749=经营数据!$BA$5,OR($I2749=经营数据!$BA$4,COUNTIF(经营数据!$AA$9:$AA$38,$I2749)&gt;0)),1,0))</f>
        <v>0</v>
      </c>
      <c r="AA2749" t="str">
        <f t="shared" si="644"/>
        <v/>
      </c>
      <c r="AB2749" t="str">
        <f t="shared" si="645"/>
        <v/>
      </c>
      <c r="AC2749">
        <f>IF($A2749="",0,IF(COUNTIF($A$2:$A2749,$A2749)=1,1,0))</f>
        <v>0</v>
      </c>
      <c r="AD2749">
        <f t="shared" si="646"/>
        <v>29</v>
      </c>
      <c r="AE2749" t="str">
        <f t="shared" si="647"/>
        <v/>
      </c>
    </row>
    <row r="2750" spans="1:31" x14ac:dyDescent="0.4">
      <c r="A2750" t="str">
        <f>IF(原始经营数据!$D2751="","",原始经营数据!$D2751)</f>
        <v/>
      </c>
      <c r="B2750" t="str">
        <f>IF(原始经营数据!$D2751="","",T(原始经营数据!$E2751))</f>
        <v/>
      </c>
      <c r="C2750" t="str">
        <f>IF(原始经营数据!$D2751="","",原始经营数据!$F2751)</f>
        <v/>
      </c>
      <c r="D2750" t="str">
        <f>IF(原始经营数据!$D2751="","",原始经营数据!$H2751)</f>
        <v/>
      </c>
      <c r="E2750" t="str">
        <f>IF(原始经营数据!$D2751="","",原始经营数据!$I2751)</f>
        <v/>
      </c>
      <c r="F2750" t="str">
        <f>IF(原始经营数据!$D2751="","",T(原始经营数据!$J2751))</f>
        <v/>
      </c>
      <c r="G2750" t="str">
        <f>IF(原始经营数据!$D2751="","",T(原始经营数据!$K2751))</f>
        <v/>
      </c>
      <c r="H2750" t="str">
        <f>IF(原始经营数据!$D2751="","",原始经营数据!$G2751)</f>
        <v/>
      </c>
      <c r="I2750" t="str">
        <f>IF($A2750="","",IF($B2750&lt;&gt;"",$B2750,IF(COUNTIFS(原始经营数据!$D$3:$D$3001,$A2750,原始经营数据!$E$3:$E$3001,"",原始经营数据!$F$3:$F$3001,$C2750,原始经营数据!$H$3:$H$3001,$D2750,原始经营数据!$K$3:$K$3001,$G2750)&gt;1,"基金整体·来源"&amp;原始经营数据!$A2751,"基金整体")))</f>
        <v/>
      </c>
      <c r="J2750" t="str">
        <f t="shared" si="633"/>
        <v/>
      </c>
      <c r="K2750" t="str">
        <f t="shared" si="634"/>
        <v/>
      </c>
      <c r="L2750" t="str">
        <f t="shared" si="635"/>
        <v/>
      </c>
      <c r="M2750">
        <f>IF($A2750="",0,IF(COUNTIF($L$2:$L2750,$L2750)=1,1,0))</f>
        <v>0</v>
      </c>
      <c r="N2750" t="str">
        <f t="shared" si="636"/>
        <v/>
      </c>
      <c r="O2750" t="str">
        <f t="shared" si="637"/>
        <v/>
      </c>
      <c r="P2750">
        <f>IF($A2750="",0,IF(COUNTIF($O$2:$O2750,$O2750)=1,1,0))</f>
        <v>0</v>
      </c>
      <c r="Q2750" t="str">
        <f>IF(AND($P2750=1,$A2750=经营数据!$B$3,$J2750=经营数据!$BA$5),COUNTIFS($P$2:$P$3000,1,$A$2:$A$3000,$A2750,$J$2:$J$3000,$J2750,$N$2:$N$3000,"&lt;"&amp;$N2750)+1,"")</f>
        <v/>
      </c>
      <c r="R2750" t="str">
        <f t="shared" si="638"/>
        <v/>
      </c>
      <c r="S2750">
        <f>IF($A2750="",0,IF(COUNTIF($R$2:$R2750,$R2750)=1,1,0))</f>
        <v>0</v>
      </c>
      <c r="T2750" t="str">
        <f t="shared" si="639"/>
        <v/>
      </c>
      <c r="U2750" t="str">
        <f>IF($A2750="","",IF($A2750=经营数据!$B$3,COUNTIFS($S$2:$S$3000,1,$A$2:$A$3000,$A2750,$T$2:$T$3000,"&lt;"&amp;$T2750)+1,""))</f>
        <v/>
      </c>
      <c r="V2750" t="str">
        <f t="shared" si="640"/>
        <v/>
      </c>
      <c r="W2750" t="str">
        <f t="shared" si="641"/>
        <v/>
      </c>
      <c r="X2750" t="str">
        <f t="shared" si="642"/>
        <v/>
      </c>
      <c r="Y2750" t="str">
        <f t="shared" si="643"/>
        <v/>
      </c>
      <c r="Z2750">
        <f>IF($A2750="",0,IF(AND($M2750=1,$A2750=经营数据!$B$3,$J2750=经营数据!$BA$5,OR($I2750=经营数据!$BA$4,COUNTIF(经营数据!$AA$9:$AA$38,$I2750)&gt;0)),1,0))</f>
        <v>0</v>
      </c>
      <c r="AA2750" t="str">
        <f t="shared" si="644"/>
        <v/>
      </c>
      <c r="AB2750" t="str">
        <f t="shared" si="645"/>
        <v/>
      </c>
      <c r="AC2750">
        <f>IF($A2750="",0,IF(COUNTIF($A$2:$A2750,$A2750)=1,1,0))</f>
        <v>0</v>
      </c>
      <c r="AD2750">
        <f t="shared" si="646"/>
        <v>29</v>
      </c>
      <c r="AE2750" t="str">
        <f t="shared" si="647"/>
        <v/>
      </c>
    </row>
    <row r="2751" spans="1:31" x14ac:dyDescent="0.4">
      <c r="A2751" t="str">
        <f>IF(原始经营数据!$D2752="","",原始经营数据!$D2752)</f>
        <v/>
      </c>
      <c r="B2751" t="str">
        <f>IF(原始经营数据!$D2752="","",T(原始经营数据!$E2752))</f>
        <v/>
      </c>
      <c r="C2751" t="str">
        <f>IF(原始经营数据!$D2752="","",原始经营数据!$F2752)</f>
        <v/>
      </c>
      <c r="D2751" t="str">
        <f>IF(原始经营数据!$D2752="","",原始经营数据!$H2752)</f>
        <v/>
      </c>
      <c r="E2751" t="str">
        <f>IF(原始经营数据!$D2752="","",原始经营数据!$I2752)</f>
        <v/>
      </c>
      <c r="F2751" t="str">
        <f>IF(原始经营数据!$D2752="","",T(原始经营数据!$J2752))</f>
        <v/>
      </c>
      <c r="G2751" t="str">
        <f>IF(原始经营数据!$D2752="","",T(原始经营数据!$K2752))</f>
        <v/>
      </c>
      <c r="H2751" t="str">
        <f>IF(原始经营数据!$D2752="","",原始经营数据!$G2752)</f>
        <v/>
      </c>
      <c r="I2751" t="str">
        <f>IF($A2751="","",IF($B2751&lt;&gt;"",$B2751,IF(COUNTIFS(原始经营数据!$D$3:$D$3001,$A2751,原始经营数据!$E$3:$E$3001,"",原始经营数据!$F$3:$F$3001,$C2751,原始经营数据!$H$3:$H$3001,$D2751,原始经营数据!$K$3:$K$3001,$G2751)&gt;1,"基金整体·来源"&amp;原始经营数据!$A2752,"基金整体")))</f>
        <v/>
      </c>
      <c r="J2751" t="str">
        <f t="shared" si="633"/>
        <v/>
      </c>
      <c r="K2751" t="str">
        <f t="shared" si="634"/>
        <v/>
      </c>
      <c r="L2751" t="str">
        <f t="shared" si="635"/>
        <v/>
      </c>
      <c r="M2751">
        <f>IF($A2751="",0,IF(COUNTIF($L$2:$L2751,$L2751)=1,1,0))</f>
        <v>0</v>
      </c>
      <c r="N2751" t="str">
        <f t="shared" si="636"/>
        <v/>
      </c>
      <c r="O2751" t="str">
        <f t="shared" si="637"/>
        <v/>
      </c>
      <c r="P2751">
        <f>IF($A2751="",0,IF(COUNTIF($O$2:$O2751,$O2751)=1,1,0))</f>
        <v>0</v>
      </c>
      <c r="Q2751" t="str">
        <f>IF(AND($P2751=1,$A2751=经营数据!$B$3,$J2751=经营数据!$BA$5),COUNTIFS($P$2:$P$3000,1,$A$2:$A$3000,$A2751,$J$2:$J$3000,$J2751,$N$2:$N$3000,"&lt;"&amp;$N2751)+1,"")</f>
        <v/>
      </c>
      <c r="R2751" t="str">
        <f t="shared" si="638"/>
        <v/>
      </c>
      <c r="S2751">
        <f>IF($A2751="",0,IF(COUNTIF($R$2:$R2751,$R2751)=1,1,0))</f>
        <v>0</v>
      </c>
      <c r="T2751" t="str">
        <f t="shared" si="639"/>
        <v/>
      </c>
      <c r="U2751" t="str">
        <f>IF($A2751="","",IF($A2751=经营数据!$B$3,COUNTIFS($S$2:$S$3000,1,$A$2:$A$3000,$A2751,$T$2:$T$3000,"&lt;"&amp;$T2751)+1,""))</f>
        <v/>
      </c>
      <c r="V2751" t="str">
        <f t="shared" si="640"/>
        <v/>
      </c>
      <c r="W2751" t="str">
        <f t="shared" si="641"/>
        <v/>
      </c>
      <c r="X2751" t="str">
        <f t="shared" si="642"/>
        <v/>
      </c>
      <c r="Y2751" t="str">
        <f t="shared" si="643"/>
        <v/>
      </c>
      <c r="Z2751">
        <f>IF($A2751="",0,IF(AND($M2751=1,$A2751=经营数据!$B$3,$J2751=经营数据!$BA$5,OR($I2751=经营数据!$BA$4,COUNTIF(经营数据!$AA$9:$AA$38,$I2751)&gt;0)),1,0))</f>
        <v>0</v>
      </c>
      <c r="AA2751" t="str">
        <f t="shared" si="644"/>
        <v/>
      </c>
      <c r="AB2751" t="str">
        <f t="shared" si="645"/>
        <v/>
      </c>
      <c r="AC2751">
        <f>IF($A2751="",0,IF(COUNTIF($A$2:$A2751,$A2751)=1,1,0))</f>
        <v>0</v>
      </c>
      <c r="AD2751">
        <f t="shared" si="646"/>
        <v>29</v>
      </c>
      <c r="AE2751" t="str">
        <f t="shared" si="647"/>
        <v/>
      </c>
    </row>
    <row r="2752" spans="1:31" x14ac:dyDescent="0.4">
      <c r="A2752" t="str">
        <f>IF(原始经营数据!$D2753="","",原始经营数据!$D2753)</f>
        <v/>
      </c>
      <c r="B2752" t="str">
        <f>IF(原始经营数据!$D2753="","",T(原始经营数据!$E2753))</f>
        <v/>
      </c>
      <c r="C2752" t="str">
        <f>IF(原始经营数据!$D2753="","",原始经营数据!$F2753)</f>
        <v/>
      </c>
      <c r="D2752" t="str">
        <f>IF(原始经营数据!$D2753="","",原始经营数据!$H2753)</f>
        <v/>
      </c>
      <c r="E2752" t="str">
        <f>IF(原始经营数据!$D2753="","",原始经营数据!$I2753)</f>
        <v/>
      </c>
      <c r="F2752" t="str">
        <f>IF(原始经营数据!$D2753="","",T(原始经营数据!$J2753))</f>
        <v/>
      </c>
      <c r="G2752" t="str">
        <f>IF(原始经营数据!$D2753="","",T(原始经营数据!$K2753))</f>
        <v/>
      </c>
      <c r="H2752" t="str">
        <f>IF(原始经营数据!$D2753="","",原始经营数据!$G2753)</f>
        <v/>
      </c>
      <c r="I2752" t="str">
        <f>IF($A2752="","",IF($B2752&lt;&gt;"",$B2752,IF(COUNTIFS(原始经营数据!$D$3:$D$3001,$A2752,原始经营数据!$E$3:$E$3001,"",原始经营数据!$F$3:$F$3001,$C2752,原始经营数据!$H$3:$H$3001,$D2752,原始经营数据!$K$3:$K$3001,$G2752)&gt;1,"基金整体·来源"&amp;原始经营数据!$A2753,"基金整体")))</f>
        <v/>
      </c>
      <c r="J2752" t="str">
        <f t="shared" si="633"/>
        <v/>
      </c>
      <c r="K2752" t="str">
        <f t="shared" si="634"/>
        <v/>
      </c>
      <c r="L2752" t="str">
        <f t="shared" si="635"/>
        <v/>
      </c>
      <c r="M2752">
        <f>IF($A2752="",0,IF(COUNTIF($L$2:$L2752,$L2752)=1,1,0))</f>
        <v>0</v>
      </c>
      <c r="N2752" t="str">
        <f t="shared" si="636"/>
        <v/>
      </c>
      <c r="O2752" t="str">
        <f t="shared" si="637"/>
        <v/>
      </c>
      <c r="P2752">
        <f>IF($A2752="",0,IF(COUNTIF($O$2:$O2752,$O2752)=1,1,0))</f>
        <v>0</v>
      </c>
      <c r="Q2752" t="str">
        <f>IF(AND($P2752=1,$A2752=经营数据!$B$3,$J2752=经营数据!$BA$5),COUNTIFS($P$2:$P$3000,1,$A$2:$A$3000,$A2752,$J$2:$J$3000,$J2752,$N$2:$N$3000,"&lt;"&amp;$N2752)+1,"")</f>
        <v/>
      </c>
      <c r="R2752" t="str">
        <f t="shared" si="638"/>
        <v/>
      </c>
      <c r="S2752">
        <f>IF($A2752="",0,IF(COUNTIF($R$2:$R2752,$R2752)=1,1,0))</f>
        <v>0</v>
      </c>
      <c r="T2752" t="str">
        <f t="shared" si="639"/>
        <v/>
      </c>
      <c r="U2752" t="str">
        <f>IF($A2752="","",IF($A2752=经营数据!$B$3,COUNTIFS($S$2:$S$3000,1,$A$2:$A$3000,$A2752,$T$2:$T$3000,"&lt;"&amp;$T2752)+1,""))</f>
        <v/>
      </c>
      <c r="V2752" t="str">
        <f t="shared" si="640"/>
        <v/>
      </c>
      <c r="W2752" t="str">
        <f t="shared" si="641"/>
        <v/>
      </c>
      <c r="X2752" t="str">
        <f t="shared" si="642"/>
        <v/>
      </c>
      <c r="Y2752" t="str">
        <f t="shared" si="643"/>
        <v/>
      </c>
      <c r="Z2752">
        <f>IF($A2752="",0,IF(AND($M2752=1,$A2752=经营数据!$B$3,$J2752=经营数据!$BA$5,OR($I2752=经营数据!$BA$4,COUNTIF(经营数据!$AA$9:$AA$38,$I2752)&gt;0)),1,0))</f>
        <v>0</v>
      </c>
      <c r="AA2752" t="str">
        <f t="shared" si="644"/>
        <v/>
      </c>
      <c r="AB2752" t="str">
        <f t="shared" si="645"/>
        <v/>
      </c>
      <c r="AC2752">
        <f>IF($A2752="",0,IF(COUNTIF($A$2:$A2752,$A2752)=1,1,0))</f>
        <v>0</v>
      </c>
      <c r="AD2752">
        <f t="shared" si="646"/>
        <v>29</v>
      </c>
      <c r="AE2752" t="str">
        <f t="shared" si="647"/>
        <v/>
      </c>
    </row>
    <row r="2753" spans="1:31" x14ac:dyDescent="0.4">
      <c r="A2753" t="str">
        <f>IF(原始经营数据!$D2754="","",原始经营数据!$D2754)</f>
        <v/>
      </c>
      <c r="B2753" t="str">
        <f>IF(原始经营数据!$D2754="","",T(原始经营数据!$E2754))</f>
        <v/>
      </c>
      <c r="C2753" t="str">
        <f>IF(原始经营数据!$D2754="","",原始经营数据!$F2754)</f>
        <v/>
      </c>
      <c r="D2753" t="str">
        <f>IF(原始经营数据!$D2754="","",原始经营数据!$H2754)</f>
        <v/>
      </c>
      <c r="E2753" t="str">
        <f>IF(原始经营数据!$D2754="","",原始经营数据!$I2754)</f>
        <v/>
      </c>
      <c r="F2753" t="str">
        <f>IF(原始经营数据!$D2754="","",T(原始经营数据!$J2754))</f>
        <v/>
      </c>
      <c r="G2753" t="str">
        <f>IF(原始经营数据!$D2754="","",T(原始经营数据!$K2754))</f>
        <v/>
      </c>
      <c r="H2753" t="str">
        <f>IF(原始经营数据!$D2754="","",原始经营数据!$G2754)</f>
        <v/>
      </c>
      <c r="I2753" t="str">
        <f>IF($A2753="","",IF($B2753&lt;&gt;"",$B2753,IF(COUNTIFS(原始经营数据!$D$3:$D$3001,$A2753,原始经营数据!$E$3:$E$3001,"",原始经营数据!$F$3:$F$3001,$C2753,原始经营数据!$H$3:$H$3001,$D2753,原始经营数据!$K$3:$K$3001,$G2753)&gt;1,"基金整体·来源"&amp;原始经营数据!$A2754,"基金整体")))</f>
        <v/>
      </c>
      <c r="J2753" t="str">
        <f t="shared" si="633"/>
        <v/>
      </c>
      <c r="K2753" t="str">
        <f t="shared" si="634"/>
        <v/>
      </c>
      <c r="L2753" t="str">
        <f t="shared" si="635"/>
        <v/>
      </c>
      <c r="M2753">
        <f>IF($A2753="",0,IF(COUNTIF($L$2:$L2753,$L2753)=1,1,0))</f>
        <v>0</v>
      </c>
      <c r="N2753" t="str">
        <f t="shared" si="636"/>
        <v/>
      </c>
      <c r="O2753" t="str">
        <f t="shared" si="637"/>
        <v/>
      </c>
      <c r="P2753">
        <f>IF($A2753="",0,IF(COUNTIF($O$2:$O2753,$O2753)=1,1,0))</f>
        <v>0</v>
      </c>
      <c r="Q2753" t="str">
        <f>IF(AND($P2753=1,$A2753=经营数据!$B$3,$J2753=经营数据!$BA$5),COUNTIFS($P$2:$P$3000,1,$A$2:$A$3000,$A2753,$J$2:$J$3000,$J2753,$N$2:$N$3000,"&lt;"&amp;$N2753)+1,"")</f>
        <v/>
      </c>
      <c r="R2753" t="str">
        <f t="shared" si="638"/>
        <v/>
      </c>
      <c r="S2753">
        <f>IF($A2753="",0,IF(COUNTIF($R$2:$R2753,$R2753)=1,1,0))</f>
        <v>0</v>
      </c>
      <c r="T2753" t="str">
        <f t="shared" si="639"/>
        <v/>
      </c>
      <c r="U2753" t="str">
        <f>IF($A2753="","",IF($A2753=经营数据!$B$3,COUNTIFS($S$2:$S$3000,1,$A$2:$A$3000,$A2753,$T$2:$T$3000,"&lt;"&amp;$T2753)+1,""))</f>
        <v/>
      </c>
      <c r="V2753" t="str">
        <f t="shared" si="640"/>
        <v/>
      </c>
      <c r="W2753" t="str">
        <f t="shared" si="641"/>
        <v/>
      </c>
      <c r="X2753" t="str">
        <f t="shared" si="642"/>
        <v/>
      </c>
      <c r="Y2753" t="str">
        <f t="shared" si="643"/>
        <v/>
      </c>
      <c r="Z2753">
        <f>IF($A2753="",0,IF(AND($M2753=1,$A2753=经营数据!$B$3,$J2753=经营数据!$BA$5,OR($I2753=经营数据!$BA$4,COUNTIF(经营数据!$AA$9:$AA$38,$I2753)&gt;0)),1,0))</f>
        <v>0</v>
      </c>
      <c r="AA2753" t="str">
        <f t="shared" si="644"/>
        <v/>
      </c>
      <c r="AB2753" t="str">
        <f t="shared" si="645"/>
        <v/>
      </c>
      <c r="AC2753">
        <f>IF($A2753="",0,IF(COUNTIF($A$2:$A2753,$A2753)=1,1,0))</f>
        <v>0</v>
      </c>
      <c r="AD2753">
        <f t="shared" si="646"/>
        <v>29</v>
      </c>
      <c r="AE2753" t="str">
        <f t="shared" si="647"/>
        <v/>
      </c>
    </row>
    <row r="2754" spans="1:31" x14ac:dyDescent="0.4">
      <c r="A2754" t="str">
        <f>IF(原始经营数据!$D2755="","",原始经营数据!$D2755)</f>
        <v/>
      </c>
      <c r="B2754" t="str">
        <f>IF(原始经营数据!$D2755="","",T(原始经营数据!$E2755))</f>
        <v/>
      </c>
      <c r="C2754" t="str">
        <f>IF(原始经营数据!$D2755="","",原始经营数据!$F2755)</f>
        <v/>
      </c>
      <c r="D2754" t="str">
        <f>IF(原始经营数据!$D2755="","",原始经营数据!$H2755)</f>
        <v/>
      </c>
      <c r="E2754" t="str">
        <f>IF(原始经营数据!$D2755="","",原始经营数据!$I2755)</f>
        <v/>
      </c>
      <c r="F2754" t="str">
        <f>IF(原始经营数据!$D2755="","",T(原始经营数据!$J2755))</f>
        <v/>
      </c>
      <c r="G2754" t="str">
        <f>IF(原始经营数据!$D2755="","",T(原始经营数据!$K2755))</f>
        <v/>
      </c>
      <c r="H2754" t="str">
        <f>IF(原始经营数据!$D2755="","",原始经营数据!$G2755)</f>
        <v/>
      </c>
      <c r="I2754" t="str">
        <f>IF($A2754="","",IF($B2754&lt;&gt;"",$B2754,IF(COUNTIFS(原始经营数据!$D$3:$D$3001,$A2754,原始经营数据!$E$3:$E$3001,"",原始经营数据!$F$3:$F$3001,$C2754,原始经营数据!$H$3:$H$3001,$D2754,原始经营数据!$K$3:$K$3001,$G2754)&gt;1,"基金整体·来源"&amp;原始经营数据!$A2755,"基金整体")))</f>
        <v/>
      </c>
      <c r="J2754" t="str">
        <f t="shared" ref="J2754:J2817" si="648">IF($A2754="","",IF(LEN($C2754)=4,"年度",IF(AND(LEN($C2754)=6,ISNUMBER(SEARCH("Q",$C2754))),"季度","其他期间")))</f>
        <v/>
      </c>
      <c r="K2754" t="str">
        <f t="shared" ref="K2754:K2817" si="649">IF($A2754="","",$D2754&amp;IF($G2754="","","-"&amp;SUBSTITUTE($G2754,CHAR(10),""))&amp;IF($F2754="","","（"&amp;$F2754&amp;"）"))</f>
        <v/>
      </c>
      <c r="L2754" t="str">
        <f t="shared" ref="L2754:L2817" si="650">IF($A2754="","",$I2754&amp;"|"&amp;$K2754&amp;"|"&amp;$J2754)</f>
        <v/>
      </c>
      <c r="M2754">
        <f>IF($A2754="",0,IF(COUNTIF($L$2:$L2754,$L2754)=1,1,0))</f>
        <v>0</v>
      </c>
      <c r="N2754" t="str">
        <f t="shared" ref="N2754:N2817" si="651">IF($A2754="","",IF($J2754="年度",VALUE($C2754)*10,IF($J2754="季度",VALUE(LEFT($C2754,4))*10+VALUE(RIGHT($C2754,1)),VALUE(LEFT($C2754,4))*10+9)))</f>
        <v/>
      </c>
      <c r="O2754" t="str">
        <f t="shared" ref="O2754:O2817" si="652">IF($A2754="","",$A2754&amp;"|"&amp;$C2754&amp;"|"&amp;$J2754)</f>
        <v/>
      </c>
      <c r="P2754">
        <f>IF($A2754="",0,IF(COUNTIF($O$2:$O2754,$O2754)=1,1,0))</f>
        <v>0</v>
      </c>
      <c r="Q2754" t="str">
        <f>IF(AND($P2754=1,$A2754=经营数据!$B$3,$J2754=经营数据!$BA$5),COUNTIFS($P$2:$P$3000,1,$A$2:$A$3000,$A2754,$J$2:$J$3000,$J2754,$N$2:$N$3000,"&lt;"&amp;$N2754)+1,"")</f>
        <v/>
      </c>
      <c r="R2754" t="str">
        <f t="shared" ref="R2754:R2817" si="653">IF($A2754="","",$A2754&amp;"|"&amp;$I2754)</f>
        <v/>
      </c>
      <c r="S2754">
        <f>IF($A2754="",0,IF(COUNTIF($R$2:$R2754,$R2754)=1,1,0))</f>
        <v>0</v>
      </c>
      <c r="T2754" t="str">
        <f t="shared" ref="T2754:T2817" si="654">IF($A2754="","",MATCH($R2754,$R$2:$R$3000,0))</f>
        <v/>
      </c>
      <c r="U2754" t="str">
        <f>IF($A2754="","",IF($A2754=经营数据!$B$3,COUNTIFS($S$2:$S$3000,1,$A$2:$A$3000,$A2754,$T$2:$T$3000,"&lt;"&amp;$T2754)+1,""))</f>
        <v/>
      </c>
      <c r="V2754" t="str">
        <f t="shared" ref="V2754:V2817" si="655">IF($A2754="","",$I2754&amp;"|"&amp;$H2754)</f>
        <v/>
      </c>
      <c r="W2754" t="str">
        <f t="shared" ref="W2754:W2817" si="656">IF($A2754="","",MATCH($V2754,$V$2:$V$3000,0))</f>
        <v/>
      </c>
      <c r="X2754" t="str">
        <f t="shared" ref="X2754:X2817" si="657">IF($A2754="","",$I2754&amp;"|"&amp;$D2754)</f>
        <v/>
      </c>
      <c r="Y2754" t="str">
        <f t="shared" ref="Y2754:Y2817" si="658">IF($A2754="","",MATCH($X2754,$X$2:$X$3000,0))</f>
        <v/>
      </c>
      <c r="Z2754">
        <f>IF($A2754="",0,IF(AND($M2754=1,$A2754=经营数据!$B$3,$J2754=经营数据!$BA$5,OR($I2754=经营数据!$BA$4,COUNTIF(经营数据!$AA$9:$AA$38,$I2754)&gt;0)),1,0))</f>
        <v>0</v>
      </c>
      <c r="AA2754" t="str">
        <f t="shared" ref="AA2754:AA2817" si="659">IF($Z2754=1,$U2754*1000000000000+$W2754*100000000+$Y2754*10000+ROW(),"")</f>
        <v/>
      </c>
      <c r="AB2754" t="str">
        <f t="shared" ref="AB2754:AB2817" si="660">IF($Z2754=1,COUNTIFS($Z$2:$Z$3000,1,$AA$2:$AA$3000,"&lt;"&amp;$AA2754)+1,"")</f>
        <v/>
      </c>
      <c r="AC2754">
        <f>IF($A2754="",0,IF(COUNTIF($A$2:$A2754,$A2754)=1,1,0))</f>
        <v>0</v>
      </c>
      <c r="AD2754">
        <f t="shared" ref="AD2754:AD2817" si="661">IF($A2754="",N(AD2753),IF($AC2754=1,N(AD2753)+1,N(AD2753)))</f>
        <v>29</v>
      </c>
      <c r="AE2754" t="str">
        <f t="shared" ref="AE2754:AE2817" si="662">IF($A2754="","",$I2754&amp;"|"&amp;$K2754)</f>
        <v/>
      </c>
    </row>
    <row r="2755" spans="1:31" x14ac:dyDescent="0.4">
      <c r="A2755" t="str">
        <f>IF(原始经营数据!$D2756="","",原始经营数据!$D2756)</f>
        <v/>
      </c>
      <c r="B2755" t="str">
        <f>IF(原始经营数据!$D2756="","",T(原始经营数据!$E2756))</f>
        <v/>
      </c>
      <c r="C2755" t="str">
        <f>IF(原始经营数据!$D2756="","",原始经营数据!$F2756)</f>
        <v/>
      </c>
      <c r="D2755" t="str">
        <f>IF(原始经营数据!$D2756="","",原始经营数据!$H2756)</f>
        <v/>
      </c>
      <c r="E2755" t="str">
        <f>IF(原始经营数据!$D2756="","",原始经营数据!$I2756)</f>
        <v/>
      </c>
      <c r="F2755" t="str">
        <f>IF(原始经营数据!$D2756="","",T(原始经营数据!$J2756))</f>
        <v/>
      </c>
      <c r="G2755" t="str">
        <f>IF(原始经营数据!$D2756="","",T(原始经营数据!$K2756))</f>
        <v/>
      </c>
      <c r="H2755" t="str">
        <f>IF(原始经营数据!$D2756="","",原始经营数据!$G2756)</f>
        <v/>
      </c>
      <c r="I2755" t="str">
        <f>IF($A2755="","",IF($B2755&lt;&gt;"",$B2755,IF(COUNTIFS(原始经营数据!$D$3:$D$3001,$A2755,原始经营数据!$E$3:$E$3001,"",原始经营数据!$F$3:$F$3001,$C2755,原始经营数据!$H$3:$H$3001,$D2755,原始经营数据!$K$3:$K$3001,$G2755)&gt;1,"基金整体·来源"&amp;原始经营数据!$A2756,"基金整体")))</f>
        <v/>
      </c>
      <c r="J2755" t="str">
        <f t="shared" si="648"/>
        <v/>
      </c>
      <c r="K2755" t="str">
        <f t="shared" si="649"/>
        <v/>
      </c>
      <c r="L2755" t="str">
        <f t="shared" si="650"/>
        <v/>
      </c>
      <c r="M2755">
        <f>IF($A2755="",0,IF(COUNTIF($L$2:$L2755,$L2755)=1,1,0))</f>
        <v>0</v>
      </c>
      <c r="N2755" t="str">
        <f t="shared" si="651"/>
        <v/>
      </c>
      <c r="O2755" t="str">
        <f t="shared" si="652"/>
        <v/>
      </c>
      <c r="P2755">
        <f>IF($A2755="",0,IF(COUNTIF($O$2:$O2755,$O2755)=1,1,0))</f>
        <v>0</v>
      </c>
      <c r="Q2755" t="str">
        <f>IF(AND($P2755=1,$A2755=经营数据!$B$3,$J2755=经营数据!$BA$5),COUNTIFS($P$2:$P$3000,1,$A$2:$A$3000,$A2755,$J$2:$J$3000,$J2755,$N$2:$N$3000,"&lt;"&amp;$N2755)+1,"")</f>
        <v/>
      </c>
      <c r="R2755" t="str">
        <f t="shared" si="653"/>
        <v/>
      </c>
      <c r="S2755">
        <f>IF($A2755="",0,IF(COUNTIF($R$2:$R2755,$R2755)=1,1,0))</f>
        <v>0</v>
      </c>
      <c r="T2755" t="str">
        <f t="shared" si="654"/>
        <v/>
      </c>
      <c r="U2755" t="str">
        <f>IF($A2755="","",IF($A2755=经营数据!$B$3,COUNTIFS($S$2:$S$3000,1,$A$2:$A$3000,$A2755,$T$2:$T$3000,"&lt;"&amp;$T2755)+1,""))</f>
        <v/>
      </c>
      <c r="V2755" t="str">
        <f t="shared" si="655"/>
        <v/>
      </c>
      <c r="W2755" t="str">
        <f t="shared" si="656"/>
        <v/>
      </c>
      <c r="X2755" t="str">
        <f t="shared" si="657"/>
        <v/>
      </c>
      <c r="Y2755" t="str">
        <f t="shared" si="658"/>
        <v/>
      </c>
      <c r="Z2755">
        <f>IF($A2755="",0,IF(AND($M2755=1,$A2755=经营数据!$B$3,$J2755=经营数据!$BA$5,OR($I2755=经营数据!$BA$4,COUNTIF(经营数据!$AA$9:$AA$38,$I2755)&gt;0)),1,0))</f>
        <v>0</v>
      </c>
      <c r="AA2755" t="str">
        <f t="shared" si="659"/>
        <v/>
      </c>
      <c r="AB2755" t="str">
        <f t="shared" si="660"/>
        <v/>
      </c>
      <c r="AC2755">
        <f>IF($A2755="",0,IF(COUNTIF($A$2:$A2755,$A2755)=1,1,0))</f>
        <v>0</v>
      </c>
      <c r="AD2755">
        <f t="shared" si="661"/>
        <v>29</v>
      </c>
      <c r="AE2755" t="str">
        <f t="shared" si="662"/>
        <v/>
      </c>
    </row>
    <row r="2756" spans="1:31" x14ac:dyDescent="0.4">
      <c r="A2756" t="str">
        <f>IF(原始经营数据!$D2757="","",原始经营数据!$D2757)</f>
        <v/>
      </c>
      <c r="B2756" t="str">
        <f>IF(原始经营数据!$D2757="","",T(原始经营数据!$E2757))</f>
        <v/>
      </c>
      <c r="C2756" t="str">
        <f>IF(原始经营数据!$D2757="","",原始经营数据!$F2757)</f>
        <v/>
      </c>
      <c r="D2756" t="str">
        <f>IF(原始经营数据!$D2757="","",原始经营数据!$H2757)</f>
        <v/>
      </c>
      <c r="E2756" t="str">
        <f>IF(原始经营数据!$D2757="","",原始经营数据!$I2757)</f>
        <v/>
      </c>
      <c r="F2756" t="str">
        <f>IF(原始经营数据!$D2757="","",T(原始经营数据!$J2757))</f>
        <v/>
      </c>
      <c r="G2756" t="str">
        <f>IF(原始经营数据!$D2757="","",T(原始经营数据!$K2757))</f>
        <v/>
      </c>
      <c r="H2756" t="str">
        <f>IF(原始经营数据!$D2757="","",原始经营数据!$G2757)</f>
        <v/>
      </c>
      <c r="I2756" t="str">
        <f>IF($A2756="","",IF($B2756&lt;&gt;"",$B2756,IF(COUNTIFS(原始经营数据!$D$3:$D$3001,$A2756,原始经营数据!$E$3:$E$3001,"",原始经营数据!$F$3:$F$3001,$C2756,原始经营数据!$H$3:$H$3001,$D2756,原始经营数据!$K$3:$K$3001,$G2756)&gt;1,"基金整体·来源"&amp;原始经营数据!$A2757,"基金整体")))</f>
        <v/>
      </c>
      <c r="J2756" t="str">
        <f t="shared" si="648"/>
        <v/>
      </c>
      <c r="K2756" t="str">
        <f t="shared" si="649"/>
        <v/>
      </c>
      <c r="L2756" t="str">
        <f t="shared" si="650"/>
        <v/>
      </c>
      <c r="M2756">
        <f>IF($A2756="",0,IF(COUNTIF($L$2:$L2756,$L2756)=1,1,0))</f>
        <v>0</v>
      </c>
      <c r="N2756" t="str">
        <f t="shared" si="651"/>
        <v/>
      </c>
      <c r="O2756" t="str">
        <f t="shared" si="652"/>
        <v/>
      </c>
      <c r="P2756">
        <f>IF($A2756="",0,IF(COUNTIF($O$2:$O2756,$O2756)=1,1,0))</f>
        <v>0</v>
      </c>
      <c r="Q2756" t="str">
        <f>IF(AND($P2756=1,$A2756=经营数据!$B$3,$J2756=经营数据!$BA$5),COUNTIFS($P$2:$P$3000,1,$A$2:$A$3000,$A2756,$J$2:$J$3000,$J2756,$N$2:$N$3000,"&lt;"&amp;$N2756)+1,"")</f>
        <v/>
      </c>
      <c r="R2756" t="str">
        <f t="shared" si="653"/>
        <v/>
      </c>
      <c r="S2756">
        <f>IF($A2756="",0,IF(COUNTIF($R$2:$R2756,$R2756)=1,1,0))</f>
        <v>0</v>
      </c>
      <c r="T2756" t="str">
        <f t="shared" si="654"/>
        <v/>
      </c>
      <c r="U2756" t="str">
        <f>IF($A2756="","",IF($A2756=经营数据!$B$3,COUNTIFS($S$2:$S$3000,1,$A$2:$A$3000,$A2756,$T$2:$T$3000,"&lt;"&amp;$T2756)+1,""))</f>
        <v/>
      </c>
      <c r="V2756" t="str">
        <f t="shared" si="655"/>
        <v/>
      </c>
      <c r="W2756" t="str">
        <f t="shared" si="656"/>
        <v/>
      </c>
      <c r="X2756" t="str">
        <f t="shared" si="657"/>
        <v/>
      </c>
      <c r="Y2756" t="str">
        <f t="shared" si="658"/>
        <v/>
      </c>
      <c r="Z2756">
        <f>IF($A2756="",0,IF(AND($M2756=1,$A2756=经营数据!$B$3,$J2756=经营数据!$BA$5,OR($I2756=经营数据!$BA$4,COUNTIF(经营数据!$AA$9:$AA$38,$I2756)&gt;0)),1,0))</f>
        <v>0</v>
      </c>
      <c r="AA2756" t="str">
        <f t="shared" si="659"/>
        <v/>
      </c>
      <c r="AB2756" t="str">
        <f t="shared" si="660"/>
        <v/>
      </c>
      <c r="AC2756">
        <f>IF($A2756="",0,IF(COUNTIF($A$2:$A2756,$A2756)=1,1,0))</f>
        <v>0</v>
      </c>
      <c r="AD2756">
        <f t="shared" si="661"/>
        <v>29</v>
      </c>
      <c r="AE2756" t="str">
        <f t="shared" si="662"/>
        <v/>
      </c>
    </row>
    <row r="2757" spans="1:31" x14ac:dyDescent="0.4">
      <c r="A2757" t="str">
        <f>IF(原始经营数据!$D2758="","",原始经营数据!$D2758)</f>
        <v/>
      </c>
      <c r="B2757" t="str">
        <f>IF(原始经营数据!$D2758="","",T(原始经营数据!$E2758))</f>
        <v/>
      </c>
      <c r="C2757" t="str">
        <f>IF(原始经营数据!$D2758="","",原始经营数据!$F2758)</f>
        <v/>
      </c>
      <c r="D2757" t="str">
        <f>IF(原始经营数据!$D2758="","",原始经营数据!$H2758)</f>
        <v/>
      </c>
      <c r="E2757" t="str">
        <f>IF(原始经营数据!$D2758="","",原始经营数据!$I2758)</f>
        <v/>
      </c>
      <c r="F2757" t="str">
        <f>IF(原始经营数据!$D2758="","",T(原始经营数据!$J2758))</f>
        <v/>
      </c>
      <c r="G2757" t="str">
        <f>IF(原始经营数据!$D2758="","",T(原始经营数据!$K2758))</f>
        <v/>
      </c>
      <c r="H2757" t="str">
        <f>IF(原始经营数据!$D2758="","",原始经营数据!$G2758)</f>
        <v/>
      </c>
      <c r="I2757" t="str">
        <f>IF($A2757="","",IF($B2757&lt;&gt;"",$B2757,IF(COUNTIFS(原始经营数据!$D$3:$D$3001,$A2757,原始经营数据!$E$3:$E$3001,"",原始经营数据!$F$3:$F$3001,$C2757,原始经营数据!$H$3:$H$3001,$D2757,原始经营数据!$K$3:$K$3001,$G2757)&gt;1,"基金整体·来源"&amp;原始经营数据!$A2758,"基金整体")))</f>
        <v/>
      </c>
      <c r="J2757" t="str">
        <f t="shared" si="648"/>
        <v/>
      </c>
      <c r="K2757" t="str">
        <f t="shared" si="649"/>
        <v/>
      </c>
      <c r="L2757" t="str">
        <f t="shared" si="650"/>
        <v/>
      </c>
      <c r="M2757">
        <f>IF($A2757="",0,IF(COUNTIF($L$2:$L2757,$L2757)=1,1,0))</f>
        <v>0</v>
      </c>
      <c r="N2757" t="str">
        <f t="shared" si="651"/>
        <v/>
      </c>
      <c r="O2757" t="str">
        <f t="shared" si="652"/>
        <v/>
      </c>
      <c r="P2757">
        <f>IF($A2757="",0,IF(COUNTIF($O$2:$O2757,$O2757)=1,1,0))</f>
        <v>0</v>
      </c>
      <c r="Q2757" t="str">
        <f>IF(AND($P2757=1,$A2757=经营数据!$B$3,$J2757=经营数据!$BA$5),COUNTIFS($P$2:$P$3000,1,$A$2:$A$3000,$A2757,$J$2:$J$3000,$J2757,$N$2:$N$3000,"&lt;"&amp;$N2757)+1,"")</f>
        <v/>
      </c>
      <c r="R2757" t="str">
        <f t="shared" si="653"/>
        <v/>
      </c>
      <c r="S2757">
        <f>IF($A2757="",0,IF(COUNTIF($R$2:$R2757,$R2757)=1,1,0))</f>
        <v>0</v>
      </c>
      <c r="T2757" t="str">
        <f t="shared" si="654"/>
        <v/>
      </c>
      <c r="U2757" t="str">
        <f>IF($A2757="","",IF($A2757=经营数据!$B$3,COUNTIFS($S$2:$S$3000,1,$A$2:$A$3000,$A2757,$T$2:$T$3000,"&lt;"&amp;$T2757)+1,""))</f>
        <v/>
      </c>
      <c r="V2757" t="str">
        <f t="shared" si="655"/>
        <v/>
      </c>
      <c r="W2757" t="str">
        <f t="shared" si="656"/>
        <v/>
      </c>
      <c r="X2757" t="str">
        <f t="shared" si="657"/>
        <v/>
      </c>
      <c r="Y2757" t="str">
        <f t="shared" si="658"/>
        <v/>
      </c>
      <c r="Z2757">
        <f>IF($A2757="",0,IF(AND($M2757=1,$A2757=经营数据!$B$3,$J2757=经营数据!$BA$5,OR($I2757=经营数据!$BA$4,COUNTIF(经营数据!$AA$9:$AA$38,$I2757)&gt;0)),1,0))</f>
        <v>0</v>
      </c>
      <c r="AA2757" t="str">
        <f t="shared" si="659"/>
        <v/>
      </c>
      <c r="AB2757" t="str">
        <f t="shared" si="660"/>
        <v/>
      </c>
      <c r="AC2757">
        <f>IF($A2757="",0,IF(COUNTIF($A$2:$A2757,$A2757)=1,1,0))</f>
        <v>0</v>
      </c>
      <c r="AD2757">
        <f t="shared" si="661"/>
        <v>29</v>
      </c>
      <c r="AE2757" t="str">
        <f t="shared" si="662"/>
        <v/>
      </c>
    </row>
    <row r="2758" spans="1:31" x14ac:dyDescent="0.4">
      <c r="A2758" t="str">
        <f>IF(原始经营数据!$D2759="","",原始经营数据!$D2759)</f>
        <v/>
      </c>
      <c r="B2758" t="str">
        <f>IF(原始经营数据!$D2759="","",T(原始经营数据!$E2759))</f>
        <v/>
      </c>
      <c r="C2758" t="str">
        <f>IF(原始经营数据!$D2759="","",原始经营数据!$F2759)</f>
        <v/>
      </c>
      <c r="D2758" t="str">
        <f>IF(原始经营数据!$D2759="","",原始经营数据!$H2759)</f>
        <v/>
      </c>
      <c r="E2758" t="str">
        <f>IF(原始经营数据!$D2759="","",原始经营数据!$I2759)</f>
        <v/>
      </c>
      <c r="F2758" t="str">
        <f>IF(原始经营数据!$D2759="","",T(原始经营数据!$J2759))</f>
        <v/>
      </c>
      <c r="G2758" t="str">
        <f>IF(原始经营数据!$D2759="","",T(原始经营数据!$K2759))</f>
        <v/>
      </c>
      <c r="H2758" t="str">
        <f>IF(原始经营数据!$D2759="","",原始经营数据!$G2759)</f>
        <v/>
      </c>
      <c r="I2758" t="str">
        <f>IF($A2758="","",IF($B2758&lt;&gt;"",$B2758,IF(COUNTIFS(原始经营数据!$D$3:$D$3001,$A2758,原始经营数据!$E$3:$E$3001,"",原始经营数据!$F$3:$F$3001,$C2758,原始经营数据!$H$3:$H$3001,$D2758,原始经营数据!$K$3:$K$3001,$G2758)&gt;1,"基金整体·来源"&amp;原始经营数据!$A2759,"基金整体")))</f>
        <v/>
      </c>
      <c r="J2758" t="str">
        <f t="shared" si="648"/>
        <v/>
      </c>
      <c r="K2758" t="str">
        <f t="shared" si="649"/>
        <v/>
      </c>
      <c r="L2758" t="str">
        <f t="shared" si="650"/>
        <v/>
      </c>
      <c r="M2758">
        <f>IF($A2758="",0,IF(COUNTIF($L$2:$L2758,$L2758)=1,1,0))</f>
        <v>0</v>
      </c>
      <c r="N2758" t="str">
        <f t="shared" si="651"/>
        <v/>
      </c>
      <c r="O2758" t="str">
        <f t="shared" si="652"/>
        <v/>
      </c>
      <c r="P2758">
        <f>IF($A2758="",0,IF(COUNTIF($O$2:$O2758,$O2758)=1,1,0))</f>
        <v>0</v>
      </c>
      <c r="Q2758" t="str">
        <f>IF(AND($P2758=1,$A2758=经营数据!$B$3,$J2758=经营数据!$BA$5),COUNTIFS($P$2:$P$3000,1,$A$2:$A$3000,$A2758,$J$2:$J$3000,$J2758,$N$2:$N$3000,"&lt;"&amp;$N2758)+1,"")</f>
        <v/>
      </c>
      <c r="R2758" t="str">
        <f t="shared" si="653"/>
        <v/>
      </c>
      <c r="S2758">
        <f>IF($A2758="",0,IF(COUNTIF($R$2:$R2758,$R2758)=1,1,0))</f>
        <v>0</v>
      </c>
      <c r="T2758" t="str">
        <f t="shared" si="654"/>
        <v/>
      </c>
      <c r="U2758" t="str">
        <f>IF($A2758="","",IF($A2758=经营数据!$B$3,COUNTIFS($S$2:$S$3000,1,$A$2:$A$3000,$A2758,$T$2:$T$3000,"&lt;"&amp;$T2758)+1,""))</f>
        <v/>
      </c>
      <c r="V2758" t="str">
        <f t="shared" si="655"/>
        <v/>
      </c>
      <c r="W2758" t="str">
        <f t="shared" si="656"/>
        <v/>
      </c>
      <c r="X2758" t="str">
        <f t="shared" si="657"/>
        <v/>
      </c>
      <c r="Y2758" t="str">
        <f t="shared" si="658"/>
        <v/>
      </c>
      <c r="Z2758">
        <f>IF($A2758="",0,IF(AND($M2758=1,$A2758=经营数据!$B$3,$J2758=经营数据!$BA$5,OR($I2758=经营数据!$BA$4,COUNTIF(经营数据!$AA$9:$AA$38,$I2758)&gt;0)),1,0))</f>
        <v>0</v>
      </c>
      <c r="AA2758" t="str">
        <f t="shared" si="659"/>
        <v/>
      </c>
      <c r="AB2758" t="str">
        <f t="shared" si="660"/>
        <v/>
      </c>
      <c r="AC2758">
        <f>IF($A2758="",0,IF(COUNTIF($A$2:$A2758,$A2758)=1,1,0))</f>
        <v>0</v>
      </c>
      <c r="AD2758">
        <f t="shared" si="661"/>
        <v>29</v>
      </c>
      <c r="AE2758" t="str">
        <f t="shared" si="662"/>
        <v/>
      </c>
    </row>
    <row r="2759" spans="1:31" x14ac:dyDescent="0.4">
      <c r="A2759" t="str">
        <f>IF(原始经营数据!$D2760="","",原始经营数据!$D2760)</f>
        <v/>
      </c>
      <c r="B2759" t="str">
        <f>IF(原始经营数据!$D2760="","",T(原始经营数据!$E2760))</f>
        <v/>
      </c>
      <c r="C2759" t="str">
        <f>IF(原始经营数据!$D2760="","",原始经营数据!$F2760)</f>
        <v/>
      </c>
      <c r="D2759" t="str">
        <f>IF(原始经营数据!$D2760="","",原始经营数据!$H2760)</f>
        <v/>
      </c>
      <c r="E2759" t="str">
        <f>IF(原始经营数据!$D2760="","",原始经营数据!$I2760)</f>
        <v/>
      </c>
      <c r="F2759" t="str">
        <f>IF(原始经营数据!$D2760="","",T(原始经营数据!$J2760))</f>
        <v/>
      </c>
      <c r="G2759" t="str">
        <f>IF(原始经营数据!$D2760="","",T(原始经营数据!$K2760))</f>
        <v/>
      </c>
      <c r="H2759" t="str">
        <f>IF(原始经营数据!$D2760="","",原始经营数据!$G2760)</f>
        <v/>
      </c>
      <c r="I2759" t="str">
        <f>IF($A2759="","",IF($B2759&lt;&gt;"",$B2759,IF(COUNTIFS(原始经营数据!$D$3:$D$3001,$A2759,原始经营数据!$E$3:$E$3001,"",原始经营数据!$F$3:$F$3001,$C2759,原始经营数据!$H$3:$H$3001,$D2759,原始经营数据!$K$3:$K$3001,$G2759)&gt;1,"基金整体·来源"&amp;原始经营数据!$A2760,"基金整体")))</f>
        <v/>
      </c>
      <c r="J2759" t="str">
        <f t="shared" si="648"/>
        <v/>
      </c>
      <c r="K2759" t="str">
        <f t="shared" si="649"/>
        <v/>
      </c>
      <c r="L2759" t="str">
        <f t="shared" si="650"/>
        <v/>
      </c>
      <c r="M2759">
        <f>IF($A2759="",0,IF(COUNTIF($L$2:$L2759,$L2759)=1,1,0))</f>
        <v>0</v>
      </c>
      <c r="N2759" t="str">
        <f t="shared" si="651"/>
        <v/>
      </c>
      <c r="O2759" t="str">
        <f t="shared" si="652"/>
        <v/>
      </c>
      <c r="P2759">
        <f>IF($A2759="",0,IF(COUNTIF($O$2:$O2759,$O2759)=1,1,0))</f>
        <v>0</v>
      </c>
      <c r="Q2759" t="str">
        <f>IF(AND($P2759=1,$A2759=经营数据!$B$3,$J2759=经营数据!$BA$5),COUNTIFS($P$2:$P$3000,1,$A$2:$A$3000,$A2759,$J$2:$J$3000,$J2759,$N$2:$N$3000,"&lt;"&amp;$N2759)+1,"")</f>
        <v/>
      </c>
      <c r="R2759" t="str">
        <f t="shared" si="653"/>
        <v/>
      </c>
      <c r="S2759">
        <f>IF($A2759="",0,IF(COUNTIF($R$2:$R2759,$R2759)=1,1,0))</f>
        <v>0</v>
      </c>
      <c r="T2759" t="str">
        <f t="shared" si="654"/>
        <v/>
      </c>
      <c r="U2759" t="str">
        <f>IF($A2759="","",IF($A2759=经营数据!$B$3,COUNTIFS($S$2:$S$3000,1,$A$2:$A$3000,$A2759,$T$2:$T$3000,"&lt;"&amp;$T2759)+1,""))</f>
        <v/>
      </c>
      <c r="V2759" t="str">
        <f t="shared" si="655"/>
        <v/>
      </c>
      <c r="W2759" t="str">
        <f t="shared" si="656"/>
        <v/>
      </c>
      <c r="X2759" t="str">
        <f t="shared" si="657"/>
        <v/>
      </c>
      <c r="Y2759" t="str">
        <f t="shared" si="658"/>
        <v/>
      </c>
      <c r="Z2759">
        <f>IF($A2759="",0,IF(AND($M2759=1,$A2759=经营数据!$B$3,$J2759=经营数据!$BA$5,OR($I2759=经营数据!$BA$4,COUNTIF(经营数据!$AA$9:$AA$38,$I2759)&gt;0)),1,0))</f>
        <v>0</v>
      </c>
      <c r="AA2759" t="str">
        <f t="shared" si="659"/>
        <v/>
      </c>
      <c r="AB2759" t="str">
        <f t="shared" si="660"/>
        <v/>
      </c>
      <c r="AC2759">
        <f>IF($A2759="",0,IF(COUNTIF($A$2:$A2759,$A2759)=1,1,0))</f>
        <v>0</v>
      </c>
      <c r="AD2759">
        <f t="shared" si="661"/>
        <v>29</v>
      </c>
      <c r="AE2759" t="str">
        <f t="shared" si="662"/>
        <v/>
      </c>
    </row>
    <row r="2760" spans="1:31" x14ac:dyDescent="0.4">
      <c r="A2760" t="str">
        <f>IF(原始经营数据!$D2761="","",原始经营数据!$D2761)</f>
        <v/>
      </c>
      <c r="B2760" t="str">
        <f>IF(原始经营数据!$D2761="","",T(原始经营数据!$E2761))</f>
        <v/>
      </c>
      <c r="C2760" t="str">
        <f>IF(原始经营数据!$D2761="","",原始经营数据!$F2761)</f>
        <v/>
      </c>
      <c r="D2760" t="str">
        <f>IF(原始经营数据!$D2761="","",原始经营数据!$H2761)</f>
        <v/>
      </c>
      <c r="E2760" t="str">
        <f>IF(原始经营数据!$D2761="","",原始经营数据!$I2761)</f>
        <v/>
      </c>
      <c r="F2760" t="str">
        <f>IF(原始经营数据!$D2761="","",T(原始经营数据!$J2761))</f>
        <v/>
      </c>
      <c r="G2760" t="str">
        <f>IF(原始经营数据!$D2761="","",T(原始经营数据!$K2761))</f>
        <v/>
      </c>
      <c r="H2760" t="str">
        <f>IF(原始经营数据!$D2761="","",原始经营数据!$G2761)</f>
        <v/>
      </c>
      <c r="I2760" t="str">
        <f>IF($A2760="","",IF($B2760&lt;&gt;"",$B2760,IF(COUNTIFS(原始经营数据!$D$3:$D$3001,$A2760,原始经营数据!$E$3:$E$3001,"",原始经营数据!$F$3:$F$3001,$C2760,原始经营数据!$H$3:$H$3001,$D2760,原始经营数据!$K$3:$K$3001,$G2760)&gt;1,"基金整体·来源"&amp;原始经营数据!$A2761,"基金整体")))</f>
        <v/>
      </c>
      <c r="J2760" t="str">
        <f t="shared" si="648"/>
        <v/>
      </c>
      <c r="K2760" t="str">
        <f t="shared" si="649"/>
        <v/>
      </c>
      <c r="L2760" t="str">
        <f t="shared" si="650"/>
        <v/>
      </c>
      <c r="M2760">
        <f>IF($A2760="",0,IF(COUNTIF($L$2:$L2760,$L2760)=1,1,0))</f>
        <v>0</v>
      </c>
      <c r="N2760" t="str">
        <f t="shared" si="651"/>
        <v/>
      </c>
      <c r="O2760" t="str">
        <f t="shared" si="652"/>
        <v/>
      </c>
      <c r="P2760">
        <f>IF($A2760="",0,IF(COUNTIF($O$2:$O2760,$O2760)=1,1,0))</f>
        <v>0</v>
      </c>
      <c r="Q2760" t="str">
        <f>IF(AND($P2760=1,$A2760=经营数据!$B$3,$J2760=经营数据!$BA$5),COUNTIFS($P$2:$P$3000,1,$A$2:$A$3000,$A2760,$J$2:$J$3000,$J2760,$N$2:$N$3000,"&lt;"&amp;$N2760)+1,"")</f>
        <v/>
      </c>
      <c r="R2760" t="str">
        <f t="shared" si="653"/>
        <v/>
      </c>
      <c r="S2760">
        <f>IF($A2760="",0,IF(COUNTIF($R$2:$R2760,$R2760)=1,1,0))</f>
        <v>0</v>
      </c>
      <c r="T2760" t="str">
        <f t="shared" si="654"/>
        <v/>
      </c>
      <c r="U2760" t="str">
        <f>IF($A2760="","",IF($A2760=经营数据!$B$3,COUNTIFS($S$2:$S$3000,1,$A$2:$A$3000,$A2760,$T$2:$T$3000,"&lt;"&amp;$T2760)+1,""))</f>
        <v/>
      </c>
      <c r="V2760" t="str">
        <f t="shared" si="655"/>
        <v/>
      </c>
      <c r="W2760" t="str">
        <f t="shared" si="656"/>
        <v/>
      </c>
      <c r="X2760" t="str">
        <f t="shared" si="657"/>
        <v/>
      </c>
      <c r="Y2760" t="str">
        <f t="shared" si="658"/>
        <v/>
      </c>
      <c r="Z2760">
        <f>IF($A2760="",0,IF(AND($M2760=1,$A2760=经营数据!$B$3,$J2760=经营数据!$BA$5,OR($I2760=经营数据!$BA$4,COUNTIF(经营数据!$AA$9:$AA$38,$I2760)&gt;0)),1,0))</f>
        <v>0</v>
      </c>
      <c r="AA2760" t="str">
        <f t="shared" si="659"/>
        <v/>
      </c>
      <c r="AB2760" t="str">
        <f t="shared" si="660"/>
        <v/>
      </c>
      <c r="AC2760">
        <f>IF($A2760="",0,IF(COUNTIF($A$2:$A2760,$A2760)=1,1,0))</f>
        <v>0</v>
      </c>
      <c r="AD2760">
        <f t="shared" si="661"/>
        <v>29</v>
      </c>
      <c r="AE2760" t="str">
        <f t="shared" si="662"/>
        <v/>
      </c>
    </row>
    <row r="2761" spans="1:31" x14ac:dyDescent="0.4">
      <c r="A2761" t="str">
        <f>IF(原始经营数据!$D2762="","",原始经营数据!$D2762)</f>
        <v/>
      </c>
      <c r="B2761" t="str">
        <f>IF(原始经营数据!$D2762="","",T(原始经营数据!$E2762))</f>
        <v/>
      </c>
      <c r="C2761" t="str">
        <f>IF(原始经营数据!$D2762="","",原始经营数据!$F2762)</f>
        <v/>
      </c>
      <c r="D2761" t="str">
        <f>IF(原始经营数据!$D2762="","",原始经营数据!$H2762)</f>
        <v/>
      </c>
      <c r="E2761" t="str">
        <f>IF(原始经营数据!$D2762="","",原始经营数据!$I2762)</f>
        <v/>
      </c>
      <c r="F2761" t="str">
        <f>IF(原始经营数据!$D2762="","",T(原始经营数据!$J2762))</f>
        <v/>
      </c>
      <c r="G2761" t="str">
        <f>IF(原始经营数据!$D2762="","",T(原始经营数据!$K2762))</f>
        <v/>
      </c>
      <c r="H2761" t="str">
        <f>IF(原始经营数据!$D2762="","",原始经营数据!$G2762)</f>
        <v/>
      </c>
      <c r="I2761" t="str">
        <f>IF($A2761="","",IF($B2761&lt;&gt;"",$B2761,IF(COUNTIFS(原始经营数据!$D$3:$D$3001,$A2761,原始经营数据!$E$3:$E$3001,"",原始经营数据!$F$3:$F$3001,$C2761,原始经营数据!$H$3:$H$3001,$D2761,原始经营数据!$K$3:$K$3001,$G2761)&gt;1,"基金整体·来源"&amp;原始经营数据!$A2762,"基金整体")))</f>
        <v/>
      </c>
      <c r="J2761" t="str">
        <f t="shared" si="648"/>
        <v/>
      </c>
      <c r="K2761" t="str">
        <f t="shared" si="649"/>
        <v/>
      </c>
      <c r="L2761" t="str">
        <f t="shared" si="650"/>
        <v/>
      </c>
      <c r="M2761">
        <f>IF($A2761="",0,IF(COUNTIF($L$2:$L2761,$L2761)=1,1,0))</f>
        <v>0</v>
      </c>
      <c r="N2761" t="str">
        <f t="shared" si="651"/>
        <v/>
      </c>
      <c r="O2761" t="str">
        <f t="shared" si="652"/>
        <v/>
      </c>
      <c r="P2761">
        <f>IF($A2761="",0,IF(COUNTIF($O$2:$O2761,$O2761)=1,1,0))</f>
        <v>0</v>
      </c>
      <c r="Q2761" t="str">
        <f>IF(AND($P2761=1,$A2761=经营数据!$B$3,$J2761=经营数据!$BA$5),COUNTIFS($P$2:$P$3000,1,$A$2:$A$3000,$A2761,$J$2:$J$3000,$J2761,$N$2:$N$3000,"&lt;"&amp;$N2761)+1,"")</f>
        <v/>
      </c>
      <c r="R2761" t="str">
        <f t="shared" si="653"/>
        <v/>
      </c>
      <c r="S2761">
        <f>IF($A2761="",0,IF(COUNTIF($R$2:$R2761,$R2761)=1,1,0))</f>
        <v>0</v>
      </c>
      <c r="T2761" t="str">
        <f t="shared" si="654"/>
        <v/>
      </c>
      <c r="U2761" t="str">
        <f>IF($A2761="","",IF($A2761=经营数据!$B$3,COUNTIFS($S$2:$S$3000,1,$A$2:$A$3000,$A2761,$T$2:$T$3000,"&lt;"&amp;$T2761)+1,""))</f>
        <v/>
      </c>
      <c r="V2761" t="str">
        <f t="shared" si="655"/>
        <v/>
      </c>
      <c r="W2761" t="str">
        <f t="shared" si="656"/>
        <v/>
      </c>
      <c r="X2761" t="str">
        <f t="shared" si="657"/>
        <v/>
      </c>
      <c r="Y2761" t="str">
        <f t="shared" si="658"/>
        <v/>
      </c>
      <c r="Z2761">
        <f>IF($A2761="",0,IF(AND($M2761=1,$A2761=经营数据!$B$3,$J2761=经营数据!$BA$5,OR($I2761=经营数据!$BA$4,COUNTIF(经营数据!$AA$9:$AA$38,$I2761)&gt;0)),1,0))</f>
        <v>0</v>
      </c>
      <c r="AA2761" t="str">
        <f t="shared" si="659"/>
        <v/>
      </c>
      <c r="AB2761" t="str">
        <f t="shared" si="660"/>
        <v/>
      </c>
      <c r="AC2761">
        <f>IF($A2761="",0,IF(COUNTIF($A$2:$A2761,$A2761)=1,1,0))</f>
        <v>0</v>
      </c>
      <c r="AD2761">
        <f t="shared" si="661"/>
        <v>29</v>
      </c>
      <c r="AE2761" t="str">
        <f t="shared" si="662"/>
        <v/>
      </c>
    </row>
    <row r="2762" spans="1:31" x14ac:dyDescent="0.4">
      <c r="A2762" t="str">
        <f>IF(原始经营数据!$D2763="","",原始经营数据!$D2763)</f>
        <v/>
      </c>
      <c r="B2762" t="str">
        <f>IF(原始经营数据!$D2763="","",T(原始经营数据!$E2763))</f>
        <v/>
      </c>
      <c r="C2762" t="str">
        <f>IF(原始经营数据!$D2763="","",原始经营数据!$F2763)</f>
        <v/>
      </c>
      <c r="D2762" t="str">
        <f>IF(原始经营数据!$D2763="","",原始经营数据!$H2763)</f>
        <v/>
      </c>
      <c r="E2762" t="str">
        <f>IF(原始经营数据!$D2763="","",原始经营数据!$I2763)</f>
        <v/>
      </c>
      <c r="F2762" t="str">
        <f>IF(原始经营数据!$D2763="","",T(原始经营数据!$J2763))</f>
        <v/>
      </c>
      <c r="G2762" t="str">
        <f>IF(原始经营数据!$D2763="","",T(原始经营数据!$K2763))</f>
        <v/>
      </c>
      <c r="H2762" t="str">
        <f>IF(原始经营数据!$D2763="","",原始经营数据!$G2763)</f>
        <v/>
      </c>
      <c r="I2762" t="str">
        <f>IF($A2762="","",IF($B2762&lt;&gt;"",$B2762,IF(COUNTIFS(原始经营数据!$D$3:$D$3001,$A2762,原始经营数据!$E$3:$E$3001,"",原始经营数据!$F$3:$F$3001,$C2762,原始经营数据!$H$3:$H$3001,$D2762,原始经营数据!$K$3:$K$3001,$G2762)&gt;1,"基金整体·来源"&amp;原始经营数据!$A2763,"基金整体")))</f>
        <v/>
      </c>
      <c r="J2762" t="str">
        <f t="shared" si="648"/>
        <v/>
      </c>
      <c r="K2762" t="str">
        <f t="shared" si="649"/>
        <v/>
      </c>
      <c r="L2762" t="str">
        <f t="shared" si="650"/>
        <v/>
      </c>
      <c r="M2762">
        <f>IF($A2762="",0,IF(COUNTIF($L$2:$L2762,$L2762)=1,1,0))</f>
        <v>0</v>
      </c>
      <c r="N2762" t="str">
        <f t="shared" si="651"/>
        <v/>
      </c>
      <c r="O2762" t="str">
        <f t="shared" si="652"/>
        <v/>
      </c>
      <c r="P2762">
        <f>IF($A2762="",0,IF(COUNTIF($O$2:$O2762,$O2762)=1,1,0))</f>
        <v>0</v>
      </c>
      <c r="Q2762" t="str">
        <f>IF(AND($P2762=1,$A2762=经营数据!$B$3,$J2762=经营数据!$BA$5),COUNTIFS($P$2:$P$3000,1,$A$2:$A$3000,$A2762,$J$2:$J$3000,$J2762,$N$2:$N$3000,"&lt;"&amp;$N2762)+1,"")</f>
        <v/>
      </c>
      <c r="R2762" t="str">
        <f t="shared" si="653"/>
        <v/>
      </c>
      <c r="S2762">
        <f>IF($A2762="",0,IF(COUNTIF($R$2:$R2762,$R2762)=1,1,0))</f>
        <v>0</v>
      </c>
      <c r="T2762" t="str">
        <f t="shared" si="654"/>
        <v/>
      </c>
      <c r="U2762" t="str">
        <f>IF($A2762="","",IF($A2762=经营数据!$B$3,COUNTIFS($S$2:$S$3000,1,$A$2:$A$3000,$A2762,$T$2:$T$3000,"&lt;"&amp;$T2762)+1,""))</f>
        <v/>
      </c>
      <c r="V2762" t="str">
        <f t="shared" si="655"/>
        <v/>
      </c>
      <c r="W2762" t="str">
        <f t="shared" si="656"/>
        <v/>
      </c>
      <c r="X2762" t="str">
        <f t="shared" si="657"/>
        <v/>
      </c>
      <c r="Y2762" t="str">
        <f t="shared" si="658"/>
        <v/>
      </c>
      <c r="Z2762">
        <f>IF($A2762="",0,IF(AND($M2762=1,$A2762=经营数据!$B$3,$J2762=经营数据!$BA$5,OR($I2762=经营数据!$BA$4,COUNTIF(经营数据!$AA$9:$AA$38,$I2762)&gt;0)),1,0))</f>
        <v>0</v>
      </c>
      <c r="AA2762" t="str">
        <f t="shared" si="659"/>
        <v/>
      </c>
      <c r="AB2762" t="str">
        <f t="shared" si="660"/>
        <v/>
      </c>
      <c r="AC2762">
        <f>IF($A2762="",0,IF(COUNTIF($A$2:$A2762,$A2762)=1,1,0))</f>
        <v>0</v>
      </c>
      <c r="AD2762">
        <f t="shared" si="661"/>
        <v>29</v>
      </c>
      <c r="AE2762" t="str">
        <f t="shared" si="662"/>
        <v/>
      </c>
    </row>
    <row r="2763" spans="1:31" x14ac:dyDescent="0.4">
      <c r="A2763" t="str">
        <f>IF(原始经营数据!$D2764="","",原始经营数据!$D2764)</f>
        <v/>
      </c>
      <c r="B2763" t="str">
        <f>IF(原始经营数据!$D2764="","",T(原始经营数据!$E2764))</f>
        <v/>
      </c>
      <c r="C2763" t="str">
        <f>IF(原始经营数据!$D2764="","",原始经营数据!$F2764)</f>
        <v/>
      </c>
      <c r="D2763" t="str">
        <f>IF(原始经营数据!$D2764="","",原始经营数据!$H2764)</f>
        <v/>
      </c>
      <c r="E2763" t="str">
        <f>IF(原始经营数据!$D2764="","",原始经营数据!$I2764)</f>
        <v/>
      </c>
      <c r="F2763" t="str">
        <f>IF(原始经营数据!$D2764="","",T(原始经营数据!$J2764))</f>
        <v/>
      </c>
      <c r="G2763" t="str">
        <f>IF(原始经营数据!$D2764="","",T(原始经营数据!$K2764))</f>
        <v/>
      </c>
      <c r="H2763" t="str">
        <f>IF(原始经营数据!$D2764="","",原始经营数据!$G2764)</f>
        <v/>
      </c>
      <c r="I2763" t="str">
        <f>IF($A2763="","",IF($B2763&lt;&gt;"",$B2763,IF(COUNTIFS(原始经营数据!$D$3:$D$3001,$A2763,原始经营数据!$E$3:$E$3001,"",原始经营数据!$F$3:$F$3001,$C2763,原始经营数据!$H$3:$H$3001,$D2763,原始经营数据!$K$3:$K$3001,$G2763)&gt;1,"基金整体·来源"&amp;原始经营数据!$A2764,"基金整体")))</f>
        <v/>
      </c>
      <c r="J2763" t="str">
        <f t="shared" si="648"/>
        <v/>
      </c>
      <c r="K2763" t="str">
        <f t="shared" si="649"/>
        <v/>
      </c>
      <c r="L2763" t="str">
        <f t="shared" si="650"/>
        <v/>
      </c>
      <c r="M2763">
        <f>IF($A2763="",0,IF(COUNTIF($L$2:$L2763,$L2763)=1,1,0))</f>
        <v>0</v>
      </c>
      <c r="N2763" t="str">
        <f t="shared" si="651"/>
        <v/>
      </c>
      <c r="O2763" t="str">
        <f t="shared" si="652"/>
        <v/>
      </c>
      <c r="P2763">
        <f>IF($A2763="",0,IF(COUNTIF($O$2:$O2763,$O2763)=1,1,0))</f>
        <v>0</v>
      </c>
      <c r="Q2763" t="str">
        <f>IF(AND($P2763=1,$A2763=经营数据!$B$3,$J2763=经营数据!$BA$5),COUNTIFS($P$2:$P$3000,1,$A$2:$A$3000,$A2763,$J$2:$J$3000,$J2763,$N$2:$N$3000,"&lt;"&amp;$N2763)+1,"")</f>
        <v/>
      </c>
      <c r="R2763" t="str">
        <f t="shared" si="653"/>
        <v/>
      </c>
      <c r="S2763">
        <f>IF($A2763="",0,IF(COUNTIF($R$2:$R2763,$R2763)=1,1,0))</f>
        <v>0</v>
      </c>
      <c r="T2763" t="str">
        <f t="shared" si="654"/>
        <v/>
      </c>
      <c r="U2763" t="str">
        <f>IF($A2763="","",IF($A2763=经营数据!$B$3,COUNTIFS($S$2:$S$3000,1,$A$2:$A$3000,$A2763,$T$2:$T$3000,"&lt;"&amp;$T2763)+1,""))</f>
        <v/>
      </c>
      <c r="V2763" t="str">
        <f t="shared" si="655"/>
        <v/>
      </c>
      <c r="W2763" t="str">
        <f t="shared" si="656"/>
        <v/>
      </c>
      <c r="X2763" t="str">
        <f t="shared" si="657"/>
        <v/>
      </c>
      <c r="Y2763" t="str">
        <f t="shared" si="658"/>
        <v/>
      </c>
      <c r="Z2763">
        <f>IF($A2763="",0,IF(AND($M2763=1,$A2763=经营数据!$B$3,$J2763=经营数据!$BA$5,OR($I2763=经营数据!$BA$4,COUNTIF(经营数据!$AA$9:$AA$38,$I2763)&gt;0)),1,0))</f>
        <v>0</v>
      </c>
      <c r="AA2763" t="str">
        <f t="shared" si="659"/>
        <v/>
      </c>
      <c r="AB2763" t="str">
        <f t="shared" si="660"/>
        <v/>
      </c>
      <c r="AC2763">
        <f>IF($A2763="",0,IF(COUNTIF($A$2:$A2763,$A2763)=1,1,0))</f>
        <v>0</v>
      </c>
      <c r="AD2763">
        <f t="shared" si="661"/>
        <v>29</v>
      </c>
      <c r="AE2763" t="str">
        <f t="shared" si="662"/>
        <v/>
      </c>
    </row>
    <row r="2764" spans="1:31" x14ac:dyDescent="0.4">
      <c r="A2764" t="str">
        <f>IF(原始经营数据!$D2765="","",原始经营数据!$D2765)</f>
        <v/>
      </c>
      <c r="B2764" t="str">
        <f>IF(原始经营数据!$D2765="","",T(原始经营数据!$E2765))</f>
        <v/>
      </c>
      <c r="C2764" t="str">
        <f>IF(原始经营数据!$D2765="","",原始经营数据!$F2765)</f>
        <v/>
      </c>
      <c r="D2764" t="str">
        <f>IF(原始经营数据!$D2765="","",原始经营数据!$H2765)</f>
        <v/>
      </c>
      <c r="E2764" t="str">
        <f>IF(原始经营数据!$D2765="","",原始经营数据!$I2765)</f>
        <v/>
      </c>
      <c r="F2764" t="str">
        <f>IF(原始经营数据!$D2765="","",T(原始经营数据!$J2765))</f>
        <v/>
      </c>
      <c r="G2764" t="str">
        <f>IF(原始经营数据!$D2765="","",T(原始经营数据!$K2765))</f>
        <v/>
      </c>
      <c r="H2764" t="str">
        <f>IF(原始经营数据!$D2765="","",原始经营数据!$G2765)</f>
        <v/>
      </c>
      <c r="I2764" t="str">
        <f>IF($A2764="","",IF($B2764&lt;&gt;"",$B2764,IF(COUNTIFS(原始经营数据!$D$3:$D$3001,$A2764,原始经营数据!$E$3:$E$3001,"",原始经营数据!$F$3:$F$3001,$C2764,原始经营数据!$H$3:$H$3001,$D2764,原始经营数据!$K$3:$K$3001,$G2764)&gt;1,"基金整体·来源"&amp;原始经营数据!$A2765,"基金整体")))</f>
        <v/>
      </c>
      <c r="J2764" t="str">
        <f t="shared" si="648"/>
        <v/>
      </c>
      <c r="K2764" t="str">
        <f t="shared" si="649"/>
        <v/>
      </c>
      <c r="L2764" t="str">
        <f t="shared" si="650"/>
        <v/>
      </c>
      <c r="M2764">
        <f>IF($A2764="",0,IF(COUNTIF($L$2:$L2764,$L2764)=1,1,0))</f>
        <v>0</v>
      </c>
      <c r="N2764" t="str">
        <f t="shared" si="651"/>
        <v/>
      </c>
      <c r="O2764" t="str">
        <f t="shared" si="652"/>
        <v/>
      </c>
      <c r="P2764">
        <f>IF($A2764="",0,IF(COUNTIF($O$2:$O2764,$O2764)=1,1,0))</f>
        <v>0</v>
      </c>
      <c r="Q2764" t="str">
        <f>IF(AND($P2764=1,$A2764=经营数据!$B$3,$J2764=经营数据!$BA$5),COUNTIFS($P$2:$P$3000,1,$A$2:$A$3000,$A2764,$J$2:$J$3000,$J2764,$N$2:$N$3000,"&lt;"&amp;$N2764)+1,"")</f>
        <v/>
      </c>
      <c r="R2764" t="str">
        <f t="shared" si="653"/>
        <v/>
      </c>
      <c r="S2764">
        <f>IF($A2764="",0,IF(COUNTIF($R$2:$R2764,$R2764)=1,1,0))</f>
        <v>0</v>
      </c>
      <c r="T2764" t="str">
        <f t="shared" si="654"/>
        <v/>
      </c>
      <c r="U2764" t="str">
        <f>IF($A2764="","",IF($A2764=经营数据!$B$3,COUNTIFS($S$2:$S$3000,1,$A$2:$A$3000,$A2764,$T$2:$T$3000,"&lt;"&amp;$T2764)+1,""))</f>
        <v/>
      </c>
      <c r="V2764" t="str">
        <f t="shared" si="655"/>
        <v/>
      </c>
      <c r="W2764" t="str">
        <f t="shared" si="656"/>
        <v/>
      </c>
      <c r="X2764" t="str">
        <f t="shared" si="657"/>
        <v/>
      </c>
      <c r="Y2764" t="str">
        <f t="shared" si="658"/>
        <v/>
      </c>
      <c r="Z2764">
        <f>IF($A2764="",0,IF(AND($M2764=1,$A2764=经营数据!$B$3,$J2764=经营数据!$BA$5,OR($I2764=经营数据!$BA$4,COUNTIF(经营数据!$AA$9:$AA$38,$I2764)&gt;0)),1,0))</f>
        <v>0</v>
      </c>
      <c r="AA2764" t="str">
        <f t="shared" si="659"/>
        <v/>
      </c>
      <c r="AB2764" t="str">
        <f t="shared" si="660"/>
        <v/>
      </c>
      <c r="AC2764">
        <f>IF($A2764="",0,IF(COUNTIF($A$2:$A2764,$A2764)=1,1,0))</f>
        <v>0</v>
      </c>
      <c r="AD2764">
        <f t="shared" si="661"/>
        <v>29</v>
      </c>
      <c r="AE2764" t="str">
        <f t="shared" si="662"/>
        <v/>
      </c>
    </row>
    <row r="2765" spans="1:31" x14ac:dyDescent="0.4">
      <c r="A2765" t="str">
        <f>IF(原始经营数据!$D2766="","",原始经营数据!$D2766)</f>
        <v/>
      </c>
      <c r="B2765" t="str">
        <f>IF(原始经营数据!$D2766="","",T(原始经营数据!$E2766))</f>
        <v/>
      </c>
      <c r="C2765" t="str">
        <f>IF(原始经营数据!$D2766="","",原始经营数据!$F2766)</f>
        <v/>
      </c>
      <c r="D2765" t="str">
        <f>IF(原始经营数据!$D2766="","",原始经营数据!$H2766)</f>
        <v/>
      </c>
      <c r="E2765" t="str">
        <f>IF(原始经营数据!$D2766="","",原始经营数据!$I2766)</f>
        <v/>
      </c>
      <c r="F2765" t="str">
        <f>IF(原始经营数据!$D2766="","",T(原始经营数据!$J2766))</f>
        <v/>
      </c>
      <c r="G2765" t="str">
        <f>IF(原始经营数据!$D2766="","",T(原始经营数据!$K2766))</f>
        <v/>
      </c>
      <c r="H2765" t="str">
        <f>IF(原始经营数据!$D2766="","",原始经营数据!$G2766)</f>
        <v/>
      </c>
      <c r="I2765" t="str">
        <f>IF($A2765="","",IF($B2765&lt;&gt;"",$B2765,IF(COUNTIFS(原始经营数据!$D$3:$D$3001,$A2765,原始经营数据!$E$3:$E$3001,"",原始经营数据!$F$3:$F$3001,$C2765,原始经营数据!$H$3:$H$3001,$D2765,原始经营数据!$K$3:$K$3001,$G2765)&gt;1,"基金整体·来源"&amp;原始经营数据!$A2766,"基金整体")))</f>
        <v/>
      </c>
      <c r="J2765" t="str">
        <f t="shared" si="648"/>
        <v/>
      </c>
      <c r="K2765" t="str">
        <f t="shared" si="649"/>
        <v/>
      </c>
      <c r="L2765" t="str">
        <f t="shared" si="650"/>
        <v/>
      </c>
      <c r="M2765">
        <f>IF($A2765="",0,IF(COUNTIF($L$2:$L2765,$L2765)=1,1,0))</f>
        <v>0</v>
      </c>
      <c r="N2765" t="str">
        <f t="shared" si="651"/>
        <v/>
      </c>
      <c r="O2765" t="str">
        <f t="shared" si="652"/>
        <v/>
      </c>
      <c r="P2765">
        <f>IF($A2765="",0,IF(COUNTIF($O$2:$O2765,$O2765)=1,1,0))</f>
        <v>0</v>
      </c>
      <c r="Q2765" t="str">
        <f>IF(AND($P2765=1,$A2765=经营数据!$B$3,$J2765=经营数据!$BA$5),COUNTIFS($P$2:$P$3000,1,$A$2:$A$3000,$A2765,$J$2:$J$3000,$J2765,$N$2:$N$3000,"&lt;"&amp;$N2765)+1,"")</f>
        <v/>
      </c>
      <c r="R2765" t="str">
        <f t="shared" si="653"/>
        <v/>
      </c>
      <c r="S2765">
        <f>IF($A2765="",0,IF(COUNTIF($R$2:$R2765,$R2765)=1,1,0))</f>
        <v>0</v>
      </c>
      <c r="T2765" t="str">
        <f t="shared" si="654"/>
        <v/>
      </c>
      <c r="U2765" t="str">
        <f>IF($A2765="","",IF($A2765=经营数据!$B$3,COUNTIFS($S$2:$S$3000,1,$A$2:$A$3000,$A2765,$T$2:$T$3000,"&lt;"&amp;$T2765)+1,""))</f>
        <v/>
      </c>
      <c r="V2765" t="str">
        <f t="shared" si="655"/>
        <v/>
      </c>
      <c r="W2765" t="str">
        <f t="shared" si="656"/>
        <v/>
      </c>
      <c r="X2765" t="str">
        <f t="shared" si="657"/>
        <v/>
      </c>
      <c r="Y2765" t="str">
        <f t="shared" si="658"/>
        <v/>
      </c>
      <c r="Z2765">
        <f>IF($A2765="",0,IF(AND($M2765=1,$A2765=经营数据!$B$3,$J2765=经营数据!$BA$5,OR($I2765=经营数据!$BA$4,COUNTIF(经营数据!$AA$9:$AA$38,$I2765)&gt;0)),1,0))</f>
        <v>0</v>
      </c>
      <c r="AA2765" t="str">
        <f t="shared" si="659"/>
        <v/>
      </c>
      <c r="AB2765" t="str">
        <f t="shared" si="660"/>
        <v/>
      </c>
      <c r="AC2765">
        <f>IF($A2765="",0,IF(COUNTIF($A$2:$A2765,$A2765)=1,1,0))</f>
        <v>0</v>
      </c>
      <c r="AD2765">
        <f t="shared" si="661"/>
        <v>29</v>
      </c>
      <c r="AE2765" t="str">
        <f t="shared" si="662"/>
        <v/>
      </c>
    </row>
    <row r="2766" spans="1:31" x14ac:dyDescent="0.4">
      <c r="A2766" t="str">
        <f>IF(原始经营数据!$D2767="","",原始经营数据!$D2767)</f>
        <v/>
      </c>
      <c r="B2766" t="str">
        <f>IF(原始经营数据!$D2767="","",T(原始经营数据!$E2767))</f>
        <v/>
      </c>
      <c r="C2766" t="str">
        <f>IF(原始经营数据!$D2767="","",原始经营数据!$F2767)</f>
        <v/>
      </c>
      <c r="D2766" t="str">
        <f>IF(原始经营数据!$D2767="","",原始经营数据!$H2767)</f>
        <v/>
      </c>
      <c r="E2766" t="str">
        <f>IF(原始经营数据!$D2767="","",原始经营数据!$I2767)</f>
        <v/>
      </c>
      <c r="F2766" t="str">
        <f>IF(原始经营数据!$D2767="","",T(原始经营数据!$J2767))</f>
        <v/>
      </c>
      <c r="G2766" t="str">
        <f>IF(原始经营数据!$D2767="","",T(原始经营数据!$K2767))</f>
        <v/>
      </c>
      <c r="H2766" t="str">
        <f>IF(原始经营数据!$D2767="","",原始经营数据!$G2767)</f>
        <v/>
      </c>
      <c r="I2766" t="str">
        <f>IF($A2766="","",IF($B2766&lt;&gt;"",$B2766,IF(COUNTIFS(原始经营数据!$D$3:$D$3001,$A2766,原始经营数据!$E$3:$E$3001,"",原始经营数据!$F$3:$F$3001,$C2766,原始经营数据!$H$3:$H$3001,$D2766,原始经营数据!$K$3:$K$3001,$G2766)&gt;1,"基金整体·来源"&amp;原始经营数据!$A2767,"基金整体")))</f>
        <v/>
      </c>
      <c r="J2766" t="str">
        <f t="shared" si="648"/>
        <v/>
      </c>
      <c r="K2766" t="str">
        <f t="shared" si="649"/>
        <v/>
      </c>
      <c r="L2766" t="str">
        <f t="shared" si="650"/>
        <v/>
      </c>
      <c r="M2766">
        <f>IF($A2766="",0,IF(COUNTIF($L$2:$L2766,$L2766)=1,1,0))</f>
        <v>0</v>
      </c>
      <c r="N2766" t="str">
        <f t="shared" si="651"/>
        <v/>
      </c>
      <c r="O2766" t="str">
        <f t="shared" si="652"/>
        <v/>
      </c>
      <c r="P2766">
        <f>IF($A2766="",0,IF(COUNTIF($O$2:$O2766,$O2766)=1,1,0))</f>
        <v>0</v>
      </c>
      <c r="Q2766" t="str">
        <f>IF(AND($P2766=1,$A2766=经营数据!$B$3,$J2766=经营数据!$BA$5),COUNTIFS($P$2:$P$3000,1,$A$2:$A$3000,$A2766,$J$2:$J$3000,$J2766,$N$2:$N$3000,"&lt;"&amp;$N2766)+1,"")</f>
        <v/>
      </c>
      <c r="R2766" t="str">
        <f t="shared" si="653"/>
        <v/>
      </c>
      <c r="S2766">
        <f>IF($A2766="",0,IF(COUNTIF($R$2:$R2766,$R2766)=1,1,0))</f>
        <v>0</v>
      </c>
      <c r="T2766" t="str">
        <f t="shared" si="654"/>
        <v/>
      </c>
      <c r="U2766" t="str">
        <f>IF($A2766="","",IF($A2766=经营数据!$B$3,COUNTIFS($S$2:$S$3000,1,$A$2:$A$3000,$A2766,$T$2:$T$3000,"&lt;"&amp;$T2766)+1,""))</f>
        <v/>
      </c>
      <c r="V2766" t="str">
        <f t="shared" si="655"/>
        <v/>
      </c>
      <c r="W2766" t="str">
        <f t="shared" si="656"/>
        <v/>
      </c>
      <c r="X2766" t="str">
        <f t="shared" si="657"/>
        <v/>
      </c>
      <c r="Y2766" t="str">
        <f t="shared" si="658"/>
        <v/>
      </c>
      <c r="Z2766">
        <f>IF($A2766="",0,IF(AND($M2766=1,$A2766=经营数据!$B$3,$J2766=经营数据!$BA$5,OR($I2766=经营数据!$BA$4,COUNTIF(经营数据!$AA$9:$AA$38,$I2766)&gt;0)),1,0))</f>
        <v>0</v>
      </c>
      <c r="AA2766" t="str">
        <f t="shared" si="659"/>
        <v/>
      </c>
      <c r="AB2766" t="str">
        <f t="shared" si="660"/>
        <v/>
      </c>
      <c r="AC2766">
        <f>IF($A2766="",0,IF(COUNTIF($A$2:$A2766,$A2766)=1,1,0))</f>
        <v>0</v>
      </c>
      <c r="AD2766">
        <f t="shared" si="661"/>
        <v>29</v>
      </c>
      <c r="AE2766" t="str">
        <f t="shared" si="662"/>
        <v/>
      </c>
    </row>
    <row r="2767" spans="1:31" x14ac:dyDescent="0.4">
      <c r="A2767" t="str">
        <f>IF(原始经营数据!$D2768="","",原始经营数据!$D2768)</f>
        <v/>
      </c>
      <c r="B2767" t="str">
        <f>IF(原始经营数据!$D2768="","",T(原始经营数据!$E2768))</f>
        <v/>
      </c>
      <c r="C2767" t="str">
        <f>IF(原始经营数据!$D2768="","",原始经营数据!$F2768)</f>
        <v/>
      </c>
      <c r="D2767" t="str">
        <f>IF(原始经营数据!$D2768="","",原始经营数据!$H2768)</f>
        <v/>
      </c>
      <c r="E2767" t="str">
        <f>IF(原始经营数据!$D2768="","",原始经营数据!$I2768)</f>
        <v/>
      </c>
      <c r="F2767" t="str">
        <f>IF(原始经营数据!$D2768="","",T(原始经营数据!$J2768))</f>
        <v/>
      </c>
      <c r="G2767" t="str">
        <f>IF(原始经营数据!$D2768="","",T(原始经营数据!$K2768))</f>
        <v/>
      </c>
      <c r="H2767" t="str">
        <f>IF(原始经营数据!$D2768="","",原始经营数据!$G2768)</f>
        <v/>
      </c>
      <c r="I2767" t="str">
        <f>IF($A2767="","",IF($B2767&lt;&gt;"",$B2767,IF(COUNTIFS(原始经营数据!$D$3:$D$3001,$A2767,原始经营数据!$E$3:$E$3001,"",原始经营数据!$F$3:$F$3001,$C2767,原始经营数据!$H$3:$H$3001,$D2767,原始经营数据!$K$3:$K$3001,$G2767)&gt;1,"基金整体·来源"&amp;原始经营数据!$A2768,"基金整体")))</f>
        <v/>
      </c>
      <c r="J2767" t="str">
        <f t="shared" si="648"/>
        <v/>
      </c>
      <c r="K2767" t="str">
        <f t="shared" si="649"/>
        <v/>
      </c>
      <c r="L2767" t="str">
        <f t="shared" si="650"/>
        <v/>
      </c>
      <c r="M2767">
        <f>IF($A2767="",0,IF(COUNTIF($L$2:$L2767,$L2767)=1,1,0))</f>
        <v>0</v>
      </c>
      <c r="N2767" t="str">
        <f t="shared" si="651"/>
        <v/>
      </c>
      <c r="O2767" t="str">
        <f t="shared" si="652"/>
        <v/>
      </c>
      <c r="P2767">
        <f>IF($A2767="",0,IF(COUNTIF($O$2:$O2767,$O2767)=1,1,0))</f>
        <v>0</v>
      </c>
      <c r="Q2767" t="str">
        <f>IF(AND($P2767=1,$A2767=经营数据!$B$3,$J2767=经营数据!$BA$5),COUNTIFS($P$2:$P$3000,1,$A$2:$A$3000,$A2767,$J$2:$J$3000,$J2767,$N$2:$N$3000,"&lt;"&amp;$N2767)+1,"")</f>
        <v/>
      </c>
      <c r="R2767" t="str">
        <f t="shared" si="653"/>
        <v/>
      </c>
      <c r="S2767">
        <f>IF($A2767="",0,IF(COUNTIF($R$2:$R2767,$R2767)=1,1,0))</f>
        <v>0</v>
      </c>
      <c r="T2767" t="str">
        <f t="shared" si="654"/>
        <v/>
      </c>
      <c r="U2767" t="str">
        <f>IF($A2767="","",IF($A2767=经营数据!$B$3,COUNTIFS($S$2:$S$3000,1,$A$2:$A$3000,$A2767,$T$2:$T$3000,"&lt;"&amp;$T2767)+1,""))</f>
        <v/>
      </c>
      <c r="V2767" t="str">
        <f t="shared" si="655"/>
        <v/>
      </c>
      <c r="W2767" t="str">
        <f t="shared" si="656"/>
        <v/>
      </c>
      <c r="X2767" t="str">
        <f t="shared" si="657"/>
        <v/>
      </c>
      <c r="Y2767" t="str">
        <f t="shared" si="658"/>
        <v/>
      </c>
      <c r="Z2767">
        <f>IF($A2767="",0,IF(AND($M2767=1,$A2767=经营数据!$B$3,$J2767=经营数据!$BA$5,OR($I2767=经营数据!$BA$4,COUNTIF(经营数据!$AA$9:$AA$38,$I2767)&gt;0)),1,0))</f>
        <v>0</v>
      </c>
      <c r="AA2767" t="str">
        <f t="shared" si="659"/>
        <v/>
      </c>
      <c r="AB2767" t="str">
        <f t="shared" si="660"/>
        <v/>
      </c>
      <c r="AC2767">
        <f>IF($A2767="",0,IF(COUNTIF($A$2:$A2767,$A2767)=1,1,0))</f>
        <v>0</v>
      </c>
      <c r="AD2767">
        <f t="shared" si="661"/>
        <v>29</v>
      </c>
      <c r="AE2767" t="str">
        <f t="shared" si="662"/>
        <v/>
      </c>
    </row>
    <row r="2768" spans="1:31" x14ac:dyDescent="0.4">
      <c r="A2768" t="str">
        <f>IF(原始经营数据!$D2769="","",原始经营数据!$D2769)</f>
        <v/>
      </c>
      <c r="B2768" t="str">
        <f>IF(原始经营数据!$D2769="","",T(原始经营数据!$E2769))</f>
        <v/>
      </c>
      <c r="C2768" t="str">
        <f>IF(原始经营数据!$D2769="","",原始经营数据!$F2769)</f>
        <v/>
      </c>
      <c r="D2768" t="str">
        <f>IF(原始经营数据!$D2769="","",原始经营数据!$H2769)</f>
        <v/>
      </c>
      <c r="E2768" t="str">
        <f>IF(原始经营数据!$D2769="","",原始经营数据!$I2769)</f>
        <v/>
      </c>
      <c r="F2768" t="str">
        <f>IF(原始经营数据!$D2769="","",T(原始经营数据!$J2769))</f>
        <v/>
      </c>
      <c r="G2768" t="str">
        <f>IF(原始经营数据!$D2769="","",T(原始经营数据!$K2769))</f>
        <v/>
      </c>
      <c r="H2768" t="str">
        <f>IF(原始经营数据!$D2769="","",原始经营数据!$G2769)</f>
        <v/>
      </c>
      <c r="I2768" t="str">
        <f>IF($A2768="","",IF($B2768&lt;&gt;"",$B2768,IF(COUNTIFS(原始经营数据!$D$3:$D$3001,$A2768,原始经营数据!$E$3:$E$3001,"",原始经营数据!$F$3:$F$3001,$C2768,原始经营数据!$H$3:$H$3001,$D2768,原始经营数据!$K$3:$K$3001,$G2768)&gt;1,"基金整体·来源"&amp;原始经营数据!$A2769,"基金整体")))</f>
        <v/>
      </c>
      <c r="J2768" t="str">
        <f t="shared" si="648"/>
        <v/>
      </c>
      <c r="K2768" t="str">
        <f t="shared" si="649"/>
        <v/>
      </c>
      <c r="L2768" t="str">
        <f t="shared" si="650"/>
        <v/>
      </c>
      <c r="M2768">
        <f>IF($A2768="",0,IF(COUNTIF($L$2:$L2768,$L2768)=1,1,0))</f>
        <v>0</v>
      </c>
      <c r="N2768" t="str">
        <f t="shared" si="651"/>
        <v/>
      </c>
      <c r="O2768" t="str">
        <f t="shared" si="652"/>
        <v/>
      </c>
      <c r="P2768">
        <f>IF($A2768="",0,IF(COUNTIF($O$2:$O2768,$O2768)=1,1,0))</f>
        <v>0</v>
      </c>
      <c r="Q2768" t="str">
        <f>IF(AND($P2768=1,$A2768=经营数据!$B$3,$J2768=经营数据!$BA$5),COUNTIFS($P$2:$P$3000,1,$A$2:$A$3000,$A2768,$J$2:$J$3000,$J2768,$N$2:$N$3000,"&lt;"&amp;$N2768)+1,"")</f>
        <v/>
      </c>
      <c r="R2768" t="str">
        <f t="shared" si="653"/>
        <v/>
      </c>
      <c r="S2768">
        <f>IF($A2768="",0,IF(COUNTIF($R$2:$R2768,$R2768)=1,1,0))</f>
        <v>0</v>
      </c>
      <c r="T2768" t="str">
        <f t="shared" si="654"/>
        <v/>
      </c>
      <c r="U2768" t="str">
        <f>IF($A2768="","",IF($A2768=经营数据!$B$3,COUNTIFS($S$2:$S$3000,1,$A$2:$A$3000,$A2768,$T$2:$T$3000,"&lt;"&amp;$T2768)+1,""))</f>
        <v/>
      </c>
      <c r="V2768" t="str">
        <f t="shared" si="655"/>
        <v/>
      </c>
      <c r="W2768" t="str">
        <f t="shared" si="656"/>
        <v/>
      </c>
      <c r="X2768" t="str">
        <f t="shared" si="657"/>
        <v/>
      </c>
      <c r="Y2768" t="str">
        <f t="shared" si="658"/>
        <v/>
      </c>
      <c r="Z2768">
        <f>IF($A2768="",0,IF(AND($M2768=1,$A2768=经营数据!$B$3,$J2768=经营数据!$BA$5,OR($I2768=经营数据!$BA$4,COUNTIF(经营数据!$AA$9:$AA$38,$I2768)&gt;0)),1,0))</f>
        <v>0</v>
      </c>
      <c r="AA2768" t="str">
        <f t="shared" si="659"/>
        <v/>
      </c>
      <c r="AB2768" t="str">
        <f t="shared" si="660"/>
        <v/>
      </c>
      <c r="AC2768">
        <f>IF($A2768="",0,IF(COUNTIF($A$2:$A2768,$A2768)=1,1,0))</f>
        <v>0</v>
      </c>
      <c r="AD2768">
        <f t="shared" si="661"/>
        <v>29</v>
      </c>
      <c r="AE2768" t="str">
        <f t="shared" si="662"/>
        <v/>
      </c>
    </row>
    <row r="2769" spans="1:31" x14ac:dyDescent="0.4">
      <c r="A2769" t="str">
        <f>IF(原始经营数据!$D2770="","",原始经营数据!$D2770)</f>
        <v/>
      </c>
      <c r="B2769" t="str">
        <f>IF(原始经营数据!$D2770="","",T(原始经营数据!$E2770))</f>
        <v/>
      </c>
      <c r="C2769" t="str">
        <f>IF(原始经营数据!$D2770="","",原始经营数据!$F2770)</f>
        <v/>
      </c>
      <c r="D2769" t="str">
        <f>IF(原始经营数据!$D2770="","",原始经营数据!$H2770)</f>
        <v/>
      </c>
      <c r="E2769" t="str">
        <f>IF(原始经营数据!$D2770="","",原始经营数据!$I2770)</f>
        <v/>
      </c>
      <c r="F2769" t="str">
        <f>IF(原始经营数据!$D2770="","",T(原始经营数据!$J2770))</f>
        <v/>
      </c>
      <c r="G2769" t="str">
        <f>IF(原始经营数据!$D2770="","",T(原始经营数据!$K2770))</f>
        <v/>
      </c>
      <c r="H2769" t="str">
        <f>IF(原始经营数据!$D2770="","",原始经营数据!$G2770)</f>
        <v/>
      </c>
      <c r="I2769" t="str">
        <f>IF($A2769="","",IF($B2769&lt;&gt;"",$B2769,IF(COUNTIFS(原始经营数据!$D$3:$D$3001,$A2769,原始经营数据!$E$3:$E$3001,"",原始经营数据!$F$3:$F$3001,$C2769,原始经营数据!$H$3:$H$3001,$D2769,原始经营数据!$K$3:$K$3001,$G2769)&gt;1,"基金整体·来源"&amp;原始经营数据!$A2770,"基金整体")))</f>
        <v/>
      </c>
      <c r="J2769" t="str">
        <f t="shared" si="648"/>
        <v/>
      </c>
      <c r="K2769" t="str">
        <f t="shared" si="649"/>
        <v/>
      </c>
      <c r="L2769" t="str">
        <f t="shared" si="650"/>
        <v/>
      </c>
      <c r="M2769">
        <f>IF($A2769="",0,IF(COUNTIF($L$2:$L2769,$L2769)=1,1,0))</f>
        <v>0</v>
      </c>
      <c r="N2769" t="str">
        <f t="shared" si="651"/>
        <v/>
      </c>
      <c r="O2769" t="str">
        <f t="shared" si="652"/>
        <v/>
      </c>
      <c r="P2769">
        <f>IF($A2769="",0,IF(COUNTIF($O$2:$O2769,$O2769)=1,1,0))</f>
        <v>0</v>
      </c>
      <c r="Q2769" t="str">
        <f>IF(AND($P2769=1,$A2769=经营数据!$B$3,$J2769=经营数据!$BA$5),COUNTIFS($P$2:$P$3000,1,$A$2:$A$3000,$A2769,$J$2:$J$3000,$J2769,$N$2:$N$3000,"&lt;"&amp;$N2769)+1,"")</f>
        <v/>
      </c>
      <c r="R2769" t="str">
        <f t="shared" si="653"/>
        <v/>
      </c>
      <c r="S2769">
        <f>IF($A2769="",0,IF(COUNTIF($R$2:$R2769,$R2769)=1,1,0))</f>
        <v>0</v>
      </c>
      <c r="T2769" t="str">
        <f t="shared" si="654"/>
        <v/>
      </c>
      <c r="U2769" t="str">
        <f>IF($A2769="","",IF($A2769=经营数据!$B$3,COUNTIFS($S$2:$S$3000,1,$A$2:$A$3000,$A2769,$T$2:$T$3000,"&lt;"&amp;$T2769)+1,""))</f>
        <v/>
      </c>
      <c r="V2769" t="str">
        <f t="shared" si="655"/>
        <v/>
      </c>
      <c r="W2769" t="str">
        <f t="shared" si="656"/>
        <v/>
      </c>
      <c r="X2769" t="str">
        <f t="shared" si="657"/>
        <v/>
      </c>
      <c r="Y2769" t="str">
        <f t="shared" si="658"/>
        <v/>
      </c>
      <c r="Z2769">
        <f>IF($A2769="",0,IF(AND($M2769=1,$A2769=经营数据!$B$3,$J2769=经营数据!$BA$5,OR($I2769=经营数据!$BA$4,COUNTIF(经营数据!$AA$9:$AA$38,$I2769)&gt;0)),1,0))</f>
        <v>0</v>
      </c>
      <c r="AA2769" t="str">
        <f t="shared" si="659"/>
        <v/>
      </c>
      <c r="AB2769" t="str">
        <f t="shared" si="660"/>
        <v/>
      </c>
      <c r="AC2769">
        <f>IF($A2769="",0,IF(COUNTIF($A$2:$A2769,$A2769)=1,1,0))</f>
        <v>0</v>
      </c>
      <c r="AD2769">
        <f t="shared" si="661"/>
        <v>29</v>
      </c>
      <c r="AE2769" t="str">
        <f t="shared" si="662"/>
        <v/>
      </c>
    </row>
    <row r="2770" spans="1:31" x14ac:dyDescent="0.4">
      <c r="A2770" t="str">
        <f>IF(原始经营数据!$D2771="","",原始经营数据!$D2771)</f>
        <v/>
      </c>
      <c r="B2770" t="str">
        <f>IF(原始经营数据!$D2771="","",T(原始经营数据!$E2771))</f>
        <v/>
      </c>
      <c r="C2770" t="str">
        <f>IF(原始经营数据!$D2771="","",原始经营数据!$F2771)</f>
        <v/>
      </c>
      <c r="D2770" t="str">
        <f>IF(原始经营数据!$D2771="","",原始经营数据!$H2771)</f>
        <v/>
      </c>
      <c r="E2770" t="str">
        <f>IF(原始经营数据!$D2771="","",原始经营数据!$I2771)</f>
        <v/>
      </c>
      <c r="F2770" t="str">
        <f>IF(原始经营数据!$D2771="","",T(原始经营数据!$J2771))</f>
        <v/>
      </c>
      <c r="G2770" t="str">
        <f>IF(原始经营数据!$D2771="","",T(原始经营数据!$K2771))</f>
        <v/>
      </c>
      <c r="H2770" t="str">
        <f>IF(原始经营数据!$D2771="","",原始经营数据!$G2771)</f>
        <v/>
      </c>
      <c r="I2770" t="str">
        <f>IF($A2770="","",IF($B2770&lt;&gt;"",$B2770,IF(COUNTIFS(原始经营数据!$D$3:$D$3001,$A2770,原始经营数据!$E$3:$E$3001,"",原始经营数据!$F$3:$F$3001,$C2770,原始经营数据!$H$3:$H$3001,$D2770,原始经营数据!$K$3:$K$3001,$G2770)&gt;1,"基金整体·来源"&amp;原始经营数据!$A2771,"基金整体")))</f>
        <v/>
      </c>
      <c r="J2770" t="str">
        <f t="shared" si="648"/>
        <v/>
      </c>
      <c r="K2770" t="str">
        <f t="shared" si="649"/>
        <v/>
      </c>
      <c r="L2770" t="str">
        <f t="shared" si="650"/>
        <v/>
      </c>
      <c r="M2770">
        <f>IF($A2770="",0,IF(COUNTIF($L$2:$L2770,$L2770)=1,1,0))</f>
        <v>0</v>
      </c>
      <c r="N2770" t="str">
        <f t="shared" si="651"/>
        <v/>
      </c>
      <c r="O2770" t="str">
        <f t="shared" si="652"/>
        <v/>
      </c>
      <c r="P2770">
        <f>IF($A2770="",0,IF(COUNTIF($O$2:$O2770,$O2770)=1,1,0))</f>
        <v>0</v>
      </c>
      <c r="Q2770" t="str">
        <f>IF(AND($P2770=1,$A2770=经营数据!$B$3,$J2770=经营数据!$BA$5),COUNTIFS($P$2:$P$3000,1,$A$2:$A$3000,$A2770,$J$2:$J$3000,$J2770,$N$2:$N$3000,"&lt;"&amp;$N2770)+1,"")</f>
        <v/>
      </c>
      <c r="R2770" t="str">
        <f t="shared" si="653"/>
        <v/>
      </c>
      <c r="S2770">
        <f>IF($A2770="",0,IF(COUNTIF($R$2:$R2770,$R2770)=1,1,0))</f>
        <v>0</v>
      </c>
      <c r="T2770" t="str">
        <f t="shared" si="654"/>
        <v/>
      </c>
      <c r="U2770" t="str">
        <f>IF($A2770="","",IF($A2770=经营数据!$B$3,COUNTIFS($S$2:$S$3000,1,$A$2:$A$3000,$A2770,$T$2:$T$3000,"&lt;"&amp;$T2770)+1,""))</f>
        <v/>
      </c>
      <c r="V2770" t="str">
        <f t="shared" si="655"/>
        <v/>
      </c>
      <c r="W2770" t="str">
        <f t="shared" si="656"/>
        <v/>
      </c>
      <c r="X2770" t="str">
        <f t="shared" si="657"/>
        <v/>
      </c>
      <c r="Y2770" t="str">
        <f t="shared" si="658"/>
        <v/>
      </c>
      <c r="Z2770">
        <f>IF($A2770="",0,IF(AND($M2770=1,$A2770=经营数据!$B$3,$J2770=经营数据!$BA$5,OR($I2770=经营数据!$BA$4,COUNTIF(经营数据!$AA$9:$AA$38,$I2770)&gt;0)),1,0))</f>
        <v>0</v>
      </c>
      <c r="AA2770" t="str">
        <f t="shared" si="659"/>
        <v/>
      </c>
      <c r="AB2770" t="str">
        <f t="shared" si="660"/>
        <v/>
      </c>
      <c r="AC2770">
        <f>IF($A2770="",0,IF(COUNTIF($A$2:$A2770,$A2770)=1,1,0))</f>
        <v>0</v>
      </c>
      <c r="AD2770">
        <f t="shared" si="661"/>
        <v>29</v>
      </c>
      <c r="AE2770" t="str">
        <f t="shared" si="662"/>
        <v/>
      </c>
    </row>
    <row r="2771" spans="1:31" x14ac:dyDescent="0.4">
      <c r="A2771" t="str">
        <f>IF(原始经营数据!$D2772="","",原始经营数据!$D2772)</f>
        <v/>
      </c>
      <c r="B2771" t="str">
        <f>IF(原始经营数据!$D2772="","",T(原始经营数据!$E2772))</f>
        <v/>
      </c>
      <c r="C2771" t="str">
        <f>IF(原始经营数据!$D2772="","",原始经营数据!$F2772)</f>
        <v/>
      </c>
      <c r="D2771" t="str">
        <f>IF(原始经营数据!$D2772="","",原始经营数据!$H2772)</f>
        <v/>
      </c>
      <c r="E2771" t="str">
        <f>IF(原始经营数据!$D2772="","",原始经营数据!$I2772)</f>
        <v/>
      </c>
      <c r="F2771" t="str">
        <f>IF(原始经营数据!$D2772="","",T(原始经营数据!$J2772))</f>
        <v/>
      </c>
      <c r="G2771" t="str">
        <f>IF(原始经营数据!$D2772="","",T(原始经营数据!$K2772))</f>
        <v/>
      </c>
      <c r="H2771" t="str">
        <f>IF(原始经营数据!$D2772="","",原始经营数据!$G2772)</f>
        <v/>
      </c>
      <c r="I2771" t="str">
        <f>IF($A2771="","",IF($B2771&lt;&gt;"",$B2771,IF(COUNTIFS(原始经营数据!$D$3:$D$3001,$A2771,原始经营数据!$E$3:$E$3001,"",原始经营数据!$F$3:$F$3001,$C2771,原始经营数据!$H$3:$H$3001,$D2771,原始经营数据!$K$3:$K$3001,$G2771)&gt;1,"基金整体·来源"&amp;原始经营数据!$A2772,"基金整体")))</f>
        <v/>
      </c>
      <c r="J2771" t="str">
        <f t="shared" si="648"/>
        <v/>
      </c>
      <c r="K2771" t="str">
        <f t="shared" si="649"/>
        <v/>
      </c>
      <c r="L2771" t="str">
        <f t="shared" si="650"/>
        <v/>
      </c>
      <c r="M2771">
        <f>IF($A2771="",0,IF(COUNTIF($L$2:$L2771,$L2771)=1,1,0))</f>
        <v>0</v>
      </c>
      <c r="N2771" t="str">
        <f t="shared" si="651"/>
        <v/>
      </c>
      <c r="O2771" t="str">
        <f t="shared" si="652"/>
        <v/>
      </c>
      <c r="P2771">
        <f>IF($A2771="",0,IF(COUNTIF($O$2:$O2771,$O2771)=1,1,0))</f>
        <v>0</v>
      </c>
      <c r="Q2771" t="str">
        <f>IF(AND($P2771=1,$A2771=经营数据!$B$3,$J2771=经营数据!$BA$5),COUNTIFS($P$2:$P$3000,1,$A$2:$A$3000,$A2771,$J$2:$J$3000,$J2771,$N$2:$N$3000,"&lt;"&amp;$N2771)+1,"")</f>
        <v/>
      </c>
      <c r="R2771" t="str">
        <f t="shared" si="653"/>
        <v/>
      </c>
      <c r="S2771">
        <f>IF($A2771="",0,IF(COUNTIF($R$2:$R2771,$R2771)=1,1,0))</f>
        <v>0</v>
      </c>
      <c r="T2771" t="str">
        <f t="shared" si="654"/>
        <v/>
      </c>
      <c r="U2771" t="str">
        <f>IF($A2771="","",IF($A2771=经营数据!$B$3,COUNTIFS($S$2:$S$3000,1,$A$2:$A$3000,$A2771,$T$2:$T$3000,"&lt;"&amp;$T2771)+1,""))</f>
        <v/>
      </c>
      <c r="V2771" t="str">
        <f t="shared" si="655"/>
        <v/>
      </c>
      <c r="W2771" t="str">
        <f t="shared" si="656"/>
        <v/>
      </c>
      <c r="X2771" t="str">
        <f t="shared" si="657"/>
        <v/>
      </c>
      <c r="Y2771" t="str">
        <f t="shared" si="658"/>
        <v/>
      </c>
      <c r="Z2771">
        <f>IF($A2771="",0,IF(AND($M2771=1,$A2771=经营数据!$B$3,$J2771=经营数据!$BA$5,OR($I2771=经营数据!$BA$4,COUNTIF(经营数据!$AA$9:$AA$38,$I2771)&gt;0)),1,0))</f>
        <v>0</v>
      </c>
      <c r="AA2771" t="str">
        <f t="shared" si="659"/>
        <v/>
      </c>
      <c r="AB2771" t="str">
        <f t="shared" si="660"/>
        <v/>
      </c>
      <c r="AC2771">
        <f>IF($A2771="",0,IF(COUNTIF($A$2:$A2771,$A2771)=1,1,0))</f>
        <v>0</v>
      </c>
      <c r="AD2771">
        <f t="shared" si="661"/>
        <v>29</v>
      </c>
      <c r="AE2771" t="str">
        <f t="shared" si="662"/>
        <v/>
      </c>
    </row>
    <row r="2772" spans="1:31" x14ac:dyDescent="0.4">
      <c r="A2772" t="str">
        <f>IF(原始经营数据!$D2773="","",原始经营数据!$D2773)</f>
        <v/>
      </c>
      <c r="B2772" t="str">
        <f>IF(原始经营数据!$D2773="","",T(原始经营数据!$E2773))</f>
        <v/>
      </c>
      <c r="C2772" t="str">
        <f>IF(原始经营数据!$D2773="","",原始经营数据!$F2773)</f>
        <v/>
      </c>
      <c r="D2772" t="str">
        <f>IF(原始经营数据!$D2773="","",原始经营数据!$H2773)</f>
        <v/>
      </c>
      <c r="E2772" t="str">
        <f>IF(原始经营数据!$D2773="","",原始经营数据!$I2773)</f>
        <v/>
      </c>
      <c r="F2772" t="str">
        <f>IF(原始经营数据!$D2773="","",T(原始经营数据!$J2773))</f>
        <v/>
      </c>
      <c r="G2772" t="str">
        <f>IF(原始经营数据!$D2773="","",T(原始经营数据!$K2773))</f>
        <v/>
      </c>
      <c r="H2772" t="str">
        <f>IF(原始经营数据!$D2773="","",原始经营数据!$G2773)</f>
        <v/>
      </c>
      <c r="I2772" t="str">
        <f>IF($A2772="","",IF($B2772&lt;&gt;"",$B2772,IF(COUNTIFS(原始经营数据!$D$3:$D$3001,$A2772,原始经营数据!$E$3:$E$3001,"",原始经营数据!$F$3:$F$3001,$C2772,原始经营数据!$H$3:$H$3001,$D2772,原始经营数据!$K$3:$K$3001,$G2772)&gt;1,"基金整体·来源"&amp;原始经营数据!$A2773,"基金整体")))</f>
        <v/>
      </c>
      <c r="J2772" t="str">
        <f t="shared" si="648"/>
        <v/>
      </c>
      <c r="K2772" t="str">
        <f t="shared" si="649"/>
        <v/>
      </c>
      <c r="L2772" t="str">
        <f t="shared" si="650"/>
        <v/>
      </c>
      <c r="M2772">
        <f>IF($A2772="",0,IF(COUNTIF($L$2:$L2772,$L2772)=1,1,0))</f>
        <v>0</v>
      </c>
      <c r="N2772" t="str">
        <f t="shared" si="651"/>
        <v/>
      </c>
      <c r="O2772" t="str">
        <f t="shared" si="652"/>
        <v/>
      </c>
      <c r="P2772">
        <f>IF($A2772="",0,IF(COUNTIF($O$2:$O2772,$O2772)=1,1,0))</f>
        <v>0</v>
      </c>
      <c r="Q2772" t="str">
        <f>IF(AND($P2772=1,$A2772=经营数据!$B$3,$J2772=经营数据!$BA$5),COUNTIFS($P$2:$P$3000,1,$A$2:$A$3000,$A2772,$J$2:$J$3000,$J2772,$N$2:$N$3000,"&lt;"&amp;$N2772)+1,"")</f>
        <v/>
      </c>
      <c r="R2772" t="str">
        <f t="shared" si="653"/>
        <v/>
      </c>
      <c r="S2772">
        <f>IF($A2772="",0,IF(COUNTIF($R$2:$R2772,$R2772)=1,1,0))</f>
        <v>0</v>
      </c>
      <c r="T2772" t="str">
        <f t="shared" si="654"/>
        <v/>
      </c>
      <c r="U2772" t="str">
        <f>IF($A2772="","",IF($A2772=经营数据!$B$3,COUNTIFS($S$2:$S$3000,1,$A$2:$A$3000,$A2772,$T$2:$T$3000,"&lt;"&amp;$T2772)+1,""))</f>
        <v/>
      </c>
      <c r="V2772" t="str">
        <f t="shared" si="655"/>
        <v/>
      </c>
      <c r="W2772" t="str">
        <f t="shared" si="656"/>
        <v/>
      </c>
      <c r="X2772" t="str">
        <f t="shared" si="657"/>
        <v/>
      </c>
      <c r="Y2772" t="str">
        <f t="shared" si="658"/>
        <v/>
      </c>
      <c r="Z2772">
        <f>IF($A2772="",0,IF(AND($M2772=1,$A2772=经营数据!$B$3,$J2772=经营数据!$BA$5,OR($I2772=经营数据!$BA$4,COUNTIF(经营数据!$AA$9:$AA$38,$I2772)&gt;0)),1,0))</f>
        <v>0</v>
      </c>
      <c r="AA2772" t="str">
        <f t="shared" si="659"/>
        <v/>
      </c>
      <c r="AB2772" t="str">
        <f t="shared" si="660"/>
        <v/>
      </c>
      <c r="AC2772">
        <f>IF($A2772="",0,IF(COUNTIF($A$2:$A2772,$A2772)=1,1,0))</f>
        <v>0</v>
      </c>
      <c r="AD2772">
        <f t="shared" si="661"/>
        <v>29</v>
      </c>
      <c r="AE2772" t="str">
        <f t="shared" si="662"/>
        <v/>
      </c>
    </row>
    <row r="2773" spans="1:31" x14ac:dyDescent="0.4">
      <c r="A2773" t="str">
        <f>IF(原始经营数据!$D2774="","",原始经营数据!$D2774)</f>
        <v/>
      </c>
      <c r="B2773" t="str">
        <f>IF(原始经营数据!$D2774="","",T(原始经营数据!$E2774))</f>
        <v/>
      </c>
      <c r="C2773" t="str">
        <f>IF(原始经营数据!$D2774="","",原始经营数据!$F2774)</f>
        <v/>
      </c>
      <c r="D2773" t="str">
        <f>IF(原始经营数据!$D2774="","",原始经营数据!$H2774)</f>
        <v/>
      </c>
      <c r="E2773" t="str">
        <f>IF(原始经营数据!$D2774="","",原始经营数据!$I2774)</f>
        <v/>
      </c>
      <c r="F2773" t="str">
        <f>IF(原始经营数据!$D2774="","",T(原始经营数据!$J2774))</f>
        <v/>
      </c>
      <c r="G2773" t="str">
        <f>IF(原始经营数据!$D2774="","",T(原始经营数据!$K2774))</f>
        <v/>
      </c>
      <c r="H2773" t="str">
        <f>IF(原始经营数据!$D2774="","",原始经营数据!$G2774)</f>
        <v/>
      </c>
      <c r="I2773" t="str">
        <f>IF($A2773="","",IF($B2773&lt;&gt;"",$B2773,IF(COUNTIFS(原始经营数据!$D$3:$D$3001,$A2773,原始经营数据!$E$3:$E$3001,"",原始经营数据!$F$3:$F$3001,$C2773,原始经营数据!$H$3:$H$3001,$D2773,原始经营数据!$K$3:$K$3001,$G2773)&gt;1,"基金整体·来源"&amp;原始经营数据!$A2774,"基金整体")))</f>
        <v/>
      </c>
      <c r="J2773" t="str">
        <f t="shared" si="648"/>
        <v/>
      </c>
      <c r="K2773" t="str">
        <f t="shared" si="649"/>
        <v/>
      </c>
      <c r="L2773" t="str">
        <f t="shared" si="650"/>
        <v/>
      </c>
      <c r="M2773">
        <f>IF($A2773="",0,IF(COUNTIF($L$2:$L2773,$L2773)=1,1,0))</f>
        <v>0</v>
      </c>
      <c r="N2773" t="str">
        <f t="shared" si="651"/>
        <v/>
      </c>
      <c r="O2773" t="str">
        <f t="shared" si="652"/>
        <v/>
      </c>
      <c r="P2773">
        <f>IF($A2773="",0,IF(COUNTIF($O$2:$O2773,$O2773)=1,1,0))</f>
        <v>0</v>
      </c>
      <c r="Q2773" t="str">
        <f>IF(AND($P2773=1,$A2773=经营数据!$B$3,$J2773=经营数据!$BA$5),COUNTIFS($P$2:$P$3000,1,$A$2:$A$3000,$A2773,$J$2:$J$3000,$J2773,$N$2:$N$3000,"&lt;"&amp;$N2773)+1,"")</f>
        <v/>
      </c>
      <c r="R2773" t="str">
        <f t="shared" si="653"/>
        <v/>
      </c>
      <c r="S2773">
        <f>IF($A2773="",0,IF(COUNTIF($R$2:$R2773,$R2773)=1,1,0))</f>
        <v>0</v>
      </c>
      <c r="T2773" t="str">
        <f t="shared" si="654"/>
        <v/>
      </c>
      <c r="U2773" t="str">
        <f>IF($A2773="","",IF($A2773=经营数据!$B$3,COUNTIFS($S$2:$S$3000,1,$A$2:$A$3000,$A2773,$T$2:$T$3000,"&lt;"&amp;$T2773)+1,""))</f>
        <v/>
      </c>
      <c r="V2773" t="str">
        <f t="shared" si="655"/>
        <v/>
      </c>
      <c r="W2773" t="str">
        <f t="shared" si="656"/>
        <v/>
      </c>
      <c r="X2773" t="str">
        <f t="shared" si="657"/>
        <v/>
      </c>
      <c r="Y2773" t="str">
        <f t="shared" si="658"/>
        <v/>
      </c>
      <c r="Z2773">
        <f>IF($A2773="",0,IF(AND($M2773=1,$A2773=经营数据!$B$3,$J2773=经营数据!$BA$5,OR($I2773=经营数据!$BA$4,COUNTIF(经营数据!$AA$9:$AA$38,$I2773)&gt;0)),1,0))</f>
        <v>0</v>
      </c>
      <c r="AA2773" t="str">
        <f t="shared" si="659"/>
        <v/>
      </c>
      <c r="AB2773" t="str">
        <f t="shared" si="660"/>
        <v/>
      </c>
      <c r="AC2773">
        <f>IF($A2773="",0,IF(COUNTIF($A$2:$A2773,$A2773)=1,1,0))</f>
        <v>0</v>
      </c>
      <c r="AD2773">
        <f t="shared" si="661"/>
        <v>29</v>
      </c>
      <c r="AE2773" t="str">
        <f t="shared" si="662"/>
        <v/>
      </c>
    </row>
    <row r="2774" spans="1:31" x14ac:dyDescent="0.4">
      <c r="A2774" t="str">
        <f>IF(原始经营数据!$D2775="","",原始经营数据!$D2775)</f>
        <v/>
      </c>
      <c r="B2774" t="str">
        <f>IF(原始经营数据!$D2775="","",T(原始经营数据!$E2775))</f>
        <v/>
      </c>
      <c r="C2774" t="str">
        <f>IF(原始经营数据!$D2775="","",原始经营数据!$F2775)</f>
        <v/>
      </c>
      <c r="D2774" t="str">
        <f>IF(原始经营数据!$D2775="","",原始经营数据!$H2775)</f>
        <v/>
      </c>
      <c r="E2774" t="str">
        <f>IF(原始经营数据!$D2775="","",原始经营数据!$I2775)</f>
        <v/>
      </c>
      <c r="F2774" t="str">
        <f>IF(原始经营数据!$D2775="","",T(原始经营数据!$J2775))</f>
        <v/>
      </c>
      <c r="G2774" t="str">
        <f>IF(原始经营数据!$D2775="","",T(原始经营数据!$K2775))</f>
        <v/>
      </c>
      <c r="H2774" t="str">
        <f>IF(原始经营数据!$D2775="","",原始经营数据!$G2775)</f>
        <v/>
      </c>
      <c r="I2774" t="str">
        <f>IF($A2774="","",IF($B2774&lt;&gt;"",$B2774,IF(COUNTIFS(原始经营数据!$D$3:$D$3001,$A2774,原始经营数据!$E$3:$E$3001,"",原始经营数据!$F$3:$F$3001,$C2774,原始经营数据!$H$3:$H$3001,$D2774,原始经营数据!$K$3:$K$3001,$G2774)&gt;1,"基金整体·来源"&amp;原始经营数据!$A2775,"基金整体")))</f>
        <v/>
      </c>
      <c r="J2774" t="str">
        <f t="shared" si="648"/>
        <v/>
      </c>
      <c r="K2774" t="str">
        <f t="shared" si="649"/>
        <v/>
      </c>
      <c r="L2774" t="str">
        <f t="shared" si="650"/>
        <v/>
      </c>
      <c r="M2774">
        <f>IF($A2774="",0,IF(COUNTIF($L$2:$L2774,$L2774)=1,1,0))</f>
        <v>0</v>
      </c>
      <c r="N2774" t="str">
        <f t="shared" si="651"/>
        <v/>
      </c>
      <c r="O2774" t="str">
        <f t="shared" si="652"/>
        <v/>
      </c>
      <c r="P2774">
        <f>IF($A2774="",0,IF(COUNTIF($O$2:$O2774,$O2774)=1,1,0))</f>
        <v>0</v>
      </c>
      <c r="Q2774" t="str">
        <f>IF(AND($P2774=1,$A2774=经营数据!$B$3,$J2774=经营数据!$BA$5),COUNTIFS($P$2:$P$3000,1,$A$2:$A$3000,$A2774,$J$2:$J$3000,$J2774,$N$2:$N$3000,"&lt;"&amp;$N2774)+1,"")</f>
        <v/>
      </c>
      <c r="R2774" t="str">
        <f t="shared" si="653"/>
        <v/>
      </c>
      <c r="S2774">
        <f>IF($A2774="",0,IF(COUNTIF($R$2:$R2774,$R2774)=1,1,0))</f>
        <v>0</v>
      </c>
      <c r="T2774" t="str">
        <f t="shared" si="654"/>
        <v/>
      </c>
      <c r="U2774" t="str">
        <f>IF($A2774="","",IF($A2774=经营数据!$B$3,COUNTIFS($S$2:$S$3000,1,$A$2:$A$3000,$A2774,$T$2:$T$3000,"&lt;"&amp;$T2774)+1,""))</f>
        <v/>
      </c>
      <c r="V2774" t="str">
        <f t="shared" si="655"/>
        <v/>
      </c>
      <c r="W2774" t="str">
        <f t="shared" si="656"/>
        <v/>
      </c>
      <c r="X2774" t="str">
        <f t="shared" si="657"/>
        <v/>
      </c>
      <c r="Y2774" t="str">
        <f t="shared" si="658"/>
        <v/>
      </c>
      <c r="Z2774">
        <f>IF($A2774="",0,IF(AND($M2774=1,$A2774=经营数据!$B$3,$J2774=经营数据!$BA$5,OR($I2774=经营数据!$BA$4,COUNTIF(经营数据!$AA$9:$AA$38,$I2774)&gt;0)),1,0))</f>
        <v>0</v>
      </c>
      <c r="AA2774" t="str">
        <f t="shared" si="659"/>
        <v/>
      </c>
      <c r="AB2774" t="str">
        <f t="shared" si="660"/>
        <v/>
      </c>
      <c r="AC2774">
        <f>IF($A2774="",0,IF(COUNTIF($A$2:$A2774,$A2774)=1,1,0))</f>
        <v>0</v>
      </c>
      <c r="AD2774">
        <f t="shared" si="661"/>
        <v>29</v>
      </c>
      <c r="AE2774" t="str">
        <f t="shared" si="662"/>
        <v/>
      </c>
    </row>
    <row r="2775" spans="1:31" x14ac:dyDescent="0.4">
      <c r="A2775" t="str">
        <f>IF(原始经营数据!$D2776="","",原始经营数据!$D2776)</f>
        <v/>
      </c>
      <c r="B2775" t="str">
        <f>IF(原始经营数据!$D2776="","",T(原始经营数据!$E2776))</f>
        <v/>
      </c>
      <c r="C2775" t="str">
        <f>IF(原始经营数据!$D2776="","",原始经营数据!$F2776)</f>
        <v/>
      </c>
      <c r="D2775" t="str">
        <f>IF(原始经营数据!$D2776="","",原始经营数据!$H2776)</f>
        <v/>
      </c>
      <c r="E2775" t="str">
        <f>IF(原始经营数据!$D2776="","",原始经营数据!$I2776)</f>
        <v/>
      </c>
      <c r="F2775" t="str">
        <f>IF(原始经营数据!$D2776="","",T(原始经营数据!$J2776))</f>
        <v/>
      </c>
      <c r="G2775" t="str">
        <f>IF(原始经营数据!$D2776="","",T(原始经营数据!$K2776))</f>
        <v/>
      </c>
      <c r="H2775" t="str">
        <f>IF(原始经营数据!$D2776="","",原始经营数据!$G2776)</f>
        <v/>
      </c>
      <c r="I2775" t="str">
        <f>IF($A2775="","",IF($B2775&lt;&gt;"",$B2775,IF(COUNTIFS(原始经营数据!$D$3:$D$3001,$A2775,原始经营数据!$E$3:$E$3001,"",原始经营数据!$F$3:$F$3001,$C2775,原始经营数据!$H$3:$H$3001,$D2775,原始经营数据!$K$3:$K$3001,$G2775)&gt;1,"基金整体·来源"&amp;原始经营数据!$A2776,"基金整体")))</f>
        <v/>
      </c>
      <c r="J2775" t="str">
        <f t="shared" si="648"/>
        <v/>
      </c>
      <c r="K2775" t="str">
        <f t="shared" si="649"/>
        <v/>
      </c>
      <c r="L2775" t="str">
        <f t="shared" si="650"/>
        <v/>
      </c>
      <c r="M2775">
        <f>IF($A2775="",0,IF(COUNTIF($L$2:$L2775,$L2775)=1,1,0))</f>
        <v>0</v>
      </c>
      <c r="N2775" t="str">
        <f t="shared" si="651"/>
        <v/>
      </c>
      <c r="O2775" t="str">
        <f t="shared" si="652"/>
        <v/>
      </c>
      <c r="P2775">
        <f>IF($A2775="",0,IF(COUNTIF($O$2:$O2775,$O2775)=1,1,0))</f>
        <v>0</v>
      </c>
      <c r="Q2775" t="str">
        <f>IF(AND($P2775=1,$A2775=经营数据!$B$3,$J2775=经营数据!$BA$5),COUNTIFS($P$2:$P$3000,1,$A$2:$A$3000,$A2775,$J$2:$J$3000,$J2775,$N$2:$N$3000,"&lt;"&amp;$N2775)+1,"")</f>
        <v/>
      </c>
      <c r="R2775" t="str">
        <f t="shared" si="653"/>
        <v/>
      </c>
      <c r="S2775">
        <f>IF($A2775="",0,IF(COUNTIF($R$2:$R2775,$R2775)=1,1,0))</f>
        <v>0</v>
      </c>
      <c r="T2775" t="str">
        <f t="shared" si="654"/>
        <v/>
      </c>
      <c r="U2775" t="str">
        <f>IF($A2775="","",IF($A2775=经营数据!$B$3,COUNTIFS($S$2:$S$3000,1,$A$2:$A$3000,$A2775,$T$2:$T$3000,"&lt;"&amp;$T2775)+1,""))</f>
        <v/>
      </c>
      <c r="V2775" t="str">
        <f t="shared" si="655"/>
        <v/>
      </c>
      <c r="W2775" t="str">
        <f t="shared" si="656"/>
        <v/>
      </c>
      <c r="X2775" t="str">
        <f t="shared" si="657"/>
        <v/>
      </c>
      <c r="Y2775" t="str">
        <f t="shared" si="658"/>
        <v/>
      </c>
      <c r="Z2775">
        <f>IF($A2775="",0,IF(AND($M2775=1,$A2775=经营数据!$B$3,$J2775=经营数据!$BA$5,OR($I2775=经营数据!$BA$4,COUNTIF(经营数据!$AA$9:$AA$38,$I2775)&gt;0)),1,0))</f>
        <v>0</v>
      </c>
      <c r="AA2775" t="str">
        <f t="shared" si="659"/>
        <v/>
      </c>
      <c r="AB2775" t="str">
        <f t="shared" si="660"/>
        <v/>
      </c>
      <c r="AC2775">
        <f>IF($A2775="",0,IF(COUNTIF($A$2:$A2775,$A2775)=1,1,0))</f>
        <v>0</v>
      </c>
      <c r="AD2775">
        <f t="shared" si="661"/>
        <v>29</v>
      </c>
      <c r="AE2775" t="str">
        <f t="shared" si="662"/>
        <v/>
      </c>
    </row>
    <row r="2776" spans="1:31" x14ac:dyDescent="0.4">
      <c r="A2776" t="str">
        <f>IF(原始经营数据!$D2777="","",原始经营数据!$D2777)</f>
        <v/>
      </c>
      <c r="B2776" t="str">
        <f>IF(原始经营数据!$D2777="","",T(原始经营数据!$E2777))</f>
        <v/>
      </c>
      <c r="C2776" t="str">
        <f>IF(原始经营数据!$D2777="","",原始经营数据!$F2777)</f>
        <v/>
      </c>
      <c r="D2776" t="str">
        <f>IF(原始经营数据!$D2777="","",原始经营数据!$H2777)</f>
        <v/>
      </c>
      <c r="E2776" t="str">
        <f>IF(原始经营数据!$D2777="","",原始经营数据!$I2777)</f>
        <v/>
      </c>
      <c r="F2776" t="str">
        <f>IF(原始经营数据!$D2777="","",T(原始经营数据!$J2777))</f>
        <v/>
      </c>
      <c r="G2776" t="str">
        <f>IF(原始经营数据!$D2777="","",T(原始经营数据!$K2777))</f>
        <v/>
      </c>
      <c r="H2776" t="str">
        <f>IF(原始经营数据!$D2777="","",原始经营数据!$G2777)</f>
        <v/>
      </c>
      <c r="I2776" t="str">
        <f>IF($A2776="","",IF($B2776&lt;&gt;"",$B2776,IF(COUNTIFS(原始经营数据!$D$3:$D$3001,$A2776,原始经营数据!$E$3:$E$3001,"",原始经营数据!$F$3:$F$3001,$C2776,原始经营数据!$H$3:$H$3001,$D2776,原始经营数据!$K$3:$K$3001,$G2776)&gt;1,"基金整体·来源"&amp;原始经营数据!$A2777,"基金整体")))</f>
        <v/>
      </c>
      <c r="J2776" t="str">
        <f t="shared" si="648"/>
        <v/>
      </c>
      <c r="K2776" t="str">
        <f t="shared" si="649"/>
        <v/>
      </c>
      <c r="L2776" t="str">
        <f t="shared" si="650"/>
        <v/>
      </c>
      <c r="M2776">
        <f>IF($A2776="",0,IF(COUNTIF($L$2:$L2776,$L2776)=1,1,0))</f>
        <v>0</v>
      </c>
      <c r="N2776" t="str">
        <f t="shared" si="651"/>
        <v/>
      </c>
      <c r="O2776" t="str">
        <f t="shared" si="652"/>
        <v/>
      </c>
      <c r="P2776">
        <f>IF($A2776="",0,IF(COUNTIF($O$2:$O2776,$O2776)=1,1,0))</f>
        <v>0</v>
      </c>
      <c r="Q2776" t="str">
        <f>IF(AND($P2776=1,$A2776=经营数据!$B$3,$J2776=经营数据!$BA$5),COUNTIFS($P$2:$P$3000,1,$A$2:$A$3000,$A2776,$J$2:$J$3000,$J2776,$N$2:$N$3000,"&lt;"&amp;$N2776)+1,"")</f>
        <v/>
      </c>
      <c r="R2776" t="str">
        <f t="shared" si="653"/>
        <v/>
      </c>
      <c r="S2776">
        <f>IF($A2776="",0,IF(COUNTIF($R$2:$R2776,$R2776)=1,1,0))</f>
        <v>0</v>
      </c>
      <c r="T2776" t="str">
        <f t="shared" si="654"/>
        <v/>
      </c>
      <c r="U2776" t="str">
        <f>IF($A2776="","",IF($A2776=经营数据!$B$3,COUNTIFS($S$2:$S$3000,1,$A$2:$A$3000,$A2776,$T$2:$T$3000,"&lt;"&amp;$T2776)+1,""))</f>
        <v/>
      </c>
      <c r="V2776" t="str">
        <f t="shared" si="655"/>
        <v/>
      </c>
      <c r="W2776" t="str">
        <f t="shared" si="656"/>
        <v/>
      </c>
      <c r="X2776" t="str">
        <f t="shared" si="657"/>
        <v/>
      </c>
      <c r="Y2776" t="str">
        <f t="shared" si="658"/>
        <v/>
      </c>
      <c r="Z2776">
        <f>IF($A2776="",0,IF(AND($M2776=1,$A2776=经营数据!$B$3,$J2776=经营数据!$BA$5,OR($I2776=经营数据!$BA$4,COUNTIF(经营数据!$AA$9:$AA$38,$I2776)&gt;0)),1,0))</f>
        <v>0</v>
      </c>
      <c r="AA2776" t="str">
        <f t="shared" si="659"/>
        <v/>
      </c>
      <c r="AB2776" t="str">
        <f t="shared" si="660"/>
        <v/>
      </c>
      <c r="AC2776">
        <f>IF($A2776="",0,IF(COUNTIF($A$2:$A2776,$A2776)=1,1,0))</f>
        <v>0</v>
      </c>
      <c r="AD2776">
        <f t="shared" si="661"/>
        <v>29</v>
      </c>
      <c r="AE2776" t="str">
        <f t="shared" si="662"/>
        <v/>
      </c>
    </row>
    <row r="2777" spans="1:31" x14ac:dyDescent="0.4">
      <c r="A2777" t="str">
        <f>IF(原始经营数据!$D2778="","",原始经营数据!$D2778)</f>
        <v/>
      </c>
      <c r="B2777" t="str">
        <f>IF(原始经营数据!$D2778="","",T(原始经营数据!$E2778))</f>
        <v/>
      </c>
      <c r="C2777" t="str">
        <f>IF(原始经营数据!$D2778="","",原始经营数据!$F2778)</f>
        <v/>
      </c>
      <c r="D2777" t="str">
        <f>IF(原始经营数据!$D2778="","",原始经营数据!$H2778)</f>
        <v/>
      </c>
      <c r="E2777" t="str">
        <f>IF(原始经营数据!$D2778="","",原始经营数据!$I2778)</f>
        <v/>
      </c>
      <c r="F2777" t="str">
        <f>IF(原始经营数据!$D2778="","",T(原始经营数据!$J2778))</f>
        <v/>
      </c>
      <c r="G2777" t="str">
        <f>IF(原始经营数据!$D2778="","",T(原始经营数据!$K2778))</f>
        <v/>
      </c>
      <c r="H2777" t="str">
        <f>IF(原始经营数据!$D2778="","",原始经营数据!$G2778)</f>
        <v/>
      </c>
      <c r="I2777" t="str">
        <f>IF($A2777="","",IF($B2777&lt;&gt;"",$B2777,IF(COUNTIFS(原始经营数据!$D$3:$D$3001,$A2777,原始经营数据!$E$3:$E$3001,"",原始经营数据!$F$3:$F$3001,$C2777,原始经营数据!$H$3:$H$3001,$D2777,原始经营数据!$K$3:$K$3001,$G2777)&gt;1,"基金整体·来源"&amp;原始经营数据!$A2778,"基金整体")))</f>
        <v/>
      </c>
      <c r="J2777" t="str">
        <f t="shared" si="648"/>
        <v/>
      </c>
      <c r="K2777" t="str">
        <f t="shared" si="649"/>
        <v/>
      </c>
      <c r="L2777" t="str">
        <f t="shared" si="650"/>
        <v/>
      </c>
      <c r="M2777">
        <f>IF($A2777="",0,IF(COUNTIF($L$2:$L2777,$L2777)=1,1,0))</f>
        <v>0</v>
      </c>
      <c r="N2777" t="str">
        <f t="shared" si="651"/>
        <v/>
      </c>
      <c r="O2777" t="str">
        <f t="shared" si="652"/>
        <v/>
      </c>
      <c r="P2777">
        <f>IF($A2777="",0,IF(COUNTIF($O$2:$O2777,$O2777)=1,1,0))</f>
        <v>0</v>
      </c>
      <c r="Q2777" t="str">
        <f>IF(AND($P2777=1,$A2777=经营数据!$B$3,$J2777=经营数据!$BA$5),COUNTIFS($P$2:$P$3000,1,$A$2:$A$3000,$A2777,$J$2:$J$3000,$J2777,$N$2:$N$3000,"&lt;"&amp;$N2777)+1,"")</f>
        <v/>
      </c>
      <c r="R2777" t="str">
        <f t="shared" si="653"/>
        <v/>
      </c>
      <c r="S2777">
        <f>IF($A2777="",0,IF(COUNTIF($R$2:$R2777,$R2777)=1,1,0))</f>
        <v>0</v>
      </c>
      <c r="T2777" t="str">
        <f t="shared" si="654"/>
        <v/>
      </c>
      <c r="U2777" t="str">
        <f>IF($A2777="","",IF($A2777=经营数据!$B$3,COUNTIFS($S$2:$S$3000,1,$A$2:$A$3000,$A2777,$T$2:$T$3000,"&lt;"&amp;$T2777)+1,""))</f>
        <v/>
      </c>
      <c r="V2777" t="str">
        <f t="shared" si="655"/>
        <v/>
      </c>
      <c r="W2777" t="str">
        <f t="shared" si="656"/>
        <v/>
      </c>
      <c r="X2777" t="str">
        <f t="shared" si="657"/>
        <v/>
      </c>
      <c r="Y2777" t="str">
        <f t="shared" si="658"/>
        <v/>
      </c>
      <c r="Z2777">
        <f>IF($A2777="",0,IF(AND($M2777=1,$A2777=经营数据!$B$3,$J2777=经营数据!$BA$5,OR($I2777=经营数据!$BA$4,COUNTIF(经营数据!$AA$9:$AA$38,$I2777)&gt;0)),1,0))</f>
        <v>0</v>
      </c>
      <c r="AA2777" t="str">
        <f t="shared" si="659"/>
        <v/>
      </c>
      <c r="AB2777" t="str">
        <f t="shared" si="660"/>
        <v/>
      </c>
      <c r="AC2777">
        <f>IF($A2777="",0,IF(COUNTIF($A$2:$A2777,$A2777)=1,1,0))</f>
        <v>0</v>
      </c>
      <c r="AD2777">
        <f t="shared" si="661"/>
        <v>29</v>
      </c>
      <c r="AE2777" t="str">
        <f t="shared" si="662"/>
        <v/>
      </c>
    </row>
    <row r="2778" spans="1:31" x14ac:dyDescent="0.4">
      <c r="A2778" t="str">
        <f>IF(原始经营数据!$D2779="","",原始经营数据!$D2779)</f>
        <v/>
      </c>
      <c r="B2778" t="str">
        <f>IF(原始经营数据!$D2779="","",T(原始经营数据!$E2779))</f>
        <v/>
      </c>
      <c r="C2778" t="str">
        <f>IF(原始经营数据!$D2779="","",原始经营数据!$F2779)</f>
        <v/>
      </c>
      <c r="D2778" t="str">
        <f>IF(原始经营数据!$D2779="","",原始经营数据!$H2779)</f>
        <v/>
      </c>
      <c r="E2778" t="str">
        <f>IF(原始经营数据!$D2779="","",原始经营数据!$I2779)</f>
        <v/>
      </c>
      <c r="F2778" t="str">
        <f>IF(原始经营数据!$D2779="","",T(原始经营数据!$J2779))</f>
        <v/>
      </c>
      <c r="G2778" t="str">
        <f>IF(原始经营数据!$D2779="","",T(原始经营数据!$K2779))</f>
        <v/>
      </c>
      <c r="H2778" t="str">
        <f>IF(原始经营数据!$D2779="","",原始经营数据!$G2779)</f>
        <v/>
      </c>
      <c r="I2778" t="str">
        <f>IF($A2778="","",IF($B2778&lt;&gt;"",$B2778,IF(COUNTIFS(原始经营数据!$D$3:$D$3001,$A2778,原始经营数据!$E$3:$E$3001,"",原始经营数据!$F$3:$F$3001,$C2778,原始经营数据!$H$3:$H$3001,$D2778,原始经营数据!$K$3:$K$3001,$G2778)&gt;1,"基金整体·来源"&amp;原始经营数据!$A2779,"基金整体")))</f>
        <v/>
      </c>
      <c r="J2778" t="str">
        <f t="shared" si="648"/>
        <v/>
      </c>
      <c r="K2778" t="str">
        <f t="shared" si="649"/>
        <v/>
      </c>
      <c r="L2778" t="str">
        <f t="shared" si="650"/>
        <v/>
      </c>
      <c r="M2778">
        <f>IF($A2778="",0,IF(COUNTIF($L$2:$L2778,$L2778)=1,1,0))</f>
        <v>0</v>
      </c>
      <c r="N2778" t="str">
        <f t="shared" si="651"/>
        <v/>
      </c>
      <c r="O2778" t="str">
        <f t="shared" si="652"/>
        <v/>
      </c>
      <c r="P2778">
        <f>IF($A2778="",0,IF(COUNTIF($O$2:$O2778,$O2778)=1,1,0))</f>
        <v>0</v>
      </c>
      <c r="Q2778" t="str">
        <f>IF(AND($P2778=1,$A2778=经营数据!$B$3,$J2778=经营数据!$BA$5),COUNTIFS($P$2:$P$3000,1,$A$2:$A$3000,$A2778,$J$2:$J$3000,$J2778,$N$2:$N$3000,"&lt;"&amp;$N2778)+1,"")</f>
        <v/>
      </c>
      <c r="R2778" t="str">
        <f t="shared" si="653"/>
        <v/>
      </c>
      <c r="S2778">
        <f>IF($A2778="",0,IF(COUNTIF($R$2:$R2778,$R2778)=1,1,0))</f>
        <v>0</v>
      </c>
      <c r="T2778" t="str">
        <f t="shared" si="654"/>
        <v/>
      </c>
      <c r="U2778" t="str">
        <f>IF($A2778="","",IF($A2778=经营数据!$B$3,COUNTIFS($S$2:$S$3000,1,$A$2:$A$3000,$A2778,$T$2:$T$3000,"&lt;"&amp;$T2778)+1,""))</f>
        <v/>
      </c>
      <c r="V2778" t="str">
        <f t="shared" si="655"/>
        <v/>
      </c>
      <c r="W2778" t="str">
        <f t="shared" si="656"/>
        <v/>
      </c>
      <c r="X2778" t="str">
        <f t="shared" si="657"/>
        <v/>
      </c>
      <c r="Y2778" t="str">
        <f t="shared" si="658"/>
        <v/>
      </c>
      <c r="Z2778">
        <f>IF($A2778="",0,IF(AND($M2778=1,$A2778=经营数据!$B$3,$J2778=经营数据!$BA$5,OR($I2778=经营数据!$BA$4,COUNTIF(经营数据!$AA$9:$AA$38,$I2778)&gt;0)),1,0))</f>
        <v>0</v>
      </c>
      <c r="AA2778" t="str">
        <f t="shared" si="659"/>
        <v/>
      </c>
      <c r="AB2778" t="str">
        <f t="shared" si="660"/>
        <v/>
      </c>
      <c r="AC2778">
        <f>IF($A2778="",0,IF(COUNTIF($A$2:$A2778,$A2778)=1,1,0))</f>
        <v>0</v>
      </c>
      <c r="AD2778">
        <f t="shared" si="661"/>
        <v>29</v>
      </c>
      <c r="AE2778" t="str">
        <f t="shared" si="662"/>
        <v/>
      </c>
    </row>
    <row r="2779" spans="1:31" x14ac:dyDescent="0.4">
      <c r="A2779" t="str">
        <f>IF(原始经营数据!$D2780="","",原始经营数据!$D2780)</f>
        <v/>
      </c>
      <c r="B2779" t="str">
        <f>IF(原始经营数据!$D2780="","",T(原始经营数据!$E2780))</f>
        <v/>
      </c>
      <c r="C2779" t="str">
        <f>IF(原始经营数据!$D2780="","",原始经营数据!$F2780)</f>
        <v/>
      </c>
      <c r="D2779" t="str">
        <f>IF(原始经营数据!$D2780="","",原始经营数据!$H2780)</f>
        <v/>
      </c>
      <c r="E2779" t="str">
        <f>IF(原始经营数据!$D2780="","",原始经营数据!$I2780)</f>
        <v/>
      </c>
      <c r="F2779" t="str">
        <f>IF(原始经营数据!$D2780="","",T(原始经营数据!$J2780))</f>
        <v/>
      </c>
      <c r="G2779" t="str">
        <f>IF(原始经营数据!$D2780="","",T(原始经营数据!$K2780))</f>
        <v/>
      </c>
      <c r="H2779" t="str">
        <f>IF(原始经营数据!$D2780="","",原始经营数据!$G2780)</f>
        <v/>
      </c>
      <c r="I2779" t="str">
        <f>IF($A2779="","",IF($B2779&lt;&gt;"",$B2779,IF(COUNTIFS(原始经营数据!$D$3:$D$3001,$A2779,原始经营数据!$E$3:$E$3001,"",原始经营数据!$F$3:$F$3001,$C2779,原始经营数据!$H$3:$H$3001,$D2779,原始经营数据!$K$3:$K$3001,$G2779)&gt;1,"基金整体·来源"&amp;原始经营数据!$A2780,"基金整体")))</f>
        <v/>
      </c>
      <c r="J2779" t="str">
        <f t="shared" si="648"/>
        <v/>
      </c>
      <c r="K2779" t="str">
        <f t="shared" si="649"/>
        <v/>
      </c>
      <c r="L2779" t="str">
        <f t="shared" si="650"/>
        <v/>
      </c>
      <c r="M2779">
        <f>IF($A2779="",0,IF(COUNTIF($L$2:$L2779,$L2779)=1,1,0))</f>
        <v>0</v>
      </c>
      <c r="N2779" t="str">
        <f t="shared" si="651"/>
        <v/>
      </c>
      <c r="O2779" t="str">
        <f t="shared" si="652"/>
        <v/>
      </c>
      <c r="P2779">
        <f>IF($A2779="",0,IF(COUNTIF($O$2:$O2779,$O2779)=1,1,0))</f>
        <v>0</v>
      </c>
      <c r="Q2779" t="str">
        <f>IF(AND($P2779=1,$A2779=经营数据!$B$3,$J2779=经营数据!$BA$5),COUNTIFS($P$2:$P$3000,1,$A$2:$A$3000,$A2779,$J$2:$J$3000,$J2779,$N$2:$N$3000,"&lt;"&amp;$N2779)+1,"")</f>
        <v/>
      </c>
      <c r="R2779" t="str">
        <f t="shared" si="653"/>
        <v/>
      </c>
      <c r="S2779">
        <f>IF($A2779="",0,IF(COUNTIF($R$2:$R2779,$R2779)=1,1,0))</f>
        <v>0</v>
      </c>
      <c r="T2779" t="str">
        <f t="shared" si="654"/>
        <v/>
      </c>
      <c r="U2779" t="str">
        <f>IF($A2779="","",IF($A2779=经营数据!$B$3,COUNTIFS($S$2:$S$3000,1,$A$2:$A$3000,$A2779,$T$2:$T$3000,"&lt;"&amp;$T2779)+1,""))</f>
        <v/>
      </c>
      <c r="V2779" t="str">
        <f t="shared" si="655"/>
        <v/>
      </c>
      <c r="W2779" t="str">
        <f t="shared" si="656"/>
        <v/>
      </c>
      <c r="X2779" t="str">
        <f t="shared" si="657"/>
        <v/>
      </c>
      <c r="Y2779" t="str">
        <f t="shared" si="658"/>
        <v/>
      </c>
      <c r="Z2779">
        <f>IF($A2779="",0,IF(AND($M2779=1,$A2779=经营数据!$B$3,$J2779=经营数据!$BA$5,OR($I2779=经营数据!$BA$4,COUNTIF(经营数据!$AA$9:$AA$38,$I2779)&gt;0)),1,0))</f>
        <v>0</v>
      </c>
      <c r="AA2779" t="str">
        <f t="shared" si="659"/>
        <v/>
      </c>
      <c r="AB2779" t="str">
        <f t="shared" si="660"/>
        <v/>
      </c>
      <c r="AC2779">
        <f>IF($A2779="",0,IF(COUNTIF($A$2:$A2779,$A2779)=1,1,0))</f>
        <v>0</v>
      </c>
      <c r="AD2779">
        <f t="shared" si="661"/>
        <v>29</v>
      </c>
      <c r="AE2779" t="str">
        <f t="shared" si="662"/>
        <v/>
      </c>
    </row>
    <row r="2780" spans="1:31" x14ac:dyDescent="0.4">
      <c r="A2780" t="str">
        <f>IF(原始经营数据!$D2781="","",原始经营数据!$D2781)</f>
        <v/>
      </c>
      <c r="B2780" t="str">
        <f>IF(原始经营数据!$D2781="","",T(原始经营数据!$E2781))</f>
        <v/>
      </c>
      <c r="C2780" t="str">
        <f>IF(原始经营数据!$D2781="","",原始经营数据!$F2781)</f>
        <v/>
      </c>
      <c r="D2780" t="str">
        <f>IF(原始经营数据!$D2781="","",原始经营数据!$H2781)</f>
        <v/>
      </c>
      <c r="E2780" t="str">
        <f>IF(原始经营数据!$D2781="","",原始经营数据!$I2781)</f>
        <v/>
      </c>
      <c r="F2780" t="str">
        <f>IF(原始经营数据!$D2781="","",T(原始经营数据!$J2781))</f>
        <v/>
      </c>
      <c r="G2780" t="str">
        <f>IF(原始经营数据!$D2781="","",T(原始经营数据!$K2781))</f>
        <v/>
      </c>
      <c r="H2780" t="str">
        <f>IF(原始经营数据!$D2781="","",原始经营数据!$G2781)</f>
        <v/>
      </c>
      <c r="I2780" t="str">
        <f>IF($A2780="","",IF($B2780&lt;&gt;"",$B2780,IF(COUNTIFS(原始经营数据!$D$3:$D$3001,$A2780,原始经营数据!$E$3:$E$3001,"",原始经营数据!$F$3:$F$3001,$C2780,原始经营数据!$H$3:$H$3001,$D2780,原始经营数据!$K$3:$K$3001,$G2780)&gt;1,"基金整体·来源"&amp;原始经营数据!$A2781,"基金整体")))</f>
        <v/>
      </c>
      <c r="J2780" t="str">
        <f t="shared" si="648"/>
        <v/>
      </c>
      <c r="K2780" t="str">
        <f t="shared" si="649"/>
        <v/>
      </c>
      <c r="L2780" t="str">
        <f t="shared" si="650"/>
        <v/>
      </c>
      <c r="M2780">
        <f>IF($A2780="",0,IF(COUNTIF($L$2:$L2780,$L2780)=1,1,0))</f>
        <v>0</v>
      </c>
      <c r="N2780" t="str">
        <f t="shared" si="651"/>
        <v/>
      </c>
      <c r="O2780" t="str">
        <f t="shared" si="652"/>
        <v/>
      </c>
      <c r="P2780">
        <f>IF($A2780="",0,IF(COUNTIF($O$2:$O2780,$O2780)=1,1,0))</f>
        <v>0</v>
      </c>
      <c r="Q2780" t="str">
        <f>IF(AND($P2780=1,$A2780=经营数据!$B$3,$J2780=经营数据!$BA$5),COUNTIFS($P$2:$P$3000,1,$A$2:$A$3000,$A2780,$J$2:$J$3000,$J2780,$N$2:$N$3000,"&lt;"&amp;$N2780)+1,"")</f>
        <v/>
      </c>
      <c r="R2780" t="str">
        <f t="shared" si="653"/>
        <v/>
      </c>
      <c r="S2780">
        <f>IF($A2780="",0,IF(COUNTIF($R$2:$R2780,$R2780)=1,1,0))</f>
        <v>0</v>
      </c>
      <c r="T2780" t="str">
        <f t="shared" si="654"/>
        <v/>
      </c>
      <c r="U2780" t="str">
        <f>IF($A2780="","",IF($A2780=经营数据!$B$3,COUNTIFS($S$2:$S$3000,1,$A$2:$A$3000,$A2780,$T$2:$T$3000,"&lt;"&amp;$T2780)+1,""))</f>
        <v/>
      </c>
      <c r="V2780" t="str">
        <f t="shared" si="655"/>
        <v/>
      </c>
      <c r="W2780" t="str">
        <f t="shared" si="656"/>
        <v/>
      </c>
      <c r="X2780" t="str">
        <f t="shared" si="657"/>
        <v/>
      </c>
      <c r="Y2780" t="str">
        <f t="shared" si="658"/>
        <v/>
      </c>
      <c r="Z2780">
        <f>IF($A2780="",0,IF(AND($M2780=1,$A2780=经营数据!$B$3,$J2780=经营数据!$BA$5,OR($I2780=经营数据!$BA$4,COUNTIF(经营数据!$AA$9:$AA$38,$I2780)&gt;0)),1,0))</f>
        <v>0</v>
      </c>
      <c r="AA2780" t="str">
        <f t="shared" si="659"/>
        <v/>
      </c>
      <c r="AB2780" t="str">
        <f t="shared" si="660"/>
        <v/>
      </c>
      <c r="AC2780">
        <f>IF($A2780="",0,IF(COUNTIF($A$2:$A2780,$A2780)=1,1,0))</f>
        <v>0</v>
      </c>
      <c r="AD2780">
        <f t="shared" si="661"/>
        <v>29</v>
      </c>
      <c r="AE2780" t="str">
        <f t="shared" si="662"/>
        <v/>
      </c>
    </row>
    <row r="2781" spans="1:31" x14ac:dyDescent="0.4">
      <c r="A2781" t="str">
        <f>IF(原始经营数据!$D2782="","",原始经营数据!$D2782)</f>
        <v/>
      </c>
      <c r="B2781" t="str">
        <f>IF(原始经营数据!$D2782="","",T(原始经营数据!$E2782))</f>
        <v/>
      </c>
      <c r="C2781" t="str">
        <f>IF(原始经营数据!$D2782="","",原始经营数据!$F2782)</f>
        <v/>
      </c>
      <c r="D2781" t="str">
        <f>IF(原始经营数据!$D2782="","",原始经营数据!$H2782)</f>
        <v/>
      </c>
      <c r="E2781" t="str">
        <f>IF(原始经营数据!$D2782="","",原始经营数据!$I2782)</f>
        <v/>
      </c>
      <c r="F2781" t="str">
        <f>IF(原始经营数据!$D2782="","",T(原始经营数据!$J2782))</f>
        <v/>
      </c>
      <c r="G2781" t="str">
        <f>IF(原始经营数据!$D2782="","",T(原始经营数据!$K2782))</f>
        <v/>
      </c>
      <c r="H2781" t="str">
        <f>IF(原始经营数据!$D2782="","",原始经营数据!$G2782)</f>
        <v/>
      </c>
      <c r="I2781" t="str">
        <f>IF($A2781="","",IF($B2781&lt;&gt;"",$B2781,IF(COUNTIFS(原始经营数据!$D$3:$D$3001,$A2781,原始经营数据!$E$3:$E$3001,"",原始经营数据!$F$3:$F$3001,$C2781,原始经营数据!$H$3:$H$3001,$D2781,原始经营数据!$K$3:$K$3001,$G2781)&gt;1,"基金整体·来源"&amp;原始经营数据!$A2782,"基金整体")))</f>
        <v/>
      </c>
      <c r="J2781" t="str">
        <f t="shared" si="648"/>
        <v/>
      </c>
      <c r="K2781" t="str">
        <f t="shared" si="649"/>
        <v/>
      </c>
      <c r="L2781" t="str">
        <f t="shared" si="650"/>
        <v/>
      </c>
      <c r="M2781">
        <f>IF($A2781="",0,IF(COUNTIF($L$2:$L2781,$L2781)=1,1,0))</f>
        <v>0</v>
      </c>
      <c r="N2781" t="str">
        <f t="shared" si="651"/>
        <v/>
      </c>
      <c r="O2781" t="str">
        <f t="shared" si="652"/>
        <v/>
      </c>
      <c r="P2781">
        <f>IF($A2781="",0,IF(COUNTIF($O$2:$O2781,$O2781)=1,1,0))</f>
        <v>0</v>
      </c>
      <c r="Q2781" t="str">
        <f>IF(AND($P2781=1,$A2781=经营数据!$B$3,$J2781=经营数据!$BA$5),COUNTIFS($P$2:$P$3000,1,$A$2:$A$3000,$A2781,$J$2:$J$3000,$J2781,$N$2:$N$3000,"&lt;"&amp;$N2781)+1,"")</f>
        <v/>
      </c>
      <c r="R2781" t="str">
        <f t="shared" si="653"/>
        <v/>
      </c>
      <c r="S2781">
        <f>IF($A2781="",0,IF(COUNTIF($R$2:$R2781,$R2781)=1,1,0))</f>
        <v>0</v>
      </c>
      <c r="T2781" t="str">
        <f t="shared" si="654"/>
        <v/>
      </c>
      <c r="U2781" t="str">
        <f>IF($A2781="","",IF($A2781=经营数据!$B$3,COUNTIFS($S$2:$S$3000,1,$A$2:$A$3000,$A2781,$T$2:$T$3000,"&lt;"&amp;$T2781)+1,""))</f>
        <v/>
      </c>
      <c r="V2781" t="str">
        <f t="shared" si="655"/>
        <v/>
      </c>
      <c r="W2781" t="str">
        <f t="shared" si="656"/>
        <v/>
      </c>
      <c r="X2781" t="str">
        <f t="shared" si="657"/>
        <v/>
      </c>
      <c r="Y2781" t="str">
        <f t="shared" si="658"/>
        <v/>
      </c>
      <c r="Z2781">
        <f>IF($A2781="",0,IF(AND($M2781=1,$A2781=经营数据!$B$3,$J2781=经营数据!$BA$5,OR($I2781=经营数据!$BA$4,COUNTIF(经营数据!$AA$9:$AA$38,$I2781)&gt;0)),1,0))</f>
        <v>0</v>
      </c>
      <c r="AA2781" t="str">
        <f t="shared" si="659"/>
        <v/>
      </c>
      <c r="AB2781" t="str">
        <f t="shared" si="660"/>
        <v/>
      </c>
      <c r="AC2781">
        <f>IF($A2781="",0,IF(COUNTIF($A$2:$A2781,$A2781)=1,1,0))</f>
        <v>0</v>
      </c>
      <c r="AD2781">
        <f t="shared" si="661"/>
        <v>29</v>
      </c>
      <c r="AE2781" t="str">
        <f t="shared" si="662"/>
        <v/>
      </c>
    </row>
    <row r="2782" spans="1:31" x14ac:dyDescent="0.4">
      <c r="A2782" t="str">
        <f>IF(原始经营数据!$D2783="","",原始经营数据!$D2783)</f>
        <v/>
      </c>
      <c r="B2782" t="str">
        <f>IF(原始经营数据!$D2783="","",T(原始经营数据!$E2783))</f>
        <v/>
      </c>
      <c r="C2782" t="str">
        <f>IF(原始经营数据!$D2783="","",原始经营数据!$F2783)</f>
        <v/>
      </c>
      <c r="D2782" t="str">
        <f>IF(原始经营数据!$D2783="","",原始经营数据!$H2783)</f>
        <v/>
      </c>
      <c r="E2782" t="str">
        <f>IF(原始经营数据!$D2783="","",原始经营数据!$I2783)</f>
        <v/>
      </c>
      <c r="F2782" t="str">
        <f>IF(原始经营数据!$D2783="","",T(原始经营数据!$J2783))</f>
        <v/>
      </c>
      <c r="G2782" t="str">
        <f>IF(原始经营数据!$D2783="","",T(原始经营数据!$K2783))</f>
        <v/>
      </c>
      <c r="H2782" t="str">
        <f>IF(原始经营数据!$D2783="","",原始经营数据!$G2783)</f>
        <v/>
      </c>
      <c r="I2782" t="str">
        <f>IF($A2782="","",IF($B2782&lt;&gt;"",$B2782,IF(COUNTIFS(原始经营数据!$D$3:$D$3001,$A2782,原始经营数据!$E$3:$E$3001,"",原始经营数据!$F$3:$F$3001,$C2782,原始经营数据!$H$3:$H$3001,$D2782,原始经营数据!$K$3:$K$3001,$G2782)&gt;1,"基金整体·来源"&amp;原始经营数据!$A2783,"基金整体")))</f>
        <v/>
      </c>
      <c r="J2782" t="str">
        <f t="shared" si="648"/>
        <v/>
      </c>
      <c r="K2782" t="str">
        <f t="shared" si="649"/>
        <v/>
      </c>
      <c r="L2782" t="str">
        <f t="shared" si="650"/>
        <v/>
      </c>
      <c r="M2782">
        <f>IF($A2782="",0,IF(COUNTIF($L$2:$L2782,$L2782)=1,1,0))</f>
        <v>0</v>
      </c>
      <c r="N2782" t="str">
        <f t="shared" si="651"/>
        <v/>
      </c>
      <c r="O2782" t="str">
        <f t="shared" si="652"/>
        <v/>
      </c>
      <c r="P2782">
        <f>IF($A2782="",0,IF(COUNTIF($O$2:$O2782,$O2782)=1,1,0))</f>
        <v>0</v>
      </c>
      <c r="Q2782" t="str">
        <f>IF(AND($P2782=1,$A2782=经营数据!$B$3,$J2782=经营数据!$BA$5),COUNTIFS($P$2:$P$3000,1,$A$2:$A$3000,$A2782,$J$2:$J$3000,$J2782,$N$2:$N$3000,"&lt;"&amp;$N2782)+1,"")</f>
        <v/>
      </c>
      <c r="R2782" t="str">
        <f t="shared" si="653"/>
        <v/>
      </c>
      <c r="S2782">
        <f>IF($A2782="",0,IF(COUNTIF($R$2:$R2782,$R2782)=1,1,0))</f>
        <v>0</v>
      </c>
      <c r="T2782" t="str">
        <f t="shared" si="654"/>
        <v/>
      </c>
      <c r="U2782" t="str">
        <f>IF($A2782="","",IF($A2782=经营数据!$B$3,COUNTIFS($S$2:$S$3000,1,$A$2:$A$3000,$A2782,$T$2:$T$3000,"&lt;"&amp;$T2782)+1,""))</f>
        <v/>
      </c>
      <c r="V2782" t="str">
        <f t="shared" si="655"/>
        <v/>
      </c>
      <c r="W2782" t="str">
        <f t="shared" si="656"/>
        <v/>
      </c>
      <c r="X2782" t="str">
        <f t="shared" si="657"/>
        <v/>
      </c>
      <c r="Y2782" t="str">
        <f t="shared" si="658"/>
        <v/>
      </c>
      <c r="Z2782">
        <f>IF($A2782="",0,IF(AND($M2782=1,$A2782=经营数据!$B$3,$J2782=经营数据!$BA$5,OR($I2782=经营数据!$BA$4,COUNTIF(经营数据!$AA$9:$AA$38,$I2782)&gt;0)),1,0))</f>
        <v>0</v>
      </c>
      <c r="AA2782" t="str">
        <f t="shared" si="659"/>
        <v/>
      </c>
      <c r="AB2782" t="str">
        <f t="shared" si="660"/>
        <v/>
      </c>
      <c r="AC2782">
        <f>IF($A2782="",0,IF(COUNTIF($A$2:$A2782,$A2782)=1,1,0))</f>
        <v>0</v>
      </c>
      <c r="AD2782">
        <f t="shared" si="661"/>
        <v>29</v>
      </c>
      <c r="AE2782" t="str">
        <f t="shared" si="662"/>
        <v/>
      </c>
    </row>
    <row r="2783" spans="1:31" x14ac:dyDescent="0.4">
      <c r="A2783" t="str">
        <f>IF(原始经营数据!$D2784="","",原始经营数据!$D2784)</f>
        <v/>
      </c>
      <c r="B2783" t="str">
        <f>IF(原始经营数据!$D2784="","",T(原始经营数据!$E2784))</f>
        <v/>
      </c>
      <c r="C2783" t="str">
        <f>IF(原始经营数据!$D2784="","",原始经营数据!$F2784)</f>
        <v/>
      </c>
      <c r="D2783" t="str">
        <f>IF(原始经营数据!$D2784="","",原始经营数据!$H2784)</f>
        <v/>
      </c>
      <c r="E2783" t="str">
        <f>IF(原始经营数据!$D2784="","",原始经营数据!$I2784)</f>
        <v/>
      </c>
      <c r="F2783" t="str">
        <f>IF(原始经营数据!$D2784="","",T(原始经营数据!$J2784))</f>
        <v/>
      </c>
      <c r="G2783" t="str">
        <f>IF(原始经营数据!$D2784="","",T(原始经营数据!$K2784))</f>
        <v/>
      </c>
      <c r="H2783" t="str">
        <f>IF(原始经营数据!$D2784="","",原始经营数据!$G2784)</f>
        <v/>
      </c>
      <c r="I2783" t="str">
        <f>IF($A2783="","",IF($B2783&lt;&gt;"",$B2783,IF(COUNTIFS(原始经营数据!$D$3:$D$3001,$A2783,原始经营数据!$E$3:$E$3001,"",原始经营数据!$F$3:$F$3001,$C2783,原始经营数据!$H$3:$H$3001,$D2783,原始经营数据!$K$3:$K$3001,$G2783)&gt;1,"基金整体·来源"&amp;原始经营数据!$A2784,"基金整体")))</f>
        <v/>
      </c>
      <c r="J2783" t="str">
        <f t="shared" si="648"/>
        <v/>
      </c>
      <c r="K2783" t="str">
        <f t="shared" si="649"/>
        <v/>
      </c>
      <c r="L2783" t="str">
        <f t="shared" si="650"/>
        <v/>
      </c>
      <c r="M2783">
        <f>IF($A2783="",0,IF(COUNTIF($L$2:$L2783,$L2783)=1,1,0))</f>
        <v>0</v>
      </c>
      <c r="N2783" t="str">
        <f t="shared" si="651"/>
        <v/>
      </c>
      <c r="O2783" t="str">
        <f t="shared" si="652"/>
        <v/>
      </c>
      <c r="P2783">
        <f>IF($A2783="",0,IF(COUNTIF($O$2:$O2783,$O2783)=1,1,0))</f>
        <v>0</v>
      </c>
      <c r="Q2783" t="str">
        <f>IF(AND($P2783=1,$A2783=经营数据!$B$3,$J2783=经营数据!$BA$5),COUNTIFS($P$2:$P$3000,1,$A$2:$A$3000,$A2783,$J$2:$J$3000,$J2783,$N$2:$N$3000,"&lt;"&amp;$N2783)+1,"")</f>
        <v/>
      </c>
      <c r="R2783" t="str">
        <f t="shared" si="653"/>
        <v/>
      </c>
      <c r="S2783">
        <f>IF($A2783="",0,IF(COUNTIF($R$2:$R2783,$R2783)=1,1,0))</f>
        <v>0</v>
      </c>
      <c r="T2783" t="str">
        <f t="shared" si="654"/>
        <v/>
      </c>
      <c r="U2783" t="str">
        <f>IF($A2783="","",IF($A2783=经营数据!$B$3,COUNTIFS($S$2:$S$3000,1,$A$2:$A$3000,$A2783,$T$2:$T$3000,"&lt;"&amp;$T2783)+1,""))</f>
        <v/>
      </c>
      <c r="V2783" t="str">
        <f t="shared" si="655"/>
        <v/>
      </c>
      <c r="W2783" t="str">
        <f t="shared" si="656"/>
        <v/>
      </c>
      <c r="X2783" t="str">
        <f t="shared" si="657"/>
        <v/>
      </c>
      <c r="Y2783" t="str">
        <f t="shared" si="658"/>
        <v/>
      </c>
      <c r="Z2783">
        <f>IF($A2783="",0,IF(AND($M2783=1,$A2783=经营数据!$B$3,$J2783=经营数据!$BA$5,OR($I2783=经营数据!$BA$4,COUNTIF(经营数据!$AA$9:$AA$38,$I2783)&gt;0)),1,0))</f>
        <v>0</v>
      </c>
      <c r="AA2783" t="str">
        <f t="shared" si="659"/>
        <v/>
      </c>
      <c r="AB2783" t="str">
        <f t="shared" si="660"/>
        <v/>
      </c>
      <c r="AC2783">
        <f>IF($A2783="",0,IF(COUNTIF($A$2:$A2783,$A2783)=1,1,0))</f>
        <v>0</v>
      </c>
      <c r="AD2783">
        <f t="shared" si="661"/>
        <v>29</v>
      </c>
      <c r="AE2783" t="str">
        <f t="shared" si="662"/>
        <v/>
      </c>
    </row>
    <row r="2784" spans="1:31" x14ac:dyDescent="0.4">
      <c r="A2784" t="str">
        <f>IF(原始经营数据!$D2785="","",原始经营数据!$D2785)</f>
        <v/>
      </c>
      <c r="B2784" t="str">
        <f>IF(原始经营数据!$D2785="","",T(原始经营数据!$E2785))</f>
        <v/>
      </c>
      <c r="C2784" t="str">
        <f>IF(原始经营数据!$D2785="","",原始经营数据!$F2785)</f>
        <v/>
      </c>
      <c r="D2784" t="str">
        <f>IF(原始经营数据!$D2785="","",原始经营数据!$H2785)</f>
        <v/>
      </c>
      <c r="E2784" t="str">
        <f>IF(原始经营数据!$D2785="","",原始经营数据!$I2785)</f>
        <v/>
      </c>
      <c r="F2784" t="str">
        <f>IF(原始经营数据!$D2785="","",T(原始经营数据!$J2785))</f>
        <v/>
      </c>
      <c r="G2784" t="str">
        <f>IF(原始经营数据!$D2785="","",T(原始经营数据!$K2785))</f>
        <v/>
      </c>
      <c r="H2784" t="str">
        <f>IF(原始经营数据!$D2785="","",原始经营数据!$G2785)</f>
        <v/>
      </c>
      <c r="I2784" t="str">
        <f>IF($A2784="","",IF($B2784&lt;&gt;"",$B2784,IF(COUNTIFS(原始经营数据!$D$3:$D$3001,$A2784,原始经营数据!$E$3:$E$3001,"",原始经营数据!$F$3:$F$3001,$C2784,原始经营数据!$H$3:$H$3001,$D2784,原始经营数据!$K$3:$K$3001,$G2784)&gt;1,"基金整体·来源"&amp;原始经营数据!$A2785,"基金整体")))</f>
        <v/>
      </c>
      <c r="J2784" t="str">
        <f t="shared" si="648"/>
        <v/>
      </c>
      <c r="K2784" t="str">
        <f t="shared" si="649"/>
        <v/>
      </c>
      <c r="L2784" t="str">
        <f t="shared" si="650"/>
        <v/>
      </c>
      <c r="M2784">
        <f>IF($A2784="",0,IF(COUNTIF($L$2:$L2784,$L2784)=1,1,0))</f>
        <v>0</v>
      </c>
      <c r="N2784" t="str">
        <f t="shared" si="651"/>
        <v/>
      </c>
      <c r="O2784" t="str">
        <f t="shared" si="652"/>
        <v/>
      </c>
      <c r="P2784">
        <f>IF($A2784="",0,IF(COUNTIF($O$2:$O2784,$O2784)=1,1,0))</f>
        <v>0</v>
      </c>
      <c r="Q2784" t="str">
        <f>IF(AND($P2784=1,$A2784=经营数据!$B$3,$J2784=经营数据!$BA$5),COUNTIFS($P$2:$P$3000,1,$A$2:$A$3000,$A2784,$J$2:$J$3000,$J2784,$N$2:$N$3000,"&lt;"&amp;$N2784)+1,"")</f>
        <v/>
      </c>
      <c r="R2784" t="str">
        <f t="shared" si="653"/>
        <v/>
      </c>
      <c r="S2784">
        <f>IF($A2784="",0,IF(COUNTIF($R$2:$R2784,$R2784)=1,1,0))</f>
        <v>0</v>
      </c>
      <c r="T2784" t="str">
        <f t="shared" si="654"/>
        <v/>
      </c>
      <c r="U2784" t="str">
        <f>IF($A2784="","",IF($A2784=经营数据!$B$3,COUNTIFS($S$2:$S$3000,1,$A$2:$A$3000,$A2784,$T$2:$T$3000,"&lt;"&amp;$T2784)+1,""))</f>
        <v/>
      </c>
      <c r="V2784" t="str">
        <f t="shared" si="655"/>
        <v/>
      </c>
      <c r="W2784" t="str">
        <f t="shared" si="656"/>
        <v/>
      </c>
      <c r="X2784" t="str">
        <f t="shared" si="657"/>
        <v/>
      </c>
      <c r="Y2784" t="str">
        <f t="shared" si="658"/>
        <v/>
      </c>
      <c r="Z2784">
        <f>IF($A2784="",0,IF(AND($M2784=1,$A2784=经营数据!$B$3,$J2784=经营数据!$BA$5,OR($I2784=经营数据!$BA$4,COUNTIF(经营数据!$AA$9:$AA$38,$I2784)&gt;0)),1,0))</f>
        <v>0</v>
      </c>
      <c r="AA2784" t="str">
        <f t="shared" si="659"/>
        <v/>
      </c>
      <c r="AB2784" t="str">
        <f t="shared" si="660"/>
        <v/>
      </c>
      <c r="AC2784">
        <f>IF($A2784="",0,IF(COUNTIF($A$2:$A2784,$A2784)=1,1,0))</f>
        <v>0</v>
      </c>
      <c r="AD2784">
        <f t="shared" si="661"/>
        <v>29</v>
      </c>
      <c r="AE2784" t="str">
        <f t="shared" si="662"/>
        <v/>
      </c>
    </row>
    <row r="2785" spans="1:31" x14ac:dyDescent="0.4">
      <c r="A2785" t="str">
        <f>IF(原始经营数据!$D2786="","",原始经营数据!$D2786)</f>
        <v/>
      </c>
      <c r="B2785" t="str">
        <f>IF(原始经营数据!$D2786="","",T(原始经营数据!$E2786))</f>
        <v/>
      </c>
      <c r="C2785" t="str">
        <f>IF(原始经营数据!$D2786="","",原始经营数据!$F2786)</f>
        <v/>
      </c>
      <c r="D2785" t="str">
        <f>IF(原始经营数据!$D2786="","",原始经营数据!$H2786)</f>
        <v/>
      </c>
      <c r="E2785" t="str">
        <f>IF(原始经营数据!$D2786="","",原始经营数据!$I2786)</f>
        <v/>
      </c>
      <c r="F2785" t="str">
        <f>IF(原始经营数据!$D2786="","",T(原始经营数据!$J2786))</f>
        <v/>
      </c>
      <c r="G2785" t="str">
        <f>IF(原始经营数据!$D2786="","",T(原始经营数据!$K2786))</f>
        <v/>
      </c>
      <c r="H2785" t="str">
        <f>IF(原始经营数据!$D2786="","",原始经营数据!$G2786)</f>
        <v/>
      </c>
      <c r="I2785" t="str">
        <f>IF($A2785="","",IF($B2785&lt;&gt;"",$B2785,IF(COUNTIFS(原始经营数据!$D$3:$D$3001,$A2785,原始经营数据!$E$3:$E$3001,"",原始经营数据!$F$3:$F$3001,$C2785,原始经营数据!$H$3:$H$3001,$D2785,原始经营数据!$K$3:$K$3001,$G2785)&gt;1,"基金整体·来源"&amp;原始经营数据!$A2786,"基金整体")))</f>
        <v/>
      </c>
      <c r="J2785" t="str">
        <f t="shared" si="648"/>
        <v/>
      </c>
      <c r="K2785" t="str">
        <f t="shared" si="649"/>
        <v/>
      </c>
      <c r="L2785" t="str">
        <f t="shared" si="650"/>
        <v/>
      </c>
      <c r="M2785">
        <f>IF($A2785="",0,IF(COUNTIF($L$2:$L2785,$L2785)=1,1,0))</f>
        <v>0</v>
      </c>
      <c r="N2785" t="str">
        <f t="shared" si="651"/>
        <v/>
      </c>
      <c r="O2785" t="str">
        <f t="shared" si="652"/>
        <v/>
      </c>
      <c r="P2785">
        <f>IF($A2785="",0,IF(COUNTIF($O$2:$O2785,$O2785)=1,1,0))</f>
        <v>0</v>
      </c>
      <c r="Q2785" t="str">
        <f>IF(AND($P2785=1,$A2785=经营数据!$B$3,$J2785=经营数据!$BA$5),COUNTIFS($P$2:$P$3000,1,$A$2:$A$3000,$A2785,$J$2:$J$3000,$J2785,$N$2:$N$3000,"&lt;"&amp;$N2785)+1,"")</f>
        <v/>
      </c>
      <c r="R2785" t="str">
        <f t="shared" si="653"/>
        <v/>
      </c>
      <c r="S2785">
        <f>IF($A2785="",0,IF(COUNTIF($R$2:$R2785,$R2785)=1,1,0))</f>
        <v>0</v>
      </c>
      <c r="T2785" t="str">
        <f t="shared" si="654"/>
        <v/>
      </c>
      <c r="U2785" t="str">
        <f>IF($A2785="","",IF($A2785=经营数据!$B$3,COUNTIFS($S$2:$S$3000,1,$A$2:$A$3000,$A2785,$T$2:$T$3000,"&lt;"&amp;$T2785)+1,""))</f>
        <v/>
      </c>
      <c r="V2785" t="str">
        <f t="shared" si="655"/>
        <v/>
      </c>
      <c r="W2785" t="str">
        <f t="shared" si="656"/>
        <v/>
      </c>
      <c r="X2785" t="str">
        <f t="shared" si="657"/>
        <v/>
      </c>
      <c r="Y2785" t="str">
        <f t="shared" si="658"/>
        <v/>
      </c>
      <c r="Z2785">
        <f>IF($A2785="",0,IF(AND($M2785=1,$A2785=经营数据!$B$3,$J2785=经营数据!$BA$5,OR($I2785=经营数据!$BA$4,COUNTIF(经营数据!$AA$9:$AA$38,$I2785)&gt;0)),1,0))</f>
        <v>0</v>
      </c>
      <c r="AA2785" t="str">
        <f t="shared" si="659"/>
        <v/>
      </c>
      <c r="AB2785" t="str">
        <f t="shared" si="660"/>
        <v/>
      </c>
      <c r="AC2785">
        <f>IF($A2785="",0,IF(COUNTIF($A$2:$A2785,$A2785)=1,1,0))</f>
        <v>0</v>
      </c>
      <c r="AD2785">
        <f t="shared" si="661"/>
        <v>29</v>
      </c>
      <c r="AE2785" t="str">
        <f t="shared" si="662"/>
        <v/>
      </c>
    </row>
    <row r="2786" spans="1:31" x14ac:dyDescent="0.4">
      <c r="A2786" t="str">
        <f>IF(原始经营数据!$D2787="","",原始经营数据!$D2787)</f>
        <v/>
      </c>
      <c r="B2786" t="str">
        <f>IF(原始经营数据!$D2787="","",T(原始经营数据!$E2787))</f>
        <v/>
      </c>
      <c r="C2786" t="str">
        <f>IF(原始经营数据!$D2787="","",原始经营数据!$F2787)</f>
        <v/>
      </c>
      <c r="D2786" t="str">
        <f>IF(原始经营数据!$D2787="","",原始经营数据!$H2787)</f>
        <v/>
      </c>
      <c r="E2786" t="str">
        <f>IF(原始经营数据!$D2787="","",原始经营数据!$I2787)</f>
        <v/>
      </c>
      <c r="F2786" t="str">
        <f>IF(原始经营数据!$D2787="","",T(原始经营数据!$J2787))</f>
        <v/>
      </c>
      <c r="G2786" t="str">
        <f>IF(原始经营数据!$D2787="","",T(原始经营数据!$K2787))</f>
        <v/>
      </c>
      <c r="H2786" t="str">
        <f>IF(原始经营数据!$D2787="","",原始经营数据!$G2787)</f>
        <v/>
      </c>
      <c r="I2786" t="str">
        <f>IF($A2786="","",IF($B2786&lt;&gt;"",$B2786,IF(COUNTIFS(原始经营数据!$D$3:$D$3001,$A2786,原始经营数据!$E$3:$E$3001,"",原始经营数据!$F$3:$F$3001,$C2786,原始经营数据!$H$3:$H$3001,$D2786,原始经营数据!$K$3:$K$3001,$G2786)&gt;1,"基金整体·来源"&amp;原始经营数据!$A2787,"基金整体")))</f>
        <v/>
      </c>
      <c r="J2786" t="str">
        <f t="shared" si="648"/>
        <v/>
      </c>
      <c r="K2786" t="str">
        <f t="shared" si="649"/>
        <v/>
      </c>
      <c r="L2786" t="str">
        <f t="shared" si="650"/>
        <v/>
      </c>
      <c r="M2786">
        <f>IF($A2786="",0,IF(COUNTIF($L$2:$L2786,$L2786)=1,1,0))</f>
        <v>0</v>
      </c>
      <c r="N2786" t="str">
        <f t="shared" si="651"/>
        <v/>
      </c>
      <c r="O2786" t="str">
        <f t="shared" si="652"/>
        <v/>
      </c>
      <c r="P2786">
        <f>IF($A2786="",0,IF(COUNTIF($O$2:$O2786,$O2786)=1,1,0))</f>
        <v>0</v>
      </c>
      <c r="Q2786" t="str">
        <f>IF(AND($P2786=1,$A2786=经营数据!$B$3,$J2786=经营数据!$BA$5),COUNTIFS($P$2:$P$3000,1,$A$2:$A$3000,$A2786,$J$2:$J$3000,$J2786,$N$2:$N$3000,"&lt;"&amp;$N2786)+1,"")</f>
        <v/>
      </c>
      <c r="R2786" t="str">
        <f t="shared" si="653"/>
        <v/>
      </c>
      <c r="S2786">
        <f>IF($A2786="",0,IF(COUNTIF($R$2:$R2786,$R2786)=1,1,0))</f>
        <v>0</v>
      </c>
      <c r="T2786" t="str">
        <f t="shared" si="654"/>
        <v/>
      </c>
      <c r="U2786" t="str">
        <f>IF($A2786="","",IF($A2786=经营数据!$B$3,COUNTIFS($S$2:$S$3000,1,$A$2:$A$3000,$A2786,$T$2:$T$3000,"&lt;"&amp;$T2786)+1,""))</f>
        <v/>
      </c>
      <c r="V2786" t="str">
        <f t="shared" si="655"/>
        <v/>
      </c>
      <c r="W2786" t="str">
        <f t="shared" si="656"/>
        <v/>
      </c>
      <c r="X2786" t="str">
        <f t="shared" si="657"/>
        <v/>
      </c>
      <c r="Y2786" t="str">
        <f t="shared" si="658"/>
        <v/>
      </c>
      <c r="Z2786">
        <f>IF($A2786="",0,IF(AND($M2786=1,$A2786=经营数据!$B$3,$J2786=经营数据!$BA$5,OR($I2786=经营数据!$BA$4,COUNTIF(经营数据!$AA$9:$AA$38,$I2786)&gt;0)),1,0))</f>
        <v>0</v>
      </c>
      <c r="AA2786" t="str">
        <f t="shared" si="659"/>
        <v/>
      </c>
      <c r="AB2786" t="str">
        <f t="shared" si="660"/>
        <v/>
      </c>
      <c r="AC2786">
        <f>IF($A2786="",0,IF(COUNTIF($A$2:$A2786,$A2786)=1,1,0))</f>
        <v>0</v>
      </c>
      <c r="AD2786">
        <f t="shared" si="661"/>
        <v>29</v>
      </c>
      <c r="AE2786" t="str">
        <f t="shared" si="662"/>
        <v/>
      </c>
    </row>
    <row r="2787" spans="1:31" x14ac:dyDescent="0.4">
      <c r="A2787" t="str">
        <f>IF(原始经营数据!$D2788="","",原始经营数据!$D2788)</f>
        <v/>
      </c>
      <c r="B2787" t="str">
        <f>IF(原始经营数据!$D2788="","",T(原始经营数据!$E2788))</f>
        <v/>
      </c>
      <c r="C2787" t="str">
        <f>IF(原始经营数据!$D2788="","",原始经营数据!$F2788)</f>
        <v/>
      </c>
      <c r="D2787" t="str">
        <f>IF(原始经营数据!$D2788="","",原始经营数据!$H2788)</f>
        <v/>
      </c>
      <c r="E2787" t="str">
        <f>IF(原始经营数据!$D2788="","",原始经营数据!$I2788)</f>
        <v/>
      </c>
      <c r="F2787" t="str">
        <f>IF(原始经营数据!$D2788="","",T(原始经营数据!$J2788))</f>
        <v/>
      </c>
      <c r="G2787" t="str">
        <f>IF(原始经营数据!$D2788="","",T(原始经营数据!$K2788))</f>
        <v/>
      </c>
      <c r="H2787" t="str">
        <f>IF(原始经营数据!$D2788="","",原始经营数据!$G2788)</f>
        <v/>
      </c>
      <c r="I2787" t="str">
        <f>IF($A2787="","",IF($B2787&lt;&gt;"",$B2787,IF(COUNTIFS(原始经营数据!$D$3:$D$3001,$A2787,原始经营数据!$E$3:$E$3001,"",原始经营数据!$F$3:$F$3001,$C2787,原始经营数据!$H$3:$H$3001,$D2787,原始经营数据!$K$3:$K$3001,$G2787)&gt;1,"基金整体·来源"&amp;原始经营数据!$A2788,"基金整体")))</f>
        <v/>
      </c>
      <c r="J2787" t="str">
        <f t="shared" si="648"/>
        <v/>
      </c>
      <c r="K2787" t="str">
        <f t="shared" si="649"/>
        <v/>
      </c>
      <c r="L2787" t="str">
        <f t="shared" si="650"/>
        <v/>
      </c>
      <c r="M2787">
        <f>IF($A2787="",0,IF(COUNTIF($L$2:$L2787,$L2787)=1,1,0))</f>
        <v>0</v>
      </c>
      <c r="N2787" t="str">
        <f t="shared" si="651"/>
        <v/>
      </c>
      <c r="O2787" t="str">
        <f t="shared" si="652"/>
        <v/>
      </c>
      <c r="P2787">
        <f>IF($A2787="",0,IF(COUNTIF($O$2:$O2787,$O2787)=1,1,0))</f>
        <v>0</v>
      </c>
      <c r="Q2787" t="str">
        <f>IF(AND($P2787=1,$A2787=经营数据!$B$3,$J2787=经营数据!$BA$5),COUNTIFS($P$2:$P$3000,1,$A$2:$A$3000,$A2787,$J$2:$J$3000,$J2787,$N$2:$N$3000,"&lt;"&amp;$N2787)+1,"")</f>
        <v/>
      </c>
      <c r="R2787" t="str">
        <f t="shared" si="653"/>
        <v/>
      </c>
      <c r="S2787">
        <f>IF($A2787="",0,IF(COUNTIF($R$2:$R2787,$R2787)=1,1,0))</f>
        <v>0</v>
      </c>
      <c r="T2787" t="str">
        <f t="shared" si="654"/>
        <v/>
      </c>
      <c r="U2787" t="str">
        <f>IF($A2787="","",IF($A2787=经营数据!$B$3,COUNTIFS($S$2:$S$3000,1,$A$2:$A$3000,$A2787,$T$2:$T$3000,"&lt;"&amp;$T2787)+1,""))</f>
        <v/>
      </c>
      <c r="V2787" t="str">
        <f t="shared" si="655"/>
        <v/>
      </c>
      <c r="W2787" t="str">
        <f t="shared" si="656"/>
        <v/>
      </c>
      <c r="X2787" t="str">
        <f t="shared" si="657"/>
        <v/>
      </c>
      <c r="Y2787" t="str">
        <f t="shared" si="658"/>
        <v/>
      </c>
      <c r="Z2787">
        <f>IF($A2787="",0,IF(AND($M2787=1,$A2787=经营数据!$B$3,$J2787=经营数据!$BA$5,OR($I2787=经营数据!$BA$4,COUNTIF(经营数据!$AA$9:$AA$38,$I2787)&gt;0)),1,0))</f>
        <v>0</v>
      </c>
      <c r="AA2787" t="str">
        <f t="shared" si="659"/>
        <v/>
      </c>
      <c r="AB2787" t="str">
        <f t="shared" si="660"/>
        <v/>
      </c>
      <c r="AC2787">
        <f>IF($A2787="",0,IF(COUNTIF($A$2:$A2787,$A2787)=1,1,0))</f>
        <v>0</v>
      </c>
      <c r="AD2787">
        <f t="shared" si="661"/>
        <v>29</v>
      </c>
      <c r="AE2787" t="str">
        <f t="shared" si="662"/>
        <v/>
      </c>
    </row>
    <row r="2788" spans="1:31" x14ac:dyDescent="0.4">
      <c r="A2788" t="str">
        <f>IF(原始经营数据!$D2789="","",原始经营数据!$D2789)</f>
        <v/>
      </c>
      <c r="B2788" t="str">
        <f>IF(原始经营数据!$D2789="","",T(原始经营数据!$E2789))</f>
        <v/>
      </c>
      <c r="C2788" t="str">
        <f>IF(原始经营数据!$D2789="","",原始经营数据!$F2789)</f>
        <v/>
      </c>
      <c r="D2788" t="str">
        <f>IF(原始经营数据!$D2789="","",原始经营数据!$H2789)</f>
        <v/>
      </c>
      <c r="E2788" t="str">
        <f>IF(原始经营数据!$D2789="","",原始经营数据!$I2789)</f>
        <v/>
      </c>
      <c r="F2788" t="str">
        <f>IF(原始经营数据!$D2789="","",T(原始经营数据!$J2789))</f>
        <v/>
      </c>
      <c r="G2788" t="str">
        <f>IF(原始经营数据!$D2789="","",T(原始经营数据!$K2789))</f>
        <v/>
      </c>
      <c r="H2788" t="str">
        <f>IF(原始经营数据!$D2789="","",原始经营数据!$G2789)</f>
        <v/>
      </c>
      <c r="I2788" t="str">
        <f>IF($A2788="","",IF($B2788&lt;&gt;"",$B2788,IF(COUNTIFS(原始经营数据!$D$3:$D$3001,$A2788,原始经营数据!$E$3:$E$3001,"",原始经营数据!$F$3:$F$3001,$C2788,原始经营数据!$H$3:$H$3001,$D2788,原始经营数据!$K$3:$K$3001,$G2788)&gt;1,"基金整体·来源"&amp;原始经营数据!$A2789,"基金整体")))</f>
        <v/>
      </c>
      <c r="J2788" t="str">
        <f t="shared" si="648"/>
        <v/>
      </c>
      <c r="K2788" t="str">
        <f t="shared" si="649"/>
        <v/>
      </c>
      <c r="L2788" t="str">
        <f t="shared" si="650"/>
        <v/>
      </c>
      <c r="M2788">
        <f>IF($A2788="",0,IF(COUNTIF($L$2:$L2788,$L2788)=1,1,0))</f>
        <v>0</v>
      </c>
      <c r="N2788" t="str">
        <f t="shared" si="651"/>
        <v/>
      </c>
      <c r="O2788" t="str">
        <f t="shared" si="652"/>
        <v/>
      </c>
      <c r="P2788">
        <f>IF($A2788="",0,IF(COUNTIF($O$2:$O2788,$O2788)=1,1,0))</f>
        <v>0</v>
      </c>
      <c r="Q2788" t="str">
        <f>IF(AND($P2788=1,$A2788=经营数据!$B$3,$J2788=经营数据!$BA$5),COUNTIFS($P$2:$P$3000,1,$A$2:$A$3000,$A2788,$J$2:$J$3000,$J2788,$N$2:$N$3000,"&lt;"&amp;$N2788)+1,"")</f>
        <v/>
      </c>
      <c r="R2788" t="str">
        <f t="shared" si="653"/>
        <v/>
      </c>
      <c r="S2788">
        <f>IF($A2788="",0,IF(COUNTIF($R$2:$R2788,$R2788)=1,1,0))</f>
        <v>0</v>
      </c>
      <c r="T2788" t="str">
        <f t="shared" si="654"/>
        <v/>
      </c>
      <c r="U2788" t="str">
        <f>IF($A2788="","",IF($A2788=经营数据!$B$3,COUNTIFS($S$2:$S$3000,1,$A$2:$A$3000,$A2788,$T$2:$T$3000,"&lt;"&amp;$T2788)+1,""))</f>
        <v/>
      </c>
      <c r="V2788" t="str">
        <f t="shared" si="655"/>
        <v/>
      </c>
      <c r="W2788" t="str">
        <f t="shared" si="656"/>
        <v/>
      </c>
      <c r="X2788" t="str">
        <f t="shared" si="657"/>
        <v/>
      </c>
      <c r="Y2788" t="str">
        <f t="shared" si="658"/>
        <v/>
      </c>
      <c r="Z2788">
        <f>IF($A2788="",0,IF(AND($M2788=1,$A2788=经营数据!$B$3,$J2788=经营数据!$BA$5,OR($I2788=经营数据!$BA$4,COUNTIF(经营数据!$AA$9:$AA$38,$I2788)&gt;0)),1,0))</f>
        <v>0</v>
      </c>
      <c r="AA2788" t="str">
        <f t="shared" si="659"/>
        <v/>
      </c>
      <c r="AB2788" t="str">
        <f t="shared" si="660"/>
        <v/>
      </c>
      <c r="AC2788">
        <f>IF($A2788="",0,IF(COUNTIF($A$2:$A2788,$A2788)=1,1,0))</f>
        <v>0</v>
      </c>
      <c r="AD2788">
        <f t="shared" si="661"/>
        <v>29</v>
      </c>
      <c r="AE2788" t="str">
        <f t="shared" si="662"/>
        <v/>
      </c>
    </row>
    <row r="2789" spans="1:31" x14ac:dyDescent="0.4">
      <c r="A2789" t="str">
        <f>IF(原始经营数据!$D2790="","",原始经营数据!$D2790)</f>
        <v/>
      </c>
      <c r="B2789" t="str">
        <f>IF(原始经营数据!$D2790="","",T(原始经营数据!$E2790))</f>
        <v/>
      </c>
      <c r="C2789" t="str">
        <f>IF(原始经营数据!$D2790="","",原始经营数据!$F2790)</f>
        <v/>
      </c>
      <c r="D2789" t="str">
        <f>IF(原始经营数据!$D2790="","",原始经营数据!$H2790)</f>
        <v/>
      </c>
      <c r="E2789" t="str">
        <f>IF(原始经营数据!$D2790="","",原始经营数据!$I2790)</f>
        <v/>
      </c>
      <c r="F2789" t="str">
        <f>IF(原始经营数据!$D2790="","",T(原始经营数据!$J2790))</f>
        <v/>
      </c>
      <c r="G2789" t="str">
        <f>IF(原始经营数据!$D2790="","",T(原始经营数据!$K2790))</f>
        <v/>
      </c>
      <c r="H2789" t="str">
        <f>IF(原始经营数据!$D2790="","",原始经营数据!$G2790)</f>
        <v/>
      </c>
      <c r="I2789" t="str">
        <f>IF($A2789="","",IF($B2789&lt;&gt;"",$B2789,IF(COUNTIFS(原始经营数据!$D$3:$D$3001,$A2789,原始经营数据!$E$3:$E$3001,"",原始经营数据!$F$3:$F$3001,$C2789,原始经营数据!$H$3:$H$3001,$D2789,原始经营数据!$K$3:$K$3001,$G2789)&gt;1,"基金整体·来源"&amp;原始经营数据!$A2790,"基金整体")))</f>
        <v/>
      </c>
      <c r="J2789" t="str">
        <f t="shared" si="648"/>
        <v/>
      </c>
      <c r="K2789" t="str">
        <f t="shared" si="649"/>
        <v/>
      </c>
      <c r="L2789" t="str">
        <f t="shared" si="650"/>
        <v/>
      </c>
      <c r="M2789">
        <f>IF($A2789="",0,IF(COUNTIF($L$2:$L2789,$L2789)=1,1,0))</f>
        <v>0</v>
      </c>
      <c r="N2789" t="str">
        <f t="shared" si="651"/>
        <v/>
      </c>
      <c r="O2789" t="str">
        <f t="shared" si="652"/>
        <v/>
      </c>
      <c r="P2789">
        <f>IF($A2789="",0,IF(COUNTIF($O$2:$O2789,$O2789)=1,1,0))</f>
        <v>0</v>
      </c>
      <c r="Q2789" t="str">
        <f>IF(AND($P2789=1,$A2789=经营数据!$B$3,$J2789=经营数据!$BA$5),COUNTIFS($P$2:$P$3000,1,$A$2:$A$3000,$A2789,$J$2:$J$3000,$J2789,$N$2:$N$3000,"&lt;"&amp;$N2789)+1,"")</f>
        <v/>
      </c>
      <c r="R2789" t="str">
        <f t="shared" si="653"/>
        <v/>
      </c>
      <c r="S2789">
        <f>IF($A2789="",0,IF(COUNTIF($R$2:$R2789,$R2789)=1,1,0))</f>
        <v>0</v>
      </c>
      <c r="T2789" t="str">
        <f t="shared" si="654"/>
        <v/>
      </c>
      <c r="U2789" t="str">
        <f>IF($A2789="","",IF($A2789=经营数据!$B$3,COUNTIFS($S$2:$S$3000,1,$A$2:$A$3000,$A2789,$T$2:$T$3000,"&lt;"&amp;$T2789)+1,""))</f>
        <v/>
      </c>
      <c r="V2789" t="str">
        <f t="shared" si="655"/>
        <v/>
      </c>
      <c r="W2789" t="str">
        <f t="shared" si="656"/>
        <v/>
      </c>
      <c r="X2789" t="str">
        <f t="shared" si="657"/>
        <v/>
      </c>
      <c r="Y2789" t="str">
        <f t="shared" si="658"/>
        <v/>
      </c>
      <c r="Z2789">
        <f>IF($A2789="",0,IF(AND($M2789=1,$A2789=经营数据!$B$3,$J2789=经营数据!$BA$5,OR($I2789=经营数据!$BA$4,COUNTIF(经营数据!$AA$9:$AA$38,$I2789)&gt;0)),1,0))</f>
        <v>0</v>
      </c>
      <c r="AA2789" t="str">
        <f t="shared" si="659"/>
        <v/>
      </c>
      <c r="AB2789" t="str">
        <f t="shared" si="660"/>
        <v/>
      </c>
      <c r="AC2789">
        <f>IF($A2789="",0,IF(COUNTIF($A$2:$A2789,$A2789)=1,1,0))</f>
        <v>0</v>
      </c>
      <c r="AD2789">
        <f t="shared" si="661"/>
        <v>29</v>
      </c>
      <c r="AE2789" t="str">
        <f t="shared" si="662"/>
        <v/>
      </c>
    </row>
    <row r="2790" spans="1:31" x14ac:dyDescent="0.4">
      <c r="A2790" t="str">
        <f>IF(原始经营数据!$D2791="","",原始经营数据!$D2791)</f>
        <v/>
      </c>
      <c r="B2790" t="str">
        <f>IF(原始经营数据!$D2791="","",T(原始经营数据!$E2791))</f>
        <v/>
      </c>
      <c r="C2790" t="str">
        <f>IF(原始经营数据!$D2791="","",原始经营数据!$F2791)</f>
        <v/>
      </c>
      <c r="D2790" t="str">
        <f>IF(原始经营数据!$D2791="","",原始经营数据!$H2791)</f>
        <v/>
      </c>
      <c r="E2790" t="str">
        <f>IF(原始经营数据!$D2791="","",原始经营数据!$I2791)</f>
        <v/>
      </c>
      <c r="F2790" t="str">
        <f>IF(原始经营数据!$D2791="","",T(原始经营数据!$J2791))</f>
        <v/>
      </c>
      <c r="G2790" t="str">
        <f>IF(原始经营数据!$D2791="","",T(原始经营数据!$K2791))</f>
        <v/>
      </c>
      <c r="H2790" t="str">
        <f>IF(原始经营数据!$D2791="","",原始经营数据!$G2791)</f>
        <v/>
      </c>
      <c r="I2790" t="str">
        <f>IF($A2790="","",IF($B2790&lt;&gt;"",$B2790,IF(COUNTIFS(原始经营数据!$D$3:$D$3001,$A2790,原始经营数据!$E$3:$E$3001,"",原始经营数据!$F$3:$F$3001,$C2790,原始经营数据!$H$3:$H$3001,$D2790,原始经营数据!$K$3:$K$3001,$G2790)&gt;1,"基金整体·来源"&amp;原始经营数据!$A2791,"基金整体")))</f>
        <v/>
      </c>
      <c r="J2790" t="str">
        <f t="shared" si="648"/>
        <v/>
      </c>
      <c r="K2790" t="str">
        <f t="shared" si="649"/>
        <v/>
      </c>
      <c r="L2790" t="str">
        <f t="shared" si="650"/>
        <v/>
      </c>
      <c r="M2790">
        <f>IF($A2790="",0,IF(COUNTIF($L$2:$L2790,$L2790)=1,1,0))</f>
        <v>0</v>
      </c>
      <c r="N2790" t="str">
        <f t="shared" si="651"/>
        <v/>
      </c>
      <c r="O2790" t="str">
        <f t="shared" si="652"/>
        <v/>
      </c>
      <c r="P2790">
        <f>IF($A2790="",0,IF(COUNTIF($O$2:$O2790,$O2790)=1,1,0))</f>
        <v>0</v>
      </c>
      <c r="Q2790" t="str">
        <f>IF(AND($P2790=1,$A2790=经营数据!$B$3,$J2790=经营数据!$BA$5),COUNTIFS($P$2:$P$3000,1,$A$2:$A$3000,$A2790,$J$2:$J$3000,$J2790,$N$2:$N$3000,"&lt;"&amp;$N2790)+1,"")</f>
        <v/>
      </c>
      <c r="R2790" t="str">
        <f t="shared" si="653"/>
        <v/>
      </c>
      <c r="S2790">
        <f>IF($A2790="",0,IF(COUNTIF($R$2:$R2790,$R2790)=1,1,0))</f>
        <v>0</v>
      </c>
      <c r="T2790" t="str">
        <f t="shared" si="654"/>
        <v/>
      </c>
      <c r="U2790" t="str">
        <f>IF($A2790="","",IF($A2790=经营数据!$B$3,COUNTIFS($S$2:$S$3000,1,$A$2:$A$3000,$A2790,$T$2:$T$3000,"&lt;"&amp;$T2790)+1,""))</f>
        <v/>
      </c>
      <c r="V2790" t="str">
        <f t="shared" si="655"/>
        <v/>
      </c>
      <c r="W2790" t="str">
        <f t="shared" si="656"/>
        <v/>
      </c>
      <c r="X2790" t="str">
        <f t="shared" si="657"/>
        <v/>
      </c>
      <c r="Y2790" t="str">
        <f t="shared" si="658"/>
        <v/>
      </c>
      <c r="Z2790">
        <f>IF($A2790="",0,IF(AND($M2790=1,$A2790=经营数据!$B$3,$J2790=经营数据!$BA$5,OR($I2790=经营数据!$BA$4,COUNTIF(经营数据!$AA$9:$AA$38,$I2790)&gt;0)),1,0))</f>
        <v>0</v>
      </c>
      <c r="AA2790" t="str">
        <f t="shared" si="659"/>
        <v/>
      </c>
      <c r="AB2790" t="str">
        <f t="shared" si="660"/>
        <v/>
      </c>
      <c r="AC2790">
        <f>IF($A2790="",0,IF(COUNTIF($A$2:$A2790,$A2790)=1,1,0))</f>
        <v>0</v>
      </c>
      <c r="AD2790">
        <f t="shared" si="661"/>
        <v>29</v>
      </c>
      <c r="AE2790" t="str">
        <f t="shared" si="662"/>
        <v/>
      </c>
    </row>
    <row r="2791" spans="1:31" x14ac:dyDescent="0.4">
      <c r="A2791" t="str">
        <f>IF(原始经营数据!$D2792="","",原始经营数据!$D2792)</f>
        <v/>
      </c>
      <c r="B2791" t="str">
        <f>IF(原始经营数据!$D2792="","",T(原始经营数据!$E2792))</f>
        <v/>
      </c>
      <c r="C2791" t="str">
        <f>IF(原始经营数据!$D2792="","",原始经营数据!$F2792)</f>
        <v/>
      </c>
      <c r="D2791" t="str">
        <f>IF(原始经营数据!$D2792="","",原始经营数据!$H2792)</f>
        <v/>
      </c>
      <c r="E2791" t="str">
        <f>IF(原始经营数据!$D2792="","",原始经营数据!$I2792)</f>
        <v/>
      </c>
      <c r="F2791" t="str">
        <f>IF(原始经营数据!$D2792="","",T(原始经营数据!$J2792))</f>
        <v/>
      </c>
      <c r="G2791" t="str">
        <f>IF(原始经营数据!$D2792="","",T(原始经营数据!$K2792))</f>
        <v/>
      </c>
      <c r="H2791" t="str">
        <f>IF(原始经营数据!$D2792="","",原始经营数据!$G2792)</f>
        <v/>
      </c>
      <c r="I2791" t="str">
        <f>IF($A2791="","",IF($B2791&lt;&gt;"",$B2791,IF(COUNTIFS(原始经营数据!$D$3:$D$3001,$A2791,原始经营数据!$E$3:$E$3001,"",原始经营数据!$F$3:$F$3001,$C2791,原始经营数据!$H$3:$H$3001,$D2791,原始经营数据!$K$3:$K$3001,$G2791)&gt;1,"基金整体·来源"&amp;原始经营数据!$A2792,"基金整体")))</f>
        <v/>
      </c>
      <c r="J2791" t="str">
        <f t="shared" si="648"/>
        <v/>
      </c>
      <c r="K2791" t="str">
        <f t="shared" si="649"/>
        <v/>
      </c>
      <c r="L2791" t="str">
        <f t="shared" si="650"/>
        <v/>
      </c>
      <c r="M2791">
        <f>IF($A2791="",0,IF(COUNTIF($L$2:$L2791,$L2791)=1,1,0))</f>
        <v>0</v>
      </c>
      <c r="N2791" t="str">
        <f t="shared" si="651"/>
        <v/>
      </c>
      <c r="O2791" t="str">
        <f t="shared" si="652"/>
        <v/>
      </c>
      <c r="P2791">
        <f>IF($A2791="",0,IF(COUNTIF($O$2:$O2791,$O2791)=1,1,0))</f>
        <v>0</v>
      </c>
      <c r="Q2791" t="str">
        <f>IF(AND($P2791=1,$A2791=经营数据!$B$3,$J2791=经营数据!$BA$5),COUNTIFS($P$2:$P$3000,1,$A$2:$A$3000,$A2791,$J$2:$J$3000,$J2791,$N$2:$N$3000,"&lt;"&amp;$N2791)+1,"")</f>
        <v/>
      </c>
      <c r="R2791" t="str">
        <f t="shared" si="653"/>
        <v/>
      </c>
      <c r="S2791">
        <f>IF($A2791="",0,IF(COUNTIF($R$2:$R2791,$R2791)=1,1,0))</f>
        <v>0</v>
      </c>
      <c r="T2791" t="str">
        <f t="shared" si="654"/>
        <v/>
      </c>
      <c r="U2791" t="str">
        <f>IF($A2791="","",IF($A2791=经营数据!$B$3,COUNTIFS($S$2:$S$3000,1,$A$2:$A$3000,$A2791,$T$2:$T$3000,"&lt;"&amp;$T2791)+1,""))</f>
        <v/>
      </c>
      <c r="V2791" t="str">
        <f t="shared" si="655"/>
        <v/>
      </c>
      <c r="W2791" t="str">
        <f t="shared" si="656"/>
        <v/>
      </c>
      <c r="X2791" t="str">
        <f t="shared" si="657"/>
        <v/>
      </c>
      <c r="Y2791" t="str">
        <f t="shared" si="658"/>
        <v/>
      </c>
      <c r="Z2791">
        <f>IF($A2791="",0,IF(AND($M2791=1,$A2791=经营数据!$B$3,$J2791=经营数据!$BA$5,OR($I2791=经营数据!$BA$4,COUNTIF(经营数据!$AA$9:$AA$38,$I2791)&gt;0)),1,0))</f>
        <v>0</v>
      </c>
      <c r="AA2791" t="str">
        <f t="shared" si="659"/>
        <v/>
      </c>
      <c r="AB2791" t="str">
        <f t="shared" si="660"/>
        <v/>
      </c>
      <c r="AC2791">
        <f>IF($A2791="",0,IF(COUNTIF($A$2:$A2791,$A2791)=1,1,0))</f>
        <v>0</v>
      </c>
      <c r="AD2791">
        <f t="shared" si="661"/>
        <v>29</v>
      </c>
      <c r="AE2791" t="str">
        <f t="shared" si="662"/>
        <v/>
      </c>
    </row>
    <row r="2792" spans="1:31" x14ac:dyDescent="0.4">
      <c r="A2792" t="str">
        <f>IF(原始经营数据!$D2793="","",原始经营数据!$D2793)</f>
        <v/>
      </c>
      <c r="B2792" t="str">
        <f>IF(原始经营数据!$D2793="","",T(原始经营数据!$E2793))</f>
        <v/>
      </c>
      <c r="C2792" t="str">
        <f>IF(原始经营数据!$D2793="","",原始经营数据!$F2793)</f>
        <v/>
      </c>
      <c r="D2792" t="str">
        <f>IF(原始经营数据!$D2793="","",原始经营数据!$H2793)</f>
        <v/>
      </c>
      <c r="E2792" t="str">
        <f>IF(原始经营数据!$D2793="","",原始经营数据!$I2793)</f>
        <v/>
      </c>
      <c r="F2792" t="str">
        <f>IF(原始经营数据!$D2793="","",T(原始经营数据!$J2793))</f>
        <v/>
      </c>
      <c r="G2792" t="str">
        <f>IF(原始经营数据!$D2793="","",T(原始经营数据!$K2793))</f>
        <v/>
      </c>
      <c r="H2792" t="str">
        <f>IF(原始经营数据!$D2793="","",原始经营数据!$G2793)</f>
        <v/>
      </c>
      <c r="I2792" t="str">
        <f>IF($A2792="","",IF($B2792&lt;&gt;"",$B2792,IF(COUNTIFS(原始经营数据!$D$3:$D$3001,$A2792,原始经营数据!$E$3:$E$3001,"",原始经营数据!$F$3:$F$3001,$C2792,原始经营数据!$H$3:$H$3001,$D2792,原始经营数据!$K$3:$K$3001,$G2792)&gt;1,"基金整体·来源"&amp;原始经营数据!$A2793,"基金整体")))</f>
        <v/>
      </c>
      <c r="J2792" t="str">
        <f t="shared" si="648"/>
        <v/>
      </c>
      <c r="K2792" t="str">
        <f t="shared" si="649"/>
        <v/>
      </c>
      <c r="L2792" t="str">
        <f t="shared" si="650"/>
        <v/>
      </c>
      <c r="M2792">
        <f>IF($A2792="",0,IF(COUNTIF($L$2:$L2792,$L2792)=1,1,0))</f>
        <v>0</v>
      </c>
      <c r="N2792" t="str">
        <f t="shared" si="651"/>
        <v/>
      </c>
      <c r="O2792" t="str">
        <f t="shared" si="652"/>
        <v/>
      </c>
      <c r="P2792">
        <f>IF($A2792="",0,IF(COUNTIF($O$2:$O2792,$O2792)=1,1,0))</f>
        <v>0</v>
      </c>
      <c r="Q2792" t="str">
        <f>IF(AND($P2792=1,$A2792=经营数据!$B$3,$J2792=经营数据!$BA$5),COUNTIFS($P$2:$P$3000,1,$A$2:$A$3000,$A2792,$J$2:$J$3000,$J2792,$N$2:$N$3000,"&lt;"&amp;$N2792)+1,"")</f>
        <v/>
      </c>
      <c r="R2792" t="str">
        <f t="shared" si="653"/>
        <v/>
      </c>
      <c r="S2792">
        <f>IF($A2792="",0,IF(COUNTIF($R$2:$R2792,$R2792)=1,1,0))</f>
        <v>0</v>
      </c>
      <c r="T2792" t="str">
        <f t="shared" si="654"/>
        <v/>
      </c>
      <c r="U2792" t="str">
        <f>IF($A2792="","",IF($A2792=经营数据!$B$3,COUNTIFS($S$2:$S$3000,1,$A$2:$A$3000,$A2792,$T$2:$T$3000,"&lt;"&amp;$T2792)+1,""))</f>
        <v/>
      </c>
      <c r="V2792" t="str">
        <f t="shared" si="655"/>
        <v/>
      </c>
      <c r="W2792" t="str">
        <f t="shared" si="656"/>
        <v/>
      </c>
      <c r="X2792" t="str">
        <f t="shared" si="657"/>
        <v/>
      </c>
      <c r="Y2792" t="str">
        <f t="shared" si="658"/>
        <v/>
      </c>
      <c r="Z2792">
        <f>IF($A2792="",0,IF(AND($M2792=1,$A2792=经营数据!$B$3,$J2792=经营数据!$BA$5,OR($I2792=经营数据!$BA$4,COUNTIF(经营数据!$AA$9:$AA$38,$I2792)&gt;0)),1,0))</f>
        <v>0</v>
      </c>
      <c r="AA2792" t="str">
        <f t="shared" si="659"/>
        <v/>
      </c>
      <c r="AB2792" t="str">
        <f t="shared" si="660"/>
        <v/>
      </c>
      <c r="AC2792">
        <f>IF($A2792="",0,IF(COUNTIF($A$2:$A2792,$A2792)=1,1,0))</f>
        <v>0</v>
      </c>
      <c r="AD2792">
        <f t="shared" si="661"/>
        <v>29</v>
      </c>
      <c r="AE2792" t="str">
        <f t="shared" si="662"/>
        <v/>
      </c>
    </row>
    <row r="2793" spans="1:31" x14ac:dyDescent="0.4">
      <c r="A2793" t="str">
        <f>IF(原始经营数据!$D2794="","",原始经营数据!$D2794)</f>
        <v/>
      </c>
      <c r="B2793" t="str">
        <f>IF(原始经营数据!$D2794="","",T(原始经营数据!$E2794))</f>
        <v/>
      </c>
      <c r="C2793" t="str">
        <f>IF(原始经营数据!$D2794="","",原始经营数据!$F2794)</f>
        <v/>
      </c>
      <c r="D2793" t="str">
        <f>IF(原始经营数据!$D2794="","",原始经营数据!$H2794)</f>
        <v/>
      </c>
      <c r="E2793" t="str">
        <f>IF(原始经营数据!$D2794="","",原始经营数据!$I2794)</f>
        <v/>
      </c>
      <c r="F2793" t="str">
        <f>IF(原始经营数据!$D2794="","",T(原始经营数据!$J2794))</f>
        <v/>
      </c>
      <c r="G2793" t="str">
        <f>IF(原始经营数据!$D2794="","",T(原始经营数据!$K2794))</f>
        <v/>
      </c>
      <c r="H2793" t="str">
        <f>IF(原始经营数据!$D2794="","",原始经营数据!$G2794)</f>
        <v/>
      </c>
      <c r="I2793" t="str">
        <f>IF($A2793="","",IF($B2793&lt;&gt;"",$B2793,IF(COUNTIFS(原始经营数据!$D$3:$D$3001,$A2793,原始经营数据!$E$3:$E$3001,"",原始经营数据!$F$3:$F$3001,$C2793,原始经营数据!$H$3:$H$3001,$D2793,原始经营数据!$K$3:$K$3001,$G2793)&gt;1,"基金整体·来源"&amp;原始经营数据!$A2794,"基金整体")))</f>
        <v/>
      </c>
      <c r="J2793" t="str">
        <f t="shared" si="648"/>
        <v/>
      </c>
      <c r="K2793" t="str">
        <f t="shared" si="649"/>
        <v/>
      </c>
      <c r="L2793" t="str">
        <f t="shared" si="650"/>
        <v/>
      </c>
      <c r="M2793">
        <f>IF($A2793="",0,IF(COUNTIF($L$2:$L2793,$L2793)=1,1,0))</f>
        <v>0</v>
      </c>
      <c r="N2793" t="str">
        <f t="shared" si="651"/>
        <v/>
      </c>
      <c r="O2793" t="str">
        <f t="shared" si="652"/>
        <v/>
      </c>
      <c r="P2793">
        <f>IF($A2793="",0,IF(COUNTIF($O$2:$O2793,$O2793)=1,1,0))</f>
        <v>0</v>
      </c>
      <c r="Q2793" t="str">
        <f>IF(AND($P2793=1,$A2793=经营数据!$B$3,$J2793=经营数据!$BA$5),COUNTIFS($P$2:$P$3000,1,$A$2:$A$3000,$A2793,$J$2:$J$3000,$J2793,$N$2:$N$3000,"&lt;"&amp;$N2793)+1,"")</f>
        <v/>
      </c>
      <c r="R2793" t="str">
        <f t="shared" si="653"/>
        <v/>
      </c>
      <c r="S2793">
        <f>IF($A2793="",0,IF(COUNTIF($R$2:$R2793,$R2793)=1,1,0))</f>
        <v>0</v>
      </c>
      <c r="T2793" t="str">
        <f t="shared" si="654"/>
        <v/>
      </c>
      <c r="U2793" t="str">
        <f>IF($A2793="","",IF($A2793=经营数据!$B$3,COUNTIFS($S$2:$S$3000,1,$A$2:$A$3000,$A2793,$T$2:$T$3000,"&lt;"&amp;$T2793)+1,""))</f>
        <v/>
      </c>
      <c r="V2793" t="str">
        <f t="shared" si="655"/>
        <v/>
      </c>
      <c r="W2793" t="str">
        <f t="shared" si="656"/>
        <v/>
      </c>
      <c r="X2793" t="str">
        <f t="shared" si="657"/>
        <v/>
      </c>
      <c r="Y2793" t="str">
        <f t="shared" si="658"/>
        <v/>
      </c>
      <c r="Z2793">
        <f>IF($A2793="",0,IF(AND($M2793=1,$A2793=经营数据!$B$3,$J2793=经营数据!$BA$5,OR($I2793=经营数据!$BA$4,COUNTIF(经营数据!$AA$9:$AA$38,$I2793)&gt;0)),1,0))</f>
        <v>0</v>
      </c>
      <c r="AA2793" t="str">
        <f t="shared" si="659"/>
        <v/>
      </c>
      <c r="AB2793" t="str">
        <f t="shared" si="660"/>
        <v/>
      </c>
      <c r="AC2793">
        <f>IF($A2793="",0,IF(COUNTIF($A$2:$A2793,$A2793)=1,1,0))</f>
        <v>0</v>
      </c>
      <c r="AD2793">
        <f t="shared" si="661"/>
        <v>29</v>
      </c>
      <c r="AE2793" t="str">
        <f t="shared" si="662"/>
        <v/>
      </c>
    </row>
    <row r="2794" spans="1:31" x14ac:dyDescent="0.4">
      <c r="A2794" t="str">
        <f>IF(原始经营数据!$D2795="","",原始经营数据!$D2795)</f>
        <v/>
      </c>
      <c r="B2794" t="str">
        <f>IF(原始经营数据!$D2795="","",T(原始经营数据!$E2795))</f>
        <v/>
      </c>
      <c r="C2794" t="str">
        <f>IF(原始经营数据!$D2795="","",原始经营数据!$F2795)</f>
        <v/>
      </c>
      <c r="D2794" t="str">
        <f>IF(原始经营数据!$D2795="","",原始经营数据!$H2795)</f>
        <v/>
      </c>
      <c r="E2794" t="str">
        <f>IF(原始经营数据!$D2795="","",原始经营数据!$I2795)</f>
        <v/>
      </c>
      <c r="F2794" t="str">
        <f>IF(原始经营数据!$D2795="","",T(原始经营数据!$J2795))</f>
        <v/>
      </c>
      <c r="G2794" t="str">
        <f>IF(原始经营数据!$D2795="","",T(原始经营数据!$K2795))</f>
        <v/>
      </c>
      <c r="H2794" t="str">
        <f>IF(原始经营数据!$D2795="","",原始经营数据!$G2795)</f>
        <v/>
      </c>
      <c r="I2794" t="str">
        <f>IF($A2794="","",IF($B2794&lt;&gt;"",$B2794,IF(COUNTIFS(原始经营数据!$D$3:$D$3001,$A2794,原始经营数据!$E$3:$E$3001,"",原始经营数据!$F$3:$F$3001,$C2794,原始经营数据!$H$3:$H$3001,$D2794,原始经营数据!$K$3:$K$3001,$G2794)&gt;1,"基金整体·来源"&amp;原始经营数据!$A2795,"基金整体")))</f>
        <v/>
      </c>
      <c r="J2794" t="str">
        <f t="shared" si="648"/>
        <v/>
      </c>
      <c r="K2794" t="str">
        <f t="shared" si="649"/>
        <v/>
      </c>
      <c r="L2794" t="str">
        <f t="shared" si="650"/>
        <v/>
      </c>
      <c r="M2794">
        <f>IF($A2794="",0,IF(COUNTIF($L$2:$L2794,$L2794)=1,1,0))</f>
        <v>0</v>
      </c>
      <c r="N2794" t="str">
        <f t="shared" si="651"/>
        <v/>
      </c>
      <c r="O2794" t="str">
        <f t="shared" si="652"/>
        <v/>
      </c>
      <c r="P2794">
        <f>IF($A2794="",0,IF(COUNTIF($O$2:$O2794,$O2794)=1,1,0))</f>
        <v>0</v>
      </c>
      <c r="Q2794" t="str">
        <f>IF(AND($P2794=1,$A2794=经营数据!$B$3,$J2794=经营数据!$BA$5),COUNTIFS($P$2:$P$3000,1,$A$2:$A$3000,$A2794,$J$2:$J$3000,$J2794,$N$2:$N$3000,"&lt;"&amp;$N2794)+1,"")</f>
        <v/>
      </c>
      <c r="R2794" t="str">
        <f t="shared" si="653"/>
        <v/>
      </c>
      <c r="S2794">
        <f>IF($A2794="",0,IF(COUNTIF($R$2:$R2794,$R2794)=1,1,0))</f>
        <v>0</v>
      </c>
      <c r="T2794" t="str">
        <f t="shared" si="654"/>
        <v/>
      </c>
      <c r="U2794" t="str">
        <f>IF($A2794="","",IF($A2794=经营数据!$B$3,COUNTIFS($S$2:$S$3000,1,$A$2:$A$3000,$A2794,$T$2:$T$3000,"&lt;"&amp;$T2794)+1,""))</f>
        <v/>
      </c>
      <c r="V2794" t="str">
        <f t="shared" si="655"/>
        <v/>
      </c>
      <c r="W2794" t="str">
        <f t="shared" si="656"/>
        <v/>
      </c>
      <c r="X2794" t="str">
        <f t="shared" si="657"/>
        <v/>
      </c>
      <c r="Y2794" t="str">
        <f t="shared" si="658"/>
        <v/>
      </c>
      <c r="Z2794">
        <f>IF($A2794="",0,IF(AND($M2794=1,$A2794=经营数据!$B$3,$J2794=经营数据!$BA$5,OR($I2794=经营数据!$BA$4,COUNTIF(经营数据!$AA$9:$AA$38,$I2794)&gt;0)),1,0))</f>
        <v>0</v>
      </c>
      <c r="AA2794" t="str">
        <f t="shared" si="659"/>
        <v/>
      </c>
      <c r="AB2794" t="str">
        <f t="shared" si="660"/>
        <v/>
      </c>
      <c r="AC2794">
        <f>IF($A2794="",0,IF(COUNTIF($A$2:$A2794,$A2794)=1,1,0))</f>
        <v>0</v>
      </c>
      <c r="AD2794">
        <f t="shared" si="661"/>
        <v>29</v>
      </c>
      <c r="AE2794" t="str">
        <f t="shared" si="662"/>
        <v/>
      </c>
    </row>
    <row r="2795" spans="1:31" x14ac:dyDescent="0.4">
      <c r="A2795" t="str">
        <f>IF(原始经营数据!$D2796="","",原始经营数据!$D2796)</f>
        <v/>
      </c>
      <c r="B2795" t="str">
        <f>IF(原始经营数据!$D2796="","",T(原始经营数据!$E2796))</f>
        <v/>
      </c>
      <c r="C2795" t="str">
        <f>IF(原始经营数据!$D2796="","",原始经营数据!$F2796)</f>
        <v/>
      </c>
      <c r="D2795" t="str">
        <f>IF(原始经营数据!$D2796="","",原始经营数据!$H2796)</f>
        <v/>
      </c>
      <c r="E2795" t="str">
        <f>IF(原始经营数据!$D2796="","",原始经营数据!$I2796)</f>
        <v/>
      </c>
      <c r="F2795" t="str">
        <f>IF(原始经营数据!$D2796="","",T(原始经营数据!$J2796))</f>
        <v/>
      </c>
      <c r="G2795" t="str">
        <f>IF(原始经营数据!$D2796="","",T(原始经营数据!$K2796))</f>
        <v/>
      </c>
      <c r="H2795" t="str">
        <f>IF(原始经营数据!$D2796="","",原始经营数据!$G2796)</f>
        <v/>
      </c>
      <c r="I2795" t="str">
        <f>IF($A2795="","",IF($B2795&lt;&gt;"",$B2795,IF(COUNTIFS(原始经营数据!$D$3:$D$3001,$A2795,原始经营数据!$E$3:$E$3001,"",原始经营数据!$F$3:$F$3001,$C2795,原始经营数据!$H$3:$H$3001,$D2795,原始经营数据!$K$3:$K$3001,$G2795)&gt;1,"基金整体·来源"&amp;原始经营数据!$A2796,"基金整体")))</f>
        <v/>
      </c>
      <c r="J2795" t="str">
        <f t="shared" si="648"/>
        <v/>
      </c>
      <c r="K2795" t="str">
        <f t="shared" si="649"/>
        <v/>
      </c>
      <c r="L2795" t="str">
        <f t="shared" si="650"/>
        <v/>
      </c>
      <c r="M2795">
        <f>IF($A2795="",0,IF(COUNTIF($L$2:$L2795,$L2795)=1,1,0))</f>
        <v>0</v>
      </c>
      <c r="N2795" t="str">
        <f t="shared" si="651"/>
        <v/>
      </c>
      <c r="O2795" t="str">
        <f t="shared" si="652"/>
        <v/>
      </c>
      <c r="P2795">
        <f>IF($A2795="",0,IF(COUNTIF($O$2:$O2795,$O2795)=1,1,0))</f>
        <v>0</v>
      </c>
      <c r="Q2795" t="str">
        <f>IF(AND($P2795=1,$A2795=经营数据!$B$3,$J2795=经营数据!$BA$5),COUNTIFS($P$2:$P$3000,1,$A$2:$A$3000,$A2795,$J$2:$J$3000,$J2795,$N$2:$N$3000,"&lt;"&amp;$N2795)+1,"")</f>
        <v/>
      </c>
      <c r="R2795" t="str">
        <f t="shared" si="653"/>
        <v/>
      </c>
      <c r="S2795">
        <f>IF($A2795="",0,IF(COUNTIF($R$2:$R2795,$R2795)=1,1,0))</f>
        <v>0</v>
      </c>
      <c r="T2795" t="str">
        <f t="shared" si="654"/>
        <v/>
      </c>
      <c r="U2795" t="str">
        <f>IF($A2795="","",IF($A2795=经营数据!$B$3,COUNTIFS($S$2:$S$3000,1,$A$2:$A$3000,$A2795,$T$2:$T$3000,"&lt;"&amp;$T2795)+1,""))</f>
        <v/>
      </c>
      <c r="V2795" t="str">
        <f t="shared" si="655"/>
        <v/>
      </c>
      <c r="W2795" t="str">
        <f t="shared" si="656"/>
        <v/>
      </c>
      <c r="X2795" t="str">
        <f t="shared" si="657"/>
        <v/>
      </c>
      <c r="Y2795" t="str">
        <f t="shared" si="658"/>
        <v/>
      </c>
      <c r="Z2795">
        <f>IF($A2795="",0,IF(AND($M2795=1,$A2795=经营数据!$B$3,$J2795=经营数据!$BA$5,OR($I2795=经营数据!$BA$4,COUNTIF(经营数据!$AA$9:$AA$38,$I2795)&gt;0)),1,0))</f>
        <v>0</v>
      </c>
      <c r="AA2795" t="str">
        <f t="shared" si="659"/>
        <v/>
      </c>
      <c r="AB2795" t="str">
        <f t="shared" si="660"/>
        <v/>
      </c>
      <c r="AC2795">
        <f>IF($A2795="",0,IF(COUNTIF($A$2:$A2795,$A2795)=1,1,0))</f>
        <v>0</v>
      </c>
      <c r="AD2795">
        <f t="shared" si="661"/>
        <v>29</v>
      </c>
      <c r="AE2795" t="str">
        <f t="shared" si="662"/>
        <v/>
      </c>
    </row>
    <row r="2796" spans="1:31" x14ac:dyDescent="0.4">
      <c r="A2796" t="str">
        <f>IF(原始经营数据!$D2797="","",原始经营数据!$D2797)</f>
        <v/>
      </c>
      <c r="B2796" t="str">
        <f>IF(原始经营数据!$D2797="","",T(原始经营数据!$E2797))</f>
        <v/>
      </c>
      <c r="C2796" t="str">
        <f>IF(原始经营数据!$D2797="","",原始经营数据!$F2797)</f>
        <v/>
      </c>
      <c r="D2796" t="str">
        <f>IF(原始经营数据!$D2797="","",原始经营数据!$H2797)</f>
        <v/>
      </c>
      <c r="E2796" t="str">
        <f>IF(原始经营数据!$D2797="","",原始经营数据!$I2797)</f>
        <v/>
      </c>
      <c r="F2796" t="str">
        <f>IF(原始经营数据!$D2797="","",T(原始经营数据!$J2797))</f>
        <v/>
      </c>
      <c r="G2796" t="str">
        <f>IF(原始经营数据!$D2797="","",T(原始经营数据!$K2797))</f>
        <v/>
      </c>
      <c r="H2796" t="str">
        <f>IF(原始经营数据!$D2797="","",原始经营数据!$G2797)</f>
        <v/>
      </c>
      <c r="I2796" t="str">
        <f>IF($A2796="","",IF($B2796&lt;&gt;"",$B2796,IF(COUNTIFS(原始经营数据!$D$3:$D$3001,$A2796,原始经营数据!$E$3:$E$3001,"",原始经营数据!$F$3:$F$3001,$C2796,原始经营数据!$H$3:$H$3001,$D2796,原始经营数据!$K$3:$K$3001,$G2796)&gt;1,"基金整体·来源"&amp;原始经营数据!$A2797,"基金整体")))</f>
        <v/>
      </c>
      <c r="J2796" t="str">
        <f t="shared" si="648"/>
        <v/>
      </c>
      <c r="K2796" t="str">
        <f t="shared" si="649"/>
        <v/>
      </c>
      <c r="L2796" t="str">
        <f t="shared" si="650"/>
        <v/>
      </c>
      <c r="M2796">
        <f>IF($A2796="",0,IF(COUNTIF($L$2:$L2796,$L2796)=1,1,0))</f>
        <v>0</v>
      </c>
      <c r="N2796" t="str">
        <f t="shared" si="651"/>
        <v/>
      </c>
      <c r="O2796" t="str">
        <f t="shared" si="652"/>
        <v/>
      </c>
      <c r="P2796">
        <f>IF($A2796="",0,IF(COUNTIF($O$2:$O2796,$O2796)=1,1,0))</f>
        <v>0</v>
      </c>
      <c r="Q2796" t="str">
        <f>IF(AND($P2796=1,$A2796=经营数据!$B$3,$J2796=经营数据!$BA$5),COUNTIFS($P$2:$P$3000,1,$A$2:$A$3000,$A2796,$J$2:$J$3000,$J2796,$N$2:$N$3000,"&lt;"&amp;$N2796)+1,"")</f>
        <v/>
      </c>
      <c r="R2796" t="str">
        <f t="shared" si="653"/>
        <v/>
      </c>
      <c r="S2796">
        <f>IF($A2796="",0,IF(COUNTIF($R$2:$R2796,$R2796)=1,1,0))</f>
        <v>0</v>
      </c>
      <c r="T2796" t="str">
        <f t="shared" si="654"/>
        <v/>
      </c>
      <c r="U2796" t="str">
        <f>IF($A2796="","",IF($A2796=经营数据!$B$3,COUNTIFS($S$2:$S$3000,1,$A$2:$A$3000,$A2796,$T$2:$T$3000,"&lt;"&amp;$T2796)+1,""))</f>
        <v/>
      </c>
      <c r="V2796" t="str">
        <f t="shared" si="655"/>
        <v/>
      </c>
      <c r="W2796" t="str">
        <f t="shared" si="656"/>
        <v/>
      </c>
      <c r="X2796" t="str">
        <f t="shared" si="657"/>
        <v/>
      </c>
      <c r="Y2796" t="str">
        <f t="shared" si="658"/>
        <v/>
      </c>
      <c r="Z2796">
        <f>IF($A2796="",0,IF(AND($M2796=1,$A2796=经营数据!$B$3,$J2796=经营数据!$BA$5,OR($I2796=经营数据!$BA$4,COUNTIF(经营数据!$AA$9:$AA$38,$I2796)&gt;0)),1,0))</f>
        <v>0</v>
      </c>
      <c r="AA2796" t="str">
        <f t="shared" si="659"/>
        <v/>
      </c>
      <c r="AB2796" t="str">
        <f t="shared" si="660"/>
        <v/>
      </c>
      <c r="AC2796">
        <f>IF($A2796="",0,IF(COUNTIF($A$2:$A2796,$A2796)=1,1,0))</f>
        <v>0</v>
      </c>
      <c r="AD2796">
        <f t="shared" si="661"/>
        <v>29</v>
      </c>
      <c r="AE2796" t="str">
        <f t="shared" si="662"/>
        <v/>
      </c>
    </row>
    <row r="2797" spans="1:31" x14ac:dyDescent="0.4">
      <c r="A2797" t="str">
        <f>IF(原始经营数据!$D2798="","",原始经营数据!$D2798)</f>
        <v/>
      </c>
      <c r="B2797" t="str">
        <f>IF(原始经营数据!$D2798="","",T(原始经营数据!$E2798))</f>
        <v/>
      </c>
      <c r="C2797" t="str">
        <f>IF(原始经营数据!$D2798="","",原始经营数据!$F2798)</f>
        <v/>
      </c>
      <c r="D2797" t="str">
        <f>IF(原始经营数据!$D2798="","",原始经营数据!$H2798)</f>
        <v/>
      </c>
      <c r="E2797" t="str">
        <f>IF(原始经营数据!$D2798="","",原始经营数据!$I2798)</f>
        <v/>
      </c>
      <c r="F2797" t="str">
        <f>IF(原始经营数据!$D2798="","",T(原始经营数据!$J2798))</f>
        <v/>
      </c>
      <c r="G2797" t="str">
        <f>IF(原始经营数据!$D2798="","",T(原始经营数据!$K2798))</f>
        <v/>
      </c>
      <c r="H2797" t="str">
        <f>IF(原始经营数据!$D2798="","",原始经营数据!$G2798)</f>
        <v/>
      </c>
      <c r="I2797" t="str">
        <f>IF($A2797="","",IF($B2797&lt;&gt;"",$B2797,IF(COUNTIFS(原始经营数据!$D$3:$D$3001,$A2797,原始经营数据!$E$3:$E$3001,"",原始经营数据!$F$3:$F$3001,$C2797,原始经营数据!$H$3:$H$3001,$D2797,原始经营数据!$K$3:$K$3001,$G2797)&gt;1,"基金整体·来源"&amp;原始经营数据!$A2798,"基金整体")))</f>
        <v/>
      </c>
      <c r="J2797" t="str">
        <f t="shared" si="648"/>
        <v/>
      </c>
      <c r="K2797" t="str">
        <f t="shared" si="649"/>
        <v/>
      </c>
      <c r="L2797" t="str">
        <f t="shared" si="650"/>
        <v/>
      </c>
      <c r="M2797">
        <f>IF($A2797="",0,IF(COUNTIF($L$2:$L2797,$L2797)=1,1,0))</f>
        <v>0</v>
      </c>
      <c r="N2797" t="str">
        <f t="shared" si="651"/>
        <v/>
      </c>
      <c r="O2797" t="str">
        <f t="shared" si="652"/>
        <v/>
      </c>
      <c r="P2797">
        <f>IF($A2797="",0,IF(COUNTIF($O$2:$O2797,$O2797)=1,1,0))</f>
        <v>0</v>
      </c>
      <c r="Q2797" t="str">
        <f>IF(AND($P2797=1,$A2797=经营数据!$B$3,$J2797=经营数据!$BA$5),COUNTIFS($P$2:$P$3000,1,$A$2:$A$3000,$A2797,$J$2:$J$3000,$J2797,$N$2:$N$3000,"&lt;"&amp;$N2797)+1,"")</f>
        <v/>
      </c>
      <c r="R2797" t="str">
        <f t="shared" si="653"/>
        <v/>
      </c>
      <c r="S2797">
        <f>IF($A2797="",0,IF(COUNTIF($R$2:$R2797,$R2797)=1,1,0))</f>
        <v>0</v>
      </c>
      <c r="T2797" t="str">
        <f t="shared" si="654"/>
        <v/>
      </c>
      <c r="U2797" t="str">
        <f>IF($A2797="","",IF($A2797=经营数据!$B$3,COUNTIFS($S$2:$S$3000,1,$A$2:$A$3000,$A2797,$T$2:$T$3000,"&lt;"&amp;$T2797)+1,""))</f>
        <v/>
      </c>
      <c r="V2797" t="str">
        <f t="shared" si="655"/>
        <v/>
      </c>
      <c r="W2797" t="str">
        <f t="shared" si="656"/>
        <v/>
      </c>
      <c r="X2797" t="str">
        <f t="shared" si="657"/>
        <v/>
      </c>
      <c r="Y2797" t="str">
        <f t="shared" si="658"/>
        <v/>
      </c>
      <c r="Z2797">
        <f>IF($A2797="",0,IF(AND($M2797=1,$A2797=经营数据!$B$3,$J2797=经营数据!$BA$5,OR($I2797=经营数据!$BA$4,COUNTIF(经营数据!$AA$9:$AA$38,$I2797)&gt;0)),1,0))</f>
        <v>0</v>
      </c>
      <c r="AA2797" t="str">
        <f t="shared" si="659"/>
        <v/>
      </c>
      <c r="AB2797" t="str">
        <f t="shared" si="660"/>
        <v/>
      </c>
      <c r="AC2797">
        <f>IF($A2797="",0,IF(COUNTIF($A$2:$A2797,$A2797)=1,1,0))</f>
        <v>0</v>
      </c>
      <c r="AD2797">
        <f t="shared" si="661"/>
        <v>29</v>
      </c>
      <c r="AE2797" t="str">
        <f t="shared" si="662"/>
        <v/>
      </c>
    </row>
    <row r="2798" spans="1:31" x14ac:dyDescent="0.4">
      <c r="A2798" t="str">
        <f>IF(原始经营数据!$D2799="","",原始经营数据!$D2799)</f>
        <v/>
      </c>
      <c r="B2798" t="str">
        <f>IF(原始经营数据!$D2799="","",T(原始经营数据!$E2799))</f>
        <v/>
      </c>
      <c r="C2798" t="str">
        <f>IF(原始经营数据!$D2799="","",原始经营数据!$F2799)</f>
        <v/>
      </c>
      <c r="D2798" t="str">
        <f>IF(原始经营数据!$D2799="","",原始经营数据!$H2799)</f>
        <v/>
      </c>
      <c r="E2798" t="str">
        <f>IF(原始经营数据!$D2799="","",原始经营数据!$I2799)</f>
        <v/>
      </c>
      <c r="F2798" t="str">
        <f>IF(原始经营数据!$D2799="","",T(原始经营数据!$J2799))</f>
        <v/>
      </c>
      <c r="G2798" t="str">
        <f>IF(原始经营数据!$D2799="","",T(原始经营数据!$K2799))</f>
        <v/>
      </c>
      <c r="H2798" t="str">
        <f>IF(原始经营数据!$D2799="","",原始经营数据!$G2799)</f>
        <v/>
      </c>
      <c r="I2798" t="str">
        <f>IF($A2798="","",IF($B2798&lt;&gt;"",$B2798,IF(COUNTIFS(原始经营数据!$D$3:$D$3001,$A2798,原始经营数据!$E$3:$E$3001,"",原始经营数据!$F$3:$F$3001,$C2798,原始经营数据!$H$3:$H$3001,$D2798,原始经营数据!$K$3:$K$3001,$G2798)&gt;1,"基金整体·来源"&amp;原始经营数据!$A2799,"基金整体")))</f>
        <v/>
      </c>
      <c r="J2798" t="str">
        <f t="shared" si="648"/>
        <v/>
      </c>
      <c r="K2798" t="str">
        <f t="shared" si="649"/>
        <v/>
      </c>
      <c r="L2798" t="str">
        <f t="shared" si="650"/>
        <v/>
      </c>
      <c r="M2798">
        <f>IF($A2798="",0,IF(COUNTIF($L$2:$L2798,$L2798)=1,1,0))</f>
        <v>0</v>
      </c>
      <c r="N2798" t="str">
        <f t="shared" si="651"/>
        <v/>
      </c>
      <c r="O2798" t="str">
        <f t="shared" si="652"/>
        <v/>
      </c>
      <c r="P2798">
        <f>IF($A2798="",0,IF(COUNTIF($O$2:$O2798,$O2798)=1,1,0))</f>
        <v>0</v>
      </c>
      <c r="Q2798" t="str">
        <f>IF(AND($P2798=1,$A2798=经营数据!$B$3,$J2798=经营数据!$BA$5),COUNTIFS($P$2:$P$3000,1,$A$2:$A$3000,$A2798,$J$2:$J$3000,$J2798,$N$2:$N$3000,"&lt;"&amp;$N2798)+1,"")</f>
        <v/>
      </c>
      <c r="R2798" t="str">
        <f t="shared" si="653"/>
        <v/>
      </c>
      <c r="S2798">
        <f>IF($A2798="",0,IF(COUNTIF($R$2:$R2798,$R2798)=1,1,0))</f>
        <v>0</v>
      </c>
      <c r="T2798" t="str">
        <f t="shared" si="654"/>
        <v/>
      </c>
      <c r="U2798" t="str">
        <f>IF($A2798="","",IF($A2798=经营数据!$B$3,COUNTIFS($S$2:$S$3000,1,$A$2:$A$3000,$A2798,$T$2:$T$3000,"&lt;"&amp;$T2798)+1,""))</f>
        <v/>
      </c>
      <c r="V2798" t="str">
        <f t="shared" si="655"/>
        <v/>
      </c>
      <c r="W2798" t="str">
        <f t="shared" si="656"/>
        <v/>
      </c>
      <c r="X2798" t="str">
        <f t="shared" si="657"/>
        <v/>
      </c>
      <c r="Y2798" t="str">
        <f t="shared" si="658"/>
        <v/>
      </c>
      <c r="Z2798">
        <f>IF($A2798="",0,IF(AND($M2798=1,$A2798=经营数据!$B$3,$J2798=经营数据!$BA$5,OR($I2798=经营数据!$BA$4,COUNTIF(经营数据!$AA$9:$AA$38,$I2798)&gt;0)),1,0))</f>
        <v>0</v>
      </c>
      <c r="AA2798" t="str">
        <f t="shared" si="659"/>
        <v/>
      </c>
      <c r="AB2798" t="str">
        <f t="shared" si="660"/>
        <v/>
      </c>
      <c r="AC2798">
        <f>IF($A2798="",0,IF(COUNTIF($A$2:$A2798,$A2798)=1,1,0))</f>
        <v>0</v>
      </c>
      <c r="AD2798">
        <f t="shared" si="661"/>
        <v>29</v>
      </c>
      <c r="AE2798" t="str">
        <f t="shared" si="662"/>
        <v/>
      </c>
    </row>
    <row r="2799" spans="1:31" x14ac:dyDescent="0.4">
      <c r="A2799" t="str">
        <f>IF(原始经营数据!$D2800="","",原始经营数据!$D2800)</f>
        <v/>
      </c>
      <c r="B2799" t="str">
        <f>IF(原始经营数据!$D2800="","",T(原始经营数据!$E2800))</f>
        <v/>
      </c>
      <c r="C2799" t="str">
        <f>IF(原始经营数据!$D2800="","",原始经营数据!$F2800)</f>
        <v/>
      </c>
      <c r="D2799" t="str">
        <f>IF(原始经营数据!$D2800="","",原始经营数据!$H2800)</f>
        <v/>
      </c>
      <c r="E2799" t="str">
        <f>IF(原始经营数据!$D2800="","",原始经营数据!$I2800)</f>
        <v/>
      </c>
      <c r="F2799" t="str">
        <f>IF(原始经营数据!$D2800="","",T(原始经营数据!$J2800))</f>
        <v/>
      </c>
      <c r="G2799" t="str">
        <f>IF(原始经营数据!$D2800="","",T(原始经营数据!$K2800))</f>
        <v/>
      </c>
      <c r="H2799" t="str">
        <f>IF(原始经营数据!$D2800="","",原始经营数据!$G2800)</f>
        <v/>
      </c>
      <c r="I2799" t="str">
        <f>IF($A2799="","",IF($B2799&lt;&gt;"",$B2799,IF(COUNTIFS(原始经营数据!$D$3:$D$3001,$A2799,原始经营数据!$E$3:$E$3001,"",原始经营数据!$F$3:$F$3001,$C2799,原始经营数据!$H$3:$H$3001,$D2799,原始经营数据!$K$3:$K$3001,$G2799)&gt;1,"基金整体·来源"&amp;原始经营数据!$A2800,"基金整体")))</f>
        <v/>
      </c>
      <c r="J2799" t="str">
        <f t="shared" si="648"/>
        <v/>
      </c>
      <c r="K2799" t="str">
        <f t="shared" si="649"/>
        <v/>
      </c>
      <c r="L2799" t="str">
        <f t="shared" si="650"/>
        <v/>
      </c>
      <c r="M2799">
        <f>IF($A2799="",0,IF(COUNTIF($L$2:$L2799,$L2799)=1,1,0))</f>
        <v>0</v>
      </c>
      <c r="N2799" t="str">
        <f t="shared" si="651"/>
        <v/>
      </c>
      <c r="O2799" t="str">
        <f t="shared" si="652"/>
        <v/>
      </c>
      <c r="P2799">
        <f>IF($A2799="",0,IF(COUNTIF($O$2:$O2799,$O2799)=1,1,0))</f>
        <v>0</v>
      </c>
      <c r="Q2799" t="str">
        <f>IF(AND($P2799=1,$A2799=经营数据!$B$3,$J2799=经营数据!$BA$5),COUNTIFS($P$2:$P$3000,1,$A$2:$A$3000,$A2799,$J$2:$J$3000,$J2799,$N$2:$N$3000,"&lt;"&amp;$N2799)+1,"")</f>
        <v/>
      </c>
      <c r="R2799" t="str">
        <f t="shared" si="653"/>
        <v/>
      </c>
      <c r="S2799">
        <f>IF($A2799="",0,IF(COUNTIF($R$2:$R2799,$R2799)=1,1,0))</f>
        <v>0</v>
      </c>
      <c r="T2799" t="str">
        <f t="shared" si="654"/>
        <v/>
      </c>
      <c r="U2799" t="str">
        <f>IF($A2799="","",IF($A2799=经营数据!$B$3,COUNTIFS($S$2:$S$3000,1,$A$2:$A$3000,$A2799,$T$2:$T$3000,"&lt;"&amp;$T2799)+1,""))</f>
        <v/>
      </c>
      <c r="V2799" t="str">
        <f t="shared" si="655"/>
        <v/>
      </c>
      <c r="W2799" t="str">
        <f t="shared" si="656"/>
        <v/>
      </c>
      <c r="X2799" t="str">
        <f t="shared" si="657"/>
        <v/>
      </c>
      <c r="Y2799" t="str">
        <f t="shared" si="658"/>
        <v/>
      </c>
      <c r="Z2799">
        <f>IF($A2799="",0,IF(AND($M2799=1,$A2799=经营数据!$B$3,$J2799=经营数据!$BA$5,OR($I2799=经营数据!$BA$4,COUNTIF(经营数据!$AA$9:$AA$38,$I2799)&gt;0)),1,0))</f>
        <v>0</v>
      </c>
      <c r="AA2799" t="str">
        <f t="shared" si="659"/>
        <v/>
      </c>
      <c r="AB2799" t="str">
        <f t="shared" si="660"/>
        <v/>
      </c>
      <c r="AC2799">
        <f>IF($A2799="",0,IF(COUNTIF($A$2:$A2799,$A2799)=1,1,0))</f>
        <v>0</v>
      </c>
      <c r="AD2799">
        <f t="shared" si="661"/>
        <v>29</v>
      </c>
      <c r="AE2799" t="str">
        <f t="shared" si="662"/>
        <v/>
      </c>
    </row>
    <row r="2800" spans="1:31" x14ac:dyDescent="0.4">
      <c r="A2800" t="str">
        <f>IF(原始经营数据!$D2801="","",原始经营数据!$D2801)</f>
        <v/>
      </c>
      <c r="B2800" t="str">
        <f>IF(原始经营数据!$D2801="","",T(原始经营数据!$E2801))</f>
        <v/>
      </c>
      <c r="C2800" t="str">
        <f>IF(原始经营数据!$D2801="","",原始经营数据!$F2801)</f>
        <v/>
      </c>
      <c r="D2800" t="str">
        <f>IF(原始经营数据!$D2801="","",原始经营数据!$H2801)</f>
        <v/>
      </c>
      <c r="E2800" t="str">
        <f>IF(原始经营数据!$D2801="","",原始经营数据!$I2801)</f>
        <v/>
      </c>
      <c r="F2800" t="str">
        <f>IF(原始经营数据!$D2801="","",T(原始经营数据!$J2801))</f>
        <v/>
      </c>
      <c r="G2800" t="str">
        <f>IF(原始经营数据!$D2801="","",T(原始经营数据!$K2801))</f>
        <v/>
      </c>
      <c r="H2800" t="str">
        <f>IF(原始经营数据!$D2801="","",原始经营数据!$G2801)</f>
        <v/>
      </c>
      <c r="I2800" t="str">
        <f>IF($A2800="","",IF($B2800&lt;&gt;"",$B2800,IF(COUNTIFS(原始经营数据!$D$3:$D$3001,$A2800,原始经营数据!$E$3:$E$3001,"",原始经营数据!$F$3:$F$3001,$C2800,原始经营数据!$H$3:$H$3001,$D2800,原始经营数据!$K$3:$K$3001,$G2800)&gt;1,"基金整体·来源"&amp;原始经营数据!$A2801,"基金整体")))</f>
        <v/>
      </c>
      <c r="J2800" t="str">
        <f t="shared" si="648"/>
        <v/>
      </c>
      <c r="K2800" t="str">
        <f t="shared" si="649"/>
        <v/>
      </c>
      <c r="L2800" t="str">
        <f t="shared" si="650"/>
        <v/>
      </c>
      <c r="M2800">
        <f>IF($A2800="",0,IF(COUNTIF($L$2:$L2800,$L2800)=1,1,0))</f>
        <v>0</v>
      </c>
      <c r="N2800" t="str">
        <f t="shared" si="651"/>
        <v/>
      </c>
      <c r="O2800" t="str">
        <f t="shared" si="652"/>
        <v/>
      </c>
      <c r="P2800">
        <f>IF($A2800="",0,IF(COUNTIF($O$2:$O2800,$O2800)=1,1,0))</f>
        <v>0</v>
      </c>
      <c r="Q2800" t="str">
        <f>IF(AND($P2800=1,$A2800=经营数据!$B$3,$J2800=经营数据!$BA$5),COUNTIFS($P$2:$P$3000,1,$A$2:$A$3000,$A2800,$J$2:$J$3000,$J2800,$N$2:$N$3000,"&lt;"&amp;$N2800)+1,"")</f>
        <v/>
      </c>
      <c r="R2800" t="str">
        <f t="shared" si="653"/>
        <v/>
      </c>
      <c r="S2800">
        <f>IF($A2800="",0,IF(COUNTIF($R$2:$R2800,$R2800)=1,1,0))</f>
        <v>0</v>
      </c>
      <c r="T2800" t="str">
        <f t="shared" si="654"/>
        <v/>
      </c>
      <c r="U2800" t="str">
        <f>IF($A2800="","",IF($A2800=经营数据!$B$3,COUNTIFS($S$2:$S$3000,1,$A$2:$A$3000,$A2800,$T$2:$T$3000,"&lt;"&amp;$T2800)+1,""))</f>
        <v/>
      </c>
      <c r="V2800" t="str">
        <f t="shared" si="655"/>
        <v/>
      </c>
      <c r="W2800" t="str">
        <f t="shared" si="656"/>
        <v/>
      </c>
      <c r="X2800" t="str">
        <f t="shared" si="657"/>
        <v/>
      </c>
      <c r="Y2800" t="str">
        <f t="shared" si="658"/>
        <v/>
      </c>
      <c r="Z2800">
        <f>IF($A2800="",0,IF(AND($M2800=1,$A2800=经营数据!$B$3,$J2800=经营数据!$BA$5,OR($I2800=经营数据!$BA$4,COUNTIF(经营数据!$AA$9:$AA$38,$I2800)&gt;0)),1,0))</f>
        <v>0</v>
      </c>
      <c r="AA2800" t="str">
        <f t="shared" si="659"/>
        <v/>
      </c>
      <c r="AB2800" t="str">
        <f t="shared" si="660"/>
        <v/>
      </c>
      <c r="AC2800">
        <f>IF($A2800="",0,IF(COUNTIF($A$2:$A2800,$A2800)=1,1,0))</f>
        <v>0</v>
      </c>
      <c r="AD2800">
        <f t="shared" si="661"/>
        <v>29</v>
      </c>
      <c r="AE2800" t="str">
        <f t="shared" si="662"/>
        <v/>
      </c>
    </row>
    <row r="2801" spans="1:31" x14ac:dyDescent="0.4">
      <c r="A2801" t="str">
        <f>IF(原始经营数据!$D2802="","",原始经营数据!$D2802)</f>
        <v/>
      </c>
      <c r="B2801" t="str">
        <f>IF(原始经营数据!$D2802="","",T(原始经营数据!$E2802))</f>
        <v/>
      </c>
      <c r="C2801" t="str">
        <f>IF(原始经营数据!$D2802="","",原始经营数据!$F2802)</f>
        <v/>
      </c>
      <c r="D2801" t="str">
        <f>IF(原始经营数据!$D2802="","",原始经营数据!$H2802)</f>
        <v/>
      </c>
      <c r="E2801" t="str">
        <f>IF(原始经营数据!$D2802="","",原始经营数据!$I2802)</f>
        <v/>
      </c>
      <c r="F2801" t="str">
        <f>IF(原始经营数据!$D2802="","",T(原始经营数据!$J2802))</f>
        <v/>
      </c>
      <c r="G2801" t="str">
        <f>IF(原始经营数据!$D2802="","",T(原始经营数据!$K2802))</f>
        <v/>
      </c>
      <c r="H2801" t="str">
        <f>IF(原始经营数据!$D2802="","",原始经营数据!$G2802)</f>
        <v/>
      </c>
      <c r="I2801" t="str">
        <f>IF($A2801="","",IF($B2801&lt;&gt;"",$B2801,IF(COUNTIFS(原始经营数据!$D$3:$D$3001,$A2801,原始经营数据!$E$3:$E$3001,"",原始经营数据!$F$3:$F$3001,$C2801,原始经营数据!$H$3:$H$3001,$D2801,原始经营数据!$K$3:$K$3001,$G2801)&gt;1,"基金整体·来源"&amp;原始经营数据!$A2802,"基金整体")))</f>
        <v/>
      </c>
      <c r="J2801" t="str">
        <f t="shared" si="648"/>
        <v/>
      </c>
      <c r="K2801" t="str">
        <f t="shared" si="649"/>
        <v/>
      </c>
      <c r="L2801" t="str">
        <f t="shared" si="650"/>
        <v/>
      </c>
      <c r="M2801">
        <f>IF($A2801="",0,IF(COUNTIF($L$2:$L2801,$L2801)=1,1,0))</f>
        <v>0</v>
      </c>
      <c r="N2801" t="str">
        <f t="shared" si="651"/>
        <v/>
      </c>
      <c r="O2801" t="str">
        <f t="shared" si="652"/>
        <v/>
      </c>
      <c r="P2801">
        <f>IF($A2801="",0,IF(COUNTIF($O$2:$O2801,$O2801)=1,1,0))</f>
        <v>0</v>
      </c>
      <c r="Q2801" t="str">
        <f>IF(AND($P2801=1,$A2801=经营数据!$B$3,$J2801=经营数据!$BA$5),COUNTIFS($P$2:$P$3000,1,$A$2:$A$3000,$A2801,$J$2:$J$3000,$J2801,$N$2:$N$3000,"&lt;"&amp;$N2801)+1,"")</f>
        <v/>
      </c>
      <c r="R2801" t="str">
        <f t="shared" si="653"/>
        <v/>
      </c>
      <c r="S2801">
        <f>IF($A2801="",0,IF(COUNTIF($R$2:$R2801,$R2801)=1,1,0))</f>
        <v>0</v>
      </c>
      <c r="T2801" t="str">
        <f t="shared" si="654"/>
        <v/>
      </c>
      <c r="U2801" t="str">
        <f>IF($A2801="","",IF($A2801=经营数据!$B$3,COUNTIFS($S$2:$S$3000,1,$A$2:$A$3000,$A2801,$T$2:$T$3000,"&lt;"&amp;$T2801)+1,""))</f>
        <v/>
      </c>
      <c r="V2801" t="str">
        <f t="shared" si="655"/>
        <v/>
      </c>
      <c r="W2801" t="str">
        <f t="shared" si="656"/>
        <v/>
      </c>
      <c r="X2801" t="str">
        <f t="shared" si="657"/>
        <v/>
      </c>
      <c r="Y2801" t="str">
        <f t="shared" si="658"/>
        <v/>
      </c>
      <c r="Z2801">
        <f>IF($A2801="",0,IF(AND($M2801=1,$A2801=经营数据!$B$3,$J2801=经营数据!$BA$5,OR($I2801=经营数据!$BA$4,COUNTIF(经营数据!$AA$9:$AA$38,$I2801)&gt;0)),1,0))</f>
        <v>0</v>
      </c>
      <c r="AA2801" t="str">
        <f t="shared" si="659"/>
        <v/>
      </c>
      <c r="AB2801" t="str">
        <f t="shared" si="660"/>
        <v/>
      </c>
      <c r="AC2801">
        <f>IF($A2801="",0,IF(COUNTIF($A$2:$A2801,$A2801)=1,1,0))</f>
        <v>0</v>
      </c>
      <c r="AD2801">
        <f t="shared" si="661"/>
        <v>29</v>
      </c>
      <c r="AE2801" t="str">
        <f t="shared" si="662"/>
        <v/>
      </c>
    </row>
    <row r="2802" spans="1:31" x14ac:dyDescent="0.4">
      <c r="A2802" t="str">
        <f>IF(原始经营数据!$D2803="","",原始经营数据!$D2803)</f>
        <v/>
      </c>
      <c r="B2802" t="str">
        <f>IF(原始经营数据!$D2803="","",T(原始经营数据!$E2803))</f>
        <v/>
      </c>
      <c r="C2802" t="str">
        <f>IF(原始经营数据!$D2803="","",原始经营数据!$F2803)</f>
        <v/>
      </c>
      <c r="D2802" t="str">
        <f>IF(原始经营数据!$D2803="","",原始经营数据!$H2803)</f>
        <v/>
      </c>
      <c r="E2802" t="str">
        <f>IF(原始经营数据!$D2803="","",原始经营数据!$I2803)</f>
        <v/>
      </c>
      <c r="F2802" t="str">
        <f>IF(原始经营数据!$D2803="","",T(原始经营数据!$J2803))</f>
        <v/>
      </c>
      <c r="G2802" t="str">
        <f>IF(原始经营数据!$D2803="","",T(原始经营数据!$K2803))</f>
        <v/>
      </c>
      <c r="H2802" t="str">
        <f>IF(原始经营数据!$D2803="","",原始经营数据!$G2803)</f>
        <v/>
      </c>
      <c r="I2802" t="str">
        <f>IF($A2802="","",IF($B2802&lt;&gt;"",$B2802,IF(COUNTIFS(原始经营数据!$D$3:$D$3001,$A2802,原始经营数据!$E$3:$E$3001,"",原始经营数据!$F$3:$F$3001,$C2802,原始经营数据!$H$3:$H$3001,$D2802,原始经营数据!$K$3:$K$3001,$G2802)&gt;1,"基金整体·来源"&amp;原始经营数据!$A2803,"基金整体")))</f>
        <v/>
      </c>
      <c r="J2802" t="str">
        <f t="shared" si="648"/>
        <v/>
      </c>
      <c r="K2802" t="str">
        <f t="shared" si="649"/>
        <v/>
      </c>
      <c r="L2802" t="str">
        <f t="shared" si="650"/>
        <v/>
      </c>
      <c r="M2802">
        <f>IF($A2802="",0,IF(COUNTIF($L$2:$L2802,$L2802)=1,1,0))</f>
        <v>0</v>
      </c>
      <c r="N2802" t="str">
        <f t="shared" si="651"/>
        <v/>
      </c>
      <c r="O2802" t="str">
        <f t="shared" si="652"/>
        <v/>
      </c>
      <c r="P2802">
        <f>IF($A2802="",0,IF(COUNTIF($O$2:$O2802,$O2802)=1,1,0))</f>
        <v>0</v>
      </c>
      <c r="Q2802" t="str">
        <f>IF(AND($P2802=1,$A2802=经营数据!$B$3,$J2802=经营数据!$BA$5),COUNTIFS($P$2:$P$3000,1,$A$2:$A$3000,$A2802,$J$2:$J$3000,$J2802,$N$2:$N$3000,"&lt;"&amp;$N2802)+1,"")</f>
        <v/>
      </c>
      <c r="R2802" t="str">
        <f t="shared" si="653"/>
        <v/>
      </c>
      <c r="S2802">
        <f>IF($A2802="",0,IF(COUNTIF($R$2:$R2802,$R2802)=1,1,0))</f>
        <v>0</v>
      </c>
      <c r="T2802" t="str">
        <f t="shared" si="654"/>
        <v/>
      </c>
      <c r="U2802" t="str">
        <f>IF($A2802="","",IF($A2802=经营数据!$B$3,COUNTIFS($S$2:$S$3000,1,$A$2:$A$3000,$A2802,$T$2:$T$3000,"&lt;"&amp;$T2802)+1,""))</f>
        <v/>
      </c>
      <c r="V2802" t="str">
        <f t="shared" si="655"/>
        <v/>
      </c>
      <c r="W2802" t="str">
        <f t="shared" si="656"/>
        <v/>
      </c>
      <c r="X2802" t="str">
        <f t="shared" si="657"/>
        <v/>
      </c>
      <c r="Y2802" t="str">
        <f t="shared" si="658"/>
        <v/>
      </c>
      <c r="Z2802">
        <f>IF($A2802="",0,IF(AND($M2802=1,$A2802=经营数据!$B$3,$J2802=经营数据!$BA$5,OR($I2802=经营数据!$BA$4,COUNTIF(经营数据!$AA$9:$AA$38,$I2802)&gt;0)),1,0))</f>
        <v>0</v>
      </c>
      <c r="AA2802" t="str">
        <f t="shared" si="659"/>
        <v/>
      </c>
      <c r="AB2802" t="str">
        <f t="shared" si="660"/>
        <v/>
      </c>
      <c r="AC2802">
        <f>IF($A2802="",0,IF(COUNTIF($A$2:$A2802,$A2802)=1,1,0))</f>
        <v>0</v>
      </c>
      <c r="AD2802">
        <f t="shared" si="661"/>
        <v>29</v>
      </c>
      <c r="AE2802" t="str">
        <f t="shared" si="662"/>
        <v/>
      </c>
    </row>
    <row r="2803" spans="1:31" x14ac:dyDescent="0.4">
      <c r="A2803" t="str">
        <f>IF(原始经营数据!$D2804="","",原始经营数据!$D2804)</f>
        <v/>
      </c>
      <c r="B2803" t="str">
        <f>IF(原始经营数据!$D2804="","",T(原始经营数据!$E2804))</f>
        <v/>
      </c>
      <c r="C2803" t="str">
        <f>IF(原始经营数据!$D2804="","",原始经营数据!$F2804)</f>
        <v/>
      </c>
      <c r="D2803" t="str">
        <f>IF(原始经营数据!$D2804="","",原始经营数据!$H2804)</f>
        <v/>
      </c>
      <c r="E2803" t="str">
        <f>IF(原始经营数据!$D2804="","",原始经营数据!$I2804)</f>
        <v/>
      </c>
      <c r="F2803" t="str">
        <f>IF(原始经营数据!$D2804="","",T(原始经营数据!$J2804))</f>
        <v/>
      </c>
      <c r="G2803" t="str">
        <f>IF(原始经营数据!$D2804="","",T(原始经营数据!$K2804))</f>
        <v/>
      </c>
      <c r="H2803" t="str">
        <f>IF(原始经营数据!$D2804="","",原始经营数据!$G2804)</f>
        <v/>
      </c>
      <c r="I2803" t="str">
        <f>IF($A2803="","",IF($B2803&lt;&gt;"",$B2803,IF(COUNTIFS(原始经营数据!$D$3:$D$3001,$A2803,原始经营数据!$E$3:$E$3001,"",原始经营数据!$F$3:$F$3001,$C2803,原始经营数据!$H$3:$H$3001,$D2803,原始经营数据!$K$3:$K$3001,$G2803)&gt;1,"基金整体·来源"&amp;原始经营数据!$A2804,"基金整体")))</f>
        <v/>
      </c>
      <c r="J2803" t="str">
        <f t="shared" si="648"/>
        <v/>
      </c>
      <c r="K2803" t="str">
        <f t="shared" si="649"/>
        <v/>
      </c>
      <c r="L2803" t="str">
        <f t="shared" si="650"/>
        <v/>
      </c>
      <c r="M2803">
        <f>IF($A2803="",0,IF(COUNTIF($L$2:$L2803,$L2803)=1,1,0))</f>
        <v>0</v>
      </c>
      <c r="N2803" t="str">
        <f t="shared" si="651"/>
        <v/>
      </c>
      <c r="O2803" t="str">
        <f t="shared" si="652"/>
        <v/>
      </c>
      <c r="P2803">
        <f>IF($A2803="",0,IF(COUNTIF($O$2:$O2803,$O2803)=1,1,0))</f>
        <v>0</v>
      </c>
      <c r="Q2803" t="str">
        <f>IF(AND($P2803=1,$A2803=经营数据!$B$3,$J2803=经营数据!$BA$5),COUNTIFS($P$2:$P$3000,1,$A$2:$A$3000,$A2803,$J$2:$J$3000,$J2803,$N$2:$N$3000,"&lt;"&amp;$N2803)+1,"")</f>
        <v/>
      </c>
      <c r="R2803" t="str">
        <f t="shared" si="653"/>
        <v/>
      </c>
      <c r="S2803">
        <f>IF($A2803="",0,IF(COUNTIF($R$2:$R2803,$R2803)=1,1,0))</f>
        <v>0</v>
      </c>
      <c r="T2803" t="str">
        <f t="shared" si="654"/>
        <v/>
      </c>
      <c r="U2803" t="str">
        <f>IF($A2803="","",IF($A2803=经营数据!$B$3,COUNTIFS($S$2:$S$3000,1,$A$2:$A$3000,$A2803,$T$2:$T$3000,"&lt;"&amp;$T2803)+1,""))</f>
        <v/>
      </c>
      <c r="V2803" t="str">
        <f t="shared" si="655"/>
        <v/>
      </c>
      <c r="W2803" t="str">
        <f t="shared" si="656"/>
        <v/>
      </c>
      <c r="X2803" t="str">
        <f t="shared" si="657"/>
        <v/>
      </c>
      <c r="Y2803" t="str">
        <f t="shared" si="658"/>
        <v/>
      </c>
      <c r="Z2803">
        <f>IF($A2803="",0,IF(AND($M2803=1,$A2803=经营数据!$B$3,$J2803=经营数据!$BA$5,OR($I2803=经营数据!$BA$4,COUNTIF(经营数据!$AA$9:$AA$38,$I2803)&gt;0)),1,0))</f>
        <v>0</v>
      </c>
      <c r="AA2803" t="str">
        <f t="shared" si="659"/>
        <v/>
      </c>
      <c r="AB2803" t="str">
        <f t="shared" si="660"/>
        <v/>
      </c>
      <c r="AC2803">
        <f>IF($A2803="",0,IF(COUNTIF($A$2:$A2803,$A2803)=1,1,0))</f>
        <v>0</v>
      </c>
      <c r="AD2803">
        <f t="shared" si="661"/>
        <v>29</v>
      </c>
      <c r="AE2803" t="str">
        <f t="shared" si="662"/>
        <v/>
      </c>
    </row>
    <row r="2804" spans="1:31" x14ac:dyDescent="0.4">
      <c r="A2804" t="str">
        <f>IF(原始经营数据!$D2805="","",原始经营数据!$D2805)</f>
        <v/>
      </c>
      <c r="B2804" t="str">
        <f>IF(原始经营数据!$D2805="","",T(原始经营数据!$E2805))</f>
        <v/>
      </c>
      <c r="C2804" t="str">
        <f>IF(原始经营数据!$D2805="","",原始经营数据!$F2805)</f>
        <v/>
      </c>
      <c r="D2804" t="str">
        <f>IF(原始经营数据!$D2805="","",原始经营数据!$H2805)</f>
        <v/>
      </c>
      <c r="E2804" t="str">
        <f>IF(原始经营数据!$D2805="","",原始经营数据!$I2805)</f>
        <v/>
      </c>
      <c r="F2804" t="str">
        <f>IF(原始经营数据!$D2805="","",T(原始经营数据!$J2805))</f>
        <v/>
      </c>
      <c r="G2804" t="str">
        <f>IF(原始经营数据!$D2805="","",T(原始经营数据!$K2805))</f>
        <v/>
      </c>
      <c r="H2804" t="str">
        <f>IF(原始经营数据!$D2805="","",原始经营数据!$G2805)</f>
        <v/>
      </c>
      <c r="I2804" t="str">
        <f>IF($A2804="","",IF($B2804&lt;&gt;"",$B2804,IF(COUNTIFS(原始经营数据!$D$3:$D$3001,$A2804,原始经营数据!$E$3:$E$3001,"",原始经营数据!$F$3:$F$3001,$C2804,原始经营数据!$H$3:$H$3001,$D2804,原始经营数据!$K$3:$K$3001,$G2804)&gt;1,"基金整体·来源"&amp;原始经营数据!$A2805,"基金整体")))</f>
        <v/>
      </c>
      <c r="J2804" t="str">
        <f t="shared" si="648"/>
        <v/>
      </c>
      <c r="K2804" t="str">
        <f t="shared" si="649"/>
        <v/>
      </c>
      <c r="L2804" t="str">
        <f t="shared" si="650"/>
        <v/>
      </c>
      <c r="M2804">
        <f>IF($A2804="",0,IF(COUNTIF($L$2:$L2804,$L2804)=1,1,0))</f>
        <v>0</v>
      </c>
      <c r="N2804" t="str">
        <f t="shared" si="651"/>
        <v/>
      </c>
      <c r="O2804" t="str">
        <f t="shared" si="652"/>
        <v/>
      </c>
      <c r="P2804">
        <f>IF($A2804="",0,IF(COUNTIF($O$2:$O2804,$O2804)=1,1,0))</f>
        <v>0</v>
      </c>
      <c r="Q2804" t="str">
        <f>IF(AND($P2804=1,$A2804=经营数据!$B$3,$J2804=经营数据!$BA$5),COUNTIFS($P$2:$P$3000,1,$A$2:$A$3000,$A2804,$J$2:$J$3000,$J2804,$N$2:$N$3000,"&lt;"&amp;$N2804)+1,"")</f>
        <v/>
      </c>
      <c r="R2804" t="str">
        <f t="shared" si="653"/>
        <v/>
      </c>
      <c r="S2804">
        <f>IF($A2804="",0,IF(COUNTIF($R$2:$R2804,$R2804)=1,1,0))</f>
        <v>0</v>
      </c>
      <c r="T2804" t="str">
        <f t="shared" si="654"/>
        <v/>
      </c>
      <c r="U2804" t="str">
        <f>IF($A2804="","",IF($A2804=经营数据!$B$3,COUNTIFS($S$2:$S$3000,1,$A$2:$A$3000,$A2804,$T$2:$T$3000,"&lt;"&amp;$T2804)+1,""))</f>
        <v/>
      </c>
      <c r="V2804" t="str">
        <f t="shared" si="655"/>
        <v/>
      </c>
      <c r="W2804" t="str">
        <f t="shared" si="656"/>
        <v/>
      </c>
      <c r="X2804" t="str">
        <f t="shared" si="657"/>
        <v/>
      </c>
      <c r="Y2804" t="str">
        <f t="shared" si="658"/>
        <v/>
      </c>
      <c r="Z2804">
        <f>IF($A2804="",0,IF(AND($M2804=1,$A2804=经营数据!$B$3,$J2804=经营数据!$BA$5,OR($I2804=经营数据!$BA$4,COUNTIF(经营数据!$AA$9:$AA$38,$I2804)&gt;0)),1,0))</f>
        <v>0</v>
      </c>
      <c r="AA2804" t="str">
        <f t="shared" si="659"/>
        <v/>
      </c>
      <c r="AB2804" t="str">
        <f t="shared" si="660"/>
        <v/>
      </c>
      <c r="AC2804">
        <f>IF($A2804="",0,IF(COUNTIF($A$2:$A2804,$A2804)=1,1,0))</f>
        <v>0</v>
      </c>
      <c r="AD2804">
        <f t="shared" si="661"/>
        <v>29</v>
      </c>
      <c r="AE2804" t="str">
        <f t="shared" si="662"/>
        <v/>
      </c>
    </row>
    <row r="2805" spans="1:31" x14ac:dyDescent="0.4">
      <c r="A2805" t="str">
        <f>IF(原始经营数据!$D2806="","",原始经营数据!$D2806)</f>
        <v/>
      </c>
      <c r="B2805" t="str">
        <f>IF(原始经营数据!$D2806="","",T(原始经营数据!$E2806))</f>
        <v/>
      </c>
      <c r="C2805" t="str">
        <f>IF(原始经营数据!$D2806="","",原始经营数据!$F2806)</f>
        <v/>
      </c>
      <c r="D2805" t="str">
        <f>IF(原始经营数据!$D2806="","",原始经营数据!$H2806)</f>
        <v/>
      </c>
      <c r="E2805" t="str">
        <f>IF(原始经营数据!$D2806="","",原始经营数据!$I2806)</f>
        <v/>
      </c>
      <c r="F2805" t="str">
        <f>IF(原始经营数据!$D2806="","",T(原始经营数据!$J2806))</f>
        <v/>
      </c>
      <c r="G2805" t="str">
        <f>IF(原始经营数据!$D2806="","",T(原始经营数据!$K2806))</f>
        <v/>
      </c>
      <c r="H2805" t="str">
        <f>IF(原始经营数据!$D2806="","",原始经营数据!$G2806)</f>
        <v/>
      </c>
      <c r="I2805" t="str">
        <f>IF($A2805="","",IF($B2805&lt;&gt;"",$B2805,IF(COUNTIFS(原始经营数据!$D$3:$D$3001,$A2805,原始经营数据!$E$3:$E$3001,"",原始经营数据!$F$3:$F$3001,$C2805,原始经营数据!$H$3:$H$3001,$D2805,原始经营数据!$K$3:$K$3001,$G2805)&gt;1,"基金整体·来源"&amp;原始经营数据!$A2806,"基金整体")))</f>
        <v/>
      </c>
      <c r="J2805" t="str">
        <f t="shared" si="648"/>
        <v/>
      </c>
      <c r="K2805" t="str">
        <f t="shared" si="649"/>
        <v/>
      </c>
      <c r="L2805" t="str">
        <f t="shared" si="650"/>
        <v/>
      </c>
      <c r="M2805">
        <f>IF($A2805="",0,IF(COUNTIF($L$2:$L2805,$L2805)=1,1,0))</f>
        <v>0</v>
      </c>
      <c r="N2805" t="str">
        <f t="shared" si="651"/>
        <v/>
      </c>
      <c r="O2805" t="str">
        <f t="shared" si="652"/>
        <v/>
      </c>
      <c r="P2805">
        <f>IF($A2805="",0,IF(COUNTIF($O$2:$O2805,$O2805)=1,1,0))</f>
        <v>0</v>
      </c>
      <c r="Q2805" t="str">
        <f>IF(AND($P2805=1,$A2805=经营数据!$B$3,$J2805=经营数据!$BA$5),COUNTIFS($P$2:$P$3000,1,$A$2:$A$3000,$A2805,$J$2:$J$3000,$J2805,$N$2:$N$3000,"&lt;"&amp;$N2805)+1,"")</f>
        <v/>
      </c>
      <c r="R2805" t="str">
        <f t="shared" si="653"/>
        <v/>
      </c>
      <c r="S2805">
        <f>IF($A2805="",0,IF(COUNTIF($R$2:$R2805,$R2805)=1,1,0))</f>
        <v>0</v>
      </c>
      <c r="T2805" t="str">
        <f t="shared" si="654"/>
        <v/>
      </c>
      <c r="U2805" t="str">
        <f>IF($A2805="","",IF($A2805=经营数据!$B$3,COUNTIFS($S$2:$S$3000,1,$A$2:$A$3000,$A2805,$T$2:$T$3000,"&lt;"&amp;$T2805)+1,""))</f>
        <v/>
      </c>
      <c r="V2805" t="str">
        <f t="shared" si="655"/>
        <v/>
      </c>
      <c r="W2805" t="str">
        <f t="shared" si="656"/>
        <v/>
      </c>
      <c r="X2805" t="str">
        <f t="shared" si="657"/>
        <v/>
      </c>
      <c r="Y2805" t="str">
        <f t="shared" si="658"/>
        <v/>
      </c>
      <c r="Z2805">
        <f>IF($A2805="",0,IF(AND($M2805=1,$A2805=经营数据!$B$3,$J2805=经营数据!$BA$5,OR($I2805=经营数据!$BA$4,COUNTIF(经营数据!$AA$9:$AA$38,$I2805)&gt;0)),1,0))</f>
        <v>0</v>
      </c>
      <c r="AA2805" t="str">
        <f t="shared" si="659"/>
        <v/>
      </c>
      <c r="AB2805" t="str">
        <f t="shared" si="660"/>
        <v/>
      </c>
      <c r="AC2805">
        <f>IF($A2805="",0,IF(COUNTIF($A$2:$A2805,$A2805)=1,1,0))</f>
        <v>0</v>
      </c>
      <c r="AD2805">
        <f t="shared" si="661"/>
        <v>29</v>
      </c>
      <c r="AE2805" t="str">
        <f t="shared" si="662"/>
        <v/>
      </c>
    </row>
    <row r="2806" spans="1:31" x14ac:dyDescent="0.4">
      <c r="A2806" t="str">
        <f>IF(原始经营数据!$D2807="","",原始经营数据!$D2807)</f>
        <v/>
      </c>
      <c r="B2806" t="str">
        <f>IF(原始经营数据!$D2807="","",T(原始经营数据!$E2807))</f>
        <v/>
      </c>
      <c r="C2806" t="str">
        <f>IF(原始经营数据!$D2807="","",原始经营数据!$F2807)</f>
        <v/>
      </c>
      <c r="D2806" t="str">
        <f>IF(原始经营数据!$D2807="","",原始经营数据!$H2807)</f>
        <v/>
      </c>
      <c r="E2806" t="str">
        <f>IF(原始经营数据!$D2807="","",原始经营数据!$I2807)</f>
        <v/>
      </c>
      <c r="F2806" t="str">
        <f>IF(原始经营数据!$D2807="","",T(原始经营数据!$J2807))</f>
        <v/>
      </c>
      <c r="G2806" t="str">
        <f>IF(原始经营数据!$D2807="","",T(原始经营数据!$K2807))</f>
        <v/>
      </c>
      <c r="H2806" t="str">
        <f>IF(原始经营数据!$D2807="","",原始经营数据!$G2807)</f>
        <v/>
      </c>
      <c r="I2806" t="str">
        <f>IF($A2806="","",IF($B2806&lt;&gt;"",$B2806,IF(COUNTIFS(原始经营数据!$D$3:$D$3001,$A2806,原始经营数据!$E$3:$E$3001,"",原始经营数据!$F$3:$F$3001,$C2806,原始经营数据!$H$3:$H$3001,$D2806,原始经营数据!$K$3:$K$3001,$G2806)&gt;1,"基金整体·来源"&amp;原始经营数据!$A2807,"基金整体")))</f>
        <v/>
      </c>
      <c r="J2806" t="str">
        <f t="shared" si="648"/>
        <v/>
      </c>
      <c r="K2806" t="str">
        <f t="shared" si="649"/>
        <v/>
      </c>
      <c r="L2806" t="str">
        <f t="shared" si="650"/>
        <v/>
      </c>
      <c r="M2806">
        <f>IF($A2806="",0,IF(COUNTIF($L$2:$L2806,$L2806)=1,1,0))</f>
        <v>0</v>
      </c>
      <c r="N2806" t="str">
        <f t="shared" si="651"/>
        <v/>
      </c>
      <c r="O2806" t="str">
        <f t="shared" si="652"/>
        <v/>
      </c>
      <c r="P2806">
        <f>IF($A2806="",0,IF(COUNTIF($O$2:$O2806,$O2806)=1,1,0))</f>
        <v>0</v>
      </c>
      <c r="Q2806" t="str">
        <f>IF(AND($P2806=1,$A2806=经营数据!$B$3,$J2806=经营数据!$BA$5),COUNTIFS($P$2:$P$3000,1,$A$2:$A$3000,$A2806,$J$2:$J$3000,$J2806,$N$2:$N$3000,"&lt;"&amp;$N2806)+1,"")</f>
        <v/>
      </c>
      <c r="R2806" t="str">
        <f t="shared" si="653"/>
        <v/>
      </c>
      <c r="S2806">
        <f>IF($A2806="",0,IF(COUNTIF($R$2:$R2806,$R2806)=1,1,0))</f>
        <v>0</v>
      </c>
      <c r="T2806" t="str">
        <f t="shared" si="654"/>
        <v/>
      </c>
      <c r="U2806" t="str">
        <f>IF($A2806="","",IF($A2806=经营数据!$B$3,COUNTIFS($S$2:$S$3000,1,$A$2:$A$3000,$A2806,$T$2:$T$3000,"&lt;"&amp;$T2806)+1,""))</f>
        <v/>
      </c>
      <c r="V2806" t="str">
        <f t="shared" si="655"/>
        <v/>
      </c>
      <c r="W2806" t="str">
        <f t="shared" si="656"/>
        <v/>
      </c>
      <c r="X2806" t="str">
        <f t="shared" si="657"/>
        <v/>
      </c>
      <c r="Y2806" t="str">
        <f t="shared" si="658"/>
        <v/>
      </c>
      <c r="Z2806">
        <f>IF($A2806="",0,IF(AND($M2806=1,$A2806=经营数据!$B$3,$J2806=经营数据!$BA$5,OR($I2806=经营数据!$BA$4,COUNTIF(经营数据!$AA$9:$AA$38,$I2806)&gt;0)),1,0))</f>
        <v>0</v>
      </c>
      <c r="AA2806" t="str">
        <f t="shared" si="659"/>
        <v/>
      </c>
      <c r="AB2806" t="str">
        <f t="shared" si="660"/>
        <v/>
      </c>
      <c r="AC2806">
        <f>IF($A2806="",0,IF(COUNTIF($A$2:$A2806,$A2806)=1,1,0))</f>
        <v>0</v>
      </c>
      <c r="AD2806">
        <f t="shared" si="661"/>
        <v>29</v>
      </c>
      <c r="AE2806" t="str">
        <f t="shared" si="662"/>
        <v/>
      </c>
    </row>
    <row r="2807" spans="1:31" x14ac:dyDescent="0.4">
      <c r="A2807" t="str">
        <f>IF(原始经营数据!$D2808="","",原始经营数据!$D2808)</f>
        <v/>
      </c>
      <c r="B2807" t="str">
        <f>IF(原始经营数据!$D2808="","",T(原始经营数据!$E2808))</f>
        <v/>
      </c>
      <c r="C2807" t="str">
        <f>IF(原始经营数据!$D2808="","",原始经营数据!$F2808)</f>
        <v/>
      </c>
      <c r="D2807" t="str">
        <f>IF(原始经营数据!$D2808="","",原始经营数据!$H2808)</f>
        <v/>
      </c>
      <c r="E2807" t="str">
        <f>IF(原始经营数据!$D2808="","",原始经营数据!$I2808)</f>
        <v/>
      </c>
      <c r="F2807" t="str">
        <f>IF(原始经营数据!$D2808="","",T(原始经营数据!$J2808))</f>
        <v/>
      </c>
      <c r="G2807" t="str">
        <f>IF(原始经营数据!$D2808="","",T(原始经营数据!$K2808))</f>
        <v/>
      </c>
      <c r="H2807" t="str">
        <f>IF(原始经营数据!$D2808="","",原始经营数据!$G2808)</f>
        <v/>
      </c>
      <c r="I2807" t="str">
        <f>IF($A2807="","",IF($B2807&lt;&gt;"",$B2807,IF(COUNTIFS(原始经营数据!$D$3:$D$3001,$A2807,原始经营数据!$E$3:$E$3001,"",原始经营数据!$F$3:$F$3001,$C2807,原始经营数据!$H$3:$H$3001,$D2807,原始经营数据!$K$3:$K$3001,$G2807)&gt;1,"基金整体·来源"&amp;原始经营数据!$A2808,"基金整体")))</f>
        <v/>
      </c>
      <c r="J2807" t="str">
        <f t="shared" si="648"/>
        <v/>
      </c>
      <c r="K2807" t="str">
        <f t="shared" si="649"/>
        <v/>
      </c>
      <c r="L2807" t="str">
        <f t="shared" si="650"/>
        <v/>
      </c>
      <c r="M2807">
        <f>IF($A2807="",0,IF(COUNTIF($L$2:$L2807,$L2807)=1,1,0))</f>
        <v>0</v>
      </c>
      <c r="N2807" t="str">
        <f t="shared" si="651"/>
        <v/>
      </c>
      <c r="O2807" t="str">
        <f t="shared" si="652"/>
        <v/>
      </c>
      <c r="P2807">
        <f>IF($A2807="",0,IF(COUNTIF($O$2:$O2807,$O2807)=1,1,0))</f>
        <v>0</v>
      </c>
      <c r="Q2807" t="str">
        <f>IF(AND($P2807=1,$A2807=经营数据!$B$3,$J2807=经营数据!$BA$5),COUNTIFS($P$2:$P$3000,1,$A$2:$A$3000,$A2807,$J$2:$J$3000,$J2807,$N$2:$N$3000,"&lt;"&amp;$N2807)+1,"")</f>
        <v/>
      </c>
      <c r="R2807" t="str">
        <f t="shared" si="653"/>
        <v/>
      </c>
      <c r="S2807">
        <f>IF($A2807="",0,IF(COUNTIF($R$2:$R2807,$R2807)=1,1,0))</f>
        <v>0</v>
      </c>
      <c r="T2807" t="str">
        <f t="shared" si="654"/>
        <v/>
      </c>
      <c r="U2807" t="str">
        <f>IF($A2807="","",IF($A2807=经营数据!$B$3,COUNTIFS($S$2:$S$3000,1,$A$2:$A$3000,$A2807,$T$2:$T$3000,"&lt;"&amp;$T2807)+1,""))</f>
        <v/>
      </c>
      <c r="V2807" t="str">
        <f t="shared" si="655"/>
        <v/>
      </c>
      <c r="W2807" t="str">
        <f t="shared" si="656"/>
        <v/>
      </c>
      <c r="X2807" t="str">
        <f t="shared" si="657"/>
        <v/>
      </c>
      <c r="Y2807" t="str">
        <f t="shared" si="658"/>
        <v/>
      </c>
      <c r="Z2807">
        <f>IF($A2807="",0,IF(AND($M2807=1,$A2807=经营数据!$B$3,$J2807=经营数据!$BA$5,OR($I2807=经营数据!$BA$4,COUNTIF(经营数据!$AA$9:$AA$38,$I2807)&gt;0)),1,0))</f>
        <v>0</v>
      </c>
      <c r="AA2807" t="str">
        <f t="shared" si="659"/>
        <v/>
      </c>
      <c r="AB2807" t="str">
        <f t="shared" si="660"/>
        <v/>
      </c>
      <c r="AC2807">
        <f>IF($A2807="",0,IF(COUNTIF($A$2:$A2807,$A2807)=1,1,0))</f>
        <v>0</v>
      </c>
      <c r="AD2807">
        <f t="shared" si="661"/>
        <v>29</v>
      </c>
      <c r="AE2807" t="str">
        <f t="shared" si="662"/>
        <v/>
      </c>
    </row>
    <row r="2808" spans="1:31" x14ac:dyDescent="0.4">
      <c r="A2808" t="str">
        <f>IF(原始经营数据!$D2809="","",原始经营数据!$D2809)</f>
        <v/>
      </c>
      <c r="B2808" t="str">
        <f>IF(原始经营数据!$D2809="","",T(原始经营数据!$E2809))</f>
        <v/>
      </c>
      <c r="C2808" t="str">
        <f>IF(原始经营数据!$D2809="","",原始经营数据!$F2809)</f>
        <v/>
      </c>
      <c r="D2808" t="str">
        <f>IF(原始经营数据!$D2809="","",原始经营数据!$H2809)</f>
        <v/>
      </c>
      <c r="E2808" t="str">
        <f>IF(原始经营数据!$D2809="","",原始经营数据!$I2809)</f>
        <v/>
      </c>
      <c r="F2808" t="str">
        <f>IF(原始经营数据!$D2809="","",T(原始经营数据!$J2809))</f>
        <v/>
      </c>
      <c r="G2808" t="str">
        <f>IF(原始经营数据!$D2809="","",T(原始经营数据!$K2809))</f>
        <v/>
      </c>
      <c r="H2808" t="str">
        <f>IF(原始经营数据!$D2809="","",原始经营数据!$G2809)</f>
        <v/>
      </c>
      <c r="I2808" t="str">
        <f>IF($A2808="","",IF($B2808&lt;&gt;"",$B2808,IF(COUNTIFS(原始经营数据!$D$3:$D$3001,$A2808,原始经营数据!$E$3:$E$3001,"",原始经营数据!$F$3:$F$3001,$C2808,原始经营数据!$H$3:$H$3001,$D2808,原始经营数据!$K$3:$K$3001,$G2808)&gt;1,"基金整体·来源"&amp;原始经营数据!$A2809,"基金整体")))</f>
        <v/>
      </c>
      <c r="J2808" t="str">
        <f t="shared" si="648"/>
        <v/>
      </c>
      <c r="K2808" t="str">
        <f t="shared" si="649"/>
        <v/>
      </c>
      <c r="L2808" t="str">
        <f t="shared" si="650"/>
        <v/>
      </c>
      <c r="M2808">
        <f>IF($A2808="",0,IF(COUNTIF($L$2:$L2808,$L2808)=1,1,0))</f>
        <v>0</v>
      </c>
      <c r="N2808" t="str">
        <f t="shared" si="651"/>
        <v/>
      </c>
      <c r="O2808" t="str">
        <f t="shared" si="652"/>
        <v/>
      </c>
      <c r="P2808">
        <f>IF($A2808="",0,IF(COUNTIF($O$2:$O2808,$O2808)=1,1,0))</f>
        <v>0</v>
      </c>
      <c r="Q2808" t="str">
        <f>IF(AND($P2808=1,$A2808=经营数据!$B$3,$J2808=经营数据!$BA$5),COUNTIFS($P$2:$P$3000,1,$A$2:$A$3000,$A2808,$J$2:$J$3000,$J2808,$N$2:$N$3000,"&lt;"&amp;$N2808)+1,"")</f>
        <v/>
      </c>
      <c r="R2808" t="str">
        <f t="shared" si="653"/>
        <v/>
      </c>
      <c r="S2808">
        <f>IF($A2808="",0,IF(COUNTIF($R$2:$R2808,$R2808)=1,1,0))</f>
        <v>0</v>
      </c>
      <c r="T2808" t="str">
        <f t="shared" si="654"/>
        <v/>
      </c>
      <c r="U2808" t="str">
        <f>IF($A2808="","",IF($A2808=经营数据!$B$3,COUNTIFS($S$2:$S$3000,1,$A$2:$A$3000,$A2808,$T$2:$T$3000,"&lt;"&amp;$T2808)+1,""))</f>
        <v/>
      </c>
      <c r="V2808" t="str">
        <f t="shared" si="655"/>
        <v/>
      </c>
      <c r="W2808" t="str">
        <f t="shared" si="656"/>
        <v/>
      </c>
      <c r="X2808" t="str">
        <f t="shared" si="657"/>
        <v/>
      </c>
      <c r="Y2808" t="str">
        <f t="shared" si="658"/>
        <v/>
      </c>
      <c r="Z2808">
        <f>IF($A2808="",0,IF(AND($M2808=1,$A2808=经营数据!$B$3,$J2808=经营数据!$BA$5,OR($I2808=经营数据!$BA$4,COUNTIF(经营数据!$AA$9:$AA$38,$I2808)&gt;0)),1,0))</f>
        <v>0</v>
      </c>
      <c r="AA2808" t="str">
        <f t="shared" si="659"/>
        <v/>
      </c>
      <c r="AB2808" t="str">
        <f t="shared" si="660"/>
        <v/>
      </c>
      <c r="AC2808">
        <f>IF($A2808="",0,IF(COUNTIF($A$2:$A2808,$A2808)=1,1,0))</f>
        <v>0</v>
      </c>
      <c r="AD2808">
        <f t="shared" si="661"/>
        <v>29</v>
      </c>
      <c r="AE2808" t="str">
        <f t="shared" si="662"/>
        <v/>
      </c>
    </row>
    <row r="2809" spans="1:31" x14ac:dyDescent="0.4">
      <c r="A2809" t="str">
        <f>IF(原始经营数据!$D2810="","",原始经营数据!$D2810)</f>
        <v/>
      </c>
      <c r="B2809" t="str">
        <f>IF(原始经营数据!$D2810="","",T(原始经营数据!$E2810))</f>
        <v/>
      </c>
      <c r="C2809" t="str">
        <f>IF(原始经营数据!$D2810="","",原始经营数据!$F2810)</f>
        <v/>
      </c>
      <c r="D2809" t="str">
        <f>IF(原始经营数据!$D2810="","",原始经营数据!$H2810)</f>
        <v/>
      </c>
      <c r="E2809" t="str">
        <f>IF(原始经营数据!$D2810="","",原始经营数据!$I2810)</f>
        <v/>
      </c>
      <c r="F2809" t="str">
        <f>IF(原始经营数据!$D2810="","",T(原始经营数据!$J2810))</f>
        <v/>
      </c>
      <c r="G2809" t="str">
        <f>IF(原始经营数据!$D2810="","",T(原始经营数据!$K2810))</f>
        <v/>
      </c>
      <c r="H2809" t="str">
        <f>IF(原始经营数据!$D2810="","",原始经营数据!$G2810)</f>
        <v/>
      </c>
      <c r="I2809" t="str">
        <f>IF($A2809="","",IF($B2809&lt;&gt;"",$B2809,IF(COUNTIFS(原始经营数据!$D$3:$D$3001,$A2809,原始经营数据!$E$3:$E$3001,"",原始经营数据!$F$3:$F$3001,$C2809,原始经营数据!$H$3:$H$3001,$D2809,原始经营数据!$K$3:$K$3001,$G2809)&gt;1,"基金整体·来源"&amp;原始经营数据!$A2810,"基金整体")))</f>
        <v/>
      </c>
      <c r="J2809" t="str">
        <f t="shared" si="648"/>
        <v/>
      </c>
      <c r="K2809" t="str">
        <f t="shared" si="649"/>
        <v/>
      </c>
      <c r="L2809" t="str">
        <f t="shared" si="650"/>
        <v/>
      </c>
      <c r="M2809">
        <f>IF($A2809="",0,IF(COUNTIF($L$2:$L2809,$L2809)=1,1,0))</f>
        <v>0</v>
      </c>
      <c r="N2809" t="str">
        <f t="shared" si="651"/>
        <v/>
      </c>
      <c r="O2809" t="str">
        <f t="shared" si="652"/>
        <v/>
      </c>
      <c r="P2809">
        <f>IF($A2809="",0,IF(COUNTIF($O$2:$O2809,$O2809)=1,1,0))</f>
        <v>0</v>
      </c>
      <c r="Q2809" t="str">
        <f>IF(AND($P2809=1,$A2809=经营数据!$B$3,$J2809=经营数据!$BA$5),COUNTIFS($P$2:$P$3000,1,$A$2:$A$3000,$A2809,$J$2:$J$3000,$J2809,$N$2:$N$3000,"&lt;"&amp;$N2809)+1,"")</f>
        <v/>
      </c>
      <c r="R2809" t="str">
        <f t="shared" si="653"/>
        <v/>
      </c>
      <c r="S2809">
        <f>IF($A2809="",0,IF(COUNTIF($R$2:$R2809,$R2809)=1,1,0))</f>
        <v>0</v>
      </c>
      <c r="T2809" t="str">
        <f t="shared" si="654"/>
        <v/>
      </c>
      <c r="U2809" t="str">
        <f>IF($A2809="","",IF($A2809=经营数据!$B$3,COUNTIFS($S$2:$S$3000,1,$A$2:$A$3000,$A2809,$T$2:$T$3000,"&lt;"&amp;$T2809)+1,""))</f>
        <v/>
      </c>
      <c r="V2809" t="str">
        <f t="shared" si="655"/>
        <v/>
      </c>
      <c r="W2809" t="str">
        <f t="shared" si="656"/>
        <v/>
      </c>
      <c r="X2809" t="str">
        <f t="shared" si="657"/>
        <v/>
      </c>
      <c r="Y2809" t="str">
        <f t="shared" si="658"/>
        <v/>
      </c>
      <c r="Z2809">
        <f>IF($A2809="",0,IF(AND($M2809=1,$A2809=经营数据!$B$3,$J2809=经营数据!$BA$5,OR($I2809=经营数据!$BA$4,COUNTIF(经营数据!$AA$9:$AA$38,$I2809)&gt;0)),1,0))</f>
        <v>0</v>
      </c>
      <c r="AA2809" t="str">
        <f t="shared" si="659"/>
        <v/>
      </c>
      <c r="AB2809" t="str">
        <f t="shared" si="660"/>
        <v/>
      </c>
      <c r="AC2809">
        <f>IF($A2809="",0,IF(COUNTIF($A$2:$A2809,$A2809)=1,1,0))</f>
        <v>0</v>
      </c>
      <c r="AD2809">
        <f t="shared" si="661"/>
        <v>29</v>
      </c>
      <c r="AE2809" t="str">
        <f t="shared" si="662"/>
        <v/>
      </c>
    </row>
    <row r="2810" spans="1:31" x14ac:dyDescent="0.4">
      <c r="A2810" t="str">
        <f>IF(原始经营数据!$D2811="","",原始经营数据!$D2811)</f>
        <v/>
      </c>
      <c r="B2810" t="str">
        <f>IF(原始经营数据!$D2811="","",T(原始经营数据!$E2811))</f>
        <v/>
      </c>
      <c r="C2810" t="str">
        <f>IF(原始经营数据!$D2811="","",原始经营数据!$F2811)</f>
        <v/>
      </c>
      <c r="D2810" t="str">
        <f>IF(原始经营数据!$D2811="","",原始经营数据!$H2811)</f>
        <v/>
      </c>
      <c r="E2810" t="str">
        <f>IF(原始经营数据!$D2811="","",原始经营数据!$I2811)</f>
        <v/>
      </c>
      <c r="F2810" t="str">
        <f>IF(原始经营数据!$D2811="","",T(原始经营数据!$J2811))</f>
        <v/>
      </c>
      <c r="G2810" t="str">
        <f>IF(原始经营数据!$D2811="","",T(原始经营数据!$K2811))</f>
        <v/>
      </c>
      <c r="H2810" t="str">
        <f>IF(原始经营数据!$D2811="","",原始经营数据!$G2811)</f>
        <v/>
      </c>
      <c r="I2810" t="str">
        <f>IF($A2810="","",IF($B2810&lt;&gt;"",$B2810,IF(COUNTIFS(原始经营数据!$D$3:$D$3001,$A2810,原始经营数据!$E$3:$E$3001,"",原始经营数据!$F$3:$F$3001,$C2810,原始经营数据!$H$3:$H$3001,$D2810,原始经营数据!$K$3:$K$3001,$G2810)&gt;1,"基金整体·来源"&amp;原始经营数据!$A2811,"基金整体")))</f>
        <v/>
      </c>
      <c r="J2810" t="str">
        <f t="shared" si="648"/>
        <v/>
      </c>
      <c r="K2810" t="str">
        <f t="shared" si="649"/>
        <v/>
      </c>
      <c r="L2810" t="str">
        <f t="shared" si="650"/>
        <v/>
      </c>
      <c r="M2810">
        <f>IF($A2810="",0,IF(COUNTIF($L$2:$L2810,$L2810)=1,1,0))</f>
        <v>0</v>
      </c>
      <c r="N2810" t="str">
        <f t="shared" si="651"/>
        <v/>
      </c>
      <c r="O2810" t="str">
        <f t="shared" si="652"/>
        <v/>
      </c>
      <c r="P2810">
        <f>IF($A2810="",0,IF(COUNTIF($O$2:$O2810,$O2810)=1,1,0))</f>
        <v>0</v>
      </c>
      <c r="Q2810" t="str">
        <f>IF(AND($P2810=1,$A2810=经营数据!$B$3,$J2810=经营数据!$BA$5),COUNTIFS($P$2:$P$3000,1,$A$2:$A$3000,$A2810,$J$2:$J$3000,$J2810,$N$2:$N$3000,"&lt;"&amp;$N2810)+1,"")</f>
        <v/>
      </c>
      <c r="R2810" t="str">
        <f t="shared" si="653"/>
        <v/>
      </c>
      <c r="S2810">
        <f>IF($A2810="",0,IF(COUNTIF($R$2:$R2810,$R2810)=1,1,0))</f>
        <v>0</v>
      </c>
      <c r="T2810" t="str">
        <f t="shared" si="654"/>
        <v/>
      </c>
      <c r="U2810" t="str">
        <f>IF($A2810="","",IF($A2810=经营数据!$B$3,COUNTIFS($S$2:$S$3000,1,$A$2:$A$3000,$A2810,$T$2:$T$3000,"&lt;"&amp;$T2810)+1,""))</f>
        <v/>
      </c>
      <c r="V2810" t="str">
        <f t="shared" si="655"/>
        <v/>
      </c>
      <c r="W2810" t="str">
        <f t="shared" si="656"/>
        <v/>
      </c>
      <c r="X2810" t="str">
        <f t="shared" si="657"/>
        <v/>
      </c>
      <c r="Y2810" t="str">
        <f t="shared" si="658"/>
        <v/>
      </c>
      <c r="Z2810">
        <f>IF($A2810="",0,IF(AND($M2810=1,$A2810=经营数据!$B$3,$J2810=经营数据!$BA$5,OR($I2810=经营数据!$BA$4,COUNTIF(经营数据!$AA$9:$AA$38,$I2810)&gt;0)),1,0))</f>
        <v>0</v>
      </c>
      <c r="AA2810" t="str">
        <f t="shared" si="659"/>
        <v/>
      </c>
      <c r="AB2810" t="str">
        <f t="shared" si="660"/>
        <v/>
      </c>
      <c r="AC2810">
        <f>IF($A2810="",0,IF(COUNTIF($A$2:$A2810,$A2810)=1,1,0))</f>
        <v>0</v>
      </c>
      <c r="AD2810">
        <f t="shared" si="661"/>
        <v>29</v>
      </c>
      <c r="AE2810" t="str">
        <f t="shared" si="662"/>
        <v/>
      </c>
    </row>
    <row r="2811" spans="1:31" x14ac:dyDescent="0.4">
      <c r="A2811" t="str">
        <f>IF(原始经营数据!$D2812="","",原始经营数据!$D2812)</f>
        <v/>
      </c>
      <c r="B2811" t="str">
        <f>IF(原始经营数据!$D2812="","",T(原始经营数据!$E2812))</f>
        <v/>
      </c>
      <c r="C2811" t="str">
        <f>IF(原始经营数据!$D2812="","",原始经营数据!$F2812)</f>
        <v/>
      </c>
      <c r="D2811" t="str">
        <f>IF(原始经营数据!$D2812="","",原始经营数据!$H2812)</f>
        <v/>
      </c>
      <c r="E2811" t="str">
        <f>IF(原始经营数据!$D2812="","",原始经营数据!$I2812)</f>
        <v/>
      </c>
      <c r="F2811" t="str">
        <f>IF(原始经营数据!$D2812="","",T(原始经营数据!$J2812))</f>
        <v/>
      </c>
      <c r="G2811" t="str">
        <f>IF(原始经营数据!$D2812="","",T(原始经营数据!$K2812))</f>
        <v/>
      </c>
      <c r="H2811" t="str">
        <f>IF(原始经营数据!$D2812="","",原始经营数据!$G2812)</f>
        <v/>
      </c>
      <c r="I2811" t="str">
        <f>IF($A2811="","",IF($B2811&lt;&gt;"",$B2811,IF(COUNTIFS(原始经营数据!$D$3:$D$3001,$A2811,原始经营数据!$E$3:$E$3001,"",原始经营数据!$F$3:$F$3001,$C2811,原始经营数据!$H$3:$H$3001,$D2811,原始经营数据!$K$3:$K$3001,$G2811)&gt;1,"基金整体·来源"&amp;原始经营数据!$A2812,"基金整体")))</f>
        <v/>
      </c>
      <c r="J2811" t="str">
        <f t="shared" si="648"/>
        <v/>
      </c>
      <c r="K2811" t="str">
        <f t="shared" si="649"/>
        <v/>
      </c>
      <c r="L2811" t="str">
        <f t="shared" si="650"/>
        <v/>
      </c>
      <c r="M2811">
        <f>IF($A2811="",0,IF(COUNTIF($L$2:$L2811,$L2811)=1,1,0))</f>
        <v>0</v>
      </c>
      <c r="N2811" t="str">
        <f t="shared" si="651"/>
        <v/>
      </c>
      <c r="O2811" t="str">
        <f t="shared" si="652"/>
        <v/>
      </c>
      <c r="P2811">
        <f>IF($A2811="",0,IF(COUNTIF($O$2:$O2811,$O2811)=1,1,0))</f>
        <v>0</v>
      </c>
      <c r="Q2811" t="str">
        <f>IF(AND($P2811=1,$A2811=经营数据!$B$3,$J2811=经营数据!$BA$5),COUNTIFS($P$2:$P$3000,1,$A$2:$A$3000,$A2811,$J$2:$J$3000,$J2811,$N$2:$N$3000,"&lt;"&amp;$N2811)+1,"")</f>
        <v/>
      </c>
      <c r="R2811" t="str">
        <f t="shared" si="653"/>
        <v/>
      </c>
      <c r="S2811">
        <f>IF($A2811="",0,IF(COUNTIF($R$2:$R2811,$R2811)=1,1,0))</f>
        <v>0</v>
      </c>
      <c r="T2811" t="str">
        <f t="shared" si="654"/>
        <v/>
      </c>
      <c r="U2811" t="str">
        <f>IF($A2811="","",IF($A2811=经营数据!$B$3,COUNTIFS($S$2:$S$3000,1,$A$2:$A$3000,$A2811,$T$2:$T$3000,"&lt;"&amp;$T2811)+1,""))</f>
        <v/>
      </c>
      <c r="V2811" t="str">
        <f t="shared" si="655"/>
        <v/>
      </c>
      <c r="W2811" t="str">
        <f t="shared" si="656"/>
        <v/>
      </c>
      <c r="X2811" t="str">
        <f t="shared" si="657"/>
        <v/>
      </c>
      <c r="Y2811" t="str">
        <f t="shared" si="658"/>
        <v/>
      </c>
      <c r="Z2811">
        <f>IF($A2811="",0,IF(AND($M2811=1,$A2811=经营数据!$B$3,$J2811=经营数据!$BA$5,OR($I2811=经营数据!$BA$4,COUNTIF(经营数据!$AA$9:$AA$38,$I2811)&gt;0)),1,0))</f>
        <v>0</v>
      </c>
      <c r="AA2811" t="str">
        <f t="shared" si="659"/>
        <v/>
      </c>
      <c r="AB2811" t="str">
        <f t="shared" si="660"/>
        <v/>
      </c>
      <c r="AC2811">
        <f>IF($A2811="",0,IF(COUNTIF($A$2:$A2811,$A2811)=1,1,0))</f>
        <v>0</v>
      </c>
      <c r="AD2811">
        <f t="shared" si="661"/>
        <v>29</v>
      </c>
      <c r="AE2811" t="str">
        <f t="shared" si="662"/>
        <v/>
      </c>
    </row>
    <row r="2812" spans="1:31" x14ac:dyDescent="0.4">
      <c r="A2812" t="str">
        <f>IF(原始经营数据!$D2813="","",原始经营数据!$D2813)</f>
        <v/>
      </c>
      <c r="B2812" t="str">
        <f>IF(原始经营数据!$D2813="","",T(原始经营数据!$E2813))</f>
        <v/>
      </c>
      <c r="C2812" t="str">
        <f>IF(原始经营数据!$D2813="","",原始经营数据!$F2813)</f>
        <v/>
      </c>
      <c r="D2812" t="str">
        <f>IF(原始经营数据!$D2813="","",原始经营数据!$H2813)</f>
        <v/>
      </c>
      <c r="E2812" t="str">
        <f>IF(原始经营数据!$D2813="","",原始经营数据!$I2813)</f>
        <v/>
      </c>
      <c r="F2812" t="str">
        <f>IF(原始经营数据!$D2813="","",T(原始经营数据!$J2813))</f>
        <v/>
      </c>
      <c r="G2812" t="str">
        <f>IF(原始经营数据!$D2813="","",T(原始经营数据!$K2813))</f>
        <v/>
      </c>
      <c r="H2812" t="str">
        <f>IF(原始经营数据!$D2813="","",原始经营数据!$G2813)</f>
        <v/>
      </c>
      <c r="I2812" t="str">
        <f>IF($A2812="","",IF($B2812&lt;&gt;"",$B2812,IF(COUNTIFS(原始经营数据!$D$3:$D$3001,$A2812,原始经营数据!$E$3:$E$3001,"",原始经营数据!$F$3:$F$3001,$C2812,原始经营数据!$H$3:$H$3001,$D2812,原始经营数据!$K$3:$K$3001,$G2812)&gt;1,"基金整体·来源"&amp;原始经营数据!$A2813,"基金整体")))</f>
        <v/>
      </c>
      <c r="J2812" t="str">
        <f t="shared" si="648"/>
        <v/>
      </c>
      <c r="K2812" t="str">
        <f t="shared" si="649"/>
        <v/>
      </c>
      <c r="L2812" t="str">
        <f t="shared" si="650"/>
        <v/>
      </c>
      <c r="M2812">
        <f>IF($A2812="",0,IF(COUNTIF($L$2:$L2812,$L2812)=1,1,0))</f>
        <v>0</v>
      </c>
      <c r="N2812" t="str">
        <f t="shared" si="651"/>
        <v/>
      </c>
      <c r="O2812" t="str">
        <f t="shared" si="652"/>
        <v/>
      </c>
      <c r="P2812">
        <f>IF($A2812="",0,IF(COUNTIF($O$2:$O2812,$O2812)=1,1,0))</f>
        <v>0</v>
      </c>
      <c r="Q2812" t="str">
        <f>IF(AND($P2812=1,$A2812=经营数据!$B$3,$J2812=经营数据!$BA$5),COUNTIFS($P$2:$P$3000,1,$A$2:$A$3000,$A2812,$J$2:$J$3000,$J2812,$N$2:$N$3000,"&lt;"&amp;$N2812)+1,"")</f>
        <v/>
      </c>
      <c r="R2812" t="str">
        <f t="shared" si="653"/>
        <v/>
      </c>
      <c r="S2812">
        <f>IF($A2812="",0,IF(COUNTIF($R$2:$R2812,$R2812)=1,1,0))</f>
        <v>0</v>
      </c>
      <c r="T2812" t="str">
        <f t="shared" si="654"/>
        <v/>
      </c>
      <c r="U2812" t="str">
        <f>IF($A2812="","",IF($A2812=经营数据!$B$3,COUNTIFS($S$2:$S$3000,1,$A$2:$A$3000,$A2812,$T$2:$T$3000,"&lt;"&amp;$T2812)+1,""))</f>
        <v/>
      </c>
      <c r="V2812" t="str">
        <f t="shared" si="655"/>
        <v/>
      </c>
      <c r="W2812" t="str">
        <f t="shared" si="656"/>
        <v/>
      </c>
      <c r="X2812" t="str">
        <f t="shared" si="657"/>
        <v/>
      </c>
      <c r="Y2812" t="str">
        <f t="shared" si="658"/>
        <v/>
      </c>
      <c r="Z2812">
        <f>IF($A2812="",0,IF(AND($M2812=1,$A2812=经营数据!$B$3,$J2812=经营数据!$BA$5,OR($I2812=经营数据!$BA$4,COUNTIF(经营数据!$AA$9:$AA$38,$I2812)&gt;0)),1,0))</f>
        <v>0</v>
      </c>
      <c r="AA2812" t="str">
        <f t="shared" si="659"/>
        <v/>
      </c>
      <c r="AB2812" t="str">
        <f t="shared" si="660"/>
        <v/>
      </c>
      <c r="AC2812">
        <f>IF($A2812="",0,IF(COUNTIF($A$2:$A2812,$A2812)=1,1,0))</f>
        <v>0</v>
      </c>
      <c r="AD2812">
        <f t="shared" si="661"/>
        <v>29</v>
      </c>
      <c r="AE2812" t="str">
        <f t="shared" si="662"/>
        <v/>
      </c>
    </row>
    <row r="2813" spans="1:31" x14ac:dyDescent="0.4">
      <c r="A2813" t="str">
        <f>IF(原始经营数据!$D2814="","",原始经营数据!$D2814)</f>
        <v/>
      </c>
      <c r="B2813" t="str">
        <f>IF(原始经营数据!$D2814="","",T(原始经营数据!$E2814))</f>
        <v/>
      </c>
      <c r="C2813" t="str">
        <f>IF(原始经营数据!$D2814="","",原始经营数据!$F2814)</f>
        <v/>
      </c>
      <c r="D2813" t="str">
        <f>IF(原始经营数据!$D2814="","",原始经营数据!$H2814)</f>
        <v/>
      </c>
      <c r="E2813" t="str">
        <f>IF(原始经营数据!$D2814="","",原始经营数据!$I2814)</f>
        <v/>
      </c>
      <c r="F2813" t="str">
        <f>IF(原始经营数据!$D2814="","",T(原始经营数据!$J2814))</f>
        <v/>
      </c>
      <c r="G2813" t="str">
        <f>IF(原始经营数据!$D2814="","",T(原始经营数据!$K2814))</f>
        <v/>
      </c>
      <c r="H2813" t="str">
        <f>IF(原始经营数据!$D2814="","",原始经营数据!$G2814)</f>
        <v/>
      </c>
      <c r="I2813" t="str">
        <f>IF($A2813="","",IF($B2813&lt;&gt;"",$B2813,IF(COUNTIFS(原始经营数据!$D$3:$D$3001,$A2813,原始经营数据!$E$3:$E$3001,"",原始经营数据!$F$3:$F$3001,$C2813,原始经营数据!$H$3:$H$3001,$D2813,原始经营数据!$K$3:$K$3001,$G2813)&gt;1,"基金整体·来源"&amp;原始经营数据!$A2814,"基金整体")))</f>
        <v/>
      </c>
      <c r="J2813" t="str">
        <f t="shared" si="648"/>
        <v/>
      </c>
      <c r="K2813" t="str">
        <f t="shared" si="649"/>
        <v/>
      </c>
      <c r="L2813" t="str">
        <f t="shared" si="650"/>
        <v/>
      </c>
      <c r="M2813">
        <f>IF($A2813="",0,IF(COUNTIF($L$2:$L2813,$L2813)=1,1,0))</f>
        <v>0</v>
      </c>
      <c r="N2813" t="str">
        <f t="shared" si="651"/>
        <v/>
      </c>
      <c r="O2813" t="str">
        <f t="shared" si="652"/>
        <v/>
      </c>
      <c r="P2813">
        <f>IF($A2813="",0,IF(COUNTIF($O$2:$O2813,$O2813)=1,1,0))</f>
        <v>0</v>
      </c>
      <c r="Q2813" t="str">
        <f>IF(AND($P2813=1,$A2813=经营数据!$B$3,$J2813=经营数据!$BA$5),COUNTIFS($P$2:$P$3000,1,$A$2:$A$3000,$A2813,$J$2:$J$3000,$J2813,$N$2:$N$3000,"&lt;"&amp;$N2813)+1,"")</f>
        <v/>
      </c>
      <c r="R2813" t="str">
        <f t="shared" si="653"/>
        <v/>
      </c>
      <c r="S2813">
        <f>IF($A2813="",0,IF(COUNTIF($R$2:$R2813,$R2813)=1,1,0))</f>
        <v>0</v>
      </c>
      <c r="T2813" t="str">
        <f t="shared" si="654"/>
        <v/>
      </c>
      <c r="U2813" t="str">
        <f>IF($A2813="","",IF($A2813=经营数据!$B$3,COUNTIFS($S$2:$S$3000,1,$A$2:$A$3000,$A2813,$T$2:$T$3000,"&lt;"&amp;$T2813)+1,""))</f>
        <v/>
      </c>
      <c r="V2813" t="str">
        <f t="shared" si="655"/>
        <v/>
      </c>
      <c r="W2813" t="str">
        <f t="shared" si="656"/>
        <v/>
      </c>
      <c r="X2813" t="str">
        <f t="shared" si="657"/>
        <v/>
      </c>
      <c r="Y2813" t="str">
        <f t="shared" si="658"/>
        <v/>
      </c>
      <c r="Z2813">
        <f>IF($A2813="",0,IF(AND($M2813=1,$A2813=经营数据!$B$3,$J2813=经营数据!$BA$5,OR($I2813=经营数据!$BA$4,COUNTIF(经营数据!$AA$9:$AA$38,$I2813)&gt;0)),1,0))</f>
        <v>0</v>
      </c>
      <c r="AA2813" t="str">
        <f t="shared" si="659"/>
        <v/>
      </c>
      <c r="AB2813" t="str">
        <f t="shared" si="660"/>
        <v/>
      </c>
      <c r="AC2813">
        <f>IF($A2813="",0,IF(COUNTIF($A$2:$A2813,$A2813)=1,1,0))</f>
        <v>0</v>
      </c>
      <c r="AD2813">
        <f t="shared" si="661"/>
        <v>29</v>
      </c>
      <c r="AE2813" t="str">
        <f t="shared" si="662"/>
        <v/>
      </c>
    </row>
    <row r="2814" spans="1:31" x14ac:dyDescent="0.4">
      <c r="A2814" t="str">
        <f>IF(原始经营数据!$D2815="","",原始经营数据!$D2815)</f>
        <v/>
      </c>
      <c r="B2814" t="str">
        <f>IF(原始经营数据!$D2815="","",T(原始经营数据!$E2815))</f>
        <v/>
      </c>
      <c r="C2814" t="str">
        <f>IF(原始经营数据!$D2815="","",原始经营数据!$F2815)</f>
        <v/>
      </c>
      <c r="D2814" t="str">
        <f>IF(原始经营数据!$D2815="","",原始经营数据!$H2815)</f>
        <v/>
      </c>
      <c r="E2814" t="str">
        <f>IF(原始经营数据!$D2815="","",原始经营数据!$I2815)</f>
        <v/>
      </c>
      <c r="F2814" t="str">
        <f>IF(原始经营数据!$D2815="","",T(原始经营数据!$J2815))</f>
        <v/>
      </c>
      <c r="G2814" t="str">
        <f>IF(原始经营数据!$D2815="","",T(原始经营数据!$K2815))</f>
        <v/>
      </c>
      <c r="H2814" t="str">
        <f>IF(原始经营数据!$D2815="","",原始经营数据!$G2815)</f>
        <v/>
      </c>
      <c r="I2814" t="str">
        <f>IF($A2814="","",IF($B2814&lt;&gt;"",$B2814,IF(COUNTIFS(原始经营数据!$D$3:$D$3001,$A2814,原始经营数据!$E$3:$E$3001,"",原始经营数据!$F$3:$F$3001,$C2814,原始经营数据!$H$3:$H$3001,$D2814,原始经营数据!$K$3:$K$3001,$G2814)&gt;1,"基金整体·来源"&amp;原始经营数据!$A2815,"基金整体")))</f>
        <v/>
      </c>
      <c r="J2814" t="str">
        <f t="shared" si="648"/>
        <v/>
      </c>
      <c r="K2814" t="str">
        <f t="shared" si="649"/>
        <v/>
      </c>
      <c r="L2814" t="str">
        <f t="shared" si="650"/>
        <v/>
      </c>
      <c r="M2814">
        <f>IF($A2814="",0,IF(COUNTIF($L$2:$L2814,$L2814)=1,1,0))</f>
        <v>0</v>
      </c>
      <c r="N2814" t="str">
        <f t="shared" si="651"/>
        <v/>
      </c>
      <c r="O2814" t="str">
        <f t="shared" si="652"/>
        <v/>
      </c>
      <c r="P2814">
        <f>IF($A2814="",0,IF(COUNTIF($O$2:$O2814,$O2814)=1,1,0))</f>
        <v>0</v>
      </c>
      <c r="Q2814" t="str">
        <f>IF(AND($P2814=1,$A2814=经营数据!$B$3,$J2814=经营数据!$BA$5),COUNTIFS($P$2:$P$3000,1,$A$2:$A$3000,$A2814,$J$2:$J$3000,$J2814,$N$2:$N$3000,"&lt;"&amp;$N2814)+1,"")</f>
        <v/>
      </c>
      <c r="R2814" t="str">
        <f t="shared" si="653"/>
        <v/>
      </c>
      <c r="S2814">
        <f>IF($A2814="",0,IF(COUNTIF($R$2:$R2814,$R2814)=1,1,0))</f>
        <v>0</v>
      </c>
      <c r="T2814" t="str">
        <f t="shared" si="654"/>
        <v/>
      </c>
      <c r="U2814" t="str">
        <f>IF($A2814="","",IF($A2814=经营数据!$B$3,COUNTIFS($S$2:$S$3000,1,$A$2:$A$3000,$A2814,$T$2:$T$3000,"&lt;"&amp;$T2814)+1,""))</f>
        <v/>
      </c>
      <c r="V2814" t="str">
        <f t="shared" si="655"/>
        <v/>
      </c>
      <c r="W2814" t="str">
        <f t="shared" si="656"/>
        <v/>
      </c>
      <c r="X2814" t="str">
        <f t="shared" si="657"/>
        <v/>
      </c>
      <c r="Y2814" t="str">
        <f t="shared" si="658"/>
        <v/>
      </c>
      <c r="Z2814">
        <f>IF($A2814="",0,IF(AND($M2814=1,$A2814=经营数据!$B$3,$J2814=经营数据!$BA$5,OR($I2814=经营数据!$BA$4,COUNTIF(经营数据!$AA$9:$AA$38,$I2814)&gt;0)),1,0))</f>
        <v>0</v>
      </c>
      <c r="AA2814" t="str">
        <f t="shared" si="659"/>
        <v/>
      </c>
      <c r="AB2814" t="str">
        <f t="shared" si="660"/>
        <v/>
      </c>
      <c r="AC2814">
        <f>IF($A2814="",0,IF(COUNTIF($A$2:$A2814,$A2814)=1,1,0))</f>
        <v>0</v>
      </c>
      <c r="AD2814">
        <f t="shared" si="661"/>
        <v>29</v>
      </c>
      <c r="AE2814" t="str">
        <f t="shared" si="662"/>
        <v/>
      </c>
    </row>
    <row r="2815" spans="1:31" x14ac:dyDescent="0.4">
      <c r="A2815" t="str">
        <f>IF(原始经营数据!$D2816="","",原始经营数据!$D2816)</f>
        <v/>
      </c>
      <c r="B2815" t="str">
        <f>IF(原始经营数据!$D2816="","",T(原始经营数据!$E2816))</f>
        <v/>
      </c>
      <c r="C2815" t="str">
        <f>IF(原始经营数据!$D2816="","",原始经营数据!$F2816)</f>
        <v/>
      </c>
      <c r="D2815" t="str">
        <f>IF(原始经营数据!$D2816="","",原始经营数据!$H2816)</f>
        <v/>
      </c>
      <c r="E2815" t="str">
        <f>IF(原始经营数据!$D2816="","",原始经营数据!$I2816)</f>
        <v/>
      </c>
      <c r="F2815" t="str">
        <f>IF(原始经营数据!$D2816="","",T(原始经营数据!$J2816))</f>
        <v/>
      </c>
      <c r="G2815" t="str">
        <f>IF(原始经营数据!$D2816="","",T(原始经营数据!$K2816))</f>
        <v/>
      </c>
      <c r="H2815" t="str">
        <f>IF(原始经营数据!$D2816="","",原始经营数据!$G2816)</f>
        <v/>
      </c>
      <c r="I2815" t="str">
        <f>IF($A2815="","",IF($B2815&lt;&gt;"",$B2815,IF(COUNTIFS(原始经营数据!$D$3:$D$3001,$A2815,原始经营数据!$E$3:$E$3001,"",原始经营数据!$F$3:$F$3001,$C2815,原始经营数据!$H$3:$H$3001,$D2815,原始经营数据!$K$3:$K$3001,$G2815)&gt;1,"基金整体·来源"&amp;原始经营数据!$A2816,"基金整体")))</f>
        <v/>
      </c>
      <c r="J2815" t="str">
        <f t="shared" si="648"/>
        <v/>
      </c>
      <c r="K2815" t="str">
        <f t="shared" si="649"/>
        <v/>
      </c>
      <c r="L2815" t="str">
        <f t="shared" si="650"/>
        <v/>
      </c>
      <c r="M2815">
        <f>IF($A2815="",0,IF(COUNTIF($L$2:$L2815,$L2815)=1,1,0))</f>
        <v>0</v>
      </c>
      <c r="N2815" t="str">
        <f t="shared" si="651"/>
        <v/>
      </c>
      <c r="O2815" t="str">
        <f t="shared" si="652"/>
        <v/>
      </c>
      <c r="P2815">
        <f>IF($A2815="",0,IF(COUNTIF($O$2:$O2815,$O2815)=1,1,0))</f>
        <v>0</v>
      </c>
      <c r="Q2815" t="str">
        <f>IF(AND($P2815=1,$A2815=经营数据!$B$3,$J2815=经营数据!$BA$5),COUNTIFS($P$2:$P$3000,1,$A$2:$A$3000,$A2815,$J$2:$J$3000,$J2815,$N$2:$N$3000,"&lt;"&amp;$N2815)+1,"")</f>
        <v/>
      </c>
      <c r="R2815" t="str">
        <f t="shared" si="653"/>
        <v/>
      </c>
      <c r="S2815">
        <f>IF($A2815="",0,IF(COUNTIF($R$2:$R2815,$R2815)=1,1,0))</f>
        <v>0</v>
      </c>
      <c r="T2815" t="str">
        <f t="shared" si="654"/>
        <v/>
      </c>
      <c r="U2815" t="str">
        <f>IF($A2815="","",IF($A2815=经营数据!$B$3,COUNTIFS($S$2:$S$3000,1,$A$2:$A$3000,$A2815,$T$2:$T$3000,"&lt;"&amp;$T2815)+1,""))</f>
        <v/>
      </c>
      <c r="V2815" t="str">
        <f t="shared" si="655"/>
        <v/>
      </c>
      <c r="W2815" t="str">
        <f t="shared" si="656"/>
        <v/>
      </c>
      <c r="X2815" t="str">
        <f t="shared" si="657"/>
        <v/>
      </c>
      <c r="Y2815" t="str">
        <f t="shared" si="658"/>
        <v/>
      </c>
      <c r="Z2815">
        <f>IF($A2815="",0,IF(AND($M2815=1,$A2815=经营数据!$B$3,$J2815=经营数据!$BA$5,OR($I2815=经营数据!$BA$4,COUNTIF(经营数据!$AA$9:$AA$38,$I2815)&gt;0)),1,0))</f>
        <v>0</v>
      </c>
      <c r="AA2815" t="str">
        <f t="shared" si="659"/>
        <v/>
      </c>
      <c r="AB2815" t="str">
        <f t="shared" si="660"/>
        <v/>
      </c>
      <c r="AC2815">
        <f>IF($A2815="",0,IF(COUNTIF($A$2:$A2815,$A2815)=1,1,0))</f>
        <v>0</v>
      </c>
      <c r="AD2815">
        <f t="shared" si="661"/>
        <v>29</v>
      </c>
      <c r="AE2815" t="str">
        <f t="shared" si="662"/>
        <v/>
      </c>
    </row>
    <row r="2816" spans="1:31" x14ac:dyDescent="0.4">
      <c r="A2816" t="str">
        <f>IF(原始经营数据!$D2817="","",原始经营数据!$D2817)</f>
        <v/>
      </c>
      <c r="B2816" t="str">
        <f>IF(原始经营数据!$D2817="","",T(原始经营数据!$E2817))</f>
        <v/>
      </c>
      <c r="C2816" t="str">
        <f>IF(原始经营数据!$D2817="","",原始经营数据!$F2817)</f>
        <v/>
      </c>
      <c r="D2816" t="str">
        <f>IF(原始经营数据!$D2817="","",原始经营数据!$H2817)</f>
        <v/>
      </c>
      <c r="E2816" t="str">
        <f>IF(原始经营数据!$D2817="","",原始经营数据!$I2817)</f>
        <v/>
      </c>
      <c r="F2816" t="str">
        <f>IF(原始经营数据!$D2817="","",T(原始经营数据!$J2817))</f>
        <v/>
      </c>
      <c r="G2816" t="str">
        <f>IF(原始经营数据!$D2817="","",T(原始经营数据!$K2817))</f>
        <v/>
      </c>
      <c r="H2816" t="str">
        <f>IF(原始经营数据!$D2817="","",原始经营数据!$G2817)</f>
        <v/>
      </c>
      <c r="I2816" t="str">
        <f>IF($A2816="","",IF($B2816&lt;&gt;"",$B2816,IF(COUNTIFS(原始经营数据!$D$3:$D$3001,$A2816,原始经营数据!$E$3:$E$3001,"",原始经营数据!$F$3:$F$3001,$C2816,原始经营数据!$H$3:$H$3001,$D2816,原始经营数据!$K$3:$K$3001,$G2816)&gt;1,"基金整体·来源"&amp;原始经营数据!$A2817,"基金整体")))</f>
        <v/>
      </c>
      <c r="J2816" t="str">
        <f t="shared" si="648"/>
        <v/>
      </c>
      <c r="K2816" t="str">
        <f t="shared" si="649"/>
        <v/>
      </c>
      <c r="L2816" t="str">
        <f t="shared" si="650"/>
        <v/>
      </c>
      <c r="M2816">
        <f>IF($A2816="",0,IF(COUNTIF($L$2:$L2816,$L2816)=1,1,0))</f>
        <v>0</v>
      </c>
      <c r="N2816" t="str">
        <f t="shared" si="651"/>
        <v/>
      </c>
      <c r="O2816" t="str">
        <f t="shared" si="652"/>
        <v/>
      </c>
      <c r="P2816">
        <f>IF($A2816="",0,IF(COUNTIF($O$2:$O2816,$O2816)=1,1,0))</f>
        <v>0</v>
      </c>
      <c r="Q2816" t="str">
        <f>IF(AND($P2816=1,$A2816=经营数据!$B$3,$J2816=经营数据!$BA$5),COUNTIFS($P$2:$P$3000,1,$A$2:$A$3000,$A2816,$J$2:$J$3000,$J2816,$N$2:$N$3000,"&lt;"&amp;$N2816)+1,"")</f>
        <v/>
      </c>
      <c r="R2816" t="str">
        <f t="shared" si="653"/>
        <v/>
      </c>
      <c r="S2816">
        <f>IF($A2816="",0,IF(COUNTIF($R$2:$R2816,$R2816)=1,1,0))</f>
        <v>0</v>
      </c>
      <c r="T2816" t="str">
        <f t="shared" si="654"/>
        <v/>
      </c>
      <c r="U2816" t="str">
        <f>IF($A2816="","",IF($A2816=经营数据!$B$3,COUNTIFS($S$2:$S$3000,1,$A$2:$A$3000,$A2816,$T$2:$T$3000,"&lt;"&amp;$T2816)+1,""))</f>
        <v/>
      </c>
      <c r="V2816" t="str">
        <f t="shared" si="655"/>
        <v/>
      </c>
      <c r="W2816" t="str">
        <f t="shared" si="656"/>
        <v/>
      </c>
      <c r="X2816" t="str">
        <f t="shared" si="657"/>
        <v/>
      </c>
      <c r="Y2816" t="str">
        <f t="shared" si="658"/>
        <v/>
      </c>
      <c r="Z2816">
        <f>IF($A2816="",0,IF(AND($M2816=1,$A2816=经营数据!$B$3,$J2816=经营数据!$BA$5,OR($I2816=经营数据!$BA$4,COUNTIF(经营数据!$AA$9:$AA$38,$I2816)&gt;0)),1,0))</f>
        <v>0</v>
      </c>
      <c r="AA2816" t="str">
        <f t="shared" si="659"/>
        <v/>
      </c>
      <c r="AB2816" t="str">
        <f t="shared" si="660"/>
        <v/>
      </c>
      <c r="AC2816">
        <f>IF($A2816="",0,IF(COUNTIF($A$2:$A2816,$A2816)=1,1,0))</f>
        <v>0</v>
      </c>
      <c r="AD2816">
        <f t="shared" si="661"/>
        <v>29</v>
      </c>
      <c r="AE2816" t="str">
        <f t="shared" si="662"/>
        <v/>
      </c>
    </row>
    <row r="2817" spans="1:31" x14ac:dyDescent="0.4">
      <c r="A2817" t="str">
        <f>IF(原始经营数据!$D2818="","",原始经营数据!$D2818)</f>
        <v/>
      </c>
      <c r="B2817" t="str">
        <f>IF(原始经营数据!$D2818="","",T(原始经营数据!$E2818))</f>
        <v/>
      </c>
      <c r="C2817" t="str">
        <f>IF(原始经营数据!$D2818="","",原始经营数据!$F2818)</f>
        <v/>
      </c>
      <c r="D2817" t="str">
        <f>IF(原始经营数据!$D2818="","",原始经营数据!$H2818)</f>
        <v/>
      </c>
      <c r="E2817" t="str">
        <f>IF(原始经营数据!$D2818="","",原始经营数据!$I2818)</f>
        <v/>
      </c>
      <c r="F2817" t="str">
        <f>IF(原始经营数据!$D2818="","",T(原始经营数据!$J2818))</f>
        <v/>
      </c>
      <c r="G2817" t="str">
        <f>IF(原始经营数据!$D2818="","",T(原始经营数据!$K2818))</f>
        <v/>
      </c>
      <c r="H2817" t="str">
        <f>IF(原始经营数据!$D2818="","",原始经营数据!$G2818)</f>
        <v/>
      </c>
      <c r="I2817" t="str">
        <f>IF($A2817="","",IF($B2817&lt;&gt;"",$B2817,IF(COUNTIFS(原始经营数据!$D$3:$D$3001,$A2817,原始经营数据!$E$3:$E$3001,"",原始经营数据!$F$3:$F$3001,$C2817,原始经营数据!$H$3:$H$3001,$D2817,原始经营数据!$K$3:$K$3001,$G2817)&gt;1,"基金整体·来源"&amp;原始经营数据!$A2818,"基金整体")))</f>
        <v/>
      </c>
      <c r="J2817" t="str">
        <f t="shared" si="648"/>
        <v/>
      </c>
      <c r="K2817" t="str">
        <f t="shared" si="649"/>
        <v/>
      </c>
      <c r="L2817" t="str">
        <f t="shared" si="650"/>
        <v/>
      </c>
      <c r="M2817">
        <f>IF($A2817="",0,IF(COUNTIF($L$2:$L2817,$L2817)=1,1,0))</f>
        <v>0</v>
      </c>
      <c r="N2817" t="str">
        <f t="shared" si="651"/>
        <v/>
      </c>
      <c r="O2817" t="str">
        <f t="shared" si="652"/>
        <v/>
      </c>
      <c r="P2817">
        <f>IF($A2817="",0,IF(COUNTIF($O$2:$O2817,$O2817)=1,1,0))</f>
        <v>0</v>
      </c>
      <c r="Q2817" t="str">
        <f>IF(AND($P2817=1,$A2817=经营数据!$B$3,$J2817=经营数据!$BA$5),COUNTIFS($P$2:$P$3000,1,$A$2:$A$3000,$A2817,$J$2:$J$3000,$J2817,$N$2:$N$3000,"&lt;"&amp;$N2817)+1,"")</f>
        <v/>
      </c>
      <c r="R2817" t="str">
        <f t="shared" si="653"/>
        <v/>
      </c>
      <c r="S2817">
        <f>IF($A2817="",0,IF(COUNTIF($R$2:$R2817,$R2817)=1,1,0))</f>
        <v>0</v>
      </c>
      <c r="T2817" t="str">
        <f t="shared" si="654"/>
        <v/>
      </c>
      <c r="U2817" t="str">
        <f>IF($A2817="","",IF($A2817=经营数据!$B$3,COUNTIFS($S$2:$S$3000,1,$A$2:$A$3000,$A2817,$T$2:$T$3000,"&lt;"&amp;$T2817)+1,""))</f>
        <v/>
      </c>
      <c r="V2817" t="str">
        <f t="shared" si="655"/>
        <v/>
      </c>
      <c r="W2817" t="str">
        <f t="shared" si="656"/>
        <v/>
      </c>
      <c r="X2817" t="str">
        <f t="shared" si="657"/>
        <v/>
      </c>
      <c r="Y2817" t="str">
        <f t="shared" si="658"/>
        <v/>
      </c>
      <c r="Z2817">
        <f>IF($A2817="",0,IF(AND($M2817=1,$A2817=经营数据!$B$3,$J2817=经营数据!$BA$5,OR($I2817=经营数据!$BA$4,COUNTIF(经营数据!$AA$9:$AA$38,$I2817)&gt;0)),1,0))</f>
        <v>0</v>
      </c>
      <c r="AA2817" t="str">
        <f t="shared" si="659"/>
        <v/>
      </c>
      <c r="AB2817" t="str">
        <f t="shared" si="660"/>
        <v/>
      </c>
      <c r="AC2817">
        <f>IF($A2817="",0,IF(COUNTIF($A$2:$A2817,$A2817)=1,1,0))</f>
        <v>0</v>
      </c>
      <c r="AD2817">
        <f t="shared" si="661"/>
        <v>29</v>
      </c>
      <c r="AE2817" t="str">
        <f t="shared" si="662"/>
        <v/>
      </c>
    </row>
    <row r="2818" spans="1:31" x14ac:dyDescent="0.4">
      <c r="A2818" t="str">
        <f>IF(原始经营数据!$D2819="","",原始经营数据!$D2819)</f>
        <v/>
      </c>
      <c r="B2818" t="str">
        <f>IF(原始经营数据!$D2819="","",T(原始经营数据!$E2819))</f>
        <v/>
      </c>
      <c r="C2818" t="str">
        <f>IF(原始经营数据!$D2819="","",原始经营数据!$F2819)</f>
        <v/>
      </c>
      <c r="D2818" t="str">
        <f>IF(原始经营数据!$D2819="","",原始经营数据!$H2819)</f>
        <v/>
      </c>
      <c r="E2818" t="str">
        <f>IF(原始经营数据!$D2819="","",原始经营数据!$I2819)</f>
        <v/>
      </c>
      <c r="F2818" t="str">
        <f>IF(原始经营数据!$D2819="","",T(原始经营数据!$J2819))</f>
        <v/>
      </c>
      <c r="G2818" t="str">
        <f>IF(原始经营数据!$D2819="","",T(原始经营数据!$K2819))</f>
        <v/>
      </c>
      <c r="H2818" t="str">
        <f>IF(原始经营数据!$D2819="","",原始经营数据!$G2819)</f>
        <v/>
      </c>
      <c r="I2818" t="str">
        <f>IF($A2818="","",IF($B2818&lt;&gt;"",$B2818,IF(COUNTIFS(原始经营数据!$D$3:$D$3001,$A2818,原始经营数据!$E$3:$E$3001,"",原始经营数据!$F$3:$F$3001,$C2818,原始经营数据!$H$3:$H$3001,$D2818,原始经营数据!$K$3:$K$3001,$G2818)&gt;1,"基金整体·来源"&amp;原始经营数据!$A2819,"基金整体")))</f>
        <v/>
      </c>
      <c r="J2818" t="str">
        <f t="shared" ref="J2818:J2881" si="663">IF($A2818="","",IF(LEN($C2818)=4,"年度",IF(AND(LEN($C2818)=6,ISNUMBER(SEARCH("Q",$C2818))),"季度","其他期间")))</f>
        <v/>
      </c>
      <c r="K2818" t="str">
        <f t="shared" ref="K2818:K2881" si="664">IF($A2818="","",$D2818&amp;IF($G2818="","","-"&amp;SUBSTITUTE($G2818,CHAR(10),""))&amp;IF($F2818="","","（"&amp;$F2818&amp;"）"))</f>
        <v/>
      </c>
      <c r="L2818" t="str">
        <f t="shared" ref="L2818:L2881" si="665">IF($A2818="","",$I2818&amp;"|"&amp;$K2818&amp;"|"&amp;$J2818)</f>
        <v/>
      </c>
      <c r="M2818">
        <f>IF($A2818="",0,IF(COUNTIF($L$2:$L2818,$L2818)=1,1,0))</f>
        <v>0</v>
      </c>
      <c r="N2818" t="str">
        <f t="shared" ref="N2818:N2881" si="666">IF($A2818="","",IF($J2818="年度",VALUE($C2818)*10,IF($J2818="季度",VALUE(LEFT($C2818,4))*10+VALUE(RIGHT($C2818,1)),VALUE(LEFT($C2818,4))*10+9)))</f>
        <v/>
      </c>
      <c r="O2818" t="str">
        <f t="shared" ref="O2818:O2881" si="667">IF($A2818="","",$A2818&amp;"|"&amp;$C2818&amp;"|"&amp;$J2818)</f>
        <v/>
      </c>
      <c r="P2818">
        <f>IF($A2818="",0,IF(COUNTIF($O$2:$O2818,$O2818)=1,1,0))</f>
        <v>0</v>
      </c>
      <c r="Q2818" t="str">
        <f>IF(AND($P2818=1,$A2818=经营数据!$B$3,$J2818=经营数据!$BA$5),COUNTIFS($P$2:$P$3000,1,$A$2:$A$3000,$A2818,$J$2:$J$3000,$J2818,$N$2:$N$3000,"&lt;"&amp;$N2818)+1,"")</f>
        <v/>
      </c>
      <c r="R2818" t="str">
        <f t="shared" ref="R2818:R2881" si="668">IF($A2818="","",$A2818&amp;"|"&amp;$I2818)</f>
        <v/>
      </c>
      <c r="S2818">
        <f>IF($A2818="",0,IF(COUNTIF($R$2:$R2818,$R2818)=1,1,0))</f>
        <v>0</v>
      </c>
      <c r="T2818" t="str">
        <f t="shared" ref="T2818:T2881" si="669">IF($A2818="","",MATCH($R2818,$R$2:$R$3000,0))</f>
        <v/>
      </c>
      <c r="U2818" t="str">
        <f>IF($A2818="","",IF($A2818=经营数据!$B$3,COUNTIFS($S$2:$S$3000,1,$A$2:$A$3000,$A2818,$T$2:$T$3000,"&lt;"&amp;$T2818)+1,""))</f>
        <v/>
      </c>
      <c r="V2818" t="str">
        <f t="shared" ref="V2818:V2881" si="670">IF($A2818="","",$I2818&amp;"|"&amp;$H2818)</f>
        <v/>
      </c>
      <c r="W2818" t="str">
        <f t="shared" ref="W2818:W2881" si="671">IF($A2818="","",MATCH($V2818,$V$2:$V$3000,0))</f>
        <v/>
      </c>
      <c r="X2818" t="str">
        <f t="shared" ref="X2818:X2881" si="672">IF($A2818="","",$I2818&amp;"|"&amp;$D2818)</f>
        <v/>
      </c>
      <c r="Y2818" t="str">
        <f t="shared" ref="Y2818:Y2881" si="673">IF($A2818="","",MATCH($X2818,$X$2:$X$3000,0))</f>
        <v/>
      </c>
      <c r="Z2818">
        <f>IF($A2818="",0,IF(AND($M2818=1,$A2818=经营数据!$B$3,$J2818=经营数据!$BA$5,OR($I2818=经营数据!$BA$4,COUNTIF(经营数据!$AA$9:$AA$38,$I2818)&gt;0)),1,0))</f>
        <v>0</v>
      </c>
      <c r="AA2818" t="str">
        <f t="shared" ref="AA2818:AA2881" si="674">IF($Z2818=1,$U2818*1000000000000+$W2818*100000000+$Y2818*10000+ROW(),"")</f>
        <v/>
      </c>
      <c r="AB2818" t="str">
        <f t="shared" ref="AB2818:AB2881" si="675">IF($Z2818=1,COUNTIFS($Z$2:$Z$3000,1,$AA$2:$AA$3000,"&lt;"&amp;$AA2818)+1,"")</f>
        <v/>
      </c>
      <c r="AC2818">
        <f>IF($A2818="",0,IF(COUNTIF($A$2:$A2818,$A2818)=1,1,0))</f>
        <v>0</v>
      </c>
      <c r="AD2818">
        <f t="shared" ref="AD2818:AD2881" si="676">IF($A2818="",N(AD2817),IF($AC2818=1,N(AD2817)+1,N(AD2817)))</f>
        <v>29</v>
      </c>
      <c r="AE2818" t="str">
        <f t="shared" ref="AE2818:AE2881" si="677">IF($A2818="","",$I2818&amp;"|"&amp;$K2818)</f>
        <v/>
      </c>
    </row>
    <row r="2819" spans="1:31" x14ac:dyDescent="0.4">
      <c r="A2819" t="str">
        <f>IF(原始经营数据!$D2820="","",原始经营数据!$D2820)</f>
        <v/>
      </c>
      <c r="B2819" t="str">
        <f>IF(原始经营数据!$D2820="","",T(原始经营数据!$E2820))</f>
        <v/>
      </c>
      <c r="C2819" t="str">
        <f>IF(原始经营数据!$D2820="","",原始经营数据!$F2820)</f>
        <v/>
      </c>
      <c r="D2819" t="str">
        <f>IF(原始经营数据!$D2820="","",原始经营数据!$H2820)</f>
        <v/>
      </c>
      <c r="E2819" t="str">
        <f>IF(原始经营数据!$D2820="","",原始经营数据!$I2820)</f>
        <v/>
      </c>
      <c r="F2819" t="str">
        <f>IF(原始经营数据!$D2820="","",T(原始经营数据!$J2820))</f>
        <v/>
      </c>
      <c r="G2819" t="str">
        <f>IF(原始经营数据!$D2820="","",T(原始经营数据!$K2820))</f>
        <v/>
      </c>
      <c r="H2819" t="str">
        <f>IF(原始经营数据!$D2820="","",原始经营数据!$G2820)</f>
        <v/>
      </c>
      <c r="I2819" t="str">
        <f>IF($A2819="","",IF($B2819&lt;&gt;"",$B2819,IF(COUNTIFS(原始经营数据!$D$3:$D$3001,$A2819,原始经营数据!$E$3:$E$3001,"",原始经营数据!$F$3:$F$3001,$C2819,原始经营数据!$H$3:$H$3001,$D2819,原始经营数据!$K$3:$K$3001,$G2819)&gt;1,"基金整体·来源"&amp;原始经营数据!$A2820,"基金整体")))</f>
        <v/>
      </c>
      <c r="J2819" t="str">
        <f t="shared" si="663"/>
        <v/>
      </c>
      <c r="K2819" t="str">
        <f t="shared" si="664"/>
        <v/>
      </c>
      <c r="L2819" t="str">
        <f t="shared" si="665"/>
        <v/>
      </c>
      <c r="M2819">
        <f>IF($A2819="",0,IF(COUNTIF($L$2:$L2819,$L2819)=1,1,0))</f>
        <v>0</v>
      </c>
      <c r="N2819" t="str">
        <f t="shared" si="666"/>
        <v/>
      </c>
      <c r="O2819" t="str">
        <f t="shared" si="667"/>
        <v/>
      </c>
      <c r="P2819">
        <f>IF($A2819="",0,IF(COUNTIF($O$2:$O2819,$O2819)=1,1,0))</f>
        <v>0</v>
      </c>
      <c r="Q2819" t="str">
        <f>IF(AND($P2819=1,$A2819=经营数据!$B$3,$J2819=经营数据!$BA$5),COUNTIFS($P$2:$P$3000,1,$A$2:$A$3000,$A2819,$J$2:$J$3000,$J2819,$N$2:$N$3000,"&lt;"&amp;$N2819)+1,"")</f>
        <v/>
      </c>
      <c r="R2819" t="str">
        <f t="shared" si="668"/>
        <v/>
      </c>
      <c r="S2819">
        <f>IF($A2819="",0,IF(COUNTIF($R$2:$R2819,$R2819)=1,1,0))</f>
        <v>0</v>
      </c>
      <c r="T2819" t="str">
        <f t="shared" si="669"/>
        <v/>
      </c>
      <c r="U2819" t="str">
        <f>IF($A2819="","",IF($A2819=经营数据!$B$3,COUNTIFS($S$2:$S$3000,1,$A$2:$A$3000,$A2819,$T$2:$T$3000,"&lt;"&amp;$T2819)+1,""))</f>
        <v/>
      </c>
      <c r="V2819" t="str">
        <f t="shared" si="670"/>
        <v/>
      </c>
      <c r="W2819" t="str">
        <f t="shared" si="671"/>
        <v/>
      </c>
      <c r="X2819" t="str">
        <f t="shared" si="672"/>
        <v/>
      </c>
      <c r="Y2819" t="str">
        <f t="shared" si="673"/>
        <v/>
      </c>
      <c r="Z2819">
        <f>IF($A2819="",0,IF(AND($M2819=1,$A2819=经营数据!$B$3,$J2819=经营数据!$BA$5,OR($I2819=经营数据!$BA$4,COUNTIF(经营数据!$AA$9:$AA$38,$I2819)&gt;0)),1,0))</f>
        <v>0</v>
      </c>
      <c r="AA2819" t="str">
        <f t="shared" si="674"/>
        <v/>
      </c>
      <c r="AB2819" t="str">
        <f t="shared" si="675"/>
        <v/>
      </c>
      <c r="AC2819">
        <f>IF($A2819="",0,IF(COUNTIF($A$2:$A2819,$A2819)=1,1,0))</f>
        <v>0</v>
      </c>
      <c r="AD2819">
        <f t="shared" si="676"/>
        <v>29</v>
      </c>
      <c r="AE2819" t="str">
        <f t="shared" si="677"/>
        <v/>
      </c>
    </row>
    <row r="2820" spans="1:31" x14ac:dyDescent="0.4">
      <c r="A2820" t="str">
        <f>IF(原始经营数据!$D2821="","",原始经营数据!$D2821)</f>
        <v/>
      </c>
      <c r="B2820" t="str">
        <f>IF(原始经营数据!$D2821="","",T(原始经营数据!$E2821))</f>
        <v/>
      </c>
      <c r="C2820" t="str">
        <f>IF(原始经营数据!$D2821="","",原始经营数据!$F2821)</f>
        <v/>
      </c>
      <c r="D2820" t="str">
        <f>IF(原始经营数据!$D2821="","",原始经营数据!$H2821)</f>
        <v/>
      </c>
      <c r="E2820" t="str">
        <f>IF(原始经营数据!$D2821="","",原始经营数据!$I2821)</f>
        <v/>
      </c>
      <c r="F2820" t="str">
        <f>IF(原始经营数据!$D2821="","",T(原始经营数据!$J2821))</f>
        <v/>
      </c>
      <c r="G2820" t="str">
        <f>IF(原始经营数据!$D2821="","",T(原始经营数据!$K2821))</f>
        <v/>
      </c>
      <c r="H2820" t="str">
        <f>IF(原始经营数据!$D2821="","",原始经营数据!$G2821)</f>
        <v/>
      </c>
      <c r="I2820" t="str">
        <f>IF($A2820="","",IF($B2820&lt;&gt;"",$B2820,IF(COUNTIFS(原始经营数据!$D$3:$D$3001,$A2820,原始经营数据!$E$3:$E$3001,"",原始经营数据!$F$3:$F$3001,$C2820,原始经营数据!$H$3:$H$3001,$D2820,原始经营数据!$K$3:$K$3001,$G2820)&gt;1,"基金整体·来源"&amp;原始经营数据!$A2821,"基金整体")))</f>
        <v/>
      </c>
      <c r="J2820" t="str">
        <f t="shared" si="663"/>
        <v/>
      </c>
      <c r="K2820" t="str">
        <f t="shared" si="664"/>
        <v/>
      </c>
      <c r="L2820" t="str">
        <f t="shared" si="665"/>
        <v/>
      </c>
      <c r="M2820">
        <f>IF($A2820="",0,IF(COUNTIF($L$2:$L2820,$L2820)=1,1,0))</f>
        <v>0</v>
      </c>
      <c r="N2820" t="str">
        <f t="shared" si="666"/>
        <v/>
      </c>
      <c r="O2820" t="str">
        <f t="shared" si="667"/>
        <v/>
      </c>
      <c r="P2820">
        <f>IF($A2820="",0,IF(COUNTIF($O$2:$O2820,$O2820)=1,1,0))</f>
        <v>0</v>
      </c>
      <c r="Q2820" t="str">
        <f>IF(AND($P2820=1,$A2820=经营数据!$B$3,$J2820=经营数据!$BA$5),COUNTIFS($P$2:$P$3000,1,$A$2:$A$3000,$A2820,$J$2:$J$3000,$J2820,$N$2:$N$3000,"&lt;"&amp;$N2820)+1,"")</f>
        <v/>
      </c>
      <c r="R2820" t="str">
        <f t="shared" si="668"/>
        <v/>
      </c>
      <c r="S2820">
        <f>IF($A2820="",0,IF(COUNTIF($R$2:$R2820,$R2820)=1,1,0))</f>
        <v>0</v>
      </c>
      <c r="T2820" t="str">
        <f t="shared" si="669"/>
        <v/>
      </c>
      <c r="U2820" t="str">
        <f>IF($A2820="","",IF($A2820=经营数据!$B$3,COUNTIFS($S$2:$S$3000,1,$A$2:$A$3000,$A2820,$T$2:$T$3000,"&lt;"&amp;$T2820)+1,""))</f>
        <v/>
      </c>
      <c r="V2820" t="str">
        <f t="shared" si="670"/>
        <v/>
      </c>
      <c r="W2820" t="str">
        <f t="shared" si="671"/>
        <v/>
      </c>
      <c r="X2820" t="str">
        <f t="shared" si="672"/>
        <v/>
      </c>
      <c r="Y2820" t="str">
        <f t="shared" si="673"/>
        <v/>
      </c>
      <c r="Z2820">
        <f>IF($A2820="",0,IF(AND($M2820=1,$A2820=经营数据!$B$3,$J2820=经营数据!$BA$5,OR($I2820=经营数据!$BA$4,COUNTIF(经营数据!$AA$9:$AA$38,$I2820)&gt;0)),1,0))</f>
        <v>0</v>
      </c>
      <c r="AA2820" t="str">
        <f t="shared" si="674"/>
        <v/>
      </c>
      <c r="AB2820" t="str">
        <f t="shared" si="675"/>
        <v/>
      </c>
      <c r="AC2820">
        <f>IF($A2820="",0,IF(COUNTIF($A$2:$A2820,$A2820)=1,1,0))</f>
        <v>0</v>
      </c>
      <c r="AD2820">
        <f t="shared" si="676"/>
        <v>29</v>
      </c>
      <c r="AE2820" t="str">
        <f t="shared" si="677"/>
        <v/>
      </c>
    </row>
    <row r="2821" spans="1:31" x14ac:dyDescent="0.4">
      <c r="A2821" t="str">
        <f>IF(原始经营数据!$D2822="","",原始经营数据!$D2822)</f>
        <v/>
      </c>
      <c r="B2821" t="str">
        <f>IF(原始经营数据!$D2822="","",T(原始经营数据!$E2822))</f>
        <v/>
      </c>
      <c r="C2821" t="str">
        <f>IF(原始经营数据!$D2822="","",原始经营数据!$F2822)</f>
        <v/>
      </c>
      <c r="D2821" t="str">
        <f>IF(原始经营数据!$D2822="","",原始经营数据!$H2822)</f>
        <v/>
      </c>
      <c r="E2821" t="str">
        <f>IF(原始经营数据!$D2822="","",原始经营数据!$I2822)</f>
        <v/>
      </c>
      <c r="F2821" t="str">
        <f>IF(原始经营数据!$D2822="","",T(原始经营数据!$J2822))</f>
        <v/>
      </c>
      <c r="G2821" t="str">
        <f>IF(原始经营数据!$D2822="","",T(原始经营数据!$K2822))</f>
        <v/>
      </c>
      <c r="H2821" t="str">
        <f>IF(原始经营数据!$D2822="","",原始经营数据!$G2822)</f>
        <v/>
      </c>
      <c r="I2821" t="str">
        <f>IF($A2821="","",IF($B2821&lt;&gt;"",$B2821,IF(COUNTIFS(原始经营数据!$D$3:$D$3001,$A2821,原始经营数据!$E$3:$E$3001,"",原始经营数据!$F$3:$F$3001,$C2821,原始经营数据!$H$3:$H$3001,$D2821,原始经营数据!$K$3:$K$3001,$G2821)&gt;1,"基金整体·来源"&amp;原始经营数据!$A2822,"基金整体")))</f>
        <v/>
      </c>
      <c r="J2821" t="str">
        <f t="shared" si="663"/>
        <v/>
      </c>
      <c r="K2821" t="str">
        <f t="shared" si="664"/>
        <v/>
      </c>
      <c r="L2821" t="str">
        <f t="shared" si="665"/>
        <v/>
      </c>
      <c r="M2821">
        <f>IF($A2821="",0,IF(COUNTIF($L$2:$L2821,$L2821)=1,1,0))</f>
        <v>0</v>
      </c>
      <c r="N2821" t="str">
        <f t="shared" si="666"/>
        <v/>
      </c>
      <c r="O2821" t="str">
        <f t="shared" si="667"/>
        <v/>
      </c>
      <c r="P2821">
        <f>IF($A2821="",0,IF(COUNTIF($O$2:$O2821,$O2821)=1,1,0))</f>
        <v>0</v>
      </c>
      <c r="Q2821" t="str">
        <f>IF(AND($P2821=1,$A2821=经营数据!$B$3,$J2821=经营数据!$BA$5),COUNTIFS($P$2:$P$3000,1,$A$2:$A$3000,$A2821,$J$2:$J$3000,$J2821,$N$2:$N$3000,"&lt;"&amp;$N2821)+1,"")</f>
        <v/>
      </c>
      <c r="R2821" t="str">
        <f t="shared" si="668"/>
        <v/>
      </c>
      <c r="S2821">
        <f>IF($A2821="",0,IF(COUNTIF($R$2:$R2821,$R2821)=1,1,0))</f>
        <v>0</v>
      </c>
      <c r="T2821" t="str">
        <f t="shared" si="669"/>
        <v/>
      </c>
      <c r="U2821" t="str">
        <f>IF($A2821="","",IF($A2821=经营数据!$B$3,COUNTIFS($S$2:$S$3000,1,$A$2:$A$3000,$A2821,$T$2:$T$3000,"&lt;"&amp;$T2821)+1,""))</f>
        <v/>
      </c>
      <c r="V2821" t="str">
        <f t="shared" si="670"/>
        <v/>
      </c>
      <c r="W2821" t="str">
        <f t="shared" si="671"/>
        <v/>
      </c>
      <c r="X2821" t="str">
        <f t="shared" si="672"/>
        <v/>
      </c>
      <c r="Y2821" t="str">
        <f t="shared" si="673"/>
        <v/>
      </c>
      <c r="Z2821">
        <f>IF($A2821="",0,IF(AND($M2821=1,$A2821=经营数据!$B$3,$J2821=经营数据!$BA$5,OR($I2821=经营数据!$BA$4,COUNTIF(经营数据!$AA$9:$AA$38,$I2821)&gt;0)),1,0))</f>
        <v>0</v>
      </c>
      <c r="AA2821" t="str">
        <f t="shared" si="674"/>
        <v/>
      </c>
      <c r="AB2821" t="str">
        <f t="shared" si="675"/>
        <v/>
      </c>
      <c r="AC2821">
        <f>IF($A2821="",0,IF(COUNTIF($A$2:$A2821,$A2821)=1,1,0))</f>
        <v>0</v>
      </c>
      <c r="AD2821">
        <f t="shared" si="676"/>
        <v>29</v>
      </c>
      <c r="AE2821" t="str">
        <f t="shared" si="677"/>
        <v/>
      </c>
    </row>
    <row r="2822" spans="1:31" x14ac:dyDescent="0.4">
      <c r="A2822" t="str">
        <f>IF(原始经营数据!$D2823="","",原始经营数据!$D2823)</f>
        <v/>
      </c>
      <c r="B2822" t="str">
        <f>IF(原始经营数据!$D2823="","",T(原始经营数据!$E2823))</f>
        <v/>
      </c>
      <c r="C2822" t="str">
        <f>IF(原始经营数据!$D2823="","",原始经营数据!$F2823)</f>
        <v/>
      </c>
      <c r="D2822" t="str">
        <f>IF(原始经营数据!$D2823="","",原始经营数据!$H2823)</f>
        <v/>
      </c>
      <c r="E2822" t="str">
        <f>IF(原始经营数据!$D2823="","",原始经营数据!$I2823)</f>
        <v/>
      </c>
      <c r="F2822" t="str">
        <f>IF(原始经营数据!$D2823="","",T(原始经营数据!$J2823))</f>
        <v/>
      </c>
      <c r="G2822" t="str">
        <f>IF(原始经营数据!$D2823="","",T(原始经营数据!$K2823))</f>
        <v/>
      </c>
      <c r="H2822" t="str">
        <f>IF(原始经营数据!$D2823="","",原始经营数据!$G2823)</f>
        <v/>
      </c>
      <c r="I2822" t="str">
        <f>IF($A2822="","",IF($B2822&lt;&gt;"",$B2822,IF(COUNTIFS(原始经营数据!$D$3:$D$3001,$A2822,原始经营数据!$E$3:$E$3001,"",原始经营数据!$F$3:$F$3001,$C2822,原始经营数据!$H$3:$H$3001,$D2822,原始经营数据!$K$3:$K$3001,$G2822)&gt;1,"基金整体·来源"&amp;原始经营数据!$A2823,"基金整体")))</f>
        <v/>
      </c>
      <c r="J2822" t="str">
        <f t="shared" si="663"/>
        <v/>
      </c>
      <c r="K2822" t="str">
        <f t="shared" si="664"/>
        <v/>
      </c>
      <c r="L2822" t="str">
        <f t="shared" si="665"/>
        <v/>
      </c>
      <c r="M2822">
        <f>IF($A2822="",0,IF(COUNTIF($L$2:$L2822,$L2822)=1,1,0))</f>
        <v>0</v>
      </c>
      <c r="N2822" t="str">
        <f t="shared" si="666"/>
        <v/>
      </c>
      <c r="O2822" t="str">
        <f t="shared" si="667"/>
        <v/>
      </c>
      <c r="P2822">
        <f>IF($A2822="",0,IF(COUNTIF($O$2:$O2822,$O2822)=1,1,0))</f>
        <v>0</v>
      </c>
      <c r="Q2822" t="str">
        <f>IF(AND($P2822=1,$A2822=经营数据!$B$3,$J2822=经营数据!$BA$5),COUNTIFS($P$2:$P$3000,1,$A$2:$A$3000,$A2822,$J$2:$J$3000,$J2822,$N$2:$N$3000,"&lt;"&amp;$N2822)+1,"")</f>
        <v/>
      </c>
      <c r="R2822" t="str">
        <f t="shared" si="668"/>
        <v/>
      </c>
      <c r="S2822">
        <f>IF($A2822="",0,IF(COUNTIF($R$2:$R2822,$R2822)=1,1,0))</f>
        <v>0</v>
      </c>
      <c r="T2822" t="str">
        <f t="shared" si="669"/>
        <v/>
      </c>
      <c r="U2822" t="str">
        <f>IF($A2822="","",IF($A2822=经营数据!$B$3,COUNTIFS($S$2:$S$3000,1,$A$2:$A$3000,$A2822,$T$2:$T$3000,"&lt;"&amp;$T2822)+1,""))</f>
        <v/>
      </c>
      <c r="V2822" t="str">
        <f t="shared" si="670"/>
        <v/>
      </c>
      <c r="W2822" t="str">
        <f t="shared" si="671"/>
        <v/>
      </c>
      <c r="X2822" t="str">
        <f t="shared" si="672"/>
        <v/>
      </c>
      <c r="Y2822" t="str">
        <f t="shared" si="673"/>
        <v/>
      </c>
      <c r="Z2822">
        <f>IF($A2822="",0,IF(AND($M2822=1,$A2822=经营数据!$B$3,$J2822=经营数据!$BA$5,OR($I2822=经营数据!$BA$4,COUNTIF(经营数据!$AA$9:$AA$38,$I2822)&gt;0)),1,0))</f>
        <v>0</v>
      </c>
      <c r="AA2822" t="str">
        <f t="shared" si="674"/>
        <v/>
      </c>
      <c r="AB2822" t="str">
        <f t="shared" si="675"/>
        <v/>
      </c>
      <c r="AC2822">
        <f>IF($A2822="",0,IF(COUNTIF($A$2:$A2822,$A2822)=1,1,0))</f>
        <v>0</v>
      </c>
      <c r="AD2822">
        <f t="shared" si="676"/>
        <v>29</v>
      </c>
      <c r="AE2822" t="str">
        <f t="shared" si="677"/>
        <v/>
      </c>
    </row>
    <row r="2823" spans="1:31" x14ac:dyDescent="0.4">
      <c r="A2823" t="str">
        <f>IF(原始经营数据!$D2824="","",原始经营数据!$D2824)</f>
        <v/>
      </c>
      <c r="B2823" t="str">
        <f>IF(原始经营数据!$D2824="","",T(原始经营数据!$E2824))</f>
        <v/>
      </c>
      <c r="C2823" t="str">
        <f>IF(原始经营数据!$D2824="","",原始经营数据!$F2824)</f>
        <v/>
      </c>
      <c r="D2823" t="str">
        <f>IF(原始经营数据!$D2824="","",原始经营数据!$H2824)</f>
        <v/>
      </c>
      <c r="E2823" t="str">
        <f>IF(原始经营数据!$D2824="","",原始经营数据!$I2824)</f>
        <v/>
      </c>
      <c r="F2823" t="str">
        <f>IF(原始经营数据!$D2824="","",T(原始经营数据!$J2824))</f>
        <v/>
      </c>
      <c r="G2823" t="str">
        <f>IF(原始经营数据!$D2824="","",T(原始经营数据!$K2824))</f>
        <v/>
      </c>
      <c r="H2823" t="str">
        <f>IF(原始经营数据!$D2824="","",原始经营数据!$G2824)</f>
        <v/>
      </c>
      <c r="I2823" t="str">
        <f>IF($A2823="","",IF($B2823&lt;&gt;"",$B2823,IF(COUNTIFS(原始经营数据!$D$3:$D$3001,$A2823,原始经营数据!$E$3:$E$3001,"",原始经营数据!$F$3:$F$3001,$C2823,原始经营数据!$H$3:$H$3001,$D2823,原始经营数据!$K$3:$K$3001,$G2823)&gt;1,"基金整体·来源"&amp;原始经营数据!$A2824,"基金整体")))</f>
        <v/>
      </c>
      <c r="J2823" t="str">
        <f t="shared" si="663"/>
        <v/>
      </c>
      <c r="K2823" t="str">
        <f t="shared" si="664"/>
        <v/>
      </c>
      <c r="L2823" t="str">
        <f t="shared" si="665"/>
        <v/>
      </c>
      <c r="M2823">
        <f>IF($A2823="",0,IF(COUNTIF($L$2:$L2823,$L2823)=1,1,0))</f>
        <v>0</v>
      </c>
      <c r="N2823" t="str">
        <f t="shared" si="666"/>
        <v/>
      </c>
      <c r="O2823" t="str">
        <f t="shared" si="667"/>
        <v/>
      </c>
      <c r="P2823">
        <f>IF($A2823="",0,IF(COUNTIF($O$2:$O2823,$O2823)=1,1,0))</f>
        <v>0</v>
      </c>
      <c r="Q2823" t="str">
        <f>IF(AND($P2823=1,$A2823=经营数据!$B$3,$J2823=经营数据!$BA$5),COUNTIFS($P$2:$P$3000,1,$A$2:$A$3000,$A2823,$J$2:$J$3000,$J2823,$N$2:$N$3000,"&lt;"&amp;$N2823)+1,"")</f>
        <v/>
      </c>
      <c r="R2823" t="str">
        <f t="shared" si="668"/>
        <v/>
      </c>
      <c r="S2823">
        <f>IF($A2823="",0,IF(COUNTIF($R$2:$R2823,$R2823)=1,1,0))</f>
        <v>0</v>
      </c>
      <c r="T2823" t="str">
        <f t="shared" si="669"/>
        <v/>
      </c>
      <c r="U2823" t="str">
        <f>IF($A2823="","",IF($A2823=经营数据!$B$3,COUNTIFS($S$2:$S$3000,1,$A$2:$A$3000,$A2823,$T$2:$T$3000,"&lt;"&amp;$T2823)+1,""))</f>
        <v/>
      </c>
      <c r="V2823" t="str">
        <f t="shared" si="670"/>
        <v/>
      </c>
      <c r="W2823" t="str">
        <f t="shared" si="671"/>
        <v/>
      </c>
      <c r="X2823" t="str">
        <f t="shared" si="672"/>
        <v/>
      </c>
      <c r="Y2823" t="str">
        <f t="shared" si="673"/>
        <v/>
      </c>
      <c r="Z2823">
        <f>IF($A2823="",0,IF(AND($M2823=1,$A2823=经营数据!$B$3,$J2823=经营数据!$BA$5,OR($I2823=经营数据!$BA$4,COUNTIF(经营数据!$AA$9:$AA$38,$I2823)&gt;0)),1,0))</f>
        <v>0</v>
      </c>
      <c r="AA2823" t="str">
        <f t="shared" si="674"/>
        <v/>
      </c>
      <c r="AB2823" t="str">
        <f t="shared" si="675"/>
        <v/>
      </c>
      <c r="AC2823">
        <f>IF($A2823="",0,IF(COUNTIF($A$2:$A2823,$A2823)=1,1,0))</f>
        <v>0</v>
      </c>
      <c r="AD2823">
        <f t="shared" si="676"/>
        <v>29</v>
      </c>
      <c r="AE2823" t="str">
        <f t="shared" si="677"/>
        <v/>
      </c>
    </row>
    <row r="2824" spans="1:31" x14ac:dyDescent="0.4">
      <c r="A2824" t="str">
        <f>IF(原始经营数据!$D2825="","",原始经营数据!$D2825)</f>
        <v/>
      </c>
      <c r="B2824" t="str">
        <f>IF(原始经营数据!$D2825="","",T(原始经营数据!$E2825))</f>
        <v/>
      </c>
      <c r="C2824" t="str">
        <f>IF(原始经营数据!$D2825="","",原始经营数据!$F2825)</f>
        <v/>
      </c>
      <c r="D2824" t="str">
        <f>IF(原始经营数据!$D2825="","",原始经营数据!$H2825)</f>
        <v/>
      </c>
      <c r="E2824" t="str">
        <f>IF(原始经营数据!$D2825="","",原始经营数据!$I2825)</f>
        <v/>
      </c>
      <c r="F2824" t="str">
        <f>IF(原始经营数据!$D2825="","",T(原始经营数据!$J2825))</f>
        <v/>
      </c>
      <c r="G2824" t="str">
        <f>IF(原始经营数据!$D2825="","",T(原始经营数据!$K2825))</f>
        <v/>
      </c>
      <c r="H2824" t="str">
        <f>IF(原始经营数据!$D2825="","",原始经营数据!$G2825)</f>
        <v/>
      </c>
      <c r="I2824" t="str">
        <f>IF($A2824="","",IF($B2824&lt;&gt;"",$B2824,IF(COUNTIFS(原始经营数据!$D$3:$D$3001,$A2824,原始经营数据!$E$3:$E$3001,"",原始经营数据!$F$3:$F$3001,$C2824,原始经营数据!$H$3:$H$3001,$D2824,原始经营数据!$K$3:$K$3001,$G2824)&gt;1,"基金整体·来源"&amp;原始经营数据!$A2825,"基金整体")))</f>
        <v/>
      </c>
      <c r="J2824" t="str">
        <f t="shared" si="663"/>
        <v/>
      </c>
      <c r="K2824" t="str">
        <f t="shared" si="664"/>
        <v/>
      </c>
      <c r="L2824" t="str">
        <f t="shared" si="665"/>
        <v/>
      </c>
      <c r="M2824">
        <f>IF($A2824="",0,IF(COUNTIF($L$2:$L2824,$L2824)=1,1,0))</f>
        <v>0</v>
      </c>
      <c r="N2824" t="str">
        <f t="shared" si="666"/>
        <v/>
      </c>
      <c r="O2824" t="str">
        <f t="shared" si="667"/>
        <v/>
      </c>
      <c r="P2824">
        <f>IF($A2824="",0,IF(COUNTIF($O$2:$O2824,$O2824)=1,1,0))</f>
        <v>0</v>
      </c>
      <c r="Q2824" t="str">
        <f>IF(AND($P2824=1,$A2824=经营数据!$B$3,$J2824=经营数据!$BA$5),COUNTIFS($P$2:$P$3000,1,$A$2:$A$3000,$A2824,$J$2:$J$3000,$J2824,$N$2:$N$3000,"&lt;"&amp;$N2824)+1,"")</f>
        <v/>
      </c>
      <c r="R2824" t="str">
        <f t="shared" si="668"/>
        <v/>
      </c>
      <c r="S2824">
        <f>IF($A2824="",0,IF(COUNTIF($R$2:$R2824,$R2824)=1,1,0))</f>
        <v>0</v>
      </c>
      <c r="T2824" t="str">
        <f t="shared" si="669"/>
        <v/>
      </c>
      <c r="U2824" t="str">
        <f>IF($A2824="","",IF($A2824=经营数据!$B$3,COUNTIFS($S$2:$S$3000,1,$A$2:$A$3000,$A2824,$T$2:$T$3000,"&lt;"&amp;$T2824)+1,""))</f>
        <v/>
      </c>
      <c r="V2824" t="str">
        <f t="shared" si="670"/>
        <v/>
      </c>
      <c r="W2824" t="str">
        <f t="shared" si="671"/>
        <v/>
      </c>
      <c r="X2824" t="str">
        <f t="shared" si="672"/>
        <v/>
      </c>
      <c r="Y2824" t="str">
        <f t="shared" si="673"/>
        <v/>
      </c>
      <c r="Z2824">
        <f>IF($A2824="",0,IF(AND($M2824=1,$A2824=经营数据!$B$3,$J2824=经营数据!$BA$5,OR($I2824=经营数据!$BA$4,COUNTIF(经营数据!$AA$9:$AA$38,$I2824)&gt;0)),1,0))</f>
        <v>0</v>
      </c>
      <c r="AA2824" t="str">
        <f t="shared" si="674"/>
        <v/>
      </c>
      <c r="AB2824" t="str">
        <f t="shared" si="675"/>
        <v/>
      </c>
      <c r="AC2824">
        <f>IF($A2824="",0,IF(COUNTIF($A$2:$A2824,$A2824)=1,1,0))</f>
        <v>0</v>
      </c>
      <c r="AD2824">
        <f t="shared" si="676"/>
        <v>29</v>
      </c>
      <c r="AE2824" t="str">
        <f t="shared" si="677"/>
        <v/>
      </c>
    </row>
    <row r="2825" spans="1:31" x14ac:dyDescent="0.4">
      <c r="A2825" t="str">
        <f>IF(原始经营数据!$D2826="","",原始经营数据!$D2826)</f>
        <v/>
      </c>
      <c r="B2825" t="str">
        <f>IF(原始经营数据!$D2826="","",T(原始经营数据!$E2826))</f>
        <v/>
      </c>
      <c r="C2825" t="str">
        <f>IF(原始经营数据!$D2826="","",原始经营数据!$F2826)</f>
        <v/>
      </c>
      <c r="D2825" t="str">
        <f>IF(原始经营数据!$D2826="","",原始经营数据!$H2826)</f>
        <v/>
      </c>
      <c r="E2825" t="str">
        <f>IF(原始经营数据!$D2826="","",原始经营数据!$I2826)</f>
        <v/>
      </c>
      <c r="F2825" t="str">
        <f>IF(原始经营数据!$D2826="","",T(原始经营数据!$J2826))</f>
        <v/>
      </c>
      <c r="G2825" t="str">
        <f>IF(原始经营数据!$D2826="","",T(原始经营数据!$K2826))</f>
        <v/>
      </c>
      <c r="H2825" t="str">
        <f>IF(原始经营数据!$D2826="","",原始经营数据!$G2826)</f>
        <v/>
      </c>
      <c r="I2825" t="str">
        <f>IF($A2825="","",IF($B2825&lt;&gt;"",$B2825,IF(COUNTIFS(原始经营数据!$D$3:$D$3001,$A2825,原始经营数据!$E$3:$E$3001,"",原始经营数据!$F$3:$F$3001,$C2825,原始经营数据!$H$3:$H$3001,$D2825,原始经营数据!$K$3:$K$3001,$G2825)&gt;1,"基金整体·来源"&amp;原始经营数据!$A2826,"基金整体")))</f>
        <v/>
      </c>
      <c r="J2825" t="str">
        <f t="shared" si="663"/>
        <v/>
      </c>
      <c r="K2825" t="str">
        <f t="shared" si="664"/>
        <v/>
      </c>
      <c r="L2825" t="str">
        <f t="shared" si="665"/>
        <v/>
      </c>
      <c r="M2825">
        <f>IF($A2825="",0,IF(COUNTIF($L$2:$L2825,$L2825)=1,1,0))</f>
        <v>0</v>
      </c>
      <c r="N2825" t="str">
        <f t="shared" si="666"/>
        <v/>
      </c>
      <c r="O2825" t="str">
        <f t="shared" si="667"/>
        <v/>
      </c>
      <c r="P2825">
        <f>IF($A2825="",0,IF(COUNTIF($O$2:$O2825,$O2825)=1,1,0))</f>
        <v>0</v>
      </c>
      <c r="Q2825" t="str">
        <f>IF(AND($P2825=1,$A2825=经营数据!$B$3,$J2825=经营数据!$BA$5),COUNTIFS($P$2:$P$3000,1,$A$2:$A$3000,$A2825,$J$2:$J$3000,$J2825,$N$2:$N$3000,"&lt;"&amp;$N2825)+1,"")</f>
        <v/>
      </c>
      <c r="R2825" t="str">
        <f t="shared" si="668"/>
        <v/>
      </c>
      <c r="S2825">
        <f>IF($A2825="",0,IF(COUNTIF($R$2:$R2825,$R2825)=1,1,0))</f>
        <v>0</v>
      </c>
      <c r="T2825" t="str">
        <f t="shared" si="669"/>
        <v/>
      </c>
      <c r="U2825" t="str">
        <f>IF($A2825="","",IF($A2825=经营数据!$B$3,COUNTIFS($S$2:$S$3000,1,$A$2:$A$3000,$A2825,$T$2:$T$3000,"&lt;"&amp;$T2825)+1,""))</f>
        <v/>
      </c>
      <c r="V2825" t="str">
        <f t="shared" si="670"/>
        <v/>
      </c>
      <c r="W2825" t="str">
        <f t="shared" si="671"/>
        <v/>
      </c>
      <c r="X2825" t="str">
        <f t="shared" si="672"/>
        <v/>
      </c>
      <c r="Y2825" t="str">
        <f t="shared" si="673"/>
        <v/>
      </c>
      <c r="Z2825">
        <f>IF($A2825="",0,IF(AND($M2825=1,$A2825=经营数据!$B$3,$J2825=经营数据!$BA$5,OR($I2825=经营数据!$BA$4,COUNTIF(经营数据!$AA$9:$AA$38,$I2825)&gt;0)),1,0))</f>
        <v>0</v>
      </c>
      <c r="AA2825" t="str">
        <f t="shared" si="674"/>
        <v/>
      </c>
      <c r="AB2825" t="str">
        <f t="shared" si="675"/>
        <v/>
      </c>
      <c r="AC2825">
        <f>IF($A2825="",0,IF(COUNTIF($A$2:$A2825,$A2825)=1,1,0))</f>
        <v>0</v>
      </c>
      <c r="AD2825">
        <f t="shared" si="676"/>
        <v>29</v>
      </c>
      <c r="AE2825" t="str">
        <f t="shared" si="677"/>
        <v/>
      </c>
    </row>
    <row r="2826" spans="1:31" x14ac:dyDescent="0.4">
      <c r="A2826" t="str">
        <f>IF(原始经营数据!$D2827="","",原始经营数据!$D2827)</f>
        <v/>
      </c>
      <c r="B2826" t="str">
        <f>IF(原始经营数据!$D2827="","",T(原始经营数据!$E2827))</f>
        <v/>
      </c>
      <c r="C2826" t="str">
        <f>IF(原始经营数据!$D2827="","",原始经营数据!$F2827)</f>
        <v/>
      </c>
      <c r="D2826" t="str">
        <f>IF(原始经营数据!$D2827="","",原始经营数据!$H2827)</f>
        <v/>
      </c>
      <c r="E2826" t="str">
        <f>IF(原始经营数据!$D2827="","",原始经营数据!$I2827)</f>
        <v/>
      </c>
      <c r="F2826" t="str">
        <f>IF(原始经营数据!$D2827="","",T(原始经营数据!$J2827))</f>
        <v/>
      </c>
      <c r="G2826" t="str">
        <f>IF(原始经营数据!$D2827="","",T(原始经营数据!$K2827))</f>
        <v/>
      </c>
      <c r="H2826" t="str">
        <f>IF(原始经营数据!$D2827="","",原始经营数据!$G2827)</f>
        <v/>
      </c>
      <c r="I2826" t="str">
        <f>IF($A2826="","",IF($B2826&lt;&gt;"",$B2826,IF(COUNTIFS(原始经营数据!$D$3:$D$3001,$A2826,原始经营数据!$E$3:$E$3001,"",原始经营数据!$F$3:$F$3001,$C2826,原始经营数据!$H$3:$H$3001,$D2826,原始经营数据!$K$3:$K$3001,$G2826)&gt;1,"基金整体·来源"&amp;原始经营数据!$A2827,"基金整体")))</f>
        <v/>
      </c>
      <c r="J2826" t="str">
        <f t="shared" si="663"/>
        <v/>
      </c>
      <c r="K2826" t="str">
        <f t="shared" si="664"/>
        <v/>
      </c>
      <c r="L2826" t="str">
        <f t="shared" si="665"/>
        <v/>
      </c>
      <c r="M2826">
        <f>IF($A2826="",0,IF(COUNTIF($L$2:$L2826,$L2826)=1,1,0))</f>
        <v>0</v>
      </c>
      <c r="N2826" t="str">
        <f t="shared" si="666"/>
        <v/>
      </c>
      <c r="O2826" t="str">
        <f t="shared" si="667"/>
        <v/>
      </c>
      <c r="P2826">
        <f>IF($A2826="",0,IF(COUNTIF($O$2:$O2826,$O2826)=1,1,0))</f>
        <v>0</v>
      </c>
      <c r="Q2826" t="str">
        <f>IF(AND($P2826=1,$A2826=经营数据!$B$3,$J2826=经营数据!$BA$5),COUNTIFS($P$2:$P$3000,1,$A$2:$A$3000,$A2826,$J$2:$J$3000,$J2826,$N$2:$N$3000,"&lt;"&amp;$N2826)+1,"")</f>
        <v/>
      </c>
      <c r="R2826" t="str">
        <f t="shared" si="668"/>
        <v/>
      </c>
      <c r="S2826">
        <f>IF($A2826="",0,IF(COUNTIF($R$2:$R2826,$R2826)=1,1,0))</f>
        <v>0</v>
      </c>
      <c r="T2826" t="str">
        <f t="shared" si="669"/>
        <v/>
      </c>
      <c r="U2826" t="str">
        <f>IF($A2826="","",IF($A2826=经营数据!$B$3,COUNTIFS($S$2:$S$3000,1,$A$2:$A$3000,$A2826,$T$2:$T$3000,"&lt;"&amp;$T2826)+1,""))</f>
        <v/>
      </c>
      <c r="V2826" t="str">
        <f t="shared" si="670"/>
        <v/>
      </c>
      <c r="W2826" t="str">
        <f t="shared" si="671"/>
        <v/>
      </c>
      <c r="X2826" t="str">
        <f t="shared" si="672"/>
        <v/>
      </c>
      <c r="Y2826" t="str">
        <f t="shared" si="673"/>
        <v/>
      </c>
      <c r="Z2826">
        <f>IF($A2826="",0,IF(AND($M2826=1,$A2826=经营数据!$B$3,$J2826=经营数据!$BA$5,OR($I2826=经营数据!$BA$4,COUNTIF(经营数据!$AA$9:$AA$38,$I2826)&gt;0)),1,0))</f>
        <v>0</v>
      </c>
      <c r="AA2826" t="str">
        <f t="shared" si="674"/>
        <v/>
      </c>
      <c r="AB2826" t="str">
        <f t="shared" si="675"/>
        <v/>
      </c>
      <c r="AC2826">
        <f>IF($A2826="",0,IF(COUNTIF($A$2:$A2826,$A2826)=1,1,0))</f>
        <v>0</v>
      </c>
      <c r="AD2826">
        <f t="shared" si="676"/>
        <v>29</v>
      </c>
      <c r="AE2826" t="str">
        <f t="shared" si="677"/>
        <v/>
      </c>
    </row>
    <row r="2827" spans="1:31" x14ac:dyDescent="0.4">
      <c r="A2827" t="str">
        <f>IF(原始经营数据!$D2828="","",原始经营数据!$D2828)</f>
        <v/>
      </c>
      <c r="B2827" t="str">
        <f>IF(原始经营数据!$D2828="","",T(原始经营数据!$E2828))</f>
        <v/>
      </c>
      <c r="C2827" t="str">
        <f>IF(原始经营数据!$D2828="","",原始经营数据!$F2828)</f>
        <v/>
      </c>
      <c r="D2827" t="str">
        <f>IF(原始经营数据!$D2828="","",原始经营数据!$H2828)</f>
        <v/>
      </c>
      <c r="E2827" t="str">
        <f>IF(原始经营数据!$D2828="","",原始经营数据!$I2828)</f>
        <v/>
      </c>
      <c r="F2827" t="str">
        <f>IF(原始经营数据!$D2828="","",T(原始经营数据!$J2828))</f>
        <v/>
      </c>
      <c r="G2827" t="str">
        <f>IF(原始经营数据!$D2828="","",T(原始经营数据!$K2828))</f>
        <v/>
      </c>
      <c r="H2827" t="str">
        <f>IF(原始经营数据!$D2828="","",原始经营数据!$G2828)</f>
        <v/>
      </c>
      <c r="I2827" t="str">
        <f>IF($A2827="","",IF($B2827&lt;&gt;"",$B2827,IF(COUNTIFS(原始经营数据!$D$3:$D$3001,$A2827,原始经营数据!$E$3:$E$3001,"",原始经营数据!$F$3:$F$3001,$C2827,原始经营数据!$H$3:$H$3001,$D2827,原始经营数据!$K$3:$K$3001,$G2827)&gt;1,"基金整体·来源"&amp;原始经营数据!$A2828,"基金整体")))</f>
        <v/>
      </c>
      <c r="J2827" t="str">
        <f t="shared" si="663"/>
        <v/>
      </c>
      <c r="K2827" t="str">
        <f t="shared" si="664"/>
        <v/>
      </c>
      <c r="L2827" t="str">
        <f t="shared" si="665"/>
        <v/>
      </c>
      <c r="M2827">
        <f>IF($A2827="",0,IF(COUNTIF($L$2:$L2827,$L2827)=1,1,0))</f>
        <v>0</v>
      </c>
      <c r="N2827" t="str">
        <f t="shared" si="666"/>
        <v/>
      </c>
      <c r="O2827" t="str">
        <f t="shared" si="667"/>
        <v/>
      </c>
      <c r="P2827">
        <f>IF($A2827="",0,IF(COUNTIF($O$2:$O2827,$O2827)=1,1,0))</f>
        <v>0</v>
      </c>
      <c r="Q2827" t="str">
        <f>IF(AND($P2827=1,$A2827=经营数据!$B$3,$J2827=经营数据!$BA$5),COUNTIFS($P$2:$P$3000,1,$A$2:$A$3000,$A2827,$J$2:$J$3000,$J2827,$N$2:$N$3000,"&lt;"&amp;$N2827)+1,"")</f>
        <v/>
      </c>
      <c r="R2827" t="str">
        <f t="shared" si="668"/>
        <v/>
      </c>
      <c r="S2827">
        <f>IF($A2827="",0,IF(COUNTIF($R$2:$R2827,$R2827)=1,1,0))</f>
        <v>0</v>
      </c>
      <c r="T2827" t="str">
        <f t="shared" si="669"/>
        <v/>
      </c>
      <c r="U2827" t="str">
        <f>IF($A2827="","",IF($A2827=经营数据!$B$3,COUNTIFS($S$2:$S$3000,1,$A$2:$A$3000,$A2827,$T$2:$T$3000,"&lt;"&amp;$T2827)+1,""))</f>
        <v/>
      </c>
      <c r="V2827" t="str">
        <f t="shared" si="670"/>
        <v/>
      </c>
      <c r="W2827" t="str">
        <f t="shared" si="671"/>
        <v/>
      </c>
      <c r="X2827" t="str">
        <f t="shared" si="672"/>
        <v/>
      </c>
      <c r="Y2827" t="str">
        <f t="shared" si="673"/>
        <v/>
      </c>
      <c r="Z2827">
        <f>IF($A2827="",0,IF(AND($M2827=1,$A2827=经营数据!$B$3,$J2827=经营数据!$BA$5,OR($I2827=经营数据!$BA$4,COUNTIF(经营数据!$AA$9:$AA$38,$I2827)&gt;0)),1,0))</f>
        <v>0</v>
      </c>
      <c r="AA2827" t="str">
        <f t="shared" si="674"/>
        <v/>
      </c>
      <c r="AB2827" t="str">
        <f t="shared" si="675"/>
        <v/>
      </c>
      <c r="AC2827">
        <f>IF($A2827="",0,IF(COUNTIF($A$2:$A2827,$A2827)=1,1,0))</f>
        <v>0</v>
      </c>
      <c r="AD2827">
        <f t="shared" si="676"/>
        <v>29</v>
      </c>
      <c r="AE2827" t="str">
        <f t="shared" si="677"/>
        <v/>
      </c>
    </row>
    <row r="2828" spans="1:31" x14ac:dyDescent="0.4">
      <c r="A2828" t="str">
        <f>IF(原始经营数据!$D2829="","",原始经营数据!$D2829)</f>
        <v/>
      </c>
      <c r="B2828" t="str">
        <f>IF(原始经营数据!$D2829="","",T(原始经营数据!$E2829))</f>
        <v/>
      </c>
      <c r="C2828" t="str">
        <f>IF(原始经营数据!$D2829="","",原始经营数据!$F2829)</f>
        <v/>
      </c>
      <c r="D2828" t="str">
        <f>IF(原始经营数据!$D2829="","",原始经营数据!$H2829)</f>
        <v/>
      </c>
      <c r="E2828" t="str">
        <f>IF(原始经营数据!$D2829="","",原始经营数据!$I2829)</f>
        <v/>
      </c>
      <c r="F2828" t="str">
        <f>IF(原始经营数据!$D2829="","",T(原始经营数据!$J2829))</f>
        <v/>
      </c>
      <c r="G2828" t="str">
        <f>IF(原始经营数据!$D2829="","",T(原始经营数据!$K2829))</f>
        <v/>
      </c>
      <c r="H2828" t="str">
        <f>IF(原始经营数据!$D2829="","",原始经营数据!$G2829)</f>
        <v/>
      </c>
      <c r="I2828" t="str">
        <f>IF($A2828="","",IF($B2828&lt;&gt;"",$B2828,IF(COUNTIFS(原始经营数据!$D$3:$D$3001,$A2828,原始经营数据!$E$3:$E$3001,"",原始经营数据!$F$3:$F$3001,$C2828,原始经营数据!$H$3:$H$3001,$D2828,原始经营数据!$K$3:$K$3001,$G2828)&gt;1,"基金整体·来源"&amp;原始经营数据!$A2829,"基金整体")))</f>
        <v/>
      </c>
      <c r="J2828" t="str">
        <f t="shared" si="663"/>
        <v/>
      </c>
      <c r="K2828" t="str">
        <f t="shared" si="664"/>
        <v/>
      </c>
      <c r="L2828" t="str">
        <f t="shared" si="665"/>
        <v/>
      </c>
      <c r="M2828">
        <f>IF($A2828="",0,IF(COUNTIF($L$2:$L2828,$L2828)=1,1,0))</f>
        <v>0</v>
      </c>
      <c r="N2828" t="str">
        <f t="shared" si="666"/>
        <v/>
      </c>
      <c r="O2828" t="str">
        <f t="shared" si="667"/>
        <v/>
      </c>
      <c r="P2828">
        <f>IF($A2828="",0,IF(COUNTIF($O$2:$O2828,$O2828)=1,1,0))</f>
        <v>0</v>
      </c>
      <c r="Q2828" t="str">
        <f>IF(AND($P2828=1,$A2828=经营数据!$B$3,$J2828=经营数据!$BA$5),COUNTIFS($P$2:$P$3000,1,$A$2:$A$3000,$A2828,$J$2:$J$3000,$J2828,$N$2:$N$3000,"&lt;"&amp;$N2828)+1,"")</f>
        <v/>
      </c>
      <c r="R2828" t="str">
        <f t="shared" si="668"/>
        <v/>
      </c>
      <c r="S2828">
        <f>IF($A2828="",0,IF(COUNTIF($R$2:$R2828,$R2828)=1,1,0))</f>
        <v>0</v>
      </c>
      <c r="T2828" t="str">
        <f t="shared" si="669"/>
        <v/>
      </c>
      <c r="U2828" t="str">
        <f>IF($A2828="","",IF($A2828=经营数据!$B$3,COUNTIFS($S$2:$S$3000,1,$A$2:$A$3000,$A2828,$T$2:$T$3000,"&lt;"&amp;$T2828)+1,""))</f>
        <v/>
      </c>
      <c r="V2828" t="str">
        <f t="shared" si="670"/>
        <v/>
      </c>
      <c r="W2828" t="str">
        <f t="shared" si="671"/>
        <v/>
      </c>
      <c r="X2828" t="str">
        <f t="shared" si="672"/>
        <v/>
      </c>
      <c r="Y2828" t="str">
        <f t="shared" si="673"/>
        <v/>
      </c>
      <c r="Z2828">
        <f>IF($A2828="",0,IF(AND($M2828=1,$A2828=经营数据!$B$3,$J2828=经营数据!$BA$5,OR($I2828=经营数据!$BA$4,COUNTIF(经营数据!$AA$9:$AA$38,$I2828)&gt;0)),1,0))</f>
        <v>0</v>
      </c>
      <c r="AA2828" t="str">
        <f t="shared" si="674"/>
        <v/>
      </c>
      <c r="AB2828" t="str">
        <f t="shared" si="675"/>
        <v/>
      </c>
      <c r="AC2828">
        <f>IF($A2828="",0,IF(COUNTIF($A$2:$A2828,$A2828)=1,1,0))</f>
        <v>0</v>
      </c>
      <c r="AD2828">
        <f t="shared" si="676"/>
        <v>29</v>
      </c>
      <c r="AE2828" t="str">
        <f t="shared" si="677"/>
        <v/>
      </c>
    </row>
    <row r="2829" spans="1:31" x14ac:dyDescent="0.4">
      <c r="A2829" t="str">
        <f>IF(原始经营数据!$D2830="","",原始经营数据!$D2830)</f>
        <v/>
      </c>
      <c r="B2829" t="str">
        <f>IF(原始经营数据!$D2830="","",T(原始经营数据!$E2830))</f>
        <v/>
      </c>
      <c r="C2829" t="str">
        <f>IF(原始经营数据!$D2830="","",原始经营数据!$F2830)</f>
        <v/>
      </c>
      <c r="D2829" t="str">
        <f>IF(原始经营数据!$D2830="","",原始经营数据!$H2830)</f>
        <v/>
      </c>
      <c r="E2829" t="str">
        <f>IF(原始经营数据!$D2830="","",原始经营数据!$I2830)</f>
        <v/>
      </c>
      <c r="F2829" t="str">
        <f>IF(原始经营数据!$D2830="","",T(原始经营数据!$J2830))</f>
        <v/>
      </c>
      <c r="G2829" t="str">
        <f>IF(原始经营数据!$D2830="","",T(原始经营数据!$K2830))</f>
        <v/>
      </c>
      <c r="H2829" t="str">
        <f>IF(原始经营数据!$D2830="","",原始经营数据!$G2830)</f>
        <v/>
      </c>
      <c r="I2829" t="str">
        <f>IF($A2829="","",IF($B2829&lt;&gt;"",$B2829,IF(COUNTIFS(原始经营数据!$D$3:$D$3001,$A2829,原始经营数据!$E$3:$E$3001,"",原始经营数据!$F$3:$F$3001,$C2829,原始经营数据!$H$3:$H$3001,$D2829,原始经营数据!$K$3:$K$3001,$G2829)&gt;1,"基金整体·来源"&amp;原始经营数据!$A2830,"基金整体")))</f>
        <v/>
      </c>
      <c r="J2829" t="str">
        <f t="shared" si="663"/>
        <v/>
      </c>
      <c r="K2829" t="str">
        <f t="shared" si="664"/>
        <v/>
      </c>
      <c r="L2829" t="str">
        <f t="shared" si="665"/>
        <v/>
      </c>
      <c r="M2829">
        <f>IF($A2829="",0,IF(COUNTIF($L$2:$L2829,$L2829)=1,1,0))</f>
        <v>0</v>
      </c>
      <c r="N2829" t="str">
        <f t="shared" si="666"/>
        <v/>
      </c>
      <c r="O2829" t="str">
        <f t="shared" si="667"/>
        <v/>
      </c>
      <c r="P2829">
        <f>IF($A2829="",0,IF(COUNTIF($O$2:$O2829,$O2829)=1,1,0))</f>
        <v>0</v>
      </c>
      <c r="Q2829" t="str">
        <f>IF(AND($P2829=1,$A2829=经营数据!$B$3,$J2829=经营数据!$BA$5),COUNTIFS($P$2:$P$3000,1,$A$2:$A$3000,$A2829,$J$2:$J$3000,$J2829,$N$2:$N$3000,"&lt;"&amp;$N2829)+1,"")</f>
        <v/>
      </c>
      <c r="R2829" t="str">
        <f t="shared" si="668"/>
        <v/>
      </c>
      <c r="S2829">
        <f>IF($A2829="",0,IF(COUNTIF($R$2:$R2829,$R2829)=1,1,0))</f>
        <v>0</v>
      </c>
      <c r="T2829" t="str">
        <f t="shared" si="669"/>
        <v/>
      </c>
      <c r="U2829" t="str">
        <f>IF($A2829="","",IF($A2829=经营数据!$B$3,COUNTIFS($S$2:$S$3000,1,$A$2:$A$3000,$A2829,$T$2:$T$3000,"&lt;"&amp;$T2829)+1,""))</f>
        <v/>
      </c>
      <c r="V2829" t="str">
        <f t="shared" si="670"/>
        <v/>
      </c>
      <c r="W2829" t="str">
        <f t="shared" si="671"/>
        <v/>
      </c>
      <c r="X2829" t="str">
        <f t="shared" si="672"/>
        <v/>
      </c>
      <c r="Y2829" t="str">
        <f t="shared" si="673"/>
        <v/>
      </c>
      <c r="Z2829">
        <f>IF($A2829="",0,IF(AND($M2829=1,$A2829=经营数据!$B$3,$J2829=经营数据!$BA$5,OR($I2829=经营数据!$BA$4,COUNTIF(经营数据!$AA$9:$AA$38,$I2829)&gt;0)),1,0))</f>
        <v>0</v>
      </c>
      <c r="AA2829" t="str">
        <f t="shared" si="674"/>
        <v/>
      </c>
      <c r="AB2829" t="str">
        <f t="shared" si="675"/>
        <v/>
      </c>
      <c r="AC2829">
        <f>IF($A2829="",0,IF(COUNTIF($A$2:$A2829,$A2829)=1,1,0))</f>
        <v>0</v>
      </c>
      <c r="AD2829">
        <f t="shared" si="676"/>
        <v>29</v>
      </c>
      <c r="AE2829" t="str">
        <f t="shared" si="677"/>
        <v/>
      </c>
    </row>
    <row r="2830" spans="1:31" x14ac:dyDescent="0.4">
      <c r="A2830" t="str">
        <f>IF(原始经营数据!$D2831="","",原始经营数据!$D2831)</f>
        <v/>
      </c>
      <c r="B2830" t="str">
        <f>IF(原始经营数据!$D2831="","",T(原始经营数据!$E2831))</f>
        <v/>
      </c>
      <c r="C2830" t="str">
        <f>IF(原始经营数据!$D2831="","",原始经营数据!$F2831)</f>
        <v/>
      </c>
      <c r="D2830" t="str">
        <f>IF(原始经营数据!$D2831="","",原始经营数据!$H2831)</f>
        <v/>
      </c>
      <c r="E2830" t="str">
        <f>IF(原始经营数据!$D2831="","",原始经营数据!$I2831)</f>
        <v/>
      </c>
      <c r="F2830" t="str">
        <f>IF(原始经营数据!$D2831="","",T(原始经营数据!$J2831))</f>
        <v/>
      </c>
      <c r="G2830" t="str">
        <f>IF(原始经营数据!$D2831="","",T(原始经营数据!$K2831))</f>
        <v/>
      </c>
      <c r="H2830" t="str">
        <f>IF(原始经营数据!$D2831="","",原始经营数据!$G2831)</f>
        <v/>
      </c>
      <c r="I2830" t="str">
        <f>IF($A2830="","",IF($B2830&lt;&gt;"",$B2830,IF(COUNTIFS(原始经营数据!$D$3:$D$3001,$A2830,原始经营数据!$E$3:$E$3001,"",原始经营数据!$F$3:$F$3001,$C2830,原始经营数据!$H$3:$H$3001,$D2830,原始经营数据!$K$3:$K$3001,$G2830)&gt;1,"基金整体·来源"&amp;原始经营数据!$A2831,"基金整体")))</f>
        <v/>
      </c>
      <c r="J2830" t="str">
        <f t="shared" si="663"/>
        <v/>
      </c>
      <c r="K2830" t="str">
        <f t="shared" si="664"/>
        <v/>
      </c>
      <c r="L2830" t="str">
        <f t="shared" si="665"/>
        <v/>
      </c>
      <c r="M2830">
        <f>IF($A2830="",0,IF(COUNTIF($L$2:$L2830,$L2830)=1,1,0))</f>
        <v>0</v>
      </c>
      <c r="N2830" t="str">
        <f t="shared" si="666"/>
        <v/>
      </c>
      <c r="O2830" t="str">
        <f t="shared" si="667"/>
        <v/>
      </c>
      <c r="P2830">
        <f>IF($A2830="",0,IF(COUNTIF($O$2:$O2830,$O2830)=1,1,0))</f>
        <v>0</v>
      </c>
      <c r="Q2830" t="str">
        <f>IF(AND($P2830=1,$A2830=经营数据!$B$3,$J2830=经营数据!$BA$5),COUNTIFS($P$2:$P$3000,1,$A$2:$A$3000,$A2830,$J$2:$J$3000,$J2830,$N$2:$N$3000,"&lt;"&amp;$N2830)+1,"")</f>
        <v/>
      </c>
      <c r="R2830" t="str">
        <f t="shared" si="668"/>
        <v/>
      </c>
      <c r="S2830">
        <f>IF($A2830="",0,IF(COUNTIF($R$2:$R2830,$R2830)=1,1,0))</f>
        <v>0</v>
      </c>
      <c r="T2830" t="str">
        <f t="shared" si="669"/>
        <v/>
      </c>
      <c r="U2830" t="str">
        <f>IF($A2830="","",IF($A2830=经营数据!$B$3,COUNTIFS($S$2:$S$3000,1,$A$2:$A$3000,$A2830,$T$2:$T$3000,"&lt;"&amp;$T2830)+1,""))</f>
        <v/>
      </c>
      <c r="V2830" t="str">
        <f t="shared" si="670"/>
        <v/>
      </c>
      <c r="W2830" t="str">
        <f t="shared" si="671"/>
        <v/>
      </c>
      <c r="X2830" t="str">
        <f t="shared" si="672"/>
        <v/>
      </c>
      <c r="Y2830" t="str">
        <f t="shared" si="673"/>
        <v/>
      </c>
      <c r="Z2830">
        <f>IF($A2830="",0,IF(AND($M2830=1,$A2830=经营数据!$B$3,$J2830=经营数据!$BA$5,OR($I2830=经营数据!$BA$4,COUNTIF(经营数据!$AA$9:$AA$38,$I2830)&gt;0)),1,0))</f>
        <v>0</v>
      </c>
      <c r="AA2830" t="str">
        <f t="shared" si="674"/>
        <v/>
      </c>
      <c r="AB2830" t="str">
        <f t="shared" si="675"/>
        <v/>
      </c>
      <c r="AC2830">
        <f>IF($A2830="",0,IF(COUNTIF($A$2:$A2830,$A2830)=1,1,0))</f>
        <v>0</v>
      </c>
      <c r="AD2830">
        <f t="shared" si="676"/>
        <v>29</v>
      </c>
      <c r="AE2830" t="str">
        <f t="shared" si="677"/>
        <v/>
      </c>
    </row>
    <row r="2831" spans="1:31" x14ac:dyDescent="0.4">
      <c r="A2831" t="str">
        <f>IF(原始经营数据!$D2832="","",原始经营数据!$D2832)</f>
        <v/>
      </c>
      <c r="B2831" t="str">
        <f>IF(原始经营数据!$D2832="","",T(原始经营数据!$E2832))</f>
        <v/>
      </c>
      <c r="C2831" t="str">
        <f>IF(原始经营数据!$D2832="","",原始经营数据!$F2832)</f>
        <v/>
      </c>
      <c r="D2831" t="str">
        <f>IF(原始经营数据!$D2832="","",原始经营数据!$H2832)</f>
        <v/>
      </c>
      <c r="E2831" t="str">
        <f>IF(原始经营数据!$D2832="","",原始经营数据!$I2832)</f>
        <v/>
      </c>
      <c r="F2831" t="str">
        <f>IF(原始经营数据!$D2832="","",T(原始经营数据!$J2832))</f>
        <v/>
      </c>
      <c r="G2831" t="str">
        <f>IF(原始经营数据!$D2832="","",T(原始经营数据!$K2832))</f>
        <v/>
      </c>
      <c r="H2831" t="str">
        <f>IF(原始经营数据!$D2832="","",原始经营数据!$G2832)</f>
        <v/>
      </c>
      <c r="I2831" t="str">
        <f>IF($A2831="","",IF($B2831&lt;&gt;"",$B2831,IF(COUNTIFS(原始经营数据!$D$3:$D$3001,$A2831,原始经营数据!$E$3:$E$3001,"",原始经营数据!$F$3:$F$3001,$C2831,原始经营数据!$H$3:$H$3001,$D2831,原始经营数据!$K$3:$K$3001,$G2831)&gt;1,"基金整体·来源"&amp;原始经营数据!$A2832,"基金整体")))</f>
        <v/>
      </c>
      <c r="J2831" t="str">
        <f t="shared" si="663"/>
        <v/>
      </c>
      <c r="K2831" t="str">
        <f t="shared" si="664"/>
        <v/>
      </c>
      <c r="L2831" t="str">
        <f t="shared" si="665"/>
        <v/>
      </c>
      <c r="M2831">
        <f>IF($A2831="",0,IF(COUNTIF($L$2:$L2831,$L2831)=1,1,0))</f>
        <v>0</v>
      </c>
      <c r="N2831" t="str">
        <f t="shared" si="666"/>
        <v/>
      </c>
      <c r="O2831" t="str">
        <f t="shared" si="667"/>
        <v/>
      </c>
      <c r="P2831">
        <f>IF($A2831="",0,IF(COUNTIF($O$2:$O2831,$O2831)=1,1,0))</f>
        <v>0</v>
      </c>
      <c r="Q2831" t="str">
        <f>IF(AND($P2831=1,$A2831=经营数据!$B$3,$J2831=经营数据!$BA$5),COUNTIFS($P$2:$P$3000,1,$A$2:$A$3000,$A2831,$J$2:$J$3000,$J2831,$N$2:$N$3000,"&lt;"&amp;$N2831)+1,"")</f>
        <v/>
      </c>
      <c r="R2831" t="str">
        <f t="shared" si="668"/>
        <v/>
      </c>
      <c r="S2831">
        <f>IF($A2831="",0,IF(COUNTIF($R$2:$R2831,$R2831)=1,1,0))</f>
        <v>0</v>
      </c>
      <c r="T2831" t="str">
        <f t="shared" si="669"/>
        <v/>
      </c>
      <c r="U2831" t="str">
        <f>IF($A2831="","",IF($A2831=经营数据!$B$3,COUNTIFS($S$2:$S$3000,1,$A$2:$A$3000,$A2831,$T$2:$T$3000,"&lt;"&amp;$T2831)+1,""))</f>
        <v/>
      </c>
      <c r="V2831" t="str">
        <f t="shared" si="670"/>
        <v/>
      </c>
      <c r="W2831" t="str">
        <f t="shared" si="671"/>
        <v/>
      </c>
      <c r="X2831" t="str">
        <f t="shared" si="672"/>
        <v/>
      </c>
      <c r="Y2831" t="str">
        <f t="shared" si="673"/>
        <v/>
      </c>
      <c r="Z2831">
        <f>IF($A2831="",0,IF(AND($M2831=1,$A2831=经营数据!$B$3,$J2831=经营数据!$BA$5,OR($I2831=经营数据!$BA$4,COUNTIF(经营数据!$AA$9:$AA$38,$I2831)&gt;0)),1,0))</f>
        <v>0</v>
      </c>
      <c r="AA2831" t="str">
        <f t="shared" si="674"/>
        <v/>
      </c>
      <c r="AB2831" t="str">
        <f t="shared" si="675"/>
        <v/>
      </c>
      <c r="AC2831">
        <f>IF($A2831="",0,IF(COUNTIF($A$2:$A2831,$A2831)=1,1,0))</f>
        <v>0</v>
      </c>
      <c r="AD2831">
        <f t="shared" si="676"/>
        <v>29</v>
      </c>
      <c r="AE2831" t="str">
        <f t="shared" si="677"/>
        <v/>
      </c>
    </row>
    <row r="2832" spans="1:31" x14ac:dyDescent="0.4">
      <c r="A2832" t="str">
        <f>IF(原始经营数据!$D2833="","",原始经营数据!$D2833)</f>
        <v/>
      </c>
      <c r="B2832" t="str">
        <f>IF(原始经营数据!$D2833="","",T(原始经营数据!$E2833))</f>
        <v/>
      </c>
      <c r="C2832" t="str">
        <f>IF(原始经营数据!$D2833="","",原始经营数据!$F2833)</f>
        <v/>
      </c>
      <c r="D2832" t="str">
        <f>IF(原始经营数据!$D2833="","",原始经营数据!$H2833)</f>
        <v/>
      </c>
      <c r="E2832" t="str">
        <f>IF(原始经营数据!$D2833="","",原始经营数据!$I2833)</f>
        <v/>
      </c>
      <c r="F2832" t="str">
        <f>IF(原始经营数据!$D2833="","",T(原始经营数据!$J2833))</f>
        <v/>
      </c>
      <c r="G2832" t="str">
        <f>IF(原始经营数据!$D2833="","",T(原始经营数据!$K2833))</f>
        <v/>
      </c>
      <c r="H2832" t="str">
        <f>IF(原始经营数据!$D2833="","",原始经营数据!$G2833)</f>
        <v/>
      </c>
      <c r="I2832" t="str">
        <f>IF($A2832="","",IF($B2832&lt;&gt;"",$B2832,IF(COUNTIFS(原始经营数据!$D$3:$D$3001,$A2832,原始经营数据!$E$3:$E$3001,"",原始经营数据!$F$3:$F$3001,$C2832,原始经营数据!$H$3:$H$3001,$D2832,原始经营数据!$K$3:$K$3001,$G2832)&gt;1,"基金整体·来源"&amp;原始经营数据!$A2833,"基金整体")))</f>
        <v/>
      </c>
      <c r="J2832" t="str">
        <f t="shared" si="663"/>
        <v/>
      </c>
      <c r="K2832" t="str">
        <f t="shared" si="664"/>
        <v/>
      </c>
      <c r="L2832" t="str">
        <f t="shared" si="665"/>
        <v/>
      </c>
      <c r="M2832">
        <f>IF($A2832="",0,IF(COUNTIF($L$2:$L2832,$L2832)=1,1,0))</f>
        <v>0</v>
      </c>
      <c r="N2832" t="str">
        <f t="shared" si="666"/>
        <v/>
      </c>
      <c r="O2832" t="str">
        <f t="shared" si="667"/>
        <v/>
      </c>
      <c r="P2832">
        <f>IF($A2832="",0,IF(COUNTIF($O$2:$O2832,$O2832)=1,1,0))</f>
        <v>0</v>
      </c>
      <c r="Q2832" t="str">
        <f>IF(AND($P2832=1,$A2832=经营数据!$B$3,$J2832=经营数据!$BA$5),COUNTIFS($P$2:$P$3000,1,$A$2:$A$3000,$A2832,$J$2:$J$3000,$J2832,$N$2:$N$3000,"&lt;"&amp;$N2832)+1,"")</f>
        <v/>
      </c>
      <c r="R2832" t="str">
        <f t="shared" si="668"/>
        <v/>
      </c>
      <c r="S2832">
        <f>IF($A2832="",0,IF(COUNTIF($R$2:$R2832,$R2832)=1,1,0))</f>
        <v>0</v>
      </c>
      <c r="T2832" t="str">
        <f t="shared" si="669"/>
        <v/>
      </c>
      <c r="U2832" t="str">
        <f>IF($A2832="","",IF($A2832=经营数据!$B$3,COUNTIFS($S$2:$S$3000,1,$A$2:$A$3000,$A2832,$T$2:$T$3000,"&lt;"&amp;$T2832)+1,""))</f>
        <v/>
      </c>
      <c r="V2832" t="str">
        <f t="shared" si="670"/>
        <v/>
      </c>
      <c r="W2832" t="str">
        <f t="shared" si="671"/>
        <v/>
      </c>
      <c r="X2832" t="str">
        <f t="shared" si="672"/>
        <v/>
      </c>
      <c r="Y2832" t="str">
        <f t="shared" si="673"/>
        <v/>
      </c>
      <c r="Z2832">
        <f>IF($A2832="",0,IF(AND($M2832=1,$A2832=经营数据!$B$3,$J2832=经营数据!$BA$5,OR($I2832=经营数据!$BA$4,COUNTIF(经营数据!$AA$9:$AA$38,$I2832)&gt;0)),1,0))</f>
        <v>0</v>
      </c>
      <c r="AA2832" t="str">
        <f t="shared" si="674"/>
        <v/>
      </c>
      <c r="AB2832" t="str">
        <f t="shared" si="675"/>
        <v/>
      </c>
      <c r="AC2832">
        <f>IF($A2832="",0,IF(COUNTIF($A$2:$A2832,$A2832)=1,1,0))</f>
        <v>0</v>
      </c>
      <c r="AD2832">
        <f t="shared" si="676"/>
        <v>29</v>
      </c>
      <c r="AE2832" t="str">
        <f t="shared" si="677"/>
        <v/>
      </c>
    </row>
    <row r="2833" spans="1:31" x14ac:dyDescent="0.4">
      <c r="A2833" t="str">
        <f>IF(原始经营数据!$D2834="","",原始经营数据!$D2834)</f>
        <v/>
      </c>
      <c r="B2833" t="str">
        <f>IF(原始经营数据!$D2834="","",T(原始经营数据!$E2834))</f>
        <v/>
      </c>
      <c r="C2833" t="str">
        <f>IF(原始经营数据!$D2834="","",原始经营数据!$F2834)</f>
        <v/>
      </c>
      <c r="D2833" t="str">
        <f>IF(原始经营数据!$D2834="","",原始经营数据!$H2834)</f>
        <v/>
      </c>
      <c r="E2833" t="str">
        <f>IF(原始经营数据!$D2834="","",原始经营数据!$I2834)</f>
        <v/>
      </c>
      <c r="F2833" t="str">
        <f>IF(原始经营数据!$D2834="","",T(原始经营数据!$J2834))</f>
        <v/>
      </c>
      <c r="G2833" t="str">
        <f>IF(原始经营数据!$D2834="","",T(原始经营数据!$K2834))</f>
        <v/>
      </c>
      <c r="H2833" t="str">
        <f>IF(原始经营数据!$D2834="","",原始经营数据!$G2834)</f>
        <v/>
      </c>
      <c r="I2833" t="str">
        <f>IF($A2833="","",IF($B2833&lt;&gt;"",$B2833,IF(COUNTIFS(原始经营数据!$D$3:$D$3001,$A2833,原始经营数据!$E$3:$E$3001,"",原始经营数据!$F$3:$F$3001,$C2833,原始经营数据!$H$3:$H$3001,$D2833,原始经营数据!$K$3:$K$3001,$G2833)&gt;1,"基金整体·来源"&amp;原始经营数据!$A2834,"基金整体")))</f>
        <v/>
      </c>
      <c r="J2833" t="str">
        <f t="shared" si="663"/>
        <v/>
      </c>
      <c r="K2833" t="str">
        <f t="shared" si="664"/>
        <v/>
      </c>
      <c r="L2833" t="str">
        <f t="shared" si="665"/>
        <v/>
      </c>
      <c r="M2833">
        <f>IF($A2833="",0,IF(COUNTIF($L$2:$L2833,$L2833)=1,1,0))</f>
        <v>0</v>
      </c>
      <c r="N2833" t="str">
        <f t="shared" si="666"/>
        <v/>
      </c>
      <c r="O2833" t="str">
        <f t="shared" si="667"/>
        <v/>
      </c>
      <c r="P2833">
        <f>IF($A2833="",0,IF(COUNTIF($O$2:$O2833,$O2833)=1,1,0))</f>
        <v>0</v>
      </c>
      <c r="Q2833" t="str">
        <f>IF(AND($P2833=1,$A2833=经营数据!$B$3,$J2833=经营数据!$BA$5),COUNTIFS($P$2:$P$3000,1,$A$2:$A$3000,$A2833,$J$2:$J$3000,$J2833,$N$2:$N$3000,"&lt;"&amp;$N2833)+1,"")</f>
        <v/>
      </c>
      <c r="R2833" t="str">
        <f t="shared" si="668"/>
        <v/>
      </c>
      <c r="S2833">
        <f>IF($A2833="",0,IF(COUNTIF($R$2:$R2833,$R2833)=1,1,0))</f>
        <v>0</v>
      </c>
      <c r="T2833" t="str">
        <f t="shared" si="669"/>
        <v/>
      </c>
      <c r="U2833" t="str">
        <f>IF($A2833="","",IF($A2833=经营数据!$B$3,COUNTIFS($S$2:$S$3000,1,$A$2:$A$3000,$A2833,$T$2:$T$3000,"&lt;"&amp;$T2833)+1,""))</f>
        <v/>
      </c>
      <c r="V2833" t="str">
        <f t="shared" si="670"/>
        <v/>
      </c>
      <c r="W2833" t="str">
        <f t="shared" si="671"/>
        <v/>
      </c>
      <c r="X2833" t="str">
        <f t="shared" si="672"/>
        <v/>
      </c>
      <c r="Y2833" t="str">
        <f t="shared" si="673"/>
        <v/>
      </c>
      <c r="Z2833">
        <f>IF($A2833="",0,IF(AND($M2833=1,$A2833=经营数据!$B$3,$J2833=经营数据!$BA$5,OR($I2833=经营数据!$BA$4,COUNTIF(经营数据!$AA$9:$AA$38,$I2833)&gt;0)),1,0))</f>
        <v>0</v>
      </c>
      <c r="AA2833" t="str">
        <f t="shared" si="674"/>
        <v/>
      </c>
      <c r="AB2833" t="str">
        <f t="shared" si="675"/>
        <v/>
      </c>
      <c r="AC2833">
        <f>IF($A2833="",0,IF(COUNTIF($A$2:$A2833,$A2833)=1,1,0))</f>
        <v>0</v>
      </c>
      <c r="AD2833">
        <f t="shared" si="676"/>
        <v>29</v>
      </c>
      <c r="AE2833" t="str">
        <f t="shared" si="677"/>
        <v/>
      </c>
    </row>
    <row r="2834" spans="1:31" x14ac:dyDescent="0.4">
      <c r="A2834" t="str">
        <f>IF(原始经营数据!$D2835="","",原始经营数据!$D2835)</f>
        <v/>
      </c>
      <c r="B2834" t="str">
        <f>IF(原始经营数据!$D2835="","",T(原始经营数据!$E2835))</f>
        <v/>
      </c>
      <c r="C2834" t="str">
        <f>IF(原始经营数据!$D2835="","",原始经营数据!$F2835)</f>
        <v/>
      </c>
      <c r="D2834" t="str">
        <f>IF(原始经营数据!$D2835="","",原始经营数据!$H2835)</f>
        <v/>
      </c>
      <c r="E2834" t="str">
        <f>IF(原始经营数据!$D2835="","",原始经营数据!$I2835)</f>
        <v/>
      </c>
      <c r="F2834" t="str">
        <f>IF(原始经营数据!$D2835="","",T(原始经营数据!$J2835))</f>
        <v/>
      </c>
      <c r="G2834" t="str">
        <f>IF(原始经营数据!$D2835="","",T(原始经营数据!$K2835))</f>
        <v/>
      </c>
      <c r="H2834" t="str">
        <f>IF(原始经营数据!$D2835="","",原始经营数据!$G2835)</f>
        <v/>
      </c>
      <c r="I2834" t="str">
        <f>IF($A2834="","",IF($B2834&lt;&gt;"",$B2834,IF(COUNTIFS(原始经营数据!$D$3:$D$3001,$A2834,原始经营数据!$E$3:$E$3001,"",原始经营数据!$F$3:$F$3001,$C2834,原始经营数据!$H$3:$H$3001,$D2834,原始经营数据!$K$3:$K$3001,$G2834)&gt;1,"基金整体·来源"&amp;原始经营数据!$A2835,"基金整体")))</f>
        <v/>
      </c>
      <c r="J2834" t="str">
        <f t="shared" si="663"/>
        <v/>
      </c>
      <c r="K2834" t="str">
        <f t="shared" si="664"/>
        <v/>
      </c>
      <c r="L2834" t="str">
        <f t="shared" si="665"/>
        <v/>
      </c>
      <c r="M2834">
        <f>IF($A2834="",0,IF(COUNTIF($L$2:$L2834,$L2834)=1,1,0))</f>
        <v>0</v>
      </c>
      <c r="N2834" t="str">
        <f t="shared" si="666"/>
        <v/>
      </c>
      <c r="O2834" t="str">
        <f t="shared" si="667"/>
        <v/>
      </c>
      <c r="P2834">
        <f>IF($A2834="",0,IF(COUNTIF($O$2:$O2834,$O2834)=1,1,0))</f>
        <v>0</v>
      </c>
      <c r="Q2834" t="str">
        <f>IF(AND($P2834=1,$A2834=经营数据!$B$3,$J2834=经营数据!$BA$5),COUNTIFS($P$2:$P$3000,1,$A$2:$A$3000,$A2834,$J$2:$J$3000,$J2834,$N$2:$N$3000,"&lt;"&amp;$N2834)+1,"")</f>
        <v/>
      </c>
      <c r="R2834" t="str">
        <f t="shared" si="668"/>
        <v/>
      </c>
      <c r="S2834">
        <f>IF($A2834="",0,IF(COUNTIF($R$2:$R2834,$R2834)=1,1,0))</f>
        <v>0</v>
      </c>
      <c r="T2834" t="str">
        <f t="shared" si="669"/>
        <v/>
      </c>
      <c r="U2834" t="str">
        <f>IF($A2834="","",IF($A2834=经营数据!$B$3,COUNTIFS($S$2:$S$3000,1,$A$2:$A$3000,$A2834,$T$2:$T$3000,"&lt;"&amp;$T2834)+1,""))</f>
        <v/>
      </c>
      <c r="V2834" t="str">
        <f t="shared" si="670"/>
        <v/>
      </c>
      <c r="W2834" t="str">
        <f t="shared" si="671"/>
        <v/>
      </c>
      <c r="X2834" t="str">
        <f t="shared" si="672"/>
        <v/>
      </c>
      <c r="Y2834" t="str">
        <f t="shared" si="673"/>
        <v/>
      </c>
      <c r="Z2834">
        <f>IF($A2834="",0,IF(AND($M2834=1,$A2834=经营数据!$B$3,$J2834=经营数据!$BA$5,OR($I2834=经营数据!$BA$4,COUNTIF(经营数据!$AA$9:$AA$38,$I2834)&gt;0)),1,0))</f>
        <v>0</v>
      </c>
      <c r="AA2834" t="str">
        <f t="shared" si="674"/>
        <v/>
      </c>
      <c r="AB2834" t="str">
        <f t="shared" si="675"/>
        <v/>
      </c>
      <c r="AC2834">
        <f>IF($A2834="",0,IF(COUNTIF($A$2:$A2834,$A2834)=1,1,0))</f>
        <v>0</v>
      </c>
      <c r="AD2834">
        <f t="shared" si="676"/>
        <v>29</v>
      </c>
      <c r="AE2834" t="str">
        <f t="shared" si="677"/>
        <v/>
      </c>
    </row>
    <row r="2835" spans="1:31" x14ac:dyDescent="0.4">
      <c r="A2835" t="str">
        <f>IF(原始经营数据!$D2836="","",原始经营数据!$D2836)</f>
        <v/>
      </c>
      <c r="B2835" t="str">
        <f>IF(原始经营数据!$D2836="","",T(原始经营数据!$E2836))</f>
        <v/>
      </c>
      <c r="C2835" t="str">
        <f>IF(原始经营数据!$D2836="","",原始经营数据!$F2836)</f>
        <v/>
      </c>
      <c r="D2835" t="str">
        <f>IF(原始经营数据!$D2836="","",原始经营数据!$H2836)</f>
        <v/>
      </c>
      <c r="E2835" t="str">
        <f>IF(原始经营数据!$D2836="","",原始经营数据!$I2836)</f>
        <v/>
      </c>
      <c r="F2835" t="str">
        <f>IF(原始经营数据!$D2836="","",T(原始经营数据!$J2836))</f>
        <v/>
      </c>
      <c r="G2835" t="str">
        <f>IF(原始经营数据!$D2836="","",T(原始经营数据!$K2836))</f>
        <v/>
      </c>
      <c r="H2835" t="str">
        <f>IF(原始经营数据!$D2836="","",原始经营数据!$G2836)</f>
        <v/>
      </c>
      <c r="I2835" t="str">
        <f>IF($A2835="","",IF($B2835&lt;&gt;"",$B2835,IF(COUNTIFS(原始经营数据!$D$3:$D$3001,$A2835,原始经营数据!$E$3:$E$3001,"",原始经营数据!$F$3:$F$3001,$C2835,原始经营数据!$H$3:$H$3001,$D2835,原始经营数据!$K$3:$K$3001,$G2835)&gt;1,"基金整体·来源"&amp;原始经营数据!$A2836,"基金整体")))</f>
        <v/>
      </c>
      <c r="J2835" t="str">
        <f t="shared" si="663"/>
        <v/>
      </c>
      <c r="K2835" t="str">
        <f t="shared" si="664"/>
        <v/>
      </c>
      <c r="L2835" t="str">
        <f t="shared" si="665"/>
        <v/>
      </c>
      <c r="M2835">
        <f>IF($A2835="",0,IF(COUNTIF($L$2:$L2835,$L2835)=1,1,0))</f>
        <v>0</v>
      </c>
      <c r="N2835" t="str">
        <f t="shared" si="666"/>
        <v/>
      </c>
      <c r="O2835" t="str">
        <f t="shared" si="667"/>
        <v/>
      </c>
      <c r="P2835">
        <f>IF($A2835="",0,IF(COUNTIF($O$2:$O2835,$O2835)=1,1,0))</f>
        <v>0</v>
      </c>
      <c r="Q2835" t="str">
        <f>IF(AND($P2835=1,$A2835=经营数据!$B$3,$J2835=经营数据!$BA$5),COUNTIFS($P$2:$P$3000,1,$A$2:$A$3000,$A2835,$J$2:$J$3000,$J2835,$N$2:$N$3000,"&lt;"&amp;$N2835)+1,"")</f>
        <v/>
      </c>
      <c r="R2835" t="str">
        <f t="shared" si="668"/>
        <v/>
      </c>
      <c r="S2835">
        <f>IF($A2835="",0,IF(COUNTIF($R$2:$R2835,$R2835)=1,1,0))</f>
        <v>0</v>
      </c>
      <c r="T2835" t="str">
        <f t="shared" si="669"/>
        <v/>
      </c>
      <c r="U2835" t="str">
        <f>IF($A2835="","",IF($A2835=经营数据!$B$3,COUNTIFS($S$2:$S$3000,1,$A$2:$A$3000,$A2835,$T$2:$T$3000,"&lt;"&amp;$T2835)+1,""))</f>
        <v/>
      </c>
      <c r="V2835" t="str">
        <f t="shared" si="670"/>
        <v/>
      </c>
      <c r="W2835" t="str">
        <f t="shared" si="671"/>
        <v/>
      </c>
      <c r="X2835" t="str">
        <f t="shared" si="672"/>
        <v/>
      </c>
      <c r="Y2835" t="str">
        <f t="shared" si="673"/>
        <v/>
      </c>
      <c r="Z2835">
        <f>IF($A2835="",0,IF(AND($M2835=1,$A2835=经营数据!$B$3,$J2835=经营数据!$BA$5,OR($I2835=经营数据!$BA$4,COUNTIF(经营数据!$AA$9:$AA$38,$I2835)&gt;0)),1,0))</f>
        <v>0</v>
      </c>
      <c r="AA2835" t="str">
        <f t="shared" si="674"/>
        <v/>
      </c>
      <c r="AB2835" t="str">
        <f t="shared" si="675"/>
        <v/>
      </c>
      <c r="AC2835">
        <f>IF($A2835="",0,IF(COUNTIF($A$2:$A2835,$A2835)=1,1,0))</f>
        <v>0</v>
      </c>
      <c r="AD2835">
        <f t="shared" si="676"/>
        <v>29</v>
      </c>
      <c r="AE2835" t="str">
        <f t="shared" si="677"/>
        <v/>
      </c>
    </row>
    <row r="2836" spans="1:31" x14ac:dyDescent="0.4">
      <c r="A2836" t="str">
        <f>IF(原始经营数据!$D2837="","",原始经营数据!$D2837)</f>
        <v/>
      </c>
      <c r="B2836" t="str">
        <f>IF(原始经营数据!$D2837="","",T(原始经营数据!$E2837))</f>
        <v/>
      </c>
      <c r="C2836" t="str">
        <f>IF(原始经营数据!$D2837="","",原始经营数据!$F2837)</f>
        <v/>
      </c>
      <c r="D2836" t="str">
        <f>IF(原始经营数据!$D2837="","",原始经营数据!$H2837)</f>
        <v/>
      </c>
      <c r="E2836" t="str">
        <f>IF(原始经营数据!$D2837="","",原始经营数据!$I2837)</f>
        <v/>
      </c>
      <c r="F2836" t="str">
        <f>IF(原始经营数据!$D2837="","",T(原始经营数据!$J2837))</f>
        <v/>
      </c>
      <c r="G2836" t="str">
        <f>IF(原始经营数据!$D2837="","",T(原始经营数据!$K2837))</f>
        <v/>
      </c>
      <c r="H2836" t="str">
        <f>IF(原始经营数据!$D2837="","",原始经营数据!$G2837)</f>
        <v/>
      </c>
      <c r="I2836" t="str">
        <f>IF($A2836="","",IF($B2836&lt;&gt;"",$B2836,IF(COUNTIFS(原始经营数据!$D$3:$D$3001,$A2836,原始经营数据!$E$3:$E$3001,"",原始经营数据!$F$3:$F$3001,$C2836,原始经营数据!$H$3:$H$3001,$D2836,原始经营数据!$K$3:$K$3001,$G2836)&gt;1,"基金整体·来源"&amp;原始经营数据!$A2837,"基金整体")))</f>
        <v/>
      </c>
      <c r="J2836" t="str">
        <f t="shared" si="663"/>
        <v/>
      </c>
      <c r="K2836" t="str">
        <f t="shared" si="664"/>
        <v/>
      </c>
      <c r="L2836" t="str">
        <f t="shared" si="665"/>
        <v/>
      </c>
      <c r="M2836">
        <f>IF($A2836="",0,IF(COUNTIF($L$2:$L2836,$L2836)=1,1,0))</f>
        <v>0</v>
      </c>
      <c r="N2836" t="str">
        <f t="shared" si="666"/>
        <v/>
      </c>
      <c r="O2836" t="str">
        <f t="shared" si="667"/>
        <v/>
      </c>
      <c r="P2836">
        <f>IF($A2836="",0,IF(COUNTIF($O$2:$O2836,$O2836)=1,1,0))</f>
        <v>0</v>
      </c>
      <c r="Q2836" t="str">
        <f>IF(AND($P2836=1,$A2836=经营数据!$B$3,$J2836=经营数据!$BA$5),COUNTIFS($P$2:$P$3000,1,$A$2:$A$3000,$A2836,$J$2:$J$3000,$J2836,$N$2:$N$3000,"&lt;"&amp;$N2836)+1,"")</f>
        <v/>
      </c>
      <c r="R2836" t="str">
        <f t="shared" si="668"/>
        <v/>
      </c>
      <c r="S2836">
        <f>IF($A2836="",0,IF(COUNTIF($R$2:$R2836,$R2836)=1,1,0))</f>
        <v>0</v>
      </c>
      <c r="T2836" t="str">
        <f t="shared" si="669"/>
        <v/>
      </c>
      <c r="U2836" t="str">
        <f>IF($A2836="","",IF($A2836=经营数据!$B$3,COUNTIFS($S$2:$S$3000,1,$A$2:$A$3000,$A2836,$T$2:$T$3000,"&lt;"&amp;$T2836)+1,""))</f>
        <v/>
      </c>
      <c r="V2836" t="str">
        <f t="shared" si="670"/>
        <v/>
      </c>
      <c r="W2836" t="str">
        <f t="shared" si="671"/>
        <v/>
      </c>
      <c r="X2836" t="str">
        <f t="shared" si="672"/>
        <v/>
      </c>
      <c r="Y2836" t="str">
        <f t="shared" si="673"/>
        <v/>
      </c>
      <c r="Z2836">
        <f>IF($A2836="",0,IF(AND($M2836=1,$A2836=经营数据!$B$3,$J2836=经营数据!$BA$5,OR($I2836=经营数据!$BA$4,COUNTIF(经营数据!$AA$9:$AA$38,$I2836)&gt;0)),1,0))</f>
        <v>0</v>
      </c>
      <c r="AA2836" t="str">
        <f t="shared" si="674"/>
        <v/>
      </c>
      <c r="AB2836" t="str">
        <f t="shared" si="675"/>
        <v/>
      </c>
      <c r="AC2836">
        <f>IF($A2836="",0,IF(COUNTIF($A$2:$A2836,$A2836)=1,1,0))</f>
        <v>0</v>
      </c>
      <c r="AD2836">
        <f t="shared" si="676"/>
        <v>29</v>
      </c>
      <c r="AE2836" t="str">
        <f t="shared" si="677"/>
        <v/>
      </c>
    </row>
    <row r="2837" spans="1:31" x14ac:dyDescent="0.4">
      <c r="A2837" t="str">
        <f>IF(原始经营数据!$D2838="","",原始经营数据!$D2838)</f>
        <v/>
      </c>
      <c r="B2837" t="str">
        <f>IF(原始经营数据!$D2838="","",T(原始经营数据!$E2838))</f>
        <v/>
      </c>
      <c r="C2837" t="str">
        <f>IF(原始经营数据!$D2838="","",原始经营数据!$F2838)</f>
        <v/>
      </c>
      <c r="D2837" t="str">
        <f>IF(原始经营数据!$D2838="","",原始经营数据!$H2838)</f>
        <v/>
      </c>
      <c r="E2837" t="str">
        <f>IF(原始经营数据!$D2838="","",原始经营数据!$I2838)</f>
        <v/>
      </c>
      <c r="F2837" t="str">
        <f>IF(原始经营数据!$D2838="","",T(原始经营数据!$J2838))</f>
        <v/>
      </c>
      <c r="G2837" t="str">
        <f>IF(原始经营数据!$D2838="","",T(原始经营数据!$K2838))</f>
        <v/>
      </c>
      <c r="H2837" t="str">
        <f>IF(原始经营数据!$D2838="","",原始经营数据!$G2838)</f>
        <v/>
      </c>
      <c r="I2837" t="str">
        <f>IF($A2837="","",IF($B2837&lt;&gt;"",$B2837,IF(COUNTIFS(原始经营数据!$D$3:$D$3001,$A2837,原始经营数据!$E$3:$E$3001,"",原始经营数据!$F$3:$F$3001,$C2837,原始经营数据!$H$3:$H$3001,$D2837,原始经营数据!$K$3:$K$3001,$G2837)&gt;1,"基金整体·来源"&amp;原始经营数据!$A2838,"基金整体")))</f>
        <v/>
      </c>
      <c r="J2837" t="str">
        <f t="shared" si="663"/>
        <v/>
      </c>
      <c r="K2837" t="str">
        <f t="shared" si="664"/>
        <v/>
      </c>
      <c r="L2837" t="str">
        <f t="shared" si="665"/>
        <v/>
      </c>
      <c r="M2837">
        <f>IF($A2837="",0,IF(COUNTIF($L$2:$L2837,$L2837)=1,1,0))</f>
        <v>0</v>
      </c>
      <c r="N2837" t="str">
        <f t="shared" si="666"/>
        <v/>
      </c>
      <c r="O2837" t="str">
        <f t="shared" si="667"/>
        <v/>
      </c>
      <c r="P2837">
        <f>IF($A2837="",0,IF(COUNTIF($O$2:$O2837,$O2837)=1,1,0))</f>
        <v>0</v>
      </c>
      <c r="Q2837" t="str">
        <f>IF(AND($P2837=1,$A2837=经营数据!$B$3,$J2837=经营数据!$BA$5),COUNTIFS($P$2:$P$3000,1,$A$2:$A$3000,$A2837,$J$2:$J$3000,$J2837,$N$2:$N$3000,"&lt;"&amp;$N2837)+1,"")</f>
        <v/>
      </c>
      <c r="R2837" t="str">
        <f t="shared" si="668"/>
        <v/>
      </c>
      <c r="S2837">
        <f>IF($A2837="",0,IF(COUNTIF($R$2:$R2837,$R2837)=1,1,0))</f>
        <v>0</v>
      </c>
      <c r="T2837" t="str">
        <f t="shared" si="669"/>
        <v/>
      </c>
      <c r="U2837" t="str">
        <f>IF($A2837="","",IF($A2837=经营数据!$B$3,COUNTIFS($S$2:$S$3000,1,$A$2:$A$3000,$A2837,$T$2:$T$3000,"&lt;"&amp;$T2837)+1,""))</f>
        <v/>
      </c>
      <c r="V2837" t="str">
        <f t="shared" si="670"/>
        <v/>
      </c>
      <c r="W2837" t="str">
        <f t="shared" si="671"/>
        <v/>
      </c>
      <c r="X2837" t="str">
        <f t="shared" si="672"/>
        <v/>
      </c>
      <c r="Y2837" t="str">
        <f t="shared" si="673"/>
        <v/>
      </c>
      <c r="Z2837">
        <f>IF($A2837="",0,IF(AND($M2837=1,$A2837=经营数据!$B$3,$J2837=经营数据!$BA$5,OR($I2837=经营数据!$BA$4,COUNTIF(经营数据!$AA$9:$AA$38,$I2837)&gt;0)),1,0))</f>
        <v>0</v>
      </c>
      <c r="AA2837" t="str">
        <f t="shared" si="674"/>
        <v/>
      </c>
      <c r="AB2837" t="str">
        <f t="shared" si="675"/>
        <v/>
      </c>
      <c r="AC2837">
        <f>IF($A2837="",0,IF(COUNTIF($A$2:$A2837,$A2837)=1,1,0))</f>
        <v>0</v>
      </c>
      <c r="AD2837">
        <f t="shared" si="676"/>
        <v>29</v>
      </c>
      <c r="AE2837" t="str">
        <f t="shared" si="677"/>
        <v/>
      </c>
    </row>
    <row r="2838" spans="1:31" x14ac:dyDescent="0.4">
      <c r="A2838" t="str">
        <f>IF(原始经营数据!$D2839="","",原始经营数据!$D2839)</f>
        <v/>
      </c>
      <c r="B2838" t="str">
        <f>IF(原始经营数据!$D2839="","",T(原始经营数据!$E2839))</f>
        <v/>
      </c>
      <c r="C2838" t="str">
        <f>IF(原始经营数据!$D2839="","",原始经营数据!$F2839)</f>
        <v/>
      </c>
      <c r="D2838" t="str">
        <f>IF(原始经营数据!$D2839="","",原始经营数据!$H2839)</f>
        <v/>
      </c>
      <c r="E2838" t="str">
        <f>IF(原始经营数据!$D2839="","",原始经营数据!$I2839)</f>
        <v/>
      </c>
      <c r="F2838" t="str">
        <f>IF(原始经营数据!$D2839="","",T(原始经营数据!$J2839))</f>
        <v/>
      </c>
      <c r="G2838" t="str">
        <f>IF(原始经营数据!$D2839="","",T(原始经营数据!$K2839))</f>
        <v/>
      </c>
      <c r="H2838" t="str">
        <f>IF(原始经营数据!$D2839="","",原始经营数据!$G2839)</f>
        <v/>
      </c>
      <c r="I2838" t="str">
        <f>IF($A2838="","",IF($B2838&lt;&gt;"",$B2838,IF(COUNTIFS(原始经营数据!$D$3:$D$3001,$A2838,原始经营数据!$E$3:$E$3001,"",原始经营数据!$F$3:$F$3001,$C2838,原始经营数据!$H$3:$H$3001,$D2838,原始经营数据!$K$3:$K$3001,$G2838)&gt;1,"基金整体·来源"&amp;原始经营数据!$A2839,"基金整体")))</f>
        <v/>
      </c>
      <c r="J2838" t="str">
        <f t="shared" si="663"/>
        <v/>
      </c>
      <c r="K2838" t="str">
        <f t="shared" si="664"/>
        <v/>
      </c>
      <c r="L2838" t="str">
        <f t="shared" si="665"/>
        <v/>
      </c>
      <c r="M2838">
        <f>IF($A2838="",0,IF(COUNTIF($L$2:$L2838,$L2838)=1,1,0))</f>
        <v>0</v>
      </c>
      <c r="N2838" t="str">
        <f t="shared" si="666"/>
        <v/>
      </c>
      <c r="O2838" t="str">
        <f t="shared" si="667"/>
        <v/>
      </c>
      <c r="P2838">
        <f>IF($A2838="",0,IF(COUNTIF($O$2:$O2838,$O2838)=1,1,0))</f>
        <v>0</v>
      </c>
      <c r="Q2838" t="str">
        <f>IF(AND($P2838=1,$A2838=经营数据!$B$3,$J2838=经营数据!$BA$5),COUNTIFS($P$2:$P$3000,1,$A$2:$A$3000,$A2838,$J$2:$J$3000,$J2838,$N$2:$N$3000,"&lt;"&amp;$N2838)+1,"")</f>
        <v/>
      </c>
      <c r="R2838" t="str">
        <f t="shared" si="668"/>
        <v/>
      </c>
      <c r="S2838">
        <f>IF($A2838="",0,IF(COUNTIF($R$2:$R2838,$R2838)=1,1,0))</f>
        <v>0</v>
      </c>
      <c r="T2838" t="str">
        <f t="shared" si="669"/>
        <v/>
      </c>
      <c r="U2838" t="str">
        <f>IF($A2838="","",IF($A2838=经营数据!$B$3,COUNTIFS($S$2:$S$3000,1,$A$2:$A$3000,$A2838,$T$2:$T$3000,"&lt;"&amp;$T2838)+1,""))</f>
        <v/>
      </c>
      <c r="V2838" t="str">
        <f t="shared" si="670"/>
        <v/>
      </c>
      <c r="W2838" t="str">
        <f t="shared" si="671"/>
        <v/>
      </c>
      <c r="X2838" t="str">
        <f t="shared" si="672"/>
        <v/>
      </c>
      <c r="Y2838" t="str">
        <f t="shared" si="673"/>
        <v/>
      </c>
      <c r="Z2838">
        <f>IF($A2838="",0,IF(AND($M2838=1,$A2838=经营数据!$B$3,$J2838=经营数据!$BA$5,OR($I2838=经营数据!$BA$4,COUNTIF(经营数据!$AA$9:$AA$38,$I2838)&gt;0)),1,0))</f>
        <v>0</v>
      </c>
      <c r="AA2838" t="str">
        <f t="shared" si="674"/>
        <v/>
      </c>
      <c r="AB2838" t="str">
        <f t="shared" si="675"/>
        <v/>
      </c>
      <c r="AC2838">
        <f>IF($A2838="",0,IF(COUNTIF($A$2:$A2838,$A2838)=1,1,0))</f>
        <v>0</v>
      </c>
      <c r="AD2838">
        <f t="shared" si="676"/>
        <v>29</v>
      </c>
      <c r="AE2838" t="str">
        <f t="shared" si="677"/>
        <v/>
      </c>
    </row>
    <row r="2839" spans="1:31" x14ac:dyDescent="0.4">
      <c r="A2839" t="str">
        <f>IF(原始经营数据!$D2840="","",原始经营数据!$D2840)</f>
        <v/>
      </c>
      <c r="B2839" t="str">
        <f>IF(原始经营数据!$D2840="","",T(原始经营数据!$E2840))</f>
        <v/>
      </c>
      <c r="C2839" t="str">
        <f>IF(原始经营数据!$D2840="","",原始经营数据!$F2840)</f>
        <v/>
      </c>
      <c r="D2839" t="str">
        <f>IF(原始经营数据!$D2840="","",原始经营数据!$H2840)</f>
        <v/>
      </c>
      <c r="E2839" t="str">
        <f>IF(原始经营数据!$D2840="","",原始经营数据!$I2840)</f>
        <v/>
      </c>
      <c r="F2839" t="str">
        <f>IF(原始经营数据!$D2840="","",T(原始经营数据!$J2840))</f>
        <v/>
      </c>
      <c r="G2839" t="str">
        <f>IF(原始经营数据!$D2840="","",T(原始经营数据!$K2840))</f>
        <v/>
      </c>
      <c r="H2839" t="str">
        <f>IF(原始经营数据!$D2840="","",原始经营数据!$G2840)</f>
        <v/>
      </c>
      <c r="I2839" t="str">
        <f>IF($A2839="","",IF($B2839&lt;&gt;"",$B2839,IF(COUNTIFS(原始经营数据!$D$3:$D$3001,$A2839,原始经营数据!$E$3:$E$3001,"",原始经营数据!$F$3:$F$3001,$C2839,原始经营数据!$H$3:$H$3001,$D2839,原始经营数据!$K$3:$K$3001,$G2839)&gt;1,"基金整体·来源"&amp;原始经营数据!$A2840,"基金整体")))</f>
        <v/>
      </c>
      <c r="J2839" t="str">
        <f t="shared" si="663"/>
        <v/>
      </c>
      <c r="K2839" t="str">
        <f t="shared" si="664"/>
        <v/>
      </c>
      <c r="L2839" t="str">
        <f t="shared" si="665"/>
        <v/>
      </c>
      <c r="M2839">
        <f>IF($A2839="",0,IF(COUNTIF($L$2:$L2839,$L2839)=1,1,0))</f>
        <v>0</v>
      </c>
      <c r="N2839" t="str">
        <f t="shared" si="666"/>
        <v/>
      </c>
      <c r="O2839" t="str">
        <f t="shared" si="667"/>
        <v/>
      </c>
      <c r="P2839">
        <f>IF($A2839="",0,IF(COUNTIF($O$2:$O2839,$O2839)=1,1,0))</f>
        <v>0</v>
      </c>
      <c r="Q2839" t="str">
        <f>IF(AND($P2839=1,$A2839=经营数据!$B$3,$J2839=经营数据!$BA$5),COUNTIFS($P$2:$P$3000,1,$A$2:$A$3000,$A2839,$J$2:$J$3000,$J2839,$N$2:$N$3000,"&lt;"&amp;$N2839)+1,"")</f>
        <v/>
      </c>
      <c r="R2839" t="str">
        <f t="shared" si="668"/>
        <v/>
      </c>
      <c r="S2839">
        <f>IF($A2839="",0,IF(COUNTIF($R$2:$R2839,$R2839)=1,1,0))</f>
        <v>0</v>
      </c>
      <c r="T2839" t="str">
        <f t="shared" si="669"/>
        <v/>
      </c>
      <c r="U2839" t="str">
        <f>IF($A2839="","",IF($A2839=经营数据!$B$3,COUNTIFS($S$2:$S$3000,1,$A$2:$A$3000,$A2839,$T$2:$T$3000,"&lt;"&amp;$T2839)+1,""))</f>
        <v/>
      </c>
      <c r="V2839" t="str">
        <f t="shared" si="670"/>
        <v/>
      </c>
      <c r="W2839" t="str">
        <f t="shared" si="671"/>
        <v/>
      </c>
      <c r="X2839" t="str">
        <f t="shared" si="672"/>
        <v/>
      </c>
      <c r="Y2839" t="str">
        <f t="shared" si="673"/>
        <v/>
      </c>
      <c r="Z2839">
        <f>IF($A2839="",0,IF(AND($M2839=1,$A2839=经营数据!$B$3,$J2839=经营数据!$BA$5,OR($I2839=经营数据!$BA$4,COUNTIF(经营数据!$AA$9:$AA$38,$I2839)&gt;0)),1,0))</f>
        <v>0</v>
      </c>
      <c r="AA2839" t="str">
        <f t="shared" si="674"/>
        <v/>
      </c>
      <c r="AB2839" t="str">
        <f t="shared" si="675"/>
        <v/>
      </c>
      <c r="AC2839">
        <f>IF($A2839="",0,IF(COUNTIF($A$2:$A2839,$A2839)=1,1,0))</f>
        <v>0</v>
      </c>
      <c r="AD2839">
        <f t="shared" si="676"/>
        <v>29</v>
      </c>
      <c r="AE2839" t="str">
        <f t="shared" si="677"/>
        <v/>
      </c>
    </row>
    <row r="2840" spans="1:31" x14ac:dyDescent="0.4">
      <c r="A2840" t="str">
        <f>IF(原始经营数据!$D2841="","",原始经营数据!$D2841)</f>
        <v/>
      </c>
      <c r="B2840" t="str">
        <f>IF(原始经营数据!$D2841="","",T(原始经营数据!$E2841))</f>
        <v/>
      </c>
      <c r="C2840" t="str">
        <f>IF(原始经营数据!$D2841="","",原始经营数据!$F2841)</f>
        <v/>
      </c>
      <c r="D2840" t="str">
        <f>IF(原始经营数据!$D2841="","",原始经营数据!$H2841)</f>
        <v/>
      </c>
      <c r="E2840" t="str">
        <f>IF(原始经营数据!$D2841="","",原始经营数据!$I2841)</f>
        <v/>
      </c>
      <c r="F2840" t="str">
        <f>IF(原始经营数据!$D2841="","",T(原始经营数据!$J2841))</f>
        <v/>
      </c>
      <c r="G2840" t="str">
        <f>IF(原始经营数据!$D2841="","",T(原始经营数据!$K2841))</f>
        <v/>
      </c>
      <c r="H2840" t="str">
        <f>IF(原始经营数据!$D2841="","",原始经营数据!$G2841)</f>
        <v/>
      </c>
      <c r="I2840" t="str">
        <f>IF($A2840="","",IF($B2840&lt;&gt;"",$B2840,IF(COUNTIFS(原始经营数据!$D$3:$D$3001,$A2840,原始经营数据!$E$3:$E$3001,"",原始经营数据!$F$3:$F$3001,$C2840,原始经营数据!$H$3:$H$3001,$D2840,原始经营数据!$K$3:$K$3001,$G2840)&gt;1,"基金整体·来源"&amp;原始经营数据!$A2841,"基金整体")))</f>
        <v/>
      </c>
      <c r="J2840" t="str">
        <f t="shared" si="663"/>
        <v/>
      </c>
      <c r="K2840" t="str">
        <f t="shared" si="664"/>
        <v/>
      </c>
      <c r="L2840" t="str">
        <f t="shared" si="665"/>
        <v/>
      </c>
      <c r="M2840">
        <f>IF($A2840="",0,IF(COUNTIF($L$2:$L2840,$L2840)=1,1,0))</f>
        <v>0</v>
      </c>
      <c r="N2840" t="str">
        <f t="shared" si="666"/>
        <v/>
      </c>
      <c r="O2840" t="str">
        <f t="shared" si="667"/>
        <v/>
      </c>
      <c r="P2840">
        <f>IF($A2840="",0,IF(COUNTIF($O$2:$O2840,$O2840)=1,1,0))</f>
        <v>0</v>
      </c>
      <c r="Q2840" t="str">
        <f>IF(AND($P2840=1,$A2840=经营数据!$B$3,$J2840=经营数据!$BA$5),COUNTIFS($P$2:$P$3000,1,$A$2:$A$3000,$A2840,$J$2:$J$3000,$J2840,$N$2:$N$3000,"&lt;"&amp;$N2840)+1,"")</f>
        <v/>
      </c>
      <c r="R2840" t="str">
        <f t="shared" si="668"/>
        <v/>
      </c>
      <c r="S2840">
        <f>IF($A2840="",0,IF(COUNTIF($R$2:$R2840,$R2840)=1,1,0))</f>
        <v>0</v>
      </c>
      <c r="T2840" t="str">
        <f t="shared" si="669"/>
        <v/>
      </c>
      <c r="U2840" t="str">
        <f>IF($A2840="","",IF($A2840=经营数据!$B$3,COUNTIFS($S$2:$S$3000,1,$A$2:$A$3000,$A2840,$T$2:$T$3000,"&lt;"&amp;$T2840)+1,""))</f>
        <v/>
      </c>
      <c r="V2840" t="str">
        <f t="shared" si="670"/>
        <v/>
      </c>
      <c r="W2840" t="str">
        <f t="shared" si="671"/>
        <v/>
      </c>
      <c r="X2840" t="str">
        <f t="shared" si="672"/>
        <v/>
      </c>
      <c r="Y2840" t="str">
        <f t="shared" si="673"/>
        <v/>
      </c>
      <c r="Z2840">
        <f>IF($A2840="",0,IF(AND($M2840=1,$A2840=经营数据!$B$3,$J2840=经营数据!$BA$5,OR($I2840=经营数据!$BA$4,COUNTIF(经营数据!$AA$9:$AA$38,$I2840)&gt;0)),1,0))</f>
        <v>0</v>
      </c>
      <c r="AA2840" t="str">
        <f t="shared" si="674"/>
        <v/>
      </c>
      <c r="AB2840" t="str">
        <f t="shared" si="675"/>
        <v/>
      </c>
      <c r="AC2840">
        <f>IF($A2840="",0,IF(COUNTIF($A$2:$A2840,$A2840)=1,1,0))</f>
        <v>0</v>
      </c>
      <c r="AD2840">
        <f t="shared" si="676"/>
        <v>29</v>
      </c>
      <c r="AE2840" t="str">
        <f t="shared" si="677"/>
        <v/>
      </c>
    </row>
    <row r="2841" spans="1:31" x14ac:dyDescent="0.4">
      <c r="A2841" t="str">
        <f>IF(原始经营数据!$D2842="","",原始经营数据!$D2842)</f>
        <v/>
      </c>
      <c r="B2841" t="str">
        <f>IF(原始经营数据!$D2842="","",T(原始经营数据!$E2842))</f>
        <v/>
      </c>
      <c r="C2841" t="str">
        <f>IF(原始经营数据!$D2842="","",原始经营数据!$F2842)</f>
        <v/>
      </c>
      <c r="D2841" t="str">
        <f>IF(原始经营数据!$D2842="","",原始经营数据!$H2842)</f>
        <v/>
      </c>
      <c r="E2841" t="str">
        <f>IF(原始经营数据!$D2842="","",原始经营数据!$I2842)</f>
        <v/>
      </c>
      <c r="F2841" t="str">
        <f>IF(原始经营数据!$D2842="","",T(原始经营数据!$J2842))</f>
        <v/>
      </c>
      <c r="G2841" t="str">
        <f>IF(原始经营数据!$D2842="","",T(原始经营数据!$K2842))</f>
        <v/>
      </c>
      <c r="H2841" t="str">
        <f>IF(原始经营数据!$D2842="","",原始经营数据!$G2842)</f>
        <v/>
      </c>
      <c r="I2841" t="str">
        <f>IF($A2841="","",IF($B2841&lt;&gt;"",$B2841,IF(COUNTIFS(原始经营数据!$D$3:$D$3001,$A2841,原始经营数据!$E$3:$E$3001,"",原始经营数据!$F$3:$F$3001,$C2841,原始经营数据!$H$3:$H$3001,$D2841,原始经营数据!$K$3:$K$3001,$G2841)&gt;1,"基金整体·来源"&amp;原始经营数据!$A2842,"基金整体")))</f>
        <v/>
      </c>
      <c r="J2841" t="str">
        <f t="shared" si="663"/>
        <v/>
      </c>
      <c r="K2841" t="str">
        <f t="shared" si="664"/>
        <v/>
      </c>
      <c r="L2841" t="str">
        <f t="shared" si="665"/>
        <v/>
      </c>
      <c r="M2841">
        <f>IF($A2841="",0,IF(COUNTIF($L$2:$L2841,$L2841)=1,1,0))</f>
        <v>0</v>
      </c>
      <c r="N2841" t="str">
        <f t="shared" si="666"/>
        <v/>
      </c>
      <c r="O2841" t="str">
        <f t="shared" si="667"/>
        <v/>
      </c>
      <c r="P2841">
        <f>IF($A2841="",0,IF(COUNTIF($O$2:$O2841,$O2841)=1,1,0))</f>
        <v>0</v>
      </c>
      <c r="Q2841" t="str">
        <f>IF(AND($P2841=1,$A2841=经营数据!$B$3,$J2841=经营数据!$BA$5),COUNTIFS($P$2:$P$3000,1,$A$2:$A$3000,$A2841,$J$2:$J$3000,$J2841,$N$2:$N$3000,"&lt;"&amp;$N2841)+1,"")</f>
        <v/>
      </c>
      <c r="R2841" t="str">
        <f t="shared" si="668"/>
        <v/>
      </c>
      <c r="S2841">
        <f>IF($A2841="",0,IF(COUNTIF($R$2:$R2841,$R2841)=1,1,0))</f>
        <v>0</v>
      </c>
      <c r="T2841" t="str">
        <f t="shared" si="669"/>
        <v/>
      </c>
      <c r="U2841" t="str">
        <f>IF($A2841="","",IF($A2841=经营数据!$B$3,COUNTIFS($S$2:$S$3000,1,$A$2:$A$3000,$A2841,$T$2:$T$3000,"&lt;"&amp;$T2841)+1,""))</f>
        <v/>
      </c>
      <c r="V2841" t="str">
        <f t="shared" si="670"/>
        <v/>
      </c>
      <c r="W2841" t="str">
        <f t="shared" si="671"/>
        <v/>
      </c>
      <c r="X2841" t="str">
        <f t="shared" si="672"/>
        <v/>
      </c>
      <c r="Y2841" t="str">
        <f t="shared" si="673"/>
        <v/>
      </c>
      <c r="Z2841">
        <f>IF($A2841="",0,IF(AND($M2841=1,$A2841=经营数据!$B$3,$J2841=经营数据!$BA$5,OR($I2841=经营数据!$BA$4,COUNTIF(经营数据!$AA$9:$AA$38,$I2841)&gt;0)),1,0))</f>
        <v>0</v>
      </c>
      <c r="AA2841" t="str">
        <f t="shared" si="674"/>
        <v/>
      </c>
      <c r="AB2841" t="str">
        <f t="shared" si="675"/>
        <v/>
      </c>
      <c r="AC2841">
        <f>IF($A2841="",0,IF(COUNTIF($A$2:$A2841,$A2841)=1,1,0))</f>
        <v>0</v>
      </c>
      <c r="AD2841">
        <f t="shared" si="676"/>
        <v>29</v>
      </c>
      <c r="AE2841" t="str">
        <f t="shared" si="677"/>
        <v/>
      </c>
    </row>
    <row r="2842" spans="1:31" x14ac:dyDescent="0.4">
      <c r="A2842" t="str">
        <f>IF(原始经营数据!$D2843="","",原始经营数据!$D2843)</f>
        <v/>
      </c>
      <c r="B2842" t="str">
        <f>IF(原始经营数据!$D2843="","",T(原始经营数据!$E2843))</f>
        <v/>
      </c>
      <c r="C2842" t="str">
        <f>IF(原始经营数据!$D2843="","",原始经营数据!$F2843)</f>
        <v/>
      </c>
      <c r="D2842" t="str">
        <f>IF(原始经营数据!$D2843="","",原始经营数据!$H2843)</f>
        <v/>
      </c>
      <c r="E2842" t="str">
        <f>IF(原始经营数据!$D2843="","",原始经营数据!$I2843)</f>
        <v/>
      </c>
      <c r="F2842" t="str">
        <f>IF(原始经营数据!$D2843="","",T(原始经营数据!$J2843))</f>
        <v/>
      </c>
      <c r="G2842" t="str">
        <f>IF(原始经营数据!$D2843="","",T(原始经营数据!$K2843))</f>
        <v/>
      </c>
      <c r="H2842" t="str">
        <f>IF(原始经营数据!$D2843="","",原始经营数据!$G2843)</f>
        <v/>
      </c>
      <c r="I2842" t="str">
        <f>IF($A2842="","",IF($B2842&lt;&gt;"",$B2842,IF(COUNTIFS(原始经营数据!$D$3:$D$3001,$A2842,原始经营数据!$E$3:$E$3001,"",原始经营数据!$F$3:$F$3001,$C2842,原始经营数据!$H$3:$H$3001,$D2842,原始经营数据!$K$3:$K$3001,$G2842)&gt;1,"基金整体·来源"&amp;原始经营数据!$A2843,"基金整体")))</f>
        <v/>
      </c>
      <c r="J2842" t="str">
        <f t="shared" si="663"/>
        <v/>
      </c>
      <c r="K2842" t="str">
        <f t="shared" si="664"/>
        <v/>
      </c>
      <c r="L2842" t="str">
        <f t="shared" si="665"/>
        <v/>
      </c>
      <c r="M2842">
        <f>IF($A2842="",0,IF(COUNTIF($L$2:$L2842,$L2842)=1,1,0))</f>
        <v>0</v>
      </c>
      <c r="N2842" t="str">
        <f t="shared" si="666"/>
        <v/>
      </c>
      <c r="O2842" t="str">
        <f t="shared" si="667"/>
        <v/>
      </c>
      <c r="P2842">
        <f>IF($A2842="",0,IF(COUNTIF($O$2:$O2842,$O2842)=1,1,0))</f>
        <v>0</v>
      </c>
      <c r="Q2842" t="str">
        <f>IF(AND($P2842=1,$A2842=经营数据!$B$3,$J2842=经营数据!$BA$5),COUNTIFS($P$2:$P$3000,1,$A$2:$A$3000,$A2842,$J$2:$J$3000,$J2842,$N$2:$N$3000,"&lt;"&amp;$N2842)+1,"")</f>
        <v/>
      </c>
      <c r="R2842" t="str">
        <f t="shared" si="668"/>
        <v/>
      </c>
      <c r="S2842">
        <f>IF($A2842="",0,IF(COUNTIF($R$2:$R2842,$R2842)=1,1,0))</f>
        <v>0</v>
      </c>
      <c r="T2842" t="str">
        <f t="shared" si="669"/>
        <v/>
      </c>
      <c r="U2842" t="str">
        <f>IF($A2842="","",IF($A2842=经营数据!$B$3,COUNTIFS($S$2:$S$3000,1,$A$2:$A$3000,$A2842,$T$2:$T$3000,"&lt;"&amp;$T2842)+1,""))</f>
        <v/>
      </c>
      <c r="V2842" t="str">
        <f t="shared" si="670"/>
        <v/>
      </c>
      <c r="W2842" t="str">
        <f t="shared" si="671"/>
        <v/>
      </c>
      <c r="X2842" t="str">
        <f t="shared" si="672"/>
        <v/>
      </c>
      <c r="Y2842" t="str">
        <f t="shared" si="673"/>
        <v/>
      </c>
      <c r="Z2842">
        <f>IF($A2842="",0,IF(AND($M2842=1,$A2842=经营数据!$B$3,$J2842=经营数据!$BA$5,OR($I2842=经营数据!$BA$4,COUNTIF(经营数据!$AA$9:$AA$38,$I2842)&gt;0)),1,0))</f>
        <v>0</v>
      </c>
      <c r="AA2842" t="str">
        <f t="shared" si="674"/>
        <v/>
      </c>
      <c r="AB2842" t="str">
        <f t="shared" si="675"/>
        <v/>
      </c>
      <c r="AC2842">
        <f>IF($A2842="",0,IF(COUNTIF($A$2:$A2842,$A2842)=1,1,0))</f>
        <v>0</v>
      </c>
      <c r="AD2842">
        <f t="shared" si="676"/>
        <v>29</v>
      </c>
      <c r="AE2842" t="str">
        <f t="shared" si="677"/>
        <v/>
      </c>
    </row>
    <row r="2843" spans="1:31" x14ac:dyDescent="0.4">
      <c r="A2843" t="str">
        <f>IF(原始经营数据!$D2844="","",原始经营数据!$D2844)</f>
        <v/>
      </c>
      <c r="B2843" t="str">
        <f>IF(原始经营数据!$D2844="","",T(原始经营数据!$E2844))</f>
        <v/>
      </c>
      <c r="C2843" t="str">
        <f>IF(原始经营数据!$D2844="","",原始经营数据!$F2844)</f>
        <v/>
      </c>
      <c r="D2843" t="str">
        <f>IF(原始经营数据!$D2844="","",原始经营数据!$H2844)</f>
        <v/>
      </c>
      <c r="E2843" t="str">
        <f>IF(原始经营数据!$D2844="","",原始经营数据!$I2844)</f>
        <v/>
      </c>
      <c r="F2843" t="str">
        <f>IF(原始经营数据!$D2844="","",T(原始经营数据!$J2844))</f>
        <v/>
      </c>
      <c r="G2843" t="str">
        <f>IF(原始经营数据!$D2844="","",T(原始经营数据!$K2844))</f>
        <v/>
      </c>
      <c r="H2843" t="str">
        <f>IF(原始经营数据!$D2844="","",原始经营数据!$G2844)</f>
        <v/>
      </c>
      <c r="I2843" t="str">
        <f>IF($A2843="","",IF($B2843&lt;&gt;"",$B2843,IF(COUNTIFS(原始经营数据!$D$3:$D$3001,$A2843,原始经营数据!$E$3:$E$3001,"",原始经营数据!$F$3:$F$3001,$C2843,原始经营数据!$H$3:$H$3001,$D2843,原始经营数据!$K$3:$K$3001,$G2843)&gt;1,"基金整体·来源"&amp;原始经营数据!$A2844,"基金整体")))</f>
        <v/>
      </c>
      <c r="J2843" t="str">
        <f t="shared" si="663"/>
        <v/>
      </c>
      <c r="K2843" t="str">
        <f t="shared" si="664"/>
        <v/>
      </c>
      <c r="L2843" t="str">
        <f t="shared" si="665"/>
        <v/>
      </c>
      <c r="M2843">
        <f>IF($A2843="",0,IF(COUNTIF($L$2:$L2843,$L2843)=1,1,0))</f>
        <v>0</v>
      </c>
      <c r="N2843" t="str">
        <f t="shared" si="666"/>
        <v/>
      </c>
      <c r="O2843" t="str">
        <f t="shared" si="667"/>
        <v/>
      </c>
      <c r="P2843">
        <f>IF($A2843="",0,IF(COUNTIF($O$2:$O2843,$O2843)=1,1,0))</f>
        <v>0</v>
      </c>
      <c r="Q2843" t="str">
        <f>IF(AND($P2843=1,$A2843=经营数据!$B$3,$J2843=经营数据!$BA$5),COUNTIFS($P$2:$P$3000,1,$A$2:$A$3000,$A2843,$J$2:$J$3000,$J2843,$N$2:$N$3000,"&lt;"&amp;$N2843)+1,"")</f>
        <v/>
      </c>
      <c r="R2843" t="str">
        <f t="shared" si="668"/>
        <v/>
      </c>
      <c r="S2843">
        <f>IF($A2843="",0,IF(COUNTIF($R$2:$R2843,$R2843)=1,1,0))</f>
        <v>0</v>
      </c>
      <c r="T2843" t="str">
        <f t="shared" si="669"/>
        <v/>
      </c>
      <c r="U2843" t="str">
        <f>IF($A2843="","",IF($A2843=经营数据!$B$3,COUNTIFS($S$2:$S$3000,1,$A$2:$A$3000,$A2843,$T$2:$T$3000,"&lt;"&amp;$T2843)+1,""))</f>
        <v/>
      </c>
      <c r="V2843" t="str">
        <f t="shared" si="670"/>
        <v/>
      </c>
      <c r="W2843" t="str">
        <f t="shared" si="671"/>
        <v/>
      </c>
      <c r="X2843" t="str">
        <f t="shared" si="672"/>
        <v/>
      </c>
      <c r="Y2843" t="str">
        <f t="shared" si="673"/>
        <v/>
      </c>
      <c r="Z2843">
        <f>IF($A2843="",0,IF(AND($M2843=1,$A2843=经营数据!$B$3,$J2843=经营数据!$BA$5,OR($I2843=经营数据!$BA$4,COUNTIF(经营数据!$AA$9:$AA$38,$I2843)&gt;0)),1,0))</f>
        <v>0</v>
      </c>
      <c r="AA2843" t="str">
        <f t="shared" si="674"/>
        <v/>
      </c>
      <c r="AB2843" t="str">
        <f t="shared" si="675"/>
        <v/>
      </c>
      <c r="AC2843">
        <f>IF($A2843="",0,IF(COUNTIF($A$2:$A2843,$A2843)=1,1,0))</f>
        <v>0</v>
      </c>
      <c r="AD2843">
        <f t="shared" si="676"/>
        <v>29</v>
      </c>
      <c r="AE2843" t="str">
        <f t="shared" si="677"/>
        <v/>
      </c>
    </row>
    <row r="2844" spans="1:31" x14ac:dyDescent="0.4">
      <c r="A2844" t="str">
        <f>IF(原始经营数据!$D2845="","",原始经营数据!$D2845)</f>
        <v/>
      </c>
      <c r="B2844" t="str">
        <f>IF(原始经营数据!$D2845="","",T(原始经营数据!$E2845))</f>
        <v/>
      </c>
      <c r="C2844" t="str">
        <f>IF(原始经营数据!$D2845="","",原始经营数据!$F2845)</f>
        <v/>
      </c>
      <c r="D2844" t="str">
        <f>IF(原始经营数据!$D2845="","",原始经营数据!$H2845)</f>
        <v/>
      </c>
      <c r="E2844" t="str">
        <f>IF(原始经营数据!$D2845="","",原始经营数据!$I2845)</f>
        <v/>
      </c>
      <c r="F2844" t="str">
        <f>IF(原始经营数据!$D2845="","",T(原始经营数据!$J2845))</f>
        <v/>
      </c>
      <c r="G2844" t="str">
        <f>IF(原始经营数据!$D2845="","",T(原始经营数据!$K2845))</f>
        <v/>
      </c>
      <c r="H2844" t="str">
        <f>IF(原始经营数据!$D2845="","",原始经营数据!$G2845)</f>
        <v/>
      </c>
      <c r="I2844" t="str">
        <f>IF($A2844="","",IF($B2844&lt;&gt;"",$B2844,IF(COUNTIFS(原始经营数据!$D$3:$D$3001,$A2844,原始经营数据!$E$3:$E$3001,"",原始经营数据!$F$3:$F$3001,$C2844,原始经营数据!$H$3:$H$3001,$D2844,原始经营数据!$K$3:$K$3001,$G2844)&gt;1,"基金整体·来源"&amp;原始经营数据!$A2845,"基金整体")))</f>
        <v/>
      </c>
      <c r="J2844" t="str">
        <f t="shared" si="663"/>
        <v/>
      </c>
      <c r="K2844" t="str">
        <f t="shared" si="664"/>
        <v/>
      </c>
      <c r="L2844" t="str">
        <f t="shared" si="665"/>
        <v/>
      </c>
      <c r="M2844">
        <f>IF($A2844="",0,IF(COUNTIF($L$2:$L2844,$L2844)=1,1,0))</f>
        <v>0</v>
      </c>
      <c r="N2844" t="str">
        <f t="shared" si="666"/>
        <v/>
      </c>
      <c r="O2844" t="str">
        <f t="shared" si="667"/>
        <v/>
      </c>
      <c r="P2844">
        <f>IF($A2844="",0,IF(COUNTIF($O$2:$O2844,$O2844)=1,1,0))</f>
        <v>0</v>
      </c>
      <c r="Q2844" t="str">
        <f>IF(AND($P2844=1,$A2844=经营数据!$B$3,$J2844=经营数据!$BA$5),COUNTIFS($P$2:$P$3000,1,$A$2:$A$3000,$A2844,$J$2:$J$3000,$J2844,$N$2:$N$3000,"&lt;"&amp;$N2844)+1,"")</f>
        <v/>
      </c>
      <c r="R2844" t="str">
        <f t="shared" si="668"/>
        <v/>
      </c>
      <c r="S2844">
        <f>IF($A2844="",0,IF(COUNTIF($R$2:$R2844,$R2844)=1,1,0))</f>
        <v>0</v>
      </c>
      <c r="T2844" t="str">
        <f t="shared" si="669"/>
        <v/>
      </c>
      <c r="U2844" t="str">
        <f>IF($A2844="","",IF($A2844=经营数据!$B$3,COUNTIFS($S$2:$S$3000,1,$A$2:$A$3000,$A2844,$T$2:$T$3000,"&lt;"&amp;$T2844)+1,""))</f>
        <v/>
      </c>
      <c r="V2844" t="str">
        <f t="shared" si="670"/>
        <v/>
      </c>
      <c r="W2844" t="str">
        <f t="shared" si="671"/>
        <v/>
      </c>
      <c r="X2844" t="str">
        <f t="shared" si="672"/>
        <v/>
      </c>
      <c r="Y2844" t="str">
        <f t="shared" si="673"/>
        <v/>
      </c>
      <c r="Z2844">
        <f>IF($A2844="",0,IF(AND($M2844=1,$A2844=经营数据!$B$3,$J2844=经营数据!$BA$5,OR($I2844=经营数据!$BA$4,COUNTIF(经营数据!$AA$9:$AA$38,$I2844)&gt;0)),1,0))</f>
        <v>0</v>
      </c>
      <c r="AA2844" t="str">
        <f t="shared" si="674"/>
        <v/>
      </c>
      <c r="AB2844" t="str">
        <f t="shared" si="675"/>
        <v/>
      </c>
      <c r="AC2844">
        <f>IF($A2844="",0,IF(COUNTIF($A$2:$A2844,$A2844)=1,1,0))</f>
        <v>0</v>
      </c>
      <c r="AD2844">
        <f t="shared" si="676"/>
        <v>29</v>
      </c>
      <c r="AE2844" t="str">
        <f t="shared" si="677"/>
        <v/>
      </c>
    </row>
    <row r="2845" spans="1:31" x14ac:dyDescent="0.4">
      <c r="A2845" t="str">
        <f>IF(原始经营数据!$D2846="","",原始经营数据!$D2846)</f>
        <v/>
      </c>
      <c r="B2845" t="str">
        <f>IF(原始经营数据!$D2846="","",T(原始经营数据!$E2846))</f>
        <v/>
      </c>
      <c r="C2845" t="str">
        <f>IF(原始经营数据!$D2846="","",原始经营数据!$F2846)</f>
        <v/>
      </c>
      <c r="D2845" t="str">
        <f>IF(原始经营数据!$D2846="","",原始经营数据!$H2846)</f>
        <v/>
      </c>
      <c r="E2845" t="str">
        <f>IF(原始经营数据!$D2846="","",原始经营数据!$I2846)</f>
        <v/>
      </c>
      <c r="F2845" t="str">
        <f>IF(原始经营数据!$D2846="","",T(原始经营数据!$J2846))</f>
        <v/>
      </c>
      <c r="G2845" t="str">
        <f>IF(原始经营数据!$D2846="","",T(原始经营数据!$K2846))</f>
        <v/>
      </c>
      <c r="H2845" t="str">
        <f>IF(原始经营数据!$D2846="","",原始经营数据!$G2846)</f>
        <v/>
      </c>
      <c r="I2845" t="str">
        <f>IF($A2845="","",IF($B2845&lt;&gt;"",$B2845,IF(COUNTIFS(原始经营数据!$D$3:$D$3001,$A2845,原始经营数据!$E$3:$E$3001,"",原始经营数据!$F$3:$F$3001,$C2845,原始经营数据!$H$3:$H$3001,$D2845,原始经营数据!$K$3:$K$3001,$G2845)&gt;1,"基金整体·来源"&amp;原始经营数据!$A2846,"基金整体")))</f>
        <v/>
      </c>
      <c r="J2845" t="str">
        <f t="shared" si="663"/>
        <v/>
      </c>
      <c r="K2845" t="str">
        <f t="shared" si="664"/>
        <v/>
      </c>
      <c r="L2845" t="str">
        <f t="shared" si="665"/>
        <v/>
      </c>
      <c r="M2845">
        <f>IF($A2845="",0,IF(COUNTIF($L$2:$L2845,$L2845)=1,1,0))</f>
        <v>0</v>
      </c>
      <c r="N2845" t="str">
        <f t="shared" si="666"/>
        <v/>
      </c>
      <c r="O2845" t="str">
        <f t="shared" si="667"/>
        <v/>
      </c>
      <c r="P2845">
        <f>IF($A2845="",0,IF(COUNTIF($O$2:$O2845,$O2845)=1,1,0))</f>
        <v>0</v>
      </c>
      <c r="Q2845" t="str">
        <f>IF(AND($P2845=1,$A2845=经营数据!$B$3,$J2845=经营数据!$BA$5),COUNTIFS($P$2:$P$3000,1,$A$2:$A$3000,$A2845,$J$2:$J$3000,$J2845,$N$2:$N$3000,"&lt;"&amp;$N2845)+1,"")</f>
        <v/>
      </c>
      <c r="R2845" t="str">
        <f t="shared" si="668"/>
        <v/>
      </c>
      <c r="S2845">
        <f>IF($A2845="",0,IF(COUNTIF($R$2:$R2845,$R2845)=1,1,0))</f>
        <v>0</v>
      </c>
      <c r="T2845" t="str">
        <f t="shared" si="669"/>
        <v/>
      </c>
      <c r="U2845" t="str">
        <f>IF($A2845="","",IF($A2845=经营数据!$B$3,COUNTIFS($S$2:$S$3000,1,$A$2:$A$3000,$A2845,$T$2:$T$3000,"&lt;"&amp;$T2845)+1,""))</f>
        <v/>
      </c>
      <c r="V2845" t="str">
        <f t="shared" si="670"/>
        <v/>
      </c>
      <c r="W2845" t="str">
        <f t="shared" si="671"/>
        <v/>
      </c>
      <c r="X2845" t="str">
        <f t="shared" si="672"/>
        <v/>
      </c>
      <c r="Y2845" t="str">
        <f t="shared" si="673"/>
        <v/>
      </c>
      <c r="Z2845">
        <f>IF($A2845="",0,IF(AND($M2845=1,$A2845=经营数据!$B$3,$J2845=经营数据!$BA$5,OR($I2845=经营数据!$BA$4,COUNTIF(经营数据!$AA$9:$AA$38,$I2845)&gt;0)),1,0))</f>
        <v>0</v>
      </c>
      <c r="AA2845" t="str">
        <f t="shared" si="674"/>
        <v/>
      </c>
      <c r="AB2845" t="str">
        <f t="shared" si="675"/>
        <v/>
      </c>
      <c r="AC2845">
        <f>IF($A2845="",0,IF(COUNTIF($A$2:$A2845,$A2845)=1,1,0))</f>
        <v>0</v>
      </c>
      <c r="AD2845">
        <f t="shared" si="676"/>
        <v>29</v>
      </c>
      <c r="AE2845" t="str">
        <f t="shared" si="677"/>
        <v/>
      </c>
    </row>
    <row r="2846" spans="1:31" x14ac:dyDescent="0.4">
      <c r="A2846" t="str">
        <f>IF(原始经营数据!$D2847="","",原始经营数据!$D2847)</f>
        <v/>
      </c>
      <c r="B2846" t="str">
        <f>IF(原始经营数据!$D2847="","",T(原始经营数据!$E2847))</f>
        <v/>
      </c>
      <c r="C2846" t="str">
        <f>IF(原始经营数据!$D2847="","",原始经营数据!$F2847)</f>
        <v/>
      </c>
      <c r="D2846" t="str">
        <f>IF(原始经营数据!$D2847="","",原始经营数据!$H2847)</f>
        <v/>
      </c>
      <c r="E2846" t="str">
        <f>IF(原始经营数据!$D2847="","",原始经营数据!$I2847)</f>
        <v/>
      </c>
      <c r="F2846" t="str">
        <f>IF(原始经营数据!$D2847="","",T(原始经营数据!$J2847))</f>
        <v/>
      </c>
      <c r="G2846" t="str">
        <f>IF(原始经营数据!$D2847="","",T(原始经营数据!$K2847))</f>
        <v/>
      </c>
      <c r="H2846" t="str">
        <f>IF(原始经营数据!$D2847="","",原始经营数据!$G2847)</f>
        <v/>
      </c>
      <c r="I2846" t="str">
        <f>IF($A2846="","",IF($B2846&lt;&gt;"",$B2846,IF(COUNTIFS(原始经营数据!$D$3:$D$3001,$A2846,原始经营数据!$E$3:$E$3001,"",原始经营数据!$F$3:$F$3001,$C2846,原始经营数据!$H$3:$H$3001,$D2846,原始经营数据!$K$3:$K$3001,$G2846)&gt;1,"基金整体·来源"&amp;原始经营数据!$A2847,"基金整体")))</f>
        <v/>
      </c>
      <c r="J2846" t="str">
        <f t="shared" si="663"/>
        <v/>
      </c>
      <c r="K2846" t="str">
        <f t="shared" si="664"/>
        <v/>
      </c>
      <c r="L2846" t="str">
        <f t="shared" si="665"/>
        <v/>
      </c>
      <c r="M2846">
        <f>IF($A2846="",0,IF(COUNTIF($L$2:$L2846,$L2846)=1,1,0))</f>
        <v>0</v>
      </c>
      <c r="N2846" t="str">
        <f t="shared" si="666"/>
        <v/>
      </c>
      <c r="O2846" t="str">
        <f t="shared" si="667"/>
        <v/>
      </c>
      <c r="P2846">
        <f>IF($A2846="",0,IF(COUNTIF($O$2:$O2846,$O2846)=1,1,0))</f>
        <v>0</v>
      </c>
      <c r="Q2846" t="str">
        <f>IF(AND($P2846=1,$A2846=经营数据!$B$3,$J2846=经营数据!$BA$5),COUNTIFS($P$2:$P$3000,1,$A$2:$A$3000,$A2846,$J$2:$J$3000,$J2846,$N$2:$N$3000,"&lt;"&amp;$N2846)+1,"")</f>
        <v/>
      </c>
      <c r="R2846" t="str">
        <f t="shared" si="668"/>
        <v/>
      </c>
      <c r="S2846">
        <f>IF($A2846="",0,IF(COUNTIF($R$2:$R2846,$R2846)=1,1,0))</f>
        <v>0</v>
      </c>
      <c r="T2846" t="str">
        <f t="shared" si="669"/>
        <v/>
      </c>
      <c r="U2846" t="str">
        <f>IF($A2846="","",IF($A2846=经营数据!$B$3,COUNTIFS($S$2:$S$3000,1,$A$2:$A$3000,$A2846,$T$2:$T$3000,"&lt;"&amp;$T2846)+1,""))</f>
        <v/>
      </c>
      <c r="V2846" t="str">
        <f t="shared" si="670"/>
        <v/>
      </c>
      <c r="W2846" t="str">
        <f t="shared" si="671"/>
        <v/>
      </c>
      <c r="X2846" t="str">
        <f t="shared" si="672"/>
        <v/>
      </c>
      <c r="Y2846" t="str">
        <f t="shared" si="673"/>
        <v/>
      </c>
      <c r="Z2846">
        <f>IF($A2846="",0,IF(AND($M2846=1,$A2846=经营数据!$B$3,$J2846=经营数据!$BA$5,OR($I2846=经营数据!$BA$4,COUNTIF(经营数据!$AA$9:$AA$38,$I2846)&gt;0)),1,0))</f>
        <v>0</v>
      </c>
      <c r="AA2846" t="str">
        <f t="shared" si="674"/>
        <v/>
      </c>
      <c r="AB2846" t="str">
        <f t="shared" si="675"/>
        <v/>
      </c>
      <c r="AC2846">
        <f>IF($A2846="",0,IF(COUNTIF($A$2:$A2846,$A2846)=1,1,0))</f>
        <v>0</v>
      </c>
      <c r="AD2846">
        <f t="shared" si="676"/>
        <v>29</v>
      </c>
      <c r="AE2846" t="str">
        <f t="shared" si="677"/>
        <v/>
      </c>
    </row>
    <row r="2847" spans="1:31" x14ac:dyDescent="0.4">
      <c r="A2847" t="str">
        <f>IF(原始经营数据!$D2848="","",原始经营数据!$D2848)</f>
        <v/>
      </c>
      <c r="B2847" t="str">
        <f>IF(原始经营数据!$D2848="","",T(原始经营数据!$E2848))</f>
        <v/>
      </c>
      <c r="C2847" t="str">
        <f>IF(原始经营数据!$D2848="","",原始经营数据!$F2848)</f>
        <v/>
      </c>
      <c r="D2847" t="str">
        <f>IF(原始经营数据!$D2848="","",原始经营数据!$H2848)</f>
        <v/>
      </c>
      <c r="E2847" t="str">
        <f>IF(原始经营数据!$D2848="","",原始经营数据!$I2848)</f>
        <v/>
      </c>
      <c r="F2847" t="str">
        <f>IF(原始经营数据!$D2848="","",T(原始经营数据!$J2848))</f>
        <v/>
      </c>
      <c r="G2847" t="str">
        <f>IF(原始经营数据!$D2848="","",T(原始经营数据!$K2848))</f>
        <v/>
      </c>
      <c r="H2847" t="str">
        <f>IF(原始经营数据!$D2848="","",原始经营数据!$G2848)</f>
        <v/>
      </c>
      <c r="I2847" t="str">
        <f>IF($A2847="","",IF($B2847&lt;&gt;"",$B2847,IF(COUNTIFS(原始经营数据!$D$3:$D$3001,$A2847,原始经营数据!$E$3:$E$3001,"",原始经营数据!$F$3:$F$3001,$C2847,原始经营数据!$H$3:$H$3001,$D2847,原始经营数据!$K$3:$K$3001,$G2847)&gt;1,"基金整体·来源"&amp;原始经营数据!$A2848,"基金整体")))</f>
        <v/>
      </c>
      <c r="J2847" t="str">
        <f t="shared" si="663"/>
        <v/>
      </c>
      <c r="K2847" t="str">
        <f t="shared" si="664"/>
        <v/>
      </c>
      <c r="L2847" t="str">
        <f t="shared" si="665"/>
        <v/>
      </c>
      <c r="M2847">
        <f>IF($A2847="",0,IF(COUNTIF($L$2:$L2847,$L2847)=1,1,0))</f>
        <v>0</v>
      </c>
      <c r="N2847" t="str">
        <f t="shared" si="666"/>
        <v/>
      </c>
      <c r="O2847" t="str">
        <f t="shared" si="667"/>
        <v/>
      </c>
      <c r="P2847">
        <f>IF($A2847="",0,IF(COUNTIF($O$2:$O2847,$O2847)=1,1,0))</f>
        <v>0</v>
      </c>
      <c r="Q2847" t="str">
        <f>IF(AND($P2847=1,$A2847=经营数据!$B$3,$J2847=经营数据!$BA$5),COUNTIFS($P$2:$P$3000,1,$A$2:$A$3000,$A2847,$J$2:$J$3000,$J2847,$N$2:$N$3000,"&lt;"&amp;$N2847)+1,"")</f>
        <v/>
      </c>
      <c r="R2847" t="str">
        <f t="shared" si="668"/>
        <v/>
      </c>
      <c r="S2847">
        <f>IF($A2847="",0,IF(COUNTIF($R$2:$R2847,$R2847)=1,1,0))</f>
        <v>0</v>
      </c>
      <c r="T2847" t="str">
        <f t="shared" si="669"/>
        <v/>
      </c>
      <c r="U2847" t="str">
        <f>IF($A2847="","",IF($A2847=经营数据!$B$3,COUNTIFS($S$2:$S$3000,1,$A$2:$A$3000,$A2847,$T$2:$T$3000,"&lt;"&amp;$T2847)+1,""))</f>
        <v/>
      </c>
      <c r="V2847" t="str">
        <f t="shared" si="670"/>
        <v/>
      </c>
      <c r="W2847" t="str">
        <f t="shared" si="671"/>
        <v/>
      </c>
      <c r="X2847" t="str">
        <f t="shared" si="672"/>
        <v/>
      </c>
      <c r="Y2847" t="str">
        <f t="shared" si="673"/>
        <v/>
      </c>
      <c r="Z2847">
        <f>IF($A2847="",0,IF(AND($M2847=1,$A2847=经营数据!$B$3,$J2847=经营数据!$BA$5,OR($I2847=经营数据!$BA$4,COUNTIF(经营数据!$AA$9:$AA$38,$I2847)&gt;0)),1,0))</f>
        <v>0</v>
      </c>
      <c r="AA2847" t="str">
        <f t="shared" si="674"/>
        <v/>
      </c>
      <c r="AB2847" t="str">
        <f t="shared" si="675"/>
        <v/>
      </c>
      <c r="AC2847">
        <f>IF($A2847="",0,IF(COUNTIF($A$2:$A2847,$A2847)=1,1,0))</f>
        <v>0</v>
      </c>
      <c r="AD2847">
        <f t="shared" si="676"/>
        <v>29</v>
      </c>
      <c r="AE2847" t="str">
        <f t="shared" si="677"/>
        <v/>
      </c>
    </row>
    <row r="2848" spans="1:31" x14ac:dyDescent="0.4">
      <c r="A2848" t="str">
        <f>IF(原始经营数据!$D2849="","",原始经营数据!$D2849)</f>
        <v/>
      </c>
      <c r="B2848" t="str">
        <f>IF(原始经营数据!$D2849="","",T(原始经营数据!$E2849))</f>
        <v/>
      </c>
      <c r="C2848" t="str">
        <f>IF(原始经营数据!$D2849="","",原始经营数据!$F2849)</f>
        <v/>
      </c>
      <c r="D2848" t="str">
        <f>IF(原始经营数据!$D2849="","",原始经营数据!$H2849)</f>
        <v/>
      </c>
      <c r="E2848" t="str">
        <f>IF(原始经营数据!$D2849="","",原始经营数据!$I2849)</f>
        <v/>
      </c>
      <c r="F2848" t="str">
        <f>IF(原始经营数据!$D2849="","",T(原始经营数据!$J2849))</f>
        <v/>
      </c>
      <c r="G2848" t="str">
        <f>IF(原始经营数据!$D2849="","",T(原始经营数据!$K2849))</f>
        <v/>
      </c>
      <c r="H2848" t="str">
        <f>IF(原始经营数据!$D2849="","",原始经营数据!$G2849)</f>
        <v/>
      </c>
      <c r="I2848" t="str">
        <f>IF($A2848="","",IF($B2848&lt;&gt;"",$B2848,IF(COUNTIFS(原始经营数据!$D$3:$D$3001,$A2848,原始经营数据!$E$3:$E$3001,"",原始经营数据!$F$3:$F$3001,$C2848,原始经营数据!$H$3:$H$3001,$D2848,原始经营数据!$K$3:$K$3001,$G2848)&gt;1,"基金整体·来源"&amp;原始经营数据!$A2849,"基金整体")))</f>
        <v/>
      </c>
      <c r="J2848" t="str">
        <f t="shared" si="663"/>
        <v/>
      </c>
      <c r="K2848" t="str">
        <f t="shared" si="664"/>
        <v/>
      </c>
      <c r="L2848" t="str">
        <f t="shared" si="665"/>
        <v/>
      </c>
      <c r="M2848">
        <f>IF($A2848="",0,IF(COUNTIF($L$2:$L2848,$L2848)=1,1,0))</f>
        <v>0</v>
      </c>
      <c r="N2848" t="str">
        <f t="shared" si="666"/>
        <v/>
      </c>
      <c r="O2848" t="str">
        <f t="shared" si="667"/>
        <v/>
      </c>
      <c r="P2848">
        <f>IF($A2848="",0,IF(COUNTIF($O$2:$O2848,$O2848)=1,1,0))</f>
        <v>0</v>
      </c>
      <c r="Q2848" t="str">
        <f>IF(AND($P2848=1,$A2848=经营数据!$B$3,$J2848=经营数据!$BA$5),COUNTIFS($P$2:$P$3000,1,$A$2:$A$3000,$A2848,$J$2:$J$3000,$J2848,$N$2:$N$3000,"&lt;"&amp;$N2848)+1,"")</f>
        <v/>
      </c>
      <c r="R2848" t="str">
        <f t="shared" si="668"/>
        <v/>
      </c>
      <c r="S2848">
        <f>IF($A2848="",0,IF(COUNTIF($R$2:$R2848,$R2848)=1,1,0))</f>
        <v>0</v>
      </c>
      <c r="T2848" t="str">
        <f t="shared" si="669"/>
        <v/>
      </c>
      <c r="U2848" t="str">
        <f>IF($A2848="","",IF($A2848=经营数据!$B$3,COUNTIFS($S$2:$S$3000,1,$A$2:$A$3000,$A2848,$T$2:$T$3000,"&lt;"&amp;$T2848)+1,""))</f>
        <v/>
      </c>
      <c r="V2848" t="str">
        <f t="shared" si="670"/>
        <v/>
      </c>
      <c r="W2848" t="str">
        <f t="shared" si="671"/>
        <v/>
      </c>
      <c r="X2848" t="str">
        <f t="shared" si="672"/>
        <v/>
      </c>
      <c r="Y2848" t="str">
        <f t="shared" si="673"/>
        <v/>
      </c>
      <c r="Z2848">
        <f>IF($A2848="",0,IF(AND($M2848=1,$A2848=经营数据!$B$3,$J2848=经营数据!$BA$5,OR($I2848=经营数据!$BA$4,COUNTIF(经营数据!$AA$9:$AA$38,$I2848)&gt;0)),1,0))</f>
        <v>0</v>
      </c>
      <c r="AA2848" t="str">
        <f t="shared" si="674"/>
        <v/>
      </c>
      <c r="AB2848" t="str">
        <f t="shared" si="675"/>
        <v/>
      </c>
      <c r="AC2848">
        <f>IF($A2848="",0,IF(COUNTIF($A$2:$A2848,$A2848)=1,1,0))</f>
        <v>0</v>
      </c>
      <c r="AD2848">
        <f t="shared" si="676"/>
        <v>29</v>
      </c>
      <c r="AE2848" t="str">
        <f t="shared" si="677"/>
        <v/>
      </c>
    </row>
    <row r="2849" spans="1:31" x14ac:dyDescent="0.4">
      <c r="A2849" t="str">
        <f>IF(原始经营数据!$D2850="","",原始经营数据!$D2850)</f>
        <v/>
      </c>
      <c r="B2849" t="str">
        <f>IF(原始经营数据!$D2850="","",T(原始经营数据!$E2850))</f>
        <v/>
      </c>
      <c r="C2849" t="str">
        <f>IF(原始经营数据!$D2850="","",原始经营数据!$F2850)</f>
        <v/>
      </c>
      <c r="D2849" t="str">
        <f>IF(原始经营数据!$D2850="","",原始经营数据!$H2850)</f>
        <v/>
      </c>
      <c r="E2849" t="str">
        <f>IF(原始经营数据!$D2850="","",原始经营数据!$I2850)</f>
        <v/>
      </c>
      <c r="F2849" t="str">
        <f>IF(原始经营数据!$D2850="","",T(原始经营数据!$J2850))</f>
        <v/>
      </c>
      <c r="G2849" t="str">
        <f>IF(原始经营数据!$D2850="","",T(原始经营数据!$K2850))</f>
        <v/>
      </c>
      <c r="H2849" t="str">
        <f>IF(原始经营数据!$D2850="","",原始经营数据!$G2850)</f>
        <v/>
      </c>
      <c r="I2849" t="str">
        <f>IF($A2849="","",IF($B2849&lt;&gt;"",$B2849,IF(COUNTIFS(原始经营数据!$D$3:$D$3001,$A2849,原始经营数据!$E$3:$E$3001,"",原始经营数据!$F$3:$F$3001,$C2849,原始经营数据!$H$3:$H$3001,$D2849,原始经营数据!$K$3:$K$3001,$G2849)&gt;1,"基金整体·来源"&amp;原始经营数据!$A2850,"基金整体")))</f>
        <v/>
      </c>
      <c r="J2849" t="str">
        <f t="shared" si="663"/>
        <v/>
      </c>
      <c r="K2849" t="str">
        <f t="shared" si="664"/>
        <v/>
      </c>
      <c r="L2849" t="str">
        <f t="shared" si="665"/>
        <v/>
      </c>
      <c r="M2849">
        <f>IF($A2849="",0,IF(COUNTIF($L$2:$L2849,$L2849)=1,1,0))</f>
        <v>0</v>
      </c>
      <c r="N2849" t="str">
        <f t="shared" si="666"/>
        <v/>
      </c>
      <c r="O2849" t="str">
        <f t="shared" si="667"/>
        <v/>
      </c>
      <c r="P2849">
        <f>IF($A2849="",0,IF(COUNTIF($O$2:$O2849,$O2849)=1,1,0))</f>
        <v>0</v>
      </c>
      <c r="Q2849" t="str">
        <f>IF(AND($P2849=1,$A2849=经营数据!$B$3,$J2849=经营数据!$BA$5),COUNTIFS($P$2:$P$3000,1,$A$2:$A$3000,$A2849,$J$2:$J$3000,$J2849,$N$2:$N$3000,"&lt;"&amp;$N2849)+1,"")</f>
        <v/>
      </c>
      <c r="R2849" t="str">
        <f t="shared" si="668"/>
        <v/>
      </c>
      <c r="S2849">
        <f>IF($A2849="",0,IF(COUNTIF($R$2:$R2849,$R2849)=1,1,0))</f>
        <v>0</v>
      </c>
      <c r="T2849" t="str">
        <f t="shared" si="669"/>
        <v/>
      </c>
      <c r="U2849" t="str">
        <f>IF($A2849="","",IF($A2849=经营数据!$B$3,COUNTIFS($S$2:$S$3000,1,$A$2:$A$3000,$A2849,$T$2:$T$3000,"&lt;"&amp;$T2849)+1,""))</f>
        <v/>
      </c>
      <c r="V2849" t="str">
        <f t="shared" si="670"/>
        <v/>
      </c>
      <c r="W2849" t="str">
        <f t="shared" si="671"/>
        <v/>
      </c>
      <c r="X2849" t="str">
        <f t="shared" si="672"/>
        <v/>
      </c>
      <c r="Y2849" t="str">
        <f t="shared" si="673"/>
        <v/>
      </c>
      <c r="Z2849">
        <f>IF($A2849="",0,IF(AND($M2849=1,$A2849=经营数据!$B$3,$J2849=经营数据!$BA$5,OR($I2849=经营数据!$BA$4,COUNTIF(经营数据!$AA$9:$AA$38,$I2849)&gt;0)),1,0))</f>
        <v>0</v>
      </c>
      <c r="AA2849" t="str">
        <f t="shared" si="674"/>
        <v/>
      </c>
      <c r="AB2849" t="str">
        <f t="shared" si="675"/>
        <v/>
      </c>
      <c r="AC2849">
        <f>IF($A2849="",0,IF(COUNTIF($A$2:$A2849,$A2849)=1,1,0))</f>
        <v>0</v>
      </c>
      <c r="AD2849">
        <f t="shared" si="676"/>
        <v>29</v>
      </c>
      <c r="AE2849" t="str">
        <f t="shared" si="677"/>
        <v/>
      </c>
    </row>
    <row r="2850" spans="1:31" x14ac:dyDescent="0.4">
      <c r="A2850" t="str">
        <f>IF(原始经营数据!$D2851="","",原始经营数据!$D2851)</f>
        <v/>
      </c>
      <c r="B2850" t="str">
        <f>IF(原始经营数据!$D2851="","",T(原始经营数据!$E2851))</f>
        <v/>
      </c>
      <c r="C2850" t="str">
        <f>IF(原始经营数据!$D2851="","",原始经营数据!$F2851)</f>
        <v/>
      </c>
      <c r="D2850" t="str">
        <f>IF(原始经营数据!$D2851="","",原始经营数据!$H2851)</f>
        <v/>
      </c>
      <c r="E2850" t="str">
        <f>IF(原始经营数据!$D2851="","",原始经营数据!$I2851)</f>
        <v/>
      </c>
      <c r="F2850" t="str">
        <f>IF(原始经营数据!$D2851="","",T(原始经营数据!$J2851))</f>
        <v/>
      </c>
      <c r="G2850" t="str">
        <f>IF(原始经营数据!$D2851="","",T(原始经营数据!$K2851))</f>
        <v/>
      </c>
      <c r="H2850" t="str">
        <f>IF(原始经营数据!$D2851="","",原始经营数据!$G2851)</f>
        <v/>
      </c>
      <c r="I2850" t="str">
        <f>IF($A2850="","",IF($B2850&lt;&gt;"",$B2850,IF(COUNTIFS(原始经营数据!$D$3:$D$3001,$A2850,原始经营数据!$E$3:$E$3001,"",原始经营数据!$F$3:$F$3001,$C2850,原始经营数据!$H$3:$H$3001,$D2850,原始经营数据!$K$3:$K$3001,$G2850)&gt;1,"基金整体·来源"&amp;原始经营数据!$A2851,"基金整体")))</f>
        <v/>
      </c>
      <c r="J2850" t="str">
        <f t="shared" si="663"/>
        <v/>
      </c>
      <c r="K2850" t="str">
        <f t="shared" si="664"/>
        <v/>
      </c>
      <c r="L2850" t="str">
        <f t="shared" si="665"/>
        <v/>
      </c>
      <c r="M2850">
        <f>IF($A2850="",0,IF(COUNTIF($L$2:$L2850,$L2850)=1,1,0))</f>
        <v>0</v>
      </c>
      <c r="N2850" t="str">
        <f t="shared" si="666"/>
        <v/>
      </c>
      <c r="O2850" t="str">
        <f t="shared" si="667"/>
        <v/>
      </c>
      <c r="P2850">
        <f>IF($A2850="",0,IF(COUNTIF($O$2:$O2850,$O2850)=1,1,0))</f>
        <v>0</v>
      </c>
      <c r="Q2850" t="str">
        <f>IF(AND($P2850=1,$A2850=经营数据!$B$3,$J2850=经营数据!$BA$5),COUNTIFS($P$2:$P$3000,1,$A$2:$A$3000,$A2850,$J$2:$J$3000,$J2850,$N$2:$N$3000,"&lt;"&amp;$N2850)+1,"")</f>
        <v/>
      </c>
      <c r="R2850" t="str">
        <f t="shared" si="668"/>
        <v/>
      </c>
      <c r="S2850">
        <f>IF($A2850="",0,IF(COUNTIF($R$2:$R2850,$R2850)=1,1,0))</f>
        <v>0</v>
      </c>
      <c r="T2850" t="str">
        <f t="shared" si="669"/>
        <v/>
      </c>
      <c r="U2850" t="str">
        <f>IF($A2850="","",IF($A2850=经营数据!$B$3,COUNTIFS($S$2:$S$3000,1,$A$2:$A$3000,$A2850,$T$2:$T$3000,"&lt;"&amp;$T2850)+1,""))</f>
        <v/>
      </c>
      <c r="V2850" t="str">
        <f t="shared" si="670"/>
        <v/>
      </c>
      <c r="W2850" t="str">
        <f t="shared" si="671"/>
        <v/>
      </c>
      <c r="X2850" t="str">
        <f t="shared" si="672"/>
        <v/>
      </c>
      <c r="Y2850" t="str">
        <f t="shared" si="673"/>
        <v/>
      </c>
      <c r="Z2850">
        <f>IF($A2850="",0,IF(AND($M2850=1,$A2850=经营数据!$B$3,$J2850=经营数据!$BA$5,OR($I2850=经营数据!$BA$4,COUNTIF(经营数据!$AA$9:$AA$38,$I2850)&gt;0)),1,0))</f>
        <v>0</v>
      </c>
      <c r="AA2850" t="str">
        <f t="shared" si="674"/>
        <v/>
      </c>
      <c r="AB2850" t="str">
        <f t="shared" si="675"/>
        <v/>
      </c>
      <c r="AC2850">
        <f>IF($A2850="",0,IF(COUNTIF($A$2:$A2850,$A2850)=1,1,0))</f>
        <v>0</v>
      </c>
      <c r="AD2850">
        <f t="shared" si="676"/>
        <v>29</v>
      </c>
      <c r="AE2850" t="str">
        <f t="shared" si="677"/>
        <v/>
      </c>
    </row>
    <row r="2851" spans="1:31" x14ac:dyDescent="0.4">
      <c r="A2851" t="str">
        <f>IF(原始经营数据!$D2852="","",原始经营数据!$D2852)</f>
        <v/>
      </c>
      <c r="B2851" t="str">
        <f>IF(原始经营数据!$D2852="","",T(原始经营数据!$E2852))</f>
        <v/>
      </c>
      <c r="C2851" t="str">
        <f>IF(原始经营数据!$D2852="","",原始经营数据!$F2852)</f>
        <v/>
      </c>
      <c r="D2851" t="str">
        <f>IF(原始经营数据!$D2852="","",原始经营数据!$H2852)</f>
        <v/>
      </c>
      <c r="E2851" t="str">
        <f>IF(原始经营数据!$D2852="","",原始经营数据!$I2852)</f>
        <v/>
      </c>
      <c r="F2851" t="str">
        <f>IF(原始经营数据!$D2852="","",T(原始经营数据!$J2852))</f>
        <v/>
      </c>
      <c r="G2851" t="str">
        <f>IF(原始经营数据!$D2852="","",T(原始经营数据!$K2852))</f>
        <v/>
      </c>
      <c r="H2851" t="str">
        <f>IF(原始经营数据!$D2852="","",原始经营数据!$G2852)</f>
        <v/>
      </c>
      <c r="I2851" t="str">
        <f>IF($A2851="","",IF($B2851&lt;&gt;"",$B2851,IF(COUNTIFS(原始经营数据!$D$3:$D$3001,$A2851,原始经营数据!$E$3:$E$3001,"",原始经营数据!$F$3:$F$3001,$C2851,原始经营数据!$H$3:$H$3001,$D2851,原始经营数据!$K$3:$K$3001,$G2851)&gt;1,"基金整体·来源"&amp;原始经营数据!$A2852,"基金整体")))</f>
        <v/>
      </c>
      <c r="J2851" t="str">
        <f t="shared" si="663"/>
        <v/>
      </c>
      <c r="K2851" t="str">
        <f t="shared" si="664"/>
        <v/>
      </c>
      <c r="L2851" t="str">
        <f t="shared" si="665"/>
        <v/>
      </c>
      <c r="M2851">
        <f>IF($A2851="",0,IF(COUNTIF($L$2:$L2851,$L2851)=1,1,0))</f>
        <v>0</v>
      </c>
      <c r="N2851" t="str">
        <f t="shared" si="666"/>
        <v/>
      </c>
      <c r="O2851" t="str">
        <f t="shared" si="667"/>
        <v/>
      </c>
      <c r="P2851">
        <f>IF($A2851="",0,IF(COUNTIF($O$2:$O2851,$O2851)=1,1,0))</f>
        <v>0</v>
      </c>
      <c r="Q2851" t="str">
        <f>IF(AND($P2851=1,$A2851=经营数据!$B$3,$J2851=经营数据!$BA$5),COUNTIFS($P$2:$P$3000,1,$A$2:$A$3000,$A2851,$J$2:$J$3000,$J2851,$N$2:$N$3000,"&lt;"&amp;$N2851)+1,"")</f>
        <v/>
      </c>
      <c r="R2851" t="str">
        <f t="shared" si="668"/>
        <v/>
      </c>
      <c r="S2851">
        <f>IF($A2851="",0,IF(COUNTIF($R$2:$R2851,$R2851)=1,1,0))</f>
        <v>0</v>
      </c>
      <c r="T2851" t="str">
        <f t="shared" si="669"/>
        <v/>
      </c>
      <c r="U2851" t="str">
        <f>IF($A2851="","",IF($A2851=经营数据!$B$3,COUNTIFS($S$2:$S$3000,1,$A$2:$A$3000,$A2851,$T$2:$T$3000,"&lt;"&amp;$T2851)+1,""))</f>
        <v/>
      </c>
      <c r="V2851" t="str">
        <f t="shared" si="670"/>
        <v/>
      </c>
      <c r="W2851" t="str">
        <f t="shared" si="671"/>
        <v/>
      </c>
      <c r="X2851" t="str">
        <f t="shared" si="672"/>
        <v/>
      </c>
      <c r="Y2851" t="str">
        <f t="shared" si="673"/>
        <v/>
      </c>
      <c r="Z2851">
        <f>IF($A2851="",0,IF(AND($M2851=1,$A2851=经营数据!$B$3,$J2851=经营数据!$BA$5,OR($I2851=经营数据!$BA$4,COUNTIF(经营数据!$AA$9:$AA$38,$I2851)&gt;0)),1,0))</f>
        <v>0</v>
      </c>
      <c r="AA2851" t="str">
        <f t="shared" si="674"/>
        <v/>
      </c>
      <c r="AB2851" t="str">
        <f t="shared" si="675"/>
        <v/>
      </c>
      <c r="AC2851">
        <f>IF($A2851="",0,IF(COUNTIF($A$2:$A2851,$A2851)=1,1,0))</f>
        <v>0</v>
      </c>
      <c r="AD2851">
        <f t="shared" si="676"/>
        <v>29</v>
      </c>
      <c r="AE2851" t="str">
        <f t="shared" si="677"/>
        <v/>
      </c>
    </row>
    <row r="2852" spans="1:31" x14ac:dyDescent="0.4">
      <c r="A2852" t="str">
        <f>IF(原始经营数据!$D2853="","",原始经营数据!$D2853)</f>
        <v/>
      </c>
      <c r="B2852" t="str">
        <f>IF(原始经营数据!$D2853="","",T(原始经营数据!$E2853))</f>
        <v/>
      </c>
      <c r="C2852" t="str">
        <f>IF(原始经营数据!$D2853="","",原始经营数据!$F2853)</f>
        <v/>
      </c>
      <c r="D2852" t="str">
        <f>IF(原始经营数据!$D2853="","",原始经营数据!$H2853)</f>
        <v/>
      </c>
      <c r="E2852" t="str">
        <f>IF(原始经营数据!$D2853="","",原始经营数据!$I2853)</f>
        <v/>
      </c>
      <c r="F2852" t="str">
        <f>IF(原始经营数据!$D2853="","",T(原始经营数据!$J2853))</f>
        <v/>
      </c>
      <c r="G2852" t="str">
        <f>IF(原始经营数据!$D2853="","",T(原始经营数据!$K2853))</f>
        <v/>
      </c>
      <c r="H2852" t="str">
        <f>IF(原始经营数据!$D2853="","",原始经营数据!$G2853)</f>
        <v/>
      </c>
      <c r="I2852" t="str">
        <f>IF($A2852="","",IF($B2852&lt;&gt;"",$B2852,IF(COUNTIFS(原始经营数据!$D$3:$D$3001,$A2852,原始经营数据!$E$3:$E$3001,"",原始经营数据!$F$3:$F$3001,$C2852,原始经营数据!$H$3:$H$3001,$D2852,原始经营数据!$K$3:$K$3001,$G2852)&gt;1,"基金整体·来源"&amp;原始经营数据!$A2853,"基金整体")))</f>
        <v/>
      </c>
      <c r="J2852" t="str">
        <f t="shared" si="663"/>
        <v/>
      </c>
      <c r="K2852" t="str">
        <f t="shared" si="664"/>
        <v/>
      </c>
      <c r="L2852" t="str">
        <f t="shared" si="665"/>
        <v/>
      </c>
      <c r="M2852">
        <f>IF($A2852="",0,IF(COUNTIF($L$2:$L2852,$L2852)=1,1,0))</f>
        <v>0</v>
      </c>
      <c r="N2852" t="str">
        <f t="shared" si="666"/>
        <v/>
      </c>
      <c r="O2852" t="str">
        <f t="shared" si="667"/>
        <v/>
      </c>
      <c r="P2852">
        <f>IF($A2852="",0,IF(COUNTIF($O$2:$O2852,$O2852)=1,1,0))</f>
        <v>0</v>
      </c>
      <c r="Q2852" t="str">
        <f>IF(AND($P2852=1,$A2852=经营数据!$B$3,$J2852=经营数据!$BA$5),COUNTIFS($P$2:$P$3000,1,$A$2:$A$3000,$A2852,$J$2:$J$3000,$J2852,$N$2:$N$3000,"&lt;"&amp;$N2852)+1,"")</f>
        <v/>
      </c>
      <c r="R2852" t="str">
        <f t="shared" si="668"/>
        <v/>
      </c>
      <c r="S2852">
        <f>IF($A2852="",0,IF(COUNTIF($R$2:$R2852,$R2852)=1,1,0))</f>
        <v>0</v>
      </c>
      <c r="T2852" t="str">
        <f t="shared" si="669"/>
        <v/>
      </c>
      <c r="U2852" t="str">
        <f>IF($A2852="","",IF($A2852=经营数据!$B$3,COUNTIFS($S$2:$S$3000,1,$A$2:$A$3000,$A2852,$T$2:$T$3000,"&lt;"&amp;$T2852)+1,""))</f>
        <v/>
      </c>
      <c r="V2852" t="str">
        <f t="shared" si="670"/>
        <v/>
      </c>
      <c r="W2852" t="str">
        <f t="shared" si="671"/>
        <v/>
      </c>
      <c r="X2852" t="str">
        <f t="shared" si="672"/>
        <v/>
      </c>
      <c r="Y2852" t="str">
        <f t="shared" si="673"/>
        <v/>
      </c>
      <c r="Z2852">
        <f>IF($A2852="",0,IF(AND($M2852=1,$A2852=经营数据!$B$3,$J2852=经营数据!$BA$5,OR($I2852=经营数据!$BA$4,COUNTIF(经营数据!$AA$9:$AA$38,$I2852)&gt;0)),1,0))</f>
        <v>0</v>
      </c>
      <c r="AA2852" t="str">
        <f t="shared" si="674"/>
        <v/>
      </c>
      <c r="AB2852" t="str">
        <f t="shared" si="675"/>
        <v/>
      </c>
      <c r="AC2852">
        <f>IF($A2852="",0,IF(COUNTIF($A$2:$A2852,$A2852)=1,1,0))</f>
        <v>0</v>
      </c>
      <c r="AD2852">
        <f t="shared" si="676"/>
        <v>29</v>
      </c>
      <c r="AE2852" t="str">
        <f t="shared" si="677"/>
        <v/>
      </c>
    </row>
    <row r="2853" spans="1:31" x14ac:dyDescent="0.4">
      <c r="A2853" t="str">
        <f>IF(原始经营数据!$D2854="","",原始经营数据!$D2854)</f>
        <v/>
      </c>
      <c r="B2853" t="str">
        <f>IF(原始经营数据!$D2854="","",T(原始经营数据!$E2854))</f>
        <v/>
      </c>
      <c r="C2853" t="str">
        <f>IF(原始经营数据!$D2854="","",原始经营数据!$F2854)</f>
        <v/>
      </c>
      <c r="D2853" t="str">
        <f>IF(原始经营数据!$D2854="","",原始经营数据!$H2854)</f>
        <v/>
      </c>
      <c r="E2853" t="str">
        <f>IF(原始经营数据!$D2854="","",原始经营数据!$I2854)</f>
        <v/>
      </c>
      <c r="F2853" t="str">
        <f>IF(原始经营数据!$D2854="","",T(原始经营数据!$J2854))</f>
        <v/>
      </c>
      <c r="G2853" t="str">
        <f>IF(原始经营数据!$D2854="","",T(原始经营数据!$K2854))</f>
        <v/>
      </c>
      <c r="H2853" t="str">
        <f>IF(原始经营数据!$D2854="","",原始经营数据!$G2854)</f>
        <v/>
      </c>
      <c r="I2853" t="str">
        <f>IF($A2853="","",IF($B2853&lt;&gt;"",$B2853,IF(COUNTIFS(原始经营数据!$D$3:$D$3001,$A2853,原始经营数据!$E$3:$E$3001,"",原始经营数据!$F$3:$F$3001,$C2853,原始经营数据!$H$3:$H$3001,$D2853,原始经营数据!$K$3:$K$3001,$G2853)&gt;1,"基金整体·来源"&amp;原始经营数据!$A2854,"基金整体")))</f>
        <v/>
      </c>
      <c r="J2853" t="str">
        <f t="shared" si="663"/>
        <v/>
      </c>
      <c r="K2853" t="str">
        <f t="shared" si="664"/>
        <v/>
      </c>
      <c r="L2853" t="str">
        <f t="shared" si="665"/>
        <v/>
      </c>
      <c r="M2853">
        <f>IF($A2853="",0,IF(COUNTIF($L$2:$L2853,$L2853)=1,1,0))</f>
        <v>0</v>
      </c>
      <c r="N2853" t="str">
        <f t="shared" si="666"/>
        <v/>
      </c>
      <c r="O2853" t="str">
        <f t="shared" si="667"/>
        <v/>
      </c>
      <c r="P2853">
        <f>IF($A2853="",0,IF(COUNTIF($O$2:$O2853,$O2853)=1,1,0))</f>
        <v>0</v>
      </c>
      <c r="Q2853" t="str">
        <f>IF(AND($P2853=1,$A2853=经营数据!$B$3,$J2853=经营数据!$BA$5),COUNTIFS($P$2:$P$3000,1,$A$2:$A$3000,$A2853,$J$2:$J$3000,$J2853,$N$2:$N$3000,"&lt;"&amp;$N2853)+1,"")</f>
        <v/>
      </c>
      <c r="R2853" t="str">
        <f t="shared" si="668"/>
        <v/>
      </c>
      <c r="S2853">
        <f>IF($A2853="",0,IF(COUNTIF($R$2:$R2853,$R2853)=1,1,0))</f>
        <v>0</v>
      </c>
      <c r="T2853" t="str">
        <f t="shared" si="669"/>
        <v/>
      </c>
      <c r="U2853" t="str">
        <f>IF($A2853="","",IF($A2853=经营数据!$B$3,COUNTIFS($S$2:$S$3000,1,$A$2:$A$3000,$A2853,$T$2:$T$3000,"&lt;"&amp;$T2853)+1,""))</f>
        <v/>
      </c>
      <c r="V2853" t="str">
        <f t="shared" si="670"/>
        <v/>
      </c>
      <c r="W2853" t="str">
        <f t="shared" si="671"/>
        <v/>
      </c>
      <c r="X2853" t="str">
        <f t="shared" si="672"/>
        <v/>
      </c>
      <c r="Y2853" t="str">
        <f t="shared" si="673"/>
        <v/>
      </c>
      <c r="Z2853">
        <f>IF($A2853="",0,IF(AND($M2853=1,$A2853=经营数据!$B$3,$J2853=经营数据!$BA$5,OR($I2853=经营数据!$BA$4,COUNTIF(经营数据!$AA$9:$AA$38,$I2853)&gt;0)),1,0))</f>
        <v>0</v>
      </c>
      <c r="AA2853" t="str">
        <f t="shared" si="674"/>
        <v/>
      </c>
      <c r="AB2853" t="str">
        <f t="shared" si="675"/>
        <v/>
      </c>
      <c r="AC2853">
        <f>IF($A2853="",0,IF(COUNTIF($A$2:$A2853,$A2853)=1,1,0))</f>
        <v>0</v>
      </c>
      <c r="AD2853">
        <f t="shared" si="676"/>
        <v>29</v>
      </c>
      <c r="AE2853" t="str">
        <f t="shared" si="677"/>
        <v/>
      </c>
    </row>
    <row r="2854" spans="1:31" x14ac:dyDescent="0.4">
      <c r="A2854" t="str">
        <f>IF(原始经营数据!$D2855="","",原始经营数据!$D2855)</f>
        <v/>
      </c>
      <c r="B2854" t="str">
        <f>IF(原始经营数据!$D2855="","",T(原始经营数据!$E2855))</f>
        <v/>
      </c>
      <c r="C2854" t="str">
        <f>IF(原始经营数据!$D2855="","",原始经营数据!$F2855)</f>
        <v/>
      </c>
      <c r="D2854" t="str">
        <f>IF(原始经营数据!$D2855="","",原始经营数据!$H2855)</f>
        <v/>
      </c>
      <c r="E2854" t="str">
        <f>IF(原始经营数据!$D2855="","",原始经营数据!$I2855)</f>
        <v/>
      </c>
      <c r="F2854" t="str">
        <f>IF(原始经营数据!$D2855="","",T(原始经营数据!$J2855))</f>
        <v/>
      </c>
      <c r="G2854" t="str">
        <f>IF(原始经营数据!$D2855="","",T(原始经营数据!$K2855))</f>
        <v/>
      </c>
      <c r="H2854" t="str">
        <f>IF(原始经营数据!$D2855="","",原始经营数据!$G2855)</f>
        <v/>
      </c>
      <c r="I2854" t="str">
        <f>IF($A2854="","",IF($B2854&lt;&gt;"",$B2854,IF(COUNTIFS(原始经营数据!$D$3:$D$3001,$A2854,原始经营数据!$E$3:$E$3001,"",原始经营数据!$F$3:$F$3001,$C2854,原始经营数据!$H$3:$H$3001,$D2854,原始经营数据!$K$3:$K$3001,$G2854)&gt;1,"基金整体·来源"&amp;原始经营数据!$A2855,"基金整体")))</f>
        <v/>
      </c>
      <c r="J2854" t="str">
        <f t="shared" si="663"/>
        <v/>
      </c>
      <c r="K2854" t="str">
        <f t="shared" si="664"/>
        <v/>
      </c>
      <c r="L2854" t="str">
        <f t="shared" si="665"/>
        <v/>
      </c>
      <c r="M2854">
        <f>IF($A2854="",0,IF(COUNTIF($L$2:$L2854,$L2854)=1,1,0))</f>
        <v>0</v>
      </c>
      <c r="N2854" t="str">
        <f t="shared" si="666"/>
        <v/>
      </c>
      <c r="O2854" t="str">
        <f t="shared" si="667"/>
        <v/>
      </c>
      <c r="P2854">
        <f>IF($A2854="",0,IF(COUNTIF($O$2:$O2854,$O2854)=1,1,0))</f>
        <v>0</v>
      </c>
      <c r="Q2854" t="str">
        <f>IF(AND($P2854=1,$A2854=经营数据!$B$3,$J2854=经营数据!$BA$5),COUNTIFS($P$2:$P$3000,1,$A$2:$A$3000,$A2854,$J$2:$J$3000,$J2854,$N$2:$N$3000,"&lt;"&amp;$N2854)+1,"")</f>
        <v/>
      </c>
      <c r="R2854" t="str">
        <f t="shared" si="668"/>
        <v/>
      </c>
      <c r="S2854">
        <f>IF($A2854="",0,IF(COUNTIF($R$2:$R2854,$R2854)=1,1,0))</f>
        <v>0</v>
      </c>
      <c r="T2854" t="str">
        <f t="shared" si="669"/>
        <v/>
      </c>
      <c r="U2854" t="str">
        <f>IF($A2854="","",IF($A2854=经营数据!$B$3,COUNTIFS($S$2:$S$3000,1,$A$2:$A$3000,$A2854,$T$2:$T$3000,"&lt;"&amp;$T2854)+1,""))</f>
        <v/>
      </c>
      <c r="V2854" t="str">
        <f t="shared" si="670"/>
        <v/>
      </c>
      <c r="W2854" t="str">
        <f t="shared" si="671"/>
        <v/>
      </c>
      <c r="X2854" t="str">
        <f t="shared" si="672"/>
        <v/>
      </c>
      <c r="Y2854" t="str">
        <f t="shared" si="673"/>
        <v/>
      </c>
      <c r="Z2854">
        <f>IF($A2854="",0,IF(AND($M2854=1,$A2854=经营数据!$B$3,$J2854=经营数据!$BA$5,OR($I2854=经营数据!$BA$4,COUNTIF(经营数据!$AA$9:$AA$38,$I2854)&gt;0)),1,0))</f>
        <v>0</v>
      </c>
      <c r="AA2854" t="str">
        <f t="shared" si="674"/>
        <v/>
      </c>
      <c r="AB2854" t="str">
        <f t="shared" si="675"/>
        <v/>
      </c>
      <c r="AC2854">
        <f>IF($A2854="",0,IF(COUNTIF($A$2:$A2854,$A2854)=1,1,0))</f>
        <v>0</v>
      </c>
      <c r="AD2854">
        <f t="shared" si="676"/>
        <v>29</v>
      </c>
      <c r="AE2854" t="str">
        <f t="shared" si="677"/>
        <v/>
      </c>
    </row>
    <row r="2855" spans="1:31" x14ac:dyDescent="0.4">
      <c r="A2855" t="str">
        <f>IF(原始经营数据!$D2856="","",原始经营数据!$D2856)</f>
        <v/>
      </c>
      <c r="B2855" t="str">
        <f>IF(原始经营数据!$D2856="","",T(原始经营数据!$E2856))</f>
        <v/>
      </c>
      <c r="C2855" t="str">
        <f>IF(原始经营数据!$D2856="","",原始经营数据!$F2856)</f>
        <v/>
      </c>
      <c r="D2855" t="str">
        <f>IF(原始经营数据!$D2856="","",原始经营数据!$H2856)</f>
        <v/>
      </c>
      <c r="E2855" t="str">
        <f>IF(原始经营数据!$D2856="","",原始经营数据!$I2856)</f>
        <v/>
      </c>
      <c r="F2855" t="str">
        <f>IF(原始经营数据!$D2856="","",T(原始经营数据!$J2856))</f>
        <v/>
      </c>
      <c r="G2855" t="str">
        <f>IF(原始经营数据!$D2856="","",T(原始经营数据!$K2856))</f>
        <v/>
      </c>
      <c r="H2855" t="str">
        <f>IF(原始经营数据!$D2856="","",原始经营数据!$G2856)</f>
        <v/>
      </c>
      <c r="I2855" t="str">
        <f>IF($A2855="","",IF($B2855&lt;&gt;"",$B2855,IF(COUNTIFS(原始经营数据!$D$3:$D$3001,$A2855,原始经营数据!$E$3:$E$3001,"",原始经营数据!$F$3:$F$3001,$C2855,原始经营数据!$H$3:$H$3001,$D2855,原始经营数据!$K$3:$K$3001,$G2855)&gt;1,"基金整体·来源"&amp;原始经营数据!$A2856,"基金整体")))</f>
        <v/>
      </c>
      <c r="J2855" t="str">
        <f t="shared" si="663"/>
        <v/>
      </c>
      <c r="K2855" t="str">
        <f t="shared" si="664"/>
        <v/>
      </c>
      <c r="L2855" t="str">
        <f t="shared" si="665"/>
        <v/>
      </c>
      <c r="M2855">
        <f>IF($A2855="",0,IF(COUNTIF($L$2:$L2855,$L2855)=1,1,0))</f>
        <v>0</v>
      </c>
      <c r="N2855" t="str">
        <f t="shared" si="666"/>
        <v/>
      </c>
      <c r="O2855" t="str">
        <f t="shared" si="667"/>
        <v/>
      </c>
      <c r="P2855">
        <f>IF($A2855="",0,IF(COUNTIF($O$2:$O2855,$O2855)=1,1,0))</f>
        <v>0</v>
      </c>
      <c r="Q2855" t="str">
        <f>IF(AND($P2855=1,$A2855=经营数据!$B$3,$J2855=经营数据!$BA$5),COUNTIFS($P$2:$P$3000,1,$A$2:$A$3000,$A2855,$J$2:$J$3000,$J2855,$N$2:$N$3000,"&lt;"&amp;$N2855)+1,"")</f>
        <v/>
      </c>
      <c r="R2855" t="str">
        <f t="shared" si="668"/>
        <v/>
      </c>
      <c r="S2855">
        <f>IF($A2855="",0,IF(COUNTIF($R$2:$R2855,$R2855)=1,1,0))</f>
        <v>0</v>
      </c>
      <c r="T2855" t="str">
        <f t="shared" si="669"/>
        <v/>
      </c>
      <c r="U2855" t="str">
        <f>IF($A2855="","",IF($A2855=经营数据!$B$3,COUNTIFS($S$2:$S$3000,1,$A$2:$A$3000,$A2855,$T$2:$T$3000,"&lt;"&amp;$T2855)+1,""))</f>
        <v/>
      </c>
      <c r="V2855" t="str">
        <f t="shared" si="670"/>
        <v/>
      </c>
      <c r="W2855" t="str">
        <f t="shared" si="671"/>
        <v/>
      </c>
      <c r="X2855" t="str">
        <f t="shared" si="672"/>
        <v/>
      </c>
      <c r="Y2855" t="str">
        <f t="shared" si="673"/>
        <v/>
      </c>
      <c r="Z2855">
        <f>IF($A2855="",0,IF(AND($M2855=1,$A2855=经营数据!$B$3,$J2855=经营数据!$BA$5,OR($I2855=经营数据!$BA$4,COUNTIF(经营数据!$AA$9:$AA$38,$I2855)&gt;0)),1,0))</f>
        <v>0</v>
      </c>
      <c r="AA2855" t="str">
        <f t="shared" si="674"/>
        <v/>
      </c>
      <c r="AB2855" t="str">
        <f t="shared" si="675"/>
        <v/>
      </c>
      <c r="AC2855">
        <f>IF($A2855="",0,IF(COUNTIF($A$2:$A2855,$A2855)=1,1,0))</f>
        <v>0</v>
      </c>
      <c r="AD2855">
        <f t="shared" si="676"/>
        <v>29</v>
      </c>
      <c r="AE2855" t="str">
        <f t="shared" si="677"/>
        <v/>
      </c>
    </row>
    <row r="2856" spans="1:31" x14ac:dyDescent="0.4">
      <c r="A2856" t="str">
        <f>IF(原始经营数据!$D2857="","",原始经营数据!$D2857)</f>
        <v/>
      </c>
      <c r="B2856" t="str">
        <f>IF(原始经营数据!$D2857="","",T(原始经营数据!$E2857))</f>
        <v/>
      </c>
      <c r="C2856" t="str">
        <f>IF(原始经营数据!$D2857="","",原始经营数据!$F2857)</f>
        <v/>
      </c>
      <c r="D2856" t="str">
        <f>IF(原始经营数据!$D2857="","",原始经营数据!$H2857)</f>
        <v/>
      </c>
      <c r="E2856" t="str">
        <f>IF(原始经营数据!$D2857="","",原始经营数据!$I2857)</f>
        <v/>
      </c>
      <c r="F2856" t="str">
        <f>IF(原始经营数据!$D2857="","",T(原始经营数据!$J2857))</f>
        <v/>
      </c>
      <c r="G2856" t="str">
        <f>IF(原始经营数据!$D2857="","",T(原始经营数据!$K2857))</f>
        <v/>
      </c>
      <c r="H2856" t="str">
        <f>IF(原始经营数据!$D2857="","",原始经营数据!$G2857)</f>
        <v/>
      </c>
      <c r="I2856" t="str">
        <f>IF($A2856="","",IF($B2856&lt;&gt;"",$B2856,IF(COUNTIFS(原始经营数据!$D$3:$D$3001,$A2856,原始经营数据!$E$3:$E$3001,"",原始经营数据!$F$3:$F$3001,$C2856,原始经营数据!$H$3:$H$3001,$D2856,原始经营数据!$K$3:$K$3001,$G2856)&gt;1,"基金整体·来源"&amp;原始经营数据!$A2857,"基金整体")))</f>
        <v/>
      </c>
      <c r="J2856" t="str">
        <f t="shared" si="663"/>
        <v/>
      </c>
      <c r="K2856" t="str">
        <f t="shared" si="664"/>
        <v/>
      </c>
      <c r="L2856" t="str">
        <f t="shared" si="665"/>
        <v/>
      </c>
      <c r="M2856">
        <f>IF($A2856="",0,IF(COUNTIF($L$2:$L2856,$L2856)=1,1,0))</f>
        <v>0</v>
      </c>
      <c r="N2856" t="str">
        <f t="shared" si="666"/>
        <v/>
      </c>
      <c r="O2856" t="str">
        <f t="shared" si="667"/>
        <v/>
      </c>
      <c r="P2856">
        <f>IF($A2856="",0,IF(COUNTIF($O$2:$O2856,$O2856)=1,1,0))</f>
        <v>0</v>
      </c>
      <c r="Q2856" t="str">
        <f>IF(AND($P2856=1,$A2856=经营数据!$B$3,$J2856=经营数据!$BA$5),COUNTIFS($P$2:$P$3000,1,$A$2:$A$3000,$A2856,$J$2:$J$3000,$J2856,$N$2:$N$3000,"&lt;"&amp;$N2856)+1,"")</f>
        <v/>
      </c>
      <c r="R2856" t="str">
        <f t="shared" si="668"/>
        <v/>
      </c>
      <c r="S2856">
        <f>IF($A2856="",0,IF(COUNTIF($R$2:$R2856,$R2856)=1,1,0))</f>
        <v>0</v>
      </c>
      <c r="T2856" t="str">
        <f t="shared" si="669"/>
        <v/>
      </c>
      <c r="U2856" t="str">
        <f>IF($A2856="","",IF($A2856=经营数据!$B$3,COUNTIFS($S$2:$S$3000,1,$A$2:$A$3000,$A2856,$T$2:$T$3000,"&lt;"&amp;$T2856)+1,""))</f>
        <v/>
      </c>
      <c r="V2856" t="str">
        <f t="shared" si="670"/>
        <v/>
      </c>
      <c r="W2856" t="str">
        <f t="shared" si="671"/>
        <v/>
      </c>
      <c r="X2856" t="str">
        <f t="shared" si="672"/>
        <v/>
      </c>
      <c r="Y2856" t="str">
        <f t="shared" si="673"/>
        <v/>
      </c>
      <c r="Z2856">
        <f>IF($A2856="",0,IF(AND($M2856=1,$A2856=经营数据!$B$3,$J2856=经营数据!$BA$5,OR($I2856=经营数据!$BA$4,COUNTIF(经营数据!$AA$9:$AA$38,$I2856)&gt;0)),1,0))</f>
        <v>0</v>
      </c>
      <c r="AA2856" t="str">
        <f t="shared" si="674"/>
        <v/>
      </c>
      <c r="AB2856" t="str">
        <f t="shared" si="675"/>
        <v/>
      </c>
      <c r="AC2856">
        <f>IF($A2856="",0,IF(COUNTIF($A$2:$A2856,$A2856)=1,1,0))</f>
        <v>0</v>
      </c>
      <c r="AD2856">
        <f t="shared" si="676"/>
        <v>29</v>
      </c>
      <c r="AE2856" t="str">
        <f t="shared" si="677"/>
        <v/>
      </c>
    </row>
    <row r="2857" spans="1:31" x14ac:dyDescent="0.4">
      <c r="A2857" t="str">
        <f>IF(原始经营数据!$D2858="","",原始经营数据!$D2858)</f>
        <v/>
      </c>
      <c r="B2857" t="str">
        <f>IF(原始经营数据!$D2858="","",T(原始经营数据!$E2858))</f>
        <v/>
      </c>
      <c r="C2857" t="str">
        <f>IF(原始经营数据!$D2858="","",原始经营数据!$F2858)</f>
        <v/>
      </c>
      <c r="D2857" t="str">
        <f>IF(原始经营数据!$D2858="","",原始经营数据!$H2858)</f>
        <v/>
      </c>
      <c r="E2857" t="str">
        <f>IF(原始经营数据!$D2858="","",原始经营数据!$I2858)</f>
        <v/>
      </c>
      <c r="F2857" t="str">
        <f>IF(原始经营数据!$D2858="","",T(原始经营数据!$J2858))</f>
        <v/>
      </c>
      <c r="G2857" t="str">
        <f>IF(原始经营数据!$D2858="","",T(原始经营数据!$K2858))</f>
        <v/>
      </c>
      <c r="H2857" t="str">
        <f>IF(原始经营数据!$D2858="","",原始经营数据!$G2858)</f>
        <v/>
      </c>
      <c r="I2857" t="str">
        <f>IF($A2857="","",IF($B2857&lt;&gt;"",$B2857,IF(COUNTIFS(原始经营数据!$D$3:$D$3001,$A2857,原始经营数据!$E$3:$E$3001,"",原始经营数据!$F$3:$F$3001,$C2857,原始经营数据!$H$3:$H$3001,$D2857,原始经营数据!$K$3:$K$3001,$G2857)&gt;1,"基金整体·来源"&amp;原始经营数据!$A2858,"基金整体")))</f>
        <v/>
      </c>
      <c r="J2857" t="str">
        <f t="shared" si="663"/>
        <v/>
      </c>
      <c r="K2857" t="str">
        <f t="shared" si="664"/>
        <v/>
      </c>
      <c r="L2857" t="str">
        <f t="shared" si="665"/>
        <v/>
      </c>
      <c r="M2857">
        <f>IF($A2857="",0,IF(COUNTIF($L$2:$L2857,$L2857)=1,1,0))</f>
        <v>0</v>
      </c>
      <c r="N2857" t="str">
        <f t="shared" si="666"/>
        <v/>
      </c>
      <c r="O2857" t="str">
        <f t="shared" si="667"/>
        <v/>
      </c>
      <c r="P2857">
        <f>IF($A2857="",0,IF(COUNTIF($O$2:$O2857,$O2857)=1,1,0))</f>
        <v>0</v>
      </c>
      <c r="Q2857" t="str">
        <f>IF(AND($P2857=1,$A2857=经营数据!$B$3,$J2857=经营数据!$BA$5),COUNTIFS($P$2:$P$3000,1,$A$2:$A$3000,$A2857,$J$2:$J$3000,$J2857,$N$2:$N$3000,"&lt;"&amp;$N2857)+1,"")</f>
        <v/>
      </c>
      <c r="R2857" t="str">
        <f t="shared" si="668"/>
        <v/>
      </c>
      <c r="S2857">
        <f>IF($A2857="",0,IF(COUNTIF($R$2:$R2857,$R2857)=1,1,0))</f>
        <v>0</v>
      </c>
      <c r="T2857" t="str">
        <f t="shared" si="669"/>
        <v/>
      </c>
      <c r="U2857" t="str">
        <f>IF($A2857="","",IF($A2857=经营数据!$B$3,COUNTIFS($S$2:$S$3000,1,$A$2:$A$3000,$A2857,$T$2:$T$3000,"&lt;"&amp;$T2857)+1,""))</f>
        <v/>
      </c>
      <c r="V2857" t="str">
        <f t="shared" si="670"/>
        <v/>
      </c>
      <c r="W2857" t="str">
        <f t="shared" si="671"/>
        <v/>
      </c>
      <c r="X2857" t="str">
        <f t="shared" si="672"/>
        <v/>
      </c>
      <c r="Y2857" t="str">
        <f t="shared" si="673"/>
        <v/>
      </c>
      <c r="Z2857">
        <f>IF($A2857="",0,IF(AND($M2857=1,$A2857=经营数据!$B$3,$J2857=经营数据!$BA$5,OR($I2857=经营数据!$BA$4,COUNTIF(经营数据!$AA$9:$AA$38,$I2857)&gt;0)),1,0))</f>
        <v>0</v>
      </c>
      <c r="AA2857" t="str">
        <f t="shared" si="674"/>
        <v/>
      </c>
      <c r="AB2857" t="str">
        <f t="shared" si="675"/>
        <v/>
      </c>
      <c r="AC2857">
        <f>IF($A2857="",0,IF(COUNTIF($A$2:$A2857,$A2857)=1,1,0))</f>
        <v>0</v>
      </c>
      <c r="AD2857">
        <f t="shared" si="676"/>
        <v>29</v>
      </c>
      <c r="AE2857" t="str">
        <f t="shared" si="677"/>
        <v/>
      </c>
    </row>
    <row r="2858" spans="1:31" x14ac:dyDescent="0.4">
      <c r="A2858" t="str">
        <f>IF(原始经营数据!$D2859="","",原始经营数据!$D2859)</f>
        <v/>
      </c>
      <c r="B2858" t="str">
        <f>IF(原始经营数据!$D2859="","",T(原始经营数据!$E2859))</f>
        <v/>
      </c>
      <c r="C2858" t="str">
        <f>IF(原始经营数据!$D2859="","",原始经营数据!$F2859)</f>
        <v/>
      </c>
      <c r="D2858" t="str">
        <f>IF(原始经营数据!$D2859="","",原始经营数据!$H2859)</f>
        <v/>
      </c>
      <c r="E2858" t="str">
        <f>IF(原始经营数据!$D2859="","",原始经营数据!$I2859)</f>
        <v/>
      </c>
      <c r="F2858" t="str">
        <f>IF(原始经营数据!$D2859="","",T(原始经营数据!$J2859))</f>
        <v/>
      </c>
      <c r="G2858" t="str">
        <f>IF(原始经营数据!$D2859="","",T(原始经营数据!$K2859))</f>
        <v/>
      </c>
      <c r="H2858" t="str">
        <f>IF(原始经营数据!$D2859="","",原始经营数据!$G2859)</f>
        <v/>
      </c>
      <c r="I2858" t="str">
        <f>IF($A2858="","",IF($B2858&lt;&gt;"",$B2858,IF(COUNTIFS(原始经营数据!$D$3:$D$3001,$A2858,原始经营数据!$E$3:$E$3001,"",原始经营数据!$F$3:$F$3001,$C2858,原始经营数据!$H$3:$H$3001,$D2858,原始经营数据!$K$3:$K$3001,$G2858)&gt;1,"基金整体·来源"&amp;原始经营数据!$A2859,"基金整体")))</f>
        <v/>
      </c>
      <c r="J2858" t="str">
        <f t="shared" si="663"/>
        <v/>
      </c>
      <c r="K2858" t="str">
        <f t="shared" si="664"/>
        <v/>
      </c>
      <c r="L2858" t="str">
        <f t="shared" si="665"/>
        <v/>
      </c>
      <c r="M2858">
        <f>IF($A2858="",0,IF(COUNTIF($L$2:$L2858,$L2858)=1,1,0))</f>
        <v>0</v>
      </c>
      <c r="N2858" t="str">
        <f t="shared" si="666"/>
        <v/>
      </c>
      <c r="O2858" t="str">
        <f t="shared" si="667"/>
        <v/>
      </c>
      <c r="P2858">
        <f>IF($A2858="",0,IF(COUNTIF($O$2:$O2858,$O2858)=1,1,0))</f>
        <v>0</v>
      </c>
      <c r="Q2858" t="str">
        <f>IF(AND($P2858=1,$A2858=经营数据!$B$3,$J2858=经营数据!$BA$5),COUNTIFS($P$2:$P$3000,1,$A$2:$A$3000,$A2858,$J$2:$J$3000,$J2858,$N$2:$N$3000,"&lt;"&amp;$N2858)+1,"")</f>
        <v/>
      </c>
      <c r="R2858" t="str">
        <f t="shared" si="668"/>
        <v/>
      </c>
      <c r="S2858">
        <f>IF($A2858="",0,IF(COUNTIF($R$2:$R2858,$R2858)=1,1,0))</f>
        <v>0</v>
      </c>
      <c r="T2858" t="str">
        <f t="shared" si="669"/>
        <v/>
      </c>
      <c r="U2858" t="str">
        <f>IF($A2858="","",IF($A2858=经营数据!$B$3,COUNTIFS($S$2:$S$3000,1,$A$2:$A$3000,$A2858,$T$2:$T$3000,"&lt;"&amp;$T2858)+1,""))</f>
        <v/>
      </c>
      <c r="V2858" t="str">
        <f t="shared" si="670"/>
        <v/>
      </c>
      <c r="W2858" t="str">
        <f t="shared" si="671"/>
        <v/>
      </c>
      <c r="X2858" t="str">
        <f t="shared" si="672"/>
        <v/>
      </c>
      <c r="Y2858" t="str">
        <f t="shared" si="673"/>
        <v/>
      </c>
      <c r="Z2858">
        <f>IF($A2858="",0,IF(AND($M2858=1,$A2858=经营数据!$B$3,$J2858=经营数据!$BA$5,OR($I2858=经营数据!$BA$4,COUNTIF(经营数据!$AA$9:$AA$38,$I2858)&gt;0)),1,0))</f>
        <v>0</v>
      </c>
      <c r="AA2858" t="str">
        <f t="shared" si="674"/>
        <v/>
      </c>
      <c r="AB2858" t="str">
        <f t="shared" si="675"/>
        <v/>
      </c>
      <c r="AC2858">
        <f>IF($A2858="",0,IF(COUNTIF($A$2:$A2858,$A2858)=1,1,0))</f>
        <v>0</v>
      </c>
      <c r="AD2858">
        <f t="shared" si="676"/>
        <v>29</v>
      </c>
      <c r="AE2858" t="str">
        <f t="shared" si="677"/>
        <v/>
      </c>
    </row>
    <row r="2859" spans="1:31" x14ac:dyDescent="0.4">
      <c r="A2859" t="str">
        <f>IF(原始经营数据!$D2860="","",原始经营数据!$D2860)</f>
        <v/>
      </c>
      <c r="B2859" t="str">
        <f>IF(原始经营数据!$D2860="","",T(原始经营数据!$E2860))</f>
        <v/>
      </c>
      <c r="C2859" t="str">
        <f>IF(原始经营数据!$D2860="","",原始经营数据!$F2860)</f>
        <v/>
      </c>
      <c r="D2859" t="str">
        <f>IF(原始经营数据!$D2860="","",原始经营数据!$H2860)</f>
        <v/>
      </c>
      <c r="E2859" t="str">
        <f>IF(原始经营数据!$D2860="","",原始经营数据!$I2860)</f>
        <v/>
      </c>
      <c r="F2859" t="str">
        <f>IF(原始经营数据!$D2860="","",T(原始经营数据!$J2860))</f>
        <v/>
      </c>
      <c r="G2859" t="str">
        <f>IF(原始经营数据!$D2860="","",T(原始经营数据!$K2860))</f>
        <v/>
      </c>
      <c r="H2859" t="str">
        <f>IF(原始经营数据!$D2860="","",原始经营数据!$G2860)</f>
        <v/>
      </c>
      <c r="I2859" t="str">
        <f>IF($A2859="","",IF($B2859&lt;&gt;"",$B2859,IF(COUNTIFS(原始经营数据!$D$3:$D$3001,$A2859,原始经营数据!$E$3:$E$3001,"",原始经营数据!$F$3:$F$3001,$C2859,原始经营数据!$H$3:$H$3001,$D2859,原始经营数据!$K$3:$K$3001,$G2859)&gt;1,"基金整体·来源"&amp;原始经营数据!$A2860,"基金整体")))</f>
        <v/>
      </c>
      <c r="J2859" t="str">
        <f t="shared" si="663"/>
        <v/>
      </c>
      <c r="K2859" t="str">
        <f t="shared" si="664"/>
        <v/>
      </c>
      <c r="L2859" t="str">
        <f t="shared" si="665"/>
        <v/>
      </c>
      <c r="M2859">
        <f>IF($A2859="",0,IF(COUNTIF($L$2:$L2859,$L2859)=1,1,0))</f>
        <v>0</v>
      </c>
      <c r="N2859" t="str">
        <f t="shared" si="666"/>
        <v/>
      </c>
      <c r="O2859" t="str">
        <f t="shared" si="667"/>
        <v/>
      </c>
      <c r="P2859">
        <f>IF($A2859="",0,IF(COUNTIF($O$2:$O2859,$O2859)=1,1,0))</f>
        <v>0</v>
      </c>
      <c r="Q2859" t="str">
        <f>IF(AND($P2859=1,$A2859=经营数据!$B$3,$J2859=经营数据!$BA$5),COUNTIFS($P$2:$P$3000,1,$A$2:$A$3000,$A2859,$J$2:$J$3000,$J2859,$N$2:$N$3000,"&lt;"&amp;$N2859)+1,"")</f>
        <v/>
      </c>
      <c r="R2859" t="str">
        <f t="shared" si="668"/>
        <v/>
      </c>
      <c r="S2859">
        <f>IF($A2859="",0,IF(COUNTIF($R$2:$R2859,$R2859)=1,1,0))</f>
        <v>0</v>
      </c>
      <c r="T2859" t="str">
        <f t="shared" si="669"/>
        <v/>
      </c>
      <c r="U2859" t="str">
        <f>IF($A2859="","",IF($A2859=经营数据!$B$3,COUNTIFS($S$2:$S$3000,1,$A$2:$A$3000,$A2859,$T$2:$T$3000,"&lt;"&amp;$T2859)+1,""))</f>
        <v/>
      </c>
      <c r="V2859" t="str">
        <f t="shared" si="670"/>
        <v/>
      </c>
      <c r="W2859" t="str">
        <f t="shared" si="671"/>
        <v/>
      </c>
      <c r="X2859" t="str">
        <f t="shared" si="672"/>
        <v/>
      </c>
      <c r="Y2859" t="str">
        <f t="shared" si="673"/>
        <v/>
      </c>
      <c r="Z2859">
        <f>IF($A2859="",0,IF(AND($M2859=1,$A2859=经营数据!$B$3,$J2859=经营数据!$BA$5,OR($I2859=经营数据!$BA$4,COUNTIF(经营数据!$AA$9:$AA$38,$I2859)&gt;0)),1,0))</f>
        <v>0</v>
      </c>
      <c r="AA2859" t="str">
        <f t="shared" si="674"/>
        <v/>
      </c>
      <c r="AB2859" t="str">
        <f t="shared" si="675"/>
        <v/>
      </c>
      <c r="AC2859">
        <f>IF($A2859="",0,IF(COUNTIF($A$2:$A2859,$A2859)=1,1,0))</f>
        <v>0</v>
      </c>
      <c r="AD2859">
        <f t="shared" si="676"/>
        <v>29</v>
      </c>
      <c r="AE2859" t="str">
        <f t="shared" si="677"/>
        <v/>
      </c>
    </row>
    <row r="2860" spans="1:31" x14ac:dyDescent="0.4">
      <c r="A2860" t="str">
        <f>IF(原始经营数据!$D2861="","",原始经营数据!$D2861)</f>
        <v/>
      </c>
      <c r="B2860" t="str">
        <f>IF(原始经营数据!$D2861="","",T(原始经营数据!$E2861))</f>
        <v/>
      </c>
      <c r="C2860" t="str">
        <f>IF(原始经营数据!$D2861="","",原始经营数据!$F2861)</f>
        <v/>
      </c>
      <c r="D2860" t="str">
        <f>IF(原始经营数据!$D2861="","",原始经营数据!$H2861)</f>
        <v/>
      </c>
      <c r="E2860" t="str">
        <f>IF(原始经营数据!$D2861="","",原始经营数据!$I2861)</f>
        <v/>
      </c>
      <c r="F2860" t="str">
        <f>IF(原始经营数据!$D2861="","",T(原始经营数据!$J2861))</f>
        <v/>
      </c>
      <c r="G2860" t="str">
        <f>IF(原始经营数据!$D2861="","",T(原始经营数据!$K2861))</f>
        <v/>
      </c>
      <c r="H2860" t="str">
        <f>IF(原始经营数据!$D2861="","",原始经营数据!$G2861)</f>
        <v/>
      </c>
      <c r="I2860" t="str">
        <f>IF($A2860="","",IF($B2860&lt;&gt;"",$B2860,IF(COUNTIFS(原始经营数据!$D$3:$D$3001,$A2860,原始经营数据!$E$3:$E$3001,"",原始经营数据!$F$3:$F$3001,$C2860,原始经营数据!$H$3:$H$3001,$D2860,原始经营数据!$K$3:$K$3001,$G2860)&gt;1,"基金整体·来源"&amp;原始经营数据!$A2861,"基金整体")))</f>
        <v/>
      </c>
      <c r="J2860" t="str">
        <f t="shared" si="663"/>
        <v/>
      </c>
      <c r="K2860" t="str">
        <f t="shared" si="664"/>
        <v/>
      </c>
      <c r="L2860" t="str">
        <f t="shared" si="665"/>
        <v/>
      </c>
      <c r="M2860">
        <f>IF($A2860="",0,IF(COUNTIF($L$2:$L2860,$L2860)=1,1,0))</f>
        <v>0</v>
      </c>
      <c r="N2860" t="str">
        <f t="shared" si="666"/>
        <v/>
      </c>
      <c r="O2860" t="str">
        <f t="shared" si="667"/>
        <v/>
      </c>
      <c r="P2860">
        <f>IF($A2860="",0,IF(COUNTIF($O$2:$O2860,$O2860)=1,1,0))</f>
        <v>0</v>
      </c>
      <c r="Q2860" t="str">
        <f>IF(AND($P2860=1,$A2860=经营数据!$B$3,$J2860=经营数据!$BA$5),COUNTIFS($P$2:$P$3000,1,$A$2:$A$3000,$A2860,$J$2:$J$3000,$J2860,$N$2:$N$3000,"&lt;"&amp;$N2860)+1,"")</f>
        <v/>
      </c>
      <c r="R2860" t="str">
        <f t="shared" si="668"/>
        <v/>
      </c>
      <c r="S2860">
        <f>IF($A2860="",0,IF(COUNTIF($R$2:$R2860,$R2860)=1,1,0))</f>
        <v>0</v>
      </c>
      <c r="T2860" t="str">
        <f t="shared" si="669"/>
        <v/>
      </c>
      <c r="U2860" t="str">
        <f>IF($A2860="","",IF($A2860=经营数据!$B$3,COUNTIFS($S$2:$S$3000,1,$A$2:$A$3000,$A2860,$T$2:$T$3000,"&lt;"&amp;$T2860)+1,""))</f>
        <v/>
      </c>
      <c r="V2860" t="str">
        <f t="shared" si="670"/>
        <v/>
      </c>
      <c r="W2860" t="str">
        <f t="shared" si="671"/>
        <v/>
      </c>
      <c r="X2860" t="str">
        <f t="shared" si="672"/>
        <v/>
      </c>
      <c r="Y2860" t="str">
        <f t="shared" si="673"/>
        <v/>
      </c>
      <c r="Z2860">
        <f>IF($A2860="",0,IF(AND($M2860=1,$A2860=经营数据!$B$3,$J2860=经营数据!$BA$5,OR($I2860=经营数据!$BA$4,COUNTIF(经营数据!$AA$9:$AA$38,$I2860)&gt;0)),1,0))</f>
        <v>0</v>
      </c>
      <c r="AA2860" t="str">
        <f t="shared" si="674"/>
        <v/>
      </c>
      <c r="AB2860" t="str">
        <f t="shared" si="675"/>
        <v/>
      </c>
      <c r="AC2860">
        <f>IF($A2860="",0,IF(COUNTIF($A$2:$A2860,$A2860)=1,1,0))</f>
        <v>0</v>
      </c>
      <c r="AD2860">
        <f t="shared" si="676"/>
        <v>29</v>
      </c>
      <c r="AE2860" t="str">
        <f t="shared" si="677"/>
        <v/>
      </c>
    </row>
    <row r="2861" spans="1:31" x14ac:dyDescent="0.4">
      <c r="A2861" t="str">
        <f>IF(原始经营数据!$D2862="","",原始经营数据!$D2862)</f>
        <v/>
      </c>
      <c r="B2861" t="str">
        <f>IF(原始经营数据!$D2862="","",T(原始经营数据!$E2862))</f>
        <v/>
      </c>
      <c r="C2861" t="str">
        <f>IF(原始经营数据!$D2862="","",原始经营数据!$F2862)</f>
        <v/>
      </c>
      <c r="D2861" t="str">
        <f>IF(原始经营数据!$D2862="","",原始经营数据!$H2862)</f>
        <v/>
      </c>
      <c r="E2861" t="str">
        <f>IF(原始经营数据!$D2862="","",原始经营数据!$I2862)</f>
        <v/>
      </c>
      <c r="F2861" t="str">
        <f>IF(原始经营数据!$D2862="","",T(原始经营数据!$J2862))</f>
        <v/>
      </c>
      <c r="G2861" t="str">
        <f>IF(原始经营数据!$D2862="","",T(原始经营数据!$K2862))</f>
        <v/>
      </c>
      <c r="H2861" t="str">
        <f>IF(原始经营数据!$D2862="","",原始经营数据!$G2862)</f>
        <v/>
      </c>
      <c r="I2861" t="str">
        <f>IF($A2861="","",IF($B2861&lt;&gt;"",$B2861,IF(COUNTIFS(原始经营数据!$D$3:$D$3001,$A2861,原始经营数据!$E$3:$E$3001,"",原始经营数据!$F$3:$F$3001,$C2861,原始经营数据!$H$3:$H$3001,$D2861,原始经营数据!$K$3:$K$3001,$G2861)&gt;1,"基金整体·来源"&amp;原始经营数据!$A2862,"基金整体")))</f>
        <v/>
      </c>
      <c r="J2861" t="str">
        <f t="shared" si="663"/>
        <v/>
      </c>
      <c r="K2861" t="str">
        <f t="shared" si="664"/>
        <v/>
      </c>
      <c r="L2861" t="str">
        <f t="shared" si="665"/>
        <v/>
      </c>
      <c r="M2861">
        <f>IF($A2861="",0,IF(COUNTIF($L$2:$L2861,$L2861)=1,1,0))</f>
        <v>0</v>
      </c>
      <c r="N2861" t="str">
        <f t="shared" si="666"/>
        <v/>
      </c>
      <c r="O2861" t="str">
        <f t="shared" si="667"/>
        <v/>
      </c>
      <c r="P2861">
        <f>IF($A2861="",0,IF(COUNTIF($O$2:$O2861,$O2861)=1,1,0))</f>
        <v>0</v>
      </c>
      <c r="Q2861" t="str">
        <f>IF(AND($P2861=1,$A2861=经营数据!$B$3,$J2861=经营数据!$BA$5),COUNTIFS($P$2:$P$3000,1,$A$2:$A$3000,$A2861,$J$2:$J$3000,$J2861,$N$2:$N$3000,"&lt;"&amp;$N2861)+1,"")</f>
        <v/>
      </c>
      <c r="R2861" t="str">
        <f t="shared" si="668"/>
        <v/>
      </c>
      <c r="S2861">
        <f>IF($A2861="",0,IF(COUNTIF($R$2:$R2861,$R2861)=1,1,0))</f>
        <v>0</v>
      </c>
      <c r="T2861" t="str">
        <f t="shared" si="669"/>
        <v/>
      </c>
      <c r="U2861" t="str">
        <f>IF($A2861="","",IF($A2861=经营数据!$B$3,COUNTIFS($S$2:$S$3000,1,$A$2:$A$3000,$A2861,$T$2:$T$3000,"&lt;"&amp;$T2861)+1,""))</f>
        <v/>
      </c>
      <c r="V2861" t="str">
        <f t="shared" si="670"/>
        <v/>
      </c>
      <c r="W2861" t="str">
        <f t="shared" si="671"/>
        <v/>
      </c>
      <c r="X2861" t="str">
        <f t="shared" si="672"/>
        <v/>
      </c>
      <c r="Y2861" t="str">
        <f t="shared" si="673"/>
        <v/>
      </c>
      <c r="Z2861">
        <f>IF($A2861="",0,IF(AND($M2861=1,$A2861=经营数据!$B$3,$J2861=经营数据!$BA$5,OR($I2861=经营数据!$BA$4,COUNTIF(经营数据!$AA$9:$AA$38,$I2861)&gt;0)),1,0))</f>
        <v>0</v>
      </c>
      <c r="AA2861" t="str">
        <f t="shared" si="674"/>
        <v/>
      </c>
      <c r="AB2861" t="str">
        <f t="shared" si="675"/>
        <v/>
      </c>
      <c r="AC2861">
        <f>IF($A2861="",0,IF(COUNTIF($A$2:$A2861,$A2861)=1,1,0))</f>
        <v>0</v>
      </c>
      <c r="AD2861">
        <f t="shared" si="676"/>
        <v>29</v>
      </c>
      <c r="AE2861" t="str">
        <f t="shared" si="677"/>
        <v/>
      </c>
    </row>
    <row r="2862" spans="1:31" x14ac:dyDescent="0.4">
      <c r="A2862" t="str">
        <f>IF(原始经营数据!$D2863="","",原始经营数据!$D2863)</f>
        <v/>
      </c>
      <c r="B2862" t="str">
        <f>IF(原始经营数据!$D2863="","",T(原始经营数据!$E2863))</f>
        <v/>
      </c>
      <c r="C2862" t="str">
        <f>IF(原始经营数据!$D2863="","",原始经营数据!$F2863)</f>
        <v/>
      </c>
      <c r="D2862" t="str">
        <f>IF(原始经营数据!$D2863="","",原始经营数据!$H2863)</f>
        <v/>
      </c>
      <c r="E2862" t="str">
        <f>IF(原始经营数据!$D2863="","",原始经营数据!$I2863)</f>
        <v/>
      </c>
      <c r="F2862" t="str">
        <f>IF(原始经营数据!$D2863="","",T(原始经营数据!$J2863))</f>
        <v/>
      </c>
      <c r="G2862" t="str">
        <f>IF(原始经营数据!$D2863="","",T(原始经营数据!$K2863))</f>
        <v/>
      </c>
      <c r="H2862" t="str">
        <f>IF(原始经营数据!$D2863="","",原始经营数据!$G2863)</f>
        <v/>
      </c>
      <c r="I2862" t="str">
        <f>IF($A2862="","",IF($B2862&lt;&gt;"",$B2862,IF(COUNTIFS(原始经营数据!$D$3:$D$3001,$A2862,原始经营数据!$E$3:$E$3001,"",原始经营数据!$F$3:$F$3001,$C2862,原始经营数据!$H$3:$H$3001,$D2862,原始经营数据!$K$3:$K$3001,$G2862)&gt;1,"基金整体·来源"&amp;原始经营数据!$A2863,"基金整体")))</f>
        <v/>
      </c>
      <c r="J2862" t="str">
        <f t="shared" si="663"/>
        <v/>
      </c>
      <c r="K2862" t="str">
        <f t="shared" si="664"/>
        <v/>
      </c>
      <c r="L2862" t="str">
        <f t="shared" si="665"/>
        <v/>
      </c>
      <c r="M2862">
        <f>IF($A2862="",0,IF(COUNTIF($L$2:$L2862,$L2862)=1,1,0))</f>
        <v>0</v>
      </c>
      <c r="N2862" t="str">
        <f t="shared" si="666"/>
        <v/>
      </c>
      <c r="O2862" t="str">
        <f t="shared" si="667"/>
        <v/>
      </c>
      <c r="P2862">
        <f>IF($A2862="",0,IF(COUNTIF($O$2:$O2862,$O2862)=1,1,0))</f>
        <v>0</v>
      </c>
      <c r="Q2862" t="str">
        <f>IF(AND($P2862=1,$A2862=经营数据!$B$3,$J2862=经营数据!$BA$5),COUNTIFS($P$2:$P$3000,1,$A$2:$A$3000,$A2862,$J$2:$J$3000,$J2862,$N$2:$N$3000,"&lt;"&amp;$N2862)+1,"")</f>
        <v/>
      </c>
      <c r="R2862" t="str">
        <f t="shared" si="668"/>
        <v/>
      </c>
      <c r="S2862">
        <f>IF($A2862="",0,IF(COUNTIF($R$2:$R2862,$R2862)=1,1,0))</f>
        <v>0</v>
      </c>
      <c r="T2862" t="str">
        <f t="shared" si="669"/>
        <v/>
      </c>
      <c r="U2862" t="str">
        <f>IF($A2862="","",IF($A2862=经营数据!$B$3,COUNTIFS($S$2:$S$3000,1,$A$2:$A$3000,$A2862,$T$2:$T$3000,"&lt;"&amp;$T2862)+1,""))</f>
        <v/>
      </c>
      <c r="V2862" t="str">
        <f t="shared" si="670"/>
        <v/>
      </c>
      <c r="W2862" t="str">
        <f t="shared" si="671"/>
        <v/>
      </c>
      <c r="X2862" t="str">
        <f t="shared" si="672"/>
        <v/>
      </c>
      <c r="Y2862" t="str">
        <f t="shared" si="673"/>
        <v/>
      </c>
      <c r="Z2862">
        <f>IF($A2862="",0,IF(AND($M2862=1,$A2862=经营数据!$B$3,$J2862=经营数据!$BA$5,OR($I2862=经营数据!$BA$4,COUNTIF(经营数据!$AA$9:$AA$38,$I2862)&gt;0)),1,0))</f>
        <v>0</v>
      </c>
      <c r="AA2862" t="str">
        <f t="shared" si="674"/>
        <v/>
      </c>
      <c r="AB2862" t="str">
        <f t="shared" si="675"/>
        <v/>
      </c>
      <c r="AC2862">
        <f>IF($A2862="",0,IF(COUNTIF($A$2:$A2862,$A2862)=1,1,0))</f>
        <v>0</v>
      </c>
      <c r="AD2862">
        <f t="shared" si="676"/>
        <v>29</v>
      </c>
      <c r="AE2862" t="str">
        <f t="shared" si="677"/>
        <v/>
      </c>
    </row>
    <row r="2863" spans="1:31" x14ac:dyDescent="0.4">
      <c r="A2863" t="str">
        <f>IF(原始经营数据!$D2864="","",原始经营数据!$D2864)</f>
        <v/>
      </c>
      <c r="B2863" t="str">
        <f>IF(原始经营数据!$D2864="","",T(原始经营数据!$E2864))</f>
        <v/>
      </c>
      <c r="C2863" t="str">
        <f>IF(原始经营数据!$D2864="","",原始经营数据!$F2864)</f>
        <v/>
      </c>
      <c r="D2863" t="str">
        <f>IF(原始经营数据!$D2864="","",原始经营数据!$H2864)</f>
        <v/>
      </c>
      <c r="E2863" t="str">
        <f>IF(原始经营数据!$D2864="","",原始经营数据!$I2864)</f>
        <v/>
      </c>
      <c r="F2863" t="str">
        <f>IF(原始经营数据!$D2864="","",T(原始经营数据!$J2864))</f>
        <v/>
      </c>
      <c r="G2863" t="str">
        <f>IF(原始经营数据!$D2864="","",T(原始经营数据!$K2864))</f>
        <v/>
      </c>
      <c r="H2863" t="str">
        <f>IF(原始经营数据!$D2864="","",原始经营数据!$G2864)</f>
        <v/>
      </c>
      <c r="I2863" t="str">
        <f>IF($A2863="","",IF($B2863&lt;&gt;"",$B2863,IF(COUNTIFS(原始经营数据!$D$3:$D$3001,$A2863,原始经营数据!$E$3:$E$3001,"",原始经营数据!$F$3:$F$3001,$C2863,原始经营数据!$H$3:$H$3001,$D2863,原始经营数据!$K$3:$K$3001,$G2863)&gt;1,"基金整体·来源"&amp;原始经营数据!$A2864,"基金整体")))</f>
        <v/>
      </c>
      <c r="J2863" t="str">
        <f t="shared" si="663"/>
        <v/>
      </c>
      <c r="K2863" t="str">
        <f t="shared" si="664"/>
        <v/>
      </c>
      <c r="L2863" t="str">
        <f t="shared" si="665"/>
        <v/>
      </c>
      <c r="M2863">
        <f>IF($A2863="",0,IF(COUNTIF($L$2:$L2863,$L2863)=1,1,0))</f>
        <v>0</v>
      </c>
      <c r="N2863" t="str">
        <f t="shared" si="666"/>
        <v/>
      </c>
      <c r="O2863" t="str">
        <f t="shared" si="667"/>
        <v/>
      </c>
      <c r="P2863">
        <f>IF($A2863="",0,IF(COUNTIF($O$2:$O2863,$O2863)=1,1,0))</f>
        <v>0</v>
      </c>
      <c r="Q2863" t="str">
        <f>IF(AND($P2863=1,$A2863=经营数据!$B$3,$J2863=经营数据!$BA$5),COUNTIFS($P$2:$P$3000,1,$A$2:$A$3000,$A2863,$J$2:$J$3000,$J2863,$N$2:$N$3000,"&lt;"&amp;$N2863)+1,"")</f>
        <v/>
      </c>
      <c r="R2863" t="str">
        <f t="shared" si="668"/>
        <v/>
      </c>
      <c r="S2863">
        <f>IF($A2863="",0,IF(COUNTIF($R$2:$R2863,$R2863)=1,1,0))</f>
        <v>0</v>
      </c>
      <c r="T2863" t="str">
        <f t="shared" si="669"/>
        <v/>
      </c>
      <c r="U2863" t="str">
        <f>IF($A2863="","",IF($A2863=经营数据!$B$3,COUNTIFS($S$2:$S$3000,1,$A$2:$A$3000,$A2863,$T$2:$T$3000,"&lt;"&amp;$T2863)+1,""))</f>
        <v/>
      </c>
      <c r="V2863" t="str">
        <f t="shared" si="670"/>
        <v/>
      </c>
      <c r="W2863" t="str">
        <f t="shared" si="671"/>
        <v/>
      </c>
      <c r="X2863" t="str">
        <f t="shared" si="672"/>
        <v/>
      </c>
      <c r="Y2863" t="str">
        <f t="shared" si="673"/>
        <v/>
      </c>
      <c r="Z2863">
        <f>IF($A2863="",0,IF(AND($M2863=1,$A2863=经营数据!$B$3,$J2863=经营数据!$BA$5,OR($I2863=经营数据!$BA$4,COUNTIF(经营数据!$AA$9:$AA$38,$I2863)&gt;0)),1,0))</f>
        <v>0</v>
      </c>
      <c r="AA2863" t="str">
        <f t="shared" si="674"/>
        <v/>
      </c>
      <c r="AB2863" t="str">
        <f t="shared" si="675"/>
        <v/>
      </c>
      <c r="AC2863">
        <f>IF($A2863="",0,IF(COUNTIF($A$2:$A2863,$A2863)=1,1,0))</f>
        <v>0</v>
      </c>
      <c r="AD2863">
        <f t="shared" si="676"/>
        <v>29</v>
      </c>
      <c r="AE2863" t="str">
        <f t="shared" si="677"/>
        <v/>
      </c>
    </row>
    <row r="2864" spans="1:31" x14ac:dyDescent="0.4">
      <c r="A2864" t="str">
        <f>IF(原始经营数据!$D2865="","",原始经营数据!$D2865)</f>
        <v/>
      </c>
      <c r="B2864" t="str">
        <f>IF(原始经营数据!$D2865="","",T(原始经营数据!$E2865))</f>
        <v/>
      </c>
      <c r="C2864" t="str">
        <f>IF(原始经营数据!$D2865="","",原始经营数据!$F2865)</f>
        <v/>
      </c>
      <c r="D2864" t="str">
        <f>IF(原始经营数据!$D2865="","",原始经营数据!$H2865)</f>
        <v/>
      </c>
      <c r="E2864" t="str">
        <f>IF(原始经营数据!$D2865="","",原始经营数据!$I2865)</f>
        <v/>
      </c>
      <c r="F2864" t="str">
        <f>IF(原始经营数据!$D2865="","",T(原始经营数据!$J2865))</f>
        <v/>
      </c>
      <c r="G2864" t="str">
        <f>IF(原始经营数据!$D2865="","",T(原始经营数据!$K2865))</f>
        <v/>
      </c>
      <c r="H2864" t="str">
        <f>IF(原始经营数据!$D2865="","",原始经营数据!$G2865)</f>
        <v/>
      </c>
      <c r="I2864" t="str">
        <f>IF($A2864="","",IF($B2864&lt;&gt;"",$B2864,IF(COUNTIFS(原始经营数据!$D$3:$D$3001,$A2864,原始经营数据!$E$3:$E$3001,"",原始经营数据!$F$3:$F$3001,$C2864,原始经营数据!$H$3:$H$3001,$D2864,原始经营数据!$K$3:$K$3001,$G2864)&gt;1,"基金整体·来源"&amp;原始经营数据!$A2865,"基金整体")))</f>
        <v/>
      </c>
      <c r="J2864" t="str">
        <f t="shared" si="663"/>
        <v/>
      </c>
      <c r="K2864" t="str">
        <f t="shared" si="664"/>
        <v/>
      </c>
      <c r="L2864" t="str">
        <f t="shared" si="665"/>
        <v/>
      </c>
      <c r="M2864">
        <f>IF($A2864="",0,IF(COUNTIF($L$2:$L2864,$L2864)=1,1,0))</f>
        <v>0</v>
      </c>
      <c r="N2864" t="str">
        <f t="shared" si="666"/>
        <v/>
      </c>
      <c r="O2864" t="str">
        <f t="shared" si="667"/>
        <v/>
      </c>
      <c r="P2864">
        <f>IF($A2864="",0,IF(COUNTIF($O$2:$O2864,$O2864)=1,1,0))</f>
        <v>0</v>
      </c>
      <c r="Q2864" t="str">
        <f>IF(AND($P2864=1,$A2864=经营数据!$B$3,$J2864=经营数据!$BA$5),COUNTIFS($P$2:$P$3000,1,$A$2:$A$3000,$A2864,$J$2:$J$3000,$J2864,$N$2:$N$3000,"&lt;"&amp;$N2864)+1,"")</f>
        <v/>
      </c>
      <c r="R2864" t="str">
        <f t="shared" si="668"/>
        <v/>
      </c>
      <c r="S2864">
        <f>IF($A2864="",0,IF(COUNTIF($R$2:$R2864,$R2864)=1,1,0))</f>
        <v>0</v>
      </c>
      <c r="T2864" t="str">
        <f t="shared" si="669"/>
        <v/>
      </c>
      <c r="U2864" t="str">
        <f>IF($A2864="","",IF($A2864=经营数据!$B$3,COUNTIFS($S$2:$S$3000,1,$A$2:$A$3000,$A2864,$T$2:$T$3000,"&lt;"&amp;$T2864)+1,""))</f>
        <v/>
      </c>
      <c r="V2864" t="str">
        <f t="shared" si="670"/>
        <v/>
      </c>
      <c r="W2864" t="str">
        <f t="shared" si="671"/>
        <v/>
      </c>
      <c r="X2864" t="str">
        <f t="shared" si="672"/>
        <v/>
      </c>
      <c r="Y2864" t="str">
        <f t="shared" si="673"/>
        <v/>
      </c>
      <c r="Z2864">
        <f>IF($A2864="",0,IF(AND($M2864=1,$A2864=经营数据!$B$3,$J2864=经营数据!$BA$5,OR($I2864=经营数据!$BA$4,COUNTIF(经营数据!$AA$9:$AA$38,$I2864)&gt;0)),1,0))</f>
        <v>0</v>
      </c>
      <c r="AA2864" t="str">
        <f t="shared" si="674"/>
        <v/>
      </c>
      <c r="AB2864" t="str">
        <f t="shared" si="675"/>
        <v/>
      </c>
      <c r="AC2864">
        <f>IF($A2864="",0,IF(COUNTIF($A$2:$A2864,$A2864)=1,1,0))</f>
        <v>0</v>
      </c>
      <c r="AD2864">
        <f t="shared" si="676"/>
        <v>29</v>
      </c>
      <c r="AE2864" t="str">
        <f t="shared" si="677"/>
        <v/>
      </c>
    </row>
    <row r="2865" spans="1:31" x14ac:dyDescent="0.4">
      <c r="A2865" t="str">
        <f>IF(原始经营数据!$D2866="","",原始经营数据!$D2866)</f>
        <v/>
      </c>
      <c r="B2865" t="str">
        <f>IF(原始经营数据!$D2866="","",T(原始经营数据!$E2866))</f>
        <v/>
      </c>
      <c r="C2865" t="str">
        <f>IF(原始经营数据!$D2866="","",原始经营数据!$F2866)</f>
        <v/>
      </c>
      <c r="D2865" t="str">
        <f>IF(原始经营数据!$D2866="","",原始经营数据!$H2866)</f>
        <v/>
      </c>
      <c r="E2865" t="str">
        <f>IF(原始经营数据!$D2866="","",原始经营数据!$I2866)</f>
        <v/>
      </c>
      <c r="F2865" t="str">
        <f>IF(原始经营数据!$D2866="","",T(原始经营数据!$J2866))</f>
        <v/>
      </c>
      <c r="G2865" t="str">
        <f>IF(原始经营数据!$D2866="","",T(原始经营数据!$K2866))</f>
        <v/>
      </c>
      <c r="H2865" t="str">
        <f>IF(原始经营数据!$D2866="","",原始经营数据!$G2866)</f>
        <v/>
      </c>
      <c r="I2865" t="str">
        <f>IF($A2865="","",IF($B2865&lt;&gt;"",$B2865,IF(COUNTIFS(原始经营数据!$D$3:$D$3001,$A2865,原始经营数据!$E$3:$E$3001,"",原始经营数据!$F$3:$F$3001,$C2865,原始经营数据!$H$3:$H$3001,$D2865,原始经营数据!$K$3:$K$3001,$G2865)&gt;1,"基金整体·来源"&amp;原始经营数据!$A2866,"基金整体")))</f>
        <v/>
      </c>
      <c r="J2865" t="str">
        <f t="shared" si="663"/>
        <v/>
      </c>
      <c r="K2865" t="str">
        <f t="shared" si="664"/>
        <v/>
      </c>
      <c r="L2865" t="str">
        <f t="shared" si="665"/>
        <v/>
      </c>
      <c r="M2865">
        <f>IF($A2865="",0,IF(COUNTIF($L$2:$L2865,$L2865)=1,1,0))</f>
        <v>0</v>
      </c>
      <c r="N2865" t="str">
        <f t="shared" si="666"/>
        <v/>
      </c>
      <c r="O2865" t="str">
        <f t="shared" si="667"/>
        <v/>
      </c>
      <c r="P2865">
        <f>IF($A2865="",0,IF(COUNTIF($O$2:$O2865,$O2865)=1,1,0))</f>
        <v>0</v>
      </c>
      <c r="Q2865" t="str">
        <f>IF(AND($P2865=1,$A2865=经营数据!$B$3,$J2865=经营数据!$BA$5),COUNTIFS($P$2:$P$3000,1,$A$2:$A$3000,$A2865,$J$2:$J$3000,$J2865,$N$2:$N$3000,"&lt;"&amp;$N2865)+1,"")</f>
        <v/>
      </c>
      <c r="R2865" t="str">
        <f t="shared" si="668"/>
        <v/>
      </c>
      <c r="S2865">
        <f>IF($A2865="",0,IF(COUNTIF($R$2:$R2865,$R2865)=1,1,0))</f>
        <v>0</v>
      </c>
      <c r="T2865" t="str">
        <f t="shared" si="669"/>
        <v/>
      </c>
      <c r="U2865" t="str">
        <f>IF($A2865="","",IF($A2865=经营数据!$B$3,COUNTIFS($S$2:$S$3000,1,$A$2:$A$3000,$A2865,$T$2:$T$3000,"&lt;"&amp;$T2865)+1,""))</f>
        <v/>
      </c>
      <c r="V2865" t="str">
        <f t="shared" si="670"/>
        <v/>
      </c>
      <c r="W2865" t="str">
        <f t="shared" si="671"/>
        <v/>
      </c>
      <c r="X2865" t="str">
        <f t="shared" si="672"/>
        <v/>
      </c>
      <c r="Y2865" t="str">
        <f t="shared" si="673"/>
        <v/>
      </c>
      <c r="Z2865">
        <f>IF($A2865="",0,IF(AND($M2865=1,$A2865=经营数据!$B$3,$J2865=经营数据!$BA$5,OR($I2865=经营数据!$BA$4,COUNTIF(经营数据!$AA$9:$AA$38,$I2865)&gt;0)),1,0))</f>
        <v>0</v>
      </c>
      <c r="AA2865" t="str">
        <f t="shared" si="674"/>
        <v/>
      </c>
      <c r="AB2865" t="str">
        <f t="shared" si="675"/>
        <v/>
      </c>
      <c r="AC2865">
        <f>IF($A2865="",0,IF(COUNTIF($A$2:$A2865,$A2865)=1,1,0))</f>
        <v>0</v>
      </c>
      <c r="AD2865">
        <f t="shared" si="676"/>
        <v>29</v>
      </c>
      <c r="AE2865" t="str">
        <f t="shared" si="677"/>
        <v/>
      </c>
    </row>
    <row r="2866" spans="1:31" x14ac:dyDescent="0.4">
      <c r="A2866" t="str">
        <f>IF(原始经营数据!$D2867="","",原始经营数据!$D2867)</f>
        <v/>
      </c>
      <c r="B2866" t="str">
        <f>IF(原始经营数据!$D2867="","",T(原始经营数据!$E2867))</f>
        <v/>
      </c>
      <c r="C2866" t="str">
        <f>IF(原始经营数据!$D2867="","",原始经营数据!$F2867)</f>
        <v/>
      </c>
      <c r="D2866" t="str">
        <f>IF(原始经营数据!$D2867="","",原始经营数据!$H2867)</f>
        <v/>
      </c>
      <c r="E2866" t="str">
        <f>IF(原始经营数据!$D2867="","",原始经营数据!$I2867)</f>
        <v/>
      </c>
      <c r="F2866" t="str">
        <f>IF(原始经营数据!$D2867="","",T(原始经营数据!$J2867))</f>
        <v/>
      </c>
      <c r="G2866" t="str">
        <f>IF(原始经营数据!$D2867="","",T(原始经营数据!$K2867))</f>
        <v/>
      </c>
      <c r="H2866" t="str">
        <f>IF(原始经营数据!$D2867="","",原始经营数据!$G2867)</f>
        <v/>
      </c>
      <c r="I2866" t="str">
        <f>IF($A2866="","",IF($B2866&lt;&gt;"",$B2866,IF(COUNTIFS(原始经营数据!$D$3:$D$3001,$A2866,原始经营数据!$E$3:$E$3001,"",原始经营数据!$F$3:$F$3001,$C2866,原始经营数据!$H$3:$H$3001,$D2866,原始经营数据!$K$3:$K$3001,$G2866)&gt;1,"基金整体·来源"&amp;原始经营数据!$A2867,"基金整体")))</f>
        <v/>
      </c>
      <c r="J2866" t="str">
        <f t="shared" si="663"/>
        <v/>
      </c>
      <c r="K2866" t="str">
        <f t="shared" si="664"/>
        <v/>
      </c>
      <c r="L2866" t="str">
        <f t="shared" si="665"/>
        <v/>
      </c>
      <c r="M2866">
        <f>IF($A2866="",0,IF(COUNTIF($L$2:$L2866,$L2866)=1,1,0))</f>
        <v>0</v>
      </c>
      <c r="N2866" t="str">
        <f t="shared" si="666"/>
        <v/>
      </c>
      <c r="O2866" t="str">
        <f t="shared" si="667"/>
        <v/>
      </c>
      <c r="P2866">
        <f>IF($A2866="",0,IF(COUNTIF($O$2:$O2866,$O2866)=1,1,0))</f>
        <v>0</v>
      </c>
      <c r="Q2866" t="str">
        <f>IF(AND($P2866=1,$A2866=经营数据!$B$3,$J2866=经营数据!$BA$5),COUNTIFS($P$2:$P$3000,1,$A$2:$A$3000,$A2866,$J$2:$J$3000,$J2866,$N$2:$N$3000,"&lt;"&amp;$N2866)+1,"")</f>
        <v/>
      </c>
      <c r="R2866" t="str">
        <f t="shared" si="668"/>
        <v/>
      </c>
      <c r="S2866">
        <f>IF($A2866="",0,IF(COUNTIF($R$2:$R2866,$R2866)=1,1,0))</f>
        <v>0</v>
      </c>
      <c r="T2866" t="str">
        <f t="shared" si="669"/>
        <v/>
      </c>
      <c r="U2866" t="str">
        <f>IF($A2866="","",IF($A2866=经营数据!$B$3,COUNTIFS($S$2:$S$3000,1,$A$2:$A$3000,$A2866,$T$2:$T$3000,"&lt;"&amp;$T2866)+1,""))</f>
        <v/>
      </c>
      <c r="V2866" t="str">
        <f t="shared" si="670"/>
        <v/>
      </c>
      <c r="W2866" t="str">
        <f t="shared" si="671"/>
        <v/>
      </c>
      <c r="X2866" t="str">
        <f t="shared" si="672"/>
        <v/>
      </c>
      <c r="Y2866" t="str">
        <f t="shared" si="673"/>
        <v/>
      </c>
      <c r="Z2866">
        <f>IF($A2866="",0,IF(AND($M2866=1,$A2866=经营数据!$B$3,$J2866=经营数据!$BA$5,OR($I2866=经营数据!$BA$4,COUNTIF(经营数据!$AA$9:$AA$38,$I2866)&gt;0)),1,0))</f>
        <v>0</v>
      </c>
      <c r="AA2866" t="str">
        <f t="shared" si="674"/>
        <v/>
      </c>
      <c r="AB2866" t="str">
        <f t="shared" si="675"/>
        <v/>
      </c>
      <c r="AC2866">
        <f>IF($A2866="",0,IF(COUNTIF($A$2:$A2866,$A2866)=1,1,0))</f>
        <v>0</v>
      </c>
      <c r="AD2866">
        <f t="shared" si="676"/>
        <v>29</v>
      </c>
      <c r="AE2866" t="str">
        <f t="shared" si="677"/>
        <v/>
      </c>
    </row>
    <row r="2867" spans="1:31" x14ac:dyDescent="0.4">
      <c r="A2867" t="str">
        <f>IF(原始经营数据!$D2868="","",原始经营数据!$D2868)</f>
        <v/>
      </c>
      <c r="B2867" t="str">
        <f>IF(原始经营数据!$D2868="","",T(原始经营数据!$E2868))</f>
        <v/>
      </c>
      <c r="C2867" t="str">
        <f>IF(原始经营数据!$D2868="","",原始经营数据!$F2868)</f>
        <v/>
      </c>
      <c r="D2867" t="str">
        <f>IF(原始经营数据!$D2868="","",原始经营数据!$H2868)</f>
        <v/>
      </c>
      <c r="E2867" t="str">
        <f>IF(原始经营数据!$D2868="","",原始经营数据!$I2868)</f>
        <v/>
      </c>
      <c r="F2867" t="str">
        <f>IF(原始经营数据!$D2868="","",T(原始经营数据!$J2868))</f>
        <v/>
      </c>
      <c r="G2867" t="str">
        <f>IF(原始经营数据!$D2868="","",T(原始经营数据!$K2868))</f>
        <v/>
      </c>
      <c r="H2867" t="str">
        <f>IF(原始经营数据!$D2868="","",原始经营数据!$G2868)</f>
        <v/>
      </c>
      <c r="I2867" t="str">
        <f>IF($A2867="","",IF($B2867&lt;&gt;"",$B2867,IF(COUNTIFS(原始经营数据!$D$3:$D$3001,$A2867,原始经营数据!$E$3:$E$3001,"",原始经营数据!$F$3:$F$3001,$C2867,原始经营数据!$H$3:$H$3001,$D2867,原始经营数据!$K$3:$K$3001,$G2867)&gt;1,"基金整体·来源"&amp;原始经营数据!$A2868,"基金整体")))</f>
        <v/>
      </c>
      <c r="J2867" t="str">
        <f t="shared" si="663"/>
        <v/>
      </c>
      <c r="K2867" t="str">
        <f t="shared" si="664"/>
        <v/>
      </c>
      <c r="L2867" t="str">
        <f t="shared" si="665"/>
        <v/>
      </c>
      <c r="M2867">
        <f>IF($A2867="",0,IF(COUNTIF($L$2:$L2867,$L2867)=1,1,0))</f>
        <v>0</v>
      </c>
      <c r="N2867" t="str">
        <f t="shared" si="666"/>
        <v/>
      </c>
      <c r="O2867" t="str">
        <f t="shared" si="667"/>
        <v/>
      </c>
      <c r="P2867">
        <f>IF($A2867="",0,IF(COUNTIF($O$2:$O2867,$O2867)=1,1,0))</f>
        <v>0</v>
      </c>
      <c r="Q2867" t="str">
        <f>IF(AND($P2867=1,$A2867=经营数据!$B$3,$J2867=经营数据!$BA$5),COUNTIFS($P$2:$P$3000,1,$A$2:$A$3000,$A2867,$J$2:$J$3000,$J2867,$N$2:$N$3000,"&lt;"&amp;$N2867)+1,"")</f>
        <v/>
      </c>
      <c r="R2867" t="str">
        <f t="shared" si="668"/>
        <v/>
      </c>
      <c r="S2867">
        <f>IF($A2867="",0,IF(COUNTIF($R$2:$R2867,$R2867)=1,1,0))</f>
        <v>0</v>
      </c>
      <c r="T2867" t="str">
        <f t="shared" si="669"/>
        <v/>
      </c>
      <c r="U2867" t="str">
        <f>IF($A2867="","",IF($A2867=经营数据!$B$3,COUNTIFS($S$2:$S$3000,1,$A$2:$A$3000,$A2867,$T$2:$T$3000,"&lt;"&amp;$T2867)+1,""))</f>
        <v/>
      </c>
      <c r="V2867" t="str">
        <f t="shared" si="670"/>
        <v/>
      </c>
      <c r="W2867" t="str">
        <f t="shared" si="671"/>
        <v/>
      </c>
      <c r="X2867" t="str">
        <f t="shared" si="672"/>
        <v/>
      </c>
      <c r="Y2867" t="str">
        <f t="shared" si="673"/>
        <v/>
      </c>
      <c r="Z2867">
        <f>IF($A2867="",0,IF(AND($M2867=1,$A2867=经营数据!$B$3,$J2867=经营数据!$BA$5,OR($I2867=经营数据!$BA$4,COUNTIF(经营数据!$AA$9:$AA$38,$I2867)&gt;0)),1,0))</f>
        <v>0</v>
      </c>
      <c r="AA2867" t="str">
        <f t="shared" si="674"/>
        <v/>
      </c>
      <c r="AB2867" t="str">
        <f t="shared" si="675"/>
        <v/>
      </c>
      <c r="AC2867">
        <f>IF($A2867="",0,IF(COUNTIF($A$2:$A2867,$A2867)=1,1,0))</f>
        <v>0</v>
      </c>
      <c r="AD2867">
        <f t="shared" si="676"/>
        <v>29</v>
      </c>
      <c r="AE2867" t="str">
        <f t="shared" si="677"/>
        <v/>
      </c>
    </row>
    <row r="2868" spans="1:31" x14ac:dyDescent="0.4">
      <c r="A2868" t="str">
        <f>IF(原始经营数据!$D2869="","",原始经营数据!$D2869)</f>
        <v/>
      </c>
      <c r="B2868" t="str">
        <f>IF(原始经营数据!$D2869="","",T(原始经营数据!$E2869))</f>
        <v/>
      </c>
      <c r="C2868" t="str">
        <f>IF(原始经营数据!$D2869="","",原始经营数据!$F2869)</f>
        <v/>
      </c>
      <c r="D2868" t="str">
        <f>IF(原始经营数据!$D2869="","",原始经营数据!$H2869)</f>
        <v/>
      </c>
      <c r="E2868" t="str">
        <f>IF(原始经营数据!$D2869="","",原始经营数据!$I2869)</f>
        <v/>
      </c>
      <c r="F2868" t="str">
        <f>IF(原始经营数据!$D2869="","",T(原始经营数据!$J2869))</f>
        <v/>
      </c>
      <c r="G2868" t="str">
        <f>IF(原始经营数据!$D2869="","",T(原始经营数据!$K2869))</f>
        <v/>
      </c>
      <c r="H2868" t="str">
        <f>IF(原始经营数据!$D2869="","",原始经营数据!$G2869)</f>
        <v/>
      </c>
      <c r="I2868" t="str">
        <f>IF($A2868="","",IF($B2868&lt;&gt;"",$B2868,IF(COUNTIFS(原始经营数据!$D$3:$D$3001,$A2868,原始经营数据!$E$3:$E$3001,"",原始经营数据!$F$3:$F$3001,$C2868,原始经营数据!$H$3:$H$3001,$D2868,原始经营数据!$K$3:$K$3001,$G2868)&gt;1,"基金整体·来源"&amp;原始经营数据!$A2869,"基金整体")))</f>
        <v/>
      </c>
      <c r="J2868" t="str">
        <f t="shared" si="663"/>
        <v/>
      </c>
      <c r="K2868" t="str">
        <f t="shared" si="664"/>
        <v/>
      </c>
      <c r="L2868" t="str">
        <f t="shared" si="665"/>
        <v/>
      </c>
      <c r="M2868">
        <f>IF($A2868="",0,IF(COUNTIF($L$2:$L2868,$L2868)=1,1,0))</f>
        <v>0</v>
      </c>
      <c r="N2868" t="str">
        <f t="shared" si="666"/>
        <v/>
      </c>
      <c r="O2868" t="str">
        <f t="shared" si="667"/>
        <v/>
      </c>
      <c r="P2868">
        <f>IF($A2868="",0,IF(COUNTIF($O$2:$O2868,$O2868)=1,1,0))</f>
        <v>0</v>
      </c>
      <c r="Q2868" t="str">
        <f>IF(AND($P2868=1,$A2868=经营数据!$B$3,$J2868=经营数据!$BA$5),COUNTIFS($P$2:$P$3000,1,$A$2:$A$3000,$A2868,$J$2:$J$3000,$J2868,$N$2:$N$3000,"&lt;"&amp;$N2868)+1,"")</f>
        <v/>
      </c>
      <c r="R2868" t="str">
        <f t="shared" si="668"/>
        <v/>
      </c>
      <c r="S2868">
        <f>IF($A2868="",0,IF(COUNTIF($R$2:$R2868,$R2868)=1,1,0))</f>
        <v>0</v>
      </c>
      <c r="T2868" t="str">
        <f t="shared" si="669"/>
        <v/>
      </c>
      <c r="U2868" t="str">
        <f>IF($A2868="","",IF($A2868=经营数据!$B$3,COUNTIFS($S$2:$S$3000,1,$A$2:$A$3000,$A2868,$T$2:$T$3000,"&lt;"&amp;$T2868)+1,""))</f>
        <v/>
      </c>
      <c r="V2868" t="str">
        <f t="shared" si="670"/>
        <v/>
      </c>
      <c r="W2868" t="str">
        <f t="shared" si="671"/>
        <v/>
      </c>
      <c r="X2868" t="str">
        <f t="shared" si="672"/>
        <v/>
      </c>
      <c r="Y2868" t="str">
        <f t="shared" si="673"/>
        <v/>
      </c>
      <c r="Z2868">
        <f>IF($A2868="",0,IF(AND($M2868=1,$A2868=经营数据!$B$3,$J2868=经营数据!$BA$5,OR($I2868=经营数据!$BA$4,COUNTIF(经营数据!$AA$9:$AA$38,$I2868)&gt;0)),1,0))</f>
        <v>0</v>
      </c>
      <c r="AA2868" t="str">
        <f t="shared" si="674"/>
        <v/>
      </c>
      <c r="AB2868" t="str">
        <f t="shared" si="675"/>
        <v/>
      </c>
      <c r="AC2868">
        <f>IF($A2868="",0,IF(COUNTIF($A$2:$A2868,$A2868)=1,1,0))</f>
        <v>0</v>
      </c>
      <c r="AD2868">
        <f t="shared" si="676"/>
        <v>29</v>
      </c>
      <c r="AE2868" t="str">
        <f t="shared" si="677"/>
        <v/>
      </c>
    </row>
    <row r="2869" spans="1:31" x14ac:dyDescent="0.4">
      <c r="A2869" t="str">
        <f>IF(原始经营数据!$D2870="","",原始经营数据!$D2870)</f>
        <v/>
      </c>
      <c r="B2869" t="str">
        <f>IF(原始经营数据!$D2870="","",T(原始经营数据!$E2870))</f>
        <v/>
      </c>
      <c r="C2869" t="str">
        <f>IF(原始经营数据!$D2870="","",原始经营数据!$F2870)</f>
        <v/>
      </c>
      <c r="D2869" t="str">
        <f>IF(原始经营数据!$D2870="","",原始经营数据!$H2870)</f>
        <v/>
      </c>
      <c r="E2869" t="str">
        <f>IF(原始经营数据!$D2870="","",原始经营数据!$I2870)</f>
        <v/>
      </c>
      <c r="F2869" t="str">
        <f>IF(原始经营数据!$D2870="","",T(原始经营数据!$J2870))</f>
        <v/>
      </c>
      <c r="G2869" t="str">
        <f>IF(原始经营数据!$D2870="","",T(原始经营数据!$K2870))</f>
        <v/>
      </c>
      <c r="H2869" t="str">
        <f>IF(原始经营数据!$D2870="","",原始经营数据!$G2870)</f>
        <v/>
      </c>
      <c r="I2869" t="str">
        <f>IF($A2869="","",IF($B2869&lt;&gt;"",$B2869,IF(COUNTIFS(原始经营数据!$D$3:$D$3001,$A2869,原始经营数据!$E$3:$E$3001,"",原始经营数据!$F$3:$F$3001,$C2869,原始经营数据!$H$3:$H$3001,$D2869,原始经营数据!$K$3:$K$3001,$G2869)&gt;1,"基金整体·来源"&amp;原始经营数据!$A2870,"基金整体")))</f>
        <v/>
      </c>
      <c r="J2869" t="str">
        <f t="shared" si="663"/>
        <v/>
      </c>
      <c r="K2869" t="str">
        <f t="shared" si="664"/>
        <v/>
      </c>
      <c r="L2869" t="str">
        <f t="shared" si="665"/>
        <v/>
      </c>
      <c r="M2869">
        <f>IF($A2869="",0,IF(COUNTIF($L$2:$L2869,$L2869)=1,1,0))</f>
        <v>0</v>
      </c>
      <c r="N2869" t="str">
        <f t="shared" si="666"/>
        <v/>
      </c>
      <c r="O2869" t="str">
        <f t="shared" si="667"/>
        <v/>
      </c>
      <c r="P2869">
        <f>IF($A2869="",0,IF(COUNTIF($O$2:$O2869,$O2869)=1,1,0))</f>
        <v>0</v>
      </c>
      <c r="Q2869" t="str">
        <f>IF(AND($P2869=1,$A2869=经营数据!$B$3,$J2869=经营数据!$BA$5),COUNTIFS($P$2:$P$3000,1,$A$2:$A$3000,$A2869,$J$2:$J$3000,$J2869,$N$2:$N$3000,"&lt;"&amp;$N2869)+1,"")</f>
        <v/>
      </c>
      <c r="R2869" t="str">
        <f t="shared" si="668"/>
        <v/>
      </c>
      <c r="S2869">
        <f>IF($A2869="",0,IF(COUNTIF($R$2:$R2869,$R2869)=1,1,0))</f>
        <v>0</v>
      </c>
      <c r="T2869" t="str">
        <f t="shared" si="669"/>
        <v/>
      </c>
      <c r="U2869" t="str">
        <f>IF($A2869="","",IF($A2869=经营数据!$B$3,COUNTIFS($S$2:$S$3000,1,$A$2:$A$3000,$A2869,$T$2:$T$3000,"&lt;"&amp;$T2869)+1,""))</f>
        <v/>
      </c>
      <c r="V2869" t="str">
        <f t="shared" si="670"/>
        <v/>
      </c>
      <c r="W2869" t="str">
        <f t="shared" si="671"/>
        <v/>
      </c>
      <c r="X2869" t="str">
        <f t="shared" si="672"/>
        <v/>
      </c>
      <c r="Y2869" t="str">
        <f t="shared" si="673"/>
        <v/>
      </c>
      <c r="Z2869">
        <f>IF($A2869="",0,IF(AND($M2869=1,$A2869=经营数据!$B$3,$J2869=经营数据!$BA$5,OR($I2869=经营数据!$BA$4,COUNTIF(经营数据!$AA$9:$AA$38,$I2869)&gt;0)),1,0))</f>
        <v>0</v>
      </c>
      <c r="AA2869" t="str">
        <f t="shared" si="674"/>
        <v/>
      </c>
      <c r="AB2869" t="str">
        <f t="shared" si="675"/>
        <v/>
      </c>
      <c r="AC2869">
        <f>IF($A2869="",0,IF(COUNTIF($A$2:$A2869,$A2869)=1,1,0))</f>
        <v>0</v>
      </c>
      <c r="AD2869">
        <f t="shared" si="676"/>
        <v>29</v>
      </c>
      <c r="AE2869" t="str">
        <f t="shared" si="677"/>
        <v/>
      </c>
    </row>
    <row r="2870" spans="1:31" x14ac:dyDescent="0.4">
      <c r="A2870" t="str">
        <f>IF(原始经营数据!$D2871="","",原始经营数据!$D2871)</f>
        <v/>
      </c>
      <c r="B2870" t="str">
        <f>IF(原始经营数据!$D2871="","",T(原始经营数据!$E2871))</f>
        <v/>
      </c>
      <c r="C2870" t="str">
        <f>IF(原始经营数据!$D2871="","",原始经营数据!$F2871)</f>
        <v/>
      </c>
      <c r="D2870" t="str">
        <f>IF(原始经营数据!$D2871="","",原始经营数据!$H2871)</f>
        <v/>
      </c>
      <c r="E2870" t="str">
        <f>IF(原始经营数据!$D2871="","",原始经营数据!$I2871)</f>
        <v/>
      </c>
      <c r="F2870" t="str">
        <f>IF(原始经营数据!$D2871="","",T(原始经营数据!$J2871))</f>
        <v/>
      </c>
      <c r="G2870" t="str">
        <f>IF(原始经营数据!$D2871="","",T(原始经营数据!$K2871))</f>
        <v/>
      </c>
      <c r="H2870" t="str">
        <f>IF(原始经营数据!$D2871="","",原始经营数据!$G2871)</f>
        <v/>
      </c>
      <c r="I2870" t="str">
        <f>IF($A2870="","",IF($B2870&lt;&gt;"",$B2870,IF(COUNTIFS(原始经营数据!$D$3:$D$3001,$A2870,原始经营数据!$E$3:$E$3001,"",原始经营数据!$F$3:$F$3001,$C2870,原始经营数据!$H$3:$H$3001,$D2870,原始经营数据!$K$3:$K$3001,$G2870)&gt;1,"基金整体·来源"&amp;原始经营数据!$A2871,"基金整体")))</f>
        <v/>
      </c>
      <c r="J2870" t="str">
        <f t="shared" si="663"/>
        <v/>
      </c>
      <c r="K2870" t="str">
        <f t="shared" si="664"/>
        <v/>
      </c>
      <c r="L2870" t="str">
        <f t="shared" si="665"/>
        <v/>
      </c>
      <c r="M2870">
        <f>IF($A2870="",0,IF(COUNTIF($L$2:$L2870,$L2870)=1,1,0))</f>
        <v>0</v>
      </c>
      <c r="N2870" t="str">
        <f t="shared" si="666"/>
        <v/>
      </c>
      <c r="O2870" t="str">
        <f t="shared" si="667"/>
        <v/>
      </c>
      <c r="P2870">
        <f>IF($A2870="",0,IF(COUNTIF($O$2:$O2870,$O2870)=1,1,0))</f>
        <v>0</v>
      </c>
      <c r="Q2870" t="str">
        <f>IF(AND($P2870=1,$A2870=经营数据!$B$3,$J2870=经营数据!$BA$5),COUNTIFS($P$2:$P$3000,1,$A$2:$A$3000,$A2870,$J$2:$J$3000,$J2870,$N$2:$N$3000,"&lt;"&amp;$N2870)+1,"")</f>
        <v/>
      </c>
      <c r="R2870" t="str">
        <f t="shared" si="668"/>
        <v/>
      </c>
      <c r="S2870">
        <f>IF($A2870="",0,IF(COUNTIF($R$2:$R2870,$R2870)=1,1,0))</f>
        <v>0</v>
      </c>
      <c r="T2870" t="str">
        <f t="shared" si="669"/>
        <v/>
      </c>
      <c r="U2870" t="str">
        <f>IF($A2870="","",IF($A2870=经营数据!$B$3,COUNTIFS($S$2:$S$3000,1,$A$2:$A$3000,$A2870,$T$2:$T$3000,"&lt;"&amp;$T2870)+1,""))</f>
        <v/>
      </c>
      <c r="V2870" t="str">
        <f t="shared" si="670"/>
        <v/>
      </c>
      <c r="W2870" t="str">
        <f t="shared" si="671"/>
        <v/>
      </c>
      <c r="X2870" t="str">
        <f t="shared" si="672"/>
        <v/>
      </c>
      <c r="Y2870" t="str">
        <f t="shared" si="673"/>
        <v/>
      </c>
      <c r="Z2870">
        <f>IF($A2870="",0,IF(AND($M2870=1,$A2870=经营数据!$B$3,$J2870=经营数据!$BA$5,OR($I2870=经营数据!$BA$4,COUNTIF(经营数据!$AA$9:$AA$38,$I2870)&gt;0)),1,0))</f>
        <v>0</v>
      </c>
      <c r="AA2870" t="str">
        <f t="shared" si="674"/>
        <v/>
      </c>
      <c r="AB2870" t="str">
        <f t="shared" si="675"/>
        <v/>
      </c>
      <c r="AC2870">
        <f>IF($A2870="",0,IF(COUNTIF($A$2:$A2870,$A2870)=1,1,0))</f>
        <v>0</v>
      </c>
      <c r="AD2870">
        <f t="shared" si="676"/>
        <v>29</v>
      </c>
      <c r="AE2870" t="str">
        <f t="shared" si="677"/>
        <v/>
      </c>
    </row>
    <row r="2871" spans="1:31" x14ac:dyDescent="0.4">
      <c r="A2871" t="str">
        <f>IF(原始经营数据!$D2872="","",原始经营数据!$D2872)</f>
        <v/>
      </c>
      <c r="B2871" t="str">
        <f>IF(原始经营数据!$D2872="","",T(原始经营数据!$E2872))</f>
        <v/>
      </c>
      <c r="C2871" t="str">
        <f>IF(原始经营数据!$D2872="","",原始经营数据!$F2872)</f>
        <v/>
      </c>
      <c r="D2871" t="str">
        <f>IF(原始经营数据!$D2872="","",原始经营数据!$H2872)</f>
        <v/>
      </c>
      <c r="E2871" t="str">
        <f>IF(原始经营数据!$D2872="","",原始经营数据!$I2872)</f>
        <v/>
      </c>
      <c r="F2871" t="str">
        <f>IF(原始经营数据!$D2872="","",T(原始经营数据!$J2872))</f>
        <v/>
      </c>
      <c r="G2871" t="str">
        <f>IF(原始经营数据!$D2872="","",T(原始经营数据!$K2872))</f>
        <v/>
      </c>
      <c r="H2871" t="str">
        <f>IF(原始经营数据!$D2872="","",原始经营数据!$G2872)</f>
        <v/>
      </c>
      <c r="I2871" t="str">
        <f>IF($A2871="","",IF($B2871&lt;&gt;"",$B2871,IF(COUNTIFS(原始经营数据!$D$3:$D$3001,$A2871,原始经营数据!$E$3:$E$3001,"",原始经营数据!$F$3:$F$3001,$C2871,原始经营数据!$H$3:$H$3001,$D2871,原始经营数据!$K$3:$K$3001,$G2871)&gt;1,"基金整体·来源"&amp;原始经营数据!$A2872,"基金整体")))</f>
        <v/>
      </c>
      <c r="J2871" t="str">
        <f t="shared" si="663"/>
        <v/>
      </c>
      <c r="K2871" t="str">
        <f t="shared" si="664"/>
        <v/>
      </c>
      <c r="L2871" t="str">
        <f t="shared" si="665"/>
        <v/>
      </c>
      <c r="M2871">
        <f>IF($A2871="",0,IF(COUNTIF($L$2:$L2871,$L2871)=1,1,0))</f>
        <v>0</v>
      </c>
      <c r="N2871" t="str">
        <f t="shared" si="666"/>
        <v/>
      </c>
      <c r="O2871" t="str">
        <f t="shared" si="667"/>
        <v/>
      </c>
      <c r="P2871">
        <f>IF($A2871="",0,IF(COUNTIF($O$2:$O2871,$O2871)=1,1,0))</f>
        <v>0</v>
      </c>
      <c r="Q2871" t="str">
        <f>IF(AND($P2871=1,$A2871=经营数据!$B$3,$J2871=经营数据!$BA$5),COUNTIFS($P$2:$P$3000,1,$A$2:$A$3000,$A2871,$J$2:$J$3000,$J2871,$N$2:$N$3000,"&lt;"&amp;$N2871)+1,"")</f>
        <v/>
      </c>
      <c r="R2871" t="str">
        <f t="shared" si="668"/>
        <v/>
      </c>
      <c r="S2871">
        <f>IF($A2871="",0,IF(COUNTIF($R$2:$R2871,$R2871)=1,1,0))</f>
        <v>0</v>
      </c>
      <c r="T2871" t="str">
        <f t="shared" si="669"/>
        <v/>
      </c>
      <c r="U2871" t="str">
        <f>IF($A2871="","",IF($A2871=经营数据!$B$3,COUNTIFS($S$2:$S$3000,1,$A$2:$A$3000,$A2871,$T$2:$T$3000,"&lt;"&amp;$T2871)+1,""))</f>
        <v/>
      </c>
      <c r="V2871" t="str">
        <f t="shared" si="670"/>
        <v/>
      </c>
      <c r="W2871" t="str">
        <f t="shared" si="671"/>
        <v/>
      </c>
      <c r="X2871" t="str">
        <f t="shared" si="672"/>
        <v/>
      </c>
      <c r="Y2871" t="str">
        <f t="shared" si="673"/>
        <v/>
      </c>
      <c r="Z2871">
        <f>IF($A2871="",0,IF(AND($M2871=1,$A2871=经营数据!$B$3,$J2871=经营数据!$BA$5,OR($I2871=经营数据!$BA$4,COUNTIF(经营数据!$AA$9:$AA$38,$I2871)&gt;0)),1,0))</f>
        <v>0</v>
      </c>
      <c r="AA2871" t="str">
        <f t="shared" si="674"/>
        <v/>
      </c>
      <c r="AB2871" t="str">
        <f t="shared" si="675"/>
        <v/>
      </c>
      <c r="AC2871">
        <f>IF($A2871="",0,IF(COUNTIF($A$2:$A2871,$A2871)=1,1,0))</f>
        <v>0</v>
      </c>
      <c r="AD2871">
        <f t="shared" si="676"/>
        <v>29</v>
      </c>
      <c r="AE2871" t="str">
        <f t="shared" si="677"/>
        <v/>
      </c>
    </row>
    <row r="2872" spans="1:31" x14ac:dyDescent="0.4">
      <c r="A2872" t="str">
        <f>IF(原始经营数据!$D2873="","",原始经营数据!$D2873)</f>
        <v/>
      </c>
      <c r="B2872" t="str">
        <f>IF(原始经营数据!$D2873="","",T(原始经营数据!$E2873))</f>
        <v/>
      </c>
      <c r="C2872" t="str">
        <f>IF(原始经营数据!$D2873="","",原始经营数据!$F2873)</f>
        <v/>
      </c>
      <c r="D2872" t="str">
        <f>IF(原始经营数据!$D2873="","",原始经营数据!$H2873)</f>
        <v/>
      </c>
      <c r="E2872" t="str">
        <f>IF(原始经营数据!$D2873="","",原始经营数据!$I2873)</f>
        <v/>
      </c>
      <c r="F2872" t="str">
        <f>IF(原始经营数据!$D2873="","",T(原始经营数据!$J2873))</f>
        <v/>
      </c>
      <c r="G2872" t="str">
        <f>IF(原始经营数据!$D2873="","",T(原始经营数据!$K2873))</f>
        <v/>
      </c>
      <c r="H2872" t="str">
        <f>IF(原始经营数据!$D2873="","",原始经营数据!$G2873)</f>
        <v/>
      </c>
      <c r="I2872" t="str">
        <f>IF($A2872="","",IF($B2872&lt;&gt;"",$B2872,IF(COUNTIFS(原始经营数据!$D$3:$D$3001,$A2872,原始经营数据!$E$3:$E$3001,"",原始经营数据!$F$3:$F$3001,$C2872,原始经营数据!$H$3:$H$3001,$D2872,原始经营数据!$K$3:$K$3001,$G2872)&gt;1,"基金整体·来源"&amp;原始经营数据!$A2873,"基金整体")))</f>
        <v/>
      </c>
      <c r="J2872" t="str">
        <f t="shared" si="663"/>
        <v/>
      </c>
      <c r="K2872" t="str">
        <f t="shared" si="664"/>
        <v/>
      </c>
      <c r="L2872" t="str">
        <f t="shared" si="665"/>
        <v/>
      </c>
      <c r="M2872">
        <f>IF($A2872="",0,IF(COUNTIF($L$2:$L2872,$L2872)=1,1,0))</f>
        <v>0</v>
      </c>
      <c r="N2872" t="str">
        <f t="shared" si="666"/>
        <v/>
      </c>
      <c r="O2872" t="str">
        <f t="shared" si="667"/>
        <v/>
      </c>
      <c r="P2872">
        <f>IF($A2872="",0,IF(COUNTIF($O$2:$O2872,$O2872)=1,1,0))</f>
        <v>0</v>
      </c>
      <c r="Q2872" t="str">
        <f>IF(AND($P2872=1,$A2872=经营数据!$B$3,$J2872=经营数据!$BA$5),COUNTIFS($P$2:$P$3000,1,$A$2:$A$3000,$A2872,$J$2:$J$3000,$J2872,$N$2:$N$3000,"&lt;"&amp;$N2872)+1,"")</f>
        <v/>
      </c>
      <c r="R2872" t="str">
        <f t="shared" si="668"/>
        <v/>
      </c>
      <c r="S2872">
        <f>IF($A2872="",0,IF(COUNTIF($R$2:$R2872,$R2872)=1,1,0))</f>
        <v>0</v>
      </c>
      <c r="T2872" t="str">
        <f t="shared" si="669"/>
        <v/>
      </c>
      <c r="U2872" t="str">
        <f>IF($A2872="","",IF($A2872=经营数据!$B$3,COUNTIFS($S$2:$S$3000,1,$A$2:$A$3000,$A2872,$T$2:$T$3000,"&lt;"&amp;$T2872)+1,""))</f>
        <v/>
      </c>
      <c r="V2872" t="str">
        <f t="shared" si="670"/>
        <v/>
      </c>
      <c r="W2872" t="str">
        <f t="shared" si="671"/>
        <v/>
      </c>
      <c r="X2872" t="str">
        <f t="shared" si="672"/>
        <v/>
      </c>
      <c r="Y2872" t="str">
        <f t="shared" si="673"/>
        <v/>
      </c>
      <c r="Z2872">
        <f>IF($A2872="",0,IF(AND($M2872=1,$A2872=经营数据!$B$3,$J2872=经营数据!$BA$5,OR($I2872=经营数据!$BA$4,COUNTIF(经营数据!$AA$9:$AA$38,$I2872)&gt;0)),1,0))</f>
        <v>0</v>
      </c>
      <c r="AA2872" t="str">
        <f t="shared" si="674"/>
        <v/>
      </c>
      <c r="AB2872" t="str">
        <f t="shared" si="675"/>
        <v/>
      </c>
      <c r="AC2872">
        <f>IF($A2872="",0,IF(COUNTIF($A$2:$A2872,$A2872)=1,1,0))</f>
        <v>0</v>
      </c>
      <c r="AD2872">
        <f t="shared" si="676"/>
        <v>29</v>
      </c>
      <c r="AE2872" t="str">
        <f t="shared" si="677"/>
        <v/>
      </c>
    </row>
    <row r="2873" spans="1:31" x14ac:dyDescent="0.4">
      <c r="A2873" t="str">
        <f>IF(原始经营数据!$D2874="","",原始经营数据!$D2874)</f>
        <v/>
      </c>
      <c r="B2873" t="str">
        <f>IF(原始经营数据!$D2874="","",T(原始经营数据!$E2874))</f>
        <v/>
      </c>
      <c r="C2873" t="str">
        <f>IF(原始经营数据!$D2874="","",原始经营数据!$F2874)</f>
        <v/>
      </c>
      <c r="D2873" t="str">
        <f>IF(原始经营数据!$D2874="","",原始经营数据!$H2874)</f>
        <v/>
      </c>
      <c r="E2873" t="str">
        <f>IF(原始经营数据!$D2874="","",原始经营数据!$I2874)</f>
        <v/>
      </c>
      <c r="F2873" t="str">
        <f>IF(原始经营数据!$D2874="","",T(原始经营数据!$J2874))</f>
        <v/>
      </c>
      <c r="G2873" t="str">
        <f>IF(原始经营数据!$D2874="","",T(原始经营数据!$K2874))</f>
        <v/>
      </c>
      <c r="H2873" t="str">
        <f>IF(原始经营数据!$D2874="","",原始经营数据!$G2874)</f>
        <v/>
      </c>
      <c r="I2873" t="str">
        <f>IF($A2873="","",IF($B2873&lt;&gt;"",$B2873,IF(COUNTIFS(原始经营数据!$D$3:$D$3001,$A2873,原始经营数据!$E$3:$E$3001,"",原始经营数据!$F$3:$F$3001,$C2873,原始经营数据!$H$3:$H$3001,$D2873,原始经营数据!$K$3:$K$3001,$G2873)&gt;1,"基金整体·来源"&amp;原始经营数据!$A2874,"基金整体")))</f>
        <v/>
      </c>
      <c r="J2873" t="str">
        <f t="shared" si="663"/>
        <v/>
      </c>
      <c r="K2873" t="str">
        <f t="shared" si="664"/>
        <v/>
      </c>
      <c r="L2873" t="str">
        <f t="shared" si="665"/>
        <v/>
      </c>
      <c r="M2873">
        <f>IF($A2873="",0,IF(COUNTIF($L$2:$L2873,$L2873)=1,1,0))</f>
        <v>0</v>
      </c>
      <c r="N2873" t="str">
        <f t="shared" si="666"/>
        <v/>
      </c>
      <c r="O2873" t="str">
        <f t="shared" si="667"/>
        <v/>
      </c>
      <c r="P2873">
        <f>IF($A2873="",0,IF(COUNTIF($O$2:$O2873,$O2873)=1,1,0))</f>
        <v>0</v>
      </c>
      <c r="Q2873" t="str">
        <f>IF(AND($P2873=1,$A2873=经营数据!$B$3,$J2873=经营数据!$BA$5),COUNTIFS($P$2:$P$3000,1,$A$2:$A$3000,$A2873,$J$2:$J$3000,$J2873,$N$2:$N$3000,"&lt;"&amp;$N2873)+1,"")</f>
        <v/>
      </c>
      <c r="R2873" t="str">
        <f t="shared" si="668"/>
        <v/>
      </c>
      <c r="S2873">
        <f>IF($A2873="",0,IF(COUNTIF($R$2:$R2873,$R2873)=1,1,0))</f>
        <v>0</v>
      </c>
      <c r="T2873" t="str">
        <f t="shared" si="669"/>
        <v/>
      </c>
      <c r="U2873" t="str">
        <f>IF($A2873="","",IF($A2873=经营数据!$B$3,COUNTIFS($S$2:$S$3000,1,$A$2:$A$3000,$A2873,$T$2:$T$3000,"&lt;"&amp;$T2873)+1,""))</f>
        <v/>
      </c>
      <c r="V2873" t="str">
        <f t="shared" si="670"/>
        <v/>
      </c>
      <c r="W2873" t="str">
        <f t="shared" si="671"/>
        <v/>
      </c>
      <c r="X2873" t="str">
        <f t="shared" si="672"/>
        <v/>
      </c>
      <c r="Y2873" t="str">
        <f t="shared" si="673"/>
        <v/>
      </c>
      <c r="Z2873">
        <f>IF($A2873="",0,IF(AND($M2873=1,$A2873=经营数据!$B$3,$J2873=经营数据!$BA$5,OR($I2873=经营数据!$BA$4,COUNTIF(经营数据!$AA$9:$AA$38,$I2873)&gt;0)),1,0))</f>
        <v>0</v>
      </c>
      <c r="AA2873" t="str">
        <f t="shared" si="674"/>
        <v/>
      </c>
      <c r="AB2873" t="str">
        <f t="shared" si="675"/>
        <v/>
      </c>
      <c r="AC2873">
        <f>IF($A2873="",0,IF(COUNTIF($A$2:$A2873,$A2873)=1,1,0))</f>
        <v>0</v>
      </c>
      <c r="AD2873">
        <f t="shared" si="676"/>
        <v>29</v>
      </c>
      <c r="AE2873" t="str">
        <f t="shared" si="677"/>
        <v/>
      </c>
    </row>
    <row r="2874" spans="1:31" x14ac:dyDescent="0.4">
      <c r="A2874" t="str">
        <f>IF(原始经营数据!$D2875="","",原始经营数据!$D2875)</f>
        <v/>
      </c>
      <c r="B2874" t="str">
        <f>IF(原始经营数据!$D2875="","",T(原始经营数据!$E2875))</f>
        <v/>
      </c>
      <c r="C2874" t="str">
        <f>IF(原始经营数据!$D2875="","",原始经营数据!$F2875)</f>
        <v/>
      </c>
      <c r="D2874" t="str">
        <f>IF(原始经营数据!$D2875="","",原始经营数据!$H2875)</f>
        <v/>
      </c>
      <c r="E2874" t="str">
        <f>IF(原始经营数据!$D2875="","",原始经营数据!$I2875)</f>
        <v/>
      </c>
      <c r="F2874" t="str">
        <f>IF(原始经营数据!$D2875="","",T(原始经营数据!$J2875))</f>
        <v/>
      </c>
      <c r="G2874" t="str">
        <f>IF(原始经营数据!$D2875="","",T(原始经营数据!$K2875))</f>
        <v/>
      </c>
      <c r="H2874" t="str">
        <f>IF(原始经营数据!$D2875="","",原始经营数据!$G2875)</f>
        <v/>
      </c>
      <c r="I2874" t="str">
        <f>IF($A2874="","",IF($B2874&lt;&gt;"",$B2874,IF(COUNTIFS(原始经营数据!$D$3:$D$3001,$A2874,原始经营数据!$E$3:$E$3001,"",原始经营数据!$F$3:$F$3001,$C2874,原始经营数据!$H$3:$H$3001,$D2874,原始经营数据!$K$3:$K$3001,$G2874)&gt;1,"基金整体·来源"&amp;原始经营数据!$A2875,"基金整体")))</f>
        <v/>
      </c>
      <c r="J2874" t="str">
        <f t="shared" si="663"/>
        <v/>
      </c>
      <c r="K2874" t="str">
        <f t="shared" si="664"/>
        <v/>
      </c>
      <c r="L2874" t="str">
        <f t="shared" si="665"/>
        <v/>
      </c>
      <c r="M2874">
        <f>IF($A2874="",0,IF(COUNTIF($L$2:$L2874,$L2874)=1,1,0))</f>
        <v>0</v>
      </c>
      <c r="N2874" t="str">
        <f t="shared" si="666"/>
        <v/>
      </c>
      <c r="O2874" t="str">
        <f t="shared" si="667"/>
        <v/>
      </c>
      <c r="P2874">
        <f>IF($A2874="",0,IF(COUNTIF($O$2:$O2874,$O2874)=1,1,0))</f>
        <v>0</v>
      </c>
      <c r="Q2874" t="str">
        <f>IF(AND($P2874=1,$A2874=经营数据!$B$3,$J2874=经营数据!$BA$5),COUNTIFS($P$2:$P$3000,1,$A$2:$A$3000,$A2874,$J$2:$J$3000,$J2874,$N$2:$N$3000,"&lt;"&amp;$N2874)+1,"")</f>
        <v/>
      </c>
      <c r="R2874" t="str">
        <f t="shared" si="668"/>
        <v/>
      </c>
      <c r="S2874">
        <f>IF($A2874="",0,IF(COUNTIF($R$2:$R2874,$R2874)=1,1,0))</f>
        <v>0</v>
      </c>
      <c r="T2874" t="str">
        <f t="shared" si="669"/>
        <v/>
      </c>
      <c r="U2874" t="str">
        <f>IF($A2874="","",IF($A2874=经营数据!$B$3,COUNTIFS($S$2:$S$3000,1,$A$2:$A$3000,$A2874,$T$2:$T$3000,"&lt;"&amp;$T2874)+1,""))</f>
        <v/>
      </c>
      <c r="V2874" t="str">
        <f t="shared" si="670"/>
        <v/>
      </c>
      <c r="W2874" t="str">
        <f t="shared" si="671"/>
        <v/>
      </c>
      <c r="X2874" t="str">
        <f t="shared" si="672"/>
        <v/>
      </c>
      <c r="Y2874" t="str">
        <f t="shared" si="673"/>
        <v/>
      </c>
      <c r="Z2874">
        <f>IF($A2874="",0,IF(AND($M2874=1,$A2874=经营数据!$B$3,$J2874=经营数据!$BA$5,OR($I2874=经营数据!$BA$4,COUNTIF(经营数据!$AA$9:$AA$38,$I2874)&gt;0)),1,0))</f>
        <v>0</v>
      </c>
      <c r="AA2874" t="str">
        <f t="shared" si="674"/>
        <v/>
      </c>
      <c r="AB2874" t="str">
        <f t="shared" si="675"/>
        <v/>
      </c>
      <c r="AC2874">
        <f>IF($A2874="",0,IF(COUNTIF($A$2:$A2874,$A2874)=1,1,0))</f>
        <v>0</v>
      </c>
      <c r="AD2874">
        <f t="shared" si="676"/>
        <v>29</v>
      </c>
      <c r="AE2874" t="str">
        <f t="shared" si="677"/>
        <v/>
      </c>
    </row>
    <row r="2875" spans="1:31" x14ac:dyDescent="0.4">
      <c r="A2875" t="str">
        <f>IF(原始经营数据!$D2876="","",原始经营数据!$D2876)</f>
        <v/>
      </c>
      <c r="B2875" t="str">
        <f>IF(原始经营数据!$D2876="","",T(原始经营数据!$E2876))</f>
        <v/>
      </c>
      <c r="C2875" t="str">
        <f>IF(原始经营数据!$D2876="","",原始经营数据!$F2876)</f>
        <v/>
      </c>
      <c r="D2875" t="str">
        <f>IF(原始经营数据!$D2876="","",原始经营数据!$H2876)</f>
        <v/>
      </c>
      <c r="E2875" t="str">
        <f>IF(原始经营数据!$D2876="","",原始经营数据!$I2876)</f>
        <v/>
      </c>
      <c r="F2875" t="str">
        <f>IF(原始经营数据!$D2876="","",T(原始经营数据!$J2876))</f>
        <v/>
      </c>
      <c r="G2875" t="str">
        <f>IF(原始经营数据!$D2876="","",T(原始经营数据!$K2876))</f>
        <v/>
      </c>
      <c r="H2875" t="str">
        <f>IF(原始经营数据!$D2876="","",原始经营数据!$G2876)</f>
        <v/>
      </c>
      <c r="I2875" t="str">
        <f>IF($A2875="","",IF($B2875&lt;&gt;"",$B2875,IF(COUNTIFS(原始经营数据!$D$3:$D$3001,$A2875,原始经营数据!$E$3:$E$3001,"",原始经营数据!$F$3:$F$3001,$C2875,原始经营数据!$H$3:$H$3001,$D2875,原始经营数据!$K$3:$K$3001,$G2875)&gt;1,"基金整体·来源"&amp;原始经营数据!$A2876,"基金整体")))</f>
        <v/>
      </c>
      <c r="J2875" t="str">
        <f t="shared" si="663"/>
        <v/>
      </c>
      <c r="K2875" t="str">
        <f t="shared" si="664"/>
        <v/>
      </c>
      <c r="L2875" t="str">
        <f t="shared" si="665"/>
        <v/>
      </c>
      <c r="M2875">
        <f>IF($A2875="",0,IF(COUNTIF($L$2:$L2875,$L2875)=1,1,0))</f>
        <v>0</v>
      </c>
      <c r="N2875" t="str">
        <f t="shared" si="666"/>
        <v/>
      </c>
      <c r="O2875" t="str">
        <f t="shared" si="667"/>
        <v/>
      </c>
      <c r="P2875">
        <f>IF($A2875="",0,IF(COUNTIF($O$2:$O2875,$O2875)=1,1,0))</f>
        <v>0</v>
      </c>
      <c r="Q2875" t="str">
        <f>IF(AND($P2875=1,$A2875=经营数据!$B$3,$J2875=经营数据!$BA$5),COUNTIFS($P$2:$P$3000,1,$A$2:$A$3000,$A2875,$J$2:$J$3000,$J2875,$N$2:$N$3000,"&lt;"&amp;$N2875)+1,"")</f>
        <v/>
      </c>
      <c r="R2875" t="str">
        <f t="shared" si="668"/>
        <v/>
      </c>
      <c r="S2875">
        <f>IF($A2875="",0,IF(COUNTIF($R$2:$R2875,$R2875)=1,1,0))</f>
        <v>0</v>
      </c>
      <c r="T2875" t="str">
        <f t="shared" si="669"/>
        <v/>
      </c>
      <c r="U2875" t="str">
        <f>IF($A2875="","",IF($A2875=经营数据!$B$3,COUNTIFS($S$2:$S$3000,1,$A$2:$A$3000,$A2875,$T$2:$T$3000,"&lt;"&amp;$T2875)+1,""))</f>
        <v/>
      </c>
      <c r="V2875" t="str">
        <f t="shared" si="670"/>
        <v/>
      </c>
      <c r="W2875" t="str">
        <f t="shared" si="671"/>
        <v/>
      </c>
      <c r="X2875" t="str">
        <f t="shared" si="672"/>
        <v/>
      </c>
      <c r="Y2875" t="str">
        <f t="shared" si="673"/>
        <v/>
      </c>
      <c r="Z2875">
        <f>IF($A2875="",0,IF(AND($M2875=1,$A2875=经营数据!$B$3,$J2875=经营数据!$BA$5,OR($I2875=经营数据!$BA$4,COUNTIF(经营数据!$AA$9:$AA$38,$I2875)&gt;0)),1,0))</f>
        <v>0</v>
      </c>
      <c r="AA2875" t="str">
        <f t="shared" si="674"/>
        <v/>
      </c>
      <c r="AB2875" t="str">
        <f t="shared" si="675"/>
        <v/>
      </c>
      <c r="AC2875">
        <f>IF($A2875="",0,IF(COUNTIF($A$2:$A2875,$A2875)=1,1,0))</f>
        <v>0</v>
      </c>
      <c r="AD2875">
        <f t="shared" si="676"/>
        <v>29</v>
      </c>
      <c r="AE2875" t="str">
        <f t="shared" si="677"/>
        <v/>
      </c>
    </row>
    <row r="2876" spans="1:31" x14ac:dyDescent="0.4">
      <c r="A2876" t="str">
        <f>IF(原始经营数据!$D2877="","",原始经营数据!$D2877)</f>
        <v/>
      </c>
      <c r="B2876" t="str">
        <f>IF(原始经营数据!$D2877="","",T(原始经营数据!$E2877))</f>
        <v/>
      </c>
      <c r="C2876" t="str">
        <f>IF(原始经营数据!$D2877="","",原始经营数据!$F2877)</f>
        <v/>
      </c>
      <c r="D2876" t="str">
        <f>IF(原始经营数据!$D2877="","",原始经营数据!$H2877)</f>
        <v/>
      </c>
      <c r="E2876" t="str">
        <f>IF(原始经营数据!$D2877="","",原始经营数据!$I2877)</f>
        <v/>
      </c>
      <c r="F2876" t="str">
        <f>IF(原始经营数据!$D2877="","",T(原始经营数据!$J2877))</f>
        <v/>
      </c>
      <c r="G2876" t="str">
        <f>IF(原始经营数据!$D2877="","",T(原始经营数据!$K2877))</f>
        <v/>
      </c>
      <c r="H2876" t="str">
        <f>IF(原始经营数据!$D2877="","",原始经营数据!$G2877)</f>
        <v/>
      </c>
      <c r="I2876" t="str">
        <f>IF($A2876="","",IF($B2876&lt;&gt;"",$B2876,IF(COUNTIFS(原始经营数据!$D$3:$D$3001,$A2876,原始经营数据!$E$3:$E$3001,"",原始经营数据!$F$3:$F$3001,$C2876,原始经营数据!$H$3:$H$3001,$D2876,原始经营数据!$K$3:$K$3001,$G2876)&gt;1,"基金整体·来源"&amp;原始经营数据!$A2877,"基金整体")))</f>
        <v/>
      </c>
      <c r="J2876" t="str">
        <f t="shared" si="663"/>
        <v/>
      </c>
      <c r="K2876" t="str">
        <f t="shared" si="664"/>
        <v/>
      </c>
      <c r="L2876" t="str">
        <f t="shared" si="665"/>
        <v/>
      </c>
      <c r="M2876">
        <f>IF($A2876="",0,IF(COUNTIF($L$2:$L2876,$L2876)=1,1,0))</f>
        <v>0</v>
      </c>
      <c r="N2876" t="str">
        <f t="shared" si="666"/>
        <v/>
      </c>
      <c r="O2876" t="str">
        <f t="shared" si="667"/>
        <v/>
      </c>
      <c r="P2876">
        <f>IF($A2876="",0,IF(COUNTIF($O$2:$O2876,$O2876)=1,1,0))</f>
        <v>0</v>
      </c>
      <c r="Q2876" t="str">
        <f>IF(AND($P2876=1,$A2876=经营数据!$B$3,$J2876=经营数据!$BA$5),COUNTIFS($P$2:$P$3000,1,$A$2:$A$3000,$A2876,$J$2:$J$3000,$J2876,$N$2:$N$3000,"&lt;"&amp;$N2876)+1,"")</f>
        <v/>
      </c>
      <c r="R2876" t="str">
        <f t="shared" si="668"/>
        <v/>
      </c>
      <c r="S2876">
        <f>IF($A2876="",0,IF(COUNTIF($R$2:$R2876,$R2876)=1,1,0))</f>
        <v>0</v>
      </c>
      <c r="T2876" t="str">
        <f t="shared" si="669"/>
        <v/>
      </c>
      <c r="U2876" t="str">
        <f>IF($A2876="","",IF($A2876=经营数据!$B$3,COUNTIFS($S$2:$S$3000,1,$A$2:$A$3000,$A2876,$T$2:$T$3000,"&lt;"&amp;$T2876)+1,""))</f>
        <v/>
      </c>
      <c r="V2876" t="str">
        <f t="shared" si="670"/>
        <v/>
      </c>
      <c r="W2876" t="str">
        <f t="shared" si="671"/>
        <v/>
      </c>
      <c r="X2876" t="str">
        <f t="shared" si="672"/>
        <v/>
      </c>
      <c r="Y2876" t="str">
        <f t="shared" si="673"/>
        <v/>
      </c>
      <c r="Z2876">
        <f>IF($A2876="",0,IF(AND($M2876=1,$A2876=经营数据!$B$3,$J2876=经营数据!$BA$5,OR($I2876=经营数据!$BA$4,COUNTIF(经营数据!$AA$9:$AA$38,$I2876)&gt;0)),1,0))</f>
        <v>0</v>
      </c>
      <c r="AA2876" t="str">
        <f t="shared" si="674"/>
        <v/>
      </c>
      <c r="AB2876" t="str">
        <f t="shared" si="675"/>
        <v/>
      </c>
      <c r="AC2876">
        <f>IF($A2876="",0,IF(COUNTIF($A$2:$A2876,$A2876)=1,1,0))</f>
        <v>0</v>
      </c>
      <c r="AD2876">
        <f t="shared" si="676"/>
        <v>29</v>
      </c>
      <c r="AE2876" t="str">
        <f t="shared" si="677"/>
        <v/>
      </c>
    </row>
    <row r="2877" spans="1:31" x14ac:dyDescent="0.4">
      <c r="A2877" t="str">
        <f>IF(原始经营数据!$D2878="","",原始经营数据!$D2878)</f>
        <v/>
      </c>
      <c r="B2877" t="str">
        <f>IF(原始经营数据!$D2878="","",T(原始经营数据!$E2878))</f>
        <v/>
      </c>
      <c r="C2877" t="str">
        <f>IF(原始经营数据!$D2878="","",原始经营数据!$F2878)</f>
        <v/>
      </c>
      <c r="D2877" t="str">
        <f>IF(原始经营数据!$D2878="","",原始经营数据!$H2878)</f>
        <v/>
      </c>
      <c r="E2877" t="str">
        <f>IF(原始经营数据!$D2878="","",原始经营数据!$I2878)</f>
        <v/>
      </c>
      <c r="F2877" t="str">
        <f>IF(原始经营数据!$D2878="","",T(原始经营数据!$J2878))</f>
        <v/>
      </c>
      <c r="G2877" t="str">
        <f>IF(原始经营数据!$D2878="","",T(原始经营数据!$K2878))</f>
        <v/>
      </c>
      <c r="H2877" t="str">
        <f>IF(原始经营数据!$D2878="","",原始经营数据!$G2878)</f>
        <v/>
      </c>
      <c r="I2877" t="str">
        <f>IF($A2877="","",IF($B2877&lt;&gt;"",$B2877,IF(COUNTIFS(原始经营数据!$D$3:$D$3001,$A2877,原始经营数据!$E$3:$E$3001,"",原始经营数据!$F$3:$F$3001,$C2877,原始经营数据!$H$3:$H$3001,$D2877,原始经营数据!$K$3:$K$3001,$G2877)&gt;1,"基金整体·来源"&amp;原始经营数据!$A2878,"基金整体")))</f>
        <v/>
      </c>
      <c r="J2877" t="str">
        <f t="shared" si="663"/>
        <v/>
      </c>
      <c r="K2877" t="str">
        <f t="shared" si="664"/>
        <v/>
      </c>
      <c r="L2877" t="str">
        <f t="shared" si="665"/>
        <v/>
      </c>
      <c r="M2877">
        <f>IF($A2877="",0,IF(COUNTIF($L$2:$L2877,$L2877)=1,1,0))</f>
        <v>0</v>
      </c>
      <c r="N2877" t="str">
        <f t="shared" si="666"/>
        <v/>
      </c>
      <c r="O2877" t="str">
        <f t="shared" si="667"/>
        <v/>
      </c>
      <c r="P2877">
        <f>IF($A2877="",0,IF(COUNTIF($O$2:$O2877,$O2877)=1,1,0))</f>
        <v>0</v>
      </c>
      <c r="Q2877" t="str">
        <f>IF(AND($P2877=1,$A2877=经营数据!$B$3,$J2877=经营数据!$BA$5),COUNTIFS($P$2:$P$3000,1,$A$2:$A$3000,$A2877,$J$2:$J$3000,$J2877,$N$2:$N$3000,"&lt;"&amp;$N2877)+1,"")</f>
        <v/>
      </c>
      <c r="R2877" t="str">
        <f t="shared" si="668"/>
        <v/>
      </c>
      <c r="S2877">
        <f>IF($A2877="",0,IF(COUNTIF($R$2:$R2877,$R2877)=1,1,0))</f>
        <v>0</v>
      </c>
      <c r="T2877" t="str">
        <f t="shared" si="669"/>
        <v/>
      </c>
      <c r="U2877" t="str">
        <f>IF($A2877="","",IF($A2877=经营数据!$B$3,COUNTIFS($S$2:$S$3000,1,$A$2:$A$3000,$A2877,$T$2:$T$3000,"&lt;"&amp;$T2877)+1,""))</f>
        <v/>
      </c>
      <c r="V2877" t="str">
        <f t="shared" si="670"/>
        <v/>
      </c>
      <c r="W2877" t="str">
        <f t="shared" si="671"/>
        <v/>
      </c>
      <c r="X2877" t="str">
        <f t="shared" si="672"/>
        <v/>
      </c>
      <c r="Y2877" t="str">
        <f t="shared" si="673"/>
        <v/>
      </c>
      <c r="Z2877">
        <f>IF($A2877="",0,IF(AND($M2877=1,$A2877=经营数据!$B$3,$J2877=经营数据!$BA$5,OR($I2877=经营数据!$BA$4,COUNTIF(经营数据!$AA$9:$AA$38,$I2877)&gt;0)),1,0))</f>
        <v>0</v>
      </c>
      <c r="AA2877" t="str">
        <f t="shared" si="674"/>
        <v/>
      </c>
      <c r="AB2877" t="str">
        <f t="shared" si="675"/>
        <v/>
      </c>
      <c r="AC2877">
        <f>IF($A2877="",0,IF(COUNTIF($A$2:$A2877,$A2877)=1,1,0))</f>
        <v>0</v>
      </c>
      <c r="AD2877">
        <f t="shared" si="676"/>
        <v>29</v>
      </c>
      <c r="AE2877" t="str">
        <f t="shared" si="677"/>
        <v/>
      </c>
    </row>
    <row r="2878" spans="1:31" x14ac:dyDescent="0.4">
      <c r="A2878" t="str">
        <f>IF(原始经营数据!$D2879="","",原始经营数据!$D2879)</f>
        <v/>
      </c>
      <c r="B2878" t="str">
        <f>IF(原始经营数据!$D2879="","",T(原始经营数据!$E2879))</f>
        <v/>
      </c>
      <c r="C2878" t="str">
        <f>IF(原始经营数据!$D2879="","",原始经营数据!$F2879)</f>
        <v/>
      </c>
      <c r="D2878" t="str">
        <f>IF(原始经营数据!$D2879="","",原始经营数据!$H2879)</f>
        <v/>
      </c>
      <c r="E2878" t="str">
        <f>IF(原始经营数据!$D2879="","",原始经营数据!$I2879)</f>
        <v/>
      </c>
      <c r="F2878" t="str">
        <f>IF(原始经营数据!$D2879="","",T(原始经营数据!$J2879))</f>
        <v/>
      </c>
      <c r="G2878" t="str">
        <f>IF(原始经营数据!$D2879="","",T(原始经营数据!$K2879))</f>
        <v/>
      </c>
      <c r="H2878" t="str">
        <f>IF(原始经营数据!$D2879="","",原始经营数据!$G2879)</f>
        <v/>
      </c>
      <c r="I2878" t="str">
        <f>IF($A2878="","",IF($B2878&lt;&gt;"",$B2878,IF(COUNTIFS(原始经营数据!$D$3:$D$3001,$A2878,原始经营数据!$E$3:$E$3001,"",原始经营数据!$F$3:$F$3001,$C2878,原始经营数据!$H$3:$H$3001,$D2878,原始经营数据!$K$3:$K$3001,$G2878)&gt;1,"基金整体·来源"&amp;原始经营数据!$A2879,"基金整体")))</f>
        <v/>
      </c>
      <c r="J2878" t="str">
        <f t="shared" si="663"/>
        <v/>
      </c>
      <c r="K2878" t="str">
        <f t="shared" si="664"/>
        <v/>
      </c>
      <c r="L2878" t="str">
        <f t="shared" si="665"/>
        <v/>
      </c>
      <c r="M2878">
        <f>IF($A2878="",0,IF(COUNTIF($L$2:$L2878,$L2878)=1,1,0))</f>
        <v>0</v>
      </c>
      <c r="N2878" t="str">
        <f t="shared" si="666"/>
        <v/>
      </c>
      <c r="O2878" t="str">
        <f t="shared" si="667"/>
        <v/>
      </c>
      <c r="P2878">
        <f>IF($A2878="",0,IF(COUNTIF($O$2:$O2878,$O2878)=1,1,0))</f>
        <v>0</v>
      </c>
      <c r="Q2878" t="str">
        <f>IF(AND($P2878=1,$A2878=经营数据!$B$3,$J2878=经营数据!$BA$5),COUNTIFS($P$2:$P$3000,1,$A$2:$A$3000,$A2878,$J$2:$J$3000,$J2878,$N$2:$N$3000,"&lt;"&amp;$N2878)+1,"")</f>
        <v/>
      </c>
      <c r="R2878" t="str">
        <f t="shared" si="668"/>
        <v/>
      </c>
      <c r="S2878">
        <f>IF($A2878="",0,IF(COUNTIF($R$2:$R2878,$R2878)=1,1,0))</f>
        <v>0</v>
      </c>
      <c r="T2878" t="str">
        <f t="shared" si="669"/>
        <v/>
      </c>
      <c r="U2878" t="str">
        <f>IF($A2878="","",IF($A2878=经营数据!$B$3,COUNTIFS($S$2:$S$3000,1,$A$2:$A$3000,$A2878,$T$2:$T$3000,"&lt;"&amp;$T2878)+1,""))</f>
        <v/>
      </c>
      <c r="V2878" t="str">
        <f t="shared" si="670"/>
        <v/>
      </c>
      <c r="W2878" t="str">
        <f t="shared" si="671"/>
        <v/>
      </c>
      <c r="X2878" t="str">
        <f t="shared" si="672"/>
        <v/>
      </c>
      <c r="Y2878" t="str">
        <f t="shared" si="673"/>
        <v/>
      </c>
      <c r="Z2878">
        <f>IF($A2878="",0,IF(AND($M2878=1,$A2878=经营数据!$B$3,$J2878=经营数据!$BA$5,OR($I2878=经营数据!$BA$4,COUNTIF(经营数据!$AA$9:$AA$38,$I2878)&gt;0)),1,0))</f>
        <v>0</v>
      </c>
      <c r="AA2878" t="str">
        <f t="shared" si="674"/>
        <v/>
      </c>
      <c r="AB2878" t="str">
        <f t="shared" si="675"/>
        <v/>
      </c>
      <c r="AC2878">
        <f>IF($A2878="",0,IF(COUNTIF($A$2:$A2878,$A2878)=1,1,0))</f>
        <v>0</v>
      </c>
      <c r="AD2878">
        <f t="shared" si="676"/>
        <v>29</v>
      </c>
      <c r="AE2878" t="str">
        <f t="shared" si="677"/>
        <v/>
      </c>
    </row>
    <row r="2879" spans="1:31" x14ac:dyDescent="0.4">
      <c r="A2879" t="str">
        <f>IF(原始经营数据!$D2880="","",原始经营数据!$D2880)</f>
        <v/>
      </c>
      <c r="B2879" t="str">
        <f>IF(原始经营数据!$D2880="","",T(原始经营数据!$E2880))</f>
        <v/>
      </c>
      <c r="C2879" t="str">
        <f>IF(原始经营数据!$D2880="","",原始经营数据!$F2880)</f>
        <v/>
      </c>
      <c r="D2879" t="str">
        <f>IF(原始经营数据!$D2880="","",原始经营数据!$H2880)</f>
        <v/>
      </c>
      <c r="E2879" t="str">
        <f>IF(原始经营数据!$D2880="","",原始经营数据!$I2880)</f>
        <v/>
      </c>
      <c r="F2879" t="str">
        <f>IF(原始经营数据!$D2880="","",T(原始经营数据!$J2880))</f>
        <v/>
      </c>
      <c r="G2879" t="str">
        <f>IF(原始经营数据!$D2880="","",T(原始经营数据!$K2880))</f>
        <v/>
      </c>
      <c r="H2879" t="str">
        <f>IF(原始经营数据!$D2880="","",原始经营数据!$G2880)</f>
        <v/>
      </c>
      <c r="I2879" t="str">
        <f>IF($A2879="","",IF($B2879&lt;&gt;"",$B2879,IF(COUNTIFS(原始经营数据!$D$3:$D$3001,$A2879,原始经营数据!$E$3:$E$3001,"",原始经营数据!$F$3:$F$3001,$C2879,原始经营数据!$H$3:$H$3001,$D2879,原始经营数据!$K$3:$K$3001,$G2879)&gt;1,"基金整体·来源"&amp;原始经营数据!$A2880,"基金整体")))</f>
        <v/>
      </c>
      <c r="J2879" t="str">
        <f t="shared" si="663"/>
        <v/>
      </c>
      <c r="K2879" t="str">
        <f t="shared" si="664"/>
        <v/>
      </c>
      <c r="L2879" t="str">
        <f t="shared" si="665"/>
        <v/>
      </c>
      <c r="M2879">
        <f>IF($A2879="",0,IF(COUNTIF($L$2:$L2879,$L2879)=1,1,0))</f>
        <v>0</v>
      </c>
      <c r="N2879" t="str">
        <f t="shared" si="666"/>
        <v/>
      </c>
      <c r="O2879" t="str">
        <f t="shared" si="667"/>
        <v/>
      </c>
      <c r="P2879">
        <f>IF($A2879="",0,IF(COUNTIF($O$2:$O2879,$O2879)=1,1,0))</f>
        <v>0</v>
      </c>
      <c r="Q2879" t="str">
        <f>IF(AND($P2879=1,$A2879=经营数据!$B$3,$J2879=经营数据!$BA$5),COUNTIFS($P$2:$P$3000,1,$A$2:$A$3000,$A2879,$J$2:$J$3000,$J2879,$N$2:$N$3000,"&lt;"&amp;$N2879)+1,"")</f>
        <v/>
      </c>
      <c r="R2879" t="str">
        <f t="shared" si="668"/>
        <v/>
      </c>
      <c r="S2879">
        <f>IF($A2879="",0,IF(COUNTIF($R$2:$R2879,$R2879)=1,1,0))</f>
        <v>0</v>
      </c>
      <c r="T2879" t="str">
        <f t="shared" si="669"/>
        <v/>
      </c>
      <c r="U2879" t="str">
        <f>IF($A2879="","",IF($A2879=经营数据!$B$3,COUNTIFS($S$2:$S$3000,1,$A$2:$A$3000,$A2879,$T$2:$T$3000,"&lt;"&amp;$T2879)+1,""))</f>
        <v/>
      </c>
      <c r="V2879" t="str">
        <f t="shared" si="670"/>
        <v/>
      </c>
      <c r="W2879" t="str">
        <f t="shared" si="671"/>
        <v/>
      </c>
      <c r="X2879" t="str">
        <f t="shared" si="672"/>
        <v/>
      </c>
      <c r="Y2879" t="str">
        <f t="shared" si="673"/>
        <v/>
      </c>
      <c r="Z2879">
        <f>IF($A2879="",0,IF(AND($M2879=1,$A2879=经营数据!$B$3,$J2879=经营数据!$BA$5,OR($I2879=经营数据!$BA$4,COUNTIF(经营数据!$AA$9:$AA$38,$I2879)&gt;0)),1,0))</f>
        <v>0</v>
      </c>
      <c r="AA2879" t="str">
        <f t="shared" si="674"/>
        <v/>
      </c>
      <c r="AB2879" t="str">
        <f t="shared" si="675"/>
        <v/>
      </c>
      <c r="AC2879">
        <f>IF($A2879="",0,IF(COUNTIF($A$2:$A2879,$A2879)=1,1,0))</f>
        <v>0</v>
      </c>
      <c r="AD2879">
        <f t="shared" si="676"/>
        <v>29</v>
      </c>
      <c r="AE2879" t="str">
        <f t="shared" si="677"/>
        <v/>
      </c>
    </row>
    <row r="2880" spans="1:31" x14ac:dyDescent="0.4">
      <c r="A2880" t="str">
        <f>IF(原始经营数据!$D2881="","",原始经营数据!$D2881)</f>
        <v/>
      </c>
      <c r="B2880" t="str">
        <f>IF(原始经营数据!$D2881="","",T(原始经营数据!$E2881))</f>
        <v/>
      </c>
      <c r="C2880" t="str">
        <f>IF(原始经营数据!$D2881="","",原始经营数据!$F2881)</f>
        <v/>
      </c>
      <c r="D2880" t="str">
        <f>IF(原始经营数据!$D2881="","",原始经营数据!$H2881)</f>
        <v/>
      </c>
      <c r="E2880" t="str">
        <f>IF(原始经营数据!$D2881="","",原始经营数据!$I2881)</f>
        <v/>
      </c>
      <c r="F2880" t="str">
        <f>IF(原始经营数据!$D2881="","",T(原始经营数据!$J2881))</f>
        <v/>
      </c>
      <c r="G2880" t="str">
        <f>IF(原始经营数据!$D2881="","",T(原始经营数据!$K2881))</f>
        <v/>
      </c>
      <c r="H2880" t="str">
        <f>IF(原始经营数据!$D2881="","",原始经营数据!$G2881)</f>
        <v/>
      </c>
      <c r="I2880" t="str">
        <f>IF($A2880="","",IF($B2880&lt;&gt;"",$B2880,IF(COUNTIFS(原始经营数据!$D$3:$D$3001,$A2880,原始经营数据!$E$3:$E$3001,"",原始经营数据!$F$3:$F$3001,$C2880,原始经营数据!$H$3:$H$3001,$D2880,原始经营数据!$K$3:$K$3001,$G2880)&gt;1,"基金整体·来源"&amp;原始经营数据!$A2881,"基金整体")))</f>
        <v/>
      </c>
      <c r="J2880" t="str">
        <f t="shared" si="663"/>
        <v/>
      </c>
      <c r="K2880" t="str">
        <f t="shared" si="664"/>
        <v/>
      </c>
      <c r="L2880" t="str">
        <f t="shared" si="665"/>
        <v/>
      </c>
      <c r="M2880">
        <f>IF($A2880="",0,IF(COUNTIF($L$2:$L2880,$L2880)=1,1,0))</f>
        <v>0</v>
      </c>
      <c r="N2880" t="str">
        <f t="shared" si="666"/>
        <v/>
      </c>
      <c r="O2880" t="str">
        <f t="shared" si="667"/>
        <v/>
      </c>
      <c r="P2880">
        <f>IF($A2880="",0,IF(COUNTIF($O$2:$O2880,$O2880)=1,1,0))</f>
        <v>0</v>
      </c>
      <c r="Q2880" t="str">
        <f>IF(AND($P2880=1,$A2880=经营数据!$B$3,$J2880=经营数据!$BA$5),COUNTIFS($P$2:$P$3000,1,$A$2:$A$3000,$A2880,$J$2:$J$3000,$J2880,$N$2:$N$3000,"&lt;"&amp;$N2880)+1,"")</f>
        <v/>
      </c>
      <c r="R2880" t="str">
        <f t="shared" si="668"/>
        <v/>
      </c>
      <c r="S2880">
        <f>IF($A2880="",0,IF(COUNTIF($R$2:$R2880,$R2880)=1,1,0))</f>
        <v>0</v>
      </c>
      <c r="T2880" t="str">
        <f t="shared" si="669"/>
        <v/>
      </c>
      <c r="U2880" t="str">
        <f>IF($A2880="","",IF($A2880=经营数据!$B$3,COUNTIFS($S$2:$S$3000,1,$A$2:$A$3000,$A2880,$T$2:$T$3000,"&lt;"&amp;$T2880)+1,""))</f>
        <v/>
      </c>
      <c r="V2880" t="str">
        <f t="shared" si="670"/>
        <v/>
      </c>
      <c r="W2880" t="str">
        <f t="shared" si="671"/>
        <v/>
      </c>
      <c r="X2880" t="str">
        <f t="shared" si="672"/>
        <v/>
      </c>
      <c r="Y2880" t="str">
        <f t="shared" si="673"/>
        <v/>
      </c>
      <c r="Z2880">
        <f>IF($A2880="",0,IF(AND($M2880=1,$A2880=经营数据!$B$3,$J2880=经营数据!$BA$5,OR($I2880=经营数据!$BA$4,COUNTIF(经营数据!$AA$9:$AA$38,$I2880)&gt;0)),1,0))</f>
        <v>0</v>
      </c>
      <c r="AA2880" t="str">
        <f t="shared" si="674"/>
        <v/>
      </c>
      <c r="AB2880" t="str">
        <f t="shared" si="675"/>
        <v/>
      </c>
      <c r="AC2880">
        <f>IF($A2880="",0,IF(COUNTIF($A$2:$A2880,$A2880)=1,1,0))</f>
        <v>0</v>
      </c>
      <c r="AD2880">
        <f t="shared" si="676"/>
        <v>29</v>
      </c>
      <c r="AE2880" t="str">
        <f t="shared" si="677"/>
        <v/>
      </c>
    </row>
    <row r="2881" spans="1:31" x14ac:dyDescent="0.4">
      <c r="A2881" t="str">
        <f>IF(原始经营数据!$D2882="","",原始经营数据!$D2882)</f>
        <v/>
      </c>
      <c r="B2881" t="str">
        <f>IF(原始经营数据!$D2882="","",T(原始经营数据!$E2882))</f>
        <v/>
      </c>
      <c r="C2881" t="str">
        <f>IF(原始经营数据!$D2882="","",原始经营数据!$F2882)</f>
        <v/>
      </c>
      <c r="D2881" t="str">
        <f>IF(原始经营数据!$D2882="","",原始经营数据!$H2882)</f>
        <v/>
      </c>
      <c r="E2881" t="str">
        <f>IF(原始经营数据!$D2882="","",原始经营数据!$I2882)</f>
        <v/>
      </c>
      <c r="F2881" t="str">
        <f>IF(原始经营数据!$D2882="","",T(原始经营数据!$J2882))</f>
        <v/>
      </c>
      <c r="G2881" t="str">
        <f>IF(原始经营数据!$D2882="","",T(原始经营数据!$K2882))</f>
        <v/>
      </c>
      <c r="H2881" t="str">
        <f>IF(原始经营数据!$D2882="","",原始经营数据!$G2882)</f>
        <v/>
      </c>
      <c r="I2881" t="str">
        <f>IF($A2881="","",IF($B2881&lt;&gt;"",$B2881,IF(COUNTIFS(原始经营数据!$D$3:$D$3001,$A2881,原始经营数据!$E$3:$E$3001,"",原始经营数据!$F$3:$F$3001,$C2881,原始经营数据!$H$3:$H$3001,$D2881,原始经营数据!$K$3:$K$3001,$G2881)&gt;1,"基金整体·来源"&amp;原始经营数据!$A2882,"基金整体")))</f>
        <v/>
      </c>
      <c r="J2881" t="str">
        <f t="shared" si="663"/>
        <v/>
      </c>
      <c r="K2881" t="str">
        <f t="shared" si="664"/>
        <v/>
      </c>
      <c r="L2881" t="str">
        <f t="shared" si="665"/>
        <v/>
      </c>
      <c r="M2881">
        <f>IF($A2881="",0,IF(COUNTIF($L$2:$L2881,$L2881)=1,1,0))</f>
        <v>0</v>
      </c>
      <c r="N2881" t="str">
        <f t="shared" si="666"/>
        <v/>
      </c>
      <c r="O2881" t="str">
        <f t="shared" si="667"/>
        <v/>
      </c>
      <c r="P2881">
        <f>IF($A2881="",0,IF(COUNTIF($O$2:$O2881,$O2881)=1,1,0))</f>
        <v>0</v>
      </c>
      <c r="Q2881" t="str">
        <f>IF(AND($P2881=1,$A2881=经营数据!$B$3,$J2881=经营数据!$BA$5),COUNTIFS($P$2:$P$3000,1,$A$2:$A$3000,$A2881,$J$2:$J$3000,$J2881,$N$2:$N$3000,"&lt;"&amp;$N2881)+1,"")</f>
        <v/>
      </c>
      <c r="R2881" t="str">
        <f t="shared" si="668"/>
        <v/>
      </c>
      <c r="S2881">
        <f>IF($A2881="",0,IF(COUNTIF($R$2:$R2881,$R2881)=1,1,0))</f>
        <v>0</v>
      </c>
      <c r="T2881" t="str">
        <f t="shared" si="669"/>
        <v/>
      </c>
      <c r="U2881" t="str">
        <f>IF($A2881="","",IF($A2881=经营数据!$B$3,COUNTIFS($S$2:$S$3000,1,$A$2:$A$3000,$A2881,$T$2:$T$3000,"&lt;"&amp;$T2881)+1,""))</f>
        <v/>
      </c>
      <c r="V2881" t="str">
        <f t="shared" si="670"/>
        <v/>
      </c>
      <c r="W2881" t="str">
        <f t="shared" si="671"/>
        <v/>
      </c>
      <c r="X2881" t="str">
        <f t="shared" si="672"/>
        <v/>
      </c>
      <c r="Y2881" t="str">
        <f t="shared" si="673"/>
        <v/>
      </c>
      <c r="Z2881">
        <f>IF($A2881="",0,IF(AND($M2881=1,$A2881=经营数据!$B$3,$J2881=经营数据!$BA$5,OR($I2881=经营数据!$BA$4,COUNTIF(经营数据!$AA$9:$AA$38,$I2881)&gt;0)),1,0))</f>
        <v>0</v>
      </c>
      <c r="AA2881" t="str">
        <f t="shared" si="674"/>
        <v/>
      </c>
      <c r="AB2881" t="str">
        <f t="shared" si="675"/>
        <v/>
      </c>
      <c r="AC2881">
        <f>IF($A2881="",0,IF(COUNTIF($A$2:$A2881,$A2881)=1,1,0))</f>
        <v>0</v>
      </c>
      <c r="AD2881">
        <f t="shared" si="676"/>
        <v>29</v>
      </c>
      <c r="AE2881" t="str">
        <f t="shared" si="677"/>
        <v/>
      </c>
    </row>
    <row r="2882" spans="1:31" x14ac:dyDescent="0.4">
      <c r="A2882" t="str">
        <f>IF(原始经营数据!$D2883="","",原始经营数据!$D2883)</f>
        <v/>
      </c>
      <c r="B2882" t="str">
        <f>IF(原始经营数据!$D2883="","",T(原始经营数据!$E2883))</f>
        <v/>
      </c>
      <c r="C2882" t="str">
        <f>IF(原始经营数据!$D2883="","",原始经营数据!$F2883)</f>
        <v/>
      </c>
      <c r="D2882" t="str">
        <f>IF(原始经营数据!$D2883="","",原始经营数据!$H2883)</f>
        <v/>
      </c>
      <c r="E2882" t="str">
        <f>IF(原始经营数据!$D2883="","",原始经营数据!$I2883)</f>
        <v/>
      </c>
      <c r="F2882" t="str">
        <f>IF(原始经营数据!$D2883="","",T(原始经营数据!$J2883))</f>
        <v/>
      </c>
      <c r="G2882" t="str">
        <f>IF(原始经营数据!$D2883="","",T(原始经营数据!$K2883))</f>
        <v/>
      </c>
      <c r="H2882" t="str">
        <f>IF(原始经营数据!$D2883="","",原始经营数据!$G2883)</f>
        <v/>
      </c>
      <c r="I2882" t="str">
        <f>IF($A2882="","",IF($B2882&lt;&gt;"",$B2882,IF(COUNTIFS(原始经营数据!$D$3:$D$3001,$A2882,原始经营数据!$E$3:$E$3001,"",原始经营数据!$F$3:$F$3001,$C2882,原始经营数据!$H$3:$H$3001,$D2882,原始经营数据!$K$3:$K$3001,$G2882)&gt;1,"基金整体·来源"&amp;原始经营数据!$A2883,"基金整体")))</f>
        <v/>
      </c>
      <c r="J2882" t="str">
        <f t="shared" ref="J2882:J2945" si="678">IF($A2882="","",IF(LEN($C2882)=4,"年度",IF(AND(LEN($C2882)=6,ISNUMBER(SEARCH("Q",$C2882))),"季度","其他期间")))</f>
        <v/>
      </c>
      <c r="K2882" t="str">
        <f t="shared" ref="K2882:K2945" si="679">IF($A2882="","",$D2882&amp;IF($G2882="","","-"&amp;SUBSTITUTE($G2882,CHAR(10),""))&amp;IF($F2882="","","（"&amp;$F2882&amp;"）"))</f>
        <v/>
      </c>
      <c r="L2882" t="str">
        <f t="shared" ref="L2882:L2945" si="680">IF($A2882="","",$I2882&amp;"|"&amp;$K2882&amp;"|"&amp;$J2882)</f>
        <v/>
      </c>
      <c r="M2882">
        <f>IF($A2882="",0,IF(COUNTIF($L$2:$L2882,$L2882)=1,1,0))</f>
        <v>0</v>
      </c>
      <c r="N2882" t="str">
        <f t="shared" ref="N2882:N2945" si="681">IF($A2882="","",IF($J2882="年度",VALUE($C2882)*10,IF($J2882="季度",VALUE(LEFT($C2882,4))*10+VALUE(RIGHT($C2882,1)),VALUE(LEFT($C2882,4))*10+9)))</f>
        <v/>
      </c>
      <c r="O2882" t="str">
        <f t="shared" ref="O2882:O2945" si="682">IF($A2882="","",$A2882&amp;"|"&amp;$C2882&amp;"|"&amp;$J2882)</f>
        <v/>
      </c>
      <c r="P2882">
        <f>IF($A2882="",0,IF(COUNTIF($O$2:$O2882,$O2882)=1,1,0))</f>
        <v>0</v>
      </c>
      <c r="Q2882" t="str">
        <f>IF(AND($P2882=1,$A2882=经营数据!$B$3,$J2882=经营数据!$BA$5),COUNTIFS($P$2:$P$3000,1,$A$2:$A$3000,$A2882,$J$2:$J$3000,$J2882,$N$2:$N$3000,"&lt;"&amp;$N2882)+1,"")</f>
        <v/>
      </c>
      <c r="R2882" t="str">
        <f t="shared" ref="R2882:R2945" si="683">IF($A2882="","",$A2882&amp;"|"&amp;$I2882)</f>
        <v/>
      </c>
      <c r="S2882">
        <f>IF($A2882="",0,IF(COUNTIF($R$2:$R2882,$R2882)=1,1,0))</f>
        <v>0</v>
      </c>
      <c r="T2882" t="str">
        <f t="shared" ref="T2882:T2945" si="684">IF($A2882="","",MATCH($R2882,$R$2:$R$3000,0))</f>
        <v/>
      </c>
      <c r="U2882" t="str">
        <f>IF($A2882="","",IF($A2882=经营数据!$B$3,COUNTIFS($S$2:$S$3000,1,$A$2:$A$3000,$A2882,$T$2:$T$3000,"&lt;"&amp;$T2882)+1,""))</f>
        <v/>
      </c>
      <c r="V2882" t="str">
        <f t="shared" ref="V2882:V2945" si="685">IF($A2882="","",$I2882&amp;"|"&amp;$H2882)</f>
        <v/>
      </c>
      <c r="W2882" t="str">
        <f t="shared" ref="W2882:W2945" si="686">IF($A2882="","",MATCH($V2882,$V$2:$V$3000,0))</f>
        <v/>
      </c>
      <c r="X2882" t="str">
        <f t="shared" ref="X2882:X2945" si="687">IF($A2882="","",$I2882&amp;"|"&amp;$D2882)</f>
        <v/>
      </c>
      <c r="Y2882" t="str">
        <f t="shared" ref="Y2882:Y2945" si="688">IF($A2882="","",MATCH($X2882,$X$2:$X$3000,0))</f>
        <v/>
      </c>
      <c r="Z2882">
        <f>IF($A2882="",0,IF(AND($M2882=1,$A2882=经营数据!$B$3,$J2882=经营数据!$BA$5,OR($I2882=经营数据!$BA$4,COUNTIF(经营数据!$AA$9:$AA$38,$I2882)&gt;0)),1,0))</f>
        <v>0</v>
      </c>
      <c r="AA2882" t="str">
        <f t="shared" ref="AA2882:AA2945" si="689">IF($Z2882=1,$U2882*1000000000000+$W2882*100000000+$Y2882*10000+ROW(),"")</f>
        <v/>
      </c>
      <c r="AB2882" t="str">
        <f t="shared" ref="AB2882:AB2945" si="690">IF($Z2882=1,COUNTIFS($Z$2:$Z$3000,1,$AA$2:$AA$3000,"&lt;"&amp;$AA2882)+1,"")</f>
        <v/>
      </c>
      <c r="AC2882">
        <f>IF($A2882="",0,IF(COUNTIF($A$2:$A2882,$A2882)=1,1,0))</f>
        <v>0</v>
      </c>
      <c r="AD2882">
        <f t="shared" ref="AD2882:AD2945" si="691">IF($A2882="",N(AD2881),IF($AC2882=1,N(AD2881)+1,N(AD2881)))</f>
        <v>29</v>
      </c>
      <c r="AE2882" t="str">
        <f t="shared" ref="AE2882:AE2945" si="692">IF($A2882="","",$I2882&amp;"|"&amp;$K2882)</f>
        <v/>
      </c>
    </row>
    <row r="2883" spans="1:31" x14ac:dyDescent="0.4">
      <c r="A2883" t="str">
        <f>IF(原始经营数据!$D2884="","",原始经营数据!$D2884)</f>
        <v/>
      </c>
      <c r="B2883" t="str">
        <f>IF(原始经营数据!$D2884="","",T(原始经营数据!$E2884))</f>
        <v/>
      </c>
      <c r="C2883" t="str">
        <f>IF(原始经营数据!$D2884="","",原始经营数据!$F2884)</f>
        <v/>
      </c>
      <c r="D2883" t="str">
        <f>IF(原始经营数据!$D2884="","",原始经营数据!$H2884)</f>
        <v/>
      </c>
      <c r="E2883" t="str">
        <f>IF(原始经营数据!$D2884="","",原始经营数据!$I2884)</f>
        <v/>
      </c>
      <c r="F2883" t="str">
        <f>IF(原始经营数据!$D2884="","",T(原始经营数据!$J2884))</f>
        <v/>
      </c>
      <c r="G2883" t="str">
        <f>IF(原始经营数据!$D2884="","",T(原始经营数据!$K2884))</f>
        <v/>
      </c>
      <c r="H2883" t="str">
        <f>IF(原始经营数据!$D2884="","",原始经营数据!$G2884)</f>
        <v/>
      </c>
      <c r="I2883" t="str">
        <f>IF($A2883="","",IF($B2883&lt;&gt;"",$B2883,IF(COUNTIFS(原始经营数据!$D$3:$D$3001,$A2883,原始经营数据!$E$3:$E$3001,"",原始经营数据!$F$3:$F$3001,$C2883,原始经营数据!$H$3:$H$3001,$D2883,原始经营数据!$K$3:$K$3001,$G2883)&gt;1,"基金整体·来源"&amp;原始经营数据!$A2884,"基金整体")))</f>
        <v/>
      </c>
      <c r="J2883" t="str">
        <f t="shared" si="678"/>
        <v/>
      </c>
      <c r="K2883" t="str">
        <f t="shared" si="679"/>
        <v/>
      </c>
      <c r="L2883" t="str">
        <f t="shared" si="680"/>
        <v/>
      </c>
      <c r="M2883">
        <f>IF($A2883="",0,IF(COUNTIF($L$2:$L2883,$L2883)=1,1,0))</f>
        <v>0</v>
      </c>
      <c r="N2883" t="str">
        <f t="shared" si="681"/>
        <v/>
      </c>
      <c r="O2883" t="str">
        <f t="shared" si="682"/>
        <v/>
      </c>
      <c r="P2883">
        <f>IF($A2883="",0,IF(COUNTIF($O$2:$O2883,$O2883)=1,1,0))</f>
        <v>0</v>
      </c>
      <c r="Q2883" t="str">
        <f>IF(AND($P2883=1,$A2883=经营数据!$B$3,$J2883=经营数据!$BA$5),COUNTIFS($P$2:$P$3000,1,$A$2:$A$3000,$A2883,$J$2:$J$3000,$J2883,$N$2:$N$3000,"&lt;"&amp;$N2883)+1,"")</f>
        <v/>
      </c>
      <c r="R2883" t="str">
        <f t="shared" si="683"/>
        <v/>
      </c>
      <c r="S2883">
        <f>IF($A2883="",0,IF(COUNTIF($R$2:$R2883,$R2883)=1,1,0))</f>
        <v>0</v>
      </c>
      <c r="T2883" t="str">
        <f t="shared" si="684"/>
        <v/>
      </c>
      <c r="U2883" t="str">
        <f>IF($A2883="","",IF($A2883=经营数据!$B$3,COUNTIFS($S$2:$S$3000,1,$A$2:$A$3000,$A2883,$T$2:$T$3000,"&lt;"&amp;$T2883)+1,""))</f>
        <v/>
      </c>
      <c r="V2883" t="str">
        <f t="shared" si="685"/>
        <v/>
      </c>
      <c r="W2883" t="str">
        <f t="shared" si="686"/>
        <v/>
      </c>
      <c r="X2883" t="str">
        <f t="shared" si="687"/>
        <v/>
      </c>
      <c r="Y2883" t="str">
        <f t="shared" si="688"/>
        <v/>
      </c>
      <c r="Z2883">
        <f>IF($A2883="",0,IF(AND($M2883=1,$A2883=经营数据!$B$3,$J2883=经营数据!$BA$5,OR($I2883=经营数据!$BA$4,COUNTIF(经营数据!$AA$9:$AA$38,$I2883)&gt;0)),1,0))</f>
        <v>0</v>
      </c>
      <c r="AA2883" t="str">
        <f t="shared" si="689"/>
        <v/>
      </c>
      <c r="AB2883" t="str">
        <f t="shared" si="690"/>
        <v/>
      </c>
      <c r="AC2883">
        <f>IF($A2883="",0,IF(COUNTIF($A$2:$A2883,$A2883)=1,1,0))</f>
        <v>0</v>
      </c>
      <c r="AD2883">
        <f t="shared" si="691"/>
        <v>29</v>
      </c>
      <c r="AE2883" t="str">
        <f t="shared" si="692"/>
        <v/>
      </c>
    </row>
    <row r="2884" spans="1:31" x14ac:dyDescent="0.4">
      <c r="A2884" t="str">
        <f>IF(原始经营数据!$D2885="","",原始经营数据!$D2885)</f>
        <v/>
      </c>
      <c r="B2884" t="str">
        <f>IF(原始经营数据!$D2885="","",T(原始经营数据!$E2885))</f>
        <v/>
      </c>
      <c r="C2884" t="str">
        <f>IF(原始经营数据!$D2885="","",原始经营数据!$F2885)</f>
        <v/>
      </c>
      <c r="D2884" t="str">
        <f>IF(原始经营数据!$D2885="","",原始经营数据!$H2885)</f>
        <v/>
      </c>
      <c r="E2884" t="str">
        <f>IF(原始经营数据!$D2885="","",原始经营数据!$I2885)</f>
        <v/>
      </c>
      <c r="F2884" t="str">
        <f>IF(原始经营数据!$D2885="","",T(原始经营数据!$J2885))</f>
        <v/>
      </c>
      <c r="G2884" t="str">
        <f>IF(原始经营数据!$D2885="","",T(原始经营数据!$K2885))</f>
        <v/>
      </c>
      <c r="H2884" t="str">
        <f>IF(原始经营数据!$D2885="","",原始经营数据!$G2885)</f>
        <v/>
      </c>
      <c r="I2884" t="str">
        <f>IF($A2884="","",IF($B2884&lt;&gt;"",$B2884,IF(COUNTIFS(原始经营数据!$D$3:$D$3001,$A2884,原始经营数据!$E$3:$E$3001,"",原始经营数据!$F$3:$F$3001,$C2884,原始经营数据!$H$3:$H$3001,$D2884,原始经营数据!$K$3:$K$3001,$G2884)&gt;1,"基金整体·来源"&amp;原始经营数据!$A2885,"基金整体")))</f>
        <v/>
      </c>
      <c r="J2884" t="str">
        <f t="shared" si="678"/>
        <v/>
      </c>
      <c r="K2884" t="str">
        <f t="shared" si="679"/>
        <v/>
      </c>
      <c r="L2884" t="str">
        <f t="shared" si="680"/>
        <v/>
      </c>
      <c r="M2884">
        <f>IF($A2884="",0,IF(COUNTIF($L$2:$L2884,$L2884)=1,1,0))</f>
        <v>0</v>
      </c>
      <c r="N2884" t="str">
        <f t="shared" si="681"/>
        <v/>
      </c>
      <c r="O2884" t="str">
        <f t="shared" si="682"/>
        <v/>
      </c>
      <c r="P2884">
        <f>IF($A2884="",0,IF(COUNTIF($O$2:$O2884,$O2884)=1,1,0))</f>
        <v>0</v>
      </c>
      <c r="Q2884" t="str">
        <f>IF(AND($P2884=1,$A2884=经营数据!$B$3,$J2884=经营数据!$BA$5),COUNTIFS($P$2:$P$3000,1,$A$2:$A$3000,$A2884,$J$2:$J$3000,$J2884,$N$2:$N$3000,"&lt;"&amp;$N2884)+1,"")</f>
        <v/>
      </c>
      <c r="R2884" t="str">
        <f t="shared" si="683"/>
        <v/>
      </c>
      <c r="S2884">
        <f>IF($A2884="",0,IF(COUNTIF($R$2:$R2884,$R2884)=1,1,0))</f>
        <v>0</v>
      </c>
      <c r="T2884" t="str">
        <f t="shared" si="684"/>
        <v/>
      </c>
      <c r="U2884" t="str">
        <f>IF($A2884="","",IF($A2884=经营数据!$B$3,COUNTIFS($S$2:$S$3000,1,$A$2:$A$3000,$A2884,$T$2:$T$3000,"&lt;"&amp;$T2884)+1,""))</f>
        <v/>
      </c>
      <c r="V2884" t="str">
        <f t="shared" si="685"/>
        <v/>
      </c>
      <c r="W2884" t="str">
        <f t="shared" si="686"/>
        <v/>
      </c>
      <c r="X2884" t="str">
        <f t="shared" si="687"/>
        <v/>
      </c>
      <c r="Y2884" t="str">
        <f t="shared" si="688"/>
        <v/>
      </c>
      <c r="Z2884">
        <f>IF($A2884="",0,IF(AND($M2884=1,$A2884=经营数据!$B$3,$J2884=经营数据!$BA$5,OR($I2884=经营数据!$BA$4,COUNTIF(经营数据!$AA$9:$AA$38,$I2884)&gt;0)),1,0))</f>
        <v>0</v>
      </c>
      <c r="AA2884" t="str">
        <f t="shared" si="689"/>
        <v/>
      </c>
      <c r="AB2884" t="str">
        <f t="shared" si="690"/>
        <v/>
      </c>
      <c r="AC2884">
        <f>IF($A2884="",0,IF(COUNTIF($A$2:$A2884,$A2884)=1,1,0))</f>
        <v>0</v>
      </c>
      <c r="AD2884">
        <f t="shared" si="691"/>
        <v>29</v>
      </c>
      <c r="AE2884" t="str">
        <f t="shared" si="692"/>
        <v/>
      </c>
    </row>
    <row r="2885" spans="1:31" x14ac:dyDescent="0.4">
      <c r="A2885" t="str">
        <f>IF(原始经营数据!$D2886="","",原始经营数据!$D2886)</f>
        <v/>
      </c>
      <c r="B2885" t="str">
        <f>IF(原始经营数据!$D2886="","",T(原始经营数据!$E2886))</f>
        <v/>
      </c>
      <c r="C2885" t="str">
        <f>IF(原始经营数据!$D2886="","",原始经营数据!$F2886)</f>
        <v/>
      </c>
      <c r="D2885" t="str">
        <f>IF(原始经营数据!$D2886="","",原始经营数据!$H2886)</f>
        <v/>
      </c>
      <c r="E2885" t="str">
        <f>IF(原始经营数据!$D2886="","",原始经营数据!$I2886)</f>
        <v/>
      </c>
      <c r="F2885" t="str">
        <f>IF(原始经营数据!$D2886="","",T(原始经营数据!$J2886))</f>
        <v/>
      </c>
      <c r="G2885" t="str">
        <f>IF(原始经营数据!$D2886="","",T(原始经营数据!$K2886))</f>
        <v/>
      </c>
      <c r="H2885" t="str">
        <f>IF(原始经营数据!$D2886="","",原始经营数据!$G2886)</f>
        <v/>
      </c>
      <c r="I2885" t="str">
        <f>IF($A2885="","",IF($B2885&lt;&gt;"",$B2885,IF(COUNTIFS(原始经营数据!$D$3:$D$3001,$A2885,原始经营数据!$E$3:$E$3001,"",原始经营数据!$F$3:$F$3001,$C2885,原始经营数据!$H$3:$H$3001,$D2885,原始经营数据!$K$3:$K$3001,$G2885)&gt;1,"基金整体·来源"&amp;原始经营数据!$A2886,"基金整体")))</f>
        <v/>
      </c>
      <c r="J2885" t="str">
        <f t="shared" si="678"/>
        <v/>
      </c>
      <c r="K2885" t="str">
        <f t="shared" si="679"/>
        <v/>
      </c>
      <c r="L2885" t="str">
        <f t="shared" si="680"/>
        <v/>
      </c>
      <c r="M2885">
        <f>IF($A2885="",0,IF(COUNTIF($L$2:$L2885,$L2885)=1,1,0))</f>
        <v>0</v>
      </c>
      <c r="N2885" t="str">
        <f t="shared" si="681"/>
        <v/>
      </c>
      <c r="O2885" t="str">
        <f t="shared" si="682"/>
        <v/>
      </c>
      <c r="P2885">
        <f>IF($A2885="",0,IF(COUNTIF($O$2:$O2885,$O2885)=1,1,0))</f>
        <v>0</v>
      </c>
      <c r="Q2885" t="str">
        <f>IF(AND($P2885=1,$A2885=经营数据!$B$3,$J2885=经营数据!$BA$5),COUNTIFS($P$2:$P$3000,1,$A$2:$A$3000,$A2885,$J$2:$J$3000,$J2885,$N$2:$N$3000,"&lt;"&amp;$N2885)+1,"")</f>
        <v/>
      </c>
      <c r="R2885" t="str">
        <f t="shared" si="683"/>
        <v/>
      </c>
      <c r="S2885">
        <f>IF($A2885="",0,IF(COUNTIF($R$2:$R2885,$R2885)=1,1,0))</f>
        <v>0</v>
      </c>
      <c r="T2885" t="str">
        <f t="shared" si="684"/>
        <v/>
      </c>
      <c r="U2885" t="str">
        <f>IF($A2885="","",IF($A2885=经营数据!$B$3,COUNTIFS($S$2:$S$3000,1,$A$2:$A$3000,$A2885,$T$2:$T$3000,"&lt;"&amp;$T2885)+1,""))</f>
        <v/>
      </c>
      <c r="V2885" t="str">
        <f t="shared" si="685"/>
        <v/>
      </c>
      <c r="W2885" t="str">
        <f t="shared" si="686"/>
        <v/>
      </c>
      <c r="X2885" t="str">
        <f t="shared" si="687"/>
        <v/>
      </c>
      <c r="Y2885" t="str">
        <f t="shared" si="688"/>
        <v/>
      </c>
      <c r="Z2885">
        <f>IF($A2885="",0,IF(AND($M2885=1,$A2885=经营数据!$B$3,$J2885=经营数据!$BA$5,OR($I2885=经营数据!$BA$4,COUNTIF(经营数据!$AA$9:$AA$38,$I2885)&gt;0)),1,0))</f>
        <v>0</v>
      </c>
      <c r="AA2885" t="str">
        <f t="shared" si="689"/>
        <v/>
      </c>
      <c r="AB2885" t="str">
        <f t="shared" si="690"/>
        <v/>
      </c>
      <c r="AC2885">
        <f>IF($A2885="",0,IF(COUNTIF($A$2:$A2885,$A2885)=1,1,0))</f>
        <v>0</v>
      </c>
      <c r="AD2885">
        <f t="shared" si="691"/>
        <v>29</v>
      </c>
      <c r="AE2885" t="str">
        <f t="shared" si="692"/>
        <v/>
      </c>
    </row>
    <row r="2886" spans="1:31" x14ac:dyDescent="0.4">
      <c r="A2886" t="str">
        <f>IF(原始经营数据!$D2887="","",原始经营数据!$D2887)</f>
        <v/>
      </c>
      <c r="B2886" t="str">
        <f>IF(原始经营数据!$D2887="","",T(原始经营数据!$E2887))</f>
        <v/>
      </c>
      <c r="C2886" t="str">
        <f>IF(原始经营数据!$D2887="","",原始经营数据!$F2887)</f>
        <v/>
      </c>
      <c r="D2886" t="str">
        <f>IF(原始经营数据!$D2887="","",原始经营数据!$H2887)</f>
        <v/>
      </c>
      <c r="E2886" t="str">
        <f>IF(原始经营数据!$D2887="","",原始经营数据!$I2887)</f>
        <v/>
      </c>
      <c r="F2886" t="str">
        <f>IF(原始经营数据!$D2887="","",T(原始经营数据!$J2887))</f>
        <v/>
      </c>
      <c r="G2886" t="str">
        <f>IF(原始经营数据!$D2887="","",T(原始经营数据!$K2887))</f>
        <v/>
      </c>
      <c r="H2886" t="str">
        <f>IF(原始经营数据!$D2887="","",原始经营数据!$G2887)</f>
        <v/>
      </c>
      <c r="I2886" t="str">
        <f>IF($A2886="","",IF($B2886&lt;&gt;"",$B2886,IF(COUNTIFS(原始经营数据!$D$3:$D$3001,$A2886,原始经营数据!$E$3:$E$3001,"",原始经营数据!$F$3:$F$3001,$C2886,原始经营数据!$H$3:$H$3001,$D2886,原始经营数据!$K$3:$K$3001,$G2886)&gt;1,"基金整体·来源"&amp;原始经营数据!$A2887,"基金整体")))</f>
        <v/>
      </c>
      <c r="J2886" t="str">
        <f t="shared" si="678"/>
        <v/>
      </c>
      <c r="K2886" t="str">
        <f t="shared" si="679"/>
        <v/>
      </c>
      <c r="L2886" t="str">
        <f t="shared" si="680"/>
        <v/>
      </c>
      <c r="M2886">
        <f>IF($A2886="",0,IF(COUNTIF($L$2:$L2886,$L2886)=1,1,0))</f>
        <v>0</v>
      </c>
      <c r="N2886" t="str">
        <f t="shared" si="681"/>
        <v/>
      </c>
      <c r="O2886" t="str">
        <f t="shared" si="682"/>
        <v/>
      </c>
      <c r="P2886">
        <f>IF($A2886="",0,IF(COUNTIF($O$2:$O2886,$O2886)=1,1,0))</f>
        <v>0</v>
      </c>
      <c r="Q2886" t="str">
        <f>IF(AND($P2886=1,$A2886=经营数据!$B$3,$J2886=经营数据!$BA$5),COUNTIFS($P$2:$P$3000,1,$A$2:$A$3000,$A2886,$J$2:$J$3000,$J2886,$N$2:$N$3000,"&lt;"&amp;$N2886)+1,"")</f>
        <v/>
      </c>
      <c r="R2886" t="str">
        <f t="shared" si="683"/>
        <v/>
      </c>
      <c r="S2886">
        <f>IF($A2886="",0,IF(COUNTIF($R$2:$R2886,$R2886)=1,1,0))</f>
        <v>0</v>
      </c>
      <c r="T2886" t="str">
        <f t="shared" si="684"/>
        <v/>
      </c>
      <c r="U2886" t="str">
        <f>IF($A2886="","",IF($A2886=经营数据!$B$3,COUNTIFS($S$2:$S$3000,1,$A$2:$A$3000,$A2886,$T$2:$T$3000,"&lt;"&amp;$T2886)+1,""))</f>
        <v/>
      </c>
      <c r="V2886" t="str">
        <f t="shared" si="685"/>
        <v/>
      </c>
      <c r="W2886" t="str">
        <f t="shared" si="686"/>
        <v/>
      </c>
      <c r="X2886" t="str">
        <f t="shared" si="687"/>
        <v/>
      </c>
      <c r="Y2886" t="str">
        <f t="shared" si="688"/>
        <v/>
      </c>
      <c r="Z2886">
        <f>IF($A2886="",0,IF(AND($M2886=1,$A2886=经营数据!$B$3,$J2886=经营数据!$BA$5,OR($I2886=经营数据!$BA$4,COUNTIF(经营数据!$AA$9:$AA$38,$I2886)&gt;0)),1,0))</f>
        <v>0</v>
      </c>
      <c r="AA2886" t="str">
        <f t="shared" si="689"/>
        <v/>
      </c>
      <c r="AB2886" t="str">
        <f t="shared" si="690"/>
        <v/>
      </c>
      <c r="AC2886">
        <f>IF($A2886="",0,IF(COUNTIF($A$2:$A2886,$A2886)=1,1,0))</f>
        <v>0</v>
      </c>
      <c r="AD2886">
        <f t="shared" si="691"/>
        <v>29</v>
      </c>
      <c r="AE2886" t="str">
        <f t="shared" si="692"/>
        <v/>
      </c>
    </row>
    <row r="2887" spans="1:31" x14ac:dyDescent="0.4">
      <c r="A2887" t="str">
        <f>IF(原始经营数据!$D2888="","",原始经营数据!$D2888)</f>
        <v/>
      </c>
      <c r="B2887" t="str">
        <f>IF(原始经营数据!$D2888="","",T(原始经营数据!$E2888))</f>
        <v/>
      </c>
      <c r="C2887" t="str">
        <f>IF(原始经营数据!$D2888="","",原始经营数据!$F2888)</f>
        <v/>
      </c>
      <c r="D2887" t="str">
        <f>IF(原始经营数据!$D2888="","",原始经营数据!$H2888)</f>
        <v/>
      </c>
      <c r="E2887" t="str">
        <f>IF(原始经营数据!$D2888="","",原始经营数据!$I2888)</f>
        <v/>
      </c>
      <c r="F2887" t="str">
        <f>IF(原始经营数据!$D2888="","",T(原始经营数据!$J2888))</f>
        <v/>
      </c>
      <c r="G2887" t="str">
        <f>IF(原始经营数据!$D2888="","",T(原始经营数据!$K2888))</f>
        <v/>
      </c>
      <c r="H2887" t="str">
        <f>IF(原始经营数据!$D2888="","",原始经营数据!$G2888)</f>
        <v/>
      </c>
      <c r="I2887" t="str">
        <f>IF($A2887="","",IF($B2887&lt;&gt;"",$B2887,IF(COUNTIFS(原始经营数据!$D$3:$D$3001,$A2887,原始经营数据!$E$3:$E$3001,"",原始经营数据!$F$3:$F$3001,$C2887,原始经营数据!$H$3:$H$3001,$D2887,原始经营数据!$K$3:$K$3001,$G2887)&gt;1,"基金整体·来源"&amp;原始经营数据!$A2888,"基金整体")))</f>
        <v/>
      </c>
      <c r="J2887" t="str">
        <f t="shared" si="678"/>
        <v/>
      </c>
      <c r="K2887" t="str">
        <f t="shared" si="679"/>
        <v/>
      </c>
      <c r="L2887" t="str">
        <f t="shared" si="680"/>
        <v/>
      </c>
      <c r="M2887">
        <f>IF($A2887="",0,IF(COUNTIF($L$2:$L2887,$L2887)=1,1,0))</f>
        <v>0</v>
      </c>
      <c r="N2887" t="str">
        <f t="shared" si="681"/>
        <v/>
      </c>
      <c r="O2887" t="str">
        <f t="shared" si="682"/>
        <v/>
      </c>
      <c r="P2887">
        <f>IF($A2887="",0,IF(COUNTIF($O$2:$O2887,$O2887)=1,1,0))</f>
        <v>0</v>
      </c>
      <c r="Q2887" t="str">
        <f>IF(AND($P2887=1,$A2887=经营数据!$B$3,$J2887=经营数据!$BA$5),COUNTIFS($P$2:$P$3000,1,$A$2:$A$3000,$A2887,$J$2:$J$3000,$J2887,$N$2:$N$3000,"&lt;"&amp;$N2887)+1,"")</f>
        <v/>
      </c>
      <c r="R2887" t="str">
        <f t="shared" si="683"/>
        <v/>
      </c>
      <c r="S2887">
        <f>IF($A2887="",0,IF(COUNTIF($R$2:$R2887,$R2887)=1,1,0))</f>
        <v>0</v>
      </c>
      <c r="T2887" t="str">
        <f t="shared" si="684"/>
        <v/>
      </c>
      <c r="U2887" t="str">
        <f>IF($A2887="","",IF($A2887=经营数据!$B$3,COUNTIFS($S$2:$S$3000,1,$A$2:$A$3000,$A2887,$T$2:$T$3000,"&lt;"&amp;$T2887)+1,""))</f>
        <v/>
      </c>
      <c r="V2887" t="str">
        <f t="shared" si="685"/>
        <v/>
      </c>
      <c r="W2887" t="str">
        <f t="shared" si="686"/>
        <v/>
      </c>
      <c r="X2887" t="str">
        <f t="shared" si="687"/>
        <v/>
      </c>
      <c r="Y2887" t="str">
        <f t="shared" si="688"/>
        <v/>
      </c>
      <c r="Z2887">
        <f>IF($A2887="",0,IF(AND($M2887=1,$A2887=经营数据!$B$3,$J2887=经营数据!$BA$5,OR($I2887=经营数据!$BA$4,COUNTIF(经营数据!$AA$9:$AA$38,$I2887)&gt;0)),1,0))</f>
        <v>0</v>
      </c>
      <c r="AA2887" t="str">
        <f t="shared" si="689"/>
        <v/>
      </c>
      <c r="AB2887" t="str">
        <f t="shared" si="690"/>
        <v/>
      </c>
      <c r="AC2887">
        <f>IF($A2887="",0,IF(COUNTIF($A$2:$A2887,$A2887)=1,1,0))</f>
        <v>0</v>
      </c>
      <c r="AD2887">
        <f t="shared" si="691"/>
        <v>29</v>
      </c>
      <c r="AE2887" t="str">
        <f t="shared" si="692"/>
        <v/>
      </c>
    </row>
    <row r="2888" spans="1:31" x14ac:dyDescent="0.4">
      <c r="A2888" t="str">
        <f>IF(原始经营数据!$D2889="","",原始经营数据!$D2889)</f>
        <v/>
      </c>
      <c r="B2888" t="str">
        <f>IF(原始经营数据!$D2889="","",T(原始经营数据!$E2889))</f>
        <v/>
      </c>
      <c r="C2888" t="str">
        <f>IF(原始经营数据!$D2889="","",原始经营数据!$F2889)</f>
        <v/>
      </c>
      <c r="D2888" t="str">
        <f>IF(原始经营数据!$D2889="","",原始经营数据!$H2889)</f>
        <v/>
      </c>
      <c r="E2888" t="str">
        <f>IF(原始经营数据!$D2889="","",原始经营数据!$I2889)</f>
        <v/>
      </c>
      <c r="F2888" t="str">
        <f>IF(原始经营数据!$D2889="","",T(原始经营数据!$J2889))</f>
        <v/>
      </c>
      <c r="G2888" t="str">
        <f>IF(原始经营数据!$D2889="","",T(原始经营数据!$K2889))</f>
        <v/>
      </c>
      <c r="H2888" t="str">
        <f>IF(原始经营数据!$D2889="","",原始经营数据!$G2889)</f>
        <v/>
      </c>
      <c r="I2888" t="str">
        <f>IF($A2888="","",IF($B2888&lt;&gt;"",$B2888,IF(COUNTIFS(原始经营数据!$D$3:$D$3001,$A2888,原始经营数据!$E$3:$E$3001,"",原始经营数据!$F$3:$F$3001,$C2888,原始经营数据!$H$3:$H$3001,$D2888,原始经营数据!$K$3:$K$3001,$G2888)&gt;1,"基金整体·来源"&amp;原始经营数据!$A2889,"基金整体")))</f>
        <v/>
      </c>
      <c r="J2888" t="str">
        <f t="shared" si="678"/>
        <v/>
      </c>
      <c r="K2888" t="str">
        <f t="shared" si="679"/>
        <v/>
      </c>
      <c r="L2888" t="str">
        <f t="shared" si="680"/>
        <v/>
      </c>
      <c r="M2888">
        <f>IF($A2888="",0,IF(COUNTIF($L$2:$L2888,$L2888)=1,1,0))</f>
        <v>0</v>
      </c>
      <c r="N2888" t="str">
        <f t="shared" si="681"/>
        <v/>
      </c>
      <c r="O2888" t="str">
        <f t="shared" si="682"/>
        <v/>
      </c>
      <c r="P2888">
        <f>IF($A2888="",0,IF(COUNTIF($O$2:$O2888,$O2888)=1,1,0))</f>
        <v>0</v>
      </c>
      <c r="Q2888" t="str">
        <f>IF(AND($P2888=1,$A2888=经营数据!$B$3,$J2888=经营数据!$BA$5),COUNTIFS($P$2:$P$3000,1,$A$2:$A$3000,$A2888,$J$2:$J$3000,$J2888,$N$2:$N$3000,"&lt;"&amp;$N2888)+1,"")</f>
        <v/>
      </c>
      <c r="R2888" t="str">
        <f t="shared" si="683"/>
        <v/>
      </c>
      <c r="S2888">
        <f>IF($A2888="",0,IF(COUNTIF($R$2:$R2888,$R2888)=1,1,0))</f>
        <v>0</v>
      </c>
      <c r="T2888" t="str">
        <f t="shared" si="684"/>
        <v/>
      </c>
      <c r="U2888" t="str">
        <f>IF($A2888="","",IF($A2888=经营数据!$B$3,COUNTIFS($S$2:$S$3000,1,$A$2:$A$3000,$A2888,$T$2:$T$3000,"&lt;"&amp;$T2888)+1,""))</f>
        <v/>
      </c>
      <c r="V2888" t="str">
        <f t="shared" si="685"/>
        <v/>
      </c>
      <c r="W2888" t="str">
        <f t="shared" si="686"/>
        <v/>
      </c>
      <c r="X2888" t="str">
        <f t="shared" si="687"/>
        <v/>
      </c>
      <c r="Y2888" t="str">
        <f t="shared" si="688"/>
        <v/>
      </c>
      <c r="Z2888">
        <f>IF($A2888="",0,IF(AND($M2888=1,$A2888=经营数据!$B$3,$J2888=经营数据!$BA$5,OR($I2888=经营数据!$BA$4,COUNTIF(经营数据!$AA$9:$AA$38,$I2888)&gt;0)),1,0))</f>
        <v>0</v>
      </c>
      <c r="AA2888" t="str">
        <f t="shared" si="689"/>
        <v/>
      </c>
      <c r="AB2888" t="str">
        <f t="shared" si="690"/>
        <v/>
      </c>
      <c r="AC2888">
        <f>IF($A2888="",0,IF(COUNTIF($A$2:$A2888,$A2888)=1,1,0))</f>
        <v>0</v>
      </c>
      <c r="AD2888">
        <f t="shared" si="691"/>
        <v>29</v>
      </c>
      <c r="AE2888" t="str">
        <f t="shared" si="692"/>
        <v/>
      </c>
    </row>
    <row r="2889" spans="1:31" x14ac:dyDescent="0.4">
      <c r="A2889" t="str">
        <f>IF(原始经营数据!$D2890="","",原始经营数据!$D2890)</f>
        <v/>
      </c>
      <c r="B2889" t="str">
        <f>IF(原始经营数据!$D2890="","",T(原始经营数据!$E2890))</f>
        <v/>
      </c>
      <c r="C2889" t="str">
        <f>IF(原始经营数据!$D2890="","",原始经营数据!$F2890)</f>
        <v/>
      </c>
      <c r="D2889" t="str">
        <f>IF(原始经营数据!$D2890="","",原始经营数据!$H2890)</f>
        <v/>
      </c>
      <c r="E2889" t="str">
        <f>IF(原始经营数据!$D2890="","",原始经营数据!$I2890)</f>
        <v/>
      </c>
      <c r="F2889" t="str">
        <f>IF(原始经营数据!$D2890="","",T(原始经营数据!$J2890))</f>
        <v/>
      </c>
      <c r="G2889" t="str">
        <f>IF(原始经营数据!$D2890="","",T(原始经营数据!$K2890))</f>
        <v/>
      </c>
      <c r="H2889" t="str">
        <f>IF(原始经营数据!$D2890="","",原始经营数据!$G2890)</f>
        <v/>
      </c>
      <c r="I2889" t="str">
        <f>IF($A2889="","",IF($B2889&lt;&gt;"",$B2889,IF(COUNTIFS(原始经营数据!$D$3:$D$3001,$A2889,原始经营数据!$E$3:$E$3001,"",原始经营数据!$F$3:$F$3001,$C2889,原始经营数据!$H$3:$H$3001,$D2889,原始经营数据!$K$3:$K$3001,$G2889)&gt;1,"基金整体·来源"&amp;原始经营数据!$A2890,"基金整体")))</f>
        <v/>
      </c>
      <c r="J2889" t="str">
        <f t="shared" si="678"/>
        <v/>
      </c>
      <c r="K2889" t="str">
        <f t="shared" si="679"/>
        <v/>
      </c>
      <c r="L2889" t="str">
        <f t="shared" si="680"/>
        <v/>
      </c>
      <c r="M2889">
        <f>IF($A2889="",0,IF(COUNTIF($L$2:$L2889,$L2889)=1,1,0))</f>
        <v>0</v>
      </c>
      <c r="N2889" t="str">
        <f t="shared" si="681"/>
        <v/>
      </c>
      <c r="O2889" t="str">
        <f t="shared" si="682"/>
        <v/>
      </c>
      <c r="P2889">
        <f>IF($A2889="",0,IF(COUNTIF($O$2:$O2889,$O2889)=1,1,0))</f>
        <v>0</v>
      </c>
      <c r="Q2889" t="str">
        <f>IF(AND($P2889=1,$A2889=经营数据!$B$3,$J2889=经营数据!$BA$5),COUNTIFS($P$2:$P$3000,1,$A$2:$A$3000,$A2889,$J$2:$J$3000,$J2889,$N$2:$N$3000,"&lt;"&amp;$N2889)+1,"")</f>
        <v/>
      </c>
      <c r="R2889" t="str">
        <f t="shared" si="683"/>
        <v/>
      </c>
      <c r="S2889">
        <f>IF($A2889="",0,IF(COUNTIF($R$2:$R2889,$R2889)=1,1,0))</f>
        <v>0</v>
      </c>
      <c r="T2889" t="str">
        <f t="shared" si="684"/>
        <v/>
      </c>
      <c r="U2889" t="str">
        <f>IF($A2889="","",IF($A2889=经营数据!$B$3,COUNTIFS($S$2:$S$3000,1,$A$2:$A$3000,$A2889,$T$2:$T$3000,"&lt;"&amp;$T2889)+1,""))</f>
        <v/>
      </c>
      <c r="V2889" t="str">
        <f t="shared" si="685"/>
        <v/>
      </c>
      <c r="W2889" t="str">
        <f t="shared" si="686"/>
        <v/>
      </c>
      <c r="X2889" t="str">
        <f t="shared" si="687"/>
        <v/>
      </c>
      <c r="Y2889" t="str">
        <f t="shared" si="688"/>
        <v/>
      </c>
      <c r="Z2889">
        <f>IF($A2889="",0,IF(AND($M2889=1,$A2889=经营数据!$B$3,$J2889=经营数据!$BA$5,OR($I2889=经营数据!$BA$4,COUNTIF(经营数据!$AA$9:$AA$38,$I2889)&gt;0)),1,0))</f>
        <v>0</v>
      </c>
      <c r="AA2889" t="str">
        <f t="shared" si="689"/>
        <v/>
      </c>
      <c r="AB2889" t="str">
        <f t="shared" si="690"/>
        <v/>
      </c>
      <c r="AC2889">
        <f>IF($A2889="",0,IF(COUNTIF($A$2:$A2889,$A2889)=1,1,0))</f>
        <v>0</v>
      </c>
      <c r="AD2889">
        <f t="shared" si="691"/>
        <v>29</v>
      </c>
      <c r="AE2889" t="str">
        <f t="shared" si="692"/>
        <v/>
      </c>
    </row>
    <row r="2890" spans="1:31" x14ac:dyDescent="0.4">
      <c r="A2890" t="str">
        <f>IF(原始经营数据!$D2891="","",原始经营数据!$D2891)</f>
        <v/>
      </c>
      <c r="B2890" t="str">
        <f>IF(原始经营数据!$D2891="","",T(原始经营数据!$E2891))</f>
        <v/>
      </c>
      <c r="C2890" t="str">
        <f>IF(原始经营数据!$D2891="","",原始经营数据!$F2891)</f>
        <v/>
      </c>
      <c r="D2890" t="str">
        <f>IF(原始经营数据!$D2891="","",原始经营数据!$H2891)</f>
        <v/>
      </c>
      <c r="E2890" t="str">
        <f>IF(原始经营数据!$D2891="","",原始经营数据!$I2891)</f>
        <v/>
      </c>
      <c r="F2890" t="str">
        <f>IF(原始经营数据!$D2891="","",T(原始经营数据!$J2891))</f>
        <v/>
      </c>
      <c r="G2890" t="str">
        <f>IF(原始经营数据!$D2891="","",T(原始经营数据!$K2891))</f>
        <v/>
      </c>
      <c r="H2890" t="str">
        <f>IF(原始经营数据!$D2891="","",原始经营数据!$G2891)</f>
        <v/>
      </c>
      <c r="I2890" t="str">
        <f>IF($A2890="","",IF($B2890&lt;&gt;"",$B2890,IF(COUNTIFS(原始经营数据!$D$3:$D$3001,$A2890,原始经营数据!$E$3:$E$3001,"",原始经营数据!$F$3:$F$3001,$C2890,原始经营数据!$H$3:$H$3001,$D2890,原始经营数据!$K$3:$K$3001,$G2890)&gt;1,"基金整体·来源"&amp;原始经营数据!$A2891,"基金整体")))</f>
        <v/>
      </c>
      <c r="J2890" t="str">
        <f t="shared" si="678"/>
        <v/>
      </c>
      <c r="K2890" t="str">
        <f t="shared" si="679"/>
        <v/>
      </c>
      <c r="L2890" t="str">
        <f t="shared" si="680"/>
        <v/>
      </c>
      <c r="M2890">
        <f>IF($A2890="",0,IF(COUNTIF($L$2:$L2890,$L2890)=1,1,0))</f>
        <v>0</v>
      </c>
      <c r="N2890" t="str">
        <f t="shared" si="681"/>
        <v/>
      </c>
      <c r="O2890" t="str">
        <f t="shared" si="682"/>
        <v/>
      </c>
      <c r="P2890">
        <f>IF($A2890="",0,IF(COUNTIF($O$2:$O2890,$O2890)=1,1,0))</f>
        <v>0</v>
      </c>
      <c r="Q2890" t="str">
        <f>IF(AND($P2890=1,$A2890=经营数据!$B$3,$J2890=经营数据!$BA$5),COUNTIFS($P$2:$P$3000,1,$A$2:$A$3000,$A2890,$J$2:$J$3000,$J2890,$N$2:$N$3000,"&lt;"&amp;$N2890)+1,"")</f>
        <v/>
      </c>
      <c r="R2890" t="str">
        <f t="shared" si="683"/>
        <v/>
      </c>
      <c r="S2890">
        <f>IF($A2890="",0,IF(COUNTIF($R$2:$R2890,$R2890)=1,1,0))</f>
        <v>0</v>
      </c>
      <c r="T2890" t="str">
        <f t="shared" si="684"/>
        <v/>
      </c>
      <c r="U2890" t="str">
        <f>IF($A2890="","",IF($A2890=经营数据!$B$3,COUNTIFS($S$2:$S$3000,1,$A$2:$A$3000,$A2890,$T$2:$T$3000,"&lt;"&amp;$T2890)+1,""))</f>
        <v/>
      </c>
      <c r="V2890" t="str">
        <f t="shared" si="685"/>
        <v/>
      </c>
      <c r="W2890" t="str">
        <f t="shared" si="686"/>
        <v/>
      </c>
      <c r="X2890" t="str">
        <f t="shared" si="687"/>
        <v/>
      </c>
      <c r="Y2890" t="str">
        <f t="shared" si="688"/>
        <v/>
      </c>
      <c r="Z2890">
        <f>IF($A2890="",0,IF(AND($M2890=1,$A2890=经营数据!$B$3,$J2890=经营数据!$BA$5,OR($I2890=经营数据!$BA$4,COUNTIF(经营数据!$AA$9:$AA$38,$I2890)&gt;0)),1,0))</f>
        <v>0</v>
      </c>
      <c r="AA2890" t="str">
        <f t="shared" si="689"/>
        <v/>
      </c>
      <c r="AB2890" t="str">
        <f t="shared" si="690"/>
        <v/>
      </c>
      <c r="AC2890">
        <f>IF($A2890="",0,IF(COUNTIF($A$2:$A2890,$A2890)=1,1,0))</f>
        <v>0</v>
      </c>
      <c r="AD2890">
        <f t="shared" si="691"/>
        <v>29</v>
      </c>
      <c r="AE2890" t="str">
        <f t="shared" si="692"/>
        <v/>
      </c>
    </row>
    <row r="2891" spans="1:31" x14ac:dyDescent="0.4">
      <c r="A2891" t="str">
        <f>IF(原始经营数据!$D2892="","",原始经营数据!$D2892)</f>
        <v/>
      </c>
      <c r="B2891" t="str">
        <f>IF(原始经营数据!$D2892="","",T(原始经营数据!$E2892))</f>
        <v/>
      </c>
      <c r="C2891" t="str">
        <f>IF(原始经营数据!$D2892="","",原始经营数据!$F2892)</f>
        <v/>
      </c>
      <c r="D2891" t="str">
        <f>IF(原始经营数据!$D2892="","",原始经营数据!$H2892)</f>
        <v/>
      </c>
      <c r="E2891" t="str">
        <f>IF(原始经营数据!$D2892="","",原始经营数据!$I2892)</f>
        <v/>
      </c>
      <c r="F2891" t="str">
        <f>IF(原始经营数据!$D2892="","",T(原始经营数据!$J2892))</f>
        <v/>
      </c>
      <c r="G2891" t="str">
        <f>IF(原始经营数据!$D2892="","",T(原始经营数据!$K2892))</f>
        <v/>
      </c>
      <c r="H2891" t="str">
        <f>IF(原始经营数据!$D2892="","",原始经营数据!$G2892)</f>
        <v/>
      </c>
      <c r="I2891" t="str">
        <f>IF($A2891="","",IF($B2891&lt;&gt;"",$B2891,IF(COUNTIFS(原始经营数据!$D$3:$D$3001,$A2891,原始经营数据!$E$3:$E$3001,"",原始经营数据!$F$3:$F$3001,$C2891,原始经营数据!$H$3:$H$3001,$D2891,原始经营数据!$K$3:$K$3001,$G2891)&gt;1,"基金整体·来源"&amp;原始经营数据!$A2892,"基金整体")))</f>
        <v/>
      </c>
      <c r="J2891" t="str">
        <f t="shared" si="678"/>
        <v/>
      </c>
      <c r="K2891" t="str">
        <f t="shared" si="679"/>
        <v/>
      </c>
      <c r="L2891" t="str">
        <f t="shared" si="680"/>
        <v/>
      </c>
      <c r="M2891">
        <f>IF($A2891="",0,IF(COUNTIF($L$2:$L2891,$L2891)=1,1,0))</f>
        <v>0</v>
      </c>
      <c r="N2891" t="str">
        <f t="shared" si="681"/>
        <v/>
      </c>
      <c r="O2891" t="str">
        <f t="shared" si="682"/>
        <v/>
      </c>
      <c r="P2891">
        <f>IF($A2891="",0,IF(COUNTIF($O$2:$O2891,$O2891)=1,1,0))</f>
        <v>0</v>
      </c>
      <c r="Q2891" t="str">
        <f>IF(AND($P2891=1,$A2891=经营数据!$B$3,$J2891=经营数据!$BA$5),COUNTIFS($P$2:$P$3000,1,$A$2:$A$3000,$A2891,$J$2:$J$3000,$J2891,$N$2:$N$3000,"&lt;"&amp;$N2891)+1,"")</f>
        <v/>
      </c>
      <c r="R2891" t="str">
        <f t="shared" si="683"/>
        <v/>
      </c>
      <c r="S2891">
        <f>IF($A2891="",0,IF(COUNTIF($R$2:$R2891,$R2891)=1,1,0))</f>
        <v>0</v>
      </c>
      <c r="T2891" t="str">
        <f t="shared" si="684"/>
        <v/>
      </c>
      <c r="U2891" t="str">
        <f>IF($A2891="","",IF($A2891=经营数据!$B$3,COUNTIFS($S$2:$S$3000,1,$A$2:$A$3000,$A2891,$T$2:$T$3000,"&lt;"&amp;$T2891)+1,""))</f>
        <v/>
      </c>
      <c r="V2891" t="str">
        <f t="shared" si="685"/>
        <v/>
      </c>
      <c r="W2891" t="str">
        <f t="shared" si="686"/>
        <v/>
      </c>
      <c r="X2891" t="str">
        <f t="shared" si="687"/>
        <v/>
      </c>
      <c r="Y2891" t="str">
        <f t="shared" si="688"/>
        <v/>
      </c>
      <c r="Z2891">
        <f>IF($A2891="",0,IF(AND($M2891=1,$A2891=经营数据!$B$3,$J2891=经营数据!$BA$5,OR($I2891=经营数据!$BA$4,COUNTIF(经营数据!$AA$9:$AA$38,$I2891)&gt;0)),1,0))</f>
        <v>0</v>
      </c>
      <c r="AA2891" t="str">
        <f t="shared" si="689"/>
        <v/>
      </c>
      <c r="AB2891" t="str">
        <f t="shared" si="690"/>
        <v/>
      </c>
      <c r="AC2891">
        <f>IF($A2891="",0,IF(COUNTIF($A$2:$A2891,$A2891)=1,1,0))</f>
        <v>0</v>
      </c>
      <c r="AD2891">
        <f t="shared" si="691"/>
        <v>29</v>
      </c>
      <c r="AE2891" t="str">
        <f t="shared" si="692"/>
        <v/>
      </c>
    </row>
    <row r="2892" spans="1:31" x14ac:dyDescent="0.4">
      <c r="A2892" t="str">
        <f>IF(原始经营数据!$D2893="","",原始经营数据!$D2893)</f>
        <v/>
      </c>
      <c r="B2892" t="str">
        <f>IF(原始经营数据!$D2893="","",T(原始经营数据!$E2893))</f>
        <v/>
      </c>
      <c r="C2892" t="str">
        <f>IF(原始经营数据!$D2893="","",原始经营数据!$F2893)</f>
        <v/>
      </c>
      <c r="D2892" t="str">
        <f>IF(原始经营数据!$D2893="","",原始经营数据!$H2893)</f>
        <v/>
      </c>
      <c r="E2892" t="str">
        <f>IF(原始经营数据!$D2893="","",原始经营数据!$I2893)</f>
        <v/>
      </c>
      <c r="F2892" t="str">
        <f>IF(原始经营数据!$D2893="","",T(原始经营数据!$J2893))</f>
        <v/>
      </c>
      <c r="G2892" t="str">
        <f>IF(原始经营数据!$D2893="","",T(原始经营数据!$K2893))</f>
        <v/>
      </c>
      <c r="H2892" t="str">
        <f>IF(原始经营数据!$D2893="","",原始经营数据!$G2893)</f>
        <v/>
      </c>
      <c r="I2892" t="str">
        <f>IF($A2892="","",IF($B2892&lt;&gt;"",$B2892,IF(COUNTIFS(原始经营数据!$D$3:$D$3001,$A2892,原始经营数据!$E$3:$E$3001,"",原始经营数据!$F$3:$F$3001,$C2892,原始经营数据!$H$3:$H$3001,$D2892,原始经营数据!$K$3:$K$3001,$G2892)&gt;1,"基金整体·来源"&amp;原始经营数据!$A2893,"基金整体")))</f>
        <v/>
      </c>
      <c r="J2892" t="str">
        <f t="shared" si="678"/>
        <v/>
      </c>
      <c r="K2892" t="str">
        <f t="shared" si="679"/>
        <v/>
      </c>
      <c r="L2892" t="str">
        <f t="shared" si="680"/>
        <v/>
      </c>
      <c r="M2892">
        <f>IF($A2892="",0,IF(COUNTIF($L$2:$L2892,$L2892)=1,1,0))</f>
        <v>0</v>
      </c>
      <c r="N2892" t="str">
        <f t="shared" si="681"/>
        <v/>
      </c>
      <c r="O2892" t="str">
        <f t="shared" si="682"/>
        <v/>
      </c>
      <c r="P2892">
        <f>IF($A2892="",0,IF(COUNTIF($O$2:$O2892,$O2892)=1,1,0))</f>
        <v>0</v>
      </c>
      <c r="Q2892" t="str">
        <f>IF(AND($P2892=1,$A2892=经营数据!$B$3,$J2892=经营数据!$BA$5),COUNTIFS($P$2:$P$3000,1,$A$2:$A$3000,$A2892,$J$2:$J$3000,$J2892,$N$2:$N$3000,"&lt;"&amp;$N2892)+1,"")</f>
        <v/>
      </c>
      <c r="R2892" t="str">
        <f t="shared" si="683"/>
        <v/>
      </c>
      <c r="S2892">
        <f>IF($A2892="",0,IF(COUNTIF($R$2:$R2892,$R2892)=1,1,0))</f>
        <v>0</v>
      </c>
      <c r="T2892" t="str">
        <f t="shared" si="684"/>
        <v/>
      </c>
      <c r="U2892" t="str">
        <f>IF($A2892="","",IF($A2892=经营数据!$B$3,COUNTIFS($S$2:$S$3000,1,$A$2:$A$3000,$A2892,$T$2:$T$3000,"&lt;"&amp;$T2892)+1,""))</f>
        <v/>
      </c>
      <c r="V2892" t="str">
        <f t="shared" si="685"/>
        <v/>
      </c>
      <c r="W2892" t="str">
        <f t="shared" si="686"/>
        <v/>
      </c>
      <c r="X2892" t="str">
        <f t="shared" si="687"/>
        <v/>
      </c>
      <c r="Y2892" t="str">
        <f t="shared" si="688"/>
        <v/>
      </c>
      <c r="Z2892">
        <f>IF($A2892="",0,IF(AND($M2892=1,$A2892=经营数据!$B$3,$J2892=经营数据!$BA$5,OR($I2892=经营数据!$BA$4,COUNTIF(经营数据!$AA$9:$AA$38,$I2892)&gt;0)),1,0))</f>
        <v>0</v>
      </c>
      <c r="AA2892" t="str">
        <f t="shared" si="689"/>
        <v/>
      </c>
      <c r="AB2892" t="str">
        <f t="shared" si="690"/>
        <v/>
      </c>
      <c r="AC2892">
        <f>IF($A2892="",0,IF(COUNTIF($A$2:$A2892,$A2892)=1,1,0))</f>
        <v>0</v>
      </c>
      <c r="AD2892">
        <f t="shared" si="691"/>
        <v>29</v>
      </c>
      <c r="AE2892" t="str">
        <f t="shared" si="692"/>
        <v/>
      </c>
    </row>
    <row r="2893" spans="1:31" x14ac:dyDescent="0.4">
      <c r="A2893" t="str">
        <f>IF(原始经营数据!$D2894="","",原始经营数据!$D2894)</f>
        <v/>
      </c>
      <c r="B2893" t="str">
        <f>IF(原始经营数据!$D2894="","",T(原始经营数据!$E2894))</f>
        <v/>
      </c>
      <c r="C2893" t="str">
        <f>IF(原始经营数据!$D2894="","",原始经营数据!$F2894)</f>
        <v/>
      </c>
      <c r="D2893" t="str">
        <f>IF(原始经营数据!$D2894="","",原始经营数据!$H2894)</f>
        <v/>
      </c>
      <c r="E2893" t="str">
        <f>IF(原始经营数据!$D2894="","",原始经营数据!$I2894)</f>
        <v/>
      </c>
      <c r="F2893" t="str">
        <f>IF(原始经营数据!$D2894="","",T(原始经营数据!$J2894))</f>
        <v/>
      </c>
      <c r="G2893" t="str">
        <f>IF(原始经营数据!$D2894="","",T(原始经营数据!$K2894))</f>
        <v/>
      </c>
      <c r="H2893" t="str">
        <f>IF(原始经营数据!$D2894="","",原始经营数据!$G2894)</f>
        <v/>
      </c>
      <c r="I2893" t="str">
        <f>IF($A2893="","",IF($B2893&lt;&gt;"",$B2893,IF(COUNTIFS(原始经营数据!$D$3:$D$3001,$A2893,原始经营数据!$E$3:$E$3001,"",原始经营数据!$F$3:$F$3001,$C2893,原始经营数据!$H$3:$H$3001,$D2893,原始经营数据!$K$3:$K$3001,$G2893)&gt;1,"基金整体·来源"&amp;原始经营数据!$A2894,"基金整体")))</f>
        <v/>
      </c>
      <c r="J2893" t="str">
        <f t="shared" si="678"/>
        <v/>
      </c>
      <c r="K2893" t="str">
        <f t="shared" si="679"/>
        <v/>
      </c>
      <c r="L2893" t="str">
        <f t="shared" si="680"/>
        <v/>
      </c>
      <c r="M2893">
        <f>IF($A2893="",0,IF(COUNTIF($L$2:$L2893,$L2893)=1,1,0))</f>
        <v>0</v>
      </c>
      <c r="N2893" t="str">
        <f t="shared" si="681"/>
        <v/>
      </c>
      <c r="O2893" t="str">
        <f t="shared" si="682"/>
        <v/>
      </c>
      <c r="P2893">
        <f>IF($A2893="",0,IF(COUNTIF($O$2:$O2893,$O2893)=1,1,0))</f>
        <v>0</v>
      </c>
      <c r="Q2893" t="str">
        <f>IF(AND($P2893=1,$A2893=经营数据!$B$3,$J2893=经营数据!$BA$5),COUNTIFS($P$2:$P$3000,1,$A$2:$A$3000,$A2893,$J$2:$J$3000,$J2893,$N$2:$N$3000,"&lt;"&amp;$N2893)+1,"")</f>
        <v/>
      </c>
      <c r="R2893" t="str">
        <f t="shared" si="683"/>
        <v/>
      </c>
      <c r="S2893">
        <f>IF($A2893="",0,IF(COUNTIF($R$2:$R2893,$R2893)=1,1,0))</f>
        <v>0</v>
      </c>
      <c r="T2893" t="str">
        <f t="shared" si="684"/>
        <v/>
      </c>
      <c r="U2893" t="str">
        <f>IF($A2893="","",IF($A2893=经营数据!$B$3,COUNTIFS($S$2:$S$3000,1,$A$2:$A$3000,$A2893,$T$2:$T$3000,"&lt;"&amp;$T2893)+1,""))</f>
        <v/>
      </c>
      <c r="V2893" t="str">
        <f t="shared" si="685"/>
        <v/>
      </c>
      <c r="W2893" t="str">
        <f t="shared" si="686"/>
        <v/>
      </c>
      <c r="X2893" t="str">
        <f t="shared" si="687"/>
        <v/>
      </c>
      <c r="Y2893" t="str">
        <f t="shared" si="688"/>
        <v/>
      </c>
      <c r="Z2893">
        <f>IF($A2893="",0,IF(AND($M2893=1,$A2893=经营数据!$B$3,$J2893=经营数据!$BA$5,OR($I2893=经营数据!$BA$4,COUNTIF(经营数据!$AA$9:$AA$38,$I2893)&gt;0)),1,0))</f>
        <v>0</v>
      </c>
      <c r="AA2893" t="str">
        <f t="shared" si="689"/>
        <v/>
      </c>
      <c r="AB2893" t="str">
        <f t="shared" si="690"/>
        <v/>
      </c>
      <c r="AC2893">
        <f>IF($A2893="",0,IF(COUNTIF($A$2:$A2893,$A2893)=1,1,0))</f>
        <v>0</v>
      </c>
      <c r="AD2893">
        <f t="shared" si="691"/>
        <v>29</v>
      </c>
      <c r="AE2893" t="str">
        <f t="shared" si="692"/>
        <v/>
      </c>
    </row>
    <row r="2894" spans="1:31" x14ac:dyDescent="0.4">
      <c r="A2894" t="str">
        <f>IF(原始经营数据!$D2895="","",原始经营数据!$D2895)</f>
        <v/>
      </c>
      <c r="B2894" t="str">
        <f>IF(原始经营数据!$D2895="","",T(原始经营数据!$E2895))</f>
        <v/>
      </c>
      <c r="C2894" t="str">
        <f>IF(原始经营数据!$D2895="","",原始经营数据!$F2895)</f>
        <v/>
      </c>
      <c r="D2894" t="str">
        <f>IF(原始经营数据!$D2895="","",原始经营数据!$H2895)</f>
        <v/>
      </c>
      <c r="E2894" t="str">
        <f>IF(原始经营数据!$D2895="","",原始经营数据!$I2895)</f>
        <v/>
      </c>
      <c r="F2894" t="str">
        <f>IF(原始经营数据!$D2895="","",T(原始经营数据!$J2895))</f>
        <v/>
      </c>
      <c r="G2894" t="str">
        <f>IF(原始经营数据!$D2895="","",T(原始经营数据!$K2895))</f>
        <v/>
      </c>
      <c r="H2894" t="str">
        <f>IF(原始经营数据!$D2895="","",原始经营数据!$G2895)</f>
        <v/>
      </c>
      <c r="I2894" t="str">
        <f>IF($A2894="","",IF($B2894&lt;&gt;"",$B2894,IF(COUNTIFS(原始经营数据!$D$3:$D$3001,$A2894,原始经营数据!$E$3:$E$3001,"",原始经营数据!$F$3:$F$3001,$C2894,原始经营数据!$H$3:$H$3001,$D2894,原始经营数据!$K$3:$K$3001,$G2894)&gt;1,"基金整体·来源"&amp;原始经营数据!$A2895,"基金整体")))</f>
        <v/>
      </c>
      <c r="J2894" t="str">
        <f t="shared" si="678"/>
        <v/>
      </c>
      <c r="K2894" t="str">
        <f t="shared" si="679"/>
        <v/>
      </c>
      <c r="L2894" t="str">
        <f t="shared" si="680"/>
        <v/>
      </c>
      <c r="M2894">
        <f>IF($A2894="",0,IF(COUNTIF($L$2:$L2894,$L2894)=1,1,0))</f>
        <v>0</v>
      </c>
      <c r="N2894" t="str">
        <f t="shared" si="681"/>
        <v/>
      </c>
      <c r="O2894" t="str">
        <f t="shared" si="682"/>
        <v/>
      </c>
      <c r="P2894">
        <f>IF($A2894="",0,IF(COUNTIF($O$2:$O2894,$O2894)=1,1,0))</f>
        <v>0</v>
      </c>
      <c r="Q2894" t="str">
        <f>IF(AND($P2894=1,$A2894=经营数据!$B$3,$J2894=经营数据!$BA$5),COUNTIFS($P$2:$P$3000,1,$A$2:$A$3000,$A2894,$J$2:$J$3000,$J2894,$N$2:$N$3000,"&lt;"&amp;$N2894)+1,"")</f>
        <v/>
      </c>
      <c r="R2894" t="str">
        <f t="shared" si="683"/>
        <v/>
      </c>
      <c r="S2894">
        <f>IF($A2894="",0,IF(COUNTIF($R$2:$R2894,$R2894)=1,1,0))</f>
        <v>0</v>
      </c>
      <c r="T2894" t="str">
        <f t="shared" si="684"/>
        <v/>
      </c>
      <c r="U2894" t="str">
        <f>IF($A2894="","",IF($A2894=经营数据!$B$3,COUNTIFS($S$2:$S$3000,1,$A$2:$A$3000,$A2894,$T$2:$T$3000,"&lt;"&amp;$T2894)+1,""))</f>
        <v/>
      </c>
      <c r="V2894" t="str">
        <f t="shared" si="685"/>
        <v/>
      </c>
      <c r="W2894" t="str">
        <f t="shared" si="686"/>
        <v/>
      </c>
      <c r="X2894" t="str">
        <f t="shared" si="687"/>
        <v/>
      </c>
      <c r="Y2894" t="str">
        <f t="shared" si="688"/>
        <v/>
      </c>
      <c r="Z2894">
        <f>IF($A2894="",0,IF(AND($M2894=1,$A2894=经营数据!$B$3,$J2894=经营数据!$BA$5,OR($I2894=经营数据!$BA$4,COUNTIF(经营数据!$AA$9:$AA$38,$I2894)&gt;0)),1,0))</f>
        <v>0</v>
      </c>
      <c r="AA2894" t="str">
        <f t="shared" si="689"/>
        <v/>
      </c>
      <c r="AB2894" t="str">
        <f t="shared" si="690"/>
        <v/>
      </c>
      <c r="AC2894">
        <f>IF($A2894="",0,IF(COUNTIF($A$2:$A2894,$A2894)=1,1,0))</f>
        <v>0</v>
      </c>
      <c r="AD2894">
        <f t="shared" si="691"/>
        <v>29</v>
      </c>
      <c r="AE2894" t="str">
        <f t="shared" si="692"/>
        <v/>
      </c>
    </row>
    <row r="2895" spans="1:31" x14ac:dyDescent="0.4">
      <c r="A2895" t="str">
        <f>IF(原始经营数据!$D2896="","",原始经营数据!$D2896)</f>
        <v/>
      </c>
      <c r="B2895" t="str">
        <f>IF(原始经营数据!$D2896="","",T(原始经营数据!$E2896))</f>
        <v/>
      </c>
      <c r="C2895" t="str">
        <f>IF(原始经营数据!$D2896="","",原始经营数据!$F2896)</f>
        <v/>
      </c>
      <c r="D2895" t="str">
        <f>IF(原始经营数据!$D2896="","",原始经营数据!$H2896)</f>
        <v/>
      </c>
      <c r="E2895" t="str">
        <f>IF(原始经营数据!$D2896="","",原始经营数据!$I2896)</f>
        <v/>
      </c>
      <c r="F2895" t="str">
        <f>IF(原始经营数据!$D2896="","",T(原始经营数据!$J2896))</f>
        <v/>
      </c>
      <c r="G2895" t="str">
        <f>IF(原始经营数据!$D2896="","",T(原始经营数据!$K2896))</f>
        <v/>
      </c>
      <c r="H2895" t="str">
        <f>IF(原始经营数据!$D2896="","",原始经营数据!$G2896)</f>
        <v/>
      </c>
      <c r="I2895" t="str">
        <f>IF($A2895="","",IF($B2895&lt;&gt;"",$B2895,IF(COUNTIFS(原始经营数据!$D$3:$D$3001,$A2895,原始经营数据!$E$3:$E$3001,"",原始经营数据!$F$3:$F$3001,$C2895,原始经营数据!$H$3:$H$3001,$D2895,原始经营数据!$K$3:$K$3001,$G2895)&gt;1,"基金整体·来源"&amp;原始经营数据!$A2896,"基金整体")))</f>
        <v/>
      </c>
      <c r="J2895" t="str">
        <f t="shared" si="678"/>
        <v/>
      </c>
      <c r="K2895" t="str">
        <f t="shared" si="679"/>
        <v/>
      </c>
      <c r="L2895" t="str">
        <f t="shared" si="680"/>
        <v/>
      </c>
      <c r="M2895">
        <f>IF($A2895="",0,IF(COUNTIF($L$2:$L2895,$L2895)=1,1,0))</f>
        <v>0</v>
      </c>
      <c r="N2895" t="str">
        <f t="shared" si="681"/>
        <v/>
      </c>
      <c r="O2895" t="str">
        <f t="shared" si="682"/>
        <v/>
      </c>
      <c r="P2895">
        <f>IF($A2895="",0,IF(COUNTIF($O$2:$O2895,$O2895)=1,1,0))</f>
        <v>0</v>
      </c>
      <c r="Q2895" t="str">
        <f>IF(AND($P2895=1,$A2895=经营数据!$B$3,$J2895=经营数据!$BA$5),COUNTIFS($P$2:$P$3000,1,$A$2:$A$3000,$A2895,$J$2:$J$3000,$J2895,$N$2:$N$3000,"&lt;"&amp;$N2895)+1,"")</f>
        <v/>
      </c>
      <c r="R2895" t="str">
        <f t="shared" si="683"/>
        <v/>
      </c>
      <c r="S2895">
        <f>IF($A2895="",0,IF(COUNTIF($R$2:$R2895,$R2895)=1,1,0))</f>
        <v>0</v>
      </c>
      <c r="T2895" t="str">
        <f t="shared" si="684"/>
        <v/>
      </c>
      <c r="U2895" t="str">
        <f>IF($A2895="","",IF($A2895=经营数据!$B$3,COUNTIFS($S$2:$S$3000,1,$A$2:$A$3000,$A2895,$T$2:$T$3000,"&lt;"&amp;$T2895)+1,""))</f>
        <v/>
      </c>
      <c r="V2895" t="str">
        <f t="shared" si="685"/>
        <v/>
      </c>
      <c r="W2895" t="str">
        <f t="shared" si="686"/>
        <v/>
      </c>
      <c r="X2895" t="str">
        <f t="shared" si="687"/>
        <v/>
      </c>
      <c r="Y2895" t="str">
        <f t="shared" si="688"/>
        <v/>
      </c>
      <c r="Z2895">
        <f>IF($A2895="",0,IF(AND($M2895=1,$A2895=经营数据!$B$3,$J2895=经营数据!$BA$5,OR($I2895=经营数据!$BA$4,COUNTIF(经营数据!$AA$9:$AA$38,$I2895)&gt;0)),1,0))</f>
        <v>0</v>
      </c>
      <c r="AA2895" t="str">
        <f t="shared" si="689"/>
        <v/>
      </c>
      <c r="AB2895" t="str">
        <f t="shared" si="690"/>
        <v/>
      </c>
      <c r="AC2895">
        <f>IF($A2895="",0,IF(COUNTIF($A$2:$A2895,$A2895)=1,1,0))</f>
        <v>0</v>
      </c>
      <c r="AD2895">
        <f t="shared" si="691"/>
        <v>29</v>
      </c>
      <c r="AE2895" t="str">
        <f t="shared" si="692"/>
        <v/>
      </c>
    </row>
    <row r="2896" spans="1:31" x14ac:dyDescent="0.4">
      <c r="A2896" t="str">
        <f>IF(原始经营数据!$D2897="","",原始经营数据!$D2897)</f>
        <v/>
      </c>
      <c r="B2896" t="str">
        <f>IF(原始经营数据!$D2897="","",T(原始经营数据!$E2897))</f>
        <v/>
      </c>
      <c r="C2896" t="str">
        <f>IF(原始经营数据!$D2897="","",原始经营数据!$F2897)</f>
        <v/>
      </c>
      <c r="D2896" t="str">
        <f>IF(原始经营数据!$D2897="","",原始经营数据!$H2897)</f>
        <v/>
      </c>
      <c r="E2896" t="str">
        <f>IF(原始经营数据!$D2897="","",原始经营数据!$I2897)</f>
        <v/>
      </c>
      <c r="F2896" t="str">
        <f>IF(原始经营数据!$D2897="","",T(原始经营数据!$J2897))</f>
        <v/>
      </c>
      <c r="G2896" t="str">
        <f>IF(原始经营数据!$D2897="","",T(原始经营数据!$K2897))</f>
        <v/>
      </c>
      <c r="H2896" t="str">
        <f>IF(原始经营数据!$D2897="","",原始经营数据!$G2897)</f>
        <v/>
      </c>
      <c r="I2896" t="str">
        <f>IF($A2896="","",IF($B2896&lt;&gt;"",$B2896,IF(COUNTIFS(原始经营数据!$D$3:$D$3001,$A2896,原始经营数据!$E$3:$E$3001,"",原始经营数据!$F$3:$F$3001,$C2896,原始经营数据!$H$3:$H$3001,$D2896,原始经营数据!$K$3:$K$3001,$G2896)&gt;1,"基金整体·来源"&amp;原始经营数据!$A2897,"基金整体")))</f>
        <v/>
      </c>
      <c r="J2896" t="str">
        <f t="shared" si="678"/>
        <v/>
      </c>
      <c r="K2896" t="str">
        <f t="shared" si="679"/>
        <v/>
      </c>
      <c r="L2896" t="str">
        <f t="shared" si="680"/>
        <v/>
      </c>
      <c r="M2896">
        <f>IF($A2896="",0,IF(COUNTIF($L$2:$L2896,$L2896)=1,1,0))</f>
        <v>0</v>
      </c>
      <c r="N2896" t="str">
        <f t="shared" si="681"/>
        <v/>
      </c>
      <c r="O2896" t="str">
        <f t="shared" si="682"/>
        <v/>
      </c>
      <c r="P2896">
        <f>IF($A2896="",0,IF(COUNTIF($O$2:$O2896,$O2896)=1,1,0))</f>
        <v>0</v>
      </c>
      <c r="Q2896" t="str">
        <f>IF(AND($P2896=1,$A2896=经营数据!$B$3,$J2896=经营数据!$BA$5),COUNTIFS($P$2:$P$3000,1,$A$2:$A$3000,$A2896,$J$2:$J$3000,$J2896,$N$2:$N$3000,"&lt;"&amp;$N2896)+1,"")</f>
        <v/>
      </c>
      <c r="R2896" t="str">
        <f t="shared" si="683"/>
        <v/>
      </c>
      <c r="S2896">
        <f>IF($A2896="",0,IF(COUNTIF($R$2:$R2896,$R2896)=1,1,0))</f>
        <v>0</v>
      </c>
      <c r="T2896" t="str">
        <f t="shared" si="684"/>
        <v/>
      </c>
      <c r="U2896" t="str">
        <f>IF($A2896="","",IF($A2896=经营数据!$B$3,COUNTIFS($S$2:$S$3000,1,$A$2:$A$3000,$A2896,$T$2:$T$3000,"&lt;"&amp;$T2896)+1,""))</f>
        <v/>
      </c>
      <c r="V2896" t="str">
        <f t="shared" si="685"/>
        <v/>
      </c>
      <c r="W2896" t="str">
        <f t="shared" si="686"/>
        <v/>
      </c>
      <c r="X2896" t="str">
        <f t="shared" si="687"/>
        <v/>
      </c>
      <c r="Y2896" t="str">
        <f t="shared" si="688"/>
        <v/>
      </c>
      <c r="Z2896">
        <f>IF($A2896="",0,IF(AND($M2896=1,$A2896=经营数据!$B$3,$J2896=经营数据!$BA$5,OR($I2896=经营数据!$BA$4,COUNTIF(经营数据!$AA$9:$AA$38,$I2896)&gt;0)),1,0))</f>
        <v>0</v>
      </c>
      <c r="AA2896" t="str">
        <f t="shared" si="689"/>
        <v/>
      </c>
      <c r="AB2896" t="str">
        <f t="shared" si="690"/>
        <v/>
      </c>
      <c r="AC2896">
        <f>IF($A2896="",0,IF(COUNTIF($A$2:$A2896,$A2896)=1,1,0))</f>
        <v>0</v>
      </c>
      <c r="AD2896">
        <f t="shared" si="691"/>
        <v>29</v>
      </c>
      <c r="AE2896" t="str">
        <f t="shared" si="692"/>
        <v/>
      </c>
    </row>
    <row r="2897" spans="1:31" x14ac:dyDescent="0.4">
      <c r="A2897" t="str">
        <f>IF(原始经营数据!$D2898="","",原始经营数据!$D2898)</f>
        <v/>
      </c>
      <c r="B2897" t="str">
        <f>IF(原始经营数据!$D2898="","",T(原始经营数据!$E2898))</f>
        <v/>
      </c>
      <c r="C2897" t="str">
        <f>IF(原始经营数据!$D2898="","",原始经营数据!$F2898)</f>
        <v/>
      </c>
      <c r="D2897" t="str">
        <f>IF(原始经营数据!$D2898="","",原始经营数据!$H2898)</f>
        <v/>
      </c>
      <c r="E2897" t="str">
        <f>IF(原始经营数据!$D2898="","",原始经营数据!$I2898)</f>
        <v/>
      </c>
      <c r="F2897" t="str">
        <f>IF(原始经营数据!$D2898="","",T(原始经营数据!$J2898))</f>
        <v/>
      </c>
      <c r="G2897" t="str">
        <f>IF(原始经营数据!$D2898="","",T(原始经营数据!$K2898))</f>
        <v/>
      </c>
      <c r="H2897" t="str">
        <f>IF(原始经营数据!$D2898="","",原始经营数据!$G2898)</f>
        <v/>
      </c>
      <c r="I2897" t="str">
        <f>IF($A2897="","",IF($B2897&lt;&gt;"",$B2897,IF(COUNTIFS(原始经营数据!$D$3:$D$3001,$A2897,原始经营数据!$E$3:$E$3001,"",原始经营数据!$F$3:$F$3001,$C2897,原始经营数据!$H$3:$H$3001,$D2897,原始经营数据!$K$3:$K$3001,$G2897)&gt;1,"基金整体·来源"&amp;原始经营数据!$A2898,"基金整体")))</f>
        <v/>
      </c>
      <c r="J2897" t="str">
        <f t="shared" si="678"/>
        <v/>
      </c>
      <c r="K2897" t="str">
        <f t="shared" si="679"/>
        <v/>
      </c>
      <c r="L2897" t="str">
        <f t="shared" si="680"/>
        <v/>
      </c>
      <c r="M2897">
        <f>IF($A2897="",0,IF(COUNTIF($L$2:$L2897,$L2897)=1,1,0))</f>
        <v>0</v>
      </c>
      <c r="N2897" t="str">
        <f t="shared" si="681"/>
        <v/>
      </c>
      <c r="O2897" t="str">
        <f t="shared" si="682"/>
        <v/>
      </c>
      <c r="P2897">
        <f>IF($A2897="",0,IF(COUNTIF($O$2:$O2897,$O2897)=1,1,0))</f>
        <v>0</v>
      </c>
      <c r="Q2897" t="str">
        <f>IF(AND($P2897=1,$A2897=经营数据!$B$3,$J2897=经营数据!$BA$5),COUNTIFS($P$2:$P$3000,1,$A$2:$A$3000,$A2897,$J$2:$J$3000,$J2897,$N$2:$N$3000,"&lt;"&amp;$N2897)+1,"")</f>
        <v/>
      </c>
      <c r="R2897" t="str">
        <f t="shared" si="683"/>
        <v/>
      </c>
      <c r="S2897">
        <f>IF($A2897="",0,IF(COUNTIF($R$2:$R2897,$R2897)=1,1,0))</f>
        <v>0</v>
      </c>
      <c r="T2897" t="str">
        <f t="shared" si="684"/>
        <v/>
      </c>
      <c r="U2897" t="str">
        <f>IF($A2897="","",IF($A2897=经营数据!$B$3,COUNTIFS($S$2:$S$3000,1,$A$2:$A$3000,$A2897,$T$2:$T$3000,"&lt;"&amp;$T2897)+1,""))</f>
        <v/>
      </c>
      <c r="V2897" t="str">
        <f t="shared" si="685"/>
        <v/>
      </c>
      <c r="W2897" t="str">
        <f t="shared" si="686"/>
        <v/>
      </c>
      <c r="X2897" t="str">
        <f t="shared" si="687"/>
        <v/>
      </c>
      <c r="Y2897" t="str">
        <f t="shared" si="688"/>
        <v/>
      </c>
      <c r="Z2897">
        <f>IF($A2897="",0,IF(AND($M2897=1,$A2897=经营数据!$B$3,$J2897=经营数据!$BA$5,OR($I2897=经营数据!$BA$4,COUNTIF(经营数据!$AA$9:$AA$38,$I2897)&gt;0)),1,0))</f>
        <v>0</v>
      </c>
      <c r="AA2897" t="str">
        <f t="shared" si="689"/>
        <v/>
      </c>
      <c r="AB2897" t="str">
        <f t="shared" si="690"/>
        <v/>
      </c>
      <c r="AC2897">
        <f>IF($A2897="",0,IF(COUNTIF($A$2:$A2897,$A2897)=1,1,0))</f>
        <v>0</v>
      </c>
      <c r="AD2897">
        <f t="shared" si="691"/>
        <v>29</v>
      </c>
      <c r="AE2897" t="str">
        <f t="shared" si="692"/>
        <v/>
      </c>
    </row>
    <row r="2898" spans="1:31" x14ac:dyDescent="0.4">
      <c r="A2898" t="str">
        <f>IF(原始经营数据!$D2899="","",原始经营数据!$D2899)</f>
        <v/>
      </c>
      <c r="B2898" t="str">
        <f>IF(原始经营数据!$D2899="","",T(原始经营数据!$E2899))</f>
        <v/>
      </c>
      <c r="C2898" t="str">
        <f>IF(原始经营数据!$D2899="","",原始经营数据!$F2899)</f>
        <v/>
      </c>
      <c r="D2898" t="str">
        <f>IF(原始经营数据!$D2899="","",原始经营数据!$H2899)</f>
        <v/>
      </c>
      <c r="E2898" t="str">
        <f>IF(原始经营数据!$D2899="","",原始经营数据!$I2899)</f>
        <v/>
      </c>
      <c r="F2898" t="str">
        <f>IF(原始经营数据!$D2899="","",T(原始经营数据!$J2899))</f>
        <v/>
      </c>
      <c r="G2898" t="str">
        <f>IF(原始经营数据!$D2899="","",T(原始经营数据!$K2899))</f>
        <v/>
      </c>
      <c r="H2898" t="str">
        <f>IF(原始经营数据!$D2899="","",原始经营数据!$G2899)</f>
        <v/>
      </c>
      <c r="I2898" t="str">
        <f>IF($A2898="","",IF($B2898&lt;&gt;"",$B2898,IF(COUNTIFS(原始经营数据!$D$3:$D$3001,$A2898,原始经营数据!$E$3:$E$3001,"",原始经营数据!$F$3:$F$3001,$C2898,原始经营数据!$H$3:$H$3001,$D2898,原始经营数据!$K$3:$K$3001,$G2898)&gt;1,"基金整体·来源"&amp;原始经营数据!$A2899,"基金整体")))</f>
        <v/>
      </c>
      <c r="J2898" t="str">
        <f t="shared" si="678"/>
        <v/>
      </c>
      <c r="K2898" t="str">
        <f t="shared" si="679"/>
        <v/>
      </c>
      <c r="L2898" t="str">
        <f t="shared" si="680"/>
        <v/>
      </c>
      <c r="M2898">
        <f>IF($A2898="",0,IF(COUNTIF($L$2:$L2898,$L2898)=1,1,0))</f>
        <v>0</v>
      </c>
      <c r="N2898" t="str">
        <f t="shared" si="681"/>
        <v/>
      </c>
      <c r="O2898" t="str">
        <f t="shared" si="682"/>
        <v/>
      </c>
      <c r="P2898">
        <f>IF($A2898="",0,IF(COUNTIF($O$2:$O2898,$O2898)=1,1,0))</f>
        <v>0</v>
      </c>
      <c r="Q2898" t="str">
        <f>IF(AND($P2898=1,$A2898=经营数据!$B$3,$J2898=经营数据!$BA$5),COUNTIFS($P$2:$P$3000,1,$A$2:$A$3000,$A2898,$J$2:$J$3000,$J2898,$N$2:$N$3000,"&lt;"&amp;$N2898)+1,"")</f>
        <v/>
      </c>
      <c r="R2898" t="str">
        <f t="shared" si="683"/>
        <v/>
      </c>
      <c r="S2898">
        <f>IF($A2898="",0,IF(COUNTIF($R$2:$R2898,$R2898)=1,1,0))</f>
        <v>0</v>
      </c>
      <c r="T2898" t="str">
        <f t="shared" si="684"/>
        <v/>
      </c>
      <c r="U2898" t="str">
        <f>IF($A2898="","",IF($A2898=经营数据!$B$3,COUNTIFS($S$2:$S$3000,1,$A$2:$A$3000,$A2898,$T$2:$T$3000,"&lt;"&amp;$T2898)+1,""))</f>
        <v/>
      </c>
      <c r="V2898" t="str">
        <f t="shared" si="685"/>
        <v/>
      </c>
      <c r="W2898" t="str">
        <f t="shared" si="686"/>
        <v/>
      </c>
      <c r="X2898" t="str">
        <f t="shared" si="687"/>
        <v/>
      </c>
      <c r="Y2898" t="str">
        <f t="shared" si="688"/>
        <v/>
      </c>
      <c r="Z2898">
        <f>IF($A2898="",0,IF(AND($M2898=1,$A2898=经营数据!$B$3,$J2898=经营数据!$BA$5,OR($I2898=经营数据!$BA$4,COUNTIF(经营数据!$AA$9:$AA$38,$I2898)&gt;0)),1,0))</f>
        <v>0</v>
      </c>
      <c r="AA2898" t="str">
        <f t="shared" si="689"/>
        <v/>
      </c>
      <c r="AB2898" t="str">
        <f t="shared" si="690"/>
        <v/>
      </c>
      <c r="AC2898">
        <f>IF($A2898="",0,IF(COUNTIF($A$2:$A2898,$A2898)=1,1,0))</f>
        <v>0</v>
      </c>
      <c r="AD2898">
        <f t="shared" si="691"/>
        <v>29</v>
      </c>
      <c r="AE2898" t="str">
        <f t="shared" si="692"/>
        <v/>
      </c>
    </row>
    <row r="2899" spans="1:31" x14ac:dyDescent="0.4">
      <c r="A2899" t="str">
        <f>IF(原始经营数据!$D2900="","",原始经营数据!$D2900)</f>
        <v/>
      </c>
      <c r="B2899" t="str">
        <f>IF(原始经营数据!$D2900="","",T(原始经营数据!$E2900))</f>
        <v/>
      </c>
      <c r="C2899" t="str">
        <f>IF(原始经营数据!$D2900="","",原始经营数据!$F2900)</f>
        <v/>
      </c>
      <c r="D2899" t="str">
        <f>IF(原始经营数据!$D2900="","",原始经营数据!$H2900)</f>
        <v/>
      </c>
      <c r="E2899" t="str">
        <f>IF(原始经营数据!$D2900="","",原始经营数据!$I2900)</f>
        <v/>
      </c>
      <c r="F2899" t="str">
        <f>IF(原始经营数据!$D2900="","",T(原始经营数据!$J2900))</f>
        <v/>
      </c>
      <c r="G2899" t="str">
        <f>IF(原始经营数据!$D2900="","",T(原始经营数据!$K2900))</f>
        <v/>
      </c>
      <c r="H2899" t="str">
        <f>IF(原始经营数据!$D2900="","",原始经营数据!$G2900)</f>
        <v/>
      </c>
      <c r="I2899" t="str">
        <f>IF($A2899="","",IF($B2899&lt;&gt;"",$B2899,IF(COUNTIFS(原始经营数据!$D$3:$D$3001,$A2899,原始经营数据!$E$3:$E$3001,"",原始经营数据!$F$3:$F$3001,$C2899,原始经营数据!$H$3:$H$3001,$D2899,原始经营数据!$K$3:$K$3001,$G2899)&gt;1,"基金整体·来源"&amp;原始经营数据!$A2900,"基金整体")))</f>
        <v/>
      </c>
      <c r="J2899" t="str">
        <f t="shared" si="678"/>
        <v/>
      </c>
      <c r="K2899" t="str">
        <f t="shared" si="679"/>
        <v/>
      </c>
      <c r="L2899" t="str">
        <f t="shared" si="680"/>
        <v/>
      </c>
      <c r="M2899">
        <f>IF($A2899="",0,IF(COUNTIF($L$2:$L2899,$L2899)=1,1,0))</f>
        <v>0</v>
      </c>
      <c r="N2899" t="str">
        <f t="shared" si="681"/>
        <v/>
      </c>
      <c r="O2899" t="str">
        <f t="shared" si="682"/>
        <v/>
      </c>
      <c r="P2899">
        <f>IF($A2899="",0,IF(COUNTIF($O$2:$O2899,$O2899)=1,1,0))</f>
        <v>0</v>
      </c>
      <c r="Q2899" t="str">
        <f>IF(AND($P2899=1,$A2899=经营数据!$B$3,$J2899=经营数据!$BA$5),COUNTIFS($P$2:$P$3000,1,$A$2:$A$3000,$A2899,$J$2:$J$3000,$J2899,$N$2:$N$3000,"&lt;"&amp;$N2899)+1,"")</f>
        <v/>
      </c>
      <c r="R2899" t="str">
        <f t="shared" si="683"/>
        <v/>
      </c>
      <c r="S2899">
        <f>IF($A2899="",0,IF(COUNTIF($R$2:$R2899,$R2899)=1,1,0))</f>
        <v>0</v>
      </c>
      <c r="T2899" t="str">
        <f t="shared" si="684"/>
        <v/>
      </c>
      <c r="U2899" t="str">
        <f>IF($A2899="","",IF($A2899=经营数据!$B$3,COUNTIFS($S$2:$S$3000,1,$A$2:$A$3000,$A2899,$T$2:$T$3000,"&lt;"&amp;$T2899)+1,""))</f>
        <v/>
      </c>
      <c r="V2899" t="str">
        <f t="shared" si="685"/>
        <v/>
      </c>
      <c r="W2899" t="str">
        <f t="shared" si="686"/>
        <v/>
      </c>
      <c r="X2899" t="str">
        <f t="shared" si="687"/>
        <v/>
      </c>
      <c r="Y2899" t="str">
        <f t="shared" si="688"/>
        <v/>
      </c>
      <c r="Z2899">
        <f>IF($A2899="",0,IF(AND($M2899=1,$A2899=经营数据!$B$3,$J2899=经营数据!$BA$5,OR($I2899=经营数据!$BA$4,COUNTIF(经营数据!$AA$9:$AA$38,$I2899)&gt;0)),1,0))</f>
        <v>0</v>
      </c>
      <c r="AA2899" t="str">
        <f t="shared" si="689"/>
        <v/>
      </c>
      <c r="AB2899" t="str">
        <f t="shared" si="690"/>
        <v/>
      </c>
      <c r="AC2899">
        <f>IF($A2899="",0,IF(COUNTIF($A$2:$A2899,$A2899)=1,1,0))</f>
        <v>0</v>
      </c>
      <c r="AD2899">
        <f t="shared" si="691"/>
        <v>29</v>
      </c>
      <c r="AE2899" t="str">
        <f t="shared" si="692"/>
        <v/>
      </c>
    </row>
    <row r="2900" spans="1:31" x14ac:dyDescent="0.4">
      <c r="A2900" t="str">
        <f>IF(原始经营数据!$D2901="","",原始经营数据!$D2901)</f>
        <v/>
      </c>
      <c r="B2900" t="str">
        <f>IF(原始经营数据!$D2901="","",T(原始经营数据!$E2901))</f>
        <v/>
      </c>
      <c r="C2900" t="str">
        <f>IF(原始经营数据!$D2901="","",原始经营数据!$F2901)</f>
        <v/>
      </c>
      <c r="D2900" t="str">
        <f>IF(原始经营数据!$D2901="","",原始经营数据!$H2901)</f>
        <v/>
      </c>
      <c r="E2900" t="str">
        <f>IF(原始经营数据!$D2901="","",原始经营数据!$I2901)</f>
        <v/>
      </c>
      <c r="F2900" t="str">
        <f>IF(原始经营数据!$D2901="","",T(原始经营数据!$J2901))</f>
        <v/>
      </c>
      <c r="G2900" t="str">
        <f>IF(原始经营数据!$D2901="","",T(原始经营数据!$K2901))</f>
        <v/>
      </c>
      <c r="H2900" t="str">
        <f>IF(原始经营数据!$D2901="","",原始经营数据!$G2901)</f>
        <v/>
      </c>
      <c r="I2900" t="str">
        <f>IF($A2900="","",IF($B2900&lt;&gt;"",$B2900,IF(COUNTIFS(原始经营数据!$D$3:$D$3001,$A2900,原始经营数据!$E$3:$E$3001,"",原始经营数据!$F$3:$F$3001,$C2900,原始经营数据!$H$3:$H$3001,$D2900,原始经营数据!$K$3:$K$3001,$G2900)&gt;1,"基金整体·来源"&amp;原始经营数据!$A2901,"基金整体")))</f>
        <v/>
      </c>
      <c r="J2900" t="str">
        <f t="shared" si="678"/>
        <v/>
      </c>
      <c r="K2900" t="str">
        <f t="shared" si="679"/>
        <v/>
      </c>
      <c r="L2900" t="str">
        <f t="shared" si="680"/>
        <v/>
      </c>
      <c r="M2900">
        <f>IF($A2900="",0,IF(COUNTIF($L$2:$L2900,$L2900)=1,1,0))</f>
        <v>0</v>
      </c>
      <c r="N2900" t="str">
        <f t="shared" si="681"/>
        <v/>
      </c>
      <c r="O2900" t="str">
        <f t="shared" si="682"/>
        <v/>
      </c>
      <c r="P2900">
        <f>IF($A2900="",0,IF(COUNTIF($O$2:$O2900,$O2900)=1,1,0))</f>
        <v>0</v>
      </c>
      <c r="Q2900" t="str">
        <f>IF(AND($P2900=1,$A2900=经营数据!$B$3,$J2900=经营数据!$BA$5),COUNTIFS($P$2:$P$3000,1,$A$2:$A$3000,$A2900,$J$2:$J$3000,$J2900,$N$2:$N$3000,"&lt;"&amp;$N2900)+1,"")</f>
        <v/>
      </c>
      <c r="R2900" t="str">
        <f t="shared" si="683"/>
        <v/>
      </c>
      <c r="S2900">
        <f>IF($A2900="",0,IF(COUNTIF($R$2:$R2900,$R2900)=1,1,0))</f>
        <v>0</v>
      </c>
      <c r="T2900" t="str">
        <f t="shared" si="684"/>
        <v/>
      </c>
      <c r="U2900" t="str">
        <f>IF($A2900="","",IF($A2900=经营数据!$B$3,COUNTIFS($S$2:$S$3000,1,$A$2:$A$3000,$A2900,$T$2:$T$3000,"&lt;"&amp;$T2900)+1,""))</f>
        <v/>
      </c>
      <c r="V2900" t="str">
        <f t="shared" si="685"/>
        <v/>
      </c>
      <c r="W2900" t="str">
        <f t="shared" si="686"/>
        <v/>
      </c>
      <c r="X2900" t="str">
        <f t="shared" si="687"/>
        <v/>
      </c>
      <c r="Y2900" t="str">
        <f t="shared" si="688"/>
        <v/>
      </c>
      <c r="Z2900">
        <f>IF($A2900="",0,IF(AND($M2900=1,$A2900=经营数据!$B$3,$J2900=经营数据!$BA$5,OR($I2900=经营数据!$BA$4,COUNTIF(经营数据!$AA$9:$AA$38,$I2900)&gt;0)),1,0))</f>
        <v>0</v>
      </c>
      <c r="AA2900" t="str">
        <f t="shared" si="689"/>
        <v/>
      </c>
      <c r="AB2900" t="str">
        <f t="shared" si="690"/>
        <v/>
      </c>
      <c r="AC2900">
        <f>IF($A2900="",0,IF(COUNTIF($A$2:$A2900,$A2900)=1,1,0))</f>
        <v>0</v>
      </c>
      <c r="AD2900">
        <f t="shared" si="691"/>
        <v>29</v>
      </c>
      <c r="AE2900" t="str">
        <f t="shared" si="692"/>
        <v/>
      </c>
    </row>
    <row r="2901" spans="1:31" x14ac:dyDescent="0.4">
      <c r="A2901" t="str">
        <f>IF(原始经营数据!$D2902="","",原始经营数据!$D2902)</f>
        <v/>
      </c>
      <c r="B2901" t="str">
        <f>IF(原始经营数据!$D2902="","",T(原始经营数据!$E2902))</f>
        <v/>
      </c>
      <c r="C2901" t="str">
        <f>IF(原始经营数据!$D2902="","",原始经营数据!$F2902)</f>
        <v/>
      </c>
      <c r="D2901" t="str">
        <f>IF(原始经营数据!$D2902="","",原始经营数据!$H2902)</f>
        <v/>
      </c>
      <c r="E2901" t="str">
        <f>IF(原始经营数据!$D2902="","",原始经营数据!$I2902)</f>
        <v/>
      </c>
      <c r="F2901" t="str">
        <f>IF(原始经营数据!$D2902="","",T(原始经营数据!$J2902))</f>
        <v/>
      </c>
      <c r="G2901" t="str">
        <f>IF(原始经营数据!$D2902="","",T(原始经营数据!$K2902))</f>
        <v/>
      </c>
      <c r="H2901" t="str">
        <f>IF(原始经营数据!$D2902="","",原始经营数据!$G2902)</f>
        <v/>
      </c>
      <c r="I2901" t="str">
        <f>IF($A2901="","",IF($B2901&lt;&gt;"",$B2901,IF(COUNTIFS(原始经营数据!$D$3:$D$3001,$A2901,原始经营数据!$E$3:$E$3001,"",原始经营数据!$F$3:$F$3001,$C2901,原始经营数据!$H$3:$H$3001,$D2901,原始经营数据!$K$3:$K$3001,$G2901)&gt;1,"基金整体·来源"&amp;原始经营数据!$A2902,"基金整体")))</f>
        <v/>
      </c>
      <c r="J2901" t="str">
        <f t="shared" si="678"/>
        <v/>
      </c>
      <c r="K2901" t="str">
        <f t="shared" si="679"/>
        <v/>
      </c>
      <c r="L2901" t="str">
        <f t="shared" si="680"/>
        <v/>
      </c>
      <c r="M2901">
        <f>IF($A2901="",0,IF(COUNTIF($L$2:$L2901,$L2901)=1,1,0))</f>
        <v>0</v>
      </c>
      <c r="N2901" t="str">
        <f t="shared" si="681"/>
        <v/>
      </c>
      <c r="O2901" t="str">
        <f t="shared" si="682"/>
        <v/>
      </c>
      <c r="P2901">
        <f>IF($A2901="",0,IF(COUNTIF($O$2:$O2901,$O2901)=1,1,0))</f>
        <v>0</v>
      </c>
      <c r="Q2901" t="str">
        <f>IF(AND($P2901=1,$A2901=经营数据!$B$3,$J2901=经营数据!$BA$5),COUNTIFS($P$2:$P$3000,1,$A$2:$A$3000,$A2901,$J$2:$J$3000,$J2901,$N$2:$N$3000,"&lt;"&amp;$N2901)+1,"")</f>
        <v/>
      </c>
      <c r="R2901" t="str">
        <f t="shared" si="683"/>
        <v/>
      </c>
      <c r="S2901">
        <f>IF($A2901="",0,IF(COUNTIF($R$2:$R2901,$R2901)=1,1,0))</f>
        <v>0</v>
      </c>
      <c r="T2901" t="str">
        <f t="shared" si="684"/>
        <v/>
      </c>
      <c r="U2901" t="str">
        <f>IF($A2901="","",IF($A2901=经营数据!$B$3,COUNTIFS($S$2:$S$3000,1,$A$2:$A$3000,$A2901,$T$2:$T$3000,"&lt;"&amp;$T2901)+1,""))</f>
        <v/>
      </c>
      <c r="V2901" t="str">
        <f t="shared" si="685"/>
        <v/>
      </c>
      <c r="W2901" t="str">
        <f t="shared" si="686"/>
        <v/>
      </c>
      <c r="X2901" t="str">
        <f t="shared" si="687"/>
        <v/>
      </c>
      <c r="Y2901" t="str">
        <f t="shared" si="688"/>
        <v/>
      </c>
      <c r="Z2901">
        <f>IF($A2901="",0,IF(AND($M2901=1,$A2901=经营数据!$B$3,$J2901=经营数据!$BA$5,OR($I2901=经营数据!$BA$4,COUNTIF(经营数据!$AA$9:$AA$38,$I2901)&gt;0)),1,0))</f>
        <v>0</v>
      </c>
      <c r="AA2901" t="str">
        <f t="shared" si="689"/>
        <v/>
      </c>
      <c r="AB2901" t="str">
        <f t="shared" si="690"/>
        <v/>
      </c>
      <c r="AC2901">
        <f>IF($A2901="",0,IF(COUNTIF($A$2:$A2901,$A2901)=1,1,0))</f>
        <v>0</v>
      </c>
      <c r="AD2901">
        <f t="shared" si="691"/>
        <v>29</v>
      </c>
      <c r="AE2901" t="str">
        <f t="shared" si="692"/>
        <v/>
      </c>
    </row>
    <row r="2902" spans="1:31" x14ac:dyDescent="0.4">
      <c r="A2902" t="str">
        <f>IF(原始经营数据!$D2903="","",原始经营数据!$D2903)</f>
        <v/>
      </c>
      <c r="B2902" t="str">
        <f>IF(原始经营数据!$D2903="","",T(原始经营数据!$E2903))</f>
        <v/>
      </c>
      <c r="C2902" t="str">
        <f>IF(原始经营数据!$D2903="","",原始经营数据!$F2903)</f>
        <v/>
      </c>
      <c r="D2902" t="str">
        <f>IF(原始经营数据!$D2903="","",原始经营数据!$H2903)</f>
        <v/>
      </c>
      <c r="E2902" t="str">
        <f>IF(原始经营数据!$D2903="","",原始经营数据!$I2903)</f>
        <v/>
      </c>
      <c r="F2902" t="str">
        <f>IF(原始经营数据!$D2903="","",T(原始经营数据!$J2903))</f>
        <v/>
      </c>
      <c r="G2902" t="str">
        <f>IF(原始经营数据!$D2903="","",T(原始经营数据!$K2903))</f>
        <v/>
      </c>
      <c r="H2902" t="str">
        <f>IF(原始经营数据!$D2903="","",原始经营数据!$G2903)</f>
        <v/>
      </c>
      <c r="I2902" t="str">
        <f>IF($A2902="","",IF($B2902&lt;&gt;"",$B2902,IF(COUNTIFS(原始经营数据!$D$3:$D$3001,$A2902,原始经营数据!$E$3:$E$3001,"",原始经营数据!$F$3:$F$3001,$C2902,原始经营数据!$H$3:$H$3001,$D2902,原始经营数据!$K$3:$K$3001,$G2902)&gt;1,"基金整体·来源"&amp;原始经营数据!$A2903,"基金整体")))</f>
        <v/>
      </c>
      <c r="J2902" t="str">
        <f t="shared" si="678"/>
        <v/>
      </c>
      <c r="K2902" t="str">
        <f t="shared" si="679"/>
        <v/>
      </c>
      <c r="L2902" t="str">
        <f t="shared" si="680"/>
        <v/>
      </c>
      <c r="M2902">
        <f>IF($A2902="",0,IF(COUNTIF($L$2:$L2902,$L2902)=1,1,0))</f>
        <v>0</v>
      </c>
      <c r="N2902" t="str">
        <f t="shared" si="681"/>
        <v/>
      </c>
      <c r="O2902" t="str">
        <f t="shared" si="682"/>
        <v/>
      </c>
      <c r="P2902">
        <f>IF($A2902="",0,IF(COUNTIF($O$2:$O2902,$O2902)=1,1,0))</f>
        <v>0</v>
      </c>
      <c r="Q2902" t="str">
        <f>IF(AND($P2902=1,$A2902=经营数据!$B$3,$J2902=经营数据!$BA$5),COUNTIFS($P$2:$P$3000,1,$A$2:$A$3000,$A2902,$J$2:$J$3000,$J2902,$N$2:$N$3000,"&lt;"&amp;$N2902)+1,"")</f>
        <v/>
      </c>
      <c r="R2902" t="str">
        <f t="shared" si="683"/>
        <v/>
      </c>
      <c r="S2902">
        <f>IF($A2902="",0,IF(COUNTIF($R$2:$R2902,$R2902)=1,1,0))</f>
        <v>0</v>
      </c>
      <c r="T2902" t="str">
        <f t="shared" si="684"/>
        <v/>
      </c>
      <c r="U2902" t="str">
        <f>IF($A2902="","",IF($A2902=经营数据!$B$3,COUNTIFS($S$2:$S$3000,1,$A$2:$A$3000,$A2902,$T$2:$T$3000,"&lt;"&amp;$T2902)+1,""))</f>
        <v/>
      </c>
      <c r="V2902" t="str">
        <f t="shared" si="685"/>
        <v/>
      </c>
      <c r="W2902" t="str">
        <f t="shared" si="686"/>
        <v/>
      </c>
      <c r="X2902" t="str">
        <f t="shared" si="687"/>
        <v/>
      </c>
      <c r="Y2902" t="str">
        <f t="shared" si="688"/>
        <v/>
      </c>
      <c r="Z2902">
        <f>IF($A2902="",0,IF(AND($M2902=1,$A2902=经营数据!$B$3,$J2902=经营数据!$BA$5,OR($I2902=经营数据!$BA$4,COUNTIF(经营数据!$AA$9:$AA$38,$I2902)&gt;0)),1,0))</f>
        <v>0</v>
      </c>
      <c r="AA2902" t="str">
        <f t="shared" si="689"/>
        <v/>
      </c>
      <c r="AB2902" t="str">
        <f t="shared" si="690"/>
        <v/>
      </c>
      <c r="AC2902">
        <f>IF($A2902="",0,IF(COUNTIF($A$2:$A2902,$A2902)=1,1,0))</f>
        <v>0</v>
      </c>
      <c r="AD2902">
        <f t="shared" si="691"/>
        <v>29</v>
      </c>
      <c r="AE2902" t="str">
        <f t="shared" si="692"/>
        <v/>
      </c>
    </row>
    <row r="2903" spans="1:31" x14ac:dyDescent="0.4">
      <c r="A2903" t="str">
        <f>IF(原始经营数据!$D2904="","",原始经营数据!$D2904)</f>
        <v/>
      </c>
      <c r="B2903" t="str">
        <f>IF(原始经营数据!$D2904="","",T(原始经营数据!$E2904))</f>
        <v/>
      </c>
      <c r="C2903" t="str">
        <f>IF(原始经营数据!$D2904="","",原始经营数据!$F2904)</f>
        <v/>
      </c>
      <c r="D2903" t="str">
        <f>IF(原始经营数据!$D2904="","",原始经营数据!$H2904)</f>
        <v/>
      </c>
      <c r="E2903" t="str">
        <f>IF(原始经营数据!$D2904="","",原始经营数据!$I2904)</f>
        <v/>
      </c>
      <c r="F2903" t="str">
        <f>IF(原始经营数据!$D2904="","",T(原始经营数据!$J2904))</f>
        <v/>
      </c>
      <c r="G2903" t="str">
        <f>IF(原始经营数据!$D2904="","",T(原始经营数据!$K2904))</f>
        <v/>
      </c>
      <c r="H2903" t="str">
        <f>IF(原始经营数据!$D2904="","",原始经营数据!$G2904)</f>
        <v/>
      </c>
      <c r="I2903" t="str">
        <f>IF($A2903="","",IF($B2903&lt;&gt;"",$B2903,IF(COUNTIFS(原始经营数据!$D$3:$D$3001,$A2903,原始经营数据!$E$3:$E$3001,"",原始经营数据!$F$3:$F$3001,$C2903,原始经营数据!$H$3:$H$3001,$D2903,原始经营数据!$K$3:$K$3001,$G2903)&gt;1,"基金整体·来源"&amp;原始经营数据!$A2904,"基金整体")))</f>
        <v/>
      </c>
      <c r="J2903" t="str">
        <f t="shared" si="678"/>
        <v/>
      </c>
      <c r="K2903" t="str">
        <f t="shared" si="679"/>
        <v/>
      </c>
      <c r="L2903" t="str">
        <f t="shared" si="680"/>
        <v/>
      </c>
      <c r="M2903">
        <f>IF($A2903="",0,IF(COUNTIF($L$2:$L2903,$L2903)=1,1,0))</f>
        <v>0</v>
      </c>
      <c r="N2903" t="str">
        <f t="shared" si="681"/>
        <v/>
      </c>
      <c r="O2903" t="str">
        <f t="shared" si="682"/>
        <v/>
      </c>
      <c r="P2903">
        <f>IF($A2903="",0,IF(COUNTIF($O$2:$O2903,$O2903)=1,1,0))</f>
        <v>0</v>
      </c>
      <c r="Q2903" t="str">
        <f>IF(AND($P2903=1,$A2903=经营数据!$B$3,$J2903=经营数据!$BA$5),COUNTIFS($P$2:$P$3000,1,$A$2:$A$3000,$A2903,$J$2:$J$3000,$J2903,$N$2:$N$3000,"&lt;"&amp;$N2903)+1,"")</f>
        <v/>
      </c>
      <c r="R2903" t="str">
        <f t="shared" si="683"/>
        <v/>
      </c>
      <c r="S2903">
        <f>IF($A2903="",0,IF(COUNTIF($R$2:$R2903,$R2903)=1,1,0))</f>
        <v>0</v>
      </c>
      <c r="T2903" t="str">
        <f t="shared" si="684"/>
        <v/>
      </c>
      <c r="U2903" t="str">
        <f>IF($A2903="","",IF($A2903=经营数据!$B$3,COUNTIFS($S$2:$S$3000,1,$A$2:$A$3000,$A2903,$T$2:$T$3000,"&lt;"&amp;$T2903)+1,""))</f>
        <v/>
      </c>
      <c r="V2903" t="str">
        <f t="shared" si="685"/>
        <v/>
      </c>
      <c r="W2903" t="str">
        <f t="shared" si="686"/>
        <v/>
      </c>
      <c r="X2903" t="str">
        <f t="shared" si="687"/>
        <v/>
      </c>
      <c r="Y2903" t="str">
        <f t="shared" si="688"/>
        <v/>
      </c>
      <c r="Z2903">
        <f>IF($A2903="",0,IF(AND($M2903=1,$A2903=经营数据!$B$3,$J2903=经营数据!$BA$5,OR($I2903=经营数据!$BA$4,COUNTIF(经营数据!$AA$9:$AA$38,$I2903)&gt;0)),1,0))</f>
        <v>0</v>
      </c>
      <c r="AA2903" t="str">
        <f t="shared" si="689"/>
        <v/>
      </c>
      <c r="AB2903" t="str">
        <f t="shared" si="690"/>
        <v/>
      </c>
      <c r="AC2903">
        <f>IF($A2903="",0,IF(COUNTIF($A$2:$A2903,$A2903)=1,1,0))</f>
        <v>0</v>
      </c>
      <c r="AD2903">
        <f t="shared" si="691"/>
        <v>29</v>
      </c>
      <c r="AE2903" t="str">
        <f t="shared" si="692"/>
        <v/>
      </c>
    </row>
    <row r="2904" spans="1:31" x14ac:dyDescent="0.4">
      <c r="A2904" t="str">
        <f>IF(原始经营数据!$D2905="","",原始经营数据!$D2905)</f>
        <v/>
      </c>
      <c r="B2904" t="str">
        <f>IF(原始经营数据!$D2905="","",T(原始经营数据!$E2905))</f>
        <v/>
      </c>
      <c r="C2904" t="str">
        <f>IF(原始经营数据!$D2905="","",原始经营数据!$F2905)</f>
        <v/>
      </c>
      <c r="D2904" t="str">
        <f>IF(原始经营数据!$D2905="","",原始经营数据!$H2905)</f>
        <v/>
      </c>
      <c r="E2904" t="str">
        <f>IF(原始经营数据!$D2905="","",原始经营数据!$I2905)</f>
        <v/>
      </c>
      <c r="F2904" t="str">
        <f>IF(原始经营数据!$D2905="","",T(原始经营数据!$J2905))</f>
        <v/>
      </c>
      <c r="G2904" t="str">
        <f>IF(原始经营数据!$D2905="","",T(原始经营数据!$K2905))</f>
        <v/>
      </c>
      <c r="H2904" t="str">
        <f>IF(原始经营数据!$D2905="","",原始经营数据!$G2905)</f>
        <v/>
      </c>
      <c r="I2904" t="str">
        <f>IF($A2904="","",IF($B2904&lt;&gt;"",$B2904,IF(COUNTIFS(原始经营数据!$D$3:$D$3001,$A2904,原始经营数据!$E$3:$E$3001,"",原始经营数据!$F$3:$F$3001,$C2904,原始经营数据!$H$3:$H$3001,$D2904,原始经营数据!$K$3:$K$3001,$G2904)&gt;1,"基金整体·来源"&amp;原始经营数据!$A2905,"基金整体")))</f>
        <v/>
      </c>
      <c r="J2904" t="str">
        <f t="shared" si="678"/>
        <v/>
      </c>
      <c r="K2904" t="str">
        <f t="shared" si="679"/>
        <v/>
      </c>
      <c r="L2904" t="str">
        <f t="shared" si="680"/>
        <v/>
      </c>
      <c r="M2904">
        <f>IF($A2904="",0,IF(COUNTIF($L$2:$L2904,$L2904)=1,1,0))</f>
        <v>0</v>
      </c>
      <c r="N2904" t="str">
        <f t="shared" si="681"/>
        <v/>
      </c>
      <c r="O2904" t="str">
        <f t="shared" si="682"/>
        <v/>
      </c>
      <c r="P2904">
        <f>IF($A2904="",0,IF(COUNTIF($O$2:$O2904,$O2904)=1,1,0))</f>
        <v>0</v>
      </c>
      <c r="Q2904" t="str">
        <f>IF(AND($P2904=1,$A2904=经营数据!$B$3,$J2904=经营数据!$BA$5),COUNTIFS($P$2:$P$3000,1,$A$2:$A$3000,$A2904,$J$2:$J$3000,$J2904,$N$2:$N$3000,"&lt;"&amp;$N2904)+1,"")</f>
        <v/>
      </c>
      <c r="R2904" t="str">
        <f t="shared" si="683"/>
        <v/>
      </c>
      <c r="S2904">
        <f>IF($A2904="",0,IF(COUNTIF($R$2:$R2904,$R2904)=1,1,0))</f>
        <v>0</v>
      </c>
      <c r="T2904" t="str">
        <f t="shared" si="684"/>
        <v/>
      </c>
      <c r="U2904" t="str">
        <f>IF($A2904="","",IF($A2904=经营数据!$B$3,COUNTIFS($S$2:$S$3000,1,$A$2:$A$3000,$A2904,$T$2:$T$3000,"&lt;"&amp;$T2904)+1,""))</f>
        <v/>
      </c>
      <c r="V2904" t="str">
        <f t="shared" si="685"/>
        <v/>
      </c>
      <c r="W2904" t="str">
        <f t="shared" si="686"/>
        <v/>
      </c>
      <c r="X2904" t="str">
        <f t="shared" si="687"/>
        <v/>
      </c>
      <c r="Y2904" t="str">
        <f t="shared" si="688"/>
        <v/>
      </c>
      <c r="Z2904">
        <f>IF($A2904="",0,IF(AND($M2904=1,$A2904=经营数据!$B$3,$J2904=经营数据!$BA$5,OR($I2904=经营数据!$BA$4,COUNTIF(经营数据!$AA$9:$AA$38,$I2904)&gt;0)),1,0))</f>
        <v>0</v>
      </c>
      <c r="AA2904" t="str">
        <f t="shared" si="689"/>
        <v/>
      </c>
      <c r="AB2904" t="str">
        <f t="shared" si="690"/>
        <v/>
      </c>
      <c r="AC2904">
        <f>IF($A2904="",0,IF(COUNTIF($A$2:$A2904,$A2904)=1,1,0))</f>
        <v>0</v>
      </c>
      <c r="AD2904">
        <f t="shared" si="691"/>
        <v>29</v>
      </c>
      <c r="AE2904" t="str">
        <f t="shared" si="692"/>
        <v/>
      </c>
    </row>
    <row r="2905" spans="1:31" x14ac:dyDescent="0.4">
      <c r="A2905" t="str">
        <f>IF(原始经营数据!$D2906="","",原始经营数据!$D2906)</f>
        <v/>
      </c>
      <c r="B2905" t="str">
        <f>IF(原始经营数据!$D2906="","",T(原始经营数据!$E2906))</f>
        <v/>
      </c>
      <c r="C2905" t="str">
        <f>IF(原始经营数据!$D2906="","",原始经营数据!$F2906)</f>
        <v/>
      </c>
      <c r="D2905" t="str">
        <f>IF(原始经营数据!$D2906="","",原始经营数据!$H2906)</f>
        <v/>
      </c>
      <c r="E2905" t="str">
        <f>IF(原始经营数据!$D2906="","",原始经营数据!$I2906)</f>
        <v/>
      </c>
      <c r="F2905" t="str">
        <f>IF(原始经营数据!$D2906="","",T(原始经营数据!$J2906))</f>
        <v/>
      </c>
      <c r="G2905" t="str">
        <f>IF(原始经营数据!$D2906="","",T(原始经营数据!$K2906))</f>
        <v/>
      </c>
      <c r="H2905" t="str">
        <f>IF(原始经营数据!$D2906="","",原始经营数据!$G2906)</f>
        <v/>
      </c>
      <c r="I2905" t="str">
        <f>IF($A2905="","",IF($B2905&lt;&gt;"",$B2905,IF(COUNTIFS(原始经营数据!$D$3:$D$3001,$A2905,原始经营数据!$E$3:$E$3001,"",原始经营数据!$F$3:$F$3001,$C2905,原始经营数据!$H$3:$H$3001,$D2905,原始经营数据!$K$3:$K$3001,$G2905)&gt;1,"基金整体·来源"&amp;原始经营数据!$A2906,"基金整体")))</f>
        <v/>
      </c>
      <c r="J2905" t="str">
        <f t="shared" si="678"/>
        <v/>
      </c>
      <c r="K2905" t="str">
        <f t="shared" si="679"/>
        <v/>
      </c>
      <c r="L2905" t="str">
        <f t="shared" si="680"/>
        <v/>
      </c>
      <c r="M2905">
        <f>IF($A2905="",0,IF(COUNTIF($L$2:$L2905,$L2905)=1,1,0))</f>
        <v>0</v>
      </c>
      <c r="N2905" t="str">
        <f t="shared" si="681"/>
        <v/>
      </c>
      <c r="O2905" t="str">
        <f t="shared" si="682"/>
        <v/>
      </c>
      <c r="P2905">
        <f>IF($A2905="",0,IF(COUNTIF($O$2:$O2905,$O2905)=1,1,0))</f>
        <v>0</v>
      </c>
      <c r="Q2905" t="str">
        <f>IF(AND($P2905=1,$A2905=经营数据!$B$3,$J2905=经营数据!$BA$5),COUNTIFS($P$2:$P$3000,1,$A$2:$A$3000,$A2905,$J$2:$J$3000,$J2905,$N$2:$N$3000,"&lt;"&amp;$N2905)+1,"")</f>
        <v/>
      </c>
      <c r="R2905" t="str">
        <f t="shared" si="683"/>
        <v/>
      </c>
      <c r="S2905">
        <f>IF($A2905="",0,IF(COUNTIF($R$2:$R2905,$R2905)=1,1,0))</f>
        <v>0</v>
      </c>
      <c r="T2905" t="str">
        <f t="shared" si="684"/>
        <v/>
      </c>
      <c r="U2905" t="str">
        <f>IF($A2905="","",IF($A2905=经营数据!$B$3,COUNTIFS($S$2:$S$3000,1,$A$2:$A$3000,$A2905,$T$2:$T$3000,"&lt;"&amp;$T2905)+1,""))</f>
        <v/>
      </c>
      <c r="V2905" t="str">
        <f t="shared" si="685"/>
        <v/>
      </c>
      <c r="W2905" t="str">
        <f t="shared" si="686"/>
        <v/>
      </c>
      <c r="X2905" t="str">
        <f t="shared" si="687"/>
        <v/>
      </c>
      <c r="Y2905" t="str">
        <f t="shared" si="688"/>
        <v/>
      </c>
      <c r="Z2905">
        <f>IF($A2905="",0,IF(AND($M2905=1,$A2905=经营数据!$B$3,$J2905=经营数据!$BA$5,OR($I2905=经营数据!$BA$4,COUNTIF(经营数据!$AA$9:$AA$38,$I2905)&gt;0)),1,0))</f>
        <v>0</v>
      </c>
      <c r="AA2905" t="str">
        <f t="shared" si="689"/>
        <v/>
      </c>
      <c r="AB2905" t="str">
        <f t="shared" si="690"/>
        <v/>
      </c>
      <c r="AC2905">
        <f>IF($A2905="",0,IF(COUNTIF($A$2:$A2905,$A2905)=1,1,0))</f>
        <v>0</v>
      </c>
      <c r="AD2905">
        <f t="shared" si="691"/>
        <v>29</v>
      </c>
      <c r="AE2905" t="str">
        <f t="shared" si="692"/>
        <v/>
      </c>
    </row>
    <row r="2906" spans="1:31" x14ac:dyDescent="0.4">
      <c r="A2906" t="str">
        <f>IF(原始经营数据!$D2907="","",原始经营数据!$D2907)</f>
        <v/>
      </c>
      <c r="B2906" t="str">
        <f>IF(原始经营数据!$D2907="","",T(原始经营数据!$E2907))</f>
        <v/>
      </c>
      <c r="C2906" t="str">
        <f>IF(原始经营数据!$D2907="","",原始经营数据!$F2907)</f>
        <v/>
      </c>
      <c r="D2906" t="str">
        <f>IF(原始经营数据!$D2907="","",原始经营数据!$H2907)</f>
        <v/>
      </c>
      <c r="E2906" t="str">
        <f>IF(原始经营数据!$D2907="","",原始经营数据!$I2907)</f>
        <v/>
      </c>
      <c r="F2906" t="str">
        <f>IF(原始经营数据!$D2907="","",T(原始经营数据!$J2907))</f>
        <v/>
      </c>
      <c r="G2906" t="str">
        <f>IF(原始经营数据!$D2907="","",T(原始经营数据!$K2907))</f>
        <v/>
      </c>
      <c r="H2906" t="str">
        <f>IF(原始经营数据!$D2907="","",原始经营数据!$G2907)</f>
        <v/>
      </c>
      <c r="I2906" t="str">
        <f>IF($A2906="","",IF($B2906&lt;&gt;"",$B2906,IF(COUNTIFS(原始经营数据!$D$3:$D$3001,$A2906,原始经营数据!$E$3:$E$3001,"",原始经营数据!$F$3:$F$3001,$C2906,原始经营数据!$H$3:$H$3001,$D2906,原始经营数据!$K$3:$K$3001,$G2906)&gt;1,"基金整体·来源"&amp;原始经营数据!$A2907,"基金整体")))</f>
        <v/>
      </c>
      <c r="J2906" t="str">
        <f t="shared" si="678"/>
        <v/>
      </c>
      <c r="K2906" t="str">
        <f t="shared" si="679"/>
        <v/>
      </c>
      <c r="L2906" t="str">
        <f t="shared" si="680"/>
        <v/>
      </c>
      <c r="M2906">
        <f>IF($A2906="",0,IF(COUNTIF($L$2:$L2906,$L2906)=1,1,0))</f>
        <v>0</v>
      </c>
      <c r="N2906" t="str">
        <f t="shared" si="681"/>
        <v/>
      </c>
      <c r="O2906" t="str">
        <f t="shared" si="682"/>
        <v/>
      </c>
      <c r="P2906">
        <f>IF($A2906="",0,IF(COUNTIF($O$2:$O2906,$O2906)=1,1,0))</f>
        <v>0</v>
      </c>
      <c r="Q2906" t="str">
        <f>IF(AND($P2906=1,$A2906=经营数据!$B$3,$J2906=经营数据!$BA$5),COUNTIFS($P$2:$P$3000,1,$A$2:$A$3000,$A2906,$J$2:$J$3000,$J2906,$N$2:$N$3000,"&lt;"&amp;$N2906)+1,"")</f>
        <v/>
      </c>
      <c r="R2906" t="str">
        <f t="shared" si="683"/>
        <v/>
      </c>
      <c r="S2906">
        <f>IF($A2906="",0,IF(COUNTIF($R$2:$R2906,$R2906)=1,1,0))</f>
        <v>0</v>
      </c>
      <c r="T2906" t="str">
        <f t="shared" si="684"/>
        <v/>
      </c>
      <c r="U2906" t="str">
        <f>IF($A2906="","",IF($A2906=经营数据!$B$3,COUNTIFS($S$2:$S$3000,1,$A$2:$A$3000,$A2906,$T$2:$T$3000,"&lt;"&amp;$T2906)+1,""))</f>
        <v/>
      </c>
      <c r="V2906" t="str">
        <f t="shared" si="685"/>
        <v/>
      </c>
      <c r="W2906" t="str">
        <f t="shared" si="686"/>
        <v/>
      </c>
      <c r="X2906" t="str">
        <f t="shared" si="687"/>
        <v/>
      </c>
      <c r="Y2906" t="str">
        <f t="shared" si="688"/>
        <v/>
      </c>
      <c r="Z2906">
        <f>IF($A2906="",0,IF(AND($M2906=1,$A2906=经营数据!$B$3,$J2906=经营数据!$BA$5,OR($I2906=经营数据!$BA$4,COUNTIF(经营数据!$AA$9:$AA$38,$I2906)&gt;0)),1,0))</f>
        <v>0</v>
      </c>
      <c r="AA2906" t="str">
        <f t="shared" si="689"/>
        <v/>
      </c>
      <c r="AB2906" t="str">
        <f t="shared" si="690"/>
        <v/>
      </c>
      <c r="AC2906">
        <f>IF($A2906="",0,IF(COUNTIF($A$2:$A2906,$A2906)=1,1,0))</f>
        <v>0</v>
      </c>
      <c r="AD2906">
        <f t="shared" si="691"/>
        <v>29</v>
      </c>
      <c r="AE2906" t="str">
        <f t="shared" si="692"/>
        <v/>
      </c>
    </row>
    <row r="2907" spans="1:31" x14ac:dyDescent="0.4">
      <c r="A2907" t="str">
        <f>IF(原始经营数据!$D2908="","",原始经营数据!$D2908)</f>
        <v/>
      </c>
      <c r="B2907" t="str">
        <f>IF(原始经营数据!$D2908="","",T(原始经营数据!$E2908))</f>
        <v/>
      </c>
      <c r="C2907" t="str">
        <f>IF(原始经营数据!$D2908="","",原始经营数据!$F2908)</f>
        <v/>
      </c>
      <c r="D2907" t="str">
        <f>IF(原始经营数据!$D2908="","",原始经营数据!$H2908)</f>
        <v/>
      </c>
      <c r="E2907" t="str">
        <f>IF(原始经营数据!$D2908="","",原始经营数据!$I2908)</f>
        <v/>
      </c>
      <c r="F2907" t="str">
        <f>IF(原始经营数据!$D2908="","",T(原始经营数据!$J2908))</f>
        <v/>
      </c>
      <c r="G2907" t="str">
        <f>IF(原始经营数据!$D2908="","",T(原始经营数据!$K2908))</f>
        <v/>
      </c>
      <c r="H2907" t="str">
        <f>IF(原始经营数据!$D2908="","",原始经营数据!$G2908)</f>
        <v/>
      </c>
      <c r="I2907" t="str">
        <f>IF($A2907="","",IF($B2907&lt;&gt;"",$B2907,IF(COUNTIFS(原始经营数据!$D$3:$D$3001,$A2907,原始经营数据!$E$3:$E$3001,"",原始经营数据!$F$3:$F$3001,$C2907,原始经营数据!$H$3:$H$3001,$D2907,原始经营数据!$K$3:$K$3001,$G2907)&gt;1,"基金整体·来源"&amp;原始经营数据!$A2908,"基金整体")))</f>
        <v/>
      </c>
      <c r="J2907" t="str">
        <f t="shared" si="678"/>
        <v/>
      </c>
      <c r="K2907" t="str">
        <f t="shared" si="679"/>
        <v/>
      </c>
      <c r="L2907" t="str">
        <f t="shared" si="680"/>
        <v/>
      </c>
      <c r="M2907">
        <f>IF($A2907="",0,IF(COUNTIF($L$2:$L2907,$L2907)=1,1,0))</f>
        <v>0</v>
      </c>
      <c r="N2907" t="str">
        <f t="shared" si="681"/>
        <v/>
      </c>
      <c r="O2907" t="str">
        <f t="shared" si="682"/>
        <v/>
      </c>
      <c r="P2907">
        <f>IF($A2907="",0,IF(COUNTIF($O$2:$O2907,$O2907)=1,1,0))</f>
        <v>0</v>
      </c>
      <c r="Q2907" t="str">
        <f>IF(AND($P2907=1,$A2907=经营数据!$B$3,$J2907=经营数据!$BA$5),COUNTIFS($P$2:$P$3000,1,$A$2:$A$3000,$A2907,$J$2:$J$3000,$J2907,$N$2:$N$3000,"&lt;"&amp;$N2907)+1,"")</f>
        <v/>
      </c>
      <c r="R2907" t="str">
        <f t="shared" si="683"/>
        <v/>
      </c>
      <c r="S2907">
        <f>IF($A2907="",0,IF(COUNTIF($R$2:$R2907,$R2907)=1,1,0))</f>
        <v>0</v>
      </c>
      <c r="T2907" t="str">
        <f t="shared" si="684"/>
        <v/>
      </c>
      <c r="U2907" t="str">
        <f>IF($A2907="","",IF($A2907=经营数据!$B$3,COUNTIFS($S$2:$S$3000,1,$A$2:$A$3000,$A2907,$T$2:$T$3000,"&lt;"&amp;$T2907)+1,""))</f>
        <v/>
      </c>
      <c r="V2907" t="str">
        <f t="shared" si="685"/>
        <v/>
      </c>
      <c r="W2907" t="str">
        <f t="shared" si="686"/>
        <v/>
      </c>
      <c r="X2907" t="str">
        <f t="shared" si="687"/>
        <v/>
      </c>
      <c r="Y2907" t="str">
        <f t="shared" si="688"/>
        <v/>
      </c>
      <c r="Z2907">
        <f>IF($A2907="",0,IF(AND($M2907=1,$A2907=经营数据!$B$3,$J2907=经营数据!$BA$5,OR($I2907=经营数据!$BA$4,COUNTIF(经营数据!$AA$9:$AA$38,$I2907)&gt;0)),1,0))</f>
        <v>0</v>
      </c>
      <c r="AA2907" t="str">
        <f t="shared" si="689"/>
        <v/>
      </c>
      <c r="AB2907" t="str">
        <f t="shared" si="690"/>
        <v/>
      </c>
      <c r="AC2907">
        <f>IF($A2907="",0,IF(COUNTIF($A$2:$A2907,$A2907)=1,1,0))</f>
        <v>0</v>
      </c>
      <c r="AD2907">
        <f t="shared" si="691"/>
        <v>29</v>
      </c>
      <c r="AE2907" t="str">
        <f t="shared" si="692"/>
        <v/>
      </c>
    </row>
    <row r="2908" spans="1:31" x14ac:dyDescent="0.4">
      <c r="A2908" t="str">
        <f>IF(原始经营数据!$D2909="","",原始经营数据!$D2909)</f>
        <v/>
      </c>
      <c r="B2908" t="str">
        <f>IF(原始经营数据!$D2909="","",T(原始经营数据!$E2909))</f>
        <v/>
      </c>
      <c r="C2908" t="str">
        <f>IF(原始经营数据!$D2909="","",原始经营数据!$F2909)</f>
        <v/>
      </c>
      <c r="D2908" t="str">
        <f>IF(原始经营数据!$D2909="","",原始经营数据!$H2909)</f>
        <v/>
      </c>
      <c r="E2908" t="str">
        <f>IF(原始经营数据!$D2909="","",原始经营数据!$I2909)</f>
        <v/>
      </c>
      <c r="F2908" t="str">
        <f>IF(原始经营数据!$D2909="","",T(原始经营数据!$J2909))</f>
        <v/>
      </c>
      <c r="G2908" t="str">
        <f>IF(原始经营数据!$D2909="","",T(原始经营数据!$K2909))</f>
        <v/>
      </c>
      <c r="H2908" t="str">
        <f>IF(原始经营数据!$D2909="","",原始经营数据!$G2909)</f>
        <v/>
      </c>
      <c r="I2908" t="str">
        <f>IF($A2908="","",IF($B2908&lt;&gt;"",$B2908,IF(COUNTIFS(原始经营数据!$D$3:$D$3001,$A2908,原始经营数据!$E$3:$E$3001,"",原始经营数据!$F$3:$F$3001,$C2908,原始经营数据!$H$3:$H$3001,$D2908,原始经营数据!$K$3:$K$3001,$G2908)&gt;1,"基金整体·来源"&amp;原始经营数据!$A2909,"基金整体")))</f>
        <v/>
      </c>
      <c r="J2908" t="str">
        <f t="shared" si="678"/>
        <v/>
      </c>
      <c r="K2908" t="str">
        <f t="shared" si="679"/>
        <v/>
      </c>
      <c r="L2908" t="str">
        <f t="shared" si="680"/>
        <v/>
      </c>
      <c r="M2908">
        <f>IF($A2908="",0,IF(COUNTIF($L$2:$L2908,$L2908)=1,1,0))</f>
        <v>0</v>
      </c>
      <c r="N2908" t="str">
        <f t="shared" si="681"/>
        <v/>
      </c>
      <c r="O2908" t="str">
        <f t="shared" si="682"/>
        <v/>
      </c>
      <c r="P2908">
        <f>IF($A2908="",0,IF(COUNTIF($O$2:$O2908,$O2908)=1,1,0))</f>
        <v>0</v>
      </c>
      <c r="Q2908" t="str">
        <f>IF(AND($P2908=1,$A2908=经营数据!$B$3,$J2908=经营数据!$BA$5),COUNTIFS($P$2:$P$3000,1,$A$2:$A$3000,$A2908,$J$2:$J$3000,$J2908,$N$2:$N$3000,"&lt;"&amp;$N2908)+1,"")</f>
        <v/>
      </c>
      <c r="R2908" t="str">
        <f t="shared" si="683"/>
        <v/>
      </c>
      <c r="S2908">
        <f>IF($A2908="",0,IF(COUNTIF($R$2:$R2908,$R2908)=1,1,0))</f>
        <v>0</v>
      </c>
      <c r="T2908" t="str">
        <f t="shared" si="684"/>
        <v/>
      </c>
      <c r="U2908" t="str">
        <f>IF($A2908="","",IF($A2908=经营数据!$B$3,COUNTIFS($S$2:$S$3000,1,$A$2:$A$3000,$A2908,$T$2:$T$3000,"&lt;"&amp;$T2908)+1,""))</f>
        <v/>
      </c>
      <c r="V2908" t="str">
        <f t="shared" si="685"/>
        <v/>
      </c>
      <c r="W2908" t="str">
        <f t="shared" si="686"/>
        <v/>
      </c>
      <c r="X2908" t="str">
        <f t="shared" si="687"/>
        <v/>
      </c>
      <c r="Y2908" t="str">
        <f t="shared" si="688"/>
        <v/>
      </c>
      <c r="Z2908">
        <f>IF($A2908="",0,IF(AND($M2908=1,$A2908=经营数据!$B$3,$J2908=经营数据!$BA$5,OR($I2908=经营数据!$BA$4,COUNTIF(经营数据!$AA$9:$AA$38,$I2908)&gt;0)),1,0))</f>
        <v>0</v>
      </c>
      <c r="AA2908" t="str">
        <f t="shared" si="689"/>
        <v/>
      </c>
      <c r="AB2908" t="str">
        <f t="shared" si="690"/>
        <v/>
      </c>
      <c r="AC2908">
        <f>IF($A2908="",0,IF(COUNTIF($A$2:$A2908,$A2908)=1,1,0))</f>
        <v>0</v>
      </c>
      <c r="AD2908">
        <f t="shared" si="691"/>
        <v>29</v>
      </c>
      <c r="AE2908" t="str">
        <f t="shared" si="692"/>
        <v/>
      </c>
    </row>
    <row r="2909" spans="1:31" x14ac:dyDescent="0.4">
      <c r="A2909" t="str">
        <f>IF(原始经营数据!$D2910="","",原始经营数据!$D2910)</f>
        <v/>
      </c>
      <c r="B2909" t="str">
        <f>IF(原始经营数据!$D2910="","",T(原始经营数据!$E2910))</f>
        <v/>
      </c>
      <c r="C2909" t="str">
        <f>IF(原始经营数据!$D2910="","",原始经营数据!$F2910)</f>
        <v/>
      </c>
      <c r="D2909" t="str">
        <f>IF(原始经营数据!$D2910="","",原始经营数据!$H2910)</f>
        <v/>
      </c>
      <c r="E2909" t="str">
        <f>IF(原始经营数据!$D2910="","",原始经营数据!$I2910)</f>
        <v/>
      </c>
      <c r="F2909" t="str">
        <f>IF(原始经营数据!$D2910="","",T(原始经营数据!$J2910))</f>
        <v/>
      </c>
      <c r="G2909" t="str">
        <f>IF(原始经营数据!$D2910="","",T(原始经营数据!$K2910))</f>
        <v/>
      </c>
      <c r="H2909" t="str">
        <f>IF(原始经营数据!$D2910="","",原始经营数据!$G2910)</f>
        <v/>
      </c>
      <c r="I2909" t="str">
        <f>IF($A2909="","",IF($B2909&lt;&gt;"",$B2909,IF(COUNTIFS(原始经营数据!$D$3:$D$3001,$A2909,原始经营数据!$E$3:$E$3001,"",原始经营数据!$F$3:$F$3001,$C2909,原始经营数据!$H$3:$H$3001,$D2909,原始经营数据!$K$3:$K$3001,$G2909)&gt;1,"基金整体·来源"&amp;原始经营数据!$A2910,"基金整体")))</f>
        <v/>
      </c>
      <c r="J2909" t="str">
        <f t="shared" si="678"/>
        <v/>
      </c>
      <c r="K2909" t="str">
        <f t="shared" si="679"/>
        <v/>
      </c>
      <c r="L2909" t="str">
        <f t="shared" si="680"/>
        <v/>
      </c>
      <c r="M2909">
        <f>IF($A2909="",0,IF(COUNTIF($L$2:$L2909,$L2909)=1,1,0))</f>
        <v>0</v>
      </c>
      <c r="N2909" t="str">
        <f t="shared" si="681"/>
        <v/>
      </c>
      <c r="O2909" t="str">
        <f t="shared" si="682"/>
        <v/>
      </c>
      <c r="P2909">
        <f>IF($A2909="",0,IF(COUNTIF($O$2:$O2909,$O2909)=1,1,0))</f>
        <v>0</v>
      </c>
      <c r="Q2909" t="str">
        <f>IF(AND($P2909=1,$A2909=经营数据!$B$3,$J2909=经营数据!$BA$5),COUNTIFS($P$2:$P$3000,1,$A$2:$A$3000,$A2909,$J$2:$J$3000,$J2909,$N$2:$N$3000,"&lt;"&amp;$N2909)+1,"")</f>
        <v/>
      </c>
      <c r="R2909" t="str">
        <f t="shared" si="683"/>
        <v/>
      </c>
      <c r="S2909">
        <f>IF($A2909="",0,IF(COUNTIF($R$2:$R2909,$R2909)=1,1,0))</f>
        <v>0</v>
      </c>
      <c r="T2909" t="str">
        <f t="shared" si="684"/>
        <v/>
      </c>
      <c r="U2909" t="str">
        <f>IF($A2909="","",IF($A2909=经营数据!$B$3,COUNTIFS($S$2:$S$3000,1,$A$2:$A$3000,$A2909,$T$2:$T$3000,"&lt;"&amp;$T2909)+1,""))</f>
        <v/>
      </c>
      <c r="V2909" t="str">
        <f t="shared" si="685"/>
        <v/>
      </c>
      <c r="W2909" t="str">
        <f t="shared" si="686"/>
        <v/>
      </c>
      <c r="X2909" t="str">
        <f t="shared" si="687"/>
        <v/>
      </c>
      <c r="Y2909" t="str">
        <f t="shared" si="688"/>
        <v/>
      </c>
      <c r="Z2909">
        <f>IF($A2909="",0,IF(AND($M2909=1,$A2909=经营数据!$B$3,$J2909=经营数据!$BA$5,OR($I2909=经营数据!$BA$4,COUNTIF(经营数据!$AA$9:$AA$38,$I2909)&gt;0)),1,0))</f>
        <v>0</v>
      </c>
      <c r="AA2909" t="str">
        <f t="shared" si="689"/>
        <v/>
      </c>
      <c r="AB2909" t="str">
        <f t="shared" si="690"/>
        <v/>
      </c>
      <c r="AC2909">
        <f>IF($A2909="",0,IF(COUNTIF($A$2:$A2909,$A2909)=1,1,0))</f>
        <v>0</v>
      </c>
      <c r="AD2909">
        <f t="shared" si="691"/>
        <v>29</v>
      </c>
      <c r="AE2909" t="str">
        <f t="shared" si="692"/>
        <v/>
      </c>
    </row>
    <row r="2910" spans="1:31" x14ac:dyDescent="0.4">
      <c r="A2910" t="str">
        <f>IF(原始经营数据!$D2911="","",原始经营数据!$D2911)</f>
        <v/>
      </c>
      <c r="B2910" t="str">
        <f>IF(原始经营数据!$D2911="","",T(原始经营数据!$E2911))</f>
        <v/>
      </c>
      <c r="C2910" t="str">
        <f>IF(原始经营数据!$D2911="","",原始经营数据!$F2911)</f>
        <v/>
      </c>
      <c r="D2910" t="str">
        <f>IF(原始经营数据!$D2911="","",原始经营数据!$H2911)</f>
        <v/>
      </c>
      <c r="E2910" t="str">
        <f>IF(原始经营数据!$D2911="","",原始经营数据!$I2911)</f>
        <v/>
      </c>
      <c r="F2910" t="str">
        <f>IF(原始经营数据!$D2911="","",T(原始经营数据!$J2911))</f>
        <v/>
      </c>
      <c r="G2910" t="str">
        <f>IF(原始经营数据!$D2911="","",T(原始经营数据!$K2911))</f>
        <v/>
      </c>
      <c r="H2910" t="str">
        <f>IF(原始经营数据!$D2911="","",原始经营数据!$G2911)</f>
        <v/>
      </c>
      <c r="I2910" t="str">
        <f>IF($A2910="","",IF($B2910&lt;&gt;"",$B2910,IF(COUNTIFS(原始经营数据!$D$3:$D$3001,$A2910,原始经营数据!$E$3:$E$3001,"",原始经营数据!$F$3:$F$3001,$C2910,原始经营数据!$H$3:$H$3001,$D2910,原始经营数据!$K$3:$K$3001,$G2910)&gt;1,"基金整体·来源"&amp;原始经营数据!$A2911,"基金整体")))</f>
        <v/>
      </c>
      <c r="J2910" t="str">
        <f t="shared" si="678"/>
        <v/>
      </c>
      <c r="K2910" t="str">
        <f t="shared" si="679"/>
        <v/>
      </c>
      <c r="L2910" t="str">
        <f t="shared" si="680"/>
        <v/>
      </c>
      <c r="M2910">
        <f>IF($A2910="",0,IF(COUNTIF($L$2:$L2910,$L2910)=1,1,0))</f>
        <v>0</v>
      </c>
      <c r="N2910" t="str">
        <f t="shared" si="681"/>
        <v/>
      </c>
      <c r="O2910" t="str">
        <f t="shared" si="682"/>
        <v/>
      </c>
      <c r="P2910">
        <f>IF($A2910="",0,IF(COUNTIF($O$2:$O2910,$O2910)=1,1,0))</f>
        <v>0</v>
      </c>
      <c r="Q2910" t="str">
        <f>IF(AND($P2910=1,$A2910=经营数据!$B$3,$J2910=经营数据!$BA$5),COUNTIFS($P$2:$P$3000,1,$A$2:$A$3000,$A2910,$J$2:$J$3000,$J2910,$N$2:$N$3000,"&lt;"&amp;$N2910)+1,"")</f>
        <v/>
      </c>
      <c r="R2910" t="str">
        <f t="shared" si="683"/>
        <v/>
      </c>
      <c r="S2910">
        <f>IF($A2910="",0,IF(COUNTIF($R$2:$R2910,$R2910)=1,1,0))</f>
        <v>0</v>
      </c>
      <c r="T2910" t="str">
        <f t="shared" si="684"/>
        <v/>
      </c>
      <c r="U2910" t="str">
        <f>IF($A2910="","",IF($A2910=经营数据!$B$3,COUNTIFS($S$2:$S$3000,1,$A$2:$A$3000,$A2910,$T$2:$T$3000,"&lt;"&amp;$T2910)+1,""))</f>
        <v/>
      </c>
      <c r="V2910" t="str">
        <f t="shared" si="685"/>
        <v/>
      </c>
      <c r="W2910" t="str">
        <f t="shared" si="686"/>
        <v/>
      </c>
      <c r="X2910" t="str">
        <f t="shared" si="687"/>
        <v/>
      </c>
      <c r="Y2910" t="str">
        <f t="shared" si="688"/>
        <v/>
      </c>
      <c r="Z2910">
        <f>IF($A2910="",0,IF(AND($M2910=1,$A2910=经营数据!$B$3,$J2910=经营数据!$BA$5,OR($I2910=经营数据!$BA$4,COUNTIF(经营数据!$AA$9:$AA$38,$I2910)&gt;0)),1,0))</f>
        <v>0</v>
      </c>
      <c r="AA2910" t="str">
        <f t="shared" si="689"/>
        <v/>
      </c>
      <c r="AB2910" t="str">
        <f t="shared" si="690"/>
        <v/>
      </c>
      <c r="AC2910">
        <f>IF($A2910="",0,IF(COUNTIF($A$2:$A2910,$A2910)=1,1,0))</f>
        <v>0</v>
      </c>
      <c r="AD2910">
        <f t="shared" si="691"/>
        <v>29</v>
      </c>
      <c r="AE2910" t="str">
        <f t="shared" si="692"/>
        <v/>
      </c>
    </row>
    <row r="2911" spans="1:31" x14ac:dyDescent="0.4">
      <c r="A2911" t="str">
        <f>IF(原始经营数据!$D2912="","",原始经营数据!$D2912)</f>
        <v/>
      </c>
      <c r="B2911" t="str">
        <f>IF(原始经营数据!$D2912="","",T(原始经营数据!$E2912))</f>
        <v/>
      </c>
      <c r="C2911" t="str">
        <f>IF(原始经营数据!$D2912="","",原始经营数据!$F2912)</f>
        <v/>
      </c>
      <c r="D2911" t="str">
        <f>IF(原始经营数据!$D2912="","",原始经营数据!$H2912)</f>
        <v/>
      </c>
      <c r="E2911" t="str">
        <f>IF(原始经营数据!$D2912="","",原始经营数据!$I2912)</f>
        <v/>
      </c>
      <c r="F2911" t="str">
        <f>IF(原始经营数据!$D2912="","",T(原始经营数据!$J2912))</f>
        <v/>
      </c>
      <c r="G2911" t="str">
        <f>IF(原始经营数据!$D2912="","",T(原始经营数据!$K2912))</f>
        <v/>
      </c>
      <c r="H2911" t="str">
        <f>IF(原始经营数据!$D2912="","",原始经营数据!$G2912)</f>
        <v/>
      </c>
      <c r="I2911" t="str">
        <f>IF($A2911="","",IF($B2911&lt;&gt;"",$B2911,IF(COUNTIFS(原始经营数据!$D$3:$D$3001,$A2911,原始经营数据!$E$3:$E$3001,"",原始经营数据!$F$3:$F$3001,$C2911,原始经营数据!$H$3:$H$3001,$D2911,原始经营数据!$K$3:$K$3001,$G2911)&gt;1,"基金整体·来源"&amp;原始经营数据!$A2912,"基金整体")))</f>
        <v/>
      </c>
      <c r="J2911" t="str">
        <f t="shared" si="678"/>
        <v/>
      </c>
      <c r="K2911" t="str">
        <f t="shared" si="679"/>
        <v/>
      </c>
      <c r="L2911" t="str">
        <f t="shared" si="680"/>
        <v/>
      </c>
      <c r="M2911">
        <f>IF($A2911="",0,IF(COUNTIF($L$2:$L2911,$L2911)=1,1,0))</f>
        <v>0</v>
      </c>
      <c r="N2911" t="str">
        <f t="shared" si="681"/>
        <v/>
      </c>
      <c r="O2911" t="str">
        <f t="shared" si="682"/>
        <v/>
      </c>
      <c r="P2911">
        <f>IF($A2911="",0,IF(COUNTIF($O$2:$O2911,$O2911)=1,1,0))</f>
        <v>0</v>
      </c>
      <c r="Q2911" t="str">
        <f>IF(AND($P2911=1,$A2911=经营数据!$B$3,$J2911=经营数据!$BA$5),COUNTIFS($P$2:$P$3000,1,$A$2:$A$3000,$A2911,$J$2:$J$3000,$J2911,$N$2:$N$3000,"&lt;"&amp;$N2911)+1,"")</f>
        <v/>
      </c>
      <c r="R2911" t="str">
        <f t="shared" si="683"/>
        <v/>
      </c>
      <c r="S2911">
        <f>IF($A2911="",0,IF(COUNTIF($R$2:$R2911,$R2911)=1,1,0))</f>
        <v>0</v>
      </c>
      <c r="T2911" t="str">
        <f t="shared" si="684"/>
        <v/>
      </c>
      <c r="U2911" t="str">
        <f>IF($A2911="","",IF($A2911=经营数据!$B$3,COUNTIFS($S$2:$S$3000,1,$A$2:$A$3000,$A2911,$T$2:$T$3000,"&lt;"&amp;$T2911)+1,""))</f>
        <v/>
      </c>
      <c r="V2911" t="str">
        <f t="shared" si="685"/>
        <v/>
      </c>
      <c r="W2911" t="str">
        <f t="shared" si="686"/>
        <v/>
      </c>
      <c r="X2911" t="str">
        <f t="shared" si="687"/>
        <v/>
      </c>
      <c r="Y2911" t="str">
        <f t="shared" si="688"/>
        <v/>
      </c>
      <c r="Z2911">
        <f>IF($A2911="",0,IF(AND($M2911=1,$A2911=经营数据!$B$3,$J2911=经营数据!$BA$5,OR($I2911=经营数据!$BA$4,COUNTIF(经营数据!$AA$9:$AA$38,$I2911)&gt;0)),1,0))</f>
        <v>0</v>
      </c>
      <c r="AA2911" t="str">
        <f t="shared" si="689"/>
        <v/>
      </c>
      <c r="AB2911" t="str">
        <f t="shared" si="690"/>
        <v/>
      </c>
      <c r="AC2911">
        <f>IF($A2911="",0,IF(COUNTIF($A$2:$A2911,$A2911)=1,1,0))</f>
        <v>0</v>
      </c>
      <c r="AD2911">
        <f t="shared" si="691"/>
        <v>29</v>
      </c>
      <c r="AE2911" t="str">
        <f t="shared" si="692"/>
        <v/>
      </c>
    </row>
    <row r="2912" spans="1:31" x14ac:dyDescent="0.4">
      <c r="A2912" t="str">
        <f>IF(原始经营数据!$D2913="","",原始经营数据!$D2913)</f>
        <v/>
      </c>
      <c r="B2912" t="str">
        <f>IF(原始经营数据!$D2913="","",T(原始经营数据!$E2913))</f>
        <v/>
      </c>
      <c r="C2912" t="str">
        <f>IF(原始经营数据!$D2913="","",原始经营数据!$F2913)</f>
        <v/>
      </c>
      <c r="D2912" t="str">
        <f>IF(原始经营数据!$D2913="","",原始经营数据!$H2913)</f>
        <v/>
      </c>
      <c r="E2912" t="str">
        <f>IF(原始经营数据!$D2913="","",原始经营数据!$I2913)</f>
        <v/>
      </c>
      <c r="F2912" t="str">
        <f>IF(原始经营数据!$D2913="","",T(原始经营数据!$J2913))</f>
        <v/>
      </c>
      <c r="G2912" t="str">
        <f>IF(原始经营数据!$D2913="","",T(原始经营数据!$K2913))</f>
        <v/>
      </c>
      <c r="H2912" t="str">
        <f>IF(原始经营数据!$D2913="","",原始经营数据!$G2913)</f>
        <v/>
      </c>
      <c r="I2912" t="str">
        <f>IF($A2912="","",IF($B2912&lt;&gt;"",$B2912,IF(COUNTIFS(原始经营数据!$D$3:$D$3001,$A2912,原始经营数据!$E$3:$E$3001,"",原始经营数据!$F$3:$F$3001,$C2912,原始经营数据!$H$3:$H$3001,$D2912,原始经营数据!$K$3:$K$3001,$G2912)&gt;1,"基金整体·来源"&amp;原始经营数据!$A2913,"基金整体")))</f>
        <v/>
      </c>
      <c r="J2912" t="str">
        <f t="shared" si="678"/>
        <v/>
      </c>
      <c r="K2912" t="str">
        <f t="shared" si="679"/>
        <v/>
      </c>
      <c r="L2912" t="str">
        <f t="shared" si="680"/>
        <v/>
      </c>
      <c r="M2912">
        <f>IF($A2912="",0,IF(COUNTIF($L$2:$L2912,$L2912)=1,1,0))</f>
        <v>0</v>
      </c>
      <c r="N2912" t="str">
        <f t="shared" si="681"/>
        <v/>
      </c>
      <c r="O2912" t="str">
        <f t="shared" si="682"/>
        <v/>
      </c>
      <c r="P2912">
        <f>IF($A2912="",0,IF(COUNTIF($O$2:$O2912,$O2912)=1,1,0))</f>
        <v>0</v>
      </c>
      <c r="Q2912" t="str">
        <f>IF(AND($P2912=1,$A2912=经营数据!$B$3,$J2912=经营数据!$BA$5),COUNTIFS($P$2:$P$3000,1,$A$2:$A$3000,$A2912,$J$2:$J$3000,$J2912,$N$2:$N$3000,"&lt;"&amp;$N2912)+1,"")</f>
        <v/>
      </c>
      <c r="R2912" t="str">
        <f t="shared" si="683"/>
        <v/>
      </c>
      <c r="S2912">
        <f>IF($A2912="",0,IF(COUNTIF($R$2:$R2912,$R2912)=1,1,0))</f>
        <v>0</v>
      </c>
      <c r="T2912" t="str">
        <f t="shared" si="684"/>
        <v/>
      </c>
      <c r="U2912" t="str">
        <f>IF($A2912="","",IF($A2912=经营数据!$B$3,COUNTIFS($S$2:$S$3000,1,$A$2:$A$3000,$A2912,$T$2:$T$3000,"&lt;"&amp;$T2912)+1,""))</f>
        <v/>
      </c>
      <c r="V2912" t="str">
        <f t="shared" si="685"/>
        <v/>
      </c>
      <c r="W2912" t="str">
        <f t="shared" si="686"/>
        <v/>
      </c>
      <c r="X2912" t="str">
        <f t="shared" si="687"/>
        <v/>
      </c>
      <c r="Y2912" t="str">
        <f t="shared" si="688"/>
        <v/>
      </c>
      <c r="Z2912">
        <f>IF($A2912="",0,IF(AND($M2912=1,$A2912=经营数据!$B$3,$J2912=经营数据!$BA$5,OR($I2912=经营数据!$BA$4,COUNTIF(经营数据!$AA$9:$AA$38,$I2912)&gt;0)),1,0))</f>
        <v>0</v>
      </c>
      <c r="AA2912" t="str">
        <f t="shared" si="689"/>
        <v/>
      </c>
      <c r="AB2912" t="str">
        <f t="shared" si="690"/>
        <v/>
      </c>
      <c r="AC2912">
        <f>IF($A2912="",0,IF(COUNTIF($A$2:$A2912,$A2912)=1,1,0))</f>
        <v>0</v>
      </c>
      <c r="AD2912">
        <f t="shared" si="691"/>
        <v>29</v>
      </c>
      <c r="AE2912" t="str">
        <f t="shared" si="692"/>
        <v/>
      </c>
    </row>
    <row r="2913" spans="1:31" x14ac:dyDescent="0.4">
      <c r="A2913" t="str">
        <f>IF(原始经营数据!$D2914="","",原始经营数据!$D2914)</f>
        <v/>
      </c>
      <c r="B2913" t="str">
        <f>IF(原始经营数据!$D2914="","",T(原始经营数据!$E2914))</f>
        <v/>
      </c>
      <c r="C2913" t="str">
        <f>IF(原始经营数据!$D2914="","",原始经营数据!$F2914)</f>
        <v/>
      </c>
      <c r="D2913" t="str">
        <f>IF(原始经营数据!$D2914="","",原始经营数据!$H2914)</f>
        <v/>
      </c>
      <c r="E2913" t="str">
        <f>IF(原始经营数据!$D2914="","",原始经营数据!$I2914)</f>
        <v/>
      </c>
      <c r="F2913" t="str">
        <f>IF(原始经营数据!$D2914="","",T(原始经营数据!$J2914))</f>
        <v/>
      </c>
      <c r="G2913" t="str">
        <f>IF(原始经营数据!$D2914="","",T(原始经营数据!$K2914))</f>
        <v/>
      </c>
      <c r="H2913" t="str">
        <f>IF(原始经营数据!$D2914="","",原始经营数据!$G2914)</f>
        <v/>
      </c>
      <c r="I2913" t="str">
        <f>IF($A2913="","",IF($B2913&lt;&gt;"",$B2913,IF(COUNTIFS(原始经营数据!$D$3:$D$3001,$A2913,原始经营数据!$E$3:$E$3001,"",原始经营数据!$F$3:$F$3001,$C2913,原始经营数据!$H$3:$H$3001,$D2913,原始经营数据!$K$3:$K$3001,$G2913)&gt;1,"基金整体·来源"&amp;原始经营数据!$A2914,"基金整体")))</f>
        <v/>
      </c>
      <c r="J2913" t="str">
        <f t="shared" si="678"/>
        <v/>
      </c>
      <c r="K2913" t="str">
        <f t="shared" si="679"/>
        <v/>
      </c>
      <c r="L2913" t="str">
        <f t="shared" si="680"/>
        <v/>
      </c>
      <c r="M2913">
        <f>IF($A2913="",0,IF(COUNTIF($L$2:$L2913,$L2913)=1,1,0))</f>
        <v>0</v>
      </c>
      <c r="N2913" t="str">
        <f t="shared" si="681"/>
        <v/>
      </c>
      <c r="O2913" t="str">
        <f t="shared" si="682"/>
        <v/>
      </c>
      <c r="P2913">
        <f>IF($A2913="",0,IF(COUNTIF($O$2:$O2913,$O2913)=1,1,0))</f>
        <v>0</v>
      </c>
      <c r="Q2913" t="str">
        <f>IF(AND($P2913=1,$A2913=经营数据!$B$3,$J2913=经营数据!$BA$5),COUNTIFS($P$2:$P$3000,1,$A$2:$A$3000,$A2913,$J$2:$J$3000,$J2913,$N$2:$N$3000,"&lt;"&amp;$N2913)+1,"")</f>
        <v/>
      </c>
      <c r="R2913" t="str">
        <f t="shared" si="683"/>
        <v/>
      </c>
      <c r="S2913">
        <f>IF($A2913="",0,IF(COUNTIF($R$2:$R2913,$R2913)=1,1,0))</f>
        <v>0</v>
      </c>
      <c r="T2913" t="str">
        <f t="shared" si="684"/>
        <v/>
      </c>
      <c r="U2913" t="str">
        <f>IF($A2913="","",IF($A2913=经营数据!$B$3,COUNTIFS($S$2:$S$3000,1,$A$2:$A$3000,$A2913,$T$2:$T$3000,"&lt;"&amp;$T2913)+1,""))</f>
        <v/>
      </c>
      <c r="V2913" t="str">
        <f t="shared" si="685"/>
        <v/>
      </c>
      <c r="W2913" t="str">
        <f t="shared" si="686"/>
        <v/>
      </c>
      <c r="X2913" t="str">
        <f t="shared" si="687"/>
        <v/>
      </c>
      <c r="Y2913" t="str">
        <f t="shared" si="688"/>
        <v/>
      </c>
      <c r="Z2913">
        <f>IF($A2913="",0,IF(AND($M2913=1,$A2913=经营数据!$B$3,$J2913=经营数据!$BA$5,OR($I2913=经营数据!$BA$4,COUNTIF(经营数据!$AA$9:$AA$38,$I2913)&gt;0)),1,0))</f>
        <v>0</v>
      </c>
      <c r="AA2913" t="str">
        <f t="shared" si="689"/>
        <v/>
      </c>
      <c r="AB2913" t="str">
        <f t="shared" si="690"/>
        <v/>
      </c>
      <c r="AC2913">
        <f>IF($A2913="",0,IF(COUNTIF($A$2:$A2913,$A2913)=1,1,0))</f>
        <v>0</v>
      </c>
      <c r="AD2913">
        <f t="shared" si="691"/>
        <v>29</v>
      </c>
      <c r="AE2913" t="str">
        <f t="shared" si="692"/>
        <v/>
      </c>
    </row>
    <row r="2914" spans="1:31" x14ac:dyDescent="0.4">
      <c r="A2914" t="str">
        <f>IF(原始经营数据!$D2915="","",原始经营数据!$D2915)</f>
        <v/>
      </c>
      <c r="B2914" t="str">
        <f>IF(原始经营数据!$D2915="","",T(原始经营数据!$E2915))</f>
        <v/>
      </c>
      <c r="C2914" t="str">
        <f>IF(原始经营数据!$D2915="","",原始经营数据!$F2915)</f>
        <v/>
      </c>
      <c r="D2914" t="str">
        <f>IF(原始经营数据!$D2915="","",原始经营数据!$H2915)</f>
        <v/>
      </c>
      <c r="E2914" t="str">
        <f>IF(原始经营数据!$D2915="","",原始经营数据!$I2915)</f>
        <v/>
      </c>
      <c r="F2914" t="str">
        <f>IF(原始经营数据!$D2915="","",T(原始经营数据!$J2915))</f>
        <v/>
      </c>
      <c r="G2914" t="str">
        <f>IF(原始经营数据!$D2915="","",T(原始经营数据!$K2915))</f>
        <v/>
      </c>
      <c r="H2914" t="str">
        <f>IF(原始经营数据!$D2915="","",原始经营数据!$G2915)</f>
        <v/>
      </c>
      <c r="I2914" t="str">
        <f>IF($A2914="","",IF($B2914&lt;&gt;"",$B2914,IF(COUNTIFS(原始经营数据!$D$3:$D$3001,$A2914,原始经营数据!$E$3:$E$3001,"",原始经营数据!$F$3:$F$3001,$C2914,原始经营数据!$H$3:$H$3001,$D2914,原始经营数据!$K$3:$K$3001,$G2914)&gt;1,"基金整体·来源"&amp;原始经营数据!$A2915,"基金整体")))</f>
        <v/>
      </c>
      <c r="J2914" t="str">
        <f t="shared" si="678"/>
        <v/>
      </c>
      <c r="K2914" t="str">
        <f t="shared" si="679"/>
        <v/>
      </c>
      <c r="L2914" t="str">
        <f t="shared" si="680"/>
        <v/>
      </c>
      <c r="M2914">
        <f>IF($A2914="",0,IF(COUNTIF($L$2:$L2914,$L2914)=1,1,0))</f>
        <v>0</v>
      </c>
      <c r="N2914" t="str">
        <f t="shared" si="681"/>
        <v/>
      </c>
      <c r="O2914" t="str">
        <f t="shared" si="682"/>
        <v/>
      </c>
      <c r="P2914">
        <f>IF($A2914="",0,IF(COUNTIF($O$2:$O2914,$O2914)=1,1,0))</f>
        <v>0</v>
      </c>
      <c r="Q2914" t="str">
        <f>IF(AND($P2914=1,$A2914=经营数据!$B$3,$J2914=经营数据!$BA$5),COUNTIFS($P$2:$P$3000,1,$A$2:$A$3000,$A2914,$J$2:$J$3000,$J2914,$N$2:$N$3000,"&lt;"&amp;$N2914)+1,"")</f>
        <v/>
      </c>
      <c r="R2914" t="str">
        <f t="shared" si="683"/>
        <v/>
      </c>
      <c r="S2914">
        <f>IF($A2914="",0,IF(COUNTIF($R$2:$R2914,$R2914)=1,1,0))</f>
        <v>0</v>
      </c>
      <c r="T2914" t="str">
        <f t="shared" si="684"/>
        <v/>
      </c>
      <c r="U2914" t="str">
        <f>IF($A2914="","",IF($A2914=经营数据!$B$3,COUNTIFS($S$2:$S$3000,1,$A$2:$A$3000,$A2914,$T$2:$T$3000,"&lt;"&amp;$T2914)+1,""))</f>
        <v/>
      </c>
      <c r="V2914" t="str">
        <f t="shared" si="685"/>
        <v/>
      </c>
      <c r="W2914" t="str">
        <f t="shared" si="686"/>
        <v/>
      </c>
      <c r="X2914" t="str">
        <f t="shared" si="687"/>
        <v/>
      </c>
      <c r="Y2914" t="str">
        <f t="shared" si="688"/>
        <v/>
      </c>
      <c r="Z2914">
        <f>IF($A2914="",0,IF(AND($M2914=1,$A2914=经营数据!$B$3,$J2914=经营数据!$BA$5,OR($I2914=经营数据!$BA$4,COUNTIF(经营数据!$AA$9:$AA$38,$I2914)&gt;0)),1,0))</f>
        <v>0</v>
      </c>
      <c r="AA2914" t="str">
        <f t="shared" si="689"/>
        <v/>
      </c>
      <c r="AB2914" t="str">
        <f t="shared" si="690"/>
        <v/>
      </c>
      <c r="AC2914">
        <f>IF($A2914="",0,IF(COUNTIF($A$2:$A2914,$A2914)=1,1,0))</f>
        <v>0</v>
      </c>
      <c r="AD2914">
        <f t="shared" si="691"/>
        <v>29</v>
      </c>
      <c r="AE2914" t="str">
        <f t="shared" si="692"/>
        <v/>
      </c>
    </row>
    <row r="2915" spans="1:31" x14ac:dyDescent="0.4">
      <c r="A2915" t="str">
        <f>IF(原始经营数据!$D2916="","",原始经营数据!$D2916)</f>
        <v/>
      </c>
      <c r="B2915" t="str">
        <f>IF(原始经营数据!$D2916="","",T(原始经营数据!$E2916))</f>
        <v/>
      </c>
      <c r="C2915" t="str">
        <f>IF(原始经营数据!$D2916="","",原始经营数据!$F2916)</f>
        <v/>
      </c>
      <c r="D2915" t="str">
        <f>IF(原始经营数据!$D2916="","",原始经营数据!$H2916)</f>
        <v/>
      </c>
      <c r="E2915" t="str">
        <f>IF(原始经营数据!$D2916="","",原始经营数据!$I2916)</f>
        <v/>
      </c>
      <c r="F2915" t="str">
        <f>IF(原始经营数据!$D2916="","",T(原始经营数据!$J2916))</f>
        <v/>
      </c>
      <c r="G2915" t="str">
        <f>IF(原始经营数据!$D2916="","",T(原始经营数据!$K2916))</f>
        <v/>
      </c>
      <c r="H2915" t="str">
        <f>IF(原始经营数据!$D2916="","",原始经营数据!$G2916)</f>
        <v/>
      </c>
      <c r="I2915" t="str">
        <f>IF($A2915="","",IF($B2915&lt;&gt;"",$B2915,IF(COUNTIFS(原始经营数据!$D$3:$D$3001,$A2915,原始经营数据!$E$3:$E$3001,"",原始经营数据!$F$3:$F$3001,$C2915,原始经营数据!$H$3:$H$3001,$D2915,原始经营数据!$K$3:$K$3001,$G2915)&gt;1,"基金整体·来源"&amp;原始经营数据!$A2916,"基金整体")))</f>
        <v/>
      </c>
      <c r="J2915" t="str">
        <f t="shared" si="678"/>
        <v/>
      </c>
      <c r="K2915" t="str">
        <f t="shared" si="679"/>
        <v/>
      </c>
      <c r="L2915" t="str">
        <f t="shared" si="680"/>
        <v/>
      </c>
      <c r="M2915">
        <f>IF($A2915="",0,IF(COUNTIF($L$2:$L2915,$L2915)=1,1,0))</f>
        <v>0</v>
      </c>
      <c r="N2915" t="str">
        <f t="shared" si="681"/>
        <v/>
      </c>
      <c r="O2915" t="str">
        <f t="shared" si="682"/>
        <v/>
      </c>
      <c r="P2915">
        <f>IF($A2915="",0,IF(COUNTIF($O$2:$O2915,$O2915)=1,1,0))</f>
        <v>0</v>
      </c>
      <c r="Q2915" t="str">
        <f>IF(AND($P2915=1,$A2915=经营数据!$B$3,$J2915=经营数据!$BA$5),COUNTIFS($P$2:$P$3000,1,$A$2:$A$3000,$A2915,$J$2:$J$3000,$J2915,$N$2:$N$3000,"&lt;"&amp;$N2915)+1,"")</f>
        <v/>
      </c>
      <c r="R2915" t="str">
        <f t="shared" si="683"/>
        <v/>
      </c>
      <c r="S2915">
        <f>IF($A2915="",0,IF(COUNTIF($R$2:$R2915,$R2915)=1,1,0))</f>
        <v>0</v>
      </c>
      <c r="T2915" t="str">
        <f t="shared" si="684"/>
        <v/>
      </c>
      <c r="U2915" t="str">
        <f>IF($A2915="","",IF($A2915=经营数据!$B$3,COUNTIFS($S$2:$S$3000,1,$A$2:$A$3000,$A2915,$T$2:$T$3000,"&lt;"&amp;$T2915)+1,""))</f>
        <v/>
      </c>
      <c r="V2915" t="str">
        <f t="shared" si="685"/>
        <v/>
      </c>
      <c r="W2915" t="str">
        <f t="shared" si="686"/>
        <v/>
      </c>
      <c r="X2915" t="str">
        <f t="shared" si="687"/>
        <v/>
      </c>
      <c r="Y2915" t="str">
        <f t="shared" si="688"/>
        <v/>
      </c>
      <c r="Z2915">
        <f>IF($A2915="",0,IF(AND($M2915=1,$A2915=经营数据!$B$3,$J2915=经营数据!$BA$5,OR($I2915=经营数据!$BA$4,COUNTIF(经营数据!$AA$9:$AA$38,$I2915)&gt;0)),1,0))</f>
        <v>0</v>
      </c>
      <c r="AA2915" t="str">
        <f t="shared" si="689"/>
        <v/>
      </c>
      <c r="AB2915" t="str">
        <f t="shared" si="690"/>
        <v/>
      </c>
      <c r="AC2915">
        <f>IF($A2915="",0,IF(COUNTIF($A$2:$A2915,$A2915)=1,1,0))</f>
        <v>0</v>
      </c>
      <c r="AD2915">
        <f t="shared" si="691"/>
        <v>29</v>
      </c>
      <c r="AE2915" t="str">
        <f t="shared" si="692"/>
        <v/>
      </c>
    </row>
    <row r="2916" spans="1:31" x14ac:dyDescent="0.4">
      <c r="A2916" t="str">
        <f>IF(原始经营数据!$D2917="","",原始经营数据!$D2917)</f>
        <v/>
      </c>
      <c r="B2916" t="str">
        <f>IF(原始经营数据!$D2917="","",T(原始经营数据!$E2917))</f>
        <v/>
      </c>
      <c r="C2916" t="str">
        <f>IF(原始经营数据!$D2917="","",原始经营数据!$F2917)</f>
        <v/>
      </c>
      <c r="D2916" t="str">
        <f>IF(原始经营数据!$D2917="","",原始经营数据!$H2917)</f>
        <v/>
      </c>
      <c r="E2916" t="str">
        <f>IF(原始经营数据!$D2917="","",原始经营数据!$I2917)</f>
        <v/>
      </c>
      <c r="F2916" t="str">
        <f>IF(原始经营数据!$D2917="","",T(原始经营数据!$J2917))</f>
        <v/>
      </c>
      <c r="G2916" t="str">
        <f>IF(原始经营数据!$D2917="","",T(原始经营数据!$K2917))</f>
        <v/>
      </c>
      <c r="H2916" t="str">
        <f>IF(原始经营数据!$D2917="","",原始经营数据!$G2917)</f>
        <v/>
      </c>
      <c r="I2916" t="str">
        <f>IF($A2916="","",IF($B2916&lt;&gt;"",$B2916,IF(COUNTIFS(原始经营数据!$D$3:$D$3001,$A2916,原始经营数据!$E$3:$E$3001,"",原始经营数据!$F$3:$F$3001,$C2916,原始经营数据!$H$3:$H$3001,$D2916,原始经营数据!$K$3:$K$3001,$G2916)&gt;1,"基金整体·来源"&amp;原始经营数据!$A2917,"基金整体")))</f>
        <v/>
      </c>
      <c r="J2916" t="str">
        <f t="shared" si="678"/>
        <v/>
      </c>
      <c r="K2916" t="str">
        <f t="shared" si="679"/>
        <v/>
      </c>
      <c r="L2916" t="str">
        <f t="shared" si="680"/>
        <v/>
      </c>
      <c r="M2916">
        <f>IF($A2916="",0,IF(COUNTIF($L$2:$L2916,$L2916)=1,1,0))</f>
        <v>0</v>
      </c>
      <c r="N2916" t="str">
        <f t="shared" si="681"/>
        <v/>
      </c>
      <c r="O2916" t="str">
        <f t="shared" si="682"/>
        <v/>
      </c>
      <c r="P2916">
        <f>IF($A2916="",0,IF(COUNTIF($O$2:$O2916,$O2916)=1,1,0))</f>
        <v>0</v>
      </c>
      <c r="Q2916" t="str">
        <f>IF(AND($P2916=1,$A2916=经营数据!$B$3,$J2916=经营数据!$BA$5),COUNTIFS($P$2:$P$3000,1,$A$2:$A$3000,$A2916,$J$2:$J$3000,$J2916,$N$2:$N$3000,"&lt;"&amp;$N2916)+1,"")</f>
        <v/>
      </c>
      <c r="R2916" t="str">
        <f t="shared" si="683"/>
        <v/>
      </c>
      <c r="S2916">
        <f>IF($A2916="",0,IF(COUNTIF($R$2:$R2916,$R2916)=1,1,0))</f>
        <v>0</v>
      </c>
      <c r="T2916" t="str">
        <f t="shared" si="684"/>
        <v/>
      </c>
      <c r="U2916" t="str">
        <f>IF($A2916="","",IF($A2916=经营数据!$B$3,COUNTIFS($S$2:$S$3000,1,$A$2:$A$3000,$A2916,$T$2:$T$3000,"&lt;"&amp;$T2916)+1,""))</f>
        <v/>
      </c>
      <c r="V2916" t="str">
        <f t="shared" si="685"/>
        <v/>
      </c>
      <c r="W2916" t="str">
        <f t="shared" si="686"/>
        <v/>
      </c>
      <c r="X2916" t="str">
        <f t="shared" si="687"/>
        <v/>
      </c>
      <c r="Y2916" t="str">
        <f t="shared" si="688"/>
        <v/>
      </c>
      <c r="Z2916">
        <f>IF($A2916="",0,IF(AND($M2916=1,$A2916=经营数据!$B$3,$J2916=经营数据!$BA$5,OR($I2916=经营数据!$BA$4,COUNTIF(经营数据!$AA$9:$AA$38,$I2916)&gt;0)),1,0))</f>
        <v>0</v>
      </c>
      <c r="AA2916" t="str">
        <f t="shared" si="689"/>
        <v/>
      </c>
      <c r="AB2916" t="str">
        <f t="shared" si="690"/>
        <v/>
      </c>
      <c r="AC2916">
        <f>IF($A2916="",0,IF(COUNTIF($A$2:$A2916,$A2916)=1,1,0))</f>
        <v>0</v>
      </c>
      <c r="AD2916">
        <f t="shared" si="691"/>
        <v>29</v>
      </c>
      <c r="AE2916" t="str">
        <f t="shared" si="692"/>
        <v/>
      </c>
    </row>
    <row r="2917" spans="1:31" x14ac:dyDescent="0.4">
      <c r="A2917" t="str">
        <f>IF(原始经营数据!$D2918="","",原始经营数据!$D2918)</f>
        <v/>
      </c>
      <c r="B2917" t="str">
        <f>IF(原始经营数据!$D2918="","",T(原始经营数据!$E2918))</f>
        <v/>
      </c>
      <c r="C2917" t="str">
        <f>IF(原始经营数据!$D2918="","",原始经营数据!$F2918)</f>
        <v/>
      </c>
      <c r="D2917" t="str">
        <f>IF(原始经营数据!$D2918="","",原始经营数据!$H2918)</f>
        <v/>
      </c>
      <c r="E2917" t="str">
        <f>IF(原始经营数据!$D2918="","",原始经营数据!$I2918)</f>
        <v/>
      </c>
      <c r="F2917" t="str">
        <f>IF(原始经营数据!$D2918="","",T(原始经营数据!$J2918))</f>
        <v/>
      </c>
      <c r="G2917" t="str">
        <f>IF(原始经营数据!$D2918="","",T(原始经营数据!$K2918))</f>
        <v/>
      </c>
      <c r="H2917" t="str">
        <f>IF(原始经营数据!$D2918="","",原始经营数据!$G2918)</f>
        <v/>
      </c>
      <c r="I2917" t="str">
        <f>IF($A2917="","",IF($B2917&lt;&gt;"",$B2917,IF(COUNTIFS(原始经营数据!$D$3:$D$3001,$A2917,原始经营数据!$E$3:$E$3001,"",原始经营数据!$F$3:$F$3001,$C2917,原始经营数据!$H$3:$H$3001,$D2917,原始经营数据!$K$3:$K$3001,$G2917)&gt;1,"基金整体·来源"&amp;原始经营数据!$A2918,"基金整体")))</f>
        <v/>
      </c>
      <c r="J2917" t="str">
        <f t="shared" si="678"/>
        <v/>
      </c>
      <c r="K2917" t="str">
        <f t="shared" si="679"/>
        <v/>
      </c>
      <c r="L2917" t="str">
        <f t="shared" si="680"/>
        <v/>
      </c>
      <c r="M2917">
        <f>IF($A2917="",0,IF(COUNTIF($L$2:$L2917,$L2917)=1,1,0))</f>
        <v>0</v>
      </c>
      <c r="N2917" t="str">
        <f t="shared" si="681"/>
        <v/>
      </c>
      <c r="O2917" t="str">
        <f t="shared" si="682"/>
        <v/>
      </c>
      <c r="P2917">
        <f>IF($A2917="",0,IF(COUNTIF($O$2:$O2917,$O2917)=1,1,0))</f>
        <v>0</v>
      </c>
      <c r="Q2917" t="str">
        <f>IF(AND($P2917=1,$A2917=经营数据!$B$3,$J2917=经营数据!$BA$5),COUNTIFS($P$2:$P$3000,1,$A$2:$A$3000,$A2917,$J$2:$J$3000,$J2917,$N$2:$N$3000,"&lt;"&amp;$N2917)+1,"")</f>
        <v/>
      </c>
      <c r="R2917" t="str">
        <f t="shared" si="683"/>
        <v/>
      </c>
      <c r="S2917">
        <f>IF($A2917="",0,IF(COUNTIF($R$2:$R2917,$R2917)=1,1,0))</f>
        <v>0</v>
      </c>
      <c r="T2917" t="str">
        <f t="shared" si="684"/>
        <v/>
      </c>
      <c r="U2917" t="str">
        <f>IF($A2917="","",IF($A2917=经营数据!$B$3,COUNTIFS($S$2:$S$3000,1,$A$2:$A$3000,$A2917,$T$2:$T$3000,"&lt;"&amp;$T2917)+1,""))</f>
        <v/>
      </c>
      <c r="V2917" t="str">
        <f t="shared" si="685"/>
        <v/>
      </c>
      <c r="W2917" t="str">
        <f t="shared" si="686"/>
        <v/>
      </c>
      <c r="X2917" t="str">
        <f t="shared" si="687"/>
        <v/>
      </c>
      <c r="Y2917" t="str">
        <f t="shared" si="688"/>
        <v/>
      </c>
      <c r="Z2917">
        <f>IF($A2917="",0,IF(AND($M2917=1,$A2917=经营数据!$B$3,$J2917=经营数据!$BA$5,OR($I2917=经营数据!$BA$4,COUNTIF(经营数据!$AA$9:$AA$38,$I2917)&gt;0)),1,0))</f>
        <v>0</v>
      </c>
      <c r="AA2917" t="str">
        <f t="shared" si="689"/>
        <v/>
      </c>
      <c r="AB2917" t="str">
        <f t="shared" si="690"/>
        <v/>
      </c>
      <c r="AC2917">
        <f>IF($A2917="",0,IF(COUNTIF($A$2:$A2917,$A2917)=1,1,0))</f>
        <v>0</v>
      </c>
      <c r="AD2917">
        <f t="shared" si="691"/>
        <v>29</v>
      </c>
      <c r="AE2917" t="str">
        <f t="shared" si="692"/>
        <v/>
      </c>
    </row>
    <row r="2918" spans="1:31" x14ac:dyDescent="0.4">
      <c r="A2918" t="str">
        <f>IF(原始经营数据!$D2919="","",原始经营数据!$D2919)</f>
        <v/>
      </c>
      <c r="B2918" t="str">
        <f>IF(原始经营数据!$D2919="","",T(原始经营数据!$E2919))</f>
        <v/>
      </c>
      <c r="C2918" t="str">
        <f>IF(原始经营数据!$D2919="","",原始经营数据!$F2919)</f>
        <v/>
      </c>
      <c r="D2918" t="str">
        <f>IF(原始经营数据!$D2919="","",原始经营数据!$H2919)</f>
        <v/>
      </c>
      <c r="E2918" t="str">
        <f>IF(原始经营数据!$D2919="","",原始经营数据!$I2919)</f>
        <v/>
      </c>
      <c r="F2918" t="str">
        <f>IF(原始经营数据!$D2919="","",T(原始经营数据!$J2919))</f>
        <v/>
      </c>
      <c r="G2918" t="str">
        <f>IF(原始经营数据!$D2919="","",T(原始经营数据!$K2919))</f>
        <v/>
      </c>
      <c r="H2918" t="str">
        <f>IF(原始经营数据!$D2919="","",原始经营数据!$G2919)</f>
        <v/>
      </c>
      <c r="I2918" t="str">
        <f>IF($A2918="","",IF($B2918&lt;&gt;"",$B2918,IF(COUNTIFS(原始经营数据!$D$3:$D$3001,$A2918,原始经营数据!$E$3:$E$3001,"",原始经营数据!$F$3:$F$3001,$C2918,原始经营数据!$H$3:$H$3001,$D2918,原始经营数据!$K$3:$K$3001,$G2918)&gt;1,"基金整体·来源"&amp;原始经营数据!$A2919,"基金整体")))</f>
        <v/>
      </c>
      <c r="J2918" t="str">
        <f t="shared" si="678"/>
        <v/>
      </c>
      <c r="K2918" t="str">
        <f t="shared" si="679"/>
        <v/>
      </c>
      <c r="L2918" t="str">
        <f t="shared" si="680"/>
        <v/>
      </c>
      <c r="M2918">
        <f>IF($A2918="",0,IF(COUNTIF($L$2:$L2918,$L2918)=1,1,0))</f>
        <v>0</v>
      </c>
      <c r="N2918" t="str">
        <f t="shared" si="681"/>
        <v/>
      </c>
      <c r="O2918" t="str">
        <f t="shared" si="682"/>
        <v/>
      </c>
      <c r="P2918">
        <f>IF($A2918="",0,IF(COUNTIF($O$2:$O2918,$O2918)=1,1,0))</f>
        <v>0</v>
      </c>
      <c r="Q2918" t="str">
        <f>IF(AND($P2918=1,$A2918=经营数据!$B$3,$J2918=经营数据!$BA$5),COUNTIFS($P$2:$P$3000,1,$A$2:$A$3000,$A2918,$J$2:$J$3000,$J2918,$N$2:$N$3000,"&lt;"&amp;$N2918)+1,"")</f>
        <v/>
      </c>
      <c r="R2918" t="str">
        <f t="shared" si="683"/>
        <v/>
      </c>
      <c r="S2918">
        <f>IF($A2918="",0,IF(COUNTIF($R$2:$R2918,$R2918)=1,1,0))</f>
        <v>0</v>
      </c>
      <c r="T2918" t="str">
        <f t="shared" si="684"/>
        <v/>
      </c>
      <c r="U2918" t="str">
        <f>IF($A2918="","",IF($A2918=经营数据!$B$3,COUNTIFS($S$2:$S$3000,1,$A$2:$A$3000,$A2918,$T$2:$T$3000,"&lt;"&amp;$T2918)+1,""))</f>
        <v/>
      </c>
      <c r="V2918" t="str">
        <f t="shared" si="685"/>
        <v/>
      </c>
      <c r="W2918" t="str">
        <f t="shared" si="686"/>
        <v/>
      </c>
      <c r="X2918" t="str">
        <f t="shared" si="687"/>
        <v/>
      </c>
      <c r="Y2918" t="str">
        <f t="shared" si="688"/>
        <v/>
      </c>
      <c r="Z2918">
        <f>IF($A2918="",0,IF(AND($M2918=1,$A2918=经营数据!$B$3,$J2918=经营数据!$BA$5,OR($I2918=经营数据!$BA$4,COUNTIF(经营数据!$AA$9:$AA$38,$I2918)&gt;0)),1,0))</f>
        <v>0</v>
      </c>
      <c r="AA2918" t="str">
        <f t="shared" si="689"/>
        <v/>
      </c>
      <c r="AB2918" t="str">
        <f t="shared" si="690"/>
        <v/>
      </c>
      <c r="AC2918">
        <f>IF($A2918="",0,IF(COUNTIF($A$2:$A2918,$A2918)=1,1,0))</f>
        <v>0</v>
      </c>
      <c r="AD2918">
        <f t="shared" si="691"/>
        <v>29</v>
      </c>
      <c r="AE2918" t="str">
        <f t="shared" si="692"/>
        <v/>
      </c>
    </row>
    <row r="2919" spans="1:31" x14ac:dyDescent="0.4">
      <c r="A2919" t="str">
        <f>IF(原始经营数据!$D2920="","",原始经营数据!$D2920)</f>
        <v/>
      </c>
      <c r="B2919" t="str">
        <f>IF(原始经营数据!$D2920="","",T(原始经营数据!$E2920))</f>
        <v/>
      </c>
      <c r="C2919" t="str">
        <f>IF(原始经营数据!$D2920="","",原始经营数据!$F2920)</f>
        <v/>
      </c>
      <c r="D2919" t="str">
        <f>IF(原始经营数据!$D2920="","",原始经营数据!$H2920)</f>
        <v/>
      </c>
      <c r="E2919" t="str">
        <f>IF(原始经营数据!$D2920="","",原始经营数据!$I2920)</f>
        <v/>
      </c>
      <c r="F2919" t="str">
        <f>IF(原始经营数据!$D2920="","",T(原始经营数据!$J2920))</f>
        <v/>
      </c>
      <c r="G2919" t="str">
        <f>IF(原始经营数据!$D2920="","",T(原始经营数据!$K2920))</f>
        <v/>
      </c>
      <c r="H2919" t="str">
        <f>IF(原始经营数据!$D2920="","",原始经营数据!$G2920)</f>
        <v/>
      </c>
      <c r="I2919" t="str">
        <f>IF($A2919="","",IF($B2919&lt;&gt;"",$B2919,IF(COUNTIFS(原始经营数据!$D$3:$D$3001,$A2919,原始经营数据!$E$3:$E$3001,"",原始经营数据!$F$3:$F$3001,$C2919,原始经营数据!$H$3:$H$3001,$D2919,原始经营数据!$K$3:$K$3001,$G2919)&gt;1,"基金整体·来源"&amp;原始经营数据!$A2920,"基金整体")))</f>
        <v/>
      </c>
      <c r="J2919" t="str">
        <f t="shared" si="678"/>
        <v/>
      </c>
      <c r="K2919" t="str">
        <f t="shared" si="679"/>
        <v/>
      </c>
      <c r="L2919" t="str">
        <f t="shared" si="680"/>
        <v/>
      </c>
      <c r="M2919">
        <f>IF($A2919="",0,IF(COUNTIF($L$2:$L2919,$L2919)=1,1,0))</f>
        <v>0</v>
      </c>
      <c r="N2919" t="str">
        <f t="shared" si="681"/>
        <v/>
      </c>
      <c r="O2919" t="str">
        <f t="shared" si="682"/>
        <v/>
      </c>
      <c r="P2919">
        <f>IF($A2919="",0,IF(COUNTIF($O$2:$O2919,$O2919)=1,1,0))</f>
        <v>0</v>
      </c>
      <c r="Q2919" t="str">
        <f>IF(AND($P2919=1,$A2919=经营数据!$B$3,$J2919=经营数据!$BA$5),COUNTIFS($P$2:$P$3000,1,$A$2:$A$3000,$A2919,$J$2:$J$3000,$J2919,$N$2:$N$3000,"&lt;"&amp;$N2919)+1,"")</f>
        <v/>
      </c>
      <c r="R2919" t="str">
        <f t="shared" si="683"/>
        <v/>
      </c>
      <c r="S2919">
        <f>IF($A2919="",0,IF(COUNTIF($R$2:$R2919,$R2919)=1,1,0))</f>
        <v>0</v>
      </c>
      <c r="T2919" t="str">
        <f t="shared" si="684"/>
        <v/>
      </c>
      <c r="U2919" t="str">
        <f>IF($A2919="","",IF($A2919=经营数据!$B$3,COUNTIFS($S$2:$S$3000,1,$A$2:$A$3000,$A2919,$T$2:$T$3000,"&lt;"&amp;$T2919)+1,""))</f>
        <v/>
      </c>
      <c r="V2919" t="str">
        <f t="shared" si="685"/>
        <v/>
      </c>
      <c r="W2919" t="str">
        <f t="shared" si="686"/>
        <v/>
      </c>
      <c r="X2919" t="str">
        <f t="shared" si="687"/>
        <v/>
      </c>
      <c r="Y2919" t="str">
        <f t="shared" si="688"/>
        <v/>
      </c>
      <c r="Z2919">
        <f>IF($A2919="",0,IF(AND($M2919=1,$A2919=经营数据!$B$3,$J2919=经营数据!$BA$5,OR($I2919=经营数据!$BA$4,COUNTIF(经营数据!$AA$9:$AA$38,$I2919)&gt;0)),1,0))</f>
        <v>0</v>
      </c>
      <c r="AA2919" t="str">
        <f t="shared" si="689"/>
        <v/>
      </c>
      <c r="AB2919" t="str">
        <f t="shared" si="690"/>
        <v/>
      </c>
      <c r="AC2919">
        <f>IF($A2919="",0,IF(COUNTIF($A$2:$A2919,$A2919)=1,1,0))</f>
        <v>0</v>
      </c>
      <c r="AD2919">
        <f t="shared" si="691"/>
        <v>29</v>
      </c>
      <c r="AE2919" t="str">
        <f t="shared" si="692"/>
        <v/>
      </c>
    </row>
    <row r="2920" spans="1:31" x14ac:dyDescent="0.4">
      <c r="A2920" t="str">
        <f>IF(原始经营数据!$D2921="","",原始经营数据!$D2921)</f>
        <v/>
      </c>
      <c r="B2920" t="str">
        <f>IF(原始经营数据!$D2921="","",T(原始经营数据!$E2921))</f>
        <v/>
      </c>
      <c r="C2920" t="str">
        <f>IF(原始经营数据!$D2921="","",原始经营数据!$F2921)</f>
        <v/>
      </c>
      <c r="D2920" t="str">
        <f>IF(原始经营数据!$D2921="","",原始经营数据!$H2921)</f>
        <v/>
      </c>
      <c r="E2920" t="str">
        <f>IF(原始经营数据!$D2921="","",原始经营数据!$I2921)</f>
        <v/>
      </c>
      <c r="F2920" t="str">
        <f>IF(原始经营数据!$D2921="","",T(原始经营数据!$J2921))</f>
        <v/>
      </c>
      <c r="G2920" t="str">
        <f>IF(原始经营数据!$D2921="","",T(原始经营数据!$K2921))</f>
        <v/>
      </c>
      <c r="H2920" t="str">
        <f>IF(原始经营数据!$D2921="","",原始经营数据!$G2921)</f>
        <v/>
      </c>
      <c r="I2920" t="str">
        <f>IF($A2920="","",IF($B2920&lt;&gt;"",$B2920,IF(COUNTIFS(原始经营数据!$D$3:$D$3001,$A2920,原始经营数据!$E$3:$E$3001,"",原始经营数据!$F$3:$F$3001,$C2920,原始经营数据!$H$3:$H$3001,$D2920,原始经营数据!$K$3:$K$3001,$G2920)&gt;1,"基金整体·来源"&amp;原始经营数据!$A2921,"基金整体")))</f>
        <v/>
      </c>
      <c r="J2920" t="str">
        <f t="shared" si="678"/>
        <v/>
      </c>
      <c r="K2920" t="str">
        <f t="shared" si="679"/>
        <v/>
      </c>
      <c r="L2920" t="str">
        <f t="shared" si="680"/>
        <v/>
      </c>
      <c r="M2920">
        <f>IF($A2920="",0,IF(COUNTIF($L$2:$L2920,$L2920)=1,1,0))</f>
        <v>0</v>
      </c>
      <c r="N2920" t="str">
        <f t="shared" si="681"/>
        <v/>
      </c>
      <c r="O2920" t="str">
        <f t="shared" si="682"/>
        <v/>
      </c>
      <c r="P2920">
        <f>IF($A2920="",0,IF(COUNTIF($O$2:$O2920,$O2920)=1,1,0))</f>
        <v>0</v>
      </c>
      <c r="Q2920" t="str">
        <f>IF(AND($P2920=1,$A2920=经营数据!$B$3,$J2920=经营数据!$BA$5),COUNTIFS($P$2:$P$3000,1,$A$2:$A$3000,$A2920,$J$2:$J$3000,$J2920,$N$2:$N$3000,"&lt;"&amp;$N2920)+1,"")</f>
        <v/>
      </c>
      <c r="R2920" t="str">
        <f t="shared" si="683"/>
        <v/>
      </c>
      <c r="S2920">
        <f>IF($A2920="",0,IF(COUNTIF($R$2:$R2920,$R2920)=1,1,0))</f>
        <v>0</v>
      </c>
      <c r="T2920" t="str">
        <f t="shared" si="684"/>
        <v/>
      </c>
      <c r="U2920" t="str">
        <f>IF($A2920="","",IF($A2920=经营数据!$B$3,COUNTIFS($S$2:$S$3000,1,$A$2:$A$3000,$A2920,$T$2:$T$3000,"&lt;"&amp;$T2920)+1,""))</f>
        <v/>
      </c>
      <c r="V2920" t="str">
        <f t="shared" si="685"/>
        <v/>
      </c>
      <c r="W2920" t="str">
        <f t="shared" si="686"/>
        <v/>
      </c>
      <c r="X2920" t="str">
        <f t="shared" si="687"/>
        <v/>
      </c>
      <c r="Y2920" t="str">
        <f t="shared" si="688"/>
        <v/>
      </c>
      <c r="Z2920">
        <f>IF($A2920="",0,IF(AND($M2920=1,$A2920=经营数据!$B$3,$J2920=经营数据!$BA$5,OR($I2920=经营数据!$BA$4,COUNTIF(经营数据!$AA$9:$AA$38,$I2920)&gt;0)),1,0))</f>
        <v>0</v>
      </c>
      <c r="AA2920" t="str">
        <f t="shared" si="689"/>
        <v/>
      </c>
      <c r="AB2920" t="str">
        <f t="shared" si="690"/>
        <v/>
      </c>
      <c r="AC2920">
        <f>IF($A2920="",0,IF(COUNTIF($A$2:$A2920,$A2920)=1,1,0))</f>
        <v>0</v>
      </c>
      <c r="AD2920">
        <f t="shared" si="691"/>
        <v>29</v>
      </c>
      <c r="AE2920" t="str">
        <f t="shared" si="692"/>
        <v/>
      </c>
    </row>
    <row r="2921" spans="1:31" x14ac:dyDescent="0.4">
      <c r="A2921" t="str">
        <f>IF(原始经营数据!$D2922="","",原始经营数据!$D2922)</f>
        <v/>
      </c>
      <c r="B2921" t="str">
        <f>IF(原始经营数据!$D2922="","",T(原始经营数据!$E2922))</f>
        <v/>
      </c>
      <c r="C2921" t="str">
        <f>IF(原始经营数据!$D2922="","",原始经营数据!$F2922)</f>
        <v/>
      </c>
      <c r="D2921" t="str">
        <f>IF(原始经营数据!$D2922="","",原始经营数据!$H2922)</f>
        <v/>
      </c>
      <c r="E2921" t="str">
        <f>IF(原始经营数据!$D2922="","",原始经营数据!$I2922)</f>
        <v/>
      </c>
      <c r="F2921" t="str">
        <f>IF(原始经营数据!$D2922="","",T(原始经营数据!$J2922))</f>
        <v/>
      </c>
      <c r="G2921" t="str">
        <f>IF(原始经营数据!$D2922="","",T(原始经营数据!$K2922))</f>
        <v/>
      </c>
      <c r="H2921" t="str">
        <f>IF(原始经营数据!$D2922="","",原始经营数据!$G2922)</f>
        <v/>
      </c>
      <c r="I2921" t="str">
        <f>IF($A2921="","",IF($B2921&lt;&gt;"",$B2921,IF(COUNTIFS(原始经营数据!$D$3:$D$3001,$A2921,原始经营数据!$E$3:$E$3001,"",原始经营数据!$F$3:$F$3001,$C2921,原始经营数据!$H$3:$H$3001,$D2921,原始经营数据!$K$3:$K$3001,$G2921)&gt;1,"基金整体·来源"&amp;原始经营数据!$A2922,"基金整体")))</f>
        <v/>
      </c>
      <c r="J2921" t="str">
        <f t="shared" si="678"/>
        <v/>
      </c>
      <c r="K2921" t="str">
        <f t="shared" si="679"/>
        <v/>
      </c>
      <c r="L2921" t="str">
        <f t="shared" si="680"/>
        <v/>
      </c>
      <c r="M2921">
        <f>IF($A2921="",0,IF(COUNTIF($L$2:$L2921,$L2921)=1,1,0))</f>
        <v>0</v>
      </c>
      <c r="N2921" t="str">
        <f t="shared" si="681"/>
        <v/>
      </c>
      <c r="O2921" t="str">
        <f t="shared" si="682"/>
        <v/>
      </c>
      <c r="P2921">
        <f>IF($A2921="",0,IF(COUNTIF($O$2:$O2921,$O2921)=1,1,0))</f>
        <v>0</v>
      </c>
      <c r="Q2921" t="str">
        <f>IF(AND($P2921=1,$A2921=经营数据!$B$3,$J2921=经营数据!$BA$5),COUNTIFS($P$2:$P$3000,1,$A$2:$A$3000,$A2921,$J$2:$J$3000,$J2921,$N$2:$N$3000,"&lt;"&amp;$N2921)+1,"")</f>
        <v/>
      </c>
      <c r="R2921" t="str">
        <f t="shared" si="683"/>
        <v/>
      </c>
      <c r="S2921">
        <f>IF($A2921="",0,IF(COUNTIF($R$2:$R2921,$R2921)=1,1,0))</f>
        <v>0</v>
      </c>
      <c r="T2921" t="str">
        <f t="shared" si="684"/>
        <v/>
      </c>
      <c r="U2921" t="str">
        <f>IF($A2921="","",IF($A2921=经营数据!$B$3,COUNTIFS($S$2:$S$3000,1,$A$2:$A$3000,$A2921,$T$2:$T$3000,"&lt;"&amp;$T2921)+1,""))</f>
        <v/>
      </c>
      <c r="V2921" t="str">
        <f t="shared" si="685"/>
        <v/>
      </c>
      <c r="W2921" t="str">
        <f t="shared" si="686"/>
        <v/>
      </c>
      <c r="X2921" t="str">
        <f t="shared" si="687"/>
        <v/>
      </c>
      <c r="Y2921" t="str">
        <f t="shared" si="688"/>
        <v/>
      </c>
      <c r="Z2921">
        <f>IF($A2921="",0,IF(AND($M2921=1,$A2921=经营数据!$B$3,$J2921=经营数据!$BA$5,OR($I2921=经营数据!$BA$4,COUNTIF(经营数据!$AA$9:$AA$38,$I2921)&gt;0)),1,0))</f>
        <v>0</v>
      </c>
      <c r="AA2921" t="str">
        <f t="shared" si="689"/>
        <v/>
      </c>
      <c r="AB2921" t="str">
        <f t="shared" si="690"/>
        <v/>
      </c>
      <c r="AC2921">
        <f>IF($A2921="",0,IF(COUNTIF($A$2:$A2921,$A2921)=1,1,0))</f>
        <v>0</v>
      </c>
      <c r="AD2921">
        <f t="shared" si="691"/>
        <v>29</v>
      </c>
      <c r="AE2921" t="str">
        <f t="shared" si="692"/>
        <v/>
      </c>
    </row>
    <row r="2922" spans="1:31" x14ac:dyDescent="0.4">
      <c r="A2922" t="str">
        <f>IF(原始经营数据!$D2923="","",原始经营数据!$D2923)</f>
        <v/>
      </c>
      <c r="B2922" t="str">
        <f>IF(原始经营数据!$D2923="","",T(原始经营数据!$E2923))</f>
        <v/>
      </c>
      <c r="C2922" t="str">
        <f>IF(原始经营数据!$D2923="","",原始经营数据!$F2923)</f>
        <v/>
      </c>
      <c r="D2922" t="str">
        <f>IF(原始经营数据!$D2923="","",原始经营数据!$H2923)</f>
        <v/>
      </c>
      <c r="E2922" t="str">
        <f>IF(原始经营数据!$D2923="","",原始经营数据!$I2923)</f>
        <v/>
      </c>
      <c r="F2922" t="str">
        <f>IF(原始经营数据!$D2923="","",T(原始经营数据!$J2923))</f>
        <v/>
      </c>
      <c r="G2922" t="str">
        <f>IF(原始经营数据!$D2923="","",T(原始经营数据!$K2923))</f>
        <v/>
      </c>
      <c r="H2922" t="str">
        <f>IF(原始经营数据!$D2923="","",原始经营数据!$G2923)</f>
        <v/>
      </c>
      <c r="I2922" t="str">
        <f>IF($A2922="","",IF($B2922&lt;&gt;"",$B2922,IF(COUNTIFS(原始经营数据!$D$3:$D$3001,$A2922,原始经营数据!$E$3:$E$3001,"",原始经营数据!$F$3:$F$3001,$C2922,原始经营数据!$H$3:$H$3001,$D2922,原始经营数据!$K$3:$K$3001,$G2922)&gt;1,"基金整体·来源"&amp;原始经营数据!$A2923,"基金整体")))</f>
        <v/>
      </c>
      <c r="J2922" t="str">
        <f t="shared" si="678"/>
        <v/>
      </c>
      <c r="K2922" t="str">
        <f t="shared" si="679"/>
        <v/>
      </c>
      <c r="L2922" t="str">
        <f t="shared" si="680"/>
        <v/>
      </c>
      <c r="M2922">
        <f>IF($A2922="",0,IF(COUNTIF($L$2:$L2922,$L2922)=1,1,0))</f>
        <v>0</v>
      </c>
      <c r="N2922" t="str">
        <f t="shared" si="681"/>
        <v/>
      </c>
      <c r="O2922" t="str">
        <f t="shared" si="682"/>
        <v/>
      </c>
      <c r="P2922">
        <f>IF($A2922="",0,IF(COUNTIF($O$2:$O2922,$O2922)=1,1,0))</f>
        <v>0</v>
      </c>
      <c r="Q2922" t="str">
        <f>IF(AND($P2922=1,$A2922=经营数据!$B$3,$J2922=经营数据!$BA$5),COUNTIFS($P$2:$P$3000,1,$A$2:$A$3000,$A2922,$J$2:$J$3000,$J2922,$N$2:$N$3000,"&lt;"&amp;$N2922)+1,"")</f>
        <v/>
      </c>
      <c r="R2922" t="str">
        <f t="shared" si="683"/>
        <v/>
      </c>
      <c r="S2922">
        <f>IF($A2922="",0,IF(COUNTIF($R$2:$R2922,$R2922)=1,1,0))</f>
        <v>0</v>
      </c>
      <c r="T2922" t="str">
        <f t="shared" si="684"/>
        <v/>
      </c>
      <c r="U2922" t="str">
        <f>IF($A2922="","",IF($A2922=经营数据!$B$3,COUNTIFS($S$2:$S$3000,1,$A$2:$A$3000,$A2922,$T$2:$T$3000,"&lt;"&amp;$T2922)+1,""))</f>
        <v/>
      </c>
      <c r="V2922" t="str">
        <f t="shared" si="685"/>
        <v/>
      </c>
      <c r="W2922" t="str">
        <f t="shared" si="686"/>
        <v/>
      </c>
      <c r="X2922" t="str">
        <f t="shared" si="687"/>
        <v/>
      </c>
      <c r="Y2922" t="str">
        <f t="shared" si="688"/>
        <v/>
      </c>
      <c r="Z2922">
        <f>IF($A2922="",0,IF(AND($M2922=1,$A2922=经营数据!$B$3,$J2922=经营数据!$BA$5,OR($I2922=经营数据!$BA$4,COUNTIF(经营数据!$AA$9:$AA$38,$I2922)&gt;0)),1,0))</f>
        <v>0</v>
      </c>
      <c r="AA2922" t="str">
        <f t="shared" si="689"/>
        <v/>
      </c>
      <c r="AB2922" t="str">
        <f t="shared" si="690"/>
        <v/>
      </c>
      <c r="AC2922">
        <f>IF($A2922="",0,IF(COUNTIF($A$2:$A2922,$A2922)=1,1,0))</f>
        <v>0</v>
      </c>
      <c r="AD2922">
        <f t="shared" si="691"/>
        <v>29</v>
      </c>
      <c r="AE2922" t="str">
        <f t="shared" si="692"/>
        <v/>
      </c>
    </row>
    <row r="2923" spans="1:31" x14ac:dyDescent="0.4">
      <c r="A2923" t="str">
        <f>IF(原始经营数据!$D2924="","",原始经营数据!$D2924)</f>
        <v/>
      </c>
      <c r="B2923" t="str">
        <f>IF(原始经营数据!$D2924="","",T(原始经营数据!$E2924))</f>
        <v/>
      </c>
      <c r="C2923" t="str">
        <f>IF(原始经营数据!$D2924="","",原始经营数据!$F2924)</f>
        <v/>
      </c>
      <c r="D2923" t="str">
        <f>IF(原始经营数据!$D2924="","",原始经营数据!$H2924)</f>
        <v/>
      </c>
      <c r="E2923" t="str">
        <f>IF(原始经营数据!$D2924="","",原始经营数据!$I2924)</f>
        <v/>
      </c>
      <c r="F2923" t="str">
        <f>IF(原始经营数据!$D2924="","",T(原始经营数据!$J2924))</f>
        <v/>
      </c>
      <c r="G2923" t="str">
        <f>IF(原始经营数据!$D2924="","",T(原始经营数据!$K2924))</f>
        <v/>
      </c>
      <c r="H2923" t="str">
        <f>IF(原始经营数据!$D2924="","",原始经营数据!$G2924)</f>
        <v/>
      </c>
      <c r="I2923" t="str">
        <f>IF($A2923="","",IF($B2923&lt;&gt;"",$B2923,IF(COUNTIFS(原始经营数据!$D$3:$D$3001,$A2923,原始经营数据!$E$3:$E$3001,"",原始经营数据!$F$3:$F$3001,$C2923,原始经营数据!$H$3:$H$3001,$D2923,原始经营数据!$K$3:$K$3001,$G2923)&gt;1,"基金整体·来源"&amp;原始经营数据!$A2924,"基金整体")))</f>
        <v/>
      </c>
      <c r="J2923" t="str">
        <f t="shared" si="678"/>
        <v/>
      </c>
      <c r="K2923" t="str">
        <f t="shared" si="679"/>
        <v/>
      </c>
      <c r="L2923" t="str">
        <f t="shared" si="680"/>
        <v/>
      </c>
      <c r="M2923">
        <f>IF($A2923="",0,IF(COUNTIF($L$2:$L2923,$L2923)=1,1,0))</f>
        <v>0</v>
      </c>
      <c r="N2923" t="str">
        <f t="shared" si="681"/>
        <v/>
      </c>
      <c r="O2923" t="str">
        <f t="shared" si="682"/>
        <v/>
      </c>
      <c r="P2923">
        <f>IF($A2923="",0,IF(COUNTIF($O$2:$O2923,$O2923)=1,1,0))</f>
        <v>0</v>
      </c>
      <c r="Q2923" t="str">
        <f>IF(AND($P2923=1,$A2923=经营数据!$B$3,$J2923=经营数据!$BA$5),COUNTIFS($P$2:$P$3000,1,$A$2:$A$3000,$A2923,$J$2:$J$3000,$J2923,$N$2:$N$3000,"&lt;"&amp;$N2923)+1,"")</f>
        <v/>
      </c>
      <c r="R2923" t="str">
        <f t="shared" si="683"/>
        <v/>
      </c>
      <c r="S2923">
        <f>IF($A2923="",0,IF(COUNTIF($R$2:$R2923,$R2923)=1,1,0))</f>
        <v>0</v>
      </c>
      <c r="T2923" t="str">
        <f t="shared" si="684"/>
        <v/>
      </c>
      <c r="U2923" t="str">
        <f>IF($A2923="","",IF($A2923=经营数据!$B$3,COUNTIFS($S$2:$S$3000,1,$A$2:$A$3000,$A2923,$T$2:$T$3000,"&lt;"&amp;$T2923)+1,""))</f>
        <v/>
      </c>
      <c r="V2923" t="str">
        <f t="shared" si="685"/>
        <v/>
      </c>
      <c r="W2923" t="str">
        <f t="shared" si="686"/>
        <v/>
      </c>
      <c r="X2923" t="str">
        <f t="shared" si="687"/>
        <v/>
      </c>
      <c r="Y2923" t="str">
        <f t="shared" si="688"/>
        <v/>
      </c>
      <c r="Z2923">
        <f>IF($A2923="",0,IF(AND($M2923=1,$A2923=经营数据!$B$3,$J2923=经营数据!$BA$5,OR($I2923=经营数据!$BA$4,COUNTIF(经营数据!$AA$9:$AA$38,$I2923)&gt;0)),1,0))</f>
        <v>0</v>
      </c>
      <c r="AA2923" t="str">
        <f t="shared" si="689"/>
        <v/>
      </c>
      <c r="AB2923" t="str">
        <f t="shared" si="690"/>
        <v/>
      </c>
      <c r="AC2923">
        <f>IF($A2923="",0,IF(COUNTIF($A$2:$A2923,$A2923)=1,1,0))</f>
        <v>0</v>
      </c>
      <c r="AD2923">
        <f t="shared" si="691"/>
        <v>29</v>
      </c>
      <c r="AE2923" t="str">
        <f t="shared" si="692"/>
        <v/>
      </c>
    </row>
    <row r="2924" spans="1:31" x14ac:dyDescent="0.4">
      <c r="A2924" t="str">
        <f>IF(原始经营数据!$D2925="","",原始经营数据!$D2925)</f>
        <v/>
      </c>
      <c r="B2924" t="str">
        <f>IF(原始经营数据!$D2925="","",T(原始经营数据!$E2925))</f>
        <v/>
      </c>
      <c r="C2924" t="str">
        <f>IF(原始经营数据!$D2925="","",原始经营数据!$F2925)</f>
        <v/>
      </c>
      <c r="D2924" t="str">
        <f>IF(原始经营数据!$D2925="","",原始经营数据!$H2925)</f>
        <v/>
      </c>
      <c r="E2924" t="str">
        <f>IF(原始经营数据!$D2925="","",原始经营数据!$I2925)</f>
        <v/>
      </c>
      <c r="F2924" t="str">
        <f>IF(原始经营数据!$D2925="","",T(原始经营数据!$J2925))</f>
        <v/>
      </c>
      <c r="G2924" t="str">
        <f>IF(原始经营数据!$D2925="","",T(原始经营数据!$K2925))</f>
        <v/>
      </c>
      <c r="H2924" t="str">
        <f>IF(原始经营数据!$D2925="","",原始经营数据!$G2925)</f>
        <v/>
      </c>
      <c r="I2924" t="str">
        <f>IF($A2924="","",IF($B2924&lt;&gt;"",$B2924,IF(COUNTIFS(原始经营数据!$D$3:$D$3001,$A2924,原始经营数据!$E$3:$E$3001,"",原始经营数据!$F$3:$F$3001,$C2924,原始经营数据!$H$3:$H$3001,$D2924,原始经营数据!$K$3:$K$3001,$G2924)&gt;1,"基金整体·来源"&amp;原始经营数据!$A2925,"基金整体")))</f>
        <v/>
      </c>
      <c r="J2924" t="str">
        <f t="shared" si="678"/>
        <v/>
      </c>
      <c r="K2924" t="str">
        <f t="shared" si="679"/>
        <v/>
      </c>
      <c r="L2924" t="str">
        <f t="shared" si="680"/>
        <v/>
      </c>
      <c r="M2924">
        <f>IF($A2924="",0,IF(COUNTIF($L$2:$L2924,$L2924)=1,1,0))</f>
        <v>0</v>
      </c>
      <c r="N2924" t="str">
        <f t="shared" si="681"/>
        <v/>
      </c>
      <c r="O2924" t="str">
        <f t="shared" si="682"/>
        <v/>
      </c>
      <c r="P2924">
        <f>IF($A2924="",0,IF(COUNTIF($O$2:$O2924,$O2924)=1,1,0))</f>
        <v>0</v>
      </c>
      <c r="Q2924" t="str">
        <f>IF(AND($P2924=1,$A2924=经营数据!$B$3,$J2924=经营数据!$BA$5),COUNTIFS($P$2:$P$3000,1,$A$2:$A$3000,$A2924,$J$2:$J$3000,$J2924,$N$2:$N$3000,"&lt;"&amp;$N2924)+1,"")</f>
        <v/>
      </c>
      <c r="R2924" t="str">
        <f t="shared" si="683"/>
        <v/>
      </c>
      <c r="S2924">
        <f>IF($A2924="",0,IF(COUNTIF($R$2:$R2924,$R2924)=1,1,0))</f>
        <v>0</v>
      </c>
      <c r="T2924" t="str">
        <f t="shared" si="684"/>
        <v/>
      </c>
      <c r="U2924" t="str">
        <f>IF($A2924="","",IF($A2924=经营数据!$B$3,COUNTIFS($S$2:$S$3000,1,$A$2:$A$3000,$A2924,$T$2:$T$3000,"&lt;"&amp;$T2924)+1,""))</f>
        <v/>
      </c>
      <c r="V2924" t="str">
        <f t="shared" si="685"/>
        <v/>
      </c>
      <c r="W2924" t="str">
        <f t="shared" si="686"/>
        <v/>
      </c>
      <c r="X2924" t="str">
        <f t="shared" si="687"/>
        <v/>
      </c>
      <c r="Y2924" t="str">
        <f t="shared" si="688"/>
        <v/>
      </c>
      <c r="Z2924">
        <f>IF($A2924="",0,IF(AND($M2924=1,$A2924=经营数据!$B$3,$J2924=经营数据!$BA$5,OR($I2924=经营数据!$BA$4,COUNTIF(经营数据!$AA$9:$AA$38,$I2924)&gt;0)),1,0))</f>
        <v>0</v>
      </c>
      <c r="AA2924" t="str">
        <f t="shared" si="689"/>
        <v/>
      </c>
      <c r="AB2924" t="str">
        <f t="shared" si="690"/>
        <v/>
      </c>
      <c r="AC2924">
        <f>IF($A2924="",0,IF(COUNTIF($A$2:$A2924,$A2924)=1,1,0))</f>
        <v>0</v>
      </c>
      <c r="AD2924">
        <f t="shared" si="691"/>
        <v>29</v>
      </c>
      <c r="AE2924" t="str">
        <f t="shared" si="692"/>
        <v/>
      </c>
    </row>
    <row r="2925" spans="1:31" x14ac:dyDescent="0.4">
      <c r="A2925" t="str">
        <f>IF(原始经营数据!$D2926="","",原始经营数据!$D2926)</f>
        <v/>
      </c>
      <c r="B2925" t="str">
        <f>IF(原始经营数据!$D2926="","",T(原始经营数据!$E2926))</f>
        <v/>
      </c>
      <c r="C2925" t="str">
        <f>IF(原始经营数据!$D2926="","",原始经营数据!$F2926)</f>
        <v/>
      </c>
      <c r="D2925" t="str">
        <f>IF(原始经营数据!$D2926="","",原始经营数据!$H2926)</f>
        <v/>
      </c>
      <c r="E2925" t="str">
        <f>IF(原始经营数据!$D2926="","",原始经营数据!$I2926)</f>
        <v/>
      </c>
      <c r="F2925" t="str">
        <f>IF(原始经营数据!$D2926="","",T(原始经营数据!$J2926))</f>
        <v/>
      </c>
      <c r="G2925" t="str">
        <f>IF(原始经营数据!$D2926="","",T(原始经营数据!$K2926))</f>
        <v/>
      </c>
      <c r="H2925" t="str">
        <f>IF(原始经营数据!$D2926="","",原始经营数据!$G2926)</f>
        <v/>
      </c>
      <c r="I2925" t="str">
        <f>IF($A2925="","",IF($B2925&lt;&gt;"",$B2925,IF(COUNTIFS(原始经营数据!$D$3:$D$3001,$A2925,原始经营数据!$E$3:$E$3001,"",原始经营数据!$F$3:$F$3001,$C2925,原始经营数据!$H$3:$H$3001,$D2925,原始经营数据!$K$3:$K$3001,$G2925)&gt;1,"基金整体·来源"&amp;原始经营数据!$A2926,"基金整体")))</f>
        <v/>
      </c>
      <c r="J2925" t="str">
        <f t="shared" si="678"/>
        <v/>
      </c>
      <c r="K2925" t="str">
        <f t="shared" si="679"/>
        <v/>
      </c>
      <c r="L2925" t="str">
        <f t="shared" si="680"/>
        <v/>
      </c>
      <c r="M2925">
        <f>IF($A2925="",0,IF(COUNTIF($L$2:$L2925,$L2925)=1,1,0))</f>
        <v>0</v>
      </c>
      <c r="N2925" t="str">
        <f t="shared" si="681"/>
        <v/>
      </c>
      <c r="O2925" t="str">
        <f t="shared" si="682"/>
        <v/>
      </c>
      <c r="P2925">
        <f>IF($A2925="",0,IF(COUNTIF($O$2:$O2925,$O2925)=1,1,0))</f>
        <v>0</v>
      </c>
      <c r="Q2925" t="str">
        <f>IF(AND($P2925=1,$A2925=经营数据!$B$3,$J2925=经营数据!$BA$5),COUNTIFS($P$2:$P$3000,1,$A$2:$A$3000,$A2925,$J$2:$J$3000,$J2925,$N$2:$N$3000,"&lt;"&amp;$N2925)+1,"")</f>
        <v/>
      </c>
      <c r="R2925" t="str">
        <f t="shared" si="683"/>
        <v/>
      </c>
      <c r="S2925">
        <f>IF($A2925="",0,IF(COUNTIF($R$2:$R2925,$R2925)=1,1,0))</f>
        <v>0</v>
      </c>
      <c r="T2925" t="str">
        <f t="shared" si="684"/>
        <v/>
      </c>
      <c r="U2925" t="str">
        <f>IF($A2925="","",IF($A2925=经营数据!$B$3,COUNTIFS($S$2:$S$3000,1,$A$2:$A$3000,$A2925,$T$2:$T$3000,"&lt;"&amp;$T2925)+1,""))</f>
        <v/>
      </c>
      <c r="V2925" t="str">
        <f t="shared" si="685"/>
        <v/>
      </c>
      <c r="W2925" t="str">
        <f t="shared" si="686"/>
        <v/>
      </c>
      <c r="X2925" t="str">
        <f t="shared" si="687"/>
        <v/>
      </c>
      <c r="Y2925" t="str">
        <f t="shared" si="688"/>
        <v/>
      </c>
      <c r="Z2925">
        <f>IF($A2925="",0,IF(AND($M2925=1,$A2925=经营数据!$B$3,$J2925=经营数据!$BA$5,OR($I2925=经营数据!$BA$4,COUNTIF(经营数据!$AA$9:$AA$38,$I2925)&gt;0)),1,0))</f>
        <v>0</v>
      </c>
      <c r="AA2925" t="str">
        <f t="shared" si="689"/>
        <v/>
      </c>
      <c r="AB2925" t="str">
        <f t="shared" si="690"/>
        <v/>
      </c>
      <c r="AC2925">
        <f>IF($A2925="",0,IF(COUNTIF($A$2:$A2925,$A2925)=1,1,0))</f>
        <v>0</v>
      </c>
      <c r="AD2925">
        <f t="shared" si="691"/>
        <v>29</v>
      </c>
      <c r="AE2925" t="str">
        <f t="shared" si="692"/>
        <v/>
      </c>
    </row>
    <row r="2926" spans="1:31" x14ac:dyDescent="0.4">
      <c r="A2926" t="str">
        <f>IF(原始经营数据!$D2927="","",原始经营数据!$D2927)</f>
        <v/>
      </c>
      <c r="B2926" t="str">
        <f>IF(原始经营数据!$D2927="","",T(原始经营数据!$E2927))</f>
        <v/>
      </c>
      <c r="C2926" t="str">
        <f>IF(原始经营数据!$D2927="","",原始经营数据!$F2927)</f>
        <v/>
      </c>
      <c r="D2926" t="str">
        <f>IF(原始经营数据!$D2927="","",原始经营数据!$H2927)</f>
        <v/>
      </c>
      <c r="E2926" t="str">
        <f>IF(原始经营数据!$D2927="","",原始经营数据!$I2927)</f>
        <v/>
      </c>
      <c r="F2926" t="str">
        <f>IF(原始经营数据!$D2927="","",T(原始经营数据!$J2927))</f>
        <v/>
      </c>
      <c r="G2926" t="str">
        <f>IF(原始经营数据!$D2927="","",T(原始经营数据!$K2927))</f>
        <v/>
      </c>
      <c r="H2926" t="str">
        <f>IF(原始经营数据!$D2927="","",原始经营数据!$G2927)</f>
        <v/>
      </c>
      <c r="I2926" t="str">
        <f>IF($A2926="","",IF($B2926&lt;&gt;"",$B2926,IF(COUNTIFS(原始经营数据!$D$3:$D$3001,$A2926,原始经营数据!$E$3:$E$3001,"",原始经营数据!$F$3:$F$3001,$C2926,原始经营数据!$H$3:$H$3001,$D2926,原始经营数据!$K$3:$K$3001,$G2926)&gt;1,"基金整体·来源"&amp;原始经营数据!$A2927,"基金整体")))</f>
        <v/>
      </c>
      <c r="J2926" t="str">
        <f t="shared" si="678"/>
        <v/>
      </c>
      <c r="K2926" t="str">
        <f t="shared" si="679"/>
        <v/>
      </c>
      <c r="L2926" t="str">
        <f t="shared" si="680"/>
        <v/>
      </c>
      <c r="M2926">
        <f>IF($A2926="",0,IF(COUNTIF($L$2:$L2926,$L2926)=1,1,0))</f>
        <v>0</v>
      </c>
      <c r="N2926" t="str">
        <f t="shared" si="681"/>
        <v/>
      </c>
      <c r="O2926" t="str">
        <f t="shared" si="682"/>
        <v/>
      </c>
      <c r="P2926">
        <f>IF($A2926="",0,IF(COUNTIF($O$2:$O2926,$O2926)=1,1,0))</f>
        <v>0</v>
      </c>
      <c r="Q2926" t="str">
        <f>IF(AND($P2926=1,$A2926=经营数据!$B$3,$J2926=经营数据!$BA$5),COUNTIFS($P$2:$P$3000,1,$A$2:$A$3000,$A2926,$J$2:$J$3000,$J2926,$N$2:$N$3000,"&lt;"&amp;$N2926)+1,"")</f>
        <v/>
      </c>
      <c r="R2926" t="str">
        <f t="shared" si="683"/>
        <v/>
      </c>
      <c r="S2926">
        <f>IF($A2926="",0,IF(COUNTIF($R$2:$R2926,$R2926)=1,1,0))</f>
        <v>0</v>
      </c>
      <c r="T2926" t="str">
        <f t="shared" si="684"/>
        <v/>
      </c>
      <c r="U2926" t="str">
        <f>IF($A2926="","",IF($A2926=经营数据!$B$3,COUNTIFS($S$2:$S$3000,1,$A$2:$A$3000,$A2926,$T$2:$T$3000,"&lt;"&amp;$T2926)+1,""))</f>
        <v/>
      </c>
      <c r="V2926" t="str">
        <f t="shared" si="685"/>
        <v/>
      </c>
      <c r="W2926" t="str">
        <f t="shared" si="686"/>
        <v/>
      </c>
      <c r="X2926" t="str">
        <f t="shared" si="687"/>
        <v/>
      </c>
      <c r="Y2926" t="str">
        <f t="shared" si="688"/>
        <v/>
      </c>
      <c r="Z2926">
        <f>IF($A2926="",0,IF(AND($M2926=1,$A2926=经营数据!$B$3,$J2926=经营数据!$BA$5,OR($I2926=经营数据!$BA$4,COUNTIF(经营数据!$AA$9:$AA$38,$I2926)&gt;0)),1,0))</f>
        <v>0</v>
      </c>
      <c r="AA2926" t="str">
        <f t="shared" si="689"/>
        <v/>
      </c>
      <c r="AB2926" t="str">
        <f t="shared" si="690"/>
        <v/>
      </c>
      <c r="AC2926">
        <f>IF($A2926="",0,IF(COUNTIF($A$2:$A2926,$A2926)=1,1,0))</f>
        <v>0</v>
      </c>
      <c r="AD2926">
        <f t="shared" si="691"/>
        <v>29</v>
      </c>
      <c r="AE2926" t="str">
        <f t="shared" si="692"/>
        <v/>
      </c>
    </row>
    <row r="2927" spans="1:31" x14ac:dyDescent="0.4">
      <c r="A2927" t="str">
        <f>IF(原始经营数据!$D2928="","",原始经营数据!$D2928)</f>
        <v/>
      </c>
      <c r="B2927" t="str">
        <f>IF(原始经营数据!$D2928="","",T(原始经营数据!$E2928))</f>
        <v/>
      </c>
      <c r="C2927" t="str">
        <f>IF(原始经营数据!$D2928="","",原始经营数据!$F2928)</f>
        <v/>
      </c>
      <c r="D2927" t="str">
        <f>IF(原始经营数据!$D2928="","",原始经营数据!$H2928)</f>
        <v/>
      </c>
      <c r="E2927" t="str">
        <f>IF(原始经营数据!$D2928="","",原始经营数据!$I2928)</f>
        <v/>
      </c>
      <c r="F2927" t="str">
        <f>IF(原始经营数据!$D2928="","",T(原始经营数据!$J2928))</f>
        <v/>
      </c>
      <c r="G2927" t="str">
        <f>IF(原始经营数据!$D2928="","",T(原始经营数据!$K2928))</f>
        <v/>
      </c>
      <c r="H2927" t="str">
        <f>IF(原始经营数据!$D2928="","",原始经营数据!$G2928)</f>
        <v/>
      </c>
      <c r="I2927" t="str">
        <f>IF($A2927="","",IF($B2927&lt;&gt;"",$B2927,IF(COUNTIFS(原始经营数据!$D$3:$D$3001,$A2927,原始经营数据!$E$3:$E$3001,"",原始经营数据!$F$3:$F$3001,$C2927,原始经营数据!$H$3:$H$3001,$D2927,原始经营数据!$K$3:$K$3001,$G2927)&gt;1,"基金整体·来源"&amp;原始经营数据!$A2928,"基金整体")))</f>
        <v/>
      </c>
      <c r="J2927" t="str">
        <f t="shared" si="678"/>
        <v/>
      </c>
      <c r="K2927" t="str">
        <f t="shared" si="679"/>
        <v/>
      </c>
      <c r="L2927" t="str">
        <f t="shared" si="680"/>
        <v/>
      </c>
      <c r="M2927">
        <f>IF($A2927="",0,IF(COUNTIF($L$2:$L2927,$L2927)=1,1,0))</f>
        <v>0</v>
      </c>
      <c r="N2927" t="str">
        <f t="shared" si="681"/>
        <v/>
      </c>
      <c r="O2927" t="str">
        <f t="shared" si="682"/>
        <v/>
      </c>
      <c r="P2927">
        <f>IF($A2927="",0,IF(COUNTIF($O$2:$O2927,$O2927)=1,1,0))</f>
        <v>0</v>
      </c>
      <c r="Q2927" t="str">
        <f>IF(AND($P2927=1,$A2927=经营数据!$B$3,$J2927=经营数据!$BA$5),COUNTIFS($P$2:$P$3000,1,$A$2:$A$3000,$A2927,$J$2:$J$3000,$J2927,$N$2:$N$3000,"&lt;"&amp;$N2927)+1,"")</f>
        <v/>
      </c>
      <c r="R2927" t="str">
        <f t="shared" si="683"/>
        <v/>
      </c>
      <c r="S2927">
        <f>IF($A2927="",0,IF(COUNTIF($R$2:$R2927,$R2927)=1,1,0))</f>
        <v>0</v>
      </c>
      <c r="T2927" t="str">
        <f t="shared" si="684"/>
        <v/>
      </c>
      <c r="U2927" t="str">
        <f>IF($A2927="","",IF($A2927=经营数据!$B$3,COUNTIFS($S$2:$S$3000,1,$A$2:$A$3000,$A2927,$T$2:$T$3000,"&lt;"&amp;$T2927)+1,""))</f>
        <v/>
      </c>
      <c r="V2927" t="str">
        <f t="shared" si="685"/>
        <v/>
      </c>
      <c r="W2927" t="str">
        <f t="shared" si="686"/>
        <v/>
      </c>
      <c r="X2927" t="str">
        <f t="shared" si="687"/>
        <v/>
      </c>
      <c r="Y2927" t="str">
        <f t="shared" si="688"/>
        <v/>
      </c>
      <c r="Z2927">
        <f>IF($A2927="",0,IF(AND($M2927=1,$A2927=经营数据!$B$3,$J2927=经营数据!$BA$5,OR($I2927=经营数据!$BA$4,COUNTIF(经营数据!$AA$9:$AA$38,$I2927)&gt;0)),1,0))</f>
        <v>0</v>
      </c>
      <c r="AA2927" t="str">
        <f t="shared" si="689"/>
        <v/>
      </c>
      <c r="AB2927" t="str">
        <f t="shared" si="690"/>
        <v/>
      </c>
      <c r="AC2927">
        <f>IF($A2927="",0,IF(COUNTIF($A$2:$A2927,$A2927)=1,1,0))</f>
        <v>0</v>
      </c>
      <c r="AD2927">
        <f t="shared" si="691"/>
        <v>29</v>
      </c>
      <c r="AE2927" t="str">
        <f t="shared" si="692"/>
        <v/>
      </c>
    </row>
    <row r="2928" spans="1:31" x14ac:dyDescent="0.4">
      <c r="A2928" t="str">
        <f>IF(原始经营数据!$D2929="","",原始经营数据!$D2929)</f>
        <v/>
      </c>
      <c r="B2928" t="str">
        <f>IF(原始经营数据!$D2929="","",T(原始经营数据!$E2929))</f>
        <v/>
      </c>
      <c r="C2928" t="str">
        <f>IF(原始经营数据!$D2929="","",原始经营数据!$F2929)</f>
        <v/>
      </c>
      <c r="D2928" t="str">
        <f>IF(原始经营数据!$D2929="","",原始经营数据!$H2929)</f>
        <v/>
      </c>
      <c r="E2928" t="str">
        <f>IF(原始经营数据!$D2929="","",原始经营数据!$I2929)</f>
        <v/>
      </c>
      <c r="F2928" t="str">
        <f>IF(原始经营数据!$D2929="","",T(原始经营数据!$J2929))</f>
        <v/>
      </c>
      <c r="G2928" t="str">
        <f>IF(原始经营数据!$D2929="","",T(原始经营数据!$K2929))</f>
        <v/>
      </c>
      <c r="H2928" t="str">
        <f>IF(原始经营数据!$D2929="","",原始经营数据!$G2929)</f>
        <v/>
      </c>
      <c r="I2928" t="str">
        <f>IF($A2928="","",IF($B2928&lt;&gt;"",$B2928,IF(COUNTIFS(原始经营数据!$D$3:$D$3001,$A2928,原始经营数据!$E$3:$E$3001,"",原始经营数据!$F$3:$F$3001,$C2928,原始经营数据!$H$3:$H$3001,$D2928,原始经营数据!$K$3:$K$3001,$G2928)&gt;1,"基金整体·来源"&amp;原始经营数据!$A2929,"基金整体")))</f>
        <v/>
      </c>
      <c r="J2928" t="str">
        <f t="shared" si="678"/>
        <v/>
      </c>
      <c r="K2928" t="str">
        <f t="shared" si="679"/>
        <v/>
      </c>
      <c r="L2928" t="str">
        <f t="shared" si="680"/>
        <v/>
      </c>
      <c r="M2928">
        <f>IF($A2928="",0,IF(COUNTIF($L$2:$L2928,$L2928)=1,1,0))</f>
        <v>0</v>
      </c>
      <c r="N2928" t="str">
        <f t="shared" si="681"/>
        <v/>
      </c>
      <c r="O2928" t="str">
        <f t="shared" si="682"/>
        <v/>
      </c>
      <c r="P2928">
        <f>IF($A2928="",0,IF(COUNTIF($O$2:$O2928,$O2928)=1,1,0))</f>
        <v>0</v>
      </c>
      <c r="Q2928" t="str">
        <f>IF(AND($P2928=1,$A2928=经营数据!$B$3,$J2928=经营数据!$BA$5),COUNTIFS($P$2:$P$3000,1,$A$2:$A$3000,$A2928,$J$2:$J$3000,$J2928,$N$2:$N$3000,"&lt;"&amp;$N2928)+1,"")</f>
        <v/>
      </c>
      <c r="R2928" t="str">
        <f t="shared" si="683"/>
        <v/>
      </c>
      <c r="S2928">
        <f>IF($A2928="",0,IF(COUNTIF($R$2:$R2928,$R2928)=1,1,0))</f>
        <v>0</v>
      </c>
      <c r="T2928" t="str">
        <f t="shared" si="684"/>
        <v/>
      </c>
      <c r="U2928" t="str">
        <f>IF($A2928="","",IF($A2928=经营数据!$B$3,COUNTIFS($S$2:$S$3000,1,$A$2:$A$3000,$A2928,$T$2:$T$3000,"&lt;"&amp;$T2928)+1,""))</f>
        <v/>
      </c>
      <c r="V2928" t="str">
        <f t="shared" si="685"/>
        <v/>
      </c>
      <c r="W2928" t="str">
        <f t="shared" si="686"/>
        <v/>
      </c>
      <c r="X2928" t="str">
        <f t="shared" si="687"/>
        <v/>
      </c>
      <c r="Y2928" t="str">
        <f t="shared" si="688"/>
        <v/>
      </c>
      <c r="Z2928">
        <f>IF($A2928="",0,IF(AND($M2928=1,$A2928=经营数据!$B$3,$J2928=经营数据!$BA$5,OR($I2928=经营数据!$BA$4,COUNTIF(经营数据!$AA$9:$AA$38,$I2928)&gt;0)),1,0))</f>
        <v>0</v>
      </c>
      <c r="AA2928" t="str">
        <f t="shared" si="689"/>
        <v/>
      </c>
      <c r="AB2928" t="str">
        <f t="shared" si="690"/>
        <v/>
      </c>
      <c r="AC2928">
        <f>IF($A2928="",0,IF(COUNTIF($A$2:$A2928,$A2928)=1,1,0))</f>
        <v>0</v>
      </c>
      <c r="AD2928">
        <f t="shared" si="691"/>
        <v>29</v>
      </c>
      <c r="AE2928" t="str">
        <f t="shared" si="692"/>
        <v/>
      </c>
    </row>
    <row r="2929" spans="1:31" x14ac:dyDescent="0.4">
      <c r="A2929" t="str">
        <f>IF(原始经营数据!$D2930="","",原始经营数据!$D2930)</f>
        <v/>
      </c>
      <c r="B2929" t="str">
        <f>IF(原始经营数据!$D2930="","",T(原始经营数据!$E2930))</f>
        <v/>
      </c>
      <c r="C2929" t="str">
        <f>IF(原始经营数据!$D2930="","",原始经营数据!$F2930)</f>
        <v/>
      </c>
      <c r="D2929" t="str">
        <f>IF(原始经营数据!$D2930="","",原始经营数据!$H2930)</f>
        <v/>
      </c>
      <c r="E2929" t="str">
        <f>IF(原始经营数据!$D2930="","",原始经营数据!$I2930)</f>
        <v/>
      </c>
      <c r="F2929" t="str">
        <f>IF(原始经营数据!$D2930="","",T(原始经营数据!$J2930))</f>
        <v/>
      </c>
      <c r="G2929" t="str">
        <f>IF(原始经营数据!$D2930="","",T(原始经营数据!$K2930))</f>
        <v/>
      </c>
      <c r="H2929" t="str">
        <f>IF(原始经营数据!$D2930="","",原始经营数据!$G2930)</f>
        <v/>
      </c>
      <c r="I2929" t="str">
        <f>IF($A2929="","",IF($B2929&lt;&gt;"",$B2929,IF(COUNTIFS(原始经营数据!$D$3:$D$3001,$A2929,原始经营数据!$E$3:$E$3001,"",原始经营数据!$F$3:$F$3001,$C2929,原始经营数据!$H$3:$H$3001,$D2929,原始经营数据!$K$3:$K$3001,$G2929)&gt;1,"基金整体·来源"&amp;原始经营数据!$A2930,"基金整体")))</f>
        <v/>
      </c>
      <c r="J2929" t="str">
        <f t="shared" si="678"/>
        <v/>
      </c>
      <c r="K2929" t="str">
        <f t="shared" si="679"/>
        <v/>
      </c>
      <c r="L2929" t="str">
        <f t="shared" si="680"/>
        <v/>
      </c>
      <c r="M2929">
        <f>IF($A2929="",0,IF(COUNTIF($L$2:$L2929,$L2929)=1,1,0))</f>
        <v>0</v>
      </c>
      <c r="N2929" t="str">
        <f t="shared" si="681"/>
        <v/>
      </c>
      <c r="O2929" t="str">
        <f t="shared" si="682"/>
        <v/>
      </c>
      <c r="P2929">
        <f>IF($A2929="",0,IF(COUNTIF($O$2:$O2929,$O2929)=1,1,0))</f>
        <v>0</v>
      </c>
      <c r="Q2929" t="str">
        <f>IF(AND($P2929=1,$A2929=经营数据!$B$3,$J2929=经营数据!$BA$5),COUNTIFS($P$2:$P$3000,1,$A$2:$A$3000,$A2929,$J$2:$J$3000,$J2929,$N$2:$N$3000,"&lt;"&amp;$N2929)+1,"")</f>
        <v/>
      </c>
      <c r="R2929" t="str">
        <f t="shared" si="683"/>
        <v/>
      </c>
      <c r="S2929">
        <f>IF($A2929="",0,IF(COUNTIF($R$2:$R2929,$R2929)=1,1,0))</f>
        <v>0</v>
      </c>
      <c r="T2929" t="str">
        <f t="shared" si="684"/>
        <v/>
      </c>
      <c r="U2929" t="str">
        <f>IF($A2929="","",IF($A2929=经营数据!$B$3,COUNTIFS($S$2:$S$3000,1,$A$2:$A$3000,$A2929,$T$2:$T$3000,"&lt;"&amp;$T2929)+1,""))</f>
        <v/>
      </c>
      <c r="V2929" t="str">
        <f t="shared" si="685"/>
        <v/>
      </c>
      <c r="W2929" t="str">
        <f t="shared" si="686"/>
        <v/>
      </c>
      <c r="X2929" t="str">
        <f t="shared" si="687"/>
        <v/>
      </c>
      <c r="Y2929" t="str">
        <f t="shared" si="688"/>
        <v/>
      </c>
      <c r="Z2929">
        <f>IF($A2929="",0,IF(AND($M2929=1,$A2929=经营数据!$B$3,$J2929=经营数据!$BA$5,OR($I2929=经营数据!$BA$4,COUNTIF(经营数据!$AA$9:$AA$38,$I2929)&gt;0)),1,0))</f>
        <v>0</v>
      </c>
      <c r="AA2929" t="str">
        <f t="shared" si="689"/>
        <v/>
      </c>
      <c r="AB2929" t="str">
        <f t="shared" si="690"/>
        <v/>
      </c>
      <c r="AC2929">
        <f>IF($A2929="",0,IF(COUNTIF($A$2:$A2929,$A2929)=1,1,0))</f>
        <v>0</v>
      </c>
      <c r="AD2929">
        <f t="shared" si="691"/>
        <v>29</v>
      </c>
      <c r="AE2929" t="str">
        <f t="shared" si="692"/>
        <v/>
      </c>
    </row>
    <row r="2930" spans="1:31" x14ac:dyDescent="0.4">
      <c r="A2930" t="str">
        <f>IF(原始经营数据!$D2931="","",原始经营数据!$D2931)</f>
        <v/>
      </c>
      <c r="B2930" t="str">
        <f>IF(原始经营数据!$D2931="","",T(原始经营数据!$E2931))</f>
        <v/>
      </c>
      <c r="C2930" t="str">
        <f>IF(原始经营数据!$D2931="","",原始经营数据!$F2931)</f>
        <v/>
      </c>
      <c r="D2930" t="str">
        <f>IF(原始经营数据!$D2931="","",原始经营数据!$H2931)</f>
        <v/>
      </c>
      <c r="E2930" t="str">
        <f>IF(原始经营数据!$D2931="","",原始经营数据!$I2931)</f>
        <v/>
      </c>
      <c r="F2930" t="str">
        <f>IF(原始经营数据!$D2931="","",T(原始经营数据!$J2931))</f>
        <v/>
      </c>
      <c r="G2930" t="str">
        <f>IF(原始经营数据!$D2931="","",T(原始经营数据!$K2931))</f>
        <v/>
      </c>
      <c r="H2930" t="str">
        <f>IF(原始经营数据!$D2931="","",原始经营数据!$G2931)</f>
        <v/>
      </c>
      <c r="I2930" t="str">
        <f>IF($A2930="","",IF($B2930&lt;&gt;"",$B2930,IF(COUNTIFS(原始经营数据!$D$3:$D$3001,$A2930,原始经营数据!$E$3:$E$3001,"",原始经营数据!$F$3:$F$3001,$C2930,原始经营数据!$H$3:$H$3001,$D2930,原始经营数据!$K$3:$K$3001,$G2930)&gt;1,"基金整体·来源"&amp;原始经营数据!$A2931,"基金整体")))</f>
        <v/>
      </c>
      <c r="J2930" t="str">
        <f t="shared" si="678"/>
        <v/>
      </c>
      <c r="K2930" t="str">
        <f t="shared" si="679"/>
        <v/>
      </c>
      <c r="L2930" t="str">
        <f t="shared" si="680"/>
        <v/>
      </c>
      <c r="M2930">
        <f>IF($A2930="",0,IF(COUNTIF($L$2:$L2930,$L2930)=1,1,0))</f>
        <v>0</v>
      </c>
      <c r="N2930" t="str">
        <f t="shared" si="681"/>
        <v/>
      </c>
      <c r="O2930" t="str">
        <f t="shared" si="682"/>
        <v/>
      </c>
      <c r="P2930">
        <f>IF($A2930="",0,IF(COUNTIF($O$2:$O2930,$O2930)=1,1,0))</f>
        <v>0</v>
      </c>
      <c r="Q2930" t="str">
        <f>IF(AND($P2930=1,$A2930=经营数据!$B$3,$J2930=经营数据!$BA$5),COUNTIFS($P$2:$P$3000,1,$A$2:$A$3000,$A2930,$J$2:$J$3000,$J2930,$N$2:$N$3000,"&lt;"&amp;$N2930)+1,"")</f>
        <v/>
      </c>
      <c r="R2930" t="str">
        <f t="shared" si="683"/>
        <v/>
      </c>
      <c r="S2930">
        <f>IF($A2930="",0,IF(COUNTIF($R$2:$R2930,$R2930)=1,1,0))</f>
        <v>0</v>
      </c>
      <c r="T2930" t="str">
        <f t="shared" si="684"/>
        <v/>
      </c>
      <c r="U2930" t="str">
        <f>IF($A2930="","",IF($A2930=经营数据!$B$3,COUNTIFS($S$2:$S$3000,1,$A$2:$A$3000,$A2930,$T$2:$T$3000,"&lt;"&amp;$T2930)+1,""))</f>
        <v/>
      </c>
      <c r="V2930" t="str">
        <f t="shared" si="685"/>
        <v/>
      </c>
      <c r="W2930" t="str">
        <f t="shared" si="686"/>
        <v/>
      </c>
      <c r="X2930" t="str">
        <f t="shared" si="687"/>
        <v/>
      </c>
      <c r="Y2930" t="str">
        <f t="shared" si="688"/>
        <v/>
      </c>
      <c r="Z2930">
        <f>IF($A2930="",0,IF(AND($M2930=1,$A2930=经营数据!$B$3,$J2930=经营数据!$BA$5,OR($I2930=经营数据!$BA$4,COUNTIF(经营数据!$AA$9:$AA$38,$I2930)&gt;0)),1,0))</f>
        <v>0</v>
      </c>
      <c r="AA2930" t="str">
        <f t="shared" si="689"/>
        <v/>
      </c>
      <c r="AB2930" t="str">
        <f t="shared" si="690"/>
        <v/>
      </c>
      <c r="AC2930">
        <f>IF($A2930="",0,IF(COUNTIF($A$2:$A2930,$A2930)=1,1,0))</f>
        <v>0</v>
      </c>
      <c r="AD2930">
        <f t="shared" si="691"/>
        <v>29</v>
      </c>
      <c r="AE2930" t="str">
        <f t="shared" si="692"/>
        <v/>
      </c>
    </row>
    <row r="2931" spans="1:31" x14ac:dyDescent="0.4">
      <c r="A2931" t="str">
        <f>IF(原始经营数据!$D2932="","",原始经营数据!$D2932)</f>
        <v/>
      </c>
      <c r="B2931" t="str">
        <f>IF(原始经营数据!$D2932="","",T(原始经营数据!$E2932))</f>
        <v/>
      </c>
      <c r="C2931" t="str">
        <f>IF(原始经营数据!$D2932="","",原始经营数据!$F2932)</f>
        <v/>
      </c>
      <c r="D2931" t="str">
        <f>IF(原始经营数据!$D2932="","",原始经营数据!$H2932)</f>
        <v/>
      </c>
      <c r="E2931" t="str">
        <f>IF(原始经营数据!$D2932="","",原始经营数据!$I2932)</f>
        <v/>
      </c>
      <c r="F2931" t="str">
        <f>IF(原始经营数据!$D2932="","",T(原始经营数据!$J2932))</f>
        <v/>
      </c>
      <c r="G2931" t="str">
        <f>IF(原始经营数据!$D2932="","",T(原始经营数据!$K2932))</f>
        <v/>
      </c>
      <c r="H2931" t="str">
        <f>IF(原始经营数据!$D2932="","",原始经营数据!$G2932)</f>
        <v/>
      </c>
      <c r="I2931" t="str">
        <f>IF($A2931="","",IF($B2931&lt;&gt;"",$B2931,IF(COUNTIFS(原始经营数据!$D$3:$D$3001,$A2931,原始经营数据!$E$3:$E$3001,"",原始经营数据!$F$3:$F$3001,$C2931,原始经营数据!$H$3:$H$3001,$D2931,原始经营数据!$K$3:$K$3001,$G2931)&gt;1,"基金整体·来源"&amp;原始经营数据!$A2932,"基金整体")))</f>
        <v/>
      </c>
      <c r="J2931" t="str">
        <f t="shared" si="678"/>
        <v/>
      </c>
      <c r="K2931" t="str">
        <f t="shared" si="679"/>
        <v/>
      </c>
      <c r="L2931" t="str">
        <f t="shared" si="680"/>
        <v/>
      </c>
      <c r="M2931">
        <f>IF($A2931="",0,IF(COUNTIF($L$2:$L2931,$L2931)=1,1,0))</f>
        <v>0</v>
      </c>
      <c r="N2931" t="str">
        <f t="shared" si="681"/>
        <v/>
      </c>
      <c r="O2931" t="str">
        <f t="shared" si="682"/>
        <v/>
      </c>
      <c r="P2931">
        <f>IF($A2931="",0,IF(COUNTIF($O$2:$O2931,$O2931)=1,1,0))</f>
        <v>0</v>
      </c>
      <c r="Q2931" t="str">
        <f>IF(AND($P2931=1,$A2931=经营数据!$B$3,$J2931=经营数据!$BA$5),COUNTIFS($P$2:$P$3000,1,$A$2:$A$3000,$A2931,$J$2:$J$3000,$J2931,$N$2:$N$3000,"&lt;"&amp;$N2931)+1,"")</f>
        <v/>
      </c>
      <c r="R2931" t="str">
        <f t="shared" si="683"/>
        <v/>
      </c>
      <c r="S2931">
        <f>IF($A2931="",0,IF(COUNTIF($R$2:$R2931,$R2931)=1,1,0))</f>
        <v>0</v>
      </c>
      <c r="T2931" t="str">
        <f t="shared" si="684"/>
        <v/>
      </c>
      <c r="U2931" t="str">
        <f>IF($A2931="","",IF($A2931=经营数据!$B$3,COUNTIFS($S$2:$S$3000,1,$A$2:$A$3000,$A2931,$T$2:$T$3000,"&lt;"&amp;$T2931)+1,""))</f>
        <v/>
      </c>
      <c r="V2931" t="str">
        <f t="shared" si="685"/>
        <v/>
      </c>
      <c r="W2931" t="str">
        <f t="shared" si="686"/>
        <v/>
      </c>
      <c r="X2931" t="str">
        <f t="shared" si="687"/>
        <v/>
      </c>
      <c r="Y2931" t="str">
        <f t="shared" si="688"/>
        <v/>
      </c>
      <c r="Z2931">
        <f>IF($A2931="",0,IF(AND($M2931=1,$A2931=经营数据!$B$3,$J2931=经营数据!$BA$5,OR($I2931=经营数据!$BA$4,COUNTIF(经营数据!$AA$9:$AA$38,$I2931)&gt;0)),1,0))</f>
        <v>0</v>
      </c>
      <c r="AA2931" t="str">
        <f t="shared" si="689"/>
        <v/>
      </c>
      <c r="AB2931" t="str">
        <f t="shared" si="690"/>
        <v/>
      </c>
      <c r="AC2931">
        <f>IF($A2931="",0,IF(COUNTIF($A$2:$A2931,$A2931)=1,1,0))</f>
        <v>0</v>
      </c>
      <c r="AD2931">
        <f t="shared" si="691"/>
        <v>29</v>
      </c>
      <c r="AE2931" t="str">
        <f t="shared" si="692"/>
        <v/>
      </c>
    </row>
    <row r="2932" spans="1:31" x14ac:dyDescent="0.4">
      <c r="A2932" t="str">
        <f>IF(原始经营数据!$D2933="","",原始经营数据!$D2933)</f>
        <v/>
      </c>
      <c r="B2932" t="str">
        <f>IF(原始经营数据!$D2933="","",T(原始经营数据!$E2933))</f>
        <v/>
      </c>
      <c r="C2932" t="str">
        <f>IF(原始经营数据!$D2933="","",原始经营数据!$F2933)</f>
        <v/>
      </c>
      <c r="D2932" t="str">
        <f>IF(原始经营数据!$D2933="","",原始经营数据!$H2933)</f>
        <v/>
      </c>
      <c r="E2932" t="str">
        <f>IF(原始经营数据!$D2933="","",原始经营数据!$I2933)</f>
        <v/>
      </c>
      <c r="F2932" t="str">
        <f>IF(原始经营数据!$D2933="","",T(原始经营数据!$J2933))</f>
        <v/>
      </c>
      <c r="G2932" t="str">
        <f>IF(原始经营数据!$D2933="","",T(原始经营数据!$K2933))</f>
        <v/>
      </c>
      <c r="H2932" t="str">
        <f>IF(原始经营数据!$D2933="","",原始经营数据!$G2933)</f>
        <v/>
      </c>
      <c r="I2932" t="str">
        <f>IF($A2932="","",IF($B2932&lt;&gt;"",$B2932,IF(COUNTIFS(原始经营数据!$D$3:$D$3001,$A2932,原始经营数据!$E$3:$E$3001,"",原始经营数据!$F$3:$F$3001,$C2932,原始经营数据!$H$3:$H$3001,$D2932,原始经营数据!$K$3:$K$3001,$G2932)&gt;1,"基金整体·来源"&amp;原始经营数据!$A2933,"基金整体")))</f>
        <v/>
      </c>
      <c r="J2932" t="str">
        <f t="shared" si="678"/>
        <v/>
      </c>
      <c r="K2932" t="str">
        <f t="shared" si="679"/>
        <v/>
      </c>
      <c r="L2932" t="str">
        <f t="shared" si="680"/>
        <v/>
      </c>
      <c r="M2932">
        <f>IF($A2932="",0,IF(COUNTIF($L$2:$L2932,$L2932)=1,1,0))</f>
        <v>0</v>
      </c>
      <c r="N2932" t="str">
        <f t="shared" si="681"/>
        <v/>
      </c>
      <c r="O2932" t="str">
        <f t="shared" si="682"/>
        <v/>
      </c>
      <c r="P2932">
        <f>IF($A2932="",0,IF(COUNTIF($O$2:$O2932,$O2932)=1,1,0))</f>
        <v>0</v>
      </c>
      <c r="Q2932" t="str">
        <f>IF(AND($P2932=1,$A2932=经营数据!$B$3,$J2932=经营数据!$BA$5),COUNTIFS($P$2:$P$3000,1,$A$2:$A$3000,$A2932,$J$2:$J$3000,$J2932,$N$2:$N$3000,"&lt;"&amp;$N2932)+1,"")</f>
        <v/>
      </c>
      <c r="R2932" t="str">
        <f t="shared" si="683"/>
        <v/>
      </c>
      <c r="S2932">
        <f>IF($A2932="",0,IF(COUNTIF($R$2:$R2932,$R2932)=1,1,0))</f>
        <v>0</v>
      </c>
      <c r="T2932" t="str">
        <f t="shared" si="684"/>
        <v/>
      </c>
      <c r="U2932" t="str">
        <f>IF($A2932="","",IF($A2932=经营数据!$B$3,COUNTIFS($S$2:$S$3000,1,$A$2:$A$3000,$A2932,$T$2:$T$3000,"&lt;"&amp;$T2932)+1,""))</f>
        <v/>
      </c>
      <c r="V2932" t="str">
        <f t="shared" si="685"/>
        <v/>
      </c>
      <c r="W2932" t="str">
        <f t="shared" si="686"/>
        <v/>
      </c>
      <c r="X2932" t="str">
        <f t="shared" si="687"/>
        <v/>
      </c>
      <c r="Y2932" t="str">
        <f t="shared" si="688"/>
        <v/>
      </c>
      <c r="Z2932">
        <f>IF($A2932="",0,IF(AND($M2932=1,$A2932=经营数据!$B$3,$J2932=经营数据!$BA$5,OR($I2932=经营数据!$BA$4,COUNTIF(经营数据!$AA$9:$AA$38,$I2932)&gt;0)),1,0))</f>
        <v>0</v>
      </c>
      <c r="AA2932" t="str">
        <f t="shared" si="689"/>
        <v/>
      </c>
      <c r="AB2932" t="str">
        <f t="shared" si="690"/>
        <v/>
      </c>
      <c r="AC2932">
        <f>IF($A2932="",0,IF(COUNTIF($A$2:$A2932,$A2932)=1,1,0))</f>
        <v>0</v>
      </c>
      <c r="AD2932">
        <f t="shared" si="691"/>
        <v>29</v>
      </c>
      <c r="AE2932" t="str">
        <f t="shared" si="692"/>
        <v/>
      </c>
    </row>
    <row r="2933" spans="1:31" x14ac:dyDescent="0.4">
      <c r="A2933" t="str">
        <f>IF(原始经营数据!$D2934="","",原始经营数据!$D2934)</f>
        <v/>
      </c>
      <c r="B2933" t="str">
        <f>IF(原始经营数据!$D2934="","",T(原始经营数据!$E2934))</f>
        <v/>
      </c>
      <c r="C2933" t="str">
        <f>IF(原始经营数据!$D2934="","",原始经营数据!$F2934)</f>
        <v/>
      </c>
      <c r="D2933" t="str">
        <f>IF(原始经营数据!$D2934="","",原始经营数据!$H2934)</f>
        <v/>
      </c>
      <c r="E2933" t="str">
        <f>IF(原始经营数据!$D2934="","",原始经营数据!$I2934)</f>
        <v/>
      </c>
      <c r="F2933" t="str">
        <f>IF(原始经营数据!$D2934="","",T(原始经营数据!$J2934))</f>
        <v/>
      </c>
      <c r="G2933" t="str">
        <f>IF(原始经营数据!$D2934="","",T(原始经营数据!$K2934))</f>
        <v/>
      </c>
      <c r="H2933" t="str">
        <f>IF(原始经营数据!$D2934="","",原始经营数据!$G2934)</f>
        <v/>
      </c>
      <c r="I2933" t="str">
        <f>IF($A2933="","",IF($B2933&lt;&gt;"",$B2933,IF(COUNTIFS(原始经营数据!$D$3:$D$3001,$A2933,原始经营数据!$E$3:$E$3001,"",原始经营数据!$F$3:$F$3001,$C2933,原始经营数据!$H$3:$H$3001,$D2933,原始经营数据!$K$3:$K$3001,$G2933)&gt;1,"基金整体·来源"&amp;原始经营数据!$A2934,"基金整体")))</f>
        <v/>
      </c>
      <c r="J2933" t="str">
        <f t="shared" si="678"/>
        <v/>
      </c>
      <c r="K2933" t="str">
        <f t="shared" si="679"/>
        <v/>
      </c>
      <c r="L2933" t="str">
        <f t="shared" si="680"/>
        <v/>
      </c>
      <c r="M2933">
        <f>IF($A2933="",0,IF(COUNTIF($L$2:$L2933,$L2933)=1,1,0))</f>
        <v>0</v>
      </c>
      <c r="N2933" t="str">
        <f t="shared" si="681"/>
        <v/>
      </c>
      <c r="O2933" t="str">
        <f t="shared" si="682"/>
        <v/>
      </c>
      <c r="P2933">
        <f>IF($A2933="",0,IF(COUNTIF($O$2:$O2933,$O2933)=1,1,0))</f>
        <v>0</v>
      </c>
      <c r="Q2933" t="str">
        <f>IF(AND($P2933=1,$A2933=经营数据!$B$3,$J2933=经营数据!$BA$5),COUNTIFS($P$2:$P$3000,1,$A$2:$A$3000,$A2933,$J$2:$J$3000,$J2933,$N$2:$N$3000,"&lt;"&amp;$N2933)+1,"")</f>
        <v/>
      </c>
      <c r="R2933" t="str">
        <f t="shared" si="683"/>
        <v/>
      </c>
      <c r="S2933">
        <f>IF($A2933="",0,IF(COUNTIF($R$2:$R2933,$R2933)=1,1,0))</f>
        <v>0</v>
      </c>
      <c r="T2933" t="str">
        <f t="shared" si="684"/>
        <v/>
      </c>
      <c r="U2933" t="str">
        <f>IF($A2933="","",IF($A2933=经营数据!$B$3,COUNTIFS($S$2:$S$3000,1,$A$2:$A$3000,$A2933,$T$2:$T$3000,"&lt;"&amp;$T2933)+1,""))</f>
        <v/>
      </c>
      <c r="V2933" t="str">
        <f t="shared" si="685"/>
        <v/>
      </c>
      <c r="W2933" t="str">
        <f t="shared" si="686"/>
        <v/>
      </c>
      <c r="X2933" t="str">
        <f t="shared" si="687"/>
        <v/>
      </c>
      <c r="Y2933" t="str">
        <f t="shared" si="688"/>
        <v/>
      </c>
      <c r="Z2933">
        <f>IF($A2933="",0,IF(AND($M2933=1,$A2933=经营数据!$B$3,$J2933=经营数据!$BA$5,OR($I2933=经营数据!$BA$4,COUNTIF(经营数据!$AA$9:$AA$38,$I2933)&gt;0)),1,0))</f>
        <v>0</v>
      </c>
      <c r="AA2933" t="str">
        <f t="shared" si="689"/>
        <v/>
      </c>
      <c r="AB2933" t="str">
        <f t="shared" si="690"/>
        <v/>
      </c>
      <c r="AC2933">
        <f>IF($A2933="",0,IF(COUNTIF($A$2:$A2933,$A2933)=1,1,0))</f>
        <v>0</v>
      </c>
      <c r="AD2933">
        <f t="shared" si="691"/>
        <v>29</v>
      </c>
      <c r="AE2933" t="str">
        <f t="shared" si="692"/>
        <v/>
      </c>
    </row>
    <row r="2934" spans="1:31" x14ac:dyDescent="0.4">
      <c r="A2934" t="str">
        <f>IF(原始经营数据!$D2935="","",原始经营数据!$D2935)</f>
        <v/>
      </c>
      <c r="B2934" t="str">
        <f>IF(原始经营数据!$D2935="","",T(原始经营数据!$E2935))</f>
        <v/>
      </c>
      <c r="C2934" t="str">
        <f>IF(原始经营数据!$D2935="","",原始经营数据!$F2935)</f>
        <v/>
      </c>
      <c r="D2934" t="str">
        <f>IF(原始经营数据!$D2935="","",原始经营数据!$H2935)</f>
        <v/>
      </c>
      <c r="E2934" t="str">
        <f>IF(原始经营数据!$D2935="","",原始经营数据!$I2935)</f>
        <v/>
      </c>
      <c r="F2934" t="str">
        <f>IF(原始经营数据!$D2935="","",T(原始经营数据!$J2935))</f>
        <v/>
      </c>
      <c r="G2934" t="str">
        <f>IF(原始经营数据!$D2935="","",T(原始经营数据!$K2935))</f>
        <v/>
      </c>
      <c r="H2934" t="str">
        <f>IF(原始经营数据!$D2935="","",原始经营数据!$G2935)</f>
        <v/>
      </c>
      <c r="I2934" t="str">
        <f>IF($A2934="","",IF($B2934&lt;&gt;"",$B2934,IF(COUNTIFS(原始经营数据!$D$3:$D$3001,$A2934,原始经营数据!$E$3:$E$3001,"",原始经营数据!$F$3:$F$3001,$C2934,原始经营数据!$H$3:$H$3001,$D2934,原始经营数据!$K$3:$K$3001,$G2934)&gt;1,"基金整体·来源"&amp;原始经营数据!$A2935,"基金整体")))</f>
        <v/>
      </c>
      <c r="J2934" t="str">
        <f t="shared" si="678"/>
        <v/>
      </c>
      <c r="K2934" t="str">
        <f t="shared" si="679"/>
        <v/>
      </c>
      <c r="L2934" t="str">
        <f t="shared" si="680"/>
        <v/>
      </c>
      <c r="M2934">
        <f>IF($A2934="",0,IF(COUNTIF($L$2:$L2934,$L2934)=1,1,0))</f>
        <v>0</v>
      </c>
      <c r="N2934" t="str">
        <f t="shared" si="681"/>
        <v/>
      </c>
      <c r="O2934" t="str">
        <f t="shared" si="682"/>
        <v/>
      </c>
      <c r="P2934">
        <f>IF($A2934="",0,IF(COUNTIF($O$2:$O2934,$O2934)=1,1,0))</f>
        <v>0</v>
      </c>
      <c r="Q2934" t="str">
        <f>IF(AND($P2934=1,$A2934=经营数据!$B$3,$J2934=经营数据!$BA$5),COUNTIFS($P$2:$P$3000,1,$A$2:$A$3000,$A2934,$J$2:$J$3000,$J2934,$N$2:$N$3000,"&lt;"&amp;$N2934)+1,"")</f>
        <v/>
      </c>
      <c r="R2934" t="str">
        <f t="shared" si="683"/>
        <v/>
      </c>
      <c r="S2934">
        <f>IF($A2934="",0,IF(COUNTIF($R$2:$R2934,$R2934)=1,1,0))</f>
        <v>0</v>
      </c>
      <c r="T2934" t="str">
        <f t="shared" si="684"/>
        <v/>
      </c>
      <c r="U2934" t="str">
        <f>IF($A2934="","",IF($A2934=经营数据!$B$3,COUNTIFS($S$2:$S$3000,1,$A$2:$A$3000,$A2934,$T$2:$T$3000,"&lt;"&amp;$T2934)+1,""))</f>
        <v/>
      </c>
      <c r="V2934" t="str">
        <f t="shared" si="685"/>
        <v/>
      </c>
      <c r="W2934" t="str">
        <f t="shared" si="686"/>
        <v/>
      </c>
      <c r="X2934" t="str">
        <f t="shared" si="687"/>
        <v/>
      </c>
      <c r="Y2934" t="str">
        <f t="shared" si="688"/>
        <v/>
      </c>
      <c r="Z2934">
        <f>IF($A2934="",0,IF(AND($M2934=1,$A2934=经营数据!$B$3,$J2934=经营数据!$BA$5,OR($I2934=经营数据!$BA$4,COUNTIF(经营数据!$AA$9:$AA$38,$I2934)&gt;0)),1,0))</f>
        <v>0</v>
      </c>
      <c r="AA2934" t="str">
        <f t="shared" si="689"/>
        <v/>
      </c>
      <c r="AB2934" t="str">
        <f t="shared" si="690"/>
        <v/>
      </c>
      <c r="AC2934">
        <f>IF($A2934="",0,IF(COUNTIF($A$2:$A2934,$A2934)=1,1,0))</f>
        <v>0</v>
      </c>
      <c r="AD2934">
        <f t="shared" si="691"/>
        <v>29</v>
      </c>
      <c r="AE2934" t="str">
        <f t="shared" si="692"/>
        <v/>
      </c>
    </row>
    <row r="2935" spans="1:31" x14ac:dyDescent="0.4">
      <c r="A2935" t="str">
        <f>IF(原始经营数据!$D2936="","",原始经营数据!$D2936)</f>
        <v/>
      </c>
      <c r="B2935" t="str">
        <f>IF(原始经营数据!$D2936="","",T(原始经营数据!$E2936))</f>
        <v/>
      </c>
      <c r="C2935" t="str">
        <f>IF(原始经营数据!$D2936="","",原始经营数据!$F2936)</f>
        <v/>
      </c>
      <c r="D2935" t="str">
        <f>IF(原始经营数据!$D2936="","",原始经营数据!$H2936)</f>
        <v/>
      </c>
      <c r="E2935" t="str">
        <f>IF(原始经营数据!$D2936="","",原始经营数据!$I2936)</f>
        <v/>
      </c>
      <c r="F2935" t="str">
        <f>IF(原始经营数据!$D2936="","",T(原始经营数据!$J2936))</f>
        <v/>
      </c>
      <c r="G2935" t="str">
        <f>IF(原始经营数据!$D2936="","",T(原始经营数据!$K2936))</f>
        <v/>
      </c>
      <c r="H2935" t="str">
        <f>IF(原始经营数据!$D2936="","",原始经营数据!$G2936)</f>
        <v/>
      </c>
      <c r="I2935" t="str">
        <f>IF($A2935="","",IF($B2935&lt;&gt;"",$B2935,IF(COUNTIFS(原始经营数据!$D$3:$D$3001,$A2935,原始经营数据!$E$3:$E$3001,"",原始经营数据!$F$3:$F$3001,$C2935,原始经营数据!$H$3:$H$3001,$D2935,原始经营数据!$K$3:$K$3001,$G2935)&gt;1,"基金整体·来源"&amp;原始经营数据!$A2936,"基金整体")))</f>
        <v/>
      </c>
      <c r="J2935" t="str">
        <f t="shared" si="678"/>
        <v/>
      </c>
      <c r="K2935" t="str">
        <f t="shared" si="679"/>
        <v/>
      </c>
      <c r="L2935" t="str">
        <f t="shared" si="680"/>
        <v/>
      </c>
      <c r="M2935">
        <f>IF($A2935="",0,IF(COUNTIF($L$2:$L2935,$L2935)=1,1,0))</f>
        <v>0</v>
      </c>
      <c r="N2935" t="str">
        <f t="shared" si="681"/>
        <v/>
      </c>
      <c r="O2935" t="str">
        <f t="shared" si="682"/>
        <v/>
      </c>
      <c r="P2935">
        <f>IF($A2935="",0,IF(COUNTIF($O$2:$O2935,$O2935)=1,1,0))</f>
        <v>0</v>
      </c>
      <c r="Q2935" t="str">
        <f>IF(AND($P2935=1,$A2935=经营数据!$B$3,$J2935=经营数据!$BA$5),COUNTIFS($P$2:$P$3000,1,$A$2:$A$3000,$A2935,$J$2:$J$3000,$J2935,$N$2:$N$3000,"&lt;"&amp;$N2935)+1,"")</f>
        <v/>
      </c>
      <c r="R2935" t="str">
        <f t="shared" si="683"/>
        <v/>
      </c>
      <c r="S2935">
        <f>IF($A2935="",0,IF(COUNTIF($R$2:$R2935,$R2935)=1,1,0))</f>
        <v>0</v>
      </c>
      <c r="T2935" t="str">
        <f t="shared" si="684"/>
        <v/>
      </c>
      <c r="U2935" t="str">
        <f>IF($A2935="","",IF($A2935=经营数据!$B$3,COUNTIFS($S$2:$S$3000,1,$A$2:$A$3000,$A2935,$T$2:$T$3000,"&lt;"&amp;$T2935)+1,""))</f>
        <v/>
      </c>
      <c r="V2935" t="str">
        <f t="shared" si="685"/>
        <v/>
      </c>
      <c r="W2935" t="str">
        <f t="shared" si="686"/>
        <v/>
      </c>
      <c r="X2935" t="str">
        <f t="shared" si="687"/>
        <v/>
      </c>
      <c r="Y2935" t="str">
        <f t="shared" si="688"/>
        <v/>
      </c>
      <c r="Z2935">
        <f>IF($A2935="",0,IF(AND($M2935=1,$A2935=经营数据!$B$3,$J2935=经营数据!$BA$5,OR($I2935=经营数据!$BA$4,COUNTIF(经营数据!$AA$9:$AA$38,$I2935)&gt;0)),1,0))</f>
        <v>0</v>
      </c>
      <c r="AA2935" t="str">
        <f t="shared" si="689"/>
        <v/>
      </c>
      <c r="AB2935" t="str">
        <f t="shared" si="690"/>
        <v/>
      </c>
      <c r="AC2935">
        <f>IF($A2935="",0,IF(COUNTIF($A$2:$A2935,$A2935)=1,1,0))</f>
        <v>0</v>
      </c>
      <c r="AD2935">
        <f t="shared" si="691"/>
        <v>29</v>
      </c>
      <c r="AE2935" t="str">
        <f t="shared" si="692"/>
        <v/>
      </c>
    </row>
    <row r="2936" spans="1:31" x14ac:dyDescent="0.4">
      <c r="A2936" t="str">
        <f>IF(原始经营数据!$D2937="","",原始经营数据!$D2937)</f>
        <v/>
      </c>
      <c r="B2936" t="str">
        <f>IF(原始经营数据!$D2937="","",T(原始经营数据!$E2937))</f>
        <v/>
      </c>
      <c r="C2936" t="str">
        <f>IF(原始经营数据!$D2937="","",原始经营数据!$F2937)</f>
        <v/>
      </c>
      <c r="D2936" t="str">
        <f>IF(原始经营数据!$D2937="","",原始经营数据!$H2937)</f>
        <v/>
      </c>
      <c r="E2936" t="str">
        <f>IF(原始经营数据!$D2937="","",原始经营数据!$I2937)</f>
        <v/>
      </c>
      <c r="F2936" t="str">
        <f>IF(原始经营数据!$D2937="","",T(原始经营数据!$J2937))</f>
        <v/>
      </c>
      <c r="G2936" t="str">
        <f>IF(原始经营数据!$D2937="","",T(原始经营数据!$K2937))</f>
        <v/>
      </c>
      <c r="H2936" t="str">
        <f>IF(原始经营数据!$D2937="","",原始经营数据!$G2937)</f>
        <v/>
      </c>
      <c r="I2936" t="str">
        <f>IF($A2936="","",IF($B2936&lt;&gt;"",$B2936,IF(COUNTIFS(原始经营数据!$D$3:$D$3001,$A2936,原始经营数据!$E$3:$E$3001,"",原始经营数据!$F$3:$F$3001,$C2936,原始经营数据!$H$3:$H$3001,$D2936,原始经营数据!$K$3:$K$3001,$G2936)&gt;1,"基金整体·来源"&amp;原始经营数据!$A2937,"基金整体")))</f>
        <v/>
      </c>
      <c r="J2936" t="str">
        <f t="shared" si="678"/>
        <v/>
      </c>
      <c r="K2936" t="str">
        <f t="shared" si="679"/>
        <v/>
      </c>
      <c r="L2936" t="str">
        <f t="shared" si="680"/>
        <v/>
      </c>
      <c r="M2936">
        <f>IF($A2936="",0,IF(COUNTIF($L$2:$L2936,$L2936)=1,1,0))</f>
        <v>0</v>
      </c>
      <c r="N2936" t="str">
        <f t="shared" si="681"/>
        <v/>
      </c>
      <c r="O2936" t="str">
        <f t="shared" si="682"/>
        <v/>
      </c>
      <c r="P2936">
        <f>IF($A2936="",0,IF(COUNTIF($O$2:$O2936,$O2936)=1,1,0))</f>
        <v>0</v>
      </c>
      <c r="Q2936" t="str">
        <f>IF(AND($P2936=1,$A2936=经营数据!$B$3,$J2936=经营数据!$BA$5),COUNTIFS($P$2:$P$3000,1,$A$2:$A$3000,$A2936,$J$2:$J$3000,$J2936,$N$2:$N$3000,"&lt;"&amp;$N2936)+1,"")</f>
        <v/>
      </c>
      <c r="R2936" t="str">
        <f t="shared" si="683"/>
        <v/>
      </c>
      <c r="S2936">
        <f>IF($A2936="",0,IF(COUNTIF($R$2:$R2936,$R2936)=1,1,0))</f>
        <v>0</v>
      </c>
      <c r="T2936" t="str">
        <f t="shared" si="684"/>
        <v/>
      </c>
      <c r="U2936" t="str">
        <f>IF($A2936="","",IF($A2936=经营数据!$B$3,COUNTIFS($S$2:$S$3000,1,$A$2:$A$3000,$A2936,$T$2:$T$3000,"&lt;"&amp;$T2936)+1,""))</f>
        <v/>
      </c>
      <c r="V2936" t="str">
        <f t="shared" si="685"/>
        <v/>
      </c>
      <c r="W2936" t="str">
        <f t="shared" si="686"/>
        <v/>
      </c>
      <c r="X2936" t="str">
        <f t="shared" si="687"/>
        <v/>
      </c>
      <c r="Y2936" t="str">
        <f t="shared" si="688"/>
        <v/>
      </c>
      <c r="Z2936">
        <f>IF($A2936="",0,IF(AND($M2936=1,$A2936=经营数据!$B$3,$J2936=经营数据!$BA$5,OR($I2936=经营数据!$BA$4,COUNTIF(经营数据!$AA$9:$AA$38,$I2936)&gt;0)),1,0))</f>
        <v>0</v>
      </c>
      <c r="AA2936" t="str">
        <f t="shared" si="689"/>
        <v/>
      </c>
      <c r="AB2936" t="str">
        <f t="shared" si="690"/>
        <v/>
      </c>
      <c r="AC2936">
        <f>IF($A2936="",0,IF(COUNTIF($A$2:$A2936,$A2936)=1,1,0))</f>
        <v>0</v>
      </c>
      <c r="AD2936">
        <f t="shared" si="691"/>
        <v>29</v>
      </c>
      <c r="AE2936" t="str">
        <f t="shared" si="692"/>
        <v/>
      </c>
    </row>
    <row r="2937" spans="1:31" x14ac:dyDescent="0.4">
      <c r="A2937" t="str">
        <f>IF(原始经营数据!$D2938="","",原始经营数据!$D2938)</f>
        <v/>
      </c>
      <c r="B2937" t="str">
        <f>IF(原始经营数据!$D2938="","",T(原始经营数据!$E2938))</f>
        <v/>
      </c>
      <c r="C2937" t="str">
        <f>IF(原始经营数据!$D2938="","",原始经营数据!$F2938)</f>
        <v/>
      </c>
      <c r="D2937" t="str">
        <f>IF(原始经营数据!$D2938="","",原始经营数据!$H2938)</f>
        <v/>
      </c>
      <c r="E2937" t="str">
        <f>IF(原始经营数据!$D2938="","",原始经营数据!$I2938)</f>
        <v/>
      </c>
      <c r="F2937" t="str">
        <f>IF(原始经营数据!$D2938="","",T(原始经营数据!$J2938))</f>
        <v/>
      </c>
      <c r="G2937" t="str">
        <f>IF(原始经营数据!$D2938="","",T(原始经营数据!$K2938))</f>
        <v/>
      </c>
      <c r="H2937" t="str">
        <f>IF(原始经营数据!$D2938="","",原始经营数据!$G2938)</f>
        <v/>
      </c>
      <c r="I2937" t="str">
        <f>IF($A2937="","",IF($B2937&lt;&gt;"",$B2937,IF(COUNTIFS(原始经营数据!$D$3:$D$3001,$A2937,原始经营数据!$E$3:$E$3001,"",原始经营数据!$F$3:$F$3001,$C2937,原始经营数据!$H$3:$H$3001,$D2937,原始经营数据!$K$3:$K$3001,$G2937)&gt;1,"基金整体·来源"&amp;原始经营数据!$A2938,"基金整体")))</f>
        <v/>
      </c>
      <c r="J2937" t="str">
        <f t="shared" si="678"/>
        <v/>
      </c>
      <c r="K2937" t="str">
        <f t="shared" si="679"/>
        <v/>
      </c>
      <c r="L2937" t="str">
        <f t="shared" si="680"/>
        <v/>
      </c>
      <c r="M2937">
        <f>IF($A2937="",0,IF(COUNTIF($L$2:$L2937,$L2937)=1,1,0))</f>
        <v>0</v>
      </c>
      <c r="N2937" t="str">
        <f t="shared" si="681"/>
        <v/>
      </c>
      <c r="O2937" t="str">
        <f t="shared" si="682"/>
        <v/>
      </c>
      <c r="P2937">
        <f>IF($A2937="",0,IF(COUNTIF($O$2:$O2937,$O2937)=1,1,0))</f>
        <v>0</v>
      </c>
      <c r="Q2937" t="str">
        <f>IF(AND($P2937=1,$A2937=经营数据!$B$3,$J2937=经营数据!$BA$5),COUNTIFS($P$2:$P$3000,1,$A$2:$A$3000,$A2937,$J$2:$J$3000,$J2937,$N$2:$N$3000,"&lt;"&amp;$N2937)+1,"")</f>
        <v/>
      </c>
      <c r="R2937" t="str">
        <f t="shared" si="683"/>
        <v/>
      </c>
      <c r="S2937">
        <f>IF($A2937="",0,IF(COUNTIF($R$2:$R2937,$R2937)=1,1,0))</f>
        <v>0</v>
      </c>
      <c r="T2937" t="str">
        <f t="shared" si="684"/>
        <v/>
      </c>
      <c r="U2937" t="str">
        <f>IF($A2937="","",IF($A2937=经营数据!$B$3,COUNTIFS($S$2:$S$3000,1,$A$2:$A$3000,$A2937,$T$2:$T$3000,"&lt;"&amp;$T2937)+1,""))</f>
        <v/>
      </c>
      <c r="V2937" t="str">
        <f t="shared" si="685"/>
        <v/>
      </c>
      <c r="W2937" t="str">
        <f t="shared" si="686"/>
        <v/>
      </c>
      <c r="X2937" t="str">
        <f t="shared" si="687"/>
        <v/>
      </c>
      <c r="Y2937" t="str">
        <f t="shared" si="688"/>
        <v/>
      </c>
      <c r="Z2937">
        <f>IF($A2937="",0,IF(AND($M2937=1,$A2937=经营数据!$B$3,$J2937=经营数据!$BA$5,OR($I2937=经营数据!$BA$4,COUNTIF(经营数据!$AA$9:$AA$38,$I2937)&gt;0)),1,0))</f>
        <v>0</v>
      </c>
      <c r="AA2937" t="str">
        <f t="shared" si="689"/>
        <v/>
      </c>
      <c r="AB2937" t="str">
        <f t="shared" si="690"/>
        <v/>
      </c>
      <c r="AC2937">
        <f>IF($A2937="",0,IF(COUNTIF($A$2:$A2937,$A2937)=1,1,0))</f>
        <v>0</v>
      </c>
      <c r="AD2937">
        <f t="shared" si="691"/>
        <v>29</v>
      </c>
      <c r="AE2937" t="str">
        <f t="shared" si="692"/>
        <v/>
      </c>
    </row>
    <row r="2938" spans="1:31" x14ac:dyDescent="0.4">
      <c r="A2938" t="str">
        <f>IF(原始经营数据!$D2939="","",原始经营数据!$D2939)</f>
        <v/>
      </c>
      <c r="B2938" t="str">
        <f>IF(原始经营数据!$D2939="","",T(原始经营数据!$E2939))</f>
        <v/>
      </c>
      <c r="C2938" t="str">
        <f>IF(原始经营数据!$D2939="","",原始经营数据!$F2939)</f>
        <v/>
      </c>
      <c r="D2938" t="str">
        <f>IF(原始经营数据!$D2939="","",原始经营数据!$H2939)</f>
        <v/>
      </c>
      <c r="E2938" t="str">
        <f>IF(原始经营数据!$D2939="","",原始经营数据!$I2939)</f>
        <v/>
      </c>
      <c r="F2938" t="str">
        <f>IF(原始经营数据!$D2939="","",T(原始经营数据!$J2939))</f>
        <v/>
      </c>
      <c r="G2938" t="str">
        <f>IF(原始经营数据!$D2939="","",T(原始经营数据!$K2939))</f>
        <v/>
      </c>
      <c r="H2938" t="str">
        <f>IF(原始经营数据!$D2939="","",原始经营数据!$G2939)</f>
        <v/>
      </c>
      <c r="I2938" t="str">
        <f>IF($A2938="","",IF($B2938&lt;&gt;"",$B2938,IF(COUNTIFS(原始经营数据!$D$3:$D$3001,$A2938,原始经营数据!$E$3:$E$3001,"",原始经营数据!$F$3:$F$3001,$C2938,原始经营数据!$H$3:$H$3001,$D2938,原始经营数据!$K$3:$K$3001,$G2938)&gt;1,"基金整体·来源"&amp;原始经营数据!$A2939,"基金整体")))</f>
        <v/>
      </c>
      <c r="J2938" t="str">
        <f t="shared" si="678"/>
        <v/>
      </c>
      <c r="K2938" t="str">
        <f t="shared" si="679"/>
        <v/>
      </c>
      <c r="L2938" t="str">
        <f t="shared" si="680"/>
        <v/>
      </c>
      <c r="M2938">
        <f>IF($A2938="",0,IF(COUNTIF($L$2:$L2938,$L2938)=1,1,0))</f>
        <v>0</v>
      </c>
      <c r="N2938" t="str">
        <f t="shared" si="681"/>
        <v/>
      </c>
      <c r="O2938" t="str">
        <f t="shared" si="682"/>
        <v/>
      </c>
      <c r="P2938">
        <f>IF($A2938="",0,IF(COUNTIF($O$2:$O2938,$O2938)=1,1,0))</f>
        <v>0</v>
      </c>
      <c r="Q2938" t="str">
        <f>IF(AND($P2938=1,$A2938=经营数据!$B$3,$J2938=经营数据!$BA$5),COUNTIFS($P$2:$P$3000,1,$A$2:$A$3000,$A2938,$J$2:$J$3000,$J2938,$N$2:$N$3000,"&lt;"&amp;$N2938)+1,"")</f>
        <v/>
      </c>
      <c r="R2938" t="str">
        <f t="shared" si="683"/>
        <v/>
      </c>
      <c r="S2938">
        <f>IF($A2938="",0,IF(COUNTIF($R$2:$R2938,$R2938)=1,1,0))</f>
        <v>0</v>
      </c>
      <c r="T2938" t="str">
        <f t="shared" si="684"/>
        <v/>
      </c>
      <c r="U2938" t="str">
        <f>IF($A2938="","",IF($A2938=经营数据!$B$3,COUNTIFS($S$2:$S$3000,1,$A$2:$A$3000,$A2938,$T$2:$T$3000,"&lt;"&amp;$T2938)+1,""))</f>
        <v/>
      </c>
      <c r="V2938" t="str">
        <f t="shared" si="685"/>
        <v/>
      </c>
      <c r="W2938" t="str">
        <f t="shared" si="686"/>
        <v/>
      </c>
      <c r="X2938" t="str">
        <f t="shared" si="687"/>
        <v/>
      </c>
      <c r="Y2938" t="str">
        <f t="shared" si="688"/>
        <v/>
      </c>
      <c r="Z2938">
        <f>IF($A2938="",0,IF(AND($M2938=1,$A2938=经营数据!$B$3,$J2938=经营数据!$BA$5,OR($I2938=经营数据!$BA$4,COUNTIF(经营数据!$AA$9:$AA$38,$I2938)&gt;0)),1,0))</f>
        <v>0</v>
      </c>
      <c r="AA2938" t="str">
        <f t="shared" si="689"/>
        <v/>
      </c>
      <c r="AB2938" t="str">
        <f t="shared" si="690"/>
        <v/>
      </c>
      <c r="AC2938">
        <f>IF($A2938="",0,IF(COUNTIF($A$2:$A2938,$A2938)=1,1,0))</f>
        <v>0</v>
      </c>
      <c r="AD2938">
        <f t="shared" si="691"/>
        <v>29</v>
      </c>
      <c r="AE2938" t="str">
        <f t="shared" si="692"/>
        <v/>
      </c>
    </row>
    <row r="2939" spans="1:31" x14ac:dyDescent="0.4">
      <c r="A2939" t="str">
        <f>IF(原始经营数据!$D2940="","",原始经营数据!$D2940)</f>
        <v/>
      </c>
      <c r="B2939" t="str">
        <f>IF(原始经营数据!$D2940="","",T(原始经营数据!$E2940))</f>
        <v/>
      </c>
      <c r="C2939" t="str">
        <f>IF(原始经营数据!$D2940="","",原始经营数据!$F2940)</f>
        <v/>
      </c>
      <c r="D2939" t="str">
        <f>IF(原始经营数据!$D2940="","",原始经营数据!$H2940)</f>
        <v/>
      </c>
      <c r="E2939" t="str">
        <f>IF(原始经营数据!$D2940="","",原始经营数据!$I2940)</f>
        <v/>
      </c>
      <c r="F2939" t="str">
        <f>IF(原始经营数据!$D2940="","",T(原始经营数据!$J2940))</f>
        <v/>
      </c>
      <c r="G2939" t="str">
        <f>IF(原始经营数据!$D2940="","",T(原始经营数据!$K2940))</f>
        <v/>
      </c>
      <c r="H2939" t="str">
        <f>IF(原始经营数据!$D2940="","",原始经营数据!$G2940)</f>
        <v/>
      </c>
      <c r="I2939" t="str">
        <f>IF($A2939="","",IF($B2939&lt;&gt;"",$B2939,IF(COUNTIFS(原始经营数据!$D$3:$D$3001,$A2939,原始经营数据!$E$3:$E$3001,"",原始经营数据!$F$3:$F$3001,$C2939,原始经营数据!$H$3:$H$3001,$D2939,原始经营数据!$K$3:$K$3001,$G2939)&gt;1,"基金整体·来源"&amp;原始经营数据!$A2940,"基金整体")))</f>
        <v/>
      </c>
      <c r="J2939" t="str">
        <f t="shared" si="678"/>
        <v/>
      </c>
      <c r="K2939" t="str">
        <f t="shared" si="679"/>
        <v/>
      </c>
      <c r="L2939" t="str">
        <f t="shared" si="680"/>
        <v/>
      </c>
      <c r="M2939">
        <f>IF($A2939="",0,IF(COUNTIF($L$2:$L2939,$L2939)=1,1,0))</f>
        <v>0</v>
      </c>
      <c r="N2939" t="str">
        <f t="shared" si="681"/>
        <v/>
      </c>
      <c r="O2939" t="str">
        <f t="shared" si="682"/>
        <v/>
      </c>
      <c r="P2939">
        <f>IF($A2939="",0,IF(COUNTIF($O$2:$O2939,$O2939)=1,1,0))</f>
        <v>0</v>
      </c>
      <c r="Q2939" t="str">
        <f>IF(AND($P2939=1,$A2939=经营数据!$B$3,$J2939=经营数据!$BA$5),COUNTIFS($P$2:$P$3000,1,$A$2:$A$3000,$A2939,$J$2:$J$3000,$J2939,$N$2:$N$3000,"&lt;"&amp;$N2939)+1,"")</f>
        <v/>
      </c>
      <c r="R2939" t="str">
        <f t="shared" si="683"/>
        <v/>
      </c>
      <c r="S2939">
        <f>IF($A2939="",0,IF(COUNTIF($R$2:$R2939,$R2939)=1,1,0))</f>
        <v>0</v>
      </c>
      <c r="T2939" t="str">
        <f t="shared" si="684"/>
        <v/>
      </c>
      <c r="U2939" t="str">
        <f>IF($A2939="","",IF($A2939=经营数据!$B$3,COUNTIFS($S$2:$S$3000,1,$A$2:$A$3000,$A2939,$T$2:$T$3000,"&lt;"&amp;$T2939)+1,""))</f>
        <v/>
      </c>
      <c r="V2939" t="str">
        <f t="shared" si="685"/>
        <v/>
      </c>
      <c r="W2939" t="str">
        <f t="shared" si="686"/>
        <v/>
      </c>
      <c r="X2939" t="str">
        <f t="shared" si="687"/>
        <v/>
      </c>
      <c r="Y2939" t="str">
        <f t="shared" si="688"/>
        <v/>
      </c>
      <c r="Z2939">
        <f>IF($A2939="",0,IF(AND($M2939=1,$A2939=经营数据!$B$3,$J2939=经营数据!$BA$5,OR($I2939=经营数据!$BA$4,COUNTIF(经营数据!$AA$9:$AA$38,$I2939)&gt;0)),1,0))</f>
        <v>0</v>
      </c>
      <c r="AA2939" t="str">
        <f t="shared" si="689"/>
        <v/>
      </c>
      <c r="AB2939" t="str">
        <f t="shared" si="690"/>
        <v/>
      </c>
      <c r="AC2939">
        <f>IF($A2939="",0,IF(COUNTIF($A$2:$A2939,$A2939)=1,1,0))</f>
        <v>0</v>
      </c>
      <c r="AD2939">
        <f t="shared" si="691"/>
        <v>29</v>
      </c>
      <c r="AE2939" t="str">
        <f t="shared" si="692"/>
        <v/>
      </c>
    </row>
    <row r="2940" spans="1:31" x14ac:dyDescent="0.4">
      <c r="A2940" t="str">
        <f>IF(原始经营数据!$D2941="","",原始经营数据!$D2941)</f>
        <v/>
      </c>
      <c r="B2940" t="str">
        <f>IF(原始经营数据!$D2941="","",T(原始经营数据!$E2941))</f>
        <v/>
      </c>
      <c r="C2940" t="str">
        <f>IF(原始经营数据!$D2941="","",原始经营数据!$F2941)</f>
        <v/>
      </c>
      <c r="D2940" t="str">
        <f>IF(原始经营数据!$D2941="","",原始经营数据!$H2941)</f>
        <v/>
      </c>
      <c r="E2940" t="str">
        <f>IF(原始经营数据!$D2941="","",原始经营数据!$I2941)</f>
        <v/>
      </c>
      <c r="F2940" t="str">
        <f>IF(原始经营数据!$D2941="","",T(原始经营数据!$J2941))</f>
        <v/>
      </c>
      <c r="G2940" t="str">
        <f>IF(原始经营数据!$D2941="","",T(原始经营数据!$K2941))</f>
        <v/>
      </c>
      <c r="H2940" t="str">
        <f>IF(原始经营数据!$D2941="","",原始经营数据!$G2941)</f>
        <v/>
      </c>
      <c r="I2940" t="str">
        <f>IF($A2940="","",IF($B2940&lt;&gt;"",$B2940,IF(COUNTIFS(原始经营数据!$D$3:$D$3001,$A2940,原始经营数据!$E$3:$E$3001,"",原始经营数据!$F$3:$F$3001,$C2940,原始经营数据!$H$3:$H$3001,$D2940,原始经营数据!$K$3:$K$3001,$G2940)&gt;1,"基金整体·来源"&amp;原始经营数据!$A2941,"基金整体")))</f>
        <v/>
      </c>
      <c r="J2940" t="str">
        <f t="shared" si="678"/>
        <v/>
      </c>
      <c r="K2940" t="str">
        <f t="shared" si="679"/>
        <v/>
      </c>
      <c r="L2940" t="str">
        <f t="shared" si="680"/>
        <v/>
      </c>
      <c r="M2940">
        <f>IF($A2940="",0,IF(COUNTIF($L$2:$L2940,$L2940)=1,1,0))</f>
        <v>0</v>
      </c>
      <c r="N2940" t="str">
        <f t="shared" si="681"/>
        <v/>
      </c>
      <c r="O2940" t="str">
        <f t="shared" si="682"/>
        <v/>
      </c>
      <c r="P2940">
        <f>IF($A2940="",0,IF(COUNTIF($O$2:$O2940,$O2940)=1,1,0))</f>
        <v>0</v>
      </c>
      <c r="Q2940" t="str">
        <f>IF(AND($P2940=1,$A2940=经营数据!$B$3,$J2940=经营数据!$BA$5),COUNTIFS($P$2:$P$3000,1,$A$2:$A$3000,$A2940,$J$2:$J$3000,$J2940,$N$2:$N$3000,"&lt;"&amp;$N2940)+1,"")</f>
        <v/>
      </c>
      <c r="R2940" t="str">
        <f t="shared" si="683"/>
        <v/>
      </c>
      <c r="S2940">
        <f>IF($A2940="",0,IF(COUNTIF($R$2:$R2940,$R2940)=1,1,0))</f>
        <v>0</v>
      </c>
      <c r="T2940" t="str">
        <f t="shared" si="684"/>
        <v/>
      </c>
      <c r="U2940" t="str">
        <f>IF($A2940="","",IF($A2940=经营数据!$B$3,COUNTIFS($S$2:$S$3000,1,$A$2:$A$3000,$A2940,$T$2:$T$3000,"&lt;"&amp;$T2940)+1,""))</f>
        <v/>
      </c>
      <c r="V2940" t="str">
        <f t="shared" si="685"/>
        <v/>
      </c>
      <c r="W2940" t="str">
        <f t="shared" si="686"/>
        <v/>
      </c>
      <c r="X2940" t="str">
        <f t="shared" si="687"/>
        <v/>
      </c>
      <c r="Y2940" t="str">
        <f t="shared" si="688"/>
        <v/>
      </c>
      <c r="Z2940">
        <f>IF($A2940="",0,IF(AND($M2940=1,$A2940=经营数据!$B$3,$J2940=经营数据!$BA$5,OR($I2940=经营数据!$BA$4,COUNTIF(经营数据!$AA$9:$AA$38,$I2940)&gt;0)),1,0))</f>
        <v>0</v>
      </c>
      <c r="AA2940" t="str">
        <f t="shared" si="689"/>
        <v/>
      </c>
      <c r="AB2940" t="str">
        <f t="shared" si="690"/>
        <v/>
      </c>
      <c r="AC2940">
        <f>IF($A2940="",0,IF(COUNTIF($A$2:$A2940,$A2940)=1,1,0))</f>
        <v>0</v>
      </c>
      <c r="AD2940">
        <f t="shared" si="691"/>
        <v>29</v>
      </c>
      <c r="AE2940" t="str">
        <f t="shared" si="692"/>
        <v/>
      </c>
    </row>
    <row r="2941" spans="1:31" x14ac:dyDescent="0.4">
      <c r="A2941" t="str">
        <f>IF(原始经营数据!$D2942="","",原始经营数据!$D2942)</f>
        <v/>
      </c>
      <c r="B2941" t="str">
        <f>IF(原始经营数据!$D2942="","",T(原始经营数据!$E2942))</f>
        <v/>
      </c>
      <c r="C2941" t="str">
        <f>IF(原始经营数据!$D2942="","",原始经营数据!$F2942)</f>
        <v/>
      </c>
      <c r="D2941" t="str">
        <f>IF(原始经营数据!$D2942="","",原始经营数据!$H2942)</f>
        <v/>
      </c>
      <c r="E2941" t="str">
        <f>IF(原始经营数据!$D2942="","",原始经营数据!$I2942)</f>
        <v/>
      </c>
      <c r="F2941" t="str">
        <f>IF(原始经营数据!$D2942="","",T(原始经营数据!$J2942))</f>
        <v/>
      </c>
      <c r="G2941" t="str">
        <f>IF(原始经营数据!$D2942="","",T(原始经营数据!$K2942))</f>
        <v/>
      </c>
      <c r="H2941" t="str">
        <f>IF(原始经营数据!$D2942="","",原始经营数据!$G2942)</f>
        <v/>
      </c>
      <c r="I2941" t="str">
        <f>IF($A2941="","",IF($B2941&lt;&gt;"",$B2941,IF(COUNTIFS(原始经营数据!$D$3:$D$3001,$A2941,原始经营数据!$E$3:$E$3001,"",原始经营数据!$F$3:$F$3001,$C2941,原始经营数据!$H$3:$H$3001,$D2941,原始经营数据!$K$3:$K$3001,$G2941)&gt;1,"基金整体·来源"&amp;原始经营数据!$A2942,"基金整体")))</f>
        <v/>
      </c>
      <c r="J2941" t="str">
        <f t="shared" si="678"/>
        <v/>
      </c>
      <c r="K2941" t="str">
        <f t="shared" si="679"/>
        <v/>
      </c>
      <c r="L2941" t="str">
        <f t="shared" si="680"/>
        <v/>
      </c>
      <c r="M2941">
        <f>IF($A2941="",0,IF(COUNTIF($L$2:$L2941,$L2941)=1,1,0))</f>
        <v>0</v>
      </c>
      <c r="N2941" t="str">
        <f t="shared" si="681"/>
        <v/>
      </c>
      <c r="O2941" t="str">
        <f t="shared" si="682"/>
        <v/>
      </c>
      <c r="P2941">
        <f>IF($A2941="",0,IF(COUNTIF($O$2:$O2941,$O2941)=1,1,0))</f>
        <v>0</v>
      </c>
      <c r="Q2941" t="str">
        <f>IF(AND($P2941=1,$A2941=经营数据!$B$3,$J2941=经营数据!$BA$5),COUNTIFS($P$2:$P$3000,1,$A$2:$A$3000,$A2941,$J$2:$J$3000,$J2941,$N$2:$N$3000,"&lt;"&amp;$N2941)+1,"")</f>
        <v/>
      </c>
      <c r="R2941" t="str">
        <f t="shared" si="683"/>
        <v/>
      </c>
      <c r="S2941">
        <f>IF($A2941="",0,IF(COUNTIF($R$2:$R2941,$R2941)=1,1,0))</f>
        <v>0</v>
      </c>
      <c r="T2941" t="str">
        <f t="shared" si="684"/>
        <v/>
      </c>
      <c r="U2941" t="str">
        <f>IF($A2941="","",IF($A2941=经营数据!$B$3,COUNTIFS($S$2:$S$3000,1,$A$2:$A$3000,$A2941,$T$2:$T$3000,"&lt;"&amp;$T2941)+1,""))</f>
        <v/>
      </c>
      <c r="V2941" t="str">
        <f t="shared" si="685"/>
        <v/>
      </c>
      <c r="W2941" t="str">
        <f t="shared" si="686"/>
        <v/>
      </c>
      <c r="X2941" t="str">
        <f t="shared" si="687"/>
        <v/>
      </c>
      <c r="Y2941" t="str">
        <f t="shared" si="688"/>
        <v/>
      </c>
      <c r="Z2941">
        <f>IF($A2941="",0,IF(AND($M2941=1,$A2941=经营数据!$B$3,$J2941=经营数据!$BA$5,OR($I2941=经营数据!$BA$4,COUNTIF(经营数据!$AA$9:$AA$38,$I2941)&gt;0)),1,0))</f>
        <v>0</v>
      </c>
      <c r="AA2941" t="str">
        <f t="shared" si="689"/>
        <v/>
      </c>
      <c r="AB2941" t="str">
        <f t="shared" si="690"/>
        <v/>
      </c>
      <c r="AC2941">
        <f>IF($A2941="",0,IF(COUNTIF($A$2:$A2941,$A2941)=1,1,0))</f>
        <v>0</v>
      </c>
      <c r="AD2941">
        <f t="shared" si="691"/>
        <v>29</v>
      </c>
      <c r="AE2941" t="str">
        <f t="shared" si="692"/>
        <v/>
      </c>
    </row>
    <row r="2942" spans="1:31" x14ac:dyDescent="0.4">
      <c r="A2942" t="str">
        <f>IF(原始经营数据!$D2943="","",原始经营数据!$D2943)</f>
        <v/>
      </c>
      <c r="B2942" t="str">
        <f>IF(原始经营数据!$D2943="","",T(原始经营数据!$E2943))</f>
        <v/>
      </c>
      <c r="C2942" t="str">
        <f>IF(原始经营数据!$D2943="","",原始经营数据!$F2943)</f>
        <v/>
      </c>
      <c r="D2942" t="str">
        <f>IF(原始经营数据!$D2943="","",原始经营数据!$H2943)</f>
        <v/>
      </c>
      <c r="E2942" t="str">
        <f>IF(原始经营数据!$D2943="","",原始经营数据!$I2943)</f>
        <v/>
      </c>
      <c r="F2942" t="str">
        <f>IF(原始经营数据!$D2943="","",T(原始经营数据!$J2943))</f>
        <v/>
      </c>
      <c r="G2942" t="str">
        <f>IF(原始经营数据!$D2943="","",T(原始经营数据!$K2943))</f>
        <v/>
      </c>
      <c r="H2942" t="str">
        <f>IF(原始经营数据!$D2943="","",原始经营数据!$G2943)</f>
        <v/>
      </c>
      <c r="I2942" t="str">
        <f>IF($A2942="","",IF($B2942&lt;&gt;"",$B2942,IF(COUNTIFS(原始经营数据!$D$3:$D$3001,$A2942,原始经营数据!$E$3:$E$3001,"",原始经营数据!$F$3:$F$3001,$C2942,原始经营数据!$H$3:$H$3001,$D2942,原始经营数据!$K$3:$K$3001,$G2942)&gt;1,"基金整体·来源"&amp;原始经营数据!$A2943,"基金整体")))</f>
        <v/>
      </c>
      <c r="J2942" t="str">
        <f t="shared" si="678"/>
        <v/>
      </c>
      <c r="K2942" t="str">
        <f t="shared" si="679"/>
        <v/>
      </c>
      <c r="L2942" t="str">
        <f t="shared" si="680"/>
        <v/>
      </c>
      <c r="M2942">
        <f>IF($A2942="",0,IF(COUNTIF($L$2:$L2942,$L2942)=1,1,0))</f>
        <v>0</v>
      </c>
      <c r="N2942" t="str">
        <f t="shared" si="681"/>
        <v/>
      </c>
      <c r="O2942" t="str">
        <f t="shared" si="682"/>
        <v/>
      </c>
      <c r="P2942">
        <f>IF($A2942="",0,IF(COUNTIF($O$2:$O2942,$O2942)=1,1,0))</f>
        <v>0</v>
      </c>
      <c r="Q2942" t="str">
        <f>IF(AND($P2942=1,$A2942=经营数据!$B$3,$J2942=经营数据!$BA$5),COUNTIFS($P$2:$P$3000,1,$A$2:$A$3000,$A2942,$J$2:$J$3000,$J2942,$N$2:$N$3000,"&lt;"&amp;$N2942)+1,"")</f>
        <v/>
      </c>
      <c r="R2942" t="str">
        <f t="shared" si="683"/>
        <v/>
      </c>
      <c r="S2942">
        <f>IF($A2942="",0,IF(COUNTIF($R$2:$R2942,$R2942)=1,1,0))</f>
        <v>0</v>
      </c>
      <c r="T2942" t="str">
        <f t="shared" si="684"/>
        <v/>
      </c>
      <c r="U2942" t="str">
        <f>IF($A2942="","",IF($A2942=经营数据!$B$3,COUNTIFS($S$2:$S$3000,1,$A$2:$A$3000,$A2942,$T$2:$T$3000,"&lt;"&amp;$T2942)+1,""))</f>
        <v/>
      </c>
      <c r="V2942" t="str">
        <f t="shared" si="685"/>
        <v/>
      </c>
      <c r="W2942" t="str">
        <f t="shared" si="686"/>
        <v/>
      </c>
      <c r="X2942" t="str">
        <f t="shared" si="687"/>
        <v/>
      </c>
      <c r="Y2942" t="str">
        <f t="shared" si="688"/>
        <v/>
      </c>
      <c r="Z2942">
        <f>IF($A2942="",0,IF(AND($M2942=1,$A2942=经营数据!$B$3,$J2942=经营数据!$BA$5,OR($I2942=经营数据!$BA$4,COUNTIF(经营数据!$AA$9:$AA$38,$I2942)&gt;0)),1,0))</f>
        <v>0</v>
      </c>
      <c r="AA2942" t="str">
        <f t="shared" si="689"/>
        <v/>
      </c>
      <c r="AB2942" t="str">
        <f t="shared" si="690"/>
        <v/>
      </c>
      <c r="AC2942">
        <f>IF($A2942="",0,IF(COUNTIF($A$2:$A2942,$A2942)=1,1,0))</f>
        <v>0</v>
      </c>
      <c r="AD2942">
        <f t="shared" si="691"/>
        <v>29</v>
      </c>
      <c r="AE2942" t="str">
        <f t="shared" si="692"/>
        <v/>
      </c>
    </row>
    <row r="2943" spans="1:31" x14ac:dyDescent="0.4">
      <c r="A2943" t="str">
        <f>IF(原始经营数据!$D2944="","",原始经营数据!$D2944)</f>
        <v/>
      </c>
      <c r="B2943" t="str">
        <f>IF(原始经营数据!$D2944="","",T(原始经营数据!$E2944))</f>
        <v/>
      </c>
      <c r="C2943" t="str">
        <f>IF(原始经营数据!$D2944="","",原始经营数据!$F2944)</f>
        <v/>
      </c>
      <c r="D2943" t="str">
        <f>IF(原始经营数据!$D2944="","",原始经营数据!$H2944)</f>
        <v/>
      </c>
      <c r="E2943" t="str">
        <f>IF(原始经营数据!$D2944="","",原始经营数据!$I2944)</f>
        <v/>
      </c>
      <c r="F2943" t="str">
        <f>IF(原始经营数据!$D2944="","",T(原始经营数据!$J2944))</f>
        <v/>
      </c>
      <c r="G2943" t="str">
        <f>IF(原始经营数据!$D2944="","",T(原始经营数据!$K2944))</f>
        <v/>
      </c>
      <c r="H2943" t="str">
        <f>IF(原始经营数据!$D2944="","",原始经营数据!$G2944)</f>
        <v/>
      </c>
      <c r="I2943" t="str">
        <f>IF($A2943="","",IF($B2943&lt;&gt;"",$B2943,IF(COUNTIFS(原始经营数据!$D$3:$D$3001,$A2943,原始经营数据!$E$3:$E$3001,"",原始经营数据!$F$3:$F$3001,$C2943,原始经营数据!$H$3:$H$3001,$D2943,原始经营数据!$K$3:$K$3001,$G2943)&gt;1,"基金整体·来源"&amp;原始经营数据!$A2944,"基金整体")))</f>
        <v/>
      </c>
      <c r="J2943" t="str">
        <f t="shared" si="678"/>
        <v/>
      </c>
      <c r="K2943" t="str">
        <f t="shared" si="679"/>
        <v/>
      </c>
      <c r="L2943" t="str">
        <f t="shared" si="680"/>
        <v/>
      </c>
      <c r="M2943">
        <f>IF($A2943="",0,IF(COUNTIF($L$2:$L2943,$L2943)=1,1,0))</f>
        <v>0</v>
      </c>
      <c r="N2943" t="str">
        <f t="shared" si="681"/>
        <v/>
      </c>
      <c r="O2943" t="str">
        <f t="shared" si="682"/>
        <v/>
      </c>
      <c r="P2943">
        <f>IF($A2943="",0,IF(COUNTIF($O$2:$O2943,$O2943)=1,1,0))</f>
        <v>0</v>
      </c>
      <c r="Q2943" t="str">
        <f>IF(AND($P2943=1,$A2943=经营数据!$B$3,$J2943=经营数据!$BA$5),COUNTIFS($P$2:$P$3000,1,$A$2:$A$3000,$A2943,$J$2:$J$3000,$J2943,$N$2:$N$3000,"&lt;"&amp;$N2943)+1,"")</f>
        <v/>
      </c>
      <c r="R2943" t="str">
        <f t="shared" si="683"/>
        <v/>
      </c>
      <c r="S2943">
        <f>IF($A2943="",0,IF(COUNTIF($R$2:$R2943,$R2943)=1,1,0))</f>
        <v>0</v>
      </c>
      <c r="T2943" t="str">
        <f t="shared" si="684"/>
        <v/>
      </c>
      <c r="U2943" t="str">
        <f>IF($A2943="","",IF($A2943=经营数据!$B$3,COUNTIFS($S$2:$S$3000,1,$A$2:$A$3000,$A2943,$T$2:$T$3000,"&lt;"&amp;$T2943)+1,""))</f>
        <v/>
      </c>
      <c r="V2943" t="str">
        <f t="shared" si="685"/>
        <v/>
      </c>
      <c r="W2943" t="str">
        <f t="shared" si="686"/>
        <v/>
      </c>
      <c r="X2943" t="str">
        <f t="shared" si="687"/>
        <v/>
      </c>
      <c r="Y2943" t="str">
        <f t="shared" si="688"/>
        <v/>
      </c>
      <c r="Z2943">
        <f>IF($A2943="",0,IF(AND($M2943=1,$A2943=经营数据!$B$3,$J2943=经营数据!$BA$5,OR($I2943=经营数据!$BA$4,COUNTIF(经营数据!$AA$9:$AA$38,$I2943)&gt;0)),1,0))</f>
        <v>0</v>
      </c>
      <c r="AA2943" t="str">
        <f t="shared" si="689"/>
        <v/>
      </c>
      <c r="AB2943" t="str">
        <f t="shared" si="690"/>
        <v/>
      </c>
      <c r="AC2943">
        <f>IF($A2943="",0,IF(COUNTIF($A$2:$A2943,$A2943)=1,1,0))</f>
        <v>0</v>
      </c>
      <c r="AD2943">
        <f t="shared" si="691"/>
        <v>29</v>
      </c>
      <c r="AE2943" t="str">
        <f t="shared" si="692"/>
        <v/>
      </c>
    </row>
    <row r="2944" spans="1:31" x14ac:dyDescent="0.4">
      <c r="A2944" t="str">
        <f>IF(原始经营数据!$D2945="","",原始经营数据!$D2945)</f>
        <v/>
      </c>
      <c r="B2944" t="str">
        <f>IF(原始经营数据!$D2945="","",T(原始经营数据!$E2945))</f>
        <v/>
      </c>
      <c r="C2944" t="str">
        <f>IF(原始经营数据!$D2945="","",原始经营数据!$F2945)</f>
        <v/>
      </c>
      <c r="D2944" t="str">
        <f>IF(原始经营数据!$D2945="","",原始经营数据!$H2945)</f>
        <v/>
      </c>
      <c r="E2944" t="str">
        <f>IF(原始经营数据!$D2945="","",原始经营数据!$I2945)</f>
        <v/>
      </c>
      <c r="F2944" t="str">
        <f>IF(原始经营数据!$D2945="","",T(原始经营数据!$J2945))</f>
        <v/>
      </c>
      <c r="G2944" t="str">
        <f>IF(原始经营数据!$D2945="","",T(原始经营数据!$K2945))</f>
        <v/>
      </c>
      <c r="H2944" t="str">
        <f>IF(原始经营数据!$D2945="","",原始经营数据!$G2945)</f>
        <v/>
      </c>
      <c r="I2944" t="str">
        <f>IF($A2944="","",IF($B2944&lt;&gt;"",$B2944,IF(COUNTIFS(原始经营数据!$D$3:$D$3001,$A2944,原始经营数据!$E$3:$E$3001,"",原始经营数据!$F$3:$F$3001,$C2944,原始经营数据!$H$3:$H$3001,$D2944,原始经营数据!$K$3:$K$3001,$G2944)&gt;1,"基金整体·来源"&amp;原始经营数据!$A2945,"基金整体")))</f>
        <v/>
      </c>
      <c r="J2944" t="str">
        <f t="shared" si="678"/>
        <v/>
      </c>
      <c r="K2944" t="str">
        <f t="shared" si="679"/>
        <v/>
      </c>
      <c r="L2944" t="str">
        <f t="shared" si="680"/>
        <v/>
      </c>
      <c r="M2944">
        <f>IF($A2944="",0,IF(COUNTIF($L$2:$L2944,$L2944)=1,1,0))</f>
        <v>0</v>
      </c>
      <c r="N2944" t="str">
        <f t="shared" si="681"/>
        <v/>
      </c>
      <c r="O2944" t="str">
        <f t="shared" si="682"/>
        <v/>
      </c>
      <c r="P2944">
        <f>IF($A2944="",0,IF(COUNTIF($O$2:$O2944,$O2944)=1,1,0))</f>
        <v>0</v>
      </c>
      <c r="Q2944" t="str">
        <f>IF(AND($P2944=1,$A2944=经营数据!$B$3,$J2944=经营数据!$BA$5),COUNTIFS($P$2:$P$3000,1,$A$2:$A$3000,$A2944,$J$2:$J$3000,$J2944,$N$2:$N$3000,"&lt;"&amp;$N2944)+1,"")</f>
        <v/>
      </c>
      <c r="R2944" t="str">
        <f t="shared" si="683"/>
        <v/>
      </c>
      <c r="S2944">
        <f>IF($A2944="",0,IF(COUNTIF($R$2:$R2944,$R2944)=1,1,0))</f>
        <v>0</v>
      </c>
      <c r="T2944" t="str">
        <f t="shared" si="684"/>
        <v/>
      </c>
      <c r="U2944" t="str">
        <f>IF($A2944="","",IF($A2944=经营数据!$B$3,COUNTIFS($S$2:$S$3000,1,$A$2:$A$3000,$A2944,$T$2:$T$3000,"&lt;"&amp;$T2944)+1,""))</f>
        <v/>
      </c>
      <c r="V2944" t="str">
        <f t="shared" si="685"/>
        <v/>
      </c>
      <c r="W2944" t="str">
        <f t="shared" si="686"/>
        <v/>
      </c>
      <c r="X2944" t="str">
        <f t="shared" si="687"/>
        <v/>
      </c>
      <c r="Y2944" t="str">
        <f t="shared" si="688"/>
        <v/>
      </c>
      <c r="Z2944">
        <f>IF($A2944="",0,IF(AND($M2944=1,$A2944=经营数据!$B$3,$J2944=经营数据!$BA$5,OR($I2944=经营数据!$BA$4,COUNTIF(经营数据!$AA$9:$AA$38,$I2944)&gt;0)),1,0))</f>
        <v>0</v>
      </c>
      <c r="AA2944" t="str">
        <f t="shared" si="689"/>
        <v/>
      </c>
      <c r="AB2944" t="str">
        <f t="shared" si="690"/>
        <v/>
      </c>
      <c r="AC2944">
        <f>IF($A2944="",0,IF(COUNTIF($A$2:$A2944,$A2944)=1,1,0))</f>
        <v>0</v>
      </c>
      <c r="AD2944">
        <f t="shared" si="691"/>
        <v>29</v>
      </c>
      <c r="AE2944" t="str">
        <f t="shared" si="692"/>
        <v/>
      </c>
    </row>
    <row r="2945" spans="1:31" x14ac:dyDescent="0.4">
      <c r="A2945" t="str">
        <f>IF(原始经营数据!$D2946="","",原始经营数据!$D2946)</f>
        <v/>
      </c>
      <c r="B2945" t="str">
        <f>IF(原始经营数据!$D2946="","",T(原始经营数据!$E2946))</f>
        <v/>
      </c>
      <c r="C2945" t="str">
        <f>IF(原始经营数据!$D2946="","",原始经营数据!$F2946)</f>
        <v/>
      </c>
      <c r="D2945" t="str">
        <f>IF(原始经营数据!$D2946="","",原始经营数据!$H2946)</f>
        <v/>
      </c>
      <c r="E2945" t="str">
        <f>IF(原始经营数据!$D2946="","",原始经营数据!$I2946)</f>
        <v/>
      </c>
      <c r="F2945" t="str">
        <f>IF(原始经营数据!$D2946="","",T(原始经营数据!$J2946))</f>
        <v/>
      </c>
      <c r="G2945" t="str">
        <f>IF(原始经营数据!$D2946="","",T(原始经营数据!$K2946))</f>
        <v/>
      </c>
      <c r="H2945" t="str">
        <f>IF(原始经营数据!$D2946="","",原始经营数据!$G2946)</f>
        <v/>
      </c>
      <c r="I2945" t="str">
        <f>IF($A2945="","",IF($B2945&lt;&gt;"",$B2945,IF(COUNTIFS(原始经营数据!$D$3:$D$3001,$A2945,原始经营数据!$E$3:$E$3001,"",原始经营数据!$F$3:$F$3001,$C2945,原始经营数据!$H$3:$H$3001,$D2945,原始经营数据!$K$3:$K$3001,$G2945)&gt;1,"基金整体·来源"&amp;原始经营数据!$A2946,"基金整体")))</f>
        <v/>
      </c>
      <c r="J2945" t="str">
        <f t="shared" si="678"/>
        <v/>
      </c>
      <c r="K2945" t="str">
        <f t="shared" si="679"/>
        <v/>
      </c>
      <c r="L2945" t="str">
        <f t="shared" si="680"/>
        <v/>
      </c>
      <c r="M2945">
        <f>IF($A2945="",0,IF(COUNTIF($L$2:$L2945,$L2945)=1,1,0))</f>
        <v>0</v>
      </c>
      <c r="N2945" t="str">
        <f t="shared" si="681"/>
        <v/>
      </c>
      <c r="O2945" t="str">
        <f t="shared" si="682"/>
        <v/>
      </c>
      <c r="P2945">
        <f>IF($A2945="",0,IF(COUNTIF($O$2:$O2945,$O2945)=1,1,0))</f>
        <v>0</v>
      </c>
      <c r="Q2945" t="str">
        <f>IF(AND($P2945=1,$A2945=经营数据!$B$3,$J2945=经营数据!$BA$5),COUNTIFS($P$2:$P$3000,1,$A$2:$A$3000,$A2945,$J$2:$J$3000,$J2945,$N$2:$N$3000,"&lt;"&amp;$N2945)+1,"")</f>
        <v/>
      </c>
      <c r="R2945" t="str">
        <f t="shared" si="683"/>
        <v/>
      </c>
      <c r="S2945">
        <f>IF($A2945="",0,IF(COUNTIF($R$2:$R2945,$R2945)=1,1,0))</f>
        <v>0</v>
      </c>
      <c r="T2945" t="str">
        <f t="shared" si="684"/>
        <v/>
      </c>
      <c r="U2945" t="str">
        <f>IF($A2945="","",IF($A2945=经营数据!$B$3,COUNTIFS($S$2:$S$3000,1,$A$2:$A$3000,$A2945,$T$2:$T$3000,"&lt;"&amp;$T2945)+1,""))</f>
        <v/>
      </c>
      <c r="V2945" t="str">
        <f t="shared" si="685"/>
        <v/>
      </c>
      <c r="W2945" t="str">
        <f t="shared" si="686"/>
        <v/>
      </c>
      <c r="X2945" t="str">
        <f t="shared" si="687"/>
        <v/>
      </c>
      <c r="Y2945" t="str">
        <f t="shared" si="688"/>
        <v/>
      </c>
      <c r="Z2945">
        <f>IF($A2945="",0,IF(AND($M2945=1,$A2945=经营数据!$B$3,$J2945=经营数据!$BA$5,OR($I2945=经营数据!$BA$4,COUNTIF(经营数据!$AA$9:$AA$38,$I2945)&gt;0)),1,0))</f>
        <v>0</v>
      </c>
      <c r="AA2945" t="str">
        <f t="shared" si="689"/>
        <v/>
      </c>
      <c r="AB2945" t="str">
        <f t="shared" si="690"/>
        <v/>
      </c>
      <c r="AC2945">
        <f>IF($A2945="",0,IF(COUNTIF($A$2:$A2945,$A2945)=1,1,0))</f>
        <v>0</v>
      </c>
      <c r="AD2945">
        <f t="shared" si="691"/>
        <v>29</v>
      </c>
      <c r="AE2945" t="str">
        <f t="shared" si="692"/>
        <v/>
      </c>
    </row>
    <row r="2946" spans="1:31" x14ac:dyDescent="0.4">
      <c r="A2946" t="str">
        <f>IF(原始经营数据!$D2947="","",原始经营数据!$D2947)</f>
        <v/>
      </c>
      <c r="B2946" t="str">
        <f>IF(原始经营数据!$D2947="","",T(原始经营数据!$E2947))</f>
        <v/>
      </c>
      <c r="C2946" t="str">
        <f>IF(原始经营数据!$D2947="","",原始经营数据!$F2947)</f>
        <v/>
      </c>
      <c r="D2946" t="str">
        <f>IF(原始经营数据!$D2947="","",原始经营数据!$H2947)</f>
        <v/>
      </c>
      <c r="E2946" t="str">
        <f>IF(原始经营数据!$D2947="","",原始经营数据!$I2947)</f>
        <v/>
      </c>
      <c r="F2946" t="str">
        <f>IF(原始经营数据!$D2947="","",T(原始经营数据!$J2947))</f>
        <v/>
      </c>
      <c r="G2946" t="str">
        <f>IF(原始经营数据!$D2947="","",T(原始经营数据!$K2947))</f>
        <v/>
      </c>
      <c r="H2946" t="str">
        <f>IF(原始经营数据!$D2947="","",原始经营数据!$G2947)</f>
        <v/>
      </c>
      <c r="I2946" t="str">
        <f>IF($A2946="","",IF($B2946&lt;&gt;"",$B2946,IF(COUNTIFS(原始经营数据!$D$3:$D$3001,$A2946,原始经营数据!$E$3:$E$3001,"",原始经营数据!$F$3:$F$3001,$C2946,原始经营数据!$H$3:$H$3001,$D2946,原始经营数据!$K$3:$K$3001,$G2946)&gt;1,"基金整体·来源"&amp;原始经营数据!$A2947,"基金整体")))</f>
        <v/>
      </c>
      <c r="J2946" t="str">
        <f t="shared" ref="J2946:J3000" si="693">IF($A2946="","",IF(LEN($C2946)=4,"年度",IF(AND(LEN($C2946)=6,ISNUMBER(SEARCH("Q",$C2946))),"季度","其他期间")))</f>
        <v/>
      </c>
      <c r="K2946" t="str">
        <f t="shared" ref="K2946:K3000" si="694">IF($A2946="","",$D2946&amp;IF($G2946="","","-"&amp;SUBSTITUTE($G2946,CHAR(10),""))&amp;IF($F2946="","","（"&amp;$F2946&amp;"）"))</f>
        <v/>
      </c>
      <c r="L2946" t="str">
        <f t="shared" ref="L2946:L3000" si="695">IF($A2946="","",$I2946&amp;"|"&amp;$K2946&amp;"|"&amp;$J2946)</f>
        <v/>
      </c>
      <c r="M2946">
        <f>IF($A2946="",0,IF(COUNTIF($L$2:$L2946,$L2946)=1,1,0))</f>
        <v>0</v>
      </c>
      <c r="N2946" t="str">
        <f t="shared" ref="N2946:N3000" si="696">IF($A2946="","",IF($J2946="年度",VALUE($C2946)*10,IF($J2946="季度",VALUE(LEFT($C2946,4))*10+VALUE(RIGHT($C2946,1)),VALUE(LEFT($C2946,4))*10+9)))</f>
        <v/>
      </c>
      <c r="O2946" t="str">
        <f t="shared" ref="O2946:O3000" si="697">IF($A2946="","",$A2946&amp;"|"&amp;$C2946&amp;"|"&amp;$J2946)</f>
        <v/>
      </c>
      <c r="P2946">
        <f>IF($A2946="",0,IF(COUNTIF($O$2:$O2946,$O2946)=1,1,0))</f>
        <v>0</v>
      </c>
      <c r="Q2946" t="str">
        <f>IF(AND($P2946=1,$A2946=经营数据!$B$3,$J2946=经营数据!$BA$5),COUNTIFS($P$2:$P$3000,1,$A$2:$A$3000,$A2946,$J$2:$J$3000,$J2946,$N$2:$N$3000,"&lt;"&amp;$N2946)+1,"")</f>
        <v/>
      </c>
      <c r="R2946" t="str">
        <f t="shared" ref="R2946:R3000" si="698">IF($A2946="","",$A2946&amp;"|"&amp;$I2946)</f>
        <v/>
      </c>
      <c r="S2946">
        <f>IF($A2946="",0,IF(COUNTIF($R$2:$R2946,$R2946)=1,1,0))</f>
        <v>0</v>
      </c>
      <c r="T2946" t="str">
        <f t="shared" ref="T2946:T3000" si="699">IF($A2946="","",MATCH($R2946,$R$2:$R$3000,0))</f>
        <v/>
      </c>
      <c r="U2946" t="str">
        <f>IF($A2946="","",IF($A2946=经营数据!$B$3,COUNTIFS($S$2:$S$3000,1,$A$2:$A$3000,$A2946,$T$2:$T$3000,"&lt;"&amp;$T2946)+1,""))</f>
        <v/>
      </c>
      <c r="V2946" t="str">
        <f t="shared" ref="V2946:V3000" si="700">IF($A2946="","",$I2946&amp;"|"&amp;$H2946)</f>
        <v/>
      </c>
      <c r="W2946" t="str">
        <f t="shared" ref="W2946:W3000" si="701">IF($A2946="","",MATCH($V2946,$V$2:$V$3000,0))</f>
        <v/>
      </c>
      <c r="X2946" t="str">
        <f t="shared" ref="X2946:X3000" si="702">IF($A2946="","",$I2946&amp;"|"&amp;$D2946)</f>
        <v/>
      </c>
      <c r="Y2946" t="str">
        <f t="shared" ref="Y2946:Y3000" si="703">IF($A2946="","",MATCH($X2946,$X$2:$X$3000,0))</f>
        <v/>
      </c>
      <c r="Z2946">
        <f>IF($A2946="",0,IF(AND($M2946=1,$A2946=经营数据!$B$3,$J2946=经营数据!$BA$5,OR($I2946=经营数据!$BA$4,COUNTIF(经营数据!$AA$9:$AA$38,$I2946)&gt;0)),1,0))</f>
        <v>0</v>
      </c>
      <c r="AA2946" t="str">
        <f t="shared" ref="AA2946:AA3000" si="704">IF($Z2946=1,$U2946*1000000000000+$W2946*100000000+$Y2946*10000+ROW(),"")</f>
        <v/>
      </c>
      <c r="AB2946" t="str">
        <f t="shared" ref="AB2946:AB3000" si="705">IF($Z2946=1,COUNTIFS($Z$2:$Z$3000,1,$AA$2:$AA$3000,"&lt;"&amp;$AA2946)+1,"")</f>
        <v/>
      </c>
      <c r="AC2946">
        <f>IF($A2946="",0,IF(COUNTIF($A$2:$A2946,$A2946)=1,1,0))</f>
        <v>0</v>
      </c>
      <c r="AD2946">
        <f t="shared" ref="AD2946:AD3000" si="706">IF($A2946="",N(AD2945),IF($AC2946=1,N(AD2945)+1,N(AD2945)))</f>
        <v>29</v>
      </c>
      <c r="AE2946" t="str">
        <f t="shared" ref="AE2946:AE3000" si="707">IF($A2946="","",$I2946&amp;"|"&amp;$K2946)</f>
        <v/>
      </c>
    </row>
    <row r="2947" spans="1:31" x14ac:dyDescent="0.4">
      <c r="A2947" t="str">
        <f>IF(原始经营数据!$D2948="","",原始经营数据!$D2948)</f>
        <v/>
      </c>
      <c r="B2947" t="str">
        <f>IF(原始经营数据!$D2948="","",T(原始经营数据!$E2948))</f>
        <v/>
      </c>
      <c r="C2947" t="str">
        <f>IF(原始经营数据!$D2948="","",原始经营数据!$F2948)</f>
        <v/>
      </c>
      <c r="D2947" t="str">
        <f>IF(原始经营数据!$D2948="","",原始经营数据!$H2948)</f>
        <v/>
      </c>
      <c r="E2947" t="str">
        <f>IF(原始经营数据!$D2948="","",原始经营数据!$I2948)</f>
        <v/>
      </c>
      <c r="F2947" t="str">
        <f>IF(原始经营数据!$D2948="","",T(原始经营数据!$J2948))</f>
        <v/>
      </c>
      <c r="G2947" t="str">
        <f>IF(原始经营数据!$D2948="","",T(原始经营数据!$K2948))</f>
        <v/>
      </c>
      <c r="H2947" t="str">
        <f>IF(原始经营数据!$D2948="","",原始经营数据!$G2948)</f>
        <v/>
      </c>
      <c r="I2947" t="str">
        <f>IF($A2947="","",IF($B2947&lt;&gt;"",$B2947,IF(COUNTIFS(原始经营数据!$D$3:$D$3001,$A2947,原始经营数据!$E$3:$E$3001,"",原始经营数据!$F$3:$F$3001,$C2947,原始经营数据!$H$3:$H$3001,$D2947,原始经营数据!$K$3:$K$3001,$G2947)&gt;1,"基金整体·来源"&amp;原始经营数据!$A2948,"基金整体")))</f>
        <v/>
      </c>
      <c r="J2947" t="str">
        <f t="shared" si="693"/>
        <v/>
      </c>
      <c r="K2947" t="str">
        <f t="shared" si="694"/>
        <v/>
      </c>
      <c r="L2947" t="str">
        <f t="shared" si="695"/>
        <v/>
      </c>
      <c r="M2947">
        <f>IF($A2947="",0,IF(COUNTIF($L$2:$L2947,$L2947)=1,1,0))</f>
        <v>0</v>
      </c>
      <c r="N2947" t="str">
        <f t="shared" si="696"/>
        <v/>
      </c>
      <c r="O2947" t="str">
        <f t="shared" si="697"/>
        <v/>
      </c>
      <c r="P2947">
        <f>IF($A2947="",0,IF(COUNTIF($O$2:$O2947,$O2947)=1,1,0))</f>
        <v>0</v>
      </c>
      <c r="Q2947" t="str">
        <f>IF(AND($P2947=1,$A2947=经营数据!$B$3,$J2947=经营数据!$BA$5),COUNTIFS($P$2:$P$3000,1,$A$2:$A$3000,$A2947,$J$2:$J$3000,$J2947,$N$2:$N$3000,"&lt;"&amp;$N2947)+1,"")</f>
        <v/>
      </c>
      <c r="R2947" t="str">
        <f t="shared" si="698"/>
        <v/>
      </c>
      <c r="S2947">
        <f>IF($A2947="",0,IF(COUNTIF($R$2:$R2947,$R2947)=1,1,0))</f>
        <v>0</v>
      </c>
      <c r="T2947" t="str">
        <f t="shared" si="699"/>
        <v/>
      </c>
      <c r="U2947" t="str">
        <f>IF($A2947="","",IF($A2947=经营数据!$B$3,COUNTIFS($S$2:$S$3000,1,$A$2:$A$3000,$A2947,$T$2:$T$3000,"&lt;"&amp;$T2947)+1,""))</f>
        <v/>
      </c>
      <c r="V2947" t="str">
        <f t="shared" si="700"/>
        <v/>
      </c>
      <c r="W2947" t="str">
        <f t="shared" si="701"/>
        <v/>
      </c>
      <c r="X2947" t="str">
        <f t="shared" si="702"/>
        <v/>
      </c>
      <c r="Y2947" t="str">
        <f t="shared" si="703"/>
        <v/>
      </c>
      <c r="Z2947">
        <f>IF($A2947="",0,IF(AND($M2947=1,$A2947=经营数据!$B$3,$J2947=经营数据!$BA$5,OR($I2947=经营数据!$BA$4,COUNTIF(经营数据!$AA$9:$AA$38,$I2947)&gt;0)),1,0))</f>
        <v>0</v>
      </c>
      <c r="AA2947" t="str">
        <f t="shared" si="704"/>
        <v/>
      </c>
      <c r="AB2947" t="str">
        <f t="shared" si="705"/>
        <v/>
      </c>
      <c r="AC2947">
        <f>IF($A2947="",0,IF(COUNTIF($A$2:$A2947,$A2947)=1,1,0))</f>
        <v>0</v>
      </c>
      <c r="AD2947">
        <f t="shared" si="706"/>
        <v>29</v>
      </c>
      <c r="AE2947" t="str">
        <f t="shared" si="707"/>
        <v/>
      </c>
    </row>
    <row r="2948" spans="1:31" x14ac:dyDescent="0.4">
      <c r="A2948" t="str">
        <f>IF(原始经营数据!$D2949="","",原始经营数据!$D2949)</f>
        <v/>
      </c>
      <c r="B2948" t="str">
        <f>IF(原始经营数据!$D2949="","",T(原始经营数据!$E2949))</f>
        <v/>
      </c>
      <c r="C2948" t="str">
        <f>IF(原始经营数据!$D2949="","",原始经营数据!$F2949)</f>
        <v/>
      </c>
      <c r="D2948" t="str">
        <f>IF(原始经营数据!$D2949="","",原始经营数据!$H2949)</f>
        <v/>
      </c>
      <c r="E2948" t="str">
        <f>IF(原始经营数据!$D2949="","",原始经营数据!$I2949)</f>
        <v/>
      </c>
      <c r="F2948" t="str">
        <f>IF(原始经营数据!$D2949="","",T(原始经营数据!$J2949))</f>
        <v/>
      </c>
      <c r="G2948" t="str">
        <f>IF(原始经营数据!$D2949="","",T(原始经营数据!$K2949))</f>
        <v/>
      </c>
      <c r="H2948" t="str">
        <f>IF(原始经营数据!$D2949="","",原始经营数据!$G2949)</f>
        <v/>
      </c>
      <c r="I2948" t="str">
        <f>IF($A2948="","",IF($B2948&lt;&gt;"",$B2948,IF(COUNTIFS(原始经营数据!$D$3:$D$3001,$A2948,原始经营数据!$E$3:$E$3001,"",原始经营数据!$F$3:$F$3001,$C2948,原始经营数据!$H$3:$H$3001,$D2948,原始经营数据!$K$3:$K$3001,$G2948)&gt;1,"基金整体·来源"&amp;原始经营数据!$A2949,"基金整体")))</f>
        <v/>
      </c>
      <c r="J2948" t="str">
        <f t="shared" si="693"/>
        <v/>
      </c>
      <c r="K2948" t="str">
        <f t="shared" si="694"/>
        <v/>
      </c>
      <c r="L2948" t="str">
        <f t="shared" si="695"/>
        <v/>
      </c>
      <c r="M2948">
        <f>IF($A2948="",0,IF(COUNTIF($L$2:$L2948,$L2948)=1,1,0))</f>
        <v>0</v>
      </c>
      <c r="N2948" t="str">
        <f t="shared" si="696"/>
        <v/>
      </c>
      <c r="O2948" t="str">
        <f t="shared" si="697"/>
        <v/>
      </c>
      <c r="P2948">
        <f>IF($A2948="",0,IF(COUNTIF($O$2:$O2948,$O2948)=1,1,0))</f>
        <v>0</v>
      </c>
      <c r="Q2948" t="str">
        <f>IF(AND($P2948=1,$A2948=经营数据!$B$3,$J2948=经营数据!$BA$5),COUNTIFS($P$2:$P$3000,1,$A$2:$A$3000,$A2948,$J$2:$J$3000,$J2948,$N$2:$N$3000,"&lt;"&amp;$N2948)+1,"")</f>
        <v/>
      </c>
      <c r="R2948" t="str">
        <f t="shared" si="698"/>
        <v/>
      </c>
      <c r="S2948">
        <f>IF($A2948="",0,IF(COUNTIF($R$2:$R2948,$R2948)=1,1,0))</f>
        <v>0</v>
      </c>
      <c r="T2948" t="str">
        <f t="shared" si="699"/>
        <v/>
      </c>
      <c r="U2948" t="str">
        <f>IF($A2948="","",IF($A2948=经营数据!$B$3,COUNTIFS($S$2:$S$3000,1,$A$2:$A$3000,$A2948,$T$2:$T$3000,"&lt;"&amp;$T2948)+1,""))</f>
        <v/>
      </c>
      <c r="V2948" t="str">
        <f t="shared" si="700"/>
        <v/>
      </c>
      <c r="W2948" t="str">
        <f t="shared" si="701"/>
        <v/>
      </c>
      <c r="X2948" t="str">
        <f t="shared" si="702"/>
        <v/>
      </c>
      <c r="Y2948" t="str">
        <f t="shared" si="703"/>
        <v/>
      </c>
      <c r="Z2948">
        <f>IF($A2948="",0,IF(AND($M2948=1,$A2948=经营数据!$B$3,$J2948=经营数据!$BA$5,OR($I2948=经营数据!$BA$4,COUNTIF(经营数据!$AA$9:$AA$38,$I2948)&gt;0)),1,0))</f>
        <v>0</v>
      </c>
      <c r="AA2948" t="str">
        <f t="shared" si="704"/>
        <v/>
      </c>
      <c r="AB2948" t="str">
        <f t="shared" si="705"/>
        <v/>
      </c>
      <c r="AC2948">
        <f>IF($A2948="",0,IF(COUNTIF($A$2:$A2948,$A2948)=1,1,0))</f>
        <v>0</v>
      </c>
      <c r="AD2948">
        <f t="shared" si="706"/>
        <v>29</v>
      </c>
      <c r="AE2948" t="str">
        <f t="shared" si="707"/>
        <v/>
      </c>
    </row>
    <row r="2949" spans="1:31" x14ac:dyDescent="0.4">
      <c r="A2949" t="str">
        <f>IF(原始经营数据!$D2950="","",原始经营数据!$D2950)</f>
        <v/>
      </c>
      <c r="B2949" t="str">
        <f>IF(原始经营数据!$D2950="","",T(原始经营数据!$E2950))</f>
        <v/>
      </c>
      <c r="C2949" t="str">
        <f>IF(原始经营数据!$D2950="","",原始经营数据!$F2950)</f>
        <v/>
      </c>
      <c r="D2949" t="str">
        <f>IF(原始经营数据!$D2950="","",原始经营数据!$H2950)</f>
        <v/>
      </c>
      <c r="E2949" t="str">
        <f>IF(原始经营数据!$D2950="","",原始经营数据!$I2950)</f>
        <v/>
      </c>
      <c r="F2949" t="str">
        <f>IF(原始经营数据!$D2950="","",T(原始经营数据!$J2950))</f>
        <v/>
      </c>
      <c r="G2949" t="str">
        <f>IF(原始经营数据!$D2950="","",T(原始经营数据!$K2950))</f>
        <v/>
      </c>
      <c r="H2949" t="str">
        <f>IF(原始经营数据!$D2950="","",原始经营数据!$G2950)</f>
        <v/>
      </c>
      <c r="I2949" t="str">
        <f>IF($A2949="","",IF($B2949&lt;&gt;"",$B2949,IF(COUNTIFS(原始经营数据!$D$3:$D$3001,$A2949,原始经营数据!$E$3:$E$3001,"",原始经营数据!$F$3:$F$3001,$C2949,原始经营数据!$H$3:$H$3001,$D2949,原始经营数据!$K$3:$K$3001,$G2949)&gt;1,"基金整体·来源"&amp;原始经营数据!$A2950,"基金整体")))</f>
        <v/>
      </c>
      <c r="J2949" t="str">
        <f t="shared" si="693"/>
        <v/>
      </c>
      <c r="K2949" t="str">
        <f t="shared" si="694"/>
        <v/>
      </c>
      <c r="L2949" t="str">
        <f t="shared" si="695"/>
        <v/>
      </c>
      <c r="M2949">
        <f>IF($A2949="",0,IF(COUNTIF($L$2:$L2949,$L2949)=1,1,0))</f>
        <v>0</v>
      </c>
      <c r="N2949" t="str">
        <f t="shared" si="696"/>
        <v/>
      </c>
      <c r="O2949" t="str">
        <f t="shared" si="697"/>
        <v/>
      </c>
      <c r="P2949">
        <f>IF($A2949="",0,IF(COUNTIF($O$2:$O2949,$O2949)=1,1,0))</f>
        <v>0</v>
      </c>
      <c r="Q2949" t="str">
        <f>IF(AND($P2949=1,$A2949=经营数据!$B$3,$J2949=经营数据!$BA$5),COUNTIFS($P$2:$P$3000,1,$A$2:$A$3000,$A2949,$J$2:$J$3000,$J2949,$N$2:$N$3000,"&lt;"&amp;$N2949)+1,"")</f>
        <v/>
      </c>
      <c r="R2949" t="str">
        <f t="shared" si="698"/>
        <v/>
      </c>
      <c r="S2949">
        <f>IF($A2949="",0,IF(COUNTIF($R$2:$R2949,$R2949)=1,1,0))</f>
        <v>0</v>
      </c>
      <c r="T2949" t="str">
        <f t="shared" si="699"/>
        <v/>
      </c>
      <c r="U2949" t="str">
        <f>IF($A2949="","",IF($A2949=经营数据!$B$3,COUNTIFS($S$2:$S$3000,1,$A$2:$A$3000,$A2949,$T$2:$T$3000,"&lt;"&amp;$T2949)+1,""))</f>
        <v/>
      </c>
      <c r="V2949" t="str">
        <f t="shared" si="700"/>
        <v/>
      </c>
      <c r="W2949" t="str">
        <f t="shared" si="701"/>
        <v/>
      </c>
      <c r="X2949" t="str">
        <f t="shared" si="702"/>
        <v/>
      </c>
      <c r="Y2949" t="str">
        <f t="shared" si="703"/>
        <v/>
      </c>
      <c r="Z2949">
        <f>IF($A2949="",0,IF(AND($M2949=1,$A2949=经营数据!$B$3,$J2949=经营数据!$BA$5,OR($I2949=经营数据!$BA$4,COUNTIF(经营数据!$AA$9:$AA$38,$I2949)&gt;0)),1,0))</f>
        <v>0</v>
      </c>
      <c r="AA2949" t="str">
        <f t="shared" si="704"/>
        <v/>
      </c>
      <c r="AB2949" t="str">
        <f t="shared" si="705"/>
        <v/>
      </c>
      <c r="AC2949">
        <f>IF($A2949="",0,IF(COUNTIF($A$2:$A2949,$A2949)=1,1,0))</f>
        <v>0</v>
      </c>
      <c r="AD2949">
        <f t="shared" si="706"/>
        <v>29</v>
      </c>
      <c r="AE2949" t="str">
        <f t="shared" si="707"/>
        <v/>
      </c>
    </row>
    <row r="2950" spans="1:31" x14ac:dyDescent="0.4">
      <c r="A2950" t="str">
        <f>IF(原始经营数据!$D2951="","",原始经营数据!$D2951)</f>
        <v/>
      </c>
      <c r="B2950" t="str">
        <f>IF(原始经营数据!$D2951="","",T(原始经营数据!$E2951))</f>
        <v/>
      </c>
      <c r="C2950" t="str">
        <f>IF(原始经营数据!$D2951="","",原始经营数据!$F2951)</f>
        <v/>
      </c>
      <c r="D2950" t="str">
        <f>IF(原始经营数据!$D2951="","",原始经营数据!$H2951)</f>
        <v/>
      </c>
      <c r="E2950" t="str">
        <f>IF(原始经营数据!$D2951="","",原始经营数据!$I2951)</f>
        <v/>
      </c>
      <c r="F2950" t="str">
        <f>IF(原始经营数据!$D2951="","",T(原始经营数据!$J2951))</f>
        <v/>
      </c>
      <c r="G2950" t="str">
        <f>IF(原始经营数据!$D2951="","",T(原始经营数据!$K2951))</f>
        <v/>
      </c>
      <c r="H2950" t="str">
        <f>IF(原始经营数据!$D2951="","",原始经营数据!$G2951)</f>
        <v/>
      </c>
      <c r="I2950" t="str">
        <f>IF($A2950="","",IF($B2950&lt;&gt;"",$B2950,IF(COUNTIFS(原始经营数据!$D$3:$D$3001,$A2950,原始经营数据!$E$3:$E$3001,"",原始经营数据!$F$3:$F$3001,$C2950,原始经营数据!$H$3:$H$3001,$D2950,原始经营数据!$K$3:$K$3001,$G2950)&gt;1,"基金整体·来源"&amp;原始经营数据!$A2951,"基金整体")))</f>
        <v/>
      </c>
      <c r="J2950" t="str">
        <f t="shared" si="693"/>
        <v/>
      </c>
      <c r="K2950" t="str">
        <f t="shared" si="694"/>
        <v/>
      </c>
      <c r="L2950" t="str">
        <f t="shared" si="695"/>
        <v/>
      </c>
      <c r="M2950">
        <f>IF($A2950="",0,IF(COUNTIF($L$2:$L2950,$L2950)=1,1,0))</f>
        <v>0</v>
      </c>
      <c r="N2950" t="str">
        <f t="shared" si="696"/>
        <v/>
      </c>
      <c r="O2950" t="str">
        <f t="shared" si="697"/>
        <v/>
      </c>
      <c r="P2950">
        <f>IF($A2950="",0,IF(COUNTIF($O$2:$O2950,$O2950)=1,1,0))</f>
        <v>0</v>
      </c>
      <c r="Q2950" t="str">
        <f>IF(AND($P2950=1,$A2950=经营数据!$B$3,$J2950=经营数据!$BA$5),COUNTIFS($P$2:$P$3000,1,$A$2:$A$3000,$A2950,$J$2:$J$3000,$J2950,$N$2:$N$3000,"&lt;"&amp;$N2950)+1,"")</f>
        <v/>
      </c>
      <c r="R2950" t="str">
        <f t="shared" si="698"/>
        <v/>
      </c>
      <c r="S2950">
        <f>IF($A2950="",0,IF(COUNTIF($R$2:$R2950,$R2950)=1,1,0))</f>
        <v>0</v>
      </c>
      <c r="T2950" t="str">
        <f t="shared" si="699"/>
        <v/>
      </c>
      <c r="U2950" t="str">
        <f>IF($A2950="","",IF($A2950=经营数据!$B$3,COUNTIFS($S$2:$S$3000,1,$A$2:$A$3000,$A2950,$T$2:$T$3000,"&lt;"&amp;$T2950)+1,""))</f>
        <v/>
      </c>
      <c r="V2950" t="str">
        <f t="shared" si="700"/>
        <v/>
      </c>
      <c r="W2950" t="str">
        <f t="shared" si="701"/>
        <v/>
      </c>
      <c r="X2950" t="str">
        <f t="shared" si="702"/>
        <v/>
      </c>
      <c r="Y2950" t="str">
        <f t="shared" si="703"/>
        <v/>
      </c>
      <c r="Z2950">
        <f>IF($A2950="",0,IF(AND($M2950=1,$A2950=经营数据!$B$3,$J2950=经营数据!$BA$5,OR($I2950=经营数据!$BA$4,COUNTIF(经营数据!$AA$9:$AA$38,$I2950)&gt;0)),1,0))</f>
        <v>0</v>
      </c>
      <c r="AA2950" t="str">
        <f t="shared" si="704"/>
        <v/>
      </c>
      <c r="AB2950" t="str">
        <f t="shared" si="705"/>
        <v/>
      </c>
      <c r="AC2950">
        <f>IF($A2950="",0,IF(COUNTIF($A$2:$A2950,$A2950)=1,1,0))</f>
        <v>0</v>
      </c>
      <c r="AD2950">
        <f t="shared" si="706"/>
        <v>29</v>
      </c>
      <c r="AE2950" t="str">
        <f t="shared" si="707"/>
        <v/>
      </c>
    </row>
    <row r="2951" spans="1:31" x14ac:dyDescent="0.4">
      <c r="A2951" t="str">
        <f>IF(原始经营数据!$D2952="","",原始经营数据!$D2952)</f>
        <v/>
      </c>
      <c r="B2951" t="str">
        <f>IF(原始经营数据!$D2952="","",T(原始经营数据!$E2952))</f>
        <v/>
      </c>
      <c r="C2951" t="str">
        <f>IF(原始经营数据!$D2952="","",原始经营数据!$F2952)</f>
        <v/>
      </c>
      <c r="D2951" t="str">
        <f>IF(原始经营数据!$D2952="","",原始经营数据!$H2952)</f>
        <v/>
      </c>
      <c r="E2951" t="str">
        <f>IF(原始经营数据!$D2952="","",原始经营数据!$I2952)</f>
        <v/>
      </c>
      <c r="F2951" t="str">
        <f>IF(原始经营数据!$D2952="","",T(原始经营数据!$J2952))</f>
        <v/>
      </c>
      <c r="G2951" t="str">
        <f>IF(原始经营数据!$D2952="","",T(原始经营数据!$K2952))</f>
        <v/>
      </c>
      <c r="H2951" t="str">
        <f>IF(原始经营数据!$D2952="","",原始经营数据!$G2952)</f>
        <v/>
      </c>
      <c r="I2951" t="str">
        <f>IF($A2951="","",IF($B2951&lt;&gt;"",$B2951,IF(COUNTIFS(原始经营数据!$D$3:$D$3001,$A2951,原始经营数据!$E$3:$E$3001,"",原始经营数据!$F$3:$F$3001,$C2951,原始经营数据!$H$3:$H$3001,$D2951,原始经营数据!$K$3:$K$3001,$G2951)&gt;1,"基金整体·来源"&amp;原始经营数据!$A2952,"基金整体")))</f>
        <v/>
      </c>
      <c r="J2951" t="str">
        <f t="shared" si="693"/>
        <v/>
      </c>
      <c r="K2951" t="str">
        <f t="shared" si="694"/>
        <v/>
      </c>
      <c r="L2951" t="str">
        <f t="shared" si="695"/>
        <v/>
      </c>
      <c r="M2951">
        <f>IF($A2951="",0,IF(COUNTIF($L$2:$L2951,$L2951)=1,1,0))</f>
        <v>0</v>
      </c>
      <c r="N2951" t="str">
        <f t="shared" si="696"/>
        <v/>
      </c>
      <c r="O2951" t="str">
        <f t="shared" si="697"/>
        <v/>
      </c>
      <c r="P2951">
        <f>IF($A2951="",0,IF(COUNTIF($O$2:$O2951,$O2951)=1,1,0))</f>
        <v>0</v>
      </c>
      <c r="Q2951" t="str">
        <f>IF(AND($P2951=1,$A2951=经营数据!$B$3,$J2951=经营数据!$BA$5),COUNTIFS($P$2:$P$3000,1,$A$2:$A$3000,$A2951,$J$2:$J$3000,$J2951,$N$2:$N$3000,"&lt;"&amp;$N2951)+1,"")</f>
        <v/>
      </c>
      <c r="R2951" t="str">
        <f t="shared" si="698"/>
        <v/>
      </c>
      <c r="S2951">
        <f>IF($A2951="",0,IF(COUNTIF($R$2:$R2951,$R2951)=1,1,0))</f>
        <v>0</v>
      </c>
      <c r="T2951" t="str">
        <f t="shared" si="699"/>
        <v/>
      </c>
      <c r="U2951" t="str">
        <f>IF($A2951="","",IF($A2951=经营数据!$B$3,COUNTIFS($S$2:$S$3000,1,$A$2:$A$3000,$A2951,$T$2:$T$3000,"&lt;"&amp;$T2951)+1,""))</f>
        <v/>
      </c>
      <c r="V2951" t="str">
        <f t="shared" si="700"/>
        <v/>
      </c>
      <c r="W2951" t="str">
        <f t="shared" si="701"/>
        <v/>
      </c>
      <c r="X2951" t="str">
        <f t="shared" si="702"/>
        <v/>
      </c>
      <c r="Y2951" t="str">
        <f t="shared" si="703"/>
        <v/>
      </c>
      <c r="Z2951">
        <f>IF($A2951="",0,IF(AND($M2951=1,$A2951=经营数据!$B$3,$J2951=经营数据!$BA$5,OR($I2951=经营数据!$BA$4,COUNTIF(经营数据!$AA$9:$AA$38,$I2951)&gt;0)),1,0))</f>
        <v>0</v>
      </c>
      <c r="AA2951" t="str">
        <f t="shared" si="704"/>
        <v/>
      </c>
      <c r="AB2951" t="str">
        <f t="shared" si="705"/>
        <v/>
      </c>
      <c r="AC2951">
        <f>IF($A2951="",0,IF(COUNTIF($A$2:$A2951,$A2951)=1,1,0))</f>
        <v>0</v>
      </c>
      <c r="AD2951">
        <f t="shared" si="706"/>
        <v>29</v>
      </c>
      <c r="AE2951" t="str">
        <f t="shared" si="707"/>
        <v/>
      </c>
    </row>
    <row r="2952" spans="1:31" x14ac:dyDescent="0.4">
      <c r="A2952" t="str">
        <f>IF(原始经营数据!$D2953="","",原始经营数据!$D2953)</f>
        <v/>
      </c>
      <c r="B2952" t="str">
        <f>IF(原始经营数据!$D2953="","",T(原始经营数据!$E2953))</f>
        <v/>
      </c>
      <c r="C2952" t="str">
        <f>IF(原始经营数据!$D2953="","",原始经营数据!$F2953)</f>
        <v/>
      </c>
      <c r="D2952" t="str">
        <f>IF(原始经营数据!$D2953="","",原始经营数据!$H2953)</f>
        <v/>
      </c>
      <c r="E2952" t="str">
        <f>IF(原始经营数据!$D2953="","",原始经营数据!$I2953)</f>
        <v/>
      </c>
      <c r="F2952" t="str">
        <f>IF(原始经营数据!$D2953="","",T(原始经营数据!$J2953))</f>
        <v/>
      </c>
      <c r="G2952" t="str">
        <f>IF(原始经营数据!$D2953="","",T(原始经营数据!$K2953))</f>
        <v/>
      </c>
      <c r="H2952" t="str">
        <f>IF(原始经营数据!$D2953="","",原始经营数据!$G2953)</f>
        <v/>
      </c>
      <c r="I2952" t="str">
        <f>IF($A2952="","",IF($B2952&lt;&gt;"",$B2952,IF(COUNTIFS(原始经营数据!$D$3:$D$3001,$A2952,原始经营数据!$E$3:$E$3001,"",原始经营数据!$F$3:$F$3001,$C2952,原始经营数据!$H$3:$H$3001,$D2952,原始经营数据!$K$3:$K$3001,$G2952)&gt;1,"基金整体·来源"&amp;原始经营数据!$A2953,"基金整体")))</f>
        <v/>
      </c>
      <c r="J2952" t="str">
        <f t="shared" si="693"/>
        <v/>
      </c>
      <c r="K2952" t="str">
        <f t="shared" si="694"/>
        <v/>
      </c>
      <c r="L2952" t="str">
        <f t="shared" si="695"/>
        <v/>
      </c>
      <c r="M2952">
        <f>IF($A2952="",0,IF(COUNTIF($L$2:$L2952,$L2952)=1,1,0))</f>
        <v>0</v>
      </c>
      <c r="N2952" t="str">
        <f t="shared" si="696"/>
        <v/>
      </c>
      <c r="O2952" t="str">
        <f t="shared" si="697"/>
        <v/>
      </c>
      <c r="P2952">
        <f>IF($A2952="",0,IF(COUNTIF($O$2:$O2952,$O2952)=1,1,0))</f>
        <v>0</v>
      </c>
      <c r="Q2952" t="str">
        <f>IF(AND($P2952=1,$A2952=经营数据!$B$3,$J2952=经营数据!$BA$5),COUNTIFS($P$2:$P$3000,1,$A$2:$A$3000,$A2952,$J$2:$J$3000,$J2952,$N$2:$N$3000,"&lt;"&amp;$N2952)+1,"")</f>
        <v/>
      </c>
      <c r="R2952" t="str">
        <f t="shared" si="698"/>
        <v/>
      </c>
      <c r="S2952">
        <f>IF($A2952="",0,IF(COUNTIF($R$2:$R2952,$R2952)=1,1,0))</f>
        <v>0</v>
      </c>
      <c r="T2952" t="str">
        <f t="shared" si="699"/>
        <v/>
      </c>
      <c r="U2952" t="str">
        <f>IF($A2952="","",IF($A2952=经营数据!$B$3,COUNTIFS($S$2:$S$3000,1,$A$2:$A$3000,$A2952,$T$2:$T$3000,"&lt;"&amp;$T2952)+1,""))</f>
        <v/>
      </c>
      <c r="V2952" t="str">
        <f t="shared" si="700"/>
        <v/>
      </c>
      <c r="W2952" t="str">
        <f t="shared" si="701"/>
        <v/>
      </c>
      <c r="X2952" t="str">
        <f t="shared" si="702"/>
        <v/>
      </c>
      <c r="Y2952" t="str">
        <f t="shared" si="703"/>
        <v/>
      </c>
      <c r="Z2952">
        <f>IF($A2952="",0,IF(AND($M2952=1,$A2952=经营数据!$B$3,$J2952=经营数据!$BA$5,OR($I2952=经营数据!$BA$4,COUNTIF(经营数据!$AA$9:$AA$38,$I2952)&gt;0)),1,0))</f>
        <v>0</v>
      </c>
      <c r="AA2952" t="str">
        <f t="shared" si="704"/>
        <v/>
      </c>
      <c r="AB2952" t="str">
        <f t="shared" si="705"/>
        <v/>
      </c>
      <c r="AC2952">
        <f>IF($A2952="",0,IF(COUNTIF($A$2:$A2952,$A2952)=1,1,0))</f>
        <v>0</v>
      </c>
      <c r="AD2952">
        <f t="shared" si="706"/>
        <v>29</v>
      </c>
      <c r="AE2952" t="str">
        <f t="shared" si="707"/>
        <v/>
      </c>
    </row>
    <row r="2953" spans="1:31" x14ac:dyDescent="0.4">
      <c r="A2953" t="str">
        <f>IF(原始经营数据!$D2954="","",原始经营数据!$D2954)</f>
        <v/>
      </c>
      <c r="B2953" t="str">
        <f>IF(原始经营数据!$D2954="","",T(原始经营数据!$E2954))</f>
        <v/>
      </c>
      <c r="C2953" t="str">
        <f>IF(原始经营数据!$D2954="","",原始经营数据!$F2954)</f>
        <v/>
      </c>
      <c r="D2953" t="str">
        <f>IF(原始经营数据!$D2954="","",原始经营数据!$H2954)</f>
        <v/>
      </c>
      <c r="E2953" t="str">
        <f>IF(原始经营数据!$D2954="","",原始经营数据!$I2954)</f>
        <v/>
      </c>
      <c r="F2953" t="str">
        <f>IF(原始经营数据!$D2954="","",T(原始经营数据!$J2954))</f>
        <v/>
      </c>
      <c r="G2953" t="str">
        <f>IF(原始经营数据!$D2954="","",T(原始经营数据!$K2954))</f>
        <v/>
      </c>
      <c r="H2953" t="str">
        <f>IF(原始经营数据!$D2954="","",原始经营数据!$G2954)</f>
        <v/>
      </c>
      <c r="I2953" t="str">
        <f>IF($A2953="","",IF($B2953&lt;&gt;"",$B2953,IF(COUNTIFS(原始经营数据!$D$3:$D$3001,$A2953,原始经营数据!$E$3:$E$3001,"",原始经营数据!$F$3:$F$3001,$C2953,原始经营数据!$H$3:$H$3001,$D2953,原始经营数据!$K$3:$K$3001,$G2953)&gt;1,"基金整体·来源"&amp;原始经营数据!$A2954,"基金整体")))</f>
        <v/>
      </c>
      <c r="J2953" t="str">
        <f t="shared" si="693"/>
        <v/>
      </c>
      <c r="K2953" t="str">
        <f t="shared" si="694"/>
        <v/>
      </c>
      <c r="L2953" t="str">
        <f t="shared" si="695"/>
        <v/>
      </c>
      <c r="M2953">
        <f>IF($A2953="",0,IF(COUNTIF($L$2:$L2953,$L2953)=1,1,0))</f>
        <v>0</v>
      </c>
      <c r="N2953" t="str">
        <f t="shared" si="696"/>
        <v/>
      </c>
      <c r="O2953" t="str">
        <f t="shared" si="697"/>
        <v/>
      </c>
      <c r="P2953">
        <f>IF($A2953="",0,IF(COUNTIF($O$2:$O2953,$O2953)=1,1,0))</f>
        <v>0</v>
      </c>
      <c r="Q2953" t="str">
        <f>IF(AND($P2953=1,$A2953=经营数据!$B$3,$J2953=经营数据!$BA$5),COUNTIFS($P$2:$P$3000,1,$A$2:$A$3000,$A2953,$J$2:$J$3000,$J2953,$N$2:$N$3000,"&lt;"&amp;$N2953)+1,"")</f>
        <v/>
      </c>
      <c r="R2953" t="str">
        <f t="shared" si="698"/>
        <v/>
      </c>
      <c r="S2953">
        <f>IF($A2953="",0,IF(COUNTIF($R$2:$R2953,$R2953)=1,1,0))</f>
        <v>0</v>
      </c>
      <c r="T2953" t="str">
        <f t="shared" si="699"/>
        <v/>
      </c>
      <c r="U2953" t="str">
        <f>IF($A2953="","",IF($A2953=经营数据!$B$3,COUNTIFS($S$2:$S$3000,1,$A$2:$A$3000,$A2953,$T$2:$T$3000,"&lt;"&amp;$T2953)+1,""))</f>
        <v/>
      </c>
      <c r="V2953" t="str">
        <f t="shared" si="700"/>
        <v/>
      </c>
      <c r="W2953" t="str">
        <f t="shared" si="701"/>
        <v/>
      </c>
      <c r="X2953" t="str">
        <f t="shared" si="702"/>
        <v/>
      </c>
      <c r="Y2953" t="str">
        <f t="shared" si="703"/>
        <v/>
      </c>
      <c r="Z2953">
        <f>IF($A2953="",0,IF(AND($M2953=1,$A2953=经营数据!$B$3,$J2953=经营数据!$BA$5,OR($I2953=经营数据!$BA$4,COUNTIF(经营数据!$AA$9:$AA$38,$I2953)&gt;0)),1,0))</f>
        <v>0</v>
      </c>
      <c r="AA2953" t="str">
        <f t="shared" si="704"/>
        <v/>
      </c>
      <c r="AB2953" t="str">
        <f t="shared" si="705"/>
        <v/>
      </c>
      <c r="AC2953">
        <f>IF($A2953="",0,IF(COUNTIF($A$2:$A2953,$A2953)=1,1,0))</f>
        <v>0</v>
      </c>
      <c r="AD2953">
        <f t="shared" si="706"/>
        <v>29</v>
      </c>
      <c r="AE2953" t="str">
        <f t="shared" si="707"/>
        <v/>
      </c>
    </row>
    <row r="2954" spans="1:31" x14ac:dyDescent="0.4">
      <c r="A2954" t="str">
        <f>IF(原始经营数据!$D2955="","",原始经营数据!$D2955)</f>
        <v/>
      </c>
      <c r="B2954" t="str">
        <f>IF(原始经营数据!$D2955="","",T(原始经营数据!$E2955))</f>
        <v/>
      </c>
      <c r="C2954" t="str">
        <f>IF(原始经营数据!$D2955="","",原始经营数据!$F2955)</f>
        <v/>
      </c>
      <c r="D2954" t="str">
        <f>IF(原始经营数据!$D2955="","",原始经营数据!$H2955)</f>
        <v/>
      </c>
      <c r="E2954" t="str">
        <f>IF(原始经营数据!$D2955="","",原始经营数据!$I2955)</f>
        <v/>
      </c>
      <c r="F2954" t="str">
        <f>IF(原始经营数据!$D2955="","",T(原始经营数据!$J2955))</f>
        <v/>
      </c>
      <c r="G2954" t="str">
        <f>IF(原始经营数据!$D2955="","",T(原始经营数据!$K2955))</f>
        <v/>
      </c>
      <c r="H2954" t="str">
        <f>IF(原始经营数据!$D2955="","",原始经营数据!$G2955)</f>
        <v/>
      </c>
      <c r="I2954" t="str">
        <f>IF($A2954="","",IF($B2954&lt;&gt;"",$B2954,IF(COUNTIFS(原始经营数据!$D$3:$D$3001,$A2954,原始经营数据!$E$3:$E$3001,"",原始经营数据!$F$3:$F$3001,$C2954,原始经营数据!$H$3:$H$3001,$D2954,原始经营数据!$K$3:$K$3001,$G2954)&gt;1,"基金整体·来源"&amp;原始经营数据!$A2955,"基金整体")))</f>
        <v/>
      </c>
      <c r="J2954" t="str">
        <f t="shared" si="693"/>
        <v/>
      </c>
      <c r="K2954" t="str">
        <f t="shared" si="694"/>
        <v/>
      </c>
      <c r="L2954" t="str">
        <f t="shared" si="695"/>
        <v/>
      </c>
      <c r="M2954">
        <f>IF($A2954="",0,IF(COUNTIF($L$2:$L2954,$L2954)=1,1,0))</f>
        <v>0</v>
      </c>
      <c r="N2954" t="str">
        <f t="shared" si="696"/>
        <v/>
      </c>
      <c r="O2954" t="str">
        <f t="shared" si="697"/>
        <v/>
      </c>
      <c r="P2954">
        <f>IF($A2954="",0,IF(COUNTIF($O$2:$O2954,$O2954)=1,1,0))</f>
        <v>0</v>
      </c>
      <c r="Q2954" t="str">
        <f>IF(AND($P2954=1,$A2954=经营数据!$B$3,$J2954=经营数据!$BA$5),COUNTIFS($P$2:$P$3000,1,$A$2:$A$3000,$A2954,$J$2:$J$3000,$J2954,$N$2:$N$3000,"&lt;"&amp;$N2954)+1,"")</f>
        <v/>
      </c>
      <c r="R2954" t="str">
        <f t="shared" si="698"/>
        <v/>
      </c>
      <c r="S2954">
        <f>IF($A2954="",0,IF(COUNTIF($R$2:$R2954,$R2954)=1,1,0))</f>
        <v>0</v>
      </c>
      <c r="T2954" t="str">
        <f t="shared" si="699"/>
        <v/>
      </c>
      <c r="U2954" t="str">
        <f>IF($A2954="","",IF($A2954=经营数据!$B$3,COUNTIFS($S$2:$S$3000,1,$A$2:$A$3000,$A2954,$T$2:$T$3000,"&lt;"&amp;$T2954)+1,""))</f>
        <v/>
      </c>
      <c r="V2954" t="str">
        <f t="shared" si="700"/>
        <v/>
      </c>
      <c r="W2954" t="str">
        <f t="shared" si="701"/>
        <v/>
      </c>
      <c r="X2954" t="str">
        <f t="shared" si="702"/>
        <v/>
      </c>
      <c r="Y2954" t="str">
        <f t="shared" si="703"/>
        <v/>
      </c>
      <c r="Z2954">
        <f>IF($A2954="",0,IF(AND($M2954=1,$A2954=经营数据!$B$3,$J2954=经营数据!$BA$5,OR($I2954=经营数据!$BA$4,COUNTIF(经营数据!$AA$9:$AA$38,$I2954)&gt;0)),1,0))</f>
        <v>0</v>
      </c>
      <c r="AA2954" t="str">
        <f t="shared" si="704"/>
        <v/>
      </c>
      <c r="AB2954" t="str">
        <f t="shared" si="705"/>
        <v/>
      </c>
      <c r="AC2954">
        <f>IF($A2954="",0,IF(COUNTIF($A$2:$A2954,$A2954)=1,1,0))</f>
        <v>0</v>
      </c>
      <c r="AD2954">
        <f t="shared" si="706"/>
        <v>29</v>
      </c>
      <c r="AE2954" t="str">
        <f t="shared" si="707"/>
        <v/>
      </c>
    </row>
    <row r="2955" spans="1:31" x14ac:dyDescent="0.4">
      <c r="A2955" t="str">
        <f>IF(原始经营数据!$D2956="","",原始经营数据!$D2956)</f>
        <v/>
      </c>
      <c r="B2955" t="str">
        <f>IF(原始经营数据!$D2956="","",T(原始经营数据!$E2956))</f>
        <v/>
      </c>
      <c r="C2955" t="str">
        <f>IF(原始经营数据!$D2956="","",原始经营数据!$F2956)</f>
        <v/>
      </c>
      <c r="D2955" t="str">
        <f>IF(原始经营数据!$D2956="","",原始经营数据!$H2956)</f>
        <v/>
      </c>
      <c r="E2955" t="str">
        <f>IF(原始经营数据!$D2956="","",原始经营数据!$I2956)</f>
        <v/>
      </c>
      <c r="F2955" t="str">
        <f>IF(原始经营数据!$D2956="","",T(原始经营数据!$J2956))</f>
        <v/>
      </c>
      <c r="G2955" t="str">
        <f>IF(原始经营数据!$D2956="","",T(原始经营数据!$K2956))</f>
        <v/>
      </c>
      <c r="H2955" t="str">
        <f>IF(原始经营数据!$D2956="","",原始经营数据!$G2956)</f>
        <v/>
      </c>
      <c r="I2955" t="str">
        <f>IF($A2955="","",IF($B2955&lt;&gt;"",$B2955,IF(COUNTIFS(原始经营数据!$D$3:$D$3001,$A2955,原始经营数据!$E$3:$E$3001,"",原始经营数据!$F$3:$F$3001,$C2955,原始经营数据!$H$3:$H$3001,$D2955,原始经营数据!$K$3:$K$3001,$G2955)&gt;1,"基金整体·来源"&amp;原始经营数据!$A2956,"基金整体")))</f>
        <v/>
      </c>
      <c r="J2955" t="str">
        <f t="shared" si="693"/>
        <v/>
      </c>
      <c r="K2955" t="str">
        <f t="shared" si="694"/>
        <v/>
      </c>
      <c r="L2955" t="str">
        <f t="shared" si="695"/>
        <v/>
      </c>
      <c r="M2955">
        <f>IF($A2955="",0,IF(COUNTIF($L$2:$L2955,$L2955)=1,1,0))</f>
        <v>0</v>
      </c>
      <c r="N2955" t="str">
        <f t="shared" si="696"/>
        <v/>
      </c>
      <c r="O2955" t="str">
        <f t="shared" si="697"/>
        <v/>
      </c>
      <c r="P2955">
        <f>IF($A2955="",0,IF(COUNTIF($O$2:$O2955,$O2955)=1,1,0))</f>
        <v>0</v>
      </c>
      <c r="Q2955" t="str">
        <f>IF(AND($P2955=1,$A2955=经营数据!$B$3,$J2955=经营数据!$BA$5),COUNTIFS($P$2:$P$3000,1,$A$2:$A$3000,$A2955,$J$2:$J$3000,$J2955,$N$2:$N$3000,"&lt;"&amp;$N2955)+1,"")</f>
        <v/>
      </c>
      <c r="R2955" t="str">
        <f t="shared" si="698"/>
        <v/>
      </c>
      <c r="S2955">
        <f>IF($A2955="",0,IF(COUNTIF($R$2:$R2955,$R2955)=1,1,0))</f>
        <v>0</v>
      </c>
      <c r="T2955" t="str">
        <f t="shared" si="699"/>
        <v/>
      </c>
      <c r="U2955" t="str">
        <f>IF($A2955="","",IF($A2955=经营数据!$B$3,COUNTIFS($S$2:$S$3000,1,$A$2:$A$3000,$A2955,$T$2:$T$3000,"&lt;"&amp;$T2955)+1,""))</f>
        <v/>
      </c>
      <c r="V2955" t="str">
        <f t="shared" si="700"/>
        <v/>
      </c>
      <c r="W2955" t="str">
        <f t="shared" si="701"/>
        <v/>
      </c>
      <c r="X2955" t="str">
        <f t="shared" si="702"/>
        <v/>
      </c>
      <c r="Y2955" t="str">
        <f t="shared" si="703"/>
        <v/>
      </c>
      <c r="Z2955">
        <f>IF($A2955="",0,IF(AND($M2955=1,$A2955=经营数据!$B$3,$J2955=经营数据!$BA$5,OR($I2955=经营数据!$BA$4,COUNTIF(经营数据!$AA$9:$AA$38,$I2955)&gt;0)),1,0))</f>
        <v>0</v>
      </c>
      <c r="AA2955" t="str">
        <f t="shared" si="704"/>
        <v/>
      </c>
      <c r="AB2955" t="str">
        <f t="shared" si="705"/>
        <v/>
      </c>
      <c r="AC2955">
        <f>IF($A2955="",0,IF(COUNTIF($A$2:$A2955,$A2955)=1,1,0))</f>
        <v>0</v>
      </c>
      <c r="AD2955">
        <f t="shared" si="706"/>
        <v>29</v>
      </c>
      <c r="AE2955" t="str">
        <f t="shared" si="707"/>
        <v/>
      </c>
    </row>
    <row r="2956" spans="1:31" x14ac:dyDescent="0.4">
      <c r="A2956" t="str">
        <f>IF(原始经营数据!$D2957="","",原始经营数据!$D2957)</f>
        <v/>
      </c>
      <c r="B2956" t="str">
        <f>IF(原始经营数据!$D2957="","",T(原始经营数据!$E2957))</f>
        <v/>
      </c>
      <c r="C2956" t="str">
        <f>IF(原始经营数据!$D2957="","",原始经营数据!$F2957)</f>
        <v/>
      </c>
      <c r="D2956" t="str">
        <f>IF(原始经营数据!$D2957="","",原始经营数据!$H2957)</f>
        <v/>
      </c>
      <c r="E2956" t="str">
        <f>IF(原始经营数据!$D2957="","",原始经营数据!$I2957)</f>
        <v/>
      </c>
      <c r="F2956" t="str">
        <f>IF(原始经营数据!$D2957="","",T(原始经营数据!$J2957))</f>
        <v/>
      </c>
      <c r="G2956" t="str">
        <f>IF(原始经营数据!$D2957="","",T(原始经营数据!$K2957))</f>
        <v/>
      </c>
      <c r="H2956" t="str">
        <f>IF(原始经营数据!$D2957="","",原始经营数据!$G2957)</f>
        <v/>
      </c>
      <c r="I2956" t="str">
        <f>IF($A2956="","",IF($B2956&lt;&gt;"",$B2956,IF(COUNTIFS(原始经营数据!$D$3:$D$3001,$A2956,原始经营数据!$E$3:$E$3001,"",原始经营数据!$F$3:$F$3001,$C2956,原始经营数据!$H$3:$H$3001,$D2956,原始经营数据!$K$3:$K$3001,$G2956)&gt;1,"基金整体·来源"&amp;原始经营数据!$A2957,"基金整体")))</f>
        <v/>
      </c>
      <c r="J2956" t="str">
        <f t="shared" si="693"/>
        <v/>
      </c>
      <c r="K2956" t="str">
        <f t="shared" si="694"/>
        <v/>
      </c>
      <c r="L2956" t="str">
        <f t="shared" si="695"/>
        <v/>
      </c>
      <c r="M2956">
        <f>IF($A2956="",0,IF(COUNTIF($L$2:$L2956,$L2956)=1,1,0))</f>
        <v>0</v>
      </c>
      <c r="N2956" t="str">
        <f t="shared" si="696"/>
        <v/>
      </c>
      <c r="O2956" t="str">
        <f t="shared" si="697"/>
        <v/>
      </c>
      <c r="P2956">
        <f>IF($A2956="",0,IF(COUNTIF($O$2:$O2956,$O2956)=1,1,0))</f>
        <v>0</v>
      </c>
      <c r="Q2956" t="str">
        <f>IF(AND($P2956=1,$A2956=经营数据!$B$3,$J2956=经营数据!$BA$5),COUNTIFS($P$2:$P$3000,1,$A$2:$A$3000,$A2956,$J$2:$J$3000,$J2956,$N$2:$N$3000,"&lt;"&amp;$N2956)+1,"")</f>
        <v/>
      </c>
      <c r="R2956" t="str">
        <f t="shared" si="698"/>
        <v/>
      </c>
      <c r="S2956">
        <f>IF($A2956="",0,IF(COUNTIF($R$2:$R2956,$R2956)=1,1,0))</f>
        <v>0</v>
      </c>
      <c r="T2956" t="str">
        <f t="shared" si="699"/>
        <v/>
      </c>
      <c r="U2956" t="str">
        <f>IF($A2956="","",IF($A2956=经营数据!$B$3,COUNTIFS($S$2:$S$3000,1,$A$2:$A$3000,$A2956,$T$2:$T$3000,"&lt;"&amp;$T2956)+1,""))</f>
        <v/>
      </c>
      <c r="V2956" t="str">
        <f t="shared" si="700"/>
        <v/>
      </c>
      <c r="W2956" t="str">
        <f t="shared" si="701"/>
        <v/>
      </c>
      <c r="X2956" t="str">
        <f t="shared" si="702"/>
        <v/>
      </c>
      <c r="Y2956" t="str">
        <f t="shared" si="703"/>
        <v/>
      </c>
      <c r="Z2956">
        <f>IF($A2956="",0,IF(AND($M2956=1,$A2956=经营数据!$B$3,$J2956=经营数据!$BA$5,OR($I2956=经营数据!$BA$4,COUNTIF(经营数据!$AA$9:$AA$38,$I2956)&gt;0)),1,0))</f>
        <v>0</v>
      </c>
      <c r="AA2956" t="str">
        <f t="shared" si="704"/>
        <v/>
      </c>
      <c r="AB2956" t="str">
        <f t="shared" si="705"/>
        <v/>
      </c>
      <c r="AC2956">
        <f>IF($A2956="",0,IF(COUNTIF($A$2:$A2956,$A2956)=1,1,0))</f>
        <v>0</v>
      </c>
      <c r="AD2956">
        <f t="shared" si="706"/>
        <v>29</v>
      </c>
      <c r="AE2956" t="str">
        <f t="shared" si="707"/>
        <v/>
      </c>
    </row>
    <row r="2957" spans="1:31" x14ac:dyDescent="0.4">
      <c r="A2957" t="str">
        <f>IF(原始经营数据!$D2958="","",原始经营数据!$D2958)</f>
        <v/>
      </c>
      <c r="B2957" t="str">
        <f>IF(原始经营数据!$D2958="","",T(原始经营数据!$E2958))</f>
        <v/>
      </c>
      <c r="C2957" t="str">
        <f>IF(原始经营数据!$D2958="","",原始经营数据!$F2958)</f>
        <v/>
      </c>
      <c r="D2957" t="str">
        <f>IF(原始经营数据!$D2958="","",原始经营数据!$H2958)</f>
        <v/>
      </c>
      <c r="E2957" t="str">
        <f>IF(原始经营数据!$D2958="","",原始经营数据!$I2958)</f>
        <v/>
      </c>
      <c r="F2957" t="str">
        <f>IF(原始经营数据!$D2958="","",T(原始经营数据!$J2958))</f>
        <v/>
      </c>
      <c r="G2957" t="str">
        <f>IF(原始经营数据!$D2958="","",T(原始经营数据!$K2958))</f>
        <v/>
      </c>
      <c r="H2957" t="str">
        <f>IF(原始经营数据!$D2958="","",原始经营数据!$G2958)</f>
        <v/>
      </c>
      <c r="I2957" t="str">
        <f>IF($A2957="","",IF($B2957&lt;&gt;"",$B2957,IF(COUNTIFS(原始经营数据!$D$3:$D$3001,$A2957,原始经营数据!$E$3:$E$3001,"",原始经营数据!$F$3:$F$3001,$C2957,原始经营数据!$H$3:$H$3001,$D2957,原始经营数据!$K$3:$K$3001,$G2957)&gt;1,"基金整体·来源"&amp;原始经营数据!$A2958,"基金整体")))</f>
        <v/>
      </c>
      <c r="J2957" t="str">
        <f t="shared" si="693"/>
        <v/>
      </c>
      <c r="K2957" t="str">
        <f t="shared" si="694"/>
        <v/>
      </c>
      <c r="L2957" t="str">
        <f t="shared" si="695"/>
        <v/>
      </c>
      <c r="M2957">
        <f>IF($A2957="",0,IF(COUNTIF($L$2:$L2957,$L2957)=1,1,0))</f>
        <v>0</v>
      </c>
      <c r="N2957" t="str">
        <f t="shared" si="696"/>
        <v/>
      </c>
      <c r="O2957" t="str">
        <f t="shared" si="697"/>
        <v/>
      </c>
      <c r="P2957">
        <f>IF($A2957="",0,IF(COUNTIF($O$2:$O2957,$O2957)=1,1,0))</f>
        <v>0</v>
      </c>
      <c r="Q2957" t="str">
        <f>IF(AND($P2957=1,$A2957=经营数据!$B$3,$J2957=经营数据!$BA$5),COUNTIFS($P$2:$P$3000,1,$A$2:$A$3000,$A2957,$J$2:$J$3000,$J2957,$N$2:$N$3000,"&lt;"&amp;$N2957)+1,"")</f>
        <v/>
      </c>
      <c r="R2957" t="str">
        <f t="shared" si="698"/>
        <v/>
      </c>
      <c r="S2957">
        <f>IF($A2957="",0,IF(COUNTIF($R$2:$R2957,$R2957)=1,1,0))</f>
        <v>0</v>
      </c>
      <c r="T2957" t="str">
        <f t="shared" si="699"/>
        <v/>
      </c>
      <c r="U2957" t="str">
        <f>IF($A2957="","",IF($A2957=经营数据!$B$3,COUNTIFS($S$2:$S$3000,1,$A$2:$A$3000,$A2957,$T$2:$T$3000,"&lt;"&amp;$T2957)+1,""))</f>
        <v/>
      </c>
      <c r="V2957" t="str">
        <f t="shared" si="700"/>
        <v/>
      </c>
      <c r="W2957" t="str">
        <f t="shared" si="701"/>
        <v/>
      </c>
      <c r="X2957" t="str">
        <f t="shared" si="702"/>
        <v/>
      </c>
      <c r="Y2957" t="str">
        <f t="shared" si="703"/>
        <v/>
      </c>
      <c r="Z2957">
        <f>IF($A2957="",0,IF(AND($M2957=1,$A2957=经营数据!$B$3,$J2957=经营数据!$BA$5,OR($I2957=经营数据!$BA$4,COUNTIF(经营数据!$AA$9:$AA$38,$I2957)&gt;0)),1,0))</f>
        <v>0</v>
      </c>
      <c r="AA2957" t="str">
        <f t="shared" si="704"/>
        <v/>
      </c>
      <c r="AB2957" t="str">
        <f t="shared" si="705"/>
        <v/>
      </c>
      <c r="AC2957">
        <f>IF($A2957="",0,IF(COUNTIF($A$2:$A2957,$A2957)=1,1,0))</f>
        <v>0</v>
      </c>
      <c r="AD2957">
        <f t="shared" si="706"/>
        <v>29</v>
      </c>
      <c r="AE2957" t="str">
        <f t="shared" si="707"/>
        <v/>
      </c>
    </row>
    <row r="2958" spans="1:31" x14ac:dyDescent="0.4">
      <c r="A2958" t="str">
        <f>IF(原始经营数据!$D2959="","",原始经营数据!$D2959)</f>
        <v/>
      </c>
      <c r="B2958" t="str">
        <f>IF(原始经营数据!$D2959="","",T(原始经营数据!$E2959))</f>
        <v/>
      </c>
      <c r="C2958" t="str">
        <f>IF(原始经营数据!$D2959="","",原始经营数据!$F2959)</f>
        <v/>
      </c>
      <c r="D2958" t="str">
        <f>IF(原始经营数据!$D2959="","",原始经营数据!$H2959)</f>
        <v/>
      </c>
      <c r="E2958" t="str">
        <f>IF(原始经营数据!$D2959="","",原始经营数据!$I2959)</f>
        <v/>
      </c>
      <c r="F2958" t="str">
        <f>IF(原始经营数据!$D2959="","",T(原始经营数据!$J2959))</f>
        <v/>
      </c>
      <c r="G2958" t="str">
        <f>IF(原始经营数据!$D2959="","",T(原始经营数据!$K2959))</f>
        <v/>
      </c>
      <c r="H2958" t="str">
        <f>IF(原始经营数据!$D2959="","",原始经营数据!$G2959)</f>
        <v/>
      </c>
      <c r="I2958" t="str">
        <f>IF($A2958="","",IF($B2958&lt;&gt;"",$B2958,IF(COUNTIFS(原始经营数据!$D$3:$D$3001,$A2958,原始经营数据!$E$3:$E$3001,"",原始经营数据!$F$3:$F$3001,$C2958,原始经营数据!$H$3:$H$3001,$D2958,原始经营数据!$K$3:$K$3001,$G2958)&gt;1,"基金整体·来源"&amp;原始经营数据!$A2959,"基金整体")))</f>
        <v/>
      </c>
      <c r="J2958" t="str">
        <f t="shared" si="693"/>
        <v/>
      </c>
      <c r="K2958" t="str">
        <f t="shared" si="694"/>
        <v/>
      </c>
      <c r="L2958" t="str">
        <f t="shared" si="695"/>
        <v/>
      </c>
      <c r="M2958">
        <f>IF($A2958="",0,IF(COUNTIF($L$2:$L2958,$L2958)=1,1,0))</f>
        <v>0</v>
      </c>
      <c r="N2958" t="str">
        <f t="shared" si="696"/>
        <v/>
      </c>
      <c r="O2958" t="str">
        <f t="shared" si="697"/>
        <v/>
      </c>
      <c r="P2958">
        <f>IF($A2958="",0,IF(COUNTIF($O$2:$O2958,$O2958)=1,1,0))</f>
        <v>0</v>
      </c>
      <c r="Q2958" t="str">
        <f>IF(AND($P2958=1,$A2958=经营数据!$B$3,$J2958=经营数据!$BA$5),COUNTIFS($P$2:$P$3000,1,$A$2:$A$3000,$A2958,$J$2:$J$3000,$J2958,$N$2:$N$3000,"&lt;"&amp;$N2958)+1,"")</f>
        <v/>
      </c>
      <c r="R2958" t="str">
        <f t="shared" si="698"/>
        <v/>
      </c>
      <c r="S2958">
        <f>IF($A2958="",0,IF(COUNTIF($R$2:$R2958,$R2958)=1,1,0))</f>
        <v>0</v>
      </c>
      <c r="T2958" t="str">
        <f t="shared" si="699"/>
        <v/>
      </c>
      <c r="U2958" t="str">
        <f>IF($A2958="","",IF($A2958=经营数据!$B$3,COUNTIFS($S$2:$S$3000,1,$A$2:$A$3000,$A2958,$T$2:$T$3000,"&lt;"&amp;$T2958)+1,""))</f>
        <v/>
      </c>
      <c r="V2958" t="str">
        <f t="shared" si="700"/>
        <v/>
      </c>
      <c r="W2958" t="str">
        <f t="shared" si="701"/>
        <v/>
      </c>
      <c r="X2958" t="str">
        <f t="shared" si="702"/>
        <v/>
      </c>
      <c r="Y2958" t="str">
        <f t="shared" si="703"/>
        <v/>
      </c>
      <c r="Z2958">
        <f>IF($A2958="",0,IF(AND($M2958=1,$A2958=经营数据!$B$3,$J2958=经营数据!$BA$5,OR($I2958=经营数据!$BA$4,COUNTIF(经营数据!$AA$9:$AA$38,$I2958)&gt;0)),1,0))</f>
        <v>0</v>
      </c>
      <c r="AA2958" t="str">
        <f t="shared" si="704"/>
        <v/>
      </c>
      <c r="AB2958" t="str">
        <f t="shared" si="705"/>
        <v/>
      </c>
      <c r="AC2958">
        <f>IF($A2958="",0,IF(COUNTIF($A$2:$A2958,$A2958)=1,1,0))</f>
        <v>0</v>
      </c>
      <c r="AD2958">
        <f t="shared" si="706"/>
        <v>29</v>
      </c>
      <c r="AE2958" t="str">
        <f t="shared" si="707"/>
        <v/>
      </c>
    </row>
    <row r="2959" spans="1:31" x14ac:dyDescent="0.4">
      <c r="A2959" t="str">
        <f>IF(原始经营数据!$D2960="","",原始经营数据!$D2960)</f>
        <v/>
      </c>
      <c r="B2959" t="str">
        <f>IF(原始经营数据!$D2960="","",T(原始经营数据!$E2960))</f>
        <v/>
      </c>
      <c r="C2959" t="str">
        <f>IF(原始经营数据!$D2960="","",原始经营数据!$F2960)</f>
        <v/>
      </c>
      <c r="D2959" t="str">
        <f>IF(原始经营数据!$D2960="","",原始经营数据!$H2960)</f>
        <v/>
      </c>
      <c r="E2959" t="str">
        <f>IF(原始经营数据!$D2960="","",原始经营数据!$I2960)</f>
        <v/>
      </c>
      <c r="F2959" t="str">
        <f>IF(原始经营数据!$D2960="","",T(原始经营数据!$J2960))</f>
        <v/>
      </c>
      <c r="G2959" t="str">
        <f>IF(原始经营数据!$D2960="","",T(原始经营数据!$K2960))</f>
        <v/>
      </c>
      <c r="H2959" t="str">
        <f>IF(原始经营数据!$D2960="","",原始经营数据!$G2960)</f>
        <v/>
      </c>
      <c r="I2959" t="str">
        <f>IF($A2959="","",IF($B2959&lt;&gt;"",$B2959,IF(COUNTIFS(原始经营数据!$D$3:$D$3001,$A2959,原始经营数据!$E$3:$E$3001,"",原始经营数据!$F$3:$F$3001,$C2959,原始经营数据!$H$3:$H$3001,$D2959,原始经营数据!$K$3:$K$3001,$G2959)&gt;1,"基金整体·来源"&amp;原始经营数据!$A2960,"基金整体")))</f>
        <v/>
      </c>
      <c r="J2959" t="str">
        <f t="shared" si="693"/>
        <v/>
      </c>
      <c r="K2959" t="str">
        <f t="shared" si="694"/>
        <v/>
      </c>
      <c r="L2959" t="str">
        <f t="shared" si="695"/>
        <v/>
      </c>
      <c r="M2959">
        <f>IF($A2959="",0,IF(COUNTIF($L$2:$L2959,$L2959)=1,1,0))</f>
        <v>0</v>
      </c>
      <c r="N2959" t="str">
        <f t="shared" si="696"/>
        <v/>
      </c>
      <c r="O2959" t="str">
        <f t="shared" si="697"/>
        <v/>
      </c>
      <c r="P2959">
        <f>IF($A2959="",0,IF(COUNTIF($O$2:$O2959,$O2959)=1,1,0))</f>
        <v>0</v>
      </c>
      <c r="Q2959" t="str">
        <f>IF(AND($P2959=1,$A2959=经营数据!$B$3,$J2959=经营数据!$BA$5),COUNTIFS($P$2:$P$3000,1,$A$2:$A$3000,$A2959,$J$2:$J$3000,$J2959,$N$2:$N$3000,"&lt;"&amp;$N2959)+1,"")</f>
        <v/>
      </c>
      <c r="R2959" t="str">
        <f t="shared" si="698"/>
        <v/>
      </c>
      <c r="S2959">
        <f>IF($A2959="",0,IF(COUNTIF($R$2:$R2959,$R2959)=1,1,0))</f>
        <v>0</v>
      </c>
      <c r="T2959" t="str">
        <f t="shared" si="699"/>
        <v/>
      </c>
      <c r="U2959" t="str">
        <f>IF($A2959="","",IF($A2959=经营数据!$B$3,COUNTIFS($S$2:$S$3000,1,$A$2:$A$3000,$A2959,$T$2:$T$3000,"&lt;"&amp;$T2959)+1,""))</f>
        <v/>
      </c>
      <c r="V2959" t="str">
        <f t="shared" si="700"/>
        <v/>
      </c>
      <c r="W2959" t="str">
        <f t="shared" si="701"/>
        <v/>
      </c>
      <c r="X2959" t="str">
        <f t="shared" si="702"/>
        <v/>
      </c>
      <c r="Y2959" t="str">
        <f t="shared" si="703"/>
        <v/>
      </c>
      <c r="Z2959">
        <f>IF($A2959="",0,IF(AND($M2959=1,$A2959=经营数据!$B$3,$J2959=经营数据!$BA$5,OR($I2959=经营数据!$BA$4,COUNTIF(经营数据!$AA$9:$AA$38,$I2959)&gt;0)),1,0))</f>
        <v>0</v>
      </c>
      <c r="AA2959" t="str">
        <f t="shared" si="704"/>
        <v/>
      </c>
      <c r="AB2959" t="str">
        <f t="shared" si="705"/>
        <v/>
      </c>
      <c r="AC2959">
        <f>IF($A2959="",0,IF(COUNTIF($A$2:$A2959,$A2959)=1,1,0))</f>
        <v>0</v>
      </c>
      <c r="AD2959">
        <f t="shared" si="706"/>
        <v>29</v>
      </c>
      <c r="AE2959" t="str">
        <f t="shared" si="707"/>
        <v/>
      </c>
    </row>
    <row r="2960" spans="1:31" x14ac:dyDescent="0.4">
      <c r="A2960" t="str">
        <f>IF(原始经营数据!$D2961="","",原始经营数据!$D2961)</f>
        <v/>
      </c>
      <c r="B2960" t="str">
        <f>IF(原始经营数据!$D2961="","",T(原始经营数据!$E2961))</f>
        <v/>
      </c>
      <c r="C2960" t="str">
        <f>IF(原始经营数据!$D2961="","",原始经营数据!$F2961)</f>
        <v/>
      </c>
      <c r="D2960" t="str">
        <f>IF(原始经营数据!$D2961="","",原始经营数据!$H2961)</f>
        <v/>
      </c>
      <c r="E2960" t="str">
        <f>IF(原始经营数据!$D2961="","",原始经营数据!$I2961)</f>
        <v/>
      </c>
      <c r="F2960" t="str">
        <f>IF(原始经营数据!$D2961="","",T(原始经营数据!$J2961))</f>
        <v/>
      </c>
      <c r="G2960" t="str">
        <f>IF(原始经营数据!$D2961="","",T(原始经营数据!$K2961))</f>
        <v/>
      </c>
      <c r="H2960" t="str">
        <f>IF(原始经营数据!$D2961="","",原始经营数据!$G2961)</f>
        <v/>
      </c>
      <c r="I2960" t="str">
        <f>IF($A2960="","",IF($B2960&lt;&gt;"",$B2960,IF(COUNTIFS(原始经营数据!$D$3:$D$3001,$A2960,原始经营数据!$E$3:$E$3001,"",原始经营数据!$F$3:$F$3001,$C2960,原始经营数据!$H$3:$H$3001,$D2960,原始经营数据!$K$3:$K$3001,$G2960)&gt;1,"基金整体·来源"&amp;原始经营数据!$A2961,"基金整体")))</f>
        <v/>
      </c>
      <c r="J2960" t="str">
        <f t="shared" si="693"/>
        <v/>
      </c>
      <c r="K2960" t="str">
        <f t="shared" si="694"/>
        <v/>
      </c>
      <c r="L2960" t="str">
        <f t="shared" si="695"/>
        <v/>
      </c>
      <c r="M2960">
        <f>IF($A2960="",0,IF(COUNTIF($L$2:$L2960,$L2960)=1,1,0))</f>
        <v>0</v>
      </c>
      <c r="N2960" t="str">
        <f t="shared" si="696"/>
        <v/>
      </c>
      <c r="O2960" t="str">
        <f t="shared" si="697"/>
        <v/>
      </c>
      <c r="P2960">
        <f>IF($A2960="",0,IF(COUNTIF($O$2:$O2960,$O2960)=1,1,0))</f>
        <v>0</v>
      </c>
      <c r="Q2960" t="str">
        <f>IF(AND($P2960=1,$A2960=经营数据!$B$3,$J2960=经营数据!$BA$5),COUNTIFS($P$2:$P$3000,1,$A$2:$A$3000,$A2960,$J$2:$J$3000,$J2960,$N$2:$N$3000,"&lt;"&amp;$N2960)+1,"")</f>
        <v/>
      </c>
      <c r="R2960" t="str">
        <f t="shared" si="698"/>
        <v/>
      </c>
      <c r="S2960">
        <f>IF($A2960="",0,IF(COUNTIF($R$2:$R2960,$R2960)=1,1,0))</f>
        <v>0</v>
      </c>
      <c r="T2960" t="str">
        <f t="shared" si="699"/>
        <v/>
      </c>
      <c r="U2960" t="str">
        <f>IF($A2960="","",IF($A2960=经营数据!$B$3,COUNTIFS($S$2:$S$3000,1,$A$2:$A$3000,$A2960,$T$2:$T$3000,"&lt;"&amp;$T2960)+1,""))</f>
        <v/>
      </c>
      <c r="V2960" t="str">
        <f t="shared" si="700"/>
        <v/>
      </c>
      <c r="W2960" t="str">
        <f t="shared" si="701"/>
        <v/>
      </c>
      <c r="X2960" t="str">
        <f t="shared" si="702"/>
        <v/>
      </c>
      <c r="Y2960" t="str">
        <f t="shared" si="703"/>
        <v/>
      </c>
      <c r="Z2960">
        <f>IF($A2960="",0,IF(AND($M2960=1,$A2960=经营数据!$B$3,$J2960=经营数据!$BA$5,OR($I2960=经营数据!$BA$4,COUNTIF(经营数据!$AA$9:$AA$38,$I2960)&gt;0)),1,0))</f>
        <v>0</v>
      </c>
      <c r="AA2960" t="str">
        <f t="shared" si="704"/>
        <v/>
      </c>
      <c r="AB2960" t="str">
        <f t="shared" si="705"/>
        <v/>
      </c>
      <c r="AC2960">
        <f>IF($A2960="",0,IF(COUNTIF($A$2:$A2960,$A2960)=1,1,0))</f>
        <v>0</v>
      </c>
      <c r="AD2960">
        <f t="shared" si="706"/>
        <v>29</v>
      </c>
      <c r="AE2960" t="str">
        <f t="shared" si="707"/>
        <v/>
      </c>
    </row>
    <row r="2961" spans="1:31" x14ac:dyDescent="0.4">
      <c r="A2961" t="str">
        <f>IF(原始经营数据!$D2962="","",原始经营数据!$D2962)</f>
        <v/>
      </c>
      <c r="B2961" t="str">
        <f>IF(原始经营数据!$D2962="","",T(原始经营数据!$E2962))</f>
        <v/>
      </c>
      <c r="C2961" t="str">
        <f>IF(原始经营数据!$D2962="","",原始经营数据!$F2962)</f>
        <v/>
      </c>
      <c r="D2961" t="str">
        <f>IF(原始经营数据!$D2962="","",原始经营数据!$H2962)</f>
        <v/>
      </c>
      <c r="E2961" t="str">
        <f>IF(原始经营数据!$D2962="","",原始经营数据!$I2962)</f>
        <v/>
      </c>
      <c r="F2961" t="str">
        <f>IF(原始经营数据!$D2962="","",T(原始经营数据!$J2962))</f>
        <v/>
      </c>
      <c r="G2961" t="str">
        <f>IF(原始经营数据!$D2962="","",T(原始经营数据!$K2962))</f>
        <v/>
      </c>
      <c r="H2961" t="str">
        <f>IF(原始经营数据!$D2962="","",原始经营数据!$G2962)</f>
        <v/>
      </c>
      <c r="I2961" t="str">
        <f>IF($A2961="","",IF($B2961&lt;&gt;"",$B2961,IF(COUNTIFS(原始经营数据!$D$3:$D$3001,$A2961,原始经营数据!$E$3:$E$3001,"",原始经营数据!$F$3:$F$3001,$C2961,原始经营数据!$H$3:$H$3001,$D2961,原始经营数据!$K$3:$K$3001,$G2961)&gt;1,"基金整体·来源"&amp;原始经营数据!$A2962,"基金整体")))</f>
        <v/>
      </c>
      <c r="J2961" t="str">
        <f t="shared" si="693"/>
        <v/>
      </c>
      <c r="K2961" t="str">
        <f t="shared" si="694"/>
        <v/>
      </c>
      <c r="L2961" t="str">
        <f t="shared" si="695"/>
        <v/>
      </c>
      <c r="M2961">
        <f>IF($A2961="",0,IF(COUNTIF($L$2:$L2961,$L2961)=1,1,0))</f>
        <v>0</v>
      </c>
      <c r="N2961" t="str">
        <f t="shared" si="696"/>
        <v/>
      </c>
      <c r="O2961" t="str">
        <f t="shared" si="697"/>
        <v/>
      </c>
      <c r="P2961">
        <f>IF($A2961="",0,IF(COUNTIF($O$2:$O2961,$O2961)=1,1,0))</f>
        <v>0</v>
      </c>
      <c r="Q2961" t="str">
        <f>IF(AND($P2961=1,$A2961=经营数据!$B$3,$J2961=经营数据!$BA$5),COUNTIFS($P$2:$P$3000,1,$A$2:$A$3000,$A2961,$J$2:$J$3000,$J2961,$N$2:$N$3000,"&lt;"&amp;$N2961)+1,"")</f>
        <v/>
      </c>
      <c r="R2961" t="str">
        <f t="shared" si="698"/>
        <v/>
      </c>
      <c r="S2961">
        <f>IF($A2961="",0,IF(COUNTIF($R$2:$R2961,$R2961)=1,1,0))</f>
        <v>0</v>
      </c>
      <c r="T2961" t="str">
        <f t="shared" si="699"/>
        <v/>
      </c>
      <c r="U2961" t="str">
        <f>IF($A2961="","",IF($A2961=经营数据!$B$3,COUNTIFS($S$2:$S$3000,1,$A$2:$A$3000,$A2961,$T$2:$T$3000,"&lt;"&amp;$T2961)+1,""))</f>
        <v/>
      </c>
      <c r="V2961" t="str">
        <f t="shared" si="700"/>
        <v/>
      </c>
      <c r="W2961" t="str">
        <f t="shared" si="701"/>
        <v/>
      </c>
      <c r="X2961" t="str">
        <f t="shared" si="702"/>
        <v/>
      </c>
      <c r="Y2961" t="str">
        <f t="shared" si="703"/>
        <v/>
      </c>
      <c r="Z2961">
        <f>IF($A2961="",0,IF(AND($M2961=1,$A2961=经营数据!$B$3,$J2961=经营数据!$BA$5,OR($I2961=经营数据!$BA$4,COUNTIF(经营数据!$AA$9:$AA$38,$I2961)&gt;0)),1,0))</f>
        <v>0</v>
      </c>
      <c r="AA2961" t="str">
        <f t="shared" si="704"/>
        <v/>
      </c>
      <c r="AB2961" t="str">
        <f t="shared" si="705"/>
        <v/>
      </c>
      <c r="AC2961">
        <f>IF($A2961="",0,IF(COUNTIF($A$2:$A2961,$A2961)=1,1,0))</f>
        <v>0</v>
      </c>
      <c r="AD2961">
        <f t="shared" si="706"/>
        <v>29</v>
      </c>
      <c r="AE2961" t="str">
        <f t="shared" si="707"/>
        <v/>
      </c>
    </row>
    <row r="2962" spans="1:31" x14ac:dyDescent="0.4">
      <c r="A2962" t="str">
        <f>IF(原始经营数据!$D2963="","",原始经营数据!$D2963)</f>
        <v/>
      </c>
      <c r="B2962" t="str">
        <f>IF(原始经营数据!$D2963="","",T(原始经营数据!$E2963))</f>
        <v/>
      </c>
      <c r="C2962" t="str">
        <f>IF(原始经营数据!$D2963="","",原始经营数据!$F2963)</f>
        <v/>
      </c>
      <c r="D2962" t="str">
        <f>IF(原始经营数据!$D2963="","",原始经营数据!$H2963)</f>
        <v/>
      </c>
      <c r="E2962" t="str">
        <f>IF(原始经营数据!$D2963="","",原始经营数据!$I2963)</f>
        <v/>
      </c>
      <c r="F2962" t="str">
        <f>IF(原始经营数据!$D2963="","",T(原始经营数据!$J2963))</f>
        <v/>
      </c>
      <c r="G2962" t="str">
        <f>IF(原始经营数据!$D2963="","",T(原始经营数据!$K2963))</f>
        <v/>
      </c>
      <c r="H2962" t="str">
        <f>IF(原始经营数据!$D2963="","",原始经营数据!$G2963)</f>
        <v/>
      </c>
      <c r="I2962" t="str">
        <f>IF($A2962="","",IF($B2962&lt;&gt;"",$B2962,IF(COUNTIFS(原始经营数据!$D$3:$D$3001,$A2962,原始经营数据!$E$3:$E$3001,"",原始经营数据!$F$3:$F$3001,$C2962,原始经营数据!$H$3:$H$3001,$D2962,原始经营数据!$K$3:$K$3001,$G2962)&gt;1,"基金整体·来源"&amp;原始经营数据!$A2963,"基金整体")))</f>
        <v/>
      </c>
      <c r="J2962" t="str">
        <f t="shared" si="693"/>
        <v/>
      </c>
      <c r="K2962" t="str">
        <f t="shared" si="694"/>
        <v/>
      </c>
      <c r="L2962" t="str">
        <f t="shared" si="695"/>
        <v/>
      </c>
      <c r="M2962">
        <f>IF($A2962="",0,IF(COUNTIF($L$2:$L2962,$L2962)=1,1,0))</f>
        <v>0</v>
      </c>
      <c r="N2962" t="str">
        <f t="shared" si="696"/>
        <v/>
      </c>
      <c r="O2962" t="str">
        <f t="shared" si="697"/>
        <v/>
      </c>
      <c r="P2962">
        <f>IF($A2962="",0,IF(COUNTIF($O$2:$O2962,$O2962)=1,1,0))</f>
        <v>0</v>
      </c>
      <c r="Q2962" t="str">
        <f>IF(AND($P2962=1,$A2962=经营数据!$B$3,$J2962=经营数据!$BA$5),COUNTIFS($P$2:$P$3000,1,$A$2:$A$3000,$A2962,$J$2:$J$3000,$J2962,$N$2:$N$3000,"&lt;"&amp;$N2962)+1,"")</f>
        <v/>
      </c>
      <c r="R2962" t="str">
        <f t="shared" si="698"/>
        <v/>
      </c>
      <c r="S2962">
        <f>IF($A2962="",0,IF(COUNTIF($R$2:$R2962,$R2962)=1,1,0))</f>
        <v>0</v>
      </c>
      <c r="T2962" t="str">
        <f t="shared" si="699"/>
        <v/>
      </c>
      <c r="U2962" t="str">
        <f>IF($A2962="","",IF($A2962=经营数据!$B$3,COUNTIFS($S$2:$S$3000,1,$A$2:$A$3000,$A2962,$T$2:$T$3000,"&lt;"&amp;$T2962)+1,""))</f>
        <v/>
      </c>
      <c r="V2962" t="str">
        <f t="shared" si="700"/>
        <v/>
      </c>
      <c r="W2962" t="str">
        <f t="shared" si="701"/>
        <v/>
      </c>
      <c r="X2962" t="str">
        <f t="shared" si="702"/>
        <v/>
      </c>
      <c r="Y2962" t="str">
        <f t="shared" si="703"/>
        <v/>
      </c>
      <c r="Z2962">
        <f>IF($A2962="",0,IF(AND($M2962=1,$A2962=经营数据!$B$3,$J2962=经营数据!$BA$5,OR($I2962=经营数据!$BA$4,COUNTIF(经营数据!$AA$9:$AA$38,$I2962)&gt;0)),1,0))</f>
        <v>0</v>
      </c>
      <c r="AA2962" t="str">
        <f t="shared" si="704"/>
        <v/>
      </c>
      <c r="AB2962" t="str">
        <f t="shared" si="705"/>
        <v/>
      </c>
      <c r="AC2962">
        <f>IF($A2962="",0,IF(COUNTIF($A$2:$A2962,$A2962)=1,1,0))</f>
        <v>0</v>
      </c>
      <c r="AD2962">
        <f t="shared" si="706"/>
        <v>29</v>
      </c>
      <c r="AE2962" t="str">
        <f t="shared" si="707"/>
        <v/>
      </c>
    </row>
    <row r="2963" spans="1:31" x14ac:dyDescent="0.4">
      <c r="A2963" t="str">
        <f>IF(原始经营数据!$D2964="","",原始经营数据!$D2964)</f>
        <v/>
      </c>
      <c r="B2963" t="str">
        <f>IF(原始经营数据!$D2964="","",T(原始经营数据!$E2964))</f>
        <v/>
      </c>
      <c r="C2963" t="str">
        <f>IF(原始经营数据!$D2964="","",原始经营数据!$F2964)</f>
        <v/>
      </c>
      <c r="D2963" t="str">
        <f>IF(原始经营数据!$D2964="","",原始经营数据!$H2964)</f>
        <v/>
      </c>
      <c r="E2963" t="str">
        <f>IF(原始经营数据!$D2964="","",原始经营数据!$I2964)</f>
        <v/>
      </c>
      <c r="F2963" t="str">
        <f>IF(原始经营数据!$D2964="","",T(原始经营数据!$J2964))</f>
        <v/>
      </c>
      <c r="G2963" t="str">
        <f>IF(原始经营数据!$D2964="","",T(原始经营数据!$K2964))</f>
        <v/>
      </c>
      <c r="H2963" t="str">
        <f>IF(原始经营数据!$D2964="","",原始经营数据!$G2964)</f>
        <v/>
      </c>
      <c r="I2963" t="str">
        <f>IF($A2963="","",IF($B2963&lt;&gt;"",$B2963,IF(COUNTIFS(原始经营数据!$D$3:$D$3001,$A2963,原始经营数据!$E$3:$E$3001,"",原始经营数据!$F$3:$F$3001,$C2963,原始经营数据!$H$3:$H$3001,$D2963,原始经营数据!$K$3:$K$3001,$G2963)&gt;1,"基金整体·来源"&amp;原始经营数据!$A2964,"基金整体")))</f>
        <v/>
      </c>
      <c r="J2963" t="str">
        <f t="shared" si="693"/>
        <v/>
      </c>
      <c r="K2963" t="str">
        <f t="shared" si="694"/>
        <v/>
      </c>
      <c r="L2963" t="str">
        <f t="shared" si="695"/>
        <v/>
      </c>
      <c r="M2963">
        <f>IF($A2963="",0,IF(COUNTIF($L$2:$L2963,$L2963)=1,1,0))</f>
        <v>0</v>
      </c>
      <c r="N2963" t="str">
        <f t="shared" si="696"/>
        <v/>
      </c>
      <c r="O2963" t="str">
        <f t="shared" si="697"/>
        <v/>
      </c>
      <c r="P2963">
        <f>IF($A2963="",0,IF(COUNTIF($O$2:$O2963,$O2963)=1,1,0))</f>
        <v>0</v>
      </c>
      <c r="Q2963" t="str">
        <f>IF(AND($P2963=1,$A2963=经营数据!$B$3,$J2963=经营数据!$BA$5),COUNTIFS($P$2:$P$3000,1,$A$2:$A$3000,$A2963,$J$2:$J$3000,$J2963,$N$2:$N$3000,"&lt;"&amp;$N2963)+1,"")</f>
        <v/>
      </c>
      <c r="R2963" t="str">
        <f t="shared" si="698"/>
        <v/>
      </c>
      <c r="S2963">
        <f>IF($A2963="",0,IF(COUNTIF($R$2:$R2963,$R2963)=1,1,0))</f>
        <v>0</v>
      </c>
      <c r="T2963" t="str">
        <f t="shared" si="699"/>
        <v/>
      </c>
      <c r="U2963" t="str">
        <f>IF($A2963="","",IF($A2963=经营数据!$B$3,COUNTIFS($S$2:$S$3000,1,$A$2:$A$3000,$A2963,$T$2:$T$3000,"&lt;"&amp;$T2963)+1,""))</f>
        <v/>
      </c>
      <c r="V2963" t="str">
        <f t="shared" si="700"/>
        <v/>
      </c>
      <c r="W2963" t="str">
        <f t="shared" si="701"/>
        <v/>
      </c>
      <c r="X2963" t="str">
        <f t="shared" si="702"/>
        <v/>
      </c>
      <c r="Y2963" t="str">
        <f t="shared" si="703"/>
        <v/>
      </c>
      <c r="Z2963">
        <f>IF($A2963="",0,IF(AND($M2963=1,$A2963=经营数据!$B$3,$J2963=经营数据!$BA$5,OR($I2963=经营数据!$BA$4,COUNTIF(经营数据!$AA$9:$AA$38,$I2963)&gt;0)),1,0))</f>
        <v>0</v>
      </c>
      <c r="AA2963" t="str">
        <f t="shared" si="704"/>
        <v/>
      </c>
      <c r="AB2963" t="str">
        <f t="shared" si="705"/>
        <v/>
      </c>
      <c r="AC2963">
        <f>IF($A2963="",0,IF(COUNTIF($A$2:$A2963,$A2963)=1,1,0))</f>
        <v>0</v>
      </c>
      <c r="AD2963">
        <f t="shared" si="706"/>
        <v>29</v>
      </c>
      <c r="AE2963" t="str">
        <f t="shared" si="707"/>
        <v/>
      </c>
    </row>
    <row r="2964" spans="1:31" x14ac:dyDescent="0.4">
      <c r="A2964" t="str">
        <f>IF(原始经营数据!$D2965="","",原始经营数据!$D2965)</f>
        <v/>
      </c>
      <c r="B2964" t="str">
        <f>IF(原始经营数据!$D2965="","",T(原始经营数据!$E2965))</f>
        <v/>
      </c>
      <c r="C2964" t="str">
        <f>IF(原始经营数据!$D2965="","",原始经营数据!$F2965)</f>
        <v/>
      </c>
      <c r="D2964" t="str">
        <f>IF(原始经营数据!$D2965="","",原始经营数据!$H2965)</f>
        <v/>
      </c>
      <c r="E2964" t="str">
        <f>IF(原始经营数据!$D2965="","",原始经营数据!$I2965)</f>
        <v/>
      </c>
      <c r="F2964" t="str">
        <f>IF(原始经营数据!$D2965="","",T(原始经营数据!$J2965))</f>
        <v/>
      </c>
      <c r="G2964" t="str">
        <f>IF(原始经营数据!$D2965="","",T(原始经营数据!$K2965))</f>
        <v/>
      </c>
      <c r="H2964" t="str">
        <f>IF(原始经营数据!$D2965="","",原始经营数据!$G2965)</f>
        <v/>
      </c>
      <c r="I2964" t="str">
        <f>IF($A2964="","",IF($B2964&lt;&gt;"",$B2964,IF(COUNTIFS(原始经营数据!$D$3:$D$3001,$A2964,原始经营数据!$E$3:$E$3001,"",原始经营数据!$F$3:$F$3001,$C2964,原始经营数据!$H$3:$H$3001,$D2964,原始经营数据!$K$3:$K$3001,$G2964)&gt;1,"基金整体·来源"&amp;原始经营数据!$A2965,"基金整体")))</f>
        <v/>
      </c>
      <c r="J2964" t="str">
        <f t="shared" si="693"/>
        <v/>
      </c>
      <c r="K2964" t="str">
        <f t="shared" si="694"/>
        <v/>
      </c>
      <c r="L2964" t="str">
        <f t="shared" si="695"/>
        <v/>
      </c>
      <c r="M2964">
        <f>IF($A2964="",0,IF(COUNTIF($L$2:$L2964,$L2964)=1,1,0))</f>
        <v>0</v>
      </c>
      <c r="N2964" t="str">
        <f t="shared" si="696"/>
        <v/>
      </c>
      <c r="O2964" t="str">
        <f t="shared" si="697"/>
        <v/>
      </c>
      <c r="P2964">
        <f>IF($A2964="",0,IF(COUNTIF($O$2:$O2964,$O2964)=1,1,0))</f>
        <v>0</v>
      </c>
      <c r="Q2964" t="str">
        <f>IF(AND($P2964=1,$A2964=经营数据!$B$3,$J2964=经营数据!$BA$5),COUNTIFS($P$2:$P$3000,1,$A$2:$A$3000,$A2964,$J$2:$J$3000,$J2964,$N$2:$N$3000,"&lt;"&amp;$N2964)+1,"")</f>
        <v/>
      </c>
      <c r="R2964" t="str">
        <f t="shared" si="698"/>
        <v/>
      </c>
      <c r="S2964">
        <f>IF($A2964="",0,IF(COUNTIF($R$2:$R2964,$R2964)=1,1,0))</f>
        <v>0</v>
      </c>
      <c r="T2964" t="str">
        <f t="shared" si="699"/>
        <v/>
      </c>
      <c r="U2964" t="str">
        <f>IF($A2964="","",IF($A2964=经营数据!$B$3,COUNTIFS($S$2:$S$3000,1,$A$2:$A$3000,$A2964,$T$2:$T$3000,"&lt;"&amp;$T2964)+1,""))</f>
        <v/>
      </c>
      <c r="V2964" t="str">
        <f t="shared" si="700"/>
        <v/>
      </c>
      <c r="W2964" t="str">
        <f t="shared" si="701"/>
        <v/>
      </c>
      <c r="X2964" t="str">
        <f t="shared" si="702"/>
        <v/>
      </c>
      <c r="Y2964" t="str">
        <f t="shared" si="703"/>
        <v/>
      </c>
      <c r="Z2964">
        <f>IF($A2964="",0,IF(AND($M2964=1,$A2964=经营数据!$B$3,$J2964=经营数据!$BA$5,OR($I2964=经营数据!$BA$4,COUNTIF(经营数据!$AA$9:$AA$38,$I2964)&gt;0)),1,0))</f>
        <v>0</v>
      </c>
      <c r="AA2964" t="str">
        <f t="shared" si="704"/>
        <v/>
      </c>
      <c r="AB2964" t="str">
        <f t="shared" si="705"/>
        <v/>
      </c>
      <c r="AC2964">
        <f>IF($A2964="",0,IF(COUNTIF($A$2:$A2964,$A2964)=1,1,0))</f>
        <v>0</v>
      </c>
      <c r="AD2964">
        <f t="shared" si="706"/>
        <v>29</v>
      </c>
      <c r="AE2964" t="str">
        <f t="shared" si="707"/>
        <v/>
      </c>
    </row>
    <row r="2965" spans="1:31" x14ac:dyDescent="0.4">
      <c r="A2965" t="str">
        <f>IF(原始经营数据!$D2966="","",原始经营数据!$D2966)</f>
        <v/>
      </c>
      <c r="B2965" t="str">
        <f>IF(原始经营数据!$D2966="","",T(原始经营数据!$E2966))</f>
        <v/>
      </c>
      <c r="C2965" t="str">
        <f>IF(原始经营数据!$D2966="","",原始经营数据!$F2966)</f>
        <v/>
      </c>
      <c r="D2965" t="str">
        <f>IF(原始经营数据!$D2966="","",原始经营数据!$H2966)</f>
        <v/>
      </c>
      <c r="E2965" t="str">
        <f>IF(原始经营数据!$D2966="","",原始经营数据!$I2966)</f>
        <v/>
      </c>
      <c r="F2965" t="str">
        <f>IF(原始经营数据!$D2966="","",T(原始经营数据!$J2966))</f>
        <v/>
      </c>
      <c r="G2965" t="str">
        <f>IF(原始经营数据!$D2966="","",T(原始经营数据!$K2966))</f>
        <v/>
      </c>
      <c r="H2965" t="str">
        <f>IF(原始经营数据!$D2966="","",原始经营数据!$G2966)</f>
        <v/>
      </c>
      <c r="I2965" t="str">
        <f>IF($A2965="","",IF($B2965&lt;&gt;"",$B2965,IF(COUNTIFS(原始经营数据!$D$3:$D$3001,$A2965,原始经营数据!$E$3:$E$3001,"",原始经营数据!$F$3:$F$3001,$C2965,原始经营数据!$H$3:$H$3001,$D2965,原始经营数据!$K$3:$K$3001,$G2965)&gt;1,"基金整体·来源"&amp;原始经营数据!$A2966,"基金整体")))</f>
        <v/>
      </c>
      <c r="J2965" t="str">
        <f t="shared" si="693"/>
        <v/>
      </c>
      <c r="K2965" t="str">
        <f t="shared" si="694"/>
        <v/>
      </c>
      <c r="L2965" t="str">
        <f t="shared" si="695"/>
        <v/>
      </c>
      <c r="M2965">
        <f>IF($A2965="",0,IF(COUNTIF($L$2:$L2965,$L2965)=1,1,0))</f>
        <v>0</v>
      </c>
      <c r="N2965" t="str">
        <f t="shared" si="696"/>
        <v/>
      </c>
      <c r="O2965" t="str">
        <f t="shared" si="697"/>
        <v/>
      </c>
      <c r="P2965">
        <f>IF($A2965="",0,IF(COUNTIF($O$2:$O2965,$O2965)=1,1,0))</f>
        <v>0</v>
      </c>
      <c r="Q2965" t="str">
        <f>IF(AND($P2965=1,$A2965=经营数据!$B$3,$J2965=经营数据!$BA$5),COUNTIFS($P$2:$P$3000,1,$A$2:$A$3000,$A2965,$J$2:$J$3000,$J2965,$N$2:$N$3000,"&lt;"&amp;$N2965)+1,"")</f>
        <v/>
      </c>
      <c r="R2965" t="str">
        <f t="shared" si="698"/>
        <v/>
      </c>
      <c r="S2965">
        <f>IF($A2965="",0,IF(COUNTIF($R$2:$R2965,$R2965)=1,1,0))</f>
        <v>0</v>
      </c>
      <c r="T2965" t="str">
        <f t="shared" si="699"/>
        <v/>
      </c>
      <c r="U2965" t="str">
        <f>IF($A2965="","",IF($A2965=经营数据!$B$3,COUNTIFS($S$2:$S$3000,1,$A$2:$A$3000,$A2965,$T$2:$T$3000,"&lt;"&amp;$T2965)+1,""))</f>
        <v/>
      </c>
      <c r="V2965" t="str">
        <f t="shared" si="700"/>
        <v/>
      </c>
      <c r="W2965" t="str">
        <f t="shared" si="701"/>
        <v/>
      </c>
      <c r="X2965" t="str">
        <f t="shared" si="702"/>
        <v/>
      </c>
      <c r="Y2965" t="str">
        <f t="shared" si="703"/>
        <v/>
      </c>
      <c r="Z2965">
        <f>IF($A2965="",0,IF(AND($M2965=1,$A2965=经营数据!$B$3,$J2965=经营数据!$BA$5,OR($I2965=经营数据!$BA$4,COUNTIF(经营数据!$AA$9:$AA$38,$I2965)&gt;0)),1,0))</f>
        <v>0</v>
      </c>
      <c r="AA2965" t="str">
        <f t="shared" si="704"/>
        <v/>
      </c>
      <c r="AB2965" t="str">
        <f t="shared" si="705"/>
        <v/>
      </c>
      <c r="AC2965">
        <f>IF($A2965="",0,IF(COUNTIF($A$2:$A2965,$A2965)=1,1,0))</f>
        <v>0</v>
      </c>
      <c r="AD2965">
        <f t="shared" si="706"/>
        <v>29</v>
      </c>
      <c r="AE2965" t="str">
        <f t="shared" si="707"/>
        <v/>
      </c>
    </row>
    <row r="2966" spans="1:31" x14ac:dyDescent="0.4">
      <c r="A2966" t="str">
        <f>IF(原始经营数据!$D2967="","",原始经营数据!$D2967)</f>
        <v/>
      </c>
      <c r="B2966" t="str">
        <f>IF(原始经营数据!$D2967="","",T(原始经营数据!$E2967))</f>
        <v/>
      </c>
      <c r="C2966" t="str">
        <f>IF(原始经营数据!$D2967="","",原始经营数据!$F2967)</f>
        <v/>
      </c>
      <c r="D2966" t="str">
        <f>IF(原始经营数据!$D2967="","",原始经营数据!$H2967)</f>
        <v/>
      </c>
      <c r="E2966" t="str">
        <f>IF(原始经营数据!$D2967="","",原始经营数据!$I2967)</f>
        <v/>
      </c>
      <c r="F2966" t="str">
        <f>IF(原始经营数据!$D2967="","",T(原始经营数据!$J2967))</f>
        <v/>
      </c>
      <c r="G2966" t="str">
        <f>IF(原始经营数据!$D2967="","",T(原始经营数据!$K2967))</f>
        <v/>
      </c>
      <c r="H2966" t="str">
        <f>IF(原始经营数据!$D2967="","",原始经营数据!$G2967)</f>
        <v/>
      </c>
      <c r="I2966" t="str">
        <f>IF($A2966="","",IF($B2966&lt;&gt;"",$B2966,IF(COUNTIFS(原始经营数据!$D$3:$D$3001,$A2966,原始经营数据!$E$3:$E$3001,"",原始经营数据!$F$3:$F$3001,$C2966,原始经营数据!$H$3:$H$3001,$D2966,原始经营数据!$K$3:$K$3001,$G2966)&gt;1,"基金整体·来源"&amp;原始经营数据!$A2967,"基金整体")))</f>
        <v/>
      </c>
      <c r="J2966" t="str">
        <f t="shared" si="693"/>
        <v/>
      </c>
      <c r="K2966" t="str">
        <f t="shared" si="694"/>
        <v/>
      </c>
      <c r="L2966" t="str">
        <f t="shared" si="695"/>
        <v/>
      </c>
      <c r="M2966">
        <f>IF($A2966="",0,IF(COUNTIF($L$2:$L2966,$L2966)=1,1,0))</f>
        <v>0</v>
      </c>
      <c r="N2966" t="str">
        <f t="shared" si="696"/>
        <v/>
      </c>
      <c r="O2966" t="str">
        <f t="shared" si="697"/>
        <v/>
      </c>
      <c r="P2966">
        <f>IF($A2966="",0,IF(COUNTIF($O$2:$O2966,$O2966)=1,1,0))</f>
        <v>0</v>
      </c>
      <c r="Q2966" t="str">
        <f>IF(AND($P2966=1,$A2966=经营数据!$B$3,$J2966=经营数据!$BA$5),COUNTIFS($P$2:$P$3000,1,$A$2:$A$3000,$A2966,$J$2:$J$3000,$J2966,$N$2:$N$3000,"&lt;"&amp;$N2966)+1,"")</f>
        <v/>
      </c>
      <c r="R2966" t="str">
        <f t="shared" si="698"/>
        <v/>
      </c>
      <c r="S2966">
        <f>IF($A2966="",0,IF(COUNTIF($R$2:$R2966,$R2966)=1,1,0))</f>
        <v>0</v>
      </c>
      <c r="T2966" t="str">
        <f t="shared" si="699"/>
        <v/>
      </c>
      <c r="U2966" t="str">
        <f>IF($A2966="","",IF($A2966=经营数据!$B$3,COUNTIFS($S$2:$S$3000,1,$A$2:$A$3000,$A2966,$T$2:$T$3000,"&lt;"&amp;$T2966)+1,""))</f>
        <v/>
      </c>
      <c r="V2966" t="str">
        <f t="shared" si="700"/>
        <v/>
      </c>
      <c r="W2966" t="str">
        <f t="shared" si="701"/>
        <v/>
      </c>
      <c r="X2966" t="str">
        <f t="shared" si="702"/>
        <v/>
      </c>
      <c r="Y2966" t="str">
        <f t="shared" si="703"/>
        <v/>
      </c>
      <c r="Z2966">
        <f>IF($A2966="",0,IF(AND($M2966=1,$A2966=经营数据!$B$3,$J2966=经营数据!$BA$5,OR($I2966=经营数据!$BA$4,COUNTIF(经营数据!$AA$9:$AA$38,$I2966)&gt;0)),1,0))</f>
        <v>0</v>
      </c>
      <c r="AA2966" t="str">
        <f t="shared" si="704"/>
        <v/>
      </c>
      <c r="AB2966" t="str">
        <f t="shared" si="705"/>
        <v/>
      </c>
      <c r="AC2966">
        <f>IF($A2966="",0,IF(COUNTIF($A$2:$A2966,$A2966)=1,1,0))</f>
        <v>0</v>
      </c>
      <c r="AD2966">
        <f t="shared" si="706"/>
        <v>29</v>
      </c>
      <c r="AE2966" t="str">
        <f t="shared" si="707"/>
        <v/>
      </c>
    </row>
    <row r="2967" spans="1:31" x14ac:dyDescent="0.4">
      <c r="A2967" t="str">
        <f>IF(原始经营数据!$D2968="","",原始经营数据!$D2968)</f>
        <v/>
      </c>
      <c r="B2967" t="str">
        <f>IF(原始经营数据!$D2968="","",T(原始经营数据!$E2968))</f>
        <v/>
      </c>
      <c r="C2967" t="str">
        <f>IF(原始经营数据!$D2968="","",原始经营数据!$F2968)</f>
        <v/>
      </c>
      <c r="D2967" t="str">
        <f>IF(原始经营数据!$D2968="","",原始经营数据!$H2968)</f>
        <v/>
      </c>
      <c r="E2967" t="str">
        <f>IF(原始经营数据!$D2968="","",原始经营数据!$I2968)</f>
        <v/>
      </c>
      <c r="F2967" t="str">
        <f>IF(原始经营数据!$D2968="","",T(原始经营数据!$J2968))</f>
        <v/>
      </c>
      <c r="G2967" t="str">
        <f>IF(原始经营数据!$D2968="","",T(原始经营数据!$K2968))</f>
        <v/>
      </c>
      <c r="H2967" t="str">
        <f>IF(原始经营数据!$D2968="","",原始经营数据!$G2968)</f>
        <v/>
      </c>
      <c r="I2967" t="str">
        <f>IF($A2967="","",IF($B2967&lt;&gt;"",$B2967,IF(COUNTIFS(原始经营数据!$D$3:$D$3001,$A2967,原始经营数据!$E$3:$E$3001,"",原始经营数据!$F$3:$F$3001,$C2967,原始经营数据!$H$3:$H$3001,$D2967,原始经营数据!$K$3:$K$3001,$G2967)&gt;1,"基金整体·来源"&amp;原始经营数据!$A2968,"基金整体")))</f>
        <v/>
      </c>
      <c r="J2967" t="str">
        <f t="shared" si="693"/>
        <v/>
      </c>
      <c r="K2967" t="str">
        <f t="shared" si="694"/>
        <v/>
      </c>
      <c r="L2967" t="str">
        <f t="shared" si="695"/>
        <v/>
      </c>
      <c r="M2967">
        <f>IF($A2967="",0,IF(COUNTIF($L$2:$L2967,$L2967)=1,1,0))</f>
        <v>0</v>
      </c>
      <c r="N2967" t="str">
        <f t="shared" si="696"/>
        <v/>
      </c>
      <c r="O2967" t="str">
        <f t="shared" si="697"/>
        <v/>
      </c>
      <c r="P2967">
        <f>IF($A2967="",0,IF(COUNTIF($O$2:$O2967,$O2967)=1,1,0))</f>
        <v>0</v>
      </c>
      <c r="Q2967" t="str">
        <f>IF(AND($P2967=1,$A2967=经营数据!$B$3,$J2967=经营数据!$BA$5),COUNTIFS($P$2:$P$3000,1,$A$2:$A$3000,$A2967,$J$2:$J$3000,$J2967,$N$2:$N$3000,"&lt;"&amp;$N2967)+1,"")</f>
        <v/>
      </c>
      <c r="R2967" t="str">
        <f t="shared" si="698"/>
        <v/>
      </c>
      <c r="S2967">
        <f>IF($A2967="",0,IF(COUNTIF($R$2:$R2967,$R2967)=1,1,0))</f>
        <v>0</v>
      </c>
      <c r="T2967" t="str">
        <f t="shared" si="699"/>
        <v/>
      </c>
      <c r="U2967" t="str">
        <f>IF($A2967="","",IF($A2967=经营数据!$B$3,COUNTIFS($S$2:$S$3000,1,$A$2:$A$3000,$A2967,$T$2:$T$3000,"&lt;"&amp;$T2967)+1,""))</f>
        <v/>
      </c>
      <c r="V2967" t="str">
        <f t="shared" si="700"/>
        <v/>
      </c>
      <c r="W2967" t="str">
        <f t="shared" si="701"/>
        <v/>
      </c>
      <c r="X2967" t="str">
        <f t="shared" si="702"/>
        <v/>
      </c>
      <c r="Y2967" t="str">
        <f t="shared" si="703"/>
        <v/>
      </c>
      <c r="Z2967">
        <f>IF($A2967="",0,IF(AND($M2967=1,$A2967=经营数据!$B$3,$J2967=经营数据!$BA$5,OR($I2967=经营数据!$BA$4,COUNTIF(经营数据!$AA$9:$AA$38,$I2967)&gt;0)),1,0))</f>
        <v>0</v>
      </c>
      <c r="AA2967" t="str">
        <f t="shared" si="704"/>
        <v/>
      </c>
      <c r="AB2967" t="str">
        <f t="shared" si="705"/>
        <v/>
      </c>
      <c r="AC2967">
        <f>IF($A2967="",0,IF(COUNTIF($A$2:$A2967,$A2967)=1,1,0))</f>
        <v>0</v>
      </c>
      <c r="AD2967">
        <f t="shared" si="706"/>
        <v>29</v>
      </c>
      <c r="AE2967" t="str">
        <f t="shared" si="707"/>
        <v/>
      </c>
    </row>
    <row r="2968" spans="1:31" x14ac:dyDescent="0.4">
      <c r="A2968" t="str">
        <f>IF(原始经营数据!$D2969="","",原始经营数据!$D2969)</f>
        <v/>
      </c>
      <c r="B2968" t="str">
        <f>IF(原始经营数据!$D2969="","",T(原始经营数据!$E2969))</f>
        <v/>
      </c>
      <c r="C2968" t="str">
        <f>IF(原始经营数据!$D2969="","",原始经营数据!$F2969)</f>
        <v/>
      </c>
      <c r="D2968" t="str">
        <f>IF(原始经营数据!$D2969="","",原始经营数据!$H2969)</f>
        <v/>
      </c>
      <c r="E2968" t="str">
        <f>IF(原始经营数据!$D2969="","",原始经营数据!$I2969)</f>
        <v/>
      </c>
      <c r="F2968" t="str">
        <f>IF(原始经营数据!$D2969="","",T(原始经营数据!$J2969))</f>
        <v/>
      </c>
      <c r="G2968" t="str">
        <f>IF(原始经营数据!$D2969="","",T(原始经营数据!$K2969))</f>
        <v/>
      </c>
      <c r="H2968" t="str">
        <f>IF(原始经营数据!$D2969="","",原始经营数据!$G2969)</f>
        <v/>
      </c>
      <c r="I2968" t="str">
        <f>IF($A2968="","",IF($B2968&lt;&gt;"",$B2968,IF(COUNTIFS(原始经营数据!$D$3:$D$3001,$A2968,原始经营数据!$E$3:$E$3001,"",原始经营数据!$F$3:$F$3001,$C2968,原始经营数据!$H$3:$H$3001,$D2968,原始经营数据!$K$3:$K$3001,$G2968)&gt;1,"基金整体·来源"&amp;原始经营数据!$A2969,"基金整体")))</f>
        <v/>
      </c>
      <c r="J2968" t="str">
        <f t="shared" si="693"/>
        <v/>
      </c>
      <c r="K2968" t="str">
        <f t="shared" si="694"/>
        <v/>
      </c>
      <c r="L2968" t="str">
        <f t="shared" si="695"/>
        <v/>
      </c>
      <c r="M2968">
        <f>IF($A2968="",0,IF(COUNTIF($L$2:$L2968,$L2968)=1,1,0))</f>
        <v>0</v>
      </c>
      <c r="N2968" t="str">
        <f t="shared" si="696"/>
        <v/>
      </c>
      <c r="O2968" t="str">
        <f t="shared" si="697"/>
        <v/>
      </c>
      <c r="P2968">
        <f>IF($A2968="",0,IF(COUNTIF($O$2:$O2968,$O2968)=1,1,0))</f>
        <v>0</v>
      </c>
      <c r="Q2968" t="str">
        <f>IF(AND($P2968=1,$A2968=经营数据!$B$3,$J2968=经营数据!$BA$5),COUNTIFS($P$2:$P$3000,1,$A$2:$A$3000,$A2968,$J$2:$J$3000,$J2968,$N$2:$N$3000,"&lt;"&amp;$N2968)+1,"")</f>
        <v/>
      </c>
      <c r="R2968" t="str">
        <f t="shared" si="698"/>
        <v/>
      </c>
      <c r="S2968">
        <f>IF($A2968="",0,IF(COUNTIF($R$2:$R2968,$R2968)=1,1,0))</f>
        <v>0</v>
      </c>
      <c r="T2968" t="str">
        <f t="shared" si="699"/>
        <v/>
      </c>
      <c r="U2968" t="str">
        <f>IF($A2968="","",IF($A2968=经营数据!$B$3,COUNTIFS($S$2:$S$3000,1,$A$2:$A$3000,$A2968,$T$2:$T$3000,"&lt;"&amp;$T2968)+1,""))</f>
        <v/>
      </c>
      <c r="V2968" t="str">
        <f t="shared" si="700"/>
        <v/>
      </c>
      <c r="W2968" t="str">
        <f t="shared" si="701"/>
        <v/>
      </c>
      <c r="X2968" t="str">
        <f t="shared" si="702"/>
        <v/>
      </c>
      <c r="Y2968" t="str">
        <f t="shared" si="703"/>
        <v/>
      </c>
      <c r="Z2968">
        <f>IF($A2968="",0,IF(AND($M2968=1,$A2968=经营数据!$B$3,$J2968=经营数据!$BA$5,OR($I2968=经营数据!$BA$4,COUNTIF(经营数据!$AA$9:$AA$38,$I2968)&gt;0)),1,0))</f>
        <v>0</v>
      </c>
      <c r="AA2968" t="str">
        <f t="shared" si="704"/>
        <v/>
      </c>
      <c r="AB2968" t="str">
        <f t="shared" si="705"/>
        <v/>
      </c>
      <c r="AC2968">
        <f>IF($A2968="",0,IF(COUNTIF($A$2:$A2968,$A2968)=1,1,0))</f>
        <v>0</v>
      </c>
      <c r="AD2968">
        <f t="shared" si="706"/>
        <v>29</v>
      </c>
      <c r="AE2968" t="str">
        <f t="shared" si="707"/>
        <v/>
      </c>
    </row>
    <row r="2969" spans="1:31" x14ac:dyDescent="0.4">
      <c r="A2969" t="str">
        <f>IF(原始经营数据!$D2970="","",原始经营数据!$D2970)</f>
        <v/>
      </c>
      <c r="B2969" t="str">
        <f>IF(原始经营数据!$D2970="","",T(原始经营数据!$E2970))</f>
        <v/>
      </c>
      <c r="C2969" t="str">
        <f>IF(原始经营数据!$D2970="","",原始经营数据!$F2970)</f>
        <v/>
      </c>
      <c r="D2969" t="str">
        <f>IF(原始经营数据!$D2970="","",原始经营数据!$H2970)</f>
        <v/>
      </c>
      <c r="E2969" t="str">
        <f>IF(原始经营数据!$D2970="","",原始经营数据!$I2970)</f>
        <v/>
      </c>
      <c r="F2969" t="str">
        <f>IF(原始经营数据!$D2970="","",T(原始经营数据!$J2970))</f>
        <v/>
      </c>
      <c r="G2969" t="str">
        <f>IF(原始经营数据!$D2970="","",T(原始经营数据!$K2970))</f>
        <v/>
      </c>
      <c r="H2969" t="str">
        <f>IF(原始经营数据!$D2970="","",原始经营数据!$G2970)</f>
        <v/>
      </c>
      <c r="I2969" t="str">
        <f>IF($A2969="","",IF($B2969&lt;&gt;"",$B2969,IF(COUNTIFS(原始经营数据!$D$3:$D$3001,$A2969,原始经营数据!$E$3:$E$3001,"",原始经营数据!$F$3:$F$3001,$C2969,原始经营数据!$H$3:$H$3001,$D2969,原始经营数据!$K$3:$K$3001,$G2969)&gt;1,"基金整体·来源"&amp;原始经营数据!$A2970,"基金整体")))</f>
        <v/>
      </c>
      <c r="J2969" t="str">
        <f t="shared" si="693"/>
        <v/>
      </c>
      <c r="K2969" t="str">
        <f t="shared" si="694"/>
        <v/>
      </c>
      <c r="L2969" t="str">
        <f t="shared" si="695"/>
        <v/>
      </c>
      <c r="M2969">
        <f>IF($A2969="",0,IF(COUNTIF($L$2:$L2969,$L2969)=1,1,0))</f>
        <v>0</v>
      </c>
      <c r="N2969" t="str">
        <f t="shared" si="696"/>
        <v/>
      </c>
      <c r="O2969" t="str">
        <f t="shared" si="697"/>
        <v/>
      </c>
      <c r="P2969">
        <f>IF($A2969="",0,IF(COUNTIF($O$2:$O2969,$O2969)=1,1,0))</f>
        <v>0</v>
      </c>
      <c r="Q2969" t="str">
        <f>IF(AND($P2969=1,$A2969=经营数据!$B$3,$J2969=经营数据!$BA$5),COUNTIFS($P$2:$P$3000,1,$A$2:$A$3000,$A2969,$J$2:$J$3000,$J2969,$N$2:$N$3000,"&lt;"&amp;$N2969)+1,"")</f>
        <v/>
      </c>
      <c r="R2969" t="str">
        <f t="shared" si="698"/>
        <v/>
      </c>
      <c r="S2969">
        <f>IF($A2969="",0,IF(COUNTIF($R$2:$R2969,$R2969)=1,1,0))</f>
        <v>0</v>
      </c>
      <c r="T2969" t="str">
        <f t="shared" si="699"/>
        <v/>
      </c>
      <c r="U2969" t="str">
        <f>IF($A2969="","",IF($A2969=经营数据!$B$3,COUNTIFS($S$2:$S$3000,1,$A$2:$A$3000,$A2969,$T$2:$T$3000,"&lt;"&amp;$T2969)+1,""))</f>
        <v/>
      </c>
      <c r="V2969" t="str">
        <f t="shared" si="700"/>
        <v/>
      </c>
      <c r="W2969" t="str">
        <f t="shared" si="701"/>
        <v/>
      </c>
      <c r="X2969" t="str">
        <f t="shared" si="702"/>
        <v/>
      </c>
      <c r="Y2969" t="str">
        <f t="shared" si="703"/>
        <v/>
      </c>
      <c r="Z2969">
        <f>IF($A2969="",0,IF(AND($M2969=1,$A2969=经营数据!$B$3,$J2969=经营数据!$BA$5,OR($I2969=经营数据!$BA$4,COUNTIF(经营数据!$AA$9:$AA$38,$I2969)&gt;0)),1,0))</f>
        <v>0</v>
      </c>
      <c r="AA2969" t="str">
        <f t="shared" si="704"/>
        <v/>
      </c>
      <c r="AB2969" t="str">
        <f t="shared" si="705"/>
        <v/>
      </c>
      <c r="AC2969">
        <f>IF($A2969="",0,IF(COUNTIF($A$2:$A2969,$A2969)=1,1,0))</f>
        <v>0</v>
      </c>
      <c r="AD2969">
        <f t="shared" si="706"/>
        <v>29</v>
      </c>
      <c r="AE2969" t="str">
        <f t="shared" si="707"/>
        <v/>
      </c>
    </row>
    <row r="2970" spans="1:31" x14ac:dyDescent="0.4">
      <c r="A2970" t="str">
        <f>IF(原始经营数据!$D2971="","",原始经营数据!$D2971)</f>
        <v/>
      </c>
      <c r="B2970" t="str">
        <f>IF(原始经营数据!$D2971="","",T(原始经营数据!$E2971))</f>
        <v/>
      </c>
      <c r="C2970" t="str">
        <f>IF(原始经营数据!$D2971="","",原始经营数据!$F2971)</f>
        <v/>
      </c>
      <c r="D2970" t="str">
        <f>IF(原始经营数据!$D2971="","",原始经营数据!$H2971)</f>
        <v/>
      </c>
      <c r="E2970" t="str">
        <f>IF(原始经营数据!$D2971="","",原始经营数据!$I2971)</f>
        <v/>
      </c>
      <c r="F2970" t="str">
        <f>IF(原始经营数据!$D2971="","",T(原始经营数据!$J2971))</f>
        <v/>
      </c>
      <c r="G2970" t="str">
        <f>IF(原始经营数据!$D2971="","",T(原始经营数据!$K2971))</f>
        <v/>
      </c>
      <c r="H2970" t="str">
        <f>IF(原始经营数据!$D2971="","",原始经营数据!$G2971)</f>
        <v/>
      </c>
      <c r="I2970" t="str">
        <f>IF($A2970="","",IF($B2970&lt;&gt;"",$B2970,IF(COUNTIFS(原始经营数据!$D$3:$D$3001,$A2970,原始经营数据!$E$3:$E$3001,"",原始经营数据!$F$3:$F$3001,$C2970,原始经营数据!$H$3:$H$3001,$D2970,原始经营数据!$K$3:$K$3001,$G2970)&gt;1,"基金整体·来源"&amp;原始经营数据!$A2971,"基金整体")))</f>
        <v/>
      </c>
      <c r="J2970" t="str">
        <f t="shared" si="693"/>
        <v/>
      </c>
      <c r="K2970" t="str">
        <f t="shared" si="694"/>
        <v/>
      </c>
      <c r="L2970" t="str">
        <f t="shared" si="695"/>
        <v/>
      </c>
      <c r="M2970">
        <f>IF($A2970="",0,IF(COUNTIF($L$2:$L2970,$L2970)=1,1,0))</f>
        <v>0</v>
      </c>
      <c r="N2970" t="str">
        <f t="shared" si="696"/>
        <v/>
      </c>
      <c r="O2970" t="str">
        <f t="shared" si="697"/>
        <v/>
      </c>
      <c r="P2970">
        <f>IF($A2970="",0,IF(COUNTIF($O$2:$O2970,$O2970)=1,1,0))</f>
        <v>0</v>
      </c>
      <c r="Q2970" t="str">
        <f>IF(AND($P2970=1,$A2970=经营数据!$B$3,$J2970=经营数据!$BA$5),COUNTIFS($P$2:$P$3000,1,$A$2:$A$3000,$A2970,$J$2:$J$3000,$J2970,$N$2:$N$3000,"&lt;"&amp;$N2970)+1,"")</f>
        <v/>
      </c>
      <c r="R2970" t="str">
        <f t="shared" si="698"/>
        <v/>
      </c>
      <c r="S2970">
        <f>IF($A2970="",0,IF(COUNTIF($R$2:$R2970,$R2970)=1,1,0))</f>
        <v>0</v>
      </c>
      <c r="T2970" t="str">
        <f t="shared" si="699"/>
        <v/>
      </c>
      <c r="U2970" t="str">
        <f>IF($A2970="","",IF($A2970=经营数据!$B$3,COUNTIFS($S$2:$S$3000,1,$A$2:$A$3000,$A2970,$T$2:$T$3000,"&lt;"&amp;$T2970)+1,""))</f>
        <v/>
      </c>
      <c r="V2970" t="str">
        <f t="shared" si="700"/>
        <v/>
      </c>
      <c r="W2970" t="str">
        <f t="shared" si="701"/>
        <v/>
      </c>
      <c r="X2970" t="str">
        <f t="shared" si="702"/>
        <v/>
      </c>
      <c r="Y2970" t="str">
        <f t="shared" si="703"/>
        <v/>
      </c>
      <c r="Z2970">
        <f>IF($A2970="",0,IF(AND($M2970=1,$A2970=经营数据!$B$3,$J2970=经营数据!$BA$5,OR($I2970=经营数据!$BA$4,COUNTIF(经营数据!$AA$9:$AA$38,$I2970)&gt;0)),1,0))</f>
        <v>0</v>
      </c>
      <c r="AA2970" t="str">
        <f t="shared" si="704"/>
        <v/>
      </c>
      <c r="AB2970" t="str">
        <f t="shared" si="705"/>
        <v/>
      </c>
      <c r="AC2970">
        <f>IF($A2970="",0,IF(COUNTIF($A$2:$A2970,$A2970)=1,1,0))</f>
        <v>0</v>
      </c>
      <c r="AD2970">
        <f t="shared" si="706"/>
        <v>29</v>
      </c>
      <c r="AE2970" t="str">
        <f t="shared" si="707"/>
        <v/>
      </c>
    </row>
    <row r="2971" spans="1:31" x14ac:dyDescent="0.4">
      <c r="A2971" t="str">
        <f>IF(原始经营数据!$D2972="","",原始经营数据!$D2972)</f>
        <v/>
      </c>
      <c r="B2971" t="str">
        <f>IF(原始经营数据!$D2972="","",T(原始经营数据!$E2972))</f>
        <v/>
      </c>
      <c r="C2971" t="str">
        <f>IF(原始经营数据!$D2972="","",原始经营数据!$F2972)</f>
        <v/>
      </c>
      <c r="D2971" t="str">
        <f>IF(原始经营数据!$D2972="","",原始经营数据!$H2972)</f>
        <v/>
      </c>
      <c r="E2971" t="str">
        <f>IF(原始经营数据!$D2972="","",原始经营数据!$I2972)</f>
        <v/>
      </c>
      <c r="F2971" t="str">
        <f>IF(原始经营数据!$D2972="","",T(原始经营数据!$J2972))</f>
        <v/>
      </c>
      <c r="G2971" t="str">
        <f>IF(原始经营数据!$D2972="","",T(原始经营数据!$K2972))</f>
        <v/>
      </c>
      <c r="H2971" t="str">
        <f>IF(原始经营数据!$D2972="","",原始经营数据!$G2972)</f>
        <v/>
      </c>
      <c r="I2971" t="str">
        <f>IF($A2971="","",IF($B2971&lt;&gt;"",$B2971,IF(COUNTIFS(原始经营数据!$D$3:$D$3001,$A2971,原始经营数据!$E$3:$E$3001,"",原始经营数据!$F$3:$F$3001,$C2971,原始经营数据!$H$3:$H$3001,$D2971,原始经营数据!$K$3:$K$3001,$G2971)&gt;1,"基金整体·来源"&amp;原始经营数据!$A2972,"基金整体")))</f>
        <v/>
      </c>
      <c r="J2971" t="str">
        <f t="shared" si="693"/>
        <v/>
      </c>
      <c r="K2971" t="str">
        <f t="shared" si="694"/>
        <v/>
      </c>
      <c r="L2971" t="str">
        <f t="shared" si="695"/>
        <v/>
      </c>
      <c r="M2971">
        <f>IF($A2971="",0,IF(COUNTIF($L$2:$L2971,$L2971)=1,1,0))</f>
        <v>0</v>
      </c>
      <c r="N2971" t="str">
        <f t="shared" si="696"/>
        <v/>
      </c>
      <c r="O2971" t="str">
        <f t="shared" si="697"/>
        <v/>
      </c>
      <c r="P2971">
        <f>IF($A2971="",0,IF(COUNTIF($O$2:$O2971,$O2971)=1,1,0))</f>
        <v>0</v>
      </c>
      <c r="Q2971" t="str">
        <f>IF(AND($P2971=1,$A2971=经营数据!$B$3,$J2971=经营数据!$BA$5),COUNTIFS($P$2:$P$3000,1,$A$2:$A$3000,$A2971,$J$2:$J$3000,$J2971,$N$2:$N$3000,"&lt;"&amp;$N2971)+1,"")</f>
        <v/>
      </c>
      <c r="R2971" t="str">
        <f t="shared" si="698"/>
        <v/>
      </c>
      <c r="S2971">
        <f>IF($A2971="",0,IF(COUNTIF($R$2:$R2971,$R2971)=1,1,0))</f>
        <v>0</v>
      </c>
      <c r="T2971" t="str">
        <f t="shared" si="699"/>
        <v/>
      </c>
      <c r="U2971" t="str">
        <f>IF($A2971="","",IF($A2971=经营数据!$B$3,COUNTIFS($S$2:$S$3000,1,$A$2:$A$3000,$A2971,$T$2:$T$3000,"&lt;"&amp;$T2971)+1,""))</f>
        <v/>
      </c>
      <c r="V2971" t="str">
        <f t="shared" si="700"/>
        <v/>
      </c>
      <c r="W2971" t="str">
        <f t="shared" si="701"/>
        <v/>
      </c>
      <c r="X2971" t="str">
        <f t="shared" si="702"/>
        <v/>
      </c>
      <c r="Y2971" t="str">
        <f t="shared" si="703"/>
        <v/>
      </c>
      <c r="Z2971">
        <f>IF($A2971="",0,IF(AND($M2971=1,$A2971=经营数据!$B$3,$J2971=经营数据!$BA$5,OR($I2971=经营数据!$BA$4,COUNTIF(经营数据!$AA$9:$AA$38,$I2971)&gt;0)),1,0))</f>
        <v>0</v>
      </c>
      <c r="AA2971" t="str">
        <f t="shared" si="704"/>
        <v/>
      </c>
      <c r="AB2971" t="str">
        <f t="shared" si="705"/>
        <v/>
      </c>
      <c r="AC2971">
        <f>IF($A2971="",0,IF(COUNTIF($A$2:$A2971,$A2971)=1,1,0))</f>
        <v>0</v>
      </c>
      <c r="AD2971">
        <f t="shared" si="706"/>
        <v>29</v>
      </c>
      <c r="AE2971" t="str">
        <f t="shared" si="707"/>
        <v/>
      </c>
    </row>
    <row r="2972" spans="1:31" x14ac:dyDescent="0.4">
      <c r="A2972" t="str">
        <f>IF(原始经营数据!$D2973="","",原始经营数据!$D2973)</f>
        <v/>
      </c>
      <c r="B2972" t="str">
        <f>IF(原始经营数据!$D2973="","",T(原始经营数据!$E2973))</f>
        <v/>
      </c>
      <c r="C2972" t="str">
        <f>IF(原始经营数据!$D2973="","",原始经营数据!$F2973)</f>
        <v/>
      </c>
      <c r="D2972" t="str">
        <f>IF(原始经营数据!$D2973="","",原始经营数据!$H2973)</f>
        <v/>
      </c>
      <c r="E2972" t="str">
        <f>IF(原始经营数据!$D2973="","",原始经营数据!$I2973)</f>
        <v/>
      </c>
      <c r="F2972" t="str">
        <f>IF(原始经营数据!$D2973="","",T(原始经营数据!$J2973))</f>
        <v/>
      </c>
      <c r="G2972" t="str">
        <f>IF(原始经营数据!$D2973="","",T(原始经营数据!$K2973))</f>
        <v/>
      </c>
      <c r="H2972" t="str">
        <f>IF(原始经营数据!$D2973="","",原始经营数据!$G2973)</f>
        <v/>
      </c>
      <c r="I2972" t="str">
        <f>IF($A2972="","",IF($B2972&lt;&gt;"",$B2972,IF(COUNTIFS(原始经营数据!$D$3:$D$3001,$A2972,原始经营数据!$E$3:$E$3001,"",原始经营数据!$F$3:$F$3001,$C2972,原始经营数据!$H$3:$H$3001,$D2972,原始经营数据!$K$3:$K$3001,$G2972)&gt;1,"基金整体·来源"&amp;原始经营数据!$A2973,"基金整体")))</f>
        <v/>
      </c>
      <c r="J2972" t="str">
        <f t="shared" si="693"/>
        <v/>
      </c>
      <c r="K2972" t="str">
        <f t="shared" si="694"/>
        <v/>
      </c>
      <c r="L2972" t="str">
        <f t="shared" si="695"/>
        <v/>
      </c>
      <c r="M2972">
        <f>IF($A2972="",0,IF(COUNTIF($L$2:$L2972,$L2972)=1,1,0))</f>
        <v>0</v>
      </c>
      <c r="N2972" t="str">
        <f t="shared" si="696"/>
        <v/>
      </c>
      <c r="O2972" t="str">
        <f t="shared" si="697"/>
        <v/>
      </c>
      <c r="P2972">
        <f>IF($A2972="",0,IF(COUNTIF($O$2:$O2972,$O2972)=1,1,0))</f>
        <v>0</v>
      </c>
      <c r="Q2972" t="str">
        <f>IF(AND($P2972=1,$A2972=经营数据!$B$3,$J2972=经营数据!$BA$5),COUNTIFS($P$2:$P$3000,1,$A$2:$A$3000,$A2972,$J$2:$J$3000,$J2972,$N$2:$N$3000,"&lt;"&amp;$N2972)+1,"")</f>
        <v/>
      </c>
      <c r="R2972" t="str">
        <f t="shared" si="698"/>
        <v/>
      </c>
      <c r="S2972">
        <f>IF($A2972="",0,IF(COUNTIF($R$2:$R2972,$R2972)=1,1,0))</f>
        <v>0</v>
      </c>
      <c r="T2972" t="str">
        <f t="shared" si="699"/>
        <v/>
      </c>
      <c r="U2972" t="str">
        <f>IF($A2972="","",IF($A2972=经营数据!$B$3,COUNTIFS($S$2:$S$3000,1,$A$2:$A$3000,$A2972,$T$2:$T$3000,"&lt;"&amp;$T2972)+1,""))</f>
        <v/>
      </c>
      <c r="V2972" t="str">
        <f t="shared" si="700"/>
        <v/>
      </c>
      <c r="W2972" t="str">
        <f t="shared" si="701"/>
        <v/>
      </c>
      <c r="X2972" t="str">
        <f t="shared" si="702"/>
        <v/>
      </c>
      <c r="Y2972" t="str">
        <f t="shared" si="703"/>
        <v/>
      </c>
      <c r="Z2972">
        <f>IF($A2972="",0,IF(AND($M2972=1,$A2972=经营数据!$B$3,$J2972=经营数据!$BA$5,OR($I2972=经营数据!$BA$4,COUNTIF(经营数据!$AA$9:$AA$38,$I2972)&gt;0)),1,0))</f>
        <v>0</v>
      </c>
      <c r="AA2972" t="str">
        <f t="shared" si="704"/>
        <v/>
      </c>
      <c r="AB2972" t="str">
        <f t="shared" si="705"/>
        <v/>
      </c>
      <c r="AC2972">
        <f>IF($A2972="",0,IF(COUNTIF($A$2:$A2972,$A2972)=1,1,0))</f>
        <v>0</v>
      </c>
      <c r="AD2972">
        <f t="shared" si="706"/>
        <v>29</v>
      </c>
      <c r="AE2972" t="str">
        <f t="shared" si="707"/>
        <v/>
      </c>
    </row>
    <row r="2973" spans="1:31" x14ac:dyDescent="0.4">
      <c r="A2973" t="str">
        <f>IF(原始经营数据!$D2974="","",原始经营数据!$D2974)</f>
        <v/>
      </c>
      <c r="B2973" t="str">
        <f>IF(原始经营数据!$D2974="","",T(原始经营数据!$E2974))</f>
        <v/>
      </c>
      <c r="C2973" t="str">
        <f>IF(原始经营数据!$D2974="","",原始经营数据!$F2974)</f>
        <v/>
      </c>
      <c r="D2973" t="str">
        <f>IF(原始经营数据!$D2974="","",原始经营数据!$H2974)</f>
        <v/>
      </c>
      <c r="E2973" t="str">
        <f>IF(原始经营数据!$D2974="","",原始经营数据!$I2974)</f>
        <v/>
      </c>
      <c r="F2973" t="str">
        <f>IF(原始经营数据!$D2974="","",T(原始经营数据!$J2974))</f>
        <v/>
      </c>
      <c r="G2973" t="str">
        <f>IF(原始经营数据!$D2974="","",T(原始经营数据!$K2974))</f>
        <v/>
      </c>
      <c r="H2973" t="str">
        <f>IF(原始经营数据!$D2974="","",原始经营数据!$G2974)</f>
        <v/>
      </c>
      <c r="I2973" t="str">
        <f>IF($A2973="","",IF($B2973&lt;&gt;"",$B2973,IF(COUNTIFS(原始经营数据!$D$3:$D$3001,$A2973,原始经营数据!$E$3:$E$3001,"",原始经营数据!$F$3:$F$3001,$C2973,原始经营数据!$H$3:$H$3001,$D2973,原始经营数据!$K$3:$K$3001,$G2973)&gt;1,"基金整体·来源"&amp;原始经营数据!$A2974,"基金整体")))</f>
        <v/>
      </c>
      <c r="J2973" t="str">
        <f t="shared" si="693"/>
        <v/>
      </c>
      <c r="K2973" t="str">
        <f t="shared" si="694"/>
        <v/>
      </c>
      <c r="L2973" t="str">
        <f t="shared" si="695"/>
        <v/>
      </c>
      <c r="M2973">
        <f>IF($A2973="",0,IF(COUNTIF($L$2:$L2973,$L2973)=1,1,0))</f>
        <v>0</v>
      </c>
      <c r="N2973" t="str">
        <f t="shared" si="696"/>
        <v/>
      </c>
      <c r="O2973" t="str">
        <f t="shared" si="697"/>
        <v/>
      </c>
      <c r="P2973">
        <f>IF($A2973="",0,IF(COUNTIF($O$2:$O2973,$O2973)=1,1,0))</f>
        <v>0</v>
      </c>
      <c r="Q2973" t="str">
        <f>IF(AND($P2973=1,$A2973=经营数据!$B$3,$J2973=经营数据!$BA$5),COUNTIFS($P$2:$P$3000,1,$A$2:$A$3000,$A2973,$J$2:$J$3000,$J2973,$N$2:$N$3000,"&lt;"&amp;$N2973)+1,"")</f>
        <v/>
      </c>
      <c r="R2973" t="str">
        <f t="shared" si="698"/>
        <v/>
      </c>
      <c r="S2973">
        <f>IF($A2973="",0,IF(COUNTIF($R$2:$R2973,$R2973)=1,1,0))</f>
        <v>0</v>
      </c>
      <c r="T2973" t="str">
        <f t="shared" si="699"/>
        <v/>
      </c>
      <c r="U2973" t="str">
        <f>IF($A2973="","",IF($A2973=经营数据!$B$3,COUNTIFS($S$2:$S$3000,1,$A$2:$A$3000,$A2973,$T$2:$T$3000,"&lt;"&amp;$T2973)+1,""))</f>
        <v/>
      </c>
      <c r="V2973" t="str">
        <f t="shared" si="700"/>
        <v/>
      </c>
      <c r="W2973" t="str">
        <f t="shared" si="701"/>
        <v/>
      </c>
      <c r="X2973" t="str">
        <f t="shared" si="702"/>
        <v/>
      </c>
      <c r="Y2973" t="str">
        <f t="shared" si="703"/>
        <v/>
      </c>
      <c r="Z2973">
        <f>IF($A2973="",0,IF(AND($M2973=1,$A2973=经营数据!$B$3,$J2973=经营数据!$BA$5,OR($I2973=经营数据!$BA$4,COUNTIF(经营数据!$AA$9:$AA$38,$I2973)&gt;0)),1,0))</f>
        <v>0</v>
      </c>
      <c r="AA2973" t="str">
        <f t="shared" si="704"/>
        <v/>
      </c>
      <c r="AB2973" t="str">
        <f t="shared" si="705"/>
        <v/>
      </c>
      <c r="AC2973">
        <f>IF($A2973="",0,IF(COUNTIF($A$2:$A2973,$A2973)=1,1,0))</f>
        <v>0</v>
      </c>
      <c r="AD2973">
        <f t="shared" si="706"/>
        <v>29</v>
      </c>
      <c r="AE2973" t="str">
        <f t="shared" si="707"/>
        <v/>
      </c>
    </row>
    <row r="2974" spans="1:31" x14ac:dyDescent="0.4">
      <c r="A2974" t="str">
        <f>IF(原始经营数据!$D2975="","",原始经营数据!$D2975)</f>
        <v/>
      </c>
      <c r="B2974" t="str">
        <f>IF(原始经营数据!$D2975="","",T(原始经营数据!$E2975))</f>
        <v/>
      </c>
      <c r="C2974" t="str">
        <f>IF(原始经营数据!$D2975="","",原始经营数据!$F2975)</f>
        <v/>
      </c>
      <c r="D2974" t="str">
        <f>IF(原始经营数据!$D2975="","",原始经营数据!$H2975)</f>
        <v/>
      </c>
      <c r="E2974" t="str">
        <f>IF(原始经营数据!$D2975="","",原始经营数据!$I2975)</f>
        <v/>
      </c>
      <c r="F2974" t="str">
        <f>IF(原始经营数据!$D2975="","",T(原始经营数据!$J2975))</f>
        <v/>
      </c>
      <c r="G2974" t="str">
        <f>IF(原始经营数据!$D2975="","",T(原始经营数据!$K2975))</f>
        <v/>
      </c>
      <c r="H2974" t="str">
        <f>IF(原始经营数据!$D2975="","",原始经营数据!$G2975)</f>
        <v/>
      </c>
      <c r="I2974" t="str">
        <f>IF($A2974="","",IF($B2974&lt;&gt;"",$B2974,IF(COUNTIFS(原始经营数据!$D$3:$D$3001,$A2974,原始经营数据!$E$3:$E$3001,"",原始经营数据!$F$3:$F$3001,$C2974,原始经营数据!$H$3:$H$3001,$D2974,原始经营数据!$K$3:$K$3001,$G2974)&gt;1,"基金整体·来源"&amp;原始经营数据!$A2975,"基金整体")))</f>
        <v/>
      </c>
      <c r="J2974" t="str">
        <f t="shared" si="693"/>
        <v/>
      </c>
      <c r="K2974" t="str">
        <f t="shared" si="694"/>
        <v/>
      </c>
      <c r="L2974" t="str">
        <f t="shared" si="695"/>
        <v/>
      </c>
      <c r="M2974">
        <f>IF($A2974="",0,IF(COUNTIF($L$2:$L2974,$L2974)=1,1,0))</f>
        <v>0</v>
      </c>
      <c r="N2974" t="str">
        <f t="shared" si="696"/>
        <v/>
      </c>
      <c r="O2974" t="str">
        <f t="shared" si="697"/>
        <v/>
      </c>
      <c r="P2974">
        <f>IF($A2974="",0,IF(COUNTIF($O$2:$O2974,$O2974)=1,1,0))</f>
        <v>0</v>
      </c>
      <c r="Q2974" t="str">
        <f>IF(AND($P2974=1,$A2974=经营数据!$B$3,$J2974=经营数据!$BA$5),COUNTIFS($P$2:$P$3000,1,$A$2:$A$3000,$A2974,$J$2:$J$3000,$J2974,$N$2:$N$3000,"&lt;"&amp;$N2974)+1,"")</f>
        <v/>
      </c>
      <c r="R2974" t="str">
        <f t="shared" si="698"/>
        <v/>
      </c>
      <c r="S2974">
        <f>IF($A2974="",0,IF(COUNTIF($R$2:$R2974,$R2974)=1,1,0))</f>
        <v>0</v>
      </c>
      <c r="T2974" t="str">
        <f t="shared" si="699"/>
        <v/>
      </c>
      <c r="U2974" t="str">
        <f>IF($A2974="","",IF($A2974=经营数据!$B$3,COUNTIFS($S$2:$S$3000,1,$A$2:$A$3000,$A2974,$T$2:$T$3000,"&lt;"&amp;$T2974)+1,""))</f>
        <v/>
      </c>
      <c r="V2974" t="str">
        <f t="shared" si="700"/>
        <v/>
      </c>
      <c r="W2974" t="str">
        <f t="shared" si="701"/>
        <v/>
      </c>
      <c r="X2974" t="str">
        <f t="shared" si="702"/>
        <v/>
      </c>
      <c r="Y2974" t="str">
        <f t="shared" si="703"/>
        <v/>
      </c>
      <c r="Z2974">
        <f>IF($A2974="",0,IF(AND($M2974=1,$A2974=经营数据!$B$3,$J2974=经营数据!$BA$5,OR($I2974=经营数据!$BA$4,COUNTIF(经营数据!$AA$9:$AA$38,$I2974)&gt;0)),1,0))</f>
        <v>0</v>
      </c>
      <c r="AA2974" t="str">
        <f t="shared" si="704"/>
        <v/>
      </c>
      <c r="AB2974" t="str">
        <f t="shared" si="705"/>
        <v/>
      </c>
      <c r="AC2974">
        <f>IF($A2974="",0,IF(COUNTIF($A$2:$A2974,$A2974)=1,1,0))</f>
        <v>0</v>
      </c>
      <c r="AD2974">
        <f t="shared" si="706"/>
        <v>29</v>
      </c>
      <c r="AE2974" t="str">
        <f t="shared" si="707"/>
        <v/>
      </c>
    </row>
    <row r="2975" spans="1:31" x14ac:dyDescent="0.4">
      <c r="A2975" t="str">
        <f>IF(原始经营数据!$D2976="","",原始经营数据!$D2976)</f>
        <v/>
      </c>
      <c r="B2975" t="str">
        <f>IF(原始经营数据!$D2976="","",T(原始经营数据!$E2976))</f>
        <v/>
      </c>
      <c r="C2975" t="str">
        <f>IF(原始经营数据!$D2976="","",原始经营数据!$F2976)</f>
        <v/>
      </c>
      <c r="D2975" t="str">
        <f>IF(原始经营数据!$D2976="","",原始经营数据!$H2976)</f>
        <v/>
      </c>
      <c r="E2975" t="str">
        <f>IF(原始经营数据!$D2976="","",原始经营数据!$I2976)</f>
        <v/>
      </c>
      <c r="F2975" t="str">
        <f>IF(原始经营数据!$D2976="","",T(原始经营数据!$J2976))</f>
        <v/>
      </c>
      <c r="G2975" t="str">
        <f>IF(原始经营数据!$D2976="","",T(原始经营数据!$K2976))</f>
        <v/>
      </c>
      <c r="H2975" t="str">
        <f>IF(原始经营数据!$D2976="","",原始经营数据!$G2976)</f>
        <v/>
      </c>
      <c r="I2975" t="str">
        <f>IF($A2975="","",IF($B2975&lt;&gt;"",$B2975,IF(COUNTIFS(原始经营数据!$D$3:$D$3001,$A2975,原始经营数据!$E$3:$E$3001,"",原始经营数据!$F$3:$F$3001,$C2975,原始经营数据!$H$3:$H$3001,$D2975,原始经营数据!$K$3:$K$3001,$G2975)&gt;1,"基金整体·来源"&amp;原始经营数据!$A2976,"基金整体")))</f>
        <v/>
      </c>
      <c r="J2975" t="str">
        <f t="shared" si="693"/>
        <v/>
      </c>
      <c r="K2975" t="str">
        <f t="shared" si="694"/>
        <v/>
      </c>
      <c r="L2975" t="str">
        <f t="shared" si="695"/>
        <v/>
      </c>
      <c r="M2975">
        <f>IF($A2975="",0,IF(COUNTIF($L$2:$L2975,$L2975)=1,1,0))</f>
        <v>0</v>
      </c>
      <c r="N2975" t="str">
        <f t="shared" si="696"/>
        <v/>
      </c>
      <c r="O2975" t="str">
        <f t="shared" si="697"/>
        <v/>
      </c>
      <c r="P2975">
        <f>IF($A2975="",0,IF(COUNTIF($O$2:$O2975,$O2975)=1,1,0))</f>
        <v>0</v>
      </c>
      <c r="Q2975" t="str">
        <f>IF(AND($P2975=1,$A2975=经营数据!$B$3,$J2975=经营数据!$BA$5),COUNTIFS($P$2:$P$3000,1,$A$2:$A$3000,$A2975,$J$2:$J$3000,$J2975,$N$2:$N$3000,"&lt;"&amp;$N2975)+1,"")</f>
        <v/>
      </c>
      <c r="R2975" t="str">
        <f t="shared" si="698"/>
        <v/>
      </c>
      <c r="S2975">
        <f>IF($A2975="",0,IF(COUNTIF($R$2:$R2975,$R2975)=1,1,0))</f>
        <v>0</v>
      </c>
      <c r="T2975" t="str">
        <f t="shared" si="699"/>
        <v/>
      </c>
      <c r="U2975" t="str">
        <f>IF($A2975="","",IF($A2975=经营数据!$B$3,COUNTIFS($S$2:$S$3000,1,$A$2:$A$3000,$A2975,$T$2:$T$3000,"&lt;"&amp;$T2975)+1,""))</f>
        <v/>
      </c>
      <c r="V2975" t="str">
        <f t="shared" si="700"/>
        <v/>
      </c>
      <c r="W2975" t="str">
        <f t="shared" si="701"/>
        <v/>
      </c>
      <c r="X2975" t="str">
        <f t="shared" si="702"/>
        <v/>
      </c>
      <c r="Y2975" t="str">
        <f t="shared" si="703"/>
        <v/>
      </c>
      <c r="Z2975">
        <f>IF($A2975="",0,IF(AND($M2975=1,$A2975=经营数据!$B$3,$J2975=经营数据!$BA$5,OR($I2975=经营数据!$BA$4,COUNTIF(经营数据!$AA$9:$AA$38,$I2975)&gt;0)),1,0))</f>
        <v>0</v>
      </c>
      <c r="AA2975" t="str">
        <f t="shared" si="704"/>
        <v/>
      </c>
      <c r="AB2975" t="str">
        <f t="shared" si="705"/>
        <v/>
      </c>
      <c r="AC2975">
        <f>IF($A2975="",0,IF(COUNTIF($A$2:$A2975,$A2975)=1,1,0))</f>
        <v>0</v>
      </c>
      <c r="AD2975">
        <f t="shared" si="706"/>
        <v>29</v>
      </c>
      <c r="AE2975" t="str">
        <f t="shared" si="707"/>
        <v/>
      </c>
    </row>
    <row r="2976" spans="1:31" x14ac:dyDescent="0.4">
      <c r="A2976" t="str">
        <f>IF(原始经营数据!$D2977="","",原始经营数据!$D2977)</f>
        <v/>
      </c>
      <c r="B2976" t="str">
        <f>IF(原始经营数据!$D2977="","",T(原始经营数据!$E2977))</f>
        <v/>
      </c>
      <c r="C2976" t="str">
        <f>IF(原始经营数据!$D2977="","",原始经营数据!$F2977)</f>
        <v/>
      </c>
      <c r="D2976" t="str">
        <f>IF(原始经营数据!$D2977="","",原始经营数据!$H2977)</f>
        <v/>
      </c>
      <c r="E2976" t="str">
        <f>IF(原始经营数据!$D2977="","",原始经营数据!$I2977)</f>
        <v/>
      </c>
      <c r="F2976" t="str">
        <f>IF(原始经营数据!$D2977="","",T(原始经营数据!$J2977))</f>
        <v/>
      </c>
      <c r="G2976" t="str">
        <f>IF(原始经营数据!$D2977="","",T(原始经营数据!$K2977))</f>
        <v/>
      </c>
      <c r="H2976" t="str">
        <f>IF(原始经营数据!$D2977="","",原始经营数据!$G2977)</f>
        <v/>
      </c>
      <c r="I2976" t="str">
        <f>IF($A2976="","",IF($B2976&lt;&gt;"",$B2976,IF(COUNTIFS(原始经营数据!$D$3:$D$3001,$A2976,原始经营数据!$E$3:$E$3001,"",原始经营数据!$F$3:$F$3001,$C2976,原始经营数据!$H$3:$H$3001,$D2976,原始经营数据!$K$3:$K$3001,$G2976)&gt;1,"基金整体·来源"&amp;原始经营数据!$A2977,"基金整体")))</f>
        <v/>
      </c>
      <c r="J2976" t="str">
        <f t="shared" si="693"/>
        <v/>
      </c>
      <c r="K2976" t="str">
        <f t="shared" si="694"/>
        <v/>
      </c>
      <c r="L2976" t="str">
        <f t="shared" si="695"/>
        <v/>
      </c>
      <c r="M2976">
        <f>IF($A2976="",0,IF(COUNTIF($L$2:$L2976,$L2976)=1,1,0))</f>
        <v>0</v>
      </c>
      <c r="N2976" t="str">
        <f t="shared" si="696"/>
        <v/>
      </c>
      <c r="O2976" t="str">
        <f t="shared" si="697"/>
        <v/>
      </c>
      <c r="P2976">
        <f>IF($A2976="",0,IF(COUNTIF($O$2:$O2976,$O2976)=1,1,0))</f>
        <v>0</v>
      </c>
      <c r="Q2976" t="str">
        <f>IF(AND($P2976=1,$A2976=经营数据!$B$3,$J2976=经营数据!$BA$5),COUNTIFS($P$2:$P$3000,1,$A$2:$A$3000,$A2976,$J$2:$J$3000,$J2976,$N$2:$N$3000,"&lt;"&amp;$N2976)+1,"")</f>
        <v/>
      </c>
      <c r="R2976" t="str">
        <f t="shared" si="698"/>
        <v/>
      </c>
      <c r="S2976">
        <f>IF($A2976="",0,IF(COUNTIF($R$2:$R2976,$R2976)=1,1,0))</f>
        <v>0</v>
      </c>
      <c r="T2976" t="str">
        <f t="shared" si="699"/>
        <v/>
      </c>
      <c r="U2976" t="str">
        <f>IF($A2976="","",IF($A2976=经营数据!$B$3,COUNTIFS($S$2:$S$3000,1,$A$2:$A$3000,$A2976,$T$2:$T$3000,"&lt;"&amp;$T2976)+1,""))</f>
        <v/>
      </c>
      <c r="V2976" t="str">
        <f t="shared" si="700"/>
        <v/>
      </c>
      <c r="W2976" t="str">
        <f t="shared" si="701"/>
        <v/>
      </c>
      <c r="X2976" t="str">
        <f t="shared" si="702"/>
        <v/>
      </c>
      <c r="Y2976" t="str">
        <f t="shared" si="703"/>
        <v/>
      </c>
      <c r="Z2976">
        <f>IF($A2976="",0,IF(AND($M2976=1,$A2976=经营数据!$B$3,$J2976=经营数据!$BA$5,OR($I2976=经营数据!$BA$4,COUNTIF(经营数据!$AA$9:$AA$38,$I2976)&gt;0)),1,0))</f>
        <v>0</v>
      </c>
      <c r="AA2976" t="str">
        <f t="shared" si="704"/>
        <v/>
      </c>
      <c r="AB2976" t="str">
        <f t="shared" si="705"/>
        <v/>
      </c>
      <c r="AC2976">
        <f>IF($A2976="",0,IF(COUNTIF($A$2:$A2976,$A2976)=1,1,0))</f>
        <v>0</v>
      </c>
      <c r="AD2976">
        <f t="shared" si="706"/>
        <v>29</v>
      </c>
      <c r="AE2976" t="str">
        <f t="shared" si="707"/>
        <v/>
      </c>
    </row>
    <row r="2977" spans="1:31" x14ac:dyDescent="0.4">
      <c r="A2977" t="str">
        <f>IF(原始经营数据!$D2978="","",原始经营数据!$D2978)</f>
        <v/>
      </c>
      <c r="B2977" t="str">
        <f>IF(原始经营数据!$D2978="","",T(原始经营数据!$E2978))</f>
        <v/>
      </c>
      <c r="C2977" t="str">
        <f>IF(原始经营数据!$D2978="","",原始经营数据!$F2978)</f>
        <v/>
      </c>
      <c r="D2977" t="str">
        <f>IF(原始经营数据!$D2978="","",原始经营数据!$H2978)</f>
        <v/>
      </c>
      <c r="E2977" t="str">
        <f>IF(原始经营数据!$D2978="","",原始经营数据!$I2978)</f>
        <v/>
      </c>
      <c r="F2977" t="str">
        <f>IF(原始经营数据!$D2978="","",T(原始经营数据!$J2978))</f>
        <v/>
      </c>
      <c r="G2977" t="str">
        <f>IF(原始经营数据!$D2978="","",T(原始经营数据!$K2978))</f>
        <v/>
      </c>
      <c r="H2977" t="str">
        <f>IF(原始经营数据!$D2978="","",原始经营数据!$G2978)</f>
        <v/>
      </c>
      <c r="I2977" t="str">
        <f>IF($A2977="","",IF($B2977&lt;&gt;"",$B2977,IF(COUNTIFS(原始经营数据!$D$3:$D$3001,$A2977,原始经营数据!$E$3:$E$3001,"",原始经营数据!$F$3:$F$3001,$C2977,原始经营数据!$H$3:$H$3001,$D2977,原始经营数据!$K$3:$K$3001,$G2977)&gt;1,"基金整体·来源"&amp;原始经营数据!$A2978,"基金整体")))</f>
        <v/>
      </c>
      <c r="J2977" t="str">
        <f t="shared" si="693"/>
        <v/>
      </c>
      <c r="K2977" t="str">
        <f t="shared" si="694"/>
        <v/>
      </c>
      <c r="L2977" t="str">
        <f t="shared" si="695"/>
        <v/>
      </c>
      <c r="M2977">
        <f>IF($A2977="",0,IF(COUNTIF($L$2:$L2977,$L2977)=1,1,0))</f>
        <v>0</v>
      </c>
      <c r="N2977" t="str">
        <f t="shared" si="696"/>
        <v/>
      </c>
      <c r="O2977" t="str">
        <f t="shared" si="697"/>
        <v/>
      </c>
      <c r="P2977">
        <f>IF($A2977="",0,IF(COUNTIF($O$2:$O2977,$O2977)=1,1,0))</f>
        <v>0</v>
      </c>
      <c r="Q2977" t="str">
        <f>IF(AND($P2977=1,$A2977=经营数据!$B$3,$J2977=经营数据!$BA$5),COUNTIFS($P$2:$P$3000,1,$A$2:$A$3000,$A2977,$J$2:$J$3000,$J2977,$N$2:$N$3000,"&lt;"&amp;$N2977)+1,"")</f>
        <v/>
      </c>
      <c r="R2977" t="str">
        <f t="shared" si="698"/>
        <v/>
      </c>
      <c r="S2977">
        <f>IF($A2977="",0,IF(COUNTIF($R$2:$R2977,$R2977)=1,1,0))</f>
        <v>0</v>
      </c>
      <c r="T2977" t="str">
        <f t="shared" si="699"/>
        <v/>
      </c>
      <c r="U2977" t="str">
        <f>IF($A2977="","",IF($A2977=经营数据!$B$3,COUNTIFS($S$2:$S$3000,1,$A$2:$A$3000,$A2977,$T$2:$T$3000,"&lt;"&amp;$T2977)+1,""))</f>
        <v/>
      </c>
      <c r="V2977" t="str">
        <f t="shared" si="700"/>
        <v/>
      </c>
      <c r="W2977" t="str">
        <f t="shared" si="701"/>
        <v/>
      </c>
      <c r="X2977" t="str">
        <f t="shared" si="702"/>
        <v/>
      </c>
      <c r="Y2977" t="str">
        <f t="shared" si="703"/>
        <v/>
      </c>
      <c r="Z2977">
        <f>IF($A2977="",0,IF(AND($M2977=1,$A2977=经营数据!$B$3,$J2977=经营数据!$BA$5,OR($I2977=经营数据!$BA$4,COUNTIF(经营数据!$AA$9:$AA$38,$I2977)&gt;0)),1,0))</f>
        <v>0</v>
      </c>
      <c r="AA2977" t="str">
        <f t="shared" si="704"/>
        <v/>
      </c>
      <c r="AB2977" t="str">
        <f t="shared" si="705"/>
        <v/>
      </c>
      <c r="AC2977">
        <f>IF($A2977="",0,IF(COUNTIF($A$2:$A2977,$A2977)=1,1,0))</f>
        <v>0</v>
      </c>
      <c r="AD2977">
        <f t="shared" si="706"/>
        <v>29</v>
      </c>
      <c r="AE2977" t="str">
        <f t="shared" si="707"/>
        <v/>
      </c>
    </row>
    <row r="2978" spans="1:31" x14ac:dyDescent="0.4">
      <c r="A2978" t="str">
        <f>IF(原始经营数据!$D2979="","",原始经营数据!$D2979)</f>
        <v/>
      </c>
      <c r="B2978" t="str">
        <f>IF(原始经营数据!$D2979="","",T(原始经营数据!$E2979))</f>
        <v/>
      </c>
      <c r="C2978" t="str">
        <f>IF(原始经营数据!$D2979="","",原始经营数据!$F2979)</f>
        <v/>
      </c>
      <c r="D2978" t="str">
        <f>IF(原始经营数据!$D2979="","",原始经营数据!$H2979)</f>
        <v/>
      </c>
      <c r="E2978" t="str">
        <f>IF(原始经营数据!$D2979="","",原始经营数据!$I2979)</f>
        <v/>
      </c>
      <c r="F2978" t="str">
        <f>IF(原始经营数据!$D2979="","",T(原始经营数据!$J2979))</f>
        <v/>
      </c>
      <c r="G2978" t="str">
        <f>IF(原始经营数据!$D2979="","",T(原始经营数据!$K2979))</f>
        <v/>
      </c>
      <c r="H2978" t="str">
        <f>IF(原始经营数据!$D2979="","",原始经营数据!$G2979)</f>
        <v/>
      </c>
      <c r="I2978" t="str">
        <f>IF($A2978="","",IF($B2978&lt;&gt;"",$B2978,IF(COUNTIFS(原始经营数据!$D$3:$D$3001,$A2978,原始经营数据!$E$3:$E$3001,"",原始经营数据!$F$3:$F$3001,$C2978,原始经营数据!$H$3:$H$3001,$D2978,原始经营数据!$K$3:$K$3001,$G2978)&gt;1,"基金整体·来源"&amp;原始经营数据!$A2979,"基金整体")))</f>
        <v/>
      </c>
      <c r="J2978" t="str">
        <f t="shared" si="693"/>
        <v/>
      </c>
      <c r="K2978" t="str">
        <f t="shared" si="694"/>
        <v/>
      </c>
      <c r="L2978" t="str">
        <f t="shared" si="695"/>
        <v/>
      </c>
      <c r="M2978">
        <f>IF($A2978="",0,IF(COUNTIF($L$2:$L2978,$L2978)=1,1,0))</f>
        <v>0</v>
      </c>
      <c r="N2978" t="str">
        <f t="shared" si="696"/>
        <v/>
      </c>
      <c r="O2978" t="str">
        <f t="shared" si="697"/>
        <v/>
      </c>
      <c r="P2978">
        <f>IF($A2978="",0,IF(COUNTIF($O$2:$O2978,$O2978)=1,1,0))</f>
        <v>0</v>
      </c>
      <c r="Q2978" t="str">
        <f>IF(AND($P2978=1,$A2978=经营数据!$B$3,$J2978=经营数据!$BA$5),COUNTIFS($P$2:$P$3000,1,$A$2:$A$3000,$A2978,$J$2:$J$3000,$J2978,$N$2:$N$3000,"&lt;"&amp;$N2978)+1,"")</f>
        <v/>
      </c>
      <c r="R2978" t="str">
        <f t="shared" si="698"/>
        <v/>
      </c>
      <c r="S2978">
        <f>IF($A2978="",0,IF(COUNTIF($R$2:$R2978,$R2978)=1,1,0))</f>
        <v>0</v>
      </c>
      <c r="T2978" t="str">
        <f t="shared" si="699"/>
        <v/>
      </c>
      <c r="U2978" t="str">
        <f>IF($A2978="","",IF($A2978=经营数据!$B$3,COUNTIFS($S$2:$S$3000,1,$A$2:$A$3000,$A2978,$T$2:$T$3000,"&lt;"&amp;$T2978)+1,""))</f>
        <v/>
      </c>
      <c r="V2978" t="str">
        <f t="shared" si="700"/>
        <v/>
      </c>
      <c r="W2978" t="str">
        <f t="shared" si="701"/>
        <v/>
      </c>
      <c r="X2978" t="str">
        <f t="shared" si="702"/>
        <v/>
      </c>
      <c r="Y2978" t="str">
        <f t="shared" si="703"/>
        <v/>
      </c>
      <c r="Z2978">
        <f>IF($A2978="",0,IF(AND($M2978=1,$A2978=经营数据!$B$3,$J2978=经营数据!$BA$5,OR($I2978=经营数据!$BA$4,COUNTIF(经营数据!$AA$9:$AA$38,$I2978)&gt;0)),1,0))</f>
        <v>0</v>
      </c>
      <c r="AA2978" t="str">
        <f t="shared" si="704"/>
        <v/>
      </c>
      <c r="AB2978" t="str">
        <f t="shared" si="705"/>
        <v/>
      </c>
      <c r="AC2978">
        <f>IF($A2978="",0,IF(COUNTIF($A$2:$A2978,$A2978)=1,1,0))</f>
        <v>0</v>
      </c>
      <c r="AD2978">
        <f t="shared" si="706"/>
        <v>29</v>
      </c>
      <c r="AE2978" t="str">
        <f t="shared" si="707"/>
        <v/>
      </c>
    </row>
    <row r="2979" spans="1:31" x14ac:dyDescent="0.4">
      <c r="A2979" t="str">
        <f>IF(原始经营数据!$D2980="","",原始经营数据!$D2980)</f>
        <v/>
      </c>
      <c r="B2979" t="str">
        <f>IF(原始经营数据!$D2980="","",T(原始经营数据!$E2980))</f>
        <v/>
      </c>
      <c r="C2979" t="str">
        <f>IF(原始经营数据!$D2980="","",原始经营数据!$F2980)</f>
        <v/>
      </c>
      <c r="D2979" t="str">
        <f>IF(原始经营数据!$D2980="","",原始经营数据!$H2980)</f>
        <v/>
      </c>
      <c r="E2979" t="str">
        <f>IF(原始经营数据!$D2980="","",原始经营数据!$I2980)</f>
        <v/>
      </c>
      <c r="F2979" t="str">
        <f>IF(原始经营数据!$D2980="","",T(原始经营数据!$J2980))</f>
        <v/>
      </c>
      <c r="G2979" t="str">
        <f>IF(原始经营数据!$D2980="","",T(原始经营数据!$K2980))</f>
        <v/>
      </c>
      <c r="H2979" t="str">
        <f>IF(原始经营数据!$D2980="","",原始经营数据!$G2980)</f>
        <v/>
      </c>
      <c r="I2979" t="str">
        <f>IF($A2979="","",IF($B2979&lt;&gt;"",$B2979,IF(COUNTIFS(原始经营数据!$D$3:$D$3001,$A2979,原始经营数据!$E$3:$E$3001,"",原始经营数据!$F$3:$F$3001,$C2979,原始经营数据!$H$3:$H$3001,$D2979,原始经营数据!$K$3:$K$3001,$G2979)&gt;1,"基金整体·来源"&amp;原始经营数据!$A2980,"基金整体")))</f>
        <v/>
      </c>
      <c r="J2979" t="str">
        <f t="shared" si="693"/>
        <v/>
      </c>
      <c r="K2979" t="str">
        <f t="shared" si="694"/>
        <v/>
      </c>
      <c r="L2979" t="str">
        <f t="shared" si="695"/>
        <v/>
      </c>
      <c r="M2979">
        <f>IF($A2979="",0,IF(COUNTIF($L$2:$L2979,$L2979)=1,1,0))</f>
        <v>0</v>
      </c>
      <c r="N2979" t="str">
        <f t="shared" si="696"/>
        <v/>
      </c>
      <c r="O2979" t="str">
        <f t="shared" si="697"/>
        <v/>
      </c>
      <c r="P2979">
        <f>IF($A2979="",0,IF(COUNTIF($O$2:$O2979,$O2979)=1,1,0))</f>
        <v>0</v>
      </c>
      <c r="Q2979" t="str">
        <f>IF(AND($P2979=1,$A2979=经营数据!$B$3,$J2979=经营数据!$BA$5),COUNTIFS($P$2:$P$3000,1,$A$2:$A$3000,$A2979,$J$2:$J$3000,$J2979,$N$2:$N$3000,"&lt;"&amp;$N2979)+1,"")</f>
        <v/>
      </c>
      <c r="R2979" t="str">
        <f t="shared" si="698"/>
        <v/>
      </c>
      <c r="S2979">
        <f>IF($A2979="",0,IF(COUNTIF($R$2:$R2979,$R2979)=1,1,0))</f>
        <v>0</v>
      </c>
      <c r="T2979" t="str">
        <f t="shared" si="699"/>
        <v/>
      </c>
      <c r="U2979" t="str">
        <f>IF($A2979="","",IF($A2979=经营数据!$B$3,COUNTIFS($S$2:$S$3000,1,$A$2:$A$3000,$A2979,$T$2:$T$3000,"&lt;"&amp;$T2979)+1,""))</f>
        <v/>
      </c>
      <c r="V2979" t="str">
        <f t="shared" si="700"/>
        <v/>
      </c>
      <c r="W2979" t="str">
        <f t="shared" si="701"/>
        <v/>
      </c>
      <c r="X2979" t="str">
        <f t="shared" si="702"/>
        <v/>
      </c>
      <c r="Y2979" t="str">
        <f t="shared" si="703"/>
        <v/>
      </c>
      <c r="Z2979">
        <f>IF($A2979="",0,IF(AND($M2979=1,$A2979=经营数据!$B$3,$J2979=经营数据!$BA$5,OR($I2979=经营数据!$BA$4,COUNTIF(经营数据!$AA$9:$AA$38,$I2979)&gt;0)),1,0))</f>
        <v>0</v>
      </c>
      <c r="AA2979" t="str">
        <f t="shared" si="704"/>
        <v/>
      </c>
      <c r="AB2979" t="str">
        <f t="shared" si="705"/>
        <v/>
      </c>
      <c r="AC2979">
        <f>IF($A2979="",0,IF(COUNTIF($A$2:$A2979,$A2979)=1,1,0))</f>
        <v>0</v>
      </c>
      <c r="AD2979">
        <f t="shared" si="706"/>
        <v>29</v>
      </c>
      <c r="AE2979" t="str">
        <f t="shared" si="707"/>
        <v/>
      </c>
    </row>
    <row r="2980" spans="1:31" x14ac:dyDescent="0.4">
      <c r="A2980" t="str">
        <f>IF(原始经营数据!$D2981="","",原始经营数据!$D2981)</f>
        <v/>
      </c>
      <c r="B2980" t="str">
        <f>IF(原始经营数据!$D2981="","",T(原始经营数据!$E2981))</f>
        <v/>
      </c>
      <c r="C2980" t="str">
        <f>IF(原始经营数据!$D2981="","",原始经营数据!$F2981)</f>
        <v/>
      </c>
      <c r="D2980" t="str">
        <f>IF(原始经营数据!$D2981="","",原始经营数据!$H2981)</f>
        <v/>
      </c>
      <c r="E2980" t="str">
        <f>IF(原始经营数据!$D2981="","",原始经营数据!$I2981)</f>
        <v/>
      </c>
      <c r="F2980" t="str">
        <f>IF(原始经营数据!$D2981="","",T(原始经营数据!$J2981))</f>
        <v/>
      </c>
      <c r="G2980" t="str">
        <f>IF(原始经营数据!$D2981="","",T(原始经营数据!$K2981))</f>
        <v/>
      </c>
      <c r="H2980" t="str">
        <f>IF(原始经营数据!$D2981="","",原始经营数据!$G2981)</f>
        <v/>
      </c>
      <c r="I2980" t="str">
        <f>IF($A2980="","",IF($B2980&lt;&gt;"",$B2980,IF(COUNTIFS(原始经营数据!$D$3:$D$3001,$A2980,原始经营数据!$E$3:$E$3001,"",原始经营数据!$F$3:$F$3001,$C2980,原始经营数据!$H$3:$H$3001,$D2980,原始经营数据!$K$3:$K$3001,$G2980)&gt;1,"基金整体·来源"&amp;原始经营数据!$A2981,"基金整体")))</f>
        <v/>
      </c>
      <c r="J2980" t="str">
        <f t="shared" si="693"/>
        <v/>
      </c>
      <c r="K2980" t="str">
        <f t="shared" si="694"/>
        <v/>
      </c>
      <c r="L2980" t="str">
        <f t="shared" si="695"/>
        <v/>
      </c>
      <c r="M2980">
        <f>IF($A2980="",0,IF(COUNTIF($L$2:$L2980,$L2980)=1,1,0))</f>
        <v>0</v>
      </c>
      <c r="N2980" t="str">
        <f t="shared" si="696"/>
        <v/>
      </c>
      <c r="O2980" t="str">
        <f t="shared" si="697"/>
        <v/>
      </c>
      <c r="P2980">
        <f>IF($A2980="",0,IF(COUNTIF($O$2:$O2980,$O2980)=1,1,0))</f>
        <v>0</v>
      </c>
      <c r="Q2980" t="str">
        <f>IF(AND($P2980=1,$A2980=经营数据!$B$3,$J2980=经营数据!$BA$5),COUNTIFS($P$2:$P$3000,1,$A$2:$A$3000,$A2980,$J$2:$J$3000,$J2980,$N$2:$N$3000,"&lt;"&amp;$N2980)+1,"")</f>
        <v/>
      </c>
      <c r="R2980" t="str">
        <f t="shared" si="698"/>
        <v/>
      </c>
      <c r="S2980">
        <f>IF($A2980="",0,IF(COUNTIF($R$2:$R2980,$R2980)=1,1,0))</f>
        <v>0</v>
      </c>
      <c r="T2980" t="str">
        <f t="shared" si="699"/>
        <v/>
      </c>
      <c r="U2980" t="str">
        <f>IF($A2980="","",IF($A2980=经营数据!$B$3,COUNTIFS($S$2:$S$3000,1,$A$2:$A$3000,$A2980,$T$2:$T$3000,"&lt;"&amp;$T2980)+1,""))</f>
        <v/>
      </c>
      <c r="V2980" t="str">
        <f t="shared" si="700"/>
        <v/>
      </c>
      <c r="W2980" t="str">
        <f t="shared" si="701"/>
        <v/>
      </c>
      <c r="X2980" t="str">
        <f t="shared" si="702"/>
        <v/>
      </c>
      <c r="Y2980" t="str">
        <f t="shared" si="703"/>
        <v/>
      </c>
      <c r="Z2980">
        <f>IF($A2980="",0,IF(AND($M2980=1,$A2980=经营数据!$B$3,$J2980=经营数据!$BA$5,OR($I2980=经营数据!$BA$4,COUNTIF(经营数据!$AA$9:$AA$38,$I2980)&gt;0)),1,0))</f>
        <v>0</v>
      </c>
      <c r="AA2980" t="str">
        <f t="shared" si="704"/>
        <v/>
      </c>
      <c r="AB2980" t="str">
        <f t="shared" si="705"/>
        <v/>
      </c>
      <c r="AC2980">
        <f>IF($A2980="",0,IF(COUNTIF($A$2:$A2980,$A2980)=1,1,0))</f>
        <v>0</v>
      </c>
      <c r="AD2980">
        <f t="shared" si="706"/>
        <v>29</v>
      </c>
      <c r="AE2980" t="str">
        <f t="shared" si="707"/>
        <v/>
      </c>
    </row>
    <row r="2981" spans="1:31" x14ac:dyDescent="0.4">
      <c r="A2981" t="str">
        <f>IF(原始经营数据!$D2982="","",原始经营数据!$D2982)</f>
        <v/>
      </c>
      <c r="B2981" t="str">
        <f>IF(原始经营数据!$D2982="","",T(原始经营数据!$E2982))</f>
        <v/>
      </c>
      <c r="C2981" t="str">
        <f>IF(原始经营数据!$D2982="","",原始经营数据!$F2982)</f>
        <v/>
      </c>
      <c r="D2981" t="str">
        <f>IF(原始经营数据!$D2982="","",原始经营数据!$H2982)</f>
        <v/>
      </c>
      <c r="E2981" t="str">
        <f>IF(原始经营数据!$D2982="","",原始经营数据!$I2982)</f>
        <v/>
      </c>
      <c r="F2981" t="str">
        <f>IF(原始经营数据!$D2982="","",T(原始经营数据!$J2982))</f>
        <v/>
      </c>
      <c r="G2981" t="str">
        <f>IF(原始经营数据!$D2982="","",T(原始经营数据!$K2982))</f>
        <v/>
      </c>
      <c r="H2981" t="str">
        <f>IF(原始经营数据!$D2982="","",原始经营数据!$G2982)</f>
        <v/>
      </c>
      <c r="I2981" t="str">
        <f>IF($A2981="","",IF($B2981&lt;&gt;"",$B2981,IF(COUNTIFS(原始经营数据!$D$3:$D$3001,$A2981,原始经营数据!$E$3:$E$3001,"",原始经营数据!$F$3:$F$3001,$C2981,原始经营数据!$H$3:$H$3001,$D2981,原始经营数据!$K$3:$K$3001,$G2981)&gt;1,"基金整体·来源"&amp;原始经营数据!$A2982,"基金整体")))</f>
        <v/>
      </c>
      <c r="J2981" t="str">
        <f t="shared" si="693"/>
        <v/>
      </c>
      <c r="K2981" t="str">
        <f t="shared" si="694"/>
        <v/>
      </c>
      <c r="L2981" t="str">
        <f t="shared" si="695"/>
        <v/>
      </c>
      <c r="M2981">
        <f>IF($A2981="",0,IF(COUNTIF($L$2:$L2981,$L2981)=1,1,0))</f>
        <v>0</v>
      </c>
      <c r="N2981" t="str">
        <f t="shared" si="696"/>
        <v/>
      </c>
      <c r="O2981" t="str">
        <f t="shared" si="697"/>
        <v/>
      </c>
      <c r="P2981">
        <f>IF($A2981="",0,IF(COUNTIF($O$2:$O2981,$O2981)=1,1,0))</f>
        <v>0</v>
      </c>
      <c r="Q2981" t="str">
        <f>IF(AND($P2981=1,$A2981=经营数据!$B$3,$J2981=经营数据!$BA$5),COUNTIFS($P$2:$P$3000,1,$A$2:$A$3000,$A2981,$J$2:$J$3000,$J2981,$N$2:$N$3000,"&lt;"&amp;$N2981)+1,"")</f>
        <v/>
      </c>
      <c r="R2981" t="str">
        <f t="shared" si="698"/>
        <v/>
      </c>
      <c r="S2981">
        <f>IF($A2981="",0,IF(COUNTIF($R$2:$R2981,$R2981)=1,1,0))</f>
        <v>0</v>
      </c>
      <c r="T2981" t="str">
        <f t="shared" si="699"/>
        <v/>
      </c>
      <c r="U2981" t="str">
        <f>IF($A2981="","",IF($A2981=经营数据!$B$3,COUNTIFS($S$2:$S$3000,1,$A$2:$A$3000,$A2981,$T$2:$T$3000,"&lt;"&amp;$T2981)+1,""))</f>
        <v/>
      </c>
      <c r="V2981" t="str">
        <f t="shared" si="700"/>
        <v/>
      </c>
      <c r="W2981" t="str">
        <f t="shared" si="701"/>
        <v/>
      </c>
      <c r="X2981" t="str">
        <f t="shared" si="702"/>
        <v/>
      </c>
      <c r="Y2981" t="str">
        <f t="shared" si="703"/>
        <v/>
      </c>
      <c r="Z2981">
        <f>IF($A2981="",0,IF(AND($M2981=1,$A2981=经营数据!$B$3,$J2981=经营数据!$BA$5,OR($I2981=经营数据!$BA$4,COUNTIF(经营数据!$AA$9:$AA$38,$I2981)&gt;0)),1,0))</f>
        <v>0</v>
      </c>
      <c r="AA2981" t="str">
        <f t="shared" si="704"/>
        <v/>
      </c>
      <c r="AB2981" t="str">
        <f t="shared" si="705"/>
        <v/>
      </c>
      <c r="AC2981">
        <f>IF($A2981="",0,IF(COUNTIF($A$2:$A2981,$A2981)=1,1,0))</f>
        <v>0</v>
      </c>
      <c r="AD2981">
        <f t="shared" si="706"/>
        <v>29</v>
      </c>
      <c r="AE2981" t="str">
        <f t="shared" si="707"/>
        <v/>
      </c>
    </row>
    <row r="2982" spans="1:31" x14ac:dyDescent="0.4">
      <c r="A2982" t="str">
        <f>IF(原始经营数据!$D2983="","",原始经营数据!$D2983)</f>
        <v/>
      </c>
      <c r="B2982" t="str">
        <f>IF(原始经营数据!$D2983="","",T(原始经营数据!$E2983))</f>
        <v/>
      </c>
      <c r="C2982" t="str">
        <f>IF(原始经营数据!$D2983="","",原始经营数据!$F2983)</f>
        <v/>
      </c>
      <c r="D2982" t="str">
        <f>IF(原始经营数据!$D2983="","",原始经营数据!$H2983)</f>
        <v/>
      </c>
      <c r="E2982" t="str">
        <f>IF(原始经营数据!$D2983="","",原始经营数据!$I2983)</f>
        <v/>
      </c>
      <c r="F2982" t="str">
        <f>IF(原始经营数据!$D2983="","",T(原始经营数据!$J2983))</f>
        <v/>
      </c>
      <c r="G2982" t="str">
        <f>IF(原始经营数据!$D2983="","",T(原始经营数据!$K2983))</f>
        <v/>
      </c>
      <c r="H2982" t="str">
        <f>IF(原始经营数据!$D2983="","",原始经营数据!$G2983)</f>
        <v/>
      </c>
      <c r="I2982" t="str">
        <f>IF($A2982="","",IF($B2982&lt;&gt;"",$B2982,IF(COUNTIFS(原始经营数据!$D$3:$D$3001,$A2982,原始经营数据!$E$3:$E$3001,"",原始经营数据!$F$3:$F$3001,$C2982,原始经营数据!$H$3:$H$3001,$D2982,原始经营数据!$K$3:$K$3001,$G2982)&gt;1,"基金整体·来源"&amp;原始经营数据!$A2983,"基金整体")))</f>
        <v/>
      </c>
      <c r="J2982" t="str">
        <f t="shared" si="693"/>
        <v/>
      </c>
      <c r="K2982" t="str">
        <f t="shared" si="694"/>
        <v/>
      </c>
      <c r="L2982" t="str">
        <f t="shared" si="695"/>
        <v/>
      </c>
      <c r="M2982">
        <f>IF($A2982="",0,IF(COUNTIF($L$2:$L2982,$L2982)=1,1,0))</f>
        <v>0</v>
      </c>
      <c r="N2982" t="str">
        <f t="shared" si="696"/>
        <v/>
      </c>
      <c r="O2982" t="str">
        <f t="shared" si="697"/>
        <v/>
      </c>
      <c r="P2982">
        <f>IF($A2982="",0,IF(COUNTIF($O$2:$O2982,$O2982)=1,1,0))</f>
        <v>0</v>
      </c>
      <c r="Q2982" t="str">
        <f>IF(AND($P2982=1,$A2982=经营数据!$B$3,$J2982=经营数据!$BA$5),COUNTIFS($P$2:$P$3000,1,$A$2:$A$3000,$A2982,$J$2:$J$3000,$J2982,$N$2:$N$3000,"&lt;"&amp;$N2982)+1,"")</f>
        <v/>
      </c>
      <c r="R2982" t="str">
        <f t="shared" si="698"/>
        <v/>
      </c>
      <c r="S2982">
        <f>IF($A2982="",0,IF(COUNTIF($R$2:$R2982,$R2982)=1,1,0))</f>
        <v>0</v>
      </c>
      <c r="T2982" t="str">
        <f t="shared" si="699"/>
        <v/>
      </c>
      <c r="U2982" t="str">
        <f>IF($A2982="","",IF($A2982=经营数据!$B$3,COUNTIFS($S$2:$S$3000,1,$A$2:$A$3000,$A2982,$T$2:$T$3000,"&lt;"&amp;$T2982)+1,""))</f>
        <v/>
      </c>
      <c r="V2982" t="str">
        <f t="shared" si="700"/>
        <v/>
      </c>
      <c r="W2982" t="str">
        <f t="shared" si="701"/>
        <v/>
      </c>
      <c r="X2982" t="str">
        <f t="shared" si="702"/>
        <v/>
      </c>
      <c r="Y2982" t="str">
        <f t="shared" si="703"/>
        <v/>
      </c>
      <c r="Z2982">
        <f>IF($A2982="",0,IF(AND($M2982=1,$A2982=经营数据!$B$3,$J2982=经营数据!$BA$5,OR($I2982=经营数据!$BA$4,COUNTIF(经营数据!$AA$9:$AA$38,$I2982)&gt;0)),1,0))</f>
        <v>0</v>
      </c>
      <c r="AA2982" t="str">
        <f t="shared" si="704"/>
        <v/>
      </c>
      <c r="AB2982" t="str">
        <f t="shared" si="705"/>
        <v/>
      </c>
      <c r="AC2982">
        <f>IF($A2982="",0,IF(COUNTIF($A$2:$A2982,$A2982)=1,1,0))</f>
        <v>0</v>
      </c>
      <c r="AD2982">
        <f t="shared" si="706"/>
        <v>29</v>
      </c>
      <c r="AE2982" t="str">
        <f t="shared" si="707"/>
        <v/>
      </c>
    </row>
    <row r="2983" spans="1:31" x14ac:dyDescent="0.4">
      <c r="A2983" t="str">
        <f>IF(原始经营数据!$D2984="","",原始经营数据!$D2984)</f>
        <v/>
      </c>
      <c r="B2983" t="str">
        <f>IF(原始经营数据!$D2984="","",T(原始经营数据!$E2984))</f>
        <v/>
      </c>
      <c r="C2983" t="str">
        <f>IF(原始经营数据!$D2984="","",原始经营数据!$F2984)</f>
        <v/>
      </c>
      <c r="D2983" t="str">
        <f>IF(原始经营数据!$D2984="","",原始经营数据!$H2984)</f>
        <v/>
      </c>
      <c r="E2983" t="str">
        <f>IF(原始经营数据!$D2984="","",原始经营数据!$I2984)</f>
        <v/>
      </c>
      <c r="F2983" t="str">
        <f>IF(原始经营数据!$D2984="","",T(原始经营数据!$J2984))</f>
        <v/>
      </c>
      <c r="G2983" t="str">
        <f>IF(原始经营数据!$D2984="","",T(原始经营数据!$K2984))</f>
        <v/>
      </c>
      <c r="H2983" t="str">
        <f>IF(原始经营数据!$D2984="","",原始经营数据!$G2984)</f>
        <v/>
      </c>
      <c r="I2983" t="str">
        <f>IF($A2983="","",IF($B2983&lt;&gt;"",$B2983,IF(COUNTIFS(原始经营数据!$D$3:$D$3001,$A2983,原始经营数据!$E$3:$E$3001,"",原始经营数据!$F$3:$F$3001,$C2983,原始经营数据!$H$3:$H$3001,$D2983,原始经营数据!$K$3:$K$3001,$G2983)&gt;1,"基金整体·来源"&amp;原始经营数据!$A2984,"基金整体")))</f>
        <v/>
      </c>
      <c r="J2983" t="str">
        <f t="shared" si="693"/>
        <v/>
      </c>
      <c r="K2983" t="str">
        <f t="shared" si="694"/>
        <v/>
      </c>
      <c r="L2983" t="str">
        <f t="shared" si="695"/>
        <v/>
      </c>
      <c r="M2983">
        <f>IF($A2983="",0,IF(COUNTIF($L$2:$L2983,$L2983)=1,1,0))</f>
        <v>0</v>
      </c>
      <c r="N2983" t="str">
        <f t="shared" si="696"/>
        <v/>
      </c>
      <c r="O2983" t="str">
        <f t="shared" si="697"/>
        <v/>
      </c>
      <c r="P2983">
        <f>IF($A2983="",0,IF(COUNTIF($O$2:$O2983,$O2983)=1,1,0))</f>
        <v>0</v>
      </c>
      <c r="Q2983" t="str">
        <f>IF(AND($P2983=1,$A2983=经营数据!$B$3,$J2983=经营数据!$BA$5),COUNTIFS($P$2:$P$3000,1,$A$2:$A$3000,$A2983,$J$2:$J$3000,$J2983,$N$2:$N$3000,"&lt;"&amp;$N2983)+1,"")</f>
        <v/>
      </c>
      <c r="R2983" t="str">
        <f t="shared" si="698"/>
        <v/>
      </c>
      <c r="S2983">
        <f>IF($A2983="",0,IF(COUNTIF($R$2:$R2983,$R2983)=1,1,0))</f>
        <v>0</v>
      </c>
      <c r="T2983" t="str">
        <f t="shared" si="699"/>
        <v/>
      </c>
      <c r="U2983" t="str">
        <f>IF($A2983="","",IF($A2983=经营数据!$B$3,COUNTIFS($S$2:$S$3000,1,$A$2:$A$3000,$A2983,$T$2:$T$3000,"&lt;"&amp;$T2983)+1,""))</f>
        <v/>
      </c>
      <c r="V2983" t="str">
        <f t="shared" si="700"/>
        <v/>
      </c>
      <c r="W2983" t="str">
        <f t="shared" si="701"/>
        <v/>
      </c>
      <c r="X2983" t="str">
        <f t="shared" si="702"/>
        <v/>
      </c>
      <c r="Y2983" t="str">
        <f t="shared" si="703"/>
        <v/>
      </c>
      <c r="Z2983">
        <f>IF($A2983="",0,IF(AND($M2983=1,$A2983=经营数据!$B$3,$J2983=经营数据!$BA$5,OR($I2983=经营数据!$BA$4,COUNTIF(经营数据!$AA$9:$AA$38,$I2983)&gt;0)),1,0))</f>
        <v>0</v>
      </c>
      <c r="AA2983" t="str">
        <f t="shared" si="704"/>
        <v/>
      </c>
      <c r="AB2983" t="str">
        <f t="shared" si="705"/>
        <v/>
      </c>
      <c r="AC2983">
        <f>IF($A2983="",0,IF(COUNTIF($A$2:$A2983,$A2983)=1,1,0))</f>
        <v>0</v>
      </c>
      <c r="AD2983">
        <f t="shared" si="706"/>
        <v>29</v>
      </c>
      <c r="AE2983" t="str">
        <f t="shared" si="707"/>
        <v/>
      </c>
    </row>
    <row r="2984" spans="1:31" x14ac:dyDescent="0.4">
      <c r="A2984" t="str">
        <f>IF(原始经营数据!$D2985="","",原始经营数据!$D2985)</f>
        <v/>
      </c>
      <c r="B2984" t="str">
        <f>IF(原始经营数据!$D2985="","",T(原始经营数据!$E2985))</f>
        <v/>
      </c>
      <c r="C2984" t="str">
        <f>IF(原始经营数据!$D2985="","",原始经营数据!$F2985)</f>
        <v/>
      </c>
      <c r="D2984" t="str">
        <f>IF(原始经营数据!$D2985="","",原始经营数据!$H2985)</f>
        <v/>
      </c>
      <c r="E2984" t="str">
        <f>IF(原始经营数据!$D2985="","",原始经营数据!$I2985)</f>
        <v/>
      </c>
      <c r="F2984" t="str">
        <f>IF(原始经营数据!$D2985="","",T(原始经营数据!$J2985))</f>
        <v/>
      </c>
      <c r="G2984" t="str">
        <f>IF(原始经营数据!$D2985="","",T(原始经营数据!$K2985))</f>
        <v/>
      </c>
      <c r="H2984" t="str">
        <f>IF(原始经营数据!$D2985="","",原始经营数据!$G2985)</f>
        <v/>
      </c>
      <c r="I2984" t="str">
        <f>IF($A2984="","",IF($B2984&lt;&gt;"",$B2984,IF(COUNTIFS(原始经营数据!$D$3:$D$3001,$A2984,原始经营数据!$E$3:$E$3001,"",原始经营数据!$F$3:$F$3001,$C2984,原始经营数据!$H$3:$H$3001,$D2984,原始经营数据!$K$3:$K$3001,$G2984)&gt;1,"基金整体·来源"&amp;原始经营数据!$A2985,"基金整体")))</f>
        <v/>
      </c>
      <c r="J2984" t="str">
        <f t="shared" si="693"/>
        <v/>
      </c>
      <c r="K2984" t="str">
        <f t="shared" si="694"/>
        <v/>
      </c>
      <c r="L2984" t="str">
        <f t="shared" si="695"/>
        <v/>
      </c>
      <c r="M2984">
        <f>IF($A2984="",0,IF(COUNTIF($L$2:$L2984,$L2984)=1,1,0))</f>
        <v>0</v>
      </c>
      <c r="N2984" t="str">
        <f t="shared" si="696"/>
        <v/>
      </c>
      <c r="O2984" t="str">
        <f t="shared" si="697"/>
        <v/>
      </c>
      <c r="P2984">
        <f>IF($A2984="",0,IF(COUNTIF($O$2:$O2984,$O2984)=1,1,0))</f>
        <v>0</v>
      </c>
      <c r="Q2984" t="str">
        <f>IF(AND($P2984=1,$A2984=经营数据!$B$3,$J2984=经营数据!$BA$5),COUNTIFS($P$2:$P$3000,1,$A$2:$A$3000,$A2984,$J$2:$J$3000,$J2984,$N$2:$N$3000,"&lt;"&amp;$N2984)+1,"")</f>
        <v/>
      </c>
      <c r="R2984" t="str">
        <f t="shared" si="698"/>
        <v/>
      </c>
      <c r="S2984">
        <f>IF($A2984="",0,IF(COUNTIF($R$2:$R2984,$R2984)=1,1,0))</f>
        <v>0</v>
      </c>
      <c r="T2984" t="str">
        <f t="shared" si="699"/>
        <v/>
      </c>
      <c r="U2984" t="str">
        <f>IF($A2984="","",IF($A2984=经营数据!$B$3,COUNTIFS($S$2:$S$3000,1,$A$2:$A$3000,$A2984,$T$2:$T$3000,"&lt;"&amp;$T2984)+1,""))</f>
        <v/>
      </c>
      <c r="V2984" t="str">
        <f t="shared" si="700"/>
        <v/>
      </c>
      <c r="W2984" t="str">
        <f t="shared" si="701"/>
        <v/>
      </c>
      <c r="X2984" t="str">
        <f t="shared" si="702"/>
        <v/>
      </c>
      <c r="Y2984" t="str">
        <f t="shared" si="703"/>
        <v/>
      </c>
      <c r="Z2984">
        <f>IF($A2984="",0,IF(AND($M2984=1,$A2984=经营数据!$B$3,$J2984=经营数据!$BA$5,OR($I2984=经营数据!$BA$4,COUNTIF(经营数据!$AA$9:$AA$38,$I2984)&gt;0)),1,0))</f>
        <v>0</v>
      </c>
      <c r="AA2984" t="str">
        <f t="shared" si="704"/>
        <v/>
      </c>
      <c r="AB2984" t="str">
        <f t="shared" si="705"/>
        <v/>
      </c>
      <c r="AC2984">
        <f>IF($A2984="",0,IF(COUNTIF($A$2:$A2984,$A2984)=1,1,0))</f>
        <v>0</v>
      </c>
      <c r="AD2984">
        <f t="shared" si="706"/>
        <v>29</v>
      </c>
      <c r="AE2984" t="str">
        <f t="shared" si="707"/>
        <v/>
      </c>
    </row>
    <row r="2985" spans="1:31" x14ac:dyDescent="0.4">
      <c r="A2985" t="str">
        <f>IF(原始经营数据!$D2986="","",原始经营数据!$D2986)</f>
        <v/>
      </c>
      <c r="B2985" t="str">
        <f>IF(原始经营数据!$D2986="","",T(原始经营数据!$E2986))</f>
        <v/>
      </c>
      <c r="C2985" t="str">
        <f>IF(原始经营数据!$D2986="","",原始经营数据!$F2986)</f>
        <v/>
      </c>
      <c r="D2985" t="str">
        <f>IF(原始经营数据!$D2986="","",原始经营数据!$H2986)</f>
        <v/>
      </c>
      <c r="E2985" t="str">
        <f>IF(原始经营数据!$D2986="","",原始经营数据!$I2986)</f>
        <v/>
      </c>
      <c r="F2985" t="str">
        <f>IF(原始经营数据!$D2986="","",T(原始经营数据!$J2986))</f>
        <v/>
      </c>
      <c r="G2985" t="str">
        <f>IF(原始经营数据!$D2986="","",T(原始经营数据!$K2986))</f>
        <v/>
      </c>
      <c r="H2985" t="str">
        <f>IF(原始经营数据!$D2986="","",原始经营数据!$G2986)</f>
        <v/>
      </c>
      <c r="I2985" t="str">
        <f>IF($A2985="","",IF($B2985&lt;&gt;"",$B2985,IF(COUNTIFS(原始经营数据!$D$3:$D$3001,$A2985,原始经营数据!$E$3:$E$3001,"",原始经营数据!$F$3:$F$3001,$C2985,原始经营数据!$H$3:$H$3001,$D2985,原始经营数据!$K$3:$K$3001,$G2985)&gt;1,"基金整体·来源"&amp;原始经营数据!$A2986,"基金整体")))</f>
        <v/>
      </c>
      <c r="J2985" t="str">
        <f t="shared" si="693"/>
        <v/>
      </c>
      <c r="K2985" t="str">
        <f t="shared" si="694"/>
        <v/>
      </c>
      <c r="L2985" t="str">
        <f t="shared" si="695"/>
        <v/>
      </c>
      <c r="M2985">
        <f>IF($A2985="",0,IF(COUNTIF($L$2:$L2985,$L2985)=1,1,0))</f>
        <v>0</v>
      </c>
      <c r="N2985" t="str">
        <f t="shared" si="696"/>
        <v/>
      </c>
      <c r="O2985" t="str">
        <f t="shared" si="697"/>
        <v/>
      </c>
      <c r="P2985">
        <f>IF($A2985="",0,IF(COUNTIF($O$2:$O2985,$O2985)=1,1,0))</f>
        <v>0</v>
      </c>
      <c r="Q2985" t="str">
        <f>IF(AND($P2985=1,$A2985=经营数据!$B$3,$J2985=经营数据!$BA$5),COUNTIFS($P$2:$P$3000,1,$A$2:$A$3000,$A2985,$J$2:$J$3000,$J2985,$N$2:$N$3000,"&lt;"&amp;$N2985)+1,"")</f>
        <v/>
      </c>
      <c r="R2985" t="str">
        <f t="shared" si="698"/>
        <v/>
      </c>
      <c r="S2985">
        <f>IF($A2985="",0,IF(COUNTIF($R$2:$R2985,$R2985)=1,1,0))</f>
        <v>0</v>
      </c>
      <c r="T2985" t="str">
        <f t="shared" si="699"/>
        <v/>
      </c>
      <c r="U2985" t="str">
        <f>IF($A2985="","",IF($A2985=经营数据!$B$3,COUNTIFS($S$2:$S$3000,1,$A$2:$A$3000,$A2985,$T$2:$T$3000,"&lt;"&amp;$T2985)+1,""))</f>
        <v/>
      </c>
      <c r="V2985" t="str">
        <f t="shared" si="700"/>
        <v/>
      </c>
      <c r="W2985" t="str">
        <f t="shared" si="701"/>
        <v/>
      </c>
      <c r="X2985" t="str">
        <f t="shared" si="702"/>
        <v/>
      </c>
      <c r="Y2985" t="str">
        <f t="shared" si="703"/>
        <v/>
      </c>
      <c r="Z2985">
        <f>IF($A2985="",0,IF(AND($M2985=1,$A2985=经营数据!$B$3,$J2985=经营数据!$BA$5,OR($I2985=经营数据!$BA$4,COUNTIF(经营数据!$AA$9:$AA$38,$I2985)&gt;0)),1,0))</f>
        <v>0</v>
      </c>
      <c r="AA2985" t="str">
        <f t="shared" si="704"/>
        <v/>
      </c>
      <c r="AB2985" t="str">
        <f t="shared" si="705"/>
        <v/>
      </c>
      <c r="AC2985">
        <f>IF($A2985="",0,IF(COUNTIF($A$2:$A2985,$A2985)=1,1,0))</f>
        <v>0</v>
      </c>
      <c r="AD2985">
        <f t="shared" si="706"/>
        <v>29</v>
      </c>
      <c r="AE2985" t="str">
        <f t="shared" si="707"/>
        <v/>
      </c>
    </row>
    <row r="2986" spans="1:31" x14ac:dyDescent="0.4">
      <c r="A2986" t="str">
        <f>IF(原始经营数据!$D2987="","",原始经营数据!$D2987)</f>
        <v/>
      </c>
      <c r="B2986" t="str">
        <f>IF(原始经营数据!$D2987="","",T(原始经营数据!$E2987))</f>
        <v/>
      </c>
      <c r="C2986" t="str">
        <f>IF(原始经营数据!$D2987="","",原始经营数据!$F2987)</f>
        <v/>
      </c>
      <c r="D2986" t="str">
        <f>IF(原始经营数据!$D2987="","",原始经营数据!$H2987)</f>
        <v/>
      </c>
      <c r="E2986" t="str">
        <f>IF(原始经营数据!$D2987="","",原始经营数据!$I2987)</f>
        <v/>
      </c>
      <c r="F2986" t="str">
        <f>IF(原始经营数据!$D2987="","",T(原始经营数据!$J2987))</f>
        <v/>
      </c>
      <c r="G2986" t="str">
        <f>IF(原始经营数据!$D2987="","",T(原始经营数据!$K2987))</f>
        <v/>
      </c>
      <c r="H2986" t="str">
        <f>IF(原始经营数据!$D2987="","",原始经营数据!$G2987)</f>
        <v/>
      </c>
      <c r="I2986" t="str">
        <f>IF($A2986="","",IF($B2986&lt;&gt;"",$B2986,IF(COUNTIFS(原始经营数据!$D$3:$D$3001,$A2986,原始经营数据!$E$3:$E$3001,"",原始经营数据!$F$3:$F$3001,$C2986,原始经营数据!$H$3:$H$3001,$D2986,原始经营数据!$K$3:$K$3001,$G2986)&gt;1,"基金整体·来源"&amp;原始经营数据!$A2987,"基金整体")))</f>
        <v/>
      </c>
      <c r="J2986" t="str">
        <f t="shared" si="693"/>
        <v/>
      </c>
      <c r="K2986" t="str">
        <f t="shared" si="694"/>
        <v/>
      </c>
      <c r="L2986" t="str">
        <f t="shared" si="695"/>
        <v/>
      </c>
      <c r="M2986">
        <f>IF($A2986="",0,IF(COUNTIF($L$2:$L2986,$L2986)=1,1,0))</f>
        <v>0</v>
      </c>
      <c r="N2986" t="str">
        <f t="shared" si="696"/>
        <v/>
      </c>
      <c r="O2986" t="str">
        <f t="shared" si="697"/>
        <v/>
      </c>
      <c r="P2986">
        <f>IF($A2986="",0,IF(COUNTIF($O$2:$O2986,$O2986)=1,1,0))</f>
        <v>0</v>
      </c>
      <c r="Q2986" t="str">
        <f>IF(AND($P2986=1,$A2986=经营数据!$B$3,$J2986=经营数据!$BA$5),COUNTIFS($P$2:$P$3000,1,$A$2:$A$3000,$A2986,$J$2:$J$3000,$J2986,$N$2:$N$3000,"&lt;"&amp;$N2986)+1,"")</f>
        <v/>
      </c>
      <c r="R2986" t="str">
        <f t="shared" si="698"/>
        <v/>
      </c>
      <c r="S2986">
        <f>IF($A2986="",0,IF(COUNTIF($R$2:$R2986,$R2986)=1,1,0))</f>
        <v>0</v>
      </c>
      <c r="T2986" t="str">
        <f t="shared" si="699"/>
        <v/>
      </c>
      <c r="U2986" t="str">
        <f>IF($A2986="","",IF($A2986=经营数据!$B$3,COUNTIFS($S$2:$S$3000,1,$A$2:$A$3000,$A2986,$T$2:$T$3000,"&lt;"&amp;$T2986)+1,""))</f>
        <v/>
      </c>
      <c r="V2986" t="str">
        <f t="shared" si="700"/>
        <v/>
      </c>
      <c r="W2986" t="str">
        <f t="shared" si="701"/>
        <v/>
      </c>
      <c r="X2986" t="str">
        <f t="shared" si="702"/>
        <v/>
      </c>
      <c r="Y2986" t="str">
        <f t="shared" si="703"/>
        <v/>
      </c>
      <c r="Z2986">
        <f>IF($A2986="",0,IF(AND($M2986=1,$A2986=经营数据!$B$3,$J2986=经营数据!$BA$5,OR($I2986=经营数据!$BA$4,COUNTIF(经营数据!$AA$9:$AA$38,$I2986)&gt;0)),1,0))</f>
        <v>0</v>
      </c>
      <c r="AA2986" t="str">
        <f t="shared" si="704"/>
        <v/>
      </c>
      <c r="AB2986" t="str">
        <f t="shared" si="705"/>
        <v/>
      </c>
      <c r="AC2986">
        <f>IF($A2986="",0,IF(COUNTIF($A$2:$A2986,$A2986)=1,1,0))</f>
        <v>0</v>
      </c>
      <c r="AD2986">
        <f t="shared" si="706"/>
        <v>29</v>
      </c>
      <c r="AE2986" t="str">
        <f t="shared" si="707"/>
        <v/>
      </c>
    </row>
    <row r="2987" spans="1:31" x14ac:dyDescent="0.4">
      <c r="A2987" t="str">
        <f>IF(原始经营数据!$D2988="","",原始经营数据!$D2988)</f>
        <v/>
      </c>
      <c r="B2987" t="str">
        <f>IF(原始经营数据!$D2988="","",T(原始经营数据!$E2988))</f>
        <v/>
      </c>
      <c r="C2987" t="str">
        <f>IF(原始经营数据!$D2988="","",原始经营数据!$F2988)</f>
        <v/>
      </c>
      <c r="D2987" t="str">
        <f>IF(原始经营数据!$D2988="","",原始经营数据!$H2988)</f>
        <v/>
      </c>
      <c r="E2987" t="str">
        <f>IF(原始经营数据!$D2988="","",原始经营数据!$I2988)</f>
        <v/>
      </c>
      <c r="F2987" t="str">
        <f>IF(原始经营数据!$D2988="","",T(原始经营数据!$J2988))</f>
        <v/>
      </c>
      <c r="G2987" t="str">
        <f>IF(原始经营数据!$D2988="","",T(原始经营数据!$K2988))</f>
        <v/>
      </c>
      <c r="H2987" t="str">
        <f>IF(原始经营数据!$D2988="","",原始经营数据!$G2988)</f>
        <v/>
      </c>
      <c r="I2987" t="str">
        <f>IF($A2987="","",IF($B2987&lt;&gt;"",$B2987,IF(COUNTIFS(原始经营数据!$D$3:$D$3001,$A2987,原始经营数据!$E$3:$E$3001,"",原始经营数据!$F$3:$F$3001,$C2987,原始经营数据!$H$3:$H$3001,$D2987,原始经营数据!$K$3:$K$3001,$G2987)&gt;1,"基金整体·来源"&amp;原始经营数据!$A2988,"基金整体")))</f>
        <v/>
      </c>
      <c r="J2987" t="str">
        <f t="shared" si="693"/>
        <v/>
      </c>
      <c r="K2987" t="str">
        <f t="shared" si="694"/>
        <v/>
      </c>
      <c r="L2987" t="str">
        <f t="shared" si="695"/>
        <v/>
      </c>
      <c r="M2987">
        <f>IF($A2987="",0,IF(COUNTIF($L$2:$L2987,$L2987)=1,1,0))</f>
        <v>0</v>
      </c>
      <c r="N2987" t="str">
        <f t="shared" si="696"/>
        <v/>
      </c>
      <c r="O2987" t="str">
        <f t="shared" si="697"/>
        <v/>
      </c>
      <c r="P2987">
        <f>IF($A2987="",0,IF(COUNTIF($O$2:$O2987,$O2987)=1,1,0))</f>
        <v>0</v>
      </c>
      <c r="Q2987" t="str">
        <f>IF(AND($P2987=1,$A2987=经营数据!$B$3,$J2987=经营数据!$BA$5),COUNTIFS($P$2:$P$3000,1,$A$2:$A$3000,$A2987,$J$2:$J$3000,$J2987,$N$2:$N$3000,"&lt;"&amp;$N2987)+1,"")</f>
        <v/>
      </c>
      <c r="R2987" t="str">
        <f t="shared" si="698"/>
        <v/>
      </c>
      <c r="S2987">
        <f>IF($A2987="",0,IF(COUNTIF($R$2:$R2987,$R2987)=1,1,0))</f>
        <v>0</v>
      </c>
      <c r="T2987" t="str">
        <f t="shared" si="699"/>
        <v/>
      </c>
      <c r="U2987" t="str">
        <f>IF($A2987="","",IF($A2987=经营数据!$B$3,COUNTIFS($S$2:$S$3000,1,$A$2:$A$3000,$A2987,$T$2:$T$3000,"&lt;"&amp;$T2987)+1,""))</f>
        <v/>
      </c>
      <c r="V2987" t="str">
        <f t="shared" si="700"/>
        <v/>
      </c>
      <c r="W2987" t="str">
        <f t="shared" si="701"/>
        <v/>
      </c>
      <c r="X2987" t="str">
        <f t="shared" si="702"/>
        <v/>
      </c>
      <c r="Y2987" t="str">
        <f t="shared" si="703"/>
        <v/>
      </c>
      <c r="Z2987">
        <f>IF($A2987="",0,IF(AND($M2987=1,$A2987=经营数据!$B$3,$J2987=经营数据!$BA$5,OR($I2987=经营数据!$BA$4,COUNTIF(经营数据!$AA$9:$AA$38,$I2987)&gt;0)),1,0))</f>
        <v>0</v>
      </c>
      <c r="AA2987" t="str">
        <f t="shared" si="704"/>
        <v/>
      </c>
      <c r="AB2987" t="str">
        <f t="shared" si="705"/>
        <v/>
      </c>
      <c r="AC2987">
        <f>IF($A2987="",0,IF(COUNTIF($A$2:$A2987,$A2987)=1,1,0))</f>
        <v>0</v>
      </c>
      <c r="AD2987">
        <f t="shared" si="706"/>
        <v>29</v>
      </c>
      <c r="AE2987" t="str">
        <f t="shared" si="707"/>
        <v/>
      </c>
    </row>
    <row r="2988" spans="1:31" x14ac:dyDescent="0.4">
      <c r="A2988" t="str">
        <f>IF(原始经营数据!$D2989="","",原始经营数据!$D2989)</f>
        <v/>
      </c>
      <c r="B2988" t="str">
        <f>IF(原始经营数据!$D2989="","",T(原始经营数据!$E2989))</f>
        <v/>
      </c>
      <c r="C2988" t="str">
        <f>IF(原始经营数据!$D2989="","",原始经营数据!$F2989)</f>
        <v/>
      </c>
      <c r="D2988" t="str">
        <f>IF(原始经营数据!$D2989="","",原始经营数据!$H2989)</f>
        <v/>
      </c>
      <c r="E2988" t="str">
        <f>IF(原始经营数据!$D2989="","",原始经营数据!$I2989)</f>
        <v/>
      </c>
      <c r="F2988" t="str">
        <f>IF(原始经营数据!$D2989="","",T(原始经营数据!$J2989))</f>
        <v/>
      </c>
      <c r="G2988" t="str">
        <f>IF(原始经营数据!$D2989="","",T(原始经营数据!$K2989))</f>
        <v/>
      </c>
      <c r="H2988" t="str">
        <f>IF(原始经营数据!$D2989="","",原始经营数据!$G2989)</f>
        <v/>
      </c>
      <c r="I2988" t="str">
        <f>IF($A2988="","",IF($B2988&lt;&gt;"",$B2988,IF(COUNTIFS(原始经营数据!$D$3:$D$3001,$A2988,原始经营数据!$E$3:$E$3001,"",原始经营数据!$F$3:$F$3001,$C2988,原始经营数据!$H$3:$H$3001,$D2988,原始经营数据!$K$3:$K$3001,$G2988)&gt;1,"基金整体·来源"&amp;原始经营数据!$A2989,"基金整体")))</f>
        <v/>
      </c>
      <c r="J2988" t="str">
        <f t="shared" si="693"/>
        <v/>
      </c>
      <c r="K2988" t="str">
        <f t="shared" si="694"/>
        <v/>
      </c>
      <c r="L2988" t="str">
        <f t="shared" si="695"/>
        <v/>
      </c>
      <c r="M2988">
        <f>IF($A2988="",0,IF(COUNTIF($L$2:$L2988,$L2988)=1,1,0))</f>
        <v>0</v>
      </c>
      <c r="N2988" t="str">
        <f t="shared" si="696"/>
        <v/>
      </c>
      <c r="O2988" t="str">
        <f t="shared" si="697"/>
        <v/>
      </c>
      <c r="P2988">
        <f>IF($A2988="",0,IF(COUNTIF($O$2:$O2988,$O2988)=1,1,0))</f>
        <v>0</v>
      </c>
      <c r="Q2988" t="str">
        <f>IF(AND($P2988=1,$A2988=经营数据!$B$3,$J2988=经营数据!$BA$5),COUNTIFS($P$2:$P$3000,1,$A$2:$A$3000,$A2988,$J$2:$J$3000,$J2988,$N$2:$N$3000,"&lt;"&amp;$N2988)+1,"")</f>
        <v/>
      </c>
      <c r="R2988" t="str">
        <f t="shared" si="698"/>
        <v/>
      </c>
      <c r="S2988">
        <f>IF($A2988="",0,IF(COUNTIF($R$2:$R2988,$R2988)=1,1,0))</f>
        <v>0</v>
      </c>
      <c r="T2988" t="str">
        <f t="shared" si="699"/>
        <v/>
      </c>
      <c r="U2988" t="str">
        <f>IF($A2988="","",IF($A2988=经营数据!$B$3,COUNTIFS($S$2:$S$3000,1,$A$2:$A$3000,$A2988,$T$2:$T$3000,"&lt;"&amp;$T2988)+1,""))</f>
        <v/>
      </c>
      <c r="V2988" t="str">
        <f t="shared" si="700"/>
        <v/>
      </c>
      <c r="W2988" t="str">
        <f t="shared" si="701"/>
        <v/>
      </c>
      <c r="X2988" t="str">
        <f t="shared" si="702"/>
        <v/>
      </c>
      <c r="Y2988" t="str">
        <f t="shared" si="703"/>
        <v/>
      </c>
      <c r="Z2988">
        <f>IF($A2988="",0,IF(AND($M2988=1,$A2988=经营数据!$B$3,$J2988=经营数据!$BA$5,OR($I2988=经营数据!$BA$4,COUNTIF(经营数据!$AA$9:$AA$38,$I2988)&gt;0)),1,0))</f>
        <v>0</v>
      </c>
      <c r="AA2988" t="str">
        <f t="shared" si="704"/>
        <v/>
      </c>
      <c r="AB2988" t="str">
        <f t="shared" si="705"/>
        <v/>
      </c>
      <c r="AC2988">
        <f>IF($A2988="",0,IF(COUNTIF($A$2:$A2988,$A2988)=1,1,0))</f>
        <v>0</v>
      </c>
      <c r="AD2988">
        <f t="shared" si="706"/>
        <v>29</v>
      </c>
      <c r="AE2988" t="str">
        <f t="shared" si="707"/>
        <v/>
      </c>
    </row>
    <row r="2989" spans="1:31" x14ac:dyDescent="0.4">
      <c r="A2989" t="str">
        <f>IF(原始经营数据!$D2990="","",原始经营数据!$D2990)</f>
        <v/>
      </c>
      <c r="B2989" t="str">
        <f>IF(原始经营数据!$D2990="","",T(原始经营数据!$E2990))</f>
        <v/>
      </c>
      <c r="C2989" t="str">
        <f>IF(原始经营数据!$D2990="","",原始经营数据!$F2990)</f>
        <v/>
      </c>
      <c r="D2989" t="str">
        <f>IF(原始经营数据!$D2990="","",原始经营数据!$H2990)</f>
        <v/>
      </c>
      <c r="E2989" t="str">
        <f>IF(原始经营数据!$D2990="","",原始经营数据!$I2990)</f>
        <v/>
      </c>
      <c r="F2989" t="str">
        <f>IF(原始经营数据!$D2990="","",T(原始经营数据!$J2990))</f>
        <v/>
      </c>
      <c r="G2989" t="str">
        <f>IF(原始经营数据!$D2990="","",T(原始经营数据!$K2990))</f>
        <v/>
      </c>
      <c r="H2989" t="str">
        <f>IF(原始经营数据!$D2990="","",原始经营数据!$G2990)</f>
        <v/>
      </c>
      <c r="I2989" t="str">
        <f>IF($A2989="","",IF($B2989&lt;&gt;"",$B2989,IF(COUNTIFS(原始经营数据!$D$3:$D$3001,$A2989,原始经营数据!$E$3:$E$3001,"",原始经营数据!$F$3:$F$3001,$C2989,原始经营数据!$H$3:$H$3001,$D2989,原始经营数据!$K$3:$K$3001,$G2989)&gt;1,"基金整体·来源"&amp;原始经营数据!$A2990,"基金整体")))</f>
        <v/>
      </c>
      <c r="J2989" t="str">
        <f t="shared" si="693"/>
        <v/>
      </c>
      <c r="K2989" t="str">
        <f t="shared" si="694"/>
        <v/>
      </c>
      <c r="L2989" t="str">
        <f t="shared" si="695"/>
        <v/>
      </c>
      <c r="M2989">
        <f>IF($A2989="",0,IF(COUNTIF($L$2:$L2989,$L2989)=1,1,0))</f>
        <v>0</v>
      </c>
      <c r="N2989" t="str">
        <f t="shared" si="696"/>
        <v/>
      </c>
      <c r="O2989" t="str">
        <f t="shared" si="697"/>
        <v/>
      </c>
      <c r="P2989">
        <f>IF($A2989="",0,IF(COUNTIF($O$2:$O2989,$O2989)=1,1,0))</f>
        <v>0</v>
      </c>
      <c r="Q2989" t="str">
        <f>IF(AND($P2989=1,$A2989=经营数据!$B$3,$J2989=经营数据!$BA$5),COUNTIFS($P$2:$P$3000,1,$A$2:$A$3000,$A2989,$J$2:$J$3000,$J2989,$N$2:$N$3000,"&lt;"&amp;$N2989)+1,"")</f>
        <v/>
      </c>
      <c r="R2989" t="str">
        <f t="shared" si="698"/>
        <v/>
      </c>
      <c r="S2989">
        <f>IF($A2989="",0,IF(COUNTIF($R$2:$R2989,$R2989)=1,1,0))</f>
        <v>0</v>
      </c>
      <c r="T2989" t="str">
        <f t="shared" si="699"/>
        <v/>
      </c>
      <c r="U2989" t="str">
        <f>IF($A2989="","",IF($A2989=经营数据!$B$3,COUNTIFS($S$2:$S$3000,1,$A$2:$A$3000,$A2989,$T$2:$T$3000,"&lt;"&amp;$T2989)+1,""))</f>
        <v/>
      </c>
      <c r="V2989" t="str">
        <f t="shared" si="700"/>
        <v/>
      </c>
      <c r="W2989" t="str">
        <f t="shared" si="701"/>
        <v/>
      </c>
      <c r="X2989" t="str">
        <f t="shared" si="702"/>
        <v/>
      </c>
      <c r="Y2989" t="str">
        <f t="shared" si="703"/>
        <v/>
      </c>
      <c r="Z2989">
        <f>IF($A2989="",0,IF(AND($M2989=1,$A2989=经营数据!$B$3,$J2989=经营数据!$BA$5,OR($I2989=经营数据!$BA$4,COUNTIF(经营数据!$AA$9:$AA$38,$I2989)&gt;0)),1,0))</f>
        <v>0</v>
      </c>
      <c r="AA2989" t="str">
        <f t="shared" si="704"/>
        <v/>
      </c>
      <c r="AB2989" t="str">
        <f t="shared" si="705"/>
        <v/>
      </c>
      <c r="AC2989">
        <f>IF($A2989="",0,IF(COUNTIF($A$2:$A2989,$A2989)=1,1,0))</f>
        <v>0</v>
      </c>
      <c r="AD2989">
        <f t="shared" si="706"/>
        <v>29</v>
      </c>
      <c r="AE2989" t="str">
        <f t="shared" si="707"/>
        <v/>
      </c>
    </row>
    <row r="2990" spans="1:31" x14ac:dyDescent="0.4">
      <c r="A2990" t="str">
        <f>IF(原始经营数据!$D2991="","",原始经营数据!$D2991)</f>
        <v/>
      </c>
      <c r="B2990" t="str">
        <f>IF(原始经营数据!$D2991="","",T(原始经营数据!$E2991))</f>
        <v/>
      </c>
      <c r="C2990" t="str">
        <f>IF(原始经营数据!$D2991="","",原始经营数据!$F2991)</f>
        <v/>
      </c>
      <c r="D2990" t="str">
        <f>IF(原始经营数据!$D2991="","",原始经营数据!$H2991)</f>
        <v/>
      </c>
      <c r="E2990" t="str">
        <f>IF(原始经营数据!$D2991="","",原始经营数据!$I2991)</f>
        <v/>
      </c>
      <c r="F2990" t="str">
        <f>IF(原始经营数据!$D2991="","",T(原始经营数据!$J2991))</f>
        <v/>
      </c>
      <c r="G2990" t="str">
        <f>IF(原始经营数据!$D2991="","",T(原始经营数据!$K2991))</f>
        <v/>
      </c>
      <c r="H2990" t="str">
        <f>IF(原始经营数据!$D2991="","",原始经营数据!$G2991)</f>
        <v/>
      </c>
      <c r="I2990" t="str">
        <f>IF($A2990="","",IF($B2990&lt;&gt;"",$B2990,IF(COUNTIFS(原始经营数据!$D$3:$D$3001,$A2990,原始经营数据!$E$3:$E$3001,"",原始经营数据!$F$3:$F$3001,$C2990,原始经营数据!$H$3:$H$3001,$D2990,原始经营数据!$K$3:$K$3001,$G2990)&gt;1,"基金整体·来源"&amp;原始经营数据!$A2991,"基金整体")))</f>
        <v/>
      </c>
      <c r="J2990" t="str">
        <f t="shared" si="693"/>
        <v/>
      </c>
      <c r="K2990" t="str">
        <f t="shared" si="694"/>
        <v/>
      </c>
      <c r="L2990" t="str">
        <f t="shared" si="695"/>
        <v/>
      </c>
      <c r="M2990">
        <f>IF($A2990="",0,IF(COUNTIF($L$2:$L2990,$L2990)=1,1,0))</f>
        <v>0</v>
      </c>
      <c r="N2990" t="str">
        <f t="shared" si="696"/>
        <v/>
      </c>
      <c r="O2990" t="str">
        <f t="shared" si="697"/>
        <v/>
      </c>
      <c r="P2990">
        <f>IF($A2990="",0,IF(COUNTIF($O$2:$O2990,$O2990)=1,1,0))</f>
        <v>0</v>
      </c>
      <c r="Q2990" t="str">
        <f>IF(AND($P2990=1,$A2990=经营数据!$B$3,$J2990=经营数据!$BA$5),COUNTIFS($P$2:$P$3000,1,$A$2:$A$3000,$A2990,$J$2:$J$3000,$J2990,$N$2:$N$3000,"&lt;"&amp;$N2990)+1,"")</f>
        <v/>
      </c>
      <c r="R2990" t="str">
        <f t="shared" si="698"/>
        <v/>
      </c>
      <c r="S2990">
        <f>IF($A2990="",0,IF(COUNTIF($R$2:$R2990,$R2990)=1,1,0))</f>
        <v>0</v>
      </c>
      <c r="T2990" t="str">
        <f t="shared" si="699"/>
        <v/>
      </c>
      <c r="U2990" t="str">
        <f>IF($A2990="","",IF($A2990=经营数据!$B$3,COUNTIFS($S$2:$S$3000,1,$A$2:$A$3000,$A2990,$T$2:$T$3000,"&lt;"&amp;$T2990)+1,""))</f>
        <v/>
      </c>
      <c r="V2990" t="str">
        <f t="shared" si="700"/>
        <v/>
      </c>
      <c r="W2990" t="str">
        <f t="shared" si="701"/>
        <v/>
      </c>
      <c r="X2990" t="str">
        <f t="shared" si="702"/>
        <v/>
      </c>
      <c r="Y2990" t="str">
        <f t="shared" si="703"/>
        <v/>
      </c>
      <c r="Z2990">
        <f>IF($A2990="",0,IF(AND($M2990=1,$A2990=经营数据!$B$3,$J2990=经营数据!$BA$5,OR($I2990=经营数据!$BA$4,COUNTIF(经营数据!$AA$9:$AA$38,$I2990)&gt;0)),1,0))</f>
        <v>0</v>
      </c>
      <c r="AA2990" t="str">
        <f t="shared" si="704"/>
        <v/>
      </c>
      <c r="AB2990" t="str">
        <f t="shared" si="705"/>
        <v/>
      </c>
      <c r="AC2990">
        <f>IF($A2990="",0,IF(COUNTIF($A$2:$A2990,$A2990)=1,1,0))</f>
        <v>0</v>
      </c>
      <c r="AD2990">
        <f t="shared" si="706"/>
        <v>29</v>
      </c>
      <c r="AE2990" t="str">
        <f t="shared" si="707"/>
        <v/>
      </c>
    </row>
    <row r="2991" spans="1:31" x14ac:dyDescent="0.4">
      <c r="A2991" t="str">
        <f>IF(原始经营数据!$D2992="","",原始经营数据!$D2992)</f>
        <v/>
      </c>
      <c r="B2991" t="str">
        <f>IF(原始经营数据!$D2992="","",T(原始经营数据!$E2992))</f>
        <v/>
      </c>
      <c r="C2991" t="str">
        <f>IF(原始经营数据!$D2992="","",原始经营数据!$F2992)</f>
        <v/>
      </c>
      <c r="D2991" t="str">
        <f>IF(原始经营数据!$D2992="","",原始经营数据!$H2992)</f>
        <v/>
      </c>
      <c r="E2991" t="str">
        <f>IF(原始经营数据!$D2992="","",原始经营数据!$I2992)</f>
        <v/>
      </c>
      <c r="F2991" t="str">
        <f>IF(原始经营数据!$D2992="","",T(原始经营数据!$J2992))</f>
        <v/>
      </c>
      <c r="G2991" t="str">
        <f>IF(原始经营数据!$D2992="","",T(原始经营数据!$K2992))</f>
        <v/>
      </c>
      <c r="H2991" t="str">
        <f>IF(原始经营数据!$D2992="","",原始经营数据!$G2992)</f>
        <v/>
      </c>
      <c r="I2991" t="str">
        <f>IF($A2991="","",IF($B2991&lt;&gt;"",$B2991,IF(COUNTIFS(原始经营数据!$D$3:$D$3001,$A2991,原始经营数据!$E$3:$E$3001,"",原始经营数据!$F$3:$F$3001,$C2991,原始经营数据!$H$3:$H$3001,$D2991,原始经营数据!$K$3:$K$3001,$G2991)&gt;1,"基金整体·来源"&amp;原始经营数据!$A2992,"基金整体")))</f>
        <v/>
      </c>
      <c r="J2991" t="str">
        <f t="shared" si="693"/>
        <v/>
      </c>
      <c r="K2991" t="str">
        <f t="shared" si="694"/>
        <v/>
      </c>
      <c r="L2991" t="str">
        <f t="shared" si="695"/>
        <v/>
      </c>
      <c r="M2991">
        <f>IF($A2991="",0,IF(COUNTIF($L$2:$L2991,$L2991)=1,1,0))</f>
        <v>0</v>
      </c>
      <c r="N2991" t="str">
        <f t="shared" si="696"/>
        <v/>
      </c>
      <c r="O2991" t="str">
        <f t="shared" si="697"/>
        <v/>
      </c>
      <c r="P2991">
        <f>IF($A2991="",0,IF(COUNTIF($O$2:$O2991,$O2991)=1,1,0))</f>
        <v>0</v>
      </c>
      <c r="Q2991" t="str">
        <f>IF(AND($P2991=1,$A2991=经营数据!$B$3,$J2991=经营数据!$BA$5),COUNTIFS($P$2:$P$3000,1,$A$2:$A$3000,$A2991,$J$2:$J$3000,$J2991,$N$2:$N$3000,"&lt;"&amp;$N2991)+1,"")</f>
        <v/>
      </c>
      <c r="R2991" t="str">
        <f t="shared" si="698"/>
        <v/>
      </c>
      <c r="S2991">
        <f>IF($A2991="",0,IF(COUNTIF($R$2:$R2991,$R2991)=1,1,0))</f>
        <v>0</v>
      </c>
      <c r="T2991" t="str">
        <f t="shared" si="699"/>
        <v/>
      </c>
      <c r="U2991" t="str">
        <f>IF($A2991="","",IF($A2991=经营数据!$B$3,COUNTIFS($S$2:$S$3000,1,$A$2:$A$3000,$A2991,$T$2:$T$3000,"&lt;"&amp;$T2991)+1,""))</f>
        <v/>
      </c>
      <c r="V2991" t="str">
        <f t="shared" si="700"/>
        <v/>
      </c>
      <c r="W2991" t="str">
        <f t="shared" si="701"/>
        <v/>
      </c>
      <c r="X2991" t="str">
        <f t="shared" si="702"/>
        <v/>
      </c>
      <c r="Y2991" t="str">
        <f t="shared" si="703"/>
        <v/>
      </c>
      <c r="Z2991">
        <f>IF($A2991="",0,IF(AND($M2991=1,$A2991=经营数据!$B$3,$J2991=经营数据!$BA$5,OR($I2991=经营数据!$BA$4,COUNTIF(经营数据!$AA$9:$AA$38,$I2991)&gt;0)),1,0))</f>
        <v>0</v>
      </c>
      <c r="AA2991" t="str">
        <f t="shared" si="704"/>
        <v/>
      </c>
      <c r="AB2991" t="str">
        <f t="shared" si="705"/>
        <v/>
      </c>
      <c r="AC2991">
        <f>IF($A2991="",0,IF(COUNTIF($A$2:$A2991,$A2991)=1,1,0))</f>
        <v>0</v>
      </c>
      <c r="AD2991">
        <f t="shared" si="706"/>
        <v>29</v>
      </c>
      <c r="AE2991" t="str">
        <f t="shared" si="707"/>
        <v/>
      </c>
    </row>
    <row r="2992" spans="1:31" x14ac:dyDescent="0.4">
      <c r="A2992" t="str">
        <f>IF(原始经营数据!$D2993="","",原始经营数据!$D2993)</f>
        <v/>
      </c>
      <c r="B2992" t="str">
        <f>IF(原始经营数据!$D2993="","",T(原始经营数据!$E2993))</f>
        <v/>
      </c>
      <c r="C2992" t="str">
        <f>IF(原始经营数据!$D2993="","",原始经营数据!$F2993)</f>
        <v/>
      </c>
      <c r="D2992" t="str">
        <f>IF(原始经营数据!$D2993="","",原始经营数据!$H2993)</f>
        <v/>
      </c>
      <c r="E2992" t="str">
        <f>IF(原始经营数据!$D2993="","",原始经营数据!$I2993)</f>
        <v/>
      </c>
      <c r="F2992" t="str">
        <f>IF(原始经营数据!$D2993="","",T(原始经营数据!$J2993))</f>
        <v/>
      </c>
      <c r="G2992" t="str">
        <f>IF(原始经营数据!$D2993="","",T(原始经营数据!$K2993))</f>
        <v/>
      </c>
      <c r="H2992" t="str">
        <f>IF(原始经营数据!$D2993="","",原始经营数据!$G2993)</f>
        <v/>
      </c>
      <c r="I2992" t="str">
        <f>IF($A2992="","",IF($B2992&lt;&gt;"",$B2992,IF(COUNTIFS(原始经营数据!$D$3:$D$3001,$A2992,原始经营数据!$E$3:$E$3001,"",原始经营数据!$F$3:$F$3001,$C2992,原始经营数据!$H$3:$H$3001,$D2992,原始经营数据!$K$3:$K$3001,$G2992)&gt;1,"基金整体·来源"&amp;原始经营数据!$A2993,"基金整体")))</f>
        <v/>
      </c>
      <c r="J2992" t="str">
        <f t="shared" si="693"/>
        <v/>
      </c>
      <c r="K2992" t="str">
        <f t="shared" si="694"/>
        <v/>
      </c>
      <c r="L2992" t="str">
        <f t="shared" si="695"/>
        <v/>
      </c>
      <c r="M2992">
        <f>IF($A2992="",0,IF(COUNTIF($L$2:$L2992,$L2992)=1,1,0))</f>
        <v>0</v>
      </c>
      <c r="N2992" t="str">
        <f t="shared" si="696"/>
        <v/>
      </c>
      <c r="O2992" t="str">
        <f t="shared" si="697"/>
        <v/>
      </c>
      <c r="P2992">
        <f>IF($A2992="",0,IF(COUNTIF($O$2:$O2992,$O2992)=1,1,0))</f>
        <v>0</v>
      </c>
      <c r="Q2992" t="str">
        <f>IF(AND($P2992=1,$A2992=经营数据!$B$3,$J2992=经营数据!$BA$5),COUNTIFS($P$2:$P$3000,1,$A$2:$A$3000,$A2992,$J$2:$J$3000,$J2992,$N$2:$N$3000,"&lt;"&amp;$N2992)+1,"")</f>
        <v/>
      </c>
      <c r="R2992" t="str">
        <f t="shared" si="698"/>
        <v/>
      </c>
      <c r="S2992">
        <f>IF($A2992="",0,IF(COUNTIF($R$2:$R2992,$R2992)=1,1,0))</f>
        <v>0</v>
      </c>
      <c r="T2992" t="str">
        <f t="shared" si="699"/>
        <v/>
      </c>
      <c r="U2992" t="str">
        <f>IF($A2992="","",IF($A2992=经营数据!$B$3,COUNTIFS($S$2:$S$3000,1,$A$2:$A$3000,$A2992,$T$2:$T$3000,"&lt;"&amp;$T2992)+1,""))</f>
        <v/>
      </c>
      <c r="V2992" t="str">
        <f t="shared" si="700"/>
        <v/>
      </c>
      <c r="W2992" t="str">
        <f t="shared" si="701"/>
        <v/>
      </c>
      <c r="X2992" t="str">
        <f t="shared" si="702"/>
        <v/>
      </c>
      <c r="Y2992" t="str">
        <f t="shared" si="703"/>
        <v/>
      </c>
      <c r="Z2992">
        <f>IF($A2992="",0,IF(AND($M2992=1,$A2992=经营数据!$B$3,$J2992=经营数据!$BA$5,OR($I2992=经营数据!$BA$4,COUNTIF(经营数据!$AA$9:$AA$38,$I2992)&gt;0)),1,0))</f>
        <v>0</v>
      </c>
      <c r="AA2992" t="str">
        <f t="shared" si="704"/>
        <v/>
      </c>
      <c r="AB2992" t="str">
        <f t="shared" si="705"/>
        <v/>
      </c>
      <c r="AC2992">
        <f>IF($A2992="",0,IF(COUNTIF($A$2:$A2992,$A2992)=1,1,0))</f>
        <v>0</v>
      </c>
      <c r="AD2992">
        <f t="shared" si="706"/>
        <v>29</v>
      </c>
      <c r="AE2992" t="str">
        <f t="shared" si="707"/>
        <v/>
      </c>
    </row>
    <row r="2993" spans="1:31" x14ac:dyDescent="0.4">
      <c r="A2993" t="str">
        <f>IF(原始经营数据!$D2994="","",原始经营数据!$D2994)</f>
        <v/>
      </c>
      <c r="B2993" t="str">
        <f>IF(原始经营数据!$D2994="","",T(原始经营数据!$E2994))</f>
        <v/>
      </c>
      <c r="C2993" t="str">
        <f>IF(原始经营数据!$D2994="","",原始经营数据!$F2994)</f>
        <v/>
      </c>
      <c r="D2993" t="str">
        <f>IF(原始经营数据!$D2994="","",原始经营数据!$H2994)</f>
        <v/>
      </c>
      <c r="E2993" t="str">
        <f>IF(原始经营数据!$D2994="","",原始经营数据!$I2994)</f>
        <v/>
      </c>
      <c r="F2993" t="str">
        <f>IF(原始经营数据!$D2994="","",T(原始经营数据!$J2994))</f>
        <v/>
      </c>
      <c r="G2993" t="str">
        <f>IF(原始经营数据!$D2994="","",T(原始经营数据!$K2994))</f>
        <v/>
      </c>
      <c r="H2993" t="str">
        <f>IF(原始经营数据!$D2994="","",原始经营数据!$G2994)</f>
        <v/>
      </c>
      <c r="I2993" t="str">
        <f>IF($A2993="","",IF($B2993&lt;&gt;"",$B2993,IF(COUNTIFS(原始经营数据!$D$3:$D$3001,$A2993,原始经营数据!$E$3:$E$3001,"",原始经营数据!$F$3:$F$3001,$C2993,原始经营数据!$H$3:$H$3001,$D2993,原始经营数据!$K$3:$K$3001,$G2993)&gt;1,"基金整体·来源"&amp;原始经营数据!$A2994,"基金整体")))</f>
        <v/>
      </c>
      <c r="J2993" t="str">
        <f t="shared" si="693"/>
        <v/>
      </c>
      <c r="K2993" t="str">
        <f t="shared" si="694"/>
        <v/>
      </c>
      <c r="L2993" t="str">
        <f t="shared" si="695"/>
        <v/>
      </c>
      <c r="M2993">
        <f>IF($A2993="",0,IF(COUNTIF($L$2:$L2993,$L2993)=1,1,0))</f>
        <v>0</v>
      </c>
      <c r="N2993" t="str">
        <f t="shared" si="696"/>
        <v/>
      </c>
      <c r="O2993" t="str">
        <f t="shared" si="697"/>
        <v/>
      </c>
      <c r="P2993">
        <f>IF($A2993="",0,IF(COUNTIF($O$2:$O2993,$O2993)=1,1,0))</f>
        <v>0</v>
      </c>
      <c r="Q2993" t="str">
        <f>IF(AND($P2993=1,$A2993=经营数据!$B$3,$J2993=经营数据!$BA$5),COUNTIFS($P$2:$P$3000,1,$A$2:$A$3000,$A2993,$J$2:$J$3000,$J2993,$N$2:$N$3000,"&lt;"&amp;$N2993)+1,"")</f>
        <v/>
      </c>
      <c r="R2993" t="str">
        <f t="shared" si="698"/>
        <v/>
      </c>
      <c r="S2993">
        <f>IF($A2993="",0,IF(COUNTIF($R$2:$R2993,$R2993)=1,1,0))</f>
        <v>0</v>
      </c>
      <c r="T2993" t="str">
        <f t="shared" si="699"/>
        <v/>
      </c>
      <c r="U2993" t="str">
        <f>IF($A2993="","",IF($A2993=经营数据!$B$3,COUNTIFS($S$2:$S$3000,1,$A$2:$A$3000,$A2993,$T$2:$T$3000,"&lt;"&amp;$T2993)+1,""))</f>
        <v/>
      </c>
      <c r="V2993" t="str">
        <f t="shared" si="700"/>
        <v/>
      </c>
      <c r="W2993" t="str">
        <f t="shared" si="701"/>
        <v/>
      </c>
      <c r="X2993" t="str">
        <f t="shared" si="702"/>
        <v/>
      </c>
      <c r="Y2993" t="str">
        <f t="shared" si="703"/>
        <v/>
      </c>
      <c r="Z2993">
        <f>IF($A2993="",0,IF(AND($M2993=1,$A2993=经营数据!$B$3,$J2993=经营数据!$BA$5,OR($I2993=经营数据!$BA$4,COUNTIF(经营数据!$AA$9:$AA$38,$I2993)&gt;0)),1,0))</f>
        <v>0</v>
      </c>
      <c r="AA2993" t="str">
        <f t="shared" si="704"/>
        <v/>
      </c>
      <c r="AB2993" t="str">
        <f t="shared" si="705"/>
        <v/>
      </c>
      <c r="AC2993">
        <f>IF($A2993="",0,IF(COUNTIF($A$2:$A2993,$A2993)=1,1,0))</f>
        <v>0</v>
      </c>
      <c r="AD2993">
        <f t="shared" si="706"/>
        <v>29</v>
      </c>
      <c r="AE2993" t="str">
        <f t="shared" si="707"/>
        <v/>
      </c>
    </row>
    <row r="2994" spans="1:31" x14ac:dyDescent="0.4">
      <c r="A2994" t="str">
        <f>IF(原始经营数据!$D2995="","",原始经营数据!$D2995)</f>
        <v/>
      </c>
      <c r="B2994" t="str">
        <f>IF(原始经营数据!$D2995="","",T(原始经营数据!$E2995))</f>
        <v/>
      </c>
      <c r="C2994" t="str">
        <f>IF(原始经营数据!$D2995="","",原始经营数据!$F2995)</f>
        <v/>
      </c>
      <c r="D2994" t="str">
        <f>IF(原始经营数据!$D2995="","",原始经营数据!$H2995)</f>
        <v/>
      </c>
      <c r="E2994" t="str">
        <f>IF(原始经营数据!$D2995="","",原始经营数据!$I2995)</f>
        <v/>
      </c>
      <c r="F2994" t="str">
        <f>IF(原始经营数据!$D2995="","",T(原始经营数据!$J2995))</f>
        <v/>
      </c>
      <c r="G2994" t="str">
        <f>IF(原始经营数据!$D2995="","",T(原始经营数据!$K2995))</f>
        <v/>
      </c>
      <c r="H2994" t="str">
        <f>IF(原始经营数据!$D2995="","",原始经营数据!$G2995)</f>
        <v/>
      </c>
      <c r="I2994" t="str">
        <f>IF($A2994="","",IF($B2994&lt;&gt;"",$B2994,IF(COUNTIFS(原始经营数据!$D$3:$D$3001,$A2994,原始经营数据!$E$3:$E$3001,"",原始经营数据!$F$3:$F$3001,$C2994,原始经营数据!$H$3:$H$3001,$D2994,原始经营数据!$K$3:$K$3001,$G2994)&gt;1,"基金整体·来源"&amp;原始经营数据!$A2995,"基金整体")))</f>
        <v/>
      </c>
      <c r="J2994" t="str">
        <f t="shared" si="693"/>
        <v/>
      </c>
      <c r="K2994" t="str">
        <f t="shared" si="694"/>
        <v/>
      </c>
      <c r="L2994" t="str">
        <f t="shared" si="695"/>
        <v/>
      </c>
      <c r="M2994">
        <f>IF($A2994="",0,IF(COUNTIF($L$2:$L2994,$L2994)=1,1,0))</f>
        <v>0</v>
      </c>
      <c r="N2994" t="str">
        <f t="shared" si="696"/>
        <v/>
      </c>
      <c r="O2994" t="str">
        <f t="shared" si="697"/>
        <v/>
      </c>
      <c r="P2994">
        <f>IF($A2994="",0,IF(COUNTIF($O$2:$O2994,$O2994)=1,1,0))</f>
        <v>0</v>
      </c>
      <c r="Q2994" t="str">
        <f>IF(AND($P2994=1,$A2994=经营数据!$B$3,$J2994=经营数据!$BA$5),COUNTIFS($P$2:$P$3000,1,$A$2:$A$3000,$A2994,$J$2:$J$3000,$J2994,$N$2:$N$3000,"&lt;"&amp;$N2994)+1,"")</f>
        <v/>
      </c>
      <c r="R2994" t="str">
        <f t="shared" si="698"/>
        <v/>
      </c>
      <c r="S2994">
        <f>IF($A2994="",0,IF(COUNTIF($R$2:$R2994,$R2994)=1,1,0))</f>
        <v>0</v>
      </c>
      <c r="T2994" t="str">
        <f t="shared" si="699"/>
        <v/>
      </c>
      <c r="U2994" t="str">
        <f>IF($A2994="","",IF($A2994=经营数据!$B$3,COUNTIFS($S$2:$S$3000,1,$A$2:$A$3000,$A2994,$T$2:$T$3000,"&lt;"&amp;$T2994)+1,""))</f>
        <v/>
      </c>
      <c r="V2994" t="str">
        <f t="shared" si="700"/>
        <v/>
      </c>
      <c r="W2994" t="str">
        <f t="shared" si="701"/>
        <v/>
      </c>
      <c r="X2994" t="str">
        <f t="shared" si="702"/>
        <v/>
      </c>
      <c r="Y2994" t="str">
        <f t="shared" si="703"/>
        <v/>
      </c>
      <c r="Z2994">
        <f>IF($A2994="",0,IF(AND($M2994=1,$A2994=经营数据!$B$3,$J2994=经营数据!$BA$5,OR($I2994=经营数据!$BA$4,COUNTIF(经营数据!$AA$9:$AA$38,$I2994)&gt;0)),1,0))</f>
        <v>0</v>
      </c>
      <c r="AA2994" t="str">
        <f t="shared" si="704"/>
        <v/>
      </c>
      <c r="AB2994" t="str">
        <f t="shared" si="705"/>
        <v/>
      </c>
      <c r="AC2994">
        <f>IF($A2994="",0,IF(COUNTIF($A$2:$A2994,$A2994)=1,1,0))</f>
        <v>0</v>
      </c>
      <c r="AD2994">
        <f t="shared" si="706"/>
        <v>29</v>
      </c>
      <c r="AE2994" t="str">
        <f t="shared" si="707"/>
        <v/>
      </c>
    </row>
    <row r="2995" spans="1:31" x14ac:dyDescent="0.4">
      <c r="A2995" t="str">
        <f>IF(原始经营数据!$D2996="","",原始经营数据!$D2996)</f>
        <v/>
      </c>
      <c r="B2995" t="str">
        <f>IF(原始经营数据!$D2996="","",T(原始经营数据!$E2996))</f>
        <v/>
      </c>
      <c r="C2995" t="str">
        <f>IF(原始经营数据!$D2996="","",原始经营数据!$F2996)</f>
        <v/>
      </c>
      <c r="D2995" t="str">
        <f>IF(原始经营数据!$D2996="","",原始经营数据!$H2996)</f>
        <v/>
      </c>
      <c r="E2995" t="str">
        <f>IF(原始经营数据!$D2996="","",原始经营数据!$I2996)</f>
        <v/>
      </c>
      <c r="F2995" t="str">
        <f>IF(原始经营数据!$D2996="","",T(原始经营数据!$J2996))</f>
        <v/>
      </c>
      <c r="G2995" t="str">
        <f>IF(原始经营数据!$D2996="","",T(原始经营数据!$K2996))</f>
        <v/>
      </c>
      <c r="H2995" t="str">
        <f>IF(原始经营数据!$D2996="","",原始经营数据!$G2996)</f>
        <v/>
      </c>
      <c r="I2995" t="str">
        <f>IF($A2995="","",IF($B2995&lt;&gt;"",$B2995,IF(COUNTIFS(原始经营数据!$D$3:$D$3001,$A2995,原始经营数据!$E$3:$E$3001,"",原始经营数据!$F$3:$F$3001,$C2995,原始经营数据!$H$3:$H$3001,$D2995,原始经营数据!$K$3:$K$3001,$G2995)&gt;1,"基金整体·来源"&amp;原始经营数据!$A2996,"基金整体")))</f>
        <v/>
      </c>
      <c r="J2995" t="str">
        <f t="shared" si="693"/>
        <v/>
      </c>
      <c r="K2995" t="str">
        <f t="shared" si="694"/>
        <v/>
      </c>
      <c r="L2995" t="str">
        <f t="shared" si="695"/>
        <v/>
      </c>
      <c r="M2995">
        <f>IF($A2995="",0,IF(COUNTIF($L$2:$L2995,$L2995)=1,1,0))</f>
        <v>0</v>
      </c>
      <c r="N2995" t="str">
        <f t="shared" si="696"/>
        <v/>
      </c>
      <c r="O2995" t="str">
        <f t="shared" si="697"/>
        <v/>
      </c>
      <c r="P2995">
        <f>IF($A2995="",0,IF(COUNTIF($O$2:$O2995,$O2995)=1,1,0))</f>
        <v>0</v>
      </c>
      <c r="Q2995" t="str">
        <f>IF(AND($P2995=1,$A2995=经营数据!$B$3,$J2995=经营数据!$BA$5),COUNTIFS($P$2:$P$3000,1,$A$2:$A$3000,$A2995,$J$2:$J$3000,$J2995,$N$2:$N$3000,"&lt;"&amp;$N2995)+1,"")</f>
        <v/>
      </c>
      <c r="R2995" t="str">
        <f t="shared" si="698"/>
        <v/>
      </c>
      <c r="S2995">
        <f>IF($A2995="",0,IF(COUNTIF($R$2:$R2995,$R2995)=1,1,0))</f>
        <v>0</v>
      </c>
      <c r="T2995" t="str">
        <f t="shared" si="699"/>
        <v/>
      </c>
      <c r="U2995" t="str">
        <f>IF($A2995="","",IF($A2995=经营数据!$B$3,COUNTIFS($S$2:$S$3000,1,$A$2:$A$3000,$A2995,$T$2:$T$3000,"&lt;"&amp;$T2995)+1,""))</f>
        <v/>
      </c>
      <c r="V2995" t="str">
        <f t="shared" si="700"/>
        <v/>
      </c>
      <c r="W2995" t="str">
        <f t="shared" si="701"/>
        <v/>
      </c>
      <c r="X2995" t="str">
        <f t="shared" si="702"/>
        <v/>
      </c>
      <c r="Y2995" t="str">
        <f t="shared" si="703"/>
        <v/>
      </c>
      <c r="Z2995">
        <f>IF($A2995="",0,IF(AND($M2995=1,$A2995=经营数据!$B$3,$J2995=经营数据!$BA$5,OR($I2995=经营数据!$BA$4,COUNTIF(经营数据!$AA$9:$AA$38,$I2995)&gt;0)),1,0))</f>
        <v>0</v>
      </c>
      <c r="AA2995" t="str">
        <f t="shared" si="704"/>
        <v/>
      </c>
      <c r="AB2995" t="str">
        <f t="shared" si="705"/>
        <v/>
      </c>
      <c r="AC2995">
        <f>IF($A2995="",0,IF(COUNTIF($A$2:$A2995,$A2995)=1,1,0))</f>
        <v>0</v>
      </c>
      <c r="AD2995">
        <f t="shared" si="706"/>
        <v>29</v>
      </c>
      <c r="AE2995" t="str">
        <f t="shared" si="707"/>
        <v/>
      </c>
    </row>
    <row r="2996" spans="1:31" x14ac:dyDescent="0.4">
      <c r="A2996" t="str">
        <f>IF(原始经营数据!$D2997="","",原始经营数据!$D2997)</f>
        <v/>
      </c>
      <c r="B2996" t="str">
        <f>IF(原始经营数据!$D2997="","",T(原始经营数据!$E2997))</f>
        <v/>
      </c>
      <c r="C2996" t="str">
        <f>IF(原始经营数据!$D2997="","",原始经营数据!$F2997)</f>
        <v/>
      </c>
      <c r="D2996" t="str">
        <f>IF(原始经营数据!$D2997="","",原始经营数据!$H2997)</f>
        <v/>
      </c>
      <c r="E2996" t="str">
        <f>IF(原始经营数据!$D2997="","",原始经营数据!$I2997)</f>
        <v/>
      </c>
      <c r="F2996" t="str">
        <f>IF(原始经营数据!$D2997="","",T(原始经营数据!$J2997))</f>
        <v/>
      </c>
      <c r="G2996" t="str">
        <f>IF(原始经营数据!$D2997="","",T(原始经营数据!$K2997))</f>
        <v/>
      </c>
      <c r="H2996" t="str">
        <f>IF(原始经营数据!$D2997="","",原始经营数据!$G2997)</f>
        <v/>
      </c>
      <c r="I2996" t="str">
        <f>IF($A2996="","",IF($B2996&lt;&gt;"",$B2996,IF(COUNTIFS(原始经营数据!$D$3:$D$3001,$A2996,原始经营数据!$E$3:$E$3001,"",原始经营数据!$F$3:$F$3001,$C2996,原始经营数据!$H$3:$H$3001,$D2996,原始经营数据!$K$3:$K$3001,$G2996)&gt;1,"基金整体·来源"&amp;原始经营数据!$A2997,"基金整体")))</f>
        <v/>
      </c>
      <c r="J2996" t="str">
        <f t="shared" si="693"/>
        <v/>
      </c>
      <c r="K2996" t="str">
        <f t="shared" si="694"/>
        <v/>
      </c>
      <c r="L2996" t="str">
        <f t="shared" si="695"/>
        <v/>
      </c>
      <c r="M2996">
        <f>IF($A2996="",0,IF(COUNTIF($L$2:$L2996,$L2996)=1,1,0))</f>
        <v>0</v>
      </c>
      <c r="N2996" t="str">
        <f t="shared" si="696"/>
        <v/>
      </c>
      <c r="O2996" t="str">
        <f t="shared" si="697"/>
        <v/>
      </c>
      <c r="P2996">
        <f>IF($A2996="",0,IF(COUNTIF($O$2:$O2996,$O2996)=1,1,0))</f>
        <v>0</v>
      </c>
      <c r="Q2996" t="str">
        <f>IF(AND($P2996=1,$A2996=经营数据!$B$3,$J2996=经营数据!$BA$5),COUNTIFS($P$2:$P$3000,1,$A$2:$A$3000,$A2996,$J$2:$J$3000,$J2996,$N$2:$N$3000,"&lt;"&amp;$N2996)+1,"")</f>
        <v/>
      </c>
      <c r="R2996" t="str">
        <f t="shared" si="698"/>
        <v/>
      </c>
      <c r="S2996">
        <f>IF($A2996="",0,IF(COUNTIF($R$2:$R2996,$R2996)=1,1,0))</f>
        <v>0</v>
      </c>
      <c r="T2996" t="str">
        <f t="shared" si="699"/>
        <v/>
      </c>
      <c r="U2996" t="str">
        <f>IF($A2996="","",IF($A2996=经营数据!$B$3,COUNTIFS($S$2:$S$3000,1,$A$2:$A$3000,$A2996,$T$2:$T$3000,"&lt;"&amp;$T2996)+1,""))</f>
        <v/>
      </c>
      <c r="V2996" t="str">
        <f t="shared" si="700"/>
        <v/>
      </c>
      <c r="W2996" t="str">
        <f t="shared" si="701"/>
        <v/>
      </c>
      <c r="X2996" t="str">
        <f t="shared" si="702"/>
        <v/>
      </c>
      <c r="Y2996" t="str">
        <f t="shared" si="703"/>
        <v/>
      </c>
      <c r="Z2996">
        <f>IF($A2996="",0,IF(AND($M2996=1,$A2996=经营数据!$B$3,$J2996=经营数据!$BA$5,OR($I2996=经营数据!$BA$4,COUNTIF(经营数据!$AA$9:$AA$38,$I2996)&gt;0)),1,0))</f>
        <v>0</v>
      </c>
      <c r="AA2996" t="str">
        <f t="shared" si="704"/>
        <v/>
      </c>
      <c r="AB2996" t="str">
        <f t="shared" si="705"/>
        <v/>
      </c>
      <c r="AC2996">
        <f>IF($A2996="",0,IF(COUNTIF($A$2:$A2996,$A2996)=1,1,0))</f>
        <v>0</v>
      </c>
      <c r="AD2996">
        <f t="shared" si="706"/>
        <v>29</v>
      </c>
      <c r="AE2996" t="str">
        <f t="shared" si="707"/>
        <v/>
      </c>
    </row>
    <row r="2997" spans="1:31" x14ac:dyDescent="0.4">
      <c r="A2997" t="str">
        <f>IF(原始经营数据!$D2998="","",原始经营数据!$D2998)</f>
        <v/>
      </c>
      <c r="B2997" t="str">
        <f>IF(原始经营数据!$D2998="","",T(原始经营数据!$E2998))</f>
        <v/>
      </c>
      <c r="C2997" t="str">
        <f>IF(原始经营数据!$D2998="","",原始经营数据!$F2998)</f>
        <v/>
      </c>
      <c r="D2997" t="str">
        <f>IF(原始经营数据!$D2998="","",原始经营数据!$H2998)</f>
        <v/>
      </c>
      <c r="E2997" t="str">
        <f>IF(原始经营数据!$D2998="","",原始经营数据!$I2998)</f>
        <v/>
      </c>
      <c r="F2997" t="str">
        <f>IF(原始经营数据!$D2998="","",T(原始经营数据!$J2998))</f>
        <v/>
      </c>
      <c r="G2997" t="str">
        <f>IF(原始经营数据!$D2998="","",T(原始经营数据!$K2998))</f>
        <v/>
      </c>
      <c r="H2997" t="str">
        <f>IF(原始经营数据!$D2998="","",原始经营数据!$G2998)</f>
        <v/>
      </c>
      <c r="I2997" t="str">
        <f>IF($A2997="","",IF($B2997&lt;&gt;"",$B2997,IF(COUNTIFS(原始经营数据!$D$3:$D$3001,$A2997,原始经营数据!$E$3:$E$3001,"",原始经营数据!$F$3:$F$3001,$C2997,原始经营数据!$H$3:$H$3001,$D2997,原始经营数据!$K$3:$K$3001,$G2997)&gt;1,"基金整体·来源"&amp;原始经营数据!$A2998,"基金整体")))</f>
        <v/>
      </c>
      <c r="J2997" t="str">
        <f t="shared" si="693"/>
        <v/>
      </c>
      <c r="K2997" t="str">
        <f t="shared" si="694"/>
        <v/>
      </c>
      <c r="L2997" t="str">
        <f t="shared" si="695"/>
        <v/>
      </c>
      <c r="M2997">
        <f>IF($A2997="",0,IF(COUNTIF($L$2:$L2997,$L2997)=1,1,0))</f>
        <v>0</v>
      </c>
      <c r="N2997" t="str">
        <f t="shared" si="696"/>
        <v/>
      </c>
      <c r="O2997" t="str">
        <f t="shared" si="697"/>
        <v/>
      </c>
      <c r="P2997">
        <f>IF($A2997="",0,IF(COUNTIF($O$2:$O2997,$O2997)=1,1,0))</f>
        <v>0</v>
      </c>
      <c r="Q2997" t="str">
        <f>IF(AND($P2997=1,$A2997=经营数据!$B$3,$J2997=经营数据!$BA$5),COUNTIFS($P$2:$P$3000,1,$A$2:$A$3000,$A2997,$J$2:$J$3000,$J2997,$N$2:$N$3000,"&lt;"&amp;$N2997)+1,"")</f>
        <v/>
      </c>
      <c r="R2997" t="str">
        <f t="shared" si="698"/>
        <v/>
      </c>
      <c r="S2997">
        <f>IF($A2997="",0,IF(COUNTIF($R$2:$R2997,$R2997)=1,1,0))</f>
        <v>0</v>
      </c>
      <c r="T2997" t="str">
        <f t="shared" si="699"/>
        <v/>
      </c>
      <c r="U2997" t="str">
        <f>IF($A2997="","",IF($A2997=经营数据!$B$3,COUNTIFS($S$2:$S$3000,1,$A$2:$A$3000,$A2997,$T$2:$T$3000,"&lt;"&amp;$T2997)+1,""))</f>
        <v/>
      </c>
      <c r="V2997" t="str">
        <f t="shared" si="700"/>
        <v/>
      </c>
      <c r="W2997" t="str">
        <f t="shared" si="701"/>
        <v/>
      </c>
      <c r="X2997" t="str">
        <f t="shared" si="702"/>
        <v/>
      </c>
      <c r="Y2997" t="str">
        <f t="shared" si="703"/>
        <v/>
      </c>
      <c r="Z2997">
        <f>IF($A2997="",0,IF(AND($M2997=1,$A2997=经营数据!$B$3,$J2997=经营数据!$BA$5,OR($I2997=经营数据!$BA$4,COUNTIF(经营数据!$AA$9:$AA$38,$I2997)&gt;0)),1,0))</f>
        <v>0</v>
      </c>
      <c r="AA2997" t="str">
        <f t="shared" si="704"/>
        <v/>
      </c>
      <c r="AB2997" t="str">
        <f t="shared" si="705"/>
        <v/>
      </c>
      <c r="AC2997">
        <f>IF($A2997="",0,IF(COUNTIF($A$2:$A2997,$A2997)=1,1,0))</f>
        <v>0</v>
      </c>
      <c r="AD2997">
        <f t="shared" si="706"/>
        <v>29</v>
      </c>
      <c r="AE2997" t="str">
        <f t="shared" si="707"/>
        <v/>
      </c>
    </row>
    <row r="2998" spans="1:31" x14ac:dyDescent="0.4">
      <c r="A2998" t="str">
        <f>IF(原始经营数据!$D2999="","",原始经营数据!$D2999)</f>
        <v/>
      </c>
      <c r="B2998" t="str">
        <f>IF(原始经营数据!$D2999="","",T(原始经营数据!$E2999))</f>
        <v/>
      </c>
      <c r="C2998" t="str">
        <f>IF(原始经营数据!$D2999="","",原始经营数据!$F2999)</f>
        <v/>
      </c>
      <c r="D2998" t="str">
        <f>IF(原始经营数据!$D2999="","",原始经营数据!$H2999)</f>
        <v/>
      </c>
      <c r="E2998" t="str">
        <f>IF(原始经营数据!$D2999="","",原始经营数据!$I2999)</f>
        <v/>
      </c>
      <c r="F2998" t="str">
        <f>IF(原始经营数据!$D2999="","",T(原始经营数据!$J2999))</f>
        <v/>
      </c>
      <c r="G2998" t="str">
        <f>IF(原始经营数据!$D2999="","",T(原始经营数据!$K2999))</f>
        <v/>
      </c>
      <c r="H2998" t="str">
        <f>IF(原始经营数据!$D2999="","",原始经营数据!$G2999)</f>
        <v/>
      </c>
      <c r="I2998" t="str">
        <f>IF($A2998="","",IF($B2998&lt;&gt;"",$B2998,IF(COUNTIFS(原始经营数据!$D$3:$D$3001,$A2998,原始经营数据!$E$3:$E$3001,"",原始经营数据!$F$3:$F$3001,$C2998,原始经营数据!$H$3:$H$3001,$D2998,原始经营数据!$K$3:$K$3001,$G2998)&gt;1,"基金整体·来源"&amp;原始经营数据!$A2999,"基金整体")))</f>
        <v/>
      </c>
      <c r="J2998" t="str">
        <f t="shared" si="693"/>
        <v/>
      </c>
      <c r="K2998" t="str">
        <f t="shared" si="694"/>
        <v/>
      </c>
      <c r="L2998" t="str">
        <f t="shared" si="695"/>
        <v/>
      </c>
      <c r="M2998">
        <f>IF($A2998="",0,IF(COUNTIF($L$2:$L2998,$L2998)=1,1,0))</f>
        <v>0</v>
      </c>
      <c r="N2998" t="str">
        <f t="shared" si="696"/>
        <v/>
      </c>
      <c r="O2998" t="str">
        <f t="shared" si="697"/>
        <v/>
      </c>
      <c r="P2998">
        <f>IF($A2998="",0,IF(COUNTIF($O$2:$O2998,$O2998)=1,1,0))</f>
        <v>0</v>
      </c>
      <c r="Q2998" t="str">
        <f>IF(AND($P2998=1,$A2998=经营数据!$B$3,$J2998=经营数据!$BA$5),COUNTIFS($P$2:$P$3000,1,$A$2:$A$3000,$A2998,$J$2:$J$3000,$J2998,$N$2:$N$3000,"&lt;"&amp;$N2998)+1,"")</f>
        <v/>
      </c>
      <c r="R2998" t="str">
        <f t="shared" si="698"/>
        <v/>
      </c>
      <c r="S2998">
        <f>IF($A2998="",0,IF(COUNTIF($R$2:$R2998,$R2998)=1,1,0))</f>
        <v>0</v>
      </c>
      <c r="T2998" t="str">
        <f t="shared" si="699"/>
        <v/>
      </c>
      <c r="U2998" t="str">
        <f>IF($A2998="","",IF($A2998=经营数据!$B$3,COUNTIFS($S$2:$S$3000,1,$A$2:$A$3000,$A2998,$T$2:$T$3000,"&lt;"&amp;$T2998)+1,""))</f>
        <v/>
      </c>
      <c r="V2998" t="str">
        <f t="shared" si="700"/>
        <v/>
      </c>
      <c r="W2998" t="str">
        <f t="shared" si="701"/>
        <v/>
      </c>
      <c r="X2998" t="str">
        <f t="shared" si="702"/>
        <v/>
      </c>
      <c r="Y2998" t="str">
        <f t="shared" si="703"/>
        <v/>
      </c>
      <c r="Z2998">
        <f>IF($A2998="",0,IF(AND($M2998=1,$A2998=经营数据!$B$3,$J2998=经营数据!$BA$5,OR($I2998=经营数据!$BA$4,COUNTIF(经营数据!$AA$9:$AA$38,$I2998)&gt;0)),1,0))</f>
        <v>0</v>
      </c>
      <c r="AA2998" t="str">
        <f t="shared" si="704"/>
        <v/>
      </c>
      <c r="AB2998" t="str">
        <f t="shared" si="705"/>
        <v/>
      </c>
      <c r="AC2998">
        <f>IF($A2998="",0,IF(COUNTIF($A$2:$A2998,$A2998)=1,1,0))</f>
        <v>0</v>
      </c>
      <c r="AD2998">
        <f t="shared" si="706"/>
        <v>29</v>
      </c>
      <c r="AE2998" t="str">
        <f t="shared" si="707"/>
        <v/>
      </c>
    </row>
    <row r="2999" spans="1:31" x14ac:dyDescent="0.4">
      <c r="A2999" t="str">
        <f>IF(原始经营数据!$D3000="","",原始经营数据!$D3000)</f>
        <v/>
      </c>
      <c r="B2999" t="str">
        <f>IF(原始经营数据!$D3000="","",T(原始经营数据!$E3000))</f>
        <v/>
      </c>
      <c r="C2999" t="str">
        <f>IF(原始经营数据!$D3000="","",原始经营数据!$F3000)</f>
        <v/>
      </c>
      <c r="D2999" t="str">
        <f>IF(原始经营数据!$D3000="","",原始经营数据!$H3000)</f>
        <v/>
      </c>
      <c r="E2999" t="str">
        <f>IF(原始经营数据!$D3000="","",原始经营数据!$I3000)</f>
        <v/>
      </c>
      <c r="F2999" t="str">
        <f>IF(原始经营数据!$D3000="","",T(原始经营数据!$J3000))</f>
        <v/>
      </c>
      <c r="G2999" t="str">
        <f>IF(原始经营数据!$D3000="","",T(原始经营数据!$K3000))</f>
        <v/>
      </c>
      <c r="H2999" t="str">
        <f>IF(原始经营数据!$D3000="","",原始经营数据!$G3000)</f>
        <v/>
      </c>
      <c r="I2999" t="str">
        <f>IF($A2999="","",IF($B2999&lt;&gt;"",$B2999,IF(COUNTIFS(原始经营数据!$D$3:$D$3001,$A2999,原始经营数据!$E$3:$E$3001,"",原始经营数据!$F$3:$F$3001,$C2999,原始经营数据!$H$3:$H$3001,$D2999,原始经营数据!$K$3:$K$3001,$G2999)&gt;1,"基金整体·来源"&amp;原始经营数据!$A3000,"基金整体")))</f>
        <v/>
      </c>
      <c r="J2999" t="str">
        <f t="shared" si="693"/>
        <v/>
      </c>
      <c r="K2999" t="str">
        <f t="shared" si="694"/>
        <v/>
      </c>
      <c r="L2999" t="str">
        <f t="shared" si="695"/>
        <v/>
      </c>
      <c r="M2999">
        <f>IF($A2999="",0,IF(COUNTIF($L$2:$L2999,$L2999)=1,1,0))</f>
        <v>0</v>
      </c>
      <c r="N2999" t="str">
        <f t="shared" si="696"/>
        <v/>
      </c>
      <c r="O2999" t="str">
        <f t="shared" si="697"/>
        <v/>
      </c>
      <c r="P2999">
        <f>IF($A2999="",0,IF(COUNTIF($O$2:$O2999,$O2999)=1,1,0))</f>
        <v>0</v>
      </c>
      <c r="Q2999" t="str">
        <f>IF(AND($P2999=1,$A2999=经营数据!$B$3,$J2999=经营数据!$BA$5),COUNTIFS($P$2:$P$3000,1,$A$2:$A$3000,$A2999,$J$2:$J$3000,$J2999,$N$2:$N$3000,"&lt;"&amp;$N2999)+1,"")</f>
        <v/>
      </c>
      <c r="R2999" t="str">
        <f t="shared" si="698"/>
        <v/>
      </c>
      <c r="S2999">
        <f>IF($A2999="",0,IF(COUNTIF($R$2:$R2999,$R2999)=1,1,0))</f>
        <v>0</v>
      </c>
      <c r="T2999" t="str">
        <f t="shared" si="699"/>
        <v/>
      </c>
      <c r="U2999" t="str">
        <f>IF($A2999="","",IF($A2999=经营数据!$B$3,COUNTIFS($S$2:$S$3000,1,$A$2:$A$3000,$A2999,$T$2:$T$3000,"&lt;"&amp;$T2999)+1,""))</f>
        <v/>
      </c>
      <c r="V2999" t="str">
        <f t="shared" si="700"/>
        <v/>
      </c>
      <c r="W2999" t="str">
        <f t="shared" si="701"/>
        <v/>
      </c>
      <c r="X2999" t="str">
        <f t="shared" si="702"/>
        <v/>
      </c>
      <c r="Y2999" t="str">
        <f t="shared" si="703"/>
        <v/>
      </c>
      <c r="Z2999">
        <f>IF($A2999="",0,IF(AND($M2999=1,$A2999=经营数据!$B$3,$J2999=经营数据!$BA$5,OR($I2999=经营数据!$BA$4,COUNTIF(经营数据!$AA$9:$AA$38,$I2999)&gt;0)),1,0))</f>
        <v>0</v>
      </c>
      <c r="AA2999" t="str">
        <f t="shared" si="704"/>
        <v/>
      </c>
      <c r="AB2999" t="str">
        <f t="shared" si="705"/>
        <v/>
      </c>
      <c r="AC2999">
        <f>IF($A2999="",0,IF(COUNTIF($A$2:$A2999,$A2999)=1,1,0))</f>
        <v>0</v>
      </c>
      <c r="AD2999">
        <f t="shared" si="706"/>
        <v>29</v>
      </c>
      <c r="AE2999" t="str">
        <f t="shared" si="707"/>
        <v/>
      </c>
    </row>
    <row r="3000" spans="1:31" x14ac:dyDescent="0.4">
      <c r="A3000" t="str">
        <f>IF(原始经营数据!$D3001="","",原始经营数据!$D3001)</f>
        <v/>
      </c>
      <c r="B3000" t="str">
        <f>IF(原始经营数据!$D3001="","",T(原始经营数据!$E3001))</f>
        <v/>
      </c>
      <c r="C3000" t="str">
        <f>IF(原始经营数据!$D3001="","",原始经营数据!$F3001)</f>
        <v/>
      </c>
      <c r="D3000" t="str">
        <f>IF(原始经营数据!$D3001="","",原始经营数据!$H3001)</f>
        <v/>
      </c>
      <c r="E3000" t="str">
        <f>IF(原始经营数据!$D3001="","",原始经营数据!$I3001)</f>
        <v/>
      </c>
      <c r="F3000" t="str">
        <f>IF(原始经营数据!$D3001="","",T(原始经营数据!$J3001))</f>
        <v/>
      </c>
      <c r="G3000" t="str">
        <f>IF(原始经营数据!$D3001="","",T(原始经营数据!$K3001))</f>
        <v/>
      </c>
      <c r="H3000" t="str">
        <f>IF(原始经营数据!$D3001="","",原始经营数据!$G3001)</f>
        <v/>
      </c>
      <c r="I3000" t="str">
        <f>IF($A3000="","",IF($B3000&lt;&gt;"",$B3000,IF(COUNTIFS(原始经营数据!$D$3:$D$3001,$A3000,原始经营数据!$E$3:$E$3001,"",原始经营数据!$F$3:$F$3001,$C3000,原始经营数据!$H$3:$H$3001,$D3000,原始经营数据!$K$3:$K$3001,$G3000)&gt;1,"基金整体·来源"&amp;原始经营数据!$A3001,"基金整体")))</f>
        <v/>
      </c>
      <c r="J3000" t="str">
        <f t="shared" si="693"/>
        <v/>
      </c>
      <c r="K3000" t="str">
        <f t="shared" si="694"/>
        <v/>
      </c>
      <c r="L3000" t="str">
        <f t="shared" si="695"/>
        <v/>
      </c>
      <c r="M3000">
        <f>IF($A3000="",0,IF(COUNTIF($L$2:$L3000,$L3000)=1,1,0))</f>
        <v>0</v>
      </c>
      <c r="N3000" t="str">
        <f t="shared" si="696"/>
        <v/>
      </c>
      <c r="O3000" t="str">
        <f t="shared" si="697"/>
        <v/>
      </c>
      <c r="P3000">
        <f>IF($A3000="",0,IF(COUNTIF($O$2:$O3000,$O3000)=1,1,0))</f>
        <v>0</v>
      </c>
      <c r="Q3000" t="str">
        <f>IF(AND($P3000=1,$A3000=经营数据!$B$3,$J3000=经营数据!$BA$5),COUNTIFS($P$2:$P$3000,1,$A$2:$A$3000,$A3000,$J$2:$J$3000,$J3000,$N$2:$N$3000,"&lt;"&amp;$N3000)+1,"")</f>
        <v/>
      </c>
      <c r="R3000" t="str">
        <f t="shared" si="698"/>
        <v/>
      </c>
      <c r="S3000">
        <f>IF($A3000="",0,IF(COUNTIF($R$2:$R3000,$R3000)=1,1,0))</f>
        <v>0</v>
      </c>
      <c r="T3000" t="str">
        <f t="shared" si="699"/>
        <v/>
      </c>
      <c r="U3000" t="str">
        <f>IF($A3000="","",IF($A3000=经营数据!$B$3,COUNTIFS($S$2:$S$3000,1,$A$2:$A$3000,$A3000,$T$2:$T$3000,"&lt;"&amp;$T3000)+1,""))</f>
        <v/>
      </c>
      <c r="V3000" t="str">
        <f t="shared" si="700"/>
        <v/>
      </c>
      <c r="W3000" t="str">
        <f t="shared" si="701"/>
        <v/>
      </c>
      <c r="X3000" t="str">
        <f t="shared" si="702"/>
        <v/>
      </c>
      <c r="Y3000" t="str">
        <f t="shared" si="703"/>
        <v/>
      </c>
      <c r="Z3000">
        <f>IF($A3000="",0,IF(AND($M3000=1,$A3000=经营数据!$B$3,$J3000=经营数据!$BA$5,OR($I3000=经营数据!$BA$4,COUNTIF(经营数据!$AA$9:$AA$38,$I3000)&gt;0)),1,0))</f>
        <v>0</v>
      </c>
      <c r="AA3000" t="str">
        <f t="shared" si="704"/>
        <v/>
      </c>
      <c r="AB3000" t="str">
        <f t="shared" si="705"/>
        <v/>
      </c>
      <c r="AC3000">
        <f>IF($A3000="",0,IF(COUNTIF($A$2:$A3000,$A3000)=1,1,0))</f>
        <v>0</v>
      </c>
      <c r="AD3000">
        <f t="shared" si="706"/>
        <v>29</v>
      </c>
      <c r="AE3000" t="str">
        <f t="shared" si="707"/>
        <v/>
      </c>
    </row>
    <row r="3100" spans="84:88" x14ac:dyDescent="0.4">
      <c r="CF3100">
        <v>1</v>
      </c>
      <c r="CG3100" t="s">
        <v>788</v>
      </c>
      <c r="CH3100">
        <v>18</v>
      </c>
      <c r="CI3100" t="s">
        <v>788</v>
      </c>
      <c r="CJ3100">
        <v>15.703267309999999</v>
      </c>
    </row>
    <row r="3101" spans="84:88" x14ac:dyDescent="0.4">
      <c r="CF3101">
        <v>2</v>
      </c>
      <c r="CG3101" t="s">
        <v>1191</v>
      </c>
      <c r="CH3101">
        <v>12</v>
      </c>
      <c r="CI3101" t="s">
        <v>791</v>
      </c>
      <c r="CJ3101">
        <v>11.868076</v>
      </c>
    </row>
    <row r="3102" spans="84:88" x14ac:dyDescent="0.4">
      <c r="CF3102">
        <v>3</v>
      </c>
      <c r="CG3102" t="s">
        <v>864</v>
      </c>
      <c r="CH3102">
        <v>11</v>
      </c>
      <c r="CI3102" t="s">
        <v>1191</v>
      </c>
      <c r="CJ3102">
        <v>11.22375971</v>
      </c>
    </row>
    <row r="3103" spans="84:88" x14ac:dyDescent="0.4">
      <c r="CF3103">
        <v>4</v>
      </c>
      <c r="CG3103" t="s">
        <v>904</v>
      </c>
      <c r="CH3103">
        <v>10</v>
      </c>
      <c r="CI3103" t="s">
        <v>874</v>
      </c>
      <c r="CJ3103">
        <v>9.6984999999999992</v>
      </c>
    </row>
    <row r="3104" spans="84:88" x14ac:dyDescent="0.4">
      <c r="CF3104">
        <v>5</v>
      </c>
      <c r="CG3104" t="s">
        <v>968</v>
      </c>
      <c r="CH3104">
        <v>10</v>
      </c>
      <c r="CI3104" t="s">
        <v>904</v>
      </c>
      <c r="CJ3104">
        <v>6.8282436799999999</v>
      </c>
    </row>
    <row r="3105" spans="84:88" x14ac:dyDescent="0.4">
      <c r="CF3105">
        <v>6</v>
      </c>
      <c r="CG3105" t="s">
        <v>892</v>
      </c>
      <c r="CH3105">
        <v>8</v>
      </c>
      <c r="CI3105" t="s">
        <v>1808</v>
      </c>
      <c r="CJ3105">
        <v>4.3598507</v>
      </c>
    </row>
    <row r="3106" spans="84:88" x14ac:dyDescent="0.4">
      <c r="CF3106">
        <v>7</v>
      </c>
      <c r="CG3106" t="s">
        <v>804</v>
      </c>
      <c r="CH3106">
        <v>7</v>
      </c>
      <c r="CI3106" t="s">
        <v>837</v>
      </c>
      <c r="CJ3106">
        <v>4.1490594999999999</v>
      </c>
    </row>
    <row r="3107" spans="84:88" x14ac:dyDescent="0.4">
      <c r="CF3107">
        <v>8</v>
      </c>
      <c r="CG3107" t="s">
        <v>1198</v>
      </c>
      <c r="CH3107">
        <v>7</v>
      </c>
      <c r="CI3107" t="s">
        <v>4014</v>
      </c>
      <c r="CJ3107">
        <v>4.0299680000000002</v>
      </c>
    </row>
    <row r="3108" spans="84:88" x14ac:dyDescent="0.4">
      <c r="CF3108">
        <v>9</v>
      </c>
      <c r="CG3108" t="s">
        <v>972</v>
      </c>
      <c r="CH3108">
        <v>7</v>
      </c>
      <c r="CI3108" t="s">
        <v>852</v>
      </c>
      <c r="CJ3108">
        <v>3.84110274372</v>
      </c>
    </row>
    <row r="3109" spans="84:88" x14ac:dyDescent="0.4">
      <c r="CF3109">
        <v>10</v>
      </c>
      <c r="CG3109" t="s">
        <v>1086</v>
      </c>
      <c r="CH3109">
        <v>7</v>
      </c>
      <c r="CI3109" t="s">
        <v>864</v>
      </c>
      <c r="CJ3109">
        <v>3.7569792999999998</v>
      </c>
    </row>
    <row r="3110" spans="84:88" x14ac:dyDescent="0.4">
      <c r="CF3110">
        <v>11</v>
      </c>
      <c r="CG3110" t="s">
        <v>791</v>
      </c>
      <c r="CH3110">
        <v>6</v>
      </c>
      <c r="CI3110" t="s">
        <v>832</v>
      </c>
      <c r="CJ3110">
        <v>3.3708770000000001</v>
      </c>
    </row>
    <row r="3111" spans="84:88" x14ac:dyDescent="0.4">
      <c r="CF3111">
        <v>12</v>
      </c>
      <c r="CG3111" t="s">
        <v>852</v>
      </c>
      <c r="CH3111">
        <v>6</v>
      </c>
      <c r="CI3111" t="s">
        <v>804</v>
      </c>
      <c r="CJ3111">
        <v>3.2732459899999999</v>
      </c>
    </row>
    <row r="3112" spans="84:88" x14ac:dyDescent="0.4">
      <c r="CF3112">
        <v>13</v>
      </c>
      <c r="CG3112" t="s">
        <v>922</v>
      </c>
      <c r="CH3112">
        <v>6</v>
      </c>
      <c r="CI3112" t="s">
        <v>1007</v>
      </c>
      <c r="CJ3112">
        <v>3.2567865999999999</v>
      </c>
    </row>
    <row r="3113" spans="84:88" x14ac:dyDescent="0.4">
      <c r="CF3113">
        <v>14</v>
      </c>
      <c r="CG3113" t="s">
        <v>815</v>
      </c>
      <c r="CH3113">
        <v>6</v>
      </c>
      <c r="CI3113" t="s">
        <v>968</v>
      </c>
      <c r="CJ3113">
        <v>3.2101001</v>
      </c>
    </row>
    <row r="3114" spans="84:88" x14ac:dyDescent="0.4">
      <c r="CF3114">
        <v>15</v>
      </c>
      <c r="CG3114" t="s">
        <v>1180</v>
      </c>
      <c r="CH3114">
        <v>5</v>
      </c>
      <c r="CI3114" t="s">
        <v>1180</v>
      </c>
      <c r="CJ3114">
        <v>3.1053756099999998</v>
      </c>
    </row>
    <row r="3115" spans="84:88" x14ac:dyDescent="0.4">
      <c r="CF3115">
        <v>16</v>
      </c>
      <c r="CG3115" t="s">
        <v>810</v>
      </c>
      <c r="CH3115">
        <v>5</v>
      </c>
      <c r="CI3115" t="s">
        <v>810</v>
      </c>
      <c r="CJ3115">
        <v>3.0259377000000001</v>
      </c>
    </row>
    <row r="3116" spans="84:88" x14ac:dyDescent="0.4">
      <c r="CF3116">
        <v>17</v>
      </c>
      <c r="CG3116" t="s">
        <v>1184</v>
      </c>
      <c r="CH3116">
        <v>5</v>
      </c>
      <c r="CI3116" t="s">
        <v>893</v>
      </c>
      <c r="CJ3116">
        <v>2.9873769999999999</v>
      </c>
    </row>
    <row r="3117" spans="84:88" x14ac:dyDescent="0.4">
      <c r="CF3117">
        <v>18</v>
      </c>
      <c r="CG3117" t="s">
        <v>1818</v>
      </c>
      <c r="CH3117">
        <v>5</v>
      </c>
      <c r="CI3117" t="s">
        <v>922</v>
      </c>
      <c r="CJ3117">
        <v>2.9417854000000001</v>
      </c>
    </row>
    <row r="3118" spans="84:88" x14ac:dyDescent="0.4">
      <c r="CF3118">
        <v>19</v>
      </c>
      <c r="CG3118" t="s">
        <v>819</v>
      </c>
      <c r="CH3118">
        <v>5</v>
      </c>
      <c r="CI3118" t="s">
        <v>1198</v>
      </c>
      <c r="CJ3118">
        <v>2.877990249999999</v>
      </c>
    </row>
    <row r="3119" spans="84:88" x14ac:dyDescent="0.4">
      <c r="CF3119">
        <v>20</v>
      </c>
      <c r="CG3119" t="s">
        <v>1808</v>
      </c>
      <c r="CH3119">
        <v>4</v>
      </c>
      <c r="CI3119" t="s">
        <v>2544</v>
      </c>
      <c r="CJ3119">
        <v>2.8247399999999998</v>
      </c>
    </row>
    <row r="3120" spans="84:88" x14ac:dyDescent="0.4">
      <c r="CF3120">
        <v>1</v>
      </c>
      <c r="CG3120" t="s">
        <v>1007</v>
      </c>
      <c r="CH3120">
        <v>12</v>
      </c>
      <c r="CI3120" t="s">
        <v>901</v>
      </c>
      <c r="CJ3120">
        <v>3.8671780914100009</v>
      </c>
    </row>
    <row r="3121" spans="84:88" x14ac:dyDescent="0.4">
      <c r="CF3121">
        <v>2</v>
      </c>
      <c r="CG3121" t="s">
        <v>802</v>
      </c>
      <c r="CH3121">
        <v>12</v>
      </c>
      <c r="CI3121" t="s">
        <v>840</v>
      </c>
      <c r="CJ3121">
        <v>2.4595557637200001</v>
      </c>
    </row>
    <row r="3122" spans="84:88" x14ac:dyDescent="0.4">
      <c r="CF3122">
        <v>3</v>
      </c>
      <c r="CG3122" t="s">
        <v>862</v>
      </c>
      <c r="CH3122">
        <v>12</v>
      </c>
      <c r="CI3122" t="s">
        <v>1007</v>
      </c>
      <c r="CJ3122">
        <v>2.31672859662</v>
      </c>
    </row>
    <row r="3123" spans="84:88" x14ac:dyDescent="0.4">
      <c r="CF3123">
        <v>4</v>
      </c>
      <c r="CG3123" t="s">
        <v>1003</v>
      </c>
      <c r="CH3123">
        <v>12</v>
      </c>
      <c r="CI3123" t="s">
        <v>868</v>
      </c>
      <c r="CJ3123">
        <v>2.3037362102799999</v>
      </c>
    </row>
    <row r="3124" spans="84:88" x14ac:dyDescent="0.4">
      <c r="CF3124">
        <v>5</v>
      </c>
      <c r="CG3124" t="s">
        <v>952</v>
      </c>
      <c r="CH3124">
        <v>11</v>
      </c>
      <c r="CI3124" t="s">
        <v>926</v>
      </c>
      <c r="CJ3124">
        <v>2.1250264495</v>
      </c>
    </row>
    <row r="3125" spans="84:88" x14ac:dyDescent="0.4">
      <c r="CF3125">
        <v>6</v>
      </c>
      <c r="CG3125" t="s">
        <v>1198</v>
      </c>
      <c r="CH3125">
        <v>11</v>
      </c>
      <c r="CI3125" t="s">
        <v>802</v>
      </c>
      <c r="CJ3125">
        <v>2.0698716105099999</v>
      </c>
    </row>
    <row r="3126" spans="84:88" x14ac:dyDescent="0.4">
      <c r="CF3126">
        <v>7</v>
      </c>
      <c r="CG3126" t="s">
        <v>1301</v>
      </c>
      <c r="CH3126">
        <v>11</v>
      </c>
      <c r="CI3126" t="s">
        <v>1179</v>
      </c>
      <c r="CJ3126">
        <v>1.7336039698800001</v>
      </c>
    </row>
    <row r="3127" spans="84:88" x14ac:dyDescent="0.4">
      <c r="CF3127">
        <v>8</v>
      </c>
      <c r="CG3127" t="s">
        <v>1166</v>
      </c>
      <c r="CH3127">
        <v>11</v>
      </c>
      <c r="CI3127" t="s">
        <v>854</v>
      </c>
      <c r="CJ3127">
        <v>1.6792601188</v>
      </c>
    </row>
    <row r="3128" spans="84:88" x14ac:dyDescent="0.4">
      <c r="CF3128">
        <v>9</v>
      </c>
      <c r="CG3128" t="s">
        <v>810</v>
      </c>
      <c r="CH3128">
        <v>10</v>
      </c>
      <c r="CI3128" t="s">
        <v>862</v>
      </c>
      <c r="CJ3128">
        <v>1.6555405616900001</v>
      </c>
    </row>
    <row r="3129" spans="84:88" x14ac:dyDescent="0.4">
      <c r="CF3129">
        <v>10</v>
      </c>
      <c r="CG3129" t="s">
        <v>1098</v>
      </c>
      <c r="CH3129">
        <v>10</v>
      </c>
      <c r="CI3129" t="s">
        <v>944</v>
      </c>
      <c r="CJ3129">
        <v>1.448431897070001</v>
      </c>
    </row>
    <row r="3130" spans="84:88" x14ac:dyDescent="0.4">
      <c r="CF3130">
        <v>11</v>
      </c>
      <c r="CG3130" t="s">
        <v>852</v>
      </c>
      <c r="CH3130">
        <v>10</v>
      </c>
      <c r="CI3130" t="s">
        <v>2125</v>
      </c>
      <c r="CJ3130">
        <v>1.34761052928</v>
      </c>
    </row>
    <row r="3131" spans="84:88" x14ac:dyDescent="0.4">
      <c r="CF3131">
        <v>12</v>
      </c>
      <c r="CG3131" t="s">
        <v>842</v>
      </c>
      <c r="CH3131">
        <v>9</v>
      </c>
      <c r="CI3131" t="s">
        <v>821</v>
      </c>
      <c r="CJ3131">
        <v>1.2443172625000001</v>
      </c>
    </row>
    <row r="3132" spans="84:88" x14ac:dyDescent="0.4">
      <c r="CF3132">
        <v>13</v>
      </c>
      <c r="CG3132" t="s">
        <v>824</v>
      </c>
      <c r="CH3132">
        <v>9</v>
      </c>
      <c r="CI3132" t="s">
        <v>810</v>
      </c>
      <c r="CJ3132">
        <v>1.15362628077</v>
      </c>
    </row>
    <row r="3133" spans="84:88" x14ac:dyDescent="0.4">
      <c r="CF3133">
        <v>14</v>
      </c>
      <c r="CG3133" t="s">
        <v>850</v>
      </c>
      <c r="CH3133">
        <v>9</v>
      </c>
      <c r="CI3133" t="s">
        <v>832</v>
      </c>
      <c r="CJ3133">
        <v>1.1211804858100001</v>
      </c>
    </row>
    <row r="3134" spans="84:88" x14ac:dyDescent="0.4">
      <c r="CF3134">
        <v>15</v>
      </c>
      <c r="CG3134" t="s">
        <v>1284</v>
      </c>
      <c r="CH3134">
        <v>9</v>
      </c>
      <c r="CI3134" t="s">
        <v>950</v>
      </c>
      <c r="CJ3134">
        <v>0.95605312451000013</v>
      </c>
    </row>
    <row r="3135" spans="84:88" x14ac:dyDescent="0.4">
      <c r="CF3135">
        <v>16</v>
      </c>
      <c r="CG3135" t="s">
        <v>916</v>
      </c>
      <c r="CH3135">
        <v>9</v>
      </c>
      <c r="CI3135" t="s">
        <v>1164</v>
      </c>
      <c r="CJ3135">
        <v>0.91894633771000001</v>
      </c>
    </row>
    <row r="3136" spans="84:88" x14ac:dyDescent="0.4">
      <c r="CF3136">
        <v>17</v>
      </c>
      <c r="CG3136" t="s">
        <v>1111</v>
      </c>
      <c r="CH3136">
        <v>9</v>
      </c>
      <c r="CI3136" t="s">
        <v>2572</v>
      </c>
      <c r="CJ3136">
        <v>0.89215531031999995</v>
      </c>
    </row>
    <row r="3137" spans="84:88" x14ac:dyDescent="0.4">
      <c r="CF3137">
        <v>18</v>
      </c>
      <c r="CG3137" t="s">
        <v>860</v>
      </c>
      <c r="CH3137">
        <v>9</v>
      </c>
      <c r="CI3137" t="s">
        <v>858</v>
      </c>
      <c r="CJ3137">
        <v>0.88736763948000008</v>
      </c>
    </row>
    <row r="3138" spans="84:88" x14ac:dyDescent="0.4">
      <c r="CF3138">
        <v>19</v>
      </c>
      <c r="CG3138" t="s">
        <v>924</v>
      </c>
      <c r="CH3138">
        <v>9</v>
      </c>
      <c r="CI3138" t="s">
        <v>1015</v>
      </c>
      <c r="CJ3138">
        <v>0.88064879936000018</v>
      </c>
    </row>
    <row r="3139" spans="84:88" x14ac:dyDescent="0.4">
      <c r="CF3139">
        <v>20</v>
      </c>
      <c r="CG3139" t="s">
        <v>1042</v>
      </c>
      <c r="CH3139">
        <v>9</v>
      </c>
      <c r="CI3139" t="s">
        <v>864</v>
      </c>
      <c r="CJ3139">
        <v>0.84644003818000035</v>
      </c>
    </row>
    <row r="3140" spans="84:88" x14ac:dyDescent="0.4">
      <c r="CF3140">
        <v>1</v>
      </c>
      <c r="CG3140" t="s">
        <v>1191</v>
      </c>
      <c r="CH3140">
        <v>8</v>
      </c>
      <c r="CI3140" t="s">
        <v>1191</v>
      </c>
      <c r="CJ3140">
        <v>9.7395841500000007</v>
      </c>
    </row>
    <row r="3141" spans="84:88" x14ac:dyDescent="0.4">
      <c r="CF3141">
        <v>2</v>
      </c>
      <c r="CG3141" t="s">
        <v>864</v>
      </c>
      <c r="CH3141">
        <v>8</v>
      </c>
      <c r="CI3141" t="s">
        <v>4014</v>
      </c>
      <c r="CJ3141">
        <v>4.0299680000000002</v>
      </c>
    </row>
    <row r="3142" spans="84:88" x14ac:dyDescent="0.4">
      <c r="CF3142">
        <v>3</v>
      </c>
      <c r="CG3142" t="s">
        <v>788</v>
      </c>
      <c r="CH3142">
        <v>7</v>
      </c>
      <c r="CI3142" t="s">
        <v>1808</v>
      </c>
      <c r="CJ3142">
        <v>3.796052</v>
      </c>
    </row>
    <row r="3143" spans="84:88" x14ac:dyDescent="0.4">
      <c r="CF3143">
        <v>4</v>
      </c>
      <c r="CG3143" t="s">
        <v>968</v>
      </c>
      <c r="CH3143">
        <v>6</v>
      </c>
      <c r="CI3143" t="s">
        <v>864</v>
      </c>
      <c r="CJ3143">
        <v>2.9355053</v>
      </c>
    </row>
    <row r="3144" spans="84:88" x14ac:dyDescent="0.4">
      <c r="CF3144">
        <v>5</v>
      </c>
      <c r="CG3144" t="s">
        <v>1198</v>
      </c>
      <c r="CH3144">
        <v>5</v>
      </c>
      <c r="CI3144" t="s">
        <v>788</v>
      </c>
      <c r="CJ3144">
        <v>2.8940030999999999</v>
      </c>
    </row>
    <row r="3145" spans="84:88" x14ac:dyDescent="0.4">
      <c r="CF3145">
        <v>6</v>
      </c>
      <c r="CG3145" t="s">
        <v>904</v>
      </c>
      <c r="CH3145">
        <v>4</v>
      </c>
      <c r="CI3145" t="s">
        <v>2544</v>
      </c>
      <c r="CJ3145">
        <v>2.8247399999999998</v>
      </c>
    </row>
    <row r="3146" spans="84:88" x14ac:dyDescent="0.4">
      <c r="CF3146">
        <v>7</v>
      </c>
      <c r="CG3146" t="s">
        <v>922</v>
      </c>
      <c r="CH3146">
        <v>4</v>
      </c>
      <c r="CI3146" t="s">
        <v>904</v>
      </c>
      <c r="CJ3146">
        <v>2.6681556999999998</v>
      </c>
    </row>
    <row r="3147" spans="84:88" x14ac:dyDescent="0.4">
      <c r="CF3147">
        <v>8</v>
      </c>
      <c r="CG3147" t="s">
        <v>4344</v>
      </c>
      <c r="CH3147">
        <v>4</v>
      </c>
      <c r="CI3147" t="s">
        <v>968</v>
      </c>
      <c r="CJ3147">
        <v>2.4550494</v>
      </c>
    </row>
    <row r="3148" spans="84:88" x14ac:dyDescent="0.4">
      <c r="CF3148">
        <v>9</v>
      </c>
      <c r="CG3148" t="s">
        <v>2562</v>
      </c>
      <c r="CH3148">
        <v>4</v>
      </c>
      <c r="CI3148" t="s">
        <v>4130</v>
      </c>
      <c r="CJ3148">
        <v>2.4314022</v>
      </c>
    </row>
    <row r="3149" spans="84:88" x14ac:dyDescent="0.4">
      <c r="CF3149">
        <v>10</v>
      </c>
      <c r="CG3149" t="s">
        <v>4014</v>
      </c>
      <c r="CH3149">
        <v>3</v>
      </c>
      <c r="CI3149" t="s">
        <v>1198</v>
      </c>
      <c r="CJ3149">
        <v>2.1439454499999999</v>
      </c>
    </row>
    <row r="3150" spans="84:88" x14ac:dyDescent="0.4">
      <c r="CF3150">
        <v>11</v>
      </c>
      <c r="CG3150" t="s">
        <v>1180</v>
      </c>
      <c r="CH3150">
        <v>3</v>
      </c>
      <c r="CI3150" t="s">
        <v>922</v>
      </c>
      <c r="CJ3150">
        <v>1.9954254</v>
      </c>
    </row>
    <row r="3151" spans="84:88" x14ac:dyDescent="0.4">
      <c r="CF3151">
        <v>12</v>
      </c>
      <c r="CG3151" t="s">
        <v>1184</v>
      </c>
      <c r="CH3151">
        <v>3</v>
      </c>
      <c r="CI3151" t="s">
        <v>1180</v>
      </c>
      <c r="CJ3151">
        <v>1.9560341999999999</v>
      </c>
    </row>
    <row r="3152" spans="84:88" x14ac:dyDescent="0.4">
      <c r="CF3152">
        <v>13</v>
      </c>
      <c r="CG3152" t="s">
        <v>824</v>
      </c>
      <c r="CH3152">
        <v>3</v>
      </c>
      <c r="CI3152" t="s">
        <v>1184</v>
      </c>
      <c r="CJ3152">
        <v>1.8528202</v>
      </c>
    </row>
    <row r="3153" spans="84:88" x14ac:dyDescent="0.4">
      <c r="CF3153">
        <v>14</v>
      </c>
      <c r="CG3153" t="s">
        <v>810</v>
      </c>
      <c r="CH3153">
        <v>3</v>
      </c>
      <c r="CI3153" t="s">
        <v>4344</v>
      </c>
      <c r="CJ3153">
        <v>1.6857313</v>
      </c>
    </row>
    <row r="3154" spans="84:88" x14ac:dyDescent="0.4">
      <c r="CF3154">
        <v>15</v>
      </c>
      <c r="CG3154" t="s">
        <v>1086</v>
      </c>
      <c r="CH3154">
        <v>3</v>
      </c>
      <c r="CI3154" t="s">
        <v>824</v>
      </c>
      <c r="CJ3154">
        <v>1.6111126</v>
      </c>
    </row>
    <row r="3155" spans="84:88" x14ac:dyDescent="0.4">
      <c r="CF3155">
        <v>16</v>
      </c>
      <c r="CG3155" t="s">
        <v>972</v>
      </c>
      <c r="CH3155">
        <v>3</v>
      </c>
      <c r="CI3155" t="s">
        <v>2562</v>
      </c>
      <c r="CJ3155">
        <v>1.5054997000000001</v>
      </c>
    </row>
    <row r="3156" spans="84:88" x14ac:dyDescent="0.4">
      <c r="CF3156">
        <v>17</v>
      </c>
      <c r="CG3156" t="s">
        <v>2564</v>
      </c>
      <c r="CH3156">
        <v>3</v>
      </c>
      <c r="CI3156" t="s">
        <v>810</v>
      </c>
      <c r="CJ3156">
        <v>1.4837727000000001</v>
      </c>
    </row>
    <row r="3157" spans="84:88" x14ac:dyDescent="0.4">
      <c r="CF3157">
        <v>18</v>
      </c>
      <c r="CG3157" t="s">
        <v>4020</v>
      </c>
      <c r="CH3157">
        <v>3</v>
      </c>
      <c r="CI3157" t="s">
        <v>1818</v>
      </c>
      <c r="CJ3157">
        <v>1.4756349</v>
      </c>
    </row>
    <row r="3158" spans="84:88" x14ac:dyDescent="0.4">
      <c r="CF3158">
        <v>19</v>
      </c>
      <c r="CG3158" t="s">
        <v>1166</v>
      </c>
      <c r="CH3158">
        <v>3</v>
      </c>
      <c r="CI3158" t="s">
        <v>852</v>
      </c>
      <c r="CJ3158">
        <v>1.2958814999999999</v>
      </c>
    </row>
    <row r="3159" spans="84:88" x14ac:dyDescent="0.4">
      <c r="CF3159">
        <v>20</v>
      </c>
      <c r="CG3159" t="s">
        <v>850</v>
      </c>
      <c r="CH3159">
        <v>3</v>
      </c>
      <c r="CI3159" t="s">
        <v>1086</v>
      </c>
      <c r="CJ3159">
        <v>1.2648401</v>
      </c>
    </row>
    <row r="3160" spans="84:88" x14ac:dyDescent="0.4">
      <c r="CF3160">
        <v>1</v>
      </c>
      <c r="CG3160" t="s">
        <v>1003</v>
      </c>
      <c r="CH3160">
        <v>7</v>
      </c>
      <c r="CI3160" t="s">
        <v>901</v>
      </c>
      <c r="CJ3160">
        <v>3.628667344390001</v>
      </c>
    </row>
    <row r="3161" spans="84:88" x14ac:dyDescent="0.4">
      <c r="CF3161">
        <v>2</v>
      </c>
      <c r="CG3161" t="s">
        <v>1301</v>
      </c>
      <c r="CH3161">
        <v>7</v>
      </c>
      <c r="CI3161" t="s">
        <v>1007</v>
      </c>
      <c r="CJ3161">
        <v>1.8491249413699999</v>
      </c>
    </row>
    <row r="3162" spans="84:88" x14ac:dyDescent="0.4">
      <c r="CF3162">
        <v>3</v>
      </c>
      <c r="CG3162" t="s">
        <v>1007</v>
      </c>
      <c r="CH3162">
        <v>6</v>
      </c>
      <c r="CI3162" t="s">
        <v>1179</v>
      </c>
      <c r="CJ3162">
        <v>1.6478087911699999</v>
      </c>
    </row>
    <row r="3163" spans="84:88" x14ac:dyDescent="0.4">
      <c r="CF3163">
        <v>4</v>
      </c>
      <c r="CG3163" t="s">
        <v>862</v>
      </c>
      <c r="CH3163">
        <v>6</v>
      </c>
      <c r="CI3163" t="s">
        <v>821</v>
      </c>
      <c r="CJ3163">
        <v>1.107015046299999</v>
      </c>
    </row>
    <row r="3164" spans="84:88" x14ac:dyDescent="0.4">
      <c r="CF3164">
        <v>5</v>
      </c>
      <c r="CG3164" t="s">
        <v>1198</v>
      </c>
      <c r="CH3164">
        <v>6</v>
      </c>
      <c r="CI3164" t="s">
        <v>862</v>
      </c>
      <c r="CJ3164">
        <v>0.93899091437999993</v>
      </c>
    </row>
    <row r="3165" spans="84:88" x14ac:dyDescent="0.4">
      <c r="CF3165">
        <v>6</v>
      </c>
      <c r="CG3165" t="s">
        <v>1166</v>
      </c>
      <c r="CH3165">
        <v>6</v>
      </c>
      <c r="CI3165" t="s">
        <v>802</v>
      </c>
      <c r="CJ3165">
        <v>0.7964079653099998</v>
      </c>
    </row>
    <row r="3166" spans="84:88" x14ac:dyDescent="0.4">
      <c r="CF3166">
        <v>7</v>
      </c>
      <c r="CG3166" t="s">
        <v>810</v>
      </c>
      <c r="CH3166">
        <v>5</v>
      </c>
      <c r="CI3166" t="s">
        <v>2125</v>
      </c>
      <c r="CJ3166">
        <v>0.64804436209000027</v>
      </c>
    </row>
    <row r="3167" spans="84:88" x14ac:dyDescent="0.4">
      <c r="CF3167">
        <v>8</v>
      </c>
      <c r="CG3167" t="s">
        <v>4085</v>
      </c>
      <c r="CH3167">
        <v>5</v>
      </c>
      <c r="CI3167" t="s">
        <v>810</v>
      </c>
      <c r="CJ3167">
        <v>0.52502017027999992</v>
      </c>
    </row>
    <row r="3168" spans="84:88" x14ac:dyDescent="0.4">
      <c r="CF3168">
        <v>9</v>
      </c>
      <c r="CG3168" t="s">
        <v>1284</v>
      </c>
      <c r="CH3168">
        <v>5</v>
      </c>
      <c r="CI3168" t="s">
        <v>4085</v>
      </c>
      <c r="CJ3168">
        <v>0.49780043281000003</v>
      </c>
    </row>
    <row r="3169" spans="84:88" x14ac:dyDescent="0.4">
      <c r="CF3169">
        <v>10</v>
      </c>
      <c r="CG3169" t="s">
        <v>1098</v>
      </c>
      <c r="CH3169">
        <v>5</v>
      </c>
      <c r="CI3169" t="s">
        <v>2513</v>
      </c>
      <c r="CJ3169">
        <v>0.49132450431999958</v>
      </c>
    </row>
    <row r="3170" spans="84:88" x14ac:dyDescent="0.4">
      <c r="CF3170">
        <v>11</v>
      </c>
      <c r="CG3170" t="s">
        <v>821</v>
      </c>
      <c r="CH3170">
        <v>4</v>
      </c>
      <c r="CI3170" t="s">
        <v>1284</v>
      </c>
      <c r="CJ3170">
        <v>0.46731784163000001</v>
      </c>
    </row>
    <row r="3171" spans="84:88" x14ac:dyDescent="0.4">
      <c r="CF3171">
        <v>12</v>
      </c>
      <c r="CG3171" t="s">
        <v>2513</v>
      </c>
      <c r="CH3171">
        <v>4</v>
      </c>
      <c r="CI3171" t="s">
        <v>824</v>
      </c>
      <c r="CJ3171">
        <v>0.46276133071999997</v>
      </c>
    </row>
    <row r="3172" spans="84:88" x14ac:dyDescent="0.4">
      <c r="CF3172">
        <v>13</v>
      </c>
      <c r="CG3172" t="s">
        <v>1480</v>
      </c>
      <c r="CH3172">
        <v>4</v>
      </c>
      <c r="CI3172" t="s">
        <v>4022</v>
      </c>
      <c r="CJ3172">
        <v>0.45465779804999989</v>
      </c>
    </row>
    <row r="3173" spans="84:88" x14ac:dyDescent="0.4">
      <c r="CF3173">
        <v>14</v>
      </c>
      <c r="CG3173" t="s">
        <v>842</v>
      </c>
      <c r="CH3173">
        <v>4</v>
      </c>
      <c r="CI3173" t="s">
        <v>2572</v>
      </c>
      <c r="CJ3173">
        <v>0.41816245823999998</v>
      </c>
    </row>
    <row r="3174" spans="84:88" x14ac:dyDescent="0.4">
      <c r="CF3174">
        <v>15</v>
      </c>
      <c r="CG3174" t="s">
        <v>1270</v>
      </c>
      <c r="CH3174">
        <v>4</v>
      </c>
      <c r="CI3174" t="s">
        <v>1098</v>
      </c>
      <c r="CJ3174">
        <v>0.33948752837000001</v>
      </c>
    </row>
    <row r="3175" spans="84:88" x14ac:dyDescent="0.4">
      <c r="CF3175">
        <v>16</v>
      </c>
      <c r="CG3175" t="s">
        <v>1826</v>
      </c>
      <c r="CH3175">
        <v>4</v>
      </c>
      <c r="CI3175" t="s">
        <v>1003</v>
      </c>
      <c r="CJ3175">
        <v>0.31645441969999988</v>
      </c>
    </row>
    <row r="3176" spans="84:88" x14ac:dyDescent="0.4">
      <c r="CF3176">
        <v>17</v>
      </c>
      <c r="CG3176" t="s">
        <v>1216</v>
      </c>
      <c r="CH3176">
        <v>4</v>
      </c>
      <c r="CI3176" t="s">
        <v>795</v>
      </c>
      <c r="CJ3176">
        <v>0.31073768955999992</v>
      </c>
    </row>
    <row r="3177" spans="84:88" x14ac:dyDescent="0.4">
      <c r="CF3177">
        <v>18</v>
      </c>
      <c r="CG3177" t="s">
        <v>2100</v>
      </c>
      <c r="CH3177">
        <v>4</v>
      </c>
      <c r="CI3177" t="s">
        <v>4715</v>
      </c>
      <c r="CJ3177">
        <v>0.26228899999999999</v>
      </c>
    </row>
    <row r="3178" spans="84:88" x14ac:dyDescent="0.4">
      <c r="CF3178">
        <v>19</v>
      </c>
      <c r="CG3178" t="s">
        <v>952</v>
      </c>
      <c r="CH3178">
        <v>4</v>
      </c>
      <c r="CI3178" t="s">
        <v>1480</v>
      </c>
      <c r="CJ3178">
        <v>0.26100822232999998</v>
      </c>
    </row>
    <row r="3179" spans="84:88" x14ac:dyDescent="0.4">
      <c r="CF3179">
        <v>20</v>
      </c>
      <c r="CG3179" t="s">
        <v>1042</v>
      </c>
      <c r="CH3179">
        <v>4</v>
      </c>
      <c r="CI3179" t="s">
        <v>842</v>
      </c>
      <c r="CJ3179">
        <v>0.25913009986000002</v>
      </c>
    </row>
    <row r="3200" spans="89:96" x14ac:dyDescent="0.4">
      <c r="CK3200" t="s">
        <v>787</v>
      </c>
      <c r="CL3200">
        <v>3.9048651974860932E-2</v>
      </c>
      <c r="CN3200" t="s">
        <v>807</v>
      </c>
      <c r="CO3200">
        <v>0.32900592376232751</v>
      </c>
      <c r="CR3200" t="s">
        <v>5645</v>
      </c>
    </row>
    <row r="3201" spans="89:96" x14ac:dyDescent="0.4">
      <c r="CK3201" t="s">
        <v>789</v>
      </c>
      <c r="CL3201">
        <v>3.6736248174463831E-2</v>
      </c>
      <c r="CN3201" t="s">
        <v>817</v>
      </c>
      <c r="CO3201">
        <v>0.10507729443231981</v>
      </c>
      <c r="CR3201" t="s">
        <v>5646</v>
      </c>
    </row>
    <row r="3202" spans="89:96" x14ac:dyDescent="0.4">
      <c r="CK3202" t="s">
        <v>817</v>
      </c>
      <c r="CL3202">
        <v>3.3033696526148237E-2</v>
      </c>
      <c r="CN3202" t="s">
        <v>789</v>
      </c>
      <c r="CO3202">
        <v>9.5492673241331802E-2</v>
      </c>
      <c r="CR3202" t="s">
        <v>5647</v>
      </c>
    </row>
    <row r="3203" spans="89:96" x14ac:dyDescent="0.4">
      <c r="CK3203" t="s">
        <v>793</v>
      </c>
      <c r="CL3203">
        <v>9.9115620025926679E-3</v>
      </c>
      <c r="CN3203" t="s">
        <v>783</v>
      </c>
      <c r="CO3203">
        <v>8.1228360217259321E-2</v>
      </c>
      <c r="CR3203" t="s">
        <v>5648</v>
      </c>
    </row>
    <row r="3204" spans="89:96" x14ac:dyDescent="0.4">
      <c r="CK3204" t="s">
        <v>798</v>
      </c>
      <c r="CL3204">
        <v>8.1522242825027499E-3</v>
      </c>
      <c r="CN3204" t="s">
        <v>787</v>
      </c>
      <c r="CO3204">
        <v>5.3953980079092898E-2</v>
      </c>
      <c r="CR3204" t="s">
        <v>65</v>
      </c>
    </row>
    <row r="3205" spans="89:96" x14ac:dyDescent="0.4">
      <c r="CK3205" t="s">
        <v>783</v>
      </c>
      <c r="CL3205">
        <v>5.6168687747165276E-3</v>
      </c>
      <c r="CN3205" t="s">
        <v>813</v>
      </c>
      <c r="CO3205">
        <v>2.857597512348008E-2</v>
      </c>
    </row>
    <row r="3206" spans="89:96" x14ac:dyDescent="0.4">
      <c r="CN3206" t="s">
        <v>798</v>
      </c>
      <c r="CO3206">
        <v>2.3180505735055219E-2</v>
      </c>
    </row>
    <row r="3207" spans="89:96" x14ac:dyDescent="0.4">
      <c r="CN3207" t="s">
        <v>811</v>
      </c>
      <c r="CO3207">
        <v>2.351887891567254E-3</v>
      </c>
    </row>
    <row r="3208" spans="89:96" x14ac:dyDescent="0.4">
      <c r="CN3208" t="s">
        <v>833</v>
      </c>
      <c r="CO3208">
        <v>8.3982868676260646E-4</v>
      </c>
    </row>
    <row r="3220" spans="89:94" x14ac:dyDescent="0.4">
      <c r="CK3220" t="s">
        <v>787</v>
      </c>
      <c r="CL3220">
        <v>6.6481914125522568E-2</v>
      </c>
      <c r="CM3220">
        <v>2.7433262150661639E-2</v>
      </c>
      <c r="CN3220" t="s">
        <v>807</v>
      </c>
      <c r="CO3220">
        <v>0.33787034148341599</v>
      </c>
      <c r="CP3220">
        <v>8.8644177210885355E-3</v>
      </c>
    </row>
    <row r="3221" spans="89:94" x14ac:dyDescent="0.4">
      <c r="CK3221" t="s">
        <v>789</v>
      </c>
      <c r="CL3221">
        <v>3.7096131459081708E-2</v>
      </c>
      <c r="CM3221">
        <v>3.5988328461788321E-4</v>
      </c>
      <c r="CN3221" t="s">
        <v>789</v>
      </c>
      <c r="CO3221">
        <v>0.1058604071773022</v>
      </c>
      <c r="CP3221">
        <v>1.0367733935970369E-2</v>
      </c>
    </row>
    <row r="3222" spans="89:94" x14ac:dyDescent="0.4">
      <c r="CK3222" t="s">
        <v>817</v>
      </c>
      <c r="CL3222">
        <v>1.5802258728729712E-2</v>
      </c>
      <c r="CM3222">
        <v>-1.7231437797418529E-2</v>
      </c>
      <c r="CN3222" t="s">
        <v>787</v>
      </c>
      <c r="CO3222">
        <v>9.4915305694955751E-2</v>
      </c>
      <c r="CP3222">
        <v>4.0961325615862847E-2</v>
      </c>
    </row>
    <row r="3223" spans="89:94" x14ac:dyDescent="0.4">
      <c r="CK3223" t="s">
        <v>798</v>
      </c>
      <c r="CL3223">
        <v>5.5154500967135233E-3</v>
      </c>
      <c r="CM3223">
        <v>-2.636774185789227E-3</v>
      </c>
      <c r="CN3223" t="s">
        <v>817</v>
      </c>
      <c r="CO3223">
        <v>8.0201107971511837E-2</v>
      </c>
      <c r="CP3223">
        <v>-2.487618646080797E-2</v>
      </c>
    </row>
    <row r="3224" spans="89:94" x14ac:dyDescent="0.4">
      <c r="CK3224" t="s">
        <v>793</v>
      </c>
      <c r="CL3224">
        <v>3.6397336589800962E-3</v>
      </c>
      <c r="CM3224">
        <v>-6.2718283436125734E-3</v>
      </c>
      <c r="CN3224" t="s">
        <v>783</v>
      </c>
      <c r="CO3224">
        <v>4.6254913670924443E-2</v>
      </c>
      <c r="CP3224">
        <v>-3.4973446546334892E-2</v>
      </c>
    </row>
    <row r="3225" spans="89:94" x14ac:dyDescent="0.4">
      <c r="CK3225" t="s">
        <v>811</v>
      </c>
      <c r="CL3225">
        <v>2.5966021018478079E-3</v>
      </c>
      <c r="CM3225">
        <v>2.5966021018478079E-3</v>
      </c>
      <c r="CN3225" t="s">
        <v>813</v>
      </c>
      <c r="CO3225">
        <v>2.60456024316543E-2</v>
      </c>
      <c r="CP3225">
        <v>-2.5303726918257871E-3</v>
      </c>
    </row>
    <row r="3226" spans="89:94" x14ac:dyDescent="0.4">
      <c r="CK3226" t="s">
        <v>783</v>
      </c>
      <c r="CL3226">
        <v>9.6306345655022417E-4</v>
      </c>
      <c r="CM3226">
        <v>-4.6538053181663054E-3</v>
      </c>
      <c r="CN3226" t="s">
        <v>798</v>
      </c>
      <c r="CO3226">
        <v>2.1659324164118841E-2</v>
      </c>
      <c r="CP3226">
        <v>-1.521181570936378E-3</v>
      </c>
    </row>
    <row r="3227" spans="89:94" x14ac:dyDescent="0.4">
      <c r="CN3227" t="s">
        <v>811</v>
      </c>
      <c r="CO3227">
        <v>2.8914651430201358E-3</v>
      </c>
      <c r="CP3227">
        <v>5.3957725145288224E-4</v>
      </c>
    </row>
    <row r="3228" spans="89:94" x14ac:dyDescent="0.4">
      <c r="CN3228" t="s">
        <v>833</v>
      </c>
      <c r="CO3228">
        <v>5.2626418390722628E-4</v>
      </c>
      <c r="CP3228">
        <v>-3.1356450285538017E-4</v>
      </c>
    </row>
    <row r="3240" spans="89:94" x14ac:dyDescent="0.4">
      <c r="CK3240" t="s">
        <v>787</v>
      </c>
      <c r="CL3240">
        <v>8.1742623942521575E-2</v>
      </c>
      <c r="CM3240">
        <v>1.5260709816999009E-2</v>
      </c>
      <c r="CN3240" t="s">
        <v>807</v>
      </c>
      <c r="CO3240">
        <v>0.3981927736259373</v>
      </c>
      <c r="CP3240">
        <v>6.0322432142521247E-2</v>
      </c>
    </row>
    <row r="3241" spans="89:94" x14ac:dyDescent="0.4">
      <c r="CK3241" t="s">
        <v>789</v>
      </c>
      <c r="CL3241">
        <v>7.2558445091779986E-2</v>
      </c>
      <c r="CM3241">
        <v>3.5462313632698271E-2</v>
      </c>
      <c r="CN3241" t="s">
        <v>787</v>
      </c>
      <c r="CO3241">
        <v>6.3630437075573837E-2</v>
      </c>
      <c r="CP3241">
        <v>-3.1284868619381907E-2</v>
      </c>
    </row>
    <row r="3242" spans="89:94" x14ac:dyDescent="0.4">
      <c r="CK3242" t="s">
        <v>783</v>
      </c>
      <c r="CL3242">
        <v>4.6964389307175183E-2</v>
      </c>
      <c r="CM3242">
        <v>4.6001325850624962E-2</v>
      </c>
      <c r="CN3242" t="s">
        <v>789</v>
      </c>
      <c r="CO3242">
        <v>4.9809377782327739E-2</v>
      </c>
      <c r="CP3242">
        <v>-5.6051029394974437E-2</v>
      </c>
    </row>
    <row r="3243" spans="89:94" x14ac:dyDescent="0.4">
      <c r="CK3243" t="s">
        <v>817</v>
      </c>
      <c r="CL3243">
        <v>1.844909678079833E-2</v>
      </c>
      <c r="CM3243">
        <v>2.6468380520686219E-3</v>
      </c>
      <c r="CN3243" t="s">
        <v>817</v>
      </c>
      <c r="CO3243">
        <v>1.7838686260458449E-2</v>
      </c>
      <c r="CP3243">
        <v>-6.2362421711053377E-2</v>
      </c>
    </row>
    <row r="3244" spans="89:94" x14ac:dyDescent="0.4">
      <c r="CK3244" t="s">
        <v>813</v>
      </c>
      <c r="CL3244">
        <v>1.078592324420578E-2</v>
      </c>
      <c r="CM3244">
        <v>1.078592324420578E-2</v>
      </c>
      <c r="CN3244" t="s">
        <v>813</v>
      </c>
      <c r="CO3244">
        <v>9.7799048851082843E-3</v>
      </c>
      <c r="CP3244">
        <v>-1.6265697546546009E-2</v>
      </c>
    </row>
    <row r="3245" spans="89:94" x14ac:dyDescent="0.4">
      <c r="CK3245" t="s">
        <v>793</v>
      </c>
      <c r="CL3245">
        <v>7.3453824605161514E-3</v>
      </c>
      <c r="CM3245">
        <v>3.705648801536056E-3</v>
      </c>
      <c r="CN3245" t="s">
        <v>798</v>
      </c>
      <c r="CO3245">
        <v>6.4048835571604524E-3</v>
      </c>
      <c r="CP3245">
        <v>-1.5254440606958391E-2</v>
      </c>
    </row>
    <row r="3246" spans="89:94" x14ac:dyDescent="0.4">
      <c r="CK3246" t="s">
        <v>798</v>
      </c>
      <c r="CL3246">
        <v>1.6425802008394679E-3</v>
      </c>
      <c r="CM3246">
        <v>-3.8728698958740561E-3</v>
      </c>
      <c r="CN3246" t="s">
        <v>811</v>
      </c>
      <c r="CO3246">
        <v>4.1791687219052756E-3</v>
      </c>
      <c r="CP3246">
        <v>1.28770357888514E-3</v>
      </c>
    </row>
    <row r="3247" spans="89:94" x14ac:dyDescent="0.4">
      <c r="CK3247" t="s">
        <v>811</v>
      </c>
      <c r="CL3247">
        <v>1.203870363304141E-3</v>
      </c>
      <c r="CM3247">
        <v>-1.3927317385436669E-3</v>
      </c>
      <c r="CN3247" t="s">
        <v>783</v>
      </c>
      <c r="CO3247">
        <v>2.6513741402898121E-3</v>
      </c>
      <c r="CP3247">
        <v>-4.3603539530634623E-2</v>
      </c>
    </row>
    <row r="3260" spans="89:94" x14ac:dyDescent="0.4">
      <c r="CK3260" t="s">
        <v>787</v>
      </c>
      <c r="CL3260">
        <v>0.13014771763299929</v>
      </c>
      <c r="CM3260">
        <v>4.8405093690477692E-2</v>
      </c>
      <c r="CN3260" t="s">
        <v>807</v>
      </c>
      <c r="CO3260">
        <v>0.34626376521986152</v>
      </c>
      <c r="CP3260">
        <v>-5.1929008406075783E-2</v>
      </c>
    </row>
    <row r="3261" spans="89:94" x14ac:dyDescent="0.4">
      <c r="CK3261" t="s">
        <v>789</v>
      </c>
      <c r="CL3261">
        <v>7.3141159011431423E-2</v>
      </c>
      <c r="CM3261">
        <v>5.8271391965143693E-4</v>
      </c>
      <c r="CN3261" t="s">
        <v>787</v>
      </c>
      <c r="CO3261">
        <v>2.3190086396896761E-2</v>
      </c>
      <c r="CP3261">
        <v>-4.0440350678677073E-2</v>
      </c>
    </row>
    <row r="3262" spans="89:94" x14ac:dyDescent="0.4">
      <c r="CK3262" t="s">
        <v>783</v>
      </c>
      <c r="CL3262">
        <v>3.2123470667176031E-2</v>
      </c>
      <c r="CM3262">
        <v>-1.4840918639999151E-2</v>
      </c>
      <c r="CN3262" t="s">
        <v>789</v>
      </c>
      <c r="CO3262">
        <v>7.9941672299117406E-3</v>
      </c>
      <c r="CP3262">
        <v>-4.1815210552416E-2</v>
      </c>
    </row>
    <row r="3263" spans="89:94" x14ac:dyDescent="0.4">
      <c r="CK3263" t="s">
        <v>817</v>
      </c>
      <c r="CL3263">
        <v>1.47733173665599E-2</v>
      </c>
      <c r="CM3263">
        <v>-3.6757794142384379E-3</v>
      </c>
      <c r="CN3263" t="s">
        <v>817</v>
      </c>
      <c r="CO3263">
        <v>6.9782572707592543E-3</v>
      </c>
      <c r="CP3263">
        <v>-1.0860428989699199E-2</v>
      </c>
    </row>
    <row r="3264" spans="89:94" x14ac:dyDescent="0.4">
      <c r="CK3264" t="s">
        <v>813</v>
      </c>
      <c r="CL3264">
        <v>8.3731474134806586E-3</v>
      </c>
      <c r="CM3264">
        <v>-2.41277583072512E-3</v>
      </c>
      <c r="CN3264" t="s">
        <v>783</v>
      </c>
      <c r="CO3264">
        <v>6.3352679577223349E-3</v>
      </c>
      <c r="CP3264">
        <v>3.6838938174325229E-3</v>
      </c>
    </row>
    <row r="3265" spans="89:94" x14ac:dyDescent="0.4">
      <c r="CK3265" t="s">
        <v>793</v>
      </c>
      <c r="CL3265">
        <v>6.056139861098867E-3</v>
      </c>
      <c r="CM3265">
        <v>-1.2892425994172839E-3</v>
      </c>
      <c r="CN3265" t="s">
        <v>798</v>
      </c>
      <c r="CO3265">
        <v>5.9501968908871848E-3</v>
      </c>
      <c r="CP3265">
        <v>-4.5468666627326669E-4</v>
      </c>
    </row>
    <row r="3266" spans="89:94" x14ac:dyDescent="0.4">
      <c r="CK3266" t="s">
        <v>798</v>
      </c>
      <c r="CL3266">
        <v>5.016770009893522E-3</v>
      </c>
      <c r="CM3266">
        <v>3.3741898090540539E-3</v>
      </c>
      <c r="CN3266" t="s">
        <v>811</v>
      </c>
      <c r="CO3266">
        <v>4.4289282670663252E-3</v>
      </c>
      <c r="CP3266">
        <v>2.4975954516104961E-4</v>
      </c>
    </row>
    <row r="3267" spans="89:94" x14ac:dyDescent="0.4">
      <c r="CK3267" t="s">
        <v>811</v>
      </c>
      <c r="CL3267">
        <v>2.577457462752359E-3</v>
      </c>
      <c r="CM3267">
        <v>1.3735870994482169E-3</v>
      </c>
      <c r="CN3267" t="s">
        <v>813</v>
      </c>
      <c r="CO3267">
        <v>4.4008051955684857E-3</v>
      </c>
      <c r="CP3267">
        <v>-5.3790996895397994E-3</v>
      </c>
    </row>
    <row r="3268" spans="89:94" x14ac:dyDescent="0.4">
      <c r="CN3268" t="s">
        <v>793</v>
      </c>
      <c r="CO3268">
        <v>1.4939463398865669E-3</v>
      </c>
      <c r="CP3268">
        <v>1.4939463398865669E-3</v>
      </c>
    </row>
    <row r="3280" spans="89:94" x14ac:dyDescent="0.4">
      <c r="CK3280" t="s">
        <v>787</v>
      </c>
      <c r="CL3280">
        <v>0.1441976662744581</v>
      </c>
      <c r="CM3280">
        <v>1.4049948641458841E-2</v>
      </c>
      <c r="CN3280" t="s">
        <v>807</v>
      </c>
      <c r="CO3280">
        <v>0.33691931999147962</v>
      </c>
      <c r="CP3280">
        <v>-9.3444452283819035E-3</v>
      </c>
    </row>
    <row r="3281" spans="89:94" x14ac:dyDescent="0.4">
      <c r="CK3281" t="s">
        <v>789</v>
      </c>
      <c r="CL3281">
        <v>7.7817512197348518E-2</v>
      </c>
      <c r="CM3281">
        <v>4.6763531859170954E-3</v>
      </c>
      <c r="CN3281" t="s">
        <v>817</v>
      </c>
      <c r="CO3281">
        <v>3.0433173998600221E-2</v>
      </c>
      <c r="CP3281">
        <v>2.3454916727840971E-2</v>
      </c>
    </row>
    <row r="3282" spans="89:94" x14ac:dyDescent="0.4">
      <c r="CK3282" t="s">
        <v>783</v>
      </c>
      <c r="CL3282">
        <v>2.9806541430411719E-2</v>
      </c>
      <c r="CM3282">
        <v>-2.3169292367643118E-3</v>
      </c>
      <c r="CN3282" t="s">
        <v>787</v>
      </c>
      <c r="CO3282">
        <v>1.7370462383478551E-2</v>
      </c>
      <c r="CP3282">
        <v>-5.8196240134182134E-3</v>
      </c>
    </row>
    <row r="3283" spans="89:94" x14ac:dyDescent="0.4">
      <c r="CK3283" t="s">
        <v>817</v>
      </c>
      <c r="CL3283">
        <v>1.389356710316776E-2</v>
      </c>
      <c r="CM3283">
        <v>-8.7975026339213828E-4</v>
      </c>
      <c r="CN3283" t="s">
        <v>798</v>
      </c>
      <c r="CO3283">
        <v>5.6810824449471031E-3</v>
      </c>
      <c r="CP3283">
        <v>-2.6911444594008172E-4</v>
      </c>
    </row>
    <row r="3284" spans="89:94" x14ac:dyDescent="0.4">
      <c r="CK3284" t="s">
        <v>811</v>
      </c>
      <c r="CL3284">
        <v>5.6913685374339416E-3</v>
      </c>
      <c r="CM3284">
        <v>3.1139110746815839E-3</v>
      </c>
      <c r="CN3284" t="s">
        <v>789</v>
      </c>
      <c r="CO3284">
        <v>5.2730646535547286E-3</v>
      </c>
      <c r="CP3284">
        <v>-2.721102576357012E-3</v>
      </c>
    </row>
    <row r="3285" spans="89:94" x14ac:dyDescent="0.4">
      <c r="CK3285" t="s">
        <v>793</v>
      </c>
      <c r="CL3285">
        <v>3.2987123048677821E-3</v>
      </c>
      <c r="CM3285">
        <v>-2.7574275562310849E-3</v>
      </c>
      <c r="CN3285" t="s">
        <v>783</v>
      </c>
      <c r="CO3285">
        <v>4.2643223751610256E-3</v>
      </c>
      <c r="CP3285">
        <v>-2.0709455825613089E-3</v>
      </c>
    </row>
    <row r="3286" spans="89:94" x14ac:dyDescent="0.4">
      <c r="CK3286" t="s">
        <v>798</v>
      </c>
      <c r="CL3286">
        <v>2.612145617576354E-3</v>
      </c>
      <c r="CM3286">
        <v>-2.4046243923171681E-3</v>
      </c>
      <c r="CN3286" t="s">
        <v>813</v>
      </c>
      <c r="CO3286">
        <v>3.1513921713816218E-3</v>
      </c>
      <c r="CP3286">
        <v>-1.249413024186863E-3</v>
      </c>
    </row>
    <row r="3287" spans="89:94" x14ac:dyDescent="0.4">
      <c r="CN3287" t="s">
        <v>811</v>
      </c>
      <c r="CO3287">
        <v>2.4780934605982529E-3</v>
      </c>
      <c r="CP3287">
        <v>-1.950834806468072E-3</v>
      </c>
    </row>
    <row r="3288" spans="89:94" x14ac:dyDescent="0.4">
      <c r="CN3288" t="s">
        <v>793</v>
      </c>
      <c r="CO3288">
        <v>1.3937765628328281E-3</v>
      </c>
      <c r="CP3288">
        <v>-1.0016977705373951E-4</v>
      </c>
    </row>
  </sheetData>
  <phoneticPr fontId="17"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A126"/>
  <sheetViews>
    <sheetView workbookViewId="0">
      <pane xSplit="4" ySplit="6" topLeftCell="E7" activePane="bottomRight" state="frozen"/>
      <selection pane="topRight"/>
      <selection pane="bottomLeft"/>
      <selection pane="bottomRight"/>
    </sheetView>
  </sheetViews>
  <sheetFormatPr defaultRowHeight="14.35" x14ac:dyDescent="0.4"/>
  <cols>
    <col min="1" max="1" width="6" customWidth="1"/>
    <col min="2" max="2" width="42" customWidth="1"/>
    <col min="3" max="3" width="12" customWidth="1"/>
    <col min="4" max="4" width="46" customWidth="1"/>
    <col min="5" max="23" width="14" customWidth="1"/>
    <col min="24" max="26" width="2.41015625" customWidth="1"/>
    <col min="27" max="28" width="38" customWidth="1"/>
    <col min="53" max="53" width="13" hidden="1" customWidth="1"/>
  </cols>
  <sheetData>
    <row r="1" spans="1:53" ht="15.35" x14ac:dyDescent="0.55000000000000004">
      <c r="A1" s="61" t="s">
        <v>87</v>
      </c>
      <c r="B1" s="62"/>
    </row>
    <row r="2" spans="1:53" ht="14.7" x14ac:dyDescent="0.45">
      <c r="A2" s="5" t="s">
        <v>5649</v>
      </c>
    </row>
    <row r="3" spans="1:53" ht="15.35" x14ac:dyDescent="0.55000000000000004">
      <c r="A3" s="3" t="s">
        <v>5650</v>
      </c>
      <c r="B3" s="93" t="str">
        <f>_calc!$AH$1</f>
        <v>华夏华润消费封闭式基础设施证券投资基金</v>
      </c>
      <c r="C3" s="62"/>
      <c r="D3" s="62"/>
    </row>
    <row r="4" spans="1:53" ht="15.35" x14ac:dyDescent="0.55000000000000004">
      <c r="A4" s="3" t="s">
        <v>5651</v>
      </c>
      <c r="B4" s="92" t="s">
        <v>4926</v>
      </c>
      <c r="C4" s="62"/>
      <c r="D4" s="62"/>
      <c r="BA4" s="2" t="str">
        <f>IF(OR($B$4="",COUNTIF(_calc!$AI$1:$AI$30,$B$4)=0),_calc!$AI$1,$B$4)</f>
        <v>基金整体</v>
      </c>
    </row>
    <row r="5" spans="1:53" ht="15.35" x14ac:dyDescent="0.55000000000000004">
      <c r="A5" s="3" t="s">
        <v>5652</v>
      </c>
      <c r="B5" s="92" t="s">
        <v>5657</v>
      </c>
      <c r="C5" s="62"/>
      <c r="D5" s="62"/>
      <c r="BA5" s="2" t="str">
        <f>IF(OR($B$5="",COUNTIF(_calc!$AK$1:$AK$3,$B$5)=0),_calc!$AL$1,$B$5)</f>
        <v>季度</v>
      </c>
    </row>
    <row r="6" spans="1:53" ht="24" customHeight="1" x14ac:dyDescent="0.4">
      <c r="A6" s="6" t="s">
        <v>5653</v>
      </c>
      <c r="B6" s="6" t="s">
        <v>82</v>
      </c>
      <c r="C6" s="6" t="s">
        <v>5092</v>
      </c>
      <c r="D6" s="6" t="s">
        <v>5654</v>
      </c>
      <c r="E6" s="6" t="str">
        <f>IFERROR(INDEX(_calc!$C$2:$C$3000,MATCH(COLUMN()-4,_calc!$Q$2:$Q$3000,0)),"")</f>
        <v>2024Q1</v>
      </c>
      <c r="F6" s="6" t="str">
        <f>IFERROR(INDEX(_calc!$C$2:$C$3000,MATCH(COLUMN()-4,_calc!$Q$2:$Q$3000,0)),"")</f>
        <v>2024Q2</v>
      </c>
      <c r="G6" s="6" t="str">
        <f>IFERROR(INDEX(_calc!$C$2:$C$3000,MATCH(COLUMN()-4,_calc!$Q$2:$Q$3000,0)),"")</f>
        <v>2024Q3</v>
      </c>
      <c r="H6" s="6" t="str">
        <f>IFERROR(INDEX(_calc!$C$2:$C$3000,MATCH(COLUMN()-4,_calc!$Q$2:$Q$3000,0)),"")</f>
        <v>2024Q4</v>
      </c>
      <c r="I6" s="6" t="str">
        <f>IFERROR(INDEX(_calc!$C$2:$C$3000,MATCH(COLUMN()-4,_calc!$Q$2:$Q$3000,0)),"")</f>
        <v>2025Q1</v>
      </c>
      <c r="J6" s="6" t="str">
        <f>IFERROR(INDEX(_calc!$C$2:$C$3000,MATCH(COLUMN()-4,_calc!$Q$2:$Q$3000,0)),"")</f>
        <v>2025Q2</v>
      </c>
      <c r="K6" s="6" t="str">
        <f>IFERROR(INDEX(_calc!$C$2:$C$3000,MATCH(COLUMN()-4,_calc!$Q$2:$Q$3000,0)),"")</f>
        <v>2025Q3</v>
      </c>
      <c r="L6" s="6" t="str">
        <f>IFERROR(INDEX(_calc!$C$2:$C$3000,MATCH(COLUMN()-4,_calc!$Q$2:$Q$3000,0)),"")</f>
        <v>2025Q4</v>
      </c>
      <c r="M6" s="6" t="str">
        <f>IFERROR(INDEX(_calc!$C$2:$C$3000,MATCH(COLUMN()-4,_calc!$Q$2:$Q$3000,0)),"")</f>
        <v>2026Q1</v>
      </c>
      <c r="N6" s="6" t="str">
        <f>IFERROR(INDEX(_calc!$C$2:$C$3000,MATCH(COLUMN()-4,_calc!$Q$2:$Q$3000,0)),"")</f>
        <v>2026Q2</v>
      </c>
      <c r="O6" s="6" t="str">
        <f>IFERROR(INDEX(_calc!$C$2:$C$3000,MATCH(COLUMN()-4,_calc!$Q$2:$Q$3000,0)),"")</f>
        <v/>
      </c>
      <c r="P6" s="6" t="str">
        <f>IFERROR(INDEX(_calc!$C$2:$C$3000,MATCH(COLUMN()-4,_calc!$Q$2:$Q$3000,0)),"")</f>
        <v/>
      </c>
      <c r="Q6" s="6" t="str">
        <f>IFERROR(INDEX(_calc!$C$2:$C$3000,MATCH(COLUMN()-4,_calc!$Q$2:$Q$3000,0)),"")</f>
        <v/>
      </c>
      <c r="R6" s="6" t="str">
        <f>IFERROR(INDEX(_calc!$C$2:$C$3000,MATCH(COLUMN()-4,_calc!$Q$2:$Q$3000,0)),"")</f>
        <v/>
      </c>
      <c r="S6" s="6" t="str">
        <f>IFERROR(INDEX(_calc!$C$2:$C$3000,MATCH(COLUMN()-4,_calc!$Q$2:$Q$3000,0)),"")</f>
        <v/>
      </c>
      <c r="T6" s="6" t="str">
        <f>IFERROR(INDEX(_calc!$C$2:$C$3000,MATCH(COLUMN()-4,_calc!$Q$2:$Q$3000,0)),"")</f>
        <v/>
      </c>
      <c r="U6" s="6" t="str">
        <f>IFERROR(INDEX(_calc!$C$2:$C$3000,MATCH(COLUMN()-4,_calc!$Q$2:$Q$3000,0)),"")</f>
        <v/>
      </c>
      <c r="V6" s="6" t="str">
        <f>IFERROR(INDEX(_calc!$C$2:$C$3000,MATCH(COLUMN()-4,_calc!$Q$2:$Q$3000,0)),"")</f>
        <v/>
      </c>
      <c r="W6" s="6" t="str">
        <f>IFERROR(INDEX(_calc!$C$2:$C$3000,MATCH(COLUMN()-4,_calc!$Q$2:$Q$3000,0)),"")</f>
        <v/>
      </c>
      <c r="X6" s="6" t="str">
        <f>IFERROR(INDEX(_calc!$C$2:$C$3000,MATCH(COLUMN()-4,_calc!$Q$2:$Q$3000,0)),"")</f>
        <v/>
      </c>
    </row>
    <row r="7" spans="1:53" x14ac:dyDescent="0.4">
      <c r="A7" s="48">
        <v>1</v>
      </c>
      <c r="B7" s="49" t="str">
        <f>IFERROR(INDEX(_calc!$I$2:$I$3000,MATCH($A7,_calc!$AB$2:$AB$3000,0)),"")</f>
        <v>基金整体</v>
      </c>
      <c r="C7" s="49" t="str">
        <f>IFERROR(INDEX(_calc!$H$2:$H$3000,MATCH($A7,_calc!$AB$2:$AB$3000,0)),"")</f>
        <v>服务量</v>
      </c>
      <c r="D7" s="49" t="str">
        <f>IFERROR(INDEX(_calc!$K$2:$K$3000,MATCH($A7,_calc!$AB$2:$AB$3000,0)),"")</f>
        <v>期末加权平均剩余租期（年）</v>
      </c>
      <c r="E7" s="50">
        <f>IF(OR($B7="",E$6=""),"",IF(COUNTIFS(_calc!$AE$2:$AE$3000,$B7&amp;"|"&amp;$D7,_calc!$A$2:$A$3000,$B$3,_calc!$C$2:$C$3000,E$6)=0,"",SUMIFS(_calc!$E$2:$E$3000,_calc!$AE$2:$AE$3000,$B7&amp;"|"&amp;$D7,_calc!$A$2:$A$3000,$B$3,_calc!$C$2:$C$3000,E$6)))</f>
        <v>2.17</v>
      </c>
      <c r="F7" s="50">
        <f>IF(OR($B7="",F$6=""),"",IF(COUNTIFS(_calc!$AE$2:$AE$3000,$B7&amp;"|"&amp;$D7,_calc!$A$2:$A$3000,$B$3,_calc!$C$2:$C$3000,F$6)=0,"",SUMIFS(_calc!$E$2:$E$3000,_calc!$AE$2:$AE$3000,$B7&amp;"|"&amp;$D7,_calc!$A$2:$A$3000,$B$3,_calc!$C$2:$C$3000,F$6)))</f>
        <v>1.84</v>
      </c>
      <c r="G7" s="50">
        <f>IF(OR($B7="",G$6=""),"",IF(COUNTIFS(_calc!$AE$2:$AE$3000,$B7&amp;"|"&amp;$D7,_calc!$A$2:$A$3000,$B$3,_calc!$C$2:$C$3000,G$6)=0,"",SUMIFS(_calc!$E$2:$E$3000,_calc!$AE$2:$AE$3000,$B7&amp;"|"&amp;$D7,_calc!$A$2:$A$3000,$B$3,_calc!$C$2:$C$3000,G$6)))</f>
        <v>1.79</v>
      </c>
      <c r="H7" s="50" t="str">
        <f>IF(OR($B7="",H$6=""),"",IF(COUNTIFS(_calc!$AE$2:$AE$3000,$B7&amp;"|"&amp;$D7,_calc!$A$2:$A$3000,$B$3,_calc!$C$2:$C$3000,H$6)=0,"",SUMIFS(_calc!$E$2:$E$3000,_calc!$AE$2:$AE$3000,$B7&amp;"|"&amp;$D7,_calc!$A$2:$A$3000,$B$3,_calc!$C$2:$C$3000,H$6)))</f>
        <v/>
      </c>
      <c r="I7" s="50">
        <f>IF(OR($B7="",I$6=""),"",IF(COUNTIFS(_calc!$AE$2:$AE$3000,$B7&amp;"|"&amp;$D7,_calc!$A$2:$A$3000,$B$3,_calc!$C$2:$C$3000,I$6)=0,"",SUMIFS(_calc!$E$2:$E$3000,_calc!$AE$2:$AE$3000,$B7&amp;"|"&amp;$D7,_calc!$A$2:$A$3000,$B$3,_calc!$C$2:$C$3000,I$6)))</f>
        <v>2.0299999999999998</v>
      </c>
      <c r="J7" s="50">
        <f>IF(OR($B7="",J$6=""),"",IF(COUNTIFS(_calc!$AE$2:$AE$3000,$B7&amp;"|"&amp;$D7,_calc!$A$2:$A$3000,$B$3,_calc!$C$2:$C$3000,J$6)=0,"",SUMIFS(_calc!$E$2:$E$3000,_calc!$AE$2:$AE$3000,$B7&amp;"|"&amp;$D7,_calc!$A$2:$A$3000,$B$3,_calc!$C$2:$C$3000,J$6)))</f>
        <v>1.99</v>
      </c>
      <c r="K7" s="50">
        <f>IF(OR($B7="",K$6=""),"",IF(COUNTIFS(_calc!$AE$2:$AE$3000,$B7&amp;"|"&amp;$D7,_calc!$A$2:$A$3000,$B$3,_calc!$C$2:$C$3000,K$6)=0,"",SUMIFS(_calc!$E$2:$E$3000,_calc!$AE$2:$AE$3000,$B7&amp;"|"&amp;$D7,_calc!$A$2:$A$3000,$B$3,_calc!$C$2:$C$3000,K$6)))</f>
        <v>1.92</v>
      </c>
      <c r="L7" s="50" t="str">
        <f>IF(OR($B7="",L$6=""),"",IF(COUNTIFS(_calc!$AE$2:$AE$3000,$B7&amp;"|"&amp;$D7,_calc!$A$2:$A$3000,$B$3,_calc!$C$2:$C$3000,L$6)=0,"",SUMIFS(_calc!$E$2:$E$3000,_calc!$AE$2:$AE$3000,$B7&amp;"|"&amp;$D7,_calc!$A$2:$A$3000,$B$3,_calc!$C$2:$C$3000,L$6)))</f>
        <v/>
      </c>
      <c r="M7" s="50" t="str">
        <f>IF(OR($B7="",M$6=""),"",IF(COUNTIFS(_calc!$AE$2:$AE$3000,$B7&amp;"|"&amp;$D7,_calc!$A$2:$A$3000,$B$3,_calc!$C$2:$C$3000,M$6)=0,"",SUMIFS(_calc!$E$2:$E$3000,_calc!$AE$2:$AE$3000,$B7&amp;"|"&amp;$D7,_calc!$A$2:$A$3000,$B$3,_calc!$C$2:$C$3000,M$6)))</f>
        <v/>
      </c>
      <c r="N7" s="50" t="str">
        <f>IF(OR($B7="",N$6=""),"",IF(COUNTIFS(_calc!$AE$2:$AE$3000,$B7&amp;"|"&amp;$D7,_calc!$A$2:$A$3000,$B$3,_calc!$C$2:$C$3000,N$6)=0,"",SUMIFS(_calc!$E$2:$E$3000,_calc!$AE$2:$AE$3000,$B7&amp;"|"&amp;$D7,_calc!$A$2:$A$3000,$B$3,_calc!$C$2:$C$3000,N$6)))</f>
        <v/>
      </c>
      <c r="O7" s="50" t="str">
        <f>IF(OR($B7="",O$6=""),"",IF(COUNTIFS(_calc!$AE$2:$AE$3000,$B7&amp;"|"&amp;$D7,_calc!$A$2:$A$3000,$B$3,_calc!$C$2:$C$3000,O$6)=0,"",SUMIFS(_calc!$E$2:$E$3000,_calc!$AE$2:$AE$3000,$B7&amp;"|"&amp;$D7,_calc!$A$2:$A$3000,$B$3,_calc!$C$2:$C$3000,O$6)))</f>
        <v/>
      </c>
      <c r="P7" s="50" t="str">
        <f>IF(OR($B7="",P$6=""),"",IF(COUNTIFS(_calc!$AE$2:$AE$3000,$B7&amp;"|"&amp;$D7,_calc!$A$2:$A$3000,$B$3,_calc!$C$2:$C$3000,P$6)=0,"",SUMIFS(_calc!$E$2:$E$3000,_calc!$AE$2:$AE$3000,$B7&amp;"|"&amp;$D7,_calc!$A$2:$A$3000,$B$3,_calc!$C$2:$C$3000,P$6)))</f>
        <v/>
      </c>
      <c r="Q7" s="50" t="str">
        <f>IF(OR($B7="",Q$6=""),"",IF(COUNTIFS(_calc!$AE$2:$AE$3000,$B7&amp;"|"&amp;$D7,_calc!$A$2:$A$3000,$B$3,_calc!$C$2:$C$3000,Q$6)=0,"",SUMIFS(_calc!$E$2:$E$3000,_calc!$AE$2:$AE$3000,$B7&amp;"|"&amp;$D7,_calc!$A$2:$A$3000,$B$3,_calc!$C$2:$C$3000,Q$6)))</f>
        <v/>
      </c>
      <c r="R7" s="50" t="str">
        <f>IF(OR($B7="",R$6=""),"",IF(COUNTIFS(_calc!$AE$2:$AE$3000,$B7&amp;"|"&amp;$D7,_calc!$A$2:$A$3000,$B$3,_calc!$C$2:$C$3000,R$6)=0,"",SUMIFS(_calc!$E$2:$E$3000,_calc!$AE$2:$AE$3000,$B7&amp;"|"&amp;$D7,_calc!$A$2:$A$3000,$B$3,_calc!$C$2:$C$3000,R$6)))</f>
        <v/>
      </c>
      <c r="S7" s="50" t="str">
        <f>IF(OR($B7="",S$6=""),"",IF(COUNTIFS(_calc!$AE$2:$AE$3000,$B7&amp;"|"&amp;$D7,_calc!$A$2:$A$3000,$B$3,_calc!$C$2:$C$3000,S$6)=0,"",SUMIFS(_calc!$E$2:$E$3000,_calc!$AE$2:$AE$3000,$B7&amp;"|"&amp;$D7,_calc!$A$2:$A$3000,$B$3,_calc!$C$2:$C$3000,S$6)))</f>
        <v/>
      </c>
      <c r="T7" s="50" t="str">
        <f>IF(OR($B7="",T$6=""),"",IF(COUNTIFS(_calc!$AE$2:$AE$3000,$B7&amp;"|"&amp;$D7,_calc!$A$2:$A$3000,$B$3,_calc!$C$2:$C$3000,T$6)=0,"",SUMIFS(_calc!$E$2:$E$3000,_calc!$AE$2:$AE$3000,$B7&amp;"|"&amp;$D7,_calc!$A$2:$A$3000,$B$3,_calc!$C$2:$C$3000,T$6)))</f>
        <v/>
      </c>
      <c r="U7" s="50" t="str">
        <f>IF(OR($B7="",U$6=""),"",IF(COUNTIFS(_calc!$AE$2:$AE$3000,$B7&amp;"|"&amp;$D7,_calc!$A$2:$A$3000,$B$3,_calc!$C$2:$C$3000,U$6)=0,"",SUMIFS(_calc!$E$2:$E$3000,_calc!$AE$2:$AE$3000,$B7&amp;"|"&amp;$D7,_calc!$A$2:$A$3000,$B$3,_calc!$C$2:$C$3000,U$6)))</f>
        <v/>
      </c>
      <c r="V7" s="50" t="str">
        <f>IF(OR($B7="",V$6=""),"",IF(COUNTIFS(_calc!$AE$2:$AE$3000,$B7&amp;"|"&amp;$D7,_calc!$A$2:$A$3000,$B$3,_calc!$C$2:$C$3000,V$6)=0,"",SUMIFS(_calc!$E$2:$E$3000,_calc!$AE$2:$AE$3000,$B7&amp;"|"&amp;$D7,_calc!$A$2:$A$3000,$B$3,_calc!$C$2:$C$3000,V$6)))</f>
        <v/>
      </c>
      <c r="W7" s="50" t="str">
        <f>IF(OR($B7="",W$6=""),"",IF(COUNTIFS(_calc!$AE$2:$AE$3000,$B7&amp;"|"&amp;$D7,_calc!$A$2:$A$3000,$B$3,_calc!$C$2:$C$3000,W$6)=0,"",SUMIFS(_calc!$E$2:$E$3000,_calc!$AE$2:$AE$3000,$B7&amp;"|"&amp;$D7,_calc!$A$2:$A$3000,$B$3,_calc!$C$2:$C$3000,W$6)))</f>
        <v/>
      </c>
      <c r="X7" s="50" t="str">
        <f>IF(OR($B7="",X$6=""),"",IF(COUNTIFS(_calc!$AE$2:$AE$3000,$B7&amp;"|"&amp;$D7,_calc!$A$2:$A$3000,$B$3,_calc!$C$2:$C$3000,X$6)=0,"",SUMIFS(_calc!$E$2:$E$3000,_calc!$AE$2:$AE$3000,$B7&amp;"|"&amp;$D7,_calc!$A$2:$A$3000,$B$3,_calc!$C$2:$C$3000,X$6)))</f>
        <v/>
      </c>
    </row>
    <row r="8" spans="1:53" ht="15.35" x14ac:dyDescent="0.55000000000000004">
      <c r="A8" s="48">
        <v>2</v>
      </c>
      <c r="B8" s="49" t="str">
        <f>IFERROR(INDEX(_calc!$I$2:$I$3000,MATCH($A8,_calc!$AB$2:$AB$3000,0)),"")</f>
        <v>基金整体</v>
      </c>
      <c r="C8" s="49" t="str">
        <f>IFERROR(INDEX(_calc!$H$2:$H$3000,MATCH($A8,_calc!$AB$2:$AB$3000,0)),"")</f>
        <v>服务量</v>
      </c>
      <c r="D8" s="49" t="str">
        <f>IFERROR(INDEX(_calc!$K$2:$K$3000,MATCH($A8,_calc!$AB$2:$AB$3000,0)),"")</f>
        <v>期末可供出租面积（平方米）</v>
      </c>
      <c r="E8" s="50">
        <f>IF(OR($B8="",E$6=""),"",IF(COUNTIFS(_calc!$AE$2:$AE$3000,$B8&amp;"|"&amp;$D8,_calc!$A$2:$A$3000,$B$3,_calc!$C$2:$C$3000,E$6)=0,"",SUMIFS(_calc!$E$2:$E$3000,_calc!$AE$2:$AE$3000,$B8&amp;"|"&amp;$D8,_calc!$A$2:$A$3000,$B$3,_calc!$C$2:$C$3000,E$6)))</f>
        <v>136577.5</v>
      </c>
      <c r="F8" s="50">
        <f>IF(OR($B8="",F$6=""),"",IF(COUNTIFS(_calc!$AE$2:$AE$3000,$B8&amp;"|"&amp;$D8,_calc!$A$2:$A$3000,$B$3,_calc!$C$2:$C$3000,F$6)=0,"",SUMIFS(_calc!$E$2:$E$3000,_calc!$AE$2:$AE$3000,$B8&amp;"|"&amp;$D8,_calc!$A$2:$A$3000,$B$3,_calc!$C$2:$C$3000,F$6)))</f>
        <v>137729.5</v>
      </c>
      <c r="G8" s="50">
        <f>IF(OR($B8="",G$6=""),"",IF(COUNTIFS(_calc!$AE$2:$AE$3000,$B8&amp;"|"&amp;$D8,_calc!$A$2:$A$3000,$B$3,_calc!$C$2:$C$3000,G$6)=0,"",SUMIFS(_calc!$E$2:$E$3000,_calc!$AE$2:$AE$3000,$B8&amp;"|"&amp;$D8,_calc!$A$2:$A$3000,$B$3,_calc!$C$2:$C$3000,G$6)))</f>
        <v>137186</v>
      </c>
      <c r="H8" s="50" t="str">
        <f>IF(OR($B8="",H$6=""),"",IF(COUNTIFS(_calc!$AE$2:$AE$3000,$B8&amp;"|"&amp;$D8,_calc!$A$2:$A$3000,$B$3,_calc!$C$2:$C$3000,H$6)=0,"",SUMIFS(_calc!$E$2:$E$3000,_calc!$AE$2:$AE$3000,$B8&amp;"|"&amp;$D8,_calc!$A$2:$A$3000,$B$3,_calc!$C$2:$C$3000,H$6)))</f>
        <v/>
      </c>
      <c r="I8" s="50">
        <f>IF(OR($B8="",I$6=""),"",IF(COUNTIFS(_calc!$AE$2:$AE$3000,$B8&amp;"|"&amp;$D8,_calc!$A$2:$A$3000,$B$3,_calc!$C$2:$C$3000,I$6)=0,"",SUMIFS(_calc!$E$2:$E$3000,_calc!$AE$2:$AE$3000,$B8&amp;"|"&amp;$D8,_calc!$A$2:$A$3000,$B$3,_calc!$C$2:$C$3000,I$6)))</f>
        <v>134150.5</v>
      </c>
      <c r="J8" s="50">
        <f>IF(OR($B8="",J$6=""),"",IF(COUNTIFS(_calc!$AE$2:$AE$3000,$B8&amp;"|"&amp;$D8,_calc!$A$2:$A$3000,$B$3,_calc!$C$2:$C$3000,J$6)=0,"",SUMIFS(_calc!$E$2:$E$3000,_calc!$AE$2:$AE$3000,$B8&amp;"|"&amp;$D8,_calc!$A$2:$A$3000,$B$3,_calc!$C$2:$C$3000,J$6)))</f>
        <v>136990</v>
      </c>
      <c r="K8" s="50">
        <f>IF(OR($B8="",K$6=""),"",IF(COUNTIFS(_calc!$AE$2:$AE$3000,$B8&amp;"|"&amp;$D8,_calc!$A$2:$A$3000,$B$3,_calc!$C$2:$C$3000,K$6)=0,"",SUMIFS(_calc!$E$2:$E$3000,_calc!$AE$2:$AE$3000,$B8&amp;"|"&amp;$D8,_calc!$A$2:$A$3000,$B$3,_calc!$C$2:$C$3000,K$6)))</f>
        <v>139913</v>
      </c>
      <c r="L8" s="50" t="str">
        <f>IF(OR($B8="",L$6=""),"",IF(COUNTIFS(_calc!$AE$2:$AE$3000,$B8&amp;"|"&amp;$D8,_calc!$A$2:$A$3000,$B$3,_calc!$C$2:$C$3000,L$6)=0,"",SUMIFS(_calc!$E$2:$E$3000,_calc!$AE$2:$AE$3000,$B8&amp;"|"&amp;$D8,_calc!$A$2:$A$3000,$B$3,_calc!$C$2:$C$3000,L$6)))</f>
        <v/>
      </c>
      <c r="M8" s="50" t="str">
        <f>IF(OR($B8="",M$6=""),"",IF(COUNTIFS(_calc!$AE$2:$AE$3000,$B8&amp;"|"&amp;$D8,_calc!$A$2:$A$3000,$B$3,_calc!$C$2:$C$3000,M$6)=0,"",SUMIFS(_calc!$E$2:$E$3000,_calc!$AE$2:$AE$3000,$B8&amp;"|"&amp;$D8,_calc!$A$2:$A$3000,$B$3,_calc!$C$2:$C$3000,M$6)))</f>
        <v/>
      </c>
      <c r="N8" s="50" t="str">
        <f>IF(OR($B8="",N$6=""),"",IF(COUNTIFS(_calc!$AE$2:$AE$3000,$B8&amp;"|"&amp;$D8,_calc!$A$2:$A$3000,$B$3,_calc!$C$2:$C$3000,N$6)=0,"",SUMIFS(_calc!$E$2:$E$3000,_calc!$AE$2:$AE$3000,$B8&amp;"|"&amp;$D8,_calc!$A$2:$A$3000,$B$3,_calc!$C$2:$C$3000,N$6)))</f>
        <v/>
      </c>
      <c r="O8" s="50" t="str">
        <f>IF(OR($B8="",O$6=""),"",IF(COUNTIFS(_calc!$AE$2:$AE$3000,$B8&amp;"|"&amp;$D8,_calc!$A$2:$A$3000,$B$3,_calc!$C$2:$C$3000,O$6)=0,"",SUMIFS(_calc!$E$2:$E$3000,_calc!$AE$2:$AE$3000,$B8&amp;"|"&amp;$D8,_calc!$A$2:$A$3000,$B$3,_calc!$C$2:$C$3000,O$6)))</f>
        <v/>
      </c>
      <c r="P8" s="50" t="str">
        <f>IF(OR($B8="",P$6=""),"",IF(COUNTIFS(_calc!$AE$2:$AE$3000,$B8&amp;"|"&amp;$D8,_calc!$A$2:$A$3000,$B$3,_calc!$C$2:$C$3000,P$6)=0,"",SUMIFS(_calc!$E$2:$E$3000,_calc!$AE$2:$AE$3000,$B8&amp;"|"&amp;$D8,_calc!$A$2:$A$3000,$B$3,_calc!$C$2:$C$3000,P$6)))</f>
        <v/>
      </c>
      <c r="Q8" s="50" t="str">
        <f>IF(OR($B8="",Q$6=""),"",IF(COUNTIFS(_calc!$AE$2:$AE$3000,$B8&amp;"|"&amp;$D8,_calc!$A$2:$A$3000,$B$3,_calc!$C$2:$C$3000,Q$6)=0,"",SUMIFS(_calc!$E$2:$E$3000,_calc!$AE$2:$AE$3000,$B8&amp;"|"&amp;$D8,_calc!$A$2:$A$3000,$B$3,_calc!$C$2:$C$3000,Q$6)))</f>
        <v/>
      </c>
      <c r="R8" s="50" t="str">
        <f>IF(OR($B8="",R$6=""),"",IF(COUNTIFS(_calc!$AE$2:$AE$3000,$B8&amp;"|"&amp;$D8,_calc!$A$2:$A$3000,$B$3,_calc!$C$2:$C$3000,R$6)=0,"",SUMIFS(_calc!$E$2:$E$3000,_calc!$AE$2:$AE$3000,$B8&amp;"|"&amp;$D8,_calc!$A$2:$A$3000,$B$3,_calc!$C$2:$C$3000,R$6)))</f>
        <v/>
      </c>
      <c r="S8" s="50" t="str">
        <f>IF(OR($B8="",S$6=""),"",IF(COUNTIFS(_calc!$AE$2:$AE$3000,$B8&amp;"|"&amp;$D8,_calc!$A$2:$A$3000,$B$3,_calc!$C$2:$C$3000,S$6)=0,"",SUMIFS(_calc!$E$2:$E$3000,_calc!$AE$2:$AE$3000,$B8&amp;"|"&amp;$D8,_calc!$A$2:$A$3000,$B$3,_calc!$C$2:$C$3000,S$6)))</f>
        <v/>
      </c>
      <c r="T8" s="50" t="str">
        <f>IF(OR($B8="",T$6=""),"",IF(COUNTIFS(_calc!$AE$2:$AE$3000,$B8&amp;"|"&amp;$D8,_calc!$A$2:$A$3000,$B$3,_calc!$C$2:$C$3000,T$6)=0,"",SUMIFS(_calc!$E$2:$E$3000,_calc!$AE$2:$AE$3000,$B8&amp;"|"&amp;$D8,_calc!$A$2:$A$3000,$B$3,_calc!$C$2:$C$3000,T$6)))</f>
        <v/>
      </c>
      <c r="U8" s="50" t="str">
        <f>IF(OR($B8="",U$6=""),"",IF(COUNTIFS(_calc!$AE$2:$AE$3000,$B8&amp;"|"&amp;$D8,_calc!$A$2:$A$3000,$B$3,_calc!$C$2:$C$3000,U$6)=0,"",SUMIFS(_calc!$E$2:$E$3000,_calc!$AE$2:$AE$3000,$B8&amp;"|"&amp;$D8,_calc!$A$2:$A$3000,$B$3,_calc!$C$2:$C$3000,U$6)))</f>
        <v/>
      </c>
      <c r="V8" s="50" t="str">
        <f>IF(OR($B8="",V$6=""),"",IF(COUNTIFS(_calc!$AE$2:$AE$3000,$B8&amp;"|"&amp;$D8,_calc!$A$2:$A$3000,$B$3,_calc!$C$2:$C$3000,V$6)=0,"",SUMIFS(_calc!$E$2:$E$3000,_calc!$AE$2:$AE$3000,$B8&amp;"|"&amp;$D8,_calc!$A$2:$A$3000,$B$3,_calc!$C$2:$C$3000,V$6)))</f>
        <v/>
      </c>
      <c r="W8" s="50" t="str">
        <f>IF(OR($B8="",W$6=""),"",IF(COUNTIFS(_calc!$AE$2:$AE$3000,$B8&amp;"|"&amp;$D8,_calc!$A$2:$A$3000,$B$3,_calc!$C$2:$C$3000,W$6)=0,"",SUMIFS(_calc!$E$2:$E$3000,_calc!$AE$2:$AE$3000,$B8&amp;"|"&amp;$D8,_calc!$A$2:$A$3000,$B$3,_calc!$C$2:$C$3000,W$6)))</f>
        <v/>
      </c>
      <c r="X8" s="50" t="str">
        <f>IF(OR($B8="",X$6=""),"",IF(COUNTIFS(_calc!$AE$2:$AE$3000,$B8&amp;"|"&amp;$D8,_calc!$A$2:$A$3000,$B$3,_calc!$C$2:$C$3000,X$6)=0,"",SUMIFS(_calc!$E$2:$E$3000,_calc!$AE$2:$AE$3000,$B8&amp;"|"&amp;$D8,_calc!$A$2:$A$3000,$B$3,_calc!$C$2:$C$3000,X$6)))</f>
        <v/>
      </c>
      <c r="AA8" s="3" t="s">
        <v>5655</v>
      </c>
      <c r="AB8" s="5" t="s">
        <v>5656</v>
      </c>
    </row>
    <row r="9" spans="1:53" ht="15" x14ac:dyDescent="0.5">
      <c r="A9" s="48">
        <v>3</v>
      </c>
      <c r="B9" s="49" t="str">
        <f>IFERROR(INDEX(_calc!$I$2:$I$3000,MATCH($A9,_calc!$AB$2:$AB$3000,0)),"")</f>
        <v>基金整体</v>
      </c>
      <c r="C9" s="49" t="str">
        <f>IFERROR(INDEX(_calc!$H$2:$H$3000,MATCH($A9,_calc!$AB$2:$AB$3000,0)),"")</f>
        <v>服务量</v>
      </c>
      <c r="D9" s="49" t="str">
        <f>IFERROR(INDEX(_calc!$K$2:$K$3000,MATCH($A9,_calc!$AB$2:$AB$3000,0)),"")</f>
        <v>期末实际出租面积（平方米）</v>
      </c>
      <c r="E9" s="50">
        <f>IF(OR($B9="",E$6=""),"",IF(COUNTIFS(_calc!$AE$2:$AE$3000,$B9&amp;"|"&amp;$D9,_calc!$A$2:$A$3000,$B$3,_calc!$C$2:$C$3000,E$6)=0,"",SUMIFS(_calc!$E$2:$E$3000,_calc!$AE$2:$AE$3000,$B9&amp;"|"&amp;$D9,_calc!$A$2:$A$3000,$B$3,_calc!$C$2:$C$3000,E$6)))</f>
        <v>135206.5</v>
      </c>
      <c r="F9" s="50">
        <f>IF(OR($B9="",F$6=""),"",IF(COUNTIFS(_calc!$AE$2:$AE$3000,$B9&amp;"|"&amp;$D9,_calc!$A$2:$A$3000,$B$3,_calc!$C$2:$C$3000,F$6)=0,"",SUMIFS(_calc!$E$2:$E$3000,_calc!$AE$2:$AE$3000,$B9&amp;"|"&amp;$D9,_calc!$A$2:$A$3000,$B$3,_calc!$C$2:$C$3000,F$6)))</f>
        <v>136403.5</v>
      </c>
      <c r="G9" s="50">
        <f>IF(OR($B9="",G$6=""),"",IF(COUNTIFS(_calc!$AE$2:$AE$3000,$B9&amp;"|"&amp;$D9,_calc!$A$2:$A$3000,$B$3,_calc!$C$2:$C$3000,G$6)=0,"",SUMIFS(_calc!$E$2:$E$3000,_calc!$AE$2:$AE$3000,$B9&amp;"|"&amp;$D9,_calc!$A$2:$A$3000,$B$3,_calc!$C$2:$C$3000,G$6)))</f>
        <v>136227</v>
      </c>
      <c r="H9" s="50" t="str">
        <f>IF(OR($B9="",H$6=""),"",IF(COUNTIFS(_calc!$AE$2:$AE$3000,$B9&amp;"|"&amp;$D9,_calc!$A$2:$A$3000,$B$3,_calc!$C$2:$C$3000,H$6)=0,"",SUMIFS(_calc!$E$2:$E$3000,_calc!$AE$2:$AE$3000,$B9&amp;"|"&amp;$D9,_calc!$A$2:$A$3000,$B$3,_calc!$C$2:$C$3000,H$6)))</f>
        <v/>
      </c>
      <c r="I9" s="50">
        <f>IF(OR($B9="",I$6=""),"",IF(COUNTIFS(_calc!$AE$2:$AE$3000,$B9&amp;"|"&amp;$D9,_calc!$A$2:$A$3000,$B$3,_calc!$C$2:$C$3000,I$6)=0,"",SUMIFS(_calc!$E$2:$E$3000,_calc!$AE$2:$AE$3000,$B9&amp;"|"&amp;$D9,_calc!$A$2:$A$3000,$B$3,_calc!$C$2:$C$3000,I$6)))</f>
        <v>132949.5</v>
      </c>
      <c r="J9" s="50">
        <f>IF(OR($B9="",J$6=""),"",IF(COUNTIFS(_calc!$AE$2:$AE$3000,$B9&amp;"|"&amp;$D9,_calc!$A$2:$A$3000,$B$3,_calc!$C$2:$C$3000,J$6)=0,"",SUMIFS(_calc!$E$2:$E$3000,_calc!$AE$2:$AE$3000,$B9&amp;"|"&amp;$D9,_calc!$A$2:$A$3000,$B$3,_calc!$C$2:$C$3000,J$6)))</f>
        <v>135658</v>
      </c>
      <c r="K9" s="50">
        <f>IF(OR($B9="",K$6=""),"",IF(COUNTIFS(_calc!$AE$2:$AE$3000,$B9&amp;"|"&amp;$D9,_calc!$A$2:$A$3000,$B$3,_calc!$C$2:$C$3000,K$6)=0,"",SUMIFS(_calc!$E$2:$E$3000,_calc!$AE$2:$AE$3000,$B9&amp;"|"&amp;$D9,_calc!$A$2:$A$3000,$B$3,_calc!$C$2:$C$3000,K$6)))</f>
        <v>138137</v>
      </c>
      <c r="L9" s="50" t="str">
        <f>IF(OR($B9="",L$6=""),"",IF(COUNTIFS(_calc!$AE$2:$AE$3000,$B9&amp;"|"&amp;$D9,_calc!$A$2:$A$3000,$B$3,_calc!$C$2:$C$3000,L$6)=0,"",SUMIFS(_calc!$E$2:$E$3000,_calc!$AE$2:$AE$3000,$B9&amp;"|"&amp;$D9,_calc!$A$2:$A$3000,$B$3,_calc!$C$2:$C$3000,L$6)))</f>
        <v/>
      </c>
      <c r="M9" s="50" t="str">
        <f>IF(OR($B9="",M$6=""),"",IF(COUNTIFS(_calc!$AE$2:$AE$3000,$B9&amp;"|"&amp;$D9,_calc!$A$2:$A$3000,$B$3,_calc!$C$2:$C$3000,M$6)=0,"",SUMIFS(_calc!$E$2:$E$3000,_calc!$AE$2:$AE$3000,$B9&amp;"|"&amp;$D9,_calc!$A$2:$A$3000,$B$3,_calc!$C$2:$C$3000,M$6)))</f>
        <v/>
      </c>
      <c r="N9" s="50" t="str">
        <f>IF(OR($B9="",N$6=""),"",IF(COUNTIFS(_calc!$AE$2:$AE$3000,$B9&amp;"|"&amp;$D9,_calc!$A$2:$A$3000,$B$3,_calc!$C$2:$C$3000,N$6)=0,"",SUMIFS(_calc!$E$2:$E$3000,_calc!$AE$2:$AE$3000,$B9&amp;"|"&amp;$D9,_calc!$A$2:$A$3000,$B$3,_calc!$C$2:$C$3000,N$6)))</f>
        <v/>
      </c>
      <c r="O9" s="50" t="str">
        <f>IF(OR($B9="",O$6=""),"",IF(COUNTIFS(_calc!$AE$2:$AE$3000,$B9&amp;"|"&amp;$D9,_calc!$A$2:$A$3000,$B$3,_calc!$C$2:$C$3000,O$6)=0,"",SUMIFS(_calc!$E$2:$E$3000,_calc!$AE$2:$AE$3000,$B9&amp;"|"&amp;$D9,_calc!$A$2:$A$3000,$B$3,_calc!$C$2:$C$3000,O$6)))</f>
        <v/>
      </c>
      <c r="P9" s="50" t="str">
        <f>IF(OR($B9="",P$6=""),"",IF(COUNTIFS(_calc!$AE$2:$AE$3000,$B9&amp;"|"&amp;$D9,_calc!$A$2:$A$3000,$B$3,_calc!$C$2:$C$3000,P$6)=0,"",SUMIFS(_calc!$E$2:$E$3000,_calc!$AE$2:$AE$3000,$B9&amp;"|"&amp;$D9,_calc!$A$2:$A$3000,$B$3,_calc!$C$2:$C$3000,P$6)))</f>
        <v/>
      </c>
      <c r="Q9" s="50" t="str">
        <f>IF(OR($B9="",Q$6=""),"",IF(COUNTIFS(_calc!$AE$2:$AE$3000,$B9&amp;"|"&amp;$D9,_calc!$A$2:$A$3000,$B$3,_calc!$C$2:$C$3000,Q$6)=0,"",SUMIFS(_calc!$E$2:$E$3000,_calc!$AE$2:$AE$3000,$B9&amp;"|"&amp;$D9,_calc!$A$2:$A$3000,$B$3,_calc!$C$2:$C$3000,Q$6)))</f>
        <v/>
      </c>
      <c r="R9" s="50" t="str">
        <f>IF(OR($B9="",R$6=""),"",IF(COUNTIFS(_calc!$AE$2:$AE$3000,$B9&amp;"|"&amp;$D9,_calc!$A$2:$A$3000,$B$3,_calc!$C$2:$C$3000,R$6)=0,"",SUMIFS(_calc!$E$2:$E$3000,_calc!$AE$2:$AE$3000,$B9&amp;"|"&amp;$D9,_calc!$A$2:$A$3000,$B$3,_calc!$C$2:$C$3000,R$6)))</f>
        <v/>
      </c>
      <c r="S9" s="50" t="str">
        <f>IF(OR($B9="",S$6=""),"",IF(COUNTIFS(_calc!$AE$2:$AE$3000,$B9&amp;"|"&amp;$D9,_calc!$A$2:$A$3000,$B$3,_calc!$C$2:$C$3000,S$6)=0,"",SUMIFS(_calc!$E$2:$E$3000,_calc!$AE$2:$AE$3000,$B9&amp;"|"&amp;$D9,_calc!$A$2:$A$3000,$B$3,_calc!$C$2:$C$3000,S$6)))</f>
        <v/>
      </c>
      <c r="T9" s="50" t="str">
        <f>IF(OR($B9="",T$6=""),"",IF(COUNTIFS(_calc!$AE$2:$AE$3000,$B9&amp;"|"&amp;$D9,_calc!$A$2:$A$3000,$B$3,_calc!$C$2:$C$3000,T$6)=0,"",SUMIFS(_calc!$E$2:$E$3000,_calc!$AE$2:$AE$3000,$B9&amp;"|"&amp;$D9,_calc!$A$2:$A$3000,$B$3,_calc!$C$2:$C$3000,T$6)))</f>
        <v/>
      </c>
      <c r="U9" s="50" t="str">
        <f>IF(OR($B9="",U$6=""),"",IF(COUNTIFS(_calc!$AE$2:$AE$3000,$B9&amp;"|"&amp;$D9,_calc!$A$2:$A$3000,$B$3,_calc!$C$2:$C$3000,U$6)=0,"",SUMIFS(_calc!$E$2:$E$3000,_calc!$AE$2:$AE$3000,$B9&amp;"|"&amp;$D9,_calc!$A$2:$A$3000,$B$3,_calc!$C$2:$C$3000,U$6)))</f>
        <v/>
      </c>
      <c r="V9" s="50" t="str">
        <f>IF(OR($B9="",V$6=""),"",IF(COUNTIFS(_calc!$AE$2:$AE$3000,$B9&amp;"|"&amp;$D9,_calc!$A$2:$A$3000,$B$3,_calc!$C$2:$C$3000,V$6)=0,"",SUMIFS(_calc!$E$2:$E$3000,_calc!$AE$2:$AE$3000,$B9&amp;"|"&amp;$D9,_calc!$A$2:$A$3000,$B$3,_calc!$C$2:$C$3000,V$6)))</f>
        <v/>
      </c>
      <c r="W9" s="50" t="str">
        <f>IF(OR($B9="",W$6=""),"",IF(COUNTIFS(_calc!$AE$2:$AE$3000,$B9&amp;"|"&amp;$D9,_calc!$A$2:$A$3000,$B$3,_calc!$C$2:$C$3000,W$6)=0,"",SUMIFS(_calc!$E$2:$E$3000,_calc!$AE$2:$AE$3000,$B9&amp;"|"&amp;$D9,_calc!$A$2:$A$3000,$B$3,_calc!$C$2:$C$3000,W$6)))</f>
        <v/>
      </c>
      <c r="X9" s="50" t="str">
        <f>IF(OR($B9="",X$6=""),"",IF(COUNTIFS(_calc!$AE$2:$AE$3000,$B9&amp;"|"&amp;$D9,_calc!$A$2:$A$3000,$B$3,_calc!$C$2:$C$3000,X$6)=0,"",SUMIFS(_calc!$E$2:$E$3000,_calc!$AE$2:$AE$3000,$B9&amp;"|"&amp;$D9,_calc!$A$2:$A$3000,$B$3,_calc!$C$2:$C$3000,X$6)))</f>
        <v/>
      </c>
      <c r="AA9" s="51"/>
      <c r="AB9" s="52" t="str">
        <f>IFERROR(INDEX(_calc!$I$2:$I$3000,MATCH(ROW()-8,_calc!$U$2:$U$3000,0)),"")</f>
        <v>基金整体</v>
      </c>
      <c r="BA9" t="s">
        <v>5658</v>
      </c>
    </row>
    <row r="10" spans="1:53" ht="15" x14ac:dyDescent="0.5">
      <c r="A10" s="48">
        <v>4</v>
      </c>
      <c r="B10" s="49" t="str">
        <f>IFERROR(INDEX(_calc!$I$2:$I$3000,MATCH($A10,_calc!$AB$2:$AB$3000,0)),"")</f>
        <v>基金整体</v>
      </c>
      <c r="C10" s="49" t="str">
        <f>IFERROR(INDEX(_calc!$H$2:$H$3000,MATCH($A10,_calc!$AB$2:$AB$3000,0)),"")</f>
        <v>服务效率</v>
      </c>
      <c r="D10" s="49" t="str">
        <f>IFERROR(INDEX(_calc!$K$2:$K$3000,MATCH($A10,_calc!$AB$2:$AB$3000,0)),"")</f>
        <v>期末收缴率（%）</v>
      </c>
      <c r="E10" s="50">
        <f>IF(OR($B10="",E$6=""),"",IF(COUNTIFS(_calc!$AE$2:$AE$3000,$B10&amp;"|"&amp;$D10,_calc!$A$2:$A$3000,$B$3,_calc!$C$2:$C$3000,E$6)=0,"",SUMIFS(_calc!$E$2:$E$3000,_calc!$AE$2:$AE$3000,$B10&amp;"|"&amp;$D10,_calc!$A$2:$A$3000,$B$3,_calc!$C$2:$C$3000,E$6)))</f>
        <v>98.03</v>
      </c>
      <c r="F10" s="50">
        <f>IF(OR($B10="",F$6=""),"",IF(COUNTIFS(_calc!$AE$2:$AE$3000,$B10&amp;"|"&amp;$D10,_calc!$A$2:$A$3000,$B$3,_calc!$C$2:$C$3000,F$6)=0,"",SUMIFS(_calc!$E$2:$E$3000,_calc!$AE$2:$AE$3000,$B10&amp;"|"&amp;$D10,_calc!$A$2:$A$3000,$B$3,_calc!$C$2:$C$3000,F$6)))</f>
        <v>100</v>
      </c>
      <c r="G10" s="50">
        <f>IF(OR($B10="",G$6=""),"",IF(COUNTIFS(_calc!$AE$2:$AE$3000,$B10&amp;"|"&amp;$D10,_calc!$A$2:$A$3000,$B$3,_calc!$C$2:$C$3000,G$6)=0,"",SUMIFS(_calc!$E$2:$E$3000,_calc!$AE$2:$AE$3000,$B10&amp;"|"&amp;$D10,_calc!$A$2:$A$3000,$B$3,_calc!$C$2:$C$3000,G$6)))</f>
        <v>100</v>
      </c>
      <c r="H10" s="50" t="str">
        <f>IF(OR($B10="",H$6=""),"",IF(COUNTIFS(_calc!$AE$2:$AE$3000,$B10&amp;"|"&amp;$D10,_calc!$A$2:$A$3000,$B$3,_calc!$C$2:$C$3000,H$6)=0,"",SUMIFS(_calc!$E$2:$E$3000,_calc!$AE$2:$AE$3000,$B10&amp;"|"&amp;$D10,_calc!$A$2:$A$3000,$B$3,_calc!$C$2:$C$3000,H$6)))</f>
        <v/>
      </c>
      <c r="I10" s="50">
        <f>IF(OR($B10="",I$6=""),"",IF(COUNTIFS(_calc!$AE$2:$AE$3000,$B10&amp;"|"&amp;$D10,_calc!$A$2:$A$3000,$B$3,_calc!$C$2:$C$3000,I$6)=0,"",SUMIFS(_calc!$E$2:$E$3000,_calc!$AE$2:$AE$3000,$B10&amp;"|"&amp;$D10,_calc!$A$2:$A$3000,$B$3,_calc!$C$2:$C$3000,I$6)))</f>
        <v>100</v>
      </c>
      <c r="J10" s="50">
        <f>IF(OR($B10="",J$6=""),"",IF(COUNTIFS(_calc!$AE$2:$AE$3000,$B10&amp;"|"&amp;$D10,_calc!$A$2:$A$3000,$B$3,_calc!$C$2:$C$3000,J$6)=0,"",SUMIFS(_calc!$E$2:$E$3000,_calc!$AE$2:$AE$3000,$B10&amp;"|"&amp;$D10,_calc!$A$2:$A$3000,$B$3,_calc!$C$2:$C$3000,J$6)))</f>
        <v>100</v>
      </c>
      <c r="K10" s="50">
        <f>IF(OR($B10="",K$6=""),"",IF(COUNTIFS(_calc!$AE$2:$AE$3000,$B10&amp;"|"&amp;$D10,_calc!$A$2:$A$3000,$B$3,_calc!$C$2:$C$3000,K$6)=0,"",SUMIFS(_calc!$E$2:$E$3000,_calc!$AE$2:$AE$3000,$B10&amp;"|"&amp;$D10,_calc!$A$2:$A$3000,$B$3,_calc!$C$2:$C$3000,K$6)))</f>
        <v>100</v>
      </c>
      <c r="L10" s="50" t="str">
        <f>IF(OR($B10="",L$6=""),"",IF(COUNTIFS(_calc!$AE$2:$AE$3000,$B10&amp;"|"&amp;$D10,_calc!$A$2:$A$3000,$B$3,_calc!$C$2:$C$3000,L$6)=0,"",SUMIFS(_calc!$E$2:$E$3000,_calc!$AE$2:$AE$3000,$B10&amp;"|"&amp;$D10,_calc!$A$2:$A$3000,$B$3,_calc!$C$2:$C$3000,L$6)))</f>
        <v/>
      </c>
      <c r="M10" s="50" t="str">
        <f>IF(OR($B10="",M$6=""),"",IF(COUNTIFS(_calc!$AE$2:$AE$3000,$B10&amp;"|"&amp;$D10,_calc!$A$2:$A$3000,$B$3,_calc!$C$2:$C$3000,M$6)=0,"",SUMIFS(_calc!$E$2:$E$3000,_calc!$AE$2:$AE$3000,$B10&amp;"|"&amp;$D10,_calc!$A$2:$A$3000,$B$3,_calc!$C$2:$C$3000,M$6)))</f>
        <v/>
      </c>
      <c r="N10" s="50" t="str">
        <f>IF(OR($B10="",N$6=""),"",IF(COUNTIFS(_calc!$AE$2:$AE$3000,$B10&amp;"|"&amp;$D10,_calc!$A$2:$A$3000,$B$3,_calc!$C$2:$C$3000,N$6)=0,"",SUMIFS(_calc!$E$2:$E$3000,_calc!$AE$2:$AE$3000,$B10&amp;"|"&amp;$D10,_calc!$A$2:$A$3000,$B$3,_calc!$C$2:$C$3000,N$6)))</f>
        <v/>
      </c>
      <c r="O10" s="50" t="str">
        <f>IF(OR($B10="",O$6=""),"",IF(COUNTIFS(_calc!$AE$2:$AE$3000,$B10&amp;"|"&amp;$D10,_calc!$A$2:$A$3000,$B$3,_calc!$C$2:$C$3000,O$6)=0,"",SUMIFS(_calc!$E$2:$E$3000,_calc!$AE$2:$AE$3000,$B10&amp;"|"&amp;$D10,_calc!$A$2:$A$3000,$B$3,_calc!$C$2:$C$3000,O$6)))</f>
        <v/>
      </c>
      <c r="P10" s="50" t="str">
        <f>IF(OR($B10="",P$6=""),"",IF(COUNTIFS(_calc!$AE$2:$AE$3000,$B10&amp;"|"&amp;$D10,_calc!$A$2:$A$3000,$B$3,_calc!$C$2:$C$3000,P$6)=0,"",SUMIFS(_calc!$E$2:$E$3000,_calc!$AE$2:$AE$3000,$B10&amp;"|"&amp;$D10,_calc!$A$2:$A$3000,$B$3,_calc!$C$2:$C$3000,P$6)))</f>
        <v/>
      </c>
      <c r="Q10" s="50" t="str">
        <f>IF(OR($B10="",Q$6=""),"",IF(COUNTIFS(_calc!$AE$2:$AE$3000,$B10&amp;"|"&amp;$D10,_calc!$A$2:$A$3000,$B$3,_calc!$C$2:$C$3000,Q$6)=0,"",SUMIFS(_calc!$E$2:$E$3000,_calc!$AE$2:$AE$3000,$B10&amp;"|"&amp;$D10,_calc!$A$2:$A$3000,$B$3,_calc!$C$2:$C$3000,Q$6)))</f>
        <v/>
      </c>
      <c r="R10" s="50" t="str">
        <f>IF(OR($B10="",R$6=""),"",IF(COUNTIFS(_calc!$AE$2:$AE$3000,$B10&amp;"|"&amp;$D10,_calc!$A$2:$A$3000,$B$3,_calc!$C$2:$C$3000,R$6)=0,"",SUMIFS(_calc!$E$2:$E$3000,_calc!$AE$2:$AE$3000,$B10&amp;"|"&amp;$D10,_calc!$A$2:$A$3000,$B$3,_calc!$C$2:$C$3000,R$6)))</f>
        <v/>
      </c>
      <c r="S10" s="50" t="str">
        <f>IF(OR($B10="",S$6=""),"",IF(COUNTIFS(_calc!$AE$2:$AE$3000,$B10&amp;"|"&amp;$D10,_calc!$A$2:$A$3000,$B$3,_calc!$C$2:$C$3000,S$6)=0,"",SUMIFS(_calc!$E$2:$E$3000,_calc!$AE$2:$AE$3000,$B10&amp;"|"&amp;$D10,_calc!$A$2:$A$3000,$B$3,_calc!$C$2:$C$3000,S$6)))</f>
        <v/>
      </c>
      <c r="T10" s="50" t="str">
        <f>IF(OR($B10="",T$6=""),"",IF(COUNTIFS(_calc!$AE$2:$AE$3000,$B10&amp;"|"&amp;$D10,_calc!$A$2:$A$3000,$B$3,_calc!$C$2:$C$3000,T$6)=0,"",SUMIFS(_calc!$E$2:$E$3000,_calc!$AE$2:$AE$3000,$B10&amp;"|"&amp;$D10,_calc!$A$2:$A$3000,$B$3,_calc!$C$2:$C$3000,T$6)))</f>
        <v/>
      </c>
      <c r="U10" s="50" t="str">
        <f>IF(OR($B10="",U$6=""),"",IF(COUNTIFS(_calc!$AE$2:$AE$3000,$B10&amp;"|"&amp;$D10,_calc!$A$2:$A$3000,$B$3,_calc!$C$2:$C$3000,U$6)=0,"",SUMIFS(_calc!$E$2:$E$3000,_calc!$AE$2:$AE$3000,$B10&amp;"|"&amp;$D10,_calc!$A$2:$A$3000,$B$3,_calc!$C$2:$C$3000,U$6)))</f>
        <v/>
      </c>
      <c r="V10" s="50" t="str">
        <f>IF(OR($B10="",V$6=""),"",IF(COUNTIFS(_calc!$AE$2:$AE$3000,$B10&amp;"|"&amp;$D10,_calc!$A$2:$A$3000,$B$3,_calc!$C$2:$C$3000,V$6)=0,"",SUMIFS(_calc!$E$2:$E$3000,_calc!$AE$2:$AE$3000,$B10&amp;"|"&amp;$D10,_calc!$A$2:$A$3000,$B$3,_calc!$C$2:$C$3000,V$6)))</f>
        <v/>
      </c>
      <c r="W10" s="50" t="str">
        <f>IF(OR($B10="",W$6=""),"",IF(COUNTIFS(_calc!$AE$2:$AE$3000,$B10&amp;"|"&amp;$D10,_calc!$A$2:$A$3000,$B$3,_calc!$C$2:$C$3000,W$6)=0,"",SUMIFS(_calc!$E$2:$E$3000,_calc!$AE$2:$AE$3000,$B10&amp;"|"&amp;$D10,_calc!$A$2:$A$3000,$B$3,_calc!$C$2:$C$3000,W$6)))</f>
        <v/>
      </c>
      <c r="X10" s="50" t="str">
        <f>IF(OR($B10="",X$6=""),"",IF(COUNTIFS(_calc!$AE$2:$AE$3000,$B10&amp;"|"&amp;$D10,_calc!$A$2:$A$3000,$B$3,_calc!$C$2:$C$3000,X$6)=0,"",SUMIFS(_calc!$E$2:$E$3000,_calc!$AE$2:$AE$3000,$B10&amp;"|"&amp;$D10,_calc!$A$2:$A$3000,$B$3,_calc!$C$2:$C$3000,X$6)))</f>
        <v/>
      </c>
      <c r="AA10" s="51"/>
      <c r="AB10" s="52" t="str">
        <f>IFERROR(INDEX(_calc!$I$2:$I$3000,MATCH(ROW()-8,_calc!$U$2:$U$3000,0)),"")</f>
        <v>青岛万象城</v>
      </c>
    </row>
    <row r="11" spans="1:53" ht="15" x14ac:dyDescent="0.5">
      <c r="A11" s="48">
        <v>5</v>
      </c>
      <c r="B11" s="49" t="str">
        <f>IFERROR(INDEX(_calc!$I$2:$I$3000,MATCH($A11,_calc!$AB$2:$AB$3000,0)),"")</f>
        <v>基金整体</v>
      </c>
      <c r="C11" s="49" t="str">
        <f>IFERROR(INDEX(_calc!$H$2:$H$3000,MATCH($A11,_calc!$AB$2:$AB$3000,0)),"")</f>
        <v>服务效率</v>
      </c>
      <c r="D11" s="49" t="str">
        <f>IFERROR(INDEX(_calc!$K$2:$K$3000,MATCH($A11,_calc!$AB$2:$AB$3000,0)),"")</f>
        <v>期末出租率（%）</v>
      </c>
      <c r="E11" s="50">
        <f>IF(OR($B11="",E$6=""),"",IF(COUNTIFS(_calc!$AE$2:$AE$3000,$B11&amp;"|"&amp;$D11,_calc!$A$2:$A$3000,$B$3,_calc!$C$2:$C$3000,E$6)=0,"",SUMIFS(_calc!$E$2:$E$3000,_calc!$AE$2:$AE$3000,$B11&amp;"|"&amp;$D11,_calc!$A$2:$A$3000,$B$3,_calc!$C$2:$C$3000,E$6)))</f>
        <v>99</v>
      </c>
      <c r="F11" s="50">
        <f>IF(OR($B11="",F$6=""),"",IF(COUNTIFS(_calc!$AE$2:$AE$3000,$B11&amp;"|"&amp;$D11,_calc!$A$2:$A$3000,$B$3,_calc!$C$2:$C$3000,F$6)=0,"",SUMIFS(_calc!$E$2:$E$3000,_calc!$AE$2:$AE$3000,$B11&amp;"|"&amp;$D11,_calc!$A$2:$A$3000,$B$3,_calc!$C$2:$C$3000,F$6)))</f>
        <v>99.04</v>
      </c>
      <c r="G11" s="50">
        <f>IF(OR($B11="",G$6=""),"",IF(COUNTIFS(_calc!$AE$2:$AE$3000,$B11&amp;"|"&amp;$D11,_calc!$A$2:$A$3000,$B$3,_calc!$C$2:$C$3000,G$6)=0,"",SUMIFS(_calc!$E$2:$E$3000,_calc!$AE$2:$AE$3000,$B11&amp;"|"&amp;$D11,_calc!$A$2:$A$3000,$B$3,_calc!$C$2:$C$3000,G$6)))</f>
        <v>99.3</v>
      </c>
      <c r="H11" s="50" t="str">
        <f>IF(OR($B11="",H$6=""),"",IF(COUNTIFS(_calc!$AE$2:$AE$3000,$B11&amp;"|"&amp;$D11,_calc!$A$2:$A$3000,$B$3,_calc!$C$2:$C$3000,H$6)=0,"",SUMIFS(_calc!$E$2:$E$3000,_calc!$AE$2:$AE$3000,$B11&amp;"|"&amp;$D11,_calc!$A$2:$A$3000,$B$3,_calc!$C$2:$C$3000,H$6)))</f>
        <v/>
      </c>
      <c r="I11" s="50">
        <f>IF(OR($B11="",I$6=""),"",IF(COUNTIFS(_calc!$AE$2:$AE$3000,$B11&amp;"|"&amp;$D11,_calc!$A$2:$A$3000,$B$3,_calc!$C$2:$C$3000,I$6)=0,"",SUMIFS(_calc!$E$2:$E$3000,_calc!$AE$2:$AE$3000,$B11&amp;"|"&amp;$D11,_calc!$A$2:$A$3000,$B$3,_calc!$C$2:$C$3000,I$6)))</f>
        <v>99.1</v>
      </c>
      <c r="J11" s="50">
        <f>IF(OR($B11="",J$6=""),"",IF(COUNTIFS(_calc!$AE$2:$AE$3000,$B11&amp;"|"&amp;$D11,_calc!$A$2:$A$3000,$B$3,_calc!$C$2:$C$3000,J$6)=0,"",SUMIFS(_calc!$E$2:$E$3000,_calc!$AE$2:$AE$3000,$B11&amp;"|"&amp;$D11,_calc!$A$2:$A$3000,$B$3,_calc!$C$2:$C$3000,J$6)))</f>
        <v>99.03</v>
      </c>
      <c r="K11" s="50">
        <f>IF(OR($B11="",K$6=""),"",IF(COUNTIFS(_calc!$AE$2:$AE$3000,$B11&amp;"|"&amp;$D11,_calc!$A$2:$A$3000,$B$3,_calc!$C$2:$C$3000,K$6)=0,"",SUMIFS(_calc!$E$2:$E$3000,_calc!$AE$2:$AE$3000,$B11&amp;"|"&amp;$D11,_calc!$A$2:$A$3000,$B$3,_calc!$C$2:$C$3000,K$6)))</f>
        <v>98.73</v>
      </c>
      <c r="L11" s="50" t="str">
        <f>IF(OR($B11="",L$6=""),"",IF(COUNTIFS(_calc!$AE$2:$AE$3000,$B11&amp;"|"&amp;$D11,_calc!$A$2:$A$3000,$B$3,_calc!$C$2:$C$3000,L$6)=0,"",SUMIFS(_calc!$E$2:$E$3000,_calc!$AE$2:$AE$3000,$B11&amp;"|"&amp;$D11,_calc!$A$2:$A$3000,$B$3,_calc!$C$2:$C$3000,L$6)))</f>
        <v/>
      </c>
      <c r="M11" s="50" t="str">
        <f>IF(OR($B11="",M$6=""),"",IF(COUNTIFS(_calc!$AE$2:$AE$3000,$B11&amp;"|"&amp;$D11,_calc!$A$2:$A$3000,$B$3,_calc!$C$2:$C$3000,M$6)=0,"",SUMIFS(_calc!$E$2:$E$3000,_calc!$AE$2:$AE$3000,$B11&amp;"|"&amp;$D11,_calc!$A$2:$A$3000,$B$3,_calc!$C$2:$C$3000,M$6)))</f>
        <v/>
      </c>
      <c r="N11" s="50" t="str">
        <f>IF(OR($B11="",N$6=""),"",IF(COUNTIFS(_calc!$AE$2:$AE$3000,$B11&amp;"|"&amp;$D11,_calc!$A$2:$A$3000,$B$3,_calc!$C$2:$C$3000,N$6)=0,"",SUMIFS(_calc!$E$2:$E$3000,_calc!$AE$2:$AE$3000,$B11&amp;"|"&amp;$D11,_calc!$A$2:$A$3000,$B$3,_calc!$C$2:$C$3000,N$6)))</f>
        <v/>
      </c>
      <c r="O11" s="50" t="str">
        <f>IF(OR($B11="",O$6=""),"",IF(COUNTIFS(_calc!$AE$2:$AE$3000,$B11&amp;"|"&amp;$D11,_calc!$A$2:$A$3000,$B$3,_calc!$C$2:$C$3000,O$6)=0,"",SUMIFS(_calc!$E$2:$E$3000,_calc!$AE$2:$AE$3000,$B11&amp;"|"&amp;$D11,_calc!$A$2:$A$3000,$B$3,_calc!$C$2:$C$3000,O$6)))</f>
        <v/>
      </c>
      <c r="P11" s="50" t="str">
        <f>IF(OR($B11="",P$6=""),"",IF(COUNTIFS(_calc!$AE$2:$AE$3000,$B11&amp;"|"&amp;$D11,_calc!$A$2:$A$3000,$B$3,_calc!$C$2:$C$3000,P$6)=0,"",SUMIFS(_calc!$E$2:$E$3000,_calc!$AE$2:$AE$3000,$B11&amp;"|"&amp;$D11,_calc!$A$2:$A$3000,$B$3,_calc!$C$2:$C$3000,P$6)))</f>
        <v/>
      </c>
      <c r="Q11" s="50" t="str">
        <f>IF(OR($B11="",Q$6=""),"",IF(COUNTIFS(_calc!$AE$2:$AE$3000,$B11&amp;"|"&amp;$D11,_calc!$A$2:$A$3000,$B$3,_calc!$C$2:$C$3000,Q$6)=0,"",SUMIFS(_calc!$E$2:$E$3000,_calc!$AE$2:$AE$3000,$B11&amp;"|"&amp;$D11,_calc!$A$2:$A$3000,$B$3,_calc!$C$2:$C$3000,Q$6)))</f>
        <v/>
      </c>
      <c r="R11" s="50" t="str">
        <f>IF(OR($B11="",R$6=""),"",IF(COUNTIFS(_calc!$AE$2:$AE$3000,$B11&amp;"|"&amp;$D11,_calc!$A$2:$A$3000,$B$3,_calc!$C$2:$C$3000,R$6)=0,"",SUMIFS(_calc!$E$2:$E$3000,_calc!$AE$2:$AE$3000,$B11&amp;"|"&amp;$D11,_calc!$A$2:$A$3000,$B$3,_calc!$C$2:$C$3000,R$6)))</f>
        <v/>
      </c>
      <c r="S11" s="50" t="str">
        <f>IF(OR($B11="",S$6=""),"",IF(COUNTIFS(_calc!$AE$2:$AE$3000,$B11&amp;"|"&amp;$D11,_calc!$A$2:$A$3000,$B$3,_calc!$C$2:$C$3000,S$6)=0,"",SUMIFS(_calc!$E$2:$E$3000,_calc!$AE$2:$AE$3000,$B11&amp;"|"&amp;$D11,_calc!$A$2:$A$3000,$B$3,_calc!$C$2:$C$3000,S$6)))</f>
        <v/>
      </c>
      <c r="T11" s="50" t="str">
        <f>IF(OR($B11="",T$6=""),"",IF(COUNTIFS(_calc!$AE$2:$AE$3000,$B11&amp;"|"&amp;$D11,_calc!$A$2:$A$3000,$B$3,_calc!$C$2:$C$3000,T$6)=0,"",SUMIFS(_calc!$E$2:$E$3000,_calc!$AE$2:$AE$3000,$B11&amp;"|"&amp;$D11,_calc!$A$2:$A$3000,$B$3,_calc!$C$2:$C$3000,T$6)))</f>
        <v/>
      </c>
      <c r="U11" s="50" t="str">
        <f>IF(OR($B11="",U$6=""),"",IF(COUNTIFS(_calc!$AE$2:$AE$3000,$B11&amp;"|"&amp;$D11,_calc!$A$2:$A$3000,$B$3,_calc!$C$2:$C$3000,U$6)=0,"",SUMIFS(_calc!$E$2:$E$3000,_calc!$AE$2:$AE$3000,$B11&amp;"|"&amp;$D11,_calc!$A$2:$A$3000,$B$3,_calc!$C$2:$C$3000,U$6)))</f>
        <v/>
      </c>
      <c r="V11" s="50" t="str">
        <f>IF(OR($B11="",V$6=""),"",IF(COUNTIFS(_calc!$AE$2:$AE$3000,$B11&amp;"|"&amp;$D11,_calc!$A$2:$A$3000,$B$3,_calc!$C$2:$C$3000,V$6)=0,"",SUMIFS(_calc!$E$2:$E$3000,_calc!$AE$2:$AE$3000,$B11&amp;"|"&amp;$D11,_calc!$A$2:$A$3000,$B$3,_calc!$C$2:$C$3000,V$6)))</f>
        <v/>
      </c>
      <c r="W11" s="50" t="str">
        <f>IF(OR($B11="",W$6=""),"",IF(COUNTIFS(_calc!$AE$2:$AE$3000,$B11&amp;"|"&amp;$D11,_calc!$A$2:$A$3000,$B$3,_calc!$C$2:$C$3000,W$6)=0,"",SUMIFS(_calc!$E$2:$E$3000,_calc!$AE$2:$AE$3000,$B11&amp;"|"&amp;$D11,_calc!$A$2:$A$3000,$B$3,_calc!$C$2:$C$3000,W$6)))</f>
        <v/>
      </c>
      <c r="X11" s="50" t="str">
        <f>IF(OR($B11="",X$6=""),"",IF(COUNTIFS(_calc!$AE$2:$AE$3000,$B11&amp;"|"&amp;$D11,_calc!$A$2:$A$3000,$B$3,_calc!$C$2:$C$3000,X$6)=0,"",SUMIFS(_calc!$E$2:$E$3000,_calc!$AE$2:$AE$3000,$B11&amp;"|"&amp;$D11,_calc!$A$2:$A$3000,$B$3,_calc!$C$2:$C$3000,X$6)))</f>
        <v/>
      </c>
      <c r="AA11" s="51"/>
      <c r="AB11" s="52" t="str">
        <f>IFERROR(INDEX(_calc!$I$2:$I$3000,MATCH(ROW()-8,_calc!$U$2:$U$3000,0)),"")</f>
        <v/>
      </c>
    </row>
    <row r="12" spans="1:53" ht="15" x14ac:dyDescent="0.5">
      <c r="A12" s="48">
        <v>6</v>
      </c>
      <c r="B12" s="49" t="str">
        <f>IFERROR(INDEX(_calc!$I$2:$I$3000,MATCH($A12,_calc!$AB$2:$AB$3000,0)),"")</f>
        <v>基金整体</v>
      </c>
      <c r="C12" s="49" t="str">
        <f>IFERROR(INDEX(_calc!$H$2:$H$3000,MATCH($A12,_calc!$AB$2:$AB$3000,0)),"")</f>
        <v>服务价格</v>
      </c>
      <c r="D12" s="49" t="str">
        <f>IFERROR(INDEX(_calc!$K$2:$K$3000,MATCH($A12,_calc!$AB$2:$AB$3000,0)),"")</f>
        <v>本期租金单价水平（元/平方米/月）</v>
      </c>
      <c r="E12" s="50" t="str">
        <f>IF(OR($B12="",E$6=""),"",IF(COUNTIFS(_calc!$AE$2:$AE$3000,$B12&amp;"|"&amp;$D12,_calc!$A$2:$A$3000,$B$3,_calc!$C$2:$C$3000,E$6)=0,"",SUMIFS(_calc!$E$2:$E$3000,_calc!$AE$2:$AE$3000,$B12&amp;"|"&amp;$D12,_calc!$A$2:$A$3000,$B$3,_calc!$C$2:$C$3000,E$6)))</f>
        <v/>
      </c>
      <c r="F12" s="50">
        <f>IF(OR($B12="",F$6=""),"",IF(COUNTIFS(_calc!$AE$2:$AE$3000,$B12&amp;"|"&amp;$D12,_calc!$A$2:$A$3000,$B$3,_calc!$C$2:$C$3000,F$6)=0,"",SUMIFS(_calc!$E$2:$E$3000,_calc!$AE$2:$AE$3000,$B12&amp;"|"&amp;$D12,_calc!$A$2:$A$3000,$B$3,_calc!$C$2:$C$3000,F$6)))</f>
        <v>383.23</v>
      </c>
      <c r="G12" s="50">
        <f>IF(OR($B12="",G$6=""),"",IF(COUNTIFS(_calc!$AE$2:$AE$3000,$B12&amp;"|"&amp;$D12,_calc!$A$2:$A$3000,$B$3,_calc!$C$2:$C$3000,G$6)=0,"",SUMIFS(_calc!$E$2:$E$3000,_calc!$AE$2:$AE$3000,$B12&amp;"|"&amp;$D12,_calc!$A$2:$A$3000,$B$3,_calc!$C$2:$C$3000,G$6)))</f>
        <v>412.61</v>
      </c>
      <c r="H12" s="50" t="str">
        <f>IF(OR($B12="",H$6=""),"",IF(COUNTIFS(_calc!$AE$2:$AE$3000,$B12&amp;"|"&amp;$D12,_calc!$A$2:$A$3000,$B$3,_calc!$C$2:$C$3000,H$6)=0,"",SUMIFS(_calc!$E$2:$E$3000,_calc!$AE$2:$AE$3000,$B12&amp;"|"&amp;$D12,_calc!$A$2:$A$3000,$B$3,_calc!$C$2:$C$3000,H$6)))</f>
        <v/>
      </c>
      <c r="I12" s="50">
        <f>IF(OR($B12="",I$6=""),"",IF(COUNTIFS(_calc!$AE$2:$AE$3000,$B12&amp;"|"&amp;$D12,_calc!$A$2:$A$3000,$B$3,_calc!$C$2:$C$3000,I$6)=0,"",SUMIFS(_calc!$E$2:$E$3000,_calc!$AE$2:$AE$3000,$B12&amp;"|"&amp;$D12,_calc!$A$2:$A$3000,$B$3,_calc!$C$2:$C$3000,I$6)))</f>
        <v>421.03</v>
      </c>
      <c r="J12" s="50">
        <f>IF(OR($B12="",J$6=""),"",IF(COUNTIFS(_calc!$AE$2:$AE$3000,$B12&amp;"|"&amp;$D12,_calc!$A$2:$A$3000,$B$3,_calc!$C$2:$C$3000,J$6)=0,"",SUMIFS(_calc!$E$2:$E$3000,_calc!$AE$2:$AE$3000,$B12&amp;"|"&amp;$D12,_calc!$A$2:$A$3000,$B$3,_calc!$C$2:$C$3000,J$6)))</f>
        <v>418.4</v>
      </c>
      <c r="K12" s="50">
        <f>IF(OR($B12="",K$6=""),"",IF(COUNTIFS(_calc!$AE$2:$AE$3000,$B12&amp;"|"&amp;$D12,_calc!$A$2:$A$3000,$B$3,_calc!$C$2:$C$3000,K$6)=0,"",SUMIFS(_calc!$E$2:$E$3000,_calc!$AE$2:$AE$3000,$B12&amp;"|"&amp;$D12,_calc!$A$2:$A$3000,$B$3,_calc!$C$2:$C$3000,K$6)))</f>
        <v>430.07</v>
      </c>
      <c r="L12" s="50" t="str">
        <f>IF(OR($B12="",L$6=""),"",IF(COUNTIFS(_calc!$AE$2:$AE$3000,$B12&amp;"|"&amp;$D12,_calc!$A$2:$A$3000,$B$3,_calc!$C$2:$C$3000,L$6)=0,"",SUMIFS(_calc!$E$2:$E$3000,_calc!$AE$2:$AE$3000,$B12&amp;"|"&amp;$D12,_calc!$A$2:$A$3000,$B$3,_calc!$C$2:$C$3000,L$6)))</f>
        <v/>
      </c>
      <c r="M12" s="50" t="str">
        <f>IF(OR($B12="",M$6=""),"",IF(COUNTIFS(_calc!$AE$2:$AE$3000,$B12&amp;"|"&amp;$D12,_calc!$A$2:$A$3000,$B$3,_calc!$C$2:$C$3000,M$6)=0,"",SUMIFS(_calc!$E$2:$E$3000,_calc!$AE$2:$AE$3000,$B12&amp;"|"&amp;$D12,_calc!$A$2:$A$3000,$B$3,_calc!$C$2:$C$3000,M$6)))</f>
        <v/>
      </c>
      <c r="N12" s="50" t="str">
        <f>IF(OR($B12="",N$6=""),"",IF(COUNTIFS(_calc!$AE$2:$AE$3000,$B12&amp;"|"&amp;$D12,_calc!$A$2:$A$3000,$B$3,_calc!$C$2:$C$3000,N$6)=0,"",SUMIFS(_calc!$E$2:$E$3000,_calc!$AE$2:$AE$3000,$B12&amp;"|"&amp;$D12,_calc!$A$2:$A$3000,$B$3,_calc!$C$2:$C$3000,N$6)))</f>
        <v/>
      </c>
      <c r="O12" s="50" t="str">
        <f>IF(OR($B12="",O$6=""),"",IF(COUNTIFS(_calc!$AE$2:$AE$3000,$B12&amp;"|"&amp;$D12,_calc!$A$2:$A$3000,$B$3,_calc!$C$2:$C$3000,O$6)=0,"",SUMIFS(_calc!$E$2:$E$3000,_calc!$AE$2:$AE$3000,$B12&amp;"|"&amp;$D12,_calc!$A$2:$A$3000,$B$3,_calc!$C$2:$C$3000,O$6)))</f>
        <v/>
      </c>
      <c r="P12" s="50" t="str">
        <f>IF(OR($B12="",P$6=""),"",IF(COUNTIFS(_calc!$AE$2:$AE$3000,$B12&amp;"|"&amp;$D12,_calc!$A$2:$A$3000,$B$3,_calc!$C$2:$C$3000,P$6)=0,"",SUMIFS(_calc!$E$2:$E$3000,_calc!$AE$2:$AE$3000,$B12&amp;"|"&amp;$D12,_calc!$A$2:$A$3000,$B$3,_calc!$C$2:$C$3000,P$6)))</f>
        <v/>
      </c>
      <c r="Q12" s="50" t="str">
        <f>IF(OR($B12="",Q$6=""),"",IF(COUNTIFS(_calc!$AE$2:$AE$3000,$B12&amp;"|"&amp;$D12,_calc!$A$2:$A$3000,$B$3,_calc!$C$2:$C$3000,Q$6)=0,"",SUMIFS(_calc!$E$2:$E$3000,_calc!$AE$2:$AE$3000,$B12&amp;"|"&amp;$D12,_calc!$A$2:$A$3000,$B$3,_calc!$C$2:$C$3000,Q$6)))</f>
        <v/>
      </c>
      <c r="R12" s="50" t="str">
        <f>IF(OR($B12="",R$6=""),"",IF(COUNTIFS(_calc!$AE$2:$AE$3000,$B12&amp;"|"&amp;$D12,_calc!$A$2:$A$3000,$B$3,_calc!$C$2:$C$3000,R$6)=0,"",SUMIFS(_calc!$E$2:$E$3000,_calc!$AE$2:$AE$3000,$B12&amp;"|"&amp;$D12,_calc!$A$2:$A$3000,$B$3,_calc!$C$2:$C$3000,R$6)))</f>
        <v/>
      </c>
      <c r="S12" s="50" t="str">
        <f>IF(OR($B12="",S$6=""),"",IF(COUNTIFS(_calc!$AE$2:$AE$3000,$B12&amp;"|"&amp;$D12,_calc!$A$2:$A$3000,$B$3,_calc!$C$2:$C$3000,S$6)=0,"",SUMIFS(_calc!$E$2:$E$3000,_calc!$AE$2:$AE$3000,$B12&amp;"|"&amp;$D12,_calc!$A$2:$A$3000,$B$3,_calc!$C$2:$C$3000,S$6)))</f>
        <v/>
      </c>
      <c r="T12" s="50" t="str">
        <f>IF(OR($B12="",T$6=""),"",IF(COUNTIFS(_calc!$AE$2:$AE$3000,$B12&amp;"|"&amp;$D12,_calc!$A$2:$A$3000,$B$3,_calc!$C$2:$C$3000,T$6)=0,"",SUMIFS(_calc!$E$2:$E$3000,_calc!$AE$2:$AE$3000,$B12&amp;"|"&amp;$D12,_calc!$A$2:$A$3000,$B$3,_calc!$C$2:$C$3000,T$6)))</f>
        <v/>
      </c>
      <c r="U12" s="50" t="str">
        <f>IF(OR($B12="",U$6=""),"",IF(COUNTIFS(_calc!$AE$2:$AE$3000,$B12&amp;"|"&amp;$D12,_calc!$A$2:$A$3000,$B$3,_calc!$C$2:$C$3000,U$6)=0,"",SUMIFS(_calc!$E$2:$E$3000,_calc!$AE$2:$AE$3000,$B12&amp;"|"&amp;$D12,_calc!$A$2:$A$3000,$B$3,_calc!$C$2:$C$3000,U$6)))</f>
        <v/>
      </c>
      <c r="V12" s="50" t="str">
        <f>IF(OR($B12="",V$6=""),"",IF(COUNTIFS(_calc!$AE$2:$AE$3000,$B12&amp;"|"&amp;$D12,_calc!$A$2:$A$3000,$B$3,_calc!$C$2:$C$3000,V$6)=0,"",SUMIFS(_calc!$E$2:$E$3000,_calc!$AE$2:$AE$3000,$B12&amp;"|"&amp;$D12,_calc!$A$2:$A$3000,$B$3,_calc!$C$2:$C$3000,V$6)))</f>
        <v/>
      </c>
      <c r="W12" s="50" t="str">
        <f>IF(OR($B12="",W$6=""),"",IF(COUNTIFS(_calc!$AE$2:$AE$3000,$B12&amp;"|"&amp;$D12,_calc!$A$2:$A$3000,$B$3,_calc!$C$2:$C$3000,W$6)=0,"",SUMIFS(_calc!$E$2:$E$3000,_calc!$AE$2:$AE$3000,$B12&amp;"|"&amp;$D12,_calc!$A$2:$A$3000,$B$3,_calc!$C$2:$C$3000,W$6)))</f>
        <v/>
      </c>
      <c r="X12" s="50" t="str">
        <f>IF(OR($B12="",X$6=""),"",IF(COUNTIFS(_calc!$AE$2:$AE$3000,$B12&amp;"|"&amp;$D12,_calc!$A$2:$A$3000,$B$3,_calc!$C$2:$C$3000,X$6)=0,"",SUMIFS(_calc!$E$2:$E$3000,_calc!$AE$2:$AE$3000,$B12&amp;"|"&amp;$D12,_calc!$A$2:$A$3000,$B$3,_calc!$C$2:$C$3000,X$6)))</f>
        <v/>
      </c>
      <c r="AA12" s="51"/>
      <c r="AB12" s="52" t="str">
        <f>IFERROR(INDEX(_calc!$I$2:$I$3000,MATCH(ROW()-8,_calc!$U$2:$U$3000,0)),"")</f>
        <v/>
      </c>
    </row>
    <row r="13" spans="1:53" ht="15" x14ac:dyDescent="0.5">
      <c r="A13" s="48">
        <v>7</v>
      </c>
      <c r="B13" s="49" t="str">
        <f>IFERROR(INDEX(_calc!$I$2:$I$3000,MATCH($A13,_calc!$AB$2:$AB$3000,0)),"")</f>
        <v/>
      </c>
      <c r="C13" s="49" t="str">
        <f>IFERROR(INDEX(_calc!$H$2:$H$3000,MATCH($A13,_calc!$AB$2:$AB$3000,0)),"")</f>
        <v/>
      </c>
      <c r="D13" s="49" t="str">
        <f>IFERROR(INDEX(_calc!$K$2:$K$3000,MATCH($A13,_calc!$AB$2:$AB$3000,0)),"")</f>
        <v/>
      </c>
      <c r="E13" s="50" t="str">
        <f>IF(OR($B13="",E$6=""),"",IF(COUNTIFS(_calc!$AE$2:$AE$3000,$B13&amp;"|"&amp;$D13,_calc!$A$2:$A$3000,$B$3,_calc!$C$2:$C$3000,E$6)=0,"",SUMIFS(_calc!$E$2:$E$3000,_calc!$AE$2:$AE$3000,$B13&amp;"|"&amp;$D13,_calc!$A$2:$A$3000,$B$3,_calc!$C$2:$C$3000,E$6)))</f>
        <v/>
      </c>
      <c r="F13" s="50" t="str">
        <f>IF(OR($B13="",F$6=""),"",IF(COUNTIFS(_calc!$AE$2:$AE$3000,$B13&amp;"|"&amp;$D13,_calc!$A$2:$A$3000,$B$3,_calc!$C$2:$C$3000,F$6)=0,"",SUMIFS(_calc!$E$2:$E$3000,_calc!$AE$2:$AE$3000,$B13&amp;"|"&amp;$D13,_calc!$A$2:$A$3000,$B$3,_calc!$C$2:$C$3000,F$6)))</f>
        <v/>
      </c>
      <c r="G13" s="50" t="str">
        <f>IF(OR($B13="",G$6=""),"",IF(COUNTIFS(_calc!$AE$2:$AE$3000,$B13&amp;"|"&amp;$D13,_calc!$A$2:$A$3000,$B$3,_calc!$C$2:$C$3000,G$6)=0,"",SUMIFS(_calc!$E$2:$E$3000,_calc!$AE$2:$AE$3000,$B13&amp;"|"&amp;$D13,_calc!$A$2:$A$3000,$B$3,_calc!$C$2:$C$3000,G$6)))</f>
        <v/>
      </c>
      <c r="H13" s="50" t="str">
        <f>IF(OR($B13="",H$6=""),"",IF(COUNTIFS(_calc!$AE$2:$AE$3000,$B13&amp;"|"&amp;$D13,_calc!$A$2:$A$3000,$B$3,_calc!$C$2:$C$3000,H$6)=0,"",SUMIFS(_calc!$E$2:$E$3000,_calc!$AE$2:$AE$3000,$B13&amp;"|"&amp;$D13,_calc!$A$2:$A$3000,$B$3,_calc!$C$2:$C$3000,H$6)))</f>
        <v/>
      </c>
      <c r="I13" s="50" t="str">
        <f>IF(OR($B13="",I$6=""),"",IF(COUNTIFS(_calc!$AE$2:$AE$3000,$B13&amp;"|"&amp;$D13,_calc!$A$2:$A$3000,$B$3,_calc!$C$2:$C$3000,I$6)=0,"",SUMIFS(_calc!$E$2:$E$3000,_calc!$AE$2:$AE$3000,$B13&amp;"|"&amp;$D13,_calc!$A$2:$A$3000,$B$3,_calc!$C$2:$C$3000,I$6)))</f>
        <v/>
      </c>
      <c r="J13" s="50" t="str">
        <f>IF(OR($B13="",J$6=""),"",IF(COUNTIFS(_calc!$AE$2:$AE$3000,$B13&amp;"|"&amp;$D13,_calc!$A$2:$A$3000,$B$3,_calc!$C$2:$C$3000,J$6)=0,"",SUMIFS(_calc!$E$2:$E$3000,_calc!$AE$2:$AE$3000,$B13&amp;"|"&amp;$D13,_calc!$A$2:$A$3000,$B$3,_calc!$C$2:$C$3000,J$6)))</f>
        <v/>
      </c>
      <c r="K13" s="50" t="str">
        <f>IF(OR($B13="",K$6=""),"",IF(COUNTIFS(_calc!$AE$2:$AE$3000,$B13&amp;"|"&amp;$D13,_calc!$A$2:$A$3000,$B$3,_calc!$C$2:$C$3000,K$6)=0,"",SUMIFS(_calc!$E$2:$E$3000,_calc!$AE$2:$AE$3000,$B13&amp;"|"&amp;$D13,_calc!$A$2:$A$3000,$B$3,_calc!$C$2:$C$3000,K$6)))</f>
        <v/>
      </c>
      <c r="L13" s="50" t="str">
        <f>IF(OR($B13="",L$6=""),"",IF(COUNTIFS(_calc!$AE$2:$AE$3000,$B13&amp;"|"&amp;$D13,_calc!$A$2:$A$3000,$B$3,_calc!$C$2:$C$3000,L$6)=0,"",SUMIFS(_calc!$E$2:$E$3000,_calc!$AE$2:$AE$3000,$B13&amp;"|"&amp;$D13,_calc!$A$2:$A$3000,$B$3,_calc!$C$2:$C$3000,L$6)))</f>
        <v/>
      </c>
      <c r="M13" s="50" t="str">
        <f>IF(OR($B13="",M$6=""),"",IF(COUNTIFS(_calc!$AE$2:$AE$3000,$B13&amp;"|"&amp;$D13,_calc!$A$2:$A$3000,$B$3,_calc!$C$2:$C$3000,M$6)=0,"",SUMIFS(_calc!$E$2:$E$3000,_calc!$AE$2:$AE$3000,$B13&amp;"|"&amp;$D13,_calc!$A$2:$A$3000,$B$3,_calc!$C$2:$C$3000,M$6)))</f>
        <v/>
      </c>
      <c r="N13" s="50" t="str">
        <f>IF(OR($B13="",N$6=""),"",IF(COUNTIFS(_calc!$AE$2:$AE$3000,$B13&amp;"|"&amp;$D13,_calc!$A$2:$A$3000,$B$3,_calc!$C$2:$C$3000,N$6)=0,"",SUMIFS(_calc!$E$2:$E$3000,_calc!$AE$2:$AE$3000,$B13&amp;"|"&amp;$D13,_calc!$A$2:$A$3000,$B$3,_calc!$C$2:$C$3000,N$6)))</f>
        <v/>
      </c>
      <c r="O13" s="50" t="str">
        <f>IF(OR($B13="",O$6=""),"",IF(COUNTIFS(_calc!$AE$2:$AE$3000,$B13&amp;"|"&amp;$D13,_calc!$A$2:$A$3000,$B$3,_calc!$C$2:$C$3000,O$6)=0,"",SUMIFS(_calc!$E$2:$E$3000,_calc!$AE$2:$AE$3000,$B13&amp;"|"&amp;$D13,_calc!$A$2:$A$3000,$B$3,_calc!$C$2:$C$3000,O$6)))</f>
        <v/>
      </c>
      <c r="P13" s="50" t="str">
        <f>IF(OR($B13="",P$6=""),"",IF(COUNTIFS(_calc!$AE$2:$AE$3000,$B13&amp;"|"&amp;$D13,_calc!$A$2:$A$3000,$B$3,_calc!$C$2:$C$3000,P$6)=0,"",SUMIFS(_calc!$E$2:$E$3000,_calc!$AE$2:$AE$3000,$B13&amp;"|"&amp;$D13,_calc!$A$2:$A$3000,$B$3,_calc!$C$2:$C$3000,P$6)))</f>
        <v/>
      </c>
      <c r="Q13" s="50" t="str">
        <f>IF(OR($B13="",Q$6=""),"",IF(COUNTIFS(_calc!$AE$2:$AE$3000,$B13&amp;"|"&amp;$D13,_calc!$A$2:$A$3000,$B$3,_calc!$C$2:$C$3000,Q$6)=0,"",SUMIFS(_calc!$E$2:$E$3000,_calc!$AE$2:$AE$3000,$B13&amp;"|"&amp;$D13,_calc!$A$2:$A$3000,$B$3,_calc!$C$2:$C$3000,Q$6)))</f>
        <v/>
      </c>
      <c r="R13" s="50" t="str">
        <f>IF(OR($B13="",R$6=""),"",IF(COUNTIFS(_calc!$AE$2:$AE$3000,$B13&amp;"|"&amp;$D13,_calc!$A$2:$A$3000,$B$3,_calc!$C$2:$C$3000,R$6)=0,"",SUMIFS(_calc!$E$2:$E$3000,_calc!$AE$2:$AE$3000,$B13&amp;"|"&amp;$D13,_calc!$A$2:$A$3000,$B$3,_calc!$C$2:$C$3000,R$6)))</f>
        <v/>
      </c>
      <c r="S13" s="50" t="str">
        <f>IF(OR($B13="",S$6=""),"",IF(COUNTIFS(_calc!$AE$2:$AE$3000,$B13&amp;"|"&amp;$D13,_calc!$A$2:$A$3000,$B$3,_calc!$C$2:$C$3000,S$6)=0,"",SUMIFS(_calc!$E$2:$E$3000,_calc!$AE$2:$AE$3000,$B13&amp;"|"&amp;$D13,_calc!$A$2:$A$3000,$B$3,_calc!$C$2:$C$3000,S$6)))</f>
        <v/>
      </c>
      <c r="T13" s="50" t="str">
        <f>IF(OR($B13="",T$6=""),"",IF(COUNTIFS(_calc!$AE$2:$AE$3000,$B13&amp;"|"&amp;$D13,_calc!$A$2:$A$3000,$B$3,_calc!$C$2:$C$3000,T$6)=0,"",SUMIFS(_calc!$E$2:$E$3000,_calc!$AE$2:$AE$3000,$B13&amp;"|"&amp;$D13,_calc!$A$2:$A$3000,$B$3,_calc!$C$2:$C$3000,T$6)))</f>
        <v/>
      </c>
      <c r="U13" s="50" t="str">
        <f>IF(OR($B13="",U$6=""),"",IF(COUNTIFS(_calc!$AE$2:$AE$3000,$B13&amp;"|"&amp;$D13,_calc!$A$2:$A$3000,$B$3,_calc!$C$2:$C$3000,U$6)=0,"",SUMIFS(_calc!$E$2:$E$3000,_calc!$AE$2:$AE$3000,$B13&amp;"|"&amp;$D13,_calc!$A$2:$A$3000,$B$3,_calc!$C$2:$C$3000,U$6)))</f>
        <v/>
      </c>
      <c r="V13" s="50" t="str">
        <f>IF(OR($B13="",V$6=""),"",IF(COUNTIFS(_calc!$AE$2:$AE$3000,$B13&amp;"|"&amp;$D13,_calc!$A$2:$A$3000,$B$3,_calc!$C$2:$C$3000,V$6)=0,"",SUMIFS(_calc!$E$2:$E$3000,_calc!$AE$2:$AE$3000,$B13&amp;"|"&amp;$D13,_calc!$A$2:$A$3000,$B$3,_calc!$C$2:$C$3000,V$6)))</f>
        <v/>
      </c>
      <c r="W13" s="50" t="str">
        <f>IF(OR($B13="",W$6=""),"",IF(COUNTIFS(_calc!$AE$2:$AE$3000,$B13&amp;"|"&amp;$D13,_calc!$A$2:$A$3000,$B$3,_calc!$C$2:$C$3000,W$6)=0,"",SUMIFS(_calc!$E$2:$E$3000,_calc!$AE$2:$AE$3000,$B13&amp;"|"&amp;$D13,_calc!$A$2:$A$3000,$B$3,_calc!$C$2:$C$3000,W$6)))</f>
        <v/>
      </c>
      <c r="X13" s="50" t="str">
        <f>IF(OR($B13="",X$6=""),"",IF(COUNTIFS(_calc!$AE$2:$AE$3000,$B13&amp;"|"&amp;$D13,_calc!$A$2:$A$3000,$B$3,_calc!$C$2:$C$3000,X$6)=0,"",SUMIFS(_calc!$E$2:$E$3000,_calc!$AE$2:$AE$3000,$B13&amp;"|"&amp;$D13,_calc!$A$2:$A$3000,$B$3,_calc!$C$2:$C$3000,X$6)))</f>
        <v/>
      </c>
      <c r="AA13" s="51"/>
      <c r="AB13" s="52" t="str">
        <f>IFERROR(INDEX(_calc!$I$2:$I$3000,MATCH(ROW()-8,_calc!$U$2:$U$3000,0)),"")</f>
        <v/>
      </c>
    </row>
    <row r="14" spans="1:53" ht="15" x14ac:dyDescent="0.5">
      <c r="A14" s="48">
        <v>8</v>
      </c>
      <c r="B14" s="49" t="str">
        <f>IFERROR(INDEX(_calc!$I$2:$I$3000,MATCH($A14,_calc!$AB$2:$AB$3000,0)),"")</f>
        <v/>
      </c>
      <c r="C14" s="49" t="str">
        <f>IFERROR(INDEX(_calc!$H$2:$H$3000,MATCH($A14,_calc!$AB$2:$AB$3000,0)),"")</f>
        <v/>
      </c>
      <c r="D14" s="49" t="str">
        <f>IFERROR(INDEX(_calc!$K$2:$K$3000,MATCH($A14,_calc!$AB$2:$AB$3000,0)),"")</f>
        <v/>
      </c>
      <c r="E14" s="50" t="str">
        <f>IF(OR($B14="",E$6=""),"",IF(COUNTIFS(_calc!$AE$2:$AE$3000,$B14&amp;"|"&amp;$D14,_calc!$A$2:$A$3000,$B$3,_calc!$C$2:$C$3000,E$6)=0,"",SUMIFS(_calc!$E$2:$E$3000,_calc!$AE$2:$AE$3000,$B14&amp;"|"&amp;$D14,_calc!$A$2:$A$3000,$B$3,_calc!$C$2:$C$3000,E$6)))</f>
        <v/>
      </c>
      <c r="F14" s="50" t="str">
        <f>IF(OR($B14="",F$6=""),"",IF(COUNTIFS(_calc!$AE$2:$AE$3000,$B14&amp;"|"&amp;$D14,_calc!$A$2:$A$3000,$B$3,_calc!$C$2:$C$3000,F$6)=0,"",SUMIFS(_calc!$E$2:$E$3000,_calc!$AE$2:$AE$3000,$B14&amp;"|"&amp;$D14,_calc!$A$2:$A$3000,$B$3,_calc!$C$2:$C$3000,F$6)))</f>
        <v/>
      </c>
      <c r="G14" s="50" t="str">
        <f>IF(OR($B14="",G$6=""),"",IF(COUNTIFS(_calc!$AE$2:$AE$3000,$B14&amp;"|"&amp;$D14,_calc!$A$2:$A$3000,$B$3,_calc!$C$2:$C$3000,G$6)=0,"",SUMIFS(_calc!$E$2:$E$3000,_calc!$AE$2:$AE$3000,$B14&amp;"|"&amp;$D14,_calc!$A$2:$A$3000,$B$3,_calc!$C$2:$C$3000,G$6)))</f>
        <v/>
      </c>
      <c r="H14" s="50" t="str">
        <f>IF(OR($B14="",H$6=""),"",IF(COUNTIFS(_calc!$AE$2:$AE$3000,$B14&amp;"|"&amp;$D14,_calc!$A$2:$A$3000,$B$3,_calc!$C$2:$C$3000,H$6)=0,"",SUMIFS(_calc!$E$2:$E$3000,_calc!$AE$2:$AE$3000,$B14&amp;"|"&amp;$D14,_calc!$A$2:$A$3000,$B$3,_calc!$C$2:$C$3000,H$6)))</f>
        <v/>
      </c>
      <c r="I14" s="50" t="str">
        <f>IF(OR($B14="",I$6=""),"",IF(COUNTIFS(_calc!$AE$2:$AE$3000,$B14&amp;"|"&amp;$D14,_calc!$A$2:$A$3000,$B$3,_calc!$C$2:$C$3000,I$6)=0,"",SUMIFS(_calc!$E$2:$E$3000,_calc!$AE$2:$AE$3000,$B14&amp;"|"&amp;$D14,_calc!$A$2:$A$3000,$B$3,_calc!$C$2:$C$3000,I$6)))</f>
        <v/>
      </c>
      <c r="J14" s="50" t="str">
        <f>IF(OR($B14="",J$6=""),"",IF(COUNTIFS(_calc!$AE$2:$AE$3000,$B14&amp;"|"&amp;$D14,_calc!$A$2:$A$3000,$B$3,_calc!$C$2:$C$3000,J$6)=0,"",SUMIFS(_calc!$E$2:$E$3000,_calc!$AE$2:$AE$3000,$B14&amp;"|"&amp;$D14,_calc!$A$2:$A$3000,$B$3,_calc!$C$2:$C$3000,J$6)))</f>
        <v/>
      </c>
      <c r="K14" s="50" t="str">
        <f>IF(OR($B14="",K$6=""),"",IF(COUNTIFS(_calc!$AE$2:$AE$3000,$B14&amp;"|"&amp;$D14,_calc!$A$2:$A$3000,$B$3,_calc!$C$2:$C$3000,K$6)=0,"",SUMIFS(_calc!$E$2:$E$3000,_calc!$AE$2:$AE$3000,$B14&amp;"|"&amp;$D14,_calc!$A$2:$A$3000,$B$3,_calc!$C$2:$C$3000,K$6)))</f>
        <v/>
      </c>
      <c r="L14" s="50" t="str">
        <f>IF(OR($B14="",L$6=""),"",IF(COUNTIFS(_calc!$AE$2:$AE$3000,$B14&amp;"|"&amp;$D14,_calc!$A$2:$A$3000,$B$3,_calc!$C$2:$C$3000,L$6)=0,"",SUMIFS(_calc!$E$2:$E$3000,_calc!$AE$2:$AE$3000,$B14&amp;"|"&amp;$D14,_calc!$A$2:$A$3000,$B$3,_calc!$C$2:$C$3000,L$6)))</f>
        <v/>
      </c>
      <c r="M14" s="50" t="str">
        <f>IF(OR($B14="",M$6=""),"",IF(COUNTIFS(_calc!$AE$2:$AE$3000,$B14&amp;"|"&amp;$D14,_calc!$A$2:$A$3000,$B$3,_calc!$C$2:$C$3000,M$6)=0,"",SUMIFS(_calc!$E$2:$E$3000,_calc!$AE$2:$AE$3000,$B14&amp;"|"&amp;$D14,_calc!$A$2:$A$3000,$B$3,_calc!$C$2:$C$3000,M$6)))</f>
        <v/>
      </c>
      <c r="N14" s="50" t="str">
        <f>IF(OR($B14="",N$6=""),"",IF(COUNTIFS(_calc!$AE$2:$AE$3000,$B14&amp;"|"&amp;$D14,_calc!$A$2:$A$3000,$B$3,_calc!$C$2:$C$3000,N$6)=0,"",SUMIFS(_calc!$E$2:$E$3000,_calc!$AE$2:$AE$3000,$B14&amp;"|"&amp;$D14,_calc!$A$2:$A$3000,$B$3,_calc!$C$2:$C$3000,N$6)))</f>
        <v/>
      </c>
      <c r="O14" s="50" t="str">
        <f>IF(OR($B14="",O$6=""),"",IF(COUNTIFS(_calc!$AE$2:$AE$3000,$B14&amp;"|"&amp;$D14,_calc!$A$2:$A$3000,$B$3,_calc!$C$2:$C$3000,O$6)=0,"",SUMIFS(_calc!$E$2:$E$3000,_calc!$AE$2:$AE$3000,$B14&amp;"|"&amp;$D14,_calc!$A$2:$A$3000,$B$3,_calc!$C$2:$C$3000,O$6)))</f>
        <v/>
      </c>
      <c r="P14" s="50" t="str">
        <f>IF(OR($B14="",P$6=""),"",IF(COUNTIFS(_calc!$AE$2:$AE$3000,$B14&amp;"|"&amp;$D14,_calc!$A$2:$A$3000,$B$3,_calc!$C$2:$C$3000,P$6)=0,"",SUMIFS(_calc!$E$2:$E$3000,_calc!$AE$2:$AE$3000,$B14&amp;"|"&amp;$D14,_calc!$A$2:$A$3000,$B$3,_calc!$C$2:$C$3000,P$6)))</f>
        <v/>
      </c>
      <c r="Q14" s="50" t="str">
        <f>IF(OR($B14="",Q$6=""),"",IF(COUNTIFS(_calc!$AE$2:$AE$3000,$B14&amp;"|"&amp;$D14,_calc!$A$2:$A$3000,$B$3,_calc!$C$2:$C$3000,Q$6)=0,"",SUMIFS(_calc!$E$2:$E$3000,_calc!$AE$2:$AE$3000,$B14&amp;"|"&amp;$D14,_calc!$A$2:$A$3000,$B$3,_calc!$C$2:$C$3000,Q$6)))</f>
        <v/>
      </c>
      <c r="R14" s="50" t="str">
        <f>IF(OR($B14="",R$6=""),"",IF(COUNTIFS(_calc!$AE$2:$AE$3000,$B14&amp;"|"&amp;$D14,_calc!$A$2:$A$3000,$B$3,_calc!$C$2:$C$3000,R$6)=0,"",SUMIFS(_calc!$E$2:$E$3000,_calc!$AE$2:$AE$3000,$B14&amp;"|"&amp;$D14,_calc!$A$2:$A$3000,$B$3,_calc!$C$2:$C$3000,R$6)))</f>
        <v/>
      </c>
      <c r="S14" s="50" t="str">
        <f>IF(OR($B14="",S$6=""),"",IF(COUNTIFS(_calc!$AE$2:$AE$3000,$B14&amp;"|"&amp;$D14,_calc!$A$2:$A$3000,$B$3,_calc!$C$2:$C$3000,S$6)=0,"",SUMIFS(_calc!$E$2:$E$3000,_calc!$AE$2:$AE$3000,$B14&amp;"|"&amp;$D14,_calc!$A$2:$A$3000,$B$3,_calc!$C$2:$C$3000,S$6)))</f>
        <v/>
      </c>
      <c r="T14" s="50" t="str">
        <f>IF(OR($B14="",T$6=""),"",IF(COUNTIFS(_calc!$AE$2:$AE$3000,$B14&amp;"|"&amp;$D14,_calc!$A$2:$A$3000,$B$3,_calc!$C$2:$C$3000,T$6)=0,"",SUMIFS(_calc!$E$2:$E$3000,_calc!$AE$2:$AE$3000,$B14&amp;"|"&amp;$D14,_calc!$A$2:$A$3000,$B$3,_calc!$C$2:$C$3000,T$6)))</f>
        <v/>
      </c>
      <c r="U14" s="50" t="str">
        <f>IF(OR($B14="",U$6=""),"",IF(COUNTIFS(_calc!$AE$2:$AE$3000,$B14&amp;"|"&amp;$D14,_calc!$A$2:$A$3000,$B$3,_calc!$C$2:$C$3000,U$6)=0,"",SUMIFS(_calc!$E$2:$E$3000,_calc!$AE$2:$AE$3000,$B14&amp;"|"&amp;$D14,_calc!$A$2:$A$3000,$B$3,_calc!$C$2:$C$3000,U$6)))</f>
        <v/>
      </c>
      <c r="V14" s="50" t="str">
        <f>IF(OR($B14="",V$6=""),"",IF(COUNTIFS(_calc!$AE$2:$AE$3000,$B14&amp;"|"&amp;$D14,_calc!$A$2:$A$3000,$B$3,_calc!$C$2:$C$3000,V$6)=0,"",SUMIFS(_calc!$E$2:$E$3000,_calc!$AE$2:$AE$3000,$B14&amp;"|"&amp;$D14,_calc!$A$2:$A$3000,$B$3,_calc!$C$2:$C$3000,V$6)))</f>
        <v/>
      </c>
      <c r="W14" s="50" t="str">
        <f>IF(OR($B14="",W$6=""),"",IF(COUNTIFS(_calc!$AE$2:$AE$3000,$B14&amp;"|"&amp;$D14,_calc!$A$2:$A$3000,$B$3,_calc!$C$2:$C$3000,W$6)=0,"",SUMIFS(_calc!$E$2:$E$3000,_calc!$AE$2:$AE$3000,$B14&amp;"|"&amp;$D14,_calc!$A$2:$A$3000,$B$3,_calc!$C$2:$C$3000,W$6)))</f>
        <v/>
      </c>
      <c r="X14" s="50" t="str">
        <f>IF(OR($B14="",X$6=""),"",IF(COUNTIFS(_calc!$AE$2:$AE$3000,$B14&amp;"|"&amp;$D14,_calc!$A$2:$A$3000,$B$3,_calc!$C$2:$C$3000,X$6)=0,"",SUMIFS(_calc!$E$2:$E$3000,_calc!$AE$2:$AE$3000,$B14&amp;"|"&amp;$D14,_calc!$A$2:$A$3000,$B$3,_calc!$C$2:$C$3000,X$6)))</f>
        <v/>
      </c>
      <c r="AA14" s="51"/>
      <c r="AB14" s="52" t="str">
        <f>IFERROR(INDEX(_calc!$I$2:$I$3000,MATCH(ROW()-8,_calc!$U$2:$U$3000,0)),"")</f>
        <v/>
      </c>
    </row>
    <row r="15" spans="1:53" ht="15" x14ac:dyDescent="0.5">
      <c r="A15" s="48">
        <v>9</v>
      </c>
      <c r="B15" s="49" t="str">
        <f>IFERROR(INDEX(_calc!$I$2:$I$3000,MATCH($A15,_calc!$AB$2:$AB$3000,0)),"")</f>
        <v/>
      </c>
      <c r="C15" s="49" t="str">
        <f>IFERROR(INDEX(_calc!$H$2:$H$3000,MATCH($A15,_calc!$AB$2:$AB$3000,0)),"")</f>
        <v/>
      </c>
      <c r="D15" s="49" t="str">
        <f>IFERROR(INDEX(_calc!$K$2:$K$3000,MATCH($A15,_calc!$AB$2:$AB$3000,0)),"")</f>
        <v/>
      </c>
      <c r="E15" s="50" t="str">
        <f>IF(OR($B15="",E$6=""),"",IF(COUNTIFS(_calc!$AE$2:$AE$3000,$B15&amp;"|"&amp;$D15,_calc!$A$2:$A$3000,$B$3,_calc!$C$2:$C$3000,E$6)=0,"",SUMIFS(_calc!$E$2:$E$3000,_calc!$AE$2:$AE$3000,$B15&amp;"|"&amp;$D15,_calc!$A$2:$A$3000,$B$3,_calc!$C$2:$C$3000,E$6)))</f>
        <v/>
      </c>
      <c r="F15" s="50" t="str">
        <f>IF(OR($B15="",F$6=""),"",IF(COUNTIFS(_calc!$AE$2:$AE$3000,$B15&amp;"|"&amp;$D15,_calc!$A$2:$A$3000,$B$3,_calc!$C$2:$C$3000,F$6)=0,"",SUMIFS(_calc!$E$2:$E$3000,_calc!$AE$2:$AE$3000,$B15&amp;"|"&amp;$D15,_calc!$A$2:$A$3000,$B$3,_calc!$C$2:$C$3000,F$6)))</f>
        <v/>
      </c>
      <c r="G15" s="50" t="str">
        <f>IF(OR($B15="",G$6=""),"",IF(COUNTIFS(_calc!$AE$2:$AE$3000,$B15&amp;"|"&amp;$D15,_calc!$A$2:$A$3000,$B$3,_calc!$C$2:$C$3000,G$6)=0,"",SUMIFS(_calc!$E$2:$E$3000,_calc!$AE$2:$AE$3000,$B15&amp;"|"&amp;$D15,_calc!$A$2:$A$3000,$B$3,_calc!$C$2:$C$3000,G$6)))</f>
        <v/>
      </c>
      <c r="H15" s="50" t="str">
        <f>IF(OR($B15="",H$6=""),"",IF(COUNTIFS(_calc!$AE$2:$AE$3000,$B15&amp;"|"&amp;$D15,_calc!$A$2:$A$3000,$B$3,_calc!$C$2:$C$3000,H$6)=0,"",SUMIFS(_calc!$E$2:$E$3000,_calc!$AE$2:$AE$3000,$B15&amp;"|"&amp;$D15,_calc!$A$2:$A$3000,$B$3,_calc!$C$2:$C$3000,H$6)))</f>
        <v/>
      </c>
      <c r="I15" s="50" t="str">
        <f>IF(OR($B15="",I$6=""),"",IF(COUNTIFS(_calc!$AE$2:$AE$3000,$B15&amp;"|"&amp;$D15,_calc!$A$2:$A$3000,$B$3,_calc!$C$2:$C$3000,I$6)=0,"",SUMIFS(_calc!$E$2:$E$3000,_calc!$AE$2:$AE$3000,$B15&amp;"|"&amp;$D15,_calc!$A$2:$A$3000,$B$3,_calc!$C$2:$C$3000,I$6)))</f>
        <v/>
      </c>
      <c r="J15" s="50" t="str">
        <f>IF(OR($B15="",J$6=""),"",IF(COUNTIFS(_calc!$AE$2:$AE$3000,$B15&amp;"|"&amp;$D15,_calc!$A$2:$A$3000,$B$3,_calc!$C$2:$C$3000,J$6)=0,"",SUMIFS(_calc!$E$2:$E$3000,_calc!$AE$2:$AE$3000,$B15&amp;"|"&amp;$D15,_calc!$A$2:$A$3000,$B$3,_calc!$C$2:$C$3000,J$6)))</f>
        <v/>
      </c>
      <c r="K15" s="50" t="str">
        <f>IF(OR($B15="",K$6=""),"",IF(COUNTIFS(_calc!$AE$2:$AE$3000,$B15&amp;"|"&amp;$D15,_calc!$A$2:$A$3000,$B$3,_calc!$C$2:$C$3000,K$6)=0,"",SUMIFS(_calc!$E$2:$E$3000,_calc!$AE$2:$AE$3000,$B15&amp;"|"&amp;$D15,_calc!$A$2:$A$3000,$B$3,_calc!$C$2:$C$3000,K$6)))</f>
        <v/>
      </c>
      <c r="L15" s="50" t="str">
        <f>IF(OR($B15="",L$6=""),"",IF(COUNTIFS(_calc!$AE$2:$AE$3000,$B15&amp;"|"&amp;$D15,_calc!$A$2:$A$3000,$B$3,_calc!$C$2:$C$3000,L$6)=0,"",SUMIFS(_calc!$E$2:$E$3000,_calc!$AE$2:$AE$3000,$B15&amp;"|"&amp;$D15,_calc!$A$2:$A$3000,$B$3,_calc!$C$2:$C$3000,L$6)))</f>
        <v/>
      </c>
      <c r="M15" s="50" t="str">
        <f>IF(OR($B15="",M$6=""),"",IF(COUNTIFS(_calc!$AE$2:$AE$3000,$B15&amp;"|"&amp;$D15,_calc!$A$2:$A$3000,$B$3,_calc!$C$2:$C$3000,M$6)=0,"",SUMIFS(_calc!$E$2:$E$3000,_calc!$AE$2:$AE$3000,$B15&amp;"|"&amp;$D15,_calc!$A$2:$A$3000,$B$3,_calc!$C$2:$C$3000,M$6)))</f>
        <v/>
      </c>
      <c r="N15" s="50" t="str">
        <f>IF(OR($B15="",N$6=""),"",IF(COUNTIFS(_calc!$AE$2:$AE$3000,$B15&amp;"|"&amp;$D15,_calc!$A$2:$A$3000,$B$3,_calc!$C$2:$C$3000,N$6)=0,"",SUMIFS(_calc!$E$2:$E$3000,_calc!$AE$2:$AE$3000,$B15&amp;"|"&amp;$D15,_calc!$A$2:$A$3000,$B$3,_calc!$C$2:$C$3000,N$6)))</f>
        <v/>
      </c>
      <c r="O15" s="50" t="str">
        <f>IF(OR($B15="",O$6=""),"",IF(COUNTIFS(_calc!$AE$2:$AE$3000,$B15&amp;"|"&amp;$D15,_calc!$A$2:$A$3000,$B$3,_calc!$C$2:$C$3000,O$6)=0,"",SUMIFS(_calc!$E$2:$E$3000,_calc!$AE$2:$AE$3000,$B15&amp;"|"&amp;$D15,_calc!$A$2:$A$3000,$B$3,_calc!$C$2:$C$3000,O$6)))</f>
        <v/>
      </c>
      <c r="P15" s="50" t="str">
        <f>IF(OR($B15="",P$6=""),"",IF(COUNTIFS(_calc!$AE$2:$AE$3000,$B15&amp;"|"&amp;$D15,_calc!$A$2:$A$3000,$B$3,_calc!$C$2:$C$3000,P$6)=0,"",SUMIFS(_calc!$E$2:$E$3000,_calc!$AE$2:$AE$3000,$B15&amp;"|"&amp;$D15,_calc!$A$2:$A$3000,$B$3,_calc!$C$2:$C$3000,P$6)))</f>
        <v/>
      </c>
      <c r="Q15" s="50" t="str">
        <f>IF(OR($B15="",Q$6=""),"",IF(COUNTIFS(_calc!$AE$2:$AE$3000,$B15&amp;"|"&amp;$D15,_calc!$A$2:$A$3000,$B$3,_calc!$C$2:$C$3000,Q$6)=0,"",SUMIFS(_calc!$E$2:$E$3000,_calc!$AE$2:$AE$3000,$B15&amp;"|"&amp;$D15,_calc!$A$2:$A$3000,$B$3,_calc!$C$2:$C$3000,Q$6)))</f>
        <v/>
      </c>
      <c r="R15" s="50" t="str">
        <f>IF(OR($B15="",R$6=""),"",IF(COUNTIFS(_calc!$AE$2:$AE$3000,$B15&amp;"|"&amp;$D15,_calc!$A$2:$A$3000,$B$3,_calc!$C$2:$C$3000,R$6)=0,"",SUMIFS(_calc!$E$2:$E$3000,_calc!$AE$2:$AE$3000,$B15&amp;"|"&amp;$D15,_calc!$A$2:$A$3000,$B$3,_calc!$C$2:$C$3000,R$6)))</f>
        <v/>
      </c>
      <c r="S15" s="50" t="str">
        <f>IF(OR($B15="",S$6=""),"",IF(COUNTIFS(_calc!$AE$2:$AE$3000,$B15&amp;"|"&amp;$D15,_calc!$A$2:$A$3000,$B$3,_calc!$C$2:$C$3000,S$6)=0,"",SUMIFS(_calc!$E$2:$E$3000,_calc!$AE$2:$AE$3000,$B15&amp;"|"&amp;$D15,_calc!$A$2:$A$3000,$B$3,_calc!$C$2:$C$3000,S$6)))</f>
        <v/>
      </c>
      <c r="T15" s="50" t="str">
        <f>IF(OR($B15="",T$6=""),"",IF(COUNTIFS(_calc!$AE$2:$AE$3000,$B15&amp;"|"&amp;$D15,_calc!$A$2:$A$3000,$B$3,_calc!$C$2:$C$3000,T$6)=0,"",SUMIFS(_calc!$E$2:$E$3000,_calc!$AE$2:$AE$3000,$B15&amp;"|"&amp;$D15,_calc!$A$2:$A$3000,$B$3,_calc!$C$2:$C$3000,T$6)))</f>
        <v/>
      </c>
      <c r="U15" s="50" t="str">
        <f>IF(OR($B15="",U$6=""),"",IF(COUNTIFS(_calc!$AE$2:$AE$3000,$B15&amp;"|"&amp;$D15,_calc!$A$2:$A$3000,$B$3,_calc!$C$2:$C$3000,U$6)=0,"",SUMIFS(_calc!$E$2:$E$3000,_calc!$AE$2:$AE$3000,$B15&amp;"|"&amp;$D15,_calc!$A$2:$A$3000,$B$3,_calc!$C$2:$C$3000,U$6)))</f>
        <v/>
      </c>
      <c r="V15" s="50" t="str">
        <f>IF(OR($B15="",V$6=""),"",IF(COUNTIFS(_calc!$AE$2:$AE$3000,$B15&amp;"|"&amp;$D15,_calc!$A$2:$A$3000,$B$3,_calc!$C$2:$C$3000,V$6)=0,"",SUMIFS(_calc!$E$2:$E$3000,_calc!$AE$2:$AE$3000,$B15&amp;"|"&amp;$D15,_calc!$A$2:$A$3000,$B$3,_calc!$C$2:$C$3000,V$6)))</f>
        <v/>
      </c>
      <c r="W15" s="50" t="str">
        <f>IF(OR($B15="",W$6=""),"",IF(COUNTIFS(_calc!$AE$2:$AE$3000,$B15&amp;"|"&amp;$D15,_calc!$A$2:$A$3000,$B$3,_calc!$C$2:$C$3000,W$6)=0,"",SUMIFS(_calc!$E$2:$E$3000,_calc!$AE$2:$AE$3000,$B15&amp;"|"&amp;$D15,_calc!$A$2:$A$3000,$B$3,_calc!$C$2:$C$3000,W$6)))</f>
        <v/>
      </c>
      <c r="X15" s="50" t="str">
        <f>IF(OR($B15="",X$6=""),"",IF(COUNTIFS(_calc!$AE$2:$AE$3000,$B15&amp;"|"&amp;$D15,_calc!$A$2:$A$3000,$B$3,_calc!$C$2:$C$3000,X$6)=0,"",SUMIFS(_calc!$E$2:$E$3000,_calc!$AE$2:$AE$3000,$B15&amp;"|"&amp;$D15,_calc!$A$2:$A$3000,$B$3,_calc!$C$2:$C$3000,X$6)))</f>
        <v/>
      </c>
      <c r="AA15" s="51"/>
      <c r="AB15" s="52" t="str">
        <f>IFERROR(INDEX(_calc!$I$2:$I$3000,MATCH(ROW()-8,_calc!$U$2:$U$3000,0)),"")</f>
        <v/>
      </c>
    </row>
    <row r="16" spans="1:53" ht="15" x14ac:dyDescent="0.5">
      <c r="A16" s="48">
        <v>10</v>
      </c>
      <c r="B16" s="49" t="str">
        <f>IFERROR(INDEX(_calc!$I$2:$I$3000,MATCH($A16,_calc!$AB$2:$AB$3000,0)),"")</f>
        <v/>
      </c>
      <c r="C16" s="49" t="str">
        <f>IFERROR(INDEX(_calc!$H$2:$H$3000,MATCH($A16,_calc!$AB$2:$AB$3000,0)),"")</f>
        <v/>
      </c>
      <c r="D16" s="49" t="str">
        <f>IFERROR(INDEX(_calc!$K$2:$K$3000,MATCH($A16,_calc!$AB$2:$AB$3000,0)),"")</f>
        <v/>
      </c>
      <c r="E16" s="50" t="str">
        <f>IF(OR($B16="",E$6=""),"",IF(COUNTIFS(_calc!$AE$2:$AE$3000,$B16&amp;"|"&amp;$D16,_calc!$A$2:$A$3000,$B$3,_calc!$C$2:$C$3000,E$6)=0,"",SUMIFS(_calc!$E$2:$E$3000,_calc!$AE$2:$AE$3000,$B16&amp;"|"&amp;$D16,_calc!$A$2:$A$3000,$B$3,_calc!$C$2:$C$3000,E$6)))</f>
        <v/>
      </c>
      <c r="F16" s="50" t="str">
        <f>IF(OR($B16="",F$6=""),"",IF(COUNTIFS(_calc!$AE$2:$AE$3000,$B16&amp;"|"&amp;$D16,_calc!$A$2:$A$3000,$B$3,_calc!$C$2:$C$3000,F$6)=0,"",SUMIFS(_calc!$E$2:$E$3000,_calc!$AE$2:$AE$3000,$B16&amp;"|"&amp;$D16,_calc!$A$2:$A$3000,$B$3,_calc!$C$2:$C$3000,F$6)))</f>
        <v/>
      </c>
      <c r="G16" s="50" t="str">
        <f>IF(OR($B16="",G$6=""),"",IF(COUNTIFS(_calc!$AE$2:$AE$3000,$B16&amp;"|"&amp;$D16,_calc!$A$2:$A$3000,$B$3,_calc!$C$2:$C$3000,G$6)=0,"",SUMIFS(_calc!$E$2:$E$3000,_calc!$AE$2:$AE$3000,$B16&amp;"|"&amp;$D16,_calc!$A$2:$A$3000,$B$3,_calc!$C$2:$C$3000,G$6)))</f>
        <v/>
      </c>
      <c r="H16" s="50" t="str">
        <f>IF(OR($B16="",H$6=""),"",IF(COUNTIFS(_calc!$AE$2:$AE$3000,$B16&amp;"|"&amp;$D16,_calc!$A$2:$A$3000,$B$3,_calc!$C$2:$C$3000,H$6)=0,"",SUMIFS(_calc!$E$2:$E$3000,_calc!$AE$2:$AE$3000,$B16&amp;"|"&amp;$D16,_calc!$A$2:$A$3000,$B$3,_calc!$C$2:$C$3000,H$6)))</f>
        <v/>
      </c>
      <c r="I16" s="50" t="str">
        <f>IF(OR($B16="",I$6=""),"",IF(COUNTIFS(_calc!$AE$2:$AE$3000,$B16&amp;"|"&amp;$D16,_calc!$A$2:$A$3000,$B$3,_calc!$C$2:$C$3000,I$6)=0,"",SUMIFS(_calc!$E$2:$E$3000,_calc!$AE$2:$AE$3000,$B16&amp;"|"&amp;$D16,_calc!$A$2:$A$3000,$B$3,_calc!$C$2:$C$3000,I$6)))</f>
        <v/>
      </c>
      <c r="J16" s="50" t="str">
        <f>IF(OR($B16="",J$6=""),"",IF(COUNTIFS(_calc!$AE$2:$AE$3000,$B16&amp;"|"&amp;$D16,_calc!$A$2:$A$3000,$B$3,_calc!$C$2:$C$3000,J$6)=0,"",SUMIFS(_calc!$E$2:$E$3000,_calc!$AE$2:$AE$3000,$B16&amp;"|"&amp;$D16,_calc!$A$2:$A$3000,$B$3,_calc!$C$2:$C$3000,J$6)))</f>
        <v/>
      </c>
      <c r="K16" s="50" t="str">
        <f>IF(OR($B16="",K$6=""),"",IF(COUNTIFS(_calc!$AE$2:$AE$3000,$B16&amp;"|"&amp;$D16,_calc!$A$2:$A$3000,$B$3,_calc!$C$2:$C$3000,K$6)=0,"",SUMIFS(_calc!$E$2:$E$3000,_calc!$AE$2:$AE$3000,$B16&amp;"|"&amp;$D16,_calc!$A$2:$A$3000,$B$3,_calc!$C$2:$C$3000,K$6)))</f>
        <v/>
      </c>
      <c r="L16" s="50" t="str">
        <f>IF(OR($B16="",L$6=""),"",IF(COUNTIFS(_calc!$AE$2:$AE$3000,$B16&amp;"|"&amp;$D16,_calc!$A$2:$A$3000,$B$3,_calc!$C$2:$C$3000,L$6)=0,"",SUMIFS(_calc!$E$2:$E$3000,_calc!$AE$2:$AE$3000,$B16&amp;"|"&amp;$D16,_calc!$A$2:$A$3000,$B$3,_calc!$C$2:$C$3000,L$6)))</f>
        <v/>
      </c>
      <c r="M16" s="50" t="str">
        <f>IF(OR($B16="",M$6=""),"",IF(COUNTIFS(_calc!$AE$2:$AE$3000,$B16&amp;"|"&amp;$D16,_calc!$A$2:$A$3000,$B$3,_calc!$C$2:$C$3000,M$6)=0,"",SUMIFS(_calc!$E$2:$E$3000,_calc!$AE$2:$AE$3000,$B16&amp;"|"&amp;$D16,_calc!$A$2:$A$3000,$B$3,_calc!$C$2:$C$3000,M$6)))</f>
        <v/>
      </c>
      <c r="N16" s="50" t="str">
        <f>IF(OR($B16="",N$6=""),"",IF(COUNTIFS(_calc!$AE$2:$AE$3000,$B16&amp;"|"&amp;$D16,_calc!$A$2:$A$3000,$B$3,_calc!$C$2:$C$3000,N$6)=0,"",SUMIFS(_calc!$E$2:$E$3000,_calc!$AE$2:$AE$3000,$B16&amp;"|"&amp;$D16,_calc!$A$2:$A$3000,$B$3,_calc!$C$2:$C$3000,N$6)))</f>
        <v/>
      </c>
      <c r="O16" s="50" t="str">
        <f>IF(OR($B16="",O$6=""),"",IF(COUNTIFS(_calc!$AE$2:$AE$3000,$B16&amp;"|"&amp;$D16,_calc!$A$2:$A$3000,$B$3,_calc!$C$2:$C$3000,O$6)=0,"",SUMIFS(_calc!$E$2:$E$3000,_calc!$AE$2:$AE$3000,$B16&amp;"|"&amp;$D16,_calc!$A$2:$A$3000,$B$3,_calc!$C$2:$C$3000,O$6)))</f>
        <v/>
      </c>
      <c r="P16" s="50" t="str">
        <f>IF(OR($B16="",P$6=""),"",IF(COUNTIFS(_calc!$AE$2:$AE$3000,$B16&amp;"|"&amp;$D16,_calc!$A$2:$A$3000,$B$3,_calc!$C$2:$C$3000,P$6)=0,"",SUMIFS(_calc!$E$2:$E$3000,_calc!$AE$2:$AE$3000,$B16&amp;"|"&amp;$D16,_calc!$A$2:$A$3000,$B$3,_calc!$C$2:$C$3000,P$6)))</f>
        <v/>
      </c>
      <c r="Q16" s="50" t="str">
        <f>IF(OR($B16="",Q$6=""),"",IF(COUNTIFS(_calc!$AE$2:$AE$3000,$B16&amp;"|"&amp;$D16,_calc!$A$2:$A$3000,$B$3,_calc!$C$2:$C$3000,Q$6)=0,"",SUMIFS(_calc!$E$2:$E$3000,_calc!$AE$2:$AE$3000,$B16&amp;"|"&amp;$D16,_calc!$A$2:$A$3000,$B$3,_calc!$C$2:$C$3000,Q$6)))</f>
        <v/>
      </c>
      <c r="R16" s="50" t="str">
        <f>IF(OR($B16="",R$6=""),"",IF(COUNTIFS(_calc!$AE$2:$AE$3000,$B16&amp;"|"&amp;$D16,_calc!$A$2:$A$3000,$B$3,_calc!$C$2:$C$3000,R$6)=0,"",SUMIFS(_calc!$E$2:$E$3000,_calc!$AE$2:$AE$3000,$B16&amp;"|"&amp;$D16,_calc!$A$2:$A$3000,$B$3,_calc!$C$2:$C$3000,R$6)))</f>
        <v/>
      </c>
      <c r="S16" s="50" t="str">
        <f>IF(OR($B16="",S$6=""),"",IF(COUNTIFS(_calc!$AE$2:$AE$3000,$B16&amp;"|"&amp;$D16,_calc!$A$2:$A$3000,$B$3,_calc!$C$2:$C$3000,S$6)=0,"",SUMIFS(_calc!$E$2:$E$3000,_calc!$AE$2:$AE$3000,$B16&amp;"|"&amp;$D16,_calc!$A$2:$A$3000,$B$3,_calc!$C$2:$C$3000,S$6)))</f>
        <v/>
      </c>
      <c r="T16" s="50" t="str">
        <f>IF(OR($B16="",T$6=""),"",IF(COUNTIFS(_calc!$AE$2:$AE$3000,$B16&amp;"|"&amp;$D16,_calc!$A$2:$A$3000,$B$3,_calc!$C$2:$C$3000,T$6)=0,"",SUMIFS(_calc!$E$2:$E$3000,_calc!$AE$2:$AE$3000,$B16&amp;"|"&amp;$D16,_calc!$A$2:$A$3000,$B$3,_calc!$C$2:$C$3000,T$6)))</f>
        <v/>
      </c>
      <c r="U16" s="50" t="str">
        <f>IF(OR($B16="",U$6=""),"",IF(COUNTIFS(_calc!$AE$2:$AE$3000,$B16&amp;"|"&amp;$D16,_calc!$A$2:$A$3000,$B$3,_calc!$C$2:$C$3000,U$6)=0,"",SUMIFS(_calc!$E$2:$E$3000,_calc!$AE$2:$AE$3000,$B16&amp;"|"&amp;$D16,_calc!$A$2:$A$3000,$B$3,_calc!$C$2:$C$3000,U$6)))</f>
        <v/>
      </c>
      <c r="V16" s="50" t="str">
        <f>IF(OR($B16="",V$6=""),"",IF(COUNTIFS(_calc!$AE$2:$AE$3000,$B16&amp;"|"&amp;$D16,_calc!$A$2:$A$3000,$B$3,_calc!$C$2:$C$3000,V$6)=0,"",SUMIFS(_calc!$E$2:$E$3000,_calc!$AE$2:$AE$3000,$B16&amp;"|"&amp;$D16,_calc!$A$2:$A$3000,$B$3,_calc!$C$2:$C$3000,V$6)))</f>
        <v/>
      </c>
      <c r="W16" s="50" t="str">
        <f>IF(OR($B16="",W$6=""),"",IF(COUNTIFS(_calc!$AE$2:$AE$3000,$B16&amp;"|"&amp;$D16,_calc!$A$2:$A$3000,$B$3,_calc!$C$2:$C$3000,W$6)=0,"",SUMIFS(_calc!$E$2:$E$3000,_calc!$AE$2:$AE$3000,$B16&amp;"|"&amp;$D16,_calc!$A$2:$A$3000,$B$3,_calc!$C$2:$C$3000,W$6)))</f>
        <v/>
      </c>
      <c r="X16" s="50" t="str">
        <f>IF(OR($B16="",X$6=""),"",IF(COUNTIFS(_calc!$AE$2:$AE$3000,$B16&amp;"|"&amp;$D16,_calc!$A$2:$A$3000,$B$3,_calc!$C$2:$C$3000,X$6)=0,"",SUMIFS(_calc!$E$2:$E$3000,_calc!$AE$2:$AE$3000,$B16&amp;"|"&amp;$D16,_calc!$A$2:$A$3000,$B$3,_calc!$C$2:$C$3000,X$6)))</f>
        <v/>
      </c>
      <c r="AA16" s="51"/>
      <c r="AB16" s="52" t="str">
        <f>IFERROR(INDEX(_calc!$I$2:$I$3000,MATCH(ROW()-8,_calc!$U$2:$U$3000,0)),"")</f>
        <v/>
      </c>
    </row>
    <row r="17" spans="1:28" ht="15" x14ac:dyDescent="0.5">
      <c r="A17" s="48">
        <v>11</v>
      </c>
      <c r="B17" s="49" t="str">
        <f>IFERROR(INDEX(_calc!$I$2:$I$3000,MATCH($A17,_calc!$AB$2:$AB$3000,0)),"")</f>
        <v/>
      </c>
      <c r="C17" s="49" t="str">
        <f>IFERROR(INDEX(_calc!$H$2:$H$3000,MATCH($A17,_calc!$AB$2:$AB$3000,0)),"")</f>
        <v/>
      </c>
      <c r="D17" s="49" t="str">
        <f>IFERROR(INDEX(_calc!$K$2:$K$3000,MATCH($A17,_calc!$AB$2:$AB$3000,0)),"")</f>
        <v/>
      </c>
      <c r="E17" s="50" t="str">
        <f>IF(OR($B17="",E$6=""),"",IF(COUNTIFS(_calc!$AE$2:$AE$3000,$B17&amp;"|"&amp;$D17,_calc!$A$2:$A$3000,$B$3,_calc!$C$2:$C$3000,E$6)=0,"",SUMIFS(_calc!$E$2:$E$3000,_calc!$AE$2:$AE$3000,$B17&amp;"|"&amp;$D17,_calc!$A$2:$A$3000,$B$3,_calc!$C$2:$C$3000,E$6)))</f>
        <v/>
      </c>
      <c r="F17" s="50" t="str">
        <f>IF(OR($B17="",F$6=""),"",IF(COUNTIFS(_calc!$AE$2:$AE$3000,$B17&amp;"|"&amp;$D17,_calc!$A$2:$A$3000,$B$3,_calc!$C$2:$C$3000,F$6)=0,"",SUMIFS(_calc!$E$2:$E$3000,_calc!$AE$2:$AE$3000,$B17&amp;"|"&amp;$D17,_calc!$A$2:$A$3000,$B$3,_calc!$C$2:$C$3000,F$6)))</f>
        <v/>
      </c>
      <c r="G17" s="50" t="str">
        <f>IF(OR($B17="",G$6=""),"",IF(COUNTIFS(_calc!$AE$2:$AE$3000,$B17&amp;"|"&amp;$D17,_calc!$A$2:$A$3000,$B$3,_calc!$C$2:$C$3000,G$6)=0,"",SUMIFS(_calc!$E$2:$E$3000,_calc!$AE$2:$AE$3000,$B17&amp;"|"&amp;$D17,_calc!$A$2:$A$3000,$B$3,_calc!$C$2:$C$3000,G$6)))</f>
        <v/>
      </c>
      <c r="H17" s="50" t="str">
        <f>IF(OR($B17="",H$6=""),"",IF(COUNTIFS(_calc!$AE$2:$AE$3000,$B17&amp;"|"&amp;$D17,_calc!$A$2:$A$3000,$B$3,_calc!$C$2:$C$3000,H$6)=0,"",SUMIFS(_calc!$E$2:$E$3000,_calc!$AE$2:$AE$3000,$B17&amp;"|"&amp;$D17,_calc!$A$2:$A$3000,$B$3,_calc!$C$2:$C$3000,H$6)))</f>
        <v/>
      </c>
      <c r="I17" s="50" t="str">
        <f>IF(OR($B17="",I$6=""),"",IF(COUNTIFS(_calc!$AE$2:$AE$3000,$B17&amp;"|"&amp;$D17,_calc!$A$2:$A$3000,$B$3,_calc!$C$2:$C$3000,I$6)=0,"",SUMIFS(_calc!$E$2:$E$3000,_calc!$AE$2:$AE$3000,$B17&amp;"|"&amp;$D17,_calc!$A$2:$A$3000,$B$3,_calc!$C$2:$C$3000,I$6)))</f>
        <v/>
      </c>
      <c r="J17" s="50" t="str">
        <f>IF(OR($B17="",J$6=""),"",IF(COUNTIFS(_calc!$AE$2:$AE$3000,$B17&amp;"|"&amp;$D17,_calc!$A$2:$A$3000,$B$3,_calc!$C$2:$C$3000,J$6)=0,"",SUMIFS(_calc!$E$2:$E$3000,_calc!$AE$2:$AE$3000,$B17&amp;"|"&amp;$D17,_calc!$A$2:$A$3000,$B$3,_calc!$C$2:$C$3000,J$6)))</f>
        <v/>
      </c>
      <c r="K17" s="50" t="str">
        <f>IF(OR($B17="",K$6=""),"",IF(COUNTIFS(_calc!$AE$2:$AE$3000,$B17&amp;"|"&amp;$D17,_calc!$A$2:$A$3000,$B$3,_calc!$C$2:$C$3000,K$6)=0,"",SUMIFS(_calc!$E$2:$E$3000,_calc!$AE$2:$AE$3000,$B17&amp;"|"&amp;$D17,_calc!$A$2:$A$3000,$B$3,_calc!$C$2:$C$3000,K$6)))</f>
        <v/>
      </c>
      <c r="L17" s="50" t="str">
        <f>IF(OR($B17="",L$6=""),"",IF(COUNTIFS(_calc!$AE$2:$AE$3000,$B17&amp;"|"&amp;$D17,_calc!$A$2:$A$3000,$B$3,_calc!$C$2:$C$3000,L$6)=0,"",SUMIFS(_calc!$E$2:$E$3000,_calc!$AE$2:$AE$3000,$B17&amp;"|"&amp;$D17,_calc!$A$2:$A$3000,$B$3,_calc!$C$2:$C$3000,L$6)))</f>
        <v/>
      </c>
      <c r="M17" s="50" t="str">
        <f>IF(OR($B17="",M$6=""),"",IF(COUNTIFS(_calc!$AE$2:$AE$3000,$B17&amp;"|"&amp;$D17,_calc!$A$2:$A$3000,$B$3,_calc!$C$2:$C$3000,M$6)=0,"",SUMIFS(_calc!$E$2:$E$3000,_calc!$AE$2:$AE$3000,$B17&amp;"|"&amp;$D17,_calc!$A$2:$A$3000,$B$3,_calc!$C$2:$C$3000,M$6)))</f>
        <v/>
      </c>
      <c r="N17" s="50" t="str">
        <f>IF(OR($B17="",N$6=""),"",IF(COUNTIFS(_calc!$AE$2:$AE$3000,$B17&amp;"|"&amp;$D17,_calc!$A$2:$A$3000,$B$3,_calc!$C$2:$C$3000,N$6)=0,"",SUMIFS(_calc!$E$2:$E$3000,_calc!$AE$2:$AE$3000,$B17&amp;"|"&amp;$D17,_calc!$A$2:$A$3000,$B$3,_calc!$C$2:$C$3000,N$6)))</f>
        <v/>
      </c>
      <c r="O17" s="50" t="str">
        <f>IF(OR($B17="",O$6=""),"",IF(COUNTIFS(_calc!$AE$2:$AE$3000,$B17&amp;"|"&amp;$D17,_calc!$A$2:$A$3000,$B$3,_calc!$C$2:$C$3000,O$6)=0,"",SUMIFS(_calc!$E$2:$E$3000,_calc!$AE$2:$AE$3000,$B17&amp;"|"&amp;$D17,_calc!$A$2:$A$3000,$B$3,_calc!$C$2:$C$3000,O$6)))</f>
        <v/>
      </c>
      <c r="P17" s="50" t="str">
        <f>IF(OR($B17="",P$6=""),"",IF(COUNTIFS(_calc!$AE$2:$AE$3000,$B17&amp;"|"&amp;$D17,_calc!$A$2:$A$3000,$B$3,_calc!$C$2:$C$3000,P$6)=0,"",SUMIFS(_calc!$E$2:$E$3000,_calc!$AE$2:$AE$3000,$B17&amp;"|"&amp;$D17,_calc!$A$2:$A$3000,$B$3,_calc!$C$2:$C$3000,P$6)))</f>
        <v/>
      </c>
      <c r="Q17" s="50" t="str">
        <f>IF(OR($B17="",Q$6=""),"",IF(COUNTIFS(_calc!$AE$2:$AE$3000,$B17&amp;"|"&amp;$D17,_calc!$A$2:$A$3000,$B$3,_calc!$C$2:$C$3000,Q$6)=0,"",SUMIFS(_calc!$E$2:$E$3000,_calc!$AE$2:$AE$3000,$B17&amp;"|"&amp;$D17,_calc!$A$2:$A$3000,$B$3,_calc!$C$2:$C$3000,Q$6)))</f>
        <v/>
      </c>
      <c r="R17" s="50" t="str">
        <f>IF(OR($B17="",R$6=""),"",IF(COUNTIFS(_calc!$AE$2:$AE$3000,$B17&amp;"|"&amp;$D17,_calc!$A$2:$A$3000,$B$3,_calc!$C$2:$C$3000,R$6)=0,"",SUMIFS(_calc!$E$2:$E$3000,_calc!$AE$2:$AE$3000,$B17&amp;"|"&amp;$D17,_calc!$A$2:$A$3000,$B$3,_calc!$C$2:$C$3000,R$6)))</f>
        <v/>
      </c>
      <c r="S17" s="50" t="str">
        <f>IF(OR($B17="",S$6=""),"",IF(COUNTIFS(_calc!$AE$2:$AE$3000,$B17&amp;"|"&amp;$D17,_calc!$A$2:$A$3000,$B$3,_calc!$C$2:$C$3000,S$6)=0,"",SUMIFS(_calc!$E$2:$E$3000,_calc!$AE$2:$AE$3000,$B17&amp;"|"&amp;$D17,_calc!$A$2:$A$3000,$B$3,_calc!$C$2:$C$3000,S$6)))</f>
        <v/>
      </c>
      <c r="T17" s="50" t="str">
        <f>IF(OR($B17="",T$6=""),"",IF(COUNTIFS(_calc!$AE$2:$AE$3000,$B17&amp;"|"&amp;$D17,_calc!$A$2:$A$3000,$B$3,_calc!$C$2:$C$3000,T$6)=0,"",SUMIFS(_calc!$E$2:$E$3000,_calc!$AE$2:$AE$3000,$B17&amp;"|"&amp;$D17,_calc!$A$2:$A$3000,$B$3,_calc!$C$2:$C$3000,T$6)))</f>
        <v/>
      </c>
      <c r="U17" s="50" t="str">
        <f>IF(OR($B17="",U$6=""),"",IF(COUNTIFS(_calc!$AE$2:$AE$3000,$B17&amp;"|"&amp;$D17,_calc!$A$2:$A$3000,$B$3,_calc!$C$2:$C$3000,U$6)=0,"",SUMIFS(_calc!$E$2:$E$3000,_calc!$AE$2:$AE$3000,$B17&amp;"|"&amp;$D17,_calc!$A$2:$A$3000,$B$3,_calc!$C$2:$C$3000,U$6)))</f>
        <v/>
      </c>
      <c r="V17" s="50" t="str">
        <f>IF(OR($B17="",V$6=""),"",IF(COUNTIFS(_calc!$AE$2:$AE$3000,$B17&amp;"|"&amp;$D17,_calc!$A$2:$A$3000,$B$3,_calc!$C$2:$C$3000,V$6)=0,"",SUMIFS(_calc!$E$2:$E$3000,_calc!$AE$2:$AE$3000,$B17&amp;"|"&amp;$D17,_calc!$A$2:$A$3000,$B$3,_calc!$C$2:$C$3000,V$6)))</f>
        <v/>
      </c>
      <c r="W17" s="50" t="str">
        <f>IF(OR($B17="",W$6=""),"",IF(COUNTIFS(_calc!$AE$2:$AE$3000,$B17&amp;"|"&amp;$D17,_calc!$A$2:$A$3000,$B$3,_calc!$C$2:$C$3000,W$6)=0,"",SUMIFS(_calc!$E$2:$E$3000,_calc!$AE$2:$AE$3000,$B17&amp;"|"&amp;$D17,_calc!$A$2:$A$3000,$B$3,_calc!$C$2:$C$3000,W$6)))</f>
        <v/>
      </c>
      <c r="X17" s="50" t="str">
        <f>IF(OR($B17="",X$6=""),"",IF(COUNTIFS(_calc!$AE$2:$AE$3000,$B17&amp;"|"&amp;$D17,_calc!$A$2:$A$3000,$B$3,_calc!$C$2:$C$3000,X$6)=0,"",SUMIFS(_calc!$E$2:$E$3000,_calc!$AE$2:$AE$3000,$B17&amp;"|"&amp;$D17,_calc!$A$2:$A$3000,$B$3,_calc!$C$2:$C$3000,X$6)))</f>
        <v/>
      </c>
      <c r="AA17" s="51"/>
      <c r="AB17" s="52" t="str">
        <f>IFERROR(INDEX(_calc!$I$2:$I$3000,MATCH(ROW()-8,_calc!$U$2:$U$3000,0)),"")</f>
        <v/>
      </c>
    </row>
    <row r="18" spans="1:28" ht="15" x14ac:dyDescent="0.5">
      <c r="A18" s="48">
        <v>12</v>
      </c>
      <c r="B18" s="49" t="str">
        <f>IFERROR(INDEX(_calc!$I$2:$I$3000,MATCH($A18,_calc!$AB$2:$AB$3000,0)),"")</f>
        <v/>
      </c>
      <c r="C18" s="49" t="str">
        <f>IFERROR(INDEX(_calc!$H$2:$H$3000,MATCH($A18,_calc!$AB$2:$AB$3000,0)),"")</f>
        <v/>
      </c>
      <c r="D18" s="49" t="str">
        <f>IFERROR(INDEX(_calc!$K$2:$K$3000,MATCH($A18,_calc!$AB$2:$AB$3000,0)),"")</f>
        <v/>
      </c>
      <c r="E18" s="50" t="str">
        <f>IF(OR($B18="",E$6=""),"",IF(COUNTIFS(_calc!$AE$2:$AE$3000,$B18&amp;"|"&amp;$D18,_calc!$A$2:$A$3000,$B$3,_calc!$C$2:$C$3000,E$6)=0,"",SUMIFS(_calc!$E$2:$E$3000,_calc!$AE$2:$AE$3000,$B18&amp;"|"&amp;$D18,_calc!$A$2:$A$3000,$B$3,_calc!$C$2:$C$3000,E$6)))</f>
        <v/>
      </c>
      <c r="F18" s="50" t="str">
        <f>IF(OR($B18="",F$6=""),"",IF(COUNTIFS(_calc!$AE$2:$AE$3000,$B18&amp;"|"&amp;$D18,_calc!$A$2:$A$3000,$B$3,_calc!$C$2:$C$3000,F$6)=0,"",SUMIFS(_calc!$E$2:$E$3000,_calc!$AE$2:$AE$3000,$B18&amp;"|"&amp;$D18,_calc!$A$2:$A$3000,$B$3,_calc!$C$2:$C$3000,F$6)))</f>
        <v/>
      </c>
      <c r="G18" s="50" t="str">
        <f>IF(OR($B18="",G$6=""),"",IF(COUNTIFS(_calc!$AE$2:$AE$3000,$B18&amp;"|"&amp;$D18,_calc!$A$2:$A$3000,$B$3,_calc!$C$2:$C$3000,G$6)=0,"",SUMIFS(_calc!$E$2:$E$3000,_calc!$AE$2:$AE$3000,$B18&amp;"|"&amp;$D18,_calc!$A$2:$A$3000,$B$3,_calc!$C$2:$C$3000,G$6)))</f>
        <v/>
      </c>
      <c r="H18" s="50" t="str">
        <f>IF(OR($B18="",H$6=""),"",IF(COUNTIFS(_calc!$AE$2:$AE$3000,$B18&amp;"|"&amp;$D18,_calc!$A$2:$A$3000,$B$3,_calc!$C$2:$C$3000,H$6)=0,"",SUMIFS(_calc!$E$2:$E$3000,_calc!$AE$2:$AE$3000,$B18&amp;"|"&amp;$D18,_calc!$A$2:$A$3000,$B$3,_calc!$C$2:$C$3000,H$6)))</f>
        <v/>
      </c>
      <c r="I18" s="50" t="str">
        <f>IF(OR($B18="",I$6=""),"",IF(COUNTIFS(_calc!$AE$2:$AE$3000,$B18&amp;"|"&amp;$D18,_calc!$A$2:$A$3000,$B$3,_calc!$C$2:$C$3000,I$6)=0,"",SUMIFS(_calc!$E$2:$E$3000,_calc!$AE$2:$AE$3000,$B18&amp;"|"&amp;$D18,_calc!$A$2:$A$3000,$B$3,_calc!$C$2:$C$3000,I$6)))</f>
        <v/>
      </c>
      <c r="J18" s="50" t="str">
        <f>IF(OR($B18="",J$6=""),"",IF(COUNTIFS(_calc!$AE$2:$AE$3000,$B18&amp;"|"&amp;$D18,_calc!$A$2:$A$3000,$B$3,_calc!$C$2:$C$3000,J$6)=0,"",SUMIFS(_calc!$E$2:$E$3000,_calc!$AE$2:$AE$3000,$B18&amp;"|"&amp;$D18,_calc!$A$2:$A$3000,$B$3,_calc!$C$2:$C$3000,J$6)))</f>
        <v/>
      </c>
      <c r="K18" s="50" t="str">
        <f>IF(OR($B18="",K$6=""),"",IF(COUNTIFS(_calc!$AE$2:$AE$3000,$B18&amp;"|"&amp;$D18,_calc!$A$2:$A$3000,$B$3,_calc!$C$2:$C$3000,K$6)=0,"",SUMIFS(_calc!$E$2:$E$3000,_calc!$AE$2:$AE$3000,$B18&amp;"|"&amp;$D18,_calc!$A$2:$A$3000,$B$3,_calc!$C$2:$C$3000,K$6)))</f>
        <v/>
      </c>
      <c r="L18" s="50" t="str">
        <f>IF(OR($B18="",L$6=""),"",IF(COUNTIFS(_calc!$AE$2:$AE$3000,$B18&amp;"|"&amp;$D18,_calc!$A$2:$A$3000,$B$3,_calc!$C$2:$C$3000,L$6)=0,"",SUMIFS(_calc!$E$2:$E$3000,_calc!$AE$2:$AE$3000,$B18&amp;"|"&amp;$D18,_calc!$A$2:$A$3000,$B$3,_calc!$C$2:$C$3000,L$6)))</f>
        <v/>
      </c>
      <c r="M18" s="50" t="str">
        <f>IF(OR($B18="",M$6=""),"",IF(COUNTIFS(_calc!$AE$2:$AE$3000,$B18&amp;"|"&amp;$D18,_calc!$A$2:$A$3000,$B$3,_calc!$C$2:$C$3000,M$6)=0,"",SUMIFS(_calc!$E$2:$E$3000,_calc!$AE$2:$AE$3000,$B18&amp;"|"&amp;$D18,_calc!$A$2:$A$3000,$B$3,_calc!$C$2:$C$3000,M$6)))</f>
        <v/>
      </c>
      <c r="N18" s="50" t="str">
        <f>IF(OR($B18="",N$6=""),"",IF(COUNTIFS(_calc!$AE$2:$AE$3000,$B18&amp;"|"&amp;$D18,_calc!$A$2:$A$3000,$B$3,_calc!$C$2:$C$3000,N$6)=0,"",SUMIFS(_calc!$E$2:$E$3000,_calc!$AE$2:$AE$3000,$B18&amp;"|"&amp;$D18,_calc!$A$2:$A$3000,$B$3,_calc!$C$2:$C$3000,N$6)))</f>
        <v/>
      </c>
      <c r="O18" s="50" t="str">
        <f>IF(OR($B18="",O$6=""),"",IF(COUNTIFS(_calc!$AE$2:$AE$3000,$B18&amp;"|"&amp;$D18,_calc!$A$2:$A$3000,$B$3,_calc!$C$2:$C$3000,O$6)=0,"",SUMIFS(_calc!$E$2:$E$3000,_calc!$AE$2:$AE$3000,$B18&amp;"|"&amp;$D18,_calc!$A$2:$A$3000,$B$3,_calc!$C$2:$C$3000,O$6)))</f>
        <v/>
      </c>
      <c r="P18" s="50" t="str">
        <f>IF(OR($B18="",P$6=""),"",IF(COUNTIFS(_calc!$AE$2:$AE$3000,$B18&amp;"|"&amp;$D18,_calc!$A$2:$A$3000,$B$3,_calc!$C$2:$C$3000,P$6)=0,"",SUMIFS(_calc!$E$2:$E$3000,_calc!$AE$2:$AE$3000,$B18&amp;"|"&amp;$D18,_calc!$A$2:$A$3000,$B$3,_calc!$C$2:$C$3000,P$6)))</f>
        <v/>
      </c>
      <c r="Q18" s="50" t="str">
        <f>IF(OR($B18="",Q$6=""),"",IF(COUNTIFS(_calc!$AE$2:$AE$3000,$B18&amp;"|"&amp;$D18,_calc!$A$2:$A$3000,$B$3,_calc!$C$2:$C$3000,Q$6)=0,"",SUMIFS(_calc!$E$2:$E$3000,_calc!$AE$2:$AE$3000,$B18&amp;"|"&amp;$D18,_calc!$A$2:$A$3000,$B$3,_calc!$C$2:$C$3000,Q$6)))</f>
        <v/>
      </c>
      <c r="R18" s="50" t="str">
        <f>IF(OR($B18="",R$6=""),"",IF(COUNTIFS(_calc!$AE$2:$AE$3000,$B18&amp;"|"&amp;$D18,_calc!$A$2:$A$3000,$B$3,_calc!$C$2:$C$3000,R$6)=0,"",SUMIFS(_calc!$E$2:$E$3000,_calc!$AE$2:$AE$3000,$B18&amp;"|"&amp;$D18,_calc!$A$2:$A$3000,$B$3,_calc!$C$2:$C$3000,R$6)))</f>
        <v/>
      </c>
      <c r="S18" s="50" t="str">
        <f>IF(OR($B18="",S$6=""),"",IF(COUNTIFS(_calc!$AE$2:$AE$3000,$B18&amp;"|"&amp;$D18,_calc!$A$2:$A$3000,$B$3,_calc!$C$2:$C$3000,S$6)=0,"",SUMIFS(_calc!$E$2:$E$3000,_calc!$AE$2:$AE$3000,$B18&amp;"|"&amp;$D18,_calc!$A$2:$A$3000,$B$3,_calc!$C$2:$C$3000,S$6)))</f>
        <v/>
      </c>
      <c r="T18" s="50" t="str">
        <f>IF(OR($B18="",T$6=""),"",IF(COUNTIFS(_calc!$AE$2:$AE$3000,$B18&amp;"|"&amp;$D18,_calc!$A$2:$A$3000,$B$3,_calc!$C$2:$C$3000,T$6)=0,"",SUMIFS(_calc!$E$2:$E$3000,_calc!$AE$2:$AE$3000,$B18&amp;"|"&amp;$D18,_calc!$A$2:$A$3000,$B$3,_calc!$C$2:$C$3000,T$6)))</f>
        <v/>
      </c>
      <c r="U18" s="50" t="str">
        <f>IF(OR($B18="",U$6=""),"",IF(COUNTIFS(_calc!$AE$2:$AE$3000,$B18&amp;"|"&amp;$D18,_calc!$A$2:$A$3000,$B$3,_calc!$C$2:$C$3000,U$6)=0,"",SUMIFS(_calc!$E$2:$E$3000,_calc!$AE$2:$AE$3000,$B18&amp;"|"&amp;$D18,_calc!$A$2:$A$3000,$B$3,_calc!$C$2:$C$3000,U$6)))</f>
        <v/>
      </c>
      <c r="V18" s="50" t="str">
        <f>IF(OR($B18="",V$6=""),"",IF(COUNTIFS(_calc!$AE$2:$AE$3000,$B18&amp;"|"&amp;$D18,_calc!$A$2:$A$3000,$B$3,_calc!$C$2:$C$3000,V$6)=0,"",SUMIFS(_calc!$E$2:$E$3000,_calc!$AE$2:$AE$3000,$B18&amp;"|"&amp;$D18,_calc!$A$2:$A$3000,$B$3,_calc!$C$2:$C$3000,V$6)))</f>
        <v/>
      </c>
      <c r="W18" s="50" t="str">
        <f>IF(OR($B18="",W$6=""),"",IF(COUNTIFS(_calc!$AE$2:$AE$3000,$B18&amp;"|"&amp;$D18,_calc!$A$2:$A$3000,$B$3,_calc!$C$2:$C$3000,W$6)=0,"",SUMIFS(_calc!$E$2:$E$3000,_calc!$AE$2:$AE$3000,$B18&amp;"|"&amp;$D18,_calc!$A$2:$A$3000,$B$3,_calc!$C$2:$C$3000,W$6)))</f>
        <v/>
      </c>
      <c r="X18" s="50" t="str">
        <f>IF(OR($B18="",X$6=""),"",IF(COUNTIFS(_calc!$AE$2:$AE$3000,$B18&amp;"|"&amp;$D18,_calc!$A$2:$A$3000,$B$3,_calc!$C$2:$C$3000,X$6)=0,"",SUMIFS(_calc!$E$2:$E$3000,_calc!$AE$2:$AE$3000,$B18&amp;"|"&amp;$D18,_calc!$A$2:$A$3000,$B$3,_calc!$C$2:$C$3000,X$6)))</f>
        <v/>
      </c>
      <c r="AA18" s="51"/>
      <c r="AB18" s="52" t="str">
        <f>IFERROR(INDEX(_calc!$I$2:$I$3000,MATCH(ROW()-8,_calc!$U$2:$U$3000,0)),"")</f>
        <v/>
      </c>
    </row>
    <row r="19" spans="1:28" ht="15" x14ac:dyDescent="0.5">
      <c r="A19" s="48">
        <v>13</v>
      </c>
      <c r="B19" s="49" t="str">
        <f>IFERROR(INDEX(_calc!$I$2:$I$3000,MATCH($A19,_calc!$AB$2:$AB$3000,0)),"")</f>
        <v/>
      </c>
      <c r="C19" s="49" t="str">
        <f>IFERROR(INDEX(_calc!$H$2:$H$3000,MATCH($A19,_calc!$AB$2:$AB$3000,0)),"")</f>
        <v/>
      </c>
      <c r="D19" s="49" t="str">
        <f>IFERROR(INDEX(_calc!$K$2:$K$3000,MATCH($A19,_calc!$AB$2:$AB$3000,0)),"")</f>
        <v/>
      </c>
      <c r="E19" s="50" t="str">
        <f>IF(OR($B19="",E$6=""),"",IF(COUNTIFS(_calc!$AE$2:$AE$3000,$B19&amp;"|"&amp;$D19,_calc!$A$2:$A$3000,$B$3,_calc!$C$2:$C$3000,E$6)=0,"",SUMIFS(_calc!$E$2:$E$3000,_calc!$AE$2:$AE$3000,$B19&amp;"|"&amp;$D19,_calc!$A$2:$A$3000,$B$3,_calc!$C$2:$C$3000,E$6)))</f>
        <v/>
      </c>
      <c r="F19" s="50" t="str">
        <f>IF(OR($B19="",F$6=""),"",IF(COUNTIFS(_calc!$AE$2:$AE$3000,$B19&amp;"|"&amp;$D19,_calc!$A$2:$A$3000,$B$3,_calc!$C$2:$C$3000,F$6)=0,"",SUMIFS(_calc!$E$2:$E$3000,_calc!$AE$2:$AE$3000,$B19&amp;"|"&amp;$D19,_calc!$A$2:$A$3000,$B$3,_calc!$C$2:$C$3000,F$6)))</f>
        <v/>
      </c>
      <c r="G19" s="50" t="str">
        <f>IF(OR($B19="",G$6=""),"",IF(COUNTIFS(_calc!$AE$2:$AE$3000,$B19&amp;"|"&amp;$D19,_calc!$A$2:$A$3000,$B$3,_calc!$C$2:$C$3000,G$6)=0,"",SUMIFS(_calc!$E$2:$E$3000,_calc!$AE$2:$AE$3000,$B19&amp;"|"&amp;$D19,_calc!$A$2:$A$3000,$B$3,_calc!$C$2:$C$3000,G$6)))</f>
        <v/>
      </c>
      <c r="H19" s="50" t="str">
        <f>IF(OR($B19="",H$6=""),"",IF(COUNTIFS(_calc!$AE$2:$AE$3000,$B19&amp;"|"&amp;$D19,_calc!$A$2:$A$3000,$B$3,_calc!$C$2:$C$3000,H$6)=0,"",SUMIFS(_calc!$E$2:$E$3000,_calc!$AE$2:$AE$3000,$B19&amp;"|"&amp;$D19,_calc!$A$2:$A$3000,$B$3,_calc!$C$2:$C$3000,H$6)))</f>
        <v/>
      </c>
      <c r="I19" s="50" t="str">
        <f>IF(OR($B19="",I$6=""),"",IF(COUNTIFS(_calc!$AE$2:$AE$3000,$B19&amp;"|"&amp;$D19,_calc!$A$2:$A$3000,$B$3,_calc!$C$2:$C$3000,I$6)=0,"",SUMIFS(_calc!$E$2:$E$3000,_calc!$AE$2:$AE$3000,$B19&amp;"|"&amp;$D19,_calc!$A$2:$A$3000,$B$3,_calc!$C$2:$C$3000,I$6)))</f>
        <v/>
      </c>
      <c r="J19" s="50" t="str">
        <f>IF(OR($B19="",J$6=""),"",IF(COUNTIFS(_calc!$AE$2:$AE$3000,$B19&amp;"|"&amp;$D19,_calc!$A$2:$A$3000,$B$3,_calc!$C$2:$C$3000,J$6)=0,"",SUMIFS(_calc!$E$2:$E$3000,_calc!$AE$2:$AE$3000,$B19&amp;"|"&amp;$D19,_calc!$A$2:$A$3000,$B$3,_calc!$C$2:$C$3000,J$6)))</f>
        <v/>
      </c>
      <c r="K19" s="50" t="str">
        <f>IF(OR($B19="",K$6=""),"",IF(COUNTIFS(_calc!$AE$2:$AE$3000,$B19&amp;"|"&amp;$D19,_calc!$A$2:$A$3000,$B$3,_calc!$C$2:$C$3000,K$6)=0,"",SUMIFS(_calc!$E$2:$E$3000,_calc!$AE$2:$AE$3000,$B19&amp;"|"&amp;$D19,_calc!$A$2:$A$3000,$B$3,_calc!$C$2:$C$3000,K$6)))</f>
        <v/>
      </c>
      <c r="L19" s="50" t="str">
        <f>IF(OR($B19="",L$6=""),"",IF(COUNTIFS(_calc!$AE$2:$AE$3000,$B19&amp;"|"&amp;$D19,_calc!$A$2:$A$3000,$B$3,_calc!$C$2:$C$3000,L$6)=0,"",SUMIFS(_calc!$E$2:$E$3000,_calc!$AE$2:$AE$3000,$B19&amp;"|"&amp;$D19,_calc!$A$2:$A$3000,$B$3,_calc!$C$2:$C$3000,L$6)))</f>
        <v/>
      </c>
      <c r="M19" s="50" t="str">
        <f>IF(OR($B19="",M$6=""),"",IF(COUNTIFS(_calc!$AE$2:$AE$3000,$B19&amp;"|"&amp;$D19,_calc!$A$2:$A$3000,$B$3,_calc!$C$2:$C$3000,M$6)=0,"",SUMIFS(_calc!$E$2:$E$3000,_calc!$AE$2:$AE$3000,$B19&amp;"|"&amp;$D19,_calc!$A$2:$A$3000,$B$3,_calc!$C$2:$C$3000,M$6)))</f>
        <v/>
      </c>
      <c r="N19" s="50" t="str">
        <f>IF(OR($B19="",N$6=""),"",IF(COUNTIFS(_calc!$AE$2:$AE$3000,$B19&amp;"|"&amp;$D19,_calc!$A$2:$A$3000,$B$3,_calc!$C$2:$C$3000,N$6)=0,"",SUMIFS(_calc!$E$2:$E$3000,_calc!$AE$2:$AE$3000,$B19&amp;"|"&amp;$D19,_calc!$A$2:$A$3000,$B$3,_calc!$C$2:$C$3000,N$6)))</f>
        <v/>
      </c>
      <c r="O19" s="50" t="str">
        <f>IF(OR($B19="",O$6=""),"",IF(COUNTIFS(_calc!$AE$2:$AE$3000,$B19&amp;"|"&amp;$D19,_calc!$A$2:$A$3000,$B$3,_calc!$C$2:$C$3000,O$6)=0,"",SUMIFS(_calc!$E$2:$E$3000,_calc!$AE$2:$AE$3000,$B19&amp;"|"&amp;$D19,_calc!$A$2:$A$3000,$B$3,_calc!$C$2:$C$3000,O$6)))</f>
        <v/>
      </c>
      <c r="P19" s="50" t="str">
        <f>IF(OR($B19="",P$6=""),"",IF(COUNTIFS(_calc!$AE$2:$AE$3000,$B19&amp;"|"&amp;$D19,_calc!$A$2:$A$3000,$B$3,_calc!$C$2:$C$3000,P$6)=0,"",SUMIFS(_calc!$E$2:$E$3000,_calc!$AE$2:$AE$3000,$B19&amp;"|"&amp;$D19,_calc!$A$2:$A$3000,$B$3,_calc!$C$2:$C$3000,P$6)))</f>
        <v/>
      </c>
      <c r="Q19" s="50" t="str">
        <f>IF(OR($B19="",Q$6=""),"",IF(COUNTIFS(_calc!$AE$2:$AE$3000,$B19&amp;"|"&amp;$D19,_calc!$A$2:$A$3000,$B$3,_calc!$C$2:$C$3000,Q$6)=0,"",SUMIFS(_calc!$E$2:$E$3000,_calc!$AE$2:$AE$3000,$B19&amp;"|"&amp;$D19,_calc!$A$2:$A$3000,$B$3,_calc!$C$2:$C$3000,Q$6)))</f>
        <v/>
      </c>
      <c r="R19" s="50" t="str">
        <f>IF(OR($B19="",R$6=""),"",IF(COUNTIFS(_calc!$AE$2:$AE$3000,$B19&amp;"|"&amp;$D19,_calc!$A$2:$A$3000,$B$3,_calc!$C$2:$C$3000,R$6)=0,"",SUMIFS(_calc!$E$2:$E$3000,_calc!$AE$2:$AE$3000,$B19&amp;"|"&amp;$D19,_calc!$A$2:$A$3000,$B$3,_calc!$C$2:$C$3000,R$6)))</f>
        <v/>
      </c>
      <c r="S19" s="50" t="str">
        <f>IF(OR($B19="",S$6=""),"",IF(COUNTIFS(_calc!$AE$2:$AE$3000,$B19&amp;"|"&amp;$D19,_calc!$A$2:$A$3000,$B$3,_calc!$C$2:$C$3000,S$6)=0,"",SUMIFS(_calc!$E$2:$E$3000,_calc!$AE$2:$AE$3000,$B19&amp;"|"&amp;$D19,_calc!$A$2:$A$3000,$B$3,_calc!$C$2:$C$3000,S$6)))</f>
        <v/>
      </c>
      <c r="T19" s="50" t="str">
        <f>IF(OR($B19="",T$6=""),"",IF(COUNTIFS(_calc!$AE$2:$AE$3000,$B19&amp;"|"&amp;$D19,_calc!$A$2:$A$3000,$B$3,_calc!$C$2:$C$3000,T$6)=0,"",SUMIFS(_calc!$E$2:$E$3000,_calc!$AE$2:$AE$3000,$B19&amp;"|"&amp;$D19,_calc!$A$2:$A$3000,$B$3,_calc!$C$2:$C$3000,T$6)))</f>
        <v/>
      </c>
      <c r="U19" s="50" t="str">
        <f>IF(OR($B19="",U$6=""),"",IF(COUNTIFS(_calc!$AE$2:$AE$3000,$B19&amp;"|"&amp;$D19,_calc!$A$2:$A$3000,$B$3,_calc!$C$2:$C$3000,U$6)=0,"",SUMIFS(_calc!$E$2:$E$3000,_calc!$AE$2:$AE$3000,$B19&amp;"|"&amp;$D19,_calc!$A$2:$A$3000,$B$3,_calc!$C$2:$C$3000,U$6)))</f>
        <v/>
      </c>
      <c r="V19" s="50" t="str">
        <f>IF(OR($B19="",V$6=""),"",IF(COUNTIFS(_calc!$AE$2:$AE$3000,$B19&amp;"|"&amp;$D19,_calc!$A$2:$A$3000,$B$3,_calc!$C$2:$C$3000,V$6)=0,"",SUMIFS(_calc!$E$2:$E$3000,_calc!$AE$2:$AE$3000,$B19&amp;"|"&amp;$D19,_calc!$A$2:$A$3000,$B$3,_calc!$C$2:$C$3000,V$6)))</f>
        <v/>
      </c>
      <c r="W19" s="50" t="str">
        <f>IF(OR($B19="",W$6=""),"",IF(COUNTIFS(_calc!$AE$2:$AE$3000,$B19&amp;"|"&amp;$D19,_calc!$A$2:$A$3000,$B$3,_calc!$C$2:$C$3000,W$6)=0,"",SUMIFS(_calc!$E$2:$E$3000,_calc!$AE$2:$AE$3000,$B19&amp;"|"&amp;$D19,_calc!$A$2:$A$3000,$B$3,_calc!$C$2:$C$3000,W$6)))</f>
        <v/>
      </c>
      <c r="X19" s="50" t="str">
        <f>IF(OR($B19="",X$6=""),"",IF(COUNTIFS(_calc!$AE$2:$AE$3000,$B19&amp;"|"&amp;$D19,_calc!$A$2:$A$3000,$B$3,_calc!$C$2:$C$3000,X$6)=0,"",SUMIFS(_calc!$E$2:$E$3000,_calc!$AE$2:$AE$3000,$B19&amp;"|"&amp;$D19,_calc!$A$2:$A$3000,$B$3,_calc!$C$2:$C$3000,X$6)))</f>
        <v/>
      </c>
      <c r="AA19" s="51"/>
      <c r="AB19" s="52" t="str">
        <f>IFERROR(INDEX(_calc!$I$2:$I$3000,MATCH(ROW()-8,_calc!$U$2:$U$3000,0)),"")</f>
        <v/>
      </c>
    </row>
    <row r="20" spans="1:28" ht="15" x14ac:dyDescent="0.5">
      <c r="A20" s="48">
        <v>14</v>
      </c>
      <c r="B20" s="49" t="str">
        <f>IFERROR(INDEX(_calc!$I$2:$I$3000,MATCH($A20,_calc!$AB$2:$AB$3000,0)),"")</f>
        <v/>
      </c>
      <c r="C20" s="49" t="str">
        <f>IFERROR(INDEX(_calc!$H$2:$H$3000,MATCH($A20,_calc!$AB$2:$AB$3000,0)),"")</f>
        <v/>
      </c>
      <c r="D20" s="49" t="str">
        <f>IFERROR(INDEX(_calc!$K$2:$K$3000,MATCH($A20,_calc!$AB$2:$AB$3000,0)),"")</f>
        <v/>
      </c>
      <c r="E20" s="50" t="str">
        <f>IF(OR($B20="",E$6=""),"",IF(COUNTIFS(_calc!$AE$2:$AE$3000,$B20&amp;"|"&amp;$D20,_calc!$A$2:$A$3000,$B$3,_calc!$C$2:$C$3000,E$6)=0,"",SUMIFS(_calc!$E$2:$E$3000,_calc!$AE$2:$AE$3000,$B20&amp;"|"&amp;$D20,_calc!$A$2:$A$3000,$B$3,_calc!$C$2:$C$3000,E$6)))</f>
        <v/>
      </c>
      <c r="F20" s="50" t="str">
        <f>IF(OR($B20="",F$6=""),"",IF(COUNTIFS(_calc!$AE$2:$AE$3000,$B20&amp;"|"&amp;$D20,_calc!$A$2:$A$3000,$B$3,_calc!$C$2:$C$3000,F$6)=0,"",SUMIFS(_calc!$E$2:$E$3000,_calc!$AE$2:$AE$3000,$B20&amp;"|"&amp;$D20,_calc!$A$2:$A$3000,$B$3,_calc!$C$2:$C$3000,F$6)))</f>
        <v/>
      </c>
      <c r="G20" s="50" t="str">
        <f>IF(OR($B20="",G$6=""),"",IF(COUNTIFS(_calc!$AE$2:$AE$3000,$B20&amp;"|"&amp;$D20,_calc!$A$2:$A$3000,$B$3,_calc!$C$2:$C$3000,G$6)=0,"",SUMIFS(_calc!$E$2:$E$3000,_calc!$AE$2:$AE$3000,$B20&amp;"|"&amp;$D20,_calc!$A$2:$A$3000,$B$3,_calc!$C$2:$C$3000,G$6)))</f>
        <v/>
      </c>
      <c r="H20" s="50" t="str">
        <f>IF(OR($B20="",H$6=""),"",IF(COUNTIFS(_calc!$AE$2:$AE$3000,$B20&amp;"|"&amp;$D20,_calc!$A$2:$A$3000,$B$3,_calc!$C$2:$C$3000,H$6)=0,"",SUMIFS(_calc!$E$2:$E$3000,_calc!$AE$2:$AE$3000,$B20&amp;"|"&amp;$D20,_calc!$A$2:$A$3000,$B$3,_calc!$C$2:$C$3000,H$6)))</f>
        <v/>
      </c>
      <c r="I20" s="50" t="str">
        <f>IF(OR($B20="",I$6=""),"",IF(COUNTIFS(_calc!$AE$2:$AE$3000,$B20&amp;"|"&amp;$D20,_calc!$A$2:$A$3000,$B$3,_calc!$C$2:$C$3000,I$6)=0,"",SUMIFS(_calc!$E$2:$E$3000,_calc!$AE$2:$AE$3000,$B20&amp;"|"&amp;$D20,_calc!$A$2:$A$3000,$B$3,_calc!$C$2:$C$3000,I$6)))</f>
        <v/>
      </c>
      <c r="J20" s="50" t="str">
        <f>IF(OR($B20="",J$6=""),"",IF(COUNTIFS(_calc!$AE$2:$AE$3000,$B20&amp;"|"&amp;$D20,_calc!$A$2:$A$3000,$B$3,_calc!$C$2:$C$3000,J$6)=0,"",SUMIFS(_calc!$E$2:$E$3000,_calc!$AE$2:$AE$3000,$B20&amp;"|"&amp;$D20,_calc!$A$2:$A$3000,$B$3,_calc!$C$2:$C$3000,J$6)))</f>
        <v/>
      </c>
      <c r="K20" s="50" t="str">
        <f>IF(OR($B20="",K$6=""),"",IF(COUNTIFS(_calc!$AE$2:$AE$3000,$B20&amp;"|"&amp;$D20,_calc!$A$2:$A$3000,$B$3,_calc!$C$2:$C$3000,K$6)=0,"",SUMIFS(_calc!$E$2:$E$3000,_calc!$AE$2:$AE$3000,$B20&amp;"|"&amp;$D20,_calc!$A$2:$A$3000,$B$3,_calc!$C$2:$C$3000,K$6)))</f>
        <v/>
      </c>
      <c r="L20" s="50" t="str">
        <f>IF(OR($B20="",L$6=""),"",IF(COUNTIFS(_calc!$AE$2:$AE$3000,$B20&amp;"|"&amp;$D20,_calc!$A$2:$A$3000,$B$3,_calc!$C$2:$C$3000,L$6)=0,"",SUMIFS(_calc!$E$2:$E$3000,_calc!$AE$2:$AE$3000,$B20&amp;"|"&amp;$D20,_calc!$A$2:$A$3000,$B$3,_calc!$C$2:$C$3000,L$6)))</f>
        <v/>
      </c>
      <c r="M20" s="50" t="str">
        <f>IF(OR($B20="",M$6=""),"",IF(COUNTIFS(_calc!$AE$2:$AE$3000,$B20&amp;"|"&amp;$D20,_calc!$A$2:$A$3000,$B$3,_calc!$C$2:$C$3000,M$6)=0,"",SUMIFS(_calc!$E$2:$E$3000,_calc!$AE$2:$AE$3000,$B20&amp;"|"&amp;$D20,_calc!$A$2:$A$3000,$B$3,_calc!$C$2:$C$3000,M$6)))</f>
        <v/>
      </c>
      <c r="N20" s="50" t="str">
        <f>IF(OR($B20="",N$6=""),"",IF(COUNTIFS(_calc!$AE$2:$AE$3000,$B20&amp;"|"&amp;$D20,_calc!$A$2:$A$3000,$B$3,_calc!$C$2:$C$3000,N$6)=0,"",SUMIFS(_calc!$E$2:$E$3000,_calc!$AE$2:$AE$3000,$B20&amp;"|"&amp;$D20,_calc!$A$2:$A$3000,$B$3,_calc!$C$2:$C$3000,N$6)))</f>
        <v/>
      </c>
      <c r="O20" s="50" t="str">
        <f>IF(OR($B20="",O$6=""),"",IF(COUNTIFS(_calc!$AE$2:$AE$3000,$B20&amp;"|"&amp;$D20,_calc!$A$2:$A$3000,$B$3,_calc!$C$2:$C$3000,O$6)=0,"",SUMIFS(_calc!$E$2:$E$3000,_calc!$AE$2:$AE$3000,$B20&amp;"|"&amp;$D20,_calc!$A$2:$A$3000,$B$3,_calc!$C$2:$C$3000,O$6)))</f>
        <v/>
      </c>
      <c r="P20" s="50" t="str">
        <f>IF(OR($B20="",P$6=""),"",IF(COUNTIFS(_calc!$AE$2:$AE$3000,$B20&amp;"|"&amp;$D20,_calc!$A$2:$A$3000,$B$3,_calc!$C$2:$C$3000,P$6)=0,"",SUMIFS(_calc!$E$2:$E$3000,_calc!$AE$2:$AE$3000,$B20&amp;"|"&amp;$D20,_calc!$A$2:$A$3000,$B$3,_calc!$C$2:$C$3000,P$6)))</f>
        <v/>
      </c>
      <c r="Q20" s="50" t="str">
        <f>IF(OR($B20="",Q$6=""),"",IF(COUNTIFS(_calc!$AE$2:$AE$3000,$B20&amp;"|"&amp;$D20,_calc!$A$2:$A$3000,$B$3,_calc!$C$2:$C$3000,Q$6)=0,"",SUMIFS(_calc!$E$2:$E$3000,_calc!$AE$2:$AE$3000,$B20&amp;"|"&amp;$D20,_calc!$A$2:$A$3000,$B$3,_calc!$C$2:$C$3000,Q$6)))</f>
        <v/>
      </c>
      <c r="R20" s="50" t="str">
        <f>IF(OR($B20="",R$6=""),"",IF(COUNTIFS(_calc!$AE$2:$AE$3000,$B20&amp;"|"&amp;$D20,_calc!$A$2:$A$3000,$B$3,_calc!$C$2:$C$3000,R$6)=0,"",SUMIFS(_calc!$E$2:$E$3000,_calc!$AE$2:$AE$3000,$B20&amp;"|"&amp;$D20,_calc!$A$2:$A$3000,$B$3,_calc!$C$2:$C$3000,R$6)))</f>
        <v/>
      </c>
      <c r="S20" s="50" t="str">
        <f>IF(OR($B20="",S$6=""),"",IF(COUNTIFS(_calc!$AE$2:$AE$3000,$B20&amp;"|"&amp;$D20,_calc!$A$2:$A$3000,$B$3,_calc!$C$2:$C$3000,S$6)=0,"",SUMIFS(_calc!$E$2:$E$3000,_calc!$AE$2:$AE$3000,$B20&amp;"|"&amp;$D20,_calc!$A$2:$A$3000,$B$3,_calc!$C$2:$C$3000,S$6)))</f>
        <v/>
      </c>
      <c r="T20" s="50" t="str">
        <f>IF(OR($B20="",T$6=""),"",IF(COUNTIFS(_calc!$AE$2:$AE$3000,$B20&amp;"|"&amp;$D20,_calc!$A$2:$A$3000,$B$3,_calc!$C$2:$C$3000,T$6)=0,"",SUMIFS(_calc!$E$2:$E$3000,_calc!$AE$2:$AE$3000,$B20&amp;"|"&amp;$D20,_calc!$A$2:$A$3000,$B$3,_calc!$C$2:$C$3000,T$6)))</f>
        <v/>
      </c>
      <c r="U20" s="50" t="str">
        <f>IF(OR($B20="",U$6=""),"",IF(COUNTIFS(_calc!$AE$2:$AE$3000,$B20&amp;"|"&amp;$D20,_calc!$A$2:$A$3000,$B$3,_calc!$C$2:$C$3000,U$6)=0,"",SUMIFS(_calc!$E$2:$E$3000,_calc!$AE$2:$AE$3000,$B20&amp;"|"&amp;$D20,_calc!$A$2:$A$3000,$B$3,_calc!$C$2:$C$3000,U$6)))</f>
        <v/>
      </c>
      <c r="V20" s="50" t="str">
        <f>IF(OR($B20="",V$6=""),"",IF(COUNTIFS(_calc!$AE$2:$AE$3000,$B20&amp;"|"&amp;$D20,_calc!$A$2:$A$3000,$B$3,_calc!$C$2:$C$3000,V$6)=0,"",SUMIFS(_calc!$E$2:$E$3000,_calc!$AE$2:$AE$3000,$B20&amp;"|"&amp;$D20,_calc!$A$2:$A$3000,$B$3,_calc!$C$2:$C$3000,V$6)))</f>
        <v/>
      </c>
      <c r="W20" s="50" t="str">
        <f>IF(OR($B20="",W$6=""),"",IF(COUNTIFS(_calc!$AE$2:$AE$3000,$B20&amp;"|"&amp;$D20,_calc!$A$2:$A$3000,$B$3,_calc!$C$2:$C$3000,W$6)=0,"",SUMIFS(_calc!$E$2:$E$3000,_calc!$AE$2:$AE$3000,$B20&amp;"|"&amp;$D20,_calc!$A$2:$A$3000,$B$3,_calc!$C$2:$C$3000,W$6)))</f>
        <v/>
      </c>
      <c r="X20" s="50" t="str">
        <f>IF(OR($B20="",X$6=""),"",IF(COUNTIFS(_calc!$AE$2:$AE$3000,$B20&amp;"|"&amp;$D20,_calc!$A$2:$A$3000,$B$3,_calc!$C$2:$C$3000,X$6)=0,"",SUMIFS(_calc!$E$2:$E$3000,_calc!$AE$2:$AE$3000,$B20&amp;"|"&amp;$D20,_calc!$A$2:$A$3000,$B$3,_calc!$C$2:$C$3000,X$6)))</f>
        <v/>
      </c>
      <c r="AA20" s="51"/>
      <c r="AB20" s="52" t="str">
        <f>IFERROR(INDEX(_calc!$I$2:$I$3000,MATCH(ROW()-8,_calc!$U$2:$U$3000,0)),"")</f>
        <v/>
      </c>
    </row>
    <row r="21" spans="1:28" ht="15" x14ac:dyDescent="0.5">
      <c r="A21" s="48">
        <v>15</v>
      </c>
      <c r="B21" s="49" t="str">
        <f>IFERROR(INDEX(_calc!$I$2:$I$3000,MATCH($A21,_calc!$AB$2:$AB$3000,0)),"")</f>
        <v/>
      </c>
      <c r="C21" s="49" t="str">
        <f>IFERROR(INDEX(_calc!$H$2:$H$3000,MATCH($A21,_calc!$AB$2:$AB$3000,0)),"")</f>
        <v/>
      </c>
      <c r="D21" s="49" t="str">
        <f>IFERROR(INDEX(_calc!$K$2:$K$3000,MATCH($A21,_calc!$AB$2:$AB$3000,0)),"")</f>
        <v/>
      </c>
      <c r="E21" s="50" t="str">
        <f>IF(OR($B21="",E$6=""),"",IF(COUNTIFS(_calc!$AE$2:$AE$3000,$B21&amp;"|"&amp;$D21,_calc!$A$2:$A$3000,$B$3,_calc!$C$2:$C$3000,E$6)=0,"",SUMIFS(_calc!$E$2:$E$3000,_calc!$AE$2:$AE$3000,$B21&amp;"|"&amp;$D21,_calc!$A$2:$A$3000,$B$3,_calc!$C$2:$C$3000,E$6)))</f>
        <v/>
      </c>
      <c r="F21" s="50" t="str">
        <f>IF(OR($B21="",F$6=""),"",IF(COUNTIFS(_calc!$AE$2:$AE$3000,$B21&amp;"|"&amp;$D21,_calc!$A$2:$A$3000,$B$3,_calc!$C$2:$C$3000,F$6)=0,"",SUMIFS(_calc!$E$2:$E$3000,_calc!$AE$2:$AE$3000,$B21&amp;"|"&amp;$D21,_calc!$A$2:$A$3000,$B$3,_calc!$C$2:$C$3000,F$6)))</f>
        <v/>
      </c>
      <c r="G21" s="50" t="str">
        <f>IF(OR($B21="",G$6=""),"",IF(COUNTIFS(_calc!$AE$2:$AE$3000,$B21&amp;"|"&amp;$D21,_calc!$A$2:$A$3000,$B$3,_calc!$C$2:$C$3000,G$6)=0,"",SUMIFS(_calc!$E$2:$E$3000,_calc!$AE$2:$AE$3000,$B21&amp;"|"&amp;$D21,_calc!$A$2:$A$3000,$B$3,_calc!$C$2:$C$3000,G$6)))</f>
        <v/>
      </c>
      <c r="H21" s="50" t="str">
        <f>IF(OR($B21="",H$6=""),"",IF(COUNTIFS(_calc!$AE$2:$AE$3000,$B21&amp;"|"&amp;$D21,_calc!$A$2:$A$3000,$B$3,_calc!$C$2:$C$3000,H$6)=0,"",SUMIFS(_calc!$E$2:$E$3000,_calc!$AE$2:$AE$3000,$B21&amp;"|"&amp;$D21,_calc!$A$2:$A$3000,$B$3,_calc!$C$2:$C$3000,H$6)))</f>
        <v/>
      </c>
      <c r="I21" s="50" t="str">
        <f>IF(OR($B21="",I$6=""),"",IF(COUNTIFS(_calc!$AE$2:$AE$3000,$B21&amp;"|"&amp;$D21,_calc!$A$2:$A$3000,$B$3,_calc!$C$2:$C$3000,I$6)=0,"",SUMIFS(_calc!$E$2:$E$3000,_calc!$AE$2:$AE$3000,$B21&amp;"|"&amp;$D21,_calc!$A$2:$A$3000,$B$3,_calc!$C$2:$C$3000,I$6)))</f>
        <v/>
      </c>
      <c r="J21" s="50" t="str">
        <f>IF(OR($B21="",J$6=""),"",IF(COUNTIFS(_calc!$AE$2:$AE$3000,$B21&amp;"|"&amp;$D21,_calc!$A$2:$A$3000,$B$3,_calc!$C$2:$C$3000,J$6)=0,"",SUMIFS(_calc!$E$2:$E$3000,_calc!$AE$2:$AE$3000,$B21&amp;"|"&amp;$D21,_calc!$A$2:$A$3000,$B$3,_calc!$C$2:$C$3000,J$6)))</f>
        <v/>
      </c>
      <c r="K21" s="50" t="str">
        <f>IF(OR($B21="",K$6=""),"",IF(COUNTIFS(_calc!$AE$2:$AE$3000,$B21&amp;"|"&amp;$D21,_calc!$A$2:$A$3000,$B$3,_calc!$C$2:$C$3000,K$6)=0,"",SUMIFS(_calc!$E$2:$E$3000,_calc!$AE$2:$AE$3000,$B21&amp;"|"&amp;$D21,_calc!$A$2:$A$3000,$B$3,_calc!$C$2:$C$3000,K$6)))</f>
        <v/>
      </c>
      <c r="L21" s="50" t="str">
        <f>IF(OR($B21="",L$6=""),"",IF(COUNTIFS(_calc!$AE$2:$AE$3000,$B21&amp;"|"&amp;$D21,_calc!$A$2:$A$3000,$B$3,_calc!$C$2:$C$3000,L$6)=0,"",SUMIFS(_calc!$E$2:$E$3000,_calc!$AE$2:$AE$3000,$B21&amp;"|"&amp;$D21,_calc!$A$2:$A$3000,$B$3,_calc!$C$2:$C$3000,L$6)))</f>
        <v/>
      </c>
      <c r="M21" s="50" t="str">
        <f>IF(OR($B21="",M$6=""),"",IF(COUNTIFS(_calc!$AE$2:$AE$3000,$B21&amp;"|"&amp;$D21,_calc!$A$2:$A$3000,$B$3,_calc!$C$2:$C$3000,M$6)=0,"",SUMIFS(_calc!$E$2:$E$3000,_calc!$AE$2:$AE$3000,$B21&amp;"|"&amp;$D21,_calc!$A$2:$A$3000,$B$3,_calc!$C$2:$C$3000,M$6)))</f>
        <v/>
      </c>
      <c r="N21" s="50" t="str">
        <f>IF(OR($B21="",N$6=""),"",IF(COUNTIFS(_calc!$AE$2:$AE$3000,$B21&amp;"|"&amp;$D21,_calc!$A$2:$A$3000,$B$3,_calc!$C$2:$C$3000,N$6)=0,"",SUMIFS(_calc!$E$2:$E$3000,_calc!$AE$2:$AE$3000,$B21&amp;"|"&amp;$D21,_calc!$A$2:$A$3000,$B$3,_calc!$C$2:$C$3000,N$6)))</f>
        <v/>
      </c>
      <c r="O21" s="50" t="str">
        <f>IF(OR($B21="",O$6=""),"",IF(COUNTIFS(_calc!$AE$2:$AE$3000,$B21&amp;"|"&amp;$D21,_calc!$A$2:$A$3000,$B$3,_calc!$C$2:$C$3000,O$6)=0,"",SUMIFS(_calc!$E$2:$E$3000,_calc!$AE$2:$AE$3000,$B21&amp;"|"&amp;$D21,_calc!$A$2:$A$3000,$B$3,_calc!$C$2:$C$3000,O$6)))</f>
        <v/>
      </c>
      <c r="P21" s="50" t="str">
        <f>IF(OR($B21="",P$6=""),"",IF(COUNTIFS(_calc!$AE$2:$AE$3000,$B21&amp;"|"&amp;$D21,_calc!$A$2:$A$3000,$B$3,_calc!$C$2:$C$3000,P$6)=0,"",SUMIFS(_calc!$E$2:$E$3000,_calc!$AE$2:$AE$3000,$B21&amp;"|"&amp;$D21,_calc!$A$2:$A$3000,$B$3,_calc!$C$2:$C$3000,P$6)))</f>
        <v/>
      </c>
      <c r="Q21" s="50" t="str">
        <f>IF(OR($B21="",Q$6=""),"",IF(COUNTIFS(_calc!$AE$2:$AE$3000,$B21&amp;"|"&amp;$D21,_calc!$A$2:$A$3000,$B$3,_calc!$C$2:$C$3000,Q$6)=0,"",SUMIFS(_calc!$E$2:$E$3000,_calc!$AE$2:$AE$3000,$B21&amp;"|"&amp;$D21,_calc!$A$2:$A$3000,$B$3,_calc!$C$2:$C$3000,Q$6)))</f>
        <v/>
      </c>
      <c r="R21" s="50" t="str">
        <f>IF(OR($B21="",R$6=""),"",IF(COUNTIFS(_calc!$AE$2:$AE$3000,$B21&amp;"|"&amp;$D21,_calc!$A$2:$A$3000,$B$3,_calc!$C$2:$C$3000,R$6)=0,"",SUMIFS(_calc!$E$2:$E$3000,_calc!$AE$2:$AE$3000,$B21&amp;"|"&amp;$D21,_calc!$A$2:$A$3000,$B$3,_calc!$C$2:$C$3000,R$6)))</f>
        <v/>
      </c>
      <c r="S21" s="50" t="str">
        <f>IF(OR($B21="",S$6=""),"",IF(COUNTIFS(_calc!$AE$2:$AE$3000,$B21&amp;"|"&amp;$D21,_calc!$A$2:$A$3000,$B$3,_calc!$C$2:$C$3000,S$6)=0,"",SUMIFS(_calc!$E$2:$E$3000,_calc!$AE$2:$AE$3000,$B21&amp;"|"&amp;$D21,_calc!$A$2:$A$3000,$B$3,_calc!$C$2:$C$3000,S$6)))</f>
        <v/>
      </c>
      <c r="T21" s="50" t="str">
        <f>IF(OR($B21="",T$6=""),"",IF(COUNTIFS(_calc!$AE$2:$AE$3000,$B21&amp;"|"&amp;$D21,_calc!$A$2:$A$3000,$B$3,_calc!$C$2:$C$3000,T$6)=0,"",SUMIFS(_calc!$E$2:$E$3000,_calc!$AE$2:$AE$3000,$B21&amp;"|"&amp;$D21,_calc!$A$2:$A$3000,$B$3,_calc!$C$2:$C$3000,T$6)))</f>
        <v/>
      </c>
      <c r="U21" s="50" t="str">
        <f>IF(OR($B21="",U$6=""),"",IF(COUNTIFS(_calc!$AE$2:$AE$3000,$B21&amp;"|"&amp;$D21,_calc!$A$2:$A$3000,$B$3,_calc!$C$2:$C$3000,U$6)=0,"",SUMIFS(_calc!$E$2:$E$3000,_calc!$AE$2:$AE$3000,$B21&amp;"|"&amp;$D21,_calc!$A$2:$A$3000,$B$3,_calc!$C$2:$C$3000,U$6)))</f>
        <v/>
      </c>
      <c r="V21" s="50" t="str">
        <f>IF(OR($B21="",V$6=""),"",IF(COUNTIFS(_calc!$AE$2:$AE$3000,$B21&amp;"|"&amp;$D21,_calc!$A$2:$A$3000,$B$3,_calc!$C$2:$C$3000,V$6)=0,"",SUMIFS(_calc!$E$2:$E$3000,_calc!$AE$2:$AE$3000,$B21&amp;"|"&amp;$D21,_calc!$A$2:$A$3000,$B$3,_calc!$C$2:$C$3000,V$6)))</f>
        <v/>
      </c>
      <c r="W21" s="50" t="str">
        <f>IF(OR($B21="",W$6=""),"",IF(COUNTIFS(_calc!$AE$2:$AE$3000,$B21&amp;"|"&amp;$D21,_calc!$A$2:$A$3000,$B$3,_calc!$C$2:$C$3000,W$6)=0,"",SUMIFS(_calc!$E$2:$E$3000,_calc!$AE$2:$AE$3000,$B21&amp;"|"&amp;$D21,_calc!$A$2:$A$3000,$B$3,_calc!$C$2:$C$3000,W$6)))</f>
        <v/>
      </c>
      <c r="X21" s="50" t="str">
        <f>IF(OR($B21="",X$6=""),"",IF(COUNTIFS(_calc!$AE$2:$AE$3000,$B21&amp;"|"&amp;$D21,_calc!$A$2:$A$3000,$B$3,_calc!$C$2:$C$3000,X$6)=0,"",SUMIFS(_calc!$E$2:$E$3000,_calc!$AE$2:$AE$3000,$B21&amp;"|"&amp;$D21,_calc!$A$2:$A$3000,$B$3,_calc!$C$2:$C$3000,X$6)))</f>
        <v/>
      </c>
      <c r="AA21" s="51"/>
      <c r="AB21" s="52" t="str">
        <f>IFERROR(INDEX(_calc!$I$2:$I$3000,MATCH(ROW()-8,_calc!$U$2:$U$3000,0)),"")</f>
        <v/>
      </c>
    </row>
    <row r="22" spans="1:28" ht="15" x14ac:dyDescent="0.5">
      <c r="A22" s="48">
        <v>16</v>
      </c>
      <c r="B22" s="49" t="str">
        <f>IFERROR(INDEX(_calc!$I$2:$I$3000,MATCH($A22,_calc!$AB$2:$AB$3000,0)),"")</f>
        <v/>
      </c>
      <c r="C22" s="49" t="str">
        <f>IFERROR(INDEX(_calc!$H$2:$H$3000,MATCH($A22,_calc!$AB$2:$AB$3000,0)),"")</f>
        <v/>
      </c>
      <c r="D22" s="49" t="str">
        <f>IFERROR(INDEX(_calc!$K$2:$K$3000,MATCH($A22,_calc!$AB$2:$AB$3000,0)),"")</f>
        <v/>
      </c>
      <c r="E22" s="50" t="str">
        <f>IF(OR($B22="",E$6=""),"",IF(COUNTIFS(_calc!$AE$2:$AE$3000,$B22&amp;"|"&amp;$D22,_calc!$A$2:$A$3000,$B$3,_calc!$C$2:$C$3000,E$6)=0,"",SUMIFS(_calc!$E$2:$E$3000,_calc!$AE$2:$AE$3000,$B22&amp;"|"&amp;$D22,_calc!$A$2:$A$3000,$B$3,_calc!$C$2:$C$3000,E$6)))</f>
        <v/>
      </c>
      <c r="F22" s="50" t="str">
        <f>IF(OR($B22="",F$6=""),"",IF(COUNTIFS(_calc!$AE$2:$AE$3000,$B22&amp;"|"&amp;$D22,_calc!$A$2:$A$3000,$B$3,_calc!$C$2:$C$3000,F$6)=0,"",SUMIFS(_calc!$E$2:$E$3000,_calc!$AE$2:$AE$3000,$B22&amp;"|"&amp;$D22,_calc!$A$2:$A$3000,$B$3,_calc!$C$2:$C$3000,F$6)))</f>
        <v/>
      </c>
      <c r="G22" s="50" t="str">
        <f>IF(OR($B22="",G$6=""),"",IF(COUNTIFS(_calc!$AE$2:$AE$3000,$B22&amp;"|"&amp;$D22,_calc!$A$2:$A$3000,$B$3,_calc!$C$2:$C$3000,G$6)=0,"",SUMIFS(_calc!$E$2:$E$3000,_calc!$AE$2:$AE$3000,$B22&amp;"|"&amp;$D22,_calc!$A$2:$A$3000,$B$3,_calc!$C$2:$C$3000,G$6)))</f>
        <v/>
      </c>
      <c r="H22" s="50" t="str">
        <f>IF(OR($B22="",H$6=""),"",IF(COUNTIFS(_calc!$AE$2:$AE$3000,$B22&amp;"|"&amp;$D22,_calc!$A$2:$A$3000,$B$3,_calc!$C$2:$C$3000,H$6)=0,"",SUMIFS(_calc!$E$2:$E$3000,_calc!$AE$2:$AE$3000,$B22&amp;"|"&amp;$D22,_calc!$A$2:$A$3000,$B$3,_calc!$C$2:$C$3000,H$6)))</f>
        <v/>
      </c>
      <c r="I22" s="50" t="str">
        <f>IF(OR($B22="",I$6=""),"",IF(COUNTIFS(_calc!$AE$2:$AE$3000,$B22&amp;"|"&amp;$D22,_calc!$A$2:$A$3000,$B$3,_calc!$C$2:$C$3000,I$6)=0,"",SUMIFS(_calc!$E$2:$E$3000,_calc!$AE$2:$AE$3000,$B22&amp;"|"&amp;$D22,_calc!$A$2:$A$3000,$B$3,_calc!$C$2:$C$3000,I$6)))</f>
        <v/>
      </c>
      <c r="J22" s="50" t="str">
        <f>IF(OR($B22="",J$6=""),"",IF(COUNTIFS(_calc!$AE$2:$AE$3000,$B22&amp;"|"&amp;$D22,_calc!$A$2:$A$3000,$B$3,_calc!$C$2:$C$3000,J$6)=0,"",SUMIFS(_calc!$E$2:$E$3000,_calc!$AE$2:$AE$3000,$B22&amp;"|"&amp;$D22,_calc!$A$2:$A$3000,$B$3,_calc!$C$2:$C$3000,J$6)))</f>
        <v/>
      </c>
      <c r="K22" s="50" t="str">
        <f>IF(OR($B22="",K$6=""),"",IF(COUNTIFS(_calc!$AE$2:$AE$3000,$B22&amp;"|"&amp;$D22,_calc!$A$2:$A$3000,$B$3,_calc!$C$2:$C$3000,K$6)=0,"",SUMIFS(_calc!$E$2:$E$3000,_calc!$AE$2:$AE$3000,$B22&amp;"|"&amp;$D22,_calc!$A$2:$A$3000,$B$3,_calc!$C$2:$C$3000,K$6)))</f>
        <v/>
      </c>
      <c r="L22" s="50" t="str">
        <f>IF(OR($B22="",L$6=""),"",IF(COUNTIFS(_calc!$AE$2:$AE$3000,$B22&amp;"|"&amp;$D22,_calc!$A$2:$A$3000,$B$3,_calc!$C$2:$C$3000,L$6)=0,"",SUMIFS(_calc!$E$2:$E$3000,_calc!$AE$2:$AE$3000,$B22&amp;"|"&amp;$D22,_calc!$A$2:$A$3000,$B$3,_calc!$C$2:$C$3000,L$6)))</f>
        <v/>
      </c>
      <c r="M22" s="50" t="str">
        <f>IF(OR($B22="",M$6=""),"",IF(COUNTIFS(_calc!$AE$2:$AE$3000,$B22&amp;"|"&amp;$D22,_calc!$A$2:$A$3000,$B$3,_calc!$C$2:$C$3000,M$6)=0,"",SUMIFS(_calc!$E$2:$E$3000,_calc!$AE$2:$AE$3000,$B22&amp;"|"&amp;$D22,_calc!$A$2:$A$3000,$B$3,_calc!$C$2:$C$3000,M$6)))</f>
        <v/>
      </c>
      <c r="N22" s="50" t="str">
        <f>IF(OR($B22="",N$6=""),"",IF(COUNTIFS(_calc!$AE$2:$AE$3000,$B22&amp;"|"&amp;$D22,_calc!$A$2:$A$3000,$B$3,_calc!$C$2:$C$3000,N$6)=0,"",SUMIFS(_calc!$E$2:$E$3000,_calc!$AE$2:$AE$3000,$B22&amp;"|"&amp;$D22,_calc!$A$2:$A$3000,$B$3,_calc!$C$2:$C$3000,N$6)))</f>
        <v/>
      </c>
      <c r="O22" s="50" t="str">
        <f>IF(OR($B22="",O$6=""),"",IF(COUNTIFS(_calc!$AE$2:$AE$3000,$B22&amp;"|"&amp;$D22,_calc!$A$2:$A$3000,$B$3,_calc!$C$2:$C$3000,O$6)=0,"",SUMIFS(_calc!$E$2:$E$3000,_calc!$AE$2:$AE$3000,$B22&amp;"|"&amp;$D22,_calc!$A$2:$A$3000,$B$3,_calc!$C$2:$C$3000,O$6)))</f>
        <v/>
      </c>
      <c r="P22" s="50" t="str">
        <f>IF(OR($B22="",P$6=""),"",IF(COUNTIFS(_calc!$AE$2:$AE$3000,$B22&amp;"|"&amp;$D22,_calc!$A$2:$A$3000,$B$3,_calc!$C$2:$C$3000,P$6)=0,"",SUMIFS(_calc!$E$2:$E$3000,_calc!$AE$2:$AE$3000,$B22&amp;"|"&amp;$D22,_calc!$A$2:$A$3000,$B$3,_calc!$C$2:$C$3000,P$6)))</f>
        <v/>
      </c>
      <c r="Q22" s="50" t="str">
        <f>IF(OR($B22="",Q$6=""),"",IF(COUNTIFS(_calc!$AE$2:$AE$3000,$B22&amp;"|"&amp;$D22,_calc!$A$2:$A$3000,$B$3,_calc!$C$2:$C$3000,Q$6)=0,"",SUMIFS(_calc!$E$2:$E$3000,_calc!$AE$2:$AE$3000,$B22&amp;"|"&amp;$D22,_calc!$A$2:$A$3000,$B$3,_calc!$C$2:$C$3000,Q$6)))</f>
        <v/>
      </c>
      <c r="R22" s="50" t="str">
        <f>IF(OR($B22="",R$6=""),"",IF(COUNTIFS(_calc!$AE$2:$AE$3000,$B22&amp;"|"&amp;$D22,_calc!$A$2:$A$3000,$B$3,_calc!$C$2:$C$3000,R$6)=0,"",SUMIFS(_calc!$E$2:$E$3000,_calc!$AE$2:$AE$3000,$B22&amp;"|"&amp;$D22,_calc!$A$2:$A$3000,$B$3,_calc!$C$2:$C$3000,R$6)))</f>
        <v/>
      </c>
      <c r="S22" s="50" t="str">
        <f>IF(OR($B22="",S$6=""),"",IF(COUNTIFS(_calc!$AE$2:$AE$3000,$B22&amp;"|"&amp;$D22,_calc!$A$2:$A$3000,$B$3,_calc!$C$2:$C$3000,S$6)=0,"",SUMIFS(_calc!$E$2:$E$3000,_calc!$AE$2:$AE$3000,$B22&amp;"|"&amp;$D22,_calc!$A$2:$A$3000,$B$3,_calc!$C$2:$C$3000,S$6)))</f>
        <v/>
      </c>
      <c r="T22" s="50" t="str">
        <f>IF(OR($B22="",T$6=""),"",IF(COUNTIFS(_calc!$AE$2:$AE$3000,$B22&amp;"|"&amp;$D22,_calc!$A$2:$A$3000,$B$3,_calc!$C$2:$C$3000,T$6)=0,"",SUMIFS(_calc!$E$2:$E$3000,_calc!$AE$2:$AE$3000,$B22&amp;"|"&amp;$D22,_calc!$A$2:$A$3000,$B$3,_calc!$C$2:$C$3000,T$6)))</f>
        <v/>
      </c>
      <c r="U22" s="50" t="str">
        <f>IF(OR($B22="",U$6=""),"",IF(COUNTIFS(_calc!$AE$2:$AE$3000,$B22&amp;"|"&amp;$D22,_calc!$A$2:$A$3000,$B$3,_calc!$C$2:$C$3000,U$6)=0,"",SUMIFS(_calc!$E$2:$E$3000,_calc!$AE$2:$AE$3000,$B22&amp;"|"&amp;$D22,_calc!$A$2:$A$3000,$B$3,_calc!$C$2:$C$3000,U$6)))</f>
        <v/>
      </c>
      <c r="V22" s="50" t="str">
        <f>IF(OR($B22="",V$6=""),"",IF(COUNTIFS(_calc!$AE$2:$AE$3000,$B22&amp;"|"&amp;$D22,_calc!$A$2:$A$3000,$B$3,_calc!$C$2:$C$3000,V$6)=0,"",SUMIFS(_calc!$E$2:$E$3000,_calc!$AE$2:$AE$3000,$B22&amp;"|"&amp;$D22,_calc!$A$2:$A$3000,$B$3,_calc!$C$2:$C$3000,V$6)))</f>
        <v/>
      </c>
      <c r="W22" s="50" t="str">
        <f>IF(OR($B22="",W$6=""),"",IF(COUNTIFS(_calc!$AE$2:$AE$3000,$B22&amp;"|"&amp;$D22,_calc!$A$2:$A$3000,$B$3,_calc!$C$2:$C$3000,W$6)=0,"",SUMIFS(_calc!$E$2:$E$3000,_calc!$AE$2:$AE$3000,$B22&amp;"|"&amp;$D22,_calc!$A$2:$A$3000,$B$3,_calc!$C$2:$C$3000,W$6)))</f>
        <v/>
      </c>
      <c r="X22" s="50" t="str">
        <f>IF(OR($B22="",X$6=""),"",IF(COUNTIFS(_calc!$AE$2:$AE$3000,$B22&amp;"|"&amp;$D22,_calc!$A$2:$A$3000,$B$3,_calc!$C$2:$C$3000,X$6)=0,"",SUMIFS(_calc!$E$2:$E$3000,_calc!$AE$2:$AE$3000,$B22&amp;"|"&amp;$D22,_calc!$A$2:$A$3000,$B$3,_calc!$C$2:$C$3000,X$6)))</f>
        <v/>
      </c>
      <c r="AA22" s="51"/>
      <c r="AB22" s="52" t="str">
        <f>IFERROR(INDEX(_calc!$I$2:$I$3000,MATCH(ROW()-8,_calc!$U$2:$U$3000,0)),"")</f>
        <v/>
      </c>
    </row>
    <row r="23" spans="1:28" ht="15" x14ac:dyDescent="0.5">
      <c r="A23" s="48">
        <v>17</v>
      </c>
      <c r="B23" s="49" t="str">
        <f>IFERROR(INDEX(_calc!$I$2:$I$3000,MATCH($A23,_calc!$AB$2:$AB$3000,0)),"")</f>
        <v/>
      </c>
      <c r="C23" s="49" t="str">
        <f>IFERROR(INDEX(_calc!$H$2:$H$3000,MATCH($A23,_calc!$AB$2:$AB$3000,0)),"")</f>
        <v/>
      </c>
      <c r="D23" s="49" t="str">
        <f>IFERROR(INDEX(_calc!$K$2:$K$3000,MATCH($A23,_calc!$AB$2:$AB$3000,0)),"")</f>
        <v/>
      </c>
      <c r="E23" s="50" t="str">
        <f>IF(OR($B23="",E$6=""),"",IF(COUNTIFS(_calc!$AE$2:$AE$3000,$B23&amp;"|"&amp;$D23,_calc!$A$2:$A$3000,$B$3,_calc!$C$2:$C$3000,E$6)=0,"",SUMIFS(_calc!$E$2:$E$3000,_calc!$AE$2:$AE$3000,$B23&amp;"|"&amp;$D23,_calc!$A$2:$A$3000,$B$3,_calc!$C$2:$C$3000,E$6)))</f>
        <v/>
      </c>
      <c r="F23" s="50" t="str">
        <f>IF(OR($B23="",F$6=""),"",IF(COUNTIFS(_calc!$AE$2:$AE$3000,$B23&amp;"|"&amp;$D23,_calc!$A$2:$A$3000,$B$3,_calc!$C$2:$C$3000,F$6)=0,"",SUMIFS(_calc!$E$2:$E$3000,_calc!$AE$2:$AE$3000,$B23&amp;"|"&amp;$D23,_calc!$A$2:$A$3000,$B$3,_calc!$C$2:$C$3000,F$6)))</f>
        <v/>
      </c>
      <c r="G23" s="50" t="str">
        <f>IF(OR($B23="",G$6=""),"",IF(COUNTIFS(_calc!$AE$2:$AE$3000,$B23&amp;"|"&amp;$D23,_calc!$A$2:$A$3000,$B$3,_calc!$C$2:$C$3000,G$6)=0,"",SUMIFS(_calc!$E$2:$E$3000,_calc!$AE$2:$AE$3000,$B23&amp;"|"&amp;$D23,_calc!$A$2:$A$3000,$B$3,_calc!$C$2:$C$3000,G$6)))</f>
        <v/>
      </c>
      <c r="H23" s="50" t="str">
        <f>IF(OR($B23="",H$6=""),"",IF(COUNTIFS(_calc!$AE$2:$AE$3000,$B23&amp;"|"&amp;$D23,_calc!$A$2:$A$3000,$B$3,_calc!$C$2:$C$3000,H$6)=0,"",SUMIFS(_calc!$E$2:$E$3000,_calc!$AE$2:$AE$3000,$B23&amp;"|"&amp;$D23,_calc!$A$2:$A$3000,$B$3,_calc!$C$2:$C$3000,H$6)))</f>
        <v/>
      </c>
      <c r="I23" s="50" t="str">
        <f>IF(OR($B23="",I$6=""),"",IF(COUNTIFS(_calc!$AE$2:$AE$3000,$B23&amp;"|"&amp;$D23,_calc!$A$2:$A$3000,$B$3,_calc!$C$2:$C$3000,I$6)=0,"",SUMIFS(_calc!$E$2:$E$3000,_calc!$AE$2:$AE$3000,$B23&amp;"|"&amp;$D23,_calc!$A$2:$A$3000,$B$3,_calc!$C$2:$C$3000,I$6)))</f>
        <v/>
      </c>
      <c r="J23" s="50" t="str">
        <f>IF(OR($B23="",J$6=""),"",IF(COUNTIFS(_calc!$AE$2:$AE$3000,$B23&amp;"|"&amp;$D23,_calc!$A$2:$A$3000,$B$3,_calc!$C$2:$C$3000,J$6)=0,"",SUMIFS(_calc!$E$2:$E$3000,_calc!$AE$2:$AE$3000,$B23&amp;"|"&amp;$D23,_calc!$A$2:$A$3000,$B$3,_calc!$C$2:$C$3000,J$6)))</f>
        <v/>
      </c>
      <c r="K23" s="50" t="str">
        <f>IF(OR($B23="",K$6=""),"",IF(COUNTIFS(_calc!$AE$2:$AE$3000,$B23&amp;"|"&amp;$D23,_calc!$A$2:$A$3000,$B$3,_calc!$C$2:$C$3000,K$6)=0,"",SUMIFS(_calc!$E$2:$E$3000,_calc!$AE$2:$AE$3000,$B23&amp;"|"&amp;$D23,_calc!$A$2:$A$3000,$B$3,_calc!$C$2:$C$3000,K$6)))</f>
        <v/>
      </c>
      <c r="L23" s="50" t="str">
        <f>IF(OR($B23="",L$6=""),"",IF(COUNTIFS(_calc!$AE$2:$AE$3000,$B23&amp;"|"&amp;$D23,_calc!$A$2:$A$3000,$B$3,_calc!$C$2:$C$3000,L$6)=0,"",SUMIFS(_calc!$E$2:$E$3000,_calc!$AE$2:$AE$3000,$B23&amp;"|"&amp;$D23,_calc!$A$2:$A$3000,$B$3,_calc!$C$2:$C$3000,L$6)))</f>
        <v/>
      </c>
      <c r="M23" s="50" t="str">
        <f>IF(OR($B23="",M$6=""),"",IF(COUNTIFS(_calc!$AE$2:$AE$3000,$B23&amp;"|"&amp;$D23,_calc!$A$2:$A$3000,$B$3,_calc!$C$2:$C$3000,M$6)=0,"",SUMIFS(_calc!$E$2:$E$3000,_calc!$AE$2:$AE$3000,$B23&amp;"|"&amp;$D23,_calc!$A$2:$A$3000,$B$3,_calc!$C$2:$C$3000,M$6)))</f>
        <v/>
      </c>
      <c r="N23" s="50" t="str">
        <f>IF(OR($B23="",N$6=""),"",IF(COUNTIFS(_calc!$AE$2:$AE$3000,$B23&amp;"|"&amp;$D23,_calc!$A$2:$A$3000,$B$3,_calc!$C$2:$C$3000,N$6)=0,"",SUMIFS(_calc!$E$2:$E$3000,_calc!$AE$2:$AE$3000,$B23&amp;"|"&amp;$D23,_calc!$A$2:$A$3000,$B$3,_calc!$C$2:$C$3000,N$6)))</f>
        <v/>
      </c>
      <c r="O23" s="50" t="str">
        <f>IF(OR($B23="",O$6=""),"",IF(COUNTIFS(_calc!$AE$2:$AE$3000,$B23&amp;"|"&amp;$D23,_calc!$A$2:$A$3000,$B$3,_calc!$C$2:$C$3000,O$6)=0,"",SUMIFS(_calc!$E$2:$E$3000,_calc!$AE$2:$AE$3000,$B23&amp;"|"&amp;$D23,_calc!$A$2:$A$3000,$B$3,_calc!$C$2:$C$3000,O$6)))</f>
        <v/>
      </c>
      <c r="P23" s="50" t="str">
        <f>IF(OR($B23="",P$6=""),"",IF(COUNTIFS(_calc!$AE$2:$AE$3000,$B23&amp;"|"&amp;$D23,_calc!$A$2:$A$3000,$B$3,_calc!$C$2:$C$3000,P$6)=0,"",SUMIFS(_calc!$E$2:$E$3000,_calc!$AE$2:$AE$3000,$B23&amp;"|"&amp;$D23,_calc!$A$2:$A$3000,$B$3,_calc!$C$2:$C$3000,P$6)))</f>
        <v/>
      </c>
      <c r="Q23" s="50" t="str">
        <f>IF(OR($B23="",Q$6=""),"",IF(COUNTIFS(_calc!$AE$2:$AE$3000,$B23&amp;"|"&amp;$D23,_calc!$A$2:$A$3000,$B$3,_calc!$C$2:$C$3000,Q$6)=0,"",SUMIFS(_calc!$E$2:$E$3000,_calc!$AE$2:$AE$3000,$B23&amp;"|"&amp;$D23,_calc!$A$2:$A$3000,$B$3,_calc!$C$2:$C$3000,Q$6)))</f>
        <v/>
      </c>
      <c r="R23" s="50" t="str">
        <f>IF(OR($B23="",R$6=""),"",IF(COUNTIFS(_calc!$AE$2:$AE$3000,$B23&amp;"|"&amp;$D23,_calc!$A$2:$A$3000,$B$3,_calc!$C$2:$C$3000,R$6)=0,"",SUMIFS(_calc!$E$2:$E$3000,_calc!$AE$2:$AE$3000,$B23&amp;"|"&amp;$D23,_calc!$A$2:$A$3000,$B$3,_calc!$C$2:$C$3000,R$6)))</f>
        <v/>
      </c>
      <c r="S23" s="50" t="str">
        <f>IF(OR($B23="",S$6=""),"",IF(COUNTIFS(_calc!$AE$2:$AE$3000,$B23&amp;"|"&amp;$D23,_calc!$A$2:$A$3000,$B$3,_calc!$C$2:$C$3000,S$6)=0,"",SUMIFS(_calc!$E$2:$E$3000,_calc!$AE$2:$AE$3000,$B23&amp;"|"&amp;$D23,_calc!$A$2:$A$3000,$B$3,_calc!$C$2:$C$3000,S$6)))</f>
        <v/>
      </c>
      <c r="T23" s="50" t="str">
        <f>IF(OR($B23="",T$6=""),"",IF(COUNTIFS(_calc!$AE$2:$AE$3000,$B23&amp;"|"&amp;$D23,_calc!$A$2:$A$3000,$B$3,_calc!$C$2:$C$3000,T$6)=0,"",SUMIFS(_calc!$E$2:$E$3000,_calc!$AE$2:$AE$3000,$B23&amp;"|"&amp;$D23,_calc!$A$2:$A$3000,$B$3,_calc!$C$2:$C$3000,T$6)))</f>
        <v/>
      </c>
      <c r="U23" s="50" t="str">
        <f>IF(OR($B23="",U$6=""),"",IF(COUNTIFS(_calc!$AE$2:$AE$3000,$B23&amp;"|"&amp;$D23,_calc!$A$2:$A$3000,$B$3,_calc!$C$2:$C$3000,U$6)=0,"",SUMIFS(_calc!$E$2:$E$3000,_calc!$AE$2:$AE$3000,$B23&amp;"|"&amp;$D23,_calc!$A$2:$A$3000,$B$3,_calc!$C$2:$C$3000,U$6)))</f>
        <v/>
      </c>
      <c r="V23" s="50" t="str">
        <f>IF(OR($B23="",V$6=""),"",IF(COUNTIFS(_calc!$AE$2:$AE$3000,$B23&amp;"|"&amp;$D23,_calc!$A$2:$A$3000,$B$3,_calc!$C$2:$C$3000,V$6)=0,"",SUMIFS(_calc!$E$2:$E$3000,_calc!$AE$2:$AE$3000,$B23&amp;"|"&amp;$D23,_calc!$A$2:$A$3000,$B$3,_calc!$C$2:$C$3000,V$6)))</f>
        <v/>
      </c>
      <c r="W23" s="50" t="str">
        <f>IF(OR($B23="",W$6=""),"",IF(COUNTIFS(_calc!$AE$2:$AE$3000,$B23&amp;"|"&amp;$D23,_calc!$A$2:$A$3000,$B$3,_calc!$C$2:$C$3000,W$6)=0,"",SUMIFS(_calc!$E$2:$E$3000,_calc!$AE$2:$AE$3000,$B23&amp;"|"&amp;$D23,_calc!$A$2:$A$3000,$B$3,_calc!$C$2:$C$3000,W$6)))</f>
        <v/>
      </c>
      <c r="X23" s="50" t="str">
        <f>IF(OR($B23="",X$6=""),"",IF(COUNTIFS(_calc!$AE$2:$AE$3000,$B23&amp;"|"&amp;$D23,_calc!$A$2:$A$3000,$B$3,_calc!$C$2:$C$3000,X$6)=0,"",SUMIFS(_calc!$E$2:$E$3000,_calc!$AE$2:$AE$3000,$B23&amp;"|"&amp;$D23,_calc!$A$2:$A$3000,$B$3,_calc!$C$2:$C$3000,X$6)))</f>
        <v/>
      </c>
      <c r="AA23" s="51"/>
      <c r="AB23" s="52" t="str">
        <f>IFERROR(INDEX(_calc!$I$2:$I$3000,MATCH(ROW()-8,_calc!$U$2:$U$3000,0)),"")</f>
        <v/>
      </c>
    </row>
    <row r="24" spans="1:28" ht="15" x14ac:dyDescent="0.5">
      <c r="A24" s="48">
        <v>18</v>
      </c>
      <c r="B24" s="49" t="str">
        <f>IFERROR(INDEX(_calc!$I$2:$I$3000,MATCH($A24,_calc!$AB$2:$AB$3000,0)),"")</f>
        <v/>
      </c>
      <c r="C24" s="49" t="str">
        <f>IFERROR(INDEX(_calc!$H$2:$H$3000,MATCH($A24,_calc!$AB$2:$AB$3000,0)),"")</f>
        <v/>
      </c>
      <c r="D24" s="49" t="str">
        <f>IFERROR(INDEX(_calc!$K$2:$K$3000,MATCH($A24,_calc!$AB$2:$AB$3000,0)),"")</f>
        <v/>
      </c>
      <c r="E24" s="50" t="str">
        <f>IF(OR($B24="",E$6=""),"",IF(COUNTIFS(_calc!$AE$2:$AE$3000,$B24&amp;"|"&amp;$D24,_calc!$A$2:$A$3000,$B$3,_calc!$C$2:$C$3000,E$6)=0,"",SUMIFS(_calc!$E$2:$E$3000,_calc!$AE$2:$AE$3000,$B24&amp;"|"&amp;$D24,_calc!$A$2:$A$3000,$B$3,_calc!$C$2:$C$3000,E$6)))</f>
        <v/>
      </c>
      <c r="F24" s="50" t="str">
        <f>IF(OR($B24="",F$6=""),"",IF(COUNTIFS(_calc!$AE$2:$AE$3000,$B24&amp;"|"&amp;$D24,_calc!$A$2:$A$3000,$B$3,_calc!$C$2:$C$3000,F$6)=0,"",SUMIFS(_calc!$E$2:$E$3000,_calc!$AE$2:$AE$3000,$B24&amp;"|"&amp;$D24,_calc!$A$2:$A$3000,$B$3,_calc!$C$2:$C$3000,F$6)))</f>
        <v/>
      </c>
      <c r="G24" s="50" t="str">
        <f>IF(OR($B24="",G$6=""),"",IF(COUNTIFS(_calc!$AE$2:$AE$3000,$B24&amp;"|"&amp;$D24,_calc!$A$2:$A$3000,$B$3,_calc!$C$2:$C$3000,G$6)=0,"",SUMIFS(_calc!$E$2:$E$3000,_calc!$AE$2:$AE$3000,$B24&amp;"|"&amp;$D24,_calc!$A$2:$A$3000,$B$3,_calc!$C$2:$C$3000,G$6)))</f>
        <v/>
      </c>
      <c r="H24" s="50" t="str">
        <f>IF(OR($B24="",H$6=""),"",IF(COUNTIFS(_calc!$AE$2:$AE$3000,$B24&amp;"|"&amp;$D24,_calc!$A$2:$A$3000,$B$3,_calc!$C$2:$C$3000,H$6)=0,"",SUMIFS(_calc!$E$2:$E$3000,_calc!$AE$2:$AE$3000,$B24&amp;"|"&amp;$D24,_calc!$A$2:$A$3000,$B$3,_calc!$C$2:$C$3000,H$6)))</f>
        <v/>
      </c>
      <c r="I24" s="50" t="str">
        <f>IF(OR($B24="",I$6=""),"",IF(COUNTIFS(_calc!$AE$2:$AE$3000,$B24&amp;"|"&amp;$D24,_calc!$A$2:$A$3000,$B$3,_calc!$C$2:$C$3000,I$6)=0,"",SUMIFS(_calc!$E$2:$E$3000,_calc!$AE$2:$AE$3000,$B24&amp;"|"&amp;$D24,_calc!$A$2:$A$3000,$B$3,_calc!$C$2:$C$3000,I$6)))</f>
        <v/>
      </c>
      <c r="J24" s="50" t="str">
        <f>IF(OR($B24="",J$6=""),"",IF(COUNTIFS(_calc!$AE$2:$AE$3000,$B24&amp;"|"&amp;$D24,_calc!$A$2:$A$3000,$B$3,_calc!$C$2:$C$3000,J$6)=0,"",SUMIFS(_calc!$E$2:$E$3000,_calc!$AE$2:$AE$3000,$B24&amp;"|"&amp;$D24,_calc!$A$2:$A$3000,$B$3,_calc!$C$2:$C$3000,J$6)))</f>
        <v/>
      </c>
      <c r="K24" s="50" t="str">
        <f>IF(OR($B24="",K$6=""),"",IF(COUNTIFS(_calc!$AE$2:$AE$3000,$B24&amp;"|"&amp;$D24,_calc!$A$2:$A$3000,$B$3,_calc!$C$2:$C$3000,K$6)=0,"",SUMIFS(_calc!$E$2:$E$3000,_calc!$AE$2:$AE$3000,$B24&amp;"|"&amp;$D24,_calc!$A$2:$A$3000,$B$3,_calc!$C$2:$C$3000,K$6)))</f>
        <v/>
      </c>
      <c r="L24" s="50" t="str">
        <f>IF(OR($B24="",L$6=""),"",IF(COUNTIFS(_calc!$AE$2:$AE$3000,$B24&amp;"|"&amp;$D24,_calc!$A$2:$A$3000,$B$3,_calc!$C$2:$C$3000,L$6)=0,"",SUMIFS(_calc!$E$2:$E$3000,_calc!$AE$2:$AE$3000,$B24&amp;"|"&amp;$D24,_calc!$A$2:$A$3000,$B$3,_calc!$C$2:$C$3000,L$6)))</f>
        <v/>
      </c>
      <c r="M24" s="50" t="str">
        <f>IF(OR($B24="",M$6=""),"",IF(COUNTIFS(_calc!$AE$2:$AE$3000,$B24&amp;"|"&amp;$D24,_calc!$A$2:$A$3000,$B$3,_calc!$C$2:$C$3000,M$6)=0,"",SUMIFS(_calc!$E$2:$E$3000,_calc!$AE$2:$AE$3000,$B24&amp;"|"&amp;$D24,_calc!$A$2:$A$3000,$B$3,_calc!$C$2:$C$3000,M$6)))</f>
        <v/>
      </c>
      <c r="N24" s="50" t="str">
        <f>IF(OR($B24="",N$6=""),"",IF(COUNTIFS(_calc!$AE$2:$AE$3000,$B24&amp;"|"&amp;$D24,_calc!$A$2:$A$3000,$B$3,_calc!$C$2:$C$3000,N$6)=0,"",SUMIFS(_calc!$E$2:$E$3000,_calc!$AE$2:$AE$3000,$B24&amp;"|"&amp;$D24,_calc!$A$2:$A$3000,$B$3,_calc!$C$2:$C$3000,N$6)))</f>
        <v/>
      </c>
      <c r="O24" s="50" t="str">
        <f>IF(OR($B24="",O$6=""),"",IF(COUNTIFS(_calc!$AE$2:$AE$3000,$B24&amp;"|"&amp;$D24,_calc!$A$2:$A$3000,$B$3,_calc!$C$2:$C$3000,O$6)=0,"",SUMIFS(_calc!$E$2:$E$3000,_calc!$AE$2:$AE$3000,$B24&amp;"|"&amp;$D24,_calc!$A$2:$A$3000,$B$3,_calc!$C$2:$C$3000,O$6)))</f>
        <v/>
      </c>
      <c r="P24" s="50" t="str">
        <f>IF(OR($B24="",P$6=""),"",IF(COUNTIFS(_calc!$AE$2:$AE$3000,$B24&amp;"|"&amp;$D24,_calc!$A$2:$A$3000,$B$3,_calc!$C$2:$C$3000,P$6)=0,"",SUMIFS(_calc!$E$2:$E$3000,_calc!$AE$2:$AE$3000,$B24&amp;"|"&amp;$D24,_calc!$A$2:$A$3000,$B$3,_calc!$C$2:$C$3000,P$6)))</f>
        <v/>
      </c>
      <c r="Q24" s="50" t="str">
        <f>IF(OR($B24="",Q$6=""),"",IF(COUNTIFS(_calc!$AE$2:$AE$3000,$B24&amp;"|"&amp;$D24,_calc!$A$2:$A$3000,$B$3,_calc!$C$2:$C$3000,Q$6)=0,"",SUMIFS(_calc!$E$2:$E$3000,_calc!$AE$2:$AE$3000,$B24&amp;"|"&amp;$D24,_calc!$A$2:$A$3000,$B$3,_calc!$C$2:$C$3000,Q$6)))</f>
        <v/>
      </c>
      <c r="R24" s="50" t="str">
        <f>IF(OR($B24="",R$6=""),"",IF(COUNTIFS(_calc!$AE$2:$AE$3000,$B24&amp;"|"&amp;$D24,_calc!$A$2:$A$3000,$B$3,_calc!$C$2:$C$3000,R$6)=0,"",SUMIFS(_calc!$E$2:$E$3000,_calc!$AE$2:$AE$3000,$B24&amp;"|"&amp;$D24,_calc!$A$2:$A$3000,$B$3,_calc!$C$2:$C$3000,R$6)))</f>
        <v/>
      </c>
      <c r="S24" s="50" t="str">
        <f>IF(OR($B24="",S$6=""),"",IF(COUNTIFS(_calc!$AE$2:$AE$3000,$B24&amp;"|"&amp;$D24,_calc!$A$2:$A$3000,$B$3,_calc!$C$2:$C$3000,S$6)=0,"",SUMIFS(_calc!$E$2:$E$3000,_calc!$AE$2:$AE$3000,$B24&amp;"|"&amp;$D24,_calc!$A$2:$A$3000,$B$3,_calc!$C$2:$C$3000,S$6)))</f>
        <v/>
      </c>
      <c r="T24" s="50" t="str">
        <f>IF(OR($B24="",T$6=""),"",IF(COUNTIFS(_calc!$AE$2:$AE$3000,$B24&amp;"|"&amp;$D24,_calc!$A$2:$A$3000,$B$3,_calc!$C$2:$C$3000,T$6)=0,"",SUMIFS(_calc!$E$2:$E$3000,_calc!$AE$2:$AE$3000,$B24&amp;"|"&amp;$D24,_calc!$A$2:$A$3000,$B$3,_calc!$C$2:$C$3000,T$6)))</f>
        <v/>
      </c>
      <c r="U24" s="50" t="str">
        <f>IF(OR($B24="",U$6=""),"",IF(COUNTIFS(_calc!$AE$2:$AE$3000,$B24&amp;"|"&amp;$D24,_calc!$A$2:$A$3000,$B$3,_calc!$C$2:$C$3000,U$6)=0,"",SUMIFS(_calc!$E$2:$E$3000,_calc!$AE$2:$AE$3000,$B24&amp;"|"&amp;$D24,_calc!$A$2:$A$3000,$B$3,_calc!$C$2:$C$3000,U$6)))</f>
        <v/>
      </c>
      <c r="V24" s="50" t="str">
        <f>IF(OR($B24="",V$6=""),"",IF(COUNTIFS(_calc!$AE$2:$AE$3000,$B24&amp;"|"&amp;$D24,_calc!$A$2:$A$3000,$B$3,_calc!$C$2:$C$3000,V$6)=0,"",SUMIFS(_calc!$E$2:$E$3000,_calc!$AE$2:$AE$3000,$B24&amp;"|"&amp;$D24,_calc!$A$2:$A$3000,$B$3,_calc!$C$2:$C$3000,V$6)))</f>
        <v/>
      </c>
      <c r="W24" s="50" t="str">
        <f>IF(OR($B24="",W$6=""),"",IF(COUNTIFS(_calc!$AE$2:$AE$3000,$B24&amp;"|"&amp;$D24,_calc!$A$2:$A$3000,$B$3,_calc!$C$2:$C$3000,W$6)=0,"",SUMIFS(_calc!$E$2:$E$3000,_calc!$AE$2:$AE$3000,$B24&amp;"|"&amp;$D24,_calc!$A$2:$A$3000,$B$3,_calc!$C$2:$C$3000,W$6)))</f>
        <v/>
      </c>
      <c r="X24" s="50" t="str">
        <f>IF(OR($B24="",X$6=""),"",IF(COUNTIFS(_calc!$AE$2:$AE$3000,$B24&amp;"|"&amp;$D24,_calc!$A$2:$A$3000,$B$3,_calc!$C$2:$C$3000,X$6)=0,"",SUMIFS(_calc!$E$2:$E$3000,_calc!$AE$2:$AE$3000,$B24&amp;"|"&amp;$D24,_calc!$A$2:$A$3000,$B$3,_calc!$C$2:$C$3000,X$6)))</f>
        <v/>
      </c>
      <c r="AA24" s="51"/>
      <c r="AB24" s="52" t="str">
        <f>IFERROR(INDEX(_calc!$I$2:$I$3000,MATCH(ROW()-8,_calc!$U$2:$U$3000,0)),"")</f>
        <v/>
      </c>
    </row>
    <row r="25" spans="1:28" ht="15" x14ac:dyDescent="0.5">
      <c r="A25" s="48">
        <v>19</v>
      </c>
      <c r="B25" s="49" t="str">
        <f>IFERROR(INDEX(_calc!$I$2:$I$3000,MATCH($A25,_calc!$AB$2:$AB$3000,0)),"")</f>
        <v/>
      </c>
      <c r="C25" s="49" t="str">
        <f>IFERROR(INDEX(_calc!$H$2:$H$3000,MATCH($A25,_calc!$AB$2:$AB$3000,0)),"")</f>
        <v/>
      </c>
      <c r="D25" s="49" t="str">
        <f>IFERROR(INDEX(_calc!$K$2:$K$3000,MATCH($A25,_calc!$AB$2:$AB$3000,0)),"")</f>
        <v/>
      </c>
      <c r="E25" s="50" t="str">
        <f>IF(OR($B25="",E$6=""),"",IF(COUNTIFS(_calc!$AE$2:$AE$3000,$B25&amp;"|"&amp;$D25,_calc!$A$2:$A$3000,$B$3,_calc!$C$2:$C$3000,E$6)=0,"",SUMIFS(_calc!$E$2:$E$3000,_calc!$AE$2:$AE$3000,$B25&amp;"|"&amp;$D25,_calc!$A$2:$A$3000,$B$3,_calc!$C$2:$C$3000,E$6)))</f>
        <v/>
      </c>
      <c r="F25" s="50" t="str">
        <f>IF(OR($B25="",F$6=""),"",IF(COUNTIFS(_calc!$AE$2:$AE$3000,$B25&amp;"|"&amp;$D25,_calc!$A$2:$A$3000,$B$3,_calc!$C$2:$C$3000,F$6)=0,"",SUMIFS(_calc!$E$2:$E$3000,_calc!$AE$2:$AE$3000,$B25&amp;"|"&amp;$D25,_calc!$A$2:$A$3000,$B$3,_calc!$C$2:$C$3000,F$6)))</f>
        <v/>
      </c>
      <c r="G25" s="50" t="str">
        <f>IF(OR($B25="",G$6=""),"",IF(COUNTIFS(_calc!$AE$2:$AE$3000,$B25&amp;"|"&amp;$D25,_calc!$A$2:$A$3000,$B$3,_calc!$C$2:$C$3000,G$6)=0,"",SUMIFS(_calc!$E$2:$E$3000,_calc!$AE$2:$AE$3000,$B25&amp;"|"&amp;$D25,_calc!$A$2:$A$3000,$B$3,_calc!$C$2:$C$3000,G$6)))</f>
        <v/>
      </c>
      <c r="H25" s="50" t="str">
        <f>IF(OR($B25="",H$6=""),"",IF(COUNTIFS(_calc!$AE$2:$AE$3000,$B25&amp;"|"&amp;$D25,_calc!$A$2:$A$3000,$B$3,_calc!$C$2:$C$3000,H$6)=0,"",SUMIFS(_calc!$E$2:$E$3000,_calc!$AE$2:$AE$3000,$B25&amp;"|"&amp;$D25,_calc!$A$2:$A$3000,$B$3,_calc!$C$2:$C$3000,H$6)))</f>
        <v/>
      </c>
      <c r="I25" s="50" t="str">
        <f>IF(OR($B25="",I$6=""),"",IF(COUNTIFS(_calc!$AE$2:$AE$3000,$B25&amp;"|"&amp;$D25,_calc!$A$2:$A$3000,$B$3,_calc!$C$2:$C$3000,I$6)=0,"",SUMIFS(_calc!$E$2:$E$3000,_calc!$AE$2:$AE$3000,$B25&amp;"|"&amp;$D25,_calc!$A$2:$A$3000,$B$3,_calc!$C$2:$C$3000,I$6)))</f>
        <v/>
      </c>
      <c r="J25" s="50" t="str">
        <f>IF(OR($B25="",J$6=""),"",IF(COUNTIFS(_calc!$AE$2:$AE$3000,$B25&amp;"|"&amp;$D25,_calc!$A$2:$A$3000,$B$3,_calc!$C$2:$C$3000,J$6)=0,"",SUMIFS(_calc!$E$2:$E$3000,_calc!$AE$2:$AE$3000,$B25&amp;"|"&amp;$D25,_calc!$A$2:$A$3000,$B$3,_calc!$C$2:$C$3000,J$6)))</f>
        <v/>
      </c>
      <c r="K25" s="50" t="str">
        <f>IF(OR($B25="",K$6=""),"",IF(COUNTIFS(_calc!$AE$2:$AE$3000,$B25&amp;"|"&amp;$D25,_calc!$A$2:$A$3000,$B$3,_calc!$C$2:$C$3000,K$6)=0,"",SUMIFS(_calc!$E$2:$E$3000,_calc!$AE$2:$AE$3000,$B25&amp;"|"&amp;$D25,_calc!$A$2:$A$3000,$B$3,_calc!$C$2:$C$3000,K$6)))</f>
        <v/>
      </c>
      <c r="L25" s="50" t="str">
        <f>IF(OR($B25="",L$6=""),"",IF(COUNTIFS(_calc!$AE$2:$AE$3000,$B25&amp;"|"&amp;$D25,_calc!$A$2:$A$3000,$B$3,_calc!$C$2:$C$3000,L$6)=0,"",SUMIFS(_calc!$E$2:$E$3000,_calc!$AE$2:$AE$3000,$B25&amp;"|"&amp;$D25,_calc!$A$2:$A$3000,$B$3,_calc!$C$2:$C$3000,L$6)))</f>
        <v/>
      </c>
      <c r="M25" s="50" t="str">
        <f>IF(OR($B25="",M$6=""),"",IF(COUNTIFS(_calc!$AE$2:$AE$3000,$B25&amp;"|"&amp;$D25,_calc!$A$2:$A$3000,$B$3,_calc!$C$2:$C$3000,M$6)=0,"",SUMIFS(_calc!$E$2:$E$3000,_calc!$AE$2:$AE$3000,$B25&amp;"|"&amp;$D25,_calc!$A$2:$A$3000,$B$3,_calc!$C$2:$C$3000,M$6)))</f>
        <v/>
      </c>
      <c r="N25" s="50" t="str">
        <f>IF(OR($B25="",N$6=""),"",IF(COUNTIFS(_calc!$AE$2:$AE$3000,$B25&amp;"|"&amp;$D25,_calc!$A$2:$A$3000,$B$3,_calc!$C$2:$C$3000,N$6)=0,"",SUMIFS(_calc!$E$2:$E$3000,_calc!$AE$2:$AE$3000,$B25&amp;"|"&amp;$D25,_calc!$A$2:$A$3000,$B$3,_calc!$C$2:$C$3000,N$6)))</f>
        <v/>
      </c>
      <c r="O25" s="50" t="str">
        <f>IF(OR($B25="",O$6=""),"",IF(COUNTIFS(_calc!$AE$2:$AE$3000,$B25&amp;"|"&amp;$D25,_calc!$A$2:$A$3000,$B$3,_calc!$C$2:$C$3000,O$6)=0,"",SUMIFS(_calc!$E$2:$E$3000,_calc!$AE$2:$AE$3000,$B25&amp;"|"&amp;$D25,_calc!$A$2:$A$3000,$B$3,_calc!$C$2:$C$3000,O$6)))</f>
        <v/>
      </c>
      <c r="P25" s="50" t="str">
        <f>IF(OR($B25="",P$6=""),"",IF(COUNTIFS(_calc!$AE$2:$AE$3000,$B25&amp;"|"&amp;$D25,_calc!$A$2:$A$3000,$B$3,_calc!$C$2:$C$3000,P$6)=0,"",SUMIFS(_calc!$E$2:$E$3000,_calc!$AE$2:$AE$3000,$B25&amp;"|"&amp;$D25,_calc!$A$2:$A$3000,$B$3,_calc!$C$2:$C$3000,P$6)))</f>
        <v/>
      </c>
      <c r="Q25" s="50" t="str">
        <f>IF(OR($B25="",Q$6=""),"",IF(COUNTIFS(_calc!$AE$2:$AE$3000,$B25&amp;"|"&amp;$D25,_calc!$A$2:$A$3000,$B$3,_calc!$C$2:$C$3000,Q$6)=0,"",SUMIFS(_calc!$E$2:$E$3000,_calc!$AE$2:$AE$3000,$B25&amp;"|"&amp;$D25,_calc!$A$2:$A$3000,$B$3,_calc!$C$2:$C$3000,Q$6)))</f>
        <v/>
      </c>
      <c r="R25" s="50" t="str">
        <f>IF(OR($B25="",R$6=""),"",IF(COUNTIFS(_calc!$AE$2:$AE$3000,$B25&amp;"|"&amp;$D25,_calc!$A$2:$A$3000,$B$3,_calc!$C$2:$C$3000,R$6)=0,"",SUMIFS(_calc!$E$2:$E$3000,_calc!$AE$2:$AE$3000,$B25&amp;"|"&amp;$D25,_calc!$A$2:$A$3000,$B$3,_calc!$C$2:$C$3000,R$6)))</f>
        <v/>
      </c>
      <c r="S25" s="50" t="str">
        <f>IF(OR($B25="",S$6=""),"",IF(COUNTIFS(_calc!$AE$2:$AE$3000,$B25&amp;"|"&amp;$D25,_calc!$A$2:$A$3000,$B$3,_calc!$C$2:$C$3000,S$6)=0,"",SUMIFS(_calc!$E$2:$E$3000,_calc!$AE$2:$AE$3000,$B25&amp;"|"&amp;$D25,_calc!$A$2:$A$3000,$B$3,_calc!$C$2:$C$3000,S$6)))</f>
        <v/>
      </c>
      <c r="T25" s="50" t="str">
        <f>IF(OR($B25="",T$6=""),"",IF(COUNTIFS(_calc!$AE$2:$AE$3000,$B25&amp;"|"&amp;$D25,_calc!$A$2:$A$3000,$B$3,_calc!$C$2:$C$3000,T$6)=0,"",SUMIFS(_calc!$E$2:$E$3000,_calc!$AE$2:$AE$3000,$B25&amp;"|"&amp;$D25,_calc!$A$2:$A$3000,$B$3,_calc!$C$2:$C$3000,T$6)))</f>
        <v/>
      </c>
      <c r="U25" s="50" t="str">
        <f>IF(OR($B25="",U$6=""),"",IF(COUNTIFS(_calc!$AE$2:$AE$3000,$B25&amp;"|"&amp;$D25,_calc!$A$2:$A$3000,$B$3,_calc!$C$2:$C$3000,U$6)=0,"",SUMIFS(_calc!$E$2:$E$3000,_calc!$AE$2:$AE$3000,$B25&amp;"|"&amp;$D25,_calc!$A$2:$A$3000,$B$3,_calc!$C$2:$C$3000,U$6)))</f>
        <v/>
      </c>
      <c r="V25" s="50" t="str">
        <f>IF(OR($B25="",V$6=""),"",IF(COUNTIFS(_calc!$AE$2:$AE$3000,$B25&amp;"|"&amp;$D25,_calc!$A$2:$A$3000,$B$3,_calc!$C$2:$C$3000,V$6)=0,"",SUMIFS(_calc!$E$2:$E$3000,_calc!$AE$2:$AE$3000,$B25&amp;"|"&amp;$D25,_calc!$A$2:$A$3000,$B$3,_calc!$C$2:$C$3000,V$6)))</f>
        <v/>
      </c>
      <c r="W25" s="50" t="str">
        <f>IF(OR($B25="",W$6=""),"",IF(COUNTIFS(_calc!$AE$2:$AE$3000,$B25&amp;"|"&amp;$D25,_calc!$A$2:$A$3000,$B$3,_calc!$C$2:$C$3000,W$6)=0,"",SUMIFS(_calc!$E$2:$E$3000,_calc!$AE$2:$AE$3000,$B25&amp;"|"&amp;$D25,_calc!$A$2:$A$3000,$B$3,_calc!$C$2:$C$3000,W$6)))</f>
        <v/>
      </c>
      <c r="X25" s="50" t="str">
        <f>IF(OR($B25="",X$6=""),"",IF(COUNTIFS(_calc!$AE$2:$AE$3000,$B25&amp;"|"&amp;$D25,_calc!$A$2:$A$3000,$B$3,_calc!$C$2:$C$3000,X$6)=0,"",SUMIFS(_calc!$E$2:$E$3000,_calc!$AE$2:$AE$3000,$B25&amp;"|"&amp;$D25,_calc!$A$2:$A$3000,$B$3,_calc!$C$2:$C$3000,X$6)))</f>
        <v/>
      </c>
      <c r="AA25" s="51"/>
      <c r="AB25" s="52" t="str">
        <f>IFERROR(INDEX(_calc!$I$2:$I$3000,MATCH(ROW()-8,_calc!$U$2:$U$3000,0)),"")</f>
        <v/>
      </c>
    </row>
    <row r="26" spans="1:28" ht="15" x14ac:dyDescent="0.5">
      <c r="A26" s="48">
        <v>20</v>
      </c>
      <c r="B26" s="49" t="str">
        <f>IFERROR(INDEX(_calc!$I$2:$I$3000,MATCH($A26,_calc!$AB$2:$AB$3000,0)),"")</f>
        <v/>
      </c>
      <c r="C26" s="49" t="str">
        <f>IFERROR(INDEX(_calc!$H$2:$H$3000,MATCH($A26,_calc!$AB$2:$AB$3000,0)),"")</f>
        <v/>
      </c>
      <c r="D26" s="49" t="str">
        <f>IFERROR(INDEX(_calc!$K$2:$K$3000,MATCH($A26,_calc!$AB$2:$AB$3000,0)),"")</f>
        <v/>
      </c>
      <c r="E26" s="50" t="str">
        <f>IF(OR($B26="",E$6=""),"",IF(COUNTIFS(_calc!$AE$2:$AE$3000,$B26&amp;"|"&amp;$D26,_calc!$A$2:$A$3000,$B$3,_calc!$C$2:$C$3000,E$6)=0,"",SUMIFS(_calc!$E$2:$E$3000,_calc!$AE$2:$AE$3000,$B26&amp;"|"&amp;$D26,_calc!$A$2:$A$3000,$B$3,_calc!$C$2:$C$3000,E$6)))</f>
        <v/>
      </c>
      <c r="F26" s="50" t="str">
        <f>IF(OR($B26="",F$6=""),"",IF(COUNTIFS(_calc!$AE$2:$AE$3000,$B26&amp;"|"&amp;$D26,_calc!$A$2:$A$3000,$B$3,_calc!$C$2:$C$3000,F$6)=0,"",SUMIFS(_calc!$E$2:$E$3000,_calc!$AE$2:$AE$3000,$B26&amp;"|"&amp;$D26,_calc!$A$2:$A$3000,$B$3,_calc!$C$2:$C$3000,F$6)))</f>
        <v/>
      </c>
      <c r="G26" s="50" t="str">
        <f>IF(OR($B26="",G$6=""),"",IF(COUNTIFS(_calc!$AE$2:$AE$3000,$B26&amp;"|"&amp;$D26,_calc!$A$2:$A$3000,$B$3,_calc!$C$2:$C$3000,G$6)=0,"",SUMIFS(_calc!$E$2:$E$3000,_calc!$AE$2:$AE$3000,$B26&amp;"|"&amp;$D26,_calc!$A$2:$A$3000,$B$3,_calc!$C$2:$C$3000,G$6)))</f>
        <v/>
      </c>
      <c r="H26" s="50" t="str">
        <f>IF(OR($B26="",H$6=""),"",IF(COUNTIFS(_calc!$AE$2:$AE$3000,$B26&amp;"|"&amp;$D26,_calc!$A$2:$A$3000,$B$3,_calc!$C$2:$C$3000,H$6)=0,"",SUMIFS(_calc!$E$2:$E$3000,_calc!$AE$2:$AE$3000,$B26&amp;"|"&amp;$D26,_calc!$A$2:$A$3000,$B$3,_calc!$C$2:$C$3000,H$6)))</f>
        <v/>
      </c>
      <c r="I26" s="50" t="str">
        <f>IF(OR($B26="",I$6=""),"",IF(COUNTIFS(_calc!$AE$2:$AE$3000,$B26&amp;"|"&amp;$D26,_calc!$A$2:$A$3000,$B$3,_calc!$C$2:$C$3000,I$6)=0,"",SUMIFS(_calc!$E$2:$E$3000,_calc!$AE$2:$AE$3000,$B26&amp;"|"&amp;$D26,_calc!$A$2:$A$3000,$B$3,_calc!$C$2:$C$3000,I$6)))</f>
        <v/>
      </c>
      <c r="J26" s="50" t="str">
        <f>IF(OR($B26="",J$6=""),"",IF(COUNTIFS(_calc!$AE$2:$AE$3000,$B26&amp;"|"&amp;$D26,_calc!$A$2:$A$3000,$B$3,_calc!$C$2:$C$3000,J$6)=0,"",SUMIFS(_calc!$E$2:$E$3000,_calc!$AE$2:$AE$3000,$B26&amp;"|"&amp;$D26,_calc!$A$2:$A$3000,$B$3,_calc!$C$2:$C$3000,J$6)))</f>
        <v/>
      </c>
      <c r="K26" s="50" t="str">
        <f>IF(OR($B26="",K$6=""),"",IF(COUNTIFS(_calc!$AE$2:$AE$3000,$B26&amp;"|"&amp;$D26,_calc!$A$2:$A$3000,$B$3,_calc!$C$2:$C$3000,K$6)=0,"",SUMIFS(_calc!$E$2:$E$3000,_calc!$AE$2:$AE$3000,$B26&amp;"|"&amp;$D26,_calc!$A$2:$A$3000,$B$3,_calc!$C$2:$C$3000,K$6)))</f>
        <v/>
      </c>
      <c r="L26" s="50" t="str">
        <f>IF(OR($B26="",L$6=""),"",IF(COUNTIFS(_calc!$AE$2:$AE$3000,$B26&amp;"|"&amp;$D26,_calc!$A$2:$A$3000,$B$3,_calc!$C$2:$C$3000,L$6)=0,"",SUMIFS(_calc!$E$2:$E$3000,_calc!$AE$2:$AE$3000,$B26&amp;"|"&amp;$D26,_calc!$A$2:$A$3000,$B$3,_calc!$C$2:$C$3000,L$6)))</f>
        <v/>
      </c>
      <c r="M26" s="50" t="str">
        <f>IF(OR($B26="",M$6=""),"",IF(COUNTIFS(_calc!$AE$2:$AE$3000,$B26&amp;"|"&amp;$D26,_calc!$A$2:$A$3000,$B$3,_calc!$C$2:$C$3000,M$6)=0,"",SUMIFS(_calc!$E$2:$E$3000,_calc!$AE$2:$AE$3000,$B26&amp;"|"&amp;$D26,_calc!$A$2:$A$3000,$B$3,_calc!$C$2:$C$3000,M$6)))</f>
        <v/>
      </c>
      <c r="N26" s="50" t="str">
        <f>IF(OR($B26="",N$6=""),"",IF(COUNTIFS(_calc!$AE$2:$AE$3000,$B26&amp;"|"&amp;$D26,_calc!$A$2:$A$3000,$B$3,_calc!$C$2:$C$3000,N$6)=0,"",SUMIFS(_calc!$E$2:$E$3000,_calc!$AE$2:$AE$3000,$B26&amp;"|"&amp;$D26,_calc!$A$2:$A$3000,$B$3,_calc!$C$2:$C$3000,N$6)))</f>
        <v/>
      </c>
      <c r="O26" s="50" t="str">
        <f>IF(OR($B26="",O$6=""),"",IF(COUNTIFS(_calc!$AE$2:$AE$3000,$B26&amp;"|"&amp;$D26,_calc!$A$2:$A$3000,$B$3,_calc!$C$2:$C$3000,O$6)=0,"",SUMIFS(_calc!$E$2:$E$3000,_calc!$AE$2:$AE$3000,$B26&amp;"|"&amp;$D26,_calc!$A$2:$A$3000,$B$3,_calc!$C$2:$C$3000,O$6)))</f>
        <v/>
      </c>
      <c r="P26" s="50" t="str">
        <f>IF(OR($B26="",P$6=""),"",IF(COUNTIFS(_calc!$AE$2:$AE$3000,$B26&amp;"|"&amp;$D26,_calc!$A$2:$A$3000,$B$3,_calc!$C$2:$C$3000,P$6)=0,"",SUMIFS(_calc!$E$2:$E$3000,_calc!$AE$2:$AE$3000,$B26&amp;"|"&amp;$D26,_calc!$A$2:$A$3000,$B$3,_calc!$C$2:$C$3000,P$6)))</f>
        <v/>
      </c>
      <c r="Q26" s="50" t="str">
        <f>IF(OR($B26="",Q$6=""),"",IF(COUNTIFS(_calc!$AE$2:$AE$3000,$B26&amp;"|"&amp;$D26,_calc!$A$2:$A$3000,$B$3,_calc!$C$2:$C$3000,Q$6)=0,"",SUMIFS(_calc!$E$2:$E$3000,_calc!$AE$2:$AE$3000,$B26&amp;"|"&amp;$D26,_calc!$A$2:$A$3000,$B$3,_calc!$C$2:$C$3000,Q$6)))</f>
        <v/>
      </c>
      <c r="R26" s="50" t="str">
        <f>IF(OR($B26="",R$6=""),"",IF(COUNTIFS(_calc!$AE$2:$AE$3000,$B26&amp;"|"&amp;$D26,_calc!$A$2:$A$3000,$B$3,_calc!$C$2:$C$3000,R$6)=0,"",SUMIFS(_calc!$E$2:$E$3000,_calc!$AE$2:$AE$3000,$B26&amp;"|"&amp;$D26,_calc!$A$2:$A$3000,$B$3,_calc!$C$2:$C$3000,R$6)))</f>
        <v/>
      </c>
      <c r="S26" s="50" t="str">
        <f>IF(OR($B26="",S$6=""),"",IF(COUNTIFS(_calc!$AE$2:$AE$3000,$B26&amp;"|"&amp;$D26,_calc!$A$2:$A$3000,$B$3,_calc!$C$2:$C$3000,S$6)=0,"",SUMIFS(_calc!$E$2:$E$3000,_calc!$AE$2:$AE$3000,$B26&amp;"|"&amp;$D26,_calc!$A$2:$A$3000,$B$3,_calc!$C$2:$C$3000,S$6)))</f>
        <v/>
      </c>
      <c r="T26" s="50" t="str">
        <f>IF(OR($B26="",T$6=""),"",IF(COUNTIFS(_calc!$AE$2:$AE$3000,$B26&amp;"|"&amp;$D26,_calc!$A$2:$A$3000,$B$3,_calc!$C$2:$C$3000,T$6)=0,"",SUMIFS(_calc!$E$2:$E$3000,_calc!$AE$2:$AE$3000,$B26&amp;"|"&amp;$D26,_calc!$A$2:$A$3000,$B$3,_calc!$C$2:$C$3000,T$6)))</f>
        <v/>
      </c>
      <c r="U26" s="50" t="str">
        <f>IF(OR($B26="",U$6=""),"",IF(COUNTIFS(_calc!$AE$2:$AE$3000,$B26&amp;"|"&amp;$D26,_calc!$A$2:$A$3000,$B$3,_calc!$C$2:$C$3000,U$6)=0,"",SUMIFS(_calc!$E$2:$E$3000,_calc!$AE$2:$AE$3000,$B26&amp;"|"&amp;$D26,_calc!$A$2:$A$3000,$B$3,_calc!$C$2:$C$3000,U$6)))</f>
        <v/>
      </c>
      <c r="V26" s="50" t="str">
        <f>IF(OR($B26="",V$6=""),"",IF(COUNTIFS(_calc!$AE$2:$AE$3000,$B26&amp;"|"&amp;$D26,_calc!$A$2:$A$3000,$B$3,_calc!$C$2:$C$3000,V$6)=0,"",SUMIFS(_calc!$E$2:$E$3000,_calc!$AE$2:$AE$3000,$B26&amp;"|"&amp;$D26,_calc!$A$2:$A$3000,$B$3,_calc!$C$2:$C$3000,V$6)))</f>
        <v/>
      </c>
      <c r="W26" s="50" t="str">
        <f>IF(OR($B26="",W$6=""),"",IF(COUNTIFS(_calc!$AE$2:$AE$3000,$B26&amp;"|"&amp;$D26,_calc!$A$2:$A$3000,$B$3,_calc!$C$2:$C$3000,W$6)=0,"",SUMIFS(_calc!$E$2:$E$3000,_calc!$AE$2:$AE$3000,$B26&amp;"|"&amp;$D26,_calc!$A$2:$A$3000,$B$3,_calc!$C$2:$C$3000,W$6)))</f>
        <v/>
      </c>
      <c r="X26" s="50" t="str">
        <f>IF(OR($B26="",X$6=""),"",IF(COUNTIFS(_calc!$AE$2:$AE$3000,$B26&amp;"|"&amp;$D26,_calc!$A$2:$A$3000,$B$3,_calc!$C$2:$C$3000,X$6)=0,"",SUMIFS(_calc!$E$2:$E$3000,_calc!$AE$2:$AE$3000,$B26&amp;"|"&amp;$D26,_calc!$A$2:$A$3000,$B$3,_calc!$C$2:$C$3000,X$6)))</f>
        <v/>
      </c>
      <c r="AA26" s="51"/>
      <c r="AB26" s="52" t="str">
        <f>IFERROR(INDEX(_calc!$I$2:$I$3000,MATCH(ROW()-8,_calc!$U$2:$U$3000,0)),"")</f>
        <v/>
      </c>
    </row>
    <row r="27" spans="1:28" ht="15" x14ac:dyDescent="0.5">
      <c r="A27" s="48">
        <v>21</v>
      </c>
      <c r="B27" s="49" t="str">
        <f>IFERROR(INDEX(_calc!$I$2:$I$3000,MATCH($A27,_calc!$AB$2:$AB$3000,0)),"")</f>
        <v/>
      </c>
      <c r="C27" s="49" t="str">
        <f>IFERROR(INDEX(_calc!$H$2:$H$3000,MATCH($A27,_calc!$AB$2:$AB$3000,0)),"")</f>
        <v/>
      </c>
      <c r="D27" s="49" t="str">
        <f>IFERROR(INDEX(_calc!$K$2:$K$3000,MATCH($A27,_calc!$AB$2:$AB$3000,0)),"")</f>
        <v/>
      </c>
      <c r="E27" s="50" t="str">
        <f>IF(OR($B27="",E$6=""),"",IF(COUNTIFS(_calc!$AE$2:$AE$3000,$B27&amp;"|"&amp;$D27,_calc!$A$2:$A$3000,$B$3,_calc!$C$2:$C$3000,E$6)=0,"",SUMIFS(_calc!$E$2:$E$3000,_calc!$AE$2:$AE$3000,$B27&amp;"|"&amp;$D27,_calc!$A$2:$A$3000,$B$3,_calc!$C$2:$C$3000,E$6)))</f>
        <v/>
      </c>
      <c r="F27" s="50" t="str">
        <f>IF(OR($B27="",F$6=""),"",IF(COUNTIFS(_calc!$AE$2:$AE$3000,$B27&amp;"|"&amp;$D27,_calc!$A$2:$A$3000,$B$3,_calc!$C$2:$C$3000,F$6)=0,"",SUMIFS(_calc!$E$2:$E$3000,_calc!$AE$2:$AE$3000,$B27&amp;"|"&amp;$D27,_calc!$A$2:$A$3000,$B$3,_calc!$C$2:$C$3000,F$6)))</f>
        <v/>
      </c>
      <c r="G27" s="50" t="str">
        <f>IF(OR($B27="",G$6=""),"",IF(COUNTIFS(_calc!$AE$2:$AE$3000,$B27&amp;"|"&amp;$D27,_calc!$A$2:$A$3000,$B$3,_calc!$C$2:$C$3000,G$6)=0,"",SUMIFS(_calc!$E$2:$E$3000,_calc!$AE$2:$AE$3000,$B27&amp;"|"&amp;$D27,_calc!$A$2:$A$3000,$B$3,_calc!$C$2:$C$3000,G$6)))</f>
        <v/>
      </c>
      <c r="H27" s="50" t="str">
        <f>IF(OR($B27="",H$6=""),"",IF(COUNTIFS(_calc!$AE$2:$AE$3000,$B27&amp;"|"&amp;$D27,_calc!$A$2:$A$3000,$B$3,_calc!$C$2:$C$3000,H$6)=0,"",SUMIFS(_calc!$E$2:$E$3000,_calc!$AE$2:$AE$3000,$B27&amp;"|"&amp;$D27,_calc!$A$2:$A$3000,$B$3,_calc!$C$2:$C$3000,H$6)))</f>
        <v/>
      </c>
      <c r="I27" s="50" t="str">
        <f>IF(OR($B27="",I$6=""),"",IF(COUNTIFS(_calc!$AE$2:$AE$3000,$B27&amp;"|"&amp;$D27,_calc!$A$2:$A$3000,$B$3,_calc!$C$2:$C$3000,I$6)=0,"",SUMIFS(_calc!$E$2:$E$3000,_calc!$AE$2:$AE$3000,$B27&amp;"|"&amp;$D27,_calc!$A$2:$A$3000,$B$3,_calc!$C$2:$C$3000,I$6)))</f>
        <v/>
      </c>
      <c r="J27" s="50" t="str">
        <f>IF(OR($B27="",J$6=""),"",IF(COUNTIFS(_calc!$AE$2:$AE$3000,$B27&amp;"|"&amp;$D27,_calc!$A$2:$A$3000,$B$3,_calc!$C$2:$C$3000,J$6)=0,"",SUMIFS(_calc!$E$2:$E$3000,_calc!$AE$2:$AE$3000,$B27&amp;"|"&amp;$D27,_calc!$A$2:$A$3000,$B$3,_calc!$C$2:$C$3000,J$6)))</f>
        <v/>
      </c>
      <c r="K27" s="50" t="str">
        <f>IF(OR($B27="",K$6=""),"",IF(COUNTIFS(_calc!$AE$2:$AE$3000,$B27&amp;"|"&amp;$D27,_calc!$A$2:$A$3000,$B$3,_calc!$C$2:$C$3000,K$6)=0,"",SUMIFS(_calc!$E$2:$E$3000,_calc!$AE$2:$AE$3000,$B27&amp;"|"&amp;$D27,_calc!$A$2:$A$3000,$B$3,_calc!$C$2:$C$3000,K$6)))</f>
        <v/>
      </c>
      <c r="L27" s="50" t="str">
        <f>IF(OR($B27="",L$6=""),"",IF(COUNTIFS(_calc!$AE$2:$AE$3000,$B27&amp;"|"&amp;$D27,_calc!$A$2:$A$3000,$B$3,_calc!$C$2:$C$3000,L$6)=0,"",SUMIFS(_calc!$E$2:$E$3000,_calc!$AE$2:$AE$3000,$B27&amp;"|"&amp;$D27,_calc!$A$2:$A$3000,$B$3,_calc!$C$2:$C$3000,L$6)))</f>
        <v/>
      </c>
      <c r="M27" s="50" t="str">
        <f>IF(OR($B27="",M$6=""),"",IF(COUNTIFS(_calc!$AE$2:$AE$3000,$B27&amp;"|"&amp;$D27,_calc!$A$2:$A$3000,$B$3,_calc!$C$2:$C$3000,M$6)=0,"",SUMIFS(_calc!$E$2:$E$3000,_calc!$AE$2:$AE$3000,$B27&amp;"|"&amp;$D27,_calc!$A$2:$A$3000,$B$3,_calc!$C$2:$C$3000,M$6)))</f>
        <v/>
      </c>
      <c r="N27" s="50" t="str">
        <f>IF(OR($B27="",N$6=""),"",IF(COUNTIFS(_calc!$AE$2:$AE$3000,$B27&amp;"|"&amp;$D27,_calc!$A$2:$A$3000,$B$3,_calc!$C$2:$C$3000,N$6)=0,"",SUMIFS(_calc!$E$2:$E$3000,_calc!$AE$2:$AE$3000,$B27&amp;"|"&amp;$D27,_calc!$A$2:$A$3000,$B$3,_calc!$C$2:$C$3000,N$6)))</f>
        <v/>
      </c>
      <c r="O27" s="50" t="str">
        <f>IF(OR($B27="",O$6=""),"",IF(COUNTIFS(_calc!$AE$2:$AE$3000,$B27&amp;"|"&amp;$D27,_calc!$A$2:$A$3000,$B$3,_calc!$C$2:$C$3000,O$6)=0,"",SUMIFS(_calc!$E$2:$E$3000,_calc!$AE$2:$AE$3000,$B27&amp;"|"&amp;$D27,_calc!$A$2:$A$3000,$B$3,_calc!$C$2:$C$3000,O$6)))</f>
        <v/>
      </c>
      <c r="P27" s="50" t="str">
        <f>IF(OR($B27="",P$6=""),"",IF(COUNTIFS(_calc!$AE$2:$AE$3000,$B27&amp;"|"&amp;$D27,_calc!$A$2:$A$3000,$B$3,_calc!$C$2:$C$3000,P$6)=0,"",SUMIFS(_calc!$E$2:$E$3000,_calc!$AE$2:$AE$3000,$B27&amp;"|"&amp;$D27,_calc!$A$2:$A$3000,$B$3,_calc!$C$2:$C$3000,P$6)))</f>
        <v/>
      </c>
      <c r="Q27" s="50" t="str">
        <f>IF(OR($B27="",Q$6=""),"",IF(COUNTIFS(_calc!$AE$2:$AE$3000,$B27&amp;"|"&amp;$D27,_calc!$A$2:$A$3000,$B$3,_calc!$C$2:$C$3000,Q$6)=0,"",SUMIFS(_calc!$E$2:$E$3000,_calc!$AE$2:$AE$3000,$B27&amp;"|"&amp;$D27,_calc!$A$2:$A$3000,$B$3,_calc!$C$2:$C$3000,Q$6)))</f>
        <v/>
      </c>
      <c r="R27" s="50" t="str">
        <f>IF(OR($B27="",R$6=""),"",IF(COUNTIFS(_calc!$AE$2:$AE$3000,$B27&amp;"|"&amp;$D27,_calc!$A$2:$A$3000,$B$3,_calc!$C$2:$C$3000,R$6)=0,"",SUMIFS(_calc!$E$2:$E$3000,_calc!$AE$2:$AE$3000,$B27&amp;"|"&amp;$D27,_calc!$A$2:$A$3000,$B$3,_calc!$C$2:$C$3000,R$6)))</f>
        <v/>
      </c>
      <c r="S27" s="50" t="str">
        <f>IF(OR($B27="",S$6=""),"",IF(COUNTIFS(_calc!$AE$2:$AE$3000,$B27&amp;"|"&amp;$D27,_calc!$A$2:$A$3000,$B$3,_calc!$C$2:$C$3000,S$6)=0,"",SUMIFS(_calc!$E$2:$E$3000,_calc!$AE$2:$AE$3000,$B27&amp;"|"&amp;$D27,_calc!$A$2:$A$3000,$B$3,_calc!$C$2:$C$3000,S$6)))</f>
        <v/>
      </c>
      <c r="T27" s="50" t="str">
        <f>IF(OR($B27="",T$6=""),"",IF(COUNTIFS(_calc!$AE$2:$AE$3000,$B27&amp;"|"&amp;$D27,_calc!$A$2:$A$3000,$B$3,_calc!$C$2:$C$3000,T$6)=0,"",SUMIFS(_calc!$E$2:$E$3000,_calc!$AE$2:$AE$3000,$B27&amp;"|"&amp;$D27,_calc!$A$2:$A$3000,$B$3,_calc!$C$2:$C$3000,T$6)))</f>
        <v/>
      </c>
      <c r="U27" s="50" t="str">
        <f>IF(OR($B27="",U$6=""),"",IF(COUNTIFS(_calc!$AE$2:$AE$3000,$B27&amp;"|"&amp;$D27,_calc!$A$2:$A$3000,$B$3,_calc!$C$2:$C$3000,U$6)=0,"",SUMIFS(_calc!$E$2:$E$3000,_calc!$AE$2:$AE$3000,$B27&amp;"|"&amp;$D27,_calc!$A$2:$A$3000,$B$3,_calc!$C$2:$C$3000,U$6)))</f>
        <v/>
      </c>
      <c r="V27" s="50" t="str">
        <f>IF(OR($B27="",V$6=""),"",IF(COUNTIFS(_calc!$AE$2:$AE$3000,$B27&amp;"|"&amp;$D27,_calc!$A$2:$A$3000,$B$3,_calc!$C$2:$C$3000,V$6)=0,"",SUMIFS(_calc!$E$2:$E$3000,_calc!$AE$2:$AE$3000,$B27&amp;"|"&amp;$D27,_calc!$A$2:$A$3000,$B$3,_calc!$C$2:$C$3000,V$6)))</f>
        <v/>
      </c>
      <c r="W27" s="50" t="str">
        <f>IF(OR($B27="",W$6=""),"",IF(COUNTIFS(_calc!$AE$2:$AE$3000,$B27&amp;"|"&amp;$D27,_calc!$A$2:$A$3000,$B$3,_calc!$C$2:$C$3000,W$6)=0,"",SUMIFS(_calc!$E$2:$E$3000,_calc!$AE$2:$AE$3000,$B27&amp;"|"&amp;$D27,_calc!$A$2:$A$3000,$B$3,_calc!$C$2:$C$3000,W$6)))</f>
        <v/>
      </c>
      <c r="X27" s="50" t="str">
        <f>IF(OR($B27="",X$6=""),"",IF(COUNTIFS(_calc!$AE$2:$AE$3000,$B27&amp;"|"&amp;$D27,_calc!$A$2:$A$3000,$B$3,_calc!$C$2:$C$3000,X$6)=0,"",SUMIFS(_calc!$E$2:$E$3000,_calc!$AE$2:$AE$3000,$B27&amp;"|"&amp;$D27,_calc!$A$2:$A$3000,$B$3,_calc!$C$2:$C$3000,X$6)))</f>
        <v/>
      </c>
      <c r="AA27" s="51"/>
      <c r="AB27" s="52" t="str">
        <f>IFERROR(INDEX(_calc!$I$2:$I$3000,MATCH(ROW()-8,_calc!$U$2:$U$3000,0)),"")</f>
        <v/>
      </c>
    </row>
    <row r="28" spans="1:28" ht="15" x14ac:dyDescent="0.5">
      <c r="A28" s="48">
        <v>22</v>
      </c>
      <c r="B28" s="49" t="str">
        <f>IFERROR(INDEX(_calc!$I$2:$I$3000,MATCH($A28,_calc!$AB$2:$AB$3000,0)),"")</f>
        <v/>
      </c>
      <c r="C28" s="49" t="str">
        <f>IFERROR(INDEX(_calc!$H$2:$H$3000,MATCH($A28,_calc!$AB$2:$AB$3000,0)),"")</f>
        <v/>
      </c>
      <c r="D28" s="49" t="str">
        <f>IFERROR(INDEX(_calc!$K$2:$K$3000,MATCH($A28,_calc!$AB$2:$AB$3000,0)),"")</f>
        <v/>
      </c>
      <c r="E28" s="50" t="str">
        <f>IF(OR($B28="",E$6=""),"",IF(COUNTIFS(_calc!$AE$2:$AE$3000,$B28&amp;"|"&amp;$D28,_calc!$A$2:$A$3000,$B$3,_calc!$C$2:$C$3000,E$6)=0,"",SUMIFS(_calc!$E$2:$E$3000,_calc!$AE$2:$AE$3000,$B28&amp;"|"&amp;$D28,_calc!$A$2:$A$3000,$B$3,_calc!$C$2:$C$3000,E$6)))</f>
        <v/>
      </c>
      <c r="F28" s="50" t="str">
        <f>IF(OR($B28="",F$6=""),"",IF(COUNTIFS(_calc!$AE$2:$AE$3000,$B28&amp;"|"&amp;$D28,_calc!$A$2:$A$3000,$B$3,_calc!$C$2:$C$3000,F$6)=0,"",SUMIFS(_calc!$E$2:$E$3000,_calc!$AE$2:$AE$3000,$B28&amp;"|"&amp;$D28,_calc!$A$2:$A$3000,$B$3,_calc!$C$2:$C$3000,F$6)))</f>
        <v/>
      </c>
      <c r="G28" s="50" t="str">
        <f>IF(OR($B28="",G$6=""),"",IF(COUNTIFS(_calc!$AE$2:$AE$3000,$B28&amp;"|"&amp;$D28,_calc!$A$2:$A$3000,$B$3,_calc!$C$2:$C$3000,G$6)=0,"",SUMIFS(_calc!$E$2:$E$3000,_calc!$AE$2:$AE$3000,$B28&amp;"|"&amp;$D28,_calc!$A$2:$A$3000,$B$3,_calc!$C$2:$C$3000,G$6)))</f>
        <v/>
      </c>
      <c r="H28" s="50" t="str">
        <f>IF(OR($B28="",H$6=""),"",IF(COUNTIFS(_calc!$AE$2:$AE$3000,$B28&amp;"|"&amp;$D28,_calc!$A$2:$A$3000,$B$3,_calc!$C$2:$C$3000,H$6)=0,"",SUMIFS(_calc!$E$2:$E$3000,_calc!$AE$2:$AE$3000,$B28&amp;"|"&amp;$D28,_calc!$A$2:$A$3000,$B$3,_calc!$C$2:$C$3000,H$6)))</f>
        <v/>
      </c>
      <c r="I28" s="50" t="str">
        <f>IF(OR($B28="",I$6=""),"",IF(COUNTIFS(_calc!$AE$2:$AE$3000,$B28&amp;"|"&amp;$D28,_calc!$A$2:$A$3000,$B$3,_calc!$C$2:$C$3000,I$6)=0,"",SUMIFS(_calc!$E$2:$E$3000,_calc!$AE$2:$AE$3000,$B28&amp;"|"&amp;$D28,_calc!$A$2:$A$3000,$B$3,_calc!$C$2:$C$3000,I$6)))</f>
        <v/>
      </c>
      <c r="J28" s="50" t="str">
        <f>IF(OR($B28="",J$6=""),"",IF(COUNTIFS(_calc!$AE$2:$AE$3000,$B28&amp;"|"&amp;$D28,_calc!$A$2:$A$3000,$B$3,_calc!$C$2:$C$3000,J$6)=0,"",SUMIFS(_calc!$E$2:$E$3000,_calc!$AE$2:$AE$3000,$B28&amp;"|"&amp;$D28,_calc!$A$2:$A$3000,$B$3,_calc!$C$2:$C$3000,J$6)))</f>
        <v/>
      </c>
      <c r="K28" s="50" t="str">
        <f>IF(OR($B28="",K$6=""),"",IF(COUNTIFS(_calc!$AE$2:$AE$3000,$B28&amp;"|"&amp;$D28,_calc!$A$2:$A$3000,$B$3,_calc!$C$2:$C$3000,K$6)=0,"",SUMIFS(_calc!$E$2:$E$3000,_calc!$AE$2:$AE$3000,$B28&amp;"|"&amp;$D28,_calc!$A$2:$A$3000,$B$3,_calc!$C$2:$C$3000,K$6)))</f>
        <v/>
      </c>
      <c r="L28" s="50" t="str">
        <f>IF(OR($B28="",L$6=""),"",IF(COUNTIFS(_calc!$AE$2:$AE$3000,$B28&amp;"|"&amp;$D28,_calc!$A$2:$A$3000,$B$3,_calc!$C$2:$C$3000,L$6)=0,"",SUMIFS(_calc!$E$2:$E$3000,_calc!$AE$2:$AE$3000,$B28&amp;"|"&amp;$D28,_calc!$A$2:$A$3000,$B$3,_calc!$C$2:$C$3000,L$6)))</f>
        <v/>
      </c>
      <c r="M28" s="50" t="str">
        <f>IF(OR($B28="",M$6=""),"",IF(COUNTIFS(_calc!$AE$2:$AE$3000,$B28&amp;"|"&amp;$D28,_calc!$A$2:$A$3000,$B$3,_calc!$C$2:$C$3000,M$6)=0,"",SUMIFS(_calc!$E$2:$E$3000,_calc!$AE$2:$AE$3000,$B28&amp;"|"&amp;$D28,_calc!$A$2:$A$3000,$B$3,_calc!$C$2:$C$3000,M$6)))</f>
        <v/>
      </c>
      <c r="N28" s="50" t="str">
        <f>IF(OR($B28="",N$6=""),"",IF(COUNTIFS(_calc!$AE$2:$AE$3000,$B28&amp;"|"&amp;$D28,_calc!$A$2:$A$3000,$B$3,_calc!$C$2:$C$3000,N$6)=0,"",SUMIFS(_calc!$E$2:$E$3000,_calc!$AE$2:$AE$3000,$B28&amp;"|"&amp;$D28,_calc!$A$2:$A$3000,$B$3,_calc!$C$2:$C$3000,N$6)))</f>
        <v/>
      </c>
      <c r="O28" s="50" t="str">
        <f>IF(OR($B28="",O$6=""),"",IF(COUNTIFS(_calc!$AE$2:$AE$3000,$B28&amp;"|"&amp;$D28,_calc!$A$2:$A$3000,$B$3,_calc!$C$2:$C$3000,O$6)=0,"",SUMIFS(_calc!$E$2:$E$3000,_calc!$AE$2:$AE$3000,$B28&amp;"|"&amp;$D28,_calc!$A$2:$A$3000,$B$3,_calc!$C$2:$C$3000,O$6)))</f>
        <v/>
      </c>
      <c r="P28" s="50" t="str">
        <f>IF(OR($B28="",P$6=""),"",IF(COUNTIFS(_calc!$AE$2:$AE$3000,$B28&amp;"|"&amp;$D28,_calc!$A$2:$A$3000,$B$3,_calc!$C$2:$C$3000,P$6)=0,"",SUMIFS(_calc!$E$2:$E$3000,_calc!$AE$2:$AE$3000,$B28&amp;"|"&amp;$D28,_calc!$A$2:$A$3000,$B$3,_calc!$C$2:$C$3000,P$6)))</f>
        <v/>
      </c>
      <c r="Q28" s="50" t="str">
        <f>IF(OR($B28="",Q$6=""),"",IF(COUNTIFS(_calc!$AE$2:$AE$3000,$B28&amp;"|"&amp;$D28,_calc!$A$2:$A$3000,$B$3,_calc!$C$2:$C$3000,Q$6)=0,"",SUMIFS(_calc!$E$2:$E$3000,_calc!$AE$2:$AE$3000,$B28&amp;"|"&amp;$D28,_calc!$A$2:$A$3000,$B$3,_calc!$C$2:$C$3000,Q$6)))</f>
        <v/>
      </c>
      <c r="R28" s="50" t="str">
        <f>IF(OR($B28="",R$6=""),"",IF(COUNTIFS(_calc!$AE$2:$AE$3000,$B28&amp;"|"&amp;$D28,_calc!$A$2:$A$3000,$B$3,_calc!$C$2:$C$3000,R$6)=0,"",SUMIFS(_calc!$E$2:$E$3000,_calc!$AE$2:$AE$3000,$B28&amp;"|"&amp;$D28,_calc!$A$2:$A$3000,$B$3,_calc!$C$2:$C$3000,R$6)))</f>
        <v/>
      </c>
      <c r="S28" s="50" t="str">
        <f>IF(OR($B28="",S$6=""),"",IF(COUNTIFS(_calc!$AE$2:$AE$3000,$B28&amp;"|"&amp;$D28,_calc!$A$2:$A$3000,$B$3,_calc!$C$2:$C$3000,S$6)=0,"",SUMIFS(_calc!$E$2:$E$3000,_calc!$AE$2:$AE$3000,$B28&amp;"|"&amp;$D28,_calc!$A$2:$A$3000,$B$3,_calc!$C$2:$C$3000,S$6)))</f>
        <v/>
      </c>
      <c r="T28" s="50" t="str">
        <f>IF(OR($B28="",T$6=""),"",IF(COUNTIFS(_calc!$AE$2:$AE$3000,$B28&amp;"|"&amp;$D28,_calc!$A$2:$A$3000,$B$3,_calc!$C$2:$C$3000,T$6)=0,"",SUMIFS(_calc!$E$2:$E$3000,_calc!$AE$2:$AE$3000,$B28&amp;"|"&amp;$D28,_calc!$A$2:$A$3000,$B$3,_calc!$C$2:$C$3000,T$6)))</f>
        <v/>
      </c>
      <c r="U28" s="50" t="str">
        <f>IF(OR($B28="",U$6=""),"",IF(COUNTIFS(_calc!$AE$2:$AE$3000,$B28&amp;"|"&amp;$D28,_calc!$A$2:$A$3000,$B$3,_calc!$C$2:$C$3000,U$6)=0,"",SUMIFS(_calc!$E$2:$E$3000,_calc!$AE$2:$AE$3000,$B28&amp;"|"&amp;$D28,_calc!$A$2:$A$3000,$B$3,_calc!$C$2:$C$3000,U$6)))</f>
        <v/>
      </c>
      <c r="V28" s="50" t="str">
        <f>IF(OR($B28="",V$6=""),"",IF(COUNTIFS(_calc!$AE$2:$AE$3000,$B28&amp;"|"&amp;$D28,_calc!$A$2:$A$3000,$B$3,_calc!$C$2:$C$3000,V$6)=0,"",SUMIFS(_calc!$E$2:$E$3000,_calc!$AE$2:$AE$3000,$B28&amp;"|"&amp;$D28,_calc!$A$2:$A$3000,$B$3,_calc!$C$2:$C$3000,V$6)))</f>
        <v/>
      </c>
      <c r="W28" s="50" t="str">
        <f>IF(OR($B28="",W$6=""),"",IF(COUNTIFS(_calc!$AE$2:$AE$3000,$B28&amp;"|"&amp;$D28,_calc!$A$2:$A$3000,$B$3,_calc!$C$2:$C$3000,W$6)=0,"",SUMIFS(_calc!$E$2:$E$3000,_calc!$AE$2:$AE$3000,$B28&amp;"|"&amp;$D28,_calc!$A$2:$A$3000,$B$3,_calc!$C$2:$C$3000,W$6)))</f>
        <v/>
      </c>
      <c r="X28" s="50" t="str">
        <f>IF(OR($B28="",X$6=""),"",IF(COUNTIFS(_calc!$AE$2:$AE$3000,$B28&amp;"|"&amp;$D28,_calc!$A$2:$A$3000,$B$3,_calc!$C$2:$C$3000,X$6)=0,"",SUMIFS(_calc!$E$2:$E$3000,_calc!$AE$2:$AE$3000,$B28&amp;"|"&amp;$D28,_calc!$A$2:$A$3000,$B$3,_calc!$C$2:$C$3000,X$6)))</f>
        <v/>
      </c>
      <c r="AA28" s="51"/>
      <c r="AB28" s="52" t="str">
        <f>IFERROR(INDEX(_calc!$I$2:$I$3000,MATCH(ROW()-8,_calc!$U$2:$U$3000,0)),"")</f>
        <v/>
      </c>
    </row>
    <row r="29" spans="1:28" ht="15" x14ac:dyDescent="0.5">
      <c r="A29" s="48">
        <v>23</v>
      </c>
      <c r="B29" s="49" t="str">
        <f>IFERROR(INDEX(_calc!$I$2:$I$3000,MATCH($A29,_calc!$AB$2:$AB$3000,0)),"")</f>
        <v/>
      </c>
      <c r="C29" s="49" t="str">
        <f>IFERROR(INDEX(_calc!$H$2:$H$3000,MATCH($A29,_calc!$AB$2:$AB$3000,0)),"")</f>
        <v/>
      </c>
      <c r="D29" s="49" t="str">
        <f>IFERROR(INDEX(_calc!$K$2:$K$3000,MATCH($A29,_calc!$AB$2:$AB$3000,0)),"")</f>
        <v/>
      </c>
      <c r="E29" s="50" t="str">
        <f>IF(OR($B29="",E$6=""),"",IF(COUNTIFS(_calc!$AE$2:$AE$3000,$B29&amp;"|"&amp;$D29,_calc!$A$2:$A$3000,$B$3,_calc!$C$2:$C$3000,E$6)=0,"",SUMIFS(_calc!$E$2:$E$3000,_calc!$AE$2:$AE$3000,$B29&amp;"|"&amp;$D29,_calc!$A$2:$A$3000,$B$3,_calc!$C$2:$C$3000,E$6)))</f>
        <v/>
      </c>
      <c r="F29" s="50" t="str">
        <f>IF(OR($B29="",F$6=""),"",IF(COUNTIFS(_calc!$AE$2:$AE$3000,$B29&amp;"|"&amp;$D29,_calc!$A$2:$A$3000,$B$3,_calc!$C$2:$C$3000,F$6)=0,"",SUMIFS(_calc!$E$2:$E$3000,_calc!$AE$2:$AE$3000,$B29&amp;"|"&amp;$D29,_calc!$A$2:$A$3000,$B$3,_calc!$C$2:$C$3000,F$6)))</f>
        <v/>
      </c>
      <c r="G29" s="50" t="str">
        <f>IF(OR($B29="",G$6=""),"",IF(COUNTIFS(_calc!$AE$2:$AE$3000,$B29&amp;"|"&amp;$D29,_calc!$A$2:$A$3000,$B$3,_calc!$C$2:$C$3000,G$6)=0,"",SUMIFS(_calc!$E$2:$E$3000,_calc!$AE$2:$AE$3000,$B29&amp;"|"&amp;$D29,_calc!$A$2:$A$3000,$B$3,_calc!$C$2:$C$3000,G$6)))</f>
        <v/>
      </c>
      <c r="H29" s="50" t="str">
        <f>IF(OR($B29="",H$6=""),"",IF(COUNTIFS(_calc!$AE$2:$AE$3000,$B29&amp;"|"&amp;$D29,_calc!$A$2:$A$3000,$B$3,_calc!$C$2:$C$3000,H$6)=0,"",SUMIFS(_calc!$E$2:$E$3000,_calc!$AE$2:$AE$3000,$B29&amp;"|"&amp;$D29,_calc!$A$2:$A$3000,$B$3,_calc!$C$2:$C$3000,H$6)))</f>
        <v/>
      </c>
      <c r="I29" s="50" t="str">
        <f>IF(OR($B29="",I$6=""),"",IF(COUNTIFS(_calc!$AE$2:$AE$3000,$B29&amp;"|"&amp;$D29,_calc!$A$2:$A$3000,$B$3,_calc!$C$2:$C$3000,I$6)=0,"",SUMIFS(_calc!$E$2:$E$3000,_calc!$AE$2:$AE$3000,$B29&amp;"|"&amp;$D29,_calc!$A$2:$A$3000,$B$3,_calc!$C$2:$C$3000,I$6)))</f>
        <v/>
      </c>
      <c r="J29" s="50" t="str">
        <f>IF(OR($B29="",J$6=""),"",IF(COUNTIFS(_calc!$AE$2:$AE$3000,$B29&amp;"|"&amp;$D29,_calc!$A$2:$A$3000,$B$3,_calc!$C$2:$C$3000,J$6)=0,"",SUMIFS(_calc!$E$2:$E$3000,_calc!$AE$2:$AE$3000,$B29&amp;"|"&amp;$D29,_calc!$A$2:$A$3000,$B$3,_calc!$C$2:$C$3000,J$6)))</f>
        <v/>
      </c>
      <c r="K29" s="50" t="str">
        <f>IF(OR($B29="",K$6=""),"",IF(COUNTIFS(_calc!$AE$2:$AE$3000,$B29&amp;"|"&amp;$D29,_calc!$A$2:$A$3000,$B$3,_calc!$C$2:$C$3000,K$6)=0,"",SUMIFS(_calc!$E$2:$E$3000,_calc!$AE$2:$AE$3000,$B29&amp;"|"&amp;$D29,_calc!$A$2:$A$3000,$B$3,_calc!$C$2:$C$3000,K$6)))</f>
        <v/>
      </c>
      <c r="L29" s="50" t="str">
        <f>IF(OR($B29="",L$6=""),"",IF(COUNTIFS(_calc!$AE$2:$AE$3000,$B29&amp;"|"&amp;$D29,_calc!$A$2:$A$3000,$B$3,_calc!$C$2:$C$3000,L$6)=0,"",SUMIFS(_calc!$E$2:$E$3000,_calc!$AE$2:$AE$3000,$B29&amp;"|"&amp;$D29,_calc!$A$2:$A$3000,$B$3,_calc!$C$2:$C$3000,L$6)))</f>
        <v/>
      </c>
      <c r="M29" s="50" t="str">
        <f>IF(OR($B29="",M$6=""),"",IF(COUNTIFS(_calc!$AE$2:$AE$3000,$B29&amp;"|"&amp;$D29,_calc!$A$2:$A$3000,$B$3,_calc!$C$2:$C$3000,M$6)=0,"",SUMIFS(_calc!$E$2:$E$3000,_calc!$AE$2:$AE$3000,$B29&amp;"|"&amp;$D29,_calc!$A$2:$A$3000,$B$3,_calc!$C$2:$C$3000,M$6)))</f>
        <v/>
      </c>
      <c r="N29" s="50" t="str">
        <f>IF(OR($B29="",N$6=""),"",IF(COUNTIFS(_calc!$AE$2:$AE$3000,$B29&amp;"|"&amp;$D29,_calc!$A$2:$A$3000,$B$3,_calc!$C$2:$C$3000,N$6)=0,"",SUMIFS(_calc!$E$2:$E$3000,_calc!$AE$2:$AE$3000,$B29&amp;"|"&amp;$D29,_calc!$A$2:$A$3000,$B$3,_calc!$C$2:$C$3000,N$6)))</f>
        <v/>
      </c>
      <c r="O29" s="50" t="str">
        <f>IF(OR($B29="",O$6=""),"",IF(COUNTIFS(_calc!$AE$2:$AE$3000,$B29&amp;"|"&amp;$D29,_calc!$A$2:$A$3000,$B$3,_calc!$C$2:$C$3000,O$6)=0,"",SUMIFS(_calc!$E$2:$E$3000,_calc!$AE$2:$AE$3000,$B29&amp;"|"&amp;$D29,_calc!$A$2:$A$3000,$B$3,_calc!$C$2:$C$3000,O$6)))</f>
        <v/>
      </c>
      <c r="P29" s="50" t="str">
        <f>IF(OR($B29="",P$6=""),"",IF(COUNTIFS(_calc!$AE$2:$AE$3000,$B29&amp;"|"&amp;$D29,_calc!$A$2:$A$3000,$B$3,_calc!$C$2:$C$3000,P$6)=0,"",SUMIFS(_calc!$E$2:$E$3000,_calc!$AE$2:$AE$3000,$B29&amp;"|"&amp;$D29,_calc!$A$2:$A$3000,$B$3,_calc!$C$2:$C$3000,P$6)))</f>
        <v/>
      </c>
      <c r="Q29" s="50" t="str">
        <f>IF(OR($B29="",Q$6=""),"",IF(COUNTIFS(_calc!$AE$2:$AE$3000,$B29&amp;"|"&amp;$D29,_calc!$A$2:$A$3000,$B$3,_calc!$C$2:$C$3000,Q$6)=0,"",SUMIFS(_calc!$E$2:$E$3000,_calc!$AE$2:$AE$3000,$B29&amp;"|"&amp;$D29,_calc!$A$2:$A$3000,$B$3,_calc!$C$2:$C$3000,Q$6)))</f>
        <v/>
      </c>
      <c r="R29" s="50" t="str">
        <f>IF(OR($B29="",R$6=""),"",IF(COUNTIFS(_calc!$AE$2:$AE$3000,$B29&amp;"|"&amp;$D29,_calc!$A$2:$A$3000,$B$3,_calc!$C$2:$C$3000,R$6)=0,"",SUMIFS(_calc!$E$2:$E$3000,_calc!$AE$2:$AE$3000,$B29&amp;"|"&amp;$D29,_calc!$A$2:$A$3000,$B$3,_calc!$C$2:$C$3000,R$6)))</f>
        <v/>
      </c>
      <c r="S29" s="50" t="str">
        <f>IF(OR($B29="",S$6=""),"",IF(COUNTIFS(_calc!$AE$2:$AE$3000,$B29&amp;"|"&amp;$D29,_calc!$A$2:$A$3000,$B$3,_calc!$C$2:$C$3000,S$6)=0,"",SUMIFS(_calc!$E$2:$E$3000,_calc!$AE$2:$AE$3000,$B29&amp;"|"&amp;$D29,_calc!$A$2:$A$3000,$B$3,_calc!$C$2:$C$3000,S$6)))</f>
        <v/>
      </c>
      <c r="T29" s="50" t="str">
        <f>IF(OR($B29="",T$6=""),"",IF(COUNTIFS(_calc!$AE$2:$AE$3000,$B29&amp;"|"&amp;$D29,_calc!$A$2:$A$3000,$B$3,_calc!$C$2:$C$3000,T$6)=0,"",SUMIFS(_calc!$E$2:$E$3000,_calc!$AE$2:$AE$3000,$B29&amp;"|"&amp;$D29,_calc!$A$2:$A$3000,$B$3,_calc!$C$2:$C$3000,T$6)))</f>
        <v/>
      </c>
      <c r="U29" s="50" t="str">
        <f>IF(OR($B29="",U$6=""),"",IF(COUNTIFS(_calc!$AE$2:$AE$3000,$B29&amp;"|"&amp;$D29,_calc!$A$2:$A$3000,$B$3,_calc!$C$2:$C$3000,U$6)=0,"",SUMIFS(_calc!$E$2:$E$3000,_calc!$AE$2:$AE$3000,$B29&amp;"|"&amp;$D29,_calc!$A$2:$A$3000,$B$3,_calc!$C$2:$C$3000,U$6)))</f>
        <v/>
      </c>
      <c r="V29" s="50" t="str">
        <f>IF(OR($B29="",V$6=""),"",IF(COUNTIFS(_calc!$AE$2:$AE$3000,$B29&amp;"|"&amp;$D29,_calc!$A$2:$A$3000,$B$3,_calc!$C$2:$C$3000,V$6)=0,"",SUMIFS(_calc!$E$2:$E$3000,_calc!$AE$2:$AE$3000,$B29&amp;"|"&amp;$D29,_calc!$A$2:$A$3000,$B$3,_calc!$C$2:$C$3000,V$6)))</f>
        <v/>
      </c>
      <c r="W29" s="50" t="str">
        <f>IF(OR($B29="",W$6=""),"",IF(COUNTIFS(_calc!$AE$2:$AE$3000,$B29&amp;"|"&amp;$D29,_calc!$A$2:$A$3000,$B$3,_calc!$C$2:$C$3000,W$6)=0,"",SUMIFS(_calc!$E$2:$E$3000,_calc!$AE$2:$AE$3000,$B29&amp;"|"&amp;$D29,_calc!$A$2:$A$3000,$B$3,_calc!$C$2:$C$3000,W$6)))</f>
        <v/>
      </c>
      <c r="X29" s="50" t="str">
        <f>IF(OR($B29="",X$6=""),"",IF(COUNTIFS(_calc!$AE$2:$AE$3000,$B29&amp;"|"&amp;$D29,_calc!$A$2:$A$3000,$B$3,_calc!$C$2:$C$3000,X$6)=0,"",SUMIFS(_calc!$E$2:$E$3000,_calc!$AE$2:$AE$3000,$B29&amp;"|"&amp;$D29,_calc!$A$2:$A$3000,$B$3,_calc!$C$2:$C$3000,X$6)))</f>
        <v/>
      </c>
      <c r="AA29" s="51"/>
      <c r="AB29" s="52" t="str">
        <f>IFERROR(INDEX(_calc!$I$2:$I$3000,MATCH(ROW()-8,_calc!$U$2:$U$3000,0)),"")</f>
        <v/>
      </c>
    </row>
    <row r="30" spans="1:28" ht="15" x14ac:dyDescent="0.5">
      <c r="A30" s="48">
        <v>24</v>
      </c>
      <c r="B30" s="49" t="str">
        <f>IFERROR(INDEX(_calc!$I$2:$I$3000,MATCH($A30,_calc!$AB$2:$AB$3000,0)),"")</f>
        <v/>
      </c>
      <c r="C30" s="49" t="str">
        <f>IFERROR(INDEX(_calc!$H$2:$H$3000,MATCH($A30,_calc!$AB$2:$AB$3000,0)),"")</f>
        <v/>
      </c>
      <c r="D30" s="49" t="str">
        <f>IFERROR(INDEX(_calc!$K$2:$K$3000,MATCH($A30,_calc!$AB$2:$AB$3000,0)),"")</f>
        <v/>
      </c>
      <c r="E30" s="50" t="str">
        <f>IF(OR($B30="",E$6=""),"",IF(COUNTIFS(_calc!$AE$2:$AE$3000,$B30&amp;"|"&amp;$D30,_calc!$A$2:$A$3000,$B$3,_calc!$C$2:$C$3000,E$6)=0,"",SUMIFS(_calc!$E$2:$E$3000,_calc!$AE$2:$AE$3000,$B30&amp;"|"&amp;$D30,_calc!$A$2:$A$3000,$B$3,_calc!$C$2:$C$3000,E$6)))</f>
        <v/>
      </c>
      <c r="F30" s="50" t="str">
        <f>IF(OR($B30="",F$6=""),"",IF(COUNTIFS(_calc!$AE$2:$AE$3000,$B30&amp;"|"&amp;$D30,_calc!$A$2:$A$3000,$B$3,_calc!$C$2:$C$3000,F$6)=0,"",SUMIFS(_calc!$E$2:$E$3000,_calc!$AE$2:$AE$3000,$B30&amp;"|"&amp;$D30,_calc!$A$2:$A$3000,$B$3,_calc!$C$2:$C$3000,F$6)))</f>
        <v/>
      </c>
      <c r="G30" s="50" t="str">
        <f>IF(OR($B30="",G$6=""),"",IF(COUNTIFS(_calc!$AE$2:$AE$3000,$B30&amp;"|"&amp;$D30,_calc!$A$2:$A$3000,$B$3,_calc!$C$2:$C$3000,G$6)=0,"",SUMIFS(_calc!$E$2:$E$3000,_calc!$AE$2:$AE$3000,$B30&amp;"|"&amp;$D30,_calc!$A$2:$A$3000,$B$3,_calc!$C$2:$C$3000,G$6)))</f>
        <v/>
      </c>
      <c r="H30" s="50" t="str">
        <f>IF(OR($B30="",H$6=""),"",IF(COUNTIFS(_calc!$AE$2:$AE$3000,$B30&amp;"|"&amp;$D30,_calc!$A$2:$A$3000,$B$3,_calc!$C$2:$C$3000,H$6)=0,"",SUMIFS(_calc!$E$2:$E$3000,_calc!$AE$2:$AE$3000,$B30&amp;"|"&amp;$D30,_calc!$A$2:$A$3000,$B$3,_calc!$C$2:$C$3000,H$6)))</f>
        <v/>
      </c>
      <c r="I30" s="50" t="str">
        <f>IF(OR($B30="",I$6=""),"",IF(COUNTIFS(_calc!$AE$2:$AE$3000,$B30&amp;"|"&amp;$D30,_calc!$A$2:$A$3000,$B$3,_calc!$C$2:$C$3000,I$6)=0,"",SUMIFS(_calc!$E$2:$E$3000,_calc!$AE$2:$AE$3000,$B30&amp;"|"&amp;$D30,_calc!$A$2:$A$3000,$B$3,_calc!$C$2:$C$3000,I$6)))</f>
        <v/>
      </c>
      <c r="J30" s="50" t="str">
        <f>IF(OR($B30="",J$6=""),"",IF(COUNTIFS(_calc!$AE$2:$AE$3000,$B30&amp;"|"&amp;$D30,_calc!$A$2:$A$3000,$B$3,_calc!$C$2:$C$3000,J$6)=0,"",SUMIFS(_calc!$E$2:$E$3000,_calc!$AE$2:$AE$3000,$B30&amp;"|"&amp;$D30,_calc!$A$2:$A$3000,$B$3,_calc!$C$2:$C$3000,J$6)))</f>
        <v/>
      </c>
      <c r="K30" s="50" t="str">
        <f>IF(OR($B30="",K$6=""),"",IF(COUNTIFS(_calc!$AE$2:$AE$3000,$B30&amp;"|"&amp;$D30,_calc!$A$2:$A$3000,$B$3,_calc!$C$2:$C$3000,K$6)=0,"",SUMIFS(_calc!$E$2:$E$3000,_calc!$AE$2:$AE$3000,$B30&amp;"|"&amp;$D30,_calc!$A$2:$A$3000,$B$3,_calc!$C$2:$C$3000,K$6)))</f>
        <v/>
      </c>
      <c r="L30" s="50" t="str">
        <f>IF(OR($B30="",L$6=""),"",IF(COUNTIFS(_calc!$AE$2:$AE$3000,$B30&amp;"|"&amp;$D30,_calc!$A$2:$A$3000,$B$3,_calc!$C$2:$C$3000,L$6)=0,"",SUMIFS(_calc!$E$2:$E$3000,_calc!$AE$2:$AE$3000,$B30&amp;"|"&amp;$D30,_calc!$A$2:$A$3000,$B$3,_calc!$C$2:$C$3000,L$6)))</f>
        <v/>
      </c>
      <c r="M30" s="50" t="str">
        <f>IF(OR($B30="",M$6=""),"",IF(COUNTIFS(_calc!$AE$2:$AE$3000,$B30&amp;"|"&amp;$D30,_calc!$A$2:$A$3000,$B$3,_calc!$C$2:$C$3000,M$6)=0,"",SUMIFS(_calc!$E$2:$E$3000,_calc!$AE$2:$AE$3000,$B30&amp;"|"&amp;$D30,_calc!$A$2:$A$3000,$B$3,_calc!$C$2:$C$3000,M$6)))</f>
        <v/>
      </c>
      <c r="N30" s="50" t="str">
        <f>IF(OR($B30="",N$6=""),"",IF(COUNTIFS(_calc!$AE$2:$AE$3000,$B30&amp;"|"&amp;$D30,_calc!$A$2:$A$3000,$B$3,_calc!$C$2:$C$3000,N$6)=0,"",SUMIFS(_calc!$E$2:$E$3000,_calc!$AE$2:$AE$3000,$B30&amp;"|"&amp;$D30,_calc!$A$2:$A$3000,$B$3,_calc!$C$2:$C$3000,N$6)))</f>
        <v/>
      </c>
      <c r="O30" s="50" t="str">
        <f>IF(OR($B30="",O$6=""),"",IF(COUNTIFS(_calc!$AE$2:$AE$3000,$B30&amp;"|"&amp;$D30,_calc!$A$2:$A$3000,$B$3,_calc!$C$2:$C$3000,O$6)=0,"",SUMIFS(_calc!$E$2:$E$3000,_calc!$AE$2:$AE$3000,$B30&amp;"|"&amp;$D30,_calc!$A$2:$A$3000,$B$3,_calc!$C$2:$C$3000,O$6)))</f>
        <v/>
      </c>
      <c r="P30" s="50" t="str">
        <f>IF(OR($B30="",P$6=""),"",IF(COUNTIFS(_calc!$AE$2:$AE$3000,$B30&amp;"|"&amp;$D30,_calc!$A$2:$A$3000,$B$3,_calc!$C$2:$C$3000,P$6)=0,"",SUMIFS(_calc!$E$2:$E$3000,_calc!$AE$2:$AE$3000,$B30&amp;"|"&amp;$D30,_calc!$A$2:$A$3000,$B$3,_calc!$C$2:$C$3000,P$6)))</f>
        <v/>
      </c>
      <c r="Q30" s="50" t="str">
        <f>IF(OR($B30="",Q$6=""),"",IF(COUNTIFS(_calc!$AE$2:$AE$3000,$B30&amp;"|"&amp;$D30,_calc!$A$2:$A$3000,$B$3,_calc!$C$2:$C$3000,Q$6)=0,"",SUMIFS(_calc!$E$2:$E$3000,_calc!$AE$2:$AE$3000,$B30&amp;"|"&amp;$D30,_calc!$A$2:$A$3000,$B$3,_calc!$C$2:$C$3000,Q$6)))</f>
        <v/>
      </c>
      <c r="R30" s="50" t="str">
        <f>IF(OR($B30="",R$6=""),"",IF(COUNTIFS(_calc!$AE$2:$AE$3000,$B30&amp;"|"&amp;$D30,_calc!$A$2:$A$3000,$B$3,_calc!$C$2:$C$3000,R$6)=0,"",SUMIFS(_calc!$E$2:$E$3000,_calc!$AE$2:$AE$3000,$B30&amp;"|"&amp;$D30,_calc!$A$2:$A$3000,$B$3,_calc!$C$2:$C$3000,R$6)))</f>
        <v/>
      </c>
      <c r="S30" s="50" t="str">
        <f>IF(OR($B30="",S$6=""),"",IF(COUNTIFS(_calc!$AE$2:$AE$3000,$B30&amp;"|"&amp;$D30,_calc!$A$2:$A$3000,$B$3,_calc!$C$2:$C$3000,S$6)=0,"",SUMIFS(_calc!$E$2:$E$3000,_calc!$AE$2:$AE$3000,$B30&amp;"|"&amp;$D30,_calc!$A$2:$A$3000,$B$3,_calc!$C$2:$C$3000,S$6)))</f>
        <v/>
      </c>
      <c r="T30" s="50" t="str">
        <f>IF(OR($B30="",T$6=""),"",IF(COUNTIFS(_calc!$AE$2:$AE$3000,$B30&amp;"|"&amp;$D30,_calc!$A$2:$A$3000,$B$3,_calc!$C$2:$C$3000,T$6)=0,"",SUMIFS(_calc!$E$2:$E$3000,_calc!$AE$2:$AE$3000,$B30&amp;"|"&amp;$D30,_calc!$A$2:$A$3000,$B$3,_calc!$C$2:$C$3000,T$6)))</f>
        <v/>
      </c>
      <c r="U30" s="50" t="str">
        <f>IF(OR($B30="",U$6=""),"",IF(COUNTIFS(_calc!$AE$2:$AE$3000,$B30&amp;"|"&amp;$D30,_calc!$A$2:$A$3000,$B$3,_calc!$C$2:$C$3000,U$6)=0,"",SUMIFS(_calc!$E$2:$E$3000,_calc!$AE$2:$AE$3000,$B30&amp;"|"&amp;$D30,_calc!$A$2:$A$3000,$B$3,_calc!$C$2:$C$3000,U$6)))</f>
        <v/>
      </c>
      <c r="V30" s="50" t="str">
        <f>IF(OR($B30="",V$6=""),"",IF(COUNTIFS(_calc!$AE$2:$AE$3000,$B30&amp;"|"&amp;$D30,_calc!$A$2:$A$3000,$B$3,_calc!$C$2:$C$3000,V$6)=0,"",SUMIFS(_calc!$E$2:$E$3000,_calc!$AE$2:$AE$3000,$B30&amp;"|"&amp;$D30,_calc!$A$2:$A$3000,$B$3,_calc!$C$2:$C$3000,V$6)))</f>
        <v/>
      </c>
      <c r="W30" s="50" t="str">
        <f>IF(OR($B30="",W$6=""),"",IF(COUNTIFS(_calc!$AE$2:$AE$3000,$B30&amp;"|"&amp;$D30,_calc!$A$2:$A$3000,$B$3,_calc!$C$2:$C$3000,W$6)=0,"",SUMIFS(_calc!$E$2:$E$3000,_calc!$AE$2:$AE$3000,$B30&amp;"|"&amp;$D30,_calc!$A$2:$A$3000,$B$3,_calc!$C$2:$C$3000,W$6)))</f>
        <v/>
      </c>
      <c r="X30" s="50" t="str">
        <f>IF(OR($B30="",X$6=""),"",IF(COUNTIFS(_calc!$AE$2:$AE$3000,$B30&amp;"|"&amp;$D30,_calc!$A$2:$A$3000,$B$3,_calc!$C$2:$C$3000,X$6)=0,"",SUMIFS(_calc!$E$2:$E$3000,_calc!$AE$2:$AE$3000,$B30&amp;"|"&amp;$D30,_calc!$A$2:$A$3000,$B$3,_calc!$C$2:$C$3000,X$6)))</f>
        <v/>
      </c>
      <c r="AA30" s="51"/>
      <c r="AB30" s="52" t="str">
        <f>IFERROR(INDEX(_calc!$I$2:$I$3000,MATCH(ROW()-8,_calc!$U$2:$U$3000,0)),"")</f>
        <v/>
      </c>
    </row>
    <row r="31" spans="1:28" ht="15" x14ac:dyDescent="0.5">
      <c r="A31" s="48">
        <v>25</v>
      </c>
      <c r="B31" s="49" t="str">
        <f>IFERROR(INDEX(_calc!$I$2:$I$3000,MATCH($A31,_calc!$AB$2:$AB$3000,0)),"")</f>
        <v/>
      </c>
      <c r="C31" s="49" t="str">
        <f>IFERROR(INDEX(_calc!$H$2:$H$3000,MATCH($A31,_calc!$AB$2:$AB$3000,0)),"")</f>
        <v/>
      </c>
      <c r="D31" s="49" t="str">
        <f>IFERROR(INDEX(_calc!$K$2:$K$3000,MATCH($A31,_calc!$AB$2:$AB$3000,0)),"")</f>
        <v/>
      </c>
      <c r="E31" s="50" t="str">
        <f>IF(OR($B31="",E$6=""),"",IF(COUNTIFS(_calc!$AE$2:$AE$3000,$B31&amp;"|"&amp;$D31,_calc!$A$2:$A$3000,$B$3,_calc!$C$2:$C$3000,E$6)=0,"",SUMIFS(_calc!$E$2:$E$3000,_calc!$AE$2:$AE$3000,$B31&amp;"|"&amp;$D31,_calc!$A$2:$A$3000,$B$3,_calc!$C$2:$C$3000,E$6)))</f>
        <v/>
      </c>
      <c r="F31" s="50" t="str">
        <f>IF(OR($B31="",F$6=""),"",IF(COUNTIFS(_calc!$AE$2:$AE$3000,$B31&amp;"|"&amp;$D31,_calc!$A$2:$A$3000,$B$3,_calc!$C$2:$C$3000,F$6)=0,"",SUMIFS(_calc!$E$2:$E$3000,_calc!$AE$2:$AE$3000,$B31&amp;"|"&amp;$D31,_calc!$A$2:$A$3000,$B$3,_calc!$C$2:$C$3000,F$6)))</f>
        <v/>
      </c>
      <c r="G31" s="50" t="str">
        <f>IF(OR($B31="",G$6=""),"",IF(COUNTIFS(_calc!$AE$2:$AE$3000,$B31&amp;"|"&amp;$D31,_calc!$A$2:$A$3000,$B$3,_calc!$C$2:$C$3000,G$6)=0,"",SUMIFS(_calc!$E$2:$E$3000,_calc!$AE$2:$AE$3000,$B31&amp;"|"&amp;$D31,_calc!$A$2:$A$3000,$B$3,_calc!$C$2:$C$3000,G$6)))</f>
        <v/>
      </c>
      <c r="H31" s="50" t="str">
        <f>IF(OR($B31="",H$6=""),"",IF(COUNTIFS(_calc!$AE$2:$AE$3000,$B31&amp;"|"&amp;$D31,_calc!$A$2:$A$3000,$B$3,_calc!$C$2:$C$3000,H$6)=0,"",SUMIFS(_calc!$E$2:$E$3000,_calc!$AE$2:$AE$3000,$B31&amp;"|"&amp;$D31,_calc!$A$2:$A$3000,$B$3,_calc!$C$2:$C$3000,H$6)))</f>
        <v/>
      </c>
      <c r="I31" s="50" t="str">
        <f>IF(OR($B31="",I$6=""),"",IF(COUNTIFS(_calc!$AE$2:$AE$3000,$B31&amp;"|"&amp;$D31,_calc!$A$2:$A$3000,$B$3,_calc!$C$2:$C$3000,I$6)=0,"",SUMIFS(_calc!$E$2:$E$3000,_calc!$AE$2:$AE$3000,$B31&amp;"|"&amp;$D31,_calc!$A$2:$A$3000,$B$3,_calc!$C$2:$C$3000,I$6)))</f>
        <v/>
      </c>
      <c r="J31" s="50" t="str">
        <f>IF(OR($B31="",J$6=""),"",IF(COUNTIFS(_calc!$AE$2:$AE$3000,$B31&amp;"|"&amp;$D31,_calc!$A$2:$A$3000,$B$3,_calc!$C$2:$C$3000,J$6)=0,"",SUMIFS(_calc!$E$2:$E$3000,_calc!$AE$2:$AE$3000,$B31&amp;"|"&amp;$D31,_calc!$A$2:$A$3000,$B$3,_calc!$C$2:$C$3000,J$6)))</f>
        <v/>
      </c>
      <c r="K31" s="50" t="str">
        <f>IF(OR($B31="",K$6=""),"",IF(COUNTIFS(_calc!$AE$2:$AE$3000,$B31&amp;"|"&amp;$D31,_calc!$A$2:$A$3000,$B$3,_calc!$C$2:$C$3000,K$6)=0,"",SUMIFS(_calc!$E$2:$E$3000,_calc!$AE$2:$AE$3000,$B31&amp;"|"&amp;$D31,_calc!$A$2:$A$3000,$B$3,_calc!$C$2:$C$3000,K$6)))</f>
        <v/>
      </c>
      <c r="L31" s="50" t="str">
        <f>IF(OR($B31="",L$6=""),"",IF(COUNTIFS(_calc!$AE$2:$AE$3000,$B31&amp;"|"&amp;$D31,_calc!$A$2:$A$3000,$B$3,_calc!$C$2:$C$3000,L$6)=0,"",SUMIFS(_calc!$E$2:$E$3000,_calc!$AE$2:$AE$3000,$B31&amp;"|"&amp;$D31,_calc!$A$2:$A$3000,$B$3,_calc!$C$2:$C$3000,L$6)))</f>
        <v/>
      </c>
      <c r="M31" s="50" t="str">
        <f>IF(OR($B31="",M$6=""),"",IF(COUNTIFS(_calc!$AE$2:$AE$3000,$B31&amp;"|"&amp;$D31,_calc!$A$2:$A$3000,$B$3,_calc!$C$2:$C$3000,M$6)=0,"",SUMIFS(_calc!$E$2:$E$3000,_calc!$AE$2:$AE$3000,$B31&amp;"|"&amp;$D31,_calc!$A$2:$A$3000,$B$3,_calc!$C$2:$C$3000,M$6)))</f>
        <v/>
      </c>
      <c r="N31" s="50" t="str">
        <f>IF(OR($B31="",N$6=""),"",IF(COUNTIFS(_calc!$AE$2:$AE$3000,$B31&amp;"|"&amp;$D31,_calc!$A$2:$A$3000,$B$3,_calc!$C$2:$C$3000,N$6)=0,"",SUMIFS(_calc!$E$2:$E$3000,_calc!$AE$2:$AE$3000,$B31&amp;"|"&amp;$D31,_calc!$A$2:$A$3000,$B$3,_calc!$C$2:$C$3000,N$6)))</f>
        <v/>
      </c>
      <c r="O31" s="50" t="str">
        <f>IF(OR($B31="",O$6=""),"",IF(COUNTIFS(_calc!$AE$2:$AE$3000,$B31&amp;"|"&amp;$D31,_calc!$A$2:$A$3000,$B$3,_calc!$C$2:$C$3000,O$6)=0,"",SUMIFS(_calc!$E$2:$E$3000,_calc!$AE$2:$AE$3000,$B31&amp;"|"&amp;$D31,_calc!$A$2:$A$3000,$B$3,_calc!$C$2:$C$3000,O$6)))</f>
        <v/>
      </c>
      <c r="P31" s="50" t="str">
        <f>IF(OR($B31="",P$6=""),"",IF(COUNTIFS(_calc!$AE$2:$AE$3000,$B31&amp;"|"&amp;$D31,_calc!$A$2:$A$3000,$B$3,_calc!$C$2:$C$3000,P$6)=0,"",SUMIFS(_calc!$E$2:$E$3000,_calc!$AE$2:$AE$3000,$B31&amp;"|"&amp;$D31,_calc!$A$2:$A$3000,$B$3,_calc!$C$2:$C$3000,P$6)))</f>
        <v/>
      </c>
      <c r="Q31" s="50" t="str">
        <f>IF(OR($B31="",Q$6=""),"",IF(COUNTIFS(_calc!$AE$2:$AE$3000,$B31&amp;"|"&amp;$D31,_calc!$A$2:$A$3000,$B$3,_calc!$C$2:$C$3000,Q$6)=0,"",SUMIFS(_calc!$E$2:$E$3000,_calc!$AE$2:$AE$3000,$B31&amp;"|"&amp;$D31,_calc!$A$2:$A$3000,$B$3,_calc!$C$2:$C$3000,Q$6)))</f>
        <v/>
      </c>
      <c r="R31" s="50" t="str">
        <f>IF(OR($B31="",R$6=""),"",IF(COUNTIFS(_calc!$AE$2:$AE$3000,$B31&amp;"|"&amp;$D31,_calc!$A$2:$A$3000,$B$3,_calc!$C$2:$C$3000,R$6)=0,"",SUMIFS(_calc!$E$2:$E$3000,_calc!$AE$2:$AE$3000,$B31&amp;"|"&amp;$D31,_calc!$A$2:$A$3000,$B$3,_calc!$C$2:$C$3000,R$6)))</f>
        <v/>
      </c>
      <c r="S31" s="50" t="str">
        <f>IF(OR($B31="",S$6=""),"",IF(COUNTIFS(_calc!$AE$2:$AE$3000,$B31&amp;"|"&amp;$D31,_calc!$A$2:$A$3000,$B$3,_calc!$C$2:$C$3000,S$6)=0,"",SUMIFS(_calc!$E$2:$E$3000,_calc!$AE$2:$AE$3000,$B31&amp;"|"&amp;$D31,_calc!$A$2:$A$3000,$B$3,_calc!$C$2:$C$3000,S$6)))</f>
        <v/>
      </c>
      <c r="T31" s="50" t="str">
        <f>IF(OR($B31="",T$6=""),"",IF(COUNTIFS(_calc!$AE$2:$AE$3000,$B31&amp;"|"&amp;$D31,_calc!$A$2:$A$3000,$B$3,_calc!$C$2:$C$3000,T$6)=0,"",SUMIFS(_calc!$E$2:$E$3000,_calc!$AE$2:$AE$3000,$B31&amp;"|"&amp;$D31,_calc!$A$2:$A$3000,$B$3,_calc!$C$2:$C$3000,T$6)))</f>
        <v/>
      </c>
      <c r="U31" s="50" t="str">
        <f>IF(OR($B31="",U$6=""),"",IF(COUNTIFS(_calc!$AE$2:$AE$3000,$B31&amp;"|"&amp;$D31,_calc!$A$2:$A$3000,$B$3,_calc!$C$2:$C$3000,U$6)=0,"",SUMIFS(_calc!$E$2:$E$3000,_calc!$AE$2:$AE$3000,$B31&amp;"|"&amp;$D31,_calc!$A$2:$A$3000,$B$3,_calc!$C$2:$C$3000,U$6)))</f>
        <v/>
      </c>
      <c r="V31" s="50" t="str">
        <f>IF(OR($B31="",V$6=""),"",IF(COUNTIFS(_calc!$AE$2:$AE$3000,$B31&amp;"|"&amp;$D31,_calc!$A$2:$A$3000,$B$3,_calc!$C$2:$C$3000,V$6)=0,"",SUMIFS(_calc!$E$2:$E$3000,_calc!$AE$2:$AE$3000,$B31&amp;"|"&amp;$D31,_calc!$A$2:$A$3000,$B$3,_calc!$C$2:$C$3000,V$6)))</f>
        <v/>
      </c>
      <c r="W31" s="50" t="str">
        <f>IF(OR($B31="",W$6=""),"",IF(COUNTIFS(_calc!$AE$2:$AE$3000,$B31&amp;"|"&amp;$D31,_calc!$A$2:$A$3000,$B$3,_calc!$C$2:$C$3000,W$6)=0,"",SUMIFS(_calc!$E$2:$E$3000,_calc!$AE$2:$AE$3000,$B31&amp;"|"&amp;$D31,_calc!$A$2:$A$3000,$B$3,_calc!$C$2:$C$3000,W$6)))</f>
        <v/>
      </c>
      <c r="X31" s="50" t="str">
        <f>IF(OR($B31="",X$6=""),"",IF(COUNTIFS(_calc!$AE$2:$AE$3000,$B31&amp;"|"&amp;$D31,_calc!$A$2:$A$3000,$B$3,_calc!$C$2:$C$3000,X$6)=0,"",SUMIFS(_calc!$E$2:$E$3000,_calc!$AE$2:$AE$3000,$B31&amp;"|"&amp;$D31,_calc!$A$2:$A$3000,$B$3,_calc!$C$2:$C$3000,X$6)))</f>
        <v/>
      </c>
      <c r="AA31" s="51"/>
      <c r="AB31" s="52" t="str">
        <f>IFERROR(INDEX(_calc!$I$2:$I$3000,MATCH(ROW()-8,_calc!$U$2:$U$3000,0)),"")</f>
        <v/>
      </c>
    </row>
    <row r="32" spans="1:28" ht="15" x14ac:dyDescent="0.5">
      <c r="A32" s="48">
        <v>26</v>
      </c>
      <c r="B32" s="49" t="str">
        <f>IFERROR(INDEX(_calc!$I$2:$I$3000,MATCH($A32,_calc!$AB$2:$AB$3000,0)),"")</f>
        <v/>
      </c>
      <c r="C32" s="49" t="str">
        <f>IFERROR(INDEX(_calc!$H$2:$H$3000,MATCH($A32,_calc!$AB$2:$AB$3000,0)),"")</f>
        <v/>
      </c>
      <c r="D32" s="49" t="str">
        <f>IFERROR(INDEX(_calc!$K$2:$K$3000,MATCH($A32,_calc!$AB$2:$AB$3000,0)),"")</f>
        <v/>
      </c>
      <c r="E32" s="50" t="str">
        <f>IF(OR($B32="",E$6=""),"",IF(COUNTIFS(_calc!$AE$2:$AE$3000,$B32&amp;"|"&amp;$D32,_calc!$A$2:$A$3000,$B$3,_calc!$C$2:$C$3000,E$6)=0,"",SUMIFS(_calc!$E$2:$E$3000,_calc!$AE$2:$AE$3000,$B32&amp;"|"&amp;$D32,_calc!$A$2:$A$3000,$B$3,_calc!$C$2:$C$3000,E$6)))</f>
        <v/>
      </c>
      <c r="F32" s="50" t="str">
        <f>IF(OR($B32="",F$6=""),"",IF(COUNTIFS(_calc!$AE$2:$AE$3000,$B32&amp;"|"&amp;$D32,_calc!$A$2:$A$3000,$B$3,_calc!$C$2:$C$3000,F$6)=0,"",SUMIFS(_calc!$E$2:$E$3000,_calc!$AE$2:$AE$3000,$B32&amp;"|"&amp;$D32,_calc!$A$2:$A$3000,$B$3,_calc!$C$2:$C$3000,F$6)))</f>
        <v/>
      </c>
      <c r="G32" s="50" t="str">
        <f>IF(OR($B32="",G$6=""),"",IF(COUNTIFS(_calc!$AE$2:$AE$3000,$B32&amp;"|"&amp;$D32,_calc!$A$2:$A$3000,$B$3,_calc!$C$2:$C$3000,G$6)=0,"",SUMIFS(_calc!$E$2:$E$3000,_calc!$AE$2:$AE$3000,$B32&amp;"|"&amp;$D32,_calc!$A$2:$A$3000,$B$3,_calc!$C$2:$C$3000,G$6)))</f>
        <v/>
      </c>
      <c r="H32" s="50" t="str">
        <f>IF(OR($B32="",H$6=""),"",IF(COUNTIFS(_calc!$AE$2:$AE$3000,$B32&amp;"|"&amp;$D32,_calc!$A$2:$A$3000,$B$3,_calc!$C$2:$C$3000,H$6)=0,"",SUMIFS(_calc!$E$2:$E$3000,_calc!$AE$2:$AE$3000,$B32&amp;"|"&amp;$D32,_calc!$A$2:$A$3000,$B$3,_calc!$C$2:$C$3000,H$6)))</f>
        <v/>
      </c>
      <c r="I32" s="50" t="str">
        <f>IF(OR($B32="",I$6=""),"",IF(COUNTIFS(_calc!$AE$2:$AE$3000,$B32&amp;"|"&amp;$D32,_calc!$A$2:$A$3000,$B$3,_calc!$C$2:$C$3000,I$6)=0,"",SUMIFS(_calc!$E$2:$E$3000,_calc!$AE$2:$AE$3000,$B32&amp;"|"&amp;$D32,_calc!$A$2:$A$3000,$B$3,_calc!$C$2:$C$3000,I$6)))</f>
        <v/>
      </c>
      <c r="J32" s="50" t="str">
        <f>IF(OR($B32="",J$6=""),"",IF(COUNTIFS(_calc!$AE$2:$AE$3000,$B32&amp;"|"&amp;$D32,_calc!$A$2:$A$3000,$B$3,_calc!$C$2:$C$3000,J$6)=0,"",SUMIFS(_calc!$E$2:$E$3000,_calc!$AE$2:$AE$3000,$B32&amp;"|"&amp;$D32,_calc!$A$2:$A$3000,$B$3,_calc!$C$2:$C$3000,J$6)))</f>
        <v/>
      </c>
      <c r="K32" s="50" t="str">
        <f>IF(OR($B32="",K$6=""),"",IF(COUNTIFS(_calc!$AE$2:$AE$3000,$B32&amp;"|"&amp;$D32,_calc!$A$2:$A$3000,$B$3,_calc!$C$2:$C$3000,K$6)=0,"",SUMIFS(_calc!$E$2:$E$3000,_calc!$AE$2:$AE$3000,$B32&amp;"|"&amp;$D32,_calc!$A$2:$A$3000,$B$3,_calc!$C$2:$C$3000,K$6)))</f>
        <v/>
      </c>
      <c r="L32" s="50" t="str">
        <f>IF(OR($B32="",L$6=""),"",IF(COUNTIFS(_calc!$AE$2:$AE$3000,$B32&amp;"|"&amp;$D32,_calc!$A$2:$A$3000,$B$3,_calc!$C$2:$C$3000,L$6)=0,"",SUMIFS(_calc!$E$2:$E$3000,_calc!$AE$2:$AE$3000,$B32&amp;"|"&amp;$D32,_calc!$A$2:$A$3000,$B$3,_calc!$C$2:$C$3000,L$6)))</f>
        <v/>
      </c>
      <c r="M32" s="50" t="str">
        <f>IF(OR($B32="",M$6=""),"",IF(COUNTIFS(_calc!$AE$2:$AE$3000,$B32&amp;"|"&amp;$D32,_calc!$A$2:$A$3000,$B$3,_calc!$C$2:$C$3000,M$6)=0,"",SUMIFS(_calc!$E$2:$E$3000,_calc!$AE$2:$AE$3000,$B32&amp;"|"&amp;$D32,_calc!$A$2:$A$3000,$B$3,_calc!$C$2:$C$3000,M$6)))</f>
        <v/>
      </c>
      <c r="N32" s="50" t="str">
        <f>IF(OR($B32="",N$6=""),"",IF(COUNTIFS(_calc!$AE$2:$AE$3000,$B32&amp;"|"&amp;$D32,_calc!$A$2:$A$3000,$B$3,_calc!$C$2:$C$3000,N$6)=0,"",SUMIFS(_calc!$E$2:$E$3000,_calc!$AE$2:$AE$3000,$B32&amp;"|"&amp;$D32,_calc!$A$2:$A$3000,$B$3,_calc!$C$2:$C$3000,N$6)))</f>
        <v/>
      </c>
      <c r="O32" s="50" t="str">
        <f>IF(OR($B32="",O$6=""),"",IF(COUNTIFS(_calc!$AE$2:$AE$3000,$B32&amp;"|"&amp;$D32,_calc!$A$2:$A$3000,$B$3,_calc!$C$2:$C$3000,O$6)=0,"",SUMIFS(_calc!$E$2:$E$3000,_calc!$AE$2:$AE$3000,$B32&amp;"|"&amp;$D32,_calc!$A$2:$A$3000,$B$3,_calc!$C$2:$C$3000,O$6)))</f>
        <v/>
      </c>
      <c r="P32" s="50" t="str">
        <f>IF(OR($B32="",P$6=""),"",IF(COUNTIFS(_calc!$AE$2:$AE$3000,$B32&amp;"|"&amp;$D32,_calc!$A$2:$A$3000,$B$3,_calc!$C$2:$C$3000,P$6)=0,"",SUMIFS(_calc!$E$2:$E$3000,_calc!$AE$2:$AE$3000,$B32&amp;"|"&amp;$D32,_calc!$A$2:$A$3000,$B$3,_calc!$C$2:$C$3000,P$6)))</f>
        <v/>
      </c>
      <c r="Q32" s="50" t="str">
        <f>IF(OR($B32="",Q$6=""),"",IF(COUNTIFS(_calc!$AE$2:$AE$3000,$B32&amp;"|"&amp;$D32,_calc!$A$2:$A$3000,$B$3,_calc!$C$2:$C$3000,Q$6)=0,"",SUMIFS(_calc!$E$2:$E$3000,_calc!$AE$2:$AE$3000,$B32&amp;"|"&amp;$D32,_calc!$A$2:$A$3000,$B$3,_calc!$C$2:$C$3000,Q$6)))</f>
        <v/>
      </c>
      <c r="R32" s="50" t="str">
        <f>IF(OR($B32="",R$6=""),"",IF(COUNTIFS(_calc!$AE$2:$AE$3000,$B32&amp;"|"&amp;$D32,_calc!$A$2:$A$3000,$B$3,_calc!$C$2:$C$3000,R$6)=0,"",SUMIFS(_calc!$E$2:$E$3000,_calc!$AE$2:$AE$3000,$B32&amp;"|"&amp;$D32,_calc!$A$2:$A$3000,$B$3,_calc!$C$2:$C$3000,R$6)))</f>
        <v/>
      </c>
      <c r="S32" s="50" t="str">
        <f>IF(OR($B32="",S$6=""),"",IF(COUNTIFS(_calc!$AE$2:$AE$3000,$B32&amp;"|"&amp;$D32,_calc!$A$2:$A$3000,$B$3,_calc!$C$2:$C$3000,S$6)=0,"",SUMIFS(_calc!$E$2:$E$3000,_calc!$AE$2:$AE$3000,$B32&amp;"|"&amp;$D32,_calc!$A$2:$A$3000,$B$3,_calc!$C$2:$C$3000,S$6)))</f>
        <v/>
      </c>
      <c r="T32" s="50" t="str">
        <f>IF(OR($B32="",T$6=""),"",IF(COUNTIFS(_calc!$AE$2:$AE$3000,$B32&amp;"|"&amp;$D32,_calc!$A$2:$A$3000,$B$3,_calc!$C$2:$C$3000,T$6)=0,"",SUMIFS(_calc!$E$2:$E$3000,_calc!$AE$2:$AE$3000,$B32&amp;"|"&amp;$D32,_calc!$A$2:$A$3000,$B$3,_calc!$C$2:$C$3000,T$6)))</f>
        <v/>
      </c>
      <c r="U32" s="50" t="str">
        <f>IF(OR($B32="",U$6=""),"",IF(COUNTIFS(_calc!$AE$2:$AE$3000,$B32&amp;"|"&amp;$D32,_calc!$A$2:$A$3000,$B$3,_calc!$C$2:$C$3000,U$6)=0,"",SUMIFS(_calc!$E$2:$E$3000,_calc!$AE$2:$AE$3000,$B32&amp;"|"&amp;$D32,_calc!$A$2:$A$3000,$B$3,_calc!$C$2:$C$3000,U$6)))</f>
        <v/>
      </c>
      <c r="V32" s="50" t="str">
        <f>IF(OR($B32="",V$6=""),"",IF(COUNTIFS(_calc!$AE$2:$AE$3000,$B32&amp;"|"&amp;$D32,_calc!$A$2:$A$3000,$B$3,_calc!$C$2:$C$3000,V$6)=0,"",SUMIFS(_calc!$E$2:$E$3000,_calc!$AE$2:$AE$3000,$B32&amp;"|"&amp;$D32,_calc!$A$2:$A$3000,$B$3,_calc!$C$2:$C$3000,V$6)))</f>
        <v/>
      </c>
      <c r="W32" s="50" t="str">
        <f>IF(OR($B32="",W$6=""),"",IF(COUNTIFS(_calc!$AE$2:$AE$3000,$B32&amp;"|"&amp;$D32,_calc!$A$2:$A$3000,$B$3,_calc!$C$2:$C$3000,W$6)=0,"",SUMIFS(_calc!$E$2:$E$3000,_calc!$AE$2:$AE$3000,$B32&amp;"|"&amp;$D32,_calc!$A$2:$A$3000,$B$3,_calc!$C$2:$C$3000,W$6)))</f>
        <v/>
      </c>
      <c r="X32" s="50" t="str">
        <f>IF(OR($B32="",X$6=""),"",IF(COUNTIFS(_calc!$AE$2:$AE$3000,$B32&amp;"|"&amp;$D32,_calc!$A$2:$A$3000,$B$3,_calc!$C$2:$C$3000,X$6)=0,"",SUMIFS(_calc!$E$2:$E$3000,_calc!$AE$2:$AE$3000,$B32&amp;"|"&amp;$D32,_calc!$A$2:$A$3000,$B$3,_calc!$C$2:$C$3000,X$6)))</f>
        <v/>
      </c>
      <c r="AA32" s="51"/>
      <c r="AB32" s="52" t="str">
        <f>IFERROR(INDEX(_calc!$I$2:$I$3000,MATCH(ROW()-8,_calc!$U$2:$U$3000,0)),"")</f>
        <v/>
      </c>
    </row>
    <row r="33" spans="1:28" ht="15" x14ac:dyDescent="0.5">
      <c r="A33" s="48">
        <v>27</v>
      </c>
      <c r="B33" s="49" t="str">
        <f>IFERROR(INDEX(_calc!$I$2:$I$3000,MATCH($A33,_calc!$AB$2:$AB$3000,0)),"")</f>
        <v/>
      </c>
      <c r="C33" s="49" t="str">
        <f>IFERROR(INDEX(_calc!$H$2:$H$3000,MATCH($A33,_calc!$AB$2:$AB$3000,0)),"")</f>
        <v/>
      </c>
      <c r="D33" s="49" t="str">
        <f>IFERROR(INDEX(_calc!$K$2:$K$3000,MATCH($A33,_calc!$AB$2:$AB$3000,0)),"")</f>
        <v/>
      </c>
      <c r="E33" s="50" t="str">
        <f>IF(OR($B33="",E$6=""),"",IF(COUNTIFS(_calc!$AE$2:$AE$3000,$B33&amp;"|"&amp;$D33,_calc!$A$2:$A$3000,$B$3,_calc!$C$2:$C$3000,E$6)=0,"",SUMIFS(_calc!$E$2:$E$3000,_calc!$AE$2:$AE$3000,$B33&amp;"|"&amp;$D33,_calc!$A$2:$A$3000,$B$3,_calc!$C$2:$C$3000,E$6)))</f>
        <v/>
      </c>
      <c r="F33" s="50" t="str">
        <f>IF(OR($B33="",F$6=""),"",IF(COUNTIFS(_calc!$AE$2:$AE$3000,$B33&amp;"|"&amp;$D33,_calc!$A$2:$A$3000,$B$3,_calc!$C$2:$C$3000,F$6)=0,"",SUMIFS(_calc!$E$2:$E$3000,_calc!$AE$2:$AE$3000,$B33&amp;"|"&amp;$D33,_calc!$A$2:$A$3000,$B$3,_calc!$C$2:$C$3000,F$6)))</f>
        <v/>
      </c>
      <c r="G33" s="50" t="str">
        <f>IF(OR($B33="",G$6=""),"",IF(COUNTIFS(_calc!$AE$2:$AE$3000,$B33&amp;"|"&amp;$D33,_calc!$A$2:$A$3000,$B$3,_calc!$C$2:$C$3000,G$6)=0,"",SUMIFS(_calc!$E$2:$E$3000,_calc!$AE$2:$AE$3000,$B33&amp;"|"&amp;$D33,_calc!$A$2:$A$3000,$B$3,_calc!$C$2:$C$3000,G$6)))</f>
        <v/>
      </c>
      <c r="H33" s="50" t="str">
        <f>IF(OR($B33="",H$6=""),"",IF(COUNTIFS(_calc!$AE$2:$AE$3000,$B33&amp;"|"&amp;$D33,_calc!$A$2:$A$3000,$B$3,_calc!$C$2:$C$3000,H$6)=0,"",SUMIFS(_calc!$E$2:$E$3000,_calc!$AE$2:$AE$3000,$B33&amp;"|"&amp;$D33,_calc!$A$2:$A$3000,$B$3,_calc!$C$2:$C$3000,H$6)))</f>
        <v/>
      </c>
      <c r="I33" s="50" t="str">
        <f>IF(OR($B33="",I$6=""),"",IF(COUNTIFS(_calc!$AE$2:$AE$3000,$B33&amp;"|"&amp;$D33,_calc!$A$2:$A$3000,$B$3,_calc!$C$2:$C$3000,I$6)=0,"",SUMIFS(_calc!$E$2:$E$3000,_calc!$AE$2:$AE$3000,$B33&amp;"|"&amp;$D33,_calc!$A$2:$A$3000,$B$3,_calc!$C$2:$C$3000,I$6)))</f>
        <v/>
      </c>
      <c r="J33" s="50" t="str">
        <f>IF(OR($B33="",J$6=""),"",IF(COUNTIFS(_calc!$AE$2:$AE$3000,$B33&amp;"|"&amp;$D33,_calc!$A$2:$A$3000,$B$3,_calc!$C$2:$C$3000,J$6)=0,"",SUMIFS(_calc!$E$2:$E$3000,_calc!$AE$2:$AE$3000,$B33&amp;"|"&amp;$D33,_calc!$A$2:$A$3000,$B$3,_calc!$C$2:$C$3000,J$6)))</f>
        <v/>
      </c>
      <c r="K33" s="50" t="str">
        <f>IF(OR($B33="",K$6=""),"",IF(COUNTIFS(_calc!$AE$2:$AE$3000,$B33&amp;"|"&amp;$D33,_calc!$A$2:$A$3000,$B$3,_calc!$C$2:$C$3000,K$6)=0,"",SUMIFS(_calc!$E$2:$E$3000,_calc!$AE$2:$AE$3000,$B33&amp;"|"&amp;$D33,_calc!$A$2:$A$3000,$B$3,_calc!$C$2:$C$3000,K$6)))</f>
        <v/>
      </c>
      <c r="L33" s="50" t="str">
        <f>IF(OR($B33="",L$6=""),"",IF(COUNTIFS(_calc!$AE$2:$AE$3000,$B33&amp;"|"&amp;$D33,_calc!$A$2:$A$3000,$B$3,_calc!$C$2:$C$3000,L$6)=0,"",SUMIFS(_calc!$E$2:$E$3000,_calc!$AE$2:$AE$3000,$B33&amp;"|"&amp;$D33,_calc!$A$2:$A$3000,$B$3,_calc!$C$2:$C$3000,L$6)))</f>
        <v/>
      </c>
      <c r="M33" s="50" t="str">
        <f>IF(OR($B33="",M$6=""),"",IF(COUNTIFS(_calc!$AE$2:$AE$3000,$B33&amp;"|"&amp;$D33,_calc!$A$2:$A$3000,$B$3,_calc!$C$2:$C$3000,M$6)=0,"",SUMIFS(_calc!$E$2:$E$3000,_calc!$AE$2:$AE$3000,$B33&amp;"|"&amp;$D33,_calc!$A$2:$A$3000,$B$3,_calc!$C$2:$C$3000,M$6)))</f>
        <v/>
      </c>
      <c r="N33" s="50" t="str">
        <f>IF(OR($B33="",N$6=""),"",IF(COUNTIFS(_calc!$AE$2:$AE$3000,$B33&amp;"|"&amp;$D33,_calc!$A$2:$A$3000,$B$3,_calc!$C$2:$C$3000,N$6)=0,"",SUMIFS(_calc!$E$2:$E$3000,_calc!$AE$2:$AE$3000,$B33&amp;"|"&amp;$D33,_calc!$A$2:$A$3000,$B$3,_calc!$C$2:$C$3000,N$6)))</f>
        <v/>
      </c>
      <c r="O33" s="50" t="str">
        <f>IF(OR($B33="",O$6=""),"",IF(COUNTIFS(_calc!$AE$2:$AE$3000,$B33&amp;"|"&amp;$D33,_calc!$A$2:$A$3000,$B$3,_calc!$C$2:$C$3000,O$6)=0,"",SUMIFS(_calc!$E$2:$E$3000,_calc!$AE$2:$AE$3000,$B33&amp;"|"&amp;$D33,_calc!$A$2:$A$3000,$B$3,_calc!$C$2:$C$3000,O$6)))</f>
        <v/>
      </c>
      <c r="P33" s="50" t="str">
        <f>IF(OR($B33="",P$6=""),"",IF(COUNTIFS(_calc!$AE$2:$AE$3000,$B33&amp;"|"&amp;$D33,_calc!$A$2:$A$3000,$B$3,_calc!$C$2:$C$3000,P$6)=0,"",SUMIFS(_calc!$E$2:$E$3000,_calc!$AE$2:$AE$3000,$B33&amp;"|"&amp;$D33,_calc!$A$2:$A$3000,$B$3,_calc!$C$2:$C$3000,P$6)))</f>
        <v/>
      </c>
      <c r="Q33" s="50" t="str">
        <f>IF(OR($B33="",Q$6=""),"",IF(COUNTIFS(_calc!$AE$2:$AE$3000,$B33&amp;"|"&amp;$D33,_calc!$A$2:$A$3000,$B$3,_calc!$C$2:$C$3000,Q$6)=0,"",SUMIFS(_calc!$E$2:$E$3000,_calc!$AE$2:$AE$3000,$B33&amp;"|"&amp;$D33,_calc!$A$2:$A$3000,$B$3,_calc!$C$2:$C$3000,Q$6)))</f>
        <v/>
      </c>
      <c r="R33" s="50" t="str">
        <f>IF(OR($B33="",R$6=""),"",IF(COUNTIFS(_calc!$AE$2:$AE$3000,$B33&amp;"|"&amp;$D33,_calc!$A$2:$A$3000,$B$3,_calc!$C$2:$C$3000,R$6)=0,"",SUMIFS(_calc!$E$2:$E$3000,_calc!$AE$2:$AE$3000,$B33&amp;"|"&amp;$D33,_calc!$A$2:$A$3000,$B$3,_calc!$C$2:$C$3000,R$6)))</f>
        <v/>
      </c>
      <c r="S33" s="50" t="str">
        <f>IF(OR($B33="",S$6=""),"",IF(COUNTIFS(_calc!$AE$2:$AE$3000,$B33&amp;"|"&amp;$D33,_calc!$A$2:$A$3000,$B$3,_calc!$C$2:$C$3000,S$6)=0,"",SUMIFS(_calc!$E$2:$E$3000,_calc!$AE$2:$AE$3000,$B33&amp;"|"&amp;$D33,_calc!$A$2:$A$3000,$B$3,_calc!$C$2:$C$3000,S$6)))</f>
        <v/>
      </c>
      <c r="T33" s="50" t="str">
        <f>IF(OR($B33="",T$6=""),"",IF(COUNTIFS(_calc!$AE$2:$AE$3000,$B33&amp;"|"&amp;$D33,_calc!$A$2:$A$3000,$B$3,_calc!$C$2:$C$3000,T$6)=0,"",SUMIFS(_calc!$E$2:$E$3000,_calc!$AE$2:$AE$3000,$B33&amp;"|"&amp;$D33,_calc!$A$2:$A$3000,$B$3,_calc!$C$2:$C$3000,T$6)))</f>
        <v/>
      </c>
      <c r="U33" s="50" t="str">
        <f>IF(OR($B33="",U$6=""),"",IF(COUNTIFS(_calc!$AE$2:$AE$3000,$B33&amp;"|"&amp;$D33,_calc!$A$2:$A$3000,$B$3,_calc!$C$2:$C$3000,U$6)=0,"",SUMIFS(_calc!$E$2:$E$3000,_calc!$AE$2:$AE$3000,$B33&amp;"|"&amp;$D33,_calc!$A$2:$A$3000,$B$3,_calc!$C$2:$C$3000,U$6)))</f>
        <v/>
      </c>
      <c r="V33" s="50" t="str">
        <f>IF(OR($B33="",V$6=""),"",IF(COUNTIFS(_calc!$AE$2:$AE$3000,$B33&amp;"|"&amp;$D33,_calc!$A$2:$A$3000,$B$3,_calc!$C$2:$C$3000,V$6)=0,"",SUMIFS(_calc!$E$2:$E$3000,_calc!$AE$2:$AE$3000,$B33&amp;"|"&amp;$D33,_calc!$A$2:$A$3000,$B$3,_calc!$C$2:$C$3000,V$6)))</f>
        <v/>
      </c>
      <c r="W33" s="50" t="str">
        <f>IF(OR($B33="",W$6=""),"",IF(COUNTIFS(_calc!$AE$2:$AE$3000,$B33&amp;"|"&amp;$D33,_calc!$A$2:$A$3000,$B$3,_calc!$C$2:$C$3000,W$6)=0,"",SUMIFS(_calc!$E$2:$E$3000,_calc!$AE$2:$AE$3000,$B33&amp;"|"&amp;$D33,_calc!$A$2:$A$3000,$B$3,_calc!$C$2:$C$3000,W$6)))</f>
        <v/>
      </c>
      <c r="X33" s="50" t="str">
        <f>IF(OR($B33="",X$6=""),"",IF(COUNTIFS(_calc!$AE$2:$AE$3000,$B33&amp;"|"&amp;$D33,_calc!$A$2:$A$3000,$B$3,_calc!$C$2:$C$3000,X$6)=0,"",SUMIFS(_calc!$E$2:$E$3000,_calc!$AE$2:$AE$3000,$B33&amp;"|"&amp;$D33,_calc!$A$2:$A$3000,$B$3,_calc!$C$2:$C$3000,X$6)))</f>
        <v/>
      </c>
      <c r="AA33" s="51"/>
      <c r="AB33" s="52" t="str">
        <f>IFERROR(INDEX(_calc!$I$2:$I$3000,MATCH(ROW()-8,_calc!$U$2:$U$3000,0)),"")</f>
        <v/>
      </c>
    </row>
    <row r="34" spans="1:28" ht="15" x14ac:dyDescent="0.5">
      <c r="A34" s="48">
        <v>28</v>
      </c>
      <c r="B34" s="49" t="str">
        <f>IFERROR(INDEX(_calc!$I$2:$I$3000,MATCH($A34,_calc!$AB$2:$AB$3000,0)),"")</f>
        <v/>
      </c>
      <c r="C34" s="49" t="str">
        <f>IFERROR(INDEX(_calc!$H$2:$H$3000,MATCH($A34,_calc!$AB$2:$AB$3000,0)),"")</f>
        <v/>
      </c>
      <c r="D34" s="49" t="str">
        <f>IFERROR(INDEX(_calc!$K$2:$K$3000,MATCH($A34,_calc!$AB$2:$AB$3000,0)),"")</f>
        <v/>
      </c>
      <c r="E34" s="50" t="str">
        <f>IF(OR($B34="",E$6=""),"",IF(COUNTIFS(_calc!$AE$2:$AE$3000,$B34&amp;"|"&amp;$D34,_calc!$A$2:$A$3000,$B$3,_calc!$C$2:$C$3000,E$6)=0,"",SUMIFS(_calc!$E$2:$E$3000,_calc!$AE$2:$AE$3000,$B34&amp;"|"&amp;$D34,_calc!$A$2:$A$3000,$B$3,_calc!$C$2:$C$3000,E$6)))</f>
        <v/>
      </c>
      <c r="F34" s="50" t="str">
        <f>IF(OR($B34="",F$6=""),"",IF(COUNTIFS(_calc!$AE$2:$AE$3000,$B34&amp;"|"&amp;$D34,_calc!$A$2:$A$3000,$B$3,_calc!$C$2:$C$3000,F$6)=0,"",SUMIFS(_calc!$E$2:$E$3000,_calc!$AE$2:$AE$3000,$B34&amp;"|"&amp;$D34,_calc!$A$2:$A$3000,$B$3,_calc!$C$2:$C$3000,F$6)))</f>
        <v/>
      </c>
      <c r="G34" s="50" t="str">
        <f>IF(OR($B34="",G$6=""),"",IF(COUNTIFS(_calc!$AE$2:$AE$3000,$B34&amp;"|"&amp;$D34,_calc!$A$2:$A$3000,$B$3,_calc!$C$2:$C$3000,G$6)=0,"",SUMIFS(_calc!$E$2:$E$3000,_calc!$AE$2:$AE$3000,$B34&amp;"|"&amp;$D34,_calc!$A$2:$A$3000,$B$3,_calc!$C$2:$C$3000,G$6)))</f>
        <v/>
      </c>
      <c r="H34" s="50" t="str">
        <f>IF(OR($B34="",H$6=""),"",IF(COUNTIFS(_calc!$AE$2:$AE$3000,$B34&amp;"|"&amp;$D34,_calc!$A$2:$A$3000,$B$3,_calc!$C$2:$C$3000,H$6)=0,"",SUMIFS(_calc!$E$2:$E$3000,_calc!$AE$2:$AE$3000,$B34&amp;"|"&amp;$D34,_calc!$A$2:$A$3000,$B$3,_calc!$C$2:$C$3000,H$6)))</f>
        <v/>
      </c>
      <c r="I34" s="50" t="str">
        <f>IF(OR($B34="",I$6=""),"",IF(COUNTIFS(_calc!$AE$2:$AE$3000,$B34&amp;"|"&amp;$D34,_calc!$A$2:$A$3000,$B$3,_calc!$C$2:$C$3000,I$6)=0,"",SUMIFS(_calc!$E$2:$E$3000,_calc!$AE$2:$AE$3000,$B34&amp;"|"&amp;$D34,_calc!$A$2:$A$3000,$B$3,_calc!$C$2:$C$3000,I$6)))</f>
        <v/>
      </c>
      <c r="J34" s="50" t="str">
        <f>IF(OR($B34="",J$6=""),"",IF(COUNTIFS(_calc!$AE$2:$AE$3000,$B34&amp;"|"&amp;$D34,_calc!$A$2:$A$3000,$B$3,_calc!$C$2:$C$3000,J$6)=0,"",SUMIFS(_calc!$E$2:$E$3000,_calc!$AE$2:$AE$3000,$B34&amp;"|"&amp;$D34,_calc!$A$2:$A$3000,$B$3,_calc!$C$2:$C$3000,J$6)))</f>
        <v/>
      </c>
      <c r="K34" s="50" t="str">
        <f>IF(OR($B34="",K$6=""),"",IF(COUNTIFS(_calc!$AE$2:$AE$3000,$B34&amp;"|"&amp;$D34,_calc!$A$2:$A$3000,$B$3,_calc!$C$2:$C$3000,K$6)=0,"",SUMIFS(_calc!$E$2:$E$3000,_calc!$AE$2:$AE$3000,$B34&amp;"|"&amp;$D34,_calc!$A$2:$A$3000,$B$3,_calc!$C$2:$C$3000,K$6)))</f>
        <v/>
      </c>
      <c r="L34" s="50" t="str">
        <f>IF(OR($B34="",L$6=""),"",IF(COUNTIFS(_calc!$AE$2:$AE$3000,$B34&amp;"|"&amp;$D34,_calc!$A$2:$A$3000,$B$3,_calc!$C$2:$C$3000,L$6)=0,"",SUMIFS(_calc!$E$2:$E$3000,_calc!$AE$2:$AE$3000,$B34&amp;"|"&amp;$D34,_calc!$A$2:$A$3000,$B$3,_calc!$C$2:$C$3000,L$6)))</f>
        <v/>
      </c>
      <c r="M34" s="50" t="str">
        <f>IF(OR($B34="",M$6=""),"",IF(COUNTIFS(_calc!$AE$2:$AE$3000,$B34&amp;"|"&amp;$D34,_calc!$A$2:$A$3000,$B$3,_calc!$C$2:$C$3000,M$6)=0,"",SUMIFS(_calc!$E$2:$E$3000,_calc!$AE$2:$AE$3000,$B34&amp;"|"&amp;$D34,_calc!$A$2:$A$3000,$B$3,_calc!$C$2:$C$3000,M$6)))</f>
        <v/>
      </c>
      <c r="N34" s="50" t="str">
        <f>IF(OR($B34="",N$6=""),"",IF(COUNTIFS(_calc!$AE$2:$AE$3000,$B34&amp;"|"&amp;$D34,_calc!$A$2:$A$3000,$B$3,_calc!$C$2:$C$3000,N$6)=0,"",SUMIFS(_calc!$E$2:$E$3000,_calc!$AE$2:$AE$3000,$B34&amp;"|"&amp;$D34,_calc!$A$2:$A$3000,$B$3,_calc!$C$2:$C$3000,N$6)))</f>
        <v/>
      </c>
      <c r="O34" s="50" t="str">
        <f>IF(OR($B34="",O$6=""),"",IF(COUNTIFS(_calc!$AE$2:$AE$3000,$B34&amp;"|"&amp;$D34,_calc!$A$2:$A$3000,$B$3,_calc!$C$2:$C$3000,O$6)=0,"",SUMIFS(_calc!$E$2:$E$3000,_calc!$AE$2:$AE$3000,$B34&amp;"|"&amp;$D34,_calc!$A$2:$A$3000,$B$3,_calc!$C$2:$C$3000,O$6)))</f>
        <v/>
      </c>
      <c r="P34" s="50" t="str">
        <f>IF(OR($B34="",P$6=""),"",IF(COUNTIFS(_calc!$AE$2:$AE$3000,$B34&amp;"|"&amp;$D34,_calc!$A$2:$A$3000,$B$3,_calc!$C$2:$C$3000,P$6)=0,"",SUMIFS(_calc!$E$2:$E$3000,_calc!$AE$2:$AE$3000,$B34&amp;"|"&amp;$D34,_calc!$A$2:$A$3000,$B$3,_calc!$C$2:$C$3000,P$6)))</f>
        <v/>
      </c>
      <c r="Q34" s="50" t="str">
        <f>IF(OR($B34="",Q$6=""),"",IF(COUNTIFS(_calc!$AE$2:$AE$3000,$B34&amp;"|"&amp;$D34,_calc!$A$2:$A$3000,$B$3,_calc!$C$2:$C$3000,Q$6)=0,"",SUMIFS(_calc!$E$2:$E$3000,_calc!$AE$2:$AE$3000,$B34&amp;"|"&amp;$D34,_calc!$A$2:$A$3000,$B$3,_calc!$C$2:$C$3000,Q$6)))</f>
        <v/>
      </c>
      <c r="R34" s="50" t="str">
        <f>IF(OR($B34="",R$6=""),"",IF(COUNTIFS(_calc!$AE$2:$AE$3000,$B34&amp;"|"&amp;$D34,_calc!$A$2:$A$3000,$B$3,_calc!$C$2:$C$3000,R$6)=0,"",SUMIFS(_calc!$E$2:$E$3000,_calc!$AE$2:$AE$3000,$B34&amp;"|"&amp;$D34,_calc!$A$2:$A$3000,$B$3,_calc!$C$2:$C$3000,R$6)))</f>
        <v/>
      </c>
      <c r="S34" s="50" t="str">
        <f>IF(OR($B34="",S$6=""),"",IF(COUNTIFS(_calc!$AE$2:$AE$3000,$B34&amp;"|"&amp;$D34,_calc!$A$2:$A$3000,$B$3,_calc!$C$2:$C$3000,S$6)=0,"",SUMIFS(_calc!$E$2:$E$3000,_calc!$AE$2:$AE$3000,$B34&amp;"|"&amp;$D34,_calc!$A$2:$A$3000,$B$3,_calc!$C$2:$C$3000,S$6)))</f>
        <v/>
      </c>
      <c r="T34" s="50" t="str">
        <f>IF(OR($B34="",T$6=""),"",IF(COUNTIFS(_calc!$AE$2:$AE$3000,$B34&amp;"|"&amp;$D34,_calc!$A$2:$A$3000,$B$3,_calc!$C$2:$C$3000,T$6)=0,"",SUMIFS(_calc!$E$2:$E$3000,_calc!$AE$2:$AE$3000,$B34&amp;"|"&amp;$D34,_calc!$A$2:$A$3000,$B$3,_calc!$C$2:$C$3000,T$6)))</f>
        <v/>
      </c>
      <c r="U34" s="50" t="str">
        <f>IF(OR($B34="",U$6=""),"",IF(COUNTIFS(_calc!$AE$2:$AE$3000,$B34&amp;"|"&amp;$D34,_calc!$A$2:$A$3000,$B$3,_calc!$C$2:$C$3000,U$6)=0,"",SUMIFS(_calc!$E$2:$E$3000,_calc!$AE$2:$AE$3000,$B34&amp;"|"&amp;$D34,_calc!$A$2:$A$3000,$B$3,_calc!$C$2:$C$3000,U$6)))</f>
        <v/>
      </c>
      <c r="V34" s="50" t="str">
        <f>IF(OR($B34="",V$6=""),"",IF(COUNTIFS(_calc!$AE$2:$AE$3000,$B34&amp;"|"&amp;$D34,_calc!$A$2:$A$3000,$B$3,_calc!$C$2:$C$3000,V$6)=0,"",SUMIFS(_calc!$E$2:$E$3000,_calc!$AE$2:$AE$3000,$B34&amp;"|"&amp;$D34,_calc!$A$2:$A$3000,$B$3,_calc!$C$2:$C$3000,V$6)))</f>
        <v/>
      </c>
      <c r="W34" s="50" t="str">
        <f>IF(OR($B34="",W$6=""),"",IF(COUNTIFS(_calc!$AE$2:$AE$3000,$B34&amp;"|"&amp;$D34,_calc!$A$2:$A$3000,$B$3,_calc!$C$2:$C$3000,W$6)=0,"",SUMIFS(_calc!$E$2:$E$3000,_calc!$AE$2:$AE$3000,$B34&amp;"|"&amp;$D34,_calc!$A$2:$A$3000,$B$3,_calc!$C$2:$C$3000,W$6)))</f>
        <v/>
      </c>
      <c r="X34" s="50" t="str">
        <f>IF(OR($B34="",X$6=""),"",IF(COUNTIFS(_calc!$AE$2:$AE$3000,$B34&amp;"|"&amp;$D34,_calc!$A$2:$A$3000,$B$3,_calc!$C$2:$C$3000,X$6)=0,"",SUMIFS(_calc!$E$2:$E$3000,_calc!$AE$2:$AE$3000,$B34&amp;"|"&amp;$D34,_calc!$A$2:$A$3000,$B$3,_calc!$C$2:$C$3000,X$6)))</f>
        <v/>
      </c>
      <c r="AA34" s="51"/>
      <c r="AB34" s="52" t="str">
        <f>IFERROR(INDEX(_calc!$I$2:$I$3000,MATCH(ROW()-8,_calc!$U$2:$U$3000,0)),"")</f>
        <v/>
      </c>
    </row>
    <row r="35" spans="1:28" ht="15" x14ac:dyDescent="0.5">
      <c r="A35" s="48">
        <v>29</v>
      </c>
      <c r="B35" s="49" t="str">
        <f>IFERROR(INDEX(_calc!$I$2:$I$3000,MATCH($A35,_calc!$AB$2:$AB$3000,0)),"")</f>
        <v/>
      </c>
      <c r="C35" s="49" t="str">
        <f>IFERROR(INDEX(_calc!$H$2:$H$3000,MATCH($A35,_calc!$AB$2:$AB$3000,0)),"")</f>
        <v/>
      </c>
      <c r="D35" s="49" t="str">
        <f>IFERROR(INDEX(_calc!$K$2:$K$3000,MATCH($A35,_calc!$AB$2:$AB$3000,0)),"")</f>
        <v/>
      </c>
      <c r="E35" s="50" t="str">
        <f>IF(OR($B35="",E$6=""),"",IF(COUNTIFS(_calc!$AE$2:$AE$3000,$B35&amp;"|"&amp;$D35,_calc!$A$2:$A$3000,$B$3,_calc!$C$2:$C$3000,E$6)=0,"",SUMIFS(_calc!$E$2:$E$3000,_calc!$AE$2:$AE$3000,$B35&amp;"|"&amp;$D35,_calc!$A$2:$A$3000,$B$3,_calc!$C$2:$C$3000,E$6)))</f>
        <v/>
      </c>
      <c r="F35" s="50" t="str">
        <f>IF(OR($B35="",F$6=""),"",IF(COUNTIFS(_calc!$AE$2:$AE$3000,$B35&amp;"|"&amp;$D35,_calc!$A$2:$A$3000,$B$3,_calc!$C$2:$C$3000,F$6)=0,"",SUMIFS(_calc!$E$2:$E$3000,_calc!$AE$2:$AE$3000,$B35&amp;"|"&amp;$D35,_calc!$A$2:$A$3000,$B$3,_calc!$C$2:$C$3000,F$6)))</f>
        <v/>
      </c>
      <c r="G35" s="50" t="str">
        <f>IF(OR($B35="",G$6=""),"",IF(COUNTIFS(_calc!$AE$2:$AE$3000,$B35&amp;"|"&amp;$D35,_calc!$A$2:$A$3000,$B$3,_calc!$C$2:$C$3000,G$6)=0,"",SUMIFS(_calc!$E$2:$E$3000,_calc!$AE$2:$AE$3000,$B35&amp;"|"&amp;$D35,_calc!$A$2:$A$3000,$B$3,_calc!$C$2:$C$3000,G$6)))</f>
        <v/>
      </c>
      <c r="H35" s="50" t="str">
        <f>IF(OR($B35="",H$6=""),"",IF(COUNTIFS(_calc!$AE$2:$AE$3000,$B35&amp;"|"&amp;$D35,_calc!$A$2:$A$3000,$B$3,_calc!$C$2:$C$3000,H$6)=0,"",SUMIFS(_calc!$E$2:$E$3000,_calc!$AE$2:$AE$3000,$B35&amp;"|"&amp;$D35,_calc!$A$2:$A$3000,$B$3,_calc!$C$2:$C$3000,H$6)))</f>
        <v/>
      </c>
      <c r="I35" s="50" t="str">
        <f>IF(OR($B35="",I$6=""),"",IF(COUNTIFS(_calc!$AE$2:$AE$3000,$B35&amp;"|"&amp;$D35,_calc!$A$2:$A$3000,$B$3,_calc!$C$2:$C$3000,I$6)=0,"",SUMIFS(_calc!$E$2:$E$3000,_calc!$AE$2:$AE$3000,$B35&amp;"|"&amp;$D35,_calc!$A$2:$A$3000,$B$3,_calc!$C$2:$C$3000,I$6)))</f>
        <v/>
      </c>
      <c r="J35" s="50" t="str">
        <f>IF(OR($B35="",J$6=""),"",IF(COUNTIFS(_calc!$AE$2:$AE$3000,$B35&amp;"|"&amp;$D35,_calc!$A$2:$A$3000,$B$3,_calc!$C$2:$C$3000,J$6)=0,"",SUMIFS(_calc!$E$2:$E$3000,_calc!$AE$2:$AE$3000,$B35&amp;"|"&amp;$D35,_calc!$A$2:$A$3000,$B$3,_calc!$C$2:$C$3000,J$6)))</f>
        <v/>
      </c>
      <c r="K35" s="50" t="str">
        <f>IF(OR($B35="",K$6=""),"",IF(COUNTIFS(_calc!$AE$2:$AE$3000,$B35&amp;"|"&amp;$D35,_calc!$A$2:$A$3000,$B$3,_calc!$C$2:$C$3000,K$6)=0,"",SUMIFS(_calc!$E$2:$E$3000,_calc!$AE$2:$AE$3000,$B35&amp;"|"&amp;$D35,_calc!$A$2:$A$3000,$B$3,_calc!$C$2:$C$3000,K$6)))</f>
        <v/>
      </c>
      <c r="L35" s="50" t="str">
        <f>IF(OR($B35="",L$6=""),"",IF(COUNTIFS(_calc!$AE$2:$AE$3000,$B35&amp;"|"&amp;$D35,_calc!$A$2:$A$3000,$B$3,_calc!$C$2:$C$3000,L$6)=0,"",SUMIFS(_calc!$E$2:$E$3000,_calc!$AE$2:$AE$3000,$B35&amp;"|"&amp;$D35,_calc!$A$2:$A$3000,$B$3,_calc!$C$2:$C$3000,L$6)))</f>
        <v/>
      </c>
      <c r="M35" s="50" t="str">
        <f>IF(OR($B35="",M$6=""),"",IF(COUNTIFS(_calc!$AE$2:$AE$3000,$B35&amp;"|"&amp;$D35,_calc!$A$2:$A$3000,$B$3,_calc!$C$2:$C$3000,M$6)=0,"",SUMIFS(_calc!$E$2:$E$3000,_calc!$AE$2:$AE$3000,$B35&amp;"|"&amp;$D35,_calc!$A$2:$A$3000,$B$3,_calc!$C$2:$C$3000,M$6)))</f>
        <v/>
      </c>
      <c r="N35" s="50" t="str">
        <f>IF(OR($B35="",N$6=""),"",IF(COUNTIFS(_calc!$AE$2:$AE$3000,$B35&amp;"|"&amp;$D35,_calc!$A$2:$A$3000,$B$3,_calc!$C$2:$C$3000,N$6)=0,"",SUMIFS(_calc!$E$2:$E$3000,_calc!$AE$2:$AE$3000,$B35&amp;"|"&amp;$D35,_calc!$A$2:$A$3000,$B$3,_calc!$C$2:$C$3000,N$6)))</f>
        <v/>
      </c>
      <c r="O35" s="50" t="str">
        <f>IF(OR($B35="",O$6=""),"",IF(COUNTIFS(_calc!$AE$2:$AE$3000,$B35&amp;"|"&amp;$D35,_calc!$A$2:$A$3000,$B$3,_calc!$C$2:$C$3000,O$6)=0,"",SUMIFS(_calc!$E$2:$E$3000,_calc!$AE$2:$AE$3000,$B35&amp;"|"&amp;$D35,_calc!$A$2:$A$3000,$B$3,_calc!$C$2:$C$3000,O$6)))</f>
        <v/>
      </c>
      <c r="P35" s="50" t="str">
        <f>IF(OR($B35="",P$6=""),"",IF(COUNTIFS(_calc!$AE$2:$AE$3000,$B35&amp;"|"&amp;$D35,_calc!$A$2:$A$3000,$B$3,_calc!$C$2:$C$3000,P$6)=0,"",SUMIFS(_calc!$E$2:$E$3000,_calc!$AE$2:$AE$3000,$B35&amp;"|"&amp;$D35,_calc!$A$2:$A$3000,$B$3,_calc!$C$2:$C$3000,P$6)))</f>
        <v/>
      </c>
      <c r="Q35" s="50" t="str">
        <f>IF(OR($B35="",Q$6=""),"",IF(COUNTIFS(_calc!$AE$2:$AE$3000,$B35&amp;"|"&amp;$D35,_calc!$A$2:$A$3000,$B$3,_calc!$C$2:$C$3000,Q$6)=0,"",SUMIFS(_calc!$E$2:$E$3000,_calc!$AE$2:$AE$3000,$B35&amp;"|"&amp;$D35,_calc!$A$2:$A$3000,$B$3,_calc!$C$2:$C$3000,Q$6)))</f>
        <v/>
      </c>
      <c r="R35" s="50" t="str">
        <f>IF(OR($B35="",R$6=""),"",IF(COUNTIFS(_calc!$AE$2:$AE$3000,$B35&amp;"|"&amp;$D35,_calc!$A$2:$A$3000,$B$3,_calc!$C$2:$C$3000,R$6)=0,"",SUMIFS(_calc!$E$2:$E$3000,_calc!$AE$2:$AE$3000,$B35&amp;"|"&amp;$D35,_calc!$A$2:$A$3000,$B$3,_calc!$C$2:$C$3000,R$6)))</f>
        <v/>
      </c>
      <c r="S35" s="50" t="str">
        <f>IF(OR($B35="",S$6=""),"",IF(COUNTIFS(_calc!$AE$2:$AE$3000,$B35&amp;"|"&amp;$D35,_calc!$A$2:$A$3000,$B$3,_calc!$C$2:$C$3000,S$6)=0,"",SUMIFS(_calc!$E$2:$E$3000,_calc!$AE$2:$AE$3000,$B35&amp;"|"&amp;$D35,_calc!$A$2:$A$3000,$B$3,_calc!$C$2:$C$3000,S$6)))</f>
        <v/>
      </c>
      <c r="T35" s="50" t="str">
        <f>IF(OR($B35="",T$6=""),"",IF(COUNTIFS(_calc!$AE$2:$AE$3000,$B35&amp;"|"&amp;$D35,_calc!$A$2:$A$3000,$B$3,_calc!$C$2:$C$3000,T$6)=0,"",SUMIFS(_calc!$E$2:$E$3000,_calc!$AE$2:$AE$3000,$B35&amp;"|"&amp;$D35,_calc!$A$2:$A$3000,$B$3,_calc!$C$2:$C$3000,T$6)))</f>
        <v/>
      </c>
      <c r="U35" s="50" t="str">
        <f>IF(OR($B35="",U$6=""),"",IF(COUNTIFS(_calc!$AE$2:$AE$3000,$B35&amp;"|"&amp;$D35,_calc!$A$2:$A$3000,$B$3,_calc!$C$2:$C$3000,U$6)=0,"",SUMIFS(_calc!$E$2:$E$3000,_calc!$AE$2:$AE$3000,$B35&amp;"|"&amp;$D35,_calc!$A$2:$A$3000,$B$3,_calc!$C$2:$C$3000,U$6)))</f>
        <v/>
      </c>
      <c r="V35" s="50" t="str">
        <f>IF(OR($B35="",V$6=""),"",IF(COUNTIFS(_calc!$AE$2:$AE$3000,$B35&amp;"|"&amp;$D35,_calc!$A$2:$A$3000,$B$3,_calc!$C$2:$C$3000,V$6)=0,"",SUMIFS(_calc!$E$2:$E$3000,_calc!$AE$2:$AE$3000,$B35&amp;"|"&amp;$D35,_calc!$A$2:$A$3000,$B$3,_calc!$C$2:$C$3000,V$6)))</f>
        <v/>
      </c>
      <c r="W35" s="50" t="str">
        <f>IF(OR($B35="",W$6=""),"",IF(COUNTIFS(_calc!$AE$2:$AE$3000,$B35&amp;"|"&amp;$D35,_calc!$A$2:$A$3000,$B$3,_calc!$C$2:$C$3000,W$6)=0,"",SUMIFS(_calc!$E$2:$E$3000,_calc!$AE$2:$AE$3000,$B35&amp;"|"&amp;$D35,_calc!$A$2:$A$3000,$B$3,_calc!$C$2:$C$3000,W$6)))</f>
        <v/>
      </c>
      <c r="X35" s="50" t="str">
        <f>IF(OR($B35="",X$6=""),"",IF(COUNTIFS(_calc!$AE$2:$AE$3000,$B35&amp;"|"&amp;$D35,_calc!$A$2:$A$3000,$B$3,_calc!$C$2:$C$3000,X$6)=0,"",SUMIFS(_calc!$E$2:$E$3000,_calc!$AE$2:$AE$3000,$B35&amp;"|"&amp;$D35,_calc!$A$2:$A$3000,$B$3,_calc!$C$2:$C$3000,X$6)))</f>
        <v/>
      </c>
      <c r="AA35" s="51"/>
      <c r="AB35" s="52" t="str">
        <f>IFERROR(INDEX(_calc!$I$2:$I$3000,MATCH(ROW()-8,_calc!$U$2:$U$3000,0)),"")</f>
        <v/>
      </c>
    </row>
    <row r="36" spans="1:28" ht="15" x14ac:dyDescent="0.5">
      <c r="A36" s="48">
        <v>30</v>
      </c>
      <c r="B36" s="49" t="str">
        <f>IFERROR(INDEX(_calc!$I$2:$I$3000,MATCH($A36,_calc!$AB$2:$AB$3000,0)),"")</f>
        <v/>
      </c>
      <c r="C36" s="49" t="str">
        <f>IFERROR(INDEX(_calc!$H$2:$H$3000,MATCH($A36,_calc!$AB$2:$AB$3000,0)),"")</f>
        <v/>
      </c>
      <c r="D36" s="49" t="str">
        <f>IFERROR(INDEX(_calc!$K$2:$K$3000,MATCH($A36,_calc!$AB$2:$AB$3000,0)),"")</f>
        <v/>
      </c>
      <c r="E36" s="50" t="str">
        <f>IF(OR($B36="",E$6=""),"",IF(COUNTIFS(_calc!$AE$2:$AE$3000,$B36&amp;"|"&amp;$D36,_calc!$A$2:$A$3000,$B$3,_calc!$C$2:$C$3000,E$6)=0,"",SUMIFS(_calc!$E$2:$E$3000,_calc!$AE$2:$AE$3000,$B36&amp;"|"&amp;$D36,_calc!$A$2:$A$3000,$B$3,_calc!$C$2:$C$3000,E$6)))</f>
        <v/>
      </c>
      <c r="F36" s="50" t="str">
        <f>IF(OR($B36="",F$6=""),"",IF(COUNTIFS(_calc!$AE$2:$AE$3000,$B36&amp;"|"&amp;$D36,_calc!$A$2:$A$3000,$B$3,_calc!$C$2:$C$3000,F$6)=0,"",SUMIFS(_calc!$E$2:$E$3000,_calc!$AE$2:$AE$3000,$B36&amp;"|"&amp;$D36,_calc!$A$2:$A$3000,$B$3,_calc!$C$2:$C$3000,F$6)))</f>
        <v/>
      </c>
      <c r="G36" s="50" t="str">
        <f>IF(OR($B36="",G$6=""),"",IF(COUNTIFS(_calc!$AE$2:$AE$3000,$B36&amp;"|"&amp;$D36,_calc!$A$2:$A$3000,$B$3,_calc!$C$2:$C$3000,G$6)=0,"",SUMIFS(_calc!$E$2:$E$3000,_calc!$AE$2:$AE$3000,$B36&amp;"|"&amp;$D36,_calc!$A$2:$A$3000,$B$3,_calc!$C$2:$C$3000,G$6)))</f>
        <v/>
      </c>
      <c r="H36" s="50" t="str">
        <f>IF(OR($B36="",H$6=""),"",IF(COUNTIFS(_calc!$AE$2:$AE$3000,$B36&amp;"|"&amp;$D36,_calc!$A$2:$A$3000,$B$3,_calc!$C$2:$C$3000,H$6)=0,"",SUMIFS(_calc!$E$2:$E$3000,_calc!$AE$2:$AE$3000,$B36&amp;"|"&amp;$D36,_calc!$A$2:$A$3000,$B$3,_calc!$C$2:$C$3000,H$6)))</f>
        <v/>
      </c>
      <c r="I36" s="50" t="str">
        <f>IF(OR($B36="",I$6=""),"",IF(COUNTIFS(_calc!$AE$2:$AE$3000,$B36&amp;"|"&amp;$D36,_calc!$A$2:$A$3000,$B$3,_calc!$C$2:$C$3000,I$6)=0,"",SUMIFS(_calc!$E$2:$E$3000,_calc!$AE$2:$AE$3000,$B36&amp;"|"&amp;$D36,_calc!$A$2:$A$3000,$B$3,_calc!$C$2:$C$3000,I$6)))</f>
        <v/>
      </c>
      <c r="J36" s="50" t="str">
        <f>IF(OR($B36="",J$6=""),"",IF(COUNTIFS(_calc!$AE$2:$AE$3000,$B36&amp;"|"&amp;$D36,_calc!$A$2:$A$3000,$B$3,_calc!$C$2:$C$3000,J$6)=0,"",SUMIFS(_calc!$E$2:$E$3000,_calc!$AE$2:$AE$3000,$B36&amp;"|"&amp;$D36,_calc!$A$2:$A$3000,$B$3,_calc!$C$2:$C$3000,J$6)))</f>
        <v/>
      </c>
      <c r="K36" s="50" t="str">
        <f>IF(OR($B36="",K$6=""),"",IF(COUNTIFS(_calc!$AE$2:$AE$3000,$B36&amp;"|"&amp;$D36,_calc!$A$2:$A$3000,$B$3,_calc!$C$2:$C$3000,K$6)=0,"",SUMIFS(_calc!$E$2:$E$3000,_calc!$AE$2:$AE$3000,$B36&amp;"|"&amp;$D36,_calc!$A$2:$A$3000,$B$3,_calc!$C$2:$C$3000,K$6)))</f>
        <v/>
      </c>
      <c r="L36" s="50" t="str">
        <f>IF(OR($B36="",L$6=""),"",IF(COUNTIFS(_calc!$AE$2:$AE$3000,$B36&amp;"|"&amp;$D36,_calc!$A$2:$A$3000,$B$3,_calc!$C$2:$C$3000,L$6)=0,"",SUMIFS(_calc!$E$2:$E$3000,_calc!$AE$2:$AE$3000,$B36&amp;"|"&amp;$D36,_calc!$A$2:$A$3000,$B$3,_calc!$C$2:$C$3000,L$6)))</f>
        <v/>
      </c>
      <c r="M36" s="50" t="str">
        <f>IF(OR($B36="",M$6=""),"",IF(COUNTIFS(_calc!$AE$2:$AE$3000,$B36&amp;"|"&amp;$D36,_calc!$A$2:$A$3000,$B$3,_calc!$C$2:$C$3000,M$6)=0,"",SUMIFS(_calc!$E$2:$E$3000,_calc!$AE$2:$AE$3000,$B36&amp;"|"&amp;$D36,_calc!$A$2:$A$3000,$B$3,_calc!$C$2:$C$3000,M$6)))</f>
        <v/>
      </c>
      <c r="N36" s="50" t="str">
        <f>IF(OR($B36="",N$6=""),"",IF(COUNTIFS(_calc!$AE$2:$AE$3000,$B36&amp;"|"&amp;$D36,_calc!$A$2:$A$3000,$B$3,_calc!$C$2:$C$3000,N$6)=0,"",SUMIFS(_calc!$E$2:$E$3000,_calc!$AE$2:$AE$3000,$B36&amp;"|"&amp;$D36,_calc!$A$2:$A$3000,$B$3,_calc!$C$2:$C$3000,N$6)))</f>
        <v/>
      </c>
      <c r="O36" s="50" t="str">
        <f>IF(OR($B36="",O$6=""),"",IF(COUNTIFS(_calc!$AE$2:$AE$3000,$B36&amp;"|"&amp;$D36,_calc!$A$2:$A$3000,$B$3,_calc!$C$2:$C$3000,O$6)=0,"",SUMIFS(_calc!$E$2:$E$3000,_calc!$AE$2:$AE$3000,$B36&amp;"|"&amp;$D36,_calc!$A$2:$A$3000,$B$3,_calc!$C$2:$C$3000,O$6)))</f>
        <v/>
      </c>
      <c r="P36" s="50" t="str">
        <f>IF(OR($B36="",P$6=""),"",IF(COUNTIFS(_calc!$AE$2:$AE$3000,$B36&amp;"|"&amp;$D36,_calc!$A$2:$A$3000,$B$3,_calc!$C$2:$C$3000,P$6)=0,"",SUMIFS(_calc!$E$2:$E$3000,_calc!$AE$2:$AE$3000,$B36&amp;"|"&amp;$D36,_calc!$A$2:$A$3000,$B$3,_calc!$C$2:$C$3000,P$6)))</f>
        <v/>
      </c>
      <c r="Q36" s="50" t="str">
        <f>IF(OR($B36="",Q$6=""),"",IF(COUNTIFS(_calc!$AE$2:$AE$3000,$B36&amp;"|"&amp;$D36,_calc!$A$2:$A$3000,$B$3,_calc!$C$2:$C$3000,Q$6)=0,"",SUMIFS(_calc!$E$2:$E$3000,_calc!$AE$2:$AE$3000,$B36&amp;"|"&amp;$D36,_calc!$A$2:$A$3000,$B$3,_calc!$C$2:$C$3000,Q$6)))</f>
        <v/>
      </c>
      <c r="R36" s="50" t="str">
        <f>IF(OR($B36="",R$6=""),"",IF(COUNTIFS(_calc!$AE$2:$AE$3000,$B36&amp;"|"&amp;$D36,_calc!$A$2:$A$3000,$B$3,_calc!$C$2:$C$3000,R$6)=0,"",SUMIFS(_calc!$E$2:$E$3000,_calc!$AE$2:$AE$3000,$B36&amp;"|"&amp;$D36,_calc!$A$2:$A$3000,$B$3,_calc!$C$2:$C$3000,R$6)))</f>
        <v/>
      </c>
      <c r="S36" s="50" t="str">
        <f>IF(OR($B36="",S$6=""),"",IF(COUNTIFS(_calc!$AE$2:$AE$3000,$B36&amp;"|"&amp;$D36,_calc!$A$2:$A$3000,$B$3,_calc!$C$2:$C$3000,S$6)=0,"",SUMIFS(_calc!$E$2:$E$3000,_calc!$AE$2:$AE$3000,$B36&amp;"|"&amp;$D36,_calc!$A$2:$A$3000,$B$3,_calc!$C$2:$C$3000,S$6)))</f>
        <v/>
      </c>
      <c r="T36" s="50" t="str">
        <f>IF(OR($B36="",T$6=""),"",IF(COUNTIFS(_calc!$AE$2:$AE$3000,$B36&amp;"|"&amp;$D36,_calc!$A$2:$A$3000,$B$3,_calc!$C$2:$C$3000,T$6)=0,"",SUMIFS(_calc!$E$2:$E$3000,_calc!$AE$2:$AE$3000,$B36&amp;"|"&amp;$D36,_calc!$A$2:$A$3000,$B$3,_calc!$C$2:$C$3000,T$6)))</f>
        <v/>
      </c>
      <c r="U36" s="50" t="str">
        <f>IF(OR($B36="",U$6=""),"",IF(COUNTIFS(_calc!$AE$2:$AE$3000,$B36&amp;"|"&amp;$D36,_calc!$A$2:$A$3000,$B$3,_calc!$C$2:$C$3000,U$6)=0,"",SUMIFS(_calc!$E$2:$E$3000,_calc!$AE$2:$AE$3000,$B36&amp;"|"&amp;$D36,_calc!$A$2:$A$3000,$B$3,_calc!$C$2:$C$3000,U$6)))</f>
        <v/>
      </c>
      <c r="V36" s="50" t="str">
        <f>IF(OR($B36="",V$6=""),"",IF(COUNTIFS(_calc!$AE$2:$AE$3000,$B36&amp;"|"&amp;$D36,_calc!$A$2:$A$3000,$B$3,_calc!$C$2:$C$3000,V$6)=0,"",SUMIFS(_calc!$E$2:$E$3000,_calc!$AE$2:$AE$3000,$B36&amp;"|"&amp;$D36,_calc!$A$2:$A$3000,$B$3,_calc!$C$2:$C$3000,V$6)))</f>
        <v/>
      </c>
      <c r="W36" s="50" t="str">
        <f>IF(OR($B36="",W$6=""),"",IF(COUNTIFS(_calc!$AE$2:$AE$3000,$B36&amp;"|"&amp;$D36,_calc!$A$2:$A$3000,$B$3,_calc!$C$2:$C$3000,W$6)=0,"",SUMIFS(_calc!$E$2:$E$3000,_calc!$AE$2:$AE$3000,$B36&amp;"|"&amp;$D36,_calc!$A$2:$A$3000,$B$3,_calc!$C$2:$C$3000,W$6)))</f>
        <v/>
      </c>
      <c r="X36" s="50" t="str">
        <f>IF(OR($B36="",X$6=""),"",IF(COUNTIFS(_calc!$AE$2:$AE$3000,$B36&amp;"|"&amp;$D36,_calc!$A$2:$A$3000,$B$3,_calc!$C$2:$C$3000,X$6)=0,"",SUMIFS(_calc!$E$2:$E$3000,_calc!$AE$2:$AE$3000,$B36&amp;"|"&amp;$D36,_calc!$A$2:$A$3000,$B$3,_calc!$C$2:$C$3000,X$6)))</f>
        <v/>
      </c>
      <c r="AA36" s="51"/>
      <c r="AB36" s="52" t="str">
        <f>IFERROR(INDEX(_calc!$I$2:$I$3000,MATCH(ROW()-8,_calc!$U$2:$U$3000,0)),"")</f>
        <v/>
      </c>
    </row>
    <row r="37" spans="1:28" ht="15" x14ac:dyDescent="0.5">
      <c r="A37" s="48">
        <v>31</v>
      </c>
      <c r="B37" s="49" t="str">
        <f>IFERROR(INDEX(_calc!$I$2:$I$3000,MATCH($A37,_calc!$AB$2:$AB$3000,0)),"")</f>
        <v/>
      </c>
      <c r="C37" s="49" t="str">
        <f>IFERROR(INDEX(_calc!$H$2:$H$3000,MATCH($A37,_calc!$AB$2:$AB$3000,0)),"")</f>
        <v/>
      </c>
      <c r="D37" s="49" t="str">
        <f>IFERROR(INDEX(_calc!$K$2:$K$3000,MATCH($A37,_calc!$AB$2:$AB$3000,0)),"")</f>
        <v/>
      </c>
      <c r="E37" s="50" t="str">
        <f>IF(OR($B37="",E$6=""),"",IF(COUNTIFS(_calc!$AE$2:$AE$3000,$B37&amp;"|"&amp;$D37,_calc!$A$2:$A$3000,$B$3,_calc!$C$2:$C$3000,E$6)=0,"",SUMIFS(_calc!$E$2:$E$3000,_calc!$AE$2:$AE$3000,$B37&amp;"|"&amp;$D37,_calc!$A$2:$A$3000,$B$3,_calc!$C$2:$C$3000,E$6)))</f>
        <v/>
      </c>
      <c r="F37" s="50" t="str">
        <f>IF(OR($B37="",F$6=""),"",IF(COUNTIFS(_calc!$AE$2:$AE$3000,$B37&amp;"|"&amp;$D37,_calc!$A$2:$A$3000,$B$3,_calc!$C$2:$C$3000,F$6)=0,"",SUMIFS(_calc!$E$2:$E$3000,_calc!$AE$2:$AE$3000,$B37&amp;"|"&amp;$D37,_calc!$A$2:$A$3000,$B$3,_calc!$C$2:$C$3000,F$6)))</f>
        <v/>
      </c>
      <c r="G37" s="50" t="str">
        <f>IF(OR($B37="",G$6=""),"",IF(COUNTIFS(_calc!$AE$2:$AE$3000,$B37&amp;"|"&amp;$D37,_calc!$A$2:$A$3000,$B$3,_calc!$C$2:$C$3000,G$6)=0,"",SUMIFS(_calc!$E$2:$E$3000,_calc!$AE$2:$AE$3000,$B37&amp;"|"&amp;$D37,_calc!$A$2:$A$3000,$B$3,_calc!$C$2:$C$3000,G$6)))</f>
        <v/>
      </c>
      <c r="H37" s="50" t="str">
        <f>IF(OR($B37="",H$6=""),"",IF(COUNTIFS(_calc!$AE$2:$AE$3000,$B37&amp;"|"&amp;$D37,_calc!$A$2:$A$3000,$B$3,_calc!$C$2:$C$3000,H$6)=0,"",SUMIFS(_calc!$E$2:$E$3000,_calc!$AE$2:$AE$3000,$B37&amp;"|"&amp;$D37,_calc!$A$2:$A$3000,$B$3,_calc!$C$2:$C$3000,H$6)))</f>
        <v/>
      </c>
      <c r="I37" s="50" t="str">
        <f>IF(OR($B37="",I$6=""),"",IF(COUNTIFS(_calc!$AE$2:$AE$3000,$B37&amp;"|"&amp;$D37,_calc!$A$2:$A$3000,$B$3,_calc!$C$2:$C$3000,I$6)=0,"",SUMIFS(_calc!$E$2:$E$3000,_calc!$AE$2:$AE$3000,$B37&amp;"|"&amp;$D37,_calc!$A$2:$A$3000,$B$3,_calc!$C$2:$C$3000,I$6)))</f>
        <v/>
      </c>
      <c r="J37" s="50" t="str">
        <f>IF(OR($B37="",J$6=""),"",IF(COUNTIFS(_calc!$AE$2:$AE$3000,$B37&amp;"|"&amp;$D37,_calc!$A$2:$A$3000,$B$3,_calc!$C$2:$C$3000,J$6)=0,"",SUMIFS(_calc!$E$2:$E$3000,_calc!$AE$2:$AE$3000,$B37&amp;"|"&amp;$D37,_calc!$A$2:$A$3000,$B$3,_calc!$C$2:$C$3000,J$6)))</f>
        <v/>
      </c>
      <c r="K37" s="50" t="str">
        <f>IF(OR($B37="",K$6=""),"",IF(COUNTIFS(_calc!$AE$2:$AE$3000,$B37&amp;"|"&amp;$D37,_calc!$A$2:$A$3000,$B$3,_calc!$C$2:$C$3000,K$6)=0,"",SUMIFS(_calc!$E$2:$E$3000,_calc!$AE$2:$AE$3000,$B37&amp;"|"&amp;$D37,_calc!$A$2:$A$3000,$B$3,_calc!$C$2:$C$3000,K$6)))</f>
        <v/>
      </c>
      <c r="L37" s="50" t="str">
        <f>IF(OR($B37="",L$6=""),"",IF(COUNTIFS(_calc!$AE$2:$AE$3000,$B37&amp;"|"&amp;$D37,_calc!$A$2:$A$3000,$B$3,_calc!$C$2:$C$3000,L$6)=0,"",SUMIFS(_calc!$E$2:$E$3000,_calc!$AE$2:$AE$3000,$B37&amp;"|"&amp;$D37,_calc!$A$2:$A$3000,$B$3,_calc!$C$2:$C$3000,L$6)))</f>
        <v/>
      </c>
      <c r="M37" s="50" t="str">
        <f>IF(OR($B37="",M$6=""),"",IF(COUNTIFS(_calc!$AE$2:$AE$3000,$B37&amp;"|"&amp;$D37,_calc!$A$2:$A$3000,$B$3,_calc!$C$2:$C$3000,M$6)=0,"",SUMIFS(_calc!$E$2:$E$3000,_calc!$AE$2:$AE$3000,$B37&amp;"|"&amp;$D37,_calc!$A$2:$A$3000,$B$3,_calc!$C$2:$C$3000,M$6)))</f>
        <v/>
      </c>
      <c r="N37" s="50" t="str">
        <f>IF(OR($B37="",N$6=""),"",IF(COUNTIFS(_calc!$AE$2:$AE$3000,$B37&amp;"|"&amp;$D37,_calc!$A$2:$A$3000,$B$3,_calc!$C$2:$C$3000,N$6)=0,"",SUMIFS(_calc!$E$2:$E$3000,_calc!$AE$2:$AE$3000,$B37&amp;"|"&amp;$D37,_calc!$A$2:$A$3000,$B$3,_calc!$C$2:$C$3000,N$6)))</f>
        <v/>
      </c>
      <c r="O37" s="50" t="str">
        <f>IF(OR($B37="",O$6=""),"",IF(COUNTIFS(_calc!$AE$2:$AE$3000,$B37&amp;"|"&amp;$D37,_calc!$A$2:$A$3000,$B$3,_calc!$C$2:$C$3000,O$6)=0,"",SUMIFS(_calc!$E$2:$E$3000,_calc!$AE$2:$AE$3000,$B37&amp;"|"&amp;$D37,_calc!$A$2:$A$3000,$B$3,_calc!$C$2:$C$3000,O$6)))</f>
        <v/>
      </c>
      <c r="P37" s="50" t="str">
        <f>IF(OR($B37="",P$6=""),"",IF(COUNTIFS(_calc!$AE$2:$AE$3000,$B37&amp;"|"&amp;$D37,_calc!$A$2:$A$3000,$B$3,_calc!$C$2:$C$3000,P$6)=0,"",SUMIFS(_calc!$E$2:$E$3000,_calc!$AE$2:$AE$3000,$B37&amp;"|"&amp;$D37,_calc!$A$2:$A$3000,$B$3,_calc!$C$2:$C$3000,P$6)))</f>
        <v/>
      </c>
      <c r="Q37" s="50" t="str">
        <f>IF(OR($B37="",Q$6=""),"",IF(COUNTIFS(_calc!$AE$2:$AE$3000,$B37&amp;"|"&amp;$D37,_calc!$A$2:$A$3000,$B$3,_calc!$C$2:$C$3000,Q$6)=0,"",SUMIFS(_calc!$E$2:$E$3000,_calc!$AE$2:$AE$3000,$B37&amp;"|"&amp;$D37,_calc!$A$2:$A$3000,$B$3,_calc!$C$2:$C$3000,Q$6)))</f>
        <v/>
      </c>
      <c r="R37" s="50" t="str">
        <f>IF(OR($B37="",R$6=""),"",IF(COUNTIFS(_calc!$AE$2:$AE$3000,$B37&amp;"|"&amp;$D37,_calc!$A$2:$A$3000,$B$3,_calc!$C$2:$C$3000,R$6)=0,"",SUMIFS(_calc!$E$2:$E$3000,_calc!$AE$2:$AE$3000,$B37&amp;"|"&amp;$D37,_calc!$A$2:$A$3000,$B$3,_calc!$C$2:$C$3000,R$6)))</f>
        <v/>
      </c>
      <c r="S37" s="50" t="str">
        <f>IF(OR($B37="",S$6=""),"",IF(COUNTIFS(_calc!$AE$2:$AE$3000,$B37&amp;"|"&amp;$D37,_calc!$A$2:$A$3000,$B$3,_calc!$C$2:$C$3000,S$6)=0,"",SUMIFS(_calc!$E$2:$E$3000,_calc!$AE$2:$AE$3000,$B37&amp;"|"&amp;$D37,_calc!$A$2:$A$3000,$B$3,_calc!$C$2:$C$3000,S$6)))</f>
        <v/>
      </c>
      <c r="T37" s="50" t="str">
        <f>IF(OR($B37="",T$6=""),"",IF(COUNTIFS(_calc!$AE$2:$AE$3000,$B37&amp;"|"&amp;$D37,_calc!$A$2:$A$3000,$B$3,_calc!$C$2:$C$3000,T$6)=0,"",SUMIFS(_calc!$E$2:$E$3000,_calc!$AE$2:$AE$3000,$B37&amp;"|"&amp;$D37,_calc!$A$2:$A$3000,$B$3,_calc!$C$2:$C$3000,T$6)))</f>
        <v/>
      </c>
      <c r="U37" s="50" t="str">
        <f>IF(OR($B37="",U$6=""),"",IF(COUNTIFS(_calc!$AE$2:$AE$3000,$B37&amp;"|"&amp;$D37,_calc!$A$2:$A$3000,$B$3,_calc!$C$2:$C$3000,U$6)=0,"",SUMIFS(_calc!$E$2:$E$3000,_calc!$AE$2:$AE$3000,$B37&amp;"|"&amp;$D37,_calc!$A$2:$A$3000,$B$3,_calc!$C$2:$C$3000,U$6)))</f>
        <v/>
      </c>
      <c r="V37" s="50" t="str">
        <f>IF(OR($B37="",V$6=""),"",IF(COUNTIFS(_calc!$AE$2:$AE$3000,$B37&amp;"|"&amp;$D37,_calc!$A$2:$A$3000,$B$3,_calc!$C$2:$C$3000,V$6)=0,"",SUMIFS(_calc!$E$2:$E$3000,_calc!$AE$2:$AE$3000,$B37&amp;"|"&amp;$D37,_calc!$A$2:$A$3000,$B$3,_calc!$C$2:$C$3000,V$6)))</f>
        <v/>
      </c>
      <c r="W37" s="50" t="str">
        <f>IF(OR($B37="",W$6=""),"",IF(COUNTIFS(_calc!$AE$2:$AE$3000,$B37&amp;"|"&amp;$D37,_calc!$A$2:$A$3000,$B$3,_calc!$C$2:$C$3000,W$6)=0,"",SUMIFS(_calc!$E$2:$E$3000,_calc!$AE$2:$AE$3000,$B37&amp;"|"&amp;$D37,_calc!$A$2:$A$3000,$B$3,_calc!$C$2:$C$3000,W$6)))</f>
        <v/>
      </c>
      <c r="X37" s="50" t="str">
        <f>IF(OR($B37="",X$6=""),"",IF(COUNTIFS(_calc!$AE$2:$AE$3000,$B37&amp;"|"&amp;$D37,_calc!$A$2:$A$3000,$B$3,_calc!$C$2:$C$3000,X$6)=0,"",SUMIFS(_calc!$E$2:$E$3000,_calc!$AE$2:$AE$3000,$B37&amp;"|"&amp;$D37,_calc!$A$2:$A$3000,$B$3,_calc!$C$2:$C$3000,X$6)))</f>
        <v/>
      </c>
      <c r="AA37" s="51"/>
      <c r="AB37" s="52" t="str">
        <f>IFERROR(INDEX(_calc!$I$2:$I$3000,MATCH(ROW()-8,_calc!$U$2:$U$3000,0)),"")</f>
        <v/>
      </c>
    </row>
    <row r="38" spans="1:28" ht="15" x14ac:dyDescent="0.5">
      <c r="A38" s="48">
        <v>32</v>
      </c>
      <c r="B38" s="49" t="str">
        <f>IFERROR(INDEX(_calc!$I$2:$I$3000,MATCH($A38,_calc!$AB$2:$AB$3000,0)),"")</f>
        <v/>
      </c>
      <c r="C38" s="49" t="str">
        <f>IFERROR(INDEX(_calc!$H$2:$H$3000,MATCH($A38,_calc!$AB$2:$AB$3000,0)),"")</f>
        <v/>
      </c>
      <c r="D38" s="49" t="str">
        <f>IFERROR(INDEX(_calc!$K$2:$K$3000,MATCH($A38,_calc!$AB$2:$AB$3000,0)),"")</f>
        <v/>
      </c>
      <c r="E38" s="50" t="str">
        <f>IF(OR($B38="",E$6=""),"",IF(COUNTIFS(_calc!$AE$2:$AE$3000,$B38&amp;"|"&amp;$D38,_calc!$A$2:$A$3000,$B$3,_calc!$C$2:$C$3000,E$6)=0,"",SUMIFS(_calc!$E$2:$E$3000,_calc!$AE$2:$AE$3000,$B38&amp;"|"&amp;$D38,_calc!$A$2:$A$3000,$B$3,_calc!$C$2:$C$3000,E$6)))</f>
        <v/>
      </c>
      <c r="F38" s="50" t="str">
        <f>IF(OR($B38="",F$6=""),"",IF(COUNTIFS(_calc!$AE$2:$AE$3000,$B38&amp;"|"&amp;$D38,_calc!$A$2:$A$3000,$B$3,_calc!$C$2:$C$3000,F$6)=0,"",SUMIFS(_calc!$E$2:$E$3000,_calc!$AE$2:$AE$3000,$B38&amp;"|"&amp;$D38,_calc!$A$2:$A$3000,$B$3,_calc!$C$2:$C$3000,F$6)))</f>
        <v/>
      </c>
      <c r="G38" s="50" t="str">
        <f>IF(OR($B38="",G$6=""),"",IF(COUNTIFS(_calc!$AE$2:$AE$3000,$B38&amp;"|"&amp;$D38,_calc!$A$2:$A$3000,$B$3,_calc!$C$2:$C$3000,G$6)=0,"",SUMIFS(_calc!$E$2:$E$3000,_calc!$AE$2:$AE$3000,$B38&amp;"|"&amp;$D38,_calc!$A$2:$A$3000,$B$3,_calc!$C$2:$C$3000,G$6)))</f>
        <v/>
      </c>
      <c r="H38" s="50" t="str">
        <f>IF(OR($B38="",H$6=""),"",IF(COUNTIFS(_calc!$AE$2:$AE$3000,$B38&amp;"|"&amp;$D38,_calc!$A$2:$A$3000,$B$3,_calc!$C$2:$C$3000,H$6)=0,"",SUMIFS(_calc!$E$2:$E$3000,_calc!$AE$2:$AE$3000,$B38&amp;"|"&amp;$D38,_calc!$A$2:$A$3000,$B$3,_calc!$C$2:$C$3000,H$6)))</f>
        <v/>
      </c>
      <c r="I38" s="50" t="str">
        <f>IF(OR($B38="",I$6=""),"",IF(COUNTIFS(_calc!$AE$2:$AE$3000,$B38&amp;"|"&amp;$D38,_calc!$A$2:$A$3000,$B$3,_calc!$C$2:$C$3000,I$6)=0,"",SUMIFS(_calc!$E$2:$E$3000,_calc!$AE$2:$AE$3000,$B38&amp;"|"&amp;$D38,_calc!$A$2:$A$3000,$B$3,_calc!$C$2:$C$3000,I$6)))</f>
        <v/>
      </c>
      <c r="J38" s="50" t="str">
        <f>IF(OR($B38="",J$6=""),"",IF(COUNTIFS(_calc!$AE$2:$AE$3000,$B38&amp;"|"&amp;$D38,_calc!$A$2:$A$3000,$B$3,_calc!$C$2:$C$3000,J$6)=0,"",SUMIFS(_calc!$E$2:$E$3000,_calc!$AE$2:$AE$3000,$B38&amp;"|"&amp;$D38,_calc!$A$2:$A$3000,$B$3,_calc!$C$2:$C$3000,J$6)))</f>
        <v/>
      </c>
      <c r="K38" s="50" t="str">
        <f>IF(OR($B38="",K$6=""),"",IF(COUNTIFS(_calc!$AE$2:$AE$3000,$B38&amp;"|"&amp;$D38,_calc!$A$2:$A$3000,$B$3,_calc!$C$2:$C$3000,K$6)=0,"",SUMIFS(_calc!$E$2:$E$3000,_calc!$AE$2:$AE$3000,$B38&amp;"|"&amp;$D38,_calc!$A$2:$A$3000,$B$3,_calc!$C$2:$C$3000,K$6)))</f>
        <v/>
      </c>
      <c r="L38" s="50" t="str">
        <f>IF(OR($B38="",L$6=""),"",IF(COUNTIFS(_calc!$AE$2:$AE$3000,$B38&amp;"|"&amp;$D38,_calc!$A$2:$A$3000,$B$3,_calc!$C$2:$C$3000,L$6)=0,"",SUMIFS(_calc!$E$2:$E$3000,_calc!$AE$2:$AE$3000,$B38&amp;"|"&amp;$D38,_calc!$A$2:$A$3000,$B$3,_calc!$C$2:$C$3000,L$6)))</f>
        <v/>
      </c>
      <c r="M38" s="50" t="str">
        <f>IF(OR($B38="",M$6=""),"",IF(COUNTIFS(_calc!$AE$2:$AE$3000,$B38&amp;"|"&amp;$D38,_calc!$A$2:$A$3000,$B$3,_calc!$C$2:$C$3000,M$6)=0,"",SUMIFS(_calc!$E$2:$E$3000,_calc!$AE$2:$AE$3000,$B38&amp;"|"&amp;$D38,_calc!$A$2:$A$3000,$B$3,_calc!$C$2:$C$3000,M$6)))</f>
        <v/>
      </c>
      <c r="N38" s="50" t="str">
        <f>IF(OR($B38="",N$6=""),"",IF(COUNTIFS(_calc!$AE$2:$AE$3000,$B38&amp;"|"&amp;$D38,_calc!$A$2:$A$3000,$B$3,_calc!$C$2:$C$3000,N$6)=0,"",SUMIFS(_calc!$E$2:$E$3000,_calc!$AE$2:$AE$3000,$B38&amp;"|"&amp;$D38,_calc!$A$2:$A$3000,$B$3,_calc!$C$2:$C$3000,N$6)))</f>
        <v/>
      </c>
      <c r="O38" s="50" t="str">
        <f>IF(OR($B38="",O$6=""),"",IF(COUNTIFS(_calc!$AE$2:$AE$3000,$B38&amp;"|"&amp;$D38,_calc!$A$2:$A$3000,$B$3,_calc!$C$2:$C$3000,O$6)=0,"",SUMIFS(_calc!$E$2:$E$3000,_calc!$AE$2:$AE$3000,$B38&amp;"|"&amp;$D38,_calc!$A$2:$A$3000,$B$3,_calc!$C$2:$C$3000,O$6)))</f>
        <v/>
      </c>
      <c r="P38" s="50" t="str">
        <f>IF(OR($B38="",P$6=""),"",IF(COUNTIFS(_calc!$AE$2:$AE$3000,$B38&amp;"|"&amp;$D38,_calc!$A$2:$A$3000,$B$3,_calc!$C$2:$C$3000,P$6)=0,"",SUMIFS(_calc!$E$2:$E$3000,_calc!$AE$2:$AE$3000,$B38&amp;"|"&amp;$D38,_calc!$A$2:$A$3000,$B$3,_calc!$C$2:$C$3000,P$6)))</f>
        <v/>
      </c>
      <c r="Q38" s="50" t="str">
        <f>IF(OR($B38="",Q$6=""),"",IF(COUNTIFS(_calc!$AE$2:$AE$3000,$B38&amp;"|"&amp;$D38,_calc!$A$2:$A$3000,$B$3,_calc!$C$2:$C$3000,Q$6)=0,"",SUMIFS(_calc!$E$2:$E$3000,_calc!$AE$2:$AE$3000,$B38&amp;"|"&amp;$D38,_calc!$A$2:$A$3000,$B$3,_calc!$C$2:$C$3000,Q$6)))</f>
        <v/>
      </c>
      <c r="R38" s="50" t="str">
        <f>IF(OR($B38="",R$6=""),"",IF(COUNTIFS(_calc!$AE$2:$AE$3000,$B38&amp;"|"&amp;$D38,_calc!$A$2:$A$3000,$B$3,_calc!$C$2:$C$3000,R$6)=0,"",SUMIFS(_calc!$E$2:$E$3000,_calc!$AE$2:$AE$3000,$B38&amp;"|"&amp;$D38,_calc!$A$2:$A$3000,$B$3,_calc!$C$2:$C$3000,R$6)))</f>
        <v/>
      </c>
      <c r="S38" s="50" t="str">
        <f>IF(OR($B38="",S$6=""),"",IF(COUNTIFS(_calc!$AE$2:$AE$3000,$B38&amp;"|"&amp;$D38,_calc!$A$2:$A$3000,$B$3,_calc!$C$2:$C$3000,S$6)=0,"",SUMIFS(_calc!$E$2:$E$3000,_calc!$AE$2:$AE$3000,$B38&amp;"|"&amp;$D38,_calc!$A$2:$A$3000,$B$3,_calc!$C$2:$C$3000,S$6)))</f>
        <v/>
      </c>
      <c r="T38" s="50" t="str">
        <f>IF(OR($B38="",T$6=""),"",IF(COUNTIFS(_calc!$AE$2:$AE$3000,$B38&amp;"|"&amp;$D38,_calc!$A$2:$A$3000,$B$3,_calc!$C$2:$C$3000,T$6)=0,"",SUMIFS(_calc!$E$2:$E$3000,_calc!$AE$2:$AE$3000,$B38&amp;"|"&amp;$D38,_calc!$A$2:$A$3000,$B$3,_calc!$C$2:$C$3000,T$6)))</f>
        <v/>
      </c>
      <c r="U38" s="50" t="str">
        <f>IF(OR($B38="",U$6=""),"",IF(COUNTIFS(_calc!$AE$2:$AE$3000,$B38&amp;"|"&amp;$D38,_calc!$A$2:$A$3000,$B$3,_calc!$C$2:$C$3000,U$6)=0,"",SUMIFS(_calc!$E$2:$E$3000,_calc!$AE$2:$AE$3000,$B38&amp;"|"&amp;$D38,_calc!$A$2:$A$3000,$B$3,_calc!$C$2:$C$3000,U$6)))</f>
        <v/>
      </c>
      <c r="V38" s="50" t="str">
        <f>IF(OR($B38="",V$6=""),"",IF(COUNTIFS(_calc!$AE$2:$AE$3000,$B38&amp;"|"&amp;$D38,_calc!$A$2:$A$3000,$B$3,_calc!$C$2:$C$3000,V$6)=0,"",SUMIFS(_calc!$E$2:$E$3000,_calc!$AE$2:$AE$3000,$B38&amp;"|"&amp;$D38,_calc!$A$2:$A$3000,$B$3,_calc!$C$2:$C$3000,V$6)))</f>
        <v/>
      </c>
      <c r="W38" s="50" t="str">
        <f>IF(OR($B38="",W$6=""),"",IF(COUNTIFS(_calc!$AE$2:$AE$3000,$B38&amp;"|"&amp;$D38,_calc!$A$2:$A$3000,$B$3,_calc!$C$2:$C$3000,W$6)=0,"",SUMIFS(_calc!$E$2:$E$3000,_calc!$AE$2:$AE$3000,$B38&amp;"|"&amp;$D38,_calc!$A$2:$A$3000,$B$3,_calc!$C$2:$C$3000,W$6)))</f>
        <v/>
      </c>
      <c r="X38" s="50" t="str">
        <f>IF(OR($B38="",X$6=""),"",IF(COUNTIFS(_calc!$AE$2:$AE$3000,$B38&amp;"|"&amp;$D38,_calc!$A$2:$A$3000,$B$3,_calc!$C$2:$C$3000,X$6)=0,"",SUMIFS(_calc!$E$2:$E$3000,_calc!$AE$2:$AE$3000,$B38&amp;"|"&amp;$D38,_calc!$A$2:$A$3000,$B$3,_calc!$C$2:$C$3000,X$6)))</f>
        <v/>
      </c>
      <c r="AA38" s="51"/>
      <c r="AB38" s="52" t="str">
        <f>IFERROR(INDEX(_calc!$I$2:$I$3000,MATCH(ROW()-8,_calc!$U$2:$U$3000,0)),"")</f>
        <v/>
      </c>
    </row>
    <row r="39" spans="1:28" x14ac:dyDescent="0.4">
      <c r="A39" s="48">
        <v>33</v>
      </c>
      <c r="B39" s="49" t="str">
        <f>IFERROR(INDEX(_calc!$I$2:$I$3000,MATCH($A39,_calc!$AB$2:$AB$3000,0)),"")</f>
        <v/>
      </c>
      <c r="C39" s="49" t="str">
        <f>IFERROR(INDEX(_calc!$H$2:$H$3000,MATCH($A39,_calc!$AB$2:$AB$3000,0)),"")</f>
        <v/>
      </c>
      <c r="D39" s="49" t="str">
        <f>IFERROR(INDEX(_calc!$K$2:$K$3000,MATCH($A39,_calc!$AB$2:$AB$3000,0)),"")</f>
        <v/>
      </c>
      <c r="E39" s="50" t="str">
        <f>IF(OR($B39="",E$6=""),"",IF(COUNTIFS(_calc!$AE$2:$AE$3000,$B39&amp;"|"&amp;$D39,_calc!$A$2:$A$3000,$B$3,_calc!$C$2:$C$3000,E$6)=0,"",SUMIFS(_calc!$E$2:$E$3000,_calc!$AE$2:$AE$3000,$B39&amp;"|"&amp;$D39,_calc!$A$2:$A$3000,$B$3,_calc!$C$2:$C$3000,E$6)))</f>
        <v/>
      </c>
      <c r="F39" s="50" t="str">
        <f>IF(OR($B39="",F$6=""),"",IF(COUNTIFS(_calc!$AE$2:$AE$3000,$B39&amp;"|"&amp;$D39,_calc!$A$2:$A$3000,$B$3,_calc!$C$2:$C$3000,F$6)=0,"",SUMIFS(_calc!$E$2:$E$3000,_calc!$AE$2:$AE$3000,$B39&amp;"|"&amp;$D39,_calc!$A$2:$A$3000,$B$3,_calc!$C$2:$C$3000,F$6)))</f>
        <v/>
      </c>
      <c r="G39" s="50" t="str">
        <f>IF(OR($B39="",G$6=""),"",IF(COUNTIFS(_calc!$AE$2:$AE$3000,$B39&amp;"|"&amp;$D39,_calc!$A$2:$A$3000,$B$3,_calc!$C$2:$C$3000,G$6)=0,"",SUMIFS(_calc!$E$2:$E$3000,_calc!$AE$2:$AE$3000,$B39&amp;"|"&amp;$D39,_calc!$A$2:$A$3000,$B$3,_calc!$C$2:$C$3000,G$6)))</f>
        <v/>
      </c>
      <c r="H39" s="50" t="str">
        <f>IF(OR($B39="",H$6=""),"",IF(COUNTIFS(_calc!$AE$2:$AE$3000,$B39&amp;"|"&amp;$D39,_calc!$A$2:$A$3000,$B$3,_calc!$C$2:$C$3000,H$6)=0,"",SUMIFS(_calc!$E$2:$E$3000,_calc!$AE$2:$AE$3000,$B39&amp;"|"&amp;$D39,_calc!$A$2:$A$3000,$B$3,_calc!$C$2:$C$3000,H$6)))</f>
        <v/>
      </c>
      <c r="I39" s="50" t="str">
        <f>IF(OR($B39="",I$6=""),"",IF(COUNTIFS(_calc!$AE$2:$AE$3000,$B39&amp;"|"&amp;$D39,_calc!$A$2:$A$3000,$B$3,_calc!$C$2:$C$3000,I$6)=0,"",SUMIFS(_calc!$E$2:$E$3000,_calc!$AE$2:$AE$3000,$B39&amp;"|"&amp;$D39,_calc!$A$2:$A$3000,$B$3,_calc!$C$2:$C$3000,I$6)))</f>
        <v/>
      </c>
      <c r="J39" s="50" t="str">
        <f>IF(OR($B39="",J$6=""),"",IF(COUNTIFS(_calc!$AE$2:$AE$3000,$B39&amp;"|"&amp;$D39,_calc!$A$2:$A$3000,$B$3,_calc!$C$2:$C$3000,J$6)=0,"",SUMIFS(_calc!$E$2:$E$3000,_calc!$AE$2:$AE$3000,$B39&amp;"|"&amp;$D39,_calc!$A$2:$A$3000,$B$3,_calc!$C$2:$C$3000,J$6)))</f>
        <v/>
      </c>
      <c r="K39" s="50" t="str">
        <f>IF(OR($B39="",K$6=""),"",IF(COUNTIFS(_calc!$AE$2:$AE$3000,$B39&amp;"|"&amp;$D39,_calc!$A$2:$A$3000,$B$3,_calc!$C$2:$C$3000,K$6)=0,"",SUMIFS(_calc!$E$2:$E$3000,_calc!$AE$2:$AE$3000,$B39&amp;"|"&amp;$D39,_calc!$A$2:$A$3000,$B$3,_calc!$C$2:$C$3000,K$6)))</f>
        <v/>
      </c>
      <c r="L39" s="50" t="str">
        <f>IF(OR($B39="",L$6=""),"",IF(COUNTIFS(_calc!$AE$2:$AE$3000,$B39&amp;"|"&amp;$D39,_calc!$A$2:$A$3000,$B$3,_calc!$C$2:$C$3000,L$6)=0,"",SUMIFS(_calc!$E$2:$E$3000,_calc!$AE$2:$AE$3000,$B39&amp;"|"&amp;$D39,_calc!$A$2:$A$3000,$B$3,_calc!$C$2:$C$3000,L$6)))</f>
        <v/>
      </c>
      <c r="M39" s="50" t="str">
        <f>IF(OR($B39="",M$6=""),"",IF(COUNTIFS(_calc!$AE$2:$AE$3000,$B39&amp;"|"&amp;$D39,_calc!$A$2:$A$3000,$B$3,_calc!$C$2:$C$3000,M$6)=0,"",SUMIFS(_calc!$E$2:$E$3000,_calc!$AE$2:$AE$3000,$B39&amp;"|"&amp;$D39,_calc!$A$2:$A$3000,$B$3,_calc!$C$2:$C$3000,M$6)))</f>
        <v/>
      </c>
      <c r="N39" s="50" t="str">
        <f>IF(OR($B39="",N$6=""),"",IF(COUNTIFS(_calc!$AE$2:$AE$3000,$B39&amp;"|"&amp;$D39,_calc!$A$2:$A$3000,$B$3,_calc!$C$2:$C$3000,N$6)=0,"",SUMIFS(_calc!$E$2:$E$3000,_calc!$AE$2:$AE$3000,$B39&amp;"|"&amp;$D39,_calc!$A$2:$A$3000,$B$3,_calc!$C$2:$C$3000,N$6)))</f>
        <v/>
      </c>
      <c r="O39" s="50" t="str">
        <f>IF(OR($B39="",O$6=""),"",IF(COUNTIFS(_calc!$AE$2:$AE$3000,$B39&amp;"|"&amp;$D39,_calc!$A$2:$A$3000,$B$3,_calc!$C$2:$C$3000,O$6)=0,"",SUMIFS(_calc!$E$2:$E$3000,_calc!$AE$2:$AE$3000,$B39&amp;"|"&amp;$D39,_calc!$A$2:$A$3000,$B$3,_calc!$C$2:$C$3000,O$6)))</f>
        <v/>
      </c>
      <c r="P39" s="50" t="str">
        <f>IF(OR($B39="",P$6=""),"",IF(COUNTIFS(_calc!$AE$2:$AE$3000,$B39&amp;"|"&amp;$D39,_calc!$A$2:$A$3000,$B$3,_calc!$C$2:$C$3000,P$6)=0,"",SUMIFS(_calc!$E$2:$E$3000,_calc!$AE$2:$AE$3000,$B39&amp;"|"&amp;$D39,_calc!$A$2:$A$3000,$B$3,_calc!$C$2:$C$3000,P$6)))</f>
        <v/>
      </c>
      <c r="Q39" s="50" t="str">
        <f>IF(OR($B39="",Q$6=""),"",IF(COUNTIFS(_calc!$AE$2:$AE$3000,$B39&amp;"|"&amp;$D39,_calc!$A$2:$A$3000,$B$3,_calc!$C$2:$C$3000,Q$6)=0,"",SUMIFS(_calc!$E$2:$E$3000,_calc!$AE$2:$AE$3000,$B39&amp;"|"&amp;$D39,_calc!$A$2:$A$3000,$B$3,_calc!$C$2:$C$3000,Q$6)))</f>
        <v/>
      </c>
      <c r="R39" s="50" t="str">
        <f>IF(OR($B39="",R$6=""),"",IF(COUNTIFS(_calc!$AE$2:$AE$3000,$B39&amp;"|"&amp;$D39,_calc!$A$2:$A$3000,$B$3,_calc!$C$2:$C$3000,R$6)=0,"",SUMIFS(_calc!$E$2:$E$3000,_calc!$AE$2:$AE$3000,$B39&amp;"|"&amp;$D39,_calc!$A$2:$A$3000,$B$3,_calc!$C$2:$C$3000,R$6)))</f>
        <v/>
      </c>
      <c r="S39" s="50" t="str">
        <f>IF(OR($B39="",S$6=""),"",IF(COUNTIFS(_calc!$AE$2:$AE$3000,$B39&amp;"|"&amp;$D39,_calc!$A$2:$A$3000,$B$3,_calc!$C$2:$C$3000,S$6)=0,"",SUMIFS(_calc!$E$2:$E$3000,_calc!$AE$2:$AE$3000,$B39&amp;"|"&amp;$D39,_calc!$A$2:$A$3000,$B$3,_calc!$C$2:$C$3000,S$6)))</f>
        <v/>
      </c>
      <c r="T39" s="50" t="str">
        <f>IF(OR($B39="",T$6=""),"",IF(COUNTIFS(_calc!$AE$2:$AE$3000,$B39&amp;"|"&amp;$D39,_calc!$A$2:$A$3000,$B$3,_calc!$C$2:$C$3000,T$6)=0,"",SUMIFS(_calc!$E$2:$E$3000,_calc!$AE$2:$AE$3000,$B39&amp;"|"&amp;$D39,_calc!$A$2:$A$3000,$B$3,_calc!$C$2:$C$3000,T$6)))</f>
        <v/>
      </c>
      <c r="U39" s="50" t="str">
        <f>IF(OR($B39="",U$6=""),"",IF(COUNTIFS(_calc!$AE$2:$AE$3000,$B39&amp;"|"&amp;$D39,_calc!$A$2:$A$3000,$B$3,_calc!$C$2:$C$3000,U$6)=0,"",SUMIFS(_calc!$E$2:$E$3000,_calc!$AE$2:$AE$3000,$B39&amp;"|"&amp;$D39,_calc!$A$2:$A$3000,$B$3,_calc!$C$2:$C$3000,U$6)))</f>
        <v/>
      </c>
      <c r="V39" s="50" t="str">
        <f>IF(OR($B39="",V$6=""),"",IF(COUNTIFS(_calc!$AE$2:$AE$3000,$B39&amp;"|"&amp;$D39,_calc!$A$2:$A$3000,$B$3,_calc!$C$2:$C$3000,V$6)=0,"",SUMIFS(_calc!$E$2:$E$3000,_calc!$AE$2:$AE$3000,$B39&amp;"|"&amp;$D39,_calc!$A$2:$A$3000,$B$3,_calc!$C$2:$C$3000,V$6)))</f>
        <v/>
      </c>
      <c r="W39" s="50" t="str">
        <f>IF(OR($B39="",W$6=""),"",IF(COUNTIFS(_calc!$AE$2:$AE$3000,$B39&amp;"|"&amp;$D39,_calc!$A$2:$A$3000,$B$3,_calc!$C$2:$C$3000,W$6)=0,"",SUMIFS(_calc!$E$2:$E$3000,_calc!$AE$2:$AE$3000,$B39&amp;"|"&amp;$D39,_calc!$A$2:$A$3000,$B$3,_calc!$C$2:$C$3000,W$6)))</f>
        <v/>
      </c>
      <c r="X39" s="50" t="str">
        <f>IF(OR($B39="",X$6=""),"",IF(COUNTIFS(_calc!$AE$2:$AE$3000,$B39&amp;"|"&amp;$D39,_calc!$A$2:$A$3000,$B$3,_calc!$C$2:$C$3000,X$6)=0,"",SUMIFS(_calc!$E$2:$E$3000,_calc!$AE$2:$AE$3000,$B39&amp;"|"&amp;$D39,_calc!$A$2:$A$3000,$B$3,_calc!$C$2:$C$3000,X$6)))</f>
        <v/>
      </c>
    </row>
    <row r="40" spans="1:28" x14ac:dyDescent="0.4">
      <c r="A40" s="48">
        <v>34</v>
      </c>
      <c r="B40" s="49" t="str">
        <f>IFERROR(INDEX(_calc!$I$2:$I$3000,MATCH($A40,_calc!$AB$2:$AB$3000,0)),"")</f>
        <v/>
      </c>
      <c r="C40" s="49" t="str">
        <f>IFERROR(INDEX(_calc!$H$2:$H$3000,MATCH($A40,_calc!$AB$2:$AB$3000,0)),"")</f>
        <v/>
      </c>
      <c r="D40" s="49" t="str">
        <f>IFERROR(INDEX(_calc!$K$2:$K$3000,MATCH($A40,_calc!$AB$2:$AB$3000,0)),"")</f>
        <v/>
      </c>
      <c r="E40" s="50" t="str">
        <f>IF(OR($B40="",E$6=""),"",IF(COUNTIFS(_calc!$AE$2:$AE$3000,$B40&amp;"|"&amp;$D40,_calc!$A$2:$A$3000,$B$3,_calc!$C$2:$C$3000,E$6)=0,"",SUMIFS(_calc!$E$2:$E$3000,_calc!$AE$2:$AE$3000,$B40&amp;"|"&amp;$D40,_calc!$A$2:$A$3000,$B$3,_calc!$C$2:$C$3000,E$6)))</f>
        <v/>
      </c>
      <c r="F40" s="50" t="str">
        <f>IF(OR($B40="",F$6=""),"",IF(COUNTIFS(_calc!$AE$2:$AE$3000,$B40&amp;"|"&amp;$D40,_calc!$A$2:$A$3000,$B$3,_calc!$C$2:$C$3000,F$6)=0,"",SUMIFS(_calc!$E$2:$E$3000,_calc!$AE$2:$AE$3000,$B40&amp;"|"&amp;$D40,_calc!$A$2:$A$3000,$B$3,_calc!$C$2:$C$3000,F$6)))</f>
        <v/>
      </c>
      <c r="G40" s="50" t="str">
        <f>IF(OR($B40="",G$6=""),"",IF(COUNTIFS(_calc!$AE$2:$AE$3000,$B40&amp;"|"&amp;$D40,_calc!$A$2:$A$3000,$B$3,_calc!$C$2:$C$3000,G$6)=0,"",SUMIFS(_calc!$E$2:$E$3000,_calc!$AE$2:$AE$3000,$B40&amp;"|"&amp;$D40,_calc!$A$2:$A$3000,$B$3,_calc!$C$2:$C$3000,G$6)))</f>
        <v/>
      </c>
      <c r="H40" s="50" t="str">
        <f>IF(OR($B40="",H$6=""),"",IF(COUNTIFS(_calc!$AE$2:$AE$3000,$B40&amp;"|"&amp;$D40,_calc!$A$2:$A$3000,$B$3,_calc!$C$2:$C$3000,H$6)=0,"",SUMIFS(_calc!$E$2:$E$3000,_calc!$AE$2:$AE$3000,$B40&amp;"|"&amp;$D40,_calc!$A$2:$A$3000,$B$3,_calc!$C$2:$C$3000,H$6)))</f>
        <v/>
      </c>
      <c r="I40" s="50" t="str">
        <f>IF(OR($B40="",I$6=""),"",IF(COUNTIFS(_calc!$AE$2:$AE$3000,$B40&amp;"|"&amp;$D40,_calc!$A$2:$A$3000,$B$3,_calc!$C$2:$C$3000,I$6)=0,"",SUMIFS(_calc!$E$2:$E$3000,_calc!$AE$2:$AE$3000,$B40&amp;"|"&amp;$D40,_calc!$A$2:$A$3000,$B$3,_calc!$C$2:$C$3000,I$6)))</f>
        <v/>
      </c>
      <c r="J40" s="50" t="str">
        <f>IF(OR($B40="",J$6=""),"",IF(COUNTIFS(_calc!$AE$2:$AE$3000,$B40&amp;"|"&amp;$D40,_calc!$A$2:$A$3000,$B$3,_calc!$C$2:$C$3000,J$6)=0,"",SUMIFS(_calc!$E$2:$E$3000,_calc!$AE$2:$AE$3000,$B40&amp;"|"&amp;$D40,_calc!$A$2:$A$3000,$B$3,_calc!$C$2:$C$3000,J$6)))</f>
        <v/>
      </c>
      <c r="K40" s="50" t="str">
        <f>IF(OR($B40="",K$6=""),"",IF(COUNTIFS(_calc!$AE$2:$AE$3000,$B40&amp;"|"&amp;$D40,_calc!$A$2:$A$3000,$B$3,_calc!$C$2:$C$3000,K$6)=0,"",SUMIFS(_calc!$E$2:$E$3000,_calc!$AE$2:$AE$3000,$B40&amp;"|"&amp;$D40,_calc!$A$2:$A$3000,$B$3,_calc!$C$2:$C$3000,K$6)))</f>
        <v/>
      </c>
      <c r="L40" s="50" t="str">
        <f>IF(OR($B40="",L$6=""),"",IF(COUNTIFS(_calc!$AE$2:$AE$3000,$B40&amp;"|"&amp;$D40,_calc!$A$2:$A$3000,$B$3,_calc!$C$2:$C$3000,L$6)=0,"",SUMIFS(_calc!$E$2:$E$3000,_calc!$AE$2:$AE$3000,$B40&amp;"|"&amp;$D40,_calc!$A$2:$A$3000,$B$3,_calc!$C$2:$C$3000,L$6)))</f>
        <v/>
      </c>
      <c r="M40" s="50" t="str">
        <f>IF(OR($B40="",M$6=""),"",IF(COUNTIFS(_calc!$AE$2:$AE$3000,$B40&amp;"|"&amp;$D40,_calc!$A$2:$A$3000,$B$3,_calc!$C$2:$C$3000,M$6)=0,"",SUMIFS(_calc!$E$2:$E$3000,_calc!$AE$2:$AE$3000,$B40&amp;"|"&amp;$D40,_calc!$A$2:$A$3000,$B$3,_calc!$C$2:$C$3000,M$6)))</f>
        <v/>
      </c>
      <c r="N40" s="50" t="str">
        <f>IF(OR($B40="",N$6=""),"",IF(COUNTIFS(_calc!$AE$2:$AE$3000,$B40&amp;"|"&amp;$D40,_calc!$A$2:$A$3000,$B$3,_calc!$C$2:$C$3000,N$6)=0,"",SUMIFS(_calc!$E$2:$E$3000,_calc!$AE$2:$AE$3000,$B40&amp;"|"&amp;$D40,_calc!$A$2:$A$3000,$B$3,_calc!$C$2:$C$3000,N$6)))</f>
        <v/>
      </c>
      <c r="O40" s="50" t="str">
        <f>IF(OR($B40="",O$6=""),"",IF(COUNTIFS(_calc!$AE$2:$AE$3000,$B40&amp;"|"&amp;$D40,_calc!$A$2:$A$3000,$B$3,_calc!$C$2:$C$3000,O$6)=0,"",SUMIFS(_calc!$E$2:$E$3000,_calc!$AE$2:$AE$3000,$B40&amp;"|"&amp;$D40,_calc!$A$2:$A$3000,$B$3,_calc!$C$2:$C$3000,O$6)))</f>
        <v/>
      </c>
      <c r="P40" s="50" t="str">
        <f>IF(OR($B40="",P$6=""),"",IF(COUNTIFS(_calc!$AE$2:$AE$3000,$B40&amp;"|"&amp;$D40,_calc!$A$2:$A$3000,$B$3,_calc!$C$2:$C$3000,P$6)=0,"",SUMIFS(_calc!$E$2:$E$3000,_calc!$AE$2:$AE$3000,$B40&amp;"|"&amp;$D40,_calc!$A$2:$A$3000,$B$3,_calc!$C$2:$C$3000,P$6)))</f>
        <v/>
      </c>
      <c r="Q40" s="50" t="str">
        <f>IF(OR($B40="",Q$6=""),"",IF(COUNTIFS(_calc!$AE$2:$AE$3000,$B40&amp;"|"&amp;$D40,_calc!$A$2:$A$3000,$B$3,_calc!$C$2:$C$3000,Q$6)=0,"",SUMIFS(_calc!$E$2:$E$3000,_calc!$AE$2:$AE$3000,$B40&amp;"|"&amp;$D40,_calc!$A$2:$A$3000,$B$3,_calc!$C$2:$C$3000,Q$6)))</f>
        <v/>
      </c>
      <c r="R40" s="50" t="str">
        <f>IF(OR($B40="",R$6=""),"",IF(COUNTIFS(_calc!$AE$2:$AE$3000,$B40&amp;"|"&amp;$D40,_calc!$A$2:$A$3000,$B$3,_calc!$C$2:$C$3000,R$6)=0,"",SUMIFS(_calc!$E$2:$E$3000,_calc!$AE$2:$AE$3000,$B40&amp;"|"&amp;$D40,_calc!$A$2:$A$3000,$B$3,_calc!$C$2:$C$3000,R$6)))</f>
        <v/>
      </c>
      <c r="S40" s="50" t="str">
        <f>IF(OR($B40="",S$6=""),"",IF(COUNTIFS(_calc!$AE$2:$AE$3000,$B40&amp;"|"&amp;$D40,_calc!$A$2:$A$3000,$B$3,_calc!$C$2:$C$3000,S$6)=0,"",SUMIFS(_calc!$E$2:$E$3000,_calc!$AE$2:$AE$3000,$B40&amp;"|"&amp;$D40,_calc!$A$2:$A$3000,$B$3,_calc!$C$2:$C$3000,S$6)))</f>
        <v/>
      </c>
      <c r="T40" s="50" t="str">
        <f>IF(OR($B40="",T$6=""),"",IF(COUNTIFS(_calc!$AE$2:$AE$3000,$B40&amp;"|"&amp;$D40,_calc!$A$2:$A$3000,$B$3,_calc!$C$2:$C$3000,T$6)=0,"",SUMIFS(_calc!$E$2:$E$3000,_calc!$AE$2:$AE$3000,$B40&amp;"|"&amp;$D40,_calc!$A$2:$A$3000,$B$3,_calc!$C$2:$C$3000,T$6)))</f>
        <v/>
      </c>
      <c r="U40" s="50" t="str">
        <f>IF(OR($B40="",U$6=""),"",IF(COUNTIFS(_calc!$AE$2:$AE$3000,$B40&amp;"|"&amp;$D40,_calc!$A$2:$A$3000,$B$3,_calc!$C$2:$C$3000,U$6)=0,"",SUMIFS(_calc!$E$2:$E$3000,_calc!$AE$2:$AE$3000,$B40&amp;"|"&amp;$D40,_calc!$A$2:$A$3000,$B$3,_calc!$C$2:$C$3000,U$6)))</f>
        <v/>
      </c>
      <c r="V40" s="50" t="str">
        <f>IF(OR($B40="",V$6=""),"",IF(COUNTIFS(_calc!$AE$2:$AE$3000,$B40&amp;"|"&amp;$D40,_calc!$A$2:$A$3000,$B$3,_calc!$C$2:$C$3000,V$6)=0,"",SUMIFS(_calc!$E$2:$E$3000,_calc!$AE$2:$AE$3000,$B40&amp;"|"&amp;$D40,_calc!$A$2:$A$3000,$B$3,_calc!$C$2:$C$3000,V$6)))</f>
        <v/>
      </c>
      <c r="W40" s="50" t="str">
        <f>IF(OR($B40="",W$6=""),"",IF(COUNTIFS(_calc!$AE$2:$AE$3000,$B40&amp;"|"&amp;$D40,_calc!$A$2:$A$3000,$B$3,_calc!$C$2:$C$3000,W$6)=0,"",SUMIFS(_calc!$E$2:$E$3000,_calc!$AE$2:$AE$3000,$B40&amp;"|"&amp;$D40,_calc!$A$2:$A$3000,$B$3,_calc!$C$2:$C$3000,W$6)))</f>
        <v/>
      </c>
      <c r="X40" s="50" t="str">
        <f>IF(OR($B40="",X$6=""),"",IF(COUNTIFS(_calc!$AE$2:$AE$3000,$B40&amp;"|"&amp;$D40,_calc!$A$2:$A$3000,$B$3,_calc!$C$2:$C$3000,X$6)=0,"",SUMIFS(_calc!$E$2:$E$3000,_calc!$AE$2:$AE$3000,$B40&amp;"|"&amp;$D40,_calc!$A$2:$A$3000,$B$3,_calc!$C$2:$C$3000,X$6)))</f>
        <v/>
      </c>
    </row>
    <row r="41" spans="1:28" x14ac:dyDescent="0.4">
      <c r="A41" s="48">
        <v>35</v>
      </c>
      <c r="B41" s="49" t="str">
        <f>IFERROR(INDEX(_calc!$I$2:$I$3000,MATCH($A41,_calc!$AB$2:$AB$3000,0)),"")</f>
        <v/>
      </c>
      <c r="C41" s="49" t="str">
        <f>IFERROR(INDEX(_calc!$H$2:$H$3000,MATCH($A41,_calc!$AB$2:$AB$3000,0)),"")</f>
        <v/>
      </c>
      <c r="D41" s="49" t="str">
        <f>IFERROR(INDEX(_calc!$K$2:$K$3000,MATCH($A41,_calc!$AB$2:$AB$3000,0)),"")</f>
        <v/>
      </c>
      <c r="E41" s="50" t="str">
        <f>IF(OR($B41="",E$6=""),"",IF(COUNTIFS(_calc!$AE$2:$AE$3000,$B41&amp;"|"&amp;$D41,_calc!$A$2:$A$3000,$B$3,_calc!$C$2:$C$3000,E$6)=0,"",SUMIFS(_calc!$E$2:$E$3000,_calc!$AE$2:$AE$3000,$B41&amp;"|"&amp;$D41,_calc!$A$2:$A$3000,$B$3,_calc!$C$2:$C$3000,E$6)))</f>
        <v/>
      </c>
      <c r="F41" s="50" t="str">
        <f>IF(OR($B41="",F$6=""),"",IF(COUNTIFS(_calc!$AE$2:$AE$3000,$B41&amp;"|"&amp;$D41,_calc!$A$2:$A$3000,$B$3,_calc!$C$2:$C$3000,F$6)=0,"",SUMIFS(_calc!$E$2:$E$3000,_calc!$AE$2:$AE$3000,$B41&amp;"|"&amp;$D41,_calc!$A$2:$A$3000,$B$3,_calc!$C$2:$C$3000,F$6)))</f>
        <v/>
      </c>
      <c r="G41" s="50" t="str">
        <f>IF(OR($B41="",G$6=""),"",IF(COUNTIFS(_calc!$AE$2:$AE$3000,$B41&amp;"|"&amp;$D41,_calc!$A$2:$A$3000,$B$3,_calc!$C$2:$C$3000,G$6)=0,"",SUMIFS(_calc!$E$2:$E$3000,_calc!$AE$2:$AE$3000,$B41&amp;"|"&amp;$D41,_calc!$A$2:$A$3000,$B$3,_calc!$C$2:$C$3000,G$6)))</f>
        <v/>
      </c>
      <c r="H41" s="50" t="str">
        <f>IF(OR($B41="",H$6=""),"",IF(COUNTIFS(_calc!$AE$2:$AE$3000,$B41&amp;"|"&amp;$D41,_calc!$A$2:$A$3000,$B$3,_calc!$C$2:$C$3000,H$6)=0,"",SUMIFS(_calc!$E$2:$E$3000,_calc!$AE$2:$AE$3000,$B41&amp;"|"&amp;$D41,_calc!$A$2:$A$3000,$B$3,_calc!$C$2:$C$3000,H$6)))</f>
        <v/>
      </c>
      <c r="I41" s="50" t="str">
        <f>IF(OR($B41="",I$6=""),"",IF(COUNTIFS(_calc!$AE$2:$AE$3000,$B41&amp;"|"&amp;$D41,_calc!$A$2:$A$3000,$B$3,_calc!$C$2:$C$3000,I$6)=0,"",SUMIFS(_calc!$E$2:$E$3000,_calc!$AE$2:$AE$3000,$B41&amp;"|"&amp;$D41,_calc!$A$2:$A$3000,$B$3,_calc!$C$2:$C$3000,I$6)))</f>
        <v/>
      </c>
      <c r="J41" s="50" t="str">
        <f>IF(OR($B41="",J$6=""),"",IF(COUNTIFS(_calc!$AE$2:$AE$3000,$B41&amp;"|"&amp;$D41,_calc!$A$2:$A$3000,$B$3,_calc!$C$2:$C$3000,J$6)=0,"",SUMIFS(_calc!$E$2:$E$3000,_calc!$AE$2:$AE$3000,$B41&amp;"|"&amp;$D41,_calc!$A$2:$A$3000,$B$3,_calc!$C$2:$C$3000,J$6)))</f>
        <v/>
      </c>
      <c r="K41" s="50" t="str">
        <f>IF(OR($B41="",K$6=""),"",IF(COUNTIFS(_calc!$AE$2:$AE$3000,$B41&amp;"|"&amp;$D41,_calc!$A$2:$A$3000,$B$3,_calc!$C$2:$C$3000,K$6)=0,"",SUMIFS(_calc!$E$2:$E$3000,_calc!$AE$2:$AE$3000,$B41&amp;"|"&amp;$D41,_calc!$A$2:$A$3000,$B$3,_calc!$C$2:$C$3000,K$6)))</f>
        <v/>
      </c>
      <c r="L41" s="50" t="str">
        <f>IF(OR($B41="",L$6=""),"",IF(COUNTIFS(_calc!$AE$2:$AE$3000,$B41&amp;"|"&amp;$D41,_calc!$A$2:$A$3000,$B$3,_calc!$C$2:$C$3000,L$6)=0,"",SUMIFS(_calc!$E$2:$E$3000,_calc!$AE$2:$AE$3000,$B41&amp;"|"&amp;$D41,_calc!$A$2:$A$3000,$B$3,_calc!$C$2:$C$3000,L$6)))</f>
        <v/>
      </c>
      <c r="M41" s="50" t="str">
        <f>IF(OR($B41="",M$6=""),"",IF(COUNTIFS(_calc!$AE$2:$AE$3000,$B41&amp;"|"&amp;$D41,_calc!$A$2:$A$3000,$B$3,_calc!$C$2:$C$3000,M$6)=0,"",SUMIFS(_calc!$E$2:$E$3000,_calc!$AE$2:$AE$3000,$B41&amp;"|"&amp;$D41,_calc!$A$2:$A$3000,$B$3,_calc!$C$2:$C$3000,M$6)))</f>
        <v/>
      </c>
      <c r="N41" s="50" t="str">
        <f>IF(OR($B41="",N$6=""),"",IF(COUNTIFS(_calc!$AE$2:$AE$3000,$B41&amp;"|"&amp;$D41,_calc!$A$2:$A$3000,$B$3,_calc!$C$2:$C$3000,N$6)=0,"",SUMIFS(_calc!$E$2:$E$3000,_calc!$AE$2:$AE$3000,$B41&amp;"|"&amp;$D41,_calc!$A$2:$A$3000,$B$3,_calc!$C$2:$C$3000,N$6)))</f>
        <v/>
      </c>
      <c r="O41" s="50" t="str">
        <f>IF(OR($B41="",O$6=""),"",IF(COUNTIFS(_calc!$AE$2:$AE$3000,$B41&amp;"|"&amp;$D41,_calc!$A$2:$A$3000,$B$3,_calc!$C$2:$C$3000,O$6)=0,"",SUMIFS(_calc!$E$2:$E$3000,_calc!$AE$2:$AE$3000,$B41&amp;"|"&amp;$D41,_calc!$A$2:$A$3000,$B$3,_calc!$C$2:$C$3000,O$6)))</f>
        <v/>
      </c>
      <c r="P41" s="50" t="str">
        <f>IF(OR($B41="",P$6=""),"",IF(COUNTIFS(_calc!$AE$2:$AE$3000,$B41&amp;"|"&amp;$D41,_calc!$A$2:$A$3000,$B$3,_calc!$C$2:$C$3000,P$6)=0,"",SUMIFS(_calc!$E$2:$E$3000,_calc!$AE$2:$AE$3000,$B41&amp;"|"&amp;$D41,_calc!$A$2:$A$3000,$B$3,_calc!$C$2:$C$3000,P$6)))</f>
        <v/>
      </c>
      <c r="Q41" s="50" t="str">
        <f>IF(OR($B41="",Q$6=""),"",IF(COUNTIFS(_calc!$AE$2:$AE$3000,$B41&amp;"|"&amp;$D41,_calc!$A$2:$A$3000,$B$3,_calc!$C$2:$C$3000,Q$6)=0,"",SUMIFS(_calc!$E$2:$E$3000,_calc!$AE$2:$AE$3000,$B41&amp;"|"&amp;$D41,_calc!$A$2:$A$3000,$B$3,_calc!$C$2:$C$3000,Q$6)))</f>
        <v/>
      </c>
      <c r="R41" s="50" t="str">
        <f>IF(OR($B41="",R$6=""),"",IF(COUNTIFS(_calc!$AE$2:$AE$3000,$B41&amp;"|"&amp;$D41,_calc!$A$2:$A$3000,$B$3,_calc!$C$2:$C$3000,R$6)=0,"",SUMIFS(_calc!$E$2:$E$3000,_calc!$AE$2:$AE$3000,$B41&amp;"|"&amp;$D41,_calc!$A$2:$A$3000,$B$3,_calc!$C$2:$C$3000,R$6)))</f>
        <v/>
      </c>
      <c r="S41" s="50" t="str">
        <f>IF(OR($B41="",S$6=""),"",IF(COUNTIFS(_calc!$AE$2:$AE$3000,$B41&amp;"|"&amp;$D41,_calc!$A$2:$A$3000,$B$3,_calc!$C$2:$C$3000,S$6)=0,"",SUMIFS(_calc!$E$2:$E$3000,_calc!$AE$2:$AE$3000,$B41&amp;"|"&amp;$D41,_calc!$A$2:$A$3000,$B$3,_calc!$C$2:$C$3000,S$6)))</f>
        <v/>
      </c>
      <c r="T41" s="50" t="str">
        <f>IF(OR($B41="",T$6=""),"",IF(COUNTIFS(_calc!$AE$2:$AE$3000,$B41&amp;"|"&amp;$D41,_calc!$A$2:$A$3000,$B$3,_calc!$C$2:$C$3000,T$6)=0,"",SUMIFS(_calc!$E$2:$E$3000,_calc!$AE$2:$AE$3000,$B41&amp;"|"&amp;$D41,_calc!$A$2:$A$3000,$B$3,_calc!$C$2:$C$3000,T$6)))</f>
        <v/>
      </c>
      <c r="U41" s="50" t="str">
        <f>IF(OR($B41="",U$6=""),"",IF(COUNTIFS(_calc!$AE$2:$AE$3000,$B41&amp;"|"&amp;$D41,_calc!$A$2:$A$3000,$B$3,_calc!$C$2:$C$3000,U$6)=0,"",SUMIFS(_calc!$E$2:$E$3000,_calc!$AE$2:$AE$3000,$B41&amp;"|"&amp;$D41,_calc!$A$2:$A$3000,$B$3,_calc!$C$2:$C$3000,U$6)))</f>
        <v/>
      </c>
      <c r="V41" s="50" t="str">
        <f>IF(OR($B41="",V$6=""),"",IF(COUNTIFS(_calc!$AE$2:$AE$3000,$B41&amp;"|"&amp;$D41,_calc!$A$2:$A$3000,$B$3,_calc!$C$2:$C$3000,V$6)=0,"",SUMIFS(_calc!$E$2:$E$3000,_calc!$AE$2:$AE$3000,$B41&amp;"|"&amp;$D41,_calc!$A$2:$A$3000,$B$3,_calc!$C$2:$C$3000,V$6)))</f>
        <v/>
      </c>
      <c r="W41" s="50" t="str">
        <f>IF(OR($B41="",W$6=""),"",IF(COUNTIFS(_calc!$AE$2:$AE$3000,$B41&amp;"|"&amp;$D41,_calc!$A$2:$A$3000,$B$3,_calc!$C$2:$C$3000,W$6)=0,"",SUMIFS(_calc!$E$2:$E$3000,_calc!$AE$2:$AE$3000,$B41&amp;"|"&amp;$D41,_calc!$A$2:$A$3000,$B$3,_calc!$C$2:$C$3000,W$6)))</f>
        <v/>
      </c>
      <c r="X41" s="50" t="str">
        <f>IF(OR($B41="",X$6=""),"",IF(COUNTIFS(_calc!$AE$2:$AE$3000,$B41&amp;"|"&amp;$D41,_calc!$A$2:$A$3000,$B$3,_calc!$C$2:$C$3000,X$6)=0,"",SUMIFS(_calc!$E$2:$E$3000,_calc!$AE$2:$AE$3000,$B41&amp;"|"&amp;$D41,_calc!$A$2:$A$3000,$B$3,_calc!$C$2:$C$3000,X$6)))</f>
        <v/>
      </c>
    </row>
    <row r="42" spans="1:28" x14ac:dyDescent="0.4">
      <c r="A42" s="48">
        <v>36</v>
      </c>
      <c r="B42" s="49" t="str">
        <f>IFERROR(INDEX(_calc!$I$2:$I$3000,MATCH($A42,_calc!$AB$2:$AB$3000,0)),"")</f>
        <v/>
      </c>
      <c r="C42" s="49" t="str">
        <f>IFERROR(INDEX(_calc!$H$2:$H$3000,MATCH($A42,_calc!$AB$2:$AB$3000,0)),"")</f>
        <v/>
      </c>
      <c r="D42" s="49" t="str">
        <f>IFERROR(INDEX(_calc!$K$2:$K$3000,MATCH($A42,_calc!$AB$2:$AB$3000,0)),"")</f>
        <v/>
      </c>
      <c r="E42" s="50" t="str">
        <f>IF(OR($B42="",E$6=""),"",IF(COUNTIFS(_calc!$AE$2:$AE$3000,$B42&amp;"|"&amp;$D42,_calc!$A$2:$A$3000,$B$3,_calc!$C$2:$C$3000,E$6)=0,"",SUMIFS(_calc!$E$2:$E$3000,_calc!$AE$2:$AE$3000,$B42&amp;"|"&amp;$D42,_calc!$A$2:$A$3000,$B$3,_calc!$C$2:$C$3000,E$6)))</f>
        <v/>
      </c>
      <c r="F42" s="50" t="str">
        <f>IF(OR($B42="",F$6=""),"",IF(COUNTIFS(_calc!$AE$2:$AE$3000,$B42&amp;"|"&amp;$D42,_calc!$A$2:$A$3000,$B$3,_calc!$C$2:$C$3000,F$6)=0,"",SUMIFS(_calc!$E$2:$E$3000,_calc!$AE$2:$AE$3000,$B42&amp;"|"&amp;$D42,_calc!$A$2:$A$3000,$B$3,_calc!$C$2:$C$3000,F$6)))</f>
        <v/>
      </c>
      <c r="G42" s="50" t="str">
        <f>IF(OR($B42="",G$6=""),"",IF(COUNTIFS(_calc!$AE$2:$AE$3000,$B42&amp;"|"&amp;$D42,_calc!$A$2:$A$3000,$B$3,_calc!$C$2:$C$3000,G$6)=0,"",SUMIFS(_calc!$E$2:$E$3000,_calc!$AE$2:$AE$3000,$B42&amp;"|"&amp;$D42,_calc!$A$2:$A$3000,$B$3,_calc!$C$2:$C$3000,G$6)))</f>
        <v/>
      </c>
      <c r="H42" s="50" t="str">
        <f>IF(OR($B42="",H$6=""),"",IF(COUNTIFS(_calc!$AE$2:$AE$3000,$B42&amp;"|"&amp;$D42,_calc!$A$2:$A$3000,$B$3,_calc!$C$2:$C$3000,H$6)=0,"",SUMIFS(_calc!$E$2:$E$3000,_calc!$AE$2:$AE$3000,$B42&amp;"|"&amp;$D42,_calc!$A$2:$A$3000,$B$3,_calc!$C$2:$C$3000,H$6)))</f>
        <v/>
      </c>
      <c r="I42" s="50" t="str">
        <f>IF(OR($B42="",I$6=""),"",IF(COUNTIFS(_calc!$AE$2:$AE$3000,$B42&amp;"|"&amp;$D42,_calc!$A$2:$A$3000,$B$3,_calc!$C$2:$C$3000,I$6)=0,"",SUMIFS(_calc!$E$2:$E$3000,_calc!$AE$2:$AE$3000,$B42&amp;"|"&amp;$D42,_calc!$A$2:$A$3000,$B$3,_calc!$C$2:$C$3000,I$6)))</f>
        <v/>
      </c>
      <c r="J42" s="50" t="str">
        <f>IF(OR($B42="",J$6=""),"",IF(COUNTIFS(_calc!$AE$2:$AE$3000,$B42&amp;"|"&amp;$D42,_calc!$A$2:$A$3000,$B$3,_calc!$C$2:$C$3000,J$6)=0,"",SUMIFS(_calc!$E$2:$E$3000,_calc!$AE$2:$AE$3000,$B42&amp;"|"&amp;$D42,_calc!$A$2:$A$3000,$B$3,_calc!$C$2:$C$3000,J$6)))</f>
        <v/>
      </c>
      <c r="K42" s="50" t="str">
        <f>IF(OR($B42="",K$6=""),"",IF(COUNTIFS(_calc!$AE$2:$AE$3000,$B42&amp;"|"&amp;$D42,_calc!$A$2:$A$3000,$B$3,_calc!$C$2:$C$3000,K$6)=0,"",SUMIFS(_calc!$E$2:$E$3000,_calc!$AE$2:$AE$3000,$B42&amp;"|"&amp;$D42,_calc!$A$2:$A$3000,$B$3,_calc!$C$2:$C$3000,K$6)))</f>
        <v/>
      </c>
      <c r="L42" s="50" t="str">
        <f>IF(OR($B42="",L$6=""),"",IF(COUNTIFS(_calc!$AE$2:$AE$3000,$B42&amp;"|"&amp;$D42,_calc!$A$2:$A$3000,$B$3,_calc!$C$2:$C$3000,L$6)=0,"",SUMIFS(_calc!$E$2:$E$3000,_calc!$AE$2:$AE$3000,$B42&amp;"|"&amp;$D42,_calc!$A$2:$A$3000,$B$3,_calc!$C$2:$C$3000,L$6)))</f>
        <v/>
      </c>
      <c r="M42" s="50" t="str">
        <f>IF(OR($B42="",M$6=""),"",IF(COUNTIFS(_calc!$AE$2:$AE$3000,$B42&amp;"|"&amp;$D42,_calc!$A$2:$A$3000,$B$3,_calc!$C$2:$C$3000,M$6)=0,"",SUMIFS(_calc!$E$2:$E$3000,_calc!$AE$2:$AE$3000,$B42&amp;"|"&amp;$D42,_calc!$A$2:$A$3000,$B$3,_calc!$C$2:$C$3000,M$6)))</f>
        <v/>
      </c>
      <c r="N42" s="50" t="str">
        <f>IF(OR($B42="",N$6=""),"",IF(COUNTIFS(_calc!$AE$2:$AE$3000,$B42&amp;"|"&amp;$D42,_calc!$A$2:$A$3000,$B$3,_calc!$C$2:$C$3000,N$6)=0,"",SUMIFS(_calc!$E$2:$E$3000,_calc!$AE$2:$AE$3000,$B42&amp;"|"&amp;$D42,_calc!$A$2:$A$3000,$B$3,_calc!$C$2:$C$3000,N$6)))</f>
        <v/>
      </c>
      <c r="O42" s="50" t="str">
        <f>IF(OR($B42="",O$6=""),"",IF(COUNTIFS(_calc!$AE$2:$AE$3000,$B42&amp;"|"&amp;$D42,_calc!$A$2:$A$3000,$B$3,_calc!$C$2:$C$3000,O$6)=0,"",SUMIFS(_calc!$E$2:$E$3000,_calc!$AE$2:$AE$3000,$B42&amp;"|"&amp;$D42,_calc!$A$2:$A$3000,$B$3,_calc!$C$2:$C$3000,O$6)))</f>
        <v/>
      </c>
      <c r="P42" s="50" t="str">
        <f>IF(OR($B42="",P$6=""),"",IF(COUNTIFS(_calc!$AE$2:$AE$3000,$B42&amp;"|"&amp;$D42,_calc!$A$2:$A$3000,$B$3,_calc!$C$2:$C$3000,P$6)=0,"",SUMIFS(_calc!$E$2:$E$3000,_calc!$AE$2:$AE$3000,$B42&amp;"|"&amp;$D42,_calc!$A$2:$A$3000,$B$3,_calc!$C$2:$C$3000,P$6)))</f>
        <v/>
      </c>
      <c r="Q42" s="50" t="str">
        <f>IF(OR($B42="",Q$6=""),"",IF(COUNTIFS(_calc!$AE$2:$AE$3000,$B42&amp;"|"&amp;$D42,_calc!$A$2:$A$3000,$B$3,_calc!$C$2:$C$3000,Q$6)=0,"",SUMIFS(_calc!$E$2:$E$3000,_calc!$AE$2:$AE$3000,$B42&amp;"|"&amp;$D42,_calc!$A$2:$A$3000,$B$3,_calc!$C$2:$C$3000,Q$6)))</f>
        <v/>
      </c>
      <c r="R42" s="50" t="str">
        <f>IF(OR($B42="",R$6=""),"",IF(COUNTIFS(_calc!$AE$2:$AE$3000,$B42&amp;"|"&amp;$D42,_calc!$A$2:$A$3000,$B$3,_calc!$C$2:$C$3000,R$6)=0,"",SUMIFS(_calc!$E$2:$E$3000,_calc!$AE$2:$AE$3000,$B42&amp;"|"&amp;$D42,_calc!$A$2:$A$3000,$B$3,_calc!$C$2:$C$3000,R$6)))</f>
        <v/>
      </c>
      <c r="S42" s="50" t="str">
        <f>IF(OR($B42="",S$6=""),"",IF(COUNTIFS(_calc!$AE$2:$AE$3000,$B42&amp;"|"&amp;$D42,_calc!$A$2:$A$3000,$B$3,_calc!$C$2:$C$3000,S$6)=0,"",SUMIFS(_calc!$E$2:$E$3000,_calc!$AE$2:$AE$3000,$B42&amp;"|"&amp;$D42,_calc!$A$2:$A$3000,$B$3,_calc!$C$2:$C$3000,S$6)))</f>
        <v/>
      </c>
      <c r="T42" s="50" t="str">
        <f>IF(OR($B42="",T$6=""),"",IF(COUNTIFS(_calc!$AE$2:$AE$3000,$B42&amp;"|"&amp;$D42,_calc!$A$2:$A$3000,$B$3,_calc!$C$2:$C$3000,T$6)=0,"",SUMIFS(_calc!$E$2:$E$3000,_calc!$AE$2:$AE$3000,$B42&amp;"|"&amp;$D42,_calc!$A$2:$A$3000,$B$3,_calc!$C$2:$C$3000,T$6)))</f>
        <v/>
      </c>
      <c r="U42" s="50" t="str">
        <f>IF(OR($B42="",U$6=""),"",IF(COUNTIFS(_calc!$AE$2:$AE$3000,$B42&amp;"|"&amp;$D42,_calc!$A$2:$A$3000,$B$3,_calc!$C$2:$C$3000,U$6)=0,"",SUMIFS(_calc!$E$2:$E$3000,_calc!$AE$2:$AE$3000,$B42&amp;"|"&amp;$D42,_calc!$A$2:$A$3000,$B$3,_calc!$C$2:$C$3000,U$6)))</f>
        <v/>
      </c>
      <c r="V42" s="50" t="str">
        <f>IF(OR($B42="",V$6=""),"",IF(COUNTIFS(_calc!$AE$2:$AE$3000,$B42&amp;"|"&amp;$D42,_calc!$A$2:$A$3000,$B$3,_calc!$C$2:$C$3000,V$6)=0,"",SUMIFS(_calc!$E$2:$E$3000,_calc!$AE$2:$AE$3000,$B42&amp;"|"&amp;$D42,_calc!$A$2:$A$3000,$B$3,_calc!$C$2:$C$3000,V$6)))</f>
        <v/>
      </c>
      <c r="W42" s="50" t="str">
        <f>IF(OR($B42="",W$6=""),"",IF(COUNTIFS(_calc!$AE$2:$AE$3000,$B42&amp;"|"&amp;$D42,_calc!$A$2:$A$3000,$B$3,_calc!$C$2:$C$3000,W$6)=0,"",SUMIFS(_calc!$E$2:$E$3000,_calc!$AE$2:$AE$3000,$B42&amp;"|"&amp;$D42,_calc!$A$2:$A$3000,$B$3,_calc!$C$2:$C$3000,W$6)))</f>
        <v/>
      </c>
      <c r="X42" s="50" t="str">
        <f>IF(OR($B42="",X$6=""),"",IF(COUNTIFS(_calc!$AE$2:$AE$3000,$B42&amp;"|"&amp;$D42,_calc!$A$2:$A$3000,$B$3,_calc!$C$2:$C$3000,X$6)=0,"",SUMIFS(_calc!$E$2:$E$3000,_calc!$AE$2:$AE$3000,$B42&amp;"|"&amp;$D42,_calc!$A$2:$A$3000,$B$3,_calc!$C$2:$C$3000,X$6)))</f>
        <v/>
      </c>
    </row>
    <row r="43" spans="1:28" x14ac:dyDescent="0.4">
      <c r="A43" s="48">
        <v>37</v>
      </c>
      <c r="B43" s="49" t="str">
        <f>IFERROR(INDEX(_calc!$I$2:$I$3000,MATCH($A43,_calc!$AB$2:$AB$3000,0)),"")</f>
        <v/>
      </c>
      <c r="C43" s="49" t="str">
        <f>IFERROR(INDEX(_calc!$H$2:$H$3000,MATCH($A43,_calc!$AB$2:$AB$3000,0)),"")</f>
        <v/>
      </c>
      <c r="D43" s="49" t="str">
        <f>IFERROR(INDEX(_calc!$K$2:$K$3000,MATCH($A43,_calc!$AB$2:$AB$3000,0)),"")</f>
        <v/>
      </c>
      <c r="E43" s="50" t="str">
        <f>IF(OR($B43="",E$6=""),"",IF(COUNTIFS(_calc!$AE$2:$AE$3000,$B43&amp;"|"&amp;$D43,_calc!$A$2:$A$3000,$B$3,_calc!$C$2:$C$3000,E$6)=0,"",SUMIFS(_calc!$E$2:$E$3000,_calc!$AE$2:$AE$3000,$B43&amp;"|"&amp;$D43,_calc!$A$2:$A$3000,$B$3,_calc!$C$2:$C$3000,E$6)))</f>
        <v/>
      </c>
      <c r="F43" s="50" t="str">
        <f>IF(OR($B43="",F$6=""),"",IF(COUNTIFS(_calc!$AE$2:$AE$3000,$B43&amp;"|"&amp;$D43,_calc!$A$2:$A$3000,$B$3,_calc!$C$2:$C$3000,F$6)=0,"",SUMIFS(_calc!$E$2:$E$3000,_calc!$AE$2:$AE$3000,$B43&amp;"|"&amp;$D43,_calc!$A$2:$A$3000,$B$3,_calc!$C$2:$C$3000,F$6)))</f>
        <v/>
      </c>
      <c r="G43" s="50" t="str">
        <f>IF(OR($B43="",G$6=""),"",IF(COUNTIFS(_calc!$AE$2:$AE$3000,$B43&amp;"|"&amp;$D43,_calc!$A$2:$A$3000,$B$3,_calc!$C$2:$C$3000,G$6)=0,"",SUMIFS(_calc!$E$2:$E$3000,_calc!$AE$2:$AE$3000,$B43&amp;"|"&amp;$D43,_calc!$A$2:$A$3000,$B$3,_calc!$C$2:$C$3000,G$6)))</f>
        <v/>
      </c>
      <c r="H43" s="50" t="str">
        <f>IF(OR($B43="",H$6=""),"",IF(COUNTIFS(_calc!$AE$2:$AE$3000,$B43&amp;"|"&amp;$D43,_calc!$A$2:$A$3000,$B$3,_calc!$C$2:$C$3000,H$6)=0,"",SUMIFS(_calc!$E$2:$E$3000,_calc!$AE$2:$AE$3000,$B43&amp;"|"&amp;$D43,_calc!$A$2:$A$3000,$B$3,_calc!$C$2:$C$3000,H$6)))</f>
        <v/>
      </c>
      <c r="I43" s="50" t="str">
        <f>IF(OR($B43="",I$6=""),"",IF(COUNTIFS(_calc!$AE$2:$AE$3000,$B43&amp;"|"&amp;$D43,_calc!$A$2:$A$3000,$B$3,_calc!$C$2:$C$3000,I$6)=0,"",SUMIFS(_calc!$E$2:$E$3000,_calc!$AE$2:$AE$3000,$B43&amp;"|"&amp;$D43,_calc!$A$2:$A$3000,$B$3,_calc!$C$2:$C$3000,I$6)))</f>
        <v/>
      </c>
      <c r="J43" s="50" t="str">
        <f>IF(OR($B43="",J$6=""),"",IF(COUNTIFS(_calc!$AE$2:$AE$3000,$B43&amp;"|"&amp;$D43,_calc!$A$2:$A$3000,$B$3,_calc!$C$2:$C$3000,J$6)=0,"",SUMIFS(_calc!$E$2:$E$3000,_calc!$AE$2:$AE$3000,$B43&amp;"|"&amp;$D43,_calc!$A$2:$A$3000,$B$3,_calc!$C$2:$C$3000,J$6)))</f>
        <v/>
      </c>
      <c r="K43" s="50" t="str">
        <f>IF(OR($B43="",K$6=""),"",IF(COUNTIFS(_calc!$AE$2:$AE$3000,$B43&amp;"|"&amp;$D43,_calc!$A$2:$A$3000,$B$3,_calc!$C$2:$C$3000,K$6)=0,"",SUMIFS(_calc!$E$2:$E$3000,_calc!$AE$2:$AE$3000,$B43&amp;"|"&amp;$D43,_calc!$A$2:$A$3000,$B$3,_calc!$C$2:$C$3000,K$6)))</f>
        <v/>
      </c>
      <c r="L43" s="50" t="str">
        <f>IF(OR($B43="",L$6=""),"",IF(COUNTIFS(_calc!$AE$2:$AE$3000,$B43&amp;"|"&amp;$D43,_calc!$A$2:$A$3000,$B$3,_calc!$C$2:$C$3000,L$6)=0,"",SUMIFS(_calc!$E$2:$E$3000,_calc!$AE$2:$AE$3000,$B43&amp;"|"&amp;$D43,_calc!$A$2:$A$3000,$B$3,_calc!$C$2:$C$3000,L$6)))</f>
        <v/>
      </c>
      <c r="M43" s="50" t="str">
        <f>IF(OR($B43="",M$6=""),"",IF(COUNTIFS(_calc!$AE$2:$AE$3000,$B43&amp;"|"&amp;$D43,_calc!$A$2:$A$3000,$B$3,_calc!$C$2:$C$3000,M$6)=0,"",SUMIFS(_calc!$E$2:$E$3000,_calc!$AE$2:$AE$3000,$B43&amp;"|"&amp;$D43,_calc!$A$2:$A$3000,$B$3,_calc!$C$2:$C$3000,M$6)))</f>
        <v/>
      </c>
      <c r="N43" s="50" t="str">
        <f>IF(OR($B43="",N$6=""),"",IF(COUNTIFS(_calc!$AE$2:$AE$3000,$B43&amp;"|"&amp;$D43,_calc!$A$2:$A$3000,$B$3,_calc!$C$2:$C$3000,N$6)=0,"",SUMIFS(_calc!$E$2:$E$3000,_calc!$AE$2:$AE$3000,$B43&amp;"|"&amp;$D43,_calc!$A$2:$A$3000,$B$3,_calc!$C$2:$C$3000,N$6)))</f>
        <v/>
      </c>
      <c r="O43" s="50" t="str">
        <f>IF(OR($B43="",O$6=""),"",IF(COUNTIFS(_calc!$AE$2:$AE$3000,$B43&amp;"|"&amp;$D43,_calc!$A$2:$A$3000,$B$3,_calc!$C$2:$C$3000,O$6)=0,"",SUMIFS(_calc!$E$2:$E$3000,_calc!$AE$2:$AE$3000,$B43&amp;"|"&amp;$D43,_calc!$A$2:$A$3000,$B$3,_calc!$C$2:$C$3000,O$6)))</f>
        <v/>
      </c>
      <c r="P43" s="50" t="str">
        <f>IF(OR($B43="",P$6=""),"",IF(COUNTIFS(_calc!$AE$2:$AE$3000,$B43&amp;"|"&amp;$D43,_calc!$A$2:$A$3000,$B$3,_calc!$C$2:$C$3000,P$6)=0,"",SUMIFS(_calc!$E$2:$E$3000,_calc!$AE$2:$AE$3000,$B43&amp;"|"&amp;$D43,_calc!$A$2:$A$3000,$B$3,_calc!$C$2:$C$3000,P$6)))</f>
        <v/>
      </c>
      <c r="Q43" s="50" t="str">
        <f>IF(OR($B43="",Q$6=""),"",IF(COUNTIFS(_calc!$AE$2:$AE$3000,$B43&amp;"|"&amp;$D43,_calc!$A$2:$A$3000,$B$3,_calc!$C$2:$C$3000,Q$6)=0,"",SUMIFS(_calc!$E$2:$E$3000,_calc!$AE$2:$AE$3000,$B43&amp;"|"&amp;$D43,_calc!$A$2:$A$3000,$B$3,_calc!$C$2:$C$3000,Q$6)))</f>
        <v/>
      </c>
      <c r="R43" s="50" t="str">
        <f>IF(OR($B43="",R$6=""),"",IF(COUNTIFS(_calc!$AE$2:$AE$3000,$B43&amp;"|"&amp;$D43,_calc!$A$2:$A$3000,$B$3,_calc!$C$2:$C$3000,R$6)=0,"",SUMIFS(_calc!$E$2:$E$3000,_calc!$AE$2:$AE$3000,$B43&amp;"|"&amp;$D43,_calc!$A$2:$A$3000,$B$3,_calc!$C$2:$C$3000,R$6)))</f>
        <v/>
      </c>
      <c r="S43" s="50" t="str">
        <f>IF(OR($B43="",S$6=""),"",IF(COUNTIFS(_calc!$AE$2:$AE$3000,$B43&amp;"|"&amp;$D43,_calc!$A$2:$A$3000,$B$3,_calc!$C$2:$C$3000,S$6)=0,"",SUMIFS(_calc!$E$2:$E$3000,_calc!$AE$2:$AE$3000,$B43&amp;"|"&amp;$D43,_calc!$A$2:$A$3000,$B$3,_calc!$C$2:$C$3000,S$6)))</f>
        <v/>
      </c>
      <c r="T43" s="50" t="str">
        <f>IF(OR($B43="",T$6=""),"",IF(COUNTIFS(_calc!$AE$2:$AE$3000,$B43&amp;"|"&amp;$D43,_calc!$A$2:$A$3000,$B$3,_calc!$C$2:$C$3000,T$6)=0,"",SUMIFS(_calc!$E$2:$E$3000,_calc!$AE$2:$AE$3000,$B43&amp;"|"&amp;$D43,_calc!$A$2:$A$3000,$B$3,_calc!$C$2:$C$3000,T$6)))</f>
        <v/>
      </c>
      <c r="U43" s="50" t="str">
        <f>IF(OR($B43="",U$6=""),"",IF(COUNTIFS(_calc!$AE$2:$AE$3000,$B43&amp;"|"&amp;$D43,_calc!$A$2:$A$3000,$B$3,_calc!$C$2:$C$3000,U$6)=0,"",SUMIFS(_calc!$E$2:$E$3000,_calc!$AE$2:$AE$3000,$B43&amp;"|"&amp;$D43,_calc!$A$2:$A$3000,$B$3,_calc!$C$2:$C$3000,U$6)))</f>
        <v/>
      </c>
      <c r="V43" s="50" t="str">
        <f>IF(OR($B43="",V$6=""),"",IF(COUNTIFS(_calc!$AE$2:$AE$3000,$B43&amp;"|"&amp;$D43,_calc!$A$2:$A$3000,$B$3,_calc!$C$2:$C$3000,V$6)=0,"",SUMIFS(_calc!$E$2:$E$3000,_calc!$AE$2:$AE$3000,$B43&amp;"|"&amp;$D43,_calc!$A$2:$A$3000,$B$3,_calc!$C$2:$C$3000,V$6)))</f>
        <v/>
      </c>
      <c r="W43" s="50" t="str">
        <f>IF(OR($B43="",W$6=""),"",IF(COUNTIFS(_calc!$AE$2:$AE$3000,$B43&amp;"|"&amp;$D43,_calc!$A$2:$A$3000,$B$3,_calc!$C$2:$C$3000,W$6)=0,"",SUMIFS(_calc!$E$2:$E$3000,_calc!$AE$2:$AE$3000,$B43&amp;"|"&amp;$D43,_calc!$A$2:$A$3000,$B$3,_calc!$C$2:$C$3000,W$6)))</f>
        <v/>
      </c>
      <c r="X43" s="50" t="str">
        <f>IF(OR($B43="",X$6=""),"",IF(COUNTIFS(_calc!$AE$2:$AE$3000,$B43&amp;"|"&amp;$D43,_calc!$A$2:$A$3000,$B$3,_calc!$C$2:$C$3000,X$6)=0,"",SUMIFS(_calc!$E$2:$E$3000,_calc!$AE$2:$AE$3000,$B43&amp;"|"&amp;$D43,_calc!$A$2:$A$3000,$B$3,_calc!$C$2:$C$3000,X$6)))</f>
        <v/>
      </c>
    </row>
    <row r="44" spans="1:28" x14ac:dyDescent="0.4">
      <c r="A44" s="48">
        <v>38</v>
      </c>
      <c r="B44" s="49" t="str">
        <f>IFERROR(INDEX(_calc!$I$2:$I$3000,MATCH($A44,_calc!$AB$2:$AB$3000,0)),"")</f>
        <v/>
      </c>
      <c r="C44" s="49" t="str">
        <f>IFERROR(INDEX(_calc!$H$2:$H$3000,MATCH($A44,_calc!$AB$2:$AB$3000,0)),"")</f>
        <v/>
      </c>
      <c r="D44" s="49" t="str">
        <f>IFERROR(INDEX(_calc!$K$2:$K$3000,MATCH($A44,_calc!$AB$2:$AB$3000,0)),"")</f>
        <v/>
      </c>
      <c r="E44" s="50" t="str">
        <f>IF(OR($B44="",E$6=""),"",IF(COUNTIFS(_calc!$AE$2:$AE$3000,$B44&amp;"|"&amp;$D44,_calc!$A$2:$A$3000,$B$3,_calc!$C$2:$C$3000,E$6)=0,"",SUMIFS(_calc!$E$2:$E$3000,_calc!$AE$2:$AE$3000,$B44&amp;"|"&amp;$D44,_calc!$A$2:$A$3000,$B$3,_calc!$C$2:$C$3000,E$6)))</f>
        <v/>
      </c>
      <c r="F44" s="50" t="str">
        <f>IF(OR($B44="",F$6=""),"",IF(COUNTIFS(_calc!$AE$2:$AE$3000,$B44&amp;"|"&amp;$D44,_calc!$A$2:$A$3000,$B$3,_calc!$C$2:$C$3000,F$6)=0,"",SUMIFS(_calc!$E$2:$E$3000,_calc!$AE$2:$AE$3000,$B44&amp;"|"&amp;$D44,_calc!$A$2:$A$3000,$B$3,_calc!$C$2:$C$3000,F$6)))</f>
        <v/>
      </c>
      <c r="G44" s="50" t="str">
        <f>IF(OR($B44="",G$6=""),"",IF(COUNTIFS(_calc!$AE$2:$AE$3000,$B44&amp;"|"&amp;$D44,_calc!$A$2:$A$3000,$B$3,_calc!$C$2:$C$3000,G$6)=0,"",SUMIFS(_calc!$E$2:$E$3000,_calc!$AE$2:$AE$3000,$B44&amp;"|"&amp;$D44,_calc!$A$2:$A$3000,$B$3,_calc!$C$2:$C$3000,G$6)))</f>
        <v/>
      </c>
      <c r="H44" s="50" t="str">
        <f>IF(OR($B44="",H$6=""),"",IF(COUNTIFS(_calc!$AE$2:$AE$3000,$B44&amp;"|"&amp;$D44,_calc!$A$2:$A$3000,$B$3,_calc!$C$2:$C$3000,H$6)=0,"",SUMIFS(_calc!$E$2:$E$3000,_calc!$AE$2:$AE$3000,$B44&amp;"|"&amp;$D44,_calc!$A$2:$A$3000,$B$3,_calc!$C$2:$C$3000,H$6)))</f>
        <v/>
      </c>
      <c r="I44" s="50" t="str">
        <f>IF(OR($B44="",I$6=""),"",IF(COUNTIFS(_calc!$AE$2:$AE$3000,$B44&amp;"|"&amp;$D44,_calc!$A$2:$A$3000,$B$3,_calc!$C$2:$C$3000,I$6)=0,"",SUMIFS(_calc!$E$2:$E$3000,_calc!$AE$2:$AE$3000,$B44&amp;"|"&amp;$D44,_calc!$A$2:$A$3000,$B$3,_calc!$C$2:$C$3000,I$6)))</f>
        <v/>
      </c>
      <c r="J44" s="50" t="str">
        <f>IF(OR($B44="",J$6=""),"",IF(COUNTIFS(_calc!$AE$2:$AE$3000,$B44&amp;"|"&amp;$D44,_calc!$A$2:$A$3000,$B$3,_calc!$C$2:$C$3000,J$6)=0,"",SUMIFS(_calc!$E$2:$E$3000,_calc!$AE$2:$AE$3000,$B44&amp;"|"&amp;$D44,_calc!$A$2:$A$3000,$B$3,_calc!$C$2:$C$3000,J$6)))</f>
        <v/>
      </c>
      <c r="K44" s="50" t="str">
        <f>IF(OR($B44="",K$6=""),"",IF(COUNTIFS(_calc!$AE$2:$AE$3000,$B44&amp;"|"&amp;$D44,_calc!$A$2:$A$3000,$B$3,_calc!$C$2:$C$3000,K$6)=0,"",SUMIFS(_calc!$E$2:$E$3000,_calc!$AE$2:$AE$3000,$B44&amp;"|"&amp;$D44,_calc!$A$2:$A$3000,$B$3,_calc!$C$2:$C$3000,K$6)))</f>
        <v/>
      </c>
      <c r="L44" s="50" t="str">
        <f>IF(OR($B44="",L$6=""),"",IF(COUNTIFS(_calc!$AE$2:$AE$3000,$B44&amp;"|"&amp;$D44,_calc!$A$2:$A$3000,$B$3,_calc!$C$2:$C$3000,L$6)=0,"",SUMIFS(_calc!$E$2:$E$3000,_calc!$AE$2:$AE$3000,$B44&amp;"|"&amp;$D44,_calc!$A$2:$A$3000,$B$3,_calc!$C$2:$C$3000,L$6)))</f>
        <v/>
      </c>
      <c r="M44" s="50" t="str">
        <f>IF(OR($B44="",M$6=""),"",IF(COUNTIFS(_calc!$AE$2:$AE$3000,$B44&amp;"|"&amp;$D44,_calc!$A$2:$A$3000,$B$3,_calc!$C$2:$C$3000,M$6)=0,"",SUMIFS(_calc!$E$2:$E$3000,_calc!$AE$2:$AE$3000,$B44&amp;"|"&amp;$D44,_calc!$A$2:$A$3000,$B$3,_calc!$C$2:$C$3000,M$6)))</f>
        <v/>
      </c>
      <c r="N44" s="50" t="str">
        <f>IF(OR($B44="",N$6=""),"",IF(COUNTIFS(_calc!$AE$2:$AE$3000,$B44&amp;"|"&amp;$D44,_calc!$A$2:$A$3000,$B$3,_calc!$C$2:$C$3000,N$6)=0,"",SUMIFS(_calc!$E$2:$E$3000,_calc!$AE$2:$AE$3000,$B44&amp;"|"&amp;$D44,_calc!$A$2:$A$3000,$B$3,_calc!$C$2:$C$3000,N$6)))</f>
        <v/>
      </c>
      <c r="O44" s="50" t="str">
        <f>IF(OR($B44="",O$6=""),"",IF(COUNTIFS(_calc!$AE$2:$AE$3000,$B44&amp;"|"&amp;$D44,_calc!$A$2:$A$3000,$B$3,_calc!$C$2:$C$3000,O$6)=0,"",SUMIFS(_calc!$E$2:$E$3000,_calc!$AE$2:$AE$3000,$B44&amp;"|"&amp;$D44,_calc!$A$2:$A$3000,$B$3,_calc!$C$2:$C$3000,O$6)))</f>
        <v/>
      </c>
      <c r="P44" s="50" t="str">
        <f>IF(OR($B44="",P$6=""),"",IF(COUNTIFS(_calc!$AE$2:$AE$3000,$B44&amp;"|"&amp;$D44,_calc!$A$2:$A$3000,$B$3,_calc!$C$2:$C$3000,P$6)=0,"",SUMIFS(_calc!$E$2:$E$3000,_calc!$AE$2:$AE$3000,$B44&amp;"|"&amp;$D44,_calc!$A$2:$A$3000,$B$3,_calc!$C$2:$C$3000,P$6)))</f>
        <v/>
      </c>
      <c r="Q44" s="50" t="str">
        <f>IF(OR($B44="",Q$6=""),"",IF(COUNTIFS(_calc!$AE$2:$AE$3000,$B44&amp;"|"&amp;$D44,_calc!$A$2:$A$3000,$B$3,_calc!$C$2:$C$3000,Q$6)=0,"",SUMIFS(_calc!$E$2:$E$3000,_calc!$AE$2:$AE$3000,$B44&amp;"|"&amp;$D44,_calc!$A$2:$A$3000,$B$3,_calc!$C$2:$C$3000,Q$6)))</f>
        <v/>
      </c>
      <c r="R44" s="50" t="str">
        <f>IF(OR($B44="",R$6=""),"",IF(COUNTIFS(_calc!$AE$2:$AE$3000,$B44&amp;"|"&amp;$D44,_calc!$A$2:$A$3000,$B$3,_calc!$C$2:$C$3000,R$6)=0,"",SUMIFS(_calc!$E$2:$E$3000,_calc!$AE$2:$AE$3000,$B44&amp;"|"&amp;$D44,_calc!$A$2:$A$3000,$B$3,_calc!$C$2:$C$3000,R$6)))</f>
        <v/>
      </c>
      <c r="S44" s="50" t="str">
        <f>IF(OR($B44="",S$6=""),"",IF(COUNTIFS(_calc!$AE$2:$AE$3000,$B44&amp;"|"&amp;$D44,_calc!$A$2:$A$3000,$B$3,_calc!$C$2:$C$3000,S$6)=0,"",SUMIFS(_calc!$E$2:$E$3000,_calc!$AE$2:$AE$3000,$B44&amp;"|"&amp;$D44,_calc!$A$2:$A$3000,$B$3,_calc!$C$2:$C$3000,S$6)))</f>
        <v/>
      </c>
      <c r="T44" s="50" t="str">
        <f>IF(OR($B44="",T$6=""),"",IF(COUNTIFS(_calc!$AE$2:$AE$3000,$B44&amp;"|"&amp;$D44,_calc!$A$2:$A$3000,$B$3,_calc!$C$2:$C$3000,T$6)=0,"",SUMIFS(_calc!$E$2:$E$3000,_calc!$AE$2:$AE$3000,$B44&amp;"|"&amp;$D44,_calc!$A$2:$A$3000,$B$3,_calc!$C$2:$C$3000,T$6)))</f>
        <v/>
      </c>
      <c r="U44" s="50" t="str">
        <f>IF(OR($B44="",U$6=""),"",IF(COUNTIFS(_calc!$AE$2:$AE$3000,$B44&amp;"|"&amp;$D44,_calc!$A$2:$A$3000,$B$3,_calc!$C$2:$C$3000,U$6)=0,"",SUMIFS(_calc!$E$2:$E$3000,_calc!$AE$2:$AE$3000,$B44&amp;"|"&amp;$D44,_calc!$A$2:$A$3000,$B$3,_calc!$C$2:$C$3000,U$6)))</f>
        <v/>
      </c>
      <c r="V44" s="50" t="str">
        <f>IF(OR($B44="",V$6=""),"",IF(COUNTIFS(_calc!$AE$2:$AE$3000,$B44&amp;"|"&amp;$D44,_calc!$A$2:$A$3000,$B$3,_calc!$C$2:$C$3000,V$6)=0,"",SUMIFS(_calc!$E$2:$E$3000,_calc!$AE$2:$AE$3000,$B44&amp;"|"&amp;$D44,_calc!$A$2:$A$3000,$B$3,_calc!$C$2:$C$3000,V$6)))</f>
        <v/>
      </c>
      <c r="W44" s="50" t="str">
        <f>IF(OR($B44="",W$6=""),"",IF(COUNTIFS(_calc!$AE$2:$AE$3000,$B44&amp;"|"&amp;$D44,_calc!$A$2:$A$3000,$B$3,_calc!$C$2:$C$3000,W$6)=0,"",SUMIFS(_calc!$E$2:$E$3000,_calc!$AE$2:$AE$3000,$B44&amp;"|"&amp;$D44,_calc!$A$2:$A$3000,$B$3,_calc!$C$2:$C$3000,W$6)))</f>
        <v/>
      </c>
      <c r="X44" s="50" t="str">
        <f>IF(OR($B44="",X$6=""),"",IF(COUNTIFS(_calc!$AE$2:$AE$3000,$B44&amp;"|"&amp;$D44,_calc!$A$2:$A$3000,$B$3,_calc!$C$2:$C$3000,X$6)=0,"",SUMIFS(_calc!$E$2:$E$3000,_calc!$AE$2:$AE$3000,$B44&amp;"|"&amp;$D44,_calc!$A$2:$A$3000,$B$3,_calc!$C$2:$C$3000,X$6)))</f>
        <v/>
      </c>
    </row>
    <row r="45" spans="1:28" x14ac:dyDescent="0.4">
      <c r="A45" s="48">
        <v>39</v>
      </c>
      <c r="B45" s="49" t="str">
        <f>IFERROR(INDEX(_calc!$I$2:$I$3000,MATCH($A45,_calc!$AB$2:$AB$3000,0)),"")</f>
        <v/>
      </c>
      <c r="C45" s="49" t="str">
        <f>IFERROR(INDEX(_calc!$H$2:$H$3000,MATCH($A45,_calc!$AB$2:$AB$3000,0)),"")</f>
        <v/>
      </c>
      <c r="D45" s="49" t="str">
        <f>IFERROR(INDEX(_calc!$K$2:$K$3000,MATCH($A45,_calc!$AB$2:$AB$3000,0)),"")</f>
        <v/>
      </c>
      <c r="E45" s="50" t="str">
        <f>IF(OR($B45="",E$6=""),"",IF(COUNTIFS(_calc!$AE$2:$AE$3000,$B45&amp;"|"&amp;$D45,_calc!$A$2:$A$3000,$B$3,_calc!$C$2:$C$3000,E$6)=0,"",SUMIFS(_calc!$E$2:$E$3000,_calc!$AE$2:$AE$3000,$B45&amp;"|"&amp;$D45,_calc!$A$2:$A$3000,$B$3,_calc!$C$2:$C$3000,E$6)))</f>
        <v/>
      </c>
      <c r="F45" s="50" t="str">
        <f>IF(OR($B45="",F$6=""),"",IF(COUNTIFS(_calc!$AE$2:$AE$3000,$B45&amp;"|"&amp;$D45,_calc!$A$2:$A$3000,$B$3,_calc!$C$2:$C$3000,F$6)=0,"",SUMIFS(_calc!$E$2:$E$3000,_calc!$AE$2:$AE$3000,$B45&amp;"|"&amp;$D45,_calc!$A$2:$A$3000,$B$3,_calc!$C$2:$C$3000,F$6)))</f>
        <v/>
      </c>
      <c r="G45" s="50" t="str">
        <f>IF(OR($B45="",G$6=""),"",IF(COUNTIFS(_calc!$AE$2:$AE$3000,$B45&amp;"|"&amp;$D45,_calc!$A$2:$A$3000,$B$3,_calc!$C$2:$C$3000,G$6)=0,"",SUMIFS(_calc!$E$2:$E$3000,_calc!$AE$2:$AE$3000,$B45&amp;"|"&amp;$D45,_calc!$A$2:$A$3000,$B$3,_calc!$C$2:$C$3000,G$6)))</f>
        <v/>
      </c>
      <c r="H45" s="50" t="str">
        <f>IF(OR($B45="",H$6=""),"",IF(COUNTIFS(_calc!$AE$2:$AE$3000,$B45&amp;"|"&amp;$D45,_calc!$A$2:$A$3000,$B$3,_calc!$C$2:$C$3000,H$6)=0,"",SUMIFS(_calc!$E$2:$E$3000,_calc!$AE$2:$AE$3000,$B45&amp;"|"&amp;$D45,_calc!$A$2:$A$3000,$B$3,_calc!$C$2:$C$3000,H$6)))</f>
        <v/>
      </c>
      <c r="I45" s="50" t="str">
        <f>IF(OR($B45="",I$6=""),"",IF(COUNTIFS(_calc!$AE$2:$AE$3000,$B45&amp;"|"&amp;$D45,_calc!$A$2:$A$3000,$B$3,_calc!$C$2:$C$3000,I$6)=0,"",SUMIFS(_calc!$E$2:$E$3000,_calc!$AE$2:$AE$3000,$B45&amp;"|"&amp;$D45,_calc!$A$2:$A$3000,$B$3,_calc!$C$2:$C$3000,I$6)))</f>
        <v/>
      </c>
      <c r="J45" s="50" t="str">
        <f>IF(OR($B45="",J$6=""),"",IF(COUNTIFS(_calc!$AE$2:$AE$3000,$B45&amp;"|"&amp;$D45,_calc!$A$2:$A$3000,$B$3,_calc!$C$2:$C$3000,J$6)=0,"",SUMIFS(_calc!$E$2:$E$3000,_calc!$AE$2:$AE$3000,$B45&amp;"|"&amp;$D45,_calc!$A$2:$A$3000,$B$3,_calc!$C$2:$C$3000,J$6)))</f>
        <v/>
      </c>
      <c r="K45" s="50" t="str">
        <f>IF(OR($B45="",K$6=""),"",IF(COUNTIFS(_calc!$AE$2:$AE$3000,$B45&amp;"|"&amp;$D45,_calc!$A$2:$A$3000,$B$3,_calc!$C$2:$C$3000,K$6)=0,"",SUMIFS(_calc!$E$2:$E$3000,_calc!$AE$2:$AE$3000,$B45&amp;"|"&amp;$D45,_calc!$A$2:$A$3000,$B$3,_calc!$C$2:$C$3000,K$6)))</f>
        <v/>
      </c>
      <c r="L45" s="50" t="str">
        <f>IF(OR($B45="",L$6=""),"",IF(COUNTIFS(_calc!$AE$2:$AE$3000,$B45&amp;"|"&amp;$D45,_calc!$A$2:$A$3000,$B$3,_calc!$C$2:$C$3000,L$6)=0,"",SUMIFS(_calc!$E$2:$E$3000,_calc!$AE$2:$AE$3000,$B45&amp;"|"&amp;$D45,_calc!$A$2:$A$3000,$B$3,_calc!$C$2:$C$3000,L$6)))</f>
        <v/>
      </c>
      <c r="M45" s="50" t="str">
        <f>IF(OR($B45="",M$6=""),"",IF(COUNTIFS(_calc!$AE$2:$AE$3000,$B45&amp;"|"&amp;$D45,_calc!$A$2:$A$3000,$B$3,_calc!$C$2:$C$3000,M$6)=0,"",SUMIFS(_calc!$E$2:$E$3000,_calc!$AE$2:$AE$3000,$B45&amp;"|"&amp;$D45,_calc!$A$2:$A$3000,$B$3,_calc!$C$2:$C$3000,M$6)))</f>
        <v/>
      </c>
      <c r="N45" s="50" t="str">
        <f>IF(OR($B45="",N$6=""),"",IF(COUNTIFS(_calc!$AE$2:$AE$3000,$B45&amp;"|"&amp;$D45,_calc!$A$2:$A$3000,$B$3,_calc!$C$2:$C$3000,N$6)=0,"",SUMIFS(_calc!$E$2:$E$3000,_calc!$AE$2:$AE$3000,$B45&amp;"|"&amp;$D45,_calc!$A$2:$A$3000,$B$3,_calc!$C$2:$C$3000,N$6)))</f>
        <v/>
      </c>
      <c r="O45" s="50" t="str">
        <f>IF(OR($B45="",O$6=""),"",IF(COUNTIFS(_calc!$AE$2:$AE$3000,$B45&amp;"|"&amp;$D45,_calc!$A$2:$A$3000,$B$3,_calc!$C$2:$C$3000,O$6)=0,"",SUMIFS(_calc!$E$2:$E$3000,_calc!$AE$2:$AE$3000,$B45&amp;"|"&amp;$D45,_calc!$A$2:$A$3000,$B$3,_calc!$C$2:$C$3000,O$6)))</f>
        <v/>
      </c>
      <c r="P45" s="50" t="str">
        <f>IF(OR($B45="",P$6=""),"",IF(COUNTIFS(_calc!$AE$2:$AE$3000,$B45&amp;"|"&amp;$D45,_calc!$A$2:$A$3000,$B$3,_calc!$C$2:$C$3000,P$6)=0,"",SUMIFS(_calc!$E$2:$E$3000,_calc!$AE$2:$AE$3000,$B45&amp;"|"&amp;$D45,_calc!$A$2:$A$3000,$B$3,_calc!$C$2:$C$3000,P$6)))</f>
        <v/>
      </c>
      <c r="Q45" s="50" t="str">
        <f>IF(OR($B45="",Q$6=""),"",IF(COUNTIFS(_calc!$AE$2:$AE$3000,$B45&amp;"|"&amp;$D45,_calc!$A$2:$A$3000,$B$3,_calc!$C$2:$C$3000,Q$6)=0,"",SUMIFS(_calc!$E$2:$E$3000,_calc!$AE$2:$AE$3000,$B45&amp;"|"&amp;$D45,_calc!$A$2:$A$3000,$B$3,_calc!$C$2:$C$3000,Q$6)))</f>
        <v/>
      </c>
      <c r="R45" s="50" t="str">
        <f>IF(OR($B45="",R$6=""),"",IF(COUNTIFS(_calc!$AE$2:$AE$3000,$B45&amp;"|"&amp;$D45,_calc!$A$2:$A$3000,$B$3,_calc!$C$2:$C$3000,R$6)=0,"",SUMIFS(_calc!$E$2:$E$3000,_calc!$AE$2:$AE$3000,$B45&amp;"|"&amp;$D45,_calc!$A$2:$A$3000,$B$3,_calc!$C$2:$C$3000,R$6)))</f>
        <v/>
      </c>
      <c r="S45" s="50" t="str">
        <f>IF(OR($B45="",S$6=""),"",IF(COUNTIFS(_calc!$AE$2:$AE$3000,$B45&amp;"|"&amp;$D45,_calc!$A$2:$A$3000,$B$3,_calc!$C$2:$C$3000,S$6)=0,"",SUMIFS(_calc!$E$2:$E$3000,_calc!$AE$2:$AE$3000,$B45&amp;"|"&amp;$D45,_calc!$A$2:$A$3000,$B$3,_calc!$C$2:$C$3000,S$6)))</f>
        <v/>
      </c>
      <c r="T45" s="50" t="str">
        <f>IF(OR($B45="",T$6=""),"",IF(COUNTIFS(_calc!$AE$2:$AE$3000,$B45&amp;"|"&amp;$D45,_calc!$A$2:$A$3000,$B$3,_calc!$C$2:$C$3000,T$6)=0,"",SUMIFS(_calc!$E$2:$E$3000,_calc!$AE$2:$AE$3000,$B45&amp;"|"&amp;$D45,_calc!$A$2:$A$3000,$B$3,_calc!$C$2:$C$3000,T$6)))</f>
        <v/>
      </c>
      <c r="U45" s="50" t="str">
        <f>IF(OR($B45="",U$6=""),"",IF(COUNTIFS(_calc!$AE$2:$AE$3000,$B45&amp;"|"&amp;$D45,_calc!$A$2:$A$3000,$B$3,_calc!$C$2:$C$3000,U$6)=0,"",SUMIFS(_calc!$E$2:$E$3000,_calc!$AE$2:$AE$3000,$B45&amp;"|"&amp;$D45,_calc!$A$2:$A$3000,$B$3,_calc!$C$2:$C$3000,U$6)))</f>
        <v/>
      </c>
      <c r="V45" s="50" t="str">
        <f>IF(OR($B45="",V$6=""),"",IF(COUNTIFS(_calc!$AE$2:$AE$3000,$B45&amp;"|"&amp;$D45,_calc!$A$2:$A$3000,$B$3,_calc!$C$2:$C$3000,V$6)=0,"",SUMIFS(_calc!$E$2:$E$3000,_calc!$AE$2:$AE$3000,$B45&amp;"|"&amp;$D45,_calc!$A$2:$A$3000,$B$3,_calc!$C$2:$C$3000,V$6)))</f>
        <v/>
      </c>
      <c r="W45" s="50" t="str">
        <f>IF(OR($B45="",W$6=""),"",IF(COUNTIFS(_calc!$AE$2:$AE$3000,$B45&amp;"|"&amp;$D45,_calc!$A$2:$A$3000,$B$3,_calc!$C$2:$C$3000,W$6)=0,"",SUMIFS(_calc!$E$2:$E$3000,_calc!$AE$2:$AE$3000,$B45&amp;"|"&amp;$D45,_calc!$A$2:$A$3000,$B$3,_calc!$C$2:$C$3000,W$6)))</f>
        <v/>
      </c>
      <c r="X45" s="50" t="str">
        <f>IF(OR($B45="",X$6=""),"",IF(COUNTIFS(_calc!$AE$2:$AE$3000,$B45&amp;"|"&amp;$D45,_calc!$A$2:$A$3000,$B$3,_calc!$C$2:$C$3000,X$6)=0,"",SUMIFS(_calc!$E$2:$E$3000,_calc!$AE$2:$AE$3000,$B45&amp;"|"&amp;$D45,_calc!$A$2:$A$3000,$B$3,_calc!$C$2:$C$3000,X$6)))</f>
        <v/>
      </c>
    </row>
    <row r="46" spans="1:28" x14ac:dyDescent="0.4">
      <c r="A46" s="48">
        <v>40</v>
      </c>
      <c r="B46" s="49" t="str">
        <f>IFERROR(INDEX(_calc!$I$2:$I$3000,MATCH($A46,_calc!$AB$2:$AB$3000,0)),"")</f>
        <v/>
      </c>
      <c r="C46" s="49" t="str">
        <f>IFERROR(INDEX(_calc!$H$2:$H$3000,MATCH($A46,_calc!$AB$2:$AB$3000,0)),"")</f>
        <v/>
      </c>
      <c r="D46" s="49" t="str">
        <f>IFERROR(INDEX(_calc!$K$2:$K$3000,MATCH($A46,_calc!$AB$2:$AB$3000,0)),"")</f>
        <v/>
      </c>
      <c r="E46" s="50" t="str">
        <f>IF(OR($B46="",E$6=""),"",IF(COUNTIFS(_calc!$AE$2:$AE$3000,$B46&amp;"|"&amp;$D46,_calc!$A$2:$A$3000,$B$3,_calc!$C$2:$C$3000,E$6)=0,"",SUMIFS(_calc!$E$2:$E$3000,_calc!$AE$2:$AE$3000,$B46&amp;"|"&amp;$D46,_calc!$A$2:$A$3000,$B$3,_calc!$C$2:$C$3000,E$6)))</f>
        <v/>
      </c>
      <c r="F46" s="50" t="str">
        <f>IF(OR($B46="",F$6=""),"",IF(COUNTIFS(_calc!$AE$2:$AE$3000,$B46&amp;"|"&amp;$D46,_calc!$A$2:$A$3000,$B$3,_calc!$C$2:$C$3000,F$6)=0,"",SUMIFS(_calc!$E$2:$E$3000,_calc!$AE$2:$AE$3000,$B46&amp;"|"&amp;$D46,_calc!$A$2:$A$3000,$B$3,_calc!$C$2:$C$3000,F$6)))</f>
        <v/>
      </c>
      <c r="G46" s="50" t="str">
        <f>IF(OR($B46="",G$6=""),"",IF(COUNTIFS(_calc!$AE$2:$AE$3000,$B46&amp;"|"&amp;$D46,_calc!$A$2:$A$3000,$B$3,_calc!$C$2:$C$3000,G$6)=0,"",SUMIFS(_calc!$E$2:$E$3000,_calc!$AE$2:$AE$3000,$B46&amp;"|"&amp;$D46,_calc!$A$2:$A$3000,$B$3,_calc!$C$2:$C$3000,G$6)))</f>
        <v/>
      </c>
      <c r="H46" s="50" t="str">
        <f>IF(OR($B46="",H$6=""),"",IF(COUNTIFS(_calc!$AE$2:$AE$3000,$B46&amp;"|"&amp;$D46,_calc!$A$2:$A$3000,$B$3,_calc!$C$2:$C$3000,H$6)=0,"",SUMIFS(_calc!$E$2:$E$3000,_calc!$AE$2:$AE$3000,$B46&amp;"|"&amp;$D46,_calc!$A$2:$A$3000,$B$3,_calc!$C$2:$C$3000,H$6)))</f>
        <v/>
      </c>
      <c r="I46" s="50" t="str">
        <f>IF(OR($B46="",I$6=""),"",IF(COUNTIFS(_calc!$AE$2:$AE$3000,$B46&amp;"|"&amp;$D46,_calc!$A$2:$A$3000,$B$3,_calc!$C$2:$C$3000,I$6)=0,"",SUMIFS(_calc!$E$2:$E$3000,_calc!$AE$2:$AE$3000,$B46&amp;"|"&amp;$D46,_calc!$A$2:$A$3000,$B$3,_calc!$C$2:$C$3000,I$6)))</f>
        <v/>
      </c>
      <c r="J46" s="50" t="str">
        <f>IF(OR($B46="",J$6=""),"",IF(COUNTIFS(_calc!$AE$2:$AE$3000,$B46&amp;"|"&amp;$D46,_calc!$A$2:$A$3000,$B$3,_calc!$C$2:$C$3000,J$6)=0,"",SUMIFS(_calc!$E$2:$E$3000,_calc!$AE$2:$AE$3000,$B46&amp;"|"&amp;$D46,_calc!$A$2:$A$3000,$B$3,_calc!$C$2:$C$3000,J$6)))</f>
        <v/>
      </c>
      <c r="K46" s="50" t="str">
        <f>IF(OR($B46="",K$6=""),"",IF(COUNTIFS(_calc!$AE$2:$AE$3000,$B46&amp;"|"&amp;$D46,_calc!$A$2:$A$3000,$B$3,_calc!$C$2:$C$3000,K$6)=0,"",SUMIFS(_calc!$E$2:$E$3000,_calc!$AE$2:$AE$3000,$B46&amp;"|"&amp;$D46,_calc!$A$2:$A$3000,$B$3,_calc!$C$2:$C$3000,K$6)))</f>
        <v/>
      </c>
      <c r="L46" s="50" t="str">
        <f>IF(OR($B46="",L$6=""),"",IF(COUNTIFS(_calc!$AE$2:$AE$3000,$B46&amp;"|"&amp;$D46,_calc!$A$2:$A$3000,$B$3,_calc!$C$2:$C$3000,L$6)=0,"",SUMIFS(_calc!$E$2:$E$3000,_calc!$AE$2:$AE$3000,$B46&amp;"|"&amp;$D46,_calc!$A$2:$A$3000,$B$3,_calc!$C$2:$C$3000,L$6)))</f>
        <v/>
      </c>
      <c r="M46" s="50" t="str">
        <f>IF(OR($B46="",M$6=""),"",IF(COUNTIFS(_calc!$AE$2:$AE$3000,$B46&amp;"|"&amp;$D46,_calc!$A$2:$A$3000,$B$3,_calc!$C$2:$C$3000,M$6)=0,"",SUMIFS(_calc!$E$2:$E$3000,_calc!$AE$2:$AE$3000,$B46&amp;"|"&amp;$D46,_calc!$A$2:$A$3000,$B$3,_calc!$C$2:$C$3000,M$6)))</f>
        <v/>
      </c>
      <c r="N46" s="50" t="str">
        <f>IF(OR($B46="",N$6=""),"",IF(COUNTIFS(_calc!$AE$2:$AE$3000,$B46&amp;"|"&amp;$D46,_calc!$A$2:$A$3000,$B$3,_calc!$C$2:$C$3000,N$6)=0,"",SUMIFS(_calc!$E$2:$E$3000,_calc!$AE$2:$AE$3000,$B46&amp;"|"&amp;$D46,_calc!$A$2:$A$3000,$B$3,_calc!$C$2:$C$3000,N$6)))</f>
        <v/>
      </c>
      <c r="O46" s="50" t="str">
        <f>IF(OR($B46="",O$6=""),"",IF(COUNTIFS(_calc!$AE$2:$AE$3000,$B46&amp;"|"&amp;$D46,_calc!$A$2:$A$3000,$B$3,_calc!$C$2:$C$3000,O$6)=0,"",SUMIFS(_calc!$E$2:$E$3000,_calc!$AE$2:$AE$3000,$B46&amp;"|"&amp;$D46,_calc!$A$2:$A$3000,$B$3,_calc!$C$2:$C$3000,O$6)))</f>
        <v/>
      </c>
      <c r="P46" s="50" t="str">
        <f>IF(OR($B46="",P$6=""),"",IF(COUNTIFS(_calc!$AE$2:$AE$3000,$B46&amp;"|"&amp;$D46,_calc!$A$2:$A$3000,$B$3,_calc!$C$2:$C$3000,P$6)=0,"",SUMIFS(_calc!$E$2:$E$3000,_calc!$AE$2:$AE$3000,$B46&amp;"|"&amp;$D46,_calc!$A$2:$A$3000,$B$3,_calc!$C$2:$C$3000,P$6)))</f>
        <v/>
      </c>
      <c r="Q46" s="50" t="str">
        <f>IF(OR($B46="",Q$6=""),"",IF(COUNTIFS(_calc!$AE$2:$AE$3000,$B46&amp;"|"&amp;$D46,_calc!$A$2:$A$3000,$B$3,_calc!$C$2:$C$3000,Q$6)=0,"",SUMIFS(_calc!$E$2:$E$3000,_calc!$AE$2:$AE$3000,$B46&amp;"|"&amp;$D46,_calc!$A$2:$A$3000,$B$3,_calc!$C$2:$C$3000,Q$6)))</f>
        <v/>
      </c>
      <c r="R46" s="50" t="str">
        <f>IF(OR($B46="",R$6=""),"",IF(COUNTIFS(_calc!$AE$2:$AE$3000,$B46&amp;"|"&amp;$D46,_calc!$A$2:$A$3000,$B$3,_calc!$C$2:$C$3000,R$6)=0,"",SUMIFS(_calc!$E$2:$E$3000,_calc!$AE$2:$AE$3000,$B46&amp;"|"&amp;$D46,_calc!$A$2:$A$3000,$B$3,_calc!$C$2:$C$3000,R$6)))</f>
        <v/>
      </c>
      <c r="S46" s="50" t="str">
        <f>IF(OR($B46="",S$6=""),"",IF(COUNTIFS(_calc!$AE$2:$AE$3000,$B46&amp;"|"&amp;$D46,_calc!$A$2:$A$3000,$B$3,_calc!$C$2:$C$3000,S$6)=0,"",SUMIFS(_calc!$E$2:$E$3000,_calc!$AE$2:$AE$3000,$B46&amp;"|"&amp;$D46,_calc!$A$2:$A$3000,$B$3,_calc!$C$2:$C$3000,S$6)))</f>
        <v/>
      </c>
      <c r="T46" s="50" t="str">
        <f>IF(OR($B46="",T$6=""),"",IF(COUNTIFS(_calc!$AE$2:$AE$3000,$B46&amp;"|"&amp;$D46,_calc!$A$2:$A$3000,$B$3,_calc!$C$2:$C$3000,T$6)=0,"",SUMIFS(_calc!$E$2:$E$3000,_calc!$AE$2:$AE$3000,$B46&amp;"|"&amp;$D46,_calc!$A$2:$A$3000,$B$3,_calc!$C$2:$C$3000,T$6)))</f>
        <v/>
      </c>
      <c r="U46" s="50" t="str">
        <f>IF(OR($B46="",U$6=""),"",IF(COUNTIFS(_calc!$AE$2:$AE$3000,$B46&amp;"|"&amp;$D46,_calc!$A$2:$A$3000,$B$3,_calc!$C$2:$C$3000,U$6)=0,"",SUMIFS(_calc!$E$2:$E$3000,_calc!$AE$2:$AE$3000,$B46&amp;"|"&amp;$D46,_calc!$A$2:$A$3000,$B$3,_calc!$C$2:$C$3000,U$6)))</f>
        <v/>
      </c>
      <c r="V46" s="50" t="str">
        <f>IF(OR($B46="",V$6=""),"",IF(COUNTIFS(_calc!$AE$2:$AE$3000,$B46&amp;"|"&amp;$D46,_calc!$A$2:$A$3000,$B$3,_calc!$C$2:$C$3000,V$6)=0,"",SUMIFS(_calc!$E$2:$E$3000,_calc!$AE$2:$AE$3000,$B46&amp;"|"&amp;$D46,_calc!$A$2:$A$3000,$B$3,_calc!$C$2:$C$3000,V$6)))</f>
        <v/>
      </c>
      <c r="W46" s="50" t="str">
        <f>IF(OR($B46="",W$6=""),"",IF(COUNTIFS(_calc!$AE$2:$AE$3000,$B46&amp;"|"&amp;$D46,_calc!$A$2:$A$3000,$B$3,_calc!$C$2:$C$3000,W$6)=0,"",SUMIFS(_calc!$E$2:$E$3000,_calc!$AE$2:$AE$3000,$B46&amp;"|"&amp;$D46,_calc!$A$2:$A$3000,$B$3,_calc!$C$2:$C$3000,W$6)))</f>
        <v/>
      </c>
      <c r="X46" s="50" t="str">
        <f>IF(OR($B46="",X$6=""),"",IF(COUNTIFS(_calc!$AE$2:$AE$3000,$B46&amp;"|"&amp;$D46,_calc!$A$2:$A$3000,$B$3,_calc!$C$2:$C$3000,X$6)=0,"",SUMIFS(_calc!$E$2:$E$3000,_calc!$AE$2:$AE$3000,$B46&amp;"|"&amp;$D46,_calc!$A$2:$A$3000,$B$3,_calc!$C$2:$C$3000,X$6)))</f>
        <v/>
      </c>
    </row>
    <row r="47" spans="1:28" x14ac:dyDescent="0.4">
      <c r="A47" s="48">
        <v>41</v>
      </c>
      <c r="B47" s="49" t="str">
        <f>IFERROR(INDEX(_calc!$I$2:$I$3000,MATCH($A47,_calc!$AB$2:$AB$3000,0)),"")</f>
        <v/>
      </c>
      <c r="C47" s="49" t="str">
        <f>IFERROR(INDEX(_calc!$H$2:$H$3000,MATCH($A47,_calc!$AB$2:$AB$3000,0)),"")</f>
        <v/>
      </c>
      <c r="D47" s="49" t="str">
        <f>IFERROR(INDEX(_calc!$K$2:$K$3000,MATCH($A47,_calc!$AB$2:$AB$3000,0)),"")</f>
        <v/>
      </c>
      <c r="E47" s="50" t="str">
        <f>IF(OR($B47="",E$6=""),"",IF(COUNTIFS(_calc!$AE$2:$AE$3000,$B47&amp;"|"&amp;$D47,_calc!$A$2:$A$3000,$B$3,_calc!$C$2:$C$3000,E$6)=0,"",SUMIFS(_calc!$E$2:$E$3000,_calc!$AE$2:$AE$3000,$B47&amp;"|"&amp;$D47,_calc!$A$2:$A$3000,$B$3,_calc!$C$2:$C$3000,E$6)))</f>
        <v/>
      </c>
      <c r="F47" s="50" t="str">
        <f>IF(OR($B47="",F$6=""),"",IF(COUNTIFS(_calc!$AE$2:$AE$3000,$B47&amp;"|"&amp;$D47,_calc!$A$2:$A$3000,$B$3,_calc!$C$2:$C$3000,F$6)=0,"",SUMIFS(_calc!$E$2:$E$3000,_calc!$AE$2:$AE$3000,$B47&amp;"|"&amp;$D47,_calc!$A$2:$A$3000,$B$3,_calc!$C$2:$C$3000,F$6)))</f>
        <v/>
      </c>
      <c r="G47" s="50" t="str">
        <f>IF(OR($B47="",G$6=""),"",IF(COUNTIFS(_calc!$AE$2:$AE$3000,$B47&amp;"|"&amp;$D47,_calc!$A$2:$A$3000,$B$3,_calc!$C$2:$C$3000,G$6)=0,"",SUMIFS(_calc!$E$2:$E$3000,_calc!$AE$2:$AE$3000,$B47&amp;"|"&amp;$D47,_calc!$A$2:$A$3000,$B$3,_calc!$C$2:$C$3000,G$6)))</f>
        <v/>
      </c>
      <c r="H47" s="50" t="str">
        <f>IF(OR($B47="",H$6=""),"",IF(COUNTIFS(_calc!$AE$2:$AE$3000,$B47&amp;"|"&amp;$D47,_calc!$A$2:$A$3000,$B$3,_calc!$C$2:$C$3000,H$6)=0,"",SUMIFS(_calc!$E$2:$E$3000,_calc!$AE$2:$AE$3000,$B47&amp;"|"&amp;$D47,_calc!$A$2:$A$3000,$B$3,_calc!$C$2:$C$3000,H$6)))</f>
        <v/>
      </c>
      <c r="I47" s="50" t="str">
        <f>IF(OR($B47="",I$6=""),"",IF(COUNTIFS(_calc!$AE$2:$AE$3000,$B47&amp;"|"&amp;$D47,_calc!$A$2:$A$3000,$B$3,_calc!$C$2:$C$3000,I$6)=0,"",SUMIFS(_calc!$E$2:$E$3000,_calc!$AE$2:$AE$3000,$B47&amp;"|"&amp;$D47,_calc!$A$2:$A$3000,$B$3,_calc!$C$2:$C$3000,I$6)))</f>
        <v/>
      </c>
      <c r="J47" s="50" t="str">
        <f>IF(OR($B47="",J$6=""),"",IF(COUNTIFS(_calc!$AE$2:$AE$3000,$B47&amp;"|"&amp;$D47,_calc!$A$2:$A$3000,$B$3,_calc!$C$2:$C$3000,J$6)=0,"",SUMIFS(_calc!$E$2:$E$3000,_calc!$AE$2:$AE$3000,$B47&amp;"|"&amp;$D47,_calc!$A$2:$A$3000,$B$3,_calc!$C$2:$C$3000,J$6)))</f>
        <v/>
      </c>
      <c r="K47" s="50" t="str">
        <f>IF(OR($B47="",K$6=""),"",IF(COUNTIFS(_calc!$AE$2:$AE$3000,$B47&amp;"|"&amp;$D47,_calc!$A$2:$A$3000,$B$3,_calc!$C$2:$C$3000,K$6)=0,"",SUMIFS(_calc!$E$2:$E$3000,_calc!$AE$2:$AE$3000,$B47&amp;"|"&amp;$D47,_calc!$A$2:$A$3000,$B$3,_calc!$C$2:$C$3000,K$6)))</f>
        <v/>
      </c>
      <c r="L47" s="50" t="str">
        <f>IF(OR($B47="",L$6=""),"",IF(COUNTIFS(_calc!$AE$2:$AE$3000,$B47&amp;"|"&amp;$D47,_calc!$A$2:$A$3000,$B$3,_calc!$C$2:$C$3000,L$6)=0,"",SUMIFS(_calc!$E$2:$E$3000,_calc!$AE$2:$AE$3000,$B47&amp;"|"&amp;$D47,_calc!$A$2:$A$3000,$B$3,_calc!$C$2:$C$3000,L$6)))</f>
        <v/>
      </c>
      <c r="M47" s="50" t="str">
        <f>IF(OR($B47="",M$6=""),"",IF(COUNTIFS(_calc!$AE$2:$AE$3000,$B47&amp;"|"&amp;$D47,_calc!$A$2:$A$3000,$B$3,_calc!$C$2:$C$3000,M$6)=0,"",SUMIFS(_calc!$E$2:$E$3000,_calc!$AE$2:$AE$3000,$B47&amp;"|"&amp;$D47,_calc!$A$2:$A$3000,$B$3,_calc!$C$2:$C$3000,M$6)))</f>
        <v/>
      </c>
      <c r="N47" s="50" t="str">
        <f>IF(OR($B47="",N$6=""),"",IF(COUNTIFS(_calc!$AE$2:$AE$3000,$B47&amp;"|"&amp;$D47,_calc!$A$2:$A$3000,$B$3,_calc!$C$2:$C$3000,N$6)=0,"",SUMIFS(_calc!$E$2:$E$3000,_calc!$AE$2:$AE$3000,$B47&amp;"|"&amp;$D47,_calc!$A$2:$A$3000,$B$3,_calc!$C$2:$C$3000,N$6)))</f>
        <v/>
      </c>
      <c r="O47" s="50" t="str">
        <f>IF(OR($B47="",O$6=""),"",IF(COUNTIFS(_calc!$AE$2:$AE$3000,$B47&amp;"|"&amp;$D47,_calc!$A$2:$A$3000,$B$3,_calc!$C$2:$C$3000,O$6)=0,"",SUMIFS(_calc!$E$2:$E$3000,_calc!$AE$2:$AE$3000,$B47&amp;"|"&amp;$D47,_calc!$A$2:$A$3000,$B$3,_calc!$C$2:$C$3000,O$6)))</f>
        <v/>
      </c>
      <c r="P47" s="50" t="str">
        <f>IF(OR($B47="",P$6=""),"",IF(COUNTIFS(_calc!$AE$2:$AE$3000,$B47&amp;"|"&amp;$D47,_calc!$A$2:$A$3000,$B$3,_calc!$C$2:$C$3000,P$6)=0,"",SUMIFS(_calc!$E$2:$E$3000,_calc!$AE$2:$AE$3000,$B47&amp;"|"&amp;$D47,_calc!$A$2:$A$3000,$B$3,_calc!$C$2:$C$3000,P$6)))</f>
        <v/>
      </c>
      <c r="Q47" s="50" t="str">
        <f>IF(OR($B47="",Q$6=""),"",IF(COUNTIFS(_calc!$AE$2:$AE$3000,$B47&amp;"|"&amp;$D47,_calc!$A$2:$A$3000,$B$3,_calc!$C$2:$C$3000,Q$6)=0,"",SUMIFS(_calc!$E$2:$E$3000,_calc!$AE$2:$AE$3000,$B47&amp;"|"&amp;$D47,_calc!$A$2:$A$3000,$B$3,_calc!$C$2:$C$3000,Q$6)))</f>
        <v/>
      </c>
      <c r="R47" s="50" t="str">
        <f>IF(OR($B47="",R$6=""),"",IF(COUNTIFS(_calc!$AE$2:$AE$3000,$B47&amp;"|"&amp;$D47,_calc!$A$2:$A$3000,$B$3,_calc!$C$2:$C$3000,R$6)=0,"",SUMIFS(_calc!$E$2:$E$3000,_calc!$AE$2:$AE$3000,$B47&amp;"|"&amp;$D47,_calc!$A$2:$A$3000,$B$3,_calc!$C$2:$C$3000,R$6)))</f>
        <v/>
      </c>
      <c r="S47" s="50" t="str">
        <f>IF(OR($B47="",S$6=""),"",IF(COUNTIFS(_calc!$AE$2:$AE$3000,$B47&amp;"|"&amp;$D47,_calc!$A$2:$A$3000,$B$3,_calc!$C$2:$C$3000,S$6)=0,"",SUMIFS(_calc!$E$2:$E$3000,_calc!$AE$2:$AE$3000,$B47&amp;"|"&amp;$D47,_calc!$A$2:$A$3000,$B$3,_calc!$C$2:$C$3000,S$6)))</f>
        <v/>
      </c>
      <c r="T47" s="50" t="str">
        <f>IF(OR($B47="",T$6=""),"",IF(COUNTIFS(_calc!$AE$2:$AE$3000,$B47&amp;"|"&amp;$D47,_calc!$A$2:$A$3000,$B$3,_calc!$C$2:$C$3000,T$6)=0,"",SUMIFS(_calc!$E$2:$E$3000,_calc!$AE$2:$AE$3000,$B47&amp;"|"&amp;$D47,_calc!$A$2:$A$3000,$B$3,_calc!$C$2:$C$3000,T$6)))</f>
        <v/>
      </c>
      <c r="U47" s="50" t="str">
        <f>IF(OR($B47="",U$6=""),"",IF(COUNTIFS(_calc!$AE$2:$AE$3000,$B47&amp;"|"&amp;$D47,_calc!$A$2:$A$3000,$B$3,_calc!$C$2:$C$3000,U$6)=0,"",SUMIFS(_calc!$E$2:$E$3000,_calc!$AE$2:$AE$3000,$B47&amp;"|"&amp;$D47,_calc!$A$2:$A$3000,$B$3,_calc!$C$2:$C$3000,U$6)))</f>
        <v/>
      </c>
      <c r="V47" s="50" t="str">
        <f>IF(OR($B47="",V$6=""),"",IF(COUNTIFS(_calc!$AE$2:$AE$3000,$B47&amp;"|"&amp;$D47,_calc!$A$2:$A$3000,$B$3,_calc!$C$2:$C$3000,V$6)=0,"",SUMIFS(_calc!$E$2:$E$3000,_calc!$AE$2:$AE$3000,$B47&amp;"|"&amp;$D47,_calc!$A$2:$A$3000,$B$3,_calc!$C$2:$C$3000,V$6)))</f>
        <v/>
      </c>
      <c r="W47" s="50" t="str">
        <f>IF(OR($B47="",W$6=""),"",IF(COUNTIFS(_calc!$AE$2:$AE$3000,$B47&amp;"|"&amp;$D47,_calc!$A$2:$A$3000,$B$3,_calc!$C$2:$C$3000,W$6)=0,"",SUMIFS(_calc!$E$2:$E$3000,_calc!$AE$2:$AE$3000,$B47&amp;"|"&amp;$D47,_calc!$A$2:$A$3000,$B$3,_calc!$C$2:$C$3000,W$6)))</f>
        <v/>
      </c>
      <c r="X47" s="50" t="str">
        <f>IF(OR($B47="",X$6=""),"",IF(COUNTIFS(_calc!$AE$2:$AE$3000,$B47&amp;"|"&amp;$D47,_calc!$A$2:$A$3000,$B$3,_calc!$C$2:$C$3000,X$6)=0,"",SUMIFS(_calc!$E$2:$E$3000,_calc!$AE$2:$AE$3000,$B47&amp;"|"&amp;$D47,_calc!$A$2:$A$3000,$B$3,_calc!$C$2:$C$3000,X$6)))</f>
        <v/>
      </c>
    </row>
    <row r="48" spans="1:28" x14ac:dyDescent="0.4">
      <c r="A48" s="48">
        <v>42</v>
      </c>
      <c r="B48" s="49" t="str">
        <f>IFERROR(INDEX(_calc!$I$2:$I$3000,MATCH($A48,_calc!$AB$2:$AB$3000,0)),"")</f>
        <v/>
      </c>
      <c r="C48" s="49" t="str">
        <f>IFERROR(INDEX(_calc!$H$2:$H$3000,MATCH($A48,_calc!$AB$2:$AB$3000,0)),"")</f>
        <v/>
      </c>
      <c r="D48" s="49" t="str">
        <f>IFERROR(INDEX(_calc!$K$2:$K$3000,MATCH($A48,_calc!$AB$2:$AB$3000,0)),"")</f>
        <v/>
      </c>
      <c r="E48" s="50" t="str">
        <f>IF(OR($B48="",E$6=""),"",IF(COUNTIFS(_calc!$AE$2:$AE$3000,$B48&amp;"|"&amp;$D48,_calc!$A$2:$A$3000,$B$3,_calc!$C$2:$C$3000,E$6)=0,"",SUMIFS(_calc!$E$2:$E$3000,_calc!$AE$2:$AE$3000,$B48&amp;"|"&amp;$D48,_calc!$A$2:$A$3000,$B$3,_calc!$C$2:$C$3000,E$6)))</f>
        <v/>
      </c>
      <c r="F48" s="50" t="str">
        <f>IF(OR($B48="",F$6=""),"",IF(COUNTIFS(_calc!$AE$2:$AE$3000,$B48&amp;"|"&amp;$D48,_calc!$A$2:$A$3000,$B$3,_calc!$C$2:$C$3000,F$6)=0,"",SUMIFS(_calc!$E$2:$E$3000,_calc!$AE$2:$AE$3000,$B48&amp;"|"&amp;$D48,_calc!$A$2:$A$3000,$B$3,_calc!$C$2:$C$3000,F$6)))</f>
        <v/>
      </c>
      <c r="G48" s="50" t="str">
        <f>IF(OR($B48="",G$6=""),"",IF(COUNTIFS(_calc!$AE$2:$AE$3000,$B48&amp;"|"&amp;$D48,_calc!$A$2:$A$3000,$B$3,_calc!$C$2:$C$3000,G$6)=0,"",SUMIFS(_calc!$E$2:$E$3000,_calc!$AE$2:$AE$3000,$B48&amp;"|"&amp;$D48,_calc!$A$2:$A$3000,$B$3,_calc!$C$2:$C$3000,G$6)))</f>
        <v/>
      </c>
      <c r="H48" s="50" t="str">
        <f>IF(OR($B48="",H$6=""),"",IF(COUNTIFS(_calc!$AE$2:$AE$3000,$B48&amp;"|"&amp;$D48,_calc!$A$2:$A$3000,$B$3,_calc!$C$2:$C$3000,H$6)=0,"",SUMIFS(_calc!$E$2:$E$3000,_calc!$AE$2:$AE$3000,$B48&amp;"|"&amp;$D48,_calc!$A$2:$A$3000,$B$3,_calc!$C$2:$C$3000,H$6)))</f>
        <v/>
      </c>
      <c r="I48" s="50" t="str">
        <f>IF(OR($B48="",I$6=""),"",IF(COUNTIFS(_calc!$AE$2:$AE$3000,$B48&amp;"|"&amp;$D48,_calc!$A$2:$A$3000,$B$3,_calc!$C$2:$C$3000,I$6)=0,"",SUMIFS(_calc!$E$2:$E$3000,_calc!$AE$2:$AE$3000,$B48&amp;"|"&amp;$D48,_calc!$A$2:$A$3000,$B$3,_calc!$C$2:$C$3000,I$6)))</f>
        <v/>
      </c>
      <c r="J48" s="50" t="str">
        <f>IF(OR($B48="",J$6=""),"",IF(COUNTIFS(_calc!$AE$2:$AE$3000,$B48&amp;"|"&amp;$D48,_calc!$A$2:$A$3000,$B$3,_calc!$C$2:$C$3000,J$6)=0,"",SUMIFS(_calc!$E$2:$E$3000,_calc!$AE$2:$AE$3000,$B48&amp;"|"&amp;$D48,_calc!$A$2:$A$3000,$B$3,_calc!$C$2:$C$3000,J$6)))</f>
        <v/>
      </c>
      <c r="K48" s="50" t="str">
        <f>IF(OR($B48="",K$6=""),"",IF(COUNTIFS(_calc!$AE$2:$AE$3000,$B48&amp;"|"&amp;$D48,_calc!$A$2:$A$3000,$B$3,_calc!$C$2:$C$3000,K$6)=0,"",SUMIFS(_calc!$E$2:$E$3000,_calc!$AE$2:$AE$3000,$B48&amp;"|"&amp;$D48,_calc!$A$2:$A$3000,$B$3,_calc!$C$2:$C$3000,K$6)))</f>
        <v/>
      </c>
      <c r="L48" s="50" t="str">
        <f>IF(OR($B48="",L$6=""),"",IF(COUNTIFS(_calc!$AE$2:$AE$3000,$B48&amp;"|"&amp;$D48,_calc!$A$2:$A$3000,$B$3,_calc!$C$2:$C$3000,L$6)=0,"",SUMIFS(_calc!$E$2:$E$3000,_calc!$AE$2:$AE$3000,$B48&amp;"|"&amp;$D48,_calc!$A$2:$A$3000,$B$3,_calc!$C$2:$C$3000,L$6)))</f>
        <v/>
      </c>
      <c r="M48" s="50" t="str">
        <f>IF(OR($B48="",M$6=""),"",IF(COUNTIFS(_calc!$AE$2:$AE$3000,$B48&amp;"|"&amp;$D48,_calc!$A$2:$A$3000,$B$3,_calc!$C$2:$C$3000,M$6)=0,"",SUMIFS(_calc!$E$2:$E$3000,_calc!$AE$2:$AE$3000,$B48&amp;"|"&amp;$D48,_calc!$A$2:$A$3000,$B$3,_calc!$C$2:$C$3000,M$6)))</f>
        <v/>
      </c>
      <c r="N48" s="50" t="str">
        <f>IF(OR($B48="",N$6=""),"",IF(COUNTIFS(_calc!$AE$2:$AE$3000,$B48&amp;"|"&amp;$D48,_calc!$A$2:$A$3000,$B$3,_calc!$C$2:$C$3000,N$6)=0,"",SUMIFS(_calc!$E$2:$E$3000,_calc!$AE$2:$AE$3000,$B48&amp;"|"&amp;$D48,_calc!$A$2:$A$3000,$B$3,_calc!$C$2:$C$3000,N$6)))</f>
        <v/>
      </c>
      <c r="O48" s="50" t="str">
        <f>IF(OR($B48="",O$6=""),"",IF(COUNTIFS(_calc!$AE$2:$AE$3000,$B48&amp;"|"&amp;$D48,_calc!$A$2:$A$3000,$B$3,_calc!$C$2:$C$3000,O$6)=0,"",SUMIFS(_calc!$E$2:$E$3000,_calc!$AE$2:$AE$3000,$B48&amp;"|"&amp;$D48,_calc!$A$2:$A$3000,$B$3,_calc!$C$2:$C$3000,O$6)))</f>
        <v/>
      </c>
      <c r="P48" s="50" t="str">
        <f>IF(OR($B48="",P$6=""),"",IF(COUNTIFS(_calc!$AE$2:$AE$3000,$B48&amp;"|"&amp;$D48,_calc!$A$2:$A$3000,$B$3,_calc!$C$2:$C$3000,P$6)=0,"",SUMIFS(_calc!$E$2:$E$3000,_calc!$AE$2:$AE$3000,$B48&amp;"|"&amp;$D48,_calc!$A$2:$A$3000,$B$3,_calc!$C$2:$C$3000,P$6)))</f>
        <v/>
      </c>
      <c r="Q48" s="50" t="str">
        <f>IF(OR($B48="",Q$6=""),"",IF(COUNTIFS(_calc!$AE$2:$AE$3000,$B48&amp;"|"&amp;$D48,_calc!$A$2:$A$3000,$B$3,_calc!$C$2:$C$3000,Q$6)=0,"",SUMIFS(_calc!$E$2:$E$3000,_calc!$AE$2:$AE$3000,$B48&amp;"|"&amp;$D48,_calc!$A$2:$A$3000,$B$3,_calc!$C$2:$C$3000,Q$6)))</f>
        <v/>
      </c>
      <c r="R48" s="50" t="str">
        <f>IF(OR($B48="",R$6=""),"",IF(COUNTIFS(_calc!$AE$2:$AE$3000,$B48&amp;"|"&amp;$D48,_calc!$A$2:$A$3000,$B$3,_calc!$C$2:$C$3000,R$6)=0,"",SUMIFS(_calc!$E$2:$E$3000,_calc!$AE$2:$AE$3000,$B48&amp;"|"&amp;$D48,_calc!$A$2:$A$3000,$B$3,_calc!$C$2:$C$3000,R$6)))</f>
        <v/>
      </c>
      <c r="S48" s="50" t="str">
        <f>IF(OR($B48="",S$6=""),"",IF(COUNTIFS(_calc!$AE$2:$AE$3000,$B48&amp;"|"&amp;$D48,_calc!$A$2:$A$3000,$B$3,_calc!$C$2:$C$3000,S$6)=0,"",SUMIFS(_calc!$E$2:$E$3000,_calc!$AE$2:$AE$3000,$B48&amp;"|"&amp;$D48,_calc!$A$2:$A$3000,$B$3,_calc!$C$2:$C$3000,S$6)))</f>
        <v/>
      </c>
      <c r="T48" s="50" t="str">
        <f>IF(OR($B48="",T$6=""),"",IF(COUNTIFS(_calc!$AE$2:$AE$3000,$B48&amp;"|"&amp;$D48,_calc!$A$2:$A$3000,$B$3,_calc!$C$2:$C$3000,T$6)=0,"",SUMIFS(_calc!$E$2:$E$3000,_calc!$AE$2:$AE$3000,$B48&amp;"|"&amp;$D48,_calc!$A$2:$A$3000,$B$3,_calc!$C$2:$C$3000,T$6)))</f>
        <v/>
      </c>
      <c r="U48" s="50" t="str">
        <f>IF(OR($B48="",U$6=""),"",IF(COUNTIFS(_calc!$AE$2:$AE$3000,$B48&amp;"|"&amp;$D48,_calc!$A$2:$A$3000,$B$3,_calc!$C$2:$C$3000,U$6)=0,"",SUMIFS(_calc!$E$2:$E$3000,_calc!$AE$2:$AE$3000,$B48&amp;"|"&amp;$D48,_calc!$A$2:$A$3000,$B$3,_calc!$C$2:$C$3000,U$6)))</f>
        <v/>
      </c>
      <c r="V48" s="50" t="str">
        <f>IF(OR($B48="",V$6=""),"",IF(COUNTIFS(_calc!$AE$2:$AE$3000,$B48&amp;"|"&amp;$D48,_calc!$A$2:$A$3000,$B$3,_calc!$C$2:$C$3000,V$6)=0,"",SUMIFS(_calc!$E$2:$E$3000,_calc!$AE$2:$AE$3000,$B48&amp;"|"&amp;$D48,_calc!$A$2:$A$3000,$B$3,_calc!$C$2:$C$3000,V$6)))</f>
        <v/>
      </c>
      <c r="W48" s="50" t="str">
        <f>IF(OR($B48="",W$6=""),"",IF(COUNTIFS(_calc!$AE$2:$AE$3000,$B48&amp;"|"&amp;$D48,_calc!$A$2:$A$3000,$B$3,_calc!$C$2:$C$3000,W$6)=0,"",SUMIFS(_calc!$E$2:$E$3000,_calc!$AE$2:$AE$3000,$B48&amp;"|"&amp;$D48,_calc!$A$2:$A$3000,$B$3,_calc!$C$2:$C$3000,W$6)))</f>
        <v/>
      </c>
      <c r="X48" s="50" t="str">
        <f>IF(OR($B48="",X$6=""),"",IF(COUNTIFS(_calc!$AE$2:$AE$3000,$B48&amp;"|"&amp;$D48,_calc!$A$2:$A$3000,$B$3,_calc!$C$2:$C$3000,X$6)=0,"",SUMIFS(_calc!$E$2:$E$3000,_calc!$AE$2:$AE$3000,$B48&amp;"|"&amp;$D48,_calc!$A$2:$A$3000,$B$3,_calc!$C$2:$C$3000,X$6)))</f>
        <v/>
      </c>
    </row>
    <row r="49" spans="1:24" x14ac:dyDescent="0.4">
      <c r="A49" s="48">
        <v>43</v>
      </c>
      <c r="B49" s="49" t="str">
        <f>IFERROR(INDEX(_calc!$I$2:$I$3000,MATCH($A49,_calc!$AB$2:$AB$3000,0)),"")</f>
        <v/>
      </c>
      <c r="C49" s="49" t="str">
        <f>IFERROR(INDEX(_calc!$H$2:$H$3000,MATCH($A49,_calc!$AB$2:$AB$3000,0)),"")</f>
        <v/>
      </c>
      <c r="D49" s="49" t="str">
        <f>IFERROR(INDEX(_calc!$K$2:$K$3000,MATCH($A49,_calc!$AB$2:$AB$3000,0)),"")</f>
        <v/>
      </c>
      <c r="E49" s="50" t="str">
        <f>IF(OR($B49="",E$6=""),"",IF(COUNTIFS(_calc!$AE$2:$AE$3000,$B49&amp;"|"&amp;$D49,_calc!$A$2:$A$3000,$B$3,_calc!$C$2:$C$3000,E$6)=0,"",SUMIFS(_calc!$E$2:$E$3000,_calc!$AE$2:$AE$3000,$B49&amp;"|"&amp;$D49,_calc!$A$2:$A$3000,$B$3,_calc!$C$2:$C$3000,E$6)))</f>
        <v/>
      </c>
      <c r="F49" s="50" t="str">
        <f>IF(OR($B49="",F$6=""),"",IF(COUNTIFS(_calc!$AE$2:$AE$3000,$B49&amp;"|"&amp;$D49,_calc!$A$2:$A$3000,$B$3,_calc!$C$2:$C$3000,F$6)=0,"",SUMIFS(_calc!$E$2:$E$3000,_calc!$AE$2:$AE$3000,$B49&amp;"|"&amp;$D49,_calc!$A$2:$A$3000,$B$3,_calc!$C$2:$C$3000,F$6)))</f>
        <v/>
      </c>
      <c r="G49" s="50" t="str">
        <f>IF(OR($B49="",G$6=""),"",IF(COUNTIFS(_calc!$AE$2:$AE$3000,$B49&amp;"|"&amp;$D49,_calc!$A$2:$A$3000,$B$3,_calc!$C$2:$C$3000,G$6)=0,"",SUMIFS(_calc!$E$2:$E$3000,_calc!$AE$2:$AE$3000,$B49&amp;"|"&amp;$D49,_calc!$A$2:$A$3000,$B$3,_calc!$C$2:$C$3000,G$6)))</f>
        <v/>
      </c>
      <c r="H49" s="50" t="str">
        <f>IF(OR($B49="",H$6=""),"",IF(COUNTIFS(_calc!$AE$2:$AE$3000,$B49&amp;"|"&amp;$D49,_calc!$A$2:$A$3000,$B$3,_calc!$C$2:$C$3000,H$6)=0,"",SUMIFS(_calc!$E$2:$E$3000,_calc!$AE$2:$AE$3000,$B49&amp;"|"&amp;$D49,_calc!$A$2:$A$3000,$B$3,_calc!$C$2:$C$3000,H$6)))</f>
        <v/>
      </c>
      <c r="I49" s="50" t="str">
        <f>IF(OR($B49="",I$6=""),"",IF(COUNTIFS(_calc!$AE$2:$AE$3000,$B49&amp;"|"&amp;$D49,_calc!$A$2:$A$3000,$B$3,_calc!$C$2:$C$3000,I$6)=0,"",SUMIFS(_calc!$E$2:$E$3000,_calc!$AE$2:$AE$3000,$B49&amp;"|"&amp;$D49,_calc!$A$2:$A$3000,$B$3,_calc!$C$2:$C$3000,I$6)))</f>
        <v/>
      </c>
      <c r="J49" s="50" t="str">
        <f>IF(OR($B49="",J$6=""),"",IF(COUNTIFS(_calc!$AE$2:$AE$3000,$B49&amp;"|"&amp;$D49,_calc!$A$2:$A$3000,$B$3,_calc!$C$2:$C$3000,J$6)=0,"",SUMIFS(_calc!$E$2:$E$3000,_calc!$AE$2:$AE$3000,$B49&amp;"|"&amp;$D49,_calc!$A$2:$A$3000,$B$3,_calc!$C$2:$C$3000,J$6)))</f>
        <v/>
      </c>
      <c r="K49" s="50" t="str">
        <f>IF(OR($B49="",K$6=""),"",IF(COUNTIFS(_calc!$AE$2:$AE$3000,$B49&amp;"|"&amp;$D49,_calc!$A$2:$A$3000,$B$3,_calc!$C$2:$C$3000,K$6)=0,"",SUMIFS(_calc!$E$2:$E$3000,_calc!$AE$2:$AE$3000,$B49&amp;"|"&amp;$D49,_calc!$A$2:$A$3000,$B$3,_calc!$C$2:$C$3000,K$6)))</f>
        <v/>
      </c>
      <c r="L49" s="50" t="str">
        <f>IF(OR($B49="",L$6=""),"",IF(COUNTIFS(_calc!$AE$2:$AE$3000,$B49&amp;"|"&amp;$D49,_calc!$A$2:$A$3000,$B$3,_calc!$C$2:$C$3000,L$6)=0,"",SUMIFS(_calc!$E$2:$E$3000,_calc!$AE$2:$AE$3000,$B49&amp;"|"&amp;$D49,_calc!$A$2:$A$3000,$B$3,_calc!$C$2:$C$3000,L$6)))</f>
        <v/>
      </c>
      <c r="M49" s="50" t="str">
        <f>IF(OR($B49="",M$6=""),"",IF(COUNTIFS(_calc!$AE$2:$AE$3000,$B49&amp;"|"&amp;$D49,_calc!$A$2:$A$3000,$B$3,_calc!$C$2:$C$3000,M$6)=0,"",SUMIFS(_calc!$E$2:$E$3000,_calc!$AE$2:$AE$3000,$B49&amp;"|"&amp;$D49,_calc!$A$2:$A$3000,$B$3,_calc!$C$2:$C$3000,M$6)))</f>
        <v/>
      </c>
      <c r="N49" s="50" t="str">
        <f>IF(OR($B49="",N$6=""),"",IF(COUNTIFS(_calc!$AE$2:$AE$3000,$B49&amp;"|"&amp;$D49,_calc!$A$2:$A$3000,$B$3,_calc!$C$2:$C$3000,N$6)=0,"",SUMIFS(_calc!$E$2:$E$3000,_calc!$AE$2:$AE$3000,$B49&amp;"|"&amp;$D49,_calc!$A$2:$A$3000,$B$3,_calc!$C$2:$C$3000,N$6)))</f>
        <v/>
      </c>
      <c r="O49" s="50" t="str">
        <f>IF(OR($B49="",O$6=""),"",IF(COUNTIFS(_calc!$AE$2:$AE$3000,$B49&amp;"|"&amp;$D49,_calc!$A$2:$A$3000,$B$3,_calc!$C$2:$C$3000,O$6)=0,"",SUMIFS(_calc!$E$2:$E$3000,_calc!$AE$2:$AE$3000,$B49&amp;"|"&amp;$D49,_calc!$A$2:$A$3000,$B$3,_calc!$C$2:$C$3000,O$6)))</f>
        <v/>
      </c>
      <c r="P49" s="50" t="str">
        <f>IF(OR($B49="",P$6=""),"",IF(COUNTIFS(_calc!$AE$2:$AE$3000,$B49&amp;"|"&amp;$D49,_calc!$A$2:$A$3000,$B$3,_calc!$C$2:$C$3000,P$6)=0,"",SUMIFS(_calc!$E$2:$E$3000,_calc!$AE$2:$AE$3000,$B49&amp;"|"&amp;$D49,_calc!$A$2:$A$3000,$B$3,_calc!$C$2:$C$3000,P$6)))</f>
        <v/>
      </c>
      <c r="Q49" s="50" t="str">
        <f>IF(OR($B49="",Q$6=""),"",IF(COUNTIFS(_calc!$AE$2:$AE$3000,$B49&amp;"|"&amp;$D49,_calc!$A$2:$A$3000,$B$3,_calc!$C$2:$C$3000,Q$6)=0,"",SUMIFS(_calc!$E$2:$E$3000,_calc!$AE$2:$AE$3000,$B49&amp;"|"&amp;$D49,_calc!$A$2:$A$3000,$B$3,_calc!$C$2:$C$3000,Q$6)))</f>
        <v/>
      </c>
      <c r="R49" s="50" t="str">
        <f>IF(OR($B49="",R$6=""),"",IF(COUNTIFS(_calc!$AE$2:$AE$3000,$B49&amp;"|"&amp;$D49,_calc!$A$2:$A$3000,$B$3,_calc!$C$2:$C$3000,R$6)=0,"",SUMIFS(_calc!$E$2:$E$3000,_calc!$AE$2:$AE$3000,$B49&amp;"|"&amp;$D49,_calc!$A$2:$A$3000,$B$3,_calc!$C$2:$C$3000,R$6)))</f>
        <v/>
      </c>
      <c r="S49" s="50" t="str">
        <f>IF(OR($B49="",S$6=""),"",IF(COUNTIFS(_calc!$AE$2:$AE$3000,$B49&amp;"|"&amp;$D49,_calc!$A$2:$A$3000,$B$3,_calc!$C$2:$C$3000,S$6)=0,"",SUMIFS(_calc!$E$2:$E$3000,_calc!$AE$2:$AE$3000,$B49&amp;"|"&amp;$D49,_calc!$A$2:$A$3000,$B$3,_calc!$C$2:$C$3000,S$6)))</f>
        <v/>
      </c>
      <c r="T49" s="50" t="str">
        <f>IF(OR($B49="",T$6=""),"",IF(COUNTIFS(_calc!$AE$2:$AE$3000,$B49&amp;"|"&amp;$D49,_calc!$A$2:$A$3000,$B$3,_calc!$C$2:$C$3000,T$6)=0,"",SUMIFS(_calc!$E$2:$E$3000,_calc!$AE$2:$AE$3000,$B49&amp;"|"&amp;$D49,_calc!$A$2:$A$3000,$B$3,_calc!$C$2:$C$3000,T$6)))</f>
        <v/>
      </c>
      <c r="U49" s="50" t="str">
        <f>IF(OR($B49="",U$6=""),"",IF(COUNTIFS(_calc!$AE$2:$AE$3000,$B49&amp;"|"&amp;$D49,_calc!$A$2:$A$3000,$B$3,_calc!$C$2:$C$3000,U$6)=0,"",SUMIFS(_calc!$E$2:$E$3000,_calc!$AE$2:$AE$3000,$B49&amp;"|"&amp;$D49,_calc!$A$2:$A$3000,$B$3,_calc!$C$2:$C$3000,U$6)))</f>
        <v/>
      </c>
      <c r="V49" s="50" t="str">
        <f>IF(OR($B49="",V$6=""),"",IF(COUNTIFS(_calc!$AE$2:$AE$3000,$B49&amp;"|"&amp;$D49,_calc!$A$2:$A$3000,$B$3,_calc!$C$2:$C$3000,V$6)=0,"",SUMIFS(_calc!$E$2:$E$3000,_calc!$AE$2:$AE$3000,$B49&amp;"|"&amp;$D49,_calc!$A$2:$A$3000,$B$3,_calc!$C$2:$C$3000,V$6)))</f>
        <v/>
      </c>
      <c r="W49" s="50" t="str">
        <f>IF(OR($B49="",W$6=""),"",IF(COUNTIFS(_calc!$AE$2:$AE$3000,$B49&amp;"|"&amp;$D49,_calc!$A$2:$A$3000,$B$3,_calc!$C$2:$C$3000,W$6)=0,"",SUMIFS(_calc!$E$2:$E$3000,_calc!$AE$2:$AE$3000,$B49&amp;"|"&amp;$D49,_calc!$A$2:$A$3000,$B$3,_calc!$C$2:$C$3000,W$6)))</f>
        <v/>
      </c>
      <c r="X49" s="50" t="str">
        <f>IF(OR($B49="",X$6=""),"",IF(COUNTIFS(_calc!$AE$2:$AE$3000,$B49&amp;"|"&amp;$D49,_calc!$A$2:$A$3000,$B$3,_calc!$C$2:$C$3000,X$6)=0,"",SUMIFS(_calc!$E$2:$E$3000,_calc!$AE$2:$AE$3000,$B49&amp;"|"&amp;$D49,_calc!$A$2:$A$3000,$B$3,_calc!$C$2:$C$3000,X$6)))</f>
        <v/>
      </c>
    </row>
    <row r="50" spans="1:24" x14ac:dyDescent="0.4">
      <c r="A50" s="48">
        <v>44</v>
      </c>
      <c r="B50" s="49" t="str">
        <f>IFERROR(INDEX(_calc!$I$2:$I$3000,MATCH($A50,_calc!$AB$2:$AB$3000,0)),"")</f>
        <v/>
      </c>
      <c r="C50" s="49" t="str">
        <f>IFERROR(INDEX(_calc!$H$2:$H$3000,MATCH($A50,_calc!$AB$2:$AB$3000,0)),"")</f>
        <v/>
      </c>
      <c r="D50" s="49" t="str">
        <f>IFERROR(INDEX(_calc!$K$2:$K$3000,MATCH($A50,_calc!$AB$2:$AB$3000,0)),"")</f>
        <v/>
      </c>
      <c r="E50" s="50" t="str">
        <f>IF(OR($B50="",E$6=""),"",IF(COUNTIFS(_calc!$AE$2:$AE$3000,$B50&amp;"|"&amp;$D50,_calc!$A$2:$A$3000,$B$3,_calc!$C$2:$C$3000,E$6)=0,"",SUMIFS(_calc!$E$2:$E$3000,_calc!$AE$2:$AE$3000,$B50&amp;"|"&amp;$D50,_calc!$A$2:$A$3000,$B$3,_calc!$C$2:$C$3000,E$6)))</f>
        <v/>
      </c>
      <c r="F50" s="50" t="str">
        <f>IF(OR($B50="",F$6=""),"",IF(COUNTIFS(_calc!$AE$2:$AE$3000,$B50&amp;"|"&amp;$D50,_calc!$A$2:$A$3000,$B$3,_calc!$C$2:$C$3000,F$6)=0,"",SUMIFS(_calc!$E$2:$E$3000,_calc!$AE$2:$AE$3000,$B50&amp;"|"&amp;$D50,_calc!$A$2:$A$3000,$B$3,_calc!$C$2:$C$3000,F$6)))</f>
        <v/>
      </c>
      <c r="G50" s="50" t="str">
        <f>IF(OR($B50="",G$6=""),"",IF(COUNTIFS(_calc!$AE$2:$AE$3000,$B50&amp;"|"&amp;$D50,_calc!$A$2:$A$3000,$B$3,_calc!$C$2:$C$3000,G$6)=0,"",SUMIFS(_calc!$E$2:$E$3000,_calc!$AE$2:$AE$3000,$B50&amp;"|"&amp;$D50,_calc!$A$2:$A$3000,$B$3,_calc!$C$2:$C$3000,G$6)))</f>
        <v/>
      </c>
      <c r="H50" s="50" t="str">
        <f>IF(OR($B50="",H$6=""),"",IF(COUNTIFS(_calc!$AE$2:$AE$3000,$B50&amp;"|"&amp;$D50,_calc!$A$2:$A$3000,$B$3,_calc!$C$2:$C$3000,H$6)=0,"",SUMIFS(_calc!$E$2:$E$3000,_calc!$AE$2:$AE$3000,$B50&amp;"|"&amp;$D50,_calc!$A$2:$A$3000,$B$3,_calc!$C$2:$C$3000,H$6)))</f>
        <v/>
      </c>
      <c r="I50" s="50" t="str">
        <f>IF(OR($B50="",I$6=""),"",IF(COUNTIFS(_calc!$AE$2:$AE$3000,$B50&amp;"|"&amp;$D50,_calc!$A$2:$A$3000,$B$3,_calc!$C$2:$C$3000,I$6)=0,"",SUMIFS(_calc!$E$2:$E$3000,_calc!$AE$2:$AE$3000,$B50&amp;"|"&amp;$D50,_calc!$A$2:$A$3000,$B$3,_calc!$C$2:$C$3000,I$6)))</f>
        <v/>
      </c>
      <c r="J50" s="50" t="str">
        <f>IF(OR($B50="",J$6=""),"",IF(COUNTIFS(_calc!$AE$2:$AE$3000,$B50&amp;"|"&amp;$D50,_calc!$A$2:$A$3000,$B$3,_calc!$C$2:$C$3000,J$6)=0,"",SUMIFS(_calc!$E$2:$E$3000,_calc!$AE$2:$AE$3000,$B50&amp;"|"&amp;$D50,_calc!$A$2:$A$3000,$B$3,_calc!$C$2:$C$3000,J$6)))</f>
        <v/>
      </c>
      <c r="K50" s="50" t="str">
        <f>IF(OR($B50="",K$6=""),"",IF(COUNTIFS(_calc!$AE$2:$AE$3000,$B50&amp;"|"&amp;$D50,_calc!$A$2:$A$3000,$B$3,_calc!$C$2:$C$3000,K$6)=0,"",SUMIFS(_calc!$E$2:$E$3000,_calc!$AE$2:$AE$3000,$B50&amp;"|"&amp;$D50,_calc!$A$2:$A$3000,$B$3,_calc!$C$2:$C$3000,K$6)))</f>
        <v/>
      </c>
      <c r="L50" s="50" t="str">
        <f>IF(OR($B50="",L$6=""),"",IF(COUNTIFS(_calc!$AE$2:$AE$3000,$B50&amp;"|"&amp;$D50,_calc!$A$2:$A$3000,$B$3,_calc!$C$2:$C$3000,L$6)=0,"",SUMIFS(_calc!$E$2:$E$3000,_calc!$AE$2:$AE$3000,$B50&amp;"|"&amp;$D50,_calc!$A$2:$A$3000,$B$3,_calc!$C$2:$C$3000,L$6)))</f>
        <v/>
      </c>
      <c r="M50" s="50" t="str">
        <f>IF(OR($B50="",M$6=""),"",IF(COUNTIFS(_calc!$AE$2:$AE$3000,$B50&amp;"|"&amp;$D50,_calc!$A$2:$A$3000,$B$3,_calc!$C$2:$C$3000,M$6)=0,"",SUMIFS(_calc!$E$2:$E$3000,_calc!$AE$2:$AE$3000,$B50&amp;"|"&amp;$D50,_calc!$A$2:$A$3000,$B$3,_calc!$C$2:$C$3000,M$6)))</f>
        <v/>
      </c>
      <c r="N50" s="50" t="str">
        <f>IF(OR($B50="",N$6=""),"",IF(COUNTIFS(_calc!$AE$2:$AE$3000,$B50&amp;"|"&amp;$D50,_calc!$A$2:$A$3000,$B$3,_calc!$C$2:$C$3000,N$6)=0,"",SUMIFS(_calc!$E$2:$E$3000,_calc!$AE$2:$AE$3000,$B50&amp;"|"&amp;$D50,_calc!$A$2:$A$3000,$B$3,_calc!$C$2:$C$3000,N$6)))</f>
        <v/>
      </c>
      <c r="O50" s="50" t="str">
        <f>IF(OR($B50="",O$6=""),"",IF(COUNTIFS(_calc!$AE$2:$AE$3000,$B50&amp;"|"&amp;$D50,_calc!$A$2:$A$3000,$B$3,_calc!$C$2:$C$3000,O$6)=0,"",SUMIFS(_calc!$E$2:$E$3000,_calc!$AE$2:$AE$3000,$B50&amp;"|"&amp;$D50,_calc!$A$2:$A$3000,$B$3,_calc!$C$2:$C$3000,O$6)))</f>
        <v/>
      </c>
      <c r="P50" s="50" t="str">
        <f>IF(OR($B50="",P$6=""),"",IF(COUNTIFS(_calc!$AE$2:$AE$3000,$B50&amp;"|"&amp;$D50,_calc!$A$2:$A$3000,$B$3,_calc!$C$2:$C$3000,P$6)=0,"",SUMIFS(_calc!$E$2:$E$3000,_calc!$AE$2:$AE$3000,$B50&amp;"|"&amp;$D50,_calc!$A$2:$A$3000,$B$3,_calc!$C$2:$C$3000,P$6)))</f>
        <v/>
      </c>
      <c r="Q50" s="50" t="str">
        <f>IF(OR($B50="",Q$6=""),"",IF(COUNTIFS(_calc!$AE$2:$AE$3000,$B50&amp;"|"&amp;$D50,_calc!$A$2:$A$3000,$B$3,_calc!$C$2:$C$3000,Q$6)=0,"",SUMIFS(_calc!$E$2:$E$3000,_calc!$AE$2:$AE$3000,$B50&amp;"|"&amp;$D50,_calc!$A$2:$A$3000,$B$3,_calc!$C$2:$C$3000,Q$6)))</f>
        <v/>
      </c>
      <c r="R50" s="50" t="str">
        <f>IF(OR($B50="",R$6=""),"",IF(COUNTIFS(_calc!$AE$2:$AE$3000,$B50&amp;"|"&amp;$D50,_calc!$A$2:$A$3000,$B$3,_calc!$C$2:$C$3000,R$6)=0,"",SUMIFS(_calc!$E$2:$E$3000,_calc!$AE$2:$AE$3000,$B50&amp;"|"&amp;$D50,_calc!$A$2:$A$3000,$B$3,_calc!$C$2:$C$3000,R$6)))</f>
        <v/>
      </c>
      <c r="S50" s="50" t="str">
        <f>IF(OR($B50="",S$6=""),"",IF(COUNTIFS(_calc!$AE$2:$AE$3000,$B50&amp;"|"&amp;$D50,_calc!$A$2:$A$3000,$B$3,_calc!$C$2:$C$3000,S$6)=0,"",SUMIFS(_calc!$E$2:$E$3000,_calc!$AE$2:$AE$3000,$B50&amp;"|"&amp;$D50,_calc!$A$2:$A$3000,$B$3,_calc!$C$2:$C$3000,S$6)))</f>
        <v/>
      </c>
      <c r="T50" s="50" t="str">
        <f>IF(OR($B50="",T$6=""),"",IF(COUNTIFS(_calc!$AE$2:$AE$3000,$B50&amp;"|"&amp;$D50,_calc!$A$2:$A$3000,$B$3,_calc!$C$2:$C$3000,T$6)=0,"",SUMIFS(_calc!$E$2:$E$3000,_calc!$AE$2:$AE$3000,$B50&amp;"|"&amp;$D50,_calc!$A$2:$A$3000,$B$3,_calc!$C$2:$C$3000,T$6)))</f>
        <v/>
      </c>
      <c r="U50" s="50" t="str">
        <f>IF(OR($B50="",U$6=""),"",IF(COUNTIFS(_calc!$AE$2:$AE$3000,$B50&amp;"|"&amp;$D50,_calc!$A$2:$A$3000,$B$3,_calc!$C$2:$C$3000,U$6)=0,"",SUMIFS(_calc!$E$2:$E$3000,_calc!$AE$2:$AE$3000,$B50&amp;"|"&amp;$D50,_calc!$A$2:$A$3000,$B$3,_calc!$C$2:$C$3000,U$6)))</f>
        <v/>
      </c>
      <c r="V50" s="50" t="str">
        <f>IF(OR($B50="",V$6=""),"",IF(COUNTIFS(_calc!$AE$2:$AE$3000,$B50&amp;"|"&amp;$D50,_calc!$A$2:$A$3000,$B$3,_calc!$C$2:$C$3000,V$6)=0,"",SUMIFS(_calc!$E$2:$E$3000,_calc!$AE$2:$AE$3000,$B50&amp;"|"&amp;$D50,_calc!$A$2:$A$3000,$B$3,_calc!$C$2:$C$3000,V$6)))</f>
        <v/>
      </c>
      <c r="W50" s="50" t="str">
        <f>IF(OR($B50="",W$6=""),"",IF(COUNTIFS(_calc!$AE$2:$AE$3000,$B50&amp;"|"&amp;$D50,_calc!$A$2:$A$3000,$B$3,_calc!$C$2:$C$3000,W$6)=0,"",SUMIFS(_calc!$E$2:$E$3000,_calc!$AE$2:$AE$3000,$B50&amp;"|"&amp;$D50,_calc!$A$2:$A$3000,$B$3,_calc!$C$2:$C$3000,W$6)))</f>
        <v/>
      </c>
      <c r="X50" s="50" t="str">
        <f>IF(OR($B50="",X$6=""),"",IF(COUNTIFS(_calc!$AE$2:$AE$3000,$B50&amp;"|"&amp;$D50,_calc!$A$2:$A$3000,$B$3,_calc!$C$2:$C$3000,X$6)=0,"",SUMIFS(_calc!$E$2:$E$3000,_calc!$AE$2:$AE$3000,$B50&amp;"|"&amp;$D50,_calc!$A$2:$A$3000,$B$3,_calc!$C$2:$C$3000,X$6)))</f>
        <v/>
      </c>
    </row>
    <row r="51" spans="1:24" x14ac:dyDescent="0.4">
      <c r="A51" s="48">
        <v>45</v>
      </c>
      <c r="B51" s="49" t="str">
        <f>IFERROR(INDEX(_calc!$I$2:$I$3000,MATCH($A51,_calc!$AB$2:$AB$3000,0)),"")</f>
        <v/>
      </c>
      <c r="C51" s="49" t="str">
        <f>IFERROR(INDEX(_calc!$H$2:$H$3000,MATCH($A51,_calc!$AB$2:$AB$3000,0)),"")</f>
        <v/>
      </c>
      <c r="D51" s="49" t="str">
        <f>IFERROR(INDEX(_calc!$K$2:$K$3000,MATCH($A51,_calc!$AB$2:$AB$3000,0)),"")</f>
        <v/>
      </c>
      <c r="E51" s="50" t="str">
        <f>IF(OR($B51="",E$6=""),"",IF(COUNTIFS(_calc!$AE$2:$AE$3000,$B51&amp;"|"&amp;$D51,_calc!$A$2:$A$3000,$B$3,_calc!$C$2:$C$3000,E$6)=0,"",SUMIFS(_calc!$E$2:$E$3000,_calc!$AE$2:$AE$3000,$B51&amp;"|"&amp;$D51,_calc!$A$2:$A$3000,$B$3,_calc!$C$2:$C$3000,E$6)))</f>
        <v/>
      </c>
      <c r="F51" s="50" t="str">
        <f>IF(OR($B51="",F$6=""),"",IF(COUNTIFS(_calc!$AE$2:$AE$3000,$B51&amp;"|"&amp;$D51,_calc!$A$2:$A$3000,$B$3,_calc!$C$2:$C$3000,F$6)=0,"",SUMIFS(_calc!$E$2:$E$3000,_calc!$AE$2:$AE$3000,$B51&amp;"|"&amp;$D51,_calc!$A$2:$A$3000,$B$3,_calc!$C$2:$C$3000,F$6)))</f>
        <v/>
      </c>
      <c r="G51" s="50" t="str">
        <f>IF(OR($B51="",G$6=""),"",IF(COUNTIFS(_calc!$AE$2:$AE$3000,$B51&amp;"|"&amp;$D51,_calc!$A$2:$A$3000,$B$3,_calc!$C$2:$C$3000,G$6)=0,"",SUMIFS(_calc!$E$2:$E$3000,_calc!$AE$2:$AE$3000,$B51&amp;"|"&amp;$D51,_calc!$A$2:$A$3000,$B$3,_calc!$C$2:$C$3000,G$6)))</f>
        <v/>
      </c>
      <c r="H51" s="50" t="str">
        <f>IF(OR($B51="",H$6=""),"",IF(COUNTIFS(_calc!$AE$2:$AE$3000,$B51&amp;"|"&amp;$D51,_calc!$A$2:$A$3000,$B$3,_calc!$C$2:$C$3000,H$6)=0,"",SUMIFS(_calc!$E$2:$E$3000,_calc!$AE$2:$AE$3000,$B51&amp;"|"&amp;$D51,_calc!$A$2:$A$3000,$B$3,_calc!$C$2:$C$3000,H$6)))</f>
        <v/>
      </c>
      <c r="I51" s="50" t="str">
        <f>IF(OR($B51="",I$6=""),"",IF(COUNTIFS(_calc!$AE$2:$AE$3000,$B51&amp;"|"&amp;$D51,_calc!$A$2:$A$3000,$B$3,_calc!$C$2:$C$3000,I$6)=0,"",SUMIFS(_calc!$E$2:$E$3000,_calc!$AE$2:$AE$3000,$B51&amp;"|"&amp;$D51,_calc!$A$2:$A$3000,$B$3,_calc!$C$2:$C$3000,I$6)))</f>
        <v/>
      </c>
      <c r="J51" s="50" t="str">
        <f>IF(OR($B51="",J$6=""),"",IF(COUNTIFS(_calc!$AE$2:$AE$3000,$B51&amp;"|"&amp;$D51,_calc!$A$2:$A$3000,$B$3,_calc!$C$2:$C$3000,J$6)=0,"",SUMIFS(_calc!$E$2:$E$3000,_calc!$AE$2:$AE$3000,$B51&amp;"|"&amp;$D51,_calc!$A$2:$A$3000,$B$3,_calc!$C$2:$C$3000,J$6)))</f>
        <v/>
      </c>
      <c r="K51" s="50" t="str">
        <f>IF(OR($B51="",K$6=""),"",IF(COUNTIFS(_calc!$AE$2:$AE$3000,$B51&amp;"|"&amp;$D51,_calc!$A$2:$A$3000,$B$3,_calc!$C$2:$C$3000,K$6)=0,"",SUMIFS(_calc!$E$2:$E$3000,_calc!$AE$2:$AE$3000,$B51&amp;"|"&amp;$D51,_calc!$A$2:$A$3000,$B$3,_calc!$C$2:$C$3000,K$6)))</f>
        <v/>
      </c>
      <c r="L51" s="50" t="str">
        <f>IF(OR($B51="",L$6=""),"",IF(COUNTIFS(_calc!$AE$2:$AE$3000,$B51&amp;"|"&amp;$D51,_calc!$A$2:$A$3000,$B$3,_calc!$C$2:$C$3000,L$6)=0,"",SUMIFS(_calc!$E$2:$E$3000,_calc!$AE$2:$AE$3000,$B51&amp;"|"&amp;$D51,_calc!$A$2:$A$3000,$B$3,_calc!$C$2:$C$3000,L$6)))</f>
        <v/>
      </c>
      <c r="M51" s="50" t="str">
        <f>IF(OR($B51="",M$6=""),"",IF(COUNTIFS(_calc!$AE$2:$AE$3000,$B51&amp;"|"&amp;$D51,_calc!$A$2:$A$3000,$B$3,_calc!$C$2:$C$3000,M$6)=0,"",SUMIFS(_calc!$E$2:$E$3000,_calc!$AE$2:$AE$3000,$B51&amp;"|"&amp;$D51,_calc!$A$2:$A$3000,$B$3,_calc!$C$2:$C$3000,M$6)))</f>
        <v/>
      </c>
      <c r="N51" s="50" t="str">
        <f>IF(OR($B51="",N$6=""),"",IF(COUNTIFS(_calc!$AE$2:$AE$3000,$B51&amp;"|"&amp;$D51,_calc!$A$2:$A$3000,$B$3,_calc!$C$2:$C$3000,N$6)=0,"",SUMIFS(_calc!$E$2:$E$3000,_calc!$AE$2:$AE$3000,$B51&amp;"|"&amp;$D51,_calc!$A$2:$A$3000,$B$3,_calc!$C$2:$C$3000,N$6)))</f>
        <v/>
      </c>
      <c r="O51" s="50" t="str">
        <f>IF(OR($B51="",O$6=""),"",IF(COUNTIFS(_calc!$AE$2:$AE$3000,$B51&amp;"|"&amp;$D51,_calc!$A$2:$A$3000,$B$3,_calc!$C$2:$C$3000,O$6)=0,"",SUMIFS(_calc!$E$2:$E$3000,_calc!$AE$2:$AE$3000,$B51&amp;"|"&amp;$D51,_calc!$A$2:$A$3000,$B$3,_calc!$C$2:$C$3000,O$6)))</f>
        <v/>
      </c>
      <c r="P51" s="50" t="str">
        <f>IF(OR($B51="",P$6=""),"",IF(COUNTIFS(_calc!$AE$2:$AE$3000,$B51&amp;"|"&amp;$D51,_calc!$A$2:$A$3000,$B$3,_calc!$C$2:$C$3000,P$6)=0,"",SUMIFS(_calc!$E$2:$E$3000,_calc!$AE$2:$AE$3000,$B51&amp;"|"&amp;$D51,_calc!$A$2:$A$3000,$B$3,_calc!$C$2:$C$3000,P$6)))</f>
        <v/>
      </c>
      <c r="Q51" s="50" t="str">
        <f>IF(OR($B51="",Q$6=""),"",IF(COUNTIFS(_calc!$AE$2:$AE$3000,$B51&amp;"|"&amp;$D51,_calc!$A$2:$A$3000,$B$3,_calc!$C$2:$C$3000,Q$6)=0,"",SUMIFS(_calc!$E$2:$E$3000,_calc!$AE$2:$AE$3000,$B51&amp;"|"&amp;$D51,_calc!$A$2:$A$3000,$B$3,_calc!$C$2:$C$3000,Q$6)))</f>
        <v/>
      </c>
      <c r="R51" s="50" t="str">
        <f>IF(OR($B51="",R$6=""),"",IF(COUNTIFS(_calc!$AE$2:$AE$3000,$B51&amp;"|"&amp;$D51,_calc!$A$2:$A$3000,$B$3,_calc!$C$2:$C$3000,R$6)=0,"",SUMIFS(_calc!$E$2:$E$3000,_calc!$AE$2:$AE$3000,$B51&amp;"|"&amp;$D51,_calc!$A$2:$A$3000,$B$3,_calc!$C$2:$C$3000,R$6)))</f>
        <v/>
      </c>
      <c r="S51" s="50" t="str">
        <f>IF(OR($B51="",S$6=""),"",IF(COUNTIFS(_calc!$AE$2:$AE$3000,$B51&amp;"|"&amp;$D51,_calc!$A$2:$A$3000,$B$3,_calc!$C$2:$C$3000,S$6)=0,"",SUMIFS(_calc!$E$2:$E$3000,_calc!$AE$2:$AE$3000,$B51&amp;"|"&amp;$D51,_calc!$A$2:$A$3000,$B$3,_calc!$C$2:$C$3000,S$6)))</f>
        <v/>
      </c>
      <c r="T51" s="50" t="str">
        <f>IF(OR($B51="",T$6=""),"",IF(COUNTIFS(_calc!$AE$2:$AE$3000,$B51&amp;"|"&amp;$D51,_calc!$A$2:$A$3000,$B$3,_calc!$C$2:$C$3000,T$6)=0,"",SUMIFS(_calc!$E$2:$E$3000,_calc!$AE$2:$AE$3000,$B51&amp;"|"&amp;$D51,_calc!$A$2:$A$3000,$B$3,_calc!$C$2:$C$3000,T$6)))</f>
        <v/>
      </c>
      <c r="U51" s="50" t="str">
        <f>IF(OR($B51="",U$6=""),"",IF(COUNTIFS(_calc!$AE$2:$AE$3000,$B51&amp;"|"&amp;$D51,_calc!$A$2:$A$3000,$B$3,_calc!$C$2:$C$3000,U$6)=0,"",SUMIFS(_calc!$E$2:$E$3000,_calc!$AE$2:$AE$3000,$B51&amp;"|"&amp;$D51,_calc!$A$2:$A$3000,$B$3,_calc!$C$2:$C$3000,U$6)))</f>
        <v/>
      </c>
      <c r="V51" s="50" t="str">
        <f>IF(OR($B51="",V$6=""),"",IF(COUNTIFS(_calc!$AE$2:$AE$3000,$B51&amp;"|"&amp;$D51,_calc!$A$2:$A$3000,$B$3,_calc!$C$2:$C$3000,V$6)=0,"",SUMIFS(_calc!$E$2:$E$3000,_calc!$AE$2:$AE$3000,$B51&amp;"|"&amp;$D51,_calc!$A$2:$A$3000,$B$3,_calc!$C$2:$C$3000,V$6)))</f>
        <v/>
      </c>
      <c r="W51" s="50" t="str">
        <f>IF(OR($B51="",W$6=""),"",IF(COUNTIFS(_calc!$AE$2:$AE$3000,$B51&amp;"|"&amp;$D51,_calc!$A$2:$A$3000,$B$3,_calc!$C$2:$C$3000,W$6)=0,"",SUMIFS(_calc!$E$2:$E$3000,_calc!$AE$2:$AE$3000,$B51&amp;"|"&amp;$D51,_calc!$A$2:$A$3000,$B$3,_calc!$C$2:$C$3000,W$6)))</f>
        <v/>
      </c>
      <c r="X51" s="50" t="str">
        <f>IF(OR($B51="",X$6=""),"",IF(COUNTIFS(_calc!$AE$2:$AE$3000,$B51&amp;"|"&amp;$D51,_calc!$A$2:$A$3000,$B$3,_calc!$C$2:$C$3000,X$6)=0,"",SUMIFS(_calc!$E$2:$E$3000,_calc!$AE$2:$AE$3000,$B51&amp;"|"&amp;$D51,_calc!$A$2:$A$3000,$B$3,_calc!$C$2:$C$3000,X$6)))</f>
        <v/>
      </c>
    </row>
    <row r="52" spans="1:24" x14ac:dyDescent="0.4">
      <c r="A52" s="48">
        <v>46</v>
      </c>
      <c r="B52" s="49" t="str">
        <f>IFERROR(INDEX(_calc!$I$2:$I$3000,MATCH($A52,_calc!$AB$2:$AB$3000,0)),"")</f>
        <v/>
      </c>
      <c r="C52" s="49" t="str">
        <f>IFERROR(INDEX(_calc!$H$2:$H$3000,MATCH($A52,_calc!$AB$2:$AB$3000,0)),"")</f>
        <v/>
      </c>
      <c r="D52" s="49" t="str">
        <f>IFERROR(INDEX(_calc!$K$2:$K$3000,MATCH($A52,_calc!$AB$2:$AB$3000,0)),"")</f>
        <v/>
      </c>
      <c r="E52" s="50" t="str">
        <f>IF(OR($B52="",E$6=""),"",IF(COUNTIFS(_calc!$AE$2:$AE$3000,$B52&amp;"|"&amp;$D52,_calc!$A$2:$A$3000,$B$3,_calc!$C$2:$C$3000,E$6)=0,"",SUMIFS(_calc!$E$2:$E$3000,_calc!$AE$2:$AE$3000,$B52&amp;"|"&amp;$D52,_calc!$A$2:$A$3000,$B$3,_calc!$C$2:$C$3000,E$6)))</f>
        <v/>
      </c>
      <c r="F52" s="50" t="str">
        <f>IF(OR($B52="",F$6=""),"",IF(COUNTIFS(_calc!$AE$2:$AE$3000,$B52&amp;"|"&amp;$D52,_calc!$A$2:$A$3000,$B$3,_calc!$C$2:$C$3000,F$6)=0,"",SUMIFS(_calc!$E$2:$E$3000,_calc!$AE$2:$AE$3000,$B52&amp;"|"&amp;$D52,_calc!$A$2:$A$3000,$B$3,_calc!$C$2:$C$3000,F$6)))</f>
        <v/>
      </c>
      <c r="G52" s="50" t="str">
        <f>IF(OR($B52="",G$6=""),"",IF(COUNTIFS(_calc!$AE$2:$AE$3000,$B52&amp;"|"&amp;$D52,_calc!$A$2:$A$3000,$B$3,_calc!$C$2:$C$3000,G$6)=0,"",SUMIFS(_calc!$E$2:$E$3000,_calc!$AE$2:$AE$3000,$B52&amp;"|"&amp;$D52,_calc!$A$2:$A$3000,$B$3,_calc!$C$2:$C$3000,G$6)))</f>
        <v/>
      </c>
      <c r="H52" s="50" t="str">
        <f>IF(OR($B52="",H$6=""),"",IF(COUNTIFS(_calc!$AE$2:$AE$3000,$B52&amp;"|"&amp;$D52,_calc!$A$2:$A$3000,$B$3,_calc!$C$2:$C$3000,H$6)=0,"",SUMIFS(_calc!$E$2:$E$3000,_calc!$AE$2:$AE$3000,$B52&amp;"|"&amp;$D52,_calc!$A$2:$A$3000,$B$3,_calc!$C$2:$C$3000,H$6)))</f>
        <v/>
      </c>
      <c r="I52" s="50" t="str">
        <f>IF(OR($B52="",I$6=""),"",IF(COUNTIFS(_calc!$AE$2:$AE$3000,$B52&amp;"|"&amp;$D52,_calc!$A$2:$A$3000,$B$3,_calc!$C$2:$C$3000,I$6)=0,"",SUMIFS(_calc!$E$2:$E$3000,_calc!$AE$2:$AE$3000,$B52&amp;"|"&amp;$D52,_calc!$A$2:$A$3000,$B$3,_calc!$C$2:$C$3000,I$6)))</f>
        <v/>
      </c>
      <c r="J52" s="50" t="str">
        <f>IF(OR($B52="",J$6=""),"",IF(COUNTIFS(_calc!$AE$2:$AE$3000,$B52&amp;"|"&amp;$D52,_calc!$A$2:$A$3000,$B$3,_calc!$C$2:$C$3000,J$6)=0,"",SUMIFS(_calc!$E$2:$E$3000,_calc!$AE$2:$AE$3000,$B52&amp;"|"&amp;$D52,_calc!$A$2:$A$3000,$B$3,_calc!$C$2:$C$3000,J$6)))</f>
        <v/>
      </c>
      <c r="K52" s="50" t="str">
        <f>IF(OR($B52="",K$6=""),"",IF(COUNTIFS(_calc!$AE$2:$AE$3000,$B52&amp;"|"&amp;$D52,_calc!$A$2:$A$3000,$B$3,_calc!$C$2:$C$3000,K$6)=0,"",SUMIFS(_calc!$E$2:$E$3000,_calc!$AE$2:$AE$3000,$B52&amp;"|"&amp;$D52,_calc!$A$2:$A$3000,$B$3,_calc!$C$2:$C$3000,K$6)))</f>
        <v/>
      </c>
      <c r="L52" s="50" t="str">
        <f>IF(OR($B52="",L$6=""),"",IF(COUNTIFS(_calc!$AE$2:$AE$3000,$B52&amp;"|"&amp;$D52,_calc!$A$2:$A$3000,$B$3,_calc!$C$2:$C$3000,L$6)=0,"",SUMIFS(_calc!$E$2:$E$3000,_calc!$AE$2:$AE$3000,$B52&amp;"|"&amp;$D52,_calc!$A$2:$A$3000,$B$3,_calc!$C$2:$C$3000,L$6)))</f>
        <v/>
      </c>
      <c r="M52" s="50" t="str">
        <f>IF(OR($B52="",M$6=""),"",IF(COUNTIFS(_calc!$AE$2:$AE$3000,$B52&amp;"|"&amp;$D52,_calc!$A$2:$A$3000,$B$3,_calc!$C$2:$C$3000,M$6)=0,"",SUMIFS(_calc!$E$2:$E$3000,_calc!$AE$2:$AE$3000,$B52&amp;"|"&amp;$D52,_calc!$A$2:$A$3000,$B$3,_calc!$C$2:$C$3000,M$6)))</f>
        <v/>
      </c>
      <c r="N52" s="50" t="str">
        <f>IF(OR($B52="",N$6=""),"",IF(COUNTIFS(_calc!$AE$2:$AE$3000,$B52&amp;"|"&amp;$D52,_calc!$A$2:$A$3000,$B$3,_calc!$C$2:$C$3000,N$6)=0,"",SUMIFS(_calc!$E$2:$E$3000,_calc!$AE$2:$AE$3000,$B52&amp;"|"&amp;$D52,_calc!$A$2:$A$3000,$B$3,_calc!$C$2:$C$3000,N$6)))</f>
        <v/>
      </c>
      <c r="O52" s="50" t="str">
        <f>IF(OR($B52="",O$6=""),"",IF(COUNTIFS(_calc!$AE$2:$AE$3000,$B52&amp;"|"&amp;$D52,_calc!$A$2:$A$3000,$B$3,_calc!$C$2:$C$3000,O$6)=0,"",SUMIFS(_calc!$E$2:$E$3000,_calc!$AE$2:$AE$3000,$B52&amp;"|"&amp;$D52,_calc!$A$2:$A$3000,$B$3,_calc!$C$2:$C$3000,O$6)))</f>
        <v/>
      </c>
      <c r="P52" s="50" t="str">
        <f>IF(OR($B52="",P$6=""),"",IF(COUNTIFS(_calc!$AE$2:$AE$3000,$B52&amp;"|"&amp;$D52,_calc!$A$2:$A$3000,$B$3,_calc!$C$2:$C$3000,P$6)=0,"",SUMIFS(_calc!$E$2:$E$3000,_calc!$AE$2:$AE$3000,$B52&amp;"|"&amp;$D52,_calc!$A$2:$A$3000,$B$3,_calc!$C$2:$C$3000,P$6)))</f>
        <v/>
      </c>
      <c r="Q52" s="50" t="str">
        <f>IF(OR($B52="",Q$6=""),"",IF(COUNTIFS(_calc!$AE$2:$AE$3000,$B52&amp;"|"&amp;$D52,_calc!$A$2:$A$3000,$B$3,_calc!$C$2:$C$3000,Q$6)=0,"",SUMIFS(_calc!$E$2:$E$3000,_calc!$AE$2:$AE$3000,$B52&amp;"|"&amp;$D52,_calc!$A$2:$A$3000,$B$3,_calc!$C$2:$C$3000,Q$6)))</f>
        <v/>
      </c>
      <c r="R52" s="50" t="str">
        <f>IF(OR($B52="",R$6=""),"",IF(COUNTIFS(_calc!$AE$2:$AE$3000,$B52&amp;"|"&amp;$D52,_calc!$A$2:$A$3000,$B$3,_calc!$C$2:$C$3000,R$6)=0,"",SUMIFS(_calc!$E$2:$E$3000,_calc!$AE$2:$AE$3000,$B52&amp;"|"&amp;$D52,_calc!$A$2:$A$3000,$B$3,_calc!$C$2:$C$3000,R$6)))</f>
        <v/>
      </c>
      <c r="S52" s="50" t="str">
        <f>IF(OR($B52="",S$6=""),"",IF(COUNTIFS(_calc!$AE$2:$AE$3000,$B52&amp;"|"&amp;$D52,_calc!$A$2:$A$3000,$B$3,_calc!$C$2:$C$3000,S$6)=0,"",SUMIFS(_calc!$E$2:$E$3000,_calc!$AE$2:$AE$3000,$B52&amp;"|"&amp;$D52,_calc!$A$2:$A$3000,$B$3,_calc!$C$2:$C$3000,S$6)))</f>
        <v/>
      </c>
      <c r="T52" s="50" t="str">
        <f>IF(OR($B52="",T$6=""),"",IF(COUNTIFS(_calc!$AE$2:$AE$3000,$B52&amp;"|"&amp;$D52,_calc!$A$2:$A$3000,$B$3,_calc!$C$2:$C$3000,T$6)=0,"",SUMIFS(_calc!$E$2:$E$3000,_calc!$AE$2:$AE$3000,$B52&amp;"|"&amp;$D52,_calc!$A$2:$A$3000,$B$3,_calc!$C$2:$C$3000,T$6)))</f>
        <v/>
      </c>
      <c r="U52" s="50" t="str">
        <f>IF(OR($B52="",U$6=""),"",IF(COUNTIFS(_calc!$AE$2:$AE$3000,$B52&amp;"|"&amp;$D52,_calc!$A$2:$A$3000,$B$3,_calc!$C$2:$C$3000,U$6)=0,"",SUMIFS(_calc!$E$2:$E$3000,_calc!$AE$2:$AE$3000,$B52&amp;"|"&amp;$D52,_calc!$A$2:$A$3000,$B$3,_calc!$C$2:$C$3000,U$6)))</f>
        <v/>
      </c>
      <c r="V52" s="50" t="str">
        <f>IF(OR($B52="",V$6=""),"",IF(COUNTIFS(_calc!$AE$2:$AE$3000,$B52&amp;"|"&amp;$D52,_calc!$A$2:$A$3000,$B$3,_calc!$C$2:$C$3000,V$6)=0,"",SUMIFS(_calc!$E$2:$E$3000,_calc!$AE$2:$AE$3000,$B52&amp;"|"&amp;$D52,_calc!$A$2:$A$3000,$B$3,_calc!$C$2:$C$3000,V$6)))</f>
        <v/>
      </c>
      <c r="W52" s="50" t="str">
        <f>IF(OR($B52="",W$6=""),"",IF(COUNTIFS(_calc!$AE$2:$AE$3000,$B52&amp;"|"&amp;$D52,_calc!$A$2:$A$3000,$B$3,_calc!$C$2:$C$3000,W$6)=0,"",SUMIFS(_calc!$E$2:$E$3000,_calc!$AE$2:$AE$3000,$B52&amp;"|"&amp;$D52,_calc!$A$2:$A$3000,$B$3,_calc!$C$2:$C$3000,W$6)))</f>
        <v/>
      </c>
      <c r="X52" s="50" t="str">
        <f>IF(OR($B52="",X$6=""),"",IF(COUNTIFS(_calc!$AE$2:$AE$3000,$B52&amp;"|"&amp;$D52,_calc!$A$2:$A$3000,$B$3,_calc!$C$2:$C$3000,X$6)=0,"",SUMIFS(_calc!$E$2:$E$3000,_calc!$AE$2:$AE$3000,$B52&amp;"|"&amp;$D52,_calc!$A$2:$A$3000,$B$3,_calc!$C$2:$C$3000,X$6)))</f>
        <v/>
      </c>
    </row>
    <row r="53" spans="1:24" x14ac:dyDescent="0.4">
      <c r="A53" s="48">
        <v>47</v>
      </c>
      <c r="B53" s="49" t="str">
        <f>IFERROR(INDEX(_calc!$I$2:$I$3000,MATCH($A53,_calc!$AB$2:$AB$3000,0)),"")</f>
        <v/>
      </c>
      <c r="C53" s="49" t="str">
        <f>IFERROR(INDEX(_calc!$H$2:$H$3000,MATCH($A53,_calc!$AB$2:$AB$3000,0)),"")</f>
        <v/>
      </c>
      <c r="D53" s="49" t="str">
        <f>IFERROR(INDEX(_calc!$K$2:$K$3000,MATCH($A53,_calc!$AB$2:$AB$3000,0)),"")</f>
        <v/>
      </c>
      <c r="E53" s="50" t="str">
        <f>IF(OR($B53="",E$6=""),"",IF(COUNTIFS(_calc!$AE$2:$AE$3000,$B53&amp;"|"&amp;$D53,_calc!$A$2:$A$3000,$B$3,_calc!$C$2:$C$3000,E$6)=0,"",SUMIFS(_calc!$E$2:$E$3000,_calc!$AE$2:$AE$3000,$B53&amp;"|"&amp;$D53,_calc!$A$2:$A$3000,$B$3,_calc!$C$2:$C$3000,E$6)))</f>
        <v/>
      </c>
      <c r="F53" s="50" t="str">
        <f>IF(OR($B53="",F$6=""),"",IF(COUNTIFS(_calc!$AE$2:$AE$3000,$B53&amp;"|"&amp;$D53,_calc!$A$2:$A$3000,$B$3,_calc!$C$2:$C$3000,F$6)=0,"",SUMIFS(_calc!$E$2:$E$3000,_calc!$AE$2:$AE$3000,$B53&amp;"|"&amp;$D53,_calc!$A$2:$A$3000,$B$3,_calc!$C$2:$C$3000,F$6)))</f>
        <v/>
      </c>
      <c r="G53" s="50" t="str">
        <f>IF(OR($B53="",G$6=""),"",IF(COUNTIFS(_calc!$AE$2:$AE$3000,$B53&amp;"|"&amp;$D53,_calc!$A$2:$A$3000,$B$3,_calc!$C$2:$C$3000,G$6)=0,"",SUMIFS(_calc!$E$2:$E$3000,_calc!$AE$2:$AE$3000,$B53&amp;"|"&amp;$D53,_calc!$A$2:$A$3000,$B$3,_calc!$C$2:$C$3000,G$6)))</f>
        <v/>
      </c>
      <c r="H53" s="50" t="str">
        <f>IF(OR($B53="",H$6=""),"",IF(COUNTIFS(_calc!$AE$2:$AE$3000,$B53&amp;"|"&amp;$D53,_calc!$A$2:$A$3000,$B$3,_calc!$C$2:$C$3000,H$6)=0,"",SUMIFS(_calc!$E$2:$E$3000,_calc!$AE$2:$AE$3000,$B53&amp;"|"&amp;$D53,_calc!$A$2:$A$3000,$B$3,_calc!$C$2:$C$3000,H$6)))</f>
        <v/>
      </c>
      <c r="I53" s="50" t="str">
        <f>IF(OR($B53="",I$6=""),"",IF(COUNTIFS(_calc!$AE$2:$AE$3000,$B53&amp;"|"&amp;$D53,_calc!$A$2:$A$3000,$B$3,_calc!$C$2:$C$3000,I$6)=0,"",SUMIFS(_calc!$E$2:$E$3000,_calc!$AE$2:$AE$3000,$B53&amp;"|"&amp;$D53,_calc!$A$2:$A$3000,$B$3,_calc!$C$2:$C$3000,I$6)))</f>
        <v/>
      </c>
      <c r="J53" s="50" t="str">
        <f>IF(OR($B53="",J$6=""),"",IF(COUNTIFS(_calc!$AE$2:$AE$3000,$B53&amp;"|"&amp;$D53,_calc!$A$2:$A$3000,$B$3,_calc!$C$2:$C$3000,J$6)=0,"",SUMIFS(_calc!$E$2:$E$3000,_calc!$AE$2:$AE$3000,$B53&amp;"|"&amp;$D53,_calc!$A$2:$A$3000,$B$3,_calc!$C$2:$C$3000,J$6)))</f>
        <v/>
      </c>
      <c r="K53" s="50" t="str">
        <f>IF(OR($B53="",K$6=""),"",IF(COUNTIFS(_calc!$AE$2:$AE$3000,$B53&amp;"|"&amp;$D53,_calc!$A$2:$A$3000,$B$3,_calc!$C$2:$C$3000,K$6)=0,"",SUMIFS(_calc!$E$2:$E$3000,_calc!$AE$2:$AE$3000,$B53&amp;"|"&amp;$D53,_calc!$A$2:$A$3000,$B$3,_calc!$C$2:$C$3000,K$6)))</f>
        <v/>
      </c>
      <c r="L53" s="50" t="str">
        <f>IF(OR($B53="",L$6=""),"",IF(COUNTIFS(_calc!$AE$2:$AE$3000,$B53&amp;"|"&amp;$D53,_calc!$A$2:$A$3000,$B$3,_calc!$C$2:$C$3000,L$6)=0,"",SUMIFS(_calc!$E$2:$E$3000,_calc!$AE$2:$AE$3000,$B53&amp;"|"&amp;$D53,_calc!$A$2:$A$3000,$B$3,_calc!$C$2:$C$3000,L$6)))</f>
        <v/>
      </c>
      <c r="M53" s="50" t="str">
        <f>IF(OR($B53="",M$6=""),"",IF(COUNTIFS(_calc!$AE$2:$AE$3000,$B53&amp;"|"&amp;$D53,_calc!$A$2:$A$3000,$B$3,_calc!$C$2:$C$3000,M$6)=0,"",SUMIFS(_calc!$E$2:$E$3000,_calc!$AE$2:$AE$3000,$B53&amp;"|"&amp;$D53,_calc!$A$2:$A$3000,$B$3,_calc!$C$2:$C$3000,M$6)))</f>
        <v/>
      </c>
      <c r="N53" s="50" t="str">
        <f>IF(OR($B53="",N$6=""),"",IF(COUNTIFS(_calc!$AE$2:$AE$3000,$B53&amp;"|"&amp;$D53,_calc!$A$2:$A$3000,$B$3,_calc!$C$2:$C$3000,N$6)=0,"",SUMIFS(_calc!$E$2:$E$3000,_calc!$AE$2:$AE$3000,$B53&amp;"|"&amp;$D53,_calc!$A$2:$A$3000,$B$3,_calc!$C$2:$C$3000,N$6)))</f>
        <v/>
      </c>
      <c r="O53" s="50" t="str">
        <f>IF(OR($B53="",O$6=""),"",IF(COUNTIFS(_calc!$AE$2:$AE$3000,$B53&amp;"|"&amp;$D53,_calc!$A$2:$A$3000,$B$3,_calc!$C$2:$C$3000,O$6)=0,"",SUMIFS(_calc!$E$2:$E$3000,_calc!$AE$2:$AE$3000,$B53&amp;"|"&amp;$D53,_calc!$A$2:$A$3000,$B$3,_calc!$C$2:$C$3000,O$6)))</f>
        <v/>
      </c>
      <c r="P53" s="50" t="str">
        <f>IF(OR($B53="",P$6=""),"",IF(COUNTIFS(_calc!$AE$2:$AE$3000,$B53&amp;"|"&amp;$D53,_calc!$A$2:$A$3000,$B$3,_calc!$C$2:$C$3000,P$6)=0,"",SUMIFS(_calc!$E$2:$E$3000,_calc!$AE$2:$AE$3000,$B53&amp;"|"&amp;$D53,_calc!$A$2:$A$3000,$B$3,_calc!$C$2:$C$3000,P$6)))</f>
        <v/>
      </c>
      <c r="Q53" s="50" t="str">
        <f>IF(OR($B53="",Q$6=""),"",IF(COUNTIFS(_calc!$AE$2:$AE$3000,$B53&amp;"|"&amp;$D53,_calc!$A$2:$A$3000,$B$3,_calc!$C$2:$C$3000,Q$6)=0,"",SUMIFS(_calc!$E$2:$E$3000,_calc!$AE$2:$AE$3000,$B53&amp;"|"&amp;$D53,_calc!$A$2:$A$3000,$B$3,_calc!$C$2:$C$3000,Q$6)))</f>
        <v/>
      </c>
      <c r="R53" s="50" t="str">
        <f>IF(OR($B53="",R$6=""),"",IF(COUNTIFS(_calc!$AE$2:$AE$3000,$B53&amp;"|"&amp;$D53,_calc!$A$2:$A$3000,$B$3,_calc!$C$2:$C$3000,R$6)=0,"",SUMIFS(_calc!$E$2:$E$3000,_calc!$AE$2:$AE$3000,$B53&amp;"|"&amp;$D53,_calc!$A$2:$A$3000,$B$3,_calc!$C$2:$C$3000,R$6)))</f>
        <v/>
      </c>
      <c r="S53" s="50" t="str">
        <f>IF(OR($B53="",S$6=""),"",IF(COUNTIFS(_calc!$AE$2:$AE$3000,$B53&amp;"|"&amp;$D53,_calc!$A$2:$A$3000,$B$3,_calc!$C$2:$C$3000,S$6)=0,"",SUMIFS(_calc!$E$2:$E$3000,_calc!$AE$2:$AE$3000,$B53&amp;"|"&amp;$D53,_calc!$A$2:$A$3000,$B$3,_calc!$C$2:$C$3000,S$6)))</f>
        <v/>
      </c>
      <c r="T53" s="50" t="str">
        <f>IF(OR($B53="",T$6=""),"",IF(COUNTIFS(_calc!$AE$2:$AE$3000,$B53&amp;"|"&amp;$D53,_calc!$A$2:$A$3000,$B$3,_calc!$C$2:$C$3000,T$6)=0,"",SUMIFS(_calc!$E$2:$E$3000,_calc!$AE$2:$AE$3000,$B53&amp;"|"&amp;$D53,_calc!$A$2:$A$3000,$B$3,_calc!$C$2:$C$3000,T$6)))</f>
        <v/>
      </c>
      <c r="U53" s="50" t="str">
        <f>IF(OR($B53="",U$6=""),"",IF(COUNTIFS(_calc!$AE$2:$AE$3000,$B53&amp;"|"&amp;$D53,_calc!$A$2:$A$3000,$B$3,_calc!$C$2:$C$3000,U$6)=0,"",SUMIFS(_calc!$E$2:$E$3000,_calc!$AE$2:$AE$3000,$B53&amp;"|"&amp;$D53,_calc!$A$2:$A$3000,$B$3,_calc!$C$2:$C$3000,U$6)))</f>
        <v/>
      </c>
      <c r="V53" s="50" t="str">
        <f>IF(OR($B53="",V$6=""),"",IF(COUNTIFS(_calc!$AE$2:$AE$3000,$B53&amp;"|"&amp;$D53,_calc!$A$2:$A$3000,$B$3,_calc!$C$2:$C$3000,V$6)=0,"",SUMIFS(_calc!$E$2:$E$3000,_calc!$AE$2:$AE$3000,$B53&amp;"|"&amp;$D53,_calc!$A$2:$A$3000,$B$3,_calc!$C$2:$C$3000,V$6)))</f>
        <v/>
      </c>
      <c r="W53" s="50" t="str">
        <f>IF(OR($B53="",W$6=""),"",IF(COUNTIFS(_calc!$AE$2:$AE$3000,$B53&amp;"|"&amp;$D53,_calc!$A$2:$A$3000,$B$3,_calc!$C$2:$C$3000,W$6)=0,"",SUMIFS(_calc!$E$2:$E$3000,_calc!$AE$2:$AE$3000,$B53&amp;"|"&amp;$D53,_calc!$A$2:$A$3000,$B$3,_calc!$C$2:$C$3000,W$6)))</f>
        <v/>
      </c>
      <c r="X53" s="50" t="str">
        <f>IF(OR($B53="",X$6=""),"",IF(COUNTIFS(_calc!$AE$2:$AE$3000,$B53&amp;"|"&amp;$D53,_calc!$A$2:$A$3000,$B$3,_calc!$C$2:$C$3000,X$6)=0,"",SUMIFS(_calc!$E$2:$E$3000,_calc!$AE$2:$AE$3000,$B53&amp;"|"&amp;$D53,_calc!$A$2:$A$3000,$B$3,_calc!$C$2:$C$3000,X$6)))</f>
        <v/>
      </c>
    </row>
    <row r="54" spans="1:24" x14ac:dyDescent="0.4">
      <c r="A54" s="48">
        <v>48</v>
      </c>
      <c r="B54" s="49" t="str">
        <f>IFERROR(INDEX(_calc!$I$2:$I$3000,MATCH($A54,_calc!$AB$2:$AB$3000,0)),"")</f>
        <v/>
      </c>
      <c r="C54" s="49" t="str">
        <f>IFERROR(INDEX(_calc!$H$2:$H$3000,MATCH($A54,_calc!$AB$2:$AB$3000,0)),"")</f>
        <v/>
      </c>
      <c r="D54" s="49" t="str">
        <f>IFERROR(INDEX(_calc!$K$2:$K$3000,MATCH($A54,_calc!$AB$2:$AB$3000,0)),"")</f>
        <v/>
      </c>
      <c r="E54" s="50" t="str">
        <f>IF(OR($B54="",E$6=""),"",IF(COUNTIFS(_calc!$AE$2:$AE$3000,$B54&amp;"|"&amp;$D54,_calc!$A$2:$A$3000,$B$3,_calc!$C$2:$C$3000,E$6)=0,"",SUMIFS(_calc!$E$2:$E$3000,_calc!$AE$2:$AE$3000,$B54&amp;"|"&amp;$D54,_calc!$A$2:$A$3000,$B$3,_calc!$C$2:$C$3000,E$6)))</f>
        <v/>
      </c>
      <c r="F54" s="50" t="str">
        <f>IF(OR($B54="",F$6=""),"",IF(COUNTIFS(_calc!$AE$2:$AE$3000,$B54&amp;"|"&amp;$D54,_calc!$A$2:$A$3000,$B$3,_calc!$C$2:$C$3000,F$6)=0,"",SUMIFS(_calc!$E$2:$E$3000,_calc!$AE$2:$AE$3000,$B54&amp;"|"&amp;$D54,_calc!$A$2:$A$3000,$B$3,_calc!$C$2:$C$3000,F$6)))</f>
        <v/>
      </c>
      <c r="G54" s="50" t="str">
        <f>IF(OR($B54="",G$6=""),"",IF(COUNTIFS(_calc!$AE$2:$AE$3000,$B54&amp;"|"&amp;$D54,_calc!$A$2:$A$3000,$B$3,_calc!$C$2:$C$3000,G$6)=0,"",SUMIFS(_calc!$E$2:$E$3000,_calc!$AE$2:$AE$3000,$B54&amp;"|"&amp;$D54,_calc!$A$2:$A$3000,$B$3,_calc!$C$2:$C$3000,G$6)))</f>
        <v/>
      </c>
      <c r="H54" s="50" t="str">
        <f>IF(OR($B54="",H$6=""),"",IF(COUNTIFS(_calc!$AE$2:$AE$3000,$B54&amp;"|"&amp;$D54,_calc!$A$2:$A$3000,$B$3,_calc!$C$2:$C$3000,H$6)=0,"",SUMIFS(_calc!$E$2:$E$3000,_calc!$AE$2:$AE$3000,$B54&amp;"|"&amp;$D54,_calc!$A$2:$A$3000,$B$3,_calc!$C$2:$C$3000,H$6)))</f>
        <v/>
      </c>
      <c r="I54" s="50" t="str">
        <f>IF(OR($B54="",I$6=""),"",IF(COUNTIFS(_calc!$AE$2:$AE$3000,$B54&amp;"|"&amp;$D54,_calc!$A$2:$A$3000,$B$3,_calc!$C$2:$C$3000,I$6)=0,"",SUMIFS(_calc!$E$2:$E$3000,_calc!$AE$2:$AE$3000,$B54&amp;"|"&amp;$D54,_calc!$A$2:$A$3000,$B$3,_calc!$C$2:$C$3000,I$6)))</f>
        <v/>
      </c>
      <c r="J54" s="50" t="str">
        <f>IF(OR($B54="",J$6=""),"",IF(COUNTIFS(_calc!$AE$2:$AE$3000,$B54&amp;"|"&amp;$D54,_calc!$A$2:$A$3000,$B$3,_calc!$C$2:$C$3000,J$6)=0,"",SUMIFS(_calc!$E$2:$E$3000,_calc!$AE$2:$AE$3000,$B54&amp;"|"&amp;$D54,_calc!$A$2:$A$3000,$B$3,_calc!$C$2:$C$3000,J$6)))</f>
        <v/>
      </c>
      <c r="K54" s="50" t="str">
        <f>IF(OR($B54="",K$6=""),"",IF(COUNTIFS(_calc!$AE$2:$AE$3000,$B54&amp;"|"&amp;$D54,_calc!$A$2:$A$3000,$B$3,_calc!$C$2:$C$3000,K$6)=0,"",SUMIFS(_calc!$E$2:$E$3000,_calc!$AE$2:$AE$3000,$B54&amp;"|"&amp;$D54,_calc!$A$2:$A$3000,$B$3,_calc!$C$2:$C$3000,K$6)))</f>
        <v/>
      </c>
      <c r="L54" s="50" t="str">
        <f>IF(OR($B54="",L$6=""),"",IF(COUNTIFS(_calc!$AE$2:$AE$3000,$B54&amp;"|"&amp;$D54,_calc!$A$2:$A$3000,$B$3,_calc!$C$2:$C$3000,L$6)=0,"",SUMIFS(_calc!$E$2:$E$3000,_calc!$AE$2:$AE$3000,$B54&amp;"|"&amp;$D54,_calc!$A$2:$A$3000,$B$3,_calc!$C$2:$C$3000,L$6)))</f>
        <v/>
      </c>
      <c r="M54" s="50" t="str">
        <f>IF(OR($B54="",M$6=""),"",IF(COUNTIFS(_calc!$AE$2:$AE$3000,$B54&amp;"|"&amp;$D54,_calc!$A$2:$A$3000,$B$3,_calc!$C$2:$C$3000,M$6)=0,"",SUMIFS(_calc!$E$2:$E$3000,_calc!$AE$2:$AE$3000,$B54&amp;"|"&amp;$D54,_calc!$A$2:$A$3000,$B$3,_calc!$C$2:$C$3000,M$6)))</f>
        <v/>
      </c>
      <c r="N54" s="50" t="str">
        <f>IF(OR($B54="",N$6=""),"",IF(COUNTIFS(_calc!$AE$2:$AE$3000,$B54&amp;"|"&amp;$D54,_calc!$A$2:$A$3000,$B$3,_calc!$C$2:$C$3000,N$6)=0,"",SUMIFS(_calc!$E$2:$E$3000,_calc!$AE$2:$AE$3000,$B54&amp;"|"&amp;$D54,_calc!$A$2:$A$3000,$B$3,_calc!$C$2:$C$3000,N$6)))</f>
        <v/>
      </c>
      <c r="O54" s="50" t="str">
        <f>IF(OR($B54="",O$6=""),"",IF(COUNTIFS(_calc!$AE$2:$AE$3000,$B54&amp;"|"&amp;$D54,_calc!$A$2:$A$3000,$B$3,_calc!$C$2:$C$3000,O$6)=0,"",SUMIFS(_calc!$E$2:$E$3000,_calc!$AE$2:$AE$3000,$B54&amp;"|"&amp;$D54,_calc!$A$2:$A$3000,$B$3,_calc!$C$2:$C$3000,O$6)))</f>
        <v/>
      </c>
      <c r="P54" s="50" t="str">
        <f>IF(OR($B54="",P$6=""),"",IF(COUNTIFS(_calc!$AE$2:$AE$3000,$B54&amp;"|"&amp;$D54,_calc!$A$2:$A$3000,$B$3,_calc!$C$2:$C$3000,P$6)=0,"",SUMIFS(_calc!$E$2:$E$3000,_calc!$AE$2:$AE$3000,$B54&amp;"|"&amp;$D54,_calc!$A$2:$A$3000,$B$3,_calc!$C$2:$C$3000,P$6)))</f>
        <v/>
      </c>
      <c r="Q54" s="50" t="str">
        <f>IF(OR($B54="",Q$6=""),"",IF(COUNTIFS(_calc!$AE$2:$AE$3000,$B54&amp;"|"&amp;$D54,_calc!$A$2:$A$3000,$B$3,_calc!$C$2:$C$3000,Q$6)=0,"",SUMIFS(_calc!$E$2:$E$3000,_calc!$AE$2:$AE$3000,$B54&amp;"|"&amp;$D54,_calc!$A$2:$A$3000,$B$3,_calc!$C$2:$C$3000,Q$6)))</f>
        <v/>
      </c>
      <c r="R54" s="50" t="str">
        <f>IF(OR($B54="",R$6=""),"",IF(COUNTIFS(_calc!$AE$2:$AE$3000,$B54&amp;"|"&amp;$D54,_calc!$A$2:$A$3000,$B$3,_calc!$C$2:$C$3000,R$6)=0,"",SUMIFS(_calc!$E$2:$E$3000,_calc!$AE$2:$AE$3000,$B54&amp;"|"&amp;$D54,_calc!$A$2:$A$3000,$B$3,_calc!$C$2:$C$3000,R$6)))</f>
        <v/>
      </c>
      <c r="S54" s="50" t="str">
        <f>IF(OR($B54="",S$6=""),"",IF(COUNTIFS(_calc!$AE$2:$AE$3000,$B54&amp;"|"&amp;$D54,_calc!$A$2:$A$3000,$B$3,_calc!$C$2:$C$3000,S$6)=0,"",SUMIFS(_calc!$E$2:$E$3000,_calc!$AE$2:$AE$3000,$B54&amp;"|"&amp;$D54,_calc!$A$2:$A$3000,$B$3,_calc!$C$2:$C$3000,S$6)))</f>
        <v/>
      </c>
      <c r="T54" s="50" t="str">
        <f>IF(OR($B54="",T$6=""),"",IF(COUNTIFS(_calc!$AE$2:$AE$3000,$B54&amp;"|"&amp;$D54,_calc!$A$2:$A$3000,$B$3,_calc!$C$2:$C$3000,T$6)=0,"",SUMIFS(_calc!$E$2:$E$3000,_calc!$AE$2:$AE$3000,$B54&amp;"|"&amp;$D54,_calc!$A$2:$A$3000,$B$3,_calc!$C$2:$C$3000,T$6)))</f>
        <v/>
      </c>
      <c r="U54" s="50" t="str">
        <f>IF(OR($B54="",U$6=""),"",IF(COUNTIFS(_calc!$AE$2:$AE$3000,$B54&amp;"|"&amp;$D54,_calc!$A$2:$A$3000,$B$3,_calc!$C$2:$C$3000,U$6)=0,"",SUMIFS(_calc!$E$2:$E$3000,_calc!$AE$2:$AE$3000,$B54&amp;"|"&amp;$D54,_calc!$A$2:$A$3000,$B$3,_calc!$C$2:$C$3000,U$6)))</f>
        <v/>
      </c>
      <c r="V54" s="50" t="str">
        <f>IF(OR($B54="",V$6=""),"",IF(COUNTIFS(_calc!$AE$2:$AE$3000,$B54&amp;"|"&amp;$D54,_calc!$A$2:$A$3000,$B$3,_calc!$C$2:$C$3000,V$6)=0,"",SUMIFS(_calc!$E$2:$E$3000,_calc!$AE$2:$AE$3000,$B54&amp;"|"&amp;$D54,_calc!$A$2:$A$3000,$B$3,_calc!$C$2:$C$3000,V$6)))</f>
        <v/>
      </c>
      <c r="W54" s="50" t="str">
        <f>IF(OR($B54="",W$6=""),"",IF(COUNTIFS(_calc!$AE$2:$AE$3000,$B54&amp;"|"&amp;$D54,_calc!$A$2:$A$3000,$B$3,_calc!$C$2:$C$3000,W$6)=0,"",SUMIFS(_calc!$E$2:$E$3000,_calc!$AE$2:$AE$3000,$B54&amp;"|"&amp;$D54,_calc!$A$2:$A$3000,$B$3,_calc!$C$2:$C$3000,W$6)))</f>
        <v/>
      </c>
      <c r="X54" s="50" t="str">
        <f>IF(OR($B54="",X$6=""),"",IF(COUNTIFS(_calc!$AE$2:$AE$3000,$B54&amp;"|"&amp;$D54,_calc!$A$2:$A$3000,$B$3,_calc!$C$2:$C$3000,X$6)=0,"",SUMIFS(_calc!$E$2:$E$3000,_calc!$AE$2:$AE$3000,$B54&amp;"|"&amp;$D54,_calc!$A$2:$A$3000,$B$3,_calc!$C$2:$C$3000,X$6)))</f>
        <v/>
      </c>
    </row>
    <row r="55" spans="1:24" x14ac:dyDescent="0.4">
      <c r="A55" s="48">
        <v>49</v>
      </c>
      <c r="B55" s="49" t="str">
        <f>IFERROR(INDEX(_calc!$I$2:$I$3000,MATCH($A55,_calc!$AB$2:$AB$3000,0)),"")</f>
        <v/>
      </c>
      <c r="C55" s="49" t="str">
        <f>IFERROR(INDEX(_calc!$H$2:$H$3000,MATCH($A55,_calc!$AB$2:$AB$3000,0)),"")</f>
        <v/>
      </c>
      <c r="D55" s="49" t="str">
        <f>IFERROR(INDEX(_calc!$K$2:$K$3000,MATCH($A55,_calc!$AB$2:$AB$3000,0)),"")</f>
        <v/>
      </c>
      <c r="E55" s="50" t="str">
        <f>IF(OR($B55="",E$6=""),"",IF(COUNTIFS(_calc!$AE$2:$AE$3000,$B55&amp;"|"&amp;$D55,_calc!$A$2:$A$3000,$B$3,_calc!$C$2:$C$3000,E$6)=0,"",SUMIFS(_calc!$E$2:$E$3000,_calc!$AE$2:$AE$3000,$B55&amp;"|"&amp;$D55,_calc!$A$2:$A$3000,$B$3,_calc!$C$2:$C$3000,E$6)))</f>
        <v/>
      </c>
      <c r="F55" s="50" t="str">
        <f>IF(OR($B55="",F$6=""),"",IF(COUNTIFS(_calc!$AE$2:$AE$3000,$B55&amp;"|"&amp;$D55,_calc!$A$2:$A$3000,$B$3,_calc!$C$2:$C$3000,F$6)=0,"",SUMIFS(_calc!$E$2:$E$3000,_calc!$AE$2:$AE$3000,$B55&amp;"|"&amp;$D55,_calc!$A$2:$A$3000,$B$3,_calc!$C$2:$C$3000,F$6)))</f>
        <v/>
      </c>
      <c r="G55" s="50" t="str">
        <f>IF(OR($B55="",G$6=""),"",IF(COUNTIFS(_calc!$AE$2:$AE$3000,$B55&amp;"|"&amp;$D55,_calc!$A$2:$A$3000,$B$3,_calc!$C$2:$C$3000,G$6)=0,"",SUMIFS(_calc!$E$2:$E$3000,_calc!$AE$2:$AE$3000,$B55&amp;"|"&amp;$D55,_calc!$A$2:$A$3000,$B$3,_calc!$C$2:$C$3000,G$6)))</f>
        <v/>
      </c>
      <c r="H55" s="50" t="str">
        <f>IF(OR($B55="",H$6=""),"",IF(COUNTIFS(_calc!$AE$2:$AE$3000,$B55&amp;"|"&amp;$D55,_calc!$A$2:$A$3000,$B$3,_calc!$C$2:$C$3000,H$6)=0,"",SUMIFS(_calc!$E$2:$E$3000,_calc!$AE$2:$AE$3000,$B55&amp;"|"&amp;$D55,_calc!$A$2:$A$3000,$B$3,_calc!$C$2:$C$3000,H$6)))</f>
        <v/>
      </c>
      <c r="I55" s="50" t="str">
        <f>IF(OR($B55="",I$6=""),"",IF(COUNTIFS(_calc!$AE$2:$AE$3000,$B55&amp;"|"&amp;$D55,_calc!$A$2:$A$3000,$B$3,_calc!$C$2:$C$3000,I$6)=0,"",SUMIFS(_calc!$E$2:$E$3000,_calc!$AE$2:$AE$3000,$B55&amp;"|"&amp;$D55,_calc!$A$2:$A$3000,$B$3,_calc!$C$2:$C$3000,I$6)))</f>
        <v/>
      </c>
      <c r="J55" s="50" t="str">
        <f>IF(OR($B55="",J$6=""),"",IF(COUNTIFS(_calc!$AE$2:$AE$3000,$B55&amp;"|"&amp;$D55,_calc!$A$2:$A$3000,$B$3,_calc!$C$2:$C$3000,J$6)=0,"",SUMIFS(_calc!$E$2:$E$3000,_calc!$AE$2:$AE$3000,$B55&amp;"|"&amp;$D55,_calc!$A$2:$A$3000,$B$3,_calc!$C$2:$C$3000,J$6)))</f>
        <v/>
      </c>
      <c r="K55" s="50" t="str">
        <f>IF(OR($B55="",K$6=""),"",IF(COUNTIFS(_calc!$AE$2:$AE$3000,$B55&amp;"|"&amp;$D55,_calc!$A$2:$A$3000,$B$3,_calc!$C$2:$C$3000,K$6)=0,"",SUMIFS(_calc!$E$2:$E$3000,_calc!$AE$2:$AE$3000,$B55&amp;"|"&amp;$D55,_calc!$A$2:$A$3000,$B$3,_calc!$C$2:$C$3000,K$6)))</f>
        <v/>
      </c>
      <c r="L55" s="50" t="str">
        <f>IF(OR($B55="",L$6=""),"",IF(COUNTIFS(_calc!$AE$2:$AE$3000,$B55&amp;"|"&amp;$D55,_calc!$A$2:$A$3000,$B$3,_calc!$C$2:$C$3000,L$6)=0,"",SUMIFS(_calc!$E$2:$E$3000,_calc!$AE$2:$AE$3000,$B55&amp;"|"&amp;$D55,_calc!$A$2:$A$3000,$B$3,_calc!$C$2:$C$3000,L$6)))</f>
        <v/>
      </c>
      <c r="M55" s="50" t="str">
        <f>IF(OR($B55="",M$6=""),"",IF(COUNTIFS(_calc!$AE$2:$AE$3000,$B55&amp;"|"&amp;$D55,_calc!$A$2:$A$3000,$B$3,_calc!$C$2:$C$3000,M$6)=0,"",SUMIFS(_calc!$E$2:$E$3000,_calc!$AE$2:$AE$3000,$B55&amp;"|"&amp;$D55,_calc!$A$2:$A$3000,$B$3,_calc!$C$2:$C$3000,M$6)))</f>
        <v/>
      </c>
      <c r="N55" s="50" t="str">
        <f>IF(OR($B55="",N$6=""),"",IF(COUNTIFS(_calc!$AE$2:$AE$3000,$B55&amp;"|"&amp;$D55,_calc!$A$2:$A$3000,$B$3,_calc!$C$2:$C$3000,N$6)=0,"",SUMIFS(_calc!$E$2:$E$3000,_calc!$AE$2:$AE$3000,$B55&amp;"|"&amp;$D55,_calc!$A$2:$A$3000,$B$3,_calc!$C$2:$C$3000,N$6)))</f>
        <v/>
      </c>
      <c r="O55" s="50" t="str">
        <f>IF(OR($B55="",O$6=""),"",IF(COUNTIFS(_calc!$AE$2:$AE$3000,$B55&amp;"|"&amp;$D55,_calc!$A$2:$A$3000,$B$3,_calc!$C$2:$C$3000,O$6)=0,"",SUMIFS(_calc!$E$2:$E$3000,_calc!$AE$2:$AE$3000,$B55&amp;"|"&amp;$D55,_calc!$A$2:$A$3000,$B$3,_calc!$C$2:$C$3000,O$6)))</f>
        <v/>
      </c>
      <c r="P55" s="50" t="str">
        <f>IF(OR($B55="",P$6=""),"",IF(COUNTIFS(_calc!$AE$2:$AE$3000,$B55&amp;"|"&amp;$D55,_calc!$A$2:$A$3000,$B$3,_calc!$C$2:$C$3000,P$6)=0,"",SUMIFS(_calc!$E$2:$E$3000,_calc!$AE$2:$AE$3000,$B55&amp;"|"&amp;$D55,_calc!$A$2:$A$3000,$B$3,_calc!$C$2:$C$3000,P$6)))</f>
        <v/>
      </c>
      <c r="Q55" s="50" t="str">
        <f>IF(OR($B55="",Q$6=""),"",IF(COUNTIFS(_calc!$AE$2:$AE$3000,$B55&amp;"|"&amp;$D55,_calc!$A$2:$A$3000,$B$3,_calc!$C$2:$C$3000,Q$6)=0,"",SUMIFS(_calc!$E$2:$E$3000,_calc!$AE$2:$AE$3000,$B55&amp;"|"&amp;$D55,_calc!$A$2:$A$3000,$B$3,_calc!$C$2:$C$3000,Q$6)))</f>
        <v/>
      </c>
      <c r="R55" s="50" t="str">
        <f>IF(OR($B55="",R$6=""),"",IF(COUNTIFS(_calc!$AE$2:$AE$3000,$B55&amp;"|"&amp;$D55,_calc!$A$2:$A$3000,$B$3,_calc!$C$2:$C$3000,R$6)=0,"",SUMIFS(_calc!$E$2:$E$3000,_calc!$AE$2:$AE$3000,$B55&amp;"|"&amp;$D55,_calc!$A$2:$A$3000,$B$3,_calc!$C$2:$C$3000,R$6)))</f>
        <v/>
      </c>
      <c r="S55" s="50" t="str">
        <f>IF(OR($B55="",S$6=""),"",IF(COUNTIFS(_calc!$AE$2:$AE$3000,$B55&amp;"|"&amp;$D55,_calc!$A$2:$A$3000,$B$3,_calc!$C$2:$C$3000,S$6)=0,"",SUMIFS(_calc!$E$2:$E$3000,_calc!$AE$2:$AE$3000,$B55&amp;"|"&amp;$D55,_calc!$A$2:$A$3000,$B$3,_calc!$C$2:$C$3000,S$6)))</f>
        <v/>
      </c>
      <c r="T55" s="50" t="str">
        <f>IF(OR($B55="",T$6=""),"",IF(COUNTIFS(_calc!$AE$2:$AE$3000,$B55&amp;"|"&amp;$D55,_calc!$A$2:$A$3000,$B$3,_calc!$C$2:$C$3000,T$6)=0,"",SUMIFS(_calc!$E$2:$E$3000,_calc!$AE$2:$AE$3000,$B55&amp;"|"&amp;$D55,_calc!$A$2:$A$3000,$B$3,_calc!$C$2:$C$3000,T$6)))</f>
        <v/>
      </c>
      <c r="U55" s="50" t="str">
        <f>IF(OR($B55="",U$6=""),"",IF(COUNTIFS(_calc!$AE$2:$AE$3000,$B55&amp;"|"&amp;$D55,_calc!$A$2:$A$3000,$B$3,_calc!$C$2:$C$3000,U$6)=0,"",SUMIFS(_calc!$E$2:$E$3000,_calc!$AE$2:$AE$3000,$B55&amp;"|"&amp;$D55,_calc!$A$2:$A$3000,$B$3,_calc!$C$2:$C$3000,U$6)))</f>
        <v/>
      </c>
      <c r="V55" s="50" t="str">
        <f>IF(OR($B55="",V$6=""),"",IF(COUNTIFS(_calc!$AE$2:$AE$3000,$B55&amp;"|"&amp;$D55,_calc!$A$2:$A$3000,$B$3,_calc!$C$2:$C$3000,V$6)=0,"",SUMIFS(_calc!$E$2:$E$3000,_calc!$AE$2:$AE$3000,$B55&amp;"|"&amp;$D55,_calc!$A$2:$A$3000,$B$3,_calc!$C$2:$C$3000,V$6)))</f>
        <v/>
      </c>
      <c r="W55" s="50" t="str">
        <f>IF(OR($B55="",W$6=""),"",IF(COUNTIFS(_calc!$AE$2:$AE$3000,$B55&amp;"|"&amp;$D55,_calc!$A$2:$A$3000,$B$3,_calc!$C$2:$C$3000,W$6)=0,"",SUMIFS(_calc!$E$2:$E$3000,_calc!$AE$2:$AE$3000,$B55&amp;"|"&amp;$D55,_calc!$A$2:$A$3000,$B$3,_calc!$C$2:$C$3000,W$6)))</f>
        <v/>
      </c>
      <c r="X55" s="50" t="str">
        <f>IF(OR($B55="",X$6=""),"",IF(COUNTIFS(_calc!$AE$2:$AE$3000,$B55&amp;"|"&amp;$D55,_calc!$A$2:$A$3000,$B$3,_calc!$C$2:$C$3000,X$6)=0,"",SUMIFS(_calc!$E$2:$E$3000,_calc!$AE$2:$AE$3000,$B55&amp;"|"&amp;$D55,_calc!$A$2:$A$3000,$B$3,_calc!$C$2:$C$3000,X$6)))</f>
        <v/>
      </c>
    </row>
    <row r="56" spans="1:24" x14ac:dyDescent="0.4">
      <c r="A56" s="48">
        <v>50</v>
      </c>
      <c r="B56" s="49" t="str">
        <f>IFERROR(INDEX(_calc!$I$2:$I$3000,MATCH($A56,_calc!$AB$2:$AB$3000,0)),"")</f>
        <v/>
      </c>
      <c r="C56" s="49" t="str">
        <f>IFERROR(INDEX(_calc!$H$2:$H$3000,MATCH($A56,_calc!$AB$2:$AB$3000,0)),"")</f>
        <v/>
      </c>
      <c r="D56" s="49" t="str">
        <f>IFERROR(INDEX(_calc!$K$2:$K$3000,MATCH($A56,_calc!$AB$2:$AB$3000,0)),"")</f>
        <v/>
      </c>
      <c r="E56" s="50" t="str">
        <f>IF(OR($B56="",E$6=""),"",IF(COUNTIFS(_calc!$AE$2:$AE$3000,$B56&amp;"|"&amp;$D56,_calc!$A$2:$A$3000,$B$3,_calc!$C$2:$C$3000,E$6)=0,"",SUMIFS(_calc!$E$2:$E$3000,_calc!$AE$2:$AE$3000,$B56&amp;"|"&amp;$D56,_calc!$A$2:$A$3000,$B$3,_calc!$C$2:$C$3000,E$6)))</f>
        <v/>
      </c>
      <c r="F56" s="50" t="str">
        <f>IF(OR($B56="",F$6=""),"",IF(COUNTIFS(_calc!$AE$2:$AE$3000,$B56&amp;"|"&amp;$D56,_calc!$A$2:$A$3000,$B$3,_calc!$C$2:$C$3000,F$6)=0,"",SUMIFS(_calc!$E$2:$E$3000,_calc!$AE$2:$AE$3000,$B56&amp;"|"&amp;$D56,_calc!$A$2:$A$3000,$B$3,_calc!$C$2:$C$3000,F$6)))</f>
        <v/>
      </c>
      <c r="G56" s="50" t="str">
        <f>IF(OR($B56="",G$6=""),"",IF(COUNTIFS(_calc!$AE$2:$AE$3000,$B56&amp;"|"&amp;$D56,_calc!$A$2:$A$3000,$B$3,_calc!$C$2:$C$3000,G$6)=0,"",SUMIFS(_calc!$E$2:$E$3000,_calc!$AE$2:$AE$3000,$B56&amp;"|"&amp;$D56,_calc!$A$2:$A$3000,$B$3,_calc!$C$2:$C$3000,G$6)))</f>
        <v/>
      </c>
      <c r="H56" s="50" t="str">
        <f>IF(OR($B56="",H$6=""),"",IF(COUNTIFS(_calc!$AE$2:$AE$3000,$B56&amp;"|"&amp;$D56,_calc!$A$2:$A$3000,$B$3,_calc!$C$2:$C$3000,H$6)=0,"",SUMIFS(_calc!$E$2:$E$3000,_calc!$AE$2:$AE$3000,$B56&amp;"|"&amp;$D56,_calc!$A$2:$A$3000,$B$3,_calc!$C$2:$C$3000,H$6)))</f>
        <v/>
      </c>
      <c r="I56" s="50" t="str">
        <f>IF(OR($B56="",I$6=""),"",IF(COUNTIFS(_calc!$AE$2:$AE$3000,$B56&amp;"|"&amp;$D56,_calc!$A$2:$A$3000,$B$3,_calc!$C$2:$C$3000,I$6)=0,"",SUMIFS(_calc!$E$2:$E$3000,_calc!$AE$2:$AE$3000,$B56&amp;"|"&amp;$D56,_calc!$A$2:$A$3000,$B$3,_calc!$C$2:$C$3000,I$6)))</f>
        <v/>
      </c>
      <c r="J56" s="50" t="str">
        <f>IF(OR($B56="",J$6=""),"",IF(COUNTIFS(_calc!$AE$2:$AE$3000,$B56&amp;"|"&amp;$D56,_calc!$A$2:$A$3000,$B$3,_calc!$C$2:$C$3000,J$6)=0,"",SUMIFS(_calc!$E$2:$E$3000,_calc!$AE$2:$AE$3000,$B56&amp;"|"&amp;$D56,_calc!$A$2:$A$3000,$B$3,_calc!$C$2:$C$3000,J$6)))</f>
        <v/>
      </c>
      <c r="K56" s="50" t="str">
        <f>IF(OR($B56="",K$6=""),"",IF(COUNTIFS(_calc!$AE$2:$AE$3000,$B56&amp;"|"&amp;$D56,_calc!$A$2:$A$3000,$B$3,_calc!$C$2:$C$3000,K$6)=0,"",SUMIFS(_calc!$E$2:$E$3000,_calc!$AE$2:$AE$3000,$B56&amp;"|"&amp;$D56,_calc!$A$2:$A$3000,$B$3,_calc!$C$2:$C$3000,K$6)))</f>
        <v/>
      </c>
      <c r="L56" s="50" t="str">
        <f>IF(OR($B56="",L$6=""),"",IF(COUNTIFS(_calc!$AE$2:$AE$3000,$B56&amp;"|"&amp;$D56,_calc!$A$2:$A$3000,$B$3,_calc!$C$2:$C$3000,L$6)=0,"",SUMIFS(_calc!$E$2:$E$3000,_calc!$AE$2:$AE$3000,$B56&amp;"|"&amp;$D56,_calc!$A$2:$A$3000,$B$3,_calc!$C$2:$C$3000,L$6)))</f>
        <v/>
      </c>
      <c r="M56" s="50" t="str">
        <f>IF(OR($B56="",M$6=""),"",IF(COUNTIFS(_calc!$AE$2:$AE$3000,$B56&amp;"|"&amp;$D56,_calc!$A$2:$A$3000,$B$3,_calc!$C$2:$C$3000,M$6)=0,"",SUMIFS(_calc!$E$2:$E$3000,_calc!$AE$2:$AE$3000,$B56&amp;"|"&amp;$D56,_calc!$A$2:$A$3000,$B$3,_calc!$C$2:$C$3000,M$6)))</f>
        <v/>
      </c>
      <c r="N56" s="50" t="str">
        <f>IF(OR($B56="",N$6=""),"",IF(COUNTIFS(_calc!$AE$2:$AE$3000,$B56&amp;"|"&amp;$D56,_calc!$A$2:$A$3000,$B$3,_calc!$C$2:$C$3000,N$6)=0,"",SUMIFS(_calc!$E$2:$E$3000,_calc!$AE$2:$AE$3000,$B56&amp;"|"&amp;$D56,_calc!$A$2:$A$3000,$B$3,_calc!$C$2:$C$3000,N$6)))</f>
        <v/>
      </c>
      <c r="O56" s="50" t="str">
        <f>IF(OR($B56="",O$6=""),"",IF(COUNTIFS(_calc!$AE$2:$AE$3000,$B56&amp;"|"&amp;$D56,_calc!$A$2:$A$3000,$B$3,_calc!$C$2:$C$3000,O$6)=0,"",SUMIFS(_calc!$E$2:$E$3000,_calc!$AE$2:$AE$3000,$B56&amp;"|"&amp;$D56,_calc!$A$2:$A$3000,$B$3,_calc!$C$2:$C$3000,O$6)))</f>
        <v/>
      </c>
      <c r="P56" s="50" t="str">
        <f>IF(OR($B56="",P$6=""),"",IF(COUNTIFS(_calc!$AE$2:$AE$3000,$B56&amp;"|"&amp;$D56,_calc!$A$2:$A$3000,$B$3,_calc!$C$2:$C$3000,P$6)=0,"",SUMIFS(_calc!$E$2:$E$3000,_calc!$AE$2:$AE$3000,$B56&amp;"|"&amp;$D56,_calc!$A$2:$A$3000,$B$3,_calc!$C$2:$C$3000,P$6)))</f>
        <v/>
      </c>
      <c r="Q56" s="50" t="str">
        <f>IF(OR($B56="",Q$6=""),"",IF(COUNTIFS(_calc!$AE$2:$AE$3000,$B56&amp;"|"&amp;$D56,_calc!$A$2:$A$3000,$B$3,_calc!$C$2:$C$3000,Q$6)=0,"",SUMIFS(_calc!$E$2:$E$3000,_calc!$AE$2:$AE$3000,$B56&amp;"|"&amp;$D56,_calc!$A$2:$A$3000,$B$3,_calc!$C$2:$C$3000,Q$6)))</f>
        <v/>
      </c>
      <c r="R56" s="50" t="str">
        <f>IF(OR($B56="",R$6=""),"",IF(COUNTIFS(_calc!$AE$2:$AE$3000,$B56&amp;"|"&amp;$D56,_calc!$A$2:$A$3000,$B$3,_calc!$C$2:$C$3000,R$6)=0,"",SUMIFS(_calc!$E$2:$E$3000,_calc!$AE$2:$AE$3000,$B56&amp;"|"&amp;$D56,_calc!$A$2:$A$3000,$B$3,_calc!$C$2:$C$3000,R$6)))</f>
        <v/>
      </c>
      <c r="S56" s="50" t="str">
        <f>IF(OR($B56="",S$6=""),"",IF(COUNTIFS(_calc!$AE$2:$AE$3000,$B56&amp;"|"&amp;$D56,_calc!$A$2:$A$3000,$B$3,_calc!$C$2:$C$3000,S$6)=0,"",SUMIFS(_calc!$E$2:$E$3000,_calc!$AE$2:$AE$3000,$B56&amp;"|"&amp;$D56,_calc!$A$2:$A$3000,$B$3,_calc!$C$2:$C$3000,S$6)))</f>
        <v/>
      </c>
      <c r="T56" s="50" t="str">
        <f>IF(OR($B56="",T$6=""),"",IF(COUNTIFS(_calc!$AE$2:$AE$3000,$B56&amp;"|"&amp;$D56,_calc!$A$2:$A$3000,$B$3,_calc!$C$2:$C$3000,T$6)=0,"",SUMIFS(_calc!$E$2:$E$3000,_calc!$AE$2:$AE$3000,$B56&amp;"|"&amp;$D56,_calc!$A$2:$A$3000,$B$3,_calc!$C$2:$C$3000,T$6)))</f>
        <v/>
      </c>
      <c r="U56" s="50" t="str">
        <f>IF(OR($B56="",U$6=""),"",IF(COUNTIFS(_calc!$AE$2:$AE$3000,$B56&amp;"|"&amp;$D56,_calc!$A$2:$A$3000,$B$3,_calc!$C$2:$C$3000,U$6)=0,"",SUMIFS(_calc!$E$2:$E$3000,_calc!$AE$2:$AE$3000,$B56&amp;"|"&amp;$D56,_calc!$A$2:$A$3000,$B$3,_calc!$C$2:$C$3000,U$6)))</f>
        <v/>
      </c>
      <c r="V56" s="50" t="str">
        <f>IF(OR($B56="",V$6=""),"",IF(COUNTIFS(_calc!$AE$2:$AE$3000,$B56&amp;"|"&amp;$D56,_calc!$A$2:$A$3000,$B$3,_calc!$C$2:$C$3000,V$6)=0,"",SUMIFS(_calc!$E$2:$E$3000,_calc!$AE$2:$AE$3000,$B56&amp;"|"&amp;$D56,_calc!$A$2:$A$3000,$B$3,_calc!$C$2:$C$3000,V$6)))</f>
        <v/>
      </c>
      <c r="W56" s="50" t="str">
        <f>IF(OR($B56="",W$6=""),"",IF(COUNTIFS(_calc!$AE$2:$AE$3000,$B56&amp;"|"&amp;$D56,_calc!$A$2:$A$3000,$B$3,_calc!$C$2:$C$3000,W$6)=0,"",SUMIFS(_calc!$E$2:$E$3000,_calc!$AE$2:$AE$3000,$B56&amp;"|"&amp;$D56,_calc!$A$2:$A$3000,$B$3,_calc!$C$2:$C$3000,W$6)))</f>
        <v/>
      </c>
      <c r="X56" s="50" t="str">
        <f>IF(OR($B56="",X$6=""),"",IF(COUNTIFS(_calc!$AE$2:$AE$3000,$B56&amp;"|"&amp;$D56,_calc!$A$2:$A$3000,$B$3,_calc!$C$2:$C$3000,X$6)=0,"",SUMIFS(_calc!$E$2:$E$3000,_calc!$AE$2:$AE$3000,$B56&amp;"|"&amp;$D56,_calc!$A$2:$A$3000,$B$3,_calc!$C$2:$C$3000,X$6)))</f>
        <v/>
      </c>
    </row>
    <row r="57" spans="1:24" x14ac:dyDescent="0.4">
      <c r="A57" s="48">
        <v>51</v>
      </c>
      <c r="B57" s="49" t="str">
        <f>IFERROR(INDEX(_calc!$I$2:$I$3000,MATCH($A57,_calc!$AB$2:$AB$3000,0)),"")</f>
        <v/>
      </c>
      <c r="C57" s="49" t="str">
        <f>IFERROR(INDEX(_calc!$H$2:$H$3000,MATCH($A57,_calc!$AB$2:$AB$3000,0)),"")</f>
        <v/>
      </c>
      <c r="D57" s="49" t="str">
        <f>IFERROR(INDEX(_calc!$K$2:$K$3000,MATCH($A57,_calc!$AB$2:$AB$3000,0)),"")</f>
        <v/>
      </c>
      <c r="E57" s="50" t="str">
        <f>IF(OR($B57="",E$6=""),"",IF(COUNTIFS(_calc!$AE$2:$AE$3000,$B57&amp;"|"&amp;$D57,_calc!$A$2:$A$3000,$B$3,_calc!$C$2:$C$3000,E$6)=0,"",SUMIFS(_calc!$E$2:$E$3000,_calc!$AE$2:$AE$3000,$B57&amp;"|"&amp;$D57,_calc!$A$2:$A$3000,$B$3,_calc!$C$2:$C$3000,E$6)))</f>
        <v/>
      </c>
      <c r="F57" s="50" t="str">
        <f>IF(OR($B57="",F$6=""),"",IF(COUNTIFS(_calc!$AE$2:$AE$3000,$B57&amp;"|"&amp;$D57,_calc!$A$2:$A$3000,$B$3,_calc!$C$2:$C$3000,F$6)=0,"",SUMIFS(_calc!$E$2:$E$3000,_calc!$AE$2:$AE$3000,$B57&amp;"|"&amp;$D57,_calc!$A$2:$A$3000,$B$3,_calc!$C$2:$C$3000,F$6)))</f>
        <v/>
      </c>
      <c r="G57" s="50" t="str">
        <f>IF(OR($B57="",G$6=""),"",IF(COUNTIFS(_calc!$AE$2:$AE$3000,$B57&amp;"|"&amp;$D57,_calc!$A$2:$A$3000,$B$3,_calc!$C$2:$C$3000,G$6)=0,"",SUMIFS(_calc!$E$2:$E$3000,_calc!$AE$2:$AE$3000,$B57&amp;"|"&amp;$D57,_calc!$A$2:$A$3000,$B$3,_calc!$C$2:$C$3000,G$6)))</f>
        <v/>
      </c>
      <c r="H57" s="50" t="str">
        <f>IF(OR($B57="",H$6=""),"",IF(COUNTIFS(_calc!$AE$2:$AE$3000,$B57&amp;"|"&amp;$D57,_calc!$A$2:$A$3000,$B$3,_calc!$C$2:$C$3000,H$6)=0,"",SUMIFS(_calc!$E$2:$E$3000,_calc!$AE$2:$AE$3000,$B57&amp;"|"&amp;$D57,_calc!$A$2:$A$3000,$B$3,_calc!$C$2:$C$3000,H$6)))</f>
        <v/>
      </c>
      <c r="I57" s="50" t="str">
        <f>IF(OR($B57="",I$6=""),"",IF(COUNTIFS(_calc!$AE$2:$AE$3000,$B57&amp;"|"&amp;$D57,_calc!$A$2:$A$3000,$B$3,_calc!$C$2:$C$3000,I$6)=0,"",SUMIFS(_calc!$E$2:$E$3000,_calc!$AE$2:$AE$3000,$B57&amp;"|"&amp;$D57,_calc!$A$2:$A$3000,$B$3,_calc!$C$2:$C$3000,I$6)))</f>
        <v/>
      </c>
      <c r="J57" s="50" t="str">
        <f>IF(OR($B57="",J$6=""),"",IF(COUNTIFS(_calc!$AE$2:$AE$3000,$B57&amp;"|"&amp;$D57,_calc!$A$2:$A$3000,$B$3,_calc!$C$2:$C$3000,J$6)=0,"",SUMIFS(_calc!$E$2:$E$3000,_calc!$AE$2:$AE$3000,$B57&amp;"|"&amp;$D57,_calc!$A$2:$A$3000,$B$3,_calc!$C$2:$C$3000,J$6)))</f>
        <v/>
      </c>
      <c r="K57" s="50" t="str">
        <f>IF(OR($B57="",K$6=""),"",IF(COUNTIFS(_calc!$AE$2:$AE$3000,$B57&amp;"|"&amp;$D57,_calc!$A$2:$A$3000,$B$3,_calc!$C$2:$C$3000,K$6)=0,"",SUMIFS(_calc!$E$2:$E$3000,_calc!$AE$2:$AE$3000,$B57&amp;"|"&amp;$D57,_calc!$A$2:$A$3000,$B$3,_calc!$C$2:$C$3000,K$6)))</f>
        <v/>
      </c>
      <c r="L57" s="50" t="str">
        <f>IF(OR($B57="",L$6=""),"",IF(COUNTIFS(_calc!$AE$2:$AE$3000,$B57&amp;"|"&amp;$D57,_calc!$A$2:$A$3000,$B$3,_calc!$C$2:$C$3000,L$6)=0,"",SUMIFS(_calc!$E$2:$E$3000,_calc!$AE$2:$AE$3000,$B57&amp;"|"&amp;$D57,_calc!$A$2:$A$3000,$B$3,_calc!$C$2:$C$3000,L$6)))</f>
        <v/>
      </c>
      <c r="M57" s="50" t="str">
        <f>IF(OR($B57="",M$6=""),"",IF(COUNTIFS(_calc!$AE$2:$AE$3000,$B57&amp;"|"&amp;$D57,_calc!$A$2:$A$3000,$B$3,_calc!$C$2:$C$3000,M$6)=0,"",SUMIFS(_calc!$E$2:$E$3000,_calc!$AE$2:$AE$3000,$B57&amp;"|"&amp;$D57,_calc!$A$2:$A$3000,$B$3,_calc!$C$2:$C$3000,M$6)))</f>
        <v/>
      </c>
      <c r="N57" s="50" t="str">
        <f>IF(OR($B57="",N$6=""),"",IF(COUNTIFS(_calc!$AE$2:$AE$3000,$B57&amp;"|"&amp;$D57,_calc!$A$2:$A$3000,$B$3,_calc!$C$2:$C$3000,N$6)=0,"",SUMIFS(_calc!$E$2:$E$3000,_calc!$AE$2:$AE$3000,$B57&amp;"|"&amp;$D57,_calc!$A$2:$A$3000,$B$3,_calc!$C$2:$C$3000,N$6)))</f>
        <v/>
      </c>
      <c r="O57" s="50" t="str">
        <f>IF(OR($B57="",O$6=""),"",IF(COUNTIFS(_calc!$AE$2:$AE$3000,$B57&amp;"|"&amp;$D57,_calc!$A$2:$A$3000,$B$3,_calc!$C$2:$C$3000,O$6)=0,"",SUMIFS(_calc!$E$2:$E$3000,_calc!$AE$2:$AE$3000,$B57&amp;"|"&amp;$D57,_calc!$A$2:$A$3000,$B$3,_calc!$C$2:$C$3000,O$6)))</f>
        <v/>
      </c>
      <c r="P57" s="50" t="str">
        <f>IF(OR($B57="",P$6=""),"",IF(COUNTIFS(_calc!$AE$2:$AE$3000,$B57&amp;"|"&amp;$D57,_calc!$A$2:$A$3000,$B$3,_calc!$C$2:$C$3000,P$6)=0,"",SUMIFS(_calc!$E$2:$E$3000,_calc!$AE$2:$AE$3000,$B57&amp;"|"&amp;$D57,_calc!$A$2:$A$3000,$B$3,_calc!$C$2:$C$3000,P$6)))</f>
        <v/>
      </c>
      <c r="Q57" s="50" t="str">
        <f>IF(OR($B57="",Q$6=""),"",IF(COUNTIFS(_calc!$AE$2:$AE$3000,$B57&amp;"|"&amp;$D57,_calc!$A$2:$A$3000,$B$3,_calc!$C$2:$C$3000,Q$6)=0,"",SUMIFS(_calc!$E$2:$E$3000,_calc!$AE$2:$AE$3000,$B57&amp;"|"&amp;$D57,_calc!$A$2:$A$3000,$B$3,_calc!$C$2:$C$3000,Q$6)))</f>
        <v/>
      </c>
      <c r="R57" s="50" t="str">
        <f>IF(OR($B57="",R$6=""),"",IF(COUNTIFS(_calc!$AE$2:$AE$3000,$B57&amp;"|"&amp;$D57,_calc!$A$2:$A$3000,$B$3,_calc!$C$2:$C$3000,R$6)=0,"",SUMIFS(_calc!$E$2:$E$3000,_calc!$AE$2:$AE$3000,$B57&amp;"|"&amp;$D57,_calc!$A$2:$A$3000,$B$3,_calc!$C$2:$C$3000,R$6)))</f>
        <v/>
      </c>
      <c r="S57" s="50" t="str">
        <f>IF(OR($B57="",S$6=""),"",IF(COUNTIFS(_calc!$AE$2:$AE$3000,$B57&amp;"|"&amp;$D57,_calc!$A$2:$A$3000,$B$3,_calc!$C$2:$C$3000,S$6)=0,"",SUMIFS(_calc!$E$2:$E$3000,_calc!$AE$2:$AE$3000,$B57&amp;"|"&amp;$D57,_calc!$A$2:$A$3000,$B$3,_calc!$C$2:$C$3000,S$6)))</f>
        <v/>
      </c>
      <c r="T57" s="50" t="str">
        <f>IF(OR($B57="",T$6=""),"",IF(COUNTIFS(_calc!$AE$2:$AE$3000,$B57&amp;"|"&amp;$D57,_calc!$A$2:$A$3000,$B$3,_calc!$C$2:$C$3000,T$6)=0,"",SUMIFS(_calc!$E$2:$E$3000,_calc!$AE$2:$AE$3000,$B57&amp;"|"&amp;$D57,_calc!$A$2:$A$3000,$B$3,_calc!$C$2:$C$3000,T$6)))</f>
        <v/>
      </c>
      <c r="U57" s="50" t="str">
        <f>IF(OR($B57="",U$6=""),"",IF(COUNTIFS(_calc!$AE$2:$AE$3000,$B57&amp;"|"&amp;$D57,_calc!$A$2:$A$3000,$B$3,_calc!$C$2:$C$3000,U$6)=0,"",SUMIFS(_calc!$E$2:$E$3000,_calc!$AE$2:$AE$3000,$B57&amp;"|"&amp;$D57,_calc!$A$2:$A$3000,$B$3,_calc!$C$2:$C$3000,U$6)))</f>
        <v/>
      </c>
      <c r="V57" s="50" t="str">
        <f>IF(OR($B57="",V$6=""),"",IF(COUNTIFS(_calc!$AE$2:$AE$3000,$B57&amp;"|"&amp;$D57,_calc!$A$2:$A$3000,$B$3,_calc!$C$2:$C$3000,V$6)=0,"",SUMIFS(_calc!$E$2:$E$3000,_calc!$AE$2:$AE$3000,$B57&amp;"|"&amp;$D57,_calc!$A$2:$A$3000,$B$3,_calc!$C$2:$C$3000,V$6)))</f>
        <v/>
      </c>
      <c r="W57" s="50" t="str">
        <f>IF(OR($B57="",W$6=""),"",IF(COUNTIFS(_calc!$AE$2:$AE$3000,$B57&amp;"|"&amp;$D57,_calc!$A$2:$A$3000,$B$3,_calc!$C$2:$C$3000,W$6)=0,"",SUMIFS(_calc!$E$2:$E$3000,_calc!$AE$2:$AE$3000,$B57&amp;"|"&amp;$D57,_calc!$A$2:$A$3000,$B$3,_calc!$C$2:$C$3000,W$6)))</f>
        <v/>
      </c>
      <c r="X57" s="50" t="str">
        <f>IF(OR($B57="",X$6=""),"",IF(COUNTIFS(_calc!$AE$2:$AE$3000,$B57&amp;"|"&amp;$D57,_calc!$A$2:$A$3000,$B$3,_calc!$C$2:$C$3000,X$6)=0,"",SUMIFS(_calc!$E$2:$E$3000,_calc!$AE$2:$AE$3000,$B57&amp;"|"&amp;$D57,_calc!$A$2:$A$3000,$B$3,_calc!$C$2:$C$3000,X$6)))</f>
        <v/>
      </c>
    </row>
    <row r="58" spans="1:24" x14ac:dyDescent="0.4">
      <c r="A58" s="48">
        <v>52</v>
      </c>
      <c r="B58" s="49" t="str">
        <f>IFERROR(INDEX(_calc!$I$2:$I$3000,MATCH($A58,_calc!$AB$2:$AB$3000,0)),"")</f>
        <v/>
      </c>
      <c r="C58" s="49" t="str">
        <f>IFERROR(INDEX(_calc!$H$2:$H$3000,MATCH($A58,_calc!$AB$2:$AB$3000,0)),"")</f>
        <v/>
      </c>
      <c r="D58" s="49" t="str">
        <f>IFERROR(INDEX(_calc!$K$2:$K$3000,MATCH($A58,_calc!$AB$2:$AB$3000,0)),"")</f>
        <v/>
      </c>
      <c r="E58" s="50" t="str">
        <f>IF(OR($B58="",E$6=""),"",IF(COUNTIFS(_calc!$AE$2:$AE$3000,$B58&amp;"|"&amp;$D58,_calc!$A$2:$A$3000,$B$3,_calc!$C$2:$C$3000,E$6)=0,"",SUMIFS(_calc!$E$2:$E$3000,_calc!$AE$2:$AE$3000,$B58&amp;"|"&amp;$D58,_calc!$A$2:$A$3000,$B$3,_calc!$C$2:$C$3000,E$6)))</f>
        <v/>
      </c>
      <c r="F58" s="50" t="str">
        <f>IF(OR($B58="",F$6=""),"",IF(COUNTIFS(_calc!$AE$2:$AE$3000,$B58&amp;"|"&amp;$D58,_calc!$A$2:$A$3000,$B$3,_calc!$C$2:$C$3000,F$6)=0,"",SUMIFS(_calc!$E$2:$E$3000,_calc!$AE$2:$AE$3000,$B58&amp;"|"&amp;$D58,_calc!$A$2:$A$3000,$B$3,_calc!$C$2:$C$3000,F$6)))</f>
        <v/>
      </c>
      <c r="G58" s="50" t="str">
        <f>IF(OR($B58="",G$6=""),"",IF(COUNTIFS(_calc!$AE$2:$AE$3000,$B58&amp;"|"&amp;$D58,_calc!$A$2:$A$3000,$B$3,_calc!$C$2:$C$3000,G$6)=0,"",SUMIFS(_calc!$E$2:$E$3000,_calc!$AE$2:$AE$3000,$B58&amp;"|"&amp;$D58,_calc!$A$2:$A$3000,$B$3,_calc!$C$2:$C$3000,G$6)))</f>
        <v/>
      </c>
      <c r="H58" s="50" t="str">
        <f>IF(OR($B58="",H$6=""),"",IF(COUNTIFS(_calc!$AE$2:$AE$3000,$B58&amp;"|"&amp;$D58,_calc!$A$2:$A$3000,$B$3,_calc!$C$2:$C$3000,H$6)=0,"",SUMIFS(_calc!$E$2:$E$3000,_calc!$AE$2:$AE$3000,$B58&amp;"|"&amp;$D58,_calc!$A$2:$A$3000,$B$3,_calc!$C$2:$C$3000,H$6)))</f>
        <v/>
      </c>
      <c r="I58" s="50" t="str">
        <f>IF(OR($B58="",I$6=""),"",IF(COUNTIFS(_calc!$AE$2:$AE$3000,$B58&amp;"|"&amp;$D58,_calc!$A$2:$A$3000,$B$3,_calc!$C$2:$C$3000,I$6)=0,"",SUMIFS(_calc!$E$2:$E$3000,_calc!$AE$2:$AE$3000,$B58&amp;"|"&amp;$D58,_calc!$A$2:$A$3000,$B$3,_calc!$C$2:$C$3000,I$6)))</f>
        <v/>
      </c>
      <c r="J58" s="50" t="str">
        <f>IF(OR($B58="",J$6=""),"",IF(COUNTIFS(_calc!$AE$2:$AE$3000,$B58&amp;"|"&amp;$D58,_calc!$A$2:$A$3000,$B$3,_calc!$C$2:$C$3000,J$6)=0,"",SUMIFS(_calc!$E$2:$E$3000,_calc!$AE$2:$AE$3000,$B58&amp;"|"&amp;$D58,_calc!$A$2:$A$3000,$B$3,_calc!$C$2:$C$3000,J$6)))</f>
        <v/>
      </c>
      <c r="K58" s="50" t="str">
        <f>IF(OR($B58="",K$6=""),"",IF(COUNTIFS(_calc!$AE$2:$AE$3000,$B58&amp;"|"&amp;$D58,_calc!$A$2:$A$3000,$B$3,_calc!$C$2:$C$3000,K$6)=0,"",SUMIFS(_calc!$E$2:$E$3000,_calc!$AE$2:$AE$3000,$B58&amp;"|"&amp;$D58,_calc!$A$2:$A$3000,$B$3,_calc!$C$2:$C$3000,K$6)))</f>
        <v/>
      </c>
      <c r="L58" s="50" t="str">
        <f>IF(OR($B58="",L$6=""),"",IF(COUNTIFS(_calc!$AE$2:$AE$3000,$B58&amp;"|"&amp;$D58,_calc!$A$2:$A$3000,$B$3,_calc!$C$2:$C$3000,L$6)=0,"",SUMIFS(_calc!$E$2:$E$3000,_calc!$AE$2:$AE$3000,$B58&amp;"|"&amp;$D58,_calc!$A$2:$A$3000,$B$3,_calc!$C$2:$C$3000,L$6)))</f>
        <v/>
      </c>
      <c r="M58" s="50" t="str">
        <f>IF(OR($B58="",M$6=""),"",IF(COUNTIFS(_calc!$AE$2:$AE$3000,$B58&amp;"|"&amp;$D58,_calc!$A$2:$A$3000,$B$3,_calc!$C$2:$C$3000,M$6)=0,"",SUMIFS(_calc!$E$2:$E$3000,_calc!$AE$2:$AE$3000,$B58&amp;"|"&amp;$D58,_calc!$A$2:$A$3000,$B$3,_calc!$C$2:$C$3000,M$6)))</f>
        <v/>
      </c>
      <c r="N58" s="50" t="str">
        <f>IF(OR($B58="",N$6=""),"",IF(COUNTIFS(_calc!$AE$2:$AE$3000,$B58&amp;"|"&amp;$D58,_calc!$A$2:$A$3000,$B$3,_calc!$C$2:$C$3000,N$6)=0,"",SUMIFS(_calc!$E$2:$E$3000,_calc!$AE$2:$AE$3000,$B58&amp;"|"&amp;$D58,_calc!$A$2:$A$3000,$B$3,_calc!$C$2:$C$3000,N$6)))</f>
        <v/>
      </c>
      <c r="O58" s="50" t="str">
        <f>IF(OR($B58="",O$6=""),"",IF(COUNTIFS(_calc!$AE$2:$AE$3000,$B58&amp;"|"&amp;$D58,_calc!$A$2:$A$3000,$B$3,_calc!$C$2:$C$3000,O$6)=0,"",SUMIFS(_calc!$E$2:$E$3000,_calc!$AE$2:$AE$3000,$B58&amp;"|"&amp;$D58,_calc!$A$2:$A$3000,$B$3,_calc!$C$2:$C$3000,O$6)))</f>
        <v/>
      </c>
      <c r="P58" s="50" t="str">
        <f>IF(OR($B58="",P$6=""),"",IF(COUNTIFS(_calc!$AE$2:$AE$3000,$B58&amp;"|"&amp;$D58,_calc!$A$2:$A$3000,$B$3,_calc!$C$2:$C$3000,P$6)=0,"",SUMIFS(_calc!$E$2:$E$3000,_calc!$AE$2:$AE$3000,$B58&amp;"|"&amp;$D58,_calc!$A$2:$A$3000,$B$3,_calc!$C$2:$C$3000,P$6)))</f>
        <v/>
      </c>
      <c r="Q58" s="50" t="str">
        <f>IF(OR($B58="",Q$6=""),"",IF(COUNTIFS(_calc!$AE$2:$AE$3000,$B58&amp;"|"&amp;$D58,_calc!$A$2:$A$3000,$B$3,_calc!$C$2:$C$3000,Q$6)=0,"",SUMIFS(_calc!$E$2:$E$3000,_calc!$AE$2:$AE$3000,$B58&amp;"|"&amp;$D58,_calc!$A$2:$A$3000,$B$3,_calc!$C$2:$C$3000,Q$6)))</f>
        <v/>
      </c>
      <c r="R58" s="50" t="str">
        <f>IF(OR($B58="",R$6=""),"",IF(COUNTIFS(_calc!$AE$2:$AE$3000,$B58&amp;"|"&amp;$D58,_calc!$A$2:$A$3000,$B$3,_calc!$C$2:$C$3000,R$6)=0,"",SUMIFS(_calc!$E$2:$E$3000,_calc!$AE$2:$AE$3000,$B58&amp;"|"&amp;$D58,_calc!$A$2:$A$3000,$B$3,_calc!$C$2:$C$3000,R$6)))</f>
        <v/>
      </c>
      <c r="S58" s="50" t="str">
        <f>IF(OR($B58="",S$6=""),"",IF(COUNTIFS(_calc!$AE$2:$AE$3000,$B58&amp;"|"&amp;$D58,_calc!$A$2:$A$3000,$B$3,_calc!$C$2:$C$3000,S$6)=0,"",SUMIFS(_calc!$E$2:$E$3000,_calc!$AE$2:$AE$3000,$B58&amp;"|"&amp;$D58,_calc!$A$2:$A$3000,$B$3,_calc!$C$2:$C$3000,S$6)))</f>
        <v/>
      </c>
      <c r="T58" s="50" t="str">
        <f>IF(OR($B58="",T$6=""),"",IF(COUNTIFS(_calc!$AE$2:$AE$3000,$B58&amp;"|"&amp;$D58,_calc!$A$2:$A$3000,$B$3,_calc!$C$2:$C$3000,T$6)=0,"",SUMIFS(_calc!$E$2:$E$3000,_calc!$AE$2:$AE$3000,$B58&amp;"|"&amp;$D58,_calc!$A$2:$A$3000,$B$3,_calc!$C$2:$C$3000,T$6)))</f>
        <v/>
      </c>
      <c r="U58" s="50" t="str">
        <f>IF(OR($B58="",U$6=""),"",IF(COUNTIFS(_calc!$AE$2:$AE$3000,$B58&amp;"|"&amp;$D58,_calc!$A$2:$A$3000,$B$3,_calc!$C$2:$C$3000,U$6)=0,"",SUMIFS(_calc!$E$2:$E$3000,_calc!$AE$2:$AE$3000,$B58&amp;"|"&amp;$D58,_calc!$A$2:$A$3000,$B$3,_calc!$C$2:$C$3000,U$6)))</f>
        <v/>
      </c>
      <c r="V58" s="50" t="str">
        <f>IF(OR($B58="",V$6=""),"",IF(COUNTIFS(_calc!$AE$2:$AE$3000,$B58&amp;"|"&amp;$D58,_calc!$A$2:$A$3000,$B$3,_calc!$C$2:$C$3000,V$6)=0,"",SUMIFS(_calc!$E$2:$E$3000,_calc!$AE$2:$AE$3000,$B58&amp;"|"&amp;$D58,_calc!$A$2:$A$3000,$B$3,_calc!$C$2:$C$3000,V$6)))</f>
        <v/>
      </c>
      <c r="W58" s="50" t="str">
        <f>IF(OR($B58="",W$6=""),"",IF(COUNTIFS(_calc!$AE$2:$AE$3000,$B58&amp;"|"&amp;$D58,_calc!$A$2:$A$3000,$B$3,_calc!$C$2:$C$3000,W$6)=0,"",SUMIFS(_calc!$E$2:$E$3000,_calc!$AE$2:$AE$3000,$B58&amp;"|"&amp;$D58,_calc!$A$2:$A$3000,$B$3,_calc!$C$2:$C$3000,W$6)))</f>
        <v/>
      </c>
      <c r="X58" s="50" t="str">
        <f>IF(OR($B58="",X$6=""),"",IF(COUNTIFS(_calc!$AE$2:$AE$3000,$B58&amp;"|"&amp;$D58,_calc!$A$2:$A$3000,$B$3,_calc!$C$2:$C$3000,X$6)=0,"",SUMIFS(_calc!$E$2:$E$3000,_calc!$AE$2:$AE$3000,$B58&amp;"|"&amp;$D58,_calc!$A$2:$A$3000,$B$3,_calc!$C$2:$C$3000,X$6)))</f>
        <v/>
      </c>
    </row>
    <row r="59" spans="1:24" x14ac:dyDescent="0.4">
      <c r="A59" s="48">
        <v>53</v>
      </c>
      <c r="B59" s="49" t="str">
        <f>IFERROR(INDEX(_calc!$I$2:$I$3000,MATCH($A59,_calc!$AB$2:$AB$3000,0)),"")</f>
        <v/>
      </c>
      <c r="C59" s="49" t="str">
        <f>IFERROR(INDEX(_calc!$H$2:$H$3000,MATCH($A59,_calc!$AB$2:$AB$3000,0)),"")</f>
        <v/>
      </c>
      <c r="D59" s="49" t="str">
        <f>IFERROR(INDEX(_calc!$K$2:$K$3000,MATCH($A59,_calc!$AB$2:$AB$3000,0)),"")</f>
        <v/>
      </c>
      <c r="E59" s="50" t="str">
        <f>IF(OR($B59="",E$6=""),"",IF(COUNTIFS(_calc!$AE$2:$AE$3000,$B59&amp;"|"&amp;$D59,_calc!$A$2:$A$3000,$B$3,_calc!$C$2:$C$3000,E$6)=0,"",SUMIFS(_calc!$E$2:$E$3000,_calc!$AE$2:$AE$3000,$B59&amp;"|"&amp;$D59,_calc!$A$2:$A$3000,$B$3,_calc!$C$2:$C$3000,E$6)))</f>
        <v/>
      </c>
      <c r="F59" s="50" t="str">
        <f>IF(OR($B59="",F$6=""),"",IF(COUNTIFS(_calc!$AE$2:$AE$3000,$B59&amp;"|"&amp;$D59,_calc!$A$2:$A$3000,$B$3,_calc!$C$2:$C$3000,F$6)=0,"",SUMIFS(_calc!$E$2:$E$3000,_calc!$AE$2:$AE$3000,$B59&amp;"|"&amp;$D59,_calc!$A$2:$A$3000,$B$3,_calc!$C$2:$C$3000,F$6)))</f>
        <v/>
      </c>
      <c r="G59" s="50" t="str">
        <f>IF(OR($B59="",G$6=""),"",IF(COUNTIFS(_calc!$AE$2:$AE$3000,$B59&amp;"|"&amp;$D59,_calc!$A$2:$A$3000,$B$3,_calc!$C$2:$C$3000,G$6)=0,"",SUMIFS(_calc!$E$2:$E$3000,_calc!$AE$2:$AE$3000,$B59&amp;"|"&amp;$D59,_calc!$A$2:$A$3000,$B$3,_calc!$C$2:$C$3000,G$6)))</f>
        <v/>
      </c>
      <c r="H59" s="50" t="str">
        <f>IF(OR($B59="",H$6=""),"",IF(COUNTIFS(_calc!$AE$2:$AE$3000,$B59&amp;"|"&amp;$D59,_calc!$A$2:$A$3000,$B$3,_calc!$C$2:$C$3000,H$6)=0,"",SUMIFS(_calc!$E$2:$E$3000,_calc!$AE$2:$AE$3000,$B59&amp;"|"&amp;$D59,_calc!$A$2:$A$3000,$B$3,_calc!$C$2:$C$3000,H$6)))</f>
        <v/>
      </c>
      <c r="I59" s="50" t="str">
        <f>IF(OR($B59="",I$6=""),"",IF(COUNTIFS(_calc!$AE$2:$AE$3000,$B59&amp;"|"&amp;$D59,_calc!$A$2:$A$3000,$B$3,_calc!$C$2:$C$3000,I$6)=0,"",SUMIFS(_calc!$E$2:$E$3000,_calc!$AE$2:$AE$3000,$B59&amp;"|"&amp;$D59,_calc!$A$2:$A$3000,$B$3,_calc!$C$2:$C$3000,I$6)))</f>
        <v/>
      </c>
      <c r="J59" s="50" t="str">
        <f>IF(OR($B59="",J$6=""),"",IF(COUNTIFS(_calc!$AE$2:$AE$3000,$B59&amp;"|"&amp;$D59,_calc!$A$2:$A$3000,$B$3,_calc!$C$2:$C$3000,J$6)=0,"",SUMIFS(_calc!$E$2:$E$3000,_calc!$AE$2:$AE$3000,$B59&amp;"|"&amp;$D59,_calc!$A$2:$A$3000,$B$3,_calc!$C$2:$C$3000,J$6)))</f>
        <v/>
      </c>
      <c r="K59" s="50" t="str">
        <f>IF(OR($B59="",K$6=""),"",IF(COUNTIFS(_calc!$AE$2:$AE$3000,$B59&amp;"|"&amp;$D59,_calc!$A$2:$A$3000,$B$3,_calc!$C$2:$C$3000,K$6)=0,"",SUMIFS(_calc!$E$2:$E$3000,_calc!$AE$2:$AE$3000,$B59&amp;"|"&amp;$D59,_calc!$A$2:$A$3000,$B$3,_calc!$C$2:$C$3000,K$6)))</f>
        <v/>
      </c>
      <c r="L59" s="50" t="str">
        <f>IF(OR($B59="",L$6=""),"",IF(COUNTIFS(_calc!$AE$2:$AE$3000,$B59&amp;"|"&amp;$D59,_calc!$A$2:$A$3000,$B$3,_calc!$C$2:$C$3000,L$6)=0,"",SUMIFS(_calc!$E$2:$E$3000,_calc!$AE$2:$AE$3000,$B59&amp;"|"&amp;$D59,_calc!$A$2:$A$3000,$B$3,_calc!$C$2:$C$3000,L$6)))</f>
        <v/>
      </c>
      <c r="M59" s="50" t="str">
        <f>IF(OR($B59="",M$6=""),"",IF(COUNTIFS(_calc!$AE$2:$AE$3000,$B59&amp;"|"&amp;$D59,_calc!$A$2:$A$3000,$B$3,_calc!$C$2:$C$3000,M$6)=0,"",SUMIFS(_calc!$E$2:$E$3000,_calc!$AE$2:$AE$3000,$B59&amp;"|"&amp;$D59,_calc!$A$2:$A$3000,$B$3,_calc!$C$2:$C$3000,M$6)))</f>
        <v/>
      </c>
      <c r="N59" s="50" t="str">
        <f>IF(OR($B59="",N$6=""),"",IF(COUNTIFS(_calc!$AE$2:$AE$3000,$B59&amp;"|"&amp;$D59,_calc!$A$2:$A$3000,$B$3,_calc!$C$2:$C$3000,N$6)=0,"",SUMIFS(_calc!$E$2:$E$3000,_calc!$AE$2:$AE$3000,$B59&amp;"|"&amp;$D59,_calc!$A$2:$A$3000,$B$3,_calc!$C$2:$C$3000,N$6)))</f>
        <v/>
      </c>
      <c r="O59" s="50" t="str">
        <f>IF(OR($B59="",O$6=""),"",IF(COUNTIFS(_calc!$AE$2:$AE$3000,$B59&amp;"|"&amp;$D59,_calc!$A$2:$A$3000,$B$3,_calc!$C$2:$C$3000,O$6)=0,"",SUMIFS(_calc!$E$2:$E$3000,_calc!$AE$2:$AE$3000,$B59&amp;"|"&amp;$D59,_calc!$A$2:$A$3000,$B$3,_calc!$C$2:$C$3000,O$6)))</f>
        <v/>
      </c>
      <c r="P59" s="50" t="str">
        <f>IF(OR($B59="",P$6=""),"",IF(COUNTIFS(_calc!$AE$2:$AE$3000,$B59&amp;"|"&amp;$D59,_calc!$A$2:$A$3000,$B$3,_calc!$C$2:$C$3000,P$6)=0,"",SUMIFS(_calc!$E$2:$E$3000,_calc!$AE$2:$AE$3000,$B59&amp;"|"&amp;$D59,_calc!$A$2:$A$3000,$B$3,_calc!$C$2:$C$3000,P$6)))</f>
        <v/>
      </c>
      <c r="Q59" s="50" t="str">
        <f>IF(OR($B59="",Q$6=""),"",IF(COUNTIFS(_calc!$AE$2:$AE$3000,$B59&amp;"|"&amp;$D59,_calc!$A$2:$A$3000,$B$3,_calc!$C$2:$C$3000,Q$6)=0,"",SUMIFS(_calc!$E$2:$E$3000,_calc!$AE$2:$AE$3000,$B59&amp;"|"&amp;$D59,_calc!$A$2:$A$3000,$B$3,_calc!$C$2:$C$3000,Q$6)))</f>
        <v/>
      </c>
      <c r="R59" s="50" t="str">
        <f>IF(OR($B59="",R$6=""),"",IF(COUNTIFS(_calc!$AE$2:$AE$3000,$B59&amp;"|"&amp;$D59,_calc!$A$2:$A$3000,$B$3,_calc!$C$2:$C$3000,R$6)=0,"",SUMIFS(_calc!$E$2:$E$3000,_calc!$AE$2:$AE$3000,$B59&amp;"|"&amp;$D59,_calc!$A$2:$A$3000,$B$3,_calc!$C$2:$C$3000,R$6)))</f>
        <v/>
      </c>
      <c r="S59" s="50" t="str">
        <f>IF(OR($B59="",S$6=""),"",IF(COUNTIFS(_calc!$AE$2:$AE$3000,$B59&amp;"|"&amp;$D59,_calc!$A$2:$A$3000,$B$3,_calc!$C$2:$C$3000,S$6)=0,"",SUMIFS(_calc!$E$2:$E$3000,_calc!$AE$2:$AE$3000,$B59&amp;"|"&amp;$D59,_calc!$A$2:$A$3000,$B$3,_calc!$C$2:$C$3000,S$6)))</f>
        <v/>
      </c>
      <c r="T59" s="50" t="str">
        <f>IF(OR($B59="",T$6=""),"",IF(COUNTIFS(_calc!$AE$2:$AE$3000,$B59&amp;"|"&amp;$D59,_calc!$A$2:$A$3000,$B$3,_calc!$C$2:$C$3000,T$6)=0,"",SUMIFS(_calc!$E$2:$E$3000,_calc!$AE$2:$AE$3000,$B59&amp;"|"&amp;$D59,_calc!$A$2:$A$3000,$B$3,_calc!$C$2:$C$3000,T$6)))</f>
        <v/>
      </c>
      <c r="U59" s="50" t="str">
        <f>IF(OR($B59="",U$6=""),"",IF(COUNTIFS(_calc!$AE$2:$AE$3000,$B59&amp;"|"&amp;$D59,_calc!$A$2:$A$3000,$B$3,_calc!$C$2:$C$3000,U$6)=0,"",SUMIFS(_calc!$E$2:$E$3000,_calc!$AE$2:$AE$3000,$B59&amp;"|"&amp;$D59,_calc!$A$2:$A$3000,$B$3,_calc!$C$2:$C$3000,U$6)))</f>
        <v/>
      </c>
      <c r="V59" s="50" t="str">
        <f>IF(OR($B59="",V$6=""),"",IF(COUNTIFS(_calc!$AE$2:$AE$3000,$B59&amp;"|"&amp;$D59,_calc!$A$2:$A$3000,$B$3,_calc!$C$2:$C$3000,V$6)=0,"",SUMIFS(_calc!$E$2:$E$3000,_calc!$AE$2:$AE$3000,$B59&amp;"|"&amp;$D59,_calc!$A$2:$A$3000,$B$3,_calc!$C$2:$C$3000,V$6)))</f>
        <v/>
      </c>
      <c r="W59" s="50" t="str">
        <f>IF(OR($B59="",W$6=""),"",IF(COUNTIFS(_calc!$AE$2:$AE$3000,$B59&amp;"|"&amp;$D59,_calc!$A$2:$A$3000,$B$3,_calc!$C$2:$C$3000,W$6)=0,"",SUMIFS(_calc!$E$2:$E$3000,_calc!$AE$2:$AE$3000,$B59&amp;"|"&amp;$D59,_calc!$A$2:$A$3000,$B$3,_calc!$C$2:$C$3000,W$6)))</f>
        <v/>
      </c>
      <c r="X59" s="50" t="str">
        <f>IF(OR($B59="",X$6=""),"",IF(COUNTIFS(_calc!$AE$2:$AE$3000,$B59&amp;"|"&amp;$D59,_calc!$A$2:$A$3000,$B$3,_calc!$C$2:$C$3000,X$6)=0,"",SUMIFS(_calc!$E$2:$E$3000,_calc!$AE$2:$AE$3000,$B59&amp;"|"&amp;$D59,_calc!$A$2:$A$3000,$B$3,_calc!$C$2:$C$3000,X$6)))</f>
        <v/>
      </c>
    </row>
    <row r="60" spans="1:24" x14ac:dyDescent="0.4">
      <c r="A60" s="48">
        <v>54</v>
      </c>
      <c r="B60" s="49" t="str">
        <f>IFERROR(INDEX(_calc!$I$2:$I$3000,MATCH($A60,_calc!$AB$2:$AB$3000,0)),"")</f>
        <v/>
      </c>
      <c r="C60" s="49" t="str">
        <f>IFERROR(INDEX(_calc!$H$2:$H$3000,MATCH($A60,_calc!$AB$2:$AB$3000,0)),"")</f>
        <v/>
      </c>
      <c r="D60" s="49" t="str">
        <f>IFERROR(INDEX(_calc!$K$2:$K$3000,MATCH($A60,_calc!$AB$2:$AB$3000,0)),"")</f>
        <v/>
      </c>
      <c r="E60" s="50" t="str">
        <f>IF(OR($B60="",E$6=""),"",IF(COUNTIFS(_calc!$AE$2:$AE$3000,$B60&amp;"|"&amp;$D60,_calc!$A$2:$A$3000,$B$3,_calc!$C$2:$C$3000,E$6)=0,"",SUMIFS(_calc!$E$2:$E$3000,_calc!$AE$2:$AE$3000,$B60&amp;"|"&amp;$D60,_calc!$A$2:$A$3000,$B$3,_calc!$C$2:$C$3000,E$6)))</f>
        <v/>
      </c>
      <c r="F60" s="50" t="str">
        <f>IF(OR($B60="",F$6=""),"",IF(COUNTIFS(_calc!$AE$2:$AE$3000,$B60&amp;"|"&amp;$D60,_calc!$A$2:$A$3000,$B$3,_calc!$C$2:$C$3000,F$6)=0,"",SUMIFS(_calc!$E$2:$E$3000,_calc!$AE$2:$AE$3000,$B60&amp;"|"&amp;$D60,_calc!$A$2:$A$3000,$B$3,_calc!$C$2:$C$3000,F$6)))</f>
        <v/>
      </c>
      <c r="G60" s="50" t="str">
        <f>IF(OR($B60="",G$6=""),"",IF(COUNTIFS(_calc!$AE$2:$AE$3000,$B60&amp;"|"&amp;$D60,_calc!$A$2:$A$3000,$B$3,_calc!$C$2:$C$3000,G$6)=0,"",SUMIFS(_calc!$E$2:$E$3000,_calc!$AE$2:$AE$3000,$B60&amp;"|"&amp;$D60,_calc!$A$2:$A$3000,$B$3,_calc!$C$2:$C$3000,G$6)))</f>
        <v/>
      </c>
      <c r="H60" s="50" t="str">
        <f>IF(OR($B60="",H$6=""),"",IF(COUNTIFS(_calc!$AE$2:$AE$3000,$B60&amp;"|"&amp;$D60,_calc!$A$2:$A$3000,$B$3,_calc!$C$2:$C$3000,H$6)=0,"",SUMIFS(_calc!$E$2:$E$3000,_calc!$AE$2:$AE$3000,$B60&amp;"|"&amp;$D60,_calc!$A$2:$A$3000,$B$3,_calc!$C$2:$C$3000,H$6)))</f>
        <v/>
      </c>
      <c r="I60" s="50" t="str">
        <f>IF(OR($B60="",I$6=""),"",IF(COUNTIFS(_calc!$AE$2:$AE$3000,$B60&amp;"|"&amp;$D60,_calc!$A$2:$A$3000,$B$3,_calc!$C$2:$C$3000,I$6)=0,"",SUMIFS(_calc!$E$2:$E$3000,_calc!$AE$2:$AE$3000,$B60&amp;"|"&amp;$D60,_calc!$A$2:$A$3000,$B$3,_calc!$C$2:$C$3000,I$6)))</f>
        <v/>
      </c>
      <c r="J60" s="50" t="str">
        <f>IF(OR($B60="",J$6=""),"",IF(COUNTIFS(_calc!$AE$2:$AE$3000,$B60&amp;"|"&amp;$D60,_calc!$A$2:$A$3000,$B$3,_calc!$C$2:$C$3000,J$6)=0,"",SUMIFS(_calc!$E$2:$E$3000,_calc!$AE$2:$AE$3000,$B60&amp;"|"&amp;$D60,_calc!$A$2:$A$3000,$B$3,_calc!$C$2:$C$3000,J$6)))</f>
        <v/>
      </c>
      <c r="K60" s="50" t="str">
        <f>IF(OR($B60="",K$6=""),"",IF(COUNTIFS(_calc!$AE$2:$AE$3000,$B60&amp;"|"&amp;$D60,_calc!$A$2:$A$3000,$B$3,_calc!$C$2:$C$3000,K$6)=0,"",SUMIFS(_calc!$E$2:$E$3000,_calc!$AE$2:$AE$3000,$B60&amp;"|"&amp;$D60,_calc!$A$2:$A$3000,$B$3,_calc!$C$2:$C$3000,K$6)))</f>
        <v/>
      </c>
      <c r="L60" s="50" t="str">
        <f>IF(OR($B60="",L$6=""),"",IF(COUNTIFS(_calc!$AE$2:$AE$3000,$B60&amp;"|"&amp;$D60,_calc!$A$2:$A$3000,$B$3,_calc!$C$2:$C$3000,L$6)=0,"",SUMIFS(_calc!$E$2:$E$3000,_calc!$AE$2:$AE$3000,$B60&amp;"|"&amp;$D60,_calc!$A$2:$A$3000,$B$3,_calc!$C$2:$C$3000,L$6)))</f>
        <v/>
      </c>
      <c r="M60" s="50" t="str">
        <f>IF(OR($B60="",M$6=""),"",IF(COUNTIFS(_calc!$AE$2:$AE$3000,$B60&amp;"|"&amp;$D60,_calc!$A$2:$A$3000,$B$3,_calc!$C$2:$C$3000,M$6)=0,"",SUMIFS(_calc!$E$2:$E$3000,_calc!$AE$2:$AE$3000,$B60&amp;"|"&amp;$D60,_calc!$A$2:$A$3000,$B$3,_calc!$C$2:$C$3000,M$6)))</f>
        <v/>
      </c>
      <c r="N60" s="50" t="str">
        <f>IF(OR($B60="",N$6=""),"",IF(COUNTIFS(_calc!$AE$2:$AE$3000,$B60&amp;"|"&amp;$D60,_calc!$A$2:$A$3000,$B$3,_calc!$C$2:$C$3000,N$6)=0,"",SUMIFS(_calc!$E$2:$E$3000,_calc!$AE$2:$AE$3000,$B60&amp;"|"&amp;$D60,_calc!$A$2:$A$3000,$B$3,_calc!$C$2:$C$3000,N$6)))</f>
        <v/>
      </c>
      <c r="O60" s="50" t="str">
        <f>IF(OR($B60="",O$6=""),"",IF(COUNTIFS(_calc!$AE$2:$AE$3000,$B60&amp;"|"&amp;$D60,_calc!$A$2:$A$3000,$B$3,_calc!$C$2:$C$3000,O$6)=0,"",SUMIFS(_calc!$E$2:$E$3000,_calc!$AE$2:$AE$3000,$B60&amp;"|"&amp;$D60,_calc!$A$2:$A$3000,$B$3,_calc!$C$2:$C$3000,O$6)))</f>
        <v/>
      </c>
      <c r="P60" s="50" t="str">
        <f>IF(OR($B60="",P$6=""),"",IF(COUNTIFS(_calc!$AE$2:$AE$3000,$B60&amp;"|"&amp;$D60,_calc!$A$2:$A$3000,$B$3,_calc!$C$2:$C$3000,P$6)=0,"",SUMIFS(_calc!$E$2:$E$3000,_calc!$AE$2:$AE$3000,$B60&amp;"|"&amp;$D60,_calc!$A$2:$A$3000,$B$3,_calc!$C$2:$C$3000,P$6)))</f>
        <v/>
      </c>
      <c r="Q60" s="50" t="str">
        <f>IF(OR($B60="",Q$6=""),"",IF(COUNTIFS(_calc!$AE$2:$AE$3000,$B60&amp;"|"&amp;$D60,_calc!$A$2:$A$3000,$B$3,_calc!$C$2:$C$3000,Q$6)=0,"",SUMIFS(_calc!$E$2:$E$3000,_calc!$AE$2:$AE$3000,$B60&amp;"|"&amp;$D60,_calc!$A$2:$A$3000,$B$3,_calc!$C$2:$C$3000,Q$6)))</f>
        <v/>
      </c>
      <c r="R60" s="50" t="str">
        <f>IF(OR($B60="",R$6=""),"",IF(COUNTIFS(_calc!$AE$2:$AE$3000,$B60&amp;"|"&amp;$D60,_calc!$A$2:$A$3000,$B$3,_calc!$C$2:$C$3000,R$6)=0,"",SUMIFS(_calc!$E$2:$E$3000,_calc!$AE$2:$AE$3000,$B60&amp;"|"&amp;$D60,_calc!$A$2:$A$3000,$B$3,_calc!$C$2:$C$3000,R$6)))</f>
        <v/>
      </c>
      <c r="S60" s="50" t="str">
        <f>IF(OR($B60="",S$6=""),"",IF(COUNTIFS(_calc!$AE$2:$AE$3000,$B60&amp;"|"&amp;$D60,_calc!$A$2:$A$3000,$B$3,_calc!$C$2:$C$3000,S$6)=0,"",SUMIFS(_calc!$E$2:$E$3000,_calc!$AE$2:$AE$3000,$B60&amp;"|"&amp;$D60,_calc!$A$2:$A$3000,$B$3,_calc!$C$2:$C$3000,S$6)))</f>
        <v/>
      </c>
      <c r="T60" s="50" t="str">
        <f>IF(OR($B60="",T$6=""),"",IF(COUNTIFS(_calc!$AE$2:$AE$3000,$B60&amp;"|"&amp;$D60,_calc!$A$2:$A$3000,$B$3,_calc!$C$2:$C$3000,T$6)=0,"",SUMIFS(_calc!$E$2:$E$3000,_calc!$AE$2:$AE$3000,$B60&amp;"|"&amp;$D60,_calc!$A$2:$A$3000,$B$3,_calc!$C$2:$C$3000,T$6)))</f>
        <v/>
      </c>
      <c r="U60" s="50" t="str">
        <f>IF(OR($B60="",U$6=""),"",IF(COUNTIFS(_calc!$AE$2:$AE$3000,$B60&amp;"|"&amp;$D60,_calc!$A$2:$A$3000,$B$3,_calc!$C$2:$C$3000,U$6)=0,"",SUMIFS(_calc!$E$2:$E$3000,_calc!$AE$2:$AE$3000,$B60&amp;"|"&amp;$D60,_calc!$A$2:$A$3000,$B$3,_calc!$C$2:$C$3000,U$6)))</f>
        <v/>
      </c>
      <c r="V60" s="50" t="str">
        <f>IF(OR($B60="",V$6=""),"",IF(COUNTIFS(_calc!$AE$2:$AE$3000,$B60&amp;"|"&amp;$D60,_calc!$A$2:$A$3000,$B$3,_calc!$C$2:$C$3000,V$6)=0,"",SUMIFS(_calc!$E$2:$E$3000,_calc!$AE$2:$AE$3000,$B60&amp;"|"&amp;$D60,_calc!$A$2:$A$3000,$B$3,_calc!$C$2:$C$3000,V$6)))</f>
        <v/>
      </c>
      <c r="W60" s="50" t="str">
        <f>IF(OR($B60="",W$6=""),"",IF(COUNTIFS(_calc!$AE$2:$AE$3000,$B60&amp;"|"&amp;$D60,_calc!$A$2:$A$3000,$B$3,_calc!$C$2:$C$3000,W$6)=0,"",SUMIFS(_calc!$E$2:$E$3000,_calc!$AE$2:$AE$3000,$B60&amp;"|"&amp;$D60,_calc!$A$2:$A$3000,$B$3,_calc!$C$2:$C$3000,W$6)))</f>
        <v/>
      </c>
      <c r="X60" s="50" t="str">
        <f>IF(OR($B60="",X$6=""),"",IF(COUNTIFS(_calc!$AE$2:$AE$3000,$B60&amp;"|"&amp;$D60,_calc!$A$2:$A$3000,$B$3,_calc!$C$2:$C$3000,X$6)=0,"",SUMIFS(_calc!$E$2:$E$3000,_calc!$AE$2:$AE$3000,$B60&amp;"|"&amp;$D60,_calc!$A$2:$A$3000,$B$3,_calc!$C$2:$C$3000,X$6)))</f>
        <v/>
      </c>
    </row>
    <row r="61" spans="1:24" x14ac:dyDescent="0.4">
      <c r="A61" s="48">
        <v>55</v>
      </c>
      <c r="B61" s="49" t="str">
        <f>IFERROR(INDEX(_calc!$I$2:$I$3000,MATCH($A61,_calc!$AB$2:$AB$3000,0)),"")</f>
        <v/>
      </c>
      <c r="C61" s="49" t="str">
        <f>IFERROR(INDEX(_calc!$H$2:$H$3000,MATCH($A61,_calc!$AB$2:$AB$3000,0)),"")</f>
        <v/>
      </c>
      <c r="D61" s="49" t="str">
        <f>IFERROR(INDEX(_calc!$K$2:$K$3000,MATCH($A61,_calc!$AB$2:$AB$3000,0)),"")</f>
        <v/>
      </c>
      <c r="E61" s="50" t="str">
        <f>IF(OR($B61="",E$6=""),"",IF(COUNTIFS(_calc!$AE$2:$AE$3000,$B61&amp;"|"&amp;$D61,_calc!$A$2:$A$3000,$B$3,_calc!$C$2:$C$3000,E$6)=0,"",SUMIFS(_calc!$E$2:$E$3000,_calc!$AE$2:$AE$3000,$B61&amp;"|"&amp;$D61,_calc!$A$2:$A$3000,$B$3,_calc!$C$2:$C$3000,E$6)))</f>
        <v/>
      </c>
      <c r="F61" s="50" t="str">
        <f>IF(OR($B61="",F$6=""),"",IF(COUNTIFS(_calc!$AE$2:$AE$3000,$B61&amp;"|"&amp;$D61,_calc!$A$2:$A$3000,$B$3,_calc!$C$2:$C$3000,F$6)=0,"",SUMIFS(_calc!$E$2:$E$3000,_calc!$AE$2:$AE$3000,$B61&amp;"|"&amp;$D61,_calc!$A$2:$A$3000,$B$3,_calc!$C$2:$C$3000,F$6)))</f>
        <v/>
      </c>
      <c r="G61" s="50" t="str">
        <f>IF(OR($B61="",G$6=""),"",IF(COUNTIFS(_calc!$AE$2:$AE$3000,$B61&amp;"|"&amp;$D61,_calc!$A$2:$A$3000,$B$3,_calc!$C$2:$C$3000,G$6)=0,"",SUMIFS(_calc!$E$2:$E$3000,_calc!$AE$2:$AE$3000,$B61&amp;"|"&amp;$D61,_calc!$A$2:$A$3000,$B$3,_calc!$C$2:$C$3000,G$6)))</f>
        <v/>
      </c>
      <c r="H61" s="50" t="str">
        <f>IF(OR($B61="",H$6=""),"",IF(COUNTIFS(_calc!$AE$2:$AE$3000,$B61&amp;"|"&amp;$D61,_calc!$A$2:$A$3000,$B$3,_calc!$C$2:$C$3000,H$6)=0,"",SUMIFS(_calc!$E$2:$E$3000,_calc!$AE$2:$AE$3000,$B61&amp;"|"&amp;$D61,_calc!$A$2:$A$3000,$B$3,_calc!$C$2:$C$3000,H$6)))</f>
        <v/>
      </c>
      <c r="I61" s="50" t="str">
        <f>IF(OR($B61="",I$6=""),"",IF(COUNTIFS(_calc!$AE$2:$AE$3000,$B61&amp;"|"&amp;$D61,_calc!$A$2:$A$3000,$B$3,_calc!$C$2:$C$3000,I$6)=0,"",SUMIFS(_calc!$E$2:$E$3000,_calc!$AE$2:$AE$3000,$B61&amp;"|"&amp;$D61,_calc!$A$2:$A$3000,$B$3,_calc!$C$2:$C$3000,I$6)))</f>
        <v/>
      </c>
      <c r="J61" s="50" t="str">
        <f>IF(OR($B61="",J$6=""),"",IF(COUNTIFS(_calc!$AE$2:$AE$3000,$B61&amp;"|"&amp;$D61,_calc!$A$2:$A$3000,$B$3,_calc!$C$2:$C$3000,J$6)=0,"",SUMIFS(_calc!$E$2:$E$3000,_calc!$AE$2:$AE$3000,$B61&amp;"|"&amp;$D61,_calc!$A$2:$A$3000,$B$3,_calc!$C$2:$C$3000,J$6)))</f>
        <v/>
      </c>
      <c r="K61" s="50" t="str">
        <f>IF(OR($B61="",K$6=""),"",IF(COUNTIFS(_calc!$AE$2:$AE$3000,$B61&amp;"|"&amp;$D61,_calc!$A$2:$A$3000,$B$3,_calc!$C$2:$C$3000,K$6)=0,"",SUMIFS(_calc!$E$2:$E$3000,_calc!$AE$2:$AE$3000,$B61&amp;"|"&amp;$D61,_calc!$A$2:$A$3000,$B$3,_calc!$C$2:$C$3000,K$6)))</f>
        <v/>
      </c>
      <c r="L61" s="50" t="str">
        <f>IF(OR($B61="",L$6=""),"",IF(COUNTIFS(_calc!$AE$2:$AE$3000,$B61&amp;"|"&amp;$D61,_calc!$A$2:$A$3000,$B$3,_calc!$C$2:$C$3000,L$6)=0,"",SUMIFS(_calc!$E$2:$E$3000,_calc!$AE$2:$AE$3000,$B61&amp;"|"&amp;$D61,_calc!$A$2:$A$3000,$B$3,_calc!$C$2:$C$3000,L$6)))</f>
        <v/>
      </c>
      <c r="M61" s="50" t="str">
        <f>IF(OR($B61="",M$6=""),"",IF(COUNTIFS(_calc!$AE$2:$AE$3000,$B61&amp;"|"&amp;$D61,_calc!$A$2:$A$3000,$B$3,_calc!$C$2:$C$3000,M$6)=0,"",SUMIFS(_calc!$E$2:$E$3000,_calc!$AE$2:$AE$3000,$B61&amp;"|"&amp;$D61,_calc!$A$2:$A$3000,$B$3,_calc!$C$2:$C$3000,M$6)))</f>
        <v/>
      </c>
      <c r="N61" s="50" t="str">
        <f>IF(OR($B61="",N$6=""),"",IF(COUNTIFS(_calc!$AE$2:$AE$3000,$B61&amp;"|"&amp;$D61,_calc!$A$2:$A$3000,$B$3,_calc!$C$2:$C$3000,N$6)=0,"",SUMIFS(_calc!$E$2:$E$3000,_calc!$AE$2:$AE$3000,$B61&amp;"|"&amp;$D61,_calc!$A$2:$A$3000,$B$3,_calc!$C$2:$C$3000,N$6)))</f>
        <v/>
      </c>
      <c r="O61" s="50" t="str">
        <f>IF(OR($B61="",O$6=""),"",IF(COUNTIFS(_calc!$AE$2:$AE$3000,$B61&amp;"|"&amp;$D61,_calc!$A$2:$A$3000,$B$3,_calc!$C$2:$C$3000,O$6)=0,"",SUMIFS(_calc!$E$2:$E$3000,_calc!$AE$2:$AE$3000,$B61&amp;"|"&amp;$D61,_calc!$A$2:$A$3000,$B$3,_calc!$C$2:$C$3000,O$6)))</f>
        <v/>
      </c>
      <c r="P61" s="50" t="str">
        <f>IF(OR($B61="",P$6=""),"",IF(COUNTIFS(_calc!$AE$2:$AE$3000,$B61&amp;"|"&amp;$D61,_calc!$A$2:$A$3000,$B$3,_calc!$C$2:$C$3000,P$6)=0,"",SUMIFS(_calc!$E$2:$E$3000,_calc!$AE$2:$AE$3000,$B61&amp;"|"&amp;$D61,_calc!$A$2:$A$3000,$B$3,_calc!$C$2:$C$3000,P$6)))</f>
        <v/>
      </c>
      <c r="Q61" s="50" t="str">
        <f>IF(OR($B61="",Q$6=""),"",IF(COUNTIFS(_calc!$AE$2:$AE$3000,$B61&amp;"|"&amp;$D61,_calc!$A$2:$A$3000,$B$3,_calc!$C$2:$C$3000,Q$6)=0,"",SUMIFS(_calc!$E$2:$E$3000,_calc!$AE$2:$AE$3000,$B61&amp;"|"&amp;$D61,_calc!$A$2:$A$3000,$B$3,_calc!$C$2:$C$3000,Q$6)))</f>
        <v/>
      </c>
      <c r="R61" s="50" t="str">
        <f>IF(OR($B61="",R$6=""),"",IF(COUNTIFS(_calc!$AE$2:$AE$3000,$B61&amp;"|"&amp;$D61,_calc!$A$2:$A$3000,$B$3,_calc!$C$2:$C$3000,R$6)=0,"",SUMIFS(_calc!$E$2:$E$3000,_calc!$AE$2:$AE$3000,$B61&amp;"|"&amp;$D61,_calc!$A$2:$A$3000,$B$3,_calc!$C$2:$C$3000,R$6)))</f>
        <v/>
      </c>
      <c r="S61" s="50" t="str">
        <f>IF(OR($B61="",S$6=""),"",IF(COUNTIFS(_calc!$AE$2:$AE$3000,$B61&amp;"|"&amp;$D61,_calc!$A$2:$A$3000,$B$3,_calc!$C$2:$C$3000,S$6)=0,"",SUMIFS(_calc!$E$2:$E$3000,_calc!$AE$2:$AE$3000,$B61&amp;"|"&amp;$D61,_calc!$A$2:$A$3000,$B$3,_calc!$C$2:$C$3000,S$6)))</f>
        <v/>
      </c>
      <c r="T61" s="50" t="str">
        <f>IF(OR($B61="",T$6=""),"",IF(COUNTIFS(_calc!$AE$2:$AE$3000,$B61&amp;"|"&amp;$D61,_calc!$A$2:$A$3000,$B$3,_calc!$C$2:$C$3000,T$6)=0,"",SUMIFS(_calc!$E$2:$E$3000,_calc!$AE$2:$AE$3000,$B61&amp;"|"&amp;$D61,_calc!$A$2:$A$3000,$B$3,_calc!$C$2:$C$3000,T$6)))</f>
        <v/>
      </c>
      <c r="U61" s="50" t="str">
        <f>IF(OR($B61="",U$6=""),"",IF(COUNTIFS(_calc!$AE$2:$AE$3000,$B61&amp;"|"&amp;$D61,_calc!$A$2:$A$3000,$B$3,_calc!$C$2:$C$3000,U$6)=0,"",SUMIFS(_calc!$E$2:$E$3000,_calc!$AE$2:$AE$3000,$B61&amp;"|"&amp;$D61,_calc!$A$2:$A$3000,$B$3,_calc!$C$2:$C$3000,U$6)))</f>
        <v/>
      </c>
      <c r="V61" s="50" t="str">
        <f>IF(OR($B61="",V$6=""),"",IF(COUNTIFS(_calc!$AE$2:$AE$3000,$B61&amp;"|"&amp;$D61,_calc!$A$2:$A$3000,$B$3,_calc!$C$2:$C$3000,V$6)=0,"",SUMIFS(_calc!$E$2:$E$3000,_calc!$AE$2:$AE$3000,$B61&amp;"|"&amp;$D61,_calc!$A$2:$A$3000,$B$3,_calc!$C$2:$C$3000,V$6)))</f>
        <v/>
      </c>
      <c r="W61" s="50" t="str">
        <f>IF(OR($B61="",W$6=""),"",IF(COUNTIFS(_calc!$AE$2:$AE$3000,$B61&amp;"|"&amp;$D61,_calc!$A$2:$A$3000,$B$3,_calc!$C$2:$C$3000,W$6)=0,"",SUMIFS(_calc!$E$2:$E$3000,_calc!$AE$2:$AE$3000,$B61&amp;"|"&amp;$D61,_calc!$A$2:$A$3000,$B$3,_calc!$C$2:$C$3000,W$6)))</f>
        <v/>
      </c>
      <c r="X61" s="50" t="str">
        <f>IF(OR($B61="",X$6=""),"",IF(COUNTIFS(_calc!$AE$2:$AE$3000,$B61&amp;"|"&amp;$D61,_calc!$A$2:$A$3000,$B$3,_calc!$C$2:$C$3000,X$6)=0,"",SUMIFS(_calc!$E$2:$E$3000,_calc!$AE$2:$AE$3000,$B61&amp;"|"&amp;$D61,_calc!$A$2:$A$3000,$B$3,_calc!$C$2:$C$3000,X$6)))</f>
        <v/>
      </c>
    </row>
    <row r="62" spans="1:24" x14ac:dyDescent="0.4">
      <c r="A62" s="48">
        <v>56</v>
      </c>
      <c r="B62" s="49" t="str">
        <f>IFERROR(INDEX(_calc!$I$2:$I$3000,MATCH($A62,_calc!$AB$2:$AB$3000,0)),"")</f>
        <v/>
      </c>
      <c r="C62" s="49" t="str">
        <f>IFERROR(INDEX(_calc!$H$2:$H$3000,MATCH($A62,_calc!$AB$2:$AB$3000,0)),"")</f>
        <v/>
      </c>
      <c r="D62" s="49" t="str">
        <f>IFERROR(INDEX(_calc!$K$2:$K$3000,MATCH($A62,_calc!$AB$2:$AB$3000,0)),"")</f>
        <v/>
      </c>
      <c r="E62" s="50" t="str">
        <f>IF(OR($B62="",E$6=""),"",IF(COUNTIFS(_calc!$AE$2:$AE$3000,$B62&amp;"|"&amp;$D62,_calc!$A$2:$A$3000,$B$3,_calc!$C$2:$C$3000,E$6)=0,"",SUMIFS(_calc!$E$2:$E$3000,_calc!$AE$2:$AE$3000,$B62&amp;"|"&amp;$D62,_calc!$A$2:$A$3000,$B$3,_calc!$C$2:$C$3000,E$6)))</f>
        <v/>
      </c>
      <c r="F62" s="50" t="str">
        <f>IF(OR($B62="",F$6=""),"",IF(COUNTIFS(_calc!$AE$2:$AE$3000,$B62&amp;"|"&amp;$D62,_calc!$A$2:$A$3000,$B$3,_calc!$C$2:$C$3000,F$6)=0,"",SUMIFS(_calc!$E$2:$E$3000,_calc!$AE$2:$AE$3000,$B62&amp;"|"&amp;$D62,_calc!$A$2:$A$3000,$B$3,_calc!$C$2:$C$3000,F$6)))</f>
        <v/>
      </c>
      <c r="G62" s="50" t="str">
        <f>IF(OR($B62="",G$6=""),"",IF(COUNTIFS(_calc!$AE$2:$AE$3000,$B62&amp;"|"&amp;$D62,_calc!$A$2:$A$3000,$B$3,_calc!$C$2:$C$3000,G$6)=0,"",SUMIFS(_calc!$E$2:$E$3000,_calc!$AE$2:$AE$3000,$B62&amp;"|"&amp;$D62,_calc!$A$2:$A$3000,$B$3,_calc!$C$2:$C$3000,G$6)))</f>
        <v/>
      </c>
      <c r="H62" s="50" t="str">
        <f>IF(OR($B62="",H$6=""),"",IF(COUNTIFS(_calc!$AE$2:$AE$3000,$B62&amp;"|"&amp;$D62,_calc!$A$2:$A$3000,$B$3,_calc!$C$2:$C$3000,H$6)=0,"",SUMIFS(_calc!$E$2:$E$3000,_calc!$AE$2:$AE$3000,$B62&amp;"|"&amp;$D62,_calc!$A$2:$A$3000,$B$3,_calc!$C$2:$C$3000,H$6)))</f>
        <v/>
      </c>
      <c r="I62" s="50" t="str">
        <f>IF(OR($B62="",I$6=""),"",IF(COUNTIFS(_calc!$AE$2:$AE$3000,$B62&amp;"|"&amp;$D62,_calc!$A$2:$A$3000,$B$3,_calc!$C$2:$C$3000,I$6)=0,"",SUMIFS(_calc!$E$2:$E$3000,_calc!$AE$2:$AE$3000,$B62&amp;"|"&amp;$D62,_calc!$A$2:$A$3000,$B$3,_calc!$C$2:$C$3000,I$6)))</f>
        <v/>
      </c>
      <c r="J62" s="50" t="str">
        <f>IF(OR($B62="",J$6=""),"",IF(COUNTIFS(_calc!$AE$2:$AE$3000,$B62&amp;"|"&amp;$D62,_calc!$A$2:$A$3000,$B$3,_calc!$C$2:$C$3000,J$6)=0,"",SUMIFS(_calc!$E$2:$E$3000,_calc!$AE$2:$AE$3000,$B62&amp;"|"&amp;$D62,_calc!$A$2:$A$3000,$B$3,_calc!$C$2:$C$3000,J$6)))</f>
        <v/>
      </c>
      <c r="K62" s="50" t="str">
        <f>IF(OR($B62="",K$6=""),"",IF(COUNTIFS(_calc!$AE$2:$AE$3000,$B62&amp;"|"&amp;$D62,_calc!$A$2:$A$3000,$B$3,_calc!$C$2:$C$3000,K$6)=0,"",SUMIFS(_calc!$E$2:$E$3000,_calc!$AE$2:$AE$3000,$B62&amp;"|"&amp;$D62,_calc!$A$2:$A$3000,$B$3,_calc!$C$2:$C$3000,K$6)))</f>
        <v/>
      </c>
      <c r="L62" s="50" t="str">
        <f>IF(OR($B62="",L$6=""),"",IF(COUNTIFS(_calc!$AE$2:$AE$3000,$B62&amp;"|"&amp;$D62,_calc!$A$2:$A$3000,$B$3,_calc!$C$2:$C$3000,L$6)=0,"",SUMIFS(_calc!$E$2:$E$3000,_calc!$AE$2:$AE$3000,$B62&amp;"|"&amp;$D62,_calc!$A$2:$A$3000,$B$3,_calc!$C$2:$C$3000,L$6)))</f>
        <v/>
      </c>
      <c r="M62" s="50" t="str">
        <f>IF(OR($B62="",M$6=""),"",IF(COUNTIFS(_calc!$AE$2:$AE$3000,$B62&amp;"|"&amp;$D62,_calc!$A$2:$A$3000,$B$3,_calc!$C$2:$C$3000,M$6)=0,"",SUMIFS(_calc!$E$2:$E$3000,_calc!$AE$2:$AE$3000,$B62&amp;"|"&amp;$D62,_calc!$A$2:$A$3000,$B$3,_calc!$C$2:$C$3000,M$6)))</f>
        <v/>
      </c>
      <c r="N62" s="50" t="str">
        <f>IF(OR($B62="",N$6=""),"",IF(COUNTIFS(_calc!$AE$2:$AE$3000,$B62&amp;"|"&amp;$D62,_calc!$A$2:$A$3000,$B$3,_calc!$C$2:$C$3000,N$6)=0,"",SUMIFS(_calc!$E$2:$E$3000,_calc!$AE$2:$AE$3000,$B62&amp;"|"&amp;$D62,_calc!$A$2:$A$3000,$B$3,_calc!$C$2:$C$3000,N$6)))</f>
        <v/>
      </c>
      <c r="O62" s="50" t="str">
        <f>IF(OR($B62="",O$6=""),"",IF(COUNTIFS(_calc!$AE$2:$AE$3000,$B62&amp;"|"&amp;$D62,_calc!$A$2:$A$3000,$B$3,_calc!$C$2:$C$3000,O$6)=0,"",SUMIFS(_calc!$E$2:$E$3000,_calc!$AE$2:$AE$3000,$B62&amp;"|"&amp;$D62,_calc!$A$2:$A$3000,$B$3,_calc!$C$2:$C$3000,O$6)))</f>
        <v/>
      </c>
      <c r="P62" s="50" t="str">
        <f>IF(OR($B62="",P$6=""),"",IF(COUNTIFS(_calc!$AE$2:$AE$3000,$B62&amp;"|"&amp;$D62,_calc!$A$2:$A$3000,$B$3,_calc!$C$2:$C$3000,P$6)=0,"",SUMIFS(_calc!$E$2:$E$3000,_calc!$AE$2:$AE$3000,$B62&amp;"|"&amp;$D62,_calc!$A$2:$A$3000,$B$3,_calc!$C$2:$C$3000,P$6)))</f>
        <v/>
      </c>
      <c r="Q62" s="50" t="str">
        <f>IF(OR($B62="",Q$6=""),"",IF(COUNTIFS(_calc!$AE$2:$AE$3000,$B62&amp;"|"&amp;$D62,_calc!$A$2:$A$3000,$B$3,_calc!$C$2:$C$3000,Q$6)=0,"",SUMIFS(_calc!$E$2:$E$3000,_calc!$AE$2:$AE$3000,$B62&amp;"|"&amp;$D62,_calc!$A$2:$A$3000,$B$3,_calc!$C$2:$C$3000,Q$6)))</f>
        <v/>
      </c>
      <c r="R62" s="50" t="str">
        <f>IF(OR($B62="",R$6=""),"",IF(COUNTIFS(_calc!$AE$2:$AE$3000,$B62&amp;"|"&amp;$D62,_calc!$A$2:$A$3000,$B$3,_calc!$C$2:$C$3000,R$6)=0,"",SUMIFS(_calc!$E$2:$E$3000,_calc!$AE$2:$AE$3000,$B62&amp;"|"&amp;$D62,_calc!$A$2:$A$3000,$B$3,_calc!$C$2:$C$3000,R$6)))</f>
        <v/>
      </c>
      <c r="S62" s="50" t="str">
        <f>IF(OR($B62="",S$6=""),"",IF(COUNTIFS(_calc!$AE$2:$AE$3000,$B62&amp;"|"&amp;$D62,_calc!$A$2:$A$3000,$B$3,_calc!$C$2:$C$3000,S$6)=0,"",SUMIFS(_calc!$E$2:$E$3000,_calc!$AE$2:$AE$3000,$B62&amp;"|"&amp;$D62,_calc!$A$2:$A$3000,$B$3,_calc!$C$2:$C$3000,S$6)))</f>
        <v/>
      </c>
      <c r="T62" s="50" t="str">
        <f>IF(OR($B62="",T$6=""),"",IF(COUNTIFS(_calc!$AE$2:$AE$3000,$B62&amp;"|"&amp;$D62,_calc!$A$2:$A$3000,$B$3,_calc!$C$2:$C$3000,T$6)=0,"",SUMIFS(_calc!$E$2:$E$3000,_calc!$AE$2:$AE$3000,$B62&amp;"|"&amp;$D62,_calc!$A$2:$A$3000,$B$3,_calc!$C$2:$C$3000,T$6)))</f>
        <v/>
      </c>
      <c r="U62" s="50" t="str">
        <f>IF(OR($B62="",U$6=""),"",IF(COUNTIFS(_calc!$AE$2:$AE$3000,$B62&amp;"|"&amp;$D62,_calc!$A$2:$A$3000,$B$3,_calc!$C$2:$C$3000,U$6)=0,"",SUMIFS(_calc!$E$2:$E$3000,_calc!$AE$2:$AE$3000,$B62&amp;"|"&amp;$D62,_calc!$A$2:$A$3000,$B$3,_calc!$C$2:$C$3000,U$6)))</f>
        <v/>
      </c>
      <c r="V62" s="50" t="str">
        <f>IF(OR($B62="",V$6=""),"",IF(COUNTIFS(_calc!$AE$2:$AE$3000,$B62&amp;"|"&amp;$D62,_calc!$A$2:$A$3000,$B$3,_calc!$C$2:$C$3000,V$6)=0,"",SUMIFS(_calc!$E$2:$E$3000,_calc!$AE$2:$AE$3000,$B62&amp;"|"&amp;$D62,_calc!$A$2:$A$3000,$B$3,_calc!$C$2:$C$3000,V$6)))</f>
        <v/>
      </c>
      <c r="W62" s="50" t="str">
        <f>IF(OR($B62="",W$6=""),"",IF(COUNTIFS(_calc!$AE$2:$AE$3000,$B62&amp;"|"&amp;$D62,_calc!$A$2:$A$3000,$B$3,_calc!$C$2:$C$3000,W$6)=0,"",SUMIFS(_calc!$E$2:$E$3000,_calc!$AE$2:$AE$3000,$B62&amp;"|"&amp;$D62,_calc!$A$2:$A$3000,$B$3,_calc!$C$2:$C$3000,W$6)))</f>
        <v/>
      </c>
      <c r="X62" s="50" t="str">
        <f>IF(OR($B62="",X$6=""),"",IF(COUNTIFS(_calc!$AE$2:$AE$3000,$B62&amp;"|"&amp;$D62,_calc!$A$2:$A$3000,$B$3,_calc!$C$2:$C$3000,X$6)=0,"",SUMIFS(_calc!$E$2:$E$3000,_calc!$AE$2:$AE$3000,$B62&amp;"|"&amp;$D62,_calc!$A$2:$A$3000,$B$3,_calc!$C$2:$C$3000,X$6)))</f>
        <v/>
      </c>
    </row>
    <row r="63" spans="1:24" x14ac:dyDescent="0.4">
      <c r="A63" s="48">
        <v>57</v>
      </c>
      <c r="B63" s="49" t="str">
        <f>IFERROR(INDEX(_calc!$I$2:$I$3000,MATCH($A63,_calc!$AB$2:$AB$3000,0)),"")</f>
        <v/>
      </c>
      <c r="C63" s="49" t="str">
        <f>IFERROR(INDEX(_calc!$H$2:$H$3000,MATCH($A63,_calc!$AB$2:$AB$3000,0)),"")</f>
        <v/>
      </c>
      <c r="D63" s="49" t="str">
        <f>IFERROR(INDEX(_calc!$K$2:$K$3000,MATCH($A63,_calc!$AB$2:$AB$3000,0)),"")</f>
        <v/>
      </c>
      <c r="E63" s="50" t="str">
        <f>IF(OR($B63="",E$6=""),"",IF(COUNTIFS(_calc!$AE$2:$AE$3000,$B63&amp;"|"&amp;$D63,_calc!$A$2:$A$3000,$B$3,_calc!$C$2:$C$3000,E$6)=0,"",SUMIFS(_calc!$E$2:$E$3000,_calc!$AE$2:$AE$3000,$B63&amp;"|"&amp;$D63,_calc!$A$2:$A$3000,$B$3,_calc!$C$2:$C$3000,E$6)))</f>
        <v/>
      </c>
      <c r="F63" s="50" t="str">
        <f>IF(OR($B63="",F$6=""),"",IF(COUNTIFS(_calc!$AE$2:$AE$3000,$B63&amp;"|"&amp;$D63,_calc!$A$2:$A$3000,$B$3,_calc!$C$2:$C$3000,F$6)=0,"",SUMIFS(_calc!$E$2:$E$3000,_calc!$AE$2:$AE$3000,$B63&amp;"|"&amp;$D63,_calc!$A$2:$A$3000,$B$3,_calc!$C$2:$C$3000,F$6)))</f>
        <v/>
      </c>
      <c r="G63" s="50" t="str">
        <f>IF(OR($B63="",G$6=""),"",IF(COUNTIFS(_calc!$AE$2:$AE$3000,$B63&amp;"|"&amp;$D63,_calc!$A$2:$A$3000,$B$3,_calc!$C$2:$C$3000,G$6)=0,"",SUMIFS(_calc!$E$2:$E$3000,_calc!$AE$2:$AE$3000,$B63&amp;"|"&amp;$D63,_calc!$A$2:$A$3000,$B$3,_calc!$C$2:$C$3000,G$6)))</f>
        <v/>
      </c>
      <c r="H63" s="50" t="str">
        <f>IF(OR($B63="",H$6=""),"",IF(COUNTIFS(_calc!$AE$2:$AE$3000,$B63&amp;"|"&amp;$D63,_calc!$A$2:$A$3000,$B$3,_calc!$C$2:$C$3000,H$6)=0,"",SUMIFS(_calc!$E$2:$E$3000,_calc!$AE$2:$AE$3000,$B63&amp;"|"&amp;$D63,_calc!$A$2:$A$3000,$B$3,_calc!$C$2:$C$3000,H$6)))</f>
        <v/>
      </c>
      <c r="I63" s="50" t="str">
        <f>IF(OR($B63="",I$6=""),"",IF(COUNTIFS(_calc!$AE$2:$AE$3000,$B63&amp;"|"&amp;$D63,_calc!$A$2:$A$3000,$B$3,_calc!$C$2:$C$3000,I$6)=0,"",SUMIFS(_calc!$E$2:$E$3000,_calc!$AE$2:$AE$3000,$B63&amp;"|"&amp;$D63,_calc!$A$2:$A$3000,$B$3,_calc!$C$2:$C$3000,I$6)))</f>
        <v/>
      </c>
      <c r="J63" s="50" t="str">
        <f>IF(OR($B63="",J$6=""),"",IF(COUNTIFS(_calc!$AE$2:$AE$3000,$B63&amp;"|"&amp;$D63,_calc!$A$2:$A$3000,$B$3,_calc!$C$2:$C$3000,J$6)=0,"",SUMIFS(_calc!$E$2:$E$3000,_calc!$AE$2:$AE$3000,$B63&amp;"|"&amp;$D63,_calc!$A$2:$A$3000,$B$3,_calc!$C$2:$C$3000,J$6)))</f>
        <v/>
      </c>
      <c r="K63" s="50" t="str">
        <f>IF(OR($B63="",K$6=""),"",IF(COUNTIFS(_calc!$AE$2:$AE$3000,$B63&amp;"|"&amp;$D63,_calc!$A$2:$A$3000,$B$3,_calc!$C$2:$C$3000,K$6)=0,"",SUMIFS(_calc!$E$2:$E$3000,_calc!$AE$2:$AE$3000,$B63&amp;"|"&amp;$D63,_calc!$A$2:$A$3000,$B$3,_calc!$C$2:$C$3000,K$6)))</f>
        <v/>
      </c>
      <c r="L63" s="50" t="str">
        <f>IF(OR($B63="",L$6=""),"",IF(COUNTIFS(_calc!$AE$2:$AE$3000,$B63&amp;"|"&amp;$D63,_calc!$A$2:$A$3000,$B$3,_calc!$C$2:$C$3000,L$6)=0,"",SUMIFS(_calc!$E$2:$E$3000,_calc!$AE$2:$AE$3000,$B63&amp;"|"&amp;$D63,_calc!$A$2:$A$3000,$B$3,_calc!$C$2:$C$3000,L$6)))</f>
        <v/>
      </c>
      <c r="M63" s="50" t="str">
        <f>IF(OR($B63="",M$6=""),"",IF(COUNTIFS(_calc!$AE$2:$AE$3000,$B63&amp;"|"&amp;$D63,_calc!$A$2:$A$3000,$B$3,_calc!$C$2:$C$3000,M$6)=0,"",SUMIFS(_calc!$E$2:$E$3000,_calc!$AE$2:$AE$3000,$B63&amp;"|"&amp;$D63,_calc!$A$2:$A$3000,$B$3,_calc!$C$2:$C$3000,M$6)))</f>
        <v/>
      </c>
      <c r="N63" s="50" t="str">
        <f>IF(OR($B63="",N$6=""),"",IF(COUNTIFS(_calc!$AE$2:$AE$3000,$B63&amp;"|"&amp;$D63,_calc!$A$2:$A$3000,$B$3,_calc!$C$2:$C$3000,N$6)=0,"",SUMIFS(_calc!$E$2:$E$3000,_calc!$AE$2:$AE$3000,$B63&amp;"|"&amp;$D63,_calc!$A$2:$A$3000,$B$3,_calc!$C$2:$C$3000,N$6)))</f>
        <v/>
      </c>
      <c r="O63" s="50" t="str">
        <f>IF(OR($B63="",O$6=""),"",IF(COUNTIFS(_calc!$AE$2:$AE$3000,$B63&amp;"|"&amp;$D63,_calc!$A$2:$A$3000,$B$3,_calc!$C$2:$C$3000,O$6)=0,"",SUMIFS(_calc!$E$2:$E$3000,_calc!$AE$2:$AE$3000,$B63&amp;"|"&amp;$D63,_calc!$A$2:$A$3000,$B$3,_calc!$C$2:$C$3000,O$6)))</f>
        <v/>
      </c>
      <c r="P63" s="50" t="str">
        <f>IF(OR($B63="",P$6=""),"",IF(COUNTIFS(_calc!$AE$2:$AE$3000,$B63&amp;"|"&amp;$D63,_calc!$A$2:$A$3000,$B$3,_calc!$C$2:$C$3000,P$6)=0,"",SUMIFS(_calc!$E$2:$E$3000,_calc!$AE$2:$AE$3000,$B63&amp;"|"&amp;$D63,_calc!$A$2:$A$3000,$B$3,_calc!$C$2:$C$3000,P$6)))</f>
        <v/>
      </c>
      <c r="Q63" s="50" t="str">
        <f>IF(OR($B63="",Q$6=""),"",IF(COUNTIFS(_calc!$AE$2:$AE$3000,$B63&amp;"|"&amp;$D63,_calc!$A$2:$A$3000,$B$3,_calc!$C$2:$C$3000,Q$6)=0,"",SUMIFS(_calc!$E$2:$E$3000,_calc!$AE$2:$AE$3000,$B63&amp;"|"&amp;$D63,_calc!$A$2:$A$3000,$B$3,_calc!$C$2:$C$3000,Q$6)))</f>
        <v/>
      </c>
      <c r="R63" s="50" t="str">
        <f>IF(OR($B63="",R$6=""),"",IF(COUNTIFS(_calc!$AE$2:$AE$3000,$B63&amp;"|"&amp;$D63,_calc!$A$2:$A$3000,$B$3,_calc!$C$2:$C$3000,R$6)=0,"",SUMIFS(_calc!$E$2:$E$3000,_calc!$AE$2:$AE$3000,$B63&amp;"|"&amp;$D63,_calc!$A$2:$A$3000,$B$3,_calc!$C$2:$C$3000,R$6)))</f>
        <v/>
      </c>
      <c r="S63" s="50" t="str">
        <f>IF(OR($B63="",S$6=""),"",IF(COUNTIFS(_calc!$AE$2:$AE$3000,$B63&amp;"|"&amp;$D63,_calc!$A$2:$A$3000,$B$3,_calc!$C$2:$C$3000,S$6)=0,"",SUMIFS(_calc!$E$2:$E$3000,_calc!$AE$2:$AE$3000,$B63&amp;"|"&amp;$D63,_calc!$A$2:$A$3000,$B$3,_calc!$C$2:$C$3000,S$6)))</f>
        <v/>
      </c>
      <c r="T63" s="50" t="str">
        <f>IF(OR($B63="",T$6=""),"",IF(COUNTIFS(_calc!$AE$2:$AE$3000,$B63&amp;"|"&amp;$D63,_calc!$A$2:$A$3000,$B$3,_calc!$C$2:$C$3000,T$6)=0,"",SUMIFS(_calc!$E$2:$E$3000,_calc!$AE$2:$AE$3000,$B63&amp;"|"&amp;$D63,_calc!$A$2:$A$3000,$B$3,_calc!$C$2:$C$3000,T$6)))</f>
        <v/>
      </c>
      <c r="U63" s="50" t="str">
        <f>IF(OR($B63="",U$6=""),"",IF(COUNTIFS(_calc!$AE$2:$AE$3000,$B63&amp;"|"&amp;$D63,_calc!$A$2:$A$3000,$B$3,_calc!$C$2:$C$3000,U$6)=0,"",SUMIFS(_calc!$E$2:$E$3000,_calc!$AE$2:$AE$3000,$B63&amp;"|"&amp;$D63,_calc!$A$2:$A$3000,$B$3,_calc!$C$2:$C$3000,U$6)))</f>
        <v/>
      </c>
      <c r="V63" s="50" t="str">
        <f>IF(OR($B63="",V$6=""),"",IF(COUNTIFS(_calc!$AE$2:$AE$3000,$B63&amp;"|"&amp;$D63,_calc!$A$2:$A$3000,$B$3,_calc!$C$2:$C$3000,V$6)=0,"",SUMIFS(_calc!$E$2:$E$3000,_calc!$AE$2:$AE$3000,$B63&amp;"|"&amp;$D63,_calc!$A$2:$A$3000,$B$3,_calc!$C$2:$C$3000,V$6)))</f>
        <v/>
      </c>
      <c r="W63" s="50" t="str">
        <f>IF(OR($B63="",W$6=""),"",IF(COUNTIFS(_calc!$AE$2:$AE$3000,$B63&amp;"|"&amp;$D63,_calc!$A$2:$A$3000,$B$3,_calc!$C$2:$C$3000,W$6)=0,"",SUMIFS(_calc!$E$2:$E$3000,_calc!$AE$2:$AE$3000,$B63&amp;"|"&amp;$D63,_calc!$A$2:$A$3000,$B$3,_calc!$C$2:$C$3000,W$6)))</f>
        <v/>
      </c>
      <c r="X63" s="50" t="str">
        <f>IF(OR($B63="",X$6=""),"",IF(COUNTIFS(_calc!$AE$2:$AE$3000,$B63&amp;"|"&amp;$D63,_calc!$A$2:$A$3000,$B$3,_calc!$C$2:$C$3000,X$6)=0,"",SUMIFS(_calc!$E$2:$E$3000,_calc!$AE$2:$AE$3000,$B63&amp;"|"&amp;$D63,_calc!$A$2:$A$3000,$B$3,_calc!$C$2:$C$3000,X$6)))</f>
        <v/>
      </c>
    </row>
    <row r="64" spans="1:24" x14ac:dyDescent="0.4">
      <c r="A64" s="48">
        <v>58</v>
      </c>
      <c r="B64" s="49" t="str">
        <f>IFERROR(INDEX(_calc!$I$2:$I$3000,MATCH($A64,_calc!$AB$2:$AB$3000,0)),"")</f>
        <v/>
      </c>
      <c r="C64" s="49" t="str">
        <f>IFERROR(INDEX(_calc!$H$2:$H$3000,MATCH($A64,_calc!$AB$2:$AB$3000,0)),"")</f>
        <v/>
      </c>
      <c r="D64" s="49" t="str">
        <f>IFERROR(INDEX(_calc!$K$2:$K$3000,MATCH($A64,_calc!$AB$2:$AB$3000,0)),"")</f>
        <v/>
      </c>
      <c r="E64" s="50" t="str">
        <f>IF(OR($B64="",E$6=""),"",IF(COUNTIFS(_calc!$AE$2:$AE$3000,$B64&amp;"|"&amp;$D64,_calc!$A$2:$A$3000,$B$3,_calc!$C$2:$C$3000,E$6)=0,"",SUMIFS(_calc!$E$2:$E$3000,_calc!$AE$2:$AE$3000,$B64&amp;"|"&amp;$D64,_calc!$A$2:$A$3000,$B$3,_calc!$C$2:$C$3000,E$6)))</f>
        <v/>
      </c>
      <c r="F64" s="50" t="str">
        <f>IF(OR($B64="",F$6=""),"",IF(COUNTIFS(_calc!$AE$2:$AE$3000,$B64&amp;"|"&amp;$D64,_calc!$A$2:$A$3000,$B$3,_calc!$C$2:$C$3000,F$6)=0,"",SUMIFS(_calc!$E$2:$E$3000,_calc!$AE$2:$AE$3000,$B64&amp;"|"&amp;$D64,_calc!$A$2:$A$3000,$B$3,_calc!$C$2:$C$3000,F$6)))</f>
        <v/>
      </c>
      <c r="G64" s="50" t="str">
        <f>IF(OR($B64="",G$6=""),"",IF(COUNTIFS(_calc!$AE$2:$AE$3000,$B64&amp;"|"&amp;$D64,_calc!$A$2:$A$3000,$B$3,_calc!$C$2:$C$3000,G$6)=0,"",SUMIFS(_calc!$E$2:$E$3000,_calc!$AE$2:$AE$3000,$B64&amp;"|"&amp;$D64,_calc!$A$2:$A$3000,$B$3,_calc!$C$2:$C$3000,G$6)))</f>
        <v/>
      </c>
      <c r="H64" s="50" t="str">
        <f>IF(OR($B64="",H$6=""),"",IF(COUNTIFS(_calc!$AE$2:$AE$3000,$B64&amp;"|"&amp;$D64,_calc!$A$2:$A$3000,$B$3,_calc!$C$2:$C$3000,H$6)=0,"",SUMIFS(_calc!$E$2:$E$3000,_calc!$AE$2:$AE$3000,$B64&amp;"|"&amp;$D64,_calc!$A$2:$A$3000,$B$3,_calc!$C$2:$C$3000,H$6)))</f>
        <v/>
      </c>
      <c r="I64" s="50" t="str">
        <f>IF(OR($B64="",I$6=""),"",IF(COUNTIFS(_calc!$AE$2:$AE$3000,$B64&amp;"|"&amp;$D64,_calc!$A$2:$A$3000,$B$3,_calc!$C$2:$C$3000,I$6)=0,"",SUMIFS(_calc!$E$2:$E$3000,_calc!$AE$2:$AE$3000,$B64&amp;"|"&amp;$D64,_calc!$A$2:$A$3000,$B$3,_calc!$C$2:$C$3000,I$6)))</f>
        <v/>
      </c>
      <c r="J64" s="50" t="str">
        <f>IF(OR($B64="",J$6=""),"",IF(COUNTIFS(_calc!$AE$2:$AE$3000,$B64&amp;"|"&amp;$D64,_calc!$A$2:$A$3000,$B$3,_calc!$C$2:$C$3000,J$6)=0,"",SUMIFS(_calc!$E$2:$E$3000,_calc!$AE$2:$AE$3000,$B64&amp;"|"&amp;$D64,_calc!$A$2:$A$3000,$B$3,_calc!$C$2:$C$3000,J$6)))</f>
        <v/>
      </c>
      <c r="K64" s="50" t="str">
        <f>IF(OR($B64="",K$6=""),"",IF(COUNTIFS(_calc!$AE$2:$AE$3000,$B64&amp;"|"&amp;$D64,_calc!$A$2:$A$3000,$B$3,_calc!$C$2:$C$3000,K$6)=0,"",SUMIFS(_calc!$E$2:$E$3000,_calc!$AE$2:$AE$3000,$B64&amp;"|"&amp;$D64,_calc!$A$2:$A$3000,$B$3,_calc!$C$2:$C$3000,K$6)))</f>
        <v/>
      </c>
      <c r="L64" s="50" t="str">
        <f>IF(OR($B64="",L$6=""),"",IF(COUNTIFS(_calc!$AE$2:$AE$3000,$B64&amp;"|"&amp;$D64,_calc!$A$2:$A$3000,$B$3,_calc!$C$2:$C$3000,L$6)=0,"",SUMIFS(_calc!$E$2:$E$3000,_calc!$AE$2:$AE$3000,$B64&amp;"|"&amp;$D64,_calc!$A$2:$A$3000,$B$3,_calc!$C$2:$C$3000,L$6)))</f>
        <v/>
      </c>
      <c r="M64" s="50" t="str">
        <f>IF(OR($B64="",M$6=""),"",IF(COUNTIFS(_calc!$AE$2:$AE$3000,$B64&amp;"|"&amp;$D64,_calc!$A$2:$A$3000,$B$3,_calc!$C$2:$C$3000,M$6)=0,"",SUMIFS(_calc!$E$2:$E$3000,_calc!$AE$2:$AE$3000,$B64&amp;"|"&amp;$D64,_calc!$A$2:$A$3000,$B$3,_calc!$C$2:$C$3000,M$6)))</f>
        <v/>
      </c>
      <c r="N64" s="50" t="str">
        <f>IF(OR($B64="",N$6=""),"",IF(COUNTIFS(_calc!$AE$2:$AE$3000,$B64&amp;"|"&amp;$D64,_calc!$A$2:$A$3000,$B$3,_calc!$C$2:$C$3000,N$6)=0,"",SUMIFS(_calc!$E$2:$E$3000,_calc!$AE$2:$AE$3000,$B64&amp;"|"&amp;$D64,_calc!$A$2:$A$3000,$B$3,_calc!$C$2:$C$3000,N$6)))</f>
        <v/>
      </c>
      <c r="O64" s="50" t="str">
        <f>IF(OR($B64="",O$6=""),"",IF(COUNTIFS(_calc!$AE$2:$AE$3000,$B64&amp;"|"&amp;$D64,_calc!$A$2:$A$3000,$B$3,_calc!$C$2:$C$3000,O$6)=0,"",SUMIFS(_calc!$E$2:$E$3000,_calc!$AE$2:$AE$3000,$B64&amp;"|"&amp;$D64,_calc!$A$2:$A$3000,$B$3,_calc!$C$2:$C$3000,O$6)))</f>
        <v/>
      </c>
      <c r="P64" s="50" t="str">
        <f>IF(OR($B64="",P$6=""),"",IF(COUNTIFS(_calc!$AE$2:$AE$3000,$B64&amp;"|"&amp;$D64,_calc!$A$2:$A$3000,$B$3,_calc!$C$2:$C$3000,P$6)=0,"",SUMIFS(_calc!$E$2:$E$3000,_calc!$AE$2:$AE$3000,$B64&amp;"|"&amp;$D64,_calc!$A$2:$A$3000,$B$3,_calc!$C$2:$C$3000,P$6)))</f>
        <v/>
      </c>
      <c r="Q64" s="50" t="str">
        <f>IF(OR($B64="",Q$6=""),"",IF(COUNTIFS(_calc!$AE$2:$AE$3000,$B64&amp;"|"&amp;$D64,_calc!$A$2:$A$3000,$B$3,_calc!$C$2:$C$3000,Q$6)=0,"",SUMIFS(_calc!$E$2:$E$3000,_calc!$AE$2:$AE$3000,$B64&amp;"|"&amp;$D64,_calc!$A$2:$A$3000,$B$3,_calc!$C$2:$C$3000,Q$6)))</f>
        <v/>
      </c>
      <c r="R64" s="50" t="str">
        <f>IF(OR($B64="",R$6=""),"",IF(COUNTIFS(_calc!$AE$2:$AE$3000,$B64&amp;"|"&amp;$D64,_calc!$A$2:$A$3000,$B$3,_calc!$C$2:$C$3000,R$6)=0,"",SUMIFS(_calc!$E$2:$E$3000,_calc!$AE$2:$AE$3000,$B64&amp;"|"&amp;$D64,_calc!$A$2:$A$3000,$B$3,_calc!$C$2:$C$3000,R$6)))</f>
        <v/>
      </c>
      <c r="S64" s="50" t="str">
        <f>IF(OR($B64="",S$6=""),"",IF(COUNTIFS(_calc!$AE$2:$AE$3000,$B64&amp;"|"&amp;$D64,_calc!$A$2:$A$3000,$B$3,_calc!$C$2:$C$3000,S$6)=0,"",SUMIFS(_calc!$E$2:$E$3000,_calc!$AE$2:$AE$3000,$B64&amp;"|"&amp;$D64,_calc!$A$2:$A$3000,$B$3,_calc!$C$2:$C$3000,S$6)))</f>
        <v/>
      </c>
      <c r="T64" s="50" t="str">
        <f>IF(OR($B64="",T$6=""),"",IF(COUNTIFS(_calc!$AE$2:$AE$3000,$B64&amp;"|"&amp;$D64,_calc!$A$2:$A$3000,$B$3,_calc!$C$2:$C$3000,T$6)=0,"",SUMIFS(_calc!$E$2:$E$3000,_calc!$AE$2:$AE$3000,$B64&amp;"|"&amp;$D64,_calc!$A$2:$A$3000,$B$3,_calc!$C$2:$C$3000,T$6)))</f>
        <v/>
      </c>
      <c r="U64" s="50" t="str">
        <f>IF(OR($B64="",U$6=""),"",IF(COUNTIFS(_calc!$AE$2:$AE$3000,$B64&amp;"|"&amp;$D64,_calc!$A$2:$A$3000,$B$3,_calc!$C$2:$C$3000,U$6)=0,"",SUMIFS(_calc!$E$2:$E$3000,_calc!$AE$2:$AE$3000,$B64&amp;"|"&amp;$D64,_calc!$A$2:$A$3000,$B$3,_calc!$C$2:$C$3000,U$6)))</f>
        <v/>
      </c>
      <c r="V64" s="50" t="str">
        <f>IF(OR($B64="",V$6=""),"",IF(COUNTIFS(_calc!$AE$2:$AE$3000,$B64&amp;"|"&amp;$D64,_calc!$A$2:$A$3000,$B$3,_calc!$C$2:$C$3000,V$6)=0,"",SUMIFS(_calc!$E$2:$E$3000,_calc!$AE$2:$AE$3000,$B64&amp;"|"&amp;$D64,_calc!$A$2:$A$3000,$B$3,_calc!$C$2:$C$3000,V$6)))</f>
        <v/>
      </c>
      <c r="W64" s="50" t="str">
        <f>IF(OR($B64="",W$6=""),"",IF(COUNTIFS(_calc!$AE$2:$AE$3000,$B64&amp;"|"&amp;$D64,_calc!$A$2:$A$3000,$B$3,_calc!$C$2:$C$3000,W$6)=0,"",SUMIFS(_calc!$E$2:$E$3000,_calc!$AE$2:$AE$3000,$B64&amp;"|"&amp;$D64,_calc!$A$2:$A$3000,$B$3,_calc!$C$2:$C$3000,W$6)))</f>
        <v/>
      </c>
      <c r="X64" s="50" t="str">
        <f>IF(OR($B64="",X$6=""),"",IF(COUNTIFS(_calc!$AE$2:$AE$3000,$B64&amp;"|"&amp;$D64,_calc!$A$2:$A$3000,$B$3,_calc!$C$2:$C$3000,X$6)=0,"",SUMIFS(_calc!$E$2:$E$3000,_calc!$AE$2:$AE$3000,$B64&amp;"|"&amp;$D64,_calc!$A$2:$A$3000,$B$3,_calc!$C$2:$C$3000,X$6)))</f>
        <v/>
      </c>
    </row>
    <row r="65" spans="1:24" x14ac:dyDescent="0.4">
      <c r="A65" s="48">
        <v>59</v>
      </c>
      <c r="B65" s="49" t="str">
        <f>IFERROR(INDEX(_calc!$I$2:$I$3000,MATCH($A65,_calc!$AB$2:$AB$3000,0)),"")</f>
        <v/>
      </c>
      <c r="C65" s="49" t="str">
        <f>IFERROR(INDEX(_calc!$H$2:$H$3000,MATCH($A65,_calc!$AB$2:$AB$3000,0)),"")</f>
        <v/>
      </c>
      <c r="D65" s="49" t="str">
        <f>IFERROR(INDEX(_calc!$K$2:$K$3000,MATCH($A65,_calc!$AB$2:$AB$3000,0)),"")</f>
        <v/>
      </c>
      <c r="E65" s="50" t="str">
        <f>IF(OR($B65="",E$6=""),"",IF(COUNTIFS(_calc!$AE$2:$AE$3000,$B65&amp;"|"&amp;$D65,_calc!$A$2:$A$3000,$B$3,_calc!$C$2:$C$3000,E$6)=0,"",SUMIFS(_calc!$E$2:$E$3000,_calc!$AE$2:$AE$3000,$B65&amp;"|"&amp;$D65,_calc!$A$2:$A$3000,$B$3,_calc!$C$2:$C$3000,E$6)))</f>
        <v/>
      </c>
      <c r="F65" s="50" t="str">
        <f>IF(OR($B65="",F$6=""),"",IF(COUNTIFS(_calc!$AE$2:$AE$3000,$B65&amp;"|"&amp;$D65,_calc!$A$2:$A$3000,$B$3,_calc!$C$2:$C$3000,F$6)=0,"",SUMIFS(_calc!$E$2:$E$3000,_calc!$AE$2:$AE$3000,$B65&amp;"|"&amp;$D65,_calc!$A$2:$A$3000,$B$3,_calc!$C$2:$C$3000,F$6)))</f>
        <v/>
      </c>
      <c r="G65" s="50" t="str">
        <f>IF(OR($B65="",G$6=""),"",IF(COUNTIFS(_calc!$AE$2:$AE$3000,$B65&amp;"|"&amp;$D65,_calc!$A$2:$A$3000,$B$3,_calc!$C$2:$C$3000,G$6)=0,"",SUMIFS(_calc!$E$2:$E$3000,_calc!$AE$2:$AE$3000,$B65&amp;"|"&amp;$D65,_calc!$A$2:$A$3000,$B$3,_calc!$C$2:$C$3000,G$6)))</f>
        <v/>
      </c>
      <c r="H65" s="50" t="str">
        <f>IF(OR($B65="",H$6=""),"",IF(COUNTIFS(_calc!$AE$2:$AE$3000,$B65&amp;"|"&amp;$D65,_calc!$A$2:$A$3000,$B$3,_calc!$C$2:$C$3000,H$6)=0,"",SUMIFS(_calc!$E$2:$E$3000,_calc!$AE$2:$AE$3000,$B65&amp;"|"&amp;$D65,_calc!$A$2:$A$3000,$B$3,_calc!$C$2:$C$3000,H$6)))</f>
        <v/>
      </c>
      <c r="I65" s="50" t="str">
        <f>IF(OR($B65="",I$6=""),"",IF(COUNTIFS(_calc!$AE$2:$AE$3000,$B65&amp;"|"&amp;$D65,_calc!$A$2:$A$3000,$B$3,_calc!$C$2:$C$3000,I$6)=0,"",SUMIFS(_calc!$E$2:$E$3000,_calc!$AE$2:$AE$3000,$B65&amp;"|"&amp;$D65,_calc!$A$2:$A$3000,$B$3,_calc!$C$2:$C$3000,I$6)))</f>
        <v/>
      </c>
      <c r="J65" s="50" t="str">
        <f>IF(OR($B65="",J$6=""),"",IF(COUNTIFS(_calc!$AE$2:$AE$3000,$B65&amp;"|"&amp;$D65,_calc!$A$2:$A$3000,$B$3,_calc!$C$2:$C$3000,J$6)=0,"",SUMIFS(_calc!$E$2:$E$3000,_calc!$AE$2:$AE$3000,$B65&amp;"|"&amp;$D65,_calc!$A$2:$A$3000,$B$3,_calc!$C$2:$C$3000,J$6)))</f>
        <v/>
      </c>
      <c r="K65" s="50" t="str">
        <f>IF(OR($B65="",K$6=""),"",IF(COUNTIFS(_calc!$AE$2:$AE$3000,$B65&amp;"|"&amp;$D65,_calc!$A$2:$A$3000,$B$3,_calc!$C$2:$C$3000,K$6)=0,"",SUMIFS(_calc!$E$2:$E$3000,_calc!$AE$2:$AE$3000,$B65&amp;"|"&amp;$D65,_calc!$A$2:$A$3000,$B$3,_calc!$C$2:$C$3000,K$6)))</f>
        <v/>
      </c>
      <c r="L65" s="50" t="str">
        <f>IF(OR($B65="",L$6=""),"",IF(COUNTIFS(_calc!$AE$2:$AE$3000,$B65&amp;"|"&amp;$D65,_calc!$A$2:$A$3000,$B$3,_calc!$C$2:$C$3000,L$6)=0,"",SUMIFS(_calc!$E$2:$E$3000,_calc!$AE$2:$AE$3000,$B65&amp;"|"&amp;$D65,_calc!$A$2:$A$3000,$B$3,_calc!$C$2:$C$3000,L$6)))</f>
        <v/>
      </c>
      <c r="M65" s="50" t="str">
        <f>IF(OR($B65="",M$6=""),"",IF(COUNTIFS(_calc!$AE$2:$AE$3000,$B65&amp;"|"&amp;$D65,_calc!$A$2:$A$3000,$B$3,_calc!$C$2:$C$3000,M$6)=0,"",SUMIFS(_calc!$E$2:$E$3000,_calc!$AE$2:$AE$3000,$B65&amp;"|"&amp;$D65,_calc!$A$2:$A$3000,$B$3,_calc!$C$2:$C$3000,M$6)))</f>
        <v/>
      </c>
      <c r="N65" s="50" t="str">
        <f>IF(OR($B65="",N$6=""),"",IF(COUNTIFS(_calc!$AE$2:$AE$3000,$B65&amp;"|"&amp;$D65,_calc!$A$2:$A$3000,$B$3,_calc!$C$2:$C$3000,N$6)=0,"",SUMIFS(_calc!$E$2:$E$3000,_calc!$AE$2:$AE$3000,$B65&amp;"|"&amp;$D65,_calc!$A$2:$A$3000,$B$3,_calc!$C$2:$C$3000,N$6)))</f>
        <v/>
      </c>
      <c r="O65" s="50" t="str">
        <f>IF(OR($B65="",O$6=""),"",IF(COUNTIFS(_calc!$AE$2:$AE$3000,$B65&amp;"|"&amp;$D65,_calc!$A$2:$A$3000,$B$3,_calc!$C$2:$C$3000,O$6)=0,"",SUMIFS(_calc!$E$2:$E$3000,_calc!$AE$2:$AE$3000,$B65&amp;"|"&amp;$D65,_calc!$A$2:$A$3000,$B$3,_calc!$C$2:$C$3000,O$6)))</f>
        <v/>
      </c>
      <c r="P65" s="50" t="str">
        <f>IF(OR($B65="",P$6=""),"",IF(COUNTIFS(_calc!$AE$2:$AE$3000,$B65&amp;"|"&amp;$D65,_calc!$A$2:$A$3000,$B$3,_calc!$C$2:$C$3000,P$6)=0,"",SUMIFS(_calc!$E$2:$E$3000,_calc!$AE$2:$AE$3000,$B65&amp;"|"&amp;$D65,_calc!$A$2:$A$3000,$B$3,_calc!$C$2:$C$3000,P$6)))</f>
        <v/>
      </c>
      <c r="Q65" s="50" t="str">
        <f>IF(OR($B65="",Q$6=""),"",IF(COUNTIFS(_calc!$AE$2:$AE$3000,$B65&amp;"|"&amp;$D65,_calc!$A$2:$A$3000,$B$3,_calc!$C$2:$C$3000,Q$6)=0,"",SUMIFS(_calc!$E$2:$E$3000,_calc!$AE$2:$AE$3000,$B65&amp;"|"&amp;$D65,_calc!$A$2:$A$3000,$B$3,_calc!$C$2:$C$3000,Q$6)))</f>
        <v/>
      </c>
      <c r="R65" s="50" t="str">
        <f>IF(OR($B65="",R$6=""),"",IF(COUNTIFS(_calc!$AE$2:$AE$3000,$B65&amp;"|"&amp;$D65,_calc!$A$2:$A$3000,$B$3,_calc!$C$2:$C$3000,R$6)=0,"",SUMIFS(_calc!$E$2:$E$3000,_calc!$AE$2:$AE$3000,$B65&amp;"|"&amp;$D65,_calc!$A$2:$A$3000,$B$3,_calc!$C$2:$C$3000,R$6)))</f>
        <v/>
      </c>
      <c r="S65" s="50" t="str">
        <f>IF(OR($B65="",S$6=""),"",IF(COUNTIFS(_calc!$AE$2:$AE$3000,$B65&amp;"|"&amp;$D65,_calc!$A$2:$A$3000,$B$3,_calc!$C$2:$C$3000,S$6)=0,"",SUMIFS(_calc!$E$2:$E$3000,_calc!$AE$2:$AE$3000,$B65&amp;"|"&amp;$D65,_calc!$A$2:$A$3000,$B$3,_calc!$C$2:$C$3000,S$6)))</f>
        <v/>
      </c>
      <c r="T65" s="50" t="str">
        <f>IF(OR($B65="",T$6=""),"",IF(COUNTIFS(_calc!$AE$2:$AE$3000,$B65&amp;"|"&amp;$D65,_calc!$A$2:$A$3000,$B$3,_calc!$C$2:$C$3000,T$6)=0,"",SUMIFS(_calc!$E$2:$E$3000,_calc!$AE$2:$AE$3000,$B65&amp;"|"&amp;$D65,_calc!$A$2:$A$3000,$B$3,_calc!$C$2:$C$3000,T$6)))</f>
        <v/>
      </c>
      <c r="U65" s="50" t="str">
        <f>IF(OR($B65="",U$6=""),"",IF(COUNTIFS(_calc!$AE$2:$AE$3000,$B65&amp;"|"&amp;$D65,_calc!$A$2:$A$3000,$B$3,_calc!$C$2:$C$3000,U$6)=0,"",SUMIFS(_calc!$E$2:$E$3000,_calc!$AE$2:$AE$3000,$B65&amp;"|"&amp;$D65,_calc!$A$2:$A$3000,$B$3,_calc!$C$2:$C$3000,U$6)))</f>
        <v/>
      </c>
      <c r="V65" s="50" t="str">
        <f>IF(OR($B65="",V$6=""),"",IF(COUNTIFS(_calc!$AE$2:$AE$3000,$B65&amp;"|"&amp;$D65,_calc!$A$2:$A$3000,$B$3,_calc!$C$2:$C$3000,V$6)=0,"",SUMIFS(_calc!$E$2:$E$3000,_calc!$AE$2:$AE$3000,$B65&amp;"|"&amp;$D65,_calc!$A$2:$A$3000,$B$3,_calc!$C$2:$C$3000,V$6)))</f>
        <v/>
      </c>
      <c r="W65" s="50" t="str">
        <f>IF(OR($B65="",W$6=""),"",IF(COUNTIFS(_calc!$AE$2:$AE$3000,$B65&amp;"|"&amp;$D65,_calc!$A$2:$A$3000,$B$3,_calc!$C$2:$C$3000,W$6)=0,"",SUMIFS(_calc!$E$2:$E$3000,_calc!$AE$2:$AE$3000,$B65&amp;"|"&amp;$D65,_calc!$A$2:$A$3000,$B$3,_calc!$C$2:$C$3000,W$6)))</f>
        <v/>
      </c>
      <c r="X65" s="50" t="str">
        <f>IF(OR($B65="",X$6=""),"",IF(COUNTIFS(_calc!$AE$2:$AE$3000,$B65&amp;"|"&amp;$D65,_calc!$A$2:$A$3000,$B$3,_calc!$C$2:$C$3000,X$6)=0,"",SUMIFS(_calc!$E$2:$E$3000,_calc!$AE$2:$AE$3000,$B65&amp;"|"&amp;$D65,_calc!$A$2:$A$3000,$B$3,_calc!$C$2:$C$3000,X$6)))</f>
        <v/>
      </c>
    </row>
    <row r="66" spans="1:24" x14ac:dyDescent="0.4">
      <c r="A66" s="48">
        <v>60</v>
      </c>
      <c r="B66" s="49" t="str">
        <f>IFERROR(INDEX(_calc!$I$2:$I$3000,MATCH($A66,_calc!$AB$2:$AB$3000,0)),"")</f>
        <v/>
      </c>
      <c r="C66" s="49" t="str">
        <f>IFERROR(INDEX(_calc!$H$2:$H$3000,MATCH($A66,_calc!$AB$2:$AB$3000,0)),"")</f>
        <v/>
      </c>
      <c r="D66" s="49" t="str">
        <f>IFERROR(INDEX(_calc!$K$2:$K$3000,MATCH($A66,_calc!$AB$2:$AB$3000,0)),"")</f>
        <v/>
      </c>
      <c r="E66" s="50" t="str">
        <f>IF(OR($B66="",E$6=""),"",IF(COUNTIFS(_calc!$AE$2:$AE$3000,$B66&amp;"|"&amp;$D66,_calc!$A$2:$A$3000,$B$3,_calc!$C$2:$C$3000,E$6)=0,"",SUMIFS(_calc!$E$2:$E$3000,_calc!$AE$2:$AE$3000,$B66&amp;"|"&amp;$D66,_calc!$A$2:$A$3000,$B$3,_calc!$C$2:$C$3000,E$6)))</f>
        <v/>
      </c>
      <c r="F66" s="50" t="str">
        <f>IF(OR($B66="",F$6=""),"",IF(COUNTIFS(_calc!$AE$2:$AE$3000,$B66&amp;"|"&amp;$D66,_calc!$A$2:$A$3000,$B$3,_calc!$C$2:$C$3000,F$6)=0,"",SUMIFS(_calc!$E$2:$E$3000,_calc!$AE$2:$AE$3000,$B66&amp;"|"&amp;$D66,_calc!$A$2:$A$3000,$B$3,_calc!$C$2:$C$3000,F$6)))</f>
        <v/>
      </c>
      <c r="G66" s="50" t="str">
        <f>IF(OR($B66="",G$6=""),"",IF(COUNTIFS(_calc!$AE$2:$AE$3000,$B66&amp;"|"&amp;$D66,_calc!$A$2:$A$3000,$B$3,_calc!$C$2:$C$3000,G$6)=0,"",SUMIFS(_calc!$E$2:$E$3000,_calc!$AE$2:$AE$3000,$B66&amp;"|"&amp;$D66,_calc!$A$2:$A$3000,$B$3,_calc!$C$2:$C$3000,G$6)))</f>
        <v/>
      </c>
      <c r="H66" s="50" t="str">
        <f>IF(OR($B66="",H$6=""),"",IF(COUNTIFS(_calc!$AE$2:$AE$3000,$B66&amp;"|"&amp;$D66,_calc!$A$2:$A$3000,$B$3,_calc!$C$2:$C$3000,H$6)=0,"",SUMIFS(_calc!$E$2:$E$3000,_calc!$AE$2:$AE$3000,$B66&amp;"|"&amp;$D66,_calc!$A$2:$A$3000,$B$3,_calc!$C$2:$C$3000,H$6)))</f>
        <v/>
      </c>
      <c r="I66" s="50" t="str">
        <f>IF(OR($B66="",I$6=""),"",IF(COUNTIFS(_calc!$AE$2:$AE$3000,$B66&amp;"|"&amp;$D66,_calc!$A$2:$A$3000,$B$3,_calc!$C$2:$C$3000,I$6)=0,"",SUMIFS(_calc!$E$2:$E$3000,_calc!$AE$2:$AE$3000,$B66&amp;"|"&amp;$D66,_calc!$A$2:$A$3000,$B$3,_calc!$C$2:$C$3000,I$6)))</f>
        <v/>
      </c>
      <c r="J66" s="50" t="str">
        <f>IF(OR($B66="",J$6=""),"",IF(COUNTIFS(_calc!$AE$2:$AE$3000,$B66&amp;"|"&amp;$D66,_calc!$A$2:$A$3000,$B$3,_calc!$C$2:$C$3000,J$6)=0,"",SUMIFS(_calc!$E$2:$E$3000,_calc!$AE$2:$AE$3000,$B66&amp;"|"&amp;$D66,_calc!$A$2:$A$3000,$B$3,_calc!$C$2:$C$3000,J$6)))</f>
        <v/>
      </c>
      <c r="K66" s="50" t="str">
        <f>IF(OR($B66="",K$6=""),"",IF(COUNTIFS(_calc!$AE$2:$AE$3000,$B66&amp;"|"&amp;$D66,_calc!$A$2:$A$3000,$B$3,_calc!$C$2:$C$3000,K$6)=0,"",SUMIFS(_calc!$E$2:$E$3000,_calc!$AE$2:$AE$3000,$B66&amp;"|"&amp;$D66,_calc!$A$2:$A$3000,$B$3,_calc!$C$2:$C$3000,K$6)))</f>
        <v/>
      </c>
      <c r="L66" s="50" t="str">
        <f>IF(OR($B66="",L$6=""),"",IF(COUNTIFS(_calc!$AE$2:$AE$3000,$B66&amp;"|"&amp;$D66,_calc!$A$2:$A$3000,$B$3,_calc!$C$2:$C$3000,L$6)=0,"",SUMIFS(_calc!$E$2:$E$3000,_calc!$AE$2:$AE$3000,$B66&amp;"|"&amp;$D66,_calc!$A$2:$A$3000,$B$3,_calc!$C$2:$C$3000,L$6)))</f>
        <v/>
      </c>
      <c r="M66" s="50" t="str">
        <f>IF(OR($B66="",M$6=""),"",IF(COUNTIFS(_calc!$AE$2:$AE$3000,$B66&amp;"|"&amp;$D66,_calc!$A$2:$A$3000,$B$3,_calc!$C$2:$C$3000,M$6)=0,"",SUMIFS(_calc!$E$2:$E$3000,_calc!$AE$2:$AE$3000,$B66&amp;"|"&amp;$D66,_calc!$A$2:$A$3000,$B$3,_calc!$C$2:$C$3000,M$6)))</f>
        <v/>
      </c>
      <c r="N66" s="50" t="str">
        <f>IF(OR($B66="",N$6=""),"",IF(COUNTIFS(_calc!$AE$2:$AE$3000,$B66&amp;"|"&amp;$D66,_calc!$A$2:$A$3000,$B$3,_calc!$C$2:$C$3000,N$6)=0,"",SUMIFS(_calc!$E$2:$E$3000,_calc!$AE$2:$AE$3000,$B66&amp;"|"&amp;$D66,_calc!$A$2:$A$3000,$B$3,_calc!$C$2:$C$3000,N$6)))</f>
        <v/>
      </c>
      <c r="O66" s="50" t="str">
        <f>IF(OR($B66="",O$6=""),"",IF(COUNTIFS(_calc!$AE$2:$AE$3000,$B66&amp;"|"&amp;$D66,_calc!$A$2:$A$3000,$B$3,_calc!$C$2:$C$3000,O$6)=0,"",SUMIFS(_calc!$E$2:$E$3000,_calc!$AE$2:$AE$3000,$B66&amp;"|"&amp;$D66,_calc!$A$2:$A$3000,$B$3,_calc!$C$2:$C$3000,O$6)))</f>
        <v/>
      </c>
      <c r="P66" s="50" t="str">
        <f>IF(OR($B66="",P$6=""),"",IF(COUNTIFS(_calc!$AE$2:$AE$3000,$B66&amp;"|"&amp;$D66,_calc!$A$2:$A$3000,$B$3,_calc!$C$2:$C$3000,P$6)=0,"",SUMIFS(_calc!$E$2:$E$3000,_calc!$AE$2:$AE$3000,$B66&amp;"|"&amp;$D66,_calc!$A$2:$A$3000,$B$3,_calc!$C$2:$C$3000,P$6)))</f>
        <v/>
      </c>
      <c r="Q66" s="50" t="str">
        <f>IF(OR($B66="",Q$6=""),"",IF(COUNTIFS(_calc!$AE$2:$AE$3000,$B66&amp;"|"&amp;$D66,_calc!$A$2:$A$3000,$B$3,_calc!$C$2:$C$3000,Q$6)=0,"",SUMIFS(_calc!$E$2:$E$3000,_calc!$AE$2:$AE$3000,$B66&amp;"|"&amp;$D66,_calc!$A$2:$A$3000,$B$3,_calc!$C$2:$C$3000,Q$6)))</f>
        <v/>
      </c>
      <c r="R66" s="50" t="str">
        <f>IF(OR($B66="",R$6=""),"",IF(COUNTIFS(_calc!$AE$2:$AE$3000,$B66&amp;"|"&amp;$D66,_calc!$A$2:$A$3000,$B$3,_calc!$C$2:$C$3000,R$6)=0,"",SUMIFS(_calc!$E$2:$E$3000,_calc!$AE$2:$AE$3000,$B66&amp;"|"&amp;$D66,_calc!$A$2:$A$3000,$B$3,_calc!$C$2:$C$3000,R$6)))</f>
        <v/>
      </c>
      <c r="S66" s="50" t="str">
        <f>IF(OR($B66="",S$6=""),"",IF(COUNTIFS(_calc!$AE$2:$AE$3000,$B66&amp;"|"&amp;$D66,_calc!$A$2:$A$3000,$B$3,_calc!$C$2:$C$3000,S$6)=0,"",SUMIFS(_calc!$E$2:$E$3000,_calc!$AE$2:$AE$3000,$B66&amp;"|"&amp;$D66,_calc!$A$2:$A$3000,$B$3,_calc!$C$2:$C$3000,S$6)))</f>
        <v/>
      </c>
      <c r="T66" s="50" t="str">
        <f>IF(OR($B66="",T$6=""),"",IF(COUNTIFS(_calc!$AE$2:$AE$3000,$B66&amp;"|"&amp;$D66,_calc!$A$2:$A$3000,$B$3,_calc!$C$2:$C$3000,T$6)=0,"",SUMIFS(_calc!$E$2:$E$3000,_calc!$AE$2:$AE$3000,$B66&amp;"|"&amp;$D66,_calc!$A$2:$A$3000,$B$3,_calc!$C$2:$C$3000,T$6)))</f>
        <v/>
      </c>
      <c r="U66" s="50" t="str">
        <f>IF(OR($B66="",U$6=""),"",IF(COUNTIFS(_calc!$AE$2:$AE$3000,$B66&amp;"|"&amp;$D66,_calc!$A$2:$A$3000,$B$3,_calc!$C$2:$C$3000,U$6)=0,"",SUMIFS(_calc!$E$2:$E$3000,_calc!$AE$2:$AE$3000,$B66&amp;"|"&amp;$D66,_calc!$A$2:$A$3000,$B$3,_calc!$C$2:$C$3000,U$6)))</f>
        <v/>
      </c>
      <c r="V66" s="50" t="str">
        <f>IF(OR($B66="",V$6=""),"",IF(COUNTIFS(_calc!$AE$2:$AE$3000,$B66&amp;"|"&amp;$D66,_calc!$A$2:$A$3000,$B$3,_calc!$C$2:$C$3000,V$6)=0,"",SUMIFS(_calc!$E$2:$E$3000,_calc!$AE$2:$AE$3000,$B66&amp;"|"&amp;$D66,_calc!$A$2:$A$3000,$B$3,_calc!$C$2:$C$3000,V$6)))</f>
        <v/>
      </c>
      <c r="W66" s="50" t="str">
        <f>IF(OR($B66="",W$6=""),"",IF(COUNTIFS(_calc!$AE$2:$AE$3000,$B66&amp;"|"&amp;$D66,_calc!$A$2:$A$3000,$B$3,_calc!$C$2:$C$3000,W$6)=0,"",SUMIFS(_calc!$E$2:$E$3000,_calc!$AE$2:$AE$3000,$B66&amp;"|"&amp;$D66,_calc!$A$2:$A$3000,$B$3,_calc!$C$2:$C$3000,W$6)))</f>
        <v/>
      </c>
      <c r="X66" s="50" t="str">
        <f>IF(OR($B66="",X$6=""),"",IF(COUNTIFS(_calc!$AE$2:$AE$3000,$B66&amp;"|"&amp;$D66,_calc!$A$2:$A$3000,$B$3,_calc!$C$2:$C$3000,X$6)=0,"",SUMIFS(_calc!$E$2:$E$3000,_calc!$AE$2:$AE$3000,$B66&amp;"|"&amp;$D66,_calc!$A$2:$A$3000,$B$3,_calc!$C$2:$C$3000,X$6)))</f>
        <v/>
      </c>
    </row>
    <row r="67" spans="1:24" x14ac:dyDescent="0.4">
      <c r="A67" s="48">
        <v>61</v>
      </c>
      <c r="B67" s="49" t="str">
        <f>IFERROR(INDEX(_calc!$I$2:$I$3000,MATCH($A67,_calc!$AB$2:$AB$3000,0)),"")</f>
        <v/>
      </c>
      <c r="C67" s="49" t="str">
        <f>IFERROR(INDEX(_calc!$H$2:$H$3000,MATCH($A67,_calc!$AB$2:$AB$3000,0)),"")</f>
        <v/>
      </c>
      <c r="D67" s="49" t="str">
        <f>IFERROR(INDEX(_calc!$K$2:$K$3000,MATCH($A67,_calc!$AB$2:$AB$3000,0)),"")</f>
        <v/>
      </c>
      <c r="E67" s="50" t="str">
        <f>IF(OR($B67="",E$6=""),"",IF(COUNTIFS(_calc!$AE$2:$AE$3000,$B67&amp;"|"&amp;$D67,_calc!$A$2:$A$3000,$B$3,_calc!$C$2:$C$3000,E$6)=0,"",SUMIFS(_calc!$E$2:$E$3000,_calc!$AE$2:$AE$3000,$B67&amp;"|"&amp;$D67,_calc!$A$2:$A$3000,$B$3,_calc!$C$2:$C$3000,E$6)))</f>
        <v/>
      </c>
      <c r="F67" s="50" t="str">
        <f>IF(OR($B67="",F$6=""),"",IF(COUNTIFS(_calc!$AE$2:$AE$3000,$B67&amp;"|"&amp;$D67,_calc!$A$2:$A$3000,$B$3,_calc!$C$2:$C$3000,F$6)=0,"",SUMIFS(_calc!$E$2:$E$3000,_calc!$AE$2:$AE$3000,$B67&amp;"|"&amp;$D67,_calc!$A$2:$A$3000,$B$3,_calc!$C$2:$C$3000,F$6)))</f>
        <v/>
      </c>
      <c r="G67" s="50" t="str">
        <f>IF(OR($B67="",G$6=""),"",IF(COUNTIFS(_calc!$AE$2:$AE$3000,$B67&amp;"|"&amp;$D67,_calc!$A$2:$A$3000,$B$3,_calc!$C$2:$C$3000,G$6)=0,"",SUMIFS(_calc!$E$2:$E$3000,_calc!$AE$2:$AE$3000,$B67&amp;"|"&amp;$D67,_calc!$A$2:$A$3000,$B$3,_calc!$C$2:$C$3000,G$6)))</f>
        <v/>
      </c>
      <c r="H67" s="50" t="str">
        <f>IF(OR($B67="",H$6=""),"",IF(COUNTIFS(_calc!$AE$2:$AE$3000,$B67&amp;"|"&amp;$D67,_calc!$A$2:$A$3000,$B$3,_calc!$C$2:$C$3000,H$6)=0,"",SUMIFS(_calc!$E$2:$E$3000,_calc!$AE$2:$AE$3000,$B67&amp;"|"&amp;$D67,_calc!$A$2:$A$3000,$B$3,_calc!$C$2:$C$3000,H$6)))</f>
        <v/>
      </c>
      <c r="I67" s="50" t="str">
        <f>IF(OR($B67="",I$6=""),"",IF(COUNTIFS(_calc!$AE$2:$AE$3000,$B67&amp;"|"&amp;$D67,_calc!$A$2:$A$3000,$B$3,_calc!$C$2:$C$3000,I$6)=0,"",SUMIFS(_calc!$E$2:$E$3000,_calc!$AE$2:$AE$3000,$B67&amp;"|"&amp;$D67,_calc!$A$2:$A$3000,$B$3,_calc!$C$2:$C$3000,I$6)))</f>
        <v/>
      </c>
      <c r="J67" s="50" t="str">
        <f>IF(OR($B67="",J$6=""),"",IF(COUNTIFS(_calc!$AE$2:$AE$3000,$B67&amp;"|"&amp;$D67,_calc!$A$2:$A$3000,$B$3,_calc!$C$2:$C$3000,J$6)=0,"",SUMIFS(_calc!$E$2:$E$3000,_calc!$AE$2:$AE$3000,$B67&amp;"|"&amp;$D67,_calc!$A$2:$A$3000,$B$3,_calc!$C$2:$C$3000,J$6)))</f>
        <v/>
      </c>
      <c r="K67" s="50" t="str">
        <f>IF(OR($B67="",K$6=""),"",IF(COUNTIFS(_calc!$AE$2:$AE$3000,$B67&amp;"|"&amp;$D67,_calc!$A$2:$A$3000,$B$3,_calc!$C$2:$C$3000,K$6)=0,"",SUMIFS(_calc!$E$2:$E$3000,_calc!$AE$2:$AE$3000,$B67&amp;"|"&amp;$D67,_calc!$A$2:$A$3000,$B$3,_calc!$C$2:$C$3000,K$6)))</f>
        <v/>
      </c>
      <c r="L67" s="50" t="str">
        <f>IF(OR($B67="",L$6=""),"",IF(COUNTIFS(_calc!$AE$2:$AE$3000,$B67&amp;"|"&amp;$D67,_calc!$A$2:$A$3000,$B$3,_calc!$C$2:$C$3000,L$6)=0,"",SUMIFS(_calc!$E$2:$E$3000,_calc!$AE$2:$AE$3000,$B67&amp;"|"&amp;$D67,_calc!$A$2:$A$3000,$B$3,_calc!$C$2:$C$3000,L$6)))</f>
        <v/>
      </c>
      <c r="M67" s="50" t="str">
        <f>IF(OR($B67="",M$6=""),"",IF(COUNTIFS(_calc!$AE$2:$AE$3000,$B67&amp;"|"&amp;$D67,_calc!$A$2:$A$3000,$B$3,_calc!$C$2:$C$3000,M$6)=0,"",SUMIFS(_calc!$E$2:$E$3000,_calc!$AE$2:$AE$3000,$B67&amp;"|"&amp;$D67,_calc!$A$2:$A$3000,$B$3,_calc!$C$2:$C$3000,M$6)))</f>
        <v/>
      </c>
      <c r="N67" s="50" t="str">
        <f>IF(OR($B67="",N$6=""),"",IF(COUNTIFS(_calc!$AE$2:$AE$3000,$B67&amp;"|"&amp;$D67,_calc!$A$2:$A$3000,$B$3,_calc!$C$2:$C$3000,N$6)=0,"",SUMIFS(_calc!$E$2:$E$3000,_calc!$AE$2:$AE$3000,$B67&amp;"|"&amp;$D67,_calc!$A$2:$A$3000,$B$3,_calc!$C$2:$C$3000,N$6)))</f>
        <v/>
      </c>
      <c r="O67" s="50" t="str">
        <f>IF(OR($B67="",O$6=""),"",IF(COUNTIFS(_calc!$AE$2:$AE$3000,$B67&amp;"|"&amp;$D67,_calc!$A$2:$A$3000,$B$3,_calc!$C$2:$C$3000,O$6)=0,"",SUMIFS(_calc!$E$2:$E$3000,_calc!$AE$2:$AE$3000,$B67&amp;"|"&amp;$D67,_calc!$A$2:$A$3000,$B$3,_calc!$C$2:$C$3000,O$6)))</f>
        <v/>
      </c>
      <c r="P67" s="50" t="str">
        <f>IF(OR($B67="",P$6=""),"",IF(COUNTIFS(_calc!$AE$2:$AE$3000,$B67&amp;"|"&amp;$D67,_calc!$A$2:$A$3000,$B$3,_calc!$C$2:$C$3000,P$6)=0,"",SUMIFS(_calc!$E$2:$E$3000,_calc!$AE$2:$AE$3000,$B67&amp;"|"&amp;$D67,_calc!$A$2:$A$3000,$B$3,_calc!$C$2:$C$3000,P$6)))</f>
        <v/>
      </c>
      <c r="Q67" s="50" t="str">
        <f>IF(OR($B67="",Q$6=""),"",IF(COUNTIFS(_calc!$AE$2:$AE$3000,$B67&amp;"|"&amp;$D67,_calc!$A$2:$A$3000,$B$3,_calc!$C$2:$C$3000,Q$6)=0,"",SUMIFS(_calc!$E$2:$E$3000,_calc!$AE$2:$AE$3000,$B67&amp;"|"&amp;$D67,_calc!$A$2:$A$3000,$B$3,_calc!$C$2:$C$3000,Q$6)))</f>
        <v/>
      </c>
      <c r="R67" s="50" t="str">
        <f>IF(OR($B67="",R$6=""),"",IF(COUNTIFS(_calc!$AE$2:$AE$3000,$B67&amp;"|"&amp;$D67,_calc!$A$2:$A$3000,$B$3,_calc!$C$2:$C$3000,R$6)=0,"",SUMIFS(_calc!$E$2:$E$3000,_calc!$AE$2:$AE$3000,$B67&amp;"|"&amp;$D67,_calc!$A$2:$A$3000,$B$3,_calc!$C$2:$C$3000,R$6)))</f>
        <v/>
      </c>
      <c r="S67" s="50" t="str">
        <f>IF(OR($B67="",S$6=""),"",IF(COUNTIFS(_calc!$AE$2:$AE$3000,$B67&amp;"|"&amp;$D67,_calc!$A$2:$A$3000,$B$3,_calc!$C$2:$C$3000,S$6)=0,"",SUMIFS(_calc!$E$2:$E$3000,_calc!$AE$2:$AE$3000,$B67&amp;"|"&amp;$D67,_calc!$A$2:$A$3000,$B$3,_calc!$C$2:$C$3000,S$6)))</f>
        <v/>
      </c>
      <c r="T67" s="50" t="str">
        <f>IF(OR($B67="",T$6=""),"",IF(COUNTIFS(_calc!$AE$2:$AE$3000,$B67&amp;"|"&amp;$D67,_calc!$A$2:$A$3000,$B$3,_calc!$C$2:$C$3000,T$6)=0,"",SUMIFS(_calc!$E$2:$E$3000,_calc!$AE$2:$AE$3000,$B67&amp;"|"&amp;$D67,_calc!$A$2:$A$3000,$B$3,_calc!$C$2:$C$3000,T$6)))</f>
        <v/>
      </c>
      <c r="U67" s="50" t="str">
        <f>IF(OR($B67="",U$6=""),"",IF(COUNTIFS(_calc!$AE$2:$AE$3000,$B67&amp;"|"&amp;$D67,_calc!$A$2:$A$3000,$B$3,_calc!$C$2:$C$3000,U$6)=0,"",SUMIFS(_calc!$E$2:$E$3000,_calc!$AE$2:$AE$3000,$B67&amp;"|"&amp;$D67,_calc!$A$2:$A$3000,$B$3,_calc!$C$2:$C$3000,U$6)))</f>
        <v/>
      </c>
      <c r="V67" s="50" t="str">
        <f>IF(OR($B67="",V$6=""),"",IF(COUNTIFS(_calc!$AE$2:$AE$3000,$B67&amp;"|"&amp;$D67,_calc!$A$2:$A$3000,$B$3,_calc!$C$2:$C$3000,V$6)=0,"",SUMIFS(_calc!$E$2:$E$3000,_calc!$AE$2:$AE$3000,$B67&amp;"|"&amp;$D67,_calc!$A$2:$A$3000,$B$3,_calc!$C$2:$C$3000,V$6)))</f>
        <v/>
      </c>
      <c r="W67" s="50" t="str">
        <f>IF(OR($B67="",W$6=""),"",IF(COUNTIFS(_calc!$AE$2:$AE$3000,$B67&amp;"|"&amp;$D67,_calc!$A$2:$A$3000,$B$3,_calc!$C$2:$C$3000,W$6)=0,"",SUMIFS(_calc!$E$2:$E$3000,_calc!$AE$2:$AE$3000,$B67&amp;"|"&amp;$D67,_calc!$A$2:$A$3000,$B$3,_calc!$C$2:$C$3000,W$6)))</f>
        <v/>
      </c>
      <c r="X67" s="50" t="str">
        <f>IF(OR($B67="",X$6=""),"",IF(COUNTIFS(_calc!$AE$2:$AE$3000,$B67&amp;"|"&amp;$D67,_calc!$A$2:$A$3000,$B$3,_calc!$C$2:$C$3000,X$6)=0,"",SUMIFS(_calc!$E$2:$E$3000,_calc!$AE$2:$AE$3000,$B67&amp;"|"&amp;$D67,_calc!$A$2:$A$3000,$B$3,_calc!$C$2:$C$3000,X$6)))</f>
        <v/>
      </c>
    </row>
    <row r="68" spans="1:24" x14ac:dyDescent="0.4">
      <c r="A68" s="48">
        <v>62</v>
      </c>
      <c r="B68" s="49" t="str">
        <f>IFERROR(INDEX(_calc!$I$2:$I$3000,MATCH($A68,_calc!$AB$2:$AB$3000,0)),"")</f>
        <v/>
      </c>
      <c r="C68" s="49" t="str">
        <f>IFERROR(INDEX(_calc!$H$2:$H$3000,MATCH($A68,_calc!$AB$2:$AB$3000,0)),"")</f>
        <v/>
      </c>
      <c r="D68" s="49" t="str">
        <f>IFERROR(INDEX(_calc!$K$2:$K$3000,MATCH($A68,_calc!$AB$2:$AB$3000,0)),"")</f>
        <v/>
      </c>
      <c r="E68" s="50" t="str">
        <f>IF(OR($B68="",E$6=""),"",IF(COUNTIFS(_calc!$AE$2:$AE$3000,$B68&amp;"|"&amp;$D68,_calc!$A$2:$A$3000,$B$3,_calc!$C$2:$C$3000,E$6)=0,"",SUMIFS(_calc!$E$2:$E$3000,_calc!$AE$2:$AE$3000,$B68&amp;"|"&amp;$D68,_calc!$A$2:$A$3000,$B$3,_calc!$C$2:$C$3000,E$6)))</f>
        <v/>
      </c>
      <c r="F68" s="50" t="str">
        <f>IF(OR($B68="",F$6=""),"",IF(COUNTIFS(_calc!$AE$2:$AE$3000,$B68&amp;"|"&amp;$D68,_calc!$A$2:$A$3000,$B$3,_calc!$C$2:$C$3000,F$6)=0,"",SUMIFS(_calc!$E$2:$E$3000,_calc!$AE$2:$AE$3000,$B68&amp;"|"&amp;$D68,_calc!$A$2:$A$3000,$B$3,_calc!$C$2:$C$3000,F$6)))</f>
        <v/>
      </c>
      <c r="G68" s="50" t="str">
        <f>IF(OR($B68="",G$6=""),"",IF(COUNTIFS(_calc!$AE$2:$AE$3000,$B68&amp;"|"&amp;$D68,_calc!$A$2:$A$3000,$B$3,_calc!$C$2:$C$3000,G$6)=0,"",SUMIFS(_calc!$E$2:$E$3000,_calc!$AE$2:$AE$3000,$B68&amp;"|"&amp;$D68,_calc!$A$2:$A$3000,$B$3,_calc!$C$2:$C$3000,G$6)))</f>
        <v/>
      </c>
      <c r="H68" s="50" t="str">
        <f>IF(OR($B68="",H$6=""),"",IF(COUNTIFS(_calc!$AE$2:$AE$3000,$B68&amp;"|"&amp;$D68,_calc!$A$2:$A$3000,$B$3,_calc!$C$2:$C$3000,H$6)=0,"",SUMIFS(_calc!$E$2:$E$3000,_calc!$AE$2:$AE$3000,$B68&amp;"|"&amp;$D68,_calc!$A$2:$A$3000,$B$3,_calc!$C$2:$C$3000,H$6)))</f>
        <v/>
      </c>
      <c r="I68" s="50" t="str">
        <f>IF(OR($B68="",I$6=""),"",IF(COUNTIFS(_calc!$AE$2:$AE$3000,$B68&amp;"|"&amp;$D68,_calc!$A$2:$A$3000,$B$3,_calc!$C$2:$C$3000,I$6)=0,"",SUMIFS(_calc!$E$2:$E$3000,_calc!$AE$2:$AE$3000,$B68&amp;"|"&amp;$D68,_calc!$A$2:$A$3000,$B$3,_calc!$C$2:$C$3000,I$6)))</f>
        <v/>
      </c>
      <c r="J68" s="50" t="str">
        <f>IF(OR($B68="",J$6=""),"",IF(COUNTIFS(_calc!$AE$2:$AE$3000,$B68&amp;"|"&amp;$D68,_calc!$A$2:$A$3000,$B$3,_calc!$C$2:$C$3000,J$6)=0,"",SUMIFS(_calc!$E$2:$E$3000,_calc!$AE$2:$AE$3000,$B68&amp;"|"&amp;$D68,_calc!$A$2:$A$3000,$B$3,_calc!$C$2:$C$3000,J$6)))</f>
        <v/>
      </c>
      <c r="K68" s="50" t="str">
        <f>IF(OR($B68="",K$6=""),"",IF(COUNTIFS(_calc!$AE$2:$AE$3000,$B68&amp;"|"&amp;$D68,_calc!$A$2:$A$3000,$B$3,_calc!$C$2:$C$3000,K$6)=0,"",SUMIFS(_calc!$E$2:$E$3000,_calc!$AE$2:$AE$3000,$B68&amp;"|"&amp;$D68,_calc!$A$2:$A$3000,$B$3,_calc!$C$2:$C$3000,K$6)))</f>
        <v/>
      </c>
      <c r="L68" s="50" t="str">
        <f>IF(OR($B68="",L$6=""),"",IF(COUNTIFS(_calc!$AE$2:$AE$3000,$B68&amp;"|"&amp;$D68,_calc!$A$2:$A$3000,$B$3,_calc!$C$2:$C$3000,L$6)=0,"",SUMIFS(_calc!$E$2:$E$3000,_calc!$AE$2:$AE$3000,$B68&amp;"|"&amp;$D68,_calc!$A$2:$A$3000,$B$3,_calc!$C$2:$C$3000,L$6)))</f>
        <v/>
      </c>
      <c r="M68" s="50" t="str">
        <f>IF(OR($B68="",M$6=""),"",IF(COUNTIFS(_calc!$AE$2:$AE$3000,$B68&amp;"|"&amp;$D68,_calc!$A$2:$A$3000,$B$3,_calc!$C$2:$C$3000,M$6)=0,"",SUMIFS(_calc!$E$2:$E$3000,_calc!$AE$2:$AE$3000,$B68&amp;"|"&amp;$D68,_calc!$A$2:$A$3000,$B$3,_calc!$C$2:$C$3000,M$6)))</f>
        <v/>
      </c>
      <c r="N68" s="50" t="str">
        <f>IF(OR($B68="",N$6=""),"",IF(COUNTIFS(_calc!$AE$2:$AE$3000,$B68&amp;"|"&amp;$D68,_calc!$A$2:$A$3000,$B$3,_calc!$C$2:$C$3000,N$6)=0,"",SUMIFS(_calc!$E$2:$E$3000,_calc!$AE$2:$AE$3000,$B68&amp;"|"&amp;$D68,_calc!$A$2:$A$3000,$B$3,_calc!$C$2:$C$3000,N$6)))</f>
        <v/>
      </c>
      <c r="O68" s="50" t="str">
        <f>IF(OR($B68="",O$6=""),"",IF(COUNTIFS(_calc!$AE$2:$AE$3000,$B68&amp;"|"&amp;$D68,_calc!$A$2:$A$3000,$B$3,_calc!$C$2:$C$3000,O$6)=0,"",SUMIFS(_calc!$E$2:$E$3000,_calc!$AE$2:$AE$3000,$B68&amp;"|"&amp;$D68,_calc!$A$2:$A$3000,$B$3,_calc!$C$2:$C$3000,O$6)))</f>
        <v/>
      </c>
      <c r="P68" s="50" t="str">
        <f>IF(OR($B68="",P$6=""),"",IF(COUNTIFS(_calc!$AE$2:$AE$3000,$B68&amp;"|"&amp;$D68,_calc!$A$2:$A$3000,$B$3,_calc!$C$2:$C$3000,P$6)=0,"",SUMIFS(_calc!$E$2:$E$3000,_calc!$AE$2:$AE$3000,$B68&amp;"|"&amp;$D68,_calc!$A$2:$A$3000,$B$3,_calc!$C$2:$C$3000,P$6)))</f>
        <v/>
      </c>
      <c r="Q68" s="50" t="str">
        <f>IF(OR($B68="",Q$6=""),"",IF(COUNTIFS(_calc!$AE$2:$AE$3000,$B68&amp;"|"&amp;$D68,_calc!$A$2:$A$3000,$B$3,_calc!$C$2:$C$3000,Q$6)=0,"",SUMIFS(_calc!$E$2:$E$3000,_calc!$AE$2:$AE$3000,$B68&amp;"|"&amp;$D68,_calc!$A$2:$A$3000,$B$3,_calc!$C$2:$C$3000,Q$6)))</f>
        <v/>
      </c>
      <c r="R68" s="50" t="str">
        <f>IF(OR($B68="",R$6=""),"",IF(COUNTIFS(_calc!$AE$2:$AE$3000,$B68&amp;"|"&amp;$D68,_calc!$A$2:$A$3000,$B$3,_calc!$C$2:$C$3000,R$6)=0,"",SUMIFS(_calc!$E$2:$E$3000,_calc!$AE$2:$AE$3000,$B68&amp;"|"&amp;$D68,_calc!$A$2:$A$3000,$B$3,_calc!$C$2:$C$3000,R$6)))</f>
        <v/>
      </c>
      <c r="S68" s="50" t="str">
        <f>IF(OR($B68="",S$6=""),"",IF(COUNTIFS(_calc!$AE$2:$AE$3000,$B68&amp;"|"&amp;$D68,_calc!$A$2:$A$3000,$B$3,_calc!$C$2:$C$3000,S$6)=0,"",SUMIFS(_calc!$E$2:$E$3000,_calc!$AE$2:$AE$3000,$B68&amp;"|"&amp;$D68,_calc!$A$2:$A$3000,$B$3,_calc!$C$2:$C$3000,S$6)))</f>
        <v/>
      </c>
      <c r="T68" s="50" t="str">
        <f>IF(OR($B68="",T$6=""),"",IF(COUNTIFS(_calc!$AE$2:$AE$3000,$B68&amp;"|"&amp;$D68,_calc!$A$2:$A$3000,$B$3,_calc!$C$2:$C$3000,T$6)=0,"",SUMIFS(_calc!$E$2:$E$3000,_calc!$AE$2:$AE$3000,$B68&amp;"|"&amp;$D68,_calc!$A$2:$A$3000,$B$3,_calc!$C$2:$C$3000,T$6)))</f>
        <v/>
      </c>
      <c r="U68" s="50" t="str">
        <f>IF(OR($B68="",U$6=""),"",IF(COUNTIFS(_calc!$AE$2:$AE$3000,$B68&amp;"|"&amp;$D68,_calc!$A$2:$A$3000,$B$3,_calc!$C$2:$C$3000,U$6)=0,"",SUMIFS(_calc!$E$2:$E$3000,_calc!$AE$2:$AE$3000,$B68&amp;"|"&amp;$D68,_calc!$A$2:$A$3000,$B$3,_calc!$C$2:$C$3000,U$6)))</f>
        <v/>
      </c>
      <c r="V68" s="50" t="str">
        <f>IF(OR($B68="",V$6=""),"",IF(COUNTIFS(_calc!$AE$2:$AE$3000,$B68&amp;"|"&amp;$D68,_calc!$A$2:$A$3000,$B$3,_calc!$C$2:$C$3000,V$6)=0,"",SUMIFS(_calc!$E$2:$E$3000,_calc!$AE$2:$AE$3000,$B68&amp;"|"&amp;$D68,_calc!$A$2:$A$3000,$B$3,_calc!$C$2:$C$3000,V$6)))</f>
        <v/>
      </c>
      <c r="W68" s="50" t="str">
        <f>IF(OR($B68="",W$6=""),"",IF(COUNTIFS(_calc!$AE$2:$AE$3000,$B68&amp;"|"&amp;$D68,_calc!$A$2:$A$3000,$B$3,_calc!$C$2:$C$3000,W$6)=0,"",SUMIFS(_calc!$E$2:$E$3000,_calc!$AE$2:$AE$3000,$B68&amp;"|"&amp;$D68,_calc!$A$2:$A$3000,$B$3,_calc!$C$2:$C$3000,W$6)))</f>
        <v/>
      </c>
      <c r="X68" s="50" t="str">
        <f>IF(OR($B68="",X$6=""),"",IF(COUNTIFS(_calc!$AE$2:$AE$3000,$B68&amp;"|"&amp;$D68,_calc!$A$2:$A$3000,$B$3,_calc!$C$2:$C$3000,X$6)=0,"",SUMIFS(_calc!$E$2:$E$3000,_calc!$AE$2:$AE$3000,$B68&amp;"|"&amp;$D68,_calc!$A$2:$A$3000,$B$3,_calc!$C$2:$C$3000,X$6)))</f>
        <v/>
      </c>
    </row>
    <row r="69" spans="1:24" x14ac:dyDescent="0.4">
      <c r="A69" s="48">
        <v>63</v>
      </c>
      <c r="B69" s="49" t="str">
        <f>IFERROR(INDEX(_calc!$I$2:$I$3000,MATCH($A69,_calc!$AB$2:$AB$3000,0)),"")</f>
        <v/>
      </c>
      <c r="C69" s="49" t="str">
        <f>IFERROR(INDEX(_calc!$H$2:$H$3000,MATCH($A69,_calc!$AB$2:$AB$3000,0)),"")</f>
        <v/>
      </c>
      <c r="D69" s="49" t="str">
        <f>IFERROR(INDEX(_calc!$K$2:$K$3000,MATCH($A69,_calc!$AB$2:$AB$3000,0)),"")</f>
        <v/>
      </c>
      <c r="E69" s="50" t="str">
        <f>IF(OR($B69="",E$6=""),"",IF(COUNTIFS(_calc!$AE$2:$AE$3000,$B69&amp;"|"&amp;$D69,_calc!$A$2:$A$3000,$B$3,_calc!$C$2:$C$3000,E$6)=0,"",SUMIFS(_calc!$E$2:$E$3000,_calc!$AE$2:$AE$3000,$B69&amp;"|"&amp;$D69,_calc!$A$2:$A$3000,$B$3,_calc!$C$2:$C$3000,E$6)))</f>
        <v/>
      </c>
      <c r="F69" s="50" t="str">
        <f>IF(OR($B69="",F$6=""),"",IF(COUNTIFS(_calc!$AE$2:$AE$3000,$B69&amp;"|"&amp;$D69,_calc!$A$2:$A$3000,$B$3,_calc!$C$2:$C$3000,F$6)=0,"",SUMIFS(_calc!$E$2:$E$3000,_calc!$AE$2:$AE$3000,$B69&amp;"|"&amp;$D69,_calc!$A$2:$A$3000,$B$3,_calc!$C$2:$C$3000,F$6)))</f>
        <v/>
      </c>
      <c r="G69" s="50" t="str">
        <f>IF(OR($B69="",G$6=""),"",IF(COUNTIFS(_calc!$AE$2:$AE$3000,$B69&amp;"|"&amp;$D69,_calc!$A$2:$A$3000,$B$3,_calc!$C$2:$C$3000,G$6)=0,"",SUMIFS(_calc!$E$2:$E$3000,_calc!$AE$2:$AE$3000,$B69&amp;"|"&amp;$D69,_calc!$A$2:$A$3000,$B$3,_calc!$C$2:$C$3000,G$6)))</f>
        <v/>
      </c>
      <c r="H69" s="50" t="str">
        <f>IF(OR($B69="",H$6=""),"",IF(COUNTIFS(_calc!$AE$2:$AE$3000,$B69&amp;"|"&amp;$D69,_calc!$A$2:$A$3000,$B$3,_calc!$C$2:$C$3000,H$6)=0,"",SUMIFS(_calc!$E$2:$E$3000,_calc!$AE$2:$AE$3000,$B69&amp;"|"&amp;$D69,_calc!$A$2:$A$3000,$B$3,_calc!$C$2:$C$3000,H$6)))</f>
        <v/>
      </c>
      <c r="I69" s="50" t="str">
        <f>IF(OR($B69="",I$6=""),"",IF(COUNTIFS(_calc!$AE$2:$AE$3000,$B69&amp;"|"&amp;$D69,_calc!$A$2:$A$3000,$B$3,_calc!$C$2:$C$3000,I$6)=0,"",SUMIFS(_calc!$E$2:$E$3000,_calc!$AE$2:$AE$3000,$B69&amp;"|"&amp;$D69,_calc!$A$2:$A$3000,$B$3,_calc!$C$2:$C$3000,I$6)))</f>
        <v/>
      </c>
      <c r="J69" s="50" t="str">
        <f>IF(OR($B69="",J$6=""),"",IF(COUNTIFS(_calc!$AE$2:$AE$3000,$B69&amp;"|"&amp;$D69,_calc!$A$2:$A$3000,$B$3,_calc!$C$2:$C$3000,J$6)=0,"",SUMIFS(_calc!$E$2:$E$3000,_calc!$AE$2:$AE$3000,$B69&amp;"|"&amp;$D69,_calc!$A$2:$A$3000,$B$3,_calc!$C$2:$C$3000,J$6)))</f>
        <v/>
      </c>
      <c r="K69" s="50" t="str">
        <f>IF(OR($B69="",K$6=""),"",IF(COUNTIFS(_calc!$AE$2:$AE$3000,$B69&amp;"|"&amp;$D69,_calc!$A$2:$A$3000,$B$3,_calc!$C$2:$C$3000,K$6)=0,"",SUMIFS(_calc!$E$2:$E$3000,_calc!$AE$2:$AE$3000,$B69&amp;"|"&amp;$D69,_calc!$A$2:$A$3000,$B$3,_calc!$C$2:$C$3000,K$6)))</f>
        <v/>
      </c>
      <c r="L69" s="50" t="str">
        <f>IF(OR($B69="",L$6=""),"",IF(COUNTIFS(_calc!$AE$2:$AE$3000,$B69&amp;"|"&amp;$D69,_calc!$A$2:$A$3000,$B$3,_calc!$C$2:$C$3000,L$6)=0,"",SUMIFS(_calc!$E$2:$E$3000,_calc!$AE$2:$AE$3000,$B69&amp;"|"&amp;$D69,_calc!$A$2:$A$3000,$B$3,_calc!$C$2:$C$3000,L$6)))</f>
        <v/>
      </c>
      <c r="M69" s="50" t="str">
        <f>IF(OR($B69="",M$6=""),"",IF(COUNTIFS(_calc!$AE$2:$AE$3000,$B69&amp;"|"&amp;$D69,_calc!$A$2:$A$3000,$B$3,_calc!$C$2:$C$3000,M$6)=0,"",SUMIFS(_calc!$E$2:$E$3000,_calc!$AE$2:$AE$3000,$B69&amp;"|"&amp;$D69,_calc!$A$2:$A$3000,$B$3,_calc!$C$2:$C$3000,M$6)))</f>
        <v/>
      </c>
      <c r="N69" s="50" t="str">
        <f>IF(OR($B69="",N$6=""),"",IF(COUNTIFS(_calc!$AE$2:$AE$3000,$B69&amp;"|"&amp;$D69,_calc!$A$2:$A$3000,$B$3,_calc!$C$2:$C$3000,N$6)=0,"",SUMIFS(_calc!$E$2:$E$3000,_calc!$AE$2:$AE$3000,$B69&amp;"|"&amp;$D69,_calc!$A$2:$A$3000,$B$3,_calc!$C$2:$C$3000,N$6)))</f>
        <v/>
      </c>
      <c r="O69" s="50" t="str">
        <f>IF(OR($B69="",O$6=""),"",IF(COUNTIFS(_calc!$AE$2:$AE$3000,$B69&amp;"|"&amp;$D69,_calc!$A$2:$A$3000,$B$3,_calc!$C$2:$C$3000,O$6)=0,"",SUMIFS(_calc!$E$2:$E$3000,_calc!$AE$2:$AE$3000,$B69&amp;"|"&amp;$D69,_calc!$A$2:$A$3000,$B$3,_calc!$C$2:$C$3000,O$6)))</f>
        <v/>
      </c>
      <c r="P69" s="50" t="str">
        <f>IF(OR($B69="",P$6=""),"",IF(COUNTIFS(_calc!$AE$2:$AE$3000,$B69&amp;"|"&amp;$D69,_calc!$A$2:$A$3000,$B$3,_calc!$C$2:$C$3000,P$6)=0,"",SUMIFS(_calc!$E$2:$E$3000,_calc!$AE$2:$AE$3000,$B69&amp;"|"&amp;$D69,_calc!$A$2:$A$3000,$B$3,_calc!$C$2:$C$3000,P$6)))</f>
        <v/>
      </c>
      <c r="Q69" s="50" t="str">
        <f>IF(OR($B69="",Q$6=""),"",IF(COUNTIFS(_calc!$AE$2:$AE$3000,$B69&amp;"|"&amp;$D69,_calc!$A$2:$A$3000,$B$3,_calc!$C$2:$C$3000,Q$6)=0,"",SUMIFS(_calc!$E$2:$E$3000,_calc!$AE$2:$AE$3000,$B69&amp;"|"&amp;$D69,_calc!$A$2:$A$3000,$B$3,_calc!$C$2:$C$3000,Q$6)))</f>
        <v/>
      </c>
      <c r="R69" s="50" t="str">
        <f>IF(OR($B69="",R$6=""),"",IF(COUNTIFS(_calc!$AE$2:$AE$3000,$B69&amp;"|"&amp;$D69,_calc!$A$2:$A$3000,$B$3,_calc!$C$2:$C$3000,R$6)=0,"",SUMIFS(_calc!$E$2:$E$3000,_calc!$AE$2:$AE$3000,$B69&amp;"|"&amp;$D69,_calc!$A$2:$A$3000,$B$3,_calc!$C$2:$C$3000,R$6)))</f>
        <v/>
      </c>
      <c r="S69" s="50" t="str">
        <f>IF(OR($B69="",S$6=""),"",IF(COUNTIFS(_calc!$AE$2:$AE$3000,$B69&amp;"|"&amp;$D69,_calc!$A$2:$A$3000,$B$3,_calc!$C$2:$C$3000,S$6)=0,"",SUMIFS(_calc!$E$2:$E$3000,_calc!$AE$2:$AE$3000,$B69&amp;"|"&amp;$D69,_calc!$A$2:$A$3000,$B$3,_calc!$C$2:$C$3000,S$6)))</f>
        <v/>
      </c>
      <c r="T69" s="50" t="str">
        <f>IF(OR($B69="",T$6=""),"",IF(COUNTIFS(_calc!$AE$2:$AE$3000,$B69&amp;"|"&amp;$D69,_calc!$A$2:$A$3000,$B$3,_calc!$C$2:$C$3000,T$6)=0,"",SUMIFS(_calc!$E$2:$E$3000,_calc!$AE$2:$AE$3000,$B69&amp;"|"&amp;$D69,_calc!$A$2:$A$3000,$B$3,_calc!$C$2:$C$3000,T$6)))</f>
        <v/>
      </c>
      <c r="U69" s="50" t="str">
        <f>IF(OR($B69="",U$6=""),"",IF(COUNTIFS(_calc!$AE$2:$AE$3000,$B69&amp;"|"&amp;$D69,_calc!$A$2:$A$3000,$B$3,_calc!$C$2:$C$3000,U$6)=0,"",SUMIFS(_calc!$E$2:$E$3000,_calc!$AE$2:$AE$3000,$B69&amp;"|"&amp;$D69,_calc!$A$2:$A$3000,$B$3,_calc!$C$2:$C$3000,U$6)))</f>
        <v/>
      </c>
      <c r="V69" s="50" t="str">
        <f>IF(OR($B69="",V$6=""),"",IF(COUNTIFS(_calc!$AE$2:$AE$3000,$B69&amp;"|"&amp;$D69,_calc!$A$2:$A$3000,$B$3,_calc!$C$2:$C$3000,V$6)=0,"",SUMIFS(_calc!$E$2:$E$3000,_calc!$AE$2:$AE$3000,$B69&amp;"|"&amp;$D69,_calc!$A$2:$A$3000,$B$3,_calc!$C$2:$C$3000,V$6)))</f>
        <v/>
      </c>
      <c r="W69" s="50" t="str">
        <f>IF(OR($B69="",W$6=""),"",IF(COUNTIFS(_calc!$AE$2:$AE$3000,$B69&amp;"|"&amp;$D69,_calc!$A$2:$A$3000,$B$3,_calc!$C$2:$C$3000,W$6)=0,"",SUMIFS(_calc!$E$2:$E$3000,_calc!$AE$2:$AE$3000,$B69&amp;"|"&amp;$D69,_calc!$A$2:$A$3000,$B$3,_calc!$C$2:$C$3000,W$6)))</f>
        <v/>
      </c>
      <c r="X69" s="50" t="str">
        <f>IF(OR($B69="",X$6=""),"",IF(COUNTIFS(_calc!$AE$2:$AE$3000,$B69&amp;"|"&amp;$D69,_calc!$A$2:$A$3000,$B$3,_calc!$C$2:$C$3000,X$6)=0,"",SUMIFS(_calc!$E$2:$E$3000,_calc!$AE$2:$AE$3000,$B69&amp;"|"&amp;$D69,_calc!$A$2:$A$3000,$B$3,_calc!$C$2:$C$3000,X$6)))</f>
        <v/>
      </c>
    </row>
    <row r="70" spans="1:24" x14ac:dyDescent="0.4">
      <c r="A70" s="48">
        <v>64</v>
      </c>
      <c r="B70" s="49" t="str">
        <f>IFERROR(INDEX(_calc!$I$2:$I$3000,MATCH($A70,_calc!$AB$2:$AB$3000,0)),"")</f>
        <v/>
      </c>
      <c r="C70" s="49" t="str">
        <f>IFERROR(INDEX(_calc!$H$2:$H$3000,MATCH($A70,_calc!$AB$2:$AB$3000,0)),"")</f>
        <v/>
      </c>
      <c r="D70" s="49" t="str">
        <f>IFERROR(INDEX(_calc!$K$2:$K$3000,MATCH($A70,_calc!$AB$2:$AB$3000,0)),"")</f>
        <v/>
      </c>
      <c r="E70" s="50" t="str">
        <f>IF(OR($B70="",E$6=""),"",IF(COUNTIFS(_calc!$AE$2:$AE$3000,$B70&amp;"|"&amp;$D70,_calc!$A$2:$A$3000,$B$3,_calc!$C$2:$C$3000,E$6)=0,"",SUMIFS(_calc!$E$2:$E$3000,_calc!$AE$2:$AE$3000,$B70&amp;"|"&amp;$D70,_calc!$A$2:$A$3000,$B$3,_calc!$C$2:$C$3000,E$6)))</f>
        <v/>
      </c>
      <c r="F70" s="50" t="str">
        <f>IF(OR($B70="",F$6=""),"",IF(COUNTIFS(_calc!$AE$2:$AE$3000,$B70&amp;"|"&amp;$D70,_calc!$A$2:$A$3000,$B$3,_calc!$C$2:$C$3000,F$6)=0,"",SUMIFS(_calc!$E$2:$E$3000,_calc!$AE$2:$AE$3000,$B70&amp;"|"&amp;$D70,_calc!$A$2:$A$3000,$B$3,_calc!$C$2:$C$3000,F$6)))</f>
        <v/>
      </c>
      <c r="G70" s="50" t="str">
        <f>IF(OR($B70="",G$6=""),"",IF(COUNTIFS(_calc!$AE$2:$AE$3000,$B70&amp;"|"&amp;$D70,_calc!$A$2:$A$3000,$B$3,_calc!$C$2:$C$3000,G$6)=0,"",SUMIFS(_calc!$E$2:$E$3000,_calc!$AE$2:$AE$3000,$B70&amp;"|"&amp;$D70,_calc!$A$2:$A$3000,$B$3,_calc!$C$2:$C$3000,G$6)))</f>
        <v/>
      </c>
      <c r="H70" s="50" t="str">
        <f>IF(OR($B70="",H$6=""),"",IF(COUNTIFS(_calc!$AE$2:$AE$3000,$B70&amp;"|"&amp;$D70,_calc!$A$2:$A$3000,$B$3,_calc!$C$2:$C$3000,H$6)=0,"",SUMIFS(_calc!$E$2:$E$3000,_calc!$AE$2:$AE$3000,$B70&amp;"|"&amp;$D70,_calc!$A$2:$A$3000,$B$3,_calc!$C$2:$C$3000,H$6)))</f>
        <v/>
      </c>
      <c r="I70" s="50" t="str">
        <f>IF(OR($B70="",I$6=""),"",IF(COUNTIFS(_calc!$AE$2:$AE$3000,$B70&amp;"|"&amp;$D70,_calc!$A$2:$A$3000,$B$3,_calc!$C$2:$C$3000,I$6)=0,"",SUMIFS(_calc!$E$2:$E$3000,_calc!$AE$2:$AE$3000,$B70&amp;"|"&amp;$D70,_calc!$A$2:$A$3000,$B$3,_calc!$C$2:$C$3000,I$6)))</f>
        <v/>
      </c>
      <c r="J70" s="50" t="str">
        <f>IF(OR($B70="",J$6=""),"",IF(COUNTIFS(_calc!$AE$2:$AE$3000,$B70&amp;"|"&amp;$D70,_calc!$A$2:$A$3000,$B$3,_calc!$C$2:$C$3000,J$6)=0,"",SUMIFS(_calc!$E$2:$E$3000,_calc!$AE$2:$AE$3000,$B70&amp;"|"&amp;$D70,_calc!$A$2:$A$3000,$B$3,_calc!$C$2:$C$3000,J$6)))</f>
        <v/>
      </c>
      <c r="K70" s="50" t="str">
        <f>IF(OR($B70="",K$6=""),"",IF(COUNTIFS(_calc!$AE$2:$AE$3000,$B70&amp;"|"&amp;$D70,_calc!$A$2:$A$3000,$B$3,_calc!$C$2:$C$3000,K$6)=0,"",SUMIFS(_calc!$E$2:$E$3000,_calc!$AE$2:$AE$3000,$B70&amp;"|"&amp;$D70,_calc!$A$2:$A$3000,$B$3,_calc!$C$2:$C$3000,K$6)))</f>
        <v/>
      </c>
      <c r="L70" s="50" t="str">
        <f>IF(OR($B70="",L$6=""),"",IF(COUNTIFS(_calc!$AE$2:$AE$3000,$B70&amp;"|"&amp;$D70,_calc!$A$2:$A$3000,$B$3,_calc!$C$2:$C$3000,L$6)=0,"",SUMIFS(_calc!$E$2:$E$3000,_calc!$AE$2:$AE$3000,$B70&amp;"|"&amp;$D70,_calc!$A$2:$A$3000,$B$3,_calc!$C$2:$C$3000,L$6)))</f>
        <v/>
      </c>
      <c r="M70" s="50" t="str">
        <f>IF(OR($B70="",M$6=""),"",IF(COUNTIFS(_calc!$AE$2:$AE$3000,$B70&amp;"|"&amp;$D70,_calc!$A$2:$A$3000,$B$3,_calc!$C$2:$C$3000,M$6)=0,"",SUMIFS(_calc!$E$2:$E$3000,_calc!$AE$2:$AE$3000,$B70&amp;"|"&amp;$D70,_calc!$A$2:$A$3000,$B$3,_calc!$C$2:$C$3000,M$6)))</f>
        <v/>
      </c>
      <c r="N70" s="50" t="str">
        <f>IF(OR($B70="",N$6=""),"",IF(COUNTIFS(_calc!$AE$2:$AE$3000,$B70&amp;"|"&amp;$D70,_calc!$A$2:$A$3000,$B$3,_calc!$C$2:$C$3000,N$6)=0,"",SUMIFS(_calc!$E$2:$E$3000,_calc!$AE$2:$AE$3000,$B70&amp;"|"&amp;$D70,_calc!$A$2:$A$3000,$B$3,_calc!$C$2:$C$3000,N$6)))</f>
        <v/>
      </c>
      <c r="O70" s="50" t="str">
        <f>IF(OR($B70="",O$6=""),"",IF(COUNTIFS(_calc!$AE$2:$AE$3000,$B70&amp;"|"&amp;$D70,_calc!$A$2:$A$3000,$B$3,_calc!$C$2:$C$3000,O$6)=0,"",SUMIFS(_calc!$E$2:$E$3000,_calc!$AE$2:$AE$3000,$B70&amp;"|"&amp;$D70,_calc!$A$2:$A$3000,$B$3,_calc!$C$2:$C$3000,O$6)))</f>
        <v/>
      </c>
      <c r="P70" s="50" t="str">
        <f>IF(OR($B70="",P$6=""),"",IF(COUNTIFS(_calc!$AE$2:$AE$3000,$B70&amp;"|"&amp;$D70,_calc!$A$2:$A$3000,$B$3,_calc!$C$2:$C$3000,P$6)=0,"",SUMIFS(_calc!$E$2:$E$3000,_calc!$AE$2:$AE$3000,$B70&amp;"|"&amp;$D70,_calc!$A$2:$A$3000,$B$3,_calc!$C$2:$C$3000,P$6)))</f>
        <v/>
      </c>
      <c r="Q70" s="50" t="str">
        <f>IF(OR($B70="",Q$6=""),"",IF(COUNTIFS(_calc!$AE$2:$AE$3000,$B70&amp;"|"&amp;$D70,_calc!$A$2:$A$3000,$B$3,_calc!$C$2:$C$3000,Q$6)=0,"",SUMIFS(_calc!$E$2:$E$3000,_calc!$AE$2:$AE$3000,$B70&amp;"|"&amp;$D70,_calc!$A$2:$A$3000,$B$3,_calc!$C$2:$C$3000,Q$6)))</f>
        <v/>
      </c>
      <c r="R70" s="50" t="str">
        <f>IF(OR($B70="",R$6=""),"",IF(COUNTIFS(_calc!$AE$2:$AE$3000,$B70&amp;"|"&amp;$D70,_calc!$A$2:$A$3000,$B$3,_calc!$C$2:$C$3000,R$6)=0,"",SUMIFS(_calc!$E$2:$E$3000,_calc!$AE$2:$AE$3000,$B70&amp;"|"&amp;$D70,_calc!$A$2:$A$3000,$B$3,_calc!$C$2:$C$3000,R$6)))</f>
        <v/>
      </c>
      <c r="S70" s="50" t="str">
        <f>IF(OR($B70="",S$6=""),"",IF(COUNTIFS(_calc!$AE$2:$AE$3000,$B70&amp;"|"&amp;$D70,_calc!$A$2:$A$3000,$B$3,_calc!$C$2:$C$3000,S$6)=0,"",SUMIFS(_calc!$E$2:$E$3000,_calc!$AE$2:$AE$3000,$B70&amp;"|"&amp;$D70,_calc!$A$2:$A$3000,$B$3,_calc!$C$2:$C$3000,S$6)))</f>
        <v/>
      </c>
      <c r="T70" s="50" t="str">
        <f>IF(OR($B70="",T$6=""),"",IF(COUNTIFS(_calc!$AE$2:$AE$3000,$B70&amp;"|"&amp;$D70,_calc!$A$2:$A$3000,$B$3,_calc!$C$2:$C$3000,T$6)=0,"",SUMIFS(_calc!$E$2:$E$3000,_calc!$AE$2:$AE$3000,$B70&amp;"|"&amp;$D70,_calc!$A$2:$A$3000,$B$3,_calc!$C$2:$C$3000,T$6)))</f>
        <v/>
      </c>
      <c r="U70" s="50" t="str">
        <f>IF(OR($B70="",U$6=""),"",IF(COUNTIFS(_calc!$AE$2:$AE$3000,$B70&amp;"|"&amp;$D70,_calc!$A$2:$A$3000,$B$3,_calc!$C$2:$C$3000,U$6)=0,"",SUMIFS(_calc!$E$2:$E$3000,_calc!$AE$2:$AE$3000,$B70&amp;"|"&amp;$D70,_calc!$A$2:$A$3000,$B$3,_calc!$C$2:$C$3000,U$6)))</f>
        <v/>
      </c>
      <c r="V70" s="50" t="str">
        <f>IF(OR($B70="",V$6=""),"",IF(COUNTIFS(_calc!$AE$2:$AE$3000,$B70&amp;"|"&amp;$D70,_calc!$A$2:$A$3000,$B$3,_calc!$C$2:$C$3000,V$6)=0,"",SUMIFS(_calc!$E$2:$E$3000,_calc!$AE$2:$AE$3000,$B70&amp;"|"&amp;$D70,_calc!$A$2:$A$3000,$B$3,_calc!$C$2:$C$3000,V$6)))</f>
        <v/>
      </c>
      <c r="W70" s="50" t="str">
        <f>IF(OR($B70="",W$6=""),"",IF(COUNTIFS(_calc!$AE$2:$AE$3000,$B70&amp;"|"&amp;$D70,_calc!$A$2:$A$3000,$B$3,_calc!$C$2:$C$3000,W$6)=0,"",SUMIFS(_calc!$E$2:$E$3000,_calc!$AE$2:$AE$3000,$B70&amp;"|"&amp;$D70,_calc!$A$2:$A$3000,$B$3,_calc!$C$2:$C$3000,W$6)))</f>
        <v/>
      </c>
      <c r="X70" s="50" t="str">
        <f>IF(OR($B70="",X$6=""),"",IF(COUNTIFS(_calc!$AE$2:$AE$3000,$B70&amp;"|"&amp;$D70,_calc!$A$2:$A$3000,$B$3,_calc!$C$2:$C$3000,X$6)=0,"",SUMIFS(_calc!$E$2:$E$3000,_calc!$AE$2:$AE$3000,$B70&amp;"|"&amp;$D70,_calc!$A$2:$A$3000,$B$3,_calc!$C$2:$C$3000,X$6)))</f>
        <v/>
      </c>
    </row>
    <row r="71" spans="1:24" x14ac:dyDescent="0.4">
      <c r="A71" s="48">
        <v>65</v>
      </c>
      <c r="B71" s="49" t="str">
        <f>IFERROR(INDEX(_calc!$I$2:$I$3000,MATCH($A71,_calc!$AB$2:$AB$3000,0)),"")</f>
        <v/>
      </c>
      <c r="C71" s="49" t="str">
        <f>IFERROR(INDEX(_calc!$H$2:$H$3000,MATCH($A71,_calc!$AB$2:$AB$3000,0)),"")</f>
        <v/>
      </c>
      <c r="D71" s="49" t="str">
        <f>IFERROR(INDEX(_calc!$K$2:$K$3000,MATCH($A71,_calc!$AB$2:$AB$3000,0)),"")</f>
        <v/>
      </c>
      <c r="E71" s="50" t="str">
        <f>IF(OR($B71="",E$6=""),"",IF(COUNTIFS(_calc!$AE$2:$AE$3000,$B71&amp;"|"&amp;$D71,_calc!$A$2:$A$3000,$B$3,_calc!$C$2:$C$3000,E$6)=0,"",SUMIFS(_calc!$E$2:$E$3000,_calc!$AE$2:$AE$3000,$B71&amp;"|"&amp;$D71,_calc!$A$2:$A$3000,$B$3,_calc!$C$2:$C$3000,E$6)))</f>
        <v/>
      </c>
      <c r="F71" s="50" t="str">
        <f>IF(OR($B71="",F$6=""),"",IF(COUNTIFS(_calc!$AE$2:$AE$3000,$B71&amp;"|"&amp;$D71,_calc!$A$2:$A$3000,$B$3,_calc!$C$2:$C$3000,F$6)=0,"",SUMIFS(_calc!$E$2:$E$3000,_calc!$AE$2:$AE$3000,$B71&amp;"|"&amp;$D71,_calc!$A$2:$A$3000,$B$3,_calc!$C$2:$C$3000,F$6)))</f>
        <v/>
      </c>
      <c r="G71" s="50" t="str">
        <f>IF(OR($B71="",G$6=""),"",IF(COUNTIFS(_calc!$AE$2:$AE$3000,$B71&amp;"|"&amp;$D71,_calc!$A$2:$A$3000,$B$3,_calc!$C$2:$C$3000,G$6)=0,"",SUMIFS(_calc!$E$2:$E$3000,_calc!$AE$2:$AE$3000,$B71&amp;"|"&amp;$D71,_calc!$A$2:$A$3000,$B$3,_calc!$C$2:$C$3000,G$6)))</f>
        <v/>
      </c>
      <c r="H71" s="50" t="str">
        <f>IF(OR($B71="",H$6=""),"",IF(COUNTIFS(_calc!$AE$2:$AE$3000,$B71&amp;"|"&amp;$D71,_calc!$A$2:$A$3000,$B$3,_calc!$C$2:$C$3000,H$6)=0,"",SUMIFS(_calc!$E$2:$E$3000,_calc!$AE$2:$AE$3000,$B71&amp;"|"&amp;$D71,_calc!$A$2:$A$3000,$B$3,_calc!$C$2:$C$3000,H$6)))</f>
        <v/>
      </c>
      <c r="I71" s="50" t="str">
        <f>IF(OR($B71="",I$6=""),"",IF(COUNTIFS(_calc!$AE$2:$AE$3000,$B71&amp;"|"&amp;$D71,_calc!$A$2:$A$3000,$B$3,_calc!$C$2:$C$3000,I$6)=0,"",SUMIFS(_calc!$E$2:$E$3000,_calc!$AE$2:$AE$3000,$B71&amp;"|"&amp;$D71,_calc!$A$2:$A$3000,$B$3,_calc!$C$2:$C$3000,I$6)))</f>
        <v/>
      </c>
      <c r="J71" s="50" t="str">
        <f>IF(OR($B71="",J$6=""),"",IF(COUNTIFS(_calc!$AE$2:$AE$3000,$B71&amp;"|"&amp;$D71,_calc!$A$2:$A$3000,$B$3,_calc!$C$2:$C$3000,J$6)=0,"",SUMIFS(_calc!$E$2:$E$3000,_calc!$AE$2:$AE$3000,$B71&amp;"|"&amp;$D71,_calc!$A$2:$A$3000,$B$3,_calc!$C$2:$C$3000,J$6)))</f>
        <v/>
      </c>
      <c r="K71" s="50" t="str">
        <f>IF(OR($B71="",K$6=""),"",IF(COUNTIFS(_calc!$AE$2:$AE$3000,$B71&amp;"|"&amp;$D71,_calc!$A$2:$A$3000,$B$3,_calc!$C$2:$C$3000,K$6)=0,"",SUMIFS(_calc!$E$2:$E$3000,_calc!$AE$2:$AE$3000,$B71&amp;"|"&amp;$D71,_calc!$A$2:$A$3000,$B$3,_calc!$C$2:$C$3000,K$6)))</f>
        <v/>
      </c>
      <c r="L71" s="50" t="str">
        <f>IF(OR($B71="",L$6=""),"",IF(COUNTIFS(_calc!$AE$2:$AE$3000,$B71&amp;"|"&amp;$D71,_calc!$A$2:$A$3000,$B$3,_calc!$C$2:$C$3000,L$6)=0,"",SUMIFS(_calc!$E$2:$E$3000,_calc!$AE$2:$AE$3000,$B71&amp;"|"&amp;$D71,_calc!$A$2:$A$3000,$B$3,_calc!$C$2:$C$3000,L$6)))</f>
        <v/>
      </c>
      <c r="M71" s="50" t="str">
        <f>IF(OR($B71="",M$6=""),"",IF(COUNTIFS(_calc!$AE$2:$AE$3000,$B71&amp;"|"&amp;$D71,_calc!$A$2:$A$3000,$B$3,_calc!$C$2:$C$3000,M$6)=0,"",SUMIFS(_calc!$E$2:$E$3000,_calc!$AE$2:$AE$3000,$B71&amp;"|"&amp;$D71,_calc!$A$2:$A$3000,$B$3,_calc!$C$2:$C$3000,M$6)))</f>
        <v/>
      </c>
      <c r="N71" s="50" t="str">
        <f>IF(OR($B71="",N$6=""),"",IF(COUNTIFS(_calc!$AE$2:$AE$3000,$B71&amp;"|"&amp;$D71,_calc!$A$2:$A$3000,$B$3,_calc!$C$2:$C$3000,N$6)=0,"",SUMIFS(_calc!$E$2:$E$3000,_calc!$AE$2:$AE$3000,$B71&amp;"|"&amp;$D71,_calc!$A$2:$A$3000,$B$3,_calc!$C$2:$C$3000,N$6)))</f>
        <v/>
      </c>
      <c r="O71" s="50" t="str">
        <f>IF(OR($B71="",O$6=""),"",IF(COUNTIFS(_calc!$AE$2:$AE$3000,$B71&amp;"|"&amp;$D71,_calc!$A$2:$A$3000,$B$3,_calc!$C$2:$C$3000,O$6)=0,"",SUMIFS(_calc!$E$2:$E$3000,_calc!$AE$2:$AE$3000,$B71&amp;"|"&amp;$D71,_calc!$A$2:$A$3000,$B$3,_calc!$C$2:$C$3000,O$6)))</f>
        <v/>
      </c>
      <c r="P71" s="50" t="str">
        <f>IF(OR($B71="",P$6=""),"",IF(COUNTIFS(_calc!$AE$2:$AE$3000,$B71&amp;"|"&amp;$D71,_calc!$A$2:$A$3000,$B$3,_calc!$C$2:$C$3000,P$6)=0,"",SUMIFS(_calc!$E$2:$E$3000,_calc!$AE$2:$AE$3000,$B71&amp;"|"&amp;$D71,_calc!$A$2:$A$3000,$B$3,_calc!$C$2:$C$3000,P$6)))</f>
        <v/>
      </c>
      <c r="Q71" s="50" t="str">
        <f>IF(OR($B71="",Q$6=""),"",IF(COUNTIFS(_calc!$AE$2:$AE$3000,$B71&amp;"|"&amp;$D71,_calc!$A$2:$A$3000,$B$3,_calc!$C$2:$C$3000,Q$6)=0,"",SUMIFS(_calc!$E$2:$E$3000,_calc!$AE$2:$AE$3000,$B71&amp;"|"&amp;$D71,_calc!$A$2:$A$3000,$B$3,_calc!$C$2:$C$3000,Q$6)))</f>
        <v/>
      </c>
      <c r="R71" s="50" t="str">
        <f>IF(OR($B71="",R$6=""),"",IF(COUNTIFS(_calc!$AE$2:$AE$3000,$B71&amp;"|"&amp;$D71,_calc!$A$2:$A$3000,$B$3,_calc!$C$2:$C$3000,R$6)=0,"",SUMIFS(_calc!$E$2:$E$3000,_calc!$AE$2:$AE$3000,$B71&amp;"|"&amp;$D71,_calc!$A$2:$A$3000,$B$3,_calc!$C$2:$C$3000,R$6)))</f>
        <v/>
      </c>
      <c r="S71" s="50" t="str">
        <f>IF(OR($B71="",S$6=""),"",IF(COUNTIFS(_calc!$AE$2:$AE$3000,$B71&amp;"|"&amp;$D71,_calc!$A$2:$A$3000,$B$3,_calc!$C$2:$C$3000,S$6)=0,"",SUMIFS(_calc!$E$2:$E$3000,_calc!$AE$2:$AE$3000,$B71&amp;"|"&amp;$D71,_calc!$A$2:$A$3000,$B$3,_calc!$C$2:$C$3000,S$6)))</f>
        <v/>
      </c>
      <c r="T71" s="50" t="str">
        <f>IF(OR($B71="",T$6=""),"",IF(COUNTIFS(_calc!$AE$2:$AE$3000,$B71&amp;"|"&amp;$D71,_calc!$A$2:$A$3000,$B$3,_calc!$C$2:$C$3000,T$6)=0,"",SUMIFS(_calc!$E$2:$E$3000,_calc!$AE$2:$AE$3000,$B71&amp;"|"&amp;$D71,_calc!$A$2:$A$3000,$B$3,_calc!$C$2:$C$3000,T$6)))</f>
        <v/>
      </c>
      <c r="U71" s="50" t="str">
        <f>IF(OR($B71="",U$6=""),"",IF(COUNTIFS(_calc!$AE$2:$AE$3000,$B71&amp;"|"&amp;$D71,_calc!$A$2:$A$3000,$B$3,_calc!$C$2:$C$3000,U$6)=0,"",SUMIFS(_calc!$E$2:$E$3000,_calc!$AE$2:$AE$3000,$B71&amp;"|"&amp;$D71,_calc!$A$2:$A$3000,$B$3,_calc!$C$2:$C$3000,U$6)))</f>
        <v/>
      </c>
      <c r="V71" s="50" t="str">
        <f>IF(OR($B71="",V$6=""),"",IF(COUNTIFS(_calc!$AE$2:$AE$3000,$B71&amp;"|"&amp;$D71,_calc!$A$2:$A$3000,$B$3,_calc!$C$2:$C$3000,V$6)=0,"",SUMIFS(_calc!$E$2:$E$3000,_calc!$AE$2:$AE$3000,$B71&amp;"|"&amp;$D71,_calc!$A$2:$A$3000,$B$3,_calc!$C$2:$C$3000,V$6)))</f>
        <v/>
      </c>
      <c r="W71" s="50" t="str">
        <f>IF(OR($B71="",W$6=""),"",IF(COUNTIFS(_calc!$AE$2:$AE$3000,$B71&amp;"|"&amp;$D71,_calc!$A$2:$A$3000,$B$3,_calc!$C$2:$C$3000,W$6)=0,"",SUMIFS(_calc!$E$2:$E$3000,_calc!$AE$2:$AE$3000,$B71&amp;"|"&amp;$D71,_calc!$A$2:$A$3000,$B$3,_calc!$C$2:$C$3000,W$6)))</f>
        <v/>
      </c>
      <c r="X71" s="50" t="str">
        <f>IF(OR($B71="",X$6=""),"",IF(COUNTIFS(_calc!$AE$2:$AE$3000,$B71&amp;"|"&amp;$D71,_calc!$A$2:$A$3000,$B$3,_calc!$C$2:$C$3000,X$6)=0,"",SUMIFS(_calc!$E$2:$E$3000,_calc!$AE$2:$AE$3000,$B71&amp;"|"&amp;$D71,_calc!$A$2:$A$3000,$B$3,_calc!$C$2:$C$3000,X$6)))</f>
        <v/>
      </c>
    </row>
    <row r="72" spans="1:24" x14ac:dyDescent="0.4">
      <c r="A72" s="48">
        <v>66</v>
      </c>
      <c r="B72" s="49" t="str">
        <f>IFERROR(INDEX(_calc!$I$2:$I$3000,MATCH($A72,_calc!$AB$2:$AB$3000,0)),"")</f>
        <v/>
      </c>
      <c r="C72" s="49" t="str">
        <f>IFERROR(INDEX(_calc!$H$2:$H$3000,MATCH($A72,_calc!$AB$2:$AB$3000,0)),"")</f>
        <v/>
      </c>
      <c r="D72" s="49" t="str">
        <f>IFERROR(INDEX(_calc!$K$2:$K$3000,MATCH($A72,_calc!$AB$2:$AB$3000,0)),"")</f>
        <v/>
      </c>
      <c r="E72" s="50" t="str">
        <f>IF(OR($B72="",E$6=""),"",IF(COUNTIFS(_calc!$AE$2:$AE$3000,$B72&amp;"|"&amp;$D72,_calc!$A$2:$A$3000,$B$3,_calc!$C$2:$C$3000,E$6)=0,"",SUMIFS(_calc!$E$2:$E$3000,_calc!$AE$2:$AE$3000,$B72&amp;"|"&amp;$D72,_calc!$A$2:$A$3000,$B$3,_calc!$C$2:$C$3000,E$6)))</f>
        <v/>
      </c>
      <c r="F72" s="50" t="str">
        <f>IF(OR($B72="",F$6=""),"",IF(COUNTIFS(_calc!$AE$2:$AE$3000,$B72&amp;"|"&amp;$D72,_calc!$A$2:$A$3000,$B$3,_calc!$C$2:$C$3000,F$6)=0,"",SUMIFS(_calc!$E$2:$E$3000,_calc!$AE$2:$AE$3000,$B72&amp;"|"&amp;$D72,_calc!$A$2:$A$3000,$B$3,_calc!$C$2:$C$3000,F$6)))</f>
        <v/>
      </c>
      <c r="G72" s="50" t="str">
        <f>IF(OR($B72="",G$6=""),"",IF(COUNTIFS(_calc!$AE$2:$AE$3000,$B72&amp;"|"&amp;$D72,_calc!$A$2:$A$3000,$B$3,_calc!$C$2:$C$3000,G$6)=0,"",SUMIFS(_calc!$E$2:$E$3000,_calc!$AE$2:$AE$3000,$B72&amp;"|"&amp;$D72,_calc!$A$2:$A$3000,$B$3,_calc!$C$2:$C$3000,G$6)))</f>
        <v/>
      </c>
      <c r="H72" s="50" t="str">
        <f>IF(OR($B72="",H$6=""),"",IF(COUNTIFS(_calc!$AE$2:$AE$3000,$B72&amp;"|"&amp;$D72,_calc!$A$2:$A$3000,$B$3,_calc!$C$2:$C$3000,H$6)=0,"",SUMIFS(_calc!$E$2:$E$3000,_calc!$AE$2:$AE$3000,$B72&amp;"|"&amp;$D72,_calc!$A$2:$A$3000,$B$3,_calc!$C$2:$C$3000,H$6)))</f>
        <v/>
      </c>
      <c r="I72" s="50" t="str">
        <f>IF(OR($B72="",I$6=""),"",IF(COUNTIFS(_calc!$AE$2:$AE$3000,$B72&amp;"|"&amp;$D72,_calc!$A$2:$A$3000,$B$3,_calc!$C$2:$C$3000,I$6)=0,"",SUMIFS(_calc!$E$2:$E$3000,_calc!$AE$2:$AE$3000,$B72&amp;"|"&amp;$D72,_calc!$A$2:$A$3000,$B$3,_calc!$C$2:$C$3000,I$6)))</f>
        <v/>
      </c>
      <c r="J72" s="50" t="str">
        <f>IF(OR($B72="",J$6=""),"",IF(COUNTIFS(_calc!$AE$2:$AE$3000,$B72&amp;"|"&amp;$D72,_calc!$A$2:$A$3000,$B$3,_calc!$C$2:$C$3000,J$6)=0,"",SUMIFS(_calc!$E$2:$E$3000,_calc!$AE$2:$AE$3000,$B72&amp;"|"&amp;$D72,_calc!$A$2:$A$3000,$B$3,_calc!$C$2:$C$3000,J$6)))</f>
        <v/>
      </c>
      <c r="K72" s="50" t="str">
        <f>IF(OR($B72="",K$6=""),"",IF(COUNTIFS(_calc!$AE$2:$AE$3000,$B72&amp;"|"&amp;$D72,_calc!$A$2:$A$3000,$B$3,_calc!$C$2:$C$3000,K$6)=0,"",SUMIFS(_calc!$E$2:$E$3000,_calc!$AE$2:$AE$3000,$B72&amp;"|"&amp;$D72,_calc!$A$2:$A$3000,$B$3,_calc!$C$2:$C$3000,K$6)))</f>
        <v/>
      </c>
      <c r="L72" s="50" t="str">
        <f>IF(OR($B72="",L$6=""),"",IF(COUNTIFS(_calc!$AE$2:$AE$3000,$B72&amp;"|"&amp;$D72,_calc!$A$2:$A$3000,$B$3,_calc!$C$2:$C$3000,L$6)=0,"",SUMIFS(_calc!$E$2:$E$3000,_calc!$AE$2:$AE$3000,$B72&amp;"|"&amp;$D72,_calc!$A$2:$A$3000,$B$3,_calc!$C$2:$C$3000,L$6)))</f>
        <v/>
      </c>
      <c r="M72" s="50" t="str">
        <f>IF(OR($B72="",M$6=""),"",IF(COUNTIFS(_calc!$AE$2:$AE$3000,$B72&amp;"|"&amp;$D72,_calc!$A$2:$A$3000,$B$3,_calc!$C$2:$C$3000,M$6)=0,"",SUMIFS(_calc!$E$2:$E$3000,_calc!$AE$2:$AE$3000,$B72&amp;"|"&amp;$D72,_calc!$A$2:$A$3000,$B$3,_calc!$C$2:$C$3000,M$6)))</f>
        <v/>
      </c>
      <c r="N72" s="50" t="str">
        <f>IF(OR($B72="",N$6=""),"",IF(COUNTIFS(_calc!$AE$2:$AE$3000,$B72&amp;"|"&amp;$D72,_calc!$A$2:$A$3000,$B$3,_calc!$C$2:$C$3000,N$6)=0,"",SUMIFS(_calc!$E$2:$E$3000,_calc!$AE$2:$AE$3000,$B72&amp;"|"&amp;$D72,_calc!$A$2:$A$3000,$B$3,_calc!$C$2:$C$3000,N$6)))</f>
        <v/>
      </c>
      <c r="O72" s="50" t="str">
        <f>IF(OR($B72="",O$6=""),"",IF(COUNTIFS(_calc!$AE$2:$AE$3000,$B72&amp;"|"&amp;$D72,_calc!$A$2:$A$3000,$B$3,_calc!$C$2:$C$3000,O$6)=0,"",SUMIFS(_calc!$E$2:$E$3000,_calc!$AE$2:$AE$3000,$B72&amp;"|"&amp;$D72,_calc!$A$2:$A$3000,$B$3,_calc!$C$2:$C$3000,O$6)))</f>
        <v/>
      </c>
      <c r="P72" s="50" t="str">
        <f>IF(OR($B72="",P$6=""),"",IF(COUNTIFS(_calc!$AE$2:$AE$3000,$B72&amp;"|"&amp;$D72,_calc!$A$2:$A$3000,$B$3,_calc!$C$2:$C$3000,P$6)=0,"",SUMIFS(_calc!$E$2:$E$3000,_calc!$AE$2:$AE$3000,$B72&amp;"|"&amp;$D72,_calc!$A$2:$A$3000,$B$3,_calc!$C$2:$C$3000,P$6)))</f>
        <v/>
      </c>
      <c r="Q72" s="50" t="str">
        <f>IF(OR($B72="",Q$6=""),"",IF(COUNTIFS(_calc!$AE$2:$AE$3000,$B72&amp;"|"&amp;$D72,_calc!$A$2:$A$3000,$B$3,_calc!$C$2:$C$3000,Q$6)=0,"",SUMIFS(_calc!$E$2:$E$3000,_calc!$AE$2:$AE$3000,$B72&amp;"|"&amp;$D72,_calc!$A$2:$A$3000,$B$3,_calc!$C$2:$C$3000,Q$6)))</f>
        <v/>
      </c>
      <c r="R72" s="50" t="str">
        <f>IF(OR($B72="",R$6=""),"",IF(COUNTIFS(_calc!$AE$2:$AE$3000,$B72&amp;"|"&amp;$D72,_calc!$A$2:$A$3000,$B$3,_calc!$C$2:$C$3000,R$6)=0,"",SUMIFS(_calc!$E$2:$E$3000,_calc!$AE$2:$AE$3000,$B72&amp;"|"&amp;$D72,_calc!$A$2:$A$3000,$B$3,_calc!$C$2:$C$3000,R$6)))</f>
        <v/>
      </c>
      <c r="S72" s="50" t="str">
        <f>IF(OR($B72="",S$6=""),"",IF(COUNTIFS(_calc!$AE$2:$AE$3000,$B72&amp;"|"&amp;$D72,_calc!$A$2:$A$3000,$B$3,_calc!$C$2:$C$3000,S$6)=0,"",SUMIFS(_calc!$E$2:$E$3000,_calc!$AE$2:$AE$3000,$B72&amp;"|"&amp;$D72,_calc!$A$2:$A$3000,$B$3,_calc!$C$2:$C$3000,S$6)))</f>
        <v/>
      </c>
      <c r="T72" s="50" t="str">
        <f>IF(OR($B72="",T$6=""),"",IF(COUNTIFS(_calc!$AE$2:$AE$3000,$B72&amp;"|"&amp;$D72,_calc!$A$2:$A$3000,$B$3,_calc!$C$2:$C$3000,T$6)=0,"",SUMIFS(_calc!$E$2:$E$3000,_calc!$AE$2:$AE$3000,$B72&amp;"|"&amp;$D72,_calc!$A$2:$A$3000,$B$3,_calc!$C$2:$C$3000,T$6)))</f>
        <v/>
      </c>
      <c r="U72" s="50" t="str">
        <f>IF(OR($B72="",U$6=""),"",IF(COUNTIFS(_calc!$AE$2:$AE$3000,$B72&amp;"|"&amp;$D72,_calc!$A$2:$A$3000,$B$3,_calc!$C$2:$C$3000,U$6)=0,"",SUMIFS(_calc!$E$2:$E$3000,_calc!$AE$2:$AE$3000,$B72&amp;"|"&amp;$D72,_calc!$A$2:$A$3000,$B$3,_calc!$C$2:$C$3000,U$6)))</f>
        <v/>
      </c>
      <c r="V72" s="50" t="str">
        <f>IF(OR($B72="",V$6=""),"",IF(COUNTIFS(_calc!$AE$2:$AE$3000,$B72&amp;"|"&amp;$D72,_calc!$A$2:$A$3000,$B$3,_calc!$C$2:$C$3000,V$6)=0,"",SUMIFS(_calc!$E$2:$E$3000,_calc!$AE$2:$AE$3000,$B72&amp;"|"&amp;$D72,_calc!$A$2:$A$3000,$B$3,_calc!$C$2:$C$3000,V$6)))</f>
        <v/>
      </c>
      <c r="W72" s="50" t="str">
        <f>IF(OR($B72="",W$6=""),"",IF(COUNTIFS(_calc!$AE$2:$AE$3000,$B72&amp;"|"&amp;$D72,_calc!$A$2:$A$3000,$B$3,_calc!$C$2:$C$3000,W$6)=0,"",SUMIFS(_calc!$E$2:$E$3000,_calc!$AE$2:$AE$3000,$B72&amp;"|"&amp;$D72,_calc!$A$2:$A$3000,$B$3,_calc!$C$2:$C$3000,W$6)))</f>
        <v/>
      </c>
      <c r="X72" s="50" t="str">
        <f>IF(OR($B72="",X$6=""),"",IF(COUNTIFS(_calc!$AE$2:$AE$3000,$B72&amp;"|"&amp;$D72,_calc!$A$2:$A$3000,$B$3,_calc!$C$2:$C$3000,X$6)=0,"",SUMIFS(_calc!$E$2:$E$3000,_calc!$AE$2:$AE$3000,$B72&amp;"|"&amp;$D72,_calc!$A$2:$A$3000,$B$3,_calc!$C$2:$C$3000,X$6)))</f>
        <v/>
      </c>
    </row>
    <row r="73" spans="1:24" x14ac:dyDescent="0.4">
      <c r="A73" s="48">
        <v>67</v>
      </c>
      <c r="B73" s="49" t="str">
        <f>IFERROR(INDEX(_calc!$I$2:$I$3000,MATCH($A73,_calc!$AB$2:$AB$3000,0)),"")</f>
        <v/>
      </c>
      <c r="C73" s="49" t="str">
        <f>IFERROR(INDEX(_calc!$H$2:$H$3000,MATCH($A73,_calc!$AB$2:$AB$3000,0)),"")</f>
        <v/>
      </c>
      <c r="D73" s="49" t="str">
        <f>IFERROR(INDEX(_calc!$K$2:$K$3000,MATCH($A73,_calc!$AB$2:$AB$3000,0)),"")</f>
        <v/>
      </c>
      <c r="E73" s="50" t="str">
        <f>IF(OR($B73="",E$6=""),"",IF(COUNTIFS(_calc!$AE$2:$AE$3000,$B73&amp;"|"&amp;$D73,_calc!$A$2:$A$3000,$B$3,_calc!$C$2:$C$3000,E$6)=0,"",SUMIFS(_calc!$E$2:$E$3000,_calc!$AE$2:$AE$3000,$B73&amp;"|"&amp;$D73,_calc!$A$2:$A$3000,$B$3,_calc!$C$2:$C$3000,E$6)))</f>
        <v/>
      </c>
      <c r="F73" s="50" t="str">
        <f>IF(OR($B73="",F$6=""),"",IF(COUNTIFS(_calc!$AE$2:$AE$3000,$B73&amp;"|"&amp;$D73,_calc!$A$2:$A$3000,$B$3,_calc!$C$2:$C$3000,F$6)=0,"",SUMIFS(_calc!$E$2:$E$3000,_calc!$AE$2:$AE$3000,$B73&amp;"|"&amp;$D73,_calc!$A$2:$A$3000,$B$3,_calc!$C$2:$C$3000,F$6)))</f>
        <v/>
      </c>
      <c r="G73" s="50" t="str">
        <f>IF(OR($B73="",G$6=""),"",IF(COUNTIFS(_calc!$AE$2:$AE$3000,$B73&amp;"|"&amp;$D73,_calc!$A$2:$A$3000,$B$3,_calc!$C$2:$C$3000,G$6)=0,"",SUMIFS(_calc!$E$2:$E$3000,_calc!$AE$2:$AE$3000,$B73&amp;"|"&amp;$D73,_calc!$A$2:$A$3000,$B$3,_calc!$C$2:$C$3000,G$6)))</f>
        <v/>
      </c>
      <c r="H73" s="50" t="str">
        <f>IF(OR($B73="",H$6=""),"",IF(COUNTIFS(_calc!$AE$2:$AE$3000,$B73&amp;"|"&amp;$D73,_calc!$A$2:$A$3000,$B$3,_calc!$C$2:$C$3000,H$6)=0,"",SUMIFS(_calc!$E$2:$E$3000,_calc!$AE$2:$AE$3000,$B73&amp;"|"&amp;$D73,_calc!$A$2:$A$3000,$B$3,_calc!$C$2:$C$3000,H$6)))</f>
        <v/>
      </c>
      <c r="I73" s="50" t="str">
        <f>IF(OR($B73="",I$6=""),"",IF(COUNTIFS(_calc!$AE$2:$AE$3000,$B73&amp;"|"&amp;$D73,_calc!$A$2:$A$3000,$B$3,_calc!$C$2:$C$3000,I$6)=0,"",SUMIFS(_calc!$E$2:$E$3000,_calc!$AE$2:$AE$3000,$B73&amp;"|"&amp;$D73,_calc!$A$2:$A$3000,$B$3,_calc!$C$2:$C$3000,I$6)))</f>
        <v/>
      </c>
      <c r="J73" s="50" t="str">
        <f>IF(OR($B73="",J$6=""),"",IF(COUNTIFS(_calc!$AE$2:$AE$3000,$B73&amp;"|"&amp;$D73,_calc!$A$2:$A$3000,$B$3,_calc!$C$2:$C$3000,J$6)=0,"",SUMIFS(_calc!$E$2:$E$3000,_calc!$AE$2:$AE$3000,$B73&amp;"|"&amp;$D73,_calc!$A$2:$A$3000,$B$3,_calc!$C$2:$C$3000,J$6)))</f>
        <v/>
      </c>
      <c r="K73" s="50" t="str">
        <f>IF(OR($B73="",K$6=""),"",IF(COUNTIFS(_calc!$AE$2:$AE$3000,$B73&amp;"|"&amp;$D73,_calc!$A$2:$A$3000,$B$3,_calc!$C$2:$C$3000,K$6)=0,"",SUMIFS(_calc!$E$2:$E$3000,_calc!$AE$2:$AE$3000,$B73&amp;"|"&amp;$D73,_calc!$A$2:$A$3000,$B$3,_calc!$C$2:$C$3000,K$6)))</f>
        <v/>
      </c>
      <c r="L73" s="50" t="str">
        <f>IF(OR($B73="",L$6=""),"",IF(COUNTIFS(_calc!$AE$2:$AE$3000,$B73&amp;"|"&amp;$D73,_calc!$A$2:$A$3000,$B$3,_calc!$C$2:$C$3000,L$6)=0,"",SUMIFS(_calc!$E$2:$E$3000,_calc!$AE$2:$AE$3000,$B73&amp;"|"&amp;$D73,_calc!$A$2:$A$3000,$B$3,_calc!$C$2:$C$3000,L$6)))</f>
        <v/>
      </c>
      <c r="M73" s="50" t="str">
        <f>IF(OR($B73="",M$6=""),"",IF(COUNTIFS(_calc!$AE$2:$AE$3000,$B73&amp;"|"&amp;$D73,_calc!$A$2:$A$3000,$B$3,_calc!$C$2:$C$3000,M$6)=0,"",SUMIFS(_calc!$E$2:$E$3000,_calc!$AE$2:$AE$3000,$B73&amp;"|"&amp;$D73,_calc!$A$2:$A$3000,$B$3,_calc!$C$2:$C$3000,M$6)))</f>
        <v/>
      </c>
      <c r="N73" s="50" t="str">
        <f>IF(OR($B73="",N$6=""),"",IF(COUNTIFS(_calc!$AE$2:$AE$3000,$B73&amp;"|"&amp;$D73,_calc!$A$2:$A$3000,$B$3,_calc!$C$2:$C$3000,N$6)=0,"",SUMIFS(_calc!$E$2:$E$3000,_calc!$AE$2:$AE$3000,$B73&amp;"|"&amp;$D73,_calc!$A$2:$A$3000,$B$3,_calc!$C$2:$C$3000,N$6)))</f>
        <v/>
      </c>
      <c r="O73" s="50" t="str">
        <f>IF(OR($B73="",O$6=""),"",IF(COUNTIFS(_calc!$AE$2:$AE$3000,$B73&amp;"|"&amp;$D73,_calc!$A$2:$A$3000,$B$3,_calc!$C$2:$C$3000,O$6)=0,"",SUMIFS(_calc!$E$2:$E$3000,_calc!$AE$2:$AE$3000,$B73&amp;"|"&amp;$D73,_calc!$A$2:$A$3000,$B$3,_calc!$C$2:$C$3000,O$6)))</f>
        <v/>
      </c>
      <c r="P73" s="50" t="str">
        <f>IF(OR($B73="",P$6=""),"",IF(COUNTIFS(_calc!$AE$2:$AE$3000,$B73&amp;"|"&amp;$D73,_calc!$A$2:$A$3000,$B$3,_calc!$C$2:$C$3000,P$6)=0,"",SUMIFS(_calc!$E$2:$E$3000,_calc!$AE$2:$AE$3000,$B73&amp;"|"&amp;$D73,_calc!$A$2:$A$3000,$B$3,_calc!$C$2:$C$3000,P$6)))</f>
        <v/>
      </c>
      <c r="Q73" s="50" t="str">
        <f>IF(OR($B73="",Q$6=""),"",IF(COUNTIFS(_calc!$AE$2:$AE$3000,$B73&amp;"|"&amp;$D73,_calc!$A$2:$A$3000,$B$3,_calc!$C$2:$C$3000,Q$6)=0,"",SUMIFS(_calc!$E$2:$E$3000,_calc!$AE$2:$AE$3000,$B73&amp;"|"&amp;$D73,_calc!$A$2:$A$3000,$B$3,_calc!$C$2:$C$3000,Q$6)))</f>
        <v/>
      </c>
      <c r="R73" s="50" t="str">
        <f>IF(OR($B73="",R$6=""),"",IF(COUNTIFS(_calc!$AE$2:$AE$3000,$B73&amp;"|"&amp;$D73,_calc!$A$2:$A$3000,$B$3,_calc!$C$2:$C$3000,R$6)=0,"",SUMIFS(_calc!$E$2:$E$3000,_calc!$AE$2:$AE$3000,$B73&amp;"|"&amp;$D73,_calc!$A$2:$A$3000,$B$3,_calc!$C$2:$C$3000,R$6)))</f>
        <v/>
      </c>
      <c r="S73" s="50" t="str">
        <f>IF(OR($B73="",S$6=""),"",IF(COUNTIFS(_calc!$AE$2:$AE$3000,$B73&amp;"|"&amp;$D73,_calc!$A$2:$A$3000,$B$3,_calc!$C$2:$C$3000,S$6)=0,"",SUMIFS(_calc!$E$2:$E$3000,_calc!$AE$2:$AE$3000,$B73&amp;"|"&amp;$D73,_calc!$A$2:$A$3000,$B$3,_calc!$C$2:$C$3000,S$6)))</f>
        <v/>
      </c>
      <c r="T73" s="50" t="str">
        <f>IF(OR($B73="",T$6=""),"",IF(COUNTIFS(_calc!$AE$2:$AE$3000,$B73&amp;"|"&amp;$D73,_calc!$A$2:$A$3000,$B$3,_calc!$C$2:$C$3000,T$6)=0,"",SUMIFS(_calc!$E$2:$E$3000,_calc!$AE$2:$AE$3000,$B73&amp;"|"&amp;$D73,_calc!$A$2:$A$3000,$B$3,_calc!$C$2:$C$3000,T$6)))</f>
        <v/>
      </c>
      <c r="U73" s="50" t="str">
        <f>IF(OR($B73="",U$6=""),"",IF(COUNTIFS(_calc!$AE$2:$AE$3000,$B73&amp;"|"&amp;$D73,_calc!$A$2:$A$3000,$B$3,_calc!$C$2:$C$3000,U$6)=0,"",SUMIFS(_calc!$E$2:$E$3000,_calc!$AE$2:$AE$3000,$B73&amp;"|"&amp;$D73,_calc!$A$2:$A$3000,$B$3,_calc!$C$2:$C$3000,U$6)))</f>
        <v/>
      </c>
      <c r="V73" s="50" t="str">
        <f>IF(OR($B73="",V$6=""),"",IF(COUNTIFS(_calc!$AE$2:$AE$3000,$B73&amp;"|"&amp;$D73,_calc!$A$2:$A$3000,$B$3,_calc!$C$2:$C$3000,V$6)=0,"",SUMIFS(_calc!$E$2:$E$3000,_calc!$AE$2:$AE$3000,$B73&amp;"|"&amp;$D73,_calc!$A$2:$A$3000,$B$3,_calc!$C$2:$C$3000,V$6)))</f>
        <v/>
      </c>
      <c r="W73" s="50" t="str">
        <f>IF(OR($B73="",W$6=""),"",IF(COUNTIFS(_calc!$AE$2:$AE$3000,$B73&amp;"|"&amp;$D73,_calc!$A$2:$A$3000,$B$3,_calc!$C$2:$C$3000,W$6)=0,"",SUMIFS(_calc!$E$2:$E$3000,_calc!$AE$2:$AE$3000,$B73&amp;"|"&amp;$D73,_calc!$A$2:$A$3000,$B$3,_calc!$C$2:$C$3000,W$6)))</f>
        <v/>
      </c>
      <c r="X73" s="50" t="str">
        <f>IF(OR($B73="",X$6=""),"",IF(COUNTIFS(_calc!$AE$2:$AE$3000,$B73&amp;"|"&amp;$D73,_calc!$A$2:$A$3000,$B$3,_calc!$C$2:$C$3000,X$6)=0,"",SUMIFS(_calc!$E$2:$E$3000,_calc!$AE$2:$AE$3000,$B73&amp;"|"&amp;$D73,_calc!$A$2:$A$3000,$B$3,_calc!$C$2:$C$3000,X$6)))</f>
        <v/>
      </c>
    </row>
    <row r="74" spans="1:24" x14ac:dyDescent="0.4">
      <c r="A74" s="48">
        <v>68</v>
      </c>
      <c r="B74" s="49" t="str">
        <f>IFERROR(INDEX(_calc!$I$2:$I$3000,MATCH($A74,_calc!$AB$2:$AB$3000,0)),"")</f>
        <v/>
      </c>
      <c r="C74" s="49" t="str">
        <f>IFERROR(INDEX(_calc!$H$2:$H$3000,MATCH($A74,_calc!$AB$2:$AB$3000,0)),"")</f>
        <v/>
      </c>
      <c r="D74" s="49" t="str">
        <f>IFERROR(INDEX(_calc!$K$2:$K$3000,MATCH($A74,_calc!$AB$2:$AB$3000,0)),"")</f>
        <v/>
      </c>
      <c r="E74" s="50" t="str">
        <f>IF(OR($B74="",E$6=""),"",IF(COUNTIFS(_calc!$AE$2:$AE$3000,$B74&amp;"|"&amp;$D74,_calc!$A$2:$A$3000,$B$3,_calc!$C$2:$C$3000,E$6)=0,"",SUMIFS(_calc!$E$2:$E$3000,_calc!$AE$2:$AE$3000,$B74&amp;"|"&amp;$D74,_calc!$A$2:$A$3000,$B$3,_calc!$C$2:$C$3000,E$6)))</f>
        <v/>
      </c>
      <c r="F74" s="50" t="str">
        <f>IF(OR($B74="",F$6=""),"",IF(COUNTIFS(_calc!$AE$2:$AE$3000,$B74&amp;"|"&amp;$D74,_calc!$A$2:$A$3000,$B$3,_calc!$C$2:$C$3000,F$6)=0,"",SUMIFS(_calc!$E$2:$E$3000,_calc!$AE$2:$AE$3000,$B74&amp;"|"&amp;$D74,_calc!$A$2:$A$3000,$B$3,_calc!$C$2:$C$3000,F$6)))</f>
        <v/>
      </c>
      <c r="G74" s="50" t="str">
        <f>IF(OR($B74="",G$6=""),"",IF(COUNTIFS(_calc!$AE$2:$AE$3000,$B74&amp;"|"&amp;$D74,_calc!$A$2:$A$3000,$B$3,_calc!$C$2:$C$3000,G$6)=0,"",SUMIFS(_calc!$E$2:$E$3000,_calc!$AE$2:$AE$3000,$B74&amp;"|"&amp;$D74,_calc!$A$2:$A$3000,$B$3,_calc!$C$2:$C$3000,G$6)))</f>
        <v/>
      </c>
      <c r="H74" s="50" t="str">
        <f>IF(OR($B74="",H$6=""),"",IF(COUNTIFS(_calc!$AE$2:$AE$3000,$B74&amp;"|"&amp;$D74,_calc!$A$2:$A$3000,$B$3,_calc!$C$2:$C$3000,H$6)=0,"",SUMIFS(_calc!$E$2:$E$3000,_calc!$AE$2:$AE$3000,$B74&amp;"|"&amp;$D74,_calc!$A$2:$A$3000,$B$3,_calc!$C$2:$C$3000,H$6)))</f>
        <v/>
      </c>
      <c r="I74" s="50" t="str">
        <f>IF(OR($B74="",I$6=""),"",IF(COUNTIFS(_calc!$AE$2:$AE$3000,$B74&amp;"|"&amp;$D74,_calc!$A$2:$A$3000,$B$3,_calc!$C$2:$C$3000,I$6)=0,"",SUMIFS(_calc!$E$2:$E$3000,_calc!$AE$2:$AE$3000,$B74&amp;"|"&amp;$D74,_calc!$A$2:$A$3000,$B$3,_calc!$C$2:$C$3000,I$6)))</f>
        <v/>
      </c>
      <c r="J74" s="50" t="str">
        <f>IF(OR($B74="",J$6=""),"",IF(COUNTIFS(_calc!$AE$2:$AE$3000,$B74&amp;"|"&amp;$D74,_calc!$A$2:$A$3000,$B$3,_calc!$C$2:$C$3000,J$6)=0,"",SUMIFS(_calc!$E$2:$E$3000,_calc!$AE$2:$AE$3000,$B74&amp;"|"&amp;$D74,_calc!$A$2:$A$3000,$B$3,_calc!$C$2:$C$3000,J$6)))</f>
        <v/>
      </c>
      <c r="K74" s="50" t="str">
        <f>IF(OR($B74="",K$6=""),"",IF(COUNTIFS(_calc!$AE$2:$AE$3000,$B74&amp;"|"&amp;$D74,_calc!$A$2:$A$3000,$B$3,_calc!$C$2:$C$3000,K$6)=0,"",SUMIFS(_calc!$E$2:$E$3000,_calc!$AE$2:$AE$3000,$B74&amp;"|"&amp;$D74,_calc!$A$2:$A$3000,$B$3,_calc!$C$2:$C$3000,K$6)))</f>
        <v/>
      </c>
      <c r="L74" s="50" t="str">
        <f>IF(OR($B74="",L$6=""),"",IF(COUNTIFS(_calc!$AE$2:$AE$3000,$B74&amp;"|"&amp;$D74,_calc!$A$2:$A$3000,$B$3,_calc!$C$2:$C$3000,L$6)=0,"",SUMIFS(_calc!$E$2:$E$3000,_calc!$AE$2:$AE$3000,$B74&amp;"|"&amp;$D74,_calc!$A$2:$A$3000,$B$3,_calc!$C$2:$C$3000,L$6)))</f>
        <v/>
      </c>
      <c r="M74" s="50" t="str">
        <f>IF(OR($B74="",M$6=""),"",IF(COUNTIFS(_calc!$AE$2:$AE$3000,$B74&amp;"|"&amp;$D74,_calc!$A$2:$A$3000,$B$3,_calc!$C$2:$C$3000,M$6)=0,"",SUMIFS(_calc!$E$2:$E$3000,_calc!$AE$2:$AE$3000,$B74&amp;"|"&amp;$D74,_calc!$A$2:$A$3000,$B$3,_calc!$C$2:$C$3000,M$6)))</f>
        <v/>
      </c>
      <c r="N74" s="50" t="str">
        <f>IF(OR($B74="",N$6=""),"",IF(COUNTIFS(_calc!$AE$2:$AE$3000,$B74&amp;"|"&amp;$D74,_calc!$A$2:$A$3000,$B$3,_calc!$C$2:$C$3000,N$6)=0,"",SUMIFS(_calc!$E$2:$E$3000,_calc!$AE$2:$AE$3000,$B74&amp;"|"&amp;$D74,_calc!$A$2:$A$3000,$B$3,_calc!$C$2:$C$3000,N$6)))</f>
        <v/>
      </c>
      <c r="O74" s="50" t="str">
        <f>IF(OR($B74="",O$6=""),"",IF(COUNTIFS(_calc!$AE$2:$AE$3000,$B74&amp;"|"&amp;$D74,_calc!$A$2:$A$3000,$B$3,_calc!$C$2:$C$3000,O$6)=0,"",SUMIFS(_calc!$E$2:$E$3000,_calc!$AE$2:$AE$3000,$B74&amp;"|"&amp;$D74,_calc!$A$2:$A$3000,$B$3,_calc!$C$2:$C$3000,O$6)))</f>
        <v/>
      </c>
      <c r="P74" s="50" t="str">
        <f>IF(OR($B74="",P$6=""),"",IF(COUNTIFS(_calc!$AE$2:$AE$3000,$B74&amp;"|"&amp;$D74,_calc!$A$2:$A$3000,$B$3,_calc!$C$2:$C$3000,P$6)=0,"",SUMIFS(_calc!$E$2:$E$3000,_calc!$AE$2:$AE$3000,$B74&amp;"|"&amp;$D74,_calc!$A$2:$A$3000,$B$3,_calc!$C$2:$C$3000,P$6)))</f>
        <v/>
      </c>
      <c r="Q74" s="50" t="str">
        <f>IF(OR($B74="",Q$6=""),"",IF(COUNTIFS(_calc!$AE$2:$AE$3000,$B74&amp;"|"&amp;$D74,_calc!$A$2:$A$3000,$B$3,_calc!$C$2:$C$3000,Q$6)=0,"",SUMIFS(_calc!$E$2:$E$3000,_calc!$AE$2:$AE$3000,$B74&amp;"|"&amp;$D74,_calc!$A$2:$A$3000,$B$3,_calc!$C$2:$C$3000,Q$6)))</f>
        <v/>
      </c>
      <c r="R74" s="50" t="str">
        <f>IF(OR($B74="",R$6=""),"",IF(COUNTIFS(_calc!$AE$2:$AE$3000,$B74&amp;"|"&amp;$D74,_calc!$A$2:$A$3000,$B$3,_calc!$C$2:$C$3000,R$6)=0,"",SUMIFS(_calc!$E$2:$E$3000,_calc!$AE$2:$AE$3000,$B74&amp;"|"&amp;$D74,_calc!$A$2:$A$3000,$B$3,_calc!$C$2:$C$3000,R$6)))</f>
        <v/>
      </c>
      <c r="S74" s="50" t="str">
        <f>IF(OR($B74="",S$6=""),"",IF(COUNTIFS(_calc!$AE$2:$AE$3000,$B74&amp;"|"&amp;$D74,_calc!$A$2:$A$3000,$B$3,_calc!$C$2:$C$3000,S$6)=0,"",SUMIFS(_calc!$E$2:$E$3000,_calc!$AE$2:$AE$3000,$B74&amp;"|"&amp;$D74,_calc!$A$2:$A$3000,$B$3,_calc!$C$2:$C$3000,S$6)))</f>
        <v/>
      </c>
      <c r="T74" s="50" t="str">
        <f>IF(OR($B74="",T$6=""),"",IF(COUNTIFS(_calc!$AE$2:$AE$3000,$B74&amp;"|"&amp;$D74,_calc!$A$2:$A$3000,$B$3,_calc!$C$2:$C$3000,T$6)=0,"",SUMIFS(_calc!$E$2:$E$3000,_calc!$AE$2:$AE$3000,$B74&amp;"|"&amp;$D74,_calc!$A$2:$A$3000,$B$3,_calc!$C$2:$C$3000,T$6)))</f>
        <v/>
      </c>
      <c r="U74" s="50" t="str">
        <f>IF(OR($B74="",U$6=""),"",IF(COUNTIFS(_calc!$AE$2:$AE$3000,$B74&amp;"|"&amp;$D74,_calc!$A$2:$A$3000,$B$3,_calc!$C$2:$C$3000,U$6)=0,"",SUMIFS(_calc!$E$2:$E$3000,_calc!$AE$2:$AE$3000,$B74&amp;"|"&amp;$D74,_calc!$A$2:$A$3000,$B$3,_calc!$C$2:$C$3000,U$6)))</f>
        <v/>
      </c>
      <c r="V74" s="50" t="str">
        <f>IF(OR($B74="",V$6=""),"",IF(COUNTIFS(_calc!$AE$2:$AE$3000,$B74&amp;"|"&amp;$D74,_calc!$A$2:$A$3000,$B$3,_calc!$C$2:$C$3000,V$6)=0,"",SUMIFS(_calc!$E$2:$E$3000,_calc!$AE$2:$AE$3000,$B74&amp;"|"&amp;$D74,_calc!$A$2:$A$3000,$B$3,_calc!$C$2:$C$3000,V$6)))</f>
        <v/>
      </c>
      <c r="W74" s="50" t="str">
        <f>IF(OR($B74="",W$6=""),"",IF(COUNTIFS(_calc!$AE$2:$AE$3000,$B74&amp;"|"&amp;$D74,_calc!$A$2:$A$3000,$B$3,_calc!$C$2:$C$3000,W$6)=0,"",SUMIFS(_calc!$E$2:$E$3000,_calc!$AE$2:$AE$3000,$B74&amp;"|"&amp;$D74,_calc!$A$2:$A$3000,$B$3,_calc!$C$2:$C$3000,W$6)))</f>
        <v/>
      </c>
      <c r="X74" s="50" t="str">
        <f>IF(OR($B74="",X$6=""),"",IF(COUNTIFS(_calc!$AE$2:$AE$3000,$B74&amp;"|"&amp;$D74,_calc!$A$2:$A$3000,$B$3,_calc!$C$2:$C$3000,X$6)=0,"",SUMIFS(_calc!$E$2:$E$3000,_calc!$AE$2:$AE$3000,$B74&amp;"|"&amp;$D74,_calc!$A$2:$A$3000,$B$3,_calc!$C$2:$C$3000,X$6)))</f>
        <v/>
      </c>
    </row>
    <row r="75" spans="1:24" x14ac:dyDescent="0.4">
      <c r="A75" s="48">
        <v>69</v>
      </c>
      <c r="B75" s="49" t="str">
        <f>IFERROR(INDEX(_calc!$I$2:$I$3000,MATCH($A75,_calc!$AB$2:$AB$3000,0)),"")</f>
        <v/>
      </c>
      <c r="C75" s="49" t="str">
        <f>IFERROR(INDEX(_calc!$H$2:$H$3000,MATCH($A75,_calc!$AB$2:$AB$3000,0)),"")</f>
        <v/>
      </c>
      <c r="D75" s="49" t="str">
        <f>IFERROR(INDEX(_calc!$K$2:$K$3000,MATCH($A75,_calc!$AB$2:$AB$3000,0)),"")</f>
        <v/>
      </c>
      <c r="E75" s="50" t="str">
        <f>IF(OR($B75="",E$6=""),"",IF(COUNTIFS(_calc!$AE$2:$AE$3000,$B75&amp;"|"&amp;$D75,_calc!$A$2:$A$3000,$B$3,_calc!$C$2:$C$3000,E$6)=0,"",SUMIFS(_calc!$E$2:$E$3000,_calc!$AE$2:$AE$3000,$B75&amp;"|"&amp;$D75,_calc!$A$2:$A$3000,$B$3,_calc!$C$2:$C$3000,E$6)))</f>
        <v/>
      </c>
      <c r="F75" s="50" t="str">
        <f>IF(OR($B75="",F$6=""),"",IF(COUNTIFS(_calc!$AE$2:$AE$3000,$B75&amp;"|"&amp;$D75,_calc!$A$2:$A$3000,$B$3,_calc!$C$2:$C$3000,F$6)=0,"",SUMIFS(_calc!$E$2:$E$3000,_calc!$AE$2:$AE$3000,$B75&amp;"|"&amp;$D75,_calc!$A$2:$A$3000,$B$3,_calc!$C$2:$C$3000,F$6)))</f>
        <v/>
      </c>
      <c r="G75" s="50" t="str">
        <f>IF(OR($B75="",G$6=""),"",IF(COUNTIFS(_calc!$AE$2:$AE$3000,$B75&amp;"|"&amp;$D75,_calc!$A$2:$A$3000,$B$3,_calc!$C$2:$C$3000,G$6)=0,"",SUMIFS(_calc!$E$2:$E$3000,_calc!$AE$2:$AE$3000,$B75&amp;"|"&amp;$D75,_calc!$A$2:$A$3000,$B$3,_calc!$C$2:$C$3000,G$6)))</f>
        <v/>
      </c>
      <c r="H75" s="50" t="str">
        <f>IF(OR($B75="",H$6=""),"",IF(COUNTIFS(_calc!$AE$2:$AE$3000,$B75&amp;"|"&amp;$D75,_calc!$A$2:$A$3000,$B$3,_calc!$C$2:$C$3000,H$6)=0,"",SUMIFS(_calc!$E$2:$E$3000,_calc!$AE$2:$AE$3000,$B75&amp;"|"&amp;$D75,_calc!$A$2:$A$3000,$B$3,_calc!$C$2:$C$3000,H$6)))</f>
        <v/>
      </c>
      <c r="I75" s="50" t="str">
        <f>IF(OR($B75="",I$6=""),"",IF(COUNTIFS(_calc!$AE$2:$AE$3000,$B75&amp;"|"&amp;$D75,_calc!$A$2:$A$3000,$B$3,_calc!$C$2:$C$3000,I$6)=0,"",SUMIFS(_calc!$E$2:$E$3000,_calc!$AE$2:$AE$3000,$B75&amp;"|"&amp;$D75,_calc!$A$2:$A$3000,$B$3,_calc!$C$2:$C$3000,I$6)))</f>
        <v/>
      </c>
      <c r="J75" s="50" t="str">
        <f>IF(OR($B75="",J$6=""),"",IF(COUNTIFS(_calc!$AE$2:$AE$3000,$B75&amp;"|"&amp;$D75,_calc!$A$2:$A$3000,$B$3,_calc!$C$2:$C$3000,J$6)=0,"",SUMIFS(_calc!$E$2:$E$3000,_calc!$AE$2:$AE$3000,$B75&amp;"|"&amp;$D75,_calc!$A$2:$A$3000,$B$3,_calc!$C$2:$C$3000,J$6)))</f>
        <v/>
      </c>
      <c r="K75" s="50" t="str">
        <f>IF(OR($B75="",K$6=""),"",IF(COUNTIFS(_calc!$AE$2:$AE$3000,$B75&amp;"|"&amp;$D75,_calc!$A$2:$A$3000,$B$3,_calc!$C$2:$C$3000,K$6)=0,"",SUMIFS(_calc!$E$2:$E$3000,_calc!$AE$2:$AE$3000,$B75&amp;"|"&amp;$D75,_calc!$A$2:$A$3000,$B$3,_calc!$C$2:$C$3000,K$6)))</f>
        <v/>
      </c>
      <c r="L75" s="50" t="str">
        <f>IF(OR($B75="",L$6=""),"",IF(COUNTIFS(_calc!$AE$2:$AE$3000,$B75&amp;"|"&amp;$D75,_calc!$A$2:$A$3000,$B$3,_calc!$C$2:$C$3000,L$6)=0,"",SUMIFS(_calc!$E$2:$E$3000,_calc!$AE$2:$AE$3000,$B75&amp;"|"&amp;$D75,_calc!$A$2:$A$3000,$B$3,_calc!$C$2:$C$3000,L$6)))</f>
        <v/>
      </c>
      <c r="M75" s="50" t="str">
        <f>IF(OR($B75="",M$6=""),"",IF(COUNTIFS(_calc!$AE$2:$AE$3000,$B75&amp;"|"&amp;$D75,_calc!$A$2:$A$3000,$B$3,_calc!$C$2:$C$3000,M$6)=0,"",SUMIFS(_calc!$E$2:$E$3000,_calc!$AE$2:$AE$3000,$B75&amp;"|"&amp;$D75,_calc!$A$2:$A$3000,$B$3,_calc!$C$2:$C$3000,M$6)))</f>
        <v/>
      </c>
      <c r="N75" s="50" t="str">
        <f>IF(OR($B75="",N$6=""),"",IF(COUNTIFS(_calc!$AE$2:$AE$3000,$B75&amp;"|"&amp;$D75,_calc!$A$2:$A$3000,$B$3,_calc!$C$2:$C$3000,N$6)=0,"",SUMIFS(_calc!$E$2:$E$3000,_calc!$AE$2:$AE$3000,$B75&amp;"|"&amp;$D75,_calc!$A$2:$A$3000,$B$3,_calc!$C$2:$C$3000,N$6)))</f>
        <v/>
      </c>
      <c r="O75" s="50" t="str">
        <f>IF(OR($B75="",O$6=""),"",IF(COUNTIFS(_calc!$AE$2:$AE$3000,$B75&amp;"|"&amp;$D75,_calc!$A$2:$A$3000,$B$3,_calc!$C$2:$C$3000,O$6)=0,"",SUMIFS(_calc!$E$2:$E$3000,_calc!$AE$2:$AE$3000,$B75&amp;"|"&amp;$D75,_calc!$A$2:$A$3000,$B$3,_calc!$C$2:$C$3000,O$6)))</f>
        <v/>
      </c>
      <c r="P75" s="50" t="str">
        <f>IF(OR($B75="",P$6=""),"",IF(COUNTIFS(_calc!$AE$2:$AE$3000,$B75&amp;"|"&amp;$D75,_calc!$A$2:$A$3000,$B$3,_calc!$C$2:$C$3000,P$6)=0,"",SUMIFS(_calc!$E$2:$E$3000,_calc!$AE$2:$AE$3000,$B75&amp;"|"&amp;$D75,_calc!$A$2:$A$3000,$B$3,_calc!$C$2:$C$3000,P$6)))</f>
        <v/>
      </c>
      <c r="Q75" s="50" t="str">
        <f>IF(OR($B75="",Q$6=""),"",IF(COUNTIFS(_calc!$AE$2:$AE$3000,$B75&amp;"|"&amp;$D75,_calc!$A$2:$A$3000,$B$3,_calc!$C$2:$C$3000,Q$6)=0,"",SUMIFS(_calc!$E$2:$E$3000,_calc!$AE$2:$AE$3000,$B75&amp;"|"&amp;$D75,_calc!$A$2:$A$3000,$B$3,_calc!$C$2:$C$3000,Q$6)))</f>
        <v/>
      </c>
      <c r="R75" s="50" t="str">
        <f>IF(OR($B75="",R$6=""),"",IF(COUNTIFS(_calc!$AE$2:$AE$3000,$B75&amp;"|"&amp;$D75,_calc!$A$2:$A$3000,$B$3,_calc!$C$2:$C$3000,R$6)=0,"",SUMIFS(_calc!$E$2:$E$3000,_calc!$AE$2:$AE$3000,$B75&amp;"|"&amp;$D75,_calc!$A$2:$A$3000,$B$3,_calc!$C$2:$C$3000,R$6)))</f>
        <v/>
      </c>
      <c r="S75" s="50" t="str">
        <f>IF(OR($B75="",S$6=""),"",IF(COUNTIFS(_calc!$AE$2:$AE$3000,$B75&amp;"|"&amp;$D75,_calc!$A$2:$A$3000,$B$3,_calc!$C$2:$C$3000,S$6)=0,"",SUMIFS(_calc!$E$2:$E$3000,_calc!$AE$2:$AE$3000,$B75&amp;"|"&amp;$D75,_calc!$A$2:$A$3000,$B$3,_calc!$C$2:$C$3000,S$6)))</f>
        <v/>
      </c>
      <c r="T75" s="50" t="str">
        <f>IF(OR($B75="",T$6=""),"",IF(COUNTIFS(_calc!$AE$2:$AE$3000,$B75&amp;"|"&amp;$D75,_calc!$A$2:$A$3000,$B$3,_calc!$C$2:$C$3000,T$6)=0,"",SUMIFS(_calc!$E$2:$E$3000,_calc!$AE$2:$AE$3000,$B75&amp;"|"&amp;$D75,_calc!$A$2:$A$3000,$B$3,_calc!$C$2:$C$3000,T$6)))</f>
        <v/>
      </c>
      <c r="U75" s="50" t="str">
        <f>IF(OR($B75="",U$6=""),"",IF(COUNTIFS(_calc!$AE$2:$AE$3000,$B75&amp;"|"&amp;$D75,_calc!$A$2:$A$3000,$B$3,_calc!$C$2:$C$3000,U$6)=0,"",SUMIFS(_calc!$E$2:$E$3000,_calc!$AE$2:$AE$3000,$B75&amp;"|"&amp;$D75,_calc!$A$2:$A$3000,$B$3,_calc!$C$2:$C$3000,U$6)))</f>
        <v/>
      </c>
      <c r="V75" s="50" t="str">
        <f>IF(OR($B75="",V$6=""),"",IF(COUNTIFS(_calc!$AE$2:$AE$3000,$B75&amp;"|"&amp;$D75,_calc!$A$2:$A$3000,$B$3,_calc!$C$2:$C$3000,V$6)=0,"",SUMIFS(_calc!$E$2:$E$3000,_calc!$AE$2:$AE$3000,$B75&amp;"|"&amp;$D75,_calc!$A$2:$A$3000,$B$3,_calc!$C$2:$C$3000,V$6)))</f>
        <v/>
      </c>
      <c r="W75" s="50" t="str">
        <f>IF(OR($B75="",W$6=""),"",IF(COUNTIFS(_calc!$AE$2:$AE$3000,$B75&amp;"|"&amp;$D75,_calc!$A$2:$A$3000,$B$3,_calc!$C$2:$C$3000,W$6)=0,"",SUMIFS(_calc!$E$2:$E$3000,_calc!$AE$2:$AE$3000,$B75&amp;"|"&amp;$D75,_calc!$A$2:$A$3000,$B$3,_calc!$C$2:$C$3000,W$6)))</f>
        <v/>
      </c>
      <c r="X75" s="50" t="str">
        <f>IF(OR($B75="",X$6=""),"",IF(COUNTIFS(_calc!$AE$2:$AE$3000,$B75&amp;"|"&amp;$D75,_calc!$A$2:$A$3000,$B$3,_calc!$C$2:$C$3000,X$6)=0,"",SUMIFS(_calc!$E$2:$E$3000,_calc!$AE$2:$AE$3000,$B75&amp;"|"&amp;$D75,_calc!$A$2:$A$3000,$B$3,_calc!$C$2:$C$3000,X$6)))</f>
        <v/>
      </c>
    </row>
    <row r="76" spans="1:24" x14ac:dyDescent="0.4">
      <c r="A76" s="48">
        <v>70</v>
      </c>
      <c r="B76" s="49" t="str">
        <f>IFERROR(INDEX(_calc!$I$2:$I$3000,MATCH($A76,_calc!$AB$2:$AB$3000,0)),"")</f>
        <v/>
      </c>
      <c r="C76" s="49" t="str">
        <f>IFERROR(INDEX(_calc!$H$2:$H$3000,MATCH($A76,_calc!$AB$2:$AB$3000,0)),"")</f>
        <v/>
      </c>
      <c r="D76" s="49" t="str">
        <f>IFERROR(INDEX(_calc!$K$2:$K$3000,MATCH($A76,_calc!$AB$2:$AB$3000,0)),"")</f>
        <v/>
      </c>
      <c r="E76" s="50" t="str">
        <f>IF(OR($B76="",E$6=""),"",IF(COUNTIFS(_calc!$AE$2:$AE$3000,$B76&amp;"|"&amp;$D76,_calc!$A$2:$A$3000,$B$3,_calc!$C$2:$C$3000,E$6)=0,"",SUMIFS(_calc!$E$2:$E$3000,_calc!$AE$2:$AE$3000,$B76&amp;"|"&amp;$D76,_calc!$A$2:$A$3000,$B$3,_calc!$C$2:$C$3000,E$6)))</f>
        <v/>
      </c>
      <c r="F76" s="50" t="str">
        <f>IF(OR($B76="",F$6=""),"",IF(COUNTIFS(_calc!$AE$2:$AE$3000,$B76&amp;"|"&amp;$D76,_calc!$A$2:$A$3000,$B$3,_calc!$C$2:$C$3000,F$6)=0,"",SUMIFS(_calc!$E$2:$E$3000,_calc!$AE$2:$AE$3000,$B76&amp;"|"&amp;$D76,_calc!$A$2:$A$3000,$B$3,_calc!$C$2:$C$3000,F$6)))</f>
        <v/>
      </c>
      <c r="G76" s="50" t="str">
        <f>IF(OR($B76="",G$6=""),"",IF(COUNTIFS(_calc!$AE$2:$AE$3000,$B76&amp;"|"&amp;$D76,_calc!$A$2:$A$3000,$B$3,_calc!$C$2:$C$3000,G$6)=0,"",SUMIFS(_calc!$E$2:$E$3000,_calc!$AE$2:$AE$3000,$B76&amp;"|"&amp;$D76,_calc!$A$2:$A$3000,$B$3,_calc!$C$2:$C$3000,G$6)))</f>
        <v/>
      </c>
      <c r="H76" s="50" t="str">
        <f>IF(OR($B76="",H$6=""),"",IF(COUNTIFS(_calc!$AE$2:$AE$3000,$B76&amp;"|"&amp;$D76,_calc!$A$2:$A$3000,$B$3,_calc!$C$2:$C$3000,H$6)=0,"",SUMIFS(_calc!$E$2:$E$3000,_calc!$AE$2:$AE$3000,$B76&amp;"|"&amp;$D76,_calc!$A$2:$A$3000,$B$3,_calc!$C$2:$C$3000,H$6)))</f>
        <v/>
      </c>
      <c r="I76" s="50" t="str">
        <f>IF(OR($B76="",I$6=""),"",IF(COUNTIFS(_calc!$AE$2:$AE$3000,$B76&amp;"|"&amp;$D76,_calc!$A$2:$A$3000,$B$3,_calc!$C$2:$C$3000,I$6)=0,"",SUMIFS(_calc!$E$2:$E$3000,_calc!$AE$2:$AE$3000,$B76&amp;"|"&amp;$D76,_calc!$A$2:$A$3000,$B$3,_calc!$C$2:$C$3000,I$6)))</f>
        <v/>
      </c>
      <c r="J76" s="50" t="str">
        <f>IF(OR($B76="",J$6=""),"",IF(COUNTIFS(_calc!$AE$2:$AE$3000,$B76&amp;"|"&amp;$D76,_calc!$A$2:$A$3000,$B$3,_calc!$C$2:$C$3000,J$6)=0,"",SUMIFS(_calc!$E$2:$E$3000,_calc!$AE$2:$AE$3000,$B76&amp;"|"&amp;$D76,_calc!$A$2:$A$3000,$B$3,_calc!$C$2:$C$3000,J$6)))</f>
        <v/>
      </c>
      <c r="K76" s="50" t="str">
        <f>IF(OR($B76="",K$6=""),"",IF(COUNTIFS(_calc!$AE$2:$AE$3000,$B76&amp;"|"&amp;$D76,_calc!$A$2:$A$3000,$B$3,_calc!$C$2:$C$3000,K$6)=0,"",SUMIFS(_calc!$E$2:$E$3000,_calc!$AE$2:$AE$3000,$B76&amp;"|"&amp;$D76,_calc!$A$2:$A$3000,$B$3,_calc!$C$2:$C$3000,K$6)))</f>
        <v/>
      </c>
      <c r="L76" s="50" t="str">
        <f>IF(OR($B76="",L$6=""),"",IF(COUNTIFS(_calc!$AE$2:$AE$3000,$B76&amp;"|"&amp;$D76,_calc!$A$2:$A$3000,$B$3,_calc!$C$2:$C$3000,L$6)=0,"",SUMIFS(_calc!$E$2:$E$3000,_calc!$AE$2:$AE$3000,$B76&amp;"|"&amp;$D76,_calc!$A$2:$A$3000,$B$3,_calc!$C$2:$C$3000,L$6)))</f>
        <v/>
      </c>
      <c r="M76" s="50" t="str">
        <f>IF(OR($B76="",M$6=""),"",IF(COUNTIFS(_calc!$AE$2:$AE$3000,$B76&amp;"|"&amp;$D76,_calc!$A$2:$A$3000,$B$3,_calc!$C$2:$C$3000,M$6)=0,"",SUMIFS(_calc!$E$2:$E$3000,_calc!$AE$2:$AE$3000,$B76&amp;"|"&amp;$D76,_calc!$A$2:$A$3000,$B$3,_calc!$C$2:$C$3000,M$6)))</f>
        <v/>
      </c>
      <c r="N76" s="50" t="str">
        <f>IF(OR($B76="",N$6=""),"",IF(COUNTIFS(_calc!$AE$2:$AE$3000,$B76&amp;"|"&amp;$D76,_calc!$A$2:$A$3000,$B$3,_calc!$C$2:$C$3000,N$6)=0,"",SUMIFS(_calc!$E$2:$E$3000,_calc!$AE$2:$AE$3000,$B76&amp;"|"&amp;$D76,_calc!$A$2:$A$3000,$B$3,_calc!$C$2:$C$3000,N$6)))</f>
        <v/>
      </c>
      <c r="O76" s="50" t="str">
        <f>IF(OR($B76="",O$6=""),"",IF(COUNTIFS(_calc!$AE$2:$AE$3000,$B76&amp;"|"&amp;$D76,_calc!$A$2:$A$3000,$B$3,_calc!$C$2:$C$3000,O$6)=0,"",SUMIFS(_calc!$E$2:$E$3000,_calc!$AE$2:$AE$3000,$B76&amp;"|"&amp;$D76,_calc!$A$2:$A$3000,$B$3,_calc!$C$2:$C$3000,O$6)))</f>
        <v/>
      </c>
      <c r="P76" s="50" t="str">
        <f>IF(OR($B76="",P$6=""),"",IF(COUNTIFS(_calc!$AE$2:$AE$3000,$B76&amp;"|"&amp;$D76,_calc!$A$2:$A$3000,$B$3,_calc!$C$2:$C$3000,P$6)=0,"",SUMIFS(_calc!$E$2:$E$3000,_calc!$AE$2:$AE$3000,$B76&amp;"|"&amp;$D76,_calc!$A$2:$A$3000,$B$3,_calc!$C$2:$C$3000,P$6)))</f>
        <v/>
      </c>
      <c r="Q76" s="50" t="str">
        <f>IF(OR($B76="",Q$6=""),"",IF(COUNTIFS(_calc!$AE$2:$AE$3000,$B76&amp;"|"&amp;$D76,_calc!$A$2:$A$3000,$B$3,_calc!$C$2:$C$3000,Q$6)=0,"",SUMIFS(_calc!$E$2:$E$3000,_calc!$AE$2:$AE$3000,$B76&amp;"|"&amp;$D76,_calc!$A$2:$A$3000,$B$3,_calc!$C$2:$C$3000,Q$6)))</f>
        <v/>
      </c>
      <c r="R76" s="50" t="str">
        <f>IF(OR($B76="",R$6=""),"",IF(COUNTIFS(_calc!$AE$2:$AE$3000,$B76&amp;"|"&amp;$D76,_calc!$A$2:$A$3000,$B$3,_calc!$C$2:$C$3000,R$6)=0,"",SUMIFS(_calc!$E$2:$E$3000,_calc!$AE$2:$AE$3000,$B76&amp;"|"&amp;$D76,_calc!$A$2:$A$3000,$B$3,_calc!$C$2:$C$3000,R$6)))</f>
        <v/>
      </c>
      <c r="S76" s="50" t="str">
        <f>IF(OR($B76="",S$6=""),"",IF(COUNTIFS(_calc!$AE$2:$AE$3000,$B76&amp;"|"&amp;$D76,_calc!$A$2:$A$3000,$B$3,_calc!$C$2:$C$3000,S$6)=0,"",SUMIFS(_calc!$E$2:$E$3000,_calc!$AE$2:$AE$3000,$B76&amp;"|"&amp;$D76,_calc!$A$2:$A$3000,$B$3,_calc!$C$2:$C$3000,S$6)))</f>
        <v/>
      </c>
      <c r="T76" s="50" t="str">
        <f>IF(OR($B76="",T$6=""),"",IF(COUNTIFS(_calc!$AE$2:$AE$3000,$B76&amp;"|"&amp;$D76,_calc!$A$2:$A$3000,$B$3,_calc!$C$2:$C$3000,T$6)=0,"",SUMIFS(_calc!$E$2:$E$3000,_calc!$AE$2:$AE$3000,$B76&amp;"|"&amp;$D76,_calc!$A$2:$A$3000,$B$3,_calc!$C$2:$C$3000,T$6)))</f>
        <v/>
      </c>
      <c r="U76" s="50" t="str">
        <f>IF(OR($B76="",U$6=""),"",IF(COUNTIFS(_calc!$AE$2:$AE$3000,$B76&amp;"|"&amp;$D76,_calc!$A$2:$A$3000,$B$3,_calc!$C$2:$C$3000,U$6)=0,"",SUMIFS(_calc!$E$2:$E$3000,_calc!$AE$2:$AE$3000,$B76&amp;"|"&amp;$D76,_calc!$A$2:$A$3000,$B$3,_calc!$C$2:$C$3000,U$6)))</f>
        <v/>
      </c>
      <c r="V76" s="50" t="str">
        <f>IF(OR($B76="",V$6=""),"",IF(COUNTIFS(_calc!$AE$2:$AE$3000,$B76&amp;"|"&amp;$D76,_calc!$A$2:$A$3000,$B$3,_calc!$C$2:$C$3000,V$6)=0,"",SUMIFS(_calc!$E$2:$E$3000,_calc!$AE$2:$AE$3000,$B76&amp;"|"&amp;$D76,_calc!$A$2:$A$3000,$B$3,_calc!$C$2:$C$3000,V$6)))</f>
        <v/>
      </c>
      <c r="W76" s="50" t="str">
        <f>IF(OR($B76="",W$6=""),"",IF(COUNTIFS(_calc!$AE$2:$AE$3000,$B76&amp;"|"&amp;$D76,_calc!$A$2:$A$3000,$B$3,_calc!$C$2:$C$3000,W$6)=0,"",SUMIFS(_calc!$E$2:$E$3000,_calc!$AE$2:$AE$3000,$B76&amp;"|"&amp;$D76,_calc!$A$2:$A$3000,$B$3,_calc!$C$2:$C$3000,W$6)))</f>
        <v/>
      </c>
      <c r="X76" s="50" t="str">
        <f>IF(OR($B76="",X$6=""),"",IF(COUNTIFS(_calc!$AE$2:$AE$3000,$B76&amp;"|"&amp;$D76,_calc!$A$2:$A$3000,$B$3,_calc!$C$2:$C$3000,X$6)=0,"",SUMIFS(_calc!$E$2:$E$3000,_calc!$AE$2:$AE$3000,$B76&amp;"|"&amp;$D76,_calc!$A$2:$A$3000,$B$3,_calc!$C$2:$C$3000,X$6)))</f>
        <v/>
      </c>
    </row>
    <row r="77" spans="1:24" x14ac:dyDescent="0.4">
      <c r="A77" s="48">
        <v>71</v>
      </c>
      <c r="B77" s="49" t="str">
        <f>IFERROR(INDEX(_calc!$I$2:$I$3000,MATCH($A77,_calc!$AB$2:$AB$3000,0)),"")</f>
        <v/>
      </c>
      <c r="C77" s="49" t="str">
        <f>IFERROR(INDEX(_calc!$H$2:$H$3000,MATCH($A77,_calc!$AB$2:$AB$3000,0)),"")</f>
        <v/>
      </c>
      <c r="D77" s="49" t="str">
        <f>IFERROR(INDEX(_calc!$K$2:$K$3000,MATCH($A77,_calc!$AB$2:$AB$3000,0)),"")</f>
        <v/>
      </c>
      <c r="E77" s="50" t="str">
        <f>IF(OR($B77="",E$6=""),"",IF(COUNTIFS(_calc!$AE$2:$AE$3000,$B77&amp;"|"&amp;$D77,_calc!$A$2:$A$3000,$B$3,_calc!$C$2:$C$3000,E$6)=0,"",SUMIFS(_calc!$E$2:$E$3000,_calc!$AE$2:$AE$3000,$B77&amp;"|"&amp;$D77,_calc!$A$2:$A$3000,$B$3,_calc!$C$2:$C$3000,E$6)))</f>
        <v/>
      </c>
      <c r="F77" s="50" t="str">
        <f>IF(OR($B77="",F$6=""),"",IF(COUNTIFS(_calc!$AE$2:$AE$3000,$B77&amp;"|"&amp;$D77,_calc!$A$2:$A$3000,$B$3,_calc!$C$2:$C$3000,F$6)=0,"",SUMIFS(_calc!$E$2:$E$3000,_calc!$AE$2:$AE$3000,$B77&amp;"|"&amp;$D77,_calc!$A$2:$A$3000,$B$3,_calc!$C$2:$C$3000,F$6)))</f>
        <v/>
      </c>
      <c r="G77" s="50" t="str">
        <f>IF(OR($B77="",G$6=""),"",IF(COUNTIFS(_calc!$AE$2:$AE$3000,$B77&amp;"|"&amp;$D77,_calc!$A$2:$A$3000,$B$3,_calc!$C$2:$C$3000,G$6)=0,"",SUMIFS(_calc!$E$2:$E$3000,_calc!$AE$2:$AE$3000,$B77&amp;"|"&amp;$D77,_calc!$A$2:$A$3000,$B$3,_calc!$C$2:$C$3000,G$6)))</f>
        <v/>
      </c>
      <c r="H77" s="50" t="str">
        <f>IF(OR($B77="",H$6=""),"",IF(COUNTIFS(_calc!$AE$2:$AE$3000,$B77&amp;"|"&amp;$D77,_calc!$A$2:$A$3000,$B$3,_calc!$C$2:$C$3000,H$6)=0,"",SUMIFS(_calc!$E$2:$E$3000,_calc!$AE$2:$AE$3000,$B77&amp;"|"&amp;$D77,_calc!$A$2:$A$3000,$B$3,_calc!$C$2:$C$3000,H$6)))</f>
        <v/>
      </c>
      <c r="I77" s="50" t="str">
        <f>IF(OR($B77="",I$6=""),"",IF(COUNTIFS(_calc!$AE$2:$AE$3000,$B77&amp;"|"&amp;$D77,_calc!$A$2:$A$3000,$B$3,_calc!$C$2:$C$3000,I$6)=0,"",SUMIFS(_calc!$E$2:$E$3000,_calc!$AE$2:$AE$3000,$B77&amp;"|"&amp;$D77,_calc!$A$2:$A$3000,$B$3,_calc!$C$2:$C$3000,I$6)))</f>
        <v/>
      </c>
      <c r="J77" s="50" t="str">
        <f>IF(OR($B77="",J$6=""),"",IF(COUNTIFS(_calc!$AE$2:$AE$3000,$B77&amp;"|"&amp;$D77,_calc!$A$2:$A$3000,$B$3,_calc!$C$2:$C$3000,J$6)=0,"",SUMIFS(_calc!$E$2:$E$3000,_calc!$AE$2:$AE$3000,$B77&amp;"|"&amp;$D77,_calc!$A$2:$A$3000,$B$3,_calc!$C$2:$C$3000,J$6)))</f>
        <v/>
      </c>
      <c r="K77" s="50" t="str">
        <f>IF(OR($B77="",K$6=""),"",IF(COUNTIFS(_calc!$AE$2:$AE$3000,$B77&amp;"|"&amp;$D77,_calc!$A$2:$A$3000,$B$3,_calc!$C$2:$C$3000,K$6)=0,"",SUMIFS(_calc!$E$2:$E$3000,_calc!$AE$2:$AE$3000,$B77&amp;"|"&amp;$D77,_calc!$A$2:$A$3000,$B$3,_calc!$C$2:$C$3000,K$6)))</f>
        <v/>
      </c>
      <c r="L77" s="50" t="str">
        <f>IF(OR($B77="",L$6=""),"",IF(COUNTIFS(_calc!$AE$2:$AE$3000,$B77&amp;"|"&amp;$D77,_calc!$A$2:$A$3000,$B$3,_calc!$C$2:$C$3000,L$6)=0,"",SUMIFS(_calc!$E$2:$E$3000,_calc!$AE$2:$AE$3000,$B77&amp;"|"&amp;$D77,_calc!$A$2:$A$3000,$B$3,_calc!$C$2:$C$3000,L$6)))</f>
        <v/>
      </c>
      <c r="M77" s="50" t="str">
        <f>IF(OR($B77="",M$6=""),"",IF(COUNTIFS(_calc!$AE$2:$AE$3000,$B77&amp;"|"&amp;$D77,_calc!$A$2:$A$3000,$B$3,_calc!$C$2:$C$3000,M$6)=0,"",SUMIFS(_calc!$E$2:$E$3000,_calc!$AE$2:$AE$3000,$B77&amp;"|"&amp;$D77,_calc!$A$2:$A$3000,$B$3,_calc!$C$2:$C$3000,M$6)))</f>
        <v/>
      </c>
      <c r="N77" s="50" t="str">
        <f>IF(OR($B77="",N$6=""),"",IF(COUNTIFS(_calc!$AE$2:$AE$3000,$B77&amp;"|"&amp;$D77,_calc!$A$2:$A$3000,$B$3,_calc!$C$2:$C$3000,N$6)=0,"",SUMIFS(_calc!$E$2:$E$3000,_calc!$AE$2:$AE$3000,$B77&amp;"|"&amp;$D77,_calc!$A$2:$A$3000,$B$3,_calc!$C$2:$C$3000,N$6)))</f>
        <v/>
      </c>
      <c r="O77" s="50" t="str">
        <f>IF(OR($B77="",O$6=""),"",IF(COUNTIFS(_calc!$AE$2:$AE$3000,$B77&amp;"|"&amp;$D77,_calc!$A$2:$A$3000,$B$3,_calc!$C$2:$C$3000,O$6)=0,"",SUMIFS(_calc!$E$2:$E$3000,_calc!$AE$2:$AE$3000,$B77&amp;"|"&amp;$D77,_calc!$A$2:$A$3000,$B$3,_calc!$C$2:$C$3000,O$6)))</f>
        <v/>
      </c>
      <c r="P77" s="50" t="str">
        <f>IF(OR($B77="",P$6=""),"",IF(COUNTIFS(_calc!$AE$2:$AE$3000,$B77&amp;"|"&amp;$D77,_calc!$A$2:$A$3000,$B$3,_calc!$C$2:$C$3000,P$6)=0,"",SUMIFS(_calc!$E$2:$E$3000,_calc!$AE$2:$AE$3000,$B77&amp;"|"&amp;$D77,_calc!$A$2:$A$3000,$B$3,_calc!$C$2:$C$3000,P$6)))</f>
        <v/>
      </c>
      <c r="Q77" s="50" t="str">
        <f>IF(OR($B77="",Q$6=""),"",IF(COUNTIFS(_calc!$AE$2:$AE$3000,$B77&amp;"|"&amp;$D77,_calc!$A$2:$A$3000,$B$3,_calc!$C$2:$C$3000,Q$6)=0,"",SUMIFS(_calc!$E$2:$E$3000,_calc!$AE$2:$AE$3000,$B77&amp;"|"&amp;$D77,_calc!$A$2:$A$3000,$B$3,_calc!$C$2:$C$3000,Q$6)))</f>
        <v/>
      </c>
      <c r="R77" s="50" t="str">
        <f>IF(OR($B77="",R$6=""),"",IF(COUNTIFS(_calc!$AE$2:$AE$3000,$B77&amp;"|"&amp;$D77,_calc!$A$2:$A$3000,$B$3,_calc!$C$2:$C$3000,R$6)=0,"",SUMIFS(_calc!$E$2:$E$3000,_calc!$AE$2:$AE$3000,$B77&amp;"|"&amp;$D77,_calc!$A$2:$A$3000,$B$3,_calc!$C$2:$C$3000,R$6)))</f>
        <v/>
      </c>
      <c r="S77" s="50" t="str">
        <f>IF(OR($B77="",S$6=""),"",IF(COUNTIFS(_calc!$AE$2:$AE$3000,$B77&amp;"|"&amp;$D77,_calc!$A$2:$A$3000,$B$3,_calc!$C$2:$C$3000,S$6)=0,"",SUMIFS(_calc!$E$2:$E$3000,_calc!$AE$2:$AE$3000,$B77&amp;"|"&amp;$D77,_calc!$A$2:$A$3000,$B$3,_calc!$C$2:$C$3000,S$6)))</f>
        <v/>
      </c>
      <c r="T77" s="50" t="str">
        <f>IF(OR($B77="",T$6=""),"",IF(COUNTIFS(_calc!$AE$2:$AE$3000,$B77&amp;"|"&amp;$D77,_calc!$A$2:$A$3000,$B$3,_calc!$C$2:$C$3000,T$6)=0,"",SUMIFS(_calc!$E$2:$E$3000,_calc!$AE$2:$AE$3000,$B77&amp;"|"&amp;$D77,_calc!$A$2:$A$3000,$B$3,_calc!$C$2:$C$3000,T$6)))</f>
        <v/>
      </c>
      <c r="U77" s="50" t="str">
        <f>IF(OR($B77="",U$6=""),"",IF(COUNTIFS(_calc!$AE$2:$AE$3000,$B77&amp;"|"&amp;$D77,_calc!$A$2:$A$3000,$B$3,_calc!$C$2:$C$3000,U$6)=0,"",SUMIFS(_calc!$E$2:$E$3000,_calc!$AE$2:$AE$3000,$B77&amp;"|"&amp;$D77,_calc!$A$2:$A$3000,$B$3,_calc!$C$2:$C$3000,U$6)))</f>
        <v/>
      </c>
      <c r="V77" s="50" t="str">
        <f>IF(OR($B77="",V$6=""),"",IF(COUNTIFS(_calc!$AE$2:$AE$3000,$B77&amp;"|"&amp;$D77,_calc!$A$2:$A$3000,$B$3,_calc!$C$2:$C$3000,V$6)=0,"",SUMIFS(_calc!$E$2:$E$3000,_calc!$AE$2:$AE$3000,$B77&amp;"|"&amp;$D77,_calc!$A$2:$A$3000,$B$3,_calc!$C$2:$C$3000,V$6)))</f>
        <v/>
      </c>
      <c r="W77" s="50" t="str">
        <f>IF(OR($B77="",W$6=""),"",IF(COUNTIFS(_calc!$AE$2:$AE$3000,$B77&amp;"|"&amp;$D77,_calc!$A$2:$A$3000,$B$3,_calc!$C$2:$C$3000,W$6)=0,"",SUMIFS(_calc!$E$2:$E$3000,_calc!$AE$2:$AE$3000,$B77&amp;"|"&amp;$D77,_calc!$A$2:$A$3000,$B$3,_calc!$C$2:$C$3000,W$6)))</f>
        <v/>
      </c>
      <c r="X77" s="50" t="str">
        <f>IF(OR($B77="",X$6=""),"",IF(COUNTIFS(_calc!$AE$2:$AE$3000,$B77&amp;"|"&amp;$D77,_calc!$A$2:$A$3000,$B$3,_calc!$C$2:$C$3000,X$6)=0,"",SUMIFS(_calc!$E$2:$E$3000,_calc!$AE$2:$AE$3000,$B77&amp;"|"&amp;$D77,_calc!$A$2:$A$3000,$B$3,_calc!$C$2:$C$3000,X$6)))</f>
        <v/>
      </c>
    </row>
    <row r="78" spans="1:24" x14ac:dyDescent="0.4">
      <c r="A78" s="48">
        <v>72</v>
      </c>
      <c r="B78" s="49" t="str">
        <f>IFERROR(INDEX(_calc!$I$2:$I$3000,MATCH($A78,_calc!$AB$2:$AB$3000,0)),"")</f>
        <v/>
      </c>
      <c r="C78" s="49" t="str">
        <f>IFERROR(INDEX(_calc!$H$2:$H$3000,MATCH($A78,_calc!$AB$2:$AB$3000,0)),"")</f>
        <v/>
      </c>
      <c r="D78" s="49" t="str">
        <f>IFERROR(INDEX(_calc!$K$2:$K$3000,MATCH($A78,_calc!$AB$2:$AB$3000,0)),"")</f>
        <v/>
      </c>
      <c r="E78" s="50" t="str">
        <f>IF(OR($B78="",E$6=""),"",IF(COUNTIFS(_calc!$AE$2:$AE$3000,$B78&amp;"|"&amp;$D78,_calc!$A$2:$A$3000,$B$3,_calc!$C$2:$C$3000,E$6)=0,"",SUMIFS(_calc!$E$2:$E$3000,_calc!$AE$2:$AE$3000,$B78&amp;"|"&amp;$D78,_calc!$A$2:$A$3000,$B$3,_calc!$C$2:$C$3000,E$6)))</f>
        <v/>
      </c>
      <c r="F78" s="50" t="str">
        <f>IF(OR($B78="",F$6=""),"",IF(COUNTIFS(_calc!$AE$2:$AE$3000,$B78&amp;"|"&amp;$D78,_calc!$A$2:$A$3000,$B$3,_calc!$C$2:$C$3000,F$6)=0,"",SUMIFS(_calc!$E$2:$E$3000,_calc!$AE$2:$AE$3000,$B78&amp;"|"&amp;$D78,_calc!$A$2:$A$3000,$B$3,_calc!$C$2:$C$3000,F$6)))</f>
        <v/>
      </c>
      <c r="G78" s="50" t="str">
        <f>IF(OR($B78="",G$6=""),"",IF(COUNTIFS(_calc!$AE$2:$AE$3000,$B78&amp;"|"&amp;$D78,_calc!$A$2:$A$3000,$B$3,_calc!$C$2:$C$3000,G$6)=0,"",SUMIFS(_calc!$E$2:$E$3000,_calc!$AE$2:$AE$3000,$B78&amp;"|"&amp;$D78,_calc!$A$2:$A$3000,$B$3,_calc!$C$2:$C$3000,G$6)))</f>
        <v/>
      </c>
      <c r="H78" s="50" t="str">
        <f>IF(OR($B78="",H$6=""),"",IF(COUNTIFS(_calc!$AE$2:$AE$3000,$B78&amp;"|"&amp;$D78,_calc!$A$2:$A$3000,$B$3,_calc!$C$2:$C$3000,H$6)=0,"",SUMIFS(_calc!$E$2:$E$3000,_calc!$AE$2:$AE$3000,$B78&amp;"|"&amp;$D78,_calc!$A$2:$A$3000,$B$3,_calc!$C$2:$C$3000,H$6)))</f>
        <v/>
      </c>
      <c r="I78" s="50" t="str">
        <f>IF(OR($B78="",I$6=""),"",IF(COUNTIFS(_calc!$AE$2:$AE$3000,$B78&amp;"|"&amp;$D78,_calc!$A$2:$A$3000,$B$3,_calc!$C$2:$C$3000,I$6)=0,"",SUMIFS(_calc!$E$2:$E$3000,_calc!$AE$2:$AE$3000,$B78&amp;"|"&amp;$D78,_calc!$A$2:$A$3000,$B$3,_calc!$C$2:$C$3000,I$6)))</f>
        <v/>
      </c>
      <c r="J78" s="50" t="str">
        <f>IF(OR($B78="",J$6=""),"",IF(COUNTIFS(_calc!$AE$2:$AE$3000,$B78&amp;"|"&amp;$D78,_calc!$A$2:$A$3000,$B$3,_calc!$C$2:$C$3000,J$6)=0,"",SUMIFS(_calc!$E$2:$E$3000,_calc!$AE$2:$AE$3000,$B78&amp;"|"&amp;$D78,_calc!$A$2:$A$3000,$B$3,_calc!$C$2:$C$3000,J$6)))</f>
        <v/>
      </c>
      <c r="K78" s="50" t="str">
        <f>IF(OR($B78="",K$6=""),"",IF(COUNTIFS(_calc!$AE$2:$AE$3000,$B78&amp;"|"&amp;$D78,_calc!$A$2:$A$3000,$B$3,_calc!$C$2:$C$3000,K$6)=0,"",SUMIFS(_calc!$E$2:$E$3000,_calc!$AE$2:$AE$3000,$B78&amp;"|"&amp;$D78,_calc!$A$2:$A$3000,$B$3,_calc!$C$2:$C$3000,K$6)))</f>
        <v/>
      </c>
      <c r="L78" s="50" t="str">
        <f>IF(OR($B78="",L$6=""),"",IF(COUNTIFS(_calc!$AE$2:$AE$3000,$B78&amp;"|"&amp;$D78,_calc!$A$2:$A$3000,$B$3,_calc!$C$2:$C$3000,L$6)=0,"",SUMIFS(_calc!$E$2:$E$3000,_calc!$AE$2:$AE$3000,$B78&amp;"|"&amp;$D78,_calc!$A$2:$A$3000,$B$3,_calc!$C$2:$C$3000,L$6)))</f>
        <v/>
      </c>
      <c r="M78" s="50" t="str">
        <f>IF(OR($B78="",M$6=""),"",IF(COUNTIFS(_calc!$AE$2:$AE$3000,$B78&amp;"|"&amp;$D78,_calc!$A$2:$A$3000,$B$3,_calc!$C$2:$C$3000,M$6)=0,"",SUMIFS(_calc!$E$2:$E$3000,_calc!$AE$2:$AE$3000,$B78&amp;"|"&amp;$D78,_calc!$A$2:$A$3000,$B$3,_calc!$C$2:$C$3000,M$6)))</f>
        <v/>
      </c>
      <c r="N78" s="50" t="str">
        <f>IF(OR($B78="",N$6=""),"",IF(COUNTIFS(_calc!$AE$2:$AE$3000,$B78&amp;"|"&amp;$D78,_calc!$A$2:$A$3000,$B$3,_calc!$C$2:$C$3000,N$6)=0,"",SUMIFS(_calc!$E$2:$E$3000,_calc!$AE$2:$AE$3000,$B78&amp;"|"&amp;$D78,_calc!$A$2:$A$3000,$B$3,_calc!$C$2:$C$3000,N$6)))</f>
        <v/>
      </c>
      <c r="O78" s="50" t="str">
        <f>IF(OR($B78="",O$6=""),"",IF(COUNTIFS(_calc!$AE$2:$AE$3000,$B78&amp;"|"&amp;$D78,_calc!$A$2:$A$3000,$B$3,_calc!$C$2:$C$3000,O$6)=0,"",SUMIFS(_calc!$E$2:$E$3000,_calc!$AE$2:$AE$3000,$B78&amp;"|"&amp;$D78,_calc!$A$2:$A$3000,$B$3,_calc!$C$2:$C$3000,O$6)))</f>
        <v/>
      </c>
      <c r="P78" s="50" t="str">
        <f>IF(OR($B78="",P$6=""),"",IF(COUNTIFS(_calc!$AE$2:$AE$3000,$B78&amp;"|"&amp;$D78,_calc!$A$2:$A$3000,$B$3,_calc!$C$2:$C$3000,P$6)=0,"",SUMIFS(_calc!$E$2:$E$3000,_calc!$AE$2:$AE$3000,$B78&amp;"|"&amp;$D78,_calc!$A$2:$A$3000,$B$3,_calc!$C$2:$C$3000,P$6)))</f>
        <v/>
      </c>
      <c r="Q78" s="50" t="str">
        <f>IF(OR($B78="",Q$6=""),"",IF(COUNTIFS(_calc!$AE$2:$AE$3000,$B78&amp;"|"&amp;$D78,_calc!$A$2:$A$3000,$B$3,_calc!$C$2:$C$3000,Q$6)=0,"",SUMIFS(_calc!$E$2:$E$3000,_calc!$AE$2:$AE$3000,$B78&amp;"|"&amp;$D78,_calc!$A$2:$A$3000,$B$3,_calc!$C$2:$C$3000,Q$6)))</f>
        <v/>
      </c>
      <c r="R78" s="50" t="str">
        <f>IF(OR($B78="",R$6=""),"",IF(COUNTIFS(_calc!$AE$2:$AE$3000,$B78&amp;"|"&amp;$D78,_calc!$A$2:$A$3000,$B$3,_calc!$C$2:$C$3000,R$6)=0,"",SUMIFS(_calc!$E$2:$E$3000,_calc!$AE$2:$AE$3000,$B78&amp;"|"&amp;$D78,_calc!$A$2:$A$3000,$B$3,_calc!$C$2:$C$3000,R$6)))</f>
        <v/>
      </c>
      <c r="S78" s="50" t="str">
        <f>IF(OR($B78="",S$6=""),"",IF(COUNTIFS(_calc!$AE$2:$AE$3000,$B78&amp;"|"&amp;$D78,_calc!$A$2:$A$3000,$B$3,_calc!$C$2:$C$3000,S$6)=0,"",SUMIFS(_calc!$E$2:$E$3000,_calc!$AE$2:$AE$3000,$B78&amp;"|"&amp;$D78,_calc!$A$2:$A$3000,$B$3,_calc!$C$2:$C$3000,S$6)))</f>
        <v/>
      </c>
      <c r="T78" s="50" t="str">
        <f>IF(OR($B78="",T$6=""),"",IF(COUNTIFS(_calc!$AE$2:$AE$3000,$B78&amp;"|"&amp;$D78,_calc!$A$2:$A$3000,$B$3,_calc!$C$2:$C$3000,T$6)=0,"",SUMIFS(_calc!$E$2:$E$3000,_calc!$AE$2:$AE$3000,$B78&amp;"|"&amp;$D78,_calc!$A$2:$A$3000,$B$3,_calc!$C$2:$C$3000,T$6)))</f>
        <v/>
      </c>
      <c r="U78" s="50" t="str">
        <f>IF(OR($B78="",U$6=""),"",IF(COUNTIFS(_calc!$AE$2:$AE$3000,$B78&amp;"|"&amp;$D78,_calc!$A$2:$A$3000,$B$3,_calc!$C$2:$C$3000,U$6)=0,"",SUMIFS(_calc!$E$2:$E$3000,_calc!$AE$2:$AE$3000,$B78&amp;"|"&amp;$D78,_calc!$A$2:$A$3000,$B$3,_calc!$C$2:$C$3000,U$6)))</f>
        <v/>
      </c>
      <c r="V78" s="50" t="str">
        <f>IF(OR($B78="",V$6=""),"",IF(COUNTIFS(_calc!$AE$2:$AE$3000,$B78&amp;"|"&amp;$D78,_calc!$A$2:$A$3000,$B$3,_calc!$C$2:$C$3000,V$6)=0,"",SUMIFS(_calc!$E$2:$E$3000,_calc!$AE$2:$AE$3000,$B78&amp;"|"&amp;$D78,_calc!$A$2:$A$3000,$B$3,_calc!$C$2:$C$3000,V$6)))</f>
        <v/>
      </c>
      <c r="W78" s="50" t="str">
        <f>IF(OR($B78="",W$6=""),"",IF(COUNTIFS(_calc!$AE$2:$AE$3000,$B78&amp;"|"&amp;$D78,_calc!$A$2:$A$3000,$B$3,_calc!$C$2:$C$3000,W$6)=0,"",SUMIFS(_calc!$E$2:$E$3000,_calc!$AE$2:$AE$3000,$B78&amp;"|"&amp;$D78,_calc!$A$2:$A$3000,$B$3,_calc!$C$2:$C$3000,W$6)))</f>
        <v/>
      </c>
      <c r="X78" s="50" t="str">
        <f>IF(OR($B78="",X$6=""),"",IF(COUNTIFS(_calc!$AE$2:$AE$3000,$B78&amp;"|"&amp;$D78,_calc!$A$2:$A$3000,$B$3,_calc!$C$2:$C$3000,X$6)=0,"",SUMIFS(_calc!$E$2:$E$3000,_calc!$AE$2:$AE$3000,$B78&amp;"|"&amp;$D78,_calc!$A$2:$A$3000,$B$3,_calc!$C$2:$C$3000,X$6)))</f>
        <v/>
      </c>
    </row>
    <row r="79" spans="1:24" x14ac:dyDescent="0.4">
      <c r="A79" s="48">
        <v>73</v>
      </c>
      <c r="B79" s="49" t="str">
        <f>IFERROR(INDEX(_calc!$I$2:$I$3000,MATCH($A79,_calc!$AB$2:$AB$3000,0)),"")</f>
        <v/>
      </c>
      <c r="C79" s="49" t="str">
        <f>IFERROR(INDEX(_calc!$H$2:$H$3000,MATCH($A79,_calc!$AB$2:$AB$3000,0)),"")</f>
        <v/>
      </c>
      <c r="D79" s="49" t="str">
        <f>IFERROR(INDEX(_calc!$K$2:$K$3000,MATCH($A79,_calc!$AB$2:$AB$3000,0)),"")</f>
        <v/>
      </c>
      <c r="E79" s="50" t="str">
        <f>IF(OR($B79="",E$6=""),"",IF(COUNTIFS(_calc!$AE$2:$AE$3000,$B79&amp;"|"&amp;$D79,_calc!$A$2:$A$3000,$B$3,_calc!$C$2:$C$3000,E$6)=0,"",SUMIFS(_calc!$E$2:$E$3000,_calc!$AE$2:$AE$3000,$B79&amp;"|"&amp;$D79,_calc!$A$2:$A$3000,$B$3,_calc!$C$2:$C$3000,E$6)))</f>
        <v/>
      </c>
      <c r="F79" s="50" t="str">
        <f>IF(OR($B79="",F$6=""),"",IF(COUNTIFS(_calc!$AE$2:$AE$3000,$B79&amp;"|"&amp;$D79,_calc!$A$2:$A$3000,$B$3,_calc!$C$2:$C$3000,F$6)=0,"",SUMIFS(_calc!$E$2:$E$3000,_calc!$AE$2:$AE$3000,$B79&amp;"|"&amp;$D79,_calc!$A$2:$A$3000,$B$3,_calc!$C$2:$C$3000,F$6)))</f>
        <v/>
      </c>
      <c r="G79" s="50" t="str">
        <f>IF(OR($B79="",G$6=""),"",IF(COUNTIFS(_calc!$AE$2:$AE$3000,$B79&amp;"|"&amp;$D79,_calc!$A$2:$A$3000,$B$3,_calc!$C$2:$C$3000,G$6)=0,"",SUMIFS(_calc!$E$2:$E$3000,_calc!$AE$2:$AE$3000,$B79&amp;"|"&amp;$D79,_calc!$A$2:$A$3000,$B$3,_calc!$C$2:$C$3000,G$6)))</f>
        <v/>
      </c>
      <c r="H79" s="50" t="str">
        <f>IF(OR($B79="",H$6=""),"",IF(COUNTIFS(_calc!$AE$2:$AE$3000,$B79&amp;"|"&amp;$D79,_calc!$A$2:$A$3000,$B$3,_calc!$C$2:$C$3000,H$6)=0,"",SUMIFS(_calc!$E$2:$E$3000,_calc!$AE$2:$AE$3000,$B79&amp;"|"&amp;$D79,_calc!$A$2:$A$3000,$B$3,_calc!$C$2:$C$3000,H$6)))</f>
        <v/>
      </c>
      <c r="I79" s="50" t="str">
        <f>IF(OR($B79="",I$6=""),"",IF(COUNTIFS(_calc!$AE$2:$AE$3000,$B79&amp;"|"&amp;$D79,_calc!$A$2:$A$3000,$B$3,_calc!$C$2:$C$3000,I$6)=0,"",SUMIFS(_calc!$E$2:$E$3000,_calc!$AE$2:$AE$3000,$B79&amp;"|"&amp;$D79,_calc!$A$2:$A$3000,$B$3,_calc!$C$2:$C$3000,I$6)))</f>
        <v/>
      </c>
      <c r="J79" s="50" t="str">
        <f>IF(OR($B79="",J$6=""),"",IF(COUNTIFS(_calc!$AE$2:$AE$3000,$B79&amp;"|"&amp;$D79,_calc!$A$2:$A$3000,$B$3,_calc!$C$2:$C$3000,J$6)=0,"",SUMIFS(_calc!$E$2:$E$3000,_calc!$AE$2:$AE$3000,$B79&amp;"|"&amp;$D79,_calc!$A$2:$A$3000,$B$3,_calc!$C$2:$C$3000,J$6)))</f>
        <v/>
      </c>
      <c r="K79" s="50" t="str">
        <f>IF(OR($B79="",K$6=""),"",IF(COUNTIFS(_calc!$AE$2:$AE$3000,$B79&amp;"|"&amp;$D79,_calc!$A$2:$A$3000,$B$3,_calc!$C$2:$C$3000,K$6)=0,"",SUMIFS(_calc!$E$2:$E$3000,_calc!$AE$2:$AE$3000,$B79&amp;"|"&amp;$D79,_calc!$A$2:$A$3000,$B$3,_calc!$C$2:$C$3000,K$6)))</f>
        <v/>
      </c>
      <c r="L79" s="50" t="str">
        <f>IF(OR($B79="",L$6=""),"",IF(COUNTIFS(_calc!$AE$2:$AE$3000,$B79&amp;"|"&amp;$D79,_calc!$A$2:$A$3000,$B$3,_calc!$C$2:$C$3000,L$6)=0,"",SUMIFS(_calc!$E$2:$E$3000,_calc!$AE$2:$AE$3000,$B79&amp;"|"&amp;$D79,_calc!$A$2:$A$3000,$B$3,_calc!$C$2:$C$3000,L$6)))</f>
        <v/>
      </c>
      <c r="M79" s="50" t="str">
        <f>IF(OR($B79="",M$6=""),"",IF(COUNTIFS(_calc!$AE$2:$AE$3000,$B79&amp;"|"&amp;$D79,_calc!$A$2:$A$3000,$B$3,_calc!$C$2:$C$3000,M$6)=0,"",SUMIFS(_calc!$E$2:$E$3000,_calc!$AE$2:$AE$3000,$B79&amp;"|"&amp;$D79,_calc!$A$2:$A$3000,$B$3,_calc!$C$2:$C$3000,M$6)))</f>
        <v/>
      </c>
      <c r="N79" s="50" t="str">
        <f>IF(OR($B79="",N$6=""),"",IF(COUNTIFS(_calc!$AE$2:$AE$3000,$B79&amp;"|"&amp;$D79,_calc!$A$2:$A$3000,$B$3,_calc!$C$2:$C$3000,N$6)=0,"",SUMIFS(_calc!$E$2:$E$3000,_calc!$AE$2:$AE$3000,$B79&amp;"|"&amp;$D79,_calc!$A$2:$A$3000,$B$3,_calc!$C$2:$C$3000,N$6)))</f>
        <v/>
      </c>
      <c r="O79" s="50" t="str">
        <f>IF(OR($B79="",O$6=""),"",IF(COUNTIFS(_calc!$AE$2:$AE$3000,$B79&amp;"|"&amp;$D79,_calc!$A$2:$A$3000,$B$3,_calc!$C$2:$C$3000,O$6)=0,"",SUMIFS(_calc!$E$2:$E$3000,_calc!$AE$2:$AE$3000,$B79&amp;"|"&amp;$D79,_calc!$A$2:$A$3000,$B$3,_calc!$C$2:$C$3000,O$6)))</f>
        <v/>
      </c>
      <c r="P79" s="50" t="str">
        <f>IF(OR($B79="",P$6=""),"",IF(COUNTIFS(_calc!$AE$2:$AE$3000,$B79&amp;"|"&amp;$D79,_calc!$A$2:$A$3000,$B$3,_calc!$C$2:$C$3000,P$6)=0,"",SUMIFS(_calc!$E$2:$E$3000,_calc!$AE$2:$AE$3000,$B79&amp;"|"&amp;$D79,_calc!$A$2:$A$3000,$B$3,_calc!$C$2:$C$3000,P$6)))</f>
        <v/>
      </c>
      <c r="Q79" s="50" t="str">
        <f>IF(OR($B79="",Q$6=""),"",IF(COUNTIFS(_calc!$AE$2:$AE$3000,$B79&amp;"|"&amp;$D79,_calc!$A$2:$A$3000,$B$3,_calc!$C$2:$C$3000,Q$6)=0,"",SUMIFS(_calc!$E$2:$E$3000,_calc!$AE$2:$AE$3000,$B79&amp;"|"&amp;$D79,_calc!$A$2:$A$3000,$B$3,_calc!$C$2:$C$3000,Q$6)))</f>
        <v/>
      </c>
      <c r="R79" s="50" t="str">
        <f>IF(OR($B79="",R$6=""),"",IF(COUNTIFS(_calc!$AE$2:$AE$3000,$B79&amp;"|"&amp;$D79,_calc!$A$2:$A$3000,$B$3,_calc!$C$2:$C$3000,R$6)=0,"",SUMIFS(_calc!$E$2:$E$3000,_calc!$AE$2:$AE$3000,$B79&amp;"|"&amp;$D79,_calc!$A$2:$A$3000,$B$3,_calc!$C$2:$C$3000,R$6)))</f>
        <v/>
      </c>
      <c r="S79" s="50" t="str">
        <f>IF(OR($B79="",S$6=""),"",IF(COUNTIFS(_calc!$AE$2:$AE$3000,$B79&amp;"|"&amp;$D79,_calc!$A$2:$A$3000,$B$3,_calc!$C$2:$C$3000,S$6)=0,"",SUMIFS(_calc!$E$2:$E$3000,_calc!$AE$2:$AE$3000,$B79&amp;"|"&amp;$D79,_calc!$A$2:$A$3000,$B$3,_calc!$C$2:$C$3000,S$6)))</f>
        <v/>
      </c>
      <c r="T79" s="50" t="str">
        <f>IF(OR($B79="",T$6=""),"",IF(COUNTIFS(_calc!$AE$2:$AE$3000,$B79&amp;"|"&amp;$D79,_calc!$A$2:$A$3000,$B$3,_calc!$C$2:$C$3000,T$6)=0,"",SUMIFS(_calc!$E$2:$E$3000,_calc!$AE$2:$AE$3000,$B79&amp;"|"&amp;$D79,_calc!$A$2:$A$3000,$B$3,_calc!$C$2:$C$3000,T$6)))</f>
        <v/>
      </c>
      <c r="U79" s="50" t="str">
        <f>IF(OR($B79="",U$6=""),"",IF(COUNTIFS(_calc!$AE$2:$AE$3000,$B79&amp;"|"&amp;$D79,_calc!$A$2:$A$3000,$B$3,_calc!$C$2:$C$3000,U$6)=0,"",SUMIFS(_calc!$E$2:$E$3000,_calc!$AE$2:$AE$3000,$B79&amp;"|"&amp;$D79,_calc!$A$2:$A$3000,$B$3,_calc!$C$2:$C$3000,U$6)))</f>
        <v/>
      </c>
      <c r="V79" s="50" t="str">
        <f>IF(OR($B79="",V$6=""),"",IF(COUNTIFS(_calc!$AE$2:$AE$3000,$B79&amp;"|"&amp;$D79,_calc!$A$2:$A$3000,$B$3,_calc!$C$2:$C$3000,V$6)=0,"",SUMIFS(_calc!$E$2:$E$3000,_calc!$AE$2:$AE$3000,$B79&amp;"|"&amp;$D79,_calc!$A$2:$A$3000,$B$3,_calc!$C$2:$C$3000,V$6)))</f>
        <v/>
      </c>
      <c r="W79" s="50" t="str">
        <f>IF(OR($B79="",W$6=""),"",IF(COUNTIFS(_calc!$AE$2:$AE$3000,$B79&amp;"|"&amp;$D79,_calc!$A$2:$A$3000,$B$3,_calc!$C$2:$C$3000,W$6)=0,"",SUMIFS(_calc!$E$2:$E$3000,_calc!$AE$2:$AE$3000,$B79&amp;"|"&amp;$D79,_calc!$A$2:$A$3000,$B$3,_calc!$C$2:$C$3000,W$6)))</f>
        <v/>
      </c>
      <c r="X79" s="50" t="str">
        <f>IF(OR($B79="",X$6=""),"",IF(COUNTIFS(_calc!$AE$2:$AE$3000,$B79&amp;"|"&amp;$D79,_calc!$A$2:$A$3000,$B$3,_calc!$C$2:$C$3000,X$6)=0,"",SUMIFS(_calc!$E$2:$E$3000,_calc!$AE$2:$AE$3000,$B79&amp;"|"&amp;$D79,_calc!$A$2:$A$3000,$B$3,_calc!$C$2:$C$3000,X$6)))</f>
        <v/>
      </c>
    </row>
    <row r="80" spans="1:24" x14ac:dyDescent="0.4">
      <c r="A80" s="48">
        <v>74</v>
      </c>
      <c r="B80" s="49" t="str">
        <f>IFERROR(INDEX(_calc!$I$2:$I$3000,MATCH($A80,_calc!$AB$2:$AB$3000,0)),"")</f>
        <v/>
      </c>
      <c r="C80" s="49" t="str">
        <f>IFERROR(INDEX(_calc!$H$2:$H$3000,MATCH($A80,_calc!$AB$2:$AB$3000,0)),"")</f>
        <v/>
      </c>
      <c r="D80" s="49" t="str">
        <f>IFERROR(INDEX(_calc!$K$2:$K$3000,MATCH($A80,_calc!$AB$2:$AB$3000,0)),"")</f>
        <v/>
      </c>
      <c r="E80" s="50" t="str">
        <f>IF(OR($B80="",E$6=""),"",IF(COUNTIFS(_calc!$AE$2:$AE$3000,$B80&amp;"|"&amp;$D80,_calc!$A$2:$A$3000,$B$3,_calc!$C$2:$C$3000,E$6)=0,"",SUMIFS(_calc!$E$2:$E$3000,_calc!$AE$2:$AE$3000,$B80&amp;"|"&amp;$D80,_calc!$A$2:$A$3000,$B$3,_calc!$C$2:$C$3000,E$6)))</f>
        <v/>
      </c>
      <c r="F80" s="50" t="str">
        <f>IF(OR($B80="",F$6=""),"",IF(COUNTIFS(_calc!$AE$2:$AE$3000,$B80&amp;"|"&amp;$D80,_calc!$A$2:$A$3000,$B$3,_calc!$C$2:$C$3000,F$6)=0,"",SUMIFS(_calc!$E$2:$E$3000,_calc!$AE$2:$AE$3000,$B80&amp;"|"&amp;$D80,_calc!$A$2:$A$3000,$B$3,_calc!$C$2:$C$3000,F$6)))</f>
        <v/>
      </c>
      <c r="G80" s="50" t="str">
        <f>IF(OR($B80="",G$6=""),"",IF(COUNTIFS(_calc!$AE$2:$AE$3000,$B80&amp;"|"&amp;$D80,_calc!$A$2:$A$3000,$B$3,_calc!$C$2:$C$3000,G$6)=0,"",SUMIFS(_calc!$E$2:$E$3000,_calc!$AE$2:$AE$3000,$B80&amp;"|"&amp;$D80,_calc!$A$2:$A$3000,$B$3,_calc!$C$2:$C$3000,G$6)))</f>
        <v/>
      </c>
      <c r="H80" s="50" t="str">
        <f>IF(OR($B80="",H$6=""),"",IF(COUNTIFS(_calc!$AE$2:$AE$3000,$B80&amp;"|"&amp;$D80,_calc!$A$2:$A$3000,$B$3,_calc!$C$2:$C$3000,H$6)=0,"",SUMIFS(_calc!$E$2:$E$3000,_calc!$AE$2:$AE$3000,$B80&amp;"|"&amp;$D80,_calc!$A$2:$A$3000,$B$3,_calc!$C$2:$C$3000,H$6)))</f>
        <v/>
      </c>
      <c r="I80" s="50" t="str">
        <f>IF(OR($B80="",I$6=""),"",IF(COUNTIFS(_calc!$AE$2:$AE$3000,$B80&amp;"|"&amp;$D80,_calc!$A$2:$A$3000,$B$3,_calc!$C$2:$C$3000,I$6)=0,"",SUMIFS(_calc!$E$2:$E$3000,_calc!$AE$2:$AE$3000,$B80&amp;"|"&amp;$D80,_calc!$A$2:$A$3000,$B$3,_calc!$C$2:$C$3000,I$6)))</f>
        <v/>
      </c>
      <c r="J80" s="50" t="str">
        <f>IF(OR($B80="",J$6=""),"",IF(COUNTIFS(_calc!$AE$2:$AE$3000,$B80&amp;"|"&amp;$D80,_calc!$A$2:$A$3000,$B$3,_calc!$C$2:$C$3000,J$6)=0,"",SUMIFS(_calc!$E$2:$E$3000,_calc!$AE$2:$AE$3000,$B80&amp;"|"&amp;$D80,_calc!$A$2:$A$3000,$B$3,_calc!$C$2:$C$3000,J$6)))</f>
        <v/>
      </c>
      <c r="K80" s="50" t="str">
        <f>IF(OR($B80="",K$6=""),"",IF(COUNTIFS(_calc!$AE$2:$AE$3000,$B80&amp;"|"&amp;$D80,_calc!$A$2:$A$3000,$B$3,_calc!$C$2:$C$3000,K$6)=0,"",SUMIFS(_calc!$E$2:$E$3000,_calc!$AE$2:$AE$3000,$B80&amp;"|"&amp;$D80,_calc!$A$2:$A$3000,$B$3,_calc!$C$2:$C$3000,K$6)))</f>
        <v/>
      </c>
      <c r="L80" s="50" t="str">
        <f>IF(OR($B80="",L$6=""),"",IF(COUNTIFS(_calc!$AE$2:$AE$3000,$B80&amp;"|"&amp;$D80,_calc!$A$2:$A$3000,$B$3,_calc!$C$2:$C$3000,L$6)=0,"",SUMIFS(_calc!$E$2:$E$3000,_calc!$AE$2:$AE$3000,$B80&amp;"|"&amp;$D80,_calc!$A$2:$A$3000,$B$3,_calc!$C$2:$C$3000,L$6)))</f>
        <v/>
      </c>
      <c r="M80" s="50" t="str">
        <f>IF(OR($B80="",M$6=""),"",IF(COUNTIFS(_calc!$AE$2:$AE$3000,$B80&amp;"|"&amp;$D80,_calc!$A$2:$A$3000,$B$3,_calc!$C$2:$C$3000,M$6)=0,"",SUMIFS(_calc!$E$2:$E$3000,_calc!$AE$2:$AE$3000,$B80&amp;"|"&amp;$D80,_calc!$A$2:$A$3000,$B$3,_calc!$C$2:$C$3000,M$6)))</f>
        <v/>
      </c>
      <c r="N80" s="50" t="str">
        <f>IF(OR($B80="",N$6=""),"",IF(COUNTIFS(_calc!$AE$2:$AE$3000,$B80&amp;"|"&amp;$D80,_calc!$A$2:$A$3000,$B$3,_calc!$C$2:$C$3000,N$6)=0,"",SUMIFS(_calc!$E$2:$E$3000,_calc!$AE$2:$AE$3000,$B80&amp;"|"&amp;$D80,_calc!$A$2:$A$3000,$B$3,_calc!$C$2:$C$3000,N$6)))</f>
        <v/>
      </c>
      <c r="O80" s="50" t="str">
        <f>IF(OR($B80="",O$6=""),"",IF(COUNTIFS(_calc!$AE$2:$AE$3000,$B80&amp;"|"&amp;$D80,_calc!$A$2:$A$3000,$B$3,_calc!$C$2:$C$3000,O$6)=0,"",SUMIFS(_calc!$E$2:$E$3000,_calc!$AE$2:$AE$3000,$B80&amp;"|"&amp;$D80,_calc!$A$2:$A$3000,$B$3,_calc!$C$2:$C$3000,O$6)))</f>
        <v/>
      </c>
      <c r="P80" s="50" t="str">
        <f>IF(OR($B80="",P$6=""),"",IF(COUNTIFS(_calc!$AE$2:$AE$3000,$B80&amp;"|"&amp;$D80,_calc!$A$2:$A$3000,$B$3,_calc!$C$2:$C$3000,P$6)=0,"",SUMIFS(_calc!$E$2:$E$3000,_calc!$AE$2:$AE$3000,$B80&amp;"|"&amp;$D80,_calc!$A$2:$A$3000,$B$3,_calc!$C$2:$C$3000,P$6)))</f>
        <v/>
      </c>
      <c r="Q80" s="50" t="str">
        <f>IF(OR($B80="",Q$6=""),"",IF(COUNTIFS(_calc!$AE$2:$AE$3000,$B80&amp;"|"&amp;$D80,_calc!$A$2:$A$3000,$B$3,_calc!$C$2:$C$3000,Q$6)=0,"",SUMIFS(_calc!$E$2:$E$3000,_calc!$AE$2:$AE$3000,$B80&amp;"|"&amp;$D80,_calc!$A$2:$A$3000,$B$3,_calc!$C$2:$C$3000,Q$6)))</f>
        <v/>
      </c>
      <c r="R80" s="50" t="str">
        <f>IF(OR($B80="",R$6=""),"",IF(COUNTIFS(_calc!$AE$2:$AE$3000,$B80&amp;"|"&amp;$D80,_calc!$A$2:$A$3000,$B$3,_calc!$C$2:$C$3000,R$6)=0,"",SUMIFS(_calc!$E$2:$E$3000,_calc!$AE$2:$AE$3000,$B80&amp;"|"&amp;$D80,_calc!$A$2:$A$3000,$B$3,_calc!$C$2:$C$3000,R$6)))</f>
        <v/>
      </c>
      <c r="S80" s="50" t="str">
        <f>IF(OR($B80="",S$6=""),"",IF(COUNTIFS(_calc!$AE$2:$AE$3000,$B80&amp;"|"&amp;$D80,_calc!$A$2:$A$3000,$B$3,_calc!$C$2:$C$3000,S$6)=0,"",SUMIFS(_calc!$E$2:$E$3000,_calc!$AE$2:$AE$3000,$B80&amp;"|"&amp;$D80,_calc!$A$2:$A$3000,$B$3,_calc!$C$2:$C$3000,S$6)))</f>
        <v/>
      </c>
      <c r="T80" s="50" t="str">
        <f>IF(OR($B80="",T$6=""),"",IF(COUNTIFS(_calc!$AE$2:$AE$3000,$B80&amp;"|"&amp;$D80,_calc!$A$2:$A$3000,$B$3,_calc!$C$2:$C$3000,T$6)=0,"",SUMIFS(_calc!$E$2:$E$3000,_calc!$AE$2:$AE$3000,$B80&amp;"|"&amp;$D80,_calc!$A$2:$A$3000,$B$3,_calc!$C$2:$C$3000,T$6)))</f>
        <v/>
      </c>
      <c r="U80" s="50" t="str">
        <f>IF(OR($B80="",U$6=""),"",IF(COUNTIFS(_calc!$AE$2:$AE$3000,$B80&amp;"|"&amp;$D80,_calc!$A$2:$A$3000,$B$3,_calc!$C$2:$C$3000,U$6)=0,"",SUMIFS(_calc!$E$2:$E$3000,_calc!$AE$2:$AE$3000,$B80&amp;"|"&amp;$D80,_calc!$A$2:$A$3000,$B$3,_calc!$C$2:$C$3000,U$6)))</f>
        <v/>
      </c>
      <c r="V80" s="50" t="str">
        <f>IF(OR($B80="",V$6=""),"",IF(COUNTIFS(_calc!$AE$2:$AE$3000,$B80&amp;"|"&amp;$D80,_calc!$A$2:$A$3000,$B$3,_calc!$C$2:$C$3000,V$6)=0,"",SUMIFS(_calc!$E$2:$E$3000,_calc!$AE$2:$AE$3000,$B80&amp;"|"&amp;$D80,_calc!$A$2:$A$3000,$B$3,_calc!$C$2:$C$3000,V$6)))</f>
        <v/>
      </c>
      <c r="W80" s="50" t="str">
        <f>IF(OR($B80="",W$6=""),"",IF(COUNTIFS(_calc!$AE$2:$AE$3000,$B80&amp;"|"&amp;$D80,_calc!$A$2:$A$3000,$B$3,_calc!$C$2:$C$3000,W$6)=0,"",SUMIFS(_calc!$E$2:$E$3000,_calc!$AE$2:$AE$3000,$B80&amp;"|"&amp;$D80,_calc!$A$2:$A$3000,$B$3,_calc!$C$2:$C$3000,W$6)))</f>
        <v/>
      </c>
      <c r="X80" s="50" t="str">
        <f>IF(OR($B80="",X$6=""),"",IF(COUNTIFS(_calc!$AE$2:$AE$3000,$B80&amp;"|"&amp;$D80,_calc!$A$2:$A$3000,$B$3,_calc!$C$2:$C$3000,X$6)=0,"",SUMIFS(_calc!$E$2:$E$3000,_calc!$AE$2:$AE$3000,$B80&amp;"|"&amp;$D80,_calc!$A$2:$A$3000,$B$3,_calc!$C$2:$C$3000,X$6)))</f>
        <v/>
      </c>
    </row>
    <row r="81" spans="1:24" x14ac:dyDescent="0.4">
      <c r="A81" s="48">
        <v>75</v>
      </c>
      <c r="B81" s="49" t="str">
        <f>IFERROR(INDEX(_calc!$I$2:$I$3000,MATCH($A81,_calc!$AB$2:$AB$3000,0)),"")</f>
        <v/>
      </c>
      <c r="C81" s="49" t="str">
        <f>IFERROR(INDEX(_calc!$H$2:$H$3000,MATCH($A81,_calc!$AB$2:$AB$3000,0)),"")</f>
        <v/>
      </c>
      <c r="D81" s="49" t="str">
        <f>IFERROR(INDEX(_calc!$K$2:$K$3000,MATCH($A81,_calc!$AB$2:$AB$3000,0)),"")</f>
        <v/>
      </c>
      <c r="E81" s="50" t="str">
        <f>IF(OR($B81="",E$6=""),"",IF(COUNTIFS(_calc!$AE$2:$AE$3000,$B81&amp;"|"&amp;$D81,_calc!$A$2:$A$3000,$B$3,_calc!$C$2:$C$3000,E$6)=0,"",SUMIFS(_calc!$E$2:$E$3000,_calc!$AE$2:$AE$3000,$B81&amp;"|"&amp;$D81,_calc!$A$2:$A$3000,$B$3,_calc!$C$2:$C$3000,E$6)))</f>
        <v/>
      </c>
      <c r="F81" s="50" t="str">
        <f>IF(OR($B81="",F$6=""),"",IF(COUNTIFS(_calc!$AE$2:$AE$3000,$B81&amp;"|"&amp;$D81,_calc!$A$2:$A$3000,$B$3,_calc!$C$2:$C$3000,F$6)=0,"",SUMIFS(_calc!$E$2:$E$3000,_calc!$AE$2:$AE$3000,$B81&amp;"|"&amp;$D81,_calc!$A$2:$A$3000,$B$3,_calc!$C$2:$C$3000,F$6)))</f>
        <v/>
      </c>
      <c r="G81" s="50" t="str">
        <f>IF(OR($B81="",G$6=""),"",IF(COUNTIFS(_calc!$AE$2:$AE$3000,$B81&amp;"|"&amp;$D81,_calc!$A$2:$A$3000,$B$3,_calc!$C$2:$C$3000,G$6)=0,"",SUMIFS(_calc!$E$2:$E$3000,_calc!$AE$2:$AE$3000,$B81&amp;"|"&amp;$D81,_calc!$A$2:$A$3000,$B$3,_calc!$C$2:$C$3000,G$6)))</f>
        <v/>
      </c>
      <c r="H81" s="50" t="str">
        <f>IF(OR($B81="",H$6=""),"",IF(COUNTIFS(_calc!$AE$2:$AE$3000,$B81&amp;"|"&amp;$D81,_calc!$A$2:$A$3000,$B$3,_calc!$C$2:$C$3000,H$6)=0,"",SUMIFS(_calc!$E$2:$E$3000,_calc!$AE$2:$AE$3000,$B81&amp;"|"&amp;$D81,_calc!$A$2:$A$3000,$B$3,_calc!$C$2:$C$3000,H$6)))</f>
        <v/>
      </c>
      <c r="I81" s="50" t="str">
        <f>IF(OR($B81="",I$6=""),"",IF(COUNTIFS(_calc!$AE$2:$AE$3000,$B81&amp;"|"&amp;$D81,_calc!$A$2:$A$3000,$B$3,_calc!$C$2:$C$3000,I$6)=0,"",SUMIFS(_calc!$E$2:$E$3000,_calc!$AE$2:$AE$3000,$B81&amp;"|"&amp;$D81,_calc!$A$2:$A$3000,$B$3,_calc!$C$2:$C$3000,I$6)))</f>
        <v/>
      </c>
      <c r="J81" s="50" t="str">
        <f>IF(OR($B81="",J$6=""),"",IF(COUNTIFS(_calc!$AE$2:$AE$3000,$B81&amp;"|"&amp;$D81,_calc!$A$2:$A$3000,$B$3,_calc!$C$2:$C$3000,J$6)=0,"",SUMIFS(_calc!$E$2:$E$3000,_calc!$AE$2:$AE$3000,$B81&amp;"|"&amp;$D81,_calc!$A$2:$A$3000,$B$3,_calc!$C$2:$C$3000,J$6)))</f>
        <v/>
      </c>
      <c r="K81" s="50" t="str">
        <f>IF(OR($B81="",K$6=""),"",IF(COUNTIFS(_calc!$AE$2:$AE$3000,$B81&amp;"|"&amp;$D81,_calc!$A$2:$A$3000,$B$3,_calc!$C$2:$C$3000,K$6)=0,"",SUMIFS(_calc!$E$2:$E$3000,_calc!$AE$2:$AE$3000,$B81&amp;"|"&amp;$D81,_calc!$A$2:$A$3000,$B$3,_calc!$C$2:$C$3000,K$6)))</f>
        <v/>
      </c>
      <c r="L81" s="50" t="str">
        <f>IF(OR($B81="",L$6=""),"",IF(COUNTIFS(_calc!$AE$2:$AE$3000,$B81&amp;"|"&amp;$D81,_calc!$A$2:$A$3000,$B$3,_calc!$C$2:$C$3000,L$6)=0,"",SUMIFS(_calc!$E$2:$E$3000,_calc!$AE$2:$AE$3000,$B81&amp;"|"&amp;$D81,_calc!$A$2:$A$3000,$B$3,_calc!$C$2:$C$3000,L$6)))</f>
        <v/>
      </c>
      <c r="M81" s="50" t="str">
        <f>IF(OR($B81="",M$6=""),"",IF(COUNTIFS(_calc!$AE$2:$AE$3000,$B81&amp;"|"&amp;$D81,_calc!$A$2:$A$3000,$B$3,_calc!$C$2:$C$3000,M$6)=0,"",SUMIFS(_calc!$E$2:$E$3000,_calc!$AE$2:$AE$3000,$B81&amp;"|"&amp;$D81,_calc!$A$2:$A$3000,$B$3,_calc!$C$2:$C$3000,M$6)))</f>
        <v/>
      </c>
      <c r="N81" s="50" t="str">
        <f>IF(OR($B81="",N$6=""),"",IF(COUNTIFS(_calc!$AE$2:$AE$3000,$B81&amp;"|"&amp;$D81,_calc!$A$2:$A$3000,$B$3,_calc!$C$2:$C$3000,N$6)=0,"",SUMIFS(_calc!$E$2:$E$3000,_calc!$AE$2:$AE$3000,$B81&amp;"|"&amp;$D81,_calc!$A$2:$A$3000,$B$3,_calc!$C$2:$C$3000,N$6)))</f>
        <v/>
      </c>
      <c r="O81" s="50" t="str">
        <f>IF(OR($B81="",O$6=""),"",IF(COUNTIFS(_calc!$AE$2:$AE$3000,$B81&amp;"|"&amp;$D81,_calc!$A$2:$A$3000,$B$3,_calc!$C$2:$C$3000,O$6)=0,"",SUMIFS(_calc!$E$2:$E$3000,_calc!$AE$2:$AE$3000,$B81&amp;"|"&amp;$D81,_calc!$A$2:$A$3000,$B$3,_calc!$C$2:$C$3000,O$6)))</f>
        <v/>
      </c>
      <c r="P81" s="50" t="str">
        <f>IF(OR($B81="",P$6=""),"",IF(COUNTIFS(_calc!$AE$2:$AE$3000,$B81&amp;"|"&amp;$D81,_calc!$A$2:$A$3000,$B$3,_calc!$C$2:$C$3000,P$6)=0,"",SUMIFS(_calc!$E$2:$E$3000,_calc!$AE$2:$AE$3000,$B81&amp;"|"&amp;$D81,_calc!$A$2:$A$3000,$B$3,_calc!$C$2:$C$3000,P$6)))</f>
        <v/>
      </c>
      <c r="Q81" s="50" t="str">
        <f>IF(OR($B81="",Q$6=""),"",IF(COUNTIFS(_calc!$AE$2:$AE$3000,$B81&amp;"|"&amp;$D81,_calc!$A$2:$A$3000,$B$3,_calc!$C$2:$C$3000,Q$6)=0,"",SUMIFS(_calc!$E$2:$E$3000,_calc!$AE$2:$AE$3000,$B81&amp;"|"&amp;$D81,_calc!$A$2:$A$3000,$B$3,_calc!$C$2:$C$3000,Q$6)))</f>
        <v/>
      </c>
      <c r="R81" s="50" t="str">
        <f>IF(OR($B81="",R$6=""),"",IF(COUNTIFS(_calc!$AE$2:$AE$3000,$B81&amp;"|"&amp;$D81,_calc!$A$2:$A$3000,$B$3,_calc!$C$2:$C$3000,R$6)=0,"",SUMIFS(_calc!$E$2:$E$3000,_calc!$AE$2:$AE$3000,$B81&amp;"|"&amp;$D81,_calc!$A$2:$A$3000,$B$3,_calc!$C$2:$C$3000,R$6)))</f>
        <v/>
      </c>
      <c r="S81" s="50" t="str">
        <f>IF(OR($B81="",S$6=""),"",IF(COUNTIFS(_calc!$AE$2:$AE$3000,$B81&amp;"|"&amp;$D81,_calc!$A$2:$A$3000,$B$3,_calc!$C$2:$C$3000,S$6)=0,"",SUMIFS(_calc!$E$2:$E$3000,_calc!$AE$2:$AE$3000,$B81&amp;"|"&amp;$D81,_calc!$A$2:$A$3000,$B$3,_calc!$C$2:$C$3000,S$6)))</f>
        <v/>
      </c>
      <c r="T81" s="50" t="str">
        <f>IF(OR($B81="",T$6=""),"",IF(COUNTIFS(_calc!$AE$2:$AE$3000,$B81&amp;"|"&amp;$D81,_calc!$A$2:$A$3000,$B$3,_calc!$C$2:$C$3000,T$6)=0,"",SUMIFS(_calc!$E$2:$E$3000,_calc!$AE$2:$AE$3000,$B81&amp;"|"&amp;$D81,_calc!$A$2:$A$3000,$B$3,_calc!$C$2:$C$3000,T$6)))</f>
        <v/>
      </c>
      <c r="U81" s="50" t="str">
        <f>IF(OR($B81="",U$6=""),"",IF(COUNTIFS(_calc!$AE$2:$AE$3000,$B81&amp;"|"&amp;$D81,_calc!$A$2:$A$3000,$B$3,_calc!$C$2:$C$3000,U$6)=0,"",SUMIFS(_calc!$E$2:$E$3000,_calc!$AE$2:$AE$3000,$B81&amp;"|"&amp;$D81,_calc!$A$2:$A$3000,$B$3,_calc!$C$2:$C$3000,U$6)))</f>
        <v/>
      </c>
      <c r="V81" s="50" t="str">
        <f>IF(OR($B81="",V$6=""),"",IF(COUNTIFS(_calc!$AE$2:$AE$3000,$B81&amp;"|"&amp;$D81,_calc!$A$2:$A$3000,$B$3,_calc!$C$2:$C$3000,V$6)=0,"",SUMIFS(_calc!$E$2:$E$3000,_calc!$AE$2:$AE$3000,$B81&amp;"|"&amp;$D81,_calc!$A$2:$A$3000,$B$3,_calc!$C$2:$C$3000,V$6)))</f>
        <v/>
      </c>
      <c r="W81" s="50" t="str">
        <f>IF(OR($B81="",W$6=""),"",IF(COUNTIFS(_calc!$AE$2:$AE$3000,$B81&amp;"|"&amp;$D81,_calc!$A$2:$A$3000,$B$3,_calc!$C$2:$C$3000,W$6)=0,"",SUMIFS(_calc!$E$2:$E$3000,_calc!$AE$2:$AE$3000,$B81&amp;"|"&amp;$D81,_calc!$A$2:$A$3000,$B$3,_calc!$C$2:$C$3000,W$6)))</f>
        <v/>
      </c>
      <c r="X81" s="50" t="str">
        <f>IF(OR($B81="",X$6=""),"",IF(COUNTIFS(_calc!$AE$2:$AE$3000,$B81&amp;"|"&amp;$D81,_calc!$A$2:$A$3000,$B$3,_calc!$C$2:$C$3000,X$6)=0,"",SUMIFS(_calc!$E$2:$E$3000,_calc!$AE$2:$AE$3000,$B81&amp;"|"&amp;$D81,_calc!$A$2:$A$3000,$B$3,_calc!$C$2:$C$3000,X$6)))</f>
        <v/>
      </c>
    </row>
    <row r="82" spans="1:24" x14ac:dyDescent="0.4">
      <c r="A82" s="48">
        <v>76</v>
      </c>
      <c r="B82" s="49" t="str">
        <f>IFERROR(INDEX(_calc!$I$2:$I$3000,MATCH($A82,_calc!$AB$2:$AB$3000,0)),"")</f>
        <v/>
      </c>
      <c r="C82" s="49" t="str">
        <f>IFERROR(INDEX(_calc!$H$2:$H$3000,MATCH($A82,_calc!$AB$2:$AB$3000,0)),"")</f>
        <v/>
      </c>
      <c r="D82" s="49" t="str">
        <f>IFERROR(INDEX(_calc!$K$2:$K$3000,MATCH($A82,_calc!$AB$2:$AB$3000,0)),"")</f>
        <v/>
      </c>
      <c r="E82" s="50" t="str">
        <f>IF(OR($B82="",E$6=""),"",IF(COUNTIFS(_calc!$AE$2:$AE$3000,$B82&amp;"|"&amp;$D82,_calc!$A$2:$A$3000,$B$3,_calc!$C$2:$C$3000,E$6)=0,"",SUMIFS(_calc!$E$2:$E$3000,_calc!$AE$2:$AE$3000,$B82&amp;"|"&amp;$D82,_calc!$A$2:$A$3000,$B$3,_calc!$C$2:$C$3000,E$6)))</f>
        <v/>
      </c>
      <c r="F82" s="50" t="str">
        <f>IF(OR($B82="",F$6=""),"",IF(COUNTIFS(_calc!$AE$2:$AE$3000,$B82&amp;"|"&amp;$D82,_calc!$A$2:$A$3000,$B$3,_calc!$C$2:$C$3000,F$6)=0,"",SUMIFS(_calc!$E$2:$E$3000,_calc!$AE$2:$AE$3000,$B82&amp;"|"&amp;$D82,_calc!$A$2:$A$3000,$B$3,_calc!$C$2:$C$3000,F$6)))</f>
        <v/>
      </c>
      <c r="G82" s="50" t="str">
        <f>IF(OR($B82="",G$6=""),"",IF(COUNTIFS(_calc!$AE$2:$AE$3000,$B82&amp;"|"&amp;$D82,_calc!$A$2:$A$3000,$B$3,_calc!$C$2:$C$3000,G$6)=0,"",SUMIFS(_calc!$E$2:$E$3000,_calc!$AE$2:$AE$3000,$B82&amp;"|"&amp;$D82,_calc!$A$2:$A$3000,$B$3,_calc!$C$2:$C$3000,G$6)))</f>
        <v/>
      </c>
      <c r="H82" s="50" t="str">
        <f>IF(OR($B82="",H$6=""),"",IF(COUNTIFS(_calc!$AE$2:$AE$3000,$B82&amp;"|"&amp;$D82,_calc!$A$2:$A$3000,$B$3,_calc!$C$2:$C$3000,H$6)=0,"",SUMIFS(_calc!$E$2:$E$3000,_calc!$AE$2:$AE$3000,$B82&amp;"|"&amp;$D82,_calc!$A$2:$A$3000,$B$3,_calc!$C$2:$C$3000,H$6)))</f>
        <v/>
      </c>
      <c r="I82" s="50" t="str">
        <f>IF(OR($B82="",I$6=""),"",IF(COUNTIFS(_calc!$AE$2:$AE$3000,$B82&amp;"|"&amp;$D82,_calc!$A$2:$A$3000,$B$3,_calc!$C$2:$C$3000,I$6)=0,"",SUMIFS(_calc!$E$2:$E$3000,_calc!$AE$2:$AE$3000,$B82&amp;"|"&amp;$D82,_calc!$A$2:$A$3000,$B$3,_calc!$C$2:$C$3000,I$6)))</f>
        <v/>
      </c>
      <c r="J82" s="50" t="str">
        <f>IF(OR($B82="",J$6=""),"",IF(COUNTIFS(_calc!$AE$2:$AE$3000,$B82&amp;"|"&amp;$D82,_calc!$A$2:$A$3000,$B$3,_calc!$C$2:$C$3000,J$6)=0,"",SUMIFS(_calc!$E$2:$E$3000,_calc!$AE$2:$AE$3000,$B82&amp;"|"&amp;$D82,_calc!$A$2:$A$3000,$B$3,_calc!$C$2:$C$3000,J$6)))</f>
        <v/>
      </c>
      <c r="K82" s="50" t="str">
        <f>IF(OR($B82="",K$6=""),"",IF(COUNTIFS(_calc!$AE$2:$AE$3000,$B82&amp;"|"&amp;$D82,_calc!$A$2:$A$3000,$B$3,_calc!$C$2:$C$3000,K$6)=0,"",SUMIFS(_calc!$E$2:$E$3000,_calc!$AE$2:$AE$3000,$B82&amp;"|"&amp;$D82,_calc!$A$2:$A$3000,$B$3,_calc!$C$2:$C$3000,K$6)))</f>
        <v/>
      </c>
      <c r="L82" s="50" t="str">
        <f>IF(OR($B82="",L$6=""),"",IF(COUNTIFS(_calc!$AE$2:$AE$3000,$B82&amp;"|"&amp;$D82,_calc!$A$2:$A$3000,$B$3,_calc!$C$2:$C$3000,L$6)=0,"",SUMIFS(_calc!$E$2:$E$3000,_calc!$AE$2:$AE$3000,$B82&amp;"|"&amp;$D82,_calc!$A$2:$A$3000,$B$3,_calc!$C$2:$C$3000,L$6)))</f>
        <v/>
      </c>
      <c r="M82" s="50" t="str">
        <f>IF(OR($B82="",M$6=""),"",IF(COUNTIFS(_calc!$AE$2:$AE$3000,$B82&amp;"|"&amp;$D82,_calc!$A$2:$A$3000,$B$3,_calc!$C$2:$C$3000,M$6)=0,"",SUMIFS(_calc!$E$2:$E$3000,_calc!$AE$2:$AE$3000,$B82&amp;"|"&amp;$D82,_calc!$A$2:$A$3000,$B$3,_calc!$C$2:$C$3000,M$6)))</f>
        <v/>
      </c>
      <c r="N82" s="50" t="str">
        <f>IF(OR($B82="",N$6=""),"",IF(COUNTIFS(_calc!$AE$2:$AE$3000,$B82&amp;"|"&amp;$D82,_calc!$A$2:$A$3000,$B$3,_calc!$C$2:$C$3000,N$6)=0,"",SUMIFS(_calc!$E$2:$E$3000,_calc!$AE$2:$AE$3000,$B82&amp;"|"&amp;$D82,_calc!$A$2:$A$3000,$B$3,_calc!$C$2:$C$3000,N$6)))</f>
        <v/>
      </c>
      <c r="O82" s="50" t="str">
        <f>IF(OR($B82="",O$6=""),"",IF(COUNTIFS(_calc!$AE$2:$AE$3000,$B82&amp;"|"&amp;$D82,_calc!$A$2:$A$3000,$B$3,_calc!$C$2:$C$3000,O$6)=0,"",SUMIFS(_calc!$E$2:$E$3000,_calc!$AE$2:$AE$3000,$B82&amp;"|"&amp;$D82,_calc!$A$2:$A$3000,$B$3,_calc!$C$2:$C$3000,O$6)))</f>
        <v/>
      </c>
      <c r="P82" s="50" t="str">
        <f>IF(OR($B82="",P$6=""),"",IF(COUNTIFS(_calc!$AE$2:$AE$3000,$B82&amp;"|"&amp;$D82,_calc!$A$2:$A$3000,$B$3,_calc!$C$2:$C$3000,P$6)=0,"",SUMIFS(_calc!$E$2:$E$3000,_calc!$AE$2:$AE$3000,$B82&amp;"|"&amp;$D82,_calc!$A$2:$A$3000,$B$3,_calc!$C$2:$C$3000,P$6)))</f>
        <v/>
      </c>
      <c r="Q82" s="50" t="str">
        <f>IF(OR($B82="",Q$6=""),"",IF(COUNTIFS(_calc!$AE$2:$AE$3000,$B82&amp;"|"&amp;$D82,_calc!$A$2:$A$3000,$B$3,_calc!$C$2:$C$3000,Q$6)=0,"",SUMIFS(_calc!$E$2:$E$3000,_calc!$AE$2:$AE$3000,$B82&amp;"|"&amp;$D82,_calc!$A$2:$A$3000,$B$3,_calc!$C$2:$C$3000,Q$6)))</f>
        <v/>
      </c>
      <c r="R82" s="50" t="str">
        <f>IF(OR($B82="",R$6=""),"",IF(COUNTIFS(_calc!$AE$2:$AE$3000,$B82&amp;"|"&amp;$D82,_calc!$A$2:$A$3000,$B$3,_calc!$C$2:$C$3000,R$6)=0,"",SUMIFS(_calc!$E$2:$E$3000,_calc!$AE$2:$AE$3000,$B82&amp;"|"&amp;$D82,_calc!$A$2:$A$3000,$B$3,_calc!$C$2:$C$3000,R$6)))</f>
        <v/>
      </c>
      <c r="S82" s="50" t="str">
        <f>IF(OR($B82="",S$6=""),"",IF(COUNTIFS(_calc!$AE$2:$AE$3000,$B82&amp;"|"&amp;$D82,_calc!$A$2:$A$3000,$B$3,_calc!$C$2:$C$3000,S$6)=0,"",SUMIFS(_calc!$E$2:$E$3000,_calc!$AE$2:$AE$3000,$B82&amp;"|"&amp;$D82,_calc!$A$2:$A$3000,$B$3,_calc!$C$2:$C$3000,S$6)))</f>
        <v/>
      </c>
      <c r="T82" s="50" t="str">
        <f>IF(OR($B82="",T$6=""),"",IF(COUNTIFS(_calc!$AE$2:$AE$3000,$B82&amp;"|"&amp;$D82,_calc!$A$2:$A$3000,$B$3,_calc!$C$2:$C$3000,T$6)=0,"",SUMIFS(_calc!$E$2:$E$3000,_calc!$AE$2:$AE$3000,$B82&amp;"|"&amp;$D82,_calc!$A$2:$A$3000,$B$3,_calc!$C$2:$C$3000,T$6)))</f>
        <v/>
      </c>
      <c r="U82" s="50" t="str">
        <f>IF(OR($B82="",U$6=""),"",IF(COUNTIFS(_calc!$AE$2:$AE$3000,$B82&amp;"|"&amp;$D82,_calc!$A$2:$A$3000,$B$3,_calc!$C$2:$C$3000,U$6)=0,"",SUMIFS(_calc!$E$2:$E$3000,_calc!$AE$2:$AE$3000,$B82&amp;"|"&amp;$D82,_calc!$A$2:$A$3000,$B$3,_calc!$C$2:$C$3000,U$6)))</f>
        <v/>
      </c>
      <c r="V82" s="50" t="str">
        <f>IF(OR($B82="",V$6=""),"",IF(COUNTIFS(_calc!$AE$2:$AE$3000,$B82&amp;"|"&amp;$D82,_calc!$A$2:$A$3000,$B$3,_calc!$C$2:$C$3000,V$6)=0,"",SUMIFS(_calc!$E$2:$E$3000,_calc!$AE$2:$AE$3000,$B82&amp;"|"&amp;$D82,_calc!$A$2:$A$3000,$B$3,_calc!$C$2:$C$3000,V$6)))</f>
        <v/>
      </c>
      <c r="W82" s="50" t="str">
        <f>IF(OR($B82="",W$6=""),"",IF(COUNTIFS(_calc!$AE$2:$AE$3000,$B82&amp;"|"&amp;$D82,_calc!$A$2:$A$3000,$B$3,_calc!$C$2:$C$3000,W$6)=0,"",SUMIFS(_calc!$E$2:$E$3000,_calc!$AE$2:$AE$3000,$B82&amp;"|"&amp;$D82,_calc!$A$2:$A$3000,$B$3,_calc!$C$2:$C$3000,W$6)))</f>
        <v/>
      </c>
      <c r="X82" s="50" t="str">
        <f>IF(OR($B82="",X$6=""),"",IF(COUNTIFS(_calc!$AE$2:$AE$3000,$B82&amp;"|"&amp;$D82,_calc!$A$2:$A$3000,$B$3,_calc!$C$2:$C$3000,X$6)=0,"",SUMIFS(_calc!$E$2:$E$3000,_calc!$AE$2:$AE$3000,$B82&amp;"|"&amp;$D82,_calc!$A$2:$A$3000,$B$3,_calc!$C$2:$C$3000,X$6)))</f>
        <v/>
      </c>
    </row>
    <row r="83" spans="1:24" x14ac:dyDescent="0.4">
      <c r="A83" s="48">
        <v>77</v>
      </c>
      <c r="B83" s="49" t="str">
        <f>IFERROR(INDEX(_calc!$I$2:$I$3000,MATCH($A83,_calc!$AB$2:$AB$3000,0)),"")</f>
        <v/>
      </c>
      <c r="C83" s="49" t="str">
        <f>IFERROR(INDEX(_calc!$H$2:$H$3000,MATCH($A83,_calc!$AB$2:$AB$3000,0)),"")</f>
        <v/>
      </c>
      <c r="D83" s="49" t="str">
        <f>IFERROR(INDEX(_calc!$K$2:$K$3000,MATCH($A83,_calc!$AB$2:$AB$3000,0)),"")</f>
        <v/>
      </c>
      <c r="E83" s="50" t="str">
        <f>IF(OR($B83="",E$6=""),"",IF(COUNTIFS(_calc!$AE$2:$AE$3000,$B83&amp;"|"&amp;$D83,_calc!$A$2:$A$3000,$B$3,_calc!$C$2:$C$3000,E$6)=0,"",SUMIFS(_calc!$E$2:$E$3000,_calc!$AE$2:$AE$3000,$B83&amp;"|"&amp;$D83,_calc!$A$2:$A$3000,$B$3,_calc!$C$2:$C$3000,E$6)))</f>
        <v/>
      </c>
      <c r="F83" s="50" t="str">
        <f>IF(OR($B83="",F$6=""),"",IF(COUNTIFS(_calc!$AE$2:$AE$3000,$B83&amp;"|"&amp;$D83,_calc!$A$2:$A$3000,$B$3,_calc!$C$2:$C$3000,F$6)=0,"",SUMIFS(_calc!$E$2:$E$3000,_calc!$AE$2:$AE$3000,$B83&amp;"|"&amp;$D83,_calc!$A$2:$A$3000,$B$3,_calc!$C$2:$C$3000,F$6)))</f>
        <v/>
      </c>
      <c r="G83" s="50" t="str">
        <f>IF(OR($B83="",G$6=""),"",IF(COUNTIFS(_calc!$AE$2:$AE$3000,$B83&amp;"|"&amp;$D83,_calc!$A$2:$A$3000,$B$3,_calc!$C$2:$C$3000,G$6)=0,"",SUMIFS(_calc!$E$2:$E$3000,_calc!$AE$2:$AE$3000,$B83&amp;"|"&amp;$D83,_calc!$A$2:$A$3000,$B$3,_calc!$C$2:$C$3000,G$6)))</f>
        <v/>
      </c>
      <c r="H83" s="50" t="str">
        <f>IF(OR($B83="",H$6=""),"",IF(COUNTIFS(_calc!$AE$2:$AE$3000,$B83&amp;"|"&amp;$D83,_calc!$A$2:$A$3000,$B$3,_calc!$C$2:$C$3000,H$6)=0,"",SUMIFS(_calc!$E$2:$E$3000,_calc!$AE$2:$AE$3000,$B83&amp;"|"&amp;$D83,_calc!$A$2:$A$3000,$B$3,_calc!$C$2:$C$3000,H$6)))</f>
        <v/>
      </c>
      <c r="I83" s="50" t="str">
        <f>IF(OR($B83="",I$6=""),"",IF(COUNTIFS(_calc!$AE$2:$AE$3000,$B83&amp;"|"&amp;$D83,_calc!$A$2:$A$3000,$B$3,_calc!$C$2:$C$3000,I$6)=0,"",SUMIFS(_calc!$E$2:$E$3000,_calc!$AE$2:$AE$3000,$B83&amp;"|"&amp;$D83,_calc!$A$2:$A$3000,$B$3,_calc!$C$2:$C$3000,I$6)))</f>
        <v/>
      </c>
      <c r="J83" s="50" t="str">
        <f>IF(OR($B83="",J$6=""),"",IF(COUNTIFS(_calc!$AE$2:$AE$3000,$B83&amp;"|"&amp;$D83,_calc!$A$2:$A$3000,$B$3,_calc!$C$2:$C$3000,J$6)=0,"",SUMIFS(_calc!$E$2:$E$3000,_calc!$AE$2:$AE$3000,$B83&amp;"|"&amp;$D83,_calc!$A$2:$A$3000,$B$3,_calc!$C$2:$C$3000,J$6)))</f>
        <v/>
      </c>
      <c r="K83" s="50" t="str">
        <f>IF(OR($B83="",K$6=""),"",IF(COUNTIFS(_calc!$AE$2:$AE$3000,$B83&amp;"|"&amp;$D83,_calc!$A$2:$A$3000,$B$3,_calc!$C$2:$C$3000,K$6)=0,"",SUMIFS(_calc!$E$2:$E$3000,_calc!$AE$2:$AE$3000,$B83&amp;"|"&amp;$D83,_calc!$A$2:$A$3000,$B$3,_calc!$C$2:$C$3000,K$6)))</f>
        <v/>
      </c>
      <c r="L83" s="50" t="str">
        <f>IF(OR($B83="",L$6=""),"",IF(COUNTIFS(_calc!$AE$2:$AE$3000,$B83&amp;"|"&amp;$D83,_calc!$A$2:$A$3000,$B$3,_calc!$C$2:$C$3000,L$6)=0,"",SUMIFS(_calc!$E$2:$E$3000,_calc!$AE$2:$AE$3000,$B83&amp;"|"&amp;$D83,_calc!$A$2:$A$3000,$B$3,_calc!$C$2:$C$3000,L$6)))</f>
        <v/>
      </c>
      <c r="M83" s="50" t="str">
        <f>IF(OR($B83="",M$6=""),"",IF(COUNTIFS(_calc!$AE$2:$AE$3000,$B83&amp;"|"&amp;$D83,_calc!$A$2:$A$3000,$B$3,_calc!$C$2:$C$3000,M$6)=0,"",SUMIFS(_calc!$E$2:$E$3000,_calc!$AE$2:$AE$3000,$B83&amp;"|"&amp;$D83,_calc!$A$2:$A$3000,$B$3,_calc!$C$2:$C$3000,M$6)))</f>
        <v/>
      </c>
      <c r="N83" s="50" t="str">
        <f>IF(OR($B83="",N$6=""),"",IF(COUNTIFS(_calc!$AE$2:$AE$3000,$B83&amp;"|"&amp;$D83,_calc!$A$2:$A$3000,$B$3,_calc!$C$2:$C$3000,N$6)=0,"",SUMIFS(_calc!$E$2:$E$3000,_calc!$AE$2:$AE$3000,$B83&amp;"|"&amp;$D83,_calc!$A$2:$A$3000,$B$3,_calc!$C$2:$C$3000,N$6)))</f>
        <v/>
      </c>
      <c r="O83" s="50" t="str">
        <f>IF(OR($B83="",O$6=""),"",IF(COUNTIFS(_calc!$AE$2:$AE$3000,$B83&amp;"|"&amp;$D83,_calc!$A$2:$A$3000,$B$3,_calc!$C$2:$C$3000,O$6)=0,"",SUMIFS(_calc!$E$2:$E$3000,_calc!$AE$2:$AE$3000,$B83&amp;"|"&amp;$D83,_calc!$A$2:$A$3000,$B$3,_calc!$C$2:$C$3000,O$6)))</f>
        <v/>
      </c>
      <c r="P83" s="50" t="str">
        <f>IF(OR($B83="",P$6=""),"",IF(COUNTIFS(_calc!$AE$2:$AE$3000,$B83&amp;"|"&amp;$D83,_calc!$A$2:$A$3000,$B$3,_calc!$C$2:$C$3000,P$6)=0,"",SUMIFS(_calc!$E$2:$E$3000,_calc!$AE$2:$AE$3000,$B83&amp;"|"&amp;$D83,_calc!$A$2:$A$3000,$B$3,_calc!$C$2:$C$3000,P$6)))</f>
        <v/>
      </c>
      <c r="Q83" s="50" t="str">
        <f>IF(OR($B83="",Q$6=""),"",IF(COUNTIFS(_calc!$AE$2:$AE$3000,$B83&amp;"|"&amp;$D83,_calc!$A$2:$A$3000,$B$3,_calc!$C$2:$C$3000,Q$6)=0,"",SUMIFS(_calc!$E$2:$E$3000,_calc!$AE$2:$AE$3000,$B83&amp;"|"&amp;$D83,_calc!$A$2:$A$3000,$B$3,_calc!$C$2:$C$3000,Q$6)))</f>
        <v/>
      </c>
      <c r="R83" s="50" t="str">
        <f>IF(OR($B83="",R$6=""),"",IF(COUNTIFS(_calc!$AE$2:$AE$3000,$B83&amp;"|"&amp;$D83,_calc!$A$2:$A$3000,$B$3,_calc!$C$2:$C$3000,R$6)=0,"",SUMIFS(_calc!$E$2:$E$3000,_calc!$AE$2:$AE$3000,$B83&amp;"|"&amp;$D83,_calc!$A$2:$A$3000,$B$3,_calc!$C$2:$C$3000,R$6)))</f>
        <v/>
      </c>
      <c r="S83" s="50" t="str">
        <f>IF(OR($B83="",S$6=""),"",IF(COUNTIFS(_calc!$AE$2:$AE$3000,$B83&amp;"|"&amp;$D83,_calc!$A$2:$A$3000,$B$3,_calc!$C$2:$C$3000,S$6)=0,"",SUMIFS(_calc!$E$2:$E$3000,_calc!$AE$2:$AE$3000,$B83&amp;"|"&amp;$D83,_calc!$A$2:$A$3000,$B$3,_calc!$C$2:$C$3000,S$6)))</f>
        <v/>
      </c>
      <c r="T83" s="50" t="str">
        <f>IF(OR($B83="",T$6=""),"",IF(COUNTIFS(_calc!$AE$2:$AE$3000,$B83&amp;"|"&amp;$D83,_calc!$A$2:$A$3000,$B$3,_calc!$C$2:$C$3000,T$6)=0,"",SUMIFS(_calc!$E$2:$E$3000,_calc!$AE$2:$AE$3000,$B83&amp;"|"&amp;$D83,_calc!$A$2:$A$3000,$B$3,_calc!$C$2:$C$3000,T$6)))</f>
        <v/>
      </c>
      <c r="U83" s="50" t="str">
        <f>IF(OR($B83="",U$6=""),"",IF(COUNTIFS(_calc!$AE$2:$AE$3000,$B83&amp;"|"&amp;$D83,_calc!$A$2:$A$3000,$B$3,_calc!$C$2:$C$3000,U$6)=0,"",SUMIFS(_calc!$E$2:$E$3000,_calc!$AE$2:$AE$3000,$B83&amp;"|"&amp;$D83,_calc!$A$2:$A$3000,$B$3,_calc!$C$2:$C$3000,U$6)))</f>
        <v/>
      </c>
      <c r="V83" s="50" t="str">
        <f>IF(OR($B83="",V$6=""),"",IF(COUNTIFS(_calc!$AE$2:$AE$3000,$B83&amp;"|"&amp;$D83,_calc!$A$2:$A$3000,$B$3,_calc!$C$2:$C$3000,V$6)=0,"",SUMIFS(_calc!$E$2:$E$3000,_calc!$AE$2:$AE$3000,$B83&amp;"|"&amp;$D83,_calc!$A$2:$A$3000,$B$3,_calc!$C$2:$C$3000,V$6)))</f>
        <v/>
      </c>
      <c r="W83" s="50" t="str">
        <f>IF(OR($B83="",W$6=""),"",IF(COUNTIFS(_calc!$AE$2:$AE$3000,$B83&amp;"|"&amp;$D83,_calc!$A$2:$A$3000,$B$3,_calc!$C$2:$C$3000,W$6)=0,"",SUMIFS(_calc!$E$2:$E$3000,_calc!$AE$2:$AE$3000,$B83&amp;"|"&amp;$D83,_calc!$A$2:$A$3000,$B$3,_calc!$C$2:$C$3000,W$6)))</f>
        <v/>
      </c>
      <c r="X83" s="50" t="str">
        <f>IF(OR($B83="",X$6=""),"",IF(COUNTIFS(_calc!$AE$2:$AE$3000,$B83&amp;"|"&amp;$D83,_calc!$A$2:$A$3000,$B$3,_calc!$C$2:$C$3000,X$6)=0,"",SUMIFS(_calc!$E$2:$E$3000,_calc!$AE$2:$AE$3000,$B83&amp;"|"&amp;$D83,_calc!$A$2:$A$3000,$B$3,_calc!$C$2:$C$3000,X$6)))</f>
        <v/>
      </c>
    </row>
    <row r="84" spans="1:24" x14ac:dyDescent="0.4">
      <c r="A84" s="48">
        <v>78</v>
      </c>
      <c r="B84" s="49" t="str">
        <f>IFERROR(INDEX(_calc!$I$2:$I$3000,MATCH($A84,_calc!$AB$2:$AB$3000,0)),"")</f>
        <v/>
      </c>
      <c r="C84" s="49" t="str">
        <f>IFERROR(INDEX(_calc!$H$2:$H$3000,MATCH($A84,_calc!$AB$2:$AB$3000,0)),"")</f>
        <v/>
      </c>
      <c r="D84" s="49" t="str">
        <f>IFERROR(INDEX(_calc!$K$2:$K$3000,MATCH($A84,_calc!$AB$2:$AB$3000,0)),"")</f>
        <v/>
      </c>
      <c r="E84" s="50" t="str">
        <f>IF(OR($B84="",E$6=""),"",IF(COUNTIFS(_calc!$AE$2:$AE$3000,$B84&amp;"|"&amp;$D84,_calc!$A$2:$A$3000,$B$3,_calc!$C$2:$C$3000,E$6)=0,"",SUMIFS(_calc!$E$2:$E$3000,_calc!$AE$2:$AE$3000,$B84&amp;"|"&amp;$D84,_calc!$A$2:$A$3000,$B$3,_calc!$C$2:$C$3000,E$6)))</f>
        <v/>
      </c>
      <c r="F84" s="50" t="str">
        <f>IF(OR($B84="",F$6=""),"",IF(COUNTIFS(_calc!$AE$2:$AE$3000,$B84&amp;"|"&amp;$D84,_calc!$A$2:$A$3000,$B$3,_calc!$C$2:$C$3000,F$6)=0,"",SUMIFS(_calc!$E$2:$E$3000,_calc!$AE$2:$AE$3000,$B84&amp;"|"&amp;$D84,_calc!$A$2:$A$3000,$B$3,_calc!$C$2:$C$3000,F$6)))</f>
        <v/>
      </c>
      <c r="G84" s="50" t="str">
        <f>IF(OR($B84="",G$6=""),"",IF(COUNTIFS(_calc!$AE$2:$AE$3000,$B84&amp;"|"&amp;$D84,_calc!$A$2:$A$3000,$B$3,_calc!$C$2:$C$3000,G$6)=0,"",SUMIFS(_calc!$E$2:$E$3000,_calc!$AE$2:$AE$3000,$B84&amp;"|"&amp;$D84,_calc!$A$2:$A$3000,$B$3,_calc!$C$2:$C$3000,G$6)))</f>
        <v/>
      </c>
      <c r="H84" s="50" t="str">
        <f>IF(OR($B84="",H$6=""),"",IF(COUNTIFS(_calc!$AE$2:$AE$3000,$B84&amp;"|"&amp;$D84,_calc!$A$2:$A$3000,$B$3,_calc!$C$2:$C$3000,H$6)=0,"",SUMIFS(_calc!$E$2:$E$3000,_calc!$AE$2:$AE$3000,$B84&amp;"|"&amp;$D84,_calc!$A$2:$A$3000,$B$3,_calc!$C$2:$C$3000,H$6)))</f>
        <v/>
      </c>
      <c r="I84" s="50" t="str">
        <f>IF(OR($B84="",I$6=""),"",IF(COUNTIFS(_calc!$AE$2:$AE$3000,$B84&amp;"|"&amp;$D84,_calc!$A$2:$A$3000,$B$3,_calc!$C$2:$C$3000,I$6)=0,"",SUMIFS(_calc!$E$2:$E$3000,_calc!$AE$2:$AE$3000,$B84&amp;"|"&amp;$D84,_calc!$A$2:$A$3000,$B$3,_calc!$C$2:$C$3000,I$6)))</f>
        <v/>
      </c>
      <c r="J84" s="50" t="str">
        <f>IF(OR($B84="",J$6=""),"",IF(COUNTIFS(_calc!$AE$2:$AE$3000,$B84&amp;"|"&amp;$D84,_calc!$A$2:$A$3000,$B$3,_calc!$C$2:$C$3000,J$6)=0,"",SUMIFS(_calc!$E$2:$E$3000,_calc!$AE$2:$AE$3000,$B84&amp;"|"&amp;$D84,_calc!$A$2:$A$3000,$B$3,_calc!$C$2:$C$3000,J$6)))</f>
        <v/>
      </c>
      <c r="K84" s="50" t="str">
        <f>IF(OR($B84="",K$6=""),"",IF(COUNTIFS(_calc!$AE$2:$AE$3000,$B84&amp;"|"&amp;$D84,_calc!$A$2:$A$3000,$B$3,_calc!$C$2:$C$3000,K$6)=0,"",SUMIFS(_calc!$E$2:$E$3000,_calc!$AE$2:$AE$3000,$B84&amp;"|"&amp;$D84,_calc!$A$2:$A$3000,$B$3,_calc!$C$2:$C$3000,K$6)))</f>
        <v/>
      </c>
      <c r="L84" s="50" t="str">
        <f>IF(OR($B84="",L$6=""),"",IF(COUNTIFS(_calc!$AE$2:$AE$3000,$B84&amp;"|"&amp;$D84,_calc!$A$2:$A$3000,$B$3,_calc!$C$2:$C$3000,L$6)=0,"",SUMIFS(_calc!$E$2:$E$3000,_calc!$AE$2:$AE$3000,$B84&amp;"|"&amp;$D84,_calc!$A$2:$A$3000,$B$3,_calc!$C$2:$C$3000,L$6)))</f>
        <v/>
      </c>
      <c r="M84" s="50" t="str">
        <f>IF(OR($B84="",M$6=""),"",IF(COUNTIFS(_calc!$AE$2:$AE$3000,$B84&amp;"|"&amp;$D84,_calc!$A$2:$A$3000,$B$3,_calc!$C$2:$C$3000,M$6)=0,"",SUMIFS(_calc!$E$2:$E$3000,_calc!$AE$2:$AE$3000,$B84&amp;"|"&amp;$D84,_calc!$A$2:$A$3000,$B$3,_calc!$C$2:$C$3000,M$6)))</f>
        <v/>
      </c>
      <c r="N84" s="50" t="str">
        <f>IF(OR($B84="",N$6=""),"",IF(COUNTIFS(_calc!$AE$2:$AE$3000,$B84&amp;"|"&amp;$D84,_calc!$A$2:$A$3000,$B$3,_calc!$C$2:$C$3000,N$6)=0,"",SUMIFS(_calc!$E$2:$E$3000,_calc!$AE$2:$AE$3000,$B84&amp;"|"&amp;$D84,_calc!$A$2:$A$3000,$B$3,_calc!$C$2:$C$3000,N$6)))</f>
        <v/>
      </c>
      <c r="O84" s="50" t="str">
        <f>IF(OR($B84="",O$6=""),"",IF(COUNTIFS(_calc!$AE$2:$AE$3000,$B84&amp;"|"&amp;$D84,_calc!$A$2:$A$3000,$B$3,_calc!$C$2:$C$3000,O$6)=0,"",SUMIFS(_calc!$E$2:$E$3000,_calc!$AE$2:$AE$3000,$B84&amp;"|"&amp;$D84,_calc!$A$2:$A$3000,$B$3,_calc!$C$2:$C$3000,O$6)))</f>
        <v/>
      </c>
      <c r="P84" s="50" t="str">
        <f>IF(OR($B84="",P$6=""),"",IF(COUNTIFS(_calc!$AE$2:$AE$3000,$B84&amp;"|"&amp;$D84,_calc!$A$2:$A$3000,$B$3,_calc!$C$2:$C$3000,P$6)=0,"",SUMIFS(_calc!$E$2:$E$3000,_calc!$AE$2:$AE$3000,$B84&amp;"|"&amp;$D84,_calc!$A$2:$A$3000,$B$3,_calc!$C$2:$C$3000,P$6)))</f>
        <v/>
      </c>
      <c r="Q84" s="50" t="str">
        <f>IF(OR($B84="",Q$6=""),"",IF(COUNTIFS(_calc!$AE$2:$AE$3000,$B84&amp;"|"&amp;$D84,_calc!$A$2:$A$3000,$B$3,_calc!$C$2:$C$3000,Q$6)=0,"",SUMIFS(_calc!$E$2:$E$3000,_calc!$AE$2:$AE$3000,$B84&amp;"|"&amp;$D84,_calc!$A$2:$A$3000,$B$3,_calc!$C$2:$C$3000,Q$6)))</f>
        <v/>
      </c>
      <c r="R84" s="50" t="str">
        <f>IF(OR($B84="",R$6=""),"",IF(COUNTIFS(_calc!$AE$2:$AE$3000,$B84&amp;"|"&amp;$D84,_calc!$A$2:$A$3000,$B$3,_calc!$C$2:$C$3000,R$6)=0,"",SUMIFS(_calc!$E$2:$E$3000,_calc!$AE$2:$AE$3000,$B84&amp;"|"&amp;$D84,_calc!$A$2:$A$3000,$B$3,_calc!$C$2:$C$3000,R$6)))</f>
        <v/>
      </c>
      <c r="S84" s="50" t="str">
        <f>IF(OR($B84="",S$6=""),"",IF(COUNTIFS(_calc!$AE$2:$AE$3000,$B84&amp;"|"&amp;$D84,_calc!$A$2:$A$3000,$B$3,_calc!$C$2:$C$3000,S$6)=0,"",SUMIFS(_calc!$E$2:$E$3000,_calc!$AE$2:$AE$3000,$B84&amp;"|"&amp;$D84,_calc!$A$2:$A$3000,$B$3,_calc!$C$2:$C$3000,S$6)))</f>
        <v/>
      </c>
      <c r="T84" s="50" t="str">
        <f>IF(OR($B84="",T$6=""),"",IF(COUNTIFS(_calc!$AE$2:$AE$3000,$B84&amp;"|"&amp;$D84,_calc!$A$2:$A$3000,$B$3,_calc!$C$2:$C$3000,T$6)=0,"",SUMIFS(_calc!$E$2:$E$3000,_calc!$AE$2:$AE$3000,$B84&amp;"|"&amp;$D84,_calc!$A$2:$A$3000,$B$3,_calc!$C$2:$C$3000,T$6)))</f>
        <v/>
      </c>
      <c r="U84" s="50" t="str">
        <f>IF(OR($B84="",U$6=""),"",IF(COUNTIFS(_calc!$AE$2:$AE$3000,$B84&amp;"|"&amp;$D84,_calc!$A$2:$A$3000,$B$3,_calc!$C$2:$C$3000,U$6)=0,"",SUMIFS(_calc!$E$2:$E$3000,_calc!$AE$2:$AE$3000,$B84&amp;"|"&amp;$D84,_calc!$A$2:$A$3000,$B$3,_calc!$C$2:$C$3000,U$6)))</f>
        <v/>
      </c>
      <c r="V84" s="50" t="str">
        <f>IF(OR($B84="",V$6=""),"",IF(COUNTIFS(_calc!$AE$2:$AE$3000,$B84&amp;"|"&amp;$D84,_calc!$A$2:$A$3000,$B$3,_calc!$C$2:$C$3000,V$6)=0,"",SUMIFS(_calc!$E$2:$E$3000,_calc!$AE$2:$AE$3000,$B84&amp;"|"&amp;$D84,_calc!$A$2:$A$3000,$B$3,_calc!$C$2:$C$3000,V$6)))</f>
        <v/>
      </c>
      <c r="W84" s="50" t="str">
        <f>IF(OR($B84="",W$6=""),"",IF(COUNTIFS(_calc!$AE$2:$AE$3000,$B84&amp;"|"&amp;$D84,_calc!$A$2:$A$3000,$B$3,_calc!$C$2:$C$3000,W$6)=0,"",SUMIFS(_calc!$E$2:$E$3000,_calc!$AE$2:$AE$3000,$B84&amp;"|"&amp;$D84,_calc!$A$2:$A$3000,$B$3,_calc!$C$2:$C$3000,W$6)))</f>
        <v/>
      </c>
      <c r="X84" s="50" t="str">
        <f>IF(OR($B84="",X$6=""),"",IF(COUNTIFS(_calc!$AE$2:$AE$3000,$B84&amp;"|"&amp;$D84,_calc!$A$2:$A$3000,$B$3,_calc!$C$2:$C$3000,X$6)=0,"",SUMIFS(_calc!$E$2:$E$3000,_calc!$AE$2:$AE$3000,$B84&amp;"|"&amp;$D84,_calc!$A$2:$A$3000,$B$3,_calc!$C$2:$C$3000,X$6)))</f>
        <v/>
      </c>
    </row>
    <row r="85" spans="1:24" x14ac:dyDescent="0.4">
      <c r="A85" s="48">
        <v>79</v>
      </c>
      <c r="B85" s="49" t="str">
        <f>IFERROR(INDEX(_calc!$I$2:$I$3000,MATCH($A85,_calc!$AB$2:$AB$3000,0)),"")</f>
        <v/>
      </c>
      <c r="C85" s="49" t="str">
        <f>IFERROR(INDEX(_calc!$H$2:$H$3000,MATCH($A85,_calc!$AB$2:$AB$3000,0)),"")</f>
        <v/>
      </c>
      <c r="D85" s="49" t="str">
        <f>IFERROR(INDEX(_calc!$K$2:$K$3000,MATCH($A85,_calc!$AB$2:$AB$3000,0)),"")</f>
        <v/>
      </c>
      <c r="E85" s="50" t="str">
        <f>IF(OR($B85="",E$6=""),"",IF(COUNTIFS(_calc!$AE$2:$AE$3000,$B85&amp;"|"&amp;$D85,_calc!$A$2:$A$3000,$B$3,_calc!$C$2:$C$3000,E$6)=0,"",SUMIFS(_calc!$E$2:$E$3000,_calc!$AE$2:$AE$3000,$B85&amp;"|"&amp;$D85,_calc!$A$2:$A$3000,$B$3,_calc!$C$2:$C$3000,E$6)))</f>
        <v/>
      </c>
      <c r="F85" s="50" t="str">
        <f>IF(OR($B85="",F$6=""),"",IF(COUNTIFS(_calc!$AE$2:$AE$3000,$B85&amp;"|"&amp;$D85,_calc!$A$2:$A$3000,$B$3,_calc!$C$2:$C$3000,F$6)=0,"",SUMIFS(_calc!$E$2:$E$3000,_calc!$AE$2:$AE$3000,$B85&amp;"|"&amp;$D85,_calc!$A$2:$A$3000,$B$3,_calc!$C$2:$C$3000,F$6)))</f>
        <v/>
      </c>
      <c r="G85" s="50" t="str">
        <f>IF(OR($B85="",G$6=""),"",IF(COUNTIFS(_calc!$AE$2:$AE$3000,$B85&amp;"|"&amp;$D85,_calc!$A$2:$A$3000,$B$3,_calc!$C$2:$C$3000,G$6)=0,"",SUMIFS(_calc!$E$2:$E$3000,_calc!$AE$2:$AE$3000,$B85&amp;"|"&amp;$D85,_calc!$A$2:$A$3000,$B$3,_calc!$C$2:$C$3000,G$6)))</f>
        <v/>
      </c>
      <c r="H85" s="50" t="str">
        <f>IF(OR($B85="",H$6=""),"",IF(COUNTIFS(_calc!$AE$2:$AE$3000,$B85&amp;"|"&amp;$D85,_calc!$A$2:$A$3000,$B$3,_calc!$C$2:$C$3000,H$6)=0,"",SUMIFS(_calc!$E$2:$E$3000,_calc!$AE$2:$AE$3000,$B85&amp;"|"&amp;$D85,_calc!$A$2:$A$3000,$B$3,_calc!$C$2:$C$3000,H$6)))</f>
        <v/>
      </c>
      <c r="I85" s="50" t="str">
        <f>IF(OR($B85="",I$6=""),"",IF(COUNTIFS(_calc!$AE$2:$AE$3000,$B85&amp;"|"&amp;$D85,_calc!$A$2:$A$3000,$B$3,_calc!$C$2:$C$3000,I$6)=0,"",SUMIFS(_calc!$E$2:$E$3000,_calc!$AE$2:$AE$3000,$B85&amp;"|"&amp;$D85,_calc!$A$2:$A$3000,$B$3,_calc!$C$2:$C$3000,I$6)))</f>
        <v/>
      </c>
      <c r="J85" s="50" t="str">
        <f>IF(OR($B85="",J$6=""),"",IF(COUNTIFS(_calc!$AE$2:$AE$3000,$B85&amp;"|"&amp;$D85,_calc!$A$2:$A$3000,$B$3,_calc!$C$2:$C$3000,J$6)=0,"",SUMIFS(_calc!$E$2:$E$3000,_calc!$AE$2:$AE$3000,$B85&amp;"|"&amp;$D85,_calc!$A$2:$A$3000,$B$3,_calc!$C$2:$C$3000,J$6)))</f>
        <v/>
      </c>
      <c r="K85" s="50" t="str">
        <f>IF(OR($B85="",K$6=""),"",IF(COUNTIFS(_calc!$AE$2:$AE$3000,$B85&amp;"|"&amp;$D85,_calc!$A$2:$A$3000,$B$3,_calc!$C$2:$C$3000,K$6)=0,"",SUMIFS(_calc!$E$2:$E$3000,_calc!$AE$2:$AE$3000,$B85&amp;"|"&amp;$D85,_calc!$A$2:$A$3000,$B$3,_calc!$C$2:$C$3000,K$6)))</f>
        <v/>
      </c>
      <c r="L85" s="50" t="str">
        <f>IF(OR($B85="",L$6=""),"",IF(COUNTIFS(_calc!$AE$2:$AE$3000,$B85&amp;"|"&amp;$D85,_calc!$A$2:$A$3000,$B$3,_calc!$C$2:$C$3000,L$6)=0,"",SUMIFS(_calc!$E$2:$E$3000,_calc!$AE$2:$AE$3000,$B85&amp;"|"&amp;$D85,_calc!$A$2:$A$3000,$B$3,_calc!$C$2:$C$3000,L$6)))</f>
        <v/>
      </c>
      <c r="M85" s="50" t="str">
        <f>IF(OR($B85="",M$6=""),"",IF(COUNTIFS(_calc!$AE$2:$AE$3000,$B85&amp;"|"&amp;$D85,_calc!$A$2:$A$3000,$B$3,_calc!$C$2:$C$3000,M$6)=0,"",SUMIFS(_calc!$E$2:$E$3000,_calc!$AE$2:$AE$3000,$B85&amp;"|"&amp;$D85,_calc!$A$2:$A$3000,$B$3,_calc!$C$2:$C$3000,M$6)))</f>
        <v/>
      </c>
      <c r="N85" s="50" t="str">
        <f>IF(OR($B85="",N$6=""),"",IF(COUNTIFS(_calc!$AE$2:$AE$3000,$B85&amp;"|"&amp;$D85,_calc!$A$2:$A$3000,$B$3,_calc!$C$2:$C$3000,N$6)=0,"",SUMIFS(_calc!$E$2:$E$3000,_calc!$AE$2:$AE$3000,$B85&amp;"|"&amp;$D85,_calc!$A$2:$A$3000,$B$3,_calc!$C$2:$C$3000,N$6)))</f>
        <v/>
      </c>
      <c r="O85" s="50" t="str">
        <f>IF(OR($B85="",O$6=""),"",IF(COUNTIFS(_calc!$AE$2:$AE$3000,$B85&amp;"|"&amp;$D85,_calc!$A$2:$A$3000,$B$3,_calc!$C$2:$C$3000,O$6)=0,"",SUMIFS(_calc!$E$2:$E$3000,_calc!$AE$2:$AE$3000,$B85&amp;"|"&amp;$D85,_calc!$A$2:$A$3000,$B$3,_calc!$C$2:$C$3000,O$6)))</f>
        <v/>
      </c>
      <c r="P85" s="50" t="str">
        <f>IF(OR($B85="",P$6=""),"",IF(COUNTIFS(_calc!$AE$2:$AE$3000,$B85&amp;"|"&amp;$D85,_calc!$A$2:$A$3000,$B$3,_calc!$C$2:$C$3000,P$6)=0,"",SUMIFS(_calc!$E$2:$E$3000,_calc!$AE$2:$AE$3000,$B85&amp;"|"&amp;$D85,_calc!$A$2:$A$3000,$B$3,_calc!$C$2:$C$3000,P$6)))</f>
        <v/>
      </c>
      <c r="Q85" s="50" t="str">
        <f>IF(OR($B85="",Q$6=""),"",IF(COUNTIFS(_calc!$AE$2:$AE$3000,$B85&amp;"|"&amp;$D85,_calc!$A$2:$A$3000,$B$3,_calc!$C$2:$C$3000,Q$6)=0,"",SUMIFS(_calc!$E$2:$E$3000,_calc!$AE$2:$AE$3000,$B85&amp;"|"&amp;$D85,_calc!$A$2:$A$3000,$B$3,_calc!$C$2:$C$3000,Q$6)))</f>
        <v/>
      </c>
      <c r="R85" s="50" t="str">
        <f>IF(OR($B85="",R$6=""),"",IF(COUNTIFS(_calc!$AE$2:$AE$3000,$B85&amp;"|"&amp;$D85,_calc!$A$2:$A$3000,$B$3,_calc!$C$2:$C$3000,R$6)=0,"",SUMIFS(_calc!$E$2:$E$3000,_calc!$AE$2:$AE$3000,$B85&amp;"|"&amp;$D85,_calc!$A$2:$A$3000,$B$3,_calc!$C$2:$C$3000,R$6)))</f>
        <v/>
      </c>
      <c r="S85" s="50" t="str">
        <f>IF(OR($B85="",S$6=""),"",IF(COUNTIFS(_calc!$AE$2:$AE$3000,$B85&amp;"|"&amp;$D85,_calc!$A$2:$A$3000,$B$3,_calc!$C$2:$C$3000,S$6)=0,"",SUMIFS(_calc!$E$2:$E$3000,_calc!$AE$2:$AE$3000,$B85&amp;"|"&amp;$D85,_calc!$A$2:$A$3000,$B$3,_calc!$C$2:$C$3000,S$6)))</f>
        <v/>
      </c>
      <c r="T85" s="50" t="str">
        <f>IF(OR($B85="",T$6=""),"",IF(COUNTIFS(_calc!$AE$2:$AE$3000,$B85&amp;"|"&amp;$D85,_calc!$A$2:$A$3000,$B$3,_calc!$C$2:$C$3000,T$6)=0,"",SUMIFS(_calc!$E$2:$E$3000,_calc!$AE$2:$AE$3000,$B85&amp;"|"&amp;$D85,_calc!$A$2:$A$3000,$B$3,_calc!$C$2:$C$3000,T$6)))</f>
        <v/>
      </c>
      <c r="U85" s="50" t="str">
        <f>IF(OR($B85="",U$6=""),"",IF(COUNTIFS(_calc!$AE$2:$AE$3000,$B85&amp;"|"&amp;$D85,_calc!$A$2:$A$3000,$B$3,_calc!$C$2:$C$3000,U$6)=0,"",SUMIFS(_calc!$E$2:$E$3000,_calc!$AE$2:$AE$3000,$B85&amp;"|"&amp;$D85,_calc!$A$2:$A$3000,$B$3,_calc!$C$2:$C$3000,U$6)))</f>
        <v/>
      </c>
      <c r="V85" s="50" t="str">
        <f>IF(OR($B85="",V$6=""),"",IF(COUNTIFS(_calc!$AE$2:$AE$3000,$B85&amp;"|"&amp;$D85,_calc!$A$2:$A$3000,$B$3,_calc!$C$2:$C$3000,V$6)=0,"",SUMIFS(_calc!$E$2:$E$3000,_calc!$AE$2:$AE$3000,$B85&amp;"|"&amp;$D85,_calc!$A$2:$A$3000,$B$3,_calc!$C$2:$C$3000,V$6)))</f>
        <v/>
      </c>
      <c r="W85" s="50" t="str">
        <f>IF(OR($B85="",W$6=""),"",IF(COUNTIFS(_calc!$AE$2:$AE$3000,$B85&amp;"|"&amp;$D85,_calc!$A$2:$A$3000,$B$3,_calc!$C$2:$C$3000,W$6)=0,"",SUMIFS(_calc!$E$2:$E$3000,_calc!$AE$2:$AE$3000,$B85&amp;"|"&amp;$D85,_calc!$A$2:$A$3000,$B$3,_calc!$C$2:$C$3000,W$6)))</f>
        <v/>
      </c>
      <c r="X85" s="50" t="str">
        <f>IF(OR($B85="",X$6=""),"",IF(COUNTIFS(_calc!$AE$2:$AE$3000,$B85&amp;"|"&amp;$D85,_calc!$A$2:$A$3000,$B$3,_calc!$C$2:$C$3000,X$6)=0,"",SUMIFS(_calc!$E$2:$E$3000,_calc!$AE$2:$AE$3000,$B85&amp;"|"&amp;$D85,_calc!$A$2:$A$3000,$B$3,_calc!$C$2:$C$3000,X$6)))</f>
        <v/>
      </c>
    </row>
    <row r="86" spans="1:24" x14ac:dyDescent="0.4">
      <c r="A86" s="48">
        <v>80</v>
      </c>
      <c r="B86" s="49" t="str">
        <f>IFERROR(INDEX(_calc!$I$2:$I$3000,MATCH($A86,_calc!$AB$2:$AB$3000,0)),"")</f>
        <v/>
      </c>
      <c r="C86" s="49" t="str">
        <f>IFERROR(INDEX(_calc!$H$2:$H$3000,MATCH($A86,_calc!$AB$2:$AB$3000,0)),"")</f>
        <v/>
      </c>
      <c r="D86" s="49" t="str">
        <f>IFERROR(INDEX(_calc!$K$2:$K$3000,MATCH($A86,_calc!$AB$2:$AB$3000,0)),"")</f>
        <v/>
      </c>
      <c r="E86" s="50" t="str">
        <f>IF(OR($B86="",E$6=""),"",IF(COUNTIFS(_calc!$AE$2:$AE$3000,$B86&amp;"|"&amp;$D86,_calc!$A$2:$A$3000,$B$3,_calc!$C$2:$C$3000,E$6)=0,"",SUMIFS(_calc!$E$2:$E$3000,_calc!$AE$2:$AE$3000,$B86&amp;"|"&amp;$D86,_calc!$A$2:$A$3000,$B$3,_calc!$C$2:$C$3000,E$6)))</f>
        <v/>
      </c>
      <c r="F86" s="50" t="str">
        <f>IF(OR($B86="",F$6=""),"",IF(COUNTIFS(_calc!$AE$2:$AE$3000,$B86&amp;"|"&amp;$D86,_calc!$A$2:$A$3000,$B$3,_calc!$C$2:$C$3000,F$6)=0,"",SUMIFS(_calc!$E$2:$E$3000,_calc!$AE$2:$AE$3000,$B86&amp;"|"&amp;$D86,_calc!$A$2:$A$3000,$B$3,_calc!$C$2:$C$3000,F$6)))</f>
        <v/>
      </c>
      <c r="G86" s="50" t="str">
        <f>IF(OR($B86="",G$6=""),"",IF(COUNTIFS(_calc!$AE$2:$AE$3000,$B86&amp;"|"&amp;$D86,_calc!$A$2:$A$3000,$B$3,_calc!$C$2:$C$3000,G$6)=0,"",SUMIFS(_calc!$E$2:$E$3000,_calc!$AE$2:$AE$3000,$B86&amp;"|"&amp;$D86,_calc!$A$2:$A$3000,$B$3,_calc!$C$2:$C$3000,G$6)))</f>
        <v/>
      </c>
      <c r="H86" s="50" t="str">
        <f>IF(OR($B86="",H$6=""),"",IF(COUNTIFS(_calc!$AE$2:$AE$3000,$B86&amp;"|"&amp;$D86,_calc!$A$2:$A$3000,$B$3,_calc!$C$2:$C$3000,H$6)=0,"",SUMIFS(_calc!$E$2:$E$3000,_calc!$AE$2:$AE$3000,$B86&amp;"|"&amp;$D86,_calc!$A$2:$A$3000,$B$3,_calc!$C$2:$C$3000,H$6)))</f>
        <v/>
      </c>
      <c r="I86" s="50" t="str">
        <f>IF(OR($B86="",I$6=""),"",IF(COUNTIFS(_calc!$AE$2:$AE$3000,$B86&amp;"|"&amp;$D86,_calc!$A$2:$A$3000,$B$3,_calc!$C$2:$C$3000,I$6)=0,"",SUMIFS(_calc!$E$2:$E$3000,_calc!$AE$2:$AE$3000,$B86&amp;"|"&amp;$D86,_calc!$A$2:$A$3000,$B$3,_calc!$C$2:$C$3000,I$6)))</f>
        <v/>
      </c>
      <c r="J86" s="50" t="str">
        <f>IF(OR($B86="",J$6=""),"",IF(COUNTIFS(_calc!$AE$2:$AE$3000,$B86&amp;"|"&amp;$D86,_calc!$A$2:$A$3000,$B$3,_calc!$C$2:$C$3000,J$6)=0,"",SUMIFS(_calc!$E$2:$E$3000,_calc!$AE$2:$AE$3000,$B86&amp;"|"&amp;$D86,_calc!$A$2:$A$3000,$B$3,_calc!$C$2:$C$3000,J$6)))</f>
        <v/>
      </c>
      <c r="K86" s="50" t="str">
        <f>IF(OR($B86="",K$6=""),"",IF(COUNTIFS(_calc!$AE$2:$AE$3000,$B86&amp;"|"&amp;$D86,_calc!$A$2:$A$3000,$B$3,_calc!$C$2:$C$3000,K$6)=0,"",SUMIFS(_calc!$E$2:$E$3000,_calc!$AE$2:$AE$3000,$B86&amp;"|"&amp;$D86,_calc!$A$2:$A$3000,$B$3,_calc!$C$2:$C$3000,K$6)))</f>
        <v/>
      </c>
      <c r="L86" s="50" t="str">
        <f>IF(OR($B86="",L$6=""),"",IF(COUNTIFS(_calc!$AE$2:$AE$3000,$B86&amp;"|"&amp;$D86,_calc!$A$2:$A$3000,$B$3,_calc!$C$2:$C$3000,L$6)=0,"",SUMIFS(_calc!$E$2:$E$3000,_calc!$AE$2:$AE$3000,$B86&amp;"|"&amp;$D86,_calc!$A$2:$A$3000,$B$3,_calc!$C$2:$C$3000,L$6)))</f>
        <v/>
      </c>
      <c r="M86" s="50" t="str">
        <f>IF(OR($B86="",M$6=""),"",IF(COUNTIFS(_calc!$AE$2:$AE$3000,$B86&amp;"|"&amp;$D86,_calc!$A$2:$A$3000,$B$3,_calc!$C$2:$C$3000,M$6)=0,"",SUMIFS(_calc!$E$2:$E$3000,_calc!$AE$2:$AE$3000,$B86&amp;"|"&amp;$D86,_calc!$A$2:$A$3000,$B$3,_calc!$C$2:$C$3000,M$6)))</f>
        <v/>
      </c>
      <c r="N86" s="50" t="str">
        <f>IF(OR($B86="",N$6=""),"",IF(COUNTIFS(_calc!$AE$2:$AE$3000,$B86&amp;"|"&amp;$D86,_calc!$A$2:$A$3000,$B$3,_calc!$C$2:$C$3000,N$6)=0,"",SUMIFS(_calc!$E$2:$E$3000,_calc!$AE$2:$AE$3000,$B86&amp;"|"&amp;$D86,_calc!$A$2:$A$3000,$B$3,_calc!$C$2:$C$3000,N$6)))</f>
        <v/>
      </c>
      <c r="O86" s="50" t="str">
        <f>IF(OR($B86="",O$6=""),"",IF(COUNTIFS(_calc!$AE$2:$AE$3000,$B86&amp;"|"&amp;$D86,_calc!$A$2:$A$3000,$B$3,_calc!$C$2:$C$3000,O$6)=0,"",SUMIFS(_calc!$E$2:$E$3000,_calc!$AE$2:$AE$3000,$B86&amp;"|"&amp;$D86,_calc!$A$2:$A$3000,$B$3,_calc!$C$2:$C$3000,O$6)))</f>
        <v/>
      </c>
      <c r="P86" s="50" t="str">
        <f>IF(OR($B86="",P$6=""),"",IF(COUNTIFS(_calc!$AE$2:$AE$3000,$B86&amp;"|"&amp;$D86,_calc!$A$2:$A$3000,$B$3,_calc!$C$2:$C$3000,P$6)=0,"",SUMIFS(_calc!$E$2:$E$3000,_calc!$AE$2:$AE$3000,$B86&amp;"|"&amp;$D86,_calc!$A$2:$A$3000,$B$3,_calc!$C$2:$C$3000,P$6)))</f>
        <v/>
      </c>
      <c r="Q86" s="50" t="str">
        <f>IF(OR($B86="",Q$6=""),"",IF(COUNTIFS(_calc!$AE$2:$AE$3000,$B86&amp;"|"&amp;$D86,_calc!$A$2:$A$3000,$B$3,_calc!$C$2:$C$3000,Q$6)=0,"",SUMIFS(_calc!$E$2:$E$3000,_calc!$AE$2:$AE$3000,$B86&amp;"|"&amp;$D86,_calc!$A$2:$A$3000,$B$3,_calc!$C$2:$C$3000,Q$6)))</f>
        <v/>
      </c>
      <c r="R86" s="50" t="str">
        <f>IF(OR($B86="",R$6=""),"",IF(COUNTIFS(_calc!$AE$2:$AE$3000,$B86&amp;"|"&amp;$D86,_calc!$A$2:$A$3000,$B$3,_calc!$C$2:$C$3000,R$6)=0,"",SUMIFS(_calc!$E$2:$E$3000,_calc!$AE$2:$AE$3000,$B86&amp;"|"&amp;$D86,_calc!$A$2:$A$3000,$B$3,_calc!$C$2:$C$3000,R$6)))</f>
        <v/>
      </c>
      <c r="S86" s="50" t="str">
        <f>IF(OR($B86="",S$6=""),"",IF(COUNTIFS(_calc!$AE$2:$AE$3000,$B86&amp;"|"&amp;$D86,_calc!$A$2:$A$3000,$B$3,_calc!$C$2:$C$3000,S$6)=0,"",SUMIFS(_calc!$E$2:$E$3000,_calc!$AE$2:$AE$3000,$B86&amp;"|"&amp;$D86,_calc!$A$2:$A$3000,$B$3,_calc!$C$2:$C$3000,S$6)))</f>
        <v/>
      </c>
      <c r="T86" s="50" t="str">
        <f>IF(OR($B86="",T$6=""),"",IF(COUNTIFS(_calc!$AE$2:$AE$3000,$B86&amp;"|"&amp;$D86,_calc!$A$2:$A$3000,$B$3,_calc!$C$2:$C$3000,T$6)=0,"",SUMIFS(_calc!$E$2:$E$3000,_calc!$AE$2:$AE$3000,$B86&amp;"|"&amp;$D86,_calc!$A$2:$A$3000,$B$3,_calc!$C$2:$C$3000,T$6)))</f>
        <v/>
      </c>
      <c r="U86" s="50" t="str">
        <f>IF(OR($B86="",U$6=""),"",IF(COUNTIFS(_calc!$AE$2:$AE$3000,$B86&amp;"|"&amp;$D86,_calc!$A$2:$A$3000,$B$3,_calc!$C$2:$C$3000,U$6)=0,"",SUMIFS(_calc!$E$2:$E$3000,_calc!$AE$2:$AE$3000,$B86&amp;"|"&amp;$D86,_calc!$A$2:$A$3000,$B$3,_calc!$C$2:$C$3000,U$6)))</f>
        <v/>
      </c>
      <c r="V86" s="50" t="str">
        <f>IF(OR($B86="",V$6=""),"",IF(COUNTIFS(_calc!$AE$2:$AE$3000,$B86&amp;"|"&amp;$D86,_calc!$A$2:$A$3000,$B$3,_calc!$C$2:$C$3000,V$6)=0,"",SUMIFS(_calc!$E$2:$E$3000,_calc!$AE$2:$AE$3000,$B86&amp;"|"&amp;$D86,_calc!$A$2:$A$3000,$B$3,_calc!$C$2:$C$3000,V$6)))</f>
        <v/>
      </c>
      <c r="W86" s="50" t="str">
        <f>IF(OR($B86="",W$6=""),"",IF(COUNTIFS(_calc!$AE$2:$AE$3000,$B86&amp;"|"&amp;$D86,_calc!$A$2:$A$3000,$B$3,_calc!$C$2:$C$3000,W$6)=0,"",SUMIFS(_calc!$E$2:$E$3000,_calc!$AE$2:$AE$3000,$B86&amp;"|"&amp;$D86,_calc!$A$2:$A$3000,$B$3,_calc!$C$2:$C$3000,W$6)))</f>
        <v/>
      </c>
      <c r="X86" s="50" t="str">
        <f>IF(OR($B86="",X$6=""),"",IF(COUNTIFS(_calc!$AE$2:$AE$3000,$B86&amp;"|"&amp;$D86,_calc!$A$2:$A$3000,$B$3,_calc!$C$2:$C$3000,X$6)=0,"",SUMIFS(_calc!$E$2:$E$3000,_calc!$AE$2:$AE$3000,$B86&amp;"|"&amp;$D86,_calc!$A$2:$A$3000,$B$3,_calc!$C$2:$C$3000,X$6)))</f>
        <v/>
      </c>
    </row>
    <row r="87" spans="1:24" x14ac:dyDescent="0.4">
      <c r="A87" s="48">
        <v>81</v>
      </c>
      <c r="B87" s="49" t="str">
        <f>IFERROR(INDEX(_calc!$I$2:$I$3000,MATCH($A87,_calc!$AB$2:$AB$3000,0)),"")</f>
        <v/>
      </c>
      <c r="C87" s="49" t="str">
        <f>IFERROR(INDEX(_calc!$H$2:$H$3000,MATCH($A87,_calc!$AB$2:$AB$3000,0)),"")</f>
        <v/>
      </c>
      <c r="D87" s="49" t="str">
        <f>IFERROR(INDEX(_calc!$K$2:$K$3000,MATCH($A87,_calc!$AB$2:$AB$3000,0)),"")</f>
        <v/>
      </c>
      <c r="E87" s="50" t="str">
        <f>IF(OR($B87="",E$6=""),"",IF(COUNTIFS(_calc!$AE$2:$AE$3000,$B87&amp;"|"&amp;$D87,_calc!$A$2:$A$3000,$B$3,_calc!$C$2:$C$3000,E$6)=0,"",SUMIFS(_calc!$E$2:$E$3000,_calc!$AE$2:$AE$3000,$B87&amp;"|"&amp;$D87,_calc!$A$2:$A$3000,$B$3,_calc!$C$2:$C$3000,E$6)))</f>
        <v/>
      </c>
      <c r="F87" s="50" t="str">
        <f>IF(OR($B87="",F$6=""),"",IF(COUNTIFS(_calc!$AE$2:$AE$3000,$B87&amp;"|"&amp;$D87,_calc!$A$2:$A$3000,$B$3,_calc!$C$2:$C$3000,F$6)=0,"",SUMIFS(_calc!$E$2:$E$3000,_calc!$AE$2:$AE$3000,$B87&amp;"|"&amp;$D87,_calc!$A$2:$A$3000,$B$3,_calc!$C$2:$C$3000,F$6)))</f>
        <v/>
      </c>
      <c r="G87" s="50" t="str">
        <f>IF(OR($B87="",G$6=""),"",IF(COUNTIFS(_calc!$AE$2:$AE$3000,$B87&amp;"|"&amp;$D87,_calc!$A$2:$A$3000,$B$3,_calc!$C$2:$C$3000,G$6)=0,"",SUMIFS(_calc!$E$2:$E$3000,_calc!$AE$2:$AE$3000,$B87&amp;"|"&amp;$D87,_calc!$A$2:$A$3000,$B$3,_calc!$C$2:$C$3000,G$6)))</f>
        <v/>
      </c>
      <c r="H87" s="50" t="str">
        <f>IF(OR($B87="",H$6=""),"",IF(COUNTIFS(_calc!$AE$2:$AE$3000,$B87&amp;"|"&amp;$D87,_calc!$A$2:$A$3000,$B$3,_calc!$C$2:$C$3000,H$6)=0,"",SUMIFS(_calc!$E$2:$E$3000,_calc!$AE$2:$AE$3000,$B87&amp;"|"&amp;$D87,_calc!$A$2:$A$3000,$B$3,_calc!$C$2:$C$3000,H$6)))</f>
        <v/>
      </c>
      <c r="I87" s="50" t="str">
        <f>IF(OR($B87="",I$6=""),"",IF(COUNTIFS(_calc!$AE$2:$AE$3000,$B87&amp;"|"&amp;$D87,_calc!$A$2:$A$3000,$B$3,_calc!$C$2:$C$3000,I$6)=0,"",SUMIFS(_calc!$E$2:$E$3000,_calc!$AE$2:$AE$3000,$B87&amp;"|"&amp;$D87,_calc!$A$2:$A$3000,$B$3,_calc!$C$2:$C$3000,I$6)))</f>
        <v/>
      </c>
      <c r="J87" s="50" t="str">
        <f>IF(OR($B87="",J$6=""),"",IF(COUNTIFS(_calc!$AE$2:$AE$3000,$B87&amp;"|"&amp;$D87,_calc!$A$2:$A$3000,$B$3,_calc!$C$2:$C$3000,J$6)=0,"",SUMIFS(_calc!$E$2:$E$3000,_calc!$AE$2:$AE$3000,$B87&amp;"|"&amp;$D87,_calc!$A$2:$A$3000,$B$3,_calc!$C$2:$C$3000,J$6)))</f>
        <v/>
      </c>
      <c r="K87" s="50" t="str">
        <f>IF(OR($B87="",K$6=""),"",IF(COUNTIFS(_calc!$AE$2:$AE$3000,$B87&amp;"|"&amp;$D87,_calc!$A$2:$A$3000,$B$3,_calc!$C$2:$C$3000,K$6)=0,"",SUMIFS(_calc!$E$2:$E$3000,_calc!$AE$2:$AE$3000,$B87&amp;"|"&amp;$D87,_calc!$A$2:$A$3000,$B$3,_calc!$C$2:$C$3000,K$6)))</f>
        <v/>
      </c>
      <c r="L87" s="50" t="str">
        <f>IF(OR($B87="",L$6=""),"",IF(COUNTIFS(_calc!$AE$2:$AE$3000,$B87&amp;"|"&amp;$D87,_calc!$A$2:$A$3000,$B$3,_calc!$C$2:$C$3000,L$6)=0,"",SUMIFS(_calc!$E$2:$E$3000,_calc!$AE$2:$AE$3000,$B87&amp;"|"&amp;$D87,_calc!$A$2:$A$3000,$B$3,_calc!$C$2:$C$3000,L$6)))</f>
        <v/>
      </c>
      <c r="M87" s="50" t="str">
        <f>IF(OR($B87="",M$6=""),"",IF(COUNTIFS(_calc!$AE$2:$AE$3000,$B87&amp;"|"&amp;$D87,_calc!$A$2:$A$3000,$B$3,_calc!$C$2:$C$3000,M$6)=0,"",SUMIFS(_calc!$E$2:$E$3000,_calc!$AE$2:$AE$3000,$B87&amp;"|"&amp;$D87,_calc!$A$2:$A$3000,$B$3,_calc!$C$2:$C$3000,M$6)))</f>
        <v/>
      </c>
      <c r="N87" s="50" t="str">
        <f>IF(OR($B87="",N$6=""),"",IF(COUNTIFS(_calc!$AE$2:$AE$3000,$B87&amp;"|"&amp;$D87,_calc!$A$2:$A$3000,$B$3,_calc!$C$2:$C$3000,N$6)=0,"",SUMIFS(_calc!$E$2:$E$3000,_calc!$AE$2:$AE$3000,$B87&amp;"|"&amp;$D87,_calc!$A$2:$A$3000,$B$3,_calc!$C$2:$C$3000,N$6)))</f>
        <v/>
      </c>
      <c r="O87" s="50" t="str">
        <f>IF(OR($B87="",O$6=""),"",IF(COUNTIFS(_calc!$AE$2:$AE$3000,$B87&amp;"|"&amp;$D87,_calc!$A$2:$A$3000,$B$3,_calc!$C$2:$C$3000,O$6)=0,"",SUMIFS(_calc!$E$2:$E$3000,_calc!$AE$2:$AE$3000,$B87&amp;"|"&amp;$D87,_calc!$A$2:$A$3000,$B$3,_calc!$C$2:$C$3000,O$6)))</f>
        <v/>
      </c>
      <c r="P87" s="50" t="str">
        <f>IF(OR($B87="",P$6=""),"",IF(COUNTIFS(_calc!$AE$2:$AE$3000,$B87&amp;"|"&amp;$D87,_calc!$A$2:$A$3000,$B$3,_calc!$C$2:$C$3000,P$6)=0,"",SUMIFS(_calc!$E$2:$E$3000,_calc!$AE$2:$AE$3000,$B87&amp;"|"&amp;$D87,_calc!$A$2:$A$3000,$B$3,_calc!$C$2:$C$3000,P$6)))</f>
        <v/>
      </c>
      <c r="Q87" s="50" t="str">
        <f>IF(OR($B87="",Q$6=""),"",IF(COUNTIFS(_calc!$AE$2:$AE$3000,$B87&amp;"|"&amp;$D87,_calc!$A$2:$A$3000,$B$3,_calc!$C$2:$C$3000,Q$6)=0,"",SUMIFS(_calc!$E$2:$E$3000,_calc!$AE$2:$AE$3000,$B87&amp;"|"&amp;$D87,_calc!$A$2:$A$3000,$B$3,_calc!$C$2:$C$3000,Q$6)))</f>
        <v/>
      </c>
      <c r="R87" s="50" t="str">
        <f>IF(OR($B87="",R$6=""),"",IF(COUNTIFS(_calc!$AE$2:$AE$3000,$B87&amp;"|"&amp;$D87,_calc!$A$2:$A$3000,$B$3,_calc!$C$2:$C$3000,R$6)=0,"",SUMIFS(_calc!$E$2:$E$3000,_calc!$AE$2:$AE$3000,$B87&amp;"|"&amp;$D87,_calc!$A$2:$A$3000,$B$3,_calc!$C$2:$C$3000,R$6)))</f>
        <v/>
      </c>
      <c r="S87" s="50" t="str">
        <f>IF(OR($B87="",S$6=""),"",IF(COUNTIFS(_calc!$AE$2:$AE$3000,$B87&amp;"|"&amp;$D87,_calc!$A$2:$A$3000,$B$3,_calc!$C$2:$C$3000,S$6)=0,"",SUMIFS(_calc!$E$2:$E$3000,_calc!$AE$2:$AE$3000,$B87&amp;"|"&amp;$D87,_calc!$A$2:$A$3000,$B$3,_calc!$C$2:$C$3000,S$6)))</f>
        <v/>
      </c>
      <c r="T87" s="50" t="str">
        <f>IF(OR($B87="",T$6=""),"",IF(COUNTIFS(_calc!$AE$2:$AE$3000,$B87&amp;"|"&amp;$D87,_calc!$A$2:$A$3000,$B$3,_calc!$C$2:$C$3000,T$6)=0,"",SUMIFS(_calc!$E$2:$E$3000,_calc!$AE$2:$AE$3000,$B87&amp;"|"&amp;$D87,_calc!$A$2:$A$3000,$B$3,_calc!$C$2:$C$3000,T$6)))</f>
        <v/>
      </c>
      <c r="U87" s="50" t="str">
        <f>IF(OR($B87="",U$6=""),"",IF(COUNTIFS(_calc!$AE$2:$AE$3000,$B87&amp;"|"&amp;$D87,_calc!$A$2:$A$3000,$B$3,_calc!$C$2:$C$3000,U$6)=0,"",SUMIFS(_calc!$E$2:$E$3000,_calc!$AE$2:$AE$3000,$B87&amp;"|"&amp;$D87,_calc!$A$2:$A$3000,$B$3,_calc!$C$2:$C$3000,U$6)))</f>
        <v/>
      </c>
      <c r="V87" s="50" t="str">
        <f>IF(OR($B87="",V$6=""),"",IF(COUNTIFS(_calc!$AE$2:$AE$3000,$B87&amp;"|"&amp;$D87,_calc!$A$2:$A$3000,$B$3,_calc!$C$2:$C$3000,V$6)=0,"",SUMIFS(_calc!$E$2:$E$3000,_calc!$AE$2:$AE$3000,$B87&amp;"|"&amp;$D87,_calc!$A$2:$A$3000,$B$3,_calc!$C$2:$C$3000,V$6)))</f>
        <v/>
      </c>
      <c r="W87" s="50" t="str">
        <f>IF(OR($B87="",W$6=""),"",IF(COUNTIFS(_calc!$AE$2:$AE$3000,$B87&amp;"|"&amp;$D87,_calc!$A$2:$A$3000,$B$3,_calc!$C$2:$C$3000,W$6)=0,"",SUMIFS(_calc!$E$2:$E$3000,_calc!$AE$2:$AE$3000,$B87&amp;"|"&amp;$D87,_calc!$A$2:$A$3000,$B$3,_calc!$C$2:$C$3000,W$6)))</f>
        <v/>
      </c>
      <c r="X87" s="50" t="str">
        <f>IF(OR($B87="",X$6=""),"",IF(COUNTIFS(_calc!$AE$2:$AE$3000,$B87&amp;"|"&amp;$D87,_calc!$A$2:$A$3000,$B$3,_calc!$C$2:$C$3000,X$6)=0,"",SUMIFS(_calc!$E$2:$E$3000,_calc!$AE$2:$AE$3000,$B87&amp;"|"&amp;$D87,_calc!$A$2:$A$3000,$B$3,_calc!$C$2:$C$3000,X$6)))</f>
        <v/>
      </c>
    </row>
    <row r="88" spans="1:24" x14ac:dyDescent="0.4">
      <c r="A88" s="48">
        <v>82</v>
      </c>
      <c r="B88" s="49" t="str">
        <f>IFERROR(INDEX(_calc!$I$2:$I$3000,MATCH($A88,_calc!$AB$2:$AB$3000,0)),"")</f>
        <v/>
      </c>
      <c r="C88" s="49" t="str">
        <f>IFERROR(INDEX(_calc!$H$2:$H$3000,MATCH($A88,_calc!$AB$2:$AB$3000,0)),"")</f>
        <v/>
      </c>
      <c r="D88" s="49" t="str">
        <f>IFERROR(INDEX(_calc!$K$2:$K$3000,MATCH($A88,_calc!$AB$2:$AB$3000,0)),"")</f>
        <v/>
      </c>
      <c r="E88" s="50" t="str">
        <f>IF(OR($B88="",E$6=""),"",IF(COUNTIFS(_calc!$AE$2:$AE$3000,$B88&amp;"|"&amp;$D88,_calc!$A$2:$A$3000,$B$3,_calc!$C$2:$C$3000,E$6)=0,"",SUMIFS(_calc!$E$2:$E$3000,_calc!$AE$2:$AE$3000,$B88&amp;"|"&amp;$D88,_calc!$A$2:$A$3000,$B$3,_calc!$C$2:$C$3000,E$6)))</f>
        <v/>
      </c>
      <c r="F88" s="50" t="str">
        <f>IF(OR($B88="",F$6=""),"",IF(COUNTIFS(_calc!$AE$2:$AE$3000,$B88&amp;"|"&amp;$D88,_calc!$A$2:$A$3000,$B$3,_calc!$C$2:$C$3000,F$6)=0,"",SUMIFS(_calc!$E$2:$E$3000,_calc!$AE$2:$AE$3000,$B88&amp;"|"&amp;$D88,_calc!$A$2:$A$3000,$B$3,_calc!$C$2:$C$3000,F$6)))</f>
        <v/>
      </c>
      <c r="G88" s="50" t="str">
        <f>IF(OR($B88="",G$6=""),"",IF(COUNTIFS(_calc!$AE$2:$AE$3000,$B88&amp;"|"&amp;$D88,_calc!$A$2:$A$3000,$B$3,_calc!$C$2:$C$3000,G$6)=0,"",SUMIFS(_calc!$E$2:$E$3000,_calc!$AE$2:$AE$3000,$B88&amp;"|"&amp;$D88,_calc!$A$2:$A$3000,$B$3,_calc!$C$2:$C$3000,G$6)))</f>
        <v/>
      </c>
      <c r="H88" s="50" t="str">
        <f>IF(OR($B88="",H$6=""),"",IF(COUNTIFS(_calc!$AE$2:$AE$3000,$B88&amp;"|"&amp;$D88,_calc!$A$2:$A$3000,$B$3,_calc!$C$2:$C$3000,H$6)=0,"",SUMIFS(_calc!$E$2:$E$3000,_calc!$AE$2:$AE$3000,$B88&amp;"|"&amp;$D88,_calc!$A$2:$A$3000,$B$3,_calc!$C$2:$C$3000,H$6)))</f>
        <v/>
      </c>
      <c r="I88" s="50" t="str">
        <f>IF(OR($B88="",I$6=""),"",IF(COUNTIFS(_calc!$AE$2:$AE$3000,$B88&amp;"|"&amp;$D88,_calc!$A$2:$A$3000,$B$3,_calc!$C$2:$C$3000,I$6)=0,"",SUMIFS(_calc!$E$2:$E$3000,_calc!$AE$2:$AE$3000,$B88&amp;"|"&amp;$D88,_calc!$A$2:$A$3000,$B$3,_calc!$C$2:$C$3000,I$6)))</f>
        <v/>
      </c>
      <c r="J88" s="50" t="str">
        <f>IF(OR($B88="",J$6=""),"",IF(COUNTIFS(_calc!$AE$2:$AE$3000,$B88&amp;"|"&amp;$D88,_calc!$A$2:$A$3000,$B$3,_calc!$C$2:$C$3000,J$6)=0,"",SUMIFS(_calc!$E$2:$E$3000,_calc!$AE$2:$AE$3000,$B88&amp;"|"&amp;$D88,_calc!$A$2:$A$3000,$B$3,_calc!$C$2:$C$3000,J$6)))</f>
        <v/>
      </c>
      <c r="K88" s="50" t="str">
        <f>IF(OR($B88="",K$6=""),"",IF(COUNTIFS(_calc!$AE$2:$AE$3000,$B88&amp;"|"&amp;$D88,_calc!$A$2:$A$3000,$B$3,_calc!$C$2:$C$3000,K$6)=0,"",SUMIFS(_calc!$E$2:$E$3000,_calc!$AE$2:$AE$3000,$B88&amp;"|"&amp;$D88,_calc!$A$2:$A$3000,$B$3,_calc!$C$2:$C$3000,K$6)))</f>
        <v/>
      </c>
      <c r="L88" s="50" t="str">
        <f>IF(OR($B88="",L$6=""),"",IF(COUNTIFS(_calc!$AE$2:$AE$3000,$B88&amp;"|"&amp;$D88,_calc!$A$2:$A$3000,$B$3,_calc!$C$2:$C$3000,L$6)=0,"",SUMIFS(_calc!$E$2:$E$3000,_calc!$AE$2:$AE$3000,$B88&amp;"|"&amp;$D88,_calc!$A$2:$A$3000,$B$3,_calc!$C$2:$C$3000,L$6)))</f>
        <v/>
      </c>
      <c r="M88" s="50" t="str">
        <f>IF(OR($B88="",M$6=""),"",IF(COUNTIFS(_calc!$AE$2:$AE$3000,$B88&amp;"|"&amp;$D88,_calc!$A$2:$A$3000,$B$3,_calc!$C$2:$C$3000,M$6)=0,"",SUMIFS(_calc!$E$2:$E$3000,_calc!$AE$2:$AE$3000,$B88&amp;"|"&amp;$D88,_calc!$A$2:$A$3000,$B$3,_calc!$C$2:$C$3000,M$6)))</f>
        <v/>
      </c>
      <c r="N88" s="50" t="str">
        <f>IF(OR($B88="",N$6=""),"",IF(COUNTIFS(_calc!$AE$2:$AE$3000,$B88&amp;"|"&amp;$D88,_calc!$A$2:$A$3000,$B$3,_calc!$C$2:$C$3000,N$6)=0,"",SUMIFS(_calc!$E$2:$E$3000,_calc!$AE$2:$AE$3000,$B88&amp;"|"&amp;$D88,_calc!$A$2:$A$3000,$B$3,_calc!$C$2:$C$3000,N$6)))</f>
        <v/>
      </c>
      <c r="O88" s="50" t="str">
        <f>IF(OR($B88="",O$6=""),"",IF(COUNTIFS(_calc!$AE$2:$AE$3000,$B88&amp;"|"&amp;$D88,_calc!$A$2:$A$3000,$B$3,_calc!$C$2:$C$3000,O$6)=0,"",SUMIFS(_calc!$E$2:$E$3000,_calc!$AE$2:$AE$3000,$B88&amp;"|"&amp;$D88,_calc!$A$2:$A$3000,$B$3,_calc!$C$2:$C$3000,O$6)))</f>
        <v/>
      </c>
      <c r="P88" s="50" t="str">
        <f>IF(OR($B88="",P$6=""),"",IF(COUNTIFS(_calc!$AE$2:$AE$3000,$B88&amp;"|"&amp;$D88,_calc!$A$2:$A$3000,$B$3,_calc!$C$2:$C$3000,P$6)=0,"",SUMIFS(_calc!$E$2:$E$3000,_calc!$AE$2:$AE$3000,$B88&amp;"|"&amp;$D88,_calc!$A$2:$A$3000,$B$3,_calc!$C$2:$C$3000,P$6)))</f>
        <v/>
      </c>
      <c r="Q88" s="50" t="str">
        <f>IF(OR($B88="",Q$6=""),"",IF(COUNTIFS(_calc!$AE$2:$AE$3000,$B88&amp;"|"&amp;$D88,_calc!$A$2:$A$3000,$B$3,_calc!$C$2:$C$3000,Q$6)=0,"",SUMIFS(_calc!$E$2:$E$3000,_calc!$AE$2:$AE$3000,$B88&amp;"|"&amp;$D88,_calc!$A$2:$A$3000,$B$3,_calc!$C$2:$C$3000,Q$6)))</f>
        <v/>
      </c>
      <c r="R88" s="50" t="str">
        <f>IF(OR($B88="",R$6=""),"",IF(COUNTIFS(_calc!$AE$2:$AE$3000,$B88&amp;"|"&amp;$D88,_calc!$A$2:$A$3000,$B$3,_calc!$C$2:$C$3000,R$6)=0,"",SUMIFS(_calc!$E$2:$E$3000,_calc!$AE$2:$AE$3000,$B88&amp;"|"&amp;$D88,_calc!$A$2:$A$3000,$B$3,_calc!$C$2:$C$3000,R$6)))</f>
        <v/>
      </c>
      <c r="S88" s="50" t="str">
        <f>IF(OR($B88="",S$6=""),"",IF(COUNTIFS(_calc!$AE$2:$AE$3000,$B88&amp;"|"&amp;$D88,_calc!$A$2:$A$3000,$B$3,_calc!$C$2:$C$3000,S$6)=0,"",SUMIFS(_calc!$E$2:$E$3000,_calc!$AE$2:$AE$3000,$B88&amp;"|"&amp;$D88,_calc!$A$2:$A$3000,$B$3,_calc!$C$2:$C$3000,S$6)))</f>
        <v/>
      </c>
      <c r="T88" s="50" t="str">
        <f>IF(OR($B88="",T$6=""),"",IF(COUNTIFS(_calc!$AE$2:$AE$3000,$B88&amp;"|"&amp;$D88,_calc!$A$2:$A$3000,$B$3,_calc!$C$2:$C$3000,T$6)=0,"",SUMIFS(_calc!$E$2:$E$3000,_calc!$AE$2:$AE$3000,$B88&amp;"|"&amp;$D88,_calc!$A$2:$A$3000,$B$3,_calc!$C$2:$C$3000,T$6)))</f>
        <v/>
      </c>
      <c r="U88" s="50" t="str">
        <f>IF(OR($B88="",U$6=""),"",IF(COUNTIFS(_calc!$AE$2:$AE$3000,$B88&amp;"|"&amp;$D88,_calc!$A$2:$A$3000,$B$3,_calc!$C$2:$C$3000,U$6)=0,"",SUMIFS(_calc!$E$2:$E$3000,_calc!$AE$2:$AE$3000,$B88&amp;"|"&amp;$D88,_calc!$A$2:$A$3000,$B$3,_calc!$C$2:$C$3000,U$6)))</f>
        <v/>
      </c>
      <c r="V88" s="50" t="str">
        <f>IF(OR($B88="",V$6=""),"",IF(COUNTIFS(_calc!$AE$2:$AE$3000,$B88&amp;"|"&amp;$D88,_calc!$A$2:$A$3000,$B$3,_calc!$C$2:$C$3000,V$6)=0,"",SUMIFS(_calc!$E$2:$E$3000,_calc!$AE$2:$AE$3000,$B88&amp;"|"&amp;$D88,_calc!$A$2:$A$3000,$B$3,_calc!$C$2:$C$3000,V$6)))</f>
        <v/>
      </c>
      <c r="W88" s="50" t="str">
        <f>IF(OR($B88="",W$6=""),"",IF(COUNTIFS(_calc!$AE$2:$AE$3000,$B88&amp;"|"&amp;$D88,_calc!$A$2:$A$3000,$B$3,_calc!$C$2:$C$3000,W$6)=0,"",SUMIFS(_calc!$E$2:$E$3000,_calc!$AE$2:$AE$3000,$B88&amp;"|"&amp;$D88,_calc!$A$2:$A$3000,$B$3,_calc!$C$2:$C$3000,W$6)))</f>
        <v/>
      </c>
      <c r="X88" s="50" t="str">
        <f>IF(OR($B88="",X$6=""),"",IF(COUNTIFS(_calc!$AE$2:$AE$3000,$B88&amp;"|"&amp;$D88,_calc!$A$2:$A$3000,$B$3,_calc!$C$2:$C$3000,X$6)=0,"",SUMIFS(_calc!$E$2:$E$3000,_calc!$AE$2:$AE$3000,$B88&amp;"|"&amp;$D88,_calc!$A$2:$A$3000,$B$3,_calc!$C$2:$C$3000,X$6)))</f>
        <v/>
      </c>
    </row>
    <row r="89" spans="1:24" x14ac:dyDescent="0.4">
      <c r="A89" s="48">
        <v>83</v>
      </c>
      <c r="B89" s="49" t="str">
        <f>IFERROR(INDEX(_calc!$I$2:$I$3000,MATCH($A89,_calc!$AB$2:$AB$3000,0)),"")</f>
        <v/>
      </c>
      <c r="C89" s="49" t="str">
        <f>IFERROR(INDEX(_calc!$H$2:$H$3000,MATCH($A89,_calc!$AB$2:$AB$3000,0)),"")</f>
        <v/>
      </c>
      <c r="D89" s="49" t="str">
        <f>IFERROR(INDEX(_calc!$K$2:$K$3000,MATCH($A89,_calc!$AB$2:$AB$3000,0)),"")</f>
        <v/>
      </c>
      <c r="E89" s="50" t="str">
        <f>IF(OR($B89="",E$6=""),"",IF(COUNTIFS(_calc!$AE$2:$AE$3000,$B89&amp;"|"&amp;$D89,_calc!$A$2:$A$3000,$B$3,_calc!$C$2:$C$3000,E$6)=0,"",SUMIFS(_calc!$E$2:$E$3000,_calc!$AE$2:$AE$3000,$B89&amp;"|"&amp;$D89,_calc!$A$2:$A$3000,$B$3,_calc!$C$2:$C$3000,E$6)))</f>
        <v/>
      </c>
      <c r="F89" s="50" t="str">
        <f>IF(OR($B89="",F$6=""),"",IF(COUNTIFS(_calc!$AE$2:$AE$3000,$B89&amp;"|"&amp;$D89,_calc!$A$2:$A$3000,$B$3,_calc!$C$2:$C$3000,F$6)=0,"",SUMIFS(_calc!$E$2:$E$3000,_calc!$AE$2:$AE$3000,$B89&amp;"|"&amp;$D89,_calc!$A$2:$A$3000,$B$3,_calc!$C$2:$C$3000,F$6)))</f>
        <v/>
      </c>
      <c r="G89" s="50" t="str">
        <f>IF(OR($B89="",G$6=""),"",IF(COUNTIFS(_calc!$AE$2:$AE$3000,$B89&amp;"|"&amp;$D89,_calc!$A$2:$A$3000,$B$3,_calc!$C$2:$C$3000,G$6)=0,"",SUMIFS(_calc!$E$2:$E$3000,_calc!$AE$2:$AE$3000,$B89&amp;"|"&amp;$D89,_calc!$A$2:$A$3000,$B$3,_calc!$C$2:$C$3000,G$6)))</f>
        <v/>
      </c>
      <c r="H89" s="50" t="str">
        <f>IF(OR($B89="",H$6=""),"",IF(COUNTIFS(_calc!$AE$2:$AE$3000,$B89&amp;"|"&amp;$D89,_calc!$A$2:$A$3000,$B$3,_calc!$C$2:$C$3000,H$6)=0,"",SUMIFS(_calc!$E$2:$E$3000,_calc!$AE$2:$AE$3000,$B89&amp;"|"&amp;$D89,_calc!$A$2:$A$3000,$B$3,_calc!$C$2:$C$3000,H$6)))</f>
        <v/>
      </c>
      <c r="I89" s="50" t="str">
        <f>IF(OR($B89="",I$6=""),"",IF(COUNTIFS(_calc!$AE$2:$AE$3000,$B89&amp;"|"&amp;$D89,_calc!$A$2:$A$3000,$B$3,_calc!$C$2:$C$3000,I$6)=0,"",SUMIFS(_calc!$E$2:$E$3000,_calc!$AE$2:$AE$3000,$B89&amp;"|"&amp;$D89,_calc!$A$2:$A$3000,$B$3,_calc!$C$2:$C$3000,I$6)))</f>
        <v/>
      </c>
      <c r="J89" s="50" t="str">
        <f>IF(OR($B89="",J$6=""),"",IF(COUNTIFS(_calc!$AE$2:$AE$3000,$B89&amp;"|"&amp;$D89,_calc!$A$2:$A$3000,$B$3,_calc!$C$2:$C$3000,J$6)=0,"",SUMIFS(_calc!$E$2:$E$3000,_calc!$AE$2:$AE$3000,$B89&amp;"|"&amp;$D89,_calc!$A$2:$A$3000,$B$3,_calc!$C$2:$C$3000,J$6)))</f>
        <v/>
      </c>
      <c r="K89" s="50" t="str">
        <f>IF(OR($B89="",K$6=""),"",IF(COUNTIFS(_calc!$AE$2:$AE$3000,$B89&amp;"|"&amp;$D89,_calc!$A$2:$A$3000,$B$3,_calc!$C$2:$C$3000,K$6)=0,"",SUMIFS(_calc!$E$2:$E$3000,_calc!$AE$2:$AE$3000,$B89&amp;"|"&amp;$D89,_calc!$A$2:$A$3000,$B$3,_calc!$C$2:$C$3000,K$6)))</f>
        <v/>
      </c>
      <c r="L89" s="50" t="str">
        <f>IF(OR($B89="",L$6=""),"",IF(COUNTIFS(_calc!$AE$2:$AE$3000,$B89&amp;"|"&amp;$D89,_calc!$A$2:$A$3000,$B$3,_calc!$C$2:$C$3000,L$6)=0,"",SUMIFS(_calc!$E$2:$E$3000,_calc!$AE$2:$AE$3000,$B89&amp;"|"&amp;$D89,_calc!$A$2:$A$3000,$B$3,_calc!$C$2:$C$3000,L$6)))</f>
        <v/>
      </c>
      <c r="M89" s="50" t="str">
        <f>IF(OR($B89="",M$6=""),"",IF(COUNTIFS(_calc!$AE$2:$AE$3000,$B89&amp;"|"&amp;$D89,_calc!$A$2:$A$3000,$B$3,_calc!$C$2:$C$3000,M$6)=0,"",SUMIFS(_calc!$E$2:$E$3000,_calc!$AE$2:$AE$3000,$B89&amp;"|"&amp;$D89,_calc!$A$2:$A$3000,$B$3,_calc!$C$2:$C$3000,M$6)))</f>
        <v/>
      </c>
      <c r="N89" s="50" t="str">
        <f>IF(OR($B89="",N$6=""),"",IF(COUNTIFS(_calc!$AE$2:$AE$3000,$B89&amp;"|"&amp;$D89,_calc!$A$2:$A$3000,$B$3,_calc!$C$2:$C$3000,N$6)=0,"",SUMIFS(_calc!$E$2:$E$3000,_calc!$AE$2:$AE$3000,$B89&amp;"|"&amp;$D89,_calc!$A$2:$A$3000,$B$3,_calc!$C$2:$C$3000,N$6)))</f>
        <v/>
      </c>
      <c r="O89" s="50" t="str">
        <f>IF(OR($B89="",O$6=""),"",IF(COUNTIFS(_calc!$AE$2:$AE$3000,$B89&amp;"|"&amp;$D89,_calc!$A$2:$A$3000,$B$3,_calc!$C$2:$C$3000,O$6)=0,"",SUMIFS(_calc!$E$2:$E$3000,_calc!$AE$2:$AE$3000,$B89&amp;"|"&amp;$D89,_calc!$A$2:$A$3000,$B$3,_calc!$C$2:$C$3000,O$6)))</f>
        <v/>
      </c>
      <c r="P89" s="50" t="str">
        <f>IF(OR($B89="",P$6=""),"",IF(COUNTIFS(_calc!$AE$2:$AE$3000,$B89&amp;"|"&amp;$D89,_calc!$A$2:$A$3000,$B$3,_calc!$C$2:$C$3000,P$6)=0,"",SUMIFS(_calc!$E$2:$E$3000,_calc!$AE$2:$AE$3000,$B89&amp;"|"&amp;$D89,_calc!$A$2:$A$3000,$B$3,_calc!$C$2:$C$3000,P$6)))</f>
        <v/>
      </c>
      <c r="Q89" s="50" t="str">
        <f>IF(OR($B89="",Q$6=""),"",IF(COUNTIFS(_calc!$AE$2:$AE$3000,$B89&amp;"|"&amp;$D89,_calc!$A$2:$A$3000,$B$3,_calc!$C$2:$C$3000,Q$6)=0,"",SUMIFS(_calc!$E$2:$E$3000,_calc!$AE$2:$AE$3000,$B89&amp;"|"&amp;$D89,_calc!$A$2:$A$3000,$B$3,_calc!$C$2:$C$3000,Q$6)))</f>
        <v/>
      </c>
      <c r="R89" s="50" t="str">
        <f>IF(OR($B89="",R$6=""),"",IF(COUNTIFS(_calc!$AE$2:$AE$3000,$B89&amp;"|"&amp;$D89,_calc!$A$2:$A$3000,$B$3,_calc!$C$2:$C$3000,R$6)=0,"",SUMIFS(_calc!$E$2:$E$3000,_calc!$AE$2:$AE$3000,$B89&amp;"|"&amp;$D89,_calc!$A$2:$A$3000,$B$3,_calc!$C$2:$C$3000,R$6)))</f>
        <v/>
      </c>
      <c r="S89" s="50" t="str">
        <f>IF(OR($B89="",S$6=""),"",IF(COUNTIFS(_calc!$AE$2:$AE$3000,$B89&amp;"|"&amp;$D89,_calc!$A$2:$A$3000,$B$3,_calc!$C$2:$C$3000,S$6)=0,"",SUMIFS(_calc!$E$2:$E$3000,_calc!$AE$2:$AE$3000,$B89&amp;"|"&amp;$D89,_calc!$A$2:$A$3000,$B$3,_calc!$C$2:$C$3000,S$6)))</f>
        <v/>
      </c>
      <c r="T89" s="50" t="str">
        <f>IF(OR($B89="",T$6=""),"",IF(COUNTIFS(_calc!$AE$2:$AE$3000,$B89&amp;"|"&amp;$D89,_calc!$A$2:$A$3000,$B$3,_calc!$C$2:$C$3000,T$6)=0,"",SUMIFS(_calc!$E$2:$E$3000,_calc!$AE$2:$AE$3000,$B89&amp;"|"&amp;$D89,_calc!$A$2:$A$3000,$B$3,_calc!$C$2:$C$3000,T$6)))</f>
        <v/>
      </c>
      <c r="U89" s="50" t="str">
        <f>IF(OR($B89="",U$6=""),"",IF(COUNTIFS(_calc!$AE$2:$AE$3000,$B89&amp;"|"&amp;$D89,_calc!$A$2:$A$3000,$B$3,_calc!$C$2:$C$3000,U$6)=0,"",SUMIFS(_calc!$E$2:$E$3000,_calc!$AE$2:$AE$3000,$B89&amp;"|"&amp;$D89,_calc!$A$2:$A$3000,$B$3,_calc!$C$2:$C$3000,U$6)))</f>
        <v/>
      </c>
      <c r="V89" s="50" t="str">
        <f>IF(OR($B89="",V$6=""),"",IF(COUNTIFS(_calc!$AE$2:$AE$3000,$B89&amp;"|"&amp;$D89,_calc!$A$2:$A$3000,$B$3,_calc!$C$2:$C$3000,V$6)=0,"",SUMIFS(_calc!$E$2:$E$3000,_calc!$AE$2:$AE$3000,$B89&amp;"|"&amp;$D89,_calc!$A$2:$A$3000,$B$3,_calc!$C$2:$C$3000,V$6)))</f>
        <v/>
      </c>
      <c r="W89" s="50" t="str">
        <f>IF(OR($B89="",W$6=""),"",IF(COUNTIFS(_calc!$AE$2:$AE$3000,$B89&amp;"|"&amp;$D89,_calc!$A$2:$A$3000,$B$3,_calc!$C$2:$C$3000,W$6)=0,"",SUMIFS(_calc!$E$2:$E$3000,_calc!$AE$2:$AE$3000,$B89&amp;"|"&amp;$D89,_calc!$A$2:$A$3000,$B$3,_calc!$C$2:$C$3000,W$6)))</f>
        <v/>
      </c>
      <c r="X89" s="50" t="str">
        <f>IF(OR($B89="",X$6=""),"",IF(COUNTIFS(_calc!$AE$2:$AE$3000,$B89&amp;"|"&amp;$D89,_calc!$A$2:$A$3000,$B$3,_calc!$C$2:$C$3000,X$6)=0,"",SUMIFS(_calc!$E$2:$E$3000,_calc!$AE$2:$AE$3000,$B89&amp;"|"&amp;$D89,_calc!$A$2:$A$3000,$B$3,_calc!$C$2:$C$3000,X$6)))</f>
        <v/>
      </c>
    </row>
    <row r="90" spans="1:24" x14ac:dyDescent="0.4">
      <c r="A90" s="48">
        <v>84</v>
      </c>
      <c r="B90" s="49" t="str">
        <f>IFERROR(INDEX(_calc!$I$2:$I$3000,MATCH($A90,_calc!$AB$2:$AB$3000,0)),"")</f>
        <v/>
      </c>
      <c r="C90" s="49" t="str">
        <f>IFERROR(INDEX(_calc!$H$2:$H$3000,MATCH($A90,_calc!$AB$2:$AB$3000,0)),"")</f>
        <v/>
      </c>
      <c r="D90" s="49" t="str">
        <f>IFERROR(INDEX(_calc!$K$2:$K$3000,MATCH($A90,_calc!$AB$2:$AB$3000,0)),"")</f>
        <v/>
      </c>
      <c r="E90" s="50" t="str">
        <f>IF(OR($B90="",E$6=""),"",IF(COUNTIFS(_calc!$AE$2:$AE$3000,$B90&amp;"|"&amp;$D90,_calc!$A$2:$A$3000,$B$3,_calc!$C$2:$C$3000,E$6)=0,"",SUMIFS(_calc!$E$2:$E$3000,_calc!$AE$2:$AE$3000,$B90&amp;"|"&amp;$D90,_calc!$A$2:$A$3000,$B$3,_calc!$C$2:$C$3000,E$6)))</f>
        <v/>
      </c>
      <c r="F90" s="50" t="str">
        <f>IF(OR($B90="",F$6=""),"",IF(COUNTIFS(_calc!$AE$2:$AE$3000,$B90&amp;"|"&amp;$D90,_calc!$A$2:$A$3000,$B$3,_calc!$C$2:$C$3000,F$6)=0,"",SUMIFS(_calc!$E$2:$E$3000,_calc!$AE$2:$AE$3000,$B90&amp;"|"&amp;$D90,_calc!$A$2:$A$3000,$B$3,_calc!$C$2:$C$3000,F$6)))</f>
        <v/>
      </c>
      <c r="G90" s="50" t="str">
        <f>IF(OR($B90="",G$6=""),"",IF(COUNTIFS(_calc!$AE$2:$AE$3000,$B90&amp;"|"&amp;$D90,_calc!$A$2:$A$3000,$B$3,_calc!$C$2:$C$3000,G$6)=0,"",SUMIFS(_calc!$E$2:$E$3000,_calc!$AE$2:$AE$3000,$B90&amp;"|"&amp;$D90,_calc!$A$2:$A$3000,$B$3,_calc!$C$2:$C$3000,G$6)))</f>
        <v/>
      </c>
      <c r="H90" s="50" t="str">
        <f>IF(OR($B90="",H$6=""),"",IF(COUNTIFS(_calc!$AE$2:$AE$3000,$B90&amp;"|"&amp;$D90,_calc!$A$2:$A$3000,$B$3,_calc!$C$2:$C$3000,H$6)=0,"",SUMIFS(_calc!$E$2:$E$3000,_calc!$AE$2:$AE$3000,$B90&amp;"|"&amp;$D90,_calc!$A$2:$A$3000,$B$3,_calc!$C$2:$C$3000,H$6)))</f>
        <v/>
      </c>
      <c r="I90" s="50" t="str">
        <f>IF(OR($B90="",I$6=""),"",IF(COUNTIFS(_calc!$AE$2:$AE$3000,$B90&amp;"|"&amp;$D90,_calc!$A$2:$A$3000,$B$3,_calc!$C$2:$C$3000,I$6)=0,"",SUMIFS(_calc!$E$2:$E$3000,_calc!$AE$2:$AE$3000,$B90&amp;"|"&amp;$D90,_calc!$A$2:$A$3000,$B$3,_calc!$C$2:$C$3000,I$6)))</f>
        <v/>
      </c>
      <c r="J90" s="50" t="str">
        <f>IF(OR($B90="",J$6=""),"",IF(COUNTIFS(_calc!$AE$2:$AE$3000,$B90&amp;"|"&amp;$D90,_calc!$A$2:$A$3000,$B$3,_calc!$C$2:$C$3000,J$6)=0,"",SUMIFS(_calc!$E$2:$E$3000,_calc!$AE$2:$AE$3000,$B90&amp;"|"&amp;$D90,_calc!$A$2:$A$3000,$B$3,_calc!$C$2:$C$3000,J$6)))</f>
        <v/>
      </c>
      <c r="K90" s="50" t="str">
        <f>IF(OR($B90="",K$6=""),"",IF(COUNTIFS(_calc!$AE$2:$AE$3000,$B90&amp;"|"&amp;$D90,_calc!$A$2:$A$3000,$B$3,_calc!$C$2:$C$3000,K$6)=0,"",SUMIFS(_calc!$E$2:$E$3000,_calc!$AE$2:$AE$3000,$B90&amp;"|"&amp;$D90,_calc!$A$2:$A$3000,$B$3,_calc!$C$2:$C$3000,K$6)))</f>
        <v/>
      </c>
      <c r="L90" s="50" t="str">
        <f>IF(OR($B90="",L$6=""),"",IF(COUNTIFS(_calc!$AE$2:$AE$3000,$B90&amp;"|"&amp;$D90,_calc!$A$2:$A$3000,$B$3,_calc!$C$2:$C$3000,L$6)=0,"",SUMIFS(_calc!$E$2:$E$3000,_calc!$AE$2:$AE$3000,$B90&amp;"|"&amp;$D90,_calc!$A$2:$A$3000,$B$3,_calc!$C$2:$C$3000,L$6)))</f>
        <v/>
      </c>
      <c r="M90" s="50" t="str">
        <f>IF(OR($B90="",M$6=""),"",IF(COUNTIFS(_calc!$AE$2:$AE$3000,$B90&amp;"|"&amp;$D90,_calc!$A$2:$A$3000,$B$3,_calc!$C$2:$C$3000,M$6)=0,"",SUMIFS(_calc!$E$2:$E$3000,_calc!$AE$2:$AE$3000,$B90&amp;"|"&amp;$D90,_calc!$A$2:$A$3000,$B$3,_calc!$C$2:$C$3000,M$6)))</f>
        <v/>
      </c>
      <c r="N90" s="50" t="str">
        <f>IF(OR($B90="",N$6=""),"",IF(COUNTIFS(_calc!$AE$2:$AE$3000,$B90&amp;"|"&amp;$D90,_calc!$A$2:$A$3000,$B$3,_calc!$C$2:$C$3000,N$6)=0,"",SUMIFS(_calc!$E$2:$E$3000,_calc!$AE$2:$AE$3000,$B90&amp;"|"&amp;$D90,_calc!$A$2:$A$3000,$B$3,_calc!$C$2:$C$3000,N$6)))</f>
        <v/>
      </c>
      <c r="O90" s="50" t="str">
        <f>IF(OR($B90="",O$6=""),"",IF(COUNTIFS(_calc!$AE$2:$AE$3000,$B90&amp;"|"&amp;$D90,_calc!$A$2:$A$3000,$B$3,_calc!$C$2:$C$3000,O$6)=0,"",SUMIFS(_calc!$E$2:$E$3000,_calc!$AE$2:$AE$3000,$B90&amp;"|"&amp;$D90,_calc!$A$2:$A$3000,$B$3,_calc!$C$2:$C$3000,O$6)))</f>
        <v/>
      </c>
      <c r="P90" s="50" t="str">
        <f>IF(OR($B90="",P$6=""),"",IF(COUNTIFS(_calc!$AE$2:$AE$3000,$B90&amp;"|"&amp;$D90,_calc!$A$2:$A$3000,$B$3,_calc!$C$2:$C$3000,P$6)=0,"",SUMIFS(_calc!$E$2:$E$3000,_calc!$AE$2:$AE$3000,$B90&amp;"|"&amp;$D90,_calc!$A$2:$A$3000,$B$3,_calc!$C$2:$C$3000,P$6)))</f>
        <v/>
      </c>
      <c r="Q90" s="50" t="str">
        <f>IF(OR($B90="",Q$6=""),"",IF(COUNTIFS(_calc!$AE$2:$AE$3000,$B90&amp;"|"&amp;$D90,_calc!$A$2:$A$3000,$B$3,_calc!$C$2:$C$3000,Q$6)=0,"",SUMIFS(_calc!$E$2:$E$3000,_calc!$AE$2:$AE$3000,$B90&amp;"|"&amp;$D90,_calc!$A$2:$A$3000,$B$3,_calc!$C$2:$C$3000,Q$6)))</f>
        <v/>
      </c>
      <c r="R90" s="50" t="str">
        <f>IF(OR($B90="",R$6=""),"",IF(COUNTIFS(_calc!$AE$2:$AE$3000,$B90&amp;"|"&amp;$D90,_calc!$A$2:$A$3000,$B$3,_calc!$C$2:$C$3000,R$6)=0,"",SUMIFS(_calc!$E$2:$E$3000,_calc!$AE$2:$AE$3000,$B90&amp;"|"&amp;$D90,_calc!$A$2:$A$3000,$B$3,_calc!$C$2:$C$3000,R$6)))</f>
        <v/>
      </c>
      <c r="S90" s="50" t="str">
        <f>IF(OR($B90="",S$6=""),"",IF(COUNTIFS(_calc!$AE$2:$AE$3000,$B90&amp;"|"&amp;$D90,_calc!$A$2:$A$3000,$B$3,_calc!$C$2:$C$3000,S$6)=0,"",SUMIFS(_calc!$E$2:$E$3000,_calc!$AE$2:$AE$3000,$B90&amp;"|"&amp;$D90,_calc!$A$2:$A$3000,$B$3,_calc!$C$2:$C$3000,S$6)))</f>
        <v/>
      </c>
      <c r="T90" s="50" t="str">
        <f>IF(OR($B90="",T$6=""),"",IF(COUNTIFS(_calc!$AE$2:$AE$3000,$B90&amp;"|"&amp;$D90,_calc!$A$2:$A$3000,$B$3,_calc!$C$2:$C$3000,T$6)=0,"",SUMIFS(_calc!$E$2:$E$3000,_calc!$AE$2:$AE$3000,$B90&amp;"|"&amp;$D90,_calc!$A$2:$A$3000,$B$3,_calc!$C$2:$C$3000,T$6)))</f>
        <v/>
      </c>
      <c r="U90" s="50" t="str">
        <f>IF(OR($B90="",U$6=""),"",IF(COUNTIFS(_calc!$AE$2:$AE$3000,$B90&amp;"|"&amp;$D90,_calc!$A$2:$A$3000,$B$3,_calc!$C$2:$C$3000,U$6)=0,"",SUMIFS(_calc!$E$2:$E$3000,_calc!$AE$2:$AE$3000,$B90&amp;"|"&amp;$D90,_calc!$A$2:$A$3000,$B$3,_calc!$C$2:$C$3000,U$6)))</f>
        <v/>
      </c>
      <c r="V90" s="50" t="str">
        <f>IF(OR($B90="",V$6=""),"",IF(COUNTIFS(_calc!$AE$2:$AE$3000,$B90&amp;"|"&amp;$D90,_calc!$A$2:$A$3000,$B$3,_calc!$C$2:$C$3000,V$6)=0,"",SUMIFS(_calc!$E$2:$E$3000,_calc!$AE$2:$AE$3000,$B90&amp;"|"&amp;$D90,_calc!$A$2:$A$3000,$B$3,_calc!$C$2:$C$3000,V$6)))</f>
        <v/>
      </c>
      <c r="W90" s="50" t="str">
        <f>IF(OR($B90="",W$6=""),"",IF(COUNTIFS(_calc!$AE$2:$AE$3000,$B90&amp;"|"&amp;$D90,_calc!$A$2:$A$3000,$B$3,_calc!$C$2:$C$3000,W$6)=0,"",SUMIFS(_calc!$E$2:$E$3000,_calc!$AE$2:$AE$3000,$B90&amp;"|"&amp;$D90,_calc!$A$2:$A$3000,$B$3,_calc!$C$2:$C$3000,W$6)))</f>
        <v/>
      </c>
      <c r="X90" s="50" t="str">
        <f>IF(OR($B90="",X$6=""),"",IF(COUNTIFS(_calc!$AE$2:$AE$3000,$B90&amp;"|"&amp;$D90,_calc!$A$2:$A$3000,$B$3,_calc!$C$2:$C$3000,X$6)=0,"",SUMIFS(_calc!$E$2:$E$3000,_calc!$AE$2:$AE$3000,$B90&amp;"|"&amp;$D90,_calc!$A$2:$A$3000,$B$3,_calc!$C$2:$C$3000,X$6)))</f>
        <v/>
      </c>
    </row>
    <row r="91" spans="1:24" x14ac:dyDescent="0.4">
      <c r="A91" s="48">
        <v>85</v>
      </c>
      <c r="B91" s="49" t="str">
        <f>IFERROR(INDEX(_calc!$I$2:$I$3000,MATCH($A91,_calc!$AB$2:$AB$3000,0)),"")</f>
        <v/>
      </c>
      <c r="C91" s="49" t="str">
        <f>IFERROR(INDEX(_calc!$H$2:$H$3000,MATCH($A91,_calc!$AB$2:$AB$3000,0)),"")</f>
        <v/>
      </c>
      <c r="D91" s="49" t="str">
        <f>IFERROR(INDEX(_calc!$K$2:$K$3000,MATCH($A91,_calc!$AB$2:$AB$3000,0)),"")</f>
        <v/>
      </c>
      <c r="E91" s="50" t="str">
        <f>IF(OR($B91="",E$6=""),"",IF(COUNTIFS(_calc!$AE$2:$AE$3000,$B91&amp;"|"&amp;$D91,_calc!$A$2:$A$3000,$B$3,_calc!$C$2:$C$3000,E$6)=0,"",SUMIFS(_calc!$E$2:$E$3000,_calc!$AE$2:$AE$3000,$B91&amp;"|"&amp;$D91,_calc!$A$2:$A$3000,$B$3,_calc!$C$2:$C$3000,E$6)))</f>
        <v/>
      </c>
      <c r="F91" s="50" t="str">
        <f>IF(OR($B91="",F$6=""),"",IF(COUNTIFS(_calc!$AE$2:$AE$3000,$B91&amp;"|"&amp;$D91,_calc!$A$2:$A$3000,$B$3,_calc!$C$2:$C$3000,F$6)=0,"",SUMIFS(_calc!$E$2:$E$3000,_calc!$AE$2:$AE$3000,$B91&amp;"|"&amp;$D91,_calc!$A$2:$A$3000,$B$3,_calc!$C$2:$C$3000,F$6)))</f>
        <v/>
      </c>
      <c r="G91" s="50" t="str">
        <f>IF(OR($B91="",G$6=""),"",IF(COUNTIFS(_calc!$AE$2:$AE$3000,$B91&amp;"|"&amp;$D91,_calc!$A$2:$A$3000,$B$3,_calc!$C$2:$C$3000,G$6)=0,"",SUMIFS(_calc!$E$2:$E$3000,_calc!$AE$2:$AE$3000,$B91&amp;"|"&amp;$D91,_calc!$A$2:$A$3000,$B$3,_calc!$C$2:$C$3000,G$6)))</f>
        <v/>
      </c>
      <c r="H91" s="50" t="str">
        <f>IF(OR($B91="",H$6=""),"",IF(COUNTIFS(_calc!$AE$2:$AE$3000,$B91&amp;"|"&amp;$D91,_calc!$A$2:$A$3000,$B$3,_calc!$C$2:$C$3000,H$6)=0,"",SUMIFS(_calc!$E$2:$E$3000,_calc!$AE$2:$AE$3000,$B91&amp;"|"&amp;$D91,_calc!$A$2:$A$3000,$B$3,_calc!$C$2:$C$3000,H$6)))</f>
        <v/>
      </c>
      <c r="I91" s="50" t="str">
        <f>IF(OR($B91="",I$6=""),"",IF(COUNTIFS(_calc!$AE$2:$AE$3000,$B91&amp;"|"&amp;$D91,_calc!$A$2:$A$3000,$B$3,_calc!$C$2:$C$3000,I$6)=0,"",SUMIFS(_calc!$E$2:$E$3000,_calc!$AE$2:$AE$3000,$B91&amp;"|"&amp;$D91,_calc!$A$2:$A$3000,$B$3,_calc!$C$2:$C$3000,I$6)))</f>
        <v/>
      </c>
      <c r="J91" s="50" t="str">
        <f>IF(OR($B91="",J$6=""),"",IF(COUNTIFS(_calc!$AE$2:$AE$3000,$B91&amp;"|"&amp;$D91,_calc!$A$2:$A$3000,$B$3,_calc!$C$2:$C$3000,J$6)=0,"",SUMIFS(_calc!$E$2:$E$3000,_calc!$AE$2:$AE$3000,$B91&amp;"|"&amp;$D91,_calc!$A$2:$A$3000,$B$3,_calc!$C$2:$C$3000,J$6)))</f>
        <v/>
      </c>
      <c r="K91" s="50" t="str">
        <f>IF(OR($B91="",K$6=""),"",IF(COUNTIFS(_calc!$AE$2:$AE$3000,$B91&amp;"|"&amp;$D91,_calc!$A$2:$A$3000,$B$3,_calc!$C$2:$C$3000,K$6)=0,"",SUMIFS(_calc!$E$2:$E$3000,_calc!$AE$2:$AE$3000,$B91&amp;"|"&amp;$D91,_calc!$A$2:$A$3000,$B$3,_calc!$C$2:$C$3000,K$6)))</f>
        <v/>
      </c>
      <c r="L91" s="50" t="str">
        <f>IF(OR($B91="",L$6=""),"",IF(COUNTIFS(_calc!$AE$2:$AE$3000,$B91&amp;"|"&amp;$D91,_calc!$A$2:$A$3000,$B$3,_calc!$C$2:$C$3000,L$6)=0,"",SUMIFS(_calc!$E$2:$E$3000,_calc!$AE$2:$AE$3000,$B91&amp;"|"&amp;$D91,_calc!$A$2:$A$3000,$B$3,_calc!$C$2:$C$3000,L$6)))</f>
        <v/>
      </c>
      <c r="M91" s="50" t="str">
        <f>IF(OR($B91="",M$6=""),"",IF(COUNTIFS(_calc!$AE$2:$AE$3000,$B91&amp;"|"&amp;$D91,_calc!$A$2:$A$3000,$B$3,_calc!$C$2:$C$3000,M$6)=0,"",SUMIFS(_calc!$E$2:$E$3000,_calc!$AE$2:$AE$3000,$B91&amp;"|"&amp;$D91,_calc!$A$2:$A$3000,$B$3,_calc!$C$2:$C$3000,M$6)))</f>
        <v/>
      </c>
      <c r="N91" s="50" t="str">
        <f>IF(OR($B91="",N$6=""),"",IF(COUNTIFS(_calc!$AE$2:$AE$3000,$B91&amp;"|"&amp;$D91,_calc!$A$2:$A$3000,$B$3,_calc!$C$2:$C$3000,N$6)=0,"",SUMIFS(_calc!$E$2:$E$3000,_calc!$AE$2:$AE$3000,$B91&amp;"|"&amp;$D91,_calc!$A$2:$A$3000,$B$3,_calc!$C$2:$C$3000,N$6)))</f>
        <v/>
      </c>
      <c r="O91" s="50" t="str">
        <f>IF(OR($B91="",O$6=""),"",IF(COUNTIFS(_calc!$AE$2:$AE$3000,$B91&amp;"|"&amp;$D91,_calc!$A$2:$A$3000,$B$3,_calc!$C$2:$C$3000,O$6)=0,"",SUMIFS(_calc!$E$2:$E$3000,_calc!$AE$2:$AE$3000,$B91&amp;"|"&amp;$D91,_calc!$A$2:$A$3000,$B$3,_calc!$C$2:$C$3000,O$6)))</f>
        <v/>
      </c>
      <c r="P91" s="50" t="str">
        <f>IF(OR($B91="",P$6=""),"",IF(COUNTIFS(_calc!$AE$2:$AE$3000,$B91&amp;"|"&amp;$D91,_calc!$A$2:$A$3000,$B$3,_calc!$C$2:$C$3000,P$6)=0,"",SUMIFS(_calc!$E$2:$E$3000,_calc!$AE$2:$AE$3000,$B91&amp;"|"&amp;$D91,_calc!$A$2:$A$3000,$B$3,_calc!$C$2:$C$3000,P$6)))</f>
        <v/>
      </c>
      <c r="Q91" s="50" t="str">
        <f>IF(OR($B91="",Q$6=""),"",IF(COUNTIFS(_calc!$AE$2:$AE$3000,$B91&amp;"|"&amp;$D91,_calc!$A$2:$A$3000,$B$3,_calc!$C$2:$C$3000,Q$6)=0,"",SUMIFS(_calc!$E$2:$E$3000,_calc!$AE$2:$AE$3000,$B91&amp;"|"&amp;$D91,_calc!$A$2:$A$3000,$B$3,_calc!$C$2:$C$3000,Q$6)))</f>
        <v/>
      </c>
      <c r="R91" s="50" t="str">
        <f>IF(OR($B91="",R$6=""),"",IF(COUNTIFS(_calc!$AE$2:$AE$3000,$B91&amp;"|"&amp;$D91,_calc!$A$2:$A$3000,$B$3,_calc!$C$2:$C$3000,R$6)=0,"",SUMIFS(_calc!$E$2:$E$3000,_calc!$AE$2:$AE$3000,$B91&amp;"|"&amp;$D91,_calc!$A$2:$A$3000,$B$3,_calc!$C$2:$C$3000,R$6)))</f>
        <v/>
      </c>
      <c r="S91" s="50" t="str">
        <f>IF(OR($B91="",S$6=""),"",IF(COUNTIFS(_calc!$AE$2:$AE$3000,$B91&amp;"|"&amp;$D91,_calc!$A$2:$A$3000,$B$3,_calc!$C$2:$C$3000,S$6)=0,"",SUMIFS(_calc!$E$2:$E$3000,_calc!$AE$2:$AE$3000,$B91&amp;"|"&amp;$D91,_calc!$A$2:$A$3000,$B$3,_calc!$C$2:$C$3000,S$6)))</f>
        <v/>
      </c>
      <c r="T91" s="50" t="str">
        <f>IF(OR($B91="",T$6=""),"",IF(COUNTIFS(_calc!$AE$2:$AE$3000,$B91&amp;"|"&amp;$D91,_calc!$A$2:$A$3000,$B$3,_calc!$C$2:$C$3000,T$6)=0,"",SUMIFS(_calc!$E$2:$E$3000,_calc!$AE$2:$AE$3000,$B91&amp;"|"&amp;$D91,_calc!$A$2:$A$3000,$B$3,_calc!$C$2:$C$3000,T$6)))</f>
        <v/>
      </c>
      <c r="U91" s="50" t="str">
        <f>IF(OR($B91="",U$6=""),"",IF(COUNTIFS(_calc!$AE$2:$AE$3000,$B91&amp;"|"&amp;$D91,_calc!$A$2:$A$3000,$B$3,_calc!$C$2:$C$3000,U$6)=0,"",SUMIFS(_calc!$E$2:$E$3000,_calc!$AE$2:$AE$3000,$B91&amp;"|"&amp;$D91,_calc!$A$2:$A$3000,$B$3,_calc!$C$2:$C$3000,U$6)))</f>
        <v/>
      </c>
      <c r="V91" s="50" t="str">
        <f>IF(OR($B91="",V$6=""),"",IF(COUNTIFS(_calc!$AE$2:$AE$3000,$B91&amp;"|"&amp;$D91,_calc!$A$2:$A$3000,$B$3,_calc!$C$2:$C$3000,V$6)=0,"",SUMIFS(_calc!$E$2:$E$3000,_calc!$AE$2:$AE$3000,$B91&amp;"|"&amp;$D91,_calc!$A$2:$A$3000,$B$3,_calc!$C$2:$C$3000,V$6)))</f>
        <v/>
      </c>
      <c r="W91" s="50" t="str">
        <f>IF(OR($B91="",W$6=""),"",IF(COUNTIFS(_calc!$AE$2:$AE$3000,$B91&amp;"|"&amp;$D91,_calc!$A$2:$A$3000,$B$3,_calc!$C$2:$C$3000,W$6)=0,"",SUMIFS(_calc!$E$2:$E$3000,_calc!$AE$2:$AE$3000,$B91&amp;"|"&amp;$D91,_calc!$A$2:$A$3000,$B$3,_calc!$C$2:$C$3000,W$6)))</f>
        <v/>
      </c>
      <c r="X91" s="50" t="str">
        <f>IF(OR($B91="",X$6=""),"",IF(COUNTIFS(_calc!$AE$2:$AE$3000,$B91&amp;"|"&amp;$D91,_calc!$A$2:$A$3000,$B$3,_calc!$C$2:$C$3000,X$6)=0,"",SUMIFS(_calc!$E$2:$E$3000,_calc!$AE$2:$AE$3000,$B91&amp;"|"&amp;$D91,_calc!$A$2:$A$3000,$B$3,_calc!$C$2:$C$3000,X$6)))</f>
        <v/>
      </c>
    </row>
    <row r="92" spans="1:24" x14ac:dyDescent="0.4">
      <c r="A92" s="48">
        <v>86</v>
      </c>
      <c r="B92" s="49" t="str">
        <f>IFERROR(INDEX(_calc!$I$2:$I$3000,MATCH($A92,_calc!$AB$2:$AB$3000,0)),"")</f>
        <v/>
      </c>
      <c r="C92" s="49" t="str">
        <f>IFERROR(INDEX(_calc!$H$2:$H$3000,MATCH($A92,_calc!$AB$2:$AB$3000,0)),"")</f>
        <v/>
      </c>
      <c r="D92" s="49" t="str">
        <f>IFERROR(INDEX(_calc!$K$2:$K$3000,MATCH($A92,_calc!$AB$2:$AB$3000,0)),"")</f>
        <v/>
      </c>
      <c r="E92" s="50" t="str">
        <f>IF(OR($B92="",E$6=""),"",IF(COUNTIFS(_calc!$AE$2:$AE$3000,$B92&amp;"|"&amp;$D92,_calc!$A$2:$A$3000,$B$3,_calc!$C$2:$C$3000,E$6)=0,"",SUMIFS(_calc!$E$2:$E$3000,_calc!$AE$2:$AE$3000,$B92&amp;"|"&amp;$D92,_calc!$A$2:$A$3000,$B$3,_calc!$C$2:$C$3000,E$6)))</f>
        <v/>
      </c>
      <c r="F92" s="50" t="str">
        <f>IF(OR($B92="",F$6=""),"",IF(COUNTIFS(_calc!$AE$2:$AE$3000,$B92&amp;"|"&amp;$D92,_calc!$A$2:$A$3000,$B$3,_calc!$C$2:$C$3000,F$6)=0,"",SUMIFS(_calc!$E$2:$E$3000,_calc!$AE$2:$AE$3000,$B92&amp;"|"&amp;$D92,_calc!$A$2:$A$3000,$B$3,_calc!$C$2:$C$3000,F$6)))</f>
        <v/>
      </c>
      <c r="G92" s="50" t="str">
        <f>IF(OR($B92="",G$6=""),"",IF(COUNTIFS(_calc!$AE$2:$AE$3000,$B92&amp;"|"&amp;$D92,_calc!$A$2:$A$3000,$B$3,_calc!$C$2:$C$3000,G$6)=0,"",SUMIFS(_calc!$E$2:$E$3000,_calc!$AE$2:$AE$3000,$B92&amp;"|"&amp;$D92,_calc!$A$2:$A$3000,$B$3,_calc!$C$2:$C$3000,G$6)))</f>
        <v/>
      </c>
      <c r="H92" s="50" t="str">
        <f>IF(OR($B92="",H$6=""),"",IF(COUNTIFS(_calc!$AE$2:$AE$3000,$B92&amp;"|"&amp;$D92,_calc!$A$2:$A$3000,$B$3,_calc!$C$2:$C$3000,H$6)=0,"",SUMIFS(_calc!$E$2:$E$3000,_calc!$AE$2:$AE$3000,$B92&amp;"|"&amp;$D92,_calc!$A$2:$A$3000,$B$3,_calc!$C$2:$C$3000,H$6)))</f>
        <v/>
      </c>
      <c r="I92" s="50" t="str">
        <f>IF(OR($B92="",I$6=""),"",IF(COUNTIFS(_calc!$AE$2:$AE$3000,$B92&amp;"|"&amp;$D92,_calc!$A$2:$A$3000,$B$3,_calc!$C$2:$C$3000,I$6)=0,"",SUMIFS(_calc!$E$2:$E$3000,_calc!$AE$2:$AE$3000,$B92&amp;"|"&amp;$D92,_calc!$A$2:$A$3000,$B$3,_calc!$C$2:$C$3000,I$6)))</f>
        <v/>
      </c>
      <c r="J92" s="50" t="str">
        <f>IF(OR($B92="",J$6=""),"",IF(COUNTIFS(_calc!$AE$2:$AE$3000,$B92&amp;"|"&amp;$D92,_calc!$A$2:$A$3000,$B$3,_calc!$C$2:$C$3000,J$6)=0,"",SUMIFS(_calc!$E$2:$E$3000,_calc!$AE$2:$AE$3000,$B92&amp;"|"&amp;$D92,_calc!$A$2:$A$3000,$B$3,_calc!$C$2:$C$3000,J$6)))</f>
        <v/>
      </c>
      <c r="K92" s="50" t="str">
        <f>IF(OR($B92="",K$6=""),"",IF(COUNTIFS(_calc!$AE$2:$AE$3000,$B92&amp;"|"&amp;$D92,_calc!$A$2:$A$3000,$B$3,_calc!$C$2:$C$3000,K$6)=0,"",SUMIFS(_calc!$E$2:$E$3000,_calc!$AE$2:$AE$3000,$B92&amp;"|"&amp;$D92,_calc!$A$2:$A$3000,$B$3,_calc!$C$2:$C$3000,K$6)))</f>
        <v/>
      </c>
      <c r="L92" s="50" t="str">
        <f>IF(OR($B92="",L$6=""),"",IF(COUNTIFS(_calc!$AE$2:$AE$3000,$B92&amp;"|"&amp;$D92,_calc!$A$2:$A$3000,$B$3,_calc!$C$2:$C$3000,L$6)=0,"",SUMIFS(_calc!$E$2:$E$3000,_calc!$AE$2:$AE$3000,$B92&amp;"|"&amp;$D92,_calc!$A$2:$A$3000,$B$3,_calc!$C$2:$C$3000,L$6)))</f>
        <v/>
      </c>
      <c r="M92" s="50" t="str">
        <f>IF(OR($B92="",M$6=""),"",IF(COUNTIFS(_calc!$AE$2:$AE$3000,$B92&amp;"|"&amp;$D92,_calc!$A$2:$A$3000,$B$3,_calc!$C$2:$C$3000,M$6)=0,"",SUMIFS(_calc!$E$2:$E$3000,_calc!$AE$2:$AE$3000,$B92&amp;"|"&amp;$D92,_calc!$A$2:$A$3000,$B$3,_calc!$C$2:$C$3000,M$6)))</f>
        <v/>
      </c>
      <c r="N92" s="50" t="str">
        <f>IF(OR($B92="",N$6=""),"",IF(COUNTIFS(_calc!$AE$2:$AE$3000,$B92&amp;"|"&amp;$D92,_calc!$A$2:$A$3000,$B$3,_calc!$C$2:$C$3000,N$6)=0,"",SUMIFS(_calc!$E$2:$E$3000,_calc!$AE$2:$AE$3000,$B92&amp;"|"&amp;$D92,_calc!$A$2:$A$3000,$B$3,_calc!$C$2:$C$3000,N$6)))</f>
        <v/>
      </c>
      <c r="O92" s="50" t="str">
        <f>IF(OR($B92="",O$6=""),"",IF(COUNTIFS(_calc!$AE$2:$AE$3000,$B92&amp;"|"&amp;$D92,_calc!$A$2:$A$3000,$B$3,_calc!$C$2:$C$3000,O$6)=0,"",SUMIFS(_calc!$E$2:$E$3000,_calc!$AE$2:$AE$3000,$B92&amp;"|"&amp;$D92,_calc!$A$2:$A$3000,$B$3,_calc!$C$2:$C$3000,O$6)))</f>
        <v/>
      </c>
      <c r="P92" s="50" t="str">
        <f>IF(OR($B92="",P$6=""),"",IF(COUNTIFS(_calc!$AE$2:$AE$3000,$B92&amp;"|"&amp;$D92,_calc!$A$2:$A$3000,$B$3,_calc!$C$2:$C$3000,P$6)=0,"",SUMIFS(_calc!$E$2:$E$3000,_calc!$AE$2:$AE$3000,$B92&amp;"|"&amp;$D92,_calc!$A$2:$A$3000,$B$3,_calc!$C$2:$C$3000,P$6)))</f>
        <v/>
      </c>
      <c r="Q92" s="50" t="str">
        <f>IF(OR($B92="",Q$6=""),"",IF(COUNTIFS(_calc!$AE$2:$AE$3000,$B92&amp;"|"&amp;$D92,_calc!$A$2:$A$3000,$B$3,_calc!$C$2:$C$3000,Q$6)=0,"",SUMIFS(_calc!$E$2:$E$3000,_calc!$AE$2:$AE$3000,$B92&amp;"|"&amp;$D92,_calc!$A$2:$A$3000,$B$3,_calc!$C$2:$C$3000,Q$6)))</f>
        <v/>
      </c>
      <c r="R92" s="50" t="str">
        <f>IF(OR($B92="",R$6=""),"",IF(COUNTIFS(_calc!$AE$2:$AE$3000,$B92&amp;"|"&amp;$D92,_calc!$A$2:$A$3000,$B$3,_calc!$C$2:$C$3000,R$6)=0,"",SUMIFS(_calc!$E$2:$E$3000,_calc!$AE$2:$AE$3000,$B92&amp;"|"&amp;$D92,_calc!$A$2:$A$3000,$B$3,_calc!$C$2:$C$3000,R$6)))</f>
        <v/>
      </c>
      <c r="S92" s="50" t="str">
        <f>IF(OR($B92="",S$6=""),"",IF(COUNTIFS(_calc!$AE$2:$AE$3000,$B92&amp;"|"&amp;$D92,_calc!$A$2:$A$3000,$B$3,_calc!$C$2:$C$3000,S$6)=0,"",SUMIFS(_calc!$E$2:$E$3000,_calc!$AE$2:$AE$3000,$B92&amp;"|"&amp;$D92,_calc!$A$2:$A$3000,$B$3,_calc!$C$2:$C$3000,S$6)))</f>
        <v/>
      </c>
      <c r="T92" s="50" t="str">
        <f>IF(OR($B92="",T$6=""),"",IF(COUNTIFS(_calc!$AE$2:$AE$3000,$B92&amp;"|"&amp;$D92,_calc!$A$2:$A$3000,$B$3,_calc!$C$2:$C$3000,T$6)=0,"",SUMIFS(_calc!$E$2:$E$3000,_calc!$AE$2:$AE$3000,$B92&amp;"|"&amp;$D92,_calc!$A$2:$A$3000,$B$3,_calc!$C$2:$C$3000,T$6)))</f>
        <v/>
      </c>
      <c r="U92" s="50" t="str">
        <f>IF(OR($B92="",U$6=""),"",IF(COUNTIFS(_calc!$AE$2:$AE$3000,$B92&amp;"|"&amp;$D92,_calc!$A$2:$A$3000,$B$3,_calc!$C$2:$C$3000,U$6)=0,"",SUMIFS(_calc!$E$2:$E$3000,_calc!$AE$2:$AE$3000,$B92&amp;"|"&amp;$D92,_calc!$A$2:$A$3000,$B$3,_calc!$C$2:$C$3000,U$6)))</f>
        <v/>
      </c>
      <c r="V92" s="50" t="str">
        <f>IF(OR($B92="",V$6=""),"",IF(COUNTIFS(_calc!$AE$2:$AE$3000,$B92&amp;"|"&amp;$D92,_calc!$A$2:$A$3000,$B$3,_calc!$C$2:$C$3000,V$6)=0,"",SUMIFS(_calc!$E$2:$E$3000,_calc!$AE$2:$AE$3000,$B92&amp;"|"&amp;$D92,_calc!$A$2:$A$3000,$B$3,_calc!$C$2:$C$3000,V$6)))</f>
        <v/>
      </c>
      <c r="W92" s="50" t="str">
        <f>IF(OR($B92="",W$6=""),"",IF(COUNTIFS(_calc!$AE$2:$AE$3000,$B92&amp;"|"&amp;$D92,_calc!$A$2:$A$3000,$B$3,_calc!$C$2:$C$3000,W$6)=0,"",SUMIFS(_calc!$E$2:$E$3000,_calc!$AE$2:$AE$3000,$B92&amp;"|"&amp;$D92,_calc!$A$2:$A$3000,$B$3,_calc!$C$2:$C$3000,W$6)))</f>
        <v/>
      </c>
      <c r="X92" s="50" t="str">
        <f>IF(OR($B92="",X$6=""),"",IF(COUNTIFS(_calc!$AE$2:$AE$3000,$B92&amp;"|"&amp;$D92,_calc!$A$2:$A$3000,$B$3,_calc!$C$2:$C$3000,X$6)=0,"",SUMIFS(_calc!$E$2:$E$3000,_calc!$AE$2:$AE$3000,$B92&amp;"|"&amp;$D92,_calc!$A$2:$A$3000,$B$3,_calc!$C$2:$C$3000,X$6)))</f>
        <v/>
      </c>
    </row>
    <row r="93" spans="1:24" x14ac:dyDescent="0.4">
      <c r="A93" s="48">
        <v>87</v>
      </c>
      <c r="B93" s="49" t="str">
        <f>IFERROR(INDEX(_calc!$I$2:$I$3000,MATCH($A93,_calc!$AB$2:$AB$3000,0)),"")</f>
        <v/>
      </c>
      <c r="C93" s="49" t="str">
        <f>IFERROR(INDEX(_calc!$H$2:$H$3000,MATCH($A93,_calc!$AB$2:$AB$3000,0)),"")</f>
        <v/>
      </c>
      <c r="D93" s="49" t="str">
        <f>IFERROR(INDEX(_calc!$K$2:$K$3000,MATCH($A93,_calc!$AB$2:$AB$3000,0)),"")</f>
        <v/>
      </c>
      <c r="E93" s="50" t="str">
        <f>IF(OR($B93="",E$6=""),"",IF(COUNTIFS(_calc!$AE$2:$AE$3000,$B93&amp;"|"&amp;$D93,_calc!$A$2:$A$3000,$B$3,_calc!$C$2:$C$3000,E$6)=0,"",SUMIFS(_calc!$E$2:$E$3000,_calc!$AE$2:$AE$3000,$B93&amp;"|"&amp;$D93,_calc!$A$2:$A$3000,$B$3,_calc!$C$2:$C$3000,E$6)))</f>
        <v/>
      </c>
      <c r="F93" s="50" t="str">
        <f>IF(OR($B93="",F$6=""),"",IF(COUNTIFS(_calc!$AE$2:$AE$3000,$B93&amp;"|"&amp;$D93,_calc!$A$2:$A$3000,$B$3,_calc!$C$2:$C$3000,F$6)=0,"",SUMIFS(_calc!$E$2:$E$3000,_calc!$AE$2:$AE$3000,$B93&amp;"|"&amp;$D93,_calc!$A$2:$A$3000,$B$3,_calc!$C$2:$C$3000,F$6)))</f>
        <v/>
      </c>
      <c r="G93" s="50" t="str">
        <f>IF(OR($B93="",G$6=""),"",IF(COUNTIFS(_calc!$AE$2:$AE$3000,$B93&amp;"|"&amp;$D93,_calc!$A$2:$A$3000,$B$3,_calc!$C$2:$C$3000,G$6)=0,"",SUMIFS(_calc!$E$2:$E$3000,_calc!$AE$2:$AE$3000,$B93&amp;"|"&amp;$D93,_calc!$A$2:$A$3000,$B$3,_calc!$C$2:$C$3000,G$6)))</f>
        <v/>
      </c>
      <c r="H93" s="50" t="str">
        <f>IF(OR($B93="",H$6=""),"",IF(COUNTIFS(_calc!$AE$2:$AE$3000,$B93&amp;"|"&amp;$D93,_calc!$A$2:$A$3000,$B$3,_calc!$C$2:$C$3000,H$6)=0,"",SUMIFS(_calc!$E$2:$E$3000,_calc!$AE$2:$AE$3000,$B93&amp;"|"&amp;$D93,_calc!$A$2:$A$3000,$B$3,_calc!$C$2:$C$3000,H$6)))</f>
        <v/>
      </c>
      <c r="I93" s="50" t="str">
        <f>IF(OR($B93="",I$6=""),"",IF(COUNTIFS(_calc!$AE$2:$AE$3000,$B93&amp;"|"&amp;$D93,_calc!$A$2:$A$3000,$B$3,_calc!$C$2:$C$3000,I$6)=0,"",SUMIFS(_calc!$E$2:$E$3000,_calc!$AE$2:$AE$3000,$B93&amp;"|"&amp;$D93,_calc!$A$2:$A$3000,$B$3,_calc!$C$2:$C$3000,I$6)))</f>
        <v/>
      </c>
      <c r="J93" s="50" t="str">
        <f>IF(OR($B93="",J$6=""),"",IF(COUNTIFS(_calc!$AE$2:$AE$3000,$B93&amp;"|"&amp;$D93,_calc!$A$2:$A$3000,$B$3,_calc!$C$2:$C$3000,J$6)=0,"",SUMIFS(_calc!$E$2:$E$3000,_calc!$AE$2:$AE$3000,$B93&amp;"|"&amp;$D93,_calc!$A$2:$A$3000,$B$3,_calc!$C$2:$C$3000,J$6)))</f>
        <v/>
      </c>
      <c r="K93" s="50" t="str">
        <f>IF(OR($B93="",K$6=""),"",IF(COUNTIFS(_calc!$AE$2:$AE$3000,$B93&amp;"|"&amp;$D93,_calc!$A$2:$A$3000,$B$3,_calc!$C$2:$C$3000,K$6)=0,"",SUMIFS(_calc!$E$2:$E$3000,_calc!$AE$2:$AE$3000,$B93&amp;"|"&amp;$D93,_calc!$A$2:$A$3000,$B$3,_calc!$C$2:$C$3000,K$6)))</f>
        <v/>
      </c>
      <c r="L93" s="50" t="str">
        <f>IF(OR($B93="",L$6=""),"",IF(COUNTIFS(_calc!$AE$2:$AE$3000,$B93&amp;"|"&amp;$D93,_calc!$A$2:$A$3000,$B$3,_calc!$C$2:$C$3000,L$6)=0,"",SUMIFS(_calc!$E$2:$E$3000,_calc!$AE$2:$AE$3000,$B93&amp;"|"&amp;$D93,_calc!$A$2:$A$3000,$B$3,_calc!$C$2:$C$3000,L$6)))</f>
        <v/>
      </c>
      <c r="M93" s="50" t="str">
        <f>IF(OR($B93="",M$6=""),"",IF(COUNTIFS(_calc!$AE$2:$AE$3000,$B93&amp;"|"&amp;$D93,_calc!$A$2:$A$3000,$B$3,_calc!$C$2:$C$3000,M$6)=0,"",SUMIFS(_calc!$E$2:$E$3000,_calc!$AE$2:$AE$3000,$B93&amp;"|"&amp;$D93,_calc!$A$2:$A$3000,$B$3,_calc!$C$2:$C$3000,M$6)))</f>
        <v/>
      </c>
      <c r="N93" s="50" t="str">
        <f>IF(OR($B93="",N$6=""),"",IF(COUNTIFS(_calc!$AE$2:$AE$3000,$B93&amp;"|"&amp;$D93,_calc!$A$2:$A$3000,$B$3,_calc!$C$2:$C$3000,N$6)=0,"",SUMIFS(_calc!$E$2:$E$3000,_calc!$AE$2:$AE$3000,$B93&amp;"|"&amp;$D93,_calc!$A$2:$A$3000,$B$3,_calc!$C$2:$C$3000,N$6)))</f>
        <v/>
      </c>
      <c r="O93" s="50" t="str">
        <f>IF(OR($B93="",O$6=""),"",IF(COUNTIFS(_calc!$AE$2:$AE$3000,$B93&amp;"|"&amp;$D93,_calc!$A$2:$A$3000,$B$3,_calc!$C$2:$C$3000,O$6)=0,"",SUMIFS(_calc!$E$2:$E$3000,_calc!$AE$2:$AE$3000,$B93&amp;"|"&amp;$D93,_calc!$A$2:$A$3000,$B$3,_calc!$C$2:$C$3000,O$6)))</f>
        <v/>
      </c>
      <c r="P93" s="50" t="str">
        <f>IF(OR($B93="",P$6=""),"",IF(COUNTIFS(_calc!$AE$2:$AE$3000,$B93&amp;"|"&amp;$D93,_calc!$A$2:$A$3000,$B$3,_calc!$C$2:$C$3000,P$6)=0,"",SUMIFS(_calc!$E$2:$E$3000,_calc!$AE$2:$AE$3000,$B93&amp;"|"&amp;$D93,_calc!$A$2:$A$3000,$B$3,_calc!$C$2:$C$3000,P$6)))</f>
        <v/>
      </c>
      <c r="Q93" s="50" t="str">
        <f>IF(OR($B93="",Q$6=""),"",IF(COUNTIFS(_calc!$AE$2:$AE$3000,$B93&amp;"|"&amp;$D93,_calc!$A$2:$A$3000,$B$3,_calc!$C$2:$C$3000,Q$6)=0,"",SUMIFS(_calc!$E$2:$E$3000,_calc!$AE$2:$AE$3000,$B93&amp;"|"&amp;$D93,_calc!$A$2:$A$3000,$B$3,_calc!$C$2:$C$3000,Q$6)))</f>
        <v/>
      </c>
      <c r="R93" s="50" t="str">
        <f>IF(OR($B93="",R$6=""),"",IF(COUNTIFS(_calc!$AE$2:$AE$3000,$B93&amp;"|"&amp;$D93,_calc!$A$2:$A$3000,$B$3,_calc!$C$2:$C$3000,R$6)=0,"",SUMIFS(_calc!$E$2:$E$3000,_calc!$AE$2:$AE$3000,$B93&amp;"|"&amp;$D93,_calc!$A$2:$A$3000,$B$3,_calc!$C$2:$C$3000,R$6)))</f>
        <v/>
      </c>
      <c r="S93" s="50" t="str">
        <f>IF(OR($B93="",S$6=""),"",IF(COUNTIFS(_calc!$AE$2:$AE$3000,$B93&amp;"|"&amp;$D93,_calc!$A$2:$A$3000,$B$3,_calc!$C$2:$C$3000,S$6)=0,"",SUMIFS(_calc!$E$2:$E$3000,_calc!$AE$2:$AE$3000,$B93&amp;"|"&amp;$D93,_calc!$A$2:$A$3000,$B$3,_calc!$C$2:$C$3000,S$6)))</f>
        <v/>
      </c>
      <c r="T93" s="50" t="str">
        <f>IF(OR($B93="",T$6=""),"",IF(COUNTIFS(_calc!$AE$2:$AE$3000,$B93&amp;"|"&amp;$D93,_calc!$A$2:$A$3000,$B$3,_calc!$C$2:$C$3000,T$6)=0,"",SUMIFS(_calc!$E$2:$E$3000,_calc!$AE$2:$AE$3000,$B93&amp;"|"&amp;$D93,_calc!$A$2:$A$3000,$B$3,_calc!$C$2:$C$3000,T$6)))</f>
        <v/>
      </c>
      <c r="U93" s="50" t="str">
        <f>IF(OR($B93="",U$6=""),"",IF(COUNTIFS(_calc!$AE$2:$AE$3000,$B93&amp;"|"&amp;$D93,_calc!$A$2:$A$3000,$B$3,_calc!$C$2:$C$3000,U$6)=0,"",SUMIFS(_calc!$E$2:$E$3000,_calc!$AE$2:$AE$3000,$B93&amp;"|"&amp;$D93,_calc!$A$2:$A$3000,$B$3,_calc!$C$2:$C$3000,U$6)))</f>
        <v/>
      </c>
      <c r="V93" s="50" t="str">
        <f>IF(OR($B93="",V$6=""),"",IF(COUNTIFS(_calc!$AE$2:$AE$3000,$B93&amp;"|"&amp;$D93,_calc!$A$2:$A$3000,$B$3,_calc!$C$2:$C$3000,V$6)=0,"",SUMIFS(_calc!$E$2:$E$3000,_calc!$AE$2:$AE$3000,$B93&amp;"|"&amp;$D93,_calc!$A$2:$A$3000,$B$3,_calc!$C$2:$C$3000,V$6)))</f>
        <v/>
      </c>
      <c r="W93" s="50" t="str">
        <f>IF(OR($B93="",W$6=""),"",IF(COUNTIFS(_calc!$AE$2:$AE$3000,$B93&amp;"|"&amp;$D93,_calc!$A$2:$A$3000,$B$3,_calc!$C$2:$C$3000,W$6)=0,"",SUMIFS(_calc!$E$2:$E$3000,_calc!$AE$2:$AE$3000,$B93&amp;"|"&amp;$D93,_calc!$A$2:$A$3000,$B$3,_calc!$C$2:$C$3000,W$6)))</f>
        <v/>
      </c>
      <c r="X93" s="50" t="str">
        <f>IF(OR($B93="",X$6=""),"",IF(COUNTIFS(_calc!$AE$2:$AE$3000,$B93&amp;"|"&amp;$D93,_calc!$A$2:$A$3000,$B$3,_calc!$C$2:$C$3000,X$6)=0,"",SUMIFS(_calc!$E$2:$E$3000,_calc!$AE$2:$AE$3000,$B93&amp;"|"&amp;$D93,_calc!$A$2:$A$3000,$B$3,_calc!$C$2:$C$3000,X$6)))</f>
        <v/>
      </c>
    </row>
    <row r="94" spans="1:24" x14ac:dyDescent="0.4">
      <c r="A94" s="48">
        <v>88</v>
      </c>
      <c r="B94" s="49" t="str">
        <f>IFERROR(INDEX(_calc!$I$2:$I$3000,MATCH($A94,_calc!$AB$2:$AB$3000,0)),"")</f>
        <v/>
      </c>
      <c r="C94" s="49" t="str">
        <f>IFERROR(INDEX(_calc!$H$2:$H$3000,MATCH($A94,_calc!$AB$2:$AB$3000,0)),"")</f>
        <v/>
      </c>
      <c r="D94" s="49" t="str">
        <f>IFERROR(INDEX(_calc!$K$2:$K$3000,MATCH($A94,_calc!$AB$2:$AB$3000,0)),"")</f>
        <v/>
      </c>
      <c r="E94" s="50" t="str">
        <f>IF(OR($B94="",E$6=""),"",IF(COUNTIFS(_calc!$AE$2:$AE$3000,$B94&amp;"|"&amp;$D94,_calc!$A$2:$A$3000,$B$3,_calc!$C$2:$C$3000,E$6)=0,"",SUMIFS(_calc!$E$2:$E$3000,_calc!$AE$2:$AE$3000,$B94&amp;"|"&amp;$D94,_calc!$A$2:$A$3000,$B$3,_calc!$C$2:$C$3000,E$6)))</f>
        <v/>
      </c>
      <c r="F94" s="50" t="str">
        <f>IF(OR($B94="",F$6=""),"",IF(COUNTIFS(_calc!$AE$2:$AE$3000,$B94&amp;"|"&amp;$D94,_calc!$A$2:$A$3000,$B$3,_calc!$C$2:$C$3000,F$6)=0,"",SUMIFS(_calc!$E$2:$E$3000,_calc!$AE$2:$AE$3000,$B94&amp;"|"&amp;$D94,_calc!$A$2:$A$3000,$B$3,_calc!$C$2:$C$3000,F$6)))</f>
        <v/>
      </c>
      <c r="G94" s="50" t="str">
        <f>IF(OR($B94="",G$6=""),"",IF(COUNTIFS(_calc!$AE$2:$AE$3000,$B94&amp;"|"&amp;$D94,_calc!$A$2:$A$3000,$B$3,_calc!$C$2:$C$3000,G$6)=0,"",SUMIFS(_calc!$E$2:$E$3000,_calc!$AE$2:$AE$3000,$B94&amp;"|"&amp;$D94,_calc!$A$2:$A$3000,$B$3,_calc!$C$2:$C$3000,G$6)))</f>
        <v/>
      </c>
      <c r="H94" s="50" t="str">
        <f>IF(OR($B94="",H$6=""),"",IF(COUNTIFS(_calc!$AE$2:$AE$3000,$B94&amp;"|"&amp;$D94,_calc!$A$2:$A$3000,$B$3,_calc!$C$2:$C$3000,H$6)=0,"",SUMIFS(_calc!$E$2:$E$3000,_calc!$AE$2:$AE$3000,$B94&amp;"|"&amp;$D94,_calc!$A$2:$A$3000,$B$3,_calc!$C$2:$C$3000,H$6)))</f>
        <v/>
      </c>
      <c r="I94" s="50" t="str">
        <f>IF(OR($B94="",I$6=""),"",IF(COUNTIFS(_calc!$AE$2:$AE$3000,$B94&amp;"|"&amp;$D94,_calc!$A$2:$A$3000,$B$3,_calc!$C$2:$C$3000,I$6)=0,"",SUMIFS(_calc!$E$2:$E$3000,_calc!$AE$2:$AE$3000,$B94&amp;"|"&amp;$D94,_calc!$A$2:$A$3000,$B$3,_calc!$C$2:$C$3000,I$6)))</f>
        <v/>
      </c>
      <c r="J94" s="50" t="str">
        <f>IF(OR($B94="",J$6=""),"",IF(COUNTIFS(_calc!$AE$2:$AE$3000,$B94&amp;"|"&amp;$D94,_calc!$A$2:$A$3000,$B$3,_calc!$C$2:$C$3000,J$6)=0,"",SUMIFS(_calc!$E$2:$E$3000,_calc!$AE$2:$AE$3000,$B94&amp;"|"&amp;$D94,_calc!$A$2:$A$3000,$B$3,_calc!$C$2:$C$3000,J$6)))</f>
        <v/>
      </c>
      <c r="K94" s="50" t="str">
        <f>IF(OR($B94="",K$6=""),"",IF(COUNTIFS(_calc!$AE$2:$AE$3000,$B94&amp;"|"&amp;$D94,_calc!$A$2:$A$3000,$B$3,_calc!$C$2:$C$3000,K$6)=0,"",SUMIFS(_calc!$E$2:$E$3000,_calc!$AE$2:$AE$3000,$B94&amp;"|"&amp;$D94,_calc!$A$2:$A$3000,$B$3,_calc!$C$2:$C$3000,K$6)))</f>
        <v/>
      </c>
      <c r="L94" s="50" t="str">
        <f>IF(OR($B94="",L$6=""),"",IF(COUNTIFS(_calc!$AE$2:$AE$3000,$B94&amp;"|"&amp;$D94,_calc!$A$2:$A$3000,$B$3,_calc!$C$2:$C$3000,L$6)=0,"",SUMIFS(_calc!$E$2:$E$3000,_calc!$AE$2:$AE$3000,$B94&amp;"|"&amp;$D94,_calc!$A$2:$A$3000,$B$3,_calc!$C$2:$C$3000,L$6)))</f>
        <v/>
      </c>
      <c r="M94" s="50" t="str">
        <f>IF(OR($B94="",M$6=""),"",IF(COUNTIFS(_calc!$AE$2:$AE$3000,$B94&amp;"|"&amp;$D94,_calc!$A$2:$A$3000,$B$3,_calc!$C$2:$C$3000,M$6)=0,"",SUMIFS(_calc!$E$2:$E$3000,_calc!$AE$2:$AE$3000,$B94&amp;"|"&amp;$D94,_calc!$A$2:$A$3000,$B$3,_calc!$C$2:$C$3000,M$6)))</f>
        <v/>
      </c>
      <c r="N94" s="50" t="str">
        <f>IF(OR($B94="",N$6=""),"",IF(COUNTIFS(_calc!$AE$2:$AE$3000,$B94&amp;"|"&amp;$D94,_calc!$A$2:$A$3000,$B$3,_calc!$C$2:$C$3000,N$6)=0,"",SUMIFS(_calc!$E$2:$E$3000,_calc!$AE$2:$AE$3000,$B94&amp;"|"&amp;$D94,_calc!$A$2:$A$3000,$B$3,_calc!$C$2:$C$3000,N$6)))</f>
        <v/>
      </c>
      <c r="O94" s="50" t="str">
        <f>IF(OR($B94="",O$6=""),"",IF(COUNTIFS(_calc!$AE$2:$AE$3000,$B94&amp;"|"&amp;$D94,_calc!$A$2:$A$3000,$B$3,_calc!$C$2:$C$3000,O$6)=0,"",SUMIFS(_calc!$E$2:$E$3000,_calc!$AE$2:$AE$3000,$B94&amp;"|"&amp;$D94,_calc!$A$2:$A$3000,$B$3,_calc!$C$2:$C$3000,O$6)))</f>
        <v/>
      </c>
      <c r="P94" s="50" t="str">
        <f>IF(OR($B94="",P$6=""),"",IF(COUNTIFS(_calc!$AE$2:$AE$3000,$B94&amp;"|"&amp;$D94,_calc!$A$2:$A$3000,$B$3,_calc!$C$2:$C$3000,P$6)=0,"",SUMIFS(_calc!$E$2:$E$3000,_calc!$AE$2:$AE$3000,$B94&amp;"|"&amp;$D94,_calc!$A$2:$A$3000,$B$3,_calc!$C$2:$C$3000,P$6)))</f>
        <v/>
      </c>
      <c r="Q94" s="50" t="str">
        <f>IF(OR($B94="",Q$6=""),"",IF(COUNTIFS(_calc!$AE$2:$AE$3000,$B94&amp;"|"&amp;$D94,_calc!$A$2:$A$3000,$B$3,_calc!$C$2:$C$3000,Q$6)=0,"",SUMIFS(_calc!$E$2:$E$3000,_calc!$AE$2:$AE$3000,$B94&amp;"|"&amp;$D94,_calc!$A$2:$A$3000,$B$3,_calc!$C$2:$C$3000,Q$6)))</f>
        <v/>
      </c>
      <c r="R94" s="50" t="str">
        <f>IF(OR($B94="",R$6=""),"",IF(COUNTIFS(_calc!$AE$2:$AE$3000,$B94&amp;"|"&amp;$D94,_calc!$A$2:$A$3000,$B$3,_calc!$C$2:$C$3000,R$6)=0,"",SUMIFS(_calc!$E$2:$E$3000,_calc!$AE$2:$AE$3000,$B94&amp;"|"&amp;$D94,_calc!$A$2:$A$3000,$B$3,_calc!$C$2:$C$3000,R$6)))</f>
        <v/>
      </c>
      <c r="S94" s="50" t="str">
        <f>IF(OR($B94="",S$6=""),"",IF(COUNTIFS(_calc!$AE$2:$AE$3000,$B94&amp;"|"&amp;$D94,_calc!$A$2:$A$3000,$B$3,_calc!$C$2:$C$3000,S$6)=0,"",SUMIFS(_calc!$E$2:$E$3000,_calc!$AE$2:$AE$3000,$B94&amp;"|"&amp;$D94,_calc!$A$2:$A$3000,$B$3,_calc!$C$2:$C$3000,S$6)))</f>
        <v/>
      </c>
      <c r="T94" s="50" t="str">
        <f>IF(OR($B94="",T$6=""),"",IF(COUNTIFS(_calc!$AE$2:$AE$3000,$B94&amp;"|"&amp;$D94,_calc!$A$2:$A$3000,$B$3,_calc!$C$2:$C$3000,T$6)=0,"",SUMIFS(_calc!$E$2:$E$3000,_calc!$AE$2:$AE$3000,$B94&amp;"|"&amp;$D94,_calc!$A$2:$A$3000,$B$3,_calc!$C$2:$C$3000,T$6)))</f>
        <v/>
      </c>
      <c r="U94" s="50" t="str">
        <f>IF(OR($B94="",U$6=""),"",IF(COUNTIFS(_calc!$AE$2:$AE$3000,$B94&amp;"|"&amp;$D94,_calc!$A$2:$A$3000,$B$3,_calc!$C$2:$C$3000,U$6)=0,"",SUMIFS(_calc!$E$2:$E$3000,_calc!$AE$2:$AE$3000,$B94&amp;"|"&amp;$D94,_calc!$A$2:$A$3000,$B$3,_calc!$C$2:$C$3000,U$6)))</f>
        <v/>
      </c>
      <c r="V94" s="50" t="str">
        <f>IF(OR($B94="",V$6=""),"",IF(COUNTIFS(_calc!$AE$2:$AE$3000,$B94&amp;"|"&amp;$D94,_calc!$A$2:$A$3000,$B$3,_calc!$C$2:$C$3000,V$6)=0,"",SUMIFS(_calc!$E$2:$E$3000,_calc!$AE$2:$AE$3000,$B94&amp;"|"&amp;$D94,_calc!$A$2:$A$3000,$B$3,_calc!$C$2:$C$3000,V$6)))</f>
        <v/>
      </c>
      <c r="W94" s="50" t="str">
        <f>IF(OR($B94="",W$6=""),"",IF(COUNTIFS(_calc!$AE$2:$AE$3000,$B94&amp;"|"&amp;$D94,_calc!$A$2:$A$3000,$B$3,_calc!$C$2:$C$3000,W$6)=0,"",SUMIFS(_calc!$E$2:$E$3000,_calc!$AE$2:$AE$3000,$B94&amp;"|"&amp;$D94,_calc!$A$2:$A$3000,$B$3,_calc!$C$2:$C$3000,W$6)))</f>
        <v/>
      </c>
      <c r="X94" s="50" t="str">
        <f>IF(OR($B94="",X$6=""),"",IF(COUNTIFS(_calc!$AE$2:$AE$3000,$B94&amp;"|"&amp;$D94,_calc!$A$2:$A$3000,$B$3,_calc!$C$2:$C$3000,X$6)=0,"",SUMIFS(_calc!$E$2:$E$3000,_calc!$AE$2:$AE$3000,$B94&amp;"|"&amp;$D94,_calc!$A$2:$A$3000,$B$3,_calc!$C$2:$C$3000,X$6)))</f>
        <v/>
      </c>
    </row>
    <row r="95" spans="1:24" x14ac:dyDescent="0.4">
      <c r="A95" s="48">
        <v>89</v>
      </c>
      <c r="B95" s="49" t="str">
        <f>IFERROR(INDEX(_calc!$I$2:$I$3000,MATCH($A95,_calc!$AB$2:$AB$3000,0)),"")</f>
        <v/>
      </c>
      <c r="C95" s="49" t="str">
        <f>IFERROR(INDEX(_calc!$H$2:$H$3000,MATCH($A95,_calc!$AB$2:$AB$3000,0)),"")</f>
        <v/>
      </c>
      <c r="D95" s="49" t="str">
        <f>IFERROR(INDEX(_calc!$K$2:$K$3000,MATCH($A95,_calc!$AB$2:$AB$3000,0)),"")</f>
        <v/>
      </c>
      <c r="E95" s="50" t="str">
        <f>IF(OR($B95="",E$6=""),"",IF(COUNTIFS(_calc!$AE$2:$AE$3000,$B95&amp;"|"&amp;$D95,_calc!$A$2:$A$3000,$B$3,_calc!$C$2:$C$3000,E$6)=0,"",SUMIFS(_calc!$E$2:$E$3000,_calc!$AE$2:$AE$3000,$B95&amp;"|"&amp;$D95,_calc!$A$2:$A$3000,$B$3,_calc!$C$2:$C$3000,E$6)))</f>
        <v/>
      </c>
      <c r="F95" s="50" t="str">
        <f>IF(OR($B95="",F$6=""),"",IF(COUNTIFS(_calc!$AE$2:$AE$3000,$B95&amp;"|"&amp;$D95,_calc!$A$2:$A$3000,$B$3,_calc!$C$2:$C$3000,F$6)=0,"",SUMIFS(_calc!$E$2:$E$3000,_calc!$AE$2:$AE$3000,$B95&amp;"|"&amp;$D95,_calc!$A$2:$A$3000,$B$3,_calc!$C$2:$C$3000,F$6)))</f>
        <v/>
      </c>
      <c r="G95" s="50" t="str">
        <f>IF(OR($B95="",G$6=""),"",IF(COUNTIFS(_calc!$AE$2:$AE$3000,$B95&amp;"|"&amp;$D95,_calc!$A$2:$A$3000,$B$3,_calc!$C$2:$C$3000,G$6)=0,"",SUMIFS(_calc!$E$2:$E$3000,_calc!$AE$2:$AE$3000,$B95&amp;"|"&amp;$D95,_calc!$A$2:$A$3000,$B$3,_calc!$C$2:$C$3000,G$6)))</f>
        <v/>
      </c>
      <c r="H95" s="50" t="str">
        <f>IF(OR($B95="",H$6=""),"",IF(COUNTIFS(_calc!$AE$2:$AE$3000,$B95&amp;"|"&amp;$D95,_calc!$A$2:$A$3000,$B$3,_calc!$C$2:$C$3000,H$6)=0,"",SUMIFS(_calc!$E$2:$E$3000,_calc!$AE$2:$AE$3000,$B95&amp;"|"&amp;$D95,_calc!$A$2:$A$3000,$B$3,_calc!$C$2:$C$3000,H$6)))</f>
        <v/>
      </c>
      <c r="I95" s="50" t="str">
        <f>IF(OR($B95="",I$6=""),"",IF(COUNTIFS(_calc!$AE$2:$AE$3000,$B95&amp;"|"&amp;$D95,_calc!$A$2:$A$3000,$B$3,_calc!$C$2:$C$3000,I$6)=0,"",SUMIFS(_calc!$E$2:$E$3000,_calc!$AE$2:$AE$3000,$B95&amp;"|"&amp;$D95,_calc!$A$2:$A$3000,$B$3,_calc!$C$2:$C$3000,I$6)))</f>
        <v/>
      </c>
      <c r="J95" s="50" t="str">
        <f>IF(OR($B95="",J$6=""),"",IF(COUNTIFS(_calc!$AE$2:$AE$3000,$B95&amp;"|"&amp;$D95,_calc!$A$2:$A$3000,$B$3,_calc!$C$2:$C$3000,J$6)=0,"",SUMIFS(_calc!$E$2:$E$3000,_calc!$AE$2:$AE$3000,$B95&amp;"|"&amp;$D95,_calc!$A$2:$A$3000,$B$3,_calc!$C$2:$C$3000,J$6)))</f>
        <v/>
      </c>
      <c r="K95" s="50" t="str">
        <f>IF(OR($B95="",K$6=""),"",IF(COUNTIFS(_calc!$AE$2:$AE$3000,$B95&amp;"|"&amp;$D95,_calc!$A$2:$A$3000,$B$3,_calc!$C$2:$C$3000,K$6)=0,"",SUMIFS(_calc!$E$2:$E$3000,_calc!$AE$2:$AE$3000,$B95&amp;"|"&amp;$D95,_calc!$A$2:$A$3000,$B$3,_calc!$C$2:$C$3000,K$6)))</f>
        <v/>
      </c>
      <c r="L95" s="50" t="str">
        <f>IF(OR($B95="",L$6=""),"",IF(COUNTIFS(_calc!$AE$2:$AE$3000,$B95&amp;"|"&amp;$D95,_calc!$A$2:$A$3000,$B$3,_calc!$C$2:$C$3000,L$6)=0,"",SUMIFS(_calc!$E$2:$E$3000,_calc!$AE$2:$AE$3000,$B95&amp;"|"&amp;$D95,_calc!$A$2:$A$3000,$B$3,_calc!$C$2:$C$3000,L$6)))</f>
        <v/>
      </c>
      <c r="M95" s="50" t="str">
        <f>IF(OR($B95="",M$6=""),"",IF(COUNTIFS(_calc!$AE$2:$AE$3000,$B95&amp;"|"&amp;$D95,_calc!$A$2:$A$3000,$B$3,_calc!$C$2:$C$3000,M$6)=0,"",SUMIFS(_calc!$E$2:$E$3000,_calc!$AE$2:$AE$3000,$B95&amp;"|"&amp;$D95,_calc!$A$2:$A$3000,$B$3,_calc!$C$2:$C$3000,M$6)))</f>
        <v/>
      </c>
      <c r="N95" s="50" t="str">
        <f>IF(OR($B95="",N$6=""),"",IF(COUNTIFS(_calc!$AE$2:$AE$3000,$B95&amp;"|"&amp;$D95,_calc!$A$2:$A$3000,$B$3,_calc!$C$2:$C$3000,N$6)=0,"",SUMIFS(_calc!$E$2:$E$3000,_calc!$AE$2:$AE$3000,$B95&amp;"|"&amp;$D95,_calc!$A$2:$A$3000,$B$3,_calc!$C$2:$C$3000,N$6)))</f>
        <v/>
      </c>
      <c r="O95" s="50" t="str">
        <f>IF(OR($B95="",O$6=""),"",IF(COUNTIFS(_calc!$AE$2:$AE$3000,$B95&amp;"|"&amp;$D95,_calc!$A$2:$A$3000,$B$3,_calc!$C$2:$C$3000,O$6)=0,"",SUMIFS(_calc!$E$2:$E$3000,_calc!$AE$2:$AE$3000,$B95&amp;"|"&amp;$D95,_calc!$A$2:$A$3000,$B$3,_calc!$C$2:$C$3000,O$6)))</f>
        <v/>
      </c>
      <c r="P95" s="50" t="str">
        <f>IF(OR($B95="",P$6=""),"",IF(COUNTIFS(_calc!$AE$2:$AE$3000,$B95&amp;"|"&amp;$D95,_calc!$A$2:$A$3000,$B$3,_calc!$C$2:$C$3000,P$6)=0,"",SUMIFS(_calc!$E$2:$E$3000,_calc!$AE$2:$AE$3000,$B95&amp;"|"&amp;$D95,_calc!$A$2:$A$3000,$B$3,_calc!$C$2:$C$3000,P$6)))</f>
        <v/>
      </c>
      <c r="Q95" s="50" t="str">
        <f>IF(OR($B95="",Q$6=""),"",IF(COUNTIFS(_calc!$AE$2:$AE$3000,$B95&amp;"|"&amp;$D95,_calc!$A$2:$A$3000,$B$3,_calc!$C$2:$C$3000,Q$6)=0,"",SUMIFS(_calc!$E$2:$E$3000,_calc!$AE$2:$AE$3000,$B95&amp;"|"&amp;$D95,_calc!$A$2:$A$3000,$B$3,_calc!$C$2:$C$3000,Q$6)))</f>
        <v/>
      </c>
      <c r="R95" s="50" t="str">
        <f>IF(OR($B95="",R$6=""),"",IF(COUNTIFS(_calc!$AE$2:$AE$3000,$B95&amp;"|"&amp;$D95,_calc!$A$2:$A$3000,$B$3,_calc!$C$2:$C$3000,R$6)=0,"",SUMIFS(_calc!$E$2:$E$3000,_calc!$AE$2:$AE$3000,$B95&amp;"|"&amp;$D95,_calc!$A$2:$A$3000,$B$3,_calc!$C$2:$C$3000,R$6)))</f>
        <v/>
      </c>
      <c r="S95" s="50" t="str">
        <f>IF(OR($B95="",S$6=""),"",IF(COUNTIFS(_calc!$AE$2:$AE$3000,$B95&amp;"|"&amp;$D95,_calc!$A$2:$A$3000,$B$3,_calc!$C$2:$C$3000,S$6)=0,"",SUMIFS(_calc!$E$2:$E$3000,_calc!$AE$2:$AE$3000,$B95&amp;"|"&amp;$D95,_calc!$A$2:$A$3000,$B$3,_calc!$C$2:$C$3000,S$6)))</f>
        <v/>
      </c>
      <c r="T95" s="50" t="str">
        <f>IF(OR($B95="",T$6=""),"",IF(COUNTIFS(_calc!$AE$2:$AE$3000,$B95&amp;"|"&amp;$D95,_calc!$A$2:$A$3000,$B$3,_calc!$C$2:$C$3000,T$6)=0,"",SUMIFS(_calc!$E$2:$E$3000,_calc!$AE$2:$AE$3000,$B95&amp;"|"&amp;$D95,_calc!$A$2:$A$3000,$B$3,_calc!$C$2:$C$3000,T$6)))</f>
        <v/>
      </c>
      <c r="U95" s="50" t="str">
        <f>IF(OR($B95="",U$6=""),"",IF(COUNTIFS(_calc!$AE$2:$AE$3000,$B95&amp;"|"&amp;$D95,_calc!$A$2:$A$3000,$B$3,_calc!$C$2:$C$3000,U$6)=0,"",SUMIFS(_calc!$E$2:$E$3000,_calc!$AE$2:$AE$3000,$B95&amp;"|"&amp;$D95,_calc!$A$2:$A$3000,$B$3,_calc!$C$2:$C$3000,U$6)))</f>
        <v/>
      </c>
      <c r="V95" s="50" t="str">
        <f>IF(OR($B95="",V$6=""),"",IF(COUNTIFS(_calc!$AE$2:$AE$3000,$B95&amp;"|"&amp;$D95,_calc!$A$2:$A$3000,$B$3,_calc!$C$2:$C$3000,V$6)=0,"",SUMIFS(_calc!$E$2:$E$3000,_calc!$AE$2:$AE$3000,$B95&amp;"|"&amp;$D95,_calc!$A$2:$A$3000,$B$3,_calc!$C$2:$C$3000,V$6)))</f>
        <v/>
      </c>
      <c r="W95" s="50" t="str">
        <f>IF(OR($B95="",W$6=""),"",IF(COUNTIFS(_calc!$AE$2:$AE$3000,$B95&amp;"|"&amp;$D95,_calc!$A$2:$A$3000,$B$3,_calc!$C$2:$C$3000,W$6)=0,"",SUMIFS(_calc!$E$2:$E$3000,_calc!$AE$2:$AE$3000,$B95&amp;"|"&amp;$D95,_calc!$A$2:$A$3000,$B$3,_calc!$C$2:$C$3000,W$6)))</f>
        <v/>
      </c>
      <c r="X95" s="50" t="str">
        <f>IF(OR($B95="",X$6=""),"",IF(COUNTIFS(_calc!$AE$2:$AE$3000,$B95&amp;"|"&amp;$D95,_calc!$A$2:$A$3000,$B$3,_calc!$C$2:$C$3000,X$6)=0,"",SUMIFS(_calc!$E$2:$E$3000,_calc!$AE$2:$AE$3000,$B95&amp;"|"&amp;$D95,_calc!$A$2:$A$3000,$B$3,_calc!$C$2:$C$3000,X$6)))</f>
        <v/>
      </c>
    </row>
    <row r="96" spans="1:24" x14ac:dyDescent="0.4">
      <c r="A96" s="48">
        <v>90</v>
      </c>
      <c r="B96" s="49" t="str">
        <f>IFERROR(INDEX(_calc!$I$2:$I$3000,MATCH($A96,_calc!$AB$2:$AB$3000,0)),"")</f>
        <v/>
      </c>
      <c r="C96" s="49" t="str">
        <f>IFERROR(INDEX(_calc!$H$2:$H$3000,MATCH($A96,_calc!$AB$2:$AB$3000,0)),"")</f>
        <v/>
      </c>
      <c r="D96" s="49" t="str">
        <f>IFERROR(INDEX(_calc!$K$2:$K$3000,MATCH($A96,_calc!$AB$2:$AB$3000,0)),"")</f>
        <v/>
      </c>
      <c r="E96" s="50" t="str">
        <f>IF(OR($B96="",E$6=""),"",IF(COUNTIFS(_calc!$AE$2:$AE$3000,$B96&amp;"|"&amp;$D96,_calc!$A$2:$A$3000,$B$3,_calc!$C$2:$C$3000,E$6)=0,"",SUMIFS(_calc!$E$2:$E$3000,_calc!$AE$2:$AE$3000,$B96&amp;"|"&amp;$D96,_calc!$A$2:$A$3000,$B$3,_calc!$C$2:$C$3000,E$6)))</f>
        <v/>
      </c>
      <c r="F96" s="50" t="str">
        <f>IF(OR($B96="",F$6=""),"",IF(COUNTIFS(_calc!$AE$2:$AE$3000,$B96&amp;"|"&amp;$D96,_calc!$A$2:$A$3000,$B$3,_calc!$C$2:$C$3000,F$6)=0,"",SUMIFS(_calc!$E$2:$E$3000,_calc!$AE$2:$AE$3000,$B96&amp;"|"&amp;$D96,_calc!$A$2:$A$3000,$B$3,_calc!$C$2:$C$3000,F$6)))</f>
        <v/>
      </c>
      <c r="G96" s="50" t="str">
        <f>IF(OR($B96="",G$6=""),"",IF(COUNTIFS(_calc!$AE$2:$AE$3000,$B96&amp;"|"&amp;$D96,_calc!$A$2:$A$3000,$B$3,_calc!$C$2:$C$3000,G$6)=0,"",SUMIFS(_calc!$E$2:$E$3000,_calc!$AE$2:$AE$3000,$B96&amp;"|"&amp;$D96,_calc!$A$2:$A$3000,$B$3,_calc!$C$2:$C$3000,G$6)))</f>
        <v/>
      </c>
      <c r="H96" s="50" t="str">
        <f>IF(OR($B96="",H$6=""),"",IF(COUNTIFS(_calc!$AE$2:$AE$3000,$B96&amp;"|"&amp;$D96,_calc!$A$2:$A$3000,$B$3,_calc!$C$2:$C$3000,H$6)=0,"",SUMIFS(_calc!$E$2:$E$3000,_calc!$AE$2:$AE$3000,$B96&amp;"|"&amp;$D96,_calc!$A$2:$A$3000,$B$3,_calc!$C$2:$C$3000,H$6)))</f>
        <v/>
      </c>
      <c r="I96" s="50" t="str">
        <f>IF(OR($B96="",I$6=""),"",IF(COUNTIFS(_calc!$AE$2:$AE$3000,$B96&amp;"|"&amp;$D96,_calc!$A$2:$A$3000,$B$3,_calc!$C$2:$C$3000,I$6)=0,"",SUMIFS(_calc!$E$2:$E$3000,_calc!$AE$2:$AE$3000,$B96&amp;"|"&amp;$D96,_calc!$A$2:$A$3000,$B$3,_calc!$C$2:$C$3000,I$6)))</f>
        <v/>
      </c>
      <c r="J96" s="50" t="str">
        <f>IF(OR($B96="",J$6=""),"",IF(COUNTIFS(_calc!$AE$2:$AE$3000,$B96&amp;"|"&amp;$D96,_calc!$A$2:$A$3000,$B$3,_calc!$C$2:$C$3000,J$6)=0,"",SUMIFS(_calc!$E$2:$E$3000,_calc!$AE$2:$AE$3000,$B96&amp;"|"&amp;$D96,_calc!$A$2:$A$3000,$B$3,_calc!$C$2:$C$3000,J$6)))</f>
        <v/>
      </c>
      <c r="K96" s="50" t="str">
        <f>IF(OR($B96="",K$6=""),"",IF(COUNTIFS(_calc!$AE$2:$AE$3000,$B96&amp;"|"&amp;$D96,_calc!$A$2:$A$3000,$B$3,_calc!$C$2:$C$3000,K$6)=0,"",SUMIFS(_calc!$E$2:$E$3000,_calc!$AE$2:$AE$3000,$B96&amp;"|"&amp;$D96,_calc!$A$2:$A$3000,$B$3,_calc!$C$2:$C$3000,K$6)))</f>
        <v/>
      </c>
      <c r="L96" s="50" t="str">
        <f>IF(OR($B96="",L$6=""),"",IF(COUNTIFS(_calc!$AE$2:$AE$3000,$B96&amp;"|"&amp;$D96,_calc!$A$2:$A$3000,$B$3,_calc!$C$2:$C$3000,L$6)=0,"",SUMIFS(_calc!$E$2:$E$3000,_calc!$AE$2:$AE$3000,$B96&amp;"|"&amp;$D96,_calc!$A$2:$A$3000,$B$3,_calc!$C$2:$C$3000,L$6)))</f>
        <v/>
      </c>
      <c r="M96" s="50" t="str">
        <f>IF(OR($B96="",M$6=""),"",IF(COUNTIFS(_calc!$AE$2:$AE$3000,$B96&amp;"|"&amp;$D96,_calc!$A$2:$A$3000,$B$3,_calc!$C$2:$C$3000,M$6)=0,"",SUMIFS(_calc!$E$2:$E$3000,_calc!$AE$2:$AE$3000,$B96&amp;"|"&amp;$D96,_calc!$A$2:$A$3000,$B$3,_calc!$C$2:$C$3000,M$6)))</f>
        <v/>
      </c>
      <c r="N96" s="50" t="str">
        <f>IF(OR($B96="",N$6=""),"",IF(COUNTIFS(_calc!$AE$2:$AE$3000,$B96&amp;"|"&amp;$D96,_calc!$A$2:$A$3000,$B$3,_calc!$C$2:$C$3000,N$6)=0,"",SUMIFS(_calc!$E$2:$E$3000,_calc!$AE$2:$AE$3000,$B96&amp;"|"&amp;$D96,_calc!$A$2:$A$3000,$B$3,_calc!$C$2:$C$3000,N$6)))</f>
        <v/>
      </c>
      <c r="O96" s="50" t="str">
        <f>IF(OR($B96="",O$6=""),"",IF(COUNTIFS(_calc!$AE$2:$AE$3000,$B96&amp;"|"&amp;$D96,_calc!$A$2:$A$3000,$B$3,_calc!$C$2:$C$3000,O$6)=0,"",SUMIFS(_calc!$E$2:$E$3000,_calc!$AE$2:$AE$3000,$B96&amp;"|"&amp;$D96,_calc!$A$2:$A$3000,$B$3,_calc!$C$2:$C$3000,O$6)))</f>
        <v/>
      </c>
      <c r="P96" s="50" t="str">
        <f>IF(OR($B96="",P$6=""),"",IF(COUNTIFS(_calc!$AE$2:$AE$3000,$B96&amp;"|"&amp;$D96,_calc!$A$2:$A$3000,$B$3,_calc!$C$2:$C$3000,P$6)=0,"",SUMIFS(_calc!$E$2:$E$3000,_calc!$AE$2:$AE$3000,$B96&amp;"|"&amp;$D96,_calc!$A$2:$A$3000,$B$3,_calc!$C$2:$C$3000,P$6)))</f>
        <v/>
      </c>
      <c r="Q96" s="50" t="str">
        <f>IF(OR($B96="",Q$6=""),"",IF(COUNTIFS(_calc!$AE$2:$AE$3000,$B96&amp;"|"&amp;$D96,_calc!$A$2:$A$3000,$B$3,_calc!$C$2:$C$3000,Q$6)=0,"",SUMIFS(_calc!$E$2:$E$3000,_calc!$AE$2:$AE$3000,$B96&amp;"|"&amp;$D96,_calc!$A$2:$A$3000,$B$3,_calc!$C$2:$C$3000,Q$6)))</f>
        <v/>
      </c>
      <c r="R96" s="50" t="str">
        <f>IF(OR($B96="",R$6=""),"",IF(COUNTIFS(_calc!$AE$2:$AE$3000,$B96&amp;"|"&amp;$D96,_calc!$A$2:$A$3000,$B$3,_calc!$C$2:$C$3000,R$6)=0,"",SUMIFS(_calc!$E$2:$E$3000,_calc!$AE$2:$AE$3000,$B96&amp;"|"&amp;$D96,_calc!$A$2:$A$3000,$B$3,_calc!$C$2:$C$3000,R$6)))</f>
        <v/>
      </c>
      <c r="S96" s="50" t="str">
        <f>IF(OR($B96="",S$6=""),"",IF(COUNTIFS(_calc!$AE$2:$AE$3000,$B96&amp;"|"&amp;$D96,_calc!$A$2:$A$3000,$B$3,_calc!$C$2:$C$3000,S$6)=0,"",SUMIFS(_calc!$E$2:$E$3000,_calc!$AE$2:$AE$3000,$B96&amp;"|"&amp;$D96,_calc!$A$2:$A$3000,$B$3,_calc!$C$2:$C$3000,S$6)))</f>
        <v/>
      </c>
      <c r="T96" s="50" t="str">
        <f>IF(OR($B96="",T$6=""),"",IF(COUNTIFS(_calc!$AE$2:$AE$3000,$B96&amp;"|"&amp;$D96,_calc!$A$2:$A$3000,$B$3,_calc!$C$2:$C$3000,T$6)=0,"",SUMIFS(_calc!$E$2:$E$3000,_calc!$AE$2:$AE$3000,$B96&amp;"|"&amp;$D96,_calc!$A$2:$A$3000,$B$3,_calc!$C$2:$C$3000,T$6)))</f>
        <v/>
      </c>
      <c r="U96" s="50" t="str">
        <f>IF(OR($B96="",U$6=""),"",IF(COUNTIFS(_calc!$AE$2:$AE$3000,$B96&amp;"|"&amp;$D96,_calc!$A$2:$A$3000,$B$3,_calc!$C$2:$C$3000,U$6)=0,"",SUMIFS(_calc!$E$2:$E$3000,_calc!$AE$2:$AE$3000,$B96&amp;"|"&amp;$D96,_calc!$A$2:$A$3000,$B$3,_calc!$C$2:$C$3000,U$6)))</f>
        <v/>
      </c>
      <c r="V96" s="50" t="str">
        <f>IF(OR($B96="",V$6=""),"",IF(COUNTIFS(_calc!$AE$2:$AE$3000,$B96&amp;"|"&amp;$D96,_calc!$A$2:$A$3000,$B$3,_calc!$C$2:$C$3000,V$6)=0,"",SUMIFS(_calc!$E$2:$E$3000,_calc!$AE$2:$AE$3000,$B96&amp;"|"&amp;$D96,_calc!$A$2:$A$3000,$B$3,_calc!$C$2:$C$3000,V$6)))</f>
        <v/>
      </c>
      <c r="W96" s="50" t="str">
        <f>IF(OR($B96="",W$6=""),"",IF(COUNTIFS(_calc!$AE$2:$AE$3000,$B96&amp;"|"&amp;$D96,_calc!$A$2:$A$3000,$B$3,_calc!$C$2:$C$3000,W$6)=0,"",SUMIFS(_calc!$E$2:$E$3000,_calc!$AE$2:$AE$3000,$B96&amp;"|"&amp;$D96,_calc!$A$2:$A$3000,$B$3,_calc!$C$2:$C$3000,W$6)))</f>
        <v/>
      </c>
      <c r="X96" s="50" t="str">
        <f>IF(OR($B96="",X$6=""),"",IF(COUNTIFS(_calc!$AE$2:$AE$3000,$B96&amp;"|"&amp;$D96,_calc!$A$2:$A$3000,$B$3,_calc!$C$2:$C$3000,X$6)=0,"",SUMIFS(_calc!$E$2:$E$3000,_calc!$AE$2:$AE$3000,$B96&amp;"|"&amp;$D96,_calc!$A$2:$A$3000,$B$3,_calc!$C$2:$C$3000,X$6)))</f>
        <v/>
      </c>
    </row>
    <row r="97" spans="1:24" x14ac:dyDescent="0.4">
      <c r="A97" s="48">
        <v>91</v>
      </c>
      <c r="B97" s="49" t="str">
        <f>IFERROR(INDEX(_calc!$I$2:$I$3000,MATCH($A97,_calc!$AB$2:$AB$3000,0)),"")</f>
        <v/>
      </c>
      <c r="C97" s="49" t="str">
        <f>IFERROR(INDEX(_calc!$H$2:$H$3000,MATCH($A97,_calc!$AB$2:$AB$3000,0)),"")</f>
        <v/>
      </c>
      <c r="D97" s="49" t="str">
        <f>IFERROR(INDEX(_calc!$K$2:$K$3000,MATCH($A97,_calc!$AB$2:$AB$3000,0)),"")</f>
        <v/>
      </c>
      <c r="E97" s="50" t="str">
        <f>IF(OR($B97="",E$6=""),"",IF(COUNTIFS(_calc!$AE$2:$AE$3000,$B97&amp;"|"&amp;$D97,_calc!$A$2:$A$3000,$B$3,_calc!$C$2:$C$3000,E$6)=0,"",SUMIFS(_calc!$E$2:$E$3000,_calc!$AE$2:$AE$3000,$B97&amp;"|"&amp;$D97,_calc!$A$2:$A$3000,$B$3,_calc!$C$2:$C$3000,E$6)))</f>
        <v/>
      </c>
      <c r="F97" s="50" t="str">
        <f>IF(OR($B97="",F$6=""),"",IF(COUNTIFS(_calc!$AE$2:$AE$3000,$B97&amp;"|"&amp;$D97,_calc!$A$2:$A$3000,$B$3,_calc!$C$2:$C$3000,F$6)=0,"",SUMIFS(_calc!$E$2:$E$3000,_calc!$AE$2:$AE$3000,$B97&amp;"|"&amp;$D97,_calc!$A$2:$A$3000,$B$3,_calc!$C$2:$C$3000,F$6)))</f>
        <v/>
      </c>
      <c r="G97" s="50" t="str">
        <f>IF(OR($B97="",G$6=""),"",IF(COUNTIFS(_calc!$AE$2:$AE$3000,$B97&amp;"|"&amp;$D97,_calc!$A$2:$A$3000,$B$3,_calc!$C$2:$C$3000,G$6)=0,"",SUMIFS(_calc!$E$2:$E$3000,_calc!$AE$2:$AE$3000,$B97&amp;"|"&amp;$D97,_calc!$A$2:$A$3000,$B$3,_calc!$C$2:$C$3000,G$6)))</f>
        <v/>
      </c>
      <c r="H97" s="50" t="str">
        <f>IF(OR($B97="",H$6=""),"",IF(COUNTIFS(_calc!$AE$2:$AE$3000,$B97&amp;"|"&amp;$D97,_calc!$A$2:$A$3000,$B$3,_calc!$C$2:$C$3000,H$6)=0,"",SUMIFS(_calc!$E$2:$E$3000,_calc!$AE$2:$AE$3000,$B97&amp;"|"&amp;$D97,_calc!$A$2:$A$3000,$B$3,_calc!$C$2:$C$3000,H$6)))</f>
        <v/>
      </c>
      <c r="I97" s="50" t="str">
        <f>IF(OR($B97="",I$6=""),"",IF(COUNTIFS(_calc!$AE$2:$AE$3000,$B97&amp;"|"&amp;$D97,_calc!$A$2:$A$3000,$B$3,_calc!$C$2:$C$3000,I$6)=0,"",SUMIFS(_calc!$E$2:$E$3000,_calc!$AE$2:$AE$3000,$B97&amp;"|"&amp;$D97,_calc!$A$2:$A$3000,$B$3,_calc!$C$2:$C$3000,I$6)))</f>
        <v/>
      </c>
      <c r="J97" s="50" t="str">
        <f>IF(OR($B97="",J$6=""),"",IF(COUNTIFS(_calc!$AE$2:$AE$3000,$B97&amp;"|"&amp;$D97,_calc!$A$2:$A$3000,$B$3,_calc!$C$2:$C$3000,J$6)=0,"",SUMIFS(_calc!$E$2:$E$3000,_calc!$AE$2:$AE$3000,$B97&amp;"|"&amp;$D97,_calc!$A$2:$A$3000,$B$3,_calc!$C$2:$C$3000,J$6)))</f>
        <v/>
      </c>
      <c r="K97" s="50" t="str">
        <f>IF(OR($B97="",K$6=""),"",IF(COUNTIFS(_calc!$AE$2:$AE$3000,$B97&amp;"|"&amp;$D97,_calc!$A$2:$A$3000,$B$3,_calc!$C$2:$C$3000,K$6)=0,"",SUMIFS(_calc!$E$2:$E$3000,_calc!$AE$2:$AE$3000,$B97&amp;"|"&amp;$D97,_calc!$A$2:$A$3000,$B$3,_calc!$C$2:$C$3000,K$6)))</f>
        <v/>
      </c>
      <c r="L97" s="50" t="str">
        <f>IF(OR($B97="",L$6=""),"",IF(COUNTIFS(_calc!$AE$2:$AE$3000,$B97&amp;"|"&amp;$D97,_calc!$A$2:$A$3000,$B$3,_calc!$C$2:$C$3000,L$6)=0,"",SUMIFS(_calc!$E$2:$E$3000,_calc!$AE$2:$AE$3000,$B97&amp;"|"&amp;$D97,_calc!$A$2:$A$3000,$B$3,_calc!$C$2:$C$3000,L$6)))</f>
        <v/>
      </c>
      <c r="M97" s="50" t="str">
        <f>IF(OR($B97="",M$6=""),"",IF(COUNTIFS(_calc!$AE$2:$AE$3000,$B97&amp;"|"&amp;$D97,_calc!$A$2:$A$3000,$B$3,_calc!$C$2:$C$3000,M$6)=0,"",SUMIFS(_calc!$E$2:$E$3000,_calc!$AE$2:$AE$3000,$B97&amp;"|"&amp;$D97,_calc!$A$2:$A$3000,$B$3,_calc!$C$2:$C$3000,M$6)))</f>
        <v/>
      </c>
      <c r="N97" s="50" t="str">
        <f>IF(OR($B97="",N$6=""),"",IF(COUNTIFS(_calc!$AE$2:$AE$3000,$B97&amp;"|"&amp;$D97,_calc!$A$2:$A$3000,$B$3,_calc!$C$2:$C$3000,N$6)=0,"",SUMIFS(_calc!$E$2:$E$3000,_calc!$AE$2:$AE$3000,$B97&amp;"|"&amp;$D97,_calc!$A$2:$A$3000,$B$3,_calc!$C$2:$C$3000,N$6)))</f>
        <v/>
      </c>
      <c r="O97" s="50" t="str">
        <f>IF(OR($B97="",O$6=""),"",IF(COUNTIFS(_calc!$AE$2:$AE$3000,$B97&amp;"|"&amp;$D97,_calc!$A$2:$A$3000,$B$3,_calc!$C$2:$C$3000,O$6)=0,"",SUMIFS(_calc!$E$2:$E$3000,_calc!$AE$2:$AE$3000,$B97&amp;"|"&amp;$D97,_calc!$A$2:$A$3000,$B$3,_calc!$C$2:$C$3000,O$6)))</f>
        <v/>
      </c>
      <c r="P97" s="50" t="str">
        <f>IF(OR($B97="",P$6=""),"",IF(COUNTIFS(_calc!$AE$2:$AE$3000,$B97&amp;"|"&amp;$D97,_calc!$A$2:$A$3000,$B$3,_calc!$C$2:$C$3000,P$6)=0,"",SUMIFS(_calc!$E$2:$E$3000,_calc!$AE$2:$AE$3000,$B97&amp;"|"&amp;$D97,_calc!$A$2:$A$3000,$B$3,_calc!$C$2:$C$3000,P$6)))</f>
        <v/>
      </c>
      <c r="Q97" s="50" t="str">
        <f>IF(OR($B97="",Q$6=""),"",IF(COUNTIFS(_calc!$AE$2:$AE$3000,$B97&amp;"|"&amp;$D97,_calc!$A$2:$A$3000,$B$3,_calc!$C$2:$C$3000,Q$6)=0,"",SUMIFS(_calc!$E$2:$E$3000,_calc!$AE$2:$AE$3000,$B97&amp;"|"&amp;$D97,_calc!$A$2:$A$3000,$B$3,_calc!$C$2:$C$3000,Q$6)))</f>
        <v/>
      </c>
      <c r="R97" s="50" t="str">
        <f>IF(OR($B97="",R$6=""),"",IF(COUNTIFS(_calc!$AE$2:$AE$3000,$B97&amp;"|"&amp;$D97,_calc!$A$2:$A$3000,$B$3,_calc!$C$2:$C$3000,R$6)=0,"",SUMIFS(_calc!$E$2:$E$3000,_calc!$AE$2:$AE$3000,$B97&amp;"|"&amp;$D97,_calc!$A$2:$A$3000,$B$3,_calc!$C$2:$C$3000,R$6)))</f>
        <v/>
      </c>
      <c r="S97" s="50" t="str">
        <f>IF(OR($B97="",S$6=""),"",IF(COUNTIFS(_calc!$AE$2:$AE$3000,$B97&amp;"|"&amp;$D97,_calc!$A$2:$A$3000,$B$3,_calc!$C$2:$C$3000,S$6)=0,"",SUMIFS(_calc!$E$2:$E$3000,_calc!$AE$2:$AE$3000,$B97&amp;"|"&amp;$D97,_calc!$A$2:$A$3000,$B$3,_calc!$C$2:$C$3000,S$6)))</f>
        <v/>
      </c>
      <c r="T97" s="50" t="str">
        <f>IF(OR($B97="",T$6=""),"",IF(COUNTIFS(_calc!$AE$2:$AE$3000,$B97&amp;"|"&amp;$D97,_calc!$A$2:$A$3000,$B$3,_calc!$C$2:$C$3000,T$6)=0,"",SUMIFS(_calc!$E$2:$E$3000,_calc!$AE$2:$AE$3000,$B97&amp;"|"&amp;$D97,_calc!$A$2:$A$3000,$B$3,_calc!$C$2:$C$3000,T$6)))</f>
        <v/>
      </c>
      <c r="U97" s="50" t="str">
        <f>IF(OR($B97="",U$6=""),"",IF(COUNTIFS(_calc!$AE$2:$AE$3000,$B97&amp;"|"&amp;$D97,_calc!$A$2:$A$3000,$B$3,_calc!$C$2:$C$3000,U$6)=0,"",SUMIFS(_calc!$E$2:$E$3000,_calc!$AE$2:$AE$3000,$B97&amp;"|"&amp;$D97,_calc!$A$2:$A$3000,$B$3,_calc!$C$2:$C$3000,U$6)))</f>
        <v/>
      </c>
      <c r="V97" s="50" t="str">
        <f>IF(OR($B97="",V$6=""),"",IF(COUNTIFS(_calc!$AE$2:$AE$3000,$B97&amp;"|"&amp;$D97,_calc!$A$2:$A$3000,$B$3,_calc!$C$2:$C$3000,V$6)=0,"",SUMIFS(_calc!$E$2:$E$3000,_calc!$AE$2:$AE$3000,$B97&amp;"|"&amp;$D97,_calc!$A$2:$A$3000,$B$3,_calc!$C$2:$C$3000,V$6)))</f>
        <v/>
      </c>
      <c r="W97" s="50" t="str">
        <f>IF(OR($B97="",W$6=""),"",IF(COUNTIFS(_calc!$AE$2:$AE$3000,$B97&amp;"|"&amp;$D97,_calc!$A$2:$A$3000,$B$3,_calc!$C$2:$C$3000,W$6)=0,"",SUMIFS(_calc!$E$2:$E$3000,_calc!$AE$2:$AE$3000,$B97&amp;"|"&amp;$D97,_calc!$A$2:$A$3000,$B$3,_calc!$C$2:$C$3000,W$6)))</f>
        <v/>
      </c>
      <c r="X97" s="50" t="str">
        <f>IF(OR($B97="",X$6=""),"",IF(COUNTIFS(_calc!$AE$2:$AE$3000,$B97&amp;"|"&amp;$D97,_calc!$A$2:$A$3000,$B$3,_calc!$C$2:$C$3000,X$6)=0,"",SUMIFS(_calc!$E$2:$E$3000,_calc!$AE$2:$AE$3000,$B97&amp;"|"&amp;$D97,_calc!$A$2:$A$3000,$B$3,_calc!$C$2:$C$3000,X$6)))</f>
        <v/>
      </c>
    </row>
    <row r="98" spans="1:24" x14ac:dyDescent="0.4">
      <c r="A98" s="48">
        <v>92</v>
      </c>
      <c r="B98" s="49" t="str">
        <f>IFERROR(INDEX(_calc!$I$2:$I$3000,MATCH($A98,_calc!$AB$2:$AB$3000,0)),"")</f>
        <v/>
      </c>
      <c r="C98" s="49" t="str">
        <f>IFERROR(INDEX(_calc!$H$2:$H$3000,MATCH($A98,_calc!$AB$2:$AB$3000,0)),"")</f>
        <v/>
      </c>
      <c r="D98" s="49" t="str">
        <f>IFERROR(INDEX(_calc!$K$2:$K$3000,MATCH($A98,_calc!$AB$2:$AB$3000,0)),"")</f>
        <v/>
      </c>
      <c r="E98" s="50" t="str">
        <f>IF(OR($B98="",E$6=""),"",IF(COUNTIFS(_calc!$AE$2:$AE$3000,$B98&amp;"|"&amp;$D98,_calc!$A$2:$A$3000,$B$3,_calc!$C$2:$C$3000,E$6)=0,"",SUMIFS(_calc!$E$2:$E$3000,_calc!$AE$2:$AE$3000,$B98&amp;"|"&amp;$D98,_calc!$A$2:$A$3000,$B$3,_calc!$C$2:$C$3000,E$6)))</f>
        <v/>
      </c>
      <c r="F98" s="50" t="str">
        <f>IF(OR($B98="",F$6=""),"",IF(COUNTIFS(_calc!$AE$2:$AE$3000,$B98&amp;"|"&amp;$D98,_calc!$A$2:$A$3000,$B$3,_calc!$C$2:$C$3000,F$6)=0,"",SUMIFS(_calc!$E$2:$E$3000,_calc!$AE$2:$AE$3000,$B98&amp;"|"&amp;$D98,_calc!$A$2:$A$3000,$B$3,_calc!$C$2:$C$3000,F$6)))</f>
        <v/>
      </c>
      <c r="G98" s="50" t="str">
        <f>IF(OR($B98="",G$6=""),"",IF(COUNTIFS(_calc!$AE$2:$AE$3000,$B98&amp;"|"&amp;$D98,_calc!$A$2:$A$3000,$B$3,_calc!$C$2:$C$3000,G$6)=0,"",SUMIFS(_calc!$E$2:$E$3000,_calc!$AE$2:$AE$3000,$B98&amp;"|"&amp;$D98,_calc!$A$2:$A$3000,$B$3,_calc!$C$2:$C$3000,G$6)))</f>
        <v/>
      </c>
      <c r="H98" s="50" t="str">
        <f>IF(OR($B98="",H$6=""),"",IF(COUNTIFS(_calc!$AE$2:$AE$3000,$B98&amp;"|"&amp;$D98,_calc!$A$2:$A$3000,$B$3,_calc!$C$2:$C$3000,H$6)=0,"",SUMIFS(_calc!$E$2:$E$3000,_calc!$AE$2:$AE$3000,$B98&amp;"|"&amp;$D98,_calc!$A$2:$A$3000,$B$3,_calc!$C$2:$C$3000,H$6)))</f>
        <v/>
      </c>
      <c r="I98" s="50" t="str">
        <f>IF(OR($B98="",I$6=""),"",IF(COUNTIFS(_calc!$AE$2:$AE$3000,$B98&amp;"|"&amp;$D98,_calc!$A$2:$A$3000,$B$3,_calc!$C$2:$C$3000,I$6)=0,"",SUMIFS(_calc!$E$2:$E$3000,_calc!$AE$2:$AE$3000,$B98&amp;"|"&amp;$D98,_calc!$A$2:$A$3000,$B$3,_calc!$C$2:$C$3000,I$6)))</f>
        <v/>
      </c>
      <c r="J98" s="50" t="str">
        <f>IF(OR($B98="",J$6=""),"",IF(COUNTIFS(_calc!$AE$2:$AE$3000,$B98&amp;"|"&amp;$D98,_calc!$A$2:$A$3000,$B$3,_calc!$C$2:$C$3000,J$6)=0,"",SUMIFS(_calc!$E$2:$E$3000,_calc!$AE$2:$AE$3000,$B98&amp;"|"&amp;$D98,_calc!$A$2:$A$3000,$B$3,_calc!$C$2:$C$3000,J$6)))</f>
        <v/>
      </c>
      <c r="K98" s="50" t="str">
        <f>IF(OR($B98="",K$6=""),"",IF(COUNTIFS(_calc!$AE$2:$AE$3000,$B98&amp;"|"&amp;$D98,_calc!$A$2:$A$3000,$B$3,_calc!$C$2:$C$3000,K$6)=0,"",SUMIFS(_calc!$E$2:$E$3000,_calc!$AE$2:$AE$3000,$B98&amp;"|"&amp;$D98,_calc!$A$2:$A$3000,$B$3,_calc!$C$2:$C$3000,K$6)))</f>
        <v/>
      </c>
      <c r="L98" s="50" t="str">
        <f>IF(OR($B98="",L$6=""),"",IF(COUNTIFS(_calc!$AE$2:$AE$3000,$B98&amp;"|"&amp;$D98,_calc!$A$2:$A$3000,$B$3,_calc!$C$2:$C$3000,L$6)=0,"",SUMIFS(_calc!$E$2:$E$3000,_calc!$AE$2:$AE$3000,$B98&amp;"|"&amp;$D98,_calc!$A$2:$A$3000,$B$3,_calc!$C$2:$C$3000,L$6)))</f>
        <v/>
      </c>
      <c r="M98" s="50" t="str">
        <f>IF(OR($B98="",M$6=""),"",IF(COUNTIFS(_calc!$AE$2:$AE$3000,$B98&amp;"|"&amp;$D98,_calc!$A$2:$A$3000,$B$3,_calc!$C$2:$C$3000,M$6)=0,"",SUMIFS(_calc!$E$2:$E$3000,_calc!$AE$2:$AE$3000,$B98&amp;"|"&amp;$D98,_calc!$A$2:$A$3000,$B$3,_calc!$C$2:$C$3000,M$6)))</f>
        <v/>
      </c>
      <c r="N98" s="50" t="str">
        <f>IF(OR($B98="",N$6=""),"",IF(COUNTIFS(_calc!$AE$2:$AE$3000,$B98&amp;"|"&amp;$D98,_calc!$A$2:$A$3000,$B$3,_calc!$C$2:$C$3000,N$6)=0,"",SUMIFS(_calc!$E$2:$E$3000,_calc!$AE$2:$AE$3000,$B98&amp;"|"&amp;$D98,_calc!$A$2:$A$3000,$B$3,_calc!$C$2:$C$3000,N$6)))</f>
        <v/>
      </c>
      <c r="O98" s="50" t="str">
        <f>IF(OR($B98="",O$6=""),"",IF(COUNTIFS(_calc!$AE$2:$AE$3000,$B98&amp;"|"&amp;$D98,_calc!$A$2:$A$3000,$B$3,_calc!$C$2:$C$3000,O$6)=0,"",SUMIFS(_calc!$E$2:$E$3000,_calc!$AE$2:$AE$3000,$B98&amp;"|"&amp;$D98,_calc!$A$2:$A$3000,$B$3,_calc!$C$2:$C$3000,O$6)))</f>
        <v/>
      </c>
      <c r="P98" s="50" t="str">
        <f>IF(OR($B98="",P$6=""),"",IF(COUNTIFS(_calc!$AE$2:$AE$3000,$B98&amp;"|"&amp;$D98,_calc!$A$2:$A$3000,$B$3,_calc!$C$2:$C$3000,P$6)=0,"",SUMIFS(_calc!$E$2:$E$3000,_calc!$AE$2:$AE$3000,$B98&amp;"|"&amp;$D98,_calc!$A$2:$A$3000,$B$3,_calc!$C$2:$C$3000,P$6)))</f>
        <v/>
      </c>
      <c r="Q98" s="50" t="str">
        <f>IF(OR($B98="",Q$6=""),"",IF(COUNTIFS(_calc!$AE$2:$AE$3000,$B98&amp;"|"&amp;$D98,_calc!$A$2:$A$3000,$B$3,_calc!$C$2:$C$3000,Q$6)=0,"",SUMIFS(_calc!$E$2:$E$3000,_calc!$AE$2:$AE$3000,$B98&amp;"|"&amp;$D98,_calc!$A$2:$A$3000,$B$3,_calc!$C$2:$C$3000,Q$6)))</f>
        <v/>
      </c>
      <c r="R98" s="50" t="str">
        <f>IF(OR($B98="",R$6=""),"",IF(COUNTIFS(_calc!$AE$2:$AE$3000,$B98&amp;"|"&amp;$D98,_calc!$A$2:$A$3000,$B$3,_calc!$C$2:$C$3000,R$6)=0,"",SUMIFS(_calc!$E$2:$E$3000,_calc!$AE$2:$AE$3000,$B98&amp;"|"&amp;$D98,_calc!$A$2:$A$3000,$B$3,_calc!$C$2:$C$3000,R$6)))</f>
        <v/>
      </c>
      <c r="S98" s="50" t="str">
        <f>IF(OR($B98="",S$6=""),"",IF(COUNTIFS(_calc!$AE$2:$AE$3000,$B98&amp;"|"&amp;$D98,_calc!$A$2:$A$3000,$B$3,_calc!$C$2:$C$3000,S$6)=0,"",SUMIFS(_calc!$E$2:$E$3000,_calc!$AE$2:$AE$3000,$B98&amp;"|"&amp;$D98,_calc!$A$2:$A$3000,$B$3,_calc!$C$2:$C$3000,S$6)))</f>
        <v/>
      </c>
      <c r="T98" s="50" t="str">
        <f>IF(OR($B98="",T$6=""),"",IF(COUNTIFS(_calc!$AE$2:$AE$3000,$B98&amp;"|"&amp;$D98,_calc!$A$2:$A$3000,$B$3,_calc!$C$2:$C$3000,T$6)=0,"",SUMIFS(_calc!$E$2:$E$3000,_calc!$AE$2:$AE$3000,$B98&amp;"|"&amp;$D98,_calc!$A$2:$A$3000,$B$3,_calc!$C$2:$C$3000,T$6)))</f>
        <v/>
      </c>
      <c r="U98" s="50" t="str">
        <f>IF(OR($B98="",U$6=""),"",IF(COUNTIFS(_calc!$AE$2:$AE$3000,$B98&amp;"|"&amp;$D98,_calc!$A$2:$A$3000,$B$3,_calc!$C$2:$C$3000,U$6)=0,"",SUMIFS(_calc!$E$2:$E$3000,_calc!$AE$2:$AE$3000,$B98&amp;"|"&amp;$D98,_calc!$A$2:$A$3000,$B$3,_calc!$C$2:$C$3000,U$6)))</f>
        <v/>
      </c>
      <c r="V98" s="50" t="str">
        <f>IF(OR($B98="",V$6=""),"",IF(COUNTIFS(_calc!$AE$2:$AE$3000,$B98&amp;"|"&amp;$D98,_calc!$A$2:$A$3000,$B$3,_calc!$C$2:$C$3000,V$6)=0,"",SUMIFS(_calc!$E$2:$E$3000,_calc!$AE$2:$AE$3000,$B98&amp;"|"&amp;$D98,_calc!$A$2:$A$3000,$B$3,_calc!$C$2:$C$3000,V$6)))</f>
        <v/>
      </c>
      <c r="W98" s="50" t="str">
        <f>IF(OR($B98="",W$6=""),"",IF(COUNTIFS(_calc!$AE$2:$AE$3000,$B98&amp;"|"&amp;$D98,_calc!$A$2:$A$3000,$B$3,_calc!$C$2:$C$3000,W$6)=0,"",SUMIFS(_calc!$E$2:$E$3000,_calc!$AE$2:$AE$3000,$B98&amp;"|"&amp;$D98,_calc!$A$2:$A$3000,$B$3,_calc!$C$2:$C$3000,W$6)))</f>
        <v/>
      </c>
      <c r="X98" s="50" t="str">
        <f>IF(OR($B98="",X$6=""),"",IF(COUNTIFS(_calc!$AE$2:$AE$3000,$B98&amp;"|"&amp;$D98,_calc!$A$2:$A$3000,$B$3,_calc!$C$2:$C$3000,X$6)=0,"",SUMIFS(_calc!$E$2:$E$3000,_calc!$AE$2:$AE$3000,$B98&amp;"|"&amp;$D98,_calc!$A$2:$A$3000,$B$3,_calc!$C$2:$C$3000,X$6)))</f>
        <v/>
      </c>
    </row>
    <row r="99" spans="1:24" x14ac:dyDescent="0.4">
      <c r="A99" s="48">
        <v>93</v>
      </c>
      <c r="B99" s="49" t="str">
        <f>IFERROR(INDEX(_calc!$I$2:$I$3000,MATCH($A99,_calc!$AB$2:$AB$3000,0)),"")</f>
        <v/>
      </c>
      <c r="C99" s="49" t="str">
        <f>IFERROR(INDEX(_calc!$H$2:$H$3000,MATCH($A99,_calc!$AB$2:$AB$3000,0)),"")</f>
        <v/>
      </c>
      <c r="D99" s="49" t="str">
        <f>IFERROR(INDEX(_calc!$K$2:$K$3000,MATCH($A99,_calc!$AB$2:$AB$3000,0)),"")</f>
        <v/>
      </c>
      <c r="E99" s="50" t="str">
        <f>IF(OR($B99="",E$6=""),"",IF(COUNTIFS(_calc!$AE$2:$AE$3000,$B99&amp;"|"&amp;$D99,_calc!$A$2:$A$3000,$B$3,_calc!$C$2:$C$3000,E$6)=0,"",SUMIFS(_calc!$E$2:$E$3000,_calc!$AE$2:$AE$3000,$B99&amp;"|"&amp;$D99,_calc!$A$2:$A$3000,$B$3,_calc!$C$2:$C$3000,E$6)))</f>
        <v/>
      </c>
      <c r="F99" s="50" t="str">
        <f>IF(OR($B99="",F$6=""),"",IF(COUNTIFS(_calc!$AE$2:$AE$3000,$B99&amp;"|"&amp;$D99,_calc!$A$2:$A$3000,$B$3,_calc!$C$2:$C$3000,F$6)=0,"",SUMIFS(_calc!$E$2:$E$3000,_calc!$AE$2:$AE$3000,$B99&amp;"|"&amp;$D99,_calc!$A$2:$A$3000,$B$3,_calc!$C$2:$C$3000,F$6)))</f>
        <v/>
      </c>
      <c r="G99" s="50" t="str">
        <f>IF(OR($B99="",G$6=""),"",IF(COUNTIFS(_calc!$AE$2:$AE$3000,$B99&amp;"|"&amp;$D99,_calc!$A$2:$A$3000,$B$3,_calc!$C$2:$C$3000,G$6)=0,"",SUMIFS(_calc!$E$2:$E$3000,_calc!$AE$2:$AE$3000,$B99&amp;"|"&amp;$D99,_calc!$A$2:$A$3000,$B$3,_calc!$C$2:$C$3000,G$6)))</f>
        <v/>
      </c>
      <c r="H99" s="50" t="str">
        <f>IF(OR($B99="",H$6=""),"",IF(COUNTIFS(_calc!$AE$2:$AE$3000,$B99&amp;"|"&amp;$D99,_calc!$A$2:$A$3000,$B$3,_calc!$C$2:$C$3000,H$6)=0,"",SUMIFS(_calc!$E$2:$E$3000,_calc!$AE$2:$AE$3000,$B99&amp;"|"&amp;$D99,_calc!$A$2:$A$3000,$B$3,_calc!$C$2:$C$3000,H$6)))</f>
        <v/>
      </c>
      <c r="I99" s="50" t="str">
        <f>IF(OR($B99="",I$6=""),"",IF(COUNTIFS(_calc!$AE$2:$AE$3000,$B99&amp;"|"&amp;$D99,_calc!$A$2:$A$3000,$B$3,_calc!$C$2:$C$3000,I$6)=0,"",SUMIFS(_calc!$E$2:$E$3000,_calc!$AE$2:$AE$3000,$B99&amp;"|"&amp;$D99,_calc!$A$2:$A$3000,$B$3,_calc!$C$2:$C$3000,I$6)))</f>
        <v/>
      </c>
      <c r="J99" s="50" t="str">
        <f>IF(OR($B99="",J$6=""),"",IF(COUNTIFS(_calc!$AE$2:$AE$3000,$B99&amp;"|"&amp;$D99,_calc!$A$2:$A$3000,$B$3,_calc!$C$2:$C$3000,J$6)=0,"",SUMIFS(_calc!$E$2:$E$3000,_calc!$AE$2:$AE$3000,$B99&amp;"|"&amp;$D99,_calc!$A$2:$A$3000,$B$3,_calc!$C$2:$C$3000,J$6)))</f>
        <v/>
      </c>
      <c r="K99" s="50" t="str">
        <f>IF(OR($B99="",K$6=""),"",IF(COUNTIFS(_calc!$AE$2:$AE$3000,$B99&amp;"|"&amp;$D99,_calc!$A$2:$A$3000,$B$3,_calc!$C$2:$C$3000,K$6)=0,"",SUMIFS(_calc!$E$2:$E$3000,_calc!$AE$2:$AE$3000,$B99&amp;"|"&amp;$D99,_calc!$A$2:$A$3000,$B$3,_calc!$C$2:$C$3000,K$6)))</f>
        <v/>
      </c>
      <c r="L99" s="50" t="str">
        <f>IF(OR($B99="",L$6=""),"",IF(COUNTIFS(_calc!$AE$2:$AE$3000,$B99&amp;"|"&amp;$D99,_calc!$A$2:$A$3000,$B$3,_calc!$C$2:$C$3000,L$6)=0,"",SUMIFS(_calc!$E$2:$E$3000,_calc!$AE$2:$AE$3000,$B99&amp;"|"&amp;$D99,_calc!$A$2:$A$3000,$B$3,_calc!$C$2:$C$3000,L$6)))</f>
        <v/>
      </c>
      <c r="M99" s="50" t="str">
        <f>IF(OR($B99="",M$6=""),"",IF(COUNTIFS(_calc!$AE$2:$AE$3000,$B99&amp;"|"&amp;$D99,_calc!$A$2:$A$3000,$B$3,_calc!$C$2:$C$3000,M$6)=0,"",SUMIFS(_calc!$E$2:$E$3000,_calc!$AE$2:$AE$3000,$B99&amp;"|"&amp;$D99,_calc!$A$2:$A$3000,$B$3,_calc!$C$2:$C$3000,M$6)))</f>
        <v/>
      </c>
      <c r="N99" s="50" t="str">
        <f>IF(OR($B99="",N$6=""),"",IF(COUNTIFS(_calc!$AE$2:$AE$3000,$B99&amp;"|"&amp;$D99,_calc!$A$2:$A$3000,$B$3,_calc!$C$2:$C$3000,N$6)=0,"",SUMIFS(_calc!$E$2:$E$3000,_calc!$AE$2:$AE$3000,$B99&amp;"|"&amp;$D99,_calc!$A$2:$A$3000,$B$3,_calc!$C$2:$C$3000,N$6)))</f>
        <v/>
      </c>
      <c r="O99" s="50" t="str">
        <f>IF(OR($B99="",O$6=""),"",IF(COUNTIFS(_calc!$AE$2:$AE$3000,$B99&amp;"|"&amp;$D99,_calc!$A$2:$A$3000,$B$3,_calc!$C$2:$C$3000,O$6)=0,"",SUMIFS(_calc!$E$2:$E$3000,_calc!$AE$2:$AE$3000,$B99&amp;"|"&amp;$D99,_calc!$A$2:$A$3000,$B$3,_calc!$C$2:$C$3000,O$6)))</f>
        <v/>
      </c>
      <c r="P99" s="50" t="str">
        <f>IF(OR($B99="",P$6=""),"",IF(COUNTIFS(_calc!$AE$2:$AE$3000,$B99&amp;"|"&amp;$D99,_calc!$A$2:$A$3000,$B$3,_calc!$C$2:$C$3000,P$6)=0,"",SUMIFS(_calc!$E$2:$E$3000,_calc!$AE$2:$AE$3000,$B99&amp;"|"&amp;$D99,_calc!$A$2:$A$3000,$B$3,_calc!$C$2:$C$3000,P$6)))</f>
        <v/>
      </c>
      <c r="Q99" s="50" t="str">
        <f>IF(OR($B99="",Q$6=""),"",IF(COUNTIFS(_calc!$AE$2:$AE$3000,$B99&amp;"|"&amp;$D99,_calc!$A$2:$A$3000,$B$3,_calc!$C$2:$C$3000,Q$6)=0,"",SUMIFS(_calc!$E$2:$E$3000,_calc!$AE$2:$AE$3000,$B99&amp;"|"&amp;$D99,_calc!$A$2:$A$3000,$B$3,_calc!$C$2:$C$3000,Q$6)))</f>
        <v/>
      </c>
      <c r="R99" s="50" t="str">
        <f>IF(OR($B99="",R$6=""),"",IF(COUNTIFS(_calc!$AE$2:$AE$3000,$B99&amp;"|"&amp;$D99,_calc!$A$2:$A$3000,$B$3,_calc!$C$2:$C$3000,R$6)=0,"",SUMIFS(_calc!$E$2:$E$3000,_calc!$AE$2:$AE$3000,$B99&amp;"|"&amp;$D99,_calc!$A$2:$A$3000,$B$3,_calc!$C$2:$C$3000,R$6)))</f>
        <v/>
      </c>
      <c r="S99" s="50" t="str">
        <f>IF(OR($B99="",S$6=""),"",IF(COUNTIFS(_calc!$AE$2:$AE$3000,$B99&amp;"|"&amp;$D99,_calc!$A$2:$A$3000,$B$3,_calc!$C$2:$C$3000,S$6)=0,"",SUMIFS(_calc!$E$2:$E$3000,_calc!$AE$2:$AE$3000,$B99&amp;"|"&amp;$D99,_calc!$A$2:$A$3000,$B$3,_calc!$C$2:$C$3000,S$6)))</f>
        <v/>
      </c>
      <c r="T99" s="50" t="str">
        <f>IF(OR($B99="",T$6=""),"",IF(COUNTIFS(_calc!$AE$2:$AE$3000,$B99&amp;"|"&amp;$D99,_calc!$A$2:$A$3000,$B$3,_calc!$C$2:$C$3000,T$6)=0,"",SUMIFS(_calc!$E$2:$E$3000,_calc!$AE$2:$AE$3000,$B99&amp;"|"&amp;$D99,_calc!$A$2:$A$3000,$B$3,_calc!$C$2:$C$3000,T$6)))</f>
        <v/>
      </c>
      <c r="U99" s="50" t="str">
        <f>IF(OR($B99="",U$6=""),"",IF(COUNTIFS(_calc!$AE$2:$AE$3000,$B99&amp;"|"&amp;$D99,_calc!$A$2:$A$3000,$B$3,_calc!$C$2:$C$3000,U$6)=0,"",SUMIFS(_calc!$E$2:$E$3000,_calc!$AE$2:$AE$3000,$B99&amp;"|"&amp;$D99,_calc!$A$2:$A$3000,$B$3,_calc!$C$2:$C$3000,U$6)))</f>
        <v/>
      </c>
      <c r="V99" s="50" t="str">
        <f>IF(OR($B99="",V$6=""),"",IF(COUNTIFS(_calc!$AE$2:$AE$3000,$B99&amp;"|"&amp;$D99,_calc!$A$2:$A$3000,$B$3,_calc!$C$2:$C$3000,V$6)=0,"",SUMIFS(_calc!$E$2:$E$3000,_calc!$AE$2:$AE$3000,$B99&amp;"|"&amp;$D99,_calc!$A$2:$A$3000,$B$3,_calc!$C$2:$C$3000,V$6)))</f>
        <v/>
      </c>
      <c r="W99" s="50" t="str">
        <f>IF(OR($B99="",W$6=""),"",IF(COUNTIFS(_calc!$AE$2:$AE$3000,$B99&amp;"|"&amp;$D99,_calc!$A$2:$A$3000,$B$3,_calc!$C$2:$C$3000,W$6)=0,"",SUMIFS(_calc!$E$2:$E$3000,_calc!$AE$2:$AE$3000,$B99&amp;"|"&amp;$D99,_calc!$A$2:$A$3000,$B$3,_calc!$C$2:$C$3000,W$6)))</f>
        <v/>
      </c>
      <c r="X99" s="50" t="str">
        <f>IF(OR($B99="",X$6=""),"",IF(COUNTIFS(_calc!$AE$2:$AE$3000,$B99&amp;"|"&amp;$D99,_calc!$A$2:$A$3000,$B$3,_calc!$C$2:$C$3000,X$6)=0,"",SUMIFS(_calc!$E$2:$E$3000,_calc!$AE$2:$AE$3000,$B99&amp;"|"&amp;$D99,_calc!$A$2:$A$3000,$B$3,_calc!$C$2:$C$3000,X$6)))</f>
        <v/>
      </c>
    </row>
    <row r="100" spans="1:24" x14ac:dyDescent="0.4">
      <c r="A100" s="48">
        <v>94</v>
      </c>
      <c r="B100" s="49" t="str">
        <f>IFERROR(INDEX(_calc!$I$2:$I$3000,MATCH($A100,_calc!$AB$2:$AB$3000,0)),"")</f>
        <v/>
      </c>
      <c r="C100" s="49" t="str">
        <f>IFERROR(INDEX(_calc!$H$2:$H$3000,MATCH($A100,_calc!$AB$2:$AB$3000,0)),"")</f>
        <v/>
      </c>
      <c r="D100" s="49" t="str">
        <f>IFERROR(INDEX(_calc!$K$2:$K$3000,MATCH($A100,_calc!$AB$2:$AB$3000,0)),"")</f>
        <v/>
      </c>
      <c r="E100" s="50" t="str">
        <f>IF(OR($B100="",E$6=""),"",IF(COUNTIFS(_calc!$AE$2:$AE$3000,$B100&amp;"|"&amp;$D100,_calc!$A$2:$A$3000,$B$3,_calc!$C$2:$C$3000,E$6)=0,"",SUMIFS(_calc!$E$2:$E$3000,_calc!$AE$2:$AE$3000,$B100&amp;"|"&amp;$D100,_calc!$A$2:$A$3000,$B$3,_calc!$C$2:$C$3000,E$6)))</f>
        <v/>
      </c>
      <c r="F100" s="50" t="str">
        <f>IF(OR($B100="",F$6=""),"",IF(COUNTIFS(_calc!$AE$2:$AE$3000,$B100&amp;"|"&amp;$D100,_calc!$A$2:$A$3000,$B$3,_calc!$C$2:$C$3000,F$6)=0,"",SUMIFS(_calc!$E$2:$E$3000,_calc!$AE$2:$AE$3000,$B100&amp;"|"&amp;$D100,_calc!$A$2:$A$3000,$B$3,_calc!$C$2:$C$3000,F$6)))</f>
        <v/>
      </c>
      <c r="G100" s="50" t="str">
        <f>IF(OR($B100="",G$6=""),"",IF(COUNTIFS(_calc!$AE$2:$AE$3000,$B100&amp;"|"&amp;$D100,_calc!$A$2:$A$3000,$B$3,_calc!$C$2:$C$3000,G$6)=0,"",SUMIFS(_calc!$E$2:$E$3000,_calc!$AE$2:$AE$3000,$B100&amp;"|"&amp;$D100,_calc!$A$2:$A$3000,$B$3,_calc!$C$2:$C$3000,G$6)))</f>
        <v/>
      </c>
      <c r="H100" s="50" t="str">
        <f>IF(OR($B100="",H$6=""),"",IF(COUNTIFS(_calc!$AE$2:$AE$3000,$B100&amp;"|"&amp;$D100,_calc!$A$2:$A$3000,$B$3,_calc!$C$2:$C$3000,H$6)=0,"",SUMIFS(_calc!$E$2:$E$3000,_calc!$AE$2:$AE$3000,$B100&amp;"|"&amp;$D100,_calc!$A$2:$A$3000,$B$3,_calc!$C$2:$C$3000,H$6)))</f>
        <v/>
      </c>
      <c r="I100" s="50" t="str">
        <f>IF(OR($B100="",I$6=""),"",IF(COUNTIFS(_calc!$AE$2:$AE$3000,$B100&amp;"|"&amp;$D100,_calc!$A$2:$A$3000,$B$3,_calc!$C$2:$C$3000,I$6)=0,"",SUMIFS(_calc!$E$2:$E$3000,_calc!$AE$2:$AE$3000,$B100&amp;"|"&amp;$D100,_calc!$A$2:$A$3000,$B$3,_calc!$C$2:$C$3000,I$6)))</f>
        <v/>
      </c>
      <c r="J100" s="50" t="str">
        <f>IF(OR($B100="",J$6=""),"",IF(COUNTIFS(_calc!$AE$2:$AE$3000,$B100&amp;"|"&amp;$D100,_calc!$A$2:$A$3000,$B$3,_calc!$C$2:$C$3000,J$6)=0,"",SUMIFS(_calc!$E$2:$E$3000,_calc!$AE$2:$AE$3000,$B100&amp;"|"&amp;$D100,_calc!$A$2:$A$3000,$B$3,_calc!$C$2:$C$3000,J$6)))</f>
        <v/>
      </c>
      <c r="K100" s="50" t="str">
        <f>IF(OR($B100="",K$6=""),"",IF(COUNTIFS(_calc!$AE$2:$AE$3000,$B100&amp;"|"&amp;$D100,_calc!$A$2:$A$3000,$B$3,_calc!$C$2:$C$3000,K$6)=0,"",SUMIFS(_calc!$E$2:$E$3000,_calc!$AE$2:$AE$3000,$B100&amp;"|"&amp;$D100,_calc!$A$2:$A$3000,$B$3,_calc!$C$2:$C$3000,K$6)))</f>
        <v/>
      </c>
      <c r="L100" s="50" t="str">
        <f>IF(OR($B100="",L$6=""),"",IF(COUNTIFS(_calc!$AE$2:$AE$3000,$B100&amp;"|"&amp;$D100,_calc!$A$2:$A$3000,$B$3,_calc!$C$2:$C$3000,L$6)=0,"",SUMIFS(_calc!$E$2:$E$3000,_calc!$AE$2:$AE$3000,$B100&amp;"|"&amp;$D100,_calc!$A$2:$A$3000,$B$3,_calc!$C$2:$C$3000,L$6)))</f>
        <v/>
      </c>
      <c r="M100" s="50" t="str">
        <f>IF(OR($B100="",M$6=""),"",IF(COUNTIFS(_calc!$AE$2:$AE$3000,$B100&amp;"|"&amp;$D100,_calc!$A$2:$A$3000,$B$3,_calc!$C$2:$C$3000,M$6)=0,"",SUMIFS(_calc!$E$2:$E$3000,_calc!$AE$2:$AE$3000,$B100&amp;"|"&amp;$D100,_calc!$A$2:$A$3000,$B$3,_calc!$C$2:$C$3000,M$6)))</f>
        <v/>
      </c>
      <c r="N100" s="50" t="str">
        <f>IF(OR($B100="",N$6=""),"",IF(COUNTIFS(_calc!$AE$2:$AE$3000,$B100&amp;"|"&amp;$D100,_calc!$A$2:$A$3000,$B$3,_calc!$C$2:$C$3000,N$6)=0,"",SUMIFS(_calc!$E$2:$E$3000,_calc!$AE$2:$AE$3000,$B100&amp;"|"&amp;$D100,_calc!$A$2:$A$3000,$B$3,_calc!$C$2:$C$3000,N$6)))</f>
        <v/>
      </c>
      <c r="O100" s="50" t="str">
        <f>IF(OR($B100="",O$6=""),"",IF(COUNTIFS(_calc!$AE$2:$AE$3000,$B100&amp;"|"&amp;$D100,_calc!$A$2:$A$3000,$B$3,_calc!$C$2:$C$3000,O$6)=0,"",SUMIFS(_calc!$E$2:$E$3000,_calc!$AE$2:$AE$3000,$B100&amp;"|"&amp;$D100,_calc!$A$2:$A$3000,$B$3,_calc!$C$2:$C$3000,O$6)))</f>
        <v/>
      </c>
      <c r="P100" s="50" t="str">
        <f>IF(OR($B100="",P$6=""),"",IF(COUNTIFS(_calc!$AE$2:$AE$3000,$B100&amp;"|"&amp;$D100,_calc!$A$2:$A$3000,$B$3,_calc!$C$2:$C$3000,P$6)=0,"",SUMIFS(_calc!$E$2:$E$3000,_calc!$AE$2:$AE$3000,$B100&amp;"|"&amp;$D100,_calc!$A$2:$A$3000,$B$3,_calc!$C$2:$C$3000,P$6)))</f>
        <v/>
      </c>
      <c r="Q100" s="50" t="str">
        <f>IF(OR($B100="",Q$6=""),"",IF(COUNTIFS(_calc!$AE$2:$AE$3000,$B100&amp;"|"&amp;$D100,_calc!$A$2:$A$3000,$B$3,_calc!$C$2:$C$3000,Q$6)=0,"",SUMIFS(_calc!$E$2:$E$3000,_calc!$AE$2:$AE$3000,$B100&amp;"|"&amp;$D100,_calc!$A$2:$A$3000,$B$3,_calc!$C$2:$C$3000,Q$6)))</f>
        <v/>
      </c>
      <c r="R100" s="50" t="str">
        <f>IF(OR($B100="",R$6=""),"",IF(COUNTIFS(_calc!$AE$2:$AE$3000,$B100&amp;"|"&amp;$D100,_calc!$A$2:$A$3000,$B$3,_calc!$C$2:$C$3000,R$6)=0,"",SUMIFS(_calc!$E$2:$E$3000,_calc!$AE$2:$AE$3000,$B100&amp;"|"&amp;$D100,_calc!$A$2:$A$3000,$B$3,_calc!$C$2:$C$3000,R$6)))</f>
        <v/>
      </c>
      <c r="S100" s="50" t="str">
        <f>IF(OR($B100="",S$6=""),"",IF(COUNTIFS(_calc!$AE$2:$AE$3000,$B100&amp;"|"&amp;$D100,_calc!$A$2:$A$3000,$B$3,_calc!$C$2:$C$3000,S$6)=0,"",SUMIFS(_calc!$E$2:$E$3000,_calc!$AE$2:$AE$3000,$B100&amp;"|"&amp;$D100,_calc!$A$2:$A$3000,$B$3,_calc!$C$2:$C$3000,S$6)))</f>
        <v/>
      </c>
      <c r="T100" s="50" t="str">
        <f>IF(OR($B100="",T$6=""),"",IF(COUNTIFS(_calc!$AE$2:$AE$3000,$B100&amp;"|"&amp;$D100,_calc!$A$2:$A$3000,$B$3,_calc!$C$2:$C$3000,T$6)=0,"",SUMIFS(_calc!$E$2:$E$3000,_calc!$AE$2:$AE$3000,$B100&amp;"|"&amp;$D100,_calc!$A$2:$A$3000,$B$3,_calc!$C$2:$C$3000,T$6)))</f>
        <v/>
      </c>
      <c r="U100" s="50" t="str">
        <f>IF(OR($B100="",U$6=""),"",IF(COUNTIFS(_calc!$AE$2:$AE$3000,$B100&amp;"|"&amp;$D100,_calc!$A$2:$A$3000,$B$3,_calc!$C$2:$C$3000,U$6)=0,"",SUMIFS(_calc!$E$2:$E$3000,_calc!$AE$2:$AE$3000,$B100&amp;"|"&amp;$D100,_calc!$A$2:$A$3000,$B$3,_calc!$C$2:$C$3000,U$6)))</f>
        <v/>
      </c>
      <c r="V100" s="50" t="str">
        <f>IF(OR($B100="",V$6=""),"",IF(COUNTIFS(_calc!$AE$2:$AE$3000,$B100&amp;"|"&amp;$D100,_calc!$A$2:$A$3000,$B$3,_calc!$C$2:$C$3000,V$6)=0,"",SUMIFS(_calc!$E$2:$E$3000,_calc!$AE$2:$AE$3000,$B100&amp;"|"&amp;$D100,_calc!$A$2:$A$3000,$B$3,_calc!$C$2:$C$3000,V$6)))</f>
        <v/>
      </c>
      <c r="W100" s="50" t="str">
        <f>IF(OR($B100="",W$6=""),"",IF(COUNTIFS(_calc!$AE$2:$AE$3000,$B100&amp;"|"&amp;$D100,_calc!$A$2:$A$3000,$B$3,_calc!$C$2:$C$3000,W$6)=0,"",SUMIFS(_calc!$E$2:$E$3000,_calc!$AE$2:$AE$3000,$B100&amp;"|"&amp;$D100,_calc!$A$2:$A$3000,$B$3,_calc!$C$2:$C$3000,W$6)))</f>
        <v/>
      </c>
      <c r="X100" s="50" t="str">
        <f>IF(OR($B100="",X$6=""),"",IF(COUNTIFS(_calc!$AE$2:$AE$3000,$B100&amp;"|"&amp;$D100,_calc!$A$2:$A$3000,$B$3,_calc!$C$2:$C$3000,X$6)=0,"",SUMIFS(_calc!$E$2:$E$3000,_calc!$AE$2:$AE$3000,$B100&amp;"|"&amp;$D100,_calc!$A$2:$A$3000,$B$3,_calc!$C$2:$C$3000,X$6)))</f>
        <v/>
      </c>
    </row>
    <row r="101" spans="1:24" x14ac:dyDescent="0.4">
      <c r="A101" s="48">
        <v>95</v>
      </c>
      <c r="B101" s="49" t="str">
        <f>IFERROR(INDEX(_calc!$I$2:$I$3000,MATCH($A101,_calc!$AB$2:$AB$3000,0)),"")</f>
        <v/>
      </c>
      <c r="C101" s="49" t="str">
        <f>IFERROR(INDEX(_calc!$H$2:$H$3000,MATCH($A101,_calc!$AB$2:$AB$3000,0)),"")</f>
        <v/>
      </c>
      <c r="D101" s="49" t="str">
        <f>IFERROR(INDEX(_calc!$K$2:$K$3000,MATCH($A101,_calc!$AB$2:$AB$3000,0)),"")</f>
        <v/>
      </c>
      <c r="E101" s="50" t="str">
        <f>IF(OR($B101="",E$6=""),"",IF(COUNTIFS(_calc!$AE$2:$AE$3000,$B101&amp;"|"&amp;$D101,_calc!$A$2:$A$3000,$B$3,_calc!$C$2:$C$3000,E$6)=0,"",SUMIFS(_calc!$E$2:$E$3000,_calc!$AE$2:$AE$3000,$B101&amp;"|"&amp;$D101,_calc!$A$2:$A$3000,$B$3,_calc!$C$2:$C$3000,E$6)))</f>
        <v/>
      </c>
      <c r="F101" s="50" t="str">
        <f>IF(OR($B101="",F$6=""),"",IF(COUNTIFS(_calc!$AE$2:$AE$3000,$B101&amp;"|"&amp;$D101,_calc!$A$2:$A$3000,$B$3,_calc!$C$2:$C$3000,F$6)=0,"",SUMIFS(_calc!$E$2:$E$3000,_calc!$AE$2:$AE$3000,$B101&amp;"|"&amp;$D101,_calc!$A$2:$A$3000,$B$3,_calc!$C$2:$C$3000,F$6)))</f>
        <v/>
      </c>
      <c r="G101" s="50" t="str">
        <f>IF(OR($B101="",G$6=""),"",IF(COUNTIFS(_calc!$AE$2:$AE$3000,$B101&amp;"|"&amp;$D101,_calc!$A$2:$A$3000,$B$3,_calc!$C$2:$C$3000,G$6)=0,"",SUMIFS(_calc!$E$2:$E$3000,_calc!$AE$2:$AE$3000,$B101&amp;"|"&amp;$D101,_calc!$A$2:$A$3000,$B$3,_calc!$C$2:$C$3000,G$6)))</f>
        <v/>
      </c>
      <c r="H101" s="50" t="str">
        <f>IF(OR($B101="",H$6=""),"",IF(COUNTIFS(_calc!$AE$2:$AE$3000,$B101&amp;"|"&amp;$D101,_calc!$A$2:$A$3000,$B$3,_calc!$C$2:$C$3000,H$6)=0,"",SUMIFS(_calc!$E$2:$E$3000,_calc!$AE$2:$AE$3000,$B101&amp;"|"&amp;$D101,_calc!$A$2:$A$3000,$B$3,_calc!$C$2:$C$3000,H$6)))</f>
        <v/>
      </c>
      <c r="I101" s="50" t="str">
        <f>IF(OR($B101="",I$6=""),"",IF(COUNTIFS(_calc!$AE$2:$AE$3000,$B101&amp;"|"&amp;$D101,_calc!$A$2:$A$3000,$B$3,_calc!$C$2:$C$3000,I$6)=0,"",SUMIFS(_calc!$E$2:$E$3000,_calc!$AE$2:$AE$3000,$B101&amp;"|"&amp;$D101,_calc!$A$2:$A$3000,$B$3,_calc!$C$2:$C$3000,I$6)))</f>
        <v/>
      </c>
      <c r="J101" s="50" t="str">
        <f>IF(OR($B101="",J$6=""),"",IF(COUNTIFS(_calc!$AE$2:$AE$3000,$B101&amp;"|"&amp;$D101,_calc!$A$2:$A$3000,$B$3,_calc!$C$2:$C$3000,J$6)=0,"",SUMIFS(_calc!$E$2:$E$3000,_calc!$AE$2:$AE$3000,$B101&amp;"|"&amp;$D101,_calc!$A$2:$A$3000,$B$3,_calc!$C$2:$C$3000,J$6)))</f>
        <v/>
      </c>
      <c r="K101" s="50" t="str">
        <f>IF(OR($B101="",K$6=""),"",IF(COUNTIFS(_calc!$AE$2:$AE$3000,$B101&amp;"|"&amp;$D101,_calc!$A$2:$A$3000,$B$3,_calc!$C$2:$C$3000,K$6)=0,"",SUMIFS(_calc!$E$2:$E$3000,_calc!$AE$2:$AE$3000,$B101&amp;"|"&amp;$D101,_calc!$A$2:$A$3000,$B$3,_calc!$C$2:$C$3000,K$6)))</f>
        <v/>
      </c>
      <c r="L101" s="50" t="str">
        <f>IF(OR($B101="",L$6=""),"",IF(COUNTIFS(_calc!$AE$2:$AE$3000,$B101&amp;"|"&amp;$D101,_calc!$A$2:$A$3000,$B$3,_calc!$C$2:$C$3000,L$6)=0,"",SUMIFS(_calc!$E$2:$E$3000,_calc!$AE$2:$AE$3000,$B101&amp;"|"&amp;$D101,_calc!$A$2:$A$3000,$B$3,_calc!$C$2:$C$3000,L$6)))</f>
        <v/>
      </c>
      <c r="M101" s="50" t="str">
        <f>IF(OR($B101="",M$6=""),"",IF(COUNTIFS(_calc!$AE$2:$AE$3000,$B101&amp;"|"&amp;$D101,_calc!$A$2:$A$3000,$B$3,_calc!$C$2:$C$3000,M$6)=0,"",SUMIFS(_calc!$E$2:$E$3000,_calc!$AE$2:$AE$3000,$B101&amp;"|"&amp;$D101,_calc!$A$2:$A$3000,$B$3,_calc!$C$2:$C$3000,M$6)))</f>
        <v/>
      </c>
      <c r="N101" s="50" t="str">
        <f>IF(OR($B101="",N$6=""),"",IF(COUNTIFS(_calc!$AE$2:$AE$3000,$B101&amp;"|"&amp;$D101,_calc!$A$2:$A$3000,$B$3,_calc!$C$2:$C$3000,N$6)=0,"",SUMIFS(_calc!$E$2:$E$3000,_calc!$AE$2:$AE$3000,$B101&amp;"|"&amp;$D101,_calc!$A$2:$A$3000,$B$3,_calc!$C$2:$C$3000,N$6)))</f>
        <v/>
      </c>
      <c r="O101" s="50" t="str">
        <f>IF(OR($B101="",O$6=""),"",IF(COUNTIFS(_calc!$AE$2:$AE$3000,$B101&amp;"|"&amp;$D101,_calc!$A$2:$A$3000,$B$3,_calc!$C$2:$C$3000,O$6)=0,"",SUMIFS(_calc!$E$2:$E$3000,_calc!$AE$2:$AE$3000,$B101&amp;"|"&amp;$D101,_calc!$A$2:$A$3000,$B$3,_calc!$C$2:$C$3000,O$6)))</f>
        <v/>
      </c>
      <c r="P101" s="50" t="str">
        <f>IF(OR($B101="",P$6=""),"",IF(COUNTIFS(_calc!$AE$2:$AE$3000,$B101&amp;"|"&amp;$D101,_calc!$A$2:$A$3000,$B$3,_calc!$C$2:$C$3000,P$6)=0,"",SUMIFS(_calc!$E$2:$E$3000,_calc!$AE$2:$AE$3000,$B101&amp;"|"&amp;$D101,_calc!$A$2:$A$3000,$B$3,_calc!$C$2:$C$3000,P$6)))</f>
        <v/>
      </c>
      <c r="Q101" s="50" t="str">
        <f>IF(OR($B101="",Q$6=""),"",IF(COUNTIFS(_calc!$AE$2:$AE$3000,$B101&amp;"|"&amp;$D101,_calc!$A$2:$A$3000,$B$3,_calc!$C$2:$C$3000,Q$6)=0,"",SUMIFS(_calc!$E$2:$E$3000,_calc!$AE$2:$AE$3000,$B101&amp;"|"&amp;$D101,_calc!$A$2:$A$3000,$B$3,_calc!$C$2:$C$3000,Q$6)))</f>
        <v/>
      </c>
      <c r="R101" s="50" t="str">
        <f>IF(OR($B101="",R$6=""),"",IF(COUNTIFS(_calc!$AE$2:$AE$3000,$B101&amp;"|"&amp;$D101,_calc!$A$2:$A$3000,$B$3,_calc!$C$2:$C$3000,R$6)=0,"",SUMIFS(_calc!$E$2:$E$3000,_calc!$AE$2:$AE$3000,$B101&amp;"|"&amp;$D101,_calc!$A$2:$A$3000,$B$3,_calc!$C$2:$C$3000,R$6)))</f>
        <v/>
      </c>
      <c r="S101" s="50" t="str">
        <f>IF(OR($B101="",S$6=""),"",IF(COUNTIFS(_calc!$AE$2:$AE$3000,$B101&amp;"|"&amp;$D101,_calc!$A$2:$A$3000,$B$3,_calc!$C$2:$C$3000,S$6)=0,"",SUMIFS(_calc!$E$2:$E$3000,_calc!$AE$2:$AE$3000,$B101&amp;"|"&amp;$D101,_calc!$A$2:$A$3000,$B$3,_calc!$C$2:$C$3000,S$6)))</f>
        <v/>
      </c>
      <c r="T101" s="50" t="str">
        <f>IF(OR($B101="",T$6=""),"",IF(COUNTIFS(_calc!$AE$2:$AE$3000,$B101&amp;"|"&amp;$D101,_calc!$A$2:$A$3000,$B$3,_calc!$C$2:$C$3000,T$6)=0,"",SUMIFS(_calc!$E$2:$E$3000,_calc!$AE$2:$AE$3000,$B101&amp;"|"&amp;$D101,_calc!$A$2:$A$3000,$B$3,_calc!$C$2:$C$3000,T$6)))</f>
        <v/>
      </c>
      <c r="U101" s="50" t="str">
        <f>IF(OR($B101="",U$6=""),"",IF(COUNTIFS(_calc!$AE$2:$AE$3000,$B101&amp;"|"&amp;$D101,_calc!$A$2:$A$3000,$B$3,_calc!$C$2:$C$3000,U$6)=0,"",SUMIFS(_calc!$E$2:$E$3000,_calc!$AE$2:$AE$3000,$B101&amp;"|"&amp;$D101,_calc!$A$2:$A$3000,$B$3,_calc!$C$2:$C$3000,U$6)))</f>
        <v/>
      </c>
      <c r="V101" s="50" t="str">
        <f>IF(OR($B101="",V$6=""),"",IF(COUNTIFS(_calc!$AE$2:$AE$3000,$B101&amp;"|"&amp;$D101,_calc!$A$2:$A$3000,$B$3,_calc!$C$2:$C$3000,V$6)=0,"",SUMIFS(_calc!$E$2:$E$3000,_calc!$AE$2:$AE$3000,$B101&amp;"|"&amp;$D101,_calc!$A$2:$A$3000,$B$3,_calc!$C$2:$C$3000,V$6)))</f>
        <v/>
      </c>
      <c r="W101" s="50" t="str">
        <f>IF(OR($B101="",W$6=""),"",IF(COUNTIFS(_calc!$AE$2:$AE$3000,$B101&amp;"|"&amp;$D101,_calc!$A$2:$A$3000,$B$3,_calc!$C$2:$C$3000,W$6)=0,"",SUMIFS(_calc!$E$2:$E$3000,_calc!$AE$2:$AE$3000,$B101&amp;"|"&amp;$D101,_calc!$A$2:$A$3000,$B$3,_calc!$C$2:$C$3000,W$6)))</f>
        <v/>
      </c>
      <c r="X101" s="50" t="str">
        <f>IF(OR($B101="",X$6=""),"",IF(COUNTIFS(_calc!$AE$2:$AE$3000,$B101&amp;"|"&amp;$D101,_calc!$A$2:$A$3000,$B$3,_calc!$C$2:$C$3000,X$6)=0,"",SUMIFS(_calc!$E$2:$E$3000,_calc!$AE$2:$AE$3000,$B101&amp;"|"&amp;$D101,_calc!$A$2:$A$3000,$B$3,_calc!$C$2:$C$3000,X$6)))</f>
        <v/>
      </c>
    </row>
    <row r="102" spans="1:24" x14ac:dyDescent="0.4">
      <c r="A102" s="48">
        <v>96</v>
      </c>
      <c r="B102" s="49" t="str">
        <f>IFERROR(INDEX(_calc!$I$2:$I$3000,MATCH($A102,_calc!$AB$2:$AB$3000,0)),"")</f>
        <v/>
      </c>
      <c r="C102" s="49" t="str">
        <f>IFERROR(INDEX(_calc!$H$2:$H$3000,MATCH($A102,_calc!$AB$2:$AB$3000,0)),"")</f>
        <v/>
      </c>
      <c r="D102" s="49" t="str">
        <f>IFERROR(INDEX(_calc!$K$2:$K$3000,MATCH($A102,_calc!$AB$2:$AB$3000,0)),"")</f>
        <v/>
      </c>
      <c r="E102" s="50" t="str">
        <f>IF(OR($B102="",E$6=""),"",IF(COUNTIFS(_calc!$AE$2:$AE$3000,$B102&amp;"|"&amp;$D102,_calc!$A$2:$A$3000,$B$3,_calc!$C$2:$C$3000,E$6)=0,"",SUMIFS(_calc!$E$2:$E$3000,_calc!$AE$2:$AE$3000,$B102&amp;"|"&amp;$D102,_calc!$A$2:$A$3000,$B$3,_calc!$C$2:$C$3000,E$6)))</f>
        <v/>
      </c>
      <c r="F102" s="50" t="str">
        <f>IF(OR($B102="",F$6=""),"",IF(COUNTIFS(_calc!$AE$2:$AE$3000,$B102&amp;"|"&amp;$D102,_calc!$A$2:$A$3000,$B$3,_calc!$C$2:$C$3000,F$6)=0,"",SUMIFS(_calc!$E$2:$E$3000,_calc!$AE$2:$AE$3000,$B102&amp;"|"&amp;$D102,_calc!$A$2:$A$3000,$B$3,_calc!$C$2:$C$3000,F$6)))</f>
        <v/>
      </c>
      <c r="G102" s="50" t="str">
        <f>IF(OR($B102="",G$6=""),"",IF(COUNTIFS(_calc!$AE$2:$AE$3000,$B102&amp;"|"&amp;$D102,_calc!$A$2:$A$3000,$B$3,_calc!$C$2:$C$3000,G$6)=0,"",SUMIFS(_calc!$E$2:$E$3000,_calc!$AE$2:$AE$3000,$B102&amp;"|"&amp;$D102,_calc!$A$2:$A$3000,$B$3,_calc!$C$2:$C$3000,G$6)))</f>
        <v/>
      </c>
      <c r="H102" s="50" t="str">
        <f>IF(OR($B102="",H$6=""),"",IF(COUNTIFS(_calc!$AE$2:$AE$3000,$B102&amp;"|"&amp;$D102,_calc!$A$2:$A$3000,$B$3,_calc!$C$2:$C$3000,H$6)=0,"",SUMIFS(_calc!$E$2:$E$3000,_calc!$AE$2:$AE$3000,$B102&amp;"|"&amp;$D102,_calc!$A$2:$A$3000,$B$3,_calc!$C$2:$C$3000,H$6)))</f>
        <v/>
      </c>
      <c r="I102" s="50" t="str">
        <f>IF(OR($B102="",I$6=""),"",IF(COUNTIFS(_calc!$AE$2:$AE$3000,$B102&amp;"|"&amp;$D102,_calc!$A$2:$A$3000,$B$3,_calc!$C$2:$C$3000,I$6)=0,"",SUMIFS(_calc!$E$2:$E$3000,_calc!$AE$2:$AE$3000,$B102&amp;"|"&amp;$D102,_calc!$A$2:$A$3000,$B$3,_calc!$C$2:$C$3000,I$6)))</f>
        <v/>
      </c>
      <c r="J102" s="50" t="str">
        <f>IF(OR($B102="",J$6=""),"",IF(COUNTIFS(_calc!$AE$2:$AE$3000,$B102&amp;"|"&amp;$D102,_calc!$A$2:$A$3000,$B$3,_calc!$C$2:$C$3000,J$6)=0,"",SUMIFS(_calc!$E$2:$E$3000,_calc!$AE$2:$AE$3000,$B102&amp;"|"&amp;$D102,_calc!$A$2:$A$3000,$B$3,_calc!$C$2:$C$3000,J$6)))</f>
        <v/>
      </c>
      <c r="K102" s="50" t="str">
        <f>IF(OR($B102="",K$6=""),"",IF(COUNTIFS(_calc!$AE$2:$AE$3000,$B102&amp;"|"&amp;$D102,_calc!$A$2:$A$3000,$B$3,_calc!$C$2:$C$3000,K$6)=0,"",SUMIFS(_calc!$E$2:$E$3000,_calc!$AE$2:$AE$3000,$B102&amp;"|"&amp;$D102,_calc!$A$2:$A$3000,$B$3,_calc!$C$2:$C$3000,K$6)))</f>
        <v/>
      </c>
      <c r="L102" s="50" t="str">
        <f>IF(OR($B102="",L$6=""),"",IF(COUNTIFS(_calc!$AE$2:$AE$3000,$B102&amp;"|"&amp;$D102,_calc!$A$2:$A$3000,$B$3,_calc!$C$2:$C$3000,L$6)=0,"",SUMIFS(_calc!$E$2:$E$3000,_calc!$AE$2:$AE$3000,$B102&amp;"|"&amp;$D102,_calc!$A$2:$A$3000,$B$3,_calc!$C$2:$C$3000,L$6)))</f>
        <v/>
      </c>
      <c r="M102" s="50" t="str">
        <f>IF(OR($B102="",M$6=""),"",IF(COUNTIFS(_calc!$AE$2:$AE$3000,$B102&amp;"|"&amp;$D102,_calc!$A$2:$A$3000,$B$3,_calc!$C$2:$C$3000,M$6)=0,"",SUMIFS(_calc!$E$2:$E$3000,_calc!$AE$2:$AE$3000,$B102&amp;"|"&amp;$D102,_calc!$A$2:$A$3000,$B$3,_calc!$C$2:$C$3000,M$6)))</f>
        <v/>
      </c>
      <c r="N102" s="50" t="str">
        <f>IF(OR($B102="",N$6=""),"",IF(COUNTIFS(_calc!$AE$2:$AE$3000,$B102&amp;"|"&amp;$D102,_calc!$A$2:$A$3000,$B$3,_calc!$C$2:$C$3000,N$6)=0,"",SUMIFS(_calc!$E$2:$E$3000,_calc!$AE$2:$AE$3000,$B102&amp;"|"&amp;$D102,_calc!$A$2:$A$3000,$B$3,_calc!$C$2:$C$3000,N$6)))</f>
        <v/>
      </c>
      <c r="O102" s="50" t="str">
        <f>IF(OR($B102="",O$6=""),"",IF(COUNTIFS(_calc!$AE$2:$AE$3000,$B102&amp;"|"&amp;$D102,_calc!$A$2:$A$3000,$B$3,_calc!$C$2:$C$3000,O$6)=0,"",SUMIFS(_calc!$E$2:$E$3000,_calc!$AE$2:$AE$3000,$B102&amp;"|"&amp;$D102,_calc!$A$2:$A$3000,$B$3,_calc!$C$2:$C$3000,O$6)))</f>
        <v/>
      </c>
      <c r="P102" s="50" t="str">
        <f>IF(OR($B102="",P$6=""),"",IF(COUNTIFS(_calc!$AE$2:$AE$3000,$B102&amp;"|"&amp;$D102,_calc!$A$2:$A$3000,$B$3,_calc!$C$2:$C$3000,P$6)=0,"",SUMIFS(_calc!$E$2:$E$3000,_calc!$AE$2:$AE$3000,$B102&amp;"|"&amp;$D102,_calc!$A$2:$A$3000,$B$3,_calc!$C$2:$C$3000,P$6)))</f>
        <v/>
      </c>
      <c r="Q102" s="50" t="str">
        <f>IF(OR($B102="",Q$6=""),"",IF(COUNTIFS(_calc!$AE$2:$AE$3000,$B102&amp;"|"&amp;$D102,_calc!$A$2:$A$3000,$B$3,_calc!$C$2:$C$3000,Q$6)=0,"",SUMIFS(_calc!$E$2:$E$3000,_calc!$AE$2:$AE$3000,$B102&amp;"|"&amp;$D102,_calc!$A$2:$A$3000,$B$3,_calc!$C$2:$C$3000,Q$6)))</f>
        <v/>
      </c>
      <c r="R102" s="50" t="str">
        <f>IF(OR($B102="",R$6=""),"",IF(COUNTIFS(_calc!$AE$2:$AE$3000,$B102&amp;"|"&amp;$D102,_calc!$A$2:$A$3000,$B$3,_calc!$C$2:$C$3000,R$6)=0,"",SUMIFS(_calc!$E$2:$E$3000,_calc!$AE$2:$AE$3000,$B102&amp;"|"&amp;$D102,_calc!$A$2:$A$3000,$B$3,_calc!$C$2:$C$3000,R$6)))</f>
        <v/>
      </c>
      <c r="S102" s="50" t="str">
        <f>IF(OR($B102="",S$6=""),"",IF(COUNTIFS(_calc!$AE$2:$AE$3000,$B102&amp;"|"&amp;$D102,_calc!$A$2:$A$3000,$B$3,_calc!$C$2:$C$3000,S$6)=0,"",SUMIFS(_calc!$E$2:$E$3000,_calc!$AE$2:$AE$3000,$B102&amp;"|"&amp;$D102,_calc!$A$2:$A$3000,$B$3,_calc!$C$2:$C$3000,S$6)))</f>
        <v/>
      </c>
      <c r="T102" s="50" t="str">
        <f>IF(OR($B102="",T$6=""),"",IF(COUNTIFS(_calc!$AE$2:$AE$3000,$B102&amp;"|"&amp;$D102,_calc!$A$2:$A$3000,$B$3,_calc!$C$2:$C$3000,T$6)=0,"",SUMIFS(_calc!$E$2:$E$3000,_calc!$AE$2:$AE$3000,$B102&amp;"|"&amp;$D102,_calc!$A$2:$A$3000,$B$3,_calc!$C$2:$C$3000,T$6)))</f>
        <v/>
      </c>
      <c r="U102" s="50" t="str">
        <f>IF(OR($B102="",U$6=""),"",IF(COUNTIFS(_calc!$AE$2:$AE$3000,$B102&amp;"|"&amp;$D102,_calc!$A$2:$A$3000,$B$3,_calc!$C$2:$C$3000,U$6)=0,"",SUMIFS(_calc!$E$2:$E$3000,_calc!$AE$2:$AE$3000,$B102&amp;"|"&amp;$D102,_calc!$A$2:$A$3000,$B$3,_calc!$C$2:$C$3000,U$6)))</f>
        <v/>
      </c>
      <c r="V102" s="50" t="str">
        <f>IF(OR($B102="",V$6=""),"",IF(COUNTIFS(_calc!$AE$2:$AE$3000,$B102&amp;"|"&amp;$D102,_calc!$A$2:$A$3000,$B$3,_calc!$C$2:$C$3000,V$6)=0,"",SUMIFS(_calc!$E$2:$E$3000,_calc!$AE$2:$AE$3000,$B102&amp;"|"&amp;$D102,_calc!$A$2:$A$3000,$B$3,_calc!$C$2:$C$3000,V$6)))</f>
        <v/>
      </c>
      <c r="W102" s="50" t="str">
        <f>IF(OR($B102="",W$6=""),"",IF(COUNTIFS(_calc!$AE$2:$AE$3000,$B102&amp;"|"&amp;$D102,_calc!$A$2:$A$3000,$B$3,_calc!$C$2:$C$3000,W$6)=0,"",SUMIFS(_calc!$E$2:$E$3000,_calc!$AE$2:$AE$3000,$B102&amp;"|"&amp;$D102,_calc!$A$2:$A$3000,$B$3,_calc!$C$2:$C$3000,W$6)))</f>
        <v/>
      </c>
      <c r="X102" s="50" t="str">
        <f>IF(OR($B102="",X$6=""),"",IF(COUNTIFS(_calc!$AE$2:$AE$3000,$B102&amp;"|"&amp;$D102,_calc!$A$2:$A$3000,$B$3,_calc!$C$2:$C$3000,X$6)=0,"",SUMIFS(_calc!$E$2:$E$3000,_calc!$AE$2:$AE$3000,$B102&amp;"|"&amp;$D102,_calc!$A$2:$A$3000,$B$3,_calc!$C$2:$C$3000,X$6)))</f>
        <v/>
      </c>
    </row>
    <row r="103" spans="1:24" x14ac:dyDescent="0.4">
      <c r="A103" s="48">
        <v>97</v>
      </c>
      <c r="B103" s="49" t="str">
        <f>IFERROR(INDEX(_calc!$I$2:$I$3000,MATCH($A103,_calc!$AB$2:$AB$3000,0)),"")</f>
        <v/>
      </c>
      <c r="C103" s="49" t="str">
        <f>IFERROR(INDEX(_calc!$H$2:$H$3000,MATCH($A103,_calc!$AB$2:$AB$3000,0)),"")</f>
        <v/>
      </c>
      <c r="D103" s="49" t="str">
        <f>IFERROR(INDEX(_calc!$K$2:$K$3000,MATCH($A103,_calc!$AB$2:$AB$3000,0)),"")</f>
        <v/>
      </c>
      <c r="E103" s="50" t="str">
        <f>IF(OR($B103="",E$6=""),"",IF(COUNTIFS(_calc!$AE$2:$AE$3000,$B103&amp;"|"&amp;$D103,_calc!$A$2:$A$3000,$B$3,_calc!$C$2:$C$3000,E$6)=0,"",SUMIFS(_calc!$E$2:$E$3000,_calc!$AE$2:$AE$3000,$B103&amp;"|"&amp;$D103,_calc!$A$2:$A$3000,$B$3,_calc!$C$2:$C$3000,E$6)))</f>
        <v/>
      </c>
      <c r="F103" s="50" t="str">
        <f>IF(OR($B103="",F$6=""),"",IF(COUNTIFS(_calc!$AE$2:$AE$3000,$B103&amp;"|"&amp;$D103,_calc!$A$2:$A$3000,$B$3,_calc!$C$2:$C$3000,F$6)=0,"",SUMIFS(_calc!$E$2:$E$3000,_calc!$AE$2:$AE$3000,$B103&amp;"|"&amp;$D103,_calc!$A$2:$A$3000,$B$3,_calc!$C$2:$C$3000,F$6)))</f>
        <v/>
      </c>
      <c r="G103" s="50" t="str">
        <f>IF(OR($B103="",G$6=""),"",IF(COUNTIFS(_calc!$AE$2:$AE$3000,$B103&amp;"|"&amp;$D103,_calc!$A$2:$A$3000,$B$3,_calc!$C$2:$C$3000,G$6)=0,"",SUMIFS(_calc!$E$2:$E$3000,_calc!$AE$2:$AE$3000,$B103&amp;"|"&amp;$D103,_calc!$A$2:$A$3000,$B$3,_calc!$C$2:$C$3000,G$6)))</f>
        <v/>
      </c>
      <c r="H103" s="50" t="str">
        <f>IF(OR($B103="",H$6=""),"",IF(COUNTIFS(_calc!$AE$2:$AE$3000,$B103&amp;"|"&amp;$D103,_calc!$A$2:$A$3000,$B$3,_calc!$C$2:$C$3000,H$6)=0,"",SUMIFS(_calc!$E$2:$E$3000,_calc!$AE$2:$AE$3000,$B103&amp;"|"&amp;$D103,_calc!$A$2:$A$3000,$B$3,_calc!$C$2:$C$3000,H$6)))</f>
        <v/>
      </c>
      <c r="I103" s="50" t="str">
        <f>IF(OR($B103="",I$6=""),"",IF(COUNTIFS(_calc!$AE$2:$AE$3000,$B103&amp;"|"&amp;$D103,_calc!$A$2:$A$3000,$B$3,_calc!$C$2:$C$3000,I$6)=0,"",SUMIFS(_calc!$E$2:$E$3000,_calc!$AE$2:$AE$3000,$B103&amp;"|"&amp;$D103,_calc!$A$2:$A$3000,$B$3,_calc!$C$2:$C$3000,I$6)))</f>
        <v/>
      </c>
      <c r="J103" s="50" t="str">
        <f>IF(OR($B103="",J$6=""),"",IF(COUNTIFS(_calc!$AE$2:$AE$3000,$B103&amp;"|"&amp;$D103,_calc!$A$2:$A$3000,$B$3,_calc!$C$2:$C$3000,J$6)=0,"",SUMIFS(_calc!$E$2:$E$3000,_calc!$AE$2:$AE$3000,$B103&amp;"|"&amp;$D103,_calc!$A$2:$A$3000,$B$3,_calc!$C$2:$C$3000,J$6)))</f>
        <v/>
      </c>
      <c r="K103" s="50" t="str">
        <f>IF(OR($B103="",K$6=""),"",IF(COUNTIFS(_calc!$AE$2:$AE$3000,$B103&amp;"|"&amp;$D103,_calc!$A$2:$A$3000,$B$3,_calc!$C$2:$C$3000,K$6)=0,"",SUMIFS(_calc!$E$2:$E$3000,_calc!$AE$2:$AE$3000,$B103&amp;"|"&amp;$D103,_calc!$A$2:$A$3000,$B$3,_calc!$C$2:$C$3000,K$6)))</f>
        <v/>
      </c>
      <c r="L103" s="50" t="str">
        <f>IF(OR($B103="",L$6=""),"",IF(COUNTIFS(_calc!$AE$2:$AE$3000,$B103&amp;"|"&amp;$D103,_calc!$A$2:$A$3000,$B$3,_calc!$C$2:$C$3000,L$6)=0,"",SUMIFS(_calc!$E$2:$E$3000,_calc!$AE$2:$AE$3000,$B103&amp;"|"&amp;$D103,_calc!$A$2:$A$3000,$B$3,_calc!$C$2:$C$3000,L$6)))</f>
        <v/>
      </c>
      <c r="M103" s="50" t="str">
        <f>IF(OR($B103="",M$6=""),"",IF(COUNTIFS(_calc!$AE$2:$AE$3000,$B103&amp;"|"&amp;$D103,_calc!$A$2:$A$3000,$B$3,_calc!$C$2:$C$3000,M$6)=0,"",SUMIFS(_calc!$E$2:$E$3000,_calc!$AE$2:$AE$3000,$B103&amp;"|"&amp;$D103,_calc!$A$2:$A$3000,$B$3,_calc!$C$2:$C$3000,M$6)))</f>
        <v/>
      </c>
      <c r="N103" s="50" t="str">
        <f>IF(OR($B103="",N$6=""),"",IF(COUNTIFS(_calc!$AE$2:$AE$3000,$B103&amp;"|"&amp;$D103,_calc!$A$2:$A$3000,$B$3,_calc!$C$2:$C$3000,N$6)=0,"",SUMIFS(_calc!$E$2:$E$3000,_calc!$AE$2:$AE$3000,$B103&amp;"|"&amp;$D103,_calc!$A$2:$A$3000,$B$3,_calc!$C$2:$C$3000,N$6)))</f>
        <v/>
      </c>
      <c r="O103" s="50" t="str">
        <f>IF(OR($B103="",O$6=""),"",IF(COUNTIFS(_calc!$AE$2:$AE$3000,$B103&amp;"|"&amp;$D103,_calc!$A$2:$A$3000,$B$3,_calc!$C$2:$C$3000,O$6)=0,"",SUMIFS(_calc!$E$2:$E$3000,_calc!$AE$2:$AE$3000,$B103&amp;"|"&amp;$D103,_calc!$A$2:$A$3000,$B$3,_calc!$C$2:$C$3000,O$6)))</f>
        <v/>
      </c>
      <c r="P103" s="50" t="str">
        <f>IF(OR($B103="",P$6=""),"",IF(COUNTIFS(_calc!$AE$2:$AE$3000,$B103&amp;"|"&amp;$D103,_calc!$A$2:$A$3000,$B$3,_calc!$C$2:$C$3000,P$6)=0,"",SUMIFS(_calc!$E$2:$E$3000,_calc!$AE$2:$AE$3000,$B103&amp;"|"&amp;$D103,_calc!$A$2:$A$3000,$B$3,_calc!$C$2:$C$3000,P$6)))</f>
        <v/>
      </c>
      <c r="Q103" s="50" t="str">
        <f>IF(OR($B103="",Q$6=""),"",IF(COUNTIFS(_calc!$AE$2:$AE$3000,$B103&amp;"|"&amp;$D103,_calc!$A$2:$A$3000,$B$3,_calc!$C$2:$C$3000,Q$6)=0,"",SUMIFS(_calc!$E$2:$E$3000,_calc!$AE$2:$AE$3000,$B103&amp;"|"&amp;$D103,_calc!$A$2:$A$3000,$B$3,_calc!$C$2:$C$3000,Q$6)))</f>
        <v/>
      </c>
      <c r="R103" s="50" t="str">
        <f>IF(OR($B103="",R$6=""),"",IF(COUNTIFS(_calc!$AE$2:$AE$3000,$B103&amp;"|"&amp;$D103,_calc!$A$2:$A$3000,$B$3,_calc!$C$2:$C$3000,R$6)=0,"",SUMIFS(_calc!$E$2:$E$3000,_calc!$AE$2:$AE$3000,$B103&amp;"|"&amp;$D103,_calc!$A$2:$A$3000,$B$3,_calc!$C$2:$C$3000,R$6)))</f>
        <v/>
      </c>
      <c r="S103" s="50" t="str">
        <f>IF(OR($B103="",S$6=""),"",IF(COUNTIFS(_calc!$AE$2:$AE$3000,$B103&amp;"|"&amp;$D103,_calc!$A$2:$A$3000,$B$3,_calc!$C$2:$C$3000,S$6)=0,"",SUMIFS(_calc!$E$2:$E$3000,_calc!$AE$2:$AE$3000,$B103&amp;"|"&amp;$D103,_calc!$A$2:$A$3000,$B$3,_calc!$C$2:$C$3000,S$6)))</f>
        <v/>
      </c>
      <c r="T103" s="50" t="str">
        <f>IF(OR($B103="",T$6=""),"",IF(COUNTIFS(_calc!$AE$2:$AE$3000,$B103&amp;"|"&amp;$D103,_calc!$A$2:$A$3000,$B$3,_calc!$C$2:$C$3000,T$6)=0,"",SUMIFS(_calc!$E$2:$E$3000,_calc!$AE$2:$AE$3000,$B103&amp;"|"&amp;$D103,_calc!$A$2:$A$3000,$B$3,_calc!$C$2:$C$3000,T$6)))</f>
        <v/>
      </c>
      <c r="U103" s="50" t="str">
        <f>IF(OR($B103="",U$6=""),"",IF(COUNTIFS(_calc!$AE$2:$AE$3000,$B103&amp;"|"&amp;$D103,_calc!$A$2:$A$3000,$B$3,_calc!$C$2:$C$3000,U$6)=0,"",SUMIFS(_calc!$E$2:$E$3000,_calc!$AE$2:$AE$3000,$B103&amp;"|"&amp;$D103,_calc!$A$2:$A$3000,$B$3,_calc!$C$2:$C$3000,U$6)))</f>
        <v/>
      </c>
      <c r="V103" s="50" t="str">
        <f>IF(OR($B103="",V$6=""),"",IF(COUNTIFS(_calc!$AE$2:$AE$3000,$B103&amp;"|"&amp;$D103,_calc!$A$2:$A$3000,$B$3,_calc!$C$2:$C$3000,V$6)=0,"",SUMIFS(_calc!$E$2:$E$3000,_calc!$AE$2:$AE$3000,$B103&amp;"|"&amp;$D103,_calc!$A$2:$A$3000,$B$3,_calc!$C$2:$C$3000,V$6)))</f>
        <v/>
      </c>
      <c r="W103" s="50" t="str">
        <f>IF(OR($B103="",W$6=""),"",IF(COUNTIFS(_calc!$AE$2:$AE$3000,$B103&amp;"|"&amp;$D103,_calc!$A$2:$A$3000,$B$3,_calc!$C$2:$C$3000,W$6)=0,"",SUMIFS(_calc!$E$2:$E$3000,_calc!$AE$2:$AE$3000,$B103&amp;"|"&amp;$D103,_calc!$A$2:$A$3000,$B$3,_calc!$C$2:$C$3000,W$6)))</f>
        <v/>
      </c>
      <c r="X103" s="50" t="str">
        <f>IF(OR($B103="",X$6=""),"",IF(COUNTIFS(_calc!$AE$2:$AE$3000,$B103&amp;"|"&amp;$D103,_calc!$A$2:$A$3000,$B$3,_calc!$C$2:$C$3000,X$6)=0,"",SUMIFS(_calc!$E$2:$E$3000,_calc!$AE$2:$AE$3000,$B103&amp;"|"&amp;$D103,_calc!$A$2:$A$3000,$B$3,_calc!$C$2:$C$3000,X$6)))</f>
        <v/>
      </c>
    </row>
    <row r="104" spans="1:24" x14ac:dyDescent="0.4">
      <c r="A104" s="48">
        <v>98</v>
      </c>
      <c r="B104" s="49" t="str">
        <f>IFERROR(INDEX(_calc!$I$2:$I$3000,MATCH($A104,_calc!$AB$2:$AB$3000,0)),"")</f>
        <v/>
      </c>
      <c r="C104" s="49" t="str">
        <f>IFERROR(INDEX(_calc!$H$2:$H$3000,MATCH($A104,_calc!$AB$2:$AB$3000,0)),"")</f>
        <v/>
      </c>
      <c r="D104" s="49" t="str">
        <f>IFERROR(INDEX(_calc!$K$2:$K$3000,MATCH($A104,_calc!$AB$2:$AB$3000,0)),"")</f>
        <v/>
      </c>
      <c r="E104" s="50" t="str">
        <f>IF(OR($B104="",E$6=""),"",IF(COUNTIFS(_calc!$AE$2:$AE$3000,$B104&amp;"|"&amp;$D104,_calc!$A$2:$A$3000,$B$3,_calc!$C$2:$C$3000,E$6)=0,"",SUMIFS(_calc!$E$2:$E$3000,_calc!$AE$2:$AE$3000,$B104&amp;"|"&amp;$D104,_calc!$A$2:$A$3000,$B$3,_calc!$C$2:$C$3000,E$6)))</f>
        <v/>
      </c>
      <c r="F104" s="50" t="str">
        <f>IF(OR($B104="",F$6=""),"",IF(COUNTIFS(_calc!$AE$2:$AE$3000,$B104&amp;"|"&amp;$D104,_calc!$A$2:$A$3000,$B$3,_calc!$C$2:$C$3000,F$6)=0,"",SUMIFS(_calc!$E$2:$E$3000,_calc!$AE$2:$AE$3000,$B104&amp;"|"&amp;$D104,_calc!$A$2:$A$3000,$B$3,_calc!$C$2:$C$3000,F$6)))</f>
        <v/>
      </c>
      <c r="G104" s="50" t="str">
        <f>IF(OR($B104="",G$6=""),"",IF(COUNTIFS(_calc!$AE$2:$AE$3000,$B104&amp;"|"&amp;$D104,_calc!$A$2:$A$3000,$B$3,_calc!$C$2:$C$3000,G$6)=0,"",SUMIFS(_calc!$E$2:$E$3000,_calc!$AE$2:$AE$3000,$B104&amp;"|"&amp;$D104,_calc!$A$2:$A$3000,$B$3,_calc!$C$2:$C$3000,G$6)))</f>
        <v/>
      </c>
      <c r="H104" s="50" t="str">
        <f>IF(OR($B104="",H$6=""),"",IF(COUNTIFS(_calc!$AE$2:$AE$3000,$B104&amp;"|"&amp;$D104,_calc!$A$2:$A$3000,$B$3,_calc!$C$2:$C$3000,H$6)=0,"",SUMIFS(_calc!$E$2:$E$3000,_calc!$AE$2:$AE$3000,$B104&amp;"|"&amp;$D104,_calc!$A$2:$A$3000,$B$3,_calc!$C$2:$C$3000,H$6)))</f>
        <v/>
      </c>
      <c r="I104" s="50" t="str">
        <f>IF(OR($B104="",I$6=""),"",IF(COUNTIFS(_calc!$AE$2:$AE$3000,$B104&amp;"|"&amp;$D104,_calc!$A$2:$A$3000,$B$3,_calc!$C$2:$C$3000,I$6)=0,"",SUMIFS(_calc!$E$2:$E$3000,_calc!$AE$2:$AE$3000,$B104&amp;"|"&amp;$D104,_calc!$A$2:$A$3000,$B$3,_calc!$C$2:$C$3000,I$6)))</f>
        <v/>
      </c>
      <c r="J104" s="50" t="str">
        <f>IF(OR($B104="",J$6=""),"",IF(COUNTIFS(_calc!$AE$2:$AE$3000,$B104&amp;"|"&amp;$D104,_calc!$A$2:$A$3000,$B$3,_calc!$C$2:$C$3000,J$6)=0,"",SUMIFS(_calc!$E$2:$E$3000,_calc!$AE$2:$AE$3000,$B104&amp;"|"&amp;$D104,_calc!$A$2:$A$3000,$B$3,_calc!$C$2:$C$3000,J$6)))</f>
        <v/>
      </c>
      <c r="K104" s="50" t="str">
        <f>IF(OR($B104="",K$6=""),"",IF(COUNTIFS(_calc!$AE$2:$AE$3000,$B104&amp;"|"&amp;$D104,_calc!$A$2:$A$3000,$B$3,_calc!$C$2:$C$3000,K$6)=0,"",SUMIFS(_calc!$E$2:$E$3000,_calc!$AE$2:$AE$3000,$B104&amp;"|"&amp;$D104,_calc!$A$2:$A$3000,$B$3,_calc!$C$2:$C$3000,K$6)))</f>
        <v/>
      </c>
      <c r="L104" s="50" t="str">
        <f>IF(OR($B104="",L$6=""),"",IF(COUNTIFS(_calc!$AE$2:$AE$3000,$B104&amp;"|"&amp;$D104,_calc!$A$2:$A$3000,$B$3,_calc!$C$2:$C$3000,L$6)=0,"",SUMIFS(_calc!$E$2:$E$3000,_calc!$AE$2:$AE$3000,$B104&amp;"|"&amp;$D104,_calc!$A$2:$A$3000,$B$3,_calc!$C$2:$C$3000,L$6)))</f>
        <v/>
      </c>
      <c r="M104" s="50" t="str">
        <f>IF(OR($B104="",M$6=""),"",IF(COUNTIFS(_calc!$AE$2:$AE$3000,$B104&amp;"|"&amp;$D104,_calc!$A$2:$A$3000,$B$3,_calc!$C$2:$C$3000,M$6)=0,"",SUMIFS(_calc!$E$2:$E$3000,_calc!$AE$2:$AE$3000,$B104&amp;"|"&amp;$D104,_calc!$A$2:$A$3000,$B$3,_calc!$C$2:$C$3000,M$6)))</f>
        <v/>
      </c>
      <c r="N104" s="50" t="str">
        <f>IF(OR($B104="",N$6=""),"",IF(COUNTIFS(_calc!$AE$2:$AE$3000,$B104&amp;"|"&amp;$D104,_calc!$A$2:$A$3000,$B$3,_calc!$C$2:$C$3000,N$6)=0,"",SUMIFS(_calc!$E$2:$E$3000,_calc!$AE$2:$AE$3000,$B104&amp;"|"&amp;$D104,_calc!$A$2:$A$3000,$B$3,_calc!$C$2:$C$3000,N$6)))</f>
        <v/>
      </c>
      <c r="O104" s="50" t="str">
        <f>IF(OR($B104="",O$6=""),"",IF(COUNTIFS(_calc!$AE$2:$AE$3000,$B104&amp;"|"&amp;$D104,_calc!$A$2:$A$3000,$B$3,_calc!$C$2:$C$3000,O$6)=0,"",SUMIFS(_calc!$E$2:$E$3000,_calc!$AE$2:$AE$3000,$B104&amp;"|"&amp;$D104,_calc!$A$2:$A$3000,$B$3,_calc!$C$2:$C$3000,O$6)))</f>
        <v/>
      </c>
      <c r="P104" s="50" t="str">
        <f>IF(OR($B104="",P$6=""),"",IF(COUNTIFS(_calc!$AE$2:$AE$3000,$B104&amp;"|"&amp;$D104,_calc!$A$2:$A$3000,$B$3,_calc!$C$2:$C$3000,P$6)=0,"",SUMIFS(_calc!$E$2:$E$3000,_calc!$AE$2:$AE$3000,$B104&amp;"|"&amp;$D104,_calc!$A$2:$A$3000,$B$3,_calc!$C$2:$C$3000,P$6)))</f>
        <v/>
      </c>
      <c r="Q104" s="50" t="str">
        <f>IF(OR($B104="",Q$6=""),"",IF(COUNTIFS(_calc!$AE$2:$AE$3000,$B104&amp;"|"&amp;$D104,_calc!$A$2:$A$3000,$B$3,_calc!$C$2:$C$3000,Q$6)=0,"",SUMIFS(_calc!$E$2:$E$3000,_calc!$AE$2:$AE$3000,$B104&amp;"|"&amp;$D104,_calc!$A$2:$A$3000,$B$3,_calc!$C$2:$C$3000,Q$6)))</f>
        <v/>
      </c>
      <c r="R104" s="50" t="str">
        <f>IF(OR($B104="",R$6=""),"",IF(COUNTIFS(_calc!$AE$2:$AE$3000,$B104&amp;"|"&amp;$D104,_calc!$A$2:$A$3000,$B$3,_calc!$C$2:$C$3000,R$6)=0,"",SUMIFS(_calc!$E$2:$E$3000,_calc!$AE$2:$AE$3000,$B104&amp;"|"&amp;$D104,_calc!$A$2:$A$3000,$B$3,_calc!$C$2:$C$3000,R$6)))</f>
        <v/>
      </c>
      <c r="S104" s="50" t="str">
        <f>IF(OR($B104="",S$6=""),"",IF(COUNTIFS(_calc!$AE$2:$AE$3000,$B104&amp;"|"&amp;$D104,_calc!$A$2:$A$3000,$B$3,_calc!$C$2:$C$3000,S$6)=0,"",SUMIFS(_calc!$E$2:$E$3000,_calc!$AE$2:$AE$3000,$B104&amp;"|"&amp;$D104,_calc!$A$2:$A$3000,$B$3,_calc!$C$2:$C$3000,S$6)))</f>
        <v/>
      </c>
      <c r="T104" s="50" t="str">
        <f>IF(OR($B104="",T$6=""),"",IF(COUNTIFS(_calc!$AE$2:$AE$3000,$B104&amp;"|"&amp;$D104,_calc!$A$2:$A$3000,$B$3,_calc!$C$2:$C$3000,T$6)=0,"",SUMIFS(_calc!$E$2:$E$3000,_calc!$AE$2:$AE$3000,$B104&amp;"|"&amp;$D104,_calc!$A$2:$A$3000,$B$3,_calc!$C$2:$C$3000,T$6)))</f>
        <v/>
      </c>
      <c r="U104" s="50" t="str">
        <f>IF(OR($B104="",U$6=""),"",IF(COUNTIFS(_calc!$AE$2:$AE$3000,$B104&amp;"|"&amp;$D104,_calc!$A$2:$A$3000,$B$3,_calc!$C$2:$C$3000,U$6)=0,"",SUMIFS(_calc!$E$2:$E$3000,_calc!$AE$2:$AE$3000,$B104&amp;"|"&amp;$D104,_calc!$A$2:$A$3000,$B$3,_calc!$C$2:$C$3000,U$6)))</f>
        <v/>
      </c>
      <c r="V104" s="50" t="str">
        <f>IF(OR($B104="",V$6=""),"",IF(COUNTIFS(_calc!$AE$2:$AE$3000,$B104&amp;"|"&amp;$D104,_calc!$A$2:$A$3000,$B$3,_calc!$C$2:$C$3000,V$6)=0,"",SUMIFS(_calc!$E$2:$E$3000,_calc!$AE$2:$AE$3000,$B104&amp;"|"&amp;$D104,_calc!$A$2:$A$3000,$B$3,_calc!$C$2:$C$3000,V$6)))</f>
        <v/>
      </c>
      <c r="W104" s="50" t="str">
        <f>IF(OR($B104="",W$6=""),"",IF(COUNTIFS(_calc!$AE$2:$AE$3000,$B104&amp;"|"&amp;$D104,_calc!$A$2:$A$3000,$B$3,_calc!$C$2:$C$3000,W$6)=0,"",SUMIFS(_calc!$E$2:$E$3000,_calc!$AE$2:$AE$3000,$B104&amp;"|"&amp;$D104,_calc!$A$2:$A$3000,$B$3,_calc!$C$2:$C$3000,W$6)))</f>
        <v/>
      </c>
      <c r="X104" s="50" t="str">
        <f>IF(OR($B104="",X$6=""),"",IF(COUNTIFS(_calc!$AE$2:$AE$3000,$B104&amp;"|"&amp;$D104,_calc!$A$2:$A$3000,$B$3,_calc!$C$2:$C$3000,X$6)=0,"",SUMIFS(_calc!$E$2:$E$3000,_calc!$AE$2:$AE$3000,$B104&amp;"|"&amp;$D104,_calc!$A$2:$A$3000,$B$3,_calc!$C$2:$C$3000,X$6)))</f>
        <v/>
      </c>
    </row>
    <row r="105" spans="1:24" x14ac:dyDescent="0.4">
      <c r="A105" s="48">
        <v>99</v>
      </c>
      <c r="B105" s="49" t="str">
        <f>IFERROR(INDEX(_calc!$I$2:$I$3000,MATCH($A105,_calc!$AB$2:$AB$3000,0)),"")</f>
        <v/>
      </c>
      <c r="C105" s="49" t="str">
        <f>IFERROR(INDEX(_calc!$H$2:$H$3000,MATCH($A105,_calc!$AB$2:$AB$3000,0)),"")</f>
        <v/>
      </c>
      <c r="D105" s="49" t="str">
        <f>IFERROR(INDEX(_calc!$K$2:$K$3000,MATCH($A105,_calc!$AB$2:$AB$3000,0)),"")</f>
        <v/>
      </c>
      <c r="E105" s="50" t="str">
        <f>IF(OR($B105="",E$6=""),"",IF(COUNTIFS(_calc!$AE$2:$AE$3000,$B105&amp;"|"&amp;$D105,_calc!$A$2:$A$3000,$B$3,_calc!$C$2:$C$3000,E$6)=0,"",SUMIFS(_calc!$E$2:$E$3000,_calc!$AE$2:$AE$3000,$B105&amp;"|"&amp;$D105,_calc!$A$2:$A$3000,$B$3,_calc!$C$2:$C$3000,E$6)))</f>
        <v/>
      </c>
      <c r="F105" s="50" t="str">
        <f>IF(OR($B105="",F$6=""),"",IF(COUNTIFS(_calc!$AE$2:$AE$3000,$B105&amp;"|"&amp;$D105,_calc!$A$2:$A$3000,$B$3,_calc!$C$2:$C$3000,F$6)=0,"",SUMIFS(_calc!$E$2:$E$3000,_calc!$AE$2:$AE$3000,$B105&amp;"|"&amp;$D105,_calc!$A$2:$A$3000,$B$3,_calc!$C$2:$C$3000,F$6)))</f>
        <v/>
      </c>
      <c r="G105" s="50" t="str">
        <f>IF(OR($B105="",G$6=""),"",IF(COUNTIFS(_calc!$AE$2:$AE$3000,$B105&amp;"|"&amp;$D105,_calc!$A$2:$A$3000,$B$3,_calc!$C$2:$C$3000,G$6)=0,"",SUMIFS(_calc!$E$2:$E$3000,_calc!$AE$2:$AE$3000,$B105&amp;"|"&amp;$D105,_calc!$A$2:$A$3000,$B$3,_calc!$C$2:$C$3000,G$6)))</f>
        <v/>
      </c>
      <c r="H105" s="50" t="str">
        <f>IF(OR($B105="",H$6=""),"",IF(COUNTIFS(_calc!$AE$2:$AE$3000,$B105&amp;"|"&amp;$D105,_calc!$A$2:$A$3000,$B$3,_calc!$C$2:$C$3000,H$6)=0,"",SUMIFS(_calc!$E$2:$E$3000,_calc!$AE$2:$AE$3000,$B105&amp;"|"&amp;$D105,_calc!$A$2:$A$3000,$B$3,_calc!$C$2:$C$3000,H$6)))</f>
        <v/>
      </c>
      <c r="I105" s="50" t="str">
        <f>IF(OR($B105="",I$6=""),"",IF(COUNTIFS(_calc!$AE$2:$AE$3000,$B105&amp;"|"&amp;$D105,_calc!$A$2:$A$3000,$B$3,_calc!$C$2:$C$3000,I$6)=0,"",SUMIFS(_calc!$E$2:$E$3000,_calc!$AE$2:$AE$3000,$B105&amp;"|"&amp;$D105,_calc!$A$2:$A$3000,$B$3,_calc!$C$2:$C$3000,I$6)))</f>
        <v/>
      </c>
      <c r="J105" s="50" t="str">
        <f>IF(OR($B105="",J$6=""),"",IF(COUNTIFS(_calc!$AE$2:$AE$3000,$B105&amp;"|"&amp;$D105,_calc!$A$2:$A$3000,$B$3,_calc!$C$2:$C$3000,J$6)=0,"",SUMIFS(_calc!$E$2:$E$3000,_calc!$AE$2:$AE$3000,$B105&amp;"|"&amp;$D105,_calc!$A$2:$A$3000,$B$3,_calc!$C$2:$C$3000,J$6)))</f>
        <v/>
      </c>
      <c r="K105" s="50" t="str">
        <f>IF(OR($B105="",K$6=""),"",IF(COUNTIFS(_calc!$AE$2:$AE$3000,$B105&amp;"|"&amp;$D105,_calc!$A$2:$A$3000,$B$3,_calc!$C$2:$C$3000,K$6)=0,"",SUMIFS(_calc!$E$2:$E$3000,_calc!$AE$2:$AE$3000,$B105&amp;"|"&amp;$D105,_calc!$A$2:$A$3000,$B$3,_calc!$C$2:$C$3000,K$6)))</f>
        <v/>
      </c>
      <c r="L105" s="50" t="str">
        <f>IF(OR($B105="",L$6=""),"",IF(COUNTIFS(_calc!$AE$2:$AE$3000,$B105&amp;"|"&amp;$D105,_calc!$A$2:$A$3000,$B$3,_calc!$C$2:$C$3000,L$6)=0,"",SUMIFS(_calc!$E$2:$E$3000,_calc!$AE$2:$AE$3000,$B105&amp;"|"&amp;$D105,_calc!$A$2:$A$3000,$B$3,_calc!$C$2:$C$3000,L$6)))</f>
        <v/>
      </c>
      <c r="M105" s="50" t="str">
        <f>IF(OR($B105="",M$6=""),"",IF(COUNTIFS(_calc!$AE$2:$AE$3000,$B105&amp;"|"&amp;$D105,_calc!$A$2:$A$3000,$B$3,_calc!$C$2:$C$3000,M$6)=0,"",SUMIFS(_calc!$E$2:$E$3000,_calc!$AE$2:$AE$3000,$B105&amp;"|"&amp;$D105,_calc!$A$2:$A$3000,$B$3,_calc!$C$2:$C$3000,M$6)))</f>
        <v/>
      </c>
      <c r="N105" s="50" t="str">
        <f>IF(OR($B105="",N$6=""),"",IF(COUNTIFS(_calc!$AE$2:$AE$3000,$B105&amp;"|"&amp;$D105,_calc!$A$2:$A$3000,$B$3,_calc!$C$2:$C$3000,N$6)=0,"",SUMIFS(_calc!$E$2:$E$3000,_calc!$AE$2:$AE$3000,$B105&amp;"|"&amp;$D105,_calc!$A$2:$A$3000,$B$3,_calc!$C$2:$C$3000,N$6)))</f>
        <v/>
      </c>
      <c r="O105" s="50" t="str">
        <f>IF(OR($B105="",O$6=""),"",IF(COUNTIFS(_calc!$AE$2:$AE$3000,$B105&amp;"|"&amp;$D105,_calc!$A$2:$A$3000,$B$3,_calc!$C$2:$C$3000,O$6)=0,"",SUMIFS(_calc!$E$2:$E$3000,_calc!$AE$2:$AE$3000,$B105&amp;"|"&amp;$D105,_calc!$A$2:$A$3000,$B$3,_calc!$C$2:$C$3000,O$6)))</f>
        <v/>
      </c>
      <c r="P105" s="50" t="str">
        <f>IF(OR($B105="",P$6=""),"",IF(COUNTIFS(_calc!$AE$2:$AE$3000,$B105&amp;"|"&amp;$D105,_calc!$A$2:$A$3000,$B$3,_calc!$C$2:$C$3000,P$6)=0,"",SUMIFS(_calc!$E$2:$E$3000,_calc!$AE$2:$AE$3000,$B105&amp;"|"&amp;$D105,_calc!$A$2:$A$3000,$B$3,_calc!$C$2:$C$3000,P$6)))</f>
        <v/>
      </c>
      <c r="Q105" s="50" t="str">
        <f>IF(OR($B105="",Q$6=""),"",IF(COUNTIFS(_calc!$AE$2:$AE$3000,$B105&amp;"|"&amp;$D105,_calc!$A$2:$A$3000,$B$3,_calc!$C$2:$C$3000,Q$6)=0,"",SUMIFS(_calc!$E$2:$E$3000,_calc!$AE$2:$AE$3000,$B105&amp;"|"&amp;$D105,_calc!$A$2:$A$3000,$B$3,_calc!$C$2:$C$3000,Q$6)))</f>
        <v/>
      </c>
      <c r="R105" s="50" t="str">
        <f>IF(OR($B105="",R$6=""),"",IF(COUNTIFS(_calc!$AE$2:$AE$3000,$B105&amp;"|"&amp;$D105,_calc!$A$2:$A$3000,$B$3,_calc!$C$2:$C$3000,R$6)=0,"",SUMIFS(_calc!$E$2:$E$3000,_calc!$AE$2:$AE$3000,$B105&amp;"|"&amp;$D105,_calc!$A$2:$A$3000,$B$3,_calc!$C$2:$C$3000,R$6)))</f>
        <v/>
      </c>
      <c r="S105" s="50" t="str">
        <f>IF(OR($B105="",S$6=""),"",IF(COUNTIFS(_calc!$AE$2:$AE$3000,$B105&amp;"|"&amp;$D105,_calc!$A$2:$A$3000,$B$3,_calc!$C$2:$C$3000,S$6)=0,"",SUMIFS(_calc!$E$2:$E$3000,_calc!$AE$2:$AE$3000,$B105&amp;"|"&amp;$D105,_calc!$A$2:$A$3000,$B$3,_calc!$C$2:$C$3000,S$6)))</f>
        <v/>
      </c>
      <c r="T105" s="50" t="str">
        <f>IF(OR($B105="",T$6=""),"",IF(COUNTIFS(_calc!$AE$2:$AE$3000,$B105&amp;"|"&amp;$D105,_calc!$A$2:$A$3000,$B$3,_calc!$C$2:$C$3000,T$6)=0,"",SUMIFS(_calc!$E$2:$E$3000,_calc!$AE$2:$AE$3000,$B105&amp;"|"&amp;$D105,_calc!$A$2:$A$3000,$B$3,_calc!$C$2:$C$3000,T$6)))</f>
        <v/>
      </c>
      <c r="U105" s="50" t="str">
        <f>IF(OR($B105="",U$6=""),"",IF(COUNTIFS(_calc!$AE$2:$AE$3000,$B105&amp;"|"&amp;$D105,_calc!$A$2:$A$3000,$B$3,_calc!$C$2:$C$3000,U$6)=0,"",SUMIFS(_calc!$E$2:$E$3000,_calc!$AE$2:$AE$3000,$B105&amp;"|"&amp;$D105,_calc!$A$2:$A$3000,$B$3,_calc!$C$2:$C$3000,U$6)))</f>
        <v/>
      </c>
      <c r="V105" s="50" t="str">
        <f>IF(OR($B105="",V$6=""),"",IF(COUNTIFS(_calc!$AE$2:$AE$3000,$B105&amp;"|"&amp;$D105,_calc!$A$2:$A$3000,$B$3,_calc!$C$2:$C$3000,V$6)=0,"",SUMIFS(_calc!$E$2:$E$3000,_calc!$AE$2:$AE$3000,$B105&amp;"|"&amp;$D105,_calc!$A$2:$A$3000,$B$3,_calc!$C$2:$C$3000,V$6)))</f>
        <v/>
      </c>
      <c r="W105" s="50" t="str">
        <f>IF(OR($B105="",W$6=""),"",IF(COUNTIFS(_calc!$AE$2:$AE$3000,$B105&amp;"|"&amp;$D105,_calc!$A$2:$A$3000,$B$3,_calc!$C$2:$C$3000,W$6)=0,"",SUMIFS(_calc!$E$2:$E$3000,_calc!$AE$2:$AE$3000,$B105&amp;"|"&amp;$D105,_calc!$A$2:$A$3000,$B$3,_calc!$C$2:$C$3000,W$6)))</f>
        <v/>
      </c>
      <c r="X105" s="50" t="str">
        <f>IF(OR($B105="",X$6=""),"",IF(COUNTIFS(_calc!$AE$2:$AE$3000,$B105&amp;"|"&amp;$D105,_calc!$A$2:$A$3000,$B$3,_calc!$C$2:$C$3000,X$6)=0,"",SUMIFS(_calc!$E$2:$E$3000,_calc!$AE$2:$AE$3000,$B105&amp;"|"&amp;$D105,_calc!$A$2:$A$3000,$B$3,_calc!$C$2:$C$3000,X$6)))</f>
        <v/>
      </c>
    </row>
    <row r="106" spans="1:24" x14ac:dyDescent="0.4">
      <c r="A106" s="48">
        <v>100</v>
      </c>
      <c r="B106" s="49" t="str">
        <f>IFERROR(INDEX(_calc!$I$2:$I$3000,MATCH($A106,_calc!$AB$2:$AB$3000,0)),"")</f>
        <v/>
      </c>
      <c r="C106" s="49" t="str">
        <f>IFERROR(INDEX(_calc!$H$2:$H$3000,MATCH($A106,_calc!$AB$2:$AB$3000,0)),"")</f>
        <v/>
      </c>
      <c r="D106" s="49" t="str">
        <f>IFERROR(INDEX(_calc!$K$2:$K$3000,MATCH($A106,_calc!$AB$2:$AB$3000,0)),"")</f>
        <v/>
      </c>
      <c r="E106" s="50" t="str">
        <f>IF(OR($B106="",E$6=""),"",IF(COUNTIFS(_calc!$AE$2:$AE$3000,$B106&amp;"|"&amp;$D106,_calc!$A$2:$A$3000,$B$3,_calc!$C$2:$C$3000,E$6)=0,"",SUMIFS(_calc!$E$2:$E$3000,_calc!$AE$2:$AE$3000,$B106&amp;"|"&amp;$D106,_calc!$A$2:$A$3000,$B$3,_calc!$C$2:$C$3000,E$6)))</f>
        <v/>
      </c>
      <c r="F106" s="50" t="str">
        <f>IF(OR($B106="",F$6=""),"",IF(COUNTIFS(_calc!$AE$2:$AE$3000,$B106&amp;"|"&amp;$D106,_calc!$A$2:$A$3000,$B$3,_calc!$C$2:$C$3000,F$6)=0,"",SUMIFS(_calc!$E$2:$E$3000,_calc!$AE$2:$AE$3000,$B106&amp;"|"&amp;$D106,_calc!$A$2:$A$3000,$B$3,_calc!$C$2:$C$3000,F$6)))</f>
        <v/>
      </c>
      <c r="G106" s="50" t="str">
        <f>IF(OR($B106="",G$6=""),"",IF(COUNTIFS(_calc!$AE$2:$AE$3000,$B106&amp;"|"&amp;$D106,_calc!$A$2:$A$3000,$B$3,_calc!$C$2:$C$3000,G$6)=0,"",SUMIFS(_calc!$E$2:$E$3000,_calc!$AE$2:$AE$3000,$B106&amp;"|"&amp;$D106,_calc!$A$2:$A$3000,$B$3,_calc!$C$2:$C$3000,G$6)))</f>
        <v/>
      </c>
      <c r="H106" s="50" t="str">
        <f>IF(OR($B106="",H$6=""),"",IF(COUNTIFS(_calc!$AE$2:$AE$3000,$B106&amp;"|"&amp;$D106,_calc!$A$2:$A$3000,$B$3,_calc!$C$2:$C$3000,H$6)=0,"",SUMIFS(_calc!$E$2:$E$3000,_calc!$AE$2:$AE$3000,$B106&amp;"|"&amp;$D106,_calc!$A$2:$A$3000,$B$3,_calc!$C$2:$C$3000,H$6)))</f>
        <v/>
      </c>
      <c r="I106" s="50" t="str">
        <f>IF(OR($B106="",I$6=""),"",IF(COUNTIFS(_calc!$AE$2:$AE$3000,$B106&amp;"|"&amp;$D106,_calc!$A$2:$A$3000,$B$3,_calc!$C$2:$C$3000,I$6)=0,"",SUMIFS(_calc!$E$2:$E$3000,_calc!$AE$2:$AE$3000,$B106&amp;"|"&amp;$D106,_calc!$A$2:$A$3000,$B$3,_calc!$C$2:$C$3000,I$6)))</f>
        <v/>
      </c>
      <c r="J106" s="50" t="str">
        <f>IF(OR($B106="",J$6=""),"",IF(COUNTIFS(_calc!$AE$2:$AE$3000,$B106&amp;"|"&amp;$D106,_calc!$A$2:$A$3000,$B$3,_calc!$C$2:$C$3000,J$6)=0,"",SUMIFS(_calc!$E$2:$E$3000,_calc!$AE$2:$AE$3000,$B106&amp;"|"&amp;$D106,_calc!$A$2:$A$3000,$B$3,_calc!$C$2:$C$3000,J$6)))</f>
        <v/>
      </c>
      <c r="K106" s="50" t="str">
        <f>IF(OR($B106="",K$6=""),"",IF(COUNTIFS(_calc!$AE$2:$AE$3000,$B106&amp;"|"&amp;$D106,_calc!$A$2:$A$3000,$B$3,_calc!$C$2:$C$3000,K$6)=0,"",SUMIFS(_calc!$E$2:$E$3000,_calc!$AE$2:$AE$3000,$B106&amp;"|"&amp;$D106,_calc!$A$2:$A$3000,$B$3,_calc!$C$2:$C$3000,K$6)))</f>
        <v/>
      </c>
      <c r="L106" s="50" t="str">
        <f>IF(OR($B106="",L$6=""),"",IF(COUNTIFS(_calc!$AE$2:$AE$3000,$B106&amp;"|"&amp;$D106,_calc!$A$2:$A$3000,$B$3,_calc!$C$2:$C$3000,L$6)=0,"",SUMIFS(_calc!$E$2:$E$3000,_calc!$AE$2:$AE$3000,$B106&amp;"|"&amp;$D106,_calc!$A$2:$A$3000,$B$3,_calc!$C$2:$C$3000,L$6)))</f>
        <v/>
      </c>
      <c r="M106" s="50" t="str">
        <f>IF(OR($B106="",M$6=""),"",IF(COUNTIFS(_calc!$AE$2:$AE$3000,$B106&amp;"|"&amp;$D106,_calc!$A$2:$A$3000,$B$3,_calc!$C$2:$C$3000,M$6)=0,"",SUMIFS(_calc!$E$2:$E$3000,_calc!$AE$2:$AE$3000,$B106&amp;"|"&amp;$D106,_calc!$A$2:$A$3000,$B$3,_calc!$C$2:$C$3000,M$6)))</f>
        <v/>
      </c>
      <c r="N106" s="50" t="str">
        <f>IF(OR($B106="",N$6=""),"",IF(COUNTIFS(_calc!$AE$2:$AE$3000,$B106&amp;"|"&amp;$D106,_calc!$A$2:$A$3000,$B$3,_calc!$C$2:$C$3000,N$6)=0,"",SUMIFS(_calc!$E$2:$E$3000,_calc!$AE$2:$AE$3000,$B106&amp;"|"&amp;$D106,_calc!$A$2:$A$3000,$B$3,_calc!$C$2:$C$3000,N$6)))</f>
        <v/>
      </c>
      <c r="O106" s="50" t="str">
        <f>IF(OR($B106="",O$6=""),"",IF(COUNTIFS(_calc!$AE$2:$AE$3000,$B106&amp;"|"&amp;$D106,_calc!$A$2:$A$3000,$B$3,_calc!$C$2:$C$3000,O$6)=0,"",SUMIFS(_calc!$E$2:$E$3000,_calc!$AE$2:$AE$3000,$B106&amp;"|"&amp;$D106,_calc!$A$2:$A$3000,$B$3,_calc!$C$2:$C$3000,O$6)))</f>
        <v/>
      </c>
      <c r="P106" s="50" t="str">
        <f>IF(OR($B106="",P$6=""),"",IF(COUNTIFS(_calc!$AE$2:$AE$3000,$B106&amp;"|"&amp;$D106,_calc!$A$2:$A$3000,$B$3,_calc!$C$2:$C$3000,P$6)=0,"",SUMIFS(_calc!$E$2:$E$3000,_calc!$AE$2:$AE$3000,$B106&amp;"|"&amp;$D106,_calc!$A$2:$A$3000,$B$3,_calc!$C$2:$C$3000,P$6)))</f>
        <v/>
      </c>
      <c r="Q106" s="50" t="str">
        <f>IF(OR($B106="",Q$6=""),"",IF(COUNTIFS(_calc!$AE$2:$AE$3000,$B106&amp;"|"&amp;$D106,_calc!$A$2:$A$3000,$B$3,_calc!$C$2:$C$3000,Q$6)=0,"",SUMIFS(_calc!$E$2:$E$3000,_calc!$AE$2:$AE$3000,$B106&amp;"|"&amp;$D106,_calc!$A$2:$A$3000,$B$3,_calc!$C$2:$C$3000,Q$6)))</f>
        <v/>
      </c>
      <c r="R106" s="50" t="str">
        <f>IF(OR($B106="",R$6=""),"",IF(COUNTIFS(_calc!$AE$2:$AE$3000,$B106&amp;"|"&amp;$D106,_calc!$A$2:$A$3000,$B$3,_calc!$C$2:$C$3000,R$6)=0,"",SUMIFS(_calc!$E$2:$E$3000,_calc!$AE$2:$AE$3000,$B106&amp;"|"&amp;$D106,_calc!$A$2:$A$3000,$B$3,_calc!$C$2:$C$3000,R$6)))</f>
        <v/>
      </c>
      <c r="S106" s="50" t="str">
        <f>IF(OR($B106="",S$6=""),"",IF(COUNTIFS(_calc!$AE$2:$AE$3000,$B106&amp;"|"&amp;$D106,_calc!$A$2:$A$3000,$B$3,_calc!$C$2:$C$3000,S$6)=0,"",SUMIFS(_calc!$E$2:$E$3000,_calc!$AE$2:$AE$3000,$B106&amp;"|"&amp;$D106,_calc!$A$2:$A$3000,$B$3,_calc!$C$2:$C$3000,S$6)))</f>
        <v/>
      </c>
      <c r="T106" s="50" t="str">
        <f>IF(OR($B106="",T$6=""),"",IF(COUNTIFS(_calc!$AE$2:$AE$3000,$B106&amp;"|"&amp;$D106,_calc!$A$2:$A$3000,$B$3,_calc!$C$2:$C$3000,T$6)=0,"",SUMIFS(_calc!$E$2:$E$3000,_calc!$AE$2:$AE$3000,$B106&amp;"|"&amp;$D106,_calc!$A$2:$A$3000,$B$3,_calc!$C$2:$C$3000,T$6)))</f>
        <v/>
      </c>
      <c r="U106" s="50" t="str">
        <f>IF(OR($B106="",U$6=""),"",IF(COUNTIFS(_calc!$AE$2:$AE$3000,$B106&amp;"|"&amp;$D106,_calc!$A$2:$A$3000,$B$3,_calc!$C$2:$C$3000,U$6)=0,"",SUMIFS(_calc!$E$2:$E$3000,_calc!$AE$2:$AE$3000,$B106&amp;"|"&amp;$D106,_calc!$A$2:$A$3000,$B$3,_calc!$C$2:$C$3000,U$6)))</f>
        <v/>
      </c>
      <c r="V106" s="50" t="str">
        <f>IF(OR($B106="",V$6=""),"",IF(COUNTIFS(_calc!$AE$2:$AE$3000,$B106&amp;"|"&amp;$D106,_calc!$A$2:$A$3000,$B$3,_calc!$C$2:$C$3000,V$6)=0,"",SUMIFS(_calc!$E$2:$E$3000,_calc!$AE$2:$AE$3000,$B106&amp;"|"&amp;$D106,_calc!$A$2:$A$3000,$B$3,_calc!$C$2:$C$3000,V$6)))</f>
        <v/>
      </c>
      <c r="W106" s="50" t="str">
        <f>IF(OR($B106="",W$6=""),"",IF(COUNTIFS(_calc!$AE$2:$AE$3000,$B106&amp;"|"&amp;$D106,_calc!$A$2:$A$3000,$B$3,_calc!$C$2:$C$3000,W$6)=0,"",SUMIFS(_calc!$E$2:$E$3000,_calc!$AE$2:$AE$3000,$B106&amp;"|"&amp;$D106,_calc!$A$2:$A$3000,$B$3,_calc!$C$2:$C$3000,W$6)))</f>
        <v/>
      </c>
      <c r="X106" s="50" t="str">
        <f>IF(OR($B106="",X$6=""),"",IF(COUNTIFS(_calc!$AE$2:$AE$3000,$B106&amp;"|"&amp;$D106,_calc!$A$2:$A$3000,$B$3,_calc!$C$2:$C$3000,X$6)=0,"",SUMIFS(_calc!$E$2:$E$3000,_calc!$AE$2:$AE$3000,$B106&amp;"|"&amp;$D106,_calc!$A$2:$A$3000,$B$3,_calc!$C$2:$C$3000,X$6)))</f>
        <v/>
      </c>
    </row>
    <row r="107" spans="1:24" x14ac:dyDescent="0.4">
      <c r="A107" s="48">
        <v>101</v>
      </c>
      <c r="B107" s="49" t="str">
        <f>IFERROR(INDEX(_calc!$I$2:$I$3000,MATCH($A107,_calc!$AB$2:$AB$3000,0)),"")</f>
        <v/>
      </c>
      <c r="C107" s="49" t="str">
        <f>IFERROR(INDEX(_calc!$H$2:$H$3000,MATCH($A107,_calc!$AB$2:$AB$3000,0)),"")</f>
        <v/>
      </c>
      <c r="D107" s="49" t="str">
        <f>IFERROR(INDEX(_calc!$K$2:$K$3000,MATCH($A107,_calc!$AB$2:$AB$3000,0)),"")</f>
        <v/>
      </c>
      <c r="E107" s="50" t="str">
        <f>IF(OR($B107="",E$6=""),"",IF(COUNTIFS(_calc!$AE$2:$AE$3000,$B107&amp;"|"&amp;$D107,_calc!$A$2:$A$3000,$B$3,_calc!$C$2:$C$3000,E$6)=0,"",SUMIFS(_calc!$E$2:$E$3000,_calc!$AE$2:$AE$3000,$B107&amp;"|"&amp;$D107,_calc!$A$2:$A$3000,$B$3,_calc!$C$2:$C$3000,E$6)))</f>
        <v/>
      </c>
      <c r="F107" s="50" t="str">
        <f>IF(OR($B107="",F$6=""),"",IF(COUNTIFS(_calc!$AE$2:$AE$3000,$B107&amp;"|"&amp;$D107,_calc!$A$2:$A$3000,$B$3,_calc!$C$2:$C$3000,F$6)=0,"",SUMIFS(_calc!$E$2:$E$3000,_calc!$AE$2:$AE$3000,$B107&amp;"|"&amp;$D107,_calc!$A$2:$A$3000,$B$3,_calc!$C$2:$C$3000,F$6)))</f>
        <v/>
      </c>
      <c r="G107" s="50" t="str">
        <f>IF(OR($B107="",G$6=""),"",IF(COUNTIFS(_calc!$AE$2:$AE$3000,$B107&amp;"|"&amp;$D107,_calc!$A$2:$A$3000,$B$3,_calc!$C$2:$C$3000,G$6)=0,"",SUMIFS(_calc!$E$2:$E$3000,_calc!$AE$2:$AE$3000,$B107&amp;"|"&amp;$D107,_calc!$A$2:$A$3000,$B$3,_calc!$C$2:$C$3000,G$6)))</f>
        <v/>
      </c>
      <c r="H107" s="50" t="str">
        <f>IF(OR($B107="",H$6=""),"",IF(COUNTIFS(_calc!$AE$2:$AE$3000,$B107&amp;"|"&amp;$D107,_calc!$A$2:$A$3000,$B$3,_calc!$C$2:$C$3000,H$6)=0,"",SUMIFS(_calc!$E$2:$E$3000,_calc!$AE$2:$AE$3000,$B107&amp;"|"&amp;$D107,_calc!$A$2:$A$3000,$B$3,_calc!$C$2:$C$3000,H$6)))</f>
        <v/>
      </c>
      <c r="I107" s="50" t="str">
        <f>IF(OR($B107="",I$6=""),"",IF(COUNTIFS(_calc!$AE$2:$AE$3000,$B107&amp;"|"&amp;$D107,_calc!$A$2:$A$3000,$B$3,_calc!$C$2:$C$3000,I$6)=0,"",SUMIFS(_calc!$E$2:$E$3000,_calc!$AE$2:$AE$3000,$B107&amp;"|"&amp;$D107,_calc!$A$2:$A$3000,$B$3,_calc!$C$2:$C$3000,I$6)))</f>
        <v/>
      </c>
      <c r="J107" s="50" t="str">
        <f>IF(OR($B107="",J$6=""),"",IF(COUNTIFS(_calc!$AE$2:$AE$3000,$B107&amp;"|"&amp;$D107,_calc!$A$2:$A$3000,$B$3,_calc!$C$2:$C$3000,J$6)=0,"",SUMIFS(_calc!$E$2:$E$3000,_calc!$AE$2:$AE$3000,$B107&amp;"|"&amp;$D107,_calc!$A$2:$A$3000,$B$3,_calc!$C$2:$C$3000,J$6)))</f>
        <v/>
      </c>
      <c r="K107" s="50" t="str">
        <f>IF(OR($B107="",K$6=""),"",IF(COUNTIFS(_calc!$AE$2:$AE$3000,$B107&amp;"|"&amp;$D107,_calc!$A$2:$A$3000,$B$3,_calc!$C$2:$C$3000,K$6)=0,"",SUMIFS(_calc!$E$2:$E$3000,_calc!$AE$2:$AE$3000,$B107&amp;"|"&amp;$D107,_calc!$A$2:$A$3000,$B$3,_calc!$C$2:$C$3000,K$6)))</f>
        <v/>
      </c>
      <c r="L107" s="50" t="str">
        <f>IF(OR($B107="",L$6=""),"",IF(COUNTIFS(_calc!$AE$2:$AE$3000,$B107&amp;"|"&amp;$D107,_calc!$A$2:$A$3000,$B$3,_calc!$C$2:$C$3000,L$6)=0,"",SUMIFS(_calc!$E$2:$E$3000,_calc!$AE$2:$AE$3000,$B107&amp;"|"&amp;$D107,_calc!$A$2:$A$3000,$B$3,_calc!$C$2:$C$3000,L$6)))</f>
        <v/>
      </c>
      <c r="M107" s="50" t="str">
        <f>IF(OR($B107="",M$6=""),"",IF(COUNTIFS(_calc!$AE$2:$AE$3000,$B107&amp;"|"&amp;$D107,_calc!$A$2:$A$3000,$B$3,_calc!$C$2:$C$3000,M$6)=0,"",SUMIFS(_calc!$E$2:$E$3000,_calc!$AE$2:$AE$3000,$B107&amp;"|"&amp;$D107,_calc!$A$2:$A$3000,$B$3,_calc!$C$2:$C$3000,M$6)))</f>
        <v/>
      </c>
      <c r="N107" s="50" t="str">
        <f>IF(OR($B107="",N$6=""),"",IF(COUNTIFS(_calc!$AE$2:$AE$3000,$B107&amp;"|"&amp;$D107,_calc!$A$2:$A$3000,$B$3,_calc!$C$2:$C$3000,N$6)=0,"",SUMIFS(_calc!$E$2:$E$3000,_calc!$AE$2:$AE$3000,$B107&amp;"|"&amp;$D107,_calc!$A$2:$A$3000,$B$3,_calc!$C$2:$C$3000,N$6)))</f>
        <v/>
      </c>
      <c r="O107" s="50" t="str">
        <f>IF(OR($B107="",O$6=""),"",IF(COUNTIFS(_calc!$AE$2:$AE$3000,$B107&amp;"|"&amp;$D107,_calc!$A$2:$A$3000,$B$3,_calc!$C$2:$C$3000,O$6)=0,"",SUMIFS(_calc!$E$2:$E$3000,_calc!$AE$2:$AE$3000,$B107&amp;"|"&amp;$D107,_calc!$A$2:$A$3000,$B$3,_calc!$C$2:$C$3000,O$6)))</f>
        <v/>
      </c>
      <c r="P107" s="50" t="str">
        <f>IF(OR($B107="",P$6=""),"",IF(COUNTIFS(_calc!$AE$2:$AE$3000,$B107&amp;"|"&amp;$D107,_calc!$A$2:$A$3000,$B$3,_calc!$C$2:$C$3000,P$6)=0,"",SUMIFS(_calc!$E$2:$E$3000,_calc!$AE$2:$AE$3000,$B107&amp;"|"&amp;$D107,_calc!$A$2:$A$3000,$B$3,_calc!$C$2:$C$3000,P$6)))</f>
        <v/>
      </c>
      <c r="Q107" s="50" t="str">
        <f>IF(OR($B107="",Q$6=""),"",IF(COUNTIFS(_calc!$AE$2:$AE$3000,$B107&amp;"|"&amp;$D107,_calc!$A$2:$A$3000,$B$3,_calc!$C$2:$C$3000,Q$6)=0,"",SUMIFS(_calc!$E$2:$E$3000,_calc!$AE$2:$AE$3000,$B107&amp;"|"&amp;$D107,_calc!$A$2:$A$3000,$B$3,_calc!$C$2:$C$3000,Q$6)))</f>
        <v/>
      </c>
      <c r="R107" s="50" t="str">
        <f>IF(OR($B107="",R$6=""),"",IF(COUNTIFS(_calc!$AE$2:$AE$3000,$B107&amp;"|"&amp;$D107,_calc!$A$2:$A$3000,$B$3,_calc!$C$2:$C$3000,R$6)=0,"",SUMIFS(_calc!$E$2:$E$3000,_calc!$AE$2:$AE$3000,$B107&amp;"|"&amp;$D107,_calc!$A$2:$A$3000,$B$3,_calc!$C$2:$C$3000,R$6)))</f>
        <v/>
      </c>
      <c r="S107" s="50" t="str">
        <f>IF(OR($B107="",S$6=""),"",IF(COUNTIFS(_calc!$AE$2:$AE$3000,$B107&amp;"|"&amp;$D107,_calc!$A$2:$A$3000,$B$3,_calc!$C$2:$C$3000,S$6)=0,"",SUMIFS(_calc!$E$2:$E$3000,_calc!$AE$2:$AE$3000,$B107&amp;"|"&amp;$D107,_calc!$A$2:$A$3000,$B$3,_calc!$C$2:$C$3000,S$6)))</f>
        <v/>
      </c>
      <c r="T107" s="50" t="str">
        <f>IF(OR($B107="",T$6=""),"",IF(COUNTIFS(_calc!$AE$2:$AE$3000,$B107&amp;"|"&amp;$D107,_calc!$A$2:$A$3000,$B$3,_calc!$C$2:$C$3000,T$6)=0,"",SUMIFS(_calc!$E$2:$E$3000,_calc!$AE$2:$AE$3000,$B107&amp;"|"&amp;$D107,_calc!$A$2:$A$3000,$B$3,_calc!$C$2:$C$3000,T$6)))</f>
        <v/>
      </c>
      <c r="U107" s="50" t="str">
        <f>IF(OR($B107="",U$6=""),"",IF(COUNTIFS(_calc!$AE$2:$AE$3000,$B107&amp;"|"&amp;$D107,_calc!$A$2:$A$3000,$B$3,_calc!$C$2:$C$3000,U$6)=0,"",SUMIFS(_calc!$E$2:$E$3000,_calc!$AE$2:$AE$3000,$B107&amp;"|"&amp;$D107,_calc!$A$2:$A$3000,$B$3,_calc!$C$2:$C$3000,U$6)))</f>
        <v/>
      </c>
      <c r="V107" s="50" t="str">
        <f>IF(OR($B107="",V$6=""),"",IF(COUNTIFS(_calc!$AE$2:$AE$3000,$B107&amp;"|"&amp;$D107,_calc!$A$2:$A$3000,$B$3,_calc!$C$2:$C$3000,V$6)=0,"",SUMIFS(_calc!$E$2:$E$3000,_calc!$AE$2:$AE$3000,$B107&amp;"|"&amp;$D107,_calc!$A$2:$A$3000,$B$3,_calc!$C$2:$C$3000,V$6)))</f>
        <v/>
      </c>
      <c r="W107" s="50" t="str">
        <f>IF(OR($B107="",W$6=""),"",IF(COUNTIFS(_calc!$AE$2:$AE$3000,$B107&amp;"|"&amp;$D107,_calc!$A$2:$A$3000,$B$3,_calc!$C$2:$C$3000,W$6)=0,"",SUMIFS(_calc!$E$2:$E$3000,_calc!$AE$2:$AE$3000,$B107&amp;"|"&amp;$D107,_calc!$A$2:$A$3000,$B$3,_calc!$C$2:$C$3000,W$6)))</f>
        <v/>
      </c>
      <c r="X107" s="50" t="str">
        <f>IF(OR($B107="",X$6=""),"",IF(COUNTIFS(_calc!$AE$2:$AE$3000,$B107&amp;"|"&amp;$D107,_calc!$A$2:$A$3000,$B$3,_calc!$C$2:$C$3000,X$6)=0,"",SUMIFS(_calc!$E$2:$E$3000,_calc!$AE$2:$AE$3000,$B107&amp;"|"&amp;$D107,_calc!$A$2:$A$3000,$B$3,_calc!$C$2:$C$3000,X$6)))</f>
        <v/>
      </c>
    </row>
    <row r="108" spans="1:24" x14ac:dyDescent="0.4">
      <c r="A108" s="48">
        <v>102</v>
      </c>
      <c r="B108" s="49" t="str">
        <f>IFERROR(INDEX(_calc!$I$2:$I$3000,MATCH($A108,_calc!$AB$2:$AB$3000,0)),"")</f>
        <v/>
      </c>
      <c r="C108" s="49" t="str">
        <f>IFERROR(INDEX(_calc!$H$2:$H$3000,MATCH($A108,_calc!$AB$2:$AB$3000,0)),"")</f>
        <v/>
      </c>
      <c r="D108" s="49" t="str">
        <f>IFERROR(INDEX(_calc!$K$2:$K$3000,MATCH($A108,_calc!$AB$2:$AB$3000,0)),"")</f>
        <v/>
      </c>
      <c r="E108" s="50" t="str">
        <f>IF(OR($B108="",E$6=""),"",IF(COUNTIFS(_calc!$AE$2:$AE$3000,$B108&amp;"|"&amp;$D108,_calc!$A$2:$A$3000,$B$3,_calc!$C$2:$C$3000,E$6)=0,"",SUMIFS(_calc!$E$2:$E$3000,_calc!$AE$2:$AE$3000,$B108&amp;"|"&amp;$D108,_calc!$A$2:$A$3000,$B$3,_calc!$C$2:$C$3000,E$6)))</f>
        <v/>
      </c>
      <c r="F108" s="50" t="str">
        <f>IF(OR($B108="",F$6=""),"",IF(COUNTIFS(_calc!$AE$2:$AE$3000,$B108&amp;"|"&amp;$D108,_calc!$A$2:$A$3000,$B$3,_calc!$C$2:$C$3000,F$6)=0,"",SUMIFS(_calc!$E$2:$E$3000,_calc!$AE$2:$AE$3000,$B108&amp;"|"&amp;$D108,_calc!$A$2:$A$3000,$B$3,_calc!$C$2:$C$3000,F$6)))</f>
        <v/>
      </c>
      <c r="G108" s="50" t="str">
        <f>IF(OR($B108="",G$6=""),"",IF(COUNTIFS(_calc!$AE$2:$AE$3000,$B108&amp;"|"&amp;$D108,_calc!$A$2:$A$3000,$B$3,_calc!$C$2:$C$3000,G$6)=0,"",SUMIFS(_calc!$E$2:$E$3000,_calc!$AE$2:$AE$3000,$B108&amp;"|"&amp;$D108,_calc!$A$2:$A$3000,$B$3,_calc!$C$2:$C$3000,G$6)))</f>
        <v/>
      </c>
      <c r="H108" s="50" t="str">
        <f>IF(OR($B108="",H$6=""),"",IF(COUNTIFS(_calc!$AE$2:$AE$3000,$B108&amp;"|"&amp;$D108,_calc!$A$2:$A$3000,$B$3,_calc!$C$2:$C$3000,H$6)=0,"",SUMIFS(_calc!$E$2:$E$3000,_calc!$AE$2:$AE$3000,$B108&amp;"|"&amp;$D108,_calc!$A$2:$A$3000,$B$3,_calc!$C$2:$C$3000,H$6)))</f>
        <v/>
      </c>
      <c r="I108" s="50" t="str">
        <f>IF(OR($B108="",I$6=""),"",IF(COUNTIFS(_calc!$AE$2:$AE$3000,$B108&amp;"|"&amp;$D108,_calc!$A$2:$A$3000,$B$3,_calc!$C$2:$C$3000,I$6)=0,"",SUMIFS(_calc!$E$2:$E$3000,_calc!$AE$2:$AE$3000,$B108&amp;"|"&amp;$D108,_calc!$A$2:$A$3000,$B$3,_calc!$C$2:$C$3000,I$6)))</f>
        <v/>
      </c>
      <c r="J108" s="50" t="str">
        <f>IF(OR($B108="",J$6=""),"",IF(COUNTIFS(_calc!$AE$2:$AE$3000,$B108&amp;"|"&amp;$D108,_calc!$A$2:$A$3000,$B$3,_calc!$C$2:$C$3000,J$6)=0,"",SUMIFS(_calc!$E$2:$E$3000,_calc!$AE$2:$AE$3000,$B108&amp;"|"&amp;$D108,_calc!$A$2:$A$3000,$B$3,_calc!$C$2:$C$3000,J$6)))</f>
        <v/>
      </c>
      <c r="K108" s="50" t="str">
        <f>IF(OR($B108="",K$6=""),"",IF(COUNTIFS(_calc!$AE$2:$AE$3000,$B108&amp;"|"&amp;$D108,_calc!$A$2:$A$3000,$B$3,_calc!$C$2:$C$3000,K$6)=0,"",SUMIFS(_calc!$E$2:$E$3000,_calc!$AE$2:$AE$3000,$B108&amp;"|"&amp;$D108,_calc!$A$2:$A$3000,$B$3,_calc!$C$2:$C$3000,K$6)))</f>
        <v/>
      </c>
      <c r="L108" s="50" t="str">
        <f>IF(OR($B108="",L$6=""),"",IF(COUNTIFS(_calc!$AE$2:$AE$3000,$B108&amp;"|"&amp;$D108,_calc!$A$2:$A$3000,$B$3,_calc!$C$2:$C$3000,L$6)=0,"",SUMIFS(_calc!$E$2:$E$3000,_calc!$AE$2:$AE$3000,$B108&amp;"|"&amp;$D108,_calc!$A$2:$A$3000,$B$3,_calc!$C$2:$C$3000,L$6)))</f>
        <v/>
      </c>
      <c r="M108" s="50" t="str">
        <f>IF(OR($B108="",M$6=""),"",IF(COUNTIFS(_calc!$AE$2:$AE$3000,$B108&amp;"|"&amp;$D108,_calc!$A$2:$A$3000,$B$3,_calc!$C$2:$C$3000,M$6)=0,"",SUMIFS(_calc!$E$2:$E$3000,_calc!$AE$2:$AE$3000,$B108&amp;"|"&amp;$D108,_calc!$A$2:$A$3000,$B$3,_calc!$C$2:$C$3000,M$6)))</f>
        <v/>
      </c>
      <c r="N108" s="50" t="str">
        <f>IF(OR($B108="",N$6=""),"",IF(COUNTIFS(_calc!$AE$2:$AE$3000,$B108&amp;"|"&amp;$D108,_calc!$A$2:$A$3000,$B$3,_calc!$C$2:$C$3000,N$6)=0,"",SUMIFS(_calc!$E$2:$E$3000,_calc!$AE$2:$AE$3000,$B108&amp;"|"&amp;$D108,_calc!$A$2:$A$3000,$B$3,_calc!$C$2:$C$3000,N$6)))</f>
        <v/>
      </c>
      <c r="O108" s="50" t="str">
        <f>IF(OR($B108="",O$6=""),"",IF(COUNTIFS(_calc!$AE$2:$AE$3000,$B108&amp;"|"&amp;$D108,_calc!$A$2:$A$3000,$B$3,_calc!$C$2:$C$3000,O$6)=0,"",SUMIFS(_calc!$E$2:$E$3000,_calc!$AE$2:$AE$3000,$B108&amp;"|"&amp;$D108,_calc!$A$2:$A$3000,$B$3,_calc!$C$2:$C$3000,O$6)))</f>
        <v/>
      </c>
      <c r="P108" s="50" t="str">
        <f>IF(OR($B108="",P$6=""),"",IF(COUNTIFS(_calc!$AE$2:$AE$3000,$B108&amp;"|"&amp;$D108,_calc!$A$2:$A$3000,$B$3,_calc!$C$2:$C$3000,P$6)=0,"",SUMIFS(_calc!$E$2:$E$3000,_calc!$AE$2:$AE$3000,$B108&amp;"|"&amp;$D108,_calc!$A$2:$A$3000,$B$3,_calc!$C$2:$C$3000,P$6)))</f>
        <v/>
      </c>
      <c r="Q108" s="50" t="str">
        <f>IF(OR($B108="",Q$6=""),"",IF(COUNTIFS(_calc!$AE$2:$AE$3000,$B108&amp;"|"&amp;$D108,_calc!$A$2:$A$3000,$B$3,_calc!$C$2:$C$3000,Q$6)=0,"",SUMIFS(_calc!$E$2:$E$3000,_calc!$AE$2:$AE$3000,$B108&amp;"|"&amp;$D108,_calc!$A$2:$A$3000,$B$3,_calc!$C$2:$C$3000,Q$6)))</f>
        <v/>
      </c>
      <c r="R108" s="50" t="str">
        <f>IF(OR($B108="",R$6=""),"",IF(COUNTIFS(_calc!$AE$2:$AE$3000,$B108&amp;"|"&amp;$D108,_calc!$A$2:$A$3000,$B$3,_calc!$C$2:$C$3000,R$6)=0,"",SUMIFS(_calc!$E$2:$E$3000,_calc!$AE$2:$AE$3000,$B108&amp;"|"&amp;$D108,_calc!$A$2:$A$3000,$B$3,_calc!$C$2:$C$3000,R$6)))</f>
        <v/>
      </c>
      <c r="S108" s="50" t="str">
        <f>IF(OR($B108="",S$6=""),"",IF(COUNTIFS(_calc!$AE$2:$AE$3000,$B108&amp;"|"&amp;$D108,_calc!$A$2:$A$3000,$B$3,_calc!$C$2:$C$3000,S$6)=0,"",SUMIFS(_calc!$E$2:$E$3000,_calc!$AE$2:$AE$3000,$B108&amp;"|"&amp;$D108,_calc!$A$2:$A$3000,$B$3,_calc!$C$2:$C$3000,S$6)))</f>
        <v/>
      </c>
      <c r="T108" s="50" t="str">
        <f>IF(OR($B108="",T$6=""),"",IF(COUNTIFS(_calc!$AE$2:$AE$3000,$B108&amp;"|"&amp;$D108,_calc!$A$2:$A$3000,$B$3,_calc!$C$2:$C$3000,T$6)=0,"",SUMIFS(_calc!$E$2:$E$3000,_calc!$AE$2:$AE$3000,$B108&amp;"|"&amp;$D108,_calc!$A$2:$A$3000,$B$3,_calc!$C$2:$C$3000,T$6)))</f>
        <v/>
      </c>
      <c r="U108" s="50" t="str">
        <f>IF(OR($B108="",U$6=""),"",IF(COUNTIFS(_calc!$AE$2:$AE$3000,$B108&amp;"|"&amp;$D108,_calc!$A$2:$A$3000,$B$3,_calc!$C$2:$C$3000,U$6)=0,"",SUMIFS(_calc!$E$2:$E$3000,_calc!$AE$2:$AE$3000,$B108&amp;"|"&amp;$D108,_calc!$A$2:$A$3000,$B$3,_calc!$C$2:$C$3000,U$6)))</f>
        <v/>
      </c>
      <c r="V108" s="50" t="str">
        <f>IF(OR($B108="",V$6=""),"",IF(COUNTIFS(_calc!$AE$2:$AE$3000,$B108&amp;"|"&amp;$D108,_calc!$A$2:$A$3000,$B$3,_calc!$C$2:$C$3000,V$6)=0,"",SUMIFS(_calc!$E$2:$E$3000,_calc!$AE$2:$AE$3000,$B108&amp;"|"&amp;$D108,_calc!$A$2:$A$3000,$B$3,_calc!$C$2:$C$3000,V$6)))</f>
        <v/>
      </c>
      <c r="W108" s="50" t="str">
        <f>IF(OR($B108="",W$6=""),"",IF(COUNTIFS(_calc!$AE$2:$AE$3000,$B108&amp;"|"&amp;$D108,_calc!$A$2:$A$3000,$B$3,_calc!$C$2:$C$3000,W$6)=0,"",SUMIFS(_calc!$E$2:$E$3000,_calc!$AE$2:$AE$3000,$B108&amp;"|"&amp;$D108,_calc!$A$2:$A$3000,$B$3,_calc!$C$2:$C$3000,W$6)))</f>
        <v/>
      </c>
      <c r="X108" s="50" t="str">
        <f>IF(OR($B108="",X$6=""),"",IF(COUNTIFS(_calc!$AE$2:$AE$3000,$B108&amp;"|"&amp;$D108,_calc!$A$2:$A$3000,$B$3,_calc!$C$2:$C$3000,X$6)=0,"",SUMIFS(_calc!$E$2:$E$3000,_calc!$AE$2:$AE$3000,$B108&amp;"|"&amp;$D108,_calc!$A$2:$A$3000,$B$3,_calc!$C$2:$C$3000,X$6)))</f>
        <v/>
      </c>
    </row>
    <row r="109" spans="1:24" x14ac:dyDescent="0.4">
      <c r="A109" s="48">
        <v>103</v>
      </c>
      <c r="B109" s="49" t="str">
        <f>IFERROR(INDEX(_calc!$I$2:$I$3000,MATCH($A109,_calc!$AB$2:$AB$3000,0)),"")</f>
        <v/>
      </c>
      <c r="C109" s="49" t="str">
        <f>IFERROR(INDEX(_calc!$H$2:$H$3000,MATCH($A109,_calc!$AB$2:$AB$3000,0)),"")</f>
        <v/>
      </c>
      <c r="D109" s="49" t="str">
        <f>IFERROR(INDEX(_calc!$K$2:$K$3000,MATCH($A109,_calc!$AB$2:$AB$3000,0)),"")</f>
        <v/>
      </c>
      <c r="E109" s="50" t="str">
        <f>IF(OR($B109="",E$6=""),"",IF(COUNTIFS(_calc!$AE$2:$AE$3000,$B109&amp;"|"&amp;$D109,_calc!$A$2:$A$3000,$B$3,_calc!$C$2:$C$3000,E$6)=0,"",SUMIFS(_calc!$E$2:$E$3000,_calc!$AE$2:$AE$3000,$B109&amp;"|"&amp;$D109,_calc!$A$2:$A$3000,$B$3,_calc!$C$2:$C$3000,E$6)))</f>
        <v/>
      </c>
      <c r="F109" s="50" t="str">
        <f>IF(OR($B109="",F$6=""),"",IF(COUNTIFS(_calc!$AE$2:$AE$3000,$B109&amp;"|"&amp;$D109,_calc!$A$2:$A$3000,$B$3,_calc!$C$2:$C$3000,F$6)=0,"",SUMIFS(_calc!$E$2:$E$3000,_calc!$AE$2:$AE$3000,$B109&amp;"|"&amp;$D109,_calc!$A$2:$A$3000,$B$3,_calc!$C$2:$C$3000,F$6)))</f>
        <v/>
      </c>
      <c r="G109" s="50" t="str">
        <f>IF(OR($B109="",G$6=""),"",IF(COUNTIFS(_calc!$AE$2:$AE$3000,$B109&amp;"|"&amp;$D109,_calc!$A$2:$A$3000,$B$3,_calc!$C$2:$C$3000,G$6)=0,"",SUMIFS(_calc!$E$2:$E$3000,_calc!$AE$2:$AE$3000,$B109&amp;"|"&amp;$D109,_calc!$A$2:$A$3000,$B$3,_calc!$C$2:$C$3000,G$6)))</f>
        <v/>
      </c>
      <c r="H109" s="50" t="str">
        <f>IF(OR($B109="",H$6=""),"",IF(COUNTIFS(_calc!$AE$2:$AE$3000,$B109&amp;"|"&amp;$D109,_calc!$A$2:$A$3000,$B$3,_calc!$C$2:$C$3000,H$6)=0,"",SUMIFS(_calc!$E$2:$E$3000,_calc!$AE$2:$AE$3000,$B109&amp;"|"&amp;$D109,_calc!$A$2:$A$3000,$B$3,_calc!$C$2:$C$3000,H$6)))</f>
        <v/>
      </c>
      <c r="I109" s="50" t="str">
        <f>IF(OR($B109="",I$6=""),"",IF(COUNTIFS(_calc!$AE$2:$AE$3000,$B109&amp;"|"&amp;$D109,_calc!$A$2:$A$3000,$B$3,_calc!$C$2:$C$3000,I$6)=0,"",SUMIFS(_calc!$E$2:$E$3000,_calc!$AE$2:$AE$3000,$B109&amp;"|"&amp;$D109,_calc!$A$2:$A$3000,$B$3,_calc!$C$2:$C$3000,I$6)))</f>
        <v/>
      </c>
      <c r="J109" s="50" t="str">
        <f>IF(OR($B109="",J$6=""),"",IF(COUNTIFS(_calc!$AE$2:$AE$3000,$B109&amp;"|"&amp;$D109,_calc!$A$2:$A$3000,$B$3,_calc!$C$2:$C$3000,J$6)=0,"",SUMIFS(_calc!$E$2:$E$3000,_calc!$AE$2:$AE$3000,$B109&amp;"|"&amp;$D109,_calc!$A$2:$A$3000,$B$3,_calc!$C$2:$C$3000,J$6)))</f>
        <v/>
      </c>
      <c r="K109" s="50" t="str">
        <f>IF(OR($B109="",K$6=""),"",IF(COUNTIFS(_calc!$AE$2:$AE$3000,$B109&amp;"|"&amp;$D109,_calc!$A$2:$A$3000,$B$3,_calc!$C$2:$C$3000,K$6)=0,"",SUMIFS(_calc!$E$2:$E$3000,_calc!$AE$2:$AE$3000,$B109&amp;"|"&amp;$D109,_calc!$A$2:$A$3000,$B$3,_calc!$C$2:$C$3000,K$6)))</f>
        <v/>
      </c>
      <c r="L109" s="50" t="str">
        <f>IF(OR($B109="",L$6=""),"",IF(COUNTIFS(_calc!$AE$2:$AE$3000,$B109&amp;"|"&amp;$D109,_calc!$A$2:$A$3000,$B$3,_calc!$C$2:$C$3000,L$6)=0,"",SUMIFS(_calc!$E$2:$E$3000,_calc!$AE$2:$AE$3000,$B109&amp;"|"&amp;$D109,_calc!$A$2:$A$3000,$B$3,_calc!$C$2:$C$3000,L$6)))</f>
        <v/>
      </c>
      <c r="M109" s="50" t="str">
        <f>IF(OR($B109="",M$6=""),"",IF(COUNTIFS(_calc!$AE$2:$AE$3000,$B109&amp;"|"&amp;$D109,_calc!$A$2:$A$3000,$B$3,_calc!$C$2:$C$3000,M$6)=0,"",SUMIFS(_calc!$E$2:$E$3000,_calc!$AE$2:$AE$3000,$B109&amp;"|"&amp;$D109,_calc!$A$2:$A$3000,$B$3,_calc!$C$2:$C$3000,M$6)))</f>
        <v/>
      </c>
      <c r="N109" s="50" t="str">
        <f>IF(OR($B109="",N$6=""),"",IF(COUNTIFS(_calc!$AE$2:$AE$3000,$B109&amp;"|"&amp;$D109,_calc!$A$2:$A$3000,$B$3,_calc!$C$2:$C$3000,N$6)=0,"",SUMIFS(_calc!$E$2:$E$3000,_calc!$AE$2:$AE$3000,$B109&amp;"|"&amp;$D109,_calc!$A$2:$A$3000,$B$3,_calc!$C$2:$C$3000,N$6)))</f>
        <v/>
      </c>
      <c r="O109" s="50" t="str">
        <f>IF(OR($B109="",O$6=""),"",IF(COUNTIFS(_calc!$AE$2:$AE$3000,$B109&amp;"|"&amp;$D109,_calc!$A$2:$A$3000,$B$3,_calc!$C$2:$C$3000,O$6)=0,"",SUMIFS(_calc!$E$2:$E$3000,_calc!$AE$2:$AE$3000,$B109&amp;"|"&amp;$D109,_calc!$A$2:$A$3000,$B$3,_calc!$C$2:$C$3000,O$6)))</f>
        <v/>
      </c>
      <c r="P109" s="50" t="str">
        <f>IF(OR($B109="",P$6=""),"",IF(COUNTIFS(_calc!$AE$2:$AE$3000,$B109&amp;"|"&amp;$D109,_calc!$A$2:$A$3000,$B$3,_calc!$C$2:$C$3000,P$6)=0,"",SUMIFS(_calc!$E$2:$E$3000,_calc!$AE$2:$AE$3000,$B109&amp;"|"&amp;$D109,_calc!$A$2:$A$3000,$B$3,_calc!$C$2:$C$3000,P$6)))</f>
        <v/>
      </c>
      <c r="Q109" s="50" t="str">
        <f>IF(OR($B109="",Q$6=""),"",IF(COUNTIFS(_calc!$AE$2:$AE$3000,$B109&amp;"|"&amp;$D109,_calc!$A$2:$A$3000,$B$3,_calc!$C$2:$C$3000,Q$6)=0,"",SUMIFS(_calc!$E$2:$E$3000,_calc!$AE$2:$AE$3000,$B109&amp;"|"&amp;$D109,_calc!$A$2:$A$3000,$B$3,_calc!$C$2:$C$3000,Q$6)))</f>
        <v/>
      </c>
      <c r="R109" s="50" t="str">
        <f>IF(OR($B109="",R$6=""),"",IF(COUNTIFS(_calc!$AE$2:$AE$3000,$B109&amp;"|"&amp;$D109,_calc!$A$2:$A$3000,$B$3,_calc!$C$2:$C$3000,R$6)=0,"",SUMIFS(_calc!$E$2:$E$3000,_calc!$AE$2:$AE$3000,$B109&amp;"|"&amp;$D109,_calc!$A$2:$A$3000,$B$3,_calc!$C$2:$C$3000,R$6)))</f>
        <v/>
      </c>
      <c r="S109" s="50" t="str">
        <f>IF(OR($B109="",S$6=""),"",IF(COUNTIFS(_calc!$AE$2:$AE$3000,$B109&amp;"|"&amp;$D109,_calc!$A$2:$A$3000,$B$3,_calc!$C$2:$C$3000,S$6)=0,"",SUMIFS(_calc!$E$2:$E$3000,_calc!$AE$2:$AE$3000,$B109&amp;"|"&amp;$D109,_calc!$A$2:$A$3000,$B$3,_calc!$C$2:$C$3000,S$6)))</f>
        <v/>
      </c>
      <c r="T109" s="50" t="str">
        <f>IF(OR($B109="",T$6=""),"",IF(COUNTIFS(_calc!$AE$2:$AE$3000,$B109&amp;"|"&amp;$D109,_calc!$A$2:$A$3000,$B$3,_calc!$C$2:$C$3000,T$6)=0,"",SUMIFS(_calc!$E$2:$E$3000,_calc!$AE$2:$AE$3000,$B109&amp;"|"&amp;$D109,_calc!$A$2:$A$3000,$B$3,_calc!$C$2:$C$3000,T$6)))</f>
        <v/>
      </c>
      <c r="U109" s="50" t="str">
        <f>IF(OR($B109="",U$6=""),"",IF(COUNTIFS(_calc!$AE$2:$AE$3000,$B109&amp;"|"&amp;$D109,_calc!$A$2:$A$3000,$B$3,_calc!$C$2:$C$3000,U$6)=0,"",SUMIFS(_calc!$E$2:$E$3000,_calc!$AE$2:$AE$3000,$B109&amp;"|"&amp;$D109,_calc!$A$2:$A$3000,$B$3,_calc!$C$2:$C$3000,U$6)))</f>
        <v/>
      </c>
      <c r="V109" s="50" t="str">
        <f>IF(OR($B109="",V$6=""),"",IF(COUNTIFS(_calc!$AE$2:$AE$3000,$B109&amp;"|"&amp;$D109,_calc!$A$2:$A$3000,$B$3,_calc!$C$2:$C$3000,V$6)=0,"",SUMIFS(_calc!$E$2:$E$3000,_calc!$AE$2:$AE$3000,$B109&amp;"|"&amp;$D109,_calc!$A$2:$A$3000,$B$3,_calc!$C$2:$C$3000,V$6)))</f>
        <v/>
      </c>
      <c r="W109" s="50" t="str">
        <f>IF(OR($B109="",W$6=""),"",IF(COUNTIFS(_calc!$AE$2:$AE$3000,$B109&amp;"|"&amp;$D109,_calc!$A$2:$A$3000,$B$3,_calc!$C$2:$C$3000,W$6)=0,"",SUMIFS(_calc!$E$2:$E$3000,_calc!$AE$2:$AE$3000,$B109&amp;"|"&amp;$D109,_calc!$A$2:$A$3000,$B$3,_calc!$C$2:$C$3000,W$6)))</f>
        <v/>
      </c>
      <c r="X109" s="50" t="str">
        <f>IF(OR($B109="",X$6=""),"",IF(COUNTIFS(_calc!$AE$2:$AE$3000,$B109&amp;"|"&amp;$D109,_calc!$A$2:$A$3000,$B$3,_calc!$C$2:$C$3000,X$6)=0,"",SUMIFS(_calc!$E$2:$E$3000,_calc!$AE$2:$AE$3000,$B109&amp;"|"&amp;$D109,_calc!$A$2:$A$3000,$B$3,_calc!$C$2:$C$3000,X$6)))</f>
        <v/>
      </c>
    </row>
    <row r="110" spans="1:24" x14ac:dyDescent="0.4">
      <c r="A110" s="48">
        <v>104</v>
      </c>
      <c r="B110" s="49" t="str">
        <f>IFERROR(INDEX(_calc!$I$2:$I$3000,MATCH($A110,_calc!$AB$2:$AB$3000,0)),"")</f>
        <v/>
      </c>
      <c r="C110" s="49" t="str">
        <f>IFERROR(INDEX(_calc!$H$2:$H$3000,MATCH($A110,_calc!$AB$2:$AB$3000,0)),"")</f>
        <v/>
      </c>
      <c r="D110" s="49" t="str">
        <f>IFERROR(INDEX(_calc!$K$2:$K$3000,MATCH($A110,_calc!$AB$2:$AB$3000,0)),"")</f>
        <v/>
      </c>
      <c r="E110" s="50" t="str">
        <f>IF(OR($B110="",E$6=""),"",IF(COUNTIFS(_calc!$AE$2:$AE$3000,$B110&amp;"|"&amp;$D110,_calc!$A$2:$A$3000,$B$3,_calc!$C$2:$C$3000,E$6)=0,"",SUMIFS(_calc!$E$2:$E$3000,_calc!$AE$2:$AE$3000,$B110&amp;"|"&amp;$D110,_calc!$A$2:$A$3000,$B$3,_calc!$C$2:$C$3000,E$6)))</f>
        <v/>
      </c>
      <c r="F110" s="50" t="str">
        <f>IF(OR($B110="",F$6=""),"",IF(COUNTIFS(_calc!$AE$2:$AE$3000,$B110&amp;"|"&amp;$D110,_calc!$A$2:$A$3000,$B$3,_calc!$C$2:$C$3000,F$6)=0,"",SUMIFS(_calc!$E$2:$E$3000,_calc!$AE$2:$AE$3000,$B110&amp;"|"&amp;$D110,_calc!$A$2:$A$3000,$B$3,_calc!$C$2:$C$3000,F$6)))</f>
        <v/>
      </c>
      <c r="G110" s="50" t="str">
        <f>IF(OR($B110="",G$6=""),"",IF(COUNTIFS(_calc!$AE$2:$AE$3000,$B110&amp;"|"&amp;$D110,_calc!$A$2:$A$3000,$B$3,_calc!$C$2:$C$3000,G$6)=0,"",SUMIFS(_calc!$E$2:$E$3000,_calc!$AE$2:$AE$3000,$B110&amp;"|"&amp;$D110,_calc!$A$2:$A$3000,$B$3,_calc!$C$2:$C$3000,G$6)))</f>
        <v/>
      </c>
      <c r="H110" s="50" t="str">
        <f>IF(OR($B110="",H$6=""),"",IF(COUNTIFS(_calc!$AE$2:$AE$3000,$B110&amp;"|"&amp;$D110,_calc!$A$2:$A$3000,$B$3,_calc!$C$2:$C$3000,H$6)=0,"",SUMIFS(_calc!$E$2:$E$3000,_calc!$AE$2:$AE$3000,$B110&amp;"|"&amp;$D110,_calc!$A$2:$A$3000,$B$3,_calc!$C$2:$C$3000,H$6)))</f>
        <v/>
      </c>
      <c r="I110" s="50" t="str">
        <f>IF(OR($B110="",I$6=""),"",IF(COUNTIFS(_calc!$AE$2:$AE$3000,$B110&amp;"|"&amp;$D110,_calc!$A$2:$A$3000,$B$3,_calc!$C$2:$C$3000,I$6)=0,"",SUMIFS(_calc!$E$2:$E$3000,_calc!$AE$2:$AE$3000,$B110&amp;"|"&amp;$D110,_calc!$A$2:$A$3000,$B$3,_calc!$C$2:$C$3000,I$6)))</f>
        <v/>
      </c>
      <c r="J110" s="50" t="str">
        <f>IF(OR($B110="",J$6=""),"",IF(COUNTIFS(_calc!$AE$2:$AE$3000,$B110&amp;"|"&amp;$D110,_calc!$A$2:$A$3000,$B$3,_calc!$C$2:$C$3000,J$6)=0,"",SUMIFS(_calc!$E$2:$E$3000,_calc!$AE$2:$AE$3000,$B110&amp;"|"&amp;$D110,_calc!$A$2:$A$3000,$B$3,_calc!$C$2:$C$3000,J$6)))</f>
        <v/>
      </c>
      <c r="K110" s="50" t="str">
        <f>IF(OR($B110="",K$6=""),"",IF(COUNTIFS(_calc!$AE$2:$AE$3000,$B110&amp;"|"&amp;$D110,_calc!$A$2:$A$3000,$B$3,_calc!$C$2:$C$3000,K$6)=0,"",SUMIFS(_calc!$E$2:$E$3000,_calc!$AE$2:$AE$3000,$B110&amp;"|"&amp;$D110,_calc!$A$2:$A$3000,$B$3,_calc!$C$2:$C$3000,K$6)))</f>
        <v/>
      </c>
      <c r="L110" s="50" t="str">
        <f>IF(OR($B110="",L$6=""),"",IF(COUNTIFS(_calc!$AE$2:$AE$3000,$B110&amp;"|"&amp;$D110,_calc!$A$2:$A$3000,$B$3,_calc!$C$2:$C$3000,L$6)=0,"",SUMIFS(_calc!$E$2:$E$3000,_calc!$AE$2:$AE$3000,$B110&amp;"|"&amp;$D110,_calc!$A$2:$A$3000,$B$3,_calc!$C$2:$C$3000,L$6)))</f>
        <v/>
      </c>
      <c r="M110" s="50" t="str">
        <f>IF(OR($B110="",M$6=""),"",IF(COUNTIFS(_calc!$AE$2:$AE$3000,$B110&amp;"|"&amp;$D110,_calc!$A$2:$A$3000,$B$3,_calc!$C$2:$C$3000,M$6)=0,"",SUMIFS(_calc!$E$2:$E$3000,_calc!$AE$2:$AE$3000,$B110&amp;"|"&amp;$D110,_calc!$A$2:$A$3000,$B$3,_calc!$C$2:$C$3000,M$6)))</f>
        <v/>
      </c>
      <c r="N110" s="50" t="str">
        <f>IF(OR($B110="",N$6=""),"",IF(COUNTIFS(_calc!$AE$2:$AE$3000,$B110&amp;"|"&amp;$D110,_calc!$A$2:$A$3000,$B$3,_calc!$C$2:$C$3000,N$6)=0,"",SUMIFS(_calc!$E$2:$E$3000,_calc!$AE$2:$AE$3000,$B110&amp;"|"&amp;$D110,_calc!$A$2:$A$3000,$B$3,_calc!$C$2:$C$3000,N$6)))</f>
        <v/>
      </c>
      <c r="O110" s="50" t="str">
        <f>IF(OR($B110="",O$6=""),"",IF(COUNTIFS(_calc!$AE$2:$AE$3000,$B110&amp;"|"&amp;$D110,_calc!$A$2:$A$3000,$B$3,_calc!$C$2:$C$3000,O$6)=0,"",SUMIFS(_calc!$E$2:$E$3000,_calc!$AE$2:$AE$3000,$B110&amp;"|"&amp;$D110,_calc!$A$2:$A$3000,$B$3,_calc!$C$2:$C$3000,O$6)))</f>
        <v/>
      </c>
      <c r="P110" s="50" t="str">
        <f>IF(OR($B110="",P$6=""),"",IF(COUNTIFS(_calc!$AE$2:$AE$3000,$B110&amp;"|"&amp;$D110,_calc!$A$2:$A$3000,$B$3,_calc!$C$2:$C$3000,P$6)=0,"",SUMIFS(_calc!$E$2:$E$3000,_calc!$AE$2:$AE$3000,$B110&amp;"|"&amp;$D110,_calc!$A$2:$A$3000,$B$3,_calc!$C$2:$C$3000,P$6)))</f>
        <v/>
      </c>
      <c r="Q110" s="50" t="str">
        <f>IF(OR($B110="",Q$6=""),"",IF(COUNTIFS(_calc!$AE$2:$AE$3000,$B110&amp;"|"&amp;$D110,_calc!$A$2:$A$3000,$B$3,_calc!$C$2:$C$3000,Q$6)=0,"",SUMIFS(_calc!$E$2:$E$3000,_calc!$AE$2:$AE$3000,$B110&amp;"|"&amp;$D110,_calc!$A$2:$A$3000,$B$3,_calc!$C$2:$C$3000,Q$6)))</f>
        <v/>
      </c>
      <c r="R110" s="50" t="str">
        <f>IF(OR($B110="",R$6=""),"",IF(COUNTIFS(_calc!$AE$2:$AE$3000,$B110&amp;"|"&amp;$D110,_calc!$A$2:$A$3000,$B$3,_calc!$C$2:$C$3000,R$6)=0,"",SUMIFS(_calc!$E$2:$E$3000,_calc!$AE$2:$AE$3000,$B110&amp;"|"&amp;$D110,_calc!$A$2:$A$3000,$B$3,_calc!$C$2:$C$3000,R$6)))</f>
        <v/>
      </c>
      <c r="S110" s="50" t="str">
        <f>IF(OR($B110="",S$6=""),"",IF(COUNTIFS(_calc!$AE$2:$AE$3000,$B110&amp;"|"&amp;$D110,_calc!$A$2:$A$3000,$B$3,_calc!$C$2:$C$3000,S$6)=0,"",SUMIFS(_calc!$E$2:$E$3000,_calc!$AE$2:$AE$3000,$B110&amp;"|"&amp;$D110,_calc!$A$2:$A$3000,$B$3,_calc!$C$2:$C$3000,S$6)))</f>
        <v/>
      </c>
      <c r="T110" s="50" t="str">
        <f>IF(OR($B110="",T$6=""),"",IF(COUNTIFS(_calc!$AE$2:$AE$3000,$B110&amp;"|"&amp;$D110,_calc!$A$2:$A$3000,$B$3,_calc!$C$2:$C$3000,T$6)=0,"",SUMIFS(_calc!$E$2:$E$3000,_calc!$AE$2:$AE$3000,$B110&amp;"|"&amp;$D110,_calc!$A$2:$A$3000,$B$3,_calc!$C$2:$C$3000,T$6)))</f>
        <v/>
      </c>
      <c r="U110" s="50" t="str">
        <f>IF(OR($B110="",U$6=""),"",IF(COUNTIFS(_calc!$AE$2:$AE$3000,$B110&amp;"|"&amp;$D110,_calc!$A$2:$A$3000,$B$3,_calc!$C$2:$C$3000,U$6)=0,"",SUMIFS(_calc!$E$2:$E$3000,_calc!$AE$2:$AE$3000,$B110&amp;"|"&amp;$D110,_calc!$A$2:$A$3000,$B$3,_calc!$C$2:$C$3000,U$6)))</f>
        <v/>
      </c>
      <c r="V110" s="50" t="str">
        <f>IF(OR($B110="",V$6=""),"",IF(COUNTIFS(_calc!$AE$2:$AE$3000,$B110&amp;"|"&amp;$D110,_calc!$A$2:$A$3000,$B$3,_calc!$C$2:$C$3000,V$6)=0,"",SUMIFS(_calc!$E$2:$E$3000,_calc!$AE$2:$AE$3000,$B110&amp;"|"&amp;$D110,_calc!$A$2:$A$3000,$B$3,_calc!$C$2:$C$3000,V$6)))</f>
        <v/>
      </c>
      <c r="W110" s="50" t="str">
        <f>IF(OR($B110="",W$6=""),"",IF(COUNTIFS(_calc!$AE$2:$AE$3000,$B110&amp;"|"&amp;$D110,_calc!$A$2:$A$3000,$B$3,_calc!$C$2:$C$3000,W$6)=0,"",SUMIFS(_calc!$E$2:$E$3000,_calc!$AE$2:$AE$3000,$B110&amp;"|"&amp;$D110,_calc!$A$2:$A$3000,$B$3,_calc!$C$2:$C$3000,W$6)))</f>
        <v/>
      </c>
      <c r="X110" s="50" t="str">
        <f>IF(OR($B110="",X$6=""),"",IF(COUNTIFS(_calc!$AE$2:$AE$3000,$B110&amp;"|"&amp;$D110,_calc!$A$2:$A$3000,$B$3,_calc!$C$2:$C$3000,X$6)=0,"",SUMIFS(_calc!$E$2:$E$3000,_calc!$AE$2:$AE$3000,$B110&amp;"|"&amp;$D110,_calc!$A$2:$A$3000,$B$3,_calc!$C$2:$C$3000,X$6)))</f>
        <v/>
      </c>
    </row>
    <row r="111" spans="1:24" x14ac:dyDescent="0.4">
      <c r="A111" s="48">
        <v>105</v>
      </c>
      <c r="B111" s="49" t="str">
        <f>IFERROR(INDEX(_calc!$I$2:$I$3000,MATCH($A111,_calc!$AB$2:$AB$3000,0)),"")</f>
        <v/>
      </c>
      <c r="C111" s="49" t="str">
        <f>IFERROR(INDEX(_calc!$H$2:$H$3000,MATCH($A111,_calc!$AB$2:$AB$3000,0)),"")</f>
        <v/>
      </c>
      <c r="D111" s="49" t="str">
        <f>IFERROR(INDEX(_calc!$K$2:$K$3000,MATCH($A111,_calc!$AB$2:$AB$3000,0)),"")</f>
        <v/>
      </c>
      <c r="E111" s="50" t="str">
        <f>IF(OR($B111="",E$6=""),"",IF(COUNTIFS(_calc!$AE$2:$AE$3000,$B111&amp;"|"&amp;$D111,_calc!$A$2:$A$3000,$B$3,_calc!$C$2:$C$3000,E$6)=0,"",SUMIFS(_calc!$E$2:$E$3000,_calc!$AE$2:$AE$3000,$B111&amp;"|"&amp;$D111,_calc!$A$2:$A$3000,$B$3,_calc!$C$2:$C$3000,E$6)))</f>
        <v/>
      </c>
      <c r="F111" s="50" t="str">
        <f>IF(OR($B111="",F$6=""),"",IF(COUNTIFS(_calc!$AE$2:$AE$3000,$B111&amp;"|"&amp;$D111,_calc!$A$2:$A$3000,$B$3,_calc!$C$2:$C$3000,F$6)=0,"",SUMIFS(_calc!$E$2:$E$3000,_calc!$AE$2:$AE$3000,$B111&amp;"|"&amp;$D111,_calc!$A$2:$A$3000,$B$3,_calc!$C$2:$C$3000,F$6)))</f>
        <v/>
      </c>
      <c r="G111" s="50" t="str">
        <f>IF(OR($B111="",G$6=""),"",IF(COUNTIFS(_calc!$AE$2:$AE$3000,$B111&amp;"|"&amp;$D111,_calc!$A$2:$A$3000,$B$3,_calc!$C$2:$C$3000,G$6)=0,"",SUMIFS(_calc!$E$2:$E$3000,_calc!$AE$2:$AE$3000,$B111&amp;"|"&amp;$D111,_calc!$A$2:$A$3000,$B$3,_calc!$C$2:$C$3000,G$6)))</f>
        <v/>
      </c>
      <c r="H111" s="50" t="str">
        <f>IF(OR($B111="",H$6=""),"",IF(COUNTIFS(_calc!$AE$2:$AE$3000,$B111&amp;"|"&amp;$D111,_calc!$A$2:$A$3000,$B$3,_calc!$C$2:$C$3000,H$6)=0,"",SUMIFS(_calc!$E$2:$E$3000,_calc!$AE$2:$AE$3000,$B111&amp;"|"&amp;$D111,_calc!$A$2:$A$3000,$B$3,_calc!$C$2:$C$3000,H$6)))</f>
        <v/>
      </c>
      <c r="I111" s="50" t="str">
        <f>IF(OR($B111="",I$6=""),"",IF(COUNTIFS(_calc!$AE$2:$AE$3000,$B111&amp;"|"&amp;$D111,_calc!$A$2:$A$3000,$B$3,_calc!$C$2:$C$3000,I$6)=0,"",SUMIFS(_calc!$E$2:$E$3000,_calc!$AE$2:$AE$3000,$B111&amp;"|"&amp;$D111,_calc!$A$2:$A$3000,$B$3,_calc!$C$2:$C$3000,I$6)))</f>
        <v/>
      </c>
      <c r="J111" s="50" t="str">
        <f>IF(OR($B111="",J$6=""),"",IF(COUNTIFS(_calc!$AE$2:$AE$3000,$B111&amp;"|"&amp;$D111,_calc!$A$2:$A$3000,$B$3,_calc!$C$2:$C$3000,J$6)=0,"",SUMIFS(_calc!$E$2:$E$3000,_calc!$AE$2:$AE$3000,$B111&amp;"|"&amp;$D111,_calc!$A$2:$A$3000,$B$3,_calc!$C$2:$C$3000,J$6)))</f>
        <v/>
      </c>
      <c r="K111" s="50" t="str">
        <f>IF(OR($B111="",K$6=""),"",IF(COUNTIFS(_calc!$AE$2:$AE$3000,$B111&amp;"|"&amp;$D111,_calc!$A$2:$A$3000,$B$3,_calc!$C$2:$C$3000,K$6)=0,"",SUMIFS(_calc!$E$2:$E$3000,_calc!$AE$2:$AE$3000,$B111&amp;"|"&amp;$D111,_calc!$A$2:$A$3000,$B$3,_calc!$C$2:$C$3000,K$6)))</f>
        <v/>
      </c>
      <c r="L111" s="50" t="str">
        <f>IF(OR($B111="",L$6=""),"",IF(COUNTIFS(_calc!$AE$2:$AE$3000,$B111&amp;"|"&amp;$D111,_calc!$A$2:$A$3000,$B$3,_calc!$C$2:$C$3000,L$6)=0,"",SUMIFS(_calc!$E$2:$E$3000,_calc!$AE$2:$AE$3000,$B111&amp;"|"&amp;$D111,_calc!$A$2:$A$3000,$B$3,_calc!$C$2:$C$3000,L$6)))</f>
        <v/>
      </c>
      <c r="M111" s="50" t="str">
        <f>IF(OR($B111="",M$6=""),"",IF(COUNTIFS(_calc!$AE$2:$AE$3000,$B111&amp;"|"&amp;$D111,_calc!$A$2:$A$3000,$B$3,_calc!$C$2:$C$3000,M$6)=0,"",SUMIFS(_calc!$E$2:$E$3000,_calc!$AE$2:$AE$3000,$B111&amp;"|"&amp;$D111,_calc!$A$2:$A$3000,$B$3,_calc!$C$2:$C$3000,M$6)))</f>
        <v/>
      </c>
      <c r="N111" s="50" t="str">
        <f>IF(OR($B111="",N$6=""),"",IF(COUNTIFS(_calc!$AE$2:$AE$3000,$B111&amp;"|"&amp;$D111,_calc!$A$2:$A$3000,$B$3,_calc!$C$2:$C$3000,N$6)=0,"",SUMIFS(_calc!$E$2:$E$3000,_calc!$AE$2:$AE$3000,$B111&amp;"|"&amp;$D111,_calc!$A$2:$A$3000,$B$3,_calc!$C$2:$C$3000,N$6)))</f>
        <v/>
      </c>
      <c r="O111" s="50" t="str">
        <f>IF(OR($B111="",O$6=""),"",IF(COUNTIFS(_calc!$AE$2:$AE$3000,$B111&amp;"|"&amp;$D111,_calc!$A$2:$A$3000,$B$3,_calc!$C$2:$C$3000,O$6)=0,"",SUMIFS(_calc!$E$2:$E$3000,_calc!$AE$2:$AE$3000,$B111&amp;"|"&amp;$D111,_calc!$A$2:$A$3000,$B$3,_calc!$C$2:$C$3000,O$6)))</f>
        <v/>
      </c>
      <c r="P111" s="50" t="str">
        <f>IF(OR($B111="",P$6=""),"",IF(COUNTIFS(_calc!$AE$2:$AE$3000,$B111&amp;"|"&amp;$D111,_calc!$A$2:$A$3000,$B$3,_calc!$C$2:$C$3000,P$6)=0,"",SUMIFS(_calc!$E$2:$E$3000,_calc!$AE$2:$AE$3000,$B111&amp;"|"&amp;$D111,_calc!$A$2:$A$3000,$B$3,_calc!$C$2:$C$3000,P$6)))</f>
        <v/>
      </c>
      <c r="Q111" s="50" t="str">
        <f>IF(OR($B111="",Q$6=""),"",IF(COUNTIFS(_calc!$AE$2:$AE$3000,$B111&amp;"|"&amp;$D111,_calc!$A$2:$A$3000,$B$3,_calc!$C$2:$C$3000,Q$6)=0,"",SUMIFS(_calc!$E$2:$E$3000,_calc!$AE$2:$AE$3000,$B111&amp;"|"&amp;$D111,_calc!$A$2:$A$3000,$B$3,_calc!$C$2:$C$3000,Q$6)))</f>
        <v/>
      </c>
      <c r="R111" s="50" t="str">
        <f>IF(OR($B111="",R$6=""),"",IF(COUNTIFS(_calc!$AE$2:$AE$3000,$B111&amp;"|"&amp;$D111,_calc!$A$2:$A$3000,$B$3,_calc!$C$2:$C$3000,R$6)=0,"",SUMIFS(_calc!$E$2:$E$3000,_calc!$AE$2:$AE$3000,$B111&amp;"|"&amp;$D111,_calc!$A$2:$A$3000,$B$3,_calc!$C$2:$C$3000,R$6)))</f>
        <v/>
      </c>
      <c r="S111" s="50" t="str">
        <f>IF(OR($B111="",S$6=""),"",IF(COUNTIFS(_calc!$AE$2:$AE$3000,$B111&amp;"|"&amp;$D111,_calc!$A$2:$A$3000,$B$3,_calc!$C$2:$C$3000,S$6)=0,"",SUMIFS(_calc!$E$2:$E$3000,_calc!$AE$2:$AE$3000,$B111&amp;"|"&amp;$D111,_calc!$A$2:$A$3000,$B$3,_calc!$C$2:$C$3000,S$6)))</f>
        <v/>
      </c>
      <c r="T111" s="50" t="str">
        <f>IF(OR($B111="",T$6=""),"",IF(COUNTIFS(_calc!$AE$2:$AE$3000,$B111&amp;"|"&amp;$D111,_calc!$A$2:$A$3000,$B$3,_calc!$C$2:$C$3000,T$6)=0,"",SUMIFS(_calc!$E$2:$E$3000,_calc!$AE$2:$AE$3000,$B111&amp;"|"&amp;$D111,_calc!$A$2:$A$3000,$B$3,_calc!$C$2:$C$3000,T$6)))</f>
        <v/>
      </c>
      <c r="U111" s="50" t="str">
        <f>IF(OR($B111="",U$6=""),"",IF(COUNTIFS(_calc!$AE$2:$AE$3000,$B111&amp;"|"&amp;$D111,_calc!$A$2:$A$3000,$B$3,_calc!$C$2:$C$3000,U$6)=0,"",SUMIFS(_calc!$E$2:$E$3000,_calc!$AE$2:$AE$3000,$B111&amp;"|"&amp;$D111,_calc!$A$2:$A$3000,$B$3,_calc!$C$2:$C$3000,U$6)))</f>
        <v/>
      </c>
      <c r="V111" s="50" t="str">
        <f>IF(OR($B111="",V$6=""),"",IF(COUNTIFS(_calc!$AE$2:$AE$3000,$B111&amp;"|"&amp;$D111,_calc!$A$2:$A$3000,$B$3,_calc!$C$2:$C$3000,V$6)=0,"",SUMIFS(_calc!$E$2:$E$3000,_calc!$AE$2:$AE$3000,$B111&amp;"|"&amp;$D111,_calc!$A$2:$A$3000,$B$3,_calc!$C$2:$C$3000,V$6)))</f>
        <v/>
      </c>
      <c r="W111" s="50" t="str">
        <f>IF(OR($B111="",W$6=""),"",IF(COUNTIFS(_calc!$AE$2:$AE$3000,$B111&amp;"|"&amp;$D111,_calc!$A$2:$A$3000,$B$3,_calc!$C$2:$C$3000,W$6)=0,"",SUMIFS(_calc!$E$2:$E$3000,_calc!$AE$2:$AE$3000,$B111&amp;"|"&amp;$D111,_calc!$A$2:$A$3000,$B$3,_calc!$C$2:$C$3000,W$6)))</f>
        <v/>
      </c>
      <c r="X111" s="50" t="str">
        <f>IF(OR($B111="",X$6=""),"",IF(COUNTIFS(_calc!$AE$2:$AE$3000,$B111&amp;"|"&amp;$D111,_calc!$A$2:$A$3000,$B$3,_calc!$C$2:$C$3000,X$6)=0,"",SUMIFS(_calc!$E$2:$E$3000,_calc!$AE$2:$AE$3000,$B111&amp;"|"&amp;$D111,_calc!$A$2:$A$3000,$B$3,_calc!$C$2:$C$3000,X$6)))</f>
        <v/>
      </c>
    </row>
    <row r="112" spans="1:24" x14ac:dyDescent="0.4">
      <c r="A112" s="48">
        <v>106</v>
      </c>
      <c r="B112" s="49" t="str">
        <f>IFERROR(INDEX(_calc!$I$2:$I$3000,MATCH($A112,_calc!$AB$2:$AB$3000,0)),"")</f>
        <v/>
      </c>
      <c r="C112" s="49" t="str">
        <f>IFERROR(INDEX(_calc!$H$2:$H$3000,MATCH($A112,_calc!$AB$2:$AB$3000,0)),"")</f>
        <v/>
      </c>
      <c r="D112" s="49" t="str">
        <f>IFERROR(INDEX(_calc!$K$2:$K$3000,MATCH($A112,_calc!$AB$2:$AB$3000,0)),"")</f>
        <v/>
      </c>
      <c r="E112" s="50" t="str">
        <f>IF(OR($B112="",E$6=""),"",IF(COUNTIFS(_calc!$AE$2:$AE$3000,$B112&amp;"|"&amp;$D112,_calc!$A$2:$A$3000,$B$3,_calc!$C$2:$C$3000,E$6)=0,"",SUMIFS(_calc!$E$2:$E$3000,_calc!$AE$2:$AE$3000,$B112&amp;"|"&amp;$D112,_calc!$A$2:$A$3000,$B$3,_calc!$C$2:$C$3000,E$6)))</f>
        <v/>
      </c>
      <c r="F112" s="50" t="str">
        <f>IF(OR($B112="",F$6=""),"",IF(COUNTIFS(_calc!$AE$2:$AE$3000,$B112&amp;"|"&amp;$D112,_calc!$A$2:$A$3000,$B$3,_calc!$C$2:$C$3000,F$6)=0,"",SUMIFS(_calc!$E$2:$E$3000,_calc!$AE$2:$AE$3000,$B112&amp;"|"&amp;$D112,_calc!$A$2:$A$3000,$B$3,_calc!$C$2:$C$3000,F$6)))</f>
        <v/>
      </c>
      <c r="G112" s="50" t="str">
        <f>IF(OR($B112="",G$6=""),"",IF(COUNTIFS(_calc!$AE$2:$AE$3000,$B112&amp;"|"&amp;$D112,_calc!$A$2:$A$3000,$B$3,_calc!$C$2:$C$3000,G$6)=0,"",SUMIFS(_calc!$E$2:$E$3000,_calc!$AE$2:$AE$3000,$B112&amp;"|"&amp;$D112,_calc!$A$2:$A$3000,$B$3,_calc!$C$2:$C$3000,G$6)))</f>
        <v/>
      </c>
      <c r="H112" s="50" t="str">
        <f>IF(OR($B112="",H$6=""),"",IF(COUNTIFS(_calc!$AE$2:$AE$3000,$B112&amp;"|"&amp;$D112,_calc!$A$2:$A$3000,$B$3,_calc!$C$2:$C$3000,H$6)=0,"",SUMIFS(_calc!$E$2:$E$3000,_calc!$AE$2:$AE$3000,$B112&amp;"|"&amp;$D112,_calc!$A$2:$A$3000,$B$3,_calc!$C$2:$C$3000,H$6)))</f>
        <v/>
      </c>
      <c r="I112" s="50" t="str">
        <f>IF(OR($B112="",I$6=""),"",IF(COUNTIFS(_calc!$AE$2:$AE$3000,$B112&amp;"|"&amp;$D112,_calc!$A$2:$A$3000,$B$3,_calc!$C$2:$C$3000,I$6)=0,"",SUMIFS(_calc!$E$2:$E$3000,_calc!$AE$2:$AE$3000,$B112&amp;"|"&amp;$D112,_calc!$A$2:$A$3000,$B$3,_calc!$C$2:$C$3000,I$6)))</f>
        <v/>
      </c>
      <c r="J112" s="50" t="str">
        <f>IF(OR($B112="",J$6=""),"",IF(COUNTIFS(_calc!$AE$2:$AE$3000,$B112&amp;"|"&amp;$D112,_calc!$A$2:$A$3000,$B$3,_calc!$C$2:$C$3000,J$6)=0,"",SUMIFS(_calc!$E$2:$E$3000,_calc!$AE$2:$AE$3000,$B112&amp;"|"&amp;$D112,_calc!$A$2:$A$3000,$B$3,_calc!$C$2:$C$3000,J$6)))</f>
        <v/>
      </c>
      <c r="K112" s="50" t="str">
        <f>IF(OR($B112="",K$6=""),"",IF(COUNTIFS(_calc!$AE$2:$AE$3000,$B112&amp;"|"&amp;$D112,_calc!$A$2:$A$3000,$B$3,_calc!$C$2:$C$3000,K$6)=0,"",SUMIFS(_calc!$E$2:$E$3000,_calc!$AE$2:$AE$3000,$B112&amp;"|"&amp;$D112,_calc!$A$2:$A$3000,$B$3,_calc!$C$2:$C$3000,K$6)))</f>
        <v/>
      </c>
      <c r="L112" s="50" t="str">
        <f>IF(OR($B112="",L$6=""),"",IF(COUNTIFS(_calc!$AE$2:$AE$3000,$B112&amp;"|"&amp;$D112,_calc!$A$2:$A$3000,$B$3,_calc!$C$2:$C$3000,L$6)=0,"",SUMIFS(_calc!$E$2:$E$3000,_calc!$AE$2:$AE$3000,$B112&amp;"|"&amp;$D112,_calc!$A$2:$A$3000,$B$3,_calc!$C$2:$C$3000,L$6)))</f>
        <v/>
      </c>
      <c r="M112" s="50" t="str">
        <f>IF(OR($B112="",M$6=""),"",IF(COUNTIFS(_calc!$AE$2:$AE$3000,$B112&amp;"|"&amp;$D112,_calc!$A$2:$A$3000,$B$3,_calc!$C$2:$C$3000,M$6)=0,"",SUMIFS(_calc!$E$2:$E$3000,_calc!$AE$2:$AE$3000,$B112&amp;"|"&amp;$D112,_calc!$A$2:$A$3000,$B$3,_calc!$C$2:$C$3000,M$6)))</f>
        <v/>
      </c>
      <c r="N112" s="50" t="str">
        <f>IF(OR($B112="",N$6=""),"",IF(COUNTIFS(_calc!$AE$2:$AE$3000,$B112&amp;"|"&amp;$D112,_calc!$A$2:$A$3000,$B$3,_calc!$C$2:$C$3000,N$6)=0,"",SUMIFS(_calc!$E$2:$E$3000,_calc!$AE$2:$AE$3000,$B112&amp;"|"&amp;$D112,_calc!$A$2:$A$3000,$B$3,_calc!$C$2:$C$3000,N$6)))</f>
        <v/>
      </c>
      <c r="O112" s="50" t="str">
        <f>IF(OR($B112="",O$6=""),"",IF(COUNTIFS(_calc!$AE$2:$AE$3000,$B112&amp;"|"&amp;$D112,_calc!$A$2:$A$3000,$B$3,_calc!$C$2:$C$3000,O$6)=0,"",SUMIFS(_calc!$E$2:$E$3000,_calc!$AE$2:$AE$3000,$B112&amp;"|"&amp;$D112,_calc!$A$2:$A$3000,$B$3,_calc!$C$2:$C$3000,O$6)))</f>
        <v/>
      </c>
      <c r="P112" s="50" t="str">
        <f>IF(OR($B112="",P$6=""),"",IF(COUNTIFS(_calc!$AE$2:$AE$3000,$B112&amp;"|"&amp;$D112,_calc!$A$2:$A$3000,$B$3,_calc!$C$2:$C$3000,P$6)=0,"",SUMIFS(_calc!$E$2:$E$3000,_calc!$AE$2:$AE$3000,$B112&amp;"|"&amp;$D112,_calc!$A$2:$A$3000,$B$3,_calc!$C$2:$C$3000,P$6)))</f>
        <v/>
      </c>
      <c r="Q112" s="50" t="str">
        <f>IF(OR($B112="",Q$6=""),"",IF(COUNTIFS(_calc!$AE$2:$AE$3000,$B112&amp;"|"&amp;$D112,_calc!$A$2:$A$3000,$B$3,_calc!$C$2:$C$3000,Q$6)=0,"",SUMIFS(_calc!$E$2:$E$3000,_calc!$AE$2:$AE$3000,$B112&amp;"|"&amp;$D112,_calc!$A$2:$A$3000,$B$3,_calc!$C$2:$C$3000,Q$6)))</f>
        <v/>
      </c>
      <c r="R112" s="50" t="str">
        <f>IF(OR($B112="",R$6=""),"",IF(COUNTIFS(_calc!$AE$2:$AE$3000,$B112&amp;"|"&amp;$D112,_calc!$A$2:$A$3000,$B$3,_calc!$C$2:$C$3000,R$6)=0,"",SUMIFS(_calc!$E$2:$E$3000,_calc!$AE$2:$AE$3000,$B112&amp;"|"&amp;$D112,_calc!$A$2:$A$3000,$B$3,_calc!$C$2:$C$3000,R$6)))</f>
        <v/>
      </c>
      <c r="S112" s="50" t="str">
        <f>IF(OR($B112="",S$6=""),"",IF(COUNTIFS(_calc!$AE$2:$AE$3000,$B112&amp;"|"&amp;$D112,_calc!$A$2:$A$3000,$B$3,_calc!$C$2:$C$3000,S$6)=0,"",SUMIFS(_calc!$E$2:$E$3000,_calc!$AE$2:$AE$3000,$B112&amp;"|"&amp;$D112,_calc!$A$2:$A$3000,$B$3,_calc!$C$2:$C$3000,S$6)))</f>
        <v/>
      </c>
      <c r="T112" s="50" t="str">
        <f>IF(OR($B112="",T$6=""),"",IF(COUNTIFS(_calc!$AE$2:$AE$3000,$B112&amp;"|"&amp;$D112,_calc!$A$2:$A$3000,$B$3,_calc!$C$2:$C$3000,T$6)=0,"",SUMIFS(_calc!$E$2:$E$3000,_calc!$AE$2:$AE$3000,$B112&amp;"|"&amp;$D112,_calc!$A$2:$A$3000,$B$3,_calc!$C$2:$C$3000,T$6)))</f>
        <v/>
      </c>
      <c r="U112" s="50" t="str">
        <f>IF(OR($B112="",U$6=""),"",IF(COUNTIFS(_calc!$AE$2:$AE$3000,$B112&amp;"|"&amp;$D112,_calc!$A$2:$A$3000,$B$3,_calc!$C$2:$C$3000,U$6)=0,"",SUMIFS(_calc!$E$2:$E$3000,_calc!$AE$2:$AE$3000,$B112&amp;"|"&amp;$D112,_calc!$A$2:$A$3000,$B$3,_calc!$C$2:$C$3000,U$6)))</f>
        <v/>
      </c>
      <c r="V112" s="50" t="str">
        <f>IF(OR($B112="",V$6=""),"",IF(COUNTIFS(_calc!$AE$2:$AE$3000,$B112&amp;"|"&amp;$D112,_calc!$A$2:$A$3000,$B$3,_calc!$C$2:$C$3000,V$6)=0,"",SUMIFS(_calc!$E$2:$E$3000,_calc!$AE$2:$AE$3000,$B112&amp;"|"&amp;$D112,_calc!$A$2:$A$3000,$B$3,_calc!$C$2:$C$3000,V$6)))</f>
        <v/>
      </c>
      <c r="W112" s="50" t="str">
        <f>IF(OR($B112="",W$6=""),"",IF(COUNTIFS(_calc!$AE$2:$AE$3000,$B112&amp;"|"&amp;$D112,_calc!$A$2:$A$3000,$B$3,_calc!$C$2:$C$3000,W$6)=0,"",SUMIFS(_calc!$E$2:$E$3000,_calc!$AE$2:$AE$3000,$B112&amp;"|"&amp;$D112,_calc!$A$2:$A$3000,$B$3,_calc!$C$2:$C$3000,W$6)))</f>
        <v/>
      </c>
      <c r="X112" s="50" t="str">
        <f>IF(OR($B112="",X$6=""),"",IF(COUNTIFS(_calc!$AE$2:$AE$3000,$B112&amp;"|"&amp;$D112,_calc!$A$2:$A$3000,$B$3,_calc!$C$2:$C$3000,X$6)=0,"",SUMIFS(_calc!$E$2:$E$3000,_calc!$AE$2:$AE$3000,$B112&amp;"|"&amp;$D112,_calc!$A$2:$A$3000,$B$3,_calc!$C$2:$C$3000,X$6)))</f>
        <v/>
      </c>
    </row>
    <row r="113" spans="1:24" x14ac:dyDescent="0.4">
      <c r="A113" s="48">
        <v>107</v>
      </c>
      <c r="B113" s="49" t="str">
        <f>IFERROR(INDEX(_calc!$I$2:$I$3000,MATCH($A113,_calc!$AB$2:$AB$3000,0)),"")</f>
        <v/>
      </c>
      <c r="C113" s="49" t="str">
        <f>IFERROR(INDEX(_calc!$H$2:$H$3000,MATCH($A113,_calc!$AB$2:$AB$3000,0)),"")</f>
        <v/>
      </c>
      <c r="D113" s="49" t="str">
        <f>IFERROR(INDEX(_calc!$K$2:$K$3000,MATCH($A113,_calc!$AB$2:$AB$3000,0)),"")</f>
        <v/>
      </c>
      <c r="E113" s="50" t="str">
        <f>IF(OR($B113="",E$6=""),"",IF(COUNTIFS(_calc!$AE$2:$AE$3000,$B113&amp;"|"&amp;$D113,_calc!$A$2:$A$3000,$B$3,_calc!$C$2:$C$3000,E$6)=0,"",SUMIFS(_calc!$E$2:$E$3000,_calc!$AE$2:$AE$3000,$B113&amp;"|"&amp;$D113,_calc!$A$2:$A$3000,$B$3,_calc!$C$2:$C$3000,E$6)))</f>
        <v/>
      </c>
      <c r="F113" s="50" t="str">
        <f>IF(OR($B113="",F$6=""),"",IF(COUNTIFS(_calc!$AE$2:$AE$3000,$B113&amp;"|"&amp;$D113,_calc!$A$2:$A$3000,$B$3,_calc!$C$2:$C$3000,F$6)=0,"",SUMIFS(_calc!$E$2:$E$3000,_calc!$AE$2:$AE$3000,$B113&amp;"|"&amp;$D113,_calc!$A$2:$A$3000,$B$3,_calc!$C$2:$C$3000,F$6)))</f>
        <v/>
      </c>
      <c r="G113" s="50" t="str">
        <f>IF(OR($B113="",G$6=""),"",IF(COUNTIFS(_calc!$AE$2:$AE$3000,$B113&amp;"|"&amp;$D113,_calc!$A$2:$A$3000,$B$3,_calc!$C$2:$C$3000,G$6)=0,"",SUMIFS(_calc!$E$2:$E$3000,_calc!$AE$2:$AE$3000,$B113&amp;"|"&amp;$D113,_calc!$A$2:$A$3000,$B$3,_calc!$C$2:$C$3000,G$6)))</f>
        <v/>
      </c>
      <c r="H113" s="50" t="str">
        <f>IF(OR($B113="",H$6=""),"",IF(COUNTIFS(_calc!$AE$2:$AE$3000,$B113&amp;"|"&amp;$D113,_calc!$A$2:$A$3000,$B$3,_calc!$C$2:$C$3000,H$6)=0,"",SUMIFS(_calc!$E$2:$E$3000,_calc!$AE$2:$AE$3000,$B113&amp;"|"&amp;$D113,_calc!$A$2:$A$3000,$B$3,_calc!$C$2:$C$3000,H$6)))</f>
        <v/>
      </c>
      <c r="I113" s="50" t="str">
        <f>IF(OR($B113="",I$6=""),"",IF(COUNTIFS(_calc!$AE$2:$AE$3000,$B113&amp;"|"&amp;$D113,_calc!$A$2:$A$3000,$B$3,_calc!$C$2:$C$3000,I$6)=0,"",SUMIFS(_calc!$E$2:$E$3000,_calc!$AE$2:$AE$3000,$B113&amp;"|"&amp;$D113,_calc!$A$2:$A$3000,$B$3,_calc!$C$2:$C$3000,I$6)))</f>
        <v/>
      </c>
      <c r="J113" s="50" t="str">
        <f>IF(OR($B113="",J$6=""),"",IF(COUNTIFS(_calc!$AE$2:$AE$3000,$B113&amp;"|"&amp;$D113,_calc!$A$2:$A$3000,$B$3,_calc!$C$2:$C$3000,J$6)=0,"",SUMIFS(_calc!$E$2:$E$3000,_calc!$AE$2:$AE$3000,$B113&amp;"|"&amp;$D113,_calc!$A$2:$A$3000,$B$3,_calc!$C$2:$C$3000,J$6)))</f>
        <v/>
      </c>
      <c r="K113" s="50" t="str">
        <f>IF(OR($B113="",K$6=""),"",IF(COUNTIFS(_calc!$AE$2:$AE$3000,$B113&amp;"|"&amp;$D113,_calc!$A$2:$A$3000,$B$3,_calc!$C$2:$C$3000,K$6)=0,"",SUMIFS(_calc!$E$2:$E$3000,_calc!$AE$2:$AE$3000,$B113&amp;"|"&amp;$D113,_calc!$A$2:$A$3000,$B$3,_calc!$C$2:$C$3000,K$6)))</f>
        <v/>
      </c>
      <c r="L113" s="50" t="str">
        <f>IF(OR($B113="",L$6=""),"",IF(COUNTIFS(_calc!$AE$2:$AE$3000,$B113&amp;"|"&amp;$D113,_calc!$A$2:$A$3000,$B$3,_calc!$C$2:$C$3000,L$6)=0,"",SUMIFS(_calc!$E$2:$E$3000,_calc!$AE$2:$AE$3000,$B113&amp;"|"&amp;$D113,_calc!$A$2:$A$3000,$B$3,_calc!$C$2:$C$3000,L$6)))</f>
        <v/>
      </c>
      <c r="M113" s="50" t="str">
        <f>IF(OR($B113="",M$6=""),"",IF(COUNTIFS(_calc!$AE$2:$AE$3000,$B113&amp;"|"&amp;$D113,_calc!$A$2:$A$3000,$B$3,_calc!$C$2:$C$3000,M$6)=0,"",SUMIFS(_calc!$E$2:$E$3000,_calc!$AE$2:$AE$3000,$B113&amp;"|"&amp;$D113,_calc!$A$2:$A$3000,$B$3,_calc!$C$2:$C$3000,M$6)))</f>
        <v/>
      </c>
      <c r="N113" s="50" t="str">
        <f>IF(OR($B113="",N$6=""),"",IF(COUNTIFS(_calc!$AE$2:$AE$3000,$B113&amp;"|"&amp;$D113,_calc!$A$2:$A$3000,$B$3,_calc!$C$2:$C$3000,N$6)=0,"",SUMIFS(_calc!$E$2:$E$3000,_calc!$AE$2:$AE$3000,$B113&amp;"|"&amp;$D113,_calc!$A$2:$A$3000,$B$3,_calc!$C$2:$C$3000,N$6)))</f>
        <v/>
      </c>
      <c r="O113" s="50" t="str">
        <f>IF(OR($B113="",O$6=""),"",IF(COUNTIFS(_calc!$AE$2:$AE$3000,$B113&amp;"|"&amp;$D113,_calc!$A$2:$A$3000,$B$3,_calc!$C$2:$C$3000,O$6)=0,"",SUMIFS(_calc!$E$2:$E$3000,_calc!$AE$2:$AE$3000,$B113&amp;"|"&amp;$D113,_calc!$A$2:$A$3000,$B$3,_calc!$C$2:$C$3000,O$6)))</f>
        <v/>
      </c>
      <c r="P113" s="50" t="str">
        <f>IF(OR($B113="",P$6=""),"",IF(COUNTIFS(_calc!$AE$2:$AE$3000,$B113&amp;"|"&amp;$D113,_calc!$A$2:$A$3000,$B$3,_calc!$C$2:$C$3000,P$6)=0,"",SUMIFS(_calc!$E$2:$E$3000,_calc!$AE$2:$AE$3000,$B113&amp;"|"&amp;$D113,_calc!$A$2:$A$3000,$B$3,_calc!$C$2:$C$3000,P$6)))</f>
        <v/>
      </c>
      <c r="Q113" s="50" t="str">
        <f>IF(OR($B113="",Q$6=""),"",IF(COUNTIFS(_calc!$AE$2:$AE$3000,$B113&amp;"|"&amp;$D113,_calc!$A$2:$A$3000,$B$3,_calc!$C$2:$C$3000,Q$6)=0,"",SUMIFS(_calc!$E$2:$E$3000,_calc!$AE$2:$AE$3000,$B113&amp;"|"&amp;$D113,_calc!$A$2:$A$3000,$B$3,_calc!$C$2:$C$3000,Q$6)))</f>
        <v/>
      </c>
      <c r="R113" s="50" t="str">
        <f>IF(OR($B113="",R$6=""),"",IF(COUNTIFS(_calc!$AE$2:$AE$3000,$B113&amp;"|"&amp;$D113,_calc!$A$2:$A$3000,$B$3,_calc!$C$2:$C$3000,R$6)=0,"",SUMIFS(_calc!$E$2:$E$3000,_calc!$AE$2:$AE$3000,$B113&amp;"|"&amp;$D113,_calc!$A$2:$A$3000,$B$3,_calc!$C$2:$C$3000,R$6)))</f>
        <v/>
      </c>
      <c r="S113" s="50" t="str">
        <f>IF(OR($B113="",S$6=""),"",IF(COUNTIFS(_calc!$AE$2:$AE$3000,$B113&amp;"|"&amp;$D113,_calc!$A$2:$A$3000,$B$3,_calc!$C$2:$C$3000,S$6)=0,"",SUMIFS(_calc!$E$2:$E$3000,_calc!$AE$2:$AE$3000,$B113&amp;"|"&amp;$D113,_calc!$A$2:$A$3000,$B$3,_calc!$C$2:$C$3000,S$6)))</f>
        <v/>
      </c>
      <c r="T113" s="50" t="str">
        <f>IF(OR($B113="",T$6=""),"",IF(COUNTIFS(_calc!$AE$2:$AE$3000,$B113&amp;"|"&amp;$D113,_calc!$A$2:$A$3000,$B$3,_calc!$C$2:$C$3000,T$6)=0,"",SUMIFS(_calc!$E$2:$E$3000,_calc!$AE$2:$AE$3000,$B113&amp;"|"&amp;$D113,_calc!$A$2:$A$3000,$B$3,_calc!$C$2:$C$3000,T$6)))</f>
        <v/>
      </c>
      <c r="U113" s="50" t="str">
        <f>IF(OR($B113="",U$6=""),"",IF(COUNTIFS(_calc!$AE$2:$AE$3000,$B113&amp;"|"&amp;$D113,_calc!$A$2:$A$3000,$B$3,_calc!$C$2:$C$3000,U$6)=0,"",SUMIFS(_calc!$E$2:$E$3000,_calc!$AE$2:$AE$3000,$B113&amp;"|"&amp;$D113,_calc!$A$2:$A$3000,$B$3,_calc!$C$2:$C$3000,U$6)))</f>
        <v/>
      </c>
      <c r="V113" s="50" t="str">
        <f>IF(OR($B113="",V$6=""),"",IF(COUNTIFS(_calc!$AE$2:$AE$3000,$B113&amp;"|"&amp;$D113,_calc!$A$2:$A$3000,$B$3,_calc!$C$2:$C$3000,V$6)=0,"",SUMIFS(_calc!$E$2:$E$3000,_calc!$AE$2:$AE$3000,$B113&amp;"|"&amp;$D113,_calc!$A$2:$A$3000,$B$3,_calc!$C$2:$C$3000,V$6)))</f>
        <v/>
      </c>
      <c r="W113" s="50" t="str">
        <f>IF(OR($B113="",W$6=""),"",IF(COUNTIFS(_calc!$AE$2:$AE$3000,$B113&amp;"|"&amp;$D113,_calc!$A$2:$A$3000,$B$3,_calc!$C$2:$C$3000,W$6)=0,"",SUMIFS(_calc!$E$2:$E$3000,_calc!$AE$2:$AE$3000,$B113&amp;"|"&amp;$D113,_calc!$A$2:$A$3000,$B$3,_calc!$C$2:$C$3000,W$6)))</f>
        <v/>
      </c>
      <c r="X113" s="50" t="str">
        <f>IF(OR($B113="",X$6=""),"",IF(COUNTIFS(_calc!$AE$2:$AE$3000,$B113&amp;"|"&amp;$D113,_calc!$A$2:$A$3000,$B$3,_calc!$C$2:$C$3000,X$6)=0,"",SUMIFS(_calc!$E$2:$E$3000,_calc!$AE$2:$AE$3000,$B113&amp;"|"&amp;$D113,_calc!$A$2:$A$3000,$B$3,_calc!$C$2:$C$3000,X$6)))</f>
        <v/>
      </c>
    </row>
    <row r="114" spans="1:24" x14ac:dyDescent="0.4">
      <c r="A114" s="48">
        <v>108</v>
      </c>
      <c r="B114" s="49" t="str">
        <f>IFERROR(INDEX(_calc!$I$2:$I$3000,MATCH($A114,_calc!$AB$2:$AB$3000,0)),"")</f>
        <v/>
      </c>
      <c r="C114" s="49" t="str">
        <f>IFERROR(INDEX(_calc!$H$2:$H$3000,MATCH($A114,_calc!$AB$2:$AB$3000,0)),"")</f>
        <v/>
      </c>
      <c r="D114" s="49" t="str">
        <f>IFERROR(INDEX(_calc!$K$2:$K$3000,MATCH($A114,_calc!$AB$2:$AB$3000,0)),"")</f>
        <v/>
      </c>
      <c r="E114" s="50" t="str">
        <f>IF(OR($B114="",E$6=""),"",IF(COUNTIFS(_calc!$AE$2:$AE$3000,$B114&amp;"|"&amp;$D114,_calc!$A$2:$A$3000,$B$3,_calc!$C$2:$C$3000,E$6)=0,"",SUMIFS(_calc!$E$2:$E$3000,_calc!$AE$2:$AE$3000,$B114&amp;"|"&amp;$D114,_calc!$A$2:$A$3000,$B$3,_calc!$C$2:$C$3000,E$6)))</f>
        <v/>
      </c>
      <c r="F114" s="50" t="str">
        <f>IF(OR($B114="",F$6=""),"",IF(COUNTIFS(_calc!$AE$2:$AE$3000,$B114&amp;"|"&amp;$D114,_calc!$A$2:$A$3000,$B$3,_calc!$C$2:$C$3000,F$6)=0,"",SUMIFS(_calc!$E$2:$E$3000,_calc!$AE$2:$AE$3000,$B114&amp;"|"&amp;$D114,_calc!$A$2:$A$3000,$B$3,_calc!$C$2:$C$3000,F$6)))</f>
        <v/>
      </c>
      <c r="G114" s="50" t="str">
        <f>IF(OR($B114="",G$6=""),"",IF(COUNTIFS(_calc!$AE$2:$AE$3000,$B114&amp;"|"&amp;$D114,_calc!$A$2:$A$3000,$B$3,_calc!$C$2:$C$3000,G$6)=0,"",SUMIFS(_calc!$E$2:$E$3000,_calc!$AE$2:$AE$3000,$B114&amp;"|"&amp;$D114,_calc!$A$2:$A$3000,$B$3,_calc!$C$2:$C$3000,G$6)))</f>
        <v/>
      </c>
      <c r="H114" s="50" t="str">
        <f>IF(OR($B114="",H$6=""),"",IF(COUNTIFS(_calc!$AE$2:$AE$3000,$B114&amp;"|"&amp;$D114,_calc!$A$2:$A$3000,$B$3,_calc!$C$2:$C$3000,H$6)=0,"",SUMIFS(_calc!$E$2:$E$3000,_calc!$AE$2:$AE$3000,$B114&amp;"|"&amp;$D114,_calc!$A$2:$A$3000,$B$3,_calc!$C$2:$C$3000,H$6)))</f>
        <v/>
      </c>
      <c r="I114" s="50" t="str">
        <f>IF(OR($B114="",I$6=""),"",IF(COUNTIFS(_calc!$AE$2:$AE$3000,$B114&amp;"|"&amp;$D114,_calc!$A$2:$A$3000,$B$3,_calc!$C$2:$C$3000,I$6)=0,"",SUMIFS(_calc!$E$2:$E$3000,_calc!$AE$2:$AE$3000,$B114&amp;"|"&amp;$D114,_calc!$A$2:$A$3000,$B$3,_calc!$C$2:$C$3000,I$6)))</f>
        <v/>
      </c>
      <c r="J114" s="50" t="str">
        <f>IF(OR($B114="",J$6=""),"",IF(COUNTIFS(_calc!$AE$2:$AE$3000,$B114&amp;"|"&amp;$D114,_calc!$A$2:$A$3000,$B$3,_calc!$C$2:$C$3000,J$6)=0,"",SUMIFS(_calc!$E$2:$E$3000,_calc!$AE$2:$AE$3000,$B114&amp;"|"&amp;$D114,_calc!$A$2:$A$3000,$B$3,_calc!$C$2:$C$3000,J$6)))</f>
        <v/>
      </c>
      <c r="K114" s="50" t="str">
        <f>IF(OR($B114="",K$6=""),"",IF(COUNTIFS(_calc!$AE$2:$AE$3000,$B114&amp;"|"&amp;$D114,_calc!$A$2:$A$3000,$B$3,_calc!$C$2:$C$3000,K$6)=0,"",SUMIFS(_calc!$E$2:$E$3000,_calc!$AE$2:$AE$3000,$B114&amp;"|"&amp;$D114,_calc!$A$2:$A$3000,$B$3,_calc!$C$2:$C$3000,K$6)))</f>
        <v/>
      </c>
      <c r="L114" s="50" t="str">
        <f>IF(OR($B114="",L$6=""),"",IF(COUNTIFS(_calc!$AE$2:$AE$3000,$B114&amp;"|"&amp;$D114,_calc!$A$2:$A$3000,$B$3,_calc!$C$2:$C$3000,L$6)=0,"",SUMIFS(_calc!$E$2:$E$3000,_calc!$AE$2:$AE$3000,$B114&amp;"|"&amp;$D114,_calc!$A$2:$A$3000,$B$3,_calc!$C$2:$C$3000,L$6)))</f>
        <v/>
      </c>
      <c r="M114" s="50" t="str">
        <f>IF(OR($B114="",M$6=""),"",IF(COUNTIFS(_calc!$AE$2:$AE$3000,$B114&amp;"|"&amp;$D114,_calc!$A$2:$A$3000,$B$3,_calc!$C$2:$C$3000,M$6)=0,"",SUMIFS(_calc!$E$2:$E$3000,_calc!$AE$2:$AE$3000,$B114&amp;"|"&amp;$D114,_calc!$A$2:$A$3000,$B$3,_calc!$C$2:$C$3000,M$6)))</f>
        <v/>
      </c>
      <c r="N114" s="50" t="str">
        <f>IF(OR($B114="",N$6=""),"",IF(COUNTIFS(_calc!$AE$2:$AE$3000,$B114&amp;"|"&amp;$D114,_calc!$A$2:$A$3000,$B$3,_calc!$C$2:$C$3000,N$6)=0,"",SUMIFS(_calc!$E$2:$E$3000,_calc!$AE$2:$AE$3000,$B114&amp;"|"&amp;$D114,_calc!$A$2:$A$3000,$B$3,_calc!$C$2:$C$3000,N$6)))</f>
        <v/>
      </c>
      <c r="O114" s="50" t="str">
        <f>IF(OR($B114="",O$6=""),"",IF(COUNTIFS(_calc!$AE$2:$AE$3000,$B114&amp;"|"&amp;$D114,_calc!$A$2:$A$3000,$B$3,_calc!$C$2:$C$3000,O$6)=0,"",SUMIFS(_calc!$E$2:$E$3000,_calc!$AE$2:$AE$3000,$B114&amp;"|"&amp;$D114,_calc!$A$2:$A$3000,$B$3,_calc!$C$2:$C$3000,O$6)))</f>
        <v/>
      </c>
      <c r="P114" s="50" t="str">
        <f>IF(OR($B114="",P$6=""),"",IF(COUNTIFS(_calc!$AE$2:$AE$3000,$B114&amp;"|"&amp;$D114,_calc!$A$2:$A$3000,$B$3,_calc!$C$2:$C$3000,P$6)=0,"",SUMIFS(_calc!$E$2:$E$3000,_calc!$AE$2:$AE$3000,$B114&amp;"|"&amp;$D114,_calc!$A$2:$A$3000,$B$3,_calc!$C$2:$C$3000,P$6)))</f>
        <v/>
      </c>
      <c r="Q114" s="50" t="str">
        <f>IF(OR($B114="",Q$6=""),"",IF(COUNTIFS(_calc!$AE$2:$AE$3000,$B114&amp;"|"&amp;$D114,_calc!$A$2:$A$3000,$B$3,_calc!$C$2:$C$3000,Q$6)=0,"",SUMIFS(_calc!$E$2:$E$3000,_calc!$AE$2:$AE$3000,$B114&amp;"|"&amp;$D114,_calc!$A$2:$A$3000,$B$3,_calc!$C$2:$C$3000,Q$6)))</f>
        <v/>
      </c>
      <c r="R114" s="50" t="str">
        <f>IF(OR($B114="",R$6=""),"",IF(COUNTIFS(_calc!$AE$2:$AE$3000,$B114&amp;"|"&amp;$D114,_calc!$A$2:$A$3000,$B$3,_calc!$C$2:$C$3000,R$6)=0,"",SUMIFS(_calc!$E$2:$E$3000,_calc!$AE$2:$AE$3000,$B114&amp;"|"&amp;$D114,_calc!$A$2:$A$3000,$B$3,_calc!$C$2:$C$3000,R$6)))</f>
        <v/>
      </c>
      <c r="S114" s="50" t="str">
        <f>IF(OR($B114="",S$6=""),"",IF(COUNTIFS(_calc!$AE$2:$AE$3000,$B114&amp;"|"&amp;$D114,_calc!$A$2:$A$3000,$B$3,_calc!$C$2:$C$3000,S$6)=0,"",SUMIFS(_calc!$E$2:$E$3000,_calc!$AE$2:$AE$3000,$B114&amp;"|"&amp;$D114,_calc!$A$2:$A$3000,$B$3,_calc!$C$2:$C$3000,S$6)))</f>
        <v/>
      </c>
      <c r="T114" s="50" t="str">
        <f>IF(OR($B114="",T$6=""),"",IF(COUNTIFS(_calc!$AE$2:$AE$3000,$B114&amp;"|"&amp;$D114,_calc!$A$2:$A$3000,$B$3,_calc!$C$2:$C$3000,T$6)=0,"",SUMIFS(_calc!$E$2:$E$3000,_calc!$AE$2:$AE$3000,$B114&amp;"|"&amp;$D114,_calc!$A$2:$A$3000,$B$3,_calc!$C$2:$C$3000,T$6)))</f>
        <v/>
      </c>
      <c r="U114" s="50" t="str">
        <f>IF(OR($B114="",U$6=""),"",IF(COUNTIFS(_calc!$AE$2:$AE$3000,$B114&amp;"|"&amp;$D114,_calc!$A$2:$A$3000,$B$3,_calc!$C$2:$C$3000,U$6)=0,"",SUMIFS(_calc!$E$2:$E$3000,_calc!$AE$2:$AE$3000,$B114&amp;"|"&amp;$D114,_calc!$A$2:$A$3000,$B$3,_calc!$C$2:$C$3000,U$6)))</f>
        <v/>
      </c>
      <c r="V114" s="50" t="str">
        <f>IF(OR($B114="",V$6=""),"",IF(COUNTIFS(_calc!$AE$2:$AE$3000,$B114&amp;"|"&amp;$D114,_calc!$A$2:$A$3000,$B$3,_calc!$C$2:$C$3000,V$6)=0,"",SUMIFS(_calc!$E$2:$E$3000,_calc!$AE$2:$AE$3000,$B114&amp;"|"&amp;$D114,_calc!$A$2:$A$3000,$B$3,_calc!$C$2:$C$3000,V$6)))</f>
        <v/>
      </c>
      <c r="W114" s="50" t="str">
        <f>IF(OR($B114="",W$6=""),"",IF(COUNTIFS(_calc!$AE$2:$AE$3000,$B114&amp;"|"&amp;$D114,_calc!$A$2:$A$3000,$B$3,_calc!$C$2:$C$3000,W$6)=0,"",SUMIFS(_calc!$E$2:$E$3000,_calc!$AE$2:$AE$3000,$B114&amp;"|"&amp;$D114,_calc!$A$2:$A$3000,$B$3,_calc!$C$2:$C$3000,W$6)))</f>
        <v/>
      </c>
      <c r="X114" s="50" t="str">
        <f>IF(OR($B114="",X$6=""),"",IF(COUNTIFS(_calc!$AE$2:$AE$3000,$B114&amp;"|"&amp;$D114,_calc!$A$2:$A$3000,$B$3,_calc!$C$2:$C$3000,X$6)=0,"",SUMIFS(_calc!$E$2:$E$3000,_calc!$AE$2:$AE$3000,$B114&amp;"|"&amp;$D114,_calc!$A$2:$A$3000,$B$3,_calc!$C$2:$C$3000,X$6)))</f>
        <v/>
      </c>
    </row>
    <row r="115" spans="1:24" x14ac:dyDescent="0.4">
      <c r="A115" s="48">
        <v>109</v>
      </c>
      <c r="B115" s="49" t="str">
        <f>IFERROR(INDEX(_calc!$I$2:$I$3000,MATCH($A115,_calc!$AB$2:$AB$3000,0)),"")</f>
        <v/>
      </c>
      <c r="C115" s="49" t="str">
        <f>IFERROR(INDEX(_calc!$H$2:$H$3000,MATCH($A115,_calc!$AB$2:$AB$3000,0)),"")</f>
        <v/>
      </c>
      <c r="D115" s="49" t="str">
        <f>IFERROR(INDEX(_calc!$K$2:$K$3000,MATCH($A115,_calc!$AB$2:$AB$3000,0)),"")</f>
        <v/>
      </c>
      <c r="E115" s="50" t="str">
        <f>IF(OR($B115="",E$6=""),"",IF(COUNTIFS(_calc!$AE$2:$AE$3000,$B115&amp;"|"&amp;$D115,_calc!$A$2:$A$3000,$B$3,_calc!$C$2:$C$3000,E$6)=0,"",SUMIFS(_calc!$E$2:$E$3000,_calc!$AE$2:$AE$3000,$B115&amp;"|"&amp;$D115,_calc!$A$2:$A$3000,$B$3,_calc!$C$2:$C$3000,E$6)))</f>
        <v/>
      </c>
      <c r="F115" s="50" t="str">
        <f>IF(OR($B115="",F$6=""),"",IF(COUNTIFS(_calc!$AE$2:$AE$3000,$B115&amp;"|"&amp;$D115,_calc!$A$2:$A$3000,$B$3,_calc!$C$2:$C$3000,F$6)=0,"",SUMIFS(_calc!$E$2:$E$3000,_calc!$AE$2:$AE$3000,$B115&amp;"|"&amp;$D115,_calc!$A$2:$A$3000,$B$3,_calc!$C$2:$C$3000,F$6)))</f>
        <v/>
      </c>
      <c r="G115" s="50" t="str">
        <f>IF(OR($B115="",G$6=""),"",IF(COUNTIFS(_calc!$AE$2:$AE$3000,$B115&amp;"|"&amp;$D115,_calc!$A$2:$A$3000,$B$3,_calc!$C$2:$C$3000,G$6)=0,"",SUMIFS(_calc!$E$2:$E$3000,_calc!$AE$2:$AE$3000,$B115&amp;"|"&amp;$D115,_calc!$A$2:$A$3000,$B$3,_calc!$C$2:$C$3000,G$6)))</f>
        <v/>
      </c>
      <c r="H115" s="50" t="str">
        <f>IF(OR($B115="",H$6=""),"",IF(COUNTIFS(_calc!$AE$2:$AE$3000,$B115&amp;"|"&amp;$D115,_calc!$A$2:$A$3000,$B$3,_calc!$C$2:$C$3000,H$6)=0,"",SUMIFS(_calc!$E$2:$E$3000,_calc!$AE$2:$AE$3000,$B115&amp;"|"&amp;$D115,_calc!$A$2:$A$3000,$B$3,_calc!$C$2:$C$3000,H$6)))</f>
        <v/>
      </c>
      <c r="I115" s="50" t="str">
        <f>IF(OR($B115="",I$6=""),"",IF(COUNTIFS(_calc!$AE$2:$AE$3000,$B115&amp;"|"&amp;$D115,_calc!$A$2:$A$3000,$B$3,_calc!$C$2:$C$3000,I$6)=0,"",SUMIFS(_calc!$E$2:$E$3000,_calc!$AE$2:$AE$3000,$B115&amp;"|"&amp;$D115,_calc!$A$2:$A$3000,$B$3,_calc!$C$2:$C$3000,I$6)))</f>
        <v/>
      </c>
      <c r="J115" s="50" t="str">
        <f>IF(OR($B115="",J$6=""),"",IF(COUNTIFS(_calc!$AE$2:$AE$3000,$B115&amp;"|"&amp;$D115,_calc!$A$2:$A$3000,$B$3,_calc!$C$2:$C$3000,J$6)=0,"",SUMIFS(_calc!$E$2:$E$3000,_calc!$AE$2:$AE$3000,$B115&amp;"|"&amp;$D115,_calc!$A$2:$A$3000,$B$3,_calc!$C$2:$C$3000,J$6)))</f>
        <v/>
      </c>
      <c r="K115" s="50" t="str">
        <f>IF(OR($B115="",K$6=""),"",IF(COUNTIFS(_calc!$AE$2:$AE$3000,$B115&amp;"|"&amp;$D115,_calc!$A$2:$A$3000,$B$3,_calc!$C$2:$C$3000,K$6)=0,"",SUMIFS(_calc!$E$2:$E$3000,_calc!$AE$2:$AE$3000,$B115&amp;"|"&amp;$D115,_calc!$A$2:$A$3000,$B$3,_calc!$C$2:$C$3000,K$6)))</f>
        <v/>
      </c>
      <c r="L115" s="50" t="str">
        <f>IF(OR($B115="",L$6=""),"",IF(COUNTIFS(_calc!$AE$2:$AE$3000,$B115&amp;"|"&amp;$D115,_calc!$A$2:$A$3000,$B$3,_calc!$C$2:$C$3000,L$6)=0,"",SUMIFS(_calc!$E$2:$E$3000,_calc!$AE$2:$AE$3000,$B115&amp;"|"&amp;$D115,_calc!$A$2:$A$3000,$B$3,_calc!$C$2:$C$3000,L$6)))</f>
        <v/>
      </c>
      <c r="M115" s="50" t="str">
        <f>IF(OR($B115="",M$6=""),"",IF(COUNTIFS(_calc!$AE$2:$AE$3000,$B115&amp;"|"&amp;$D115,_calc!$A$2:$A$3000,$B$3,_calc!$C$2:$C$3000,M$6)=0,"",SUMIFS(_calc!$E$2:$E$3000,_calc!$AE$2:$AE$3000,$B115&amp;"|"&amp;$D115,_calc!$A$2:$A$3000,$B$3,_calc!$C$2:$C$3000,M$6)))</f>
        <v/>
      </c>
      <c r="N115" s="50" t="str">
        <f>IF(OR($B115="",N$6=""),"",IF(COUNTIFS(_calc!$AE$2:$AE$3000,$B115&amp;"|"&amp;$D115,_calc!$A$2:$A$3000,$B$3,_calc!$C$2:$C$3000,N$6)=0,"",SUMIFS(_calc!$E$2:$E$3000,_calc!$AE$2:$AE$3000,$B115&amp;"|"&amp;$D115,_calc!$A$2:$A$3000,$B$3,_calc!$C$2:$C$3000,N$6)))</f>
        <v/>
      </c>
      <c r="O115" s="50" t="str">
        <f>IF(OR($B115="",O$6=""),"",IF(COUNTIFS(_calc!$AE$2:$AE$3000,$B115&amp;"|"&amp;$D115,_calc!$A$2:$A$3000,$B$3,_calc!$C$2:$C$3000,O$6)=0,"",SUMIFS(_calc!$E$2:$E$3000,_calc!$AE$2:$AE$3000,$B115&amp;"|"&amp;$D115,_calc!$A$2:$A$3000,$B$3,_calc!$C$2:$C$3000,O$6)))</f>
        <v/>
      </c>
      <c r="P115" s="50" t="str">
        <f>IF(OR($B115="",P$6=""),"",IF(COUNTIFS(_calc!$AE$2:$AE$3000,$B115&amp;"|"&amp;$D115,_calc!$A$2:$A$3000,$B$3,_calc!$C$2:$C$3000,P$6)=0,"",SUMIFS(_calc!$E$2:$E$3000,_calc!$AE$2:$AE$3000,$B115&amp;"|"&amp;$D115,_calc!$A$2:$A$3000,$B$3,_calc!$C$2:$C$3000,P$6)))</f>
        <v/>
      </c>
      <c r="Q115" s="50" t="str">
        <f>IF(OR($B115="",Q$6=""),"",IF(COUNTIFS(_calc!$AE$2:$AE$3000,$B115&amp;"|"&amp;$D115,_calc!$A$2:$A$3000,$B$3,_calc!$C$2:$C$3000,Q$6)=0,"",SUMIFS(_calc!$E$2:$E$3000,_calc!$AE$2:$AE$3000,$B115&amp;"|"&amp;$D115,_calc!$A$2:$A$3000,$B$3,_calc!$C$2:$C$3000,Q$6)))</f>
        <v/>
      </c>
      <c r="R115" s="50" t="str">
        <f>IF(OR($B115="",R$6=""),"",IF(COUNTIFS(_calc!$AE$2:$AE$3000,$B115&amp;"|"&amp;$D115,_calc!$A$2:$A$3000,$B$3,_calc!$C$2:$C$3000,R$6)=0,"",SUMIFS(_calc!$E$2:$E$3000,_calc!$AE$2:$AE$3000,$B115&amp;"|"&amp;$D115,_calc!$A$2:$A$3000,$B$3,_calc!$C$2:$C$3000,R$6)))</f>
        <v/>
      </c>
      <c r="S115" s="50" t="str">
        <f>IF(OR($B115="",S$6=""),"",IF(COUNTIFS(_calc!$AE$2:$AE$3000,$B115&amp;"|"&amp;$D115,_calc!$A$2:$A$3000,$B$3,_calc!$C$2:$C$3000,S$6)=0,"",SUMIFS(_calc!$E$2:$E$3000,_calc!$AE$2:$AE$3000,$B115&amp;"|"&amp;$D115,_calc!$A$2:$A$3000,$B$3,_calc!$C$2:$C$3000,S$6)))</f>
        <v/>
      </c>
      <c r="T115" s="50" t="str">
        <f>IF(OR($B115="",T$6=""),"",IF(COUNTIFS(_calc!$AE$2:$AE$3000,$B115&amp;"|"&amp;$D115,_calc!$A$2:$A$3000,$B$3,_calc!$C$2:$C$3000,T$6)=0,"",SUMIFS(_calc!$E$2:$E$3000,_calc!$AE$2:$AE$3000,$B115&amp;"|"&amp;$D115,_calc!$A$2:$A$3000,$B$3,_calc!$C$2:$C$3000,T$6)))</f>
        <v/>
      </c>
      <c r="U115" s="50" t="str">
        <f>IF(OR($B115="",U$6=""),"",IF(COUNTIFS(_calc!$AE$2:$AE$3000,$B115&amp;"|"&amp;$D115,_calc!$A$2:$A$3000,$B$3,_calc!$C$2:$C$3000,U$6)=0,"",SUMIFS(_calc!$E$2:$E$3000,_calc!$AE$2:$AE$3000,$B115&amp;"|"&amp;$D115,_calc!$A$2:$A$3000,$B$3,_calc!$C$2:$C$3000,U$6)))</f>
        <v/>
      </c>
      <c r="V115" s="50" t="str">
        <f>IF(OR($B115="",V$6=""),"",IF(COUNTIFS(_calc!$AE$2:$AE$3000,$B115&amp;"|"&amp;$D115,_calc!$A$2:$A$3000,$B$3,_calc!$C$2:$C$3000,V$6)=0,"",SUMIFS(_calc!$E$2:$E$3000,_calc!$AE$2:$AE$3000,$B115&amp;"|"&amp;$D115,_calc!$A$2:$A$3000,$B$3,_calc!$C$2:$C$3000,V$6)))</f>
        <v/>
      </c>
      <c r="W115" s="50" t="str">
        <f>IF(OR($B115="",W$6=""),"",IF(COUNTIFS(_calc!$AE$2:$AE$3000,$B115&amp;"|"&amp;$D115,_calc!$A$2:$A$3000,$B$3,_calc!$C$2:$C$3000,W$6)=0,"",SUMIFS(_calc!$E$2:$E$3000,_calc!$AE$2:$AE$3000,$B115&amp;"|"&amp;$D115,_calc!$A$2:$A$3000,$B$3,_calc!$C$2:$C$3000,W$6)))</f>
        <v/>
      </c>
      <c r="X115" s="50" t="str">
        <f>IF(OR($B115="",X$6=""),"",IF(COUNTIFS(_calc!$AE$2:$AE$3000,$B115&amp;"|"&amp;$D115,_calc!$A$2:$A$3000,$B$3,_calc!$C$2:$C$3000,X$6)=0,"",SUMIFS(_calc!$E$2:$E$3000,_calc!$AE$2:$AE$3000,$B115&amp;"|"&amp;$D115,_calc!$A$2:$A$3000,$B$3,_calc!$C$2:$C$3000,X$6)))</f>
        <v/>
      </c>
    </row>
    <row r="116" spans="1:24" x14ac:dyDescent="0.4">
      <c r="A116" s="48">
        <v>110</v>
      </c>
      <c r="B116" s="49" t="str">
        <f>IFERROR(INDEX(_calc!$I$2:$I$3000,MATCH($A116,_calc!$AB$2:$AB$3000,0)),"")</f>
        <v/>
      </c>
      <c r="C116" s="49" t="str">
        <f>IFERROR(INDEX(_calc!$H$2:$H$3000,MATCH($A116,_calc!$AB$2:$AB$3000,0)),"")</f>
        <v/>
      </c>
      <c r="D116" s="49" t="str">
        <f>IFERROR(INDEX(_calc!$K$2:$K$3000,MATCH($A116,_calc!$AB$2:$AB$3000,0)),"")</f>
        <v/>
      </c>
      <c r="E116" s="50" t="str">
        <f>IF(OR($B116="",E$6=""),"",IF(COUNTIFS(_calc!$AE$2:$AE$3000,$B116&amp;"|"&amp;$D116,_calc!$A$2:$A$3000,$B$3,_calc!$C$2:$C$3000,E$6)=0,"",SUMIFS(_calc!$E$2:$E$3000,_calc!$AE$2:$AE$3000,$B116&amp;"|"&amp;$D116,_calc!$A$2:$A$3000,$B$3,_calc!$C$2:$C$3000,E$6)))</f>
        <v/>
      </c>
      <c r="F116" s="50" t="str">
        <f>IF(OR($B116="",F$6=""),"",IF(COUNTIFS(_calc!$AE$2:$AE$3000,$B116&amp;"|"&amp;$D116,_calc!$A$2:$A$3000,$B$3,_calc!$C$2:$C$3000,F$6)=0,"",SUMIFS(_calc!$E$2:$E$3000,_calc!$AE$2:$AE$3000,$B116&amp;"|"&amp;$D116,_calc!$A$2:$A$3000,$B$3,_calc!$C$2:$C$3000,F$6)))</f>
        <v/>
      </c>
      <c r="G116" s="50" t="str">
        <f>IF(OR($B116="",G$6=""),"",IF(COUNTIFS(_calc!$AE$2:$AE$3000,$B116&amp;"|"&amp;$D116,_calc!$A$2:$A$3000,$B$3,_calc!$C$2:$C$3000,G$6)=0,"",SUMIFS(_calc!$E$2:$E$3000,_calc!$AE$2:$AE$3000,$B116&amp;"|"&amp;$D116,_calc!$A$2:$A$3000,$B$3,_calc!$C$2:$C$3000,G$6)))</f>
        <v/>
      </c>
      <c r="H116" s="50" t="str">
        <f>IF(OR($B116="",H$6=""),"",IF(COUNTIFS(_calc!$AE$2:$AE$3000,$B116&amp;"|"&amp;$D116,_calc!$A$2:$A$3000,$B$3,_calc!$C$2:$C$3000,H$6)=0,"",SUMIFS(_calc!$E$2:$E$3000,_calc!$AE$2:$AE$3000,$B116&amp;"|"&amp;$D116,_calc!$A$2:$A$3000,$B$3,_calc!$C$2:$C$3000,H$6)))</f>
        <v/>
      </c>
      <c r="I116" s="50" t="str">
        <f>IF(OR($B116="",I$6=""),"",IF(COUNTIFS(_calc!$AE$2:$AE$3000,$B116&amp;"|"&amp;$D116,_calc!$A$2:$A$3000,$B$3,_calc!$C$2:$C$3000,I$6)=0,"",SUMIFS(_calc!$E$2:$E$3000,_calc!$AE$2:$AE$3000,$B116&amp;"|"&amp;$D116,_calc!$A$2:$A$3000,$B$3,_calc!$C$2:$C$3000,I$6)))</f>
        <v/>
      </c>
      <c r="J116" s="50" t="str">
        <f>IF(OR($B116="",J$6=""),"",IF(COUNTIFS(_calc!$AE$2:$AE$3000,$B116&amp;"|"&amp;$D116,_calc!$A$2:$A$3000,$B$3,_calc!$C$2:$C$3000,J$6)=0,"",SUMIFS(_calc!$E$2:$E$3000,_calc!$AE$2:$AE$3000,$B116&amp;"|"&amp;$D116,_calc!$A$2:$A$3000,$B$3,_calc!$C$2:$C$3000,J$6)))</f>
        <v/>
      </c>
      <c r="K116" s="50" t="str">
        <f>IF(OR($B116="",K$6=""),"",IF(COUNTIFS(_calc!$AE$2:$AE$3000,$B116&amp;"|"&amp;$D116,_calc!$A$2:$A$3000,$B$3,_calc!$C$2:$C$3000,K$6)=0,"",SUMIFS(_calc!$E$2:$E$3000,_calc!$AE$2:$AE$3000,$B116&amp;"|"&amp;$D116,_calc!$A$2:$A$3000,$B$3,_calc!$C$2:$C$3000,K$6)))</f>
        <v/>
      </c>
      <c r="L116" s="50" t="str">
        <f>IF(OR($B116="",L$6=""),"",IF(COUNTIFS(_calc!$AE$2:$AE$3000,$B116&amp;"|"&amp;$D116,_calc!$A$2:$A$3000,$B$3,_calc!$C$2:$C$3000,L$6)=0,"",SUMIFS(_calc!$E$2:$E$3000,_calc!$AE$2:$AE$3000,$B116&amp;"|"&amp;$D116,_calc!$A$2:$A$3000,$B$3,_calc!$C$2:$C$3000,L$6)))</f>
        <v/>
      </c>
      <c r="M116" s="50" t="str">
        <f>IF(OR($B116="",M$6=""),"",IF(COUNTIFS(_calc!$AE$2:$AE$3000,$B116&amp;"|"&amp;$D116,_calc!$A$2:$A$3000,$B$3,_calc!$C$2:$C$3000,M$6)=0,"",SUMIFS(_calc!$E$2:$E$3000,_calc!$AE$2:$AE$3000,$B116&amp;"|"&amp;$D116,_calc!$A$2:$A$3000,$B$3,_calc!$C$2:$C$3000,M$6)))</f>
        <v/>
      </c>
      <c r="N116" s="50" t="str">
        <f>IF(OR($B116="",N$6=""),"",IF(COUNTIFS(_calc!$AE$2:$AE$3000,$B116&amp;"|"&amp;$D116,_calc!$A$2:$A$3000,$B$3,_calc!$C$2:$C$3000,N$6)=0,"",SUMIFS(_calc!$E$2:$E$3000,_calc!$AE$2:$AE$3000,$B116&amp;"|"&amp;$D116,_calc!$A$2:$A$3000,$B$3,_calc!$C$2:$C$3000,N$6)))</f>
        <v/>
      </c>
      <c r="O116" s="50" t="str">
        <f>IF(OR($B116="",O$6=""),"",IF(COUNTIFS(_calc!$AE$2:$AE$3000,$B116&amp;"|"&amp;$D116,_calc!$A$2:$A$3000,$B$3,_calc!$C$2:$C$3000,O$6)=0,"",SUMIFS(_calc!$E$2:$E$3000,_calc!$AE$2:$AE$3000,$B116&amp;"|"&amp;$D116,_calc!$A$2:$A$3000,$B$3,_calc!$C$2:$C$3000,O$6)))</f>
        <v/>
      </c>
      <c r="P116" s="50" t="str">
        <f>IF(OR($B116="",P$6=""),"",IF(COUNTIFS(_calc!$AE$2:$AE$3000,$B116&amp;"|"&amp;$D116,_calc!$A$2:$A$3000,$B$3,_calc!$C$2:$C$3000,P$6)=0,"",SUMIFS(_calc!$E$2:$E$3000,_calc!$AE$2:$AE$3000,$B116&amp;"|"&amp;$D116,_calc!$A$2:$A$3000,$B$3,_calc!$C$2:$C$3000,P$6)))</f>
        <v/>
      </c>
      <c r="Q116" s="50" t="str">
        <f>IF(OR($B116="",Q$6=""),"",IF(COUNTIFS(_calc!$AE$2:$AE$3000,$B116&amp;"|"&amp;$D116,_calc!$A$2:$A$3000,$B$3,_calc!$C$2:$C$3000,Q$6)=0,"",SUMIFS(_calc!$E$2:$E$3000,_calc!$AE$2:$AE$3000,$B116&amp;"|"&amp;$D116,_calc!$A$2:$A$3000,$B$3,_calc!$C$2:$C$3000,Q$6)))</f>
        <v/>
      </c>
      <c r="R116" s="50" t="str">
        <f>IF(OR($B116="",R$6=""),"",IF(COUNTIFS(_calc!$AE$2:$AE$3000,$B116&amp;"|"&amp;$D116,_calc!$A$2:$A$3000,$B$3,_calc!$C$2:$C$3000,R$6)=0,"",SUMIFS(_calc!$E$2:$E$3000,_calc!$AE$2:$AE$3000,$B116&amp;"|"&amp;$D116,_calc!$A$2:$A$3000,$B$3,_calc!$C$2:$C$3000,R$6)))</f>
        <v/>
      </c>
      <c r="S116" s="50" t="str">
        <f>IF(OR($B116="",S$6=""),"",IF(COUNTIFS(_calc!$AE$2:$AE$3000,$B116&amp;"|"&amp;$D116,_calc!$A$2:$A$3000,$B$3,_calc!$C$2:$C$3000,S$6)=0,"",SUMIFS(_calc!$E$2:$E$3000,_calc!$AE$2:$AE$3000,$B116&amp;"|"&amp;$D116,_calc!$A$2:$A$3000,$B$3,_calc!$C$2:$C$3000,S$6)))</f>
        <v/>
      </c>
      <c r="T116" s="50" t="str">
        <f>IF(OR($B116="",T$6=""),"",IF(COUNTIFS(_calc!$AE$2:$AE$3000,$B116&amp;"|"&amp;$D116,_calc!$A$2:$A$3000,$B$3,_calc!$C$2:$C$3000,T$6)=0,"",SUMIFS(_calc!$E$2:$E$3000,_calc!$AE$2:$AE$3000,$B116&amp;"|"&amp;$D116,_calc!$A$2:$A$3000,$B$3,_calc!$C$2:$C$3000,T$6)))</f>
        <v/>
      </c>
      <c r="U116" s="50" t="str">
        <f>IF(OR($B116="",U$6=""),"",IF(COUNTIFS(_calc!$AE$2:$AE$3000,$B116&amp;"|"&amp;$D116,_calc!$A$2:$A$3000,$B$3,_calc!$C$2:$C$3000,U$6)=0,"",SUMIFS(_calc!$E$2:$E$3000,_calc!$AE$2:$AE$3000,$B116&amp;"|"&amp;$D116,_calc!$A$2:$A$3000,$B$3,_calc!$C$2:$C$3000,U$6)))</f>
        <v/>
      </c>
      <c r="V116" s="50" t="str">
        <f>IF(OR($B116="",V$6=""),"",IF(COUNTIFS(_calc!$AE$2:$AE$3000,$B116&amp;"|"&amp;$D116,_calc!$A$2:$A$3000,$B$3,_calc!$C$2:$C$3000,V$6)=0,"",SUMIFS(_calc!$E$2:$E$3000,_calc!$AE$2:$AE$3000,$B116&amp;"|"&amp;$D116,_calc!$A$2:$A$3000,$B$3,_calc!$C$2:$C$3000,V$6)))</f>
        <v/>
      </c>
      <c r="W116" s="50" t="str">
        <f>IF(OR($B116="",W$6=""),"",IF(COUNTIFS(_calc!$AE$2:$AE$3000,$B116&amp;"|"&amp;$D116,_calc!$A$2:$A$3000,$B$3,_calc!$C$2:$C$3000,W$6)=0,"",SUMIFS(_calc!$E$2:$E$3000,_calc!$AE$2:$AE$3000,$B116&amp;"|"&amp;$D116,_calc!$A$2:$A$3000,$B$3,_calc!$C$2:$C$3000,W$6)))</f>
        <v/>
      </c>
      <c r="X116" s="50" t="str">
        <f>IF(OR($B116="",X$6=""),"",IF(COUNTIFS(_calc!$AE$2:$AE$3000,$B116&amp;"|"&amp;$D116,_calc!$A$2:$A$3000,$B$3,_calc!$C$2:$C$3000,X$6)=0,"",SUMIFS(_calc!$E$2:$E$3000,_calc!$AE$2:$AE$3000,$B116&amp;"|"&amp;$D116,_calc!$A$2:$A$3000,$B$3,_calc!$C$2:$C$3000,X$6)))</f>
        <v/>
      </c>
    </row>
    <row r="117" spans="1:24" x14ac:dyDescent="0.4">
      <c r="A117" s="48">
        <v>111</v>
      </c>
      <c r="B117" s="49" t="str">
        <f>IFERROR(INDEX(_calc!$I$2:$I$3000,MATCH($A117,_calc!$AB$2:$AB$3000,0)),"")</f>
        <v/>
      </c>
      <c r="C117" s="49" t="str">
        <f>IFERROR(INDEX(_calc!$H$2:$H$3000,MATCH($A117,_calc!$AB$2:$AB$3000,0)),"")</f>
        <v/>
      </c>
      <c r="D117" s="49" t="str">
        <f>IFERROR(INDEX(_calc!$K$2:$K$3000,MATCH($A117,_calc!$AB$2:$AB$3000,0)),"")</f>
        <v/>
      </c>
      <c r="E117" s="50" t="str">
        <f>IF(OR($B117="",E$6=""),"",IF(COUNTIFS(_calc!$AE$2:$AE$3000,$B117&amp;"|"&amp;$D117,_calc!$A$2:$A$3000,$B$3,_calc!$C$2:$C$3000,E$6)=0,"",SUMIFS(_calc!$E$2:$E$3000,_calc!$AE$2:$AE$3000,$B117&amp;"|"&amp;$D117,_calc!$A$2:$A$3000,$B$3,_calc!$C$2:$C$3000,E$6)))</f>
        <v/>
      </c>
      <c r="F117" s="50" t="str">
        <f>IF(OR($B117="",F$6=""),"",IF(COUNTIFS(_calc!$AE$2:$AE$3000,$B117&amp;"|"&amp;$D117,_calc!$A$2:$A$3000,$B$3,_calc!$C$2:$C$3000,F$6)=0,"",SUMIFS(_calc!$E$2:$E$3000,_calc!$AE$2:$AE$3000,$B117&amp;"|"&amp;$D117,_calc!$A$2:$A$3000,$B$3,_calc!$C$2:$C$3000,F$6)))</f>
        <v/>
      </c>
      <c r="G117" s="50" t="str">
        <f>IF(OR($B117="",G$6=""),"",IF(COUNTIFS(_calc!$AE$2:$AE$3000,$B117&amp;"|"&amp;$D117,_calc!$A$2:$A$3000,$B$3,_calc!$C$2:$C$3000,G$6)=0,"",SUMIFS(_calc!$E$2:$E$3000,_calc!$AE$2:$AE$3000,$B117&amp;"|"&amp;$D117,_calc!$A$2:$A$3000,$B$3,_calc!$C$2:$C$3000,G$6)))</f>
        <v/>
      </c>
      <c r="H117" s="50" t="str">
        <f>IF(OR($B117="",H$6=""),"",IF(COUNTIFS(_calc!$AE$2:$AE$3000,$B117&amp;"|"&amp;$D117,_calc!$A$2:$A$3000,$B$3,_calc!$C$2:$C$3000,H$6)=0,"",SUMIFS(_calc!$E$2:$E$3000,_calc!$AE$2:$AE$3000,$B117&amp;"|"&amp;$D117,_calc!$A$2:$A$3000,$B$3,_calc!$C$2:$C$3000,H$6)))</f>
        <v/>
      </c>
      <c r="I117" s="50" t="str">
        <f>IF(OR($B117="",I$6=""),"",IF(COUNTIFS(_calc!$AE$2:$AE$3000,$B117&amp;"|"&amp;$D117,_calc!$A$2:$A$3000,$B$3,_calc!$C$2:$C$3000,I$6)=0,"",SUMIFS(_calc!$E$2:$E$3000,_calc!$AE$2:$AE$3000,$B117&amp;"|"&amp;$D117,_calc!$A$2:$A$3000,$B$3,_calc!$C$2:$C$3000,I$6)))</f>
        <v/>
      </c>
      <c r="J117" s="50" t="str">
        <f>IF(OR($B117="",J$6=""),"",IF(COUNTIFS(_calc!$AE$2:$AE$3000,$B117&amp;"|"&amp;$D117,_calc!$A$2:$A$3000,$B$3,_calc!$C$2:$C$3000,J$6)=0,"",SUMIFS(_calc!$E$2:$E$3000,_calc!$AE$2:$AE$3000,$B117&amp;"|"&amp;$D117,_calc!$A$2:$A$3000,$B$3,_calc!$C$2:$C$3000,J$6)))</f>
        <v/>
      </c>
      <c r="K117" s="50" t="str">
        <f>IF(OR($B117="",K$6=""),"",IF(COUNTIFS(_calc!$AE$2:$AE$3000,$B117&amp;"|"&amp;$D117,_calc!$A$2:$A$3000,$B$3,_calc!$C$2:$C$3000,K$6)=0,"",SUMIFS(_calc!$E$2:$E$3000,_calc!$AE$2:$AE$3000,$B117&amp;"|"&amp;$D117,_calc!$A$2:$A$3000,$B$3,_calc!$C$2:$C$3000,K$6)))</f>
        <v/>
      </c>
      <c r="L117" s="50" t="str">
        <f>IF(OR($B117="",L$6=""),"",IF(COUNTIFS(_calc!$AE$2:$AE$3000,$B117&amp;"|"&amp;$D117,_calc!$A$2:$A$3000,$B$3,_calc!$C$2:$C$3000,L$6)=0,"",SUMIFS(_calc!$E$2:$E$3000,_calc!$AE$2:$AE$3000,$B117&amp;"|"&amp;$D117,_calc!$A$2:$A$3000,$B$3,_calc!$C$2:$C$3000,L$6)))</f>
        <v/>
      </c>
      <c r="M117" s="50" t="str">
        <f>IF(OR($B117="",M$6=""),"",IF(COUNTIFS(_calc!$AE$2:$AE$3000,$B117&amp;"|"&amp;$D117,_calc!$A$2:$A$3000,$B$3,_calc!$C$2:$C$3000,M$6)=0,"",SUMIFS(_calc!$E$2:$E$3000,_calc!$AE$2:$AE$3000,$B117&amp;"|"&amp;$D117,_calc!$A$2:$A$3000,$B$3,_calc!$C$2:$C$3000,M$6)))</f>
        <v/>
      </c>
      <c r="N117" s="50" t="str">
        <f>IF(OR($B117="",N$6=""),"",IF(COUNTIFS(_calc!$AE$2:$AE$3000,$B117&amp;"|"&amp;$D117,_calc!$A$2:$A$3000,$B$3,_calc!$C$2:$C$3000,N$6)=0,"",SUMIFS(_calc!$E$2:$E$3000,_calc!$AE$2:$AE$3000,$B117&amp;"|"&amp;$D117,_calc!$A$2:$A$3000,$B$3,_calc!$C$2:$C$3000,N$6)))</f>
        <v/>
      </c>
      <c r="O117" s="50" t="str">
        <f>IF(OR($B117="",O$6=""),"",IF(COUNTIFS(_calc!$AE$2:$AE$3000,$B117&amp;"|"&amp;$D117,_calc!$A$2:$A$3000,$B$3,_calc!$C$2:$C$3000,O$6)=0,"",SUMIFS(_calc!$E$2:$E$3000,_calc!$AE$2:$AE$3000,$B117&amp;"|"&amp;$D117,_calc!$A$2:$A$3000,$B$3,_calc!$C$2:$C$3000,O$6)))</f>
        <v/>
      </c>
      <c r="P117" s="50" t="str">
        <f>IF(OR($B117="",P$6=""),"",IF(COUNTIFS(_calc!$AE$2:$AE$3000,$B117&amp;"|"&amp;$D117,_calc!$A$2:$A$3000,$B$3,_calc!$C$2:$C$3000,P$6)=0,"",SUMIFS(_calc!$E$2:$E$3000,_calc!$AE$2:$AE$3000,$B117&amp;"|"&amp;$D117,_calc!$A$2:$A$3000,$B$3,_calc!$C$2:$C$3000,P$6)))</f>
        <v/>
      </c>
      <c r="Q117" s="50" t="str">
        <f>IF(OR($B117="",Q$6=""),"",IF(COUNTIFS(_calc!$AE$2:$AE$3000,$B117&amp;"|"&amp;$D117,_calc!$A$2:$A$3000,$B$3,_calc!$C$2:$C$3000,Q$6)=0,"",SUMIFS(_calc!$E$2:$E$3000,_calc!$AE$2:$AE$3000,$B117&amp;"|"&amp;$D117,_calc!$A$2:$A$3000,$B$3,_calc!$C$2:$C$3000,Q$6)))</f>
        <v/>
      </c>
      <c r="R117" s="50" t="str">
        <f>IF(OR($B117="",R$6=""),"",IF(COUNTIFS(_calc!$AE$2:$AE$3000,$B117&amp;"|"&amp;$D117,_calc!$A$2:$A$3000,$B$3,_calc!$C$2:$C$3000,R$6)=0,"",SUMIFS(_calc!$E$2:$E$3000,_calc!$AE$2:$AE$3000,$B117&amp;"|"&amp;$D117,_calc!$A$2:$A$3000,$B$3,_calc!$C$2:$C$3000,R$6)))</f>
        <v/>
      </c>
      <c r="S117" s="50" t="str">
        <f>IF(OR($B117="",S$6=""),"",IF(COUNTIFS(_calc!$AE$2:$AE$3000,$B117&amp;"|"&amp;$D117,_calc!$A$2:$A$3000,$B$3,_calc!$C$2:$C$3000,S$6)=0,"",SUMIFS(_calc!$E$2:$E$3000,_calc!$AE$2:$AE$3000,$B117&amp;"|"&amp;$D117,_calc!$A$2:$A$3000,$B$3,_calc!$C$2:$C$3000,S$6)))</f>
        <v/>
      </c>
      <c r="T117" s="50" t="str">
        <f>IF(OR($B117="",T$6=""),"",IF(COUNTIFS(_calc!$AE$2:$AE$3000,$B117&amp;"|"&amp;$D117,_calc!$A$2:$A$3000,$B$3,_calc!$C$2:$C$3000,T$6)=0,"",SUMIFS(_calc!$E$2:$E$3000,_calc!$AE$2:$AE$3000,$B117&amp;"|"&amp;$D117,_calc!$A$2:$A$3000,$B$3,_calc!$C$2:$C$3000,T$6)))</f>
        <v/>
      </c>
      <c r="U117" s="50" t="str">
        <f>IF(OR($B117="",U$6=""),"",IF(COUNTIFS(_calc!$AE$2:$AE$3000,$B117&amp;"|"&amp;$D117,_calc!$A$2:$A$3000,$B$3,_calc!$C$2:$C$3000,U$6)=0,"",SUMIFS(_calc!$E$2:$E$3000,_calc!$AE$2:$AE$3000,$B117&amp;"|"&amp;$D117,_calc!$A$2:$A$3000,$B$3,_calc!$C$2:$C$3000,U$6)))</f>
        <v/>
      </c>
      <c r="V117" s="50" t="str">
        <f>IF(OR($B117="",V$6=""),"",IF(COUNTIFS(_calc!$AE$2:$AE$3000,$B117&amp;"|"&amp;$D117,_calc!$A$2:$A$3000,$B$3,_calc!$C$2:$C$3000,V$6)=0,"",SUMIFS(_calc!$E$2:$E$3000,_calc!$AE$2:$AE$3000,$B117&amp;"|"&amp;$D117,_calc!$A$2:$A$3000,$B$3,_calc!$C$2:$C$3000,V$6)))</f>
        <v/>
      </c>
      <c r="W117" s="50" t="str">
        <f>IF(OR($B117="",W$6=""),"",IF(COUNTIFS(_calc!$AE$2:$AE$3000,$B117&amp;"|"&amp;$D117,_calc!$A$2:$A$3000,$B$3,_calc!$C$2:$C$3000,W$6)=0,"",SUMIFS(_calc!$E$2:$E$3000,_calc!$AE$2:$AE$3000,$B117&amp;"|"&amp;$D117,_calc!$A$2:$A$3000,$B$3,_calc!$C$2:$C$3000,W$6)))</f>
        <v/>
      </c>
      <c r="X117" s="50" t="str">
        <f>IF(OR($B117="",X$6=""),"",IF(COUNTIFS(_calc!$AE$2:$AE$3000,$B117&amp;"|"&amp;$D117,_calc!$A$2:$A$3000,$B$3,_calc!$C$2:$C$3000,X$6)=0,"",SUMIFS(_calc!$E$2:$E$3000,_calc!$AE$2:$AE$3000,$B117&amp;"|"&amp;$D117,_calc!$A$2:$A$3000,$B$3,_calc!$C$2:$C$3000,X$6)))</f>
        <v/>
      </c>
    </row>
    <row r="118" spans="1:24" x14ac:dyDescent="0.4">
      <c r="A118" s="48">
        <v>112</v>
      </c>
      <c r="B118" s="49" t="str">
        <f>IFERROR(INDEX(_calc!$I$2:$I$3000,MATCH($A118,_calc!$AB$2:$AB$3000,0)),"")</f>
        <v/>
      </c>
      <c r="C118" s="49" t="str">
        <f>IFERROR(INDEX(_calc!$H$2:$H$3000,MATCH($A118,_calc!$AB$2:$AB$3000,0)),"")</f>
        <v/>
      </c>
      <c r="D118" s="49" t="str">
        <f>IFERROR(INDEX(_calc!$K$2:$K$3000,MATCH($A118,_calc!$AB$2:$AB$3000,0)),"")</f>
        <v/>
      </c>
      <c r="E118" s="50" t="str">
        <f>IF(OR($B118="",E$6=""),"",IF(COUNTIFS(_calc!$AE$2:$AE$3000,$B118&amp;"|"&amp;$D118,_calc!$A$2:$A$3000,$B$3,_calc!$C$2:$C$3000,E$6)=0,"",SUMIFS(_calc!$E$2:$E$3000,_calc!$AE$2:$AE$3000,$B118&amp;"|"&amp;$D118,_calc!$A$2:$A$3000,$B$3,_calc!$C$2:$C$3000,E$6)))</f>
        <v/>
      </c>
      <c r="F118" s="50" t="str">
        <f>IF(OR($B118="",F$6=""),"",IF(COUNTIFS(_calc!$AE$2:$AE$3000,$B118&amp;"|"&amp;$D118,_calc!$A$2:$A$3000,$B$3,_calc!$C$2:$C$3000,F$6)=0,"",SUMIFS(_calc!$E$2:$E$3000,_calc!$AE$2:$AE$3000,$B118&amp;"|"&amp;$D118,_calc!$A$2:$A$3000,$B$3,_calc!$C$2:$C$3000,F$6)))</f>
        <v/>
      </c>
      <c r="G118" s="50" t="str">
        <f>IF(OR($B118="",G$6=""),"",IF(COUNTIFS(_calc!$AE$2:$AE$3000,$B118&amp;"|"&amp;$D118,_calc!$A$2:$A$3000,$B$3,_calc!$C$2:$C$3000,G$6)=0,"",SUMIFS(_calc!$E$2:$E$3000,_calc!$AE$2:$AE$3000,$B118&amp;"|"&amp;$D118,_calc!$A$2:$A$3000,$B$3,_calc!$C$2:$C$3000,G$6)))</f>
        <v/>
      </c>
      <c r="H118" s="50" t="str">
        <f>IF(OR($B118="",H$6=""),"",IF(COUNTIFS(_calc!$AE$2:$AE$3000,$B118&amp;"|"&amp;$D118,_calc!$A$2:$A$3000,$B$3,_calc!$C$2:$C$3000,H$6)=0,"",SUMIFS(_calc!$E$2:$E$3000,_calc!$AE$2:$AE$3000,$B118&amp;"|"&amp;$D118,_calc!$A$2:$A$3000,$B$3,_calc!$C$2:$C$3000,H$6)))</f>
        <v/>
      </c>
      <c r="I118" s="50" t="str">
        <f>IF(OR($B118="",I$6=""),"",IF(COUNTIFS(_calc!$AE$2:$AE$3000,$B118&amp;"|"&amp;$D118,_calc!$A$2:$A$3000,$B$3,_calc!$C$2:$C$3000,I$6)=0,"",SUMIFS(_calc!$E$2:$E$3000,_calc!$AE$2:$AE$3000,$B118&amp;"|"&amp;$D118,_calc!$A$2:$A$3000,$B$3,_calc!$C$2:$C$3000,I$6)))</f>
        <v/>
      </c>
      <c r="J118" s="50" t="str">
        <f>IF(OR($B118="",J$6=""),"",IF(COUNTIFS(_calc!$AE$2:$AE$3000,$B118&amp;"|"&amp;$D118,_calc!$A$2:$A$3000,$B$3,_calc!$C$2:$C$3000,J$6)=0,"",SUMIFS(_calc!$E$2:$E$3000,_calc!$AE$2:$AE$3000,$B118&amp;"|"&amp;$D118,_calc!$A$2:$A$3000,$B$3,_calc!$C$2:$C$3000,J$6)))</f>
        <v/>
      </c>
      <c r="K118" s="50" t="str">
        <f>IF(OR($B118="",K$6=""),"",IF(COUNTIFS(_calc!$AE$2:$AE$3000,$B118&amp;"|"&amp;$D118,_calc!$A$2:$A$3000,$B$3,_calc!$C$2:$C$3000,K$6)=0,"",SUMIFS(_calc!$E$2:$E$3000,_calc!$AE$2:$AE$3000,$B118&amp;"|"&amp;$D118,_calc!$A$2:$A$3000,$B$3,_calc!$C$2:$C$3000,K$6)))</f>
        <v/>
      </c>
      <c r="L118" s="50" t="str">
        <f>IF(OR($B118="",L$6=""),"",IF(COUNTIFS(_calc!$AE$2:$AE$3000,$B118&amp;"|"&amp;$D118,_calc!$A$2:$A$3000,$B$3,_calc!$C$2:$C$3000,L$6)=0,"",SUMIFS(_calc!$E$2:$E$3000,_calc!$AE$2:$AE$3000,$B118&amp;"|"&amp;$D118,_calc!$A$2:$A$3000,$B$3,_calc!$C$2:$C$3000,L$6)))</f>
        <v/>
      </c>
      <c r="M118" s="50" t="str">
        <f>IF(OR($B118="",M$6=""),"",IF(COUNTIFS(_calc!$AE$2:$AE$3000,$B118&amp;"|"&amp;$D118,_calc!$A$2:$A$3000,$B$3,_calc!$C$2:$C$3000,M$6)=0,"",SUMIFS(_calc!$E$2:$E$3000,_calc!$AE$2:$AE$3000,$B118&amp;"|"&amp;$D118,_calc!$A$2:$A$3000,$B$3,_calc!$C$2:$C$3000,M$6)))</f>
        <v/>
      </c>
      <c r="N118" s="50" t="str">
        <f>IF(OR($B118="",N$6=""),"",IF(COUNTIFS(_calc!$AE$2:$AE$3000,$B118&amp;"|"&amp;$D118,_calc!$A$2:$A$3000,$B$3,_calc!$C$2:$C$3000,N$6)=0,"",SUMIFS(_calc!$E$2:$E$3000,_calc!$AE$2:$AE$3000,$B118&amp;"|"&amp;$D118,_calc!$A$2:$A$3000,$B$3,_calc!$C$2:$C$3000,N$6)))</f>
        <v/>
      </c>
      <c r="O118" s="50" t="str">
        <f>IF(OR($B118="",O$6=""),"",IF(COUNTIFS(_calc!$AE$2:$AE$3000,$B118&amp;"|"&amp;$D118,_calc!$A$2:$A$3000,$B$3,_calc!$C$2:$C$3000,O$6)=0,"",SUMIFS(_calc!$E$2:$E$3000,_calc!$AE$2:$AE$3000,$B118&amp;"|"&amp;$D118,_calc!$A$2:$A$3000,$B$3,_calc!$C$2:$C$3000,O$6)))</f>
        <v/>
      </c>
      <c r="P118" s="50" t="str">
        <f>IF(OR($B118="",P$6=""),"",IF(COUNTIFS(_calc!$AE$2:$AE$3000,$B118&amp;"|"&amp;$D118,_calc!$A$2:$A$3000,$B$3,_calc!$C$2:$C$3000,P$6)=0,"",SUMIFS(_calc!$E$2:$E$3000,_calc!$AE$2:$AE$3000,$B118&amp;"|"&amp;$D118,_calc!$A$2:$A$3000,$B$3,_calc!$C$2:$C$3000,P$6)))</f>
        <v/>
      </c>
      <c r="Q118" s="50" t="str">
        <f>IF(OR($B118="",Q$6=""),"",IF(COUNTIFS(_calc!$AE$2:$AE$3000,$B118&amp;"|"&amp;$D118,_calc!$A$2:$A$3000,$B$3,_calc!$C$2:$C$3000,Q$6)=0,"",SUMIFS(_calc!$E$2:$E$3000,_calc!$AE$2:$AE$3000,$B118&amp;"|"&amp;$D118,_calc!$A$2:$A$3000,$B$3,_calc!$C$2:$C$3000,Q$6)))</f>
        <v/>
      </c>
      <c r="R118" s="50" t="str">
        <f>IF(OR($B118="",R$6=""),"",IF(COUNTIFS(_calc!$AE$2:$AE$3000,$B118&amp;"|"&amp;$D118,_calc!$A$2:$A$3000,$B$3,_calc!$C$2:$C$3000,R$6)=0,"",SUMIFS(_calc!$E$2:$E$3000,_calc!$AE$2:$AE$3000,$B118&amp;"|"&amp;$D118,_calc!$A$2:$A$3000,$B$3,_calc!$C$2:$C$3000,R$6)))</f>
        <v/>
      </c>
      <c r="S118" s="50" t="str">
        <f>IF(OR($B118="",S$6=""),"",IF(COUNTIFS(_calc!$AE$2:$AE$3000,$B118&amp;"|"&amp;$D118,_calc!$A$2:$A$3000,$B$3,_calc!$C$2:$C$3000,S$6)=0,"",SUMIFS(_calc!$E$2:$E$3000,_calc!$AE$2:$AE$3000,$B118&amp;"|"&amp;$D118,_calc!$A$2:$A$3000,$B$3,_calc!$C$2:$C$3000,S$6)))</f>
        <v/>
      </c>
      <c r="T118" s="50" t="str">
        <f>IF(OR($B118="",T$6=""),"",IF(COUNTIFS(_calc!$AE$2:$AE$3000,$B118&amp;"|"&amp;$D118,_calc!$A$2:$A$3000,$B$3,_calc!$C$2:$C$3000,T$6)=0,"",SUMIFS(_calc!$E$2:$E$3000,_calc!$AE$2:$AE$3000,$B118&amp;"|"&amp;$D118,_calc!$A$2:$A$3000,$B$3,_calc!$C$2:$C$3000,T$6)))</f>
        <v/>
      </c>
      <c r="U118" s="50" t="str">
        <f>IF(OR($B118="",U$6=""),"",IF(COUNTIFS(_calc!$AE$2:$AE$3000,$B118&amp;"|"&amp;$D118,_calc!$A$2:$A$3000,$B$3,_calc!$C$2:$C$3000,U$6)=0,"",SUMIFS(_calc!$E$2:$E$3000,_calc!$AE$2:$AE$3000,$B118&amp;"|"&amp;$D118,_calc!$A$2:$A$3000,$B$3,_calc!$C$2:$C$3000,U$6)))</f>
        <v/>
      </c>
      <c r="V118" s="50" t="str">
        <f>IF(OR($B118="",V$6=""),"",IF(COUNTIFS(_calc!$AE$2:$AE$3000,$B118&amp;"|"&amp;$D118,_calc!$A$2:$A$3000,$B$3,_calc!$C$2:$C$3000,V$6)=0,"",SUMIFS(_calc!$E$2:$E$3000,_calc!$AE$2:$AE$3000,$B118&amp;"|"&amp;$D118,_calc!$A$2:$A$3000,$B$3,_calc!$C$2:$C$3000,V$6)))</f>
        <v/>
      </c>
      <c r="W118" s="50" t="str">
        <f>IF(OR($B118="",W$6=""),"",IF(COUNTIFS(_calc!$AE$2:$AE$3000,$B118&amp;"|"&amp;$D118,_calc!$A$2:$A$3000,$B$3,_calc!$C$2:$C$3000,W$6)=0,"",SUMIFS(_calc!$E$2:$E$3000,_calc!$AE$2:$AE$3000,$B118&amp;"|"&amp;$D118,_calc!$A$2:$A$3000,$B$3,_calc!$C$2:$C$3000,W$6)))</f>
        <v/>
      </c>
      <c r="X118" s="50" t="str">
        <f>IF(OR($B118="",X$6=""),"",IF(COUNTIFS(_calc!$AE$2:$AE$3000,$B118&amp;"|"&amp;$D118,_calc!$A$2:$A$3000,$B$3,_calc!$C$2:$C$3000,X$6)=0,"",SUMIFS(_calc!$E$2:$E$3000,_calc!$AE$2:$AE$3000,$B118&amp;"|"&amp;$D118,_calc!$A$2:$A$3000,$B$3,_calc!$C$2:$C$3000,X$6)))</f>
        <v/>
      </c>
    </row>
    <row r="119" spans="1:24" x14ac:dyDescent="0.4">
      <c r="A119" s="48">
        <v>113</v>
      </c>
      <c r="B119" s="49" t="str">
        <f>IFERROR(INDEX(_calc!$I$2:$I$3000,MATCH($A119,_calc!$AB$2:$AB$3000,0)),"")</f>
        <v/>
      </c>
      <c r="C119" s="49" t="str">
        <f>IFERROR(INDEX(_calc!$H$2:$H$3000,MATCH($A119,_calc!$AB$2:$AB$3000,0)),"")</f>
        <v/>
      </c>
      <c r="D119" s="49" t="str">
        <f>IFERROR(INDEX(_calc!$K$2:$K$3000,MATCH($A119,_calc!$AB$2:$AB$3000,0)),"")</f>
        <v/>
      </c>
      <c r="E119" s="50" t="str">
        <f>IF(OR($B119="",E$6=""),"",IF(COUNTIFS(_calc!$AE$2:$AE$3000,$B119&amp;"|"&amp;$D119,_calc!$A$2:$A$3000,$B$3,_calc!$C$2:$C$3000,E$6)=0,"",SUMIFS(_calc!$E$2:$E$3000,_calc!$AE$2:$AE$3000,$B119&amp;"|"&amp;$D119,_calc!$A$2:$A$3000,$B$3,_calc!$C$2:$C$3000,E$6)))</f>
        <v/>
      </c>
      <c r="F119" s="50" t="str">
        <f>IF(OR($B119="",F$6=""),"",IF(COUNTIFS(_calc!$AE$2:$AE$3000,$B119&amp;"|"&amp;$D119,_calc!$A$2:$A$3000,$B$3,_calc!$C$2:$C$3000,F$6)=0,"",SUMIFS(_calc!$E$2:$E$3000,_calc!$AE$2:$AE$3000,$B119&amp;"|"&amp;$D119,_calc!$A$2:$A$3000,$B$3,_calc!$C$2:$C$3000,F$6)))</f>
        <v/>
      </c>
      <c r="G119" s="50" t="str">
        <f>IF(OR($B119="",G$6=""),"",IF(COUNTIFS(_calc!$AE$2:$AE$3000,$B119&amp;"|"&amp;$D119,_calc!$A$2:$A$3000,$B$3,_calc!$C$2:$C$3000,G$6)=0,"",SUMIFS(_calc!$E$2:$E$3000,_calc!$AE$2:$AE$3000,$B119&amp;"|"&amp;$D119,_calc!$A$2:$A$3000,$B$3,_calc!$C$2:$C$3000,G$6)))</f>
        <v/>
      </c>
      <c r="H119" s="50" t="str">
        <f>IF(OR($B119="",H$6=""),"",IF(COUNTIFS(_calc!$AE$2:$AE$3000,$B119&amp;"|"&amp;$D119,_calc!$A$2:$A$3000,$B$3,_calc!$C$2:$C$3000,H$6)=0,"",SUMIFS(_calc!$E$2:$E$3000,_calc!$AE$2:$AE$3000,$B119&amp;"|"&amp;$D119,_calc!$A$2:$A$3000,$B$3,_calc!$C$2:$C$3000,H$6)))</f>
        <v/>
      </c>
      <c r="I119" s="50" t="str">
        <f>IF(OR($B119="",I$6=""),"",IF(COUNTIFS(_calc!$AE$2:$AE$3000,$B119&amp;"|"&amp;$D119,_calc!$A$2:$A$3000,$B$3,_calc!$C$2:$C$3000,I$6)=0,"",SUMIFS(_calc!$E$2:$E$3000,_calc!$AE$2:$AE$3000,$B119&amp;"|"&amp;$D119,_calc!$A$2:$A$3000,$B$3,_calc!$C$2:$C$3000,I$6)))</f>
        <v/>
      </c>
      <c r="J119" s="50" t="str">
        <f>IF(OR($B119="",J$6=""),"",IF(COUNTIFS(_calc!$AE$2:$AE$3000,$B119&amp;"|"&amp;$D119,_calc!$A$2:$A$3000,$B$3,_calc!$C$2:$C$3000,J$6)=0,"",SUMIFS(_calc!$E$2:$E$3000,_calc!$AE$2:$AE$3000,$B119&amp;"|"&amp;$D119,_calc!$A$2:$A$3000,$B$3,_calc!$C$2:$C$3000,J$6)))</f>
        <v/>
      </c>
      <c r="K119" s="50" t="str">
        <f>IF(OR($B119="",K$6=""),"",IF(COUNTIFS(_calc!$AE$2:$AE$3000,$B119&amp;"|"&amp;$D119,_calc!$A$2:$A$3000,$B$3,_calc!$C$2:$C$3000,K$6)=0,"",SUMIFS(_calc!$E$2:$E$3000,_calc!$AE$2:$AE$3000,$B119&amp;"|"&amp;$D119,_calc!$A$2:$A$3000,$B$3,_calc!$C$2:$C$3000,K$6)))</f>
        <v/>
      </c>
      <c r="L119" s="50" t="str">
        <f>IF(OR($B119="",L$6=""),"",IF(COUNTIFS(_calc!$AE$2:$AE$3000,$B119&amp;"|"&amp;$D119,_calc!$A$2:$A$3000,$B$3,_calc!$C$2:$C$3000,L$6)=0,"",SUMIFS(_calc!$E$2:$E$3000,_calc!$AE$2:$AE$3000,$B119&amp;"|"&amp;$D119,_calc!$A$2:$A$3000,$B$3,_calc!$C$2:$C$3000,L$6)))</f>
        <v/>
      </c>
      <c r="M119" s="50" t="str">
        <f>IF(OR($B119="",M$6=""),"",IF(COUNTIFS(_calc!$AE$2:$AE$3000,$B119&amp;"|"&amp;$D119,_calc!$A$2:$A$3000,$B$3,_calc!$C$2:$C$3000,M$6)=0,"",SUMIFS(_calc!$E$2:$E$3000,_calc!$AE$2:$AE$3000,$B119&amp;"|"&amp;$D119,_calc!$A$2:$A$3000,$B$3,_calc!$C$2:$C$3000,M$6)))</f>
        <v/>
      </c>
      <c r="N119" s="50" t="str">
        <f>IF(OR($B119="",N$6=""),"",IF(COUNTIFS(_calc!$AE$2:$AE$3000,$B119&amp;"|"&amp;$D119,_calc!$A$2:$A$3000,$B$3,_calc!$C$2:$C$3000,N$6)=0,"",SUMIFS(_calc!$E$2:$E$3000,_calc!$AE$2:$AE$3000,$B119&amp;"|"&amp;$D119,_calc!$A$2:$A$3000,$B$3,_calc!$C$2:$C$3000,N$6)))</f>
        <v/>
      </c>
      <c r="O119" s="50" t="str">
        <f>IF(OR($B119="",O$6=""),"",IF(COUNTIFS(_calc!$AE$2:$AE$3000,$B119&amp;"|"&amp;$D119,_calc!$A$2:$A$3000,$B$3,_calc!$C$2:$C$3000,O$6)=0,"",SUMIFS(_calc!$E$2:$E$3000,_calc!$AE$2:$AE$3000,$B119&amp;"|"&amp;$D119,_calc!$A$2:$A$3000,$B$3,_calc!$C$2:$C$3000,O$6)))</f>
        <v/>
      </c>
      <c r="P119" s="50" t="str">
        <f>IF(OR($B119="",P$6=""),"",IF(COUNTIFS(_calc!$AE$2:$AE$3000,$B119&amp;"|"&amp;$D119,_calc!$A$2:$A$3000,$B$3,_calc!$C$2:$C$3000,P$6)=0,"",SUMIFS(_calc!$E$2:$E$3000,_calc!$AE$2:$AE$3000,$B119&amp;"|"&amp;$D119,_calc!$A$2:$A$3000,$B$3,_calc!$C$2:$C$3000,P$6)))</f>
        <v/>
      </c>
      <c r="Q119" s="50" t="str">
        <f>IF(OR($B119="",Q$6=""),"",IF(COUNTIFS(_calc!$AE$2:$AE$3000,$B119&amp;"|"&amp;$D119,_calc!$A$2:$A$3000,$B$3,_calc!$C$2:$C$3000,Q$6)=0,"",SUMIFS(_calc!$E$2:$E$3000,_calc!$AE$2:$AE$3000,$B119&amp;"|"&amp;$D119,_calc!$A$2:$A$3000,$B$3,_calc!$C$2:$C$3000,Q$6)))</f>
        <v/>
      </c>
      <c r="R119" s="50" t="str">
        <f>IF(OR($B119="",R$6=""),"",IF(COUNTIFS(_calc!$AE$2:$AE$3000,$B119&amp;"|"&amp;$D119,_calc!$A$2:$A$3000,$B$3,_calc!$C$2:$C$3000,R$6)=0,"",SUMIFS(_calc!$E$2:$E$3000,_calc!$AE$2:$AE$3000,$B119&amp;"|"&amp;$D119,_calc!$A$2:$A$3000,$B$3,_calc!$C$2:$C$3000,R$6)))</f>
        <v/>
      </c>
      <c r="S119" s="50" t="str">
        <f>IF(OR($B119="",S$6=""),"",IF(COUNTIFS(_calc!$AE$2:$AE$3000,$B119&amp;"|"&amp;$D119,_calc!$A$2:$A$3000,$B$3,_calc!$C$2:$C$3000,S$6)=0,"",SUMIFS(_calc!$E$2:$E$3000,_calc!$AE$2:$AE$3000,$B119&amp;"|"&amp;$D119,_calc!$A$2:$A$3000,$B$3,_calc!$C$2:$C$3000,S$6)))</f>
        <v/>
      </c>
      <c r="T119" s="50" t="str">
        <f>IF(OR($B119="",T$6=""),"",IF(COUNTIFS(_calc!$AE$2:$AE$3000,$B119&amp;"|"&amp;$D119,_calc!$A$2:$A$3000,$B$3,_calc!$C$2:$C$3000,T$6)=0,"",SUMIFS(_calc!$E$2:$E$3000,_calc!$AE$2:$AE$3000,$B119&amp;"|"&amp;$D119,_calc!$A$2:$A$3000,$B$3,_calc!$C$2:$C$3000,T$6)))</f>
        <v/>
      </c>
      <c r="U119" s="50" t="str">
        <f>IF(OR($B119="",U$6=""),"",IF(COUNTIFS(_calc!$AE$2:$AE$3000,$B119&amp;"|"&amp;$D119,_calc!$A$2:$A$3000,$B$3,_calc!$C$2:$C$3000,U$6)=0,"",SUMIFS(_calc!$E$2:$E$3000,_calc!$AE$2:$AE$3000,$B119&amp;"|"&amp;$D119,_calc!$A$2:$A$3000,$B$3,_calc!$C$2:$C$3000,U$6)))</f>
        <v/>
      </c>
      <c r="V119" s="50" t="str">
        <f>IF(OR($B119="",V$6=""),"",IF(COUNTIFS(_calc!$AE$2:$AE$3000,$B119&amp;"|"&amp;$D119,_calc!$A$2:$A$3000,$B$3,_calc!$C$2:$C$3000,V$6)=0,"",SUMIFS(_calc!$E$2:$E$3000,_calc!$AE$2:$AE$3000,$B119&amp;"|"&amp;$D119,_calc!$A$2:$A$3000,$B$3,_calc!$C$2:$C$3000,V$6)))</f>
        <v/>
      </c>
      <c r="W119" s="50" t="str">
        <f>IF(OR($B119="",W$6=""),"",IF(COUNTIFS(_calc!$AE$2:$AE$3000,$B119&amp;"|"&amp;$D119,_calc!$A$2:$A$3000,$B$3,_calc!$C$2:$C$3000,W$6)=0,"",SUMIFS(_calc!$E$2:$E$3000,_calc!$AE$2:$AE$3000,$B119&amp;"|"&amp;$D119,_calc!$A$2:$A$3000,$B$3,_calc!$C$2:$C$3000,W$6)))</f>
        <v/>
      </c>
      <c r="X119" s="50" t="str">
        <f>IF(OR($B119="",X$6=""),"",IF(COUNTIFS(_calc!$AE$2:$AE$3000,$B119&amp;"|"&amp;$D119,_calc!$A$2:$A$3000,$B$3,_calc!$C$2:$C$3000,X$6)=0,"",SUMIFS(_calc!$E$2:$E$3000,_calc!$AE$2:$AE$3000,$B119&amp;"|"&amp;$D119,_calc!$A$2:$A$3000,$B$3,_calc!$C$2:$C$3000,X$6)))</f>
        <v/>
      </c>
    </row>
    <row r="120" spans="1:24" x14ac:dyDescent="0.4">
      <c r="A120" s="48">
        <v>114</v>
      </c>
      <c r="B120" s="49" t="str">
        <f>IFERROR(INDEX(_calc!$I$2:$I$3000,MATCH($A120,_calc!$AB$2:$AB$3000,0)),"")</f>
        <v/>
      </c>
      <c r="C120" s="49" t="str">
        <f>IFERROR(INDEX(_calc!$H$2:$H$3000,MATCH($A120,_calc!$AB$2:$AB$3000,0)),"")</f>
        <v/>
      </c>
      <c r="D120" s="49" t="str">
        <f>IFERROR(INDEX(_calc!$K$2:$K$3000,MATCH($A120,_calc!$AB$2:$AB$3000,0)),"")</f>
        <v/>
      </c>
      <c r="E120" s="50" t="str">
        <f>IF(OR($B120="",E$6=""),"",IF(COUNTIFS(_calc!$AE$2:$AE$3000,$B120&amp;"|"&amp;$D120,_calc!$A$2:$A$3000,$B$3,_calc!$C$2:$C$3000,E$6)=0,"",SUMIFS(_calc!$E$2:$E$3000,_calc!$AE$2:$AE$3000,$B120&amp;"|"&amp;$D120,_calc!$A$2:$A$3000,$B$3,_calc!$C$2:$C$3000,E$6)))</f>
        <v/>
      </c>
      <c r="F120" s="50" t="str">
        <f>IF(OR($B120="",F$6=""),"",IF(COUNTIFS(_calc!$AE$2:$AE$3000,$B120&amp;"|"&amp;$D120,_calc!$A$2:$A$3000,$B$3,_calc!$C$2:$C$3000,F$6)=0,"",SUMIFS(_calc!$E$2:$E$3000,_calc!$AE$2:$AE$3000,$B120&amp;"|"&amp;$D120,_calc!$A$2:$A$3000,$B$3,_calc!$C$2:$C$3000,F$6)))</f>
        <v/>
      </c>
      <c r="G120" s="50" t="str">
        <f>IF(OR($B120="",G$6=""),"",IF(COUNTIFS(_calc!$AE$2:$AE$3000,$B120&amp;"|"&amp;$D120,_calc!$A$2:$A$3000,$B$3,_calc!$C$2:$C$3000,G$6)=0,"",SUMIFS(_calc!$E$2:$E$3000,_calc!$AE$2:$AE$3000,$B120&amp;"|"&amp;$D120,_calc!$A$2:$A$3000,$B$3,_calc!$C$2:$C$3000,G$6)))</f>
        <v/>
      </c>
      <c r="H120" s="50" t="str">
        <f>IF(OR($B120="",H$6=""),"",IF(COUNTIFS(_calc!$AE$2:$AE$3000,$B120&amp;"|"&amp;$D120,_calc!$A$2:$A$3000,$B$3,_calc!$C$2:$C$3000,H$6)=0,"",SUMIFS(_calc!$E$2:$E$3000,_calc!$AE$2:$AE$3000,$B120&amp;"|"&amp;$D120,_calc!$A$2:$A$3000,$B$3,_calc!$C$2:$C$3000,H$6)))</f>
        <v/>
      </c>
      <c r="I120" s="50" t="str">
        <f>IF(OR($B120="",I$6=""),"",IF(COUNTIFS(_calc!$AE$2:$AE$3000,$B120&amp;"|"&amp;$D120,_calc!$A$2:$A$3000,$B$3,_calc!$C$2:$C$3000,I$6)=0,"",SUMIFS(_calc!$E$2:$E$3000,_calc!$AE$2:$AE$3000,$B120&amp;"|"&amp;$D120,_calc!$A$2:$A$3000,$B$3,_calc!$C$2:$C$3000,I$6)))</f>
        <v/>
      </c>
      <c r="J120" s="50" t="str">
        <f>IF(OR($B120="",J$6=""),"",IF(COUNTIFS(_calc!$AE$2:$AE$3000,$B120&amp;"|"&amp;$D120,_calc!$A$2:$A$3000,$B$3,_calc!$C$2:$C$3000,J$6)=0,"",SUMIFS(_calc!$E$2:$E$3000,_calc!$AE$2:$AE$3000,$B120&amp;"|"&amp;$D120,_calc!$A$2:$A$3000,$B$3,_calc!$C$2:$C$3000,J$6)))</f>
        <v/>
      </c>
      <c r="K120" s="50" t="str">
        <f>IF(OR($B120="",K$6=""),"",IF(COUNTIFS(_calc!$AE$2:$AE$3000,$B120&amp;"|"&amp;$D120,_calc!$A$2:$A$3000,$B$3,_calc!$C$2:$C$3000,K$6)=0,"",SUMIFS(_calc!$E$2:$E$3000,_calc!$AE$2:$AE$3000,$B120&amp;"|"&amp;$D120,_calc!$A$2:$A$3000,$B$3,_calc!$C$2:$C$3000,K$6)))</f>
        <v/>
      </c>
      <c r="L120" s="50" t="str">
        <f>IF(OR($B120="",L$6=""),"",IF(COUNTIFS(_calc!$AE$2:$AE$3000,$B120&amp;"|"&amp;$D120,_calc!$A$2:$A$3000,$B$3,_calc!$C$2:$C$3000,L$6)=0,"",SUMIFS(_calc!$E$2:$E$3000,_calc!$AE$2:$AE$3000,$B120&amp;"|"&amp;$D120,_calc!$A$2:$A$3000,$B$3,_calc!$C$2:$C$3000,L$6)))</f>
        <v/>
      </c>
      <c r="M120" s="50" t="str">
        <f>IF(OR($B120="",M$6=""),"",IF(COUNTIFS(_calc!$AE$2:$AE$3000,$B120&amp;"|"&amp;$D120,_calc!$A$2:$A$3000,$B$3,_calc!$C$2:$C$3000,M$6)=0,"",SUMIFS(_calc!$E$2:$E$3000,_calc!$AE$2:$AE$3000,$B120&amp;"|"&amp;$D120,_calc!$A$2:$A$3000,$B$3,_calc!$C$2:$C$3000,M$6)))</f>
        <v/>
      </c>
      <c r="N120" s="50" t="str">
        <f>IF(OR($B120="",N$6=""),"",IF(COUNTIFS(_calc!$AE$2:$AE$3000,$B120&amp;"|"&amp;$D120,_calc!$A$2:$A$3000,$B$3,_calc!$C$2:$C$3000,N$6)=0,"",SUMIFS(_calc!$E$2:$E$3000,_calc!$AE$2:$AE$3000,$B120&amp;"|"&amp;$D120,_calc!$A$2:$A$3000,$B$3,_calc!$C$2:$C$3000,N$6)))</f>
        <v/>
      </c>
      <c r="O120" s="50" t="str">
        <f>IF(OR($B120="",O$6=""),"",IF(COUNTIFS(_calc!$AE$2:$AE$3000,$B120&amp;"|"&amp;$D120,_calc!$A$2:$A$3000,$B$3,_calc!$C$2:$C$3000,O$6)=0,"",SUMIFS(_calc!$E$2:$E$3000,_calc!$AE$2:$AE$3000,$B120&amp;"|"&amp;$D120,_calc!$A$2:$A$3000,$B$3,_calc!$C$2:$C$3000,O$6)))</f>
        <v/>
      </c>
      <c r="P120" s="50" t="str">
        <f>IF(OR($B120="",P$6=""),"",IF(COUNTIFS(_calc!$AE$2:$AE$3000,$B120&amp;"|"&amp;$D120,_calc!$A$2:$A$3000,$B$3,_calc!$C$2:$C$3000,P$6)=0,"",SUMIFS(_calc!$E$2:$E$3000,_calc!$AE$2:$AE$3000,$B120&amp;"|"&amp;$D120,_calc!$A$2:$A$3000,$B$3,_calc!$C$2:$C$3000,P$6)))</f>
        <v/>
      </c>
      <c r="Q120" s="50" t="str">
        <f>IF(OR($B120="",Q$6=""),"",IF(COUNTIFS(_calc!$AE$2:$AE$3000,$B120&amp;"|"&amp;$D120,_calc!$A$2:$A$3000,$B$3,_calc!$C$2:$C$3000,Q$6)=0,"",SUMIFS(_calc!$E$2:$E$3000,_calc!$AE$2:$AE$3000,$B120&amp;"|"&amp;$D120,_calc!$A$2:$A$3000,$B$3,_calc!$C$2:$C$3000,Q$6)))</f>
        <v/>
      </c>
      <c r="R120" s="50" t="str">
        <f>IF(OR($B120="",R$6=""),"",IF(COUNTIFS(_calc!$AE$2:$AE$3000,$B120&amp;"|"&amp;$D120,_calc!$A$2:$A$3000,$B$3,_calc!$C$2:$C$3000,R$6)=0,"",SUMIFS(_calc!$E$2:$E$3000,_calc!$AE$2:$AE$3000,$B120&amp;"|"&amp;$D120,_calc!$A$2:$A$3000,$B$3,_calc!$C$2:$C$3000,R$6)))</f>
        <v/>
      </c>
      <c r="S120" s="50" t="str">
        <f>IF(OR($B120="",S$6=""),"",IF(COUNTIFS(_calc!$AE$2:$AE$3000,$B120&amp;"|"&amp;$D120,_calc!$A$2:$A$3000,$B$3,_calc!$C$2:$C$3000,S$6)=0,"",SUMIFS(_calc!$E$2:$E$3000,_calc!$AE$2:$AE$3000,$B120&amp;"|"&amp;$D120,_calc!$A$2:$A$3000,$B$3,_calc!$C$2:$C$3000,S$6)))</f>
        <v/>
      </c>
      <c r="T120" s="50" t="str">
        <f>IF(OR($B120="",T$6=""),"",IF(COUNTIFS(_calc!$AE$2:$AE$3000,$B120&amp;"|"&amp;$D120,_calc!$A$2:$A$3000,$B$3,_calc!$C$2:$C$3000,T$6)=0,"",SUMIFS(_calc!$E$2:$E$3000,_calc!$AE$2:$AE$3000,$B120&amp;"|"&amp;$D120,_calc!$A$2:$A$3000,$B$3,_calc!$C$2:$C$3000,T$6)))</f>
        <v/>
      </c>
      <c r="U120" s="50" t="str">
        <f>IF(OR($B120="",U$6=""),"",IF(COUNTIFS(_calc!$AE$2:$AE$3000,$B120&amp;"|"&amp;$D120,_calc!$A$2:$A$3000,$B$3,_calc!$C$2:$C$3000,U$6)=0,"",SUMIFS(_calc!$E$2:$E$3000,_calc!$AE$2:$AE$3000,$B120&amp;"|"&amp;$D120,_calc!$A$2:$A$3000,$B$3,_calc!$C$2:$C$3000,U$6)))</f>
        <v/>
      </c>
      <c r="V120" s="50" t="str">
        <f>IF(OR($B120="",V$6=""),"",IF(COUNTIFS(_calc!$AE$2:$AE$3000,$B120&amp;"|"&amp;$D120,_calc!$A$2:$A$3000,$B$3,_calc!$C$2:$C$3000,V$6)=0,"",SUMIFS(_calc!$E$2:$E$3000,_calc!$AE$2:$AE$3000,$B120&amp;"|"&amp;$D120,_calc!$A$2:$A$3000,$B$3,_calc!$C$2:$C$3000,V$6)))</f>
        <v/>
      </c>
      <c r="W120" s="50" t="str">
        <f>IF(OR($B120="",W$6=""),"",IF(COUNTIFS(_calc!$AE$2:$AE$3000,$B120&amp;"|"&amp;$D120,_calc!$A$2:$A$3000,$B$3,_calc!$C$2:$C$3000,W$6)=0,"",SUMIFS(_calc!$E$2:$E$3000,_calc!$AE$2:$AE$3000,$B120&amp;"|"&amp;$D120,_calc!$A$2:$A$3000,$B$3,_calc!$C$2:$C$3000,W$6)))</f>
        <v/>
      </c>
      <c r="X120" s="50" t="str">
        <f>IF(OR($B120="",X$6=""),"",IF(COUNTIFS(_calc!$AE$2:$AE$3000,$B120&amp;"|"&amp;$D120,_calc!$A$2:$A$3000,$B$3,_calc!$C$2:$C$3000,X$6)=0,"",SUMIFS(_calc!$E$2:$E$3000,_calc!$AE$2:$AE$3000,$B120&amp;"|"&amp;$D120,_calc!$A$2:$A$3000,$B$3,_calc!$C$2:$C$3000,X$6)))</f>
        <v/>
      </c>
    </row>
    <row r="121" spans="1:24" x14ac:dyDescent="0.4">
      <c r="A121" s="48">
        <v>115</v>
      </c>
      <c r="B121" s="49" t="str">
        <f>IFERROR(INDEX(_calc!$I$2:$I$3000,MATCH($A121,_calc!$AB$2:$AB$3000,0)),"")</f>
        <v/>
      </c>
      <c r="C121" s="49" t="str">
        <f>IFERROR(INDEX(_calc!$H$2:$H$3000,MATCH($A121,_calc!$AB$2:$AB$3000,0)),"")</f>
        <v/>
      </c>
      <c r="D121" s="49" t="str">
        <f>IFERROR(INDEX(_calc!$K$2:$K$3000,MATCH($A121,_calc!$AB$2:$AB$3000,0)),"")</f>
        <v/>
      </c>
      <c r="E121" s="50" t="str">
        <f>IF(OR($B121="",E$6=""),"",IF(COUNTIFS(_calc!$AE$2:$AE$3000,$B121&amp;"|"&amp;$D121,_calc!$A$2:$A$3000,$B$3,_calc!$C$2:$C$3000,E$6)=0,"",SUMIFS(_calc!$E$2:$E$3000,_calc!$AE$2:$AE$3000,$B121&amp;"|"&amp;$D121,_calc!$A$2:$A$3000,$B$3,_calc!$C$2:$C$3000,E$6)))</f>
        <v/>
      </c>
      <c r="F121" s="50" t="str">
        <f>IF(OR($B121="",F$6=""),"",IF(COUNTIFS(_calc!$AE$2:$AE$3000,$B121&amp;"|"&amp;$D121,_calc!$A$2:$A$3000,$B$3,_calc!$C$2:$C$3000,F$6)=0,"",SUMIFS(_calc!$E$2:$E$3000,_calc!$AE$2:$AE$3000,$B121&amp;"|"&amp;$D121,_calc!$A$2:$A$3000,$B$3,_calc!$C$2:$C$3000,F$6)))</f>
        <v/>
      </c>
      <c r="G121" s="50" t="str">
        <f>IF(OR($B121="",G$6=""),"",IF(COUNTIFS(_calc!$AE$2:$AE$3000,$B121&amp;"|"&amp;$D121,_calc!$A$2:$A$3000,$B$3,_calc!$C$2:$C$3000,G$6)=0,"",SUMIFS(_calc!$E$2:$E$3000,_calc!$AE$2:$AE$3000,$B121&amp;"|"&amp;$D121,_calc!$A$2:$A$3000,$B$3,_calc!$C$2:$C$3000,G$6)))</f>
        <v/>
      </c>
      <c r="H121" s="50" t="str">
        <f>IF(OR($B121="",H$6=""),"",IF(COUNTIFS(_calc!$AE$2:$AE$3000,$B121&amp;"|"&amp;$D121,_calc!$A$2:$A$3000,$B$3,_calc!$C$2:$C$3000,H$6)=0,"",SUMIFS(_calc!$E$2:$E$3000,_calc!$AE$2:$AE$3000,$B121&amp;"|"&amp;$D121,_calc!$A$2:$A$3000,$B$3,_calc!$C$2:$C$3000,H$6)))</f>
        <v/>
      </c>
      <c r="I121" s="50" t="str">
        <f>IF(OR($B121="",I$6=""),"",IF(COUNTIFS(_calc!$AE$2:$AE$3000,$B121&amp;"|"&amp;$D121,_calc!$A$2:$A$3000,$B$3,_calc!$C$2:$C$3000,I$6)=0,"",SUMIFS(_calc!$E$2:$E$3000,_calc!$AE$2:$AE$3000,$B121&amp;"|"&amp;$D121,_calc!$A$2:$A$3000,$B$3,_calc!$C$2:$C$3000,I$6)))</f>
        <v/>
      </c>
      <c r="J121" s="50" t="str">
        <f>IF(OR($B121="",J$6=""),"",IF(COUNTIFS(_calc!$AE$2:$AE$3000,$B121&amp;"|"&amp;$D121,_calc!$A$2:$A$3000,$B$3,_calc!$C$2:$C$3000,J$6)=0,"",SUMIFS(_calc!$E$2:$E$3000,_calc!$AE$2:$AE$3000,$B121&amp;"|"&amp;$D121,_calc!$A$2:$A$3000,$B$3,_calc!$C$2:$C$3000,J$6)))</f>
        <v/>
      </c>
      <c r="K121" s="50" t="str">
        <f>IF(OR($B121="",K$6=""),"",IF(COUNTIFS(_calc!$AE$2:$AE$3000,$B121&amp;"|"&amp;$D121,_calc!$A$2:$A$3000,$B$3,_calc!$C$2:$C$3000,K$6)=0,"",SUMIFS(_calc!$E$2:$E$3000,_calc!$AE$2:$AE$3000,$B121&amp;"|"&amp;$D121,_calc!$A$2:$A$3000,$B$3,_calc!$C$2:$C$3000,K$6)))</f>
        <v/>
      </c>
      <c r="L121" s="50" t="str">
        <f>IF(OR($B121="",L$6=""),"",IF(COUNTIFS(_calc!$AE$2:$AE$3000,$B121&amp;"|"&amp;$D121,_calc!$A$2:$A$3000,$B$3,_calc!$C$2:$C$3000,L$6)=0,"",SUMIFS(_calc!$E$2:$E$3000,_calc!$AE$2:$AE$3000,$B121&amp;"|"&amp;$D121,_calc!$A$2:$A$3000,$B$3,_calc!$C$2:$C$3000,L$6)))</f>
        <v/>
      </c>
      <c r="M121" s="50" t="str">
        <f>IF(OR($B121="",M$6=""),"",IF(COUNTIFS(_calc!$AE$2:$AE$3000,$B121&amp;"|"&amp;$D121,_calc!$A$2:$A$3000,$B$3,_calc!$C$2:$C$3000,M$6)=0,"",SUMIFS(_calc!$E$2:$E$3000,_calc!$AE$2:$AE$3000,$B121&amp;"|"&amp;$D121,_calc!$A$2:$A$3000,$B$3,_calc!$C$2:$C$3000,M$6)))</f>
        <v/>
      </c>
      <c r="N121" s="50" t="str">
        <f>IF(OR($B121="",N$6=""),"",IF(COUNTIFS(_calc!$AE$2:$AE$3000,$B121&amp;"|"&amp;$D121,_calc!$A$2:$A$3000,$B$3,_calc!$C$2:$C$3000,N$6)=0,"",SUMIFS(_calc!$E$2:$E$3000,_calc!$AE$2:$AE$3000,$B121&amp;"|"&amp;$D121,_calc!$A$2:$A$3000,$B$3,_calc!$C$2:$C$3000,N$6)))</f>
        <v/>
      </c>
      <c r="O121" s="50" t="str">
        <f>IF(OR($B121="",O$6=""),"",IF(COUNTIFS(_calc!$AE$2:$AE$3000,$B121&amp;"|"&amp;$D121,_calc!$A$2:$A$3000,$B$3,_calc!$C$2:$C$3000,O$6)=0,"",SUMIFS(_calc!$E$2:$E$3000,_calc!$AE$2:$AE$3000,$B121&amp;"|"&amp;$D121,_calc!$A$2:$A$3000,$B$3,_calc!$C$2:$C$3000,O$6)))</f>
        <v/>
      </c>
      <c r="P121" s="50" t="str">
        <f>IF(OR($B121="",P$6=""),"",IF(COUNTIFS(_calc!$AE$2:$AE$3000,$B121&amp;"|"&amp;$D121,_calc!$A$2:$A$3000,$B$3,_calc!$C$2:$C$3000,P$6)=0,"",SUMIFS(_calc!$E$2:$E$3000,_calc!$AE$2:$AE$3000,$B121&amp;"|"&amp;$D121,_calc!$A$2:$A$3000,$B$3,_calc!$C$2:$C$3000,P$6)))</f>
        <v/>
      </c>
      <c r="Q121" s="50" t="str">
        <f>IF(OR($B121="",Q$6=""),"",IF(COUNTIFS(_calc!$AE$2:$AE$3000,$B121&amp;"|"&amp;$D121,_calc!$A$2:$A$3000,$B$3,_calc!$C$2:$C$3000,Q$6)=0,"",SUMIFS(_calc!$E$2:$E$3000,_calc!$AE$2:$AE$3000,$B121&amp;"|"&amp;$D121,_calc!$A$2:$A$3000,$B$3,_calc!$C$2:$C$3000,Q$6)))</f>
        <v/>
      </c>
      <c r="R121" s="50" t="str">
        <f>IF(OR($B121="",R$6=""),"",IF(COUNTIFS(_calc!$AE$2:$AE$3000,$B121&amp;"|"&amp;$D121,_calc!$A$2:$A$3000,$B$3,_calc!$C$2:$C$3000,R$6)=0,"",SUMIFS(_calc!$E$2:$E$3000,_calc!$AE$2:$AE$3000,$B121&amp;"|"&amp;$D121,_calc!$A$2:$A$3000,$B$3,_calc!$C$2:$C$3000,R$6)))</f>
        <v/>
      </c>
      <c r="S121" s="50" t="str">
        <f>IF(OR($B121="",S$6=""),"",IF(COUNTIFS(_calc!$AE$2:$AE$3000,$B121&amp;"|"&amp;$D121,_calc!$A$2:$A$3000,$B$3,_calc!$C$2:$C$3000,S$6)=0,"",SUMIFS(_calc!$E$2:$E$3000,_calc!$AE$2:$AE$3000,$B121&amp;"|"&amp;$D121,_calc!$A$2:$A$3000,$B$3,_calc!$C$2:$C$3000,S$6)))</f>
        <v/>
      </c>
      <c r="T121" s="50" t="str">
        <f>IF(OR($B121="",T$6=""),"",IF(COUNTIFS(_calc!$AE$2:$AE$3000,$B121&amp;"|"&amp;$D121,_calc!$A$2:$A$3000,$B$3,_calc!$C$2:$C$3000,T$6)=0,"",SUMIFS(_calc!$E$2:$E$3000,_calc!$AE$2:$AE$3000,$B121&amp;"|"&amp;$D121,_calc!$A$2:$A$3000,$B$3,_calc!$C$2:$C$3000,T$6)))</f>
        <v/>
      </c>
      <c r="U121" s="50" t="str">
        <f>IF(OR($B121="",U$6=""),"",IF(COUNTIFS(_calc!$AE$2:$AE$3000,$B121&amp;"|"&amp;$D121,_calc!$A$2:$A$3000,$B$3,_calc!$C$2:$C$3000,U$6)=0,"",SUMIFS(_calc!$E$2:$E$3000,_calc!$AE$2:$AE$3000,$B121&amp;"|"&amp;$D121,_calc!$A$2:$A$3000,$B$3,_calc!$C$2:$C$3000,U$6)))</f>
        <v/>
      </c>
      <c r="V121" s="50" t="str">
        <f>IF(OR($B121="",V$6=""),"",IF(COUNTIFS(_calc!$AE$2:$AE$3000,$B121&amp;"|"&amp;$D121,_calc!$A$2:$A$3000,$B$3,_calc!$C$2:$C$3000,V$6)=0,"",SUMIFS(_calc!$E$2:$E$3000,_calc!$AE$2:$AE$3000,$B121&amp;"|"&amp;$D121,_calc!$A$2:$A$3000,$B$3,_calc!$C$2:$C$3000,V$6)))</f>
        <v/>
      </c>
      <c r="W121" s="50" t="str">
        <f>IF(OR($B121="",W$6=""),"",IF(COUNTIFS(_calc!$AE$2:$AE$3000,$B121&amp;"|"&amp;$D121,_calc!$A$2:$A$3000,$B$3,_calc!$C$2:$C$3000,W$6)=0,"",SUMIFS(_calc!$E$2:$E$3000,_calc!$AE$2:$AE$3000,$B121&amp;"|"&amp;$D121,_calc!$A$2:$A$3000,$B$3,_calc!$C$2:$C$3000,W$6)))</f>
        <v/>
      </c>
      <c r="X121" s="50" t="str">
        <f>IF(OR($B121="",X$6=""),"",IF(COUNTIFS(_calc!$AE$2:$AE$3000,$B121&amp;"|"&amp;$D121,_calc!$A$2:$A$3000,$B$3,_calc!$C$2:$C$3000,X$6)=0,"",SUMIFS(_calc!$E$2:$E$3000,_calc!$AE$2:$AE$3000,$B121&amp;"|"&amp;$D121,_calc!$A$2:$A$3000,$B$3,_calc!$C$2:$C$3000,X$6)))</f>
        <v/>
      </c>
    </row>
    <row r="122" spans="1:24" x14ac:dyDescent="0.4">
      <c r="A122" s="48">
        <v>116</v>
      </c>
      <c r="B122" s="49" t="str">
        <f>IFERROR(INDEX(_calc!$I$2:$I$3000,MATCH($A122,_calc!$AB$2:$AB$3000,0)),"")</f>
        <v/>
      </c>
      <c r="C122" s="49" t="str">
        <f>IFERROR(INDEX(_calc!$H$2:$H$3000,MATCH($A122,_calc!$AB$2:$AB$3000,0)),"")</f>
        <v/>
      </c>
      <c r="D122" s="49" t="str">
        <f>IFERROR(INDEX(_calc!$K$2:$K$3000,MATCH($A122,_calc!$AB$2:$AB$3000,0)),"")</f>
        <v/>
      </c>
      <c r="E122" s="50" t="str">
        <f>IF(OR($B122="",E$6=""),"",IF(COUNTIFS(_calc!$AE$2:$AE$3000,$B122&amp;"|"&amp;$D122,_calc!$A$2:$A$3000,$B$3,_calc!$C$2:$C$3000,E$6)=0,"",SUMIFS(_calc!$E$2:$E$3000,_calc!$AE$2:$AE$3000,$B122&amp;"|"&amp;$D122,_calc!$A$2:$A$3000,$B$3,_calc!$C$2:$C$3000,E$6)))</f>
        <v/>
      </c>
      <c r="F122" s="50" t="str">
        <f>IF(OR($B122="",F$6=""),"",IF(COUNTIFS(_calc!$AE$2:$AE$3000,$B122&amp;"|"&amp;$D122,_calc!$A$2:$A$3000,$B$3,_calc!$C$2:$C$3000,F$6)=0,"",SUMIFS(_calc!$E$2:$E$3000,_calc!$AE$2:$AE$3000,$B122&amp;"|"&amp;$D122,_calc!$A$2:$A$3000,$B$3,_calc!$C$2:$C$3000,F$6)))</f>
        <v/>
      </c>
      <c r="G122" s="50" t="str">
        <f>IF(OR($B122="",G$6=""),"",IF(COUNTIFS(_calc!$AE$2:$AE$3000,$B122&amp;"|"&amp;$D122,_calc!$A$2:$A$3000,$B$3,_calc!$C$2:$C$3000,G$6)=0,"",SUMIFS(_calc!$E$2:$E$3000,_calc!$AE$2:$AE$3000,$B122&amp;"|"&amp;$D122,_calc!$A$2:$A$3000,$B$3,_calc!$C$2:$C$3000,G$6)))</f>
        <v/>
      </c>
      <c r="H122" s="50" t="str">
        <f>IF(OR($B122="",H$6=""),"",IF(COUNTIFS(_calc!$AE$2:$AE$3000,$B122&amp;"|"&amp;$D122,_calc!$A$2:$A$3000,$B$3,_calc!$C$2:$C$3000,H$6)=0,"",SUMIFS(_calc!$E$2:$E$3000,_calc!$AE$2:$AE$3000,$B122&amp;"|"&amp;$D122,_calc!$A$2:$A$3000,$B$3,_calc!$C$2:$C$3000,H$6)))</f>
        <v/>
      </c>
      <c r="I122" s="50" t="str">
        <f>IF(OR($B122="",I$6=""),"",IF(COUNTIFS(_calc!$AE$2:$AE$3000,$B122&amp;"|"&amp;$D122,_calc!$A$2:$A$3000,$B$3,_calc!$C$2:$C$3000,I$6)=0,"",SUMIFS(_calc!$E$2:$E$3000,_calc!$AE$2:$AE$3000,$B122&amp;"|"&amp;$D122,_calc!$A$2:$A$3000,$B$3,_calc!$C$2:$C$3000,I$6)))</f>
        <v/>
      </c>
      <c r="J122" s="50" t="str">
        <f>IF(OR($B122="",J$6=""),"",IF(COUNTIFS(_calc!$AE$2:$AE$3000,$B122&amp;"|"&amp;$D122,_calc!$A$2:$A$3000,$B$3,_calc!$C$2:$C$3000,J$6)=0,"",SUMIFS(_calc!$E$2:$E$3000,_calc!$AE$2:$AE$3000,$B122&amp;"|"&amp;$D122,_calc!$A$2:$A$3000,$B$3,_calc!$C$2:$C$3000,J$6)))</f>
        <v/>
      </c>
      <c r="K122" s="50" t="str">
        <f>IF(OR($B122="",K$6=""),"",IF(COUNTIFS(_calc!$AE$2:$AE$3000,$B122&amp;"|"&amp;$D122,_calc!$A$2:$A$3000,$B$3,_calc!$C$2:$C$3000,K$6)=0,"",SUMIFS(_calc!$E$2:$E$3000,_calc!$AE$2:$AE$3000,$B122&amp;"|"&amp;$D122,_calc!$A$2:$A$3000,$B$3,_calc!$C$2:$C$3000,K$6)))</f>
        <v/>
      </c>
      <c r="L122" s="50" t="str">
        <f>IF(OR($B122="",L$6=""),"",IF(COUNTIFS(_calc!$AE$2:$AE$3000,$B122&amp;"|"&amp;$D122,_calc!$A$2:$A$3000,$B$3,_calc!$C$2:$C$3000,L$6)=0,"",SUMIFS(_calc!$E$2:$E$3000,_calc!$AE$2:$AE$3000,$B122&amp;"|"&amp;$D122,_calc!$A$2:$A$3000,$B$3,_calc!$C$2:$C$3000,L$6)))</f>
        <v/>
      </c>
      <c r="M122" s="50" t="str">
        <f>IF(OR($B122="",M$6=""),"",IF(COUNTIFS(_calc!$AE$2:$AE$3000,$B122&amp;"|"&amp;$D122,_calc!$A$2:$A$3000,$B$3,_calc!$C$2:$C$3000,M$6)=0,"",SUMIFS(_calc!$E$2:$E$3000,_calc!$AE$2:$AE$3000,$B122&amp;"|"&amp;$D122,_calc!$A$2:$A$3000,$B$3,_calc!$C$2:$C$3000,M$6)))</f>
        <v/>
      </c>
      <c r="N122" s="50" t="str">
        <f>IF(OR($B122="",N$6=""),"",IF(COUNTIFS(_calc!$AE$2:$AE$3000,$B122&amp;"|"&amp;$D122,_calc!$A$2:$A$3000,$B$3,_calc!$C$2:$C$3000,N$6)=0,"",SUMIFS(_calc!$E$2:$E$3000,_calc!$AE$2:$AE$3000,$B122&amp;"|"&amp;$D122,_calc!$A$2:$A$3000,$B$3,_calc!$C$2:$C$3000,N$6)))</f>
        <v/>
      </c>
      <c r="O122" s="50" t="str">
        <f>IF(OR($B122="",O$6=""),"",IF(COUNTIFS(_calc!$AE$2:$AE$3000,$B122&amp;"|"&amp;$D122,_calc!$A$2:$A$3000,$B$3,_calc!$C$2:$C$3000,O$6)=0,"",SUMIFS(_calc!$E$2:$E$3000,_calc!$AE$2:$AE$3000,$B122&amp;"|"&amp;$D122,_calc!$A$2:$A$3000,$B$3,_calc!$C$2:$C$3000,O$6)))</f>
        <v/>
      </c>
      <c r="P122" s="50" t="str">
        <f>IF(OR($B122="",P$6=""),"",IF(COUNTIFS(_calc!$AE$2:$AE$3000,$B122&amp;"|"&amp;$D122,_calc!$A$2:$A$3000,$B$3,_calc!$C$2:$C$3000,P$6)=0,"",SUMIFS(_calc!$E$2:$E$3000,_calc!$AE$2:$AE$3000,$B122&amp;"|"&amp;$D122,_calc!$A$2:$A$3000,$B$3,_calc!$C$2:$C$3000,P$6)))</f>
        <v/>
      </c>
      <c r="Q122" s="50" t="str">
        <f>IF(OR($B122="",Q$6=""),"",IF(COUNTIFS(_calc!$AE$2:$AE$3000,$B122&amp;"|"&amp;$D122,_calc!$A$2:$A$3000,$B$3,_calc!$C$2:$C$3000,Q$6)=0,"",SUMIFS(_calc!$E$2:$E$3000,_calc!$AE$2:$AE$3000,$B122&amp;"|"&amp;$D122,_calc!$A$2:$A$3000,$B$3,_calc!$C$2:$C$3000,Q$6)))</f>
        <v/>
      </c>
      <c r="R122" s="50" t="str">
        <f>IF(OR($B122="",R$6=""),"",IF(COUNTIFS(_calc!$AE$2:$AE$3000,$B122&amp;"|"&amp;$D122,_calc!$A$2:$A$3000,$B$3,_calc!$C$2:$C$3000,R$6)=0,"",SUMIFS(_calc!$E$2:$E$3000,_calc!$AE$2:$AE$3000,$B122&amp;"|"&amp;$D122,_calc!$A$2:$A$3000,$B$3,_calc!$C$2:$C$3000,R$6)))</f>
        <v/>
      </c>
      <c r="S122" s="50" t="str">
        <f>IF(OR($B122="",S$6=""),"",IF(COUNTIFS(_calc!$AE$2:$AE$3000,$B122&amp;"|"&amp;$D122,_calc!$A$2:$A$3000,$B$3,_calc!$C$2:$C$3000,S$6)=0,"",SUMIFS(_calc!$E$2:$E$3000,_calc!$AE$2:$AE$3000,$B122&amp;"|"&amp;$D122,_calc!$A$2:$A$3000,$B$3,_calc!$C$2:$C$3000,S$6)))</f>
        <v/>
      </c>
      <c r="T122" s="50" t="str">
        <f>IF(OR($B122="",T$6=""),"",IF(COUNTIFS(_calc!$AE$2:$AE$3000,$B122&amp;"|"&amp;$D122,_calc!$A$2:$A$3000,$B$3,_calc!$C$2:$C$3000,T$6)=0,"",SUMIFS(_calc!$E$2:$E$3000,_calc!$AE$2:$AE$3000,$B122&amp;"|"&amp;$D122,_calc!$A$2:$A$3000,$B$3,_calc!$C$2:$C$3000,T$6)))</f>
        <v/>
      </c>
      <c r="U122" s="50" t="str">
        <f>IF(OR($B122="",U$6=""),"",IF(COUNTIFS(_calc!$AE$2:$AE$3000,$B122&amp;"|"&amp;$D122,_calc!$A$2:$A$3000,$B$3,_calc!$C$2:$C$3000,U$6)=0,"",SUMIFS(_calc!$E$2:$E$3000,_calc!$AE$2:$AE$3000,$B122&amp;"|"&amp;$D122,_calc!$A$2:$A$3000,$B$3,_calc!$C$2:$C$3000,U$6)))</f>
        <v/>
      </c>
      <c r="V122" s="50" t="str">
        <f>IF(OR($B122="",V$6=""),"",IF(COUNTIFS(_calc!$AE$2:$AE$3000,$B122&amp;"|"&amp;$D122,_calc!$A$2:$A$3000,$B$3,_calc!$C$2:$C$3000,V$6)=0,"",SUMIFS(_calc!$E$2:$E$3000,_calc!$AE$2:$AE$3000,$B122&amp;"|"&amp;$D122,_calc!$A$2:$A$3000,$B$3,_calc!$C$2:$C$3000,V$6)))</f>
        <v/>
      </c>
      <c r="W122" s="50" t="str">
        <f>IF(OR($B122="",W$6=""),"",IF(COUNTIFS(_calc!$AE$2:$AE$3000,$B122&amp;"|"&amp;$D122,_calc!$A$2:$A$3000,$B$3,_calc!$C$2:$C$3000,W$6)=0,"",SUMIFS(_calc!$E$2:$E$3000,_calc!$AE$2:$AE$3000,$B122&amp;"|"&amp;$D122,_calc!$A$2:$A$3000,$B$3,_calc!$C$2:$C$3000,W$6)))</f>
        <v/>
      </c>
      <c r="X122" s="50" t="str">
        <f>IF(OR($B122="",X$6=""),"",IF(COUNTIFS(_calc!$AE$2:$AE$3000,$B122&amp;"|"&amp;$D122,_calc!$A$2:$A$3000,$B$3,_calc!$C$2:$C$3000,X$6)=0,"",SUMIFS(_calc!$E$2:$E$3000,_calc!$AE$2:$AE$3000,$B122&amp;"|"&amp;$D122,_calc!$A$2:$A$3000,$B$3,_calc!$C$2:$C$3000,X$6)))</f>
        <v/>
      </c>
    </row>
    <row r="123" spans="1:24" x14ac:dyDescent="0.4">
      <c r="A123" s="48">
        <v>117</v>
      </c>
      <c r="B123" s="49" t="str">
        <f>IFERROR(INDEX(_calc!$I$2:$I$3000,MATCH($A123,_calc!$AB$2:$AB$3000,0)),"")</f>
        <v/>
      </c>
      <c r="C123" s="49" t="str">
        <f>IFERROR(INDEX(_calc!$H$2:$H$3000,MATCH($A123,_calc!$AB$2:$AB$3000,0)),"")</f>
        <v/>
      </c>
      <c r="D123" s="49" t="str">
        <f>IFERROR(INDEX(_calc!$K$2:$K$3000,MATCH($A123,_calc!$AB$2:$AB$3000,0)),"")</f>
        <v/>
      </c>
      <c r="E123" s="50" t="str">
        <f>IF(OR($B123="",E$6=""),"",IF(COUNTIFS(_calc!$AE$2:$AE$3000,$B123&amp;"|"&amp;$D123,_calc!$A$2:$A$3000,$B$3,_calc!$C$2:$C$3000,E$6)=0,"",SUMIFS(_calc!$E$2:$E$3000,_calc!$AE$2:$AE$3000,$B123&amp;"|"&amp;$D123,_calc!$A$2:$A$3000,$B$3,_calc!$C$2:$C$3000,E$6)))</f>
        <v/>
      </c>
      <c r="F123" s="50" t="str">
        <f>IF(OR($B123="",F$6=""),"",IF(COUNTIFS(_calc!$AE$2:$AE$3000,$B123&amp;"|"&amp;$D123,_calc!$A$2:$A$3000,$B$3,_calc!$C$2:$C$3000,F$6)=0,"",SUMIFS(_calc!$E$2:$E$3000,_calc!$AE$2:$AE$3000,$B123&amp;"|"&amp;$D123,_calc!$A$2:$A$3000,$B$3,_calc!$C$2:$C$3000,F$6)))</f>
        <v/>
      </c>
      <c r="G123" s="50" t="str">
        <f>IF(OR($B123="",G$6=""),"",IF(COUNTIFS(_calc!$AE$2:$AE$3000,$B123&amp;"|"&amp;$D123,_calc!$A$2:$A$3000,$B$3,_calc!$C$2:$C$3000,G$6)=0,"",SUMIFS(_calc!$E$2:$E$3000,_calc!$AE$2:$AE$3000,$B123&amp;"|"&amp;$D123,_calc!$A$2:$A$3000,$B$3,_calc!$C$2:$C$3000,G$6)))</f>
        <v/>
      </c>
      <c r="H123" s="50" t="str">
        <f>IF(OR($B123="",H$6=""),"",IF(COUNTIFS(_calc!$AE$2:$AE$3000,$B123&amp;"|"&amp;$D123,_calc!$A$2:$A$3000,$B$3,_calc!$C$2:$C$3000,H$6)=0,"",SUMIFS(_calc!$E$2:$E$3000,_calc!$AE$2:$AE$3000,$B123&amp;"|"&amp;$D123,_calc!$A$2:$A$3000,$B$3,_calc!$C$2:$C$3000,H$6)))</f>
        <v/>
      </c>
      <c r="I123" s="50" t="str">
        <f>IF(OR($B123="",I$6=""),"",IF(COUNTIFS(_calc!$AE$2:$AE$3000,$B123&amp;"|"&amp;$D123,_calc!$A$2:$A$3000,$B$3,_calc!$C$2:$C$3000,I$6)=0,"",SUMIFS(_calc!$E$2:$E$3000,_calc!$AE$2:$AE$3000,$B123&amp;"|"&amp;$D123,_calc!$A$2:$A$3000,$B$3,_calc!$C$2:$C$3000,I$6)))</f>
        <v/>
      </c>
      <c r="J123" s="50" t="str">
        <f>IF(OR($B123="",J$6=""),"",IF(COUNTIFS(_calc!$AE$2:$AE$3000,$B123&amp;"|"&amp;$D123,_calc!$A$2:$A$3000,$B$3,_calc!$C$2:$C$3000,J$6)=0,"",SUMIFS(_calc!$E$2:$E$3000,_calc!$AE$2:$AE$3000,$B123&amp;"|"&amp;$D123,_calc!$A$2:$A$3000,$B$3,_calc!$C$2:$C$3000,J$6)))</f>
        <v/>
      </c>
      <c r="K123" s="50" t="str">
        <f>IF(OR($B123="",K$6=""),"",IF(COUNTIFS(_calc!$AE$2:$AE$3000,$B123&amp;"|"&amp;$D123,_calc!$A$2:$A$3000,$B$3,_calc!$C$2:$C$3000,K$6)=0,"",SUMIFS(_calc!$E$2:$E$3000,_calc!$AE$2:$AE$3000,$B123&amp;"|"&amp;$D123,_calc!$A$2:$A$3000,$B$3,_calc!$C$2:$C$3000,K$6)))</f>
        <v/>
      </c>
      <c r="L123" s="50" t="str">
        <f>IF(OR($B123="",L$6=""),"",IF(COUNTIFS(_calc!$AE$2:$AE$3000,$B123&amp;"|"&amp;$D123,_calc!$A$2:$A$3000,$B$3,_calc!$C$2:$C$3000,L$6)=0,"",SUMIFS(_calc!$E$2:$E$3000,_calc!$AE$2:$AE$3000,$B123&amp;"|"&amp;$D123,_calc!$A$2:$A$3000,$B$3,_calc!$C$2:$C$3000,L$6)))</f>
        <v/>
      </c>
      <c r="M123" s="50" t="str">
        <f>IF(OR($B123="",M$6=""),"",IF(COUNTIFS(_calc!$AE$2:$AE$3000,$B123&amp;"|"&amp;$D123,_calc!$A$2:$A$3000,$B$3,_calc!$C$2:$C$3000,M$6)=0,"",SUMIFS(_calc!$E$2:$E$3000,_calc!$AE$2:$AE$3000,$B123&amp;"|"&amp;$D123,_calc!$A$2:$A$3000,$B$3,_calc!$C$2:$C$3000,M$6)))</f>
        <v/>
      </c>
      <c r="N123" s="50" t="str">
        <f>IF(OR($B123="",N$6=""),"",IF(COUNTIFS(_calc!$AE$2:$AE$3000,$B123&amp;"|"&amp;$D123,_calc!$A$2:$A$3000,$B$3,_calc!$C$2:$C$3000,N$6)=0,"",SUMIFS(_calc!$E$2:$E$3000,_calc!$AE$2:$AE$3000,$B123&amp;"|"&amp;$D123,_calc!$A$2:$A$3000,$B$3,_calc!$C$2:$C$3000,N$6)))</f>
        <v/>
      </c>
      <c r="O123" s="50" t="str">
        <f>IF(OR($B123="",O$6=""),"",IF(COUNTIFS(_calc!$AE$2:$AE$3000,$B123&amp;"|"&amp;$D123,_calc!$A$2:$A$3000,$B$3,_calc!$C$2:$C$3000,O$6)=0,"",SUMIFS(_calc!$E$2:$E$3000,_calc!$AE$2:$AE$3000,$B123&amp;"|"&amp;$D123,_calc!$A$2:$A$3000,$B$3,_calc!$C$2:$C$3000,O$6)))</f>
        <v/>
      </c>
      <c r="P123" s="50" t="str">
        <f>IF(OR($B123="",P$6=""),"",IF(COUNTIFS(_calc!$AE$2:$AE$3000,$B123&amp;"|"&amp;$D123,_calc!$A$2:$A$3000,$B$3,_calc!$C$2:$C$3000,P$6)=0,"",SUMIFS(_calc!$E$2:$E$3000,_calc!$AE$2:$AE$3000,$B123&amp;"|"&amp;$D123,_calc!$A$2:$A$3000,$B$3,_calc!$C$2:$C$3000,P$6)))</f>
        <v/>
      </c>
      <c r="Q123" s="50" t="str">
        <f>IF(OR($B123="",Q$6=""),"",IF(COUNTIFS(_calc!$AE$2:$AE$3000,$B123&amp;"|"&amp;$D123,_calc!$A$2:$A$3000,$B$3,_calc!$C$2:$C$3000,Q$6)=0,"",SUMIFS(_calc!$E$2:$E$3000,_calc!$AE$2:$AE$3000,$B123&amp;"|"&amp;$D123,_calc!$A$2:$A$3000,$B$3,_calc!$C$2:$C$3000,Q$6)))</f>
        <v/>
      </c>
      <c r="R123" s="50" t="str">
        <f>IF(OR($B123="",R$6=""),"",IF(COUNTIFS(_calc!$AE$2:$AE$3000,$B123&amp;"|"&amp;$D123,_calc!$A$2:$A$3000,$B$3,_calc!$C$2:$C$3000,R$6)=0,"",SUMIFS(_calc!$E$2:$E$3000,_calc!$AE$2:$AE$3000,$B123&amp;"|"&amp;$D123,_calc!$A$2:$A$3000,$B$3,_calc!$C$2:$C$3000,R$6)))</f>
        <v/>
      </c>
      <c r="S123" s="50" t="str">
        <f>IF(OR($B123="",S$6=""),"",IF(COUNTIFS(_calc!$AE$2:$AE$3000,$B123&amp;"|"&amp;$D123,_calc!$A$2:$A$3000,$B$3,_calc!$C$2:$C$3000,S$6)=0,"",SUMIFS(_calc!$E$2:$E$3000,_calc!$AE$2:$AE$3000,$B123&amp;"|"&amp;$D123,_calc!$A$2:$A$3000,$B$3,_calc!$C$2:$C$3000,S$6)))</f>
        <v/>
      </c>
      <c r="T123" s="50" t="str">
        <f>IF(OR($B123="",T$6=""),"",IF(COUNTIFS(_calc!$AE$2:$AE$3000,$B123&amp;"|"&amp;$D123,_calc!$A$2:$A$3000,$B$3,_calc!$C$2:$C$3000,T$6)=0,"",SUMIFS(_calc!$E$2:$E$3000,_calc!$AE$2:$AE$3000,$B123&amp;"|"&amp;$D123,_calc!$A$2:$A$3000,$B$3,_calc!$C$2:$C$3000,T$6)))</f>
        <v/>
      </c>
      <c r="U123" s="50" t="str">
        <f>IF(OR($B123="",U$6=""),"",IF(COUNTIFS(_calc!$AE$2:$AE$3000,$B123&amp;"|"&amp;$D123,_calc!$A$2:$A$3000,$B$3,_calc!$C$2:$C$3000,U$6)=0,"",SUMIFS(_calc!$E$2:$E$3000,_calc!$AE$2:$AE$3000,$B123&amp;"|"&amp;$D123,_calc!$A$2:$A$3000,$B$3,_calc!$C$2:$C$3000,U$6)))</f>
        <v/>
      </c>
      <c r="V123" s="50" t="str">
        <f>IF(OR($B123="",V$6=""),"",IF(COUNTIFS(_calc!$AE$2:$AE$3000,$B123&amp;"|"&amp;$D123,_calc!$A$2:$A$3000,$B$3,_calc!$C$2:$C$3000,V$6)=0,"",SUMIFS(_calc!$E$2:$E$3000,_calc!$AE$2:$AE$3000,$B123&amp;"|"&amp;$D123,_calc!$A$2:$A$3000,$B$3,_calc!$C$2:$C$3000,V$6)))</f>
        <v/>
      </c>
      <c r="W123" s="50" t="str">
        <f>IF(OR($B123="",W$6=""),"",IF(COUNTIFS(_calc!$AE$2:$AE$3000,$B123&amp;"|"&amp;$D123,_calc!$A$2:$A$3000,$B$3,_calc!$C$2:$C$3000,W$6)=0,"",SUMIFS(_calc!$E$2:$E$3000,_calc!$AE$2:$AE$3000,$B123&amp;"|"&amp;$D123,_calc!$A$2:$A$3000,$B$3,_calc!$C$2:$C$3000,W$6)))</f>
        <v/>
      </c>
      <c r="X123" s="50" t="str">
        <f>IF(OR($B123="",X$6=""),"",IF(COUNTIFS(_calc!$AE$2:$AE$3000,$B123&amp;"|"&amp;$D123,_calc!$A$2:$A$3000,$B$3,_calc!$C$2:$C$3000,X$6)=0,"",SUMIFS(_calc!$E$2:$E$3000,_calc!$AE$2:$AE$3000,$B123&amp;"|"&amp;$D123,_calc!$A$2:$A$3000,$B$3,_calc!$C$2:$C$3000,X$6)))</f>
        <v/>
      </c>
    </row>
    <row r="124" spans="1:24" x14ac:dyDescent="0.4">
      <c r="A124" s="48">
        <v>118</v>
      </c>
      <c r="B124" s="49" t="str">
        <f>IFERROR(INDEX(_calc!$I$2:$I$3000,MATCH($A124,_calc!$AB$2:$AB$3000,0)),"")</f>
        <v/>
      </c>
      <c r="C124" s="49" t="str">
        <f>IFERROR(INDEX(_calc!$H$2:$H$3000,MATCH($A124,_calc!$AB$2:$AB$3000,0)),"")</f>
        <v/>
      </c>
      <c r="D124" s="49" t="str">
        <f>IFERROR(INDEX(_calc!$K$2:$K$3000,MATCH($A124,_calc!$AB$2:$AB$3000,0)),"")</f>
        <v/>
      </c>
      <c r="E124" s="50" t="str">
        <f>IF(OR($B124="",E$6=""),"",IF(COUNTIFS(_calc!$AE$2:$AE$3000,$B124&amp;"|"&amp;$D124,_calc!$A$2:$A$3000,$B$3,_calc!$C$2:$C$3000,E$6)=0,"",SUMIFS(_calc!$E$2:$E$3000,_calc!$AE$2:$AE$3000,$B124&amp;"|"&amp;$D124,_calc!$A$2:$A$3000,$B$3,_calc!$C$2:$C$3000,E$6)))</f>
        <v/>
      </c>
      <c r="F124" s="50" t="str">
        <f>IF(OR($B124="",F$6=""),"",IF(COUNTIFS(_calc!$AE$2:$AE$3000,$B124&amp;"|"&amp;$D124,_calc!$A$2:$A$3000,$B$3,_calc!$C$2:$C$3000,F$6)=0,"",SUMIFS(_calc!$E$2:$E$3000,_calc!$AE$2:$AE$3000,$B124&amp;"|"&amp;$D124,_calc!$A$2:$A$3000,$B$3,_calc!$C$2:$C$3000,F$6)))</f>
        <v/>
      </c>
      <c r="G124" s="50" t="str">
        <f>IF(OR($B124="",G$6=""),"",IF(COUNTIFS(_calc!$AE$2:$AE$3000,$B124&amp;"|"&amp;$D124,_calc!$A$2:$A$3000,$B$3,_calc!$C$2:$C$3000,G$6)=0,"",SUMIFS(_calc!$E$2:$E$3000,_calc!$AE$2:$AE$3000,$B124&amp;"|"&amp;$D124,_calc!$A$2:$A$3000,$B$3,_calc!$C$2:$C$3000,G$6)))</f>
        <v/>
      </c>
      <c r="H124" s="50" t="str">
        <f>IF(OR($B124="",H$6=""),"",IF(COUNTIFS(_calc!$AE$2:$AE$3000,$B124&amp;"|"&amp;$D124,_calc!$A$2:$A$3000,$B$3,_calc!$C$2:$C$3000,H$6)=0,"",SUMIFS(_calc!$E$2:$E$3000,_calc!$AE$2:$AE$3000,$B124&amp;"|"&amp;$D124,_calc!$A$2:$A$3000,$B$3,_calc!$C$2:$C$3000,H$6)))</f>
        <v/>
      </c>
      <c r="I124" s="50" t="str">
        <f>IF(OR($B124="",I$6=""),"",IF(COUNTIFS(_calc!$AE$2:$AE$3000,$B124&amp;"|"&amp;$D124,_calc!$A$2:$A$3000,$B$3,_calc!$C$2:$C$3000,I$6)=0,"",SUMIFS(_calc!$E$2:$E$3000,_calc!$AE$2:$AE$3000,$B124&amp;"|"&amp;$D124,_calc!$A$2:$A$3000,$B$3,_calc!$C$2:$C$3000,I$6)))</f>
        <v/>
      </c>
      <c r="J124" s="50" t="str">
        <f>IF(OR($B124="",J$6=""),"",IF(COUNTIFS(_calc!$AE$2:$AE$3000,$B124&amp;"|"&amp;$D124,_calc!$A$2:$A$3000,$B$3,_calc!$C$2:$C$3000,J$6)=0,"",SUMIFS(_calc!$E$2:$E$3000,_calc!$AE$2:$AE$3000,$B124&amp;"|"&amp;$D124,_calc!$A$2:$A$3000,$B$3,_calc!$C$2:$C$3000,J$6)))</f>
        <v/>
      </c>
      <c r="K124" s="50" t="str">
        <f>IF(OR($B124="",K$6=""),"",IF(COUNTIFS(_calc!$AE$2:$AE$3000,$B124&amp;"|"&amp;$D124,_calc!$A$2:$A$3000,$B$3,_calc!$C$2:$C$3000,K$6)=0,"",SUMIFS(_calc!$E$2:$E$3000,_calc!$AE$2:$AE$3000,$B124&amp;"|"&amp;$D124,_calc!$A$2:$A$3000,$B$3,_calc!$C$2:$C$3000,K$6)))</f>
        <v/>
      </c>
      <c r="L124" s="50" t="str">
        <f>IF(OR($B124="",L$6=""),"",IF(COUNTIFS(_calc!$AE$2:$AE$3000,$B124&amp;"|"&amp;$D124,_calc!$A$2:$A$3000,$B$3,_calc!$C$2:$C$3000,L$6)=0,"",SUMIFS(_calc!$E$2:$E$3000,_calc!$AE$2:$AE$3000,$B124&amp;"|"&amp;$D124,_calc!$A$2:$A$3000,$B$3,_calc!$C$2:$C$3000,L$6)))</f>
        <v/>
      </c>
      <c r="M124" s="50" t="str">
        <f>IF(OR($B124="",M$6=""),"",IF(COUNTIFS(_calc!$AE$2:$AE$3000,$B124&amp;"|"&amp;$D124,_calc!$A$2:$A$3000,$B$3,_calc!$C$2:$C$3000,M$6)=0,"",SUMIFS(_calc!$E$2:$E$3000,_calc!$AE$2:$AE$3000,$B124&amp;"|"&amp;$D124,_calc!$A$2:$A$3000,$B$3,_calc!$C$2:$C$3000,M$6)))</f>
        <v/>
      </c>
      <c r="N124" s="50" t="str">
        <f>IF(OR($B124="",N$6=""),"",IF(COUNTIFS(_calc!$AE$2:$AE$3000,$B124&amp;"|"&amp;$D124,_calc!$A$2:$A$3000,$B$3,_calc!$C$2:$C$3000,N$6)=0,"",SUMIFS(_calc!$E$2:$E$3000,_calc!$AE$2:$AE$3000,$B124&amp;"|"&amp;$D124,_calc!$A$2:$A$3000,$B$3,_calc!$C$2:$C$3000,N$6)))</f>
        <v/>
      </c>
      <c r="O124" s="50" t="str">
        <f>IF(OR($B124="",O$6=""),"",IF(COUNTIFS(_calc!$AE$2:$AE$3000,$B124&amp;"|"&amp;$D124,_calc!$A$2:$A$3000,$B$3,_calc!$C$2:$C$3000,O$6)=0,"",SUMIFS(_calc!$E$2:$E$3000,_calc!$AE$2:$AE$3000,$B124&amp;"|"&amp;$D124,_calc!$A$2:$A$3000,$B$3,_calc!$C$2:$C$3000,O$6)))</f>
        <v/>
      </c>
      <c r="P124" s="50" t="str">
        <f>IF(OR($B124="",P$6=""),"",IF(COUNTIFS(_calc!$AE$2:$AE$3000,$B124&amp;"|"&amp;$D124,_calc!$A$2:$A$3000,$B$3,_calc!$C$2:$C$3000,P$6)=0,"",SUMIFS(_calc!$E$2:$E$3000,_calc!$AE$2:$AE$3000,$B124&amp;"|"&amp;$D124,_calc!$A$2:$A$3000,$B$3,_calc!$C$2:$C$3000,P$6)))</f>
        <v/>
      </c>
      <c r="Q124" s="50" t="str">
        <f>IF(OR($B124="",Q$6=""),"",IF(COUNTIFS(_calc!$AE$2:$AE$3000,$B124&amp;"|"&amp;$D124,_calc!$A$2:$A$3000,$B$3,_calc!$C$2:$C$3000,Q$6)=0,"",SUMIFS(_calc!$E$2:$E$3000,_calc!$AE$2:$AE$3000,$B124&amp;"|"&amp;$D124,_calc!$A$2:$A$3000,$B$3,_calc!$C$2:$C$3000,Q$6)))</f>
        <v/>
      </c>
      <c r="R124" s="50" t="str">
        <f>IF(OR($B124="",R$6=""),"",IF(COUNTIFS(_calc!$AE$2:$AE$3000,$B124&amp;"|"&amp;$D124,_calc!$A$2:$A$3000,$B$3,_calc!$C$2:$C$3000,R$6)=0,"",SUMIFS(_calc!$E$2:$E$3000,_calc!$AE$2:$AE$3000,$B124&amp;"|"&amp;$D124,_calc!$A$2:$A$3000,$B$3,_calc!$C$2:$C$3000,R$6)))</f>
        <v/>
      </c>
      <c r="S124" s="50" t="str">
        <f>IF(OR($B124="",S$6=""),"",IF(COUNTIFS(_calc!$AE$2:$AE$3000,$B124&amp;"|"&amp;$D124,_calc!$A$2:$A$3000,$B$3,_calc!$C$2:$C$3000,S$6)=0,"",SUMIFS(_calc!$E$2:$E$3000,_calc!$AE$2:$AE$3000,$B124&amp;"|"&amp;$D124,_calc!$A$2:$A$3000,$B$3,_calc!$C$2:$C$3000,S$6)))</f>
        <v/>
      </c>
      <c r="T124" s="50" t="str">
        <f>IF(OR($B124="",T$6=""),"",IF(COUNTIFS(_calc!$AE$2:$AE$3000,$B124&amp;"|"&amp;$D124,_calc!$A$2:$A$3000,$B$3,_calc!$C$2:$C$3000,T$6)=0,"",SUMIFS(_calc!$E$2:$E$3000,_calc!$AE$2:$AE$3000,$B124&amp;"|"&amp;$D124,_calc!$A$2:$A$3000,$B$3,_calc!$C$2:$C$3000,T$6)))</f>
        <v/>
      </c>
      <c r="U124" s="50" t="str">
        <f>IF(OR($B124="",U$6=""),"",IF(COUNTIFS(_calc!$AE$2:$AE$3000,$B124&amp;"|"&amp;$D124,_calc!$A$2:$A$3000,$B$3,_calc!$C$2:$C$3000,U$6)=0,"",SUMIFS(_calc!$E$2:$E$3000,_calc!$AE$2:$AE$3000,$B124&amp;"|"&amp;$D124,_calc!$A$2:$A$3000,$B$3,_calc!$C$2:$C$3000,U$6)))</f>
        <v/>
      </c>
      <c r="V124" s="50" t="str">
        <f>IF(OR($B124="",V$6=""),"",IF(COUNTIFS(_calc!$AE$2:$AE$3000,$B124&amp;"|"&amp;$D124,_calc!$A$2:$A$3000,$B$3,_calc!$C$2:$C$3000,V$6)=0,"",SUMIFS(_calc!$E$2:$E$3000,_calc!$AE$2:$AE$3000,$B124&amp;"|"&amp;$D124,_calc!$A$2:$A$3000,$B$3,_calc!$C$2:$C$3000,V$6)))</f>
        <v/>
      </c>
      <c r="W124" s="50" t="str">
        <f>IF(OR($B124="",W$6=""),"",IF(COUNTIFS(_calc!$AE$2:$AE$3000,$B124&amp;"|"&amp;$D124,_calc!$A$2:$A$3000,$B$3,_calc!$C$2:$C$3000,W$6)=0,"",SUMIFS(_calc!$E$2:$E$3000,_calc!$AE$2:$AE$3000,$B124&amp;"|"&amp;$D124,_calc!$A$2:$A$3000,$B$3,_calc!$C$2:$C$3000,W$6)))</f>
        <v/>
      </c>
      <c r="X124" s="50" t="str">
        <f>IF(OR($B124="",X$6=""),"",IF(COUNTIFS(_calc!$AE$2:$AE$3000,$B124&amp;"|"&amp;$D124,_calc!$A$2:$A$3000,$B$3,_calc!$C$2:$C$3000,X$6)=0,"",SUMIFS(_calc!$E$2:$E$3000,_calc!$AE$2:$AE$3000,$B124&amp;"|"&amp;$D124,_calc!$A$2:$A$3000,$B$3,_calc!$C$2:$C$3000,X$6)))</f>
        <v/>
      </c>
    </row>
    <row r="125" spans="1:24" x14ac:dyDescent="0.4">
      <c r="A125" s="48">
        <v>119</v>
      </c>
      <c r="B125" s="49" t="str">
        <f>IFERROR(INDEX(_calc!$I$2:$I$3000,MATCH($A125,_calc!$AB$2:$AB$3000,0)),"")</f>
        <v/>
      </c>
      <c r="C125" s="49" t="str">
        <f>IFERROR(INDEX(_calc!$H$2:$H$3000,MATCH($A125,_calc!$AB$2:$AB$3000,0)),"")</f>
        <v/>
      </c>
      <c r="D125" s="49" t="str">
        <f>IFERROR(INDEX(_calc!$K$2:$K$3000,MATCH($A125,_calc!$AB$2:$AB$3000,0)),"")</f>
        <v/>
      </c>
      <c r="E125" s="50" t="str">
        <f>IF(OR($B125="",E$6=""),"",IF(COUNTIFS(_calc!$AE$2:$AE$3000,$B125&amp;"|"&amp;$D125,_calc!$A$2:$A$3000,$B$3,_calc!$C$2:$C$3000,E$6)=0,"",SUMIFS(_calc!$E$2:$E$3000,_calc!$AE$2:$AE$3000,$B125&amp;"|"&amp;$D125,_calc!$A$2:$A$3000,$B$3,_calc!$C$2:$C$3000,E$6)))</f>
        <v/>
      </c>
      <c r="F125" s="50" t="str">
        <f>IF(OR($B125="",F$6=""),"",IF(COUNTIFS(_calc!$AE$2:$AE$3000,$B125&amp;"|"&amp;$D125,_calc!$A$2:$A$3000,$B$3,_calc!$C$2:$C$3000,F$6)=0,"",SUMIFS(_calc!$E$2:$E$3000,_calc!$AE$2:$AE$3000,$B125&amp;"|"&amp;$D125,_calc!$A$2:$A$3000,$B$3,_calc!$C$2:$C$3000,F$6)))</f>
        <v/>
      </c>
      <c r="G125" s="50" t="str">
        <f>IF(OR($B125="",G$6=""),"",IF(COUNTIFS(_calc!$AE$2:$AE$3000,$B125&amp;"|"&amp;$D125,_calc!$A$2:$A$3000,$B$3,_calc!$C$2:$C$3000,G$6)=0,"",SUMIFS(_calc!$E$2:$E$3000,_calc!$AE$2:$AE$3000,$B125&amp;"|"&amp;$D125,_calc!$A$2:$A$3000,$B$3,_calc!$C$2:$C$3000,G$6)))</f>
        <v/>
      </c>
      <c r="H125" s="50" t="str">
        <f>IF(OR($B125="",H$6=""),"",IF(COUNTIFS(_calc!$AE$2:$AE$3000,$B125&amp;"|"&amp;$D125,_calc!$A$2:$A$3000,$B$3,_calc!$C$2:$C$3000,H$6)=0,"",SUMIFS(_calc!$E$2:$E$3000,_calc!$AE$2:$AE$3000,$B125&amp;"|"&amp;$D125,_calc!$A$2:$A$3000,$B$3,_calc!$C$2:$C$3000,H$6)))</f>
        <v/>
      </c>
      <c r="I125" s="50" t="str">
        <f>IF(OR($B125="",I$6=""),"",IF(COUNTIFS(_calc!$AE$2:$AE$3000,$B125&amp;"|"&amp;$D125,_calc!$A$2:$A$3000,$B$3,_calc!$C$2:$C$3000,I$6)=0,"",SUMIFS(_calc!$E$2:$E$3000,_calc!$AE$2:$AE$3000,$B125&amp;"|"&amp;$D125,_calc!$A$2:$A$3000,$B$3,_calc!$C$2:$C$3000,I$6)))</f>
        <v/>
      </c>
      <c r="J125" s="50" t="str">
        <f>IF(OR($B125="",J$6=""),"",IF(COUNTIFS(_calc!$AE$2:$AE$3000,$B125&amp;"|"&amp;$D125,_calc!$A$2:$A$3000,$B$3,_calc!$C$2:$C$3000,J$6)=0,"",SUMIFS(_calc!$E$2:$E$3000,_calc!$AE$2:$AE$3000,$B125&amp;"|"&amp;$D125,_calc!$A$2:$A$3000,$B$3,_calc!$C$2:$C$3000,J$6)))</f>
        <v/>
      </c>
      <c r="K125" s="50" t="str">
        <f>IF(OR($B125="",K$6=""),"",IF(COUNTIFS(_calc!$AE$2:$AE$3000,$B125&amp;"|"&amp;$D125,_calc!$A$2:$A$3000,$B$3,_calc!$C$2:$C$3000,K$6)=0,"",SUMIFS(_calc!$E$2:$E$3000,_calc!$AE$2:$AE$3000,$B125&amp;"|"&amp;$D125,_calc!$A$2:$A$3000,$B$3,_calc!$C$2:$C$3000,K$6)))</f>
        <v/>
      </c>
      <c r="L125" s="50" t="str">
        <f>IF(OR($B125="",L$6=""),"",IF(COUNTIFS(_calc!$AE$2:$AE$3000,$B125&amp;"|"&amp;$D125,_calc!$A$2:$A$3000,$B$3,_calc!$C$2:$C$3000,L$6)=0,"",SUMIFS(_calc!$E$2:$E$3000,_calc!$AE$2:$AE$3000,$B125&amp;"|"&amp;$D125,_calc!$A$2:$A$3000,$B$3,_calc!$C$2:$C$3000,L$6)))</f>
        <v/>
      </c>
      <c r="M125" s="50" t="str">
        <f>IF(OR($B125="",M$6=""),"",IF(COUNTIFS(_calc!$AE$2:$AE$3000,$B125&amp;"|"&amp;$D125,_calc!$A$2:$A$3000,$B$3,_calc!$C$2:$C$3000,M$6)=0,"",SUMIFS(_calc!$E$2:$E$3000,_calc!$AE$2:$AE$3000,$B125&amp;"|"&amp;$D125,_calc!$A$2:$A$3000,$B$3,_calc!$C$2:$C$3000,M$6)))</f>
        <v/>
      </c>
      <c r="N125" s="50" t="str">
        <f>IF(OR($B125="",N$6=""),"",IF(COUNTIFS(_calc!$AE$2:$AE$3000,$B125&amp;"|"&amp;$D125,_calc!$A$2:$A$3000,$B$3,_calc!$C$2:$C$3000,N$6)=0,"",SUMIFS(_calc!$E$2:$E$3000,_calc!$AE$2:$AE$3000,$B125&amp;"|"&amp;$D125,_calc!$A$2:$A$3000,$B$3,_calc!$C$2:$C$3000,N$6)))</f>
        <v/>
      </c>
      <c r="O125" s="50" t="str">
        <f>IF(OR($B125="",O$6=""),"",IF(COUNTIFS(_calc!$AE$2:$AE$3000,$B125&amp;"|"&amp;$D125,_calc!$A$2:$A$3000,$B$3,_calc!$C$2:$C$3000,O$6)=0,"",SUMIFS(_calc!$E$2:$E$3000,_calc!$AE$2:$AE$3000,$B125&amp;"|"&amp;$D125,_calc!$A$2:$A$3000,$B$3,_calc!$C$2:$C$3000,O$6)))</f>
        <v/>
      </c>
      <c r="P125" s="50" t="str">
        <f>IF(OR($B125="",P$6=""),"",IF(COUNTIFS(_calc!$AE$2:$AE$3000,$B125&amp;"|"&amp;$D125,_calc!$A$2:$A$3000,$B$3,_calc!$C$2:$C$3000,P$6)=0,"",SUMIFS(_calc!$E$2:$E$3000,_calc!$AE$2:$AE$3000,$B125&amp;"|"&amp;$D125,_calc!$A$2:$A$3000,$B$3,_calc!$C$2:$C$3000,P$6)))</f>
        <v/>
      </c>
      <c r="Q125" s="50" t="str">
        <f>IF(OR($B125="",Q$6=""),"",IF(COUNTIFS(_calc!$AE$2:$AE$3000,$B125&amp;"|"&amp;$D125,_calc!$A$2:$A$3000,$B$3,_calc!$C$2:$C$3000,Q$6)=0,"",SUMIFS(_calc!$E$2:$E$3000,_calc!$AE$2:$AE$3000,$B125&amp;"|"&amp;$D125,_calc!$A$2:$A$3000,$B$3,_calc!$C$2:$C$3000,Q$6)))</f>
        <v/>
      </c>
      <c r="R125" s="50" t="str">
        <f>IF(OR($B125="",R$6=""),"",IF(COUNTIFS(_calc!$AE$2:$AE$3000,$B125&amp;"|"&amp;$D125,_calc!$A$2:$A$3000,$B$3,_calc!$C$2:$C$3000,R$6)=0,"",SUMIFS(_calc!$E$2:$E$3000,_calc!$AE$2:$AE$3000,$B125&amp;"|"&amp;$D125,_calc!$A$2:$A$3000,$B$3,_calc!$C$2:$C$3000,R$6)))</f>
        <v/>
      </c>
      <c r="S125" s="50" t="str">
        <f>IF(OR($B125="",S$6=""),"",IF(COUNTIFS(_calc!$AE$2:$AE$3000,$B125&amp;"|"&amp;$D125,_calc!$A$2:$A$3000,$B$3,_calc!$C$2:$C$3000,S$6)=0,"",SUMIFS(_calc!$E$2:$E$3000,_calc!$AE$2:$AE$3000,$B125&amp;"|"&amp;$D125,_calc!$A$2:$A$3000,$B$3,_calc!$C$2:$C$3000,S$6)))</f>
        <v/>
      </c>
      <c r="T125" s="50" t="str">
        <f>IF(OR($B125="",T$6=""),"",IF(COUNTIFS(_calc!$AE$2:$AE$3000,$B125&amp;"|"&amp;$D125,_calc!$A$2:$A$3000,$B$3,_calc!$C$2:$C$3000,T$6)=0,"",SUMIFS(_calc!$E$2:$E$3000,_calc!$AE$2:$AE$3000,$B125&amp;"|"&amp;$D125,_calc!$A$2:$A$3000,$B$3,_calc!$C$2:$C$3000,T$6)))</f>
        <v/>
      </c>
      <c r="U125" s="50" t="str">
        <f>IF(OR($B125="",U$6=""),"",IF(COUNTIFS(_calc!$AE$2:$AE$3000,$B125&amp;"|"&amp;$D125,_calc!$A$2:$A$3000,$B$3,_calc!$C$2:$C$3000,U$6)=0,"",SUMIFS(_calc!$E$2:$E$3000,_calc!$AE$2:$AE$3000,$B125&amp;"|"&amp;$D125,_calc!$A$2:$A$3000,$B$3,_calc!$C$2:$C$3000,U$6)))</f>
        <v/>
      </c>
      <c r="V125" s="50" t="str">
        <f>IF(OR($B125="",V$6=""),"",IF(COUNTIFS(_calc!$AE$2:$AE$3000,$B125&amp;"|"&amp;$D125,_calc!$A$2:$A$3000,$B$3,_calc!$C$2:$C$3000,V$6)=0,"",SUMIFS(_calc!$E$2:$E$3000,_calc!$AE$2:$AE$3000,$B125&amp;"|"&amp;$D125,_calc!$A$2:$A$3000,$B$3,_calc!$C$2:$C$3000,V$6)))</f>
        <v/>
      </c>
      <c r="W125" s="50" t="str">
        <f>IF(OR($B125="",W$6=""),"",IF(COUNTIFS(_calc!$AE$2:$AE$3000,$B125&amp;"|"&amp;$D125,_calc!$A$2:$A$3000,$B$3,_calc!$C$2:$C$3000,W$6)=0,"",SUMIFS(_calc!$E$2:$E$3000,_calc!$AE$2:$AE$3000,$B125&amp;"|"&amp;$D125,_calc!$A$2:$A$3000,$B$3,_calc!$C$2:$C$3000,W$6)))</f>
        <v/>
      </c>
      <c r="X125" s="50" t="str">
        <f>IF(OR($B125="",X$6=""),"",IF(COUNTIFS(_calc!$AE$2:$AE$3000,$B125&amp;"|"&amp;$D125,_calc!$A$2:$A$3000,$B$3,_calc!$C$2:$C$3000,X$6)=0,"",SUMIFS(_calc!$E$2:$E$3000,_calc!$AE$2:$AE$3000,$B125&amp;"|"&amp;$D125,_calc!$A$2:$A$3000,$B$3,_calc!$C$2:$C$3000,X$6)))</f>
        <v/>
      </c>
    </row>
    <row r="126" spans="1:24" x14ac:dyDescent="0.4">
      <c r="A126" s="48">
        <v>120</v>
      </c>
      <c r="B126" s="49" t="str">
        <f>IFERROR(INDEX(_calc!$I$2:$I$3000,MATCH($A126,_calc!$AB$2:$AB$3000,0)),"")</f>
        <v/>
      </c>
      <c r="C126" s="49" t="str">
        <f>IFERROR(INDEX(_calc!$H$2:$H$3000,MATCH($A126,_calc!$AB$2:$AB$3000,0)),"")</f>
        <v/>
      </c>
      <c r="D126" s="49" t="str">
        <f>IFERROR(INDEX(_calc!$K$2:$K$3000,MATCH($A126,_calc!$AB$2:$AB$3000,0)),"")</f>
        <v/>
      </c>
      <c r="E126" s="50" t="str">
        <f>IF(OR($B126="",E$6=""),"",IF(COUNTIFS(_calc!$AE$2:$AE$3000,$B126&amp;"|"&amp;$D126,_calc!$A$2:$A$3000,$B$3,_calc!$C$2:$C$3000,E$6)=0,"",SUMIFS(_calc!$E$2:$E$3000,_calc!$AE$2:$AE$3000,$B126&amp;"|"&amp;$D126,_calc!$A$2:$A$3000,$B$3,_calc!$C$2:$C$3000,E$6)))</f>
        <v/>
      </c>
      <c r="F126" s="50" t="str">
        <f>IF(OR($B126="",F$6=""),"",IF(COUNTIFS(_calc!$AE$2:$AE$3000,$B126&amp;"|"&amp;$D126,_calc!$A$2:$A$3000,$B$3,_calc!$C$2:$C$3000,F$6)=0,"",SUMIFS(_calc!$E$2:$E$3000,_calc!$AE$2:$AE$3000,$B126&amp;"|"&amp;$D126,_calc!$A$2:$A$3000,$B$3,_calc!$C$2:$C$3000,F$6)))</f>
        <v/>
      </c>
      <c r="G126" s="50" t="str">
        <f>IF(OR($B126="",G$6=""),"",IF(COUNTIFS(_calc!$AE$2:$AE$3000,$B126&amp;"|"&amp;$D126,_calc!$A$2:$A$3000,$B$3,_calc!$C$2:$C$3000,G$6)=0,"",SUMIFS(_calc!$E$2:$E$3000,_calc!$AE$2:$AE$3000,$B126&amp;"|"&amp;$D126,_calc!$A$2:$A$3000,$B$3,_calc!$C$2:$C$3000,G$6)))</f>
        <v/>
      </c>
      <c r="H126" s="50" t="str">
        <f>IF(OR($B126="",H$6=""),"",IF(COUNTIFS(_calc!$AE$2:$AE$3000,$B126&amp;"|"&amp;$D126,_calc!$A$2:$A$3000,$B$3,_calc!$C$2:$C$3000,H$6)=0,"",SUMIFS(_calc!$E$2:$E$3000,_calc!$AE$2:$AE$3000,$B126&amp;"|"&amp;$D126,_calc!$A$2:$A$3000,$B$3,_calc!$C$2:$C$3000,H$6)))</f>
        <v/>
      </c>
      <c r="I126" s="50" t="str">
        <f>IF(OR($B126="",I$6=""),"",IF(COUNTIFS(_calc!$AE$2:$AE$3000,$B126&amp;"|"&amp;$D126,_calc!$A$2:$A$3000,$B$3,_calc!$C$2:$C$3000,I$6)=0,"",SUMIFS(_calc!$E$2:$E$3000,_calc!$AE$2:$AE$3000,$B126&amp;"|"&amp;$D126,_calc!$A$2:$A$3000,$B$3,_calc!$C$2:$C$3000,I$6)))</f>
        <v/>
      </c>
      <c r="J126" s="50" t="str">
        <f>IF(OR($B126="",J$6=""),"",IF(COUNTIFS(_calc!$AE$2:$AE$3000,$B126&amp;"|"&amp;$D126,_calc!$A$2:$A$3000,$B$3,_calc!$C$2:$C$3000,J$6)=0,"",SUMIFS(_calc!$E$2:$E$3000,_calc!$AE$2:$AE$3000,$B126&amp;"|"&amp;$D126,_calc!$A$2:$A$3000,$B$3,_calc!$C$2:$C$3000,J$6)))</f>
        <v/>
      </c>
      <c r="K126" s="50" t="str">
        <f>IF(OR($B126="",K$6=""),"",IF(COUNTIFS(_calc!$AE$2:$AE$3000,$B126&amp;"|"&amp;$D126,_calc!$A$2:$A$3000,$B$3,_calc!$C$2:$C$3000,K$6)=0,"",SUMIFS(_calc!$E$2:$E$3000,_calc!$AE$2:$AE$3000,$B126&amp;"|"&amp;$D126,_calc!$A$2:$A$3000,$B$3,_calc!$C$2:$C$3000,K$6)))</f>
        <v/>
      </c>
      <c r="L126" s="50" t="str">
        <f>IF(OR($B126="",L$6=""),"",IF(COUNTIFS(_calc!$AE$2:$AE$3000,$B126&amp;"|"&amp;$D126,_calc!$A$2:$A$3000,$B$3,_calc!$C$2:$C$3000,L$6)=0,"",SUMIFS(_calc!$E$2:$E$3000,_calc!$AE$2:$AE$3000,$B126&amp;"|"&amp;$D126,_calc!$A$2:$A$3000,$B$3,_calc!$C$2:$C$3000,L$6)))</f>
        <v/>
      </c>
      <c r="M126" s="50" t="str">
        <f>IF(OR($B126="",M$6=""),"",IF(COUNTIFS(_calc!$AE$2:$AE$3000,$B126&amp;"|"&amp;$D126,_calc!$A$2:$A$3000,$B$3,_calc!$C$2:$C$3000,M$6)=0,"",SUMIFS(_calc!$E$2:$E$3000,_calc!$AE$2:$AE$3000,$B126&amp;"|"&amp;$D126,_calc!$A$2:$A$3000,$B$3,_calc!$C$2:$C$3000,M$6)))</f>
        <v/>
      </c>
      <c r="N126" s="50" t="str">
        <f>IF(OR($B126="",N$6=""),"",IF(COUNTIFS(_calc!$AE$2:$AE$3000,$B126&amp;"|"&amp;$D126,_calc!$A$2:$A$3000,$B$3,_calc!$C$2:$C$3000,N$6)=0,"",SUMIFS(_calc!$E$2:$E$3000,_calc!$AE$2:$AE$3000,$B126&amp;"|"&amp;$D126,_calc!$A$2:$A$3000,$B$3,_calc!$C$2:$C$3000,N$6)))</f>
        <v/>
      </c>
      <c r="O126" s="50" t="str">
        <f>IF(OR($B126="",O$6=""),"",IF(COUNTIFS(_calc!$AE$2:$AE$3000,$B126&amp;"|"&amp;$D126,_calc!$A$2:$A$3000,$B$3,_calc!$C$2:$C$3000,O$6)=0,"",SUMIFS(_calc!$E$2:$E$3000,_calc!$AE$2:$AE$3000,$B126&amp;"|"&amp;$D126,_calc!$A$2:$A$3000,$B$3,_calc!$C$2:$C$3000,O$6)))</f>
        <v/>
      </c>
      <c r="P126" s="50" t="str">
        <f>IF(OR($B126="",P$6=""),"",IF(COUNTIFS(_calc!$AE$2:$AE$3000,$B126&amp;"|"&amp;$D126,_calc!$A$2:$A$3000,$B$3,_calc!$C$2:$C$3000,P$6)=0,"",SUMIFS(_calc!$E$2:$E$3000,_calc!$AE$2:$AE$3000,$B126&amp;"|"&amp;$D126,_calc!$A$2:$A$3000,$B$3,_calc!$C$2:$C$3000,P$6)))</f>
        <v/>
      </c>
      <c r="Q126" s="50" t="str">
        <f>IF(OR($B126="",Q$6=""),"",IF(COUNTIFS(_calc!$AE$2:$AE$3000,$B126&amp;"|"&amp;$D126,_calc!$A$2:$A$3000,$B$3,_calc!$C$2:$C$3000,Q$6)=0,"",SUMIFS(_calc!$E$2:$E$3000,_calc!$AE$2:$AE$3000,$B126&amp;"|"&amp;$D126,_calc!$A$2:$A$3000,$B$3,_calc!$C$2:$C$3000,Q$6)))</f>
        <v/>
      </c>
      <c r="R126" s="50" t="str">
        <f>IF(OR($B126="",R$6=""),"",IF(COUNTIFS(_calc!$AE$2:$AE$3000,$B126&amp;"|"&amp;$D126,_calc!$A$2:$A$3000,$B$3,_calc!$C$2:$C$3000,R$6)=0,"",SUMIFS(_calc!$E$2:$E$3000,_calc!$AE$2:$AE$3000,$B126&amp;"|"&amp;$D126,_calc!$A$2:$A$3000,$B$3,_calc!$C$2:$C$3000,R$6)))</f>
        <v/>
      </c>
      <c r="S126" s="50" t="str">
        <f>IF(OR($B126="",S$6=""),"",IF(COUNTIFS(_calc!$AE$2:$AE$3000,$B126&amp;"|"&amp;$D126,_calc!$A$2:$A$3000,$B$3,_calc!$C$2:$C$3000,S$6)=0,"",SUMIFS(_calc!$E$2:$E$3000,_calc!$AE$2:$AE$3000,$B126&amp;"|"&amp;$D126,_calc!$A$2:$A$3000,$B$3,_calc!$C$2:$C$3000,S$6)))</f>
        <v/>
      </c>
      <c r="T126" s="50" t="str">
        <f>IF(OR($B126="",T$6=""),"",IF(COUNTIFS(_calc!$AE$2:$AE$3000,$B126&amp;"|"&amp;$D126,_calc!$A$2:$A$3000,$B$3,_calc!$C$2:$C$3000,T$6)=0,"",SUMIFS(_calc!$E$2:$E$3000,_calc!$AE$2:$AE$3000,$B126&amp;"|"&amp;$D126,_calc!$A$2:$A$3000,$B$3,_calc!$C$2:$C$3000,T$6)))</f>
        <v/>
      </c>
      <c r="U126" s="50" t="str">
        <f>IF(OR($B126="",U$6=""),"",IF(COUNTIFS(_calc!$AE$2:$AE$3000,$B126&amp;"|"&amp;$D126,_calc!$A$2:$A$3000,$B$3,_calc!$C$2:$C$3000,U$6)=0,"",SUMIFS(_calc!$E$2:$E$3000,_calc!$AE$2:$AE$3000,$B126&amp;"|"&amp;$D126,_calc!$A$2:$A$3000,$B$3,_calc!$C$2:$C$3000,U$6)))</f>
        <v/>
      </c>
      <c r="V126" s="50" t="str">
        <f>IF(OR($B126="",V$6=""),"",IF(COUNTIFS(_calc!$AE$2:$AE$3000,$B126&amp;"|"&amp;$D126,_calc!$A$2:$A$3000,$B$3,_calc!$C$2:$C$3000,V$6)=0,"",SUMIFS(_calc!$E$2:$E$3000,_calc!$AE$2:$AE$3000,$B126&amp;"|"&amp;$D126,_calc!$A$2:$A$3000,$B$3,_calc!$C$2:$C$3000,V$6)))</f>
        <v/>
      </c>
      <c r="W126" s="50" t="str">
        <f>IF(OR($B126="",W$6=""),"",IF(COUNTIFS(_calc!$AE$2:$AE$3000,$B126&amp;"|"&amp;$D126,_calc!$A$2:$A$3000,$B$3,_calc!$C$2:$C$3000,W$6)=0,"",SUMIFS(_calc!$E$2:$E$3000,_calc!$AE$2:$AE$3000,$B126&amp;"|"&amp;$D126,_calc!$A$2:$A$3000,$B$3,_calc!$C$2:$C$3000,W$6)))</f>
        <v/>
      </c>
      <c r="X126" s="50" t="str">
        <f>IF(OR($B126="",X$6=""),"",IF(COUNTIFS(_calc!$AE$2:$AE$3000,$B126&amp;"|"&amp;$D126,_calc!$A$2:$A$3000,$B$3,_calc!$C$2:$C$3000,X$6)=0,"",SUMIFS(_calc!$E$2:$E$3000,_calc!$AE$2:$AE$3000,$B126&amp;"|"&amp;$D126,_calc!$A$2:$A$3000,$B$3,_calc!$C$2:$C$3000,X$6)))</f>
        <v/>
      </c>
    </row>
  </sheetData>
  <mergeCells count="4">
    <mergeCell ref="B4:D4"/>
    <mergeCell ref="B3:D3"/>
    <mergeCell ref="B5:D5"/>
    <mergeCell ref="A1:B1"/>
  </mergeCells>
  <phoneticPr fontId="17" type="noConversion"/>
  <conditionalFormatting sqref="A7:X126">
    <cfRule type="expression" dxfId="4" priority="1">
      <formula>$B7=""</formula>
    </cfRule>
  </conditionalFormatting>
  <conditionalFormatting sqref="AB9:AB38">
    <cfRule type="expression" dxfId="3" priority="2" stopIfTrue="1">
      <formula>$AB9=""</formula>
    </cfRule>
  </conditionalFormatting>
  <dataValidations count="3">
    <dataValidation type="list" allowBlank="1" errorTitle="基金名称" error="请从下拉列表中选择" sqref="B3:D3" xr:uid="{00000000-0002-0000-0B00-000000000000}">
      <formula1>基金列表</formula1>
    </dataValidation>
    <dataValidation type="list" allowBlank="1" errorTitle="项目" error="请从下拉列表中选择项目" sqref="B4 AA9:AA38" xr:uid="{00000000-0002-0000-0B00-000001000000}">
      <formula1>项目列表</formula1>
    </dataValidation>
    <dataValidation type="list" allowBlank="1" errorTitle="报告期" error="请从下拉列表中选择" sqref="B5" xr:uid="{00000000-0002-0000-0B00-000002000000}">
      <formula1>报告期类型列表</formula1>
    </dataValidation>
  </dataValidations>
  <hyperlinks>
    <hyperlink ref="A1" location="'数据概览'!A1" tooltip="返回数据概览" display="⬅ 返回数据概览" xr:uid="{00000000-0004-0000-0B00-000000000000}"/>
  </hyperlinks>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expression" priority="3" stopIfTrue="1" id="{00000000-000E-0000-0B00-000003000000}">
            <xm:f>AND(B4&lt;&gt;"",COUNTIF(_calc!$I$2:$I$3000,B4)=0)</xm:f>
            <x14:dxf>
              <font>
                <b/>
                <sz val="9"/>
                <color rgb="FFC00000"/>
                <name val="微软雅黑"/>
              </font>
              <fill>
                <patternFill patternType="solid">
                  <fgColor rgb="FFFCE4E4"/>
                </patternFill>
              </fill>
            </x14:dxf>
          </x14:cfRule>
          <xm:sqref>B4</xm:sqref>
        </x14:conditionalFormatting>
        <x14:conditionalFormatting xmlns:xm="http://schemas.microsoft.com/office/excel/2006/main">
          <x14:cfRule type="expression" priority="4" stopIfTrue="1" id="{00000000-000E-0000-0B00-000004000000}">
            <xm:f>AND(B5&lt;&gt;"",COUNTIF(_calc!$AK$1:$AK$3,B5)=0)</xm:f>
            <x14:dxf>
              <font>
                <b/>
                <sz val="9"/>
                <color rgb="FFC00000"/>
                <name val="微软雅黑"/>
              </font>
              <fill>
                <patternFill patternType="solid">
                  <fgColor rgb="FFFCE4E4"/>
                </patternFill>
              </fill>
            </x14:dxf>
          </x14:cfRule>
          <xm:sqref>B5</xm:sqref>
        </x14:conditionalFormatting>
        <x14:conditionalFormatting xmlns:xm="http://schemas.microsoft.com/office/excel/2006/main">
          <x14:cfRule type="expression" priority="5" stopIfTrue="1" id="{00000000-000E-0000-0B00-000005000000}">
            <xm:f>AND(AA9&lt;&gt;"",COUNTIF(_calc!$I$2:$I$3000,AA9)=0)</xm:f>
            <x14:dxf>
              <font>
                <b/>
                <sz val="9"/>
                <color rgb="FFC00000"/>
                <name val="微软雅黑"/>
              </font>
              <fill>
                <patternFill patternType="solid">
                  <fgColor rgb="FFFCE4E4"/>
                </patternFill>
              </fill>
            </x14:dxf>
          </x14:cfRule>
          <xm:sqref>AA9:AA38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3</vt:i4>
      </vt:variant>
    </vt:vector>
  </HeadingPairs>
  <TitlesOfParts>
    <vt:vector size="15" baseType="lpstr">
      <vt:lpstr>数据概览</vt:lpstr>
      <vt:lpstr>产品信息</vt:lpstr>
      <vt:lpstr>项目基本信息</vt:lpstr>
      <vt:lpstr>估值信息1</vt:lpstr>
      <vt:lpstr>发售及分派</vt:lpstr>
      <vt:lpstr>分派率预测1</vt:lpstr>
      <vt:lpstr>二级分派率1</vt:lpstr>
      <vt:lpstr>发售持有人1</vt:lpstr>
      <vt:lpstr>前十大持有人1</vt:lpstr>
      <vt:lpstr>原始经营数据</vt:lpstr>
      <vt:lpstr>_calc</vt:lpstr>
      <vt:lpstr>经营数据</vt:lpstr>
      <vt:lpstr>PeriodList</vt:lpstr>
      <vt:lpstr>ProvList</vt:lpstr>
      <vt:lpstr>月份列表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玲宇 季</cp:lastModifiedBy>
  <dcterms:created xsi:type="dcterms:W3CDTF">2026-10-09T08:14:12Z</dcterms:created>
  <dcterms:modified xsi:type="dcterms:W3CDTF">2026-10-11T09:19:21Z</dcterms:modified>
</cp:coreProperties>
</file>